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528"/>
  <workbookPr autoCompressPictures="0" defaultThemeVersion="124226"/>
  <mc:AlternateContent xmlns:mc="http://schemas.openxmlformats.org/markup-compatibility/2006">
    <mc:Choice Requires="x15">
      <x15ac:absPath xmlns:x15ac="http://schemas.microsoft.com/office/spreadsheetml/2010/11/ac" url="C:\Users\mitch\Dropbox (Afton Partners)\Afton &amp; AZ DOE Data Share\DRAFT Website Package\"/>
    </mc:Choice>
  </mc:AlternateContent>
  <workbookProtection workbookAlgorithmName="SHA-512" workbookHashValue="cwxUZdYVUWogO+V4FrsTtdJKsqi89KPeyZ2tYTbWiROf+MMh9BM+9MpooYsU94jcHpmCGdV7ek//22EsyBZDWw==" workbookSaltValue="vxlEq7Vtp7TljHV5Cs3dNA==" workbookSpinCount="100000" lockStructure="1"/>
  <bookViews>
    <workbookView xWindow="1044" yWindow="576" windowWidth="19956" windowHeight="11304" tabRatio="763" xr2:uid="{00000000-000D-0000-FFFF-FFFF00000000}"/>
  </bookViews>
  <sheets>
    <sheet name="Afton Update" sheetId="46" r:id="rId1"/>
    <sheet name="HH &amp; SI" sheetId="49" r:id="rId2"/>
    <sheet name="update_Allocation" sheetId="50" r:id="rId3"/>
    <sheet name="update_Formula counts" sheetId="51" r:id="rId4"/>
    <sheet name="update_State Admin 1004(b)" sheetId="52" r:id="rId5"/>
    <sheet name="Allocation" sheetId="29" state="hidden" r:id="rId6"/>
    <sheet name="Afton FY16 Final" sheetId="53" r:id="rId7"/>
    <sheet name="Phoenix Collegiate Split" sheetId="55" r:id="rId8"/>
    <sheet name="Historical Conc Grant Elig" sheetId="54" r:id="rId9"/>
    <sheet name="Original Title I &amp; II" sheetId="1" r:id="rId10"/>
    <sheet name="State ID" sheetId="3" state="hidden" r:id="rId11"/>
    <sheet name="NCES ID" sheetId="4" state="hidden" r:id="rId12"/>
    <sheet name="AVA Metrics" sheetId="40" state="hidden" r:id="rId13"/>
    <sheet name="TitleIDSP2" sheetId="38" state="hidden" r:id="rId14"/>
    <sheet name="RLIS" sheetId="35" state="hidden" r:id="rId15"/>
    <sheet name="Entities to fund based on CY FR" sheetId="33" state="hidden" r:id="rId16"/>
    <sheet name="AzEDS FY17 11-14-2016" sheetId="41" state="hidden" r:id="rId17"/>
    <sheet name="Final SEA Counts" sheetId="31" state="hidden" r:id="rId18"/>
    <sheet name="Formula counts" sheetId="30" state="hidden" r:id="rId19"/>
    <sheet name="State Admin 1004(b)" sheetId="28" state="hidden" r:id="rId20"/>
    <sheet name="Allocations By Type" sheetId="32" state="hidden" r:id="rId21"/>
    <sheet name="FY16 Title II-A Final" sheetId="34" state="hidden" r:id="rId22"/>
    <sheet name="Title II Hold Harmless" sheetId="13" state="hidden" r:id="rId23"/>
    <sheet name="RLIS Source" sheetId="19" state="hidden" r:id="rId24"/>
    <sheet name="AzEDS FY17 12-04-16" sheetId="44" state="hidden" r:id="rId25"/>
    <sheet name="AzEDS FY17 12-15-16" sheetId="45" state="hidden" r:id="rId26"/>
  </sheets>
  <externalReferences>
    <externalReference r:id="rId27"/>
    <externalReference r:id="rId28"/>
  </externalReferences>
  <definedNames>
    <definedName name="_xlnm._FilterDatabase" localSheetId="6" hidden="1">'Afton FY16 Final'!$A$5:$DJ$570</definedName>
    <definedName name="_xlnm._FilterDatabase" localSheetId="0" hidden="1">'Afton Update'!$A$5:$CT$576</definedName>
    <definedName name="_xlnm._FilterDatabase" localSheetId="5" hidden="1">Allocation!#REF!</definedName>
    <definedName name="_xlnm._FilterDatabase" localSheetId="18" hidden="1">'Formula counts'!$D$7:$S$234</definedName>
    <definedName name="_xlnm._FilterDatabase" localSheetId="1" hidden="1">'HH &amp; SI'!$B$4:$BT$494</definedName>
    <definedName name="_xlnm._FilterDatabase" localSheetId="9" hidden="1">'Original Title I &amp; II'!$D$5:$D$574</definedName>
    <definedName name="_xlnm._FilterDatabase" localSheetId="22" hidden="1">'Title II Hold Harmless'!$A$1:$B$439</definedName>
    <definedName name="_xlnm._FilterDatabase" localSheetId="13" hidden="1">TitleIDSP2!$A$3:$E$24</definedName>
    <definedName name="_xlnm._FilterDatabase" localSheetId="2" hidden="1">update_Allocation!#REF!</definedName>
    <definedName name="_xlnm.Print_Area" localSheetId="5">Allocation!$D$2:$R$237</definedName>
    <definedName name="_xlnm.Print_Area" localSheetId="18">'Formula counts'!$D$2:$R$236</definedName>
    <definedName name="_xlnm.Print_Area" localSheetId="21">'FY16 Title II-A Final'!$A$1:$N$71</definedName>
    <definedName name="_xlnm.Print_Area" localSheetId="19">'State Admin 1004(b)'!$A$17:$E$89</definedName>
    <definedName name="_xlnm.Print_Area" localSheetId="2">update_Allocation!$D$2:$R$237</definedName>
    <definedName name="_xlnm.Print_Area" localSheetId="3">'update_Formula counts'!$D$2:$R$236</definedName>
    <definedName name="_xlnm.Print_Area" localSheetId="4">'update_State Admin 1004(b)'!$A$17:$E$89</definedName>
    <definedName name="_xlnm.Print_Titles" localSheetId="5">Allocation!$2:$9</definedName>
    <definedName name="_xlnm.Print_Titles" localSheetId="18">'Formula counts'!$2:$8</definedName>
    <definedName name="_xlnm.Print_Titles" localSheetId="23">'RLIS Source'!$8:$10</definedName>
    <definedName name="_xlnm.Print_Titles" localSheetId="2">update_Allocation!$2:$9</definedName>
    <definedName name="_xlnm.Print_Titles" localSheetId="3">'update_Formula counts'!$2:$8</definedName>
  </definedNames>
  <calcPr calcId="171027" concurrentCalc="0"/>
  <extLst>
    <ext xmlns:mx="http://schemas.microsoft.com/office/mac/excel/2008/main" uri="{7523E5D3-25F3-A5E0-1632-64F254C22452}">
      <mx:ArchID Flags="2"/>
    </ext>
  </extLst>
</workbook>
</file>

<file path=xl/calcChain.xml><?xml version="1.0" encoding="utf-8"?>
<calcChain xmlns="http://schemas.openxmlformats.org/spreadsheetml/2006/main">
  <c r="FF2" i="49" l="1"/>
  <c r="FG2" i="49"/>
  <c r="FH2" i="49"/>
  <c r="FI2" i="49"/>
  <c r="FJ2" i="49"/>
  <c r="FK2" i="49"/>
  <c r="FL2" i="49"/>
  <c r="FL5" i="49"/>
  <c r="FL6" i="49"/>
  <c r="FL7" i="49"/>
  <c r="FL8" i="49"/>
  <c r="FL9" i="49"/>
  <c r="FL10" i="49"/>
  <c r="FL11" i="49"/>
  <c r="FL12" i="49"/>
  <c r="FL13" i="49"/>
  <c r="FL14" i="49"/>
  <c r="FL15" i="49"/>
  <c r="FL16" i="49"/>
  <c r="FL17" i="49"/>
  <c r="FL18" i="49"/>
  <c r="FL19" i="49"/>
  <c r="FL20" i="49"/>
  <c r="FL21" i="49"/>
  <c r="FL22" i="49"/>
  <c r="FL23" i="49"/>
  <c r="FL24" i="49"/>
  <c r="FL25" i="49"/>
  <c r="FL26" i="49"/>
  <c r="FL27" i="49"/>
  <c r="FL28" i="49"/>
  <c r="FL29" i="49"/>
  <c r="FL30" i="49"/>
  <c r="FL31" i="49"/>
  <c r="FL32" i="49"/>
  <c r="FL33" i="49"/>
  <c r="FL34" i="49"/>
  <c r="FL35" i="49"/>
  <c r="FL36" i="49"/>
  <c r="FL37" i="49"/>
  <c r="FL38" i="49"/>
  <c r="FL39" i="49"/>
  <c r="FL40" i="49"/>
  <c r="FL41" i="49"/>
  <c r="FL42" i="49"/>
  <c r="FL43" i="49"/>
  <c r="FL44" i="49"/>
  <c r="FL45" i="49"/>
  <c r="FL46" i="49"/>
  <c r="FL47" i="49"/>
  <c r="FL48" i="49"/>
  <c r="FL49" i="49"/>
  <c r="FL50" i="49"/>
  <c r="FL51" i="49"/>
  <c r="FL52" i="49"/>
  <c r="FL53" i="49"/>
  <c r="FL54" i="49"/>
  <c r="FL55" i="49"/>
  <c r="FL56" i="49"/>
  <c r="FL57" i="49"/>
  <c r="FL58" i="49"/>
  <c r="FL59" i="49"/>
  <c r="FL60" i="49"/>
  <c r="FL61" i="49"/>
  <c r="FL62" i="49"/>
  <c r="FL63" i="49"/>
  <c r="FL64" i="49"/>
  <c r="FL65" i="49"/>
  <c r="FL66" i="49"/>
  <c r="FL67" i="49"/>
  <c r="FL68" i="49"/>
  <c r="FL69" i="49"/>
  <c r="FL70" i="49"/>
  <c r="FL71" i="49"/>
  <c r="FL72" i="49"/>
  <c r="FL73" i="49"/>
  <c r="FL74" i="49"/>
  <c r="FL75" i="49"/>
  <c r="FL76" i="49"/>
  <c r="FL77" i="49"/>
  <c r="FL78" i="49"/>
  <c r="FL79" i="49"/>
  <c r="FL80" i="49"/>
  <c r="FL81" i="49"/>
  <c r="FL82" i="49"/>
  <c r="FL83" i="49"/>
  <c r="FL84" i="49"/>
  <c r="FL85" i="49"/>
  <c r="FL86" i="49"/>
  <c r="FL87" i="49"/>
  <c r="FL88" i="49"/>
  <c r="FL89" i="49"/>
  <c r="FL90" i="49"/>
  <c r="FL91" i="49"/>
  <c r="FL92" i="49"/>
  <c r="FL93" i="49"/>
  <c r="FL94" i="49"/>
  <c r="FL95" i="49"/>
  <c r="FL96" i="49"/>
  <c r="FL97" i="49"/>
  <c r="FL98" i="49"/>
  <c r="FL99" i="49"/>
  <c r="FL100" i="49"/>
  <c r="FL101" i="49"/>
  <c r="FL102" i="49"/>
  <c r="FL103" i="49"/>
  <c r="FL104" i="49"/>
  <c r="FL105" i="49"/>
  <c r="FL106" i="49"/>
  <c r="FL107" i="49"/>
  <c r="FL108" i="49"/>
  <c r="FL109" i="49"/>
  <c r="FL110" i="49"/>
  <c r="FL111" i="49"/>
  <c r="FL112" i="49"/>
  <c r="FL113" i="49"/>
  <c r="FL114" i="49"/>
  <c r="FL115" i="49"/>
  <c r="FL116" i="49"/>
  <c r="FL117" i="49"/>
  <c r="FL118" i="49"/>
  <c r="FL119" i="49"/>
  <c r="FL120" i="49"/>
  <c r="FL121" i="49"/>
  <c r="FL122" i="49"/>
  <c r="FL123" i="49"/>
  <c r="FL124" i="49"/>
  <c r="FL125" i="49"/>
  <c r="FL126" i="49"/>
  <c r="FL127" i="49"/>
  <c r="FL128" i="49"/>
  <c r="FL129" i="49"/>
  <c r="FL130" i="49"/>
  <c r="FL131" i="49"/>
  <c r="FL132" i="49"/>
  <c r="FL133" i="49"/>
  <c r="FL134" i="49"/>
  <c r="FL135" i="49"/>
  <c r="FL136" i="49"/>
  <c r="FL137" i="49"/>
  <c r="FL138" i="49"/>
  <c r="FL139" i="49"/>
  <c r="FL140" i="49"/>
  <c r="FL141" i="49"/>
  <c r="FL142" i="49"/>
  <c r="FL143" i="49"/>
  <c r="FL144" i="49"/>
  <c r="FL145" i="49"/>
  <c r="FL146" i="49"/>
  <c r="FL147" i="49"/>
  <c r="FL148" i="49"/>
  <c r="FL149" i="49"/>
  <c r="FL150" i="49"/>
  <c r="FL151" i="49"/>
  <c r="FL152" i="49"/>
  <c r="FL153" i="49"/>
  <c r="FL154" i="49"/>
  <c r="FL155" i="49"/>
  <c r="FL156" i="49"/>
  <c r="FL157" i="49"/>
  <c r="FL158" i="49"/>
  <c r="FL159" i="49"/>
  <c r="FL160" i="49"/>
  <c r="FL161" i="49"/>
  <c r="FL162" i="49"/>
  <c r="FL163" i="49"/>
  <c r="FL164" i="49"/>
  <c r="FL165" i="49"/>
  <c r="FL166" i="49"/>
  <c r="FL167" i="49"/>
  <c r="FL168" i="49"/>
  <c r="FL169" i="49"/>
  <c r="FL170" i="49"/>
  <c r="FL171" i="49"/>
  <c r="FL172" i="49"/>
  <c r="FL173" i="49"/>
  <c r="FL174" i="49"/>
  <c r="FL175" i="49"/>
  <c r="FL176" i="49"/>
  <c r="FL177" i="49"/>
  <c r="FL178" i="49"/>
  <c r="FL179" i="49"/>
  <c r="FL180" i="49"/>
  <c r="FL181" i="49"/>
  <c r="FL182" i="49"/>
  <c r="FL183" i="49"/>
  <c r="FL184" i="49"/>
  <c r="FL185" i="49"/>
  <c r="FL186" i="49"/>
  <c r="FL187" i="49"/>
  <c r="FL188" i="49"/>
  <c r="FL189" i="49"/>
  <c r="FL190" i="49"/>
  <c r="FL191" i="49"/>
  <c r="FL192" i="49"/>
  <c r="FL193" i="49"/>
  <c r="FL194" i="49"/>
  <c r="FL195" i="49"/>
  <c r="FL196" i="49"/>
  <c r="FL197" i="49"/>
  <c r="FL198" i="49"/>
  <c r="FL199" i="49"/>
  <c r="FL200" i="49"/>
  <c r="FL201" i="49"/>
  <c r="FL202" i="49"/>
  <c r="FL203" i="49"/>
  <c r="FL204" i="49"/>
  <c r="FL205" i="49"/>
  <c r="FL206" i="49"/>
  <c r="FL207" i="49"/>
  <c r="FL208" i="49"/>
  <c r="FL209" i="49"/>
  <c r="FL210" i="49"/>
  <c r="FL211" i="49"/>
  <c r="FL212" i="49"/>
  <c r="FL213" i="49"/>
  <c r="FL214" i="49"/>
  <c r="FL215" i="49"/>
  <c r="FL216" i="49"/>
  <c r="FL217" i="49"/>
  <c r="FL218" i="49"/>
  <c r="FL219" i="49"/>
  <c r="FL220" i="49"/>
  <c r="FL221" i="49"/>
  <c r="FL222" i="49"/>
  <c r="FL223" i="49"/>
  <c r="FL224" i="49"/>
  <c r="FL225" i="49"/>
  <c r="FL226" i="49"/>
  <c r="FL227" i="49"/>
  <c r="FL228" i="49"/>
  <c r="FL229" i="49"/>
  <c r="FL230" i="49"/>
  <c r="FL231" i="49"/>
  <c r="FL232" i="49"/>
  <c r="FL233" i="49"/>
  <c r="FL234" i="49"/>
  <c r="FL235" i="49"/>
  <c r="FL236" i="49"/>
  <c r="FL237" i="49"/>
  <c r="FL238" i="49"/>
  <c r="FL239" i="49"/>
  <c r="FL240" i="49"/>
  <c r="FL241" i="49"/>
  <c r="FL242" i="49"/>
  <c r="FL243" i="49"/>
  <c r="FL244" i="49"/>
  <c r="FL245" i="49"/>
  <c r="FL246" i="49"/>
  <c r="FL247" i="49"/>
  <c r="FL248" i="49"/>
  <c r="FL249" i="49"/>
  <c r="FL250" i="49"/>
  <c r="FL251" i="49"/>
  <c r="FL252" i="49"/>
  <c r="FL253" i="49"/>
  <c r="FL254" i="49"/>
  <c r="FL255" i="49"/>
  <c r="FL256" i="49"/>
  <c r="FL257" i="49"/>
  <c r="FL258" i="49"/>
  <c r="FL259" i="49"/>
  <c r="FL260" i="49"/>
  <c r="FL261" i="49"/>
  <c r="FL262" i="49"/>
  <c r="FL263" i="49"/>
  <c r="FL264" i="49"/>
  <c r="FL265" i="49"/>
  <c r="FL266" i="49"/>
  <c r="FL267" i="49"/>
  <c r="FL268" i="49"/>
  <c r="FL269" i="49"/>
  <c r="FL270" i="49"/>
  <c r="FL271" i="49"/>
  <c r="FL272" i="49"/>
  <c r="FL273" i="49"/>
  <c r="FL274" i="49"/>
  <c r="FL275" i="49"/>
  <c r="FL276" i="49"/>
  <c r="FL277" i="49"/>
  <c r="FL278" i="49"/>
  <c r="FL279" i="49"/>
  <c r="FL280" i="49"/>
  <c r="FL281" i="49"/>
  <c r="FL282" i="49"/>
  <c r="FL283" i="49"/>
  <c r="FL284" i="49"/>
  <c r="FL285" i="49"/>
  <c r="FL286" i="49"/>
  <c r="FL287" i="49"/>
  <c r="FL288" i="49"/>
  <c r="FL289" i="49"/>
  <c r="FL290" i="49"/>
  <c r="FL291" i="49"/>
  <c r="FL292" i="49"/>
  <c r="FL293" i="49"/>
  <c r="FL294" i="49"/>
  <c r="FL295" i="49"/>
  <c r="FL296" i="49"/>
  <c r="FL297" i="49"/>
  <c r="FL298" i="49"/>
  <c r="FL299" i="49"/>
  <c r="FL300" i="49"/>
  <c r="FL301" i="49"/>
  <c r="FL302" i="49"/>
  <c r="FL303" i="49"/>
  <c r="FL304" i="49"/>
  <c r="FL305" i="49"/>
  <c r="FL306" i="49"/>
  <c r="FL307" i="49"/>
  <c r="FL308" i="49"/>
  <c r="FL309" i="49"/>
  <c r="FL310" i="49"/>
  <c r="FL311" i="49"/>
  <c r="FL312" i="49"/>
  <c r="FL313" i="49"/>
  <c r="FL314" i="49"/>
  <c r="FL315" i="49"/>
  <c r="FL316" i="49"/>
  <c r="FL317" i="49"/>
  <c r="FL318" i="49"/>
  <c r="FL319" i="49"/>
  <c r="FL320" i="49"/>
  <c r="FL321" i="49"/>
  <c r="FL322" i="49"/>
  <c r="FL323" i="49"/>
  <c r="FL324" i="49"/>
  <c r="FL325" i="49"/>
  <c r="FL326" i="49"/>
  <c r="FL327" i="49"/>
  <c r="FL328" i="49"/>
  <c r="FL329" i="49"/>
  <c r="FL330" i="49"/>
  <c r="FL331" i="49"/>
  <c r="FL332" i="49"/>
  <c r="FL333" i="49"/>
  <c r="FL334" i="49"/>
  <c r="FL335" i="49"/>
  <c r="FL336" i="49"/>
  <c r="FL337" i="49"/>
  <c r="FL338" i="49"/>
  <c r="FL339" i="49"/>
  <c r="FL340" i="49"/>
  <c r="FL341" i="49"/>
  <c r="FL342" i="49"/>
  <c r="FL343" i="49"/>
  <c r="FL344" i="49"/>
  <c r="FL345" i="49"/>
  <c r="FL346" i="49"/>
  <c r="FL347" i="49"/>
  <c r="FL348" i="49"/>
  <c r="FL349" i="49"/>
  <c r="FL350" i="49"/>
  <c r="FL351" i="49"/>
  <c r="FL352" i="49"/>
  <c r="FL353" i="49"/>
  <c r="FL354" i="49"/>
  <c r="FL355" i="49"/>
  <c r="FL356" i="49"/>
  <c r="FL357" i="49"/>
  <c r="FL358" i="49"/>
  <c r="FL359" i="49"/>
  <c r="FL360" i="49"/>
  <c r="FL361" i="49"/>
  <c r="FL362" i="49"/>
  <c r="FL363" i="49"/>
  <c r="FL364" i="49"/>
  <c r="FL365" i="49"/>
  <c r="FL366" i="49"/>
  <c r="FL367" i="49"/>
  <c r="FL368" i="49"/>
  <c r="FL369" i="49"/>
  <c r="FL370" i="49"/>
  <c r="FL371" i="49"/>
  <c r="FL372" i="49"/>
  <c r="FL373" i="49"/>
  <c r="FL374" i="49"/>
  <c r="FL375" i="49"/>
  <c r="FL376" i="49"/>
  <c r="FL377" i="49"/>
  <c r="FL378" i="49"/>
  <c r="FL379" i="49"/>
  <c r="FL380" i="49"/>
  <c r="FL381" i="49"/>
  <c r="FL382" i="49"/>
  <c r="FL383" i="49"/>
  <c r="FL384" i="49"/>
  <c r="FL385" i="49"/>
  <c r="FL386" i="49"/>
  <c r="FL387" i="49"/>
  <c r="FL388" i="49"/>
  <c r="FL389" i="49"/>
  <c r="FL390" i="49"/>
  <c r="FL391" i="49"/>
  <c r="FL392" i="49"/>
  <c r="FL393" i="49"/>
  <c r="FL394" i="49"/>
  <c r="FL395" i="49"/>
  <c r="FL396" i="49"/>
  <c r="FL397" i="49"/>
  <c r="FL398" i="49"/>
  <c r="FL399" i="49"/>
  <c r="FL400" i="49"/>
  <c r="FL401" i="49"/>
  <c r="FL402" i="49"/>
  <c r="FL403" i="49"/>
  <c r="FL404" i="49"/>
  <c r="FL405" i="49"/>
  <c r="FL406" i="49"/>
  <c r="FL407" i="49"/>
  <c r="FL408" i="49"/>
  <c r="FL409" i="49"/>
  <c r="FL410" i="49"/>
  <c r="FL411" i="49"/>
  <c r="FL412" i="49"/>
  <c r="FL413" i="49"/>
  <c r="FL414" i="49"/>
  <c r="FL415" i="49"/>
  <c r="FL416" i="49"/>
  <c r="FL417" i="49"/>
  <c r="FL418" i="49"/>
  <c r="FL419" i="49"/>
  <c r="FL420" i="49"/>
  <c r="FL421" i="49"/>
  <c r="FL422" i="49"/>
  <c r="FL423" i="49"/>
  <c r="FL424" i="49"/>
  <c r="FL425" i="49"/>
  <c r="FL426" i="49"/>
  <c r="FL427" i="49"/>
  <c r="FL428" i="49"/>
  <c r="FL429" i="49"/>
  <c r="FL430" i="49"/>
  <c r="FL431" i="49"/>
  <c r="FL432" i="49"/>
  <c r="FL433" i="49"/>
  <c r="FL434" i="49"/>
  <c r="FL435" i="49"/>
  <c r="FL436" i="49"/>
  <c r="FL437" i="49"/>
  <c r="FL438" i="49"/>
  <c r="FL439" i="49"/>
  <c r="FL440" i="49"/>
  <c r="FL441" i="49"/>
  <c r="FL442" i="49"/>
  <c r="FL443" i="49"/>
  <c r="FL444" i="49"/>
  <c r="FL445" i="49"/>
  <c r="FL446" i="49"/>
  <c r="FL447" i="49"/>
  <c r="FL448" i="49"/>
  <c r="FL449" i="49"/>
  <c r="FL450" i="49"/>
  <c r="FL451" i="49"/>
  <c r="FL452" i="49"/>
  <c r="FL453" i="49"/>
  <c r="FL454" i="49"/>
  <c r="FL455" i="49"/>
  <c r="FL456" i="49"/>
  <c r="FL457" i="49"/>
  <c r="FL458" i="49"/>
  <c r="FL459" i="49"/>
  <c r="FL460" i="49"/>
  <c r="FL461" i="49"/>
  <c r="FL462" i="49"/>
  <c r="FL463" i="49"/>
  <c r="FL464" i="49"/>
  <c r="FL465" i="49"/>
  <c r="FL466" i="49"/>
  <c r="FL467" i="49"/>
  <c r="FL468" i="49"/>
  <c r="FL469" i="49"/>
  <c r="FL470" i="49"/>
  <c r="FL471" i="49"/>
  <c r="FL472" i="49"/>
  <c r="FL473" i="49"/>
  <c r="FL474" i="49"/>
  <c r="FL475" i="49"/>
  <c r="FL476" i="49"/>
  <c r="FL477" i="49"/>
  <c r="FL478" i="49"/>
  <c r="FL479" i="49"/>
  <c r="FL480" i="49"/>
  <c r="FL481" i="49"/>
  <c r="FL482" i="49"/>
  <c r="FL483" i="49"/>
  <c r="FL484" i="49"/>
  <c r="FL485" i="49"/>
  <c r="FL486" i="49"/>
  <c r="FL487" i="49"/>
  <c r="FL488" i="49"/>
  <c r="FL489" i="49"/>
  <c r="FL490" i="49"/>
  <c r="FL491" i="49"/>
  <c r="FL492" i="49"/>
  <c r="FL493" i="49"/>
  <c r="FL494" i="49"/>
  <c r="FL495" i="49"/>
  <c r="FL496" i="49"/>
  <c r="FL500" i="49"/>
  <c r="C503" i="49"/>
  <c r="D503" i="49"/>
  <c r="E503" i="49"/>
  <c r="F503" i="49"/>
  <c r="G503" i="49"/>
  <c r="H503" i="49"/>
  <c r="I503" i="49"/>
  <c r="J503" i="49"/>
  <c r="K503" i="49"/>
  <c r="L503" i="49"/>
  <c r="M503" i="49"/>
  <c r="N503" i="49"/>
  <c r="O503" i="49"/>
  <c r="P503" i="49"/>
  <c r="Q503" i="49"/>
  <c r="R503" i="49"/>
  <c r="S503" i="49"/>
  <c r="T503" i="49"/>
  <c r="U503" i="49"/>
  <c r="V503" i="49"/>
  <c r="W503" i="49"/>
  <c r="X503" i="49"/>
  <c r="Y503" i="49"/>
  <c r="Z503" i="49"/>
  <c r="AA503" i="49"/>
  <c r="AB503" i="49"/>
  <c r="AC503" i="49"/>
  <c r="AD503" i="49"/>
  <c r="AE503" i="49"/>
  <c r="AF503" i="49"/>
  <c r="AG503" i="49"/>
  <c r="AH503" i="49"/>
  <c r="AI503" i="49"/>
  <c r="AJ503" i="49"/>
  <c r="AK503" i="49"/>
  <c r="AL503" i="49"/>
  <c r="AM503" i="49"/>
  <c r="AN503" i="49"/>
  <c r="AO503" i="49"/>
  <c r="AP503" i="49"/>
  <c r="AQ503" i="49"/>
  <c r="AR503" i="49"/>
  <c r="AS503" i="49"/>
  <c r="AT503" i="49"/>
  <c r="AU503" i="49"/>
  <c r="AV503" i="49"/>
  <c r="AW503" i="49"/>
  <c r="AX503" i="49"/>
  <c r="AY503" i="49"/>
  <c r="AZ503" i="49"/>
  <c r="BA503" i="49"/>
  <c r="BB503" i="49"/>
  <c r="BC503" i="49"/>
  <c r="BD503" i="49"/>
  <c r="BE503" i="49"/>
  <c r="BF503" i="49"/>
  <c r="BG503" i="49"/>
  <c r="BH503" i="49"/>
  <c r="BI503" i="49"/>
  <c r="BJ503" i="49"/>
  <c r="BK503" i="49"/>
  <c r="BL503" i="49"/>
  <c r="BM503" i="49"/>
  <c r="BN503" i="49"/>
  <c r="BO503" i="49"/>
  <c r="BP503" i="49"/>
  <c r="BQ503" i="49"/>
  <c r="BR503" i="49"/>
  <c r="BS503" i="49"/>
  <c r="BT503" i="49"/>
  <c r="BU503" i="49"/>
  <c r="BV503" i="49"/>
  <c r="BW503" i="49"/>
  <c r="BX503" i="49"/>
  <c r="BY503" i="49"/>
  <c r="BZ503" i="49"/>
  <c r="CA503" i="49"/>
  <c r="CB503" i="49"/>
  <c r="CC503" i="49"/>
  <c r="CD503" i="49"/>
  <c r="CE503" i="49"/>
  <c r="CF503" i="49"/>
  <c r="CG503" i="49"/>
  <c r="CH503" i="49"/>
  <c r="CI503" i="49"/>
  <c r="CJ503" i="49"/>
  <c r="CK503" i="49"/>
  <c r="CL503" i="49"/>
  <c r="CM503" i="49"/>
  <c r="CN503" i="49"/>
  <c r="CO503" i="49"/>
  <c r="CP503" i="49"/>
  <c r="CQ503" i="49"/>
  <c r="CR503" i="49"/>
  <c r="CS503" i="49"/>
  <c r="CT503" i="49"/>
  <c r="CU503" i="49"/>
  <c r="CV503" i="49"/>
  <c r="CW503" i="49"/>
  <c r="CX503" i="49"/>
  <c r="CY503" i="49"/>
  <c r="CZ503" i="49"/>
  <c r="DA503" i="49"/>
  <c r="DB503" i="49"/>
  <c r="DC503" i="49"/>
  <c r="DD503" i="49"/>
  <c r="DE503" i="49"/>
  <c r="DF503" i="49"/>
  <c r="DG503" i="49"/>
  <c r="DH503" i="49"/>
  <c r="DI503" i="49"/>
  <c r="DJ503" i="49"/>
  <c r="DK503" i="49"/>
  <c r="DL503" i="49"/>
  <c r="DM503" i="49"/>
  <c r="DN503" i="49"/>
  <c r="DO503" i="49"/>
  <c r="DP503" i="49"/>
  <c r="DQ503" i="49"/>
  <c r="DR503" i="49"/>
  <c r="DS503" i="49"/>
  <c r="DT503" i="49"/>
  <c r="DU503" i="49"/>
  <c r="DV503" i="49"/>
  <c r="DW503" i="49"/>
  <c r="DX503" i="49"/>
  <c r="DY503" i="49"/>
  <c r="DZ503" i="49"/>
  <c r="EA503" i="49"/>
  <c r="EB503" i="49"/>
  <c r="EC503" i="49"/>
  <c r="ED503" i="49"/>
  <c r="EE503" i="49"/>
  <c r="EF503" i="49"/>
  <c r="EG503" i="49"/>
  <c r="EH503" i="49"/>
  <c r="EI503" i="49"/>
  <c r="EJ503" i="49"/>
  <c r="EK503" i="49"/>
  <c r="EL503" i="49"/>
  <c r="EM503" i="49"/>
  <c r="EN503" i="49"/>
  <c r="EO503" i="49"/>
  <c r="EP503" i="49"/>
  <c r="EQ503" i="49"/>
  <c r="ER503" i="49"/>
  <c r="ES503" i="49"/>
  <c r="ET503" i="49"/>
  <c r="EU503" i="49"/>
  <c r="EV503" i="49"/>
  <c r="EW503" i="49"/>
  <c r="EX503" i="49"/>
  <c r="EY503" i="49"/>
  <c r="EZ503" i="49"/>
  <c r="FA503" i="49"/>
  <c r="FB503" i="49"/>
  <c r="FC503" i="49"/>
  <c r="FD503" i="49"/>
  <c r="FE503" i="49"/>
  <c r="FF503" i="49"/>
  <c r="FG503" i="49"/>
  <c r="FH503" i="49"/>
  <c r="FI503" i="49"/>
  <c r="FJ503" i="49"/>
  <c r="FK503" i="49"/>
  <c r="FL503" i="49"/>
  <c r="FK330" i="49"/>
  <c r="FJ330" i="49"/>
  <c r="FI330" i="49"/>
  <c r="FH330" i="49"/>
  <c r="FC330" i="49"/>
  <c r="B589" i="46"/>
  <c r="C589" i="46"/>
  <c r="D589" i="46"/>
  <c r="E589" i="46"/>
  <c r="F589" i="46"/>
  <c r="G589" i="46"/>
  <c r="H589" i="46"/>
  <c r="I589" i="46"/>
  <c r="J589" i="46"/>
  <c r="K589" i="46"/>
  <c r="L589" i="46"/>
  <c r="M589" i="46"/>
  <c r="N589" i="46"/>
  <c r="O589" i="46"/>
  <c r="P589" i="46"/>
  <c r="Q589" i="46"/>
  <c r="R589" i="46"/>
  <c r="S589" i="46"/>
  <c r="T589" i="46"/>
  <c r="U589" i="46"/>
  <c r="V589" i="46"/>
  <c r="W589" i="46"/>
  <c r="X589" i="46"/>
  <c r="Y589" i="46"/>
  <c r="Z589" i="46"/>
  <c r="AA589" i="46"/>
  <c r="AB589" i="46"/>
  <c r="AC589" i="46"/>
  <c r="AD589" i="46"/>
  <c r="AE589" i="46"/>
  <c r="AF589" i="46"/>
  <c r="AG589" i="46"/>
  <c r="AH589" i="46"/>
  <c r="AI589" i="46"/>
  <c r="AJ589" i="46"/>
  <c r="AK589" i="46"/>
  <c r="AL589" i="46"/>
  <c r="AM589" i="46"/>
  <c r="AN589" i="46"/>
  <c r="AO589" i="46"/>
  <c r="AP589" i="46"/>
  <c r="AQ589" i="46"/>
  <c r="AR589" i="46"/>
  <c r="AS589" i="46"/>
  <c r="AT589" i="46"/>
  <c r="AU589" i="46"/>
  <c r="AV589" i="46"/>
  <c r="AW589" i="46"/>
  <c r="AX589" i="46"/>
  <c r="AY589" i="46"/>
  <c r="AZ589" i="46"/>
  <c r="BA589" i="46"/>
  <c r="BB589" i="46"/>
  <c r="BC589" i="46"/>
  <c r="BD589" i="46"/>
  <c r="BE589" i="46"/>
  <c r="BF589" i="46"/>
  <c r="BG589" i="46"/>
  <c r="BH589" i="46"/>
  <c r="BI589" i="46"/>
  <c r="BJ589" i="46"/>
  <c r="BK589" i="46"/>
  <c r="BL589" i="46"/>
  <c r="BM589" i="46"/>
  <c r="BN589" i="46"/>
  <c r="BO589" i="46"/>
  <c r="BP589" i="46"/>
  <c r="BQ589" i="46"/>
  <c r="BR589" i="46"/>
  <c r="BS589" i="46"/>
  <c r="BT589" i="46"/>
  <c r="BU589" i="46"/>
  <c r="C361" i="46"/>
  <c r="B361" i="46"/>
  <c r="E5" i="51"/>
  <c r="F5" i="51"/>
  <c r="G5" i="51"/>
  <c r="H5" i="51"/>
  <c r="I5" i="51"/>
  <c r="J5" i="51"/>
  <c r="K5" i="51"/>
  <c r="M361" i="46"/>
  <c r="C362" i="46"/>
  <c r="B362" i="46"/>
  <c r="M362" i="46"/>
  <c r="C363" i="46"/>
  <c r="B363" i="46"/>
  <c r="M363" i="46"/>
  <c r="C364" i="46"/>
  <c r="B364" i="46"/>
  <c r="M364" i="46"/>
  <c r="C365" i="46"/>
  <c r="B365" i="46"/>
  <c r="M365" i="46"/>
  <c r="C366" i="46"/>
  <c r="B366" i="46"/>
  <c r="M366" i="46"/>
  <c r="C367" i="46"/>
  <c r="B367" i="46"/>
  <c r="M367" i="46"/>
  <c r="C368" i="46"/>
  <c r="B368" i="46"/>
  <c r="M368" i="46"/>
  <c r="C369" i="46"/>
  <c r="B369" i="46"/>
  <c r="M369" i="46"/>
  <c r="C370" i="46"/>
  <c r="B370" i="46"/>
  <c r="M370" i="46"/>
  <c r="C371" i="46"/>
  <c r="B371" i="46"/>
  <c r="M371" i="46"/>
  <c r="C372" i="46"/>
  <c r="B372" i="46"/>
  <c r="M372" i="46"/>
  <c r="C373" i="46"/>
  <c r="B373" i="46"/>
  <c r="M373" i="46"/>
  <c r="M383" i="46"/>
  <c r="P361" i="46"/>
  <c r="P362" i="46"/>
  <c r="P363" i="46"/>
  <c r="P364" i="46"/>
  <c r="P365" i="46"/>
  <c r="P366" i="46"/>
  <c r="P367" i="46"/>
  <c r="P368" i="46"/>
  <c r="P369" i="46"/>
  <c r="P370" i="46"/>
  <c r="P371" i="46"/>
  <c r="P372" i="46"/>
  <c r="P373" i="46"/>
  <c r="C374" i="46"/>
  <c r="P374" i="46"/>
  <c r="C375" i="46"/>
  <c r="P375" i="46"/>
  <c r="C376" i="46"/>
  <c r="P376" i="46"/>
  <c r="C378" i="46"/>
  <c r="P378" i="46"/>
  <c r="C379" i="46"/>
  <c r="P379" i="46"/>
  <c r="C380" i="46"/>
  <c r="P380" i="46"/>
  <c r="D10" i="40"/>
  <c r="P381" i="46"/>
  <c r="P383" i="46"/>
  <c r="B383" i="46"/>
  <c r="S377" i="46"/>
  <c r="R377" i="46"/>
  <c r="T377" i="46"/>
  <c r="BT377" i="46"/>
  <c r="BU377" i="46"/>
  <c r="J330" i="49"/>
  <c r="E330" i="49"/>
  <c r="BV589" i="46"/>
  <c r="BW589" i="46"/>
  <c r="BX589" i="46"/>
  <c r="BY589" i="46"/>
  <c r="BZ589" i="46"/>
  <c r="CA589" i="46"/>
  <c r="CB589" i="46"/>
  <c r="BY377" i="46"/>
  <c r="BZ377" i="46"/>
  <c r="CA377" i="46"/>
  <c r="CB377" i="46"/>
  <c r="N330" i="49"/>
  <c r="AZ330" i="49"/>
  <c r="FG330" i="49"/>
  <c r="FF330" i="49"/>
  <c r="FE330" i="49"/>
  <c r="DV330" i="49"/>
  <c r="BV377" i="46"/>
  <c r="BW377" i="46"/>
  <c r="E239" i="50"/>
  <c r="F239" i="50"/>
  <c r="G239" i="50"/>
  <c r="H239" i="50"/>
  <c r="I239" i="50"/>
  <c r="J239" i="50"/>
  <c r="K239" i="50"/>
  <c r="L239" i="50"/>
  <c r="M239" i="50"/>
  <c r="N239" i="50"/>
  <c r="X361" i="46"/>
  <c r="X362" i="46"/>
  <c r="X363" i="46"/>
  <c r="X364" i="46"/>
  <c r="X365" i="46"/>
  <c r="X366" i="46"/>
  <c r="X367" i="46"/>
  <c r="X368" i="46"/>
  <c r="X369" i="46"/>
  <c r="X370" i="46"/>
  <c r="X371" i="46"/>
  <c r="X372" i="46"/>
  <c r="X373" i="46"/>
  <c r="B374" i="46"/>
  <c r="X374" i="46"/>
  <c r="B376" i="46"/>
  <c r="X376" i="46"/>
  <c r="C377" i="46"/>
  <c r="B377" i="46"/>
  <c r="X377" i="46"/>
  <c r="B378" i="46"/>
  <c r="X378" i="46"/>
  <c r="B379" i="46"/>
  <c r="X379" i="46"/>
  <c r="B380" i="46"/>
  <c r="X380" i="46"/>
  <c r="X383" i="46"/>
  <c r="F361" i="46"/>
  <c r="F362" i="46"/>
  <c r="F363" i="46"/>
  <c r="F364" i="46"/>
  <c r="F365" i="46"/>
  <c r="F366" i="46"/>
  <c r="F367" i="46"/>
  <c r="F368" i="46"/>
  <c r="F369" i="46"/>
  <c r="F370" i="46"/>
  <c r="F371" i="46"/>
  <c r="F372" i="46"/>
  <c r="F373" i="46"/>
  <c r="F383" i="46"/>
  <c r="S374" i="46"/>
  <c r="S375" i="46"/>
  <c r="S376" i="46"/>
  <c r="S378" i="46"/>
  <c r="S379" i="46"/>
  <c r="S380" i="46"/>
  <c r="S381" i="46"/>
  <c r="S382" i="46"/>
  <c r="Q361" i="46"/>
  <c r="I361" i="46"/>
  <c r="K361" i="46"/>
  <c r="S361" i="46"/>
  <c r="Q362" i="46"/>
  <c r="I362" i="46"/>
  <c r="K362" i="46"/>
  <c r="S362" i="46"/>
  <c r="Q363" i="46"/>
  <c r="I363" i="46"/>
  <c r="K363" i="46"/>
  <c r="S363" i="46"/>
  <c r="Q364" i="46"/>
  <c r="I364" i="46"/>
  <c r="K364" i="46"/>
  <c r="S364" i="46"/>
  <c r="Q365" i="46"/>
  <c r="I365" i="46"/>
  <c r="K365" i="46"/>
  <c r="S365" i="46"/>
  <c r="Q366" i="46"/>
  <c r="I366" i="46"/>
  <c r="K366" i="46"/>
  <c r="S366" i="46"/>
  <c r="Q367" i="46"/>
  <c r="I367" i="46"/>
  <c r="K367" i="46"/>
  <c r="S367" i="46"/>
  <c r="Q368" i="46"/>
  <c r="I368" i="46"/>
  <c r="K368" i="46"/>
  <c r="S368" i="46"/>
  <c r="Q369" i="46"/>
  <c r="I369" i="46"/>
  <c r="K369" i="46"/>
  <c r="S369" i="46"/>
  <c r="Q370" i="46"/>
  <c r="I370" i="46"/>
  <c r="K370" i="46"/>
  <c r="S370" i="46"/>
  <c r="Q371" i="46"/>
  <c r="I371" i="46"/>
  <c r="K371" i="46"/>
  <c r="S371" i="46"/>
  <c r="Q372" i="46"/>
  <c r="I372" i="46"/>
  <c r="K372" i="46"/>
  <c r="S372" i="46"/>
  <c r="Q373" i="46"/>
  <c r="I373" i="46"/>
  <c r="K373" i="46"/>
  <c r="S373" i="46"/>
  <c r="S383" i="46"/>
  <c r="X384" i="46"/>
  <c r="AC377" i="46"/>
  <c r="AG377" i="46"/>
  <c r="AC374" i="46"/>
  <c r="AC375" i="46"/>
  <c r="AC376" i="46"/>
  <c r="AC378" i="46"/>
  <c r="AC379" i="46"/>
  <c r="AC380" i="46"/>
  <c r="AC381" i="46"/>
  <c r="AC382" i="46"/>
  <c r="AC361" i="46"/>
  <c r="AC362" i="46"/>
  <c r="AC363" i="46"/>
  <c r="AC364" i="46"/>
  <c r="AC365" i="46"/>
  <c r="AC366" i="46"/>
  <c r="AC367" i="46"/>
  <c r="AC368" i="46"/>
  <c r="AC369" i="46"/>
  <c r="AC370" i="46"/>
  <c r="AC371" i="46"/>
  <c r="AC372" i="46"/>
  <c r="AC373" i="46"/>
  <c r="AC383" i="46"/>
  <c r="L5" i="51"/>
  <c r="L361" i="46"/>
  <c r="L362" i="46"/>
  <c r="L363" i="46"/>
  <c r="L364" i="46"/>
  <c r="L365" i="46"/>
  <c r="L366" i="46"/>
  <c r="L367" i="46"/>
  <c r="L368" i="46"/>
  <c r="L369" i="46"/>
  <c r="L370" i="46"/>
  <c r="L371" i="46"/>
  <c r="L372" i="46"/>
  <c r="L373" i="46"/>
  <c r="L383" i="46"/>
  <c r="O374" i="46"/>
  <c r="R374" i="46"/>
  <c r="O375" i="46"/>
  <c r="R375" i="46"/>
  <c r="O376" i="46"/>
  <c r="R376" i="46"/>
  <c r="O378" i="46"/>
  <c r="R378" i="46"/>
  <c r="O379" i="46"/>
  <c r="R379" i="46"/>
  <c r="O380" i="46"/>
  <c r="R380" i="46"/>
  <c r="C10" i="40"/>
  <c r="O381" i="46"/>
  <c r="R381" i="46"/>
  <c r="R382" i="46"/>
  <c r="R361" i="46"/>
  <c r="T361" i="46"/>
  <c r="BT361" i="46"/>
  <c r="BV361" i="46"/>
  <c r="BW361" i="46"/>
  <c r="AG361" i="46"/>
  <c r="R362" i="46"/>
  <c r="T362" i="46"/>
  <c r="BT362" i="46"/>
  <c r="BV362" i="46"/>
  <c r="BW362" i="46"/>
  <c r="AG362" i="46"/>
  <c r="R363" i="46"/>
  <c r="T363" i="46"/>
  <c r="BT363" i="46"/>
  <c r="BV363" i="46"/>
  <c r="BW363" i="46"/>
  <c r="AG363" i="46"/>
  <c r="R364" i="46"/>
  <c r="T364" i="46"/>
  <c r="BT364" i="46"/>
  <c r="BV364" i="46"/>
  <c r="BW364" i="46"/>
  <c r="AG364" i="46"/>
  <c r="R365" i="46"/>
  <c r="T365" i="46"/>
  <c r="BT365" i="46"/>
  <c r="BV365" i="46"/>
  <c r="BW365" i="46"/>
  <c r="AG365" i="46"/>
  <c r="R366" i="46"/>
  <c r="T366" i="46"/>
  <c r="BT366" i="46"/>
  <c r="BV366" i="46"/>
  <c r="BW366" i="46"/>
  <c r="AG366" i="46"/>
  <c r="R367" i="46"/>
  <c r="T367" i="46"/>
  <c r="BT367" i="46"/>
  <c r="BV367" i="46"/>
  <c r="BW367" i="46"/>
  <c r="AG367" i="46"/>
  <c r="R368" i="46"/>
  <c r="T368" i="46"/>
  <c r="BT368" i="46"/>
  <c r="BV368" i="46"/>
  <c r="BW368" i="46"/>
  <c r="AG368" i="46"/>
  <c r="R369" i="46"/>
  <c r="T369" i="46"/>
  <c r="BT369" i="46"/>
  <c r="BV369" i="46"/>
  <c r="BW369" i="46"/>
  <c r="AG369" i="46"/>
  <c r="R370" i="46"/>
  <c r="T370" i="46"/>
  <c r="BT370" i="46"/>
  <c r="BV370" i="46"/>
  <c r="BW370" i="46"/>
  <c r="AG370" i="46"/>
  <c r="R371" i="46"/>
  <c r="T371" i="46"/>
  <c r="BT371" i="46"/>
  <c r="BV371" i="46"/>
  <c r="BW371" i="46"/>
  <c r="AG371" i="46"/>
  <c r="R372" i="46"/>
  <c r="T372" i="46"/>
  <c r="BT372" i="46"/>
  <c r="BV372" i="46"/>
  <c r="BW372" i="46"/>
  <c r="AG372" i="46"/>
  <c r="R373" i="46"/>
  <c r="T373" i="46"/>
  <c r="BT373" i="46"/>
  <c r="BV373" i="46"/>
  <c r="BW373" i="46"/>
  <c r="AG373" i="46"/>
  <c r="T374" i="46"/>
  <c r="BT374" i="46"/>
  <c r="BV374" i="46"/>
  <c r="BW374" i="46"/>
  <c r="AG374" i="46"/>
  <c r="T375" i="46"/>
  <c r="BT375" i="46"/>
  <c r="BV375" i="46"/>
  <c r="BW375" i="46"/>
  <c r="AG375" i="46"/>
  <c r="T376" i="46"/>
  <c r="BT376" i="46"/>
  <c r="BV376" i="46"/>
  <c r="BW376" i="46"/>
  <c r="AG376" i="46"/>
  <c r="T378" i="46"/>
  <c r="BT378" i="46"/>
  <c r="BV378" i="46"/>
  <c r="BW378" i="46"/>
  <c r="AG378" i="46"/>
  <c r="T379" i="46"/>
  <c r="BT379" i="46"/>
  <c r="BV379" i="46"/>
  <c r="BW379" i="46"/>
  <c r="AG379" i="46"/>
  <c r="T380" i="46"/>
  <c r="BT380" i="46"/>
  <c r="BV380" i="46"/>
  <c r="BW380" i="46"/>
  <c r="AG380" i="46"/>
  <c r="T381" i="46"/>
  <c r="BT381" i="46"/>
  <c r="BV381" i="46"/>
  <c r="BW381" i="46"/>
  <c r="AG381" i="46"/>
  <c r="AG383" i="46"/>
  <c r="AG384" i="46"/>
  <c r="AK377" i="46"/>
  <c r="S330" i="49"/>
  <c r="CS330" i="49"/>
  <c r="W361" i="46"/>
  <c r="W362" i="46"/>
  <c r="W363" i="46"/>
  <c r="W364" i="46"/>
  <c r="W365" i="46"/>
  <c r="W366" i="46"/>
  <c r="W367" i="46"/>
  <c r="W368" i="46"/>
  <c r="W369" i="46"/>
  <c r="W370" i="46"/>
  <c r="W371" i="46"/>
  <c r="W372" i="46"/>
  <c r="W373" i="46"/>
  <c r="W374" i="46"/>
  <c r="W376" i="46"/>
  <c r="W377" i="46"/>
  <c r="W378" i="46"/>
  <c r="W379" i="46"/>
  <c r="W380" i="46"/>
  <c r="W383" i="46"/>
  <c r="W384" i="46"/>
  <c r="AB377" i="46"/>
  <c r="AF377" i="46"/>
  <c r="AB374" i="46"/>
  <c r="AB375" i="46"/>
  <c r="AB376" i="46"/>
  <c r="AB378" i="46"/>
  <c r="AB379" i="46"/>
  <c r="AB380" i="46"/>
  <c r="AB381" i="46"/>
  <c r="AB382" i="46"/>
  <c r="AB361" i="46"/>
  <c r="AB362" i="46"/>
  <c r="AB363" i="46"/>
  <c r="AB364" i="46"/>
  <c r="AB365" i="46"/>
  <c r="AB366" i="46"/>
  <c r="AB367" i="46"/>
  <c r="AB368" i="46"/>
  <c r="AB369" i="46"/>
  <c r="AB370" i="46"/>
  <c r="AB371" i="46"/>
  <c r="AB372" i="46"/>
  <c r="AB373" i="46"/>
  <c r="AB383" i="46"/>
  <c r="AF361" i="46"/>
  <c r="AF362" i="46"/>
  <c r="AF363" i="46"/>
  <c r="AF364" i="46"/>
  <c r="AF365" i="46"/>
  <c r="AF366" i="46"/>
  <c r="AF367" i="46"/>
  <c r="AF368" i="46"/>
  <c r="AF369" i="46"/>
  <c r="AF370" i="46"/>
  <c r="AF371" i="46"/>
  <c r="AF372" i="46"/>
  <c r="AF373" i="46"/>
  <c r="AF374" i="46"/>
  <c r="AF375" i="46"/>
  <c r="AF376" i="46"/>
  <c r="AF378" i="46"/>
  <c r="AF379" i="46"/>
  <c r="AF380" i="46"/>
  <c r="AF381" i="46"/>
  <c r="AF383" i="46"/>
  <c r="AF384" i="46"/>
  <c r="AJ377" i="46"/>
  <c r="R330" i="49"/>
  <c r="BV330" i="49"/>
  <c r="V361" i="46"/>
  <c r="V362" i="46"/>
  <c r="V363" i="46"/>
  <c r="V364" i="46"/>
  <c r="V365" i="46"/>
  <c r="V366" i="46"/>
  <c r="V367" i="46"/>
  <c r="V368" i="46"/>
  <c r="V369" i="46"/>
  <c r="V370" i="46"/>
  <c r="V371" i="46"/>
  <c r="V372" i="46"/>
  <c r="V373" i="46"/>
  <c r="V374" i="46"/>
  <c r="V376" i="46"/>
  <c r="V377" i="46"/>
  <c r="V378" i="46"/>
  <c r="V379" i="46"/>
  <c r="V380" i="46"/>
  <c r="V383" i="46"/>
  <c r="V384" i="46"/>
  <c r="AA377" i="46"/>
  <c r="AE377" i="46"/>
  <c r="AA374" i="46"/>
  <c r="AA375" i="46"/>
  <c r="AA376" i="46"/>
  <c r="AA378" i="46"/>
  <c r="AA379" i="46"/>
  <c r="AA380" i="46"/>
  <c r="AA381" i="46"/>
  <c r="AA382" i="46"/>
  <c r="AA361" i="46"/>
  <c r="AA362" i="46"/>
  <c r="AA363" i="46"/>
  <c r="AA364" i="46"/>
  <c r="AA365" i="46"/>
  <c r="AA366" i="46"/>
  <c r="AA367" i="46"/>
  <c r="AA368" i="46"/>
  <c r="AA369" i="46"/>
  <c r="AA370" i="46"/>
  <c r="AA371" i="46"/>
  <c r="AA372" i="46"/>
  <c r="AA373" i="46"/>
  <c r="AA383" i="46"/>
  <c r="BU361" i="46"/>
  <c r="AE361" i="46"/>
  <c r="BU362" i="46"/>
  <c r="AE362" i="46"/>
  <c r="BU363" i="46"/>
  <c r="AE363" i="46"/>
  <c r="BU364" i="46"/>
  <c r="AE364" i="46"/>
  <c r="BU365" i="46"/>
  <c r="AE365" i="46"/>
  <c r="BU366" i="46"/>
  <c r="AE366" i="46"/>
  <c r="BU367" i="46"/>
  <c r="AE367" i="46"/>
  <c r="BU368" i="46"/>
  <c r="AE368" i="46"/>
  <c r="BU369" i="46"/>
  <c r="AE369" i="46"/>
  <c r="BU370" i="46"/>
  <c r="AE370" i="46"/>
  <c r="BU371" i="46"/>
  <c r="AE371" i="46"/>
  <c r="BU372" i="46"/>
  <c r="AE372" i="46"/>
  <c r="BU373" i="46"/>
  <c r="AE373" i="46"/>
  <c r="BU374" i="46"/>
  <c r="AE374" i="46"/>
  <c r="BU375" i="46"/>
  <c r="AE375" i="46"/>
  <c r="BU376" i="46"/>
  <c r="AE376" i="46"/>
  <c r="BU378" i="46"/>
  <c r="AE378" i="46"/>
  <c r="BU379" i="46"/>
  <c r="AE379" i="46"/>
  <c r="BU380" i="46"/>
  <c r="AE380" i="46"/>
  <c r="BU381" i="46"/>
  <c r="AE381" i="46"/>
  <c r="AE383" i="46"/>
  <c r="AE384" i="46"/>
  <c r="AI377" i="46"/>
  <c r="Q330" i="49"/>
  <c r="AY330" i="49"/>
  <c r="U361" i="46"/>
  <c r="U362" i="46"/>
  <c r="U363" i="46"/>
  <c r="U364" i="46"/>
  <c r="U365" i="46"/>
  <c r="U366" i="46"/>
  <c r="U367" i="46"/>
  <c r="U368" i="46"/>
  <c r="U369" i="46"/>
  <c r="U370" i="46"/>
  <c r="U371" i="46"/>
  <c r="U372" i="46"/>
  <c r="U373" i="46"/>
  <c r="U374" i="46"/>
  <c r="U376" i="46"/>
  <c r="U377" i="46"/>
  <c r="U378" i="46"/>
  <c r="U379" i="46"/>
  <c r="U380" i="46"/>
  <c r="U383" i="46"/>
  <c r="U384" i="46"/>
  <c r="Z377" i="46"/>
  <c r="AD377" i="46"/>
  <c r="Z374" i="46"/>
  <c r="Z375" i="46"/>
  <c r="Z376" i="46"/>
  <c r="Z378" i="46"/>
  <c r="Z379" i="46"/>
  <c r="Z380" i="46"/>
  <c r="Z381" i="46"/>
  <c r="Z382" i="46"/>
  <c r="Z361" i="46"/>
  <c r="Z362" i="46"/>
  <c r="Z363" i="46"/>
  <c r="Z364" i="46"/>
  <c r="Z365" i="46"/>
  <c r="Z366" i="46"/>
  <c r="Z367" i="46"/>
  <c r="Z368" i="46"/>
  <c r="Z369" i="46"/>
  <c r="Z370" i="46"/>
  <c r="Z371" i="46"/>
  <c r="Z372" i="46"/>
  <c r="Z373" i="46"/>
  <c r="Z383" i="46"/>
  <c r="AD361" i="46"/>
  <c r="AD362" i="46"/>
  <c r="AD363" i="46"/>
  <c r="AD364" i="46"/>
  <c r="AD365" i="46"/>
  <c r="AD366" i="46"/>
  <c r="AD367" i="46"/>
  <c r="AD368" i="46"/>
  <c r="AD369" i="46"/>
  <c r="AD370" i="46"/>
  <c r="AD371" i="46"/>
  <c r="AD372" i="46"/>
  <c r="AD373" i="46"/>
  <c r="AD374" i="46"/>
  <c r="AD375" i="46"/>
  <c r="AD376" i="46"/>
  <c r="AD378" i="46"/>
  <c r="AD379" i="46"/>
  <c r="AD380" i="46"/>
  <c r="AD381" i="46"/>
  <c r="AD383" i="46"/>
  <c r="AD384" i="46"/>
  <c r="AH377" i="46"/>
  <c r="P330" i="49"/>
  <c r="T330" i="49"/>
  <c r="L330" i="49"/>
  <c r="K330" i="49"/>
  <c r="F330" i="49"/>
  <c r="BW330" i="49"/>
  <c r="I330" i="49"/>
  <c r="H330" i="49"/>
  <c r="G330" i="49"/>
  <c r="D330" i="49"/>
  <c r="CD7" i="46"/>
  <c r="CD8" i="46"/>
  <c r="CD9" i="46"/>
  <c r="CD10" i="46"/>
  <c r="CD11" i="46"/>
  <c r="CD12" i="46"/>
  <c r="CD13" i="46"/>
  <c r="CD14" i="46"/>
  <c r="CD15" i="46"/>
  <c r="CD16" i="46"/>
  <c r="CD17" i="46"/>
  <c r="CD18" i="46"/>
  <c r="CD19" i="46"/>
  <c r="CD20" i="46"/>
  <c r="CD21" i="46"/>
  <c r="CD22" i="46"/>
  <c r="CD23" i="46"/>
  <c r="CD24" i="46"/>
  <c r="CD25" i="46"/>
  <c r="CD26" i="46"/>
  <c r="CD27" i="46"/>
  <c r="CD28" i="46"/>
  <c r="CD29" i="46"/>
  <c r="CD30" i="46"/>
  <c r="CD31" i="46"/>
  <c r="CD32" i="46"/>
  <c r="CD33" i="46"/>
  <c r="CD34" i="46"/>
  <c r="CD35" i="46"/>
  <c r="CD36" i="46"/>
  <c r="CD37" i="46"/>
  <c r="CD38" i="46"/>
  <c r="CD39" i="46"/>
  <c r="CD40" i="46"/>
  <c r="CD41" i="46"/>
  <c r="CD42" i="46"/>
  <c r="CD43" i="46"/>
  <c r="CD44" i="46"/>
  <c r="CD45" i="46"/>
  <c r="CD46" i="46"/>
  <c r="CD47" i="46"/>
  <c r="CD48" i="46"/>
  <c r="CD49" i="46"/>
  <c r="CD50" i="46"/>
  <c r="CD51" i="46"/>
  <c r="CD52" i="46"/>
  <c r="CD53" i="46"/>
  <c r="CD54" i="46"/>
  <c r="CD55" i="46"/>
  <c r="CD56" i="46"/>
  <c r="CD57" i="46"/>
  <c r="CD58" i="46"/>
  <c r="CD59" i="46"/>
  <c r="CD60" i="46"/>
  <c r="CD61" i="46"/>
  <c r="CD62" i="46"/>
  <c r="CD63" i="46"/>
  <c r="CD64" i="46"/>
  <c r="CD65" i="46"/>
  <c r="CD66" i="46"/>
  <c r="CD67" i="46"/>
  <c r="CD68" i="46"/>
  <c r="CD69" i="46"/>
  <c r="CD70" i="46"/>
  <c r="CD71" i="46"/>
  <c r="CD72" i="46"/>
  <c r="CD73" i="46"/>
  <c r="CD74" i="46"/>
  <c r="CD75" i="46"/>
  <c r="CD76" i="46"/>
  <c r="CD77" i="46"/>
  <c r="CD78" i="46"/>
  <c r="CD79" i="46"/>
  <c r="CD80" i="46"/>
  <c r="CD81" i="46"/>
  <c r="CD82" i="46"/>
  <c r="CD83" i="46"/>
  <c r="CD84" i="46"/>
  <c r="CD85" i="46"/>
  <c r="CD86" i="46"/>
  <c r="CD87" i="46"/>
  <c r="CD88" i="46"/>
  <c r="CD89" i="46"/>
  <c r="CD90" i="46"/>
  <c r="CD91" i="46"/>
  <c r="CD92" i="46"/>
  <c r="CD93" i="46"/>
  <c r="CD94" i="46"/>
  <c r="CD95" i="46"/>
  <c r="CD96" i="46"/>
  <c r="CD97" i="46"/>
  <c r="CD98" i="46"/>
  <c r="CD99" i="46"/>
  <c r="CD100" i="46"/>
  <c r="CD101" i="46"/>
  <c r="CD102" i="46"/>
  <c r="CD103" i="46"/>
  <c r="CD104" i="46"/>
  <c r="CD105" i="46"/>
  <c r="CD106" i="46"/>
  <c r="CD107" i="46"/>
  <c r="CD108" i="46"/>
  <c r="CD109" i="46"/>
  <c r="CD110" i="46"/>
  <c r="CD111" i="46"/>
  <c r="CD112" i="46"/>
  <c r="CD113" i="46"/>
  <c r="CD114" i="46"/>
  <c r="CD115" i="46"/>
  <c r="CD116" i="46"/>
  <c r="CD117" i="46"/>
  <c r="CD118" i="46"/>
  <c r="CD119" i="46"/>
  <c r="CD120" i="46"/>
  <c r="CD121" i="46"/>
  <c r="CD122" i="46"/>
  <c r="CD123" i="46"/>
  <c r="CD124" i="46"/>
  <c r="CD125" i="46"/>
  <c r="CD126" i="46"/>
  <c r="CD127" i="46"/>
  <c r="CD128" i="46"/>
  <c r="CD129" i="46"/>
  <c r="CD130" i="46"/>
  <c r="CD131" i="46"/>
  <c r="CD132" i="46"/>
  <c r="CD133" i="46"/>
  <c r="CD134" i="46"/>
  <c r="CD135" i="46"/>
  <c r="CD136" i="46"/>
  <c r="CD137" i="46"/>
  <c r="CD138" i="46"/>
  <c r="CD139" i="46"/>
  <c r="CD140" i="46"/>
  <c r="CD141" i="46"/>
  <c r="CD142" i="46"/>
  <c r="CD143" i="46"/>
  <c r="CD144" i="46"/>
  <c r="CD145" i="46"/>
  <c r="CD146" i="46"/>
  <c r="CD147" i="46"/>
  <c r="CD148" i="46"/>
  <c r="CD149" i="46"/>
  <c r="CD150" i="46"/>
  <c r="CD151" i="46"/>
  <c r="CD152" i="46"/>
  <c r="CD153" i="46"/>
  <c r="CD154" i="46"/>
  <c r="CD155" i="46"/>
  <c r="CD156" i="46"/>
  <c r="CD157" i="46"/>
  <c r="CD158" i="46"/>
  <c r="CD159" i="46"/>
  <c r="CD160" i="46"/>
  <c r="CD161" i="46"/>
  <c r="CD162" i="46"/>
  <c r="CD163" i="46"/>
  <c r="CD164" i="46"/>
  <c r="CD165" i="46"/>
  <c r="CD166" i="46"/>
  <c r="CD167" i="46"/>
  <c r="CD168" i="46"/>
  <c r="CD169" i="46"/>
  <c r="CD170" i="46"/>
  <c r="CD171" i="46"/>
  <c r="CD172" i="46"/>
  <c r="CD173" i="46"/>
  <c r="CD174" i="46"/>
  <c r="CD175" i="46"/>
  <c r="CD176" i="46"/>
  <c r="CD177" i="46"/>
  <c r="CD178" i="46"/>
  <c r="CD179" i="46"/>
  <c r="CD180" i="46"/>
  <c r="CD181" i="46"/>
  <c r="CD182" i="46"/>
  <c r="CD183" i="46"/>
  <c r="CD184" i="46"/>
  <c r="CD185" i="46"/>
  <c r="CD186" i="46"/>
  <c r="CD187" i="46"/>
  <c r="CD188" i="46"/>
  <c r="CD189" i="46"/>
  <c r="CD190" i="46"/>
  <c r="CD191" i="46"/>
  <c r="CD192" i="46"/>
  <c r="CD193" i="46"/>
  <c r="CD194" i="46"/>
  <c r="CD195" i="46"/>
  <c r="CD196" i="46"/>
  <c r="CD197" i="46"/>
  <c r="CD198" i="46"/>
  <c r="CD199" i="46"/>
  <c r="CD200" i="46"/>
  <c r="CD201" i="46"/>
  <c r="CD202" i="46"/>
  <c r="CD203" i="46"/>
  <c r="CD204" i="46"/>
  <c r="CD205" i="46"/>
  <c r="CD206" i="46"/>
  <c r="CD207" i="46"/>
  <c r="CD208" i="46"/>
  <c r="CD209" i="46"/>
  <c r="CD210" i="46"/>
  <c r="CD211" i="46"/>
  <c r="CD212" i="46"/>
  <c r="CD213" i="46"/>
  <c r="CD214" i="46"/>
  <c r="CD215" i="46"/>
  <c r="CD216" i="46"/>
  <c r="CD217" i="46"/>
  <c r="CD218" i="46"/>
  <c r="CD219" i="46"/>
  <c r="CD220" i="46"/>
  <c r="CD221" i="46"/>
  <c r="CD222" i="46"/>
  <c r="CD223" i="46"/>
  <c r="CD224" i="46"/>
  <c r="CD225" i="46"/>
  <c r="CD226" i="46"/>
  <c r="CD227" i="46"/>
  <c r="CD228" i="46"/>
  <c r="CD229" i="46"/>
  <c r="CD230" i="46"/>
  <c r="CD231" i="46"/>
  <c r="CD232" i="46"/>
  <c r="CD233" i="46"/>
  <c r="CD234" i="46"/>
  <c r="CD235" i="46"/>
  <c r="CD236" i="46"/>
  <c r="CD237" i="46"/>
  <c r="CD238" i="46"/>
  <c r="CD239" i="46"/>
  <c r="CD240" i="46"/>
  <c r="CD241" i="46"/>
  <c r="CD242" i="46"/>
  <c r="CD243" i="46"/>
  <c r="CD244" i="46"/>
  <c r="CD245" i="46"/>
  <c r="CD246" i="46"/>
  <c r="CD247" i="46"/>
  <c r="CD248" i="46"/>
  <c r="CD249" i="46"/>
  <c r="CD250" i="46"/>
  <c r="CD251" i="46"/>
  <c r="CD252" i="46"/>
  <c r="CD253" i="46"/>
  <c r="CD254" i="46"/>
  <c r="CD255" i="46"/>
  <c r="CD256" i="46"/>
  <c r="CD257" i="46"/>
  <c r="CD258" i="46"/>
  <c r="CD259" i="46"/>
  <c r="CD260" i="46"/>
  <c r="CD261" i="46"/>
  <c r="CD262" i="46"/>
  <c r="CD263" i="46"/>
  <c r="CD264" i="46"/>
  <c r="CD265" i="46"/>
  <c r="CD266" i="46"/>
  <c r="CD267" i="46"/>
  <c r="CD268" i="46"/>
  <c r="CD269" i="46"/>
  <c r="CD270" i="46"/>
  <c r="CD271" i="46"/>
  <c r="CD272" i="46"/>
  <c r="CD273" i="46"/>
  <c r="CD274" i="46"/>
  <c r="CD275" i="46"/>
  <c r="CD276" i="46"/>
  <c r="CD277" i="46"/>
  <c r="CD278" i="46"/>
  <c r="CD279" i="46"/>
  <c r="CD280" i="46"/>
  <c r="CD281" i="46"/>
  <c r="CD282" i="46"/>
  <c r="CD283" i="46"/>
  <c r="CD284" i="46"/>
  <c r="CD285" i="46"/>
  <c r="CD286" i="46"/>
  <c r="CD287" i="46"/>
  <c r="CD288" i="46"/>
  <c r="CD289" i="46"/>
  <c r="CD290" i="46"/>
  <c r="CD291" i="46"/>
  <c r="CD292" i="46"/>
  <c r="CD293" i="46"/>
  <c r="CD294" i="46"/>
  <c r="CD295" i="46"/>
  <c r="CD296" i="46"/>
  <c r="CD297" i="46"/>
  <c r="CD298" i="46"/>
  <c r="CD299" i="46"/>
  <c r="CD300" i="46"/>
  <c r="CD301" i="46"/>
  <c r="CD302" i="46"/>
  <c r="CD303" i="46"/>
  <c r="CD304" i="46"/>
  <c r="CD305" i="46"/>
  <c r="CD306" i="46"/>
  <c r="CD307" i="46"/>
  <c r="CD308" i="46"/>
  <c r="CD309" i="46"/>
  <c r="CD310" i="46"/>
  <c r="CD311" i="46"/>
  <c r="CD312" i="46"/>
  <c r="CD313" i="46"/>
  <c r="CD314" i="46"/>
  <c r="CD315" i="46"/>
  <c r="CD316" i="46"/>
  <c r="CD317" i="46"/>
  <c r="CD318" i="46"/>
  <c r="CD321" i="46"/>
  <c r="CD322" i="46"/>
  <c r="CD323" i="46"/>
  <c r="CD324" i="46"/>
  <c r="CD325" i="46"/>
  <c r="CD326" i="46"/>
  <c r="CD327" i="46"/>
  <c r="CD328" i="46"/>
  <c r="CD329" i="46"/>
  <c r="CD330" i="46"/>
  <c r="CD331" i="46"/>
  <c r="CD332" i="46"/>
  <c r="CD333" i="46"/>
  <c r="CD334" i="46"/>
  <c r="CD335" i="46"/>
  <c r="CD336" i="46"/>
  <c r="CD337" i="46"/>
  <c r="CD338" i="46"/>
  <c r="CD339" i="46"/>
  <c r="CD340" i="46"/>
  <c r="CD341" i="46"/>
  <c r="CD342" i="46"/>
  <c r="CD343" i="46"/>
  <c r="CD344" i="46"/>
  <c r="CD345" i="46"/>
  <c r="CD346" i="46"/>
  <c r="CD347" i="46"/>
  <c r="CD348" i="46"/>
  <c r="CD349" i="46"/>
  <c r="CD350" i="46"/>
  <c r="CD351" i="46"/>
  <c r="CD352" i="46"/>
  <c r="CD353" i="46"/>
  <c r="CD354" i="46"/>
  <c r="CD355" i="46"/>
  <c r="CD356" i="46"/>
  <c r="CD357" i="46"/>
  <c r="CD358" i="46"/>
  <c r="CD359" i="46"/>
  <c r="CD360" i="46"/>
  <c r="CD361" i="46"/>
  <c r="CD362" i="46"/>
  <c r="CD363" i="46"/>
  <c r="CD364" i="46"/>
  <c r="CD365" i="46"/>
  <c r="CD366" i="46"/>
  <c r="CD367" i="46"/>
  <c r="CD368" i="46"/>
  <c r="CD369" i="46"/>
  <c r="CD370" i="46"/>
  <c r="CD371" i="46"/>
  <c r="CD372" i="46"/>
  <c r="CD373" i="46"/>
  <c r="CD374" i="46"/>
  <c r="CD375" i="46"/>
  <c r="CD376" i="46"/>
  <c r="CD377" i="46"/>
  <c r="BQ377" i="46"/>
  <c r="AZ375" i="1"/>
  <c r="BE377" i="46"/>
  <c r="BL377" i="46"/>
  <c r="BI377" i="46"/>
  <c r="BF377" i="46"/>
  <c r="AT377" i="46"/>
  <c r="Y377" i="46"/>
  <c r="C5" i="55"/>
  <c r="H205" i="49"/>
  <c r="G205" i="49"/>
  <c r="F205" i="49"/>
  <c r="E205" i="49"/>
  <c r="C4" i="55"/>
  <c r="H204" i="49"/>
  <c r="G204" i="49"/>
  <c r="F204" i="49"/>
  <c r="E204" i="49"/>
  <c r="C3" i="55"/>
  <c r="H203" i="49"/>
  <c r="G203" i="49"/>
  <c r="F203" i="49"/>
  <c r="E203" i="49"/>
  <c r="D205" i="49"/>
  <c r="D204" i="49"/>
  <c r="D203" i="49"/>
  <c r="FK204" i="49"/>
  <c r="FJ204" i="49"/>
  <c r="FI204" i="49"/>
  <c r="FH204" i="49"/>
  <c r="FG204" i="49"/>
  <c r="FF204" i="49"/>
  <c r="FE204" i="49"/>
  <c r="DV204" i="49"/>
  <c r="FK203" i="49"/>
  <c r="FJ203" i="49"/>
  <c r="FI203" i="49"/>
  <c r="FH203" i="49"/>
  <c r="FG203" i="49"/>
  <c r="FF203" i="49"/>
  <c r="FE203" i="49"/>
  <c r="DV203" i="49"/>
  <c r="O321" i="46"/>
  <c r="O320" i="46"/>
  <c r="O319" i="46"/>
  <c r="E4" i="55"/>
  <c r="D5" i="55"/>
  <c r="E3" i="55"/>
  <c r="C2" i="55"/>
  <c r="BA330" i="49"/>
  <c r="AB330" i="49"/>
  <c r="CT330" i="49"/>
  <c r="CU330" i="49"/>
  <c r="BX330" i="49"/>
  <c r="AC330" i="49"/>
  <c r="AD330" i="49"/>
  <c r="FC204" i="49"/>
  <c r="FC203" i="49"/>
  <c r="E5" i="55"/>
  <c r="D3" i="55"/>
  <c r="D4" i="55"/>
  <c r="CV330" i="49"/>
  <c r="AE330" i="49"/>
  <c r="BB330" i="49"/>
  <c r="BY330" i="49"/>
  <c r="BQ320" i="46"/>
  <c r="BI320" i="46"/>
  <c r="AZ318" i="1"/>
  <c r="BE320" i="46"/>
  <c r="AT320" i="46"/>
  <c r="C320" i="46"/>
  <c r="B320" i="46"/>
  <c r="BQ319" i="46"/>
  <c r="BI319" i="46"/>
  <c r="BE319" i="46"/>
  <c r="AT319" i="46"/>
  <c r="C319" i="46"/>
  <c r="B319" i="46"/>
  <c r="R319" i="46"/>
  <c r="R320" i="46"/>
  <c r="AX17" i="46"/>
  <c r="AX43" i="46"/>
  <c r="AX48" i="46"/>
  <c r="AX61" i="46"/>
  <c r="AX66" i="46"/>
  <c r="AX79" i="46"/>
  <c r="AX81" i="46"/>
  <c r="AX95" i="46"/>
  <c r="AX104" i="46"/>
  <c r="AX115" i="46"/>
  <c r="AX175" i="46"/>
  <c r="AX356" i="46"/>
  <c r="AX381" i="46"/>
  <c r="AX397" i="46"/>
  <c r="AX401" i="46"/>
  <c r="AX422" i="46"/>
  <c r="AX463" i="46"/>
  <c r="AX498" i="46"/>
  <c r="AX509" i="46"/>
  <c r="AX511" i="46"/>
  <c r="AX555" i="46"/>
  <c r="AX573" i="46"/>
  <c r="AN17" i="46"/>
  <c r="AO17" i="46"/>
  <c r="AP17" i="46"/>
  <c r="AQ17" i="46"/>
  <c r="AN43" i="46"/>
  <c r="AO43" i="46"/>
  <c r="AP43" i="46"/>
  <c r="AQ43" i="46"/>
  <c r="AN48" i="46"/>
  <c r="AO48" i="46"/>
  <c r="AP48" i="46"/>
  <c r="AQ48" i="46"/>
  <c r="AN61" i="46"/>
  <c r="AO61" i="46"/>
  <c r="AP61" i="46"/>
  <c r="AQ61" i="46"/>
  <c r="AN66" i="46"/>
  <c r="AO66" i="46"/>
  <c r="AP66" i="46"/>
  <c r="AQ66" i="46"/>
  <c r="AN79" i="46"/>
  <c r="AO79" i="46"/>
  <c r="AP79" i="46"/>
  <c r="AQ79" i="46"/>
  <c r="AN81" i="46"/>
  <c r="AO81" i="46"/>
  <c r="AP81" i="46"/>
  <c r="AQ81" i="46"/>
  <c r="AN95" i="46"/>
  <c r="AO95" i="46"/>
  <c r="AP95" i="46"/>
  <c r="AQ95" i="46"/>
  <c r="AN104" i="46"/>
  <c r="AO104" i="46"/>
  <c r="AP104" i="46"/>
  <c r="AQ104" i="46"/>
  <c r="AN115" i="46"/>
  <c r="AO115" i="46"/>
  <c r="AP115" i="46"/>
  <c r="AQ115" i="46"/>
  <c r="AN175" i="46"/>
  <c r="AO175" i="46"/>
  <c r="AP175" i="46"/>
  <c r="AQ175" i="46"/>
  <c r="AN356" i="46"/>
  <c r="AO356" i="46"/>
  <c r="AP356" i="46"/>
  <c r="AQ356" i="46"/>
  <c r="AN381" i="46"/>
  <c r="AO381" i="46"/>
  <c r="AP381" i="46"/>
  <c r="AQ381" i="46"/>
  <c r="AN397" i="46"/>
  <c r="AO397" i="46"/>
  <c r="AP397" i="46"/>
  <c r="AQ397" i="46"/>
  <c r="AN401" i="46"/>
  <c r="AO401" i="46"/>
  <c r="AP401" i="46"/>
  <c r="AQ401" i="46"/>
  <c r="AN422" i="46"/>
  <c r="AO422" i="46"/>
  <c r="AP422" i="46"/>
  <c r="AQ422" i="46"/>
  <c r="AN463" i="46"/>
  <c r="AO463" i="46"/>
  <c r="AP463" i="46"/>
  <c r="AQ463" i="46"/>
  <c r="AN498" i="46"/>
  <c r="AO498" i="46"/>
  <c r="AP498" i="46"/>
  <c r="AQ498" i="46"/>
  <c r="AN509" i="46"/>
  <c r="AO509" i="46"/>
  <c r="AP509" i="46"/>
  <c r="AQ509" i="46"/>
  <c r="AN511" i="46"/>
  <c r="AO511" i="46"/>
  <c r="AP511" i="46"/>
  <c r="AQ511" i="46"/>
  <c r="AN555" i="46"/>
  <c r="AO555" i="46"/>
  <c r="AP555" i="46"/>
  <c r="AQ555" i="46"/>
  <c r="AN573" i="46"/>
  <c r="AO573" i="46"/>
  <c r="AP573" i="46"/>
  <c r="AQ573" i="46"/>
  <c r="AW17" i="46"/>
  <c r="AW43" i="46"/>
  <c r="AW48" i="46"/>
  <c r="AW61" i="46"/>
  <c r="AW66" i="46"/>
  <c r="AW79" i="46"/>
  <c r="AW81" i="46"/>
  <c r="AW95" i="46"/>
  <c r="AW104" i="46"/>
  <c r="AW115" i="46"/>
  <c r="AW175" i="46"/>
  <c r="AW356" i="46"/>
  <c r="AW381" i="46"/>
  <c r="AW397" i="46"/>
  <c r="AW401" i="46"/>
  <c r="AW422" i="46"/>
  <c r="AW463" i="46"/>
  <c r="AW498" i="46"/>
  <c r="AW509" i="46"/>
  <c r="AW511" i="46"/>
  <c r="AW555" i="46"/>
  <c r="AW573" i="46"/>
  <c r="I498" i="49"/>
  <c r="N498" i="49"/>
  <c r="J498" i="49"/>
  <c r="K498" i="49"/>
  <c r="L498" i="49"/>
  <c r="D318" i="49"/>
  <c r="E318" i="49"/>
  <c r="E319" i="49"/>
  <c r="E320" i="49"/>
  <c r="F318" i="49"/>
  <c r="G318" i="49"/>
  <c r="BU497" i="49"/>
  <c r="BU495" i="49"/>
  <c r="DV318" i="49"/>
  <c r="DV319" i="49"/>
  <c r="DV320" i="49"/>
  <c r="DV488" i="49"/>
  <c r="DV490" i="49"/>
  <c r="AT580" i="46"/>
  <c r="AT578" i="46"/>
  <c r="D5" i="49"/>
  <c r="D6" i="49"/>
  <c r="D7" i="49"/>
  <c r="D8" i="49"/>
  <c r="D9" i="49"/>
  <c r="D10" i="49"/>
  <c r="D11" i="49"/>
  <c r="D12" i="49"/>
  <c r="D13" i="49"/>
  <c r="D14" i="49"/>
  <c r="D15" i="49"/>
  <c r="D16" i="49"/>
  <c r="D17" i="49"/>
  <c r="D18" i="49"/>
  <c r="D19" i="49"/>
  <c r="D20" i="49"/>
  <c r="D21" i="49"/>
  <c r="D22" i="49"/>
  <c r="D23" i="49"/>
  <c r="D24" i="49"/>
  <c r="D25" i="49"/>
  <c r="D26" i="49"/>
  <c r="D27" i="49"/>
  <c r="D30" i="49"/>
  <c r="D31" i="49"/>
  <c r="D32" i="49"/>
  <c r="D33" i="49"/>
  <c r="D34" i="49"/>
  <c r="D35" i="49"/>
  <c r="D36" i="49"/>
  <c r="D37" i="49"/>
  <c r="D38" i="49"/>
  <c r="D39" i="49"/>
  <c r="D40" i="49"/>
  <c r="D41" i="49"/>
  <c r="D42" i="49"/>
  <c r="D43" i="49"/>
  <c r="D44" i="49"/>
  <c r="D45" i="49"/>
  <c r="D46" i="49"/>
  <c r="D48" i="49"/>
  <c r="D49" i="49"/>
  <c r="D50" i="49"/>
  <c r="D51" i="49"/>
  <c r="D52" i="49"/>
  <c r="D53" i="49"/>
  <c r="D54" i="49"/>
  <c r="D55" i="49"/>
  <c r="D56" i="49"/>
  <c r="D57" i="49"/>
  <c r="D58" i="49"/>
  <c r="D59" i="49"/>
  <c r="D60" i="49"/>
  <c r="D61" i="49"/>
  <c r="D62" i="49"/>
  <c r="D63" i="49"/>
  <c r="D64" i="49"/>
  <c r="D65" i="49"/>
  <c r="D66" i="49"/>
  <c r="D67" i="49"/>
  <c r="D68" i="49"/>
  <c r="D71" i="49"/>
  <c r="D72" i="49"/>
  <c r="D73" i="49"/>
  <c r="D74" i="49"/>
  <c r="D76" i="49"/>
  <c r="D77" i="49"/>
  <c r="D78" i="49"/>
  <c r="D79" i="49"/>
  <c r="D80" i="49"/>
  <c r="D81" i="49"/>
  <c r="D82" i="49"/>
  <c r="D83" i="49"/>
  <c r="D84" i="49"/>
  <c r="D85" i="49"/>
  <c r="D86" i="49"/>
  <c r="D87" i="49"/>
  <c r="D88" i="49"/>
  <c r="D89" i="49"/>
  <c r="D90" i="49"/>
  <c r="D91" i="49"/>
  <c r="D92" i="49"/>
  <c r="D94" i="49"/>
  <c r="D95" i="49"/>
  <c r="D97" i="49"/>
  <c r="D98" i="49"/>
  <c r="D99" i="49"/>
  <c r="D100" i="49"/>
  <c r="D101" i="49"/>
  <c r="D102" i="49"/>
  <c r="D103" i="49"/>
  <c r="D104" i="49"/>
  <c r="D105" i="49"/>
  <c r="D106" i="49"/>
  <c r="D107" i="49"/>
  <c r="D108" i="49"/>
  <c r="D109" i="49"/>
  <c r="D110" i="49"/>
  <c r="D111" i="49"/>
  <c r="D112" i="49"/>
  <c r="D113" i="49"/>
  <c r="D114" i="49"/>
  <c r="D115" i="49"/>
  <c r="D116" i="49"/>
  <c r="D117" i="49"/>
  <c r="D118" i="49"/>
  <c r="D119" i="49"/>
  <c r="D120" i="49"/>
  <c r="D121" i="49"/>
  <c r="D122" i="49"/>
  <c r="D123" i="49"/>
  <c r="D124" i="49"/>
  <c r="D125" i="49"/>
  <c r="D126" i="49"/>
  <c r="D127" i="49"/>
  <c r="D128" i="49"/>
  <c r="D129" i="49"/>
  <c r="D130" i="49"/>
  <c r="D131" i="49"/>
  <c r="D132" i="49"/>
  <c r="D133" i="49"/>
  <c r="D134" i="49"/>
  <c r="D135" i="49"/>
  <c r="D136" i="49"/>
  <c r="D137" i="49"/>
  <c r="D138" i="49"/>
  <c r="D139" i="49"/>
  <c r="D140" i="49"/>
  <c r="D141" i="49"/>
  <c r="D142" i="49"/>
  <c r="D143" i="49"/>
  <c r="D144" i="49"/>
  <c r="D145" i="49"/>
  <c r="D146" i="49"/>
  <c r="D147" i="49"/>
  <c r="D148" i="49"/>
  <c r="D149" i="49"/>
  <c r="D150" i="49"/>
  <c r="D151" i="49"/>
  <c r="D152" i="49"/>
  <c r="D153" i="49"/>
  <c r="D154" i="49"/>
  <c r="D155" i="49"/>
  <c r="D156" i="49"/>
  <c r="D157" i="49"/>
  <c r="D158" i="49"/>
  <c r="D159" i="49"/>
  <c r="D160" i="49"/>
  <c r="D161" i="49"/>
  <c r="D162" i="49"/>
  <c r="D163" i="49"/>
  <c r="D164" i="49"/>
  <c r="D165" i="49"/>
  <c r="D166" i="49"/>
  <c r="D167" i="49"/>
  <c r="D168" i="49"/>
  <c r="D169" i="49"/>
  <c r="D170" i="49"/>
  <c r="D171" i="49"/>
  <c r="D172" i="49"/>
  <c r="D173" i="49"/>
  <c r="D174" i="49"/>
  <c r="D175" i="49"/>
  <c r="D176" i="49"/>
  <c r="D177" i="49"/>
  <c r="D178" i="49"/>
  <c r="D179" i="49"/>
  <c r="D180" i="49"/>
  <c r="D181" i="49"/>
  <c r="D182" i="49"/>
  <c r="D183" i="49"/>
  <c r="D184" i="49"/>
  <c r="D185" i="49"/>
  <c r="D186" i="49"/>
  <c r="D187" i="49"/>
  <c r="D188" i="49"/>
  <c r="D189" i="49"/>
  <c r="D190" i="49"/>
  <c r="D191" i="49"/>
  <c r="D192" i="49"/>
  <c r="D193" i="49"/>
  <c r="D194" i="49"/>
  <c r="D195" i="49"/>
  <c r="D196" i="49"/>
  <c r="D198" i="49"/>
  <c r="D199" i="49"/>
  <c r="D200" i="49"/>
  <c r="D201" i="49"/>
  <c r="D202" i="49"/>
  <c r="D206" i="49"/>
  <c r="D207" i="49"/>
  <c r="D208" i="49"/>
  <c r="D209" i="49"/>
  <c r="D210" i="49"/>
  <c r="D211" i="49"/>
  <c r="D212" i="49"/>
  <c r="D213" i="49"/>
  <c r="D214" i="49"/>
  <c r="D215" i="49"/>
  <c r="D216" i="49"/>
  <c r="D217" i="49"/>
  <c r="D218" i="49"/>
  <c r="D219" i="49"/>
  <c r="D220" i="49"/>
  <c r="D221" i="49"/>
  <c r="D222" i="49"/>
  <c r="D223" i="49"/>
  <c r="D224" i="49"/>
  <c r="D225" i="49"/>
  <c r="D226" i="49"/>
  <c r="D227" i="49"/>
  <c r="D228" i="49"/>
  <c r="D229" i="49"/>
  <c r="D230" i="49"/>
  <c r="D231" i="49"/>
  <c r="D232" i="49"/>
  <c r="D233" i="49"/>
  <c r="D234" i="49"/>
  <c r="D235" i="49"/>
  <c r="D236" i="49"/>
  <c r="D237" i="49"/>
  <c r="D238" i="49"/>
  <c r="D239" i="49"/>
  <c r="D240" i="49"/>
  <c r="D241" i="49"/>
  <c r="D242" i="49"/>
  <c r="D243" i="49"/>
  <c r="D244" i="49"/>
  <c r="D245" i="49"/>
  <c r="D246" i="49"/>
  <c r="D247" i="49"/>
  <c r="D248" i="49"/>
  <c r="D249" i="49"/>
  <c r="D250" i="49"/>
  <c r="D251" i="49"/>
  <c r="D252" i="49"/>
  <c r="D253" i="49"/>
  <c r="D254" i="49"/>
  <c r="D255" i="49"/>
  <c r="D256" i="49"/>
  <c r="D257" i="49"/>
  <c r="D258" i="49"/>
  <c r="D259" i="49"/>
  <c r="D260" i="49"/>
  <c r="D261" i="49"/>
  <c r="D262" i="49"/>
  <c r="D263" i="49"/>
  <c r="D264" i="49"/>
  <c r="D265" i="49"/>
  <c r="D266" i="49"/>
  <c r="D267" i="49"/>
  <c r="D268" i="49"/>
  <c r="D269" i="49"/>
  <c r="D270" i="49"/>
  <c r="D271" i="49"/>
  <c r="D272" i="49"/>
  <c r="D273" i="49"/>
  <c r="D274" i="49"/>
  <c r="D275" i="49"/>
  <c r="D276" i="49"/>
  <c r="D277" i="49"/>
  <c r="D278" i="49"/>
  <c r="D279" i="49"/>
  <c r="D280" i="49"/>
  <c r="D281" i="49"/>
  <c r="D282" i="49"/>
  <c r="D283" i="49"/>
  <c r="D284" i="49"/>
  <c r="D285" i="49"/>
  <c r="D286" i="49"/>
  <c r="D287" i="49"/>
  <c r="D288" i="49"/>
  <c r="D289" i="49"/>
  <c r="D290" i="49"/>
  <c r="D291" i="49"/>
  <c r="D292" i="49"/>
  <c r="D293" i="49"/>
  <c r="D294" i="49"/>
  <c r="D295" i="49"/>
  <c r="D296" i="49"/>
  <c r="D297" i="49"/>
  <c r="D298" i="49"/>
  <c r="D299" i="49"/>
  <c r="D300" i="49"/>
  <c r="D301" i="49"/>
  <c r="D302" i="49"/>
  <c r="D303" i="49"/>
  <c r="D304" i="49"/>
  <c r="D305" i="49"/>
  <c r="D306" i="49"/>
  <c r="D307" i="49"/>
  <c r="D308" i="49"/>
  <c r="D309" i="49"/>
  <c r="D310" i="49"/>
  <c r="D311" i="49"/>
  <c r="D312" i="49"/>
  <c r="D313" i="49"/>
  <c r="D314" i="49"/>
  <c r="D315" i="49"/>
  <c r="D316" i="49"/>
  <c r="D317" i="49"/>
  <c r="D322" i="49"/>
  <c r="D323" i="49"/>
  <c r="D324" i="49"/>
  <c r="D325" i="49"/>
  <c r="D326" i="49"/>
  <c r="D327" i="49"/>
  <c r="D328" i="49"/>
  <c r="D329" i="49"/>
  <c r="D331" i="49"/>
  <c r="D332" i="49"/>
  <c r="D333" i="49"/>
  <c r="D334" i="49"/>
  <c r="D335" i="49"/>
  <c r="D336" i="49"/>
  <c r="D337" i="49"/>
  <c r="D338" i="49"/>
  <c r="D339" i="49"/>
  <c r="D340" i="49"/>
  <c r="D341" i="49"/>
  <c r="D342" i="49"/>
  <c r="D343" i="49"/>
  <c r="D344" i="49"/>
  <c r="D345" i="49"/>
  <c r="D346" i="49"/>
  <c r="D347" i="49"/>
  <c r="D348" i="49"/>
  <c r="D349" i="49"/>
  <c r="D350" i="49"/>
  <c r="D351" i="49"/>
  <c r="D352" i="49"/>
  <c r="D353" i="49"/>
  <c r="D354" i="49"/>
  <c r="D355" i="49"/>
  <c r="D356" i="49"/>
  <c r="D357" i="49"/>
  <c r="D358" i="49"/>
  <c r="D359" i="49"/>
  <c r="D362" i="49"/>
  <c r="D364" i="49"/>
  <c r="D365" i="49"/>
  <c r="D366" i="49"/>
  <c r="D367" i="49"/>
  <c r="D368" i="49"/>
  <c r="D369" i="49"/>
  <c r="D370" i="49"/>
  <c r="D371" i="49"/>
  <c r="D372" i="49"/>
  <c r="D373" i="49"/>
  <c r="D374" i="49"/>
  <c r="D375" i="49"/>
  <c r="D376" i="49"/>
  <c r="D377" i="49"/>
  <c r="D378" i="49"/>
  <c r="D379" i="49"/>
  <c r="D380" i="49"/>
  <c r="D381" i="49"/>
  <c r="D382" i="49"/>
  <c r="D383" i="49"/>
  <c r="D384" i="49"/>
  <c r="D386" i="49"/>
  <c r="D387" i="49"/>
  <c r="D388" i="49"/>
  <c r="D389" i="49"/>
  <c r="D390" i="49"/>
  <c r="D391" i="49"/>
  <c r="D392" i="49"/>
  <c r="D393" i="49"/>
  <c r="D394" i="49"/>
  <c r="D395" i="49"/>
  <c r="D396" i="49"/>
  <c r="D397" i="49"/>
  <c r="D398" i="49"/>
  <c r="D399" i="49"/>
  <c r="D400" i="49"/>
  <c r="D401" i="49"/>
  <c r="D402" i="49"/>
  <c r="D403" i="49"/>
  <c r="D404" i="49"/>
  <c r="D405" i="49"/>
  <c r="D406" i="49"/>
  <c r="D407" i="49"/>
  <c r="D408" i="49"/>
  <c r="D409" i="49"/>
  <c r="D410" i="49"/>
  <c r="D411" i="49"/>
  <c r="D412" i="49"/>
  <c r="D413" i="49"/>
  <c r="D414" i="49"/>
  <c r="D415" i="49"/>
  <c r="D416" i="49"/>
  <c r="D417" i="49"/>
  <c r="D418" i="49"/>
  <c r="D419" i="49"/>
  <c r="D420" i="49"/>
  <c r="D421" i="49"/>
  <c r="D422" i="49"/>
  <c r="D423" i="49"/>
  <c r="D424" i="49"/>
  <c r="D425" i="49"/>
  <c r="D426" i="49"/>
  <c r="D427" i="49"/>
  <c r="D428" i="49"/>
  <c r="D429" i="49"/>
  <c r="D430" i="49"/>
  <c r="D431" i="49"/>
  <c r="D432" i="49"/>
  <c r="D433" i="49"/>
  <c r="D434" i="49"/>
  <c r="D435" i="49"/>
  <c r="D436" i="49"/>
  <c r="D437" i="49"/>
  <c r="D438" i="49"/>
  <c r="D439" i="49"/>
  <c r="D440" i="49"/>
  <c r="D441" i="49"/>
  <c r="D442" i="49"/>
  <c r="D443" i="49"/>
  <c r="D444" i="49"/>
  <c r="D445" i="49"/>
  <c r="D446" i="49"/>
  <c r="D447" i="49"/>
  <c r="D448" i="49"/>
  <c r="D450" i="49"/>
  <c r="D451" i="49"/>
  <c r="D452" i="49"/>
  <c r="D453" i="49"/>
  <c r="D456" i="49"/>
  <c r="D457" i="49"/>
  <c r="D458" i="49"/>
  <c r="D459" i="49"/>
  <c r="D460" i="49"/>
  <c r="D461" i="49"/>
  <c r="D462" i="49"/>
  <c r="D463" i="49"/>
  <c r="D464" i="49"/>
  <c r="D465" i="49"/>
  <c r="D466" i="49"/>
  <c r="D467" i="49"/>
  <c r="D468" i="49"/>
  <c r="D469" i="49"/>
  <c r="D472" i="49"/>
  <c r="D473" i="49"/>
  <c r="D474" i="49"/>
  <c r="D475" i="49"/>
  <c r="D476" i="49"/>
  <c r="D477" i="49"/>
  <c r="D478" i="49"/>
  <c r="D479" i="49"/>
  <c r="D480" i="49"/>
  <c r="D481" i="49"/>
  <c r="D482" i="49"/>
  <c r="D483" i="49"/>
  <c r="D484" i="49"/>
  <c r="D485" i="49"/>
  <c r="D486" i="49"/>
  <c r="D487" i="49"/>
  <c r="D488" i="49"/>
  <c r="D489" i="49"/>
  <c r="D490" i="49"/>
  <c r="D491" i="49"/>
  <c r="D493" i="49"/>
  <c r="D494" i="49"/>
  <c r="D496" i="49"/>
  <c r="D498" i="49"/>
  <c r="E6" i="49"/>
  <c r="E7" i="49"/>
  <c r="E8" i="49"/>
  <c r="E9" i="49"/>
  <c r="E10" i="49"/>
  <c r="E11" i="49"/>
  <c r="E12" i="49"/>
  <c r="E13" i="49"/>
  <c r="E14" i="49"/>
  <c r="E15" i="49"/>
  <c r="E16" i="49"/>
  <c r="E18" i="49"/>
  <c r="E19" i="49"/>
  <c r="E20" i="49"/>
  <c r="E21" i="49"/>
  <c r="E22" i="49"/>
  <c r="E23" i="49"/>
  <c r="E24" i="49"/>
  <c r="E25" i="49"/>
  <c r="E26" i="49"/>
  <c r="E27" i="49"/>
  <c r="E30" i="49"/>
  <c r="E31" i="49"/>
  <c r="E32" i="49"/>
  <c r="E33" i="49"/>
  <c r="E35" i="49"/>
  <c r="E36" i="49"/>
  <c r="E37" i="49"/>
  <c r="E38" i="49"/>
  <c r="E39" i="49"/>
  <c r="E40" i="49"/>
  <c r="E41" i="49"/>
  <c r="E42" i="49"/>
  <c r="E43" i="49"/>
  <c r="E44" i="49"/>
  <c r="E45" i="49"/>
  <c r="E46" i="49"/>
  <c r="E48" i="49"/>
  <c r="E49" i="49"/>
  <c r="E50" i="49"/>
  <c r="E51" i="49"/>
  <c r="E53" i="49"/>
  <c r="E54" i="49"/>
  <c r="E55" i="49"/>
  <c r="E56" i="49"/>
  <c r="E57" i="49"/>
  <c r="E58" i="49"/>
  <c r="E59" i="49"/>
  <c r="E60" i="49"/>
  <c r="E61" i="49"/>
  <c r="E62" i="49"/>
  <c r="E63" i="49"/>
  <c r="E64" i="49"/>
  <c r="E66" i="49"/>
  <c r="E67" i="49"/>
  <c r="E68" i="49"/>
  <c r="E71" i="49"/>
  <c r="E72" i="49"/>
  <c r="E76" i="49"/>
  <c r="E77" i="49"/>
  <c r="E78" i="49"/>
  <c r="E79" i="49"/>
  <c r="E80" i="49"/>
  <c r="E84" i="49"/>
  <c r="E86" i="49"/>
  <c r="E87" i="49"/>
  <c r="E89" i="49"/>
  <c r="E92" i="49"/>
  <c r="E97" i="49"/>
  <c r="E98" i="49"/>
  <c r="E99" i="49"/>
  <c r="E100" i="49"/>
  <c r="E101" i="49"/>
  <c r="E102" i="49"/>
  <c r="E103" i="49"/>
  <c r="E104" i="49"/>
  <c r="E105" i="49"/>
  <c r="E106" i="49"/>
  <c r="E107" i="49"/>
  <c r="E108" i="49"/>
  <c r="E110" i="49"/>
  <c r="E111" i="49"/>
  <c r="E112" i="49"/>
  <c r="E113" i="49"/>
  <c r="E114" i="49"/>
  <c r="E115" i="49"/>
  <c r="E116" i="49"/>
  <c r="E117" i="49"/>
  <c r="E118" i="49"/>
  <c r="E119" i="49"/>
  <c r="E120" i="49"/>
  <c r="E121" i="49"/>
  <c r="E122" i="49"/>
  <c r="E123" i="49"/>
  <c r="E124" i="49"/>
  <c r="E125" i="49"/>
  <c r="E126" i="49"/>
  <c r="E127" i="49"/>
  <c r="E128" i="49"/>
  <c r="E130" i="49"/>
  <c r="E132" i="49"/>
  <c r="E133" i="49"/>
  <c r="E134" i="49"/>
  <c r="E135" i="49"/>
  <c r="E136" i="49"/>
  <c r="E137" i="49"/>
  <c r="E138" i="49"/>
  <c r="E139" i="49"/>
  <c r="E140" i="49"/>
  <c r="E141" i="49"/>
  <c r="E142" i="49"/>
  <c r="E143" i="49"/>
  <c r="E144" i="49"/>
  <c r="E145" i="49"/>
  <c r="E146" i="49"/>
  <c r="E147" i="49"/>
  <c r="E149" i="49"/>
  <c r="E150" i="49"/>
  <c r="E151" i="49"/>
  <c r="E152" i="49"/>
  <c r="E153" i="49"/>
  <c r="E154" i="49"/>
  <c r="E155" i="49"/>
  <c r="E156" i="49"/>
  <c r="E157" i="49"/>
  <c r="E158" i="49"/>
  <c r="E159" i="49"/>
  <c r="E160" i="49"/>
  <c r="E161" i="49"/>
  <c r="E163" i="49"/>
  <c r="E164" i="49"/>
  <c r="E168" i="49"/>
  <c r="E169" i="49"/>
  <c r="E170" i="49"/>
  <c r="E172" i="49"/>
  <c r="E173" i="49"/>
  <c r="E174" i="49"/>
  <c r="E175" i="49"/>
  <c r="E176" i="49"/>
  <c r="E177" i="49"/>
  <c r="E178" i="49"/>
  <c r="E179" i="49"/>
  <c r="E181" i="49"/>
  <c r="E182" i="49"/>
  <c r="E183" i="49"/>
  <c r="E184" i="49"/>
  <c r="E185" i="49"/>
  <c r="E186" i="49"/>
  <c r="E187" i="49"/>
  <c r="E190" i="49"/>
  <c r="E191" i="49"/>
  <c r="E192" i="49"/>
  <c r="E193" i="49"/>
  <c r="E194" i="49"/>
  <c r="E195" i="49"/>
  <c r="E196" i="49"/>
  <c r="E198" i="49"/>
  <c r="E199" i="49"/>
  <c r="E200" i="49"/>
  <c r="E201" i="49"/>
  <c r="E202" i="49"/>
  <c r="E206" i="49"/>
  <c r="E207" i="49"/>
  <c r="E208" i="49"/>
  <c r="E209" i="49"/>
  <c r="E210" i="49"/>
  <c r="E211" i="49"/>
  <c r="E212" i="49"/>
  <c r="E213" i="49"/>
  <c r="E214" i="49"/>
  <c r="E215" i="49"/>
  <c r="E216" i="49"/>
  <c r="E217" i="49"/>
  <c r="E218" i="49"/>
  <c r="E219" i="49"/>
  <c r="E220" i="49"/>
  <c r="E221" i="49"/>
  <c r="E222" i="49"/>
  <c r="E223" i="49"/>
  <c r="E224" i="49"/>
  <c r="E225" i="49"/>
  <c r="E227" i="49"/>
  <c r="E228" i="49"/>
  <c r="E229" i="49"/>
  <c r="E230" i="49"/>
  <c r="E231" i="49"/>
  <c r="E232" i="49"/>
  <c r="E233" i="49"/>
  <c r="E234" i="49"/>
  <c r="E235" i="49"/>
  <c r="E237" i="49"/>
  <c r="E238" i="49"/>
  <c r="E239" i="49"/>
  <c r="E240" i="49"/>
  <c r="E241" i="49"/>
  <c r="E242" i="49"/>
  <c r="E243" i="49"/>
  <c r="E244" i="49"/>
  <c r="E245" i="49"/>
  <c r="E246" i="49"/>
  <c r="E248" i="49"/>
  <c r="E249" i="49"/>
  <c r="E250" i="49"/>
  <c r="E251" i="49"/>
  <c r="E252" i="49"/>
  <c r="E254" i="49"/>
  <c r="E255" i="49"/>
  <c r="E256" i="49"/>
  <c r="E258" i="49"/>
  <c r="E259" i="49"/>
  <c r="E260" i="49"/>
  <c r="E261" i="49"/>
  <c r="E262" i="49"/>
  <c r="E263" i="49"/>
  <c r="E264" i="49"/>
  <c r="E265" i="49"/>
  <c r="E266" i="49"/>
  <c r="E268" i="49"/>
  <c r="E269" i="49"/>
  <c r="E270" i="49"/>
  <c r="E272" i="49"/>
  <c r="E273" i="49"/>
  <c r="E274" i="49"/>
  <c r="E275" i="49"/>
  <c r="E276" i="49"/>
  <c r="E277" i="49"/>
  <c r="E278" i="49"/>
  <c r="E279" i="49"/>
  <c r="E280" i="49"/>
  <c r="E281" i="49"/>
  <c r="E282" i="49"/>
  <c r="E283" i="49"/>
  <c r="E284" i="49"/>
  <c r="E285" i="49"/>
  <c r="E286" i="49"/>
  <c r="E287" i="49"/>
  <c r="E288" i="49"/>
  <c r="E289" i="49"/>
  <c r="E290" i="49"/>
  <c r="E291" i="49"/>
  <c r="E292" i="49"/>
  <c r="E293" i="49"/>
  <c r="E294" i="49"/>
  <c r="E295" i="49"/>
  <c r="E296" i="49"/>
  <c r="E297" i="49"/>
  <c r="E298" i="49"/>
  <c r="E299" i="49"/>
  <c r="E300" i="49"/>
  <c r="E301" i="49"/>
  <c r="E303" i="49"/>
  <c r="E304" i="49"/>
  <c r="E305" i="49"/>
  <c r="E306" i="49"/>
  <c r="E307" i="49"/>
  <c r="E309" i="49"/>
  <c r="E310" i="49"/>
  <c r="E311" i="49"/>
  <c r="E312" i="49"/>
  <c r="E313" i="49"/>
  <c r="E314" i="49"/>
  <c r="E315" i="49"/>
  <c r="E316" i="49"/>
  <c r="E317" i="49"/>
  <c r="E322" i="49"/>
  <c r="E323" i="49"/>
  <c r="E324" i="49"/>
  <c r="E325" i="49"/>
  <c r="E326" i="49"/>
  <c r="E327" i="49"/>
  <c r="E328" i="49"/>
  <c r="E329" i="49"/>
  <c r="E331" i="49"/>
  <c r="E332" i="49"/>
  <c r="E333" i="49"/>
  <c r="E334" i="49"/>
  <c r="E335" i="49"/>
  <c r="E336" i="49"/>
  <c r="E337" i="49"/>
  <c r="E338" i="49"/>
  <c r="E339" i="49"/>
  <c r="E340" i="49"/>
  <c r="E341" i="49"/>
  <c r="E342" i="49"/>
  <c r="E343" i="49"/>
  <c r="E344" i="49"/>
  <c r="E345" i="49"/>
  <c r="E346" i="49"/>
  <c r="E347" i="49"/>
  <c r="E348" i="49"/>
  <c r="E349" i="49"/>
  <c r="E351" i="49"/>
  <c r="E352" i="49"/>
  <c r="E353" i="49"/>
  <c r="E355" i="49"/>
  <c r="E359" i="49"/>
  <c r="E364" i="49"/>
  <c r="E365" i="49"/>
  <c r="E366" i="49"/>
  <c r="E367" i="49"/>
  <c r="E368" i="49"/>
  <c r="E369" i="49"/>
  <c r="E370" i="49"/>
  <c r="E371" i="49"/>
  <c r="E372" i="49"/>
  <c r="E373" i="49"/>
  <c r="E374" i="49"/>
  <c r="E375" i="49"/>
  <c r="E376" i="49"/>
  <c r="E377" i="49"/>
  <c r="E378" i="49"/>
  <c r="E379" i="49"/>
  <c r="E380" i="49"/>
  <c r="E381" i="49"/>
  <c r="E382" i="49"/>
  <c r="E383" i="49"/>
  <c r="E384" i="49"/>
  <c r="E386" i="49"/>
  <c r="E387" i="49"/>
  <c r="E388" i="49"/>
  <c r="E389" i="49"/>
  <c r="E390" i="49"/>
  <c r="E391" i="49"/>
  <c r="E392" i="49"/>
  <c r="E393" i="49"/>
  <c r="E394" i="49"/>
  <c r="E395" i="49"/>
  <c r="E396" i="49"/>
  <c r="E397" i="49"/>
  <c r="E398" i="49"/>
  <c r="E399" i="49"/>
  <c r="E400" i="49"/>
  <c r="E401" i="49"/>
  <c r="E402" i="49"/>
  <c r="E403" i="49"/>
  <c r="E404" i="49"/>
  <c r="E405" i="49"/>
  <c r="E406" i="49"/>
  <c r="E407" i="49"/>
  <c r="E408" i="49"/>
  <c r="E409" i="49"/>
  <c r="E410" i="49"/>
  <c r="E411" i="49"/>
  <c r="E412" i="49"/>
  <c r="E413" i="49"/>
  <c r="E414" i="49"/>
  <c r="E415" i="49"/>
  <c r="E416" i="49"/>
  <c r="E417" i="49"/>
  <c r="E418" i="49"/>
  <c r="E419" i="49"/>
  <c r="E420" i="49"/>
  <c r="E421" i="49"/>
  <c r="E422" i="49"/>
  <c r="E423" i="49"/>
  <c r="E424" i="49"/>
  <c r="E425" i="49"/>
  <c r="E427" i="49"/>
  <c r="E430" i="49"/>
  <c r="E431" i="49"/>
  <c r="E432" i="49"/>
  <c r="E433" i="49"/>
  <c r="E434" i="49"/>
  <c r="E435" i="49"/>
  <c r="E436" i="49"/>
  <c r="E437" i="49"/>
  <c r="E438" i="49"/>
  <c r="E440" i="49"/>
  <c r="E442" i="49"/>
  <c r="E443" i="49"/>
  <c r="E444" i="49"/>
  <c r="E445" i="49"/>
  <c r="E446" i="49"/>
  <c r="E447" i="49"/>
  <c r="E448" i="49"/>
  <c r="E451" i="49"/>
  <c r="E452" i="49"/>
  <c r="E453" i="49"/>
  <c r="E456" i="49"/>
  <c r="E457" i="49"/>
  <c r="E458" i="49"/>
  <c r="E459" i="49"/>
  <c r="E460" i="49"/>
  <c r="E461" i="49"/>
  <c r="E462" i="49"/>
  <c r="E463" i="49"/>
  <c r="E464" i="49"/>
  <c r="E465" i="49"/>
  <c r="E466" i="49"/>
  <c r="E467" i="49"/>
  <c r="E468" i="49"/>
  <c r="E469" i="49"/>
  <c r="E472" i="49"/>
  <c r="E473" i="49"/>
  <c r="E474" i="49"/>
  <c r="E476" i="49"/>
  <c r="E477" i="49"/>
  <c r="E478" i="49"/>
  <c r="E479" i="49"/>
  <c r="E480" i="49"/>
  <c r="E481" i="49"/>
  <c r="E482" i="49"/>
  <c r="E483" i="49"/>
  <c r="E484" i="49"/>
  <c r="E485" i="49"/>
  <c r="E486" i="49"/>
  <c r="E487" i="49"/>
  <c r="E488" i="49"/>
  <c r="E489" i="49"/>
  <c r="E490" i="49"/>
  <c r="E491" i="49"/>
  <c r="E493" i="49"/>
  <c r="E494" i="49"/>
  <c r="E496" i="49"/>
  <c r="E498" i="49"/>
  <c r="E5" i="49"/>
  <c r="E17" i="49"/>
  <c r="E28" i="49"/>
  <c r="E34" i="49"/>
  <c r="E47" i="49"/>
  <c r="E52" i="49"/>
  <c r="E65" i="49"/>
  <c r="E70" i="49"/>
  <c r="E73" i="49"/>
  <c r="E74" i="49"/>
  <c r="E94" i="49"/>
  <c r="E95" i="49"/>
  <c r="E96" i="49"/>
  <c r="E129" i="49"/>
  <c r="E131" i="49"/>
  <c r="E148" i="49"/>
  <c r="E171" i="49"/>
  <c r="E180" i="49"/>
  <c r="E188" i="49"/>
  <c r="E226" i="49"/>
  <c r="E236" i="49"/>
  <c r="E247" i="49"/>
  <c r="E302" i="49"/>
  <c r="E308" i="49"/>
  <c r="E350" i="49"/>
  <c r="E361" i="49"/>
  <c r="E362" i="49"/>
  <c r="E429" i="49"/>
  <c r="E439" i="49"/>
  <c r="E441" i="49"/>
  <c r="E450" i="49"/>
  <c r="E470" i="49"/>
  <c r="E471" i="49"/>
  <c r="E475" i="49"/>
  <c r="E492" i="49"/>
  <c r="F5" i="49"/>
  <c r="F6" i="49"/>
  <c r="F7" i="49"/>
  <c r="F8" i="49"/>
  <c r="F9" i="49"/>
  <c r="F10" i="49"/>
  <c r="F11" i="49"/>
  <c r="F12" i="49"/>
  <c r="F13" i="49"/>
  <c r="F14" i="49"/>
  <c r="F15" i="49"/>
  <c r="F16" i="49"/>
  <c r="F17" i="49"/>
  <c r="F18" i="49"/>
  <c r="F19" i="49"/>
  <c r="F20" i="49"/>
  <c r="F21" i="49"/>
  <c r="F22" i="49"/>
  <c r="F23" i="49"/>
  <c r="F24" i="49"/>
  <c r="F25" i="49"/>
  <c r="F26" i="49"/>
  <c r="F27" i="49"/>
  <c r="F30" i="49"/>
  <c r="F31" i="49"/>
  <c r="F32" i="49"/>
  <c r="F33" i="49"/>
  <c r="F34" i="49"/>
  <c r="F35" i="49"/>
  <c r="F36" i="49"/>
  <c r="F37" i="49"/>
  <c r="F38" i="49"/>
  <c r="F39" i="49"/>
  <c r="F40" i="49"/>
  <c r="F41" i="49"/>
  <c r="F42" i="49"/>
  <c r="F43" i="49"/>
  <c r="F44" i="49"/>
  <c r="F45" i="49"/>
  <c r="F46" i="49"/>
  <c r="F48" i="49"/>
  <c r="F49" i="49"/>
  <c r="F50" i="49"/>
  <c r="F51" i="49"/>
  <c r="F52" i="49"/>
  <c r="F53" i="49"/>
  <c r="F54" i="49"/>
  <c r="F55" i="49"/>
  <c r="F56" i="49"/>
  <c r="F57" i="49"/>
  <c r="F58" i="49"/>
  <c r="F59" i="49"/>
  <c r="F60" i="49"/>
  <c r="F61" i="49"/>
  <c r="F62" i="49"/>
  <c r="F63" i="49"/>
  <c r="F64" i="49"/>
  <c r="F65" i="49"/>
  <c r="F66" i="49"/>
  <c r="F67" i="49"/>
  <c r="F68" i="49"/>
  <c r="F71" i="49"/>
  <c r="F72" i="49"/>
  <c r="F73" i="49"/>
  <c r="F74" i="49"/>
  <c r="F76" i="49"/>
  <c r="F77" i="49"/>
  <c r="F78" i="49"/>
  <c r="F79" i="49"/>
  <c r="F80" i="49"/>
  <c r="F81" i="49"/>
  <c r="F82" i="49"/>
  <c r="F83" i="49"/>
  <c r="F84" i="49"/>
  <c r="F85" i="49"/>
  <c r="F86" i="49"/>
  <c r="F87" i="49"/>
  <c r="F88" i="49"/>
  <c r="F89" i="49"/>
  <c r="F90" i="49"/>
  <c r="F91" i="49"/>
  <c r="F92" i="49"/>
  <c r="F94" i="49"/>
  <c r="F95" i="49"/>
  <c r="F97" i="49"/>
  <c r="F98" i="49"/>
  <c r="F99" i="49"/>
  <c r="F100" i="49"/>
  <c r="F101" i="49"/>
  <c r="F102" i="49"/>
  <c r="F103" i="49"/>
  <c r="F104" i="49"/>
  <c r="F105" i="49"/>
  <c r="F106" i="49"/>
  <c r="F107" i="49"/>
  <c r="F108" i="49"/>
  <c r="F109" i="49"/>
  <c r="F110" i="49"/>
  <c r="F111" i="49"/>
  <c r="F112" i="49"/>
  <c r="F113" i="49"/>
  <c r="F114" i="49"/>
  <c r="F115" i="49"/>
  <c r="F116" i="49"/>
  <c r="F117" i="49"/>
  <c r="F118" i="49"/>
  <c r="F119" i="49"/>
  <c r="F120" i="49"/>
  <c r="F121" i="49"/>
  <c r="F122" i="49"/>
  <c r="F123" i="49"/>
  <c r="F124" i="49"/>
  <c r="F125" i="49"/>
  <c r="F126" i="49"/>
  <c r="F127" i="49"/>
  <c r="F128" i="49"/>
  <c r="F129" i="49"/>
  <c r="F130" i="49"/>
  <c r="F131" i="49"/>
  <c r="F132" i="49"/>
  <c r="F133" i="49"/>
  <c r="F134" i="49"/>
  <c r="F135" i="49"/>
  <c r="F136" i="49"/>
  <c r="F137" i="49"/>
  <c r="F138" i="49"/>
  <c r="F139" i="49"/>
  <c r="F140" i="49"/>
  <c r="F141" i="49"/>
  <c r="F142" i="49"/>
  <c r="F143" i="49"/>
  <c r="F144" i="49"/>
  <c r="F145" i="49"/>
  <c r="F146" i="49"/>
  <c r="F147" i="49"/>
  <c r="F148" i="49"/>
  <c r="F149" i="49"/>
  <c r="F150" i="49"/>
  <c r="F151" i="49"/>
  <c r="F152" i="49"/>
  <c r="F153" i="49"/>
  <c r="F154" i="49"/>
  <c r="F155" i="49"/>
  <c r="F156" i="49"/>
  <c r="F157" i="49"/>
  <c r="F158" i="49"/>
  <c r="F159" i="49"/>
  <c r="F160" i="49"/>
  <c r="F161" i="49"/>
  <c r="F162" i="49"/>
  <c r="F163" i="49"/>
  <c r="F164" i="49"/>
  <c r="F165" i="49"/>
  <c r="F166" i="49"/>
  <c r="F168" i="49"/>
  <c r="F169" i="49"/>
  <c r="F170" i="49"/>
  <c r="F171" i="49"/>
  <c r="F172" i="49"/>
  <c r="F173" i="49"/>
  <c r="F174" i="49"/>
  <c r="F175" i="49"/>
  <c r="F176" i="49"/>
  <c r="F177" i="49"/>
  <c r="F178" i="49"/>
  <c r="F179" i="49"/>
  <c r="F180" i="49"/>
  <c r="F181" i="49"/>
  <c r="F182" i="49"/>
  <c r="F183" i="49"/>
  <c r="F184" i="49"/>
  <c r="F185" i="49"/>
  <c r="F186" i="49"/>
  <c r="F187" i="49"/>
  <c r="F188" i="49"/>
  <c r="F189" i="49"/>
  <c r="F190" i="49"/>
  <c r="F191" i="49"/>
  <c r="F192" i="49"/>
  <c r="F193" i="49"/>
  <c r="F194" i="49"/>
  <c r="F195" i="49"/>
  <c r="F196" i="49"/>
  <c r="F198" i="49"/>
  <c r="F199" i="49"/>
  <c r="F200" i="49"/>
  <c r="F201" i="49"/>
  <c r="F202" i="49"/>
  <c r="F206" i="49"/>
  <c r="F207" i="49"/>
  <c r="F208" i="49"/>
  <c r="F209" i="49"/>
  <c r="F210" i="49"/>
  <c r="F211" i="49"/>
  <c r="F212" i="49"/>
  <c r="F213" i="49"/>
  <c r="F214" i="49"/>
  <c r="F215" i="49"/>
  <c r="F216" i="49"/>
  <c r="F217" i="49"/>
  <c r="F218" i="49"/>
  <c r="F219" i="49"/>
  <c r="F220" i="49"/>
  <c r="F221" i="49"/>
  <c r="F222" i="49"/>
  <c r="F223" i="49"/>
  <c r="F224" i="49"/>
  <c r="F225" i="49"/>
  <c r="F226" i="49"/>
  <c r="F227" i="49"/>
  <c r="F228" i="49"/>
  <c r="F229" i="49"/>
  <c r="F230" i="49"/>
  <c r="F231" i="49"/>
  <c r="F232" i="49"/>
  <c r="F233" i="49"/>
  <c r="F234" i="49"/>
  <c r="F235" i="49"/>
  <c r="F236" i="49"/>
  <c r="F237" i="49"/>
  <c r="F238" i="49"/>
  <c r="F239" i="49"/>
  <c r="F240" i="49"/>
  <c r="F241" i="49"/>
  <c r="F242" i="49"/>
  <c r="F243" i="49"/>
  <c r="F244" i="49"/>
  <c r="F245" i="49"/>
  <c r="F246" i="49"/>
  <c r="F247" i="49"/>
  <c r="F248" i="49"/>
  <c r="F249" i="49"/>
  <c r="F250" i="49"/>
  <c r="F251" i="49"/>
  <c r="F252" i="49"/>
  <c r="F253" i="49"/>
  <c r="F254" i="49"/>
  <c r="F255" i="49"/>
  <c r="F256" i="49"/>
  <c r="F257" i="49"/>
  <c r="F258" i="49"/>
  <c r="F259" i="49"/>
  <c r="F260" i="49"/>
  <c r="F261" i="49"/>
  <c r="F262" i="49"/>
  <c r="F263" i="49"/>
  <c r="F264" i="49"/>
  <c r="F265" i="49"/>
  <c r="F266" i="49"/>
  <c r="F267" i="49"/>
  <c r="F268" i="49"/>
  <c r="F269" i="49"/>
  <c r="F270" i="49"/>
  <c r="F271" i="49"/>
  <c r="F272" i="49"/>
  <c r="F273" i="49"/>
  <c r="F274" i="49"/>
  <c r="F275" i="49"/>
  <c r="F276" i="49"/>
  <c r="F277" i="49"/>
  <c r="F278" i="49"/>
  <c r="F279" i="49"/>
  <c r="F280" i="49"/>
  <c r="F281" i="49"/>
  <c r="F282" i="49"/>
  <c r="F283" i="49"/>
  <c r="F284" i="49"/>
  <c r="F285" i="49"/>
  <c r="F286" i="49"/>
  <c r="F287" i="49"/>
  <c r="F288" i="49"/>
  <c r="F289" i="49"/>
  <c r="F290" i="49"/>
  <c r="F291" i="49"/>
  <c r="F292" i="49"/>
  <c r="F293" i="49"/>
  <c r="F294" i="49"/>
  <c r="F295" i="49"/>
  <c r="F296" i="49"/>
  <c r="F297" i="49"/>
  <c r="F298" i="49"/>
  <c r="F299" i="49"/>
  <c r="F300" i="49"/>
  <c r="F301" i="49"/>
  <c r="F302" i="49"/>
  <c r="F303" i="49"/>
  <c r="F304" i="49"/>
  <c r="F305" i="49"/>
  <c r="F306" i="49"/>
  <c r="F307" i="49"/>
  <c r="F308" i="49"/>
  <c r="F309" i="49"/>
  <c r="F310" i="49"/>
  <c r="F311" i="49"/>
  <c r="F312" i="49"/>
  <c r="F313" i="49"/>
  <c r="F314" i="49"/>
  <c r="F315" i="49"/>
  <c r="F316" i="49"/>
  <c r="F317" i="49"/>
  <c r="F322" i="49"/>
  <c r="F323" i="49"/>
  <c r="F324" i="49"/>
  <c r="F325" i="49"/>
  <c r="F326" i="49"/>
  <c r="F327" i="49"/>
  <c r="F328" i="49"/>
  <c r="F329" i="49"/>
  <c r="F331" i="49"/>
  <c r="F332" i="49"/>
  <c r="F333" i="49"/>
  <c r="F334" i="49"/>
  <c r="F335" i="49"/>
  <c r="F336" i="49"/>
  <c r="F337" i="49"/>
  <c r="F338" i="49"/>
  <c r="F339" i="49"/>
  <c r="F340" i="49"/>
  <c r="F341" i="49"/>
  <c r="F342" i="49"/>
  <c r="F343" i="49"/>
  <c r="F344" i="49"/>
  <c r="F345" i="49"/>
  <c r="F346" i="49"/>
  <c r="F347" i="49"/>
  <c r="F348" i="49"/>
  <c r="F349" i="49"/>
  <c r="F350" i="49"/>
  <c r="F351" i="49"/>
  <c r="F352" i="49"/>
  <c r="F353" i="49"/>
  <c r="F354" i="49"/>
  <c r="F355" i="49"/>
  <c r="F356" i="49"/>
  <c r="F357" i="49"/>
  <c r="F358" i="49"/>
  <c r="F359" i="49"/>
  <c r="F362" i="49"/>
  <c r="F364" i="49"/>
  <c r="F365" i="49"/>
  <c r="F366" i="49"/>
  <c r="F367" i="49"/>
  <c r="F368" i="49"/>
  <c r="F369" i="49"/>
  <c r="F370" i="49"/>
  <c r="F371" i="49"/>
  <c r="F372" i="49"/>
  <c r="F373" i="49"/>
  <c r="F374" i="49"/>
  <c r="F375" i="49"/>
  <c r="F376" i="49"/>
  <c r="F377" i="49"/>
  <c r="F378" i="49"/>
  <c r="F379" i="49"/>
  <c r="F380" i="49"/>
  <c r="F381" i="49"/>
  <c r="F382" i="49"/>
  <c r="F383" i="49"/>
  <c r="F384" i="49"/>
  <c r="F386" i="49"/>
  <c r="F387" i="49"/>
  <c r="F388" i="49"/>
  <c r="F389" i="49"/>
  <c r="F390" i="49"/>
  <c r="F391" i="49"/>
  <c r="F392" i="49"/>
  <c r="F393" i="49"/>
  <c r="F394" i="49"/>
  <c r="F395" i="49"/>
  <c r="F396" i="49"/>
  <c r="F397" i="49"/>
  <c r="F398" i="49"/>
  <c r="F399" i="49"/>
  <c r="F400" i="49"/>
  <c r="F401" i="49"/>
  <c r="F402" i="49"/>
  <c r="F403" i="49"/>
  <c r="F404" i="49"/>
  <c r="F405" i="49"/>
  <c r="F406" i="49"/>
  <c r="F407" i="49"/>
  <c r="F408" i="49"/>
  <c r="F409" i="49"/>
  <c r="F410" i="49"/>
  <c r="F411" i="49"/>
  <c r="F412" i="49"/>
  <c r="F413" i="49"/>
  <c r="F414" i="49"/>
  <c r="F415" i="49"/>
  <c r="F416" i="49"/>
  <c r="F417" i="49"/>
  <c r="F418" i="49"/>
  <c r="F419" i="49"/>
  <c r="F420" i="49"/>
  <c r="F421" i="49"/>
  <c r="F422" i="49"/>
  <c r="F423" i="49"/>
  <c r="F424" i="49"/>
  <c r="F425" i="49"/>
  <c r="F426" i="49"/>
  <c r="F427" i="49"/>
  <c r="F428" i="49"/>
  <c r="F429" i="49"/>
  <c r="F430" i="49"/>
  <c r="F431" i="49"/>
  <c r="F432" i="49"/>
  <c r="F433" i="49"/>
  <c r="F434" i="49"/>
  <c r="F435" i="49"/>
  <c r="F436" i="49"/>
  <c r="F437" i="49"/>
  <c r="F438" i="49"/>
  <c r="F439" i="49"/>
  <c r="F440" i="49"/>
  <c r="F441" i="49"/>
  <c r="F442" i="49"/>
  <c r="F443" i="49"/>
  <c r="F444" i="49"/>
  <c r="F445" i="49"/>
  <c r="F446" i="49"/>
  <c r="F447" i="49"/>
  <c r="F448" i="49"/>
  <c r="F450" i="49"/>
  <c r="F451" i="49"/>
  <c r="F452" i="49"/>
  <c r="F453" i="49"/>
  <c r="F456" i="49"/>
  <c r="F457" i="49"/>
  <c r="F458" i="49"/>
  <c r="F459" i="49"/>
  <c r="F460" i="49"/>
  <c r="F461" i="49"/>
  <c r="F462" i="49"/>
  <c r="F463" i="49"/>
  <c r="F464" i="49"/>
  <c r="F465" i="49"/>
  <c r="F466" i="49"/>
  <c r="F467" i="49"/>
  <c r="F468" i="49"/>
  <c r="F469" i="49"/>
  <c r="F472" i="49"/>
  <c r="F473" i="49"/>
  <c r="F474" i="49"/>
  <c r="F475" i="49"/>
  <c r="F476" i="49"/>
  <c r="F477" i="49"/>
  <c r="F478" i="49"/>
  <c r="F479" i="49"/>
  <c r="F480" i="49"/>
  <c r="F481" i="49"/>
  <c r="F482" i="49"/>
  <c r="F483" i="49"/>
  <c r="F484" i="49"/>
  <c r="F485" i="49"/>
  <c r="F486" i="49"/>
  <c r="F487" i="49"/>
  <c r="F488" i="49"/>
  <c r="F489" i="49"/>
  <c r="F490" i="49"/>
  <c r="F491" i="49"/>
  <c r="F493" i="49"/>
  <c r="F494" i="49"/>
  <c r="F496" i="49"/>
  <c r="F498" i="49"/>
  <c r="G5" i="49"/>
  <c r="G6" i="49"/>
  <c r="G7" i="49"/>
  <c r="G8" i="49"/>
  <c r="G9" i="49"/>
  <c r="G10" i="49"/>
  <c r="G11" i="49"/>
  <c r="G12" i="49"/>
  <c r="G13" i="49"/>
  <c r="G14" i="49"/>
  <c r="G15" i="49"/>
  <c r="G16" i="49"/>
  <c r="G17" i="49"/>
  <c r="G18" i="49"/>
  <c r="G19" i="49"/>
  <c r="G20" i="49"/>
  <c r="G21" i="49"/>
  <c r="G22" i="49"/>
  <c r="G23" i="49"/>
  <c r="G24" i="49"/>
  <c r="G25" i="49"/>
  <c r="G26" i="49"/>
  <c r="G27" i="49"/>
  <c r="G30" i="49"/>
  <c r="G31" i="49"/>
  <c r="G32" i="49"/>
  <c r="G33" i="49"/>
  <c r="G34" i="49"/>
  <c r="G35" i="49"/>
  <c r="G36" i="49"/>
  <c r="G37" i="49"/>
  <c r="G38" i="49"/>
  <c r="G39" i="49"/>
  <c r="G40" i="49"/>
  <c r="G41" i="49"/>
  <c r="G42" i="49"/>
  <c r="G43" i="49"/>
  <c r="G44" i="49"/>
  <c r="G45" i="49"/>
  <c r="G46" i="49"/>
  <c r="G48" i="49"/>
  <c r="G49" i="49"/>
  <c r="G50" i="49"/>
  <c r="G51" i="49"/>
  <c r="G52" i="49"/>
  <c r="G53" i="49"/>
  <c r="G54" i="49"/>
  <c r="G55" i="49"/>
  <c r="G56" i="49"/>
  <c r="G57" i="49"/>
  <c r="G58" i="49"/>
  <c r="G59" i="49"/>
  <c r="G60" i="49"/>
  <c r="G61" i="49"/>
  <c r="G62" i="49"/>
  <c r="G63" i="49"/>
  <c r="G64" i="49"/>
  <c r="G65" i="49"/>
  <c r="G66" i="49"/>
  <c r="G67" i="49"/>
  <c r="G68" i="49"/>
  <c r="G71" i="49"/>
  <c r="G72" i="49"/>
  <c r="G73" i="49"/>
  <c r="G74" i="49"/>
  <c r="G76" i="49"/>
  <c r="G77" i="49"/>
  <c r="G78" i="49"/>
  <c r="G79" i="49"/>
  <c r="G80" i="49"/>
  <c r="G81" i="49"/>
  <c r="G82" i="49"/>
  <c r="G83" i="49"/>
  <c r="G84" i="49"/>
  <c r="G85" i="49"/>
  <c r="G86" i="49"/>
  <c r="G87" i="49"/>
  <c r="G88" i="49"/>
  <c r="G89" i="49"/>
  <c r="G90" i="49"/>
  <c r="G91" i="49"/>
  <c r="G92" i="49"/>
  <c r="G94" i="49"/>
  <c r="G95" i="49"/>
  <c r="G97" i="49"/>
  <c r="G98" i="49"/>
  <c r="G99" i="49"/>
  <c r="G100" i="49"/>
  <c r="G101" i="49"/>
  <c r="G102" i="49"/>
  <c r="G103" i="49"/>
  <c r="G104" i="49"/>
  <c r="G105" i="49"/>
  <c r="G106" i="49"/>
  <c r="G107" i="49"/>
  <c r="G108" i="49"/>
  <c r="G109" i="49"/>
  <c r="G110" i="49"/>
  <c r="G111" i="49"/>
  <c r="G112" i="49"/>
  <c r="G113" i="49"/>
  <c r="G114" i="49"/>
  <c r="G115" i="49"/>
  <c r="G116" i="49"/>
  <c r="G117" i="49"/>
  <c r="G118" i="49"/>
  <c r="G119" i="49"/>
  <c r="G120" i="49"/>
  <c r="G121" i="49"/>
  <c r="G122" i="49"/>
  <c r="G123" i="49"/>
  <c r="G124" i="49"/>
  <c r="G125" i="49"/>
  <c r="G126" i="49"/>
  <c r="G127" i="49"/>
  <c r="G128" i="49"/>
  <c r="G129" i="49"/>
  <c r="G130" i="49"/>
  <c r="G131" i="49"/>
  <c r="G132" i="49"/>
  <c r="G133" i="49"/>
  <c r="G134" i="49"/>
  <c r="G135" i="49"/>
  <c r="G136" i="49"/>
  <c r="G137" i="49"/>
  <c r="G138" i="49"/>
  <c r="G139" i="49"/>
  <c r="G140" i="49"/>
  <c r="G141" i="49"/>
  <c r="G142" i="49"/>
  <c r="G143" i="49"/>
  <c r="G144" i="49"/>
  <c r="G145" i="49"/>
  <c r="G146" i="49"/>
  <c r="G147" i="49"/>
  <c r="G148" i="49"/>
  <c r="G149" i="49"/>
  <c r="G150" i="49"/>
  <c r="G151" i="49"/>
  <c r="G152" i="49"/>
  <c r="G153" i="49"/>
  <c r="G154" i="49"/>
  <c r="G155" i="49"/>
  <c r="G156" i="49"/>
  <c r="G157" i="49"/>
  <c r="G158" i="49"/>
  <c r="G159" i="49"/>
  <c r="G160" i="49"/>
  <c r="G161" i="49"/>
  <c r="G162" i="49"/>
  <c r="G163" i="49"/>
  <c r="G164" i="49"/>
  <c r="G165" i="49"/>
  <c r="G166" i="49"/>
  <c r="G168" i="49"/>
  <c r="G169" i="49"/>
  <c r="G170" i="49"/>
  <c r="G171" i="49"/>
  <c r="G172" i="49"/>
  <c r="G173" i="49"/>
  <c r="G174" i="49"/>
  <c r="G175" i="49"/>
  <c r="G176" i="49"/>
  <c r="G177" i="49"/>
  <c r="G178" i="49"/>
  <c r="G179" i="49"/>
  <c r="G180" i="49"/>
  <c r="G181" i="49"/>
  <c r="G182" i="49"/>
  <c r="G183" i="49"/>
  <c r="G184" i="49"/>
  <c r="G185" i="49"/>
  <c r="G186" i="49"/>
  <c r="G187" i="49"/>
  <c r="G188" i="49"/>
  <c r="G189" i="49"/>
  <c r="G190" i="49"/>
  <c r="G191" i="49"/>
  <c r="G192" i="49"/>
  <c r="G193" i="49"/>
  <c r="G194" i="49"/>
  <c r="G195" i="49"/>
  <c r="G196" i="49"/>
  <c r="G198" i="49"/>
  <c r="G199" i="49"/>
  <c r="G200" i="49"/>
  <c r="G201" i="49"/>
  <c r="G202" i="49"/>
  <c r="G206" i="49"/>
  <c r="G207" i="49"/>
  <c r="G208" i="49"/>
  <c r="G209" i="49"/>
  <c r="G210" i="49"/>
  <c r="G211" i="49"/>
  <c r="G212" i="49"/>
  <c r="G213" i="49"/>
  <c r="G214" i="49"/>
  <c r="G215" i="49"/>
  <c r="G216" i="49"/>
  <c r="G217" i="49"/>
  <c r="G218" i="49"/>
  <c r="G219" i="49"/>
  <c r="G220" i="49"/>
  <c r="G221" i="49"/>
  <c r="G222" i="49"/>
  <c r="G223" i="49"/>
  <c r="G224" i="49"/>
  <c r="G225" i="49"/>
  <c r="G226" i="49"/>
  <c r="G227" i="49"/>
  <c r="G228" i="49"/>
  <c r="G229" i="49"/>
  <c r="G230" i="49"/>
  <c r="G231" i="49"/>
  <c r="G232" i="49"/>
  <c r="G233" i="49"/>
  <c r="G234" i="49"/>
  <c r="G235" i="49"/>
  <c r="G236" i="49"/>
  <c r="G237" i="49"/>
  <c r="G238" i="49"/>
  <c r="G239" i="49"/>
  <c r="G240" i="49"/>
  <c r="G241" i="49"/>
  <c r="G242" i="49"/>
  <c r="G243" i="49"/>
  <c r="G244" i="49"/>
  <c r="G245" i="49"/>
  <c r="G246" i="49"/>
  <c r="G247" i="49"/>
  <c r="G248" i="49"/>
  <c r="G249" i="49"/>
  <c r="G250" i="49"/>
  <c r="G251" i="49"/>
  <c r="G252" i="49"/>
  <c r="G253" i="49"/>
  <c r="G254" i="49"/>
  <c r="G255" i="49"/>
  <c r="G256" i="49"/>
  <c r="G257" i="49"/>
  <c r="G258" i="49"/>
  <c r="G259" i="49"/>
  <c r="G260" i="49"/>
  <c r="G261" i="49"/>
  <c r="G262" i="49"/>
  <c r="G263" i="49"/>
  <c r="G264" i="49"/>
  <c r="G265" i="49"/>
  <c r="G266" i="49"/>
  <c r="G267" i="49"/>
  <c r="G268" i="49"/>
  <c r="G269" i="49"/>
  <c r="G270" i="49"/>
  <c r="G271" i="49"/>
  <c r="G272" i="49"/>
  <c r="G273" i="49"/>
  <c r="G274" i="49"/>
  <c r="G275" i="49"/>
  <c r="G276" i="49"/>
  <c r="G277" i="49"/>
  <c r="G278" i="49"/>
  <c r="G279" i="49"/>
  <c r="G280" i="49"/>
  <c r="G281" i="49"/>
  <c r="G282" i="49"/>
  <c r="G283" i="49"/>
  <c r="G284" i="49"/>
  <c r="G285" i="49"/>
  <c r="G286" i="49"/>
  <c r="G287" i="49"/>
  <c r="G288" i="49"/>
  <c r="G289" i="49"/>
  <c r="G290" i="49"/>
  <c r="G291" i="49"/>
  <c r="G292" i="49"/>
  <c r="G293" i="49"/>
  <c r="G294" i="49"/>
  <c r="G295" i="49"/>
  <c r="G296" i="49"/>
  <c r="G297" i="49"/>
  <c r="G298" i="49"/>
  <c r="G299" i="49"/>
  <c r="G300" i="49"/>
  <c r="G301" i="49"/>
  <c r="G302" i="49"/>
  <c r="G303" i="49"/>
  <c r="G304" i="49"/>
  <c r="G305" i="49"/>
  <c r="G306" i="49"/>
  <c r="G307" i="49"/>
  <c r="G308" i="49"/>
  <c r="G309" i="49"/>
  <c r="G310" i="49"/>
  <c r="G311" i="49"/>
  <c r="G312" i="49"/>
  <c r="G313" i="49"/>
  <c r="G314" i="49"/>
  <c r="G315" i="49"/>
  <c r="G316" i="49"/>
  <c r="G317" i="49"/>
  <c r="G322" i="49"/>
  <c r="G323" i="49"/>
  <c r="G324" i="49"/>
  <c r="G325" i="49"/>
  <c r="G326" i="49"/>
  <c r="G327" i="49"/>
  <c r="G328" i="49"/>
  <c r="G329" i="49"/>
  <c r="G331" i="49"/>
  <c r="G332" i="49"/>
  <c r="G333" i="49"/>
  <c r="G334" i="49"/>
  <c r="G335" i="49"/>
  <c r="G336" i="49"/>
  <c r="G337" i="49"/>
  <c r="G338" i="49"/>
  <c r="G339" i="49"/>
  <c r="G340" i="49"/>
  <c r="G341" i="49"/>
  <c r="G342" i="49"/>
  <c r="G343" i="49"/>
  <c r="G344" i="49"/>
  <c r="G345" i="49"/>
  <c r="G346" i="49"/>
  <c r="G347" i="49"/>
  <c r="G348" i="49"/>
  <c r="G349" i="49"/>
  <c r="G350" i="49"/>
  <c r="G351" i="49"/>
  <c r="G352" i="49"/>
  <c r="G353" i="49"/>
  <c r="G354" i="49"/>
  <c r="G355" i="49"/>
  <c r="G356" i="49"/>
  <c r="G357" i="49"/>
  <c r="G358" i="49"/>
  <c r="G359" i="49"/>
  <c r="G362" i="49"/>
  <c r="G364" i="49"/>
  <c r="G365" i="49"/>
  <c r="G366" i="49"/>
  <c r="G367" i="49"/>
  <c r="G368" i="49"/>
  <c r="G369" i="49"/>
  <c r="G370" i="49"/>
  <c r="G371" i="49"/>
  <c r="G372" i="49"/>
  <c r="G373" i="49"/>
  <c r="G374" i="49"/>
  <c r="G375" i="49"/>
  <c r="G376" i="49"/>
  <c r="G377" i="49"/>
  <c r="G378" i="49"/>
  <c r="G379" i="49"/>
  <c r="G380" i="49"/>
  <c r="G381" i="49"/>
  <c r="G382" i="49"/>
  <c r="G383" i="49"/>
  <c r="G384" i="49"/>
  <c r="G386" i="49"/>
  <c r="G387" i="49"/>
  <c r="G388" i="49"/>
  <c r="G389" i="49"/>
  <c r="G390" i="49"/>
  <c r="G391" i="49"/>
  <c r="G392" i="49"/>
  <c r="G393" i="49"/>
  <c r="G394" i="49"/>
  <c r="G395" i="49"/>
  <c r="G396" i="49"/>
  <c r="G397" i="49"/>
  <c r="G398" i="49"/>
  <c r="G399" i="49"/>
  <c r="G400" i="49"/>
  <c r="G401" i="49"/>
  <c r="G402" i="49"/>
  <c r="G403" i="49"/>
  <c r="G404" i="49"/>
  <c r="G405" i="49"/>
  <c r="G406" i="49"/>
  <c r="G407" i="49"/>
  <c r="G408" i="49"/>
  <c r="G409" i="49"/>
  <c r="G410" i="49"/>
  <c r="G411" i="49"/>
  <c r="G412" i="49"/>
  <c r="G413" i="49"/>
  <c r="G414" i="49"/>
  <c r="G415" i="49"/>
  <c r="G416" i="49"/>
  <c r="G417" i="49"/>
  <c r="G418" i="49"/>
  <c r="G419" i="49"/>
  <c r="G420" i="49"/>
  <c r="G421" i="49"/>
  <c r="G422" i="49"/>
  <c r="G423" i="49"/>
  <c r="G424" i="49"/>
  <c r="G425" i="49"/>
  <c r="G426" i="49"/>
  <c r="G427" i="49"/>
  <c r="G428" i="49"/>
  <c r="G429" i="49"/>
  <c r="G430" i="49"/>
  <c r="G431" i="49"/>
  <c r="G432" i="49"/>
  <c r="G433" i="49"/>
  <c r="G434" i="49"/>
  <c r="G435" i="49"/>
  <c r="G436" i="49"/>
  <c r="G437" i="49"/>
  <c r="G438" i="49"/>
  <c r="G439" i="49"/>
  <c r="G440" i="49"/>
  <c r="G441" i="49"/>
  <c r="G442" i="49"/>
  <c r="G443" i="49"/>
  <c r="G444" i="49"/>
  <c r="G445" i="49"/>
  <c r="G446" i="49"/>
  <c r="G447" i="49"/>
  <c r="G448" i="49"/>
  <c r="G450" i="49"/>
  <c r="G451" i="49"/>
  <c r="G452" i="49"/>
  <c r="G453" i="49"/>
  <c r="G456" i="49"/>
  <c r="G457" i="49"/>
  <c r="G458" i="49"/>
  <c r="G459" i="49"/>
  <c r="G460" i="49"/>
  <c r="G461" i="49"/>
  <c r="G462" i="49"/>
  <c r="G463" i="49"/>
  <c r="G464" i="49"/>
  <c r="G465" i="49"/>
  <c r="G466" i="49"/>
  <c r="G467" i="49"/>
  <c r="G468" i="49"/>
  <c r="G469" i="49"/>
  <c r="G472" i="49"/>
  <c r="G473" i="49"/>
  <c r="G474" i="49"/>
  <c r="G475" i="49"/>
  <c r="G476" i="49"/>
  <c r="G477" i="49"/>
  <c r="G478" i="49"/>
  <c r="G479" i="49"/>
  <c r="G480" i="49"/>
  <c r="G481" i="49"/>
  <c r="G482" i="49"/>
  <c r="G483" i="49"/>
  <c r="G484" i="49"/>
  <c r="G485" i="49"/>
  <c r="G486" i="49"/>
  <c r="G487" i="49"/>
  <c r="G488" i="49"/>
  <c r="G489" i="49"/>
  <c r="G490" i="49"/>
  <c r="G491" i="49"/>
  <c r="G493" i="49"/>
  <c r="G494" i="49"/>
  <c r="G496" i="49"/>
  <c r="G498" i="49"/>
  <c r="DV498" i="49"/>
  <c r="DV5" i="49"/>
  <c r="DV6" i="49"/>
  <c r="DV7" i="49"/>
  <c r="DV8" i="49"/>
  <c r="DV9" i="49"/>
  <c r="DV10" i="49"/>
  <c r="DV11" i="49"/>
  <c r="DV12" i="49"/>
  <c r="DV13" i="49"/>
  <c r="DV14" i="49"/>
  <c r="DV15" i="49"/>
  <c r="DV16" i="49"/>
  <c r="DV17" i="49"/>
  <c r="DV18" i="49"/>
  <c r="DV19" i="49"/>
  <c r="DV20" i="49"/>
  <c r="DV21" i="49"/>
  <c r="DV22" i="49"/>
  <c r="DV23" i="49"/>
  <c r="DV24" i="49"/>
  <c r="DV25" i="49"/>
  <c r="DV26" i="49"/>
  <c r="DV27" i="49"/>
  <c r="DV28" i="49"/>
  <c r="DV29" i="49"/>
  <c r="DV30" i="49"/>
  <c r="DV31" i="49"/>
  <c r="DV32" i="49"/>
  <c r="DV33" i="49"/>
  <c r="DV34" i="49"/>
  <c r="DV35" i="49"/>
  <c r="DV36" i="49"/>
  <c r="DV37" i="49"/>
  <c r="DV38" i="49"/>
  <c r="DV39" i="49"/>
  <c r="DV40" i="49"/>
  <c r="DV41" i="49"/>
  <c r="DV42" i="49"/>
  <c r="DV43" i="49"/>
  <c r="DV44" i="49"/>
  <c r="DV45" i="49"/>
  <c r="DV46" i="49"/>
  <c r="DV47" i="49"/>
  <c r="DV48" i="49"/>
  <c r="DV49" i="49"/>
  <c r="DV50" i="49"/>
  <c r="DV51" i="49"/>
  <c r="DV52" i="49"/>
  <c r="DV53" i="49"/>
  <c r="DV54" i="49"/>
  <c r="DV55" i="49"/>
  <c r="DV56" i="49"/>
  <c r="DV57" i="49"/>
  <c r="DV58" i="49"/>
  <c r="DV59" i="49"/>
  <c r="DV60" i="49"/>
  <c r="DV61" i="49"/>
  <c r="DV62" i="49"/>
  <c r="DV63" i="49"/>
  <c r="DV64" i="49"/>
  <c r="DV65" i="49"/>
  <c r="DV66" i="49"/>
  <c r="DV67" i="49"/>
  <c r="DV68" i="49"/>
  <c r="DV69" i="49"/>
  <c r="DV70" i="49"/>
  <c r="DV71" i="49"/>
  <c r="DV72" i="49"/>
  <c r="DV73" i="49"/>
  <c r="DV74" i="49"/>
  <c r="DV75" i="49"/>
  <c r="DV76" i="49"/>
  <c r="DV77" i="49"/>
  <c r="DV78" i="49"/>
  <c r="DV79" i="49"/>
  <c r="DV80" i="49"/>
  <c r="DV81" i="49"/>
  <c r="DV82" i="49"/>
  <c r="DV83" i="49"/>
  <c r="DV84" i="49"/>
  <c r="DV85" i="49"/>
  <c r="DV86" i="49"/>
  <c r="DV87" i="49"/>
  <c r="DV88" i="49"/>
  <c r="DV89" i="49"/>
  <c r="DV90" i="49"/>
  <c r="DV91" i="49"/>
  <c r="DV92" i="49"/>
  <c r="DV93" i="49"/>
  <c r="DV94" i="49"/>
  <c r="DV95" i="49"/>
  <c r="DV96" i="49"/>
  <c r="DV97" i="49"/>
  <c r="DV98" i="49"/>
  <c r="DV99" i="49"/>
  <c r="DV100" i="49"/>
  <c r="DV101" i="49"/>
  <c r="DV102" i="49"/>
  <c r="DV103" i="49"/>
  <c r="DV104" i="49"/>
  <c r="DV105" i="49"/>
  <c r="DV106" i="49"/>
  <c r="DV107" i="49"/>
  <c r="DV108" i="49"/>
  <c r="DV109" i="49"/>
  <c r="DV110" i="49"/>
  <c r="DV111" i="49"/>
  <c r="DV112" i="49"/>
  <c r="DV113" i="49"/>
  <c r="DV114" i="49"/>
  <c r="DV115" i="49"/>
  <c r="DV116" i="49"/>
  <c r="DV117" i="49"/>
  <c r="DV118" i="49"/>
  <c r="DV119" i="49"/>
  <c r="DV120" i="49"/>
  <c r="DV121" i="49"/>
  <c r="DV122" i="49"/>
  <c r="DV123" i="49"/>
  <c r="DV124" i="49"/>
  <c r="DV125" i="49"/>
  <c r="DV126" i="49"/>
  <c r="DV127" i="49"/>
  <c r="DV128" i="49"/>
  <c r="DV129" i="49"/>
  <c r="DV130" i="49"/>
  <c r="DV131" i="49"/>
  <c r="DV132" i="49"/>
  <c r="DV133" i="49"/>
  <c r="DV134" i="49"/>
  <c r="DV135" i="49"/>
  <c r="DV136" i="49"/>
  <c r="DV137" i="49"/>
  <c r="DV138" i="49"/>
  <c r="DV139" i="49"/>
  <c r="DV140" i="49"/>
  <c r="DV141" i="49"/>
  <c r="DV142" i="49"/>
  <c r="DV143" i="49"/>
  <c r="DV144" i="49"/>
  <c r="DV145" i="49"/>
  <c r="DV146" i="49"/>
  <c r="DV147" i="49"/>
  <c r="DV148" i="49"/>
  <c r="DV149" i="49"/>
  <c r="DV150" i="49"/>
  <c r="DV151" i="49"/>
  <c r="DV152" i="49"/>
  <c r="DV153" i="49"/>
  <c r="DV154" i="49"/>
  <c r="DV155" i="49"/>
  <c r="DV156" i="49"/>
  <c r="DV157" i="49"/>
  <c r="DV158" i="49"/>
  <c r="DV159" i="49"/>
  <c r="DV160" i="49"/>
  <c r="DV161" i="49"/>
  <c r="DV162" i="49"/>
  <c r="DV163" i="49"/>
  <c r="DV164" i="49"/>
  <c r="DV165" i="49"/>
  <c r="DV166" i="49"/>
  <c r="DV167" i="49"/>
  <c r="DV168" i="49"/>
  <c r="DV169" i="49"/>
  <c r="DV170" i="49"/>
  <c r="DV171" i="49"/>
  <c r="DV172" i="49"/>
  <c r="DV173" i="49"/>
  <c r="DV174" i="49"/>
  <c r="DV175" i="49"/>
  <c r="DV176" i="49"/>
  <c r="DV177" i="49"/>
  <c r="DV178" i="49"/>
  <c r="DV179" i="49"/>
  <c r="DV180" i="49"/>
  <c r="DV181" i="49"/>
  <c r="DV182" i="49"/>
  <c r="DV183" i="49"/>
  <c r="DV184" i="49"/>
  <c r="DV185" i="49"/>
  <c r="DV186" i="49"/>
  <c r="DV187" i="49"/>
  <c r="DV188" i="49"/>
  <c r="DV189" i="49"/>
  <c r="DV190" i="49"/>
  <c r="DV191" i="49"/>
  <c r="DV192" i="49"/>
  <c r="DV193" i="49"/>
  <c r="DV194" i="49"/>
  <c r="DV195" i="49"/>
  <c r="DV196" i="49"/>
  <c r="DV197" i="49"/>
  <c r="DV198" i="49"/>
  <c r="DV199" i="49"/>
  <c r="DV200" i="49"/>
  <c r="DV201" i="49"/>
  <c r="DV202" i="49"/>
  <c r="DV205" i="49"/>
  <c r="DV206" i="49"/>
  <c r="DV207" i="49"/>
  <c r="DV208" i="49"/>
  <c r="DV209" i="49"/>
  <c r="DV210" i="49"/>
  <c r="DV211" i="49"/>
  <c r="DV212" i="49"/>
  <c r="DV213" i="49"/>
  <c r="DV214" i="49"/>
  <c r="DV215" i="49"/>
  <c r="DV216" i="49"/>
  <c r="DV217" i="49"/>
  <c r="DV218" i="49"/>
  <c r="DV219" i="49"/>
  <c r="DV220" i="49"/>
  <c r="DV221" i="49"/>
  <c r="DV222" i="49"/>
  <c r="DV223" i="49"/>
  <c r="DV224" i="49"/>
  <c r="DV225" i="49"/>
  <c r="DV226" i="49"/>
  <c r="DV227" i="49"/>
  <c r="DV228" i="49"/>
  <c r="DV229" i="49"/>
  <c r="DV230" i="49"/>
  <c r="DV231" i="49"/>
  <c r="DV232" i="49"/>
  <c r="DV233" i="49"/>
  <c r="DV234" i="49"/>
  <c r="DV235" i="49"/>
  <c r="DV236" i="49"/>
  <c r="DV237" i="49"/>
  <c r="DV238" i="49"/>
  <c r="DV239" i="49"/>
  <c r="DV240" i="49"/>
  <c r="DV241" i="49"/>
  <c r="DV242" i="49"/>
  <c r="DV243" i="49"/>
  <c r="DV244" i="49"/>
  <c r="DV245" i="49"/>
  <c r="DV246" i="49"/>
  <c r="DV247" i="49"/>
  <c r="DV248" i="49"/>
  <c r="DV249" i="49"/>
  <c r="DV250" i="49"/>
  <c r="DV251" i="49"/>
  <c r="DV252" i="49"/>
  <c r="DV253" i="49"/>
  <c r="DV254" i="49"/>
  <c r="DV255" i="49"/>
  <c r="DV256" i="49"/>
  <c r="DV257" i="49"/>
  <c r="DV258" i="49"/>
  <c r="DV259" i="49"/>
  <c r="DV260" i="49"/>
  <c r="DV261" i="49"/>
  <c r="DV262" i="49"/>
  <c r="DV263" i="49"/>
  <c r="DV264" i="49"/>
  <c r="DV265" i="49"/>
  <c r="DV266" i="49"/>
  <c r="DV267" i="49"/>
  <c r="DV268" i="49"/>
  <c r="DV269" i="49"/>
  <c r="DV270" i="49"/>
  <c r="DV271" i="49"/>
  <c r="DV272" i="49"/>
  <c r="DV273" i="49"/>
  <c r="DV274" i="49"/>
  <c r="DV275" i="49"/>
  <c r="DV276" i="49"/>
  <c r="DV277" i="49"/>
  <c r="DV278" i="49"/>
  <c r="DV279" i="49"/>
  <c r="DV280" i="49"/>
  <c r="DV281" i="49"/>
  <c r="DV282" i="49"/>
  <c r="DV283" i="49"/>
  <c r="DV284" i="49"/>
  <c r="DV285" i="49"/>
  <c r="DV286" i="49"/>
  <c r="DV287" i="49"/>
  <c r="DV288" i="49"/>
  <c r="DV289" i="49"/>
  <c r="DV290" i="49"/>
  <c r="DV291" i="49"/>
  <c r="DV292" i="49"/>
  <c r="DV293" i="49"/>
  <c r="DV294" i="49"/>
  <c r="DV295" i="49"/>
  <c r="DV296" i="49"/>
  <c r="DV297" i="49"/>
  <c r="DV298" i="49"/>
  <c r="DV299" i="49"/>
  <c r="DV300" i="49"/>
  <c r="DV301" i="49"/>
  <c r="DV302" i="49"/>
  <c r="DV303" i="49"/>
  <c r="DV304" i="49"/>
  <c r="DV305" i="49"/>
  <c r="DV306" i="49"/>
  <c r="DV307" i="49"/>
  <c r="DV308" i="49"/>
  <c r="DV309" i="49"/>
  <c r="DV310" i="49"/>
  <c r="DV311" i="49"/>
  <c r="DV312" i="49"/>
  <c r="DV313" i="49"/>
  <c r="DV314" i="49"/>
  <c r="DV315" i="49"/>
  <c r="DV316" i="49"/>
  <c r="DV317" i="49"/>
  <c r="DV321" i="49"/>
  <c r="DV322" i="49"/>
  <c r="DV323" i="49"/>
  <c r="DV324" i="49"/>
  <c r="DV325" i="49"/>
  <c r="DV326" i="49"/>
  <c r="DV327" i="49"/>
  <c r="DV328" i="49"/>
  <c r="DV329" i="49"/>
  <c r="DV331" i="49"/>
  <c r="DV332" i="49"/>
  <c r="DV333" i="49"/>
  <c r="DV334" i="49"/>
  <c r="DV335" i="49"/>
  <c r="DV336" i="49"/>
  <c r="DV337" i="49"/>
  <c r="DV338" i="49"/>
  <c r="DV339" i="49"/>
  <c r="DV340" i="49"/>
  <c r="DV341" i="49"/>
  <c r="DV342" i="49"/>
  <c r="DV343" i="49"/>
  <c r="DV344" i="49"/>
  <c r="DV345" i="49"/>
  <c r="DV346" i="49"/>
  <c r="DV347" i="49"/>
  <c r="DV348" i="49"/>
  <c r="DV349" i="49"/>
  <c r="DV350" i="49"/>
  <c r="DV351" i="49"/>
  <c r="DV352" i="49"/>
  <c r="DV353" i="49"/>
  <c r="DV354" i="49"/>
  <c r="DV355" i="49"/>
  <c r="DV356" i="49"/>
  <c r="DV357" i="49"/>
  <c r="DV358" i="49"/>
  <c r="DV359" i="49"/>
  <c r="DV360" i="49"/>
  <c r="DV361" i="49"/>
  <c r="DV362" i="49"/>
  <c r="DV363" i="49"/>
  <c r="DV364" i="49"/>
  <c r="DV365" i="49"/>
  <c r="DV366" i="49"/>
  <c r="DV367" i="49"/>
  <c r="DV368" i="49"/>
  <c r="DV369" i="49"/>
  <c r="DV370" i="49"/>
  <c r="DV371" i="49"/>
  <c r="DV372" i="49"/>
  <c r="DV373" i="49"/>
  <c r="DV374" i="49"/>
  <c r="DV375" i="49"/>
  <c r="DV376" i="49"/>
  <c r="DV377" i="49"/>
  <c r="DV378" i="49"/>
  <c r="DV379" i="49"/>
  <c r="DV380" i="49"/>
  <c r="DV381" i="49"/>
  <c r="DV382" i="49"/>
  <c r="DV383" i="49"/>
  <c r="DV384" i="49"/>
  <c r="DV385" i="49"/>
  <c r="DV386" i="49"/>
  <c r="DV387" i="49"/>
  <c r="DV388" i="49"/>
  <c r="DV389" i="49"/>
  <c r="DV390" i="49"/>
  <c r="DV391" i="49"/>
  <c r="DV392" i="49"/>
  <c r="DV393" i="49"/>
  <c r="DV394" i="49"/>
  <c r="DV395" i="49"/>
  <c r="DV396" i="49"/>
  <c r="DV397" i="49"/>
  <c r="DV398" i="49"/>
  <c r="DV399" i="49"/>
  <c r="DV400" i="49"/>
  <c r="DV401" i="49"/>
  <c r="DV402" i="49"/>
  <c r="DV403" i="49"/>
  <c r="DV404" i="49"/>
  <c r="DV405" i="49"/>
  <c r="DV406" i="49"/>
  <c r="DV407" i="49"/>
  <c r="DV408" i="49"/>
  <c r="DV409" i="49"/>
  <c r="DV410" i="49"/>
  <c r="DV411" i="49"/>
  <c r="DV412" i="49"/>
  <c r="DV413" i="49"/>
  <c r="DV414" i="49"/>
  <c r="DV415" i="49"/>
  <c r="DV416" i="49"/>
  <c r="DV417" i="49"/>
  <c r="DV418" i="49"/>
  <c r="DV419" i="49"/>
  <c r="DV420" i="49"/>
  <c r="DV421" i="49"/>
  <c r="DV422" i="49"/>
  <c r="DV423" i="49"/>
  <c r="DV424" i="49"/>
  <c r="DV425" i="49"/>
  <c r="DV426" i="49"/>
  <c r="DV427" i="49"/>
  <c r="DV428" i="49"/>
  <c r="DV429" i="49"/>
  <c r="DV430" i="49"/>
  <c r="DV431" i="49"/>
  <c r="DV432" i="49"/>
  <c r="DV433" i="49"/>
  <c r="DV434" i="49"/>
  <c r="DV435" i="49"/>
  <c r="DV436" i="49"/>
  <c r="DV437" i="49"/>
  <c r="DV438" i="49"/>
  <c r="DV439" i="49"/>
  <c r="DV440" i="49"/>
  <c r="DV441" i="49"/>
  <c r="DV442" i="49"/>
  <c r="DV443" i="49"/>
  <c r="DV444" i="49"/>
  <c r="DV445" i="49"/>
  <c r="DV446" i="49"/>
  <c r="DV447" i="49"/>
  <c r="DV448" i="49"/>
  <c r="DV449" i="49"/>
  <c r="DV450" i="49"/>
  <c r="DV451" i="49"/>
  <c r="DV452" i="49"/>
  <c r="DV453" i="49"/>
  <c r="DV454" i="49"/>
  <c r="DV455" i="49"/>
  <c r="DV456" i="49"/>
  <c r="DV457" i="49"/>
  <c r="DV458" i="49"/>
  <c r="DV459" i="49"/>
  <c r="DV460" i="49"/>
  <c r="DV461" i="49"/>
  <c r="DV462" i="49"/>
  <c r="DV463" i="49"/>
  <c r="DV464" i="49"/>
  <c r="DV465" i="49"/>
  <c r="DV466" i="49"/>
  <c r="DV467" i="49"/>
  <c r="DV468" i="49"/>
  <c r="DV469" i="49"/>
  <c r="DV470" i="49"/>
  <c r="DV471" i="49"/>
  <c r="DV472" i="49"/>
  <c r="DV473" i="49"/>
  <c r="DV474" i="49"/>
  <c r="DV475" i="49"/>
  <c r="DV476" i="49"/>
  <c r="DV477" i="49"/>
  <c r="DV478" i="49"/>
  <c r="DV479" i="49"/>
  <c r="DV480" i="49"/>
  <c r="DV481" i="49"/>
  <c r="DV482" i="49"/>
  <c r="DV483" i="49"/>
  <c r="DV484" i="49"/>
  <c r="DV485" i="49"/>
  <c r="DV486" i="49"/>
  <c r="DV487" i="49"/>
  <c r="DV489" i="49"/>
  <c r="DV491" i="49"/>
  <c r="DV492" i="49"/>
  <c r="DV493" i="49"/>
  <c r="DV494" i="49"/>
  <c r="DV496" i="49"/>
  <c r="DV500" i="49"/>
  <c r="AT573" i="46"/>
  <c r="AT572" i="46"/>
  <c r="AT571" i="46"/>
  <c r="AT570" i="46"/>
  <c r="AT569" i="46"/>
  <c r="AT568" i="46"/>
  <c r="AT567" i="46"/>
  <c r="AT566" i="46"/>
  <c r="AT565" i="46"/>
  <c r="AT564" i="46"/>
  <c r="AT563" i="46"/>
  <c r="AT562" i="46"/>
  <c r="AT561" i="46"/>
  <c r="AT560" i="46"/>
  <c r="AT555" i="46"/>
  <c r="AT554" i="46"/>
  <c r="AT553" i="46"/>
  <c r="AT552" i="46"/>
  <c r="AT551" i="46"/>
  <c r="AT550" i="46"/>
  <c r="AT549" i="46"/>
  <c r="AT548" i="46"/>
  <c r="AT547" i="46"/>
  <c r="AT546" i="46"/>
  <c r="AT545" i="46"/>
  <c r="AT544" i="46"/>
  <c r="AT543" i="46"/>
  <c r="AT542" i="46"/>
  <c r="AT541" i="46"/>
  <c r="AT540" i="46"/>
  <c r="AT539" i="46"/>
  <c r="AT538" i="46"/>
  <c r="AT537" i="46"/>
  <c r="AT536" i="46"/>
  <c r="AT535" i="46"/>
  <c r="AT534" i="46"/>
  <c r="AT533" i="46"/>
  <c r="AT532" i="46"/>
  <c r="AT531" i="46"/>
  <c r="AT530" i="46"/>
  <c r="AT529" i="46"/>
  <c r="AT528" i="46"/>
  <c r="AT527" i="46"/>
  <c r="AT526" i="46"/>
  <c r="AT525" i="46"/>
  <c r="AT524" i="46"/>
  <c r="AT523" i="46"/>
  <c r="AT522" i="46"/>
  <c r="AT521" i="46"/>
  <c r="AT520" i="46"/>
  <c r="AT519" i="46"/>
  <c r="AT518" i="46"/>
  <c r="AT516" i="46"/>
  <c r="AT517" i="46"/>
  <c r="AT557" i="46"/>
  <c r="AT511" i="46"/>
  <c r="AT510" i="46"/>
  <c r="AT509" i="46"/>
  <c r="AT508" i="46"/>
  <c r="AT507" i="46"/>
  <c r="AT506" i="46"/>
  <c r="AT503" i="46"/>
  <c r="AT504" i="46"/>
  <c r="AT505" i="46"/>
  <c r="AT513" i="46"/>
  <c r="AT498" i="46"/>
  <c r="BC498" i="46"/>
  <c r="AT497" i="46"/>
  <c r="AT496" i="46"/>
  <c r="AT495" i="46"/>
  <c r="AT494" i="46"/>
  <c r="AT493" i="46"/>
  <c r="AT492" i="46"/>
  <c r="AT491" i="46"/>
  <c r="AT490" i="46"/>
  <c r="AT489" i="46"/>
  <c r="AT488" i="46"/>
  <c r="AT487" i="46"/>
  <c r="AT486" i="46"/>
  <c r="AT485" i="46"/>
  <c r="AT484" i="46"/>
  <c r="AT483" i="46"/>
  <c r="AT482" i="46"/>
  <c r="AT481" i="46"/>
  <c r="AT480" i="46"/>
  <c r="AT479" i="46"/>
  <c r="AT478" i="46"/>
  <c r="AT477" i="46"/>
  <c r="AT476" i="46"/>
  <c r="AT475" i="46"/>
  <c r="AT474" i="46"/>
  <c r="AT473" i="46"/>
  <c r="AT472" i="46"/>
  <c r="AT471" i="46"/>
  <c r="AT470" i="46"/>
  <c r="AT468" i="46"/>
  <c r="AT469" i="46"/>
  <c r="AT500" i="46"/>
  <c r="AT463" i="46"/>
  <c r="AT462" i="46"/>
  <c r="AT461" i="46"/>
  <c r="AT460" i="46"/>
  <c r="AT459" i="46"/>
  <c r="AT458" i="46"/>
  <c r="AT457" i="46"/>
  <c r="AT456" i="46"/>
  <c r="AT455" i="46"/>
  <c r="AT454" i="46"/>
  <c r="AT453" i="46"/>
  <c r="AT452" i="46"/>
  <c r="AT451" i="46"/>
  <c r="AT450" i="46"/>
  <c r="AT449" i="46"/>
  <c r="AT448" i="46"/>
  <c r="AT447" i="46"/>
  <c r="AT446" i="46"/>
  <c r="AT445" i="46"/>
  <c r="AT444" i="46"/>
  <c r="AT443" i="46"/>
  <c r="AT442" i="46"/>
  <c r="AT441" i="46"/>
  <c r="AT440" i="46"/>
  <c r="AT439" i="46"/>
  <c r="AT438" i="46"/>
  <c r="AT437" i="46"/>
  <c r="AT436" i="46"/>
  <c r="AT435" i="46"/>
  <c r="AT434" i="46"/>
  <c r="AT433" i="46"/>
  <c r="AT432" i="46"/>
  <c r="AT431" i="46"/>
  <c r="AT430" i="46"/>
  <c r="AT429" i="46"/>
  <c r="AT428" i="46"/>
  <c r="AT427" i="46"/>
  <c r="AT426" i="46"/>
  <c r="AT425" i="46"/>
  <c r="AT424" i="46"/>
  <c r="AT423" i="46"/>
  <c r="AT422" i="46"/>
  <c r="AT421" i="46"/>
  <c r="AT420" i="46"/>
  <c r="AT419" i="46"/>
  <c r="AT418" i="46"/>
  <c r="AT417" i="46"/>
  <c r="AT416" i="46"/>
  <c r="AT415" i="46"/>
  <c r="AT414" i="46"/>
  <c r="AT413" i="46"/>
  <c r="AT412" i="46"/>
  <c r="AT411" i="46"/>
  <c r="AT410" i="46"/>
  <c r="AT409" i="46"/>
  <c r="AT408" i="46"/>
  <c r="AT407" i="46"/>
  <c r="AT401" i="46"/>
  <c r="BC401" i="46"/>
  <c r="AT400" i="46"/>
  <c r="AT399" i="46"/>
  <c r="AT398" i="46"/>
  <c r="AT397" i="46"/>
  <c r="AT396" i="46"/>
  <c r="AT395" i="46"/>
  <c r="AT394" i="46"/>
  <c r="AT393" i="46"/>
  <c r="AT392" i="46"/>
  <c r="AT391" i="46"/>
  <c r="AT390" i="46"/>
  <c r="AT389" i="46"/>
  <c r="AT386" i="46"/>
  <c r="AT387" i="46"/>
  <c r="AT388" i="46"/>
  <c r="AT403" i="46"/>
  <c r="AT381" i="46"/>
  <c r="BC381" i="46"/>
  <c r="AT380" i="46"/>
  <c r="AT379" i="46"/>
  <c r="AT378" i="46"/>
  <c r="AT376" i="46"/>
  <c r="AT375" i="46"/>
  <c r="AT374" i="46"/>
  <c r="AT373" i="46"/>
  <c r="AT372" i="46"/>
  <c r="AT371" i="46"/>
  <c r="AT370" i="46"/>
  <c r="AT369" i="46"/>
  <c r="AT368" i="46"/>
  <c r="AT367" i="46"/>
  <c r="AT366" i="46"/>
  <c r="AT365" i="46"/>
  <c r="AT364" i="46"/>
  <c r="AT361" i="46"/>
  <c r="AT362" i="46"/>
  <c r="AT363" i="46"/>
  <c r="AT383" i="46"/>
  <c r="AT356" i="46"/>
  <c r="BC356" i="46"/>
  <c r="AT355" i="46"/>
  <c r="AT354" i="46"/>
  <c r="AT353" i="46"/>
  <c r="AT352" i="46"/>
  <c r="AT351" i="46"/>
  <c r="AT350" i="46"/>
  <c r="AT349" i="46"/>
  <c r="AT348" i="46"/>
  <c r="AT347" i="46"/>
  <c r="AT346" i="46"/>
  <c r="AT345" i="46"/>
  <c r="AT344" i="46"/>
  <c r="AT343" i="46"/>
  <c r="AT342" i="46"/>
  <c r="AT341" i="46"/>
  <c r="AT340" i="46"/>
  <c r="AT339" i="46"/>
  <c r="AT338" i="46"/>
  <c r="AT337" i="46"/>
  <c r="AT336" i="46"/>
  <c r="AT335" i="46"/>
  <c r="AT334" i="46"/>
  <c r="AT333" i="46"/>
  <c r="AT332" i="46"/>
  <c r="AT331" i="46"/>
  <c r="AT330" i="46"/>
  <c r="AT329" i="46"/>
  <c r="AT328" i="46"/>
  <c r="AT327" i="46"/>
  <c r="AT326" i="46"/>
  <c r="AT325" i="46"/>
  <c r="AT324" i="46"/>
  <c r="AT323" i="46"/>
  <c r="AT322" i="46"/>
  <c r="AT321" i="46"/>
  <c r="AT318" i="46"/>
  <c r="AT317" i="46"/>
  <c r="AT316" i="46"/>
  <c r="AT315" i="46"/>
  <c r="AT314" i="46"/>
  <c r="AT313" i="46"/>
  <c r="AT312" i="46"/>
  <c r="AT311" i="46"/>
  <c r="AT310" i="46"/>
  <c r="AT309" i="46"/>
  <c r="AT308" i="46"/>
  <c r="AT307" i="46"/>
  <c r="AT306" i="46"/>
  <c r="AT305" i="46"/>
  <c r="AT304" i="46"/>
  <c r="AT303" i="46"/>
  <c r="AT302" i="46"/>
  <c r="AT301" i="46"/>
  <c r="AT300" i="46"/>
  <c r="AT299" i="46"/>
  <c r="AT298" i="46"/>
  <c r="AT297" i="46"/>
  <c r="AT296" i="46"/>
  <c r="AT295" i="46"/>
  <c r="AT294" i="46"/>
  <c r="AT293" i="46"/>
  <c r="AT292" i="46"/>
  <c r="AT291" i="46"/>
  <c r="AT290" i="46"/>
  <c r="AT289" i="46"/>
  <c r="AT288" i="46"/>
  <c r="AT287" i="46"/>
  <c r="AT286" i="46"/>
  <c r="AT285" i="46"/>
  <c r="AT284" i="46"/>
  <c r="AT283" i="46"/>
  <c r="AT282" i="46"/>
  <c r="AT281" i="46"/>
  <c r="AT280" i="46"/>
  <c r="AT279" i="46"/>
  <c r="AT278" i="46"/>
  <c r="AT277" i="46"/>
  <c r="AT276" i="46"/>
  <c r="AT275" i="46"/>
  <c r="AT274" i="46"/>
  <c r="AT273" i="46"/>
  <c r="AT272" i="46"/>
  <c r="AT271" i="46"/>
  <c r="AT270" i="46"/>
  <c r="AT269" i="46"/>
  <c r="AT268" i="46"/>
  <c r="AT267" i="46"/>
  <c r="AT266" i="46"/>
  <c r="AT265" i="46"/>
  <c r="AT264" i="46"/>
  <c r="AT263" i="46"/>
  <c r="AT262" i="46"/>
  <c r="AT261" i="46"/>
  <c r="AT260" i="46"/>
  <c r="AT259" i="46"/>
  <c r="AT258" i="46"/>
  <c r="AT257" i="46"/>
  <c r="AT256" i="46"/>
  <c r="AT255" i="46"/>
  <c r="AT254" i="46"/>
  <c r="AT253" i="46"/>
  <c r="AT252" i="46"/>
  <c r="AT251" i="46"/>
  <c r="AT250" i="46"/>
  <c r="AT249" i="46"/>
  <c r="AT248" i="46"/>
  <c r="AT247" i="46"/>
  <c r="AT246" i="46"/>
  <c r="AT245" i="46"/>
  <c r="AT244" i="46"/>
  <c r="AT243" i="46"/>
  <c r="AT242" i="46"/>
  <c r="AT241" i="46"/>
  <c r="AT240" i="46"/>
  <c r="AT239" i="46"/>
  <c r="AT238" i="46"/>
  <c r="AT237" i="46"/>
  <c r="AT236" i="46"/>
  <c r="AT235" i="46"/>
  <c r="AT234" i="46"/>
  <c r="AT233" i="46"/>
  <c r="AT232" i="46"/>
  <c r="AT231" i="46"/>
  <c r="AT230" i="46"/>
  <c r="AT229" i="46"/>
  <c r="AT228" i="46"/>
  <c r="AT227" i="46"/>
  <c r="AT226" i="46"/>
  <c r="AT225" i="46"/>
  <c r="AT224" i="46"/>
  <c r="AT223" i="46"/>
  <c r="AT222" i="46"/>
  <c r="AT221" i="46"/>
  <c r="AT220" i="46"/>
  <c r="AT219" i="46"/>
  <c r="AT218" i="46"/>
  <c r="AT217" i="46"/>
  <c r="AT216" i="46"/>
  <c r="AT215" i="46"/>
  <c r="AT214" i="46"/>
  <c r="AT213" i="46"/>
  <c r="AT212" i="46"/>
  <c r="AT211" i="46"/>
  <c r="AT210" i="46"/>
  <c r="AT209" i="46"/>
  <c r="AT208" i="46"/>
  <c r="AT207" i="46"/>
  <c r="AT206" i="46"/>
  <c r="AT205" i="46"/>
  <c r="AT204" i="46"/>
  <c r="AT203" i="46"/>
  <c r="AT202" i="46"/>
  <c r="AT201" i="46"/>
  <c r="AT200" i="46"/>
  <c r="AT199" i="46"/>
  <c r="AT198" i="46"/>
  <c r="AT197" i="46"/>
  <c r="AT196" i="46"/>
  <c r="AT195" i="46"/>
  <c r="AT194" i="46"/>
  <c r="AT193" i="46"/>
  <c r="AT192" i="46"/>
  <c r="AT191" i="46"/>
  <c r="AT190" i="46"/>
  <c r="AT189" i="46"/>
  <c r="AT188" i="46"/>
  <c r="AT187" i="46"/>
  <c r="AT186" i="46"/>
  <c r="AT185" i="46"/>
  <c r="AT184" i="46"/>
  <c r="AT183" i="46"/>
  <c r="AT182" i="46"/>
  <c r="AT181" i="46"/>
  <c r="AT180" i="46"/>
  <c r="AT179" i="46"/>
  <c r="AT178" i="46"/>
  <c r="AT177" i="46"/>
  <c r="AT176" i="46"/>
  <c r="AT175" i="46"/>
  <c r="AT174" i="46"/>
  <c r="AT173" i="46"/>
  <c r="AT172" i="46"/>
  <c r="AT171" i="46"/>
  <c r="AT170" i="46"/>
  <c r="AT169" i="46"/>
  <c r="AT168" i="46"/>
  <c r="AT167" i="46"/>
  <c r="AT166" i="46"/>
  <c r="AT165" i="46"/>
  <c r="AT164" i="46"/>
  <c r="AT163" i="46"/>
  <c r="AT162" i="46"/>
  <c r="AT161" i="46"/>
  <c r="AT160" i="46"/>
  <c r="AT159" i="46"/>
  <c r="AT158" i="46"/>
  <c r="AT157" i="46"/>
  <c r="AT156" i="46"/>
  <c r="AT155" i="46"/>
  <c r="AT154" i="46"/>
  <c r="AT153" i="46"/>
  <c r="AT152" i="46"/>
  <c r="AT151" i="46"/>
  <c r="AT150" i="46"/>
  <c r="AT149" i="46"/>
  <c r="AT148" i="46"/>
  <c r="AT147" i="46"/>
  <c r="AT146" i="46"/>
  <c r="AT145" i="46"/>
  <c r="AT144" i="46"/>
  <c r="AT143" i="46"/>
  <c r="AT142" i="46"/>
  <c r="AT141" i="46"/>
  <c r="AT140" i="46"/>
  <c r="AT139" i="46"/>
  <c r="AT138" i="46"/>
  <c r="AT137" i="46"/>
  <c r="AT136" i="46"/>
  <c r="AT135" i="46"/>
  <c r="AT134" i="46"/>
  <c r="AT133" i="46"/>
  <c r="AT132" i="46"/>
  <c r="AT131" i="46"/>
  <c r="AT130" i="46"/>
  <c r="AT129" i="46"/>
  <c r="AT128" i="46"/>
  <c r="AT127" i="46"/>
  <c r="AT126" i="46"/>
  <c r="AT125" i="46"/>
  <c r="AT124" i="46"/>
  <c r="AT123" i="46"/>
  <c r="AT122" i="46"/>
  <c r="AT120" i="46"/>
  <c r="AT121" i="46"/>
  <c r="AT358" i="46"/>
  <c r="AT115" i="46"/>
  <c r="AT114" i="46"/>
  <c r="AT113" i="46"/>
  <c r="AT112" i="46"/>
  <c r="AT111" i="46"/>
  <c r="AT110" i="46"/>
  <c r="AT109" i="46"/>
  <c r="AT104" i="46"/>
  <c r="AT103" i="46"/>
  <c r="AT102" i="46"/>
  <c r="AT100" i="46"/>
  <c r="AT101" i="46"/>
  <c r="AT106" i="46"/>
  <c r="AT95" i="46"/>
  <c r="AT94" i="46"/>
  <c r="AT93" i="46"/>
  <c r="AT92" i="46"/>
  <c r="AT91" i="46"/>
  <c r="AT90" i="46"/>
  <c r="AT89" i="46"/>
  <c r="AT88" i="46"/>
  <c r="AT87" i="46"/>
  <c r="AT86" i="46"/>
  <c r="AT97" i="46"/>
  <c r="AT81" i="46"/>
  <c r="AT80" i="46"/>
  <c r="AT79" i="46"/>
  <c r="AT78" i="46"/>
  <c r="AT77" i="46"/>
  <c r="AT76" i="46"/>
  <c r="AT75" i="46"/>
  <c r="AT74" i="46"/>
  <c r="AT71" i="46"/>
  <c r="AT72" i="46"/>
  <c r="AT73" i="46"/>
  <c r="AT83" i="46"/>
  <c r="AT66" i="46"/>
  <c r="BC66" i="46"/>
  <c r="AT65" i="46"/>
  <c r="AT64" i="46"/>
  <c r="AT63" i="46"/>
  <c r="AT62" i="46"/>
  <c r="AT61" i="46"/>
  <c r="AT60" i="46"/>
  <c r="AT59" i="46"/>
  <c r="AT58" i="46"/>
  <c r="AT57" i="46"/>
  <c r="AT56" i="46"/>
  <c r="AT55" i="46"/>
  <c r="AT54" i="46"/>
  <c r="AT53" i="46"/>
  <c r="AT68" i="46"/>
  <c r="AT48" i="46"/>
  <c r="AT47" i="46"/>
  <c r="AT46" i="46"/>
  <c r="AT45" i="46"/>
  <c r="AT44" i="46"/>
  <c r="AT43" i="46"/>
  <c r="AT42" i="46"/>
  <c r="AT41" i="46"/>
  <c r="AT40" i="46"/>
  <c r="AT39" i="46"/>
  <c r="AT38" i="46"/>
  <c r="AT37" i="46"/>
  <c r="AT36" i="46"/>
  <c r="AT35" i="46"/>
  <c r="AT34" i="46"/>
  <c r="AT33" i="46"/>
  <c r="AT32" i="46"/>
  <c r="AT31" i="46"/>
  <c r="AT30" i="46"/>
  <c r="AT29" i="46"/>
  <c r="AT28" i="46"/>
  <c r="AT27" i="46"/>
  <c r="AT26" i="46"/>
  <c r="AT25" i="46"/>
  <c r="AT24" i="46"/>
  <c r="AT23" i="46"/>
  <c r="AT22" i="46"/>
  <c r="AT50" i="46"/>
  <c r="AT17" i="46"/>
  <c r="AT16" i="46"/>
  <c r="AT15" i="46"/>
  <c r="AT14" i="46"/>
  <c r="AT13" i="46"/>
  <c r="AT12" i="46"/>
  <c r="AT11" i="46"/>
  <c r="AT10" i="46"/>
  <c r="AT9" i="46"/>
  <c r="AT8" i="46"/>
  <c r="AT7" i="46"/>
  <c r="AT6" i="46"/>
  <c r="AT19" i="46"/>
  <c r="FE496" i="49"/>
  <c r="FK495" i="49"/>
  <c r="FJ495" i="49"/>
  <c r="FI495" i="49"/>
  <c r="FH495" i="49"/>
  <c r="FG495" i="49"/>
  <c r="FF495" i="49"/>
  <c r="FE495" i="49"/>
  <c r="FE494" i="49"/>
  <c r="FE493" i="49"/>
  <c r="FE492" i="49"/>
  <c r="FE491" i="49"/>
  <c r="FE490" i="49"/>
  <c r="FE489" i="49"/>
  <c r="FE488" i="49"/>
  <c r="FE487" i="49"/>
  <c r="FE486" i="49"/>
  <c r="FE485" i="49"/>
  <c r="FE484" i="49"/>
  <c r="FE483" i="49"/>
  <c r="FE482" i="49"/>
  <c r="FE481" i="49"/>
  <c r="FE480" i="49"/>
  <c r="FE479" i="49"/>
  <c r="FE478" i="49"/>
  <c r="FE477" i="49"/>
  <c r="FE476" i="49"/>
  <c r="FE475" i="49"/>
  <c r="FE474" i="49"/>
  <c r="FE473" i="49"/>
  <c r="FE472" i="49"/>
  <c r="FE471" i="49"/>
  <c r="FE470" i="49"/>
  <c r="FE469" i="49"/>
  <c r="FE468" i="49"/>
  <c r="FE467" i="49"/>
  <c r="FE466" i="49"/>
  <c r="FE465" i="49"/>
  <c r="FE464" i="49"/>
  <c r="FE463" i="49"/>
  <c r="FE462" i="49"/>
  <c r="FE461" i="49"/>
  <c r="FE460" i="49"/>
  <c r="FE459" i="49"/>
  <c r="FE458" i="49"/>
  <c r="FE457" i="49"/>
  <c r="FE456" i="49"/>
  <c r="FE455" i="49"/>
  <c r="FE454" i="49"/>
  <c r="FE453" i="49"/>
  <c r="FE452" i="49"/>
  <c r="FE451" i="49"/>
  <c r="FE450" i="49"/>
  <c r="FE449" i="49"/>
  <c r="FE448" i="49"/>
  <c r="FE447" i="49"/>
  <c r="FE446" i="49"/>
  <c r="FE445" i="49"/>
  <c r="FE444" i="49"/>
  <c r="FE443" i="49"/>
  <c r="FE442" i="49"/>
  <c r="FE441" i="49"/>
  <c r="FE440" i="49"/>
  <c r="FE439" i="49"/>
  <c r="FE438" i="49"/>
  <c r="FE437" i="49"/>
  <c r="FE436" i="49"/>
  <c r="FE435" i="49"/>
  <c r="FE434" i="49"/>
  <c r="FE433" i="49"/>
  <c r="FE432" i="49"/>
  <c r="FE431" i="49"/>
  <c r="FE430" i="49"/>
  <c r="FE429" i="49"/>
  <c r="FE428" i="49"/>
  <c r="FE427" i="49"/>
  <c r="FE426" i="49"/>
  <c r="FE425" i="49"/>
  <c r="FE424" i="49"/>
  <c r="FE423" i="49"/>
  <c r="FE422" i="49"/>
  <c r="FE421" i="49"/>
  <c r="FE420" i="49"/>
  <c r="FE419" i="49"/>
  <c r="FE418" i="49"/>
  <c r="FE417" i="49"/>
  <c r="FE416" i="49"/>
  <c r="FE415" i="49"/>
  <c r="FE414" i="49"/>
  <c r="FE413" i="49"/>
  <c r="FE412" i="49"/>
  <c r="FE411" i="49"/>
  <c r="FE410" i="49"/>
  <c r="FE409" i="49"/>
  <c r="FE408" i="49"/>
  <c r="FE407" i="49"/>
  <c r="FE406" i="49"/>
  <c r="FE405" i="49"/>
  <c r="FE404" i="49"/>
  <c r="FE403" i="49"/>
  <c r="FE402" i="49"/>
  <c r="FE401" i="49"/>
  <c r="FE400" i="49"/>
  <c r="FE399" i="49"/>
  <c r="FE398" i="49"/>
  <c r="FE397" i="49"/>
  <c r="FE396" i="49"/>
  <c r="FE395" i="49"/>
  <c r="FE394" i="49"/>
  <c r="FE393" i="49"/>
  <c r="FE392" i="49"/>
  <c r="FE391" i="49"/>
  <c r="FE390" i="49"/>
  <c r="FE389" i="49"/>
  <c r="FE388" i="49"/>
  <c r="FE387" i="49"/>
  <c r="FE386" i="49"/>
  <c r="FE385" i="49"/>
  <c r="FE384" i="49"/>
  <c r="FE383" i="49"/>
  <c r="FE382" i="49"/>
  <c r="FE381" i="49"/>
  <c r="FE380" i="49"/>
  <c r="FE379" i="49"/>
  <c r="FE378" i="49"/>
  <c r="FE377" i="49"/>
  <c r="FE376" i="49"/>
  <c r="FE375" i="49"/>
  <c r="FE374" i="49"/>
  <c r="FE373" i="49"/>
  <c r="FE372" i="49"/>
  <c r="FE371" i="49"/>
  <c r="FE370" i="49"/>
  <c r="FE369" i="49"/>
  <c r="FE368" i="49"/>
  <c r="FE367" i="49"/>
  <c r="FE366" i="49"/>
  <c r="FE365" i="49"/>
  <c r="FE364" i="49"/>
  <c r="FE363" i="49"/>
  <c r="FE362" i="49"/>
  <c r="FE361" i="49"/>
  <c r="FE360" i="49"/>
  <c r="FE359" i="49"/>
  <c r="FE358" i="49"/>
  <c r="FE357" i="49"/>
  <c r="FE356" i="49"/>
  <c r="FE355" i="49"/>
  <c r="FE354" i="49"/>
  <c r="FE353" i="49"/>
  <c r="FE352" i="49"/>
  <c r="FE351" i="49"/>
  <c r="FE350" i="49"/>
  <c r="FE349" i="49"/>
  <c r="FE348" i="49"/>
  <c r="FE347" i="49"/>
  <c r="FE346" i="49"/>
  <c r="FE345" i="49"/>
  <c r="FE344" i="49"/>
  <c r="FE343" i="49"/>
  <c r="FE342" i="49"/>
  <c r="FE341" i="49"/>
  <c r="FE340" i="49"/>
  <c r="FE339" i="49"/>
  <c r="FE338" i="49"/>
  <c r="FE337" i="49"/>
  <c r="FE336" i="49"/>
  <c r="FE335" i="49"/>
  <c r="FE334" i="49"/>
  <c r="FE333" i="49"/>
  <c r="FE332" i="49"/>
  <c r="FE331" i="49"/>
  <c r="FE329" i="49"/>
  <c r="FE328" i="49"/>
  <c r="FE327" i="49"/>
  <c r="FE326" i="49"/>
  <c r="FE325" i="49"/>
  <c r="FE324" i="49"/>
  <c r="FE323" i="49"/>
  <c r="FE322" i="49"/>
  <c r="FE321" i="49"/>
  <c r="FE320" i="49"/>
  <c r="FE319" i="49"/>
  <c r="FE318" i="49"/>
  <c r="FE317" i="49"/>
  <c r="FE316" i="49"/>
  <c r="FE315" i="49"/>
  <c r="FE314" i="49"/>
  <c r="FE313" i="49"/>
  <c r="FE312" i="49"/>
  <c r="FE311" i="49"/>
  <c r="FE310" i="49"/>
  <c r="FE309" i="49"/>
  <c r="FE308" i="49"/>
  <c r="FE307" i="49"/>
  <c r="FE306" i="49"/>
  <c r="FE305" i="49"/>
  <c r="FE304" i="49"/>
  <c r="FE303" i="49"/>
  <c r="FE302" i="49"/>
  <c r="FE301" i="49"/>
  <c r="FE300" i="49"/>
  <c r="FE299" i="49"/>
  <c r="FE298" i="49"/>
  <c r="FE297" i="49"/>
  <c r="FE296" i="49"/>
  <c r="FE295" i="49"/>
  <c r="FE294" i="49"/>
  <c r="FE293" i="49"/>
  <c r="FE292" i="49"/>
  <c r="FE291" i="49"/>
  <c r="FE290" i="49"/>
  <c r="FE289" i="49"/>
  <c r="FE288" i="49"/>
  <c r="FE287" i="49"/>
  <c r="FE286" i="49"/>
  <c r="FE285" i="49"/>
  <c r="FE284" i="49"/>
  <c r="FE283" i="49"/>
  <c r="FE282" i="49"/>
  <c r="FE281" i="49"/>
  <c r="FE280" i="49"/>
  <c r="FE279" i="49"/>
  <c r="FE278" i="49"/>
  <c r="FE277" i="49"/>
  <c r="FE276" i="49"/>
  <c r="FE275" i="49"/>
  <c r="FE274" i="49"/>
  <c r="FE273" i="49"/>
  <c r="FE272" i="49"/>
  <c r="FE271" i="49"/>
  <c r="FE270" i="49"/>
  <c r="FE269" i="49"/>
  <c r="FE268" i="49"/>
  <c r="FE267" i="49"/>
  <c r="FE266" i="49"/>
  <c r="FE265" i="49"/>
  <c r="FE264" i="49"/>
  <c r="FE263" i="49"/>
  <c r="FE262" i="49"/>
  <c r="FE261" i="49"/>
  <c r="FE260" i="49"/>
  <c r="FE259" i="49"/>
  <c r="FE258" i="49"/>
  <c r="FE257" i="49"/>
  <c r="FE256" i="49"/>
  <c r="FE255" i="49"/>
  <c r="FE254" i="49"/>
  <c r="FE253" i="49"/>
  <c r="FE252" i="49"/>
  <c r="FE251" i="49"/>
  <c r="FE250" i="49"/>
  <c r="FE249" i="49"/>
  <c r="FE248" i="49"/>
  <c r="FE247" i="49"/>
  <c r="FE246" i="49"/>
  <c r="FE245" i="49"/>
  <c r="FE244" i="49"/>
  <c r="FE243" i="49"/>
  <c r="FE242" i="49"/>
  <c r="FE241" i="49"/>
  <c r="FE240" i="49"/>
  <c r="FE239" i="49"/>
  <c r="FE238" i="49"/>
  <c r="FE237" i="49"/>
  <c r="FE236" i="49"/>
  <c r="FE235" i="49"/>
  <c r="FE234" i="49"/>
  <c r="FE233" i="49"/>
  <c r="FE232" i="49"/>
  <c r="FE231" i="49"/>
  <c r="FE230" i="49"/>
  <c r="FE229" i="49"/>
  <c r="FE228" i="49"/>
  <c r="FE227" i="49"/>
  <c r="FE226" i="49"/>
  <c r="FE225" i="49"/>
  <c r="FE224" i="49"/>
  <c r="FE223" i="49"/>
  <c r="FE222" i="49"/>
  <c r="FE221" i="49"/>
  <c r="FE220" i="49"/>
  <c r="FE219" i="49"/>
  <c r="FE218" i="49"/>
  <c r="FE217" i="49"/>
  <c r="FE216" i="49"/>
  <c r="FE215" i="49"/>
  <c r="FE214" i="49"/>
  <c r="FE213" i="49"/>
  <c r="FE212" i="49"/>
  <c r="FE211" i="49"/>
  <c r="FE210" i="49"/>
  <c r="FE209" i="49"/>
  <c r="FE208" i="49"/>
  <c r="FE207" i="49"/>
  <c r="FE206" i="49"/>
  <c r="FE205" i="49"/>
  <c r="FE202" i="49"/>
  <c r="FE201" i="49"/>
  <c r="FE200" i="49"/>
  <c r="FE199" i="49"/>
  <c r="FE198" i="49"/>
  <c r="FE197" i="49"/>
  <c r="FE196" i="49"/>
  <c r="FE195" i="49"/>
  <c r="FE194" i="49"/>
  <c r="FE193" i="49"/>
  <c r="FE192" i="49"/>
  <c r="FE191" i="49"/>
  <c r="FE190" i="49"/>
  <c r="FE189" i="49"/>
  <c r="FE188" i="49"/>
  <c r="FE187" i="49"/>
  <c r="FE186" i="49"/>
  <c r="FE185" i="49"/>
  <c r="FE184" i="49"/>
  <c r="FE183" i="49"/>
  <c r="FE182" i="49"/>
  <c r="FE181" i="49"/>
  <c r="FE180" i="49"/>
  <c r="FE179" i="49"/>
  <c r="FE178" i="49"/>
  <c r="FE177" i="49"/>
  <c r="FE176" i="49"/>
  <c r="FE175" i="49"/>
  <c r="FE174" i="49"/>
  <c r="FE173" i="49"/>
  <c r="FE172" i="49"/>
  <c r="FE171" i="49"/>
  <c r="FE170" i="49"/>
  <c r="FE169" i="49"/>
  <c r="FE168" i="49"/>
  <c r="FE167" i="49"/>
  <c r="FE166" i="49"/>
  <c r="FE165" i="49"/>
  <c r="FE164" i="49"/>
  <c r="FE163" i="49"/>
  <c r="FE162" i="49"/>
  <c r="FE161" i="49"/>
  <c r="FE160" i="49"/>
  <c r="FE159" i="49"/>
  <c r="FE158" i="49"/>
  <c r="FE157" i="49"/>
  <c r="FE156" i="49"/>
  <c r="FE155" i="49"/>
  <c r="FE154" i="49"/>
  <c r="FE153" i="49"/>
  <c r="FE152" i="49"/>
  <c r="FE151" i="49"/>
  <c r="FE150" i="49"/>
  <c r="FE149" i="49"/>
  <c r="FE148" i="49"/>
  <c r="FE147" i="49"/>
  <c r="FE146" i="49"/>
  <c r="FE145" i="49"/>
  <c r="FE144" i="49"/>
  <c r="FE143" i="49"/>
  <c r="FE142" i="49"/>
  <c r="FE141" i="49"/>
  <c r="FE140" i="49"/>
  <c r="FE139" i="49"/>
  <c r="FE138" i="49"/>
  <c r="FE137" i="49"/>
  <c r="FE136" i="49"/>
  <c r="FE135" i="49"/>
  <c r="FE134" i="49"/>
  <c r="FE133" i="49"/>
  <c r="FE132" i="49"/>
  <c r="FE131" i="49"/>
  <c r="FE130" i="49"/>
  <c r="FE129" i="49"/>
  <c r="FE128" i="49"/>
  <c r="FE127" i="49"/>
  <c r="FE126" i="49"/>
  <c r="FE125" i="49"/>
  <c r="FE124" i="49"/>
  <c r="FE123" i="49"/>
  <c r="FE122" i="49"/>
  <c r="FE121" i="49"/>
  <c r="FE120" i="49"/>
  <c r="FE119" i="49"/>
  <c r="FE118" i="49"/>
  <c r="FE117" i="49"/>
  <c r="FE116" i="49"/>
  <c r="FE115" i="49"/>
  <c r="FE114" i="49"/>
  <c r="FE113" i="49"/>
  <c r="FE112" i="49"/>
  <c r="FE111" i="49"/>
  <c r="FE110" i="49"/>
  <c r="FE109" i="49"/>
  <c r="FE108" i="49"/>
  <c r="FE107" i="49"/>
  <c r="FE106" i="49"/>
  <c r="FE105" i="49"/>
  <c r="FE104" i="49"/>
  <c r="FE103" i="49"/>
  <c r="FE102" i="49"/>
  <c r="FE101" i="49"/>
  <c r="FE100" i="49"/>
  <c r="FE99" i="49"/>
  <c r="FE98" i="49"/>
  <c r="FE97" i="49"/>
  <c r="FE96" i="49"/>
  <c r="FE95" i="49"/>
  <c r="FE94" i="49"/>
  <c r="FE93" i="49"/>
  <c r="FE92" i="49"/>
  <c r="FE91" i="49"/>
  <c r="FE90" i="49"/>
  <c r="FE89" i="49"/>
  <c r="FE88" i="49"/>
  <c r="FE87" i="49"/>
  <c r="FE86" i="49"/>
  <c r="FE85" i="49"/>
  <c r="FE84" i="49"/>
  <c r="FE83" i="49"/>
  <c r="FE82" i="49"/>
  <c r="FE81" i="49"/>
  <c r="FE80" i="49"/>
  <c r="FE79" i="49"/>
  <c r="FE78" i="49"/>
  <c r="FE77" i="49"/>
  <c r="FE76" i="49"/>
  <c r="FE75" i="49"/>
  <c r="FE74" i="49"/>
  <c r="FE73" i="49"/>
  <c r="FE72" i="49"/>
  <c r="FE71" i="49"/>
  <c r="FE70" i="49"/>
  <c r="FE69" i="49"/>
  <c r="FE68" i="49"/>
  <c r="FE67" i="49"/>
  <c r="FE66" i="49"/>
  <c r="FE65" i="49"/>
  <c r="FE64" i="49"/>
  <c r="FE63" i="49"/>
  <c r="FE62" i="49"/>
  <c r="FE61" i="49"/>
  <c r="FE60" i="49"/>
  <c r="FE59" i="49"/>
  <c r="FE58" i="49"/>
  <c r="FE57" i="49"/>
  <c r="FE56" i="49"/>
  <c r="FE55" i="49"/>
  <c r="FE54" i="49"/>
  <c r="FE53" i="49"/>
  <c r="FE52" i="49"/>
  <c r="FE51" i="49"/>
  <c r="FE50" i="49"/>
  <c r="FE49" i="49"/>
  <c r="FE48" i="49"/>
  <c r="FE47" i="49"/>
  <c r="FE46" i="49"/>
  <c r="FE45" i="49"/>
  <c r="FE44" i="49"/>
  <c r="FE43" i="49"/>
  <c r="FE42" i="49"/>
  <c r="FE41" i="49"/>
  <c r="FE40" i="49"/>
  <c r="FE39" i="49"/>
  <c r="FE38" i="49"/>
  <c r="FE37" i="49"/>
  <c r="FE36" i="49"/>
  <c r="FE35" i="49"/>
  <c r="FE34" i="49"/>
  <c r="FE33" i="49"/>
  <c r="FE32" i="49"/>
  <c r="FE31" i="49"/>
  <c r="FE30" i="49"/>
  <c r="FE29" i="49"/>
  <c r="FE28" i="49"/>
  <c r="FE27" i="49"/>
  <c r="FE26" i="49"/>
  <c r="FE25" i="49"/>
  <c r="FE24" i="49"/>
  <c r="FE23" i="49"/>
  <c r="FE22" i="49"/>
  <c r="FE21" i="49"/>
  <c r="FE20" i="49"/>
  <c r="FE19" i="49"/>
  <c r="FE18" i="49"/>
  <c r="FE17" i="49"/>
  <c r="FE16" i="49"/>
  <c r="FE15" i="49"/>
  <c r="FE14" i="49"/>
  <c r="FE13" i="49"/>
  <c r="FE12" i="49"/>
  <c r="FE11" i="49"/>
  <c r="FE10" i="49"/>
  <c r="FE9" i="49"/>
  <c r="FE8" i="49"/>
  <c r="FE7" i="49"/>
  <c r="FE6" i="49"/>
  <c r="FE5" i="49"/>
  <c r="BT577" i="46"/>
  <c r="BT576" i="46"/>
  <c r="BT559" i="46"/>
  <c r="BT558" i="46"/>
  <c r="BT515" i="46"/>
  <c r="BT514" i="46"/>
  <c r="BT509" i="46"/>
  <c r="BT502" i="46"/>
  <c r="BT501" i="46"/>
  <c r="BT467" i="46"/>
  <c r="BT466" i="46"/>
  <c r="BT422" i="46"/>
  <c r="BT405" i="46"/>
  <c r="BT404" i="46"/>
  <c r="BT397" i="46"/>
  <c r="BT385" i="46"/>
  <c r="BY385" i="46"/>
  <c r="BT384" i="46"/>
  <c r="BT360" i="46"/>
  <c r="BT359" i="46"/>
  <c r="BT175" i="46"/>
  <c r="CA175" i="46"/>
  <c r="BT119" i="46"/>
  <c r="BT118" i="46"/>
  <c r="BT108" i="46"/>
  <c r="BT107" i="46"/>
  <c r="CA107" i="46"/>
  <c r="BT99" i="46"/>
  <c r="BT98" i="46"/>
  <c r="BT85" i="46"/>
  <c r="BT84" i="46"/>
  <c r="CA84" i="46"/>
  <c r="BT79" i="46"/>
  <c r="BU79" i="46"/>
  <c r="AE79" i="46"/>
  <c r="BT70" i="46"/>
  <c r="BT69" i="46"/>
  <c r="BT61" i="46"/>
  <c r="BT52" i="46"/>
  <c r="BT51" i="46"/>
  <c r="BT43" i="46"/>
  <c r="BV43" i="46"/>
  <c r="BT21" i="46"/>
  <c r="BY21" i="46"/>
  <c r="BT20" i="46"/>
  <c r="AD79" i="46"/>
  <c r="AD422" i="46"/>
  <c r="AD397" i="46"/>
  <c r="AD509" i="46"/>
  <c r="BU422" i="46"/>
  <c r="AE422" i="46"/>
  <c r="AI422" i="46"/>
  <c r="BU397" i="46"/>
  <c r="AE397" i="46"/>
  <c r="BU509" i="46"/>
  <c r="AE509" i="46"/>
  <c r="BV422" i="46"/>
  <c r="AF422" i="46"/>
  <c r="AJ422" i="46"/>
  <c r="BV397" i="46"/>
  <c r="AF397" i="46"/>
  <c r="BV509" i="46"/>
  <c r="AF509" i="46"/>
  <c r="BW422" i="46"/>
  <c r="AG422" i="46"/>
  <c r="BW397" i="46"/>
  <c r="AG397" i="46"/>
  <c r="H498" i="49"/>
  <c r="H496" i="49"/>
  <c r="H494" i="49"/>
  <c r="H493" i="49"/>
  <c r="H492" i="49"/>
  <c r="G492" i="49"/>
  <c r="F492" i="49"/>
  <c r="D492" i="49"/>
  <c r="H491" i="49"/>
  <c r="H490" i="49"/>
  <c r="H489" i="49"/>
  <c r="H488" i="49"/>
  <c r="H487" i="49"/>
  <c r="H486" i="49"/>
  <c r="H485" i="49"/>
  <c r="H484" i="49"/>
  <c r="H483" i="49"/>
  <c r="H482" i="49"/>
  <c r="H481" i="49"/>
  <c r="H480" i="49"/>
  <c r="H479" i="49"/>
  <c r="H478" i="49"/>
  <c r="H477" i="49"/>
  <c r="H476" i="49"/>
  <c r="H475" i="49"/>
  <c r="H474" i="49"/>
  <c r="H473" i="49"/>
  <c r="H472" i="49"/>
  <c r="H471" i="49"/>
  <c r="G471" i="49"/>
  <c r="F471" i="49"/>
  <c r="D471" i="49"/>
  <c r="H470" i="49"/>
  <c r="G470" i="49"/>
  <c r="F470" i="49"/>
  <c r="D470" i="49"/>
  <c r="H469" i="49"/>
  <c r="H468" i="49"/>
  <c r="H467" i="49"/>
  <c r="H466" i="49"/>
  <c r="H465" i="49"/>
  <c r="H464" i="49"/>
  <c r="H463" i="49"/>
  <c r="H462" i="49"/>
  <c r="H461" i="49"/>
  <c r="H460" i="49"/>
  <c r="H459" i="49"/>
  <c r="H458" i="49"/>
  <c r="H457" i="49"/>
  <c r="H456" i="49"/>
  <c r="H455" i="49"/>
  <c r="G455" i="49"/>
  <c r="F455" i="49"/>
  <c r="E455" i="49"/>
  <c r="D455" i="49"/>
  <c r="H454" i="49"/>
  <c r="G454" i="49"/>
  <c r="F454" i="49"/>
  <c r="E454" i="49"/>
  <c r="D454" i="49"/>
  <c r="H453" i="49"/>
  <c r="H452" i="49"/>
  <c r="H451" i="49"/>
  <c r="H450" i="49"/>
  <c r="H449" i="49"/>
  <c r="G449" i="49"/>
  <c r="F449" i="49"/>
  <c r="E449" i="49"/>
  <c r="D449" i="49"/>
  <c r="H448" i="49"/>
  <c r="H447" i="49"/>
  <c r="H446" i="49"/>
  <c r="H445" i="49"/>
  <c r="H444" i="49"/>
  <c r="H443" i="49"/>
  <c r="H442" i="49"/>
  <c r="H441" i="49"/>
  <c r="H440" i="49"/>
  <c r="H439" i="49"/>
  <c r="H438" i="49"/>
  <c r="H437" i="49"/>
  <c r="H436" i="49"/>
  <c r="H435" i="49"/>
  <c r="H434" i="49"/>
  <c r="H433" i="49"/>
  <c r="H432" i="49"/>
  <c r="H431" i="49"/>
  <c r="H430" i="49"/>
  <c r="H429" i="49"/>
  <c r="H428" i="49"/>
  <c r="E428" i="49"/>
  <c r="H427" i="49"/>
  <c r="H426" i="49"/>
  <c r="E426" i="49"/>
  <c r="H425" i="49"/>
  <c r="H424" i="49"/>
  <c r="H423" i="49"/>
  <c r="H422" i="49"/>
  <c r="H421" i="49"/>
  <c r="H420" i="49"/>
  <c r="H419" i="49"/>
  <c r="H418" i="49"/>
  <c r="H417" i="49"/>
  <c r="H416" i="49"/>
  <c r="H415" i="49"/>
  <c r="H414" i="49"/>
  <c r="H413" i="49"/>
  <c r="H412" i="49"/>
  <c r="H411" i="49"/>
  <c r="H410" i="49"/>
  <c r="H409" i="49"/>
  <c r="H408" i="49"/>
  <c r="H407" i="49"/>
  <c r="H406" i="49"/>
  <c r="H405" i="49"/>
  <c r="H404" i="49"/>
  <c r="H403" i="49"/>
  <c r="H402" i="49"/>
  <c r="H401" i="49"/>
  <c r="H400" i="49"/>
  <c r="H399" i="49"/>
  <c r="H398" i="49"/>
  <c r="H397" i="49"/>
  <c r="H396" i="49"/>
  <c r="H395" i="49"/>
  <c r="H394" i="49"/>
  <c r="H393" i="49"/>
  <c r="H392" i="49"/>
  <c r="H391" i="49"/>
  <c r="H390" i="49"/>
  <c r="H389" i="49"/>
  <c r="H388" i="49"/>
  <c r="H387" i="49"/>
  <c r="H386" i="49"/>
  <c r="H385" i="49"/>
  <c r="G385" i="49"/>
  <c r="F385" i="49"/>
  <c r="E385" i="49"/>
  <c r="D385" i="49"/>
  <c r="H384" i="49"/>
  <c r="H383" i="49"/>
  <c r="H382" i="49"/>
  <c r="H381" i="49"/>
  <c r="H380" i="49"/>
  <c r="H379" i="49"/>
  <c r="H378" i="49"/>
  <c r="H377" i="49"/>
  <c r="H376" i="49"/>
  <c r="H375" i="49"/>
  <c r="H374" i="49"/>
  <c r="H373" i="49"/>
  <c r="H372" i="49"/>
  <c r="H371" i="49"/>
  <c r="H370" i="49"/>
  <c r="H369" i="49"/>
  <c r="H368" i="49"/>
  <c r="H367" i="49"/>
  <c r="H366" i="49"/>
  <c r="H365" i="49"/>
  <c r="H364" i="49"/>
  <c r="H363" i="49"/>
  <c r="G363" i="49"/>
  <c r="F363" i="49"/>
  <c r="E363" i="49"/>
  <c r="D363" i="49"/>
  <c r="H362" i="49"/>
  <c r="H361" i="49"/>
  <c r="G361" i="49"/>
  <c r="F361" i="49"/>
  <c r="D361" i="49"/>
  <c r="H360" i="49"/>
  <c r="G360" i="49"/>
  <c r="F360" i="49"/>
  <c r="E360" i="49"/>
  <c r="D360" i="49"/>
  <c r="H359" i="49"/>
  <c r="H358" i="49"/>
  <c r="E358" i="49"/>
  <c r="H357" i="49"/>
  <c r="E357" i="49"/>
  <c r="H356" i="49"/>
  <c r="E356" i="49"/>
  <c r="H355" i="49"/>
  <c r="H354" i="49"/>
  <c r="E354" i="49"/>
  <c r="H353" i="49"/>
  <c r="H352" i="49"/>
  <c r="H351" i="49"/>
  <c r="H350" i="49"/>
  <c r="H349" i="49"/>
  <c r="H348" i="49"/>
  <c r="H347" i="49"/>
  <c r="H346" i="49"/>
  <c r="H345" i="49"/>
  <c r="H344" i="49"/>
  <c r="H343" i="49"/>
  <c r="H342" i="49"/>
  <c r="H341" i="49"/>
  <c r="H340" i="49"/>
  <c r="H339" i="49"/>
  <c r="H338" i="49"/>
  <c r="H337" i="49"/>
  <c r="H336" i="49"/>
  <c r="H335" i="49"/>
  <c r="H334" i="49"/>
  <c r="H333" i="49"/>
  <c r="H332" i="49"/>
  <c r="H331" i="49"/>
  <c r="H329" i="49"/>
  <c r="H328" i="49"/>
  <c r="H327" i="49"/>
  <c r="H326" i="49"/>
  <c r="H325" i="49"/>
  <c r="H324" i="49"/>
  <c r="H323" i="49"/>
  <c r="H322" i="49"/>
  <c r="H321" i="49"/>
  <c r="G321" i="49"/>
  <c r="F321" i="49"/>
  <c r="E321" i="49"/>
  <c r="D321" i="49"/>
  <c r="H320" i="49"/>
  <c r="G320" i="49"/>
  <c r="F320" i="49"/>
  <c r="D320" i="49"/>
  <c r="H319" i="49"/>
  <c r="G319" i="49"/>
  <c r="F319" i="49"/>
  <c r="D319" i="49"/>
  <c r="H318" i="49"/>
  <c r="H317" i="49"/>
  <c r="H316" i="49"/>
  <c r="H315" i="49"/>
  <c r="H314" i="49"/>
  <c r="H313" i="49"/>
  <c r="H312" i="49"/>
  <c r="H311" i="49"/>
  <c r="H310" i="49"/>
  <c r="H309" i="49"/>
  <c r="H308" i="49"/>
  <c r="H307" i="49"/>
  <c r="H306" i="49"/>
  <c r="H305" i="49"/>
  <c r="H304" i="49"/>
  <c r="H303" i="49"/>
  <c r="H302" i="49"/>
  <c r="H301" i="49"/>
  <c r="H300" i="49"/>
  <c r="H299" i="49"/>
  <c r="H298" i="49"/>
  <c r="H297" i="49"/>
  <c r="H296" i="49"/>
  <c r="H295" i="49"/>
  <c r="H294" i="49"/>
  <c r="H293" i="49"/>
  <c r="H292" i="49"/>
  <c r="H291" i="49"/>
  <c r="H290" i="49"/>
  <c r="H289" i="49"/>
  <c r="H288" i="49"/>
  <c r="H287" i="49"/>
  <c r="H286" i="49"/>
  <c r="H285" i="49"/>
  <c r="H284" i="49"/>
  <c r="H283" i="49"/>
  <c r="H282" i="49"/>
  <c r="H281" i="49"/>
  <c r="H280" i="49"/>
  <c r="H279" i="49"/>
  <c r="H278" i="49"/>
  <c r="H277" i="49"/>
  <c r="H276" i="49"/>
  <c r="H275" i="49"/>
  <c r="H274" i="49"/>
  <c r="H273" i="49"/>
  <c r="H272" i="49"/>
  <c r="H271" i="49"/>
  <c r="E271" i="49"/>
  <c r="H270" i="49"/>
  <c r="H269" i="49"/>
  <c r="H268" i="49"/>
  <c r="H267" i="49"/>
  <c r="E267" i="49"/>
  <c r="H266" i="49"/>
  <c r="H265" i="49"/>
  <c r="H264" i="49"/>
  <c r="H263" i="49"/>
  <c r="H262" i="49"/>
  <c r="H261" i="49"/>
  <c r="H260" i="49"/>
  <c r="H259" i="49"/>
  <c r="H258" i="49"/>
  <c r="H257" i="49"/>
  <c r="E257" i="49"/>
  <c r="H256" i="49"/>
  <c r="H255" i="49"/>
  <c r="H254" i="49"/>
  <c r="H253" i="49"/>
  <c r="E253" i="49"/>
  <c r="H252" i="49"/>
  <c r="H251" i="49"/>
  <c r="H250" i="49"/>
  <c r="H249" i="49"/>
  <c r="H248" i="49"/>
  <c r="H247" i="49"/>
  <c r="H246" i="49"/>
  <c r="H245" i="49"/>
  <c r="H244" i="49"/>
  <c r="H243" i="49"/>
  <c r="H242" i="49"/>
  <c r="H241" i="49"/>
  <c r="H240" i="49"/>
  <c r="H239" i="49"/>
  <c r="H238" i="49"/>
  <c r="H237" i="49"/>
  <c r="H236" i="49"/>
  <c r="H235" i="49"/>
  <c r="H234" i="49"/>
  <c r="H233" i="49"/>
  <c r="H232" i="49"/>
  <c r="H231" i="49"/>
  <c r="H230" i="49"/>
  <c r="H229" i="49"/>
  <c r="H228" i="49"/>
  <c r="H227" i="49"/>
  <c r="H226" i="49"/>
  <c r="H225" i="49"/>
  <c r="H224" i="49"/>
  <c r="H223" i="49"/>
  <c r="H222" i="49"/>
  <c r="H221" i="49"/>
  <c r="H220" i="49"/>
  <c r="H219" i="49"/>
  <c r="H218" i="49"/>
  <c r="H217" i="49"/>
  <c r="H216" i="49"/>
  <c r="H215" i="49"/>
  <c r="H214" i="49"/>
  <c r="H213" i="49"/>
  <c r="H212" i="49"/>
  <c r="H211" i="49"/>
  <c r="H210" i="49"/>
  <c r="H209" i="49"/>
  <c r="H208" i="49"/>
  <c r="H207" i="49"/>
  <c r="H206" i="49"/>
  <c r="H202" i="49"/>
  <c r="H201" i="49"/>
  <c r="H200" i="49"/>
  <c r="H199" i="49"/>
  <c r="H198" i="49"/>
  <c r="H197" i="49"/>
  <c r="G197" i="49"/>
  <c r="F197" i="49"/>
  <c r="E197" i="49"/>
  <c r="D197" i="49"/>
  <c r="H196" i="49"/>
  <c r="H195" i="49"/>
  <c r="H194" i="49"/>
  <c r="H193" i="49"/>
  <c r="H192" i="49"/>
  <c r="H191" i="49"/>
  <c r="H190" i="49"/>
  <c r="H189" i="49"/>
  <c r="E189" i="49"/>
  <c r="H188" i="49"/>
  <c r="H187" i="49"/>
  <c r="H186" i="49"/>
  <c r="H185" i="49"/>
  <c r="H184" i="49"/>
  <c r="H183" i="49"/>
  <c r="H182" i="49"/>
  <c r="H181" i="49"/>
  <c r="H180" i="49"/>
  <c r="H179" i="49"/>
  <c r="H178" i="49"/>
  <c r="H177" i="49"/>
  <c r="H176" i="49"/>
  <c r="H175" i="49"/>
  <c r="H174" i="49"/>
  <c r="H173" i="49"/>
  <c r="H172" i="49"/>
  <c r="H171" i="49"/>
  <c r="H170" i="49"/>
  <c r="H169" i="49"/>
  <c r="H168" i="49"/>
  <c r="H167" i="49"/>
  <c r="G167" i="49"/>
  <c r="F167" i="49"/>
  <c r="E167" i="49"/>
  <c r="H166" i="49"/>
  <c r="E166" i="49"/>
  <c r="H165" i="49"/>
  <c r="E165" i="49"/>
  <c r="H164" i="49"/>
  <c r="H163" i="49"/>
  <c r="H162" i="49"/>
  <c r="E162" i="49"/>
  <c r="H161" i="49"/>
  <c r="H160" i="49"/>
  <c r="H159" i="49"/>
  <c r="H158" i="49"/>
  <c r="H157" i="49"/>
  <c r="H156" i="49"/>
  <c r="H155" i="49"/>
  <c r="H154" i="49"/>
  <c r="H153" i="49"/>
  <c r="H152" i="49"/>
  <c r="H151" i="49"/>
  <c r="H150" i="49"/>
  <c r="H149" i="49"/>
  <c r="H148" i="49"/>
  <c r="H147" i="49"/>
  <c r="H146" i="49"/>
  <c r="H145" i="49"/>
  <c r="H144" i="49"/>
  <c r="H143" i="49"/>
  <c r="H142" i="49"/>
  <c r="H141" i="49"/>
  <c r="H140" i="49"/>
  <c r="H139" i="49"/>
  <c r="H138" i="49"/>
  <c r="H137" i="49"/>
  <c r="H136" i="49"/>
  <c r="H135" i="49"/>
  <c r="H134" i="49"/>
  <c r="H133" i="49"/>
  <c r="H132" i="49"/>
  <c r="H131" i="49"/>
  <c r="H130" i="49"/>
  <c r="H129" i="49"/>
  <c r="H128" i="49"/>
  <c r="H127" i="49"/>
  <c r="H126" i="49"/>
  <c r="H125" i="49"/>
  <c r="H124" i="49"/>
  <c r="H123" i="49"/>
  <c r="H122" i="49"/>
  <c r="H121" i="49"/>
  <c r="H120" i="49"/>
  <c r="H119" i="49"/>
  <c r="H118" i="49"/>
  <c r="H117" i="49"/>
  <c r="H116" i="49"/>
  <c r="H115" i="49"/>
  <c r="H114" i="49"/>
  <c r="H113" i="49"/>
  <c r="H112" i="49"/>
  <c r="H111" i="49"/>
  <c r="H110" i="49"/>
  <c r="H109" i="49"/>
  <c r="E109" i="49"/>
  <c r="H108" i="49"/>
  <c r="H107" i="49"/>
  <c r="H106" i="49"/>
  <c r="H105" i="49"/>
  <c r="H104" i="49"/>
  <c r="H103" i="49"/>
  <c r="H102" i="49"/>
  <c r="H101" i="49"/>
  <c r="H100" i="49"/>
  <c r="H99" i="49"/>
  <c r="H98" i="49"/>
  <c r="H97" i="49"/>
  <c r="H96" i="49"/>
  <c r="G96" i="49"/>
  <c r="F96" i="49"/>
  <c r="D96" i="49"/>
  <c r="H95" i="49"/>
  <c r="H94" i="49"/>
  <c r="H93" i="49"/>
  <c r="G93" i="49"/>
  <c r="F93" i="49"/>
  <c r="E93" i="49"/>
  <c r="D93" i="49"/>
  <c r="H92" i="49"/>
  <c r="H91" i="49"/>
  <c r="E91" i="49"/>
  <c r="H90" i="49"/>
  <c r="E90" i="49"/>
  <c r="H89" i="49"/>
  <c r="H88" i="49"/>
  <c r="E88" i="49"/>
  <c r="H87" i="49"/>
  <c r="H86" i="49"/>
  <c r="H85" i="49"/>
  <c r="E85" i="49"/>
  <c r="H84" i="49"/>
  <c r="H83" i="49"/>
  <c r="E83" i="49"/>
  <c r="H82" i="49"/>
  <c r="E82" i="49"/>
  <c r="H81" i="49"/>
  <c r="E81" i="49"/>
  <c r="H80" i="49"/>
  <c r="H79" i="49"/>
  <c r="H78" i="49"/>
  <c r="H77" i="49"/>
  <c r="H76" i="49"/>
  <c r="H75" i="49"/>
  <c r="G75" i="49"/>
  <c r="F75" i="49"/>
  <c r="E75" i="49"/>
  <c r="D75" i="49"/>
  <c r="H74" i="49"/>
  <c r="H73" i="49"/>
  <c r="H72" i="49"/>
  <c r="H71" i="49"/>
  <c r="H70" i="49"/>
  <c r="G70" i="49"/>
  <c r="F70" i="49"/>
  <c r="D70" i="49"/>
  <c r="H69" i="49"/>
  <c r="G69" i="49"/>
  <c r="F69" i="49"/>
  <c r="E69" i="49"/>
  <c r="D69" i="49"/>
  <c r="H68" i="49"/>
  <c r="H67" i="49"/>
  <c r="H66" i="49"/>
  <c r="H65" i="49"/>
  <c r="H64" i="49"/>
  <c r="H63" i="49"/>
  <c r="H62" i="49"/>
  <c r="H61" i="49"/>
  <c r="H60" i="49"/>
  <c r="H59" i="49"/>
  <c r="H58" i="49"/>
  <c r="H57" i="49"/>
  <c r="H56" i="49"/>
  <c r="H55" i="49"/>
  <c r="H54" i="49"/>
  <c r="H53" i="49"/>
  <c r="H52" i="49"/>
  <c r="H51" i="49"/>
  <c r="H50" i="49"/>
  <c r="H49" i="49"/>
  <c r="H48" i="49"/>
  <c r="H47" i="49"/>
  <c r="G47" i="49"/>
  <c r="F47" i="49"/>
  <c r="D47" i="49"/>
  <c r="H46" i="49"/>
  <c r="H45" i="49"/>
  <c r="H44" i="49"/>
  <c r="H43" i="49"/>
  <c r="H42" i="49"/>
  <c r="H41" i="49"/>
  <c r="H40" i="49"/>
  <c r="H39" i="49"/>
  <c r="H38" i="49"/>
  <c r="H37" i="49"/>
  <c r="H36" i="49"/>
  <c r="H35" i="49"/>
  <c r="H34" i="49"/>
  <c r="H33" i="49"/>
  <c r="H32" i="49"/>
  <c r="H31" i="49"/>
  <c r="H30" i="49"/>
  <c r="H29" i="49"/>
  <c r="G29" i="49"/>
  <c r="F29" i="49"/>
  <c r="E29" i="49"/>
  <c r="D29" i="49"/>
  <c r="H28" i="49"/>
  <c r="G28" i="49"/>
  <c r="F28" i="49"/>
  <c r="D28" i="49"/>
  <c r="H27" i="49"/>
  <c r="H26" i="49"/>
  <c r="H25" i="49"/>
  <c r="H24" i="49"/>
  <c r="H23" i="49"/>
  <c r="H22" i="49"/>
  <c r="H21" i="49"/>
  <c r="H20" i="49"/>
  <c r="H19" i="49"/>
  <c r="H18" i="49"/>
  <c r="H17" i="49"/>
  <c r="H16" i="49"/>
  <c r="H15" i="49"/>
  <c r="H14" i="49"/>
  <c r="H13" i="49"/>
  <c r="H12" i="49"/>
  <c r="H11" i="49"/>
  <c r="H10" i="49"/>
  <c r="H9" i="49"/>
  <c r="H8" i="49"/>
  <c r="H7" i="49"/>
  <c r="H6" i="49"/>
  <c r="H5" i="49"/>
  <c r="FK500" i="49"/>
  <c r="FJ500" i="49"/>
  <c r="FI500" i="49"/>
  <c r="FH500" i="49"/>
  <c r="FG500" i="49"/>
  <c r="FF500" i="49"/>
  <c r="FE500" i="49"/>
  <c r="FC499" i="49"/>
  <c r="FF282" i="49"/>
  <c r="AH422" i="46"/>
  <c r="AK422" i="46"/>
  <c r="Y580" i="46"/>
  <c r="X580" i="46"/>
  <c r="AC580" i="46"/>
  <c r="AG580" i="46"/>
  <c r="AK580" i="46"/>
  <c r="S498" i="49"/>
  <c r="CS498" i="49"/>
  <c r="W580" i="46"/>
  <c r="AB580" i="46"/>
  <c r="AF580" i="46"/>
  <c r="AJ580" i="46"/>
  <c r="R498" i="49"/>
  <c r="BV498" i="49"/>
  <c r="V580" i="46"/>
  <c r="AA580" i="46"/>
  <c r="AE580" i="46"/>
  <c r="AI580" i="46"/>
  <c r="Q498" i="49"/>
  <c r="AY498" i="49"/>
  <c r="U580" i="46"/>
  <c r="Z580" i="46"/>
  <c r="AD580" i="46"/>
  <c r="AH580" i="46"/>
  <c r="V237" i="50"/>
  <c r="U237" i="50"/>
  <c r="T237" i="50"/>
  <c r="S237" i="50"/>
  <c r="R10" i="50"/>
  <c r="R11" i="50"/>
  <c r="R12" i="50"/>
  <c r="R13" i="50"/>
  <c r="R14" i="50"/>
  <c r="R15" i="50"/>
  <c r="R16" i="50"/>
  <c r="R17" i="50"/>
  <c r="R18" i="50"/>
  <c r="R19" i="50"/>
  <c r="R20" i="50"/>
  <c r="R21" i="50"/>
  <c r="R22" i="50"/>
  <c r="R23" i="50"/>
  <c r="R24" i="50"/>
  <c r="R25" i="50"/>
  <c r="R26" i="50"/>
  <c r="R27" i="50"/>
  <c r="R28" i="50"/>
  <c r="R29" i="50"/>
  <c r="R30" i="50"/>
  <c r="R31" i="50"/>
  <c r="R32" i="50"/>
  <c r="R33" i="50"/>
  <c r="R34" i="50"/>
  <c r="R35" i="50"/>
  <c r="R36" i="50"/>
  <c r="R37" i="50"/>
  <c r="R38" i="50"/>
  <c r="R39" i="50"/>
  <c r="R40" i="50"/>
  <c r="R41" i="50"/>
  <c r="R42" i="50"/>
  <c r="R43" i="50"/>
  <c r="R44" i="50"/>
  <c r="R45" i="50"/>
  <c r="R46" i="50"/>
  <c r="R47" i="50"/>
  <c r="R48" i="50"/>
  <c r="R49" i="50"/>
  <c r="R50" i="50"/>
  <c r="R51" i="50"/>
  <c r="R52" i="50"/>
  <c r="R53" i="50"/>
  <c r="R54" i="50"/>
  <c r="R55" i="50"/>
  <c r="R56" i="50"/>
  <c r="R57" i="50"/>
  <c r="R58" i="50"/>
  <c r="R59" i="50"/>
  <c r="R60" i="50"/>
  <c r="R61" i="50"/>
  <c r="R62" i="50"/>
  <c r="R63" i="50"/>
  <c r="R64" i="50"/>
  <c r="R65" i="50"/>
  <c r="R66" i="50"/>
  <c r="R67" i="50"/>
  <c r="R68" i="50"/>
  <c r="R69" i="50"/>
  <c r="R70" i="50"/>
  <c r="R71" i="50"/>
  <c r="R72" i="50"/>
  <c r="R73" i="50"/>
  <c r="R74" i="50"/>
  <c r="R75" i="50"/>
  <c r="R76" i="50"/>
  <c r="R77" i="50"/>
  <c r="R78" i="50"/>
  <c r="R79" i="50"/>
  <c r="R80" i="50"/>
  <c r="R81" i="50"/>
  <c r="R82" i="50"/>
  <c r="R83" i="50"/>
  <c r="R84" i="50"/>
  <c r="R85" i="50"/>
  <c r="R86" i="50"/>
  <c r="R87" i="50"/>
  <c r="R88" i="50"/>
  <c r="R89" i="50"/>
  <c r="R90" i="50"/>
  <c r="R91" i="50"/>
  <c r="R92" i="50"/>
  <c r="R93" i="50"/>
  <c r="R94" i="50"/>
  <c r="R95" i="50"/>
  <c r="R96" i="50"/>
  <c r="R97" i="50"/>
  <c r="R98" i="50"/>
  <c r="R99" i="50"/>
  <c r="R100" i="50"/>
  <c r="R101" i="50"/>
  <c r="R102" i="50"/>
  <c r="R103" i="50"/>
  <c r="R104" i="50"/>
  <c r="R105" i="50"/>
  <c r="R106" i="50"/>
  <c r="R107" i="50"/>
  <c r="R108" i="50"/>
  <c r="R109" i="50"/>
  <c r="R110" i="50"/>
  <c r="R111" i="50"/>
  <c r="R112" i="50"/>
  <c r="R113" i="50"/>
  <c r="R114" i="50"/>
  <c r="R115" i="50"/>
  <c r="R116" i="50"/>
  <c r="R117" i="50"/>
  <c r="R118" i="50"/>
  <c r="R119" i="50"/>
  <c r="R120" i="50"/>
  <c r="R121" i="50"/>
  <c r="R122" i="50"/>
  <c r="R123" i="50"/>
  <c r="R124" i="50"/>
  <c r="R125" i="50"/>
  <c r="R126" i="50"/>
  <c r="R127" i="50"/>
  <c r="R128" i="50"/>
  <c r="R129" i="50"/>
  <c r="R130" i="50"/>
  <c r="R131" i="50"/>
  <c r="R132" i="50"/>
  <c r="R133" i="50"/>
  <c r="R134" i="50"/>
  <c r="R135" i="50"/>
  <c r="R136" i="50"/>
  <c r="R137" i="50"/>
  <c r="R138" i="50"/>
  <c r="R139" i="50"/>
  <c r="R140" i="50"/>
  <c r="R141" i="50"/>
  <c r="R142" i="50"/>
  <c r="R143" i="50"/>
  <c r="R144" i="50"/>
  <c r="R145" i="50"/>
  <c r="R146" i="50"/>
  <c r="R147" i="50"/>
  <c r="R148" i="50"/>
  <c r="R149" i="50"/>
  <c r="R150" i="50"/>
  <c r="R151" i="50"/>
  <c r="R152" i="50"/>
  <c r="R153" i="50"/>
  <c r="R154" i="50"/>
  <c r="R155" i="50"/>
  <c r="R156" i="50"/>
  <c r="R157" i="50"/>
  <c r="R158" i="50"/>
  <c r="R159" i="50"/>
  <c r="R160" i="50"/>
  <c r="R161" i="50"/>
  <c r="R162" i="50"/>
  <c r="R163" i="50"/>
  <c r="R164" i="50"/>
  <c r="R165" i="50"/>
  <c r="R166" i="50"/>
  <c r="R167" i="50"/>
  <c r="R168" i="50"/>
  <c r="R169" i="50"/>
  <c r="R170" i="50"/>
  <c r="R171" i="50"/>
  <c r="R172" i="50"/>
  <c r="R173" i="50"/>
  <c r="R174" i="50"/>
  <c r="R175" i="50"/>
  <c r="R176" i="50"/>
  <c r="R177" i="50"/>
  <c r="R178" i="50"/>
  <c r="R179" i="50"/>
  <c r="R180" i="50"/>
  <c r="R181" i="50"/>
  <c r="R182" i="50"/>
  <c r="R183" i="50"/>
  <c r="R184" i="50"/>
  <c r="R185" i="50"/>
  <c r="R186" i="50"/>
  <c r="R187" i="50"/>
  <c r="R188" i="50"/>
  <c r="R189" i="50"/>
  <c r="R190" i="50"/>
  <c r="R191" i="50"/>
  <c r="R192" i="50"/>
  <c r="R193" i="50"/>
  <c r="R194" i="50"/>
  <c r="R195" i="50"/>
  <c r="R196" i="50"/>
  <c r="R197" i="50"/>
  <c r="R198" i="50"/>
  <c r="R199" i="50"/>
  <c r="R200" i="50"/>
  <c r="R201" i="50"/>
  <c r="R202" i="50"/>
  <c r="R203" i="50"/>
  <c r="R204" i="50"/>
  <c r="R205" i="50"/>
  <c r="R206" i="50"/>
  <c r="R207" i="50"/>
  <c r="R208" i="50"/>
  <c r="R209" i="50"/>
  <c r="R210" i="50"/>
  <c r="R211" i="50"/>
  <c r="R212" i="50"/>
  <c r="R213" i="50"/>
  <c r="R214" i="50"/>
  <c r="R215" i="50"/>
  <c r="R216" i="50"/>
  <c r="R217" i="50"/>
  <c r="R218" i="50"/>
  <c r="R219" i="50"/>
  <c r="R220" i="50"/>
  <c r="R221" i="50"/>
  <c r="R222" i="50"/>
  <c r="R223" i="50"/>
  <c r="R224" i="50"/>
  <c r="R225" i="50"/>
  <c r="R226" i="50"/>
  <c r="R227" i="50"/>
  <c r="R228" i="50"/>
  <c r="R229" i="50"/>
  <c r="R230" i="50"/>
  <c r="R231" i="50"/>
  <c r="R232" i="50"/>
  <c r="R233" i="50"/>
  <c r="R234" i="50"/>
  <c r="R235" i="50"/>
  <c r="R237" i="50"/>
  <c r="Q237" i="50"/>
  <c r="P237" i="50"/>
  <c r="O237" i="50"/>
  <c r="N237" i="50"/>
  <c r="M237" i="50"/>
  <c r="L237" i="50"/>
  <c r="K237" i="50"/>
  <c r="J237" i="50"/>
  <c r="I237" i="50"/>
  <c r="H237" i="50"/>
  <c r="G237" i="50"/>
  <c r="F237" i="50"/>
  <c r="O239" i="50"/>
  <c r="Y509" i="46"/>
  <c r="X509" i="46"/>
  <c r="W509" i="46"/>
  <c r="V509" i="46"/>
  <c r="U509" i="46"/>
  <c r="Y422" i="46"/>
  <c r="X422" i="46"/>
  <c r="W422" i="46"/>
  <c r="V422" i="46"/>
  <c r="U422" i="46"/>
  <c r="Y420" i="46"/>
  <c r="X420" i="46"/>
  <c r="W420" i="46"/>
  <c r="V420" i="46"/>
  <c r="U420" i="46"/>
  <c r="Y397" i="46"/>
  <c r="X397" i="46"/>
  <c r="W397" i="46"/>
  <c r="V397" i="46"/>
  <c r="U397" i="46"/>
  <c r="Y175" i="46"/>
  <c r="X175" i="46"/>
  <c r="W175" i="46"/>
  <c r="V175" i="46"/>
  <c r="U175" i="46"/>
  <c r="Y103" i="46"/>
  <c r="X103" i="46"/>
  <c r="W103" i="46"/>
  <c r="V103" i="46"/>
  <c r="U103" i="46"/>
  <c r="Y101" i="46"/>
  <c r="X101" i="46"/>
  <c r="W101" i="46"/>
  <c r="V101" i="46"/>
  <c r="U101" i="46"/>
  <c r="Z101" i="46"/>
  <c r="Y92" i="46"/>
  <c r="X92" i="46"/>
  <c r="W92" i="46"/>
  <c r="V92" i="46"/>
  <c r="U92" i="46"/>
  <c r="Y79" i="46"/>
  <c r="X79" i="46"/>
  <c r="W79" i="46"/>
  <c r="V79" i="46"/>
  <c r="U79" i="46"/>
  <c r="Y61" i="46"/>
  <c r="X61" i="46"/>
  <c r="W61" i="46"/>
  <c r="V61" i="46"/>
  <c r="U61" i="46"/>
  <c r="Y60" i="46"/>
  <c r="X60" i="46"/>
  <c r="W60" i="46"/>
  <c r="V60" i="46"/>
  <c r="U60" i="46"/>
  <c r="Y43" i="46"/>
  <c r="X43" i="46"/>
  <c r="W43" i="46"/>
  <c r="V43" i="46"/>
  <c r="AA43" i="46"/>
  <c r="U43" i="46"/>
  <c r="Y42" i="46"/>
  <c r="X42" i="46"/>
  <c r="W42" i="46"/>
  <c r="AB42" i="46"/>
  <c r="V42" i="46"/>
  <c r="U42" i="46"/>
  <c r="Y16" i="46"/>
  <c r="X16" i="46"/>
  <c r="W16" i="46"/>
  <c r="V16" i="46"/>
  <c r="U16" i="46"/>
  <c r="P239" i="50"/>
  <c r="Q239" i="50"/>
  <c r="R239" i="50"/>
  <c r="S239" i="50"/>
  <c r="T239" i="50"/>
  <c r="U239" i="50"/>
  <c r="V239" i="50"/>
  <c r="W239" i="50"/>
  <c r="X239" i="50"/>
  <c r="Y239" i="50"/>
  <c r="BY579" i="46"/>
  <c r="CB579" i="46"/>
  <c r="CA579" i="46"/>
  <c r="BZ579" i="46"/>
  <c r="BQ579" i="46"/>
  <c r="BC579" i="46"/>
  <c r="C568" i="46"/>
  <c r="C567" i="46"/>
  <c r="B567" i="46"/>
  <c r="C566" i="46"/>
  <c r="B566" i="46"/>
  <c r="C565" i="46"/>
  <c r="B565" i="46"/>
  <c r="C564" i="46"/>
  <c r="C563" i="46"/>
  <c r="B563" i="46"/>
  <c r="C562" i="46"/>
  <c r="B562" i="46"/>
  <c r="C561" i="46"/>
  <c r="B561" i="46"/>
  <c r="C560" i="46"/>
  <c r="B537" i="46"/>
  <c r="Y537" i="46"/>
  <c r="C536" i="46"/>
  <c r="B536" i="46"/>
  <c r="C535" i="46"/>
  <c r="B535" i="46"/>
  <c r="C534" i="46"/>
  <c r="B534" i="46"/>
  <c r="C533" i="46"/>
  <c r="B533" i="46"/>
  <c r="C532" i="46"/>
  <c r="B532" i="46"/>
  <c r="C531" i="46"/>
  <c r="C530" i="46"/>
  <c r="B530" i="46"/>
  <c r="G530" i="46"/>
  <c r="C529" i="46"/>
  <c r="B529" i="46"/>
  <c r="C528" i="46"/>
  <c r="B528" i="46"/>
  <c r="C527" i="46"/>
  <c r="C526" i="46"/>
  <c r="B526" i="46"/>
  <c r="C525" i="46"/>
  <c r="B525" i="46"/>
  <c r="C524" i="46"/>
  <c r="B524" i="46"/>
  <c r="C523" i="46"/>
  <c r="C522" i="46"/>
  <c r="B522" i="46"/>
  <c r="X522" i="46"/>
  <c r="C521" i="46"/>
  <c r="B521" i="46"/>
  <c r="C520" i="46"/>
  <c r="B520" i="46"/>
  <c r="B519" i="46"/>
  <c r="B518" i="46"/>
  <c r="X518" i="46"/>
  <c r="AC518" i="46"/>
  <c r="C517" i="46"/>
  <c r="B517" i="46"/>
  <c r="C516" i="46"/>
  <c r="B516" i="46"/>
  <c r="C508" i="46"/>
  <c r="C507" i="46"/>
  <c r="B507" i="46"/>
  <c r="C506" i="46"/>
  <c r="B506" i="46"/>
  <c r="C505" i="46"/>
  <c r="B505" i="46"/>
  <c r="C504" i="46"/>
  <c r="C503" i="46"/>
  <c r="B503" i="46"/>
  <c r="C485" i="46"/>
  <c r="B485" i="46"/>
  <c r="C484" i="46"/>
  <c r="B484" i="46"/>
  <c r="C483" i="46"/>
  <c r="B483" i="46"/>
  <c r="F483" i="46"/>
  <c r="C482" i="46"/>
  <c r="B482" i="46"/>
  <c r="C481" i="46"/>
  <c r="B481" i="46"/>
  <c r="M5" i="51"/>
  <c r="N481" i="46"/>
  <c r="C480" i="46"/>
  <c r="B480" i="46"/>
  <c r="C479" i="46"/>
  <c r="B479" i="46"/>
  <c r="C478" i="46"/>
  <c r="C477" i="46"/>
  <c r="C476" i="46"/>
  <c r="B476" i="46"/>
  <c r="C475" i="46"/>
  <c r="B475" i="46"/>
  <c r="C474" i="46"/>
  <c r="C473" i="46"/>
  <c r="C472" i="46"/>
  <c r="B472" i="46"/>
  <c r="C471" i="46"/>
  <c r="B471" i="46"/>
  <c r="C470" i="46"/>
  <c r="C469" i="46"/>
  <c r="C468" i="46"/>
  <c r="B468" i="46"/>
  <c r="B421" i="46"/>
  <c r="Y421" i="46"/>
  <c r="M420" i="46"/>
  <c r="I420" i="46"/>
  <c r="C419" i="46"/>
  <c r="B419" i="46"/>
  <c r="C418" i="46"/>
  <c r="B418" i="46"/>
  <c r="C417" i="46"/>
  <c r="C416" i="46"/>
  <c r="C415" i="46"/>
  <c r="B415" i="46"/>
  <c r="C414" i="46"/>
  <c r="B414" i="46"/>
  <c r="C413" i="46"/>
  <c r="C412" i="46"/>
  <c r="C411" i="46"/>
  <c r="B411" i="46"/>
  <c r="C410" i="46"/>
  <c r="B410" i="46"/>
  <c r="C409" i="46"/>
  <c r="C408" i="46"/>
  <c r="B408" i="46"/>
  <c r="C407" i="46"/>
  <c r="B407" i="46"/>
  <c r="C406" i="46"/>
  <c r="B406" i="46"/>
  <c r="C396" i="46"/>
  <c r="C395" i="46"/>
  <c r="C394" i="46"/>
  <c r="B394" i="46"/>
  <c r="C393" i="46"/>
  <c r="B393" i="46"/>
  <c r="C392" i="46"/>
  <c r="C391" i="46"/>
  <c r="C390" i="46"/>
  <c r="B390" i="46"/>
  <c r="C389" i="46"/>
  <c r="B389" i="46"/>
  <c r="C388" i="46"/>
  <c r="C387" i="46"/>
  <c r="C386" i="46"/>
  <c r="B386" i="46"/>
  <c r="C174" i="46"/>
  <c r="B174" i="46"/>
  <c r="C173" i="46"/>
  <c r="C172" i="46"/>
  <c r="B172" i="46"/>
  <c r="C171" i="46"/>
  <c r="B171" i="46"/>
  <c r="C170" i="46"/>
  <c r="B170" i="46"/>
  <c r="C169" i="46"/>
  <c r="C168" i="46"/>
  <c r="B168" i="46"/>
  <c r="C167" i="46"/>
  <c r="B167" i="46"/>
  <c r="C166" i="46"/>
  <c r="B166" i="46"/>
  <c r="C165" i="46"/>
  <c r="C164" i="46"/>
  <c r="B164" i="46"/>
  <c r="C163" i="46"/>
  <c r="B163" i="46"/>
  <c r="C162" i="46"/>
  <c r="B162" i="46"/>
  <c r="C161" i="46"/>
  <c r="C160" i="46"/>
  <c r="B160" i="46"/>
  <c r="C159" i="46"/>
  <c r="B159" i="46"/>
  <c r="C158" i="46"/>
  <c r="B158" i="46"/>
  <c r="C157" i="46"/>
  <c r="C156" i="46"/>
  <c r="B156" i="46"/>
  <c r="C155" i="46"/>
  <c r="B155" i="46"/>
  <c r="C154" i="46"/>
  <c r="B154" i="46"/>
  <c r="C153" i="46"/>
  <c r="C152" i="46"/>
  <c r="B152" i="46"/>
  <c r="C151" i="46"/>
  <c r="B151" i="46"/>
  <c r="C150" i="46"/>
  <c r="B150" i="46"/>
  <c r="C149" i="46"/>
  <c r="C148" i="46"/>
  <c r="B148" i="46"/>
  <c r="C147" i="46"/>
  <c r="B147" i="46"/>
  <c r="C146" i="46"/>
  <c r="B146" i="46"/>
  <c r="C145" i="46"/>
  <c r="C144" i="46"/>
  <c r="B144" i="46"/>
  <c r="C143" i="46"/>
  <c r="B143" i="46"/>
  <c r="C142" i="46"/>
  <c r="B142" i="46"/>
  <c r="C141" i="46"/>
  <c r="C140" i="46"/>
  <c r="B140" i="46"/>
  <c r="C139" i="46"/>
  <c r="B139" i="46"/>
  <c r="C138" i="46"/>
  <c r="B138" i="46"/>
  <c r="C137" i="46"/>
  <c r="C136" i="46"/>
  <c r="B136" i="46"/>
  <c r="C135" i="46"/>
  <c r="B135" i="46"/>
  <c r="C134" i="46"/>
  <c r="B134" i="46"/>
  <c r="C133" i="46"/>
  <c r="C132" i="46"/>
  <c r="B132" i="46"/>
  <c r="C131" i="46"/>
  <c r="B131" i="46"/>
  <c r="C130" i="46"/>
  <c r="B130" i="46"/>
  <c r="C129" i="46"/>
  <c r="C128" i="46"/>
  <c r="B128" i="46"/>
  <c r="C127" i="46"/>
  <c r="B127" i="46"/>
  <c r="C126" i="46"/>
  <c r="B126" i="46"/>
  <c r="C125" i="46"/>
  <c r="C124" i="46"/>
  <c r="B124" i="46"/>
  <c r="C123" i="46"/>
  <c r="B123" i="46"/>
  <c r="C122" i="46"/>
  <c r="B122" i="46"/>
  <c r="C121" i="46"/>
  <c r="C120" i="46"/>
  <c r="B120" i="46"/>
  <c r="C114" i="46"/>
  <c r="B114" i="46"/>
  <c r="C113" i="46"/>
  <c r="C112" i="46"/>
  <c r="C111" i="46"/>
  <c r="B111" i="46"/>
  <c r="C110" i="46"/>
  <c r="B110" i="46"/>
  <c r="C109" i="46"/>
  <c r="M103" i="46"/>
  <c r="I103" i="46"/>
  <c r="C102" i="46"/>
  <c r="B102" i="46"/>
  <c r="M101" i="46"/>
  <c r="I101" i="46"/>
  <c r="C100" i="46"/>
  <c r="B100" i="46"/>
  <c r="M92" i="46"/>
  <c r="I92" i="46"/>
  <c r="C91" i="46"/>
  <c r="C90" i="46"/>
  <c r="B90" i="46"/>
  <c r="C89" i="46"/>
  <c r="B89" i="46"/>
  <c r="C88" i="46"/>
  <c r="B88" i="46"/>
  <c r="B87" i="46"/>
  <c r="C86" i="46"/>
  <c r="B86" i="46"/>
  <c r="C78" i="46"/>
  <c r="C77" i="46"/>
  <c r="B77" i="46"/>
  <c r="C76" i="46"/>
  <c r="C75" i="46"/>
  <c r="B75" i="46"/>
  <c r="C74" i="46"/>
  <c r="C73" i="46"/>
  <c r="B73" i="46"/>
  <c r="C72" i="46"/>
  <c r="C71" i="46"/>
  <c r="B71" i="46"/>
  <c r="J71" i="46"/>
  <c r="M60" i="46"/>
  <c r="I60" i="46"/>
  <c r="C59" i="46"/>
  <c r="C58" i="46"/>
  <c r="C57" i="46"/>
  <c r="B57" i="46"/>
  <c r="C56" i="46"/>
  <c r="B56" i="46"/>
  <c r="H56" i="46"/>
  <c r="C55" i="46"/>
  <c r="C54" i="46"/>
  <c r="C53" i="46"/>
  <c r="P53" i="46"/>
  <c r="M16" i="46"/>
  <c r="I16" i="46"/>
  <c r="C15" i="46"/>
  <c r="P15" i="46"/>
  <c r="C14" i="46"/>
  <c r="C13" i="46"/>
  <c r="B13" i="46"/>
  <c r="Y13" i="46"/>
  <c r="C12" i="46"/>
  <c r="C11" i="46"/>
  <c r="B11" i="46"/>
  <c r="N11" i="46"/>
  <c r="C10" i="46"/>
  <c r="C9" i="46"/>
  <c r="B9" i="46"/>
  <c r="J9" i="46"/>
  <c r="C8" i="46"/>
  <c r="B8" i="46"/>
  <c r="C7" i="46"/>
  <c r="C6" i="46"/>
  <c r="B6" i="46"/>
  <c r="X6" i="46"/>
  <c r="F42" i="46"/>
  <c r="C22" i="46"/>
  <c r="P22" i="46"/>
  <c r="C23" i="46"/>
  <c r="C24" i="46"/>
  <c r="B24" i="46"/>
  <c r="C25" i="46"/>
  <c r="P25" i="46"/>
  <c r="C26" i="46"/>
  <c r="P26" i="46"/>
  <c r="C27" i="46"/>
  <c r="C28" i="46"/>
  <c r="B28" i="46"/>
  <c r="C29" i="46"/>
  <c r="B29" i="46"/>
  <c r="W29" i="46"/>
  <c r="C30" i="46"/>
  <c r="P30" i="46"/>
  <c r="C31" i="46"/>
  <c r="B31" i="46"/>
  <c r="C32" i="46"/>
  <c r="B32" i="46"/>
  <c r="C33" i="46"/>
  <c r="C34" i="46"/>
  <c r="P34" i="46"/>
  <c r="C35" i="46"/>
  <c r="C36" i="46"/>
  <c r="B36" i="46"/>
  <c r="C37" i="46"/>
  <c r="P37" i="46"/>
  <c r="C38" i="46"/>
  <c r="P38" i="46"/>
  <c r="C39" i="46"/>
  <c r="C40" i="46"/>
  <c r="B40" i="46"/>
  <c r="C41" i="46"/>
  <c r="B41" i="46"/>
  <c r="W41" i="46"/>
  <c r="F43" i="46"/>
  <c r="C44" i="46"/>
  <c r="P44" i="46"/>
  <c r="M42" i="46"/>
  <c r="I42" i="46"/>
  <c r="K42" i="46"/>
  <c r="M43" i="46"/>
  <c r="P29" i="46"/>
  <c r="C42" i="46"/>
  <c r="P42" i="46"/>
  <c r="C45" i="46"/>
  <c r="C46" i="46"/>
  <c r="P46" i="46"/>
  <c r="C47" i="46"/>
  <c r="B47" i="46"/>
  <c r="W47" i="46"/>
  <c r="D3" i="40"/>
  <c r="P48" i="46"/>
  <c r="M509" i="46"/>
  <c r="I509" i="46"/>
  <c r="M422" i="46"/>
  <c r="I422" i="46"/>
  <c r="M397" i="46"/>
  <c r="I397" i="46"/>
  <c r="M175" i="46"/>
  <c r="I175" i="46"/>
  <c r="M79" i="46"/>
  <c r="I79" i="46"/>
  <c r="M61" i="46"/>
  <c r="I61" i="46"/>
  <c r="I43" i="46"/>
  <c r="E575" i="46"/>
  <c r="L518" i="46"/>
  <c r="L522" i="46"/>
  <c r="L526" i="46"/>
  <c r="L532" i="46"/>
  <c r="L534" i="46"/>
  <c r="L536" i="46"/>
  <c r="L537" i="46"/>
  <c r="J521" i="46"/>
  <c r="J522" i="46"/>
  <c r="J524" i="46"/>
  <c r="J526" i="46"/>
  <c r="J529" i="46"/>
  <c r="J533" i="46"/>
  <c r="J534" i="46"/>
  <c r="J537" i="46"/>
  <c r="H526" i="46"/>
  <c r="H534" i="46"/>
  <c r="H536" i="46"/>
  <c r="H537" i="46"/>
  <c r="G520" i="46"/>
  <c r="G522" i="46"/>
  <c r="G526" i="46"/>
  <c r="G529" i="46"/>
  <c r="G533" i="46"/>
  <c r="G534" i="46"/>
  <c r="G536" i="46"/>
  <c r="G537" i="46"/>
  <c r="F518" i="46"/>
  <c r="F521" i="46"/>
  <c r="F526" i="46"/>
  <c r="F529" i="46"/>
  <c r="F533" i="46"/>
  <c r="F534" i="46"/>
  <c r="F537" i="46"/>
  <c r="E557" i="46"/>
  <c r="L509" i="46"/>
  <c r="J509" i="46"/>
  <c r="H509" i="46"/>
  <c r="G509" i="46"/>
  <c r="F509" i="46"/>
  <c r="E513" i="46"/>
  <c r="L485" i="46"/>
  <c r="J480" i="46"/>
  <c r="J482" i="46"/>
  <c r="J485" i="46"/>
  <c r="H472" i="46"/>
  <c r="H480" i="46"/>
  <c r="H485" i="46"/>
  <c r="G475" i="46"/>
  <c r="F472" i="46"/>
  <c r="F482" i="46"/>
  <c r="F485" i="46"/>
  <c r="E500" i="46"/>
  <c r="L420" i="46"/>
  <c r="L421" i="46"/>
  <c r="L422" i="46"/>
  <c r="J420" i="46"/>
  <c r="J421" i="46"/>
  <c r="J422" i="46"/>
  <c r="H420" i="46"/>
  <c r="H421" i="46"/>
  <c r="H422" i="46"/>
  <c r="G420" i="46"/>
  <c r="G421" i="46"/>
  <c r="G422" i="46"/>
  <c r="F420" i="46"/>
  <c r="F421" i="46"/>
  <c r="F422" i="46"/>
  <c r="E465" i="46"/>
  <c r="L397" i="46"/>
  <c r="J397" i="46"/>
  <c r="H397" i="46"/>
  <c r="G397" i="46"/>
  <c r="F397" i="46"/>
  <c r="E403" i="46"/>
  <c r="E383" i="46"/>
  <c r="L175" i="46"/>
  <c r="J175" i="46"/>
  <c r="H175" i="46"/>
  <c r="G175" i="46"/>
  <c r="F175" i="46"/>
  <c r="E358" i="46"/>
  <c r="E117" i="46"/>
  <c r="L101" i="46"/>
  <c r="L103" i="46"/>
  <c r="J101" i="46"/>
  <c r="J103" i="46"/>
  <c r="H101" i="46"/>
  <c r="H103" i="46"/>
  <c r="G101" i="46"/>
  <c r="G103" i="46"/>
  <c r="F101" i="46"/>
  <c r="F103" i="46"/>
  <c r="E106" i="46"/>
  <c r="L92" i="46"/>
  <c r="J92" i="46"/>
  <c r="H87" i="46"/>
  <c r="H92" i="46"/>
  <c r="G92" i="46"/>
  <c r="F92" i="46"/>
  <c r="E97" i="46"/>
  <c r="L77" i="46"/>
  <c r="L79" i="46"/>
  <c r="J79" i="46"/>
  <c r="H79" i="46"/>
  <c r="G79" i="46"/>
  <c r="F79" i="46"/>
  <c r="E83" i="46"/>
  <c r="L60" i="46"/>
  <c r="L61" i="46"/>
  <c r="J60" i="46"/>
  <c r="J61" i="46"/>
  <c r="H60" i="46"/>
  <c r="H61" i="46"/>
  <c r="G60" i="46"/>
  <c r="G61" i="46"/>
  <c r="F60" i="46"/>
  <c r="F61" i="46"/>
  <c r="E68" i="46"/>
  <c r="L42" i="46"/>
  <c r="L43" i="46"/>
  <c r="J42" i="46"/>
  <c r="J43" i="46"/>
  <c r="H42" i="46"/>
  <c r="H43" i="46"/>
  <c r="G42" i="46"/>
  <c r="G43" i="46"/>
  <c r="L16" i="46"/>
  <c r="J16" i="46"/>
  <c r="H16" i="46"/>
  <c r="G16" i="46"/>
  <c r="F16" i="46"/>
  <c r="N537" i="46"/>
  <c r="N536" i="46"/>
  <c r="N534" i="46"/>
  <c r="N533" i="46"/>
  <c r="N532" i="46"/>
  <c r="N529" i="46"/>
  <c r="N526" i="46"/>
  <c r="N524" i="46"/>
  <c r="N522" i="46"/>
  <c r="N521" i="46"/>
  <c r="N520" i="46"/>
  <c r="N518" i="46"/>
  <c r="N509" i="46"/>
  <c r="N485" i="46"/>
  <c r="N482" i="46"/>
  <c r="N480" i="46"/>
  <c r="N475" i="46"/>
  <c r="N422" i="46"/>
  <c r="N421" i="46"/>
  <c r="N420" i="46"/>
  <c r="N397" i="46"/>
  <c r="N175" i="46"/>
  <c r="N103" i="46"/>
  <c r="N101" i="46"/>
  <c r="N92" i="46"/>
  <c r="N79" i="46"/>
  <c r="N61" i="46"/>
  <c r="N60" i="46"/>
  <c r="N43" i="46"/>
  <c r="N42" i="46"/>
  <c r="N16" i="46"/>
  <c r="N13" i="46"/>
  <c r="N5" i="51"/>
  <c r="O5" i="51"/>
  <c r="P5" i="51"/>
  <c r="Q5" i="51"/>
  <c r="R5" i="51"/>
  <c r="S5" i="51"/>
  <c r="E27" i="52"/>
  <c r="D27" i="52"/>
  <c r="C27" i="52"/>
  <c r="B27" i="52"/>
  <c r="E26" i="52"/>
  <c r="D26" i="52"/>
  <c r="C26" i="52"/>
  <c r="B26" i="52"/>
  <c r="L236" i="51"/>
  <c r="K236" i="51"/>
  <c r="R236" i="50"/>
  <c r="AZ6" i="1"/>
  <c r="BE6" i="46"/>
  <c r="BF6" i="46"/>
  <c r="B584" i="46"/>
  <c r="BI6" i="46"/>
  <c r="BI7" i="46"/>
  <c r="BI8" i="46"/>
  <c r="BI9" i="46"/>
  <c r="BI10" i="46"/>
  <c r="BI11" i="46"/>
  <c r="BI12" i="46"/>
  <c r="BI13" i="46"/>
  <c r="BI14" i="46"/>
  <c r="BI15" i="46"/>
  <c r="BI16" i="46"/>
  <c r="BI22" i="46"/>
  <c r="BI23" i="46"/>
  <c r="BI24" i="46"/>
  <c r="BI26" i="46"/>
  <c r="BI27" i="46"/>
  <c r="BI28" i="46"/>
  <c r="BI29" i="46"/>
  <c r="BI30" i="46"/>
  <c r="BI31" i="46"/>
  <c r="BI32" i="46"/>
  <c r="BI33" i="46"/>
  <c r="BI34" i="46"/>
  <c r="BI35" i="46"/>
  <c r="BI36" i="46"/>
  <c r="BI37" i="46"/>
  <c r="BI38" i="46"/>
  <c r="BI39" i="46"/>
  <c r="BI40" i="46"/>
  <c r="BI41" i="46"/>
  <c r="BI42" i="46"/>
  <c r="BI43" i="46"/>
  <c r="BI44" i="46"/>
  <c r="BI45" i="46"/>
  <c r="BI46" i="46"/>
  <c r="BI47" i="46"/>
  <c r="BI53" i="46"/>
  <c r="BI54" i="46"/>
  <c r="BI55" i="46"/>
  <c r="BI56" i="46"/>
  <c r="BI57" i="46"/>
  <c r="BI58" i="46"/>
  <c r="BI59" i="46"/>
  <c r="BI60" i="46"/>
  <c r="BI61" i="46"/>
  <c r="BI62" i="46"/>
  <c r="BI63" i="46"/>
  <c r="BI64" i="46"/>
  <c r="BI65" i="46"/>
  <c r="BI71" i="46"/>
  <c r="BI72" i="46"/>
  <c r="BI73" i="46"/>
  <c r="BI74" i="46"/>
  <c r="BI75" i="46"/>
  <c r="BI76" i="46"/>
  <c r="BI77" i="46"/>
  <c r="BI78" i="46"/>
  <c r="BI79" i="46"/>
  <c r="BI80" i="46"/>
  <c r="BI86" i="46"/>
  <c r="BI88" i="46"/>
  <c r="BI89" i="46"/>
  <c r="BI90" i="46"/>
  <c r="BI91" i="46"/>
  <c r="BI92" i="46"/>
  <c r="BI93" i="46"/>
  <c r="BI94" i="46"/>
  <c r="BI100" i="46"/>
  <c r="BI102" i="46"/>
  <c r="BI109" i="46"/>
  <c r="BI110" i="46"/>
  <c r="BI111" i="46"/>
  <c r="BI112" i="46"/>
  <c r="BI113" i="46"/>
  <c r="BI114" i="46"/>
  <c r="BI120" i="46"/>
  <c r="BI121" i="46"/>
  <c r="BI122" i="46"/>
  <c r="BI123" i="46"/>
  <c r="BI124" i="46"/>
  <c r="BI125" i="46"/>
  <c r="BI126" i="46"/>
  <c r="BI127" i="46"/>
  <c r="BI128" i="46"/>
  <c r="BI129" i="46"/>
  <c r="BI130" i="46"/>
  <c r="BI131" i="46"/>
  <c r="BI132" i="46"/>
  <c r="BI133" i="46"/>
  <c r="BI134" i="46"/>
  <c r="BI135" i="46"/>
  <c r="BI136" i="46"/>
  <c r="BI137" i="46"/>
  <c r="BI138" i="46"/>
  <c r="BI139" i="46"/>
  <c r="BI140" i="46"/>
  <c r="BI141" i="46"/>
  <c r="BI142" i="46"/>
  <c r="BI143" i="46"/>
  <c r="BI144" i="46"/>
  <c r="BI145" i="46"/>
  <c r="BI146" i="46"/>
  <c r="BI147" i="46"/>
  <c r="BI148" i="46"/>
  <c r="BI149" i="46"/>
  <c r="BI150" i="46"/>
  <c r="BI151" i="46"/>
  <c r="BI152" i="46"/>
  <c r="BI153" i="46"/>
  <c r="BI154" i="46"/>
  <c r="BI155" i="46"/>
  <c r="BI156" i="46"/>
  <c r="BI157" i="46"/>
  <c r="BI158" i="46"/>
  <c r="BI159" i="46"/>
  <c r="BI160" i="46"/>
  <c r="BI161" i="46"/>
  <c r="BI162" i="46"/>
  <c r="BI163" i="46"/>
  <c r="BI164" i="46"/>
  <c r="BI165" i="46"/>
  <c r="BI166" i="46"/>
  <c r="BI167" i="46"/>
  <c r="BI168" i="46"/>
  <c r="BI169" i="46"/>
  <c r="BI170" i="46"/>
  <c r="BI171" i="46"/>
  <c r="BI172" i="46"/>
  <c r="BI173" i="46"/>
  <c r="BI174" i="46"/>
  <c r="BI175" i="46"/>
  <c r="BI176" i="46"/>
  <c r="BI177" i="46"/>
  <c r="BI178" i="46"/>
  <c r="BI179" i="46"/>
  <c r="BI180" i="46"/>
  <c r="BI181" i="46"/>
  <c r="BI182" i="46"/>
  <c r="BI183" i="46"/>
  <c r="BI184" i="46"/>
  <c r="BI185" i="46"/>
  <c r="BI186" i="46"/>
  <c r="BI187" i="46"/>
  <c r="BI188" i="46"/>
  <c r="BI189" i="46"/>
  <c r="BI190" i="46"/>
  <c r="BI191" i="46"/>
  <c r="BI192" i="46"/>
  <c r="BI193" i="46"/>
  <c r="BI194" i="46"/>
  <c r="BI195" i="46"/>
  <c r="BI196" i="46"/>
  <c r="BI197" i="46"/>
  <c r="BI198" i="46"/>
  <c r="BI199" i="46"/>
  <c r="BI200" i="46"/>
  <c r="BI201" i="46"/>
  <c r="BI202" i="46"/>
  <c r="BI203" i="46"/>
  <c r="BI204" i="46"/>
  <c r="BI205" i="46"/>
  <c r="BI206" i="46"/>
  <c r="BI207" i="46"/>
  <c r="BI208" i="46"/>
  <c r="BI209" i="46"/>
  <c r="BI210" i="46"/>
  <c r="BI211" i="46"/>
  <c r="BI212" i="46"/>
  <c r="BI214" i="46"/>
  <c r="BI215" i="46"/>
  <c r="BI216" i="46"/>
  <c r="BI217" i="46"/>
  <c r="BI218" i="46"/>
  <c r="BI219" i="46"/>
  <c r="BI220" i="46"/>
  <c r="BI221" i="46"/>
  <c r="BI222" i="46"/>
  <c r="BI223" i="46"/>
  <c r="BI224" i="46"/>
  <c r="BI225" i="46"/>
  <c r="BI226" i="46"/>
  <c r="BI227" i="46"/>
  <c r="BI228" i="46"/>
  <c r="BI229" i="46"/>
  <c r="BI230" i="46"/>
  <c r="BI231" i="46"/>
  <c r="BI232" i="46"/>
  <c r="BI233" i="46"/>
  <c r="BI234" i="46"/>
  <c r="BI235" i="46"/>
  <c r="BI236" i="46"/>
  <c r="BI237" i="46"/>
  <c r="BI238" i="46"/>
  <c r="BI239" i="46"/>
  <c r="BI240" i="46"/>
  <c r="BI241" i="46"/>
  <c r="BI242" i="46"/>
  <c r="BI243" i="46"/>
  <c r="BI244" i="46"/>
  <c r="BI245" i="46"/>
  <c r="BI246" i="46"/>
  <c r="BI247" i="46"/>
  <c r="BI248" i="46"/>
  <c r="BI249" i="46"/>
  <c r="BI250" i="46"/>
  <c r="BI251" i="46"/>
  <c r="BI252" i="46"/>
  <c r="BI253" i="46"/>
  <c r="BI254" i="46"/>
  <c r="BI255" i="46"/>
  <c r="BI256" i="46"/>
  <c r="BI257" i="46"/>
  <c r="BI258" i="46"/>
  <c r="BI259" i="46"/>
  <c r="BI260" i="46"/>
  <c r="BI261" i="46"/>
  <c r="BI262" i="46"/>
  <c r="BI263" i="46"/>
  <c r="BI264" i="46"/>
  <c r="BI265" i="46"/>
  <c r="BI266" i="46"/>
  <c r="BI267" i="46"/>
  <c r="BI269" i="46"/>
  <c r="BI270" i="46"/>
  <c r="BI271" i="46"/>
  <c r="BI272" i="46"/>
  <c r="BI273" i="46"/>
  <c r="BI274" i="46"/>
  <c r="BI275" i="46"/>
  <c r="BI276" i="46"/>
  <c r="BI277" i="46"/>
  <c r="BI278" i="46"/>
  <c r="BI279" i="46"/>
  <c r="BI280" i="46"/>
  <c r="BI281" i="46"/>
  <c r="BI282" i="46"/>
  <c r="BI283" i="46"/>
  <c r="BI284" i="46"/>
  <c r="BI285" i="46"/>
  <c r="BI286" i="46"/>
  <c r="BI287" i="46"/>
  <c r="BI288" i="46"/>
  <c r="BI289" i="46"/>
  <c r="BI290" i="46"/>
  <c r="BI291" i="46"/>
  <c r="BI292" i="46"/>
  <c r="BI293" i="46"/>
  <c r="BI294" i="46"/>
  <c r="BI295" i="46"/>
  <c r="BI296" i="46"/>
  <c r="BI297" i="46"/>
  <c r="BI298" i="46"/>
  <c r="BI299" i="46"/>
  <c r="BI300" i="46"/>
  <c r="BI301" i="46"/>
  <c r="BI302" i="46"/>
  <c r="BI303" i="46"/>
  <c r="BI304" i="46"/>
  <c r="BI305" i="46"/>
  <c r="BI306" i="46"/>
  <c r="BI307" i="46"/>
  <c r="BI308" i="46"/>
  <c r="BI309" i="46"/>
  <c r="BI310" i="46"/>
  <c r="BI311" i="46"/>
  <c r="BI312" i="46"/>
  <c r="BI313" i="46"/>
  <c r="BI314" i="46"/>
  <c r="BI315" i="46"/>
  <c r="BI316" i="46"/>
  <c r="BI317" i="46"/>
  <c r="BI318" i="46"/>
  <c r="BI321" i="46"/>
  <c r="BI322" i="46"/>
  <c r="BI323" i="46"/>
  <c r="BI324" i="46"/>
  <c r="BI325" i="46"/>
  <c r="BI326" i="46"/>
  <c r="BI327" i="46"/>
  <c r="BI328" i="46"/>
  <c r="BI329" i="46"/>
  <c r="BI330" i="46"/>
  <c r="BI331" i="46"/>
  <c r="BI332" i="46"/>
  <c r="BI333" i="46"/>
  <c r="BI334" i="46"/>
  <c r="BI335" i="46"/>
  <c r="BI336" i="46"/>
  <c r="BI337" i="46"/>
  <c r="BI338" i="46"/>
  <c r="BI339" i="46"/>
  <c r="BI340" i="46"/>
  <c r="BI341" i="46"/>
  <c r="BI342" i="46"/>
  <c r="BI343" i="46"/>
  <c r="BI344" i="46"/>
  <c r="BI345" i="46"/>
  <c r="BI346" i="46"/>
  <c r="BI347" i="46"/>
  <c r="BI348" i="46"/>
  <c r="BI349" i="46"/>
  <c r="BI350" i="46"/>
  <c r="BI351" i="46"/>
  <c r="BI352" i="46"/>
  <c r="BI353" i="46"/>
  <c r="BI354" i="46"/>
  <c r="BI355" i="46"/>
  <c r="BI361" i="46"/>
  <c r="BI362" i="46"/>
  <c r="BI363" i="46"/>
  <c r="BI364" i="46"/>
  <c r="BI365" i="46"/>
  <c r="BI366" i="46"/>
  <c r="BI367" i="46"/>
  <c r="BI368" i="46"/>
  <c r="BI369" i="46"/>
  <c r="BI370" i="46"/>
  <c r="BI371" i="46"/>
  <c r="BI372" i="46"/>
  <c r="BI373" i="46"/>
  <c r="BI374" i="46"/>
  <c r="BI375" i="46"/>
  <c r="BI376" i="46"/>
  <c r="BI378" i="46"/>
  <c r="BI379" i="46"/>
  <c r="BI380" i="46"/>
  <c r="BI386" i="46"/>
  <c r="BI387" i="46"/>
  <c r="BI388" i="46"/>
  <c r="BI389" i="46"/>
  <c r="BI390" i="46"/>
  <c r="BI391" i="46"/>
  <c r="BI392" i="46"/>
  <c r="BI393" i="46"/>
  <c r="BI394" i="46"/>
  <c r="BI395" i="46"/>
  <c r="BI396" i="46"/>
  <c r="BI397" i="46"/>
  <c r="BI398" i="46"/>
  <c r="BI399" i="46"/>
  <c r="BI400" i="46"/>
  <c r="BI406" i="46"/>
  <c r="BI407" i="46"/>
  <c r="BI408" i="46"/>
  <c r="BI409" i="46"/>
  <c r="BI410" i="46"/>
  <c r="BI411" i="46"/>
  <c r="BI412" i="46"/>
  <c r="BI413" i="46"/>
  <c r="BI414" i="46"/>
  <c r="BI415" i="46"/>
  <c r="BI416" i="46"/>
  <c r="BI417" i="46"/>
  <c r="BI418" i="46"/>
  <c r="BI419" i="46"/>
  <c r="BI420" i="46"/>
  <c r="BI421" i="46"/>
  <c r="BI422" i="46"/>
  <c r="BI423" i="46"/>
  <c r="BI424" i="46"/>
  <c r="BI425" i="46"/>
  <c r="BI426" i="46"/>
  <c r="BI427" i="46"/>
  <c r="BI428" i="46"/>
  <c r="BI429" i="46"/>
  <c r="BI430" i="46"/>
  <c r="BI431" i="46"/>
  <c r="BI432" i="46"/>
  <c r="BI433" i="46"/>
  <c r="BI434" i="46"/>
  <c r="BI435" i="46"/>
  <c r="BI436" i="46"/>
  <c r="BI437" i="46"/>
  <c r="BI438" i="46"/>
  <c r="BI439" i="46"/>
  <c r="BI440" i="46"/>
  <c r="BI441" i="46"/>
  <c r="BI442" i="46"/>
  <c r="BI443" i="46"/>
  <c r="BI444" i="46"/>
  <c r="BI445" i="46"/>
  <c r="BI446" i="46"/>
  <c r="BI447" i="46"/>
  <c r="BI448" i="46"/>
  <c r="BI449" i="46"/>
  <c r="BI450" i="46"/>
  <c r="BI451" i="46"/>
  <c r="BI452" i="46"/>
  <c r="BI453" i="46"/>
  <c r="BI454" i="46"/>
  <c r="BI455" i="46"/>
  <c r="BI456" i="46"/>
  <c r="BI457" i="46"/>
  <c r="BI458" i="46"/>
  <c r="BI459" i="46"/>
  <c r="BI460" i="46"/>
  <c r="BI461" i="46"/>
  <c r="BI462" i="46"/>
  <c r="BI468" i="46"/>
  <c r="BI469" i="46"/>
  <c r="BI470" i="46"/>
  <c r="BI471" i="46"/>
  <c r="BI472" i="46"/>
  <c r="BI473" i="46"/>
  <c r="BI474" i="46"/>
  <c r="BI475" i="46"/>
  <c r="BI476" i="46"/>
  <c r="BI477" i="46"/>
  <c r="BI478" i="46"/>
  <c r="BI479" i="46"/>
  <c r="BI480" i="46"/>
  <c r="BI481" i="46"/>
  <c r="BI482" i="46"/>
  <c r="BI483" i="46"/>
  <c r="BI484" i="46"/>
  <c r="BI485" i="46"/>
  <c r="BI486" i="46"/>
  <c r="BI487" i="46"/>
  <c r="BI488" i="46"/>
  <c r="BI489" i="46"/>
  <c r="BI490" i="46"/>
  <c r="BI491" i="46"/>
  <c r="BI492" i="46"/>
  <c r="BI493" i="46"/>
  <c r="BI494" i="46"/>
  <c r="BI495" i="46"/>
  <c r="BI496" i="46"/>
  <c r="BI497" i="46"/>
  <c r="BI503" i="46"/>
  <c r="BI504" i="46"/>
  <c r="BI505" i="46"/>
  <c r="BI506" i="46"/>
  <c r="BI507" i="46"/>
  <c r="BI508" i="46"/>
  <c r="BI509" i="46"/>
  <c r="BI510" i="46"/>
  <c r="BI516" i="46"/>
  <c r="BI520" i="46"/>
  <c r="BI521" i="46"/>
  <c r="BI522" i="46"/>
  <c r="BI523" i="46"/>
  <c r="BI524" i="46"/>
  <c r="BI525" i="46"/>
  <c r="BI526" i="46"/>
  <c r="BI527" i="46"/>
  <c r="BI528" i="46"/>
  <c r="BI529" i="46"/>
  <c r="BI530" i="46"/>
  <c r="BI531" i="46"/>
  <c r="BI532" i="46"/>
  <c r="BI533" i="46"/>
  <c r="BI534" i="46"/>
  <c r="BI535" i="46"/>
  <c r="BI536" i="46"/>
  <c r="BI537" i="46"/>
  <c r="BI538" i="46"/>
  <c r="BI539" i="46"/>
  <c r="BI540" i="46"/>
  <c r="BI542" i="46"/>
  <c r="BI543" i="46"/>
  <c r="BI544" i="46"/>
  <c r="BI545" i="46"/>
  <c r="BI546" i="46"/>
  <c r="BI547" i="46"/>
  <c r="BI548" i="46"/>
  <c r="BI549" i="46"/>
  <c r="BI550" i="46"/>
  <c r="BI551" i="46"/>
  <c r="BI552" i="46"/>
  <c r="BI553" i="46"/>
  <c r="BI554" i="46"/>
  <c r="BI560" i="46"/>
  <c r="BI561" i="46"/>
  <c r="BI562" i="46"/>
  <c r="BI563" i="46"/>
  <c r="BI564" i="46"/>
  <c r="BI565" i="46"/>
  <c r="BI566" i="46"/>
  <c r="BI567" i="46"/>
  <c r="BI568" i="46"/>
  <c r="BI569" i="46"/>
  <c r="BI570" i="46"/>
  <c r="BI571" i="46"/>
  <c r="BI572" i="46"/>
  <c r="BI591" i="46"/>
  <c r="BI592" i="46"/>
  <c r="D2" i="40"/>
  <c r="P17" i="46"/>
  <c r="P6" i="46"/>
  <c r="P9" i="46"/>
  <c r="P11" i="46"/>
  <c r="P13" i="46"/>
  <c r="C16" i="46"/>
  <c r="P16" i="46"/>
  <c r="C62" i="46"/>
  <c r="P56" i="46"/>
  <c r="P57" i="46"/>
  <c r="C63" i="46"/>
  <c r="C64" i="46"/>
  <c r="C65" i="46"/>
  <c r="P65" i="46"/>
  <c r="D4" i="40"/>
  <c r="P66" i="46"/>
  <c r="C80" i="46"/>
  <c r="B80" i="46"/>
  <c r="P71" i="46"/>
  <c r="P75" i="46"/>
  <c r="D5" i="40"/>
  <c r="P81" i="46"/>
  <c r="C93" i="46"/>
  <c r="P93" i="46"/>
  <c r="P86" i="46"/>
  <c r="P89" i="46"/>
  <c r="P90" i="46"/>
  <c r="C92" i="46"/>
  <c r="P92" i="46"/>
  <c r="C94" i="46"/>
  <c r="P94" i="46"/>
  <c r="D6" i="40"/>
  <c r="P95" i="46"/>
  <c r="D7" i="40"/>
  <c r="P104" i="46"/>
  <c r="P100" i="46"/>
  <c r="P102" i="46"/>
  <c r="D8" i="40"/>
  <c r="P115" i="46"/>
  <c r="P110" i="46"/>
  <c r="P111" i="46"/>
  <c r="P114" i="46"/>
  <c r="C176" i="46"/>
  <c r="P176" i="46"/>
  <c r="P120" i="46"/>
  <c r="P122" i="46"/>
  <c r="P123" i="46"/>
  <c r="P124" i="46"/>
  <c r="P126" i="46"/>
  <c r="P127" i="46"/>
  <c r="P128" i="46"/>
  <c r="P130" i="46"/>
  <c r="P131" i="46"/>
  <c r="P132" i="46"/>
  <c r="P134" i="46"/>
  <c r="P135" i="46"/>
  <c r="P136" i="46"/>
  <c r="P138" i="46"/>
  <c r="P139" i="46"/>
  <c r="P140" i="46"/>
  <c r="P142" i="46"/>
  <c r="P143" i="46"/>
  <c r="P144" i="46"/>
  <c r="P146" i="46"/>
  <c r="P147" i="46"/>
  <c r="P148" i="46"/>
  <c r="P150" i="46"/>
  <c r="P151" i="46"/>
  <c r="P152" i="46"/>
  <c r="P154" i="46"/>
  <c r="P155" i="46"/>
  <c r="P156" i="46"/>
  <c r="P158" i="46"/>
  <c r="P159" i="46"/>
  <c r="P160" i="46"/>
  <c r="P162" i="46"/>
  <c r="P163" i="46"/>
  <c r="P164" i="46"/>
  <c r="P166" i="46"/>
  <c r="P167" i="46"/>
  <c r="P168" i="46"/>
  <c r="P170" i="46"/>
  <c r="P171" i="46"/>
  <c r="P172" i="46"/>
  <c r="P174" i="46"/>
  <c r="C177" i="46"/>
  <c r="O177" i="46"/>
  <c r="R177" i="46"/>
  <c r="C178" i="46"/>
  <c r="P178" i="46"/>
  <c r="C179" i="46"/>
  <c r="O179" i="46"/>
  <c r="R179" i="46"/>
  <c r="C180" i="46"/>
  <c r="P180" i="46"/>
  <c r="C181" i="46"/>
  <c r="O181" i="46"/>
  <c r="R181" i="46"/>
  <c r="C182" i="46"/>
  <c r="P182" i="46"/>
  <c r="C183" i="46"/>
  <c r="O183" i="46"/>
  <c r="R183" i="46"/>
  <c r="C184" i="46"/>
  <c r="P184" i="46"/>
  <c r="C185" i="46"/>
  <c r="O185" i="46"/>
  <c r="R185" i="46"/>
  <c r="C186" i="46"/>
  <c r="P186" i="46"/>
  <c r="C187" i="46"/>
  <c r="O187" i="46"/>
  <c r="R187" i="46"/>
  <c r="C188" i="46"/>
  <c r="P188" i="46"/>
  <c r="C189" i="46"/>
  <c r="O189" i="46"/>
  <c r="R189" i="46"/>
  <c r="C190" i="46"/>
  <c r="P190" i="46"/>
  <c r="C191" i="46"/>
  <c r="O191" i="46"/>
  <c r="R191" i="46"/>
  <c r="C192" i="46"/>
  <c r="P192" i="46"/>
  <c r="C193" i="46"/>
  <c r="O193" i="46"/>
  <c r="R193" i="46"/>
  <c r="C194" i="46"/>
  <c r="P194" i="46"/>
  <c r="C195" i="46"/>
  <c r="O195" i="46"/>
  <c r="R195" i="46"/>
  <c r="C196" i="46"/>
  <c r="P196" i="46"/>
  <c r="C197" i="46"/>
  <c r="O197" i="46"/>
  <c r="R197" i="46"/>
  <c r="P198" i="46"/>
  <c r="C199" i="46"/>
  <c r="B199" i="46"/>
  <c r="P199" i="46"/>
  <c r="C200" i="46"/>
  <c r="P200" i="46"/>
  <c r="C201" i="46"/>
  <c r="B201" i="46"/>
  <c r="P201" i="46"/>
  <c r="C202" i="46"/>
  <c r="P202" i="46"/>
  <c r="C203" i="46"/>
  <c r="B203" i="46"/>
  <c r="P203" i="46"/>
  <c r="C204" i="46"/>
  <c r="P204" i="46"/>
  <c r="C205" i="46"/>
  <c r="B205" i="46"/>
  <c r="P205" i="46"/>
  <c r="C206" i="46"/>
  <c r="P206" i="46"/>
  <c r="C207" i="46"/>
  <c r="B207" i="46"/>
  <c r="P207" i="46"/>
  <c r="C208" i="46"/>
  <c r="P208" i="46"/>
  <c r="C209" i="46"/>
  <c r="B209" i="46"/>
  <c r="P209" i="46"/>
  <c r="C210" i="46"/>
  <c r="P210" i="46"/>
  <c r="C211" i="46"/>
  <c r="B211" i="46"/>
  <c r="P211" i="46"/>
  <c r="C212" i="46"/>
  <c r="P212" i="46"/>
  <c r="C213" i="46"/>
  <c r="P213" i="46"/>
  <c r="C214" i="46"/>
  <c r="P214" i="46"/>
  <c r="C215" i="46"/>
  <c r="P215" i="46"/>
  <c r="C216" i="46"/>
  <c r="P216" i="46"/>
  <c r="C217" i="46"/>
  <c r="P217" i="46"/>
  <c r="C218" i="46"/>
  <c r="P218" i="46"/>
  <c r="C219" i="46"/>
  <c r="P219" i="46"/>
  <c r="C220" i="46"/>
  <c r="P220" i="46"/>
  <c r="P221" i="46"/>
  <c r="C222" i="46"/>
  <c r="B222" i="46"/>
  <c r="C223" i="46"/>
  <c r="P223" i="46"/>
  <c r="C224" i="46"/>
  <c r="B224" i="46"/>
  <c r="C225" i="46"/>
  <c r="P225" i="46"/>
  <c r="C226" i="46"/>
  <c r="B226" i="46"/>
  <c r="C227" i="46"/>
  <c r="P227" i="46"/>
  <c r="C228" i="46"/>
  <c r="B228" i="46"/>
  <c r="C229" i="46"/>
  <c r="P229" i="46"/>
  <c r="C230" i="46"/>
  <c r="B230" i="46"/>
  <c r="C231" i="46"/>
  <c r="P231" i="46"/>
  <c r="C232" i="46"/>
  <c r="B232" i="46"/>
  <c r="C233" i="46"/>
  <c r="P233" i="46"/>
  <c r="C234" i="46"/>
  <c r="B234" i="46"/>
  <c r="C235" i="46"/>
  <c r="P235" i="46"/>
  <c r="C236" i="46"/>
  <c r="B236" i="46"/>
  <c r="C237" i="46"/>
  <c r="P237" i="46"/>
  <c r="C238" i="46"/>
  <c r="B238" i="46"/>
  <c r="C239" i="46"/>
  <c r="P239" i="46"/>
  <c r="C240" i="46"/>
  <c r="B240" i="46"/>
  <c r="C241" i="46"/>
  <c r="P241" i="46"/>
  <c r="C242" i="46"/>
  <c r="B242" i="46"/>
  <c r="C243" i="46"/>
  <c r="P243" i="46"/>
  <c r="C244" i="46"/>
  <c r="B244" i="46"/>
  <c r="C245" i="46"/>
  <c r="P245" i="46"/>
  <c r="C246" i="46"/>
  <c r="B246" i="46"/>
  <c r="C247" i="46"/>
  <c r="P247" i="46"/>
  <c r="C248" i="46"/>
  <c r="B248" i="46"/>
  <c r="C249" i="46"/>
  <c r="P249" i="46"/>
  <c r="C250" i="46"/>
  <c r="B250" i="46"/>
  <c r="C251" i="46"/>
  <c r="P251" i="46"/>
  <c r="P252" i="46"/>
  <c r="C253" i="46"/>
  <c r="P253" i="46"/>
  <c r="C254" i="46"/>
  <c r="P254" i="46"/>
  <c r="C255" i="46"/>
  <c r="P255" i="46"/>
  <c r="C256" i="46"/>
  <c r="P256" i="46"/>
  <c r="C257" i="46"/>
  <c r="P257" i="46"/>
  <c r="C258" i="46"/>
  <c r="P258" i="46"/>
  <c r="C259" i="46"/>
  <c r="P259" i="46"/>
  <c r="C260" i="46"/>
  <c r="P260" i="46"/>
  <c r="C261" i="46"/>
  <c r="P261" i="46"/>
  <c r="C262" i="46"/>
  <c r="P262" i="46"/>
  <c r="C263" i="46"/>
  <c r="P263" i="46"/>
  <c r="C264" i="46"/>
  <c r="P264" i="46"/>
  <c r="C265" i="46"/>
  <c r="P265" i="46"/>
  <c r="C266" i="46"/>
  <c r="P266" i="46"/>
  <c r="C267" i="46"/>
  <c r="P267" i="46"/>
  <c r="C268" i="46"/>
  <c r="P268" i="46"/>
  <c r="C269" i="46"/>
  <c r="B269" i="46"/>
  <c r="P269" i="46"/>
  <c r="C270" i="46"/>
  <c r="P270" i="46"/>
  <c r="C271" i="46"/>
  <c r="B271" i="46"/>
  <c r="P271" i="46"/>
  <c r="C272" i="46"/>
  <c r="P272" i="46"/>
  <c r="C273" i="46"/>
  <c r="B273" i="46"/>
  <c r="P273" i="46"/>
  <c r="C274" i="46"/>
  <c r="P274" i="46"/>
  <c r="C275" i="46"/>
  <c r="B275" i="46"/>
  <c r="P275" i="46"/>
  <c r="C276" i="46"/>
  <c r="P276" i="46"/>
  <c r="C277" i="46"/>
  <c r="B277" i="46"/>
  <c r="P277" i="46"/>
  <c r="C278" i="46"/>
  <c r="P278" i="46"/>
  <c r="C279" i="46"/>
  <c r="B279" i="46"/>
  <c r="P279" i="46"/>
  <c r="C280" i="46"/>
  <c r="P280" i="46"/>
  <c r="C281" i="46"/>
  <c r="B281" i="46"/>
  <c r="P281" i="46"/>
  <c r="C282" i="46"/>
  <c r="P282" i="46"/>
  <c r="C283" i="46"/>
  <c r="B283" i="46"/>
  <c r="P283" i="46"/>
  <c r="C284" i="46"/>
  <c r="P284" i="46"/>
  <c r="C285" i="46"/>
  <c r="P285" i="46"/>
  <c r="C286" i="46"/>
  <c r="P286" i="46"/>
  <c r="C287" i="46"/>
  <c r="P287" i="46"/>
  <c r="C288" i="46"/>
  <c r="P288" i="46"/>
  <c r="C289" i="46"/>
  <c r="P289" i="46"/>
  <c r="C290" i="46"/>
  <c r="P290" i="46"/>
  <c r="C291" i="46"/>
  <c r="P291" i="46"/>
  <c r="P292" i="46"/>
  <c r="P293" i="46"/>
  <c r="P294" i="46"/>
  <c r="C295" i="46"/>
  <c r="P295" i="46"/>
  <c r="C296" i="46"/>
  <c r="B296" i="46"/>
  <c r="C297" i="46"/>
  <c r="P297" i="46"/>
  <c r="C298" i="46"/>
  <c r="B298" i="46"/>
  <c r="C299" i="46"/>
  <c r="P299" i="46"/>
  <c r="C300" i="46"/>
  <c r="B300" i="46"/>
  <c r="C301" i="46"/>
  <c r="P301" i="46"/>
  <c r="C302" i="46"/>
  <c r="P302" i="46"/>
  <c r="C303" i="46"/>
  <c r="P303" i="46"/>
  <c r="C304" i="46"/>
  <c r="B304" i="46"/>
  <c r="C305" i="46"/>
  <c r="P305" i="46"/>
  <c r="C306" i="46"/>
  <c r="B306" i="46"/>
  <c r="C307" i="46"/>
  <c r="P307" i="46"/>
  <c r="C308" i="46"/>
  <c r="B308" i="46"/>
  <c r="C309" i="46"/>
  <c r="P309" i="46"/>
  <c r="C310" i="46"/>
  <c r="B310" i="46"/>
  <c r="C311" i="46"/>
  <c r="P311" i="46"/>
  <c r="C312" i="46"/>
  <c r="B312" i="46"/>
  <c r="C313" i="46"/>
  <c r="P313" i="46"/>
  <c r="C314" i="46"/>
  <c r="B314" i="46"/>
  <c r="C315" i="46"/>
  <c r="P315" i="46"/>
  <c r="C316" i="46"/>
  <c r="B316" i="46"/>
  <c r="P317" i="46"/>
  <c r="C318" i="46"/>
  <c r="B318" i="46"/>
  <c r="Y318" i="46"/>
  <c r="C321" i="46"/>
  <c r="B321" i="46"/>
  <c r="C322" i="46"/>
  <c r="P322" i="46"/>
  <c r="C324" i="46"/>
  <c r="P324" i="46"/>
  <c r="C325" i="46"/>
  <c r="O325" i="46"/>
  <c r="R325" i="46"/>
  <c r="C326" i="46"/>
  <c r="P326" i="46"/>
  <c r="C327" i="46"/>
  <c r="P327" i="46"/>
  <c r="C328" i="46"/>
  <c r="C329" i="46"/>
  <c r="C330" i="46"/>
  <c r="P330" i="46"/>
  <c r="C331" i="46"/>
  <c r="P331" i="46"/>
  <c r="C332" i="46"/>
  <c r="C333" i="46"/>
  <c r="P333" i="46"/>
  <c r="C334" i="46"/>
  <c r="P334" i="46"/>
  <c r="C335" i="46"/>
  <c r="C336" i="46"/>
  <c r="C337" i="46"/>
  <c r="O337" i="46"/>
  <c r="R337" i="46"/>
  <c r="C338" i="46"/>
  <c r="P338" i="46"/>
  <c r="C339" i="46"/>
  <c r="B339" i="46"/>
  <c r="P339" i="46"/>
  <c r="C340" i="46"/>
  <c r="P340" i="46"/>
  <c r="C341" i="46"/>
  <c r="B341" i="46"/>
  <c r="V341" i="46"/>
  <c r="C342" i="46"/>
  <c r="P342" i="46"/>
  <c r="C343" i="46"/>
  <c r="B343" i="46"/>
  <c r="C344" i="46"/>
  <c r="C345" i="46"/>
  <c r="B345" i="46"/>
  <c r="C346" i="46"/>
  <c r="P346" i="46"/>
  <c r="C347" i="46"/>
  <c r="C348" i="46"/>
  <c r="P348" i="46"/>
  <c r="C349" i="46"/>
  <c r="P349" i="46"/>
  <c r="P350" i="46"/>
  <c r="P351" i="46"/>
  <c r="C352" i="46"/>
  <c r="C353" i="46"/>
  <c r="P353" i="46"/>
  <c r="P354" i="46"/>
  <c r="P355" i="46"/>
  <c r="D9" i="40"/>
  <c r="P356" i="46"/>
  <c r="C398" i="46"/>
  <c r="P398" i="46"/>
  <c r="P386" i="46"/>
  <c r="P389" i="46"/>
  <c r="P390" i="46"/>
  <c r="P393" i="46"/>
  <c r="P394" i="46"/>
  <c r="C399" i="46"/>
  <c r="O399" i="46"/>
  <c r="R399" i="46"/>
  <c r="C400" i="46"/>
  <c r="P400" i="46"/>
  <c r="D11" i="40"/>
  <c r="P401" i="46"/>
  <c r="C423" i="46"/>
  <c r="P423" i="46"/>
  <c r="P406" i="46"/>
  <c r="P407" i="46"/>
  <c r="P408" i="46"/>
  <c r="P410" i="46"/>
  <c r="P411" i="46"/>
  <c r="P414" i="46"/>
  <c r="P415" i="46"/>
  <c r="P418" i="46"/>
  <c r="P419" i="46"/>
  <c r="C424" i="46"/>
  <c r="C425" i="46"/>
  <c r="C426" i="46"/>
  <c r="C427" i="46"/>
  <c r="C428" i="46"/>
  <c r="P429" i="46"/>
  <c r="C430" i="46"/>
  <c r="P430" i="46"/>
  <c r="C431" i="46"/>
  <c r="C432" i="46"/>
  <c r="P432" i="46"/>
  <c r="C433" i="46"/>
  <c r="C434" i="46"/>
  <c r="C435" i="46"/>
  <c r="P435" i="46"/>
  <c r="C436" i="46"/>
  <c r="P436" i="46"/>
  <c r="C437" i="46"/>
  <c r="P437" i="46"/>
  <c r="C438" i="46"/>
  <c r="C439" i="46"/>
  <c r="C440" i="46"/>
  <c r="P440" i="46"/>
  <c r="C441" i="46"/>
  <c r="P441" i="46"/>
  <c r="C442" i="46"/>
  <c r="P442" i="46"/>
  <c r="C443" i="46"/>
  <c r="P443" i="46"/>
  <c r="C444" i="46"/>
  <c r="P444" i="46"/>
  <c r="C445" i="46"/>
  <c r="C446" i="46"/>
  <c r="P446" i="46"/>
  <c r="C447" i="46"/>
  <c r="C448" i="46"/>
  <c r="P448" i="46"/>
  <c r="C449" i="46"/>
  <c r="C450" i="46"/>
  <c r="P450" i="46"/>
  <c r="C451" i="46"/>
  <c r="P451" i="46"/>
  <c r="C452" i="46"/>
  <c r="P452" i="46"/>
  <c r="C453" i="46"/>
  <c r="P453" i="46"/>
  <c r="C454" i="46"/>
  <c r="P454" i="46"/>
  <c r="C455" i="46"/>
  <c r="C456" i="46"/>
  <c r="P456" i="46"/>
  <c r="C457" i="46"/>
  <c r="P457" i="46"/>
  <c r="C458" i="46"/>
  <c r="P458" i="46"/>
  <c r="C459" i="46"/>
  <c r="P459" i="46"/>
  <c r="C460" i="46"/>
  <c r="P460" i="46"/>
  <c r="C462" i="46"/>
  <c r="D12" i="40"/>
  <c r="P463" i="46"/>
  <c r="C486" i="46"/>
  <c r="P468" i="46"/>
  <c r="P471" i="46"/>
  <c r="P472" i="46"/>
  <c r="P475" i="46"/>
  <c r="P476" i="46"/>
  <c r="P479" i="46"/>
  <c r="P480" i="46"/>
  <c r="P481" i="46"/>
  <c r="P482" i="46"/>
  <c r="P483" i="46"/>
  <c r="P484" i="46"/>
  <c r="P485" i="46"/>
  <c r="C487" i="46"/>
  <c r="P487" i="46"/>
  <c r="C488" i="46"/>
  <c r="C489" i="46"/>
  <c r="P489" i="46"/>
  <c r="C490" i="46"/>
  <c r="O490" i="46"/>
  <c r="R490" i="46"/>
  <c r="C491" i="46"/>
  <c r="P491" i="46"/>
  <c r="C492" i="46"/>
  <c r="P492" i="46"/>
  <c r="C493" i="46"/>
  <c r="P493" i="46"/>
  <c r="C494" i="46"/>
  <c r="B494" i="46"/>
  <c r="P495" i="46"/>
  <c r="C496" i="46"/>
  <c r="P496" i="46"/>
  <c r="C497" i="46"/>
  <c r="D13" i="40"/>
  <c r="P498" i="46"/>
  <c r="C510" i="46"/>
  <c r="P510" i="46"/>
  <c r="P503" i="46"/>
  <c r="P505" i="46"/>
  <c r="P506" i="46"/>
  <c r="P507" i="46"/>
  <c r="D14" i="40"/>
  <c r="P511" i="46"/>
  <c r="C538" i="46"/>
  <c r="O538" i="46"/>
  <c r="R538" i="46"/>
  <c r="P516" i="46"/>
  <c r="P517" i="46"/>
  <c r="P519" i="46"/>
  <c r="P520" i="46"/>
  <c r="P521" i="46"/>
  <c r="P522" i="46"/>
  <c r="P524" i="46"/>
  <c r="P525" i="46"/>
  <c r="P526" i="46"/>
  <c r="P528" i="46"/>
  <c r="P529" i="46"/>
  <c r="P530" i="46"/>
  <c r="P532" i="46"/>
  <c r="P533" i="46"/>
  <c r="P534" i="46"/>
  <c r="P535" i="46"/>
  <c r="P536" i="46"/>
  <c r="C539" i="46"/>
  <c r="P539" i="46"/>
  <c r="C540" i="46"/>
  <c r="C541" i="46"/>
  <c r="P541" i="46"/>
  <c r="C542" i="46"/>
  <c r="O542" i="46"/>
  <c r="R542" i="46"/>
  <c r="C543" i="46"/>
  <c r="P543" i="46"/>
  <c r="C544" i="46"/>
  <c r="O544" i="46"/>
  <c r="R544" i="46"/>
  <c r="C545" i="46"/>
  <c r="P545" i="46"/>
  <c r="C546" i="46"/>
  <c r="O546" i="46"/>
  <c r="R546" i="46"/>
  <c r="C547" i="46"/>
  <c r="P547" i="46"/>
  <c r="C548" i="46"/>
  <c r="O548" i="46"/>
  <c r="R548" i="46"/>
  <c r="C549" i="46"/>
  <c r="P549" i="46"/>
  <c r="C550" i="46"/>
  <c r="O550" i="46"/>
  <c r="R550" i="46"/>
  <c r="C551" i="46"/>
  <c r="P551" i="46"/>
  <c r="C552" i="46"/>
  <c r="O552" i="46"/>
  <c r="R552" i="46"/>
  <c r="C553" i="46"/>
  <c r="P553" i="46"/>
  <c r="C554" i="46"/>
  <c r="O554" i="46"/>
  <c r="R554" i="46"/>
  <c r="D15" i="40"/>
  <c r="P555" i="46"/>
  <c r="C569" i="46"/>
  <c r="B569" i="46"/>
  <c r="P561" i="46"/>
  <c r="P562" i="46"/>
  <c r="P563" i="46"/>
  <c r="P565" i="46"/>
  <c r="P566" i="46"/>
  <c r="P567" i="46"/>
  <c r="C570" i="46"/>
  <c r="P570" i="46"/>
  <c r="C571" i="46"/>
  <c r="C572" i="46"/>
  <c r="D16" i="40"/>
  <c r="P573" i="46"/>
  <c r="C2" i="40"/>
  <c r="O17" i="46"/>
  <c r="R17" i="46"/>
  <c r="R18" i="46"/>
  <c r="O44" i="46"/>
  <c r="R44" i="46"/>
  <c r="O46" i="46"/>
  <c r="R46" i="46"/>
  <c r="C3" i="40"/>
  <c r="O48" i="46"/>
  <c r="R48" i="46"/>
  <c r="C4" i="40"/>
  <c r="O66" i="46"/>
  <c r="R66" i="46"/>
  <c r="C5" i="40"/>
  <c r="O81" i="46"/>
  <c r="R81" i="46"/>
  <c r="O93" i="46"/>
  <c r="R93" i="46"/>
  <c r="C6" i="40"/>
  <c r="O95" i="46"/>
  <c r="R95" i="46"/>
  <c r="C7" i="40"/>
  <c r="O104" i="46"/>
  <c r="R104" i="46"/>
  <c r="R105" i="46"/>
  <c r="C8" i="40"/>
  <c r="O115" i="46"/>
  <c r="R115" i="46"/>
  <c r="R116" i="46"/>
  <c r="O176" i="46"/>
  <c r="R176" i="46"/>
  <c r="O198" i="46"/>
  <c r="R198" i="46"/>
  <c r="O199" i="46"/>
  <c r="R199" i="46"/>
  <c r="O200" i="46"/>
  <c r="R200" i="46"/>
  <c r="O201" i="46"/>
  <c r="R201" i="46"/>
  <c r="O202" i="46"/>
  <c r="R202" i="46"/>
  <c r="O203" i="46"/>
  <c r="R203" i="46"/>
  <c r="O204" i="46"/>
  <c r="R204" i="46"/>
  <c r="O205" i="46"/>
  <c r="R205" i="46"/>
  <c r="O206" i="46"/>
  <c r="R206" i="46"/>
  <c r="O207" i="46"/>
  <c r="R207" i="46"/>
  <c r="O208" i="46"/>
  <c r="R208" i="46"/>
  <c r="O209" i="46"/>
  <c r="R209" i="46"/>
  <c r="O210" i="46"/>
  <c r="R210" i="46"/>
  <c r="O211" i="46"/>
  <c r="R211" i="46"/>
  <c r="O212" i="46"/>
  <c r="R212" i="46"/>
  <c r="O213" i="46"/>
  <c r="R213" i="46"/>
  <c r="O214" i="46"/>
  <c r="R214" i="46"/>
  <c r="O215" i="46"/>
  <c r="R215" i="46"/>
  <c r="O216" i="46"/>
  <c r="R216" i="46"/>
  <c r="O217" i="46"/>
  <c r="R217" i="46"/>
  <c r="O218" i="46"/>
  <c r="R218" i="46"/>
  <c r="O219" i="46"/>
  <c r="R219" i="46"/>
  <c r="O220" i="46"/>
  <c r="R220" i="46"/>
  <c r="O221" i="46"/>
  <c r="R221" i="46"/>
  <c r="O252" i="46"/>
  <c r="R252" i="46"/>
  <c r="O253" i="46"/>
  <c r="R253" i="46"/>
  <c r="O254" i="46"/>
  <c r="R254" i="46"/>
  <c r="O255" i="46"/>
  <c r="R255" i="46"/>
  <c r="O256" i="46"/>
  <c r="R256" i="46"/>
  <c r="O257" i="46"/>
  <c r="R257" i="46"/>
  <c r="O258" i="46"/>
  <c r="R258" i="46"/>
  <c r="O259" i="46"/>
  <c r="R259" i="46"/>
  <c r="O260" i="46"/>
  <c r="R260" i="46"/>
  <c r="O261" i="46"/>
  <c r="R261" i="46"/>
  <c r="O262" i="46"/>
  <c r="R262" i="46"/>
  <c r="O263" i="46"/>
  <c r="R263" i="46"/>
  <c r="O264" i="46"/>
  <c r="R264" i="46"/>
  <c r="O265" i="46"/>
  <c r="R265" i="46"/>
  <c r="O266" i="46"/>
  <c r="R266" i="46"/>
  <c r="O267" i="46"/>
  <c r="R267" i="46"/>
  <c r="O268" i="46"/>
  <c r="R268" i="46"/>
  <c r="O269" i="46"/>
  <c r="R269" i="46"/>
  <c r="O270" i="46"/>
  <c r="R270" i="46"/>
  <c r="O271" i="46"/>
  <c r="R271" i="46"/>
  <c r="O272" i="46"/>
  <c r="R272" i="46"/>
  <c r="O273" i="46"/>
  <c r="R273" i="46"/>
  <c r="O274" i="46"/>
  <c r="R274" i="46"/>
  <c r="O275" i="46"/>
  <c r="R275" i="46"/>
  <c r="O276" i="46"/>
  <c r="R276" i="46"/>
  <c r="O277" i="46"/>
  <c r="R277" i="46"/>
  <c r="O278" i="46"/>
  <c r="R278" i="46"/>
  <c r="O279" i="46"/>
  <c r="R279" i="46"/>
  <c r="O280" i="46"/>
  <c r="R280" i="46"/>
  <c r="O281" i="46"/>
  <c r="R281" i="46"/>
  <c r="O282" i="46"/>
  <c r="R282" i="46"/>
  <c r="O283" i="46"/>
  <c r="R283" i="46"/>
  <c r="O284" i="46"/>
  <c r="R284" i="46"/>
  <c r="O285" i="46"/>
  <c r="R285" i="46"/>
  <c r="O286" i="46"/>
  <c r="R286" i="46"/>
  <c r="O287" i="46"/>
  <c r="R287" i="46"/>
  <c r="O288" i="46"/>
  <c r="R288" i="46"/>
  <c r="O289" i="46"/>
  <c r="R289" i="46"/>
  <c r="O290" i="46"/>
  <c r="R290" i="46"/>
  <c r="O291" i="46"/>
  <c r="R291" i="46"/>
  <c r="O292" i="46"/>
  <c r="R292" i="46"/>
  <c r="O293" i="46"/>
  <c r="R293" i="46"/>
  <c r="O294" i="46"/>
  <c r="R294" i="46"/>
  <c r="O317" i="46"/>
  <c r="R317" i="46"/>
  <c r="O322" i="46"/>
  <c r="R322" i="46"/>
  <c r="O324" i="46"/>
  <c r="R324" i="46"/>
  <c r="O326" i="46"/>
  <c r="R326" i="46"/>
  <c r="O327" i="46"/>
  <c r="R327" i="46"/>
  <c r="O330" i="46"/>
  <c r="R330" i="46"/>
  <c r="O331" i="46"/>
  <c r="R331" i="46"/>
  <c r="O333" i="46"/>
  <c r="R333" i="46"/>
  <c r="O334" i="46"/>
  <c r="R334" i="46"/>
  <c r="O338" i="46"/>
  <c r="R338" i="46"/>
  <c r="O339" i="46"/>
  <c r="R339" i="46"/>
  <c r="O340" i="46"/>
  <c r="R340" i="46"/>
  <c r="O341" i="46"/>
  <c r="R341" i="46"/>
  <c r="O342" i="46"/>
  <c r="R342" i="46"/>
  <c r="O343" i="46"/>
  <c r="R343" i="46"/>
  <c r="O346" i="46"/>
  <c r="R346" i="46"/>
  <c r="O348" i="46"/>
  <c r="R348" i="46"/>
  <c r="O349" i="46"/>
  <c r="R349" i="46"/>
  <c r="O350" i="46"/>
  <c r="R350" i="46"/>
  <c r="O351" i="46"/>
  <c r="R351" i="46"/>
  <c r="O353" i="46"/>
  <c r="R353" i="46"/>
  <c r="O354" i="46"/>
  <c r="R354" i="46"/>
  <c r="O355" i="46"/>
  <c r="R355" i="46"/>
  <c r="C9" i="40"/>
  <c r="O356" i="46"/>
  <c r="R356" i="46"/>
  <c r="R323" i="46"/>
  <c r="C11" i="40"/>
  <c r="O401" i="46"/>
  <c r="R401" i="46"/>
  <c r="O427" i="46"/>
  <c r="R427" i="46"/>
  <c r="O429" i="46"/>
  <c r="R429" i="46"/>
  <c r="O432" i="46"/>
  <c r="R432" i="46"/>
  <c r="O436" i="46"/>
  <c r="R436" i="46"/>
  <c r="O440" i="46"/>
  <c r="R440" i="46"/>
  <c r="O441" i="46"/>
  <c r="R441" i="46"/>
  <c r="O444" i="46"/>
  <c r="R444" i="46"/>
  <c r="O448" i="46"/>
  <c r="R448" i="46"/>
  <c r="O452" i="46"/>
  <c r="R452" i="46"/>
  <c r="O456" i="46"/>
  <c r="R456" i="46"/>
  <c r="O457" i="46"/>
  <c r="R457" i="46"/>
  <c r="O460" i="46"/>
  <c r="R460" i="46"/>
  <c r="C12" i="40"/>
  <c r="O463" i="46"/>
  <c r="R463" i="46"/>
  <c r="R461" i="46"/>
  <c r="O492" i="46"/>
  <c r="R492" i="46"/>
  <c r="O493" i="46"/>
  <c r="R493" i="46"/>
  <c r="O495" i="46"/>
  <c r="R495" i="46"/>
  <c r="O496" i="46"/>
  <c r="R496" i="46"/>
  <c r="C13" i="40"/>
  <c r="O498" i="46"/>
  <c r="R498" i="46"/>
  <c r="C14" i="40"/>
  <c r="O511" i="46"/>
  <c r="R511" i="46"/>
  <c r="C15" i="40"/>
  <c r="O555" i="46"/>
  <c r="R555" i="46"/>
  <c r="C16" i="40"/>
  <c r="O573" i="46"/>
  <c r="R573" i="46"/>
  <c r="BI578" i="46"/>
  <c r="B176" i="46"/>
  <c r="U176" i="46"/>
  <c r="U199" i="46"/>
  <c r="B200" i="46"/>
  <c r="U200" i="46"/>
  <c r="U201" i="46"/>
  <c r="B202" i="46"/>
  <c r="U203" i="46"/>
  <c r="B204" i="46"/>
  <c r="U205" i="46"/>
  <c r="B206" i="46"/>
  <c r="U206" i="46"/>
  <c r="U207" i="46"/>
  <c r="B208" i="46"/>
  <c r="X208" i="46"/>
  <c r="U209" i="46"/>
  <c r="B210" i="46"/>
  <c r="X210" i="46"/>
  <c r="U211" i="46"/>
  <c r="B212" i="46"/>
  <c r="V212" i="46"/>
  <c r="B214" i="46"/>
  <c r="B215" i="46"/>
  <c r="B216" i="46"/>
  <c r="B217" i="46"/>
  <c r="Y217" i="46"/>
  <c r="B218" i="46"/>
  <c r="X218" i="46"/>
  <c r="B219" i="46"/>
  <c r="B220" i="46"/>
  <c r="V220" i="46"/>
  <c r="B253" i="46"/>
  <c r="W253" i="46"/>
  <c r="B254" i="46"/>
  <c r="B255" i="46"/>
  <c r="B256" i="46"/>
  <c r="B257" i="46"/>
  <c r="V257" i="46"/>
  <c r="B258" i="46"/>
  <c r="X258" i="46"/>
  <c r="B259" i="46"/>
  <c r="W259" i="46"/>
  <c r="B260" i="46"/>
  <c r="Y260" i="46"/>
  <c r="B261" i="46"/>
  <c r="V261" i="46"/>
  <c r="B262" i="46"/>
  <c r="B263" i="46"/>
  <c r="V263" i="46"/>
  <c r="B264" i="46"/>
  <c r="B265" i="46"/>
  <c r="W265" i="46"/>
  <c r="B266" i="46"/>
  <c r="X266" i="46"/>
  <c r="B267" i="46"/>
  <c r="U269" i="46"/>
  <c r="B270" i="46"/>
  <c r="U271" i="46"/>
  <c r="B272" i="46"/>
  <c r="U273" i="46"/>
  <c r="B274" i="46"/>
  <c r="V274" i="46"/>
  <c r="U275" i="46"/>
  <c r="B276" i="46"/>
  <c r="U276" i="46"/>
  <c r="U277" i="46"/>
  <c r="B278" i="46"/>
  <c r="U279" i="46"/>
  <c r="B280" i="46"/>
  <c r="U281" i="46"/>
  <c r="B282" i="46"/>
  <c r="U283" i="46"/>
  <c r="B285" i="46"/>
  <c r="B286" i="46"/>
  <c r="Y286" i="46"/>
  <c r="B287" i="46"/>
  <c r="B288" i="46"/>
  <c r="B289" i="46"/>
  <c r="V289" i="46"/>
  <c r="B290" i="46"/>
  <c r="X290" i="46"/>
  <c r="B291" i="46"/>
  <c r="B322" i="46"/>
  <c r="U322" i="46"/>
  <c r="B324" i="46"/>
  <c r="U324" i="46"/>
  <c r="B326" i="46"/>
  <c r="U326" i="46"/>
  <c r="B330" i="46"/>
  <c r="B331" i="46"/>
  <c r="U331" i="46"/>
  <c r="B333" i="46"/>
  <c r="U333" i="46"/>
  <c r="U339" i="46"/>
  <c r="B340" i="46"/>
  <c r="U341" i="46"/>
  <c r="B342" i="46"/>
  <c r="Y342" i="46"/>
  <c r="U345" i="46"/>
  <c r="B346" i="46"/>
  <c r="U346" i="46"/>
  <c r="B348" i="46"/>
  <c r="W348" i="46"/>
  <c r="U348" i="46"/>
  <c r="X199" i="46"/>
  <c r="X200" i="46"/>
  <c r="X201" i="46"/>
  <c r="X203" i="46"/>
  <c r="X205" i="46"/>
  <c r="X207" i="46"/>
  <c r="X209" i="46"/>
  <c r="X211" i="46"/>
  <c r="X214" i="46"/>
  <c r="X220" i="46"/>
  <c r="X254" i="46"/>
  <c r="X262" i="46"/>
  <c r="X269" i="46"/>
  <c r="X271" i="46"/>
  <c r="X273" i="46"/>
  <c r="X275" i="46"/>
  <c r="X276" i="46"/>
  <c r="X277" i="46"/>
  <c r="X279" i="46"/>
  <c r="X281" i="46"/>
  <c r="X282" i="46"/>
  <c r="X283" i="46"/>
  <c r="X318" i="46"/>
  <c r="X339" i="46"/>
  <c r="X341" i="46"/>
  <c r="X345" i="46"/>
  <c r="X346" i="46"/>
  <c r="W199" i="46"/>
  <c r="W200" i="46"/>
  <c r="W201" i="46"/>
  <c r="W203" i="46"/>
  <c r="W205" i="46"/>
  <c r="W207" i="46"/>
  <c r="W209" i="46"/>
  <c r="W211" i="46"/>
  <c r="W215" i="46"/>
  <c r="W255" i="46"/>
  <c r="W263" i="46"/>
  <c r="W267" i="46"/>
  <c r="W269" i="46"/>
  <c r="W271" i="46"/>
  <c r="W273" i="46"/>
  <c r="W275" i="46"/>
  <c r="W276" i="46"/>
  <c r="W277" i="46"/>
  <c r="W279" i="46"/>
  <c r="W281" i="46"/>
  <c r="W282" i="46"/>
  <c r="W283" i="46"/>
  <c r="W287" i="46"/>
  <c r="W288" i="46"/>
  <c r="W291" i="46"/>
  <c r="W326" i="46"/>
  <c r="W339" i="46"/>
  <c r="W341" i="46"/>
  <c r="W345" i="46"/>
  <c r="W346" i="46"/>
  <c r="V199" i="46"/>
  <c r="V200" i="46"/>
  <c r="V201" i="46"/>
  <c r="V202" i="46"/>
  <c r="V203" i="46"/>
  <c r="V205" i="46"/>
  <c r="V207" i="46"/>
  <c r="V208" i="46"/>
  <c r="V209" i="46"/>
  <c r="V210" i="46"/>
  <c r="V211" i="46"/>
  <c r="V215" i="46"/>
  <c r="V259" i="46"/>
  <c r="V267" i="46"/>
  <c r="V269" i="46"/>
  <c r="V271" i="46"/>
  <c r="V272" i="46"/>
  <c r="V273" i="46"/>
  <c r="V275" i="46"/>
  <c r="V276" i="46"/>
  <c r="V277" i="46"/>
  <c r="V279" i="46"/>
  <c r="V280" i="46"/>
  <c r="V281" i="46"/>
  <c r="V283" i="46"/>
  <c r="V287" i="46"/>
  <c r="V291" i="46"/>
  <c r="V318" i="46"/>
  <c r="V339" i="46"/>
  <c r="V340" i="46"/>
  <c r="V345" i="46"/>
  <c r="V346" i="46"/>
  <c r="AZ9" i="1"/>
  <c r="BE9" i="46"/>
  <c r="BF9" i="46"/>
  <c r="AZ14" i="1"/>
  <c r="BE14" i="46"/>
  <c r="BF14" i="46"/>
  <c r="AZ11" i="1"/>
  <c r="BE11" i="46"/>
  <c r="BF11" i="46"/>
  <c r="AZ10" i="1"/>
  <c r="BE10" i="46"/>
  <c r="BF10" i="46"/>
  <c r="AZ12" i="1"/>
  <c r="BE12" i="46"/>
  <c r="BF12" i="46"/>
  <c r="AZ15" i="1"/>
  <c r="BE15" i="46"/>
  <c r="BF15" i="46"/>
  <c r="AZ13" i="1"/>
  <c r="BE13" i="46"/>
  <c r="BF13" i="46"/>
  <c r="AZ8" i="1"/>
  <c r="BE8" i="46"/>
  <c r="BF8" i="46"/>
  <c r="AZ16" i="1"/>
  <c r="BE16" i="46"/>
  <c r="BF16" i="46"/>
  <c r="AZ7" i="1"/>
  <c r="BE7" i="46"/>
  <c r="BF7" i="46"/>
  <c r="AZ34" i="1"/>
  <c r="BE34" i="46"/>
  <c r="BF34" i="46"/>
  <c r="B44" i="46"/>
  <c r="Y44" i="46"/>
  <c r="B45" i="46"/>
  <c r="X45" i="46"/>
  <c r="B46" i="46"/>
  <c r="Z42" i="46"/>
  <c r="Z43" i="46"/>
  <c r="AZ36" i="1"/>
  <c r="BE36" i="46"/>
  <c r="AZ35" i="1"/>
  <c r="BE35" i="46"/>
  <c r="BF35" i="46"/>
  <c r="BL35" i="46"/>
  <c r="AZ37" i="1"/>
  <c r="BE37" i="46"/>
  <c r="AZ38" i="1"/>
  <c r="BE38" i="46"/>
  <c r="BF38" i="46"/>
  <c r="AZ24" i="1"/>
  <c r="BE24" i="46"/>
  <c r="AZ23" i="1"/>
  <c r="BE23" i="46"/>
  <c r="BF23" i="46"/>
  <c r="AZ33" i="1"/>
  <c r="BE33" i="46"/>
  <c r="AZ40" i="1"/>
  <c r="BE40" i="46"/>
  <c r="BF40" i="46"/>
  <c r="AZ41" i="1"/>
  <c r="BE41" i="46"/>
  <c r="AZ32" i="1"/>
  <c r="BE32" i="46"/>
  <c r="BF32" i="46"/>
  <c r="BL32" i="46"/>
  <c r="AZ42" i="1"/>
  <c r="BE42" i="46"/>
  <c r="AZ26" i="1"/>
  <c r="BE26" i="46"/>
  <c r="BF26" i="46"/>
  <c r="BL26" i="46"/>
  <c r="AZ39" i="1"/>
  <c r="BE39" i="46"/>
  <c r="BF39" i="46"/>
  <c r="AZ27" i="1"/>
  <c r="BE27" i="46"/>
  <c r="BF27" i="46"/>
  <c r="AZ30" i="1"/>
  <c r="BE30" i="46"/>
  <c r="BF30" i="46"/>
  <c r="AZ29" i="1"/>
  <c r="BE29" i="46"/>
  <c r="AZ28" i="1"/>
  <c r="BE28" i="46"/>
  <c r="BF28" i="46"/>
  <c r="AZ22" i="1"/>
  <c r="BE22" i="46"/>
  <c r="AZ31" i="1"/>
  <c r="BE31" i="46"/>
  <c r="BF31" i="46"/>
  <c r="AZ45" i="1"/>
  <c r="BE45" i="46"/>
  <c r="BF45" i="46"/>
  <c r="AZ44" i="1"/>
  <c r="BE44" i="46"/>
  <c r="BF44" i="46"/>
  <c r="AZ46" i="1"/>
  <c r="BE46" i="46"/>
  <c r="BF46" i="46"/>
  <c r="AZ59" i="1"/>
  <c r="BE59" i="46"/>
  <c r="BF59" i="46"/>
  <c r="B62" i="46"/>
  <c r="X62" i="46"/>
  <c r="B65" i="46"/>
  <c r="W65" i="46"/>
  <c r="V65" i="46"/>
  <c r="AZ56" i="1"/>
  <c r="BE56" i="46"/>
  <c r="BF56" i="46"/>
  <c r="AZ54" i="1"/>
  <c r="BE54" i="46"/>
  <c r="AZ55" i="1"/>
  <c r="BE55" i="46"/>
  <c r="BF55" i="46"/>
  <c r="AZ57" i="1"/>
  <c r="BE57" i="46"/>
  <c r="AZ58" i="1"/>
  <c r="BE58" i="46"/>
  <c r="BF58" i="46"/>
  <c r="AZ60" i="1"/>
  <c r="BE60" i="46"/>
  <c r="AZ53" i="1"/>
  <c r="BE53" i="46"/>
  <c r="BF53" i="46"/>
  <c r="AZ64" i="1"/>
  <c r="BE64" i="46"/>
  <c r="BF64" i="46"/>
  <c r="AZ65" i="1"/>
  <c r="BE65" i="46"/>
  <c r="BF65" i="46"/>
  <c r="AZ47" i="1"/>
  <c r="BE47" i="46"/>
  <c r="BF47" i="46"/>
  <c r="AZ62" i="1"/>
  <c r="BE62" i="46"/>
  <c r="BF62" i="46"/>
  <c r="AZ63" i="1"/>
  <c r="BE63" i="46"/>
  <c r="BF63" i="46"/>
  <c r="AZ77" i="1"/>
  <c r="BE77" i="46"/>
  <c r="BF77" i="46"/>
  <c r="BL77" i="46"/>
  <c r="AZ78" i="1"/>
  <c r="BE78" i="46"/>
  <c r="BF78" i="46"/>
  <c r="AZ76" i="1"/>
  <c r="BE76" i="46"/>
  <c r="BF76" i="46"/>
  <c r="AZ75" i="1"/>
  <c r="BE75" i="46"/>
  <c r="BF75" i="46"/>
  <c r="AZ73" i="1"/>
  <c r="BE73" i="46"/>
  <c r="BF73" i="46"/>
  <c r="AZ71" i="1"/>
  <c r="BE71" i="46"/>
  <c r="BF71" i="46"/>
  <c r="AZ74" i="1"/>
  <c r="BE74" i="46"/>
  <c r="BF74" i="46"/>
  <c r="AZ72" i="1"/>
  <c r="BE72" i="46"/>
  <c r="BF72" i="46"/>
  <c r="AZ80" i="1"/>
  <c r="BE80" i="46"/>
  <c r="BF80" i="46"/>
  <c r="AZ94" i="1"/>
  <c r="BE94" i="46"/>
  <c r="BF94" i="46"/>
  <c r="BL94" i="46"/>
  <c r="B93" i="46"/>
  <c r="X93" i="46"/>
  <c r="B94" i="46"/>
  <c r="V94" i="46"/>
  <c r="Z92" i="46"/>
  <c r="AZ91" i="1"/>
  <c r="BE91" i="46"/>
  <c r="BF91" i="46"/>
  <c r="AZ90" i="1"/>
  <c r="BE90" i="46"/>
  <c r="BF90" i="46"/>
  <c r="AZ88" i="1"/>
  <c r="BE88" i="46"/>
  <c r="BF88" i="46"/>
  <c r="AZ89" i="1"/>
  <c r="BE89" i="46"/>
  <c r="BF89" i="46"/>
  <c r="AZ86" i="1"/>
  <c r="BE86" i="46"/>
  <c r="BF86" i="46"/>
  <c r="AZ92" i="1"/>
  <c r="BE92" i="46"/>
  <c r="BF92" i="46"/>
  <c r="AB92" i="46"/>
  <c r="AZ93" i="1"/>
  <c r="BE93" i="46"/>
  <c r="BF93" i="46"/>
  <c r="AZ100" i="1"/>
  <c r="BE100" i="46"/>
  <c r="BF100" i="46"/>
  <c r="AZ103" i="1"/>
  <c r="BE103" i="46"/>
  <c r="BF103" i="46"/>
  <c r="AZ102" i="1"/>
  <c r="BE102" i="46"/>
  <c r="BF102" i="46"/>
  <c r="AB101" i="46"/>
  <c r="AA101" i="46"/>
  <c r="AZ298" i="1"/>
  <c r="BE298" i="46"/>
  <c r="BF298" i="46"/>
  <c r="AZ172" i="1"/>
  <c r="BE172" i="46"/>
  <c r="AZ128" i="1"/>
  <c r="BE128" i="46"/>
  <c r="BF128" i="46"/>
  <c r="AZ166" i="1"/>
  <c r="BE166" i="46"/>
  <c r="AZ125" i="1"/>
  <c r="BE125" i="46"/>
  <c r="BF125" i="46"/>
  <c r="AZ169" i="1"/>
  <c r="BE169" i="46"/>
  <c r="AZ164" i="1"/>
  <c r="BE164" i="46"/>
  <c r="BF164" i="46"/>
  <c r="AZ157" i="1"/>
  <c r="BE157" i="46"/>
  <c r="AZ167" i="1"/>
  <c r="BE167" i="46"/>
  <c r="BF167" i="46"/>
  <c r="AZ170" i="1"/>
  <c r="BE170" i="46"/>
  <c r="AZ165" i="1"/>
  <c r="BE165" i="46"/>
  <c r="BF165" i="46"/>
  <c r="AZ130" i="1"/>
  <c r="BE130" i="46"/>
  <c r="AZ149" i="1"/>
  <c r="BE149" i="46"/>
  <c r="BF149" i="46"/>
  <c r="AZ143" i="1"/>
  <c r="BE143" i="46"/>
  <c r="AZ171" i="1"/>
  <c r="BE171" i="46"/>
  <c r="BF171" i="46"/>
  <c r="AZ132" i="1"/>
  <c r="BE132" i="46"/>
  <c r="AZ121" i="1"/>
  <c r="BE121" i="46"/>
  <c r="BF121" i="46"/>
  <c r="AZ174" i="1"/>
  <c r="BE174" i="46"/>
  <c r="AZ123" i="1"/>
  <c r="BE123" i="46"/>
  <c r="BF123" i="46"/>
  <c r="AZ129" i="1"/>
  <c r="BE129" i="46"/>
  <c r="BF129" i="46"/>
  <c r="AZ173" i="1"/>
  <c r="BE173" i="46"/>
  <c r="BF173" i="46"/>
  <c r="AZ120" i="1"/>
  <c r="BE120" i="46"/>
  <c r="BF120" i="46"/>
  <c r="AZ144" i="1"/>
  <c r="BE144" i="46"/>
  <c r="BF144" i="46"/>
  <c r="AZ127" i="1"/>
  <c r="BE127" i="46"/>
  <c r="BF127" i="46"/>
  <c r="BL127" i="46"/>
  <c r="AZ154" i="1"/>
  <c r="BE154" i="46"/>
  <c r="BF154" i="46"/>
  <c r="AZ148" i="1"/>
  <c r="BE148" i="46"/>
  <c r="BF148" i="46"/>
  <c r="AZ163" i="1"/>
  <c r="BE163" i="46"/>
  <c r="BF163" i="46"/>
  <c r="AZ126" i="1"/>
  <c r="BE126" i="46"/>
  <c r="AZ136" i="1"/>
  <c r="BE136" i="46"/>
  <c r="BF136" i="46"/>
  <c r="AZ150" i="1"/>
  <c r="BE150" i="46"/>
  <c r="BF150" i="46"/>
  <c r="AZ133" i="1"/>
  <c r="BE133" i="46"/>
  <c r="BF133" i="46"/>
  <c r="AZ131" i="1"/>
  <c r="BE131" i="46"/>
  <c r="BF131" i="46"/>
  <c r="AZ137" i="1"/>
  <c r="BE137" i="46"/>
  <c r="BF137" i="46"/>
  <c r="AZ160" i="1"/>
  <c r="BE160" i="46"/>
  <c r="BF160" i="46"/>
  <c r="AZ135" i="1"/>
  <c r="BE135" i="46"/>
  <c r="BF135" i="46"/>
  <c r="AZ141" i="1"/>
  <c r="BE141" i="46"/>
  <c r="BF141" i="46"/>
  <c r="AZ139" i="1"/>
  <c r="BE139" i="46"/>
  <c r="BF139" i="46"/>
  <c r="AZ158" i="1"/>
  <c r="BE158" i="46"/>
  <c r="BF158" i="46"/>
  <c r="AZ146" i="1"/>
  <c r="BE146" i="46"/>
  <c r="BF146" i="46"/>
  <c r="AZ140" i="1"/>
  <c r="BE140" i="46"/>
  <c r="BF140" i="46"/>
  <c r="AZ122" i="1"/>
  <c r="BE122" i="46"/>
  <c r="BF122" i="46"/>
  <c r="AZ124" i="1"/>
  <c r="BE124" i="46"/>
  <c r="BF124" i="46"/>
  <c r="AZ145" i="1"/>
  <c r="BE145" i="46"/>
  <c r="BF145" i="46"/>
  <c r="AZ134" i="1"/>
  <c r="BE134" i="46"/>
  <c r="BF134" i="46"/>
  <c r="BL134" i="46"/>
  <c r="AZ142" i="1"/>
  <c r="BE142" i="46"/>
  <c r="BF142" i="46"/>
  <c r="AZ159" i="1"/>
  <c r="BE159" i="46"/>
  <c r="BF159" i="46"/>
  <c r="AZ155" i="1"/>
  <c r="BE155" i="46"/>
  <c r="BF155" i="46"/>
  <c r="AZ152" i="1"/>
  <c r="BE152" i="46"/>
  <c r="BF152" i="46"/>
  <c r="AZ162" i="1"/>
  <c r="BE162" i="46"/>
  <c r="BF162" i="46"/>
  <c r="AZ151" i="1"/>
  <c r="BE151" i="46"/>
  <c r="BF151" i="46"/>
  <c r="AZ138" i="1"/>
  <c r="BE138" i="46"/>
  <c r="BF138" i="46"/>
  <c r="AZ161" i="1"/>
  <c r="BE161" i="46"/>
  <c r="AZ168" i="1"/>
  <c r="BE168" i="46"/>
  <c r="BF168" i="46"/>
  <c r="AZ156" i="1"/>
  <c r="BE156" i="46"/>
  <c r="BF156" i="46"/>
  <c r="AZ153" i="1"/>
  <c r="BE153" i="46"/>
  <c r="BF153" i="46"/>
  <c r="AZ147" i="1"/>
  <c r="BE147" i="46"/>
  <c r="BF147" i="46"/>
  <c r="AZ285" i="1"/>
  <c r="BE285" i="46"/>
  <c r="BF285" i="46"/>
  <c r="AZ242" i="1"/>
  <c r="BE242" i="46"/>
  <c r="BF242" i="46"/>
  <c r="AZ225" i="1"/>
  <c r="BE225" i="46"/>
  <c r="BF225" i="46"/>
  <c r="AZ340" i="1"/>
  <c r="BE342" i="46"/>
  <c r="BF342" i="46"/>
  <c r="AZ201" i="1"/>
  <c r="BE201" i="46"/>
  <c r="BF201" i="46"/>
  <c r="AZ290" i="1"/>
  <c r="BE290" i="46"/>
  <c r="BF290" i="46"/>
  <c r="AZ338" i="1"/>
  <c r="BE340" i="46"/>
  <c r="BF340" i="46"/>
  <c r="AZ215" i="1"/>
  <c r="BE215" i="46"/>
  <c r="BF215" i="46"/>
  <c r="AZ296" i="1"/>
  <c r="BE296" i="46"/>
  <c r="BF296" i="46"/>
  <c r="AZ346" i="1"/>
  <c r="BE348" i="46"/>
  <c r="BF348" i="46"/>
  <c r="AZ228" i="1"/>
  <c r="BE228" i="46"/>
  <c r="BF228" i="46"/>
  <c r="AZ227" i="1"/>
  <c r="BE227" i="46"/>
  <c r="BF227" i="46"/>
  <c r="AZ342" i="1"/>
  <c r="BE344" i="46"/>
  <c r="BF344" i="46"/>
  <c r="AZ194" i="1"/>
  <c r="BE194" i="46"/>
  <c r="BF194" i="46"/>
  <c r="BE334" i="46"/>
  <c r="BL334" i="46"/>
  <c r="AZ289" i="1"/>
  <c r="BE289" i="46"/>
  <c r="AZ271" i="1"/>
  <c r="BE271" i="46"/>
  <c r="BF271" i="46"/>
  <c r="BE317" i="46"/>
  <c r="BL317" i="46"/>
  <c r="AZ270" i="1"/>
  <c r="BE270" i="46"/>
  <c r="BF270" i="46"/>
  <c r="AZ421" i="1"/>
  <c r="BE424" i="46"/>
  <c r="BF424" i="46"/>
  <c r="B423" i="46"/>
  <c r="U423" i="46"/>
  <c r="B424" i="46"/>
  <c r="U424" i="46"/>
  <c r="B426" i="46"/>
  <c r="U426" i="46"/>
  <c r="B428" i="46"/>
  <c r="U428" i="46"/>
  <c r="B430" i="46"/>
  <c r="U430" i="46"/>
  <c r="B431" i="46"/>
  <c r="U431" i="46"/>
  <c r="B432" i="46"/>
  <c r="U432" i="46"/>
  <c r="B435" i="46"/>
  <c r="U435" i="46"/>
  <c r="B436" i="46"/>
  <c r="U436" i="46"/>
  <c r="B440" i="46"/>
  <c r="U440" i="46"/>
  <c r="B441" i="46"/>
  <c r="U441" i="46"/>
  <c r="B443" i="46"/>
  <c r="U443" i="46"/>
  <c r="B444" i="46"/>
  <c r="U444" i="46"/>
  <c r="B445" i="46"/>
  <c r="U445" i="46"/>
  <c r="B448" i="46"/>
  <c r="U448" i="46"/>
  <c r="B451" i="46"/>
  <c r="U451" i="46"/>
  <c r="B452" i="46"/>
  <c r="U452" i="46"/>
  <c r="B453" i="46"/>
  <c r="U453" i="46"/>
  <c r="B455" i="46"/>
  <c r="Y455" i="46"/>
  <c r="B459" i="46"/>
  <c r="U459" i="46"/>
  <c r="B460" i="46"/>
  <c r="U460" i="46"/>
  <c r="C461" i="46"/>
  <c r="B461" i="46"/>
  <c r="Z420" i="46"/>
  <c r="X423" i="46"/>
  <c r="X428" i="46"/>
  <c r="X440" i="46"/>
  <c r="W423" i="46"/>
  <c r="W428" i="46"/>
  <c r="W431" i="46"/>
  <c r="W440" i="46"/>
  <c r="W444" i="46"/>
  <c r="V423" i="46"/>
  <c r="V428" i="46"/>
  <c r="V440" i="46"/>
  <c r="V444" i="46"/>
  <c r="AZ488" i="1"/>
  <c r="BE491" i="46"/>
  <c r="BF491" i="46"/>
  <c r="B486" i="46"/>
  <c r="W486" i="46"/>
  <c r="B488" i="46"/>
  <c r="X488" i="46"/>
  <c r="B489" i="46"/>
  <c r="W489" i="46"/>
  <c r="B491" i="46"/>
  <c r="V491" i="46"/>
  <c r="B492" i="46"/>
  <c r="B496" i="46"/>
  <c r="V496" i="46"/>
  <c r="B497" i="46"/>
  <c r="W497" i="46"/>
  <c r="W488" i="46"/>
  <c r="AZ235" i="1"/>
  <c r="BE235" i="46"/>
  <c r="BF235" i="46"/>
  <c r="AZ200" i="1"/>
  <c r="BE200" i="46"/>
  <c r="BF200" i="46"/>
  <c r="AZ309" i="1"/>
  <c r="BE309" i="46"/>
  <c r="BF309" i="46"/>
  <c r="AZ241" i="1"/>
  <c r="BE241" i="46"/>
  <c r="BF241" i="46"/>
  <c r="BE292" i="46"/>
  <c r="BL292" i="46"/>
  <c r="BE293" i="46"/>
  <c r="BL293" i="46"/>
  <c r="BE294" i="46"/>
  <c r="BL294" i="46"/>
  <c r="AZ287" i="1"/>
  <c r="BE287" i="46"/>
  <c r="AZ229" i="1"/>
  <c r="BE229" i="46"/>
  <c r="AZ190" i="1"/>
  <c r="BE190" i="46"/>
  <c r="BF190" i="46"/>
  <c r="AZ196" i="1"/>
  <c r="BE196" i="46"/>
  <c r="BF196" i="46"/>
  <c r="AZ220" i="1"/>
  <c r="BE220" i="46"/>
  <c r="BF220" i="46"/>
  <c r="AZ547" i="1"/>
  <c r="BE550" i="46"/>
  <c r="B542" i="46"/>
  <c r="B543" i="46"/>
  <c r="B545" i="46"/>
  <c r="V545" i="46"/>
  <c r="B547" i="46"/>
  <c r="B549" i="46"/>
  <c r="X549" i="46"/>
  <c r="B553" i="46"/>
  <c r="X553" i="46"/>
  <c r="B554" i="46"/>
  <c r="W549" i="46"/>
  <c r="V543" i="46"/>
  <c r="V549" i="46"/>
  <c r="AZ186" i="1"/>
  <c r="BE186" i="46"/>
  <c r="BF186" i="46"/>
  <c r="AZ489" i="1"/>
  <c r="BE492" i="46"/>
  <c r="BF492" i="46"/>
  <c r="AZ256" i="1"/>
  <c r="BE256" i="46"/>
  <c r="BF256" i="46"/>
  <c r="AZ257" i="1"/>
  <c r="BE257" i="46"/>
  <c r="BF257" i="46"/>
  <c r="AZ261" i="1"/>
  <c r="BE261" i="46"/>
  <c r="BF261" i="46"/>
  <c r="AZ262" i="1"/>
  <c r="BE262" i="46"/>
  <c r="BF262" i="46"/>
  <c r="BL262" i="46"/>
  <c r="AZ260" i="1"/>
  <c r="BE260" i="46"/>
  <c r="BF260" i="46"/>
  <c r="AZ214" i="1"/>
  <c r="BE214" i="46"/>
  <c r="AZ255" i="1"/>
  <c r="BE255" i="46"/>
  <c r="BF255" i="46"/>
  <c r="AZ259" i="1"/>
  <c r="BE259" i="46"/>
  <c r="BF259" i="46"/>
  <c r="AZ253" i="1"/>
  <c r="BE253" i="46"/>
  <c r="BF253" i="46"/>
  <c r="AZ258" i="1"/>
  <c r="BE258" i="46"/>
  <c r="BF258" i="46"/>
  <c r="AZ264" i="1"/>
  <c r="BE264" i="46"/>
  <c r="BF264" i="46"/>
  <c r="AZ265" i="1"/>
  <c r="BE265" i="46"/>
  <c r="BF265" i="46"/>
  <c r="AZ328" i="1"/>
  <c r="BE330" i="46"/>
  <c r="BF330" i="46"/>
  <c r="AZ226" i="1"/>
  <c r="BE226" i="46"/>
  <c r="AZ202" i="1"/>
  <c r="BE202" i="46"/>
  <c r="BF202" i="46"/>
  <c r="AZ222" i="1"/>
  <c r="BE222" i="46"/>
  <c r="BF222" i="46"/>
  <c r="AZ199" i="1"/>
  <c r="BE199" i="46"/>
  <c r="BF199" i="46"/>
  <c r="AZ263" i="1"/>
  <c r="BE263" i="46"/>
  <c r="BF263" i="46"/>
  <c r="AZ345" i="1"/>
  <c r="BE347" i="46"/>
  <c r="BF347" i="46"/>
  <c r="AZ216" i="1"/>
  <c r="BE216" i="46"/>
  <c r="BF216" i="46"/>
  <c r="AZ339" i="1"/>
  <c r="BE341" i="46"/>
  <c r="BF341" i="46"/>
  <c r="BL341" i="46"/>
  <c r="AZ266" i="1"/>
  <c r="BE266" i="46"/>
  <c r="BF266" i="46"/>
  <c r="AZ254" i="1"/>
  <c r="BE254" i="46"/>
  <c r="BF254" i="46"/>
  <c r="AZ305" i="1"/>
  <c r="BE305" i="46"/>
  <c r="BF305" i="46"/>
  <c r="AZ237" i="1"/>
  <c r="BE237" i="46"/>
  <c r="BF237" i="46"/>
  <c r="BL237" i="46"/>
  <c r="AZ323" i="1"/>
  <c r="BE325" i="46"/>
  <c r="AZ341" i="1"/>
  <c r="BE343" i="46"/>
  <c r="BF343" i="46"/>
  <c r="AZ210" i="1"/>
  <c r="BE210" i="46"/>
  <c r="BF210" i="46"/>
  <c r="AZ209" i="1"/>
  <c r="BE209" i="46"/>
  <c r="BF209" i="46"/>
  <c r="AZ330" i="1"/>
  <c r="BE332" i="46"/>
  <c r="BF332" i="46"/>
  <c r="BL332" i="46"/>
  <c r="AZ283" i="1"/>
  <c r="BE283" i="46"/>
  <c r="BF283" i="46"/>
  <c r="BE273" i="46"/>
  <c r="AZ275" i="1"/>
  <c r="BE275" i="46"/>
  <c r="BF275" i="46"/>
  <c r="AZ277" i="1"/>
  <c r="BE277" i="46"/>
  <c r="BF277" i="46"/>
  <c r="AZ223" i="1"/>
  <c r="BE223" i="46"/>
  <c r="BF223" i="46"/>
  <c r="AZ334" i="1"/>
  <c r="BE336" i="46"/>
  <c r="AZ274" i="1"/>
  <c r="BE274" i="46"/>
  <c r="BF274" i="46"/>
  <c r="AZ193" i="1"/>
  <c r="BE193" i="46"/>
  <c r="BF193" i="46"/>
  <c r="AZ299" i="1"/>
  <c r="BE299" i="46"/>
  <c r="AZ333" i="1"/>
  <c r="BE335" i="46"/>
  <c r="BF335" i="46"/>
  <c r="AZ176" i="1"/>
  <c r="BE176" i="46"/>
  <c r="BF176" i="46"/>
  <c r="AZ246" i="1"/>
  <c r="BE246" i="46"/>
  <c r="BF246" i="46"/>
  <c r="AZ247" i="1"/>
  <c r="BE247" i="46"/>
  <c r="AZ207" i="1"/>
  <c r="BE207" i="46"/>
  <c r="BF207" i="46"/>
  <c r="AZ224" i="1"/>
  <c r="BE224" i="46"/>
  <c r="BF224" i="46"/>
  <c r="AZ297" i="1"/>
  <c r="BE297" i="46"/>
  <c r="AZ327" i="1"/>
  <c r="BE329" i="46"/>
  <c r="BF329" i="46"/>
  <c r="AZ240" i="1"/>
  <c r="BE240" i="46"/>
  <c r="AZ189" i="1"/>
  <c r="BE189" i="46"/>
  <c r="BF189" i="46"/>
  <c r="AZ288" i="1"/>
  <c r="BE288" i="46"/>
  <c r="BF288" i="46"/>
  <c r="AZ178" i="1"/>
  <c r="BE178" i="46"/>
  <c r="BF178" i="46"/>
  <c r="AZ236" i="1"/>
  <c r="BE236" i="46"/>
  <c r="BF236" i="46"/>
  <c r="AZ191" i="1"/>
  <c r="BE191" i="46"/>
  <c r="AZ249" i="1"/>
  <c r="BE249" i="46"/>
  <c r="BF249" i="46"/>
  <c r="AZ243" i="1"/>
  <c r="BE243" i="46"/>
  <c r="BF243" i="46"/>
  <c r="BE318" i="46"/>
  <c r="BF318" i="46"/>
  <c r="AZ238" i="1"/>
  <c r="BE238" i="46"/>
  <c r="BF238" i="46"/>
  <c r="AZ272" i="1"/>
  <c r="BE272" i="46"/>
  <c r="BF272" i="46"/>
  <c r="AZ195" i="1"/>
  <c r="BE195" i="46"/>
  <c r="BF195" i="46"/>
  <c r="BL195" i="46"/>
  <c r="AZ324" i="1"/>
  <c r="BE326" i="46"/>
  <c r="AZ232" i="1"/>
  <c r="BE232" i="46"/>
  <c r="BF232" i="46"/>
  <c r="AZ231" i="1"/>
  <c r="BE231" i="46"/>
  <c r="BF231" i="46"/>
  <c r="BE300" i="46"/>
  <c r="AZ206" i="1"/>
  <c r="BE206" i="46"/>
  <c r="BF206" i="46"/>
  <c r="AZ208" i="1"/>
  <c r="BE208" i="46"/>
  <c r="BF208" i="46"/>
  <c r="AZ267" i="1"/>
  <c r="BE267" i="46"/>
  <c r="BF267" i="46"/>
  <c r="AZ304" i="1"/>
  <c r="BE304" i="46"/>
  <c r="BF304" i="46"/>
  <c r="AZ307" i="1"/>
  <c r="BE307" i="46"/>
  <c r="BF307" i="46"/>
  <c r="BL307" i="46"/>
  <c r="BE279" i="46"/>
  <c r="BF279" i="46"/>
  <c r="AZ306" i="1"/>
  <c r="BE306" i="46"/>
  <c r="BF306" i="46"/>
  <c r="AZ217" i="1"/>
  <c r="BE217" i="46"/>
  <c r="BF217" i="46"/>
  <c r="AZ248" i="1"/>
  <c r="BE248" i="46"/>
  <c r="BF248" i="46"/>
  <c r="BL248" i="46"/>
  <c r="AZ320" i="1"/>
  <c r="BE322" i="46"/>
  <c r="BF322" i="46"/>
  <c r="AZ291" i="1"/>
  <c r="BE291" i="46"/>
  <c r="AZ245" i="1"/>
  <c r="BE245" i="46"/>
  <c r="BF245" i="46"/>
  <c r="AZ316" i="1"/>
  <c r="BE316" i="46"/>
  <c r="BF316" i="46"/>
  <c r="AZ179" i="1"/>
  <c r="BE179" i="46"/>
  <c r="BF179" i="46"/>
  <c r="AZ177" i="1"/>
  <c r="BE177" i="46"/>
  <c r="BF177" i="46"/>
  <c r="BL177" i="46"/>
  <c r="AZ244" i="1"/>
  <c r="BE244" i="46"/>
  <c r="BF244" i="46"/>
  <c r="AZ314" i="1"/>
  <c r="BE314" i="46"/>
  <c r="BF314" i="46"/>
  <c r="AZ311" i="1"/>
  <c r="BE311" i="46"/>
  <c r="BF311" i="46"/>
  <c r="AZ212" i="1"/>
  <c r="BE212" i="46"/>
  <c r="BF212" i="46"/>
  <c r="AZ239" i="1"/>
  <c r="BE239" i="46"/>
  <c r="BF239" i="46"/>
  <c r="AZ313" i="1"/>
  <c r="BE313" i="46"/>
  <c r="BF313" i="46"/>
  <c r="AZ331" i="1"/>
  <c r="BE333" i="46"/>
  <c r="BF333" i="46"/>
  <c r="AZ233" i="1"/>
  <c r="BE233" i="46"/>
  <c r="BF233" i="46"/>
  <c r="AZ234" i="1"/>
  <c r="BE234" i="46"/>
  <c r="AZ337" i="1"/>
  <c r="BE339" i="46"/>
  <c r="BF339" i="46"/>
  <c r="AZ269" i="1"/>
  <c r="BE269" i="46"/>
  <c r="BF269" i="46"/>
  <c r="BL269" i="46"/>
  <c r="AZ308" i="1"/>
  <c r="BE308" i="46"/>
  <c r="BF308" i="46"/>
  <c r="AZ343" i="1"/>
  <c r="BE345" i="46"/>
  <c r="BF345" i="46"/>
  <c r="AZ322" i="1"/>
  <c r="BE324" i="46"/>
  <c r="BF324" i="46"/>
  <c r="AZ312" i="1"/>
  <c r="BE312" i="46"/>
  <c r="BF312" i="46"/>
  <c r="AZ310" i="1"/>
  <c r="BE310" i="46"/>
  <c r="BF310" i="46"/>
  <c r="AZ282" i="1"/>
  <c r="BE282" i="46"/>
  <c r="AZ182" i="1"/>
  <c r="BE182" i="46"/>
  <c r="BF182" i="46"/>
  <c r="AZ183" i="1"/>
  <c r="BE183" i="46"/>
  <c r="BF183" i="46"/>
  <c r="AZ276" i="1"/>
  <c r="BE276" i="46"/>
  <c r="BF276" i="46"/>
  <c r="AZ181" i="1"/>
  <c r="BE181" i="46"/>
  <c r="BF181" i="46"/>
  <c r="BL181" i="46"/>
  <c r="AZ184" i="1"/>
  <c r="BE184" i="46"/>
  <c r="BF184" i="46"/>
  <c r="AZ280" i="1"/>
  <c r="BE280" i="46"/>
  <c r="BF280" i="46"/>
  <c r="AZ187" i="1"/>
  <c r="BE187" i="46"/>
  <c r="BF187" i="46"/>
  <c r="AZ281" i="1"/>
  <c r="BE281" i="46"/>
  <c r="AZ188" i="1"/>
  <c r="BE188" i="46"/>
  <c r="BF188" i="46"/>
  <c r="AZ329" i="1"/>
  <c r="BE331" i="46"/>
  <c r="BF331" i="46"/>
  <c r="AZ315" i="1"/>
  <c r="BE315" i="46"/>
  <c r="AZ180" i="1"/>
  <c r="BE180" i="46"/>
  <c r="BF180" i="46"/>
  <c r="AZ286" i="1"/>
  <c r="BE286" i="46"/>
  <c r="BF286" i="46"/>
  <c r="AZ230" i="1"/>
  <c r="BE230" i="46"/>
  <c r="BF230" i="46"/>
  <c r="AZ205" i="1"/>
  <c r="BE205" i="46"/>
  <c r="BF205" i="46"/>
  <c r="BL205" i="46"/>
  <c r="AZ344" i="1"/>
  <c r="BE346" i="46"/>
  <c r="BF346" i="46"/>
  <c r="AZ219" i="1"/>
  <c r="BE219" i="46"/>
  <c r="BF219" i="46"/>
  <c r="AZ302" i="1"/>
  <c r="BE302" i="46"/>
  <c r="BF302" i="46"/>
  <c r="AZ185" i="1"/>
  <c r="BE185" i="46"/>
  <c r="AZ250" i="1"/>
  <c r="BE250" i="46"/>
  <c r="BF250" i="46"/>
  <c r="AZ204" i="1"/>
  <c r="BE204" i="46"/>
  <c r="AZ203" i="1"/>
  <c r="BE203" i="46"/>
  <c r="BF203" i="46"/>
  <c r="AZ197" i="1"/>
  <c r="BE197" i="46"/>
  <c r="BF197" i="46"/>
  <c r="AZ192" i="1"/>
  <c r="BE192" i="46"/>
  <c r="AZ218" i="1"/>
  <c r="BE218" i="46"/>
  <c r="BF218" i="46"/>
  <c r="AZ278" i="1"/>
  <c r="BE278" i="46"/>
  <c r="BF278" i="46"/>
  <c r="AZ369" i="1"/>
  <c r="BE371" i="46"/>
  <c r="BF371" i="46"/>
  <c r="AZ363" i="1"/>
  <c r="BE365" i="46"/>
  <c r="BF365" i="46"/>
  <c r="AZ364" i="1"/>
  <c r="BE366" i="46"/>
  <c r="BF366" i="46"/>
  <c r="AZ366" i="1"/>
  <c r="BE368" i="46"/>
  <c r="BF368" i="46"/>
  <c r="AZ370" i="1"/>
  <c r="BE372" i="46"/>
  <c r="BF372" i="46"/>
  <c r="AZ361" i="1"/>
  <c r="BE363" i="46"/>
  <c r="BF363" i="46"/>
  <c r="AZ360" i="1"/>
  <c r="BE362" i="46"/>
  <c r="BF362" i="46"/>
  <c r="AZ359" i="1"/>
  <c r="BE361" i="46"/>
  <c r="BF361" i="46"/>
  <c r="AZ371" i="1"/>
  <c r="BE373" i="46"/>
  <c r="BF373" i="46"/>
  <c r="AZ362" i="1"/>
  <c r="BE364" i="46"/>
  <c r="AZ368" i="1"/>
  <c r="BE370" i="46"/>
  <c r="BF370" i="46"/>
  <c r="AZ365" i="1"/>
  <c r="BE367" i="46"/>
  <c r="AZ367" i="1"/>
  <c r="BE369" i="46"/>
  <c r="BF369" i="46"/>
  <c r="AZ376" i="1"/>
  <c r="BE379" i="46"/>
  <c r="BF379" i="46"/>
  <c r="AZ372" i="1"/>
  <c r="BE374" i="46"/>
  <c r="BF374" i="46"/>
  <c r="AZ377" i="1"/>
  <c r="BE380" i="46"/>
  <c r="BF380" i="46"/>
  <c r="BE378" i="46"/>
  <c r="AZ374" i="1"/>
  <c r="BE376" i="46"/>
  <c r="BF376" i="46"/>
  <c r="AZ387" i="1"/>
  <c r="BE390" i="46"/>
  <c r="BF390" i="46"/>
  <c r="AZ383" i="1"/>
  <c r="BE386" i="46"/>
  <c r="BF386" i="46"/>
  <c r="AZ388" i="1"/>
  <c r="BE391" i="46"/>
  <c r="BF391" i="46"/>
  <c r="AZ386" i="1"/>
  <c r="BE389" i="46"/>
  <c r="BF389" i="46"/>
  <c r="AZ393" i="1"/>
  <c r="BE396" i="46"/>
  <c r="BF396" i="46"/>
  <c r="AZ384" i="1"/>
  <c r="BE387" i="46"/>
  <c r="BF387" i="46"/>
  <c r="AZ392" i="1"/>
  <c r="BE395" i="46"/>
  <c r="BF395" i="46"/>
  <c r="AZ391" i="1"/>
  <c r="BE394" i="46"/>
  <c r="BF394" i="46"/>
  <c r="AZ385" i="1"/>
  <c r="BE388" i="46"/>
  <c r="BF388" i="46"/>
  <c r="AZ390" i="1"/>
  <c r="BE393" i="46"/>
  <c r="BF393" i="46"/>
  <c r="AZ389" i="1"/>
  <c r="BE392" i="46"/>
  <c r="BF392" i="46"/>
  <c r="AZ395" i="1"/>
  <c r="BE398" i="46"/>
  <c r="BF398" i="46"/>
  <c r="AZ211" i="1"/>
  <c r="BE211" i="46"/>
  <c r="BF211" i="46"/>
  <c r="AZ397" i="1"/>
  <c r="BE400" i="46"/>
  <c r="BF400" i="46"/>
  <c r="AZ416" i="1"/>
  <c r="BE419" i="46"/>
  <c r="BF419" i="46"/>
  <c r="AZ413" i="1"/>
  <c r="BE416" i="46"/>
  <c r="AZ410" i="1"/>
  <c r="BE413" i="46"/>
  <c r="BF413" i="46"/>
  <c r="AZ414" i="1"/>
  <c r="BE417" i="46"/>
  <c r="AZ415" i="1"/>
  <c r="BE418" i="46"/>
  <c r="BF418" i="46"/>
  <c r="AZ408" i="1"/>
  <c r="BE411" i="46"/>
  <c r="AZ404" i="1"/>
  <c r="BE407" i="46"/>
  <c r="BF407" i="46"/>
  <c r="AZ409" i="1"/>
  <c r="BE412" i="46"/>
  <c r="AZ412" i="1"/>
  <c r="BE415" i="46"/>
  <c r="BF415" i="46"/>
  <c r="AZ411" i="1"/>
  <c r="BE414" i="46"/>
  <c r="AZ407" i="1"/>
  <c r="BE410" i="46"/>
  <c r="BF410" i="46"/>
  <c r="AZ403" i="1"/>
  <c r="BE406" i="46"/>
  <c r="AZ417" i="1"/>
  <c r="BE420" i="46"/>
  <c r="BF420" i="46"/>
  <c r="AB420" i="46"/>
  <c r="AZ405" i="1"/>
  <c r="BE408" i="46"/>
  <c r="AZ418" i="1"/>
  <c r="BE421" i="46"/>
  <c r="BF421" i="46"/>
  <c r="AZ406" i="1"/>
  <c r="BE409" i="46"/>
  <c r="BF409" i="46"/>
  <c r="AZ454" i="1"/>
  <c r="BE457" i="46"/>
  <c r="BF457" i="46"/>
  <c r="AZ430" i="1"/>
  <c r="BE433" i="46"/>
  <c r="BF433" i="46"/>
  <c r="AZ451" i="1"/>
  <c r="BE454" i="46"/>
  <c r="BF454" i="46"/>
  <c r="AZ452" i="1"/>
  <c r="BE455" i="46"/>
  <c r="BF455" i="46"/>
  <c r="AZ428" i="1"/>
  <c r="BE431" i="46"/>
  <c r="BF431" i="46"/>
  <c r="AZ432" i="1"/>
  <c r="BE435" i="46"/>
  <c r="BF435" i="46"/>
  <c r="AZ448" i="1"/>
  <c r="BE451" i="46"/>
  <c r="BF451" i="46"/>
  <c r="AZ443" i="1"/>
  <c r="BE446" i="46"/>
  <c r="AZ438" i="1"/>
  <c r="BE441" i="46"/>
  <c r="BF441" i="46"/>
  <c r="AZ445" i="1"/>
  <c r="BE448" i="46"/>
  <c r="BF448" i="46"/>
  <c r="AZ433" i="1"/>
  <c r="BE436" i="46"/>
  <c r="BF436" i="46"/>
  <c r="AZ459" i="1"/>
  <c r="BE462" i="46"/>
  <c r="BF462" i="46"/>
  <c r="AZ431" i="1"/>
  <c r="BE434" i="46"/>
  <c r="BF434" i="46"/>
  <c r="BE443" i="46"/>
  <c r="BF443" i="46"/>
  <c r="AZ442" i="1"/>
  <c r="BE445" i="46"/>
  <c r="BF445" i="46"/>
  <c r="AZ425" i="1"/>
  <c r="BE428" i="46"/>
  <c r="AZ447" i="1"/>
  <c r="BE450" i="46"/>
  <c r="BF450" i="46"/>
  <c r="AZ420" i="1"/>
  <c r="BE423" i="46"/>
  <c r="BF423" i="46"/>
  <c r="BL423" i="46"/>
  <c r="AZ456" i="1"/>
  <c r="BE459" i="46"/>
  <c r="BF459" i="46"/>
  <c r="AZ458" i="1"/>
  <c r="BE461" i="46"/>
  <c r="BF461" i="46"/>
  <c r="AZ455" i="1"/>
  <c r="BE458" i="46"/>
  <c r="BF458" i="46"/>
  <c r="BL458" i="46"/>
  <c r="AZ439" i="1"/>
  <c r="BE442" i="46"/>
  <c r="BF442" i="46"/>
  <c r="AZ449" i="1"/>
  <c r="BE452" i="46"/>
  <c r="BF452" i="46"/>
  <c r="AZ457" i="1"/>
  <c r="BE460" i="46"/>
  <c r="BF460" i="46"/>
  <c r="AZ434" i="1"/>
  <c r="BE437" i="46"/>
  <c r="BF437" i="46"/>
  <c r="AZ437" i="1"/>
  <c r="BE440" i="46"/>
  <c r="BF440" i="46"/>
  <c r="AZ450" i="1"/>
  <c r="BE453" i="46"/>
  <c r="AZ453" i="1"/>
  <c r="BE456" i="46"/>
  <c r="BF456" i="46"/>
  <c r="AZ424" i="1"/>
  <c r="BE427" i="46"/>
  <c r="BF427" i="46"/>
  <c r="AZ435" i="1"/>
  <c r="BE438" i="46"/>
  <c r="BF438" i="46"/>
  <c r="AZ429" i="1"/>
  <c r="BE432" i="46"/>
  <c r="BF432" i="46"/>
  <c r="AZ423" i="1"/>
  <c r="BE426" i="46"/>
  <c r="BF426" i="46"/>
  <c r="AZ441" i="1"/>
  <c r="BE444" i="46"/>
  <c r="BF444" i="46"/>
  <c r="BL444" i="46"/>
  <c r="AZ446" i="1"/>
  <c r="BE449" i="46"/>
  <c r="BF449" i="46"/>
  <c r="AZ427" i="1"/>
  <c r="BE430" i="46"/>
  <c r="AZ494" i="1"/>
  <c r="BE497" i="46"/>
  <c r="BF497" i="46"/>
  <c r="AZ481" i="1"/>
  <c r="BE484" i="46"/>
  <c r="BF484" i="46"/>
  <c r="AZ468" i="1"/>
  <c r="BE471" i="46"/>
  <c r="AZ472" i="1"/>
  <c r="BE475" i="46"/>
  <c r="BF475" i="46"/>
  <c r="AZ466" i="1"/>
  <c r="BE469" i="46"/>
  <c r="AZ480" i="1"/>
  <c r="BE483" i="46"/>
  <c r="BF483" i="46"/>
  <c r="AZ477" i="1"/>
  <c r="BE480" i="46"/>
  <c r="AZ476" i="1"/>
  <c r="BE479" i="46"/>
  <c r="BF479" i="46"/>
  <c r="AZ478" i="1"/>
  <c r="BE481" i="46"/>
  <c r="AZ470" i="1"/>
  <c r="BE473" i="46"/>
  <c r="BF473" i="46"/>
  <c r="AZ479" i="1"/>
  <c r="BE482" i="46"/>
  <c r="AZ482" i="1"/>
  <c r="BE485" i="46"/>
  <c r="BF485" i="46"/>
  <c r="AZ471" i="1"/>
  <c r="BE474" i="46"/>
  <c r="AZ473" i="1"/>
  <c r="BE476" i="46"/>
  <c r="BF476" i="46"/>
  <c r="AZ474" i="1"/>
  <c r="BE477" i="46"/>
  <c r="AZ469" i="1"/>
  <c r="BE472" i="46"/>
  <c r="BF472" i="46"/>
  <c r="AZ465" i="1"/>
  <c r="BE468" i="46"/>
  <c r="AZ475" i="1"/>
  <c r="BE478" i="46"/>
  <c r="BF478" i="46"/>
  <c r="AZ467" i="1"/>
  <c r="BE470" i="46"/>
  <c r="AZ485" i="1"/>
  <c r="BE488" i="46"/>
  <c r="BF488" i="46"/>
  <c r="AZ483" i="1"/>
  <c r="BE486" i="46"/>
  <c r="BF486" i="46"/>
  <c r="AZ484" i="1"/>
  <c r="BE487" i="46"/>
  <c r="BF487" i="46"/>
  <c r="AZ487" i="1"/>
  <c r="BE490" i="46"/>
  <c r="BF490" i="46"/>
  <c r="AZ486" i="1"/>
  <c r="BE489" i="46"/>
  <c r="AZ493" i="1"/>
  <c r="BE496" i="46"/>
  <c r="BF496" i="46"/>
  <c r="AZ491" i="1"/>
  <c r="BE494" i="46"/>
  <c r="AZ490" i="1"/>
  <c r="BE493" i="46"/>
  <c r="BF493" i="46"/>
  <c r="BE495" i="46"/>
  <c r="BL495" i="46"/>
  <c r="AZ505" i="1"/>
  <c r="BE508" i="46"/>
  <c r="BF508" i="46"/>
  <c r="AZ504" i="1"/>
  <c r="BE507" i="46"/>
  <c r="BF507" i="46"/>
  <c r="AZ503" i="1"/>
  <c r="BE506" i="46"/>
  <c r="BF506" i="46"/>
  <c r="AZ501" i="1"/>
  <c r="BE504" i="46"/>
  <c r="BF504" i="46"/>
  <c r="AZ500" i="1"/>
  <c r="BE503" i="46"/>
  <c r="BF503" i="46"/>
  <c r="AZ502" i="1"/>
  <c r="BE505" i="46"/>
  <c r="BF505" i="46"/>
  <c r="AZ507" i="1"/>
  <c r="BE510" i="46"/>
  <c r="BF510" i="46"/>
  <c r="AZ531" i="1"/>
  <c r="BE534" i="46"/>
  <c r="BF534" i="46"/>
  <c r="AZ526" i="1"/>
  <c r="BE529" i="46"/>
  <c r="BF529" i="46"/>
  <c r="AZ523" i="1"/>
  <c r="BE526" i="46"/>
  <c r="AZ532" i="1"/>
  <c r="BE535" i="46"/>
  <c r="BF535" i="46"/>
  <c r="AZ528" i="1"/>
  <c r="BE531" i="46"/>
  <c r="AZ520" i="1"/>
  <c r="BE523" i="46"/>
  <c r="BF523" i="46"/>
  <c r="AZ518" i="1"/>
  <c r="BE521" i="46"/>
  <c r="AZ525" i="1"/>
  <c r="BE528" i="46"/>
  <c r="BF528" i="46"/>
  <c r="AZ530" i="1"/>
  <c r="BE533" i="46"/>
  <c r="AZ534" i="1"/>
  <c r="BE537" i="46"/>
  <c r="BF537" i="46"/>
  <c r="AZ533" i="1"/>
  <c r="BE536" i="46"/>
  <c r="AZ519" i="1"/>
  <c r="BE522" i="46"/>
  <c r="BF522" i="46"/>
  <c r="AZ517" i="1"/>
  <c r="BE520" i="46"/>
  <c r="AZ524" i="1"/>
  <c r="BE527" i="46"/>
  <c r="BF527" i="46"/>
  <c r="AZ522" i="1"/>
  <c r="BE525" i="46"/>
  <c r="AZ513" i="1"/>
  <c r="BE516" i="46"/>
  <c r="BF516" i="46"/>
  <c r="AZ521" i="1"/>
  <c r="BE524" i="46"/>
  <c r="AZ529" i="1"/>
  <c r="BE532" i="46"/>
  <c r="BF532" i="46"/>
  <c r="AZ527" i="1"/>
  <c r="BE530" i="46"/>
  <c r="AZ542" i="1"/>
  <c r="BE545" i="46"/>
  <c r="BF545" i="46"/>
  <c r="AZ539" i="1"/>
  <c r="BE542" i="46"/>
  <c r="BF542" i="46"/>
  <c r="AZ550" i="1"/>
  <c r="BE553" i="46"/>
  <c r="AZ543" i="1"/>
  <c r="BE546" i="46"/>
  <c r="BF546" i="46"/>
  <c r="AZ540" i="1"/>
  <c r="BE543" i="46"/>
  <c r="BF543" i="46"/>
  <c r="AZ551" i="1"/>
  <c r="BE554" i="46"/>
  <c r="AZ537" i="1"/>
  <c r="BE540" i="46"/>
  <c r="BF540" i="46"/>
  <c r="AZ546" i="1"/>
  <c r="BE549" i="46"/>
  <c r="BE544" i="46"/>
  <c r="BL544" i="46"/>
  <c r="AZ535" i="1"/>
  <c r="BE538" i="46"/>
  <c r="BF538" i="46"/>
  <c r="AZ544" i="1"/>
  <c r="BE547" i="46"/>
  <c r="BF547" i="46"/>
  <c r="AZ564" i="1"/>
  <c r="BE567" i="46"/>
  <c r="BF567" i="46"/>
  <c r="B571" i="46"/>
  <c r="X571" i="46"/>
  <c r="B572" i="46"/>
  <c r="V572" i="46"/>
  <c r="AZ561" i="1"/>
  <c r="BE564" i="46"/>
  <c r="BF564" i="46"/>
  <c r="AZ563" i="1"/>
  <c r="BE566" i="46"/>
  <c r="BF566" i="46"/>
  <c r="AZ557" i="1"/>
  <c r="BE560" i="46"/>
  <c r="BF560" i="46"/>
  <c r="AZ558" i="1"/>
  <c r="BE561" i="46"/>
  <c r="BF561" i="46"/>
  <c r="AZ559" i="1"/>
  <c r="BE562" i="46"/>
  <c r="BF562" i="46"/>
  <c r="AZ562" i="1"/>
  <c r="BE565" i="46"/>
  <c r="BF565" i="46"/>
  <c r="AZ560" i="1"/>
  <c r="BE563" i="46"/>
  <c r="BF563" i="46"/>
  <c r="AZ565" i="1"/>
  <c r="BE568" i="46"/>
  <c r="BF568" i="46"/>
  <c r="BE570" i="46"/>
  <c r="BL570" i="46"/>
  <c r="AZ569" i="1"/>
  <c r="BE572" i="46"/>
  <c r="AZ568" i="1"/>
  <c r="BE571" i="46"/>
  <c r="BF571" i="46"/>
  <c r="AZ566" i="1"/>
  <c r="BE569" i="46"/>
  <c r="BF569" i="46"/>
  <c r="AZ114" i="1"/>
  <c r="BE114" i="46"/>
  <c r="BF114" i="46"/>
  <c r="AZ112" i="1"/>
  <c r="BE112" i="46"/>
  <c r="BF112" i="46"/>
  <c r="AZ110" i="1"/>
  <c r="BE110" i="46"/>
  <c r="AZ109" i="1"/>
  <c r="BE109" i="46"/>
  <c r="BF109" i="46"/>
  <c r="AZ111" i="1"/>
  <c r="BE111" i="46"/>
  <c r="BF111" i="46"/>
  <c r="AZ113" i="1"/>
  <c r="BE113" i="46"/>
  <c r="BF113" i="46"/>
  <c r="U46" i="46"/>
  <c r="U65" i="46"/>
  <c r="U488" i="46"/>
  <c r="U489" i="46"/>
  <c r="U491" i="46"/>
  <c r="U545" i="46"/>
  <c r="U572" i="46"/>
  <c r="AC42" i="46"/>
  <c r="AC92" i="46"/>
  <c r="AC101" i="46"/>
  <c r="AC420" i="46"/>
  <c r="AB43" i="46"/>
  <c r="BQ6" i="46"/>
  <c r="BQ198" i="46"/>
  <c r="BQ9" i="46"/>
  <c r="BQ14" i="46"/>
  <c r="BQ11" i="46"/>
  <c r="BQ10" i="46"/>
  <c r="BQ12" i="46"/>
  <c r="BQ15" i="46"/>
  <c r="BQ13" i="46"/>
  <c r="BQ8" i="46"/>
  <c r="BQ16" i="46"/>
  <c r="BQ7" i="46"/>
  <c r="BQ34" i="46"/>
  <c r="AC43" i="46"/>
  <c r="BQ36" i="46"/>
  <c r="BQ35" i="46"/>
  <c r="BQ37" i="46"/>
  <c r="BQ38" i="46"/>
  <c r="BQ24" i="46"/>
  <c r="BQ23" i="46"/>
  <c r="BQ33" i="46"/>
  <c r="BQ40" i="46"/>
  <c r="BQ41" i="46"/>
  <c r="BQ32" i="46"/>
  <c r="BQ42" i="46"/>
  <c r="BQ25" i="46"/>
  <c r="BQ26" i="46"/>
  <c r="BQ39" i="46"/>
  <c r="BQ27" i="46"/>
  <c r="BQ30" i="46"/>
  <c r="BQ29" i="46"/>
  <c r="BQ28" i="46"/>
  <c r="BQ22" i="46"/>
  <c r="BQ31" i="46"/>
  <c r="BQ45" i="46"/>
  <c r="BQ44" i="46"/>
  <c r="BQ46" i="46"/>
  <c r="BQ59" i="46"/>
  <c r="BQ56" i="46"/>
  <c r="BQ54" i="46"/>
  <c r="BQ55" i="46"/>
  <c r="BQ57" i="46"/>
  <c r="BQ58" i="46"/>
  <c r="BQ60" i="46"/>
  <c r="BQ53" i="46"/>
  <c r="BQ64" i="46"/>
  <c r="BQ65" i="46"/>
  <c r="BQ47" i="46"/>
  <c r="BQ62" i="46"/>
  <c r="BQ63" i="46"/>
  <c r="BQ77" i="46"/>
  <c r="BQ78" i="46"/>
  <c r="BQ76" i="46"/>
  <c r="BQ75" i="46"/>
  <c r="BQ73" i="46"/>
  <c r="BQ71" i="46"/>
  <c r="BQ74" i="46"/>
  <c r="BQ72" i="46"/>
  <c r="BQ80" i="46"/>
  <c r="BQ94" i="46"/>
  <c r="BQ91" i="46"/>
  <c r="BQ90" i="46"/>
  <c r="BQ88" i="46"/>
  <c r="BQ89" i="46"/>
  <c r="BQ86" i="46"/>
  <c r="BQ87" i="46"/>
  <c r="BQ92" i="46"/>
  <c r="BQ93" i="46"/>
  <c r="BQ100" i="46"/>
  <c r="BQ103" i="46"/>
  <c r="BQ102" i="46"/>
  <c r="BQ101" i="46"/>
  <c r="BQ298" i="46"/>
  <c r="BQ172" i="46"/>
  <c r="BQ128" i="46"/>
  <c r="BQ166" i="46"/>
  <c r="BQ125" i="46"/>
  <c r="BQ169" i="46"/>
  <c r="BQ164" i="46"/>
  <c r="BQ157" i="46"/>
  <c r="BQ167" i="46"/>
  <c r="BQ170" i="46"/>
  <c r="BQ165" i="46"/>
  <c r="BQ130" i="46"/>
  <c r="BQ149" i="46"/>
  <c r="BQ143" i="46"/>
  <c r="BQ171" i="46"/>
  <c r="BQ132" i="46"/>
  <c r="BQ121" i="46"/>
  <c r="BQ174" i="46"/>
  <c r="BQ123" i="46"/>
  <c r="BQ129" i="46"/>
  <c r="BQ173" i="46"/>
  <c r="BQ120" i="46"/>
  <c r="BQ144" i="46"/>
  <c r="BQ127" i="46"/>
  <c r="BQ154" i="46"/>
  <c r="BQ148" i="46"/>
  <c r="BQ163" i="46"/>
  <c r="BQ126" i="46"/>
  <c r="BQ136" i="46"/>
  <c r="BQ150" i="46"/>
  <c r="BQ133" i="46"/>
  <c r="BQ131" i="46"/>
  <c r="BQ137" i="46"/>
  <c r="BQ160" i="46"/>
  <c r="BQ135" i="46"/>
  <c r="BQ141" i="46"/>
  <c r="BQ139" i="46"/>
  <c r="BQ158" i="46"/>
  <c r="BQ146" i="46"/>
  <c r="BQ140" i="46"/>
  <c r="BQ122" i="46"/>
  <c r="BQ124" i="46"/>
  <c r="BQ145" i="46"/>
  <c r="BQ134" i="46"/>
  <c r="BQ142" i="46"/>
  <c r="BQ159" i="46"/>
  <c r="BQ155" i="46"/>
  <c r="BQ152" i="46"/>
  <c r="BQ162" i="46"/>
  <c r="BQ151" i="46"/>
  <c r="BQ138" i="46"/>
  <c r="BQ161" i="46"/>
  <c r="BQ168" i="46"/>
  <c r="BQ156" i="46"/>
  <c r="BQ153" i="46"/>
  <c r="BQ147" i="46"/>
  <c r="BQ285" i="46"/>
  <c r="BQ242" i="46"/>
  <c r="BQ225" i="46"/>
  <c r="BQ251" i="46"/>
  <c r="BQ342" i="46"/>
  <c r="BQ201" i="46"/>
  <c r="BQ290" i="46"/>
  <c r="BQ340" i="46"/>
  <c r="BQ215" i="46"/>
  <c r="BQ296" i="46"/>
  <c r="BQ348" i="46"/>
  <c r="BQ228" i="46"/>
  <c r="BQ227" i="46"/>
  <c r="BQ344" i="46"/>
  <c r="BQ194" i="46"/>
  <c r="BQ334" i="46"/>
  <c r="BQ289" i="46"/>
  <c r="BQ271" i="46"/>
  <c r="BQ317" i="46"/>
  <c r="BQ270" i="46"/>
  <c r="BQ424" i="46"/>
  <c r="BQ491" i="46"/>
  <c r="BQ235" i="46"/>
  <c r="BQ200" i="46"/>
  <c r="BQ221" i="46"/>
  <c r="BQ351" i="46"/>
  <c r="BQ354" i="46"/>
  <c r="BQ309" i="46"/>
  <c r="BQ353" i="46"/>
  <c r="BQ355" i="46"/>
  <c r="BQ350" i="46"/>
  <c r="BQ252" i="46"/>
  <c r="BQ241" i="46"/>
  <c r="BQ292" i="46"/>
  <c r="BQ293" i="46"/>
  <c r="BQ294" i="46"/>
  <c r="BQ287" i="46"/>
  <c r="BQ327" i="46"/>
  <c r="BQ229" i="46"/>
  <c r="BQ190" i="46"/>
  <c r="BQ196" i="46"/>
  <c r="BQ220" i="46"/>
  <c r="BQ550" i="46"/>
  <c r="BQ186" i="46"/>
  <c r="BQ492" i="46"/>
  <c r="BQ256" i="46"/>
  <c r="BQ257" i="46"/>
  <c r="BQ261" i="46"/>
  <c r="BQ262" i="46"/>
  <c r="BQ260" i="46"/>
  <c r="BQ214" i="46"/>
  <c r="BQ255" i="46"/>
  <c r="BQ259" i="46"/>
  <c r="BQ253" i="46"/>
  <c r="BQ258" i="46"/>
  <c r="BQ264" i="46"/>
  <c r="BQ265" i="46"/>
  <c r="BQ330" i="46"/>
  <c r="BQ226" i="46"/>
  <c r="BQ202" i="46"/>
  <c r="BQ222" i="46"/>
  <c r="BQ199" i="46"/>
  <c r="BQ263" i="46"/>
  <c r="BQ347" i="46"/>
  <c r="BQ216" i="46"/>
  <c r="BQ341" i="46"/>
  <c r="BQ266" i="46"/>
  <c r="BQ254" i="46"/>
  <c r="BQ305" i="46"/>
  <c r="BQ237" i="46"/>
  <c r="BQ321" i="46"/>
  <c r="BQ325" i="46"/>
  <c r="BQ343" i="46"/>
  <c r="BQ210" i="46"/>
  <c r="BQ209" i="46"/>
  <c r="BQ332" i="46"/>
  <c r="BQ283" i="46"/>
  <c r="BQ273" i="46"/>
  <c r="BQ275" i="46"/>
  <c r="BQ277" i="46"/>
  <c r="BQ223" i="46"/>
  <c r="BQ336" i="46"/>
  <c r="BQ274" i="46"/>
  <c r="BQ352" i="46"/>
  <c r="BQ193" i="46"/>
  <c r="BQ299" i="46"/>
  <c r="BQ335" i="46"/>
  <c r="BQ176" i="46"/>
  <c r="BQ246" i="46"/>
  <c r="BQ247" i="46"/>
  <c r="BQ207" i="46"/>
  <c r="BQ224" i="46"/>
  <c r="BQ338" i="46"/>
  <c r="BQ297" i="46"/>
  <c r="BQ329" i="46"/>
  <c r="BQ240" i="46"/>
  <c r="BQ189" i="46"/>
  <c r="BQ288" i="46"/>
  <c r="BQ328" i="46"/>
  <c r="BQ178" i="46"/>
  <c r="BQ236" i="46"/>
  <c r="BQ191" i="46"/>
  <c r="BQ249" i="46"/>
  <c r="BQ243" i="46"/>
  <c r="BQ318" i="46"/>
  <c r="BQ238" i="46"/>
  <c r="BQ272" i="46"/>
  <c r="BQ195" i="46"/>
  <c r="BQ349" i="46"/>
  <c r="BQ326" i="46"/>
  <c r="BQ232" i="46"/>
  <c r="BQ268" i="46"/>
  <c r="BQ231" i="46"/>
  <c r="BQ300" i="46"/>
  <c r="BQ206" i="46"/>
  <c r="BQ208" i="46"/>
  <c r="BQ267" i="46"/>
  <c r="BQ304" i="46"/>
  <c r="BQ284" i="46"/>
  <c r="BQ307" i="46"/>
  <c r="BQ279" i="46"/>
  <c r="BQ306" i="46"/>
  <c r="BQ217" i="46"/>
  <c r="BQ248" i="46"/>
  <c r="BQ322" i="46"/>
  <c r="BQ291" i="46"/>
  <c r="BQ245" i="46"/>
  <c r="BQ316" i="46"/>
  <c r="BQ179" i="46"/>
  <c r="BQ177" i="46"/>
  <c r="BQ244" i="46"/>
  <c r="BQ314" i="46"/>
  <c r="BQ301" i="46"/>
  <c r="BQ311" i="46"/>
  <c r="BQ212" i="46"/>
  <c r="BQ239" i="46"/>
  <c r="BQ313" i="46"/>
  <c r="BQ333" i="46"/>
  <c r="BQ233" i="46"/>
  <c r="BQ234" i="46"/>
  <c r="BQ339" i="46"/>
  <c r="BQ269" i="46"/>
  <c r="BQ308" i="46"/>
  <c r="BQ345" i="46"/>
  <c r="BQ324" i="46"/>
  <c r="BQ312" i="46"/>
  <c r="BQ310" i="46"/>
  <c r="BQ282" i="46"/>
  <c r="BQ182" i="46"/>
  <c r="BQ183" i="46"/>
  <c r="BQ276" i="46"/>
  <c r="BQ181" i="46"/>
  <c r="BQ184" i="46"/>
  <c r="BQ280" i="46"/>
  <c r="BQ187" i="46"/>
  <c r="BQ281" i="46"/>
  <c r="BQ188" i="46"/>
  <c r="BQ213" i="46"/>
  <c r="BQ331" i="46"/>
  <c r="BQ315" i="46"/>
  <c r="BQ180" i="46"/>
  <c r="BQ286" i="46"/>
  <c r="BQ230" i="46"/>
  <c r="BQ205" i="46"/>
  <c r="BQ346" i="46"/>
  <c r="BQ219" i="46"/>
  <c r="BQ302" i="46"/>
  <c r="BQ303" i="46"/>
  <c r="BQ295" i="46"/>
  <c r="BQ185" i="46"/>
  <c r="BQ250" i="46"/>
  <c r="BQ204" i="46"/>
  <c r="BQ203" i="46"/>
  <c r="BQ197" i="46"/>
  <c r="BQ337" i="46"/>
  <c r="BQ192" i="46"/>
  <c r="BQ218" i="46"/>
  <c r="BQ278" i="46"/>
  <c r="BQ371" i="46"/>
  <c r="BQ365" i="46"/>
  <c r="BQ366" i="46"/>
  <c r="BQ368" i="46"/>
  <c r="BQ372" i="46"/>
  <c r="BQ363" i="46"/>
  <c r="BQ362" i="46"/>
  <c r="BQ361" i="46"/>
  <c r="BQ373" i="46"/>
  <c r="BQ364" i="46"/>
  <c r="BQ370" i="46"/>
  <c r="BQ367" i="46"/>
  <c r="BQ369" i="46"/>
  <c r="BQ375" i="46"/>
  <c r="BQ379" i="46"/>
  <c r="BQ374" i="46"/>
  <c r="BQ380" i="46"/>
  <c r="BQ378" i="46"/>
  <c r="BQ376" i="46"/>
  <c r="BQ390" i="46"/>
  <c r="BQ386" i="46"/>
  <c r="BQ391" i="46"/>
  <c r="BQ389" i="46"/>
  <c r="BQ396" i="46"/>
  <c r="BQ387" i="46"/>
  <c r="BQ395" i="46"/>
  <c r="BQ394" i="46"/>
  <c r="BQ388" i="46"/>
  <c r="BQ393" i="46"/>
  <c r="BQ392" i="46"/>
  <c r="BQ398" i="46"/>
  <c r="BQ399" i="46"/>
  <c r="BQ211" i="46"/>
  <c r="BQ400" i="46"/>
  <c r="BQ447" i="46"/>
  <c r="BQ419" i="46"/>
  <c r="BQ416" i="46"/>
  <c r="BQ413" i="46"/>
  <c r="BQ417" i="46"/>
  <c r="BQ418" i="46"/>
  <c r="BQ411" i="46"/>
  <c r="BQ407" i="46"/>
  <c r="BQ412" i="46"/>
  <c r="BQ415" i="46"/>
  <c r="BQ414" i="46"/>
  <c r="BQ410" i="46"/>
  <c r="BQ406" i="46"/>
  <c r="BQ420" i="46"/>
  <c r="BQ408" i="46"/>
  <c r="BQ421" i="46"/>
  <c r="BQ409" i="46"/>
  <c r="BQ457" i="46"/>
  <c r="BQ433" i="46"/>
  <c r="BQ454" i="46"/>
  <c r="BQ455" i="46"/>
  <c r="BQ431" i="46"/>
  <c r="BQ435" i="46"/>
  <c r="BQ451" i="46"/>
  <c r="BQ446" i="46"/>
  <c r="BQ441" i="46"/>
  <c r="BQ448" i="46"/>
  <c r="BQ436" i="46"/>
  <c r="BQ462" i="46"/>
  <c r="BQ434" i="46"/>
  <c r="BQ443" i="46"/>
  <c r="BQ445" i="46"/>
  <c r="BQ428" i="46"/>
  <c r="BQ450" i="46"/>
  <c r="BQ423" i="46"/>
  <c r="BQ459" i="46"/>
  <c r="BQ429" i="46"/>
  <c r="BQ461" i="46"/>
  <c r="BQ458" i="46"/>
  <c r="BQ439" i="46"/>
  <c r="BQ442" i="46"/>
  <c r="BQ452" i="46"/>
  <c r="BQ425" i="46"/>
  <c r="BQ460" i="46"/>
  <c r="BQ437" i="46"/>
  <c r="BQ440" i="46"/>
  <c r="BQ453" i="46"/>
  <c r="BQ456" i="46"/>
  <c r="BQ427" i="46"/>
  <c r="BQ438" i="46"/>
  <c r="BQ432" i="46"/>
  <c r="BQ426" i="46"/>
  <c r="BQ444" i="46"/>
  <c r="BQ449" i="46"/>
  <c r="BQ430" i="46"/>
  <c r="BQ497" i="46"/>
  <c r="BQ484" i="46"/>
  <c r="BQ471" i="46"/>
  <c r="BQ475" i="46"/>
  <c r="BQ469" i="46"/>
  <c r="BQ483" i="46"/>
  <c r="BQ480" i="46"/>
  <c r="BQ479" i="46"/>
  <c r="BQ481" i="46"/>
  <c r="BQ473" i="46"/>
  <c r="BQ482" i="46"/>
  <c r="BQ485" i="46"/>
  <c r="BQ474" i="46"/>
  <c r="BQ476" i="46"/>
  <c r="BQ477" i="46"/>
  <c r="BQ472" i="46"/>
  <c r="BQ468" i="46"/>
  <c r="BQ478" i="46"/>
  <c r="BQ470" i="46"/>
  <c r="BQ488" i="46"/>
  <c r="BQ486" i="46"/>
  <c r="BQ487" i="46"/>
  <c r="BQ490" i="46"/>
  <c r="BQ489" i="46"/>
  <c r="BQ496" i="46"/>
  <c r="BQ494" i="46"/>
  <c r="BQ493" i="46"/>
  <c r="BQ495" i="46"/>
  <c r="BQ508" i="46"/>
  <c r="BQ507" i="46"/>
  <c r="BQ506" i="46"/>
  <c r="BQ504" i="46"/>
  <c r="BQ503" i="46"/>
  <c r="BQ505" i="46"/>
  <c r="BQ510" i="46"/>
  <c r="BQ551" i="46"/>
  <c r="BQ534" i="46"/>
  <c r="BQ529" i="46"/>
  <c r="BQ526" i="46"/>
  <c r="BQ535" i="46"/>
  <c r="BQ531" i="46"/>
  <c r="BQ523" i="46"/>
  <c r="BQ521" i="46"/>
  <c r="BQ528" i="46"/>
  <c r="BQ533" i="46"/>
  <c r="BQ537" i="46"/>
  <c r="BQ518" i="46"/>
  <c r="BQ536" i="46"/>
  <c r="BQ522" i="46"/>
  <c r="BQ520" i="46"/>
  <c r="BQ527" i="46"/>
  <c r="BQ517" i="46"/>
  <c r="BQ519" i="46"/>
  <c r="BQ525" i="46"/>
  <c r="BQ516" i="46"/>
  <c r="BQ524" i="46"/>
  <c r="BQ532" i="46"/>
  <c r="BQ530" i="46"/>
  <c r="BQ545" i="46"/>
  <c r="BQ542" i="46"/>
  <c r="BQ553" i="46"/>
  <c r="BQ546" i="46"/>
  <c r="BQ541" i="46"/>
  <c r="BQ543" i="46"/>
  <c r="BQ554" i="46"/>
  <c r="BQ540" i="46"/>
  <c r="BQ549" i="46"/>
  <c r="BQ548" i="46"/>
  <c r="BQ544" i="46"/>
  <c r="BQ538" i="46"/>
  <c r="BQ552" i="46"/>
  <c r="BQ547" i="46"/>
  <c r="BQ539" i="46"/>
  <c r="BQ567" i="46"/>
  <c r="BQ564" i="46"/>
  <c r="BQ566" i="46"/>
  <c r="BQ560" i="46"/>
  <c r="BQ561" i="46"/>
  <c r="BQ562" i="46"/>
  <c r="BQ565" i="46"/>
  <c r="BQ563" i="46"/>
  <c r="BQ568" i="46"/>
  <c r="BQ570" i="46"/>
  <c r="BQ572" i="46"/>
  <c r="BQ571" i="46"/>
  <c r="BQ569" i="46"/>
  <c r="BQ114" i="46"/>
  <c r="BQ112" i="46"/>
  <c r="BQ110" i="46"/>
  <c r="BQ109" i="46"/>
  <c r="BQ111" i="46"/>
  <c r="BQ113" i="46"/>
  <c r="AV406" i="46"/>
  <c r="AW406" i="46"/>
  <c r="AX406" i="46"/>
  <c r="AZ43" i="1"/>
  <c r="BE43" i="46"/>
  <c r="BF43" i="46"/>
  <c r="AZ61" i="1"/>
  <c r="BE61" i="46"/>
  <c r="AZ79" i="1"/>
  <c r="BE79" i="46"/>
  <c r="BF79" i="46"/>
  <c r="AZ175" i="1"/>
  <c r="BE175" i="46"/>
  <c r="BF175" i="46"/>
  <c r="AZ394" i="1"/>
  <c r="BE397" i="46"/>
  <c r="BF397" i="46"/>
  <c r="AZ419" i="1"/>
  <c r="BE422" i="46"/>
  <c r="AZ506" i="1"/>
  <c r="BE509" i="46"/>
  <c r="BF509" i="46"/>
  <c r="BG573" i="46"/>
  <c r="BG559" i="46"/>
  <c r="BG555" i="46"/>
  <c r="BG515" i="46"/>
  <c r="BG511" i="46"/>
  <c r="BG502" i="46"/>
  <c r="BG498" i="46"/>
  <c r="BG467" i="46"/>
  <c r="BG463" i="46"/>
  <c r="BG405" i="46"/>
  <c r="BG401" i="46"/>
  <c r="BG385" i="46"/>
  <c r="BG381" i="46"/>
  <c r="BG360" i="46"/>
  <c r="BG356" i="46"/>
  <c r="BG119" i="46"/>
  <c r="BG115" i="46"/>
  <c r="BG108" i="46"/>
  <c r="BG104" i="46"/>
  <c r="BG99" i="46"/>
  <c r="BG95" i="46"/>
  <c r="BG85" i="46"/>
  <c r="BG81" i="46"/>
  <c r="BG70" i="46"/>
  <c r="BG66" i="46"/>
  <c r="BG52" i="46"/>
  <c r="BG48" i="46"/>
  <c r="BG21" i="46"/>
  <c r="BG17" i="46"/>
  <c r="C385" i="49"/>
  <c r="C197" i="49"/>
  <c r="C323" i="46"/>
  <c r="C494" i="49"/>
  <c r="C493" i="49"/>
  <c r="C492" i="49"/>
  <c r="C491" i="49"/>
  <c r="C490" i="49"/>
  <c r="C489" i="49"/>
  <c r="C488" i="49"/>
  <c r="C487" i="49"/>
  <c r="C486" i="49"/>
  <c r="C485" i="49"/>
  <c r="C484" i="49"/>
  <c r="C483" i="49"/>
  <c r="C482" i="49"/>
  <c r="C481" i="49"/>
  <c r="C480" i="49"/>
  <c r="C479" i="49"/>
  <c r="C478" i="49"/>
  <c r="C477" i="49"/>
  <c r="C476" i="49"/>
  <c r="C475" i="49"/>
  <c r="C474" i="49"/>
  <c r="C473" i="49"/>
  <c r="C472" i="49"/>
  <c r="C471" i="49"/>
  <c r="C470" i="49"/>
  <c r="C469" i="49"/>
  <c r="C468" i="49"/>
  <c r="C467" i="49"/>
  <c r="C466" i="49"/>
  <c r="C465" i="49"/>
  <c r="C464" i="49"/>
  <c r="C463" i="49"/>
  <c r="C462" i="49"/>
  <c r="C461" i="49"/>
  <c r="C460" i="49"/>
  <c r="C459" i="49"/>
  <c r="C458" i="49"/>
  <c r="C457" i="49"/>
  <c r="C456" i="49"/>
  <c r="C455" i="49"/>
  <c r="C454" i="49"/>
  <c r="C453" i="49"/>
  <c r="C452" i="49"/>
  <c r="C451" i="49"/>
  <c r="C450" i="49"/>
  <c r="C449" i="49"/>
  <c r="C448" i="49"/>
  <c r="C447" i="49"/>
  <c r="C446" i="49"/>
  <c r="C445" i="49"/>
  <c r="C444" i="49"/>
  <c r="C443" i="49"/>
  <c r="C442" i="49"/>
  <c r="C441" i="49"/>
  <c r="C440" i="49"/>
  <c r="C439" i="49"/>
  <c r="C438" i="49"/>
  <c r="C437" i="49"/>
  <c r="C436" i="49"/>
  <c r="C435" i="49"/>
  <c r="C434" i="49"/>
  <c r="C433" i="49"/>
  <c r="C432" i="49"/>
  <c r="C431" i="49"/>
  <c r="C430" i="49"/>
  <c r="C429" i="49"/>
  <c r="C428" i="49"/>
  <c r="C427" i="49"/>
  <c r="C426" i="49"/>
  <c r="C425" i="49"/>
  <c r="C424" i="49"/>
  <c r="C423" i="49"/>
  <c r="C422" i="49"/>
  <c r="C421" i="49"/>
  <c r="C420" i="49"/>
  <c r="C419" i="49"/>
  <c r="C418" i="49"/>
  <c r="C417" i="49"/>
  <c r="C416" i="49"/>
  <c r="C415" i="49"/>
  <c r="C414" i="49"/>
  <c r="C413" i="49"/>
  <c r="C412" i="49"/>
  <c r="C411" i="49"/>
  <c r="C410" i="49"/>
  <c r="C409" i="49"/>
  <c r="C408" i="49"/>
  <c r="C407" i="49"/>
  <c r="C406" i="49"/>
  <c r="C405" i="49"/>
  <c r="C404" i="49"/>
  <c r="C403" i="49"/>
  <c r="C402" i="49"/>
  <c r="C401" i="49"/>
  <c r="C400" i="49"/>
  <c r="C399" i="49"/>
  <c r="C398" i="49"/>
  <c r="C397" i="49"/>
  <c r="C396" i="49"/>
  <c r="C395" i="49"/>
  <c r="C394" i="49"/>
  <c r="C393" i="49"/>
  <c r="C392" i="49"/>
  <c r="C391" i="49"/>
  <c r="C390" i="49"/>
  <c r="C389" i="49"/>
  <c r="C388" i="49"/>
  <c r="C387" i="49"/>
  <c r="C386" i="49"/>
  <c r="C384" i="49"/>
  <c r="C383" i="49"/>
  <c r="C382" i="49"/>
  <c r="C381" i="49"/>
  <c r="C380" i="49"/>
  <c r="C379" i="49"/>
  <c r="C378" i="49"/>
  <c r="C377" i="49"/>
  <c r="C376" i="49"/>
  <c r="C375" i="49"/>
  <c r="C374" i="49"/>
  <c r="C373" i="49"/>
  <c r="C372" i="49"/>
  <c r="C371" i="49"/>
  <c r="C370" i="49"/>
  <c r="C369" i="49"/>
  <c r="C368" i="49"/>
  <c r="C367" i="49"/>
  <c r="C366" i="49"/>
  <c r="C365" i="49"/>
  <c r="C364" i="49"/>
  <c r="C363" i="49"/>
  <c r="C362" i="49"/>
  <c r="C361" i="49"/>
  <c r="C360" i="49"/>
  <c r="C359" i="49"/>
  <c r="C358" i="49"/>
  <c r="C357" i="49"/>
  <c r="C356" i="49"/>
  <c r="C355" i="49"/>
  <c r="C354" i="49"/>
  <c r="C353" i="49"/>
  <c r="C352" i="49"/>
  <c r="C351" i="49"/>
  <c r="C350" i="49"/>
  <c r="C349" i="49"/>
  <c r="C348" i="49"/>
  <c r="C347" i="49"/>
  <c r="C346" i="49"/>
  <c r="C345" i="49"/>
  <c r="C344" i="49"/>
  <c r="C343" i="49"/>
  <c r="C342" i="49"/>
  <c r="C341" i="49"/>
  <c r="C340" i="49"/>
  <c r="C339" i="49"/>
  <c r="C338" i="49"/>
  <c r="C337" i="49"/>
  <c r="C336" i="49"/>
  <c r="C335" i="49"/>
  <c r="C334" i="49"/>
  <c r="C333" i="49"/>
  <c r="C332" i="49"/>
  <c r="C331" i="49"/>
  <c r="C329" i="49"/>
  <c r="C328" i="49"/>
  <c r="C327" i="49"/>
  <c r="C326" i="49"/>
  <c r="C325" i="49"/>
  <c r="C324" i="49"/>
  <c r="C323" i="49"/>
  <c r="C322" i="49"/>
  <c r="C321" i="49"/>
  <c r="C320" i="49"/>
  <c r="C319" i="49"/>
  <c r="C318" i="49"/>
  <c r="C317" i="49"/>
  <c r="C316" i="49"/>
  <c r="C315" i="49"/>
  <c r="C314" i="49"/>
  <c r="C313" i="49"/>
  <c r="C312" i="49"/>
  <c r="C311" i="49"/>
  <c r="C310" i="49"/>
  <c r="C309" i="49"/>
  <c r="C308" i="49"/>
  <c r="C307" i="49"/>
  <c r="C306" i="49"/>
  <c r="C305" i="49"/>
  <c r="C304" i="49"/>
  <c r="C303" i="49"/>
  <c r="C302" i="49"/>
  <c r="C301" i="49"/>
  <c r="C300" i="49"/>
  <c r="C299" i="49"/>
  <c r="C298" i="49"/>
  <c r="C297" i="49"/>
  <c r="C296" i="49"/>
  <c r="C295" i="49"/>
  <c r="C294" i="49"/>
  <c r="C293" i="49"/>
  <c r="C292" i="49"/>
  <c r="C291" i="49"/>
  <c r="C290" i="49"/>
  <c r="C289" i="49"/>
  <c r="C288" i="49"/>
  <c r="C287" i="49"/>
  <c r="C286" i="49"/>
  <c r="C285" i="49"/>
  <c r="C284" i="49"/>
  <c r="C283" i="49"/>
  <c r="C282" i="49"/>
  <c r="C281" i="49"/>
  <c r="C280" i="49"/>
  <c r="C279" i="49"/>
  <c r="C278" i="49"/>
  <c r="C277" i="49"/>
  <c r="C276" i="49"/>
  <c r="C275" i="49"/>
  <c r="C274" i="49"/>
  <c r="C273" i="49"/>
  <c r="C272" i="49"/>
  <c r="C271" i="49"/>
  <c r="C270" i="49"/>
  <c r="C269" i="49"/>
  <c r="C268" i="49"/>
  <c r="C267" i="49"/>
  <c r="C266" i="49"/>
  <c r="C265" i="49"/>
  <c r="C264" i="49"/>
  <c r="C263" i="49"/>
  <c r="C262" i="49"/>
  <c r="C261" i="49"/>
  <c r="C260" i="49"/>
  <c r="C259" i="49"/>
  <c r="C258" i="49"/>
  <c r="C257" i="49"/>
  <c r="C256" i="49"/>
  <c r="C255" i="49"/>
  <c r="C254" i="49"/>
  <c r="C253" i="49"/>
  <c r="C252" i="49"/>
  <c r="C251" i="49"/>
  <c r="C250" i="49"/>
  <c r="C249" i="49"/>
  <c r="C248" i="49"/>
  <c r="C247" i="49"/>
  <c r="C246" i="49"/>
  <c r="C245" i="49"/>
  <c r="C244" i="49"/>
  <c r="C243" i="49"/>
  <c r="C242" i="49"/>
  <c r="C241" i="49"/>
  <c r="C240" i="49"/>
  <c r="C239" i="49"/>
  <c r="C238" i="49"/>
  <c r="C237" i="49"/>
  <c r="C236" i="49"/>
  <c r="C235" i="49"/>
  <c r="C234" i="49"/>
  <c r="C233" i="49"/>
  <c r="C232" i="49"/>
  <c r="C231" i="49"/>
  <c r="C230" i="49"/>
  <c r="C229" i="49"/>
  <c r="C228" i="49"/>
  <c r="C227" i="49"/>
  <c r="C226" i="49"/>
  <c r="C225" i="49"/>
  <c r="C224" i="49"/>
  <c r="C223" i="49"/>
  <c r="C222" i="49"/>
  <c r="C221" i="49"/>
  <c r="C220" i="49"/>
  <c r="C219" i="49"/>
  <c r="C218" i="49"/>
  <c r="C217" i="49"/>
  <c r="C216" i="49"/>
  <c r="C215" i="49"/>
  <c r="C214" i="49"/>
  <c r="C213" i="49"/>
  <c r="C212" i="49"/>
  <c r="C211" i="49"/>
  <c r="C210" i="49"/>
  <c r="C209" i="49"/>
  <c r="C208" i="49"/>
  <c r="C207" i="49"/>
  <c r="C206" i="49"/>
  <c r="C202" i="49"/>
  <c r="C201" i="49"/>
  <c r="C200" i="49"/>
  <c r="C199" i="49"/>
  <c r="C198" i="49"/>
  <c r="C196" i="49"/>
  <c r="C195" i="49"/>
  <c r="C194" i="49"/>
  <c r="C193" i="49"/>
  <c r="C192" i="49"/>
  <c r="C191" i="49"/>
  <c r="C190" i="49"/>
  <c r="C189" i="49"/>
  <c r="C188" i="49"/>
  <c r="C187" i="49"/>
  <c r="C186" i="49"/>
  <c r="C185" i="49"/>
  <c r="C184" i="49"/>
  <c r="C183" i="49"/>
  <c r="C182" i="49"/>
  <c r="C181" i="49"/>
  <c r="C180" i="49"/>
  <c r="C179" i="49"/>
  <c r="C178" i="49"/>
  <c r="C177" i="49"/>
  <c r="C176" i="49"/>
  <c r="C175" i="49"/>
  <c r="C174" i="49"/>
  <c r="C173" i="49"/>
  <c r="C172" i="49"/>
  <c r="C171" i="49"/>
  <c r="C170" i="49"/>
  <c r="C169" i="49"/>
  <c r="C168" i="49"/>
  <c r="C167" i="49"/>
  <c r="C166" i="49"/>
  <c r="C165" i="49"/>
  <c r="C164" i="49"/>
  <c r="C163" i="49"/>
  <c r="C162" i="49"/>
  <c r="C161" i="49"/>
  <c r="C160" i="49"/>
  <c r="C159" i="49"/>
  <c r="C158" i="49"/>
  <c r="C157" i="49"/>
  <c r="C156" i="49"/>
  <c r="C155" i="49"/>
  <c r="C154" i="49"/>
  <c r="C153" i="49"/>
  <c r="C152" i="49"/>
  <c r="C151" i="49"/>
  <c r="C150" i="49"/>
  <c r="C149" i="49"/>
  <c r="C148" i="49"/>
  <c r="C147" i="49"/>
  <c r="C146" i="49"/>
  <c r="C145" i="49"/>
  <c r="C144" i="49"/>
  <c r="C143" i="49"/>
  <c r="C142" i="49"/>
  <c r="C141" i="49"/>
  <c r="C140" i="49"/>
  <c r="C139" i="49"/>
  <c r="C138" i="49"/>
  <c r="C137" i="49"/>
  <c r="C136" i="49"/>
  <c r="C135" i="49"/>
  <c r="C134" i="49"/>
  <c r="C133" i="49"/>
  <c r="C132" i="49"/>
  <c r="C131" i="49"/>
  <c r="C130" i="49"/>
  <c r="C129" i="49"/>
  <c r="C128" i="49"/>
  <c r="C127" i="49"/>
  <c r="C126" i="49"/>
  <c r="C125" i="49"/>
  <c r="C124" i="49"/>
  <c r="C123" i="49"/>
  <c r="C122" i="49"/>
  <c r="C121" i="49"/>
  <c r="C120" i="49"/>
  <c r="C119" i="49"/>
  <c r="C118" i="49"/>
  <c r="C117" i="49"/>
  <c r="C116" i="49"/>
  <c r="C115" i="49"/>
  <c r="C114" i="49"/>
  <c r="C113" i="49"/>
  <c r="C112" i="49"/>
  <c r="C111" i="49"/>
  <c r="C110" i="49"/>
  <c r="C109" i="49"/>
  <c r="C108" i="49"/>
  <c r="C107" i="49"/>
  <c r="C106" i="49"/>
  <c r="C105" i="49"/>
  <c r="C104" i="49"/>
  <c r="C103" i="49"/>
  <c r="C102" i="49"/>
  <c r="C101" i="49"/>
  <c r="C100" i="49"/>
  <c r="C99" i="49"/>
  <c r="C98" i="49"/>
  <c r="C97" i="49"/>
  <c r="C96" i="49"/>
  <c r="C95" i="49"/>
  <c r="C94" i="49"/>
  <c r="C93" i="49"/>
  <c r="C92" i="49"/>
  <c r="C91" i="49"/>
  <c r="C90" i="49"/>
  <c r="C89" i="49"/>
  <c r="C88" i="49"/>
  <c r="C87" i="49"/>
  <c r="C86" i="49"/>
  <c r="C85" i="49"/>
  <c r="C84" i="49"/>
  <c r="C83" i="49"/>
  <c r="C82" i="49"/>
  <c r="C81" i="49"/>
  <c r="C80" i="49"/>
  <c r="C79" i="49"/>
  <c r="C78" i="49"/>
  <c r="C77" i="49"/>
  <c r="C76" i="49"/>
  <c r="C75" i="49"/>
  <c r="C74" i="49"/>
  <c r="C73" i="49"/>
  <c r="C72" i="49"/>
  <c r="C71" i="49"/>
  <c r="C70" i="49"/>
  <c r="C69" i="49"/>
  <c r="C68" i="49"/>
  <c r="C67" i="49"/>
  <c r="C66" i="49"/>
  <c r="C65" i="49"/>
  <c r="C64" i="49"/>
  <c r="C63" i="49"/>
  <c r="C62" i="49"/>
  <c r="C61" i="49"/>
  <c r="C60" i="49"/>
  <c r="C59" i="49"/>
  <c r="C58" i="49"/>
  <c r="C57" i="49"/>
  <c r="C56" i="49"/>
  <c r="C55" i="49"/>
  <c r="C54" i="49"/>
  <c r="C53" i="49"/>
  <c r="C52" i="49"/>
  <c r="C51" i="49"/>
  <c r="C50" i="49"/>
  <c r="C49" i="49"/>
  <c r="C48" i="49"/>
  <c r="C47" i="49"/>
  <c r="C46" i="49"/>
  <c r="C45" i="49"/>
  <c r="C44" i="49"/>
  <c r="C43" i="49"/>
  <c r="C42" i="49"/>
  <c r="C41" i="49"/>
  <c r="C40" i="49"/>
  <c r="C39" i="49"/>
  <c r="C38" i="49"/>
  <c r="C37" i="49"/>
  <c r="C36" i="49"/>
  <c r="C35" i="49"/>
  <c r="C34" i="49"/>
  <c r="C33" i="49"/>
  <c r="C32" i="49"/>
  <c r="C31" i="49"/>
  <c r="C30" i="49"/>
  <c r="C29" i="49"/>
  <c r="C28" i="49"/>
  <c r="C27" i="49"/>
  <c r="C26" i="49"/>
  <c r="C25" i="49"/>
  <c r="C24" i="49"/>
  <c r="C23" i="49"/>
  <c r="C22" i="49"/>
  <c r="C21" i="49"/>
  <c r="C20" i="49"/>
  <c r="C19" i="49"/>
  <c r="C18" i="49"/>
  <c r="C17" i="49"/>
  <c r="C16" i="49"/>
  <c r="C15" i="49"/>
  <c r="C14" i="49"/>
  <c r="C13" i="49"/>
  <c r="C12" i="49"/>
  <c r="C11" i="49"/>
  <c r="C10" i="49"/>
  <c r="C9" i="49"/>
  <c r="C8" i="49"/>
  <c r="C7" i="49"/>
  <c r="C6" i="49"/>
  <c r="C5" i="49"/>
  <c r="C496" i="49"/>
  <c r="C6" i="1"/>
  <c r="B6" i="1"/>
  <c r="N6" i="1"/>
  <c r="C7" i="1"/>
  <c r="B7" i="1"/>
  <c r="N7" i="1"/>
  <c r="C8" i="1"/>
  <c r="B8" i="1"/>
  <c r="N8" i="1"/>
  <c r="C9" i="1"/>
  <c r="B9" i="1"/>
  <c r="N9" i="1"/>
  <c r="C10" i="1"/>
  <c r="B10" i="1"/>
  <c r="N10" i="1"/>
  <c r="C11" i="1"/>
  <c r="B11" i="1"/>
  <c r="N11" i="1"/>
  <c r="C12" i="1"/>
  <c r="B12" i="1"/>
  <c r="N12" i="1"/>
  <c r="C13" i="1"/>
  <c r="B13" i="1"/>
  <c r="N13" i="1"/>
  <c r="C14" i="1"/>
  <c r="B14" i="1"/>
  <c r="N14" i="1"/>
  <c r="C15" i="1"/>
  <c r="B15" i="1"/>
  <c r="N15" i="1"/>
  <c r="N16" i="1"/>
  <c r="N19" i="1"/>
  <c r="J17" i="1"/>
  <c r="G6" i="1"/>
  <c r="G7" i="1"/>
  <c r="G8" i="1"/>
  <c r="G9" i="1"/>
  <c r="G10" i="1"/>
  <c r="G11" i="1"/>
  <c r="G12" i="1"/>
  <c r="G13" i="1"/>
  <c r="G14" i="1"/>
  <c r="G15" i="1"/>
  <c r="G16" i="1"/>
  <c r="G19" i="1"/>
  <c r="J6" i="1"/>
  <c r="J7" i="1"/>
  <c r="J8" i="1"/>
  <c r="J9" i="1"/>
  <c r="J10" i="1"/>
  <c r="J11" i="1"/>
  <c r="J12" i="1"/>
  <c r="J13" i="1"/>
  <c r="J14" i="1"/>
  <c r="J15" i="1"/>
  <c r="C16" i="1"/>
  <c r="J16" i="1"/>
  <c r="J19" i="1"/>
  <c r="B19" i="1"/>
  <c r="L17" i="1"/>
  <c r="L18" i="1"/>
  <c r="L6" i="1"/>
  <c r="L7" i="1"/>
  <c r="L8" i="1"/>
  <c r="L9" i="1"/>
  <c r="L10" i="1"/>
  <c r="L11" i="1"/>
  <c r="L12" i="1"/>
  <c r="L13" i="1"/>
  <c r="L14" i="1"/>
  <c r="L15" i="1"/>
  <c r="L16" i="1"/>
  <c r="L19" i="1"/>
  <c r="N20" i="1"/>
  <c r="S17" i="1"/>
  <c r="S18" i="1"/>
  <c r="S6" i="1"/>
  <c r="W6" i="1"/>
  <c r="S7" i="1"/>
  <c r="S8" i="1"/>
  <c r="S9" i="1"/>
  <c r="S10" i="1"/>
  <c r="S11" i="1"/>
  <c r="S12" i="1"/>
  <c r="S13" i="1"/>
  <c r="S14" i="1"/>
  <c r="S15" i="1"/>
  <c r="S16" i="1"/>
  <c r="S19" i="1"/>
  <c r="W7" i="1"/>
  <c r="W8" i="1"/>
  <c r="W9" i="1"/>
  <c r="W10" i="1"/>
  <c r="W11" i="1"/>
  <c r="W12" i="1"/>
  <c r="W13" i="1"/>
  <c r="W14" i="1"/>
  <c r="W15" i="1"/>
  <c r="W16" i="1"/>
  <c r="W17" i="1"/>
  <c r="W19" i="1"/>
  <c r="W20" i="1"/>
  <c r="AA6" i="1"/>
  <c r="O6" i="1"/>
  <c r="O7" i="1"/>
  <c r="O8" i="1"/>
  <c r="O9" i="1"/>
  <c r="O10" i="1"/>
  <c r="O11" i="1"/>
  <c r="O12" i="1"/>
  <c r="O13" i="1"/>
  <c r="O15" i="1"/>
  <c r="O16" i="1"/>
  <c r="O19" i="1"/>
  <c r="O20" i="1"/>
  <c r="T17" i="1"/>
  <c r="T18" i="1"/>
  <c r="T6" i="1"/>
  <c r="X6" i="1"/>
  <c r="T7" i="1"/>
  <c r="T8" i="1"/>
  <c r="T9" i="1"/>
  <c r="T10" i="1"/>
  <c r="T11" i="1"/>
  <c r="T12" i="1"/>
  <c r="T13" i="1"/>
  <c r="T14" i="1"/>
  <c r="T15" i="1"/>
  <c r="T16" i="1"/>
  <c r="T19" i="1"/>
  <c r="X7" i="1"/>
  <c r="X8" i="1"/>
  <c r="X9" i="1"/>
  <c r="X10" i="1"/>
  <c r="X11" i="1"/>
  <c r="X12" i="1"/>
  <c r="X13" i="1"/>
  <c r="X14" i="1"/>
  <c r="X15" i="1"/>
  <c r="X16" i="1"/>
  <c r="X17" i="1"/>
  <c r="X19" i="1"/>
  <c r="X20" i="1"/>
  <c r="AB6" i="1"/>
  <c r="P6" i="1"/>
  <c r="P7" i="1"/>
  <c r="P8" i="1"/>
  <c r="P9" i="1"/>
  <c r="P10" i="1"/>
  <c r="P11" i="1"/>
  <c r="P12" i="1"/>
  <c r="P13" i="1"/>
  <c r="P14" i="1"/>
  <c r="P15" i="1"/>
  <c r="P16" i="1"/>
  <c r="P19" i="1"/>
  <c r="P20" i="1"/>
  <c r="U17" i="1"/>
  <c r="U18" i="1"/>
  <c r="U6" i="1"/>
  <c r="Y6" i="1"/>
  <c r="U7" i="1"/>
  <c r="U8" i="1"/>
  <c r="U9" i="1"/>
  <c r="U10" i="1"/>
  <c r="U11" i="1"/>
  <c r="U12" i="1"/>
  <c r="U13" i="1"/>
  <c r="U14" i="1"/>
  <c r="U15" i="1"/>
  <c r="U16" i="1"/>
  <c r="U19" i="1"/>
  <c r="Y7" i="1"/>
  <c r="Y8" i="1"/>
  <c r="Y9" i="1"/>
  <c r="Y10" i="1"/>
  <c r="Y11" i="1"/>
  <c r="Y12" i="1"/>
  <c r="Y13" i="1"/>
  <c r="Y14" i="1"/>
  <c r="Y15" i="1"/>
  <c r="Y16" i="1"/>
  <c r="Y17" i="1"/>
  <c r="Y19" i="1"/>
  <c r="Y20" i="1"/>
  <c r="AC6" i="1"/>
  <c r="Q6" i="1"/>
  <c r="Q7" i="1"/>
  <c r="Q8" i="1"/>
  <c r="Q9" i="1"/>
  <c r="Q10" i="1"/>
  <c r="Q11" i="1"/>
  <c r="Q12" i="1"/>
  <c r="Q13" i="1"/>
  <c r="Q14" i="1"/>
  <c r="Q15" i="1"/>
  <c r="Q16" i="1"/>
  <c r="Q19" i="1"/>
  <c r="Q20" i="1"/>
  <c r="V17" i="1"/>
  <c r="V18" i="1"/>
  <c r="V6" i="1"/>
  <c r="Z6" i="1"/>
  <c r="V7" i="1"/>
  <c r="V8" i="1"/>
  <c r="V9" i="1"/>
  <c r="V10" i="1"/>
  <c r="V11" i="1"/>
  <c r="V12" i="1"/>
  <c r="V13" i="1"/>
  <c r="V14" i="1"/>
  <c r="V15" i="1"/>
  <c r="V16" i="1"/>
  <c r="V19" i="1"/>
  <c r="Z7" i="1"/>
  <c r="Z8" i="1"/>
  <c r="Z9" i="1"/>
  <c r="Z10" i="1"/>
  <c r="Z11" i="1"/>
  <c r="Z12" i="1"/>
  <c r="Z13" i="1"/>
  <c r="Z14" i="1"/>
  <c r="Z15" i="1"/>
  <c r="Z16" i="1"/>
  <c r="Z17" i="1"/>
  <c r="Z19" i="1"/>
  <c r="Z20" i="1"/>
  <c r="AD6" i="1"/>
  <c r="AE6" i="1"/>
  <c r="AF6" i="1"/>
  <c r="AG6" i="1"/>
  <c r="AH6" i="1"/>
  <c r="AI6" i="1"/>
  <c r="AA7" i="1"/>
  <c r="AB7" i="1"/>
  <c r="AC7" i="1"/>
  <c r="AD7" i="1"/>
  <c r="AE7" i="1"/>
  <c r="AF7" i="1"/>
  <c r="AG7" i="1"/>
  <c r="AH7" i="1"/>
  <c r="AI7" i="1"/>
  <c r="AA8" i="1"/>
  <c r="AB8" i="1"/>
  <c r="AC8" i="1"/>
  <c r="AD8" i="1"/>
  <c r="AE8" i="1"/>
  <c r="AF8" i="1"/>
  <c r="AG8" i="1"/>
  <c r="AH8" i="1"/>
  <c r="AI8" i="1"/>
  <c r="AA9" i="1"/>
  <c r="AB9" i="1"/>
  <c r="AC9" i="1"/>
  <c r="AD9" i="1"/>
  <c r="AE9" i="1"/>
  <c r="AF9" i="1"/>
  <c r="AG9" i="1"/>
  <c r="AH9" i="1"/>
  <c r="AI9" i="1"/>
  <c r="AA10" i="1"/>
  <c r="AB10" i="1"/>
  <c r="AC10" i="1"/>
  <c r="AD10" i="1"/>
  <c r="AE10" i="1"/>
  <c r="AF10" i="1"/>
  <c r="AG10" i="1"/>
  <c r="AH10" i="1"/>
  <c r="AI10" i="1"/>
  <c r="AA11" i="1"/>
  <c r="AB11" i="1"/>
  <c r="AC11" i="1"/>
  <c r="AD11" i="1"/>
  <c r="AE11" i="1"/>
  <c r="AF11" i="1"/>
  <c r="AG11" i="1"/>
  <c r="AH11" i="1"/>
  <c r="AI11" i="1"/>
  <c r="AA12" i="1"/>
  <c r="AB12" i="1"/>
  <c r="AC12" i="1"/>
  <c r="AD12" i="1"/>
  <c r="AE12" i="1"/>
  <c r="AF12" i="1"/>
  <c r="AG12" i="1"/>
  <c r="AH12" i="1"/>
  <c r="AI12" i="1"/>
  <c r="AA13" i="1"/>
  <c r="AB13" i="1"/>
  <c r="AC13" i="1"/>
  <c r="AD13" i="1"/>
  <c r="AE13" i="1"/>
  <c r="AF13" i="1"/>
  <c r="AG13" i="1"/>
  <c r="AH13" i="1"/>
  <c r="AI13" i="1"/>
  <c r="AA14" i="1"/>
  <c r="AB14" i="1"/>
  <c r="AC14" i="1"/>
  <c r="AD14" i="1"/>
  <c r="AE14" i="1"/>
  <c r="AF14" i="1"/>
  <c r="AG14" i="1"/>
  <c r="AH14" i="1"/>
  <c r="AI14" i="1"/>
  <c r="AA15" i="1"/>
  <c r="AB15" i="1"/>
  <c r="AC15" i="1"/>
  <c r="AD15" i="1"/>
  <c r="AE15" i="1"/>
  <c r="AF15" i="1"/>
  <c r="AG15" i="1"/>
  <c r="AH15" i="1"/>
  <c r="AI15" i="1"/>
  <c r="AA16" i="1"/>
  <c r="AB16" i="1"/>
  <c r="AC16" i="1"/>
  <c r="AD16" i="1"/>
  <c r="AE16" i="1"/>
  <c r="AF16" i="1"/>
  <c r="AG16" i="1"/>
  <c r="AH16" i="1"/>
  <c r="AI16" i="1"/>
  <c r="C22" i="1"/>
  <c r="B22" i="1"/>
  <c r="N22" i="1"/>
  <c r="C23" i="1"/>
  <c r="B23" i="1"/>
  <c r="N23" i="1"/>
  <c r="C24" i="1"/>
  <c r="B24" i="1"/>
  <c r="N24" i="1"/>
  <c r="C25" i="1"/>
  <c r="B25" i="1"/>
  <c r="N25" i="1"/>
  <c r="C26" i="1"/>
  <c r="B26" i="1"/>
  <c r="N26" i="1"/>
  <c r="C27" i="1"/>
  <c r="B27" i="1"/>
  <c r="N27" i="1"/>
  <c r="C28" i="1"/>
  <c r="B28" i="1"/>
  <c r="N28" i="1"/>
  <c r="C29" i="1"/>
  <c r="B29" i="1"/>
  <c r="N29" i="1"/>
  <c r="C30" i="1"/>
  <c r="B30" i="1"/>
  <c r="N30" i="1"/>
  <c r="C31" i="1"/>
  <c r="B31" i="1"/>
  <c r="N31" i="1"/>
  <c r="C32" i="1"/>
  <c r="B32" i="1"/>
  <c r="N32" i="1"/>
  <c r="C33" i="1"/>
  <c r="B33" i="1"/>
  <c r="N33" i="1"/>
  <c r="C34" i="1"/>
  <c r="B34" i="1"/>
  <c r="N34" i="1"/>
  <c r="C35" i="1"/>
  <c r="B35" i="1"/>
  <c r="N35" i="1"/>
  <c r="C36" i="1"/>
  <c r="B36" i="1"/>
  <c r="N36" i="1"/>
  <c r="C37" i="1"/>
  <c r="B37" i="1"/>
  <c r="N37" i="1"/>
  <c r="C38" i="1"/>
  <c r="B38" i="1"/>
  <c r="N38" i="1"/>
  <c r="C39" i="1"/>
  <c r="B39" i="1"/>
  <c r="N39" i="1"/>
  <c r="C40" i="1"/>
  <c r="B40" i="1"/>
  <c r="N40" i="1"/>
  <c r="C41" i="1"/>
  <c r="B41" i="1"/>
  <c r="N41" i="1"/>
  <c r="N42" i="1"/>
  <c r="N43" i="1"/>
  <c r="C44" i="1"/>
  <c r="B44" i="1"/>
  <c r="N44" i="1"/>
  <c r="C45" i="1"/>
  <c r="B45" i="1"/>
  <c r="N45" i="1"/>
  <c r="C46" i="1"/>
  <c r="B46" i="1"/>
  <c r="N46" i="1"/>
  <c r="C47" i="1"/>
  <c r="B47" i="1"/>
  <c r="N47" i="1"/>
  <c r="N50" i="1"/>
  <c r="J44" i="1"/>
  <c r="G22" i="1"/>
  <c r="G23" i="1"/>
  <c r="G24" i="1"/>
  <c r="G25" i="1"/>
  <c r="G26" i="1"/>
  <c r="G27" i="1"/>
  <c r="G28" i="1"/>
  <c r="G29" i="1"/>
  <c r="G30" i="1"/>
  <c r="G31" i="1"/>
  <c r="G32" i="1"/>
  <c r="G33" i="1"/>
  <c r="G34" i="1"/>
  <c r="G35" i="1"/>
  <c r="G36" i="1"/>
  <c r="G37" i="1"/>
  <c r="G38" i="1"/>
  <c r="G39" i="1"/>
  <c r="G40" i="1"/>
  <c r="G41" i="1"/>
  <c r="G42" i="1"/>
  <c r="G43" i="1"/>
  <c r="G50" i="1"/>
  <c r="J22" i="1"/>
  <c r="J23" i="1"/>
  <c r="J24" i="1"/>
  <c r="J25" i="1"/>
  <c r="J26" i="1"/>
  <c r="J27" i="1"/>
  <c r="J28" i="1"/>
  <c r="J29" i="1"/>
  <c r="J30" i="1"/>
  <c r="J31" i="1"/>
  <c r="J32" i="1"/>
  <c r="J33" i="1"/>
  <c r="J34" i="1"/>
  <c r="J35" i="1"/>
  <c r="J36" i="1"/>
  <c r="J37" i="1"/>
  <c r="J38" i="1"/>
  <c r="J39" i="1"/>
  <c r="J40" i="1"/>
  <c r="J41" i="1"/>
  <c r="C42" i="1"/>
  <c r="J42" i="1"/>
  <c r="J45" i="1"/>
  <c r="J46" i="1"/>
  <c r="J47" i="1"/>
  <c r="J48" i="1"/>
  <c r="J50" i="1"/>
  <c r="B50" i="1"/>
  <c r="L44" i="1"/>
  <c r="L45" i="1"/>
  <c r="L46" i="1"/>
  <c r="L47" i="1"/>
  <c r="L48" i="1"/>
  <c r="L49" i="1"/>
  <c r="L22" i="1"/>
  <c r="L23" i="1"/>
  <c r="L24" i="1"/>
  <c r="L25" i="1"/>
  <c r="L26" i="1"/>
  <c r="L27" i="1"/>
  <c r="L28" i="1"/>
  <c r="L29" i="1"/>
  <c r="L30" i="1"/>
  <c r="L31" i="1"/>
  <c r="L32" i="1"/>
  <c r="L33" i="1"/>
  <c r="L34" i="1"/>
  <c r="L35" i="1"/>
  <c r="L36" i="1"/>
  <c r="L37" i="1"/>
  <c r="L38" i="1"/>
  <c r="L39" i="1"/>
  <c r="L40" i="1"/>
  <c r="L41" i="1"/>
  <c r="L42" i="1"/>
  <c r="L50" i="1"/>
  <c r="N51" i="1"/>
  <c r="S44" i="1"/>
  <c r="S45" i="1"/>
  <c r="S46" i="1"/>
  <c r="S47" i="1"/>
  <c r="S48" i="1"/>
  <c r="S49" i="1"/>
  <c r="S22" i="1"/>
  <c r="W22" i="1"/>
  <c r="S23" i="1"/>
  <c r="S24" i="1"/>
  <c r="S26" i="1"/>
  <c r="S27" i="1"/>
  <c r="S28" i="1"/>
  <c r="S29" i="1"/>
  <c r="S30" i="1"/>
  <c r="S31" i="1"/>
  <c r="S32" i="1"/>
  <c r="S33" i="1"/>
  <c r="S34" i="1"/>
  <c r="S35" i="1"/>
  <c r="S36" i="1"/>
  <c r="S37" i="1"/>
  <c r="S38" i="1"/>
  <c r="S39" i="1"/>
  <c r="S40" i="1"/>
  <c r="S41" i="1"/>
  <c r="S42" i="1"/>
  <c r="S43" i="1"/>
  <c r="S50" i="1"/>
  <c r="W23" i="1"/>
  <c r="W24" i="1"/>
  <c r="W26" i="1"/>
  <c r="W27" i="1"/>
  <c r="W28" i="1"/>
  <c r="W29" i="1"/>
  <c r="W30" i="1"/>
  <c r="W31" i="1"/>
  <c r="W32" i="1"/>
  <c r="W33" i="1"/>
  <c r="W34" i="1"/>
  <c r="W35" i="1"/>
  <c r="W36" i="1"/>
  <c r="W37" i="1"/>
  <c r="W38" i="1"/>
  <c r="W39" i="1"/>
  <c r="W40" i="1"/>
  <c r="W41" i="1"/>
  <c r="W42" i="1"/>
  <c r="I44" i="1"/>
  <c r="K44" i="1"/>
  <c r="W44" i="1"/>
  <c r="I45" i="1"/>
  <c r="K45" i="1"/>
  <c r="W45" i="1"/>
  <c r="I46" i="1"/>
  <c r="K46" i="1"/>
  <c r="W46" i="1"/>
  <c r="I47" i="1"/>
  <c r="K47" i="1"/>
  <c r="W47" i="1"/>
  <c r="W48" i="1"/>
  <c r="W50" i="1"/>
  <c r="W51" i="1"/>
  <c r="AA22" i="1"/>
  <c r="O22" i="1"/>
  <c r="O23" i="1"/>
  <c r="O24" i="1"/>
  <c r="O25" i="1"/>
  <c r="O26" i="1"/>
  <c r="O27" i="1"/>
  <c r="O28" i="1"/>
  <c r="O29" i="1"/>
  <c r="O30" i="1"/>
  <c r="O31" i="1"/>
  <c r="O32" i="1"/>
  <c r="O33" i="1"/>
  <c r="O34" i="1"/>
  <c r="O35" i="1"/>
  <c r="O36" i="1"/>
  <c r="O37" i="1"/>
  <c r="O38" i="1"/>
  <c r="O39" i="1"/>
  <c r="O40" i="1"/>
  <c r="O41" i="1"/>
  <c r="O42" i="1"/>
  <c r="O43" i="1"/>
  <c r="O44" i="1"/>
  <c r="O45" i="1"/>
  <c r="O46" i="1"/>
  <c r="O47" i="1"/>
  <c r="O50" i="1"/>
  <c r="O51" i="1"/>
  <c r="T44" i="1"/>
  <c r="T45" i="1"/>
  <c r="T46" i="1"/>
  <c r="T47" i="1"/>
  <c r="T48" i="1"/>
  <c r="T49" i="1"/>
  <c r="T22" i="1"/>
  <c r="X22" i="1"/>
  <c r="T23" i="1"/>
  <c r="T24" i="1"/>
  <c r="T26" i="1"/>
  <c r="T27" i="1"/>
  <c r="T28" i="1"/>
  <c r="T29" i="1"/>
  <c r="T30" i="1"/>
  <c r="T31" i="1"/>
  <c r="T32" i="1"/>
  <c r="T33" i="1"/>
  <c r="T34" i="1"/>
  <c r="T35" i="1"/>
  <c r="T36" i="1"/>
  <c r="T37" i="1"/>
  <c r="T38" i="1"/>
  <c r="T39" i="1"/>
  <c r="T40" i="1"/>
  <c r="T41" i="1"/>
  <c r="T42" i="1"/>
  <c r="T43" i="1"/>
  <c r="T50" i="1"/>
  <c r="X23" i="1"/>
  <c r="X24" i="1"/>
  <c r="X26" i="1"/>
  <c r="X27" i="1"/>
  <c r="X28" i="1"/>
  <c r="X29" i="1"/>
  <c r="X30" i="1"/>
  <c r="X31" i="1"/>
  <c r="X32" i="1"/>
  <c r="X33" i="1"/>
  <c r="X34" i="1"/>
  <c r="X35" i="1"/>
  <c r="X36" i="1"/>
  <c r="X37" i="1"/>
  <c r="X38" i="1"/>
  <c r="X39" i="1"/>
  <c r="X40" i="1"/>
  <c r="X41" i="1"/>
  <c r="X42" i="1"/>
  <c r="X44" i="1"/>
  <c r="X45" i="1"/>
  <c r="X46" i="1"/>
  <c r="X47" i="1"/>
  <c r="X48" i="1"/>
  <c r="X50" i="1"/>
  <c r="X51" i="1"/>
  <c r="AB22" i="1"/>
  <c r="P22" i="1"/>
  <c r="P23" i="1"/>
  <c r="P24" i="1"/>
  <c r="P25" i="1"/>
  <c r="P26" i="1"/>
  <c r="P27" i="1"/>
  <c r="P28" i="1"/>
  <c r="P29" i="1"/>
  <c r="P30" i="1"/>
  <c r="P31" i="1"/>
  <c r="P32" i="1"/>
  <c r="P33" i="1"/>
  <c r="P34" i="1"/>
  <c r="P35" i="1"/>
  <c r="P36" i="1"/>
  <c r="P37" i="1"/>
  <c r="P38" i="1"/>
  <c r="P39" i="1"/>
  <c r="P40" i="1"/>
  <c r="P41" i="1"/>
  <c r="P42" i="1"/>
  <c r="P43" i="1"/>
  <c r="P44" i="1"/>
  <c r="P45" i="1"/>
  <c r="P46" i="1"/>
  <c r="P47" i="1"/>
  <c r="P50" i="1"/>
  <c r="P51" i="1"/>
  <c r="U44" i="1"/>
  <c r="U45" i="1"/>
  <c r="U46" i="1"/>
  <c r="U47" i="1"/>
  <c r="U48" i="1"/>
  <c r="U49" i="1"/>
  <c r="U22" i="1"/>
  <c r="Y22" i="1"/>
  <c r="U23" i="1"/>
  <c r="U24" i="1"/>
  <c r="U26" i="1"/>
  <c r="U27" i="1"/>
  <c r="U28" i="1"/>
  <c r="U29" i="1"/>
  <c r="U30" i="1"/>
  <c r="U31" i="1"/>
  <c r="U32" i="1"/>
  <c r="U33" i="1"/>
  <c r="U34" i="1"/>
  <c r="U35" i="1"/>
  <c r="U36" i="1"/>
  <c r="U37" i="1"/>
  <c r="U38" i="1"/>
  <c r="U39" i="1"/>
  <c r="U40" i="1"/>
  <c r="U41" i="1"/>
  <c r="U42" i="1"/>
  <c r="U43" i="1"/>
  <c r="U50" i="1"/>
  <c r="Y23" i="1"/>
  <c r="Y24" i="1"/>
  <c r="Y26" i="1"/>
  <c r="Y27" i="1"/>
  <c r="Y28" i="1"/>
  <c r="Y29" i="1"/>
  <c r="Y30" i="1"/>
  <c r="Y31" i="1"/>
  <c r="Y32" i="1"/>
  <c r="Y33" i="1"/>
  <c r="Y34" i="1"/>
  <c r="Y35" i="1"/>
  <c r="Y36" i="1"/>
  <c r="Y37" i="1"/>
  <c r="Y38" i="1"/>
  <c r="Y39" i="1"/>
  <c r="Y40" i="1"/>
  <c r="Y41" i="1"/>
  <c r="Y42" i="1"/>
  <c r="Y44" i="1"/>
  <c r="Y45" i="1"/>
  <c r="Y46" i="1"/>
  <c r="Y47" i="1"/>
  <c r="Y48" i="1"/>
  <c r="Y50" i="1"/>
  <c r="Y51" i="1"/>
  <c r="AC22" i="1"/>
  <c r="Q22" i="1"/>
  <c r="Q23" i="1"/>
  <c r="Q24" i="1"/>
  <c r="Q25" i="1"/>
  <c r="Q26" i="1"/>
  <c r="Q27" i="1"/>
  <c r="Q28" i="1"/>
  <c r="Q29" i="1"/>
  <c r="Q30" i="1"/>
  <c r="Q31" i="1"/>
  <c r="Q32" i="1"/>
  <c r="Q33" i="1"/>
  <c r="Q34" i="1"/>
  <c r="Q35" i="1"/>
  <c r="Q36" i="1"/>
  <c r="Q37" i="1"/>
  <c r="Q38" i="1"/>
  <c r="Q39" i="1"/>
  <c r="Q40" i="1"/>
  <c r="Q41" i="1"/>
  <c r="Q42" i="1"/>
  <c r="Q43" i="1"/>
  <c r="Q44" i="1"/>
  <c r="Q45" i="1"/>
  <c r="Q46" i="1"/>
  <c r="Q47" i="1"/>
  <c r="Q50" i="1"/>
  <c r="Q51" i="1"/>
  <c r="V44" i="1"/>
  <c r="V45" i="1"/>
  <c r="V46" i="1"/>
  <c r="V47" i="1"/>
  <c r="V48" i="1"/>
  <c r="V49" i="1"/>
  <c r="V22" i="1"/>
  <c r="Z22" i="1"/>
  <c r="V23" i="1"/>
  <c r="V24" i="1"/>
  <c r="V26" i="1"/>
  <c r="V27" i="1"/>
  <c r="V28" i="1"/>
  <c r="V29" i="1"/>
  <c r="V30" i="1"/>
  <c r="V31" i="1"/>
  <c r="V32" i="1"/>
  <c r="V33" i="1"/>
  <c r="V34" i="1"/>
  <c r="V35" i="1"/>
  <c r="V36" i="1"/>
  <c r="V37" i="1"/>
  <c r="V38" i="1"/>
  <c r="V39" i="1"/>
  <c r="V40" i="1"/>
  <c r="V41" i="1"/>
  <c r="V42" i="1"/>
  <c r="V43" i="1"/>
  <c r="V50" i="1"/>
  <c r="Z23" i="1"/>
  <c r="Z24" i="1"/>
  <c r="Z26" i="1"/>
  <c r="Z27" i="1"/>
  <c r="Z28" i="1"/>
  <c r="Z29" i="1"/>
  <c r="Z30" i="1"/>
  <c r="Z31" i="1"/>
  <c r="Z32" i="1"/>
  <c r="Z33" i="1"/>
  <c r="Z34" i="1"/>
  <c r="Z35" i="1"/>
  <c r="Z36" i="1"/>
  <c r="Z37" i="1"/>
  <c r="Z38" i="1"/>
  <c r="Z39" i="1"/>
  <c r="Z40" i="1"/>
  <c r="Z41" i="1"/>
  <c r="Z42" i="1"/>
  <c r="Z44" i="1"/>
  <c r="Z45" i="1"/>
  <c r="Z46" i="1"/>
  <c r="Z47" i="1"/>
  <c r="Z48" i="1"/>
  <c r="Z50" i="1"/>
  <c r="Z51" i="1"/>
  <c r="AD22" i="1"/>
  <c r="AE22" i="1"/>
  <c r="AF22" i="1"/>
  <c r="AG22" i="1"/>
  <c r="AH22" i="1"/>
  <c r="AI22" i="1"/>
  <c r="AA23" i="1"/>
  <c r="AB23" i="1"/>
  <c r="AC23" i="1"/>
  <c r="AD23" i="1"/>
  <c r="AE23" i="1"/>
  <c r="AF23" i="1"/>
  <c r="AG23" i="1"/>
  <c r="AH23" i="1"/>
  <c r="AI23" i="1"/>
  <c r="AA24" i="1"/>
  <c r="AB24" i="1"/>
  <c r="AC24" i="1"/>
  <c r="AD24" i="1"/>
  <c r="AE24" i="1"/>
  <c r="AF24" i="1"/>
  <c r="AG24" i="1"/>
  <c r="AH24" i="1"/>
  <c r="AI24" i="1"/>
  <c r="AA26" i="1"/>
  <c r="AB26" i="1"/>
  <c r="AC26" i="1"/>
  <c r="AD26" i="1"/>
  <c r="AE26" i="1"/>
  <c r="AF26" i="1"/>
  <c r="AG26" i="1"/>
  <c r="AH26" i="1"/>
  <c r="AI26" i="1"/>
  <c r="AA27" i="1"/>
  <c r="AB27" i="1"/>
  <c r="AC27" i="1"/>
  <c r="AD27" i="1"/>
  <c r="AE27" i="1"/>
  <c r="AF27" i="1"/>
  <c r="AG27" i="1"/>
  <c r="AH27" i="1"/>
  <c r="AI27" i="1"/>
  <c r="AA28" i="1"/>
  <c r="AB28" i="1"/>
  <c r="AC28" i="1"/>
  <c r="AD28" i="1"/>
  <c r="AE28" i="1"/>
  <c r="AF28" i="1"/>
  <c r="AG28" i="1"/>
  <c r="AH28" i="1"/>
  <c r="AI28" i="1"/>
  <c r="AA29" i="1"/>
  <c r="AB29" i="1"/>
  <c r="AC29" i="1"/>
  <c r="AD29" i="1"/>
  <c r="AE29" i="1"/>
  <c r="AF29" i="1"/>
  <c r="AG29" i="1"/>
  <c r="AH29" i="1"/>
  <c r="AI29" i="1"/>
  <c r="AA30" i="1"/>
  <c r="AB30" i="1"/>
  <c r="AC30" i="1"/>
  <c r="AD30" i="1"/>
  <c r="AE30" i="1"/>
  <c r="AF30" i="1"/>
  <c r="AG30" i="1"/>
  <c r="AH30" i="1"/>
  <c r="AI30" i="1"/>
  <c r="AA31" i="1"/>
  <c r="AB31" i="1"/>
  <c r="AC31" i="1"/>
  <c r="AD31" i="1"/>
  <c r="AE31" i="1"/>
  <c r="AF31" i="1"/>
  <c r="AG31" i="1"/>
  <c r="AH31" i="1"/>
  <c r="AI31" i="1"/>
  <c r="AA32" i="1"/>
  <c r="AB32" i="1"/>
  <c r="AC32" i="1"/>
  <c r="AD32" i="1"/>
  <c r="AE32" i="1"/>
  <c r="AF32" i="1"/>
  <c r="AG32" i="1"/>
  <c r="AH32" i="1"/>
  <c r="AI32" i="1"/>
  <c r="AA33" i="1"/>
  <c r="AB33" i="1"/>
  <c r="AC33" i="1"/>
  <c r="AD33" i="1"/>
  <c r="AE33" i="1"/>
  <c r="AF33" i="1"/>
  <c r="AG33" i="1"/>
  <c r="AH33" i="1"/>
  <c r="AI33" i="1"/>
  <c r="AA34" i="1"/>
  <c r="AB34" i="1"/>
  <c r="AC34" i="1"/>
  <c r="AD34" i="1"/>
  <c r="AE34" i="1"/>
  <c r="AF34" i="1"/>
  <c r="AG34" i="1"/>
  <c r="AH34" i="1"/>
  <c r="AI34" i="1"/>
  <c r="AA35" i="1"/>
  <c r="AB35" i="1"/>
  <c r="AC35" i="1"/>
  <c r="AD35" i="1"/>
  <c r="AE35" i="1"/>
  <c r="AF35" i="1"/>
  <c r="AG35" i="1"/>
  <c r="AH35" i="1"/>
  <c r="AI35" i="1"/>
  <c r="AA36" i="1"/>
  <c r="AB36" i="1"/>
  <c r="AC36" i="1"/>
  <c r="AD36" i="1"/>
  <c r="AE36" i="1"/>
  <c r="AF36" i="1"/>
  <c r="AG36" i="1"/>
  <c r="AH36" i="1"/>
  <c r="AI36" i="1"/>
  <c r="AA37" i="1"/>
  <c r="AB37" i="1"/>
  <c r="AC37" i="1"/>
  <c r="AD37" i="1"/>
  <c r="AE37" i="1"/>
  <c r="AF37" i="1"/>
  <c r="AG37" i="1"/>
  <c r="AH37" i="1"/>
  <c r="AI37" i="1"/>
  <c r="AA38" i="1"/>
  <c r="AB38" i="1"/>
  <c r="AC38" i="1"/>
  <c r="AD38" i="1"/>
  <c r="AE38" i="1"/>
  <c r="AF38" i="1"/>
  <c r="AG38" i="1"/>
  <c r="AH38" i="1"/>
  <c r="AI38" i="1"/>
  <c r="AA39" i="1"/>
  <c r="AB39" i="1"/>
  <c r="AC39" i="1"/>
  <c r="AD39" i="1"/>
  <c r="AE39" i="1"/>
  <c r="AF39" i="1"/>
  <c r="AG39" i="1"/>
  <c r="AH39" i="1"/>
  <c r="AI39" i="1"/>
  <c r="AA40" i="1"/>
  <c r="AB40" i="1"/>
  <c r="AC40" i="1"/>
  <c r="AD40" i="1"/>
  <c r="AE40" i="1"/>
  <c r="AF40" i="1"/>
  <c r="AG40" i="1"/>
  <c r="AH40" i="1"/>
  <c r="AI40" i="1"/>
  <c r="AA41" i="1"/>
  <c r="AB41" i="1"/>
  <c r="AC41" i="1"/>
  <c r="AD41" i="1"/>
  <c r="AE41" i="1"/>
  <c r="AF41" i="1"/>
  <c r="AG41" i="1"/>
  <c r="AH41" i="1"/>
  <c r="AI41" i="1"/>
  <c r="AA42" i="1"/>
  <c r="AB42" i="1"/>
  <c r="AC42" i="1"/>
  <c r="AD42" i="1"/>
  <c r="AE42" i="1"/>
  <c r="AF42" i="1"/>
  <c r="AG42" i="1"/>
  <c r="AH42" i="1"/>
  <c r="AI42" i="1"/>
  <c r="AA44" i="1"/>
  <c r="AB44" i="1"/>
  <c r="AC44" i="1"/>
  <c r="AD44" i="1"/>
  <c r="AE44" i="1"/>
  <c r="AF44" i="1"/>
  <c r="AG44" i="1"/>
  <c r="AH44" i="1"/>
  <c r="AI44" i="1"/>
  <c r="AA45" i="1"/>
  <c r="AB45" i="1"/>
  <c r="AC45" i="1"/>
  <c r="AD45" i="1"/>
  <c r="AE45" i="1"/>
  <c r="AF45" i="1"/>
  <c r="AG45" i="1"/>
  <c r="AH45" i="1"/>
  <c r="AI45" i="1"/>
  <c r="AA46" i="1"/>
  <c r="AB46" i="1"/>
  <c r="AC46" i="1"/>
  <c r="AD46" i="1"/>
  <c r="AE46" i="1"/>
  <c r="AF46" i="1"/>
  <c r="AG46" i="1"/>
  <c r="AH46" i="1"/>
  <c r="AI46" i="1"/>
  <c r="AA47" i="1"/>
  <c r="AB47" i="1"/>
  <c r="AC47" i="1"/>
  <c r="AD47" i="1"/>
  <c r="AE47" i="1"/>
  <c r="AF47" i="1"/>
  <c r="AG47" i="1"/>
  <c r="AH47" i="1"/>
  <c r="AI47" i="1"/>
  <c r="C53" i="1"/>
  <c r="B53" i="1"/>
  <c r="N53" i="1"/>
  <c r="C54" i="1"/>
  <c r="B54" i="1"/>
  <c r="N54" i="1"/>
  <c r="C55" i="1"/>
  <c r="B55" i="1"/>
  <c r="N55" i="1"/>
  <c r="C56" i="1"/>
  <c r="B56" i="1"/>
  <c r="N56" i="1"/>
  <c r="C57" i="1"/>
  <c r="B57" i="1"/>
  <c r="N57" i="1"/>
  <c r="C58" i="1"/>
  <c r="B58" i="1"/>
  <c r="N58" i="1"/>
  <c r="C59" i="1"/>
  <c r="B59" i="1"/>
  <c r="N59" i="1"/>
  <c r="N60" i="1"/>
  <c r="N61" i="1"/>
  <c r="C62" i="1"/>
  <c r="B62" i="1"/>
  <c r="N62" i="1"/>
  <c r="C63" i="1"/>
  <c r="B63" i="1"/>
  <c r="N63" i="1"/>
  <c r="C64" i="1"/>
  <c r="B64" i="1"/>
  <c r="N64" i="1"/>
  <c r="C65" i="1"/>
  <c r="B65" i="1"/>
  <c r="N65" i="1"/>
  <c r="N68" i="1"/>
  <c r="J62" i="1"/>
  <c r="G53" i="1"/>
  <c r="G54" i="1"/>
  <c r="G55" i="1"/>
  <c r="G56" i="1"/>
  <c r="G57" i="1"/>
  <c r="G58" i="1"/>
  <c r="G59" i="1"/>
  <c r="G60" i="1"/>
  <c r="G61" i="1"/>
  <c r="G68" i="1"/>
  <c r="J53" i="1"/>
  <c r="J54" i="1"/>
  <c r="J55" i="1"/>
  <c r="J56" i="1"/>
  <c r="J57" i="1"/>
  <c r="J58" i="1"/>
  <c r="J59" i="1"/>
  <c r="J63" i="1"/>
  <c r="J64" i="1"/>
  <c r="J65" i="1"/>
  <c r="J66" i="1"/>
  <c r="J68" i="1"/>
  <c r="B68" i="1"/>
  <c r="L62" i="1"/>
  <c r="L63" i="1"/>
  <c r="L64" i="1"/>
  <c r="L65" i="1"/>
  <c r="L66" i="1"/>
  <c r="L67" i="1"/>
  <c r="L53" i="1"/>
  <c r="L54" i="1"/>
  <c r="L55" i="1"/>
  <c r="L56" i="1"/>
  <c r="L57" i="1"/>
  <c r="L58" i="1"/>
  <c r="L59" i="1"/>
  <c r="L60" i="1"/>
  <c r="L68" i="1"/>
  <c r="N69" i="1"/>
  <c r="S62" i="1"/>
  <c r="S63" i="1"/>
  <c r="S64" i="1"/>
  <c r="S65" i="1"/>
  <c r="S66" i="1"/>
  <c r="S67" i="1"/>
  <c r="S53" i="1"/>
  <c r="W53" i="1"/>
  <c r="S54" i="1"/>
  <c r="S55" i="1"/>
  <c r="S56" i="1"/>
  <c r="S57" i="1"/>
  <c r="S58" i="1"/>
  <c r="S59" i="1"/>
  <c r="S60" i="1"/>
  <c r="S68" i="1"/>
  <c r="W54" i="1"/>
  <c r="W55" i="1"/>
  <c r="W56" i="1"/>
  <c r="W57" i="1"/>
  <c r="W58" i="1"/>
  <c r="W59" i="1"/>
  <c r="I62" i="1"/>
  <c r="K62" i="1"/>
  <c r="W62" i="1"/>
  <c r="I63" i="1"/>
  <c r="K63" i="1"/>
  <c r="W63" i="1"/>
  <c r="I64" i="1"/>
  <c r="K64" i="1"/>
  <c r="W64" i="1"/>
  <c r="I65" i="1"/>
  <c r="K65" i="1"/>
  <c r="W65" i="1"/>
  <c r="W66" i="1"/>
  <c r="W68" i="1"/>
  <c r="W69" i="1"/>
  <c r="AA53" i="1"/>
  <c r="O53" i="1"/>
  <c r="O54" i="1"/>
  <c r="O55" i="1"/>
  <c r="O56" i="1"/>
  <c r="O57" i="1"/>
  <c r="O58" i="1"/>
  <c r="O59" i="1"/>
  <c r="O60" i="1"/>
  <c r="O61" i="1"/>
  <c r="O62" i="1"/>
  <c r="O63" i="1"/>
  <c r="O64" i="1"/>
  <c r="O65" i="1"/>
  <c r="O68" i="1"/>
  <c r="O69" i="1"/>
  <c r="T62" i="1"/>
  <c r="T63" i="1"/>
  <c r="T64" i="1"/>
  <c r="T65" i="1"/>
  <c r="T66" i="1"/>
  <c r="T67" i="1"/>
  <c r="T53" i="1"/>
  <c r="X53" i="1"/>
  <c r="T54" i="1"/>
  <c r="T55" i="1"/>
  <c r="T56" i="1"/>
  <c r="T57" i="1"/>
  <c r="T58" i="1"/>
  <c r="T59" i="1"/>
  <c r="T60" i="1"/>
  <c r="T68" i="1"/>
  <c r="X54" i="1"/>
  <c r="X55" i="1"/>
  <c r="X56" i="1"/>
  <c r="X57" i="1"/>
  <c r="X58" i="1"/>
  <c r="X59" i="1"/>
  <c r="X62" i="1"/>
  <c r="X63" i="1"/>
  <c r="X64" i="1"/>
  <c r="X65" i="1"/>
  <c r="X66" i="1"/>
  <c r="X68" i="1"/>
  <c r="X69" i="1"/>
  <c r="AB53" i="1"/>
  <c r="P53" i="1"/>
  <c r="P54" i="1"/>
  <c r="P55" i="1"/>
  <c r="P56" i="1"/>
  <c r="P57" i="1"/>
  <c r="P58" i="1"/>
  <c r="P59" i="1"/>
  <c r="P60" i="1"/>
  <c r="P61" i="1"/>
  <c r="P62" i="1"/>
  <c r="P63" i="1"/>
  <c r="P64" i="1"/>
  <c r="P65" i="1"/>
  <c r="P68" i="1"/>
  <c r="P69" i="1"/>
  <c r="U62" i="1"/>
  <c r="U63" i="1"/>
  <c r="U64" i="1"/>
  <c r="U65" i="1"/>
  <c r="U66" i="1"/>
  <c r="U67" i="1"/>
  <c r="U53" i="1"/>
  <c r="Y53" i="1"/>
  <c r="U54" i="1"/>
  <c r="U55" i="1"/>
  <c r="U56" i="1"/>
  <c r="U57" i="1"/>
  <c r="U58" i="1"/>
  <c r="U59" i="1"/>
  <c r="U60" i="1"/>
  <c r="U68" i="1"/>
  <c r="Y54" i="1"/>
  <c r="Y55" i="1"/>
  <c r="Y56" i="1"/>
  <c r="Y57" i="1"/>
  <c r="Y58" i="1"/>
  <c r="Y59" i="1"/>
  <c r="Y62" i="1"/>
  <c r="Y63" i="1"/>
  <c r="Y64" i="1"/>
  <c r="Y65" i="1"/>
  <c r="Y66" i="1"/>
  <c r="Y68" i="1"/>
  <c r="Y69" i="1"/>
  <c r="AC53" i="1"/>
  <c r="Q53" i="1"/>
  <c r="Q54" i="1"/>
  <c r="Q55" i="1"/>
  <c r="Q56" i="1"/>
  <c r="Q57" i="1"/>
  <c r="Q58" i="1"/>
  <c r="Q59" i="1"/>
  <c r="Q60" i="1"/>
  <c r="Q61" i="1"/>
  <c r="Q62" i="1"/>
  <c r="Q63" i="1"/>
  <c r="Q64" i="1"/>
  <c r="Q65" i="1"/>
  <c r="Q68" i="1"/>
  <c r="Q69" i="1"/>
  <c r="V62" i="1"/>
  <c r="V63" i="1"/>
  <c r="V64" i="1"/>
  <c r="V65" i="1"/>
  <c r="V66" i="1"/>
  <c r="V67" i="1"/>
  <c r="V53" i="1"/>
  <c r="Z53" i="1"/>
  <c r="V54" i="1"/>
  <c r="V55" i="1"/>
  <c r="V56" i="1"/>
  <c r="V57" i="1"/>
  <c r="V58" i="1"/>
  <c r="V59" i="1"/>
  <c r="V60" i="1"/>
  <c r="V68" i="1"/>
  <c r="Z54" i="1"/>
  <c r="Z55" i="1"/>
  <c r="Z56" i="1"/>
  <c r="Z57" i="1"/>
  <c r="Z58" i="1"/>
  <c r="Z59" i="1"/>
  <c r="Z62" i="1"/>
  <c r="Z63" i="1"/>
  <c r="Z64" i="1"/>
  <c r="Z65" i="1"/>
  <c r="Z66" i="1"/>
  <c r="Z68" i="1"/>
  <c r="Z69" i="1"/>
  <c r="AD53" i="1"/>
  <c r="AE53" i="1"/>
  <c r="AF53" i="1"/>
  <c r="AG53" i="1"/>
  <c r="AH53" i="1"/>
  <c r="AI53" i="1"/>
  <c r="AA54" i="1"/>
  <c r="AB54" i="1"/>
  <c r="AC54" i="1"/>
  <c r="AD54" i="1"/>
  <c r="AE54" i="1"/>
  <c r="AF54" i="1"/>
  <c r="AG54" i="1"/>
  <c r="AH54" i="1"/>
  <c r="AI54" i="1"/>
  <c r="AA55" i="1"/>
  <c r="AB55" i="1"/>
  <c r="AC55" i="1"/>
  <c r="AD55" i="1"/>
  <c r="AE55" i="1"/>
  <c r="AF55" i="1"/>
  <c r="AG55" i="1"/>
  <c r="AH55" i="1"/>
  <c r="AI55" i="1"/>
  <c r="AA56" i="1"/>
  <c r="AB56" i="1"/>
  <c r="AC56" i="1"/>
  <c r="AD56" i="1"/>
  <c r="AE56" i="1"/>
  <c r="AF56" i="1"/>
  <c r="AG56" i="1"/>
  <c r="AH56" i="1"/>
  <c r="AI56" i="1"/>
  <c r="AA57" i="1"/>
  <c r="AB57" i="1"/>
  <c r="AC57" i="1"/>
  <c r="AD57" i="1"/>
  <c r="AE57" i="1"/>
  <c r="AF57" i="1"/>
  <c r="AG57" i="1"/>
  <c r="AH57" i="1"/>
  <c r="AI57" i="1"/>
  <c r="AA58" i="1"/>
  <c r="AB58" i="1"/>
  <c r="AC58" i="1"/>
  <c r="AD58" i="1"/>
  <c r="AE58" i="1"/>
  <c r="AF58" i="1"/>
  <c r="AG58" i="1"/>
  <c r="AH58" i="1"/>
  <c r="AI58" i="1"/>
  <c r="AA59" i="1"/>
  <c r="AB59" i="1"/>
  <c r="AC59" i="1"/>
  <c r="AD59" i="1"/>
  <c r="AE59" i="1"/>
  <c r="AF59" i="1"/>
  <c r="AG59" i="1"/>
  <c r="AH59" i="1"/>
  <c r="AI59" i="1"/>
  <c r="AA60" i="1"/>
  <c r="AB60" i="1"/>
  <c r="AC60" i="1"/>
  <c r="AD60" i="1"/>
  <c r="AE60" i="1"/>
  <c r="AF60" i="1"/>
  <c r="AG60" i="1"/>
  <c r="AH60" i="1"/>
  <c r="AI60" i="1"/>
  <c r="AA62" i="1"/>
  <c r="AB62" i="1"/>
  <c r="AC62" i="1"/>
  <c r="AD62" i="1"/>
  <c r="AE62" i="1"/>
  <c r="AF62" i="1"/>
  <c r="AG62" i="1"/>
  <c r="AH62" i="1"/>
  <c r="AI62" i="1"/>
  <c r="AA63" i="1"/>
  <c r="AB63" i="1"/>
  <c r="AC63" i="1"/>
  <c r="AD63" i="1"/>
  <c r="AE63" i="1"/>
  <c r="AF63" i="1"/>
  <c r="AG63" i="1"/>
  <c r="AH63" i="1"/>
  <c r="AI63" i="1"/>
  <c r="AA64" i="1"/>
  <c r="AB64" i="1"/>
  <c r="AC64" i="1"/>
  <c r="AD64" i="1"/>
  <c r="AE64" i="1"/>
  <c r="AF64" i="1"/>
  <c r="AG64" i="1"/>
  <c r="AH64" i="1"/>
  <c r="AI64" i="1"/>
  <c r="AA65" i="1"/>
  <c r="AB65" i="1"/>
  <c r="AC65" i="1"/>
  <c r="AD65" i="1"/>
  <c r="AE65" i="1"/>
  <c r="AF65" i="1"/>
  <c r="AG65" i="1"/>
  <c r="AH65" i="1"/>
  <c r="AI65" i="1"/>
  <c r="C71" i="1"/>
  <c r="B71" i="1"/>
  <c r="N71" i="1"/>
  <c r="C72" i="1"/>
  <c r="B72" i="1"/>
  <c r="N72" i="1"/>
  <c r="C73" i="1"/>
  <c r="B73" i="1"/>
  <c r="N73" i="1"/>
  <c r="C74" i="1"/>
  <c r="B74" i="1"/>
  <c r="N74" i="1"/>
  <c r="C75" i="1"/>
  <c r="B75" i="1"/>
  <c r="N75" i="1"/>
  <c r="C76" i="1"/>
  <c r="B76" i="1"/>
  <c r="N76" i="1"/>
  <c r="C77" i="1"/>
  <c r="B77" i="1"/>
  <c r="N77" i="1"/>
  <c r="C78" i="1"/>
  <c r="B78" i="1"/>
  <c r="N78" i="1"/>
  <c r="N79" i="1"/>
  <c r="C80" i="1"/>
  <c r="B80" i="1"/>
  <c r="N80" i="1"/>
  <c r="N83" i="1"/>
  <c r="J80" i="1"/>
  <c r="G71" i="1"/>
  <c r="G72" i="1"/>
  <c r="G73" i="1"/>
  <c r="G74" i="1"/>
  <c r="G75" i="1"/>
  <c r="G76" i="1"/>
  <c r="G77" i="1"/>
  <c r="G78" i="1"/>
  <c r="G79" i="1"/>
  <c r="G83" i="1"/>
  <c r="J71" i="1"/>
  <c r="J72" i="1"/>
  <c r="J73" i="1"/>
  <c r="J74" i="1"/>
  <c r="J75" i="1"/>
  <c r="J76" i="1"/>
  <c r="J77" i="1"/>
  <c r="J78" i="1"/>
  <c r="J81" i="1"/>
  <c r="J83" i="1"/>
  <c r="B83" i="1"/>
  <c r="L80" i="1"/>
  <c r="L81" i="1"/>
  <c r="L82" i="1"/>
  <c r="L71" i="1"/>
  <c r="L72" i="1"/>
  <c r="L73" i="1"/>
  <c r="L74" i="1"/>
  <c r="L75" i="1"/>
  <c r="L76" i="1"/>
  <c r="L77" i="1"/>
  <c r="L78" i="1"/>
  <c r="L83" i="1"/>
  <c r="N84" i="1"/>
  <c r="S80" i="1"/>
  <c r="S81" i="1"/>
  <c r="S82" i="1"/>
  <c r="S71" i="1"/>
  <c r="W71" i="1"/>
  <c r="S72" i="1"/>
  <c r="S73" i="1"/>
  <c r="S74" i="1"/>
  <c r="S75" i="1"/>
  <c r="S76" i="1"/>
  <c r="S77" i="1"/>
  <c r="S78" i="1"/>
  <c r="S83" i="1"/>
  <c r="W72" i="1"/>
  <c r="W73" i="1"/>
  <c r="W74" i="1"/>
  <c r="W75" i="1"/>
  <c r="W76" i="1"/>
  <c r="W77" i="1"/>
  <c r="W78" i="1"/>
  <c r="I80" i="1"/>
  <c r="K80" i="1"/>
  <c r="W80" i="1"/>
  <c r="W81" i="1"/>
  <c r="W83" i="1"/>
  <c r="W84" i="1"/>
  <c r="AA71" i="1"/>
  <c r="O71" i="1"/>
  <c r="O72" i="1"/>
  <c r="O73" i="1"/>
  <c r="O74" i="1"/>
  <c r="O75" i="1"/>
  <c r="O76" i="1"/>
  <c r="O77" i="1"/>
  <c r="O78" i="1"/>
  <c r="O79" i="1"/>
  <c r="O80" i="1"/>
  <c r="O83" i="1"/>
  <c r="O84" i="1"/>
  <c r="T80" i="1"/>
  <c r="T81" i="1"/>
  <c r="T82" i="1"/>
  <c r="T71" i="1"/>
  <c r="X71" i="1"/>
  <c r="T72" i="1"/>
  <c r="T73" i="1"/>
  <c r="T74" i="1"/>
  <c r="T75" i="1"/>
  <c r="T76" i="1"/>
  <c r="T77" i="1"/>
  <c r="T78" i="1"/>
  <c r="T83" i="1"/>
  <c r="X72" i="1"/>
  <c r="X73" i="1"/>
  <c r="X74" i="1"/>
  <c r="X75" i="1"/>
  <c r="X76" i="1"/>
  <c r="X77" i="1"/>
  <c r="X78" i="1"/>
  <c r="X80" i="1"/>
  <c r="X81" i="1"/>
  <c r="X83" i="1"/>
  <c r="X84" i="1"/>
  <c r="AB71" i="1"/>
  <c r="P71" i="1"/>
  <c r="P72" i="1"/>
  <c r="P73" i="1"/>
  <c r="P74" i="1"/>
  <c r="P75" i="1"/>
  <c r="P76" i="1"/>
  <c r="P77" i="1"/>
  <c r="P78" i="1"/>
  <c r="P79" i="1"/>
  <c r="P80" i="1"/>
  <c r="P83" i="1"/>
  <c r="P84" i="1"/>
  <c r="U80" i="1"/>
  <c r="U81" i="1"/>
  <c r="U82" i="1"/>
  <c r="U71" i="1"/>
  <c r="Y71" i="1"/>
  <c r="U72" i="1"/>
  <c r="U73" i="1"/>
  <c r="U74" i="1"/>
  <c r="U75" i="1"/>
  <c r="U76" i="1"/>
  <c r="U77" i="1"/>
  <c r="U78" i="1"/>
  <c r="U83" i="1"/>
  <c r="Y72" i="1"/>
  <c r="Y73" i="1"/>
  <c r="Y74" i="1"/>
  <c r="Y75" i="1"/>
  <c r="Y76" i="1"/>
  <c r="Y77" i="1"/>
  <c r="Y78" i="1"/>
  <c r="Y80" i="1"/>
  <c r="Y81" i="1"/>
  <c r="Y83" i="1"/>
  <c r="Y84" i="1"/>
  <c r="AC71" i="1"/>
  <c r="Q71" i="1"/>
  <c r="Q72" i="1"/>
  <c r="Q73" i="1"/>
  <c r="Q74" i="1"/>
  <c r="Q75" i="1"/>
  <c r="Q76" i="1"/>
  <c r="Q77" i="1"/>
  <c r="Q78" i="1"/>
  <c r="Q79" i="1"/>
  <c r="Q80" i="1"/>
  <c r="Q83" i="1"/>
  <c r="Q84" i="1"/>
  <c r="V80" i="1"/>
  <c r="V81" i="1"/>
  <c r="V82" i="1"/>
  <c r="V71" i="1"/>
  <c r="Z71" i="1"/>
  <c r="V72" i="1"/>
  <c r="V73" i="1"/>
  <c r="V74" i="1"/>
  <c r="V75" i="1"/>
  <c r="V76" i="1"/>
  <c r="V77" i="1"/>
  <c r="V78" i="1"/>
  <c r="V83" i="1"/>
  <c r="Z72" i="1"/>
  <c r="Z73" i="1"/>
  <c r="Z74" i="1"/>
  <c r="Z75" i="1"/>
  <c r="Z76" i="1"/>
  <c r="Z77" i="1"/>
  <c r="Z78" i="1"/>
  <c r="Z80" i="1"/>
  <c r="Z81" i="1"/>
  <c r="Z83" i="1"/>
  <c r="Z84" i="1"/>
  <c r="AD71" i="1"/>
  <c r="AE71" i="1"/>
  <c r="AF71" i="1"/>
  <c r="AG71" i="1"/>
  <c r="AH71" i="1"/>
  <c r="AI71" i="1"/>
  <c r="AA72" i="1"/>
  <c r="AB72" i="1"/>
  <c r="AC72" i="1"/>
  <c r="AD72" i="1"/>
  <c r="AE72" i="1"/>
  <c r="AF72" i="1"/>
  <c r="AG72" i="1"/>
  <c r="AH72" i="1"/>
  <c r="AI72" i="1"/>
  <c r="AA73" i="1"/>
  <c r="AB73" i="1"/>
  <c r="AC73" i="1"/>
  <c r="AD73" i="1"/>
  <c r="AE73" i="1"/>
  <c r="AF73" i="1"/>
  <c r="AG73" i="1"/>
  <c r="AH73" i="1"/>
  <c r="AI73" i="1"/>
  <c r="AA74" i="1"/>
  <c r="AB74" i="1"/>
  <c r="AC74" i="1"/>
  <c r="AD74" i="1"/>
  <c r="AE74" i="1"/>
  <c r="AF74" i="1"/>
  <c r="AG74" i="1"/>
  <c r="AH74" i="1"/>
  <c r="AI74" i="1"/>
  <c r="AA75" i="1"/>
  <c r="AB75" i="1"/>
  <c r="AC75" i="1"/>
  <c r="AD75" i="1"/>
  <c r="AE75" i="1"/>
  <c r="AF75" i="1"/>
  <c r="AG75" i="1"/>
  <c r="AH75" i="1"/>
  <c r="AI75" i="1"/>
  <c r="AA76" i="1"/>
  <c r="AB76" i="1"/>
  <c r="AC76" i="1"/>
  <c r="AD76" i="1"/>
  <c r="AE76" i="1"/>
  <c r="AF76" i="1"/>
  <c r="AG76" i="1"/>
  <c r="AH76" i="1"/>
  <c r="AI76" i="1"/>
  <c r="AA77" i="1"/>
  <c r="AB77" i="1"/>
  <c r="AC77" i="1"/>
  <c r="AD77" i="1"/>
  <c r="AE77" i="1"/>
  <c r="AF77" i="1"/>
  <c r="AG77" i="1"/>
  <c r="AH77" i="1"/>
  <c r="AI77" i="1"/>
  <c r="AA78" i="1"/>
  <c r="AB78" i="1"/>
  <c r="AC78" i="1"/>
  <c r="AD78" i="1"/>
  <c r="AE78" i="1"/>
  <c r="AF78" i="1"/>
  <c r="AG78" i="1"/>
  <c r="AH78" i="1"/>
  <c r="AI78" i="1"/>
  <c r="AA80" i="1"/>
  <c r="AB80" i="1"/>
  <c r="AC80" i="1"/>
  <c r="AD80" i="1"/>
  <c r="AE80" i="1"/>
  <c r="AF80" i="1"/>
  <c r="AG80" i="1"/>
  <c r="AH80" i="1"/>
  <c r="AI80" i="1"/>
  <c r="C86" i="1"/>
  <c r="B86" i="1"/>
  <c r="N86" i="1"/>
  <c r="B87" i="1"/>
  <c r="N87" i="1"/>
  <c r="C88" i="1"/>
  <c r="B88" i="1"/>
  <c r="N88" i="1"/>
  <c r="C89" i="1"/>
  <c r="B89" i="1"/>
  <c r="N89" i="1"/>
  <c r="C90" i="1"/>
  <c r="B90" i="1"/>
  <c r="N90" i="1"/>
  <c r="C91" i="1"/>
  <c r="B91" i="1"/>
  <c r="N91" i="1"/>
  <c r="N92" i="1"/>
  <c r="C93" i="1"/>
  <c r="B93" i="1"/>
  <c r="N93" i="1"/>
  <c r="C94" i="1"/>
  <c r="B94" i="1"/>
  <c r="N94" i="1"/>
  <c r="N97" i="1"/>
  <c r="J93" i="1"/>
  <c r="G86" i="1"/>
  <c r="G87" i="1"/>
  <c r="G88" i="1"/>
  <c r="G89" i="1"/>
  <c r="G90" i="1"/>
  <c r="G91" i="1"/>
  <c r="G92" i="1"/>
  <c r="G97" i="1"/>
  <c r="J86" i="1"/>
  <c r="J88" i="1"/>
  <c r="J89" i="1"/>
  <c r="J90" i="1"/>
  <c r="J91" i="1"/>
  <c r="C92" i="1"/>
  <c r="J92" i="1"/>
  <c r="J94" i="1"/>
  <c r="J95" i="1"/>
  <c r="J97" i="1"/>
  <c r="B97" i="1"/>
  <c r="L93" i="1"/>
  <c r="L94" i="1"/>
  <c r="L95" i="1"/>
  <c r="L96" i="1"/>
  <c r="L86" i="1"/>
  <c r="L87" i="1"/>
  <c r="L88" i="1"/>
  <c r="L89" i="1"/>
  <c r="L90" i="1"/>
  <c r="L91" i="1"/>
  <c r="L92" i="1"/>
  <c r="L97" i="1"/>
  <c r="N98" i="1"/>
  <c r="S93" i="1"/>
  <c r="S94" i="1"/>
  <c r="S95" i="1"/>
  <c r="S96" i="1"/>
  <c r="S86" i="1"/>
  <c r="W86" i="1"/>
  <c r="S88" i="1"/>
  <c r="S89" i="1"/>
  <c r="S90" i="1"/>
  <c r="S91" i="1"/>
  <c r="S92" i="1"/>
  <c r="S97" i="1"/>
  <c r="W88" i="1"/>
  <c r="W89" i="1"/>
  <c r="W90" i="1"/>
  <c r="W91" i="1"/>
  <c r="W92" i="1"/>
  <c r="I93" i="1"/>
  <c r="K93" i="1"/>
  <c r="W93" i="1"/>
  <c r="I94" i="1"/>
  <c r="K94" i="1"/>
  <c r="W94" i="1"/>
  <c r="W95" i="1"/>
  <c r="W97" i="1"/>
  <c r="W98" i="1"/>
  <c r="AA86" i="1"/>
  <c r="O86" i="1"/>
  <c r="O87" i="1"/>
  <c r="O88" i="1"/>
  <c r="O89" i="1"/>
  <c r="O90" i="1"/>
  <c r="O91" i="1"/>
  <c r="O92" i="1"/>
  <c r="O93" i="1"/>
  <c r="O94" i="1"/>
  <c r="O97" i="1"/>
  <c r="O98" i="1"/>
  <c r="T93" i="1"/>
  <c r="T94" i="1"/>
  <c r="T95" i="1"/>
  <c r="T96" i="1"/>
  <c r="T86" i="1"/>
  <c r="X86" i="1"/>
  <c r="T88" i="1"/>
  <c r="T89" i="1"/>
  <c r="T90" i="1"/>
  <c r="T91" i="1"/>
  <c r="T92" i="1"/>
  <c r="T97" i="1"/>
  <c r="X88" i="1"/>
  <c r="X89" i="1"/>
  <c r="X90" i="1"/>
  <c r="X91" i="1"/>
  <c r="X92" i="1"/>
  <c r="X93" i="1"/>
  <c r="X94" i="1"/>
  <c r="X95" i="1"/>
  <c r="X97" i="1"/>
  <c r="X98" i="1"/>
  <c r="AB86" i="1"/>
  <c r="P86" i="1"/>
  <c r="P87" i="1"/>
  <c r="P88" i="1"/>
  <c r="P89" i="1"/>
  <c r="P90" i="1"/>
  <c r="P91" i="1"/>
  <c r="P92" i="1"/>
  <c r="P93" i="1"/>
  <c r="P94" i="1"/>
  <c r="P97" i="1"/>
  <c r="P98" i="1"/>
  <c r="U93" i="1"/>
  <c r="U94" i="1"/>
  <c r="U95" i="1"/>
  <c r="U96" i="1"/>
  <c r="U86" i="1"/>
  <c r="Y86" i="1"/>
  <c r="U88" i="1"/>
  <c r="U89" i="1"/>
  <c r="U90" i="1"/>
  <c r="U91" i="1"/>
  <c r="U92" i="1"/>
  <c r="U97" i="1"/>
  <c r="Y88" i="1"/>
  <c r="Y89" i="1"/>
  <c r="Y90" i="1"/>
  <c r="Y91" i="1"/>
  <c r="Y92" i="1"/>
  <c r="Y93" i="1"/>
  <c r="Y94" i="1"/>
  <c r="Y95" i="1"/>
  <c r="Y97" i="1"/>
  <c r="Y98" i="1"/>
  <c r="AC86" i="1"/>
  <c r="Q86" i="1"/>
  <c r="Q87" i="1"/>
  <c r="Q88" i="1"/>
  <c r="Q89" i="1"/>
  <c r="Q90" i="1"/>
  <c r="Q91" i="1"/>
  <c r="Q92" i="1"/>
  <c r="Q93" i="1"/>
  <c r="Q94" i="1"/>
  <c r="Q97" i="1"/>
  <c r="Q98" i="1"/>
  <c r="V93" i="1"/>
  <c r="V94" i="1"/>
  <c r="V95" i="1"/>
  <c r="V96" i="1"/>
  <c r="V86" i="1"/>
  <c r="Z86" i="1"/>
  <c r="V88" i="1"/>
  <c r="V89" i="1"/>
  <c r="V90" i="1"/>
  <c r="V91" i="1"/>
  <c r="V92" i="1"/>
  <c r="V97" i="1"/>
  <c r="Z88" i="1"/>
  <c r="Z89" i="1"/>
  <c r="Z90" i="1"/>
  <c r="Z91" i="1"/>
  <c r="Z92" i="1"/>
  <c r="Z93" i="1"/>
  <c r="Z94" i="1"/>
  <c r="Z95" i="1"/>
  <c r="Z97" i="1"/>
  <c r="Z98" i="1"/>
  <c r="AD86" i="1"/>
  <c r="AE86" i="1"/>
  <c r="AF86" i="1"/>
  <c r="AG86" i="1"/>
  <c r="AH86" i="1"/>
  <c r="AI86" i="1"/>
  <c r="AA88" i="1"/>
  <c r="AB88" i="1"/>
  <c r="AC88" i="1"/>
  <c r="AD88" i="1"/>
  <c r="AE88" i="1"/>
  <c r="AF88" i="1"/>
  <c r="AG88" i="1"/>
  <c r="AH88" i="1"/>
  <c r="AI88" i="1"/>
  <c r="AA89" i="1"/>
  <c r="AB89" i="1"/>
  <c r="AC89" i="1"/>
  <c r="AD89" i="1"/>
  <c r="AE89" i="1"/>
  <c r="AF89" i="1"/>
  <c r="AG89" i="1"/>
  <c r="AH89" i="1"/>
  <c r="AI89" i="1"/>
  <c r="AA90" i="1"/>
  <c r="AB90" i="1"/>
  <c r="AC90" i="1"/>
  <c r="AD90" i="1"/>
  <c r="AE90" i="1"/>
  <c r="AF90" i="1"/>
  <c r="AG90" i="1"/>
  <c r="AH90" i="1"/>
  <c r="AI90" i="1"/>
  <c r="AA91" i="1"/>
  <c r="AB91" i="1"/>
  <c r="AC91" i="1"/>
  <c r="AD91" i="1"/>
  <c r="AE91" i="1"/>
  <c r="AF91" i="1"/>
  <c r="AG91" i="1"/>
  <c r="AH91" i="1"/>
  <c r="AI91" i="1"/>
  <c r="AA92" i="1"/>
  <c r="AB92" i="1"/>
  <c r="AC92" i="1"/>
  <c r="AD92" i="1"/>
  <c r="AE92" i="1"/>
  <c r="AF92" i="1"/>
  <c r="AG92" i="1"/>
  <c r="AH92" i="1"/>
  <c r="AI92" i="1"/>
  <c r="AA93" i="1"/>
  <c r="AB93" i="1"/>
  <c r="AC93" i="1"/>
  <c r="AD93" i="1"/>
  <c r="AE93" i="1"/>
  <c r="AF93" i="1"/>
  <c r="AG93" i="1"/>
  <c r="AH93" i="1"/>
  <c r="AI93" i="1"/>
  <c r="AA94" i="1"/>
  <c r="AB94" i="1"/>
  <c r="AC94" i="1"/>
  <c r="AD94" i="1"/>
  <c r="AE94" i="1"/>
  <c r="AF94" i="1"/>
  <c r="AG94" i="1"/>
  <c r="AH94" i="1"/>
  <c r="AI94" i="1"/>
  <c r="C100" i="1"/>
  <c r="B100" i="1"/>
  <c r="N100" i="1"/>
  <c r="N101" i="1"/>
  <c r="C102" i="1"/>
  <c r="B102" i="1"/>
  <c r="N102" i="1"/>
  <c r="N103" i="1"/>
  <c r="N106" i="1"/>
  <c r="J104" i="1"/>
  <c r="G100" i="1"/>
  <c r="G101" i="1"/>
  <c r="G102" i="1"/>
  <c r="G103" i="1"/>
  <c r="G106" i="1"/>
  <c r="J100" i="1"/>
  <c r="J102" i="1"/>
  <c r="J106" i="1"/>
  <c r="B106" i="1"/>
  <c r="L104" i="1"/>
  <c r="L105" i="1"/>
  <c r="L100" i="1"/>
  <c r="L101" i="1"/>
  <c r="L102" i="1"/>
  <c r="L103" i="1"/>
  <c r="L106" i="1"/>
  <c r="N107" i="1"/>
  <c r="S104" i="1"/>
  <c r="S105" i="1"/>
  <c r="S100" i="1"/>
  <c r="W100" i="1"/>
  <c r="S102" i="1"/>
  <c r="S103" i="1"/>
  <c r="S106" i="1"/>
  <c r="W102" i="1"/>
  <c r="W104" i="1"/>
  <c r="W106" i="1"/>
  <c r="W107" i="1"/>
  <c r="AA100" i="1"/>
  <c r="O100" i="1"/>
  <c r="O101" i="1"/>
  <c r="O102" i="1"/>
  <c r="O103" i="1"/>
  <c r="O106" i="1"/>
  <c r="O107" i="1"/>
  <c r="T104" i="1"/>
  <c r="T105" i="1"/>
  <c r="T100" i="1"/>
  <c r="X100" i="1"/>
  <c r="T102" i="1"/>
  <c r="T103" i="1"/>
  <c r="T106" i="1"/>
  <c r="X102" i="1"/>
  <c r="X104" i="1"/>
  <c r="X106" i="1"/>
  <c r="X107" i="1"/>
  <c r="AB100" i="1"/>
  <c r="P100" i="1"/>
  <c r="P101" i="1"/>
  <c r="P102" i="1"/>
  <c r="P103" i="1"/>
  <c r="P106" i="1"/>
  <c r="P107" i="1"/>
  <c r="U104" i="1"/>
  <c r="U105" i="1"/>
  <c r="U100" i="1"/>
  <c r="Y100" i="1"/>
  <c r="U102" i="1"/>
  <c r="U103" i="1"/>
  <c r="U106" i="1"/>
  <c r="Y102" i="1"/>
  <c r="Y104" i="1"/>
  <c r="Y106" i="1"/>
  <c r="Y107" i="1"/>
  <c r="AC100" i="1"/>
  <c r="Q100" i="1"/>
  <c r="Q101" i="1"/>
  <c r="Q102" i="1"/>
  <c r="Q103" i="1"/>
  <c r="Q106" i="1"/>
  <c r="Q107" i="1"/>
  <c r="V104" i="1"/>
  <c r="V105" i="1"/>
  <c r="V100" i="1"/>
  <c r="Z100" i="1"/>
  <c r="V102" i="1"/>
  <c r="V103" i="1"/>
  <c r="V106" i="1"/>
  <c r="Z102" i="1"/>
  <c r="Z104" i="1"/>
  <c r="Z106" i="1"/>
  <c r="Z107" i="1"/>
  <c r="AD100" i="1"/>
  <c r="AE100" i="1"/>
  <c r="AF100" i="1"/>
  <c r="AG100" i="1"/>
  <c r="AH100" i="1"/>
  <c r="AI100" i="1"/>
  <c r="AA102" i="1"/>
  <c r="AB102" i="1"/>
  <c r="AC102" i="1"/>
  <c r="AD102" i="1"/>
  <c r="AE102" i="1"/>
  <c r="AF102" i="1"/>
  <c r="AG102" i="1"/>
  <c r="AH102" i="1"/>
  <c r="AI102" i="1"/>
  <c r="AA103" i="1"/>
  <c r="AB103" i="1"/>
  <c r="AC103" i="1"/>
  <c r="AD103" i="1"/>
  <c r="AE103" i="1"/>
  <c r="AF103" i="1"/>
  <c r="AG103" i="1"/>
  <c r="AH103" i="1"/>
  <c r="AI103" i="1"/>
  <c r="C109" i="1"/>
  <c r="B109" i="1"/>
  <c r="N109" i="1"/>
  <c r="S109" i="1"/>
  <c r="W109" i="1"/>
  <c r="AA109" i="1"/>
  <c r="O109" i="1"/>
  <c r="C110" i="1"/>
  <c r="B110" i="1"/>
  <c r="O110" i="1"/>
  <c r="C111" i="1"/>
  <c r="B111" i="1"/>
  <c r="O111" i="1"/>
  <c r="C112" i="1"/>
  <c r="B112" i="1"/>
  <c r="O112" i="1"/>
  <c r="C113" i="1"/>
  <c r="B113" i="1"/>
  <c r="O113" i="1"/>
  <c r="C114" i="1"/>
  <c r="B114" i="1"/>
  <c r="O114" i="1"/>
  <c r="O117" i="1"/>
  <c r="J115" i="1"/>
  <c r="G109" i="1"/>
  <c r="G110" i="1"/>
  <c r="G111" i="1"/>
  <c r="G112" i="1"/>
  <c r="G113" i="1"/>
  <c r="G114" i="1"/>
  <c r="G117" i="1"/>
  <c r="J109" i="1"/>
  <c r="J110" i="1"/>
  <c r="J111" i="1"/>
  <c r="J112" i="1"/>
  <c r="J113" i="1"/>
  <c r="J114" i="1"/>
  <c r="J117" i="1"/>
  <c r="B117" i="1"/>
  <c r="L115" i="1"/>
  <c r="L116" i="1"/>
  <c r="L109" i="1"/>
  <c r="L110" i="1"/>
  <c r="L111" i="1"/>
  <c r="L112" i="1"/>
  <c r="L113" i="1"/>
  <c r="L114" i="1"/>
  <c r="L117" i="1"/>
  <c r="O118" i="1"/>
  <c r="T115" i="1"/>
  <c r="T116" i="1"/>
  <c r="T109" i="1"/>
  <c r="X109" i="1"/>
  <c r="T110" i="1"/>
  <c r="T111" i="1"/>
  <c r="T112" i="1"/>
  <c r="T113" i="1"/>
  <c r="T114" i="1"/>
  <c r="T117" i="1"/>
  <c r="X110" i="1"/>
  <c r="X111" i="1"/>
  <c r="X112" i="1"/>
  <c r="X113" i="1"/>
  <c r="X114" i="1"/>
  <c r="X115" i="1"/>
  <c r="X117" i="1"/>
  <c r="X118" i="1"/>
  <c r="AB109" i="1"/>
  <c r="P109" i="1"/>
  <c r="U109" i="1"/>
  <c r="Y109" i="1"/>
  <c r="AC109" i="1"/>
  <c r="Q109" i="1"/>
  <c r="V109" i="1"/>
  <c r="Z109" i="1"/>
  <c r="AD109" i="1"/>
  <c r="AE109" i="1"/>
  <c r="AF109" i="1"/>
  <c r="AG109" i="1"/>
  <c r="AH109" i="1"/>
  <c r="AI109" i="1"/>
  <c r="N110" i="1"/>
  <c r="N111" i="1"/>
  <c r="N112" i="1"/>
  <c r="N113" i="1"/>
  <c r="N114" i="1"/>
  <c r="N117" i="1"/>
  <c r="N118" i="1"/>
  <c r="S115" i="1"/>
  <c r="S116" i="1"/>
  <c r="S110" i="1"/>
  <c r="W110" i="1"/>
  <c r="S111" i="1"/>
  <c r="S112" i="1"/>
  <c r="S113" i="1"/>
  <c r="S114" i="1"/>
  <c r="S117" i="1"/>
  <c r="W111" i="1"/>
  <c r="W112" i="1"/>
  <c r="W113" i="1"/>
  <c r="W114" i="1"/>
  <c r="W115" i="1"/>
  <c r="W117" i="1"/>
  <c r="W118" i="1"/>
  <c r="AA110" i="1"/>
  <c r="AB110" i="1"/>
  <c r="P110" i="1"/>
  <c r="P111" i="1"/>
  <c r="P112" i="1"/>
  <c r="P113" i="1"/>
  <c r="P114" i="1"/>
  <c r="P117" i="1"/>
  <c r="P118" i="1"/>
  <c r="U115" i="1"/>
  <c r="U116" i="1"/>
  <c r="U110" i="1"/>
  <c r="Y110" i="1"/>
  <c r="U111" i="1"/>
  <c r="U112" i="1"/>
  <c r="U113" i="1"/>
  <c r="U114" i="1"/>
  <c r="U117" i="1"/>
  <c r="Y111" i="1"/>
  <c r="Y112" i="1"/>
  <c r="Y113" i="1"/>
  <c r="Y114" i="1"/>
  <c r="Y115" i="1"/>
  <c r="Y117" i="1"/>
  <c r="Y118" i="1"/>
  <c r="AC110" i="1"/>
  <c r="Q110" i="1"/>
  <c r="Q111" i="1"/>
  <c r="Q112" i="1"/>
  <c r="Q113" i="1"/>
  <c r="Q114" i="1"/>
  <c r="Q117" i="1"/>
  <c r="Q118" i="1"/>
  <c r="V115" i="1"/>
  <c r="V116" i="1"/>
  <c r="V110" i="1"/>
  <c r="Z110" i="1"/>
  <c r="V111" i="1"/>
  <c r="V112" i="1"/>
  <c r="V113" i="1"/>
  <c r="V114" i="1"/>
  <c r="V117" i="1"/>
  <c r="Z111" i="1"/>
  <c r="Z112" i="1"/>
  <c r="Z113" i="1"/>
  <c r="Z114" i="1"/>
  <c r="Z115" i="1"/>
  <c r="Z117" i="1"/>
  <c r="Z118" i="1"/>
  <c r="AD110" i="1"/>
  <c r="AE110" i="1"/>
  <c r="AF110" i="1"/>
  <c r="AG110" i="1"/>
  <c r="AH110" i="1"/>
  <c r="AI110" i="1"/>
  <c r="AA111" i="1"/>
  <c r="AB111" i="1"/>
  <c r="AC111" i="1"/>
  <c r="AD111" i="1"/>
  <c r="AE111" i="1"/>
  <c r="AF111" i="1"/>
  <c r="AG111" i="1"/>
  <c r="AH111" i="1"/>
  <c r="AI111" i="1"/>
  <c r="AA112" i="1"/>
  <c r="AB112" i="1"/>
  <c r="AC112" i="1"/>
  <c r="AD112" i="1"/>
  <c r="AE112" i="1"/>
  <c r="AF112" i="1"/>
  <c r="AG112" i="1"/>
  <c r="AH112" i="1"/>
  <c r="AI112" i="1"/>
  <c r="AA113" i="1"/>
  <c r="AB113" i="1"/>
  <c r="AC113" i="1"/>
  <c r="AD113" i="1"/>
  <c r="AE113" i="1"/>
  <c r="AF113" i="1"/>
  <c r="AG113" i="1"/>
  <c r="AH113" i="1"/>
  <c r="AI113" i="1"/>
  <c r="AA114" i="1"/>
  <c r="AB114" i="1"/>
  <c r="AC114" i="1"/>
  <c r="AD114" i="1"/>
  <c r="AE114" i="1"/>
  <c r="AF114" i="1"/>
  <c r="AG114" i="1"/>
  <c r="AH114" i="1"/>
  <c r="AI114" i="1"/>
  <c r="C120" i="1"/>
  <c r="B120" i="1"/>
  <c r="N120" i="1"/>
  <c r="C121" i="1"/>
  <c r="B121" i="1"/>
  <c r="N121" i="1"/>
  <c r="C122" i="1"/>
  <c r="B122" i="1"/>
  <c r="N122" i="1"/>
  <c r="C123" i="1"/>
  <c r="B123" i="1"/>
  <c r="N123" i="1"/>
  <c r="C124" i="1"/>
  <c r="B124" i="1"/>
  <c r="N124" i="1"/>
  <c r="C125" i="1"/>
  <c r="B125" i="1"/>
  <c r="N125" i="1"/>
  <c r="C126" i="1"/>
  <c r="B126" i="1"/>
  <c r="N126" i="1"/>
  <c r="C127" i="1"/>
  <c r="B127" i="1"/>
  <c r="N127" i="1"/>
  <c r="C128" i="1"/>
  <c r="B128" i="1"/>
  <c r="N128" i="1"/>
  <c r="C129" i="1"/>
  <c r="B129" i="1"/>
  <c r="N129" i="1"/>
  <c r="C130" i="1"/>
  <c r="B130" i="1"/>
  <c r="N130" i="1"/>
  <c r="C131" i="1"/>
  <c r="B131" i="1"/>
  <c r="N131" i="1"/>
  <c r="C132" i="1"/>
  <c r="B132" i="1"/>
  <c r="N132" i="1"/>
  <c r="C133" i="1"/>
  <c r="B133" i="1"/>
  <c r="N133" i="1"/>
  <c r="C134" i="1"/>
  <c r="B134" i="1"/>
  <c r="N134" i="1"/>
  <c r="C135" i="1"/>
  <c r="B135" i="1"/>
  <c r="N135" i="1"/>
  <c r="C136" i="1"/>
  <c r="B136" i="1"/>
  <c r="N136" i="1"/>
  <c r="C137" i="1"/>
  <c r="B137" i="1"/>
  <c r="N137" i="1"/>
  <c r="C138" i="1"/>
  <c r="B138" i="1"/>
  <c r="N138" i="1"/>
  <c r="C139" i="1"/>
  <c r="B139" i="1"/>
  <c r="N139" i="1"/>
  <c r="C140" i="1"/>
  <c r="B140" i="1"/>
  <c r="N140" i="1"/>
  <c r="C141" i="1"/>
  <c r="B141" i="1"/>
  <c r="N141" i="1"/>
  <c r="C142" i="1"/>
  <c r="B142" i="1"/>
  <c r="N142" i="1"/>
  <c r="C143" i="1"/>
  <c r="B143" i="1"/>
  <c r="N143" i="1"/>
  <c r="C144" i="1"/>
  <c r="B144" i="1"/>
  <c r="N144" i="1"/>
  <c r="C145" i="1"/>
  <c r="B145" i="1"/>
  <c r="N145" i="1"/>
  <c r="C146" i="1"/>
  <c r="B146" i="1"/>
  <c r="N146" i="1"/>
  <c r="C147" i="1"/>
  <c r="B147" i="1"/>
  <c r="N147" i="1"/>
  <c r="C148" i="1"/>
  <c r="B148" i="1"/>
  <c r="N148" i="1"/>
  <c r="C149" i="1"/>
  <c r="B149" i="1"/>
  <c r="N149" i="1"/>
  <c r="C150" i="1"/>
  <c r="B150" i="1"/>
  <c r="N150" i="1"/>
  <c r="C151" i="1"/>
  <c r="B151" i="1"/>
  <c r="N151" i="1"/>
  <c r="C152" i="1"/>
  <c r="B152" i="1"/>
  <c r="N152" i="1"/>
  <c r="C153" i="1"/>
  <c r="B153" i="1"/>
  <c r="N153" i="1"/>
  <c r="C154" i="1"/>
  <c r="B154" i="1"/>
  <c r="N154" i="1"/>
  <c r="C155" i="1"/>
  <c r="B155" i="1"/>
  <c r="N155" i="1"/>
  <c r="C156" i="1"/>
  <c r="B156" i="1"/>
  <c r="N156" i="1"/>
  <c r="C157" i="1"/>
  <c r="B157" i="1"/>
  <c r="N157" i="1"/>
  <c r="C158" i="1"/>
  <c r="B158" i="1"/>
  <c r="N158" i="1"/>
  <c r="C159" i="1"/>
  <c r="B159" i="1"/>
  <c r="N159" i="1"/>
  <c r="C160" i="1"/>
  <c r="B160" i="1"/>
  <c r="N160" i="1"/>
  <c r="C161" i="1"/>
  <c r="B161" i="1"/>
  <c r="N161" i="1"/>
  <c r="C162" i="1"/>
  <c r="B162" i="1"/>
  <c r="N162" i="1"/>
  <c r="C163" i="1"/>
  <c r="B163" i="1"/>
  <c r="N163" i="1"/>
  <c r="C164" i="1"/>
  <c r="B164" i="1"/>
  <c r="N164" i="1"/>
  <c r="C165" i="1"/>
  <c r="B165" i="1"/>
  <c r="N165" i="1"/>
  <c r="C166" i="1"/>
  <c r="B166" i="1"/>
  <c r="N166" i="1"/>
  <c r="C167" i="1"/>
  <c r="B167" i="1"/>
  <c r="N167" i="1"/>
  <c r="C168" i="1"/>
  <c r="B168" i="1"/>
  <c r="N168" i="1"/>
  <c r="C169" i="1"/>
  <c r="B169" i="1"/>
  <c r="N169" i="1"/>
  <c r="C170" i="1"/>
  <c r="B170" i="1"/>
  <c r="N170" i="1"/>
  <c r="C171" i="1"/>
  <c r="B171" i="1"/>
  <c r="N171" i="1"/>
  <c r="C172" i="1"/>
  <c r="B172" i="1"/>
  <c r="N172" i="1"/>
  <c r="C173" i="1"/>
  <c r="B173" i="1"/>
  <c r="N173" i="1"/>
  <c r="C174" i="1"/>
  <c r="B174" i="1"/>
  <c r="N174" i="1"/>
  <c r="N175" i="1"/>
  <c r="C176" i="1"/>
  <c r="B176" i="1"/>
  <c r="N176" i="1"/>
  <c r="C177" i="1"/>
  <c r="B177" i="1"/>
  <c r="N177" i="1"/>
  <c r="C178" i="1"/>
  <c r="B178" i="1"/>
  <c r="N178" i="1"/>
  <c r="C179" i="1"/>
  <c r="B179" i="1"/>
  <c r="N179" i="1"/>
  <c r="C180" i="1"/>
  <c r="B180" i="1"/>
  <c r="N180" i="1"/>
  <c r="C181" i="1"/>
  <c r="B181" i="1"/>
  <c r="N181" i="1"/>
  <c r="C182" i="1"/>
  <c r="B182" i="1"/>
  <c r="N182" i="1"/>
  <c r="C183" i="1"/>
  <c r="B183" i="1"/>
  <c r="N183" i="1"/>
  <c r="C184" i="1"/>
  <c r="B184" i="1"/>
  <c r="N184" i="1"/>
  <c r="C185" i="1"/>
  <c r="B185" i="1"/>
  <c r="N185" i="1"/>
  <c r="C186" i="1"/>
  <c r="B186" i="1"/>
  <c r="N186" i="1"/>
  <c r="C187" i="1"/>
  <c r="B187" i="1"/>
  <c r="N187" i="1"/>
  <c r="C188" i="1"/>
  <c r="B188" i="1"/>
  <c r="N188" i="1"/>
  <c r="C189" i="1"/>
  <c r="B189" i="1"/>
  <c r="N189" i="1"/>
  <c r="C190" i="1"/>
  <c r="B190" i="1"/>
  <c r="N190" i="1"/>
  <c r="C191" i="1"/>
  <c r="B191" i="1"/>
  <c r="N191" i="1"/>
  <c r="C192" i="1"/>
  <c r="B192" i="1"/>
  <c r="N192" i="1"/>
  <c r="C193" i="1"/>
  <c r="B193" i="1"/>
  <c r="N193" i="1"/>
  <c r="C194" i="1"/>
  <c r="B194" i="1"/>
  <c r="N194" i="1"/>
  <c r="C195" i="1"/>
  <c r="B195" i="1"/>
  <c r="N195" i="1"/>
  <c r="C196" i="1"/>
  <c r="B196" i="1"/>
  <c r="N196" i="1"/>
  <c r="C197" i="1"/>
  <c r="B197" i="1"/>
  <c r="N197" i="1"/>
  <c r="C199" i="1"/>
  <c r="B199" i="1"/>
  <c r="N199" i="1"/>
  <c r="C200" i="1"/>
  <c r="B200" i="1"/>
  <c r="N200" i="1"/>
  <c r="C201" i="1"/>
  <c r="B201" i="1"/>
  <c r="N201" i="1"/>
  <c r="C202" i="1"/>
  <c r="B202" i="1"/>
  <c r="N202" i="1"/>
  <c r="C203" i="1"/>
  <c r="B203" i="1"/>
  <c r="N203" i="1"/>
  <c r="C204" i="1"/>
  <c r="B204" i="1"/>
  <c r="N204" i="1"/>
  <c r="C205" i="1"/>
  <c r="B205" i="1"/>
  <c r="N205" i="1"/>
  <c r="C206" i="1"/>
  <c r="B206" i="1"/>
  <c r="N206" i="1"/>
  <c r="C207" i="1"/>
  <c r="B207" i="1"/>
  <c r="N207" i="1"/>
  <c r="C208" i="1"/>
  <c r="B208" i="1"/>
  <c r="N208" i="1"/>
  <c r="C209" i="1"/>
  <c r="B209" i="1"/>
  <c r="N209" i="1"/>
  <c r="C210" i="1"/>
  <c r="B210" i="1"/>
  <c r="N210" i="1"/>
  <c r="C211" i="1"/>
  <c r="B211" i="1"/>
  <c r="N211" i="1"/>
  <c r="C212" i="1"/>
  <c r="B212" i="1"/>
  <c r="N212" i="1"/>
  <c r="C214" i="1"/>
  <c r="B214" i="1"/>
  <c r="N214" i="1"/>
  <c r="C215" i="1"/>
  <c r="B215" i="1"/>
  <c r="N215" i="1"/>
  <c r="C216" i="1"/>
  <c r="B216" i="1"/>
  <c r="N216" i="1"/>
  <c r="C217" i="1"/>
  <c r="B217" i="1"/>
  <c r="N217" i="1"/>
  <c r="C218" i="1"/>
  <c r="B218" i="1"/>
  <c r="N218" i="1"/>
  <c r="C219" i="1"/>
  <c r="B219" i="1"/>
  <c r="N219" i="1"/>
  <c r="C220" i="1"/>
  <c r="B220" i="1"/>
  <c r="N220" i="1"/>
  <c r="C222" i="1"/>
  <c r="B222" i="1"/>
  <c r="N222" i="1"/>
  <c r="C223" i="1"/>
  <c r="B223" i="1"/>
  <c r="N223" i="1"/>
  <c r="C224" i="1"/>
  <c r="B224" i="1"/>
  <c r="N224" i="1"/>
  <c r="C225" i="1"/>
  <c r="B225" i="1"/>
  <c r="N225" i="1"/>
  <c r="C226" i="1"/>
  <c r="B226" i="1"/>
  <c r="N226" i="1"/>
  <c r="C227" i="1"/>
  <c r="B227" i="1"/>
  <c r="N227" i="1"/>
  <c r="C228" i="1"/>
  <c r="B228" i="1"/>
  <c r="N228" i="1"/>
  <c r="C229" i="1"/>
  <c r="B229" i="1"/>
  <c r="N229" i="1"/>
  <c r="C230" i="1"/>
  <c r="B230" i="1"/>
  <c r="N230" i="1"/>
  <c r="C231" i="1"/>
  <c r="B231" i="1"/>
  <c r="N231" i="1"/>
  <c r="C232" i="1"/>
  <c r="B232" i="1"/>
  <c r="N232" i="1"/>
  <c r="C233" i="1"/>
  <c r="B233" i="1"/>
  <c r="N233" i="1"/>
  <c r="C234" i="1"/>
  <c r="B234" i="1"/>
  <c r="N234" i="1"/>
  <c r="C235" i="1"/>
  <c r="B235" i="1"/>
  <c r="N235" i="1"/>
  <c r="C236" i="1"/>
  <c r="B236" i="1"/>
  <c r="N236" i="1"/>
  <c r="C237" i="1"/>
  <c r="B237" i="1"/>
  <c r="N237" i="1"/>
  <c r="C238" i="1"/>
  <c r="B238" i="1"/>
  <c r="N238" i="1"/>
  <c r="C239" i="1"/>
  <c r="B239" i="1"/>
  <c r="N239" i="1"/>
  <c r="C240" i="1"/>
  <c r="B240" i="1"/>
  <c r="N240" i="1"/>
  <c r="C241" i="1"/>
  <c r="B241" i="1"/>
  <c r="N241" i="1"/>
  <c r="C242" i="1"/>
  <c r="B242" i="1"/>
  <c r="N242" i="1"/>
  <c r="C243" i="1"/>
  <c r="B243" i="1"/>
  <c r="N243" i="1"/>
  <c r="C244" i="1"/>
  <c r="B244" i="1"/>
  <c r="N244" i="1"/>
  <c r="C245" i="1"/>
  <c r="B245" i="1"/>
  <c r="N245" i="1"/>
  <c r="C246" i="1"/>
  <c r="B246" i="1"/>
  <c r="N246" i="1"/>
  <c r="C247" i="1"/>
  <c r="B247" i="1"/>
  <c r="N247" i="1"/>
  <c r="C248" i="1"/>
  <c r="B248" i="1"/>
  <c r="N248" i="1"/>
  <c r="C249" i="1"/>
  <c r="B249" i="1"/>
  <c r="N249" i="1"/>
  <c r="C250" i="1"/>
  <c r="B250" i="1"/>
  <c r="N250" i="1"/>
  <c r="C253" i="1"/>
  <c r="B253" i="1"/>
  <c r="N253" i="1"/>
  <c r="C254" i="1"/>
  <c r="B254" i="1"/>
  <c r="N254" i="1"/>
  <c r="C255" i="1"/>
  <c r="B255" i="1"/>
  <c r="N255" i="1"/>
  <c r="C256" i="1"/>
  <c r="B256" i="1"/>
  <c r="N256" i="1"/>
  <c r="C257" i="1"/>
  <c r="B257" i="1"/>
  <c r="N257" i="1"/>
  <c r="C258" i="1"/>
  <c r="B258" i="1"/>
  <c r="N258" i="1"/>
  <c r="C259" i="1"/>
  <c r="B259" i="1"/>
  <c r="N259" i="1"/>
  <c r="C260" i="1"/>
  <c r="B260" i="1"/>
  <c r="N260" i="1"/>
  <c r="C261" i="1"/>
  <c r="B261" i="1"/>
  <c r="N261" i="1"/>
  <c r="C262" i="1"/>
  <c r="B262" i="1"/>
  <c r="N262" i="1"/>
  <c r="C263" i="1"/>
  <c r="B263" i="1"/>
  <c r="N263" i="1"/>
  <c r="C264" i="1"/>
  <c r="B264" i="1"/>
  <c r="N264" i="1"/>
  <c r="C265" i="1"/>
  <c r="B265" i="1"/>
  <c r="N265" i="1"/>
  <c r="C266" i="1"/>
  <c r="B266" i="1"/>
  <c r="N266" i="1"/>
  <c r="C267" i="1"/>
  <c r="B267" i="1"/>
  <c r="N267" i="1"/>
  <c r="C269" i="1"/>
  <c r="B269" i="1"/>
  <c r="N269" i="1"/>
  <c r="C270" i="1"/>
  <c r="B270" i="1"/>
  <c r="N270" i="1"/>
  <c r="C271" i="1"/>
  <c r="B271" i="1"/>
  <c r="N271" i="1"/>
  <c r="C272" i="1"/>
  <c r="B272" i="1"/>
  <c r="N272" i="1"/>
  <c r="C273" i="1"/>
  <c r="B273" i="1"/>
  <c r="N273" i="1"/>
  <c r="C274" i="1"/>
  <c r="B274" i="1"/>
  <c r="N274" i="1"/>
  <c r="C275" i="1"/>
  <c r="B275" i="1"/>
  <c r="N275" i="1"/>
  <c r="C276" i="1"/>
  <c r="B276" i="1"/>
  <c r="N276" i="1"/>
  <c r="C277" i="1"/>
  <c r="B277" i="1"/>
  <c r="N277" i="1"/>
  <c r="C278" i="1"/>
  <c r="B278" i="1"/>
  <c r="N278" i="1"/>
  <c r="C279" i="1"/>
  <c r="B279" i="1"/>
  <c r="N279" i="1"/>
  <c r="C280" i="1"/>
  <c r="B280" i="1"/>
  <c r="N280" i="1"/>
  <c r="C281" i="1"/>
  <c r="B281" i="1"/>
  <c r="N281" i="1"/>
  <c r="C282" i="1"/>
  <c r="B282" i="1"/>
  <c r="N282" i="1"/>
  <c r="C283" i="1"/>
  <c r="B283" i="1"/>
  <c r="N283" i="1"/>
  <c r="C285" i="1"/>
  <c r="B285" i="1"/>
  <c r="N285" i="1"/>
  <c r="C286" i="1"/>
  <c r="B286" i="1"/>
  <c r="N286" i="1"/>
  <c r="C287" i="1"/>
  <c r="B287" i="1"/>
  <c r="N287" i="1"/>
  <c r="C288" i="1"/>
  <c r="B288" i="1"/>
  <c r="N288" i="1"/>
  <c r="C289" i="1"/>
  <c r="B289" i="1"/>
  <c r="N289" i="1"/>
  <c r="C290" i="1"/>
  <c r="B290" i="1"/>
  <c r="N290" i="1"/>
  <c r="C291" i="1"/>
  <c r="B291" i="1"/>
  <c r="N291" i="1"/>
  <c r="C296" i="1"/>
  <c r="B296" i="1"/>
  <c r="N296" i="1"/>
  <c r="C297" i="1"/>
  <c r="B297" i="1"/>
  <c r="N297" i="1"/>
  <c r="C298" i="1"/>
  <c r="B298" i="1"/>
  <c r="N298" i="1"/>
  <c r="C299" i="1"/>
  <c r="B299" i="1"/>
  <c r="N299" i="1"/>
  <c r="C300" i="1"/>
  <c r="B300" i="1"/>
  <c r="N300" i="1"/>
  <c r="C302" i="1"/>
  <c r="B302" i="1"/>
  <c r="N302" i="1"/>
  <c r="C304" i="1"/>
  <c r="B304" i="1"/>
  <c r="N304" i="1"/>
  <c r="C305" i="1"/>
  <c r="B305" i="1"/>
  <c r="N305" i="1"/>
  <c r="C306" i="1"/>
  <c r="B306" i="1"/>
  <c r="N306" i="1"/>
  <c r="C307" i="1"/>
  <c r="B307" i="1"/>
  <c r="N307" i="1"/>
  <c r="C308" i="1"/>
  <c r="B308" i="1"/>
  <c r="N308" i="1"/>
  <c r="C309" i="1"/>
  <c r="B309" i="1"/>
  <c r="N309" i="1"/>
  <c r="C310" i="1"/>
  <c r="B310" i="1"/>
  <c r="N310" i="1"/>
  <c r="C311" i="1"/>
  <c r="B311" i="1"/>
  <c r="N311" i="1"/>
  <c r="C312" i="1"/>
  <c r="B312" i="1"/>
  <c r="N312" i="1"/>
  <c r="C313" i="1"/>
  <c r="B313" i="1"/>
  <c r="N313" i="1"/>
  <c r="C314" i="1"/>
  <c r="B314" i="1"/>
  <c r="N314" i="1"/>
  <c r="C315" i="1"/>
  <c r="B315" i="1"/>
  <c r="N315" i="1"/>
  <c r="C316" i="1"/>
  <c r="B316" i="1"/>
  <c r="N316" i="1"/>
  <c r="C318" i="1"/>
  <c r="B318" i="1"/>
  <c r="N318" i="1"/>
  <c r="C320" i="1"/>
  <c r="B320" i="1"/>
  <c r="N320" i="1"/>
  <c r="C322" i="1"/>
  <c r="B322" i="1"/>
  <c r="N322" i="1"/>
  <c r="C323" i="1"/>
  <c r="B323" i="1"/>
  <c r="N323" i="1"/>
  <c r="C324" i="1"/>
  <c r="B324" i="1"/>
  <c r="N324" i="1"/>
  <c r="C327" i="1"/>
  <c r="B327" i="1"/>
  <c r="N327" i="1"/>
  <c r="C328" i="1"/>
  <c r="B328" i="1"/>
  <c r="N328" i="1"/>
  <c r="C329" i="1"/>
  <c r="B329" i="1"/>
  <c r="N329" i="1"/>
  <c r="C330" i="1"/>
  <c r="B330" i="1"/>
  <c r="N330" i="1"/>
  <c r="C331" i="1"/>
  <c r="B331" i="1"/>
  <c r="N331" i="1"/>
  <c r="C333" i="1"/>
  <c r="B333" i="1"/>
  <c r="N333" i="1"/>
  <c r="C334" i="1"/>
  <c r="B334" i="1"/>
  <c r="N334" i="1"/>
  <c r="C337" i="1"/>
  <c r="B337" i="1"/>
  <c r="N337" i="1"/>
  <c r="C338" i="1"/>
  <c r="B338" i="1"/>
  <c r="N338" i="1"/>
  <c r="C339" i="1"/>
  <c r="B339" i="1"/>
  <c r="N339" i="1"/>
  <c r="C340" i="1"/>
  <c r="B340" i="1"/>
  <c r="N340" i="1"/>
  <c r="C341" i="1"/>
  <c r="B341" i="1"/>
  <c r="N341" i="1"/>
  <c r="C342" i="1"/>
  <c r="B342" i="1"/>
  <c r="N342" i="1"/>
  <c r="C343" i="1"/>
  <c r="B343" i="1"/>
  <c r="N343" i="1"/>
  <c r="C344" i="1"/>
  <c r="B344" i="1"/>
  <c r="N344" i="1"/>
  <c r="C345" i="1"/>
  <c r="B345" i="1"/>
  <c r="N345" i="1"/>
  <c r="C346" i="1"/>
  <c r="B346" i="1"/>
  <c r="N346" i="1"/>
  <c r="N356" i="1"/>
  <c r="J176"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356"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C213"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C251" i="1"/>
  <c r="J251" i="1"/>
  <c r="J252" i="1"/>
  <c r="J253" i="1"/>
  <c r="J254" i="1"/>
  <c r="J255" i="1"/>
  <c r="J256" i="1"/>
  <c r="J257" i="1"/>
  <c r="J258" i="1"/>
  <c r="J259" i="1"/>
  <c r="J260" i="1"/>
  <c r="J261" i="1"/>
  <c r="J262" i="1"/>
  <c r="J263" i="1"/>
  <c r="J264" i="1"/>
  <c r="J265" i="1"/>
  <c r="J266" i="1"/>
  <c r="J267" i="1"/>
  <c r="C268" i="1"/>
  <c r="J268" i="1"/>
  <c r="J269" i="1"/>
  <c r="J270" i="1"/>
  <c r="J271" i="1"/>
  <c r="J272" i="1"/>
  <c r="J273" i="1"/>
  <c r="J274" i="1"/>
  <c r="J275" i="1"/>
  <c r="J276" i="1"/>
  <c r="J277" i="1"/>
  <c r="J278" i="1"/>
  <c r="J279" i="1"/>
  <c r="J280" i="1"/>
  <c r="J281" i="1"/>
  <c r="J282" i="1"/>
  <c r="J283" i="1"/>
  <c r="C284" i="1"/>
  <c r="J284" i="1"/>
  <c r="J285" i="1"/>
  <c r="J286" i="1"/>
  <c r="J287" i="1"/>
  <c r="J288" i="1"/>
  <c r="J289" i="1"/>
  <c r="J290" i="1"/>
  <c r="J291" i="1"/>
  <c r="J292" i="1"/>
  <c r="J293" i="1"/>
  <c r="J294" i="1"/>
  <c r="C295" i="1"/>
  <c r="J295" i="1"/>
  <c r="J296" i="1"/>
  <c r="J297" i="1"/>
  <c r="J298" i="1"/>
  <c r="J299" i="1"/>
  <c r="J300" i="1"/>
  <c r="C301" i="1"/>
  <c r="J301" i="1"/>
  <c r="J302" i="1"/>
  <c r="C303" i="1"/>
  <c r="J303" i="1"/>
  <c r="J304" i="1"/>
  <c r="J305" i="1"/>
  <c r="J306" i="1"/>
  <c r="J307" i="1"/>
  <c r="J308" i="1"/>
  <c r="J309" i="1"/>
  <c r="J310" i="1"/>
  <c r="J311" i="1"/>
  <c r="J312" i="1"/>
  <c r="J313" i="1"/>
  <c r="J314" i="1"/>
  <c r="J315" i="1"/>
  <c r="J316" i="1"/>
  <c r="J317" i="1"/>
  <c r="J318" i="1"/>
  <c r="C319" i="1"/>
  <c r="J319" i="1"/>
  <c r="J320" i="1"/>
  <c r="C321" i="1"/>
  <c r="J321" i="1"/>
  <c r="J322" i="1"/>
  <c r="J323" i="1"/>
  <c r="J324" i="1"/>
  <c r="C325" i="1"/>
  <c r="J325" i="1"/>
  <c r="C326" i="1"/>
  <c r="J326" i="1"/>
  <c r="J327" i="1"/>
  <c r="J328" i="1"/>
  <c r="J329" i="1"/>
  <c r="J330" i="1"/>
  <c r="J331" i="1"/>
  <c r="C332" i="1"/>
  <c r="J332" i="1"/>
  <c r="J333" i="1"/>
  <c r="J334" i="1"/>
  <c r="C335" i="1"/>
  <c r="J335" i="1"/>
  <c r="C336" i="1"/>
  <c r="J336" i="1"/>
  <c r="J337" i="1"/>
  <c r="J338" i="1"/>
  <c r="J339" i="1"/>
  <c r="J340" i="1"/>
  <c r="J341" i="1"/>
  <c r="J342" i="1"/>
  <c r="J343" i="1"/>
  <c r="J344" i="1"/>
  <c r="J345" i="1"/>
  <c r="J346" i="1"/>
  <c r="C347" i="1"/>
  <c r="J347" i="1"/>
  <c r="J348" i="1"/>
  <c r="J349" i="1"/>
  <c r="C350" i="1"/>
  <c r="J350" i="1"/>
  <c r="C351" i="1"/>
  <c r="J351" i="1"/>
  <c r="J352" i="1"/>
  <c r="J353" i="1"/>
  <c r="J354" i="1"/>
  <c r="J356" i="1"/>
  <c r="B356" i="1"/>
  <c r="L176" i="1"/>
  <c r="L177" i="1"/>
  <c r="L178" i="1"/>
  <c r="L179" i="1"/>
  <c r="L180" i="1"/>
  <c r="L181" i="1"/>
  <c r="L182" i="1"/>
  <c r="L183" i="1"/>
  <c r="L184" i="1"/>
  <c r="L185" i="1"/>
  <c r="L186" i="1"/>
  <c r="L187" i="1"/>
  <c r="L188" i="1"/>
  <c r="L189" i="1"/>
  <c r="L190" i="1"/>
  <c r="L191" i="1"/>
  <c r="L192" i="1"/>
  <c r="L193" i="1"/>
  <c r="L194" i="1"/>
  <c r="L195" i="1"/>
  <c r="L196" i="1"/>
  <c r="L197" i="1"/>
  <c r="L198" i="1"/>
  <c r="L199" i="1"/>
  <c r="L200" i="1"/>
  <c r="L201" i="1"/>
  <c r="L202" i="1"/>
  <c r="L203" i="1"/>
  <c r="L204" i="1"/>
  <c r="L205" i="1"/>
  <c r="L206" i="1"/>
  <c r="L207" i="1"/>
  <c r="L208" i="1"/>
  <c r="L209" i="1"/>
  <c r="L210" i="1"/>
  <c r="L211" i="1"/>
  <c r="L212" i="1"/>
  <c r="L213" i="1"/>
  <c r="L214" i="1"/>
  <c r="L215" i="1"/>
  <c r="L216"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44" i="1"/>
  <c r="L245" i="1"/>
  <c r="L246" i="1"/>
  <c r="L247" i="1"/>
  <c r="L248" i="1"/>
  <c r="L249" i="1"/>
  <c r="L250" i="1"/>
  <c r="L251" i="1"/>
  <c r="L252" i="1"/>
  <c r="L253" i="1"/>
  <c r="L254" i="1"/>
  <c r="L255" i="1"/>
  <c r="L256" i="1"/>
  <c r="L257" i="1"/>
  <c r="L258" i="1"/>
  <c r="L259" i="1"/>
  <c r="L260" i="1"/>
  <c r="L261" i="1"/>
  <c r="L262" i="1"/>
  <c r="L263" i="1"/>
  <c r="L264" i="1"/>
  <c r="L265" i="1"/>
  <c r="L266" i="1"/>
  <c r="L267" i="1"/>
  <c r="L268" i="1"/>
  <c r="L269" i="1"/>
  <c r="L270" i="1"/>
  <c r="L271" i="1"/>
  <c r="L272" i="1"/>
  <c r="L273" i="1"/>
  <c r="L274" i="1"/>
  <c r="L275" i="1"/>
  <c r="L276" i="1"/>
  <c r="L277" i="1"/>
  <c r="L278" i="1"/>
  <c r="L279" i="1"/>
  <c r="L280" i="1"/>
  <c r="L281" i="1"/>
  <c r="L282" i="1"/>
  <c r="L283" i="1"/>
  <c r="L284" i="1"/>
  <c r="L285" i="1"/>
  <c r="L286" i="1"/>
  <c r="L287" i="1"/>
  <c r="L288" i="1"/>
  <c r="L289" i="1"/>
  <c r="L290" i="1"/>
  <c r="L291" i="1"/>
  <c r="L292" i="1"/>
  <c r="L293" i="1"/>
  <c r="L294" i="1"/>
  <c r="L295" i="1"/>
  <c r="L296" i="1"/>
  <c r="L297" i="1"/>
  <c r="L298" i="1"/>
  <c r="L299" i="1"/>
  <c r="L300" i="1"/>
  <c r="L301" i="1"/>
  <c r="L302" i="1"/>
  <c r="L303" i="1"/>
  <c r="L304" i="1"/>
  <c r="L305" i="1"/>
  <c r="L306" i="1"/>
  <c r="L307" i="1"/>
  <c r="L308" i="1"/>
  <c r="L309" i="1"/>
  <c r="L310" i="1"/>
  <c r="L311" i="1"/>
  <c r="L312" i="1"/>
  <c r="L313" i="1"/>
  <c r="L314" i="1"/>
  <c r="L315" i="1"/>
  <c r="L316" i="1"/>
  <c r="L317" i="1"/>
  <c r="L318" i="1"/>
  <c r="L319" i="1"/>
  <c r="L320" i="1"/>
  <c r="L321" i="1"/>
  <c r="L322" i="1"/>
  <c r="L323" i="1"/>
  <c r="L324" i="1"/>
  <c r="L325" i="1"/>
  <c r="L326" i="1"/>
  <c r="L327" i="1"/>
  <c r="L328" i="1"/>
  <c r="L329" i="1"/>
  <c r="L330" i="1"/>
  <c r="L331" i="1"/>
  <c r="L332" i="1"/>
  <c r="L333" i="1"/>
  <c r="L334" i="1"/>
  <c r="L335" i="1"/>
  <c r="L336" i="1"/>
  <c r="L337" i="1"/>
  <c r="L338" i="1"/>
  <c r="L339" i="1"/>
  <c r="L340" i="1"/>
  <c r="L341" i="1"/>
  <c r="L342" i="1"/>
  <c r="L343" i="1"/>
  <c r="L344" i="1"/>
  <c r="L345" i="1"/>
  <c r="L346" i="1"/>
  <c r="L347" i="1"/>
  <c r="L348" i="1"/>
  <c r="L349" i="1"/>
  <c r="L350" i="1"/>
  <c r="L351" i="1"/>
  <c r="L352" i="1"/>
  <c r="L353" i="1"/>
  <c r="L354" i="1"/>
  <c r="L355" i="1"/>
  <c r="L120" i="1"/>
  <c r="L121" i="1"/>
  <c r="L122" i="1"/>
  <c r="L123" i="1"/>
  <c r="L124" i="1"/>
  <c r="L125" i="1"/>
  <c r="L126" i="1"/>
  <c r="L127" i="1"/>
  <c r="L128" i="1"/>
  <c r="L129" i="1"/>
  <c r="L130" i="1"/>
  <c r="L131" i="1"/>
  <c r="L132" i="1"/>
  <c r="L133" i="1"/>
  <c r="L134" i="1"/>
  <c r="L135" i="1"/>
  <c r="L136" i="1"/>
  <c r="L137" i="1"/>
  <c r="L138" i="1"/>
  <c r="L139" i="1"/>
  <c r="L140" i="1"/>
  <c r="L141" i="1"/>
  <c r="L142" i="1"/>
  <c r="L143" i="1"/>
  <c r="L144" i="1"/>
  <c r="L145" i="1"/>
  <c r="L146" i="1"/>
  <c r="L147" i="1"/>
  <c r="L148" i="1"/>
  <c r="L149" i="1"/>
  <c r="L150" i="1"/>
  <c r="L151" i="1"/>
  <c r="L152" i="1"/>
  <c r="L153" i="1"/>
  <c r="L154" i="1"/>
  <c r="L155" i="1"/>
  <c r="L156" i="1"/>
  <c r="L157" i="1"/>
  <c r="L158" i="1"/>
  <c r="L159" i="1"/>
  <c r="L160" i="1"/>
  <c r="L161" i="1"/>
  <c r="L162" i="1"/>
  <c r="L163" i="1"/>
  <c r="L164" i="1"/>
  <c r="L165" i="1"/>
  <c r="L166" i="1"/>
  <c r="L167" i="1"/>
  <c r="L168" i="1"/>
  <c r="L169" i="1"/>
  <c r="L170" i="1"/>
  <c r="L171" i="1"/>
  <c r="L172" i="1"/>
  <c r="L173" i="1"/>
  <c r="L174" i="1"/>
  <c r="L356" i="1"/>
  <c r="N357"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309" i="1"/>
  <c r="S310" i="1"/>
  <c r="S311" i="1"/>
  <c r="S312" i="1"/>
  <c r="S313" i="1"/>
  <c r="S314" i="1"/>
  <c r="S315" i="1"/>
  <c r="S316" i="1"/>
  <c r="S317" i="1"/>
  <c r="S318" i="1"/>
  <c r="S319" i="1"/>
  <c r="S320" i="1"/>
  <c r="S321" i="1"/>
  <c r="S322" i="1"/>
  <c r="S323" i="1"/>
  <c r="S324" i="1"/>
  <c r="S325" i="1"/>
  <c r="S326" i="1"/>
  <c r="S327" i="1"/>
  <c r="S328" i="1"/>
  <c r="S329" i="1"/>
  <c r="S330" i="1"/>
  <c r="S331" i="1"/>
  <c r="S332" i="1"/>
  <c r="S333" i="1"/>
  <c r="S334" i="1"/>
  <c r="S335" i="1"/>
  <c r="S336" i="1"/>
  <c r="S337" i="1"/>
  <c r="S338" i="1"/>
  <c r="S339" i="1"/>
  <c r="S340" i="1"/>
  <c r="S341" i="1"/>
  <c r="S342" i="1"/>
  <c r="S343" i="1"/>
  <c r="S344" i="1"/>
  <c r="S345" i="1"/>
  <c r="S346" i="1"/>
  <c r="S347" i="1"/>
  <c r="S348" i="1"/>
  <c r="S349" i="1"/>
  <c r="S350" i="1"/>
  <c r="S351" i="1"/>
  <c r="S352" i="1"/>
  <c r="S353" i="1"/>
  <c r="S354" i="1"/>
  <c r="S355" i="1"/>
  <c r="S120" i="1"/>
  <c r="W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356"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I176" i="1"/>
  <c r="K176" i="1"/>
  <c r="W176" i="1"/>
  <c r="I177" i="1"/>
  <c r="K177" i="1"/>
  <c r="W177" i="1"/>
  <c r="I178" i="1"/>
  <c r="K178" i="1"/>
  <c r="W178" i="1"/>
  <c r="I179" i="1"/>
  <c r="K179" i="1"/>
  <c r="W179" i="1"/>
  <c r="I180" i="1"/>
  <c r="K180" i="1"/>
  <c r="W180" i="1"/>
  <c r="I181" i="1"/>
  <c r="K181" i="1"/>
  <c r="W181" i="1"/>
  <c r="I182" i="1"/>
  <c r="K182" i="1"/>
  <c r="W182" i="1"/>
  <c r="I183" i="1"/>
  <c r="K183" i="1"/>
  <c r="W183" i="1"/>
  <c r="I184" i="1"/>
  <c r="K184" i="1"/>
  <c r="W184" i="1"/>
  <c r="I185" i="1"/>
  <c r="K185" i="1"/>
  <c r="W185" i="1"/>
  <c r="I186" i="1"/>
  <c r="K186" i="1"/>
  <c r="W186" i="1"/>
  <c r="I187" i="1"/>
  <c r="K187" i="1"/>
  <c r="W187" i="1"/>
  <c r="I188" i="1"/>
  <c r="K188" i="1"/>
  <c r="W188" i="1"/>
  <c r="I189" i="1"/>
  <c r="K189" i="1"/>
  <c r="W189" i="1"/>
  <c r="I190" i="1"/>
  <c r="K190" i="1"/>
  <c r="W190" i="1"/>
  <c r="I191" i="1"/>
  <c r="K191" i="1"/>
  <c r="W191" i="1"/>
  <c r="I192" i="1"/>
  <c r="K192" i="1"/>
  <c r="W192" i="1"/>
  <c r="I193" i="1"/>
  <c r="K193" i="1"/>
  <c r="W193" i="1"/>
  <c r="I194" i="1"/>
  <c r="K194" i="1"/>
  <c r="W194" i="1"/>
  <c r="I195" i="1"/>
  <c r="K195" i="1"/>
  <c r="W195" i="1"/>
  <c r="I196" i="1"/>
  <c r="K196" i="1"/>
  <c r="W196" i="1"/>
  <c r="I197" i="1"/>
  <c r="K197" i="1"/>
  <c r="W197" i="1"/>
  <c r="I198" i="1"/>
  <c r="K198" i="1"/>
  <c r="W198" i="1"/>
  <c r="I199" i="1"/>
  <c r="K199" i="1"/>
  <c r="W199" i="1"/>
  <c r="I200" i="1"/>
  <c r="K200" i="1"/>
  <c r="W200" i="1"/>
  <c r="I201" i="1"/>
  <c r="K201" i="1"/>
  <c r="W201" i="1"/>
  <c r="I202" i="1"/>
  <c r="K202" i="1"/>
  <c r="W202" i="1"/>
  <c r="I203" i="1"/>
  <c r="K203" i="1"/>
  <c r="W203" i="1"/>
  <c r="I204" i="1"/>
  <c r="K204" i="1"/>
  <c r="W204" i="1"/>
  <c r="I205" i="1"/>
  <c r="K205" i="1"/>
  <c r="W205" i="1"/>
  <c r="I206" i="1"/>
  <c r="K206" i="1"/>
  <c r="W206" i="1"/>
  <c r="I207" i="1"/>
  <c r="K207" i="1"/>
  <c r="W207" i="1"/>
  <c r="I208" i="1"/>
  <c r="K208" i="1"/>
  <c r="W208" i="1"/>
  <c r="I209" i="1"/>
  <c r="K209" i="1"/>
  <c r="W209" i="1"/>
  <c r="I210" i="1"/>
  <c r="K210" i="1"/>
  <c r="W210" i="1"/>
  <c r="I211" i="1"/>
  <c r="K211" i="1"/>
  <c r="W211" i="1"/>
  <c r="I212" i="1"/>
  <c r="K212" i="1"/>
  <c r="W212" i="1"/>
  <c r="I213" i="1"/>
  <c r="K213" i="1"/>
  <c r="W213" i="1"/>
  <c r="I214" i="1"/>
  <c r="K214" i="1"/>
  <c r="W214" i="1"/>
  <c r="I215" i="1"/>
  <c r="K215" i="1"/>
  <c r="W215" i="1"/>
  <c r="I216" i="1"/>
  <c r="K216" i="1"/>
  <c r="W216" i="1"/>
  <c r="I217" i="1"/>
  <c r="K217" i="1"/>
  <c r="W217" i="1"/>
  <c r="I218" i="1"/>
  <c r="K218" i="1"/>
  <c r="W218" i="1"/>
  <c r="I219" i="1"/>
  <c r="K219" i="1"/>
  <c r="W219" i="1"/>
  <c r="I220" i="1"/>
  <c r="K220" i="1"/>
  <c r="W220" i="1"/>
  <c r="I221" i="1"/>
  <c r="K221" i="1"/>
  <c r="W221" i="1"/>
  <c r="I222" i="1"/>
  <c r="K222" i="1"/>
  <c r="W222" i="1"/>
  <c r="I223" i="1"/>
  <c r="K223" i="1"/>
  <c r="W223" i="1"/>
  <c r="I224" i="1"/>
  <c r="K224" i="1"/>
  <c r="W224" i="1"/>
  <c r="I225" i="1"/>
  <c r="K225" i="1"/>
  <c r="W225" i="1"/>
  <c r="I226" i="1"/>
  <c r="K226" i="1"/>
  <c r="W226" i="1"/>
  <c r="I227" i="1"/>
  <c r="K227" i="1"/>
  <c r="W227" i="1"/>
  <c r="I228" i="1"/>
  <c r="K228" i="1"/>
  <c r="W228" i="1"/>
  <c r="I229" i="1"/>
  <c r="K229" i="1"/>
  <c r="W229" i="1"/>
  <c r="I230" i="1"/>
  <c r="K230" i="1"/>
  <c r="W230" i="1"/>
  <c r="I231" i="1"/>
  <c r="K231" i="1"/>
  <c r="W231" i="1"/>
  <c r="I232" i="1"/>
  <c r="K232" i="1"/>
  <c r="W232" i="1"/>
  <c r="I233" i="1"/>
  <c r="K233" i="1"/>
  <c r="W233" i="1"/>
  <c r="I234" i="1"/>
  <c r="K234" i="1"/>
  <c r="W234" i="1"/>
  <c r="I235" i="1"/>
  <c r="K235" i="1"/>
  <c r="W235" i="1"/>
  <c r="I236" i="1"/>
  <c r="K236" i="1"/>
  <c r="W236" i="1"/>
  <c r="I237" i="1"/>
  <c r="K237" i="1"/>
  <c r="W237" i="1"/>
  <c r="I238" i="1"/>
  <c r="K238" i="1"/>
  <c r="W238" i="1"/>
  <c r="I239" i="1"/>
  <c r="K239" i="1"/>
  <c r="W239" i="1"/>
  <c r="I240" i="1"/>
  <c r="K240" i="1"/>
  <c r="W240" i="1"/>
  <c r="I241" i="1"/>
  <c r="K241" i="1"/>
  <c r="W241" i="1"/>
  <c r="I242" i="1"/>
  <c r="K242" i="1"/>
  <c r="W242" i="1"/>
  <c r="I243" i="1"/>
  <c r="K243" i="1"/>
  <c r="W243" i="1"/>
  <c r="I244" i="1"/>
  <c r="K244" i="1"/>
  <c r="W244" i="1"/>
  <c r="I245" i="1"/>
  <c r="K245" i="1"/>
  <c r="W245" i="1"/>
  <c r="I246" i="1"/>
  <c r="K246" i="1"/>
  <c r="W246" i="1"/>
  <c r="I247" i="1"/>
  <c r="K247" i="1"/>
  <c r="W247" i="1"/>
  <c r="I248" i="1"/>
  <c r="K248" i="1"/>
  <c r="W248" i="1"/>
  <c r="I249" i="1"/>
  <c r="K249" i="1"/>
  <c r="W249" i="1"/>
  <c r="I250" i="1"/>
  <c r="K250" i="1"/>
  <c r="W250" i="1"/>
  <c r="I251" i="1"/>
  <c r="K251" i="1"/>
  <c r="W251" i="1"/>
  <c r="I252" i="1"/>
  <c r="K252" i="1"/>
  <c r="W252" i="1"/>
  <c r="I253" i="1"/>
  <c r="K253" i="1"/>
  <c r="W253" i="1"/>
  <c r="I254" i="1"/>
  <c r="K254" i="1"/>
  <c r="W254" i="1"/>
  <c r="I255" i="1"/>
  <c r="K255" i="1"/>
  <c r="W255" i="1"/>
  <c r="I256" i="1"/>
  <c r="K256" i="1"/>
  <c r="W256" i="1"/>
  <c r="I257" i="1"/>
  <c r="K257" i="1"/>
  <c r="W257" i="1"/>
  <c r="I258" i="1"/>
  <c r="K258" i="1"/>
  <c r="W258" i="1"/>
  <c r="I259" i="1"/>
  <c r="K259" i="1"/>
  <c r="W259" i="1"/>
  <c r="I260" i="1"/>
  <c r="K260" i="1"/>
  <c r="W260" i="1"/>
  <c r="I261" i="1"/>
  <c r="K261" i="1"/>
  <c r="W261" i="1"/>
  <c r="I262" i="1"/>
  <c r="K262" i="1"/>
  <c r="W262" i="1"/>
  <c r="I263" i="1"/>
  <c r="K263" i="1"/>
  <c r="W263" i="1"/>
  <c r="I264" i="1"/>
  <c r="K264" i="1"/>
  <c r="W264" i="1"/>
  <c r="I265" i="1"/>
  <c r="K265" i="1"/>
  <c r="W265" i="1"/>
  <c r="I266" i="1"/>
  <c r="K266" i="1"/>
  <c r="W266" i="1"/>
  <c r="I267" i="1"/>
  <c r="K267" i="1"/>
  <c r="W267" i="1"/>
  <c r="I268" i="1"/>
  <c r="K268" i="1"/>
  <c r="W268" i="1"/>
  <c r="I269" i="1"/>
  <c r="K269" i="1"/>
  <c r="W269" i="1"/>
  <c r="I270" i="1"/>
  <c r="K270" i="1"/>
  <c r="W270" i="1"/>
  <c r="I271" i="1"/>
  <c r="K271" i="1"/>
  <c r="W271" i="1"/>
  <c r="I272" i="1"/>
  <c r="K272" i="1"/>
  <c r="W272" i="1"/>
  <c r="I273" i="1"/>
  <c r="K273" i="1"/>
  <c r="W273" i="1"/>
  <c r="I274" i="1"/>
  <c r="K274" i="1"/>
  <c r="W274" i="1"/>
  <c r="I275" i="1"/>
  <c r="K275" i="1"/>
  <c r="W275" i="1"/>
  <c r="I276" i="1"/>
  <c r="K276" i="1"/>
  <c r="W276" i="1"/>
  <c r="I277" i="1"/>
  <c r="K277" i="1"/>
  <c r="W277" i="1"/>
  <c r="I278" i="1"/>
  <c r="K278" i="1"/>
  <c r="W278" i="1"/>
  <c r="I279" i="1"/>
  <c r="K279" i="1"/>
  <c r="W279" i="1"/>
  <c r="I280" i="1"/>
  <c r="K280" i="1"/>
  <c r="W280" i="1"/>
  <c r="I281" i="1"/>
  <c r="K281" i="1"/>
  <c r="W281" i="1"/>
  <c r="I282" i="1"/>
  <c r="K282" i="1"/>
  <c r="W282" i="1"/>
  <c r="I283" i="1"/>
  <c r="K283" i="1"/>
  <c r="W283" i="1"/>
  <c r="I285" i="1"/>
  <c r="K285" i="1"/>
  <c r="W285" i="1"/>
  <c r="I286" i="1"/>
  <c r="K286" i="1"/>
  <c r="W286" i="1"/>
  <c r="I287" i="1"/>
  <c r="K287" i="1"/>
  <c r="W287" i="1"/>
  <c r="I288" i="1"/>
  <c r="K288" i="1"/>
  <c r="W288" i="1"/>
  <c r="I289" i="1"/>
  <c r="K289" i="1"/>
  <c r="W289" i="1"/>
  <c r="I290" i="1"/>
  <c r="K290" i="1"/>
  <c r="W290" i="1"/>
  <c r="I291" i="1"/>
  <c r="K291" i="1"/>
  <c r="W291" i="1"/>
  <c r="I292" i="1"/>
  <c r="K292" i="1"/>
  <c r="W292" i="1"/>
  <c r="I293" i="1"/>
  <c r="K293" i="1"/>
  <c r="W293" i="1"/>
  <c r="I294" i="1"/>
  <c r="K294" i="1"/>
  <c r="W294" i="1"/>
  <c r="I295" i="1"/>
  <c r="K295" i="1"/>
  <c r="W295" i="1"/>
  <c r="I296" i="1"/>
  <c r="K296" i="1"/>
  <c r="W296" i="1"/>
  <c r="I297" i="1"/>
  <c r="K297" i="1"/>
  <c r="W297" i="1"/>
  <c r="I298" i="1"/>
  <c r="K298" i="1"/>
  <c r="W298" i="1"/>
  <c r="I299" i="1"/>
  <c r="K299" i="1"/>
  <c r="W299" i="1"/>
  <c r="I300" i="1"/>
  <c r="K300" i="1"/>
  <c r="W300" i="1"/>
  <c r="I301" i="1"/>
  <c r="K301" i="1"/>
  <c r="W301" i="1"/>
  <c r="I302" i="1"/>
  <c r="K302" i="1"/>
  <c r="W302" i="1"/>
  <c r="I303" i="1"/>
  <c r="K303" i="1"/>
  <c r="W303" i="1"/>
  <c r="I304" i="1"/>
  <c r="K304" i="1"/>
  <c r="W304" i="1"/>
  <c r="I305" i="1"/>
  <c r="K305" i="1"/>
  <c r="W305" i="1"/>
  <c r="I306" i="1"/>
  <c r="K306" i="1"/>
  <c r="W306" i="1"/>
  <c r="I307" i="1"/>
  <c r="K307" i="1"/>
  <c r="W307" i="1"/>
  <c r="I308" i="1"/>
  <c r="K308" i="1"/>
  <c r="W308" i="1"/>
  <c r="I309" i="1"/>
  <c r="K309" i="1"/>
  <c r="W309" i="1"/>
  <c r="I310" i="1"/>
  <c r="K310" i="1"/>
  <c r="W310" i="1"/>
  <c r="I311" i="1"/>
  <c r="K311" i="1"/>
  <c r="W311" i="1"/>
  <c r="I312" i="1"/>
  <c r="K312" i="1"/>
  <c r="W312" i="1"/>
  <c r="I313" i="1"/>
  <c r="K313" i="1"/>
  <c r="W313" i="1"/>
  <c r="I314" i="1"/>
  <c r="K314" i="1"/>
  <c r="W314" i="1"/>
  <c r="I315" i="1"/>
  <c r="K315" i="1"/>
  <c r="W315" i="1"/>
  <c r="I316" i="1"/>
  <c r="K316" i="1"/>
  <c r="W316" i="1"/>
  <c r="I317" i="1"/>
  <c r="K317" i="1"/>
  <c r="W317" i="1"/>
  <c r="I318" i="1"/>
  <c r="K318" i="1"/>
  <c r="W318" i="1"/>
  <c r="I319" i="1"/>
  <c r="K319" i="1"/>
  <c r="W319" i="1"/>
  <c r="I320" i="1"/>
  <c r="K320" i="1"/>
  <c r="W320" i="1"/>
  <c r="I321" i="1"/>
  <c r="K321" i="1"/>
  <c r="W321" i="1"/>
  <c r="I322" i="1"/>
  <c r="K322" i="1"/>
  <c r="W322" i="1"/>
  <c r="I323" i="1"/>
  <c r="K323" i="1"/>
  <c r="W323" i="1"/>
  <c r="I324" i="1"/>
  <c r="K324" i="1"/>
  <c r="W324" i="1"/>
  <c r="I325" i="1"/>
  <c r="K325" i="1"/>
  <c r="W325" i="1"/>
  <c r="I326" i="1"/>
  <c r="K326" i="1"/>
  <c r="W326" i="1"/>
  <c r="I327" i="1"/>
  <c r="K327" i="1"/>
  <c r="W327" i="1"/>
  <c r="I328" i="1"/>
  <c r="K328" i="1"/>
  <c r="W328" i="1"/>
  <c r="I329" i="1"/>
  <c r="K329" i="1"/>
  <c r="W329" i="1"/>
  <c r="I330" i="1"/>
  <c r="K330" i="1"/>
  <c r="W330" i="1"/>
  <c r="I331" i="1"/>
  <c r="K331" i="1"/>
  <c r="W331" i="1"/>
  <c r="I332" i="1"/>
  <c r="K332" i="1"/>
  <c r="W332" i="1"/>
  <c r="I333" i="1"/>
  <c r="K333" i="1"/>
  <c r="W333" i="1"/>
  <c r="I334" i="1"/>
  <c r="K334" i="1"/>
  <c r="W334" i="1"/>
  <c r="I335" i="1"/>
  <c r="K335" i="1"/>
  <c r="W335" i="1"/>
  <c r="I336" i="1"/>
  <c r="K336" i="1"/>
  <c r="W336" i="1"/>
  <c r="I337" i="1"/>
  <c r="K337" i="1"/>
  <c r="W337" i="1"/>
  <c r="I338" i="1"/>
  <c r="K338" i="1"/>
  <c r="W338" i="1"/>
  <c r="I339" i="1"/>
  <c r="K339" i="1"/>
  <c r="W339" i="1"/>
  <c r="I340" i="1"/>
  <c r="K340" i="1"/>
  <c r="W340" i="1"/>
  <c r="I341" i="1"/>
  <c r="K341" i="1"/>
  <c r="W341" i="1"/>
  <c r="I342" i="1"/>
  <c r="K342" i="1"/>
  <c r="W342" i="1"/>
  <c r="I343" i="1"/>
  <c r="K343" i="1"/>
  <c r="W343" i="1"/>
  <c r="I344" i="1"/>
  <c r="K344" i="1"/>
  <c r="W344" i="1"/>
  <c r="I345" i="1"/>
  <c r="K345" i="1"/>
  <c r="W345" i="1"/>
  <c r="I346" i="1"/>
  <c r="K346" i="1"/>
  <c r="W346" i="1"/>
  <c r="I347" i="1"/>
  <c r="K347" i="1"/>
  <c r="W347" i="1"/>
  <c r="I348" i="1"/>
  <c r="K348" i="1"/>
  <c r="W348" i="1"/>
  <c r="I349" i="1"/>
  <c r="K349" i="1"/>
  <c r="W349" i="1"/>
  <c r="I350" i="1"/>
  <c r="K350" i="1"/>
  <c r="W350" i="1"/>
  <c r="I351" i="1"/>
  <c r="K351" i="1"/>
  <c r="W351" i="1"/>
  <c r="I352" i="1"/>
  <c r="K352" i="1"/>
  <c r="W352" i="1"/>
  <c r="I353" i="1"/>
  <c r="K353" i="1"/>
  <c r="W353" i="1"/>
  <c r="W354" i="1"/>
  <c r="W356" i="1"/>
  <c r="W357" i="1"/>
  <c r="AA120"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9" i="1"/>
  <c r="O200" i="1"/>
  <c r="O201" i="1"/>
  <c r="O202" i="1"/>
  <c r="O203" i="1"/>
  <c r="O204" i="1"/>
  <c r="O205" i="1"/>
  <c r="O206" i="1"/>
  <c r="O207" i="1"/>
  <c r="O208" i="1"/>
  <c r="O209" i="1"/>
  <c r="O210" i="1"/>
  <c r="O211" i="1"/>
  <c r="O212" i="1"/>
  <c r="O214" i="1"/>
  <c r="O215" i="1"/>
  <c r="O216" i="1"/>
  <c r="O217" i="1"/>
  <c r="O218" i="1"/>
  <c r="O219" i="1"/>
  <c r="O220"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3" i="1"/>
  <c r="O254" i="1"/>
  <c r="O255" i="1"/>
  <c r="O256" i="1"/>
  <c r="O257" i="1"/>
  <c r="O258" i="1"/>
  <c r="O259" i="1"/>
  <c r="O260" i="1"/>
  <c r="O261" i="1"/>
  <c r="O262" i="1"/>
  <c r="O263" i="1"/>
  <c r="O264" i="1"/>
  <c r="O265" i="1"/>
  <c r="O266" i="1"/>
  <c r="O267" i="1"/>
  <c r="O269" i="1"/>
  <c r="O270" i="1"/>
  <c r="O271" i="1"/>
  <c r="O272" i="1"/>
  <c r="O273" i="1"/>
  <c r="O274" i="1"/>
  <c r="O275" i="1"/>
  <c r="O276" i="1"/>
  <c r="O277" i="1"/>
  <c r="O278" i="1"/>
  <c r="O279" i="1"/>
  <c r="O280" i="1"/>
  <c r="O281" i="1"/>
  <c r="O282" i="1"/>
  <c r="O283" i="1"/>
  <c r="O285" i="1"/>
  <c r="O286" i="1"/>
  <c r="O287" i="1"/>
  <c r="O288" i="1"/>
  <c r="O289" i="1"/>
  <c r="O290" i="1"/>
  <c r="O291" i="1"/>
  <c r="O296" i="1"/>
  <c r="O297" i="1"/>
  <c r="O298" i="1"/>
  <c r="O299" i="1"/>
  <c r="O300" i="1"/>
  <c r="O302" i="1"/>
  <c r="O304" i="1"/>
  <c r="O305" i="1"/>
  <c r="O306" i="1"/>
  <c r="O307" i="1"/>
  <c r="O308" i="1"/>
  <c r="O309" i="1"/>
  <c r="O310" i="1"/>
  <c r="O311" i="1"/>
  <c r="O312" i="1"/>
  <c r="O313" i="1"/>
  <c r="O314" i="1"/>
  <c r="O315" i="1"/>
  <c r="O316" i="1"/>
  <c r="O318" i="1"/>
  <c r="O320" i="1"/>
  <c r="O322" i="1"/>
  <c r="O323" i="1"/>
  <c r="O324" i="1"/>
  <c r="O327" i="1"/>
  <c r="O328" i="1"/>
  <c r="O329" i="1"/>
  <c r="O330" i="1"/>
  <c r="O331" i="1"/>
  <c r="O333" i="1"/>
  <c r="O334" i="1"/>
  <c r="O337" i="1"/>
  <c r="O338" i="1"/>
  <c r="O339" i="1"/>
  <c r="O340" i="1"/>
  <c r="O341" i="1"/>
  <c r="O342" i="1"/>
  <c r="O343" i="1"/>
  <c r="O344" i="1"/>
  <c r="O345" i="1"/>
  <c r="O346" i="1"/>
  <c r="O356" i="1"/>
  <c r="O357"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120" i="1"/>
  <c r="X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356"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310" i="1"/>
  <c r="X311" i="1"/>
  <c r="X312" i="1"/>
  <c r="X313" i="1"/>
  <c r="X314" i="1"/>
  <c r="X315" i="1"/>
  <c r="X316" i="1"/>
  <c r="X317" i="1"/>
  <c r="X318" i="1"/>
  <c r="X319" i="1"/>
  <c r="X320" i="1"/>
  <c r="X321" i="1"/>
  <c r="X322" i="1"/>
  <c r="X323" i="1"/>
  <c r="X324" i="1"/>
  <c r="X325" i="1"/>
  <c r="X326" i="1"/>
  <c r="X327" i="1"/>
  <c r="X328" i="1"/>
  <c r="X329" i="1"/>
  <c r="X330" i="1"/>
  <c r="X331" i="1"/>
  <c r="X332" i="1"/>
  <c r="X333" i="1"/>
  <c r="X334" i="1"/>
  <c r="X335" i="1"/>
  <c r="X336" i="1"/>
  <c r="X337" i="1"/>
  <c r="X338" i="1"/>
  <c r="X339" i="1"/>
  <c r="X340" i="1"/>
  <c r="X341" i="1"/>
  <c r="X342" i="1"/>
  <c r="X343" i="1"/>
  <c r="X344" i="1"/>
  <c r="X345" i="1"/>
  <c r="X346" i="1"/>
  <c r="X347" i="1"/>
  <c r="X348" i="1"/>
  <c r="X349" i="1"/>
  <c r="X350" i="1"/>
  <c r="X351" i="1"/>
  <c r="X352" i="1"/>
  <c r="X353" i="1"/>
  <c r="X354" i="1"/>
  <c r="X356" i="1"/>
  <c r="X357" i="1"/>
  <c r="AB120"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9" i="1"/>
  <c r="P200" i="1"/>
  <c r="P201" i="1"/>
  <c r="P202" i="1"/>
  <c r="P203" i="1"/>
  <c r="P204" i="1"/>
  <c r="P205" i="1"/>
  <c r="P206" i="1"/>
  <c r="P207" i="1"/>
  <c r="P208" i="1"/>
  <c r="P209" i="1"/>
  <c r="P210" i="1"/>
  <c r="P211" i="1"/>
  <c r="P212" i="1"/>
  <c r="P214" i="1"/>
  <c r="P215" i="1"/>
  <c r="P216" i="1"/>
  <c r="P217" i="1"/>
  <c r="P218" i="1"/>
  <c r="P219" i="1"/>
  <c r="P220"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3" i="1"/>
  <c r="P254" i="1"/>
  <c r="P255" i="1"/>
  <c r="P256" i="1"/>
  <c r="P257" i="1"/>
  <c r="P258" i="1"/>
  <c r="P259" i="1"/>
  <c r="P260" i="1"/>
  <c r="P261" i="1"/>
  <c r="P262" i="1"/>
  <c r="P263" i="1"/>
  <c r="P264" i="1"/>
  <c r="P265" i="1"/>
  <c r="P266" i="1"/>
  <c r="P267" i="1"/>
  <c r="P269" i="1"/>
  <c r="P270" i="1"/>
  <c r="P271" i="1"/>
  <c r="P272" i="1"/>
  <c r="P273" i="1"/>
  <c r="P274" i="1"/>
  <c r="P275" i="1"/>
  <c r="P276" i="1"/>
  <c r="P277" i="1"/>
  <c r="P278" i="1"/>
  <c r="P279" i="1"/>
  <c r="P280" i="1"/>
  <c r="P281" i="1"/>
  <c r="P282" i="1"/>
  <c r="P283" i="1"/>
  <c r="P285" i="1"/>
  <c r="P286" i="1"/>
  <c r="P287" i="1"/>
  <c r="P288" i="1"/>
  <c r="P289" i="1"/>
  <c r="P290" i="1"/>
  <c r="P291" i="1"/>
  <c r="P296" i="1"/>
  <c r="P297" i="1"/>
  <c r="P298" i="1"/>
  <c r="P299" i="1"/>
  <c r="P300" i="1"/>
  <c r="P302" i="1"/>
  <c r="P304" i="1"/>
  <c r="P305" i="1"/>
  <c r="P306" i="1"/>
  <c r="P307" i="1"/>
  <c r="P308" i="1"/>
  <c r="P309" i="1"/>
  <c r="P310" i="1"/>
  <c r="P311" i="1"/>
  <c r="P312" i="1"/>
  <c r="P313" i="1"/>
  <c r="P314" i="1"/>
  <c r="P315" i="1"/>
  <c r="P316" i="1"/>
  <c r="P318" i="1"/>
  <c r="P320" i="1"/>
  <c r="P322" i="1"/>
  <c r="P323" i="1"/>
  <c r="P324" i="1"/>
  <c r="P327" i="1"/>
  <c r="P328" i="1"/>
  <c r="P329" i="1"/>
  <c r="P330" i="1"/>
  <c r="P331" i="1"/>
  <c r="P333" i="1"/>
  <c r="P334" i="1"/>
  <c r="P337" i="1"/>
  <c r="P338" i="1"/>
  <c r="P339" i="1"/>
  <c r="P340" i="1"/>
  <c r="P341" i="1"/>
  <c r="P342" i="1"/>
  <c r="P343" i="1"/>
  <c r="P344" i="1"/>
  <c r="P345" i="1"/>
  <c r="P346" i="1"/>
  <c r="P356" i="1"/>
  <c r="P357" i="1"/>
  <c r="U176" i="1"/>
  <c r="U177" i="1"/>
  <c r="U178" i="1"/>
  <c r="U179" i="1"/>
  <c r="U180" i="1"/>
  <c r="U181" i="1"/>
  <c r="U182" i="1"/>
  <c r="U183" i="1"/>
  <c r="U184" i="1"/>
  <c r="U185" i="1"/>
  <c r="U186" i="1"/>
  <c r="U187" i="1"/>
  <c r="U188" i="1"/>
  <c r="U189" i="1"/>
  <c r="U190" i="1"/>
  <c r="U191" i="1"/>
  <c r="U192" i="1"/>
  <c r="U193" i="1"/>
  <c r="U194" i="1"/>
  <c r="U195" i="1"/>
  <c r="U196" i="1"/>
  <c r="U197" i="1"/>
  <c r="U198" i="1"/>
  <c r="U199" i="1"/>
  <c r="U200" i="1"/>
  <c r="U201" i="1"/>
  <c r="U202" i="1"/>
  <c r="U203" i="1"/>
  <c r="U204" i="1"/>
  <c r="U205" i="1"/>
  <c r="U206" i="1"/>
  <c r="U207" i="1"/>
  <c r="U208" i="1"/>
  <c r="U209" i="1"/>
  <c r="U210" i="1"/>
  <c r="U211" i="1"/>
  <c r="U212" i="1"/>
  <c r="U213" i="1"/>
  <c r="U214" i="1"/>
  <c r="U215" i="1"/>
  <c r="U216" i="1"/>
  <c r="U217" i="1"/>
  <c r="U218" i="1"/>
  <c r="U219" i="1"/>
  <c r="U220" i="1"/>
  <c r="U221" i="1"/>
  <c r="U222" i="1"/>
  <c r="U223" i="1"/>
  <c r="U224" i="1"/>
  <c r="U225" i="1"/>
  <c r="U226" i="1"/>
  <c r="U227" i="1"/>
  <c r="U228" i="1"/>
  <c r="U229" i="1"/>
  <c r="U230" i="1"/>
  <c r="U231" i="1"/>
  <c r="U232" i="1"/>
  <c r="U233" i="1"/>
  <c r="U234" i="1"/>
  <c r="U235" i="1"/>
  <c r="U236" i="1"/>
  <c r="U237" i="1"/>
  <c r="U238" i="1"/>
  <c r="U239" i="1"/>
  <c r="U240" i="1"/>
  <c r="U241" i="1"/>
  <c r="U242" i="1"/>
  <c r="U243" i="1"/>
  <c r="U244" i="1"/>
  <c r="U245" i="1"/>
  <c r="U246" i="1"/>
  <c r="U247" i="1"/>
  <c r="U248" i="1"/>
  <c r="U249" i="1"/>
  <c r="U250" i="1"/>
  <c r="U251" i="1"/>
  <c r="U252" i="1"/>
  <c r="U253" i="1"/>
  <c r="U254" i="1"/>
  <c r="U255" i="1"/>
  <c r="U256" i="1"/>
  <c r="U257" i="1"/>
  <c r="U258" i="1"/>
  <c r="U259" i="1"/>
  <c r="U260" i="1"/>
  <c r="U261" i="1"/>
  <c r="U262" i="1"/>
  <c r="U263" i="1"/>
  <c r="U264" i="1"/>
  <c r="U265" i="1"/>
  <c r="U266" i="1"/>
  <c r="U267" i="1"/>
  <c r="U268" i="1"/>
  <c r="U269" i="1"/>
  <c r="U270" i="1"/>
  <c r="U271" i="1"/>
  <c r="U272" i="1"/>
  <c r="U273" i="1"/>
  <c r="U274" i="1"/>
  <c r="U275" i="1"/>
  <c r="U276" i="1"/>
  <c r="U277" i="1"/>
  <c r="U278" i="1"/>
  <c r="U279" i="1"/>
  <c r="U280" i="1"/>
  <c r="U281" i="1"/>
  <c r="U282" i="1"/>
  <c r="U283" i="1"/>
  <c r="U284" i="1"/>
  <c r="U285" i="1"/>
  <c r="U286" i="1"/>
  <c r="U287" i="1"/>
  <c r="U288" i="1"/>
  <c r="U289" i="1"/>
  <c r="U290" i="1"/>
  <c r="U291" i="1"/>
  <c r="U292" i="1"/>
  <c r="U293" i="1"/>
  <c r="U294" i="1"/>
  <c r="U295" i="1"/>
  <c r="U296" i="1"/>
  <c r="U297" i="1"/>
  <c r="U298" i="1"/>
  <c r="U299" i="1"/>
  <c r="U300" i="1"/>
  <c r="U301" i="1"/>
  <c r="U302" i="1"/>
  <c r="U303" i="1"/>
  <c r="U304" i="1"/>
  <c r="U305" i="1"/>
  <c r="U306" i="1"/>
  <c r="U307" i="1"/>
  <c r="U308" i="1"/>
  <c r="U309" i="1"/>
  <c r="U310" i="1"/>
  <c r="U311" i="1"/>
  <c r="U312" i="1"/>
  <c r="U313" i="1"/>
  <c r="U314" i="1"/>
  <c r="U315" i="1"/>
  <c r="U316" i="1"/>
  <c r="U317" i="1"/>
  <c r="U318" i="1"/>
  <c r="U319" i="1"/>
  <c r="U320" i="1"/>
  <c r="U321" i="1"/>
  <c r="U322" i="1"/>
  <c r="U323" i="1"/>
  <c r="U324" i="1"/>
  <c r="U325" i="1"/>
  <c r="U326" i="1"/>
  <c r="U327" i="1"/>
  <c r="U328" i="1"/>
  <c r="U329" i="1"/>
  <c r="U330" i="1"/>
  <c r="U331" i="1"/>
  <c r="U332" i="1"/>
  <c r="U333" i="1"/>
  <c r="U334" i="1"/>
  <c r="U335" i="1"/>
  <c r="U336" i="1"/>
  <c r="U337" i="1"/>
  <c r="U338" i="1"/>
  <c r="U339" i="1"/>
  <c r="U340" i="1"/>
  <c r="U341" i="1"/>
  <c r="U342" i="1"/>
  <c r="U343" i="1"/>
  <c r="U344" i="1"/>
  <c r="U345" i="1"/>
  <c r="U346" i="1"/>
  <c r="U347" i="1"/>
  <c r="U348" i="1"/>
  <c r="U349" i="1"/>
  <c r="U350" i="1"/>
  <c r="U351" i="1"/>
  <c r="U352" i="1"/>
  <c r="U353" i="1"/>
  <c r="U354" i="1"/>
  <c r="U355" i="1"/>
  <c r="U120" i="1"/>
  <c r="Y120" i="1"/>
  <c r="U121" i="1"/>
  <c r="U122" i="1"/>
  <c r="U123" i="1"/>
  <c r="U124" i="1"/>
  <c r="U125" i="1"/>
  <c r="U126" i="1"/>
  <c r="U127" i="1"/>
  <c r="U128" i="1"/>
  <c r="U129" i="1"/>
  <c r="U130" i="1"/>
  <c r="U131" i="1"/>
  <c r="U132" i="1"/>
  <c r="U133" i="1"/>
  <c r="U134" i="1"/>
  <c r="U135" i="1"/>
  <c r="U136" i="1"/>
  <c r="U137" i="1"/>
  <c r="U138" i="1"/>
  <c r="U139" i="1"/>
  <c r="U140" i="1"/>
  <c r="U141" i="1"/>
  <c r="U142" i="1"/>
  <c r="U143" i="1"/>
  <c r="U144" i="1"/>
  <c r="U145" i="1"/>
  <c r="U146" i="1"/>
  <c r="U147" i="1"/>
  <c r="U148" i="1"/>
  <c r="U149" i="1"/>
  <c r="U150" i="1"/>
  <c r="U151" i="1"/>
  <c r="U152" i="1"/>
  <c r="U153" i="1"/>
  <c r="U154" i="1"/>
  <c r="U155" i="1"/>
  <c r="U156" i="1"/>
  <c r="U157" i="1"/>
  <c r="U158" i="1"/>
  <c r="U159" i="1"/>
  <c r="U160" i="1"/>
  <c r="U161" i="1"/>
  <c r="U162" i="1"/>
  <c r="U163" i="1"/>
  <c r="U164" i="1"/>
  <c r="U165" i="1"/>
  <c r="U166" i="1"/>
  <c r="U167" i="1"/>
  <c r="U168" i="1"/>
  <c r="U169" i="1"/>
  <c r="U170" i="1"/>
  <c r="U171" i="1"/>
  <c r="U172" i="1"/>
  <c r="U173" i="1"/>
  <c r="U174" i="1"/>
  <c r="U356" i="1"/>
  <c r="Y121" i="1"/>
  <c r="Y122" i="1"/>
  <c r="Y123" i="1"/>
  <c r="Y124" i="1"/>
  <c r="Y125" i="1"/>
  <c r="Y126" i="1"/>
  <c r="Y127" i="1"/>
  <c r="Y128" i="1"/>
  <c r="Y129" i="1"/>
  <c r="Y130" i="1"/>
  <c r="Y131" i="1"/>
  <c r="Y132" i="1"/>
  <c r="Y133" i="1"/>
  <c r="Y134" i="1"/>
  <c r="Y135" i="1"/>
  <c r="Y136" i="1"/>
  <c r="Y137" i="1"/>
  <c r="Y138" i="1"/>
  <c r="Y139" i="1"/>
  <c r="Y140" i="1"/>
  <c r="Y141" i="1"/>
  <c r="Y142" i="1"/>
  <c r="Y143" i="1"/>
  <c r="Y144" i="1"/>
  <c r="Y145" i="1"/>
  <c r="Y146" i="1"/>
  <c r="Y147" i="1"/>
  <c r="Y148" i="1"/>
  <c r="Y149" i="1"/>
  <c r="Y150" i="1"/>
  <c r="Y151" i="1"/>
  <c r="Y152" i="1"/>
  <c r="Y153" i="1"/>
  <c r="Y154" i="1"/>
  <c r="Y155" i="1"/>
  <c r="Y156" i="1"/>
  <c r="Y157" i="1"/>
  <c r="Y158" i="1"/>
  <c r="Y159" i="1"/>
  <c r="Y160" i="1"/>
  <c r="Y161" i="1"/>
  <c r="Y162" i="1"/>
  <c r="Y163" i="1"/>
  <c r="Y164" i="1"/>
  <c r="Y165" i="1"/>
  <c r="Y166" i="1"/>
  <c r="Y167" i="1"/>
  <c r="Y168" i="1"/>
  <c r="Y169" i="1"/>
  <c r="Y170" i="1"/>
  <c r="Y171" i="1"/>
  <c r="Y172" i="1"/>
  <c r="Y173" i="1"/>
  <c r="Y174" i="1"/>
  <c r="Y176" i="1"/>
  <c r="Y177" i="1"/>
  <c r="Y178" i="1"/>
  <c r="Y179" i="1"/>
  <c r="Y180" i="1"/>
  <c r="Y181" i="1"/>
  <c r="Y182" i="1"/>
  <c r="Y183" i="1"/>
  <c r="Y184" i="1"/>
  <c r="Y185" i="1"/>
  <c r="Y186" i="1"/>
  <c r="Y187" i="1"/>
  <c r="Y188" i="1"/>
  <c r="Y189" i="1"/>
  <c r="Y190" i="1"/>
  <c r="Y191" i="1"/>
  <c r="Y192" i="1"/>
  <c r="Y193" i="1"/>
  <c r="Y194" i="1"/>
  <c r="Y195" i="1"/>
  <c r="Y196" i="1"/>
  <c r="Y197" i="1"/>
  <c r="Y198" i="1"/>
  <c r="Y199" i="1"/>
  <c r="Y200" i="1"/>
  <c r="Y201" i="1"/>
  <c r="Y202" i="1"/>
  <c r="Y203" i="1"/>
  <c r="Y204" i="1"/>
  <c r="Y205" i="1"/>
  <c r="Y206" i="1"/>
  <c r="Y207" i="1"/>
  <c r="Y208" i="1"/>
  <c r="Y209" i="1"/>
  <c r="Y210" i="1"/>
  <c r="Y211" i="1"/>
  <c r="Y212" i="1"/>
  <c r="Y213" i="1"/>
  <c r="Y214" i="1"/>
  <c r="Y215" i="1"/>
  <c r="Y216" i="1"/>
  <c r="Y217" i="1"/>
  <c r="Y218" i="1"/>
  <c r="Y219" i="1"/>
  <c r="Y220" i="1"/>
  <c r="Y221" i="1"/>
  <c r="Y222" i="1"/>
  <c r="Y223" i="1"/>
  <c r="Y224" i="1"/>
  <c r="Y225" i="1"/>
  <c r="Y226" i="1"/>
  <c r="Y227" i="1"/>
  <c r="Y228" i="1"/>
  <c r="Y229" i="1"/>
  <c r="Y230" i="1"/>
  <c r="Y231" i="1"/>
  <c r="Y232" i="1"/>
  <c r="Y233" i="1"/>
  <c r="Y234" i="1"/>
  <c r="Y235" i="1"/>
  <c r="Y236" i="1"/>
  <c r="Y237" i="1"/>
  <c r="Y238" i="1"/>
  <c r="Y239" i="1"/>
  <c r="Y240" i="1"/>
  <c r="Y241" i="1"/>
  <c r="Y242" i="1"/>
  <c r="Y243" i="1"/>
  <c r="Y244" i="1"/>
  <c r="Y245" i="1"/>
  <c r="Y246" i="1"/>
  <c r="Y247" i="1"/>
  <c r="Y248" i="1"/>
  <c r="Y249" i="1"/>
  <c r="Y250" i="1"/>
  <c r="Y251" i="1"/>
  <c r="Y252" i="1"/>
  <c r="Y253" i="1"/>
  <c r="Y254" i="1"/>
  <c r="Y255" i="1"/>
  <c r="Y256" i="1"/>
  <c r="Y257" i="1"/>
  <c r="Y258" i="1"/>
  <c r="Y259" i="1"/>
  <c r="Y260" i="1"/>
  <c r="Y261" i="1"/>
  <c r="Y262" i="1"/>
  <c r="Y263" i="1"/>
  <c r="Y264" i="1"/>
  <c r="Y265" i="1"/>
  <c r="Y266" i="1"/>
  <c r="Y267" i="1"/>
  <c r="Y268" i="1"/>
  <c r="Y269" i="1"/>
  <c r="Y270" i="1"/>
  <c r="Y271" i="1"/>
  <c r="Y272" i="1"/>
  <c r="Y273" i="1"/>
  <c r="Y274" i="1"/>
  <c r="Y275" i="1"/>
  <c r="Y276" i="1"/>
  <c r="Y277" i="1"/>
  <c r="Y278" i="1"/>
  <c r="Y279" i="1"/>
  <c r="Y280" i="1"/>
  <c r="Y281" i="1"/>
  <c r="Y282" i="1"/>
  <c r="Y283" i="1"/>
  <c r="Y285" i="1"/>
  <c r="Y286" i="1"/>
  <c r="Y287" i="1"/>
  <c r="Y288" i="1"/>
  <c r="Y289" i="1"/>
  <c r="Y290" i="1"/>
  <c r="Y291" i="1"/>
  <c r="Y292" i="1"/>
  <c r="Y293" i="1"/>
  <c r="Y294" i="1"/>
  <c r="Y295" i="1"/>
  <c r="Y296" i="1"/>
  <c r="Y297" i="1"/>
  <c r="Y298" i="1"/>
  <c r="Y299" i="1"/>
  <c r="Y300" i="1"/>
  <c r="Y301" i="1"/>
  <c r="Y302" i="1"/>
  <c r="Y303" i="1"/>
  <c r="Y304" i="1"/>
  <c r="Y305" i="1"/>
  <c r="Y306" i="1"/>
  <c r="Y307" i="1"/>
  <c r="Y308" i="1"/>
  <c r="Y309" i="1"/>
  <c r="Y310" i="1"/>
  <c r="Y311" i="1"/>
  <c r="Y312" i="1"/>
  <c r="Y313" i="1"/>
  <c r="Y314" i="1"/>
  <c r="Y315" i="1"/>
  <c r="Y316" i="1"/>
  <c r="Y317" i="1"/>
  <c r="Y318" i="1"/>
  <c r="Y319" i="1"/>
  <c r="Y320" i="1"/>
  <c r="Y321" i="1"/>
  <c r="Y322" i="1"/>
  <c r="Y323" i="1"/>
  <c r="Y324" i="1"/>
  <c r="Y325" i="1"/>
  <c r="Y326" i="1"/>
  <c r="Y327" i="1"/>
  <c r="Y328" i="1"/>
  <c r="Y329" i="1"/>
  <c r="Y330" i="1"/>
  <c r="Y331" i="1"/>
  <c r="Y332" i="1"/>
  <c r="Y333" i="1"/>
  <c r="Y334" i="1"/>
  <c r="Y335" i="1"/>
  <c r="Y336" i="1"/>
  <c r="Y337" i="1"/>
  <c r="Y338" i="1"/>
  <c r="Y339" i="1"/>
  <c r="Y340" i="1"/>
  <c r="Y341" i="1"/>
  <c r="Y342" i="1"/>
  <c r="Y343" i="1"/>
  <c r="Y344" i="1"/>
  <c r="Y345" i="1"/>
  <c r="Y346" i="1"/>
  <c r="Y347" i="1"/>
  <c r="Y348" i="1"/>
  <c r="Y349" i="1"/>
  <c r="Y350" i="1"/>
  <c r="Y351" i="1"/>
  <c r="Y352" i="1"/>
  <c r="Y353" i="1"/>
  <c r="Y354" i="1"/>
  <c r="Y356" i="1"/>
  <c r="Y357" i="1"/>
  <c r="AC120"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9" i="1"/>
  <c r="Q200" i="1"/>
  <c r="Q201" i="1"/>
  <c r="Q202" i="1"/>
  <c r="Q203" i="1"/>
  <c r="Q204" i="1"/>
  <c r="Q205" i="1"/>
  <c r="Q206" i="1"/>
  <c r="Q207" i="1"/>
  <c r="Q208" i="1"/>
  <c r="Q209" i="1"/>
  <c r="Q210" i="1"/>
  <c r="Q211" i="1"/>
  <c r="Q212" i="1"/>
  <c r="Q214" i="1"/>
  <c r="Q215" i="1"/>
  <c r="Q216" i="1"/>
  <c r="Q217" i="1"/>
  <c r="Q218" i="1"/>
  <c r="Q219" i="1"/>
  <c r="Q220"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3" i="1"/>
  <c r="Q254" i="1"/>
  <c r="Q255" i="1"/>
  <c r="Q256" i="1"/>
  <c r="Q257" i="1"/>
  <c r="Q258" i="1"/>
  <c r="Q259" i="1"/>
  <c r="Q260" i="1"/>
  <c r="Q261" i="1"/>
  <c r="Q262" i="1"/>
  <c r="Q263" i="1"/>
  <c r="Q264" i="1"/>
  <c r="Q265" i="1"/>
  <c r="Q266" i="1"/>
  <c r="Q267" i="1"/>
  <c r="Q269" i="1"/>
  <c r="Q270" i="1"/>
  <c r="Q271" i="1"/>
  <c r="Q272" i="1"/>
  <c r="Q273" i="1"/>
  <c r="Q274" i="1"/>
  <c r="Q275" i="1"/>
  <c r="Q276" i="1"/>
  <c r="Q277" i="1"/>
  <c r="Q278" i="1"/>
  <c r="Q279" i="1"/>
  <c r="Q280" i="1"/>
  <c r="Q281" i="1"/>
  <c r="Q282" i="1"/>
  <c r="Q283" i="1"/>
  <c r="Q285" i="1"/>
  <c r="Q286" i="1"/>
  <c r="Q287" i="1"/>
  <c r="Q288" i="1"/>
  <c r="Q289" i="1"/>
  <c r="Q290" i="1"/>
  <c r="Q291" i="1"/>
  <c r="Q296" i="1"/>
  <c r="Q297" i="1"/>
  <c r="Q298" i="1"/>
  <c r="Q299" i="1"/>
  <c r="Q300" i="1"/>
  <c r="Q302" i="1"/>
  <c r="Q304" i="1"/>
  <c r="Q305" i="1"/>
  <c r="Q306" i="1"/>
  <c r="Q307" i="1"/>
  <c r="Q308" i="1"/>
  <c r="Q309" i="1"/>
  <c r="Q310" i="1"/>
  <c r="Q311" i="1"/>
  <c r="Q312" i="1"/>
  <c r="Q313" i="1"/>
  <c r="Q314" i="1"/>
  <c r="Q315" i="1"/>
  <c r="Q316" i="1"/>
  <c r="Q318" i="1"/>
  <c r="Q320" i="1"/>
  <c r="Q322" i="1"/>
  <c r="Q323" i="1"/>
  <c r="Q324" i="1"/>
  <c r="Q327" i="1"/>
  <c r="Q328" i="1"/>
  <c r="Q329" i="1"/>
  <c r="Q330" i="1"/>
  <c r="Q331" i="1"/>
  <c r="Q333" i="1"/>
  <c r="Q334" i="1"/>
  <c r="Q337" i="1"/>
  <c r="Q338" i="1"/>
  <c r="Q339" i="1"/>
  <c r="Q340" i="1"/>
  <c r="Q341" i="1"/>
  <c r="Q342" i="1"/>
  <c r="Q343" i="1"/>
  <c r="Q344" i="1"/>
  <c r="Q345" i="1"/>
  <c r="Q346" i="1"/>
  <c r="Q356" i="1"/>
  <c r="Q357"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120" i="1"/>
  <c r="Z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356"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6" i="1"/>
  <c r="Z357" i="1"/>
  <c r="AD120" i="1"/>
  <c r="AE120" i="1"/>
  <c r="AF120" i="1"/>
  <c r="AG120" i="1"/>
  <c r="AH120" i="1"/>
  <c r="AI120" i="1"/>
  <c r="AA121" i="1"/>
  <c r="AB121" i="1"/>
  <c r="AC121" i="1"/>
  <c r="AD121" i="1"/>
  <c r="AE121" i="1"/>
  <c r="AF121" i="1"/>
  <c r="AG121" i="1"/>
  <c r="AH121" i="1"/>
  <c r="AI121" i="1"/>
  <c r="AA122" i="1"/>
  <c r="AB122" i="1"/>
  <c r="AC122" i="1"/>
  <c r="AD122" i="1"/>
  <c r="AE122" i="1"/>
  <c r="AF122" i="1"/>
  <c r="AG122" i="1"/>
  <c r="AH122" i="1"/>
  <c r="AI122" i="1"/>
  <c r="AA123" i="1"/>
  <c r="AB123" i="1"/>
  <c r="AC123" i="1"/>
  <c r="AD123" i="1"/>
  <c r="AE123" i="1"/>
  <c r="AF123" i="1"/>
  <c r="AG123" i="1"/>
  <c r="AH123" i="1"/>
  <c r="AI123" i="1"/>
  <c r="AA124" i="1"/>
  <c r="AB124" i="1"/>
  <c r="AC124" i="1"/>
  <c r="AD124" i="1"/>
  <c r="AE124" i="1"/>
  <c r="AF124" i="1"/>
  <c r="AG124" i="1"/>
  <c r="AH124" i="1"/>
  <c r="AI124" i="1"/>
  <c r="AA125" i="1"/>
  <c r="AB125" i="1"/>
  <c r="AC125" i="1"/>
  <c r="AD125" i="1"/>
  <c r="AE125" i="1"/>
  <c r="AF125" i="1"/>
  <c r="AG125" i="1"/>
  <c r="AH125" i="1"/>
  <c r="AI125" i="1"/>
  <c r="AA126" i="1"/>
  <c r="AB126" i="1"/>
  <c r="AC126" i="1"/>
  <c r="AD126" i="1"/>
  <c r="AE126" i="1"/>
  <c r="AF126" i="1"/>
  <c r="AG126" i="1"/>
  <c r="AH126" i="1"/>
  <c r="AI126" i="1"/>
  <c r="AA127" i="1"/>
  <c r="AB127" i="1"/>
  <c r="AC127" i="1"/>
  <c r="AD127" i="1"/>
  <c r="AE127" i="1"/>
  <c r="AF127" i="1"/>
  <c r="AG127" i="1"/>
  <c r="AH127" i="1"/>
  <c r="AI127" i="1"/>
  <c r="AA128" i="1"/>
  <c r="AB128" i="1"/>
  <c r="AC128" i="1"/>
  <c r="AD128" i="1"/>
  <c r="AE128" i="1"/>
  <c r="AF128" i="1"/>
  <c r="AG128" i="1"/>
  <c r="AH128" i="1"/>
  <c r="AI128" i="1"/>
  <c r="AA129" i="1"/>
  <c r="AB129" i="1"/>
  <c r="AC129" i="1"/>
  <c r="AD129" i="1"/>
  <c r="AE129" i="1"/>
  <c r="AF129" i="1"/>
  <c r="AG129" i="1"/>
  <c r="AH129" i="1"/>
  <c r="AI129" i="1"/>
  <c r="AA130" i="1"/>
  <c r="AB130" i="1"/>
  <c r="AC130" i="1"/>
  <c r="AD130" i="1"/>
  <c r="AE130" i="1"/>
  <c r="AF130" i="1"/>
  <c r="AG130" i="1"/>
  <c r="AH130" i="1"/>
  <c r="AI130" i="1"/>
  <c r="AA131" i="1"/>
  <c r="AB131" i="1"/>
  <c r="AC131" i="1"/>
  <c r="AD131" i="1"/>
  <c r="AE131" i="1"/>
  <c r="AF131" i="1"/>
  <c r="AG131" i="1"/>
  <c r="AH131" i="1"/>
  <c r="AI131" i="1"/>
  <c r="AA132" i="1"/>
  <c r="AB132" i="1"/>
  <c r="AC132" i="1"/>
  <c r="AD132" i="1"/>
  <c r="AE132" i="1"/>
  <c r="AF132" i="1"/>
  <c r="AG132" i="1"/>
  <c r="AH132" i="1"/>
  <c r="AI132" i="1"/>
  <c r="AA133" i="1"/>
  <c r="AB133" i="1"/>
  <c r="AC133" i="1"/>
  <c r="AD133" i="1"/>
  <c r="AE133" i="1"/>
  <c r="AF133" i="1"/>
  <c r="AG133" i="1"/>
  <c r="AH133" i="1"/>
  <c r="AI133" i="1"/>
  <c r="AA134" i="1"/>
  <c r="AB134" i="1"/>
  <c r="AC134" i="1"/>
  <c r="AD134" i="1"/>
  <c r="AE134" i="1"/>
  <c r="AF134" i="1"/>
  <c r="AG134" i="1"/>
  <c r="AH134" i="1"/>
  <c r="AI134" i="1"/>
  <c r="AA135" i="1"/>
  <c r="AB135" i="1"/>
  <c r="AC135" i="1"/>
  <c r="AD135" i="1"/>
  <c r="AE135" i="1"/>
  <c r="AF135" i="1"/>
  <c r="AG135" i="1"/>
  <c r="AH135" i="1"/>
  <c r="AI135" i="1"/>
  <c r="AA136" i="1"/>
  <c r="AB136" i="1"/>
  <c r="AC136" i="1"/>
  <c r="AD136" i="1"/>
  <c r="AE136" i="1"/>
  <c r="AF136" i="1"/>
  <c r="AG136" i="1"/>
  <c r="AH136" i="1"/>
  <c r="AI136" i="1"/>
  <c r="AA137" i="1"/>
  <c r="AB137" i="1"/>
  <c r="AC137" i="1"/>
  <c r="AD137" i="1"/>
  <c r="AE137" i="1"/>
  <c r="AF137" i="1"/>
  <c r="AG137" i="1"/>
  <c r="AH137" i="1"/>
  <c r="AI137" i="1"/>
  <c r="AA138" i="1"/>
  <c r="AB138" i="1"/>
  <c r="AC138" i="1"/>
  <c r="AD138" i="1"/>
  <c r="AE138" i="1"/>
  <c r="AF138" i="1"/>
  <c r="AG138" i="1"/>
  <c r="AH138" i="1"/>
  <c r="AI138" i="1"/>
  <c r="AA139" i="1"/>
  <c r="AB139" i="1"/>
  <c r="AC139" i="1"/>
  <c r="AD139" i="1"/>
  <c r="AE139" i="1"/>
  <c r="AF139" i="1"/>
  <c r="AG139" i="1"/>
  <c r="AH139" i="1"/>
  <c r="AI139" i="1"/>
  <c r="AA140" i="1"/>
  <c r="AB140" i="1"/>
  <c r="AC140" i="1"/>
  <c r="AD140" i="1"/>
  <c r="AE140" i="1"/>
  <c r="AF140" i="1"/>
  <c r="AG140" i="1"/>
  <c r="AH140" i="1"/>
  <c r="AI140" i="1"/>
  <c r="AA141" i="1"/>
  <c r="AB141" i="1"/>
  <c r="AC141" i="1"/>
  <c r="AD141" i="1"/>
  <c r="AE141" i="1"/>
  <c r="AF141" i="1"/>
  <c r="AG141" i="1"/>
  <c r="AH141" i="1"/>
  <c r="AI141" i="1"/>
  <c r="AA142" i="1"/>
  <c r="AB142" i="1"/>
  <c r="AC142" i="1"/>
  <c r="AD142" i="1"/>
  <c r="AE142" i="1"/>
  <c r="AF142" i="1"/>
  <c r="AG142" i="1"/>
  <c r="AH142" i="1"/>
  <c r="AI142" i="1"/>
  <c r="AA143" i="1"/>
  <c r="AB143" i="1"/>
  <c r="AC143" i="1"/>
  <c r="AD143" i="1"/>
  <c r="AE143" i="1"/>
  <c r="AF143" i="1"/>
  <c r="AG143" i="1"/>
  <c r="AH143" i="1"/>
  <c r="AI143" i="1"/>
  <c r="AA144" i="1"/>
  <c r="AB144" i="1"/>
  <c r="AC144" i="1"/>
  <c r="AD144" i="1"/>
  <c r="AE144" i="1"/>
  <c r="AF144" i="1"/>
  <c r="AG144" i="1"/>
  <c r="AH144" i="1"/>
  <c r="AI144" i="1"/>
  <c r="AA145" i="1"/>
  <c r="AB145" i="1"/>
  <c r="AC145" i="1"/>
  <c r="AD145" i="1"/>
  <c r="AE145" i="1"/>
  <c r="AF145" i="1"/>
  <c r="AG145" i="1"/>
  <c r="AH145" i="1"/>
  <c r="AI145" i="1"/>
  <c r="AA146" i="1"/>
  <c r="AB146" i="1"/>
  <c r="AC146" i="1"/>
  <c r="AD146" i="1"/>
  <c r="AE146" i="1"/>
  <c r="AF146" i="1"/>
  <c r="AG146" i="1"/>
  <c r="AH146" i="1"/>
  <c r="AI146" i="1"/>
  <c r="AA147" i="1"/>
  <c r="AB147" i="1"/>
  <c r="AC147" i="1"/>
  <c r="AD147" i="1"/>
  <c r="AE147" i="1"/>
  <c r="AF147" i="1"/>
  <c r="AG147" i="1"/>
  <c r="AH147" i="1"/>
  <c r="AI147" i="1"/>
  <c r="AA148" i="1"/>
  <c r="AB148" i="1"/>
  <c r="AC148" i="1"/>
  <c r="AD148" i="1"/>
  <c r="AE148" i="1"/>
  <c r="AF148" i="1"/>
  <c r="AG148" i="1"/>
  <c r="AH148" i="1"/>
  <c r="AI148" i="1"/>
  <c r="AA149" i="1"/>
  <c r="AB149" i="1"/>
  <c r="AC149" i="1"/>
  <c r="AD149" i="1"/>
  <c r="AE149" i="1"/>
  <c r="AF149" i="1"/>
  <c r="AG149" i="1"/>
  <c r="AH149" i="1"/>
  <c r="AI149" i="1"/>
  <c r="AA150" i="1"/>
  <c r="AB150" i="1"/>
  <c r="AC150" i="1"/>
  <c r="AD150" i="1"/>
  <c r="AE150" i="1"/>
  <c r="AF150" i="1"/>
  <c r="AG150" i="1"/>
  <c r="AH150" i="1"/>
  <c r="AI150" i="1"/>
  <c r="AA151" i="1"/>
  <c r="AB151" i="1"/>
  <c r="AC151" i="1"/>
  <c r="AD151" i="1"/>
  <c r="AE151" i="1"/>
  <c r="AF151" i="1"/>
  <c r="AG151" i="1"/>
  <c r="AH151" i="1"/>
  <c r="AI151" i="1"/>
  <c r="AA152" i="1"/>
  <c r="AB152" i="1"/>
  <c r="AC152" i="1"/>
  <c r="AD152" i="1"/>
  <c r="AE152" i="1"/>
  <c r="AF152" i="1"/>
  <c r="AG152" i="1"/>
  <c r="AH152" i="1"/>
  <c r="AI152" i="1"/>
  <c r="AA153" i="1"/>
  <c r="AB153" i="1"/>
  <c r="AC153" i="1"/>
  <c r="AD153" i="1"/>
  <c r="AE153" i="1"/>
  <c r="AF153" i="1"/>
  <c r="AG153" i="1"/>
  <c r="AH153" i="1"/>
  <c r="AI153" i="1"/>
  <c r="AA154" i="1"/>
  <c r="AB154" i="1"/>
  <c r="AC154" i="1"/>
  <c r="AD154" i="1"/>
  <c r="AE154" i="1"/>
  <c r="AF154" i="1"/>
  <c r="AG154" i="1"/>
  <c r="AH154" i="1"/>
  <c r="AI154" i="1"/>
  <c r="AA155" i="1"/>
  <c r="AB155" i="1"/>
  <c r="AC155" i="1"/>
  <c r="AD155" i="1"/>
  <c r="AE155" i="1"/>
  <c r="AF155" i="1"/>
  <c r="AG155" i="1"/>
  <c r="AH155" i="1"/>
  <c r="AI155" i="1"/>
  <c r="AA156" i="1"/>
  <c r="AB156" i="1"/>
  <c r="AC156" i="1"/>
  <c r="AD156" i="1"/>
  <c r="AE156" i="1"/>
  <c r="AF156" i="1"/>
  <c r="AG156" i="1"/>
  <c r="AH156" i="1"/>
  <c r="AI156" i="1"/>
  <c r="AA157" i="1"/>
  <c r="AB157" i="1"/>
  <c r="AC157" i="1"/>
  <c r="AD157" i="1"/>
  <c r="AE157" i="1"/>
  <c r="AF157" i="1"/>
  <c r="AG157" i="1"/>
  <c r="AH157" i="1"/>
  <c r="AI157" i="1"/>
  <c r="AA158" i="1"/>
  <c r="AB158" i="1"/>
  <c r="AC158" i="1"/>
  <c r="AD158" i="1"/>
  <c r="AE158" i="1"/>
  <c r="AF158" i="1"/>
  <c r="AG158" i="1"/>
  <c r="AH158" i="1"/>
  <c r="AI158" i="1"/>
  <c r="AA159" i="1"/>
  <c r="AB159" i="1"/>
  <c r="AC159" i="1"/>
  <c r="AD159" i="1"/>
  <c r="AE159" i="1"/>
  <c r="AF159" i="1"/>
  <c r="AG159" i="1"/>
  <c r="AH159" i="1"/>
  <c r="AI159" i="1"/>
  <c r="AA160" i="1"/>
  <c r="AB160" i="1"/>
  <c r="AC160" i="1"/>
  <c r="AD160" i="1"/>
  <c r="AE160" i="1"/>
  <c r="AF160" i="1"/>
  <c r="AG160" i="1"/>
  <c r="AH160" i="1"/>
  <c r="AI160" i="1"/>
  <c r="AA161" i="1"/>
  <c r="AB161" i="1"/>
  <c r="AC161" i="1"/>
  <c r="AD161" i="1"/>
  <c r="AE161" i="1"/>
  <c r="AF161" i="1"/>
  <c r="AG161" i="1"/>
  <c r="AH161" i="1"/>
  <c r="AI161" i="1"/>
  <c r="AA162" i="1"/>
  <c r="AB162" i="1"/>
  <c r="AC162" i="1"/>
  <c r="AD162" i="1"/>
  <c r="AE162" i="1"/>
  <c r="AF162" i="1"/>
  <c r="AG162" i="1"/>
  <c r="AH162" i="1"/>
  <c r="AI162" i="1"/>
  <c r="AA163" i="1"/>
  <c r="AB163" i="1"/>
  <c r="AC163" i="1"/>
  <c r="AD163" i="1"/>
  <c r="AE163" i="1"/>
  <c r="AF163" i="1"/>
  <c r="AG163" i="1"/>
  <c r="AH163" i="1"/>
  <c r="AI163" i="1"/>
  <c r="AA164" i="1"/>
  <c r="AB164" i="1"/>
  <c r="AC164" i="1"/>
  <c r="AD164" i="1"/>
  <c r="AE164" i="1"/>
  <c r="AF164" i="1"/>
  <c r="AG164" i="1"/>
  <c r="AH164" i="1"/>
  <c r="AI164" i="1"/>
  <c r="AA165" i="1"/>
  <c r="AB165" i="1"/>
  <c r="AC165" i="1"/>
  <c r="AD165" i="1"/>
  <c r="AE165" i="1"/>
  <c r="AF165" i="1"/>
  <c r="AG165" i="1"/>
  <c r="AH165" i="1"/>
  <c r="AI165" i="1"/>
  <c r="AA166" i="1"/>
  <c r="AB166" i="1"/>
  <c r="AC166" i="1"/>
  <c r="AD166" i="1"/>
  <c r="AE166" i="1"/>
  <c r="AF166" i="1"/>
  <c r="AG166" i="1"/>
  <c r="AH166" i="1"/>
  <c r="AI166" i="1"/>
  <c r="AA167" i="1"/>
  <c r="AB167" i="1"/>
  <c r="AC167" i="1"/>
  <c r="AD167" i="1"/>
  <c r="AE167" i="1"/>
  <c r="AF167" i="1"/>
  <c r="AG167" i="1"/>
  <c r="AH167" i="1"/>
  <c r="AI167" i="1"/>
  <c r="AA168" i="1"/>
  <c r="AB168" i="1"/>
  <c r="AC168" i="1"/>
  <c r="AD168" i="1"/>
  <c r="AE168" i="1"/>
  <c r="AF168" i="1"/>
  <c r="AG168" i="1"/>
  <c r="AH168" i="1"/>
  <c r="AI168" i="1"/>
  <c r="AA169" i="1"/>
  <c r="AB169" i="1"/>
  <c r="AC169" i="1"/>
  <c r="AD169" i="1"/>
  <c r="AE169" i="1"/>
  <c r="AF169" i="1"/>
  <c r="AG169" i="1"/>
  <c r="AH169" i="1"/>
  <c r="AI169" i="1"/>
  <c r="AA170" i="1"/>
  <c r="AB170" i="1"/>
  <c r="AC170" i="1"/>
  <c r="AD170" i="1"/>
  <c r="AE170" i="1"/>
  <c r="AF170" i="1"/>
  <c r="AG170" i="1"/>
  <c r="AH170" i="1"/>
  <c r="AI170" i="1"/>
  <c r="AA171" i="1"/>
  <c r="AB171" i="1"/>
  <c r="AC171" i="1"/>
  <c r="AD171" i="1"/>
  <c r="AE171" i="1"/>
  <c r="AF171" i="1"/>
  <c r="AG171" i="1"/>
  <c r="AH171" i="1"/>
  <c r="AI171" i="1"/>
  <c r="AA172" i="1"/>
  <c r="AB172" i="1"/>
  <c r="AC172" i="1"/>
  <c r="AD172" i="1"/>
  <c r="AE172" i="1"/>
  <c r="AF172" i="1"/>
  <c r="AG172" i="1"/>
  <c r="AH172" i="1"/>
  <c r="AI172" i="1"/>
  <c r="AA173" i="1"/>
  <c r="AB173" i="1"/>
  <c r="AC173" i="1"/>
  <c r="AD173" i="1"/>
  <c r="AE173" i="1"/>
  <c r="AF173" i="1"/>
  <c r="AG173" i="1"/>
  <c r="AH173" i="1"/>
  <c r="AI173" i="1"/>
  <c r="AA174" i="1"/>
  <c r="AB174" i="1"/>
  <c r="AC174" i="1"/>
  <c r="AD174" i="1"/>
  <c r="AE174" i="1"/>
  <c r="AF174" i="1"/>
  <c r="AG174" i="1"/>
  <c r="AH174" i="1"/>
  <c r="AI174" i="1"/>
  <c r="AA176" i="1"/>
  <c r="AB176" i="1"/>
  <c r="AC176" i="1"/>
  <c r="AD176" i="1"/>
  <c r="AE176" i="1"/>
  <c r="AF176" i="1"/>
  <c r="AG176" i="1"/>
  <c r="AH176" i="1"/>
  <c r="AI176" i="1"/>
  <c r="AA177" i="1"/>
  <c r="AB177" i="1"/>
  <c r="AC177" i="1"/>
  <c r="AD177" i="1"/>
  <c r="AE177" i="1"/>
  <c r="AF177" i="1"/>
  <c r="AG177" i="1"/>
  <c r="AH177" i="1"/>
  <c r="AI177" i="1"/>
  <c r="AA178" i="1"/>
  <c r="AB178" i="1"/>
  <c r="AC178" i="1"/>
  <c r="AD178" i="1"/>
  <c r="AE178" i="1"/>
  <c r="AF178" i="1"/>
  <c r="AG178" i="1"/>
  <c r="AH178" i="1"/>
  <c r="AI178" i="1"/>
  <c r="AA179" i="1"/>
  <c r="AB179" i="1"/>
  <c r="AC179" i="1"/>
  <c r="AD179" i="1"/>
  <c r="AE179" i="1"/>
  <c r="AF179" i="1"/>
  <c r="AG179" i="1"/>
  <c r="AH179" i="1"/>
  <c r="AI179" i="1"/>
  <c r="AA180" i="1"/>
  <c r="AB180" i="1"/>
  <c r="AC180" i="1"/>
  <c r="AD180" i="1"/>
  <c r="AE180" i="1"/>
  <c r="AF180" i="1"/>
  <c r="AG180" i="1"/>
  <c r="AH180" i="1"/>
  <c r="AI180" i="1"/>
  <c r="AA181" i="1"/>
  <c r="AB181" i="1"/>
  <c r="AC181" i="1"/>
  <c r="AD181" i="1"/>
  <c r="AE181" i="1"/>
  <c r="AF181" i="1"/>
  <c r="AG181" i="1"/>
  <c r="AH181" i="1"/>
  <c r="AI181" i="1"/>
  <c r="AA182" i="1"/>
  <c r="AB182" i="1"/>
  <c r="AC182" i="1"/>
  <c r="AD182" i="1"/>
  <c r="AE182" i="1"/>
  <c r="AF182" i="1"/>
  <c r="AG182" i="1"/>
  <c r="AH182" i="1"/>
  <c r="AI182" i="1"/>
  <c r="AA183" i="1"/>
  <c r="AB183" i="1"/>
  <c r="AC183" i="1"/>
  <c r="AD183" i="1"/>
  <c r="AE183" i="1"/>
  <c r="AF183" i="1"/>
  <c r="AG183" i="1"/>
  <c r="AH183" i="1"/>
  <c r="AI183" i="1"/>
  <c r="AA184" i="1"/>
  <c r="AB184" i="1"/>
  <c r="AC184" i="1"/>
  <c r="AD184" i="1"/>
  <c r="AE184" i="1"/>
  <c r="AF184" i="1"/>
  <c r="AG184" i="1"/>
  <c r="AH184" i="1"/>
  <c r="AI184" i="1"/>
  <c r="AA185" i="1"/>
  <c r="AB185" i="1"/>
  <c r="AC185" i="1"/>
  <c r="AD185" i="1"/>
  <c r="AE185" i="1"/>
  <c r="AF185" i="1"/>
  <c r="AG185" i="1"/>
  <c r="AH185" i="1"/>
  <c r="AI185" i="1"/>
  <c r="AA186" i="1"/>
  <c r="AB186" i="1"/>
  <c r="AC186" i="1"/>
  <c r="AD186" i="1"/>
  <c r="AE186" i="1"/>
  <c r="AF186" i="1"/>
  <c r="AG186" i="1"/>
  <c r="AH186" i="1"/>
  <c r="AI186" i="1"/>
  <c r="AA187" i="1"/>
  <c r="AB187" i="1"/>
  <c r="AC187" i="1"/>
  <c r="AD187" i="1"/>
  <c r="AE187" i="1"/>
  <c r="AF187" i="1"/>
  <c r="AG187" i="1"/>
  <c r="AH187" i="1"/>
  <c r="AI187" i="1"/>
  <c r="AA188" i="1"/>
  <c r="AB188" i="1"/>
  <c r="AC188" i="1"/>
  <c r="AD188" i="1"/>
  <c r="AE188" i="1"/>
  <c r="AF188" i="1"/>
  <c r="AG188" i="1"/>
  <c r="AH188" i="1"/>
  <c r="AI188" i="1"/>
  <c r="AA189" i="1"/>
  <c r="AB189" i="1"/>
  <c r="AC189" i="1"/>
  <c r="AD189" i="1"/>
  <c r="AE189" i="1"/>
  <c r="AF189" i="1"/>
  <c r="AG189" i="1"/>
  <c r="AH189" i="1"/>
  <c r="AI189" i="1"/>
  <c r="AA190" i="1"/>
  <c r="AB190" i="1"/>
  <c r="AC190" i="1"/>
  <c r="AD190" i="1"/>
  <c r="AE190" i="1"/>
  <c r="AF190" i="1"/>
  <c r="AG190" i="1"/>
  <c r="AH190" i="1"/>
  <c r="AI190" i="1"/>
  <c r="AA191" i="1"/>
  <c r="AB191" i="1"/>
  <c r="AC191" i="1"/>
  <c r="AD191" i="1"/>
  <c r="AE191" i="1"/>
  <c r="AF191" i="1"/>
  <c r="AG191" i="1"/>
  <c r="AH191" i="1"/>
  <c r="AI191" i="1"/>
  <c r="AA192" i="1"/>
  <c r="AB192" i="1"/>
  <c r="AC192" i="1"/>
  <c r="AD192" i="1"/>
  <c r="AE192" i="1"/>
  <c r="AF192" i="1"/>
  <c r="AG192" i="1"/>
  <c r="AH192" i="1"/>
  <c r="AI192" i="1"/>
  <c r="AA193" i="1"/>
  <c r="AB193" i="1"/>
  <c r="AC193" i="1"/>
  <c r="AD193" i="1"/>
  <c r="AE193" i="1"/>
  <c r="AF193" i="1"/>
  <c r="AG193" i="1"/>
  <c r="AH193" i="1"/>
  <c r="AI193" i="1"/>
  <c r="AA194" i="1"/>
  <c r="AB194" i="1"/>
  <c r="AC194" i="1"/>
  <c r="AD194" i="1"/>
  <c r="AE194" i="1"/>
  <c r="AF194" i="1"/>
  <c r="AG194" i="1"/>
  <c r="AH194" i="1"/>
  <c r="AI194" i="1"/>
  <c r="AA195" i="1"/>
  <c r="AB195" i="1"/>
  <c r="AC195" i="1"/>
  <c r="AD195" i="1"/>
  <c r="AE195" i="1"/>
  <c r="AF195" i="1"/>
  <c r="AG195" i="1"/>
  <c r="AH195" i="1"/>
  <c r="AI195" i="1"/>
  <c r="AA196" i="1"/>
  <c r="AB196" i="1"/>
  <c r="AC196" i="1"/>
  <c r="AD196" i="1"/>
  <c r="AE196" i="1"/>
  <c r="AF196" i="1"/>
  <c r="AG196" i="1"/>
  <c r="AH196" i="1"/>
  <c r="AI196" i="1"/>
  <c r="AA197" i="1"/>
  <c r="AB197" i="1"/>
  <c r="AC197" i="1"/>
  <c r="AD197" i="1"/>
  <c r="AE197" i="1"/>
  <c r="AF197" i="1"/>
  <c r="AG197" i="1"/>
  <c r="AH197" i="1"/>
  <c r="AI197" i="1"/>
  <c r="AA198" i="1"/>
  <c r="AB198" i="1"/>
  <c r="AC198" i="1"/>
  <c r="AD198" i="1"/>
  <c r="AE198" i="1"/>
  <c r="AF198" i="1"/>
  <c r="AG198" i="1"/>
  <c r="AH198" i="1"/>
  <c r="AI198" i="1"/>
  <c r="AA199" i="1"/>
  <c r="AB199" i="1"/>
  <c r="AC199" i="1"/>
  <c r="AD199" i="1"/>
  <c r="AE199" i="1"/>
  <c r="AF199" i="1"/>
  <c r="AG199" i="1"/>
  <c r="AH199" i="1"/>
  <c r="AI199" i="1"/>
  <c r="AA200" i="1"/>
  <c r="AB200" i="1"/>
  <c r="AC200" i="1"/>
  <c r="AD200" i="1"/>
  <c r="AE200" i="1"/>
  <c r="AF200" i="1"/>
  <c r="AG200" i="1"/>
  <c r="AH200" i="1"/>
  <c r="AI200" i="1"/>
  <c r="AA201" i="1"/>
  <c r="AB201" i="1"/>
  <c r="AC201" i="1"/>
  <c r="AD201" i="1"/>
  <c r="AE201" i="1"/>
  <c r="AF201" i="1"/>
  <c r="AG201" i="1"/>
  <c r="AH201" i="1"/>
  <c r="AI201" i="1"/>
  <c r="AA202" i="1"/>
  <c r="AB202" i="1"/>
  <c r="AC202" i="1"/>
  <c r="AD202" i="1"/>
  <c r="AE202" i="1"/>
  <c r="AF202" i="1"/>
  <c r="AG202" i="1"/>
  <c r="AH202" i="1"/>
  <c r="AI202" i="1"/>
  <c r="AA203" i="1"/>
  <c r="AB203" i="1"/>
  <c r="AC203" i="1"/>
  <c r="AD203" i="1"/>
  <c r="AE203" i="1"/>
  <c r="AF203" i="1"/>
  <c r="AG203" i="1"/>
  <c r="AH203" i="1"/>
  <c r="AI203" i="1"/>
  <c r="AA204" i="1"/>
  <c r="AB204" i="1"/>
  <c r="AC204" i="1"/>
  <c r="AD204" i="1"/>
  <c r="AE204" i="1"/>
  <c r="AF204" i="1"/>
  <c r="AG204" i="1"/>
  <c r="AH204" i="1"/>
  <c r="AI204" i="1"/>
  <c r="AA205" i="1"/>
  <c r="AB205" i="1"/>
  <c r="AC205" i="1"/>
  <c r="AD205" i="1"/>
  <c r="AE205" i="1"/>
  <c r="AF205" i="1"/>
  <c r="AG205" i="1"/>
  <c r="AH205" i="1"/>
  <c r="AI205" i="1"/>
  <c r="AA206" i="1"/>
  <c r="AB206" i="1"/>
  <c r="AC206" i="1"/>
  <c r="AD206" i="1"/>
  <c r="AE206" i="1"/>
  <c r="AF206" i="1"/>
  <c r="AG206" i="1"/>
  <c r="AH206" i="1"/>
  <c r="AI206" i="1"/>
  <c r="AA207" i="1"/>
  <c r="AB207" i="1"/>
  <c r="AC207" i="1"/>
  <c r="AD207" i="1"/>
  <c r="AE207" i="1"/>
  <c r="AF207" i="1"/>
  <c r="AG207" i="1"/>
  <c r="AH207" i="1"/>
  <c r="AI207" i="1"/>
  <c r="AA208" i="1"/>
  <c r="AB208" i="1"/>
  <c r="AC208" i="1"/>
  <c r="AD208" i="1"/>
  <c r="AE208" i="1"/>
  <c r="AF208" i="1"/>
  <c r="AG208" i="1"/>
  <c r="AH208" i="1"/>
  <c r="AI208" i="1"/>
  <c r="AA209" i="1"/>
  <c r="AB209" i="1"/>
  <c r="AC209" i="1"/>
  <c r="AD209" i="1"/>
  <c r="AE209" i="1"/>
  <c r="AF209" i="1"/>
  <c r="AG209" i="1"/>
  <c r="AH209" i="1"/>
  <c r="AI209" i="1"/>
  <c r="AA210" i="1"/>
  <c r="AB210" i="1"/>
  <c r="AC210" i="1"/>
  <c r="AD210" i="1"/>
  <c r="AE210" i="1"/>
  <c r="AF210" i="1"/>
  <c r="AG210" i="1"/>
  <c r="AH210" i="1"/>
  <c r="AI210" i="1"/>
  <c r="AA211" i="1"/>
  <c r="AB211" i="1"/>
  <c r="AC211" i="1"/>
  <c r="AD211" i="1"/>
  <c r="AE211" i="1"/>
  <c r="AF211" i="1"/>
  <c r="AG211" i="1"/>
  <c r="AH211" i="1"/>
  <c r="AI211" i="1"/>
  <c r="AA212" i="1"/>
  <c r="AB212" i="1"/>
  <c r="AC212" i="1"/>
  <c r="AD212" i="1"/>
  <c r="AE212" i="1"/>
  <c r="AF212" i="1"/>
  <c r="AG212" i="1"/>
  <c r="AH212" i="1"/>
  <c r="AI212" i="1"/>
  <c r="AA213" i="1"/>
  <c r="AB213" i="1"/>
  <c r="AC213" i="1"/>
  <c r="AD213" i="1"/>
  <c r="AE213" i="1"/>
  <c r="AF213" i="1"/>
  <c r="AG213" i="1"/>
  <c r="AH213" i="1"/>
  <c r="AI213" i="1"/>
  <c r="AA214" i="1"/>
  <c r="AB214" i="1"/>
  <c r="AC214" i="1"/>
  <c r="AD214" i="1"/>
  <c r="AE214" i="1"/>
  <c r="AF214" i="1"/>
  <c r="AG214" i="1"/>
  <c r="AH214" i="1"/>
  <c r="AI214" i="1"/>
  <c r="AA215" i="1"/>
  <c r="AB215" i="1"/>
  <c r="AC215" i="1"/>
  <c r="AD215" i="1"/>
  <c r="AE215" i="1"/>
  <c r="AF215" i="1"/>
  <c r="AG215" i="1"/>
  <c r="AH215" i="1"/>
  <c r="AI215" i="1"/>
  <c r="AA216" i="1"/>
  <c r="AB216" i="1"/>
  <c r="AC216" i="1"/>
  <c r="AD216" i="1"/>
  <c r="AE216" i="1"/>
  <c r="AF216" i="1"/>
  <c r="AG216" i="1"/>
  <c r="AH216" i="1"/>
  <c r="AI216" i="1"/>
  <c r="AA217" i="1"/>
  <c r="AB217" i="1"/>
  <c r="AC217" i="1"/>
  <c r="AD217" i="1"/>
  <c r="AE217" i="1"/>
  <c r="AF217" i="1"/>
  <c r="AG217" i="1"/>
  <c r="AH217" i="1"/>
  <c r="AI217" i="1"/>
  <c r="AA218" i="1"/>
  <c r="AB218" i="1"/>
  <c r="AC218" i="1"/>
  <c r="AD218" i="1"/>
  <c r="AE218" i="1"/>
  <c r="AF218" i="1"/>
  <c r="AG218" i="1"/>
  <c r="AH218" i="1"/>
  <c r="AI218" i="1"/>
  <c r="AA219" i="1"/>
  <c r="AB219" i="1"/>
  <c r="AC219" i="1"/>
  <c r="AD219" i="1"/>
  <c r="AE219" i="1"/>
  <c r="AF219" i="1"/>
  <c r="AG219" i="1"/>
  <c r="AH219" i="1"/>
  <c r="AI219" i="1"/>
  <c r="AA220" i="1"/>
  <c r="AB220" i="1"/>
  <c r="AC220" i="1"/>
  <c r="AD220" i="1"/>
  <c r="AE220" i="1"/>
  <c r="AF220" i="1"/>
  <c r="AG220" i="1"/>
  <c r="AH220" i="1"/>
  <c r="AI220" i="1"/>
  <c r="AA221" i="1"/>
  <c r="AB221" i="1"/>
  <c r="AC221" i="1"/>
  <c r="AD221" i="1"/>
  <c r="AE221" i="1"/>
  <c r="AF221" i="1"/>
  <c r="AG221" i="1"/>
  <c r="AH221" i="1"/>
  <c r="AI221" i="1"/>
  <c r="AA222" i="1"/>
  <c r="AB222" i="1"/>
  <c r="AC222" i="1"/>
  <c r="AD222" i="1"/>
  <c r="AE222" i="1"/>
  <c r="AF222" i="1"/>
  <c r="AG222" i="1"/>
  <c r="AH222" i="1"/>
  <c r="AI222" i="1"/>
  <c r="AA223" i="1"/>
  <c r="AB223" i="1"/>
  <c r="AC223" i="1"/>
  <c r="AD223" i="1"/>
  <c r="AE223" i="1"/>
  <c r="AF223" i="1"/>
  <c r="AG223" i="1"/>
  <c r="AH223" i="1"/>
  <c r="AI223" i="1"/>
  <c r="AA224" i="1"/>
  <c r="AB224" i="1"/>
  <c r="AC224" i="1"/>
  <c r="AD224" i="1"/>
  <c r="AE224" i="1"/>
  <c r="AF224" i="1"/>
  <c r="AG224" i="1"/>
  <c r="AH224" i="1"/>
  <c r="AI224" i="1"/>
  <c r="AA225" i="1"/>
  <c r="AB225" i="1"/>
  <c r="AC225" i="1"/>
  <c r="AD225" i="1"/>
  <c r="AE225" i="1"/>
  <c r="AF225" i="1"/>
  <c r="AG225" i="1"/>
  <c r="AH225" i="1"/>
  <c r="AI225" i="1"/>
  <c r="AA226" i="1"/>
  <c r="AB226" i="1"/>
  <c r="AC226" i="1"/>
  <c r="AD226" i="1"/>
  <c r="AE226" i="1"/>
  <c r="AF226" i="1"/>
  <c r="AG226" i="1"/>
  <c r="AH226" i="1"/>
  <c r="AI226" i="1"/>
  <c r="AA227" i="1"/>
  <c r="AB227" i="1"/>
  <c r="AC227" i="1"/>
  <c r="AD227" i="1"/>
  <c r="AE227" i="1"/>
  <c r="AF227" i="1"/>
  <c r="AG227" i="1"/>
  <c r="AH227" i="1"/>
  <c r="AI227" i="1"/>
  <c r="AA228" i="1"/>
  <c r="AB228" i="1"/>
  <c r="AC228" i="1"/>
  <c r="AD228" i="1"/>
  <c r="AE228" i="1"/>
  <c r="AF228" i="1"/>
  <c r="AG228" i="1"/>
  <c r="AH228" i="1"/>
  <c r="AI228" i="1"/>
  <c r="AA229" i="1"/>
  <c r="AB229" i="1"/>
  <c r="AC229" i="1"/>
  <c r="AD229" i="1"/>
  <c r="AE229" i="1"/>
  <c r="AF229" i="1"/>
  <c r="AG229" i="1"/>
  <c r="AH229" i="1"/>
  <c r="AI229" i="1"/>
  <c r="AA230" i="1"/>
  <c r="AB230" i="1"/>
  <c r="AC230" i="1"/>
  <c r="AD230" i="1"/>
  <c r="AE230" i="1"/>
  <c r="AF230" i="1"/>
  <c r="AG230" i="1"/>
  <c r="AH230" i="1"/>
  <c r="AI230" i="1"/>
  <c r="AA231" i="1"/>
  <c r="AB231" i="1"/>
  <c r="AC231" i="1"/>
  <c r="AD231" i="1"/>
  <c r="AE231" i="1"/>
  <c r="AF231" i="1"/>
  <c r="AG231" i="1"/>
  <c r="AH231" i="1"/>
  <c r="AI231" i="1"/>
  <c r="AA232" i="1"/>
  <c r="AB232" i="1"/>
  <c r="AC232" i="1"/>
  <c r="AD232" i="1"/>
  <c r="AE232" i="1"/>
  <c r="AF232" i="1"/>
  <c r="AG232" i="1"/>
  <c r="AH232" i="1"/>
  <c r="AI232" i="1"/>
  <c r="AA233" i="1"/>
  <c r="AB233" i="1"/>
  <c r="AC233" i="1"/>
  <c r="AD233" i="1"/>
  <c r="AE233" i="1"/>
  <c r="AF233" i="1"/>
  <c r="AG233" i="1"/>
  <c r="AH233" i="1"/>
  <c r="AI233" i="1"/>
  <c r="AA234" i="1"/>
  <c r="AB234" i="1"/>
  <c r="AC234" i="1"/>
  <c r="AD234" i="1"/>
  <c r="AE234" i="1"/>
  <c r="AF234" i="1"/>
  <c r="AG234" i="1"/>
  <c r="AH234" i="1"/>
  <c r="AI234" i="1"/>
  <c r="AA235" i="1"/>
  <c r="AB235" i="1"/>
  <c r="AC235" i="1"/>
  <c r="AD235" i="1"/>
  <c r="AE235" i="1"/>
  <c r="AF235" i="1"/>
  <c r="AG235" i="1"/>
  <c r="AH235" i="1"/>
  <c r="AI235" i="1"/>
  <c r="AA236" i="1"/>
  <c r="AB236" i="1"/>
  <c r="AC236" i="1"/>
  <c r="AD236" i="1"/>
  <c r="AE236" i="1"/>
  <c r="AF236" i="1"/>
  <c r="AG236" i="1"/>
  <c r="AH236" i="1"/>
  <c r="AI236" i="1"/>
  <c r="AA237" i="1"/>
  <c r="AB237" i="1"/>
  <c r="AC237" i="1"/>
  <c r="AD237" i="1"/>
  <c r="AE237" i="1"/>
  <c r="AF237" i="1"/>
  <c r="AG237" i="1"/>
  <c r="AH237" i="1"/>
  <c r="AI237" i="1"/>
  <c r="AA238" i="1"/>
  <c r="AB238" i="1"/>
  <c r="AC238" i="1"/>
  <c r="AD238" i="1"/>
  <c r="AE238" i="1"/>
  <c r="AF238" i="1"/>
  <c r="AG238" i="1"/>
  <c r="AH238" i="1"/>
  <c r="AI238" i="1"/>
  <c r="AA239" i="1"/>
  <c r="AB239" i="1"/>
  <c r="AC239" i="1"/>
  <c r="AD239" i="1"/>
  <c r="AE239" i="1"/>
  <c r="AF239" i="1"/>
  <c r="AG239" i="1"/>
  <c r="AH239" i="1"/>
  <c r="AI239" i="1"/>
  <c r="AA240" i="1"/>
  <c r="AB240" i="1"/>
  <c r="AC240" i="1"/>
  <c r="AD240" i="1"/>
  <c r="AE240" i="1"/>
  <c r="AF240" i="1"/>
  <c r="AG240" i="1"/>
  <c r="AH240" i="1"/>
  <c r="AI240" i="1"/>
  <c r="AA241" i="1"/>
  <c r="AB241" i="1"/>
  <c r="AC241" i="1"/>
  <c r="AD241" i="1"/>
  <c r="AE241" i="1"/>
  <c r="AF241" i="1"/>
  <c r="AG241" i="1"/>
  <c r="AH241" i="1"/>
  <c r="AI241" i="1"/>
  <c r="AA242" i="1"/>
  <c r="AB242" i="1"/>
  <c r="AC242" i="1"/>
  <c r="AD242" i="1"/>
  <c r="AE242" i="1"/>
  <c r="AF242" i="1"/>
  <c r="AG242" i="1"/>
  <c r="AH242" i="1"/>
  <c r="AI242" i="1"/>
  <c r="AA243" i="1"/>
  <c r="AB243" i="1"/>
  <c r="AC243" i="1"/>
  <c r="AD243" i="1"/>
  <c r="AE243" i="1"/>
  <c r="AF243" i="1"/>
  <c r="AG243" i="1"/>
  <c r="AH243" i="1"/>
  <c r="AI243" i="1"/>
  <c r="AA244" i="1"/>
  <c r="AB244" i="1"/>
  <c r="AC244" i="1"/>
  <c r="AD244" i="1"/>
  <c r="AE244" i="1"/>
  <c r="AF244" i="1"/>
  <c r="AG244" i="1"/>
  <c r="AH244" i="1"/>
  <c r="AI244" i="1"/>
  <c r="AA245" i="1"/>
  <c r="AB245" i="1"/>
  <c r="AC245" i="1"/>
  <c r="AD245" i="1"/>
  <c r="AE245" i="1"/>
  <c r="AF245" i="1"/>
  <c r="AG245" i="1"/>
  <c r="AH245" i="1"/>
  <c r="AI245" i="1"/>
  <c r="AA246" i="1"/>
  <c r="AB246" i="1"/>
  <c r="AC246" i="1"/>
  <c r="AD246" i="1"/>
  <c r="AE246" i="1"/>
  <c r="AF246" i="1"/>
  <c r="AG246" i="1"/>
  <c r="AH246" i="1"/>
  <c r="AI246" i="1"/>
  <c r="AA247" i="1"/>
  <c r="AB247" i="1"/>
  <c r="AC247" i="1"/>
  <c r="AD247" i="1"/>
  <c r="AE247" i="1"/>
  <c r="AF247" i="1"/>
  <c r="AG247" i="1"/>
  <c r="AH247" i="1"/>
  <c r="AI247" i="1"/>
  <c r="AA248" i="1"/>
  <c r="AB248" i="1"/>
  <c r="AC248" i="1"/>
  <c r="AD248" i="1"/>
  <c r="AE248" i="1"/>
  <c r="AF248" i="1"/>
  <c r="AG248" i="1"/>
  <c r="AH248" i="1"/>
  <c r="AI248" i="1"/>
  <c r="AA249" i="1"/>
  <c r="AB249" i="1"/>
  <c r="AC249" i="1"/>
  <c r="AD249" i="1"/>
  <c r="AE249" i="1"/>
  <c r="AF249" i="1"/>
  <c r="AG249" i="1"/>
  <c r="AH249" i="1"/>
  <c r="AI249" i="1"/>
  <c r="AA250" i="1"/>
  <c r="AB250" i="1"/>
  <c r="AC250" i="1"/>
  <c r="AD250" i="1"/>
  <c r="AE250" i="1"/>
  <c r="AF250" i="1"/>
  <c r="AG250" i="1"/>
  <c r="AH250" i="1"/>
  <c r="AI250" i="1"/>
  <c r="AA251" i="1"/>
  <c r="AB251" i="1"/>
  <c r="AC251" i="1"/>
  <c r="AD251" i="1"/>
  <c r="AE251" i="1"/>
  <c r="AF251" i="1"/>
  <c r="AG251" i="1"/>
  <c r="AH251" i="1"/>
  <c r="AI251" i="1"/>
  <c r="AA252" i="1"/>
  <c r="AB252" i="1"/>
  <c r="AC252" i="1"/>
  <c r="AD252" i="1"/>
  <c r="AE252" i="1"/>
  <c r="AF252" i="1"/>
  <c r="AG252" i="1"/>
  <c r="AH252" i="1"/>
  <c r="AI252" i="1"/>
  <c r="AA253" i="1"/>
  <c r="AB253" i="1"/>
  <c r="AC253" i="1"/>
  <c r="AD253" i="1"/>
  <c r="AE253" i="1"/>
  <c r="AF253" i="1"/>
  <c r="AG253" i="1"/>
  <c r="AH253" i="1"/>
  <c r="AI253" i="1"/>
  <c r="AA254" i="1"/>
  <c r="AB254" i="1"/>
  <c r="AC254" i="1"/>
  <c r="AD254" i="1"/>
  <c r="AE254" i="1"/>
  <c r="AF254" i="1"/>
  <c r="AG254" i="1"/>
  <c r="AH254" i="1"/>
  <c r="AI254" i="1"/>
  <c r="AA255" i="1"/>
  <c r="AB255" i="1"/>
  <c r="AC255" i="1"/>
  <c r="AD255" i="1"/>
  <c r="AE255" i="1"/>
  <c r="AF255" i="1"/>
  <c r="AG255" i="1"/>
  <c r="AH255" i="1"/>
  <c r="AI255" i="1"/>
  <c r="AA256" i="1"/>
  <c r="AB256" i="1"/>
  <c r="AC256" i="1"/>
  <c r="AD256" i="1"/>
  <c r="AE256" i="1"/>
  <c r="AF256" i="1"/>
  <c r="AG256" i="1"/>
  <c r="AH256" i="1"/>
  <c r="AI256" i="1"/>
  <c r="AA257" i="1"/>
  <c r="AB257" i="1"/>
  <c r="AC257" i="1"/>
  <c r="AD257" i="1"/>
  <c r="AE257" i="1"/>
  <c r="AF257" i="1"/>
  <c r="AG257" i="1"/>
  <c r="AH257" i="1"/>
  <c r="AI257" i="1"/>
  <c r="AA258" i="1"/>
  <c r="AB258" i="1"/>
  <c r="AC258" i="1"/>
  <c r="AD258" i="1"/>
  <c r="AE258" i="1"/>
  <c r="AF258" i="1"/>
  <c r="AG258" i="1"/>
  <c r="AH258" i="1"/>
  <c r="AI258" i="1"/>
  <c r="AA259" i="1"/>
  <c r="AB259" i="1"/>
  <c r="AC259" i="1"/>
  <c r="AD259" i="1"/>
  <c r="AE259" i="1"/>
  <c r="AF259" i="1"/>
  <c r="AG259" i="1"/>
  <c r="AH259" i="1"/>
  <c r="AI259" i="1"/>
  <c r="AA260" i="1"/>
  <c r="AB260" i="1"/>
  <c r="AC260" i="1"/>
  <c r="AD260" i="1"/>
  <c r="AE260" i="1"/>
  <c r="AF260" i="1"/>
  <c r="AG260" i="1"/>
  <c r="AH260" i="1"/>
  <c r="AI260" i="1"/>
  <c r="AA261" i="1"/>
  <c r="AB261" i="1"/>
  <c r="AC261" i="1"/>
  <c r="AD261" i="1"/>
  <c r="AE261" i="1"/>
  <c r="AF261" i="1"/>
  <c r="AG261" i="1"/>
  <c r="AH261" i="1"/>
  <c r="AI261" i="1"/>
  <c r="AA262" i="1"/>
  <c r="AB262" i="1"/>
  <c r="AC262" i="1"/>
  <c r="AD262" i="1"/>
  <c r="AE262" i="1"/>
  <c r="AF262" i="1"/>
  <c r="AG262" i="1"/>
  <c r="AH262" i="1"/>
  <c r="AI262" i="1"/>
  <c r="AA263" i="1"/>
  <c r="AB263" i="1"/>
  <c r="AC263" i="1"/>
  <c r="AD263" i="1"/>
  <c r="AE263" i="1"/>
  <c r="AF263" i="1"/>
  <c r="AG263" i="1"/>
  <c r="AH263" i="1"/>
  <c r="AI263" i="1"/>
  <c r="AA264" i="1"/>
  <c r="AB264" i="1"/>
  <c r="AC264" i="1"/>
  <c r="AD264" i="1"/>
  <c r="AE264" i="1"/>
  <c r="AF264" i="1"/>
  <c r="AG264" i="1"/>
  <c r="AH264" i="1"/>
  <c r="AI264" i="1"/>
  <c r="AA265" i="1"/>
  <c r="AB265" i="1"/>
  <c r="AC265" i="1"/>
  <c r="AD265" i="1"/>
  <c r="AE265" i="1"/>
  <c r="AF265" i="1"/>
  <c r="AG265" i="1"/>
  <c r="AH265" i="1"/>
  <c r="AI265" i="1"/>
  <c r="AA266" i="1"/>
  <c r="AB266" i="1"/>
  <c r="AC266" i="1"/>
  <c r="AD266" i="1"/>
  <c r="AE266" i="1"/>
  <c r="AF266" i="1"/>
  <c r="AG266" i="1"/>
  <c r="AH266" i="1"/>
  <c r="AI266" i="1"/>
  <c r="AA267" i="1"/>
  <c r="AB267" i="1"/>
  <c r="AC267" i="1"/>
  <c r="AD267" i="1"/>
  <c r="AE267" i="1"/>
  <c r="AF267" i="1"/>
  <c r="AG267" i="1"/>
  <c r="AH267" i="1"/>
  <c r="AI267" i="1"/>
  <c r="AA268" i="1"/>
  <c r="AB268" i="1"/>
  <c r="AC268" i="1"/>
  <c r="AD268" i="1"/>
  <c r="AE268" i="1"/>
  <c r="AF268" i="1"/>
  <c r="AG268" i="1"/>
  <c r="AH268" i="1"/>
  <c r="AI268" i="1"/>
  <c r="AA269" i="1"/>
  <c r="AB269" i="1"/>
  <c r="AC269" i="1"/>
  <c r="AD269" i="1"/>
  <c r="AE269" i="1"/>
  <c r="AF269" i="1"/>
  <c r="AG269" i="1"/>
  <c r="AH269" i="1"/>
  <c r="AI269" i="1"/>
  <c r="AA270" i="1"/>
  <c r="AB270" i="1"/>
  <c r="AC270" i="1"/>
  <c r="AD270" i="1"/>
  <c r="AE270" i="1"/>
  <c r="AF270" i="1"/>
  <c r="AG270" i="1"/>
  <c r="AH270" i="1"/>
  <c r="AI270" i="1"/>
  <c r="AA271" i="1"/>
  <c r="AB271" i="1"/>
  <c r="AC271" i="1"/>
  <c r="AD271" i="1"/>
  <c r="AE271" i="1"/>
  <c r="AF271" i="1"/>
  <c r="AG271" i="1"/>
  <c r="AH271" i="1"/>
  <c r="AI271" i="1"/>
  <c r="AA272" i="1"/>
  <c r="AB272" i="1"/>
  <c r="AC272" i="1"/>
  <c r="AD272" i="1"/>
  <c r="AE272" i="1"/>
  <c r="AF272" i="1"/>
  <c r="AG272" i="1"/>
  <c r="AH272" i="1"/>
  <c r="AI272" i="1"/>
  <c r="AA273" i="1"/>
  <c r="AB273" i="1"/>
  <c r="AC273" i="1"/>
  <c r="AD273" i="1"/>
  <c r="AE273" i="1"/>
  <c r="AF273" i="1"/>
  <c r="AG273" i="1"/>
  <c r="AH273" i="1"/>
  <c r="AI273" i="1"/>
  <c r="AA274" i="1"/>
  <c r="AB274" i="1"/>
  <c r="AC274" i="1"/>
  <c r="AD274" i="1"/>
  <c r="AE274" i="1"/>
  <c r="AF274" i="1"/>
  <c r="AG274" i="1"/>
  <c r="AH274" i="1"/>
  <c r="AI274" i="1"/>
  <c r="AA275" i="1"/>
  <c r="AB275" i="1"/>
  <c r="AC275" i="1"/>
  <c r="AD275" i="1"/>
  <c r="AE275" i="1"/>
  <c r="AF275" i="1"/>
  <c r="AG275" i="1"/>
  <c r="AH275" i="1"/>
  <c r="AI275" i="1"/>
  <c r="AA276" i="1"/>
  <c r="AB276" i="1"/>
  <c r="AC276" i="1"/>
  <c r="AD276" i="1"/>
  <c r="AE276" i="1"/>
  <c r="AF276" i="1"/>
  <c r="AG276" i="1"/>
  <c r="AH276" i="1"/>
  <c r="AI276" i="1"/>
  <c r="AA277" i="1"/>
  <c r="AB277" i="1"/>
  <c r="AC277" i="1"/>
  <c r="AD277" i="1"/>
  <c r="AE277" i="1"/>
  <c r="AF277" i="1"/>
  <c r="AG277" i="1"/>
  <c r="AH277" i="1"/>
  <c r="AI277" i="1"/>
  <c r="AA278" i="1"/>
  <c r="AB278" i="1"/>
  <c r="AC278" i="1"/>
  <c r="AD278" i="1"/>
  <c r="AE278" i="1"/>
  <c r="AF278" i="1"/>
  <c r="AG278" i="1"/>
  <c r="AH278" i="1"/>
  <c r="AI278" i="1"/>
  <c r="AA279" i="1"/>
  <c r="AB279" i="1"/>
  <c r="AC279" i="1"/>
  <c r="AD279" i="1"/>
  <c r="AE279" i="1"/>
  <c r="AF279" i="1"/>
  <c r="AG279" i="1"/>
  <c r="AH279" i="1"/>
  <c r="AI279" i="1"/>
  <c r="AA280" i="1"/>
  <c r="AB280" i="1"/>
  <c r="AC280" i="1"/>
  <c r="AD280" i="1"/>
  <c r="AE280" i="1"/>
  <c r="AF280" i="1"/>
  <c r="AG280" i="1"/>
  <c r="AH280" i="1"/>
  <c r="AI280" i="1"/>
  <c r="AA281" i="1"/>
  <c r="AB281" i="1"/>
  <c r="AC281" i="1"/>
  <c r="AD281" i="1"/>
  <c r="AE281" i="1"/>
  <c r="AF281" i="1"/>
  <c r="AG281" i="1"/>
  <c r="AH281" i="1"/>
  <c r="AI281" i="1"/>
  <c r="AA282" i="1"/>
  <c r="AB282" i="1"/>
  <c r="AC282" i="1"/>
  <c r="AD282" i="1"/>
  <c r="AE282" i="1"/>
  <c r="AF282" i="1"/>
  <c r="AG282" i="1"/>
  <c r="AH282" i="1"/>
  <c r="AI282" i="1"/>
  <c r="AA283" i="1"/>
  <c r="AB283" i="1"/>
  <c r="AC283" i="1"/>
  <c r="AD283" i="1"/>
  <c r="AE283" i="1"/>
  <c r="AF283" i="1"/>
  <c r="AG283" i="1"/>
  <c r="AH283" i="1"/>
  <c r="AI283" i="1"/>
  <c r="AA284" i="1"/>
  <c r="AB284" i="1"/>
  <c r="AC284" i="1"/>
  <c r="AD284" i="1"/>
  <c r="AE284" i="1"/>
  <c r="AF284" i="1"/>
  <c r="AG284" i="1"/>
  <c r="AH284" i="1"/>
  <c r="AI284" i="1"/>
  <c r="AA285" i="1"/>
  <c r="AB285" i="1"/>
  <c r="AC285" i="1"/>
  <c r="AD285" i="1"/>
  <c r="AE285" i="1"/>
  <c r="AF285" i="1"/>
  <c r="AG285" i="1"/>
  <c r="AH285" i="1"/>
  <c r="AI285" i="1"/>
  <c r="AA286" i="1"/>
  <c r="AB286" i="1"/>
  <c r="AC286" i="1"/>
  <c r="AD286" i="1"/>
  <c r="AE286" i="1"/>
  <c r="AF286" i="1"/>
  <c r="AG286" i="1"/>
  <c r="AH286" i="1"/>
  <c r="AI286" i="1"/>
  <c r="AA287" i="1"/>
  <c r="AB287" i="1"/>
  <c r="AC287" i="1"/>
  <c r="AD287" i="1"/>
  <c r="AE287" i="1"/>
  <c r="AF287" i="1"/>
  <c r="AG287" i="1"/>
  <c r="AH287" i="1"/>
  <c r="AI287" i="1"/>
  <c r="AA288" i="1"/>
  <c r="AB288" i="1"/>
  <c r="AC288" i="1"/>
  <c r="AD288" i="1"/>
  <c r="AE288" i="1"/>
  <c r="AF288" i="1"/>
  <c r="AG288" i="1"/>
  <c r="AH288" i="1"/>
  <c r="AI288" i="1"/>
  <c r="AA289" i="1"/>
  <c r="AB289" i="1"/>
  <c r="AC289" i="1"/>
  <c r="AD289" i="1"/>
  <c r="AE289" i="1"/>
  <c r="AF289" i="1"/>
  <c r="AG289" i="1"/>
  <c r="AH289" i="1"/>
  <c r="AI289" i="1"/>
  <c r="AA290" i="1"/>
  <c r="AB290" i="1"/>
  <c r="AC290" i="1"/>
  <c r="AD290" i="1"/>
  <c r="AE290" i="1"/>
  <c r="AF290" i="1"/>
  <c r="AG290" i="1"/>
  <c r="AH290" i="1"/>
  <c r="AI290" i="1"/>
  <c r="AA291" i="1"/>
  <c r="AB291" i="1"/>
  <c r="AC291" i="1"/>
  <c r="AD291" i="1"/>
  <c r="AE291" i="1"/>
  <c r="AF291" i="1"/>
  <c r="AG291" i="1"/>
  <c r="AH291" i="1"/>
  <c r="AI291" i="1"/>
  <c r="AA292" i="1"/>
  <c r="AB292" i="1"/>
  <c r="AC292" i="1"/>
  <c r="AD292" i="1"/>
  <c r="AE292" i="1"/>
  <c r="AF292" i="1"/>
  <c r="AG292" i="1"/>
  <c r="AH292" i="1"/>
  <c r="AI292" i="1"/>
  <c r="AA293" i="1"/>
  <c r="AB293" i="1"/>
  <c r="AC293" i="1"/>
  <c r="AD293" i="1"/>
  <c r="AE293" i="1"/>
  <c r="AF293" i="1"/>
  <c r="AG293" i="1"/>
  <c r="AH293" i="1"/>
  <c r="AI293" i="1"/>
  <c r="AA294" i="1"/>
  <c r="AB294" i="1"/>
  <c r="AC294" i="1"/>
  <c r="AD294" i="1"/>
  <c r="AE294" i="1"/>
  <c r="AF294" i="1"/>
  <c r="AG294" i="1"/>
  <c r="AH294" i="1"/>
  <c r="AI294" i="1"/>
  <c r="AA295" i="1"/>
  <c r="AB295" i="1"/>
  <c r="AC295" i="1"/>
  <c r="AD295" i="1"/>
  <c r="AE295" i="1"/>
  <c r="AF295" i="1"/>
  <c r="AG295" i="1"/>
  <c r="AH295" i="1"/>
  <c r="AI295" i="1"/>
  <c r="AA296" i="1"/>
  <c r="AB296" i="1"/>
  <c r="AC296" i="1"/>
  <c r="AD296" i="1"/>
  <c r="AE296" i="1"/>
  <c r="AF296" i="1"/>
  <c r="AG296" i="1"/>
  <c r="AH296" i="1"/>
  <c r="AI296" i="1"/>
  <c r="AA297" i="1"/>
  <c r="AB297" i="1"/>
  <c r="AC297" i="1"/>
  <c r="AD297" i="1"/>
  <c r="AE297" i="1"/>
  <c r="AF297" i="1"/>
  <c r="AG297" i="1"/>
  <c r="AH297" i="1"/>
  <c r="AI297" i="1"/>
  <c r="AA298" i="1"/>
  <c r="AB298" i="1"/>
  <c r="AC298" i="1"/>
  <c r="AD298" i="1"/>
  <c r="AE298" i="1"/>
  <c r="AF298" i="1"/>
  <c r="AG298" i="1"/>
  <c r="AH298" i="1"/>
  <c r="AI298" i="1"/>
  <c r="AA299" i="1"/>
  <c r="AB299" i="1"/>
  <c r="AC299" i="1"/>
  <c r="AD299" i="1"/>
  <c r="AE299" i="1"/>
  <c r="AF299" i="1"/>
  <c r="AG299" i="1"/>
  <c r="AH299" i="1"/>
  <c r="AI299" i="1"/>
  <c r="AA300" i="1"/>
  <c r="AB300" i="1"/>
  <c r="AC300" i="1"/>
  <c r="AD300" i="1"/>
  <c r="AE300" i="1"/>
  <c r="AF300" i="1"/>
  <c r="AG300" i="1"/>
  <c r="AH300" i="1"/>
  <c r="AI300" i="1"/>
  <c r="AA301" i="1"/>
  <c r="AB301" i="1"/>
  <c r="AC301" i="1"/>
  <c r="AD301" i="1"/>
  <c r="AE301" i="1"/>
  <c r="AF301" i="1"/>
  <c r="AG301" i="1"/>
  <c r="AH301" i="1"/>
  <c r="AI301" i="1"/>
  <c r="AA302" i="1"/>
  <c r="AB302" i="1"/>
  <c r="AC302" i="1"/>
  <c r="AD302" i="1"/>
  <c r="AE302" i="1"/>
  <c r="AF302" i="1"/>
  <c r="AG302" i="1"/>
  <c r="AH302" i="1"/>
  <c r="AI302" i="1"/>
  <c r="AA303" i="1"/>
  <c r="AB303" i="1"/>
  <c r="AC303" i="1"/>
  <c r="AD303" i="1"/>
  <c r="AE303" i="1"/>
  <c r="AF303" i="1"/>
  <c r="AG303" i="1"/>
  <c r="AH303" i="1"/>
  <c r="AI303" i="1"/>
  <c r="AA304" i="1"/>
  <c r="AB304" i="1"/>
  <c r="AC304" i="1"/>
  <c r="AD304" i="1"/>
  <c r="AE304" i="1"/>
  <c r="AF304" i="1"/>
  <c r="AG304" i="1"/>
  <c r="AH304" i="1"/>
  <c r="AI304" i="1"/>
  <c r="AA305" i="1"/>
  <c r="AB305" i="1"/>
  <c r="AC305" i="1"/>
  <c r="AD305" i="1"/>
  <c r="AE305" i="1"/>
  <c r="AF305" i="1"/>
  <c r="AG305" i="1"/>
  <c r="AH305" i="1"/>
  <c r="AI305" i="1"/>
  <c r="AA306" i="1"/>
  <c r="AB306" i="1"/>
  <c r="AC306" i="1"/>
  <c r="AD306" i="1"/>
  <c r="AE306" i="1"/>
  <c r="AF306" i="1"/>
  <c r="AG306" i="1"/>
  <c r="AH306" i="1"/>
  <c r="AI306" i="1"/>
  <c r="AA307" i="1"/>
  <c r="AB307" i="1"/>
  <c r="AC307" i="1"/>
  <c r="AD307" i="1"/>
  <c r="AE307" i="1"/>
  <c r="AF307" i="1"/>
  <c r="AG307" i="1"/>
  <c r="AH307" i="1"/>
  <c r="AI307" i="1"/>
  <c r="AA308" i="1"/>
  <c r="AB308" i="1"/>
  <c r="AC308" i="1"/>
  <c r="AD308" i="1"/>
  <c r="AE308" i="1"/>
  <c r="AF308" i="1"/>
  <c r="AG308" i="1"/>
  <c r="AH308" i="1"/>
  <c r="AI308" i="1"/>
  <c r="AA309" i="1"/>
  <c r="AB309" i="1"/>
  <c r="AC309" i="1"/>
  <c r="AD309" i="1"/>
  <c r="AE309" i="1"/>
  <c r="AF309" i="1"/>
  <c r="AG309" i="1"/>
  <c r="AH309" i="1"/>
  <c r="AI309" i="1"/>
  <c r="AA310" i="1"/>
  <c r="AB310" i="1"/>
  <c r="AC310" i="1"/>
  <c r="AD310" i="1"/>
  <c r="AE310" i="1"/>
  <c r="AF310" i="1"/>
  <c r="AG310" i="1"/>
  <c r="AH310" i="1"/>
  <c r="AI310" i="1"/>
  <c r="AA311" i="1"/>
  <c r="AB311" i="1"/>
  <c r="AC311" i="1"/>
  <c r="AD311" i="1"/>
  <c r="AE311" i="1"/>
  <c r="AF311" i="1"/>
  <c r="AG311" i="1"/>
  <c r="AH311" i="1"/>
  <c r="AI311" i="1"/>
  <c r="AA312" i="1"/>
  <c r="AB312" i="1"/>
  <c r="AC312" i="1"/>
  <c r="AD312" i="1"/>
  <c r="AE312" i="1"/>
  <c r="AF312" i="1"/>
  <c r="AG312" i="1"/>
  <c r="AH312" i="1"/>
  <c r="AI312" i="1"/>
  <c r="AA313" i="1"/>
  <c r="AB313" i="1"/>
  <c r="AC313" i="1"/>
  <c r="AD313" i="1"/>
  <c r="AE313" i="1"/>
  <c r="AF313" i="1"/>
  <c r="AG313" i="1"/>
  <c r="AH313" i="1"/>
  <c r="AI313" i="1"/>
  <c r="AA314" i="1"/>
  <c r="AB314" i="1"/>
  <c r="AC314" i="1"/>
  <c r="AD314" i="1"/>
  <c r="AE314" i="1"/>
  <c r="AF314" i="1"/>
  <c r="AG314" i="1"/>
  <c r="AH314" i="1"/>
  <c r="AI314" i="1"/>
  <c r="AA315" i="1"/>
  <c r="AB315" i="1"/>
  <c r="AC315" i="1"/>
  <c r="AD315" i="1"/>
  <c r="AE315" i="1"/>
  <c r="AF315" i="1"/>
  <c r="AG315" i="1"/>
  <c r="AH315" i="1"/>
  <c r="AI315" i="1"/>
  <c r="AA316" i="1"/>
  <c r="AB316" i="1"/>
  <c r="AC316" i="1"/>
  <c r="AD316" i="1"/>
  <c r="AE316" i="1"/>
  <c r="AF316" i="1"/>
  <c r="AG316" i="1"/>
  <c r="AH316" i="1"/>
  <c r="AI316" i="1"/>
  <c r="AA317" i="1"/>
  <c r="AB317" i="1"/>
  <c r="AC317" i="1"/>
  <c r="AD317" i="1"/>
  <c r="AE317" i="1"/>
  <c r="AF317" i="1"/>
  <c r="AG317" i="1"/>
  <c r="AH317" i="1"/>
  <c r="AI317" i="1"/>
  <c r="AA318" i="1"/>
  <c r="AB318" i="1"/>
  <c r="AC318" i="1"/>
  <c r="AD318" i="1"/>
  <c r="AE318" i="1"/>
  <c r="AF318" i="1"/>
  <c r="AG318" i="1"/>
  <c r="AH318" i="1"/>
  <c r="AI318" i="1"/>
  <c r="AA319" i="1"/>
  <c r="AB319" i="1"/>
  <c r="AC319" i="1"/>
  <c r="AD319" i="1"/>
  <c r="AE319" i="1"/>
  <c r="AF319" i="1"/>
  <c r="AG319" i="1"/>
  <c r="AH319" i="1"/>
  <c r="AI319" i="1"/>
  <c r="AA320" i="1"/>
  <c r="AB320" i="1"/>
  <c r="AC320" i="1"/>
  <c r="AD320" i="1"/>
  <c r="AE320" i="1"/>
  <c r="AF320" i="1"/>
  <c r="AG320" i="1"/>
  <c r="AH320" i="1"/>
  <c r="AI320" i="1"/>
  <c r="AA321" i="1"/>
  <c r="AB321" i="1"/>
  <c r="AC321" i="1"/>
  <c r="AD321" i="1"/>
  <c r="AE321" i="1"/>
  <c r="AF321" i="1"/>
  <c r="AG321" i="1"/>
  <c r="AH321" i="1"/>
  <c r="AI321" i="1"/>
  <c r="AA322" i="1"/>
  <c r="AB322" i="1"/>
  <c r="AC322" i="1"/>
  <c r="AD322" i="1"/>
  <c r="AE322" i="1"/>
  <c r="AF322" i="1"/>
  <c r="AG322" i="1"/>
  <c r="AH322" i="1"/>
  <c r="AI322" i="1"/>
  <c r="AA323" i="1"/>
  <c r="AB323" i="1"/>
  <c r="AC323" i="1"/>
  <c r="AD323" i="1"/>
  <c r="AE323" i="1"/>
  <c r="AF323" i="1"/>
  <c r="AG323" i="1"/>
  <c r="AH323" i="1"/>
  <c r="AI323" i="1"/>
  <c r="AA324" i="1"/>
  <c r="AB324" i="1"/>
  <c r="AC324" i="1"/>
  <c r="AD324" i="1"/>
  <c r="AE324" i="1"/>
  <c r="AF324" i="1"/>
  <c r="AG324" i="1"/>
  <c r="AH324" i="1"/>
  <c r="AI324" i="1"/>
  <c r="AA325" i="1"/>
  <c r="AB325" i="1"/>
  <c r="AC325" i="1"/>
  <c r="AD325" i="1"/>
  <c r="AE325" i="1"/>
  <c r="AF325" i="1"/>
  <c r="AG325" i="1"/>
  <c r="AH325" i="1"/>
  <c r="AI325" i="1"/>
  <c r="AA326" i="1"/>
  <c r="AB326" i="1"/>
  <c r="AC326" i="1"/>
  <c r="AD326" i="1"/>
  <c r="AE326" i="1"/>
  <c r="AF326" i="1"/>
  <c r="AG326" i="1"/>
  <c r="AH326" i="1"/>
  <c r="AI326" i="1"/>
  <c r="AA327" i="1"/>
  <c r="AB327" i="1"/>
  <c r="AC327" i="1"/>
  <c r="AD327" i="1"/>
  <c r="AE327" i="1"/>
  <c r="AF327" i="1"/>
  <c r="AG327" i="1"/>
  <c r="AH327" i="1"/>
  <c r="AI327" i="1"/>
  <c r="AA328" i="1"/>
  <c r="AB328" i="1"/>
  <c r="AC328" i="1"/>
  <c r="AD328" i="1"/>
  <c r="AE328" i="1"/>
  <c r="AF328" i="1"/>
  <c r="AG328" i="1"/>
  <c r="AH328" i="1"/>
  <c r="AI328" i="1"/>
  <c r="AA329" i="1"/>
  <c r="AB329" i="1"/>
  <c r="AC329" i="1"/>
  <c r="AD329" i="1"/>
  <c r="AE329" i="1"/>
  <c r="AF329" i="1"/>
  <c r="AG329" i="1"/>
  <c r="AH329" i="1"/>
  <c r="AI329" i="1"/>
  <c r="AA330" i="1"/>
  <c r="AB330" i="1"/>
  <c r="AC330" i="1"/>
  <c r="AD330" i="1"/>
  <c r="AE330" i="1"/>
  <c r="AF330" i="1"/>
  <c r="AG330" i="1"/>
  <c r="AH330" i="1"/>
  <c r="AI330" i="1"/>
  <c r="AA331" i="1"/>
  <c r="AB331" i="1"/>
  <c r="AC331" i="1"/>
  <c r="AD331" i="1"/>
  <c r="AE331" i="1"/>
  <c r="AF331" i="1"/>
  <c r="AG331" i="1"/>
  <c r="AH331" i="1"/>
  <c r="AI331" i="1"/>
  <c r="AA332" i="1"/>
  <c r="AB332" i="1"/>
  <c r="AC332" i="1"/>
  <c r="AD332" i="1"/>
  <c r="AE332" i="1"/>
  <c r="AF332" i="1"/>
  <c r="AG332" i="1"/>
  <c r="AH332" i="1"/>
  <c r="AI332" i="1"/>
  <c r="AA333" i="1"/>
  <c r="AB333" i="1"/>
  <c r="AC333" i="1"/>
  <c r="AD333" i="1"/>
  <c r="AE333" i="1"/>
  <c r="AF333" i="1"/>
  <c r="AG333" i="1"/>
  <c r="AH333" i="1"/>
  <c r="AI333" i="1"/>
  <c r="AA334" i="1"/>
  <c r="AB334" i="1"/>
  <c r="AC334" i="1"/>
  <c r="AD334" i="1"/>
  <c r="AE334" i="1"/>
  <c r="AF334" i="1"/>
  <c r="AG334" i="1"/>
  <c r="AH334" i="1"/>
  <c r="AI334" i="1"/>
  <c r="AA335" i="1"/>
  <c r="AB335" i="1"/>
  <c r="AC335" i="1"/>
  <c r="AD335" i="1"/>
  <c r="AE335" i="1"/>
  <c r="AF335" i="1"/>
  <c r="AG335" i="1"/>
  <c r="AH335" i="1"/>
  <c r="AI335" i="1"/>
  <c r="AA336" i="1"/>
  <c r="AB336" i="1"/>
  <c r="AC336" i="1"/>
  <c r="AD336" i="1"/>
  <c r="AE336" i="1"/>
  <c r="AF336" i="1"/>
  <c r="AG336" i="1"/>
  <c r="AH336" i="1"/>
  <c r="AI336" i="1"/>
  <c r="AA337" i="1"/>
  <c r="AB337" i="1"/>
  <c r="AC337" i="1"/>
  <c r="AD337" i="1"/>
  <c r="AE337" i="1"/>
  <c r="AF337" i="1"/>
  <c r="AG337" i="1"/>
  <c r="AH337" i="1"/>
  <c r="AI337" i="1"/>
  <c r="AA338" i="1"/>
  <c r="AB338" i="1"/>
  <c r="AC338" i="1"/>
  <c r="AD338" i="1"/>
  <c r="AE338" i="1"/>
  <c r="AF338" i="1"/>
  <c r="AG338" i="1"/>
  <c r="AH338" i="1"/>
  <c r="AI338" i="1"/>
  <c r="AA339" i="1"/>
  <c r="AB339" i="1"/>
  <c r="AC339" i="1"/>
  <c r="AD339" i="1"/>
  <c r="AE339" i="1"/>
  <c r="AF339" i="1"/>
  <c r="AG339" i="1"/>
  <c r="AH339" i="1"/>
  <c r="AI339" i="1"/>
  <c r="AA340" i="1"/>
  <c r="AB340" i="1"/>
  <c r="AC340" i="1"/>
  <c r="AD340" i="1"/>
  <c r="AE340" i="1"/>
  <c r="AF340" i="1"/>
  <c r="AG340" i="1"/>
  <c r="AH340" i="1"/>
  <c r="AI340" i="1"/>
  <c r="AA341" i="1"/>
  <c r="AB341" i="1"/>
  <c r="AC341" i="1"/>
  <c r="AD341" i="1"/>
  <c r="AE341" i="1"/>
  <c r="AF341" i="1"/>
  <c r="AG341" i="1"/>
  <c r="AH341" i="1"/>
  <c r="AI341" i="1"/>
  <c r="AA342" i="1"/>
  <c r="AB342" i="1"/>
  <c r="AC342" i="1"/>
  <c r="AD342" i="1"/>
  <c r="AE342" i="1"/>
  <c r="AF342" i="1"/>
  <c r="AG342" i="1"/>
  <c r="AH342" i="1"/>
  <c r="AI342" i="1"/>
  <c r="AA343" i="1"/>
  <c r="AB343" i="1"/>
  <c r="AC343" i="1"/>
  <c r="AD343" i="1"/>
  <c r="AE343" i="1"/>
  <c r="AF343" i="1"/>
  <c r="AG343" i="1"/>
  <c r="AH343" i="1"/>
  <c r="AI343" i="1"/>
  <c r="AA344" i="1"/>
  <c r="AB344" i="1"/>
  <c r="AC344" i="1"/>
  <c r="AD344" i="1"/>
  <c r="AE344" i="1"/>
  <c r="AF344" i="1"/>
  <c r="AG344" i="1"/>
  <c r="AH344" i="1"/>
  <c r="AI344" i="1"/>
  <c r="AA345" i="1"/>
  <c r="AB345" i="1"/>
  <c r="AC345" i="1"/>
  <c r="AD345" i="1"/>
  <c r="AE345" i="1"/>
  <c r="AF345" i="1"/>
  <c r="AG345" i="1"/>
  <c r="AH345" i="1"/>
  <c r="AI345" i="1"/>
  <c r="AA346" i="1"/>
  <c r="AB346" i="1"/>
  <c r="AC346" i="1"/>
  <c r="AD346" i="1"/>
  <c r="AE346" i="1"/>
  <c r="AF346" i="1"/>
  <c r="AG346" i="1"/>
  <c r="AH346" i="1"/>
  <c r="AI346" i="1"/>
  <c r="AA347" i="1"/>
  <c r="AB347" i="1"/>
  <c r="AC347" i="1"/>
  <c r="AD347" i="1"/>
  <c r="AE347" i="1"/>
  <c r="AF347" i="1"/>
  <c r="AG347" i="1"/>
  <c r="AH347" i="1"/>
  <c r="AI347" i="1"/>
  <c r="AA348" i="1"/>
  <c r="AB348" i="1"/>
  <c r="AC348" i="1"/>
  <c r="AD348" i="1"/>
  <c r="AE348" i="1"/>
  <c r="AF348" i="1"/>
  <c r="AG348" i="1"/>
  <c r="AH348" i="1"/>
  <c r="AI348" i="1"/>
  <c r="AA349" i="1"/>
  <c r="AB349" i="1"/>
  <c r="AC349" i="1"/>
  <c r="AD349" i="1"/>
  <c r="AE349" i="1"/>
  <c r="AF349" i="1"/>
  <c r="AG349" i="1"/>
  <c r="AH349" i="1"/>
  <c r="AI349" i="1"/>
  <c r="AA350" i="1"/>
  <c r="AB350" i="1"/>
  <c r="AC350" i="1"/>
  <c r="AD350" i="1"/>
  <c r="AE350" i="1"/>
  <c r="AF350" i="1"/>
  <c r="AG350" i="1"/>
  <c r="AH350" i="1"/>
  <c r="AI350" i="1"/>
  <c r="AA351" i="1"/>
  <c r="AB351" i="1"/>
  <c r="AC351" i="1"/>
  <c r="AD351" i="1"/>
  <c r="AE351" i="1"/>
  <c r="AF351" i="1"/>
  <c r="AG351" i="1"/>
  <c r="AH351" i="1"/>
  <c r="AI351" i="1"/>
  <c r="AA352" i="1"/>
  <c r="AB352" i="1"/>
  <c r="AC352" i="1"/>
  <c r="AD352" i="1"/>
  <c r="AE352" i="1"/>
  <c r="AF352" i="1"/>
  <c r="AG352" i="1"/>
  <c r="AH352" i="1"/>
  <c r="AI352" i="1"/>
  <c r="AA353" i="1"/>
  <c r="AB353" i="1"/>
  <c r="AC353" i="1"/>
  <c r="AD353" i="1"/>
  <c r="AE353" i="1"/>
  <c r="AF353" i="1"/>
  <c r="AG353" i="1"/>
  <c r="AH353" i="1"/>
  <c r="AI353" i="1"/>
  <c r="C359" i="1"/>
  <c r="B359" i="1"/>
  <c r="N359" i="1"/>
  <c r="C360" i="1"/>
  <c r="B360" i="1"/>
  <c r="N360" i="1"/>
  <c r="C361" i="1"/>
  <c r="B361" i="1"/>
  <c r="N361" i="1"/>
  <c r="C362" i="1"/>
  <c r="B362" i="1"/>
  <c r="N362" i="1"/>
  <c r="C363" i="1"/>
  <c r="B363" i="1"/>
  <c r="N363" i="1"/>
  <c r="C364" i="1"/>
  <c r="B364" i="1"/>
  <c r="N364" i="1"/>
  <c r="C365" i="1"/>
  <c r="B365" i="1"/>
  <c r="N365" i="1"/>
  <c r="C366" i="1"/>
  <c r="B366" i="1"/>
  <c r="N366" i="1"/>
  <c r="C367" i="1"/>
  <c r="B367" i="1"/>
  <c r="N367" i="1"/>
  <c r="C368" i="1"/>
  <c r="B368" i="1"/>
  <c r="N368" i="1"/>
  <c r="C369" i="1"/>
  <c r="B369" i="1"/>
  <c r="N369" i="1"/>
  <c r="C370" i="1"/>
  <c r="B370" i="1"/>
  <c r="N370" i="1"/>
  <c r="C371" i="1"/>
  <c r="B371" i="1"/>
  <c r="N371" i="1"/>
  <c r="C372" i="1"/>
  <c r="B372" i="1"/>
  <c r="N372" i="1"/>
  <c r="C374" i="1"/>
  <c r="B374" i="1"/>
  <c r="N374" i="1"/>
  <c r="C375" i="1"/>
  <c r="B375" i="1"/>
  <c r="N375" i="1"/>
  <c r="C376" i="1"/>
  <c r="B376" i="1"/>
  <c r="N376" i="1"/>
  <c r="C377" i="1"/>
  <c r="B377" i="1"/>
  <c r="N377" i="1"/>
  <c r="N380" i="1"/>
  <c r="J372" i="1"/>
  <c r="G359" i="1"/>
  <c r="G360" i="1"/>
  <c r="G361" i="1"/>
  <c r="G362" i="1"/>
  <c r="G363" i="1"/>
  <c r="G364" i="1"/>
  <c r="G365" i="1"/>
  <c r="G366" i="1"/>
  <c r="G367" i="1"/>
  <c r="G368" i="1"/>
  <c r="G369" i="1"/>
  <c r="G370" i="1"/>
  <c r="G371" i="1"/>
  <c r="G380" i="1"/>
  <c r="J359" i="1"/>
  <c r="J360" i="1"/>
  <c r="J361" i="1"/>
  <c r="J362" i="1"/>
  <c r="J363" i="1"/>
  <c r="J364" i="1"/>
  <c r="J365" i="1"/>
  <c r="J366" i="1"/>
  <c r="J367" i="1"/>
  <c r="J368" i="1"/>
  <c r="J369" i="1"/>
  <c r="J370" i="1"/>
  <c r="J371" i="1"/>
  <c r="C373" i="1"/>
  <c r="J373" i="1"/>
  <c r="J374" i="1"/>
  <c r="J375" i="1"/>
  <c r="J376" i="1"/>
  <c r="J377" i="1"/>
  <c r="J378" i="1"/>
  <c r="J380" i="1"/>
  <c r="B380" i="1"/>
  <c r="L372" i="1"/>
  <c r="L373" i="1"/>
  <c r="L374" i="1"/>
  <c r="L375" i="1"/>
  <c r="L376" i="1"/>
  <c r="L377" i="1"/>
  <c r="L378" i="1"/>
  <c r="L379" i="1"/>
  <c r="L359" i="1"/>
  <c r="L360" i="1"/>
  <c r="L361" i="1"/>
  <c r="L362" i="1"/>
  <c r="L363" i="1"/>
  <c r="L364" i="1"/>
  <c r="L365" i="1"/>
  <c r="L366" i="1"/>
  <c r="L367" i="1"/>
  <c r="L368" i="1"/>
  <c r="L369" i="1"/>
  <c r="L370" i="1"/>
  <c r="L371" i="1"/>
  <c r="L380" i="1"/>
  <c r="N381" i="1"/>
  <c r="S372" i="1"/>
  <c r="S373" i="1"/>
  <c r="S374" i="1"/>
  <c r="S375" i="1"/>
  <c r="S376" i="1"/>
  <c r="S377" i="1"/>
  <c r="S378" i="1"/>
  <c r="S379" i="1"/>
  <c r="S359" i="1"/>
  <c r="W359" i="1"/>
  <c r="S360" i="1"/>
  <c r="S361" i="1"/>
  <c r="S362" i="1"/>
  <c r="S363" i="1"/>
  <c r="S364" i="1"/>
  <c r="S365" i="1"/>
  <c r="S366" i="1"/>
  <c r="S367" i="1"/>
  <c r="S368" i="1"/>
  <c r="S369" i="1"/>
  <c r="S370" i="1"/>
  <c r="S371" i="1"/>
  <c r="S380" i="1"/>
  <c r="W360" i="1"/>
  <c r="W361" i="1"/>
  <c r="W362" i="1"/>
  <c r="W363" i="1"/>
  <c r="W364" i="1"/>
  <c r="W365" i="1"/>
  <c r="W366" i="1"/>
  <c r="W367" i="1"/>
  <c r="W368" i="1"/>
  <c r="W369" i="1"/>
  <c r="W370" i="1"/>
  <c r="I372" i="1"/>
  <c r="K372" i="1"/>
  <c r="W372" i="1"/>
  <c r="I373" i="1"/>
  <c r="K373" i="1"/>
  <c r="W373" i="1"/>
  <c r="I374" i="1"/>
  <c r="K374" i="1"/>
  <c r="W374" i="1"/>
  <c r="I375" i="1"/>
  <c r="K375" i="1"/>
  <c r="W375" i="1"/>
  <c r="I376" i="1"/>
  <c r="K376" i="1"/>
  <c r="W376" i="1"/>
  <c r="I377" i="1"/>
  <c r="K377" i="1"/>
  <c r="W377" i="1"/>
  <c r="W378" i="1"/>
  <c r="W380" i="1"/>
  <c r="W381" i="1"/>
  <c r="AA359" i="1"/>
  <c r="O359" i="1"/>
  <c r="O360" i="1"/>
  <c r="O361" i="1"/>
  <c r="O362" i="1"/>
  <c r="O363" i="1"/>
  <c r="O364" i="1"/>
  <c r="O365" i="1"/>
  <c r="O366" i="1"/>
  <c r="O367" i="1"/>
  <c r="O368" i="1"/>
  <c r="O369" i="1"/>
  <c r="O370" i="1"/>
  <c r="O371" i="1"/>
  <c r="O372" i="1"/>
  <c r="O374" i="1"/>
  <c r="O375" i="1"/>
  <c r="O376" i="1"/>
  <c r="O377" i="1"/>
  <c r="O380" i="1"/>
  <c r="O381" i="1"/>
  <c r="T372" i="1"/>
  <c r="T373" i="1"/>
  <c r="T374" i="1"/>
  <c r="T375" i="1"/>
  <c r="T376" i="1"/>
  <c r="T377" i="1"/>
  <c r="T378" i="1"/>
  <c r="T379" i="1"/>
  <c r="T359" i="1"/>
  <c r="X359" i="1"/>
  <c r="T360" i="1"/>
  <c r="T361" i="1"/>
  <c r="T362" i="1"/>
  <c r="T363" i="1"/>
  <c r="T364" i="1"/>
  <c r="T365" i="1"/>
  <c r="T366" i="1"/>
  <c r="T367" i="1"/>
  <c r="T368" i="1"/>
  <c r="T369" i="1"/>
  <c r="T370" i="1"/>
  <c r="T371" i="1"/>
  <c r="T380" i="1"/>
  <c r="X360" i="1"/>
  <c r="X361" i="1"/>
  <c r="X362" i="1"/>
  <c r="X363" i="1"/>
  <c r="X364" i="1"/>
  <c r="X365" i="1"/>
  <c r="X366" i="1"/>
  <c r="X367" i="1"/>
  <c r="X368" i="1"/>
  <c r="X369" i="1"/>
  <c r="X370" i="1"/>
  <c r="X372" i="1"/>
  <c r="X373" i="1"/>
  <c r="X374" i="1"/>
  <c r="X375" i="1"/>
  <c r="X376" i="1"/>
  <c r="X377" i="1"/>
  <c r="X378" i="1"/>
  <c r="X380" i="1"/>
  <c r="X381" i="1"/>
  <c r="AB359" i="1"/>
  <c r="P359" i="1"/>
  <c r="P360" i="1"/>
  <c r="P361" i="1"/>
  <c r="P362" i="1"/>
  <c r="P363" i="1"/>
  <c r="P364" i="1"/>
  <c r="P365" i="1"/>
  <c r="P366" i="1"/>
  <c r="P367" i="1"/>
  <c r="P368" i="1"/>
  <c r="P369" i="1"/>
  <c r="P370" i="1"/>
  <c r="P371" i="1"/>
  <c r="P372" i="1"/>
  <c r="P374" i="1"/>
  <c r="P375" i="1"/>
  <c r="P376" i="1"/>
  <c r="P377" i="1"/>
  <c r="P380" i="1"/>
  <c r="P381" i="1"/>
  <c r="U372" i="1"/>
  <c r="U373" i="1"/>
  <c r="U374" i="1"/>
  <c r="U375" i="1"/>
  <c r="U376" i="1"/>
  <c r="U377" i="1"/>
  <c r="U378" i="1"/>
  <c r="U379" i="1"/>
  <c r="U359" i="1"/>
  <c r="Y359" i="1"/>
  <c r="U360" i="1"/>
  <c r="U361" i="1"/>
  <c r="U362" i="1"/>
  <c r="U363" i="1"/>
  <c r="U364" i="1"/>
  <c r="U365" i="1"/>
  <c r="U366" i="1"/>
  <c r="U367" i="1"/>
  <c r="U368" i="1"/>
  <c r="U369" i="1"/>
  <c r="U370" i="1"/>
  <c r="U371" i="1"/>
  <c r="U380" i="1"/>
  <c r="Y360" i="1"/>
  <c r="Y361" i="1"/>
  <c r="Y362" i="1"/>
  <c r="Y363" i="1"/>
  <c r="Y364" i="1"/>
  <c r="Y365" i="1"/>
  <c r="Y366" i="1"/>
  <c r="Y367" i="1"/>
  <c r="Y368" i="1"/>
  <c r="Y369" i="1"/>
  <c r="Y370" i="1"/>
  <c r="Y372" i="1"/>
  <c r="Y373" i="1"/>
  <c r="Y374" i="1"/>
  <c r="Y375" i="1"/>
  <c r="Y376" i="1"/>
  <c r="Y377" i="1"/>
  <c r="Y378" i="1"/>
  <c r="Y380" i="1"/>
  <c r="Y381" i="1"/>
  <c r="AC359" i="1"/>
  <c r="Q359" i="1"/>
  <c r="Q360" i="1"/>
  <c r="Q361" i="1"/>
  <c r="Q362" i="1"/>
  <c r="Q363" i="1"/>
  <c r="Q364" i="1"/>
  <c r="Q365" i="1"/>
  <c r="Q366" i="1"/>
  <c r="Q367" i="1"/>
  <c r="Q368" i="1"/>
  <c r="Q369" i="1"/>
  <c r="Q370" i="1"/>
  <c r="Q371" i="1"/>
  <c r="Q372" i="1"/>
  <c r="Q374" i="1"/>
  <c r="Q375" i="1"/>
  <c r="Q376" i="1"/>
  <c r="Q377" i="1"/>
  <c r="Q380" i="1"/>
  <c r="Q381" i="1"/>
  <c r="V372" i="1"/>
  <c r="V373" i="1"/>
  <c r="V374" i="1"/>
  <c r="V375" i="1"/>
  <c r="V376" i="1"/>
  <c r="V377" i="1"/>
  <c r="V378" i="1"/>
  <c r="V379" i="1"/>
  <c r="V359" i="1"/>
  <c r="Z359" i="1"/>
  <c r="V360" i="1"/>
  <c r="V361" i="1"/>
  <c r="V362" i="1"/>
  <c r="V363" i="1"/>
  <c r="V364" i="1"/>
  <c r="V365" i="1"/>
  <c r="V366" i="1"/>
  <c r="V367" i="1"/>
  <c r="V368" i="1"/>
  <c r="V369" i="1"/>
  <c r="V370" i="1"/>
  <c r="V371" i="1"/>
  <c r="V380" i="1"/>
  <c r="Z360" i="1"/>
  <c r="Z361" i="1"/>
  <c r="Z362" i="1"/>
  <c r="Z363" i="1"/>
  <c r="Z364" i="1"/>
  <c r="Z365" i="1"/>
  <c r="Z366" i="1"/>
  <c r="Z367" i="1"/>
  <c r="Z368" i="1"/>
  <c r="Z369" i="1"/>
  <c r="Z370" i="1"/>
  <c r="Z372" i="1"/>
  <c r="Z373" i="1"/>
  <c r="Z374" i="1"/>
  <c r="Z375" i="1"/>
  <c r="Z376" i="1"/>
  <c r="Z377" i="1"/>
  <c r="Z378" i="1"/>
  <c r="Z380" i="1"/>
  <c r="Z381" i="1"/>
  <c r="AD359" i="1"/>
  <c r="AE359" i="1"/>
  <c r="AF359" i="1"/>
  <c r="AG359" i="1"/>
  <c r="AH359" i="1"/>
  <c r="AI359" i="1"/>
  <c r="AA360" i="1"/>
  <c r="AB360" i="1"/>
  <c r="AC360" i="1"/>
  <c r="AD360" i="1"/>
  <c r="AE360" i="1"/>
  <c r="AF360" i="1"/>
  <c r="AG360" i="1"/>
  <c r="AH360" i="1"/>
  <c r="AI360" i="1"/>
  <c r="AA361" i="1"/>
  <c r="AB361" i="1"/>
  <c r="AC361" i="1"/>
  <c r="AD361" i="1"/>
  <c r="AE361" i="1"/>
  <c r="AF361" i="1"/>
  <c r="AG361" i="1"/>
  <c r="AH361" i="1"/>
  <c r="AI361" i="1"/>
  <c r="AA362" i="1"/>
  <c r="AB362" i="1"/>
  <c r="AC362" i="1"/>
  <c r="AD362" i="1"/>
  <c r="AE362" i="1"/>
  <c r="AF362" i="1"/>
  <c r="AG362" i="1"/>
  <c r="AH362" i="1"/>
  <c r="AI362" i="1"/>
  <c r="AA363" i="1"/>
  <c r="AB363" i="1"/>
  <c r="AC363" i="1"/>
  <c r="AD363" i="1"/>
  <c r="AE363" i="1"/>
  <c r="AF363" i="1"/>
  <c r="AG363" i="1"/>
  <c r="AH363" i="1"/>
  <c r="AI363" i="1"/>
  <c r="AA364" i="1"/>
  <c r="AB364" i="1"/>
  <c r="AC364" i="1"/>
  <c r="AD364" i="1"/>
  <c r="AE364" i="1"/>
  <c r="AF364" i="1"/>
  <c r="AG364" i="1"/>
  <c r="AH364" i="1"/>
  <c r="AI364" i="1"/>
  <c r="AA365" i="1"/>
  <c r="AB365" i="1"/>
  <c r="AC365" i="1"/>
  <c r="AD365" i="1"/>
  <c r="AE365" i="1"/>
  <c r="AF365" i="1"/>
  <c r="AG365" i="1"/>
  <c r="AH365" i="1"/>
  <c r="AI365" i="1"/>
  <c r="AA366" i="1"/>
  <c r="AB366" i="1"/>
  <c r="AC366" i="1"/>
  <c r="AD366" i="1"/>
  <c r="AE366" i="1"/>
  <c r="AF366" i="1"/>
  <c r="AG366" i="1"/>
  <c r="AH366" i="1"/>
  <c r="AI366" i="1"/>
  <c r="AA367" i="1"/>
  <c r="AB367" i="1"/>
  <c r="AC367" i="1"/>
  <c r="AD367" i="1"/>
  <c r="AE367" i="1"/>
  <c r="AF367" i="1"/>
  <c r="AG367" i="1"/>
  <c r="AH367" i="1"/>
  <c r="AI367" i="1"/>
  <c r="AA368" i="1"/>
  <c r="AB368" i="1"/>
  <c r="AC368" i="1"/>
  <c r="AD368" i="1"/>
  <c r="AE368" i="1"/>
  <c r="AF368" i="1"/>
  <c r="AG368" i="1"/>
  <c r="AH368" i="1"/>
  <c r="AI368" i="1"/>
  <c r="AA369" i="1"/>
  <c r="AB369" i="1"/>
  <c r="AC369" i="1"/>
  <c r="AD369" i="1"/>
  <c r="AE369" i="1"/>
  <c r="AF369" i="1"/>
  <c r="AG369" i="1"/>
  <c r="AH369" i="1"/>
  <c r="AI369" i="1"/>
  <c r="AA370" i="1"/>
  <c r="AB370" i="1"/>
  <c r="AC370" i="1"/>
  <c r="AD370" i="1"/>
  <c r="AE370" i="1"/>
  <c r="AF370" i="1"/>
  <c r="AG370" i="1"/>
  <c r="AH370" i="1"/>
  <c r="AI370" i="1"/>
  <c r="AA371" i="1"/>
  <c r="AB371" i="1"/>
  <c r="AC371" i="1"/>
  <c r="AD371" i="1"/>
  <c r="AE371" i="1"/>
  <c r="AF371" i="1"/>
  <c r="AG371" i="1"/>
  <c r="AH371" i="1"/>
  <c r="AI371" i="1"/>
  <c r="AA372" i="1"/>
  <c r="AB372" i="1"/>
  <c r="AC372" i="1"/>
  <c r="AD372" i="1"/>
  <c r="AE372" i="1"/>
  <c r="AF372" i="1"/>
  <c r="AG372" i="1"/>
  <c r="AH372" i="1"/>
  <c r="AI372" i="1"/>
  <c r="AA373" i="1"/>
  <c r="AB373" i="1"/>
  <c r="AC373" i="1"/>
  <c r="AD373" i="1"/>
  <c r="AE373" i="1"/>
  <c r="AF373" i="1"/>
  <c r="AG373" i="1"/>
  <c r="AH373" i="1"/>
  <c r="AI373" i="1"/>
  <c r="AA374" i="1"/>
  <c r="AB374" i="1"/>
  <c r="AC374" i="1"/>
  <c r="AD374" i="1"/>
  <c r="AE374" i="1"/>
  <c r="AF374" i="1"/>
  <c r="AG374" i="1"/>
  <c r="AH374" i="1"/>
  <c r="AI374" i="1"/>
  <c r="AA375" i="1"/>
  <c r="AB375" i="1"/>
  <c r="AC375" i="1"/>
  <c r="AD375" i="1"/>
  <c r="AE375" i="1"/>
  <c r="AF375" i="1"/>
  <c r="AG375" i="1"/>
  <c r="AH375" i="1"/>
  <c r="AI375" i="1"/>
  <c r="AA376" i="1"/>
  <c r="AB376" i="1"/>
  <c r="AC376" i="1"/>
  <c r="AD376" i="1"/>
  <c r="AE376" i="1"/>
  <c r="AF376" i="1"/>
  <c r="AG376" i="1"/>
  <c r="AH376" i="1"/>
  <c r="AI376" i="1"/>
  <c r="AA377" i="1"/>
  <c r="AB377" i="1"/>
  <c r="AC377" i="1"/>
  <c r="AD377" i="1"/>
  <c r="AE377" i="1"/>
  <c r="AF377" i="1"/>
  <c r="AG377" i="1"/>
  <c r="AH377" i="1"/>
  <c r="AI377" i="1"/>
  <c r="C383" i="1"/>
  <c r="B383" i="1"/>
  <c r="N383" i="1"/>
  <c r="C384" i="1"/>
  <c r="B384" i="1"/>
  <c r="N384" i="1"/>
  <c r="C385" i="1"/>
  <c r="B385" i="1"/>
  <c r="N385" i="1"/>
  <c r="C386" i="1"/>
  <c r="B386" i="1"/>
  <c r="N386" i="1"/>
  <c r="C387" i="1"/>
  <c r="B387" i="1"/>
  <c r="N387" i="1"/>
  <c r="C388" i="1"/>
  <c r="B388" i="1"/>
  <c r="N388" i="1"/>
  <c r="C389" i="1"/>
  <c r="B389" i="1"/>
  <c r="N389" i="1"/>
  <c r="C390" i="1"/>
  <c r="B390" i="1"/>
  <c r="N390" i="1"/>
  <c r="C391" i="1"/>
  <c r="B391" i="1"/>
  <c r="N391" i="1"/>
  <c r="C392" i="1"/>
  <c r="B392" i="1"/>
  <c r="N392" i="1"/>
  <c r="C393" i="1"/>
  <c r="B393" i="1"/>
  <c r="N393" i="1"/>
  <c r="N394" i="1"/>
  <c r="C395" i="1"/>
  <c r="B395" i="1"/>
  <c r="N395" i="1"/>
  <c r="C397" i="1"/>
  <c r="B397" i="1"/>
  <c r="N397" i="1"/>
  <c r="N400" i="1"/>
  <c r="J395" i="1"/>
  <c r="G383" i="1"/>
  <c r="G384" i="1"/>
  <c r="G385" i="1"/>
  <c r="G386" i="1"/>
  <c r="G387" i="1"/>
  <c r="G388" i="1"/>
  <c r="G389" i="1"/>
  <c r="G390" i="1"/>
  <c r="G391" i="1"/>
  <c r="G392" i="1"/>
  <c r="G393" i="1"/>
  <c r="G394" i="1"/>
  <c r="G400" i="1"/>
  <c r="J383" i="1"/>
  <c r="J384" i="1"/>
  <c r="J385" i="1"/>
  <c r="J386" i="1"/>
  <c r="J387" i="1"/>
  <c r="J388" i="1"/>
  <c r="J389" i="1"/>
  <c r="J390" i="1"/>
  <c r="J391" i="1"/>
  <c r="J392" i="1"/>
  <c r="J393" i="1"/>
  <c r="C396" i="1"/>
  <c r="J396" i="1"/>
  <c r="J397" i="1"/>
  <c r="J398" i="1"/>
  <c r="J400" i="1"/>
  <c r="B400" i="1"/>
  <c r="L395" i="1"/>
  <c r="L396" i="1"/>
  <c r="L397" i="1"/>
  <c r="L398" i="1"/>
  <c r="L399" i="1"/>
  <c r="L383" i="1"/>
  <c r="L384" i="1"/>
  <c r="L385" i="1"/>
  <c r="L386" i="1"/>
  <c r="L387" i="1"/>
  <c r="L388" i="1"/>
  <c r="L389" i="1"/>
  <c r="L390" i="1"/>
  <c r="L391" i="1"/>
  <c r="L392" i="1"/>
  <c r="L393" i="1"/>
  <c r="L400" i="1"/>
  <c r="N401" i="1"/>
  <c r="S395" i="1"/>
  <c r="S396" i="1"/>
  <c r="S397" i="1"/>
  <c r="S398" i="1"/>
  <c r="S399" i="1"/>
  <c r="S383" i="1"/>
  <c r="W383" i="1"/>
  <c r="S384" i="1"/>
  <c r="S385" i="1"/>
  <c r="S386" i="1"/>
  <c r="S387" i="1"/>
  <c r="S388" i="1"/>
  <c r="S389" i="1"/>
  <c r="S390" i="1"/>
  <c r="S391" i="1"/>
  <c r="S392" i="1"/>
  <c r="S393" i="1"/>
  <c r="S400" i="1"/>
  <c r="W384" i="1"/>
  <c r="W385" i="1"/>
  <c r="W386" i="1"/>
  <c r="W387" i="1"/>
  <c r="W388" i="1"/>
  <c r="W389" i="1"/>
  <c r="W390" i="1"/>
  <c r="W391" i="1"/>
  <c r="W392" i="1"/>
  <c r="W393" i="1"/>
  <c r="I395" i="1"/>
  <c r="K395" i="1"/>
  <c r="W395" i="1"/>
  <c r="I396" i="1"/>
  <c r="K396" i="1"/>
  <c r="W396" i="1"/>
  <c r="I397" i="1"/>
  <c r="K397" i="1"/>
  <c r="W397" i="1"/>
  <c r="W398" i="1"/>
  <c r="W400" i="1"/>
  <c r="W401" i="1"/>
  <c r="AA383" i="1"/>
  <c r="O383" i="1"/>
  <c r="O384" i="1"/>
  <c r="O385" i="1"/>
  <c r="O386" i="1"/>
  <c r="O387" i="1"/>
  <c r="O388" i="1"/>
  <c r="O389" i="1"/>
  <c r="O390" i="1"/>
  <c r="O391" i="1"/>
  <c r="O392" i="1"/>
  <c r="O393" i="1"/>
  <c r="O394" i="1"/>
  <c r="O395" i="1"/>
  <c r="O397" i="1"/>
  <c r="O400" i="1"/>
  <c r="O401" i="1"/>
  <c r="T395" i="1"/>
  <c r="T396" i="1"/>
  <c r="T397" i="1"/>
  <c r="T398" i="1"/>
  <c r="T399" i="1"/>
  <c r="T383" i="1"/>
  <c r="X383" i="1"/>
  <c r="T384" i="1"/>
  <c r="T385" i="1"/>
  <c r="T386" i="1"/>
  <c r="T387" i="1"/>
  <c r="T388" i="1"/>
  <c r="T389" i="1"/>
  <c r="T390" i="1"/>
  <c r="T391" i="1"/>
  <c r="T392" i="1"/>
  <c r="T393" i="1"/>
  <c r="T400" i="1"/>
  <c r="X384" i="1"/>
  <c r="X385" i="1"/>
  <c r="X386" i="1"/>
  <c r="X387" i="1"/>
  <c r="X388" i="1"/>
  <c r="X389" i="1"/>
  <c r="X390" i="1"/>
  <c r="X391" i="1"/>
  <c r="X392" i="1"/>
  <c r="X393" i="1"/>
  <c r="X395" i="1"/>
  <c r="X396" i="1"/>
  <c r="X397" i="1"/>
  <c r="X398" i="1"/>
  <c r="X400" i="1"/>
  <c r="X401" i="1"/>
  <c r="AB383" i="1"/>
  <c r="P383" i="1"/>
  <c r="P384" i="1"/>
  <c r="P385" i="1"/>
  <c r="P386" i="1"/>
  <c r="P387" i="1"/>
  <c r="P388" i="1"/>
  <c r="P389" i="1"/>
  <c r="P390" i="1"/>
  <c r="P391" i="1"/>
  <c r="P392" i="1"/>
  <c r="P393" i="1"/>
  <c r="P394" i="1"/>
  <c r="P395" i="1"/>
  <c r="P397" i="1"/>
  <c r="P400" i="1"/>
  <c r="P401" i="1"/>
  <c r="U395" i="1"/>
  <c r="U396" i="1"/>
  <c r="U397" i="1"/>
  <c r="U398" i="1"/>
  <c r="U399" i="1"/>
  <c r="U383" i="1"/>
  <c r="Y383" i="1"/>
  <c r="U384" i="1"/>
  <c r="U385" i="1"/>
  <c r="U386" i="1"/>
  <c r="U387" i="1"/>
  <c r="U388" i="1"/>
  <c r="U389" i="1"/>
  <c r="U390" i="1"/>
  <c r="U391" i="1"/>
  <c r="U392" i="1"/>
  <c r="U393" i="1"/>
  <c r="U400" i="1"/>
  <c r="Y384" i="1"/>
  <c r="Y385" i="1"/>
  <c r="Y386" i="1"/>
  <c r="Y387" i="1"/>
  <c r="Y388" i="1"/>
  <c r="Y389" i="1"/>
  <c r="Y390" i="1"/>
  <c r="Y391" i="1"/>
  <c r="Y392" i="1"/>
  <c r="Y393" i="1"/>
  <c r="Y395" i="1"/>
  <c r="Y396" i="1"/>
  <c r="Y397" i="1"/>
  <c r="Y398" i="1"/>
  <c r="Y400" i="1"/>
  <c r="Y401" i="1"/>
  <c r="AC383" i="1"/>
  <c r="Q383" i="1"/>
  <c r="Q384" i="1"/>
  <c r="Q385" i="1"/>
  <c r="Q386" i="1"/>
  <c r="Q387" i="1"/>
  <c r="Q388" i="1"/>
  <c r="Q389" i="1"/>
  <c r="Q390" i="1"/>
  <c r="Q391" i="1"/>
  <c r="Q392" i="1"/>
  <c r="Q393" i="1"/>
  <c r="Q394" i="1"/>
  <c r="Q395" i="1"/>
  <c r="Q397" i="1"/>
  <c r="Q400" i="1"/>
  <c r="Q401" i="1"/>
  <c r="V395" i="1"/>
  <c r="V396" i="1"/>
  <c r="V397" i="1"/>
  <c r="V398" i="1"/>
  <c r="V399" i="1"/>
  <c r="V383" i="1"/>
  <c r="Z383" i="1"/>
  <c r="V384" i="1"/>
  <c r="V385" i="1"/>
  <c r="V386" i="1"/>
  <c r="V387" i="1"/>
  <c r="V388" i="1"/>
  <c r="V389" i="1"/>
  <c r="V390" i="1"/>
  <c r="V391" i="1"/>
  <c r="V392" i="1"/>
  <c r="V393" i="1"/>
  <c r="V400" i="1"/>
  <c r="Z384" i="1"/>
  <c r="Z385" i="1"/>
  <c r="Z386" i="1"/>
  <c r="Z387" i="1"/>
  <c r="Z388" i="1"/>
  <c r="Z389" i="1"/>
  <c r="Z390" i="1"/>
  <c r="Z391" i="1"/>
  <c r="Z392" i="1"/>
  <c r="Z393" i="1"/>
  <c r="Z395" i="1"/>
  <c r="Z396" i="1"/>
  <c r="Z397" i="1"/>
  <c r="Z398" i="1"/>
  <c r="Z400" i="1"/>
  <c r="Z401" i="1"/>
  <c r="AD383" i="1"/>
  <c r="AE383" i="1"/>
  <c r="AF383" i="1"/>
  <c r="AG383" i="1"/>
  <c r="AH383" i="1"/>
  <c r="AI383" i="1"/>
  <c r="AA384" i="1"/>
  <c r="AB384" i="1"/>
  <c r="AC384" i="1"/>
  <c r="AD384" i="1"/>
  <c r="AE384" i="1"/>
  <c r="AF384" i="1"/>
  <c r="AG384" i="1"/>
  <c r="AH384" i="1"/>
  <c r="AI384" i="1"/>
  <c r="AA385" i="1"/>
  <c r="AB385" i="1"/>
  <c r="AC385" i="1"/>
  <c r="AD385" i="1"/>
  <c r="AE385" i="1"/>
  <c r="AF385" i="1"/>
  <c r="AG385" i="1"/>
  <c r="AH385" i="1"/>
  <c r="AI385" i="1"/>
  <c r="AA386" i="1"/>
  <c r="AB386" i="1"/>
  <c r="AC386" i="1"/>
  <c r="AD386" i="1"/>
  <c r="AE386" i="1"/>
  <c r="AF386" i="1"/>
  <c r="AG386" i="1"/>
  <c r="AH386" i="1"/>
  <c r="AI386" i="1"/>
  <c r="AA387" i="1"/>
  <c r="AB387" i="1"/>
  <c r="AC387" i="1"/>
  <c r="AD387" i="1"/>
  <c r="AE387" i="1"/>
  <c r="AF387" i="1"/>
  <c r="AG387" i="1"/>
  <c r="AH387" i="1"/>
  <c r="AI387" i="1"/>
  <c r="AA388" i="1"/>
  <c r="AB388" i="1"/>
  <c r="AC388" i="1"/>
  <c r="AD388" i="1"/>
  <c r="AE388" i="1"/>
  <c r="AF388" i="1"/>
  <c r="AG388" i="1"/>
  <c r="AH388" i="1"/>
  <c r="AI388" i="1"/>
  <c r="AA389" i="1"/>
  <c r="AB389" i="1"/>
  <c r="AC389" i="1"/>
  <c r="AD389" i="1"/>
  <c r="AE389" i="1"/>
  <c r="AF389" i="1"/>
  <c r="AG389" i="1"/>
  <c r="AH389" i="1"/>
  <c r="AI389" i="1"/>
  <c r="AA390" i="1"/>
  <c r="AB390" i="1"/>
  <c r="AC390" i="1"/>
  <c r="AD390" i="1"/>
  <c r="AE390" i="1"/>
  <c r="AF390" i="1"/>
  <c r="AG390" i="1"/>
  <c r="AH390" i="1"/>
  <c r="AI390" i="1"/>
  <c r="AA391" i="1"/>
  <c r="AB391" i="1"/>
  <c r="AC391" i="1"/>
  <c r="AD391" i="1"/>
  <c r="AE391" i="1"/>
  <c r="AF391" i="1"/>
  <c r="AG391" i="1"/>
  <c r="AH391" i="1"/>
  <c r="AI391" i="1"/>
  <c r="AA392" i="1"/>
  <c r="AB392" i="1"/>
  <c r="AC392" i="1"/>
  <c r="AD392" i="1"/>
  <c r="AE392" i="1"/>
  <c r="AF392" i="1"/>
  <c r="AG392" i="1"/>
  <c r="AH392" i="1"/>
  <c r="AI392" i="1"/>
  <c r="AA393" i="1"/>
  <c r="AB393" i="1"/>
  <c r="AC393" i="1"/>
  <c r="AD393" i="1"/>
  <c r="AE393" i="1"/>
  <c r="AF393" i="1"/>
  <c r="AG393" i="1"/>
  <c r="AH393" i="1"/>
  <c r="AI393" i="1"/>
  <c r="AA395" i="1"/>
  <c r="AB395" i="1"/>
  <c r="AC395" i="1"/>
  <c r="AD395" i="1"/>
  <c r="AE395" i="1"/>
  <c r="AF395" i="1"/>
  <c r="AG395" i="1"/>
  <c r="AH395" i="1"/>
  <c r="AI395" i="1"/>
  <c r="AA396" i="1"/>
  <c r="AB396" i="1"/>
  <c r="AC396" i="1"/>
  <c r="AD396" i="1"/>
  <c r="AE396" i="1"/>
  <c r="AF396" i="1"/>
  <c r="AG396" i="1"/>
  <c r="AH396" i="1"/>
  <c r="AI396" i="1"/>
  <c r="AA397" i="1"/>
  <c r="AB397" i="1"/>
  <c r="AC397" i="1"/>
  <c r="AD397" i="1"/>
  <c r="AE397" i="1"/>
  <c r="AF397" i="1"/>
  <c r="AG397" i="1"/>
  <c r="AH397" i="1"/>
  <c r="AI397" i="1"/>
  <c r="AG403" i="1"/>
  <c r="AH403" i="1"/>
  <c r="AI403" i="1"/>
  <c r="C404" i="1"/>
  <c r="B404" i="1"/>
  <c r="N404" i="1"/>
  <c r="C403" i="1"/>
  <c r="B403" i="1"/>
  <c r="N403" i="1"/>
  <c r="C405" i="1"/>
  <c r="B405" i="1"/>
  <c r="N405" i="1"/>
  <c r="C406" i="1"/>
  <c r="B406" i="1"/>
  <c r="N406" i="1"/>
  <c r="C407" i="1"/>
  <c r="B407" i="1"/>
  <c r="N407" i="1"/>
  <c r="C408" i="1"/>
  <c r="B408" i="1"/>
  <c r="N408" i="1"/>
  <c r="C409" i="1"/>
  <c r="B409" i="1"/>
  <c r="N409" i="1"/>
  <c r="C410" i="1"/>
  <c r="B410" i="1"/>
  <c r="N410" i="1"/>
  <c r="C411" i="1"/>
  <c r="B411" i="1"/>
  <c r="N411" i="1"/>
  <c r="C412" i="1"/>
  <c r="B412" i="1"/>
  <c r="N412" i="1"/>
  <c r="C413" i="1"/>
  <c r="B413" i="1"/>
  <c r="N413" i="1"/>
  <c r="C414" i="1"/>
  <c r="B414" i="1"/>
  <c r="N414" i="1"/>
  <c r="C415" i="1"/>
  <c r="B415" i="1"/>
  <c r="N415" i="1"/>
  <c r="C416" i="1"/>
  <c r="B416" i="1"/>
  <c r="N416" i="1"/>
  <c r="N417" i="1"/>
  <c r="B418" i="1"/>
  <c r="N418" i="1"/>
  <c r="N419" i="1"/>
  <c r="C420" i="1"/>
  <c r="B420" i="1"/>
  <c r="N420" i="1"/>
  <c r="C421" i="1"/>
  <c r="B421" i="1"/>
  <c r="N421" i="1"/>
  <c r="C423" i="1"/>
  <c r="B423" i="1"/>
  <c r="N423" i="1"/>
  <c r="C424" i="1"/>
  <c r="B424" i="1"/>
  <c r="N424" i="1"/>
  <c r="C425" i="1"/>
  <c r="B425" i="1"/>
  <c r="N425" i="1"/>
  <c r="C427" i="1"/>
  <c r="B427" i="1"/>
  <c r="N427" i="1"/>
  <c r="C428" i="1"/>
  <c r="B428" i="1"/>
  <c r="N428" i="1"/>
  <c r="C429" i="1"/>
  <c r="B429" i="1"/>
  <c r="N429" i="1"/>
  <c r="C430" i="1"/>
  <c r="B430" i="1"/>
  <c r="N430" i="1"/>
  <c r="C431" i="1"/>
  <c r="B431" i="1"/>
  <c r="N431" i="1"/>
  <c r="C432" i="1"/>
  <c r="B432" i="1"/>
  <c r="N432" i="1"/>
  <c r="C433" i="1"/>
  <c r="B433" i="1"/>
  <c r="N433" i="1"/>
  <c r="C434" i="1"/>
  <c r="B434" i="1"/>
  <c r="N434" i="1"/>
  <c r="C435" i="1"/>
  <c r="B435" i="1"/>
  <c r="N435" i="1"/>
  <c r="C437" i="1"/>
  <c r="B437" i="1"/>
  <c r="N437" i="1"/>
  <c r="C438" i="1"/>
  <c r="B438" i="1"/>
  <c r="N438" i="1"/>
  <c r="C439" i="1"/>
  <c r="B439" i="1"/>
  <c r="N439" i="1"/>
  <c r="C440" i="1"/>
  <c r="B440" i="1"/>
  <c r="N440" i="1"/>
  <c r="C441" i="1"/>
  <c r="B441" i="1"/>
  <c r="N441" i="1"/>
  <c r="C442" i="1"/>
  <c r="B442" i="1"/>
  <c r="N442" i="1"/>
  <c r="C443" i="1"/>
  <c r="B443" i="1"/>
  <c r="N443" i="1"/>
  <c r="C445" i="1"/>
  <c r="B445" i="1"/>
  <c r="N445" i="1"/>
  <c r="C446" i="1"/>
  <c r="B446" i="1"/>
  <c r="N446" i="1"/>
  <c r="C447" i="1"/>
  <c r="B447" i="1"/>
  <c r="N447" i="1"/>
  <c r="C448" i="1"/>
  <c r="B448" i="1"/>
  <c r="N448" i="1"/>
  <c r="C449" i="1"/>
  <c r="B449" i="1"/>
  <c r="N449" i="1"/>
  <c r="C450" i="1"/>
  <c r="B450" i="1"/>
  <c r="N450" i="1"/>
  <c r="C451" i="1"/>
  <c r="B451" i="1"/>
  <c r="N451" i="1"/>
  <c r="C452" i="1"/>
  <c r="B452" i="1"/>
  <c r="N452" i="1"/>
  <c r="C454" i="1"/>
  <c r="B454" i="1"/>
  <c r="N454" i="1"/>
  <c r="C455" i="1"/>
  <c r="B455" i="1"/>
  <c r="N455" i="1"/>
  <c r="C456" i="1"/>
  <c r="B456" i="1"/>
  <c r="N456" i="1"/>
  <c r="C457" i="1"/>
  <c r="B457" i="1"/>
  <c r="N457" i="1"/>
  <c r="C458" i="1"/>
  <c r="B458" i="1"/>
  <c r="N458" i="1"/>
  <c r="C459" i="1"/>
  <c r="B459" i="1"/>
  <c r="N459" i="1"/>
  <c r="N462" i="1"/>
  <c r="J420" i="1"/>
  <c r="G403" i="1"/>
  <c r="G404" i="1"/>
  <c r="G405" i="1"/>
  <c r="G406" i="1"/>
  <c r="G407" i="1"/>
  <c r="G408" i="1"/>
  <c r="G409" i="1"/>
  <c r="G410" i="1"/>
  <c r="G411" i="1"/>
  <c r="G412" i="1"/>
  <c r="G413" i="1"/>
  <c r="G414" i="1"/>
  <c r="G415" i="1"/>
  <c r="G416" i="1"/>
  <c r="G417" i="1"/>
  <c r="G418" i="1"/>
  <c r="G419" i="1"/>
  <c r="G462" i="1"/>
  <c r="J403" i="1"/>
  <c r="J404" i="1"/>
  <c r="J405" i="1"/>
  <c r="J406" i="1"/>
  <c r="J407" i="1"/>
  <c r="J408" i="1"/>
  <c r="J409" i="1"/>
  <c r="J410" i="1"/>
  <c r="J411" i="1"/>
  <c r="J412" i="1"/>
  <c r="J413" i="1"/>
  <c r="J414" i="1"/>
  <c r="J415" i="1"/>
  <c r="J416" i="1"/>
  <c r="J421" i="1"/>
  <c r="C422" i="1"/>
  <c r="J422" i="1"/>
  <c r="J423" i="1"/>
  <c r="J424" i="1"/>
  <c r="J425" i="1"/>
  <c r="J426" i="1"/>
  <c r="J427" i="1"/>
  <c r="J428" i="1"/>
  <c r="J429" i="1"/>
  <c r="J430" i="1"/>
  <c r="J431" i="1"/>
  <c r="J432" i="1"/>
  <c r="J433" i="1"/>
  <c r="J434" i="1"/>
  <c r="J435" i="1"/>
  <c r="C436" i="1"/>
  <c r="J436" i="1"/>
  <c r="J437" i="1"/>
  <c r="J438" i="1"/>
  <c r="J439" i="1"/>
  <c r="J440" i="1"/>
  <c r="J441" i="1"/>
  <c r="J442" i="1"/>
  <c r="J443" i="1"/>
  <c r="C444" i="1"/>
  <c r="J444" i="1"/>
  <c r="J445" i="1"/>
  <c r="J446" i="1"/>
  <c r="J447" i="1"/>
  <c r="J448" i="1"/>
  <c r="J449" i="1"/>
  <c r="J450" i="1"/>
  <c r="J451" i="1"/>
  <c r="J452" i="1"/>
  <c r="C453" i="1"/>
  <c r="J453" i="1"/>
  <c r="J454" i="1"/>
  <c r="J455" i="1"/>
  <c r="J456" i="1"/>
  <c r="J457" i="1"/>
  <c r="J458" i="1"/>
  <c r="J459" i="1"/>
  <c r="J460" i="1"/>
  <c r="J462" i="1"/>
  <c r="B462"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03" i="1"/>
  <c r="L404" i="1"/>
  <c r="L405" i="1"/>
  <c r="L406" i="1"/>
  <c r="L407" i="1"/>
  <c r="L408" i="1"/>
  <c r="L409" i="1"/>
  <c r="L410" i="1"/>
  <c r="L411" i="1"/>
  <c r="L412" i="1"/>
  <c r="L413" i="1"/>
  <c r="L414" i="1"/>
  <c r="L415" i="1"/>
  <c r="L416" i="1"/>
  <c r="L417" i="1"/>
  <c r="L418" i="1"/>
  <c r="L462" i="1"/>
  <c r="N463" i="1"/>
  <c r="S420" i="1"/>
  <c r="S421" i="1"/>
  <c r="S422" i="1"/>
  <c r="S423" i="1"/>
  <c r="S424" i="1"/>
  <c r="S425" i="1"/>
  <c r="S426" i="1"/>
  <c r="S427" i="1"/>
  <c r="S428" i="1"/>
  <c r="S429" i="1"/>
  <c r="S430" i="1"/>
  <c r="S431" i="1"/>
  <c r="S432" i="1"/>
  <c r="S433" i="1"/>
  <c r="S434" i="1"/>
  <c r="S435" i="1"/>
  <c r="S436" i="1"/>
  <c r="S437" i="1"/>
  <c r="S438" i="1"/>
  <c r="S439" i="1"/>
  <c r="S440" i="1"/>
  <c r="S441" i="1"/>
  <c r="S442" i="1"/>
  <c r="S443" i="1"/>
  <c r="S445" i="1"/>
  <c r="S446" i="1"/>
  <c r="S447" i="1"/>
  <c r="S448" i="1"/>
  <c r="S449" i="1"/>
  <c r="S450" i="1"/>
  <c r="S451" i="1"/>
  <c r="S452" i="1"/>
  <c r="S453" i="1"/>
  <c r="S454" i="1"/>
  <c r="S455" i="1"/>
  <c r="S456" i="1"/>
  <c r="S457" i="1"/>
  <c r="S458" i="1"/>
  <c r="S459" i="1"/>
  <c r="S460" i="1"/>
  <c r="S461" i="1"/>
  <c r="S404" i="1"/>
  <c r="W404" i="1"/>
  <c r="S403" i="1"/>
  <c r="S405" i="1"/>
  <c r="S406" i="1"/>
  <c r="S407" i="1"/>
  <c r="S408" i="1"/>
  <c r="S409" i="1"/>
  <c r="S410" i="1"/>
  <c r="S411" i="1"/>
  <c r="S412" i="1"/>
  <c r="S413" i="1"/>
  <c r="S414" i="1"/>
  <c r="S415" i="1"/>
  <c r="S416" i="1"/>
  <c r="S417" i="1"/>
  <c r="S418" i="1"/>
  <c r="S462" i="1"/>
  <c r="W405" i="1"/>
  <c r="W406" i="1"/>
  <c r="W407" i="1"/>
  <c r="W408" i="1"/>
  <c r="W409" i="1"/>
  <c r="W410" i="1"/>
  <c r="W411" i="1"/>
  <c r="W412" i="1"/>
  <c r="W413" i="1"/>
  <c r="W414" i="1"/>
  <c r="W415" i="1"/>
  <c r="W416" i="1"/>
  <c r="W418" i="1"/>
  <c r="I420" i="1"/>
  <c r="K420" i="1"/>
  <c r="W420" i="1"/>
  <c r="I421" i="1"/>
  <c r="K421" i="1"/>
  <c r="W421" i="1"/>
  <c r="I422" i="1"/>
  <c r="K422" i="1"/>
  <c r="W422" i="1"/>
  <c r="I423" i="1"/>
  <c r="K423" i="1"/>
  <c r="W423" i="1"/>
  <c r="I424" i="1"/>
  <c r="K424" i="1"/>
  <c r="W424" i="1"/>
  <c r="I425" i="1"/>
  <c r="K425" i="1"/>
  <c r="W425" i="1"/>
  <c r="I426" i="1"/>
  <c r="K426" i="1"/>
  <c r="W426" i="1"/>
  <c r="I427" i="1"/>
  <c r="K427" i="1"/>
  <c r="W427" i="1"/>
  <c r="I428" i="1"/>
  <c r="K428" i="1"/>
  <c r="W428" i="1"/>
  <c r="I429" i="1"/>
  <c r="K429" i="1"/>
  <c r="W429" i="1"/>
  <c r="I430" i="1"/>
  <c r="K430" i="1"/>
  <c r="W430" i="1"/>
  <c r="I431" i="1"/>
  <c r="K431" i="1"/>
  <c r="W431" i="1"/>
  <c r="I432" i="1"/>
  <c r="K432" i="1"/>
  <c r="W432" i="1"/>
  <c r="I433" i="1"/>
  <c r="K433" i="1"/>
  <c r="W433" i="1"/>
  <c r="I434" i="1"/>
  <c r="K434" i="1"/>
  <c r="W434" i="1"/>
  <c r="I435" i="1"/>
  <c r="K435" i="1"/>
  <c r="W435" i="1"/>
  <c r="I436" i="1"/>
  <c r="K436" i="1"/>
  <c r="W436" i="1"/>
  <c r="I437" i="1"/>
  <c r="K437" i="1"/>
  <c r="W437" i="1"/>
  <c r="I438" i="1"/>
  <c r="K438" i="1"/>
  <c r="W438" i="1"/>
  <c r="I439" i="1"/>
  <c r="K439" i="1"/>
  <c r="W439" i="1"/>
  <c r="I440" i="1"/>
  <c r="K440" i="1"/>
  <c r="W440" i="1"/>
  <c r="I441" i="1"/>
  <c r="K441" i="1"/>
  <c r="W441" i="1"/>
  <c r="I442" i="1"/>
  <c r="K442" i="1"/>
  <c r="W442" i="1"/>
  <c r="I443" i="1"/>
  <c r="K443" i="1"/>
  <c r="W443" i="1"/>
  <c r="I445" i="1"/>
  <c r="K445" i="1"/>
  <c r="W445" i="1"/>
  <c r="I446" i="1"/>
  <c r="K446" i="1"/>
  <c r="W446" i="1"/>
  <c r="I447" i="1"/>
  <c r="K447" i="1"/>
  <c r="W447" i="1"/>
  <c r="I448" i="1"/>
  <c r="K448" i="1"/>
  <c r="W448" i="1"/>
  <c r="I449" i="1"/>
  <c r="K449" i="1"/>
  <c r="W449" i="1"/>
  <c r="I450" i="1"/>
  <c r="K450" i="1"/>
  <c r="W450" i="1"/>
  <c r="I451" i="1"/>
  <c r="K451" i="1"/>
  <c r="W451" i="1"/>
  <c r="I452" i="1"/>
  <c r="K452" i="1"/>
  <c r="W452" i="1"/>
  <c r="I453" i="1"/>
  <c r="K453" i="1"/>
  <c r="W453" i="1"/>
  <c r="I454" i="1"/>
  <c r="K454" i="1"/>
  <c r="W454" i="1"/>
  <c r="I455" i="1"/>
  <c r="K455" i="1"/>
  <c r="W455" i="1"/>
  <c r="I456" i="1"/>
  <c r="K456" i="1"/>
  <c r="W456" i="1"/>
  <c r="I457" i="1"/>
  <c r="K457" i="1"/>
  <c r="W457" i="1"/>
  <c r="I458" i="1"/>
  <c r="K458" i="1"/>
  <c r="W458" i="1"/>
  <c r="I459" i="1"/>
  <c r="K459" i="1"/>
  <c r="W459" i="1"/>
  <c r="W460" i="1"/>
  <c r="W462" i="1"/>
  <c r="W463" i="1"/>
  <c r="AA404" i="1"/>
  <c r="O404" i="1"/>
  <c r="O403" i="1"/>
  <c r="O405" i="1"/>
  <c r="O406" i="1"/>
  <c r="O407" i="1"/>
  <c r="O408" i="1"/>
  <c r="O409" i="1"/>
  <c r="O410" i="1"/>
  <c r="O411" i="1"/>
  <c r="O412" i="1"/>
  <c r="O413" i="1"/>
  <c r="O414" i="1"/>
  <c r="O415" i="1"/>
  <c r="O416" i="1"/>
  <c r="O417" i="1"/>
  <c r="O418" i="1"/>
  <c r="O419" i="1"/>
  <c r="O420" i="1"/>
  <c r="O421" i="1"/>
  <c r="O423" i="1"/>
  <c r="O424" i="1"/>
  <c r="O425" i="1"/>
  <c r="O427" i="1"/>
  <c r="O428" i="1"/>
  <c r="O429" i="1"/>
  <c r="O430" i="1"/>
  <c r="O431" i="1"/>
  <c r="O432" i="1"/>
  <c r="O433" i="1"/>
  <c r="O434" i="1"/>
  <c r="O435" i="1"/>
  <c r="O437" i="1"/>
  <c r="O438" i="1"/>
  <c r="O439" i="1"/>
  <c r="O440" i="1"/>
  <c r="O441" i="1"/>
  <c r="O442" i="1"/>
  <c r="O443" i="1"/>
  <c r="O445" i="1"/>
  <c r="O446" i="1"/>
  <c r="O447" i="1"/>
  <c r="O448" i="1"/>
  <c r="O449" i="1"/>
  <c r="O450" i="1"/>
  <c r="O451" i="1"/>
  <c r="O452" i="1"/>
  <c r="O454" i="1"/>
  <c r="O455" i="1"/>
  <c r="O456" i="1"/>
  <c r="O457" i="1"/>
  <c r="O458" i="1"/>
  <c r="O459" i="1"/>
  <c r="O462" i="1"/>
  <c r="O463" i="1"/>
  <c r="T420" i="1"/>
  <c r="T421" i="1"/>
  <c r="T422" i="1"/>
  <c r="T423" i="1"/>
  <c r="T424" i="1"/>
  <c r="T425" i="1"/>
  <c r="T426" i="1"/>
  <c r="T427" i="1"/>
  <c r="T428" i="1"/>
  <c r="T429" i="1"/>
  <c r="T430" i="1"/>
  <c r="T431" i="1"/>
  <c r="T432" i="1"/>
  <c r="T433" i="1"/>
  <c r="T434" i="1"/>
  <c r="T435" i="1"/>
  <c r="T436" i="1"/>
  <c r="T437" i="1"/>
  <c r="T438" i="1"/>
  <c r="T439" i="1"/>
  <c r="T440" i="1"/>
  <c r="T441" i="1"/>
  <c r="T442" i="1"/>
  <c r="T443" i="1"/>
  <c r="T445" i="1"/>
  <c r="T446" i="1"/>
  <c r="T447" i="1"/>
  <c r="T448" i="1"/>
  <c r="T449" i="1"/>
  <c r="T450" i="1"/>
  <c r="T451" i="1"/>
  <c r="T452" i="1"/>
  <c r="T453" i="1"/>
  <c r="T454" i="1"/>
  <c r="T455" i="1"/>
  <c r="T456" i="1"/>
  <c r="T457" i="1"/>
  <c r="T458" i="1"/>
  <c r="T459" i="1"/>
  <c r="T460" i="1"/>
  <c r="T461" i="1"/>
  <c r="T404" i="1"/>
  <c r="X404" i="1"/>
  <c r="T403" i="1"/>
  <c r="T405" i="1"/>
  <c r="T406" i="1"/>
  <c r="T407" i="1"/>
  <c r="T408" i="1"/>
  <c r="T409" i="1"/>
  <c r="T410" i="1"/>
  <c r="T411" i="1"/>
  <c r="T412" i="1"/>
  <c r="T413" i="1"/>
  <c r="T414" i="1"/>
  <c r="T415" i="1"/>
  <c r="T416" i="1"/>
  <c r="T417" i="1"/>
  <c r="T418" i="1"/>
  <c r="T462" i="1"/>
  <c r="X405" i="1"/>
  <c r="X406" i="1"/>
  <c r="X407" i="1"/>
  <c r="X408" i="1"/>
  <c r="X409" i="1"/>
  <c r="X410" i="1"/>
  <c r="X411" i="1"/>
  <c r="X412" i="1"/>
  <c r="X413" i="1"/>
  <c r="X414" i="1"/>
  <c r="X415" i="1"/>
  <c r="X416" i="1"/>
  <c r="X420" i="1"/>
  <c r="X421" i="1"/>
  <c r="X422" i="1"/>
  <c r="X423" i="1"/>
  <c r="X424" i="1"/>
  <c r="X425" i="1"/>
  <c r="X426" i="1"/>
  <c r="X427" i="1"/>
  <c r="X428" i="1"/>
  <c r="X429" i="1"/>
  <c r="X430" i="1"/>
  <c r="X431" i="1"/>
  <c r="X432" i="1"/>
  <c r="X433" i="1"/>
  <c r="X434" i="1"/>
  <c r="X435" i="1"/>
  <c r="X436" i="1"/>
  <c r="X437" i="1"/>
  <c r="X438" i="1"/>
  <c r="X439" i="1"/>
  <c r="X440" i="1"/>
  <c r="X441" i="1"/>
  <c r="X442" i="1"/>
  <c r="X443" i="1"/>
  <c r="X445" i="1"/>
  <c r="X446" i="1"/>
  <c r="X447" i="1"/>
  <c r="X448" i="1"/>
  <c r="X449" i="1"/>
  <c r="X450" i="1"/>
  <c r="X451" i="1"/>
  <c r="X452" i="1"/>
  <c r="X453" i="1"/>
  <c r="X454" i="1"/>
  <c r="X455" i="1"/>
  <c r="X456" i="1"/>
  <c r="X457" i="1"/>
  <c r="X458" i="1"/>
  <c r="X459" i="1"/>
  <c r="X460" i="1"/>
  <c r="X462" i="1"/>
  <c r="X463" i="1"/>
  <c r="AB404" i="1"/>
  <c r="P404" i="1"/>
  <c r="P403" i="1"/>
  <c r="P405" i="1"/>
  <c r="P406" i="1"/>
  <c r="P407" i="1"/>
  <c r="P408" i="1"/>
  <c r="P409" i="1"/>
  <c r="P410" i="1"/>
  <c r="P411" i="1"/>
  <c r="P412" i="1"/>
  <c r="P413" i="1"/>
  <c r="P414" i="1"/>
  <c r="P415" i="1"/>
  <c r="P416" i="1"/>
  <c r="P417" i="1"/>
  <c r="P418" i="1"/>
  <c r="P419" i="1"/>
  <c r="P420" i="1"/>
  <c r="P421" i="1"/>
  <c r="P423" i="1"/>
  <c r="P424" i="1"/>
  <c r="P425" i="1"/>
  <c r="P427" i="1"/>
  <c r="P428" i="1"/>
  <c r="P429" i="1"/>
  <c r="P430" i="1"/>
  <c r="P431" i="1"/>
  <c r="P432" i="1"/>
  <c r="P433" i="1"/>
  <c r="P434" i="1"/>
  <c r="P435" i="1"/>
  <c r="P437" i="1"/>
  <c r="P438" i="1"/>
  <c r="P439" i="1"/>
  <c r="P440" i="1"/>
  <c r="P441" i="1"/>
  <c r="P442" i="1"/>
  <c r="P443" i="1"/>
  <c r="P445" i="1"/>
  <c r="P446" i="1"/>
  <c r="P447" i="1"/>
  <c r="P448" i="1"/>
  <c r="P449" i="1"/>
  <c r="P450" i="1"/>
  <c r="P451" i="1"/>
  <c r="P452" i="1"/>
  <c r="P454" i="1"/>
  <c r="P455" i="1"/>
  <c r="P456" i="1"/>
  <c r="P457" i="1"/>
  <c r="P458" i="1"/>
  <c r="P459" i="1"/>
  <c r="P462" i="1"/>
  <c r="P463" i="1"/>
  <c r="U420" i="1"/>
  <c r="U421" i="1"/>
  <c r="U422" i="1"/>
  <c r="U423" i="1"/>
  <c r="U424" i="1"/>
  <c r="U425" i="1"/>
  <c r="U426" i="1"/>
  <c r="U427" i="1"/>
  <c r="U428" i="1"/>
  <c r="U429" i="1"/>
  <c r="U430" i="1"/>
  <c r="U431" i="1"/>
  <c r="U432" i="1"/>
  <c r="U433" i="1"/>
  <c r="U434" i="1"/>
  <c r="U435" i="1"/>
  <c r="U436" i="1"/>
  <c r="U437" i="1"/>
  <c r="U438" i="1"/>
  <c r="U439" i="1"/>
  <c r="U440" i="1"/>
  <c r="U441" i="1"/>
  <c r="U442" i="1"/>
  <c r="U443" i="1"/>
  <c r="U445" i="1"/>
  <c r="U446" i="1"/>
  <c r="U447" i="1"/>
  <c r="U448" i="1"/>
  <c r="U449" i="1"/>
  <c r="U450" i="1"/>
  <c r="U451" i="1"/>
  <c r="U452" i="1"/>
  <c r="U453" i="1"/>
  <c r="U454" i="1"/>
  <c r="U455" i="1"/>
  <c r="U456" i="1"/>
  <c r="U457" i="1"/>
  <c r="U458" i="1"/>
  <c r="U459" i="1"/>
  <c r="U460" i="1"/>
  <c r="U461" i="1"/>
  <c r="U404" i="1"/>
  <c r="Y404" i="1"/>
  <c r="U403" i="1"/>
  <c r="U405" i="1"/>
  <c r="U406" i="1"/>
  <c r="U407" i="1"/>
  <c r="U408" i="1"/>
  <c r="U409" i="1"/>
  <c r="U410" i="1"/>
  <c r="U411" i="1"/>
  <c r="U412" i="1"/>
  <c r="U413" i="1"/>
  <c r="U414" i="1"/>
  <c r="U415" i="1"/>
  <c r="U416" i="1"/>
  <c r="U417" i="1"/>
  <c r="U418" i="1"/>
  <c r="U462" i="1"/>
  <c r="Y405" i="1"/>
  <c r="Y406" i="1"/>
  <c r="Y407" i="1"/>
  <c r="Y408" i="1"/>
  <c r="Y409" i="1"/>
  <c r="Y410" i="1"/>
  <c r="Y411" i="1"/>
  <c r="Y412" i="1"/>
  <c r="Y413" i="1"/>
  <c r="Y414" i="1"/>
  <c r="Y415" i="1"/>
  <c r="Y416" i="1"/>
  <c r="Y418" i="1"/>
  <c r="Y420" i="1"/>
  <c r="Y421" i="1"/>
  <c r="Y422" i="1"/>
  <c r="Y423" i="1"/>
  <c r="Y424" i="1"/>
  <c r="Y425" i="1"/>
  <c r="Y426" i="1"/>
  <c r="Y427" i="1"/>
  <c r="Y428" i="1"/>
  <c r="Y429" i="1"/>
  <c r="Y430" i="1"/>
  <c r="Y431" i="1"/>
  <c r="Y432" i="1"/>
  <c r="Y433" i="1"/>
  <c r="Y434" i="1"/>
  <c r="Y435" i="1"/>
  <c r="Y436" i="1"/>
  <c r="Y437" i="1"/>
  <c r="Y438" i="1"/>
  <c r="Y439" i="1"/>
  <c r="Y440" i="1"/>
  <c r="Y441" i="1"/>
  <c r="Y442" i="1"/>
  <c r="Y443" i="1"/>
  <c r="Y445" i="1"/>
  <c r="Y446" i="1"/>
  <c r="Y447" i="1"/>
  <c r="Y448" i="1"/>
  <c r="Y449" i="1"/>
  <c r="Y450" i="1"/>
  <c r="Y451" i="1"/>
  <c r="Y452" i="1"/>
  <c r="Y453" i="1"/>
  <c r="Y454" i="1"/>
  <c r="Y455" i="1"/>
  <c r="Y456" i="1"/>
  <c r="Y457" i="1"/>
  <c r="Y458" i="1"/>
  <c r="Y459" i="1"/>
  <c r="Y460" i="1"/>
  <c r="Y462" i="1"/>
  <c r="Y463" i="1"/>
  <c r="AC404" i="1"/>
  <c r="Q404" i="1"/>
  <c r="Q403" i="1"/>
  <c r="Q405" i="1"/>
  <c r="Q406" i="1"/>
  <c r="Q407" i="1"/>
  <c r="Q408" i="1"/>
  <c r="Q409" i="1"/>
  <c r="Q410" i="1"/>
  <c r="Q411" i="1"/>
  <c r="Q412" i="1"/>
  <c r="Q413" i="1"/>
  <c r="Q414" i="1"/>
  <c r="Q415" i="1"/>
  <c r="Q416" i="1"/>
  <c r="Q417" i="1"/>
  <c r="Q418" i="1"/>
  <c r="Q419" i="1"/>
  <c r="Q420" i="1"/>
  <c r="Q421" i="1"/>
  <c r="Q423" i="1"/>
  <c r="Q424" i="1"/>
  <c r="Q425" i="1"/>
  <c r="Q427" i="1"/>
  <c r="Q428" i="1"/>
  <c r="Q429" i="1"/>
  <c r="Q430" i="1"/>
  <c r="Q431" i="1"/>
  <c r="Q432" i="1"/>
  <c r="Q433" i="1"/>
  <c r="Q434" i="1"/>
  <c r="Q435" i="1"/>
  <c r="Q437" i="1"/>
  <c r="Q438" i="1"/>
  <c r="Q439" i="1"/>
  <c r="Q440" i="1"/>
  <c r="Q441" i="1"/>
  <c r="Q442" i="1"/>
  <c r="Q443" i="1"/>
  <c r="Q445" i="1"/>
  <c r="Q446" i="1"/>
  <c r="Q447" i="1"/>
  <c r="Q448" i="1"/>
  <c r="Q449" i="1"/>
  <c r="Q450" i="1"/>
  <c r="Q451" i="1"/>
  <c r="Q452" i="1"/>
  <c r="Q454" i="1"/>
  <c r="Q455" i="1"/>
  <c r="Q456" i="1"/>
  <c r="Q457" i="1"/>
  <c r="Q458" i="1"/>
  <c r="Q459" i="1"/>
  <c r="Q462" i="1"/>
  <c r="Q463" i="1"/>
  <c r="V420" i="1"/>
  <c r="V421" i="1"/>
  <c r="V422" i="1"/>
  <c r="V423" i="1"/>
  <c r="V424" i="1"/>
  <c r="V425" i="1"/>
  <c r="V426" i="1"/>
  <c r="V427" i="1"/>
  <c r="V428" i="1"/>
  <c r="V429" i="1"/>
  <c r="V430" i="1"/>
  <c r="V431" i="1"/>
  <c r="V432" i="1"/>
  <c r="V433" i="1"/>
  <c r="V434" i="1"/>
  <c r="V435" i="1"/>
  <c r="V436" i="1"/>
  <c r="V437" i="1"/>
  <c r="V438" i="1"/>
  <c r="V439" i="1"/>
  <c r="V440" i="1"/>
  <c r="V441" i="1"/>
  <c r="V442" i="1"/>
  <c r="V443" i="1"/>
  <c r="V445" i="1"/>
  <c r="V446" i="1"/>
  <c r="V447" i="1"/>
  <c r="V448" i="1"/>
  <c r="V449" i="1"/>
  <c r="V450" i="1"/>
  <c r="V451" i="1"/>
  <c r="V452" i="1"/>
  <c r="V453" i="1"/>
  <c r="V454" i="1"/>
  <c r="V455" i="1"/>
  <c r="V456" i="1"/>
  <c r="V457" i="1"/>
  <c r="V458" i="1"/>
  <c r="V459" i="1"/>
  <c r="V460" i="1"/>
  <c r="V461" i="1"/>
  <c r="V404" i="1"/>
  <c r="Z404" i="1"/>
  <c r="V403" i="1"/>
  <c r="V405" i="1"/>
  <c r="V406" i="1"/>
  <c r="V407" i="1"/>
  <c r="V408" i="1"/>
  <c r="V409" i="1"/>
  <c r="V410" i="1"/>
  <c r="V411" i="1"/>
  <c r="V412" i="1"/>
  <c r="V413" i="1"/>
  <c r="V414" i="1"/>
  <c r="V415" i="1"/>
  <c r="V416" i="1"/>
  <c r="V417" i="1"/>
  <c r="V418" i="1"/>
  <c r="V462" i="1"/>
  <c r="Z405" i="1"/>
  <c r="Z406" i="1"/>
  <c r="Z407" i="1"/>
  <c r="Z408" i="1"/>
  <c r="Z409" i="1"/>
  <c r="Z410" i="1"/>
  <c r="Z411" i="1"/>
  <c r="Z412" i="1"/>
  <c r="Z413" i="1"/>
  <c r="Z414" i="1"/>
  <c r="Z415" i="1"/>
  <c r="Z416" i="1"/>
  <c r="Z418" i="1"/>
  <c r="Z420" i="1"/>
  <c r="Z421" i="1"/>
  <c r="Z422" i="1"/>
  <c r="Z423" i="1"/>
  <c r="Z424" i="1"/>
  <c r="Z425" i="1"/>
  <c r="Z426" i="1"/>
  <c r="Z427" i="1"/>
  <c r="Z428" i="1"/>
  <c r="Z429" i="1"/>
  <c r="Z430" i="1"/>
  <c r="Z431" i="1"/>
  <c r="Z432" i="1"/>
  <c r="Z433" i="1"/>
  <c r="Z434" i="1"/>
  <c r="Z435" i="1"/>
  <c r="Z436" i="1"/>
  <c r="Z437" i="1"/>
  <c r="Z438" i="1"/>
  <c r="Z439" i="1"/>
  <c r="Z440" i="1"/>
  <c r="Z441" i="1"/>
  <c r="Z442" i="1"/>
  <c r="Z443" i="1"/>
  <c r="Z445" i="1"/>
  <c r="Z446" i="1"/>
  <c r="Z447" i="1"/>
  <c r="Z448" i="1"/>
  <c r="Z449" i="1"/>
  <c r="Z450" i="1"/>
  <c r="Z451" i="1"/>
  <c r="Z452" i="1"/>
  <c r="Z453" i="1"/>
  <c r="Z454" i="1"/>
  <c r="Z455" i="1"/>
  <c r="Z456" i="1"/>
  <c r="Z457" i="1"/>
  <c r="Z458" i="1"/>
  <c r="Z459" i="1"/>
  <c r="Z460" i="1"/>
  <c r="Z462" i="1"/>
  <c r="Z463" i="1"/>
  <c r="AD404" i="1"/>
  <c r="AE404" i="1"/>
  <c r="AF404" i="1"/>
  <c r="AG404" i="1"/>
  <c r="AH404" i="1"/>
  <c r="AI404" i="1"/>
  <c r="AA405" i="1"/>
  <c r="AB405" i="1"/>
  <c r="AC405" i="1"/>
  <c r="AD405" i="1"/>
  <c r="AE405" i="1"/>
  <c r="AF405" i="1"/>
  <c r="AG405" i="1"/>
  <c r="AH405" i="1"/>
  <c r="AI405" i="1"/>
  <c r="AA406" i="1"/>
  <c r="AB406" i="1"/>
  <c r="AC406" i="1"/>
  <c r="AD406" i="1"/>
  <c r="AE406" i="1"/>
  <c r="AF406" i="1"/>
  <c r="AG406" i="1"/>
  <c r="AH406" i="1"/>
  <c r="AI406" i="1"/>
  <c r="AA407" i="1"/>
  <c r="AB407" i="1"/>
  <c r="AC407" i="1"/>
  <c r="AD407" i="1"/>
  <c r="AE407" i="1"/>
  <c r="AF407" i="1"/>
  <c r="AG407" i="1"/>
  <c r="AH407" i="1"/>
  <c r="AI407" i="1"/>
  <c r="AA408" i="1"/>
  <c r="AB408" i="1"/>
  <c r="AC408" i="1"/>
  <c r="AD408" i="1"/>
  <c r="AE408" i="1"/>
  <c r="AF408" i="1"/>
  <c r="AG408" i="1"/>
  <c r="AH408" i="1"/>
  <c r="AI408" i="1"/>
  <c r="AA409" i="1"/>
  <c r="AB409" i="1"/>
  <c r="AC409" i="1"/>
  <c r="AD409" i="1"/>
  <c r="AE409" i="1"/>
  <c r="AF409" i="1"/>
  <c r="AG409" i="1"/>
  <c r="AH409" i="1"/>
  <c r="AI409" i="1"/>
  <c r="AA410" i="1"/>
  <c r="AB410" i="1"/>
  <c r="AC410" i="1"/>
  <c r="AD410" i="1"/>
  <c r="AE410" i="1"/>
  <c r="AF410" i="1"/>
  <c r="AG410" i="1"/>
  <c r="AH410" i="1"/>
  <c r="AI410" i="1"/>
  <c r="AA411" i="1"/>
  <c r="AB411" i="1"/>
  <c r="AC411" i="1"/>
  <c r="AD411" i="1"/>
  <c r="AE411" i="1"/>
  <c r="AF411" i="1"/>
  <c r="AG411" i="1"/>
  <c r="AH411" i="1"/>
  <c r="AI411" i="1"/>
  <c r="AA412" i="1"/>
  <c r="AB412" i="1"/>
  <c r="AC412" i="1"/>
  <c r="AD412" i="1"/>
  <c r="AE412" i="1"/>
  <c r="AF412" i="1"/>
  <c r="AG412" i="1"/>
  <c r="AH412" i="1"/>
  <c r="AI412" i="1"/>
  <c r="AA413" i="1"/>
  <c r="AB413" i="1"/>
  <c r="AC413" i="1"/>
  <c r="AD413" i="1"/>
  <c r="AE413" i="1"/>
  <c r="AF413" i="1"/>
  <c r="AG413" i="1"/>
  <c r="AH413" i="1"/>
  <c r="AI413" i="1"/>
  <c r="AA414" i="1"/>
  <c r="AB414" i="1"/>
  <c r="AC414" i="1"/>
  <c r="AD414" i="1"/>
  <c r="AE414" i="1"/>
  <c r="AF414" i="1"/>
  <c r="AG414" i="1"/>
  <c r="AH414" i="1"/>
  <c r="AI414" i="1"/>
  <c r="AA415" i="1"/>
  <c r="AB415" i="1"/>
  <c r="AC415" i="1"/>
  <c r="AD415" i="1"/>
  <c r="AE415" i="1"/>
  <c r="AF415" i="1"/>
  <c r="AG415" i="1"/>
  <c r="AH415" i="1"/>
  <c r="AI415" i="1"/>
  <c r="AA416" i="1"/>
  <c r="AB416" i="1"/>
  <c r="AC416" i="1"/>
  <c r="AD416" i="1"/>
  <c r="AE416" i="1"/>
  <c r="AF416" i="1"/>
  <c r="AG416" i="1"/>
  <c r="AH416" i="1"/>
  <c r="AI416" i="1"/>
  <c r="AA417" i="1"/>
  <c r="AB417" i="1"/>
  <c r="AC417" i="1"/>
  <c r="AD417" i="1"/>
  <c r="AE417" i="1"/>
  <c r="AF417" i="1"/>
  <c r="AG417" i="1"/>
  <c r="AH417" i="1"/>
  <c r="AI417" i="1"/>
  <c r="AA418" i="1"/>
  <c r="AB418" i="1"/>
  <c r="AC418" i="1"/>
  <c r="AD418" i="1"/>
  <c r="AE418" i="1"/>
  <c r="AF418" i="1"/>
  <c r="AG418" i="1"/>
  <c r="AH418" i="1"/>
  <c r="AI418" i="1"/>
  <c r="AA420" i="1"/>
  <c r="AB420" i="1"/>
  <c r="AC420" i="1"/>
  <c r="AD420" i="1"/>
  <c r="AE420" i="1"/>
  <c r="AF420" i="1"/>
  <c r="AG420" i="1"/>
  <c r="AH420" i="1"/>
  <c r="AI420" i="1"/>
  <c r="AA421" i="1"/>
  <c r="AB421" i="1"/>
  <c r="AC421" i="1"/>
  <c r="AD421" i="1"/>
  <c r="AE421" i="1"/>
  <c r="AF421" i="1"/>
  <c r="AG421" i="1"/>
  <c r="AH421" i="1"/>
  <c r="AI421" i="1"/>
  <c r="AA422" i="1"/>
  <c r="AB422" i="1"/>
  <c r="AC422" i="1"/>
  <c r="AD422" i="1"/>
  <c r="AE422" i="1"/>
  <c r="AF422" i="1"/>
  <c r="AG422" i="1"/>
  <c r="AH422" i="1"/>
  <c r="AI422" i="1"/>
  <c r="AA423" i="1"/>
  <c r="AB423" i="1"/>
  <c r="AC423" i="1"/>
  <c r="AD423" i="1"/>
  <c r="AE423" i="1"/>
  <c r="AF423" i="1"/>
  <c r="AG423" i="1"/>
  <c r="AH423" i="1"/>
  <c r="AI423" i="1"/>
  <c r="AA424" i="1"/>
  <c r="AB424" i="1"/>
  <c r="AC424" i="1"/>
  <c r="AD424" i="1"/>
  <c r="AE424" i="1"/>
  <c r="AF424" i="1"/>
  <c r="AG424" i="1"/>
  <c r="AH424" i="1"/>
  <c r="AI424" i="1"/>
  <c r="AA425" i="1"/>
  <c r="AB425" i="1"/>
  <c r="AC425" i="1"/>
  <c r="AD425" i="1"/>
  <c r="AE425" i="1"/>
  <c r="AF425" i="1"/>
  <c r="AG425" i="1"/>
  <c r="AH425" i="1"/>
  <c r="AI425" i="1"/>
  <c r="AA426" i="1"/>
  <c r="AB426" i="1"/>
  <c r="AC426" i="1"/>
  <c r="AD426" i="1"/>
  <c r="AE426" i="1"/>
  <c r="AF426" i="1"/>
  <c r="AG426" i="1"/>
  <c r="AH426" i="1"/>
  <c r="AI426" i="1"/>
  <c r="AA427" i="1"/>
  <c r="AB427" i="1"/>
  <c r="AC427" i="1"/>
  <c r="AD427" i="1"/>
  <c r="AE427" i="1"/>
  <c r="AF427" i="1"/>
  <c r="AG427" i="1"/>
  <c r="AH427" i="1"/>
  <c r="AI427" i="1"/>
  <c r="AA428" i="1"/>
  <c r="AB428" i="1"/>
  <c r="AC428" i="1"/>
  <c r="AD428" i="1"/>
  <c r="AE428" i="1"/>
  <c r="AF428" i="1"/>
  <c r="AG428" i="1"/>
  <c r="AH428" i="1"/>
  <c r="AI428" i="1"/>
  <c r="AA429" i="1"/>
  <c r="AB429" i="1"/>
  <c r="AC429" i="1"/>
  <c r="AD429" i="1"/>
  <c r="AE429" i="1"/>
  <c r="AF429" i="1"/>
  <c r="AG429" i="1"/>
  <c r="AH429" i="1"/>
  <c r="AI429" i="1"/>
  <c r="AA430" i="1"/>
  <c r="AB430" i="1"/>
  <c r="AC430" i="1"/>
  <c r="AD430" i="1"/>
  <c r="AE430" i="1"/>
  <c r="AF430" i="1"/>
  <c r="AG430" i="1"/>
  <c r="AH430" i="1"/>
  <c r="AI430" i="1"/>
  <c r="AA431" i="1"/>
  <c r="AB431" i="1"/>
  <c r="AC431" i="1"/>
  <c r="AD431" i="1"/>
  <c r="AE431" i="1"/>
  <c r="AF431" i="1"/>
  <c r="AG431" i="1"/>
  <c r="AH431" i="1"/>
  <c r="AI431" i="1"/>
  <c r="AA432" i="1"/>
  <c r="AB432" i="1"/>
  <c r="AC432" i="1"/>
  <c r="AD432" i="1"/>
  <c r="AE432" i="1"/>
  <c r="AF432" i="1"/>
  <c r="AG432" i="1"/>
  <c r="AH432" i="1"/>
  <c r="AI432" i="1"/>
  <c r="AA433" i="1"/>
  <c r="AB433" i="1"/>
  <c r="AC433" i="1"/>
  <c r="AD433" i="1"/>
  <c r="AE433" i="1"/>
  <c r="AF433" i="1"/>
  <c r="AG433" i="1"/>
  <c r="AH433" i="1"/>
  <c r="AI433" i="1"/>
  <c r="AA434" i="1"/>
  <c r="AB434" i="1"/>
  <c r="AC434" i="1"/>
  <c r="AD434" i="1"/>
  <c r="AE434" i="1"/>
  <c r="AF434" i="1"/>
  <c r="AG434" i="1"/>
  <c r="AH434" i="1"/>
  <c r="AI434" i="1"/>
  <c r="AA435" i="1"/>
  <c r="AB435" i="1"/>
  <c r="AC435" i="1"/>
  <c r="AD435" i="1"/>
  <c r="AE435" i="1"/>
  <c r="AF435" i="1"/>
  <c r="AG435" i="1"/>
  <c r="AH435" i="1"/>
  <c r="AI435" i="1"/>
  <c r="AA436" i="1"/>
  <c r="AB436" i="1"/>
  <c r="AC436" i="1"/>
  <c r="AD436" i="1"/>
  <c r="AE436" i="1"/>
  <c r="AF436" i="1"/>
  <c r="AG436" i="1"/>
  <c r="AH436" i="1"/>
  <c r="AI436" i="1"/>
  <c r="AA437" i="1"/>
  <c r="AB437" i="1"/>
  <c r="AC437" i="1"/>
  <c r="AD437" i="1"/>
  <c r="AE437" i="1"/>
  <c r="AF437" i="1"/>
  <c r="AG437" i="1"/>
  <c r="AH437" i="1"/>
  <c r="AI437" i="1"/>
  <c r="AA438" i="1"/>
  <c r="AB438" i="1"/>
  <c r="AC438" i="1"/>
  <c r="AD438" i="1"/>
  <c r="AE438" i="1"/>
  <c r="AF438" i="1"/>
  <c r="AG438" i="1"/>
  <c r="AH438" i="1"/>
  <c r="AI438" i="1"/>
  <c r="AA439" i="1"/>
  <c r="AB439" i="1"/>
  <c r="AC439" i="1"/>
  <c r="AD439" i="1"/>
  <c r="AE439" i="1"/>
  <c r="AF439" i="1"/>
  <c r="AG439" i="1"/>
  <c r="AH439" i="1"/>
  <c r="AI439" i="1"/>
  <c r="AA440" i="1"/>
  <c r="AB440" i="1"/>
  <c r="AC440" i="1"/>
  <c r="AD440" i="1"/>
  <c r="AE440" i="1"/>
  <c r="AF440" i="1"/>
  <c r="AG440" i="1"/>
  <c r="AH440" i="1"/>
  <c r="AI440" i="1"/>
  <c r="AA441" i="1"/>
  <c r="AB441" i="1"/>
  <c r="AC441" i="1"/>
  <c r="AD441" i="1"/>
  <c r="AE441" i="1"/>
  <c r="AF441" i="1"/>
  <c r="AG441" i="1"/>
  <c r="AH441" i="1"/>
  <c r="AI441" i="1"/>
  <c r="AA442" i="1"/>
  <c r="AB442" i="1"/>
  <c r="AC442" i="1"/>
  <c r="AD442" i="1"/>
  <c r="AE442" i="1"/>
  <c r="AF442" i="1"/>
  <c r="AG442" i="1"/>
  <c r="AH442" i="1"/>
  <c r="AI442" i="1"/>
  <c r="AA443" i="1"/>
  <c r="AB443" i="1"/>
  <c r="AC443" i="1"/>
  <c r="AD443" i="1"/>
  <c r="AE443" i="1"/>
  <c r="AF443" i="1"/>
  <c r="AG443" i="1"/>
  <c r="AH443" i="1"/>
  <c r="AI443" i="1"/>
  <c r="AA445" i="1"/>
  <c r="AB445" i="1"/>
  <c r="AC445" i="1"/>
  <c r="AD445" i="1"/>
  <c r="AE445" i="1"/>
  <c r="AF445" i="1"/>
  <c r="AG445" i="1"/>
  <c r="AH445" i="1"/>
  <c r="AI445" i="1"/>
  <c r="AA446" i="1"/>
  <c r="AB446" i="1"/>
  <c r="AC446" i="1"/>
  <c r="AD446" i="1"/>
  <c r="AE446" i="1"/>
  <c r="AF446" i="1"/>
  <c r="AG446" i="1"/>
  <c r="AH446" i="1"/>
  <c r="AI446" i="1"/>
  <c r="AA447" i="1"/>
  <c r="AB447" i="1"/>
  <c r="AC447" i="1"/>
  <c r="AD447" i="1"/>
  <c r="AE447" i="1"/>
  <c r="AF447" i="1"/>
  <c r="AG447" i="1"/>
  <c r="AH447" i="1"/>
  <c r="AI447" i="1"/>
  <c r="AA448" i="1"/>
  <c r="AB448" i="1"/>
  <c r="AC448" i="1"/>
  <c r="AD448" i="1"/>
  <c r="AE448" i="1"/>
  <c r="AF448" i="1"/>
  <c r="AG448" i="1"/>
  <c r="AH448" i="1"/>
  <c r="AI448" i="1"/>
  <c r="AA449" i="1"/>
  <c r="AB449" i="1"/>
  <c r="AC449" i="1"/>
  <c r="AD449" i="1"/>
  <c r="AE449" i="1"/>
  <c r="AF449" i="1"/>
  <c r="AG449" i="1"/>
  <c r="AH449" i="1"/>
  <c r="AI449" i="1"/>
  <c r="AA450" i="1"/>
  <c r="AB450" i="1"/>
  <c r="AC450" i="1"/>
  <c r="AD450" i="1"/>
  <c r="AE450" i="1"/>
  <c r="AF450" i="1"/>
  <c r="AG450" i="1"/>
  <c r="AH450" i="1"/>
  <c r="AI450" i="1"/>
  <c r="AA451" i="1"/>
  <c r="AB451" i="1"/>
  <c r="AC451" i="1"/>
  <c r="AD451" i="1"/>
  <c r="AE451" i="1"/>
  <c r="AF451" i="1"/>
  <c r="AG451" i="1"/>
  <c r="AH451" i="1"/>
  <c r="AI451" i="1"/>
  <c r="AA452" i="1"/>
  <c r="AB452" i="1"/>
  <c r="AC452" i="1"/>
  <c r="AD452" i="1"/>
  <c r="AE452" i="1"/>
  <c r="AF452" i="1"/>
  <c r="AG452" i="1"/>
  <c r="AH452" i="1"/>
  <c r="AI452" i="1"/>
  <c r="AA453" i="1"/>
  <c r="AB453" i="1"/>
  <c r="AC453" i="1"/>
  <c r="AD453" i="1"/>
  <c r="AE453" i="1"/>
  <c r="AF453" i="1"/>
  <c r="AG453" i="1"/>
  <c r="AH453" i="1"/>
  <c r="AI453" i="1"/>
  <c r="AA454" i="1"/>
  <c r="AB454" i="1"/>
  <c r="AC454" i="1"/>
  <c r="AD454" i="1"/>
  <c r="AE454" i="1"/>
  <c r="AF454" i="1"/>
  <c r="AG454" i="1"/>
  <c r="AH454" i="1"/>
  <c r="AI454" i="1"/>
  <c r="AA455" i="1"/>
  <c r="AB455" i="1"/>
  <c r="AC455" i="1"/>
  <c r="AD455" i="1"/>
  <c r="AE455" i="1"/>
  <c r="AF455" i="1"/>
  <c r="AG455" i="1"/>
  <c r="AH455" i="1"/>
  <c r="AI455" i="1"/>
  <c r="AA456" i="1"/>
  <c r="AB456" i="1"/>
  <c r="AC456" i="1"/>
  <c r="AD456" i="1"/>
  <c r="AE456" i="1"/>
  <c r="AF456" i="1"/>
  <c r="AG456" i="1"/>
  <c r="AH456" i="1"/>
  <c r="AI456" i="1"/>
  <c r="AA457" i="1"/>
  <c r="AB457" i="1"/>
  <c r="AC457" i="1"/>
  <c r="AD457" i="1"/>
  <c r="AE457" i="1"/>
  <c r="AF457" i="1"/>
  <c r="AG457" i="1"/>
  <c r="AH457" i="1"/>
  <c r="AI457" i="1"/>
  <c r="AA458" i="1"/>
  <c r="AB458" i="1"/>
  <c r="AC458" i="1"/>
  <c r="AD458" i="1"/>
  <c r="AE458" i="1"/>
  <c r="AF458" i="1"/>
  <c r="AG458" i="1"/>
  <c r="AH458" i="1"/>
  <c r="AI458" i="1"/>
  <c r="AA459" i="1"/>
  <c r="AB459" i="1"/>
  <c r="AC459" i="1"/>
  <c r="AD459" i="1"/>
  <c r="AE459" i="1"/>
  <c r="AF459" i="1"/>
  <c r="AG459" i="1"/>
  <c r="AH459" i="1"/>
  <c r="AI459" i="1"/>
  <c r="C465" i="1"/>
  <c r="B465" i="1"/>
  <c r="N465" i="1"/>
  <c r="C466" i="1"/>
  <c r="B466" i="1"/>
  <c r="N466" i="1"/>
  <c r="C467" i="1"/>
  <c r="B467" i="1"/>
  <c r="N467" i="1"/>
  <c r="C468" i="1"/>
  <c r="B468" i="1"/>
  <c r="N468" i="1"/>
  <c r="C469" i="1"/>
  <c r="B469" i="1"/>
  <c r="N469" i="1"/>
  <c r="C470" i="1"/>
  <c r="B470" i="1"/>
  <c r="N470" i="1"/>
  <c r="C471" i="1"/>
  <c r="B471" i="1"/>
  <c r="N471" i="1"/>
  <c r="C472" i="1"/>
  <c r="B472" i="1"/>
  <c r="N472" i="1"/>
  <c r="C473" i="1"/>
  <c r="B473" i="1"/>
  <c r="N473" i="1"/>
  <c r="C474" i="1"/>
  <c r="B474" i="1"/>
  <c r="N474" i="1"/>
  <c r="C475" i="1"/>
  <c r="B475" i="1"/>
  <c r="N475" i="1"/>
  <c r="C476" i="1"/>
  <c r="B476" i="1"/>
  <c r="N476" i="1"/>
  <c r="C477" i="1"/>
  <c r="B477" i="1"/>
  <c r="N477" i="1"/>
  <c r="C478" i="1"/>
  <c r="B478" i="1"/>
  <c r="N478" i="1"/>
  <c r="C479" i="1"/>
  <c r="B479" i="1"/>
  <c r="N479" i="1"/>
  <c r="C480" i="1"/>
  <c r="B480" i="1"/>
  <c r="N480" i="1"/>
  <c r="C481" i="1"/>
  <c r="B481" i="1"/>
  <c r="N481" i="1"/>
  <c r="C482" i="1"/>
  <c r="B482" i="1"/>
  <c r="N482" i="1"/>
  <c r="C483" i="1"/>
  <c r="B483" i="1"/>
  <c r="N483" i="1"/>
  <c r="C484" i="1"/>
  <c r="B484" i="1"/>
  <c r="N484" i="1"/>
  <c r="C485" i="1"/>
  <c r="B485" i="1"/>
  <c r="N485" i="1"/>
  <c r="C486" i="1"/>
  <c r="B486" i="1"/>
  <c r="N486" i="1"/>
  <c r="C487" i="1"/>
  <c r="B487" i="1"/>
  <c r="N487" i="1"/>
  <c r="C488" i="1"/>
  <c r="B488" i="1"/>
  <c r="N488" i="1"/>
  <c r="C489" i="1"/>
  <c r="B489" i="1"/>
  <c r="N489" i="1"/>
  <c r="C490" i="1"/>
  <c r="B490" i="1"/>
  <c r="N490" i="1"/>
  <c r="C491" i="1"/>
  <c r="B491" i="1"/>
  <c r="N491" i="1"/>
  <c r="C493" i="1"/>
  <c r="B493" i="1"/>
  <c r="N493" i="1"/>
  <c r="C494" i="1"/>
  <c r="B494" i="1"/>
  <c r="N494" i="1"/>
  <c r="N497" i="1"/>
  <c r="J483" i="1"/>
  <c r="G465" i="1"/>
  <c r="G466" i="1"/>
  <c r="G467" i="1"/>
  <c r="G468" i="1"/>
  <c r="G469" i="1"/>
  <c r="G470" i="1"/>
  <c r="G471" i="1"/>
  <c r="G472" i="1"/>
  <c r="G473" i="1"/>
  <c r="G474" i="1"/>
  <c r="G475" i="1"/>
  <c r="G476" i="1"/>
  <c r="G477" i="1"/>
  <c r="G478" i="1"/>
  <c r="G479" i="1"/>
  <c r="G480" i="1"/>
  <c r="G481" i="1"/>
  <c r="G482" i="1"/>
  <c r="G497" i="1"/>
  <c r="J465" i="1"/>
  <c r="J466" i="1"/>
  <c r="J467" i="1"/>
  <c r="J468" i="1"/>
  <c r="J469" i="1"/>
  <c r="J470" i="1"/>
  <c r="J471" i="1"/>
  <c r="J472" i="1"/>
  <c r="J473" i="1"/>
  <c r="J474" i="1"/>
  <c r="J475" i="1"/>
  <c r="J476" i="1"/>
  <c r="J477" i="1"/>
  <c r="J478" i="1"/>
  <c r="J479" i="1"/>
  <c r="J480" i="1"/>
  <c r="J481" i="1"/>
  <c r="J482" i="1"/>
  <c r="J484" i="1"/>
  <c r="J485" i="1"/>
  <c r="J486" i="1"/>
  <c r="J487" i="1"/>
  <c r="J488" i="1"/>
  <c r="J489" i="1"/>
  <c r="J490" i="1"/>
  <c r="J491" i="1"/>
  <c r="J492" i="1"/>
  <c r="J493" i="1"/>
  <c r="J494" i="1"/>
  <c r="J495" i="1"/>
  <c r="J497" i="1"/>
  <c r="B497" i="1"/>
  <c r="L483" i="1"/>
  <c r="L484" i="1"/>
  <c r="L485" i="1"/>
  <c r="L486" i="1"/>
  <c r="L487" i="1"/>
  <c r="L488" i="1"/>
  <c r="L489" i="1"/>
  <c r="L490" i="1"/>
  <c r="L491" i="1"/>
  <c r="L492" i="1"/>
  <c r="L493" i="1"/>
  <c r="L494" i="1"/>
  <c r="L495" i="1"/>
  <c r="L496" i="1"/>
  <c r="L465" i="1"/>
  <c r="L466" i="1"/>
  <c r="L467" i="1"/>
  <c r="L468" i="1"/>
  <c r="L469" i="1"/>
  <c r="L470" i="1"/>
  <c r="L471" i="1"/>
  <c r="L472" i="1"/>
  <c r="L473" i="1"/>
  <c r="L474" i="1"/>
  <c r="L475" i="1"/>
  <c r="L476" i="1"/>
  <c r="L477" i="1"/>
  <c r="L478" i="1"/>
  <c r="L479" i="1"/>
  <c r="L480" i="1"/>
  <c r="L481" i="1"/>
  <c r="L482" i="1"/>
  <c r="L497" i="1"/>
  <c r="N498" i="1"/>
  <c r="S483" i="1"/>
  <c r="S484" i="1"/>
  <c r="S485" i="1"/>
  <c r="S486" i="1"/>
  <c r="S487" i="1"/>
  <c r="S488" i="1"/>
  <c r="S489" i="1"/>
  <c r="S490" i="1"/>
  <c r="S491" i="1"/>
  <c r="S492" i="1"/>
  <c r="S493" i="1"/>
  <c r="S494" i="1"/>
  <c r="S495" i="1"/>
  <c r="S496" i="1"/>
  <c r="S465" i="1"/>
  <c r="W465" i="1"/>
  <c r="S466" i="1"/>
  <c r="S467" i="1"/>
  <c r="S468" i="1"/>
  <c r="S469" i="1"/>
  <c r="S470" i="1"/>
  <c r="S471" i="1"/>
  <c r="S472" i="1"/>
  <c r="S473" i="1"/>
  <c r="S474" i="1"/>
  <c r="S475" i="1"/>
  <c r="S476" i="1"/>
  <c r="S477" i="1"/>
  <c r="S478" i="1"/>
  <c r="S479" i="1"/>
  <c r="S480" i="1"/>
  <c r="S481" i="1"/>
  <c r="S482" i="1"/>
  <c r="S497" i="1"/>
  <c r="W466" i="1"/>
  <c r="W467" i="1"/>
  <c r="W468" i="1"/>
  <c r="W469" i="1"/>
  <c r="W470" i="1"/>
  <c r="W471" i="1"/>
  <c r="W472" i="1"/>
  <c r="W473" i="1"/>
  <c r="W474" i="1"/>
  <c r="W475" i="1"/>
  <c r="W476" i="1"/>
  <c r="W477" i="1"/>
  <c r="W478" i="1"/>
  <c r="W479" i="1"/>
  <c r="W480" i="1"/>
  <c r="W481" i="1"/>
  <c r="W482" i="1"/>
  <c r="I483" i="1"/>
  <c r="K483" i="1"/>
  <c r="W483" i="1"/>
  <c r="I484" i="1"/>
  <c r="K484" i="1"/>
  <c r="W484" i="1"/>
  <c r="I485" i="1"/>
  <c r="K485" i="1"/>
  <c r="W485" i="1"/>
  <c r="I486" i="1"/>
  <c r="K486" i="1"/>
  <c r="W486" i="1"/>
  <c r="I487" i="1"/>
  <c r="K487" i="1"/>
  <c r="W487" i="1"/>
  <c r="I488" i="1"/>
  <c r="K488" i="1"/>
  <c r="W488" i="1"/>
  <c r="I489" i="1"/>
  <c r="K489" i="1"/>
  <c r="W489" i="1"/>
  <c r="I490" i="1"/>
  <c r="K490" i="1"/>
  <c r="W490" i="1"/>
  <c r="I491" i="1"/>
  <c r="K491" i="1"/>
  <c r="W491" i="1"/>
  <c r="I492" i="1"/>
  <c r="K492" i="1"/>
  <c r="W492" i="1"/>
  <c r="I493" i="1"/>
  <c r="K493" i="1"/>
  <c r="W493" i="1"/>
  <c r="I494" i="1"/>
  <c r="K494" i="1"/>
  <c r="W494" i="1"/>
  <c r="W495" i="1"/>
  <c r="W497" i="1"/>
  <c r="W498" i="1"/>
  <c r="AA465"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3" i="1"/>
  <c r="O494" i="1"/>
  <c r="O497" i="1"/>
  <c r="O498" i="1"/>
  <c r="T483" i="1"/>
  <c r="T484" i="1"/>
  <c r="T485" i="1"/>
  <c r="T486" i="1"/>
  <c r="T487" i="1"/>
  <c r="T488" i="1"/>
  <c r="T489" i="1"/>
  <c r="T490" i="1"/>
  <c r="T491" i="1"/>
  <c r="T492" i="1"/>
  <c r="T493" i="1"/>
  <c r="T494" i="1"/>
  <c r="T495" i="1"/>
  <c r="T496" i="1"/>
  <c r="T465" i="1"/>
  <c r="X465" i="1"/>
  <c r="T466" i="1"/>
  <c r="T467" i="1"/>
  <c r="T468" i="1"/>
  <c r="T469" i="1"/>
  <c r="T470" i="1"/>
  <c r="T471" i="1"/>
  <c r="T472" i="1"/>
  <c r="T473" i="1"/>
  <c r="T474" i="1"/>
  <c r="T475" i="1"/>
  <c r="T476" i="1"/>
  <c r="T477" i="1"/>
  <c r="T478" i="1"/>
  <c r="T479" i="1"/>
  <c r="T480" i="1"/>
  <c r="T481" i="1"/>
  <c r="T482" i="1"/>
  <c r="T497" i="1"/>
  <c r="X466" i="1"/>
  <c r="X467" i="1"/>
  <c r="X468" i="1"/>
  <c r="X469" i="1"/>
  <c r="X470" i="1"/>
  <c r="X471" i="1"/>
  <c r="X472" i="1"/>
  <c r="X473" i="1"/>
  <c r="X474" i="1"/>
  <c r="X475" i="1"/>
  <c r="X476" i="1"/>
  <c r="X477" i="1"/>
  <c r="X478" i="1"/>
  <c r="X479" i="1"/>
  <c r="X480" i="1"/>
  <c r="X481" i="1"/>
  <c r="X482" i="1"/>
  <c r="X483" i="1"/>
  <c r="X484" i="1"/>
  <c r="X485" i="1"/>
  <c r="X486" i="1"/>
  <c r="X487" i="1"/>
  <c r="X488" i="1"/>
  <c r="X489" i="1"/>
  <c r="X490" i="1"/>
  <c r="X491" i="1"/>
  <c r="X492" i="1"/>
  <c r="X493" i="1"/>
  <c r="X494" i="1"/>
  <c r="X495" i="1"/>
  <c r="X497" i="1"/>
  <c r="X498" i="1"/>
  <c r="AB465"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3" i="1"/>
  <c r="P494" i="1"/>
  <c r="P497" i="1"/>
  <c r="P498" i="1"/>
  <c r="U483" i="1"/>
  <c r="U484" i="1"/>
  <c r="U485" i="1"/>
  <c r="U486" i="1"/>
  <c r="U487" i="1"/>
  <c r="U488" i="1"/>
  <c r="U489" i="1"/>
  <c r="U490" i="1"/>
  <c r="U491" i="1"/>
  <c r="U492" i="1"/>
  <c r="U493" i="1"/>
  <c r="U494" i="1"/>
  <c r="U495" i="1"/>
  <c r="U496" i="1"/>
  <c r="U465" i="1"/>
  <c r="Y465" i="1"/>
  <c r="U466" i="1"/>
  <c r="U467" i="1"/>
  <c r="U468" i="1"/>
  <c r="U469" i="1"/>
  <c r="U470" i="1"/>
  <c r="U471" i="1"/>
  <c r="U472" i="1"/>
  <c r="U473" i="1"/>
  <c r="U474" i="1"/>
  <c r="U475" i="1"/>
  <c r="U476" i="1"/>
  <c r="U477" i="1"/>
  <c r="U478" i="1"/>
  <c r="U479" i="1"/>
  <c r="U480" i="1"/>
  <c r="U481" i="1"/>
  <c r="U482" i="1"/>
  <c r="U497" i="1"/>
  <c r="Y466" i="1"/>
  <c r="Y467" i="1"/>
  <c r="Y468" i="1"/>
  <c r="Y469" i="1"/>
  <c r="Y470" i="1"/>
  <c r="Y471" i="1"/>
  <c r="Y472" i="1"/>
  <c r="Y473" i="1"/>
  <c r="Y474" i="1"/>
  <c r="Y475" i="1"/>
  <c r="Y476" i="1"/>
  <c r="Y477" i="1"/>
  <c r="Y478" i="1"/>
  <c r="Y479" i="1"/>
  <c r="Y480" i="1"/>
  <c r="Y481" i="1"/>
  <c r="Y482" i="1"/>
  <c r="Y483" i="1"/>
  <c r="Y484" i="1"/>
  <c r="Y485" i="1"/>
  <c r="Y486" i="1"/>
  <c r="Y487" i="1"/>
  <c r="Y488" i="1"/>
  <c r="Y489" i="1"/>
  <c r="Y490" i="1"/>
  <c r="Y491" i="1"/>
  <c r="Y492" i="1"/>
  <c r="Y493" i="1"/>
  <c r="Y494" i="1"/>
  <c r="Y495" i="1"/>
  <c r="Y497" i="1"/>
  <c r="Y498" i="1"/>
  <c r="AC465"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3" i="1"/>
  <c r="Q494" i="1"/>
  <c r="Q497" i="1"/>
  <c r="Q498" i="1"/>
  <c r="V483" i="1"/>
  <c r="V484" i="1"/>
  <c r="V485" i="1"/>
  <c r="V486" i="1"/>
  <c r="V487" i="1"/>
  <c r="V488" i="1"/>
  <c r="V489" i="1"/>
  <c r="V490" i="1"/>
  <c r="V491" i="1"/>
  <c r="V492" i="1"/>
  <c r="V493" i="1"/>
  <c r="V494" i="1"/>
  <c r="V495" i="1"/>
  <c r="V496" i="1"/>
  <c r="V465" i="1"/>
  <c r="Z465" i="1"/>
  <c r="V466" i="1"/>
  <c r="V467" i="1"/>
  <c r="V468" i="1"/>
  <c r="V469" i="1"/>
  <c r="V470" i="1"/>
  <c r="V471" i="1"/>
  <c r="V472" i="1"/>
  <c r="V473" i="1"/>
  <c r="V474" i="1"/>
  <c r="V475" i="1"/>
  <c r="V476" i="1"/>
  <c r="V477" i="1"/>
  <c r="V478" i="1"/>
  <c r="V479" i="1"/>
  <c r="V480" i="1"/>
  <c r="V481" i="1"/>
  <c r="V482" i="1"/>
  <c r="V497"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7" i="1"/>
  <c r="Z498" i="1"/>
  <c r="AD465" i="1"/>
  <c r="AE465" i="1"/>
  <c r="AF465" i="1"/>
  <c r="AG465" i="1"/>
  <c r="AH465" i="1"/>
  <c r="AI465" i="1"/>
  <c r="AA466" i="1"/>
  <c r="AB466" i="1"/>
  <c r="AC466" i="1"/>
  <c r="AD466" i="1"/>
  <c r="AE466" i="1"/>
  <c r="AF466" i="1"/>
  <c r="AG466" i="1"/>
  <c r="AH466" i="1"/>
  <c r="AI466" i="1"/>
  <c r="AA467" i="1"/>
  <c r="AB467" i="1"/>
  <c r="AC467" i="1"/>
  <c r="AD467" i="1"/>
  <c r="AE467" i="1"/>
  <c r="AF467" i="1"/>
  <c r="AG467" i="1"/>
  <c r="AH467" i="1"/>
  <c r="AI467" i="1"/>
  <c r="AA468" i="1"/>
  <c r="AB468" i="1"/>
  <c r="AC468" i="1"/>
  <c r="AD468" i="1"/>
  <c r="AE468" i="1"/>
  <c r="AF468" i="1"/>
  <c r="AG468" i="1"/>
  <c r="AH468" i="1"/>
  <c r="AI468" i="1"/>
  <c r="AA469" i="1"/>
  <c r="AB469" i="1"/>
  <c r="AC469" i="1"/>
  <c r="AD469" i="1"/>
  <c r="AE469" i="1"/>
  <c r="AF469" i="1"/>
  <c r="AG469" i="1"/>
  <c r="AH469" i="1"/>
  <c r="AI469" i="1"/>
  <c r="AA470" i="1"/>
  <c r="AB470" i="1"/>
  <c r="AC470" i="1"/>
  <c r="AD470" i="1"/>
  <c r="AE470" i="1"/>
  <c r="AF470" i="1"/>
  <c r="AG470" i="1"/>
  <c r="AH470" i="1"/>
  <c r="AI470" i="1"/>
  <c r="AA471" i="1"/>
  <c r="AB471" i="1"/>
  <c r="AC471" i="1"/>
  <c r="AD471" i="1"/>
  <c r="AE471" i="1"/>
  <c r="AF471" i="1"/>
  <c r="AG471" i="1"/>
  <c r="AH471" i="1"/>
  <c r="AI471" i="1"/>
  <c r="AA472" i="1"/>
  <c r="AB472" i="1"/>
  <c r="AC472" i="1"/>
  <c r="AD472" i="1"/>
  <c r="AE472" i="1"/>
  <c r="AF472" i="1"/>
  <c r="AG472" i="1"/>
  <c r="AH472" i="1"/>
  <c r="AI472" i="1"/>
  <c r="AA473" i="1"/>
  <c r="AB473" i="1"/>
  <c r="AC473" i="1"/>
  <c r="AD473" i="1"/>
  <c r="AE473" i="1"/>
  <c r="AF473" i="1"/>
  <c r="AG473" i="1"/>
  <c r="AH473" i="1"/>
  <c r="AI473" i="1"/>
  <c r="AA474" i="1"/>
  <c r="AB474" i="1"/>
  <c r="AC474" i="1"/>
  <c r="AD474" i="1"/>
  <c r="AE474" i="1"/>
  <c r="AF474" i="1"/>
  <c r="AG474" i="1"/>
  <c r="AH474" i="1"/>
  <c r="AI474" i="1"/>
  <c r="AA475" i="1"/>
  <c r="AB475" i="1"/>
  <c r="AC475" i="1"/>
  <c r="AD475" i="1"/>
  <c r="AE475" i="1"/>
  <c r="AF475" i="1"/>
  <c r="AG475" i="1"/>
  <c r="AH475" i="1"/>
  <c r="AI475" i="1"/>
  <c r="AA476" i="1"/>
  <c r="AB476" i="1"/>
  <c r="AC476" i="1"/>
  <c r="AD476" i="1"/>
  <c r="AE476" i="1"/>
  <c r="AF476" i="1"/>
  <c r="AG476" i="1"/>
  <c r="AH476" i="1"/>
  <c r="AI476" i="1"/>
  <c r="AA477" i="1"/>
  <c r="AB477" i="1"/>
  <c r="AC477" i="1"/>
  <c r="AD477" i="1"/>
  <c r="AE477" i="1"/>
  <c r="AF477" i="1"/>
  <c r="AG477" i="1"/>
  <c r="AH477" i="1"/>
  <c r="AI477" i="1"/>
  <c r="AA478" i="1"/>
  <c r="AB478" i="1"/>
  <c r="AC478" i="1"/>
  <c r="AD478" i="1"/>
  <c r="AE478" i="1"/>
  <c r="AF478" i="1"/>
  <c r="AG478" i="1"/>
  <c r="AH478" i="1"/>
  <c r="AI478" i="1"/>
  <c r="AA479" i="1"/>
  <c r="AB479" i="1"/>
  <c r="AC479" i="1"/>
  <c r="AD479" i="1"/>
  <c r="AE479" i="1"/>
  <c r="AF479" i="1"/>
  <c r="AG479" i="1"/>
  <c r="AH479" i="1"/>
  <c r="AI479" i="1"/>
  <c r="AA480" i="1"/>
  <c r="AB480" i="1"/>
  <c r="AC480" i="1"/>
  <c r="AD480" i="1"/>
  <c r="AE480" i="1"/>
  <c r="AF480" i="1"/>
  <c r="AG480" i="1"/>
  <c r="AH480" i="1"/>
  <c r="AI480" i="1"/>
  <c r="AA481" i="1"/>
  <c r="AB481" i="1"/>
  <c r="AC481" i="1"/>
  <c r="AD481" i="1"/>
  <c r="AE481" i="1"/>
  <c r="AF481" i="1"/>
  <c r="AG481" i="1"/>
  <c r="AH481" i="1"/>
  <c r="AI481" i="1"/>
  <c r="AA482" i="1"/>
  <c r="AB482" i="1"/>
  <c r="AC482" i="1"/>
  <c r="AD482" i="1"/>
  <c r="AE482" i="1"/>
  <c r="AF482" i="1"/>
  <c r="AG482" i="1"/>
  <c r="AH482" i="1"/>
  <c r="AI482" i="1"/>
  <c r="AA483" i="1"/>
  <c r="AB483" i="1"/>
  <c r="AC483" i="1"/>
  <c r="AD483" i="1"/>
  <c r="AE483" i="1"/>
  <c r="AF483" i="1"/>
  <c r="AG483" i="1"/>
  <c r="AH483" i="1"/>
  <c r="AI483" i="1"/>
  <c r="AA484" i="1"/>
  <c r="AB484" i="1"/>
  <c r="AC484" i="1"/>
  <c r="AD484" i="1"/>
  <c r="AE484" i="1"/>
  <c r="AF484" i="1"/>
  <c r="AG484" i="1"/>
  <c r="AH484" i="1"/>
  <c r="AI484" i="1"/>
  <c r="AA485" i="1"/>
  <c r="AB485" i="1"/>
  <c r="AC485" i="1"/>
  <c r="AD485" i="1"/>
  <c r="AE485" i="1"/>
  <c r="AF485" i="1"/>
  <c r="AG485" i="1"/>
  <c r="AH485" i="1"/>
  <c r="AI485" i="1"/>
  <c r="AA486" i="1"/>
  <c r="AB486" i="1"/>
  <c r="AC486" i="1"/>
  <c r="AD486" i="1"/>
  <c r="AE486" i="1"/>
  <c r="AF486" i="1"/>
  <c r="AG486" i="1"/>
  <c r="AH486" i="1"/>
  <c r="AI486" i="1"/>
  <c r="AA487" i="1"/>
  <c r="AB487" i="1"/>
  <c r="AC487" i="1"/>
  <c r="AD487" i="1"/>
  <c r="AE487" i="1"/>
  <c r="AF487" i="1"/>
  <c r="AG487" i="1"/>
  <c r="AH487" i="1"/>
  <c r="AI487" i="1"/>
  <c r="AA488" i="1"/>
  <c r="AB488" i="1"/>
  <c r="AC488" i="1"/>
  <c r="AD488" i="1"/>
  <c r="AE488" i="1"/>
  <c r="AF488" i="1"/>
  <c r="AG488" i="1"/>
  <c r="AH488" i="1"/>
  <c r="AI488" i="1"/>
  <c r="AA489" i="1"/>
  <c r="AB489" i="1"/>
  <c r="AC489" i="1"/>
  <c r="AD489" i="1"/>
  <c r="AE489" i="1"/>
  <c r="AF489" i="1"/>
  <c r="AG489" i="1"/>
  <c r="AH489" i="1"/>
  <c r="AI489" i="1"/>
  <c r="AA490" i="1"/>
  <c r="AB490" i="1"/>
  <c r="AC490" i="1"/>
  <c r="AD490" i="1"/>
  <c r="AE490" i="1"/>
  <c r="AF490" i="1"/>
  <c r="AG490" i="1"/>
  <c r="AH490" i="1"/>
  <c r="AI490" i="1"/>
  <c r="AA491" i="1"/>
  <c r="AB491" i="1"/>
  <c r="AC491" i="1"/>
  <c r="AD491" i="1"/>
  <c r="AE491" i="1"/>
  <c r="AF491" i="1"/>
  <c r="AG491" i="1"/>
  <c r="AH491" i="1"/>
  <c r="AI491" i="1"/>
  <c r="AA492" i="1"/>
  <c r="AB492" i="1"/>
  <c r="AC492" i="1"/>
  <c r="AD492" i="1"/>
  <c r="AE492" i="1"/>
  <c r="AF492" i="1"/>
  <c r="AG492" i="1"/>
  <c r="AH492" i="1"/>
  <c r="AI492" i="1"/>
  <c r="AA493" i="1"/>
  <c r="AB493" i="1"/>
  <c r="AC493" i="1"/>
  <c r="AD493" i="1"/>
  <c r="AE493" i="1"/>
  <c r="AF493" i="1"/>
  <c r="AG493" i="1"/>
  <c r="AH493" i="1"/>
  <c r="AI493" i="1"/>
  <c r="AA494" i="1"/>
  <c r="AB494" i="1"/>
  <c r="AC494" i="1"/>
  <c r="AD494" i="1"/>
  <c r="AE494" i="1"/>
  <c r="AF494" i="1"/>
  <c r="AG494" i="1"/>
  <c r="AH494" i="1"/>
  <c r="AI494" i="1"/>
  <c r="C500" i="1"/>
  <c r="B500" i="1"/>
  <c r="N500" i="1"/>
  <c r="C501" i="1"/>
  <c r="B501" i="1"/>
  <c r="N501" i="1"/>
  <c r="C502" i="1"/>
  <c r="B502" i="1"/>
  <c r="N502" i="1"/>
  <c r="C503" i="1"/>
  <c r="B503" i="1"/>
  <c r="N503" i="1"/>
  <c r="C504" i="1"/>
  <c r="B504" i="1"/>
  <c r="N504" i="1"/>
  <c r="C505" i="1"/>
  <c r="B505" i="1"/>
  <c r="N505" i="1"/>
  <c r="N506" i="1"/>
  <c r="C507" i="1"/>
  <c r="B507" i="1"/>
  <c r="N507" i="1"/>
  <c r="N510" i="1"/>
  <c r="J507" i="1"/>
  <c r="G500" i="1"/>
  <c r="G501" i="1"/>
  <c r="G502" i="1"/>
  <c r="G503" i="1"/>
  <c r="G504" i="1"/>
  <c r="G505" i="1"/>
  <c r="G506" i="1"/>
  <c r="G510" i="1"/>
  <c r="J500" i="1"/>
  <c r="J501" i="1"/>
  <c r="J502" i="1"/>
  <c r="J503" i="1"/>
  <c r="J504" i="1"/>
  <c r="J505" i="1"/>
  <c r="J508" i="1"/>
  <c r="J510" i="1"/>
  <c r="B510" i="1"/>
  <c r="L507" i="1"/>
  <c r="L500" i="1"/>
  <c r="L501" i="1"/>
  <c r="L502" i="1"/>
  <c r="L503" i="1"/>
  <c r="L504" i="1"/>
  <c r="L505" i="1"/>
  <c r="L508" i="1"/>
  <c r="L510" i="1"/>
  <c r="N511" i="1"/>
  <c r="S507" i="1"/>
  <c r="S508" i="1"/>
  <c r="S509" i="1"/>
  <c r="S500" i="1"/>
  <c r="W500" i="1"/>
  <c r="S501" i="1"/>
  <c r="S502" i="1"/>
  <c r="S503" i="1"/>
  <c r="S504" i="1"/>
  <c r="S505" i="1"/>
  <c r="S510" i="1"/>
  <c r="W501" i="1"/>
  <c r="W502" i="1"/>
  <c r="W503" i="1"/>
  <c r="W504" i="1"/>
  <c r="W505" i="1"/>
  <c r="I507" i="1"/>
  <c r="K507" i="1"/>
  <c r="W507" i="1"/>
  <c r="W508" i="1"/>
  <c r="W510" i="1"/>
  <c r="W511" i="1"/>
  <c r="AA500" i="1"/>
  <c r="O500" i="1"/>
  <c r="O501" i="1"/>
  <c r="O502" i="1"/>
  <c r="O503" i="1"/>
  <c r="O504" i="1"/>
  <c r="O505" i="1"/>
  <c r="O506" i="1"/>
  <c r="O507" i="1"/>
  <c r="O510" i="1"/>
  <c r="O511" i="1"/>
  <c r="T507" i="1"/>
  <c r="T508" i="1"/>
  <c r="T509" i="1"/>
  <c r="T500" i="1"/>
  <c r="X500" i="1"/>
  <c r="T501" i="1"/>
  <c r="T502" i="1"/>
  <c r="T503" i="1"/>
  <c r="T504" i="1"/>
  <c r="T505" i="1"/>
  <c r="T510" i="1"/>
  <c r="X501" i="1"/>
  <c r="X502" i="1"/>
  <c r="X503" i="1"/>
  <c r="X504" i="1"/>
  <c r="X505" i="1"/>
  <c r="X507" i="1"/>
  <c r="X508" i="1"/>
  <c r="X510" i="1"/>
  <c r="X511" i="1"/>
  <c r="AB500" i="1"/>
  <c r="P500" i="1"/>
  <c r="P501" i="1"/>
  <c r="P502" i="1"/>
  <c r="P503" i="1"/>
  <c r="P504" i="1"/>
  <c r="P505" i="1"/>
  <c r="P506" i="1"/>
  <c r="P507" i="1"/>
  <c r="P510" i="1"/>
  <c r="P511" i="1"/>
  <c r="U507" i="1"/>
  <c r="U508" i="1"/>
  <c r="U509" i="1"/>
  <c r="U500" i="1"/>
  <c r="Y500" i="1"/>
  <c r="U501" i="1"/>
  <c r="U502" i="1"/>
  <c r="U503" i="1"/>
  <c r="U504" i="1"/>
  <c r="U505" i="1"/>
  <c r="U510" i="1"/>
  <c r="Y501" i="1"/>
  <c r="Y502" i="1"/>
  <c r="Y503" i="1"/>
  <c r="Y504" i="1"/>
  <c r="Y505" i="1"/>
  <c r="Y507" i="1"/>
  <c r="Y508" i="1"/>
  <c r="Y510" i="1"/>
  <c r="Y511" i="1"/>
  <c r="AC500" i="1"/>
  <c r="Q500" i="1"/>
  <c r="Q501" i="1"/>
  <c r="Q502" i="1"/>
  <c r="Q503" i="1"/>
  <c r="Q504" i="1"/>
  <c r="Q505" i="1"/>
  <c r="Q506" i="1"/>
  <c r="Q507" i="1"/>
  <c r="Q510" i="1"/>
  <c r="Q511" i="1"/>
  <c r="V507" i="1"/>
  <c r="V508" i="1"/>
  <c r="V509" i="1"/>
  <c r="V500" i="1"/>
  <c r="Z500" i="1"/>
  <c r="V501" i="1"/>
  <c r="V502" i="1"/>
  <c r="V503" i="1"/>
  <c r="V504" i="1"/>
  <c r="V505" i="1"/>
  <c r="V510" i="1"/>
  <c r="Z501" i="1"/>
  <c r="Z502" i="1"/>
  <c r="Z503" i="1"/>
  <c r="Z504" i="1"/>
  <c r="Z505" i="1"/>
  <c r="Z507" i="1"/>
  <c r="Z508" i="1"/>
  <c r="Z510" i="1"/>
  <c r="Z511" i="1"/>
  <c r="AD500" i="1"/>
  <c r="AE500" i="1"/>
  <c r="AF500" i="1"/>
  <c r="AG500" i="1"/>
  <c r="AH500" i="1"/>
  <c r="AI500" i="1"/>
  <c r="AA501" i="1"/>
  <c r="AB501" i="1"/>
  <c r="AC501" i="1"/>
  <c r="AD501" i="1"/>
  <c r="AE501" i="1"/>
  <c r="AF501" i="1"/>
  <c r="AG501" i="1"/>
  <c r="AH501" i="1"/>
  <c r="AI501" i="1"/>
  <c r="AA502" i="1"/>
  <c r="AB502" i="1"/>
  <c r="AC502" i="1"/>
  <c r="AD502" i="1"/>
  <c r="AE502" i="1"/>
  <c r="AF502" i="1"/>
  <c r="AG502" i="1"/>
  <c r="AH502" i="1"/>
  <c r="AI502" i="1"/>
  <c r="AA503" i="1"/>
  <c r="AB503" i="1"/>
  <c r="AC503" i="1"/>
  <c r="AD503" i="1"/>
  <c r="AE503" i="1"/>
  <c r="AF503" i="1"/>
  <c r="AG503" i="1"/>
  <c r="AH503" i="1"/>
  <c r="AI503" i="1"/>
  <c r="AA504" i="1"/>
  <c r="AB504" i="1"/>
  <c r="AC504" i="1"/>
  <c r="AD504" i="1"/>
  <c r="AE504" i="1"/>
  <c r="AF504" i="1"/>
  <c r="AG504" i="1"/>
  <c r="AH504" i="1"/>
  <c r="AI504" i="1"/>
  <c r="AA505" i="1"/>
  <c r="AB505" i="1"/>
  <c r="AC505" i="1"/>
  <c r="AD505" i="1"/>
  <c r="AE505" i="1"/>
  <c r="AF505" i="1"/>
  <c r="AG505" i="1"/>
  <c r="AH505" i="1"/>
  <c r="AI505" i="1"/>
  <c r="AA507" i="1"/>
  <c r="AB507" i="1"/>
  <c r="AC507" i="1"/>
  <c r="AD507" i="1"/>
  <c r="AE507" i="1"/>
  <c r="AF507" i="1"/>
  <c r="AG507" i="1"/>
  <c r="AH507" i="1"/>
  <c r="AI507" i="1"/>
  <c r="C513" i="1"/>
  <c r="B513" i="1"/>
  <c r="N513" i="1"/>
  <c r="C514" i="1"/>
  <c r="B514" i="1"/>
  <c r="N514" i="1"/>
  <c r="B515" i="1"/>
  <c r="N515" i="1"/>
  <c r="B516" i="1"/>
  <c r="N516" i="1"/>
  <c r="C517" i="1"/>
  <c r="B517" i="1"/>
  <c r="N517" i="1"/>
  <c r="C518" i="1"/>
  <c r="B518" i="1"/>
  <c r="N518" i="1"/>
  <c r="C519" i="1"/>
  <c r="B519" i="1"/>
  <c r="N519" i="1"/>
  <c r="C520" i="1"/>
  <c r="B520" i="1"/>
  <c r="N520" i="1"/>
  <c r="C521" i="1"/>
  <c r="B521" i="1"/>
  <c r="N521" i="1"/>
  <c r="C522" i="1"/>
  <c r="B522" i="1"/>
  <c r="N522" i="1"/>
  <c r="C523" i="1"/>
  <c r="B523" i="1"/>
  <c r="N523" i="1"/>
  <c r="C524" i="1"/>
  <c r="B524" i="1"/>
  <c r="N524" i="1"/>
  <c r="C525" i="1"/>
  <c r="B525" i="1"/>
  <c r="N525" i="1"/>
  <c r="C526" i="1"/>
  <c r="B526" i="1"/>
  <c r="N526" i="1"/>
  <c r="C527" i="1"/>
  <c r="B527" i="1"/>
  <c r="N527" i="1"/>
  <c r="C528" i="1"/>
  <c r="B528" i="1"/>
  <c r="N528" i="1"/>
  <c r="C529" i="1"/>
  <c r="B529" i="1"/>
  <c r="N529" i="1"/>
  <c r="C530" i="1"/>
  <c r="B530" i="1"/>
  <c r="N530" i="1"/>
  <c r="C531" i="1"/>
  <c r="B531" i="1"/>
  <c r="N531" i="1"/>
  <c r="C532" i="1"/>
  <c r="B532" i="1"/>
  <c r="N532" i="1"/>
  <c r="C533" i="1"/>
  <c r="B533" i="1"/>
  <c r="N533" i="1"/>
  <c r="B534" i="1"/>
  <c r="N534" i="1"/>
  <c r="C535" i="1"/>
  <c r="B535" i="1"/>
  <c r="N535" i="1"/>
  <c r="C537" i="1"/>
  <c r="B537" i="1"/>
  <c r="N537" i="1"/>
  <c r="C539" i="1"/>
  <c r="B539" i="1"/>
  <c r="N539" i="1"/>
  <c r="C540" i="1"/>
  <c r="B540" i="1"/>
  <c r="N540" i="1"/>
  <c r="C542" i="1"/>
  <c r="B542" i="1"/>
  <c r="N542" i="1"/>
  <c r="C543" i="1"/>
  <c r="B543" i="1"/>
  <c r="N543" i="1"/>
  <c r="C544" i="1"/>
  <c r="B544" i="1"/>
  <c r="N544" i="1"/>
  <c r="C546" i="1"/>
  <c r="B546" i="1"/>
  <c r="N546" i="1"/>
  <c r="C547" i="1"/>
  <c r="B547" i="1"/>
  <c r="N547" i="1"/>
  <c r="C550" i="1"/>
  <c r="B550" i="1"/>
  <c r="N550" i="1"/>
  <c r="C551" i="1"/>
  <c r="B551" i="1"/>
  <c r="N551" i="1"/>
  <c r="N554" i="1"/>
  <c r="J535" i="1"/>
  <c r="G513" i="1"/>
  <c r="G514" i="1"/>
  <c r="G515" i="1"/>
  <c r="G516" i="1"/>
  <c r="G517" i="1"/>
  <c r="G518" i="1"/>
  <c r="G519" i="1"/>
  <c r="G520" i="1"/>
  <c r="G521" i="1"/>
  <c r="G522" i="1"/>
  <c r="G523" i="1"/>
  <c r="G524" i="1"/>
  <c r="G525" i="1"/>
  <c r="G526" i="1"/>
  <c r="G527" i="1"/>
  <c r="G528" i="1"/>
  <c r="G529" i="1"/>
  <c r="G530" i="1"/>
  <c r="G531" i="1"/>
  <c r="G532" i="1"/>
  <c r="G533" i="1"/>
  <c r="G534" i="1"/>
  <c r="G554" i="1"/>
  <c r="J513" i="1"/>
  <c r="J514" i="1"/>
  <c r="J516" i="1"/>
  <c r="J517" i="1"/>
  <c r="J518" i="1"/>
  <c r="J519" i="1"/>
  <c r="J520" i="1"/>
  <c r="J521" i="1"/>
  <c r="J522" i="1"/>
  <c r="J523" i="1"/>
  <c r="J524" i="1"/>
  <c r="J525" i="1"/>
  <c r="J526" i="1"/>
  <c r="J527" i="1"/>
  <c r="J528" i="1"/>
  <c r="J529" i="1"/>
  <c r="J530" i="1"/>
  <c r="J531" i="1"/>
  <c r="J532" i="1"/>
  <c r="J533" i="1"/>
  <c r="C536" i="1"/>
  <c r="J536" i="1"/>
  <c r="J537" i="1"/>
  <c r="C538" i="1"/>
  <c r="J538" i="1"/>
  <c r="J539" i="1"/>
  <c r="J540" i="1"/>
  <c r="C541" i="1"/>
  <c r="J541" i="1"/>
  <c r="J542" i="1"/>
  <c r="J543" i="1"/>
  <c r="J544" i="1"/>
  <c r="C545" i="1"/>
  <c r="J545" i="1"/>
  <c r="J546" i="1"/>
  <c r="J547" i="1"/>
  <c r="C548" i="1"/>
  <c r="J548" i="1"/>
  <c r="C549" i="1"/>
  <c r="J549" i="1"/>
  <c r="J550" i="1"/>
  <c r="J551" i="1"/>
  <c r="J552" i="1"/>
  <c r="J554" i="1"/>
  <c r="B554" i="1"/>
  <c r="L535" i="1"/>
  <c r="L536" i="1"/>
  <c r="L537" i="1"/>
  <c r="L538" i="1"/>
  <c r="L539" i="1"/>
  <c r="L540" i="1"/>
  <c r="L541" i="1"/>
  <c r="L542" i="1"/>
  <c r="L543" i="1"/>
  <c r="L544" i="1"/>
  <c r="L545" i="1"/>
  <c r="L546" i="1"/>
  <c r="L547" i="1"/>
  <c r="L548" i="1"/>
  <c r="L549" i="1"/>
  <c r="L550" i="1"/>
  <c r="L551" i="1"/>
  <c r="L552" i="1"/>
  <c r="L553" i="1"/>
  <c r="L513" i="1"/>
  <c r="L514" i="1"/>
  <c r="L515" i="1"/>
  <c r="L516" i="1"/>
  <c r="L517" i="1"/>
  <c r="L518" i="1"/>
  <c r="L519" i="1"/>
  <c r="L520" i="1"/>
  <c r="L521" i="1"/>
  <c r="L522" i="1"/>
  <c r="L523" i="1"/>
  <c r="L524" i="1"/>
  <c r="L525" i="1"/>
  <c r="L526" i="1"/>
  <c r="L527" i="1"/>
  <c r="L528" i="1"/>
  <c r="L529" i="1"/>
  <c r="L530" i="1"/>
  <c r="L531" i="1"/>
  <c r="L532" i="1"/>
  <c r="L533" i="1"/>
  <c r="L534" i="1"/>
  <c r="L554" i="1"/>
  <c r="N555" i="1"/>
  <c r="S535" i="1"/>
  <c r="S536" i="1"/>
  <c r="S537" i="1"/>
  <c r="S538" i="1"/>
  <c r="S539" i="1"/>
  <c r="S540" i="1"/>
  <c r="S541" i="1"/>
  <c r="S542" i="1"/>
  <c r="S543" i="1"/>
  <c r="S544" i="1"/>
  <c r="S545" i="1"/>
  <c r="S546" i="1"/>
  <c r="S547" i="1"/>
  <c r="S548" i="1"/>
  <c r="S549" i="1"/>
  <c r="S550" i="1"/>
  <c r="S551" i="1"/>
  <c r="S552" i="1"/>
  <c r="S553" i="1"/>
  <c r="S513" i="1"/>
  <c r="W513" i="1"/>
  <c r="S517" i="1"/>
  <c r="S518" i="1"/>
  <c r="S519" i="1"/>
  <c r="S520" i="1"/>
  <c r="S521" i="1"/>
  <c r="S522" i="1"/>
  <c r="S523" i="1"/>
  <c r="S524" i="1"/>
  <c r="S525" i="1"/>
  <c r="S526" i="1"/>
  <c r="S527" i="1"/>
  <c r="S528" i="1"/>
  <c r="S529" i="1"/>
  <c r="S530" i="1"/>
  <c r="S531" i="1"/>
  <c r="S532" i="1"/>
  <c r="S533" i="1"/>
  <c r="S534" i="1"/>
  <c r="S554" i="1"/>
  <c r="W517" i="1"/>
  <c r="W518" i="1"/>
  <c r="W519" i="1"/>
  <c r="W520" i="1"/>
  <c r="W521" i="1"/>
  <c r="W522" i="1"/>
  <c r="W523" i="1"/>
  <c r="W524" i="1"/>
  <c r="W525" i="1"/>
  <c r="W526" i="1"/>
  <c r="W527" i="1"/>
  <c r="W528" i="1"/>
  <c r="W529" i="1"/>
  <c r="W530" i="1"/>
  <c r="W531" i="1"/>
  <c r="W532" i="1"/>
  <c r="W533" i="1"/>
  <c r="I535" i="1"/>
  <c r="K535" i="1"/>
  <c r="W535" i="1"/>
  <c r="I536" i="1"/>
  <c r="K536" i="1"/>
  <c r="W536" i="1"/>
  <c r="I537" i="1"/>
  <c r="K537" i="1"/>
  <c r="W537" i="1"/>
  <c r="I538" i="1"/>
  <c r="K538" i="1"/>
  <c r="W538" i="1"/>
  <c r="I539" i="1"/>
  <c r="K539" i="1"/>
  <c r="W539" i="1"/>
  <c r="I540" i="1"/>
  <c r="K540" i="1"/>
  <c r="W540" i="1"/>
  <c r="I541" i="1"/>
  <c r="K541" i="1"/>
  <c r="W541" i="1"/>
  <c r="I542" i="1"/>
  <c r="K542" i="1"/>
  <c r="W542" i="1"/>
  <c r="I543" i="1"/>
  <c r="K543" i="1"/>
  <c r="W543" i="1"/>
  <c r="I544" i="1"/>
  <c r="K544" i="1"/>
  <c r="W544" i="1"/>
  <c r="I545" i="1"/>
  <c r="K545" i="1"/>
  <c r="W545" i="1"/>
  <c r="I546" i="1"/>
  <c r="K546" i="1"/>
  <c r="W546" i="1"/>
  <c r="I547" i="1"/>
  <c r="K547" i="1"/>
  <c r="W547" i="1"/>
  <c r="I548" i="1"/>
  <c r="K548" i="1"/>
  <c r="W548" i="1"/>
  <c r="I549" i="1"/>
  <c r="K549" i="1"/>
  <c r="W549" i="1"/>
  <c r="I550" i="1"/>
  <c r="K550" i="1"/>
  <c r="W550" i="1"/>
  <c r="I551" i="1"/>
  <c r="K551" i="1"/>
  <c r="W551" i="1"/>
  <c r="I552" i="1"/>
  <c r="K552" i="1"/>
  <c r="W552" i="1"/>
  <c r="W554" i="1"/>
  <c r="W555" i="1"/>
  <c r="AA513" i="1"/>
  <c r="O513" i="1"/>
  <c r="O514" i="1"/>
  <c r="O515" i="1"/>
  <c r="O516" i="1"/>
  <c r="O517" i="1"/>
  <c r="O518" i="1"/>
  <c r="O519" i="1"/>
  <c r="O520" i="1"/>
  <c r="O521" i="1"/>
  <c r="O522" i="1"/>
  <c r="O523" i="1"/>
  <c r="O524" i="1"/>
  <c r="O525" i="1"/>
  <c r="O526" i="1"/>
  <c r="O527" i="1"/>
  <c r="O528" i="1"/>
  <c r="O529" i="1"/>
  <c r="O530" i="1"/>
  <c r="O531" i="1"/>
  <c r="O532" i="1"/>
  <c r="O533" i="1"/>
  <c r="O534" i="1"/>
  <c r="O535" i="1"/>
  <c r="O537" i="1"/>
  <c r="O539" i="1"/>
  <c r="O540" i="1"/>
  <c r="O542" i="1"/>
  <c r="O543" i="1"/>
  <c r="O544" i="1"/>
  <c r="O546" i="1"/>
  <c r="O547" i="1"/>
  <c r="O550" i="1"/>
  <c r="O551" i="1"/>
  <c r="O554" i="1"/>
  <c r="O555" i="1"/>
  <c r="T535" i="1"/>
  <c r="T536" i="1"/>
  <c r="T537" i="1"/>
  <c r="T538" i="1"/>
  <c r="T539" i="1"/>
  <c r="T540" i="1"/>
  <c r="T541" i="1"/>
  <c r="T542" i="1"/>
  <c r="T543" i="1"/>
  <c r="T544" i="1"/>
  <c r="T545" i="1"/>
  <c r="T546" i="1"/>
  <c r="T547" i="1"/>
  <c r="T548" i="1"/>
  <c r="T549" i="1"/>
  <c r="T550" i="1"/>
  <c r="T551" i="1"/>
  <c r="T552" i="1"/>
  <c r="T553" i="1"/>
  <c r="T513" i="1"/>
  <c r="X513" i="1"/>
  <c r="T517" i="1"/>
  <c r="T518" i="1"/>
  <c r="T519" i="1"/>
  <c r="T520" i="1"/>
  <c r="T521" i="1"/>
  <c r="T522" i="1"/>
  <c r="T523" i="1"/>
  <c r="T524" i="1"/>
  <c r="T525" i="1"/>
  <c r="T526" i="1"/>
  <c r="T527" i="1"/>
  <c r="T528" i="1"/>
  <c r="T529" i="1"/>
  <c r="T530" i="1"/>
  <c r="T531" i="1"/>
  <c r="T532" i="1"/>
  <c r="T533" i="1"/>
  <c r="T534" i="1"/>
  <c r="T554" i="1"/>
  <c r="X517" i="1"/>
  <c r="X518" i="1"/>
  <c r="X519" i="1"/>
  <c r="X520" i="1"/>
  <c r="X521" i="1"/>
  <c r="X522" i="1"/>
  <c r="X523" i="1"/>
  <c r="X524" i="1"/>
  <c r="X525" i="1"/>
  <c r="X526" i="1"/>
  <c r="X527" i="1"/>
  <c r="X528" i="1"/>
  <c r="X529" i="1"/>
  <c r="X530" i="1"/>
  <c r="X531" i="1"/>
  <c r="X532" i="1"/>
  <c r="X533" i="1"/>
  <c r="X535" i="1"/>
  <c r="X536" i="1"/>
  <c r="X537" i="1"/>
  <c r="X538" i="1"/>
  <c r="X539" i="1"/>
  <c r="X540" i="1"/>
  <c r="X541" i="1"/>
  <c r="X542" i="1"/>
  <c r="X543" i="1"/>
  <c r="X544" i="1"/>
  <c r="X545" i="1"/>
  <c r="X546" i="1"/>
  <c r="X547" i="1"/>
  <c r="X548" i="1"/>
  <c r="X549" i="1"/>
  <c r="X550" i="1"/>
  <c r="X551" i="1"/>
  <c r="X552" i="1"/>
  <c r="X554" i="1"/>
  <c r="X555" i="1"/>
  <c r="AB513" i="1"/>
  <c r="P513" i="1"/>
  <c r="P514" i="1"/>
  <c r="P515" i="1"/>
  <c r="P516" i="1"/>
  <c r="P517" i="1"/>
  <c r="P518" i="1"/>
  <c r="P519" i="1"/>
  <c r="P520" i="1"/>
  <c r="P521" i="1"/>
  <c r="P522" i="1"/>
  <c r="P523" i="1"/>
  <c r="P524" i="1"/>
  <c r="P525" i="1"/>
  <c r="P526" i="1"/>
  <c r="P527" i="1"/>
  <c r="P528" i="1"/>
  <c r="P529" i="1"/>
  <c r="P530" i="1"/>
  <c r="P531" i="1"/>
  <c r="P532" i="1"/>
  <c r="P533" i="1"/>
  <c r="P534" i="1"/>
  <c r="P535" i="1"/>
  <c r="P537" i="1"/>
  <c r="P539" i="1"/>
  <c r="P540" i="1"/>
  <c r="P542" i="1"/>
  <c r="P543" i="1"/>
  <c r="P544" i="1"/>
  <c r="P546" i="1"/>
  <c r="P547" i="1"/>
  <c r="P550" i="1"/>
  <c r="P551" i="1"/>
  <c r="P554" i="1"/>
  <c r="P555" i="1"/>
  <c r="U535" i="1"/>
  <c r="U536" i="1"/>
  <c r="U537" i="1"/>
  <c r="U538" i="1"/>
  <c r="U539" i="1"/>
  <c r="U540" i="1"/>
  <c r="U541" i="1"/>
  <c r="U542" i="1"/>
  <c r="U543" i="1"/>
  <c r="U544" i="1"/>
  <c r="U545" i="1"/>
  <c r="U546" i="1"/>
  <c r="U547" i="1"/>
  <c r="U548" i="1"/>
  <c r="U549" i="1"/>
  <c r="U550" i="1"/>
  <c r="U551" i="1"/>
  <c r="U552" i="1"/>
  <c r="U553" i="1"/>
  <c r="U513" i="1"/>
  <c r="Y513" i="1"/>
  <c r="U517" i="1"/>
  <c r="U518" i="1"/>
  <c r="U519" i="1"/>
  <c r="U520" i="1"/>
  <c r="U521" i="1"/>
  <c r="U522" i="1"/>
  <c r="U523" i="1"/>
  <c r="U524" i="1"/>
  <c r="U525" i="1"/>
  <c r="U526" i="1"/>
  <c r="U527" i="1"/>
  <c r="U528" i="1"/>
  <c r="U529" i="1"/>
  <c r="U530" i="1"/>
  <c r="U531" i="1"/>
  <c r="U532" i="1"/>
  <c r="U533" i="1"/>
  <c r="U534" i="1"/>
  <c r="U554" i="1"/>
  <c r="Y517" i="1"/>
  <c r="Y518" i="1"/>
  <c r="Y519" i="1"/>
  <c r="Y520" i="1"/>
  <c r="Y521" i="1"/>
  <c r="Y522" i="1"/>
  <c r="Y523" i="1"/>
  <c r="Y524" i="1"/>
  <c r="Y525" i="1"/>
  <c r="Y526" i="1"/>
  <c r="Y527" i="1"/>
  <c r="Y528" i="1"/>
  <c r="Y529" i="1"/>
  <c r="Y530" i="1"/>
  <c r="Y531" i="1"/>
  <c r="Y532" i="1"/>
  <c r="Y533" i="1"/>
  <c r="Y535" i="1"/>
  <c r="Y536" i="1"/>
  <c r="Y537" i="1"/>
  <c r="Y538" i="1"/>
  <c r="Y539" i="1"/>
  <c r="Y540" i="1"/>
  <c r="Y541" i="1"/>
  <c r="Y542" i="1"/>
  <c r="Y543" i="1"/>
  <c r="Y544" i="1"/>
  <c r="Y545" i="1"/>
  <c r="Y546" i="1"/>
  <c r="Y547" i="1"/>
  <c r="Y548" i="1"/>
  <c r="Y549" i="1"/>
  <c r="Y550" i="1"/>
  <c r="Y551" i="1"/>
  <c r="Y552" i="1"/>
  <c r="Y554" i="1"/>
  <c r="Y555" i="1"/>
  <c r="AC513" i="1"/>
  <c r="Q513" i="1"/>
  <c r="Q514" i="1"/>
  <c r="Q515" i="1"/>
  <c r="Q516" i="1"/>
  <c r="Q517" i="1"/>
  <c r="Q518" i="1"/>
  <c r="Q519" i="1"/>
  <c r="Q520" i="1"/>
  <c r="Q521" i="1"/>
  <c r="Q522" i="1"/>
  <c r="Q523" i="1"/>
  <c r="Q524" i="1"/>
  <c r="Q525" i="1"/>
  <c r="Q526" i="1"/>
  <c r="Q527" i="1"/>
  <c r="Q528" i="1"/>
  <c r="Q529" i="1"/>
  <c r="Q530" i="1"/>
  <c r="Q531" i="1"/>
  <c r="Q532" i="1"/>
  <c r="Q533" i="1"/>
  <c r="Q534" i="1"/>
  <c r="Q535" i="1"/>
  <c r="Q537" i="1"/>
  <c r="Q539" i="1"/>
  <c r="Q540" i="1"/>
  <c r="Q542" i="1"/>
  <c r="Q543" i="1"/>
  <c r="Q544" i="1"/>
  <c r="Q546" i="1"/>
  <c r="Q547" i="1"/>
  <c r="Q550" i="1"/>
  <c r="Q551" i="1"/>
  <c r="Q554" i="1"/>
  <c r="Q555" i="1"/>
  <c r="V535" i="1"/>
  <c r="V536" i="1"/>
  <c r="V537" i="1"/>
  <c r="V538" i="1"/>
  <c r="V539" i="1"/>
  <c r="V540" i="1"/>
  <c r="V541" i="1"/>
  <c r="V542" i="1"/>
  <c r="V543" i="1"/>
  <c r="V544" i="1"/>
  <c r="V545" i="1"/>
  <c r="V546" i="1"/>
  <c r="V547" i="1"/>
  <c r="V548" i="1"/>
  <c r="V549" i="1"/>
  <c r="V550" i="1"/>
  <c r="V551" i="1"/>
  <c r="V552" i="1"/>
  <c r="V553" i="1"/>
  <c r="V513" i="1"/>
  <c r="Z513" i="1"/>
  <c r="V517" i="1"/>
  <c r="V518" i="1"/>
  <c r="V519" i="1"/>
  <c r="V520" i="1"/>
  <c r="V521" i="1"/>
  <c r="V522" i="1"/>
  <c r="V523" i="1"/>
  <c r="V524" i="1"/>
  <c r="V525" i="1"/>
  <c r="V526" i="1"/>
  <c r="V527" i="1"/>
  <c r="V528" i="1"/>
  <c r="V529" i="1"/>
  <c r="V530" i="1"/>
  <c r="V531" i="1"/>
  <c r="V532" i="1"/>
  <c r="V533" i="1"/>
  <c r="V534" i="1"/>
  <c r="V554" i="1"/>
  <c r="Z517" i="1"/>
  <c r="Z518" i="1"/>
  <c r="Z519" i="1"/>
  <c r="Z520" i="1"/>
  <c r="Z521" i="1"/>
  <c r="Z522" i="1"/>
  <c r="Z523" i="1"/>
  <c r="Z524" i="1"/>
  <c r="Z525" i="1"/>
  <c r="Z526" i="1"/>
  <c r="Z527" i="1"/>
  <c r="Z528" i="1"/>
  <c r="Z529" i="1"/>
  <c r="Z530" i="1"/>
  <c r="Z531" i="1"/>
  <c r="Z532" i="1"/>
  <c r="Z533" i="1"/>
  <c r="Z535" i="1"/>
  <c r="Z536" i="1"/>
  <c r="Z537" i="1"/>
  <c r="Z538" i="1"/>
  <c r="Z539" i="1"/>
  <c r="Z540" i="1"/>
  <c r="Z541" i="1"/>
  <c r="Z542" i="1"/>
  <c r="Z543" i="1"/>
  <c r="Z544" i="1"/>
  <c r="Z545" i="1"/>
  <c r="Z546" i="1"/>
  <c r="Z547" i="1"/>
  <c r="Z548" i="1"/>
  <c r="Z549" i="1"/>
  <c r="Z550" i="1"/>
  <c r="Z551" i="1"/>
  <c r="Z552" i="1"/>
  <c r="Z554" i="1"/>
  <c r="Z555" i="1"/>
  <c r="AD513" i="1"/>
  <c r="AE513" i="1"/>
  <c r="AF513" i="1"/>
  <c r="AG513" i="1"/>
  <c r="AH513" i="1"/>
  <c r="AI513" i="1"/>
  <c r="AA517" i="1"/>
  <c r="AB517" i="1"/>
  <c r="AC517" i="1"/>
  <c r="AD517" i="1"/>
  <c r="AE517" i="1"/>
  <c r="AF517" i="1"/>
  <c r="AG517" i="1"/>
  <c r="AH517" i="1"/>
  <c r="AI517" i="1"/>
  <c r="AA518" i="1"/>
  <c r="AB518" i="1"/>
  <c r="AC518" i="1"/>
  <c r="AD518" i="1"/>
  <c r="AE518" i="1"/>
  <c r="AF518" i="1"/>
  <c r="AG518" i="1"/>
  <c r="AH518" i="1"/>
  <c r="AI518" i="1"/>
  <c r="AA519" i="1"/>
  <c r="AB519" i="1"/>
  <c r="AC519" i="1"/>
  <c r="AD519" i="1"/>
  <c r="AE519" i="1"/>
  <c r="AF519" i="1"/>
  <c r="AG519" i="1"/>
  <c r="AH519" i="1"/>
  <c r="AI519" i="1"/>
  <c r="AA520" i="1"/>
  <c r="AB520" i="1"/>
  <c r="AC520" i="1"/>
  <c r="AD520" i="1"/>
  <c r="AE520" i="1"/>
  <c r="AF520" i="1"/>
  <c r="AG520" i="1"/>
  <c r="AH520" i="1"/>
  <c r="AI520" i="1"/>
  <c r="AA521" i="1"/>
  <c r="AB521" i="1"/>
  <c r="AC521" i="1"/>
  <c r="AD521" i="1"/>
  <c r="AE521" i="1"/>
  <c r="AF521" i="1"/>
  <c r="AG521" i="1"/>
  <c r="AH521" i="1"/>
  <c r="AI521" i="1"/>
  <c r="AA522" i="1"/>
  <c r="AB522" i="1"/>
  <c r="AC522" i="1"/>
  <c r="AD522" i="1"/>
  <c r="AE522" i="1"/>
  <c r="AF522" i="1"/>
  <c r="AG522" i="1"/>
  <c r="AH522" i="1"/>
  <c r="AI522" i="1"/>
  <c r="AA523" i="1"/>
  <c r="AB523" i="1"/>
  <c r="AC523" i="1"/>
  <c r="AD523" i="1"/>
  <c r="AE523" i="1"/>
  <c r="AF523" i="1"/>
  <c r="AG523" i="1"/>
  <c r="AH523" i="1"/>
  <c r="AI523" i="1"/>
  <c r="AA524" i="1"/>
  <c r="AB524" i="1"/>
  <c r="AC524" i="1"/>
  <c r="AD524" i="1"/>
  <c r="AE524" i="1"/>
  <c r="AF524" i="1"/>
  <c r="AG524" i="1"/>
  <c r="AH524" i="1"/>
  <c r="AI524" i="1"/>
  <c r="AA525" i="1"/>
  <c r="AB525" i="1"/>
  <c r="AC525" i="1"/>
  <c r="AD525" i="1"/>
  <c r="AE525" i="1"/>
  <c r="AF525" i="1"/>
  <c r="AG525" i="1"/>
  <c r="AH525" i="1"/>
  <c r="AI525" i="1"/>
  <c r="AA526" i="1"/>
  <c r="AB526" i="1"/>
  <c r="AC526" i="1"/>
  <c r="AD526" i="1"/>
  <c r="AE526" i="1"/>
  <c r="AF526" i="1"/>
  <c r="AG526" i="1"/>
  <c r="AH526" i="1"/>
  <c r="AI526" i="1"/>
  <c r="AA527" i="1"/>
  <c r="AB527" i="1"/>
  <c r="AC527" i="1"/>
  <c r="AD527" i="1"/>
  <c r="AE527" i="1"/>
  <c r="AF527" i="1"/>
  <c r="AG527" i="1"/>
  <c r="AH527" i="1"/>
  <c r="AI527" i="1"/>
  <c r="AA528" i="1"/>
  <c r="AB528" i="1"/>
  <c r="AC528" i="1"/>
  <c r="AD528" i="1"/>
  <c r="AE528" i="1"/>
  <c r="AF528" i="1"/>
  <c r="AG528" i="1"/>
  <c r="AH528" i="1"/>
  <c r="AI528" i="1"/>
  <c r="AA529" i="1"/>
  <c r="AB529" i="1"/>
  <c r="AC529" i="1"/>
  <c r="AD529" i="1"/>
  <c r="AE529" i="1"/>
  <c r="AF529" i="1"/>
  <c r="AG529" i="1"/>
  <c r="AH529" i="1"/>
  <c r="AI529" i="1"/>
  <c r="AA530" i="1"/>
  <c r="AB530" i="1"/>
  <c r="AC530" i="1"/>
  <c r="AD530" i="1"/>
  <c r="AE530" i="1"/>
  <c r="AF530" i="1"/>
  <c r="AG530" i="1"/>
  <c r="AH530" i="1"/>
  <c r="AI530" i="1"/>
  <c r="AA531" i="1"/>
  <c r="AB531" i="1"/>
  <c r="AC531" i="1"/>
  <c r="AD531" i="1"/>
  <c r="AE531" i="1"/>
  <c r="AF531" i="1"/>
  <c r="AG531" i="1"/>
  <c r="AH531" i="1"/>
  <c r="AI531" i="1"/>
  <c r="AA532" i="1"/>
  <c r="AB532" i="1"/>
  <c r="AC532" i="1"/>
  <c r="AD532" i="1"/>
  <c r="AE532" i="1"/>
  <c r="AF532" i="1"/>
  <c r="AG532" i="1"/>
  <c r="AH532" i="1"/>
  <c r="AI532" i="1"/>
  <c r="AA533" i="1"/>
  <c r="AB533" i="1"/>
  <c r="AC533" i="1"/>
  <c r="AD533" i="1"/>
  <c r="AE533" i="1"/>
  <c r="AF533" i="1"/>
  <c r="AG533" i="1"/>
  <c r="AH533" i="1"/>
  <c r="AI533" i="1"/>
  <c r="AA534" i="1"/>
  <c r="AB534" i="1"/>
  <c r="AC534" i="1"/>
  <c r="AD534" i="1"/>
  <c r="AE534" i="1"/>
  <c r="AF534" i="1"/>
  <c r="AG534" i="1"/>
  <c r="AH534" i="1"/>
  <c r="AI534" i="1"/>
  <c r="AA535" i="1"/>
  <c r="AB535" i="1"/>
  <c r="AC535" i="1"/>
  <c r="AD535" i="1"/>
  <c r="AE535" i="1"/>
  <c r="AF535" i="1"/>
  <c r="AG535" i="1"/>
  <c r="AH535" i="1"/>
  <c r="AI535" i="1"/>
  <c r="AA536" i="1"/>
  <c r="AB536" i="1"/>
  <c r="AC536" i="1"/>
  <c r="AD536" i="1"/>
  <c r="AE536" i="1"/>
  <c r="AF536" i="1"/>
  <c r="AG536" i="1"/>
  <c r="AH536" i="1"/>
  <c r="AI536" i="1"/>
  <c r="AA537" i="1"/>
  <c r="AB537" i="1"/>
  <c r="AC537" i="1"/>
  <c r="AD537" i="1"/>
  <c r="AE537" i="1"/>
  <c r="AF537" i="1"/>
  <c r="AG537" i="1"/>
  <c r="AH537" i="1"/>
  <c r="AI537" i="1"/>
  <c r="AA538" i="1"/>
  <c r="AB538" i="1"/>
  <c r="AC538" i="1"/>
  <c r="AD538" i="1"/>
  <c r="AE538" i="1"/>
  <c r="AF538" i="1"/>
  <c r="AG538" i="1"/>
  <c r="AH538" i="1"/>
  <c r="AI538" i="1"/>
  <c r="AA539" i="1"/>
  <c r="AB539" i="1"/>
  <c r="AC539" i="1"/>
  <c r="AD539" i="1"/>
  <c r="AE539" i="1"/>
  <c r="AF539" i="1"/>
  <c r="AG539" i="1"/>
  <c r="AH539" i="1"/>
  <c r="AI539" i="1"/>
  <c r="AA540" i="1"/>
  <c r="AB540" i="1"/>
  <c r="AC540" i="1"/>
  <c r="AD540" i="1"/>
  <c r="AE540" i="1"/>
  <c r="AF540" i="1"/>
  <c r="AG540" i="1"/>
  <c r="AH540" i="1"/>
  <c r="AI540" i="1"/>
  <c r="AA541" i="1"/>
  <c r="AB541" i="1"/>
  <c r="AC541" i="1"/>
  <c r="AD541" i="1"/>
  <c r="AE541" i="1"/>
  <c r="AF541" i="1"/>
  <c r="AG541" i="1"/>
  <c r="AH541" i="1"/>
  <c r="AI541" i="1"/>
  <c r="AA542" i="1"/>
  <c r="AB542" i="1"/>
  <c r="AC542" i="1"/>
  <c r="AD542" i="1"/>
  <c r="AE542" i="1"/>
  <c r="AF542" i="1"/>
  <c r="AG542" i="1"/>
  <c r="AH542" i="1"/>
  <c r="AI542" i="1"/>
  <c r="AA543" i="1"/>
  <c r="AB543" i="1"/>
  <c r="AC543" i="1"/>
  <c r="AD543" i="1"/>
  <c r="AE543" i="1"/>
  <c r="AF543" i="1"/>
  <c r="AG543" i="1"/>
  <c r="AH543" i="1"/>
  <c r="AI543" i="1"/>
  <c r="AA544" i="1"/>
  <c r="AB544" i="1"/>
  <c r="AC544" i="1"/>
  <c r="AD544" i="1"/>
  <c r="AE544" i="1"/>
  <c r="AF544" i="1"/>
  <c r="AG544" i="1"/>
  <c r="AH544" i="1"/>
  <c r="AI544" i="1"/>
  <c r="AA545" i="1"/>
  <c r="AB545" i="1"/>
  <c r="AC545" i="1"/>
  <c r="AD545" i="1"/>
  <c r="AE545" i="1"/>
  <c r="AF545" i="1"/>
  <c r="AG545" i="1"/>
  <c r="AH545" i="1"/>
  <c r="AI545" i="1"/>
  <c r="AA546" i="1"/>
  <c r="AB546" i="1"/>
  <c r="AC546" i="1"/>
  <c r="AD546" i="1"/>
  <c r="AE546" i="1"/>
  <c r="AF546" i="1"/>
  <c r="AG546" i="1"/>
  <c r="AH546" i="1"/>
  <c r="AI546" i="1"/>
  <c r="AA547" i="1"/>
  <c r="AB547" i="1"/>
  <c r="AC547" i="1"/>
  <c r="AD547" i="1"/>
  <c r="AE547" i="1"/>
  <c r="AF547" i="1"/>
  <c r="AG547" i="1"/>
  <c r="AH547" i="1"/>
  <c r="AI547" i="1"/>
  <c r="AA548" i="1"/>
  <c r="AB548" i="1"/>
  <c r="AC548" i="1"/>
  <c r="AD548" i="1"/>
  <c r="AE548" i="1"/>
  <c r="AF548" i="1"/>
  <c r="AG548" i="1"/>
  <c r="AH548" i="1"/>
  <c r="AI548" i="1"/>
  <c r="AA549" i="1"/>
  <c r="AB549" i="1"/>
  <c r="AC549" i="1"/>
  <c r="AD549" i="1"/>
  <c r="AE549" i="1"/>
  <c r="AF549" i="1"/>
  <c r="AG549" i="1"/>
  <c r="AH549" i="1"/>
  <c r="AI549" i="1"/>
  <c r="AA550" i="1"/>
  <c r="AB550" i="1"/>
  <c r="AC550" i="1"/>
  <c r="AD550" i="1"/>
  <c r="AE550" i="1"/>
  <c r="AF550" i="1"/>
  <c r="AG550" i="1"/>
  <c r="AH550" i="1"/>
  <c r="AI550" i="1"/>
  <c r="AA551" i="1"/>
  <c r="AB551" i="1"/>
  <c r="AC551" i="1"/>
  <c r="AD551" i="1"/>
  <c r="AE551" i="1"/>
  <c r="AF551" i="1"/>
  <c r="AG551" i="1"/>
  <c r="AH551" i="1"/>
  <c r="AI551" i="1"/>
  <c r="C557" i="1"/>
  <c r="B557" i="1"/>
  <c r="N557" i="1"/>
  <c r="C558" i="1"/>
  <c r="B558" i="1"/>
  <c r="N558" i="1"/>
  <c r="C559" i="1"/>
  <c r="B559" i="1"/>
  <c r="N559" i="1"/>
  <c r="C560" i="1"/>
  <c r="B560" i="1"/>
  <c r="N560" i="1"/>
  <c r="C561" i="1"/>
  <c r="B561" i="1"/>
  <c r="N561" i="1"/>
  <c r="C562" i="1"/>
  <c r="B562" i="1"/>
  <c r="N562" i="1"/>
  <c r="C563" i="1"/>
  <c r="B563" i="1"/>
  <c r="N563" i="1"/>
  <c r="C564" i="1"/>
  <c r="B564" i="1"/>
  <c r="N564" i="1"/>
  <c r="C565" i="1"/>
  <c r="B565" i="1"/>
  <c r="N565" i="1"/>
  <c r="C566" i="1"/>
  <c r="B566" i="1"/>
  <c r="N566" i="1"/>
  <c r="C568" i="1"/>
  <c r="B568" i="1"/>
  <c r="N568" i="1"/>
  <c r="C569" i="1"/>
  <c r="B569" i="1"/>
  <c r="N569" i="1"/>
  <c r="N572" i="1"/>
  <c r="J566" i="1"/>
  <c r="G557" i="1"/>
  <c r="G558" i="1"/>
  <c r="G559" i="1"/>
  <c r="G560" i="1"/>
  <c r="G561" i="1"/>
  <c r="G562" i="1"/>
  <c r="G563" i="1"/>
  <c r="G564" i="1"/>
  <c r="G565" i="1"/>
  <c r="G572" i="1"/>
  <c r="J557" i="1"/>
  <c r="J558" i="1"/>
  <c r="J559" i="1"/>
  <c r="J560" i="1"/>
  <c r="J561" i="1"/>
  <c r="J562" i="1"/>
  <c r="J563" i="1"/>
  <c r="J564" i="1"/>
  <c r="J565" i="1"/>
  <c r="C567" i="1"/>
  <c r="J567" i="1"/>
  <c r="J568" i="1"/>
  <c r="J569" i="1"/>
  <c r="J570" i="1"/>
  <c r="J572" i="1"/>
  <c r="B572" i="1"/>
  <c r="L566" i="1"/>
  <c r="L567" i="1"/>
  <c r="L568" i="1"/>
  <c r="L569" i="1"/>
  <c r="L570" i="1"/>
  <c r="L571" i="1"/>
  <c r="L557" i="1"/>
  <c r="L558" i="1"/>
  <c r="L559" i="1"/>
  <c r="L560" i="1"/>
  <c r="L561" i="1"/>
  <c r="L562" i="1"/>
  <c r="L563" i="1"/>
  <c r="L564" i="1"/>
  <c r="L565" i="1"/>
  <c r="L572" i="1"/>
  <c r="N573" i="1"/>
  <c r="S566" i="1"/>
  <c r="S567" i="1"/>
  <c r="S568" i="1"/>
  <c r="S569" i="1"/>
  <c r="S570" i="1"/>
  <c r="S571" i="1"/>
  <c r="S557" i="1"/>
  <c r="W557" i="1"/>
  <c r="S558" i="1"/>
  <c r="S559" i="1"/>
  <c r="S560" i="1"/>
  <c r="S561" i="1"/>
  <c r="S562" i="1"/>
  <c r="S563" i="1"/>
  <c r="S564" i="1"/>
  <c r="S565" i="1"/>
  <c r="S572" i="1"/>
  <c r="W558" i="1"/>
  <c r="W559" i="1"/>
  <c r="W560" i="1"/>
  <c r="W561" i="1"/>
  <c r="W562" i="1"/>
  <c r="W563" i="1"/>
  <c r="W564" i="1"/>
  <c r="W565" i="1"/>
  <c r="I566" i="1"/>
  <c r="K566" i="1"/>
  <c r="W566" i="1"/>
  <c r="I567" i="1"/>
  <c r="K567" i="1"/>
  <c r="W567" i="1"/>
  <c r="I568" i="1"/>
  <c r="K568" i="1"/>
  <c r="W568" i="1"/>
  <c r="I569" i="1"/>
  <c r="K569" i="1"/>
  <c r="W569" i="1"/>
  <c r="I570" i="1"/>
  <c r="K570" i="1"/>
  <c r="W570" i="1"/>
  <c r="W572" i="1"/>
  <c r="W573" i="1"/>
  <c r="AA557" i="1"/>
  <c r="O557" i="1"/>
  <c r="O558" i="1"/>
  <c r="O559" i="1"/>
  <c r="O560" i="1"/>
  <c r="O561" i="1"/>
  <c r="O562" i="1"/>
  <c r="O563" i="1"/>
  <c r="O564" i="1"/>
  <c r="O565" i="1"/>
  <c r="O566" i="1"/>
  <c r="O568" i="1"/>
  <c r="O569" i="1"/>
  <c r="O572" i="1"/>
  <c r="O573" i="1"/>
  <c r="T566" i="1"/>
  <c r="T567" i="1"/>
  <c r="T568" i="1"/>
  <c r="T569" i="1"/>
  <c r="T570" i="1"/>
  <c r="T571" i="1"/>
  <c r="T557" i="1"/>
  <c r="X557" i="1"/>
  <c r="T558" i="1"/>
  <c r="T559" i="1"/>
  <c r="T560" i="1"/>
  <c r="T561" i="1"/>
  <c r="T562" i="1"/>
  <c r="T563" i="1"/>
  <c r="T564" i="1"/>
  <c r="T565" i="1"/>
  <c r="T572" i="1"/>
  <c r="X558" i="1"/>
  <c r="X559" i="1"/>
  <c r="X560" i="1"/>
  <c r="X561" i="1"/>
  <c r="X562" i="1"/>
  <c r="X563" i="1"/>
  <c r="X564" i="1"/>
  <c r="X565" i="1"/>
  <c r="X566" i="1"/>
  <c r="X567" i="1"/>
  <c r="X568" i="1"/>
  <c r="X569" i="1"/>
  <c r="X570" i="1"/>
  <c r="X572" i="1"/>
  <c r="X573" i="1"/>
  <c r="AB557" i="1"/>
  <c r="P557" i="1"/>
  <c r="P558" i="1"/>
  <c r="P559" i="1"/>
  <c r="P560" i="1"/>
  <c r="P561" i="1"/>
  <c r="P562" i="1"/>
  <c r="P563" i="1"/>
  <c r="P564" i="1"/>
  <c r="P565" i="1"/>
  <c r="P566" i="1"/>
  <c r="P568" i="1"/>
  <c r="P569" i="1"/>
  <c r="P572" i="1"/>
  <c r="P573" i="1"/>
  <c r="U566" i="1"/>
  <c r="U567" i="1"/>
  <c r="U568" i="1"/>
  <c r="U569" i="1"/>
  <c r="U570" i="1"/>
  <c r="U571" i="1"/>
  <c r="U557" i="1"/>
  <c r="Y557" i="1"/>
  <c r="U558" i="1"/>
  <c r="U559" i="1"/>
  <c r="U560" i="1"/>
  <c r="U561" i="1"/>
  <c r="U562" i="1"/>
  <c r="U563" i="1"/>
  <c r="U564" i="1"/>
  <c r="U565" i="1"/>
  <c r="U572" i="1"/>
  <c r="Y558" i="1"/>
  <c r="Y559" i="1"/>
  <c r="Y560" i="1"/>
  <c r="Y561" i="1"/>
  <c r="Y562" i="1"/>
  <c r="Y563" i="1"/>
  <c r="Y564" i="1"/>
  <c r="Y565" i="1"/>
  <c r="Y566" i="1"/>
  <c r="Y567" i="1"/>
  <c r="Y568" i="1"/>
  <c r="Y569" i="1"/>
  <c r="Y570" i="1"/>
  <c r="Y572" i="1"/>
  <c r="Y573" i="1"/>
  <c r="AC557" i="1"/>
  <c r="Q557" i="1"/>
  <c r="Q558" i="1"/>
  <c r="Q559" i="1"/>
  <c r="Q560" i="1"/>
  <c r="Q561" i="1"/>
  <c r="Q562" i="1"/>
  <c r="Q563" i="1"/>
  <c r="Q564" i="1"/>
  <c r="Q565" i="1"/>
  <c r="Q566" i="1"/>
  <c r="Q568" i="1"/>
  <c r="Q569" i="1"/>
  <c r="Q572" i="1"/>
  <c r="Q573" i="1"/>
  <c r="V566" i="1"/>
  <c r="V567" i="1"/>
  <c r="V568" i="1"/>
  <c r="V569" i="1"/>
  <c r="V570" i="1"/>
  <c r="V571" i="1"/>
  <c r="V557" i="1"/>
  <c r="Z557" i="1"/>
  <c r="V558" i="1"/>
  <c r="V559" i="1"/>
  <c r="V560" i="1"/>
  <c r="V561" i="1"/>
  <c r="V562" i="1"/>
  <c r="V563" i="1"/>
  <c r="V564" i="1"/>
  <c r="V565" i="1"/>
  <c r="V572" i="1"/>
  <c r="Z558" i="1"/>
  <c r="Z559" i="1"/>
  <c r="Z560" i="1"/>
  <c r="Z561" i="1"/>
  <c r="Z562" i="1"/>
  <c r="Z563" i="1"/>
  <c r="Z564" i="1"/>
  <c r="Z565" i="1"/>
  <c r="Z566" i="1"/>
  <c r="Z567" i="1"/>
  <c r="Z568" i="1"/>
  <c r="Z569" i="1"/>
  <c r="Z570" i="1"/>
  <c r="Z572" i="1"/>
  <c r="Z573" i="1"/>
  <c r="AD557" i="1"/>
  <c r="AE557" i="1"/>
  <c r="AF557" i="1"/>
  <c r="AG557" i="1"/>
  <c r="AH557" i="1"/>
  <c r="AI557" i="1"/>
  <c r="AA558" i="1"/>
  <c r="AB558" i="1"/>
  <c r="AC558" i="1"/>
  <c r="AD558" i="1"/>
  <c r="AE558" i="1"/>
  <c r="AF558" i="1"/>
  <c r="AG558" i="1"/>
  <c r="AH558" i="1"/>
  <c r="AI558" i="1"/>
  <c r="AA559" i="1"/>
  <c r="AB559" i="1"/>
  <c r="AC559" i="1"/>
  <c r="AD559" i="1"/>
  <c r="AE559" i="1"/>
  <c r="AF559" i="1"/>
  <c r="AG559" i="1"/>
  <c r="AH559" i="1"/>
  <c r="AI559" i="1"/>
  <c r="AA560" i="1"/>
  <c r="AB560" i="1"/>
  <c r="AC560" i="1"/>
  <c r="AD560" i="1"/>
  <c r="AE560" i="1"/>
  <c r="AF560" i="1"/>
  <c r="AG560" i="1"/>
  <c r="AH560" i="1"/>
  <c r="AI560" i="1"/>
  <c r="AA561" i="1"/>
  <c r="AB561" i="1"/>
  <c r="AC561" i="1"/>
  <c r="AD561" i="1"/>
  <c r="AE561" i="1"/>
  <c r="AF561" i="1"/>
  <c r="AG561" i="1"/>
  <c r="AH561" i="1"/>
  <c r="AI561" i="1"/>
  <c r="AA562" i="1"/>
  <c r="AB562" i="1"/>
  <c r="AC562" i="1"/>
  <c r="AD562" i="1"/>
  <c r="AE562" i="1"/>
  <c r="AF562" i="1"/>
  <c r="AG562" i="1"/>
  <c r="AH562" i="1"/>
  <c r="AI562" i="1"/>
  <c r="AA563" i="1"/>
  <c r="AB563" i="1"/>
  <c r="AC563" i="1"/>
  <c r="AD563" i="1"/>
  <c r="AE563" i="1"/>
  <c r="AF563" i="1"/>
  <c r="AG563" i="1"/>
  <c r="AH563" i="1"/>
  <c r="AI563" i="1"/>
  <c r="AA564" i="1"/>
  <c r="AB564" i="1"/>
  <c r="AC564" i="1"/>
  <c r="AD564" i="1"/>
  <c r="AE564" i="1"/>
  <c r="AF564" i="1"/>
  <c r="AG564" i="1"/>
  <c r="AH564" i="1"/>
  <c r="AI564" i="1"/>
  <c r="AA565" i="1"/>
  <c r="AB565" i="1"/>
  <c r="AC565" i="1"/>
  <c r="AD565" i="1"/>
  <c r="AE565" i="1"/>
  <c r="AF565" i="1"/>
  <c r="AG565" i="1"/>
  <c r="AH565" i="1"/>
  <c r="AI565" i="1"/>
  <c r="AA566" i="1"/>
  <c r="AB566" i="1"/>
  <c r="AC566" i="1"/>
  <c r="AD566" i="1"/>
  <c r="AE566" i="1"/>
  <c r="AF566" i="1"/>
  <c r="AG566" i="1"/>
  <c r="AH566" i="1"/>
  <c r="AI566" i="1"/>
  <c r="AA567" i="1"/>
  <c r="AB567" i="1"/>
  <c r="AC567" i="1"/>
  <c r="AD567" i="1"/>
  <c r="AE567" i="1"/>
  <c r="AF567" i="1"/>
  <c r="AG567" i="1"/>
  <c r="AH567" i="1"/>
  <c r="AI567" i="1"/>
  <c r="AA568" i="1"/>
  <c r="AB568" i="1"/>
  <c r="AC568" i="1"/>
  <c r="AD568" i="1"/>
  <c r="AE568" i="1"/>
  <c r="AF568" i="1"/>
  <c r="AG568" i="1"/>
  <c r="AH568" i="1"/>
  <c r="AI568" i="1"/>
  <c r="AA569" i="1"/>
  <c r="AB569" i="1"/>
  <c r="AC569" i="1"/>
  <c r="AD569" i="1"/>
  <c r="AE569" i="1"/>
  <c r="AF569" i="1"/>
  <c r="AG569" i="1"/>
  <c r="AH569" i="1"/>
  <c r="AI569" i="1"/>
  <c r="AA17" i="1"/>
  <c r="AB17" i="1"/>
  <c r="AC17" i="1"/>
  <c r="AD17" i="1"/>
  <c r="AE17" i="1"/>
  <c r="AA48" i="1"/>
  <c r="AB48" i="1"/>
  <c r="AC48" i="1"/>
  <c r="AD48" i="1"/>
  <c r="AE48" i="1"/>
  <c r="AA66" i="1"/>
  <c r="AB66" i="1"/>
  <c r="AC66" i="1"/>
  <c r="AD66" i="1"/>
  <c r="AE66" i="1"/>
  <c r="AA81" i="1"/>
  <c r="AB81" i="1"/>
  <c r="AC81" i="1"/>
  <c r="AD81" i="1"/>
  <c r="AE81" i="1"/>
  <c r="AA95" i="1"/>
  <c r="AB95" i="1"/>
  <c r="AC95" i="1"/>
  <c r="AD95" i="1"/>
  <c r="AE95" i="1"/>
  <c r="AA104" i="1"/>
  <c r="AB104" i="1"/>
  <c r="AC104" i="1"/>
  <c r="AD104" i="1"/>
  <c r="AE104" i="1"/>
  <c r="AA115" i="1"/>
  <c r="AB115" i="1"/>
  <c r="AC115" i="1"/>
  <c r="AD115" i="1"/>
  <c r="AE115" i="1"/>
  <c r="AA354" i="1"/>
  <c r="AB354" i="1"/>
  <c r="AC354" i="1"/>
  <c r="AD354" i="1"/>
  <c r="AE354" i="1"/>
  <c r="AA378" i="1"/>
  <c r="AB378" i="1"/>
  <c r="AC378" i="1"/>
  <c r="AD378" i="1"/>
  <c r="AE378" i="1"/>
  <c r="AA398" i="1"/>
  <c r="AB398" i="1"/>
  <c r="AC398" i="1"/>
  <c r="AD398" i="1"/>
  <c r="AE398" i="1"/>
  <c r="AA460" i="1"/>
  <c r="AB460" i="1"/>
  <c r="AC460" i="1"/>
  <c r="AD460" i="1"/>
  <c r="AE460" i="1"/>
  <c r="AA495" i="1"/>
  <c r="AB495" i="1"/>
  <c r="AC495" i="1"/>
  <c r="AD495" i="1"/>
  <c r="AE495" i="1"/>
  <c r="AA508" i="1"/>
  <c r="AB508" i="1"/>
  <c r="AC508" i="1"/>
  <c r="AD508" i="1"/>
  <c r="AE508" i="1"/>
  <c r="AA552" i="1"/>
  <c r="AB552" i="1"/>
  <c r="AC552" i="1"/>
  <c r="AD552" i="1"/>
  <c r="AE552" i="1"/>
  <c r="AA570" i="1"/>
  <c r="AB570" i="1"/>
  <c r="AC570" i="1"/>
  <c r="AD570" i="1"/>
  <c r="AE570" i="1"/>
  <c r="AE574" i="1"/>
  <c r="AF574" i="1"/>
  <c r="AG574" i="1"/>
  <c r="AH574" i="1"/>
  <c r="AI574" i="1"/>
  <c r="AI577" i="1"/>
  <c r="AJ6" i="1"/>
  <c r="AK6" i="1"/>
  <c r="AL6" i="1"/>
  <c r="AJ7" i="1"/>
  <c r="AK7" i="1"/>
  <c r="AL7" i="1"/>
  <c r="AJ8" i="1"/>
  <c r="AK8" i="1"/>
  <c r="AL8" i="1"/>
  <c r="AJ9" i="1"/>
  <c r="AK9" i="1"/>
  <c r="AL9" i="1"/>
  <c r="AJ10" i="1"/>
  <c r="AK10" i="1"/>
  <c r="AL10" i="1"/>
  <c r="AJ11" i="1"/>
  <c r="AK11" i="1"/>
  <c r="AL11" i="1"/>
  <c r="AJ12" i="1"/>
  <c r="AK12" i="1"/>
  <c r="AL12" i="1"/>
  <c r="AJ13" i="1"/>
  <c r="AK13" i="1"/>
  <c r="AL13" i="1"/>
  <c r="AJ14" i="1"/>
  <c r="AK14" i="1"/>
  <c r="AL14" i="1"/>
  <c r="AJ15" i="1"/>
  <c r="AK15" i="1"/>
  <c r="AL15" i="1"/>
  <c r="AJ16" i="1"/>
  <c r="AK16" i="1"/>
  <c r="AL16" i="1"/>
  <c r="AJ22" i="1"/>
  <c r="AK22" i="1"/>
  <c r="AL22" i="1"/>
  <c r="AJ23" i="1"/>
  <c r="AK23" i="1"/>
  <c r="AL23" i="1"/>
  <c r="AJ24" i="1"/>
  <c r="AK24" i="1"/>
  <c r="AL24" i="1"/>
  <c r="AJ26" i="1"/>
  <c r="AK26" i="1"/>
  <c r="AL26" i="1"/>
  <c r="AJ27" i="1"/>
  <c r="AK27" i="1"/>
  <c r="AL27" i="1"/>
  <c r="AJ28" i="1"/>
  <c r="AK28" i="1"/>
  <c r="AL28" i="1"/>
  <c r="AJ29" i="1"/>
  <c r="AK29" i="1"/>
  <c r="AL29" i="1"/>
  <c r="AJ30" i="1"/>
  <c r="AK30" i="1"/>
  <c r="AL30" i="1"/>
  <c r="AJ31" i="1"/>
  <c r="AK31" i="1"/>
  <c r="AL31" i="1"/>
  <c r="AJ32" i="1"/>
  <c r="AK32" i="1"/>
  <c r="AL32" i="1"/>
  <c r="AJ33" i="1"/>
  <c r="AK33" i="1"/>
  <c r="AL33" i="1"/>
  <c r="AJ34" i="1"/>
  <c r="AK34" i="1"/>
  <c r="AL34" i="1"/>
  <c r="AJ35" i="1"/>
  <c r="AK35" i="1"/>
  <c r="AL35" i="1"/>
  <c r="AJ36" i="1"/>
  <c r="AK36" i="1"/>
  <c r="AL36" i="1"/>
  <c r="AJ37" i="1"/>
  <c r="AK37" i="1"/>
  <c r="AL37" i="1"/>
  <c r="AJ38" i="1"/>
  <c r="AK38" i="1"/>
  <c r="AL38" i="1"/>
  <c r="AJ39" i="1"/>
  <c r="AK39" i="1"/>
  <c r="AL39" i="1"/>
  <c r="AJ40" i="1"/>
  <c r="AK40" i="1"/>
  <c r="AL40" i="1"/>
  <c r="AJ41" i="1"/>
  <c r="AK41" i="1"/>
  <c r="AL41" i="1"/>
  <c r="AJ42" i="1"/>
  <c r="AK42" i="1"/>
  <c r="AL42" i="1"/>
  <c r="AJ44" i="1"/>
  <c r="AK44" i="1"/>
  <c r="AL44" i="1"/>
  <c r="AJ45" i="1"/>
  <c r="AK45" i="1"/>
  <c r="AL45" i="1"/>
  <c r="AJ46" i="1"/>
  <c r="AK46" i="1"/>
  <c r="AL46" i="1"/>
  <c r="AJ47" i="1"/>
  <c r="AK47" i="1"/>
  <c r="AL47" i="1"/>
  <c r="AJ53" i="1"/>
  <c r="AK53" i="1"/>
  <c r="AL53" i="1"/>
  <c r="AJ54" i="1"/>
  <c r="AK54" i="1"/>
  <c r="AL54" i="1"/>
  <c r="AJ55" i="1"/>
  <c r="AK55" i="1"/>
  <c r="AL55" i="1"/>
  <c r="AJ56" i="1"/>
  <c r="AK56" i="1"/>
  <c r="AL56" i="1"/>
  <c r="AJ57" i="1"/>
  <c r="AK57" i="1"/>
  <c r="AL57" i="1"/>
  <c r="AJ58" i="1"/>
  <c r="AK58" i="1"/>
  <c r="AL58" i="1"/>
  <c r="AJ59" i="1"/>
  <c r="AK59" i="1"/>
  <c r="AL59" i="1"/>
  <c r="AJ60" i="1"/>
  <c r="AK60" i="1"/>
  <c r="AL60" i="1"/>
  <c r="AJ62" i="1"/>
  <c r="AK62" i="1"/>
  <c r="AL62" i="1"/>
  <c r="AJ63" i="1"/>
  <c r="AK63" i="1"/>
  <c r="AL63" i="1"/>
  <c r="AJ64" i="1"/>
  <c r="AK64" i="1"/>
  <c r="AL64" i="1"/>
  <c r="AJ65" i="1"/>
  <c r="AK65" i="1"/>
  <c r="AL65" i="1"/>
  <c r="AJ71" i="1"/>
  <c r="AK71" i="1"/>
  <c r="AL71" i="1"/>
  <c r="AJ72" i="1"/>
  <c r="AK72" i="1"/>
  <c r="AL72" i="1"/>
  <c r="AJ73" i="1"/>
  <c r="AK73" i="1"/>
  <c r="AL73" i="1"/>
  <c r="AJ74" i="1"/>
  <c r="AK74" i="1"/>
  <c r="AL74" i="1"/>
  <c r="AJ75" i="1"/>
  <c r="AK75" i="1"/>
  <c r="AL75" i="1"/>
  <c r="AJ76" i="1"/>
  <c r="AK76" i="1"/>
  <c r="AL76" i="1"/>
  <c r="AJ77" i="1"/>
  <c r="AK77" i="1"/>
  <c r="AL77" i="1"/>
  <c r="AJ78" i="1"/>
  <c r="AK78" i="1"/>
  <c r="AL78" i="1"/>
  <c r="AJ80" i="1"/>
  <c r="AK80" i="1"/>
  <c r="AL80" i="1"/>
  <c r="AJ86" i="1"/>
  <c r="AK86" i="1"/>
  <c r="AL86" i="1"/>
  <c r="AJ88" i="1"/>
  <c r="AK88" i="1"/>
  <c r="AL88" i="1"/>
  <c r="AJ89" i="1"/>
  <c r="AK89" i="1"/>
  <c r="AL89" i="1"/>
  <c r="AJ90" i="1"/>
  <c r="AK90" i="1"/>
  <c r="AL90" i="1"/>
  <c r="AJ91" i="1"/>
  <c r="AK91" i="1"/>
  <c r="AL91" i="1"/>
  <c r="AJ92" i="1"/>
  <c r="AK92" i="1"/>
  <c r="AL92" i="1"/>
  <c r="AJ93" i="1"/>
  <c r="AK93" i="1"/>
  <c r="AL93" i="1"/>
  <c r="AJ94" i="1"/>
  <c r="AK94" i="1"/>
  <c r="AL94" i="1"/>
  <c r="AJ100" i="1"/>
  <c r="AK100" i="1"/>
  <c r="AL100" i="1"/>
  <c r="AJ102" i="1"/>
  <c r="AK102" i="1"/>
  <c r="AL102" i="1"/>
  <c r="AJ103" i="1"/>
  <c r="AK103" i="1"/>
  <c r="AL103" i="1"/>
  <c r="AJ109" i="1"/>
  <c r="AK109" i="1"/>
  <c r="AL109" i="1"/>
  <c r="AJ110" i="1"/>
  <c r="AK110" i="1"/>
  <c r="AL110" i="1"/>
  <c r="AJ111" i="1"/>
  <c r="AK111" i="1"/>
  <c r="AL111" i="1"/>
  <c r="AJ112" i="1"/>
  <c r="AK112" i="1"/>
  <c r="AL112" i="1"/>
  <c r="AJ113" i="1"/>
  <c r="AK113" i="1"/>
  <c r="AL113" i="1"/>
  <c r="AJ114" i="1"/>
  <c r="AK114" i="1"/>
  <c r="AL114" i="1"/>
  <c r="AJ120" i="1"/>
  <c r="AK120" i="1"/>
  <c r="AL120" i="1"/>
  <c r="AJ121" i="1"/>
  <c r="AK121" i="1"/>
  <c r="AL121" i="1"/>
  <c r="AJ122" i="1"/>
  <c r="AK122" i="1"/>
  <c r="AL122" i="1"/>
  <c r="AJ123" i="1"/>
  <c r="AK123" i="1"/>
  <c r="AL123" i="1"/>
  <c r="AJ124" i="1"/>
  <c r="AK124" i="1"/>
  <c r="AL124" i="1"/>
  <c r="AJ125" i="1"/>
  <c r="AK125" i="1"/>
  <c r="AL125" i="1"/>
  <c r="AJ126" i="1"/>
  <c r="AK126" i="1"/>
  <c r="AL126" i="1"/>
  <c r="AJ127" i="1"/>
  <c r="AK127" i="1"/>
  <c r="AL127" i="1"/>
  <c r="AJ128" i="1"/>
  <c r="AK128" i="1"/>
  <c r="AL128" i="1"/>
  <c r="AJ129" i="1"/>
  <c r="AK129" i="1"/>
  <c r="AL129" i="1"/>
  <c r="AJ130" i="1"/>
  <c r="AK130" i="1"/>
  <c r="AL130" i="1"/>
  <c r="AJ131" i="1"/>
  <c r="AK131" i="1"/>
  <c r="AL131" i="1"/>
  <c r="AJ132" i="1"/>
  <c r="AK132" i="1"/>
  <c r="AL132" i="1"/>
  <c r="AJ133" i="1"/>
  <c r="AK133" i="1"/>
  <c r="AL133" i="1"/>
  <c r="AJ134" i="1"/>
  <c r="AK134" i="1"/>
  <c r="AL134" i="1"/>
  <c r="AJ135" i="1"/>
  <c r="AK135" i="1"/>
  <c r="AL135" i="1"/>
  <c r="AJ136" i="1"/>
  <c r="AK136" i="1"/>
  <c r="AL136" i="1"/>
  <c r="AJ137" i="1"/>
  <c r="AK137" i="1"/>
  <c r="AL137" i="1"/>
  <c r="AJ138" i="1"/>
  <c r="AK138" i="1"/>
  <c r="AL138" i="1"/>
  <c r="AJ139" i="1"/>
  <c r="AK139" i="1"/>
  <c r="AL139" i="1"/>
  <c r="AJ140" i="1"/>
  <c r="AK140" i="1"/>
  <c r="AL140" i="1"/>
  <c r="AJ141" i="1"/>
  <c r="AK141" i="1"/>
  <c r="AL141" i="1"/>
  <c r="AJ142" i="1"/>
  <c r="AK142" i="1"/>
  <c r="AL142" i="1"/>
  <c r="AJ143" i="1"/>
  <c r="AK143" i="1"/>
  <c r="AL143" i="1"/>
  <c r="AJ144" i="1"/>
  <c r="AK144" i="1"/>
  <c r="AL144" i="1"/>
  <c r="AJ145" i="1"/>
  <c r="AK145" i="1"/>
  <c r="AL145" i="1"/>
  <c r="AJ146" i="1"/>
  <c r="AK146" i="1"/>
  <c r="AL146" i="1"/>
  <c r="AJ147" i="1"/>
  <c r="AK147" i="1"/>
  <c r="AL147" i="1"/>
  <c r="AJ148" i="1"/>
  <c r="AK148" i="1"/>
  <c r="AL148" i="1"/>
  <c r="AJ149" i="1"/>
  <c r="AK149" i="1"/>
  <c r="AL149" i="1"/>
  <c r="AJ150" i="1"/>
  <c r="AK150" i="1"/>
  <c r="AL150" i="1"/>
  <c r="AJ151" i="1"/>
  <c r="AK151" i="1"/>
  <c r="AL151" i="1"/>
  <c r="AJ152" i="1"/>
  <c r="AK152" i="1"/>
  <c r="AL152" i="1"/>
  <c r="AJ153" i="1"/>
  <c r="AK153" i="1"/>
  <c r="AL153" i="1"/>
  <c r="AJ154" i="1"/>
  <c r="AK154" i="1"/>
  <c r="AL154" i="1"/>
  <c r="AJ155" i="1"/>
  <c r="AK155" i="1"/>
  <c r="AL155" i="1"/>
  <c r="AJ156" i="1"/>
  <c r="AK156" i="1"/>
  <c r="AL156" i="1"/>
  <c r="AJ157" i="1"/>
  <c r="AK157" i="1"/>
  <c r="AL157" i="1"/>
  <c r="AJ158" i="1"/>
  <c r="AK158" i="1"/>
  <c r="AL158" i="1"/>
  <c r="AJ159" i="1"/>
  <c r="AK159" i="1"/>
  <c r="AL159" i="1"/>
  <c r="AJ160" i="1"/>
  <c r="AK160" i="1"/>
  <c r="AL160" i="1"/>
  <c r="AJ161" i="1"/>
  <c r="AK161" i="1"/>
  <c r="AL161" i="1"/>
  <c r="AJ162" i="1"/>
  <c r="AK162" i="1"/>
  <c r="AL162" i="1"/>
  <c r="AJ163" i="1"/>
  <c r="AK163" i="1"/>
  <c r="AL163" i="1"/>
  <c r="AJ164" i="1"/>
  <c r="AK164" i="1"/>
  <c r="AL164" i="1"/>
  <c r="AJ165" i="1"/>
  <c r="AK165" i="1"/>
  <c r="AL165" i="1"/>
  <c r="AJ166" i="1"/>
  <c r="AK166" i="1"/>
  <c r="AL166" i="1"/>
  <c r="AJ167" i="1"/>
  <c r="AK167" i="1"/>
  <c r="AL167" i="1"/>
  <c r="AJ168" i="1"/>
  <c r="AK168" i="1"/>
  <c r="AL168" i="1"/>
  <c r="AJ169" i="1"/>
  <c r="AK169" i="1"/>
  <c r="AL169" i="1"/>
  <c r="AJ170" i="1"/>
  <c r="AK170" i="1"/>
  <c r="AL170" i="1"/>
  <c r="AJ171" i="1"/>
  <c r="AK171" i="1"/>
  <c r="AL171" i="1"/>
  <c r="AJ172" i="1"/>
  <c r="AK172" i="1"/>
  <c r="AL172" i="1"/>
  <c r="AJ173" i="1"/>
  <c r="AK173" i="1"/>
  <c r="AL173" i="1"/>
  <c r="AJ174" i="1"/>
  <c r="AK174" i="1"/>
  <c r="AL174" i="1"/>
  <c r="AJ176" i="1"/>
  <c r="AK176" i="1"/>
  <c r="AL176" i="1"/>
  <c r="AJ177" i="1"/>
  <c r="AK177" i="1"/>
  <c r="AL177" i="1"/>
  <c r="AJ178" i="1"/>
  <c r="AK178" i="1"/>
  <c r="AL178" i="1"/>
  <c r="AJ179" i="1"/>
  <c r="AK179" i="1"/>
  <c r="AL179" i="1"/>
  <c r="AJ180" i="1"/>
  <c r="AK180" i="1"/>
  <c r="AL180" i="1"/>
  <c r="AJ181" i="1"/>
  <c r="AK181" i="1"/>
  <c r="AL181" i="1"/>
  <c r="AJ182" i="1"/>
  <c r="AK182" i="1"/>
  <c r="AL182" i="1"/>
  <c r="AJ183" i="1"/>
  <c r="AK183" i="1"/>
  <c r="AL183" i="1"/>
  <c r="AJ184" i="1"/>
  <c r="AK184" i="1"/>
  <c r="AL184" i="1"/>
  <c r="AJ185" i="1"/>
  <c r="AK185" i="1"/>
  <c r="AL185" i="1"/>
  <c r="AJ186" i="1"/>
  <c r="AK186" i="1"/>
  <c r="AL186" i="1"/>
  <c r="AJ187" i="1"/>
  <c r="AK187" i="1"/>
  <c r="AL187" i="1"/>
  <c r="AJ188" i="1"/>
  <c r="AK188" i="1"/>
  <c r="AL188" i="1"/>
  <c r="AJ189" i="1"/>
  <c r="AK189" i="1"/>
  <c r="AL189" i="1"/>
  <c r="AJ190" i="1"/>
  <c r="AK190" i="1"/>
  <c r="AL190" i="1"/>
  <c r="AJ191" i="1"/>
  <c r="AK191" i="1"/>
  <c r="AL191" i="1"/>
  <c r="AJ192" i="1"/>
  <c r="AK192" i="1"/>
  <c r="AL192" i="1"/>
  <c r="AJ193" i="1"/>
  <c r="AK193" i="1"/>
  <c r="AL193" i="1"/>
  <c r="AJ194" i="1"/>
  <c r="AK194" i="1"/>
  <c r="AL194" i="1"/>
  <c r="AJ195" i="1"/>
  <c r="AK195" i="1"/>
  <c r="AL195" i="1"/>
  <c r="AJ196" i="1"/>
  <c r="AK196" i="1"/>
  <c r="AL196" i="1"/>
  <c r="AJ197" i="1"/>
  <c r="AK197" i="1"/>
  <c r="AL197" i="1"/>
  <c r="AJ198" i="1"/>
  <c r="AK198" i="1"/>
  <c r="AL198" i="1"/>
  <c r="AJ199" i="1"/>
  <c r="AK199" i="1"/>
  <c r="AL199" i="1"/>
  <c r="AJ200" i="1"/>
  <c r="AK200" i="1"/>
  <c r="AL200" i="1"/>
  <c r="AJ201" i="1"/>
  <c r="AK201" i="1"/>
  <c r="AL201" i="1"/>
  <c r="AJ202" i="1"/>
  <c r="AK202" i="1"/>
  <c r="AL202" i="1"/>
  <c r="AJ203" i="1"/>
  <c r="AK203" i="1"/>
  <c r="AL203" i="1"/>
  <c r="AJ204" i="1"/>
  <c r="AK204" i="1"/>
  <c r="AL204" i="1"/>
  <c r="AJ205" i="1"/>
  <c r="AK205" i="1"/>
  <c r="AL205" i="1"/>
  <c r="AJ206" i="1"/>
  <c r="AK206" i="1"/>
  <c r="AL206" i="1"/>
  <c r="AJ207" i="1"/>
  <c r="AK207" i="1"/>
  <c r="AL207" i="1"/>
  <c r="AJ208" i="1"/>
  <c r="AK208" i="1"/>
  <c r="AL208" i="1"/>
  <c r="AJ209" i="1"/>
  <c r="AK209" i="1"/>
  <c r="AL209" i="1"/>
  <c r="AJ210" i="1"/>
  <c r="AK210" i="1"/>
  <c r="AL210" i="1"/>
  <c r="AJ211" i="1"/>
  <c r="AK211" i="1"/>
  <c r="AL211" i="1"/>
  <c r="AJ212" i="1"/>
  <c r="AK212" i="1"/>
  <c r="AL212" i="1"/>
  <c r="AJ213" i="1"/>
  <c r="AK213" i="1"/>
  <c r="AL213" i="1"/>
  <c r="AJ214" i="1"/>
  <c r="AK214" i="1"/>
  <c r="AL214" i="1"/>
  <c r="AJ215" i="1"/>
  <c r="AK215" i="1"/>
  <c r="AL215" i="1"/>
  <c r="AJ216" i="1"/>
  <c r="AK216" i="1"/>
  <c r="AL216" i="1"/>
  <c r="AJ217" i="1"/>
  <c r="AK217" i="1"/>
  <c r="AL217" i="1"/>
  <c r="AJ218" i="1"/>
  <c r="AK218" i="1"/>
  <c r="AL218" i="1"/>
  <c r="AJ219" i="1"/>
  <c r="AK219" i="1"/>
  <c r="AL219" i="1"/>
  <c r="AJ220" i="1"/>
  <c r="AK220" i="1"/>
  <c r="AL220" i="1"/>
  <c r="AJ221" i="1"/>
  <c r="AK221" i="1"/>
  <c r="AL221" i="1"/>
  <c r="AJ222" i="1"/>
  <c r="AK222" i="1"/>
  <c r="AL222" i="1"/>
  <c r="AJ223" i="1"/>
  <c r="AK223" i="1"/>
  <c r="AL223" i="1"/>
  <c r="AJ224" i="1"/>
  <c r="AK224" i="1"/>
  <c r="AL224" i="1"/>
  <c r="AJ225" i="1"/>
  <c r="AK225" i="1"/>
  <c r="AL225" i="1"/>
  <c r="AJ226" i="1"/>
  <c r="AK226" i="1"/>
  <c r="AL226" i="1"/>
  <c r="AJ227" i="1"/>
  <c r="AK227" i="1"/>
  <c r="AL227" i="1"/>
  <c r="AJ228" i="1"/>
  <c r="AK228" i="1"/>
  <c r="AL228" i="1"/>
  <c r="AJ229" i="1"/>
  <c r="AK229" i="1"/>
  <c r="AL229" i="1"/>
  <c r="AJ230" i="1"/>
  <c r="AK230" i="1"/>
  <c r="AL230" i="1"/>
  <c r="AJ231" i="1"/>
  <c r="AK231" i="1"/>
  <c r="AL231" i="1"/>
  <c r="AJ232" i="1"/>
  <c r="AK232" i="1"/>
  <c r="AL232" i="1"/>
  <c r="AJ233" i="1"/>
  <c r="AK233" i="1"/>
  <c r="AL233" i="1"/>
  <c r="AJ234" i="1"/>
  <c r="AK234" i="1"/>
  <c r="AL234" i="1"/>
  <c r="AJ235" i="1"/>
  <c r="AK235" i="1"/>
  <c r="AL235" i="1"/>
  <c r="AJ236" i="1"/>
  <c r="AK236" i="1"/>
  <c r="AL236" i="1"/>
  <c r="AJ237" i="1"/>
  <c r="AK237" i="1"/>
  <c r="AL237" i="1"/>
  <c r="AJ238" i="1"/>
  <c r="AK238" i="1"/>
  <c r="AL238" i="1"/>
  <c r="AJ239" i="1"/>
  <c r="AK239" i="1"/>
  <c r="AL239" i="1"/>
  <c r="AJ240" i="1"/>
  <c r="AK240" i="1"/>
  <c r="AL240" i="1"/>
  <c r="AJ241" i="1"/>
  <c r="AK241" i="1"/>
  <c r="AL241" i="1"/>
  <c r="AJ242" i="1"/>
  <c r="AK242" i="1"/>
  <c r="AL242" i="1"/>
  <c r="AJ243" i="1"/>
  <c r="AK243" i="1"/>
  <c r="AL243" i="1"/>
  <c r="AJ244" i="1"/>
  <c r="AK244" i="1"/>
  <c r="AL244" i="1"/>
  <c r="AJ245" i="1"/>
  <c r="AK245" i="1"/>
  <c r="AL245" i="1"/>
  <c r="AJ246" i="1"/>
  <c r="AK246" i="1"/>
  <c r="AL246" i="1"/>
  <c r="AJ247" i="1"/>
  <c r="AK247" i="1"/>
  <c r="AL247" i="1"/>
  <c r="AJ248" i="1"/>
  <c r="AK248" i="1"/>
  <c r="AL248" i="1"/>
  <c r="AJ249" i="1"/>
  <c r="AK249" i="1"/>
  <c r="AL249" i="1"/>
  <c r="AJ250" i="1"/>
  <c r="AK250" i="1"/>
  <c r="AL250" i="1"/>
  <c r="AJ251" i="1"/>
  <c r="AK251" i="1"/>
  <c r="AL251" i="1"/>
  <c r="AJ252" i="1"/>
  <c r="AK252" i="1"/>
  <c r="AL252" i="1"/>
  <c r="AJ253" i="1"/>
  <c r="AK253" i="1"/>
  <c r="AL253" i="1"/>
  <c r="AJ254" i="1"/>
  <c r="AK254" i="1"/>
  <c r="AL254" i="1"/>
  <c r="AJ255" i="1"/>
  <c r="AK255" i="1"/>
  <c r="AL255" i="1"/>
  <c r="AJ256" i="1"/>
  <c r="AK256" i="1"/>
  <c r="AL256" i="1"/>
  <c r="AJ257" i="1"/>
  <c r="AK257" i="1"/>
  <c r="AL257" i="1"/>
  <c r="AJ258" i="1"/>
  <c r="AK258" i="1"/>
  <c r="AL258" i="1"/>
  <c r="AJ259" i="1"/>
  <c r="AK259" i="1"/>
  <c r="AL259" i="1"/>
  <c r="AJ260" i="1"/>
  <c r="AK260" i="1"/>
  <c r="AL260" i="1"/>
  <c r="AJ261" i="1"/>
  <c r="AK261" i="1"/>
  <c r="AL261" i="1"/>
  <c r="AJ262" i="1"/>
  <c r="AK262" i="1"/>
  <c r="AL262" i="1"/>
  <c r="AJ263" i="1"/>
  <c r="AK263" i="1"/>
  <c r="AL263" i="1"/>
  <c r="AJ264" i="1"/>
  <c r="AK264" i="1"/>
  <c r="AL264" i="1"/>
  <c r="AJ265" i="1"/>
  <c r="AK265" i="1"/>
  <c r="AL265" i="1"/>
  <c r="AJ266" i="1"/>
  <c r="AK266" i="1"/>
  <c r="AL266" i="1"/>
  <c r="AJ267" i="1"/>
  <c r="AK267" i="1"/>
  <c r="AL267" i="1"/>
  <c r="AJ268" i="1"/>
  <c r="AK268" i="1"/>
  <c r="AL268" i="1"/>
  <c r="AJ269" i="1"/>
  <c r="AK269" i="1"/>
  <c r="AL269" i="1"/>
  <c r="AJ270" i="1"/>
  <c r="AK270" i="1"/>
  <c r="AL270" i="1"/>
  <c r="AJ271" i="1"/>
  <c r="AK271" i="1"/>
  <c r="AL271" i="1"/>
  <c r="AJ272" i="1"/>
  <c r="AK272" i="1"/>
  <c r="AL272" i="1"/>
  <c r="AJ273" i="1"/>
  <c r="AK273" i="1"/>
  <c r="AL273" i="1"/>
  <c r="AJ274" i="1"/>
  <c r="AK274" i="1"/>
  <c r="AL274" i="1"/>
  <c r="AJ275" i="1"/>
  <c r="AK275" i="1"/>
  <c r="AL275" i="1"/>
  <c r="AJ276" i="1"/>
  <c r="AK276" i="1"/>
  <c r="AL276" i="1"/>
  <c r="AJ277" i="1"/>
  <c r="AK277" i="1"/>
  <c r="AL277" i="1"/>
  <c r="AJ278" i="1"/>
  <c r="AK278" i="1"/>
  <c r="AL278" i="1"/>
  <c r="AJ279" i="1"/>
  <c r="AK279" i="1"/>
  <c r="AL279" i="1"/>
  <c r="AJ280" i="1"/>
  <c r="AK280" i="1"/>
  <c r="AL280" i="1"/>
  <c r="AJ281" i="1"/>
  <c r="AK281" i="1"/>
  <c r="AL281" i="1"/>
  <c r="AJ282" i="1"/>
  <c r="AK282" i="1"/>
  <c r="AL282" i="1"/>
  <c r="AJ283" i="1"/>
  <c r="AK283" i="1"/>
  <c r="AL283" i="1"/>
  <c r="AJ284" i="1"/>
  <c r="AK284" i="1"/>
  <c r="AL284" i="1"/>
  <c r="AJ285" i="1"/>
  <c r="AK285" i="1"/>
  <c r="AL285" i="1"/>
  <c r="AJ286" i="1"/>
  <c r="AK286" i="1"/>
  <c r="AL286" i="1"/>
  <c r="AJ287" i="1"/>
  <c r="AK287" i="1"/>
  <c r="AL287" i="1"/>
  <c r="AJ288" i="1"/>
  <c r="AK288" i="1"/>
  <c r="AL288" i="1"/>
  <c r="AJ289" i="1"/>
  <c r="AK289" i="1"/>
  <c r="AL289" i="1"/>
  <c r="AJ290" i="1"/>
  <c r="AK290" i="1"/>
  <c r="AL290" i="1"/>
  <c r="AJ291" i="1"/>
  <c r="AK291" i="1"/>
  <c r="AL291" i="1"/>
  <c r="AJ292" i="1"/>
  <c r="AK292" i="1"/>
  <c r="AL292" i="1"/>
  <c r="AJ293" i="1"/>
  <c r="AK293" i="1"/>
  <c r="AL293" i="1"/>
  <c r="AJ294" i="1"/>
  <c r="AK294" i="1"/>
  <c r="AL294" i="1"/>
  <c r="AJ295" i="1"/>
  <c r="AK295" i="1"/>
  <c r="AL295" i="1"/>
  <c r="AJ296" i="1"/>
  <c r="AK296" i="1"/>
  <c r="AL296" i="1"/>
  <c r="AJ297" i="1"/>
  <c r="AK297" i="1"/>
  <c r="AL297" i="1"/>
  <c r="AJ298" i="1"/>
  <c r="AK298" i="1"/>
  <c r="AL298" i="1"/>
  <c r="AJ299" i="1"/>
  <c r="AK299" i="1"/>
  <c r="AL299" i="1"/>
  <c r="AJ300" i="1"/>
  <c r="AK300" i="1"/>
  <c r="AL300" i="1"/>
  <c r="AJ301" i="1"/>
  <c r="AK301" i="1"/>
  <c r="AL301" i="1"/>
  <c r="AJ302" i="1"/>
  <c r="AK302" i="1"/>
  <c r="AL302" i="1"/>
  <c r="AJ303" i="1"/>
  <c r="AK303" i="1"/>
  <c r="AL303" i="1"/>
  <c r="AJ304" i="1"/>
  <c r="AK304" i="1"/>
  <c r="AL304" i="1"/>
  <c r="AJ305" i="1"/>
  <c r="AK305" i="1"/>
  <c r="AL305" i="1"/>
  <c r="AJ306" i="1"/>
  <c r="AK306" i="1"/>
  <c r="AL306" i="1"/>
  <c r="AJ307" i="1"/>
  <c r="AK307" i="1"/>
  <c r="AL307" i="1"/>
  <c r="AJ308" i="1"/>
  <c r="AK308" i="1"/>
  <c r="AL308" i="1"/>
  <c r="AJ309" i="1"/>
  <c r="AK309" i="1"/>
  <c r="AL309" i="1"/>
  <c r="AJ310" i="1"/>
  <c r="AK310" i="1"/>
  <c r="AL310" i="1"/>
  <c r="AJ311" i="1"/>
  <c r="AK311" i="1"/>
  <c r="AL311" i="1"/>
  <c r="AJ312" i="1"/>
  <c r="AK312" i="1"/>
  <c r="AL312" i="1"/>
  <c r="AJ313" i="1"/>
  <c r="AK313" i="1"/>
  <c r="AL313" i="1"/>
  <c r="AJ314" i="1"/>
  <c r="AK314" i="1"/>
  <c r="AL314" i="1"/>
  <c r="AJ315" i="1"/>
  <c r="AK315" i="1"/>
  <c r="AL315" i="1"/>
  <c r="AJ316" i="1"/>
  <c r="AK316" i="1"/>
  <c r="AL316" i="1"/>
  <c r="AJ317" i="1"/>
  <c r="AK317" i="1"/>
  <c r="AL317" i="1"/>
  <c r="AJ318" i="1"/>
  <c r="AK318" i="1"/>
  <c r="AL318" i="1"/>
  <c r="AJ319" i="1"/>
  <c r="AK319" i="1"/>
  <c r="AL319" i="1"/>
  <c r="AJ320" i="1"/>
  <c r="AK320" i="1"/>
  <c r="AL320" i="1"/>
  <c r="AJ321" i="1"/>
  <c r="AK321" i="1"/>
  <c r="AL321" i="1"/>
  <c r="AJ322" i="1"/>
  <c r="AK322" i="1"/>
  <c r="AL322" i="1"/>
  <c r="AJ323" i="1"/>
  <c r="AK323" i="1"/>
  <c r="AL323" i="1"/>
  <c r="AJ324" i="1"/>
  <c r="AK324" i="1"/>
  <c r="AL324" i="1"/>
  <c r="AJ325" i="1"/>
  <c r="AK325" i="1"/>
  <c r="AL325" i="1"/>
  <c r="AJ326" i="1"/>
  <c r="AK326" i="1"/>
  <c r="AL326" i="1"/>
  <c r="AJ327" i="1"/>
  <c r="AK327" i="1"/>
  <c r="AL327" i="1"/>
  <c r="AJ328" i="1"/>
  <c r="AK328" i="1"/>
  <c r="AL328" i="1"/>
  <c r="AJ329" i="1"/>
  <c r="AK329" i="1"/>
  <c r="AL329" i="1"/>
  <c r="AJ330" i="1"/>
  <c r="AK330" i="1"/>
  <c r="AL330" i="1"/>
  <c r="AJ331" i="1"/>
  <c r="AK331" i="1"/>
  <c r="AL331" i="1"/>
  <c r="AJ332" i="1"/>
  <c r="AK332" i="1"/>
  <c r="AL332" i="1"/>
  <c r="AJ333" i="1"/>
  <c r="AK333" i="1"/>
  <c r="AL333" i="1"/>
  <c r="AJ334" i="1"/>
  <c r="AK334" i="1"/>
  <c r="AL334" i="1"/>
  <c r="AJ335" i="1"/>
  <c r="AK335" i="1"/>
  <c r="AL335" i="1"/>
  <c r="AJ336" i="1"/>
  <c r="AK336" i="1"/>
  <c r="AL336" i="1"/>
  <c r="AJ337" i="1"/>
  <c r="AK337" i="1"/>
  <c r="AL337" i="1"/>
  <c r="AJ338" i="1"/>
  <c r="AK338" i="1"/>
  <c r="AL338" i="1"/>
  <c r="AJ339" i="1"/>
  <c r="AK339" i="1"/>
  <c r="AL339" i="1"/>
  <c r="AJ340" i="1"/>
  <c r="AK340" i="1"/>
  <c r="AL340" i="1"/>
  <c r="AJ341" i="1"/>
  <c r="AK341" i="1"/>
  <c r="AL341" i="1"/>
  <c r="AJ342" i="1"/>
  <c r="AK342" i="1"/>
  <c r="AL342" i="1"/>
  <c r="AJ343" i="1"/>
  <c r="AK343" i="1"/>
  <c r="AL343" i="1"/>
  <c r="AJ344" i="1"/>
  <c r="AK344" i="1"/>
  <c r="AL344" i="1"/>
  <c r="AJ345" i="1"/>
  <c r="AK345" i="1"/>
  <c r="AL345" i="1"/>
  <c r="AJ346" i="1"/>
  <c r="AK346" i="1"/>
  <c r="AL346" i="1"/>
  <c r="AJ347" i="1"/>
  <c r="AK347" i="1"/>
  <c r="AL347" i="1"/>
  <c r="AJ348" i="1"/>
  <c r="AK348" i="1"/>
  <c r="AL348" i="1"/>
  <c r="AJ349" i="1"/>
  <c r="AK349" i="1"/>
  <c r="AL349" i="1"/>
  <c r="AJ350" i="1"/>
  <c r="AK350" i="1"/>
  <c r="AL350" i="1"/>
  <c r="AJ351" i="1"/>
  <c r="AK351" i="1"/>
  <c r="AL351" i="1"/>
  <c r="AJ352" i="1"/>
  <c r="AK352" i="1"/>
  <c r="AL352" i="1"/>
  <c r="AJ353" i="1"/>
  <c r="AK353" i="1"/>
  <c r="AL353" i="1"/>
  <c r="AJ359" i="1"/>
  <c r="AK359" i="1"/>
  <c r="AL359" i="1"/>
  <c r="AJ360" i="1"/>
  <c r="AK360" i="1"/>
  <c r="AL360" i="1"/>
  <c r="AJ361" i="1"/>
  <c r="AK361" i="1"/>
  <c r="AL361" i="1"/>
  <c r="AJ362" i="1"/>
  <c r="AK362" i="1"/>
  <c r="AL362" i="1"/>
  <c r="AJ363" i="1"/>
  <c r="AK363" i="1"/>
  <c r="AL363" i="1"/>
  <c r="AJ364" i="1"/>
  <c r="AK364" i="1"/>
  <c r="AL364" i="1"/>
  <c r="AJ365" i="1"/>
  <c r="AK365" i="1"/>
  <c r="AL365" i="1"/>
  <c r="AJ366" i="1"/>
  <c r="AK366" i="1"/>
  <c r="AL366" i="1"/>
  <c r="AJ367" i="1"/>
  <c r="AK367" i="1"/>
  <c r="AL367" i="1"/>
  <c r="AJ368" i="1"/>
  <c r="AK368" i="1"/>
  <c r="AL368" i="1"/>
  <c r="AJ369" i="1"/>
  <c r="AK369" i="1"/>
  <c r="AL369" i="1"/>
  <c r="AJ370" i="1"/>
  <c r="AK370" i="1"/>
  <c r="AL370" i="1"/>
  <c r="AJ371" i="1"/>
  <c r="AK371" i="1"/>
  <c r="AL371" i="1"/>
  <c r="AJ372" i="1"/>
  <c r="AK372" i="1"/>
  <c r="AL372" i="1"/>
  <c r="AJ373" i="1"/>
  <c r="AK373" i="1"/>
  <c r="AL373" i="1"/>
  <c r="AJ374" i="1"/>
  <c r="AK374" i="1"/>
  <c r="AL374" i="1"/>
  <c r="AJ375" i="1"/>
  <c r="AK375" i="1"/>
  <c r="AL375" i="1"/>
  <c r="AJ376" i="1"/>
  <c r="AK376" i="1"/>
  <c r="AL376" i="1"/>
  <c r="AJ377" i="1"/>
  <c r="AK377" i="1"/>
  <c r="AL377" i="1"/>
  <c r="AJ383" i="1"/>
  <c r="AK383" i="1"/>
  <c r="AL383" i="1"/>
  <c r="AJ384" i="1"/>
  <c r="AK384" i="1"/>
  <c r="AL384" i="1"/>
  <c r="AJ385" i="1"/>
  <c r="AK385" i="1"/>
  <c r="AL385" i="1"/>
  <c r="AJ386" i="1"/>
  <c r="AK386" i="1"/>
  <c r="AL386" i="1"/>
  <c r="AJ387" i="1"/>
  <c r="AK387" i="1"/>
  <c r="AL387" i="1"/>
  <c r="AJ388" i="1"/>
  <c r="AK388" i="1"/>
  <c r="AL388" i="1"/>
  <c r="AJ389" i="1"/>
  <c r="AK389" i="1"/>
  <c r="AL389" i="1"/>
  <c r="AJ390" i="1"/>
  <c r="AK390" i="1"/>
  <c r="AL390" i="1"/>
  <c r="AJ391" i="1"/>
  <c r="AK391" i="1"/>
  <c r="AL391" i="1"/>
  <c r="AJ392" i="1"/>
  <c r="AK392" i="1"/>
  <c r="AL392" i="1"/>
  <c r="AJ393" i="1"/>
  <c r="AK393" i="1"/>
  <c r="AL393" i="1"/>
  <c r="AJ395" i="1"/>
  <c r="AK395" i="1"/>
  <c r="AL395" i="1"/>
  <c r="AJ396" i="1"/>
  <c r="AK396" i="1"/>
  <c r="AL396" i="1"/>
  <c r="AJ397" i="1"/>
  <c r="AK397" i="1"/>
  <c r="AL397" i="1"/>
  <c r="AJ403" i="1"/>
  <c r="AK403" i="1"/>
  <c r="AL403" i="1"/>
  <c r="AJ404" i="1"/>
  <c r="AK404" i="1"/>
  <c r="AL404" i="1"/>
  <c r="AJ405" i="1"/>
  <c r="AK405" i="1"/>
  <c r="AL405" i="1"/>
  <c r="AJ406" i="1"/>
  <c r="AK406" i="1"/>
  <c r="AL406" i="1"/>
  <c r="AJ407" i="1"/>
  <c r="AK407" i="1"/>
  <c r="AL407" i="1"/>
  <c r="AJ408" i="1"/>
  <c r="AK408" i="1"/>
  <c r="AL408" i="1"/>
  <c r="AJ409" i="1"/>
  <c r="AK409" i="1"/>
  <c r="AL409" i="1"/>
  <c r="AJ410" i="1"/>
  <c r="AK410" i="1"/>
  <c r="AL410" i="1"/>
  <c r="AJ411" i="1"/>
  <c r="AK411" i="1"/>
  <c r="AL411" i="1"/>
  <c r="AJ412" i="1"/>
  <c r="AK412" i="1"/>
  <c r="AL412" i="1"/>
  <c r="AJ413" i="1"/>
  <c r="AK413" i="1"/>
  <c r="AL413" i="1"/>
  <c r="AJ414" i="1"/>
  <c r="AK414" i="1"/>
  <c r="AL414" i="1"/>
  <c r="AJ415" i="1"/>
  <c r="AK415" i="1"/>
  <c r="AL415" i="1"/>
  <c r="AJ416" i="1"/>
  <c r="AK416" i="1"/>
  <c r="AL416" i="1"/>
  <c r="AJ417" i="1"/>
  <c r="AK417" i="1"/>
  <c r="AL417" i="1"/>
  <c r="AJ418" i="1"/>
  <c r="AK418" i="1"/>
  <c r="AL418" i="1"/>
  <c r="AJ420" i="1"/>
  <c r="AK420" i="1"/>
  <c r="AL420" i="1"/>
  <c r="AJ421" i="1"/>
  <c r="AK421" i="1"/>
  <c r="AL421" i="1"/>
  <c r="AJ422" i="1"/>
  <c r="AK422" i="1"/>
  <c r="AL422" i="1"/>
  <c r="AJ423" i="1"/>
  <c r="AK423" i="1"/>
  <c r="AL423" i="1"/>
  <c r="AJ424" i="1"/>
  <c r="AK424" i="1"/>
  <c r="AL424" i="1"/>
  <c r="AJ425" i="1"/>
  <c r="AK425" i="1"/>
  <c r="AL425" i="1"/>
  <c r="AJ426" i="1"/>
  <c r="AK426" i="1"/>
  <c r="AL426" i="1"/>
  <c r="AJ427" i="1"/>
  <c r="AK427" i="1"/>
  <c r="AL427" i="1"/>
  <c r="AJ428" i="1"/>
  <c r="AK428" i="1"/>
  <c r="AL428" i="1"/>
  <c r="AJ429" i="1"/>
  <c r="AK429" i="1"/>
  <c r="AL429" i="1"/>
  <c r="AJ430" i="1"/>
  <c r="AK430" i="1"/>
  <c r="AL430" i="1"/>
  <c r="AJ431" i="1"/>
  <c r="AK431" i="1"/>
  <c r="AL431" i="1"/>
  <c r="AJ432" i="1"/>
  <c r="AK432" i="1"/>
  <c r="AL432" i="1"/>
  <c r="AJ433" i="1"/>
  <c r="AK433" i="1"/>
  <c r="AL433" i="1"/>
  <c r="AJ434" i="1"/>
  <c r="AK434" i="1"/>
  <c r="AL434" i="1"/>
  <c r="AJ435" i="1"/>
  <c r="AK435" i="1"/>
  <c r="AL435" i="1"/>
  <c r="AJ436" i="1"/>
  <c r="AK436" i="1"/>
  <c r="AL436" i="1"/>
  <c r="AJ437" i="1"/>
  <c r="AK437" i="1"/>
  <c r="AL437" i="1"/>
  <c r="AJ438" i="1"/>
  <c r="AK438" i="1"/>
  <c r="AL438" i="1"/>
  <c r="AJ439" i="1"/>
  <c r="AK439" i="1"/>
  <c r="AL439" i="1"/>
  <c r="AJ440" i="1"/>
  <c r="AK440" i="1"/>
  <c r="AL440" i="1"/>
  <c r="AJ441" i="1"/>
  <c r="AK441" i="1"/>
  <c r="AL441" i="1"/>
  <c r="AJ442" i="1"/>
  <c r="AK442" i="1"/>
  <c r="AL442" i="1"/>
  <c r="AJ443" i="1"/>
  <c r="AK443" i="1"/>
  <c r="AL443" i="1"/>
  <c r="AJ445" i="1"/>
  <c r="AK445" i="1"/>
  <c r="AL445" i="1"/>
  <c r="AJ446" i="1"/>
  <c r="AK446" i="1"/>
  <c r="AL446" i="1"/>
  <c r="AJ447" i="1"/>
  <c r="AK447" i="1"/>
  <c r="AL447" i="1"/>
  <c r="AJ448" i="1"/>
  <c r="AK448" i="1"/>
  <c r="AL448" i="1"/>
  <c r="AJ449" i="1"/>
  <c r="AK449" i="1"/>
  <c r="AL449" i="1"/>
  <c r="AJ450" i="1"/>
  <c r="AK450" i="1"/>
  <c r="AL450" i="1"/>
  <c r="AJ451" i="1"/>
  <c r="AK451" i="1"/>
  <c r="AL451" i="1"/>
  <c r="AJ452" i="1"/>
  <c r="AK452" i="1"/>
  <c r="AL452" i="1"/>
  <c r="AJ453" i="1"/>
  <c r="AK453" i="1"/>
  <c r="AL453" i="1"/>
  <c r="AJ454" i="1"/>
  <c r="AK454" i="1"/>
  <c r="AL454" i="1"/>
  <c r="AJ455" i="1"/>
  <c r="AK455" i="1"/>
  <c r="AL455" i="1"/>
  <c r="AJ456" i="1"/>
  <c r="AK456" i="1"/>
  <c r="AL456" i="1"/>
  <c r="AJ457" i="1"/>
  <c r="AK457" i="1"/>
  <c r="AL457" i="1"/>
  <c r="AJ458" i="1"/>
  <c r="AK458" i="1"/>
  <c r="AL458" i="1"/>
  <c r="AJ459" i="1"/>
  <c r="AK459" i="1"/>
  <c r="AL459" i="1"/>
  <c r="AJ465" i="1"/>
  <c r="AK465" i="1"/>
  <c r="AL465" i="1"/>
  <c r="AJ466" i="1"/>
  <c r="AK466" i="1"/>
  <c r="AL466" i="1"/>
  <c r="AJ467" i="1"/>
  <c r="AK467" i="1"/>
  <c r="AL467" i="1"/>
  <c r="AJ468" i="1"/>
  <c r="AK468" i="1"/>
  <c r="AL468" i="1"/>
  <c r="AJ469" i="1"/>
  <c r="AK469" i="1"/>
  <c r="AL469" i="1"/>
  <c r="AJ470" i="1"/>
  <c r="AK470" i="1"/>
  <c r="AL470" i="1"/>
  <c r="AJ471" i="1"/>
  <c r="AK471" i="1"/>
  <c r="AL471" i="1"/>
  <c r="AJ472" i="1"/>
  <c r="AK472" i="1"/>
  <c r="AL472" i="1"/>
  <c r="AJ473" i="1"/>
  <c r="AK473" i="1"/>
  <c r="AL473" i="1"/>
  <c r="AJ474" i="1"/>
  <c r="AK474" i="1"/>
  <c r="AL474" i="1"/>
  <c r="AJ475" i="1"/>
  <c r="AK475" i="1"/>
  <c r="AL475" i="1"/>
  <c r="AJ476" i="1"/>
  <c r="AK476" i="1"/>
  <c r="AL476" i="1"/>
  <c r="AJ477" i="1"/>
  <c r="AK477" i="1"/>
  <c r="AL477" i="1"/>
  <c r="AJ478" i="1"/>
  <c r="AK478" i="1"/>
  <c r="AL478" i="1"/>
  <c r="AJ479" i="1"/>
  <c r="AK479" i="1"/>
  <c r="AL479" i="1"/>
  <c r="AJ480" i="1"/>
  <c r="AK480" i="1"/>
  <c r="AL480" i="1"/>
  <c r="AJ481" i="1"/>
  <c r="AK481" i="1"/>
  <c r="AL481" i="1"/>
  <c r="AJ482" i="1"/>
  <c r="AK482" i="1"/>
  <c r="AL482" i="1"/>
  <c r="AJ483" i="1"/>
  <c r="AK483" i="1"/>
  <c r="AL483" i="1"/>
  <c r="AJ484" i="1"/>
  <c r="AK484" i="1"/>
  <c r="AL484" i="1"/>
  <c r="AJ485" i="1"/>
  <c r="AK485" i="1"/>
  <c r="AL485" i="1"/>
  <c r="AJ486" i="1"/>
  <c r="AK486" i="1"/>
  <c r="AL486" i="1"/>
  <c r="AJ487" i="1"/>
  <c r="AK487" i="1"/>
  <c r="AL487" i="1"/>
  <c r="AJ488" i="1"/>
  <c r="AK488" i="1"/>
  <c r="AL488" i="1"/>
  <c r="AJ489" i="1"/>
  <c r="AK489" i="1"/>
  <c r="AL489" i="1"/>
  <c r="AJ490" i="1"/>
  <c r="AK490" i="1"/>
  <c r="AL490" i="1"/>
  <c r="AJ491" i="1"/>
  <c r="AK491" i="1"/>
  <c r="AL491" i="1"/>
  <c r="AJ492" i="1"/>
  <c r="AK492" i="1"/>
  <c r="AL492" i="1"/>
  <c r="AJ493" i="1"/>
  <c r="AK493" i="1"/>
  <c r="AL493" i="1"/>
  <c r="AJ494" i="1"/>
  <c r="AK494" i="1"/>
  <c r="AL494" i="1"/>
  <c r="AJ500" i="1"/>
  <c r="AK500" i="1"/>
  <c r="AL500" i="1"/>
  <c r="AJ501" i="1"/>
  <c r="AK501" i="1"/>
  <c r="AL501" i="1"/>
  <c r="AJ502" i="1"/>
  <c r="AK502" i="1"/>
  <c r="AL502" i="1"/>
  <c r="AJ503" i="1"/>
  <c r="AK503" i="1"/>
  <c r="AL503" i="1"/>
  <c r="AJ504" i="1"/>
  <c r="AK504" i="1"/>
  <c r="AL504" i="1"/>
  <c r="AJ505" i="1"/>
  <c r="AK505" i="1"/>
  <c r="AL505" i="1"/>
  <c r="AJ507" i="1"/>
  <c r="AK507" i="1"/>
  <c r="AL507" i="1"/>
  <c r="AJ513" i="1"/>
  <c r="AK513" i="1"/>
  <c r="AL513" i="1"/>
  <c r="AJ517" i="1"/>
  <c r="AK517" i="1"/>
  <c r="AL517" i="1"/>
  <c r="AJ518" i="1"/>
  <c r="AK518" i="1"/>
  <c r="AL518" i="1"/>
  <c r="AJ519" i="1"/>
  <c r="AK519" i="1"/>
  <c r="AL519" i="1"/>
  <c r="AJ520" i="1"/>
  <c r="AK520" i="1"/>
  <c r="AL520" i="1"/>
  <c r="AJ521" i="1"/>
  <c r="AK521" i="1"/>
  <c r="AL521" i="1"/>
  <c r="AJ522" i="1"/>
  <c r="AK522" i="1"/>
  <c r="AL522" i="1"/>
  <c r="AJ523" i="1"/>
  <c r="AK523" i="1"/>
  <c r="AL523" i="1"/>
  <c r="AJ524" i="1"/>
  <c r="AK524" i="1"/>
  <c r="AL524" i="1"/>
  <c r="AJ525" i="1"/>
  <c r="AK525" i="1"/>
  <c r="AL525" i="1"/>
  <c r="AJ526" i="1"/>
  <c r="AK526" i="1"/>
  <c r="AL526" i="1"/>
  <c r="AJ527" i="1"/>
  <c r="AK527" i="1"/>
  <c r="AL527" i="1"/>
  <c r="AJ528" i="1"/>
  <c r="AK528" i="1"/>
  <c r="AL528" i="1"/>
  <c r="AJ529" i="1"/>
  <c r="AK529" i="1"/>
  <c r="AL529" i="1"/>
  <c r="AJ530" i="1"/>
  <c r="AK530" i="1"/>
  <c r="AL530" i="1"/>
  <c r="AJ531" i="1"/>
  <c r="AK531" i="1"/>
  <c r="AL531" i="1"/>
  <c r="AJ532" i="1"/>
  <c r="AK532" i="1"/>
  <c r="AL532" i="1"/>
  <c r="AJ533" i="1"/>
  <c r="AK533" i="1"/>
  <c r="AL533" i="1"/>
  <c r="AJ534" i="1"/>
  <c r="AK534" i="1"/>
  <c r="AL534" i="1"/>
  <c r="AJ535" i="1"/>
  <c r="AK535" i="1"/>
  <c r="AL535" i="1"/>
  <c r="AJ536" i="1"/>
  <c r="AK536" i="1"/>
  <c r="AL536" i="1"/>
  <c r="AJ537" i="1"/>
  <c r="AK537" i="1"/>
  <c r="AL537" i="1"/>
  <c r="AJ538" i="1"/>
  <c r="AK538" i="1"/>
  <c r="AL538" i="1"/>
  <c r="AJ539" i="1"/>
  <c r="AK539" i="1"/>
  <c r="AL539" i="1"/>
  <c r="AJ540" i="1"/>
  <c r="AK540" i="1"/>
  <c r="AL540" i="1"/>
  <c r="AJ541" i="1"/>
  <c r="AK541" i="1"/>
  <c r="AL541" i="1"/>
  <c r="AJ542" i="1"/>
  <c r="AK542" i="1"/>
  <c r="AL542" i="1"/>
  <c r="AJ543" i="1"/>
  <c r="AK543" i="1"/>
  <c r="AL543" i="1"/>
  <c r="AJ544" i="1"/>
  <c r="AK544" i="1"/>
  <c r="AL544" i="1"/>
  <c r="AJ545" i="1"/>
  <c r="AK545" i="1"/>
  <c r="AL545" i="1"/>
  <c r="AJ546" i="1"/>
  <c r="AK546" i="1"/>
  <c r="AL546" i="1"/>
  <c r="AJ547" i="1"/>
  <c r="AK547" i="1"/>
  <c r="AL547" i="1"/>
  <c r="AJ548" i="1"/>
  <c r="AK548" i="1"/>
  <c r="AL548" i="1"/>
  <c r="AJ549" i="1"/>
  <c r="AK549" i="1"/>
  <c r="AL549" i="1"/>
  <c r="AJ550" i="1"/>
  <c r="AK550" i="1"/>
  <c r="AL550" i="1"/>
  <c r="AJ551" i="1"/>
  <c r="AK551" i="1"/>
  <c r="AL551" i="1"/>
  <c r="AJ557" i="1"/>
  <c r="AK557" i="1"/>
  <c r="AL557" i="1"/>
  <c r="AJ558" i="1"/>
  <c r="AK558" i="1"/>
  <c r="AL558" i="1"/>
  <c r="AJ559" i="1"/>
  <c r="AK559" i="1"/>
  <c r="AL559" i="1"/>
  <c r="AJ560" i="1"/>
  <c r="AK560" i="1"/>
  <c r="AL560" i="1"/>
  <c r="AJ561" i="1"/>
  <c r="AK561" i="1"/>
  <c r="AL561" i="1"/>
  <c r="AJ562" i="1"/>
  <c r="AK562" i="1"/>
  <c r="AL562" i="1"/>
  <c r="AJ563" i="1"/>
  <c r="AK563" i="1"/>
  <c r="AL563" i="1"/>
  <c r="AJ564" i="1"/>
  <c r="AK564" i="1"/>
  <c r="AL564" i="1"/>
  <c r="AJ565" i="1"/>
  <c r="AK565" i="1"/>
  <c r="AL565" i="1"/>
  <c r="AJ566" i="1"/>
  <c r="AK566" i="1"/>
  <c r="AL566" i="1"/>
  <c r="AJ567" i="1"/>
  <c r="AK567" i="1"/>
  <c r="AL567" i="1"/>
  <c r="AJ568" i="1"/>
  <c r="AK568" i="1"/>
  <c r="AL568" i="1"/>
  <c r="AJ569" i="1"/>
  <c r="AK569" i="1"/>
  <c r="AL569" i="1"/>
  <c r="AJ574" i="1"/>
  <c r="AK574" i="1"/>
  <c r="AL574" i="1"/>
  <c r="AL577" i="1"/>
  <c r="AE19" i="1"/>
  <c r="AE50" i="1"/>
  <c r="AE68" i="1"/>
  <c r="AE83" i="1"/>
  <c r="AE97" i="1"/>
  <c r="AE106" i="1"/>
  <c r="AE117" i="1"/>
  <c r="AE356" i="1"/>
  <c r="AE380" i="1"/>
  <c r="AE400" i="1"/>
  <c r="AE462" i="1"/>
  <c r="AE497" i="1"/>
  <c r="AE510" i="1"/>
  <c r="AE554" i="1"/>
  <c r="AE572" i="1"/>
  <c r="AE577" i="1"/>
  <c r="AG577" i="1"/>
  <c r="AF577" i="1"/>
  <c r="AD19" i="1"/>
  <c r="AD50" i="1"/>
  <c r="AD68" i="1"/>
  <c r="AD83" i="1"/>
  <c r="AD97" i="1"/>
  <c r="AD106" i="1"/>
  <c r="AD117" i="1"/>
  <c r="AD356" i="1"/>
  <c r="AD380" i="1"/>
  <c r="AD400" i="1"/>
  <c r="AD462" i="1"/>
  <c r="AD497" i="1"/>
  <c r="AD510" i="1"/>
  <c r="AD554" i="1"/>
  <c r="AD572" i="1"/>
  <c r="AD577" i="1"/>
  <c r="AC19" i="1"/>
  <c r="AC50" i="1"/>
  <c r="AC68" i="1"/>
  <c r="AC83" i="1"/>
  <c r="AC97" i="1"/>
  <c r="AC106" i="1"/>
  <c r="AC117" i="1"/>
  <c r="AC356" i="1"/>
  <c r="AC380" i="1"/>
  <c r="AC400" i="1"/>
  <c r="AC462" i="1"/>
  <c r="AC497" i="1"/>
  <c r="AC510" i="1"/>
  <c r="AC554" i="1"/>
  <c r="AC572" i="1"/>
  <c r="AC577" i="1"/>
  <c r="AB19" i="1"/>
  <c r="AB50" i="1"/>
  <c r="AB68" i="1"/>
  <c r="AB83" i="1"/>
  <c r="AB97" i="1"/>
  <c r="AB106" i="1"/>
  <c r="AB117" i="1"/>
  <c r="AB356" i="1"/>
  <c r="AB380" i="1"/>
  <c r="AB400" i="1"/>
  <c r="AB462" i="1"/>
  <c r="AB497" i="1"/>
  <c r="AB510" i="1"/>
  <c r="AB554" i="1"/>
  <c r="AB572" i="1"/>
  <c r="AB577" i="1"/>
  <c r="AA19" i="1"/>
  <c r="AA50" i="1"/>
  <c r="AA68" i="1"/>
  <c r="AA83" i="1"/>
  <c r="AA97" i="1"/>
  <c r="AA106" i="1"/>
  <c r="AA117" i="1"/>
  <c r="AA356" i="1"/>
  <c r="AA380" i="1"/>
  <c r="AA400" i="1"/>
  <c r="AA462" i="1"/>
  <c r="AA497" i="1"/>
  <c r="AA510" i="1"/>
  <c r="AA554" i="1"/>
  <c r="AA572" i="1"/>
  <c r="AA577" i="1"/>
  <c r="Z577" i="1"/>
  <c r="Y577" i="1"/>
  <c r="X577" i="1"/>
  <c r="W577" i="1"/>
  <c r="V577" i="1"/>
  <c r="U577" i="1"/>
  <c r="T577" i="1"/>
  <c r="S577" i="1"/>
  <c r="R6" i="1"/>
  <c r="R7" i="1"/>
  <c r="R8" i="1"/>
  <c r="R9" i="1"/>
  <c r="R10" i="1"/>
  <c r="R11" i="1"/>
  <c r="R12" i="1"/>
  <c r="R13" i="1"/>
  <c r="R14" i="1"/>
  <c r="R15" i="1"/>
  <c r="R16" i="1"/>
  <c r="R19" i="1"/>
  <c r="R22" i="1"/>
  <c r="R23" i="1"/>
  <c r="R24" i="1"/>
  <c r="R25" i="1"/>
  <c r="R26" i="1"/>
  <c r="R27" i="1"/>
  <c r="R28" i="1"/>
  <c r="R29" i="1"/>
  <c r="R30" i="1"/>
  <c r="R31" i="1"/>
  <c r="R32" i="1"/>
  <c r="R33" i="1"/>
  <c r="R34" i="1"/>
  <c r="R35" i="1"/>
  <c r="R36" i="1"/>
  <c r="R37" i="1"/>
  <c r="R38" i="1"/>
  <c r="R39" i="1"/>
  <c r="R40" i="1"/>
  <c r="R41" i="1"/>
  <c r="R42" i="1"/>
  <c r="R43" i="1"/>
  <c r="R44" i="1"/>
  <c r="R45" i="1"/>
  <c r="R46" i="1"/>
  <c r="R47" i="1"/>
  <c r="R50" i="1"/>
  <c r="R53" i="1"/>
  <c r="R54" i="1"/>
  <c r="R55" i="1"/>
  <c r="R56" i="1"/>
  <c r="R57" i="1"/>
  <c r="R58" i="1"/>
  <c r="R59" i="1"/>
  <c r="R60" i="1"/>
  <c r="R61" i="1"/>
  <c r="R62" i="1"/>
  <c r="R63" i="1"/>
  <c r="R64" i="1"/>
  <c r="R65" i="1"/>
  <c r="R68" i="1"/>
  <c r="R71" i="1"/>
  <c r="R72" i="1"/>
  <c r="R73" i="1"/>
  <c r="R74" i="1"/>
  <c r="R75" i="1"/>
  <c r="R76" i="1"/>
  <c r="R77" i="1"/>
  <c r="R78" i="1"/>
  <c r="R79" i="1"/>
  <c r="R80" i="1"/>
  <c r="R83" i="1"/>
  <c r="R86" i="1"/>
  <c r="R87" i="1"/>
  <c r="R88" i="1"/>
  <c r="R89" i="1"/>
  <c r="R90" i="1"/>
  <c r="R91" i="1"/>
  <c r="R92" i="1"/>
  <c r="R93" i="1"/>
  <c r="R94" i="1"/>
  <c r="R97" i="1"/>
  <c r="R100" i="1"/>
  <c r="R101" i="1"/>
  <c r="R102" i="1"/>
  <c r="R103" i="1"/>
  <c r="R106" i="1"/>
  <c r="R109" i="1"/>
  <c r="R110" i="1"/>
  <c r="R111" i="1"/>
  <c r="R112" i="1"/>
  <c r="R113" i="1"/>
  <c r="R114" i="1"/>
  <c r="R117"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9" i="1"/>
  <c r="R200" i="1"/>
  <c r="R201" i="1"/>
  <c r="R202" i="1"/>
  <c r="R203" i="1"/>
  <c r="R204" i="1"/>
  <c r="R205" i="1"/>
  <c r="R206" i="1"/>
  <c r="R207" i="1"/>
  <c r="R208" i="1"/>
  <c r="R209" i="1"/>
  <c r="R210" i="1"/>
  <c r="R211" i="1"/>
  <c r="R212" i="1"/>
  <c r="R214" i="1"/>
  <c r="R215" i="1"/>
  <c r="R216" i="1"/>
  <c r="R217" i="1"/>
  <c r="R218" i="1"/>
  <c r="R219" i="1"/>
  <c r="R220"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3" i="1"/>
  <c r="R254" i="1"/>
  <c r="R255" i="1"/>
  <c r="R256" i="1"/>
  <c r="R257" i="1"/>
  <c r="R258" i="1"/>
  <c r="R259" i="1"/>
  <c r="R260" i="1"/>
  <c r="R261" i="1"/>
  <c r="R262" i="1"/>
  <c r="R263" i="1"/>
  <c r="R264" i="1"/>
  <c r="R265" i="1"/>
  <c r="R266" i="1"/>
  <c r="R267" i="1"/>
  <c r="R269" i="1"/>
  <c r="R270" i="1"/>
  <c r="R271" i="1"/>
  <c r="R272" i="1"/>
  <c r="R273" i="1"/>
  <c r="R274" i="1"/>
  <c r="R275" i="1"/>
  <c r="R276" i="1"/>
  <c r="R277" i="1"/>
  <c r="R278" i="1"/>
  <c r="R279" i="1"/>
  <c r="R280" i="1"/>
  <c r="R281" i="1"/>
  <c r="R282" i="1"/>
  <c r="R283" i="1"/>
  <c r="R285" i="1"/>
  <c r="R286" i="1"/>
  <c r="R287" i="1"/>
  <c r="R288" i="1"/>
  <c r="R289" i="1"/>
  <c r="R290" i="1"/>
  <c r="R291" i="1"/>
  <c r="R296" i="1"/>
  <c r="R297" i="1"/>
  <c r="R298" i="1"/>
  <c r="R299" i="1"/>
  <c r="R300" i="1"/>
  <c r="R302" i="1"/>
  <c r="R304" i="1"/>
  <c r="R305" i="1"/>
  <c r="R306" i="1"/>
  <c r="R307" i="1"/>
  <c r="R308" i="1"/>
  <c r="R309" i="1"/>
  <c r="R310" i="1"/>
  <c r="R311" i="1"/>
  <c r="R312" i="1"/>
  <c r="R313" i="1"/>
  <c r="R314" i="1"/>
  <c r="R315" i="1"/>
  <c r="R316" i="1"/>
  <c r="R318" i="1"/>
  <c r="R320" i="1"/>
  <c r="R322" i="1"/>
  <c r="R323" i="1"/>
  <c r="R324" i="1"/>
  <c r="R327" i="1"/>
  <c r="R328" i="1"/>
  <c r="R329" i="1"/>
  <c r="R330" i="1"/>
  <c r="R331" i="1"/>
  <c r="R333" i="1"/>
  <c r="R334" i="1"/>
  <c r="R337" i="1"/>
  <c r="R338" i="1"/>
  <c r="R339" i="1"/>
  <c r="R340" i="1"/>
  <c r="R341" i="1"/>
  <c r="R342" i="1"/>
  <c r="R343" i="1"/>
  <c r="R344" i="1"/>
  <c r="R345" i="1"/>
  <c r="R346" i="1"/>
  <c r="R356" i="1"/>
  <c r="R359" i="1"/>
  <c r="R360" i="1"/>
  <c r="R361" i="1"/>
  <c r="R362" i="1"/>
  <c r="R363" i="1"/>
  <c r="R364" i="1"/>
  <c r="R365" i="1"/>
  <c r="R366" i="1"/>
  <c r="R367" i="1"/>
  <c r="R368" i="1"/>
  <c r="R369" i="1"/>
  <c r="R370" i="1"/>
  <c r="R371" i="1"/>
  <c r="R372" i="1"/>
  <c r="R374" i="1"/>
  <c r="R375" i="1"/>
  <c r="R376" i="1"/>
  <c r="R377" i="1"/>
  <c r="R380" i="1"/>
  <c r="R383" i="1"/>
  <c r="R384" i="1"/>
  <c r="R385" i="1"/>
  <c r="R386" i="1"/>
  <c r="R387" i="1"/>
  <c r="R388" i="1"/>
  <c r="R389" i="1"/>
  <c r="R390" i="1"/>
  <c r="R391" i="1"/>
  <c r="R392" i="1"/>
  <c r="R393" i="1"/>
  <c r="R394" i="1"/>
  <c r="R395" i="1"/>
  <c r="R397" i="1"/>
  <c r="R400" i="1"/>
  <c r="R403" i="1"/>
  <c r="R404" i="1"/>
  <c r="R405" i="1"/>
  <c r="R406" i="1"/>
  <c r="R407" i="1"/>
  <c r="R408" i="1"/>
  <c r="R409" i="1"/>
  <c r="R410" i="1"/>
  <c r="R411" i="1"/>
  <c r="R412" i="1"/>
  <c r="R413" i="1"/>
  <c r="R414" i="1"/>
  <c r="R415" i="1"/>
  <c r="R416" i="1"/>
  <c r="R417" i="1"/>
  <c r="R418" i="1"/>
  <c r="R419" i="1"/>
  <c r="R420" i="1"/>
  <c r="R421" i="1"/>
  <c r="R423" i="1"/>
  <c r="R424" i="1"/>
  <c r="R425" i="1"/>
  <c r="R427" i="1"/>
  <c r="R428" i="1"/>
  <c r="R429" i="1"/>
  <c r="R430" i="1"/>
  <c r="R431" i="1"/>
  <c r="R432" i="1"/>
  <c r="R433" i="1"/>
  <c r="R434" i="1"/>
  <c r="R435" i="1"/>
  <c r="R437" i="1"/>
  <c r="R438" i="1"/>
  <c r="R439" i="1"/>
  <c r="R440" i="1"/>
  <c r="R441" i="1"/>
  <c r="R442" i="1"/>
  <c r="R443" i="1"/>
  <c r="R445" i="1"/>
  <c r="R446" i="1"/>
  <c r="R447" i="1"/>
  <c r="R448" i="1"/>
  <c r="R449" i="1"/>
  <c r="R450" i="1"/>
  <c r="R451" i="1"/>
  <c r="R452" i="1"/>
  <c r="R454" i="1"/>
  <c r="R455" i="1"/>
  <c r="R456" i="1"/>
  <c r="R457" i="1"/>
  <c r="R458" i="1"/>
  <c r="R459" i="1"/>
  <c r="R462"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3" i="1"/>
  <c r="R494" i="1"/>
  <c r="R497" i="1"/>
  <c r="R500" i="1"/>
  <c r="R501" i="1"/>
  <c r="R502" i="1"/>
  <c r="R503" i="1"/>
  <c r="R504" i="1"/>
  <c r="R505" i="1"/>
  <c r="R506" i="1"/>
  <c r="R507" i="1"/>
  <c r="R510" i="1"/>
  <c r="R513" i="1"/>
  <c r="R514" i="1"/>
  <c r="R515" i="1"/>
  <c r="R516" i="1"/>
  <c r="R517" i="1"/>
  <c r="R518" i="1"/>
  <c r="R519" i="1"/>
  <c r="R520" i="1"/>
  <c r="R521" i="1"/>
  <c r="R522" i="1"/>
  <c r="R523" i="1"/>
  <c r="R524" i="1"/>
  <c r="R525" i="1"/>
  <c r="R526" i="1"/>
  <c r="R527" i="1"/>
  <c r="R528" i="1"/>
  <c r="R529" i="1"/>
  <c r="R530" i="1"/>
  <c r="R531" i="1"/>
  <c r="R532" i="1"/>
  <c r="R533" i="1"/>
  <c r="R534" i="1"/>
  <c r="R535" i="1"/>
  <c r="R537" i="1"/>
  <c r="R539" i="1"/>
  <c r="R540" i="1"/>
  <c r="R542" i="1"/>
  <c r="R543" i="1"/>
  <c r="R544" i="1"/>
  <c r="R546" i="1"/>
  <c r="R547" i="1"/>
  <c r="R550" i="1"/>
  <c r="R551" i="1"/>
  <c r="R554" i="1"/>
  <c r="R557" i="1"/>
  <c r="R558" i="1"/>
  <c r="R559" i="1"/>
  <c r="R560" i="1"/>
  <c r="R561" i="1"/>
  <c r="R562" i="1"/>
  <c r="R563" i="1"/>
  <c r="R564" i="1"/>
  <c r="R565" i="1"/>
  <c r="R566" i="1"/>
  <c r="R568" i="1"/>
  <c r="R569" i="1"/>
  <c r="R572" i="1"/>
  <c r="R577" i="1"/>
  <c r="Q577" i="1"/>
  <c r="P577" i="1"/>
  <c r="O577" i="1"/>
  <c r="N577" i="1"/>
  <c r="E577" i="1"/>
  <c r="AK19" i="1"/>
  <c r="AK50" i="1"/>
  <c r="AK68" i="1"/>
  <c r="AK83" i="1"/>
  <c r="AK97" i="1"/>
  <c r="AK106" i="1"/>
  <c r="AK117" i="1"/>
  <c r="AK356" i="1"/>
  <c r="AK380" i="1"/>
  <c r="AK400" i="1"/>
  <c r="AK462" i="1"/>
  <c r="AK497" i="1"/>
  <c r="AK510" i="1"/>
  <c r="AK554" i="1"/>
  <c r="AK572" i="1"/>
  <c r="H577" i="1"/>
  <c r="G577" i="1"/>
  <c r="F577" i="1"/>
  <c r="BY43" i="46"/>
  <c r="BZ43" i="46"/>
  <c r="CA43" i="46"/>
  <c r="BY79" i="46"/>
  <c r="BZ79" i="46"/>
  <c r="CA79" i="46"/>
  <c r="BY397" i="46"/>
  <c r="BZ397" i="46"/>
  <c r="CA397" i="46"/>
  <c r="CB397" i="46"/>
  <c r="BY422" i="46"/>
  <c r="BZ422" i="46"/>
  <c r="CA422" i="46"/>
  <c r="CB422" i="46"/>
  <c r="BY509" i="46"/>
  <c r="BZ509" i="46"/>
  <c r="CA509" i="46"/>
  <c r="CB509" i="46"/>
  <c r="BE573" i="46"/>
  <c r="BE517" i="46"/>
  <c r="BE518" i="46"/>
  <c r="BE519" i="46"/>
  <c r="AZ536" i="1"/>
  <c r="BE539" i="46"/>
  <c r="BE541" i="46"/>
  <c r="BE548" i="46"/>
  <c r="BE551" i="46"/>
  <c r="BE552" i="46"/>
  <c r="BE555" i="46"/>
  <c r="BE511" i="46"/>
  <c r="BE498" i="46"/>
  <c r="BE425" i="46"/>
  <c r="BE429" i="46"/>
  <c r="BE439" i="46"/>
  <c r="BE447" i="46"/>
  <c r="BE463" i="46"/>
  <c r="BE399" i="46"/>
  <c r="BE401" i="46"/>
  <c r="BE375" i="46"/>
  <c r="BE381" i="46"/>
  <c r="BE198" i="46"/>
  <c r="BE213" i="46"/>
  <c r="BE221" i="46"/>
  <c r="BE251" i="46"/>
  <c r="BE252" i="46"/>
  <c r="BE268" i="46"/>
  <c r="BE284" i="46"/>
  <c r="BE295" i="46"/>
  <c r="BE301" i="46"/>
  <c r="BE303" i="46"/>
  <c r="BE321" i="46"/>
  <c r="BE323" i="46"/>
  <c r="BE327" i="46"/>
  <c r="BE328" i="46"/>
  <c r="AZ335" i="1"/>
  <c r="BE337" i="46"/>
  <c r="BE338" i="46"/>
  <c r="BE349" i="46"/>
  <c r="BE350" i="46"/>
  <c r="BE351" i="46"/>
  <c r="BE352" i="46"/>
  <c r="BE353" i="46"/>
  <c r="BE354" i="46"/>
  <c r="BE355" i="46"/>
  <c r="BE356" i="46"/>
  <c r="BE115" i="46"/>
  <c r="BE101" i="46"/>
  <c r="BE104" i="46"/>
  <c r="BE87" i="46"/>
  <c r="BE95" i="46"/>
  <c r="BE81" i="46"/>
  <c r="BE66" i="46"/>
  <c r="BE25" i="46"/>
  <c r="BE48" i="46"/>
  <c r="BE17" i="46"/>
  <c r="BE559" i="46"/>
  <c r="BE515" i="46"/>
  <c r="BE502" i="46"/>
  <c r="BE467" i="46"/>
  <c r="BE405" i="46"/>
  <c r="BE385" i="46"/>
  <c r="BE360" i="46"/>
  <c r="BE119" i="46"/>
  <c r="BE108" i="46"/>
  <c r="BE99" i="46"/>
  <c r="BE85" i="46"/>
  <c r="BE70" i="46"/>
  <c r="BE52" i="46"/>
  <c r="BE21" i="46"/>
  <c r="BC2" i="46"/>
  <c r="BQ578" i="46"/>
  <c r="AV19" i="46"/>
  <c r="AV50" i="46"/>
  <c r="AV68" i="46"/>
  <c r="AV83" i="46"/>
  <c r="AV97" i="46"/>
  <c r="AV106" i="46"/>
  <c r="AV117" i="46"/>
  <c r="AV358" i="46"/>
  <c r="AV383" i="46"/>
  <c r="AV403" i="46"/>
  <c r="AV465" i="46"/>
  <c r="AV500" i="46"/>
  <c r="AV513" i="46"/>
  <c r="AV557" i="46"/>
  <c r="AV575" i="46"/>
  <c r="AT117" i="46"/>
  <c r="AT465" i="46"/>
  <c r="AT575" i="46"/>
  <c r="Y46" i="46"/>
  <c r="Y65" i="46"/>
  <c r="Y80" i="46"/>
  <c r="Y93" i="46"/>
  <c r="Y94" i="46"/>
  <c r="Y199" i="46"/>
  <c r="Y200" i="46"/>
  <c r="Y201" i="46"/>
  <c r="Y202" i="46"/>
  <c r="Y203" i="46"/>
  <c r="Y204" i="46"/>
  <c r="Y205" i="46"/>
  <c r="Y207" i="46"/>
  <c r="Y208" i="46"/>
  <c r="Y209" i="46"/>
  <c r="Y210" i="46"/>
  <c r="Y211" i="46"/>
  <c r="Y214" i="46"/>
  <c r="Y215" i="46"/>
  <c r="Y216" i="46"/>
  <c r="Y218" i="46"/>
  <c r="Y219" i="46"/>
  <c r="Y220" i="46"/>
  <c r="Y254" i="46"/>
  <c r="Y255" i="46"/>
  <c r="Y256" i="46"/>
  <c r="Y258" i="46"/>
  <c r="Y259" i="46"/>
  <c r="Y262" i="46"/>
  <c r="Y263" i="46"/>
  <c r="Y264" i="46"/>
  <c r="Y266" i="46"/>
  <c r="Y267" i="46"/>
  <c r="Y269" i="46"/>
  <c r="Y271" i="46"/>
  <c r="Y272" i="46"/>
  <c r="Y273" i="46"/>
  <c r="Y274" i="46"/>
  <c r="Y275" i="46"/>
  <c r="Y276" i="46"/>
  <c r="Y277" i="46"/>
  <c r="Y279" i="46"/>
  <c r="Y280" i="46"/>
  <c r="Y281" i="46"/>
  <c r="Y282" i="46"/>
  <c r="Y283" i="46"/>
  <c r="Y285" i="46"/>
  <c r="Y287" i="46"/>
  <c r="Y288" i="46"/>
  <c r="Y289" i="46"/>
  <c r="Y291" i="46"/>
  <c r="Y326" i="46"/>
  <c r="Y330" i="46"/>
  <c r="Y339" i="46"/>
  <c r="Y340" i="46"/>
  <c r="Y341" i="46"/>
  <c r="Y343" i="46"/>
  <c r="Y345" i="46"/>
  <c r="Y346" i="46"/>
  <c r="Y348" i="46"/>
  <c r="Y374" i="46"/>
  <c r="Y423" i="46"/>
  <c r="Y426" i="46"/>
  <c r="Y428" i="46"/>
  <c r="Y431" i="46"/>
  <c r="Y432" i="46"/>
  <c r="Y435" i="46"/>
  <c r="Y436" i="46"/>
  <c r="Y444" i="46"/>
  <c r="Y445" i="46"/>
  <c r="Y451" i="46"/>
  <c r="Y453" i="46"/>
  <c r="Y486" i="46"/>
  <c r="Y488" i="46"/>
  <c r="Y489" i="46"/>
  <c r="Y491" i="46"/>
  <c r="Y492" i="46"/>
  <c r="Y494" i="46"/>
  <c r="Y496" i="46"/>
  <c r="Y497" i="46"/>
  <c r="Y543" i="46"/>
  <c r="Y545" i="46"/>
  <c r="Y549" i="46"/>
  <c r="Y553" i="46"/>
  <c r="Y571" i="46"/>
  <c r="Y572" i="46"/>
  <c r="BY576" i="46"/>
  <c r="BZ576" i="46"/>
  <c r="CA576" i="46"/>
  <c r="CB576" i="46"/>
  <c r="BY559" i="46"/>
  <c r="BZ559" i="46"/>
  <c r="CA559" i="46"/>
  <c r="CB559" i="46"/>
  <c r="BY558" i="46"/>
  <c r="BZ558" i="46"/>
  <c r="CA558" i="46"/>
  <c r="CB558" i="46"/>
  <c r="BY515" i="46"/>
  <c r="BZ515" i="46"/>
  <c r="CA515" i="46"/>
  <c r="CB515" i="46"/>
  <c r="BY514" i="46"/>
  <c r="BZ514" i="46"/>
  <c r="CA514" i="46"/>
  <c r="CB514" i="46"/>
  <c r="BY502" i="46"/>
  <c r="BZ502" i="46"/>
  <c r="CA502" i="46"/>
  <c r="CB502" i="46"/>
  <c r="BY501" i="46"/>
  <c r="BZ501" i="46"/>
  <c r="CA501" i="46"/>
  <c r="CB501" i="46"/>
  <c r="BY467" i="46"/>
  <c r="BZ467" i="46"/>
  <c r="CA467" i="46"/>
  <c r="CB467" i="46"/>
  <c r="BY466" i="46"/>
  <c r="BZ466" i="46"/>
  <c r="CA466" i="46"/>
  <c r="CB466" i="46"/>
  <c r="BY405" i="46"/>
  <c r="BZ405" i="46"/>
  <c r="CA405" i="46"/>
  <c r="CB405" i="46"/>
  <c r="BY404" i="46"/>
  <c r="BZ404" i="46"/>
  <c r="CA404" i="46"/>
  <c r="CB404" i="46"/>
  <c r="CA385" i="46"/>
  <c r="BY384" i="46"/>
  <c r="BZ384" i="46"/>
  <c r="CA384" i="46"/>
  <c r="CB384" i="46"/>
  <c r="BY360" i="46"/>
  <c r="BZ360" i="46"/>
  <c r="CA360" i="46"/>
  <c r="CB360" i="46"/>
  <c r="BY359" i="46"/>
  <c r="BZ359" i="46"/>
  <c r="CA359" i="46"/>
  <c r="CB359" i="46"/>
  <c r="BY119" i="46"/>
  <c r="BZ119" i="46"/>
  <c r="CA119" i="46"/>
  <c r="BY118" i="46"/>
  <c r="BZ118" i="46"/>
  <c r="CA118" i="46"/>
  <c r="BY108" i="46"/>
  <c r="BZ108" i="46"/>
  <c r="CA108" i="46"/>
  <c r="BZ107" i="46"/>
  <c r="BY99" i="46"/>
  <c r="BZ99" i="46"/>
  <c r="CA99" i="46"/>
  <c r="BY98" i="46"/>
  <c r="BZ98" i="46"/>
  <c r="CA98" i="46"/>
  <c r="BY85" i="46"/>
  <c r="BZ85" i="46"/>
  <c r="CA85" i="46"/>
  <c r="BZ84" i="46"/>
  <c r="BY70" i="46"/>
  <c r="BZ70" i="46"/>
  <c r="CA70" i="46"/>
  <c r="BY69" i="46"/>
  <c r="BZ69" i="46"/>
  <c r="CA69" i="46"/>
  <c r="BY52" i="46"/>
  <c r="BZ52" i="46"/>
  <c r="CA52" i="46"/>
  <c r="BY51" i="46"/>
  <c r="BZ51" i="46"/>
  <c r="CA51" i="46"/>
  <c r="CA21" i="46"/>
  <c r="BY20" i="46"/>
  <c r="BZ20" i="46"/>
  <c r="CA20" i="46"/>
  <c r="BY577" i="46"/>
  <c r="BZ577" i="46"/>
  <c r="CA577" i="46"/>
  <c r="CB577" i="46"/>
  <c r="BC577" i="46"/>
  <c r="BC576" i="46"/>
  <c r="BC574" i="46"/>
  <c r="BC573" i="46"/>
  <c r="BC559" i="46"/>
  <c r="BC558" i="46"/>
  <c r="BC556" i="46"/>
  <c r="BC555" i="46"/>
  <c r="BC515" i="46"/>
  <c r="BC514" i="46"/>
  <c r="BC512" i="46"/>
  <c r="BC511" i="46"/>
  <c r="BC502" i="46"/>
  <c r="BC501" i="46"/>
  <c r="BC499" i="46"/>
  <c r="BC467" i="46"/>
  <c r="BC466" i="46"/>
  <c r="BC464" i="46"/>
  <c r="BC463" i="46"/>
  <c r="BC405" i="46"/>
  <c r="BC404" i="46"/>
  <c r="BC402" i="46"/>
  <c r="BC385" i="46"/>
  <c r="BC384" i="46"/>
  <c r="BC382" i="46"/>
  <c r="BC360" i="46"/>
  <c r="BC359" i="46"/>
  <c r="BC357" i="46"/>
  <c r="BC119" i="46"/>
  <c r="BC118" i="46"/>
  <c r="BC116" i="46"/>
  <c r="BC115" i="46"/>
  <c r="BC108" i="46"/>
  <c r="BC107" i="46"/>
  <c r="BC105" i="46"/>
  <c r="BC104" i="46"/>
  <c r="BC99" i="46"/>
  <c r="BC98" i="46"/>
  <c r="BC96" i="46"/>
  <c r="BC95" i="46"/>
  <c r="BC85" i="46"/>
  <c r="BC84" i="46"/>
  <c r="BC82" i="46"/>
  <c r="BC81" i="46"/>
  <c r="BC70" i="46"/>
  <c r="BC69" i="46"/>
  <c r="BC67" i="46"/>
  <c r="BC52" i="46"/>
  <c r="BC51" i="46"/>
  <c r="BC49" i="46"/>
  <c r="BC48" i="46"/>
  <c r="BC21" i="46"/>
  <c r="BC20" i="46"/>
  <c r="BC18" i="46"/>
  <c r="BC17" i="46"/>
  <c r="O6" i="46"/>
  <c r="O7" i="46"/>
  <c r="O8" i="46"/>
  <c r="O9" i="46"/>
  <c r="O10" i="46"/>
  <c r="O11" i="46"/>
  <c r="O12" i="46"/>
  <c r="O13" i="46"/>
  <c r="O14" i="46"/>
  <c r="O15" i="46"/>
  <c r="O16" i="46"/>
  <c r="O22" i="46"/>
  <c r="O23" i="46"/>
  <c r="O24" i="46"/>
  <c r="O25" i="46"/>
  <c r="O26" i="46"/>
  <c r="O27" i="46"/>
  <c r="O28" i="46"/>
  <c r="O29" i="46"/>
  <c r="O30" i="46"/>
  <c r="O31" i="46"/>
  <c r="O32" i="46"/>
  <c r="O33" i="46"/>
  <c r="O34" i="46"/>
  <c r="O35" i="46"/>
  <c r="O36" i="46"/>
  <c r="O37" i="46"/>
  <c r="O38" i="46"/>
  <c r="O39" i="46"/>
  <c r="O40" i="46"/>
  <c r="O41" i="46"/>
  <c r="O42" i="46"/>
  <c r="O53" i="46"/>
  <c r="O54" i="46"/>
  <c r="O55" i="46"/>
  <c r="O56" i="46"/>
  <c r="O57" i="46"/>
  <c r="O58" i="46"/>
  <c r="O59" i="46"/>
  <c r="O71" i="46"/>
  <c r="O72" i="46"/>
  <c r="O73" i="46"/>
  <c r="O74" i="46"/>
  <c r="O75" i="46"/>
  <c r="O76" i="46"/>
  <c r="O77" i="46"/>
  <c r="O86" i="46"/>
  <c r="O88" i="46"/>
  <c r="O89" i="46"/>
  <c r="O90" i="46"/>
  <c r="O91" i="46"/>
  <c r="O92" i="46"/>
  <c r="O100" i="46"/>
  <c r="O102" i="46"/>
  <c r="O109" i="46"/>
  <c r="O110" i="46"/>
  <c r="O111" i="46"/>
  <c r="O112" i="46"/>
  <c r="O113" i="46"/>
  <c r="O114" i="46"/>
  <c r="O120" i="46"/>
  <c r="O121" i="46"/>
  <c r="O122" i="46"/>
  <c r="O123" i="46"/>
  <c r="O124" i="46"/>
  <c r="O125" i="46"/>
  <c r="O126" i="46"/>
  <c r="O127" i="46"/>
  <c r="O128" i="46"/>
  <c r="O129" i="46"/>
  <c r="O130" i="46"/>
  <c r="O131" i="46"/>
  <c r="O132" i="46"/>
  <c r="O133" i="46"/>
  <c r="O134" i="46"/>
  <c r="O135" i="46"/>
  <c r="O136" i="46"/>
  <c r="O137" i="46"/>
  <c r="O138" i="46"/>
  <c r="O139" i="46"/>
  <c r="O140" i="46"/>
  <c r="O141" i="46"/>
  <c r="O142" i="46"/>
  <c r="O143" i="46"/>
  <c r="O144" i="46"/>
  <c r="O145" i="46"/>
  <c r="O146" i="46"/>
  <c r="O147" i="46"/>
  <c r="O148" i="46"/>
  <c r="O149" i="46"/>
  <c r="O150" i="46"/>
  <c r="O151" i="46"/>
  <c r="O152" i="46"/>
  <c r="O153" i="46"/>
  <c r="O154" i="46"/>
  <c r="O155" i="46"/>
  <c r="O156" i="46"/>
  <c r="O157" i="46"/>
  <c r="O158" i="46"/>
  <c r="O159" i="46"/>
  <c r="O160" i="46"/>
  <c r="O161" i="46"/>
  <c r="O162" i="46"/>
  <c r="O163" i="46"/>
  <c r="O164" i="46"/>
  <c r="O165" i="46"/>
  <c r="O166" i="46"/>
  <c r="O167" i="46"/>
  <c r="O168" i="46"/>
  <c r="O169" i="46"/>
  <c r="O170" i="46"/>
  <c r="O171" i="46"/>
  <c r="O172" i="46"/>
  <c r="O173" i="46"/>
  <c r="O174" i="46"/>
  <c r="O361" i="46"/>
  <c r="O362" i="46"/>
  <c r="O363" i="46"/>
  <c r="O364" i="46"/>
  <c r="O365" i="46"/>
  <c r="O366" i="46"/>
  <c r="O367" i="46"/>
  <c r="O368" i="46"/>
  <c r="O369" i="46"/>
  <c r="O370" i="46"/>
  <c r="O371" i="46"/>
  <c r="O372" i="46"/>
  <c r="O373" i="46"/>
  <c r="O386" i="46"/>
  <c r="O387" i="46"/>
  <c r="O388" i="46"/>
  <c r="O389" i="46"/>
  <c r="O390" i="46"/>
  <c r="O391" i="46"/>
  <c r="O392" i="46"/>
  <c r="O393" i="46"/>
  <c r="O394" i="46"/>
  <c r="O395" i="46"/>
  <c r="O396" i="46"/>
  <c r="O406" i="46"/>
  <c r="O407" i="46"/>
  <c r="O408" i="46"/>
  <c r="O409" i="46"/>
  <c r="O410" i="46"/>
  <c r="O411" i="46"/>
  <c r="O412" i="46"/>
  <c r="O413" i="46"/>
  <c r="O414" i="46"/>
  <c r="O415" i="46"/>
  <c r="O416" i="46"/>
  <c r="O417" i="46"/>
  <c r="O418" i="46"/>
  <c r="O419" i="46"/>
  <c r="O468" i="46"/>
  <c r="O469" i="46"/>
  <c r="O470" i="46"/>
  <c r="O471" i="46"/>
  <c r="O472" i="46"/>
  <c r="O473" i="46"/>
  <c r="O474" i="46"/>
  <c r="O475" i="46"/>
  <c r="O476" i="46"/>
  <c r="O477" i="46"/>
  <c r="O478" i="46"/>
  <c r="O479" i="46"/>
  <c r="O480" i="46"/>
  <c r="O481" i="46"/>
  <c r="O482" i="46"/>
  <c r="O483" i="46"/>
  <c r="O484" i="46"/>
  <c r="O485" i="46"/>
  <c r="O503" i="46"/>
  <c r="O504" i="46"/>
  <c r="O505" i="46"/>
  <c r="O506" i="46"/>
  <c r="O507" i="46"/>
  <c r="O508" i="46"/>
  <c r="O516" i="46"/>
  <c r="O517" i="46"/>
  <c r="O519" i="46"/>
  <c r="O520" i="46"/>
  <c r="O521" i="46"/>
  <c r="O522" i="46"/>
  <c r="O523" i="46"/>
  <c r="O524" i="46"/>
  <c r="O525" i="46"/>
  <c r="O526" i="46"/>
  <c r="O527" i="46"/>
  <c r="O528" i="46"/>
  <c r="O529" i="46"/>
  <c r="O530" i="46"/>
  <c r="O531" i="46"/>
  <c r="O532" i="46"/>
  <c r="O533" i="46"/>
  <c r="O534" i="46"/>
  <c r="O535" i="46"/>
  <c r="O536" i="46"/>
  <c r="O560" i="46"/>
  <c r="O561" i="46"/>
  <c r="O562" i="46"/>
  <c r="O563" i="46"/>
  <c r="O564" i="46"/>
  <c r="O565" i="46"/>
  <c r="O566" i="46"/>
  <c r="O567" i="46"/>
  <c r="O568" i="46"/>
  <c r="N582" i="46"/>
  <c r="BQ577" i="46"/>
  <c r="BQ576" i="46"/>
  <c r="BQ575" i="46"/>
  <c r="BQ574" i="46"/>
  <c r="BQ573" i="46"/>
  <c r="BQ559" i="46"/>
  <c r="BQ558" i="46"/>
  <c r="BQ557" i="46"/>
  <c r="BQ556" i="46"/>
  <c r="BQ555" i="46"/>
  <c r="BQ515" i="46"/>
  <c r="BQ514" i="46"/>
  <c r="BQ513" i="46"/>
  <c r="BQ512" i="46"/>
  <c r="BQ511" i="46"/>
  <c r="BQ509" i="46"/>
  <c r="BQ502" i="46"/>
  <c r="BQ501" i="46"/>
  <c r="BQ500" i="46"/>
  <c r="BQ499" i="46"/>
  <c r="BQ498" i="46"/>
  <c r="BQ467" i="46"/>
  <c r="BQ466" i="46"/>
  <c r="BQ465" i="46"/>
  <c r="BQ464" i="46"/>
  <c r="BQ463" i="46"/>
  <c r="BQ422" i="46"/>
  <c r="BQ405" i="46"/>
  <c r="BQ404" i="46"/>
  <c r="BQ403" i="46"/>
  <c r="BQ402" i="46"/>
  <c r="BQ401" i="46"/>
  <c r="BQ397" i="46"/>
  <c r="BQ385" i="46"/>
  <c r="BQ384" i="46"/>
  <c r="BQ383" i="46"/>
  <c r="BQ382" i="46"/>
  <c r="BQ381" i="46"/>
  <c r="BQ360" i="46"/>
  <c r="BQ359" i="46"/>
  <c r="BQ358" i="46"/>
  <c r="BQ357" i="46"/>
  <c r="BQ356" i="46"/>
  <c r="BQ175" i="46"/>
  <c r="BQ119" i="46"/>
  <c r="BQ118" i="46"/>
  <c r="BQ117" i="46"/>
  <c r="BQ116" i="46"/>
  <c r="BQ115" i="46"/>
  <c r="BQ108" i="46"/>
  <c r="BQ107" i="46"/>
  <c r="BQ106" i="46"/>
  <c r="BQ105" i="46"/>
  <c r="BQ104" i="46"/>
  <c r="BQ99" i="46"/>
  <c r="BQ98" i="46"/>
  <c r="BQ97" i="46"/>
  <c r="BQ96" i="46"/>
  <c r="BQ95" i="46"/>
  <c r="BQ85" i="46"/>
  <c r="BQ84" i="46"/>
  <c r="BQ83" i="46"/>
  <c r="BQ82" i="46"/>
  <c r="BQ81" i="46"/>
  <c r="BQ79" i="46"/>
  <c r="BQ70" i="46"/>
  <c r="BQ69" i="46"/>
  <c r="BQ68" i="46"/>
  <c r="BQ67" i="46"/>
  <c r="BQ66" i="46"/>
  <c r="BQ61" i="46"/>
  <c r="BQ52" i="46"/>
  <c r="BQ51" i="46"/>
  <c r="BQ50" i="46"/>
  <c r="BQ49" i="46"/>
  <c r="BQ48" i="46"/>
  <c r="BQ43" i="46"/>
  <c r="BQ21" i="46"/>
  <c r="BQ20" i="46"/>
  <c r="BQ19" i="46"/>
  <c r="BQ18" i="46"/>
  <c r="BQ17" i="46"/>
  <c r="BI604" i="46"/>
  <c r="BI603" i="46"/>
  <c r="BI602" i="46"/>
  <c r="BI601" i="46"/>
  <c r="BI600" i="46"/>
  <c r="BI599" i="46"/>
  <c r="BI598" i="46"/>
  <c r="BI597" i="46"/>
  <c r="BI596" i="46"/>
  <c r="BI595" i="46"/>
  <c r="BI594" i="46"/>
  <c r="BL79" i="46"/>
  <c r="BL175" i="46"/>
  <c r="BL509" i="46"/>
  <c r="BI582" i="46"/>
  <c r="C578" i="46"/>
  <c r="B578" i="46"/>
  <c r="Y559" i="46"/>
  <c r="X559" i="46"/>
  <c r="W559" i="46"/>
  <c r="V559" i="46"/>
  <c r="U559" i="46"/>
  <c r="Y558" i="46"/>
  <c r="B551" i="46"/>
  <c r="B544" i="46"/>
  <c r="B541" i="46"/>
  <c r="B539" i="46"/>
  <c r="Y515" i="46"/>
  <c r="X515" i="46"/>
  <c r="W515" i="46"/>
  <c r="V515" i="46"/>
  <c r="U515" i="46"/>
  <c r="Y514" i="46"/>
  <c r="Y502" i="46"/>
  <c r="X502" i="46"/>
  <c r="W502" i="46"/>
  <c r="V502" i="46"/>
  <c r="U502" i="46"/>
  <c r="Y501" i="46"/>
  <c r="B495" i="46"/>
  <c r="Y467" i="46"/>
  <c r="X467" i="46"/>
  <c r="W467" i="46"/>
  <c r="V467" i="46"/>
  <c r="U467" i="46"/>
  <c r="Y466" i="46"/>
  <c r="B456" i="46"/>
  <c r="B447" i="46"/>
  <c r="B439" i="46"/>
  <c r="B429" i="46"/>
  <c r="B425" i="46"/>
  <c r="Y405" i="46"/>
  <c r="X405" i="46"/>
  <c r="W405" i="46"/>
  <c r="V405" i="46"/>
  <c r="U405" i="46"/>
  <c r="Y404" i="46"/>
  <c r="Y385" i="46"/>
  <c r="X385" i="46"/>
  <c r="W385" i="46"/>
  <c r="V385" i="46"/>
  <c r="U385" i="46"/>
  <c r="Y384" i="46"/>
  <c r="Y360" i="46"/>
  <c r="X360" i="46"/>
  <c r="W360" i="46"/>
  <c r="V360" i="46"/>
  <c r="U360" i="46"/>
  <c r="Y359" i="46"/>
  <c r="B355" i="46"/>
  <c r="B354" i="46"/>
  <c r="B353" i="46"/>
  <c r="B352" i="46"/>
  <c r="B351" i="46"/>
  <c r="B350" i="46"/>
  <c r="B349" i="46"/>
  <c r="B338" i="46"/>
  <c r="B337" i="46"/>
  <c r="B334" i="46"/>
  <c r="B328" i="46"/>
  <c r="B327" i="46"/>
  <c r="B323" i="46"/>
  <c r="B317" i="46"/>
  <c r="B301" i="46"/>
  <c r="B284" i="46"/>
  <c r="B268" i="46"/>
  <c r="B252" i="46"/>
  <c r="B251" i="46"/>
  <c r="B221" i="46"/>
  <c r="B213" i="46"/>
  <c r="B198" i="46"/>
  <c r="Y119" i="46"/>
  <c r="X119" i="46"/>
  <c r="W119" i="46"/>
  <c r="V119" i="46"/>
  <c r="U119" i="46"/>
  <c r="Y118" i="46"/>
  <c r="Y108" i="46"/>
  <c r="X108" i="46"/>
  <c r="W108" i="46"/>
  <c r="V108" i="46"/>
  <c r="U108" i="46"/>
  <c r="Y107" i="46"/>
  <c r="Y99" i="46"/>
  <c r="X99" i="46"/>
  <c r="W99" i="46"/>
  <c r="V99" i="46"/>
  <c r="U99" i="46"/>
  <c r="Y98" i="46"/>
  <c r="Y85" i="46"/>
  <c r="X85" i="46"/>
  <c r="W85" i="46"/>
  <c r="V85" i="46"/>
  <c r="U85" i="46"/>
  <c r="Y84" i="46"/>
  <c r="Y70" i="46"/>
  <c r="X70" i="46"/>
  <c r="W70" i="46"/>
  <c r="V70" i="46"/>
  <c r="U70" i="46"/>
  <c r="Y69" i="46"/>
  <c r="Y52" i="46"/>
  <c r="X52" i="46"/>
  <c r="W52" i="46"/>
  <c r="V52" i="46"/>
  <c r="U52" i="46"/>
  <c r="Y51" i="46"/>
  <c r="Y21" i="46"/>
  <c r="X21" i="46"/>
  <c r="W21" i="46"/>
  <c r="V21" i="46"/>
  <c r="U21" i="46"/>
  <c r="Y20" i="46"/>
  <c r="BD599" i="1"/>
  <c r="BD598" i="1"/>
  <c r="BD597" i="1"/>
  <c r="BD596" i="1"/>
  <c r="BD595" i="1"/>
  <c r="BD594" i="1"/>
  <c r="BD593" i="1"/>
  <c r="BD592" i="1"/>
  <c r="BD591" i="1"/>
  <c r="BD590" i="1"/>
  <c r="BD589" i="1"/>
  <c r="BD301" i="1"/>
  <c r="B301" i="1"/>
  <c r="BD426" i="1"/>
  <c r="B426" i="1"/>
  <c r="B538" i="1"/>
  <c r="BD326" i="1"/>
  <c r="B326" i="1"/>
  <c r="BG567" i="1"/>
  <c r="BD567" i="1"/>
  <c r="B567" i="1"/>
  <c r="BG541" i="1"/>
  <c r="BD541" i="1"/>
  <c r="B541" i="1"/>
  <c r="BD252" i="1"/>
  <c r="B252" i="1"/>
  <c r="BD373" i="1"/>
  <c r="BD444" i="1"/>
  <c r="B444" i="1"/>
  <c r="B373" i="1"/>
  <c r="I444" i="1"/>
  <c r="K444" i="1"/>
  <c r="BD549" i="1"/>
  <c r="B549" i="1"/>
  <c r="BD295" i="1"/>
  <c r="BG317" i="1"/>
  <c r="BD317" i="1"/>
  <c r="B317" i="1"/>
  <c r="BG294" i="1"/>
  <c r="BG293" i="1"/>
  <c r="BG292" i="1"/>
  <c r="BD294" i="1"/>
  <c r="BD293" i="1"/>
  <c r="BD292" i="1"/>
  <c r="BG492" i="1"/>
  <c r="BD492" i="1"/>
  <c r="B492" i="1"/>
  <c r="BD548" i="1"/>
  <c r="BG332" i="1"/>
  <c r="BD332" i="1"/>
  <c r="BD396" i="1"/>
  <c r="BD325" i="1"/>
  <c r="BD251" i="1"/>
  <c r="BD198" i="1"/>
  <c r="B198" i="1"/>
  <c r="BD536" i="1"/>
  <c r="B536" i="1"/>
  <c r="B295" i="1"/>
  <c r="B332" i="1"/>
  <c r="B396" i="1"/>
  <c r="B548" i="1"/>
  <c r="B325" i="1"/>
  <c r="B251" i="1"/>
  <c r="BD335" i="1"/>
  <c r="B335" i="1"/>
  <c r="BD574" i="1"/>
  <c r="I508" i="1"/>
  <c r="K508" i="1"/>
  <c r="I495" i="1"/>
  <c r="K495" i="1"/>
  <c r="I460" i="1"/>
  <c r="K460" i="1"/>
  <c r="I398" i="1"/>
  <c r="K398" i="1"/>
  <c r="I378" i="1"/>
  <c r="K378" i="1"/>
  <c r="I354" i="1"/>
  <c r="K354" i="1"/>
  <c r="I115" i="1"/>
  <c r="K115" i="1"/>
  <c r="K116" i="1"/>
  <c r="I104" i="1"/>
  <c r="K104" i="1"/>
  <c r="K105" i="1"/>
  <c r="I95" i="1"/>
  <c r="K95" i="1"/>
  <c r="I81" i="1"/>
  <c r="K81" i="1"/>
  <c r="I66" i="1"/>
  <c r="K66" i="1"/>
  <c r="AF48" i="1"/>
  <c r="I48" i="1"/>
  <c r="K48" i="1"/>
  <c r="J574" i="1"/>
  <c r="I17" i="1"/>
  <c r="D17" i="40"/>
  <c r="C17" i="40"/>
  <c r="K17" i="1"/>
  <c r="I574" i="1"/>
  <c r="C574" i="1"/>
  <c r="B574" i="1"/>
  <c r="K18" i="1"/>
  <c r="K574" i="1"/>
  <c r="BD545" i="1"/>
  <c r="BD336" i="1"/>
  <c r="BD221" i="1"/>
  <c r="B221" i="1"/>
  <c r="B545" i="1"/>
  <c r="B336" i="1"/>
  <c r="BD321" i="1"/>
  <c r="BD319" i="1"/>
  <c r="B319" i="1"/>
  <c r="B321" i="1"/>
  <c r="BD303" i="1"/>
  <c r="BD284" i="1"/>
  <c r="B284" i="1"/>
  <c r="BD436" i="1"/>
  <c r="B268" i="1"/>
  <c r="B303" i="1"/>
  <c r="I284" i="1"/>
  <c r="K284" i="1"/>
  <c r="B436" i="1"/>
  <c r="BD422" i="1"/>
  <c r="B422" i="1"/>
  <c r="E26" i="38"/>
  <c r="E25" i="38"/>
  <c r="F22" i="38"/>
  <c r="D29" i="35"/>
  <c r="E4" i="35"/>
  <c r="E5" i="35"/>
  <c r="E6" i="35"/>
  <c r="E7" i="35"/>
  <c r="E8" i="35"/>
  <c r="E9" i="35"/>
  <c r="E10" i="35"/>
  <c r="E11" i="35"/>
  <c r="E12" i="35"/>
  <c r="E13" i="35"/>
  <c r="E14" i="35"/>
  <c r="E15" i="35"/>
  <c r="E16" i="35"/>
  <c r="E17" i="35"/>
  <c r="E18" i="35"/>
  <c r="E19" i="35"/>
  <c r="E20" i="35"/>
  <c r="E21" i="35"/>
  <c r="E22" i="35"/>
  <c r="E23" i="35"/>
  <c r="E24" i="35"/>
  <c r="E25" i="35"/>
  <c r="E26" i="35"/>
  <c r="E27" i="35"/>
  <c r="E28" i="35"/>
  <c r="E29" i="35"/>
  <c r="F4" i="35"/>
  <c r="F5" i="35"/>
  <c r="F6" i="35"/>
  <c r="F7" i="35"/>
  <c r="F8" i="35"/>
  <c r="F9" i="35"/>
  <c r="F10" i="35"/>
  <c r="F11" i="35"/>
  <c r="F12" i="35"/>
  <c r="F13" i="35"/>
  <c r="F14" i="35"/>
  <c r="F15" i="35"/>
  <c r="F16" i="35"/>
  <c r="F17" i="35"/>
  <c r="F18" i="35"/>
  <c r="F19" i="35"/>
  <c r="F20" i="35"/>
  <c r="F21" i="35"/>
  <c r="F22" i="35"/>
  <c r="F23" i="35"/>
  <c r="F24" i="35"/>
  <c r="F25" i="35"/>
  <c r="F26" i="35"/>
  <c r="F27" i="35"/>
  <c r="F28" i="35"/>
  <c r="F29" i="35"/>
  <c r="G29" i="35"/>
  <c r="G28" i="35"/>
  <c r="G27" i="35"/>
  <c r="G26" i="35"/>
  <c r="G25" i="35"/>
  <c r="G24" i="35"/>
  <c r="G23" i="35"/>
  <c r="G22" i="35"/>
  <c r="G21" i="35"/>
  <c r="G20" i="35"/>
  <c r="G19" i="35"/>
  <c r="G18" i="35"/>
  <c r="G17" i="35"/>
  <c r="G16" i="35"/>
  <c r="G15" i="35"/>
  <c r="G14" i="35"/>
  <c r="G13" i="35"/>
  <c r="G12" i="35"/>
  <c r="G11" i="35"/>
  <c r="G10" i="35"/>
  <c r="G9" i="35"/>
  <c r="G8" i="35"/>
  <c r="G7" i="35"/>
  <c r="G6" i="35"/>
  <c r="G5" i="35"/>
  <c r="G4" i="35"/>
  <c r="F7" i="38"/>
  <c r="F11" i="38"/>
  <c r="F15" i="38"/>
  <c r="F19" i="38"/>
  <c r="F23" i="38"/>
  <c r="F4" i="38"/>
  <c r="F8" i="38"/>
  <c r="F12" i="38"/>
  <c r="F16" i="38"/>
  <c r="F20" i="38"/>
  <c r="F24" i="38"/>
  <c r="F5" i="38"/>
  <c r="F9" i="38"/>
  <c r="F13" i="38"/>
  <c r="F17" i="38"/>
  <c r="F21" i="38"/>
  <c r="F6" i="38"/>
  <c r="F10" i="38"/>
  <c r="F14" i="38"/>
  <c r="F18" i="38"/>
  <c r="F25" i="38"/>
  <c r="B579" i="1"/>
  <c r="BD31" i="1"/>
  <c r="AR417" i="1"/>
  <c r="AR103" i="1"/>
  <c r="AR92" i="1"/>
  <c r="AR60" i="1"/>
  <c r="AR42" i="1"/>
  <c r="AR16" i="1"/>
  <c r="AF516" i="1"/>
  <c r="AQ516" i="1"/>
  <c r="AF515" i="1"/>
  <c r="AQ515" i="1"/>
  <c r="AF514" i="1"/>
  <c r="AQ514" i="1"/>
  <c r="AF506" i="1"/>
  <c r="AQ506" i="1"/>
  <c r="AF419" i="1"/>
  <c r="AQ419" i="1"/>
  <c r="AF394" i="1"/>
  <c r="AQ394" i="1"/>
  <c r="AF175" i="1"/>
  <c r="AQ175" i="1"/>
  <c r="AF101" i="1"/>
  <c r="AQ101" i="1"/>
  <c r="AF87" i="1"/>
  <c r="AQ87" i="1"/>
  <c r="AF79" i="1"/>
  <c r="AQ79" i="1"/>
  <c r="AF61" i="1"/>
  <c r="AQ61" i="1"/>
  <c r="AF43" i="1"/>
  <c r="AQ43" i="1"/>
  <c r="AF25" i="1"/>
  <c r="AQ25" i="1"/>
  <c r="I516" i="1"/>
  <c r="H101" i="1"/>
  <c r="F101" i="1"/>
  <c r="I25" i="1"/>
  <c r="I514" i="1"/>
  <c r="H515" i="1"/>
  <c r="F515" i="1"/>
  <c r="F87" i="1"/>
  <c r="F514" i="1"/>
  <c r="H514" i="1"/>
  <c r="H516" i="1"/>
  <c r="F516" i="1"/>
  <c r="H25" i="1"/>
  <c r="F25" i="1"/>
  <c r="H506" i="1"/>
  <c r="H419" i="1"/>
  <c r="H417" i="1"/>
  <c r="H394" i="1"/>
  <c r="H175" i="1"/>
  <c r="H103" i="1"/>
  <c r="H92" i="1"/>
  <c r="H79" i="1"/>
  <c r="H61" i="1"/>
  <c r="H60" i="1"/>
  <c r="H43" i="1"/>
  <c r="H42" i="1"/>
  <c r="H16" i="1"/>
  <c r="F506" i="1"/>
  <c r="F419" i="1"/>
  <c r="F417" i="1"/>
  <c r="F394" i="1"/>
  <c r="F175" i="1"/>
  <c r="F103" i="1"/>
  <c r="F92" i="1"/>
  <c r="F79" i="1"/>
  <c r="F61" i="1"/>
  <c r="F60" i="1"/>
  <c r="F43" i="1"/>
  <c r="F42" i="1"/>
  <c r="F16" i="1"/>
  <c r="K236" i="30"/>
  <c r="L236" i="30"/>
  <c r="R10" i="29"/>
  <c r="R11" i="29"/>
  <c r="R12" i="29"/>
  <c r="R13" i="29"/>
  <c r="R14" i="29"/>
  <c r="R15" i="29"/>
  <c r="R16" i="29"/>
  <c r="R17" i="29"/>
  <c r="R18" i="29"/>
  <c r="R19" i="29"/>
  <c r="R20" i="29"/>
  <c r="R21" i="29"/>
  <c r="R22" i="29"/>
  <c r="R23" i="29"/>
  <c r="R24" i="29"/>
  <c r="R25" i="29"/>
  <c r="R26" i="29"/>
  <c r="R27" i="29"/>
  <c r="R28" i="29"/>
  <c r="R29" i="29"/>
  <c r="R30" i="29"/>
  <c r="R31" i="29"/>
  <c r="R32" i="29"/>
  <c r="R33" i="29"/>
  <c r="R34" i="29"/>
  <c r="R35" i="29"/>
  <c r="R36" i="29"/>
  <c r="R37" i="29"/>
  <c r="R38" i="29"/>
  <c r="R39" i="29"/>
  <c r="R40" i="29"/>
  <c r="R41" i="29"/>
  <c r="R42" i="29"/>
  <c r="R43" i="29"/>
  <c r="R44" i="29"/>
  <c r="R45" i="29"/>
  <c r="R46" i="29"/>
  <c r="R47" i="29"/>
  <c r="R48" i="29"/>
  <c r="R49" i="29"/>
  <c r="R50" i="29"/>
  <c r="R51" i="29"/>
  <c r="R52" i="29"/>
  <c r="R53" i="29"/>
  <c r="R54" i="29"/>
  <c r="R55" i="29"/>
  <c r="R56" i="29"/>
  <c r="R57" i="29"/>
  <c r="R58" i="29"/>
  <c r="R59" i="29"/>
  <c r="R60" i="29"/>
  <c r="R61" i="29"/>
  <c r="R62" i="29"/>
  <c r="R63" i="29"/>
  <c r="R64" i="29"/>
  <c r="R65" i="29"/>
  <c r="R66" i="29"/>
  <c r="R67" i="29"/>
  <c r="R68" i="29"/>
  <c r="R69" i="29"/>
  <c r="R70" i="29"/>
  <c r="R71" i="29"/>
  <c r="R72" i="29"/>
  <c r="R73" i="29"/>
  <c r="R74" i="29"/>
  <c r="R75" i="29"/>
  <c r="R76" i="29"/>
  <c r="R77" i="29"/>
  <c r="R78" i="29"/>
  <c r="R79" i="29"/>
  <c r="R80" i="29"/>
  <c r="R81" i="29"/>
  <c r="R82" i="29"/>
  <c r="R83" i="29"/>
  <c r="R84" i="29"/>
  <c r="R85" i="29"/>
  <c r="R86" i="29"/>
  <c r="R87" i="29"/>
  <c r="R88" i="29"/>
  <c r="R89" i="29"/>
  <c r="R90" i="29"/>
  <c r="R91" i="29"/>
  <c r="R92" i="29"/>
  <c r="R93" i="29"/>
  <c r="R94" i="29"/>
  <c r="R95" i="29"/>
  <c r="R96" i="29"/>
  <c r="R97" i="29"/>
  <c r="R98" i="29"/>
  <c r="R99" i="29"/>
  <c r="R100" i="29"/>
  <c r="R101" i="29"/>
  <c r="R102" i="29"/>
  <c r="R103" i="29"/>
  <c r="R104" i="29"/>
  <c r="R105" i="29"/>
  <c r="R106" i="29"/>
  <c r="R107" i="29"/>
  <c r="R108" i="29"/>
  <c r="R109" i="29"/>
  <c r="R110" i="29"/>
  <c r="R111" i="29"/>
  <c r="R112" i="29"/>
  <c r="R113" i="29"/>
  <c r="R114" i="29"/>
  <c r="R115" i="29"/>
  <c r="R116" i="29"/>
  <c r="R117" i="29"/>
  <c r="R118" i="29"/>
  <c r="R119" i="29"/>
  <c r="R120" i="29"/>
  <c r="R121" i="29"/>
  <c r="R122" i="29"/>
  <c r="R123" i="29"/>
  <c r="R124" i="29"/>
  <c r="R125" i="29"/>
  <c r="R126" i="29"/>
  <c r="R127" i="29"/>
  <c r="R128" i="29"/>
  <c r="R129" i="29"/>
  <c r="R130" i="29"/>
  <c r="R131" i="29"/>
  <c r="R132" i="29"/>
  <c r="R133" i="29"/>
  <c r="R134" i="29"/>
  <c r="R135" i="29"/>
  <c r="R136" i="29"/>
  <c r="R137" i="29"/>
  <c r="R138" i="29"/>
  <c r="R139" i="29"/>
  <c r="R140" i="29"/>
  <c r="R141" i="29"/>
  <c r="R142" i="29"/>
  <c r="R143" i="29"/>
  <c r="R144" i="29"/>
  <c r="R145" i="29"/>
  <c r="R146" i="29"/>
  <c r="R147" i="29"/>
  <c r="R148" i="29"/>
  <c r="R149" i="29"/>
  <c r="R150" i="29"/>
  <c r="R151" i="29"/>
  <c r="R152" i="29"/>
  <c r="R153" i="29"/>
  <c r="R154" i="29"/>
  <c r="R155" i="29"/>
  <c r="R156" i="29"/>
  <c r="R157" i="29"/>
  <c r="R158" i="29"/>
  <c r="R159" i="29"/>
  <c r="R160" i="29"/>
  <c r="R161" i="29"/>
  <c r="R162" i="29"/>
  <c r="R163" i="29"/>
  <c r="R164" i="29"/>
  <c r="R165" i="29"/>
  <c r="R166" i="29"/>
  <c r="R167" i="29"/>
  <c r="R168" i="29"/>
  <c r="R169" i="29"/>
  <c r="R170" i="29"/>
  <c r="R171" i="29"/>
  <c r="R172" i="29"/>
  <c r="R173" i="29"/>
  <c r="R174" i="29"/>
  <c r="R175" i="29"/>
  <c r="R176" i="29"/>
  <c r="R177" i="29"/>
  <c r="R178" i="29"/>
  <c r="R179" i="29"/>
  <c r="R180" i="29"/>
  <c r="R181" i="29"/>
  <c r="R182" i="29"/>
  <c r="R183" i="29"/>
  <c r="R184" i="29"/>
  <c r="R185" i="29"/>
  <c r="R186" i="29"/>
  <c r="R187" i="29"/>
  <c r="R188" i="29"/>
  <c r="R189" i="29"/>
  <c r="R190" i="29"/>
  <c r="R191" i="29"/>
  <c r="R192" i="29"/>
  <c r="R193" i="29"/>
  <c r="R194" i="29"/>
  <c r="R195" i="29"/>
  <c r="R196" i="29"/>
  <c r="R197" i="29"/>
  <c r="R198" i="29"/>
  <c r="R199" i="29"/>
  <c r="R200" i="29"/>
  <c r="R201" i="29"/>
  <c r="R202" i="29"/>
  <c r="R203" i="29"/>
  <c r="R204" i="29"/>
  <c r="R205" i="29"/>
  <c r="R206" i="29"/>
  <c r="R207" i="29"/>
  <c r="R208" i="29"/>
  <c r="R209" i="29"/>
  <c r="R210" i="29"/>
  <c r="R211" i="29"/>
  <c r="R212" i="29"/>
  <c r="R213" i="29"/>
  <c r="R214" i="29"/>
  <c r="R215" i="29"/>
  <c r="R216" i="29"/>
  <c r="R217" i="29"/>
  <c r="R218" i="29"/>
  <c r="R219" i="29"/>
  <c r="R220" i="29"/>
  <c r="R221" i="29"/>
  <c r="R222" i="29"/>
  <c r="R223" i="29"/>
  <c r="R224" i="29"/>
  <c r="R225" i="29"/>
  <c r="R226" i="29"/>
  <c r="R227" i="29"/>
  <c r="R228" i="29"/>
  <c r="R229" i="29"/>
  <c r="R230" i="29"/>
  <c r="R231" i="29"/>
  <c r="R232" i="29"/>
  <c r="R233" i="29"/>
  <c r="R234" i="29"/>
  <c r="R235" i="29"/>
  <c r="R236" i="29"/>
  <c r="B26" i="28"/>
  <c r="C26" i="28"/>
  <c r="D26" i="28"/>
  <c r="B27" i="28"/>
  <c r="C27" i="28"/>
  <c r="D27" i="28"/>
  <c r="E28" i="28"/>
  <c r="E29" i="28"/>
  <c r="E30" i="28"/>
  <c r="E31" i="28"/>
  <c r="E32" i="28"/>
  <c r="E33" i="28"/>
  <c r="E34" i="28"/>
  <c r="E35" i="28"/>
  <c r="E36" i="28"/>
  <c r="E37" i="28"/>
  <c r="E38" i="28"/>
  <c r="E39" i="28"/>
  <c r="E40" i="28"/>
  <c r="E41" i="28"/>
  <c r="E42" i="28"/>
  <c r="E43" i="28"/>
  <c r="E44" i="28"/>
  <c r="E45" i="28"/>
  <c r="E46" i="28"/>
  <c r="E47" i="28"/>
  <c r="E48" i="28"/>
  <c r="E49" i="28"/>
  <c r="E50" i="28"/>
  <c r="E51" i="28"/>
  <c r="E52" i="28"/>
  <c r="E53" i="28"/>
  <c r="E54" i="28"/>
  <c r="E55" i="28"/>
  <c r="E56" i="28"/>
  <c r="E57" i="28"/>
  <c r="E58" i="28"/>
  <c r="E59" i="28"/>
  <c r="E60" i="28"/>
  <c r="E61" i="28"/>
  <c r="E62" i="28"/>
  <c r="E63" i="28"/>
  <c r="E64" i="28"/>
  <c r="E65" i="28"/>
  <c r="E66" i="28"/>
  <c r="E67" i="28"/>
  <c r="E68" i="28"/>
  <c r="E69" i="28"/>
  <c r="E70" i="28"/>
  <c r="E71" i="28"/>
  <c r="E72" i="28"/>
  <c r="E73" i="28"/>
  <c r="E74" i="28"/>
  <c r="E75" i="28"/>
  <c r="E76" i="28"/>
  <c r="E77" i="28"/>
  <c r="E78" i="28"/>
  <c r="E79" i="28"/>
  <c r="E81" i="28"/>
  <c r="E82" i="28"/>
  <c r="E83" i="28"/>
  <c r="E84" i="28"/>
  <c r="E85" i="28"/>
  <c r="E87" i="28"/>
  <c r="E88" i="28"/>
  <c r="E89" i="28"/>
  <c r="E26" i="28"/>
  <c r="E27" i="28"/>
  <c r="B213" i="1"/>
  <c r="BD347" i="1"/>
  <c r="BD353" i="1"/>
  <c r="BD352" i="1"/>
  <c r="BD351" i="1"/>
  <c r="BD350" i="1"/>
  <c r="BD349" i="1"/>
  <c r="BD348" i="1"/>
  <c r="B353" i="1"/>
  <c r="B352" i="1"/>
  <c r="B349" i="1"/>
  <c r="B350" i="1"/>
  <c r="B351" i="1"/>
  <c r="B348" i="1"/>
  <c r="B347" i="1"/>
  <c r="X5" i="19"/>
  <c r="Z5" i="19"/>
  <c r="Y5" i="19"/>
  <c r="AB5" i="19"/>
  <c r="AC5" i="19"/>
  <c r="AD5" i="19"/>
  <c r="AE5" i="19"/>
  <c r="AG5" i="19"/>
  <c r="X6" i="19"/>
  <c r="Z6" i="19"/>
  <c r="Y6" i="19"/>
  <c r="AA6" i="19"/>
  <c r="AC6" i="19"/>
  <c r="AD6" i="19"/>
  <c r="AE6" i="19"/>
  <c r="X7" i="19"/>
  <c r="Z7" i="19"/>
  <c r="Y7" i="19"/>
  <c r="AB7" i="19"/>
  <c r="AC7" i="19"/>
  <c r="AD7" i="19"/>
  <c r="AE7" i="19"/>
  <c r="X8" i="19"/>
  <c r="Y8" i="19"/>
  <c r="AB8" i="19"/>
  <c r="AC8" i="19"/>
  <c r="AD8" i="19"/>
  <c r="AE8" i="19"/>
  <c r="AG8" i="19"/>
  <c r="Z8" i="19"/>
  <c r="AA8" i="19"/>
  <c r="AF8" i="19"/>
  <c r="X9" i="19"/>
  <c r="Z9" i="19"/>
  <c r="Y9" i="19"/>
  <c r="AB9" i="19"/>
  <c r="AC9" i="19"/>
  <c r="AD9" i="19"/>
  <c r="AE9" i="19"/>
  <c r="AG9" i="19"/>
  <c r="X10" i="19"/>
  <c r="Y10" i="19"/>
  <c r="AB10" i="19"/>
  <c r="AC10" i="19"/>
  <c r="AD10" i="19"/>
  <c r="AE10" i="19"/>
  <c r="AG10" i="19"/>
  <c r="Z10" i="19"/>
  <c r="AA10" i="19"/>
  <c r="X11" i="19"/>
  <c r="Z11" i="19"/>
  <c r="Y11" i="19"/>
  <c r="AB11" i="19"/>
  <c r="AC11" i="19"/>
  <c r="AD11" i="19"/>
  <c r="AE11" i="19"/>
  <c r="X12" i="19"/>
  <c r="Y12" i="19"/>
  <c r="AB12" i="19"/>
  <c r="Z12" i="19"/>
  <c r="AA12" i="19"/>
  <c r="AC12" i="19"/>
  <c r="AD12" i="19"/>
  <c r="AE12" i="19"/>
  <c r="X13" i="19"/>
  <c r="Z13" i="19"/>
  <c r="Y13" i="19"/>
  <c r="AC13" i="19"/>
  <c r="AD13" i="19"/>
  <c r="AE13" i="19"/>
  <c r="X14" i="19"/>
  <c r="Y14" i="19"/>
  <c r="AB14" i="19"/>
  <c r="Z14" i="19"/>
  <c r="AA14" i="19"/>
  <c r="AC14" i="19"/>
  <c r="AD14" i="19"/>
  <c r="AE14" i="19"/>
  <c r="X15" i="19"/>
  <c r="Z15" i="19"/>
  <c r="Y15" i="19"/>
  <c r="AC15" i="19"/>
  <c r="AD15" i="19"/>
  <c r="AE15" i="19"/>
  <c r="X16" i="19"/>
  <c r="Y16" i="19"/>
  <c r="AB16" i="19"/>
  <c r="Z16" i="19"/>
  <c r="AA16" i="19"/>
  <c r="AC16" i="19"/>
  <c r="AD16" i="19"/>
  <c r="AE16" i="19"/>
  <c r="X17" i="19"/>
  <c r="Z17" i="19"/>
  <c r="Y17" i="19"/>
  <c r="AC17" i="19"/>
  <c r="AD17" i="19"/>
  <c r="AE17" i="19"/>
  <c r="X18" i="19"/>
  <c r="Y18" i="19"/>
  <c r="AB18" i="19"/>
  <c r="Z18" i="19"/>
  <c r="AA18" i="19"/>
  <c r="AC18" i="19"/>
  <c r="AD18" i="19"/>
  <c r="AE18" i="19"/>
  <c r="X19" i="19"/>
  <c r="Z19" i="19"/>
  <c r="Y19" i="19"/>
  <c r="AC19" i="19"/>
  <c r="AD19" i="19"/>
  <c r="AE19" i="19"/>
  <c r="X20" i="19"/>
  <c r="Y20" i="19"/>
  <c r="AB20" i="19"/>
  <c r="Z20" i="19"/>
  <c r="AA20" i="19"/>
  <c r="AC20" i="19"/>
  <c r="AD20" i="19"/>
  <c r="AE20" i="19"/>
  <c r="X21" i="19"/>
  <c r="Z21" i="19"/>
  <c r="Y21" i="19"/>
  <c r="AC21" i="19"/>
  <c r="AD21" i="19"/>
  <c r="AE21" i="19"/>
  <c r="X22" i="19"/>
  <c r="Y22" i="19"/>
  <c r="AB22" i="19"/>
  <c r="Z22" i="19"/>
  <c r="AA22" i="19"/>
  <c r="AC22" i="19"/>
  <c r="AD22" i="19"/>
  <c r="AE22" i="19"/>
  <c r="X23" i="19"/>
  <c r="Z23" i="19"/>
  <c r="Y23" i="19"/>
  <c r="AC23" i="19"/>
  <c r="AD23" i="19"/>
  <c r="AE23" i="19"/>
  <c r="X24" i="19"/>
  <c r="Y24" i="19"/>
  <c r="AB24" i="19"/>
  <c r="Z24" i="19"/>
  <c r="AA24" i="19"/>
  <c r="AC24" i="19"/>
  <c r="AD24" i="19"/>
  <c r="AE24" i="19"/>
  <c r="X25" i="19"/>
  <c r="Z25" i="19"/>
  <c r="Y25" i="19"/>
  <c r="AC25" i="19"/>
  <c r="AD25" i="19"/>
  <c r="AE25" i="19"/>
  <c r="X26" i="19"/>
  <c r="Y26" i="19"/>
  <c r="AB26" i="19"/>
  <c r="Z26" i="19"/>
  <c r="AA26" i="19"/>
  <c r="AC26" i="19"/>
  <c r="AD26" i="19"/>
  <c r="AE26" i="19"/>
  <c r="X27" i="19"/>
  <c r="Z27" i="19"/>
  <c r="Y27" i="19"/>
  <c r="AC27" i="19"/>
  <c r="AD27" i="19"/>
  <c r="AE27" i="19"/>
  <c r="X28" i="19"/>
  <c r="Y28" i="19"/>
  <c r="AB28" i="19"/>
  <c r="Z28" i="19"/>
  <c r="AA28" i="19"/>
  <c r="AC28" i="19"/>
  <c r="AD28" i="19"/>
  <c r="AE28" i="19"/>
  <c r="X29" i="19"/>
  <c r="Z29" i="19"/>
  <c r="Y29" i="19"/>
  <c r="AC29" i="19"/>
  <c r="AD29" i="19"/>
  <c r="AE29" i="19"/>
  <c r="X30" i="19"/>
  <c r="Y30" i="19"/>
  <c r="AB30" i="19"/>
  <c r="Z30" i="19"/>
  <c r="AA30" i="19"/>
  <c r="AC30" i="19"/>
  <c r="AD30" i="19"/>
  <c r="AE30" i="19"/>
  <c r="X31" i="19"/>
  <c r="Z31" i="19"/>
  <c r="Y31" i="19"/>
  <c r="AC31" i="19"/>
  <c r="AD31" i="19"/>
  <c r="AE31" i="19"/>
  <c r="X32" i="19"/>
  <c r="Y32" i="19"/>
  <c r="AB32" i="19"/>
  <c r="AC32" i="19"/>
  <c r="AD32" i="19"/>
  <c r="AE32" i="19"/>
  <c r="AG32" i="19"/>
  <c r="Z32" i="19"/>
  <c r="X33" i="19"/>
  <c r="Z33" i="19"/>
  <c r="Y33" i="19"/>
  <c r="AB33" i="19"/>
  <c r="AA33" i="19"/>
  <c r="AC33" i="19"/>
  <c r="AD33" i="19"/>
  <c r="AE33" i="19"/>
  <c r="AG33" i="19"/>
  <c r="X34" i="19"/>
  <c r="Y34" i="19"/>
  <c r="AB34" i="19"/>
  <c r="Z34" i="19"/>
  <c r="AA34" i="19"/>
  <c r="AC34" i="19"/>
  <c r="AD34" i="19"/>
  <c r="AE34" i="19"/>
  <c r="AG34" i="19"/>
  <c r="X35" i="19"/>
  <c r="Z35" i="19"/>
  <c r="Y35" i="19"/>
  <c r="AB35" i="19"/>
  <c r="AC35" i="19"/>
  <c r="AD35" i="19"/>
  <c r="AE35" i="19"/>
  <c r="AG35" i="19"/>
  <c r="AF35" i="19"/>
  <c r="AF32" i="19"/>
  <c r="AG28" i="19"/>
  <c r="AF28" i="19"/>
  <c r="AG20" i="19"/>
  <c r="AF20" i="19"/>
  <c r="AB31" i="19"/>
  <c r="AG31" i="19"/>
  <c r="AA31" i="19"/>
  <c r="AB29" i="19"/>
  <c r="AG29" i="19"/>
  <c r="AA29" i="19"/>
  <c r="AB27" i="19"/>
  <c r="AG27" i="19"/>
  <c r="AA27" i="19"/>
  <c r="AB25" i="19"/>
  <c r="AG25" i="19"/>
  <c r="AA25" i="19"/>
  <c r="AB23" i="19"/>
  <c r="AG23" i="19"/>
  <c r="AA23" i="19"/>
  <c r="AB21" i="19"/>
  <c r="AG21" i="19"/>
  <c r="AA21" i="19"/>
  <c r="AB19" i="19"/>
  <c r="AG19" i="19"/>
  <c r="AA19" i="19"/>
  <c r="AB17" i="19"/>
  <c r="AG17" i="19"/>
  <c r="AA17" i="19"/>
  <c r="AB15" i="19"/>
  <c r="AG15" i="19"/>
  <c r="AA15" i="19"/>
  <c r="AB13" i="19"/>
  <c r="AG13" i="19"/>
  <c r="AA13" i="19"/>
  <c r="AA32" i="19"/>
  <c r="AF10" i="19"/>
  <c r="AF9" i="19"/>
  <c r="AG7" i="19"/>
  <c r="AF7" i="19"/>
  <c r="AF5" i="19"/>
  <c r="AG30" i="19"/>
  <c r="AF30" i="19"/>
  <c r="AG22" i="19"/>
  <c r="AF22" i="19"/>
  <c r="AG16" i="19"/>
  <c r="AF16" i="19"/>
  <c r="AA35" i="19"/>
  <c r="AF34" i="19"/>
  <c r="AF33" i="19"/>
  <c r="AF31" i="19"/>
  <c r="AF29" i="19"/>
  <c r="AF27" i="19"/>
  <c r="AG26" i="19"/>
  <c r="AF26" i="19"/>
  <c r="AF25" i="19"/>
  <c r="AG24" i="19"/>
  <c r="AF24" i="19"/>
  <c r="AF23" i="19"/>
  <c r="AF21" i="19"/>
  <c r="AF19" i="19"/>
  <c r="AG18" i="19"/>
  <c r="AF18" i="19"/>
  <c r="AF17" i="19"/>
  <c r="AF15" i="19"/>
  <c r="AG14" i="19"/>
  <c r="AF14" i="19"/>
  <c r="AF13" i="19"/>
  <c r="AG12" i="19"/>
  <c r="AF12" i="19"/>
  <c r="AG11" i="19"/>
  <c r="AF11" i="19"/>
  <c r="AA5" i="19"/>
  <c r="AA11" i="19"/>
  <c r="AA9" i="19"/>
  <c r="AA7" i="19"/>
  <c r="AB6" i="19"/>
  <c r="AG6" i="19"/>
  <c r="AF6" i="19"/>
  <c r="AQ499" i="1"/>
  <c r="AQ498" i="1"/>
  <c r="AQ496" i="1"/>
  <c r="BG482" i="1"/>
  <c r="BD482" i="1"/>
  <c r="AR482" i="1"/>
  <c r="I482" i="1"/>
  <c r="BA482" i="1"/>
  <c r="H482" i="1"/>
  <c r="F482" i="1"/>
  <c r="BG360" i="1"/>
  <c r="BA360" i="1"/>
  <c r="BG569" i="1"/>
  <c r="BG565" i="1"/>
  <c r="BG561" i="1"/>
  <c r="BG557" i="1"/>
  <c r="BG546" i="1"/>
  <c r="BG542" i="1"/>
  <c r="BG534" i="1"/>
  <c r="BG529" i="1"/>
  <c r="BG525" i="1"/>
  <c r="BG521" i="1"/>
  <c r="BG517" i="1"/>
  <c r="BG505" i="1"/>
  <c r="BG501" i="1"/>
  <c r="BG491" i="1"/>
  <c r="BG487" i="1"/>
  <c r="BG483" i="1"/>
  <c r="BG479" i="1"/>
  <c r="BG475" i="1"/>
  <c r="BG471" i="1"/>
  <c r="BG467" i="1"/>
  <c r="BG458" i="1"/>
  <c r="BG454" i="1"/>
  <c r="BG450" i="1"/>
  <c r="BG446" i="1"/>
  <c r="BG441" i="1"/>
  <c r="BG438" i="1"/>
  <c r="BG434" i="1"/>
  <c r="BG430" i="1"/>
  <c r="BG425" i="1"/>
  <c r="BG421" i="1"/>
  <c r="BG417" i="1"/>
  <c r="BG413" i="1"/>
  <c r="BG409" i="1"/>
  <c r="BG405" i="1"/>
  <c r="BG397" i="1"/>
  <c r="BG392" i="1"/>
  <c r="BG388" i="1"/>
  <c r="BG384" i="1"/>
  <c r="BG375" i="1"/>
  <c r="BG372" i="1"/>
  <c r="BG368" i="1"/>
  <c r="BG364" i="1"/>
  <c r="BG346" i="1"/>
  <c r="BG344" i="1"/>
  <c r="BG342" i="1"/>
  <c r="BG340" i="1"/>
  <c r="BG338" i="1"/>
  <c r="BG330" i="1"/>
  <c r="BG324" i="1"/>
  <c r="BG323" i="1"/>
  <c r="BG320" i="1"/>
  <c r="BG318" i="1"/>
  <c r="BG313" i="1"/>
  <c r="BG312" i="1"/>
  <c r="BG311" i="1"/>
  <c r="BG309" i="1"/>
  <c r="BG307" i="1"/>
  <c r="BG305" i="1"/>
  <c r="BG298" i="1"/>
  <c r="BG296" i="1"/>
  <c r="BG290" i="1"/>
  <c r="BG288" i="1"/>
  <c r="BG286" i="1"/>
  <c r="BG282" i="1"/>
  <c r="BG280" i="1"/>
  <c r="BG278" i="1"/>
  <c r="BG276" i="1"/>
  <c r="BG275" i="1"/>
  <c r="BG274" i="1"/>
  <c r="BG272" i="1"/>
  <c r="BG270" i="1"/>
  <c r="BG266" i="1"/>
  <c r="BG264" i="1"/>
  <c r="BG262" i="1"/>
  <c r="BG260" i="1"/>
  <c r="BG259" i="1"/>
  <c r="BG258" i="1"/>
  <c r="BG256" i="1"/>
  <c r="BG254" i="1"/>
  <c r="BG249" i="1"/>
  <c r="BG247" i="1"/>
  <c r="BG245" i="1"/>
  <c r="BG243" i="1"/>
  <c r="BG242" i="1"/>
  <c r="BG241" i="1"/>
  <c r="BG239" i="1"/>
  <c r="BG237" i="1"/>
  <c r="BG235" i="1"/>
  <c r="BG232" i="1"/>
  <c r="BG230" i="1"/>
  <c r="BG228" i="1"/>
  <c r="BG227" i="1"/>
  <c r="BG226" i="1"/>
  <c r="BG224" i="1"/>
  <c r="BG220" i="1"/>
  <c r="BG218" i="1"/>
  <c r="BG216" i="1"/>
  <c r="BG214" i="1"/>
  <c r="BG211" i="1"/>
  <c r="BG210" i="1"/>
  <c r="BG209" i="1"/>
  <c r="BG207" i="1"/>
  <c r="BG205" i="1"/>
  <c r="BG203" i="1"/>
  <c r="BG201" i="1"/>
  <c r="BG196" i="1"/>
  <c r="BG194" i="1"/>
  <c r="BG193" i="1"/>
  <c r="BG192" i="1"/>
  <c r="BG190" i="1"/>
  <c r="BG188" i="1"/>
  <c r="BG186" i="1"/>
  <c r="BG184" i="1"/>
  <c r="BG182" i="1"/>
  <c r="BG180" i="1"/>
  <c r="BG178" i="1"/>
  <c r="BG175" i="1"/>
  <c r="BG173" i="1"/>
  <c r="BG171" i="1"/>
  <c r="BG169" i="1"/>
  <c r="BG167" i="1"/>
  <c r="BG165" i="1"/>
  <c r="BG163" i="1"/>
  <c r="BG162" i="1"/>
  <c r="BG161" i="1"/>
  <c r="BG159" i="1"/>
  <c r="BG157" i="1"/>
  <c r="BG155" i="1"/>
  <c r="BG153" i="1"/>
  <c r="BG151" i="1"/>
  <c r="BG149" i="1"/>
  <c r="BG147" i="1"/>
  <c r="BG146" i="1"/>
  <c r="BG145" i="1"/>
  <c r="BG143" i="1"/>
  <c r="BG141" i="1"/>
  <c r="BG139" i="1"/>
  <c r="BG137" i="1"/>
  <c r="BG135" i="1"/>
  <c r="BG133" i="1"/>
  <c r="BG131" i="1"/>
  <c r="BG130" i="1"/>
  <c r="BG129" i="1"/>
  <c r="BG127" i="1"/>
  <c r="BG125" i="1"/>
  <c r="BG123" i="1"/>
  <c r="BG121" i="1"/>
  <c r="BG114" i="1"/>
  <c r="BG112" i="1"/>
  <c r="BG110" i="1"/>
  <c r="BG109" i="1"/>
  <c r="BG102" i="1"/>
  <c r="BG100" i="1"/>
  <c r="BG92" i="1"/>
  <c r="BG90" i="1"/>
  <c r="BG89" i="1"/>
  <c r="BG88" i="1"/>
  <c r="BG80" i="1"/>
  <c r="BG79" i="1"/>
  <c r="BG76" i="1"/>
  <c r="BG75" i="1"/>
  <c r="BG72" i="1"/>
  <c r="BG71" i="1"/>
  <c r="BG64" i="1"/>
  <c r="BG63" i="1"/>
  <c r="BG62" i="1"/>
  <c r="BG59" i="1"/>
  <c r="BG58" i="1"/>
  <c r="BG55" i="1"/>
  <c r="BG54" i="1"/>
  <c r="BG14" i="1"/>
  <c r="BG13" i="1"/>
  <c r="BG12" i="1"/>
  <c r="BG10" i="1"/>
  <c r="BG9" i="1"/>
  <c r="BG6" i="1"/>
  <c r="BG46" i="1"/>
  <c r="BG43" i="1"/>
  <c r="BG41" i="1"/>
  <c r="BG40" i="1"/>
  <c r="BG37" i="1"/>
  <c r="BG35" i="1"/>
  <c r="BG33" i="1"/>
  <c r="BG29" i="1"/>
  <c r="BG26" i="1"/>
  <c r="BG22" i="1"/>
  <c r="BG47" i="1"/>
  <c r="BA210" i="1"/>
  <c r="BA259" i="1"/>
  <c r="BA275" i="1"/>
  <c r="BA35" i="1"/>
  <c r="BA75" i="1"/>
  <c r="BA242" i="1"/>
  <c r="BA425" i="1"/>
  <c r="BA501" i="1"/>
  <c r="BA92" i="1"/>
  <c r="BA368" i="1"/>
  <c r="BA441" i="1"/>
  <c r="BA525" i="1"/>
  <c r="BA388" i="1"/>
  <c r="BA458" i="1"/>
  <c r="BA54" i="1"/>
  <c r="BA227" i="1"/>
  <c r="BA312" i="1"/>
  <c r="BA409" i="1"/>
  <c r="BA479" i="1"/>
  <c r="BA561" i="1"/>
  <c r="BA6" i="1"/>
  <c r="BA41" i="1"/>
  <c r="BA59" i="1"/>
  <c r="BA80" i="1"/>
  <c r="BA102" i="1"/>
  <c r="BA125" i="1"/>
  <c r="BA141" i="1"/>
  <c r="BA157" i="1"/>
  <c r="BA173" i="1"/>
  <c r="BA188" i="1"/>
  <c r="BA320" i="1"/>
  <c r="BA342" i="1"/>
  <c r="BA29" i="1"/>
  <c r="BA43" i="1"/>
  <c r="BA71" i="1"/>
  <c r="BA90" i="1"/>
  <c r="BA109" i="1"/>
  <c r="BA130" i="1"/>
  <c r="BA146" i="1"/>
  <c r="BA162" i="1"/>
  <c r="BA178" i="1"/>
  <c r="BA193" i="1"/>
  <c r="BA216" i="1"/>
  <c r="BA232" i="1"/>
  <c r="BA247" i="1"/>
  <c r="BA264" i="1"/>
  <c r="BA280" i="1"/>
  <c r="BA307" i="1"/>
  <c r="BA324" i="1"/>
  <c r="BA397" i="1"/>
  <c r="BA434" i="1"/>
  <c r="BA471" i="1"/>
  <c r="BA517" i="1"/>
  <c r="BA546" i="1"/>
  <c r="BA114" i="1"/>
  <c r="BA135" i="1"/>
  <c r="BA151" i="1"/>
  <c r="BA167" i="1"/>
  <c r="BA182" i="1"/>
  <c r="BA201" i="1"/>
  <c r="BA218" i="1"/>
  <c r="BA249" i="1"/>
  <c r="BA266" i="1"/>
  <c r="BA282" i="1"/>
  <c r="BA40" i="1"/>
  <c r="BA55" i="1"/>
  <c r="BA76" i="1"/>
  <c r="BA100" i="1"/>
  <c r="BA121" i="1"/>
  <c r="BA137" i="1"/>
  <c r="BA153" i="1"/>
  <c r="BA169" i="1"/>
  <c r="BA184" i="1"/>
  <c r="BA205" i="1"/>
  <c r="BA237" i="1"/>
  <c r="BA254" i="1"/>
  <c r="BA270" i="1"/>
  <c r="BA286" i="1"/>
  <c r="BA318" i="1"/>
  <c r="BA338" i="1"/>
  <c r="BA375" i="1"/>
  <c r="BA417" i="1"/>
  <c r="BA450" i="1"/>
  <c r="BA487" i="1"/>
  <c r="BG31" i="1"/>
  <c r="BA31" i="1"/>
  <c r="BG42" i="1"/>
  <c r="BA42" i="1"/>
  <c r="BG56" i="1"/>
  <c r="BA56" i="1"/>
  <c r="BG60" i="1"/>
  <c r="BA60" i="1"/>
  <c r="BG73" i="1"/>
  <c r="BA73" i="1"/>
  <c r="BG93" i="1"/>
  <c r="BA93" i="1"/>
  <c r="BG113" i="1"/>
  <c r="BA113" i="1"/>
  <c r="BG126" i="1"/>
  <c r="BA126" i="1"/>
  <c r="BG134" i="1"/>
  <c r="BA134" i="1"/>
  <c r="BG154" i="1"/>
  <c r="BA154" i="1"/>
  <c r="BG158" i="1"/>
  <c r="BA158" i="1"/>
  <c r="BG166" i="1"/>
  <c r="BA166" i="1"/>
  <c r="BG174" i="1"/>
  <c r="BA174" i="1"/>
  <c r="BG181" i="1"/>
  <c r="BA181" i="1"/>
  <c r="BG202" i="1"/>
  <c r="BA202" i="1"/>
  <c r="BG206" i="1"/>
  <c r="BA206" i="1"/>
  <c r="BG215" i="1"/>
  <c r="BA215" i="1"/>
  <c r="BG223" i="1"/>
  <c r="BA223" i="1"/>
  <c r="BG231" i="1"/>
  <c r="BA231" i="1"/>
  <c r="BG255" i="1"/>
  <c r="BA255" i="1"/>
  <c r="BG263" i="1"/>
  <c r="BA263" i="1"/>
  <c r="BG283" i="1"/>
  <c r="BA283" i="1"/>
  <c r="BG304" i="1"/>
  <c r="BA304" i="1"/>
  <c r="BG308" i="1"/>
  <c r="BA308" i="1"/>
  <c r="BG322" i="1"/>
  <c r="BA322" i="1"/>
  <c r="BG339" i="1"/>
  <c r="BA339" i="1"/>
  <c r="BG366" i="1"/>
  <c r="BA366" i="1"/>
  <c r="BG374" i="1"/>
  <c r="BA374" i="1"/>
  <c r="BG386" i="1"/>
  <c r="BA386" i="1"/>
  <c r="BG394" i="1"/>
  <c r="BA394" i="1"/>
  <c r="BB394" i="1"/>
  <c r="BG403" i="1"/>
  <c r="BA403" i="1"/>
  <c r="BG407" i="1"/>
  <c r="BA407" i="1"/>
  <c r="BG415" i="1"/>
  <c r="BA415" i="1"/>
  <c r="BG419" i="1"/>
  <c r="BA419" i="1"/>
  <c r="BB419" i="1"/>
  <c r="BG423" i="1"/>
  <c r="BA423" i="1"/>
  <c r="BG428" i="1"/>
  <c r="BA428" i="1"/>
  <c r="BG432" i="1"/>
  <c r="BA432" i="1"/>
  <c r="BG443" i="1"/>
  <c r="BA443" i="1"/>
  <c r="BG448" i="1"/>
  <c r="BA448" i="1"/>
  <c r="BG452" i="1"/>
  <c r="BA452" i="1"/>
  <c r="BG456" i="1"/>
  <c r="BA456" i="1"/>
  <c r="BG465" i="1"/>
  <c r="BA465" i="1"/>
  <c r="BG469" i="1"/>
  <c r="BA469" i="1"/>
  <c r="BG473" i="1"/>
  <c r="BA473" i="1"/>
  <c r="BG477" i="1"/>
  <c r="BA477" i="1"/>
  <c r="BG481" i="1"/>
  <c r="BA481" i="1"/>
  <c r="BG485" i="1"/>
  <c r="BA485" i="1"/>
  <c r="BG489" i="1"/>
  <c r="BA489" i="1"/>
  <c r="BG494" i="1"/>
  <c r="BA494" i="1"/>
  <c r="BG503" i="1"/>
  <c r="BA503" i="1"/>
  <c r="BG507" i="1"/>
  <c r="BA507" i="1"/>
  <c r="BG519" i="1"/>
  <c r="BA519" i="1"/>
  <c r="BG523" i="1"/>
  <c r="BA523" i="1"/>
  <c r="BG527" i="1"/>
  <c r="BA527" i="1"/>
  <c r="BG531" i="1"/>
  <c r="BA531" i="1"/>
  <c r="BG533" i="1"/>
  <c r="BA533" i="1"/>
  <c r="BG537" i="1"/>
  <c r="BA537" i="1"/>
  <c r="BG540" i="1"/>
  <c r="BA540" i="1"/>
  <c r="BG544" i="1"/>
  <c r="BA544" i="1"/>
  <c r="BG559" i="1"/>
  <c r="BA559" i="1"/>
  <c r="BG563" i="1"/>
  <c r="BA563" i="1"/>
  <c r="BG568" i="1"/>
  <c r="BA568" i="1"/>
  <c r="BA12" i="1"/>
  <c r="BG39" i="1"/>
  <c r="BA39" i="1"/>
  <c r="BG8" i="1"/>
  <c r="BA8" i="1"/>
  <c r="BG16" i="1"/>
  <c r="BA16" i="1"/>
  <c r="BG77" i="1"/>
  <c r="BA77" i="1"/>
  <c r="BG122" i="1"/>
  <c r="BA122" i="1"/>
  <c r="BG138" i="1"/>
  <c r="BA138" i="1"/>
  <c r="BG142" i="1"/>
  <c r="BA142" i="1"/>
  <c r="BG150" i="1"/>
  <c r="BA150" i="1"/>
  <c r="BG170" i="1"/>
  <c r="BA170" i="1"/>
  <c r="BG185" i="1"/>
  <c r="BA185" i="1"/>
  <c r="BG197" i="1"/>
  <c r="BA197" i="1"/>
  <c r="BG219" i="1"/>
  <c r="BA219" i="1"/>
  <c r="BG234" i="1"/>
  <c r="BA234" i="1"/>
  <c r="BG238" i="1"/>
  <c r="BA238" i="1"/>
  <c r="BG246" i="1"/>
  <c r="BA246" i="1"/>
  <c r="BG267" i="1"/>
  <c r="BA267" i="1"/>
  <c r="BG271" i="1"/>
  <c r="BA271" i="1"/>
  <c r="BG287" i="1"/>
  <c r="BA287" i="1"/>
  <c r="BG299" i="1"/>
  <c r="BA299" i="1"/>
  <c r="BG316" i="1"/>
  <c r="BA316" i="1"/>
  <c r="BG327" i="1"/>
  <c r="BA327" i="1"/>
  <c r="BG343" i="1"/>
  <c r="BA343" i="1"/>
  <c r="BG362" i="1"/>
  <c r="BA362" i="1"/>
  <c r="BG370" i="1"/>
  <c r="BA370" i="1"/>
  <c r="BG377" i="1"/>
  <c r="BA377" i="1"/>
  <c r="BG390" i="1"/>
  <c r="BA390" i="1"/>
  <c r="BG411" i="1"/>
  <c r="BA411" i="1"/>
  <c r="BG23" i="1"/>
  <c r="BA23" i="1"/>
  <c r="BG28" i="1"/>
  <c r="BA28" i="1"/>
  <c r="BG32" i="1"/>
  <c r="BA32" i="1"/>
  <c r="BG36" i="1"/>
  <c r="BA36" i="1"/>
  <c r="BA22" i="1"/>
  <c r="BA64" i="1"/>
  <c r="BG57" i="1"/>
  <c r="BA57" i="1"/>
  <c r="BG65" i="1"/>
  <c r="BA65" i="1"/>
  <c r="BG78" i="1"/>
  <c r="BA78" i="1"/>
  <c r="BG94" i="1"/>
  <c r="BA94" i="1"/>
  <c r="BG363" i="1"/>
  <c r="BA363" i="1"/>
  <c r="BG371" i="1"/>
  <c r="BA371" i="1"/>
  <c r="BG383" i="1"/>
  <c r="BA383" i="1"/>
  <c r="BG391" i="1"/>
  <c r="BA391" i="1"/>
  <c r="BG404" i="1"/>
  <c r="BA404" i="1"/>
  <c r="BG412" i="1"/>
  <c r="BA412" i="1"/>
  <c r="BG420" i="1"/>
  <c r="BA420" i="1"/>
  <c r="BG429" i="1"/>
  <c r="BA429" i="1"/>
  <c r="BG437" i="1"/>
  <c r="BA437" i="1"/>
  <c r="BG445" i="1"/>
  <c r="BA445" i="1"/>
  <c r="BG453" i="1"/>
  <c r="BA453" i="1"/>
  <c r="BG466" i="1"/>
  <c r="BA466" i="1"/>
  <c r="BG474" i="1"/>
  <c r="BA474" i="1"/>
  <c r="BG490" i="1"/>
  <c r="BA490" i="1"/>
  <c r="BG504" i="1"/>
  <c r="BA504" i="1"/>
  <c r="BG520" i="1"/>
  <c r="BA520" i="1"/>
  <c r="BG528" i="1"/>
  <c r="BA528" i="1"/>
  <c r="BG551" i="1"/>
  <c r="BA551" i="1"/>
  <c r="BG564" i="1"/>
  <c r="BA564" i="1"/>
  <c r="BA13" i="1"/>
  <c r="BA110" i="1"/>
  <c r="BA131" i="1"/>
  <c r="BA211" i="1"/>
  <c r="BA243" i="1"/>
  <c r="BA276" i="1"/>
  <c r="BA313" i="1"/>
  <c r="BG30" i="1"/>
  <c r="BA30" i="1"/>
  <c r="BG34" i="1"/>
  <c r="BA34" i="1"/>
  <c r="BG38" i="1"/>
  <c r="BA38" i="1"/>
  <c r="BG44" i="1"/>
  <c r="BA44" i="1"/>
  <c r="BG7" i="1"/>
  <c r="BA7" i="1"/>
  <c r="BG11" i="1"/>
  <c r="BA11" i="1"/>
  <c r="BG15" i="1"/>
  <c r="BA15" i="1"/>
  <c r="BG361" i="1"/>
  <c r="BA361" i="1"/>
  <c r="BG365" i="1"/>
  <c r="BA365" i="1"/>
  <c r="BG369" i="1"/>
  <c r="BA369" i="1"/>
  <c r="BG376" i="1"/>
  <c r="BA376" i="1"/>
  <c r="BG385" i="1"/>
  <c r="BA385" i="1"/>
  <c r="BG389" i="1"/>
  <c r="BA389" i="1"/>
  <c r="BG393" i="1"/>
  <c r="BA393" i="1"/>
  <c r="BG406" i="1"/>
  <c r="BA406" i="1"/>
  <c r="BG410" i="1"/>
  <c r="BA410" i="1"/>
  <c r="BG414" i="1"/>
  <c r="BA414" i="1"/>
  <c r="BG418" i="1"/>
  <c r="BA418" i="1"/>
  <c r="BG427" i="1"/>
  <c r="BA427" i="1"/>
  <c r="BG431" i="1"/>
  <c r="BA431" i="1"/>
  <c r="BG442" i="1"/>
  <c r="BA442" i="1"/>
  <c r="BG447" i="1"/>
  <c r="BA447" i="1"/>
  <c r="BG451" i="1"/>
  <c r="BA451" i="1"/>
  <c r="BG455" i="1"/>
  <c r="BA455" i="1"/>
  <c r="BG459" i="1"/>
  <c r="BA459" i="1"/>
  <c r="BG468" i="1"/>
  <c r="BA468" i="1"/>
  <c r="BG472" i="1"/>
  <c r="BA472" i="1"/>
  <c r="BG476" i="1"/>
  <c r="BA476" i="1"/>
  <c r="BG480" i="1"/>
  <c r="BA480" i="1"/>
  <c r="BG484" i="1"/>
  <c r="BA484" i="1"/>
  <c r="BG488" i="1"/>
  <c r="BA488" i="1"/>
  <c r="BG493" i="1"/>
  <c r="BA493" i="1"/>
  <c r="BG502" i="1"/>
  <c r="BA502" i="1"/>
  <c r="BG506" i="1"/>
  <c r="BA506" i="1"/>
  <c r="BB506" i="1"/>
  <c r="BG518" i="1"/>
  <c r="BA518" i="1"/>
  <c r="BG522" i="1"/>
  <c r="BA522" i="1"/>
  <c r="BG526" i="1"/>
  <c r="BA526" i="1"/>
  <c r="BG530" i="1"/>
  <c r="BA530" i="1"/>
  <c r="BG535" i="1"/>
  <c r="BA535" i="1"/>
  <c r="BG539" i="1"/>
  <c r="BA539" i="1"/>
  <c r="BG543" i="1"/>
  <c r="BA543" i="1"/>
  <c r="BG547" i="1"/>
  <c r="BA547" i="1"/>
  <c r="BG558" i="1"/>
  <c r="BA558" i="1"/>
  <c r="BG562" i="1"/>
  <c r="BA562" i="1"/>
  <c r="BG566" i="1"/>
  <c r="BA566" i="1"/>
  <c r="BA10" i="1"/>
  <c r="BA33" i="1"/>
  <c r="BA47" i="1"/>
  <c r="BA58" i="1"/>
  <c r="BA63" i="1"/>
  <c r="BA79" i="1"/>
  <c r="BB79" i="1"/>
  <c r="BA89" i="1"/>
  <c r="BA123" i="1"/>
  <c r="BA129" i="1"/>
  <c r="BA139" i="1"/>
  <c r="BA145" i="1"/>
  <c r="BA155" i="1"/>
  <c r="BA161" i="1"/>
  <c r="BA171" i="1"/>
  <c r="BA186" i="1"/>
  <c r="BA192" i="1"/>
  <c r="BA203" i="1"/>
  <c r="BA209" i="1"/>
  <c r="BA220" i="1"/>
  <c r="BA226" i="1"/>
  <c r="BA235" i="1"/>
  <c r="BA241" i="1"/>
  <c r="BA258" i="1"/>
  <c r="BA274" i="1"/>
  <c r="BA290" i="1"/>
  <c r="BA305" i="1"/>
  <c r="BA311" i="1"/>
  <c r="BA323" i="1"/>
  <c r="BA330" i="1"/>
  <c r="BA340" i="1"/>
  <c r="BG53" i="1"/>
  <c r="BA53" i="1"/>
  <c r="BG61" i="1"/>
  <c r="BA61" i="1"/>
  <c r="BB61" i="1"/>
  <c r="BG74" i="1"/>
  <c r="BA74" i="1"/>
  <c r="BG86" i="1"/>
  <c r="BA86" i="1"/>
  <c r="BG91" i="1"/>
  <c r="BA91" i="1"/>
  <c r="BG103" i="1"/>
  <c r="BA103" i="1"/>
  <c r="BG367" i="1"/>
  <c r="BA367" i="1"/>
  <c r="BG387" i="1"/>
  <c r="BA387" i="1"/>
  <c r="BG395" i="1"/>
  <c r="BA395" i="1"/>
  <c r="BG408" i="1"/>
  <c r="BA408" i="1"/>
  <c r="BG416" i="1"/>
  <c r="BA416" i="1"/>
  <c r="BG424" i="1"/>
  <c r="BA424" i="1"/>
  <c r="BG433" i="1"/>
  <c r="BA433" i="1"/>
  <c r="BG449" i="1"/>
  <c r="BA449" i="1"/>
  <c r="BG457" i="1"/>
  <c r="BA457" i="1"/>
  <c r="BG470" i="1"/>
  <c r="BA470" i="1"/>
  <c r="BG478" i="1"/>
  <c r="BA478" i="1"/>
  <c r="BG486" i="1"/>
  <c r="BA486" i="1"/>
  <c r="BG500" i="1"/>
  <c r="BA500" i="1"/>
  <c r="BG513" i="1"/>
  <c r="BA513" i="1"/>
  <c r="BG524" i="1"/>
  <c r="BA524" i="1"/>
  <c r="BG532" i="1"/>
  <c r="BA532" i="1"/>
  <c r="BG560" i="1"/>
  <c r="BA560" i="1"/>
  <c r="BA147" i="1"/>
  <c r="BA163" i="1"/>
  <c r="BA194" i="1"/>
  <c r="BA228" i="1"/>
  <c r="BA260" i="1"/>
  <c r="BA296" i="1"/>
  <c r="BA344" i="1"/>
  <c r="BG24" i="1"/>
  <c r="BA24" i="1"/>
  <c r="BG111" i="1"/>
  <c r="BA111" i="1"/>
  <c r="BG120" i="1"/>
  <c r="BA120" i="1"/>
  <c r="BG124" i="1"/>
  <c r="BA124" i="1"/>
  <c r="BG128" i="1"/>
  <c r="BA128" i="1"/>
  <c r="BG132" i="1"/>
  <c r="BA132" i="1"/>
  <c r="BG136" i="1"/>
  <c r="BA136" i="1"/>
  <c r="BG140" i="1"/>
  <c r="BA140" i="1"/>
  <c r="BG144" i="1"/>
  <c r="BA144" i="1"/>
  <c r="BG148" i="1"/>
  <c r="BA148" i="1"/>
  <c r="BG152" i="1"/>
  <c r="BA152" i="1"/>
  <c r="BG156" i="1"/>
  <c r="BA156" i="1"/>
  <c r="BG160" i="1"/>
  <c r="BA160" i="1"/>
  <c r="BG164" i="1"/>
  <c r="BA164" i="1"/>
  <c r="BG168" i="1"/>
  <c r="BA168" i="1"/>
  <c r="BG172" i="1"/>
  <c r="BA172" i="1"/>
  <c r="BG176" i="1"/>
  <c r="BA176" i="1"/>
  <c r="BG183" i="1"/>
  <c r="BA183" i="1"/>
  <c r="BG187" i="1"/>
  <c r="BA187" i="1"/>
  <c r="BG191" i="1"/>
  <c r="BA191" i="1"/>
  <c r="BG195" i="1"/>
  <c r="BA195" i="1"/>
  <c r="BG200" i="1"/>
  <c r="BA200" i="1"/>
  <c r="BG204" i="1"/>
  <c r="BA204" i="1"/>
  <c r="BG212" i="1"/>
  <c r="BA212" i="1"/>
  <c r="BG217" i="1"/>
  <c r="BA217" i="1"/>
  <c r="BG222" i="1"/>
  <c r="BA222" i="1"/>
  <c r="BG225" i="1"/>
  <c r="BA225" i="1"/>
  <c r="BG229" i="1"/>
  <c r="BA229" i="1"/>
  <c r="BG233" i="1"/>
  <c r="BA233" i="1"/>
  <c r="BG236" i="1"/>
  <c r="BA236" i="1"/>
  <c r="BG240" i="1"/>
  <c r="BA240" i="1"/>
  <c r="BG244" i="1"/>
  <c r="BA244" i="1"/>
  <c r="BG253" i="1"/>
  <c r="BA253" i="1"/>
  <c r="BG257" i="1"/>
  <c r="BA257" i="1"/>
  <c r="BG261" i="1"/>
  <c r="BA261" i="1"/>
  <c r="BG265" i="1"/>
  <c r="BA265" i="1"/>
  <c r="BG269" i="1"/>
  <c r="BA269" i="1"/>
  <c r="BG277" i="1"/>
  <c r="BA277" i="1"/>
  <c r="BG285" i="1"/>
  <c r="BA285" i="1"/>
  <c r="BG289" i="1"/>
  <c r="BA289" i="1"/>
  <c r="BG297" i="1"/>
  <c r="BA297" i="1"/>
  <c r="BG302" i="1"/>
  <c r="BA302" i="1"/>
  <c r="BG306" i="1"/>
  <c r="BA306" i="1"/>
  <c r="BG310" i="1"/>
  <c r="BA310" i="1"/>
  <c r="BG314" i="1"/>
  <c r="BA314" i="1"/>
  <c r="BG329" i="1"/>
  <c r="BA329" i="1"/>
  <c r="BG334" i="1"/>
  <c r="BA334" i="1"/>
  <c r="BG337" i="1"/>
  <c r="BA337" i="1"/>
  <c r="BG341" i="1"/>
  <c r="BA341" i="1"/>
  <c r="BG345" i="1"/>
  <c r="BA345" i="1"/>
  <c r="BG359" i="1"/>
  <c r="BA359" i="1"/>
  <c r="BA9" i="1"/>
  <c r="BA14" i="1"/>
  <c r="BA26" i="1"/>
  <c r="BA37" i="1"/>
  <c r="BA46" i="1"/>
  <c r="BA62" i="1"/>
  <c r="BA72" i="1"/>
  <c r="BA88" i="1"/>
  <c r="BA112" i="1"/>
  <c r="BA127" i="1"/>
  <c r="BA133" i="1"/>
  <c r="BA143" i="1"/>
  <c r="BA149" i="1"/>
  <c r="BA159" i="1"/>
  <c r="BA165" i="1"/>
  <c r="BA175" i="1"/>
  <c r="BB175" i="1"/>
  <c r="BA180" i="1"/>
  <c r="BA190" i="1"/>
  <c r="BA196" i="1"/>
  <c r="BA207" i="1"/>
  <c r="BA214" i="1"/>
  <c r="BA224" i="1"/>
  <c r="BA230" i="1"/>
  <c r="BA239" i="1"/>
  <c r="BA245" i="1"/>
  <c r="BA256" i="1"/>
  <c r="BA262" i="1"/>
  <c r="BA272" i="1"/>
  <c r="BA278" i="1"/>
  <c r="BA288" i="1"/>
  <c r="BA298" i="1"/>
  <c r="BA309" i="1"/>
  <c r="BA346" i="1"/>
  <c r="BA364" i="1"/>
  <c r="BA372" i="1"/>
  <c r="BA384" i="1"/>
  <c r="BA392" i="1"/>
  <c r="BA405" i="1"/>
  <c r="BA413" i="1"/>
  <c r="BA421" i="1"/>
  <c r="BA430" i="1"/>
  <c r="BA438" i="1"/>
  <c r="BA446" i="1"/>
  <c r="BA454" i="1"/>
  <c r="BA467" i="1"/>
  <c r="BA475" i="1"/>
  <c r="BA483" i="1"/>
  <c r="BA491" i="1"/>
  <c r="BA505" i="1"/>
  <c r="BA521" i="1"/>
  <c r="BA529" i="1"/>
  <c r="BA534" i="1"/>
  <c r="BA542" i="1"/>
  <c r="BA557" i="1"/>
  <c r="BA565" i="1"/>
  <c r="BA569" i="1"/>
  <c r="BD587" i="1"/>
  <c r="BD586" i="1"/>
  <c r="BD569" i="1"/>
  <c r="BD568" i="1"/>
  <c r="BD566" i="1"/>
  <c r="BD565" i="1"/>
  <c r="BD564" i="1"/>
  <c r="BD563" i="1"/>
  <c r="BD562" i="1"/>
  <c r="BD561" i="1"/>
  <c r="BD560" i="1"/>
  <c r="BD559" i="1"/>
  <c r="BD558" i="1"/>
  <c r="BD557" i="1"/>
  <c r="BD551" i="1"/>
  <c r="BD550" i="1"/>
  <c r="BD547" i="1"/>
  <c r="BD546" i="1"/>
  <c r="BD544" i="1"/>
  <c r="BD543" i="1"/>
  <c r="BD542" i="1"/>
  <c r="BD540" i="1"/>
  <c r="BD539" i="1"/>
  <c r="BD537" i="1"/>
  <c r="BD535" i="1"/>
  <c r="BD534" i="1"/>
  <c r="BD533" i="1"/>
  <c r="BD532" i="1"/>
  <c r="BD531" i="1"/>
  <c r="BD530" i="1"/>
  <c r="BD529" i="1"/>
  <c r="BD528" i="1"/>
  <c r="BD527" i="1"/>
  <c r="BD526" i="1"/>
  <c r="BD525" i="1"/>
  <c r="BD524" i="1"/>
  <c r="BD523" i="1"/>
  <c r="BD522" i="1"/>
  <c r="BD521" i="1"/>
  <c r="BD520" i="1"/>
  <c r="BD519" i="1"/>
  <c r="BD518" i="1"/>
  <c r="BD517" i="1"/>
  <c r="BD513" i="1"/>
  <c r="BD507" i="1"/>
  <c r="BD506" i="1"/>
  <c r="BD505" i="1"/>
  <c r="BD504" i="1"/>
  <c r="BD503" i="1"/>
  <c r="BD502" i="1"/>
  <c r="BD501" i="1"/>
  <c r="BD500" i="1"/>
  <c r="BD494" i="1"/>
  <c r="BD493" i="1"/>
  <c r="BD491" i="1"/>
  <c r="BD490" i="1"/>
  <c r="BD489" i="1"/>
  <c r="BD488" i="1"/>
  <c r="BD487" i="1"/>
  <c r="BD486" i="1"/>
  <c r="BD485" i="1"/>
  <c r="BD484" i="1"/>
  <c r="BD483" i="1"/>
  <c r="BD481" i="1"/>
  <c r="BD480" i="1"/>
  <c r="BD479" i="1"/>
  <c r="BD478" i="1"/>
  <c r="BD477" i="1"/>
  <c r="BD476" i="1"/>
  <c r="BD475" i="1"/>
  <c r="BD474" i="1"/>
  <c r="BD473" i="1"/>
  <c r="BD472" i="1"/>
  <c r="BD471" i="1"/>
  <c r="BD470" i="1"/>
  <c r="BD469" i="1"/>
  <c r="BD468" i="1"/>
  <c r="BD467" i="1"/>
  <c r="BD466" i="1"/>
  <c r="BD465" i="1"/>
  <c r="BD459" i="1"/>
  <c r="BD458" i="1"/>
  <c r="BD457" i="1"/>
  <c r="BD456" i="1"/>
  <c r="BD455" i="1"/>
  <c r="BD454" i="1"/>
  <c r="BD453" i="1"/>
  <c r="BD452" i="1"/>
  <c r="BD451" i="1"/>
  <c r="BD450" i="1"/>
  <c r="BD449" i="1"/>
  <c r="BD448" i="1"/>
  <c r="BD447" i="1"/>
  <c r="BD446" i="1"/>
  <c r="BD445" i="1"/>
  <c r="BD443" i="1"/>
  <c r="BD442" i="1"/>
  <c r="BD441" i="1"/>
  <c r="BD440" i="1"/>
  <c r="BD439" i="1"/>
  <c r="BD438" i="1"/>
  <c r="BD437" i="1"/>
  <c r="BD435" i="1"/>
  <c r="BD434" i="1"/>
  <c r="BD433" i="1"/>
  <c r="BD432" i="1"/>
  <c r="BD431" i="1"/>
  <c r="BD430" i="1"/>
  <c r="BD429" i="1"/>
  <c r="BD428" i="1"/>
  <c r="BD427" i="1"/>
  <c r="BD425" i="1"/>
  <c r="BD424" i="1"/>
  <c r="BD423" i="1"/>
  <c r="BD421" i="1"/>
  <c r="BD420" i="1"/>
  <c r="BD419" i="1"/>
  <c r="BD418" i="1"/>
  <c r="BD417" i="1"/>
  <c r="BD416" i="1"/>
  <c r="BD415" i="1"/>
  <c r="BD414" i="1"/>
  <c r="BD413" i="1"/>
  <c r="BD412" i="1"/>
  <c r="BD411" i="1"/>
  <c r="BD410" i="1"/>
  <c r="BD409" i="1"/>
  <c r="BD408" i="1"/>
  <c r="BD407" i="1"/>
  <c r="BD406" i="1"/>
  <c r="BD405" i="1"/>
  <c r="BD404" i="1"/>
  <c r="BD403" i="1"/>
  <c r="BD397" i="1"/>
  <c r="BD395" i="1"/>
  <c r="BD394" i="1"/>
  <c r="BD393" i="1"/>
  <c r="BD392" i="1"/>
  <c r="BD391" i="1"/>
  <c r="BD390" i="1"/>
  <c r="BD389" i="1"/>
  <c r="BD388" i="1"/>
  <c r="BD387" i="1"/>
  <c r="BD386" i="1"/>
  <c r="BD385" i="1"/>
  <c r="BD384" i="1"/>
  <c r="BD383" i="1"/>
  <c r="BD377" i="1"/>
  <c r="BD376" i="1"/>
  <c r="BD375" i="1"/>
  <c r="BD374" i="1"/>
  <c r="BD372" i="1"/>
  <c r="BD371" i="1"/>
  <c r="BD370" i="1"/>
  <c r="BD369" i="1"/>
  <c r="BD368" i="1"/>
  <c r="BD367" i="1"/>
  <c r="BD366" i="1"/>
  <c r="BD365" i="1"/>
  <c r="BD364" i="1"/>
  <c r="BD363" i="1"/>
  <c r="BD362" i="1"/>
  <c r="BD361" i="1"/>
  <c r="BD360" i="1"/>
  <c r="BD359" i="1"/>
  <c r="BD346" i="1"/>
  <c r="BD345" i="1"/>
  <c r="BD344" i="1"/>
  <c r="BD343" i="1"/>
  <c r="BD342" i="1"/>
  <c r="BD341" i="1"/>
  <c r="BD340" i="1"/>
  <c r="BD339" i="1"/>
  <c r="BD338" i="1"/>
  <c r="BD337" i="1"/>
  <c r="BD334" i="1"/>
  <c r="BD333" i="1"/>
  <c r="BD331" i="1"/>
  <c r="BD330" i="1"/>
  <c r="BD329" i="1"/>
  <c r="BD328" i="1"/>
  <c r="BD327" i="1"/>
  <c r="BD324" i="1"/>
  <c r="BD323" i="1"/>
  <c r="BD322" i="1"/>
  <c r="BD320" i="1"/>
  <c r="BD318" i="1"/>
  <c r="BD316" i="1"/>
  <c r="BD315" i="1"/>
  <c r="BD314" i="1"/>
  <c r="BD313" i="1"/>
  <c r="BD312" i="1"/>
  <c r="BD311" i="1"/>
  <c r="BD310" i="1"/>
  <c r="BD309" i="1"/>
  <c r="BD308" i="1"/>
  <c r="BD307" i="1"/>
  <c r="BD306" i="1"/>
  <c r="BD305" i="1"/>
  <c r="BD304" i="1"/>
  <c r="BD302" i="1"/>
  <c r="BD300" i="1"/>
  <c r="BD299" i="1"/>
  <c r="BD298" i="1"/>
  <c r="BD297" i="1"/>
  <c r="BD296" i="1"/>
  <c r="BD291" i="1"/>
  <c r="BD290" i="1"/>
  <c r="BD289" i="1"/>
  <c r="BD288" i="1"/>
  <c r="BD287" i="1"/>
  <c r="BD286" i="1"/>
  <c r="BD285" i="1"/>
  <c r="BD283" i="1"/>
  <c r="BD282" i="1"/>
  <c r="BD281" i="1"/>
  <c r="BD280" i="1"/>
  <c r="BD279" i="1"/>
  <c r="BD278" i="1"/>
  <c r="BD277" i="1"/>
  <c r="BD276" i="1"/>
  <c r="BD275" i="1"/>
  <c r="BD274" i="1"/>
  <c r="BD273" i="1"/>
  <c r="BD272" i="1"/>
  <c r="BD271" i="1"/>
  <c r="BD270" i="1"/>
  <c r="BD269" i="1"/>
  <c r="BD267" i="1"/>
  <c r="BD266" i="1"/>
  <c r="BD265" i="1"/>
  <c r="BD264" i="1"/>
  <c r="BD263" i="1"/>
  <c r="BD262" i="1"/>
  <c r="BD261" i="1"/>
  <c r="BD260" i="1"/>
  <c r="BD259" i="1"/>
  <c r="BD258" i="1"/>
  <c r="BD257" i="1"/>
  <c r="BD256" i="1"/>
  <c r="BD255" i="1"/>
  <c r="BD254" i="1"/>
  <c r="BD253" i="1"/>
  <c r="BD250" i="1"/>
  <c r="BD249" i="1"/>
  <c r="BD248" i="1"/>
  <c r="BD247" i="1"/>
  <c r="BD246" i="1"/>
  <c r="BD245" i="1"/>
  <c r="BD244" i="1"/>
  <c r="BD243" i="1"/>
  <c r="BD242" i="1"/>
  <c r="BD241" i="1"/>
  <c r="BD240" i="1"/>
  <c r="BD239" i="1"/>
  <c r="BD238" i="1"/>
  <c r="BD237" i="1"/>
  <c r="BD236" i="1"/>
  <c r="BD235" i="1"/>
  <c r="BD234" i="1"/>
  <c r="BD233" i="1"/>
  <c r="BD232" i="1"/>
  <c r="BD231" i="1"/>
  <c r="BD230" i="1"/>
  <c r="BD229" i="1"/>
  <c r="BD228" i="1"/>
  <c r="BD227" i="1"/>
  <c r="BD226" i="1"/>
  <c r="BD225" i="1"/>
  <c r="BD224" i="1"/>
  <c r="BD223" i="1"/>
  <c r="BD222" i="1"/>
  <c r="BD220" i="1"/>
  <c r="BD219" i="1"/>
  <c r="BD218" i="1"/>
  <c r="BD217" i="1"/>
  <c r="BD216" i="1"/>
  <c r="BD215" i="1"/>
  <c r="BD214" i="1"/>
  <c r="BD212" i="1"/>
  <c r="BD211" i="1"/>
  <c r="BD210" i="1"/>
  <c r="BD209" i="1"/>
  <c r="BD208" i="1"/>
  <c r="BD207" i="1"/>
  <c r="BD206" i="1"/>
  <c r="BD205" i="1"/>
  <c r="BD204" i="1"/>
  <c r="BD203" i="1"/>
  <c r="BD202" i="1"/>
  <c r="BD201" i="1"/>
  <c r="BD200" i="1"/>
  <c r="BD199" i="1"/>
  <c r="BD197" i="1"/>
  <c r="BD196" i="1"/>
  <c r="BD195" i="1"/>
  <c r="BD194" i="1"/>
  <c r="BD193" i="1"/>
  <c r="BD192" i="1"/>
  <c r="BD191" i="1"/>
  <c r="BD190" i="1"/>
  <c r="BD189" i="1"/>
  <c r="BD188" i="1"/>
  <c r="BD187" i="1"/>
  <c r="BD186" i="1"/>
  <c r="BD185" i="1"/>
  <c r="BD184" i="1"/>
  <c r="BD183" i="1"/>
  <c r="BD182" i="1"/>
  <c r="BD181" i="1"/>
  <c r="BD180" i="1"/>
  <c r="BD179" i="1"/>
  <c r="BD178" i="1"/>
  <c r="BD177" i="1"/>
  <c r="BD176" i="1"/>
  <c r="BD175" i="1"/>
  <c r="BD174" i="1"/>
  <c r="BD173" i="1"/>
  <c r="BD172" i="1"/>
  <c r="BD171" i="1"/>
  <c r="BD170" i="1"/>
  <c r="BD169" i="1"/>
  <c r="BD168" i="1"/>
  <c r="BD167" i="1"/>
  <c r="BD166" i="1"/>
  <c r="BD165" i="1"/>
  <c r="BD164" i="1"/>
  <c r="BD163" i="1"/>
  <c r="BD162" i="1"/>
  <c r="BD161" i="1"/>
  <c r="BD160" i="1"/>
  <c r="BD159" i="1"/>
  <c r="BD158" i="1"/>
  <c r="BD157" i="1"/>
  <c r="BD156" i="1"/>
  <c r="BD155" i="1"/>
  <c r="BD154" i="1"/>
  <c r="BD153" i="1"/>
  <c r="BD152" i="1"/>
  <c r="BD151" i="1"/>
  <c r="BD150" i="1"/>
  <c r="BD149" i="1"/>
  <c r="BD148" i="1"/>
  <c r="BD147" i="1"/>
  <c r="BD146" i="1"/>
  <c r="BD145" i="1"/>
  <c r="BD144" i="1"/>
  <c r="BD143" i="1"/>
  <c r="BD142" i="1"/>
  <c r="BD141" i="1"/>
  <c r="BD140" i="1"/>
  <c r="BD139" i="1"/>
  <c r="BD138" i="1"/>
  <c r="BD137" i="1"/>
  <c r="BD136" i="1"/>
  <c r="BD135" i="1"/>
  <c r="BD134" i="1"/>
  <c r="BD133" i="1"/>
  <c r="BD132" i="1"/>
  <c r="BD131" i="1"/>
  <c r="BD130" i="1"/>
  <c r="BD129" i="1"/>
  <c r="BD128" i="1"/>
  <c r="BD127" i="1"/>
  <c r="BD126" i="1"/>
  <c r="BD125" i="1"/>
  <c r="BD124" i="1"/>
  <c r="BD123" i="1"/>
  <c r="BD122" i="1"/>
  <c r="BD121" i="1"/>
  <c r="BD120" i="1"/>
  <c r="BD114" i="1"/>
  <c r="BD113" i="1"/>
  <c r="BD112" i="1"/>
  <c r="BD111" i="1"/>
  <c r="BD110" i="1"/>
  <c r="BD109" i="1"/>
  <c r="BD102" i="1"/>
  <c r="BD100" i="1"/>
  <c r="BD94" i="1"/>
  <c r="BD93" i="1"/>
  <c r="BD92" i="1"/>
  <c r="BD91" i="1"/>
  <c r="BD90" i="1"/>
  <c r="BD89" i="1"/>
  <c r="BD88" i="1"/>
  <c r="BD86" i="1"/>
  <c r="BD80" i="1"/>
  <c r="BD79" i="1"/>
  <c r="BD78" i="1"/>
  <c r="BD77" i="1"/>
  <c r="BD76" i="1"/>
  <c r="BD75" i="1"/>
  <c r="BD74" i="1"/>
  <c r="BD73" i="1"/>
  <c r="BD72" i="1"/>
  <c r="BD71" i="1"/>
  <c r="BD65" i="1"/>
  <c r="BD64" i="1"/>
  <c r="BD63" i="1"/>
  <c r="BD62" i="1"/>
  <c r="BD61" i="1"/>
  <c r="BD60" i="1"/>
  <c r="BD59" i="1"/>
  <c r="BD58" i="1"/>
  <c r="BD57" i="1"/>
  <c r="BD56" i="1"/>
  <c r="BD55" i="1"/>
  <c r="BD54" i="1"/>
  <c r="BD53" i="1"/>
  <c r="BD47" i="1"/>
  <c r="BD46" i="1"/>
  <c r="BD45" i="1"/>
  <c r="BD44" i="1"/>
  <c r="BD43" i="1"/>
  <c r="BD42" i="1"/>
  <c r="BD41" i="1"/>
  <c r="BD40" i="1"/>
  <c r="BD39" i="1"/>
  <c r="BD38" i="1"/>
  <c r="BD37" i="1"/>
  <c r="BD36" i="1"/>
  <c r="BD35" i="1"/>
  <c r="BD34" i="1"/>
  <c r="BD33" i="1"/>
  <c r="BD32" i="1"/>
  <c r="BD30" i="1"/>
  <c r="BD29" i="1"/>
  <c r="BD28" i="1"/>
  <c r="BD27" i="1"/>
  <c r="BD26" i="1"/>
  <c r="BD24" i="1"/>
  <c r="BD23" i="1"/>
  <c r="BD22" i="1"/>
  <c r="BD16" i="1"/>
  <c r="BD15" i="1"/>
  <c r="BD14" i="1"/>
  <c r="BD13" i="1"/>
  <c r="BD12" i="1"/>
  <c r="BD11" i="1"/>
  <c r="BD10" i="1"/>
  <c r="BD9" i="1"/>
  <c r="BD8" i="1"/>
  <c r="BD7" i="1"/>
  <c r="BD6" i="1"/>
  <c r="BD577" i="1"/>
  <c r="BD579" i="1"/>
  <c r="BD581" i="1"/>
  <c r="B581" i="1"/>
  <c r="B582" i="1"/>
  <c r="B583" i="1"/>
  <c r="BD582" i="1"/>
  <c r="B580" i="1"/>
  <c r="B453" i="1"/>
  <c r="R498" i="1"/>
  <c r="R556" i="1"/>
  <c r="R555" i="1"/>
  <c r="R512" i="1"/>
  <c r="R511" i="1"/>
  <c r="R499" i="1"/>
  <c r="R464" i="1"/>
  <c r="R463" i="1"/>
  <c r="R402" i="1"/>
  <c r="R401" i="1"/>
  <c r="R382" i="1"/>
  <c r="R381" i="1"/>
  <c r="R358" i="1"/>
  <c r="R357" i="1"/>
  <c r="R119" i="1"/>
  <c r="R118" i="1"/>
  <c r="R108" i="1"/>
  <c r="R107" i="1"/>
  <c r="R99" i="1"/>
  <c r="R98" i="1"/>
  <c r="R85" i="1"/>
  <c r="R84" i="1"/>
  <c r="R70" i="1"/>
  <c r="R69" i="1"/>
  <c r="R52" i="1"/>
  <c r="R51" i="1"/>
  <c r="R21" i="1"/>
  <c r="R20" i="1"/>
  <c r="Q556" i="1"/>
  <c r="Q512" i="1"/>
  <c r="Q499" i="1"/>
  <c r="Q464" i="1"/>
  <c r="Q402" i="1"/>
  <c r="Q382" i="1"/>
  <c r="Q358" i="1"/>
  <c r="Q119" i="1"/>
  <c r="Q108" i="1"/>
  <c r="Q99" i="1"/>
  <c r="Q85" i="1"/>
  <c r="Q70" i="1"/>
  <c r="Q52" i="1"/>
  <c r="Q21" i="1"/>
  <c r="P556" i="1"/>
  <c r="P512" i="1"/>
  <c r="P499" i="1"/>
  <c r="P464" i="1"/>
  <c r="P402" i="1"/>
  <c r="P382" i="1"/>
  <c r="P358" i="1"/>
  <c r="P119" i="1"/>
  <c r="P108" i="1"/>
  <c r="P99" i="1"/>
  <c r="P85" i="1"/>
  <c r="P70" i="1"/>
  <c r="P52" i="1"/>
  <c r="P21" i="1"/>
  <c r="O556" i="1"/>
  <c r="O512" i="1"/>
  <c r="O499" i="1"/>
  <c r="O464" i="1"/>
  <c r="O402" i="1"/>
  <c r="O382" i="1"/>
  <c r="O358" i="1"/>
  <c r="O119" i="1"/>
  <c r="O108" i="1"/>
  <c r="O99" i="1"/>
  <c r="O85" i="1"/>
  <c r="O70" i="1"/>
  <c r="O52" i="1"/>
  <c r="O21" i="1"/>
  <c r="N556" i="1"/>
  <c r="N512" i="1"/>
  <c r="N499" i="1"/>
  <c r="N464" i="1"/>
  <c r="N402" i="1"/>
  <c r="N382" i="1"/>
  <c r="N358" i="1"/>
  <c r="N119" i="1"/>
  <c r="N108" i="1"/>
  <c r="N99" i="1"/>
  <c r="N85" i="1"/>
  <c r="N70" i="1"/>
  <c r="N52" i="1"/>
  <c r="N21" i="1"/>
  <c r="AR534" i="1"/>
  <c r="AR418" i="1"/>
  <c r="I533" i="1"/>
  <c r="I371" i="1"/>
  <c r="I92" i="1"/>
  <c r="AR174" i="1"/>
  <c r="I174" i="1"/>
  <c r="I42" i="1"/>
  <c r="I16" i="1"/>
  <c r="AR173" i="1"/>
  <c r="I173" i="1"/>
  <c r="H418" i="1"/>
  <c r="F534" i="1"/>
  <c r="H534" i="1"/>
  <c r="F418" i="1"/>
  <c r="H533" i="1"/>
  <c r="AR533" i="1"/>
  <c r="H173" i="1"/>
  <c r="H174" i="1"/>
  <c r="F533" i="1"/>
  <c r="F371" i="1"/>
  <c r="H371" i="1"/>
  <c r="F174" i="1"/>
  <c r="F173" i="1"/>
  <c r="AR86" i="1"/>
  <c r="I86" i="1"/>
  <c r="H86" i="1"/>
  <c r="F86" i="1"/>
  <c r="AR563" i="1"/>
  <c r="I563" i="1"/>
  <c r="AR557" i="1"/>
  <c r="I557" i="1"/>
  <c r="AR558" i="1"/>
  <c r="I558" i="1"/>
  <c r="I559" i="1"/>
  <c r="I564" i="1"/>
  <c r="AR560" i="1"/>
  <c r="I560" i="1"/>
  <c r="I562" i="1"/>
  <c r="AR561" i="1"/>
  <c r="I561" i="1"/>
  <c r="I565" i="1"/>
  <c r="I476" i="1"/>
  <c r="AR525" i="1"/>
  <c r="I525" i="1"/>
  <c r="AR520" i="1"/>
  <c r="I520" i="1"/>
  <c r="AR523" i="1"/>
  <c r="I523" i="1"/>
  <c r="AR524" i="1"/>
  <c r="I524" i="1"/>
  <c r="AR521" i="1"/>
  <c r="I521" i="1"/>
  <c r="I477" i="1"/>
  <c r="AR472" i="1"/>
  <c r="I472" i="1"/>
  <c r="AR480" i="1"/>
  <c r="I480" i="1"/>
  <c r="AR505" i="1"/>
  <c r="I505" i="1"/>
  <c r="AR467" i="1"/>
  <c r="I467" i="1"/>
  <c r="I526" i="1"/>
  <c r="AR466" i="1"/>
  <c r="I466" i="1"/>
  <c r="I474" i="1"/>
  <c r="AR479" i="1"/>
  <c r="I479" i="1"/>
  <c r="AR471" i="1"/>
  <c r="I471" i="1"/>
  <c r="AR501" i="1"/>
  <c r="I501" i="1"/>
  <c r="AR528" i="1"/>
  <c r="I528" i="1"/>
  <c r="AR475" i="1"/>
  <c r="I475" i="1"/>
  <c r="I530" i="1"/>
  <c r="I519" i="1"/>
  <c r="AR529" i="1"/>
  <c r="I529" i="1"/>
  <c r="I478" i="1"/>
  <c r="AR517" i="1"/>
  <c r="I517" i="1"/>
  <c r="K509" i="1"/>
  <c r="AR527" i="1"/>
  <c r="I527" i="1"/>
  <c r="AR502" i="1"/>
  <c r="I502" i="1"/>
  <c r="AR465" i="1"/>
  <c r="I465" i="1"/>
  <c r="I531" i="1"/>
  <c r="I503" i="1"/>
  <c r="AR500" i="1"/>
  <c r="I500" i="1"/>
  <c r="AR469" i="1"/>
  <c r="I469" i="1"/>
  <c r="AR532" i="1"/>
  <c r="I532" i="1"/>
  <c r="AR470" i="1"/>
  <c r="I470" i="1"/>
  <c r="I518" i="1"/>
  <c r="AR522" i="1"/>
  <c r="I522" i="1"/>
  <c r="I481" i="1"/>
  <c r="I468" i="1"/>
  <c r="I473" i="1"/>
  <c r="AR504" i="1"/>
  <c r="I504" i="1"/>
  <c r="AR513" i="1"/>
  <c r="I513" i="1"/>
  <c r="I390" i="1"/>
  <c r="I370" i="1"/>
  <c r="AR369" i="1"/>
  <c r="I369" i="1"/>
  <c r="AR413" i="1"/>
  <c r="I413" i="1"/>
  <c r="H365" i="1"/>
  <c r="I365" i="1"/>
  <c r="I393" i="1"/>
  <c r="AR416" i="1"/>
  <c r="I416" i="1"/>
  <c r="I391" i="1"/>
  <c r="I368" i="1"/>
  <c r="AR385" i="1"/>
  <c r="I385" i="1"/>
  <c r="AR363" i="1"/>
  <c r="I363" i="1"/>
  <c r="I389" i="1"/>
  <c r="AR404" i="1"/>
  <c r="I404" i="1"/>
  <c r="I406" i="1"/>
  <c r="F414" i="1"/>
  <c r="I414" i="1"/>
  <c r="AR407" i="1"/>
  <c r="I407" i="1"/>
  <c r="AR409" i="1"/>
  <c r="I409" i="1"/>
  <c r="I366" i="1"/>
  <c r="I405" i="1"/>
  <c r="AR384" i="1"/>
  <c r="I384" i="1"/>
  <c r="I364" i="1"/>
  <c r="AR386" i="1"/>
  <c r="I386" i="1"/>
  <c r="AR411" i="1"/>
  <c r="I411" i="1"/>
  <c r="I403" i="1"/>
  <c r="I408" i="1"/>
  <c r="AR387" i="1"/>
  <c r="I387" i="1"/>
  <c r="AR359" i="1"/>
  <c r="I359" i="1"/>
  <c r="I367" i="1"/>
  <c r="AR410" i="1"/>
  <c r="I410" i="1"/>
  <c r="I361" i="1"/>
  <c r="AR388" i="1"/>
  <c r="I388" i="1"/>
  <c r="I383" i="1"/>
  <c r="I360" i="1"/>
  <c r="AR392" i="1"/>
  <c r="I392" i="1"/>
  <c r="I415" i="1"/>
  <c r="AR362" i="1"/>
  <c r="I362" i="1"/>
  <c r="I412" i="1"/>
  <c r="AR155" i="1"/>
  <c r="I155" i="1"/>
  <c r="I146" i="1"/>
  <c r="I15" i="1"/>
  <c r="F8" i="1"/>
  <c r="I8" i="1"/>
  <c r="I171" i="1"/>
  <c r="I165" i="1"/>
  <c r="I29" i="1"/>
  <c r="AR132" i="1"/>
  <c r="I132" i="1"/>
  <c r="I158" i="1"/>
  <c r="AR54" i="1"/>
  <c r="I54" i="1"/>
  <c r="AR142" i="1"/>
  <c r="I142" i="1"/>
  <c r="AR27" i="1"/>
  <c r="I27" i="1"/>
  <c r="I124" i="1"/>
  <c r="AR167" i="1"/>
  <c r="I167" i="1"/>
  <c r="AR114" i="1"/>
  <c r="I114" i="1"/>
  <c r="I28" i="1"/>
  <c r="AR143" i="1"/>
  <c r="I143" i="1"/>
  <c r="AR127" i="1"/>
  <c r="I127" i="1"/>
  <c r="I164" i="1"/>
  <c r="I156" i="1"/>
  <c r="AR133" i="1"/>
  <c r="I133" i="1"/>
  <c r="AR72" i="1"/>
  <c r="I72" i="1"/>
  <c r="AR134" i="1"/>
  <c r="I134" i="1"/>
  <c r="I7" i="1"/>
  <c r="AR126" i="1"/>
  <c r="I126" i="1"/>
  <c r="AR71" i="1"/>
  <c r="I71" i="1"/>
  <c r="I122" i="1"/>
  <c r="AR37" i="1"/>
  <c r="I37" i="1"/>
  <c r="AR148" i="1"/>
  <c r="I148" i="1"/>
  <c r="I139" i="1"/>
  <c r="AR172" i="1"/>
  <c r="I172" i="1"/>
  <c r="AR102" i="1"/>
  <c r="I102" i="1"/>
  <c r="AR131" i="1"/>
  <c r="I131" i="1"/>
  <c r="AR120" i="1"/>
  <c r="I120" i="1"/>
  <c r="I78" i="1"/>
  <c r="AR151" i="1"/>
  <c r="I151" i="1"/>
  <c r="AR144" i="1"/>
  <c r="I144" i="1"/>
  <c r="AR88" i="1"/>
  <c r="I88" i="1"/>
  <c r="I30" i="1"/>
  <c r="AR159" i="1"/>
  <c r="I159" i="1"/>
  <c r="AR111" i="1"/>
  <c r="I111" i="1"/>
  <c r="AR23" i="1"/>
  <c r="I23" i="1"/>
  <c r="AR90" i="1"/>
  <c r="I90" i="1"/>
  <c r="AR153" i="1"/>
  <c r="I153" i="1"/>
  <c r="AR110" i="1"/>
  <c r="I110" i="1"/>
  <c r="AR128" i="1"/>
  <c r="I128" i="1"/>
  <c r="I14" i="1"/>
  <c r="I26" i="1"/>
  <c r="I147" i="1"/>
  <c r="I113" i="1"/>
  <c r="AR162" i="1"/>
  <c r="I162" i="1"/>
  <c r="H89" i="1"/>
  <c r="I89" i="1"/>
  <c r="I73" i="1"/>
  <c r="AR157" i="1"/>
  <c r="I157" i="1"/>
  <c r="I145" i="1"/>
  <c r="AR152" i="1"/>
  <c r="I152" i="1"/>
  <c r="I32" i="1"/>
  <c r="I57" i="1"/>
  <c r="I39" i="1"/>
  <c r="AR166" i="1"/>
  <c r="I166" i="1"/>
  <c r="AR13" i="1"/>
  <c r="I13" i="1"/>
  <c r="I130" i="1"/>
  <c r="AR41" i="1"/>
  <c r="I41" i="1"/>
  <c r="AR33" i="1"/>
  <c r="I33" i="1"/>
  <c r="AR58" i="1"/>
  <c r="I58" i="1"/>
  <c r="AR31" i="1"/>
  <c r="I31" i="1"/>
  <c r="AR38" i="1"/>
  <c r="I38" i="1"/>
  <c r="AR59" i="1"/>
  <c r="I59" i="1"/>
  <c r="I34" i="1"/>
  <c r="AR140" i="1"/>
  <c r="I140" i="1"/>
  <c r="AR125" i="1"/>
  <c r="I125" i="1"/>
  <c r="AR161" i="1"/>
  <c r="I161" i="1"/>
  <c r="H22" i="1"/>
  <c r="I22" i="1"/>
  <c r="AR135" i="1"/>
  <c r="I135" i="1"/>
  <c r="AR109" i="1"/>
  <c r="I109" i="1"/>
  <c r="H141" i="1"/>
  <c r="I141" i="1"/>
  <c r="F150" i="1"/>
  <c r="I150" i="1"/>
  <c r="F40" i="1"/>
  <c r="I40" i="1"/>
  <c r="I12" i="1"/>
  <c r="AR77" i="1"/>
  <c r="I77" i="1"/>
  <c r="F121" i="1"/>
  <c r="I121" i="1"/>
  <c r="AR35" i="1"/>
  <c r="I35" i="1"/>
  <c r="AR24" i="1"/>
  <c r="I24" i="1"/>
  <c r="AR138" i="1"/>
  <c r="I138" i="1"/>
  <c r="AR149" i="1"/>
  <c r="I149" i="1"/>
  <c r="AR170" i="1"/>
  <c r="I170" i="1"/>
  <c r="K82" i="1"/>
  <c r="AR100" i="1"/>
  <c r="I100" i="1"/>
  <c r="AR55" i="1"/>
  <c r="I55" i="1"/>
  <c r="I169" i="1"/>
  <c r="I160" i="1"/>
  <c r="I137" i="1"/>
  <c r="F53" i="1"/>
  <c r="I53" i="1"/>
  <c r="AR6" i="1"/>
  <c r="I6" i="1"/>
  <c r="I75" i="1"/>
  <c r="I123" i="1"/>
  <c r="AR129" i="1"/>
  <c r="I129" i="1"/>
  <c r="AR136" i="1"/>
  <c r="I136" i="1"/>
  <c r="H168" i="1"/>
  <c r="I168" i="1"/>
  <c r="AR74" i="1"/>
  <c r="I74" i="1"/>
  <c r="I112" i="1"/>
  <c r="AR11" i="1"/>
  <c r="I11" i="1"/>
  <c r="AR91" i="1"/>
  <c r="I91" i="1"/>
  <c r="F76" i="1"/>
  <c r="I76" i="1"/>
  <c r="I10" i="1"/>
  <c r="I9" i="1"/>
  <c r="AR154" i="1"/>
  <c r="I154" i="1"/>
  <c r="I36" i="1"/>
  <c r="AR163" i="1"/>
  <c r="I163" i="1"/>
  <c r="AR56" i="1"/>
  <c r="I56" i="1"/>
  <c r="H155" i="1"/>
  <c r="H146" i="1"/>
  <c r="H368" i="1"/>
  <c r="H385" i="1"/>
  <c r="H132" i="1"/>
  <c r="H54" i="1"/>
  <c r="H388" i="1"/>
  <c r="H142" i="1"/>
  <c r="H472" i="1"/>
  <c r="H480" i="1"/>
  <c r="H411" i="1"/>
  <c r="H469" i="1"/>
  <c r="H134" i="1"/>
  <c r="H71" i="1"/>
  <c r="H475" i="1"/>
  <c r="H530" i="1"/>
  <c r="H471" i="1"/>
  <c r="H59" i="1"/>
  <c r="H562" i="1"/>
  <c r="H532" i="1"/>
  <c r="H148" i="1"/>
  <c r="H369" i="1"/>
  <c r="H413" i="1"/>
  <c r="H525" i="1"/>
  <c r="H131" i="1"/>
  <c r="H505" i="1"/>
  <c r="H88" i="1"/>
  <c r="H468" i="1"/>
  <c r="H23" i="1"/>
  <c r="H392" i="1"/>
  <c r="H415" i="1"/>
  <c r="H407" i="1"/>
  <c r="H109" i="1"/>
  <c r="H522" i="1"/>
  <c r="H409" i="1"/>
  <c r="H150" i="1"/>
  <c r="H557" i="1"/>
  <c r="H517" i="1"/>
  <c r="H527" i="1"/>
  <c r="H558" i="1"/>
  <c r="H470" i="1"/>
  <c r="H501" i="1"/>
  <c r="H363" i="1"/>
  <c r="H467" i="1"/>
  <c r="H41" i="1"/>
  <c r="H466" i="1"/>
  <c r="H416" i="1"/>
  <c r="H31" i="1"/>
  <c r="H387" i="1"/>
  <c r="H560" i="1"/>
  <c r="H520" i="1"/>
  <c r="H523" i="1"/>
  <c r="H524" i="1"/>
  <c r="H521" i="1"/>
  <c r="H384" i="1"/>
  <c r="H502" i="1"/>
  <c r="H561" i="1"/>
  <c r="H513" i="1"/>
  <c r="H564" i="1"/>
  <c r="F146" i="1"/>
  <c r="F389" i="1"/>
  <c r="F132" i="1"/>
  <c r="F388" i="1"/>
  <c r="F142" i="1"/>
  <c r="F472" i="1"/>
  <c r="F480" i="1"/>
  <c r="F360" i="1"/>
  <c r="F167" i="1"/>
  <c r="F465" i="1"/>
  <c r="F411" i="1"/>
  <c r="F164" i="1"/>
  <c r="F500" i="1"/>
  <c r="F469" i="1"/>
  <c r="F156" i="1"/>
  <c r="F133" i="1"/>
  <c r="F134" i="1"/>
  <c r="F391" i="1"/>
  <c r="F404" i="1"/>
  <c r="F122" i="1"/>
  <c r="F475" i="1"/>
  <c r="F471" i="1"/>
  <c r="F562" i="1"/>
  <c r="F161" i="1"/>
  <c r="F532" i="1"/>
  <c r="F148" i="1"/>
  <c r="F370" i="1"/>
  <c r="F413" i="1"/>
  <c r="F525" i="1"/>
  <c r="F131" i="1"/>
  <c r="F505" i="1"/>
  <c r="F473" i="1"/>
  <c r="F392" i="1"/>
  <c r="F362" i="1"/>
  <c r="F522" i="1"/>
  <c r="F162" i="1"/>
  <c r="F409" i="1"/>
  <c r="F478" i="1"/>
  <c r="F527" i="1"/>
  <c r="F558" i="1"/>
  <c r="F363" i="1"/>
  <c r="F467" i="1"/>
  <c r="F466" i="1"/>
  <c r="F416" i="1"/>
  <c r="F560" i="1"/>
  <c r="F520" i="1"/>
  <c r="F523" i="1"/>
  <c r="F524" i="1"/>
  <c r="F138" i="1"/>
  <c r="F170" i="1"/>
  <c r="F521" i="1"/>
  <c r="F384" i="1"/>
  <c r="F502" i="1"/>
  <c r="F518" i="1"/>
  <c r="F561" i="1"/>
  <c r="F513" i="1"/>
  <c r="F29" i="1"/>
  <c r="F54" i="1"/>
  <c r="F71" i="1"/>
  <c r="F59" i="1"/>
  <c r="F34" i="1"/>
  <c r="F102" i="1"/>
  <c r="F88" i="1"/>
  <c r="F23" i="1"/>
  <c r="F110" i="1"/>
  <c r="F109" i="1"/>
  <c r="F41" i="1"/>
  <c r="F31" i="1"/>
  <c r="F100" i="1"/>
  <c r="I106" i="1"/>
  <c r="I554" i="1"/>
  <c r="AR415" i="1"/>
  <c r="AR408" i="1"/>
  <c r="F408" i="1"/>
  <c r="H408" i="1"/>
  <c r="AR393" i="1"/>
  <c r="F393" i="1"/>
  <c r="H393" i="1"/>
  <c r="AR473" i="1"/>
  <c r="H473" i="1"/>
  <c r="AR481" i="1"/>
  <c r="F481" i="1"/>
  <c r="H481" i="1"/>
  <c r="AR519" i="1"/>
  <c r="H519" i="1"/>
  <c r="AR565" i="1"/>
  <c r="F565" i="1"/>
  <c r="AR562" i="1"/>
  <c r="K571" i="1"/>
  <c r="AR559" i="1"/>
  <c r="F559" i="1"/>
  <c r="H559" i="1"/>
  <c r="I572" i="1"/>
  <c r="F367" i="1"/>
  <c r="F415" i="1"/>
  <c r="H565" i="1"/>
  <c r="AR29" i="1"/>
  <c r="H29" i="1"/>
  <c r="AR165" i="1"/>
  <c r="H165" i="1"/>
  <c r="AR8" i="1"/>
  <c r="H8" i="1"/>
  <c r="AR146" i="1"/>
  <c r="AR383" i="1"/>
  <c r="H383" i="1"/>
  <c r="F383" i="1"/>
  <c r="AR367" i="1"/>
  <c r="H367" i="1"/>
  <c r="AR405" i="1"/>
  <c r="F405" i="1"/>
  <c r="H405" i="1"/>
  <c r="AR414" i="1"/>
  <c r="H414" i="1"/>
  <c r="AR389" i="1"/>
  <c r="H389" i="1"/>
  <c r="AR368" i="1"/>
  <c r="F368" i="1"/>
  <c r="AR370" i="1"/>
  <c r="H370" i="1"/>
  <c r="AR503" i="1"/>
  <c r="H503" i="1"/>
  <c r="F503" i="1"/>
  <c r="F519" i="1"/>
  <c r="F165" i="1"/>
  <c r="F501" i="1"/>
  <c r="F528" i="1"/>
  <c r="F479" i="1"/>
  <c r="H528" i="1"/>
  <c r="H126" i="1"/>
  <c r="H479" i="1"/>
  <c r="F470" i="1"/>
  <c r="F504" i="1"/>
  <c r="F563" i="1"/>
  <c r="H504" i="1"/>
  <c r="H144" i="1"/>
  <c r="H563" i="1"/>
  <c r="H404" i="1"/>
  <c r="K553" i="1"/>
  <c r="I510" i="1"/>
  <c r="F37" i="1"/>
  <c r="F517" i="1"/>
  <c r="F128" i="1"/>
  <c r="F369" i="1"/>
  <c r="F529" i="1"/>
  <c r="F386" i="1"/>
  <c r="F385" i="1"/>
  <c r="H362" i="1"/>
  <c r="H72" i="1"/>
  <c r="H127" i="1"/>
  <c r="H465" i="1"/>
  <c r="F72" i="1"/>
  <c r="F387" i="1"/>
  <c r="F407" i="1"/>
  <c r="F153" i="1"/>
  <c r="F155" i="1"/>
  <c r="F410" i="1"/>
  <c r="H111" i="1"/>
  <c r="H529" i="1"/>
  <c r="H500" i="1"/>
  <c r="H386" i="1"/>
  <c r="H410" i="1"/>
  <c r="I400" i="1"/>
  <c r="K496" i="1"/>
  <c r="F111" i="1"/>
  <c r="F114" i="1"/>
  <c r="F149" i="1"/>
  <c r="F144" i="1"/>
  <c r="F126" i="1"/>
  <c r="F127" i="1"/>
  <c r="H102" i="1"/>
  <c r="H37" i="1"/>
  <c r="H114" i="1"/>
  <c r="I497" i="1"/>
  <c r="I462" i="1"/>
  <c r="K461" i="1"/>
  <c r="K379" i="1"/>
  <c r="K399" i="1"/>
  <c r="I380" i="1"/>
  <c r="F152" i="1"/>
  <c r="H167" i="1"/>
  <c r="K355" i="1"/>
  <c r="I356" i="1"/>
  <c r="I117" i="1"/>
  <c r="F106" i="1"/>
  <c r="I97" i="1"/>
  <c r="K96" i="1"/>
  <c r="I83" i="1"/>
  <c r="K67" i="1"/>
  <c r="I68" i="1"/>
  <c r="H151" i="1"/>
  <c r="F27" i="1"/>
  <c r="F166" i="1"/>
  <c r="F90" i="1"/>
  <c r="H166" i="1"/>
  <c r="H152" i="1"/>
  <c r="H90" i="1"/>
  <c r="H27" i="1"/>
  <c r="I19" i="1"/>
  <c r="I50" i="1"/>
  <c r="K49" i="1"/>
  <c r="F55" i="1"/>
  <c r="F58" i="1"/>
  <c r="F159" i="1"/>
  <c r="H77" i="1"/>
  <c r="H110" i="1"/>
  <c r="H143" i="1"/>
  <c r="F24" i="1"/>
  <c r="F77" i="1"/>
  <c r="F157" i="1"/>
  <c r="F151" i="1"/>
  <c r="F172" i="1"/>
  <c r="F125" i="1"/>
  <c r="F143" i="1"/>
  <c r="H55" i="1"/>
  <c r="H24" i="1"/>
  <c r="H13" i="1"/>
  <c r="H157" i="1"/>
  <c r="H159" i="1"/>
  <c r="H133" i="1"/>
  <c r="F120" i="1"/>
  <c r="H149" i="1"/>
  <c r="F13" i="1"/>
  <c r="H162" i="1"/>
  <c r="H135" i="1"/>
  <c r="H120" i="1"/>
  <c r="H172" i="1"/>
  <c r="AR160" i="1"/>
  <c r="H12" i="1"/>
  <c r="F12" i="1"/>
  <c r="AR40" i="1"/>
  <c r="H40" i="1"/>
  <c r="AR32" i="1"/>
  <c r="H32" i="1"/>
  <c r="AR73" i="1"/>
  <c r="H73" i="1"/>
  <c r="F73" i="1"/>
  <c r="AR113" i="1"/>
  <c r="H113" i="1"/>
  <c r="F113" i="1"/>
  <c r="AR14" i="1"/>
  <c r="H14" i="1"/>
  <c r="F14" i="1"/>
  <c r="AR78" i="1"/>
  <c r="H78" i="1"/>
  <c r="F78" i="1"/>
  <c r="AR139" i="1"/>
  <c r="F139" i="1"/>
  <c r="AR122" i="1"/>
  <c r="AR7" i="1"/>
  <c r="F7" i="1"/>
  <c r="H7" i="1"/>
  <c r="AR164" i="1"/>
  <c r="H164" i="1"/>
  <c r="AR124" i="1"/>
  <c r="H124" i="1"/>
  <c r="F124" i="1"/>
  <c r="AR158" i="1"/>
  <c r="H158" i="1"/>
  <c r="F158" i="1"/>
  <c r="AR171" i="1"/>
  <c r="F171" i="1"/>
  <c r="H171" i="1"/>
  <c r="AR15" i="1"/>
  <c r="F15" i="1"/>
  <c r="H15" i="1"/>
  <c r="AR412" i="1"/>
  <c r="H412" i="1"/>
  <c r="F412" i="1"/>
  <c r="AR360" i="1"/>
  <c r="H360" i="1"/>
  <c r="AR361" i="1"/>
  <c r="H361" i="1"/>
  <c r="F361" i="1"/>
  <c r="AR112" i="1"/>
  <c r="F112" i="1"/>
  <c r="AR137" i="1"/>
  <c r="H137" i="1"/>
  <c r="F137" i="1"/>
  <c r="AR145" i="1"/>
  <c r="F145" i="1"/>
  <c r="H145" i="1"/>
  <c r="AR26" i="1"/>
  <c r="H26" i="1"/>
  <c r="AR30" i="1"/>
  <c r="H30" i="1"/>
  <c r="F30" i="1"/>
  <c r="AR156" i="1"/>
  <c r="H156" i="1"/>
  <c r="AR28" i="1"/>
  <c r="F28" i="1"/>
  <c r="F160" i="1"/>
  <c r="H112" i="1"/>
  <c r="H139" i="1"/>
  <c r="H28" i="1"/>
  <c r="F35" i="1"/>
  <c r="F32" i="1"/>
  <c r="H122" i="1"/>
  <c r="AR75" i="1"/>
  <c r="H75" i="1"/>
  <c r="F75" i="1"/>
  <c r="AR39" i="1"/>
  <c r="F39" i="1"/>
  <c r="H160" i="1"/>
  <c r="H39" i="1"/>
  <c r="AR364" i="1"/>
  <c r="F364" i="1"/>
  <c r="AR366" i="1"/>
  <c r="F366" i="1"/>
  <c r="AR406" i="1"/>
  <c r="F406" i="1"/>
  <c r="AR391" i="1"/>
  <c r="H391" i="1"/>
  <c r="AR390" i="1"/>
  <c r="F390" i="1"/>
  <c r="H390" i="1"/>
  <c r="AR531" i="1"/>
  <c r="H531" i="1"/>
  <c r="F531" i="1"/>
  <c r="AR530" i="1"/>
  <c r="AR526" i="1"/>
  <c r="H526" i="1"/>
  <c r="F526" i="1"/>
  <c r="AR477" i="1"/>
  <c r="H477" i="1"/>
  <c r="AR476" i="1"/>
  <c r="AR564" i="1"/>
  <c r="F564" i="1"/>
  <c r="F359" i="1"/>
  <c r="F365" i="1"/>
  <c r="F530" i="1"/>
  <c r="H364" i="1"/>
  <c r="H406" i="1"/>
  <c r="AR403" i="1"/>
  <c r="H403" i="1"/>
  <c r="F403" i="1"/>
  <c r="AR365" i="1"/>
  <c r="AR468" i="1"/>
  <c r="F468" i="1"/>
  <c r="AR518" i="1"/>
  <c r="H518" i="1"/>
  <c r="AR478" i="1"/>
  <c r="H478" i="1"/>
  <c r="AR474" i="1"/>
  <c r="F474" i="1"/>
  <c r="H474" i="1"/>
  <c r="F33" i="1"/>
  <c r="F477" i="1"/>
  <c r="F476" i="1"/>
  <c r="H359" i="1"/>
  <c r="H366" i="1"/>
  <c r="H476" i="1"/>
  <c r="AR150" i="1"/>
  <c r="AR141" i="1"/>
  <c r="F141" i="1"/>
  <c r="AR22" i="1"/>
  <c r="F22" i="1"/>
  <c r="AR34" i="1"/>
  <c r="H34" i="1"/>
  <c r="AR130" i="1"/>
  <c r="H130" i="1"/>
  <c r="AR57" i="1"/>
  <c r="F57" i="1"/>
  <c r="H57" i="1"/>
  <c r="AR89" i="1"/>
  <c r="F89" i="1"/>
  <c r="AR147" i="1"/>
  <c r="H147" i="1"/>
  <c r="F147" i="1"/>
  <c r="F557" i="1"/>
  <c r="H128" i="1"/>
  <c r="H153" i="1"/>
  <c r="H100" i="1"/>
  <c r="H170" i="1"/>
  <c r="H138" i="1"/>
  <c r="H161" i="1"/>
  <c r="H91" i="1"/>
  <c r="F91" i="1"/>
  <c r="S208" i="30"/>
  <c r="F163" i="1"/>
  <c r="F38" i="1"/>
  <c r="H38" i="1"/>
  <c r="F74" i="1"/>
  <c r="F140" i="1"/>
  <c r="H35" i="1"/>
  <c r="H58" i="1"/>
  <c r="H140" i="1"/>
  <c r="S116" i="30"/>
  <c r="F9" i="1"/>
  <c r="AR9" i="1"/>
  <c r="F10" i="1"/>
  <c r="AR10" i="1"/>
  <c r="F168" i="1"/>
  <c r="AR168" i="1"/>
  <c r="H123" i="1"/>
  <c r="AR123" i="1"/>
  <c r="H169" i="1"/>
  <c r="AR169" i="1"/>
  <c r="H121" i="1"/>
  <c r="AR121" i="1"/>
  <c r="H36" i="1"/>
  <c r="AR36" i="1"/>
  <c r="H56" i="1"/>
  <c r="AR12" i="1"/>
  <c r="F36" i="1"/>
  <c r="H76" i="1"/>
  <c r="AR76" i="1"/>
  <c r="H53" i="1"/>
  <c r="AR53" i="1"/>
  <c r="F136" i="1"/>
  <c r="H136" i="1"/>
  <c r="F169" i="1"/>
  <c r="F123" i="1"/>
  <c r="H10" i="1"/>
  <c r="H9" i="1"/>
  <c r="F26" i="1"/>
  <c r="S80" i="30"/>
  <c r="F11" i="1"/>
  <c r="H74" i="1"/>
  <c r="H129" i="1"/>
  <c r="H125" i="1"/>
  <c r="H163" i="1"/>
  <c r="F154" i="1"/>
  <c r="H33" i="1"/>
  <c r="S219" i="30"/>
  <c r="H6" i="1"/>
  <c r="S188" i="30"/>
  <c r="S54" i="30"/>
  <c r="S172" i="30"/>
  <c r="F56" i="1"/>
  <c r="F68" i="1"/>
  <c r="H154" i="1"/>
  <c r="H11" i="1"/>
  <c r="F6" i="1"/>
  <c r="S47" i="30"/>
  <c r="S162" i="30"/>
  <c r="F129" i="1"/>
  <c r="F130" i="1"/>
  <c r="F135" i="1"/>
  <c r="S13" i="30"/>
  <c r="S157" i="30"/>
  <c r="F572" i="1"/>
  <c r="K559" i="1"/>
  <c r="F510" i="1"/>
  <c r="K500" i="1"/>
  <c r="F554" i="1"/>
  <c r="K530" i="1"/>
  <c r="F462" i="1"/>
  <c r="K410" i="1"/>
  <c r="F400" i="1"/>
  <c r="K387" i="1"/>
  <c r="F497" i="1"/>
  <c r="K472" i="1"/>
  <c r="F380" i="1"/>
  <c r="K371" i="1"/>
  <c r="F117" i="1"/>
  <c r="K113" i="1"/>
  <c r="F356" i="1"/>
  <c r="K154" i="1"/>
  <c r="F97" i="1"/>
  <c r="K87" i="1"/>
  <c r="F83" i="1"/>
  <c r="K71" i="1"/>
  <c r="F19" i="1"/>
  <c r="K16" i="1"/>
  <c r="F50" i="1"/>
  <c r="K101" i="1"/>
  <c r="K103" i="1"/>
  <c r="K102" i="1"/>
  <c r="K388" i="1"/>
  <c r="K390" i="1"/>
  <c r="K392" i="1"/>
  <c r="M538" i="1"/>
  <c r="K504" i="1"/>
  <c r="M426" i="1"/>
  <c r="K90" i="1"/>
  <c r="M549" i="1"/>
  <c r="M378" i="1"/>
  <c r="M460" i="1"/>
  <c r="M444" i="1"/>
  <c r="M495" i="1"/>
  <c r="M536" i="1"/>
  <c r="K383" i="1"/>
  <c r="K389" i="1"/>
  <c r="M398" i="1"/>
  <c r="K502" i="1"/>
  <c r="K393" i="1"/>
  <c r="K386" i="1"/>
  <c r="K503" i="1"/>
  <c r="K505" i="1"/>
  <c r="K385" i="1"/>
  <c r="K384" i="1"/>
  <c r="K501" i="1"/>
  <c r="M570" i="1"/>
  <c r="M545" i="1"/>
  <c r="M552" i="1"/>
  <c r="K391" i="1"/>
  <c r="M508" i="1"/>
  <c r="K10" i="1"/>
  <c r="K86" i="1"/>
  <c r="K7" i="1"/>
  <c r="K91" i="1"/>
  <c r="K12" i="1"/>
  <c r="K92" i="1"/>
  <c r="M115" i="1"/>
  <c r="K11" i="1"/>
  <c r="K89" i="1"/>
  <c r="M104" i="1"/>
  <c r="K15" i="1"/>
  <c r="K88" i="1"/>
  <c r="M95" i="1"/>
  <c r="M81" i="1"/>
  <c r="K8" i="1"/>
  <c r="M66" i="1"/>
  <c r="K518" i="1"/>
  <c r="K9" i="1"/>
  <c r="K470" i="1"/>
  <c r="K368" i="1"/>
  <c r="M63" i="1"/>
  <c r="K14" i="1"/>
  <c r="K6" i="1"/>
  <c r="K13" i="1"/>
  <c r="M48" i="1"/>
  <c r="K479" i="1"/>
  <c r="K564" i="1"/>
  <c r="K403" i="1"/>
  <c r="K418" i="1"/>
  <c r="K112" i="1"/>
  <c r="K534" i="1"/>
  <c r="K482" i="1"/>
  <c r="K560" i="1"/>
  <c r="K77" i="1"/>
  <c r="M422" i="1"/>
  <c r="K465" i="1"/>
  <c r="K565" i="1"/>
  <c r="K469" i="1"/>
  <c r="K114" i="1"/>
  <c r="K561" i="1"/>
  <c r="K481" i="1"/>
  <c r="K110" i="1"/>
  <c r="K563" i="1"/>
  <c r="K407" i="1"/>
  <c r="K109" i="1"/>
  <c r="K557" i="1"/>
  <c r="K474" i="1"/>
  <c r="K475" i="1"/>
  <c r="K111" i="1"/>
  <c r="K558" i="1"/>
  <c r="K406" i="1"/>
  <c r="K409" i="1"/>
  <c r="K365" i="1"/>
  <c r="K525" i="1"/>
  <c r="K366" i="1"/>
  <c r="K471" i="1"/>
  <c r="K480" i="1"/>
  <c r="K524" i="1"/>
  <c r="K562" i="1"/>
  <c r="K414" i="1"/>
  <c r="K362" i="1"/>
  <c r="K521" i="1"/>
  <c r="K520" i="1"/>
  <c r="K527" i="1"/>
  <c r="K514" i="1"/>
  <c r="K364" i="1"/>
  <c r="K523" i="1"/>
  <c r="K528" i="1"/>
  <c r="K361" i="1"/>
  <c r="K532" i="1"/>
  <c r="K529" i="1"/>
  <c r="K360" i="1"/>
  <c r="K359" i="1"/>
  <c r="K513" i="1"/>
  <c r="K76" i="1"/>
  <c r="K517" i="1"/>
  <c r="K522" i="1"/>
  <c r="K516" i="1"/>
  <c r="K367" i="1"/>
  <c r="K363" i="1"/>
  <c r="K531" i="1"/>
  <c r="K75" i="1"/>
  <c r="K519" i="1"/>
  <c r="K526" i="1"/>
  <c r="K533" i="1"/>
  <c r="K515" i="1"/>
  <c r="K370" i="1"/>
  <c r="K369" i="1"/>
  <c r="K413" i="1"/>
  <c r="K72" i="1"/>
  <c r="K476" i="1"/>
  <c r="K468" i="1"/>
  <c r="K473" i="1"/>
  <c r="K74" i="1"/>
  <c r="K78" i="1"/>
  <c r="K404" i="1"/>
  <c r="K416" i="1"/>
  <c r="K415" i="1"/>
  <c r="K405" i="1"/>
  <c r="K466" i="1"/>
  <c r="K477" i="1"/>
  <c r="K467" i="1"/>
  <c r="K478" i="1"/>
  <c r="K73" i="1"/>
  <c r="K408" i="1"/>
  <c r="K412" i="1"/>
  <c r="K411" i="1"/>
  <c r="K417" i="1"/>
  <c r="K129" i="1"/>
  <c r="K135" i="1"/>
  <c r="K130" i="1"/>
  <c r="M46" i="1"/>
  <c r="K174" i="1"/>
  <c r="K173" i="1"/>
  <c r="K149" i="1"/>
  <c r="K128" i="1"/>
  <c r="K159" i="1"/>
  <c r="K125" i="1"/>
  <c r="K160" i="1"/>
  <c r="K152" i="1"/>
  <c r="K162" i="1"/>
  <c r="K155" i="1"/>
  <c r="K124" i="1"/>
  <c r="K158" i="1"/>
  <c r="K136" i="1"/>
  <c r="K138" i="1"/>
  <c r="K148" i="1"/>
  <c r="K165" i="1"/>
  <c r="K141" i="1"/>
  <c r="K156" i="1"/>
  <c r="K171" i="1"/>
  <c r="K139" i="1"/>
  <c r="K157" i="1"/>
  <c r="K126" i="1"/>
  <c r="K143" i="1"/>
  <c r="K146" i="1"/>
  <c r="K144" i="1"/>
  <c r="K164" i="1"/>
  <c r="K142" i="1"/>
  <c r="K168" i="1"/>
  <c r="K121" i="1"/>
  <c r="K151" i="1"/>
  <c r="K133" i="1"/>
  <c r="K132" i="1"/>
  <c r="K131" i="1"/>
  <c r="K166" i="1"/>
  <c r="K150" i="1"/>
  <c r="K127" i="1"/>
  <c r="K163" i="1"/>
  <c r="K170" i="1"/>
  <c r="K153" i="1"/>
  <c r="K161" i="1"/>
  <c r="K122" i="1"/>
  <c r="K167" i="1"/>
  <c r="K172" i="1"/>
  <c r="K137" i="1"/>
  <c r="K140" i="1"/>
  <c r="K145" i="1"/>
  <c r="K134" i="1"/>
  <c r="K147" i="1"/>
  <c r="K123" i="1"/>
  <c r="K169" i="1"/>
  <c r="K120" i="1"/>
  <c r="M453" i="1"/>
  <c r="L509" i="1"/>
  <c r="M301" i="1"/>
  <c r="M252" i="1"/>
  <c r="M567" i="1"/>
  <c r="M541" i="1"/>
  <c r="M373" i="1"/>
  <c r="M303" i="1"/>
  <c r="M304" i="1"/>
  <c r="M317" i="1"/>
  <c r="M492" i="1"/>
  <c r="M548" i="1"/>
  <c r="M396" i="1"/>
  <c r="K400" i="1"/>
  <c r="M325" i="1"/>
  <c r="K510" i="1"/>
  <c r="M198" i="1"/>
  <c r="M354" i="1"/>
  <c r="K572" i="1"/>
  <c r="K554" i="1"/>
  <c r="K497" i="1"/>
  <c r="K462" i="1"/>
  <c r="K380" i="1"/>
  <c r="K356" i="1"/>
  <c r="K97" i="1"/>
  <c r="K117" i="1"/>
  <c r="M103" i="1"/>
  <c r="AS103" i="1"/>
  <c r="K83" i="1"/>
  <c r="K19" i="1"/>
  <c r="S212" i="30"/>
  <c r="M221" i="1"/>
  <c r="M319" i="1"/>
  <c r="M284" i="1"/>
  <c r="M436" i="1"/>
  <c r="S220" i="30"/>
  <c r="S228" i="30"/>
  <c r="S165" i="30"/>
  <c r="M261" i="1"/>
  <c r="M305" i="1"/>
  <c r="M341" i="1"/>
  <c r="S218" i="30"/>
  <c r="M213" i="1"/>
  <c r="M288" i="1"/>
  <c r="S134" i="30"/>
  <c r="M180" i="1"/>
  <c r="M322" i="1"/>
  <c r="M216" i="1"/>
  <c r="M263" i="1"/>
  <c r="M256" i="1"/>
  <c r="S193" i="30"/>
  <c r="S99" i="30"/>
  <c r="S198" i="30"/>
  <c r="M280" i="1"/>
  <c r="M350" i="1"/>
  <c r="S41" i="30"/>
  <c r="S9" i="30"/>
  <c r="S222" i="30"/>
  <c r="S199" i="30"/>
  <c r="M283" i="1"/>
  <c r="M203" i="1"/>
  <c r="M248" i="1"/>
  <c r="M331" i="1"/>
  <c r="S81" i="30"/>
  <c r="S25" i="30"/>
  <c r="S174" i="30"/>
  <c r="S46" i="30"/>
  <c r="M182" i="1"/>
  <c r="M199" i="1"/>
  <c r="M308" i="1"/>
  <c r="M260" i="1"/>
  <c r="M282" i="1"/>
  <c r="S177" i="30"/>
  <c r="S10" i="30"/>
  <c r="S98" i="30"/>
  <c r="S107" i="30"/>
  <c r="S84" i="30"/>
  <c r="S40" i="30"/>
  <c r="M210" i="1"/>
  <c r="M269" i="1"/>
  <c r="M290" i="1"/>
  <c r="M318" i="1"/>
  <c r="M226" i="1"/>
  <c r="M328" i="1"/>
  <c r="M177" i="1"/>
  <c r="M231" i="1"/>
  <c r="M347" i="1"/>
  <c r="S141" i="30"/>
  <c r="S221" i="30"/>
  <c r="S78" i="30"/>
  <c r="S121" i="30"/>
  <c r="S59" i="30"/>
  <c r="S207" i="30"/>
  <c r="S120" i="30"/>
  <c r="M249" i="1"/>
  <c r="M333" i="1"/>
  <c r="M258" i="1"/>
  <c r="M344" i="1"/>
  <c r="M327" i="1"/>
  <c r="M287" i="1"/>
  <c r="M250" i="1"/>
  <c r="M189" i="1"/>
  <c r="M264" i="1"/>
  <c r="M339" i="1"/>
  <c r="M196" i="1"/>
  <c r="S21" i="30"/>
  <c r="S145" i="30"/>
  <c r="S197" i="30"/>
  <c r="S117" i="30"/>
  <c r="S190" i="30"/>
  <c r="S50" i="30"/>
  <c r="S31" i="30"/>
  <c r="S167" i="30"/>
  <c r="S70" i="30"/>
  <c r="S144" i="30"/>
  <c r="S178" i="30"/>
  <c r="S226" i="30"/>
  <c r="S142" i="30"/>
  <c r="S43" i="30"/>
  <c r="S139" i="30"/>
  <c r="S89" i="30"/>
  <c r="S48" i="30"/>
  <c r="S160" i="30"/>
  <c r="M275" i="1"/>
  <c r="M246" i="1"/>
  <c r="M194" i="1"/>
  <c r="M255" i="1"/>
  <c r="M266" i="1"/>
  <c r="M190" i="1"/>
  <c r="M306" i="1"/>
  <c r="M240" i="1"/>
  <c r="M267" i="1"/>
  <c r="M247" i="1"/>
  <c r="M184" i="1"/>
  <c r="M215" i="1"/>
  <c r="M300" i="1"/>
  <c r="M241" i="1"/>
  <c r="M200" i="1"/>
  <c r="M349" i="1"/>
  <c r="S129" i="30"/>
  <c r="S169" i="30"/>
  <c r="S213" i="30"/>
  <c r="S85" i="30"/>
  <c r="S90" i="30"/>
  <c r="S202" i="30"/>
  <c r="S93" i="30"/>
  <c r="S118" i="30"/>
  <c r="S11" i="30"/>
  <c r="S79" i="30"/>
  <c r="S147" i="30"/>
  <c r="S33" i="30"/>
  <c r="S24" i="30"/>
  <c r="S92" i="30"/>
  <c r="S180" i="30"/>
  <c r="M186" i="1"/>
  <c r="M183" i="1"/>
  <c r="M343" i="1"/>
  <c r="M329" i="1"/>
  <c r="M204" i="1"/>
  <c r="M191" i="1"/>
  <c r="M178" i="1"/>
  <c r="M188" i="1"/>
  <c r="M270" i="1"/>
  <c r="M201" i="1"/>
  <c r="M223" i="1"/>
  <c r="M285" i="1"/>
  <c r="M218" i="1"/>
  <c r="M239" i="1"/>
  <c r="M262" i="1"/>
  <c r="M307" i="1"/>
  <c r="M310" i="1"/>
  <c r="M276" i="1"/>
  <c r="M323" i="1"/>
  <c r="M234" i="1"/>
  <c r="M217" i="1"/>
  <c r="M342" i="1"/>
  <c r="M351" i="1"/>
  <c r="S113" i="30"/>
  <c r="S149" i="30"/>
  <c r="S185" i="30"/>
  <c r="S217" i="30"/>
  <c r="S53" i="30"/>
  <c r="S66" i="30"/>
  <c r="S146" i="30"/>
  <c r="S206" i="30"/>
  <c r="S73" i="30"/>
  <c r="S62" i="30"/>
  <c r="S150" i="30"/>
  <c r="S27" i="30"/>
  <c r="S71" i="30"/>
  <c r="S115" i="30"/>
  <c r="S183" i="30"/>
  <c r="S65" i="30"/>
  <c r="S122" i="30"/>
  <c r="S72" i="30"/>
  <c r="S128" i="30"/>
  <c r="S192" i="30"/>
  <c r="S26" i="30"/>
  <c r="S110" i="30"/>
  <c r="S158" i="30"/>
  <c r="S23" i="30"/>
  <c r="S51" i="30"/>
  <c r="S83" i="30"/>
  <c r="S131" i="30"/>
  <c r="S175" i="30"/>
  <c r="S215" i="30"/>
  <c r="S22" i="30"/>
  <c r="S16" i="30"/>
  <c r="S56" i="30"/>
  <c r="S108" i="30"/>
  <c r="S152" i="30"/>
  <c r="S200" i="30"/>
  <c r="M235" i="1"/>
  <c r="M286" i="1"/>
  <c r="M302" i="1"/>
  <c r="M219" i="1"/>
  <c r="M313" i="1"/>
  <c r="M230" i="1"/>
  <c r="M324" i="1"/>
  <c r="M257" i="1"/>
  <c r="M259" i="1"/>
  <c r="M277" i="1"/>
  <c r="M279" i="1"/>
  <c r="M214" i="1"/>
  <c r="M244" i="1"/>
  <c r="M224" i="1"/>
  <c r="M345" i="1"/>
  <c r="M245" i="1"/>
  <c r="M273" i="1"/>
  <c r="M212" i="1"/>
  <c r="M274" i="1"/>
  <c r="M197" i="1"/>
  <c r="M193" i="1"/>
  <c r="M314" i="1"/>
  <c r="M271" i="1"/>
  <c r="M229" i="1"/>
  <c r="M334" i="1"/>
  <c r="M237" i="1"/>
  <c r="M278" i="1"/>
  <c r="M187" i="1"/>
  <c r="M195" i="1"/>
  <c r="M297" i="1"/>
  <c r="M225" i="1"/>
  <c r="M185" i="1"/>
  <c r="S57" i="30"/>
  <c r="S133" i="30"/>
  <c r="S161" i="30"/>
  <c r="S181" i="30"/>
  <c r="S201" i="30"/>
  <c r="S229" i="30"/>
  <c r="S69" i="30"/>
  <c r="S30" i="30"/>
  <c r="S126" i="30"/>
  <c r="S186" i="30"/>
  <c r="S210" i="30"/>
  <c r="S45" i="30"/>
  <c r="S14" i="30"/>
  <c r="S74" i="30"/>
  <c r="S138" i="30"/>
  <c r="S166" i="30"/>
  <c r="S15" i="30"/>
  <c r="S39" i="30"/>
  <c r="S63" i="30"/>
  <c r="S87" i="30"/>
  <c r="S123" i="30"/>
  <c r="S155" i="30"/>
  <c r="S191" i="30"/>
  <c r="S227" i="30"/>
  <c r="S125" i="30"/>
  <c r="S94" i="30"/>
  <c r="S32" i="30"/>
  <c r="S64" i="30"/>
  <c r="S100" i="30"/>
  <c r="S136" i="30"/>
  <c r="S168" i="30"/>
  <c r="S224" i="30"/>
  <c r="S97" i="30"/>
  <c r="S137" i="30"/>
  <c r="S153" i="30"/>
  <c r="S173" i="30"/>
  <c r="S189" i="30"/>
  <c r="S205" i="30"/>
  <c r="S225" i="30"/>
  <c r="S37" i="30"/>
  <c r="S101" i="30"/>
  <c r="S42" i="30"/>
  <c r="S114" i="30"/>
  <c r="S170" i="30"/>
  <c r="S194" i="30"/>
  <c r="S214" i="30"/>
  <c r="S230" i="30"/>
  <c r="S109" i="30"/>
  <c r="S38" i="30"/>
  <c r="S86" i="30"/>
  <c r="S130" i="30"/>
  <c r="S154" i="30"/>
  <c r="S182" i="30"/>
  <c r="S19" i="30"/>
  <c r="S35" i="30"/>
  <c r="S55" i="30"/>
  <c r="S75" i="30"/>
  <c r="S95" i="30"/>
  <c r="S111" i="30"/>
  <c r="S127" i="30"/>
  <c r="S143" i="30"/>
  <c r="S159" i="30"/>
  <c r="S179" i="30"/>
  <c r="S195" i="30"/>
  <c r="S211" i="30"/>
  <c r="S231" i="30"/>
  <c r="S77" i="30"/>
  <c r="S18" i="30"/>
  <c r="S58" i="30"/>
  <c r="S106" i="30"/>
  <c r="S20" i="30"/>
  <c r="S36" i="30"/>
  <c r="S52" i="30"/>
  <c r="S68" i="30"/>
  <c r="S88" i="30"/>
  <c r="S104" i="30"/>
  <c r="S124" i="30"/>
  <c r="S140" i="30"/>
  <c r="S156" i="30"/>
  <c r="S176" i="30"/>
  <c r="S196" i="30"/>
  <c r="S216" i="30"/>
  <c r="S232" i="30"/>
  <c r="S103" i="30"/>
  <c r="S119" i="30"/>
  <c r="S135" i="30"/>
  <c r="S151" i="30"/>
  <c r="S171" i="30"/>
  <c r="S187" i="30"/>
  <c r="S203" i="30"/>
  <c r="S223" i="30"/>
  <c r="S49" i="30"/>
  <c r="S105" i="30"/>
  <c r="S34" i="30"/>
  <c r="S82" i="30"/>
  <c r="S12" i="30"/>
  <c r="S28" i="30"/>
  <c r="S44" i="30"/>
  <c r="S60" i="30"/>
  <c r="S76" i="30"/>
  <c r="S96" i="30"/>
  <c r="S112" i="30"/>
  <c r="S132" i="30"/>
  <c r="S148" i="30"/>
  <c r="S164" i="30"/>
  <c r="S184" i="30"/>
  <c r="S204" i="30"/>
  <c r="M348" i="1"/>
  <c r="M353" i="1"/>
  <c r="M352" i="1"/>
  <c r="M65" i="1"/>
  <c r="M535" i="1"/>
  <c r="M80" i="1"/>
  <c r="M208" i="1"/>
  <c r="M254" i="1"/>
  <c r="M44" i="1"/>
  <c r="M337" i="1"/>
  <c r="M452" i="1"/>
  <c r="M507" i="1"/>
  <c r="M397" i="1"/>
  <c r="M424" i="1"/>
  <c r="M447" i="1"/>
  <c r="M420" i="1"/>
  <c r="M442" i="1"/>
  <c r="M425" i="1"/>
  <c r="M485" i="1"/>
  <c r="M483" i="1"/>
  <c r="M456" i="1"/>
  <c r="M459" i="1"/>
  <c r="M449" i="1"/>
  <c r="M448" i="1"/>
  <c r="M539" i="1"/>
  <c r="M542" i="1"/>
  <c r="M568" i="1"/>
  <c r="M550" i="1"/>
  <c r="M45" i="1"/>
  <c r="M346" i="1"/>
  <c r="M272" i="1"/>
  <c r="M298" i="1"/>
  <c r="M296" i="1"/>
  <c r="M315" i="1"/>
  <c r="M242" i="1"/>
  <c r="M205" i="1"/>
  <c r="M309" i="1"/>
  <c r="M291" i="1"/>
  <c r="M299" i="1"/>
  <c r="M375" i="1"/>
  <c r="M433" i="1"/>
  <c r="M446" i="1"/>
  <c r="M429" i="1"/>
  <c r="M450" i="1"/>
  <c r="M486" i="1"/>
  <c r="M487" i="1"/>
  <c r="M428" i="1"/>
  <c r="M423" i="1"/>
  <c r="M430" i="1"/>
  <c r="M438" i="1"/>
  <c r="M543" i="1"/>
  <c r="M546" i="1"/>
  <c r="M566" i="1"/>
  <c r="M320" i="1"/>
  <c r="M179" i="1"/>
  <c r="M181" i="1"/>
  <c r="M222" i="1"/>
  <c r="M265" i="1"/>
  <c r="M228" i="1"/>
  <c r="M236" i="1"/>
  <c r="M253" i="1"/>
  <c r="M238" i="1"/>
  <c r="M377" i="1"/>
  <c r="M376" i="1"/>
  <c r="M395" i="1"/>
  <c r="M458" i="1"/>
  <c r="M432" i="1"/>
  <c r="M454" i="1"/>
  <c r="M490" i="1"/>
  <c r="M489" i="1"/>
  <c r="M493" i="1"/>
  <c r="M434" i="1"/>
  <c r="M437" i="1"/>
  <c r="M451" i="1"/>
  <c r="M435" i="1"/>
  <c r="M431" i="1"/>
  <c r="M547" i="1"/>
  <c r="M569" i="1"/>
  <c r="M540" i="1"/>
  <c r="M544" i="1"/>
  <c r="M289" i="1"/>
  <c r="M316" i="1"/>
  <c r="M233" i="1"/>
  <c r="M243" i="1"/>
  <c r="M340" i="1"/>
  <c r="M202" i="1"/>
  <c r="M227" i="1"/>
  <c r="M311" i="1"/>
  <c r="M47" i="1"/>
  <c r="M94" i="1"/>
  <c r="M374" i="1"/>
  <c r="M439" i="1"/>
  <c r="M421" i="1"/>
  <c r="M443" i="1"/>
  <c r="M457" i="1"/>
  <c r="M440" i="1"/>
  <c r="M494" i="1"/>
  <c r="M491" i="1"/>
  <c r="M488" i="1"/>
  <c r="M445" i="1"/>
  <c r="M455" i="1"/>
  <c r="M427" i="1"/>
  <c r="M441" i="1"/>
  <c r="M537" i="1"/>
  <c r="M551" i="1"/>
  <c r="M207" i="1"/>
  <c r="M192" i="1"/>
  <c r="M209" i="1"/>
  <c r="M211" i="1"/>
  <c r="M232" i="1"/>
  <c r="M220" i="1"/>
  <c r="M206" i="1"/>
  <c r="M338" i="1"/>
  <c r="M312" i="1"/>
  <c r="M330" i="1"/>
  <c r="M64" i="1"/>
  <c r="M484" i="1"/>
  <c r="M372" i="1"/>
  <c r="M93" i="1"/>
  <c r="M326" i="1"/>
  <c r="M295" i="1"/>
  <c r="M292" i="1"/>
  <c r="M293" i="1"/>
  <c r="M294" i="1"/>
  <c r="M332" i="1"/>
  <c r="M251" i="1"/>
  <c r="L574" i="1"/>
  <c r="M574" i="1"/>
  <c r="M335" i="1"/>
  <c r="M281" i="1"/>
  <c r="M176" i="1"/>
  <c r="M17" i="1"/>
  <c r="AS17" i="1"/>
  <c r="M336" i="1"/>
  <c r="M321" i="1"/>
  <c r="M268" i="1"/>
  <c r="M371" i="1"/>
  <c r="AS371" i="1"/>
  <c r="M482" i="1"/>
  <c r="AS482" i="1"/>
  <c r="M76" i="1"/>
  <c r="AS76" i="1"/>
  <c r="M418" i="1"/>
  <c r="AS418" i="1"/>
  <c r="M564" i="1"/>
  <c r="AS564" i="1"/>
  <c r="M114" i="1"/>
  <c r="AS114" i="1"/>
  <c r="M504" i="1"/>
  <c r="AS504" i="1"/>
  <c r="M113" i="1"/>
  <c r="AS113" i="1"/>
  <c r="M503" i="1"/>
  <c r="AS503" i="1"/>
  <c r="M110" i="1"/>
  <c r="AS110" i="1"/>
  <c r="M501" i="1"/>
  <c r="AS501" i="1"/>
  <c r="M500" i="1"/>
  <c r="AS500" i="1"/>
  <c r="M112" i="1"/>
  <c r="AS112" i="1"/>
  <c r="M111" i="1"/>
  <c r="AS111" i="1"/>
  <c r="M505" i="1"/>
  <c r="AS505" i="1"/>
  <c r="M502" i="1"/>
  <c r="AS502" i="1"/>
  <c r="M109" i="1"/>
  <c r="AS109" i="1"/>
  <c r="M8" i="1"/>
  <c r="AS8" i="1"/>
  <c r="M11" i="1"/>
  <c r="AS11" i="1"/>
  <c r="M14" i="1"/>
  <c r="AS14" i="1"/>
  <c r="M15" i="1"/>
  <c r="AS15" i="1"/>
  <c r="M9" i="1"/>
  <c r="AS9" i="1"/>
  <c r="M10" i="1"/>
  <c r="AS10" i="1"/>
  <c r="M16" i="1"/>
  <c r="AS16" i="1"/>
  <c r="M13" i="1"/>
  <c r="AS13" i="1"/>
  <c r="M12" i="1"/>
  <c r="AS12" i="1"/>
  <c r="M7" i="1"/>
  <c r="AS7" i="1"/>
  <c r="M130" i="1"/>
  <c r="AS130" i="1"/>
  <c r="M138" i="1"/>
  <c r="AS138" i="1"/>
  <c r="M173" i="1"/>
  <c r="AS173" i="1"/>
  <c r="M155" i="1"/>
  <c r="AS155" i="1"/>
  <c r="M165" i="1"/>
  <c r="AS165" i="1"/>
  <c r="M168" i="1"/>
  <c r="AS168" i="1"/>
  <c r="M136" i="1"/>
  <c r="AS136" i="1"/>
  <c r="M132" i="1"/>
  <c r="AS132" i="1"/>
  <c r="M140" i="1"/>
  <c r="AS140" i="1"/>
  <c r="M167" i="1"/>
  <c r="AS167" i="1"/>
  <c r="M124" i="1"/>
  <c r="AS124" i="1"/>
  <c r="M122" i="1"/>
  <c r="AS122" i="1"/>
  <c r="M123" i="1"/>
  <c r="AS123" i="1"/>
  <c r="M152" i="1"/>
  <c r="AS152" i="1"/>
  <c r="M158" i="1"/>
  <c r="AS158" i="1"/>
  <c r="M133" i="1"/>
  <c r="AS133" i="1"/>
  <c r="M164" i="1"/>
  <c r="AS164" i="1"/>
  <c r="M126" i="1"/>
  <c r="AS126" i="1"/>
  <c r="M141" i="1"/>
  <c r="AS141" i="1"/>
  <c r="M142" i="1"/>
  <c r="AS142" i="1"/>
  <c r="M170" i="1"/>
  <c r="AS170" i="1"/>
  <c r="M156" i="1"/>
  <c r="AS156" i="1"/>
  <c r="M143" i="1"/>
  <c r="AS143" i="1"/>
  <c r="M153" i="1"/>
  <c r="AS153" i="1"/>
  <c r="M135" i="1"/>
  <c r="AS135" i="1"/>
  <c r="M169" i="1"/>
  <c r="AS169" i="1"/>
  <c r="M159" i="1"/>
  <c r="AS159" i="1"/>
  <c r="M161" i="1"/>
  <c r="AS161" i="1"/>
  <c r="M128" i="1"/>
  <c r="AS128" i="1"/>
  <c r="M121" i="1"/>
  <c r="AS121" i="1"/>
  <c r="M151" i="1"/>
  <c r="AS151" i="1"/>
  <c r="M131" i="1"/>
  <c r="AS131" i="1"/>
  <c r="M137" i="1"/>
  <c r="AS137" i="1"/>
  <c r="M163" i="1"/>
  <c r="AS163" i="1"/>
  <c r="M160" i="1"/>
  <c r="AS160" i="1"/>
  <c r="M148" i="1"/>
  <c r="AS148" i="1"/>
  <c r="M127" i="1"/>
  <c r="AS127" i="1"/>
  <c r="M172" i="1"/>
  <c r="AS172" i="1"/>
  <c r="M125" i="1"/>
  <c r="AS125" i="1"/>
  <c r="M144" i="1"/>
  <c r="AS144" i="1"/>
  <c r="M171" i="1"/>
  <c r="AS171" i="1"/>
  <c r="M146" i="1"/>
  <c r="AS146" i="1"/>
  <c r="M150" i="1"/>
  <c r="AS150" i="1"/>
  <c r="M166" i="1"/>
  <c r="AS166" i="1"/>
  <c r="M134" i="1"/>
  <c r="AS134" i="1"/>
  <c r="M145" i="1"/>
  <c r="AS145" i="1"/>
  <c r="M149" i="1"/>
  <c r="AS149" i="1"/>
  <c r="M129" i="1"/>
  <c r="AS129" i="1"/>
  <c r="M154" i="1"/>
  <c r="AS154" i="1"/>
  <c r="M139" i="1"/>
  <c r="AS139" i="1"/>
  <c r="M174" i="1"/>
  <c r="AS174" i="1"/>
  <c r="M157" i="1"/>
  <c r="AS157" i="1"/>
  <c r="M147" i="1"/>
  <c r="AS147" i="1"/>
  <c r="M90" i="1"/>
  <c r="AS90" i="1"/>
  <c r="M365" i="1"/>
  <c r="AS365" i="1"/>
  <c r="M370" i="1"/>
  <c r="AS370" i="1"/>
  <c r="M387" i="1"/>
  <c r="AS387" i="1"/>
  <c r="M473" i="1"/>
  <c r="AS473" i="1"/>
  <c r="M467" i="1"/>
  <c r="AS467" i="1"/>
  <c r="M411" i="1"/>
  <c r="AS411" i="1"/>
  <c r="M531" i="1"/>
  <c r="AS531" i="1"/>
  <c r="M520" i="1"/>
  <c r="AS520" i="1"/>
  <c r="M557" i="1"/>
  <c r="AS557" i="1"/>
  <c r="M530" i="1"/>
  <c r="AS530" i="1"/>
  <c r="M92" i="1"/>
  <c r="AS92" i="1"/>
  <c r="M162" i="1"/>
  <c r="AS162" i="1"/>
  <c r="M533" i="1"/>
  <c r="AS533" i="1"/>
  <c r="M89" i="1"/>
  <c r="AS89" i="1"/>
  <c r="M78" i="1"/>
  <c r="AS78" i="1"/>
  <c r="M405" i="1"/>
  <c r="AS405" i="1"/>
  <c r="M479" i="1"/>
  <c r="AS479" i="1"/>
  <c r="M466" i="1"/>
  <c r="AS466" i="1"/>
  <c r="M406" i="1"/>
  <c r="AS406" i="1"/>
  <c r="M408" i="1"/>
  <c r="AS408" i="1"/>
  <c r="M528" i="1"/>
  <c r="AS528" i="1"/>
  <c r="M561" i="1"/>
  <c r="AS561" i="1"/>
  <c r="M417" i="1"/>
  <c r="AS417" i="1"/>
  <c r="M91" i="1"/>
  <c r="AS91" i="1"/>
  <c r="M74" i="1"/>
  <c r="AS74" i="1"/>
  <c r="M361" i="1"/>
  <c r="AS361" i="1"/>
  <c r="M362" i="1"/>
  <c r="AS362" i="1"/>
  <c r="M363" i="1"/>
  <c r="AS363" i="1"/>
  <c r="M393" i="1"/>
  <c r="AS393" i="1"/>
  <c r="M384" i="1"/>
  <c r="AS384" i="1"/>
  <c r="M392" i="1"/>
  <c r="AS392" i="1"/>
  <c r="M409" i="1"/>
  <c r="AS409" i="1"/>
  <c r="M472" i="1"/>
  <c r="AS472" i="1"/>
  <c r="M468" i="1"/>
  <c r="AS468" i="1"/>
  <c r="M476" i="1"/>
  <c r="AS476" i="1"/>
  <c r="M470" i="1"/>
  <c r="AS470" i="1"/>
  <c r="M407" i="1"/>
  <c r="AS407" i="1"/>
  <c r="M404" i="1"/>
  <c r="AS404" i="1"/>
  <c r="M414" i="1"/>
  <c r="AS414" i="1"/>
  <c r="M527" i="1"/>
  <c r="AS527" i="1"/>
  <c r="M523" i="1"/>
  <c r="AS523" i="1"/>
  <c r="M522" i="1"/>
  <c r="AS522" i="1"/>
  <c r="M558" i="1"/>
  <c r="AS558" i="1"/>
  <c r="M521" i="1"/>
  <c r="AS521" i="1"/>
  <c r="M563" i="1"/>
  <c r="AS563" i="1"/>
  <c r="M412" i="1"/>
  <c r="AS412" i="1"/>
  <c r="M534" i="1"/>
  <c r="AS534" i="1"/>
  <c r="M75" i="1"/>
  <c r="AS75" i="1"/>
  <c r="M360" i="1"/>
  <c r="AS360" i="1"/>
  <c r="M390" i="1"/>
  <c r="AS390" i="1"/>
  <c r="M471" i="1"/>
  <c r="AS471" i="1"/>
  <c r="M413" i="1"/>
  <c r="AS413" i="1"/>
  <c r="M526" i="1"/>
  <c r="AS526" i="1"/>
  <c r="M560" i="1"/>
  <c r="AS560" i="1"/>
  <c r="M524" i="1"/>
  <c r="AS524" i="1"/>
  <c r="M73" i="1"/>
  <c r="AS73" i="1"/>
  <c r="M366" i="1"/>
  <c r="AS366" i="1"/>
  <c r="M368" i="1"/>
  <c r="AS368" i="1"/>
  <c r="M367" i="1"/>
  <c r="AS367" i="1"/>
  <c r="M391" i="1"/>
  <c r="AS391" i="1"/>
  <c r="M481" i="1"/>
  <c r="AS481" i="1"/>
  <c r="M416" i="1"/>
  <c r="AS416" i="1"/>
  <c r="M525" i="1"/>
  <c r="AS525" i="1"/>
  <c r="M532" i="1"/>
  <c r="AS532" i="1"/>
  <c r="M513" i="1"/>
  <c r="AS513" i="1"/>
  <c r="M565" i="1"/>
  <c r="AS565" i="1"/>
  <c r="M88" i="1"/>
  <c r="AS88" i="1"/>
  <c r="M77" i="1"/>
  <c r="AS77" i="1"/>
  <c r="M71" i="1"/>
  <c r="AS71" i="1"/>
  <c r="M364" i="1"/>
  <c r="AS364" i="1"/>
  <c r="M369" i="1"/>
  <c r="AS369" i="1"/>
  <c r="M386" i="1"/>
  <c r="AS386" i="1"/>
  <c r="M389" i="1"/>
  <c r="AS389" i="1"/>
  <c r="M388" i="1"/>
  <c r="AS388" i="1"/>
  <c r="M403" i="1"/>
  <c r="AS403" i="1"/>
  <c r="M478" i="1"/>
  <c r="AS478" i="1"/>
  <c r="M480" i="1"/>
  <c r="AS480" i="1"/>
  <c r="M474" i="1"/>
  <c r="AS474" i="1"/>
  <c r="M469" i="1"/>
  <c r="AS469" i="1"/>
  <c r="M415" i="1"/>
  <c r="AS415" i="1"/>
  <c r="M410" i="1"/>
  <c r="AS410" i="1"/>
  <c r="M529" i="1"/>
  <c r="AS529" i="1"/>
  <c r="M518" i="1"/>
  <c r="AS518" i="1"/>
  <c r="M519" i="1"/>
  <c r="AS519" i="1"/>
  <c r="M517" i="1"/>
  <c r="AS517" i="1"/>
  <c r="M562" i="1"/>
  <c r="AS562" i="1"/>
  <c r="M559" i="1"/>
  <c r="AS559" i="1"/>
  <c r="M72" i="1"/>
  <c r="AS72" i="1"/>
  <c r="M385" i="1"/>
  <c r="AS385" i="1"/>
  <c r="M475" i="1"/>
  <c r="AS475" i="1"/>
  <c r="M6" i="1"/>
  <c r="AS6" i="1"/>
  <c r="M477" i="1"/>
  <c r="AS477" i="1"/>
  <c r="M465" i="1"/>
  <c r="AS465" i="1"/>
  <c r="M383" i="1"/>
  <c r="AS383" i="1"/>
  <c r="M359" i="1"/>
  <c r="AS359" i="1"/>
  <c r="M86" i="1"/>
  <c r="AS86" i="1"/>
  <c r="M62" i="1"/>
  <c r="M120" i="1"/>
  <c r="AS120" i="1"/>
  <c r="K60" i="1"/>
  <c r="M60" i="1"/>
  <c r="AS60" i="1"/>
  <c r="K58" i="1"/>
  <c r="M58" i="1"/>
  <c r="AS58" i="1"/>
  <c r="K54" i="1"/>
  <c r="M54" i="1"/>
  <c r="AS54" i="1"/>
  <c r="K55" i="1"/>
  <c r="M55" i="1"/>
  <c r="AS55" i="1"/>
  <c r="K56" i="1"/>
  <c r="M56" i="1"/>
  <c r="AS56" i="1"/>
  <c r="K59" i="1"/>
  <c r="M59" i="1"/>
  <c r="AS59" i="1"/>
  <c r="K53" i="1"/>
  <c r="K57" i="1"/>
  <c r="M57" i="1"/>
  <c r="AS57" i="1"/>
  <c r="K68" i="1"/>
  <c r="L579" i="1"/>
  <c r="M53" i="1"/>
  <c r="AS53" i="1"/>
  <c r="K100" i="1"/>
  <c r="K106" i="1"/>
  <c r="M100" i="1"/>
  <c r="AS100" i="1"/>
  <c r="M102" i="1"/>
  <c r="AS102" i="1"/>
  <c r="K40" i="1"/>
  <c r="K34" i="1"/>
  <c r="K28" i="1"/>
  <c r="K37" i="1"/>
  <c r="K25" i="1"/>
  <c r="K30" i="1"/>
  <c r="K36" i="1"/>
  <c r="K32" i="1"/>
  <c r="K22" i="1"/>
  <c r="K26" i="1"/>
  <c r="K42" i="1"/>
  <c r="K29" i="1"/>
  <c r="K23" i="1"/>
  <c r="K38" i="1"/>
  <c r="K33" i="1"/>
  <c r="K31" i="1"/>
  <c r="K39" i="1"/>
  <c r="K24" i="1"/>
  <c r="K35" i="1"/>
  <c r="K27" i="1"/>
  <c r="K41" i="1"/>
  <c r="K50" i="1"/>
  <c r="K579" i="1"/>
  <c r="M34" i="1"/>
  <c r="AS34" i="1"/>
  <c r="M40" i="1"/>
  <c r="AS40" i="1"/>
  <c r="M36" i="1"/>
  <c r="AS36" i="1"/>
  <c r="M26" i="1"/>
  <c r="AS26" i="1"/>
  <c r="M29" i="1"/>
  <c r="AS29" i="1"/>
  <c r="M37" i="1"/>
  <c r="AS37" i="1"/>
  <c r="M31" i="1"/>
  <c r="AS31" i="1"/>
  <c r="M33" i="1"/>
  <c r="AS33" i="1"/>
  <c r="M24" i="1"/>
  <c r="AS24" i="1"/>
  <c r="M35" i="1"/>
  <c r="AS35" i="1"/>
  <c r="M39" i="1"/>
  <c r="AS39" i="1"/>
  <c r="M38" i="1"/>
  <c r="AS38" i="1"/>
  <c r="M41" i="1"/>
  <c r="AS41" i="1"/>
  <c r="M23" i="1"/>
  <c r="AS23" i="1"/>
  <c r="M32" i="1"/>
  <c r="AS32" i="1"/>
  <c r="M42" i="1"/>
  <c r="AS42" i="1"/>
  <c r="M30" i="1"/>
  <c r="AS30" i="1"/>
  <c r="M28" i="1"/>
  <c r="AS28" i="1"/>
  <c r="M27" i="1"/>
  <c r="AS27" i="1"/>
  <c r="M22" i="1"/>
  <c r="AS22" i="1"/>
  <c r="BE596" i="1"/>
  <c r="BE592" i="1"/>
  <c r="BE599" i="1"/>
  <c r="BE595" i="1"/>
  <c r="BE597" i="1"/>
  <c r="BE591" i="1"/>
  <c r="BE594" i="1"/>
  <c r="BE598" i="1"/>
  <c r="BE590" i="1"/>
  <c r="BE593" i="1"/>
  <c r="BE538" i="1"/>
  <c r="BE301" i="1"/>
  <c r="BE326" i="1"/>
  <c r="BE426" i="1"/>
  <c r="BE541" i="1"/>
  <c r="BE567" i="1"/>
  <c r="BE373" i="1"/>
  <c r="BE252" i="1"/>
  <c r="BE549" i="1"/>
  <c r="BE444" i="1"/>
  <c r="BE317" i="1"/>
  <c r="BE295" i="1"/>
  <c r="BE492" i="1"/>
  <c r="BE294" i="1"/>
  <c r="BE292" i="1"/>
  <c r="BE293" i="1"/>
  <c r="BE332" i="1"/>
  <c r="BE548" i="1"/>
  <c r="BE325" i="1"/>
  <c r="BE396" i="1"/>
  <c r="BE198" i="1"/>
  <c r="BE251" i="1"/>
  <c r="BE335" i="1"/>
  <c r="BE536" i="1"/>
  <c r="BE545" i="1"/>
  <c r="BE574" i="1"/>
  <c r="BE221" i="1"/>
  <c r="BE336" i="1"/>
  <c r="BE319" i="1"/>
  <c r="BE321" i="1"/>
  <c r="BE284" i="1"/>
  <c r="BE303" i="1"/>
  <c r="BE436" i="1"/>
  <c r="BE268" i="1"/>
  <c r="BE586" i="1"/>
  <c r="BE422" i="1"/>
  <c r="BE213" i="1"/>
  <c r="BE352" i="1"/>
  <c r="BE351" i="1"/>
  <c r="BE348" i="1"/>
  <c r="BE350" i="1"/>
  <c r="BE353" i="1"/>
  <c r="BE349" i="1"/>
  <c r="BE347" i="1"/>
  <c r="BE482" i="1"/>
  <c r="BE587" i="1"/>
  <c r="BE506" i="1"/>
  <c r="BE61" i="1"/>
  <c r="BE453" i="1"/>
  <c r="BE537" i="1"/>
  <c r="BE323" i="1"/>
  <c r="BE485" i="1"/>
  <c r="BE258" i="1"/>
  <c r="BE228" i="1"/>
  <c r="BE234" i="1"/>
  <c r="BE546" i="1"/>
  <c r="BE306" i="1"/>
  <c r="BE229" i="1"/>
  <c r="BE44" i="1"/>
  <c r="BE377" i="1"/>
  <c r="BE568" i="1"/>
  <c r="BE281" i="1"/>
  <c r="BE338" i="1"/>
  <c r="BE204" i="1"/>
  <c r="BE194" i="1"/>
  <c r="BE550" i="1"/>
  <c r="BE311" i="1"/>
  <c r="BE216" i="1"/>
  <c r="BE230" i="1"/>
  <c r="BE297" i="1"/>
  <c r="BE249" i="1"/>
  <c r="BE547" i="1"/>
  <c r="BE197" i="1"/>
  <c r="BE296" i="1"/>
  <c r="BE279" i="1"/>
  <c r="BE245" i="1"/>
  <c r="BE65" i="1"/>
  <c r="BE483" i="1"/>
  <c r="BE180" i="1"/>
  <c r="BE176" i="1"/>
  <c r="BE185" i="1"/>
  <c r="BE273" i="1"/>
  <c r="BE329" i="1"/>
  <c r="BE226" i="1"/>
  <c r="BE62" i="1"/>
  <c r="BE542" i="1"/>
  <c r="BE493" i="1"/>
  <c r="BE313" i="1"/>
  <c r="BE247" i="1"/>
  <c r="BE64" i="1"/>
  <c r="BE488" i="1"/>
  <c r="BE94" i="1"/>
  <c r="BE543" i="1"/>
  <c r="BE455" i="1"/>
  <c r="BE431" i="1"/>
  <c r="BE274" i="1"/>
  <c r="BE186" i="1"/>
  <c r="BE277" i="1"/>
  <c r="BE93" i="1"/>
  <c r="BE372" i="1"/>
  <c r="BE270" i="1"/>
  <c r="BE184" i="1"/>
  <c r="BE340" i="1"/>
  <c r="BE275" i="1"/>
  <c r="BE324" i="1"/>
  <c r="BE47" i="1"/>
  <c r="BE504" i="1"/>
  <c r="BE500" i="1"/>
  <c r="BE113" i="1"/>
  <c r="BE505" i="1"/>
  <c r="BE564" i="1"/>
  <c r="BE91" i="1"/>
  <c r="BE409" i="1"/>
  <c r="BE527" i="1"/>
  <c r="BE165" i="1"/>
  <c r="BE148" i="1"/>
  <c r="BE53" i="1"/>
  <c r="BE54" i="1"/>
  <c r="BE43" i="1"/>
  <c r="BE394" i="1"/>
  <c r="BE190" i="1"/>
  <c r="BE46" i="1"/>
  <c r="BE449" i="1"/>
  <c r="BE280" i="1"/>
  <c r="BE196" i="1"/>
  <c r="BE188" i="1"/>
  <c r="BE446" i="1"/>
  <c r="BE320" i="1"/>
  <c r="BE263" i="1"/>
  <c r="BE299" i="1"/>
  <c r="BE440" i="1"/>
  <c r="BE458" i="1"/>
  <c r="BE305" i="1"/>
  <c r="BE237" i="1"/>
  <c r="BE339" i="1"/>
  <c r="BE309" i="1"/>
  <c r="BE243" i="1"/>
  <c r="BE238" i="1"/>
  <c r="BE454" i="1"/>
  <c r="BE224" i="1"/>
  <c r="BE427" i="1"/>
  <c r="BE535" i="1"/>
  <c r="BE191" i="1"/>
  <c r="BE205" i="1"/>
  <c r="BE316" i="1"/>
  <c r="BE276" i="1"/>
  <c r="BE490" i="1"/>
  <c r="BE345" i="1"/>
  <c r="BE457" i="1"/>
  <c r="BE189" i="1"/>
  <c r="BE80" i="1"/>
  <c r="BE448" i="1"/>
  <c r="BE266" i="1"/>
  <c r="BE236" i="1"/>
  <c r="BE494" i="1"/>
  <c r="BE328" i="1"/>
  <c r="BE438" i="1"/>
  <c r="BE178" i="1"/>
  <c r="BE341" i="1"/>
  <c r="BE283" i="1"/>
  <c r="BE435" i="1"/>
  <c r="BE259" i="1"/>
  <c r="BE206" i="1"/>
  <c r="BE342" i="1"/>
  <c r="BE315" i="1"/>
  <c r="BE424" i="1"/>
  <c r="BE246" i="1"/>
  <c r="BE312" i="1"/>
  <c r="BE318" i="1"/>
  <c r="BE330" i="1"/>
  <c r="BE395" i="1"/>
  <c r="BE214" i="1"/>
  <c r="BE242" i="1"/>
  <c r="BE484" i="1"/>
  <c r="BE265" i="1"/>
  <c r="BE433" i="1"/>
  <c r="BE304" i="1"/>
  <c r="BE232" i="1"/>
  <c r="BE337" i="1"/>
  <c r="BE76" i="1"/>
  <c r="BE109" i="1"/>
  <c r="BE114" i="1"/>
  <c r="BE15" i="1"/>
  <c r="BE361" i="1"/>
  <c r="BE468" i="1"/>
  <c r="BE522" i="1"/>
  <c r="BE125" i="1"/>
  <c r="BE137" i="1"/>
  <c r="BE75" i="1"/>
  <c r="BE366" i="1"/>
  <c r="BE11" i="1"/>
  <c r="BE175" i="1"/>
  <c r="BE419" i="1"/>
  <c r="BE63" i="1"/>
  <c r="BE327" i="1"/>
  <c r="BE566" i="1"/>
  <c r="BE288" i="1"/>
  <c r="BE248" i="1"/>
  <c r="BE507" i="1"/>
  <c r="BE267" i="1"/>
  <c r="BE487" i="1"/>
  <c r="BE233" i="1"/>
  <c r="BE227" i="1"/>
  <c r="BE217" i="1"/>
  <c r="BE539" i="1"/>
  <c r="BE489" i="1"/>
  <c r="BE219" i="1"/>
  <c r="BE285" i="1"/>
  <c r="BE195" i="1"/>
  <c r="BE269" i="1"/>
  <c r="BE208" i="1"/>
  <c r="BE201" i="1"/>
  <c r="BE254" i="1"/>
  <c r="BE569" i="1"/>
  <c r="BE218" i="1"/>
  <c r="BE344" i="1"/>
  <c r="BE447" i="1"/>
  <c r="BE223" i="1"/>
  <c r="BE282" i="1"/>
  <c r="BE181" i="1"/>
  <c r="BE421" i="1"/>
  <c r="BE551" i="1"/>
  <c r="BE334" i="1"/>
  <c r="BE183" i="1"/>
  <c r="BE231" i="1"/>
  <c r="BE397" i="1"/>
  <c r="BE544" i="1"/>
  <c r="BE290" i="1"/>
  <c r="BE262" i="1"/>
  <c r="BE261" i="1"/>
  <c r="BE375" i="1"/>
  <c r="BE540" i="1"/>
  <c r="BE199" i="1"/>
  <c r="BE314" i="1"/>
  <c r="BE374" i="1"/>
  <c r="BE376" i="1"/>
  <c r="BE211" i="1"/>
  <c r="BE300" i="1"/>
  <c r="BE452" i="1"/>
  <c r="BE212" i="1"/>
  <c r="BE425" i="1"/>
  <c r="BE264" i="1"/>
  <c r="BE179" i="1"/>
  <c r="BE434" i="1"/>
  <c r="BE220" i="1"/>
  <c r="BE177" i="1"/>
  <c r="BE423" i="1"/>
  <c r="BE287" i="1"/>
  <c r="BE437" i="1"/>
  <c r="BE503" i="1"/>
  <c r="BE111" i="1"/>
  <c r="BE89" i="1"/>
  <c r="BE363" i="1"/>
  <c r="BE470" i="1"/>
  <c r="BE521" i="1"/>
  <c r="BE128" i="1"/>
  <c r="BE130" i="1"/>
  <c r="BE390" i="1"/>
  <c r="BE367" i="1"/>
  <c r="BE88" i="1"/>
  <c r="BE524" i="1"/>
  <c r="BE154" i="1"/>
  <c r="BE519" i="1"/>
  <c r="BE370" i="1"/>
  <c r="BE530" i="1"/>
  <c r="BE13" i="1"/>
  <c r="BE561" i="1"/>
  <c r="BE169" i="1"/>
  <c r="BE59" i="1"/>
  <c r="BE168" i="1"/>
  <c r="BE166" i="1"/>
  <c r="BE403" i="1"/>
  <c r="BE518" i="1"/>
  <c r="BE140" i="1"/>
  <c r="BE147" i="1"/>
  <c r="BE57" i="1"/>
  <c r="BE467" i="1"/>
  <c r="BE526" i="1"/>
  <c r="BE173" i="1"/>
  <c r="BE78" i="1"/>
  <c r="BE393" i="1"/>
  <c r="BE407" i="1"/>
  <c r="BE563" i="1"/>
  <c r="BE138" i="1"/>
  <c r="BE12" i="1"/>
  <c r="BE9" i="1"/>
  <c r="BE92" i="1"/>
  <c r="BE122" i="1"/>
  <c r="BE386" i="1"/>
  <c r="BE120" i="1"/>
  <c r="BE79" i="1"/>
  <c r="BE291" i="1"/>
  <c r="BE310" i="1"/>
  <c r="BE255" i="1"/>
  <c r="BE451" i="1"/>
  <c r="BE459" i="1"/>
  <c r="BE441" i="1"/>
  <c r="BE241" i="1"/>
  <c r="BE308" i="1"/>
  <c r="BE286" i="1"/>
  <c r="BE256" i="1"/>
  <c r="BE450" i="1"/>
  <c r="BE307" i="1"/>
  <c r="BE298" i="1"/>
  <c r="BE215" i="1"/>
  <c r="BE502" i="1"/>
  <c r="BE156" i="1"/>
  <c r="BE71" i="1"/>
  <c r="BE416" i="1"/>
  <c r="BE474" i="1"/>
  <c r="BE411" i="1"/>
  <c r="BE533" i="1"/>
  <c r="BE155" i="1"/>
  <c r="BE560" i="1"/>
  <c r="BE465" i="1"/>
  <c r="BE134" i="1"/>
  <c r="BE389" i="1"/>
  <c r="BE517" i="1"/>
  <c r="BE132" i="1"/>
  <c r="BE16" i="1"/>
  <c r="BE531" i="1"/>
  <c r="BE479" i="1"/>
  <c r="BE415" i="1"/>
  <c r="BE362" i="1"/>
  <c r="BE414" i="1"/>
  <c r="BE124" i="1"/>
  <c r="BE73" i="1"/>
  <c r="BE77" i="1"/>
  <c r="BE387" i="1"/>
  <c r="BE157" i="1"/>
  <c r="BE562" i="1"/>
  <c r="BE240" i="1"/>
  <c r="BE210" i="1"/>
  <c r="BE481" i="1"/>
  <c r="BE473" i="1"/>
  <c r="BE413" i="1"/>
  <c r="BE369" i="1"/>
  <c r="BE160" i="1"/>
  <c r="BE365" i="1"/>
  <c r="BE532" i="1"/>
  <c r="BE476" i="1"/>
  <c r="BE143" i="1"/>
  <c r="BE56" i="1"/>
  <c r="BE167" i="1"/>
  <c r="BE420" i="1"/>
  <c r="BE443" i="1"/>
  <c r="BE193" i="1"/>
  <c r="BE257" i="1"/>
  <c r="BE289" i="1"/>
  <c r="BE302" i="1"/>
  <c r="BE442" i="1"/>
  <c r="BE192" i="1"/>
  <c r="BE253" i="1"/>
  <c r="BE244" i="1"/>
  <c r="BE456" i="1"/>
  <c r="BE202" i="1"/>
  <c r="BE225" i="1"/>
  <c r="BE45" i="1"/>
  <c r="BE139" i="1"/>
  <c r="BE501" i="1"/>
  <c r="BE384" i="1"/>
  <c r="BE7" i="1"/>
  <c r="BE565" i="1"/>
  <c r="BE136" i="1"/>
  <c r="BE520" i="1"/>
  <c r="BE405" i="1"/>
  <c r="BE131" i="1"/>
  <c r="BE14" i="1"/>
  <c r="BE171" i="1"/>
  <c r="BE525" i="1"/>
  <c r="BE135" i="1"/>
  <c r="BE480" i="1"/>
  <c r="BE559" i="1"/>
  <c r="BE145" i="1"/>
  <c r="BE72" i="1"/>
  <c r="BE557" i="1"/>
  <c r="BE406" i="1"/>
  <c r="BE121" i="1"/>
  <c r="BE172" i="1"/>
  <c r="BE58" i="1"/>
  <c r="BE392" i="1"/>
  <c r="BE523" i="1"/>
  <c r="BE129" i="1"/>
  <c r="BE10" i="1"/>
  <c r="BE368" i="1"/>
  <c r="BE364" i="1"/>
  <c r="BE123" i="1"/>
  <c r="BE471" i="1"/>
  <c r="BE359" i="1"/>
  <c r="BE163" i="1"/>
  <c r="BE430" i="1"/>
  <c r="BE260" i="1"/>
  <c r="BE209" i="1"/>
  <c r="BE203" i="1"/>
  <c r="BE207" i="1"/>
  <c r="BE100" i="1"/>
  <c r="BE412" i="1"/>
  <c r="BE152" i="1"/>
  <c r="BE164" i="1"/>
  <c r="BE126" i="1"/>
  <c r="BE410" i="1"/>
  <c r="BE127" i="1"/>
  <c r="BE74" i="1"/>
  <c r="BE360" i="1"/>
  <c r="BE146" i="1"/>
  <c r="BE529" i="1"/>
  <c r="BE346" i="1"/>
  <c r="BE239" i="1"/>
  <c r="BE331" i="1"/>
  <c r="BE250" i="1"/>
  <c r="BE428" i="1"/>
  <c r="BE187" i="1"/>
  <c r="BE486" i="1"/>
  <c r="BE182" i="1"/>
  <c r="BE333" i="1"/>
  <c r="BE429" i="1"/>
  <c r="BE491" i="1"/>
  <c r="BE278" i="1"/>
  <c r="BE222" i="1"/>
  <c r="BE445" i="1"/>
  <c r="BE343" i="1"/>
  <c r="BE271" i="1"/>
  <c r="BE112" i="1"/>
  <c r="BE404" i="1"/>
  <c r="BE6" i="1"/>
  <c r="BE142" i="1"/>
  <c r="BE90" i="1"/>
  <c r="BE144" i="1"/>
  <c r="BE466" i="1"/>
  <c r="BE141" i="1"/>
  <c r="BE477" i="1"/>
  <c r="BE174" i="1"/>
  <c r="BE513" i="1"/>
  <c r="BE469" i="1"/>
  <c r="BE158" i="1"/>
  <c r="BE475" i="1"/>
  <c r="BE162" i="1"/>
  <c r="BE161" i="1"/>
  <c r="BE150" i="1"/>
  <c r="BE133" i="1"/>
  <c r="BE86" i="1"/>
  <c r="BE472" i="1"/>
  <c r="BE558" i="1"/>
  <c r="BE149" i="1"/>
  <c r="BE391" i="1"/>
  <c r="BE8" i="1"/>
  <c r="BE528" i="1"/>
  <c r="BE159" i="1"/>
  <c r="BE478" i="1"/>
  <c r="BE439" i="1"/>
  <c r="BE272" i="1"/>
  <c r="BE322" i="1"/>
  <c r="BE235" i="1"/>
  <c r="BE432" i="1"/>
  <c r="BE200" i="1"/>
  <c r="BE110" i="1"/>
  <c r="BE388" i="1"/>
  <c r="BE408" i="1"/>
  <c r="BE151" i="1"/>
  <c r="BE170" i="1"/>
  <c r="BE383" i="1"/>
  <c r="BE385" i="1"/>
  <c r="BE153" i="1"/>
  <c r="BE55" i="1"/>
  <c r="BE102" i="1"/>
  <c r="BE28" i="1"/>
  <c r="BE42" i="1"/>
  <c r="BE23" i="1"/>
  <c r="BE38" i="1"/>
  <c r="BE35" i="1"/>
  <c r="BE33" i="1"/>
  <c r="BE29" i="1"/>
  <c r="BE36" i="1"/>
  <c r="BE34" i="1"/>
  <c r="BE27" i="1"/>
  <c r="BE30" i="1"/>
  <c r="BE32" i="1"/>
  <c r="BE22" i="1"/>
  <c r="BE41" i="1"/>
  <c r="BE39" i="1"/>
  <c r="BE24" i="1"/>
  <c r="BE31" i="1"/>
  <c r="BE37" i="1"/>
  <c r="BE26" i="1"/>
  <c r="BE40" i="1"/>
  <c r="BE577" i="1"/>
  <c r="BD583" i="1"/>
  <c r="BF599" i="1"/>
  <c r="BH599" i="1"/>
  <c r="BF591" i="1"/>
  <c r="BH591" i="1"/>
  <c r="BF598" i="1"/>
  <c r="BH598" i="1"/>
  <c r="BF594" i="1"/>
  <c r="BH594" i="1"/>
  <c r="BF590" i="1"/>
  <c r="BH590" i="1"/>
  <c r="BF597" i="1"/>
  <c r="BH597" i="1"/>
  <c r="BF593" i="1"/>
  <c r="BH593" i="1"/>
  <c r="BF596" i="1"/>
  <c r="BH596" i="1"/>
  <c r="BF592" i="1"/>
  <c r="BH592" i="1"/>
  <c r="BF595" i="1"/>
  <c r="BH595" i="1"/>
  <c r="BF538" i="1"/>
  <c r="BH538" i="1"/>
  <c r="BF301" i="1"/>
  <c r="BH301" i="1"/>
  <c r="BF326" i="1"/>
  <c r="BH326" i="1"/>
  <c r="BF426" i="1"/>
  <c r="BH426" i="1"/>
  <c r="BF541" i="1"/>
  <c r="BH541" i="1"/>
  <c r="BF567" i="1"/>
  <c r="BH567" i="1"/>
  <c r="BF373" i="1"/>
  <c r="BH373" i="1"/>
  <c r="BF252" i="1"/>
  <c r="BH252" i="1"/>
  <c r="BF549" i="1"/>
  <c r="BH549" i="1"/>
  <c r="BF444" i="1"/>
  <c r="BH444" i="1"/>
  <c r="BF317" i="1"/>
  <c r="BH317" i="1"/>
  <c r="BF295" i="1"/>
  <c r="BH295" i="1"/>
  <c r="BF492" i="1"/>
  <c r="BH492" i="1"/>
  <c r="BF294" i="1"/>
  <c r="BH294" i="1"/>
  <c r="BF292" i="1"/>
  <c r="BH292" i="1"/>
  <c r="BF293" i="1"/>
  <c r="BH293" i="1"/>
  <c r="BF332" i="1"/>
  <c r="BH332" i="1"/>
  <c r="BF548" i="1"/>
  <c r="BH548" i="1"/>
  <c r="BF325" i="1"/>
  <c r="BH325" i="1"/>
  <c r="BF396" i="1"/>
  <c r="BH396" i="1"/>
  <c r="BF198" i="1"/>
  <c r="BH198" i="1"/>
  <c r="BF251" i="1"/>
  <c r="BH251" i="1"/>
  <c r="BF335" i="1"/>
  <c r="BH335" i="1"/>
  <c r="BF536" i="1"/>
  <c r="BH536" i="1"/>
  <c r="BF574" i="1"/>
  <c r="BH574" i="1"/>
  <c r="BF336" i="1"/>
  <c r="BH336" i="1"/>
  <c r="BF545" i="1"/>
  <c r="BH545" i="1"/>
  <c r="BF321" i="1"/>
  <c r="BH321" i="1"/>
  <c r="BF221" i="1"/>
  <c r="BH221" i="1"/>
  <c r="BF303" i="1"/>
  <c r="BH303" i="1"/>
  <c r="BF319" i="1"/>
  <c r="BH319" i="1"/>
  <c r="BF268" i="1"/>
  <c r="BH268" i="1"/>
  <c r="BF284" i="1"/>
  <c r="BH284" i="1"/>
  <c r="BF422" i="1"/>
  <c r="BH422" i="1"/>
  <c r="BF436" i="1"/>
  <c r="BH436" i="1"/>
  <c r="BF213" i="1"/>
  <c r="BH213" i="1"/>
  <c r="BF353" i="1"/>
  <c r="BH353" i="1"/>
  <c r="BF348" i="1"/>
  <c r="BH348" i="1"/>
  <c r="BF350" i="1"/>
  <c r="BH350" i="1"/>
  <c r="BF349" i="1"/>
  <c r="BH349" i="1"/>
  <c r="BF352" i="1"/>
  <c r="BH352" i="1"/>
  <c r="BF347" i="1"/>
  <c r="BH347" i="1"/>
  <c r="BF351" i="1"/>
  <c r="BH351" i="1"/>
  <c r="BF482" i="1"/>
  <c r="BH482" i="1"/>
  <c r="BF16" i="1"/>
  <c r="BH16" i="1"/>
  <c r="BF12" i="1"/>
  <c r="BH12" i="1"/>
  <c r="BF8" i="1"/>
  <c r="BH8" i="1"/>
  <c r="BF47" i="1"/>
  <c r="BH47" i="1"/>
  <c r="BF43" i="1"/>
  <c r="BH43" i="1"/>
  <c r="BF41" i="1"/>
  <c r="BH41" i="1"/>
  <c r="BF37" i="1"/>
  <c r="BH37" i="1"/>
  <c r="BF33" i="1"/>
  <c r="BH33" i="1"/>
  <c r="BF29" i="1"/>
  <c r="BH29" i="1"/>
  <c r="BF24" i="1"/>
  <c r="BH24" i="1"/>
  <c r="BF65" i="1"/>
  <c r="BH65" i="1"/>
  <c r="BF61" i="1"/>
  <c r="BH61" i="1"/>
  <c r="BF57" i="1"/>
  <c r="BH57" i="1"/>
  <c r="BF53" i="1"/>
  <c r="BH53" i="1"/>
  <c r="BF79" i="1"/>
  <c r="BH79" i="1"/>
  <c r="BF75" i="1"/>
  <c r="BH75" i="1"/>
  <c r="BF71" i="1"/>
  <c r="BH71" i="1"/>
  <c r="BF89" i="1"/>
  <c r="BH89" i="1"/>
  <c r="BF100" i="1"/>
  <c r="BH100" i="1"/>
  <c r="BF112" i="1"/>
  <c r="BH112" i="1"/>
  <c r="BF345" i="1"/>
  <c r="BH345" i="1"/>
  <c r="BF341" i="1"/>
  <c r="BH341" i="1"/>
  <c r="BF337" i="1"/>
  <c r="BH337" i="1"/>
  <c r="BF334" i="1"/>
  <c r="BH334" i="1"/>
  <c r="BF329" i="1"/>
  <c r="BH329" i="1"/>
  <c r="BF314" i="1"/>
  <c r="BH314" i="1"/>
  <c r="BF310" i="1"/>
  <c r="BH310" i="1"/>
  <c r="BF306" i="1"/>
  <c r="BH306" i="1"/>
  <c r="BF302" i="1"/>
  <c r="BH302" i="1"/>
  <c r="BF297" i="1"/>
  <c r="BH297" i="1"/>
  <c r="BF289" i="1"/>
  <c r="BH289" i="1"/>
  <c r="BF285" i="1"/>
  <c r="BH285" i="1"/>
  <c r="BF281" i="1"/>
  <c r="BG281" i="1"/>
  <c r="BH281" i="1"/>
  <c r="BF277" i="1"/>
  <c r="BH277" i="1"/>
  <c r="BF273" i="1"/>
  <c r="BG273" i="1"/>
  <c r="BH273" i="1"/>
  <c r="BF269" i="1"/>
  <c r="BH269" i="1"/>
  <c r="BF265" i="1"/>
  <c r="BH265" i="1"/>
  <c r="BF261" i="1"/>
  <c r="BH261" i="1"/>
  <c r="BF257" i="1"/>
  <c r="BH257" i="1"/>
  <c r="BF253" i="1"/>
  <c r="BH253" i="1"/>
  <c r="BF248" i="1"/>
  <c r="BG248" i="1"/>
  <c r="BH248" i="1"/>
  <c r="BF244" i="1"/>
  <c r="BH244" i="1"/>
  <c r="BF240" i="1"/>
  <c r="BH240" i="1"/>
  <c r="BF236" i="1"/>
  <c r="BH236" i="1"/>
  <c r="BF233" i="1"/>
  <c r="BH233" i="1"/>
  <c r="BF229" i="1"/>
  <c r="BH229" i="1"/>
  <c r="BF225" i="1"/>
  <c r="BH225" i="1"/>
  <c r="BF222" i="1"/>
  <c r="BH222" i="1"/>
  <c r="BF217" i="1"/>
  <c r="BH217" i="1"/>
  <c r="BF212" i="1"/>
  <c r="BH212" i="1"/>
  <c r="BF208" i="1"/>
  <c r="BG208" i="1"/>
  <c r="BH208" i="1"/>
  <c r="BF204" i="1"/>
  <c r="BH204" i="1"/>
  <c r="BF200" i="1"/>
  <c r="BH200" i="1"/>
  <c r="BF195" i="1"/>
  <c r="BH195" i="1"/>
  <c r="BF191" i="1"/>
  <c r="BH191" i="1"/>
  <c r="BF187" i="1"/>
  <c r="BH187" i="1"/>
  <c r="BF183" i="1"/>
  <c r="BH183" i="1"/>
  <c r="BF179" i="1"/>
  <c r="BG179" i="1"/>
  <c r="BH179" i="1"/>
  <c r="BF176" i="1"/>
  <c r="BH176" i="1"/>
  <c r="BF172" i="1"/>
  <c r="BH172" i="1"/>
  <c r="BF168" i="1"/>
  <c r="BH168" i="1"/>
  <c r="BF164" i="1"/>
  <c r="BH164" i="1"/>
  <c r="BF160" i="1"/>
  <c r="BH160" i="1"/>
  <c r="BF156" i="1"/>
  <c r="BH156" i="1"/>
  <c r="BF152" i="1"/>
  <c r="BH152" i="1"/>
  <c r="BF148" i="1"/>
  <c r="BH148" i="1"/>
  <c r="BF144" i="1"/>
  <c r="BH144" i="1"/>
  <c r="BF140" i="1"/>
  <c r="BH140" i="1"/>
  <c r="BF136" i="1"/>
  <c r="BH136" i="1"/>
  <c r="BF132" i="1"/>
  <c r="BH132" i="1"/>
  <c r="BF128" i="1"/>
  <c r="BH128" i="1"/>
  <c r="BF124" i="1"/>
  <c r="BH124" i="1"/>
  <c r="BF120" i="1"/>
  <c r="BH120" i="1"/>
  <c r="BF375" i="1"/>
  <c r="BH375" i="1"/>
  <c r="BF372" i="1"/>
  <c r="BH372" i="1"/>
  <c r="BF368" i="1"/>
  <c r="BH368" i="1"/>
  <c r="BF364" i="1"/>
  <c r="BH364" i="1"/>
  <c r="BF360" i="1"/>
  <c r="BH360" i="1"/>
  <c r="BF397" i="1"/>
  <c r="BH397" i="1"/>
  <c r="BF392" i="1"/>
  <c r="BH392" i="1"/>
  <c r="BF15" i="1"/>
  <c r="BH15" i="1"/>
  <c r="BF11" i="1"/>
  <c r="BH11" i="1"/>
  <c r="BF7" i="1"/>
  <c r="BH7" i="1"/>
  <c r="BF46" i="1"/>
  <c r="BH46" i="1"/>
  <c r="BF40" i="1"/>
  <c r="BH40" i="1"/>
  <c r="BF36" i="1"/>
  <c r="BH36" i="1"/>
  <c r="BF32" i="1"/>
  <c r="BH32" i="1"/>
  <c r="BF28" i="1"/>
  <c r="BH28" i="1"/>
  <c r="BF23" i="1"/>
  <c r="BH23" i="1"/>
  <c r="BF64" i="1"/>
  <c r="BH64" i="1"/>
  <c r="BH60" i="1"/>
  <c r="BF56" i="1"/>
  <c r="BH56" i="1"/>
  <c r="BF78" i="1"/>
  <c r="BH78" i="1"/>
  <c r="BF74" i="1"/>
  <c r="BH74" i="1"/>
  <c r="BF92" i="1"/>
  <c r="BH92" i="1"/>
  <c r="BF88" i="1"/>
  <c r="BH88" i="1"/>
  <c r="BF103" i="1"/>
  <c r="BH103" i="1"/>
  <c r="BF111" i="1"/>
  <c r="BH111" i="1"/>
  <c r="BF344" i="1"/>
  <c r="BH344" i="1"/>
  <c r="BF340" i="1"/>
  <c r="BH340" i="1"/>
  <c r="BF333" i="1"/>
  <c r="BG333" i="1"/>
  <c r="BH333" i="1"/>
  <c r="BF328" i="1"/>
  <c r="BG328" i="1"/>
  <c r="BH328" i="1"/>
  <c r="BF323" i="1"/>
  <c r="BH323" i="1"/>
  <c r="BF318" i="1"/>
  <c r="BH318" i="1"/>
  <c r="BF313" i="1"/>
  <c r="BH313" i="1"/>
  <c r="BF309" i="1"/>
  <c r="BH309" i="1"/>
  <c r="BF305" i="1"/>
  <c r="BH305" i="1"/>
  <c r="BF300" i="1"/>
  <c r="BG300" i="1"/>
  <c r="BH300" i="1"/>
  <c r="BF296" i="1"/>
  <c r="BH296" i="1"/>
  <c r="BF288" i="1"/>
  <c r="BH288" i="1"/>
  <c r="BF280" i="1"/>
  <c r="BH280" i="1"/>
  <c r="BF276" i="1"/>
  <c r="BH276" i="1"/>
  <c r="BF272" i="1"/>
  <c r="BH272" i="1"/>
  <c r="BF264" i="1"/>
  <c r="BH264" i="1"/>
  <c r="BF260" i="1"/>
  <c r="BH260" i="1"/>
  <c r="BF256" i="1"/>
  <c r="BH256" i="1"/>
  <c r="BF247" i="1"/>
  <c r="BH247" i="1"/>
  <c r="BF243" i="1"/>
  <c r="BH243" i="1"/>
  <c r="BF239" i="1"/>
  <c r="BH239" i="1"/>
  <c r="BF235" i="1"/>
  <c r="BH235" i="1"/>
  <c r="BF232" i="1"/>
  <c r="BH232" i="1"/>
  <c r="BF228" i="1"/>
  <c r="BH228" i="1"/>
  <c r="BF224" i="1"/>
  <c r="BH224" i="1"/>
  <c r="BF220" i="1"/>
  <c r="BH220" i="1"/>
  <c r="BF216" i="1"/>
  <c r="BH216" i="1"/>
  <c r="BF211" i="1"/>
  <c r="BH211" i="1"/>
  <c r="BF207" i="1"/>
  <c r="BH207" i="1"/>
  <c r="BF203" i="1"/>
  <c r="BH203" i="1"/>
  <c r="BF199" i="1"/>
  <c r="BG199" i="1"/>
  <c r="BH199" i="1"/>
  <c r="BF194" i="1"/>
  <c r="BH194" i="1"/>
  <c r="BF190" i="1"/>
  <c r="BH190" i="1"/>
  <c r="BF186" i="1"/>
  <c r="BH186" i="1"/>
  <c r="BF182" i="1"/>
  <c r="BH182" i="1"/>
  <c r="BF175" i="1"/>
  <c r="BH175" i="1"/>
  <c r="BF171" i="1"/>
  <c r="BH171" i="1"/>
  <c r="BF167" i="1"/>
  <c r="BH167" i="1"/>
  <c r="BF163" i="1"/>
  <c r="BH163" i="1"/>
  <c r="BF159" i="1"/>
  <c r="BH159" i="1"/>
  <c r="BF155" i="1"/>
  <c r="BH155" i="1"/>
  <c r="BF151" i="1"/>
  <c r="BH151" i="1"/>
  <c r="BF147" i="1"/>
  <c r="BH147" i="1"/>
  <c r="BF143" i="1"/>
  <c r="BH143" i="1"/>
  <c r="BF139" i="1"/>
  <c r="BH139" i="1"/>
  <c r="BF135" i="1"/>
  <c r="BH135" i="1"/>
  <c r="BF131" i="1"/>
  <c r="BH131" i="1"/>
  <c r="BF127" i="1"/>
  <c r="BH127" i="1"/>
  <c r="BF123" i="1"/>
  <c r="BH123" i="1"/>
  <c r="BF371" i="1"/>
  <c r="BH371" i="1"/>
  <c r="BF367" i="1"/>
  <c r="BH367" i="1"/>
  <c r="BF363" i="1"/>
  <c r="BH363" i="1"/>
  <c r="BF359" i="1"/>
  <c r="BH359" i="1"/>
  <c r="BF395" i="1"/>
  <c r="BH395" i="1"/>
  <c r="BF391" i="1"/>
  <c r="BH391" i="1"/>
  <c r="BF10" i="1"/>
  <c r="BH10" i="1"/>
  <c r="BF45" i="1"/>
  <c r="BG45" i="1"/>
  <c r="BH45" i="1"/>
  <c r="BF39" i="1"/>
  <c r="BH39" i="1"/>
  <c r="BF31" i="1"/>
  <c r="BH31" i="1"/>
  <c r="BF22" i="1"/>
  <c r="BH22" i="1"/>
  <c r="BF59" i="1"/>
  <c r="BH59" i="1"/>
  <c r="BF73" i="1"/>
  <c r="BH73" i="1"/>
  <c r="BF91" i="1"/>
  <c r="BH91" i="1"/>
  <c r="BF110" i="1"/>
  <c r="BH110" i="1"/>
  <c r="BF343" i="1"/>
  <c r="BH343" i="1"/>
  <c r="BF327" i="1"/>
  <c r="BH327" i="1"/>
  <c r="BF316" i="1"/>
  <c r="BH316" i="1"/>
  <c r="BF308" i="1"/>
  <c r="BH308" i="1"/>
  <c r="BF299" i="1"/>
  <c r="BH299" i="1"/>
  <c r="BF287" i="1"/>
  <c r="BH287" i="1"/>
  <c r="BF279" i="1"/>
  <c r="BG279" i="1"/>
  <c r="BH279" i="1"/>
  <c r="BF271" i="1"/>
  <c r="BH271" i="1"/>
  <c r="BF263" i="1"/>
  <c r="BH263" i="1"/>
  <c r="BF255" i="1"/>
  <c r="BH255" i="1"/>
  <c r="BF246" i="1"/>
  <c r="BH246" i="1"/>
  <c r="BF238" i="1"/>
  <c r="BH238" i="1"/>
  <c r="BF231" i="1"/>
  <c r="BH231" i="1"/>
  <c r="BF223" i="1"/>
  <c r="BH223" i="1"/>
  <c r="BF215" i="1"/>
  <c r="BH215" i="1"/>
  <c r="BF206" i="1"/>
  <c r="BH206" i="1"/>
  <c r="BF197" i="1"/>
  <c r="BH197" i="1"/>
  <c r="BF189" i="1"/>
  <c r="BG189" i="1"/>
  <c r="BH189" i="1"/>
  <c r="BF181" i="1"/>
  <c r="BH181" i="1"/>
  <c r="BF174" i="1"/>
  <c r="BH174" i="1"/>
  <c r="BF166" i="1"/>
  <c r="BH166" i="1"/>
  <c r="BF158" i="1"/>
  <c r="BH158" i="1"/>
  <c r="BF150" i="1"/>
  <c r="BH150" i="1"/>
  <c r="BF142" i="1"/>
  <c r="BH142" i="1"/>
  <c r="BF134" i="1"/>
  <c r="BH134" i="1"/>
  <c r="BF126" i="1"/>
  <c r="BH126" i="1"/>
  <c r="BF377" i="1"/>
  <c r="BH377" i="1"/>
  <c r="BF370" i="1"/>
  <c r="BH370" i="1"/>
  <c r="BF362" i="1"/>
  <c r="BH362" i="1"/>
  <c r="BF394" i="1"/>
  <c r="BH394" i="1"/>
  <c r="BF388" i="1"/>
  <c r="BH388" i="1"/>
  <c r="BF384" i="1"/>
  <c r="BH384" i="1"/>
  <c r="BF458" i="1"/>
  <c r="BH458" i="1"/>
  <c r="BF454" i="1"/>
  <c r="BH454" i="1"/>
  <c r="BF450" i="1"/>
  <c r="BH450" i="1"/>
  <c r="BF447" i="1"/>
  <c r="BH447" i="1"/>
  <c r="BF442" i="1"/>
  <c r="BH442" i="1"/>
  <c r="BF439" i="1"/>
  <c r="BG439" i="1"/>
  <c r="BH439" i="1"/>
  <c r="BF435" i="1"/>
  <c r="BG435" i="1"/>
  <c r="BH435" i="1"/>
  <c r="BF431" i="1"/>
  <c r="BH431" i="1"/>
  <c r="BF427" i="1"/>
  <c r="BH427" i="1"/>
  <c r="BH418" i="1"/>
  <c r="BF414" i="1"/>
  <c r="BH414" i="1"/>
  <c r="BF410" i="1"/>
  <c r="BH410" i="1"/>
  <c r="BF406" i="1"/>
  <c r="BH406" i="1"/>
  <c r="BF490" i="1"/>
  <c r="BH490" i="1"/>
  <c r="BF486" i="1"/>
  <c r="BH486" i="1"/>
  <c r="BF478" i="1"/>
  <c r="BH478" i="1"/>
  <c r="BF474" i="1"/>
  <c r="BH474" i="1"/>
  <c r="BF470" i="1"/>
  <c r="BH470" i="1"/>
  <c r="BF466" i="1"/>
  <c r="BH466" i="1"/>
  <c r="BF506" i="1"/>
  <c r="BH506" i="1"/>
  <c r="BF502" i="1"/>
  <c r="BH502" i="1"/>
  <c r="BF551" i="1"/>
  <c r="BH551" i="1"/>
  <c r="BF532" i="1"/>
  <c r="BH532" i="1"/>
  <c r="BF528" i="1"/>
  <c r="BH528" i="1"/>
  <c r="BF524" i="1"/>
  <c r="BH524" i="1"/>
  <c r="BF520" i="1"/>
  <c r="BH520" i="1"/>
  <c r="BF513" i="1"/>
  <c r="BH513" i="1"/>
  <c r="BF568" i="1"/>
  <c r="BH568" i="1"/>
  <c r="BF563" i="1"/>
  <c r="BH563" i="1"/>
  <c r="BF559" i="1"/>
  <c r="BH559" i="1"/>
  <c r="BF587" i="1"/>
  <c r="BH587" i="1"/>
  <c r="BF9" i="1"/>
  <c r="BH9" i="1"/>
  <c r="BF44" i="1"/>
  <c r="BH44" i="1"/>
  <c r="BF14" i="1"/>
  <c r="BH14" i="1"/>
  <c r="BF6" i="1"/>
  <c r="BF42" i="1"/>
  <c r="BH42" i="1"/>
  <c r="BF35" i="1"/>
  <c r="BH35" i="1"/>
  <c r="BF27" i="1"/>
  <c r="BG27" i="1"/>
  <c r="BF63" i="1"/>
  <c r="BH63" i="1"/>
  <c r="BF55" i="1"/>
  <c r="BH55" i="1"/>
  <c r="BF77" i="1"/>
  <c r="BH77" i="1"/>
  <c r="BF94" i="1"/>
  <c r="BH94" i="1"/>
  <c r="BF86" i="1"/>
  <c r="BH86" i="1"/>
  <c r="BF114" i="1"/>
  <c r="BH114" i="1"/>
  <c r="BF339" i="1"/>
  <c r="BH339" i="1"/>
  <c r="BF331" i="1"/>
  <c r="BG331" i="1"/>
  <c r="BH331" i="1"/>
  <c r="BF322" i="1"/>
  <c r="BH322" i="1"/>
  <c r="BF312" i="1"/>
  <c r="BH312" i="1"/>
  <c r="BF304" i="1"/>
  <c r="BH304" i="1"/>
  <c r="BF291" i="1"/>
  <c r="BG291" i="1"/>
  <c r="BH291" i="1"/>
  <c r="BF283" i="1"/>
  <c r="BH283" i="1"/>
  <c r="BF275" i="1"/>
  <c r="BH275" i="1"/>
  <c r="BF267" i="1"/>
  <c r="BH267" i="1"/>
  <c r="BF259" i="1"/>
  <c r="BH259" i="1"/>
  <c r="BF250" i="1"/>
  <c r="BG250" i="1"/>
  <c r="BH250" i="1"/>
  <c r="BF242" i="1"/>
  <c r="BH242" i="1"/>
  <c r="BF234" i="1"/>
  <c r="BH234" i="1"/>
  <c r="BF227" i="1"/>
  <c r="BH227" i="1"/>
  <c r="BF219" i="1"/>
  <c r="BH219" i="1"/>
  <c r="BF210" i="1"/>
  <c r="BH210" i="1"/>
  <c r="BF202" i="1"/>
  <c r="BH202" i="1"/>
  <c r="BF193" i="1"/>
  <c r="BH193" i="1"/>
  <c r="BF185" i="1"/>
  <c r="BH185" i="1"/>
  <c r="BF178" i="1"/>
  <c r="BH178" i="1"/>
  <c r="BF170" i="1"/>
  <c r="BH170" i="1"/>
  <c r="BF162" i="1"/>
  <c r="BH162" i="1"/>
  <c r="BF154" i="1"/>
  <c r="BH154" i="1"/>
  <c r="BF146" i="1"/>
  <c r="BH146" i="1"/>
  <c r="BF138" i="1"/>
  <c r="BH138" i="1"/>
  <c r="BF130" i="1"/>
  <c r="BH130" i="1"/>
  <c r="BF122" i="1"/>
  <c r="BH122" i="1"/>
  <c r="BF374" i="1"/>
  <c r="BH374" i="1"/>
  <c r="BF366" i="1"/>
  <c r="BH366" i="1"/>
  <c r="BF390" i="1"/>
  <c r="BH390" i="1"/>
  <c r="BF386" i="1"/>
  <c r="BH386" i="1"/>
  <c r="BF456" i="1"/>
  <c r="BH456" i="1"/>
  <c r="BF452" i="1"/>
  <c r="BH452" i="1"/>
  <c r="BF449" i="1"/>
  <c r="BH449" i="1"/>
  <c r="BF445" i="1"/>
  <c r="BH445" i="1"/>
  <c r="BF437" i="1"/>
  <c r="BH437" i="1"/>
  <c r="BF433" i="1"/>
  <c r="BH433" i="1"/>
  <c r="BF429" i="1"/>
  <c r="BH429" i="1"/>
  <c r="BF424" i="1"/>
  <c r="BH424" i="1"/>
  <c r="BF420" i="1"/>
  <c r="BH420" i="1"/>
  <c r="BF416" i="1"/>
  <c r="BH416" i="1"/>
  <c r="BF412" i="1"/>
  <c r="BH412" i="1"/>
  <c r="BF408" i="1"/>
  <c r="BH408" i="1"/>
  <c r="BF404" i="1"/>
  <c r="BH404" i="1"/>
  <c r="BF493" i="1"/>
  <c r="BH493" i="1"/>
  <c r="BF488" i="1"/>
  <c r="BH488" i="1"/>
  <c r="BF484" i="1"/>
  <c r="BH484" i="1"/>
  <c r="BF480" i="1"/>
  <c r="BH480" i="1"/>
  <c r="BF476" i="1"/>
  <c r="BH476" i="1"/>
  <c r="BF472" i="1"/>
  <c r="BH472" i="1"/>
  <c r="BF468" i="1"/>
  <c r="BH468" i="1"/>
  <c r="BF504" i="1"/>
  <c r="BH504" i="1"/>
  <c r="BF500" i="1"/>
  <c r="BH500" i="1"/>
  <c r="BF547" i="1"/>
  <c r="BH547" i="1"/>
  <c r="BF543" i="1"/>
  <c r="BH543" i="1"/>
  <c r="BF539" i="1"/>
  <c r="BH539" i="1"/>
  <c r="BF535" i="1"/>
  <c r="BH535" i="1"/>
  <c r="BF530" i="1"/>
  <c r="BH530" i="1"/>
  <c r="BF526" i="1"/>
  <c r="BH526" i="1"/>
  <c r="BF522" i="1"/>
  <c r="BH522" i="1"/>
  <c r="BF518" i="1"/>
  <c r="BH518" i="1"/>
  <c r="BF565" i="1"/>
  <c r="BH565" i="1"/>
  <c r="BF561" i="1"/>
  <c r="BH561" i="1"/>
  <c r="BF557" i="1"/>
  <c r="BH557" i="1"/>
  <c r="BF26" i="1"/>
  <c r="BH26" i="1"/>
  <c r="BF54" i="1"/>
  <c r="BH54" i="1"/>
  <c r="BF93" i="1"/>
  <c r="BH93" i="1"/>
  <c r="BF113" i="1"/>
  <c r="BH113" i="1"/>
  <c r="BF338" i="1"/>
  <c r="BH338" i="1"/>
  <c r="BF320" i="1"/>
  <c r="BH320" i="1"/>
  <c r="BF282" i="1"/>
  <c r="BH282" i="1"/>
  <c r="BF266" i="1"/>
  <c r="BH266" i="1"/>
  <c r="BF249" i="1"/>
  <c r="BH249" i="1"/>
  <c r="BF218" i="1"/>
  <c r="BH218" i="1"/>
  <c r="BF201" i="1"/>
  <c r="BH201" i="1"/>
  <c r="BF184" i="1"/>
  <c r="BH184" i="1"/>
  <c r="BF169" i="1"/>
  <c r="BH169" i="1"/>
  <c r="BF153" i="1"/>
  <c r="BH153" i="1"/>
  <c r="BF137" i="1"/>
  <c r="BH137" i="1"/>
  <c r="BF121" i="1"/>
  <c r="BH121" i="1"/>
  <c r="BF365" i="1"/>
  <c r="BH365" i="1"/>
  <c r="BF389" i="1"/>
  <c r="BH389" i="1"/>
  <c r="BF459" i="1"/>
  <c r="BH459" i="1"/>
  <c r="BF451" i="1"/>
  <c r="BH451" i="1"/>
  <c r="BF443" i="1"/>
  <c r="BH443" i="1"/>
  <c r="BF428" i="1"/>
  <c r="BH428" i="1"/>
  <c r="BF419" i="1"/>
  <c r="BH419" i="1"/>
  <c r="BF411" i="1"/>
  <c r="BH411" i="1"/>
  <c r="BF403" i="1"/>
  <c r="BH403" i="1"/>
  <c r="BF487" i="1"/>
  <c r="BH487" i="1"/>
  <c r="BF479" i="1"/>
  <c r="BH479" i="1"/>
  <c r="BF471" i="1"/>
  <c r="BH471" i="1"/>
  <c r="BF507" i="1"/>
  <c r="BH507" i="1"/>
  <c r="BF542" i="1"/>
  <c r="BH542" i="1"/>
  <c r="BH534" i="1"/>
  <c r="BF529" i="1"/>
  <c r="BH529" i="1"/>
  <c r="BF521" i="1"/>
  <c r="BH521" i="1"/>
  <c r="BF569" i="1"/>
  <c r="BH569" i="1"/>
  <c r="BF560" i="1"/>
  <c r="BH560" i="1"/>
  <c r="BF38" i="1"/>
  <c r="BH38" i="1"/>
  <c r="BF80" i="1"/>
  <c r="BH80" i="1"/>
  <c r="BF90" i="1"/>
  <c r="BH90" i="1"/>
  <c r="BF109" i="1"/>
  <c r="BH109" i="1"/>
  <c r="BF315" i="1"/>
  <c r="BG315" i="1"/>
  <c r="BH315" i="1"/>
  <c r="BF298" i="1"/>
  <c r="BH298" i="1"/>
  <c r="BF278" i="1"/>
  <c r="BH278" i="1"/>
  <c r="BF262" i="1"/>
  <c r="BH262" i="1"/>
  <c r="BF245" i="1"/>
  <c r="BH245" i="1"/>
  <c r="BF230" i="1"/>
  <c r="BH230" i="1"/>
  <c r="BF214" i="1"/>
  <c r="BH214" i="1"/>
  <c r="BF196" i="1"/>
  <c r="BH196" i="1"/>
  <c r="BF180" i="1"/>
  <c r="BH180" i="1"/>
  <c r="BF165" i="1"/>
  <c r="BH165" i="1"/>
  <c r="BF149" i="1"/>
  <c r="BH149" i="1"/>
  <c r="BF133" i="1"/>
  <c r="BH133" i="1"/>
  <c r="BF376" i="1"/>
  <c r="BH376" i="1"/>
  <c r="BF361" i="1"/>
  <c r="BH361" i="1"/>
  <c r="BF387" i="1"/>
  <c r="BH387" i="1"/>
  <c r="BF457" i="1"/>
  <c r="BH457" i="1"/>
  <c r="BF441" i="1"/>
  <c r="BH441" i="1"/>
  <c r="BF434" i="1"/>
  <c r="BH434" i="1"/>
  <c r="BF425" i="1"/>
  <c r="BH425" i="1"/>
  <c r="BH417" i="1"/>
  <c r="BF409" i="1"/>
  <c r="BH409" i="1"/>
  <c r="BF494" i="1"/>
  <c r="BH494" i="1"/>
  <c r="BF485" i="1"/>
  <c r="BH485" i="1"/>
  <c r="BF477" i="1"/>
  <c r="BH477" i="1"/>
  <c r="BF469" i="1"/>
  <c r="BH469" i="1"/>
  <c r="BF505" i="1"/>
  <c r="BH505" i="1"/>
  <c r="BF550" i="1"/>
  <c r="BG550" i="1"/>
  <c r="BH550" i="1"/>
  <c r="BF540" i="1"/>
  <c r="BH540" i="1"/>
  <c r="BF533" i="1"/>
  <c r="BH533" i="1"/>
  <c r="BF527" i="1"/>
  <c r="BH527" i="1"/>
  <c r="BF519" i="1"/>
  <c r="BH519" i="1"/>
  <c r="BF566" i="1"/>
  <c r="BH566" i="1"/>
  <c r="BF558" i="1"/>
  <c r="BH558" i="1"/>
  <c r="BF13" i="1"/>
  <c r="BH13" i="1"/>
  <c r="BF34" i="1"/>
  <c r="BH34" i="1"/>
  <c r="BF62" i="1"/>
  <c r="BH62" i="1"/>
  <c r="BF76" i="1"/>
  <c r="BH76" i="1"/>
  <c r="BF72" i="1"/>
  <c r="BH72" i="1"/>
  <c r="BF342" i="1"/>
  <c r="BH342" i="1"/>
  <c r="BF307" i="1"/>
  <c r="BH307" i="1"/>
  <c r="BF270" i="1"/>
  <c r="BH270" i="1"/>
  <c r="BF237" i="1"/>
  <c r="BH237" i="1"/>
  <c r="BF205" i="1"/>
  <c r="BH205" i="1"/>
  <c r="BF173" i="1"/>
  <c r="BH173" i="1"/>
  <c r="BF141" i="1"/>
  <c r="BH141" i="1"/>
  <c r="BF369" i="1"/>
  <c r="BH369" i="1"/>
  <c r="BF383" i="1"/>
  <c r="BH383" i="1"/>
  <c r="BF446" i="1"/>
  <c r="BH446" i="1"/>
  <c r="BF430" i="1"/>
  <c r="BH430" i="1"/>
  <c r="BF413" i="1"/>
  <c r="BH413" i="1"/>
  <c r="BF489" i="1"/>
  <c r="BH489" i="1"/>
  <c r="BF473" i="1"/>
  <c r="BH473" i="1"/>
  <c r="BF501" i="1"/>
  <c r="BH501" i="1"/>
  <c r="BF537" i="1"/>
  <c r="BH537" i="1"/>
  <c r="BF523" i="1"/>
  <c r="BH523" i="1"/>
  <c r="BF562" i="1"/>
  <c r="BH562" i="1"/>
  <c r="BF330" i="1"/>
  <c r="BH330" i="1"/>
  <c r="BF290" i="1"/>
  <c r="BH290" i="1"/>
  <c r="BF258" i="1"/>
  <c r="BH258" i="1"/>
  <c r="BF226" i="1"/>
  <c r="BH226" i="1"/>
  <c r="BF192" i="1"/>
  <c r="BH192" i="1"/>
  <c r="BF161" i="1"/>
  <c r="BH161" i="1"/>
  <c r="BF129" i="1"/>
  <c r="BH129" i="1"/>
  <c r="BF455" i="1"/>
  <c r="BH455" i="1"/>
  <c r="BF440" i="1"/>
  <c r="BG440" i="1"/>
  <c r="BH440" i="1"/>
  <c r="BF423" i="1"/>
  <c r="BH423" i="1"/>
  <c r="BF407" i="1"/>
  <c r="BH407" i="1"/>
  <c r="BF483" i="1"/>
  <c r="BH483" i="1"/>
  <c r="BF467" i="1"/>
  <c r="BH467" i="1"/>
  <c r="BF546" i="1"/>
  <c r="BH546" i="1"/>
  <c r="BF517" i="1"/>
  <c r="BH517" i="1"/>
  <c r="BF30" i="1"/>
  <c r="BH30" i="1"/>
  <c r="BF102" i="1"/>
  <c r="BH102" i="1"/>
  <c r="BF324" i="1"/>
  <c r="BH324" i="1"/>
  <c r="BF286" i="1"/>
  <c r="BH286" i="1"/>
  <c r="BF254" i="1"/>
  <c r="BH254" i="1"/>
  <c r="BF188" i="1"/>
  <c r="BH188" i="1"/>
  <c r="BF157" i="1"/>
  <c r="BH157" i="1"/>
  <c r="BF125" i="1"/>
  <c r="BH125" i="1"/>
  <c r="BF393" i="1"/>
  <c r="BH393" i="1"/>
  <c r="BF453" i="1"/>
  <c r="BH453" i="1"/>
  <c r="BF438" i="1"/>
  <c r="BH438" i="1"/>
  <c r="BF421" i="1"/>
  <c r="BH421" i="1"/>
  <c r="BF405" i="1"/>
  <c r="BH405" i="1"/>
  <c r="BF481" i="1"/>
  <c r="BH481" i="1"/>
  <c r="BF465" i="1"/>
  <c r="BH465" i="1"/>
  <c r="BF544" i="1"/>
  <c r="BH544" i="1"/>
  <c r="BF531" i="1"/>
  <c r="BH531" i="1"/>
  <c r="BF586" i="1"/>
  <c r="BH586" i="1"/>
  <c r="BF58" i="1"/>
  <c r="BH58" i="1"/>
  <c r="BF346" i="1"/>
  <c r="BH346" i="1"/>
  <c r="BF311" i="1"/>
  <c r="BH311" i="1"/>
  <c r="BF274" i="1"/>
  <c r="BH274" i="1"/>
  <c r="BF241" i="1"/>
  <c r="BH241" i="1"/>
  <c r="BF209" i="1"/>
  <c r="BH209" i="1"/>
  <c r="BF177" i="1"/>
  <c r="BG177" i="1"/>
  <c r="BH177" i="1"/>
  <c r="BF145" i="1"/>
  <c r="BH145" i="1"/>
  <c r="BF385" i="1"/>
  <c r="BH385" i="1"/>
  <c r="BF448" i="1"/>
  <c r="BH448" i="1"/>
  <c r="BF432" i="1"/>
  <c r="BH432" i="1"/>
  <c r="BF415" i="1"/>
  <c r="BH415" i="1"/>
  <c r="BF491" i="1"/>
  <c r="BH491" i="1"/>
  <c r="BF475" i="1"/>
  <c r="BH475" i="1"/>
  <c r="BF503" i="1"/>
  <c r="BH503" i="1"/>
  <c r="BF525" i="1"/>
  <c r="BH525" i="1"/>
  <c r="BF564" i="1"/>
  <c r="BH564" i="1"/>
  <c r="BH6" i="1"/>
  <c r="BF577" i="1"/>
  <c r="BH27" i="1"/>
  <c r="BH577" i="1"/>
  <c r="AH577" i="1"/>
  <c r="B577" i="1"/>
  <c r="S17" i="30"/>
  <c r="S163" i="30"/>
  <c r="S67" i="30"/>
  <c r="S29" i="30"/>
  <c r="S91" i="30"/>
  <c r="S61" i="30"/>
  <c r="S102" i="30"/>
  <c r="S209" i="30"/>
  <c r="AM538" i="1"/>
  <c r="AM326" i="1"/>
  <c r="AM541" i="1"/>
  <c r="AM373" i="1"/>
  <c r="AM549" i="1"/>
  <c r="AM317" i="1"/>
  <c r="AM492" i="1"/>
  <c r="AM332" i="1"/>
  <c r="AM325" i="1"/>
  <c r="AM198" i="1"/>
  <c r="AM574" i="1"/>
  <c r="AQ574" i="1"/>
  <c r="AM335" i="1"/>
  <c r="AM336" i="1"/>
  <c r="AM321" i="1"/>
  <c r="AM303" i="1"/>
  <c r="AM268" i="1"/>
  <c r="AM422" i="1"/>
  <c r="AJ515" i="1"/>
  <c r="AJ516" i="1"/>
  <c r="AJ514" i="1"/>
  <c r="AM482" i="1"/>
  <c r="AM453" i="1"/>
  <c r="AQ453" i="1"/>
  <c r="AM465" i="1"/>
  <c r="AQ465" i="1"/>
  <c r="AM301" i="1"/>
  <c r="AM426" i="1"/>
  <c r="AQ326" i="1"/>
  <c r="AM567" i="1"/>
  <c r="AQ541" i="1"/>
  <c r="AM252" i="1"/>
  <c r="AQ373" i="1"/>
  <c r="AQ549" i="1"/>
  <c r="AM295" i="1"/>
  <c r="AQ317" i="1"/>
  <c r="AM293" i="1"/>
  <c r="AM292" i="1"/>
  <c r="AM294" i="1"/>
  <c r="AM548" i="1"/>
  <c r="AQ332" i="1"/>
  <c r="AM396" i="1"/>
  <c r="AQ325" i="1"/>
  <c r="AM251" i="1"/>
  <c r="AQ198" i="1"/>
  <c r="AW574" i="1"/>
  <c r="BB574" i="1"/>
  <c r="AM536" i="1"/>
  <c r="AQ335" i="1"/>
  <c r="AJ577" i="1"/>
  <c r="AJ578" i="1"/>
  <c r="AM545" i="1"/>
  <c r="AQ336" i="1"/>
  <c r="AM221" i="1"/>
  <c r="AQ321" i="1"/>
  <c r="AM319" i="1"/>
  <c r="AQ303" i="1"/>
  <c r="AM284" i="1"/>
  <c r="AQ268" i="1"/>
  <c r="AM436" i="1"/>
  <c r="AQ422" i="1"/>
  <c r="AQ482" i="1"/>
  <c r="AT482" i="1"/>
  <c r="AU482" i="1"/>
  <c r="AV482" i="1"/>
  <c r="AM213" i="1"/>
  <c r="AQ213" i="1"/>
  <c r="AM351" i="1"/>
  <c r="AQ351" i="1"/>
  <c r="AM350" i="1"/>
  <c r="AQ350" i="1"/>
  <c r="AM347" i="1"/>
  <c r="AQ347" i="1"/>
  <c r="AM349" i="1"/>
  <c r="AQ349" i="1"/>
  <c r="AM353" i="1"/>
  <c r="AQ353" i="1"/>
  <c r="AM348" i="1"/>
  <c r="AQ348" i="1"/>
  <c r="AM352" i="1"/>
  <c r="AQ352" i="1"/>
  <c r="AT465" i="1"/>
  <c r="AU465" i="1"/>
  <c r="AV465" i="1"/>
  <c r="AM259" i="1"/>
  <c r="AQ259" i="1"/>
  <c r="AM455" i="1"/>
  <c r="AQ455" i="1"/>
  <c r="AM397" i="1"/>
  <c r="AQ397" i="1"/>
  <c r="AM334" i="1"/>
  <c r="AQ334" i="1"/>
  <c r="AM362" i="1"/>
  <c r="AM490" i="1"/>
  <c r="AQ490" i="1"/>
  <c r="AM199" i="1"/>
  <c r="AQ199" i="1"/>
  <c r="AM134" i="1"/>
  <c r="AM189" i="1"/>
  <c r="AQ189" i="1"/>
  <c r="AM393" i="1"/>
  <c r="AM561" i="1"/>
  <c r="AM215" i="1"/>
  <c r="AQ215" i="1"/>
  <c r="AM474" i="1"/>
  <c r="AM427" i="1"/>
  <c r="AQ427" i="1"/>
  <c r="AM285" i="1"/>
  <c r="AQ285" i="1"/>
  <c r="AM121" i="1"/>
  <c r="AM452" i="1"/>
  <c r="AQ452" i="1"/>
  <c r="AM412" i="1"/>
  <c r="AM241" i="1"/>
  <c r="AQ241" i="1"/>
  <c r="AM209" i="1"/>
  <c r="AQ209" i="1"/>
  <c r="AM485" i="1"/>
  <c r="AQ485" i="1"/>
  <c r="AM542" i="1"/>
  <c r="AQ542" i="1"/>
  <c r="AM278" i="1"/>
  <c r="AQ278" i="1"/>
  <c r="AM224" i="1"/>
  <c r="AQ224" i="1"/>
  <c r="AM136" i="1"/>
  <c r="AM184" i="1"/>
  <c r="AQ184" i="1"/>
  <c r="AM262" i="1"/>
  <c r="AQ262" i="1"/>
  <c r="AM168" i="1"/>
  <c r="AM89" i="1"/>
  <c r="AM243" i="1"/>
  <c r="AQ243" i="1"/>
  <c r="AM283" i="1"/>
  <c r="AQ283" i="1"/>
  <c r="AM226" i="1"/>
  <c r="AQ226" i="1"/>
  <c r="AM417" i="1"/>
  <c r="AM530" i="1"/>
  <c r="AM152" i="1"/>
  <c r="AM263" i="1"/>
  <c r="AQ263" i="1"/>
  <c r="AM280" i="1"/>
  <c r="AQ280" i="1"/>
  <c r="AM200" i="1"/>
  <c r="AQ200" i="1"/>
  <c r="AM392" i="1"/>
  <c r="AM298" i="1"/>
  <c r="AQ298" i="1"/>
  <c r="AM344" i="1"/>
  <c r="AQ344" i="1"/>
  <c r="AM274" i="1"/>
  <c r="AQ274" i="1"/>
  <c r="AM247" i="1"/>
  <c r="AQ247" i="1"/>
  <c r="AM413" i="1"/>
  <c r="AM139" i="1"/>
  <c r="AM331" i="1"/>
  <c r="AQ331" i="1"/>
  <c r="AM218" i="1"/>
  <c r="AQ218" i="1"/>
  <c r="AM266" i="1"/>
  <c r="AQ266" i="1"/>
  <c r="AM131" i="1"/>
  <c r="AM448" i="1"/>
  <c r="AQ448" i="1"/>
  <c r="AM202" i="1"/>
  <c r="AQ202" i="1"/>
  <c r="AM275" i="1"/>
  <c r="AQ275" i="1"/>
  <c r="AM359" i="1"/>
  <c r="AM130" i="1"/>
  <c r="AM432" i="1"/>
  <c r="AQ432" i="1"/>
  <c r="AM269" i="1"/>
  <c r="AQ269" i="1"/>
  <c r="AM437" i="1"/>
  <c r="AQ437" i="1"/>
  <c r="AM322" i="1"/>
  <c r="AQ322" i="1"/>
  <c r="AM451" i="1"/>
  <c r="AQ451" i="1"/>
  <c r="AM71" i="1"/>
  <c r="AQ71" i="1"/>
  <c r="AM230" i="1"/>
  <c r="AQ230" i="1"/>
  <c r="AM409" i="1"/>
  <c r="AM315" i="1"/>
  <c r="AQ315" i="1"/>
  <c r="AM80" i="1"/>
  <c r="AQ80" i="1"/>
  <c r="AM90" i="1"/>
  <c r="AM324" i="1"/>
  <c r="AQ324" i="1"/>
  <c r="AM272" i="1"/>
  <c r="AQ272" i="1"/>
  <c r="AM368" i="1"/>
  <c r="AM558" i="1"/>
  <c r="AM195" i="1"/>
  <c r="AQ195" i="1"/>
  <c r="AM132" i="1"/>
  <c r="AM425" i="1"/>
  <c r="AQ425" i="1"/>
  <c r="AM205" i="1"/>
  <c r="AQ205" i="1"/>
  <c r="AM340" i="1"/>
  <c r="AQ340" i="1"/>
  <c r="AM484" i="1"/>
  <c r="AQ484" i="1"/>
  <c r="AM214" i="1"/>
  <c r="AQ214" i="1"/>
  <c r="AM468" i="1"/>
  <c r="AM390" i="1"/>
  <c r="AM415" i="1"/>
  <c r="AM75" i="1"/>
  <c r="AM178" i="1"/>
  <c r="AQ178" i="1"/>
  <c r="AM92" i="1"/>
  <c r="AM146" i="1"/>
  <c r="AM537" i="1"/>
  <c r="AQ537" i="1"/>
  <c r="AM174" i="1"/>
  <c r="AM45" i="1"/>
  <c r="AM77" i="1"/>
  <c r="AM31" i="1"/>
  <c r="AM91" i="1"/>
  <c r="AM78" i="1"/>
  <c r="AM36" i="1"/>
  <c r="AM39" i="1"/>
  <c r="AM55" i="1"/>
  <c r="AM376" i="1"/>
  <c r="AQ376" i="1"/>
  <c r="AM535" i="1"/>
  <c r="AQ535" i="1"/>
  <c r="AM64" i="1"/>
  <c r="AQ64" i="1"/>
  <c r="AM47" i="1"/>
  <c r="AM65" i="1"/>
  <c r="AQ65" i="1"/>
  <c r="AM502" i="1"/>
  <c r="AM113" i="1"/>
  <c r="AQ113" i="1"/>
  <c r="AM109" i="1"/>
  <c r="AM13" i="1"/>
  <c r="AQ13" i="1"/>
  <c r="AT13" i="1"/>
  <c r="AU13" i="1"/>
  <c r="AV13" i="1"/>
  <c r="AM7" i="1"/>
  <c r="AQ7" i="1"/>
  <c r="AT7" i="1"/>
  <c r="AU7" i="1"/>
  <c r="AV7" i="1"/>
  <c r="AM403" i="1"/>
  <c r="AQ403" i="1"/>
  <c r="AM120" i="1"/>
  <c r="AM185" i="1"/>
  <c r="AQ185" i="1"/>
  <c r="AM160" i="1"/>
  <c r="AM149" i="1"/>
  <c r="AM229" i="1"/>
  <c r="AQ229" i="1"/>
  <c r="AM258" i="1"/>
  <c r="AQ258" i="1"/>
  <c r="AM196" i="1"/>
  <c r="AQ196" i="1"/>
  <c r="AM369" i="1"/>
  <c r="AM74" i="1"/>
  <c r="AM142" i="1"/>
  <c r="AM286" i="1"/>
  <c r="AQ286" i="1"/>
  <c r="AM520" i="1"/>
  <c r="AM133" i="1"/>
  <c r="AM257" i="1"/>
  <c r="AQ257" i="1"/>
  <c r="AM430" i="1"/>
  <c r="AQ430" i="1"/>
  <c r="AM238" i="1"/>
  <c r="AQ238" i="1"/>
  <c r="AM287" i="1"/>
  <c r="AQ287" i="1"/>
  <c r="AM327" i="1"/>
  <c r="AQ327" i="1"/>
  <c r="AM328" i="1"/>
  <c r="AQ328" i="1"/>
  <c r="AM201" i="1"/>
  <c r="AQ201" i="1"/>
  <c r="AM296" i="1"/>
  <c r="AQ296" i="1"/>
  <c r="AM457" i="1"/>
  <c r="AQ457" i="1"/>
  <c r="AM253" i="1"/>
  <c r="AQ253" i="1"/>
  <c r="AM341" i="1"/>
  <c r="AQ341" i="1"/>
  <c r="AM318" i="1"/>
  <c r="AQ318" i="1"/>
  <c r="AM364" i="1"/>
  <c r="AM568" i="1"/>
  <c r="AQ568" i="1"/>
  <c r="AM569" i="1"/>
  <c r="AQ569" i="1"/>
  <c r="AM235" i="1"/>
  <c r="AQ235" i="1"/>
  <c r="AM192" i="1"/>
  <c r="AQ192" i="1"/>
  <c r="AM167" i="1"/>
  <c r="AM494" i="1"/>
  <c r="AQ494" i="1"/>
  <c r="AM366" i="1"/>
  <c r="AM410" i="1"/>
  <c r="AM300" i="1"/>
  <c r="AQ300" i="1"/>
  <c r="AM289" i="1"/>
  <c r="AQ289" i="1"/>
  <c r="AM431" i="1"/>
  <c r="AQ431" i="1"/>
  <c r="AM469" i="1"/>
  <c r="AM124" i="1"/>
  <c r="AM491" i="1"/>
  <c r="AQ491" i="1"/>
  <c r="AM188" i="1"/>
  <c r="AQ188" i="1"/>
  <c r="AM305" i="1"/>
  <c r="AQ305" i="1"/>
  <c r="AM309" i="1"/>
  <c r="AQ309" i="1"/>
  <c r="AM438" i="1"/>
  <c r="AQ438" i="1"/>
  <c r="AM313" i="1"/>
  <c r="AQ313" i="1"/>
  <c r="AM165" i="1"/>
  <c r="AM249" i="1"/>
  <c r="AQ249" i="1"/>
  <c r="AM148" i="1"/>
  <c r="AM442" i="1"/>
  <c r="AQ442" i="1"/>
  <c r="AM337" i="1"/>
  <c r="AQ337" i="1"/>
  <c r="AM372" i="1"/>
  <c r="AQ372" i="1"/>
  <c r="AM171" i="1"/>
  <c r="AM245" i="1"/>
  <c r="AQ245" i="1"/>
  <c r="AM273" i="1"/>
  <c r="AQ273" i="1"/>
  <c r="AM236" i="1"/>
  <c r="AQ236" i="1"/>
  <c r="AM456" i="1"/>
  <c r="AQ456" i="1"/>
  <c r="AM333" i="1"/>
  <c r="AQ333" i="1"/>
  <c r="AM343" i="1"/>
  <c r="AQ343" i="1"/>
  <c r="AM222" i="1"/>
  <c r="AQ222" i="1"/>
  <c r="AM478" i="1"/>
  <c r="AM183" i="1"/>
  <c r="AQ183" i="1"/>
  <c r="AM128" i="1"/>
  <c r="AM529" i="1"/>
  <c r="AM220" i="1"/>
  <c r="AQ220" i="1"/>
  <c r="AM159" i="1"/>
  <c r="AM551" i="1"/>
  <c r="AQ551" i="1"/>
  <c r="AM566" i="1"/>
  <c r="AQ566" i="1"/>
  <c r="AM446" i="1"/>
  <c r="AQ446" i="1"/>
  <c r="AM197" i="1"/>
  <c r="AQ197" i="1"/>
  <c r="AM182" i="1"/>
  <c r="AQ182" i="1"/>
  <c r="AM375" i="1"/>
  <c r="AQ375" i="1"/>
  <c r="AM312" i="1"/>
  <c r="AQ312" i="1"/>
  <c r="AM231" i="1"/>
  <c r="AQ231" i="1"/>
  <c r="AM476" i="1"/>
  <c r="AM172" i="1"/>
  <c r="AM450" i="1"/>
  <c r="AQ450" i="1"/>
  <c r="AM162" i="1"/>
  <c r="AM157" i="1"/>
  <c r="AM125" i="1"/>
  <c r="AM141" i="1"/>
  <c r="AM528" i="1"/>
  <c r="AM418" i="1"/>
  <c r="AM30" i="1"/>
  <c r="AM24" i="1"/>
  <c r="AM46" i="1"/>
  <c r="AM27" i="1"/>
  <c r="AM54" i="1"/>
  <c r="AM550" i="1"/>
  <c r="AQ550" i="1"/>
  <c r="AM35" i="1"/>
  <c r="AM524" i="1"/>
  <c r="AM546" i="1"/>
  <c r="AQ546" i="1"/>
  <c r="AM539" i="1"/>
  <c r="AQ539" i="1"/>
  <c r="AM29" i="1"/>
  <c r="AM500" i="1"/>
  <c r="AQ500" i="1"/>
  <c r="AM501" i="1"/>
  <c r="AM434" i="1"/>
  <c r="AQ434" i="1"/>
  <c r="AM12" i="1"/>
  <c r="AQ12" i="1"/>
  <c r="AT12" i="1"/>
  <c r="AU12" i="1"/>
  <c r="AV12" i="1"/>
  <c r="AM14" i="1"/>
  <c r="AQ14" i="1"/>
  <c r="AT14" i="1"/>
  <c r="AU14" i="1"/>
  <c r="AV14" i="1"/>
  <c r="AM15" i="1"/>
  <c r="AQ15" i="1"/>
  <c r="AT15" i="1"/>
  <c r="AU15" i="1"/>
  <c r="AV15" i="1"/>
  <c r="AM9" i="1"/>
  <c r="AQ9" i="1"/>
  <c r="AT9" i="1"/>
  <c r="AU9" i="1"/>
  <c r="AV9" i="1"/>
  <c r="AM110" i="1"/>
  <c r="AQ110" i="1"/>
  <c r="AM389" i="1"/>
  <c r="AM486" i="1"/>
  <c r="AQ486" i="1"/>
  <c r="AM423" i="1"/>
  <c r="AQ423" i="1"/>
  <c r="AM260" i="1"/>
  <c r="AQ260" i="1"/>
  <c r="AM181" i="1"/>
  <c r="AQ181" i="1"/>
  <c r="AM471" i="1"/>
  <c r="AM179" i="1"/>
  <c r="AQ179" i="1"/>
  <c r="AM256" i="1"/>
  <c r="AQ256" i="1"/>
  <c r="AM237" i="1"/>
  <c r="AQ237" i="1"/>
  <c r="AM264" i="1"/>
  <c r="AQ264" i="1"/>
  <c r="AM383" i="1"/>
  <c r="AM137" i="1"/>
  <c r="AM180" i="1"/>
  <c r="AQ180" i="1"/>
  <c r="AM342" i="1"/>
  <c r="AQ342" i="1"/>
  <c r="AM151" i="1"/>
  <c r="AM330" i="1"/>
  <c r="AQ330" i="1"/>
  <c r="AM420" i="1"/>
  <c r="AQ420" i="1"/>
  <c r="AM53" i="1"/>
  <c r="AM338" i="1"/>
  <c r="AQ338" i="1"/>
  <c r="AM323" i="1"/>
  <c r="AQ323" i="1"/>
  <c r="AM472" i="1"/>
  <c r="AM143" i="1"/>
  <c r="AM164" i="1"/>
  <c r="AM299" i="1"/>
  <c r="AQ299" i="1"/>
  <c r="AM267" i="1"/>
  <c r="AQ267" i="1"/>
  <c r="AM170" i="1"/>
  <c r="AM166" i="1"/>
  <c r="AM246" i="1"/>
  <c r="AQ246" i="1"/>
  <c r="AM265" i="1"/>
  <c r="AQ265" i="1"/>
  <c r="AM190" i="1"/>
  <c r="AQ190" i="1"/>
  <c r="AM377" i="1"/>
  <c r="AQ377" i="1"/>
  <c r="AM467" i="1"/>
  <c r="AM242" i="1"/>
  <c r="AQ242" i="1"/>
  <c r="AM288" i="1"/>
  <c r="AQ288" i="1"/>
  <c r="AM370" i="1"/>
  <c r="AM560" i="1"/>
  <c r="AM163" i="1"/>
  <c r="AM233" i="1"/>
  <c r="AQ233" i="1"/>
  <c r="AM526" i="1"/>
  <c r="AM203" i="1"/>
  <c r="AQ203" i="1"/>
  <c r="AM519" i="1"/>
  <c r="AM475" i="1"/>
  <c r="AM297" i="1"/>
  <c r="AQ297" i="1"/>
  <c r="AM271" i="1"/>
  <c r="AQ271" i="1"/>
  <c r="AM374" i="1"/>
  <c r="AQ374" i="1"/>
  <c r="AM158" i="1"/>
  <c r="AM447" i="1"/>
  <c r="AQ447" i="1"/>
  <c r="AM411" i="1"/>
  <c r="AM144" i="1"/>
  <c r="AM93" i="1"/>
  <c r="AQ93" i="1"/>
  <c r="AM449" i="1"/>
  <c r="AQ449" i="1"/>
  <c r="AM212" i="1"/>
  <c r="AQ212" i="1"/>
  <c r="AM547" i="1"/>
  <c r="AQ547" i="1"/>
  <c r="AM487" i="1"/>
  <c r="AQ487" i="1"/>
  <c r="AM466" i="1"/>
  <c r="AM367" i="1"/>
  <c r="AM291" i="1"/>
  <c r="AQ291" i="1"/>
  <c r="AM86" i="1"/>
  <c r="AM428" i="1"/>
  <c r="AQ428" i="1"/>
  <c r="AM522" i="1"/>
  <c r="AM339" i="1"/>
  <c r="AQ339" i="1"/>
  <c r="AM261" i="1"/>
  <c r="AQ261" i="1"/>
  <c r="AM440" i="1"/>
  <c r="AQ440" i="1"/>
  <c r="AM250" i="1"/>
  <c r="AQ250" i="1"/>
  <c r="AM439" i="1"/>
  <c r="AQ439" i="1"/>
  <c r="AM481" i="1"/>
  <c r="AM559" i="1"/>
  <c r="AM445" i="1"/>
  <c r="AQ445" i="1"/>
  <c r="AM127" i="1"/>
  <c r="AM395" i="1"/>
  <c r="AQ395" i="1"/>
  <c r="AM154" i="1"/>
  <c r="AM191" i="1"/>
  <c r="AQ191" i="1"/>
  <c r="AM248" i="1"/>
  <c r="AQ248" i="1"/>
  <c r="AM521" i="1"/>
  <c r="AM206" i="1"/>
  <c r="AQ206" i="1"/>
  <c r="AM244" i="1"/>
  <c r="AQ244" i="1"/>
  <c r="AM544" i="1"/>
  <c r="AQ544" i="1"/>
  <c r="AM156" i="1"/>
  <c r="AM533" i="1"/>
  <c r="AM94" i="1"/>
  <c r="AQ94" i="1"/>
  <c r="AM489" i="1"/>
  <c r="AQ489" i="1"/>
  <c r="AM239" i="1"/>
  <c r="AQ239" i="1"/>
  <c r="AM169" i="1"/>
  <c r="AM161" i="1"/>
  <c r="AM193" i="1"/>
  <c r="AQ193" i="1"/>
  <c r="AM58" i="1"/>
  <c r="AM62" i="1"/>
  <c r="AM361" i="1"/>
  <c r="AM59" i="1"/>
  <c r="AM513" i="1"/>
  <c r="AM543" i="1"/>
  <c r="AQ543" i="1"/>
  <c r="AM60" i="1"/>
  <c r="AM23" i="1"/>
  <c r="AM360" i="1"/>
  <c r="AM44" i="1"/>
  <c r="AM42" i="1"/>
  <c r="AM76" i="1"/>
  <c r="AM37" i="1"/>
  <c r="AM34" i="1"/>
  <c r="AM28" i="1"/>
  <c r="AM507" i="1"/>
  <c r="AM503" i="1"/>
  <c r="AM111" i="1"/>
  <c r="AQ111" i="1"/>
  <c r="AM8" i="1"/>
  <c r="AQ8" i="1"/>
  <c r="AT8" i="1"/>
  <c r="AU8" i="1"/>
  <c r="AV8" i="1"/>
  <c r="AM11" i="1"/>
  <c r="AQ11" i="1"/>
  <c r="AT11" i="1"/>
  <c r="AU11" i="1"/>
  <c r="AV11" i="1"/>
  <c r="AM10" i="1"/>
  <c r="AQ10" i="1"/>
  <c r="AT10" i="1"/>
  <c r="AM114" i="1"/>
  <c r="AQ114" i="1"/>
  <c r="AM100" i="1"/>
  <c r="AQ100" i="1"/>
  <c r="AM102" i="1"/>
  <c r="AM88" i="1"/>
  <c r="AM414" i="1"/>
  <c r="AM433" i="1"/>
  <c r="AQ433" i="1"/>
  <c r="AM407" i="1"/>
  <c r="AM304" i="1"/>
  <c r="AQ304" i="1"/>
  <c r="AM564" i="1"/>
  <c r="AM480" i="1"/>
  <c r="AM346" i="1"/>
  <c r="AQ346" i="1"/>
  <c r="AM225" i="1"/>
  <c r="AQ225" i="1"/>
  <c r="AM563" i="1"/>
  <c r="AM517" i="1"/>
  <c r="AM129" i="1"/>
  <c r="AM123" i="1"/>
  <c r="AM308" i="1"/>
  <c r="AQ308" i="1"/>
  <c r="AM208" i="1"/>
  <c r="AQ208" i="1"/>
  <c r="AM387" i="1"/>
  <c r="AM435" i="1"/>
  <c r="AQ435" i="1"/>
  <c r="AM135" i="1"/>
  <c r="AM72" i="1"/>
  <c r="AM488" i="1"/>
  <c r="AQ488" i="1"/>
  <c r="AM186" i="1"/>
  <c r="AQ186" i="1"/>
  <c r="AM279" i="1"/>
  <c r="AQ279" i="1"/>
  <c r="AM408" i="1"/>
  <c r="AM429" i="1"/>
  <c r="AQ429" i="1"/>
  <c r="AM217" i="1"/>
  <c r="AQ217" i="1"/>
  <c r="AM473" i="1"/>
  <c r="AM211" i="1"/>
  <c r="AQ211" i="1"/>
  <c r="AM345" i="1"/>
  <c r="AQ345" i="1"/>
  <c r="AM532" i="1"/>
  <c r="AM276" i="1"/>
  <c r="AQ276" i="1"/>
  <c r="AM177" i="1"/>
  <c r="AQ177" i="1"/>
  <c r="AM386" i="1"/>
  <c r="AM153" i="1"/>
  <c r="AM329" i="1"/>
  <c r="AQ329" i="1"/>
  <c r="AM441" i="1"/>
  <c r="AQ441" i="1"/>
  <c r="AM385" i="1"/>
  <c r="AM270" i="1"/>
  <c r="AQ270" i="1"/>
  <c r="AM384" i="1"/>
  <c r="AM316" i="1"/>
  <c r="AQ316" i="1"/>
  <c r="AM443" i="1"/>
  <c r="AQ443" i="1"/>
  <c r="AM479" i="1"/>
  <c r="AM176" i="1"/>
  <c r="AM240" i="1"/>
  <c r="AQ240" i="1"/>
  <c r="AM227" i="1"/>
  <c r="AQ227" i="1"/>
  <c r="AM187" i="1"/>
  <c r="AQ187" i="1"/>
  <c r="AM310" i="1"/>
  <c r="AQ310" i="1"/>
  <c r="AM219" i="1"/>
  <c r="AQ219" i="1"/>
  <c r="AM255" i="1"/>
  <c r="AQ255" i="1"/>
  <c r="AM277" i="1"/>
  <c r="AQ277" i="1"/>
  <c r="AM223" i="1"/>
  <c r="AQ223" i="1"/>
  <c r="AM459" i="1"/>
  <c r="AQ459" i="1"/>
  <c r="AM534" i="1"/>
  <c r="AM424" i="1"/>
  <c r="AQ424" i="1"/>
  <c r="AM314" i="1"/>
  <c r="AQ314" i="1"/>
  <c r="AM307" i="1"/>
  <c r="AQ307" i="1"/>
  <c r="AM540" i="1"/>
  <c r="AQ540" i="1"/>
  <c r="AM311" i="1"/>
  <c r="AQ311" i="1"/>
  <c r="AM147" i="1"/>
  <c r="AM122" i="1"/>
  <c r="AM150" i="1"/>
  <c r="AM232" i="1"/>
  <c r="AQ232" i="1"/>
  <c r="AM320" i="1"/>
  <c r="AQ320" i="1"/>
  <c r="AM302" i="1"/>
  <c r="AQ302" i="1"/>
  <c r="AM155" i="1"/>
  <c r="AM363" i="1"/>
  <c r="AM290" i="1"/>
  <c r="AQ290" i="1"/>
  <c r="AM216" i="1"/>
  <c r="AQ216" i="1"/>
  <c r="AM493" i="1"/>
  <c r="AQ493" i="1"/>
  <c r="AM254" i="1"/>
  <c r="AQ254" i="1"/>
  <c r="AM306" i="1"/>
  <c r="AQ306" i="1"/>
  <c r="AM365" i="1"/>
  <c r="AM210" i="1"/>
  <c r="AQ210" i="1"/>
  <c r="AM138" i="1"/>
  <c r="AM207" i="1"/>
  <c r="AQ207" i="1"/>
  <c r="AM470" i="1"/>
  <c r="AM531" i="1"/>
  <c r="AM421" i="1"/>
  <c r="AQ421" i="1"/>
  <c r="AM565" i="1"/>
  <c r="AM282" i="1"/>
  <c r="AQ282" i="1"/>
  <c r="AM126" i="1"/>
  <c r="AM416" i="1"/>
  <c r="AM557" i="1"/>
  <c r="AM458" i="1"/>
  <c r="AQ458" i="1"/>
  <c r="AM518" i="1"/>
  <c r="AM477" i="1"/>
  <c r="AM140" i="1"/>
  <c r="AM523" i="1"/>
  <c r="AM228" i="1"/>
  <c r="AQ228" i="1"/>
  <c r="AM388" i="1"/>
  <c r="AM234" i="1"/>
  <c r="AQ234" i="1"/>
  <c r="AM391" i="1"/>
  <c r="AM406" i="1"/>
  <c r="AM562" i="1"/>
  <c r="AM454" i="1"/>
  <c r="AQ454" i="1"/>
  <c r="AM145" i="1"/>
  <c r="AM194" i="1"/>
  <c r="AQ194" i="1"/>
  <c r="AM204" i="1"/>
  <c r="AQ204" i="1"/>
  <c r="AM22" i="1"/>
  <c r="AQ22" i="1"/>
  <c r="AM33" i="1"/>
  <c r="AM26" i="1"/>
  <c r="AM404" i="1"/>
  <c r="AM57" i="1"/>
  <c r="AM73" i="1"/>
  <c r="AM56" i="1"/>
  <c r="AM40" i="1"/>
  <c r="AM527" i="1"/>
  <c r="AM63" i="1"/>
  <c r="AQ63" i="1"/>
  <c r="AM525" i="1"/>
  <c r="AM41" i="1"/>
  <c r="AM38" i="1"/>
  <c r="AM32" i="1"/>
  <c r="AM173" i="1"/>
  <c r="AM505" i="1"/>
  <c r="AQ505" i="1"/>
  <c r="AM504" i="1"/>
  <c r="AM483" i="1"/>
  <c r="AQ483" i="1"/>
  <c r="AM16" i="1"/>
  <c r="AQ16" i="1"/>
  <c r="AT16" i="1"/>
  <c r="AU16" i="1"/>
  <c r="AV16" i="1"/>
  <c r="AM112" i="1"/>
  <c r="AQ112" i="1"/>
  <c r="AM281" i="1"/>
  <c r="AQ281" i="1"/>
  <c r="AM103" i="1"/>
  <c r="AM371" i="1"/>
  <c r="AM405" i="1"/>
  <c r="AQ301" i="1"/>
  <c r="AQ426" i="1"/>
  <c r="AQ567" i="1"/>
  <c r="AQ252" i="1"/>
  <c r="AQ294" i="1"/>
  <c r="AQ292" i="1"/>
  <c r="AQ293" i="1"/>
  <c r="AQ548" i="1"/>
  <c r="AQ396" i="1"/>
  <c r="AQ251" i="1"/>
  <c r="AX574" i="1"/>
  <c r="AQ536" i="1"/>
  <c r="AQ545" i="1"/>
  <c r="AQ221" i="1"/>
  <c r="AQ319" i="1"/>
  <c r="AQ284" i="1"/>
  <c r="AQ436" i="1"/>
  <c r="AQ140" i="1"/>
  <c r="AT140" i="1"/>
  <c r="AU140" i="1"/>
  <c r="AV140" i="1"/>
  <c r="AQ371" i="1"/>
  <c r="AT371" i="1"/>
  <c r="AU371" i="1"/>
  <c r="AV371" i="1"/>
  <c r="AQ173" i="1"/>
  <c r="AT173" i="1"/>
  <c r="AU173" i="1"/>
  <c r="AV173" i="1"/>
  <c r="AQ525" i="1"/>
  <c r="AT525" i="1"/>
  <c r="AU525" i="1"/>
  <c r="AV525" i="1"/>
  <c r="AQ388" i="1"/>
  <c r="AT388" i="1"/>
  <c r="AU388" i="1"/>
  <c r="AV388" i="1"/>
  <c r="AQ477" i="1"/>
  <c r="AT477" i="1"/>
  <c r="AU477" i="1"/>
  <c r="AV477" i="1"/>
  <c r="AQ33" i="1"/>
  <c r="AU33" i="1"/>
  <c r="AV33" i="1"/>
  <c r="AQ391" i="1"/>
  <c r="AT391" i="1"/>
  <c r="AU391" i="1"/>
  <c r="AV391" i="1"/>
  <c r="AQ518" i="1"/>
  <c r="AT518" i="1"/>
  <c r="AU518" i="1"/>
  <c r="AV518" i="1"/>
  <c r="AQ384" i="1"/>
  <c r="AT384" i="1"/>
  <c r="AU384" i="1"/>
  <c r="AV384" i="1"/>
  <c r="AQ473" i="1"/>
  <c r="AT473" i="1"/>
  <c r="AU473" i="1"/>
  <c r="AV473" i="1"/>
  <c r="AQ135" i="1"/>
  <c r="AT135" i="1"/>
  <c r="AU135" i="1"/>
  <c r="AV135" i="1"/>
  <c r="AQ563" i="1"/>
  <c r="AT563" i="1"/>
  <c r="AU563" i="1"/>
  <c r="AV563" i="1"/>
  <c r="AQ504" i="1"/>
  <c r="AT504" i="1"/>
  <c r="AU504" i="1"/>
  <c r="AV504" i="1"/>
  <c r="AQ38" i="1"/>
  <c r="AT38" i="1"/>
  <c r="AU38" i="1"/>
  <c r="AV38" i="1"/>
  <c r="AQ527" i="1"/>
  <c r="AT527" i="1"/>
  <c r="AU527" i="1"/>
  <c r="AV527" i="1"/>
  <c r="AQ57" i="1"/>
  <c r="AT57" i="1"/>
  <c r="AU57" i="1"/>
  <c r="AV57" i="1"/>
  <c r="AQ523" i="1"/>
  <c r="AT523" i="1"/>
  <c r="AU523" i="1"/>
  <c r="AV523" i="1"/>
  <c r="AQ126" i="1"/>
  <c r="AT126" i="1"/>
  <c r="AU126" i="1"/>
  <c r="AV126" i="1"/>
  <c r="AQ531" i="1"/>
  <c r="AT531" i="1"/>
  <c r="AU531" i="1"/>
  <c r="AV531" i="1"/>
  <c r="AQ155" i="1"/>
  <c r="AT155" i="1"/>
  <c r="AU155" i="1"/>
  <c r="AV155" i="1"/>
  <c r="AQ150" i="1"/>
  <c r="AT150" i="1"/>
  <c r="AU150" i="1"/>
  <c r="AV150" i="1"/>
  <c r="AQ534" i="1"/>
  <c r="AU534" i="1"/>
  <c r="AV534" i="1"/>
  <c r="AQ479" i="1"/>
  <c r="AT479" i="1"/>
  <c r="AU479" i="1"/>
  <c r="AV479" i="1"/>
  <c r="AQ153" i="1"/>
  <c r="AT153" i="1"/>
  <c r="AU153" i="1"/>
  <c r="AV153" i="1"/>
  <c r="AQ532" i="1"/>
  <c r="AT532" i="1"/>
  <c r="AU532" i="1"/>
  <c r="AV532" i="1"/>
  <c r="AQ123" i="1"/>
  <c r="AT123" i="1"/>
  <c r="AU123" i="1"/>
  <c r="AV123" i="1"/>
  <c r="AQ88" i="1"/>
  <c r="AT88" i="1"/>
  <c r="AU88" i="1"/>
  <c r="AV88" i="1"/>
  <c r="AQ503" i="1"/>
  <c r="AT503" i="1"/>
  <c r="AU503" i="1"/>
  <c r="AV503" i="1"/>
  <c r="AQ37" i="1"/>
  <c r="AT37" i="1"/>
  <c r="AU37" i="1"/>
  <c r="AV37" i="1"/>
  <c r="AQ360" i="1"/>
  <c r="AT360" i="1"/>
  <c r="AU360" i="1"/>
  <c r="AV360" i="1"/>
  <c r="AQ58" i="1"/>
  <c r="AT58" i="1"/>
  <c r="AU58" i="1"/>
  <c r="AV58" i="1"/>
  <c r="AQ533" i="1"/>
  <c r="AT533" i="1"/>
  <c r="AU533" i="1"/>
  <c r="AV533" i="1"/>
  <c r="AQ154" i="1"/>
  <c r="AT154" i="1"/>
  <c r="AU154" i="1"/>
  <c r="AV154" i="1"/>
  <c r="AQ559" i="1"/>
  <c r="AT559" i="1"/>
  <c r="AU559" i="1"/>
  <c r="AV559" i="1"/>
  <c r="AQ466" i="1"/>
  <c r="AT466" i="1"/>
  <c r="AU466" i="1"/>
  <c r="AQ411" i="1"/>
  <c r="AT411" i="1"/>
  <c r="AU411" i="1"/>
  <c r="AV411" i="1"/>
  <c r="AQ560" i="1"/>
  <c r="AT560" i="1"/>
  <c r="AU560" i="1"/>
  <c r="AV560" i="1"/>
  <c r="AQ467" i="1"/>
  <c r="AU467" i="1"/>
  <c r="AV467" i="1"/>
  <c r="AQ143" i="1"/>
  <c r="AT143" i="1"/>
  <c r="AU143" i="1"/>
  <c r="AV143" i="1"/>
  <c r="AQ471" i="1"/>
  <c r="AT471" i="1"/>
  <c r="AU471" i="1"/>
  <c r="AV471" i="1"/>
  <c r="AQ24" i="1"/>
  <c r="AT24" i="1"/>
  <c r="AU24" i="1"/>
  <c r="AV24" i="1"/>
  <c r="AQ141" i="1"/>
  <c r="AT141" i="1"/>
  <c r="AU141" i="1"/>
  <c r="AV141" i="1"/>
  <c r="AQ478" i="1"/>
  <c r="AT478" i="1"/>
  <c r="AU478" i="1"/>
  <c r="AV478" i="1"/>
  <c r="AQ366" i="1"/>
  <c r="AT366" i="1"/>
  <c r="AU366" i="1"/>
  <c r="AV366" i="1"/>
  <c r="AQ364" i="1"/>
  <c r="AT364" i="1"/>
  <c r="AU364" i="1"/>
  <c r="AV364" i="1"/>
  <c r="AQ160" i="1"/>
  <c r="AT160" i="1"/>
  <c r="AU160" i="1"/>
  <c r="AV160" i="1"/>
  <c r="AQ55" i="1"/>
  <c r="AU55" i="1"/>
  <c r="AV55" i="1"/>
  <c r="AQ91" i="1"/>
  <c r="AT91" i="1"/>
  <c r="AU91" i="1"/>
  <c r="AV91" i="1"/>
  <c r="AQ174" i="1"/>
  <c r="AU174" i="1"/>
  <c r="AV174" i="1"/>
  <c r="AQ468" i="1"/>
  <c r="AT468" i="1"/>
  <c r="AU468" i="1"/>
  <c r="AV468" i="1"/>
  <c r="AQ558" i="1"/>
  <c r="AT558" i="1"/>
  <c r="AU558" i="1"/>
  <c r="AV558" i="1"/>
  <c r="AQ90" i="1"/>
  <c r="AU90" i="1"/>
  <c r="AV90" i="1"/>
  <c r="AQ131" i="1"/>
  <c r="AT131" i="1"/>
  <c r="AU131" i="1"/>
  <c r="AV131" i="1"/>
  <c r="AQ530" i="1"/>
  <c r="AT530" i="1"/>
  <c r="AU530" i="1"/>
  <c r="AV530" i="1"/>
  <c r="AQ561" i="1"/>
  <c r="AT561" i="1"/>
  <c r="AU561" i="1"/>
  <c r="AV561" i="1"/>
  <c r="AQ40" i="1"/>
  <c r="AT40" i="1"/>
  <c r="AU40" i="1"/>
  <c r="AV40" i="1"/>
  <c r="AQ365" i="1"/>
  <c r="AT365" i="1"/>
  <c r="AU365" i="1"/>
  <c r="AV365" i="1"/>
  <c r="AQ122" i="1"/>
  <c r="AT122" i="1"/>
  <c r="AU122" i="1"/>
  <c r="AV122" i="1"/>
  <c r="AQ385" i="1"/>
  <c r="AT385" i="1"/>
  <c r="AU385" i="1"/>
  <c r="AV385" i="1"/>
  <c r="AQ386" i="1"/>
  <c r="AT386" i="1"/>
  <c r="AU386" i="1"/>
  <c r="AV386" i="1"/>
  <c r="AQ387" i="1"/>
  <c r="AT387" i="1"/>
  <c r="AU387" i="1"/>
  <c r="AV387" i="1"/>
  <c r="AQ129" i="1"/>
  <c r="AU129" i="1"/>
  <c r="AV129" i="1"/>
  <c r="AQ407" i="1"/>
  <c r="AT407" i="1"/>
  <c r="AU407" i="1"/>
  <c r="AV407" i="1"/>
  <c r="AQ102" i="1"/>
  <c r="AT102" i="1"/>
  <c r="AU102" i="1"/>
  <c r="AV102" i="1"/>
  <c r="AQ507" i="1"/>
  <c r="AT507" i="1"/>
  <c r="AQ76" i="1"/>
  <c r="AT76" i="1"/>
  <c r="AU76" i="1"/>
  <c r="AV76" i="1"/>
  <c r="AQ23" i="1"/>
  <c r="AT23" i="1"/>
  <c r="AU23" i="1"/>
  <c r="AV23" i="1"/>
  <c r="AQ59" i="1"/>
  <c r="AT59" i="1"/>
  <c r="AU59" i="1"/>
  <c r="AV59" i="1"/>
  <c r="AQ156" i="1"/>
  <c r="AT156" i="1"/>
  <c r="AU156" i="1"/>
  <c r="AV156" i="1"/>
  <c r="AQ521" i="1"/>
  <c r="AT521" i="1"/>
  <c r="AU521" i="1"/>
  <c r="AV521" i="1"/>
  <c r="AQ481" i="1"/>
  <c r="AT481" i="1"/>
  <c r="AU481" i="1"/>
  <c r="AV481" i="1"/>
  <c r="AQ526" i="1"/>
  <c r="AT526" i="1"/>
  <c r="AU526" i="1"/>
  <c r="AV526" i="1"/>
  <c r="AQ370" i="1"/>
  <c r="AT370" i="1"/>
  <c r="AU370" i="1"/>
  <c r="AV370" i="1"/>
  <c r="AQ472" i="1"/>
  <c r="AT472" i="1"/>
  <c r="AU472" i="1"/>
  <c r="AV472" i="1"/>
  <c r="AQ389" i="1"/>
  <c r="AT389" i="1"/>
  <c r="AU389" i="1"/>
  <c r="AV389" i="1"/>
  <c r="AQ501" i="1"/>
  <c r="AT501" i="1"/>
  <c r="AU501" i="1"/>
  <c r="AV501" i="1"/>
  <c r="AQ54" i="1"/>
  <c r="AU54" i="1"/>
  <c r="AV54" i="1"/>
  <c r="AQ30" i="1"/>
  <c r="AT30" i="1"/>
  <c r="AU30" i="1"/>
  <c r="AV30" i="1"/>
  <c r="AQ125" i="1"/>
  <c r="AT125" i="1"/>
  <c r="AU125" i="1"/>
  <c r="AV125" i="1"/>
  <c r="AQ172" i="1"/>
  <c r="AT172" i="1"/>
  <c r="AU172" i="1"/>
  <c r="AV172" i="1"/>
  <c r="AQ529" i="1"/>
  <c r="AT529" i="1"/>
  <c r="AU529" i="1"/>
  <c r="AV529" i="1"/>
  <c r="AQ171" i="1"/>
  <c r="AT171" i="1"/>
  <c r="AU171" i="1"/>
  <c r="AV171" i="1"/>
  <c r="AQ148" i="1"/>
  <c r="AT148" i="1"/>
  <c r="AU148" i="1"/>
  <c r="AV148" i="1"/>
  <c r="AQ142" i="1"/>
  <c r="AT142" i="1"/>
  <c r="AU142" i="1"/>
  <c r="AV142" i="1"/>
  <c r="AQ39" i="1"/>
  <c r="AT39" i="1"/>
  <c r="AU39" i="1"/>
  <c r="AV39" i="1"/>
  <c r="AQ31" i="1"/>
  <c r="AT31" i="1"/>
  <c r="AU31" i="1"/>
  <c r="AV31" i="1"/>
  <c r="AQ75" i="1"/>
  <c r="AT75" i="1"/>
  <c r="AU75" i="1"/>
  <c r="AV75" i="1"/>
  <c r="AQ368" i="1"/>
  <c r="AT368" i="1"/>
  <c r="AU368" i="1"/>
  <c r="AV368" i="1"/>
  <c r="AQ139" i="1"/>
  <c r="AT139" i="1"/>
  <c r="AU139" i="1"/>
  <c r="AV139" i="1"/>
  <c r="AQ412" i="1"/>
  <c r="AT412" i="1"/>
  <c r="AU412" i="1"/>
  <c r="AV412" i="1"/>
  <c r="AQ393" i="1"/>
  <c r="AT393" i="1"/>
  <c r="AU393" i="1"/>
  <c r="AV393" i="1"/>
  <c r="AQ404" i="1"/>
  <c r="AT404" i="1"/>
  <c r="AU404" i="1"/>
  <c r="AV404" i="1"/>
  <c r="AQ562" i="1"/>
  <c r="AT562" i="1"/>
  <c r="AU562" i="1"/>
  <c r="AV562" i="1"/>
  <c r="AQ470" i="1"/>
  <c r="AU470" i="1"/>
  <c r="AV470" i="1"/>
  <c r="AQ26" i="1"/>
  <c r="AT26" i="1"/>
  <c r="AU26" i="1"/>
  <c r="AV26" i="1"/>
  <c r="AQ406" i="1"/>
  <c r="AT406" i="1"/>
  <c r="AU406" i="1"/>
  <c r="AV406" i="1"/>
  <c r="AQ565" i="1"/>
  <c r="AT565" i="1"/>
  <c r="AU565" i="1"/>
  <c r="AV565" i="1"/>
  <c r="AQ147" i="1"/>
  <c r="AT147" i="1"/>
  <c r="AU147" i="1"/>
  <c r="AV147" i="1"/>
  <c r="AQ408" i="1"/>
  <c r="AT408" i="1"/>
  <c r="AU408" i="1"/>
  <c r="AV408" i="1"/>
  <c r="AQ72" i="1"/>
  <c r="AT72" i="1"/>
  <c r="AU72" i="1"/>
  <c r="AV72" i="1"/>
  <c r="AQ517" i="1"/>
  <c r="AT517" i="1"/>
  <c r="AU517" i="1"/>
  <c r="AV517" i="1"/>
  <c r="AQ480" i="1"/>
  <c r="AT480" i="1"/>
  <c r="AU480" i="1"/>
  <c r="AV480" i="1"/>
  <c r="AQ28" i="1"/>
  <c r="AT28" i="1"/>
  <c r="AU28" i="1"/>
  <c r="AV28" i="1"/>
  <c r="AQ42" i="1"/>
  <c r="AT42" i="1"/>
  <c r="AU42" i="1"/>
  <c r="AV42" i="1"/>
  <c r="AQ60" i="1"/>
  <c r="AU60" i="1"/>
  <c r="AV60" i="1"/>
  <c r="AQ361" i="1"/>
  <c r="AT361" i="1"/>
  <c r="AU361" i="1"/>
  <c r="AV361" i="1"/>
  <c r="AQ161" i="1"/>
  <c r="AT161" i="1"/>
  <c r="AU161" i="1"/>
  <c r="AV161" i="1"/>
  <c r="AQ127" i="1"/>
  <c r="AT127" i="1"/>
  <c r="AU127" i="1"/>
  <c r="AV127" i="1"/>
  <c r="AQ158" i="1"/>
  <c r="AT158" i="1"/>
  <c r="AU158" i="1"/>
  <c r="AV158" i="1"/>
  <c r="AQ475" i="1"/>
  <c r="AT475" i="1"/>
  <c r="AU475" i="1"/>
  <c r="AV475" i="1"/>
  <c r="AQ166" i="1"/>
  <c r="AT166" i="1"/>
  <c r="AU166" i="1"/>
  <c r="AV166" i="1"/>
  <c r="AQ137" i="1"/>
  <c r="AT137" i="1"/>
  <c r="AU137" i="1"/>
  <c r="AV137" i="1"/>
  <c r="AQ524" i="1"/>
  <c r="AT524" i="1"/>
  <c r="AU524" i="1"/>
  <c r="AV524" i="1"/>
  <c r="AQ27" i="1"/>
  <c r="AT27" i="1"/>
  <c r="AU27" i="1"/>
  <c r="AV27" i="1"/>
  <c r="AQ418" i="1"/>
  <c r="AU418" i="1"/>
  <c r="AV418" i="1"/>
  <c r="AQ157" i="1"/>
  <c r="AT157" i="1"/>
  <c r="AU157" i="1"/>
  <c r="AV157" i="1"/>
  <c r="AQ476" i="1"/>
  <c r="AT476" i="1"/>
  <c r="AU476" i="1"/>
  <c r="AV476" i="1"/>
  <c r="AQ128" i="1"/>
  <c r="AT128" i="1"/>
  <c r="AU128" i="1"/>
  <c r="AV128" i="1"/>
  <c r="AQ124" i="1"/>
  <c r="AT124" i="1"/>
  <c r="AU124" i="1"/>
  <c r="AV124" i="1"/>
  <c r="AQ167" i="1"/>
  <c r="AT167" i="1"/>
  <c r="AU167" i="1"/>
  <c r="AV167" i="1"/>
  <c r="AQ133" i="1"/>
  <c r="AT133" i="1"/>
  <c r="AU133" i="1"/>
  <c r="AV133" i="1"/>
  <c r="AQ74" i="1"/>
  <c r="AT74" i="1"/>
  <c r="AU74" i="1"/>
  <c r="AV74" i="1"/>
  <c r="AQ502" i="1"/>
  <c r="AT502" i="1"/>
  <c r="AU502" i="1"/>
  <c r="AV502" i="1"/>
  <c r="AQ36" i="1"/>
  <c r="AT36" i="1"/>
  <c r="AU36" i="1"/>
  <c r="AV36" i="1"/>
  <c r="AQ77" i="1"/>
  <c r="AT77" i="1"/>
  <c r="AU77" i="1"/>
  <c r="AV77" i="1"/>
  <c r="AQ146" i="1"/>
  <c r="AT146" i="1"/>
  <c r="AU146" i="1"/>
  <c r="AV146" i="1"/>
  <c r="AQ415" i="1"/>
  <c r="AT415" i="1"/>
  <c r="AU415" i="1"/>
  <c r="AV415" i="1"/>
  <c r="AQ132" i="1"/>
  <c r="AT132" i="1"/>
  <c r="AU132" i="1"/>
  <c r="AV132" i="1"/>
  <c r="AQ413" i="1"/>
  <c r="AT413" i="1"/>
  <c r="AU413" i="1"/>
  <c r="AV413" i="1"/>
  <c r="AQ417" i="1"/>
  <c r="AU417" i="1"/>
  <c r="AV417" i="1"/>
  <c r="AQ89" i="1"/>
  <c r="AT89" i="1"/>
  <c r="AU89" i="1"/>
  <c r="AV89" i="1"/>
  <c r="AQ136" i="1"/>
  <c r="AT136" i="1"/>
  <c r="AU136" i="1"/>
  <c r="AV136" i="1"/>
  <c r="AQ474" i="1"/>
  <c r="AT474" i="1"/>
  <c r="AU474" i="1"/>
  <c r="AV474" i="1"/>
  <c r="AQ362" i="1"/>
  <c r="AT362" i="1"/>
  <c r="AU362" i="1"/>
  <c r="AV362" i="1"/>
  <c r="AQ405" i="1"/>
  <c r="AT405" i="1"/>
  <c r="AU405" i="1"/>
  <c r="AV405" i="1"/>
  <c r="AQ41" i="1"/>
  <c r="AT41" i="1"/>
  <c r="AU41" i="1"/>
  <c r="AV41" i="1"/>
  <c r="AQ56" i="1"/>
  <c r="AT56" i="1"/>
  <c r="AU56" i="1"/>
  <c r="AV56" i="1"/>
  <c r="AQ103" i="1"/>
  <c r="AT103" i="1"/>
  <c r="AU103" i="1"/>
  <c r="AV103" i="1"/>
  <c r="AQ32" i="1"/>
  <c r="AT32" i="1"/>
  <c r="AU32" i="1"/>
  <c r="AV32" i="1"/>
  <c r="AQ73" i="1"/>
  <c r="AT73" i="1"/>
  <c r="AU73" i="1"/>
  <c r="AV73" i="1"/>
  <c r="AQ145" i="1"/>
  <c r="AT145" i="1"/>
  <c r="AU145" i="1"/>
  <c r="AV145" i="1"/>
  <c r="AQ416" i="1"/>
  <c r="AT416" i="1"/>
  <c r="AU416" i="1"/>
  <c r="AV416" i="1"/>
  <c r="AQ138" i="1"/>
  <c r="AT138" i="1"/>
  <c r="AU138" i="1"/>
  <c r="AV138" i="1"/>
  <c r="AQ363" i="1"/>
  <c r="AT363" i="1"/>
  <c r="AU363" i="1"/>
  <c r="AV363" i="1"/>
  <c r="AQ564" i="1"/>
  <c r="AT564" i="1"/>
  <c r="AU564" i="1"/>
  <c r="AV564" i="1"/>
  <c r="AQ414" i="1"/>
  <c r="AT414" i="1"/>
  <c r="AU414" i="1"/>
  <c r="AV414" i="1"/>
  <c r="AQ34" i="1"/>
  <c r="AT34" i="1"/>
  <c r="AU34" i="1"/>
  <c r="AV34" i="1"/>
  <c r="AQ169" i="1"/>
  <c r="AT169" i="1"/>
  <c r="AU169" i="1"/>
  <c r="AV169" i="1"/>
  <c r="AQ522" i="1"/>
  <c r="AT522" i="1"/>
  <c r="AU522" i="1"/>
  <c r="AV522" i="1"/>
  <c r="AQ367" i="1"/>
  <c r="AT367" i="1"/>
  <c r="AU367" i="1"/>
  <c r="AV367" i="1"/>
  <c r="AQ144" i="1"/>
  <c r="AT144" i="1"/>
  <c r="AU144" i="1"/>
  <c r="AV144" i="1"/>
  <c r="AQ519" i="1"/>
  <c r="AT519" i="1"/>
  <c r="AU519" i="1"/>
  <c r="AV519" i="1"/>
  <c r="AQ163" i="1"/>
  <c r="AT163" i="1"/>
  <c r="AU163" i="1"/>
  <c r="AV163" i="1"/>
  <c r="AQ170" i="1"/>
  <c r="AT170" i="1"/>
  <c r="AU170" i="1"/>
  <c r="AV170" i="1"/>
  <c r="AQ164" i="1"/>
  <c r="AT164" i="1"/>
  <c r="AU164" i="1"/>
  <c r="AV164" i="1"/>
  <c r="AQ151" i="1"/>
  <c r="AT151" i="1"/>
  <c r="AU151" i="1"/>
  <c r="AV151" i="1"/>
  <c r="AQ29" i="1"/>
  <c r="AT29" i="1"/>
  <c r="AU29" i="1"/>
  <c r="AV29" i="1"/>
  <c r="AQ35" i="1"/>
  <c r="AU35" i="1"/>
  <c r="AV35" i="1"/>
  <c r="AQ528" i="1"/>
  <c r="AT528" i="1"/>
  <c r="AU528" i="1"/>
  <c r="AV528" i="1"/>
  <c r="AQ162" i="1"/>
  <c r="AT162" i="1"/>
  <c r="AU162" i="1"/>
  <c r="AV162" i="1"/>
  <c r="AQ159" i="1"/>
  <c r="AT159" i="1"/>
  <c r="AU159" i="1"/>
  <c r="AV159" i="1"/>
  <c r="AQ165" i="1"/>
  <c r="AT165" i="1"/>
  <c r="AU165" i="1"/>
  <c r="AV165" i="1"/>
  <c r="AQ469" i="1"/>
  <c r="AT469" i="1"/>
  <c r="AU469" i="1"/>
  <c r="AV469" i="1"/>
  <c r="AQ410" i="1"/>
  <c r="AT410" i="1"/>
  <c r="AU410" i="1"/>
  <c r="AV410" i="1"/>
  <c r="AQ520" i="1"/>
  <c r="AT520" i="1"/>
  <c r="AU520" i="1"/>
  <c r="AV520" i="1"/>
  <c r="AQ369" i="1"/>
  <c r="AT369" i="1"/>
  <c r="AU369" i="1"/>
  <c r="AV369" i="1"/>
  <c r="AQ149" i="1"/>
  <c r="AT149" i="1"/>
  <c r="AU149" i="1"/>
  <c r="AV149" i="1"/>
  <c r="AQ78" i="1"/>
  <c r="AT78" i="1"/>
  <c r="AU78" i="1"/>
  <c r="AV78" i="1"/>
  <c r="AQ92" i="1"/>
  <c r="AT92" i="1"/>
  <c r="AU92" i="1"/>
  <c r="AV92" i="1"/>
  <c r="AQ390" i="1"/>
  <c r="AT390" i="1"/>
  <c r="AU390" i="1"/>
  <c r="AV390" i="1"/>
  <c r="AQ409" i="1"/>
  <c r="AT409" i="1"/>
  <c r="AU409" i="1"/>
  <c r="AV409" i="1"/>
  <c r="AQ130" i="1"/>
  <c r="AT130" i="1"/>
  <c r="AU130" i="1"/>
  <c r="AV130" i="1"/>
  <c r="AQ392" i="1"/>
  <c r="AT392" i="1"/>
  <c r="AU392" i="1"/>
  <c r="AV392" i="1"/>
  <c r="AQ152" i="1"/>
  <c r="AT152" i="1"/>
  <c r="AU152" i="1"/>
  <c r="AV152" i="1"/>
  <c r="AQ168" i="1"/>
  <c r="AT168" i="1"/>
  <c r="AU168" i="1"/>
  <c r="AV168" i="1"/>
  <c r="AQ121" i="1"/>
  <c r="AT121" i="1"/>
  <c r="AU121" i="1"/>
  <c r="AV121" i="1"/>
  <c r="AQ134" i="1"/>
  <c r="AT134" i="1"/>
  <c r="AU134" i="1"/>
  <c r="AV134" i="1"/>
  <c r="AT505" i="1"/>
  <c r="AU505" i="1"/>
  <c r="AV505" i="1"/>
  <c r="AQ109" i="1"/>
  <c r="AT109" i="1"/>
  <c r="AU109" i="1"/>
  <c r="AV109" i="1"/>
  <c r="AM356" i="1"/>
  <c r="AU110" i="1"/>
  <c r="AV110" i="1"/>
  <c r="AT114" i="1"/>
  <c r="AU114" i="1"/>
  <c r="AV114" i="1"/>
  <c r="AT22" i="1"/>
  <c r="AU22" i="1"/>
  <c r="AV22" i="1"/>
  <c r="AM50" i="1"/>
  <c r="AU10" i="1"/>
  <c r="AV10" i="1"/>
  <c r="AQ46" i="1"/>
  <c r="AQ44" i="1"/>
  <c r="AQ557" i="1"/>
  <c r="AT557" i="1"/>
  <c r="AU557" i="1"/>
  <c r="AV557" i="1"/>
  <c r="AM572" i="1"/>
  <c r="AQ86" i="1"/>
  <c r="AU86" i="1"/>
  <c r="AV86" i="1"/>
  <c r="AM97" i="1"/>
  <c r="AQ120" i="1"/>
  <c r="AT120" i="1"/>
  <c r="AU120" i="1"/>
  <c r="AV120" i="1"/>
  <c r="AQ45" i="1"/>
  <c r="AK577" i="1"/>
  <c r="AM6" i="1"/>
  <c r="AQ176" i="1"/>
  <c r="AT403" i="1"/>
  <c r="AU403" i="1"/>
  <c r="AV403" i="1"/>
  <c r="AM462" i="1"/>
  <c r="AM117" i="1"/>
  <c r="AQ359" i="1"/>
  <c r="AT359" i="1"/>
  <c r="AU359" i="1"/>
  <c r="AV359" i="1"/>
  <c r="AM380" i="1"/>
  <c r="AQ513" i="1"/>
  <c r="AT513" i="1"/>
  <c r="AU513" i="1"/>
  <c r="AV513" i="1"/>
  <c r="AM554" i="1"/>
  <c r="AQ62" i="1"/>
  <c r="AQ47" i="1"/>
  <c r="AM497" i="1"/>
  <c r="AT100" i="1"/>
  <c r="AU100" i="1"/>
  <c r="AV100" i="1"/>
  <c r="AM106" i="1"/>
  <c r="AQ53" i="1"/>
  <c r="AT53" i="1"/>
  <c r="AU53" i="1"/>
  <c r="AV53" i="1"/>
  <c r="AM68" i="1"/>
  <c r="AQ383" i="1"/>
  <c r="AT383" i="1"/>
  <c r="AU383" i="1"/>
  <c r="AV383" i="1"/>
  <c r="AM400" i="1"/>
  <c r="AT500" i="1"/>
  <c r="AU500" i="1"/>
  <c r="AV500" i="1"/>
  <c r="AM510" i="1"/>
  <c r="AT71" i="1"/>
  <c r="AU71" i="1"/>
  <c r="AV71" i="1"/>
  <c r="AM83" i="1"/>
  <c r="AQ497" i="1"/>
  <c r="AV83" i="1"/>
  <c r="AU111" i="1"/>
  <c r="AV111" i="1"/>
  <c r="AU112" i="1"/>
  <c r="AV112" i="1"/>
  <c r="AU113" i="1"/>
  <c r="AV113" i="1"/>
  <c r="AV462" i="1"/>
  <c r="AU462" i="1"/>
  <c r="AV106" i="1"/>
  <c r="AU97" i="1"/>
  <c r="AU50" i="1"/>
  <c r="AU572" i="1"/>
  <c r="AU356" i="1"/>
  <c r="AU554" i="1"/>
  <c r="AU380" i="1"/>
  <c r="AU510" i="1"/>
  <c r="AU106" i="1"/>
  <c r="AV510" i="1"/>
  <c r="AU68" i="1"/>
  <c r="AU83" i="1"/>
  <c r="AQ6" i="1"/>
  <c r="AT6" i="1"/>
  <c r="AU6" i="1"/>
  <c r="AV6" i="1"/>
  <c r="AU400" i="1"/>
  <c r="AV68" i="1"/>
  <c r="AV466" i="1"/>
  <c r="AU497" i="1"/>
  <c r="AV380" i="1"/>
  <c r="AV356" i="1"/>
  <c r="AW301" i="1"/>
  <c r="AV554" i="1"/>
  <c r="AV97" i="1"/>
  <c r="AV400" i="1"/>
  <c r="AW386" i="1"/>
  <c r="BB386" i="1"/>
  <c r="AV572" i="1"/>
  <c r="AV50" i="1"/>
  <c r="BB301" i="1"/>
  <c r="AX301" i="1"/>
  <c r="AW538" i="1"/>
  <c r="AX538" i="1"/>
  <c r="AW426" i="1"/>
  <c r="AX426" i="1"/>
  <c r="AW326" i="1"/>
  <c r="AX326" i="1"/>
  <c r="AW252" i="1"/>
  <c r="AX252" i="1"/>
  <c r="AW567" i="1"/>
  <c r="BB567" i="1"/>
  <c r="AW541" i="1"/>
  <c r="AX541" i="1"/>
  <c r="AW373" i="1"/>
  <c r="AX373" i="1"/>
  <c r="AW293" i="1"/>
  <c r="AX293" i="1"/>
  <c r="AW549" i="1"/>
  <c r="AX549" i="1"/>
  <c r="AW58" i="1"/>
  <c r="AX58" i="1"/>
  <c r="AY58" i="1"/>
  <c r="AW295" i="1"/>
  <c r="BB295" i="1"/>
  <c r="AW317" i="1"/>
  <c r="AW294" i="1"/>
  <c r="AW292" i="1"/>
  <c r="AW548" i="1"/>
  <c r="BB548" i="1"/>
  <c r="AW332" i="1"/>
  <c r="AX332" i="1"/>
  <c r="AW396" i="1"/>
  <c r="AW325" i="1"/>
  <c r="AX325" i="1"/>
  <c r="AW198" i="1"/>
  <c r="AX198" i="1"/>
  <c r="AW251" i="1"/>
  <c r="AW536" i="1"/>
  <c r="BB536" i="1"/>
  <c r="AW335" i="1"/>
  <c r="BB335" i="1"/>
  <c r="AW545" i="1"/>
  <c r="AX545" i="1"/>
  <c r="AW336" i="1"/>
  <c r="BB336" i="1"/>
  <c r="AW319" i="1"/>
  <c r="AX319" i="1"/>
  <c r="AW221" i="1"/>
  <c r="AW321" i="1"/>
  <c r="AW303" i="1"/>
  <c r="AX303" i="1"/>
  <c r="AW268" i="1"/>
  <c r="AX268" i="1"/>
  <c r="AW284" i="1"/>
  <c r="AX284" i="1"/>
  <c r="AW436" i="1"/>
  <c r="BB436" i="1"/>
  <c r="AW422" i="1"/>
  <c r="AX422" i="1"/>
  <c r="AW80" i="1"/>
  <c r="BB80" i="1"/>
  <c r="AW213" i="1"/>
  <c r="BB213" i="1"/>
  <c r="AW407" i="1"/>
  <c r="AX407" i="1"/>
  <c r="AY407" i="1"/>
  <c r="AW352" i="1"/>
  <c r="AX352" i="1"/>
  <c r="AW347" i="1"/>
  <c r="AW353" i="1"/>
  <c r="AW348" i="1"/>
  <c r="AW349" i="1"/>
  <c r="AW351" i="1"/>
  <c r="AW350" i="1"/>
  <c r="AW406" i="1"/>
  <c r="AX406" i="1"/>
  <c r="AY406" i="1"/>
  <c r="AW89" i="1"/>
  <c r="AX89" i="1"/>
  <c r="AY89" i="1"/>
  <c r="AW404" i="1"/>
  <c r="BB404" i="1"/>
  <c r="AW40" i="1"/>
  <c r="BB40" i="1"/>
  <c r="AW513" i="1"/>
  <c r="BB513" i="1"/>
  <c r="AW558" i="1"/>
  <c r="BB558" i="1"/>
  <c r="AW74" i="1"/>
  <c r="BB74" i="1"/>
  <c r="AW71" i="1"/>
  <c r="BB71" i="1"/>
  <c r="AM19" i="1"/>
  <c r="AW415" i="1"/>
  <c r="AX415" i="1"/>
  <c r="AY415" i="1"/>
  <c r="AV117" i="1"/>
  <c r="AW122" i="1"/>
  <c r="AU117" i="1"/>
  <c r="AW447" i="1"/>
  <c r="AW453" i="1"/>
  <c r="AW455" i="1"/>
  <c r="AW424" i="1"/>
  <c r="AW421" i="1"/>
  <c r="AW433" i="1"/>
  <c r="AW435" i="1"/>
  <c r="AW411" i="1"/>
  <c r="AW416" i="1"/>
  <c r="AW437" i="1"/>
  <c r="AW405" i="1"/>
  <c r="AW439" i="1"/>
  <c r="AW412" i="1"/>
  <c r="AW409" i="1"/>
  <c r="AW434" i="1"/>
  <c r="AW427" i="1"/>
  <c r="AW445" i="1"/>
  <c r="AW448" i="1"/>
  <c r="AW443" i="1"/>
  <c r="AW454" i="1"/>
  <c r="AW420" i="1"/>
  <c r="AW458" i="1"/>
  <c r="AW403" i="1"/>
  <c r="AX403" i="1"/>
  <c r="AY403" i="1"/>
  <c r="AW456" i="1"/>
  <c r="AW451" i="1"/>
  <c r="AW431" i="1"/>
  <c r="AW414" i="1"/>
  <c r="AW438" i="1"/>
  <c r="AW408" i="1"/>
  <c r="AW432" i="1"/>
  <c r="AW441" i="1"/>
  <c r="AW429" i="1"/>
  <c r="AW440" i="1"/>
  <c r="AW449" i="1"/>
  <c r="AW459" i="1"/>
  <c r="AW430" i="1"/>
  <c r="AW457" i="1"/>
  <c r="AW423" i="1"/>
  <c r="AW410" i="1"/>
  <c r="AW446" i="1"/>
  <c r="AW425" i="1"/>
  <c r="AW428" i="1"/>
  <c r="AW413" i="1"/>
  <c r="AW450" i="1"/>
  <c r="AW442" i="1"/>
  <c r="AW452" i="1"/>
  <c r="AW365" i="1"/>
  <c r="AW72" i="1"/>
  <c r="AW78" i="1"/>
  <c r="AW77" i="1"/>
  <c r="AW505" i="1"/>
  <c r="AW103" i="1"/>
  <c r="AW507" i="1"/>
  <c r="AW125" i="1"/>
  <c r="AW26" i="1"/>
  <c r="BB26" i="1"/>
  <c r="AW30" i="1"/>
  <c r="BB30" i="1"/>
  <c r="AW131" i="1"/>
  <c r="AW24" i="1"/>
  <c r="BB24" i="1"/>
  <c r="AW559" i="1"/>
  <c r="AW360" i="1"/>
  <c r="AW388" i="1"/>
  <c r="AW121" i="1"/>
  <c r="AW359" i="1"/>
  <c r="AW502" i="1"/>
  <c r="AW362" i="1"/>
  <c r="AW501" i="1"/>
  <c r="AW564" i="1"/>
  <c r="AW144" i="1"/>
  <c r="AW88" i="1"/>
  <c r="AW391" i="1"/>
  <c r="AW27" i="1"/>
  <c r="BA27" i="1"/>
  <c r="AW503" i="1"/>
  <c r="AW565" i="1"/>
  <c r="AW557" i="1"/>
  <c r="AW560" i="1"/>
  <c r="AW361" i="1"/>
  <c r="AW126" i="1"/>
  <c r="AW29" i="1"/>
  <c r="BB29" i="1"/>
  <c r="AW504" i="1"/>
  <c r="AW500" i="1"/>
  <c r="AW120" i="1"/>
  <c r="AW385" i="1"/>
  <c r="AW562" i="1"/>
  <c r="AW363" i="1"/>
  <c r="AW539" i="1"/>
  <c r="AW102" i="1"/>
  <c r="AW76" i="1"/>
  <c r="AW63" i="1"/>
  <c r="AW333" i="1"/>
  <c r="AW75" i="1"/>
  <c r="AW33" i="1"/>
  <c r="BB33" i="1"/>
  <c r="AW100" i="1"/>
  <c r="AU19" i="1"/>
  <c r="AW64" i="1"/>
  <c r="AW54" i="1"/>
  <c r="AW568" i="1"/>
  <c r="AW90" i="1"/>
  <c r="BB90" i="1"/>
  <c r="AW22" i="1"/>
  <c r="BB22" i="1"/>
  <c r="AW546" i="1"/>
  <c r="AW210" i="1"/>
  <c r="AW129" i="1"/>
  <c r="AW166" i="1"/>
  <c r="AW343" i="1"/>
  <c r="AW145" i="1"/>
  <c r="AW217" i="1"/>
  <c r="AW366" i="1"/>
  <c r="AW368" i="1"/>
  <c r="AW254" i="1"/>
  <c r="AW176" i="1"/>
  <c r="AW543" i="1"/>
  <c r="AW232" i="1"/>
  <c r="AW324" i="1"/>
  <c r="AW370" i="1"/>
  <c r="AW371" i="1"/>
  <c r="AW86" i="1"/>
  <c r="AW528" i="1"/>
  <c r="AW167" i="1"/>
  <c r="AW521" i="1"/>
  <c r="AW523" i="1"/>
  <c r="AW194" i="1"/>
  <c r="AW94" i="1"/>
  <c r="AW550" i="1"/>
  <c r="AW124" i="1"/>
  <c r="AW306" i="1"/>
  <c r="AW345" i="1"/>
  <c r="AW547" i="1"/>
  <c r="AW236" i="1"/>
  <c r="AW146" i="1"/>
  <c r="AW204" i="1"/>
  <c r="AW151" i="1"/>
  <c r="AW133" i="1"/>
  <c r="AW123" i="1"/>
  <c r="AW527" i="1"/>
  <c r="AW208" i="1"/>
  <c r="AW267" i="1"/>
  <c r="AW364" i="1"/>
  <c r="AW186" i="1"/>
  <c r="AW233" i="1"/>
  <c r="AW181" i="1"/>
  <c r="AW92" i="1"/>
  <c r="AW65" i="1"/>
  <c r="AW367" i="1"/>
  <c r="AW56" i="1"/>
  <c r="AW342" i="1"/>
  <c r="AW172" i="1"/>
  <c r="AW272" i="1"/>
  <c r="AW168" i="1"/>
  <c r="AW248" i="1"/>
  <c r="AW339" i="1"/>
  <c r="AW297" i="1"/>
  <c r="AW288" i="1"/>
  <c r="AW256" i="1"/>
  <c r="AW337" i="1"/>
  <c r="AW309" i="1"/>
  <c r="AW289" i="1"/>
  <c r="AW253" i="1"/>
  <c r="AW201" i="1"/>
  <c r="AW238" i="1"/>
  <c r="AW230" i="1"/>
  <c r="AW266" i="1"/>
  <c r="AW331" i="1"/>
  <c r="AW344" i="1"/>
  <c r="AW243" i="1"/>
  <c r="AW341" i="1"/>
  <c r="AW296" i="1"/>
  <c r="AW257" i="1"/>
  <c r="AW340" i="1"/>
  <c r="AW304" i="1"/>
  <c r="AW291" i="1"/>
  <c r="AW158" i="1"/>
  <c r="AW312" i="1"/>
  <c r="AW128" i="1"/>
  <c r="AW245" i="1"/>
  <c r="AW235" i="1"/>
  <c r="AW139" i="1"/>
  <c r="AW278" i="1"/>
  <c r="AW250" i="1"/>
  <c r="AW242" i="1"/>
  <c r="AW179" i="1"/>
  <c r="AW220" i="1"/>
  <c r="AW300" i="1"/>
  <c r="AW287" i="1"/>
  <c r="AW269" i="1"/>
  <c r="AW298" i="1"/>
  <c r="AW184" i="1"/>
  <c r="AW215" i="1"/>
  <c r="AW130" i="1"/>
  <c r="AW152" i="1"/>
  <c r="AW224" i="1"/>
  <c r="AW189" i="1"/>
  <c r="AW259" i="1"/>
  <c r="AW216" i="1"/>
  <c r="AW311" i="1"/>
  <c r="AW255" i="1"/>
  <c r="AW227" i="1"/>
  <c r="AW316" i="1"/>
  <c r="AW329" i="1"/>
  <c r="AW127" i="1"/>
  <c r="AW170" i="1"/>
  <c r="AW260" i="1"/>
  <c r="AW142" i="1"/>
  <c r="AW195" i="1"/>
  <c r="AW200" i="1"/>
  <c r="AW279" i="1"/>
  <c r="AW271" i="1"/>
  <c r="AW203" i="1"/>
  <c r="AW338" i="1"/>
  <c r="AW264" i="1"/>
  <c r="AW313" i="1"/>
  <c r="AW188" i="1"/>
  <c r="AW318" i="1"/>
  <c r="AW327" i="1"/>
  <c r="AW178" i="1"/>
  <c r="AW205" i="1"/>
  <c r="AW218" i="1"/>
  <c r="AW247" i="1"/>
  <c r="AW226" i="1"/>
  <c r="AW262" i="1"/>
  <c r="AW241" i="1"/>
  <c r="AW191" i="1"/>
  <c r="AW261" i="1"/>
  <c r="AW323" i="1"/>
  <c r="AW330" i="1"/>
  <c r="AW237" i="1"/>
  <c r="AW183" i="1"/>
  <c r="AW305" i="1"/>
  <c r="AW328" i="1"/>
  <c r="AW286" i="1"/>
  <c r="AW214" i="1"/>
  <c r="AW322" i="1"/>
  <c r="AW274" i="1"/>
  <c r="AW283" i="1"/>
  <c r="AW228" i="1"/>
  <c r="AW375" i="1"/>
  <c r="AW193" i="1"/>
  <c r="AW137" i="1"/>
  <c r="AW249" i="1"/>
  <c r="AW285" i="1"/>
  <c r="AW207" i="1"/>
  <c r="AW209" i="1"/>
  <c r="AW270" i="1"/>
  <c r="AW38" i="1"/>
  <c r="BB38" i="1"/>
  <c r="AW177" i="1"/>
  <c r="AW519" i="1"/>
  <c r="AW148" i="1"/>
  <c r="AW275" i="1"/>
  <c r="AW277" i="1"/>
  <c r="AW225" i="1"/>
  <c r="AW299" i="1"/>
  <c r="AW315" i="1"/>
  <c r="AW147" i="1"/>
  <c r="AW212" i="1"/>
  <c r="AW231" i="1"/>
  <c r="AW520" i="1"/>
  <c r="AW140" i="1"/>
  <c r="AW290" i="1"/>
  <c r="AW517" i="1"/>
  <c r="AW157" i="1"/>
  <c r="AW135" i="1"/>
  <c r="AW518" i="1"/>
  <c r="AW522" i="1"/>
  <c r="AW160" i="1"/>
  <c r="AW542" i="1"/>
  <c r="AW219" i="1"/>
  <c r="AW143" i="1"/>
  <c r="AW199" i="1"/>
  <c r="AW395" i="1"/>
  <c r="AW165" i="1"/>
  <c r="AW132" i="1"/>
  <c r="AW537" i="1"/>
  <c r="AW535" i="1"/>
  <c r="AW372" i="1"/>
  <c r="AW374" i="1"/>
  <c r="AW376" i="1"/>
  <c r="AW282" i="1"/>
  <c r="AW222" i="1"/>
  <c r="AW280" i="1"/>
  <c r="AW307" i="1"/>
  <c r="AW533" i="1"/>
  <c r="AW150" i="1"/>
  <c r="AV497" i="1"/>
  <c r="AW492" i="1"/>
  <c r="AW149" i="1"/>
  <c r="AW223" i="1"/>
  <c r="AW211" i="1"/>
  <c r="AW397" i="1"/>
  <c r="AW57" i="1"/>
  <c r="AW563" i="1"/>
  <c r="AW246" i="1"/>
  <c r="AW187" i="1"/>
  <c r="AW263" i="1"/>
  <c r="AW159" i="1"/>
  <c r="AW392" i="1"/>
  <c r="AW53" i="1"/>
  <c r="AW526" i="1"/>
  <c r="AW566" i="1"/>
  <c r="AW530" i="1"/>
  <c r="AW308" i="1"/>
  <c r="AW190" i="1"/>
  <c r="AW569" i="1"/>
  <c r="AW393" i="1"/>
  <c r="AW320" i="1"/>
  <c r="AW161" i="1"/>
  <c r="AW529" i="1"/>
  <c r="AW62" i="1"/>
  <c r="AW532" i="1"/>
  <c r="AW302" i="1"/>
  <c r="AW162" i="1"/>
  <c r="AW55" i="1"/>
  <c r="AW234" i="1"/>
  <c r="AW240" i="1"/>
  <c r="AW390" i="1"/>
  <c r="AW531" i="1"/>
  <c r="AW93" i="1"/>
  <c r="AW369" i="1"/>
  <c r="AW164" i="1"/>
  <c r="AW383" i="1"/>
  <c r="AW91" i="1"/>
  <c r="AW387" i="1"/>
  <c r="AW46" i="1"/>
  <c r="BB46" i="1"/>
  <c r="AW37" i="1"/>
  <c r="BB37" i="1"/>
  <c r="AW39" i="1"/>
  <c r="BB39" i="1"/>
  <c r="AW28" i="1"/>
  <c r="BB28" i="1"/>
  <c r="AW34" i="1"/>
  <c r="BB34" i="1"/>
  <c r="AW31" i="1"/>
  <c r="BB31" i="1"/>
  <c r="AW47" i="1"/>
  <c r="BB47" i="1"/>
  <c r="AW42" i="1"/>
  <c r="BB42" i="1"/>
  <c r="AW44" i="1"/>
  <c r="BB44" i="1"/>
  <c r="AW45" i="1"/>
  <c r="BA45" i="1"/>
  <c r="BB45" i="1"/>
  <c r="AW23" i="1"/>
  <c r="BB23" i="1"/>
  <c r="AW32" i="1"/>
  <c r="BB32" i="1"/>
  <c r="AW35" i="1"/>
  <c r="BB35" i="1"/>
  <c r="AW41" i="1"/>
  <c r="BB41" i="1"/>
  <c r="AW36" i="1"/>
  <c r="BB36" i="1"/>
  <c r="AW173" i="1"/>
  <c r="AW138" i="1"/>
  <c r="AW171" i="1"/>
  <c r="AW561" i="1"/>
  <c r="AW276" i="1"/>
  <c r="AW182" i="1"/>
  <c r="AW229" i="1"/>
  <c r="AW265" i="1"/>
  <c r="AW310" i="1"/>
  <c r="AW156" i="1"/>
  <c r="AW169" i="1"/>
  <c r="AW180" i="1"/>
  <c r="AW258" i="1"/>
  <c r="AW134" i="1"/>
  <c r="AW244" i="1"/>
  <c r="AW136" i="1"/>
  <c r="AW206" i="1"/>
  <c r="AW389" i="1"/>
  <c r="AW273" i="1"/>
  <c r="AW59" i="1"/>
  <c r="AW525" i="1"/>
  <c r="AW334" i="1"/>
  <c r="AW384" i="1"/>
  <c r="BB384" i="1"/>
  <c r="AW239" i="1"/>
  <c r="AW551" i="1"/>
  <c r="AW185" i="1"/>
  <c r="AW281" i="1"/>
  <c r="AW314" i="1"/>
  <c r="AW155" i="1"/>
  <c r="AW540" i="1"/>
  <c r="AW377" i="1"/>
  <c r="AW192" i="1"/>
  <c r="AW153" i="1"/>
  <c r="AW154" i="1"/>
  <c r="AW524" i="1"/>
  <c r="AW202" i="1"/>
  <c r="AW346" i="1"/>
  <c r="AW163" i="1"/>
  <c r="AW197" i="1"/>
  <c r="AW141" i="1"/>
  <c r="AW196" i="1"/>
  <c r="AW544" i="1"/>
  <c r="AW73" i="1"/>
  <c r="AX386" i="1"/>
  <c r="AY386" i="1"/>
  <c r="AV19" i="1"/>
  <c r="BB538" i="1"/>
  <c r="BB426" i="1"/>
  <c r="BB326" i="1"/>
  <c r="BB252" i="1"/>
  <c r="AX567" i="1"/>
  <c r="BB541" i="1"/>
  <c r="BB373" i="1"/>
  <c r="BB293" i="1"/>
  <c r="BB549" i="1"/>
  <c r="BB58" i="1"/>
  <c r="AX317" i="1"/>
  <c r="BB317" i="1"/>
  <c r="AX292" i="1"/>
  <c r="BB292" i="1"/>
  <c r="AX294" i="1"/>
  <c r="BB294" i="1"/>
  <c r="AX548" i="1"/>
  <c r="AX492" i="1"/>
  <c r="BB492" i="1"/>
  <c r="BB332" i="1"/>
  <c r="AX396" i="1"/>
  <c r="BB396" i="1"/>
  <c r="BB325" i="1"/>
  <c r="BB198" i="1"/>
  <c r="BB251" i="1"/>
  <c r="AX251" i="1"/>
  <c r="AX536" i="1"/>
  <c r="AX335" i="1"/>
  <c r="AM577" i="1"/>
  <c r="AM578" i="1"/>
  <c r="BB545" i="1"/>
  <c r="AX336" i="1"/>
  <c r="BB319" i="1"/>
  <c r="AX221" i="1"/>
  <c r="BB221" i="1"/>
  <c r="BB321" i="1"/>
  <c r="AX321" i="1"/>
  <c r="BB303" i="1"/>
  <c r="BB268" i="1"/>
  <c r="BB284" i="1"/>
  <c r="AX436" i="1"/>
  <c r="BB422" i="1"/>
  <c r="AX80" i="1"/>
  <c r="AX404" i="1"/>
  <c r="AY404" i="1"/>
  <c r="AX213" i="1"/>
  <c r="BB407" i="1"/>
  <c r="BB352" i="1"/>
  <c r="AX513" i="1"/>
  <c r="AY513" i="1"/>
  <c r="AX350" i="1"/>
  <c r="BB350" i="1"/>
  <c r="BB348" i="1"/>
  <c r="AX348" i="1"/>
  <c r="AX351" i="1"/>
  <c r="BB351" i="1"/>
  <c r="BB353" i="1"/>
  <c r="AX353" i="1"/>
  <c r="BB349" i="1"/>
  <c r="AX349" i="1"/>
  <c r="AX347" i="1"/>
  <c r="BB347" i="1"/>
  <c r="BB406" i="1"/>
  <c r="BB89" i="1"/>
  <c r="AW13" i="1"/>
  <c r="BB13" i="1"/>
  <c r="AX40" i="1"/>
  <c r="AY40" i="1"/>
  <c r="AX74" i="1"/>
  <c r="AY74" i="1"/>
  <c r="AX71" i="1"/>
  <c r="AY71" i="1"/>
  <c r="AW356" i="1"/>
  <c r="AW466" i="1"/>
  <c r="BB466" i="1"/>
  <c r="AW482" i="1"/>
  <c r="BB415" i="1"/>
  <c r="AX202" i="1"/>
  <c r="BB202" i="1"/>
  <c r="AX334" i="1"/>
  <c r="BB334" i="1"/>
  <c r="AX134" i="1"/>
  <c r="AY134" i="1"/>
  <c r="BB134" i="1"/>
  <c r="AX229" i="1"/>
  <c r="BB229" i="1"/>
  <c r="AX531" i="1"/>
  <c r="AY531" i="1"/>
  <c r="BB531" i="1"/>
  <c r="AX532" i="1"/>
  <c r="AY532" i="1"/>
  <c r="BB532" i="1"/>
  <c r="AX308" i="1"/>
  <c r="BB308" i="1"/>
  <c r="AX263" i="1"/>
  <c r="BB263" i="1"/>
  <c r="AX223" i="1"/>
  <c r="BB223" i="1"/>
  <c r="AX222" i="1"/>
  <c r="BB222" i="1"/>
  <c r="AX374" i="1"/>
  <c r="BB374" i="1"/>
  <c r="AX395" i="1"/>
  <c r="BB395" i="1"/>
  <c r="AX135" i="1"/>
  <c r="AY135" i="1"/>
  <c r="BB135" i="1"/>
  <c r="AX147" i="1"/>
  <c r="AY147" i="1"/>
  <c r="BB147" i="1"/>
  <c r="AX177" i="1"/>
  <c r="BA177" i="1"/>
  <c r="BB177" i="1"/>
  <c r="AX249" i="1"/>
  <c r="BB249" i="1"/>
  <c r="AX322" i="1"/>
  <c r="BB322" i="1"/>
  <c r="AX323" i="1"/>
  <c r="BB323" i="1"/>
  <c r="AX218" i="1"/>
  <c r="BB218" i="1"/>
  <c r="AX264" i="1"/>
  <c r="BB264" i="1"/>
  <c r="AX260" i="1"/>
  <c r="BB260" i="1"/>
  <c r="AX216" i="1"/>
  <c r="BB216" i="1"/>
  <c r="AX184" i="1"/>
  <c r="BB184" i="1"/>
  <c r="AX250" i="1"/>
  <c r="BA250" i="1"/>
  <c r="BB250" i="1"/>
  <c r="AX158" i="1"/>
  <c r="AY158" i="1"/>
  <c r="BB158" i="1"/>
  <c r="AX243" i="1"/>
  <c r="BB243" i="1"/>
  <c r="AX253" i="1"/>
  <c r="BB253" i="1"/>
  <c r="AX248" i="1"/>
  <c r="BA248" i="1"/>
  <c r="BB248" i="1"/>
  <c r="AX92" i="1"/>
  <c r="AY92" i="1"/>
  <c r="BB92" i="1"/>
  <c r="AX527" i="1"/>
  <c r="AY527" i="1"/>
  <c r="BB527" i="1"/>
  <c r="AX547" i="1"/>
  <c r="BB547" i="1"/>
  <c r="AX521" i="1"/>
  <c r="AY521" i="1"/>
  <c r="BB521" i="1"/>
  <c r="AX366" i="1"/>
  <c r="AY366" i="1"/>
  <c r="BB366" i="1"/>
  <c r="AX63" i="1"/>
  <c r="AY63" i="1"/>
  <c r="BB63" i="1"/>
  <c r="AX363" i="1"/>
  <c r="AY363" i="1"/>
  <c r="BB363" i="1"/>
  <c r="AX500" i="1"/>
  <c r="AY500" i="1"/>
  <c r="BB500" i="1"/>
  <c r="AX361" i="1"/>
  <c r="AY361" i="1"/>
  <c r="BB361" i="1"/>
  <c r="AX503" i="1"/>
  <c r="AY503" i="1"/>
  <c r="BB503" i="1"/>
  <c r="AX144" i="1"/>
  <c r="AY144" i="1"/>
  <c r="BB144" i="1"/>
  <c r="AX502" i="1"/>
  <c r="AY502" i="1"/>
  <c r="BB502" i="1"/>
  <c r="AX131" i="1"/>
  <c r="AY131" i="1"/>
  <c r="BB131" i="1"/>
  <c r="AX431" i="1"/>
  <c r="BB431" i="1"/>
  <c r="AX196" i="1"/>
  <c r="BB196" i="1"/>
  <c r="AX163" i="1"/>
  <c r="AY163" i="1"/>
  <c r="BB163" i="1"/>
  <c r="AX154" i="1"/>
  <c r="AY154" i="1"/>
  <c r="BB154" i="1"/>
  <c r="AX540" i="1"/>
  <c r="BB540" i="1"/>
  <c r="AX314" i="1"/>
  <c r="BB314" i="1"/>
  <c r="AX239" i="1"/>
  <c r="BB239" i="1"/>
  <c r="AX59" i="1"/>
  <c r="AY59" i="1"/>
  <c r="BB59" i="1"/>
  <c r="AX136" i="1"/>
  <c r="AY136" i="1"/>
  <c r="BB136" i="1"/>
  <c r="AX180" i="1"/>
  <c r="BB180" i="1"/>
  <c r="AX138" i="1"/>
  <c r="AY138" i="1"/>
  <c r="BB138" i="1"/>
  <c r="AX91" i="1"/>
  <c r="AY91" i="1"/>
  <c r="BB91" i="1"/>
  <c r="AX369" i="1"/>
  <c r="AY369" i="1"/>
  <c r="BB369" i="1"/>
  <c r="BB60" i="1"/>
  <c r="AX162" i="1"/>
  <c r="AY162" i="1"/>
  <c r="BB162" i="1"/>
  <c r="AX529" i="1"/>
  <c r="AY529" i="1"/>
  <c r="BB529" i="1"/>
  <c r="AX569" i="1"/>
  <c r="AY569" i="1"/>
  <c r="BB569" i="1"/>
  <c r="AX530" i="1"/>
  <c r="AY530" i="1"/>
  <c r="BB530" i="1"/>
  <c r="AX392" i="1"/>
  <c r="AY392" i="1"/>
  <c r="BB392" i="1"/>
  <c r="AX187" i="1"/>
  <c r="BB187" i="1"/>
  <c r="AX397" i="1"/>
  <c r="BB397" i="1"/>
  <c r="AX307" i="1"/>
  <c r="BB307" i="1"/>
  <c r="AX376" i="1"/>
  <c r="BB376" i="1"/>
  <c r="AX535" i="1"/>
  <c r="BB535" i="1"/>
  <c r="AX132" i="1"/>
  <c r="AY132" i="1"/>
  <c r="BB132" i="1"/>
  <c r="AX143" i="1"/>
  <c r="AY143" i="1"/>
  <c r="BB143" i="1"/>
  <c r="AX522" i="1"/>
  <c r="AY522" i="1"/>
  <c r="BB522" i="1"/>
  <c r="AX517" i="1"/>
  <c r="AY517" i="1"/>
  <c r="BB517" i="1"/>
  <c r="AX231" i="1"/>
  <c r="BB231" i="1"/>
  <c r="AX299" i="1"/>
  <c r="BB299" i="1"/>
  <c r="AX148" i="1"/>
  <c r="AY148" i="1"/>
  <c r="BB148" i="1"/>
  <c r="AX207" i="1"/>
  <c r="BB207" i="1"/>
  <c r="AX193" i="1"/>
  <c r="BB193" i="1"/>
  <c r="AX274" i="1"/>
  <c r="BB274" i="1"/>
  <c r="AX286" i="1"/>
  <c r="BB286" i="1"/>
  <c r="AX237" i="1"/>
  <c r="BB237" i="1"/>
  <c r="AX191" i="1"/>
  <c r="BB191" i="1"/>
  <c r="AX226" i="1"/>
  <c r="BB226" i="1"/>
  <c r="AX178" i="1"/>
  <c r="BB178" i="1"/>
  <c r="AX188" i="1"/>
  <c r="BB188" i="1"/>
  <c r="AX203" i="1"/>
  <c r="BB203" i="1"/>
  <c r="AX195" i="1"/>
  <c r="BB195" i="1"/>
  <c r="AX127" i="1"/>
  <c r="AY127" i="1"/>
  <c r="BB127" i="1"/>
  <c r="AX255" i="1"/>
  <c r="BB255" i="1"/>
  <c r="AX259" i="1"/>
  <c r="BB259" i="1"/>
  <c r="AX130" i="1"/>
  <c r="AY130" i="1"/>
  <c r="BB130" i="1"/>
  <c r="AX269" i="1"/>
  <c r="BB269" i="1"/>
  <c r="AX179" i="1"/>
  <c r="BA179" i="1"/>
  <c r="BB179" i="1"/>
  <c r="AX139" i="1"/>
  <c r="AY139" i="1"/>
  <c r="BB139" i="1"/>
  <c r="AX128" i="1"/>
  <c r="AY128" i="1"/>
  <c r="BB128" i="1"/>
  <c r="AX291" i="1"/>
  <c r="BA291" i="1"/>
  <c r="BB291" i="1"/>
  <c r="AX296" i="1"/>
  <c r="BB296" i="1"/>
  <c r="AX331" i="1"/>
  <c r="BA331" i="1"/>
  <c r="BB331" i="1"/>
  <c r="AX238" i="1"/>
  <c r="BB238" i="1"/>
  <c r="AX309" i="1"/>
  <c r="BB309" i="1"/>
  <c r="AX297" i="1"/>
  <c r="BB297" i="1"/>
  <c r="AX272" i="1"/>
  <c r="BB272" i="1"/>
  <c r="AX367" i="1"/>
  <c r="AY367" i="1"/>
  <c r="BB367" i="1"/>
  <c r="AX267" i="1"/>
  <c r="BB267" i="1"/>
  <c r="AX146" i="1"/>
  <c r="AY146" i="1"/>
  <c r="BB146" i="1"/>
  <c r="AX306" i="1"/>
  <c r="BB306" i="1"/>
  <c r="AX194" i="1"/>
  <c r="BB194" i="1"/>
  <c r="AX528" i="1"/>
  <c r="AY528" i="1"/>
  <c r="BB528" i="1"/>
  <c r="AX324" i="1"/>
  <c r="BB324" i="1"/>
  <c r="AX543" i="1"/>
  <c r="BB543" i="1"/>
  <c r="AX145" i="1"/>
  <c r="AY145" i="1"/>
  <c r="BB145" i="1"/>
  <c r="AX210" i="1"/>
  <c r="BB210" i="1"/>
  <c r="AX568" i="1"/>
  <c r="AY568" i="1"/>
  <c r="BB568" i="1"/>
  <c r="AX75" i="1"/>
  <c r="AY75" i="1"/>
  <c r="BB75" i="1"/>
  <c r="AX102" i="1"/>
  <c r="AY102" i="1"/>
  <c r="BB102" i="1"/>
  <c r="AX385" i="1"/>
  <c r="AY385" i="1"/>
  <c r="BB385" i="1"/>
  <c r="AX557" i="1"/>
  <c r="AY557" i="1"/>
  <c r="BB557" i="1"/>
  <c r="AX391" i="1"/>
  <c r="AY391" i="1"/>
  <c r="BB391" i="1"/>
  <c r="AX501" i="1"/>
  <c r="AY501" i="1"/>
  <c r="BB501" i="1"/>
  <c r="AX121" i="1"/>
  <c r="AY121" i="1"/>
  <c r="BB121" i="1"/>
  <c r="AX559" i="1"/>
  <c r="AY559" i="1"/>
  <c r="BB559" i="1"/>
  <c r="AX505" i="1"/>
  <c r="AY505" i="1"/>
  <c r="BB505" i="1"/>
  <c r="AX365" i="1"/>
  <c r="AY365" i="1"/>
  <c r="BB365" i="1"/>
  <c r="AX450" i="1"/>
  <c r="BB450" i="1"/>
  <c r="AX425" i="1"/>
  <c r="BB425" i="1"/>
  <c r="AX457" i="1"/>
  <c r="BB457" i="1"/>
  <c r="AX459" i="1"/>
  <c r="BB459" i="1"/>
  <c r="AX441" i="1"/>
  <c r="BB441" i="1"/>
  <c r="AX438" i="1"/>
  <c r="BB438" i="1"/>
  <c r="AX456" i="1"/>
  <c r="BB456" i="1"/>
  <c r="AX454" i="1"/>
  <c r="BB454" i="1"/>
  <c r="AX427" i="1"/>
  <c r="BB427" i="1"/>
  <c r="AX439" i="1"/>
  <c r="BA439" i="1"/>
  <c r="BB439" i="1"/>
  <c r="AX416" i="1"/>
  <c r="AY416" i="1"/>
  <c r="BB416" i="1"/>
  <c r="AX421" i="1"/>
  <c r="BB421" i="1"/>
  <c r="AX447" i="1"/>
  <c r="BB447" i="1"/>
  <c r="AX73" i="1"/>
  <c r="AY73" i="1"/>
  <c r="BB73" i="1"/>
  <c r="AX141" i="1"/>
  <c r="AY141" i="1"/>
  <c r="BB141" i="1"/>
  <c r="AX346" i="1"/>
  <c r="BB346" i="1"/>
  <c r="AX153" i="1"/>
  <c r="AY153" i="1"/>
  <c r="BB153" i="1"/>
  <c r="AX155" i="1"/>
  <c r="AY155" i="1"/>
  <c r="BB155" i="1"/>
  <c r="AX281" i="1"/>
  <c r="BA281" i="1"/>
  <c r="BB281" i="1"/>
  <c r="AX273" i="1"/>
  <c r="BA273" i="1"/>
  <c r="BB273" i="1"/>
  <c r="AX244" i="1"/>
  <c r="BB244" i="1"/>
  <c r="AX169" i="1"/>
  <c r="AY169" i="1"/>
  <c r="BB169" i="1"/>
  <c r="AX265" i="1"/>
  <c r="BB265" i="1"/>
  <c r="AX276" i="1"/>
  <c r="BB276" i="1"/>
  <c r="AX173" i="1"/>
  <c r="AY173" i="1"/>
  <c r="BB173" i="1"/>
  <c r="AX383" i="1"/>
  <c r="AY383" i="1"/>
  <c r="BB383" i="1"/>
  <c r="AX93" i="1"/>
  <c r="BB93" i="1"/>
  <c r="AX240" i="1"/>
  <c r="BB240" i="1"/>
  <c r="AX302" i="1"/>
  <c r="BB302" i="1"/>
  <c r="AX161" i="1"/>
  <c r="AY161" i="1"/>
  <c r="BB161" i="1"/>
  <c r="AX190" i="1"/>
  <c r="BB190" i="1"/>
  <c r="AX566" i="1"/>
  <c r="AY566" i="1"/>
  <c r="BB566" i="1"/>
  <c r="AX159" i="1"/>
  <c r="AY159" i="1"/>
  <c r="BB159" i="1"/>
  <c r="AX246" i="1"/>
  <c r="BB246" i="1"/>
  <c r="AX211" i="1"/>
  <c r="BB211" i="1"/>
  <c r="AX150" i="1"/>
  <c r="AY150" i="1"/>
  <c r="BB150" i="1"/>
  <c r="AX280" i="1"/>
  <c r="BB280" i="1"/>
  <c r="AX537" i="1"/>
  <c r="BB537" i="1"/>
  <c r="AX165" i="1"/>
  <c r="AY165" i="1"/>
  <c r="BB165" i="1"/>
  <c r="AX219" i="1"/>
  <c r="BB219" i="1"/>
  <c r="AX518" i="1"/>
  <c r="AY518" i="1"/>
  <c r="BB518" i="1"/>
  <c r="AX290" i="1"/>
  <c r="BB290" i="1"/>
  <c r="AX212" i="1"/>
  <c r="BB212" i="1"/>
  <c r="AX225" i="1"/>
  <c r="BB225" i="1"/>
  <c r="AX519" i="1"/>
  <c r="AY519" i="1"/>
  <c r="BB519" i="1"/>
  <c r="AX270" i="1"/>
  <c r="BB270" i="1"/>
  <c r="AX285" i="1"/>
  <c r="BB285" i="1"/>
  <c r="AX375" i="1"/>
  <c r="BB375" i="1"/>
  <c r="AX328" i="1"/>
  <c r="BA328" i="1"/>
  <c r="BB328" i="1"/>
  <c r="AX330" i="1"/>
  <c r="BB330" i="1"/>
  <c r="AX241" i="1"/>
  <c r="BB241" i="1"/>
  <c r="AX247" i="1"/>
  <c r="BB247" i="1"/>
  <c r="AX313" i="1"/>
  <c r="BB313" i="1"/>
  <c r="AX271" i="1"/>
  <c r="BB271" i="1"/>
  <c r="AX142" i="1"/>
  <c r="AY142" i="1"/>
  <c r="BB142" i="1"/>
  <c r="AX329" i="1"/>
  <c r="BB329" i="1"/>
  <c r="AX311" i="1"/>
  <c r="BB311" i="1"/>
  <c r="AX189" i="1"/>
  <c r="BA189" i="1"/>
  <c r="BB189" i="1"/>
  <c r="AX215" i="1"/>
  <c r="BB215" i="1"/>
  <c r="AX287" i="1"/>
  <c r="BB287" i="1"/>
  <c r="AX242" i="1"/>
  <c r="BB242" i="1"/>
  <c r="BB174" i="1"/>
  <c r="AX312" i="1"/>
  <c r="BB312" i="1"/>
  <c r="AX304" i="1"/>
  <c r="BB304" i="1"/>
  <c r="AX341" i="1"/>
  <c r="BB341" i="1"/>
  <c r="AX266" i="1"/>
  <c r="BB266" i="1"/>
  <c r="AX201" i="1"/>
  <c r="BB201" i="1"/>
  <c r="AX337" i="1"/>
  <c r="BB337" i="1"/>
  <c r="AX339" i="1"/>
  <c r="BB339" i="1"/>
  <c r="AX172" i="1"/>
  <c r="AY172" i="1"/>
  <c r="BB172" i="1"/>
  <c r="AX65" i="1"/>
  <c r="AY65" i="1"/>
  <c r="BB65" i="1"/>
  <c r="AX233" i="1"/>
  <c r="BB233" i="1"/>
  <c r="AX208" i="1"/>
  <c r="BA208" i="1"/>
  <c r="BB208" i="1"/>
  <c r="AX133" i="1"/>
  <c r="AY133" i="1"/>
  <c r="BB133" i="1"/>
  <c r="AX236" i="1"/>
  <c r="BB236" i="1"/>
  <c r="AX124" i="1"/>
  <c r="AY124" i="1"/>
  <c r="BB124" i="1"/>
  <c r="AX523" i="1"/>
  <c r="AY523" i="1"/>
  <c r="BB523" i="1"/>
  <c r="AX86" i="1"/>
  <c r="AY86" i="1"/>
  <c r="BB86" i="1"/>
  <c r="AX368" i="1"/>
  <c r="AY368" i="1"/>
  <c r="BB368" i="1"/>
  <c r="AX343" i="1"/>
  <c r="BB343" i="1"/>
  <c r="AX546" i="1"/>
  <c r="BB546" i="1"/>
  <c r="AX100" i="1"/>
  <c r="AY100" i="1"/>
  <c r="BB100" i="1"/>
  <c r="AX333" i="1"/>
  <c r="BA333" i="1"/>
  <c r="BB333" i="1"/>
  <c r="AX539" i="1"/>
  <c r="BB539" i="1"/>
  <c r="AX120" i="1"/>
  <c r="AY120" i="1"/>
  <c r="BB120" i="1"/>
  <c r="AX126" i="1"/>
  <c r="AY126" i="1"/>
  <c r="BB126" i="1"/>
  <c r="AX565" i="1"/>
  <c r="AY565" i="1"/>
  <c r="BB565" i="1"/>
  <c r="AX88" i="1"/>
  <c r="AY88" i="1"/>
  <c r="BB88" i="1"/>
  <c r="AX362" i="1"/>
  <c r="AY362" i="1"/>
  <c r="BB362" i="1"/>
  <c r="AX388" i="1"/>
  <c r="AY388" i="1"/>
  <c r="BB388" i="1"/>
  <c r="AX125" i="1"/>
  <c r="AY125" i="1"/>
  <c r="BB125" i="1"/>
  <c r="AX77" i="1"/>
  <c r="AY77" i="1"/>
  <c r="BB77" i="1"/>
  <c r="AX413" i="1"/>
  <c r="AY413" i="1"/>
  <c r="BB413" i="1"/>
  <c r="AX446" i="1"/>
  <c r="BB446" i="1"/>
  <c r="AX449" i="1"/>
  <c r="BB449" i="1"/>
  <c r="BB418" i="1"/>
  <c r="AX414" i="1"/>
  <c r="AY414" i="1"/>
  <c r="BB414" i="1"/>
  <c r="AX443" i="1"/>
  <c r="BB443" i="1"/>
  <c r="AX434" i="1"/>
  <c r="BB434" i="1"/>
  <c r="AX405" i="1"/>
  <c r="AY405" i="1"/>
  <c r="BB405" i="1"/>
  <c r="AX411" i="1"/>
  <c r="AY411" i="1"/>
  <c r="BB411" i="1"/>
  <c r="AX424" i="1"/>
  <c r="BB424" i="1"/>
  <c r="AX544" i="1"/>
  <c r="BB544" i="1"/>
  <c r="AX192" i="1"/>
  <c r="BB192" i="1"/>
  <c r="AX185" i="1"/>
  <c r="BB185" i="1"/>
  <c r="AX389" i="1"/>
  <c r="AY389" i="1"/>
  <c r="BB389" i="1"/>
  <c r="AX156" i="1"/>
  <c r="AY156" i="1"/>
  <c r="BB156" i="1"/>
  <c r="AX561" i="1"/>
  <c r="AY561" i="1"/>
  <c r="BB561" i="1"/>
  <c r="AX234" i="1"/>
  <c r="BB234" i="1"/>
  <c r="AX320" i="1"/>
  <c r="BB320" i="1"/>
  <c r="AX526" i="1"/>
  <c r="AY526" i="1"/>
  <c r="BB526" i="1"/>
  <c r="AX563" i="1"/>
  <c r="AY563" i="1"/>
  <c r="BB563" i="1"/>
  <c r="AX542" i="1"/>
  <c r="BB542" i="1"/>
  <c r="AX140" i="1"/>
  <c r="AY140" i="1"/>
  <c r="BB140" i="1"/>
  <c r="AX277" i="1"/>
  <c r="BB277" i="1"/>
  <c r="AX209" i="1"/>
  <c r="BB209" i="1"/>
  <c r="AX228" i="1"/>
  <c r="BB228" i="1"/>
  <c r="AX305" i="1"/>
  <c r="BB305" i="1"/>
  <c r="AX327" i="1"/>
  <c r="BB327" i="1"/>
  <c r="AX279" i="1"/>
  <c r="BA279" i="1"/>
  <c r="BB279" i="1"/>
  <c r="AX316" i="1"/>
  <c r="BB316" i="1"/>
  <c r="AX224" i="1"/>
  <c r="BB224" i="1"/>
  <c r="AX300" i="1"/>
  <c r="BA300" i="1"/>
  <c r="BB300" i="1"/>
  <c r="AX235" i="1"/>
  <c r="BB235" i="1"/>
  <c r="AX340" i="1"/>
  <c r="BB340" i="1"/>
  <c r="AX230" i="1"/>
  <c r="BB230" i="1"/>
  <c r="AX256" i="1"/>
  <c r="BB256" i="1"/>
  <c r="AX342" i="1"/>
  <c r="BB342" i="1"/>
  <c r="AX186" i="1"/>
  <c r="BB186" i="1"/>
  <c r="AX151" i="1"/>
  <c r="AY151" i="1"/>
  <c r="BB151" i="1"/>
  <c r="AX550" i="1"/>
  <c r="BA550" i="1"/>
  <c r="BB550" i="1"/>
  <c r="AX371" i="1"/>
  <c r="AY371" i="1"/>
  <c r="BB371" i="1"/>
  <c r="AX176" i="1"/>
  <c r="BB176" i="1"/>
  <c r="AX166" i="1"/>
  <c r="AY166" i="1"/>
  <c r="BB166" i="1"/>
  <c r="AX54" i="1"/>
  <c r="AY54" i="1"/>
  <c r="BB54" i="1"/>
  <c r="AX507" i="1"/>
  <c r="BB507" i="1"/>
  <c r="AX78" i="1"/>
  <c r="AY78" i="1"/>
  <c r="BB78" i="1"/>
  <c r="AX452" i="1"/>
  <c r="BB452" i="1"/>
  <c r="AX428" i="1"/>
  <c r="BB428" i="1"/>
  <c r="AX410" i="1"/>
  <c r="AY410" i="1"/>
  <c r="BB410" i="1"/>
  <c r="AX430" i="1"/>
  <c r="BB430" i="1"/>
  <c r="AX440" i="1"/>
  <c r="BA440" i="1"/>
  <c r="BB440" i="1"/>
  <c r="AX432" i="1"/>
  <c r="BB432" i="1"/>
  <c r="AX458" i="1"/>
  <c r="BB458" i="1"/>
  <c r="AX448" i="1"/>
  <c r="BB448" i="1"/>
  <c r="AX409" i="1"/>
  <c r="AY409" i="1"/>
  <c r="BB409" i="1"/>
  <c r="AX435" i="1"/>
  <c r="BA435" i="1"/>
  <c r="BB435" i="1"/>
  <c r="AX455" i="1"/>
  <c r="BB455" i="1"/>
  <c r="AX122" i="1"/>
  <c r="AY122" i="1"/>
  <c r="BB122" i="1"/>
  <c r="AX197" i="1"/>
  <c r="BB197" i="1"/>
  <c r="AX524" i="1"/>
  <c r="AY524" i="1"/>
  <c r="BB524" i="1"/>
  <c r="AX377" i="1"/>
  <c r="BB377" i="1"/>
  <c r="AX551" i="1"/>
  <c r="BB551" i="1"/>
  <c r="AX525" i="1"/>
  <c r="AY525" i="1"/>
  <c r="BB525" i="1"/>
  <c r="AX206" i="1"/>
  <c r="BB206" i="1"/>
  <c r="AX258" i="1"/>
  <c r="BB258" i="1"/>
  <c r="AX310" i="1"/>
  <c r="BB310" i="1"/>
  <c r="AX182" i="1"/>
  <c r="BB182" i="1"/>
  <c r="AX171" i="1"/>
  <c r="AY171" i="1"/>
  <c r="BB171" i="1"/>
  <c r="AX387" i="1"/>
  <c r="AY387" i="1"/>
  <c r="BB387" i="1"/>
  <c r="AX164" i="1"/>
  <c r="AY164" i="1"/>
  <c r="BB164" i="1"/>
  <c r="AX390" i="1"/>
  <c r="AY390" i="1"/>
  <c r="BB390" i="1"/>
  <c r="AX55" i="1"/>
  <c r="AY55" i="1"/>
  <c r="BB55" i="1"/>
  <c r="AX62" i="1"/>
  <c r="AY62" i="1"/>
  <c r="BB62" i="1"/>
  <c r="AX393" i="1"/>
  <c r="AY393" i="1"/>
  <c r="BB393" i="1"/>
  <c r="BB534" i="1"/>
  <c r="AX53" i="1"/>
  <c r="AY53" i="1"/>
  <c r="BB53" i="1"/>
  <c r="AX57" i="1"/>
  <c r="AY57" i="1"/>
  <c r="BB57" i="1"/>
  <c r="AX149" i="1"/>
  <c r="AY149" i="1"/>
  <c r="BB149" i="1"/>
  <c r="AX533" i="1"/>
  <c r="AY533" i="1"/>
  <c r="BB533" i="1"/>
  <c r="AX282" i="1"/>
  <c r="BB282" i="1"/>
  <c r="AX372" i="1"/>
  <c r="BB372" i="1"/>
  <c r="AX199" i="1"/>
  <c r="BA199" i="1"/>
  <c r="BB199" i="1"/>
  <c r="AX160" i="1"/>
  <c r="AY160" i="1"/>
  <c r="BB160" i="1"/>
  <c r="AX157" i="1"/>
  <c r="AY157" i="1"/>
  <c r="BB157" i="1"/>
  <c r="AX520" i="1"/>
  <c r="AY520" i="1"/>
  <c r="BB520" i="1"/>
  <c r="AX315" i="1"/>
  <c r="BA315" i="1"/>
  <c r="BB315" i="1"/>
  <c r="AX275" i="1"/>
  <c r="BB275" i="1"/>
  <c r="AX137" i="1"/>
  <c r="AY137" i="1"/>
  <c r="BB137" i="1"/>
  <c r="AX283" i="1"/>
  <c r="BB283" i="1"/>
  <c r="AX214" i="1"/>
  <c r="BB214" i="1"/>
  <c r="AX183" i="1"/>
  <c r="BB183" i="1"/>
  <c r="AX261" i="1"/>
  <c r="BB261" i="1"/>
  <c r="AX262" i="1"/>
  <c r="BB262" i="1"/>
  <c r="AX205" i="1"/>
  <c r="BB205" i="1"/>
  <c r="AX318" i="1"/>
  <c r="BB318" i="1"/>
  <c r="AX338" i="1"/>
  <c r="BB338" i="1"/>
  <c r="AX200" i="1"/>
  <c r="BB200" i="1"/>
  <c r="AX170" i="1"/>
  <c r="AY170" i="1"/>
  <c r="BB170" i="1"/>
  <c r="AX227" i="1"/>
  <c r="BB227" i="1"/>
  <c r="AX152" i="1"/>
  <c r="AY152" i="1"/>
  <c r="BB152" i="1"/>
  <c r="AX298" i="1"/>
  <c r="BB298" i="1"/>
  <c r="AX220" i="1"/>
  <c r="BB220" i="1"/>
  <c r="AX278" i="1"/>
  <c r="BB278" i="1"/>
  <c r="AX245" i="1"/>
  <c r="BB245" i="1"/>
  <c r="AX257" i="1"/>
  <c r="BB257" i="1"/>
  <c r="AX344" i="1"/>
  <c r="BB344" i="1"/>
  <c r="AX289" i="1"/>
  <c r="BB289" i="1"/>
  <c r="AX288" i="1"/>
  <c r="BB288" i="1"/>
  <c r="AX168" i="1"/>
  <c r="AY168" i="1"/>
  <c r="BB168" i="1"/>
  <c r="AX56" i="1"/>
  <c r="AY56" i="1"/>
  <c r="BB56" i="1"/>
  <c r="AX181" i="1"/>
  <c r="BB181" i="1"/>
  <c r="AX364" i="1"/>
  <c r="AY364" i="1"/>
  <c r="BB364" i="1"/>
  <c r="AX123" i="1"/>
  <c r="AY123" i="1"/>
  <c r="BB123" i="1"/>
  <c r="AX204" i="1"/>
  <c r="BB204" i="1"/>
  <c r="AX345" i="1"/>
  <c r="BB345" i="1"/>
  <c r="AX94" i="1"/>
  <c r="BB94" i="1"/>
  <c r="AX167" i="1"/>
  <c r="AY167" i="1"/>
  <c r="BB167" i="1"/>
  <c r="AX370" i="1"/>
  <c r="AY370" i="1"/>
  <c r="BB370" i="1"/>
  <c r="AX232" i="1"/>
  <c r="BB232" i="1"/>
  <c r="AX254" i="1"/>
  <c r="BB254" i="1"/>
  <c r="AX217" i="1"/>
  <c r="BB217" i="1"/>
  <c r="AX129" i="1"/>
  <c r="AY129" i="1"/>
  <c r="BB129" i="1"/>
  <c r="AX64" i="1"/>
  <c r="AY64" i="1"/>
  <c r="BB64" i="1"/>
  <c r="AX76" i="1"/>
  <c r="AY76" i="1"/>
  <c r="BB76" i="1"/>
  <c r="AX562" i="1"/>
  <c r="AY562" i="1"/>
  <c r="BB562" i="1"/>
  <c r="AX504" i="1"/>
  <c r="AY504" i="1"/>
  <c r="BB504" i="1"/>
  <c r="AX560" i="1"/>
  <c r="AY560" i="1"/>
  <c r="BB560" i="1"/>
  <c r="BB27" i="1"/>
  <c r="AX564" i="1"/>
  <c r="AY564" i="1"/>
  <c r="BB564" i="1"/>
  <c r="AX359" i="1"/>
  <c r="AY359" i="1"/>
  <c r="BB359" i="1"/>
  <c r="AX360" i="1"/>
  <c r="AY360" i="1"/>
  <c r="BB360" i="1"/>
  <c r="AX103" i="1"/>
  <c r="AY103" i="1"/>
  <c r="BB103" i="1"/>
  <c r="AX72" i="1"/>
  <c r="AY72" i="1"/>
  <c r="BB72" i="1"/>
  <c r="AX442" i="1"/>
  <c r="BB442" i="1"/>
  <c r="AX423" i="1"/>
  <c r="BB423" i="1"/>
  <c r="BB417" i="1"/>
  <c r="AX429" i="1"/>
  <c r="BB429" i="1"/>
  <c r="AX408" i="1"/>
  <c r="AY408" i="1"/>
  <c r="BB408" i="1"/>
  <c r="AX451" i="1"/>
  <c r="BB451" i="1"/>
  <c r="AX420" i="1"/>
  <c r="BB420" i="1"/>
  <c r="AX445" i="1"/>
  <c r="BB445" i="1"/>
  <c r="AX412" i="1"/>
  <c r="AY412" i="1"/>
  <c r="BB412" i="1"/>
  <c r="AX437" i="1"/>
  <c r="BB437" i="1"/>
  <c r="AX433" i="1"/>
  <c r="BB433" i="1"/>
  <c r="AX453" i="1"/>
  <c r="BB453" i="1"/>
  <c r="AX32" i="1"/>
  <c r="AY32" i="1"/>
  <c r="AX34" i="1"/>
  <c r="AY34" i="1"/>
  <c r="AX36" i="1"/>
  <c r="AY36" i="1"/>
  <c r="AX42" i="1"/>
  <c r="AY42" i="1"/>
  <c r="AX46" i="1"/>
  <c r="AX41" i="1"/>
  <c r="AY41" i="1"/>
  <c r="AX47" i="1"/>
  <c r="AX35" i="1"/>
  <c r="AY35" i="1"/>
  <c r="AX45" i="1"/>
  <c r="AX31" i="1"/>
  <c r="AY31" i="1"/>
  <c r="AX37" i="1"/>
  <c r="AY37" i="1"/>
  <c r="AX29" i="1"/>
  <c r="AY29" i="1"/>
  <c r="AX26" i="1"/>
  <c r="AY26" i="1"/>
  <c r="AX44" i="1"/>
  <c r="AX24" i="1"/>
  <c r="AY24" i="1"/>
  <c r="AX28" i="1"/>
  <c r="AY28" i="1"/>
  <c r="AX22" i="1"/>
  <c r="AY22" i="1"/>
  <c r="AX33" i="1"/>
  <c r="AY33" i="1"/>
  <c r="AX23" i="1"/>
  <c r="AY23" i="1"/>
  <c r="AX39" i="1"/>
  <c r="AY39" i="1"/>
  <c r="AX38" i="1"/>
  <c r="AY38" i="1"/>
  <c r="AX27" i="1"/>
  <c r="AY27" i="1"/>
  <c r="AX30" i="1"/>
  <c r="AY30" i="1"/>
  <c r="AW111" i="1"/>
  <c r="AW109" i="1"/>
  <c r="AW113" i="1"/>
  <c r="AW110" i="1"/>
  <c r="AW112" i="1"/>
  <c r="AW114" i="1"/>
  <c r="AW462" i="1"/>
  <c r="AW106" i="1"/>
  <c r="AW510" i="1"/>
  <c r="AW12" i="1"/>
  <c r="BB12" i="1"/>
  <c r="AW10" i="1"/>
  <c r="BB10" i="1"/>
  <c r="AW15" i="1"/>
  <c r="BB15" i="1"/>
  <c r="AW465" i="1"/>
  <c r="AW472" i="1"/>
  <c r="AW471" i="1"/>
  <c r="AW468" i="1"/>
  <c r="AW473" i="1"/>
  <c r="AW83" i="1"/>
  <c r="AW68" i="1"/>
  <c r="AW8" i="1"/>
  <c r="BB8" i="1"/>
  <c r="AW7" i="1"/>
  <c r="BB7" i="1"/>
  <c r="AW11" i="1"/>
  <c r="BB11" i="1"/>
  <c r="AW16" i="1"/>
  <c r="BB16" i="1"/>
  <c r="AW6" i="1"/>
  <c r="BB6" i="1"/>
  <c r="AW9" i="1"/>
  <c r="BB9" i="1"/>
  <c r="AW14" i="1"/>
  <c r="BB14" i="1"/>
  <c r="AW488" i="1"/>
  <c r="AW491" i="1"/>
  <c r="AW494" i="1"/>
  <c r="AW475" i="1"/>
  <c r="AW479" i="1"/>
  <c r="AW484" i="1"/>
  <c r="AW490" i="1"/>
  <c r="AW486" i="1"/>
  <c r="AW470" i="1"/>
  <c r="AW483" i="1"/>
  <c r="BB483" i="1"/>
  <c r="AW480" i="1"/>
  <c r="AW467" i="1"/>
  <c r="BB467" i="1"/>
  <c r="AW485" i="1"/>
  <c r="AW469" i="1"/>
  <c r="AW481" i="1"/>
  <c r="AW493" i="1"/>
  <c r="AW487" i="1"/>
  <c r="AW489" i="1"/>
  <c r="AW476" i="1"/>
  <c r="AW478" i="1"/>
  <c r="AW474" i="1"/>
  <c r="AW477" i="1"/>
  <c r="AW554" i="1"/>
  <c r="AW572" i="1"/>
  <c r="AX558" i="1"/>
  <c r="AY558" i="1"/>
  <c r="AW380" i="1"/>
  <c r="AW97" i="1"/>
  <c r="AX90" i="1"/>
  <c r="AY90" i="1"/>
  <c r="AW400" i="1"/>
  <c r="AX384" i="1"/>
  <c r="AY384" i="1"/>
  <c r="AW50" i="1"/>
  <c r="AX13" i="1"/>
  <c r="AY13" i="1"/>
  <c r="AX466" i="1"/>
  <c r="AY466" i="1"/>
  <c r="AX482" i="1"/>
  <c r="AY482" i="1"/>
  <c r="BB482" i="1"/>
  <c r="AX113" i="1"/>
  <c r="AY113" i="1"/>
  <c r="BB113" i="1"/>
  <c r="AX481" i="1"/>
  <c r="AY481" i="1"/>
  <c r="BB481" i="1"/>
  <c r="AX480" i="1"/>
  <c r="AY480" i="1"/>
  <c r="BB480" i="1"/>
  <c r="AX494" i="1"/>
  <c r="BB494" i="1"/>
  <c r="AX473" i="1"/>
  <c r="AY473" i="1"/>
  <c r="BB473" i="1"/>
  <c r="AX465" i="1"/>
  <c r="AY465" i="1"/>
  <c r="BB465" i="1"/>
  <c r="AX112" i="1"/>
  <c r="AY112" i="1"/>
  <c r="BB112" i="1"/>
  <c r="AX111" i="1"/>
  <c r="AY111" i="1"/>
  <c r="BB111" i="1"/>
  <c r="AX474" i="1"/>
  <c r="AY474" i="1"/>
  <c r="BB474" i="1"/>
  <c r="AX487" i="1"/>
  <c r="BB487" i="1"/>
  <c r="AX485" i="1"/>
  <c r="BB485" i="1"/>
  <c r="AX470" i="1"/>
  <c r="AY470" i="1"/>
  <c r="BB470" i="1"/>
  <c r="AX479" i="1"/>
  <c r="AY479" i="1"/>
  <c r="BB479" i="1"/>
  <c r="AX488" i="1"/>
  <c r="BB488" i="1"/>
  <c r="AX471" i="1"/>
  <c r="AY471" i="1"/>
  <c r="BB471" i="1"/>
  <c r="AX478" i="1"/>
  <c r="AY478" i="1"/>
  <c r="BB478" i="1"/>
  <c r="AX493" i="1"/>
  <c r="BB493" i="1"/>
  <c r="AX486" i="1"/>
  <c r="BB486" i="1"/>
  <c r="AX475" i="1"/>
  <c r="AY475" i="1"/>
  <c r="BB475" i="1"/>
  <c r="AX472" i="1"/>
  <c r="AY472" i="1"/>
  <c r="BB472" i="1"/>
  <c r="AX114" i="1"/>
  <c r="AY114" i="1"/>
  <c r="BB114" i="1"/>
  <c r="AX109" i="1"/>
  <c r="AY109" i="1"/>
  <c r="BB109" i="1"/>
  <c r="AX476" i="1"/>
  <c r="AY476" i="1"/>
  <c r="BB476" i="1"/>
  <c r="AX490" i="1"/>
  <c r="BB490" i="1"/>
  <c r="AX477" i="1"/>
  <c r="AY477" i="1"/>
  <c r="BB477" i="1"/>
  <c r="AX489" i="1"/>
  <c r="BB489" i="1"/>
  <c r="AX469" i="1"/>
  <c r="AY469" i="1"/>
  <c r="BB469" i="1"/>
  <c r="AX484" i="1"/>
  <c r="BB484" i="1"/>
  <c r="AX491" i="1"/>
  <c r="BB491" i="1"/>
  <c r="AX468" i="1"/>
  <c r="AY468" i="1"/>
  <c r="BB468" i="1"/>
  <c r="AX110" i="1"/>
  <c r="AY110" i="1"/>
  <c r="BB110" i="1"/>
  <c r="AX9" i="1"/>
  <c r="AY9" i="1"/>
  <c r="AX8" i="1"/>
  <c r="AY8" i="1"/>
  <c r="AX14" i="1"/>
  <c r="AY14" i="1"/>
  <c r="AX11" i="1"/>
  <c r="AY11" i="1"/>
  <c r="AX12" i="1"/>
  <c r="AY12" i="1"/>
  <c r="AX7" i="1"/>
  <c r="AY7" i="1"/>
  <c r="AX6" i="1"/>
  <c r="AY6" i="1"/>
  <c r="AX15" i="1"/>
  <c r="AY15" i="1"/>
  <c r="AX10" i="1"/>
  <c r="AY10" i="1"/>
  <c r="AW117" i="1"/>
  <c r="AX16" i="1"/>
  <c r="AY16" i="1"/>
  <c r="AX467" i="1"/>
  <c r="AY467" i="1"/>
  <c r="AW497" i="1"/>
  <c r="AW19" i="1"/>
  <c r="BB577" i="1"/>
  <c r="AW577" i="1"/>
  <c r="BE589" i="1"/>
  <c r="BF589" i="1"/>
  <c r="BH589" i="1"/>
  <c r="BF336" i="46"/>
  <c r="BL336" i="46"/>
  <c r="BY61" i="46"/>
  <c r="BZ61" i="46"/>
  <c r="BZ21" i="46"/>
  <c r="Y378" i="46"/>
  <c r="W571" i="46"/>
  <c r="BF553" i="46"/>
  <c r="BL553" i="46"/>
  <c r="BF204" i="46"/>
  <c r="BL204" i="46"/>
  <c r="BF299" i="46"/>
  <c r="BL299" i="46"/>
  <c r="BF229" i="46"/>
  <c r="BL229" i="46"/>
  <c r="W492" i="46"/>
  <c r="U492" i="46"/>
  <c r="BF132" i="46"/>
  <c r="BL132" i="46"/>
  <c r="BF130" i="46"/>
  <c r="BL130" i="46"/>
  <c r="BF157" i="46"/>
  <c r="BL157" i="46"/>
  <c r="BF166" i="46"/>
  <c r="BL166" i="46"/>
  <c r="U330" i="46"/>
  <c r="W330" i="46"/>
  <c r="U494" i="46"/>
  <c r="W494" i="46"/>
  <c r="P427" i="46"/>
  <c r="B427" i="46"/>
  <c r="U427" i="46"/>
  <c r="P347" i="46"/>
  <c r="B347" i="46"/>
  <c r="O347" i="46"/>
  <c r="R347" i="46"/>
  <c r="U343" i="46"/>
  <c r="W343" i="46"/>
  <c r="V343" i="46"/>
  <c r="X343" i="46"/>
  <c r="P336" i="46"/>
  <c r="O336" i="46"/>
  <c r="R336" i="46"/>
  <c r="P332" i="46"/>
  <c r="B332" i="46"/>
  <c r="O332" i="46"/>
  <c r="R332" i="46"/>
  <c r="O329" i="46"/>
  <c r="R329" i="46"/>
  <c r="B329" i="46"/>
  <c r="U329" i="46"/>
  <c r="V80" i="46"/>
  <c r="W80" i="46"/>
  <c r="U80" i="46"/>
  <c r="P63" i="46"/>
  <c r="B63" i="46"/>
  <c r="B33" i="46"/>
  <c r="P33" i="46"/>
  <c r="B12" i="46"/>
  <c r="P12" i="46"/>
  <c r="B55" i="46"/>
  <c r="P55" i="46"/>
  <c r="B72" i="46"/>
  <c r="P72" i="46"/>
  <c r="Y87" i="46"/>
  <c r="F87" i="46"/>
  <c r="B91" i="46"/>
  <c r="P91" i="46"/>
  <c r="B112" i="46"/>
  <c r="P112" i="46"/>
  <c r="B121" i="46"/>
  <c r="P121" i="46"/>
  <c r="B125" i="46"/>
  <c r="P125" i="46"/>
  <c r="B129" i="46"/>
  <c r="P129" i="46"/>
  <c r="B133" i="46"/>
  <c r="P133" i="46"/>
  <c r="B137" i="46"/>
  <c r="P137" i="46"/>
  <c r="B141" i="46"/>
  <c r="P141" i="46"/>
  <c r="B145" i="46"/>
  <c r="P145" i="46"/>
  <c r="B149" i="46"/>
  <c r="P149" i="46"/>
  <c r="B153" i="46"/>
  <c r="P153" i="46"/>
  <c r="B157" i="46"/>
  <c r="P157" i="46"/>
  <c r="B161" i="46"/>
  <c r="P161" i="46"/>
  <c r="B165" i="46"/>
  <c r="P165" i="46"/>
  <c r="B169" i="46"/>
  <c r="P169" i="46"/>
  <c r="B173" i="46"/>
  <c r="P173" i="46"/>
  <c r="B387" i="46"/>
  <c r="P387" i="46"/>
  <c r="B391" i="46"/>
  <c r="P391" i="46"/>
  <c r="B395" i="46"/>
  <c r="P395" i="46"/>
  <c r="B412" i="46"/>
  <c r="P412" i="46"/>
  <c r="B416" i="46"/>
  <c r="P416" i="46"/>
  <c r="B469" i="46"/>
  <c r="N469" i="46"/>
  <c r="P469" i="46"/>
  <c r="B473" i="46"/>
  <c r="P473" i="46"/>
  <c r="B477" i="46"/>
  <c r="P477" i="46"/>
  <c r="B504" i="46"/>
  <c r="F504" i="46"/>
  <c r="F503" i="46"/>
  <c r="F505" i="46"/>
  <c r="F506" i="46"/>
  <c r="F507" i="46"/>
  <c r="B508" i="46"/>
  <c r="F508" i="46"/>
  <c r="F513" i="46"/>
  <c r="P504" i="46"/>
  <c r="P508" i="46"/>
  <c r="L519" i="46"/>
  <c r="H519" i="46"/>
  <c r="H535" i="46"/>
  <c r="L535" i="46"/>
  <c r="BF300" i="46"/>
  <c r="BL300" i="46"/>
  <c r="BF126" i="46"/>
  <c r="BL126" i="46"/>
  <c r="BY84" i="46"/>
  <c r="CB84" i="46"/>
  <c r="BY107" i="46"/>
  <c r="BZ385" i="46"/>
  <c r="CB385" i="46"/>
  <c r="B552" i="46"/>
  <c r="Y324" i="46"/>
  <c r="BZ175" i="46"/>
  <c r="BF554" i="46"/>
  <c r="BL554" i="46"/>
  <c r="BF408" i="46"/>
  <c r="BL408" i="46"/>
  <c r="BF297" i="46"/>
  <c r="BL297" i="46"/>
  <c r="W62" i="46"/>
  <c r="B336" i="46"/>
  <c r="Y336" i="46"/>
  <c r="P438" i="46"/>
  <c r="B438" i="46"/>
  <c r="U438" i="46"/>
  <c r="P434" i="46"/>
  <c r="B434" i="46"/>
  <c r="U434" i="46"/>
  <c r="BF494" i="46"/>
  <c r="BL494" i="46"/>
  <c r="U455" i="46"/>
  <c r="X455" i="46"/>
  <c r="V455" i="46"/>
  <c r="P352" i="46"/>
  <c r="O352" i="46"/>
  <c r="R352" i="46"/>
  <c r="CB52" i="46"/>
  <c r="CB85" i="46"/>
  <c r="CB108" i="46"/>
  <c r="BY175" i="46"/>
  <c r="CA61" i="46"/>
  <c r="BF326" i="46"/>
  <c r="BL326" i="46"/>
  <c r="BF325" i="46"/>
  <c r="BL325" i="46"/>
  <c r="BL222" i="46"/>
  <c r="X543" i="46"/>
  <c r="W543" i="46"/>
  <c r="W455" i="46"/>
  <c r="BF289" i="46"/>
  <c r="BL289" i="46"/>
  <c r="BF161" i="46"/>
  <c r="BL161" i="46"/>
  <c r="BF174" i="46"/>
  <c r="BL174" i="46"/>
  <c r="BF143" i="46"/>
  <c r="BL143" i="46"/>
  <c r="BF170" i="46"/>
  <c r="BL170" i="46"/>
  <c r="BF169" i="46"/>
  <c r="BL169" i="46"/>
  <c r="BF172" i="46"/>
  <c r="BL172" i="46"/>
  <c r="W285" i="46"/>
  <c r="V285" i="46"/>
  <c r="X264" i="46"/>
  <c r="V264" i="46"/>
  <c r="V260" i="46"/>
  <c r="X260" i="46"/>
  <c r="X256" i="46"/>
  <c r="V256" i="46"/>
  <c r="V216" i="46"/>
  <c r="X216" i="46"/>
  <c r="P571" i="46"/>
  <c r="O571" i="46"/>
  <c r="R571" i="46"/>
  <c r="O540" i="46"/>
  <c r="R540" i="46"/>
  <c r="B540" i="46"/>
  <c r="X540" i="46"/>
  <c r="P41" i="46"/>
  <c r="BE68" i="46"/>
  <c r="BL112" i="46"/>
  <c r="X572" i="46"/>
  <c r="BL448" i="46"/>
  <c r="BL369" i="46"/>
  <c r="V431" i="46"/>
  <c r="W451" i="46"/>
  <c r="X431" i="46"/>
  <c r="BL140" i="46"/>
  <c r="BL121" i="46"/>
  <c r="BL171" i="46"/>
  <c r="BL149" i="46"/>
  <c r="BL165" i="46"/>
  <c r="BL167" i="46"/>
  <c r="BL164" i="46"/>
  <c r="BL125" i="46"/>
  <c r="BL128" i="46"/>
  <c r="BL298" i="46"/>
  <c r="BL56" i="46"/>
  <c r="X65" i="46"/>
  <c r="W217" i="46"/>
  <c r="U210" i="46"/>
  <c r="O443" i="46"/>
  <c r="R443" i="46"/>
  <c r="O435" i="46"/>
  <c r="R435" i="46"/>
  <c r="O423" i="46"/>
  <c r="R423" i="46"/>
  <c r="K79" i="46"/>
  <c r="K509" i="46"/>
  <c r="K101" i="46"/>
  <c r="V488" i="46"/>
  <c r="BL424" i="46"/>
  <c r="BL348" i="46"/>
  <c r="BL225" i="46"/>
  <c r="BL147" i="46"/>
  <c r="BL141" i="46"/>
  <c r="O491" i="46"/>
  <c r="R491" i="46"/>
  <c r="O459" i="46"/>
  <c r="R459" i="46"/>
  <c r="O451" i="46"/>
  <c r="R451" i="46"/>
  <c r="AD43" i="46"/>
  <c r="CD319" i="46"/>
  <c r="FF80" i="49"/>
  <c r="FF92" i="49"/>
  <c r="FF104" i="49"/>
  <c r="FF128" i="49"/>
  <c r="FF140" i="49"/>
  <c r="FF148" i="49"/>
  <c r="FF164" i="49"/>
  <c r="FF176" i="49"/>
  <c r="FF188" i="49"/>
  <c r="FF192" i="49"/>
  <c r="FF5" i="49"/>
  <c r="FF6" i="49"/>
  <c r="FF7" i="49"/>
  <c r="FF8" i="49"/>
  <c r="FF9" i="49"/>
  <c r="FF10" i="49"/>
  <c r="FF11" i="49"/>
  <c r="FF12" i="49"/>
  <c r="FF13" i="49"/>
  <c r="FF14" i="49"/>
  <c r="FF15" i="49"/>
  <c r="FF16" i="49"/>
  <c r="FF17" i="49"/>
  <c r="FF18" i="49"/>
  <c r="FF19" i="49"/>
  <c r="FF20" i="49"/>
  <c r="FF21" i="49"/>
  <c r="FF22" i="49"/>
  <c r="FF23" i="49"/>
  <c r="FF24" i="49"/>
  <c r="FF25" i="49"/>
  <c r="FF26" i="49"/>
  <c r="FF27" i="49"/>
  <c r="FF28" i="49"/>
  <c r="FF29" i="49"/>
  <c r="FF30" i="49"/>
  <c r="FF31" i="49"/>
  <c r="FF32" i="49"/>
  <c r="FF33" i="49"/>
  <c r="FF34" i="49"/>
  <c r="FF35" i="49"/>
  <c r="FF36" i="49"/>
  <c r="FF37" i="49"/>
  <c r="FF38" i="49"/>
  <c r="FF39" i="49"/>
  <c r="FF40" i="49"/>
  <c r="FF41" i="49"/>
  <c r="FF42" i="49"/>
  <c r="FF43" i="49"/>
  <c r="FF44" i="49"/>
  <c r="FF45" i="49"/>
  <c r="FF46" i="49"/>
  <c r="FF47" i="49"/>
  <c r="FF48" i="49"/>
  <c r="FF49" i="49"/>
  <c r="FF50" i="49"/>
  <c r="FF51" i="49"/>
  <c r="FF52" i="49"/>
  <c r="FF53" i="49"/>
  <c r="FF54" i="49"/>
  <c r="FF55" i="49"/>
  <c r="FF56" i="49"/>
  <c r="FF57" i="49"/>
  <c r="FF58" i="49"/>
  <c r="FF59" i="49"/>
  <c r="FF60" i="49"/>
  <c r="FF61" i="49"/>
  <c r="FF62" i="49"/>
  <c r="FF63" i="49"/>
  <c r="FF67" i="49"/>
  <c r="FF71" i="49"/>
  <c r="FF75" i="49"/>
  <c r="FF79" i="49"/>
  <c r="FF83" i="49"/>
  <c r="FF87" i="49"/>
  <c r="FF91" i="49"/>
  <c r="FF95" i="49"/>
  <c r="FF99" i="49"/>
  <c r="FF103" i="49"/>
  <c r="FF107" i="49"/>
  <c r="FF111" i="49"/>
  <c r="FF115" i="49"/>
  <c r="FF119" i="49"/>
  <c r="FF123" i="49"/>
  <c r="FF127" i="49"/>
  <c r="FF131" i="49"/>
  <c r="FF135" i="49"/>
  <c r="FF139" i="49"/>
  <c r="FF143" i="49"/>
  <c r="FF147" i="49"/>
  <c r="FF151" i="49"/>
  <c r="FF155" i="49"/>
  <c r="FF159" i="49"/>
  <c r="FF163" i="49"/>
  <c r="FF167" i="49"/>
  <c r="FF171" i="49"/>
  <c r="FF175" i="49"/>
  <c r="FF179" i="49"/>
  <c r="FF183" i="49"/>
  <c r="FF187" i="49"/>
  <c r="FF191" i="49"/>
  <c r="FF195" i="49"/>
  <c r="FF199" i="49"/>
  <c r="FF72" i="49"/>
  <c r="FF84" i="49"/>
  <c r="FF96" i="49"/>
  <c r="FF108" i="49"/>
  <c r="FF116" i="49"/>
  <c r="FF120" i="49"/>
  <c r="FF132" i="49"/>
  <c r="FF152" i="49"/>
  <c r="FF156" i="49"/>
  <c r="FF172" i="49"/>
  <c r="FF180" i="49"/>
  <c r="FF196" i="49"/>
  <c r="FF66" i="49"/>
  <c r="FF70" i="49"/>
  <c r="FF74" i="49"/>
  <c r="FF78" i="49"/>
  <c r="FF82" i="49"/>
  <c r="FF86" i="49"/>
  <c r="FF90" i="49"/>
  <c r="FF94" i="49"/>
  <c r="FF98" i="49"/>
  <c r="FF102" i="49"/>
  <c r="FF106" i="49"/>
  <c r="FF110" i="49"/>
  <c r="FF114" i="49"/>
  <c r="FF118" i="49"/>
  <c r="FF122" i="49"/>
  <c r="FF126" i="49"/>
  <c r="FF130" i="49"/>
  <c r="FF134" i="49"/>
  <c r="FF138" i="49"/>
  <c r="FF142" i="49"/>
  <c r="FF146" i="49"/>
  <c r="FF150" i="49"/>
  <c r="FF154" i="49"/>
  <c r="FF158" i="49"/>
  <c r="FF162" i="49"/>
  <c r="FF166" i="49"/>
  <c r="FF170" i="49"/>
  <c r="FF174" i="49"/>
  <c r="FF178" i="49"/>
  <c r="FF182" i="49"/>
  <c r="FF186" i="49"/>
  <c r="FF190" i="49"/>
  <c r="FF194" i="49"/>
  <c r="FF198" i="49"/>
  <c r="FF208" i="49"/>
  <c r="FF212" i="49"/>
  <c r="FF216" i="49"/>
  <c r="FF496" i="49"/>
  <c r="FF494" i="49"/>
  <c r="FF493" i="49"/>
  <c r="FF492" i="49"/>
  <c r="FF491" i="49"/>
  <c r="FF490" i="49"/>
  <c r="FF489" i="49"/>
  <c r="FF488" i="49"/>
  <c r="FF487" i="49"/>
  <c r="FF486" i="49"/>
  <c r="FF485" i="49"/>
  <c r="FF484" i="49"/>
  <c r="FF483" i="49"/>
  <c r="FF482" i="49"/>
  <c r="FF481" i="49"/>
  <c r="FF480" i="49"/>
  <c r="FF479" i="49"/>
  <c r="FF478" i="49"/>
  <c r="FF477" i="49"/>
  <c r="FF476" i="49"/>
  <c r="FF475" i="49"/>
  <c r="FF474" i="49"/>
  <c r="FF473" i="49"/>
  <c r="FF472" i="49"/>
  <c r="FF471" i="49"/>
  <c r="FF470" i="49"/>
  <c r="FF469" i="49"/>
  <c r="FF468" i="49"/>
  <c r="FF467" i="49"/>
  <c r="FF466" i="49"/>
  <c r="FF465" i="49"/>
  <c r="FF464" i="49"/>
  <c r="FF463" i="49"/>
  <c r="FF462" i="49"/>
  <c r="FF461" i="49"/>
  <c r="FF460" i="49"/>
  <c r="FF459" i="49"/>
  <c r="FF458" i="49"/>
  <c r="FF457" i="49"/>
  <c r="FF456" i="49"/>
  <c r="FF455" i="49"/>
  <c r="FF454" i="49"/>
  <c r="FF453" i="49"/>
  <c r="FF452" i="49"/>
  <c r="FF451" i="49"/>
  <c r="FF450" i="49"/>
  <c r="FF449" i="49"/>
  <c r="FF448" i="49"/>
  <c r="FF447" i="49"/>
  <c r="FF446" i="49"/>
  <c r="FF445" i="49"/>
  <c r="FF444" i="49"/>
  <c r="FF443" i="49"/>
  <c r="FF442" i="49"/>
  <c r="FF441" i="49"/>
  <c r="FF440" i="49"/>
  <c r="FF438" i="49"/>
  <c r="FF436" i="49"/>
  <c r="FF434" i="49"/>
  <c r="FF432" i="49"/>
  <c r="FF430" i="49"/>
  <c r="FF428" i="49"/>
  <c r="FF426" i="49"/>
  <c r="FF424" i="49"/>
  <c r="FF422" i="49"/>
  <c r="FF420" i="49"/>
  <c r="FF418" i="49"/>
  <c r="FF416" i="49"/>
  <c r="FF414" i="49"/>
  <c r="FF412" i="49"/>
  <c r="FF410" i="49"/>
  <c r="FF408" i="49"/>
  <c r="FF406" i="49"/>
  <c r="FF404" i="49"/>
  <c r="FF402" i="49"/>
  <c r="FF400" i="49"/>
  <c r="FF398" i="49"/>
  <c r="FF396" i="49"/>
  <c r="FF394" i="49"/>
  <c r="FF392" i="49"/>
  <c r="FF390" i="49"/>
  <c r="FF388" i="49"/>
  <c r="FF386" i="49"/>
  <c r="FF439" i="49"/>
  <c r="FF437" i="49"/>
  <c r="FF435" i="49"/>
  <c r="FF433" i="49"/>
  <c r="FF431" i="49"/>
  <c r="FF429" i="49"/>
  <c r="FF427" i="49"/>
  <c r="FF425" i="49"/>
  <c r="FF423" i="49"/>
  <c r="FF421" i="49"/>
  <c r="FF419" i="49"/>
  <c r="FF417" i="49"/>
  <c r="FF415" i="49"/>
  <c r="FF413" i="49"/>
  <c r="FF411" i="49"/>
  <c r="FF409" i="49"/>
  <c r="FF407" i="49"/>
  <c r="FF405" i="49"/>
  <c r="FF403" i="49"/>
  <c r="FF401" i="49"/>
  <c r="FF399" i="49"/>
  <c r="FF397" i="49"/>
  <c r="FF395" i="49"/>
  <c r="FF393" i="49"/>
  <c r="FF391" i="49"/>
  <c r="FF389" i="49"/>
  <c r="FF387" i="49"/>
  <c r="FF373" i="49"/>
  <c r="FF372" i="49"/>
  <c r="FF371" i="49"/>
  <c r="FF370" i="49"/>
  <c r="FF369" i="49"/>
  <c r="FF368" i="49"/>
  <c r="FF367" i="49"/>
  <c r="FF366" i="49"/>
  <c r="FF365" i="49"/>
  <c r="FF364" i="49"/>
  <c r="FF363" i="49"/>
  <c r="FF362" i="49"/>
  <c r="FF361" i="49"/>
  <c r="FF360" i="49"/>
  <c r="FF359" i="49"/>
  <c r="FF358" i="49"/>
  <c r="FF384" i="49"/>
  <c r="FF382" i="49"/>
  <c r="FF380" i="49"/>
  <c r="FF378" i="49"/>
  <c r="FF376" i="49"/>
  <c r="FF374" i="49"/>
  <c r="FF381" i="49"/>
  <c r="FF356" i="49"/>
  <c r="FF355" i="49"/>
  <c r="FF354" i="49"/>
  <c r="FF353" i="49"/>
  <c r="FF352" i="49"/>
  <c r="FF351" i="49"/>
  <c r="FF350" i="49"/>
  <c r="FF349" i="49"/>
  <c r="FF348" i="49"/>
  <c r="FF347" i="49"/>
  <c r="FF346" i="49"/>
  <c r="FF345" i="49"/>
  <c r="FF344" i="49"/>
  <c r="FF343" i="49"/>
  <c r="FF342" i="49"/>
  <c r="FF341" i="49"/>
  <c r="FF340" i="49"/>
  <c r="FF339" i="49"/>
  <c r="FF338" i="49"/>
  <c r="FF337" i="49"/>
  <c r="FF336" i="49"/>
  <c r="FF335" i="49"/>
  <c r="FF334" i="49"/>
  <c r="FF333" i="49"/>
  <c r="FF332" i="49"/>
  <c r="FF331" i="49"/>
  <c r="FF329" i="49"/>
  <c r="FF328" i="49"/>
  <c r="FF327" i="49"/>
  <c r="FF326" i="49"/>
  <c r="FF325" i="49"/>
  <c r="FF324" i="49"/>
  <c r="FF323" i="49"/>
  <c r="FF322" i="49"/>
  <c r="FF321" i="49"/>
  <c r="FF320" i="49"/>
  <c r="FF319" i="49"/>
  <c r="FF318" i="49"/>
  <c r="FF317" i="49"/>
  <c r="FF316" i="49"/>
  <c r="FF315" i="49"/>
  <c r="FF314" i="49"/>
  <c r="FF313" i="49"/>
  <c r="FF312" i="49"/>
  <c r="FF311" i="49"/>
  <c r="FF310" i="49"/>
  <c r="FF309" i="49"/>
  <c r="FF308" i="49"/>
  <c r="FF307" i="49"/>
  <c r="FF306" i="49"/>
  <c r="FF305" i="49"/>
  <c r="FF304" i="49"/>
  <c r="FF303" i="49"/>
  <c r="FF302" i="49"/>
  <c r="FF301" i="49"/>
  <c r="FF300" i="49"/>
  <c r="FF299" i="49"/>
  <c r="FF298" i="49"/>
  <c r="FF297" i="49"/>
  <c r="FF296" i="49"/>
  <c r="FF295" i="49"/>
  <c r="FF294" i="49"/>
  <c r="FF293" i="49"/>
  <c r="FF292" i="49"/>
  <c r="FF291" i="49"/>
  <c r="FF290" i="49"/>
  <c r="FF289" i="49"/>
  <c r="FF383" i="49"/>
  <c r="FF375" i="49"/>
  <c r="FF357" i="49"/>
  <c r="FF385" i="49"/>
  <c r="FF377" i="49"/>
  <c r="FF287" i="49"/>
  <c r="FF283" i="49"/>
  <c r="FF279" i="49"/>
  <c r="FF288" i="49"/>
  <c r="FF284" i="49"/>
  <c r="FF280" i="49"/>
  <c r="FF276" i="49"/>
  <c r="FF275" i="49"/>
  <c r="FF274" i="49"/>
  <c r="FF273" i="49"/>
  <c r="FF272" i="49"/>
  <c r="FF271" i="49"/>
  <c r="FF270" i="49"/>
  <c r="FF269" i="49"/>
  <c r="FF268" i="49"/>
  <c r="FF267" i="49"/>
  <c r="FF266" i="49"/>
  <c r="FF265" i="49"/>
  <c r="FF264" i="49"/>
  <c r="FF263" i="49"/>
  <c r="FF262" i="49"/>
  <c r="FF261" i="49"/>
  <c r="FF260" i="49"/>
  <c r="FF259" i="49"/>
  <c r="FF258" i="49"/>
  <c r="FF257" i="49"/>
  <c r="FF256" i="49"/>
  <c r="FF255" i="49"/>
  <c r="FF254" i="49"/>
  <c r="FF253" i="49"/>
  <c r="FF252" i="49"/>
  <c r="FF251" i="49"/>
  <c r="FF250" i="49"/>
  <c r="FF249" i="49"/>
  <c r="FF248" i="49"/>
  <c r="FF247" i="49"/>
  <c r="FF246" i="49"/>
  <c r="FF245" i="49"/>
  <c r="FF244" i="49"/>
  <c r="FF243" i="49"/>
  <c r="FF242" i="49"/>
  <c r="FF241" i="49"/>
  <c r="FF240" i="49"/>
  <c r="FF239" i="49"/>
  <c r="FF238" i="49"/>
  <c r="FF237" i="49"/>
  <c r="FF236" i="49"/>
  <c r="FF235" i="49"/>
  <c r="FF234" i="49"/>
  <c r="FF233" i="49"/>
  <c r="FF232" i="49"/>
  <c r="FF231" i="49"/>
  <c r="FF230" i="49"/>
  <c r="FF229" i="49"/>
  <c r="FF228" i="49"/>
  <c r="FF227" i="49"/>
  <c r="FF226" i="49"/>
  <c r="FF225" i="49"/>
  <c r="FF224" i="49"/>
  <c r="FF223" i="49"/>
  <c r="FF222" i="49"/>
  <c r="FF221" i="49"/>
  <c r="FF220" i="49"/>
  <c r="FF219" i="49"/>
  <c r="FF285" i="49"/>
  <c r="FF281" i="49"/>
  <c r="FF277" i="49"/>
  <c r="FF215" i="49"/>
  <c r="FF211" i="49"/>
  <c r="FF207" i="49"/>
  <c r="FF201" i="49"/>
  <c r="FF286" i="49"/>
  <c r="FF278" i="49"/>
  <c r="FF218" i="49"/>
  <c r="FF214" i="49"/>
  <c r="FF210" i="49"/>
  <c r="FF206" i="49"/>
  <c r="FF202" i="49"/>
  <c r="FF379" i="49"/>
  <c r="FF217" i="49"/>
  <c r="FF213" i="49"/>
  <c r="FF209" i="49"/>
  <c r="FF205" i="49"/>
  <c r="FF64" i="49"/>
  <c r="FF68" i="49"/>
  <c r="FF76" i="49"/>
  <c r="FF88" i="49"/>
  <c r="FF100" i="49"/>
  <c r="FF112" i="49"/>
  <c r="FF124" i="49"/>
  <c r="FF136" i="49"/>
  <c r="FF144" i="49"/>
  <c r="FF160" i="49"/>
  <c r="FF168" i="49"/>
  <c r="FF184" i="49"/>
  <c r="FF200" i="49"/>
  <c r="FF65" i="49"/>
  <c r="FF69" i="49"/>
  <c r="FF73" i="49"/>
  <c r="FF77" i="49"/>
  <c r="FF81" i="49"/>
  <c r="FF85" i="49"/>
  <c r="FF89" i="49"/>
  <c r="FF93" i="49"/>
  <c r="FF97" i="49"/>
  <c r="FF101" i="49"/>
  <c r="FF105" i="49"/>
  <c r="FF109" i="49"/>
  <c r="FF113" i="49"/>
  <c r="FF117" i="49"/>
  <c r="FF121" i="49"/>
  <c r="FF125" i="49"/>
  <c r="FF129" i="49"/>
  <c r="FF133" i="49"/>
  <c r="FF137" i="49"/>
  <c r="FF141" i="49"/>
  <c r="FF145" i="49"/>
  <c r="FF149" i="49"/>
  <c r="FF153" i="49"/>
  <c r="FF157" i="49"/>
  <c r="FF161" i="49"/>
  <c r="FF165" i="49"/>
  <c r="FF169" i="49"/>
  <c r="FF173" i="49"/>
  <c r="FF177" i="49"/>
  <c r="FF181" i="49"/>
  <c r="FF185" i="49"/>
  <c r="FF189" i="49"/>
  <c r="FF193" i="49"/>
  <c r="FF197" i="49"/>
  <c r="FC500" i="49"/>
  <c r="AZ498" i="49"/>
  <c r="H500" i="49"/>
  <c r="G500" i="49"/>
  <c r="D500" i="49"/>
  <c r="E500" i="49"/>
  <c r="F500" i="49"/>
  <c r="FC495" i="49"/>
  <c r="CT498" i="49"/>
  <c r="CU498" i="49"/>
  <c r="AC498" i="49"/>
  <c r="BW498" i="49"/>
  <c r="U569" i="46"/>
  <c r="V569" i="46"/>
  <c r="Y569" i="46"/>
  <c r="X569" i="46"/>
  <c r="U497" i="46"/>
  <c r="U44" i="46"/>
  <c r="V571" i="46"/>
  <c r="X460" i="46"/>
  <c r="V217" i="46"/>
  <c r="W257" i="46"/>
  <c r="X286" i="46"/>
  <c r="W324" i="46"/>
  <c r="V324" i="46"/>
  <c r="U204" i="46"/>
  <c r="X204" i="46"/>
  <c r="W204" i="46"/>
  <c r="P462" i="46"/>
  <c r="O462" i="46"/>
  <c r="R462" i="46"/>
  <c r="P449" i="46"/>
  <c r="O449" i="46"/>
  <c r="R449" i="46"/>
  <c r="P445" i="46"/>
  <c r="O445" i="46"/>
  <c r="R445" i="46"/>
  <c r="P433" i="46"/>
  <c r="O433" i="46"/>
  <c r="R433" i="46"/>
  <c r="P426" i="46"/>
  <c r="O426" i="46"/>
  <c r="R426" i="46"/>
  <c r="B335" i="46"/>
  <c r="P335" i="46"/>
  <c r="P328" i="46"/>
  <c r="O328" i="46"/>
  <c r="R328" i="46"/>
  <c r="P64" i="46"/>
  <c r="B64" i="46"/>
  <c r="Y77" i="46"/>
  <c r="I77" i="46"/>
  <c r="J77" i="46"/>
  <c r="B109" i="46"/>
  <c r="P109" i="46"/>
  <c r="B113" i="46"/>
  <c r="P113" i="46"/>
  <c r="P117" i="46"/>
  <c r="B388" i="46"/>
  <c r="P388" i="46"/>
  <c r="P392" i="46"/>
  <c r="P396" i="46"/>
  <c r="P399" i="46"/>
  <c r="P403" i="46"/>
  <c r="B392" i="46"/>
  <c r="B396" i="46"/>
  <c r="B409" i="46"/>
  <c r="P409" i="46"/>
  <c r="B413" i="46"/>
  <c r="P413" i="46"/>
  <c r="P417" i="46"/>
  <c r="P424" i="46"/>
  <c r="P425" i="46"/>
  <c r="P428" i="46"/>
  <c r="P431" i="46"/>
  <c r="P439" i="46"/>
  <c r="P447" i="46"/>
  <c r="P455" i="46"/>
  <c r="P465" i="46"/>
  <c r="B417" i="46"/>
  <c r="B470" i="46"/>
  <c r="P470" i="46"/>
  <c r="P474" i="46"/>
  <c r="P478" i="46"/>
  <c r="P486" i="46"/>
  <c r="P488" i="46"/>
  <c r="P490" i="46"/>
  <c r="P494" i="46"/>
  <c r="P497" i="46"/>
  <c r="P500" i="46"/>
  <c r="B474" i="46"/>
  <c r="B478" i="46"/>
  <c r="BU61" i="46"/>
  <c r="AE61" i="46"/>
  <c r="BV61" i="46"/>
  <c r="BV175" i="46"/>
  <c r="AD175" i="46"/>
  <c r="BU175" i="46"/>
  <c r="AE175" i="46"/>
  <c r="BL43" i="46"/>
  <c r="CB21" i="46"/>
  <c r="CB70" i="46"/>
  <c r="CB99" i="46"/>
  <c r="CB119" i="46"/>
  <c r="Y460" i="46"/>
  <c r="Y441" i="46"/>
  <c r="Y290" i="46"/>
  <c r="U94" i="46"/>
  <c r="U496" i="46"/>
  <c r="B400" i="46"/>
  <c r="B462" i="46"/>
  <c r="B457" i="46"/>
  <c r="U457" i="46"/>
  <c r="BF29" i="46"/>
  <c r="BL29" i="46"/>
  <c r="V331" i="46"/>
  <c r="V204" i="46"/>
  <c r="W274" i="46"/>
  <c r="W212" i="46"/>
  <c r="X330" i="46"/>
  <c r="X272" i="46"/>
  <c r="U272" i="46"/>
  <c r="W219" i="46"/>
  <c r="V219" i="46"/>
  <c r="O453" i="46"/>
  <c r="R453" i="46"/>
  <c r="O437" i="46"/>
  <c r="R437" i="46"/>
  <c r="O400" i="46"/>
  <c r="R400" i="46"/>
  <c r="R321" i="46"/>
  <c r="P88" i="46"/>
  <c r="P77" i="46"/>
  <c r="O62" i="46"/>
  <c r="R62" i="46"/>
  <c r="P62" i="46"/>
  <c r="P45" i="46"/>
  <c r="O45" i="46"/>
  <c r="R45" i="46"/>
  <c r="B10" i="46"/>
  <c r="P10" i="46"/>
  <c r="B14" i="46"/>
  <c r="Y14" i="46"/>
  <c r="P14" i="46"/>
  <c r="B74" i="46"/>
  <c r="P74" i="46"/>
  <c r="H479" i="46"/>
  <c r="N479" i="46"/>
  <c r="AD61" i="46"/>
  <c r="B548" i="46"/>
  <c r="BL397" i="46"/>
  <c r="Y540" i="46"/>
  <c r="Y459" i="46"/>
  <c r="Y440" i="46"/>
  <c r="Y427" i="46"/>
  <c r="Y380" i="46"/>
  <c r="Y265" i="46"/>
  <c r="Y261" i="46"/>
  <c r="Y257" i="46"/>
  <c r="Y253" i="46"/>
  <c r="Y212" i="46"/>
  <c r="BE97" i="46"/>
  <c r="U93" i="46"/>
  <c r="U571" i="46"/>
  <c r="U63" i="46"/>
  <c r="W572" i="46"/>
  <c r="BL437" i="46"/>
  <c r="BL442" i="46"/>
  <c r="BL433" i="46"/>
  <c r="BL421" i="46"/>
  <c r="BM421" i="46"/>
  <c r="BL390" i="46"/>
  <c r="BL312" i="46"/>
  <c r="BL239" i="46"/>
  <c r="BL304" i="46"/>
  <c r="BL243" i="46"/>
  <c r="BL224" i="46"/>
  <c r="BL216" i="46"/>
  <c r="BL258" i="46"/>
  <c r="B493" i="46"/>
  <c r="V451" i="46"/>
  <c r="V435" i="46"/>
  <c r="V426" i="46"/>
  <c r="W435" i="46"/>
  <c r="W426" i="46"/>
  <c r="X453" i="46"/>
  <c r="X435" i="46"/>
  <c r="X426" i="46"/>
  <c r="B449" i="46"/>
  <c r="B437" i="46"/>
  <c r="B433" i="46"/>
  <c r="BL342" i="46"/>
  <c r="BL152" i="46"/>
  <c r="BL131" i="46"/>
  <c r="V93" i="46"/>
  <c r="BL58" i="46"/>
  <c r="V63" i="46"/>
  <c r="X63" i="46"/>
  <c r="BL46" i="46"/>
  <c r="BL23" i="46"/>
  <c r="V330" i="46"/>
  <c r="V290" i="46"/>
  <c r="V253" i="46"/>
  <c r="W289" i="46"/>
  <c r="X348" i="46"/>
  <c r="X324" i="46"/>
  <c r="X340" i="46"/>
  <c r="U340" i="46"/>
  <c r="U332" i="46"/>
  <c r="X332" i="46"/>
  <c r="V332" i="46"/>
  <c r="U282" i="46"/>
  <c r="V282" i="46"/>
  <c r="U278" i="46"/>
  <c r="V278" i="46"/>
  <c r="O335" i="46"/>
  <c r="R335" i="46"/>
  <c r="P344" i="46"/>
  <c r="B344" i="46"/>
  <c r="U344" i="46"/>
  <c r="O344" i="46"/>
  <c r="R344" i="46"/>
  <c r="P23" i="46"/>
  <c r="B23" i="46"/>
  <c r="Y23" i="46"/>
  <c r="B54" i="46"/>
  <c r="P54" i="46"/>
  <c r="V44" i="46"/>
  <c r="X44" i="46"/>
  <c r="W44" i="46"/>
  <c r="U270" i="46"/>
  <c r="V270" i="46"/>
  <c r="P325" i="46"/>
  <c r="B325" i="46"/>
  <c r="P47" i="46"/>
  <c r="O47" i="46"/>
  <c r="R47" i="46"/>
  <c r="W33" i="46"/>
  <c r="J33" i="46"/>
  <c r="V12" i="46"/>
  <c r="H12" i="46"/>
  <c r="F12" i="46"/>
  <c r="G12" i="46"/>
  <c r="B59" i="46"/>
  <c r="P59" i="46"/>
  <c r="V72" i="46"/>
  <c r="N72" i="46"/>
  <c r="G72" i="46"/>
  <c r="V481" i="46"/>
  <c r="G481" i="46"/>
  <c r="J481" i="46"/>
  <c r="J484" i="46"/>
  <c r="H484" i="46"/>
  <c r="L508" i="46"/>
  <c r="N508" i="46"/>
  <c r="W519" i="46"/>
  <c r="AB519" i="46"/>
  <c r="F519" i="46"/>
  <c r="N519" i="46"/>
  <c r="J519" i="46"/>
  <c r="G519" i="46"/>
  <c r="B523" i="46"/>
  <c r="W523" i="46"/>
  <c r="P523" i="46"/>
  <c r="B527" i="46"/>
  <c r="L527" i="46"/>
  <c r="P527" i="46"/>
  <c r="B531" i="46"/>
  <c r="W531" i="46"/>
  <c r="P531" i="46"/>
  <c r="F535" i="46"/>
  <c r="N535" i="46"/>
  <c r="B560" i="46"/>
  <c r="P560" i="46"/>
  <c r="B564" i="46"/>
  <c r="P564" i="46"/>
  <c r="B568" i="46"/>
  <c r="P568" i="46"/>
  <c r="P343" i="46"/>
  <c r="G87" i="46"/>
  <c r="I13" i="46"/>
  <c r="B15" i="46"/>
  <c r="L15" i="46"/>
  <c r="B53" i="46"/>
  <c r="L53" i="46"/>
  <c r="K60" i="46"/>
  <c r="BV79" i="46"/>
  <c r="AF79" i="46"/>
  <c r="L13" i="46"/>
  <c r="BF22" i="46"/>
  <c r="BL22" i="46"/>
  <c r="BF24" i="46"/>
  <c r="BL24" i="46"/>
  <c r="X46" i="46"/>
  <c r="V46" i="46"/>
  <c r="U290" i="46"/>
  <c r="W290" i="46"/>
  <c r="U286" i="46"/>
  <c r="W286" i="46"/>
  <c r="X267" i="46"/>
  <c r="U267" i="46"/>
  <c r="X263" i="46"/>
  <c r="U263" i="46"/>
  <c r="X259" i="46"/>
  <c r="U259" i="46"/>
  <c r="X255" i="46"/>
  <c r="U255" i="46"/>
  <c r="X219" i="46"/>
  <c r="U219" i="46"/>
  <c r="X215" i="46"/>
  <c r="U215" i="46"/>
  <c r="O572" i="46"/>
  <c r="R572" i="46"/>
  <c r="P572" i="46"/>
  <c r="O497" i="46"/>
  <c r="R497" i="46"/>
  <c r="O106" i="46"/>
  <c r="BE403" i="46"/>
  <c r="CB175" i="46"/>
  <c r="BL569" i="46"/>
  <c r="BL510" i="46"/>
  <c r="BL503" i="46"/>
  <c r="BL506" i="46"/>
  <c r="BL487" i="46"/>
  <c r="BL435" i="46"/>
  <c r="BL211" i="46"/>
  <c r="BL392" i="46"/>
  <c r="BL388" i="46"/>
  <c r="BL395" i="46"/>
  <c r="BL396" i="46"/>
  <c r="BL391" i="46"/>
  <c r="BL370" i="46"/>
  <c r="BL286" i="46"/>
  <c r="BL280" i="46"/>
  <c r="BL311" i="46"/>
  <c r="BL316" i="46"/>
  <c r="BL306" i="46"/>
  <c r="BL208" i="46"/>
  <c r="BL238" i="46"/>
  <c r="BL178" i="46"/>
  <c r="BL277" i="46"/>
  <c r="BL210" i="46"/>
  <c r="BL254" i="46"/>
  <c r="BL263" i="46"/>
  <c r="BL265" i="46"/>
  <c r="BL241" i="46"/>
  <c r="BL235" i="46"/>
  <c r="V489" i="46"/>
  <c r="W491" i="46"/>
  <c r="X496" i="46"/>
  <c r="X493" i="46"/>
  <c r="X491" i="46"/>
  <c r="V453" i="46"/>
  <c r="W462" i="46"/>
  <c r="X444" i="46"/>
  <c r="BL227" i="46"/>
  <c r="BL156" i="46"/>
  <c r="BL159" i="46"/>
  <c r="BL158" i="46"/>
  <c r="BL150" i="46"/>
  <c r="BL120" i="46"/>
  <c r="BF54" i="46"/>
  <c r="BL54" i="46"/>
  <c r="BL45" i="46"/>
  <c r="BL27" i="46"/>
  <c r="BF33" i="46"/>
  <c r="BL33" i="46"/>
  <c r="BL38" i="46"/>
  <c r="W46" i="46"/>
  <c r="V326" i="46"/>
  <c r="V286" i="46"/>
  <c r="X342" i="46"/>
  <c r="U342" i="46"/>
  <c r="V342" i="46"/>
  <c r="U289" i="46"/>
  <c r="X289" i="46"/>
  <c r="U285" i="46"/>
  <c r="X285" i="46"/>
  <c r="X274" i="46"/>
  <c r="U274" i="46"/>
  <c r="U266" i="46"/>
  <c r="W266" i="46"/>
  <c r="V266" i="46"/>
  <c r="U262" i="46"/>
  <c r="W262" i="46"/>
  <c r="V262" i="46"/>
  <c r="U258" i="46"/>
  <c r="W258" i="46"/>
  <c r="V258" i="46"/>
  <c r="U254" i="46"/>
  <c r="W254" i="46"/>
  <c r="V254" i="46"/>
  <c r="U218" i="46"/>
  <c r="W218" i="46"/>
  <c r="V218" i="46"/>
  <c r="U214" i="46"/>
  <c r="W214" i="46"/>
  <c r="V214" i="46"/>
  <c r="O425" i="46"/>
  <c r="R425" i="46"/>
  <c r="AV582" i="46"/>
  <c r="V462" i="46"/>
  <c r="BF57" i="46"/>
  <c r="BL57" i="46"/>
  <c r="BF41" i="46"/>
  <c r="BL41" i="46"/>
  <c r="BF36" i="46"/>
  <c r="BL36" i="46"/>
  <c r="U288" i="46"/>
  <c r="V288" i="46"/>
  <c r="X280" i="46"/>
  <c r="U280" i="46"/>
  <c r="U265" i="46"/>
  <c r="X265" i="46"/>
  <c r="U261" i="46"/>
  <c r="X261" i="46"/>
  <c r="U257" i="46"/>
  <c r="X257" i="46"/>
  <c r="U253" i="46"/>
  <c r="X253" i="46"/>
  <c r="U217" i="46"/>
  <c r="X217" i="46"/>
  <c r="U212" i="46"/>
  <c r="X212" i="46"/>
  <c r="X202" i="46"/>
  <c r="U202" i="46"/>
  <c r="O488" i="46"/>
  <c r="R488" i="46"/>
  <c r="O455" i="46"/>
  <c r="R455" i="46"/>
  <c r="O447" i="46"/>
  <c r="R447" i="46"/>
  <c r="O439" i="46"/>
  <c r="R439" i="46"/>
  <c r="O431" i="46"/>
  <c r="R431" i="46"/>
  <c r="BL109" i="46"/>
  <c r="BL505" i="46"/>
  <c r="BL504" i="46"/>
  <c r="BL507" i="46"/>
  <c r="BL427" i="46"/>
  <c r="BL443" i="46"/>
  <c r="BL398" i="46"/>
  <c r="BL393" i="46"/>
  <c r="BL394" i="46"/>
  <c r="BL387" i="46"/>
  <c r="BL389" i="46"/>
  <c r="BL386" i="46"/>
  <c r="BL374" i="46"/>
  <c r="BL278" i="46"/>
  <c r="BL197" i="46"/>
  <c r="BL219" i="46"/>
  <c r="BL183" i="46"/>
  <c r="BL345" i="46"/>
  <c r="BL333" i="46"/>
  <c r="BL314" i="46"/>
  <c r="BL288" i="46"/>
  <c r="BL176" i="46"/>
  <c r="BL259" i="46"/>
  <c r="BL257" i="46"/>
  <c r="BL186" i="46"/>
  <c r="BL196" i="46"/>
  <c r="V494" i="46"/>
  <c r="W496" i="46"/>
  <c r="X497" i="46"/>
  <c r="X494" i="46"/>
  <c r="X492" i="46"/>
  <c r="X489" i="46"/>
  <c r="X486" i="46"/>
  <c r="V460" i="46"/>
  <c r="V449" i="46"/>
  <c r="W453" i="46"/>
  <c r="X462" i="46"/>
  <c r="X451" i="46"/>
  <c r="BL215" i="46"/>
  <c r="BL151" i="46"/>
  <c r="BL124" i="46"/>
  <c r="BL160" i="46"/>
  <c r="BL148" i="46"/>
  <c r="BL91" i="46"/>
  <c r="W94" i="46"/>
  <c r="BL65" i="46"/>
  <c r="BF60" i="46"/>
  <c r="BL60" i="46"/>
  <c r="BM60" i="46"/>
  <c r="BL55" i="46"/>
  <c r="BF42" i="46"/>
  <c r="BL42" i="46"/>
  <c r="BL40" i="46"/>
  <c r="BF37" i="46"/>
  <c r="BL37" i="46"/>
  <c r="V265" i="46"/>
  <c r="V255" i="46"/>
  <c r="W342" i="46"/>
  <c r="W261" i="46"/>
  <c r="X326" i="46"/>
  <c r="X288" i="46"/>
  <c r="U291" i="46"/>
  <c r="X291" i="46"/>
  <c r="U287" i="46"/>
  <c r="X287" i="46"/>
  <c r="U264" i="46"/>
  <c r="W264" i="46"/>
  <c r="U260" i="46"/>
  <c r="W260" i="46"/>
  <c r="U256" i="46"/>
  <c r="W256" i="46"/>
  <c r="U220" i="46"/>
  <c r="W220" i="46"/>
  <c r="U216" i="46"/>
  <c r="W216" i="46"/>
  <c r="U208" i="46"/>
  <c r="W208" i="46"/>
  <c r="O494" i="46"/>
  <c r="R494" i="46"/>
  <c r="Y470" i="46"/>
  <c r="H470" i="46"/>
  <c r="F470" i="46"/>
  <c r="J470" i="46"/>
  <c r="Y478" i="46"/>
  <c r="J478" i="46"/>
  <c r="N478" i="46"/>
  <c r="H478" i="46"/>
  <c r="F478" i="46"/>
  <c r="L504" i="46"/>
  <c r="J504" i="46"/>
  <c r="G504" i="46"/>
  <c r="N504" i="46"/>
  <c r="AL422" i="46"/>
  <c r="V347" i="46"/>
  <c r="R49" i="46"/>
  <c r="P345" i="46"/>
  <c r="P337" i="46"/>
  <c r="P329" i="46"/>
  <c r="P75" i="49"/>
  <c r="AB75" i="49"/>
  <c r="P454" i="49"/>
  <c r="P360" i="49"/>
  <c r="AB360" i="49"/>
  <c r="P455" i="49"/>
  <c r="AB455" i="49"/>
  <c r="P29" i="49"/>
  <c r="AB29" i="49"/>
  <c r="P449" i="49"/>
  <c r="AB449" i="49"/>
  <c r="P69" i="49"/>
  <c r="AB69" i="49"/>
  <c r="W75" i="46"/>
  <c r="I75" i="46"/>
  <c r="L516" i="46"/>
  <c r="J516" i="46"/>
  <c r="H516" i="46"/>
  <c r="G516" i="46"/>
  <c r="N516" i="46"/>
  <c r="J528" i="46"/>
  <c r="G528" i="46"/>
  <c r="N528" i="46"/>
  <c r="H528" i="46"/>
  <c r="Y31" i="46"/>
  <c r="J31" i="46"/>
  <c r="H31" i="46"/>
  <c r="V8" i="46"/>
  <c r="G8" i="46"/>
  <c r="N86" i="46"/>
  <c r="L86" i="46"/>
  <c r="W468" i="46"/>
  <c r="F468" i="46"/>
  <c r="J468" i="46"/>
  <c r="H468" i="46"/>
  <c r="V506" i="46"/>
  <c r="L506" i="46"/>
  <c r="J506" i="46"/>
  <c r="H506" i="46"/>
  <c r="G506" i="46"/>
  <c r="N506" i="46"/>
  <c r="I506" i="46"/>
  <c r="G525" i="46"/>
  <c r="N525" i="46"/>
  <c r="P578" i="46"/>
  <c r="P341" i="46"/>
  <c r="Y73" i="46"/>
  <c r="I73" i="46"/>
  <c r="L73" i="46"/>
  <c r="V473" i="46"/>
  <c r="I473" i="46"/>
  <c r="G473" i="46"/>
  <c r="L473" i="46"/>
  <c r="N473" i="46"/>
  <c r="Y503" i="46"/>
  <c r="H503" i="46"/>
  <c r="N503" i="46"/>
  <c r="G503" i="46"/>
  <c r="P8" i="46"/>
  <c r="P7" i="46"/>
  <c r="P19" i="46"/>
  <c r="J23" i="46"/>
  <c r="F72" i="46"/>
  <c r="H481" i="46"/>
  <c r="G508" i="46"/>
  <c r="J508" i="46"/>
  <c r="F522" i="46"/>
  <c r="G518" i="46"/>
  <c r="H518" i="46"/>
  <c r="J518" i="46"/>
  <c r="P31" i="46"/>
  <c r="B37" i="46"/>
  <c r="B25" i="46"/>
  <c r="K92" i="46"/>
  <c r="AR573" i="46"/>
  <c r="AR422" i="46"/>
  <c r="AR79" i="46"/>
  <c r="G6" i="46"/>
  <c r="H23" i="46"/>
  <c r="BW509" i="46"/>
  <c r="AG509" i="46"/>
  <c r="P73" i="46"/>
  <c r="P76" i="46"/>
  <c r="P78" i="46"/>
  <c r="P80" i="46"/>
  <c r="P83" i="46"/>
  <c r="G14" i="46"/>
  <c r="H33" i="46"/>
  <c r="F56" i="46"/>
  <c r="G56" i="46"/>
  <c r="F481" i="46"/>
  <c r="L481" i="46"/>
  <c r="H522" i="46"/>
  <c r="K61" i="46"/>
  <c r="K175" i="46"/>
  <c r="I481" i="46"/>
  <c r="W318" i="46"/>
  <c r="U318" i="46"/>
  <c r="P318" i="46"/>
  <c r="AR397" i="46"/>
  <c r="AR401" i="46"/>
  <c r="AR511" i="46"/>
  <c r="AR555" i="46"/>
  <c r="AR95" i="46"/>
  <c r="Y379" i="46"/>
  <c r="BF315" i="46"/>
  <c r="BL315" i="46"/>
  <c r="BF291" i="46"/>
  <c r="BL291" i="46"/>
  <c r="BF273" i="46"/>
  <c r="BL273" i="46"/>
  <c r="BE557" i="46"/>
  <c r="BF422" i="46"/>
  <c r="BL422" i="46"/>
  <c r="BF61" i="46"/>
  <c r="BL61" i="46"/>
  <c r="BF453" i="46"/>
  <c r="BL453" i="46"/>
  <c r="BF414" i="46"/>
  <c r="BL414" i="46"/>
  <c r="BF411" i="46"/>
  <c r="BL411" i="46"/>
  <c r="BF416" i="46"/>
  <c r="BL416" i="46"/>
  <c r="BF378" i="46"/>
  <c r="BL378" i="46"/>
  <c r="BF185" i="46"/>
  <c r="BL185" i="46"/>
  <c r="BF234" i="46"/>
  <c r="BL234" i="46"/>
  <c r="BF247" i="46"/>
  <c r="BL247" i="46"/>
  <c r="W547" i="46"/>
  <c r="Y547" i="46"/>
  <c r="U547" i="46"/>
  <c r="BF287" i="46"/>
  <c r="BL287" i="46"/>
  <c r="BF530" i="46"/>
  <c r="BL530" i="46"/>
  <c r="BF525" i="46"/>
  <c r="BL525" i="46"/>
  <c r="BF536" i="46"/>
  <c r="BL536" i="46"/>
  <c r="BF521" i="46"/>
  <c r="BL521" i="46"/>
  <c r="BF526" i="46"/>
  <c r="BL526" i="46"/>
  <c r="BF470" i="46"/>
  <c r="BL470" i="46"/>
  <c r="BF477" i="46"/>
  <c r="BL477" i="46"/>
  <c r="BF480" i="46"/>
  <c r="BL480" i="46"/>
  <c r="BF471" i="46"/>
  <c r="BL471" i="46"/>
  <c r="BF428" i="46"/>
  <c r="BL428" i="46"/>
  <c r="BF367" i="46"/>
  <c r="BL367" i="46"/>
  <c r="W542" i="46"/>
  <c r="U542" i="46"/>
  <c r="Y542" i="46"/>
  <c r="BF572" i="46"/>
  <c r="BL572" i="46"/>
  <c r="BF549" i="46"/>
  <c r="BL549" i="46"/>
  <c r="BF524" i="46"/>
  <c r="BL524" i="46"/>
  <c r="BF520" i="46"/>
  <c r="BL520" i="46"/>
  <c r="BF533" i="46"/>
  <c r="BL533" i="46"/>
  <c r="BF531" i="46"/>
  <c r="BL531" i="46"/>
  <c r="BF489" i="46"/>
  <c r="BL489" i="46"/>
  <c r="BF468" i="46"/>
  <c r="BL468" i="46"/>
  <c r="BF474" i="46"/>
  <c r="BL474" i="46"/>
  <c r="BF481" i="46"/>
  <c r="BL481" i="46"/>
  <c r="BF469" i="46"/>
  <c r="BL469" i="46"/>
  <c r="BF446" i="46"/>
  <c r="BL446" i="46"/>
  <c r="BF192" i="46"/>
  <c r="BL192" i="46"/>
  <c r="BF282" i="46"/>
  <c r="BL282" i="46"/>
  <c r="BF240" i="46"/>
  <c r="BL240" i="46"/>
  <c r="BF214" i="46"/>
  <c r="BL214" i="46"/>
  <c r="W554" i="46"/>
  <c r="U554" i="46"/>
  <c r="Y554" i="46"/>
  <c r="BF550" i="46"/>
  <c r="BL550" i="46"/>
  <c r="BF482" i="46"/>
  <c r="BL482" i="46"/>
  <c r="BF110" i="46"/>
  <c r="BF117" i="46"/>
  <c r="BL110" i="46"/>
  <c r="BE117" i="46"/>
  <c r="BF430" i="46"/>
  <c r="BL430" i="46"/>
  <c r="BF406" i="46"/>
  <c r="BL406" i="46"/>
  <c r="BF412" i="46"/>
  <c r="BL412" i="46"/>
  <c r="BF417" i="46"/>
  <c r="BL417" i="46"/>
  <c r="BF364" i="46"/>
  <c r="BL364" i="46"/>
  <c r="Y376" i="46"/>
  <c r="BF281" i="46"/>
  <c r="BL281" i="46"/>
  <c r="BF191" i="46"/>
  <c r="BL191" i="46"/>
  <c r="BF226" i="46"/>
  <c r="BL226" i="46"/>
  <c r="O424" i="46"/>
  <c r="R424" i="46"/>
  <c r="O428" i="46"/>
  <c r="R428" i="46"/>
  <c r="O430" i="46"/>
  <c r="R430" i="46"/>
  <c r="O434" i="46"/>
  <c r="R434" i="46"/>
  <c r="O438" i="46"/>
  <c r="R438" i="46"/>
  <c r="O442" i="46"/>
  <c r="R442" i="46"/>
  <c r="O446" i="46"/>
  <c r="R446" i="46"/>
  <c r="O450" i="46"/>
  <c r="R450" i="46"/>
  <c r="O454" i="46"/>
  <c r="R454" i="46"/>
  <c r="O458" i="46"/>
  <c r="R458" i="46"/>
  <c r="R464" i="46"/>
  <c r="W11" i="46"/>
  <c r="I11" i="46"/>
  <c r="J11" i="46"/>
  <c r="L11" i="46"/>
  <c r="X15" i="46"/>
  <c r="I15" i="46"/>
  <c r="N15" i="46"/>
  <c r="J15" i="46"/>
  <c r="X53" i="46"/>
  <c r="N53" i="46"/>
  <c r="J53" i="46"/>
  <c r="V55" i="46"/>
  <c r="N55" i="46"/>
  <c r="L55" i="46"/>
  <c r="X57" i="46"/>
  <c r="J57" i="46"/>
  <c r="L57" i="46"/>
  <c r="B78" i="46"/>
  <c r="AF43" i="46"/>
  <c r="BW43" i="46"/>
  <c r="AG43" i="46"/>
  <c r="V47" i="46"/>
  <c r="B303" i="46"/>
  <c r="O578" i="46"/>
  <c r="O117" i="46"/>
  <c r="O19" i="46"/>
  <c r="CB51" i="46"/>
  <c r="CB107" i="46"/>
  <c r="Y331" i="46"/>
  <c r="Y325" i="46"/>
  <c r="Y278" i="46"/>
  <c r="Y270" i="46"/>
  <c r="Y45" i="46"/>
  <c r="BE19" i="46"/>
  <c r="BE383" i="46"/>
  <c r="CB43" i="46"/>
  <c r="U45" i="46"/>
  <c r="BL545" i="46"/>
  <c r="BL532" i="46"/>
  <c r="BL516" i="46"/>
  <c r="BL527" i="46"/>
  <c r="BL522" i="46"/>
  <c r="BL537" i="46"/>
  <c r="BM537" i="46"/>
  <c r="BL528" i="46"/>
  <c r="BL523" i="46"/>
  <c r="BL535" i="46"/>
  <c r="BL529" i="46"/>
  <c r="BL488" i="46"/>
  <c r="BL478" i="46"/>
  <c r="BL472" i="46"/>
  <c r="BL476" i="46"/>
  <c r="BL485" i="46"/>
  <c r="BL473" i="46"/>
  <c r="BL479" i="46"/>
  <c r="BL483" i="46"/>
  <c r="BL475" i="46"/>
  <c r="BL432" i="46"/>
  <c r="BL462" i="46"/>
  <c r="BL455" i="46"/>
  <c r="BL420" i="46"/>
  <c r="BM420" i="46"/>
  <c r="BL410" i="46"/>
  <c r="BL415" i="46"/>
  <c r="BL407" i="46"/>
  <c r="BL418" i="46"/>
  <c r="BL413" i="46"/>
  <c r="BL419" i="46"/>
  <c r="B546" i="46"/>
  <c r="B490" i="46"/>
  <c r="B446" i="46"/>
  <c r="B442" i="46"/>
  <c r="V62" i="46"/>
  <c r="W45" i="46"/>
  <c r="W331" i="46"/>
  <c r="W325" i="46"/>
  <c r="W278" i="46"/>
  <c r="W270" i="46"/>
  <c r="X331" i="46"/>
  <c r="X325" i="46"/>
  <c r="X278" i="46"/>
  <c r="X270" i="46"/>
  <c r="O570" i="46"/>
  <c r="R570" i="46"/>
  <c r="O487" i="46"/>
  <c r="R487" i="46"/>
  <c r="N57" i="46"/>
  <c r="Y9" i="46"/>
  <c r="I9" i="46"/>
  <c r="N9" i="46"/>
  <c r="L9" i="46"/>
  <c r="B76" i="46"/>
  <c r="W76" i="46"/>
  <c r="V532" i="46"/>
  <c r="F532" i="46"/>
  <c r="I532" i="46"/>
  <c r="G532" i="46"/>
  <c r="J532" i="46"/>
  <c r="H532" i="46"/>
  <c r="B570" i="46"/>
  <c r="Y457" i="46"/>
  <c r="Y452" i="46"/>
  <c r="Y448" i="46"/>
  <c r="Y443" i="46"/>
  <c r="Y438" i="46"/>
  <c r="Y430" i="46"/>
  <c r="Y62" i="46"/>
  <c r="BE83" i="46"/>
  <c r="BE500" i="46"/>
  <c r="CB61" i="46"/>
  <c r="U62" i="46"/>
  <c r="B550" i="46"/>
  <c r="B538" i="46"/>
  <c r="V492" i="46"/>
  <c r="V486" i="46"/>
  <c r="W460" i="46"/>
  <c r="B454" i="46"/>
  <c r="B450" i="46"/>
  <c r="W64" i="46"/>
  <c r="V45" i="46"/>
  <c r="V348" i="46"/>
  <c r="V344" i="46"/>
  <c r="V333" i="46"/>
  <c r="V329" i="46"/>
  <c r="V322" i="46"/>
  <c r="V206" i="46"/>
  <c r="V176" i="46"/>
  <c r="P569" i="46"/>
  <c r="O569" i="46"/>
  <c r="R569" i="46"/>
  <c r="R574" i="46"/>
  <c r="O80" i="46"/>
  <c r="R80" i="46"/>
  <c r="R82" i="46"/>
  <c r="B7" i="46"/>
  <c r="B58" i="46"/>
  <c r="P58" i="46"/>
  <c r="P68" i="46"/>
  <c r="W71" i="46"/>
  <c r="I71" i="46"/>
  <c r="L71" i="46"/>
  <c r="V520" i="46"/>
  <c r="F520" i="46"/>
  <c r="I520" i="46"/>
  <c r="J520" i="46"/>
  <c r="H520" i="46"/>
  <c r="L520" i="46"/>
  <c r="V524" i="46"/>
  <c r="F524" i="46"/>
  <c r="I524" i="46"/>
  <c r="H524" i="46"/>
  <c r="L524" i="46"/>
  <c r="G524" i="46"/>
  <c r="W527" i="46"/>
  <c r="J527" i="46"/>
  <c r="G527" i="46"/>
  <c r="N527" i="46"/>
  <c r="H527" i="46"/>
  <c r="F527" i="46"/>
  <c r="X530" i="46"/>
  <c r="J530" i="46"/>
  <c r="H530" i="46"/>
  <c r="F530" i="46"/>
  <c r="L530" i="46"/>
  <c r="N530" i="46"/>
  <c r="B399" i="46"/>
  <c r="Y424" i="46"/>
  <c r="B295" i="46"/>
  <c r="B375" i="46"/>
  <c r="O78" i="46"/>
  <c r="O83" i="46"/>
  <c r="CB20" i="46"/>
  <c r="CB69" i="46"/>
  <c r="CB98" i="46"/>
  <c r="CB118" i="46"/>
  <c r="Y344" i="46"/>
  <c r="Y333" i="46"/>
  <c r="Y329" i="46"/>
  <c r="Y322" i="46"/>
  <c r="Y206" i="46"/>
  <c r="Y176" i="46"/>
  <c r="Y47" i="46"/>
  <c r="BE50" i="46"/>
  <c r="BE106" i="46"/>
  <c r="BE358" i="46"/>
  <c r="BE513" i="46"/>
  <c r="CB79" i="46"/>
  <c r="U486" i="46"/>
  <c r="U47" i="46"/>
  <c r="W569" i="46"/>
  <c r="B510" i="46"/>
  <c r="B398" i="46"/>
  <c r="W553" i="46"/>
  <c r="V497" i="46"/>
  <c r="B487" i="46"/>
  <c r="B458" i="46"/>
  <c r="BL194" i="46"/>
  <c r="BL290" i="46"/>
  <c r="BL285" i="46"/>
  <c r="BL153" i="46"/>
  <c r="BL168" i="46"/>
  <c r="BL138" i="46"/>
  <c r="BL162" i="46"/>
  <c r="BL155" i="46"/>
  <c r="BL142" i="46"/>
  <c r="BL145" i="46"/>
  <c r="BL122" i="46"/>
  <c r="BL146" i="46"/>
  <c r="BL139" i="46"/>
  <c r="BL135" i="46"/>
  <c r="BL137" i="46"/>
  <c r="BL133" i="46"/>
  <c r="BL136" i="46"/>
  <c r="BL163" i="46"/>
  <c r="BL154" i="46"/>
  <c r="BL144" i="46"/>
  <c r="BL100" i="46"/>
  <c r="BL92" i="46"/>
  <c r="BL62" i="46"/>
  <c r="V64" i="46"/>
  <c r="BL31" i="46"/>
  <c r="BL28" i="46"/>
  <c r="BL30" i="46"/>
  <c r="BL39" i="46"/>
  <c r="X47" i="46"/>
  <c r="W344" i="46"/>
  <c r="W340" i="46"/>
  <c r="W333" i="46"/>
  <c r="W329" i="46"/>
  <c r="W322" i="46"/>
  <c r="W280" i="46"/>
  <c r="W272" i="46"/>
  <c r="W210" i="46"/>
  <c r="W206" i="46"/>
  <c r="W202" i="46"/>
  <c r="W176" i="46"/>
  <c r="X344" i="46"/>
  <c r="X333" i="46"/>
  <c r="X329" i="46"/>
  <c r="X322" i="46"/>
  <c r="X206" i="46"/>
  <c r="X176" i="46"/>
  <c r="O510" i="46"/>
  <c r="R510" i="46"/>
  <c r="R512" i="46"/>
  <c r="O489" i="46"/>
  <c r="R489" i="46"/>
  <c r="O398" i="46"/>
  <c r="R398" i="46"/>
  <c r="O345" i="46"/>
  <c r="R345" i="46"/>
  <c r="O318" i="46"/>
  <c r="R318" i="46"/>
  <c r="P513" i="46"/>
  <c r="O486" i="46"/>
  <c r="R486" i="46"/>
  <c r="H41" i="46"/>
  <c r="J41" i="46"/>
  <c r="J55" i="46"/>
  <c r="B39" i="46"/>
  <c r="P39" i="46"/>
  <c r="B27" i="46"/>
  <c r="P27" i="46"/>
  <c r="X471" i="46"/>
  <c r="I471" i="46"/>
  <c r="N471" i="46"/>
  <c r="L471" i="46"/>
  <c r="G471" i="46"/>
  <c r="W476" i="46"/>
  <c r="N476" i="46"/>
  <c r="H476" i="46"/>
  <c r="J476" i="46"/>
  <c r="F476" i="46"/>
  <c r="X483" i="46"/>
  <c r="L483" i="46"/>
  <c r="J483" i="46"/>
  <c r="I483" i="46"/>
  <c r="N483" i="46"/>
  <c r="H483" i="46"/>
  <c r="G483" i="46"/>
  <c r="W505" i="46"/>
  <c r="L505" i="46"/>
  <c r="G505" i="46"/>
  <c r="N505" i="46"/>
  <c r="J505" i="46"/>
  <c r="H505" i="46"/>
  <c r="Y507" i="46"/>
  <c r="J507" i="46"/>
  <c r="H507" i="46"/>
  <c r="L507" i="46"/>
  <c r="G507" i="46"/>
  <c r="N507" i="46"/>
  <c r="Y517" i="46"/>
  <c r="L517" i="46"/>
  <c r="H517" i="46"/>
  <c r="I517" i="46"/>
  <c r="G517" i="46"/>
  <c r="J517" i="46"/>
  <c r="F517" i="46"/>
  <c r="N517" i="46"/>
  <c r="P106" i="46"/>
  <c r="K422" i="46"/>
  <c r="B35" i="46"/>
  <c r="P35" i="46"/>
  <c r="V86" i="46"/>
  <c r="I86" i="46"/>
  <c r="K420" i="46"/>
  <c r="V469" i="46"/>
  <c r="G469" i="46"/>
  <c r="I469" i="46"/>
  <c r="X479" i="46"/>
  <c r="I479" i="46"/>
  <c r="J479" i="46"/>
  <c r="W484" i="46"/>
  <c r="F484" i="46"/>
  <c r="X508" i="46"/>
  <c r="H508" i="46"/>
  <c r="I508" i="46"/>
  <c r="Y521" i="46"/>
  <c r="L521" i="46"/>
  <c r="H521" i="46"/>
  <c r="Y525" i="46"/>
  <c r="L525" i="46"/>
  <c r="H525" i="46"/>
  <c r="V528" i="46"/>
  <c r="I528" i="46"/>
  <c r="F528" i="46"/>
  <c r="Y533" i="46"/>
  <c r="L533" i="46"/>
  <c r="H533" i="46"/>
  <c r="V536" i="46"/>
  <c r="F536" i="46"/>
  <c r="I536" i="46"/>
  <c r="AR175" i="46"/>
  <c r="BI584" i="46"/>
  <c r="B585" i="46"/>
  <c r="F8" i="46"/>
  <c r="H8" i="46"/>
  <c r="J13" i="46"/>
  <c r="H29" i="46"/>
  <c r="J29" i="46"/>
  <c r="J59" i="46"/>
  <c r="J75" i="46"/>
  <c r="J86" i="46"/>
  <c r="K43" i="46"/>
  <c r="Y56" i="46"/>
  <c r="I56" i="46"/>
  <c r="W472" i="46"/>
  <c r="J472" i="46"/>
  <c r="Y474" i="46"/>
  <c r="F474" i="46"/>
  <c r="V477" i="46"/>
  <c r="G477" i="46"/>
  <c r="I477" i="46"/>
  <c r="X504" i="46"/>
  <c r="I504" i="46"/>
  <c r="H504" i="46"/>
  <c r="V516" i="46"/>
  <c r="F516" i="46"/>
  <c r="G531" i="46"/>
  <c r="X534" i="46"/>
  <c r="I534" i="46"/>
  <c r="N484" i="46"/>
  <c r="F14" i="46"/>
  <c r="F6" i="46"/>
  <c r="G10" i="46"/>
  <c r="H14" i="46"/>
  <c r="H6" i="46"/>
  <c r="H72" i="46"/>
  <c r="J73" i="46"/>
  <c r="L75" i="46"/>
  <c r="F479" i="46"/>
  <c r="G479" i="46"/>
  <c r="L479" i="46"/>
  <c r="L469" i="46"/>
  <c r="F525" i="46"/>
  <c r="G521" i="46"/>
  <c r="J536" i="46"/>
  <c r="J525" i="46"/>
  <c r="L528" i="46"/>
  <c r="X475" i="46"/>
  <c r="L475" i="46"/>
  <c r="I475" i="46"/>
  <c r="W480" i="46"/>
  <c r="F480" i="46"/>
  <c r="Y482" i="46"/>
  <c r="H482" i="46"/>
  <c r="V485" i="46"/>
  <c r="G485" i="46"/>
  <c r="I485" i="46"/>
  <c r="G523" i="46"/>
  <c r="X526" i="46"/>
  <c r="I526" i="46"/>
  <c r="Y529" i="46"/>
  <c r="L529" i="46"/>
  <c r="H529" i="46"/>
  <c r="W535" i="46"/>
  <c r="J535" i="46"/>
  <c r="G535" i="46"/>
  <c r="BU43" i="46"/>
  <c r="AE43" i="46"/>
  <c r="AR381" i="46"/>
  <c r="AR356" i="46"/>
  <c r="AR81" i="46"/>
  <c r="AR61" i="46"/>
  <c r="M421" i="46"/>
  <c r="M519" i="46"/>
  <c r="AR509" i="46"/>
  <c r="AR498" i="46"/>
  <c r="AR463" i="46"/>
  <c r="AR115" i="46"/>
  <c r="AR104" i="46"/>
  <c r="AR66" i="46"/>
  <c r="AR43" i="46"/>
  <c r="K397" i="46"/>
  <c r="K16" i="46"/>
  <c r="K103" i="46"/>
  <c r="AR48" i="46"/>
  <c r="AR17" i="46"/>
  <c r="P575" i="46"/>
  <c r="U314" i="46"/>
  <c r="X314" i="46"/>
  <c r="W314" i="46"/>
  <c r="Y314" i="46"/>
  <c r="V314" i="46"/>
  <c r="U310" i="46"/>
  <c r="X310" i="46"/>
  <c r="W310" i="46"/>
  <c r="Y310" i="46"/>
  <c r="V310" i="46"/>
  <c r="U306" i="46"/>
  <c r="X306" i="46"/>
  <c r="W306" i="46"/>
  <c r="Y306" i="46"/>
  <c r="V306" i="46"/>
  <c r="W298" i="46"/>
  <c r="Y298" i="46"/>
  <c r="U298" i="46"/>
  <c r="V298" i="46"/>
  <c r="X298" i="46"/>
  <c r="P97" i="46"/>
  <c r="X40" i="46"/>
  <c r="W40" i="46"/>
  <c r="F40" i="46"/>
  <c r="G40" i="46"/>
  <c r="V40" i="46"/>
  <c r="I40" i="46"/>
  <c r="J40" i="46"/>
  <c r="H40" i="46"/>
  <c r="Y40" i="46"/>
  <c r="U40" i="46"/>
  <c r="M40" i="46"/>
  <c r="L40" i="46"/>
  <c r="N40" i="46"/>
  <c r="X32" i="46"/>
  <c r="W32" i="46"/>
  <c r="F32" i="46"/>
  <c r="G32" i="46"/>
  <c r="V32" i="46"/>
  <c r="I32" i="46"/>
  <c r="J32" i="46"/>
  <c r="H32" i="46"/>
  <c r="Y32" i="46"/>
  <c r="U32" i="46"/>
  <c r="M32" i="46"/>
  <c r="L32" i="46"/>
  <c r="N32" i="46"/>
  <c r="X24" i="46"/>
  <c r="W24" i="46"/>
  <c r="F24" i="46"/>
  <c r="G24" i="46"/>
  <c r="V24" i="46"/>
  <c r="I24" i="46"/>
  <c r="J24" i="46"/>
  <c r="H24" i="46"/>
  <c r="Y24" i="46"/>
  <c r="U24" i="46"/>
  <c r="M24" i="46"/>
  <c r="L24" i="46"/>
  <c r="N24" i="46"/>
  <c r="W89" i="46"/>
  <c r="V89" i="46"/>
  <c r="M89" i="46"/>
  <c r="Y89" i="46"/>
  <c r="U89" i="46"/>
  <c r="I89" i="46"/>
  <c r="L89" i="46"/>
  <c r="J89" i="46"/>
  <c r="N89" i="46"/>
  <c r="X89" i="46"/>
  <c r="H89" i="46"/>
  <c r="G89" i="46"/>
  <c r="F89" i="46"/>
  <c r="W109" i="46"/>
  <c r="I109" i="46"/>
  <c r="F109" i="46"/>
  <c r="V109" i="46"/>
  <c r="G109" i="46"/>
  <c r="Y109" i="46"/>
  <c r="U109" i="46"/>
  <c r="J109" i="46"/>
  <c r="H109" i="46"/>
  <c r="N109" i="46"/>
  <c r="X109" i="46"/>
  <c r="M109" i="46"/>
  <c r="L109" i="46"/>
  <c r="W113" i="46"/>
  <c r="I113" i="46"/>
  <c r="F113" i="46"/>
  <c r="V113" i="46"/>
  <c r="G113" i="46"/>
  <c r="Y113" i="46"/>
  <c r="U113" i="46"/>
  <c r="J113" i="46"/>
  <c r="H113" i="46"/>
  <c r="N113" i="46"/>
  <c r="X113" i="46"/>
  <c r="M113" i="46"/>
  <c r="K113" i="46"/>
  <c r="L113" i="46"/>
  <c r="W122" i="46"/>
  <c r="I122" i="46"/>
  <c r="V122" i="46"/>
  <c r="H122" i="46"/>
  <c r="Y122" i="46"/>
  <c r="U122" i="46"/>
  <c r="L122" i="46"/>
  <c r="G122" i="46"/>
  <c r="N122" i="46"/>
  <c r="X122" i="46"/>
  <c r="M122" i="46"/>
  <c r="J122" i="46"/>
  <c r="F122" i="46"/>
  <c r="W126" i="46"/>
  <c r="I126" i="46"/>
  <c r="V126" i="46"/>
  <c r="H126" i="46"/>
  <c r="Y126" i="46"/>
  <c r="U126" i="46"/>
  <c r="L126" i="46"/>
  <c r="G126" i="46"/>
  <c r="N126" i="46"/>
  <c r="X126" i="46"/>
  <c r="M126" i="46"/>
  <c r="J126" i="46"/>
  <c r="F126" i="46"/>
  <c r="W130" i="46"/>
  <c r="I130" i="46"/>
  <c r="V130" i="46"/>
  <c r="H130" i="46"/>
  <c r="Y130" i="46"/>
  <c r="U130" i="46"/>
  <c r="L130" i="46"/>
  <c r="G130" i="46"/>
  <c r="N130" i="46"/>
  <c r="X130" i="46"/>
  <c r="M130" i="46"/>
  <c r="J130" i="46"/>
  <c r="F130" i="46"/>
  <c r="W134" i="46"/>
  <c r="I134" i="46"/>
  <c r="V134" i="46"/>
  <c r="H134" i="46"/>
  <c r="Y134" i="46"/>
  <c r="U134" i="46"/>
  <c r="L134" i="46"/>
  <c r="G134" i="46"/>
  <c r="N134" i="46"/>
  <c r="X134" i="46"/>
  <c r="M134" i="46"/>
  <c r="J134" i="46"/>
  <c r="F134" i="46"/>
  <c r="W138" i="46"/>
  <c r="I138" i="46"/>
  <c r="V138" i="46"/>
  <c r="H138" i="46"/>
  <c r="Y138" i="46"/>
  <c r="U138" i="46"/>
  <c r="L138" i="46"/>
  <c r="G138" i="46"/>
  <c r="N138" i="46"/>
  <c r="X138" i="46"/>
  <c r="M138" i="46"/>
  <c r="K138" i="46"/>
  <c r="J138" i="46"/>
  <c r="F138" i="46"/>
  <c r="W142" i="46"/>
  <c r="I142" i="46"/>
  <c r="V142" i="46"/>
  <c r="H142" i="46"/>
  <c r="Y142" i="46"/>
  <c r="U142" i="46"/>
  <c r="L142" i="46"/>
  <c r="G142" i="46"/>
  <c r="N142" i="46"/>
  <c r="X142" i="46"/>
  <c r="M142" i="46"/>
  <c r="J142" i="46"/>
  <c r="F142" i="46"/>
  <c r="W146" i="46"/>
  <c r="I146" i="46"/>
  <c r="V146" i="46"/>
  <c r="H146" i="46"/>
  <c r="Y146" i="46"/>
  <c r="U146" i="46"/>
  <c r="L146" i="46"/>
  <c r="G146" i="46"/>
  <c r="N146" i="46"/>
  <c r="X146" i="46"/>
  <c r="M146" i="46"/>
  <c r="J146" i="46"/>
  <c r="F146" i="46"/>
  <c r="W150" i="46"/>
  <c r="I150" i="46"/>
  <c r="V150" i="46"/>
  <c r="H150" i="46"/>
  <c r="Y150" i="46"/>
  <c r="U150" i="46"/>
  <c r="L150" i="46"/>
  <c r="G150" i="46"/>
  <c r="N150" i="46"/>
  <c r="X150" i="46"/>
  <c r="M150" i="46"/>
  <c r="J150" i="46"/>
  <c r="F150" i="46"/>
  <c r="W154" i="46"/>
  <c r="I154" i="46"/>
  <c r="V154" i="46"/>
  <c r="H154" i="46"/>
  <c r="Y154" i="46"/>
  <c r="U154" i="46"/>
  <c r="L154" i="46"/>
  <c r="G154" i="46"/>
  <c r="N154" i="46"/>
  <c r="X154" i="46"/>
  <c r="M154" i="46"/>
  <c r="K154" i="46"/>
  <c r="J154" i="46"/>
  <c r="F154" i="46"/>
  <c r="W158" i="46"/>
  <c r="I158" i="46"/>
  <c r="V158" i="46"/>
  <c r="H158" i="46"/>
  <c r="Y158" i="46"/>
  <c r="U158" i="46"/>
  <c r="L158" i="46"/>
  <c r="G158" i="46"/>
  <c r="N158" i="46"/>
  <c r="X158" i="46"/>
  <c r="M158" i="46"/>
  <c r="J158" i="46"/>
  <c r="F158" i="46"/>
  <c r="W162" i="46"/>
  <c r="I162" i="46"/>
  <c r="V162" i="46"/>
  <c r="H162" i="46"/>
  <c r="Y162" i="46"/>
  <c r="U162" i="46"/>
  <c r="L162" i="46"/>
  <c r="G162" i="46"/>
  <c r="N162" i="46"/>
  <c r="X162" i="46"/>
  <c r="M162" i="46"/>
  <c r="J162" i="46"/>
  <c r="F162" i="46"/>
  <c r="W166" i="46"/>
  <c r="I166" i="46"/>
  <c r="V166" i="46"/>
  <c r="H166" i="46"/>
  <c r="Y166" i="46"/>
  <c r="U166" i="46"/>
  <c r="L166" i="46"/>
  <c r="G166" i="46"/>
  <c r="N166" i="46"/>
  <c r="X166" i="46"/>
  <c r="M166" i="46"/>
  <c r="J166" i="46"/>
  <c r="F166" i="46"/>
  <c r="W170" i="46"/>
  <c r="I170" i="46"/>
  <c r="V170" i="46"/>
  <c r="AA170" i="46"/>
  <c r="H170" i="46"/>
  <c r="Y170" i="46"/>
  <c r="U170" i="46"/>
  <c r="L170" i="46"/>
  <c r="G170" i="46"/>
  <c r="N170" i="46"/>
  <c r="X170" i="46"/>
  <c r="M170" i="46"/>
  <c r="K170" i="46"/>
  <c r="J170" i="46"/>
  <c r="F170" i="46"/>
  <c r="W174" i="46"/>
  <c r="AB174" i="46"/>
  <c r="I174" i="46"/>
  <c r="V174" i="46"/>
  <c r="AA174" i="46"/>
  <c r="H174" i="46"/>
  <c r="Y174" i="46"/>
  <c r="U174" i="46"/>
  <c r="Z174" i="46"/>
  <c r="L174" i="46"/>
  <c r="G174" i="46"/>
  <c r="N174" i="46"/>
  <c r="X174" i="46"/>
  <c r="AC174" i="46"/>
  <c r="M174" i="46"/>
  <c r="J174" i="46"/>
  <c r="F174" i="46"/>
  <c r="H364" i="46"/>
  <c r="Y364" i="46"/>
  <c r="J364" i="46"/>
  <c r="N364" i="46"/>
  <c r="G364" i="46"/>
  <c r="H368" i="46"/>
  <c r="Y368" i="46"/>
  <c r="J368" i="46"/>
  <c r="N368" i="46"/>
  <c r="G368" i="46"/>
  <c r="H372" i="46"/>
  <c r="Y372" i="46"/>
  <c r="J372" i="46"/>
  <c r="N372" i="46"/>
  <c r="G372" i="46"/>
  <c r="V388" i="46"/>
  <c r="I388" i="46"/>
  <c r="J388" i="46"/>
  <c r="F388" i="46"/>
  <c r="Y388" i="46"/>
  <c r="U388" i="46"/>
  <c r="N388" i="46"/>
  <c r="X388" i="46"/>
  <c r="H388" i="46"/>
  <c r="W388" i="46"/>
  <c r="M388" i="46"/>
  <c r="L388" i="46"/>
  <c r="G388" i="46"/>
  <c r="V392" i="46"/>
  <c r="I392" i="46"/>
  <c r="J392" i="46"/>
  <c r="F392" i="46"/>
  <c r="Y392" i="46"/>
  <c r="U392" i="46"/>
  <c r="N392" i="46"/>
  <c r="X392" i="46"/>
  <c r="H392" i="46"/>
  <c r="W392" i="46"/>
  <c r="M392" i="46"/>
  <c r="L392" i="46"/>
  <c r="G392" i="46"/>
  <c r="V396" i="46"/>
  <c r="I396" i="46"/>
  <c r="J396" i="46"/>
  <c r="F396" i="46"/>
  <c r="Y396" i="46"/>
  <c r="U396" i="46"/>
  <c r="N396" i="46"/>
  <c r="X396" i="46"/>
  <c r="H396" i="46"/>
  <c r="W396" i="46"/>
  <c r="M396" i="46"/>
  <c r="L396" i="46"/>
  <c r="G396" i="46"/>
  <c r="Y409" i="46"/>
  <c r="U409" i="46"/>
  <c r="I409" i="46"/>
  <c r="L409" i="46"/>
  <c r="N409" i="46"/>
  <c r="X409" i="46"/>
  <c r="H409" i="46"/>
  <c r="F409" i="46"/>
  <c r="W409" i="46"/>
  <c r="J409" i="46"/>
  <c r="V409" i="46"/>
  <c r="M409" i="46"/>
  <c r="G409" i="46"/>
  <c r="Y413" i="46"/>
  <c r="U413" i="46"/>
  <c r="I413" i="46"/>
  <c r="L413" i="46"/>
  <c r="N413" i="46"/>
  <c r="X413" i="46"/>
  <c r="H413" i="46"/>
  <c r="F413" i="46"/>
  <c r="W413" i="46"/>
  <c r="J413" i="46"/>
  <c r="V413" i="46"/>
  <c r="M413" i="46"/>
  <c r="G413" i="46"/>
  <c r="Y417" i="46"/>
  <c r="U417" i="46"/>
  <c r="I417" i="46"/>
  <c r="L417" i="46"/>
  <c r="N417" i="46"/>
  <c r="X417" i="46"/>
  <c r="H417" i="46"/>
  <c r="F417" i="46"/>
  <c r="W417" i="46"/>
  <c r="J417" i="46"/>
  <c r="V417" i="46"/>
  <c r="M417" i="46"/>
  <c r="G417" i="46"/>
  <c r="V562" i="46"/>
  <c r="I562" i="46"/>
  <c r="H562" i="46"/>
  <c r="F562" i="46"/>
  <c r="Y562" i="46"/>
  <c r="U562" i="46"/>
  <c r="J562" i="46"/>
  <c r="N562" i="46"/>
  <c r="X562" i="46"/>
  <c r="G562" i="46"/>
  <c r="W562" i="46"/>
  <c r="M562" i="46"/>
  <c r="K562" i="46"/>
  <c r="L562" i="46"/>
  <c r="V566" i="46"/>
  <c r="I566" i="46"/>
  <c r="H566" i="46"/>
  <c r="F566" i="46"/>
  <c r="Y566" i="46"/>
  <c r="U566" i="46"/>
  <c r="J566" i="46"/>
  <c r="N566" i="46"/>
  <c r="X566" i="46"/>
  <c r="G566" i="46"/>
  <c r="W566" i="46"/>
  <c r="M566" i="46"/>
  <c r="L566" i="46"/>
  <c r="U248" i="46"/>
  <c r="X248" i="46"/>
  <c r="W248" i="46"/>
  <c r="Y248" i="46"/>
  <c r="V248" i="46"/>
  <c r="U244" i="46"/>
  <c r="X244" i="46"/>
  <c r="W244" i="46"/>
  <c r="Y244" i="46"/>
  <c r="V244" i="46"/>
  <c r="U240" i="46"/>
  <c r="X240" i="46"/>
  <c r="W240" i="46"/>
  <c r="Y240" i="46"/>
  <c r="V240" i="46"/>
  <c r="U236" i="46"/>
  <c r="X236" i="46"/>
  <c r="W236" i="46"/>
  <c r="Y236" i="46"/>
  <c r="V236" i="46"/>
  <c r="U232" i="46"/>
  <c r="X232" i="46"/>
  <c r="W232" i="46"/>
  <c r="Y232" i="46"/>
  <c r="V232" i="46"/>
  <c r="U228" i="46"/>
  <c r="X228" i="46"/>
  <c r="W228" i="46"/>
  <c r="Y228" i="46"/>
  <c r="V228" i="46"/>
  <c r="U224" i="46"/>
  <c r="X224" i="46"/>
  <c r="W224" i="46"/>
  <c r="Y224" i="46"/>
  <c r="V224" i="46"/>
  <c r="V90" i="46"/>
  <c r="I90" i="46"/>
  <c r="H90" i="46"/>
  <c r="G90" i="46"/>
  <c r="F90" i="46"/>
  <c r="Y90" i="46"/>
  <c r="U90" i="46"/>
  <c r="N90" i="46"/>
  <c r="X90" i="46"/>
  <c r="W90" i="46"/>
  <c r="M90" i="46"/>
  <c r="L90" i="46"/>
  <c r="J90" i="46"/>
  <c r="W100" i="46"/>
  <c r="I100" i="46"/>
  <c r="L100" i="46"/>
  <c r="G100" i="46"/>
  <c r="V100" i="46"/>
  <c r="J100" i="46"/>
  <c r="F100" i="46"/>
  <c r="Y100" i="46"/>
  <c r="U100" i="46"/>
  <c r="N100" i="46"/>
  <c r="X100" i="46"/>
  <c r="M100" i="46"/>
  <c r="H100" i="46"/>
  <c r="Y102" i="46"/>
  <c r="U102" i="46"/>
  <c r="N102" i="46"/>
  <c r="X102" i="46"/>
  <c r="M102" i="46"/>
  <c r="H102" i="46"/>
  <c r="W102" i="46"/>
  <c r="I102" i="46"/>
  <c r="L102" i="46"/>
  <c r="G102" i="46"/>
  <c r="V102" i="46"/>
  <c r="J102" i="46"/>
  <c r="F102" i="46"/>
  <c r="V110" i="46"/>
  <c r="L110" i="46"/>
  <c r="Y110" i="46"/>
  <c r="U110" i="46"/>
  <c r="M110" i="46"/>
  <c r="F110" i="46"/>
  <c r="N110" i="46"/>
  <c r="X110" i="46"/>
  <c r="I110" i="46"/>
  <c r="G110" i="46"/>
  <c r="W110" i="46"/>
  <c r="J110" i="46"/>
  <c r="H110" i="46"/>
  <c r="V114" i="46"/>
  <c r="L114" i="46"/>
  <c r="Y114" i="46"/>
  <c r="U114" i="46"/>
  <c r="M114" i="46"/>
  <c r="F114" i="46"/>
  <c r="N114" i="46"/>
  <c r="X114" i="46"/>
  <c r="I114" i="46"/>
  <c r="G114" i="46"/>
  <c r="W114" i="46"/>
  <c r="J114" i="46"/>
  <c r="H114" i="46"/>
  <c r="V123" i="46"/>
  <c r="J123" i="46"/>
  <c r="F123" i="46"/>
  <c r="Y123" i="46"/>
  <c r="U123" i="46"/>
  <c r="M123" i="46"/>
  <c r="N123" i="46"/>
  <c r="X123" i="46"/>
  <c r="I123" i="46"/>
  <c r="H123" i="46"/>
  <c r="W123" i="46"/>
  <c r="L123" i="46"/>
  <c r="G123" i="46"/>
  <c r="V127" i="46"/>
  <c r="J127" i="46"/>
  <c r="F127" i="46"/>
  <c r="Y127" i="46"/>
  <c r="U127" i="46"/>
  <c r="M127" i="46"/>
  <c r="N127" i="46"/>
  <c r="X127" i="46"/>
  <c r="I127" i="46"/>
  <c r="H127" i="46"/>
  <c r="W127" i="46"/>
  <c r="L127" i="46"/>
  <c r="G127" i="46"/>
  <c r="V131" i="46"/>
  <c r="J131" i="46"/>
  <c r="F131" i="46"/>
  <c r="Y131" i="46"/>
  <c r="U131" i="46"/>
  <c r="M131" i="46"/>
  <c r="N131" i="46"/>
  <c r="X131" i="46"/>
  <c r="I131" i="46"/>
  <c r="H131" i="46"/>
  <c r="W131" i="46"/>
  <c r="L131" i="46"/>
  <c r="G131" i="46"/>
  <c r="V135" i="46"/>
  <c r="J135" i="46"/>
  <c r="F135" i="46"/>
  <c r="Y135" i="46"/>
  <c r="U135" i="46"/>
  <c r="M135" i="46"/>
  <c r="N135" i="46"/>
  <c r="X135" i="46"/>
  <c r="I135" i="46"/>
  <c r="H135" i="46"/>
  <c r="W135" i="46"/>
  <c r="L135" i="46"/>
  <c r="G135" i="46"/>
  <c r="V139" i="46"/>
  <c r="J139" i="46"/>
  <c r="F139" i="46"/>
  <c r="Y139" i="46"/>
  <c r="U139" i="46"/>
  <c r="M139" i="46"/>
  <c r="N139" i="46"/>
  <c r="X139" i="46"/>
  <c r="I139" i="46"/>
  <c r="H139" i="46"/>
  <c r="W139" i="46"/>
  <c r="L139" i="46"/>
  <c r="G139" i="46"/>
  <c r="V143" i="46"/>
  <c r="J143" i="46"/>
  <c r="F143" i="46"/>
  <c r="Y143" i="46"/>
  <c r="U143" i="46"/>
  <c r="M143" i="46"/>
  <c r="N143" i="46"/>
  <c r="X143" i="46"/>
  <c r="I143" i="46"/>
  <c r="H143" i="46"/>
  <c r="W143" i="46"/>
  <c r="L143" i="46"/>
  <c r="G143" i="46"/>
  <c r="V147" i="46"/>
  <c r="J147" i="46"/>
  <c r="F147" i="46"/>
  <c r="Y147" i="46"/>
  <c r="U147" i="46"/>
  <c r="M147" i="46"/>
  <c r="N147" i="46"/>
  <c r="X147" i="46"/>
  <c r="I147" i="46"/>
  <c r="H147" i="46"/>
  <c r="W147" i="46"/>
  <c r="L147" i="46"/>
  <c r="G147" i="46"/>
  <c r="V151" i="46"/>
  <c r="J151" i="46"/>
  <c r="F151" i="46"/>
  <c r="Y151" i="46"/>
  <c r="U151" i="46"/>
  <c r="M151" i="46"/>
  <c r="N151" i="46"/>
  <c r="X151" i="46"/>
  <c r="I151" i="46"/>
  <c r="H151" i="46"/>
  <c r="W151" i="46"/>
  <c r="L151" i="46"/>
  <c r="G151" i="46"/>
  <c r="V155" i="46"/>
  <c r="J155" i="46"/>
  <c r="F155" i="46"/>
  <c r="Y155" i="46"/>
  <c r="U155" i="46"/>
  <c r="M155" i="46"/>
  <c r="N155" i="46"/>
  <c r="X155" i="46"/>
  <c r="I155" i="46"/>
  <c r="H155" i="46"/>
  <c r="W155" i="46"/>
  <c r="L155" i="46"/>
  <c r="G155" i="46"/>
  <c r="V159" i="46"/>
  <c r="J159" i="46"/>
  <c r="F159" i="46"/>
  <c r="Y159" i="46"/>
  <c r="U159" i="46"/>
  <c r="M159" i="46"/>
  <c r="N159" i="46"/>
  <c r="X159" i="46"/>
  <c r="I159" i="46"/>
  <c r="H159" i="46"/>
  <c r="W159" i="46"/>
  <c r="L159" i="46"/>
  <c r="G159" i="46"/>
  <c r="V163" i="46"/>
  <c r="J163" i="46"/>
  <c r="F163" i="46"/>
  <c r="Y163" i="46"/>
  <c r="U163" i="46"/>
  <c r="M163" i="46"/>
  <c r="N163" i="46"/>
  <c r="X163" i="46"/>
  <c r="I163" i="46"/>
  <c r="H163" i="46"/>
  <c r="W163" i="46"/>
  <c r="L163" i="46"/>
  <c r="G163" i="46"/>
  <c r="V167" i="46"/>
  <c r="J167" i="46"/>
  <c r="F167" i="46"/>
  <c r="Y167" i="46"/>
  <c r="U167" i="46"/>
  <c r="M167" i="46"/>
  <c r="N167" i="46"/>
  <c r="X167" i="46"/>
  <c r="I167" i="46"/>
  <c r="H167" i="46"/>
  <c r="W167" i="46"/>
  <c r="L167" i="46"/>
  <c r="G167" i="46"/>
  <c r="V171" i="46"/>
  <c r="AA171" i="46"/>
  <c r="J171" i="46"/>
  <c r="F171" i="46"/>
  <c r="Y171" i="46"/>
  <c r="U171" i="46"/>
  <c r="M171" i="46"/>
  <c r="N171" i="46"/>
  <c r="X171" i="46"/>
  <c r="I171" i="46"/>
  <c r="H171" i="46"/>
  <c r="W171" i="46"/>
  <c r="L171" i="46"/>
  <c r="G171" i="46"/>
  <c r="Y361" i="46"/>
  <c r="N361" i="46"/>
  <c r="H361" i="46"/>
  <c r="J361" i="46"/>
  <c r="G361" i="46"/>
  <c r="Y365" i="46"/>
  <c r="N365" i="46"/>
  <c r="H365" i="46"/>
  <c r="J365" i="46"/>
  <c r="G365" i="46"/>
  <c r="Y369" i="46"/>
  <c r="N369" i="46"/>
  <c r="H369" i="46"/>
  <c r="J369" i="46"/>
  <c r="G369" i="46"/>
  <c r="Y373" i="46"/>
  <c r="N373" i="46"/>
  <c r="H373" i="46"/>
  <c r="J373" i="46"/>
  <c r="G373" i="46"/>
  <c r="Y389" i="46"/>
  <c r="U389" i="46"/>
  <c r="L389" i="46"/>
  <c r="G389" i="46"/>
  <c r="N389" i="46"/>
  <c r="X389" i="46"/>
  <c r="M389" i="46"/>
  <c r="J389" i="46"/>
  <c r="F389" i="46"/>
  <c r="W389" i="46"/>
  <c r="I389" i="46"/>
  <c r="V389" i="46"/>
  <c r="H389" i="46"/>
  <c r="Y393" i="46"/>
  <c r="U393" i="46"/>
  <c r="L393" i="46"/>
  <c r="G393" i="46"/>
  <c r="N393" i="46"/>
  <c r="X393" i="46"/>
  <c r="M393" i="46"/>
  <c r="J393" i="46"/>
  <c r="F393" i="46"/>
  <c r="W393" i="46"/>
  <c r="I393" i="46"/>
  <c r="V393" i="46"/>
  <c r="H393" i="46"/>
  <c r="X406" i="46"/>
  <c r="G406" i="46"/>
  <c r="W406" i="46"/>
  <c r="M406" i="46"/>
  <c r="L406" i="46"/>
  <c r="V406" i="46"/>
  <c r="I406" i="46"/>
  <c r="H406" i="46"/>
  <c r="F406" i="46"/>
  <c r="Y406" i="46"/>
  <c r="U406" i="46"/>
  <c r="J406" i="46"/>
  <c r="N406" i="46"/>
  <c r="X410" i="46"/>
  <c r="G410" i="46"/>
  <c r="W410" i="46"/>
  <c r="M410" i="46"/>
  <c r="L410" i="46"/>
  <c r="V410" i="46"/>
  <c r="I410" i="46"/>
  <c r="H410" i="46"/>
  <c r="F410" i="46"/>
  <c r="Y410" i="46"/>
  <c r="U410" i="46"/>
  <c r="J410" i="46"/>
  <c r="N410" i="46"/>
  <c r="X414" i="46"/>
  <c r="G414" i="46"/>
  <c r="W414" i="46"/>
  <c r="M414" i="46"/>
  <c r="L414" i="46"/>
  <c r="V414" i="46"/>
  <c r="AA414" i="46"/>
  <c r="I414" i="46"/>
  <c r="H414" i="46"/>
  <c r="F414" i="46"/>
  <c r="Y414" i="46"/>
  <c r="U414" i="46"/>
  <c r="J414" i="46"/>
  <c r="N414" i="46"/>
  <c r="X418" i="46"/>
  <c r="G418" i="46"/>
  <c r="W418" i="46"/>
  <c r="M418" i="46"/>
  <c r="L418" i="46"/>
  <c r="V418" i="46"/>
  <c r="I418" i="46"/>
  <c r="H418" i="46"/>
  <c r="F418" i="46"/>
  <c r="Y418" i="46"/>
  <c r="U418" i="46"/>
  <c r="J418" i="46"/>
  <c r="N418" i="46"/>
  <c r="Y563" i="46"/>
  <c r="U563" i="46"/>
  <c r="L563" i="46"/>
  <c r="N563" i="46"/>
  <c r="X563" i="46"/>
  <c r="M563" i="46"/>
  <c r="H563" i="46"/>
  <c r="F563" i="46"/>
  <c r="W563" i="46"/>
  <c r="I563" i="46"/>
  <c r="J563" i="46"/>
  <c r="V563" i="46"/>
  <c r="G563" i="46"/>
  <c r="Y567" i="46"/>
  <c r="U567" i="46"/>
  <c r="L567" i="46"/>
  <c r="N567" i="46"/>
  <c r="X567" i="46"/>
  <c r="M567" i="46"/>
  <c r="H567" i="46"/>
  <c r="F567" i="46"/>
  <c r="W567" i="46"/>
  <c r="I567" i="46"/>
  <c r="J567" i="46"/>
  <c r="V567" i="46"/>
  <c r="G567" i="46"/>
  <c r="P498" i="49"/>
  <c r="AL580" i="46"/>
  <c r="R499" i="46"/>
  <c r="W316" i="46"/>
  <c r="Y316" i="46"/>
  <c r="U316" i="46"/>
  <c r="V316" i="46"/>
  <c r="X316" i="46"/>
  <c r="W312" i="46"/>
  <c r="Y312" i="46"/>
  <c r="U312" i="46"/>
  <c r="V312" i="46"/>
  <c r="X312" i="46"/>
  <c r="W308" i="46"/>
  <c r="Y308" i="46"/>
  <c r="U308" i="46"/>
  <c r="V308" i="46"/>
  <c r="X308" i="46"/>
  <c r="W304" i="46"/>
  <c r="Y304" i="46"/>
  <c r="U304" i="46"/>
  <c r="V304" i="46"/>
  <c r="X304" i="46"/>
  <c r="U300" i="46"/>
  <c r="X300" i="46"/>
  <c r="W300" i="46"/>
  <c r="Y300" i="46"/>
  <c r="V300" i="46"/>
  <c r="U296" i="46"/>
  <c r="X296" i="46"/>
  <c r="W296" i="46"/>
  <c r="Y296" i="46"/>
  <c r="V296" i="46"/>
  <c r="X36" i="46"/>
  <c r="W36" i="46"/>
  <c r="F36" i="46"/>
  <c r="G36" i="46"/>
  <c r="V36" i="46"/>
  <c r="I36" i="46"/>
  <c r="J36" i="46"/>
  <c r="H36" i="46"/>
  <c r="Y36" i="46"/>
  <c r="U36" i="46"/>
  <c r="M36" i="46"/>
  <c r="K36" i="46"/>
  <c r="L36" i="46"/>
  <c r="N36" i="46"/>
  <c r="X28" i="46"/>
  <c r="W28" i="46"/>
  <c r="F28" i="46"/>
  <c r="G28" i="46"/>
  <c r="V28" i="46"/>
  <c r="I28" i="46"/>
  <c r="J28" i="46"/>
  <c r="H28" i="46"/>
  <c r="Y28" i="46"/>
  <c r="U28" i="46"/>
  <c r="M28" i="46"/>
  <c r="L28" i="46"/>
  <c r="N28" i="46"/>
  <c r="Y91" i="46"/>
  <c r="U91" i="46"/>
  <c r="L91" i="46"/>
  <c r="J91" i="46"/>
  <c r="N91" i="46"/>
  <c r="X91" i="46"/>
  <c r="M91" i="46"/>
  <c r="H91" i="46"/>
  <c r="G91" i="46"/>
  <c r="F91" i="46"/>
  <c r="W91" i="46"/>
  <c r="I91" i="46"/>
  <c r="V91" i="46"/>
  <c r="Y111" i="46"/>
  <c r="U111" i="46"/>
  <c r="I111" i="46"/>
  <c r="J111" i="46"/>
  <c r="H111" i="46"/>
  <c r="N111" i="46"/>
  <c r="X111" i="46"/>
  <c r="L111" i="46"/>
  <c r="W111" i="46"/>
  <c r="F111" i="46"/>
  <c r="V111" i="46"/>
  <c r="M111" i="46"/>
  <c r="K111" i="46"/>
  <c r="G111" i="46"/>
  <c r="Y120" i="46"/>
  <c r="U120" i="46"/>
  <c r="I120" i="46"/>
  <c r="L120" i="46"/>
  <c r="G120" i="46"/>
  <c r="N120" i="46"/>
  <c r="X120" i="46"/>
  <c r="J120" i="46"/>
  <c r="F120" i="46"/>
  <c r="W120" i="46"/>
  <c r="V120" i="46"/>
  <c r="M120" i="46"/>
  <c r="H120" i="46"/>
  <c r="Y124" i="46"/>
  <c r="U124" i="46"/>
  <c r="I124" i="46"/>
  <c r="L124" i="46"/>
  <c r="G124" i="46"/>
  <c r="N124" i="46"/>
  <c r="X124" i="46"/>
  <c r="J124" i="46"/>
  <c r="F124" i="46"/>
  <c r="W124" i="46"/>
  <c r="V124" i="46"/>
  <c r="M124" i="46"/>
  <c r="H124" i="46"/>
  <c r="Y128" i="46"/>
  <c r="U128" i="46"/>
  <c r="I128" i="46"/>
  <c r="L128" i="46"/>
  <c r="G128" i="46"/>
  <c r="N128" i="46"/>
  <c r="X128" i="46"/>
  <c r="J128" i="46"/>
  <c r="F128" i="46"/>
  <c r="W128" i="46"/>
  <c r="V128" i="46"/>
  <c r="M128" i="46"/>
  <c r="H128" i="46"/>
  <c r="Y132" i="46"/>
  <c r="U132" i="46"/>
  <c r="I132" i="46"/>
  <c r="L132" i="46"/>
  <c r="G132" i="46"/>
  <c r="N132" i="46"/>
  <c r="X132" i="46"/>
  <c r="J132" i="46"/>
  <c r="F132" i="46"/>
  <c r="W132" i="46"/>
  <c r="V132" i="46"/>
  <c r="AA132" i="46"/>
  <c r="M132" i="46"/>
  <c r="K132" i="46"/>
  <c r="H132" i="46"/>
  <c r="Y136" i="46"/>
  <c r="U136" i="46"/>
  <c r="I136" i="46"/>
  <c r="L136" i="46"/>
  <c r="G136" i="46"/>
  <c r="N136" i="46"/>
  <c r="X136" i="46"/>
  <c r="J136" i="46"/>
  <c r="F136" i="46"/>
  <c r="W136" i="46"/>
  <c r="V136" i="46"/>
  <c r="M136" i="46"/>
  <c r="H136" i="46"/>
  <c r="Y140" i="46"/>
  <c r="U140" i="46"/>
  <c r="I140" i="46"/>
  <c r="L140" i="46"/>
  <c r="G140" i="46"/>
  <c r="N140" i="46"/>
  <c r="X140" i="46"/>
  <c r="J140" i="46"/>
  <c r="F140" i="46"/>
  <c r="W140" i="46"/>
  <c r="V140" i="46"/>
  <c r="M140" i="46"/>
  <c r="H140" i="46"/>
  <c r="Y144" i="46"/>
  <c r="U144" i="46"/>
  <c r="I144" i="46"/>
  <c r="L144" i="46"/>
  <c r="G144" i="46"/>
  <c r="N144" i="46"/>
  <c r="X144" i="46"/>
  <c r="J144" i="46"/>
  <c r="F144" i="46"/>
  <c r="W144" i="46"/>
  <c r="V144" i="46"/>
  <c r="M144" i="46"/>
  <c r="H144" i="46"/>
  <c r="Y148" i="46"/>
  <c r="U148" i="46"/>
  <c r="I148" i="46"/>
  <c r="L148" i="46"/>
  <c r="G148" i="46"/>
  <c r="N148" i="46"/>
  <c r="X148" i="46"/>
  <c r="J148" i="46"/>
  <c r="F148" i="46"/>
  <c r="W148" i="46"/>
  <c r="V148" i="46"/>
  <c r="M148" i="46"/>
  <c r="K148" i="46"/>
  <c r="H148" i="46"/>
  <c r="Y152" i="46"/>
  <c r="U152" i="46"/>
  <c r="I152" i="46"/>
  <c r="L152" i="46"/>
  <c r="G152" i="46"/>
  <c r="N152" i="46"/>
  <c r="X152" i="46"/>
  <c r="J152" i="46"/>
  <c r="F152" i="46"/>
  <c r="W152" i="46"/>
  <c r="V152" i="46"/>
  <c r="M152" i="46"/>
  <c r="H152" i="46"/>
  <c r="Y156" i="46"/>
  <c r="U156" i="46"/>
  <c r="I156" i="46"/>
  <c r="L156" i="46"/>
  <c r="G156" i="46"/>
  <c r="N156" i="46"/>
  <c r="X156" i="46"/>
  <c r="J156" i="46"/>
  <c r="F156" i="46"/>
  <c r="W156" i="46"/>
  <c r="V156" i="46"/>
  <c r="M156" i="46"/>
  <c r="H156" i="46"/>
  <c r="Y160" i="46"/>
  <c r="U160" i="46"/>
  <c r="I160" i="46"/>
  <c r="L160" i="46"/>
  <c r="G160" i="46"/>
  <c r="N160" i="46"/>
  <c r="X160" i="46"/>
  <c r="J160" i="46"/>
  <c r="F160" i="46"/>
  <c r="W160" i="46"/>
  <c r="V160" i="46"/>
  <c r="AA160" i="46"/>
  <c r="M160" i="46"/>
  <c r="H160" i="46"/>
  <c r="Y164" i="46"/>
  <c r="U164" i="46"/>
  <c r="I164" i="46"/>
  <c r="L164" i="46"/>
  <c r="G164" i="46"/>
  <c r="N164" i="46"/>
  <c r="X164" i="46"/>
  <c r="J164" i="46"/>
  <c r="F164" i="46"/>
  <c r="W164" i="46"/>
  <c r="V164" i="46"/>
  <c r="AA164" i="46"/>
  <c r="M164" i="46"/>
  <c r="K164" i="46"/>
  <c r="H164" i="46"/>
  <c r="Y168" i="46"/>
  <c r="U168" i="46"/>
  <c r="I168" i="46"/>
  <c r="L168" i="46"/>
  <c r="G168" i="46"/>
  <c r="N168" i="46"/>
  <c r="X168" i="46"/>
  <c r="J168" i="46"/>
  <c r="F168" i="46"/>
  <c r="W168" i="46"/>
  <c r="V168" i="46"/>
  <c r="M168" i="46"/>
  <c r="H168" i="46"/>
  <c r="Y172" i="46"/>
  <c r="U172" i="46"/>
  <c r="I172" i="46"/>
  <c r="L172" i="46"/>
  <c r="G172" i="46"/>
  <c r="N172" i="46"/>
  <c r="X172" i="46"/>
  <c r="J172" i="46"/>
  <c r="F172" i="46"/>
  <c r="W172" i="46"/>
  <c r="V172" i="46"/>
  <c r="M172" i="46"/>
  <c r="H172" i="46"/>
  <c r="G362" i="46"/>
  <c r="H362" i="46"/>
  <c r="Y362" i="46"/>
  <c r="J362" i="46"/>
  <c r="N362" i="46"/>
  <c r="G366" i="46"/>
  <c r="H366" i="46"/>
  <c r="Y366" i="46"/>
  <c r="J366" i="46"/>
  <c r="N366" i="46"/>
  <c r="G370" i="46"/>
  <c r="H370" i="46"/>
  <c r="Y370" i="46"/>
  <c r="J370" i="46"/>
  <c r="N370" i="46"/>
  <c r="X386" i="46"/>
  <c r="I386" i="46"/>
  <c r="H386" i="46"/>
  <c r="W386" i="46"/>
  <c r="L386" i="46"/>
  <c r="G386" i="46"/>
  <c r="V386" i="46"/>
  <c r="J386" i="46"/>
  <c r="F386" i="46"/>
  <c r="Y386" i="46"/>
  <c r="U386" i="46"/>
  <c r="M386" i="46"/>
  <c r="N386" i="46"/>
  <c r="X390" i="46"/>
  <c r="I390" i="46"/>
  <c r="H390" i="46"/>
  <c r="W390" i="46"/>
  <c r="L390" i="46"/>
  <c r="G390" i="46"/>
  <c r="V390" i="46"/>
  <c r="J390" i="46"/>
  <c r="F390" i="46"/>
  <c r="Y390" i="46"/>
  <c r="U390" i="46"/>
  <c r="M390" i="46"/>
  <c r="N390" i="46"/>
  <c r="X394" i="46"/>
  <c r="I394" i="46"/>
  <c r="H394" i="46"/>
  <c r="W394" i="46"/>
  <c r="L394" i="46"/>
  <c r="G394" i="46"/>
  <c r="V394" i="46"/>
  <c r="J394" i="46"/>
  <c r="F394" i="46"/>
  <c r="Y394" i="46"/>
  <c r="U394" i="46"/>
  <c r="M394" i="46"/>
  <c r="N394" i="46"/>
  <c r="W407" i="46"/>
  <c r="I407" i="46"/>
  <c r="J407" i="46"/>
  <c r="V407" i="46"/>
  <c r="G407" i="46"/>
  <c r="Y407" i="46"/>
  <c r="U407" i="46"/>
  <c r="L407" i="46"/>
  <c r="N407" i="46"/>
  <c r="X407" i="46"/>
  <c r="M407" i="46"/>
  <c r="K407" i="46"/>
  <c r="H407" i="46"/>
  <c r="F407" i="46"/>
  <c r="W411" i="46"/>
  <c r="I411" i="46"/>
  <c r="J411" i="46"/>
  <c r="V411" i="46"/>
  <c r="AA411" i="46"/>
  <c r="G411" i="46"/>
  <c r="Y411" i="46"/>
  <c r="U411" i="46"/>
  <c r="L411" i="46"/>
  <c r="N411" i="46"/>
  <c r="X411" i="46"/>
  <c r="M411" i="46"/>
  <c r="H411" i="46"/>
  <c r="F411" i="46"/>
  <c r="W415" i="46"/>
  <c r="I415" i="46"/>
  <c r="J415" i="46"/>
  <c r="V415" i="46"/>
  <c r="AA415" i="46"/>
  <c r="G415" i="46"/>
  <c r="Y415" i="46"/>
  <c r="U415" i="46"/>
  <c r="L415" i="46"/>
  <c r="N415" i="46"/>
  <c r="X415" i="46"/>
  <c r="M415" i="46"/>
  <c r="H415" i="46"/>
  <c r="F415" i="46"/>
  <c r="W419" i="46"/>
  <c r="I419" i="46"/>
  <c r="J419" i="46"/>
  <c r="V419" i="46"/>
  <c r="G419" i="46"/>
  <c r="Y419" i="46"/>
  <c r="U419" i="46"/>
  <c r="L419" i="46"/>
  <c r="N419" i="46"/>
  <c r="X419" i="46"/>
  <c r="M419" i="46"/>
  <c r="H419" i="46"/>
  <c r="F419" i="46"/>
  <c r="X560" i="46"/>
  <c r="I560" i="46"/>
  <c r="G560" i="46"/>
  <c r="W560" i="46"/>
  <c r="L560" i="46"/>
  <c r="V560" i="46"/>
  <c r="H560" i="46"/>
  <c r="F560" i="46"/>
  <c r="Y560" i="46"/>
  <c r="U560" i="46"/>
  <c r="M560" i="46"/>
  <c r="J560" i="46"/>
  <c r="N560" i="46"/>
  <c r="X564" i="46"/>
  <c r="I564" i="46"/>
  <c r="G564" i="46"/>
  <c r="W564" i="46"/>
  <c r="L564" i="46"/>
  <c r="V564" i="46"/>
  <c r="H564" i="46"/>
  <c r="F564" i="46"/>
  <c r="Y564" i="46"/>
  <c r="U564" i="46"/>
  <c r="M564" i="46"/>
  <c r="J564" i="46"/>
  <c r="N564" i="46"/>
  <c r="X568" i="46"/>
  <c r="I568" i="46"/>
  <c r="G568" i="46"/>
  <c r="W568" i="46"/>
  <c r="L568" i="46"/>
  <c r="V568" i="46"/>
  <c r="H568" i="46"/>
  <c r="F568" i="46"/>
  <c r="Y568" i="46"/>
  <c r="U568" i="46"/>
  <c r="M568" i="46"/>
  <c r="J568" i="46"/>
  <c r="N568" i="46"/>
  <c r="W461" i="46"/>
  <c r="U461" i="46"/>
  <c r="X461" i="46"/>
  <c r="V461" i="46"/>
  <c r="Y461" i="46"/>
  <c r="R402" i="46"/>
  <c r="W250" i="46"/>
  <c r="Y250" i="46"/>
  <c r="U250" i="46"/>
  <c r="V250" i="46"/>
  <c r="X250" i="46"/>
  <c r="W246" i="46"/>
  <c r="Y246" i="46"/>
  <c r="U246" i="46"/>
  <c r="V246" i="46"/>
  <c r="X246" i="46"/>
  <c r="W242" i="46"/>
  <c r="Y242" i="46"/>
  <c r="U242" i="46"/>
  <c r="V242" i="46"/>
  <c r="X242" i="46"/>
  <c r="W238" i="46"/>
  <c r="Y238" i="46"/>
  <c r="U238" i="46"/>
  <c r="V238" i="46"/>
  <c r="X238" i="46"/>
  <c r="W234" i="46"/>
  <c r="Y234" i="46"/>
  <c r="U234" i="46"/>
  <c r="V234" i="46"/>
  <c r="X234" i="46"/>
  <c r="W230" i="46"/>
  <c r="Y230" i="46"/>
  <c r="U230" i="46"/>
  <c r="V230" i="46"/>
  <c r="X230" i="46"/>
  <c r="W226" i="46"/>
  <c r="Y226" i="46"/>
  <c r="U226" i="46"/>
  <c r="V226" i="46"/>
  <c r="X226" i="46"/>
  <c r="W222" i="46"/>
  <c r="Y222" i="46"/>
  <c r="U222" i="46"/>
  <c r="V222" i="46"/>
  <c r="X222" i="46"/>
  <c r="X88" i="46"/>
  <c r="I88" i="46"/>
  <c r="W88" i="46"/>
  <c r="L88" i="46"/>
  <c r="J88" i="46"/>
  <c r="V88" i="46"/>
  <c r="H88" i="46"/>
  <c r="G88" i="46"/>
  <c r="F88" i="46"/>
  <c r="Y88" i="46"/>
  <c r="U88" i="46"/>
  <c r="M88" i="46"/>
  <c r="N88" i="46"/>
  <c r="X112" i="46"/>
  <c r="G112" i="46"/>
  <c r="W112" i="46"/>
  <c r="M112" i="46"/>
  <c r="J112" i="46"/>
  <c r="H112" i="46"/>
  <c r="V112" i="46"/>
  <c r="I112" i="46"/>
  <c r="L112" i="46"/>
  <c r="Y112" i="46"/>
  <c r="U112" i="46"/>
  <c r="F112" i="46"/>
  <c r="N112" i="46"/>
  <c r="X121" i="46"/>
  <c r="H121" i="46"/>
  <c r="W121" i="46"/>
  <c r="M121" i="46"/>
  <c r="L121" i="46"/>
  <c r="G121" i="46"/>
  <c r="V121" i="46"/>
  <c r="I121" i="46"/>
  <c r="J121" i="46"/>
  <c r="F121" i="46"/>
  <c r="Y121" i="46"/>
  <c r="U121" i="46"/>
  <c r="N121" i="46"/>
  <c r="X125" i="46"/>
  <c r="H125" i="46"/>
  <c r="W125" i="46"/>
  <c r="M125" i="46"/>
  <c r="L125" i="46"/>
  <c r="G125" i="46"/>
  <c r="V125" i="46"/>
  <c r="I125" i="46"/>
  <c r="J125" i="46"/>
  <c r="F125" i="46"/>
  <c r="Y125" i="46"/>
  <c r="U125" i="46"/>
  <c r="N125" i="46"/>
  <c r="X129" i="46"/>
  <c r="H129" i="46"/>
  <c r="W129" i="46"/>
  <c r="M129" i="46"/>
  <c r="L129" i="46"/>
  <c r="G129" i="46"/>
  <c r="V129" i="46"/>
  <c r="I129" i="46"/>
  <c r="J129" i="46"/>
  <c r="F129" i="46"/>
  <c r="Y129" i="46"/>
  <c r="U129" i="46"/>
  <c r="N129" i="46"/>
  <c r="X133" i="46"/>
  <c r="H133" i="46"/>
  <c r="W133" i="46"/>
  <c r="M133" i="46"/>
  <c r="L133" i="46"/>
  <c r="G133" i="46"/>
  <c r="V133" i="46"/>
  <c r="I133" i="46"/>
  <c r="J133" i="46"/>
  <c r="F133" i="46"/>
  <c r="Y133" i="46"/>
  <c r="U133" i="46"/>
  <c r="N133" i="46"/>
  <c r="X137" i="46"/>
  <c r="H137" i="46"/>
  <c r="W137" i="46"/>
  <c r="M137" i="46"/>
  <c r="L137" i="46"/>
  <c r="G137" i="46"/>
  <c r="V137" i="46"/>
  <c r="I137" i="46"/>
  <c r="J137" i="46"/>
  <c r="F137" i="46"/>
  <c r="Y137" i="46"/>
  <c r="U137" i="46"/>
  <c r="N137" i="46"/>
  <c r="X141" i="46"/>
  <c r="H141" i="46"/>
  <c r="W141" i="46"/>
  <c r="M141" i="46"/>
  <c r="L141" i="46"/>
  <c r="G141" i="46"/>
  <c r="V141" i="46"/>
  <c r="I141" i="46"/>
  <c r="J141" i="46"/>
  <c r="F141" i="46"/>
  <c r="Y141" i="46"/>
  <c r="U141" i="46"/>
  <c r="N141" i="46"/>
  <c r="X145" i="46"/>
  <c r="H145" i="46"/>
  <c r="W145" i="46"/>
  <c r="M145" i="46"/>
  <c r="L145" i="46"/>
  <c r="G145" i="46"/>
  <c r="V145" i="46"/>
  <c r="I145" i="46"/>
  <c r="J145" i="46"/>
  <c r="F145" i="46"/>
  <c r="Y145" i="46"/>
  <c r="U145" i="46"/>
  <c r="N145" i="46"/>
  <c r="X149" i="46"/>
  <c r="H149" i="46"/>
  <c r="W149" i="46"/>
  <c r="M149" i="46"/>
  <c r="L149" i="46"/>
  <c r="G149" i="46"/>
  <c r="V149" i="46"/>
  <c r="AA149" i="46"/>
  <c r="I149" i="46"/>
  <c r="J149" i="46"/>
  <c r="F149" i="46"/>
  <c r="Y149" i="46"/>
  <c r="U149" i="46"/>
  <c r="N149" i="46"/>
  <c r="X153" i="46"/>
  <c r="H153" i="46"/>
  <c r="W153" i="46"/>
  <c r="M153" i="46"/>
  <c r="L153" i="46"/>
  <c r="G153" i="46"/>
  <c r="V153" i="46"/>
  <c r="I153" i="46"/>
  <c r="J153" i="46"/>
  <c r="F153" i="46"/>
  <c r="Y153" i="46"/>
  <c r="U153" i="46"/>
  <c r="N153" i="46"/>
  <c r="X157" i="46"/>
  <c r="H157" i="46"/>
  <c r="W157" i="46"/>
  <c r="M157" i="46"/>
  <c r="L157" i="46"/>
  <c r="G157" i="46"/>
  <c r="V157" i="46"/>
  <c r="AA157" i="46"/>
  <c r="I157" i="46"/>
  <c r="J157" i="46"/>
  <c r="F157" i="46"/>
  <c r="Y157" i="46"/>
  <c r="U157" i="46"/>
  <c r="N157" i="46"/>
  <c r="X161" i="46"/>
  <c r="H161" i="46"/>
  <c r="W161" i="46"/>
  <c r="M161" i="46"/>
  <c r="L161" i="46"/>
  <c r="G161" i="46"/>
  <c r="V161" i="46"/>
  <c r="I161" i="46"/>
  <c r="J161" i="46"/>
  <c r="F161" i="46"/>
  <c r="Y161" i="46"/>
  <c r="U161" i="46"/>
  <c r="N161" i="46"/>
  <c r="X165" i="46"/>
  <c r="H165" i="46"/>
  <c r="W165" i="46"/>
  <c r="M165" i="46"/>
  <c r="L165" i="46"/>
  <c r="G165" i="46"/>
  <c r="V165" i="46"/>
  <c r="I165" i="46"/>
  <c r="J165" i="46"/>
  <c r="F165" i="46"/>
  <c r="Y165" i="46"/>
  <c r="U165" i="46"/>
  <c r="N165" i="46"/>
  <c r="X169" i="46"/>
  <c r="H169" i="46"/>
  <c r="W169" i="46"/>
  <c r="M169" i="46"/>
  <c r="L169" i="46"/>
  <c r="G169" i="46"/>
  <c r="V169" i="46"/>
  <c r="AA169" i="46"/>
  <c r="I169" i="46"/>
  <c r="J169" i="46"/>
  <c r="F169" i="46"/>
  <c r="Y169" i="46"/>
  <c r="U169" i="46"/>
  <c r="N169" i="46"/>
  <c r="X173" i="46"/>
  <c r="AC173" i="46"/>
  <c r="H173" i="46"/>
  <c r="W173" i="46"/>
  <c r="AB173" i="46"/>
  <c r="M173" i="46"/>
  <c r="L173" i="46"/>
  <c r="G173" i="46"/>
  <c r="V173" i="46"/>
  <c r="I173" i="46"/>
  <c r="J173" i="46"/>
  <c r="F173" i="46"/>
  <c r="Y173" i="46"/>
  <c r="U173" i="46"/>
  <c r="Z173" i="46"/>
  <c r="N173" i="46"/>
  <c r="J363" i="46"/>
  <c r="G363" i="46"/>
  <c r="Y363" i="46"/>
  <c r="N363" i="46"/>
  <c r="H363" i="46"/>
  <c r="J367" i="46"/>
  <c r="G367" i="46"/>
  <c r="Y367" i="46"/>
  <c r="N367" i="46"/>
  <c r="H367" i="46"/>
  <c r="J371" i="46"/>
  <c r="G371" i="46"/>
  <c r="Y371" i="46"/>
  <c r="N371" i="46"/>
  <c r="H371" i="46"/>
  <c r="W387" i="46"/>
  <c r="V387" i="46"/>
  <c r="M387" i="46"/>
  <c r="H387" i="46"/>
  <c r="Y387" i="46"/>
  <c r="U387" i="46"/>
  <c r="I387" i="46"/>
  <c r="L387" i="46"/>
  <c r="G387" i="46"/>
  <c r="N387" i="46"/>
  <c r="X387" i="46"/>
  <c r="J387" i="46"/>
  <c r="F387" i="46"/>
  <c r="W391" i="46"/>
  <c r="V391" i="46"/>
  <c r="M391" i="46"/>
  <c r="H391" i="46"/>
  <c r="Y391" i="46"/>
  <c r="U391" i="46"/>
  <c r="I391" i="46"/>
  <c r="L391" i="46"/>
  <c r="G391" i="46"/>
  <c r="N391" i="46"/>
  <c r="X391" i="46"/>
  <c r="J391" i="46"/>
  <c r="F391" i="46"/>
  <c r="W395" i="46"/>
  <c r="V395" i="46"/>
  <c r="M395" i="46"/>
  <c r="H395" i="46"/>
  <c r="Y395" i="46"/>
  <c r="U395" i="46"/>
  <c r="I395" i="46"/>
  <c r="L395" i="46"/>
  <c r="G395" i="46"/>
  <c r="N395" i="46"/>
  <c r="X395" i="46"/>
  <c r="J395" i="46"/>
  <c r="F395" i="46"/>
  <c r="V408" i="46"/>
  <c r="H408" i="46"/>
  <c r="F408" i="46"/>
  <c r="Y408" i="46"/>
  <c r="U408" i="46"/>
  <c r="M408" i="46"/>
  <c r="J408" i="46"/>
  <c r="N408" i="46"/>
  <c r="X408" i="46"/>
  <c r="I408" i="46"/>
  <c r="G408" i="46"/>
  <c r="W408" i="46"/>
  <c r="L408" i="46"/>
  <c r="V412" i="46"/>
  <c r="AA412" i="46"/>
  <c r="H412" i="46"/>
  <c r="F412" i="46"/>
  <c r="Y412" i="46"/>
  <c r="U412" i="46"/>
  <c r="M412" i="46"/>
  <c r="J412" i="46"/>
  <c r="N412" i="46"/>
  <c r="X412" i="46"/>
  <c r="I412" i="46"/>
  <c r="G412" i="46"/>
  <c r="W412" i="46"/>
  <c r="L412" i="46"/>
  <c r="V416" i="46"/>
  <c r="H416" i="46"/>
  <c r="F416" i="46"/>
  <c r="Y416" i="46"/>
  <c r="U416" i="46"/>
  <c r="M416" i="46"/>
  <c r="J416" i="46"/>
  <c r="N416" i="46"/>
  <c r="X416" i="46"/>
  <c r="I416" i="46"/>
  <c r="G416" i="46"/>
  <c r="W416" i="46"/>
  <c r="L416" i="46"/>
  <c r="W561" i="46"/>
  <c r="J561" i="46"/>
  <c r="V561" i="46"/>
  <c r="M561" i="46"/>
  <c r="G561" i="46"/>
  <c r="Y561" i="46"/>
  <c r="U561" i="46"/>
  <c r="I561" i="46"/>
  <c r="L561" i="46"/>
  <c r="N561" i="46"/>
  <c r="X561" i="46"/>
  <c r="H561" i="46"/>
  <c r="F561" i="46"/>
  <c r="W565" i="46"/>
  <c r="J565" i="46"/>
  <c r="V565" i="46"/>
  <c r="M565" i="46"/>
  <c r="G565" i="46"/>
  <c r="Y565" i="46"/>
  <c r="U565" i="46"/>
  <c r="I565" i="46"/>
  <c r="L565" i="46"/>
  <c r="N565" i="46"/>
  <c r="X565" i="46"/>
  <c r="H565" i="46"/>
  <c r="F565" i="46"/>
  <c r="AT582" i="46"/>
  <c r="AT2" i="46"/>
  <c r="BF575" i="46"/>
  <c r="BF97" i="46"/>
  <c r="I522" i="46"/>
  <c r="I530" i="46"/>
  <c r="U6" i="46"/>
  <c r="Y6" i="46"/>
  <c r="X7" i="46"/>
  <c r="W8" i="46"/>
  <c r="V9" i="46"/>
  <c r="U10" i="46"/>
  <c r="Y10" i="46"/>
  <c r="X11" i="46"/>
  <c r="W12" i="46"/>
  <c r="V13" i="46"/>
  <c r="U14" i="46"/>
  <c r="U15" i="46"/>
  <c r="Y15" i="46"/>
  <c r="V23" i="46"/>
  <c r="X25" i="46"/>
  <c r="AC25" i="46"/>
  <c r="V27" i="46"/>
  <c r="X29" i="46"/>
  <c r="V31" i="46"/>
  <c r="X33" i="46"/>
  <c r="V35" i="46"/>
  <c r="X37" i="46"/>
  <c r="V39" i="46"/>
  <c r="X41" i="46"/>
  <c r="U53" i="46"/>
  <c r="Y53" i="46"/>
  <c r="X54" i="46"/>
  <c r="W55" i="46"/>
  <c r="V56" i="46"/>
  <c r="U57" i="46"/>
  <c r="Y57" i="46"/>
  <c r="X58" i="46"/>
  <c r="W59" i="46"/>
  <c r="X71" i="46"/>
  <c r="W72" i="46"/>
  <c r="V73" i="46"/>
  <c r="U74" i="46"/>
  <c r="Y74" i="46"/>
  <c r="X75" i="46"/>
  <c r="V77" i="46"/>
  <c r="U78" i="46"/>
  <c r="Y78" i="46"/>
  <c r="W86" i="46"/>
  <c r="V87" i="46"/>
  <c r="AA87" i="46"/>
  <c r="V421" i="46"/>
  <c r="AA421" i="46"/>
  <c r="X468" i="46"/>
  <c r="W469" i="46"/>
  <c r="V470" i="46"/>
  <c r="U471" i="46"/>
  <c r="Y471" i="46"/>
  <c r="X472" i="46"/>
  <c r="W473" i="46"/>
  <c r="V474" i="46"/>
  <c r="U475" i="46"/>
  <c r="Y475" i="46"/>
  <c r="X476" i="46"/>
  <c r="W477" i="46"/>
  <c r="V478" i="46"/>
  <c r="U479" i="46"/>
  <c r="Y479" i="46"/>
  <c r="X480" i="46"/>
  <c r="W481" i="46"/>
  <c r="V482" i="46"/>
  <c r="U483" i="46"/>
  <c r="Y483" i="46"/>
  <c r="X484" i="46"/>
  <c r="W485" i="46"/>
  <c r="V503" i="46"/>
  <c r="U504" i="46"/>
  <c r="Y504" i="46"/>
  <c r="X505" i="46"/>
  <c r="W506" i="46"/>
  <c r="V507" i="46"/>
  <c r="U508" i="46"/>
  <c r="Y508" i="46"/>
  <c r="W516" i="46"/>
  <c r="V517" i="46"/>
  <c r="AA517" i="46"/>
  <c r="U518" i="46"/>
  <c r="Z518" i="46"/>
  <c r="Y518" i="46"/>
  <c r="X519" i="46"/>
  <c r="AC519" i="46"/>
  <c r="W520" i="46"/>
  <c r="V521" i="46"/>
  <c r="U522" i="46"/>
  <c r="Y522" i="46"/>
  <c r="X523" i="46"/>
  <c r="W524" i="46"/>
  <c r="V525" i="46"/>
  <c r="U526" i="46"/>
  <c r="Y526" i="46"/>
  <c r="X527" i="46"/>
  <c r="W528" i="46"/>
  <c r="V529" i="46"/>
  <c r="U530" i="46"/>
  <c r="Y530" i="46"/>
  <c r="X531" i="46"/>
  <c r="W532" i="46"/>
  <c r="V533" i="46"/>
  <c r="U534" i="46"/>
  <c r="Y534" i="46"/>
  <c r="X535" i="46"/>
  <c r="W536" i="46"/>
  <c r="V537" i="46"/>
  <c r="BA498" i="49"/>
  <c r="BE465" i="46"/>
  <c r="BE575" i="46"/>
  <c r="U553" i="46"/>
  <c r="U546" i="46"/>
  <c r="U540" i="46"/>
  <c r="BL113" i="46"/>
  <c r="BL111" i="46"/>
  <c r="BL571" i="46"/>
  <c r="BL567" i="46"/>
  <c r="BL547" i="46"/>
  <c r="BL538" i="46"/>
  <c r="BL543" i="46"/>
  <c r="BL546" i="46"/>
  <c r="BL508" i="46"/>
  <c r="BL496" i="46"/>
  <c r="BL486" i="46"/>
  <c r="BL449" i="46"/>
  <c r="BL438" i="46"/>
  <c r="BL440" i="46"/>
  <c r="BL461" i="46"/>
  <c r="BL459" i="46"/>
  <c r="BL445" i="46"/>
  <c r="BL436" i="46"/>
  <c r="BL451" i="46"/>
  <c r="BL454" i="46"/>
  <c r="BF403" i="46"/>
  <c r="V400" i="46"/>
  <c r="X400" i="46"/>
  <c r="BL376" i="46"/>
  <c r="BL379" i="46"/>
  <c r="BL373" i="46"/>
  <c r="BL361" i="46"/>
  <c r="BL362" i="46"/>
  <c r="BL363" i="46"/>
  <c r="BL372" i="46"/>
  <c r="BL368" i="46"/>
  <c r="BL366" i="46"/>
  <c r="BL365" i="46"/>
  <c r="BL218" i="46"/>
  <c r="BL250" i="46"/>
  <c r="BL302" i="46"/>
  <c r="BL230" i="46"/>
  <c r="BL331" i="46"/>
  <c r="BL188" i="46"/>
  <c r="BL184" i="46"/>
  <c r="BL182" i="46"/>
  <c r="BL324" i="46"/>
  <c r="BL339" i="46"/>
  <c r="BL313" i="46"/>
  <c r="BL244" i="46"/>
  <c r="BL245" i="46"/>
  <c r="BL217" i="46"/>
  <c r="BL267" i="46"/>
  <c r="BL231" i="46"/>
  <c r="BL232" i="46"/>
  <c r="BL318" i="46"/>
  <c r="BL236" i="46"/>
  <c r="BL329" i="46"/>
  <c r="BL246" i="46"/>
  <c r="BL193" i="46"/>
  <c r="BL274" i="46"/>
  <c r="BL275" i="46"/>
  <c r="BL209" i="46"/>
  <c r="BL305" i="46"/>
  <c r="BL347" i="46"/>
  <c r="BL202" i="46"/>
  <c r="BL264" i="46"/>
  <c r="BL255" i="46"/>
  <c r="BL261" i="46"/>
  <c r="V554" i="46"/>
  <c r="V547" i="46"/>
  <c r="V542" i="46"/>
  <c r="W550" i="46"/>
  <c r="W545" i="46"/>
  <c r="W538" i="46"/>
  <c r="X554" i="46"/>
  <c r="X550" i="46"/>
  <c r="X547" i="46"/>
  <c r="X545" i="46"/>
  <c r="X542" i="46"/>
  <c r="X538" i="46"/>
  <c r="BL190" i="46"/>
  <c r="BL200" i="46"/>
  <c r="V457" i="46"/>
  <c r="V452" i="46"/>
  <c r="V448" i="46"/>
  <c r="V443" i="46"/>
  <c r="V438" i="46"/>
  <c r="V434" i="46"/>
  <c r="V430" i="46"/>
  <c r="V424" i="46"/>
  <c r="W459" i="46"/>
  <c r="W454" i="46"/>
  <c r="W450" i="46"/>
  <c r="W445" i="46"/>
  <c r="W441" i="46"/>
  <c r="W436" i="46"/>
  <c r="W432" i="46"/>
  <c r="W427" i="46"/>
  <c r="X457" i="46"/>
  <c r="X452" i="46"/>
  <c r="X448" i="46"/>
  <c r="X443" i="46"/>
  <c r="X438" i="46"/>
  <c r="X434" i="46"/>
  <c r="X430" i="46"/>
  <c r="X424" i="46"/>
  <c r="BL271" i="46"/>
  <c r="BL344" i="46"/>
  <c r="BL296" i="46"/>
  <c r="BL201" i="46"/>
  <c r="BF106" i="46"/>
  <c r="BL93" i="46"/>
  <c r="W93" i="46"/>
  <c r="X94" i="46"/>
  <c r="BL80" i="46"/>
  <c r="BL72" i="46"/>
  <c r="BL74" i="46"/>
  <c r="BL71" i="46"/>
  <c r="BL73" i="46"/>
  <c r="BL75" i="46"/>
  <c r="BL76" i="46"/>
  <c r="BL78" i="46"/>
  <c r="X80" i="46"/>
  <c r="BL47" i="46"/>
  <c r="BL44" i="46"/>
  <c r="B315" i="46"/>
  <c r="B313" i="46"/>
  <c r="B311" i="46"/>
  <c r="B309" i="46"/>
  <c r="B307" i="46"/>
  <c r="B305" i="46"/>
  <c r="B302" i="46"/>
  <c r="B299" i="46"/>
  <c r="B297" i="46"/>
  <c r="B249" i="46"/>
  <c r="B247" i="46"/>
  <c r="B245" i="46"/>
  <c r="B243" i="46"/>
  <c r="B241" i="46"/>
  <c r="B239" i="46"/>
  <c r="B237" i="46"/>
  <c r="B235" i="46"/>
  <c r="B233" i="46"/>
  <c r="B231" i="46"/>
  <c r="B229" i="46"/>
  <c r="B227" i="46"/>
  <c r="B225" i="46"/>
  <c r="B223" i="46"/>
  <c r="B196" i="46"/>
  <c r="B194" i="46"/>
  <c r="B192" i="46"/>
  <c r="B190" i="46"/>
  <c r="B188" i="46"/>
  <c r="B186" i="46"/>
  <c r="B184" i="46"/>
  <c r="B182" i="46"/>
  <c r="B180" i="46"/>
  <c r="B178" i="46"/>
  <c r="R578" i="46"/>
  <c r="O553" i="46"/>
  <c r="R553" i="46"/>
  <c r="O551" i="46"/>
  <c r="R551" i="46"/>
  <c r="O549" i="46"/>
  <c r="R549" i="46"/>
  <c r="O547" i="46"/>
  <c r="R547" i="46"/>
  <c r="O545" i="46"/>
  <c r="R545" i="46"/>
  <c r="O543" i="46"/>
  <c r="R543" i="46"/>
  <c r="O541" i="46"/>
  <c r="R541" i="46"/>
  <c r="O539" i="46"/>
  <c r="R539" i="46"/>
  <c r="O316" i="46"/>
  <c r="R316" i="46"/>
  <c r="O314" i="46"/>
  <c r="R314" i="46"/>
  <c r="O312" i="46"/>
  <c r="R312" i="46"/>
  <c r="O310" i="46"/>
  <c r="R310" i="46"/>
  <c r="O308" i="46"/>
  <c r="R308" i="46"/>
  <c r="O306" i="46"/>
  <c r="R306" i="46"/>
  <c r="O304" i="46"/>
  <c r="R304" i="46"/>
  <c r="O302" i="46"/>
  <c r="R302" i="46"/>
  <c r="O300" i="46"/>
  <c r="R300" i="46"/>
  <c r="O298" i="46"/>
  <c r="R298" i="46"/>
  <c r="O296" i="46"/>
  <c r="R296" i="46"/>
  <c r="O250" i="46"/>
  <c r="R250" i="46"/>
  <c r="O248" i="46"/>
  <c r="R248" i="46"/>
  <c r="O246" i="46"/>
  <c r="R246" i="46"/>
  <c r="O244" i="46"/>
  <c r="R244" i="46"/>
  <c r="O242" i="46"/>
  <c r="R242" i="46"/>
  <c r="O240" i="46"/>
  <c r="R240" i="46"/>
  <c r="O238" i="46"/>
  <c r="R238" i="46"/>
  <c r="O236" i="46"/>
  <c r="R236" i="46"/>
  <c r="O234" i="46"/>
  <c r="R234" i="46"/>
  <c r="O232" i="46"/>
  <c r="R232" i="46"/>
  <c r="O230" i="46"/>
  <c r="R230" i="46"/>
  <c r="O228" i="46"/>
  <c r="R228" i="46"/>
  <c r="O226" i="46"/>
  <c r="R226" i="46"/>
  <c r="O224" i="46"/>
  <c r="R224" i="46"/>
  <c r="O222" i="46"/>
  <c r="R222" i="46"/>
  <c r="O196" i="46"/>
  <c r="R196" i="46"/>
  <c r="O194" i="46"/>
  <c r="R194" i="46"/>
  <c r="O192" i="46"/>
  <c r="R192" i="46"/>
  <c r="O190" i="46"/>
  <c r="R190" i="46"/>
  <c r="O188" i="46"/>
  <c r="R188" i="46"/>
  <c r="O186" i="46"/>
  <c r="R186" i="46"/>
  <c r="O184" i="46"/>
  <c r="R184" i="46"/>
  <c r="O182" i="46"/>
  <c r="R182" i="46"/>
  <c r="O180" i="46"/>
  <c r="R180" i="46"/>
  <c r="O178" i="46"/>
  <c r="R178" i="46"/>
  <c r="O64" i="46"/>
  <c r="R64" i="46"/>
  <c r="P554" i="46"/>
  <c r="P552" i="46"/>
  <c r="P550" i="46"/>
  <c r="P548" i="46"/>
  <c r="P546" i="46"/>
  <c r="P544" i="46"/>
  <c r="P542" i="46"/>
  <c r="P540" i="46"/>
  <c r="P538" i="46"/>
  <c r="P316" i="46"/>
  <c r="P314" i="46"/>
  <c r="P312" i="46"/>
  <c r="P310" i="46"/>
  <c r="P308" i="46"/>
  <c r="P306" i="46"/>
  <c r="P304" i="46"/>
  <c r="P300" i="46"/>
  <c r="P298" i="46"/>
  <c r="P296" i="46"/>
  <c r="P250" i="46"/>
  <c r="P248" i="46"/>
  <c r="P246" i="46"/>
  <c r="P244" i="46"/>
  <c r="P242" i="46"/>
  <c r="P240" i="46"/>
  <c r="P238" i="46"/>
  <c r="P236" i="46"/>
  <c r="P234" i="46"/>
  <c r="P232" i="46"/>
  <c r="P230" i="46"/>
  <c r="P228" i="46"/>
  <c r="P226" i="46"/>
  <c r="P224" i="46"/>
  <c r="P222" i="46"/>
  <c r="P197" i="46"/>
  <c r="P195" i="46"/>
  <c r="P193" i="46"/>
  <c r="P191" i="46"/>
  <c r="P189" i="46"/>
  <c r="P187" i="46"/>
  <c r="P185" i="46"/>
  <c r="P183" i="46"/>
  <c r="P181" i="46"/>
  <c r="P179" i="46"/>
  <c r="P177" i="46"/>
  <c r="BL6" i="46"/>
  <c r="N8" i="46"/>
  <c r="N12" i="46"/>
  <c r="N25" i="46"/>
  <c r="N29" i="46"/>
  <c r="N33" i="46"/>
  <c r="N37" i="46"/>
  <c r="N41" i="46"/>
  <c r="N54" i="46"/>
  <c r="N58" i="46"/>
  <c r="N71" i="46"/>
  <c r="N75" i="46"/>
  <c r="N468" i="46"/>
  <c r="N472" i="46"/>
  <c r="F13" i="46"/>
  <c r="F9" i="46"/>
  <c r="G13" i="46"/>
  <c r="G9" i="46"/>
  <c r="H13" i="46"/>
  <c r="H9" i="46"/>
  <c r="J14" i="46"/>
  <c r="J10" i="46"/>
  <c r="J6" i="46"/>
  <c r="L14" i="46"/>
  <c r="L10" i="46"/>
  <c r="L6" i="46"/>
  <c r="G41" i="46"/>
  <c r="G37" i="46"/>
  <c r="G33" i="46"/>
  <c r="G29" i="46"/>
  <c r="G25" i="46"/>
  <c r="L39" i="46"/>
  <c r="L35" i="46"/>
  <c r="L31" i="46"/>
  <c r="L27" i="46"/>
  <c r="L23" i="46"/>
  <c r="F57" i="46"/>
  <c r="F53" i="46"/>
  <c r="G59" i="46"/>
  <c r="G55" i="46"/>
  <c r="H57" i="46"/>
  <c r="H53" i="46"/>
  <c r="J56" i="46"/>
  <c r="L58" i="46"/>
  <c r="L54" i="46"/>
  <c r="F75" i="46"/>
  <c r="F71" i="46"/>
  <c r="G77" i="46"/>
  <c r="G73" i="46"/>
  <c r="H75" i="46"/>
  <c r="H71" i="46"/>
  <c r="J78" i="46"/>
  <c r="J74" i="46"/>
  <c r="L76" i="46"/>
  <c r="L72" i="46"/>
  <c r="F477" i="46"/>
  <c r="F473" i="46"/>
  <c r="F469" i="46"/>
  <c r="G484" i="46"/>
  <c r="G480" i="46"/>
  <c r="G476" i="46"/>
  <c r="G472" i="46"/>
  <c r="G468" i="46"/>
  <c r="H475" i="46"/>
  <c r="H471" i="46"/>
  <c r="J475" i="46"/>
  <c r="J471" i="46"/>
  <c r="L482" i="46"/>
  <c r="L478" i="46"/>
  <c r="L474" i="46"/>
  <c r="L470" i="46"/>
  <c r="J503" i="46"/>
  <c r="J513" i="46"/>
  <c r="L503" i="46"/>
  <c r="I23" i="46"/>
  <c r="I25" i="46"/>
  <c r="I27" i="46"/>
  <c r="I29" i="46"/>
  <c r="I31" i="46"/>
  <c r="I33" i="46"/>
  <c r="I35" i="46"/>
  <c r="I37" i="46"/>
  <c r="I39" i="46"/>
  <c r="I41" i="46"/>
  <c r="P40" i="46"/>
  <c r="P36" i="46"/>
  <c r="P32" i="46"/>
  <c r="P28" i="46"/>
  <c r="P24" i="46"/>
  <c r="M39" i="46"/>
  <c r="M35" i="46"/>
  <c r="M31" i="46"/>
  <c r="M27" i="46"/>
  <c r="K27" i="46"/>
  <c r="M23" i="46"/>
  <c r="F39" i="46"/>
  <c r="B38" i="46"/>
  <c r="F35" i="46"/>
  <c r="B34" i="46"/>
  <c r="F31" i="46"/>
  <c r="B30" i="46"/>
  <c r="F27" i="46"/>
  <c r="B26" i="46"/>
  <c r="F23" i="46"/>
  <c r="B22" i="46"/>
  <c r="M7" i="46"/>
  <c r="M9" i="46"/>
  <c r="K9" i="46"/>
  <c r="M11" i="46"/>
  <c r="K11" i="46"/>
  <c r="M13" i="46"/>
  <c r="K13" i="46"/>
  <c r="M15" i="46"/>
  <c r="K15" i="46"/>
  <c r="M54" i="46"/>
  <c r="M56" i="46"/>
  <c r="K56" i="46"/>
  <c r="M58" i="46"/>
  <c r="M71" i="46"/>
  <c r="M73" i="46"/>
  <c r="K73" i="46"/>
  <c r="M75" i="46"/>
  <c r="K75" i="46"/>
  <c r="M77" i="46"/>
  <c r="K77" i="46"/>
  <c r="M86" i="46"/>
  <c r="I421" i="46"/>
  <c r="K421" i="46"/>
  <c r="M469" i="46"/>
  <c r="K469" i="46"/>
  <c r="M471" i="46"/>
  <c r="K471" i="46"/>
  <c r="M473" i="46"/>
  <c r="K473" i="46"/>
  <c r="M475" i="46"/>
  <c r="K475" i="46"/>
  <c r="M477" i="46"/>
  <c r="K477" i="46"/>
  <c r="M479" i="46"/>
  <c r="K479" i="46"/>
  <c r="M481" i="46"/>
  <c r="K481" i="46"/>
  <c r="M483" i="46"/>
  <c r="K483" i="46"/>
  <c r="M485" i="46"/>
  <c r="K485" i="46"/>
  <c r="M504" i="46"/>
  <c r="K504" i="46"/>
  <c r="M506" i="46"/>
  <c r="K506" i="46"/>
  <c r="M508" i="46"/>
  <c r="K508" i="46"/>
  <c r="M517" i="46"/>
  <c r="K517" i="46"/>
  <c r="M520" i="46"/>
  <c r="K520" i="46"/>
  <c r="M522" i="46"/>
  <c r="K522" i="46"/>
  <c r="M524" i="46"/>
  <c r="K524" i="46"/>
  <c r="M526" i="46"/>
  <c r="K526" i="46"/>
  <c r="M528" i="46"/>
  <c r="K528" i="46"/>
  <c r="M530" i="46"/>
  <c r="K530" i="46"/>
  <c r="M532" i="46"/>
  <c r="K532" i="46"/>
  <c r="M534" i="46"/>
  <c r="K534" i="46"/>
  <c r="M536" i="46"/>
  <c r="K536" i="46"/>
  <c r="V6" i="46"/>
  <c r="U7" i="46"/>
  <c r="Y7" i="46"/>
  <c r="X8" i="46"/>
  <c r="W9" i="46"/>
  <c r="V10" i="46"/>
  <c r="U11" i="46"/>
  <c r="Y11" i="46"/>
  <c r="X12" i="46"/>
  <c r="W13" i="46"/>
  <c r="W14" i="46"/>
  <c r="V15" i="46"/>
  <c r="V14" i="46"/>
  <c r="W23" i="46"/>
  <c r="U25" i="46"/>
  <c r="Z25" i="46"/>
  <c r="Y25" i="46"/>
  <c r="W27" i="46"/>
  <c r="U29" i="46"/>
  <c r="Y29" i="46"/>
  <c r="W31" i="46"/>
  <c r="U33" i="46"/>
  <c r="Y33" i="46"/>
  <c r="W35" i="46"/>
  <c r="U37" i="46"/>
  <c r="Y37" i="46"/>
  <c r="W39" i="46"/>
  <c r="U41" i="46"/>
  <c r="Y41" i="46"/>
  <c r="V53" i="46"/>
  <c r="U54" i="46"/>
  <c r="Y54" i="46"/>
  <c r="X55" i="46"/>
  <c r="W56" i="46"/>
  <c r="V57" i="46"/>
  <c r="U58" i="46"/>
  <c r="Y58" i="46"/>
  <c r="X59" i="46"/>
  <c r="U71" i="46"/>
  <c r="Y71" i="46"/>
  <c r="X72" i="46"/>
  <c r="W73" i="46"/>
  <c r="V74" i="46"/>
  <c r="U75" i="46"/>
  <c r="Y75" i="46"/>
  <c r="X76" i="46"/>
  <c r="W77" i="46"/>
  <c r="V78" i="46"/>
  <c r="X86" i="46"/>
  <c r="W87" i="46"/>
  <c r="AB87" i="46"/>
  <c r="W421" i="46"/>
  <c r="AB421" i="46"/>
  <c r="U468" i="46"/>
  <c r="Y468" i="46"/>
  <c r="X469" i="46"/>
  <c r="W470" i="46"/>
  <c r="V471" i="46"/>
  <c r="U472" i="46"/>
  <c r="Y472" i="46"/>
  <c r="X473" i="46"/>
  <c r="W474" i="46"/>
  <c r="V475" i="46"/>
  <c r="U476" i="46"/>
  <c r="Y476" i="46"/>
  <c r="X477" i="46"/>
  <c r="W478" i="46"/>
  <c r="V479" i="46"/>
  <c r="U480" i="46"/>
  <c r="Y480" i="46"/>
  <c r="X481" i="46"/>
  <c r="W482" i="46"/>
  <c r="V483" i="46"/>
  <c r="U484" i="46"/>
  <c r="Y484" i="46"/>
  <c r="X485" i="46"/>
  <c r="W503" i="46"/>
  <c r="V504" i="46"/>
  <c r="U505" i="46"/>
  <c r="Y505" i="46"/>
  <c r="X506" i="46"/>
  <c r="W507" i="46"/>
  <c r="V508" i="46"/>
  <c r="X516" i="46"/>
  <c r="W517" i="46"/>
  <c r="AB517" i="46"/>
  <c r="V518" i="46"/>
  <c r="AA518" i="46"/>
  <c r="U519" i="46"/>
  <c r="Z519" i="46"/>
  <c r="Y519" i="46"/>
  <c r="X520" i="46"/>
  <c r="W521" i="46"/>
  <c r="V522" i="46"/>
  <c r="U523" i="46"/>
  <c r="Y523" i="46"/>
  <c r="X524" i="46"/>
  <c r="W525" i="46"/>
  <c r="V526" i="46"/>
  <c r="U527" i="46"/>
  <c r="Y527" i="46"/>
  <c r="X528" i="46"/>
  <c r="W529" i="46"/>
  <c r="V530" i="46"/>
  <c r="U531" i="46"/>
  <c r="Y531" i="46"/>
  <c r="X532" i="46"/>
  <c r="W533" i="46"/>
  <c r="V534" i="46"/>
  <c r="U535" i="46"/>
  <c r="Y535" i="46"/>
  <c r="X536" i="46"/>
  <c r="W537" i="46"/>
  <c r="V553" i="46"/>
  <c r="BF83" i="46"/>
  <c r="BF19" i="46"/>
  <c r="I6" i="46"/>
  <c r="I8" i="46"/>
  <c r="I10" i="46"/>
  <c r="I12" i="46"/>
  <c r="I14" i="46"/>
  <c r="I53" i="46"/>
  <c r="I55" i="46"/>
  <c r="I57" i="46"/>
  <c r="I59" i="46"/>
  <c r="I72" i="46"/>
  <c r="I74" i="46"/>
  <c r="I76" i="46"/>
  <c r="I78" i="46"/>
  <c r="I87" i="46"/>
  <c r="I468" i="46"/>
  <c r="I470" i="46"/>
  <c r="I472" i="46"/>
  <c r="I474" i="46"/>
  <c r="I476" i="46"/>
  <c r="I478" i="46"/>
  <c r="I480" i="46"/>
  <c r="I482" i="46"/>
  <c r="I484" i="46"/>
  <c r="I503" i="46"/>
  <c r="I505" i="46"/>
  <c r="I507" i="46"/>
  <c r="I516" i="46"/>
  <c r="I518" i="46"/>
  <c r="I521" i="46"/>
  <c r="I523" i="46"/>
  <c r="I525" i="46"/>
  <c r="I527" i="46"/>
  <c r="I529" i="46"/>
  <c r="I531" i="46"/>
  <c r="I533" i="46"/>
  <c r="I535" i="46"/>
  <c r="I537" i="46"/>
  <c r="W6" i="46"/>
  <c r="V7" i="46"/>
  <c r="U8" i="46"/>
  <c r="Y8" i="46"/>
  <c r="X9" i="46"/>
  <c r="W10" i="46"/>
  <c r="V11" i="46"/>
  <c r="U12" i="46"/>
  <c r="Y12" i="46"/>
  <c r="X13" i="46"/>
  <c r="X14" i="46"/>
  <c r="W15" i="46"/>
  <c r="X23" i="46"/>
  <c r="V25" i="46"/>
  <c r="AA25" i="46"/>
  <c r="X27" i="46"/>
  <c r="V29" i="46"/>
  <c r="X31" i="46"/>
  <c r="V33" i="46"/>
  <c r="X35" i="46"/>
  <c r="V37" i="46"/>
  <c r="X39" i="46"/>
  <c r="V41" i="46"/>
  <c r="W53" i="46"/>
  <c r="V54" i="46"/>
  <c r="U55" i="46"/>
  <c r="Y55" i="46"/>
  <c r="X56" i="46"/>
  <c r="W57" i="46"/>
  <c r="V58" i="46"/>
  <c r="U59" i="46"/>
  <c r="Y59" i="46"/>
  <c r="V71" i="46"/>
  <c r="U72" i="46"/>
  <c r="Y72" i="46"/>
  <c r="X73" i="46"/>
  <c r="W74" i="46"/>
  <c r="V75" i="46"/>
  <c r="U76" i="46"/>
  <c r="Y76" i="46"/>
  <c r="X77" i="46"/>
  <c r="W78" i="46"/>
  <c r="U86" i="46"/>
  <c r="Y86" i="46"/>
  <c r="X87" i="46"/>
  <c r="AC87" i="46"/>
  <c r="X421" i="46"/>
  <c r="AC421" i="46"/>
  <c r="V468" i="46"/>
  <c r="U469" i="46"/>
  <c r="Y469" i="46"/>
  <c r="X470" i="46"/>
  <c r="W471" i="46"/>
  <c r="V472" i="46"/>
  <c r="U473" i="46"/>
  <c r="Y473" i="46"/>
  <c r="X474" i="46"/>
  <c r="W475" i="46"/>
  <c r="V476" i="46"/>
  <c r="U477" i="46"/>
  <c r="Y477" i="46"/>
  <c r="X478" i="46"/>
  <c r="W479" i="46"/>
  <c r="V480" i="46"/>
  <c r="U481" i="46"/>
  <c r="Y481" i="46"/>
  <c r="X482" i="46"/>
  <c r="W483" i="46"/>
  <c r="V484" i="46"/>
  <c r="U485" i="46"/>
  <c r="Y485" i="46"/>
  <c r="X503" i="46"/>
  <c r="W504" i="46"/>
  <c r="V505" i="46"/>
  <c r="U506" i="46"/>
  <c r="Y506" i="46"/>
  <c r="X507" i="46"/>
  <c r="W508" i="46"/>
  <c r="U516" i="46"/>
  <c r="Y516" i="46"/>
  <c r="X517" i="46"/>
  <c r="AC517" i="46"/>
  <c r="W518" i="46"/>
  <c r="AB518" i="46"/>
  <c r="V519" i="46"/>
  <c r="AA519" i="46"/>
  <c r="U520" i="46"/>
  <c r="Y520" i="46"/>
  <c r="X521" i="46"/>
  <c r="W522" i="46"/>
  <c r="V523" i="46"/>
  <c r="U524" i="46"/>
  <c r="Y524" i="46"/>
  <c r="X525" i="46"/>
  <c r="W526" i="46"/>
  <c r="V527" i="46"/>
  <c r="U528" i="46"/>
  <c r="Y528" i="46"/>
  <c r="X529" i="46"/>
  <c r="W530" i="46"/>
  <c r="V531" i="46"/>
  <c r="U532" i="46"/>
  <c r="Y532" i="46"/>
  <c r="X533" i="46"/>
  <c r="W534" i="46"/>
  <c r="V535" i="46"/>
  <c r="U536" i="46"/>
  <c r="Y536" i="46"/>
  <c r="X537" i="46"/>
  <c r="U549" i="46"/>
  <c r="U543" i="46"/>
  <c r="U398" i="46"/>
  <c r="BL114" i="46"/>
  <c r="BL568" i="46"/>
  <c r="BL563" i="46"/>
  <c r="BL565" i="46"/>
  <c r="BL562" i="46"/>
  <c r="BL561" i="46"/>
  <c r="BL560" i="46"/>
  <c r="BL566" i="46"/>
  <c r="BL564" i="46"/>
  <c r="BL540" i="46"/>
  <c r="BL542" i="46"/>
  <c r="BL534" i="46"/>
  <c r="BF513" i="46"/>
  <c r="BL493" i="46"/>
  <c r="BL490" i="46"/>
  <c r="BL484" i="46"/>
  <c r="BL497" i="46"/>
  <c r="BL426" i="46"/>
  <c r="BL456" i="46"/>
  <c r="BL460" i="46"/>
  <c r="BL452" i="46"/>
  <c r="BL450" i="46"/>
  <c r="BL434" i="46"/>
  <c r="BL441" i="46"/>
  <c r="BL431" i="46"/>
  <c r="BL457" i="46"/>
  <c r="BL409" i="46"/>
  <c r="BL400" i="46"/>
  <c r="BL380" i="46"/>
  <c r="BL371" i="46"/>
  <c r="BL203" i="46"/>
  <c r="BL346" i="46"/>
  <c r="BL180" i="46"/>
  <c r="BL187" i="46"/>
  <c r="BL276" i="46"/>
  <c r="BL310" i="46"/>
  <c r="BL308" i="46"/>
  <c r="BL233" i="46"/>
  <c r="BL212" i="46"/>
  <c r="BL179" i="46"/>
  <c r="BL322" i="46"/>
  <c r="BL279" i="46"/>
  <c r="BL206" i="46"/>
  <c r="BL272" i="46"/>
  <c r="BL249" i="46"/>
  <c r="BL189" i="46"/>
  <c r="BL207" i="46"/>
  <c r="BL335" i="46"/>
  <c r="BL223" i="46"/>
  <c r="BL283" i="46"/>
  <c r="BL343" i="46"/>
  <c r="BL266" i="46"/>
  <c r="BL199" i="46"/>
  <c r="BL330" i="46"/>
  <c r="BL253" i="46"/>
  <c r="BL260" i="46"/>
  <c r="BL256" i="46"/>
  <c r="BL492" i="46"/>
  <c r="BL220" i="46"/>
  <c r="BL309" i="46"/>
  <c r="BL491" i="46"/>
  <c r="V459" i="46"/>
  <c r="V454" i="46"/>
  <c r="V450" i="46"/>
  <c r="V445" i="46"/>
  <c r="V441" i="46"/>
  <c r="V436" i="46"/>
  <c r="V432" i="46"/>
  <c r="V427" i="46"/>
  <c r="W457" i="46"/>
  <c r="W452" i="46"/>
  <c r="W448" i="46"/>
  <c r="W443" i="46"/>
  <c r="W438" i="46"/>
  <c r="W434" i="46"/>
  <c r="W430" i="46"/>
  <c r="W424" i="46"/>
  <c r="X459" i="46"/>
  <c r="X454" i="46"/>
  <c r="X450" i="46"/>
  <c r="X445" i="46"/>
  <c r="X441" i="46"/>
  <c r="X436" i="46"/>
  <c r="X432" i="46"/>
  <c r="X427" i="46"/>
  <c r="BL270" i="46"/>
  <c r="BL228" i="46"/>
  <c r="BL340" i="46"/>
  <c r="BL242" i="46"/>
  <c r="BL173" i="46"/>
  <c r="BL129" i="46"/>
  <c r="BL123" i="46"/>
  <c r="BL102" i="46"/>
  <c r="BL103" i="46"/>
  <c r="BL86" i="46"/>
  <c r="BL89" i="46"/>
  <c r="BL88" i="46"/>
  <c r="BL90" i="46"/>
  <c r="BL63" i="46"/>
  <c r="BL64" i="46"/>
  <c r="BL53" i="46"/>
  <c r="BL59" i="46"/>
  <c r="BL34" i="46"/>
  <c r="BL7" i="46"/>
  <c r="BL16" i="46"/>
  <c r="BL8" i="46"/>
  <c r="BL13" i="46"/>
  <c r="BL15" i="46"/>
  <c r="BL12" i="46"/>
  <c r="BL10" i="46"/>
  <c r="BL11" i="46"/>
  <c r="BL14" i="46"/>
  <c r="BL9" i="46"/>
  <c r="B197" i="46"/>
  <c r="B195" i="46"/>
  <c r="B193" i="46"/>
  <c r="B191" i="46"/>
  <c r="B189" i="46"/>
  <c r="B187" i="46"/>
  <c r="B185" i="46"/>
  <c r="B183" i="46"/>
  <c r="B181" i="46"/>
  <c r="B179" i="46"/>
  <c r="B177" i="46"/>
  <c r="O315" i="46"/>
  <c r="R315" i="46"/>
  <c r="O313" i="46"/>
  <c r="R313" i="46"/>
  <c r="O311" i="46"/>
  <c r="R311" i="46"/>
  <c r="O309" i="46"/>
  <c r="R309" i="46"/>
  <c r="O307" i="46"/>
  <c r="R307" i="46"/>
  <c r="O305" i="46"/>
  <c r="R305" i="46"/>
  <c r="O303" i="46"/>
  <c r="R303" i="46"/>
  <c r="O301" i="46"/>
  <c r="R301" i="46"/>
  <c r="O299" i="46"/>
  <c r="R299" i="46"/>
  <c r="O297" i="46"/>
  <c r="R297" i="46"/>
  <c r="O295" i="46"/>
  <c r="R295" i="46"/>
  <c r="O251" i="46"/>
  <c r="R251" i="46"/>
  <c r="O249" i="46"/>
  <c r="R249" i="46"/>
  <c r="O247" i="46"/>
  <c r="R247" i="46"/>
  <c r="O245" i="46"/>
  <c r="R245" i="46"/>
  <c r="O243" i="46"/>
  <c r="R243" i="46"/>
  <c r="O241" i="46"/>
  <c r="R241" i="46"/>
  <c r="O239" i="46"/>
  <c r="R239" i="46"/>
  <c r="O237" i="46"/>
  <c r="R237" i="46"/>
  <c r="O235" i="46"/>
  <c r="R235" i="46"/>
  <c r="O233" i="46"/>
  <c r="R233" i="46"/>
  <c r="O231" i="46"/>
  <c r="R231" i="46"/>
  <c r="O229" i="46"/>
  <c r="R229" i="46"/>
  <c r="O227" i="46"/>
  <c r="R227" i="46"/>
  <c r="O225" i="46"/>
  <c r="R225" i="46"/>
  <c r="O223" i="46"/>
  <c r="R223" i="46"/>
  <c r="O94" i="46"/>
  <c r="R94" i="46"/>
  <c r="R96" i="46"/>
  <c r="O65" i="46"/>
  <c r="R65" i="46"/>
  <c r="O63" i="46"/>
  <c r="R63" i="46"/>
  <c r="N6" i="46"/>
  <c r="N10" i="46"/>
  <c r="N14" i="46"/>
  <c r="N23" i="46"/>
  <c r="N27" i="46"/>
  <c r="N31" i="46"/>
  <c r="N35" i="46"/>
  <c r="N39" i="46"/>
  <c r="N56" i="46"/>
  <c r="N73" i="46"/>
  <c r="N77" i="46"/>
  <c r="N87" i="46"/>
  <c r="N470" i="46"/>
  <c r="F15" i="46"/>
  <c r="F11" i="46"/>
  <c r="F7" i="46"/>
  <c r="G15" i="46"/>
  <c r="G11" i="46"/>
  <c r="G7" i="46"/>
  <c r="H15" i="46"/>
  <c r="H11" i="46"/>
  <c r="H7" i="46"/>
  <c r="J12" i="46"/>
  <c r="J8" i="46"/>
  <c r="L12" i="46"/>
  <c r="L8" i="46"/>
  <c r="G39" i="46"/>
  <c r="G35" i="46"/>
  <c r="G31" i="46"/>
  <c r="G27" i="46"/>
  <c r="G23" i="46"/>
  <c r="L41" i="46"/>
  <c r="L37" i="46"/>
  <c r="L33" i="46"/>
  <c r="L29" i="46"/>
  <c r="L25" i="46"/>
  <c r="F59" i="46"/>
  <c r="F55" i="46"/>
  <c r="G57" i="46"/>
  <c r="G53" i="46"/>
  <c r="H59" i="46"/>
  <c r="H55" i="46"/>
  <c r="J58" i="46"/>
  <c r="J54" i="46"/>
  <c r="L56" i="46"/>
  <c r="F77" i="46"/>
  <c r="F73" i="46"/>
  <c r="G75" i="46"/>
  <c r="G71" i="46"/>
  <c r="H77" i="46"/>
  <c r="H73" i="46"/>
  <c r="J76" i="46"/>
  <c r="J72" i="46"/>
  <c r="L78" i="46"/>
  <c r="L74" i="46"/>
  <c r="F86" i="46"/>
  <c r="G86" i="46"/>
  <c r="H86" i="46"/>
  <c r="H97" i="46"/>
  <c r="J87" i="46"/>
  <c r="L87" i="46"/>
  <c r="F475" i="46"/>
  <c r="F471" i="46"/>
  <c r="G482" i="46"/>
  <c r="G478" i="46"/>
  <c r="G474" i="46"/>
  <c r="G470" i="46"/>
  <c r="H477" i="46"/>
  <c r="H473" i="46"/>
  <c r="H469" i="46"/>
  <c r="J477" i="46"/>
  <c r="J473" i="46"/>
  <c r="J469" i="46"/>
  <c r="L484" i="46"/>
  <c r="L480" i="46"/>
  <c r="L476" i="46"/>
  <c r="L472" i="46"/>
  <c r="L468" i="46"/>
  <c r="M41" i="46"/>
  <c r="K41" i="46"/>
  <c r="M37" i="46"/>
  <c r="M33" i="46"/>
  <c r="M29" i="46"/>
  <c r="M25" i="46"/>
  <c r="K25" i="46"/>
  <c r="F41" i="46"/>
  <c r="F37" i="46"/>
  <c r="F33" i="46"/>
  <c r="F29" i="46"/>
  <c r="F25" i="46"/>
  <c r="M6" i="46"/>
  <c r="M8" i="46"/>
  <c r="M10" i="46"/>
  <c r="K10" i="46"/>
  <c r="M12" i="46"/>
  <c r="K12" i="46"/>
  <c r="M14" i="46"/>
  <c r="K14" i="46"/>
  <c r="M53" i="46"/>
  <c r="M55" i="46"/>
  <c r="K55" i="46"/>
  <c r="M57" i="46"/>
  <c r="K57" i="46"/>
  <c r="M59" i="46"/>
  <c r="K59" i="46"/>
  <c r="M72" i="46"/>
  <c r="M74" i="46"/>
  <c r="K74" i="46"/>
  <c r="M76" i="46"/>
  <c r="K76" i="46"/>
  <c r="M78" i="46"/>
  <c r="K78" i="46"/>
  <c r="M87" i="46"/>
  <c r="M468" i="46"/>
  <c r="M470" i="46"/>
  <c r="K470" i="46"/>
  <c r="M472" i="46"/>
  <c r="K472" i="46"/>
  <c r="M474" i="46"/>
  <c r="M476" i="46"/>
  <c r="K476" i="46"/>
  <c r="M478" i="46"/>
  <c r="K478" i="46"/>
  <c r="M480" i="46"/>
  <c r="K480" i="46"/>
  <c r="M482" i="46"/>
  <c r="M484" i="46"/>
  <c r="K484" i="46"/>
  <c r="M503" i="46"/>
  <c r="M505" i="46"/>
  <c r="K505" i="46"/>
  <c r="M507" i="46"/>
  <c r="M516" i="46"/>
  <c r="M518" i="46"/>
  <c r="K518" i="46"/>
  <c r="I519" i="46"/>
  <c r="K519" i="46"/>
  <c r="M521" i="46"/>
  <c r="M523" i="46"/>
  <c r="K523" i="46"/>
  <c r="M525" i="46"/>
  <c r="M527" i="46"/>
  <c r="M529" i="46"/>
  <c r="M531" i="46"/>
  <c r="K531" i="46"/>
  <c r="M533" i="46"/>
  <c r="M535" i="46"/>
  <c r="M537" i="46"/>
  <c r="U9" i="46"/>
  <c r="U13" i="46"/>
  <c r="U23" i="46"/>
  <c r="U27" i="46"/>
  <c r="U31" i="46"/>
  <c r="U35" i="46"/>
  <c r="U39" i="46"/>
  <c r="U56" i="46"/>
  <c r="U73" i="46"/>
  <c r="U77" i="46"/>
  <c r="U87" i="46"/>
  <c r="Z87" i="46"/>
  <c r="U421" i="46"/>
  <c r="Z421" i="46"/>
  <c r="U470" i="46"/>
  <c r="U474" i="46"/>
  <c r="U478" i="46"/>
  <c r="U482" i="46"/>
  <c r="U503" i="46"/>
  <c r="U507" i="46"/>
  <c r="U517" i="46"/>
  <c r="Z517" i="46"/>
  <c r="U521" i="46"/>
  <c r="U525" i="46"/>
  <c r="U529" i="46"/>
  <c r="U533" i="46"/>
  <c r="U537" i="46"/>
  <c r="BX498" i="49"/>
  <c r="K122" i="46"/>
  <c r="K24" i="46"/>
  <c r="O50" i="46"/>
  <c r="CD378" i="46"/>
  <c r="CD379" i="46"/>
  <c r="CD380" i="46"/>
  <c r="CD381" i="46"/>
  <c r="CD382" i="46"/>
  <c r="CD383" i="46"/>
  <c r="CD384" i="46"/>
  <c r="CD385" i="46"/>
  <c r="CD386" i="46"/>
  <c r="CD387" i="46"/>
  <c r="CD388" i="46"/>
  <c r="CD389" i="46"/>
  <c r="CD390" i="46"/>
  <c r="CD391" i="46"/>
  <c r="CD392" i="46"/>
  <c r="CD393" i="46"/>
  <c r="CD394" i="46"/>
  <c r="CD395" i="46"/>
  <c r="CD396" i="46"/>
  <c r="CD397" i="46"/>
  <c r="CD398" i="46"/>
  <c r="CD399" i="46"/>
  <c r="CD400" i="46"/>
  <c r="CD401" i="46"/>
  <c r="CD402" i="46"/>
  <c r="CD403" i="46"/>
  <c r="CD404" i="46"/>
  <c r="CD405" i="46"/>
  <c r="CD406" i="46"/>
  <c r="CD407" i="46"/>
  <c r="CD408" i="46"/>
  <c r="CD409" i="46"/>
  <c r="CD410" i="46"/>
  <c r="CD411" i="46"/>
  <c r="CD412" i="46"/>
  <c r="CD413" i="46"/>
  <c r="CD414" i="46"/>
  <c r="CD415" i="46"/>
  <c r="CD416" i="46"/>
  <c r="CD417" i="46"/>
  <c r="CD418" i="46"/>
  <c r="CD419" i="46"/>
  <c r="CD420" i="46"/>
  <c r="CD421" i="46"/>
  <c r="CD422" i="46"/>
  <c r="CD423" i="46"/>
  <c r="CD424" i="46"/>
  <c r="CD425" i="46"/>
  <c r="CD426" i="46"/>
  <c r="CD427" i="46"/>
  <c r="CD428" i="46"/>
  <c r="CD429" i="46"/>
  <c r="CD430" i="46"/>
  <c r="CD431" i="46"/>
  <c r="CD432" i="46"/>
  <c r="CD433" i="46"/>
  <c r="CD434" i="46"/>
  <c r="CD435" i="46"/>
  <c r="CD436" i="46"/>
  <c r="CD437" i="46"/>
  <c r="CD438" i="46"/>
  <c r="CD439" i="46"/>
  <c r="CD440" i="46"/>
  <c r="CD441" i="46"/>
  <c r="CD442" i="46"/>
  <c r="CD443" i="46"/>
  <c r="CD444" i="46"/>
  <c r="CD445" i="46"/>
  <c r="CD446" i="46"/>
  <c r="CD447" i="46"/>
  <c r="CD448" i="46"/>
  <c r="CD449" i="46"/>
  <c r="CD450" i="46"/>
  <c r="CD451" i="46"/>
  <c r="CD452" i="46"/>
  <c r="CD453" i="46"/>
  <c r="CD454" i="46"/>
  <c r="CD455" i="46"/>
  <c r="CD456" i="46"/>
  <c r="CD457" i="46"/>
  <c r="CD458" i="46"/>
  <c r="CD459" i="46"/>
  <c r="CD460" i="46"/>
  <c r="CD461" i="46"/>
  <c r="CD462" i="46"/>
  <c r="CD463" i="46"/>
  <c r="CD464" i="46"/>
  <c r="CD465" i="46"/>
  <c r="CD466" i="46"/>
  <c r="CD467" i="46"/>
  <c r="CD468" i="46"/>
  <c r="CD469" i="46"/>
  <c r="CD470" i="46"/>
  <c r="CD471" i="46"/>
  <c r="CD472" i="46"/>
  <c r="CD473" i="46"/>
  <c r="CD474" i="46"/>
  <c r="CD475" i="46"/>
  <c r="CD476" i="46"/>
  <c r="CD477" i="46"/>
  <c r="CD478" i="46"/>
  <c r="CD479" i="46"/>
  <c r="CD480" i="46"/>
  <c r="CD481" i="46"/>
  <c r="CD482" i="46"/>
  <c r="CD483" i="46"/>
  <c r="CD484" i="46"/>
  <c r="CD485" i="46"/>
  <c r="CD486" i="46"/>
  <c r="CD487" i="46"/>
  <c r="CD488" i="46"/>
  <c r="CD489" i="46"/>
  <c r="CD490" i="46"/>
  <c r="CD491" i="46"/>
  <c r="CD492" i="46"/>
  <c r="CD493" i="46"/>
  <c r="CD494" i="46"/>
  <c r="CD495" i="46"/>
  <c r="CD496" i="46"/>
  <c r="CD497" i="46"/>
  <c r="CD498" i="46"/>
  <c r="CD499" i="46"/>
  <c r="CD500" i="46"/>
  <c r="CD501" i="46"/>
  <c r="CD502" i="46"/>
  <c r="CD503" i="46"/>
  <c r="CD504" i="46"/>
  <c r="CD505" i="46"/>
  <c r="CD506" i="46"/>
  <c r="CD507" i="46"/>
  <c r="CD508" i="46"/>
  <c r="CD509" i="46"/>
  <c r="CD510" i="46"/>
  <c r="CD511" i="46"/>
  <c r="CD512" i="46"/>
  <c r="CD513" i="46"/>
  <c r="CD514" i="46"/>
  <c r="CD515" i="46"/>
  <c r="CD516" i="46"/>
  <c r="CD517" i="46"/>
  <c r="CD518" i="46"/>
  <c r="CD519" i="46"/>
  <c r="CD520" i="46"/>
  <c r="CD521" i="46"/>
  <c r="CD522" i="46"/>
  <c r="CD523" i="46"/>
  <c r="CD524" i="46"/>
  <c r="CD525" i="46"/>
  <c r="CD526" i="46"/>
  <c r="CD527" i="46"/>
  <c r="CD528" i="46"/>
  <c r="CD529" i="46"/>
  <c r="CD530" i="46"/>
  <c r="CD531" i="46"/>
  <c r="CD532" i="46"/>
  <c r="CD533" i="46"/>
  <c r="CD534" i="46"/>
  <c r="CD535" i="46"/>
  <c r="CD536" i="46"/>
  <c r="CD537" i="46"/>
  <c r="CD538" i="46"/>
  <c r="CD539" i="46"/>
  <c r="CD540" i="46"/>
  <c r="CD541" i="46"/>
  <c r="CD542" i="46"/>
  <c r="CD543" i="46"/>
  <c r="CD544" i="46"/>
  <c r="CD545" i="46"/>
  <c r="CD546" i="46"/>
  <c r="CD547" i="46"/>
  <c r="CD548" i="46"/>
  <c r="CD549" i="46"/>
  <c r="CD550" i="46"/>
  <c r="CD551" i="46"/>
  <c r="CD552" i="46"/>
  <c r="CD553" i="46"/>
  <c r="CD554" i="46"/>
  <c r="CD555" i="46"/>
  <c r="CD556" i="46"/>
  <c r="CD557" i="46"/>
  <c r="CD558" i="46"/>
  <c r="CD559" i="46"/>
  <c r="CD560" i="46"/>
  <c r="CD561" i="46"/>
  <c r="CD562" i="46"/>
  <c r="CD563" i="46"/>
  <c r="CD564" i="46"/>
  <c r="CD565" i="46"/>
  <c r="CD566" i="46"/>
  <c r="CD567" i="46"/>
  <c r="CD568" i="46"/>
  <c r="CD569" i="46"/>
  <c r="CD570" i="46"/>
  <c r="CD571" i="46"/>
  <c r="CD572" i="46"/>
  <c r="CD573" i="46"/>
  <c r="CD574" i="46"/>
  <c r="CD575" i="46"/>
  <c r="CD576" i="46"/>
  <c r="CD577" i="46"/>
  <c r="CD578" i="46"/>
  <c r="CD320" i="46"/>
  <c r="W63" i="46"/>
  <c r="Y63" i="46"/>
  <c r="Y64" i="46"/>
  <c r="Y68" i="46"/>
  <c r="W332" i="46"/>
  <c r="Y332" i="46"/>
  <c r="X347" i="46"/>
  <c r="U347" i="46"/>
  <c r="W347" i="46"/>
  <c r="Y347" i="46"/>
  <c r="I97" i="46"/>
  <c r="K535" i="46"/>
  <c r="K527" i="46"/>
  <c r="K33" i="46"/>
  <c r="J523" i="46"/>
  <c r="J531" i="46"/>
  <c r="W540" i="46"/>
  <c r="Y434" i="46"/>
  <c r="BF383" i="46"/>
  <c r="BW79" i="46"/>
  <c r="AG79" i="46"/>
  <c r="V336" i="46"/>
  <c r="W336" i="46"/>
  <c r="G97" i="46"/>
  <c r="J97" i="46"/>
  <c r="Y97" i="46"/>
  <c r="K566" i="46"/>
  <c r="V540" i="46"/>
  <c r="X336" i="46"/>
  <c r="U336" i="46"/>
  <c r="N477" i="46"/>
  <c r="L477" i="46"/>
  <c r="FG496" i="49"/>
  <c r="FG494" i="49"/>
  <c r="FG493" i="49"/>
  <c r="FG492" i="49"/>
  <c r="FG491" i="49"/>
  <c r="FG490" i="49"/>
  <c r="FG489" i="49"/>
  <c r="FG488" i="49"/>
  <c r="FG487" i="49"/>
  <c r="FG486" i="49"/>
  <c r="FG485" i="49"/>
  <c r="FG484" i="49"/>
  <c r="FG483" i="49"/>
  <c r="FG482" i="49"/>
  <c r="FG481" i="49"/>
  <c r="FG480" i="49"/>
  <c r="FG479" i="49"/>
  <c r="FG478" i="49"/>
  <c r="FG477" i="49"/>
  <c r="FG476" i="49"/>
  <c r="FG475" i="49"/>
  <c r="FG474" i="49"/>
  <c r="FG473" i="49"/>
  <c r="FG472" i="49"/>
  <c r="FG471" i="49"/>
  <c r="FG470" i="49"/>
  <c r="FG469" i="49"/>
  <c r="FG468" i="49"/>
  <c r="FG467" i="49"/>
  <c r="FG466" i="49"/>
  <c r="FG465" i="49"/>
  <c r="FG464" i="49"/>
  <c r="FG463" i="49"/>
  <c r="FG462" i="49"/>
  <c r="FG454" i="49"/>
  <c r="FG453" i="49"/>
  <c r="FG452" i="49"/>
  <c r="FG451" i="49"/>
  <c r="FG450" i="49"/>
  <c r="FG449" i="49"/>
  <c r="FG448" i="49"/>
  <c r="FG447" i="49"/>
  <c r="FG446" i="49"/>
  <c r="FG445" i="49"/>
  <c r="FG444" i="49"/>
  <c r="FG443" i="49"/>
  <c r="FG442" i="49"/>
  <c r="FG441" i="49"/>
  <c r="FG440" i="49"/>
  <c r="FG439" i="49"/>
  <c r="FG438" i="49"/>
  <c r="FG437" i="49"/>
  <c r="FG436" i="49"/>
  <c r="FG435" i="49"/>
  <c r="FG434" i="49"/>
  <c r="FG433" i="49"/>
  <c r="FG432" i="49"/>
  <c r="FG431" i="49"/>
  <c r="FG430" i="49"/>
  <c r="FG429" i="49"/>
  <c r="FG428" i="49"/>
  <c r="FG427" i="49"/>
  <c r="FG426" i="49"/>
  <c r="FG425" i="49"/>
  <c r="FG424" i="49"/>
  <c r="FG423" i="49"/>
  <c r="FG422" i="49"/>
  <c r="FG421" i="49"/>
  <c r="FG420" i="49"/>
  <c r="FG419" i="49"/>
  <c r="FG418" i="49"/>
  <c r="FG417" i="49"/>
  <c r="FG416" i="49"/>
  <c r="FG415" i="49"/>
  <c r="FG414" i="49"/>
  <c r="FG413" i="49"/>
  <c r="FG412" i="49"/>
  <c r="FG411" i="49"/>
  <c r="FG410" i="49"/>
  <c r="FG409" i="49"/>
  <c r="FG408" i="49"/>
  <c r="FG407" i="49"/>
  <c r="FG406" i="49"/>
  <c r="FG405" i="49"/>
  <c r="FG404" i="49"/>
  <c r="FG403" i="49"/>
  <c r="FG402" i="49"/>
  <c r="FG401" i="49"/>
  <c r="FG400" i="49"/>
  <c r="FG399" i="49"/>
  <c r="FG398" i="49"/>
  <c r="FG397" i="49"/>
  <c r="FG396" i="49"/>
  <c r="FG395" i="49"/>
  <c r="FG394" i="49"/>
  <c r="FG393" i="49"/>
  <c r="FG392" i="49"/>
  <c r="FG391" i="49"/>
  <c r="FG390" i="49"/>
  <c r="FG389" i="49"/>
  <c r="FG388" i="49"/>
  <c r="FG387" i="49"/>
  <c r="FG386" i="49"/>
  <c r="FG385" i="49"/>
  <c r="FG384" i="49"/>
  <c r="FG383" i="49"/>
  <c r="FG382" i="49"/>
  <c r="FG381" i="49"/>
  <c r="FG380" i="49"/>
  <c r="FG379" i="49"/>
  <c r="FG378" i="49"/>
  <c r="FG377" i="49"/>
  <c r="FG376" i="49"/>
  <c r="FG375" i="49"/>
  <c r="FG374" i="49"/>
  <c r="FG461" i="49"/>
  <c r="FG460" i="49"/>
  <c r="FG459" i="49"/>
  <c r="FG458" i="49"/>
  <c r="FG457" i="49"/>
  <c r="FG456" i="49"/>
  <c r="FG455" i="49"/>
  <c r="FG373" i="49"/>
  <c r="FG369" i="49"/>
  <c r="FG365" i="49"/>
  <c r="FG361" i="49"/>
  <c r="FG357" i="49"/>
  <c r="FG372" i="49"/>
  <c r="FG368" i="49"/>
  <c r="FG364" i="49"/>
  <c r="FG360" i="49"/>
  <c r="FG371" i="49"/>
  <c r="FG367" i="49"/>
  <c r="FG363" i="49"/>
  <c r="FG359" i="49"/>
  <c r="FG353" i="49"/>
  <c r="FG349" i="49"/>
  <c r="FG345" i="49"/>
  <c r="FG341" i="49"/>
  <c r="FG337" i="49"/>
  <c r="FG333" i="49"/>
  <c r="FG328" i="49"/>
  <c r="FG324" i="49"/>
  <c r="FG315" i="49"/>
  <c r="FG311" i="49"/>
  <c r="FG307" i="49"/>
  <c r="FG303" i="49"/>
  <c r="FG299" i="49"/>
  <c r="FG295" i="49"/>
  <c r="FG291" i="49"/>
  <c r="FG288" i="49"/>
  <c r="FG284" i="49"/>
  <c r="FG280" i="49"/>
  <c r="FG276" i="49"/>
  <c r="FG275" i="49"/>
  <c r="FG274" i="49"/>
  <c r="FG273" i="49"/>
  <c r="FG272" i="49"/>
  <c r="FG271" i="49"/>
  <c r="FG270" i="49"/>
  <c r="FG269" i="49"/>
  <c r="FG268" i="49"/>
  <c r="FG267" i="49"/>
  <c r="FG266" i="49"/>
  <c r="FG265" i="49"/>
  <c r="FG264" i="49"/>
  <c r="FG263" i="49"/>
  <c r="FG262" i="49"/>
  <c r="FG261" i="49"/>
  <c r="FG260" i="49"/>
  <c r="FG259" i="49"/>
  <c r="FG258" i="49"/>
  <c r="FG257" i="49"/>
  <c r="FG256" i="49"/>
  <c r="FG255" i="49"/>
  <c r="FG254" i="49"/>
  <c r="FG253" i="49"/>
  <c r="FG252" i="49"/>
  <c r="FG251" i="49"/>
  <c r="FG250" i="49"/>
  <c r="FG249" i="49"/>
  <c r="FG248" i="49"/>
  <c r="FG247" i="49"/>
  <c r="FG246" i="49"/>
  <c r="FG245" i="49"/>
  <c r="FG244" i="49"/>
  <c r="FG243" i="49"/>
  <c r="FG242" i="49"/>
  <c r="FG241" i="49"/>
  <c r="FG240" i="49"/>
  <c r="FG239" i="49"/>
  <c r="FG238" i="49"/>
  <c r="FG237" i="49"/>
  <c r="FG236" i="49"/>
  <c r="FG235" i="49"/>
  <c r="FG234" i="49"/>
  <c r="FG233" i="49"/>
  <c r="FG232" i="49"/>
  <c r="FG231" i="49"/>
  <c r="FG230" i="49"/>
  <c r="FG229" i="49"/>
  <c r="FG228" i="49"/>
  <c r="FG227" i="49"/>
  <c r="FG226" i="49"/>
  <c r="FG225" i="49"/>
  <c r="FG224" i="49"/>
  <c r="FG223" i="49"/>
  <c r="FG222" i="49"/>
  <c r="FG221" i="49"/>
  <c r="FG220" i="49"/>
  <c r="FG219" i="49"/>
  <c r="FG218" i="49"/>
  <c r="FG217" i="49"/>
  <c r="FG216" i="49"/>
  <c r="FG215" i="49"/>
  <c r="FG214" i="49"/>
  <c r="FG213" i="49"/>
  <c r="FG212" i="49"/>
  <c r="FG211" i="49"/>
  <c r="FG210" i="49"/>
  <c r="FG209" i="49"/>
  <c r="FG208" i="49"/>
  <c r="FG207" i="49"/>
  <c r="FG206" i="49"/>
  <c r="FG205" i="49"/>
  <c r="FG354" i="49"/>
  <c r="FG350" i="49"/>
  <c r="FG346" i="49"/>
  <c r="FG342" i="49"/>
  <c r="FG338" i="49"/>
  <c r="FG334" i="49"/>
  <c r="FG329" i="49"/>
  <c r="FG325" i="49"/>
  <c r="FG321" i="49"/>
  <c r="FG319" i="49"/>
  <c r="FG316" i="49"/>
  <c r="FG312" i="49"/>
  <c r="FG308" i="49"/>
  <c r="FG304" i="49"/>
  <c r="FG300" i="49"/>
  <c r="FG296" i="49"/>
  <c r="FG292" i="49"/>
  <c r="FG285" i="49"/>
  <c r="FG281" i="49"/>
  <c r="FG277" i="49"/>
  <c r="FG370" i="49"/>
  <c r="FG366" i="49"/>
  <c r="FG362" i="49"/>
  <c r="FG358" i="49"/>
  <c r="FG355" i="49"/>
  <c r="FG351" i="49"/>
  <c r="FG347" i="49"/>
  <c r="FG343" i="49"/>
  <c r="FG339" i="49"/>
  <c r="FG335" i="49"/>
  <c r="FG331" i="49"/>
  <c r="FG326" i="49"/>
  <c r="FG322" i="49"/>
  <c r="FG317" i="49"/>
  <c r="FG313" i="49"/>
  <c r="FG309" i="49"/>
  <c r="FG305" i="49"/>
  <c r="FG301" i="49"/>
  <c r="FG297" i="49"/>
  <c r="FG293" i="49"/>
  <c r="FG286" i="49"/>
  <c r="FG282" i="49"/>
  <c r="FG278" i="49"/>
  <c r="FG352" i="49"/>
  <c r="FG344" i="49"/>
  <c r="FG336" i="49"/>
  <c r="FG327" i="49"/>
  <c r="FG283" i="49"/>
  <c r="FG202" i="49"/>
  <c r="FG318" i="49"/>
  <c r="FG310" i="49"/>
  <c r="FG302" i="49"/>
  <c r="FG294" i="49"/>
  <c r="FG289" i="49"/>
  <c r="FG356" i="49"/>
  <c r="FG348" i="49"/>
  <c r="FG340" i="49"/>
  <c r="FG332" i="49"/>
  <c r="FG323" i="49"/>
  <c r="FG320" i="49"/>
  <c r="FG287" i="49"/>
  <c r="FG279" i="49"/>
  <c r="FG200" i="49"/>
  <c r="FG199" i="49"/>
  <c r="FG198" i="49"/>
  <c r="FG197" i="49"/>
  <c r="FG196" i="49"/>
  <c r="FG195" i="49"/>
  <c r="FG194" i="49"/>
  <c r="FG193" i="49"/>
  <c r="FG192" i="49"/>
  <c r="FG191" i="49"/>
  <c r="FG190" i="49"/>
  <c r="FG189" i="49"/>
  <c r="FG188" i="49"/>
  <c r="FG187" i="49"/>
  <c r="FG186" i="49"/>
  <c r="FG185" i="49"/>
  <c r="FG184" i="49"/>
  <c r="FG183" i="49"/>
  <c r="FG182" i="49"/>
  <c r="FG181" i="49"/>
  <c r="FG180" i="49"/>
  <c r="FG179" i="49"/>
  <c r="FG178" i="49"/>
  <c r="FG177" i="49"/>
  <c r="FG176" i="49"/>
  <c r="FG175" i="49"/>
  <c r="FG174" i="49"/>
  <c r="FG173" i="49"/>
  <c r="FG172" i="49"/>
  <c r="FG171" i="49"/>
  <c r="FG170" i="49"/>
  <c r="FG169" i="49"/>
  <c r="FG168" i="49"/>
  <c r="FG167" i="49"/>
  <c r="FG166" i="49"/>
  <c r="FG165" i="49"/>
  <c r="FG164" i="49"/>
  <c r="FG163" i="49"/>
  <c r="FG162" i="49"/>
  <c r="FG161" i="49"/>
  <c r="FG160" i="49"/>
  <c r="FG159" i="49"/>
  <c r="FG158" i="49"/>
  <c r="FG157" i="49"/>
  <c r="FG156" i="49"/>
  <c r="FG155" i="49"/>
  <c r="FG154" i="49"/>
  <c r="FG153" i="49"/>
  <c r="FG152" i="49"/>
  <c r="FG151" i="49"/>
  <c r="FG150" i="49"/>
  <c r="FG149" i="49"/>
  <c r="FG148" i="49"/>
  <c r="FG147" i="49"/>
  <c r="FG146" i="49"/>
  <c r="FG145" i="49"/>
  <c r="FG144" i="49"/>
  <c r="FG143" i="49"/>
  <c r="FG142" i="49"/>
  <c r="FG141" i="49"/>
  <c r="FG140" i="49"/>
  <c r="FG139" i="49"/>
  <c r="FG138" i="49"/>
  <c r="FG137" i="49"/>
  <c r="FG136" i="49"/>
  <c r="FG135" i="49"/>
  <c r="FG134" i="49"/>
  <c r="FG133" i="49"/>
  <c r="FG132" i="49"/>
  <c r="FG131" i="49"/>
  <c r="FG130" i="49"/>
  <c r="FG129" i="49"/>
  <c r="FG128" i="49"/>
  <c r="FG127" i="49"/>
  <c r="FG126" i="49"/>
  <c r="FG125" i="49"/>
  <c r="FG124" i="49"/>
  <c r="FG123" i="49"/>
  <c r="FG122" i="49"/>
  <c r="FG121" i="49"/>
  <c r="FG120" i="49"/>
  <c r="FG119" i="49"/>
  <c r="FG118" i="49"/>
  <c r="FG117" i="49"/>
  <c r="FG116" i="49"/>
  <c r="FG115" i="49"/>
  <c r="FG114" i="49"/>
  <c r="FG113" i="49"/>
  <c r="FG112" i="49"/>
  <c r="FG111" i="49"/>
  <c r="FG110" i="49"/>
  <c r="FG109" i="49"/>
  <c r="FG108" i="49"/>
  <c r="FG107" i="49"/>
  <c r="FG106" i="49"/>
  <c r="FG105" i="49"/>
  <c r="FG104" i="49"/>
  <c r="FG103" i="49"/>
  <c r="FG102" i="49"/>
  <c r="FG101" i="49"/>
  <c r="FG100" i="49"/>
  <c r="FG99" i="49"/>
  <c r="FG98" i="49"/>
  <c r="FG97" i="49"/>
  <c r="FG96" i="49"/>
  <c r="FG95" i="49"/>
  <c r="FG94" i="49"/>
  <c r="FG93" i="49"/>
  <c r="FG92" i="49"/>
  <c r="FG91" i="49"/>
  <c r="FG90" i="49"/>
  <c r="FG89" i="49"/>
  <c r="FG88" i="49"/>
  <c r="FG87" i="49"/>
  <c r="FG86" i="49"/>
  <c r="FG85" i="49"/>
  <c r="FG84" i="49"/>
  <c r="FG83" i="49"/>
  <c r="FG82" i="49"/>
  <c r="FG81" i="49"/>
  <c r="FG80" i="49"/>
  <c r="FG79" i="49"/>
  <c r="FG78" i="49"/>
  <c r="FG77" i="49"/>
  <c r="FG76" i="49"/>
  <c r="FG75" i="49"/>
  <c r="FG74" i="49"/>
  <c r="FG73" i="49"/>
  <c r="FG72" i="49"/>
  <c r="FG71" i="49"/>
  <c r="FG70" i="49"/>
  <c r="FG69" i="49"/>
  <c r="FG68" i="49"/>
  <c r="FG67" i="49"/>
  <c r="FG66" i="49"/>
  <c r="FG65" i="49"/>
  <c r="FG64" i="49"/>
  <c r="FG63" i="49"/>
  <c r="FG62" i="49"/>
  <c r="FG61" i="49"/>
  <c r="FG201" i="49"/>
  <c r="FG314" i="49"/>
  <c r="FG306" i="49"/>
  <c r="FG290" i="49"/>
  <c r="FG60" i="49"/>
  <c r="FG59" i="49"/>
  <c r="FG58" i="49"/>
  <c r="FG57" i="49"/>
  <c r="FG56" i="49"/>
  <c r="FG55" i="49"/>
  <c r="FG54" i="49"/>
  <c r="FG53" i="49"/>
  <c r="FG52" i="49"/>
  <c r="FG51" i="49"/>
  <c r="FG50" i="49"/>
  <c r="FG49" i="49"/>
  <c r="FG48" i="49"/>
  <c r="FG47" i="49"/>
  <c r="FG46" i="49"/>
  <c r="FG45" i="49"/>
  <c r="FG44" i="49"/>
  <c r="FG43" i="49"/>
  <c r="FG42" i="49"/>
  <c r="FG41" i="49"/>
  <c r="FG40" i="49"/>
  <c r="FG39" i="49"/>
  <c r="FG38" i="49"/>
  <c r="FG37" i="49"/>
  <c r="FG36" i="49"/>
  <c r="FG35" i="49"/>
  <c r="FG34" i="49"/>
  <c r="FG33" i="49"/>
  <c r="FG32" i="49"/>
  <c r="FG31" i="49"/>
  <c r="FG30" i="49"/>
  <c r="FG29" i="49"/>
  <c r="FG28" i="49"/>
  <c r="FG27" i="49"/>
  <c r="FG26" i="49"/>
  <c r="FG25" i="49"/>
  <c r="FG24" i="49"/>
  <c r="FG23" i="49"/>
  <c r="FG22" i="49"/>
  <c r="FG21" i="49"/>
  <c r="FG20" i="49"/>
  <c r="FG19" i="49"/>
  <c r="FG18" i="49"/>
  <c r="FG17" i="49"/>
  <c r="FG16" i="49"/>
  <c r="FG15" i="49"/>
  <c r="FG14" i="49"/>
  <c r="FG13" i="49"/>
  <c r="FG12" i="49"/>
  <c r="FG11" i="49"/>
  <c r="FG10" i="49"/>
  <c r="FG9" i="49"/>
  <c r="FG8" i="49"/>
  <c r="FG7" i="49"/>
  <c r="FG6" i="49"/>
  <c r="FG5" i="49"/>
  <c r="FG298" i="49"/>
  <c r="BF68" i="46"/>
  <c r="BF50" i="46"/>
  <c r="K35" i="46"/>
  <c r="U449" i="46"/>
  <c r="X449" i="46"/>
  <c r="W449" i="46"/>
  <c r="Y449" i="46"/>
  <c r="X74" i="46"/>
  <c r="H74" i="46"/>
  <c r="F74" i="46"/>
  <c r="N74" i="46"/>
  <c r="G74" i="46"/>
  <c r="G76" i="46"/>
  <c r="G78" i="46"/>
  <c r="G83" i="46"/>
  <c r="X10" i="46"/>
  <c r="F10" i="46"/>
  <c r="H10" i="46"/>
  <c r="H19" i="46"/>
  <c r="U462" i="46"/>
  <c r="Y462" i="46"/>
  <c r="J474" i="46"/>
  <c r="N474" i="46"/>
  <c r="H474" i="46"/>
  <c r="H500" i="46"/>
  <c r="X64" i="46"/>
  <c r="U64" i="46"/>
  <c r="H531" i="46"/>
  <c r="L531" i="46"/>
  <c r="F531" i="46"/>
  <c r="N531" i="46"/>
  <c r="H523" i="46"/>
  <c r="H557" i="46"/>
  <c r="L523" i="46"/>
  <c r="N523" i="46"/>
  <c r="F523" i="46"/>
  <c r="F557" i="46"/>
  <c r="W493" i="46"/>
  <c r="V493" i="46"/>
  <c r="U493" i="46"/>
  <c r="Y493" i="46"/>
  <c r="W400" i="46"/>
  <c r="U400" i="46"/>
  <c r="Y400" i="46"/>
  <c r="U335" i="46"/>
  <c r="W335" i="46"/>
  <c r="Y335" i="46"/>
  <c r="X335" i="46"/>
  <c r="V335" i="46"/>
  <c r="V59" i="46"/>
  <c r="V68" i="46"/>
  <c r="L59" i="46"/>
  <c r="N59" i="46"/>
  <c r="U433" i="46"/>
  <c r="X433" i="46"/>
  <c r="X437" i="46"/>
  <c r="X442" i="46"/>
  <c r="X446" i="46"/>
  <c r="X458" i="46"/>
  <c r="X465" i="46"/>
  <c r="W433" i="46"/>
  <c r="V433" i="46"/>
  <c r="Y433" i="46"/>
  <c r="AF175" i="46"/>
  <c r="BW175" i="46"/>
  <c r="AG175" i="46"/>
  <c r="K507" i="46"/>
  <c r="K482" i="46"/>
  <c r="K474" i="46"/>
  <c r="K87" i="46"/>
  <c r="K72" i="46"/>
  <c r="K8" i="46"/>
  <c r="U325" i="46"/>
  <c r="V325" i="46"/>
  <c r="W54" i="46"/>
  <c r="I54" i="46"/>
  <c r="K54" i="46"/>
  <c r="G54" i="46"/>
  <c r="G58" i="46"/>
  <c r="G68" i="46"/>
  <c r="H54" i="46"/>
  <c r="F54" i="46"/>
  <c r="U437" i="46"/>
  <c r="W437" i="46"/>
  <c r="V437" i="46"/>
  <c r="Y437" i="46"/>
  <c r="AF61" i="46"/>
  <c r="BW61" i="46"/>
  <c r="AG61" i="46"/>
  <c r="K88" i="46"/>
  <c r="K390" i="46"/>
  <c r="Q75" i="49"/>
  <c r="Q455" i="49"/>
  <c r="Q360" i="49"/>
  <c r="Q29" i="49"/>
  <c r="Q449" i="49"/>
  <c r="Q69" i="49"/>
  <c r="Q454" i="49"/>
  <c r="AY454" i="49"/>
  <c r="G19" i="46"/>
  <c r="K568" i="46"/>
  <c r="K415" i="46"/>
  <c r="K172" i="46"/>
  <c r="K156" i="46"/>
  <c r="K140" i="46"/>
  <c r="K124" i="46"/>
  <c r="K91" i="46"/>
  <c r="K413" i="46"/>
  <c r="K392" i="46"/>
  <c r="K162" i="46"/>
  <c r="K146" i="46"/>
  <c r="K130" i="46"/>
  <c r="K40" i="46"/>
  <c r="H513" i="46"/>
  <c r="W25" i="46"/>
  <c r="AB25" i="46"/>
  <c r="H25" i="46"/>
  <c r="J25" i="46"/>
  <c r="G557" i="46"/>
  <c r="G513" i="46"/>
  <c r="W37" i="46"/>
  <c r="H37" i="46"/>
  <c r="J37" i="46"/>
  <c r="AB454" i="49"/>
  <c r="BF465" i="46"/>
  <c r="BF500" i="46"/>
  <c r="BF557" i="46"/>
  <c r="BF358" i="46"/>
  <c r="BI586" i="46"/>
  <c r="J83" i="46"/>
  <c r="K533" i="46"/>
  <c r="K525" i="46"/>
  <c r="K37" i="46"/>
  <c r="J68" i="46"/>
  <c r="R67" i="46"/>
  <c r="R357" i="46"/>
  <c r="R556" i="46"/>
  <c r="X19" i="46"/>
  <c r="K419" i="46"/>
  <c r="K128" i="46"/>
  <c r="K410" i="46"/>
  <c r="K163" i="46"/>
  <c r="K147" i="46"/>
  <c r="K131" i="46"/>
  <c r="K409" i="46"/>
  <c r="K388" i="46"/>
  <c r="K174" i="46"/>
  <c r="K158" i="46"/>
  <c r="K142" i="46"/>
  <c r="K126" i="46"/>
  <c r="X510" i="46"/>
  <c r="X513" i="46"/>
  <c r="Y510" i="46"/>
  <c r="W510" i="46"/>
  <c r="U510" i="46"/>
  <c r="U513" i="46"/>
  <c r="V510" i="46"/>
  <c r="V513" i="46"/>
  <c r="V550" i="46"/>
  <c r="Y550" i="46"/>
  <c r="U550" i="46"/>
  <c r="X546" i="46"/>
  <c r="X557" i="46"/>
  <c r="W546" i="46"/>
  <c r="Y546" i="46"/>
  <c r="V546" i="46"/>
  <c r="O575" i="46"/>
  <c r="O500" i="46"/>
  <c r="O383" i="46"/>
  <c r="J557" i="46"/>
  <c r="L557" i="46"/>
  <c r="R526" i="46"/>
  <c r="Y39" i="46"/>
  <c r="J39" i="46"/>
  <c r="H39" i="46"/>
  <c r="O403" i="46"/>
  <c r="W7" i="46"/>
  <c r="I7" i="46"/>
  <c r="L7" i="46"/>
  <c r="L19" i="46"/>
  <c r="N7" i="46"/>
  <c r="J7" i="46"/>
  <c r="U442" i="46"/>
  <c r="Y442" i="46"/>
  <c r="W442" i="46"/>
  <c r="V442" i="46"/>
  <c r="O465" i="46"/>
  <c r="Y513" i="46"/>
  <c r="K537" i="46"/>
  <c r="K529" i="46"/>
  <c r="K521" i="46"/>
  <c r="K29" i="46"/>
  <c r="K7" i="46"/>
  <c r="P50" i="46"/>
  <c r="K564" i="46"/>
  <c r="K411" i="46"/>
  <c r="K28" i="46"/>
  <c r="K418" i="46"/>
  <c r="K171" i="46"/>
  <c r="K155" i="46"/>
  <c r="K139" i="46"/>
  <c r="K123" i="46"/>
  <c r="K102" i="46"/>
  <c r="K90" i="46"/>
  <c r="K417" i="46"/>
  <c r="K396" i="46"/>
  <c r="K166" i="46"/>
  <c r="K150" i="46"/>
  <c r="K134" i="46"/>
  <c r="K32" i="46"/>
  <c r="Y35" i="46"/>
  <c r="J35" i="46"/>
  <c r="H35" i="46"/>
  <c r="U458" i="46"/>
  <c r="W458" i="46"/>
  <c r="V458" i="46"/>
  <c r="Y458" i="46"/>
  <c r="O513" i="46"/>
  <c r="U450" i="46"/>
  <c r="Y450" i="46"/>
  <c r="U446" i="46"/>
  <c r="Y446" i="46"/>
  <c r="V446" i="46"/>
  <c r="V465" i="46"/>
  <c r="W446" i="46"/>
  <c r="K394" i="46"/>
  <c r="Y27" i="46"/>
  <c r="J27" i="46"/>
  <c r="H27" i="46"/>
  <c r="V487" i="46"/>
  <c r="X487" i="46"/>
  <c r="W487" i="46"/>
  <c r="U487" i="46"/>
  <c r="U490" i="46"/>
  <c r="U500" i="46"/>
  <c r="Y487" i="46"/>
  <c r="X398" i="46"/>
  <c r="W398" i="46"/>
  <c r="W403" i="46"/>
  <c r="Y398" i="46"/>
  <c r="Y403" i="46"/>
  <c r="V398" i="46"/>
  <c r="W58" i="46"/>
  <c r="F58" i="46"/>
  <c r="I58" i="46"/>
  <c r="K58" i="46"/>
  <c r="H58" i="46"/>
  <c r="U454" i="46"/>
  <c r="Y454" i="46"/>
  <c r="V538" i="46"/>
  <c r="Y538" i="46"/>
  <c r="U538" i="46"/>
  <c r="V76" i="46"/>
  <c r="V83" i="46"/>
  <c r="F76" i="46"/>
  <c r="N76" i="46"/>
  <c r="H76" i="46"/>
  <c r="H78" i="46"/>
  <c r="H83" i="46"/>
  <c r="V490" i="46"/>
  <c r="Y490" i="46"/>
  <c r="Y500" i="46"/>
  <c r="W490" i="46"/>
  <c r="X490" i="46"/>
  <c r="X78" i="46"/>
  <c r="N78" i="46"/>
  <c r="F78" i="46"/>
  <c r="R522" i="46"/>
  <c r="R537" i="46"/>
  <c r="R533" i="46"/>
  <c r="R519" i="46"/>
  <c r="R523" i="46"/>
  <c r="R535" i="46"/>
  <c r="M513" i="46"/>
  <c r="B513" i="46"/>
  <c r="K503" i="46"/>
  <c r="K513" i="46"/>
  <c r="J500" i="46"/>
  <c r="L97" i="46"/>
  <c r="R87" i="46"/>
  <c r="F97" i="46"/>
  <c r="W183" i="46"/>
  <c r="Y183" i="46"/>
  <c r="U183" i="46"/>
  <c r="V183" i="46"/>
  <c r="X183" i="46"/>
  <c r="W191" i="46"/>
  <c r="Y191" i="46"/>
  <c r="U191" i="46"/>
  <c r="V191" i="46"/>
  <c r="X191" i="46"/>
  <c r="Y557" i="46"/>
  <c r="W19" i="46"/>
  <c r="I83" i="46"/>
  <c r="X97" i="46"/>
  <c r="V22" i="46"/>
  <c r="J22" i="46"/>
  <c r="H22" i="46"/>
  <c r="Y22" i="46"/>
  <c r="U22" i="46"/>
  <c r="M22" i="46"/>
  <c r="I22" i="46"/>
  <c r="L22" i="46"/>
  <c r="N22" i="46"/>
  <c r="X22" i="46"/>
  <c r="W22" i="46"/>
  <c r="F22" i="46"/>
  <c r="G22" i="46"/>
  <c r="V30" i="46"/>
  <c r="J30" i="46"/>
  <c r="H30" i="46"/>
  <c r="Y30" i="46"/>
  <c r="U30" i="46"/>
  <c r="M30" i="46"/>
  <c r="L30" i="46"/>
  <c r="N30" i="46"/>
  <c r="X30" i="46"/>
  <c r="I30" i="46"/>
  <c r="W30" i="46"/>
  <c r="F30" i="46"/>
  <c r="G30" i="46"/>
  <c r="V38" i="46"/>
  <c r="J38" i="46"/>
  <c r="H38" i="46"/>
  <c r="Y38" i="46"/>
  <c r="U38" i="46"/>
  <c r="M38" i="46"/>
  <c r="L38" i="46"/>
  <c r="N38" i="46"/>
  <c r="X38" i="46"/>
  <c r="I38" i="46"/>
  <c r="W38" i="46"/>
  <c r="F38" i="46"/>
  <c r="G38" i="46"/>
  <c r="K31" i="46"/>
  <c r="G500" i="46"/>
  <c r="L83" i="46"/>
  <c r="R72" i="46"/>
  <c r="F83" i="46"/>
  <c r="J19" i="46"/>
  <c r="P358" i="46"/>
  <c r="X184" i="46"/>
  <c r="W184" i="46"/>
  <c r="Y184" i="46"/>
  <c r="V184" i="46"/>
  <c r="U184" i="46"/>
  <c r="X192" i="46"/>
  <c r="W192" i="46"/>
  <c r="Y192" i="46"/>
  <c r="V192" i="46"/>
  <c r="U192" i="46"/>
  <c r="V225" i="46"/>
  <c r="X225" i="46"/>
  <c r="U225" i="46"/>
  <c r="W225" i="46"/>
  <c r="Y225" i="46"/>
  <c r="V233" i="46"/>
  <c r="X233" i="46"/>
  <c r="U233" i="46"/>
  <c r="W233" i="46"/>
  <c r="Y233" i="46"/>
  <c r="V241" i="46"/>
  <c r="X241" i="46"/>
  <c r="U241" i="46"/>
  <c r="W241" i="46"/>
  <c r="Y241" i="46"/>
  <c r="V249" i="46"/>
  <c r="X249" i="46"/>
  <c r="U249" i="46"/>
  <c r="W249" i="46"/>
  <c r="Y249" i="46"/>
  <c r="X305" i="46"/>
  <c r="W305" i="46"/>
  <c r="Y305" i="46"/>
  <c r="V305" i="46"/>
  <c r="U305" i="46"/>
  <c r="X313" i="46"/>
  <c r="W313" i="46"/>
  <c r="Y313" i="46"/>
  <c r="V313" i="46"/>
  <c r="U313" i="46"/>
  <c r="X500" i="46"/>
  <c r="Y19" i="46"/>
  <c r="K561" i="46"/>
  <c r="K391" i="46"/>
  <c r="K173" i="46"/>
  <c r="K157" i="46"/>
  <c r="K141" i="46"/>
  <c r="K125" i="46"/>
  <c r="K560" i="46"/>
  <c r="M575" i="46"/>
  <c r="B575" i="46"/>
  <c r="H575" i="46"/>
  <c r="G575" i="46"/>
  <c r="M403" i="46"/>
  <c r="B403" i="46"/>
  <c r="K386" i="46"/>
  <c r="J403" i="46"/>
  <c r="H358" i="46"/>
  <c r="F358" i="46"/>
  <c r="G358" i="46"/>
  <c r="AB498" i="49"/>
  <c r="AD498" i="49"/>
  <c r="T498" i="49"/>
  <c r="F465" i="46"/>
  <c r="L465" i="46"/>
  <c r="R408" i="46"/>
  <c r="AC406" i="46"/>
  <c r="K389" i="46"/>
  <c r="J383" i="46"/>
  <c r="H383" i="46"/>
  <c r="K114" i="46"/>
  <c r="K100" i="46"/>
  <c r="M106" i="46"/>
  <c r="B106" i="46"/>
  <c r="S104" i="46"/>
  <c r="Y106" i="46"/>
  <c r="G106" i="46"/>
  <c r="K109" i="46"/>
  <c r="M117" i="46"/>
  <c r="B117" i="46"/>
  <c r="S115" i="46"/>
  <c r="J117" i="46"/>
  <c r="V117" i="46"/>
  <c r="BY498" i="49"/>
  <c r="M557" i="46"/>
  <c r="K516" i="46"/>
  <c r="K557" i="46"/>
  <c r="M500" i="46"/>
  <c r="B500" i="46"/>
  <c r="K468" i="46"/>
  <c r="R74" i="46"/>
  <c r="U177" i="46"/>
  <c r="X177" i="46"/>
  <c r="W177" i="46"/>
  <c r="Y177" i="46"/>
  <c r="V177" i="46"/>
  <c r="U185" i="46"/>
  <c r="X185" i="46"/>
  <c r="W185" i="46"/>
  <c r="Y185" i="46"/>
  <c r="V185" i="46"/>
  <c r="U193" i="46"/>
  <c r="X193" i="46"/>
  <c r="W193" i="46"/>
  <c r="Y193" i="46"/>
  <c r="V193" i="46"/>
  <c r="CV498" i="49"/>
  <c r="U557" i="46"/>
  <c r="I19" i="46"/>
  <c r="Y83" i="46"/>
  <c r="F500" i="46"/>
  <c r="R76" i="46"/>
  <c r="H68" i="46"/>
  <c r="F68" i="46"/>
  <c r="F19" i="46"/>
  <c r="V178" i="46"/>
  <c r="X178" i="46"/>
  <c r="U178" i="46"/>
  <c r="W178" i="46"/>
  <c r="Y178" i="46"/>
  <c r="V186" i="46"/>
  <c r="X186" i="46"/>
  <c r="U186" i="46"/>
  <c r="W186" i="46"/>
  <c r="Y186" i="46"/>
  <c r="V194" i="46"/>
  <c r="X194" i="46"/>
  <c r="U194" i="46"/>
  <c r="W194" i="46"/>
  <c r="Y194" i="46"/>
  <c r="X227" i="46"/>
  <c r="W227" i="46"/>
  <c r="Y227" i="46"/>
  <c r="V227" i="46"/>
  <c r="U227" i="46"/>
  <c r="X235" i="46"/>
  <c r="W235" i="46"/>
  <c r="Y235" i="46"/>
  <c r="V235" i="46"/>
  <c r="U235" i="46"/>
  <c r="X243" i="46"/>
  <c r="W243" i="46"/>
  <c r="Y243" i="46"/>
  <c r="V243" i="46"/>
  <c r="U243" i="46"/>
  <c r="V297" i="46"/>
  <c r="X297" i="46"/>
  <c r="U297" i="46"/>
  <c r="W297" i="46"/>
  <c r="Y297" i="46"/>
  <c r="V307" i="46"/>
  <c r="X307" i="46"/>
  <c r="U307" i="46"/>
  <c r="W307" i="46"/>
  <c r="Y307" i="46"/>
  <c r="V315" i="46"/>
  <c r="X315" i="46"/>
  <c r="U315" i="46"/>
  <c r="W315" i="46"/>
  <c r="Y315" i="46"/>
  <c r="X83" i="46"/>
  <c r="U19" i="46"/>
  <c r="K416" i="46"/>
  <c r="K387" i="46"/>
  <c r="K169" i="46"/>
  <c r="K153" i="46"/>
  <c r="K137" i="46"/>
  <c r="K121" i="46"/>
  <c r="U575" i="46"/>
  <c r="V575" i="46"/>
  <c r="I575" i="46"/>
  <c r="U403" i="46"/>
  <c r="V403" i="46"/>
  <c r="H403" i="46"/>
  <c r="K168" i="46"/>
  <c r="K152" i="46"/>
  <c r="K136" i="46"/>
  <c r="K120" i="46"/>
  <c r="M358" i="46"/>
  <c r="J358" i="46"/>
  <c r="L358" i="46"/>
  <c r="R164" i="46"/>
  <c r="O358" i="46"/>
  <c r="J465" i="46"/>
  <c r="H465" i="46"/>
  <c r="K406" i="46"/>
  <c r="M465" i="46"/>
  <c r="B465" i="46"/>
  <c r="I383" i="46"/>
  <c r="K159" i="46"/>
  <c r="K143" i="46"/>
  <c r="K127" i="46"/>
  <c r="K110" i="46"/>
  <c r="X106" i="46"/>
  <c r="F106" i="46"/>
  <c r="L106" i="46"/>
  <c r="R100" i="46"/>
  <c r="X117" i="46"/>
  <c r="AC109" i="46"/>
  <c r="Z109" i="46"/>
  <c r="U117" i="46"/>
  <c r="F117" i="46"/>
  <c r="W83" i="46"/>
  <c r="P557" i="46"/>
  <c r="M68" i="46"/>
  <c r="B68" i="46"/>
  <c r="K53" i="46"/>
  <c r="R78" i="46"/>
  <c r="W179" i="46"/>
  <c r="Y179" i="46"/>
  <c r="U179" i="46"/>
  <c r="V179" i="46"/>
  <c r="X179" i="46"/>
  <c r="W187" i="46"/>
  <c r="Y187" i="46"/>
  <c r="U187" i="46"/>
  <c r="V187" i="46"/>
  <c r="X187" i="46"/>
  <c r="W195" i="46"/>
  <c r="Y195" i="46"/>
  <c r="U195" i="46"/>
  <c r="V195" i="46"/>
  <c r="X195" i="46"/>
  <c r="W68" i="46"/>
  <c r="I513" i="46"/>
  <c r="W513" i="46"/>
  <c r="U83" i="46"/>
  <c r="V26" i="46"/>
  <c r="J26" i="46"/>
  <c r="H26" i="46"/>
  <c r="Y26" i="46"/>
  <c r="U26" i="46"/>
  <c r="M26" i="46"/>
  <c r="L26" i="46"/>
  <c r="N26" i="46"/>
  <c r="X26" i="46"/>
  <c r="I26" i="46"/>
  <c r="W26" i="46"/>
  <c r="F26" i="46"/>
  <c r="G26" i="46"/>
  <c r="V34" i="46"/>
  <c r="J34" i="46"/>
  <c r="H34" i="46"/>
  <c r="Y34" i="46"/>
  <c r="U34" i="46"/>
  <c r="M34" i="46"/>
  <c r="L34" i="46"/>
  <c r="N34" i="46"/>
  <c r="X34" i="46"/>
  <c r="I34" i="46"/>
  <c r="W34" i="46"/>
  <c r="F34" i="46"/>
  <c r="G34" i="46"/>
  <c r="K23" i="46"/>
  <c r="K39" i="46"/>
  <c r="L513" i="46"/>
  <c r="R503" i="46"/>
  <c r="L68" i="46"/>
  <c r="X180" i="46"/>
  <c r="W180" i="46"/>
  <c r="Y180" i="46"/>
  <c r="V180" i="46"/>
  <c r="U180" i="46"/>
  <c r="X188" i="46"/>
  <c r="W188" i="46"/>
  <c r="Y188" i="46"/>
  <c r="V188" i="46"/>
  <c r="U188" i="46"/>
  <c r="X196" i="46"/>
  <c r="W196" i="46"/>
  <c r="Y196" i="46"/>
  <c r="V196" i="46"/>
  <c r="U196" i="46"/>
  <c r="V229" i="46"/>
  <c r="X229" i="46"/>
  <c r="U229" i="46"/>
  <c r="W229" i="46"/>
  <c r="Y229" i="46"/>
  <c r="V237" i="46"/>
  <c r="X237" i="46"/>
  <c r="U237" i="46"/>
  <c r="W237" i="46"/>
  <c r="Y237" i="46"/>
  <c r="V245" i="46"/>
  <c r="X245" i="46"/>
  <c r="U245" i="46"/>
  <c r="W245" i="46"/>
  <c r="Y245" i="46"/>
  <c r="X299" i="46"/>
  <c r="W299" i="46"/>
  <c r="Y299" i="46"/>
  <c r="V299" i="46"/>
  <c r="U299" i="46"/>
  <c r="X309" i="46"/>
  <c r="W309" i="46"/>
  <c r="Y309" i="46"/>
  <c r="V309" i="46"/>
  <c r="U309" i="46"/>
  <c r="W557" i="46"/>
  <c r="U68" i="46"/>
  <c r="K412" i="46"/>
  <c r="K165" i="46"/>
  <c r="K149" i="46"/>
  <c r="K133" i="46"/>
  <c r="K112" i="46"/>
  <c r="Y575" i="46"/>
  <c r="L575" i="46"/>
  <c r="R564" i="46"/>
  <c r="X575" i="46"/>
  <c r="G403" i="46"/>
  <c r="I403" i="46"/>
  <c r="I358" i="46"/>
  <c r="K567" i="46"/>
  <c r="U465" i="46"/>
  <c r="Z406" i="46"/>
  <c r="I465" i="46"/>
  <c r="AB406" i="46"/>
  <c r="W465" i="46"/>
  <c r="G383" i="46"/>
  <c r="Y383" i="46"/>
  <c r="J106" i="46"/>
  <c r="I106" i="46"/>
  <c r="BI587" i="46"/>
  <c r="B586" i="46"/>
  <c r="V557" i="46"/>
  <c r="R409" i="46"/>
  <c r="Y117" i="46"/>
  <c r="I117" i="46"/>
  <c r="K89" i="46"/>
  <c r="V97" i="46"/>
  <c r="O68" i="46"/>
  <c r="M19" i="46"/>
  <c r="K6" i="46"/>
  <c r="K19" i="46"/>
  <c r="L500" i="46"/>
  <c r="R468" i="46"/>
  <c r="R56" i="46"/>
  <c r="U181" i="46"/>
  <c r="X181" i="46"/>
  <c r="W181" i="46"/>
  <c r="Y181" i="46"/>
  <c r="V181" i="46"/>
  <c r="U189" i="46"/>
  <c r="X189" i="46"/>
  <c r="W189" i="46"/>
  <c r="Y189" i="46"/>
  <c r="V189" i="46"/>
  <c r="U197" i="46"/>
  <c r="X197" i="46"/>
  <c r="W197" i="46"/>
  <c r="Y197" i="46"/>
  <c r="V197" i="46"/>
  <c r="V500" i="46"/>
  <c r="U97" i="46"/>
  <c r="I557" i="46"/>
  <c r="I500" i="46"/>
  <c r="V19" i="46"/>
  <c r="K86" i="46"/>
  <c r="K97" i="46"/>
  <c r="M97" i="46"/>
  <c r="B97" i="46"/>
  <c r="K71" i="46"/>
  <c r="K83" i="46"/>
  <c r="M83" i="46"/>
  <c r="B83" i="46"/>
  <c r="R58" i="46"/>
  <c r="V182" i="46"/>
  <c r="X182" i="46"/>
  <c r="U182" i="46"/>
  <c r="W182" i="46"/>
  <c r="Y182" i="46"/>
  <c r="V190" i="46"/>
  <c r="X190" i="46"/>
  <c r="U190" i="46"/>
  <c r="W190" i="46"/>
  <c r="Y190" i="46"/>
  <c r="X223" i="46"/>
  <c r="W223" i="46"/>
  <c r="Y223" i="46"/>
  <c r="V223" i="46"/>
  <c r="U223" i="46"/>
  <c r="X231" i="46"/>
  <c r="W231" i="46"/>
  <c r="Y231" i="46"/>
  <c r="V231" i="46"/>
  <c r="U231" i="46"/>
  <c r="X239" i="46"/>
  <c r="W239" i="46"/>
  <c r="Y239" i="46"/>
  <c r="V239" i="46"/>
  <c r="U239" i="46"/>
  <c r="X247" i="46"/>
  <c r="W247" i="46"/>
  <c r="Y247" i="46"/>
  <c r="V247" i="46"/>
  <c r="U247" i="46"/>
  <c r="V302" i="46"/>
  <c r="X302" i="46"/>
  <c r="U302" i="46"/>
  <c r="W302" i="46"/>
  <c r="Y302" i="46"/>
  <c r="V311" i="46"/>
  <c r="X311" i="46"/>
  <c r="U311" i="46"/>
  <c r="W311" i="46"/>
  <c r="Y311" i="46"/>
  <c r="BB498" i="49"/>
  <c r="W97" i="46"/>
  <c r="K565" i="46"/>
  <c r="K408" i="46"/>
  <c r="K395" i="46"/>
  <c r="K161" i="46"/>
  <c r="K145" i="46"/>
  <c r="K129" i="46"/>
  <c r="R88" i="46"/>
  <c r="O557" i="46"/>
  <c r="J575" i="46"/>
  <c r="F575" i="46"/>
  <c r="W575" i="46"/>
  <c r="F403" i="46"/>
  <c r="L403" i="46"/>
  <c r="R387" i="46"/>
  <c r="X403" i="46"/>
  <c r="K160" i="46"/>
  <c r="K144" i="46"/>
  <c r="R128" i="46"/>
  <c r="K563" i="46"/>
  <c r="K414" i="46"/>
  <c r="Y465" i="46"/>
  <c r="AA406" i="46"/>
  <c r="G465" i="46"/>
  <c r="K393" i="46"/>
  <c r="K167" i="46"/>
  <c r="K151" i="46"/>
  <c r="K135" i="46"/>
  <c r="H106" i="46"/>
  <c r="U106" i="46"/>
  <c r="V106" i="46"/>
  <c r="W106" i="46"/>
  <c r="R170" i="46"/>
  <c r="L117" i="46"/>
  <c r="R111" i="46"/>
  <c r="H117" i="46"/>
  <c r="G117" i="46"/>
  <c r="W117" i="46"/>
  <c r="AB109" i="46"/>
  <c r="X68" i="46"/>
  <c r="O97" i="46"/>
  <c r="R6" i="46"/>
  <c r="R12" i="46"/>
  <c r="R14" i="46"/>
  <c r="R10" i="46"/>
  <c r="CD579" i="46"/>
  <c r="CD580" i="46"/>
  <c r="CD581" i="46"/>
  <c r="CD582" i="46"/>
  <c r="R410" i="46"/>
  <c r="R414" i="46"/>
  <c r="R406" i="46"/>
  <c r="R407" i="46"/>
  <c r="R411" i="46"/>
  <c r="R412" i="46"/>
  <c r="R413" i="46"/>
  <c r="R415" i="46"/>
  <c r="R416" i="46"/>
  <c r="R417" i="46"/>
  <c r="R418" i="46"/>
  <c r="R419" i="46"/>
  <c r="R420" i="46"/>
  <c r="R421" i="46"/>
  <c r="R465" i="46"/>
  <c r="R516" i="46"/>
  <c r="R520" i="46"/>
  <c r="R527" i="46"/>
  <c r="R531" i="46"/>
  <c r="R534" i="46"/>
  <c r="R518" i="46"/>
  <c r="R562" i="46"/>
  <c r="R54" i="46"/>
  <c r="K500" i="46"/>
  <c r="R532" i="46"/>
  <c r="R536" i="46"/>
  <c r="R524" i="46"/>
  <c r="R528" i="46"/>
  <c r="R530" i="46"/>
  <c r="R151" i="46"/>
  <c r="R163" i="46"/>
  <c r="R484" i="46"/>
  <c r="K106" i="46"/>
  <c r="I68" i="46"/>
  <c r="R525" i="46"/>
  <c r="R529" i="46"/>
  <c r="R517" i="46"/>
  <c r="R521" i="46"/>
  <c r="FH319" i="49"/>
  <c r="FH496" i="49"/>
  <c r="FH494" i="49"/>
  <c r="FH493" i="49"/>
  <c r="FH492" i="49"/>
  <c r="FH491" i="49"/>
  <c r="FH490" i="49"/>
  <c r="FH489" i="49"/>
  <c r="FH488" i="49"/>
  <c r="FH487" i="49"/>
  <c r="FH486" i="49"/>
  <c r="FH485" i="49"/>
  <c r="FH484" i="49"/>
  <c r="FH483" i="49"/>
  <c r="FH482" i="49"/>
  <c r="FH481" i="49"/>
  <c r="FH480" i="49"/>
  <c r="FH479" i="49"/>
  <c r="FH478" i="49"/>
  <c r="FH477" i="49"/>
  <c r="FH476" i="49"/>
  <c r="FH475" i="49"/>
  <c r="FH474" i="49"/>
  <c r="FH473" i="49"/>
  <c r="FH472" i="49"/>
  <c r="FH471" i="49"/>
  <c r="FH470" i="49"/>
  <c r="FH469" i="49"/>
  <c r="FH468" i="49"/>
  <c r="FH467" i="49"/>
  <c r="FH466" i="49"/>
  <c r="FH465" i="49"/>
  <c r="FH464" i="49"/>
  <c r="FH463" i="49"/>
  <c r="FH462" i="49"/>
  <c r="FH461" i="49"/>
  <c r="FH460" i="49"/>
  <c r="FH459" i="49"/>
  <c r="FH458" i="49"/>
  <c r="FH457" i="49"/>
  <c r="FH456" i="49"/>
  <c r="FH455" i="49"/>
  <c r="FH320" i="49"/>
  <c r="FH452" i="49"/>
  <c r="FH448" i="49"/>
  <c r="FH444" i="49"/>
  <c r="FH440" i="49"/>
  <c r="FH436" i="49"/>
  <c r="FH432" i="49"/>
  <c r="FH428" i="49"/>
  <c r="FH424" i="49"/>
  <c r="FH420" i="49"/>
  <c r="FH416" i="49"/>
  <c r="FH412" i="49"/>
  <c r="FH408" i="49"/>
  <c r="FH404" i="49"/>
  <c r="FH400" i="49"/>
  <c r="FH453" i="49"/>
  <c r="FH449" i="49"/>
  <c r="FH445" i="49"/>
  <c r="FH441" i="49"/>
  <c r="FH437" i="49"/>
  <c r="FH433" i="49"/>
  <c r="FH429" i="49"/>
  <c r="FH425" i="49"/>
  <c r="FH421" i="49"/>
  <c r="FH417" i="49"/>
  <c r="FH413" i="49"/>
  <c r="FH409" i="49"/>
  <c r="FH405" i="49"/>
  <c r="FH401" i="49"/>
  <c r="FH397" i="49"/>
  <c r="FH393" i="49"/>
  <c r="FH389" i="49"/>
  <c r="FH384" i="49"/>
  <c r="FH382" i="49"/>
  <c r="FH380" i="49"/>
  <c r="FH378" i="49"/>
  <c r="FH376" i="49"/>
  <c r="FH374" i="49"/>
  <c r="FH454" i="49"/>
  <c r="FH450" i="49"/>
  <c r="FH446" i="49"/>
  <c r="FH442" i="49"/>
  <c r="FH438" i="49"/>
  <c r="FH434" i="49"/>
  <c r="FH430" i="49"/>
  <c r="FH426" i="49"/>
  <c r="FH422" i="49"/>
  <c r="FH418" i="49"/>
  <c r="FH414" i="49"/>
  <c r="FH410" i="49"/>
  <c r="FH406" i="49"/>
  <c r="FH402" i="49"/>
  <c r="FH398" i="49"/>
  <c r="FH394" i="49"/>
  <c r="FH390" i="49"/>
  <c r="FH451" i="49"/>
  <c r="FH443" i="49"/>
  <c r="FH435" i="49"/>
  <c r="FH427" i="49"/>
  <c r="FH419" i="49"/>
  <c r="FH411" i="49"/>
  <c r="FH403" i="49"/>
  <c r="FH383" i="49"/>
  <c r="FH375" i="49"/>
  <c r="FH372" i="49"/>
  <c r="FH368" i="49"/>
  <c r="FH364" i="49"/>
  <c r="FH360" i="49"/>
  <c r="FH395" i="49"/>
  <c r="FH391" i="49"/>
  <c r="FH387" i="49"/>
  <c r="FH385" i="49"/>
  <c r="FH377" i="49"/>
  <c r="FH371" i="49"/>
  <c r="FH367" i="49"/>
  <c r="FH363" i="49"/>
  <c r="FH359" i="49"/>
  <c r="FH447" i="49"/>
  <c r="FH439" i="49"/>
  <c r="FH431" i="49"/>
  <c r="FH423" i="49"/>
  <c r="FH415" i="49"/>
  <c r="FH407" i="49"/>
  <c r="FH399" i="49"/>
  <c r="FH379" i="49"/>
  <c r="FH370" i="49"/>
  <c r="FH366" i="49"/>
  <c r="FH362" i="49"/>
  <c r="FH358" i="49"/>
  <c r="FH356" i="49"/>
  <c r="FH355" i="49"/>
  <c r="FH354" i="49"/>
  <c r="FH353" i="49"/>
  <c r="FH352" i="49"/>
  <c r="FH351" i="49"/>
  <c r="FH350" i="49"/>
  <c r="FH349" i="49"/>
  <c r="FH348" i="49"/>
  <c r="FH347" i="49"/>
  <c r="FH346" i="49"/>
  <c r="FH345" i="49"/>
  <c r="FH344" i="49"/>
  <c r="FH343" i="49"/>
  <c r="FH342" i="49"/>
  <c r="FH341" i="49"/>
  <c r="FH340" i="49"/>
  <c r="FH339" i="49"/>
  <c r="FH338" i="49"/>
  <c r="FH337" i="49"/>
  <c r="FH336" i="49"/>
  <c r="FH335" i="49"/>
  <c r="FH334" i="49"/>
  <c r="FH333" i="49"/>
  <c r="FH332" i="49"/>
  <c r="FH331" i="49"/>
  <c r="FH329" i="49"/>
  <c r="FH328" i="49"/>
  <c r="FH327" i="49"/>
  <c r="FH326" i="49"/>
  <c r="FH325" i="49"/>
  <c r="FH324" i="49"/>
  <c r="FH323" i="49"/>
  <c r="FH322" i="49"/>
  <c r="FH321" i="49"/>
  <c r="FH317" i="49"/>
  <c r="FH316" i="49"/>
  <c r="FH315" i="49"/>
  <c r="FH314" i="49"/>
  <c r="FH313" i="49"/>
  <c r="FH312" i="49"/>
  <c r="FH311" i="49"/>
  <c r="FH310" i="49"/>
  <c r="FH309" i="49"/>
  <c r="FH308" i="49"/>
  <c r="FH307" i="49"/>
  <c r="FH306" i="49"/>
  <c r="FH305" i="49"/>
  <c r="FH304" i="49"/>
  <c r="FH303" i="49"/>
  <c r="FH302" i="49"/>
  <c r="FH301" i="49"/>
  <c r="FH300" i="49"/>
  <c r="FH299" i="49"/>
  <c r="FH298" i="49"/>
  <c r="FH297" i="49"/>
  <c r="FH296" i="49"/>
  <c r="FH295" i="49"/>
  <c r="FH294" i="49"/>
  <c r="FH293" i="49"/>
  <c r="FH292" i="49"/>
  <c r="FH291" i="49"/>
  <c r="FH290" i="49"/>
  <c r="FH388" i="49"/>
  <c r="FH373" i="49"/>
  <c r="FH369" i="49"/>
  <c r="FH365" i="49"/>
  <c r="FH361" i="49"/>
  <c r="FH357" i="49"/>
  <c r="FH285" i="49"/>
  <c r="FH281" i="49"/>
  <c r="FH277" i="49"/>
  <c r="FH286" i="49"/>
  <c r="FH282" i="49"/>
  <c r="FH278" i="49"/>
  <c r="FH396" i="49"/>
  <c r="FH289" i="49"/>
  <c r="FH287" i="49"/>
  <c r="FH283" i="49"/>
  <c r="FH279" i="49"/>
  <c r="FH386" i="49"/>
  <c r="FH275" i="49"/>
  <c r="FH271" i="49"/>
  <c r="FH267" i="49"/>
  <c r="FH263" i="49"/>
  <c r="FH259" i="49"/>
  <c r="FH255" i="49"/>
  <c r="FH251" i="49"/>
  <c r="FH247" i="49"/>
  <c r="FH243" i="49"/>
  <c r="FH239" i="49"/>
  <c r="FH235" i="49"/>
  <c r="FH231" i="49"/>
  <c r="FH227" i="49"/>
  <c r="FH223" i="49"/>
  <c r="FH219" i="49"/>
  <c r="FH218" i="49"/>
  <c r="FH214" i="49"/>
  <c r="FH210" i="49"/>
  <c r="FH206" i="49"/>
  <c r="FH392" i="49"/>
  <c r="FH284" i="49"/>
  <c r="FH276" i="49"/>
  <c r="FH272" i="49"/>
  <c r="FH268" i="49"/>
  <c r="FH264" i="49"/>
  <c r="FH260" i="49"/>
  <c r="FH256" i="49"/>
  <c r="FH252" i="49"/>
  <c r="FH248" i="49"/>
  <c r="FH244" i="49"/>
  <c r="FH240" i="49"/>
  <c r="FH236" i="49"/>
  <c r="FH232" i="49"/>
  <c r="FH228" i="49"/>
  <c r="FH224" i="49"/>
  <c r="FH220" i="49"/>
  <c r="FH217" i="49"/>
  <c r="FH213" i="49"/>
  <c r="FH209" i="49"/>
  <c r="FH205" i="49"/>
  <c r="FH200" i="49"/>
  <c r="FH199" i="49"/>
  <c r="FH198" i="49"/>
  <c r="FH197" i="49"/>
  <c r="FH196" i="49"/>
  <c r="FH195" i="49"/>
  <c r="FH194" i="49"/>
  <c r="FH193" i="49"/>
  <c r="FH192" i="49"/>
  <c r="FH191" i="49"/>
  <c r="FH190" i="49"/>
  <c r="FH189" i="49"/>
  <c r="FH188" i="49"/>
  <c r="FH187" i="49"/>
  <c r="FH186" i="49"/>
  <c r="FH185" i="49"/>
  <c r="FH184" i="49"/>
  <c r="FH183" i="49"/>
  <c r="FH182" i="49"/>
  <c r="FH181" i="49"/>
  <c r="FH180" i="49"/>
  <c r="FH179" i="49"/>
  <c r="FH178" i="49"/>
  <c r="FH177" i="49"/>
  <c r="FH176" i="49"/>
  <c r="FH175" i="49"/>
  <c r="FH174" i="49"/>
  <c r="FH173" i="49"/>
  <c r="FH172" i="49"/>
  <c r="FH171" i="49"/>
  <c r="FH170" i="49"/>
  <c r="FH169" i="49"/>
  <c r="FH168" i="49"/>
  <c r="FH167" i="49"/>
  <c r="FH166" i="49"/>
  <c r="FH165" i="49"/>
  <c r="FH164" i="49"/>
  <c r="FH163" i="49"/>
  <c r="FH162" i="49"/>
  <c r="FH161" i="49"/>
  <c r="FH160" i="49"/>
  <c r="FH159" i="49"/>
  <c r="FH158" i="49"/>
  <c r="FH157" i="49"/>
  <c r="FH156" i="49"/>
  <c r="FH155" i="49"/>
  <c r="FH154" i="49"/>
  <c r="FH153" i="49"/>
  <c r="FH152" i="49"/>
  <c r="FH151" i="49"/>
  <c r="FH150" i="49"/>
  <c r="FH149" i="49"/>
  <c r="FH148" i="49"/>
  <c r="FH147" i="49"/>
  <c r="FH146" i="49"/>
  <c r="FH145" i="49"/>
  <c r="FH144" i="49"/>
  <c r="FH143" i="49"/>
  <c r="FH142" i="49"/>
  <c r="FH141" i="49"/>
  <c r="FH140" i="49"/>
  <c r="FH139" i="49"/>
  <c r="FH138" i="49"/>
  <c r="FH137" i="49"/>
  <c r="FH136" i="49"/>
  <c r="FH135" i="49"/>
  <c r="FH134" i="49"/>
  <c r="FH133" i="49"/>
  <c r="FH132" i="49"/>
  <c r="FH131" i="49"/>
  <c r="FH130" i="49"/>
  <c r="FH129" i="49"/>
  <c r="FH128" i="49"/>
  <c r="FH127" i="49"/>
  <c r="FH126" i="49"/>
  <c r="FH125" i="49"/>
  <c r="FH124" i="49"/>
  <c r="FH123" i="49"/>
  <c r="FH122" i="49"/>
  <c r="FH121" i="49"/>
  <c r="FH120" i="49"/>
  <c r="FH119" i="49"/>
  <c r="FH118" i="49"/>
  <c r="FH117" i="49"/>
  <c r="FH116" i="49"/>
  <c r="FH115" i="49"/>
  <c r="FH114" i="49"/>
  <c r="FH113" i="49"/>
  <c r="FH112" i="49"/>
  <c r="FH111" i="49"/>
  <c r="FH110" i="49"/>
  <c r="FH109" i="49"/>
  <c r="FH108" i="49"/>
  <c r="FH107" i="49"/>
  <c r="FH106" i="49"/>
  <c r="FH105" i="49"/>
  <c r="FH104" i="49"/>
  <c r="FH103" i="49"/>
  <c r="FH102" i="49"/>
  <c r="FH101" i="49"/>
  <c r="FH100" i="49"/>
  <c r="FH99" i="49"/>
  <c r="FH98" i="49"/>
  <c r="FH97" i="49"/>
  <c r="FH96" i="49"/>
  <c r="FH95" i="49"/>
  <c r="FH94" i="49"/>
  <c r="FH93" i="49"/>
  <c r="FH92" i="49"/>
  <c r="FH91" i="49"/>
  <c r="FH90" i="49"/>
  <c r="FH89" i="49"/>
  <c r="FH88" i="49"/>
  <c r="FH87" i="49"/>
  <c r="FH86" i="49"/>
  <c r="FH85" i="49"/>
  <c r="FH84" i="49"/>
  <c r="FH83" i="49"/>
  <c r="FH82" i="49"/>
  <c r="FH81" i="49"/>
  <c r="FH80" i="49"/>
  <c r="FH79" i="49"/>
  <c r="FH78" i="49"/>
  <c r="FH77" i="49"/>
  <c r="FH76" i="49"/>
  <c r="FH75" i="49"/>
  <c r="FH74" i="49"/>
  <c r="FH73" i="49"/>
  <c r="FH72" i="49"/>
  <c r="FH71" i="49"/>
  <c r="FH70" i="49"/>
  <c r="FH69" i="49"/>
  <c r="FH68" i="49"/>
  <c r="FH67" i="49"/>
  <c r="FH66" i="49"/>
  <c r="FH65" i="49"/>
  <c r="FH64" i="49"/>
  <c r="FH63" i="49"/>
  <c r="FH62" i="49"/>
  <c r="FH61" i="49"/>
  <c r="FH273" i="49"/>
  <c r="FH269" i="49"/>
  <c r="FH265" i="49"/>
  <c r="FH261" i="49"/>
  <c r="FH257" i="49"/>
  <c r="FH253" i="49"/>
  <c r="FH249" i="49"/>
  <c r="FH245" i="49"/>
  <c r="FH241" i="49"/>
  <c r="FH237" i="49"/>
  <c r="FH233" i="49"/>
  <c r="FH229" i="49"/>
  <c r="FH225" i="49"/>
  <c r="FH221" i="49"/>
  <c r="FH216" i="49"/>
  <c r="FH212" i="49"/>
  <c r="FH208" i="49"/>
  <c r="FH201" i="49"/>
  <c r="FH381" i="49"/>
  <c r="FH288" i="49"/>
  <c r="FH280" i="49"/>
  <c r="FH60" i="49"/>
  <c r="FH59" i="49"/>
  <c r="FH58" i="49"/>
  <c r="FH57" i="49"/>
  <c r="FH56" i="49"/>
  <c r="FH55" i="49"/>
  <c r="FH54" i="49"/>
  <c r="FH53" i="49"/>
  <c r="FH52" i="49"/>
  <c r="FH51" i="49"/>
  <c r="FH50" i="49"/>
  <c r="FH49" i="49"/>
  <c r="FH48" i="49"/>
  <c r="FH47" i="49"/>
  <c r="FH46" i="49"/>
  <c r="FH45" i="49"/>
  <c r="FH44" i="49"/>
  <c r="FH43" i="49"/>
  <c r="FH42" i="49"/>
  <c r="FH41" i="49"/>
  <c r="FH40" i="49"/>
  <c r="FH39" i="49"/>
  <c r="FH38" i="49"/>
  <c r="FH37" i="49"/>
  <c r="FH36" i="49"/>
  <c r="FH35" i="49"/>
  <c r="FH34" i="49"/>
  <c r="FH33" i="49"/>
  <c r="FH32" i="49"/>
  <c r="FH31" i="49"/>
  <c r="FH30" i="49"/>
  <c r="FH29" i="49"/>
  <c r="FH28" i="49"/>
  <c r="FH27" i="49"/>
  <c r="FH26" i="49"/>
  <c r="FH25" i="49"/>
  <c r="FH24" i="49"/>
  <c r="FH23" i="49"/>
  <c r="FH22" i="49"/>
  <c r="FH21" i="49"/>
  <c r="FH20" i="49"/>
  <c r="FH19" i="49"/>
  <c r="FH18" i="49"/>
  <c r="FH17" i="49"/>
  <c r="FH16" i="49"/>
  <c r="FH15" i="49"/>
  <c r="FH14" i="49"/>
  <c r="FH13" i="49"/>
  <c r="FH12" i="49"/>
  <c r="FH11" i="49"/>
  <c r="FH10" i="49"/>
  <c r="FH9" i="49"/>
  <c r="FH8" i="49"/>
  <c r="FH7" i="49"/>
  <c r="FH6" i="49"/>
  <c r="FH5" i="49"/>
  <c r="FH318" i="49"/>
  <c r="FH230" i="49"/>
  <c r="FH274" i="49"/>
  <c r="FH266" i="49"/>
  <c r="FH258" i="49"/>
  <c r="FH250" i="49"/>
  <c r="FH242" i="49"/>
  <c r="FH234" i="49"/>
  <c r="FH226" i="49"/>
  <c r="FH202" i="49"/>
  <c r="FH270" i="49"/>
  <c r="FH246" i="49"/>
  <c r="FH222" i="49"/>
  <c r="FH215" i="49"/>
  <c r="FH262" i="49"/>
  <c r="FH254" i="49"/>
  <c r="FH238" i="49"/>
  <c r="FH211" i="49"/>
  <c r="FH207" i="49"/>
  <c r="BF582" i="46"/>
  <c r="R143" i="46"/>
  <c r="B358" i="46"/>
  <c r="S191" i="46"/>
  <c r="R142" i="46"/>
  <c r="R393" i="46"/>
  <c r="R561" i="46"/>
  <c r="R8" i="46"/>
  <c r="R482" i="46"/>
  <c r="R360" i="49"/>
  <c r="BV360" i="49"/>
  <c r="R29" i="49"/>
  <c r="BV29" i="49"/>
  <c r="R449" i="49"/>
  <c r="BV449" i="49"/>
  <c r="R69" i="49"/>
  <c r="BV69" i="49"/>
  <c r="R454" i="49"/>
  <c r="R75" i="49"/>
  <c r="BV75" i="49"/>
  <c r="R455" i="49"/>
  <c r="BV455" i="49"/>
  <c r="AY455" i="49"/>
  <c r="W500" i="46"/>
  <c r="AY449" i="49"/>
  <c r="AY75" i="49"/>
  <c r="AY29" i="49"/>
  <c r="AY69" i="49"/>
  <c r="AY360" i="49"/>
  <c r="R162" i="46"/>
  <c r="R122" i="46"/>
  <c r="R144" i="46"/>
  <c r="R141" i="46"/>
  <c r="R173" i="46"/>
  <c r="R158" i="46"/>
  <c r="R129" i="46"/>
  <c r="R161" i="46"/>
  <c r="R130" i="46"/>
  <c r="R169" i="46"/>
  <c r="R138" i="46"/>
  <c r="R127" i="46"/>
  <c r="R159" i="46"/>
  <c r="S246" i="46"/>
  <c r="T246" i="46"/>
  <c r="BT246" i="46"/>
  <c r="R174" i="46"/>
  <c r="R131" i="46"/>
  <c r="R132" i="46"/>
  <c r="R146" i="46"/>
  <c r="R135" i="46"/>
  <c r="R167" i="46"/>
  <c r="R154" i="46"/>
  <c r="R160" i="46"/>
  <c r="R125" i="46"/>
  <c r="R157" i="46"/>
  <c r="R126" i="46"/>
  <c r="R147" i="46"/>
  <c r="R148" i="46"/>
  <c r="R145" i="46"/>
  <c r="S232" i="46"/>
  <c r="T232" i="46"/>
  <c r="BT232" i="46"/>
  <c r="U358" i="46"/>
  <c r="R563" i="46"/>
  <c r="R136" i="46"/>
  <c r="R123" i="46"/>
  <c r="R557" i="46"/>
  <c r="X358" i="46"/>
  <c r="R155" i="46"/>
  <c r="R172" i="46"/>
  <c r="R153" i="46"/>
  <c r="P582" i="46"/>
  <c r="R386" i="46"/>
  <c r="R391" i="46"/>
  <c r="W358" i="46"/>
  <c r="K68" i="46"/>
  <c r="R149" i="46"/>
  <c r="R568" i="46"/>
  <c r="R396" i="46"/>
  <c r="R566" i="46"/>
  <c r="V358" i="46"/>
  <c r="Y358" i="46"/>
  <c r="R114" i="46"/>
  <c r="S238" i="46"/>
  <c r="S183" i="46"/>
  <c r="R469" i="46"/>
  <c r="R473" i="46"/>
  <c r="R477" i="46"/>
  <c r="R481" i="46"/>
  <c r="R485" i="46"/>
  <c r="R471" i="46"/>
  <c r="R475" i="46"/>
  <c r="R479" i="46"/>
  <c r="R483" i="46"/>
  <c r="O582" i="46"/>
  <c r="R560" i="46"/>
  <c r="R395" i="46"/>
  <c r="R565" i="46"/>
  <c r="S244" i="46"/>
  <c r="S189" i="46"/>
  <c r="R478" i="46"/>
  <c r="K34" i="46"/>
  <c r="R480" i="46"/>
  <c r="K358" i="46"/>
  <c r="R168" i="46"/>
  <c r="R394" i="46"/>
  <c r="R133" i="46"/>
  <c r="S250" i="46"/>
  <c r="S489" i="46"/>
  <c r="S487" i="46"/>
  <c r="S491" i="46"/>
  <c r="S495" i="46"/>
  <c r="S494" i="46"/>
  <c r="S496" i="46"/>
  <c r="S492" i="46"/>
  <c r="S497" i="46"/>
  <c r="S493" i="46"/>
  <c r="S490" i="46"/>
  <c r="S486" i="46"/>
  <c r="S498" i="46"/>
  <c r="S488" i="46"/>
  <c r="T115" i="46"/>
  <c r="BT115" i="46"/>
  <c r="S116" i="46"/>
  <c r="Q113" i="46"/>
  <c r="S113" i="46"/>
  <c r="R150" i="46"/>
  <c r="R392" i="46"/>
  <c r="R389" i="46"/>
  <c r="R140" i="46"/>
  <c r="S400" i="46"/>
  <c r="S399" i="46"/>
  <c r="S401" i="46"/>
  <c r="S398" i="46"/>
  <c r="R137" i="46"/>
  <c r="S248" i="46"/>
  <c r="X50" i="46"/>
  <c r="K22" i="46"/>
  <c r="M50" i="46"/>
  <c r="B50" i="46"/>
  <c r="J50" i="46"/>
  <c r="S308" i="46"/>
  <c r="S230" i="46"/>
  <c r="S93" i="46"/>
  <c r="S94" i="46"/>
  <c r="S95" i="46"/>
  <c r="R89" i="46"/>
  <c r="R113" i="46"/>
  <c r="R390" i="46"/>
  <c r="S314" i="46"/>
  <c r="S236" i="46"/>
  <c r="R505" i="46"/>
  <c r="R506" i="46"/>
  <c r="R507" i="46"/>
  <c r="R504" i="46"/>
  <c r="R508" i="46"/>
  <c r="K26" i="46"/>
  <c r="R388" i="46"/>
  <c r="R403" i="46"/>
  <c r="R90" i="46"/>
  <c r="R567" i="46"/>
  <c r="R120" i="46"/>
  <c r="R152" i="46"/>
  <c r="R112" i="46"/>
  <c r="R165" i="46"/>
  <c r="S242" i="46"/>
  <c r="R7" i="46"/>
  <c r="R11" i="46"/>
  <c r="R15" i="46"/>
  <c r="R16" i="46"/>
  <c r="R9" i="46"/>
  <c r="R13" i="46"/>
  <c r="R476" i="46"/>
  <c r="K117" i="46"/>
  <c r="R139" i="46"/>
  <c r="R171" i="46"/>
  <c r="R91" i="46"/>
  <c r="R121" i="46"/>
  <c r="S240" i="46"/>
  <c r="S185" i="46"/>
  <c r="R470" i="46"/>
  <c r="G50" i="46"/>
  <c r="U50" i="46"/>
  <c r="U582" i="46"/>
  <c r="V50" i="46"/>
  <c r="R472" i="46"/>
  <c r="S511" i="46"/>
  <c r="S510" i="46"/>
  <c r="R109" i="46"/>
  <c r="S222" i="46"/>
  <c r="R102" i="46"/>
  <c r="S306" i="46"/>
  <c r="S228" i="46"/>
  <c r="R60" i="46"/>
  <c r="R53" i="46"/>
  <c r="R57" i="46"/>
  <c r="R55" i="46"/>
  <c r="R59" i="46"/>
  <c r="K383" i="46"/>
  <c r="S429" i="46"/>
  <c r="S461" i="46"/>
  <c r="S426" i="46"/>
  <c r="S424" i="46"/>
  <c r="S428" i="46"/>
  <c r="S450" i="46"/>
  <c r="S434" i="46"/>
  <c r="S453" i="46"/>
  <c r="S437" i="46"/>
  <c r="S456" i="46"/>
  <c r="S440" i="46"/>
  <c r="S459" i="46"/>
  <c r="S443" i="46"/>
  <c r="S463" i="46"/>
  <c r="S446" i="46"/>
  <c r="S430" i="46"/>
  <c r="S449" i="46"/>
  <c r="S433" i="46"/>
  <c r="S452" i="46"/>
  <c r="S436" i="46"/>
  <c r="S455" i="46"/>
  <c r="S439" i="46"/>
  <c r="S458" i="46"/>
  <c r="S442" i="46"/>
  <c r="S427" i="46"/>
  <c r="S462" i="46"/>
  <c r="S445" i="46"/>
  <c r="S448" i="46"/>
  <c r="S432" i="46"/>
  <c r="S451" i="46"/>
  <c r="S435" i="46"/>
  <c r="S454" i="46"/>
  <c r="S438" i="46"/>
  <c r="S425" i="46"/>
  <c r="S457" i="46"/>
  <c r="S441" i="46"/>
  <c r="S460" i="46"/>
  <c r="S444" i="46"/>
  <c r="S423" i="46"/>
  <c r="S447" i="46"/>
  <c r="S431" i="46"/>
  <c r="S234" i="46"/>
  <c r="S179" i="46"/>
  <c r="R474" i="46"/>
  <c r="B557" i="46"/>
  <c r="R134" i="46"/>
  <c r="R166" i="46"/>
  <c r="S105" i="46"/>
  <c r="Q101" i="46"/>
  <c r="S101" i="46"/>
  <c r="BT101" i="46"/>
  <c r="T104" i="46"/>
  <c r="BT104" i="46"/>
  <c r="R110" i="46"/>
  <c r="R124" i="46"/>
  <c r="R156" i="46"/>
  <c r="S571" i="46"/>
  <c r="S573" i="46"/>
  <c r="S570" i="46"/>
  <c r="S572" i="46"/>
  <c r="S569" i="46"/>
  <c r="S310" i="46"/>
  <c r="R71" i="46"/>
  <c r="R75" i="46"/>
  <c r="R73" i="46"/>
  <c r="R77" i="46"/>
  <c r="K38" i="46"/>
  <c r="F50" i="46"/>
  <c r="L50" i="46"/>
  <c r="R26" i="46"/>
  <c r="R22" i="46"/>
  <c r="Y50" i="46"/>
  <c r="T191" i="46"/>
  <c r="BT191" i="46"/>
  <c r="S80" i="46"/>
  <c r="S81" i="46"/>
  <c r="B19" i="46"/>
  <c r="S17" i="46"/>
  <c r="M582" i="46"/>
  <c r="B587" i="46"/>
  <c r="B588" i="46"/>
  <c r="S66" i="46"/>
  <c r="S65" i="46"/>
  <c r="S64" i="46"/>
  <c r="S63" i="46"/>
  <c r="S62" i="46"/>
  <c r="R103" i="46"/>
  <c r="R101" i="46"/>
  <c r="K465" i="46"/>
  <c r="S200" i="46"/>
  <c r="S204" i="46"/>
  <c r="S208" i="46"/>
  <c r="S216" i="46"/>
  <c r="S220" i="46"/>
  <c r="S252" i="46"/>
  <c r="S260" i="46"/>
  <c r="S264" i="46"/>
  <c r="S268" i="46"/>
  <c r="S276" i="46"/>
  <c r="S280" i="46"/>
  <c r="S284" i="46"/>
  <c r="S292" i="46"/>
  <c r="S322" i="46"/>
  <c r="S326" i="46"/>
  <c r="S334" i="46"/>
  <c r="S338" i="46"/>
  <c r="S342" i="46"/>
  <c r="S350" i="46"/>
  <c r="S354" i="46"/>
  <c r="S221" i="46"/>
  <c r="S198" i="46"/>
  <c r="S202" i="46"/>
  <c r="S206" i="46"/>
  <c r="S214" i="46"/>
  <c r="S218" i="46"/>
  <c r="S254" i="46"/>
  <c r="S262" i="46"/>
  <c r="S266" i="46"/>
  <c r="S270" i="46"/>
  <c r="S278" i="46"/>
  <c r="S282" i="46"/>
  <c r="S286" i="46"/>
  <c r="S294" i="46"/>
  <c r="S318" i="46"/>
  <c r="S324" i="46"/>
  <c r="S332" i="46"/>
  <c r="S336" i="46"/>
  <c r="S340" i="46"/>
  <c r="S348" i="46"/>
  <c r="S352" i="46"/>
  <c r="S356" i="46"/>
  <c r="S351" i="46"/>
  <c r="S309" i="46"/>
  <c r="S293" i="46"/>
  <c r="S178" i="46"/>
  <c r="S239" i="46"/>
  <c r="S223" i="46"/>
  <c r="S337" i="46"/>
  <c r="S329" i="46"/>
  <c r="S311" i="46"/>
  <c r="S285" i="46"/>
  <c r="S277" i="46"/>
  <c r="S269" i="46"/>
  <c r="S253" i="46"/>
  <c r="S213" i="46"/>
  <c r="S205" i="46"/>
  <c r="S180" i="46"/>
  <c r="S249" i="46"/>
  <c r="S233" i="46"/>
  <c r="S305" i="46"/>
  <c r="S190" i="46"/>
  <c r="S251" i="46"/>
  <c r="S355" i="46"/>
  <c r="S343" i="46"/>
  <c r="S335" i="46"/>
  <c r="S307" i="46"/>
  <c r="S291" i="46"/>
  <c r="S283" i="46"/>
  <c r="S267" i="46"/>
  <c r="S259" i="46"/>
  <c r="S219" i="46"/>
  <c r="S203" i="46"/>
  <c r="S192" i="46"/>
  <c r="S245" i="46"/>
  <c r="S317" i="46"/>
  <c r="S301" i="46"/>
  <c r="S186" i="46"/>
  <c r="S231" i="46"/>
  <c r="S349" i="46"/>
  <c r="S341" i="46"/>
  <c r="S325" i="46"/>
  <c r="S303" i="46"/>
  <c r="S289" i="46"/>
  <c r="S273" i="46"/>
  <c r="S265" i="46"/>
  <c r="S257" i="46"/>
  <c r="S209" i="46"/>
  <c r="S201" i="46"/>
  <c r="S188" i="46"/>
  <c r="S241" i="46"/>
  <c r="S225" i="46"/>
  <c r="S353" i="46"/>
  <c r="S297" i="46"/>
  <c r="S182" i="46"/>
  <c r="S243" i="46"/>
  <c r="S347" i="46"/>
  <c r="S339" i="46"/>
  <c r="S331" i="46"/>
  <c r="S299" i="46"/>
  <c r="S287" i="46"/>
  <c r="S279" i="46"/>
  <c r="S263" i="46"/>
  <c r="S255" i="46"/>
  <c r="S215" i="46"/>
  <c r="S199" i="46"/>
  <c r="S184" i="46"/>
  <c r="S304" i="46"/>
  <c r="AE498" i="49"/>
  <c r="K403" i="46"/>
  <c r="K575" i="46"/>
  <c r="S300" i="46"/>
  <c r="S224" i="46"/>
  <c r="S177" i="46"/>
  <c r="K30" i="46"/>
  <c r="W50" i="46"/>
  <c r="I50" i="46"/>
  <c r="H50" i="46"/>
  <c r="R86" i="46"/>
  <c r="R92" i="46"/>
  <c r="R383" i="46"/>
  <c r="R513" i="46"/>
  <c r="R97" i="46"/>
  <c r="S226" i="46"/>
  <c r="S207" i="46"/>
  <c r="T207" i="46"/>
  <c r="BT207" i="46"/>
  <c r="S271" i="46"/>
  <c r="S315" i="46"/>
  <c r="S227" i="46"/>
  <c r="S313" i="46"/>
  <c r="T313" i="46"/>
  <c r="BT313" i="46"/>
  <c r="S302" i="46"/>
  <c r="S217" i="46"/>
  <c r="S281" i="46"/>
  <c r="S333" i="46"/>
  <c r="T333" i="46"/>
  <c r="BT333" i="46"/>
  <c r="S247" i="46"/>
  <c r="S229" i="46"/>
  <c r="S211" i="46"/>
  <c r="S275" i="46"/>
  <c r="T275" i="46"/>
  <c r="BT275" i="46"/>
  <c r="S327" i="46"/>
  <c r="S235" i="46"/>
  <c r="S321" i="46"/>
  <c r="S196" i="46"/>
  <c r="T196" i="46"/>
  <c r="BT196" i="46"/>
  <c r="S261" i="46"/>
  <c r="S295" i="46"/>
  <c r="S345" i="46"/>
  <c r="S194" i="46"/>
  <c r="T194" i="46"/>
  <c r="BT194" i="46"/>
  <c r="S237" i="46"/>
  <c r="S344" i="46"/>
  <c r="S328" i="46"/>
  <c r="S290" i="46"/>
  <c r="T290" i="46"/>
  <c r="BT290" i="46"/>
  <c r="S274" i="46"/>
  <c r="S258" i="46"/>
  <c r="S210" i="46"/>
  <c r="S323" i="46"/>
  <c r="BT323" i="46"/>
  <c r="S346" i="46"/>
  <c r="S330" i="46"/>
  <c r="S288" i="46"/>
  <c r="S272" i="46"/>
  <c r="T272" i="46"/>
  <c r="BT272" i="46"/>
  <c r="S256" i="46"/>
  <c r="S212" i="46"/>
  <c r="S176" i="46"/>
  <c r="R34" i="46"/>
  <c r="S312" i="46"/>
  <c r="S298" i="46"/>
  <c r="S187" i="46"/>
  <c r="S181" i="46"/>
  <c r="T181" i="46"/>
  <c r="BT181" i="46"/>
  <c r="S193" i="46"/>
  <c r="S316" i="46"/>
  <c r="S296" i="46"/>
  <c r="T296" i="46"/>
  <c r="BT296" i="46"/>
  <c r="Y582" i="46"/>
  <c r="Y607" i="46"/>
  <c r="S195" i="46"/>
  <c r="FI318" i="49"/>
  <c r="FI319" i="49"/>
  <c r="FI320" i="49"/>
  <c r="FI461" i="49"/>
  <c r="FI460" i="49"/>
  <c r="FI459" i="49"/>
  <c r="FI458" i="49"/>
  <c r="FI457" i="49"/>
  <c r="FI456" i="49"/>
  <c r="FI455" i="49"/>
  <c r="FI494" i="49"/>
  <c r="FI492" i="49"/>
  <c r="FI490" i="49"/>
  <c r="FI488" i="49"/>
  <c r="FI486" i="49"/>
  <c r="FI484" i="49"/>
  <c r="FI482" i="49"/>
  <c r="FI480" i="49"/>
  <c r="FI478" i="49"/>
  <c r="FI476" i="49"/>
  <c r="FI474" i="49"/>
  <c r="FI472" i="49"/>
  <c r="FI470" i="49"/>
  <c r="FI468" i="49"/>
  <c r="FI466" i="49"/>
  <c r="FI464" i="49"/>
  <c r="FI462" i="49"/>
  <c r="FI491" i="49"/>
  <c r="FI483" i="49"/>
  <c r="FI475" i="49"/>
  <c r="FI467" i="49"/>
  <c r="FI454" i="49"/>
  <c r="FI453" i="49"/>
  <c r="FI452" i="49"/>
  <c r="FI451" i="49"/>
  <c r="FI450" i="49"/>
  <c r="FI449" i="49"/>
  <c r="FI448" i="49"/>
  <c r="FI447" i="49"/>
  <c r="FI446" i="49"/>
  <c r="FI445" i="49"/>
  <c r="FI444" i="49"/>
  <c r="FI443" i="49"/>
  <c r="FI442" i="49"/>
  <c r="FI441" i="49"/>
  <c r="FI440" i="49"/>
  <c r="FI439" i="49"/>
  <c r="FI437" i="49"/>
  <c r="FI435" i="49"/>
  <c r="FI433" i="49"/>
  <c r="FI431" i="49"/>
  <c r="FI429" i="49"/>
  <c r="FI427" i="49"/>
  <c r="FI425" i="49"/>
  <c r="FI423" i="49"/>
  <c r="FI421" i="49"/>
  <c r="FI419" i="49"/>
  <c r="FI417" i="49"/>
  <c r="FI415" i="49"/>
  <c r="FI413" i="49"/>
  <c r="FI411" i="49"/>
  <c r="FI409" i="49"/>
  <c r="FI407" i="49"/>
  <c r="FI405" i="49"/>
  <c r="FI403" i="49"/>
  <c r="FI401" i="49"/>
  <c r="FI399" i="49"/>
  <c r="FI397" i="49"/>
  <c r="FI395" i="49"/>
  <c r="FI393" i="49"/>
  <c r="FI391" i="49"/>
  <c r="FI389" i="49"/>
  <c r="FI387" i="49"/>
  <c r="FI385" i="49"/>
  <c r="FI496" i="49"/>
  <c r="FI487" i="49"/>
  <c r="FI479" i="49"/>
  <c r="FI471" i="49"/>
  <c r="FI463" i="49"/>
  <c r="FI438" i="49"/>
  <c r="FI436" i="49"/>
  <c r="FI434" i="49"/>
  <c r="FI432" i="49"/>
  <c r="FI430" i="49"/>
  <c r="FI428" i="49"/>
  <c r="FI426" i="49"/>
  <c r="FI424" i="49"/>
  <c r="FI422" i="49"/>
  <c r="FI420" i="49"/>
  <c r="FI418" i="49"/>
  <c r="FI416" i="49"/>
  <c r="FI414" i="49"/>
  <c r="FI412" i="49"/>
  <c r="FI410" i="49"/>
  <c r="FI408" i="49"/>
  <c r="FI406" i="49"/>
  <c r="FI404" i="49"/>
  <c r="FI402" i="49"/>
  <c r="FI400" i="49"/>
  <c r="FI398" i="49"/>
  <c r="FI396" i="49"/>
  <c r="FI394" i="49"/>
  <c r="FI392" i="49"/>
  <c r="FI390" i="49"/>
  <c r="FI388" i="49"/>
  <c r="FI489" i="49"/>
  <c r="FI473" i="49"/>
  <c r="FI485" i="49"/>
  <c r="FI469" i="49"/>
  <c r="FI481" i="49"/>
  <c r="FI465" i="49"/>
  <c r="FI386" i="49"/>
  <c r="FI383" i="49"/>
  <c r="FI381" i="49"/>
  <c r="FI379" i="49"/>
  <c r="FI377" i="49"/>
  <c r="FI375" i="49"/>
  <c r="FI373" i="49"/>
  <c r="FI372" i="49"/>
  <c r="FI371" i="49"/>
  <c r="FI370" i="49"/>
  <c r="FI369" i="49"/>
  <c r="FI368" i="49"/>
  <c r="FI367" i="49"/>
  <c r="FI366" i="49"/>
  <c r="FI365" i="49"/>
  <c r="FI364" i="49"/>
  <c r="FI363" i="49"/>
  <c r="FI362" i="49"/>
  <c r="FI361" i="49"/>
  <c r="FI360" i="49"/>
  <c r="FI359" i="49"/>
  <c r="FI358" i="49"/>
  <c r="FI357" i="49"/>
  <c r="FI356" i="49"/>
  <c r="FI477" i="49"/>
  <c r="FI382" i="49"/>
  <c r="FI374" i="49"/>
  <c r="FI384" i="49"/>
  <c r="FI376" i="49"/>
  <c r="FI355" i="49"/>
  <c r="FI354" i="49"/>
  <c r="FI353" i="49"/>
  <c r="FI352" i="49"/>
  <c r="FI351" i="49"/>
  <c r="FI350" i="49"/>
  <c r="FI349" i="49"/>
  <c r="FI348" i="49"/>
  <c r="FI347" i="49"/>
  <c r="FI346" i="49"/>
  <c r="FI345" i="49"/>
  <c r="FI344" i="49"/>
  <c r="FI343" i="49"/>
  <c r="FI342" i="49"/>
  <c r="FI341" i="49"/>
  <c r="FI340" i="49"/>
  <c r="FI339" i="49"/>
  <c r="FI338" i="49"/>
  <c r="FI337" i="49"/>
  <c r="FI336" i="49"/>
  <c r="FI335" i="49"/>
  <c r="FI334" i="49"/>
  <c r="FI333" i="49"/>
  <c r="FI332" i="49"/>
  <c r="FI331" i="49"/>
  <c r="FI329" i="49"/>
  <c r="FI328" i="49"/>
  <c r="FI327" i="49"/>
  <c r="FI326" i="49"/>
  <c r="FI325" i="49"/>
  <c r="FI324" i="49"/>
  <c r="FI323" i="49"/>
  <c r="FI322" i="49"/>
  <c r="FI321" i="49"/>
  <c r="FI317" i="49"/>
  <c r="FI316" i="49"/>
  <c r="FI315" i="49"/>
  <c r="FI314" i="49"/>
  <c r="FI313" i="49"/>
  <c r="FI312" i="49"/>
  <c r="FI311" i="49"/>
  <c r="FI310" i="49"/>
  <c r="FI309" i="49"/>
  <c r="FI308" i="49"/>
  <c r="FI307" i="49"/>
  <c r="FI306" i="49"/>
  <c r="FI305" i="49"/>
  <c r="FI304" i="49"/>
  <c r="FI303" i="49"/>
  <c r="FI302" i="49"/>
  <c r="FI301" i="49"/>
  <c r="FI300" i="49"/>
  <c r="FI299" i="49"/>
  <c r="FI298" i="49"/>
  <c r="FI297" i="49"/>
  <c r="FI296" i="49"/>
  <c r="FI295" i="49"/>
  <c r="FI294" i="49"/>
  <c r="FI293" i="49"/>
  <c r="FI292" i="49"/>
  <c r="FI291" i="49"/>
  <c r="FI290" i="49"/>
  <c r="FI289" i="49"/>
  <c r="FI288" i="49"/>
  <c r="FI287" i="49"/>
  <c r="FI286" i="49"/>
  <c r="FI285" i="49"/>
  <c r="FI284" i="49"/>
  <c r="FI283" i="49"/>
  <c r="FI282" i="49"/>
  <c r="FI281" i="49"/>
  <c r="FI280" i="49"/>
  <c r="FI279" i="49"/>
  <c r="FI278" i="49"/>
  <c r="FI277" i="49"/>
  <c r="FI276" i="49"/>
  <c r="FI378" i="49"/>
  <c r="FI380" i="49"/>
  <c r="FI275" i="49"/>
  <c r="FI274" i="49"/>
  <c r="FI273" i="49"/>
  <c r="FI272" i="49"/>
  <c r="FI271" i="49"/>
  <c r="FI270" i="49"/>
  <c r="FI269" i="49"/>
  <c r="FI268" i="49"/>
  <c r="FI267" i="49"/>
  <c r="FI266" i="49"/>
  <c r="FI265" i="49"/>
  <c r="FI264" i="49"/>
  <c r="FI263" i="49"/>
  <c r="FI262" i="49"/>
  <c r="FI261" i="49"/>
  <c r="FI260" i="49"/>
  <c r="FI259" i="49"/>
  <c r="FI258" i="49"/>
  <c r="FI257" i="49"/>
  <c r="FI256" i="49"/>
  <c r="FI255" i="49"/>
  <c r="FI254" i="49"/>
  <c r="FI253" i="49"/>
  <c r="FI252" i="49"/>
  <c r="FI251" i="49"/>
  <c r="FI250" i="49"/>
  <c r="FI249" i="49"/>
  <c r="FI248" i="49"/>
  <c r="FI247" i="49"/>
  <c r="FI246" i="49"/>
  <c r="FI245" i="49"/>
  <c r="FI244" i="49"/>
  <c r="FI243" i="49"/>
  <c r="FI242" i="49"/>
  <c r="FI241" i="49"/>
  <c r="FI240" i="49"/>
  <c r="FI239" i="49"/>
  <c r="FI238" i="49"/>
  <c r="FI237" i="49"/>
  <c r="FI236" i="49"/>
  <c r="FI235" i="49"/>
  <c r="FI234" i="49"/>
  <c r="FI233" i="49"/>
  <c r="FI232" i="49"/>
  <c r="FI231" i="49"/>
  <c r="FI230" i="49"/>
  <c r="FI229" i="49"/>
  <c r="FI228" i="49"/>
  <c r="FI227" i="49"/>
  <c r="FI226" i="49"/>
  <c r="FI225" i="49"/>
  <c r="FI224" i="49"/>
  <c r="FI223" i="49"/>
  <c r="FI222" i="49"/>
  <c r="FI221" i="49"/>
  <c r="FI220" i="49"/>
  <c r="FI219" i="49"/>
  <c r="FI218" i="49"/>
  <c r="FI217" i="49"/>
  <c r="FI216" i="49"/>
  <c r="FI215" i="49"/>
  <c r="FI214" i="49"/>
  <c r="FI213" i="49"/>
  <c r="FI212" i="49"/>
  <c r="FI211" i="49"/>
  <c r="FI210" i="49"/>
  <c r="FI209" i="49"/>
  <c r="FI208" i="49"/>
  <c r="FI207" i="49"/>
  <c r="FI206" i="49"/>
  <c r="FI205" i="49"/>
  <c r="FI202" i="49"/>
  <c r="FI201" i="49"/>
  <c r="FI200" i="49"/>
  <c r="FI199" i="49"/>
  <c r="FI198" i="49"/>
  <c r="FI197" i="49"/>
  <c r="FI196" i="49"/>
  <c r="FI195" i="49"/>
  <c r="FI194" i="49"/>
  <c r="FI193" i="49"/>
  <c r="FI192" i="49"/>
  <c r="FI191" i="49"/>
  <c r="FI190" i="49"/>
  <c r="FI189" i="49"/>
  <c r="FI188" i="49"/>
  <c r="FI187" i="49"/>
  <c r="FI186" i="49"/>
  <c r="FI185" i="49"/>
  <c r="FI184" i="49"/>
  <c r="FI183" i="49"/>
  <c r="FI182" i="49"/>
  <c r="FI181" i="49"/>
  <c r="FI180" i="49"/>
  <c r="FI179" i="49"/>
  <c r="FI178" i="49"/>
  <c r="FI177" i="49"/>
  <c r="FI176" i="49"/>
  <c r="FI175" i="49"/>
  <c r="FI174" i="49"/>
  <c r="FI173" i="49"/>
  <c r="FI172" i="49"/>
  <c r="FI171" i="49"/>
  <c r="FI170" i="49"/>
  <c r="FI169" i="49"/>
  <c r="FI168" i="49"/>
  <c r="FI167" i="49"/>
  <c r="FI166" i="49"/>
  <c r="FI165" i="49"/>
  <c r="FI164" i="49"/>
  <c r="FI163" i="49"/>
  <c r="FI162" i="49"/>
  <c r="FI161" i="49"/>
  <c r="FI160" i="49"/>
  <c r="FI159" i="49"/>
  <c r="FI158" i="49"/>
  <c r="FI157" i="49"/>
  <c r="FI156" i="49"/>
  <c r="FI155" i="49"/>
  <c r="FI154" i="49"/>
  <c r="FI153" i="49"/>
  <c r="FI152" i="49"/>
  <c r="FI151" i="49"/>
  <c r="FI150" i="49"/>
  <c r="FI149" i="49"/>
  <c r="FI148" i="49"/>
  <c r="FI147" i="49"/>
  <c r="FI146" i="49"/>
  <c r="FI145" i="49"/>
  <c r="FI144" i="49"/>
  <c r="FI143" i="49"/>
  <c r="FI142" i="49"/>
  <c r="FI141" i="49"/>
  <c r="FI140" i="49"/>
  <c r="FI139" i="49"/>
  <c r="FI138" i="49"/>
  <c r="FI137" i="49"/>
  <c r="FI136" i="49"/>
  <c r="FI135" i="49"/>
  <c r="FI134" i="49"/>
  <c r="FI133" i="49"/>
  <c r="FI132" i="49"/>
  <c r="FI131" i="49"/>
  <c r="FI130" i="49"/>
  <c r="FI129" i="49"/>
  <c r="FI128" i="49"/>
  <c r="FI127" i="49"/>
  <c r="FI126" i="49"/>
  <c r="FI125" i="49"/>
  <c r="FI124" i="49"/>
  <c r="FI123" i="49"/>
  <c r="FI122" i="49"/>
  <c r="FI121" i="49"/>
  <c r="FI120" i="49"/>
  <c r="FI119" i="49"/>
  <c r="FI118" i="49"/>
  <c r="FI117" i="49"/>
  <c r="FI116" i="49"/>
  <c r="FI115" i="49"/>
  <c r="FI114" i="49"/>
  <c r="FI113" i="49"/>
  <c r="FI112" i="49"/>
  <c r="FI111" i="49"/>
  <c r="FI110" i="49"/>
  <c r="FI109" i="49"/>
  <c r="FI108" i="49"/>
  <c r="FI107" i="49"/>
  <c r="FI106" i="49"/>
  <c r="FI105" i="49"/>
  <c r="FI104" i="49"/>
  <c r="FI103" i="49"/>
  <c r="FI102" i="49"/>
  <c r="FI101" i="49"/>
  <c r="FI100" i="49"/>
  <c r="FI99" i="49"/>
  <c r="FI98" i="49"/>
  <c r="FI97" i="49"/>
  <c r="FI96" i="49"/>
  <c r="FI95" i="49"/>
  <c r="FI94" i="49"/>
  <c r="FI93" i="49"/>
  <c r="FI92" i="49"/>
  <c r="FI91" i="49"/>
  <c r="FI90" i="49"/>
  <c r="FI89" i="49"/>
  <c r="FI88" i="49"/>
  <c r="FI87" i="49"/>
  <c r="FI86" i="49"/>
  <c r="FI85" i="49"/>
  <c r="FI84" i="49"/>
  <c r="FI83" i="49"/>
  <c r="FI82" i="49"/>
  <c r="FI81" i="49"/>
  <c r="FI80" i="49"/>
  <c r="FI79" i="49"/>
  <c r="FI78" i="49"/>
  <c r="FI77" i="49"/>
  <c r="FI76" i="49"/>
  <c r="FI75" i="49"/>
  <c r="FI74" i="49"/>
  <c r="FI73" i="49"/>
  <c r="FI72" i="49"/>
  <c r="FI71" i="49"/>
  <c r="FI70" i="49"/>
  <c r="FI69" i="49"/>
  <c r="FI68" i="49"/>
  <c r="FI67" i="49"/>
  <c r="FI66" i="49"/>
  <c r="FI65" i="49"/>
  <c r="FI64" i="49"/>
  <c r="FI63" i="49"/>
  <c r="FI60" i="49"/>
  <c r="FI57" i="49"/>
  <c r="FI54" i="49"/>
  <c r="FI53" i="49"/>
  <c r="FI50" i="49"/>
  <c r="FI47" i="49"/>
  <c r="FI44" i="49"/>
  <c r="FI41" i="49"/>
  <c r="FI40" i="49"/>
  <c r="FI37" i="49"/>
  <c r="FI36" i="49"/>
  <c r="FI33" i="49"/>
  <c r="FI32" i="49"/>
  <c r="FI29" i="49"/>
  <c r="FI26" i="49"/>
  <c r="FI23" i="49"/>
  <c r="FI22" i="49"/>
  <c r="FI19" i="49"/>
  <c r="FI16" i="49"/>
  <c r="FI13" i="49"/>
  <c r="FI12" i="49"/>
  <c r="FI9" i="49"/>
  <c r="FI62" i="49"/>
  <c r="FI61" i="49"/>
  <c r="FI493" i="49"/>
  <c r="FI59" i="49"/>
  <c r="FI56" i="49"/>
  <c r="FI51" i="49"/>
  <c r="FI48" i="49"/>
  <c r="FI45" i="49"/>
  <c r="FI42" i="49"/>
  <c r="FI39" i="49"/>
  <c r="FI30" i="49"/>
  <c r="FI25" i="49"/>
  <c r="FI20" i="49"/>
  <c r="FI15" i="49"/>
  <c r="FI8" i="49"/>
  <c r="FI5" i="49"/>
  <c r="FI58" i="49"/>
  <c r="FI55" i="49"/>
  <c r="FI52" i="49"/>
  <c r="FI49" i="49"/>
  <c r="FI46" i="49"/>
  <c r="FI43" i="49"/>
  <c r="FI38" i="49"/>
  <c r="FI35" i="49"/>
  <c r="FI34" i="49"/>
  <c r="FI31" i="49"/>
  <c r="FI28" i="49"/>
  <c r="FI27" i="49"/>
  <c r="FI24" i="49"/>
  <c r="FI21" i="49"/>
  <c r="FI18" i="49"/>
  <c r="FI17" i="49"/>
  <c r="FI14" i="49"/>
  <c r="FI11" i="49"/>
  <c r="FI10" i="49"/>
  <c r="FI7" i="49"/>
  <c r="FI6" i="49"/>
  <c r="S320" i="46"/>
  <c r="T320" i="46"/>
  <c r="BT320" i="46"/>
  <c r="I204" i="49"/>
  <c r="S319" i="46"/>
  <c r="T319" i="46"/>
  <c r="BT319" i="46"/>
  <c r="I203" i="49"/>
  <c r="S197" i="46"/>
  <c r="T197" i="46"/>
  <c r="BT197" i="46"/>
  <c r="R500" i="46"/>
  <c r="R106" i="46"/>
  <c r="R83" i="46"/>
  <c r="BV454" i="49"/>
  <c r="S29" i="49"/>
  <c r="S449" i="49"/>
  <c r="CS449" i="49"/>
  <c r="CC589" i="46"/>
  <c r="CD589" i="46"/>
  <c r="CE589" i="46"/>
  <c r="CF589" i="46"/>
  <c r="CG589" i="46"/>
  <c r="CH589" i="46"/>
  <c r="CI589" i="46"/>
  <c r="CJ589" i="46"/>
  <c r="CK589" i="46"/>
  <c r="CL589" i="46"/>
  <c r="CM589" i="46"/>
  <c r="CN589" i="46"/>
  <c r="CO589" i="46"/>
  <c r="CP589" i="46"/>
  <c r="CQ589" i="46"/>
  <c r="CR589" i="46"/>
  <c r="CS589" i="46"/>
  <c r="CT589" i="46"/>
  <c r="S69" i="49"/>
  <c r="S454" i="49"/>
  <c r="CS454" i="49"/>
  <c r="S75" i="49"/>
  <c r="S455" i="49"/>
  <c r="CS455" i="49"/>
  <c r="S360" i="49"/>
  <c r="R30" i="46"/>
  <c r="Q109" i="46"/>
  <c r="S109" i="46"/>
  <c r="T109" i="46"/>
  <c r="BT109" i="46"/>
  <c r="R19" i="46"/>
  <c r="I141" i="49"/>
  <c r="BY296" i="46"/>
  <c r="BZ296" i="46"/>
  <c r="CA296" i="46"/>
  <c r="BU296" i="46"/>
  <c r="BV296" i="46"/>
  <c r="I236" i="49"/>
  <c r="BY191" i="46"/>
  <c r="BZ191" i="46"/>
  <c r="CA191" i="46"/>
  <c r="BU191" i="46"/>
  <c r="BV191" i="46"/>
  <c r="AD104" i="46"/>
  <c r="AH104" i="46"/>
  <c r="BU104" i="46"/>
  <c r="AE104" i="46"/>
  <c r="AI104" i="46"/>
  <c r="BY104" i="46"/>
  <c r="BZ104" i="46"/>
  <c r="BV104" i="46"/>
  <c r="CA104" i="46"/>
  <c r="I75" i="49"/>
  <c r="AD101" i="46"/>
  <c r="BY101" i="46"/>
  <c r="BV101" i="46"/>
  <c r="BZ101" i="46"/>
  <c r="BU101" i="46"/>
  <c r="CA101" i="46"/>
  <c r="T113" i="46"/>
  <c r="BT113" i="46"/>
  <c r="AD115" i="46"/>
  <c r="AH115" i="46"/>
  <c r="BU115" i="46"/>
  <c r="AE115" i="46"/>
  <c r="AI115" i="46"/>
  <c r="BV115" i="46"/>
  <c r="BY115" i="46"/>
  <c r="BZ115" i="46"/>
  <c r="CA115" i="46"/>
  <c r="I245" i="49"/>
  <c r="BY232" i="46"/>
  <c r="BZ232" i="46"/>
  <c r="CA232" i="46"/>
  <c r="BU232" i="46"/>
  <c r="BV232" i="46"/>
  <c r="T300" i="46"/>
  <c r="BT300" i="46"/>
  <c r="T215" i="46"/>
  <c r="BT215" i="46"/>
  <c r="T279" i="46"/>
  <c r="BT279" i="46"/>
  <c r="T331" i="46"/>
  <c r="BT331" i="46"/>
  <c r="T243" i="46"/>
  <c r="BT243" i="46"/>
  <c r="T353" i="46"/>
  <c r="BT353" i="46"/>
  <c r="T188" i="46"/>
  <c r="BT188" i="46"/>
  <c r="T257" i="46"/>
  <c r="BT257" i="46"/>
  <c r="T289" i="46"/>
  <c r="BT289" i="46"/>
  <c r="T341" i="46"/>
  <c r="BT341" i="46"/>
  <c r="T186" i="46"/>
  <c r="BT186" i="46"/>
  <c r="T245" i="46"/>
  <c r="BT245" i="46"/>
  <c r="T219" i="46"/>
  <c r="BT219" i="46"/>
  <c r="T283" i="46"/>
  <c r="BT283" i="46"/>
  <c r="T335" i="46"/>
  <c r="BT335" i="46"/>
  <c r="T251" i="46"/>
  <c r="BT251" i="46"/>
  <c r="T233" i="46"/>
  <c r="BT233" i="46"/>
  <c r="T205" i="46"/>
  <c r="BT205" i="46"/>
  <c r="T269" i="46"/>
  <c r="BT269" i="46"/>
  <c r="T311" i="46"/>
  <c r="BT311" i="46"/>
  <c r="T223" i="46"/>
  <c r="BT223" i="46"/>
  <c r="T293" i="46"/>
  <c r="BT293" i="46"/>
  <c r="T356" i="46"/>
  <c r="BT356" i="46"/>
  <c r="T340" i="46"/>
  <c r="BT340" i="46"/>
  <c r="T324" i="46"/>
  <c r="BT324" i="46"/>
  <c r="T286" i="46"/>
  <c r="BT286" i="46"/>
  <c r="T270" i="46"/>
  <c r="BT270" i="46"/>
  <c r="T254" i="46"/>
  <c r="BT254" i="46"/>
  <c r="T206" i="46"/>
  <c r="BT206" i="46"/>
  <c r="T221" i="46"/>
  <c r="BT221" i="46"/>
  <c r="T342" i="46"/>
  <c r="BT342" i="46"/>
  <c r="T326" i="46"/>
  <c r="BT326" i="46"/>
  <c r="T284" i="46"/>
  <c r="BT284" i="46"/>
  <c r="T268" i="46"/>
  <c r="BT268" i="46"/>
  <c r="T252" i="46"/>
  <c r="BT252" i="46"/>
  <c r="T208" i="46"/>
  <c r="BT208" i="46"/>
  <c r="T65" i="46"/>
  <c r="BT65" i="46"/>
  <c r="T81" i="46"/>
  <c r="BT81" i="46"/>
  <c r="T573" i="46"/>
  <c r="BT573" i="46"/>
  <c r="S555" i="46"/>
  <c r="S543" i="46"/>
  <c r="S549" i="46"/>
  <c r="S539" i="46"/>
  <c r="S545" i="46"/>
  <c r="S551" i="46"/>
  <c r="S541" i="46"/>
  <c r="S547" i="46"/>
  <c r="S553" i="46"/>
  <c r="S554" i="46"/>
  <c r="S550" i="46"/>
  <c r="S544" i="46"/>
  <c r="S552" i="46"/>
  <c r="S538" i="46"/>
  <c r="S540" i="46"/>
  <c r="S546" i="46"/>
  <c r="S548" i="46"/>
  <c r="S542" i="46"/>
  <c r="T234" i="46"/>
  <c r="BT234" i="46"/>
  <c r="U607" i="46"/>
  <c r="U2" i="46"/>
  <c r="T423" i="46"/>
  <c r="BT423" i="46"/>
  <c r="S464" i="46"/>
  <c r="T457" i="46"/>
  <c r="BT457" i="46"/>
  <c r="T435" i="46"/>
  <c r="BT435" i="46"/>
  <c r="T445" i="46"/>
  <c r="BT445" i="46"/>
  <c r="T458" i="46"/>
  <c r="BT458" i="46"/>
  <c r="T452" i="46"/>
  <c r="BT452" i="46"/>
  <c r="T446" i="46"/>
  <c r="BT446" i="46"/>
  <c r="T440" i="46"/>
  <c r="BT440" i="46"/>
  <c r="T434" i="46"/>
  <c r="BT434" i="46"/>
  <c r="T426" i="46"/>
  <c r="BT426" i="46"/>
  <c r="R68" i="46"/>
  <c r="T510" i="46"/>
  <c r="BT510" i="46"/>
  <c r="S512" i="46"/>
  <c r="R358" i="46"/>
  <c r="T236" i="46"/>
  <c r="BT236" i="46"/>
  <c r="T94" i="46"/>
  <c r="BT94" i="46"/>
  <c r="K50" i="46"/>
  <c r="T401" i="46"/>
  <c r="BT401" i="46"/>
  <c r="T486" i="46"/>
  <c r="BT486" i="46"/>
  <c r="S499" i="46"/>
  <c r="T492" i="46"/>
  <c r="BT492" i="46"/>
  <c r="T491" i="46"/>
  <c r="BT491" i="46"/>
  <c r="T183" i="46"/>
  <c r="BT183" i="46"/>
  <c r="T184" i="46"/>
  <c r="BT184" i="46"/>
  <c r="T255" i="46"/>
  <c r="BT255" i="46"/>
  <c r="T287" i="46"/>
  <c r="BT287" i="46"/>
  <c r="T339" i="46"/>
  <c r="BT339" i="46"/>
  <c r="T182" i="46"/>
  <c r="BT182" i="46"/>
  <c r="T225" i="46"/>
  <c r="BT225" i="46"/>
  <c r="T201" i="46"/>
  <c r="BT201" i="46"/>
  <c r="T265" i="46"/>
  <c r="BT265" i="46"/>
  <c r="T303" i="46"/>
  <c r="BT303" i="46"/>
  <c r="T349" i="46"/>
  <c r="BT349" i="46"/>
  <c r="T301" i="46"/>
  <c r="BT301" i="46"/>
  <c r="T192" i="46"/>
  <c r="BT192" i="46"/>
  <c r="T259" i="46"/>
  <c r="BT259" i="46"/>
  <c r="T291" i="46"/>
  <c r="BT291" i="46"/>
  <c r="T343" i="46"/>
  <c r="BT343" i="46"/>
  <c r="T190" i="46"/>
  <c r="BT190" i="46"/>
  <c r="T249" i="46"/>
  <c r="BT249" i="46"/>
  <c r="T213" i="46"/>
  <c r="BT213" i="46"/>
  <c r="T277" i="46"/>
  <c r="BT277" i="46"/>
  <c r="T329" i="46"/>
  <c r="BT329" i="46"/>
  <c r="T239" i="46"/>
  <c r="BT239" i="46"/>
  <c r="T309" i="46"/>
  <c r="BT309" i="46"/>
  <c r="T352" i="46"/>
  <c r="BT352" i="46"/>
  <c r="T336" i="46"/>
  <c r="BT336" i="46"/>
  <c r="T318" i="46"/>
  <c r="BT318" i="46"/>
  <c r="T282" i="46"/>
  <c r="BT282" i="46"/>
  <c r="T266" i="46"/>
  <c r="BT266" i="46"/>
  <c r="T218" i="46"/>
  <c r="BT218" i="46"/>
  <c r="T202" i="46"/>
  <c r="BT202" i="46"/>
  <c r="T354" i="46"/>
  <c r="BT354" i="46"/>
  <c r="T338" i="46"/>
  <c r="BT338" i="46"/>
  <c r="T322" i="46"/>
  <c r="BT322" i="46"/>
  <c r="T280" i="46"/>
  <c r="BT280" i="46"/>
  <c r="T264" i="46"/>
  <c r="BT264" i="46"/>
  <c r="T220" i="46"/>
  <c r="BT220" i="46"/>
  <c r="T204" i="46"/>
  <c r="BT204" i="46"/>
  <c r="S67" i="46"/>
  <c r="T62" i="46"/>
  <c r="BT62" i="46"/>
  <c r="T66" i="46"/>
  <c r="BT66" i="46"/>
  <c r="T80" i="46"/>
  <c r="BT80" i="46"/>
  <c r="S82" i="46"/>
  <c r="I223" i="49"/>
  <c r="BZ246" i="46"/>
  <c r="CA246" i="46"/>
  <c r="BY246" i="46"/>
  <c r="BU246" i="46"/>
  <c r="BV246" i="46"/>
  <c r="T310" i="46"/>
  <c r="BT310" i="46"/>
  <c r="S574" i="46"/>
  <c r="T569" i="46"/>
  <c r="BT569" i="46"/>
  <c r="T571" i="46"/>
  <c r="BT571" i="46"/>
  <c r="BT105" i="46"/>
  <c r="Q102" i="46"/>
  <c r="S102" i="46"/>
  <c r="Q100" i="46"/>
  <c r="S100" i="46"/>
  <c r="T312" i="46"/>
  <c r="BT312" i="46"/>
  <c r="T444" i="46"/>
  <c r="BT444" i="46"/>
  <c r="T425" i="46"/>
  <c r="BT425" i="46"/>
  <c r="T451" i="46"/>
  <c r="BT451" i="46"/>
  <c r="T462" i="46"/>
  <c r="BT462" i="46"/>
  <c r="T439" i="46"/>
  <c r="BT439" i="46"/>
  <c r="T433" i="46"/>
  <c r="BT433" i="46"/>
  <c r="T463" i="46"/>
  <c r="BT463" i="46"/>
  <c r="T456" i="46"/>
  <c r="BT456" i="46"/>
  <c r="T450" i="46"/>
  <c r="BT450" i="46"/>
  <c r="BT461" i="46"/>
  <c r="T222" i="46"/>
  <c r="BT222" i="46"/>
  <c r="R117" i="46"/>
  <c r="T511" i="46"/>
  <c r="BT511" i="46"/>
  <c r="T314" i="46"/>
  <c r="BT314" i="46"/>
  <c r="T93" i="46"/>
  <c r="BT93" i="46"/>
  <c r="S96" i="46"/>
  <c r="W582" i="46"/>
  <c r="T193" i="46"/>
  <c r="BT193" i="46"/>
  <c r="T399" i="46"/>
  <c r="BT399" i="46"/>
  <c r="BT116" i="46"/>
  <c r="Q110" i="46"/>
  <c r="S110" i="46"/>
  <c r="Q112" i="46"/>
  <c r="S112" i="46"/>
  <c r="Q114" i="46"/>
  <c r="S114" i="46"/>
  <c r="T490" i="46"/>
  <c r="BT490" i="46"/>
  <c r="T496" i="46"/>
  <c r="BT496" i="46"/>
  <c r="T487" i="46"/>
  <c r="BT487" i="46"/>
  <c r="T195" i="46"/>
  <c r="BT195" i="46"/>
  <c r="T189" i="46"/>
  <c r="BT189" i="46"/>
  <c r="T238" i="46"/>
  <c r="BT238" i="46"/>
  <c r="T177" i="46"/>
  <c r="BT177" i="46"/>
  <c r="T226" i="46"/>
  <c r="BT226" i="46"/>
  <c r="T199" i="46"/>
  <c r="BT199" i="46"/>
  <c r="T263" i="46"/>
  <c r="BT263" i="46"/>
  <c r="T299" i="46"/>
  <c r="BT299" i="46"/>
  <c r="T347" i="46"/>
  <c r="BT347" i="46"/>
  <c r="T297" i="46"/>
  <c r="BT297" i="46"/>
  <c r="T241" i="46"/>
  <c r="BT241" i="46"/>
  <c r="T209" i="46"/>
  <c r="BT209" i="46"/>
  <c r="T273" i="46"/>
  <c r="BT273" i="46"/>
  <c r="T325" i="46"/>
  <c r="BT325" i="46"/>
  <c r="T231" i="46"/>
  <c r="BT231" i="46"/>
  <c r="T317" i="46"/>
  <c r="BT317" i="46"/>
  <c r="T203" i="46"/>
  <c r="BT203" i="46"/>
  <c r="T267" i="46"/>
  <c r="BT267" i="46"/>
  <c r="T307" i="46"/>
  <c r="BT307" i="46"/>
  <c r="T355" i="46"/>
  <c r="BT355" i="46"/>
  <c r="T305" i="46"/>
  <c r="BT305" i="46"/>
  <c r="T180" i="46"/>
  <c r="BT180" i="46"/>
  <c r="T253" i="46"/>
  <c r="BT253" i="46"/>
  <c r="T285" i="46"/>
  <c r="BT285" i="46"/>
  <c r="T337" i="46"/>
  <c r="BT337" i="46"/>
  <c r="T178" i="46"/>
  <c r="BT178" i="46"/>
  <c r="T351" i="46"/>
  <c r="BT351" i="46"/>
  <c r="T348" i="46"/>
  <c r="BT348" i="46"/>
  <c r="T332" i="46"/>
  <c r="BT332" i="46"/>
  <c r="T294" i="46"/>
  <c r="BT294" i="46"/>
  <c r="T278" i="46"/>
  <c r="BT278" i="46"/>
  <c r="T262" i="46"/>
  <c r="BT262" i="46"/>
  <c r="T214" i="46"/>
  <c r="BT214" i="46"/>
  <c r="T198" i="46"/>
  <c r="BT198" i="46"/>
  <c r="T350" i="46"/>
  <c r="BT350" i="46"/>
  <c r="T334" i="46"/>
  <c r="BT334" i="46"/>
  <c r="T292" i="46"/>
  <c r="BT292" i="46"/>
  <c r="T276" i="46"/>
  <c r="BT276" i="46"/>
  <c r="T260" i="46"/>
  <c r="BT260" i="46"/>
  <c r="T216" i="46"/>
  <c r="BT216" i="46"/>
  <c r="T200" i="46"/>
  <c r="BT200" i="46"/>
  <c r="T63" i="46"/>
  <c r="BT63" i="46"/>
  <c r="I308" i="49"/>
  <c r="BY197" i="46"/>
  <c r="BZ197" i="46"/>
  <c r="CA197" i="46"/>
  <c r="BU197" i="46"/>
  <c r="BV197" i="46"/>
  <c r="T572" i="46"/>
  <c r="BT572" i="46"/>
  <c r="T431" i="46"/>
  <c r="BT431" i="46"/>
  <c r="T460" i="46"/>
  <c r="BT460" i="46"/>
  <c r="T438" i="46"/>
  <c r="BT438" i="46"/>
  <c r="T432" i="46"/>
  <c r="BT432" i="46"/>
  <c r="T427" i="46"/>
  <c r="BT427" i="46"/>
  <c r="T455" i="46"/>
  <c r="BT455" i="46"/>
  <c r="T449" i="46"/>
  <c r="BT449" i="46"/>
  <c r="T443" i="46"/>
  <c r="BT443" i="46"/>
  <c r="T437" i="46"/>
  <c r="BT437" i="46"/>
  <c r="T428" i="46"/>
  <c r="BT428" i="46"/>
  <c r="T429" i="46"/>
  <c r="BT429" i="46"/>
  <c r="T228" i="46"/>
  <c r="BT228" i="46"/>
  <c r="T298" i="46"/>
  <c r="BT298" i="46"/>
  <c r="T185" i="46"/>
  <c r="BT185" i="46"/>
  <c r="T187" i="46"/>
  <c r="BT187" i="46"/>
  <c r="T230" i="46"/>
  <c r="BT230" i="46"/>
  <c r="X582" i="46"/>
  <c r="T248" i="46"/>
  <c r="BT248" i="46"/>
  <c r="T400" i="46"/>
  <c r="BT400" i="46"/>
  <c r="T488" i="46"/>
  <c r="BT488" i="46"/>
  <c r="T493" i="46"/>
  <c r="BT493" i="46"/>
  <c r="T494" i="46"/>
  <c r="BT494" i="46"/>
  <c r="T489" i="46"/>
  <c r="BT489" i="46"/>
  <c r="T250" i="46"/>
  <c r="BT250" i="46"/>
  <c r="T244" i="46"/>
  <c r="BT244" i="46"/>
  <c r="R575" i="46"/>
  <c r="T316" i="46"/>
  <c r="BT316" i="46"/>
  <c r="T224" i="46"/>
  <c r="BT224" i="46"/>
  <c r="T304" i="46"/>
  <c r="BT304" i="46"/>
  <c r="T271" i="46"/>
  <c r="BT271" i="46"/>
  <c r="T315" i="46"/>
  <c r="BT315" i="46"/>
  <c r="T227" i="46"/>
  <c r="BT227" i="46"/>
  <c r="T302" i="46"/>
  <c r="BT302" i="46"/>
  <c r="T217" i="46"/>
  <c r="BT217" i="46"/>
  <c r="T281" i="46"/>
  <c r="BT281" i="46"/>
  <c r="T247" i="46"/>
  <c r="BT247" i="46"/>
  <c r="T229" i="46"/>
  <c r="BT229" i="46"/>
  <c r="T211" i="46"/>
  <c r="BT211" i="46"/>
  <c r="T327" i="46"/>
  <c r="BT327" i="46"/>
  <c r="T235" i="46"/>
  <c r="BT235" i="46"/>
  <c r="T321" i="46"/>
  <c r="BT321" i="46"/>
  <c r="T261" i="46"/>
  <c r="BT261" i="46"/>
  <c r="T295" i="46"/>
  <c r="BT295" i="46"/>
  <c r="T345" i="46"/>
  <c r="BT345" i="46"/>
  <c r="T237" i="46"/>
  <c r="BT237" i="46"/>
  <c r="T344" i="46"/>
  <c r="BT344" i="46"/>
  <c r="T328" i="46"/>
  <c r="BT328" i="46"/>
  <c r="T274" i="46"/>
  <c r="BT274" i="46"/>
  <c r="T258" i="46"/>
  <c r="BT258" i="46"/>
  <c r="T210" i="46"/>
  <c r="BT210" i="46"/>
  <c r="T346" i="46"/>
  <c r="BT346" i="46"/>
  <c r="T330" i="46"/>
  <c r="BT330" i="46"/>
  <c r="T288" i="46"/>
  <c r="BT288" i="46"/>
  <c r="T256" i="46"/>
  <c r="BT256" i="46"/>
  <c r="T212" i="46"/>
  <c r="BT212" i="46"/>
  <c r="S357" i="46"/>
  <c r="T176" i="46"/>
  <c r="BT176" i="46"/>
  <c r="T64" i="46"/>
  <c r="BT64" i="46"/>
  <c r="S18" i="46"/>
  <c r="T17" i="46"/>
  <c r="BT17" i="46"/>
  <c r="R42" i="46"/>
  <c r="R28" i="46"/>
  <c r="R33" i="46"/>
  <c r="R35" i="46"/>
  <c r="R36" i="46"/>
  <c r="R25" i="46"/>
  <c r="R27" i="46"/>
  <c r="R40" i="46"/>
  <c r="R29" i="46"/>
  <c r="R31" i="46"/>
  <c r="R41" i="46"/>
  <c r="R24" i="46"/>
  <c r="R23" i="46"/>
  <c r="R32" i="46"/>
  <c r="R37" i="46"/>
  <c r="R39" i="46"/>
  <c r="T570" i="46"/>
  <c r="BT570" i="46"/>
  <c r="T179" i="46"/>
  <c r="BT179" i="46"/>
  <c r="T447" i="46"/>
  <c r="BT447" i="46"/>
  <c r="T441" i="46"/>
  <c r="BT441" i="46"/>
  <c r="T454" i="46"/>
  <c r="BT454" i="46"/>
  <c r="T448" i="46"/>
  <c r="BT448" i="46"/>
  <c r="T442" i="46"/>
  <c r="BT442" i="46"/>
  <c r="T436" i="46"/>
  <c r="BT436" i="46"/>
  <c r="T430" i="46"/>
  <c r="BT430" i="46"/>
  <c r="T459" i="46"/>
  <c r="BT459" i="46"/>
  <c r="T453" i="46"/>
  <c r="BT453" i="46"/>
  <c r="T424" i="46"/>
  <c r="BT424" i="46"/>
  <c r="T306" i="46"/>
  <c r="BT306" i="46"/>
  <c r="R38" i="46"/>
  <c r="T240" i="46"/>
  <c r="BT240" i="46"/>
  <c r="L582" i="46"/>
  <c r="T242" i="46"/>
  <c r="BT242" i="46"/>
  <c r="Q103" i="46"/>
  <c r="S103" i="46"/>
  <c r="T95" i="46"/>
  <c r="BT95" i="46"/>
  <c r="T308" i="46"/>
  <c r="BT308" i="46"/>
  <c r="S46" i="46"/>
  <c r="S48" i="46"/>
  <c r="S47" i="46"/>
  <c r="S45" i="46"/>
  <c r="S44" i="46"/>
  <c r="S402" i="46"/>
  <c r="T398" i="46"/>
  <c r="BT398" i="46"/>
  <c r="Q111" i="46"/>
  <c r="S111" i="46"/>
  <c r="T498" i="46"/>
  <c r="BT498" i="46"/>
  <c r="T497" i="46"/>
  <c r="BT497" i="46"/>
  <c r="T495" i="46"/>
  <c r="BT495" i="46"/>
  <c r="V582" i="46"/>
  <c r="Y2" i="46"/>
  <c r="FJ318" i="49"/>
  <c r="FJ319" i="49"/>
  <c r="FJ496" i="49"/>
  <c r="FJ494" i="49"/>
  <c r="FJ493" i="49"/>
  <c r="FJ492" i="49"/>
  <c r="FJ491" i="49"/>
  <c r="FJ490" i="49"/>
  <c r="FJ489" i="49"/>
  <c r="FJ488" i="49"/>
  <c r="FJ487" i="49"/>
  <c r="FJ486" i="49"/>
  <c r="FJ485" i="49"/>
  <c r="FJ484" i="49"/>
  <c r="FJ483" i="49"/>
  <c r="FJ482" i="49"/>
  <c r="FJ481" i="49"/>
  <c r="FJ480" i="49"/>
  <c r="FJ479" i="49"/>
  <c r="FJ478" i="49"/>
  <c r="FJ477" i="49"/>
  <c r="FJ476" i="49"/>
  <c r="FJ475" i="49"/>
  <c r="FJ474" i="49"/>
  <c r="FJ473" i="49"/>
  <c r="FJ472" i="49"/>
  <c r="FJ471" i="49"/>
  <c r="FJ470" i="49"/>
  <c r="FJ469" i="49"/>
  <c r="FJ468" i="49"/>
  <c r="FJ467" i="49"/>
  <c r="FJ466" i="49"/>
  <c r="FJ465" i="49"/>
  <c r="FJ464" i="49"/>
  <c r="FJ463" i="49"/>
  <c r="FJ462" i="49"/>
  <c r="FJ461" i="49"/>
  <c r="FJ460" i="49"/>
  <c r="FJ459" i="49"/>
  <c r="FJ458" i="49"/>
  <c r="FJ457" i="49"/>
  <c r="FJ456" i="49"/>
  <c r="FJ455" i="49"/>
  <c r="FJ454" i="49"/>
  <c r="FJ453" i="49"/>
  <c r="FJ452" i="49"/>
  <c r="FJ451" i="49"/>
  <c r="FJ450" i="49"/>
  <c r="FJ449" i="49"/>
  <c r="FJ448" i="49"/>
  <c r="FJ447" i="49"/>
  <c r="FJ446" i="49"/>
  <c r="FJ445" i="49"/>
  <c r="FJ444" i="49"/>
  <c r="FJ443" i="49"/>
  <c r="FJ442" i="49"/>
  <c r="FJ441" i="49"/>
  <c r="FJ440" i="49"/>
  <c r="FJ439" i="49"/>
  <c r="FJ320" i="49"/>
  <c r="FJ437" i="49"/>
  <c r="FJ433" i="49"/>
  <c r="FJ429" i="49"/>
  <c r="FJ425" i="49"/>
  <c r="FJ421" i="49"/>
  <c r="FJ417" i="49"/>
  <c r="FJ413" i="49"/>
  <c r="FJ409" i="49"/>
  <c r="FJ405" i="49"/>
  <c r="FJ401" i="49"/>
  <c r="FJ397" i="49"/>
  <c r="FJ438" i="49"/>
  <c r="FJ434" i="49"/>
  <c r="FJ430" i="49"/>
  <c r="FJ426" i="49"/>
  <c r="FJ422" i="49"/>
  <c r="FJ418" i="49"/>
  <c r="FJ414" i="49"/>
  <c r="FJ410" i="49"/>
  <c r="FJ406" i="49"/>
  <c r="FJ402" i="49"/>
  <c r="FJ398" i="49"/>
  <c r="FJ394" i="49"/>
  <c r="FJ390" i="49"/>
  <c r="FJ386" i="49"/>
  <c r="FJ383" i="49"/>
  <c r="FJ381" i="49"/>
  <c r="FJ379" i="49"/>
  <c r="FJ377" i="49"/>
  <c r="FJ375" i="49"/>
  <c r="FJ373" i="49"/>
  <c r="FJ372" i="49"/>
  <c r="FJ371" i="49"/>
  <c r="FJ370" i="49"/>
  <c r="FJ369" i="49"/>
  <c r="FJ368" i="49"/>
  <c r="FJ367" i="49"/>
  <c r="FJ366" i="49"/>
  <c r="FJ365" i="49"/>
  <c r="FJ364" i="49"/>
  <c r="FJ363" i="49"/>
  <c r="FJ362" i="49"/>
  <c r="FJ361" i="49"/>
  <c r="FJ360" i="49"/>
  <c r="FJ359" i="49"/>
  <c r="FJ358" i="49"/>
  <c r="FJ357" i="49"/>
  <c r="FJ435" i="49"/>
  <c r="FJ431" i="49"/>
  <c r="FJ427" i="49"/>
  <c r="FJ423" i="49"/>
  <c r="FJ419" i="49"/>
  <c r="FJ415" i="49"/>
  <c r="FJ411" i="49"/>
  <c r="FJ407" i="49"/>
  <c r="FJ403" i="49"/>
  <c r="FJ399" i="49"/>
  <c r="FJ395" i="49"/>
  <c r="FJ391" i="49"/>
  <c r="FJ387" i="49"/>
  <c r="FJ385" i="49"/>
  <c r="FJ432" i="49"/>
  <c r="FJ424" i="49"/>
  <c r="FJ416" i="49"/>
  <c r="FJ408" i="49"/>
  <c r="FJ400" i="49"/>
  <c r="FJ393" i="49"/>
  <c r="FJ389" i="49"/>
  <c r="FJ384" i="49"/>
  <c r="FJ376" i="49"/>
  <c r="FJ355" i="49"/>
  <c r="FJ354" i="49"/>
  <c r="FJ353" i="49"/>
  <c r="FJ352" i="49"/>
  <c r="FJ351" i="49"/>
  <c r="FJ350" i="49"/>
  <c r="FJ349" i="49"/>
  <c r="FJ348" i="49"/>
  <c r="FJ347" i="49"/>
  <c r="FJ346" i="49"/>
  <c r="FJ345" i="49"/>
  <c r="FJ344" i="49"/>
  <c r="FJ343" i="49"/>
  <c r="FJ342" i="49"/>
  <c r="FJ341" i="49"/>
  <c r="FJ340" i="49"/>
  <c r="FJ339" i="49"/>
  <c r="FJ338" i="49"/>
  <c r="FJ337" i="49"/>
  <c r="FJ336" i="49"/>
  <c r="FJ335" i="49"/>
  <c r="FJ334" i="49"/>
  <c r="FJ333" i="49"/>
  <c r="FJ332" i="49"/>
  <c r="FJ331" i="49"/>
  <c r="FJ329" i="49"/>
  <c r="FJ328" i="49"/>
  <c r="FJ327" i="49"/>
  <c r="FJ326" i="49"/>
  <c r="FJ325" i="49"/>
  <c r="FJ324" i="49"/>
  <c r="FJ323" i="49"/>
  <c r="FJ322" i="49"/>
  <c r="FJ321" i="49"/>
  <c r="FJ317" i="49"/>
  <c r="FJ316" i="49"/>
  <c r="FJ315" i="49"/>
  <c r="FJ314" i="49"/>
  <c r="FJ313" i="49"/>
  <c r="FJ312" i="49"/>
  <c r="FJ311" i="49"/>
  <c r="FJ310" i="49"/>
  <c r="FJ309" i="49"/>
  <c r="FJ308" i="49"/>
  <c r="FJ307" i="49"/>
  <c r="FJ306" i="49"/>
  <c r="FJ305" i="49"/>
  <c r="FJ304" i="49"/>
  <c r="FJ303" i="49"/>
  <c r="FJ302" i="49"/>
  <c r="FJ301" i="49"/>
  <c r="FJ300" i="49"/>
  <c r="FJ299" i="49"/>
  <c r="FJ298" i="49"/>
  <c r="FJ297" i="49"/>
  <c r="FJ296" i="49"/>
  <c r="FJ295" i="49"/>
  <c r="FJ294" i="49"/>
  <c r="FJ293" i="49"/>
  <c r="FJ292" i="49"/>
  <c r="FJ291" i="49"/>
  <c r="FJ290" i="49"/>
  <c r="FJ289" i="49"/>
  <c r="FJ288" i="49"/>
  <c r="FJ378" i="49"/>
  <c r="FJ356" i="49"/>
  <c r="FJ436" i="49"/>
  <c r="FJ428" i="49"/>
  <c r="FJ420" i="49"/>
  <c r="FJ412" i="49"/>
  <c r="FJ404" i="49"/>
  <c r="FJ396" i="49"/>
  <c r="FJ392" i="49"/>
  <c r="FJ388" i="49"/>
  <c r="FJ380" i="49"/>
  <c r="FJ286" i="49"/>
  <c r="FJ282" i="49"/>
  <c r="FJ278" i="49"/>
  <c r="FJ382" i="49"/>
  <c r="FJ287" i="49"/>
  <c r="FJ283" i="49"/>
  <c r="FJ279" i="49"/>
  <c r="FJ275" i="49"/>
  <c r="FJ274" i="49"/>
  <c r="FJ273" i="49"/>
  <c r="FJ272" i="49"/>
  <c r="FJ271" i="49"/>
  <c r="FJ270" i="49"/>
  <c r="FJ269" i="49"/>
  <c r="FJ268" i="49"/>
  <c r="FJ267" i="49"/>
  <c r="FJ266" i="49"/>
  <c r="FJ265" i="49"/>
  <c r="FJ264" i="49"/>
  <c r="FJ263" i="49"/>
  <c r="FJ262" i="49"/>
  <c r="FJ261" i="49"/>
  <c r="FJ260" i="49"/>
  <c r="FJ259" i="49"/>
  <c r="FJ258" i="49"/>
  <c r="FJ257" i="49"/>
  <c r="FJ256" i="49"/>
  <c r="FJ255" i="49"/>
  <c r="FJ254" i="49"/>
  <c r="FJ253" i="49"/>
  <c r="FJ252" i="49"/>
  <c r="FJ251" i="49"/>
  <c r="FJ250" i="49"/>
  <c r="FJ249" i="49"/>
  <c r="FJ248" i="49"/>
  <c r="FJ247" i="49"/>
  <c r="FJ246" i="49"/>
  <c r="FJ245" i="49"/>
  <c r="FJ244" i="49"/>
  <c r="FJ243" i="49"/>
  <c r="FJ242" i="49"/>
  <c r="FJ241" i="49"/>
  <c r="FJ240" i="49"/>
  <c r="FJ239" i="49"/>
  <c r="FJ238" i="49"/>
  <c r="FJ237" i="49"/>
  <c r="FJ236" i="49"/>
  <c r="FJ235" i="49"/>
  <c r="FJ234" i="49"/>
  <c r="FJ233" i="49"/>
  <c r="FJ232" i="49"/>
  <c r="FJ231" i="49"/>
  <c r="FJ230" i="49"/>
  <c r="FJ229" i="49"/>
  <c r="FJ228" i="49"/>
  <c r="FJ227" i="49"/>
  <c r="FJ226" i="49"/>
  <c r="FJ225" i="49"/>
  <c r="FJ224" i="49"/>
  <c r="FJ223" i="49"/>
  <c r="FJ222" i="49"/>
  <c r="FJ221" i="49"/>
  <c r="FJ220" i="49"/>
  <c r="FJ219" i="49"/>
  <c r="FJ374" i="49"/>
  <c r="FJ284" i="49"/>
  <c r="FJ280" i="49"/>
  <c r="FJ276" i="49"/>
  <c r="FJ217" i="49"/>
  <c r="FJ213" i="49"/>
  <c r="FJ209" i="49"/>
  <c r="FJ205" i="49"/>
  <c r="FJ200" i="49"/>
  <c r="FJ281" i="49"/>
  <c r="FJ216" i="49"/>
  <c r="FJ212" i="49"/>
  <c r="FJ208" i="49"/>
  <c r="FJ201" i="49"/>
  <c r="FJ215" i="49"/>
  <c r="FJ211" i="49"/>
  <c r="FJ207" i="49"/>
  <c r="FJ202" i="49"/>
  <c r="FJ285" i="49"/>
  <c r="FJ277" i="49"/>
  <c r="FJ198" i="49"/>
  <c r="FJ194" i="49"/>
  <c r="FJ190" i="49"/>
  <c r="FJ186" i="49"/>
  <c r="FJ182" i="49"/>
  <c r="FJ178" i="49"/>
  <c r="FJ174" i="49"/>
  <c r="FJ170" i="49"/>
  <c r="FJ166" i="49"/>
  <c r="FJ162" i="49"/>
  <c r="FJ158" i="49"/>
  <c r="FJ154" i="49"/>
  <c r="FJ150" i="49"/>
  <c r="FJ146" i="49"/>
  <c r="FJ142" i="49"/>
  <c r="FJ138" i="49"/>
  <c r="FJ134" i="49"/>
  <c r="FJ130" i="49"/>
  <c r="FJ126" i="49"/>
  <c r="FJ122" i="49"/>
  <c r="FJ118" i="49"/>
  <c r="FJ114" i="49"/>
  <c r="FJ110" i="49"/>
  <c r="FJ106" i="49"/>
  <c r="FJ102" i="49"/>
  <c r="FJ98" i="49"/>
  <c r="FJ94" i="49"/>
  <c r="FJ90" i="49"/>
  <c r="FJ86" i="49"/>
  <c r="FJ82" i="49"/>
  <c r="FJ78" i="49"/>
  <c r="FJ74" i="49"/>
  <c r="FJ70" i="49"/>
  <c r="FJ66" i="49"/>
  <c r="FJ62" i="49"/>
  <c r="FJ61" i="49"/>
  <c r="FJ193" i="49"/>
  <c r="FJ189" i="49"/>
  <c r="FJ173" i="49"/>
  <c r="FJ165" i="49"/>
  <c r="FJ149" i="49"/>
  <c r="FJ141" i="49"/>
  <c r="FJ129" i="49"/>
  <c r="FJ117" i="49"/>
  <c r="FJ105" i="49"/>
  <c r="FJ93" i="49"/>
  <c r="FJ81" i="49"/>
  <c r="FJ218" i="49"/>
  <c r="FJ214" i="49"/>
  <c r="FJ210" i="49"/>
  <c r="FJ206" i="49"/>
  <c r="FJ199" i="49"/>
  <c r="FJ195" i="49"/>
  <c r="FJ191" i="49"/>
  <c r="FJ187" i="49"/>
  <c r="FJ183" i="49"/>
  <c r="FJ179" i="49"/>
  <c r="FJ175" i="49"/>
  <c r="FJ171" i="49"/>
  <c r="FJ167" i="49"/>
  <c r="FJ163" i="49"/>
  <c r="FJ159" i="49"/>
  <c r="FJ155" i="49"/>
  <c r="FJ151" i="49"/>
  <c r="FJ147" i="49"/>
  <c r="FJ143" i="49"/>
  <c r="FJ139" i="49"/>
  <c r="FJ135" i="49"/>
  <c r="FJ131" i="49"/>
  <c r="FJ127" i="49"/>
  <c r="FJ123" i="49"/>
  <c r="FJ119" i="49"/>
  <c r="FJ115" i="49"/>
  <c r="FJ111" i="49"/>
  <c r="FJ107" i="49"/>
  <c r="FJ103" i="49"/>
  <c r="FJ99" i="49"/>
  <c r="FJ95" i="49"/>
  <c r="FJ91" i="49"/>
  <c r="FJ87" i="49"/>
  <c r="FJ83" i="49"/>
  <c r="FJ79" i="49"/>
  <c r="FJ75" i="49"/>
  <c r="FJ71" i="49"/>
  <c r="FJ67" i="49"/>
  <c r="FJ63" i="49"/>
  <c r="FJ185" i="49"/>
  <c r="FJ177" i="49"/>
  <c r="FJ161" i="49"/>
  <c r="FJ145" i="49"/>
  <c r="FJ137" i="49"/>
  <c r="FJ125" i="49"/>
  <c r="FJ101" i="49"/>
  <c r="FJ89" i="49"/>
  <c r="FJ77" i="49"/>
  <c r="FJ65" i="49"/>
  <c r="FJ196" i="49"/>
  <c r="FJ192" i="49"/>
  <c r="FJ188" i="49"/>
  <c r="FJ184" i="49"/>
  <c r="FJ180" i="49"/>
  <c r="FJ176" i="49"/>
  <c r="FJ172" i="49"/>
  <c r="FJ168" i="49"/>
  <c r="FJ164" i="49"/>
  <c r="FJ160" i="49"/>
  <c r="FJ156" i="49"/>
  <c r="FJ152" i="49"/>
  <c r="FJ148" i="49"/>
  <c r="FJ144" i="49"/>
  <c r="FJ140" i="49"/>
  <c r="FJ136" i="49"/>
  <c r="FJ132" i="49"/>
  <c r="FJ128" i="49"/>
  <c r="FJ124" i="49"/>
  <c r="FJ120" i="49"/>
  <c r="FJ116" i="49"/>
  <c r="FJ112" i="49"/>
  <c r="FJ108" i="49"/>
  <c r="FJ104" i="49"/>
  <c r="FJ100" i="49"/>
  <c r="FJ96" i="49"/>
  <c r="FJ92" i="49"/>
  <c r="FJ88" i="49"/>
  <c r="FJ84" i="49"/>
  <c r="FJ80" i="49"/>
  <c r="FJ76" i="49"/>
  <c r="FJ72" i="49"/>
  <c r="FJ68" i="49"/>
  <c r="FJ64" i="49"/>
  <c r="FJ60" i="49"/>
  <c r="FJ59" i="49"/>
  <c r="FJ58" i="49"/>
  <c r="FJ57" i="49"/>
  <c r="FJ56" i="49"/>
  <c r="FJ55" i="49"/>
  <c r="FJ54" i="49"/>
  <c r="FJ53" i="49"/>
  <c r="FJ52" i="49"/>
  <c r="FJ51" i="49"/>
  <c r="FJ50" i="49"/>
  <c r="FJ49" i="49"/>
  <c r="FJ48" i="49"/>
  <c r="FJ47" i="49"/>
  <c r="FJ46" i="49"/>
  <c r="FJ45" i="49"/>
  <c r="FJ44" i="49"/>
  <c r="FJ43" i="49"/>
  <c r="FJ42" i="49"/>
  <c r="FJ41" i="49"/>
  <c r="FJ40" i="49"/>
  <c r="FJ39" i="49"/>
  <c r="FJ38" i="49"/>
  <c r="FJ37" i="49"/>
  <c r="FJ36" i="49"/>
  <c r="FJ35" i="49"/>
  <c r="FJ34" i="49"/>
  <c r="FJ33" i="49"/>
  <c r="FJ32" i="49"/>
  <c r="FJ31" i="49"/>
  <c r="FJ30" i="49"/>
  <c r="FJ29" i="49"/>
  <c r="FJ28" i="49"/>
  <c r="FJ27" i="49"/>
  <c r="FJ26" i="49"/>
  <c r="FJ25" i="49"/>
  <c r="FJ24" i="49"/>
  <c r="FJ23" i="49"/>
  <c r="FJ22" i="49"/>
  <c r="FJ21" i="49"/>
  <c r="FJ20" i="49"/>
  <c r="FJ19" i="49"/>
  <c r="FJ18" i="49"/>
  <c r="FJ17" i="49"/>
  <c r="FJ16" i="49"/>
  <c r="FJ15" i="49"/>
  <c r="FJ14" i="49"/>
  <c r="FJ13" i="49"/>
  <c r="FJ12" i="49"/>
  <c r="FJ11" i="49"/>
  <c r="FJ10" i="49"/>
  <c r="FJ9" i="49"/>
  <c r="FJ8" i="49"/>
  <c r="FJ7" i="49"/>
  <c r="FJ6" i="49"/>
  <c r="FJ5" i="49"/>
  <c r="FJ197" i="49"/>
  <c r="FJ181" i="49"/>
  <c r="FJ169" i="49"/>
  <c r="FJ157" i="49"/>
  <c r="FJ153" i="49"/>
  <c r="FJ133" i="49"/>
  <c r="FJ121" i="49"/>
  <c r="FJ113" i="49"/>
  <c r="FJ109" i="49"/>
  <c r="FJ97" i="49"/>
  <c r="FJ85" i="49"/>
  <c r="FJ73" i="49"/>
  <c r="FJ69" i="49"/>
  <c r="BZ319" i="46"/>
  <c r="BU319" i="46"/>
  <c r="J203" i="49"/>
  <c r="BY319" i="46"/>
  <c r="CA319" i="46"/>
  <c r="BV319" i="46"/>
  <c r="K203" i="49"/>
  <c r="BY320" i="46"/>
  <c r="CA320" i="46"/>
  <c r="BV320" i="46"/>
  <c r="K204" i="49"/>
  <c r="BZ320" i="46"/>
  <c r="BU320" i="46"/>
  <c r="J204" i="49"/>
  <c r="CS75" i="49"/>
  <c r="T75" i="49"/>
  <c r="T455" i="49"/>
  <c r="CS29" i="49"/>
  <c r="T29" i="49"/>
  <c r="T449" i="49"/>
  <c r="R50" i="46"/>
  <c r="CS360" i="49"/>
  <c r="T360" i="49"/>
  <c r="CS69" i="49"/>
  <c r="T69" i="49"/>
  <c r="T454" i="49"/>
  <c r="CB232" i="46"/>
  <c r="N245" i="49"/>
  <c r="AC245" i="49"/>
  <c r="CB191" i="46"/>
  <c r="N236" i="49"/>
  <c r="AC236" i="49"/>
  <c r="CB246" i="46"/>
  <c r="N223" i="49"/>
  <c r="I403" i="49"/>
  <c r="BY497" i="46"/>
  <c r="BZ497" i="46"/>
  <c r="CA497" i="46"/>
  <c r="BU497" i="46"/>
  <c r="BV497" i="46"/>
  <c r="I256" i="49"/>
  <c r="BY306" i="46"/>
  <c r="BZ306" i="46"/>
  <c r="CA306" i="46"/>
  <c r="BV306" i="46"/>
  <c r="BU306" i="46"/>
  <c r="I388" i="49"/>
  <c r="CA442" i="46"/>
  <c r="BY442" i="46"/>
  <c r="BZ442" i="46"/>
  <c r="CB442" i="46"/>
  <c r="N388" i="49"/>
  <c r="BU442" i="46"/>
  <c r="BV442" i="46"/>
  <c r="I49" i="49"/>
  <c r="BZ64" i="46"/>
  <c r="CA64" i="46"/>
  <c r="BY64" i="46"/>
  <c r="BU64" i="46"/>
  <c r="BV64" i="46"/>
  <c r="I138" i="49"/>
  <c r="CA290" i="46"/>
  <c r="BY290" i="46"/>
  <c r="BZ290" i="46"/>
  <c r="BU290" i="46"/>
  <c r="BV290" i="46"/>
  <c r="I202" i="49"/>
  <c r="BY237" i="46"/>
  <c r="BZ237" i="46"/>
  <c r="CA237" i="46"/>
  <c r="BU237" i="46"/>
  <c r="BV237" i="46"/>
  <c r="I303" i="49"/>
  <c r="BZ295" i="46"/>
  <c r="CA295" i="46"/>
  <c r="BY295" i="46"/>
  <c r="BU295" i="46"/>
  <c r="BV295" i="46"/>
  <c r="I213" i="49"/>
  <c r="BY275" i="46"/>
  <c r="BZ275" i="46"/>
  <c r="CA275" i="46"/>
  <c r="BU275" i="46"/>
  <c r="BV275" i="46"/>
  <c r="I272" i="49"/>
  <c r="BY333" i="46"/>
  <c r="BZ333" i="46"/>
  <c r="CA333" i="46"/>
  <c r="BU333" i="46"/>
  <c r="BV333" i="46"/>
  <c r="I252" i="49"/>
  <c r="BY304" i="46"/>
  <c r="BZ304" i="46"/>
  <c r="CA304" i="46"/>
  <c r="BV304" i="46"/>
  <c r="BU304" i="46"/>
  <c r="I265" i="49"/>
  <c r="BY244" i="46"/>
  <c r="BZ244" i="46"/>
  <c r="CA244" i="46"/>
  <c r="BU244" i="46"/>
  <c r="BV244" i="46"/>
  <c r="I428" i="49"/>
  <c r="CA494" i="46"/>
  <c r="BY494" i="46"/>
  <c r="BZ494" i="46"/>
  <c r="BU494" i="46"/>
  <c r="BV494" i="46"/>
  <c r="I368" i="49"/>
  <c r="CA455" i="46"/>
  <c r="BY455" i="46"/>
  <c r="BZ455" i="46"/>
  <c r="BU455" i="46"/>
  <c r="BV455" i="46"/>
  <c r="I327" i="49"/>
  <c r="BY379" i="46"/>
  <c r="BZ379" i="46"/>
  <c r="CA379" i="46"/>
  <c r="I162" i="49"/>
  <c r="CA350" i="46"/>
  <c r="BY350" i="46"/>
  <c r="BZ350" i="46"/>
  <c r="BV350" i="46"/>
  <c r="BU350" i="46"/>
  <c r="I180" i="49"/>
  <c r="CA262" i="46"/>
  <c r="BY262" i="46"/>
  <c r="BZ262" i="46"/>
  <c r="CB262" i="46"/>
  <c r="N180" i="49"/>
  <c r="BU262" i="46"/>
  <c r="BV262" i="46"/>
  <c r="I210" i="49"/>
  <c r="CA332" i="46"/>
  <c r="BY332" i="46"/>
  <c r="BZ332" i="46"/>
  <c r="BV332" i="46"/>
  <c r="BU332" i="46"/>
  <c r="I254" i="49"/>
  <c r="CA307" i="46"/>
  <c r="BY307" i="46"/>
  <c r="BZ307" i="46"/>
  <c r="BU307" i="46"/>
  <c r="BV307" i="46"/>
  <c r="I164" i="49"/>
  <c r="BY241" i="46"/>
  <c r="BZ241" i="46"/>
  <c r="CA241" i="46"/>
  <c r="BU241" i="46"/>
  <c r="BV241" i="46"/>
  <c r="I240" i="49"/>
  <c r="BY238" i="46"/>
  <c r="BZ238" i="46"/>
  <c r="CA238" i="46"/>
  <c r="BU238" i="46"/>
  <c r="BV238" i="46"/>
  <c r="I424" i="49"/>
  <c r="CA487" i="46"/>
  <c r="BY487" i="46"/>
  <c r="BZ487" i="46"/>
  <c r="BU487" i="46"/>
  <c r="BV487" i="46"/>
  <c r="I376" i="49"/>
  <c r="CA462" i="46"/>
  <c r="BY462" i="46"/>
  <c r="BZ462" i="46"/>
  <c r="BU462" i="46"/>
  <c r="BV462" i="46"/>
  <c r="I488" i="49"/>
  <c r="BY569" i="46"/>
  <c r="BU569" i="46"/>
  <c r="BV569" i="46"/>
  <c r="BZ569" i="46"/>
  <c r="CA569" i="46"/>
  <c r="I173" i="49"/>
  <c r="BY220" i="46"/>
  <c r="BZ220" i="46"/>
  <c r="CA220" i="46"/>
  <c r="BU220" i="46"/>
  <c r="BV220" i="46"/>
  <c r="I218" i="49"/>
  <c r="CA352" i="46"/>
  <c r="BY352" i="46"/>
  <c r="BZ352" i="46"/>
  <c r="BV352" i="46"/>
  <c r="BU352" i="46"/>
  <c r="I302" i="49"/>
  <c r="CA303" i="46"/>
  <c r="BY303" i="46"/>
  <c r="BZ303" i="46"/>
  <c r="BU303" i="46"/>
  <c r="BV303" i="46"/>
  <c r="I183" i="49"/>
  <c r="BY255" i="46"/>
  <c r="BZ255" i="46"/>
  <c r="CA255" i="46"/>
  <c r="BU255" i="46"/>
  <c r="BV255" i="46"/>
  <c r="I176" i="49"/>
  <c r="CA492" i="46"/>
  <c r="BY492" i="46"/>
  <c r="BZ492" i="46"/>
  <c r="CB492" i="46"/>
  <c r="N176" i="49"/>
  <c r="BU492" i="46"/>
  <c r="BV492" i="46"/>
  <c r="BY401" i="46"/>
  <c r="BU401" i="46"/>
  <c r="BV401" i="46"/>
  <c r="BZ401" i="46"/>
  <c r="CA401" i="46"/>
  <c r="I389" i="49"/>
  <c r="BZ452" i="46"/>
  <c r="CA452" i="46"/>
  <c r="BY452" i="46"/>
  <c r="BU452" i="46"/>
  <c r="BV452" i="46"/>
  <c r="I382" i="49"/>
  <c r="BY423" i="46"/>
  <c r="BZ423" i="46"/>
  <c r="CA423" i="46"/>
  <c r="BU423" i="46"/>
  <c r="BV423" i="46"/>
  <c r="I50" i="49"/>
  <c r="BY65" i="46"/>
  <c r="BZ65" i="46"/>
  <c r="CA65" i="46"/>
  <c r="BV65" i="46"/>
  <c r="BU65" i="46"/>
  <c r="I136" i="49"/>
  <c r="BY342" i="46"/>
  <c r="BZ342" i="46"/>
  <c r="CA342" i="46"/>
  <c r="BV342" i="46"/>
  <c r="BU342" i="46"/>
  <c r="BV356" i="46"/>
  <c r="BY356" i="46"/>
  <c r="BU356" i="46"/>
  <c r="BZ356" i="46"/>
  <c r="CA356" i="46"/>
  <c r="I175" i="49"/>
  <c r="BY186" i="46"/>
  <c r="BZ186" i="46"/>
  <c r="CA186" i="46"/>
  <c r="BU186" i="46"/>
  <c r="BV186" i="46"/>
  <c r="I485" i="49"/>
  <c r="CA570" i="46"/>
  <c r="BY570" i="46"/>
  <c r="BZ570" i="46"/>
  <c r="BU570" i="46"/>
  <c r="BV570" i="46"/>
  <c r="R582" i="46"/>
  <c r="R584" i="46"/>
  <c r="BY381" i="46"/>
  <c r="BZ381" i="46"/>
  <c r="CA381" i="46"/>
  <c r="I299" i="49"/>
  <c r="BZ346" i="46"/>
  <c r="CA346" i="46"/>
  <c r="BY346" i="46"/>
  <c r="BV346" i="46"/>
  <c r="BU346" i="46"/>
  <c r="I186" i="49"/>
  <c r="BY258" i="46"/>
  <c r="BZ258" i="46"/>
  <c r="CA258" i="46"/>
  <c r="BU258" i="46"/>
  <c r="BV258" i="46"/>
  <c r="I146" i="49"/>
  <c r="CA194" i="46"/>
  <c r="BY194" i="46"/>
  <c r="BZ194" i="46"/>
  <c r="BU194" i="46"/>
  <c r="BV194" i="46"/>
  <c r="I179" i="49"/>
  <c r="BY261" i="46"/>
  <c r="BZ261" i="46"/>
  <c r="CA261" i="46"/>
  <c r="BU261" i="46"/>
  <c r="BV261" i="46"/>
  <c r="I154" i="49"/>
  <c r="CA235" i="46"/>
  <c r="BY235" i="46"/>
  <c r="BZ235" i="46"/>
  <c r="BU235" i="46"/>
  <c r="BV235" i="46"/>
  <c r="I346" i="49"/>
  <c r="BY211" i="46"/>
  <c r="BZ211" i="46"/>
  <c r="CA211" i="46"/>
  <c r="BU211" i="46"/>
  <c r="BV211" i="46"/>
  <c r="I294" i="49"/>
  <c r="CA315" i="46"/>
  <c r="BY315" i="46"/>
  <c r="BZ315" i="46"/>
  <c r="BU315" i="46"/>
  <c r="BV315" i="46"/>
  <c r="I226" i="49"/>
  <c r="CA224" i="46"/>
  <c r="BY224" i="46"/>
  <c r="BZ224" i="46"/>
  <c r="BU224" i="46"/>
  <c r="BV224" i="46"/>
  <c r="I305" i="49"/>
  <c r="BY250" i="46"/>
  <c r="BZ250" i="46"/>
  <c r="CA250" i="46"/>
  <c r="BU250" i="46"/>
  <c r="BV250" i="46"/>
  <c r="I304" i="49"/>
  <c r="BY185" i="46"/>
  <c r="BZ185" i="46"/>
  <c r="CA185" i="46"/>
  <c r="BU185" i="46"/>
  <c r="BV185" i="46"/>
  <c r="I165" i="49"/>
  <c r="BY292" i="46"/>
  <c r="BZ292" i="46"/>
  <c r="CA292" i="46"/>
  <c r="BU292" i="46"/>
  <c r="BV292" i="46"/>
  <c r="I312" i="49"/>
  <c r="BY278" i="46"/>
  <c r="BZ278" i="46"/>
  <c r="CA278" i="46"/>
  <c r="BU278" i="46"/>
  <c r="BV278" i="46"/>
  <c r="I142" i="49"/>
  <c r="CA348" i="46"/>
  <c r="BY348" i="46"/>
  <c r="BZ348" i="46"/>
  <c r="BV348" i="46"/>
  <c r="BU348" i="46"/>
  <c r="I309" i="49"/>
  <c r="BY337" i="46"/>
  <c r="BZ337" i="46"/>
  <c r="CA337" i="46"/>
  <c r="BU337" i="46"/>
  <c r="BV337" i="46"/>
  <c r="I212" i="49"/>
  <c r="BY273" i="46"/>
  <c r="BZ273" i="46"/>
  <c r="CA273" i="46"/>
  <c r="BU273" i="46"/>
  <c r="BV273" i="46"/>
  <c r="I190" i="49"/>
  <c r="BY226" i="46"/>
  <c r="BZ226" i="46"/>
  <c r="CA226" i="46"/>
  <c r="BU226" i="46"/>
  <c r="BV226" i="46"/>
  <c r="I231" i="49"/>
  <c r="BZ189" i="46"/>
  <c r="CA189" i="46"/>
  <c r="BY189" i="46"/>
  <c r="BU189" i="46"/>
  <c r="BV189" i="46"/>
  <c r="I427" i="49"/>
  <c r="BY496" i="46"/>
  <c r="BZ496" i="46"/>
  <c r="CA496" i="46"/>
  <c r="BU496" i="46"/>
  <c r="BV496" i="46"/>
  <c r="I219" i="49"/>
  <c r="BZ193" i="46"/>
  <c r="CA193" i="46"/>
  <c r="BY193" i="46"/>
  <c r="BU193" i="46"/>
  <c r="BV193" i="46"/>
  <c r="I366" i="49"/>
  <c r="BY433" i="46"/>
  <c r="BZ433" i="46"/>
  <c r="CA433" i="46"/>
  <c r="BU433" i="46"/>
  <c r="BV433" i="46"/>
  <c r="I329" i="49"/>
  <c r="BZ380" i="46"/>
  <c r="CA380" i="46"/>
  <c r="BY380" i="46"/>
  <c r="I187" i="49"/>
  <c r="BY264" i="46"/>
  <c r="BZ264" i="46"/>
  <c r="CA264" i="46"/>
  <c r="BU264" i="46"/>
  <c r="BV264" i="46"/>
  <c r="I227" i="49"/>
  <c r="BZ338" i="46"/>
  <c r="CA338" i="46"/>
  <c r="BY338" i="46"/>
  <c r="BV338" i="46"/>
  <c r="BU338" i="46"/>
  <c r="I239" i="49"/>
  <c r="BZ318" i="46"/>
  <c r="CA318" i="46"/>
  <c r="BY318" i="46"/>
  <c r="BV318" i="46"/>
  <c r="BU318" i="46"/>
  <c r="I237" i="49"/>
  <c r="BY249" i="46"/>
  <c r="BZ249" i="46"/>
  <c r="CA249" i="46"/>
  <c r="BU249" i="46"/>
  <c r="BV249" i="46"/>
  <c r="I267" i="49"/>
  <c r="BZ301" i="46"/>
  <c r="CA301" i="46"/>
  <c r="BY301" i="46"/>
  <c r="BU301" i="46"/>
  <c r="BV301" i="46"/>
  <c r="I188" i="49"/>
  <c r="CA265" i="46"/>
  <c r="BY265" i="46"/>
  <c r="BZ265" i="46"/>
  <c r="BU265" i="46"/>
  <c r="BV265" i="46"/>
  <c r="I283" i="49"/>
  <c r="BZ182" i="46"/>
  <c r="CA182" i="46"/>
  <c r="BY182" i="46"/>
  <c r="BU182" i="46"/>
  <c r="BV182" i="46"/>
  <c r="I287" i="49"/>
  <c r="BZ184" i="46"/>
  <c r="CA184" i="46"/>
  <c r="BY184" i="46"/>
  <c r="BU184" i="46"/>
  <c r="BV184" i="46"/>
  <c r="I253" i="49"/>
  <c r="BY284" i="46"/>
  <c r="BZ284" i="46"/>
  <c r="CA284" i="46"/>
  <c r="BU284" i="46"/>
  <c r="BV284" i="46"/>
  <c r="I279" i="49"/>
  <c r="BZ324" i="46"/>
  <c r="CA324" i="46"/>
  <c r="BY324" i="46"/>
  <c r="BV324" i="46"/>
  <c r="BU324" i="46"/>
  <c r="I166" i="49"/>
  <c r="CA293" i="46"/>
  <c r="BY293" i="46"/>
  <c r="BZ293" i="46"/>
  <c r="BU293" i="46"/>
  <c r="BV293" i="46"/>
  <c r="I276" i="49"/>
  <c r="BY269" i="46"/>
  <c r="BZ269" i="46"/>
  <c r="CA269" i="46"/>
  <c r="BU269" i="46"/>
  <c r="BV269" i="46"/>
  <c r="I300" i="49"/>
  <c r="BY219" i="46"/>
  <c r="BZ219" i="46"/>
  <c r="CA219" i="46"/>
  <c r="BU219" i="46"/>
  <c r="BV219" i="46"/>
  <c r="I238" i="49"/>
  <c r="CA243" i="46"/>
  <c r="BY243" i="46"/>
  <c r="BZ243" i="46"/>
  <c r="BU243" i="46"/>
  <c r="BV243" i="46"/>
  <c r="AD95" i="46"/>
  <c r="AH95" i="46"/>
  <c r="BU95" i="46"/>
  <c r="AE95" i="46"/>
  <c r="AI95" i="46"/>
  <c r="BY95" i="46"/>
  <c r="BZ95" i="46"/>
  <c r="BV95" i="46"/>
  <c r="CA95" i="46"/>
  <c r="I402" i="49"/>
  <c r="BY430" i="46"/>
  <c r="BZ430" i="46"/>
  <c r="CA430" i="46"/>
  <c r="BU430" i="46"/>
  <c r="BV430" i="46"/>
  <c r="I348" i="49"/>
  <c r="BZ447" i="46"/>
  <c r="CA447" i="46"/>
  <c r="BY447" i="46"/>
  <c r="BU447" i="46"/>
  <c r="BV447" i="46"/>
  <c r="BY17" i="46"/>
  <c r="BZ17" i="46"/>
  <c r="BU17" i="46"/>
  <c r="BV17" i="46"/>
  <c r="CA17" i="46"/>
  <c r="I328" i="49"/>
  <c r="CA374" i="46"/>
  <c r="BY374" i="46"/>
  <c r="BZ374" i="46"/>
  <c r="I172" i="49"/>
  <c r="BY196" i="46"/>
  <c r="BZ196" i="46"/>
  <c r="CA196" i="46"/>
  <c r="BU196" i="46"/>
  <c r="BV196" i="46"/>
  <c r="I170" i="49"/>
  <c r="CA229" i="46"/>
  <c r="BY229" i="46"/>
  <c r="BZ229" i="46"/>
  <c r="BU229" i="46"/>
  <c r="BV229" i="46"/>
  <c r="I271" i="49"/>
  <c r="BZ313" i="46"/>
  <c r="CA313" i="46"/>
  <c r="BY313" i="46"/>
  <c r="BU313" i="46"/>
  <c r="BV313" i="46"/>
  <c r="I149" i="49"/>
  <c r="BY271" i="46"/>
  <c r="BZ271" i="46"/>
  <c r="CA271" i="46"/>
  <c r="BU271" i="46"/>
  <c r="BV271" i="46"/>
  <c r="I262" i="49"/>
  <c r="CA316" i="46"/>
  <c r="BY316" i="46"/>
  <c r="BZ316" i="46"/>
  <c r="BV316" i="46"/>
  <c r="BU316" i="46"/>
  <c r="I297" i="49"/>
  <c r="BY230" i="46"/>
  <c r="BZ230" i="46"/>
  <c r="CA230" i="46"/>
  <c r="BU230" i="46"/>
  <c r="BV230" i="46"/>
  <c r="I76" i="49"/>
  <c r="BY298" i="46"/>
  <c r="BZ298" i="46"/>
  <c r="CA298" i="46"/>
  <c r="BU298" i="46"/>
  <c r="BV298" i="46"/>
  <c r="I378" i="49"/>
  <c r="BY443" i="46"/>
  <c r="BZ443" i="46"/>
  <c r="CA443" i="46"/>
  <c r="BU443" i="46"/>
  <c r="BV443" i="46"/>
  <c r="I181" i="49"/>
  <c r="BZ260" i="46"/>
  <c r="CA260" i="46"/>
  <c r="BY260" i="46"/>
  <c r="BU260" i="46"/>
  <c r="BV260" i="46"/>
  <c r="I157" i="49"/>
  <c r="BY351" i="46"/>
  <c r="BZ351" i="46"/>
  <c r="CA351" i="46"/>
  <c r="BU351" i="46"/>
  <c r="BV351" i="46"/>
  <c r="I132" i="49"/>
  <c r="BY285" i="46"/>
  <c r="BZ285" i="46"/>
  <c r="CA285" i="46"/>
  <c r="BU285" i="46"/>
  <c r="BV285" i="46"/>
  <c r="I201" i="49"/>
  <c r="BZ305" i="46"/>
  <c r="CA305" i="46"/>
  <c r="BY305" i="46"/>
  <c r="BU305" i="46"/>
  <c r="BV305" i="46"/>
  <c r="I247" i="49"/>
  <c r="BZ231" i="46"/>
  <c r="CA231" i="46"/>
  <c r="BY231" i="46"/>
  <c r="BU231" i="46"/>
  <c r="BV231" i="46"/>
  <c r="I194" i="49"/>
  <c r="BY263" i="46"/>
  <c r="BZ263" i="46"/>
  <c r="CA263" i="46"/>
  <c r="BU263" i="46"/>
  <c r="BV263" i="46"/>
  <c r="I425" i="49"/>
  <c r="BZ490" i="46"/>
  <c r="CA490" i="46"/>
  <c r="BU490" i="46"/>
  <c r="BV490" i="46"/>
  <c r="BY490" i="46"/>
  <c r="I266" i="49"/>
  <c r="CA314" i="46"/>
  <c r="BY314" i="46"/>
  <c r="BZ314" i="46"/>
  <c r="BV314" i="46"/>
  <c r="BU314" i="46"/>
  <c r="I192" i="49"/>
  <c r="CA222" i="46"/>
  <c r="BY222" i="46"/>
  <c r="BZ222" i="46"/>
  <c r="BU222" i="46"/>
  <c r="BV222" i="46"/>
  <c r="I395" i="49"/>
  <c r="BY456" i="46"/>
  <c r="BZ456" i="46"/>
  <c r="CA456" i="46"/>
  <c r="BU456" i="46"/>
  <c r="BV456" i="46"/>
  <c r="I280" i="49"/>
  <c r="BY312" i="46"/>
  <c r="BZ312" i="46"/>
  <c r="CA312" i="46"/>
  <c r="BV312" i="46"/>
  <c r="BU312" i="46"/>
  <c r="I288" i="49"/>
  <c r="BY280" i="46"/>
  <c r="BZ280" i="46"/>
  <c r="CA280" i="46"/>
  <c r="BU280" i="46"/>
  <c r="BV280" i="46"/>
  <c r="I158" i="49"/>
  <c r="CA354" i="46"/>
  <c r="BY354" i="46"/>
  <c r="BZ354" i="46"/>
  <c r="BV354" i="46"/>
  <c r="BU354" i="46"/>
  <c r="I199" i="49"/>
  <c r="BY266" i="46"/>
  <c r="BZ266" i="46"/>
  <c r="CA266" i="46"/>
  <c r="BU266" i="46"/>
  <c r="BV266" i="46"/>
  <c r="I214" i="49"/>
  <c r="CA277" i="46"/>
  <c r="BY277" i="46"/>
  <c r="BZ277" i="46"/>
  <c r="CB277" i="46"/>
  <c r="N214" i="49"/>
  <c r="BU277" i="46"/>
  <c r="BV277" i="46"/>
  <c r="I171" i="49"/>
  <c r="BZ190" i="46"/>
  <c r="CA190" i="46"/>
  <c r="BY190" i="46"/>
  <c r="BU190" i="46"/>
  <c r="BV190" i="46"/>
  <c r="I184" i="49"/>
  <c r="CA259" i="46"/>
  <c r="BY259" i="46"/>
  <c r="BZ259" i="46"/>
  <c r="BU259" i="46"/>
  <c r="BV259" i="46"/>
  <c r="I137" i="49"/>
  <c r="BY201" i="46"/>
  <c r="BZ201" i="46"/>
  <c r="CA201" i="46"/>
  <c r="BU201" i="46"/>
  <c r="BV201" i="46"/>
  <c r="I275" i="49"/>
  <c r="BZ339" i="46"/>
  <c r="CA339" i="46"/>
  <c r="BY339" i="46"/>
  <c r="BU339" i="46"/>
  <c r="BV339" i="46"/>
  <c r="I284" i="49"/>
  <c r="BY183" i="46"/>
  <c r="BZ183" i="46"/>
  <c r="CA183" i="46"/>
  <c r="BU183" i="46"/>
  <c r="BV183" i="46"/>
  <c r="I63" i="49"/>
  <c r="CA94" i="46"/>
  <c r="BY94" i="46"/>
  <c r="BZ94" i="46"/>
  <c r="BV94" i="46"/>
  <c r="BU94" i="46"/>
  <c r="I393" i="49"/>
  <c r="BZ440" i="46"/>
  <c r="CA440" i="46"/>
  <c r="BY440" i="46"/>
  <c r="BU440" i="46"/>
  <c r="BV440" i="46"/>
  <c r="I365" i="49"/>
  <c r="BZ457" i="46"/>
  <c r="CA457" i="46"/>
  <c r="BY457" i="46"/>
  <c r="BU457" i="46"/>
  <c r="BV457" i="46"/>
  <c r="BU573" i="46"/>
  <c r="BV573" i="46"/>
  <c r="BY573" i="46"/>
  <c r="BZ573" i="46"/>
  <c r="CA573" i="46"/>
  <c r="I163" i="49"/>
  <c r="BZ252" i="46"/>
  <c r="CA252" i="46"/>
  <c r="BY252" i="46"/>
  <c r="BU252" i="46"/>
  <c r="BV252" i="46"/>
  <c r="I151" i="49"/>
  <c r="BZ270" i="46"/>
  <c r="CA270" i="46"/>
  <c r="BY270" i="46"/>
  <c r="BU270" i="46"/>
  <c r="BV270" i="46"/>
  <c r="I215" i="49"/>
  <c r="BZ223" i="46"/>
  <c r="CA223" i="46"/>
  <c r="BY223" i="46"/>
  <c r="BU223" i="46"/>
  <c r="BV223" i="46"/>
  <c r="I298" i="49"/>
  <c r="CA205" i="46"/>
  <c r="BY205" i="46"/>
  <c r="BZ205" i="46"/>
  <c r="BU205" i="46"/>
  <c r="BV205" i="46"/>
  <c r="I221" i="49"/>
  <c r="BY335" i="46"/>
  <c r="BZ335" i="46"/>
  <c r="CA335" i="46"/>
  <c r="BU335" i="46"/>
  <c r="BV335" i="46"/>
  <c r="I291" i="49"/>
  <c r="BZ188" i="46"/>
  <c r="CA188" i="46"/>
  <c r="BY188" i="46"/>
  <c r="BU188" i="46"/>
  <c r="BV188" i="46"/>
  <c r="I293" i="49"/>
  <c r="BY331" i="46"/>
  <c r="BZ331" i="46"/>
  <c r="CA331" i="46"/>
  <c r="BU331" i="46"/>
  <c r="BV331" i="46"/>
  <c r="I248" i="49"/>
  <c r="BY300" i="46"/>
  <c r="BZ300" i="46"/>
  <c r="CA300" i="46"/>
  <c r="BV300" i="46"/>
  <c r="BU300" i="46"/>
  <c r="I394" i="49"/>
  <c r="BY453" i="46"/>
  <c r="BZ453" i="46"/>
  <c r="CA453" i="46"/>
  <c r="BU453" i="46"/>
  <c r="BV453" i="46"/>
  <c r="I375" i="49"/>
  <c r="BY436" i="46"/>
  <c r="BZ436" i="46"/>
  <c r="CA436" i="46"/>
  <c r="BU436" i="46"/>
  <c r="BV436" i="46"/>
  <c r="I367" i="49"/>
  <c r="BY454" i="46"/>
  <c r="BZ454" i="46"/>
  <c r="CA454" i="46"/>
  <c r="BU454" i="46"/>
  <c r="BV454" i="46"/>
  <c r="I145" i="49"/>
  <c r="BY344" i="46"/>
  <c r="BZ344" i="46"/>
  <c r="CA344" i="46"/>
  <c r="BV344" i="46"/>
  <c r="BU344" i="46"/>
  <c r="I224" i="49"/>
  <c r="BY247" i="46"/>
  <c r="BZ247" i="46"/>
  <c r="CA247" i="46"/>
  <c r="BU247" i="46"/>
  <c r="BV247" i="46"/>
  <c r="I257" i="49"/>
  <c r="BY217" i="46"/>
  <c r="BZ217" i="46"/>
  <c r="CA217" i="46"/>
  <c r="BU217" i="46"/>
  <c r="BV217" i="46"/>
  <c r="I225" i="49"/>
  <c r="BY207" i="46"/>
  <c r="BZ207" i="46"/>
  <c r="CA207" i="46"/>
  <c r="BU207" i="46"/>
  <c r="BV207" i="46"/>
  <c r="I380" i="49"/>
  <c r="CA428" i="46"/>
  <c r="BY428" i="46"/>
  <c r="BZ428" i="46"/>
  <c r="BU428" i="46"/>
  <c r="BV428" i="46"/>
  <c r="I401" i="49"/>
  <c r="BZ449" i="46"/>
  <c r="CA449" i="46"/>
  <c r="BY449" i="46"/>
  <c r="BU449" i="46"/>
  <c r="BV449" i="46"/>
  <c r="I398" i="49"/>
  <c r="BY432" i="46"/>
  <c r="BZ432" i="46"/>
  <c r="CA432" i="46"/>
  <c r="BU432" i="46"/>
  <c r="BV432" i="46"/>
  <c r="I155" i="49"/>
  <c r="BZ200" i="46"/>
  <c r="CA200" i="46"/>
  <c r="BY200" i="46"/>
  <c r="BU200" i="46"/>
  <c r="BV200" i="46"/>
  <c r="I182" i="49"/>
  <c r="BY214" i="46"/>
  <c r="BZ214" i="46"/>
  <c r="CA214" i="46"/>
  <c r="BU214" i="46"/>
  <c r="BV214" i="46"/>
  <c r="I185" i="49"/>
  <c r="BZ253" i="46"/>
  <c r="CA253" i="46"/>
  <c r="BY253" i="46"/>
  <c r="BU253" i="46"/>
  <c r="BV253" i="46"/>
  <c r="I161" i="49"/>
  <c r="BY355" i="46"/>
  <c r="BZ355" i="46"/>
  <c r="CA355" i="46"/>
  <c r="BU355" i="46"/>
  <c r="BV355" i="46"/>
  <c r="I307" i="49"/>
  <c r="BZ203" i="46"/>
  <c r="CA203" i="46"/>
  <c r="BY203" i="46"/>
  <c r="BU203" i="46"/>
  <c r="BV203" i="46"/>
  <c r="I195" i="49"/>
  <c r="BY347" i="46"/>
  <c r="BZ347" i="46"/>
  <c r="CA347" i="46"/>
  <c r="BU347" i="46"/>
  <c r="BV347" i="46"/>
  <c r="I390" i="49"/>
  <c r="BY425" i="46"/>
  <c r="BZ425" i="46"/>
  <c r="CA425" i="46"/>
  <c r="BU425" i="46"/>
  <c r="BV425" i="46"/>
  <c r="I62" i="49"/>
  <c r="BY80" i="46"/>
  <c r="BZ80" i="46"/>
  <c r="CA80" i="46"/>
  <c r="BU80" i="46"/>
  <c r="BV80" i="46"/>
  <c r="I191" i="49"/>
  <c r="BY202" i="46"/>
  <c r="BZ202" i="46"/>
  <c r="CA202" i="46"/>
  <c r="BU202" i="46"/>
  <c r="BV202" i="46"/>
  <c r="I270" i="49"/>
  <c r="CA239" i="46"/>
  <c r="BY239" i="46"/>
  <c r="BZ239" i="46"/>
  <c r="BU239" i="46"/>
  <c r="BV239" i="46"/>
  <c r="I207" i="49"/>
  <c r="BZ343" i="46"/>
  <c r="CA343" i="46"/>
  <c r="BY343" i="46"/>
  <c r="BU343" i="46"/>
  <c r="BV343" i="46"/>
  <c r="I168" i="49"/>
  <c r="BY287" i="46"/>
  <c r="BZ287" i="46"/>
  <c r="CA287" i="46"/>
  <c r="BU287" i="46"/>
  <c r="BV287" i="46"/>
  <c r="I153" i="49"/>
  <c r="BY491" i="46"/>
  <c r="BZ491" i="46"/>
  <c r="CA491" i="46"/>
  <c r="BU491" i="46"/>
  <c r="BV491" i="46"/>
  <c r="I235" i="49"/>
  <c r="BZ236" i="46"/>
  <c r="CA236" i="46"/>
  <c r="BY236" i="46"/>
  <c r="BU236" i="46"/>
  <c r="BV236" i="46"/>
  <c r="I399" i="49"/>
  <c r="BY426" i="46"/>
  <c r="BZ426" i="46"/>
  <c r="CA426" i="46"/>
  <c r="BU426" i="46"/>
  <c r="BV426" i="46"/>
  <c r="I372" i="49"/>
  <c r="CA446" i="46"/>
  <c r="BY446" i="46"/>
  <c r="BZ446" i="46"/>
  <c r="BU446" i="46"/>
  <c r="BV446" i="46"/>
  <c r="I379" i="49"/>
  <c r="BY445" i="46"/>
  <c r="BZ445" i="46"/>
  <c r="CA445" i="46"/>
  <c r="BU445" i="46"/>
  <c r="BV445" i="46"/>
  <c r="I274" i="49"/>
  <c r="CA234" i="46"/>
  <c r="BY234" i="46"/>
  <c r="BZ234" i="46"/>
  <c r="BU234" i="46"/>
  <c r="BV234" i="46"/>
  <c r="BV81" i="46"/>
  <c r="BY81" i="46"/>
  <c r="BU81" i="46"/>
  <c r="BZ81" i="46"/>
  <c r="CA81" i="46"/>
  <c r="I331" i="49"/>
  <c r="BY378" i="46"/>
  <c r="BZ378" i="46"/>
  <c r="CA378" i="46"/>
  <c r="I249" i="49"/>
  <c r="BY206" i="46"/>
  <c r="BZ206" i="46"/>
  <c r="CA206" i="46"/>
  <c r="BU206" i="46"/>
  <c r="BV206" i="46"/>
  <c r="I273" i="49"/>
  <c r="BY233" i="46"/>
  <c r="BZ233" i="46"/>
  <c r="CA233" i="46"/>
  <c r="BU233" i="46"/>
  <c r="BV233" i="46"/>
  <c r="I148" i="49"/>
  <c r="BY289" i="46"/>
  <c r="BZ289" i="46"/>
  <c r="CA289" i="46"/>
  <c r="BU289" i="46"/>
  <c r="BV289" i="46"/>
  <c r="I255" i="49"/>
  <c r="BZ279" i="46"/>
  <c r="CA279" i="46"/>
  <c r="BY279" i="46"/>
  <c r="BU279" i="46"/>
  <c r="BV279" i="46"/>
  <c r="S49" i="46"/>
  <c r="T44" i="46"/>
  <c r="BT44" i="46"/>
  <c r="T46" i="46"/>
  <c r="BT46" i="46"/>
  <c r="T103" i="46"/>
  <c r="BT103" i="46"/>
  <c r="BT382" i="46"/>
  <c r="I197" i="49"/>
  <c r="AD323" i="46"/>
  <c r="AH323" i="46"/>
  <c r="BU323" i="46"/>
  <c r="BY323" i="46"/>
  <c r="BV323" i="46"/>
  <c r="BZ323" i="46"/>
  <c r="CA323" i="46"/>
  <c r="J308" i="49"/>
  <c r="AE197" i="46"/>
  <c r="AI197" i="46"/>
  <c r="Q308" i="49"/>
  <c r="AY308" i="49"/>
  <c r="CB197" i="46"/>
  <c r="N308" i="49"/>
  <c r="AC308" i="49"/>
  <c r="T110" i="46"/>
  <c r="BT110" i="46"/>
  <c r="BY105" i="46"/>
  <c r="BZ105" i="46"/>
  <c r="CA105" i="46"/>
  <c r="BT574" i="46"/>
  <c r="Q563" i="46"/>
  <c r="S563" i="46"/>
  <c r="Q562" i="46"/>
  <c r="S562" i="46"/>
  <c r="Q566" i="46"/>
  <c r="S566" i="46"/>
  <c r="Q560" i="46"/>
  <c r="S560" i="46"/>
  <c r="Q565" i="46"/>
  <c r="S565" i="46"/>
  <c r="Q564" i="46"/>
  <c r="S564" i="46"/>
  <c r="Q568" i="46"/>
  <c r="S568" i="46"/>
  <c r="Q567" i="46"/>
  <c r="S567" i="46"/>
  <c r="Q561" i="46"/>
  <c r="S561" i="46"/>
  <c r="K223" i="49"/>
  <c r="BW246" i="46"/>
  <c r="BT82" i="46"/>
  <c r="Q73" i="46"/>
  <c r="S73" i="46"/>
  <c r="Q71" i="46"/>
  <c r="S71" i="46"/>
  <c r="Q76" i="46"/>
  <c r="S76" i="46"/>
  <c r="Q75" i="46"/>
  <c r="S75" i="46"/>
  <c r="Q77" i="46"/>
  <c r="S77" i="46"/>
  <c r="Q74" i="46"/>
  <c r="S74" i="46"/>
  <c r="Q78" i="46"/>
  <c r="S78" i="46"/>
  <c r="Q72" i="46"/>
  <c r="S72" i="46"/>
  <c r="BT67" i="46"/>
  <c r="Q54" i="46"/>
  <c r="S54" i="46"/>
  <c r="Q60" i="46"/>
  <c r="S60" i="46"/>
  <c r="Q59" i="46"/>
  <c r="S59" i="46"/>
  <c r="Q58" i="46"/>
  <c r="S58" i="46"/>
  <c r="Q57" i="46"/>
  <c r="S57" i="46"/>
  <c r="Q55" i="46"/>
  <c r="S55" i="46"/>
  <c r="Q53" i="46"/>
  <c r="S53" i="46"/>
  <c r="Q56" i="46"/>
  <c r="S56" i="46"/>
  <c r="BT512" i="46"/>
  <c r="Q504" i="46"/>
  <c r="S504" i="46"/>
  <c r="Q507" i="46"/>
  <c r="S507" i="46"/>
  <c r="Q506" i="46"/>
  <c r="S506" i="46"/>
  <c r="Q503" i="46"/>
  <c r="S503" i="46"/>
  <c r="Q505" i="46"/>
  <c r="S505" i="46"/>
  <c r="Q508" i="46"/>
  <c r="S508" i="46"/>
  <c r="T540" i="46"/>
  <c r="BT540" i="46"/>
  <c r="T550" i="46"/>
  <c r="BT550" i="46"/>
  <c r="T541" i="46"/>
  <c r="BT541" i="46"/>
  <c r="T549" i="46"/>
  <c r="BT549" i="46"/>
  <c r="J245" i="49"/>
  <c r="AD75" i="49"/>
  <c r="AC75" i="49"/>
  <c r="J236" i="49"/>
  <c r="AE191" i="46"/>
  <c r="AI191" i="46"/>
  <c r="Q236" i="49"/>
  <c r="AY236" i="49"/>
  <c r="V607" i="46"/>
  <c r="V2" i="46"/>
  <c r="BT402" i="46"/>
  <c r="Q388" i="46"/>
  <c r="S388" i="46"/>
  <c r="Q391" i="46"/>
  <c r="S391" i="46"/>
  <c r="Q390" i="46"/>
  <c r="S390" i="46"/>
  <c r="Q387" i="46"/>
  <c r="S387" i="46"/>
  <c r="Q396" i="46"/>
  <c r="S396" i="46"/>
  <c r="Q389" i="46"/>
  <c r="S389" i="46"/>
  <c r="Q386" i="46"/>
  <c r="S386" i="46"/>
  <c r="Q394" i="46"/>
  <c r="S394" i="46"/>
  <c r="Q392" i="46"/>
  <c r="S392" i="46"/>
  <c r="Q393" i="46"/>
  <c r="S393" i="46"/>
  <c r="Q395" i="46"/>
  <c r="S395" i="46"/>
  <c r="T45" i="46"/>
  <c r="BT45" i="46"/>
  <c r="I230" i="49"/>
  <c r="CA240" i="46"/>
  <c r="BY240" i="46"/>
  <c r="BZ240" i="46"/>
  <c r="BU240" i="46"/>
  <c r="BV240" i="46"/>
  <c r="BT18" i="46"/>
  <c r="Q15" i="46"/>
  <c r="S15" i="46"/>
  <c r="Q16" i="46"/>
  <c r="S16" i="46"/>
  <c r="Q14" i="46"/>
  <c r="S14" i="46"/>
  <c r="Q9" i="46"/>
  <c r="S9" i="46"/>
  <c r="Q7" i="46"/>
  <c r="S7" i="46"/>
  <c r="Q11" i="46"/>
  <c r="S11" i="46"/>
  <c r="Q12" i="46"/>
  <c r="S12" i="46"/>
  <c r="Q8" i="46"/>
  <c r="S8" i="46"/>
  <c r="Q13" i="46"/>
  <c r="S13" i="46"/>
  <c r="Q10" i="46"/>
  <c r="S10" i="46"/>
  <c r="Q6" i="46"/>
  <c r="S6" i="46"/>
  <c r="I269" i="49"/>
  <c r="BY212" i="46"/>
  <c r="BZ212" i="46"/>
  <c r="CA212" i="46"/>
  <c r="BU212" i="46"/>
  <c r="BV212" i="46"/>
  <c r="I241" i="49"/>
  <c r="BY272" i="46"/>
  <c r="BZ272" i="46"/>
  <c r="CA272" i="46"/>
  <c r="BU272" i="46"/>
  <c r="BV272" i="46"/>
  <c r="I189" i="49"/>
  <c r="BZ330" i="46"/>
  <c r="CA330" i="46"/>
  <c r="BY330" i="46"/>
  <c r="BV330" i="46"/>
  <c r="BU330" i="46"/>
  <c r="I422" i="49"/>
  <c r="BY488" i="46"/>
  <c r="BZ488" i="46"/>
  <c r="CA488" i="46"/>
  <c r="BU488" i="46"/>
  <c r="BV488" i="46"/>
  <c r="I258" i="49"/>
  <c r="CA248" i="46"/>
  <c r="BY248" i="46"/>
  <c r="BZ248" i="46"/>
  <c r="BU248" i="46"/>
  <c r="BV248" i="46"/>
  <c r="X2" i="46"/>
  <c r="X607" i="46"/>
  <c r="I143" i="49"/>
  <c r="BZ228" i="46"/>
  <c r="CA228" i="46"/>
  <c r="BY228" i="46"/>
  <c r="BU228" i="46"/>
  <c r="BV228" i="46"/>
  <c r="I391" i="49"/>
  <c r="BY460" i="46"/>
  <c r="BZ460" i="46"/>
  <c r="CA460" i="46"/>
  <c r="BU460" i="46"/>
  <c r="BV460" i="46"/>
  <c r="I486" i="49"/>
  <c r="BZ572" i="46"/>
  <c r="CA572" i="46"/>
  <c r="BY572" i="46"/>
  <c r="BU572" i="46"/>
  <c r="BV572" i="46"/>
  <c r="BY116" i="46"/>
  <c r="BZ116" i="46"/>
  <c r="CA116" i="46"/>
  <c r="I71" i="49"/>
  <c r="BY93" i="46"/>
  <c r="BZ93" i="46"/>
  <c r="CA93" i="46"/>
  <c r="BV93" i="46"/>
  <c r="BU93" i="46"/>
  <c r="AD511" i="46"/>
  <c r="AH511" i="46"/>
  <c r="BU511" i="46"/>
  <c r="AE511" i="46"/>
  <c r="AI511" i="46"/>
  <c r="BV511" i="46"/>
  <c r="BY511" i="46"/>
  <c r="BZ511" i="46"/>
  <c r="CA511" i="46"/>
  <c r="I385" i="49"/>
  <c r="AD461" i="46"/>
  <c r="AH461" i="46"/>
  <c r="BY461" i="46"/>
  <c r="BU461" i="46"/>
  <c r="BV461" i="46"/>
  <c r="BZ461" i="46"/>
  <c r="CA461" i="46"/>
  <c r="J223" i="49"/>
  <c r="BT499" i="46"/>
  <c r="Q471" i="46"/>
  <c r="S471" i="46"/>
  <c r="Q473" i="46"/>
  <c r="S473" i="46"/>
  <c r="Q477" i="46"/>
  <c r="S477" i="46"/>
  <c r="Q475" i="46"/>
  <c r="S475" i="46"/>
  <c r="Q483" i="46"/>
  <c r="S483" i="46"/>
  <c r="Q479" i="46"/>
  <c r="S479" i="46"/>
  <c r="Q470" i="46"/>
  <c r="S470" i="46"/>
  <c r="Q480" i="46"/>
  <c r="S480" i="46"/>
  <c r="Q482" i="46"/>
  <c r="S482" i="46"/>
  <c r="Q478" i="46"/>
  <c r="S478" i="46"/>
  <c r="Q481" i="46"/>
  <c r="S481" i="46"/>
  <c r="Q469" i="46"/>
  <c r="S469" i="46"/>
  <c r="Q468" i="46"/>
  <c r="S468" i="46"/>
  <c r="Q485" i="46"/>
  <c r="S485" i="46"/>
  <c r="Q484" i="46"/>
  <c r="S484" i="46"/>
  <c r="Q474" i="46"/>
  <c r="S474" i="46"/>
  <c r="Q472" i="46"/>
  <c r="S472" i="46"/>
  <c r="Q476" i="46"/>
  <c r="S476" i="46"/>
  <c r="S117" i="46"/>
  <c r="T542" i="46"/>
  <c r="BT542" i="46"/>
  <c r="S556" i="46"/>
  <c r="T538" i="46"/>
  <c r="BT538" i="46"/>
  <c r="T554" i="46"/>
  <c r="BT554" i="46"/>
  <c r="T551" i="46"/>
  <c r="BT551" i="46"/>
  <c r="T543" i="46"/>
  <c r="BT543" i="46"/>
  <c r="CB115" i="46"/>
  <c r="K75" i="49"/>
  <c r="BW101" i="46"/>
  <c r="AF101" i="46"/>
  <c r="CB104" i="46"/>
  <c r="I430" i="49"/>
  <c r="BY495" i="46"/>
  <c r="BZ495" i="46"/>
  <c r="CA495" i="46"/>
  <c r="BU495" i="46"/>
  <c r="BV495" i="46"/>
  <c r="BY498" i="46"/>
  <c r="BZ498" i="46"/>
  <c r="BU498" i="46"/>
  <c r="BV498" i="46"/>
  <c r="CA498" i="46"/>
  <c r="I344" i="49"/>
  <c r="BZ398" i="46"/>
  <c r="CA398" i="46"/>
  <c r="BY398" i="46"/>
  <c r="BU398" i="46"/>
  <c r="BV398" i="46"/>
  <c r="T47" i="46"/>
  <c r="BT47" i="46"/>
  <c r="I277" i="49"/>
  <c r="BY308" i="46"/>
  <c r="BZ308" i="46"/>
  <c r="CA308" i="46"/>
  <c r="BV308" i="46"/>
  <c r="BU308" i="46"/>
  <c r="I286" i="49"/>
  <c r="CA181" i="46"/>
  <c r="BY181" i="46"/>
  <c r="BZ181" i="46"/>
  <c r="BU181" i="46"/>
  <c r="BV181" i="46"/>
  <c r="I133" i="49"/>
  <c r="BY242" i="46"/>
  <c r="BZ242" i="46"/>
  <c r="CA242" i="46"/>
  <c r="BU242" i="46"/>
  <c r="BV242" i="46"/>
  <c r="I152" i="49"/>
  <c r="BY424" i="46"/>
  <c r="BZ424" i="46"/>
  <c r="CA424" i="46"/>
  <c r="BU424" i="46"/>
  <c r="BV424" i="46"/>
  <c r="I383" i="49"/>
  <c r="BY459" i="46"/>
  <c r="BZ459" i="46"/>
  <c r="CA459" i="46"/>
  <c r="BU459" i="46"/>
  <c r="BV459" i="46"/>
  <c r="I374" i="49"/>
  <c r="BY448" i="46"/>
  <c r="BZ448" i="46"/>
  <c r="CA448" i="46"/>
  <c r="BU448" i="46"/>
  <c r="BV448" i="46"/>
  <c r="I373" i="49"/>
  <c r="BZ441" i="46"/>
  <c r="CA441" i="46"/>
  <c r="BY441" i="46"/>
  <c r="BU441" i="46"/>
  <c r="BV441" i="46"/>
  <c r="I263" i="49"/>
  <c r="BZ179" i="46"/>
  <c r="CA179" i="46"/>
  <c r="BY179" i="46"/>
  <c r="BU179" i="46"/>
  <c r="BV179" i="46"/>
  <c r="BT357" i="46"/>
  <c r="Q161" i="46"/>
  <c r="S161" i="46"/>
  <c r="Q164" i="46"/>
  <c r="S164" i="46"/>
  <c r="Q155" i="46"/>
  <c r="S155" i="46"/>
  <c r="Q154" i="46"/>
  <c r="S154" i="46"/>
  <c r="Q122" i="46"/>
  <c r="S122" i="46"/>
  <c r="Q141" i="46"/>
  <c r="S141" i="46"/>
  <c r="Q160" i="46"/>
  <c r="S160" i="46"/>
  <c r="Q128" i="46"/>
  <c r="S128" i="46"/>
  <c r="Q167" i="46"/>
  <c r="S167" i="46"/>
  <c r="Q135" i="46"/>
  <c r="S135" i="46"/>
  <c r="Q166" i="46"/>
  <c r="S166" i="46"/>
  <c r="Q134" i="46"/>
  <c r="S134" i="46"/>
  <c r="Q169" i="46"/>
  <c r="S169" i="46"/>
  <c r="Q121" i="46"/>
  <c r="S121" i="46"/>
  <c r="Q137" i="46"/>
  <c r="S137" i="46"/>
  <c r="Q172" i="46"/>
  <c r="S172" i="46"/>
  <c r="Q131" i="46"/>
  <c r="S131" i="46"/>
  <c r="Q162" i="46"/>
  <c r="S162" i="46"/>
  <c r="Q130" i="46"/>
  <c r="S130" i="46"/>
  <c r="Q136" i="46"/>
  <c r="S136" i="46"/>
  <c r="Q173" i="46"/>
  <c r="S173" i="46"/>
  <c r="Q158" i="46"/>
  <c r="S158" i="46"/>
  <c r="Q127" i="46"/>
  <c r="S127" i="46"/>
  <c r="Q165" i="46"/>
  <c r="S165" i="46"/>
  <c r="Q147" i="46"/>
  <c r="S147" i="46"/>
  <c r="Q151" i="46"/>
  <c r="S151" i="46"/>
  <c r="Q132" i="46"/>
  <c r="S132" i="46"/>
  <c r="Q145" i="46"/>
  <c r="S145" i="46"/>
  <c r="Q149" i="46"/>
  <c r="S149" i="46"/>
  <c r="Q129" i="46"/>
  <c r="S129" i="46"/>
  <c r="Q133" i="46"/>
  <c r="S133" i="46"/>
  <c r="Q146" i="46"/>
  <c r="S146" i="46"/>
  <c r="Q159" i="46"/>
  <c r="S159" i="46"/>
  <c r="Q120" i="46"/>
  <c r="S120" i="46"/>
  <c r="Q144" i="46"/>
  <c r="S144" i="46"/>
  <c r="Q138" i="46"/>
  <c r="S138" i="46"/>
  <c r="Q123" i="46"/>
  <c r="S123" i="46"/>
  <c r="Q152" i="46"/>
  <c r="S152" i="46"/>
  <c r="Q143" i="46"/>
  <c r="S143" i="46"/>
  <c r="Q163" i="46"/>
  <c r="S163" i="46"/>
  <c r="Q124" i="46"/>
  <c r="S124" i="46"/>
  <c r="Q153" i="46"/>
  <c r="S153" i="46"/>
  <c r="Q139" i="46"/>
  <c r="S139" i="46"/>
  <c r="Q126" i="46"/>
  <c r="S126" i="46"/>
  <c r="Q140" i="46"/>
  <c r="S140" i="46"/>
  <c r="Q150" i="46"/>
  <c r="S150" i="46"/>
  <c r="Q170" i="46"/>
  <c r="S170" i="46"/>
  <c r="Q171" i="46"/>
  <c r="S171" i="46"/>
  <c r="Q142" i="46"/>
  <c r="S142" i="46"/>
  <c r="Q168" i="46"/>
  <c r="S168" i="46"/>
  <c r="Q156" i="46"/>
  <c r="S156" i="46"/>
  <c r="Q125" i="46"/>
  <c r="S125" i="46"/>
  <c r="Q148" i="46"/>
  <c r="S148" i="46"/>
  <c r="Q174" i="46"/>
  <c r="S174" i="46"/>
  <c r="Q157" i="46"/>
  <c r="S157" i="46"/>
  <c r="I208" i="49"/>
  <c r="BY210" i="46"/>
  <c r="BZ210" i="46"/>
  <c r="CA210" i="46"/>
  <c r="BU210" i="46"/>
  <c r="BV210" i="46"/>
  <c r="I217" i="49"/>
  <c r="BY274" i="46"/>
  <c r="BZ274" i="46"/>
  <c r="CA274" i="46"/>
  <c r="BU274" i="46"/>
  <c r="BV274" i="46"/>
  <c r="I233" i="49"/>
  <c r="BY328" i="46"/>
  <c r="BZ328" i="46"/>
  <c r="CA328" i="46"/>
  <c r="BV328" i="46"/>
  <c r="BU328" i="46"/>
  <c r="I278" i="49"/>
  <c r="CA345" i="46"/>
  <c r="BY345" i="46"/>
  <c r="BZ345" i="46"/>
  <c r="BU345" i="46"/>
  <c r="BV345" i="46"/>
  <c r="I205" i="49"/>
  <c r="BY321" i="46"/>
  <c r="BZ321" i="46"/>
  <c r="CA321" i="46"/>
  <c r="BU321" i="46"/>
  <c r="BV321" i="46"/>
  <c r="I169" i="49"/>
  <c r="BY327" i="46"/>
  <c r="BZ327" i="46"/>
  <c r="CA327" i="46"/>
  <c r="BU327" i="46"/>
  <c r="BV327" i="46"/>
  <c r="I290" i="49"/>
  <c r="CA281" i="46"/>
  <c r="BY281" i="46"/>
  <c r="BZ281" i="46"/>
  <c r="BU281" i="46"/>
  <c r="BV281" i="46"/>
  <c r="I301" i="49"/>
  <c r="BY302" i="46"/>
  <c r="BZ302" i="46"/>
  <c r="CA302" i="46"/>
  <c r="BV302" i="46"/>
  <c r="BU302" i="46"/>
  <c r="I144" i="49"/>
  <c r="BY227" i="46"/>
  <c r="BZ227" i="46"/>
  <c r="CA227" i="46"/>
  <c r="BU227" i="46"/>
  <c r="BV227" i="46"/>
  <c r="I289" i="49"/>
  <c r="BY187" i="46"/>
  <c r="BZ187" i="46"/>
  <c r="CA187" i="46"/>
  <c r="BU187" i="46"/>
  <c r="BV187" i="46"/>
  <c r="T114" i="46"/>
  <c r="BT114" i="46"/>
  <c r="W607" i="46"/>
  <c r="W2" i="46"/>
  <c r="S106" i="46"/>
  <c r="T100" i="46"/>
  <c r="BT100" i="46"/>
  <c r="I487" i="49"/>
  <c r="BY571" i="46"/>
  <c r="BZ571" i="46"/>
  <c r="BU571" i="46"/>
  <c r="BV571" i="46"/>
  <c r="CA571" i="46"/>
  <c r="AC223" i="49"/>
  <c r="I52" i="49"/>
  <c r="CA62" i="46"/>
  <c r="BY62" i="46"/>
  <c r="BZ62" i="46"/>
  <c r="BU62" i="46"/>
  <c r="BV62" i="46"/>
  <c r="I306" i="49"/>
  <c r="CA204" i="46"/>
  <c r="BY204" i="46"/>
  <c r="BZ204" i="46"/>
  <c r="BU204" i="46"/>
  <c r="BV204" i="46"/>
  <c r="I259" i="49"/>
  <c r="BZ322" i="46"/>
  <c r="CA322" i="46"/>
  <c r="BY322" i="46"/>
  <c r="BV322" i="46"/>
  <c r="BU322" i="46"/>
  <c r="I311" i="49"/>
  <c r="BZ218" i="46"/>
  <c r="CA218" i="46"/>
  <c r="BY218" i="46"/>
  <c r="BU218" i="46"/>
  <c r="BV218" i="46"/>
  <c r="I282" i="49"/>
  <c r="CA282" i="46"/>
  <c r="BY282" i="46"/>
  <c r="BZ282" i="46"/>
  <c r="BU282" i="46"/>
  <c r="BV282" i="46"/>
  <c r="I216" i="49"/>
  <c r="BY336" i="46"/>
  <c r="BZ336" i="46"/>
  <c r="CA336" i="46"/>
  <c r="BV336" i="46"/>
  <c r="BU336" i="46"/>
  <c r="I159" i="49"/>
  <c r="BZ309" i="46"/>
  <c r="CA309" i="46"/>
  <c r="BY309" i="46"/>
  <c r="BU309" i="46"/>
  <c r="BV309" i="46"/>
  <c r="I229" i="49"/>
  <c r="BY329" i="46"/>
  <c r="BZ329" i="46"/>
  <c r="CA329" i="46"/>
  <c r="BU329" i="46"/>
  <c r="BV329" i="46"/>
  <c r="I292" i="49"/>
  <c r="BY213" i="46"/>
  <c r="BZ213" i="46"/>
  <c r="CA213" i="46"/>
  <c r="BU213" i="46"/>
  <c r="BV213" i="46"/>
  <c r="I260" i="49"/>
  <c r="BY291" i="46"/>
  <c r="BZ291" i="46"/>
  <c r="CA291" i="46"/>
  <c r="BU291" i="46"/>
  <c r="BV291" i="46"/>
  <c r="I310" i="49"/>
  <c r="CA192" i="46"/>
  <c r="BY192" i="46"/>
  <c r="BZ192" i="46"/>
  <c r="BU192" i="46"/>
  <c r="BV192" i="46"/>
  <c r="I243" i="49"/>
  <c r="BZ349" i="46"/>
  <c r="CA349" i="46"/>
  <c r="BY349" i="46"/>
  <c r="BU349" i="46"/>
  <c r="BV349" i="46"/>
  <c r="I134" i="49"/>
  <c r="CA225" i="46"/>
  <c r="BY225" i="46"/>
  <c r="BZ225" i="46"/>
  <c r="BU225" i="46"/>
  <c r="BV225" i="46"/>
  <c r="I492" i="49"/>
  <c r="BY109" i="46"/>
  <c r="BZ109" i="46"/>
  <c r="AD109" i="46"/>
  <c r="BU109" i="46"/>
  <c r="BV109" i="46"/>
  <c r="CA109" i="46"/>
  <c r="I437" i="49"/>
  <c r="BY510" i="46"/>
  <c r="BZ510" i="46"/>
  <c r="CA510" i="46"/>
  <c r="BU510" i="46"/>
  <c r="BV510" i="46"/>
  <c r="T548" i="46"/>
  <c r="BT548" i="46"/>
  <c r="T552" i="46"/>
  <c r="BT552" i="46"/>
  <c r="T553" i="46"/>
  <c r="BT553" i="46"/>
  <c r="T545" i="46"/>
  <c r="BT545" i="46"/>
  <c r="T555" i="46"/>
  <c r="BT555" i="46"/>
  <c r="BW115" i="46"/>
  <c r="AG115" i="46"/>
  <c r="AK115" i="46"/>
  <c r="AF115" i="46"/>
  <c r="AJ115" i="46"/>
  <c r="I494" i="49"/>
  <c r="BY113" i="46"/>
  <c r="BZ113" i="46"/>
  <c r="CA113" i="46"/>
  <c r="BU113" i="46"/>
  <c r="BV113" i="46"/>
  <c r="CB101" i="46"/>
  <c r="N75" i="49"/>
  <c r="K141" i="49"/>
  <c r="BW296" i="46"/>
  <c r="CB296" i="46"/>
  <c r="N141" i="49"/>
  <c r="AC141" i="49"/>
  <c r="T111" i="46"/>
  <c r="BT111" i="46"/>
  <c r="T48" i="46"/>
  <c r="BT48" i="46"/>
  <c r="S578" i="46"/>
  <c r="I222" i="49"/>
  <c r="CA176" i="46"/>
  <c r="BY176" i="46"/>
  <c r="BZ176" i="46"/>
  <c r="BU176" i="46"/>
  <c r="BV176" i="46"/>
  <c r="I177" i="49"/>
  <c r="BZ256" i="46"/>
  <c r="CA256" i="46"/>
  <c r="BY256" i="46"/>
  <c r="BU256" i="46"/>
  <c r="BV256" i="46"/>
  <c r="I232" i="49"/>
  <c r="BY288" i="46"/>
  <c r="BZ288" i="46"/>
  <c r="CA288" i="46"/>
  <c r="BU288" i="46"/>
  <c r="BV288" i="46"/>
  <c r="I426" i="49"/>
  <c r="BY489" i="46"/>
  <c r="BZ489" i="46"/>
  <c r="CA489" i="46"/>
  <c r="BU489" i="46"/>
  <c r="BV489" i="46"/>
  <c r="I429" i="49"/>
  <c r="BZ493" i="46"/>
  <c r="CA493" i="46"/>
  <c r="BY493" i="46"/>
  <c r="BU493" i="46"/>
  <c r="BV493" i="46"/>
  <c r="I347" i="49"/>
  <c r="CA400" i="46"/>
  <c r="BY400" i="46"/>
  <c r="BZ400" i="46"/>
  <c r="BU400" i="46"/>
  <c r="BV400" i="46"/>
  <c r="I384" i="49"/>
  <c r="CA429" i="46"/>
  <c r="BY429" i="46"/>
  <c r="BZ429" i="46"/>
  <c r="BU429" i="46"/>
  <c r="BV429" i="46"/>
  <c r="I392" i="49"/>
  <c r="CA437" i="46"/>
  <c r="BY437" i="46"/>
  <c r="BZ437" i="46"/>
  <c r="BU437" i="46"/>
  <c r="BV437" i="46"/>
  <c r="I396" i="49"/>
  <c r="CA427" i="46"/>
  <c r="BY427" i="46"/>
  <c r="BZ427" i="46"/>
  <c r="BU427" i="46"/>
  <c r="BV427" i="46"/>
  <c r="I397" i="49"/>
  <c r="BZ438" i="46"/>
  <c r="CA438" i="46"/>
  <c r="BY438" i="46"/>
  <c r="BU438" i="46"/>
  <c r="BV438" i="46"/>
  <c r="I369" i="49"/>
  <c r="BZ431" i="46"/>
  <c r="CA431" i="46"/>
  <c r="BY431" i="46"/>
  <c r="BU431" i="46"/>
  <c r="BV431" i="46"/>
  <c r="K308" i="49"/>
  <c r="BW197" i="46"/>
  <c r="I53" i="49"/>
  <c r="BZ63" i="46"/>
  <c r="CA63" i="46"/>
  <c r="BY63" i="46"/>
  <c r="BV63" i="46"/>
  <c r="BU63" i="46"/>
  <c r="I326" i="49"/>
  <c r="BY375" i="46"/>
  <c r="BZ375" i="46"/>
  <c r="CA375" i="46"/>
  <c r="I196" i="49"/>
  <c r="CA216" i="46"/>
  <c r="BY216" i="46"/>
  <c r="BZ216" i="46"/>
  <c r="BU216" i="46"/>
  <c r="BV216" i="46"/>
  <c r="I285" i="49"/>
  <c r="BY276" i="46"/>
  <c r="BZ276" i="46"/>
  <c r="CA276" i="46"/>
  <c r="BU276" i="46"/>
  <c r="BV276" i="46"/>
  <c r="I147" i="49"/>
  <c r="BZ334" i="46"/>
  <c r="CA334" i="46"/>
  <c r="BY334" i="46"/>
  <c r="BV334" i="46"/>
  <c r="BU334" i="46"/>
  <c r="I5" i="49"/>
  <c r="BY198" i="46"/>
  <c r="BZ198" i="46"/>
  <c r="CA198" i="46"/>
  <c r="BU198" i="46"/>
  <c r="BV198" i="46"/>
  <c r="I167" i="49"/>
  <c r="BZ294" i="46"/>
  <c r="CA294" i="46"/>
  <c r="BY294" i="46"/>
  <c r="BU294" i="46"/>
  <c r="BV294" i="46"/>
  <c r="I234" i="49"/>
  <c r="CA178" i="46"/>
  <c r="BY178" i="46"/>
  <c r="BZ178" i="46"/>
  <c r="BU178" i="46"/>
  <c r="BV178" i="46"/>
  <c r="I295" i="49"/>
  <c r="BZ180" i="46"/>
  <c r="CA180" i="46"/>
  <c r="BY180" i="46"/>
  <c r="BU180" i="46"/>
  <c r="BV180" i="46"/>
  <c r="I251" i="49"/>
  <c r="BZ267" i="46"/>
  <c r="CA267" i="46"/>
  <c r="BY267" i="46"/>
  <c r="BU267" i="46"/>
  <c r="BV267" i="46"/>
  <c r="I150" i="49"/>
  <c r="CA317" i="46"/>
  <c r="BY317" i="46"/>
  <c r="BZ317" i="46"/>
  <c r="BU317" i="46"/>
  <c r="BV317" i="46"/>
  <c r="I206" i="49"/>
  <c r="CA325" i="46"/>
  <c r="BY325" i="46"/>
  <c r="BZ325" i="46"/>
  <c r="BU325" i="46"/>
  <c r="BV325" i="46"/>
  <c r="I209" i="49"/>
  <c r="BY209" i="46"/>
  <c r="BZ209" i="46"/>
  <c r="CA209" i="46"/>
  <c r="BU209" i="46"/>
  <c r="BV209" i="46"/>
  <c r="I228" i="49"/>
  <c r="BY297" i="46"/>
  <c r="BZ297" i="46"/>
  <c r="CA297" i="46"/>
  <c r="BU297" i="46"/>
  <c r="BV297" i="46"/>
  <c r="I220" i="49"/>
  <c r="BY299" i="46"/>
  <c r="BZ299" i="46"/>
  <c r="CA299" i="46"/>
  <c r="BU299" i="46"/>
  <c r="BV299" i="46"/>
  <c r="I193" i="49"/>
  <c r="BZ199" i="46"/>
  <c r="CA199" i="46"/>
  <c r="BY199" i="46"/>
  <c r="BU199" i="46"/>
  <c r="BV199" i="46"/>
  <c r="I264" i="49"/>
  <c r="BY177" i="46"/>
  <c r="BZ177" i="46"/>
  <c r="CA177" i="46"/>
  <c r="BU177" i="46"/>
  <c r="BV177" i="46"/>
  <c r="I242" i="49"/>
  <c r="CA195" i="46"/>
  <c r="BY195" i="46"/>
  <c r="BZ195" i="46"/>
  <c r="BU195" i="46"/>
  <c r="BV195" i="46"/>
  <c r="T112" i="46"/>
  <c r="BT112" i="46"/>
  <c r="I345" i="49"/>
  <c r="BY399" i="46"/>
  <c r="BZ399" i="46"/>
  <c r="CA399" i="46"/>
  <c r="BU399" i="46"/>
  <c r="BV399" i="46"/>
  <c r="BT96" i="46"/>
  <c r="Q88" i="46"/>
  <c r="S88" i="46"/>
  <c r="Q90" i="46"/>
  <c r="S90" i="46"/>
  <c r="Q91" i="46"/>
  <c r="S91" i="46"/>
  <c r="Q89" i="46"/>
  <c r="S89" i="46"/>
  <c r="Q92" i="46"/>
  <c r="S92" i="46"/>
  <c r="Q86" i="46"/>
  <c r="S86" i="46"/>
  <c r="Q87" i="46"/>
  <c r="S87" i="46"/>
  <c r="BT87" i="46"/>
  <c r="I381" i="49"/>
  <c r="BZ450" i="46"/>
  <c r="CA450" i="46"/>
  <c r="BY450" i="46"/>
  <c r="BU450" i="46"/>
  <c r="BV450" i="46"/>
  <c r="BY463" i="46"/>
  <c r="BU463" i="46"/>
  <c r="BV463" i="46"/>
  <c r="BZ463" i="46"/>
  <c r="CA463" i="46"/>
  <c r="I387" i="49"/>
  <c r="BY439" i="46"/>
  <c r="BZ439" i="46"/>
  <c r="CA439" i="46"/>
  <c r="BU439" i="46"/>
  <c r="BV439" i="46"/>
  <c r="I371" i="49"/>
  <c r="BY451" i="46"/>
  <c r="BZ451" i="46"/>
  <c r="CA451" i="46"/>
  <c r="BU451" i="46"/>
  <c r="BV451" i="46"/>
  <c r="I400" i="49"/>
  <c r="CA444" i="46"/>
  <c r="BY444" i="46"/>
  <c r="BZ444" i="46"/>
  <c r="BU444" i="46"/>
  <c r="BV444" i="46"/>
  <c r="T102" i="46"/>
  <c r="BT102" i="46"/>
  <c r="I281" i="49"/>
  <c r="BY310" i="46"/>
  <c r="BZ310" i="46"/>
  <c r="CA310" i="46"/>
  <c r="BV310" i="46"/>
  <c r="BU310" i="46"/>
  <c r="BU66" i="46"/>
  <c r="BY66" i="46"/>
  <c r="BZ66" i="46"/>
  <c r="BV66" i="46"/>
  <c r="CA66" i="46"/>
  <c r="I423" i="49"/>
  <c r="BY486" i="46"/>
  <c r="BZ486" i="46"/>
  <c r="CA486" i="46"/>
  <c r="BU486" i="46"/>
  <c r="BV486" i="46"/>
  <c r="I377" i="49"/>
  <c r="BZ434" i="46"/>
  <c r="CA434" i="46"/>
  <c r="BY434" i="46"/>
  <c r="BU434" i="46"/>
  <c r="BV434" i="46"/>
  <c r="I386" i="49"/>
  <c r="BY458" i="46"/>
  <c r="BZ458" i="46"/>
  <c r="CA458" i="46"/>
  <c r="BU458" i="46"/>
  <c r="BV458" i="46"/>
  <c r="I370" i="49"/>
  <c r="BY435" i="46"/>
  <c r="BZ435" i="46"/>
  <c r="CA435" i="46"/>
  <c r="BU435" i="46"/>
  <c r="BV435" i="46"/>
  <c r="BT464" i="46"/>
  <c r="Q419" i="46"/>
  <c r="S419" i="46"/>
  <c r="Q415" i="46"/>
  <c r="S415" i="46"/>
  <c r="Q411" i="46"/>
  <c r="S411" i="46"/>
  <c r="Q406" i="46"/>
  <c r="S406" i="46"/>
  <c r="Q418" i="46"/>
  <c r="S418" i="46"/>
  <c r="Q413" i="46"/>
  <c r="S413" i="46"/>
  <c r="Q414" i="46"/>
  <c r="S414" i="46"/>
  <c r="Q409" i="46"/>
  <c r="S409" i="46"/>
  <c r="Q410" i="46"/>
  <c r="S410" i="46"/>
  <c r="Q417" i="46"/>
  <c r="S417" i="46"/>
  <c r="Q408" i="46"/>
  <c r="S408" i="46"/>
  <c r="Q412" i="46"/>
  <c r="S412" i="46"/>
  <c r="Q407" i="46"/>
  <c r="S407" i="46"/>
  <c r="Q421" i="46"/>
  <c r="S421" i="46"/>
  <c r="Q416" i="46"/>
  <c r="S416" i="46"/>
  <c r="Q420" i="46"/>
  <c r="S420" i="46"/>
  <c r="T546" i="46"/>
  <c r="BT546" i="46"/>
  <c r="T544" i="46"/>
  <c r="BT544" i="46"/>
  <c r="T547" i="46"/>
  <c r="BT547" i="46"/>
  <c r="T539" i="46"/>
  <c r="BT539" i="46"/>
  <c r="I332" i="49"/>
  <c r="BY376" i="46"/>
  <c r="BZ376" i="46"/>
  <c r="CA376" i="46"/>
  <c r="I250" i="49"/>
  <c r="CA208" i="46"/>
  <c r="BY208" i="46"/>
  <c r="BZ208" i="46"/>
  <c r="BU208" i="46"/>
  <c r="BV208" i="46"/>
  <c r="I246" i="49"/>
  <c r="CA268" i="46"/>
  <c r="BY268" i="46"/>
  <c r="BZ268" i="46"/>
  <c r="BU268" i="46"/>
  <c r="BV268" i="46"/>
  <c r="I244" i="49"/>
  <c r="BY326" i="46"/>
  <c r="BZ326" i="46"/>
  <c r="CA326" i="46"/>
  <c r="BV326" i="46"/>
  <c r="BU326" i="46"/>
  <c r="I156" i="49"/>
  <c r="BY221" i="46"/>
  <c r="BZ221" i="46"/>
  <c r="CA221" i="46"/>
  <c r="BU221" i="46"/>
  <c r="BV221" i="46"/>
  <c r="I200" i="49"/>
  <c r="CA254" i="46"/>
  <c r="BY254" i="46"/>
  <c r="BZ254" i="46"/>
  <c r="BU254" i="46"/>
  <c r="BV254" i="46"/>
  <c r="I296" i="49"/>
  <c r="BY286" i="46"/>
  <c r="BZ286" i="46"/>
  <c r="CA286" i="46"/>
  <c r="BU286" i="46"/>
  <c r="BV286" i="46"/>
  <c r="I139" i="49"/>
  <c r="BZ340" i="46"/>
  <c r="CA340" i="46"/>
  <c r="BY340" i="46"/>
  <c r="BV340" i="46"/>
  <c r="BU340" i="46"/>
  <c r="I268" i="49"/>
  <c r="BY311" i="46"/>
  <c r="BZ311" i="46"/>
  <c r="CA311" i="46"/>
  <c r="BU311" i="46"/>
  <c r="BV311" i="46"/>
  <c r="I135" i="49"/>
  <c r="BZ251" i="46"/>
  <c r="CA251" i="46"/>
  <c r="BY251" i="46"/>
  <c r="BU251" i="46"/>
  <c r="BV251" i="46"/>
  <c r="I211" i="49"/>
  <c r="BZ283" i="46"/>
  <c r="CA283" i="46"/>
  <c r="BY283" i="46"/>
  <c r="BU283" i="46"/>
  <c r="BV283" i="46"/>
  <c r="I261" i="49"/>
  <c r="BY245" i="46"/>
  <c r="BZ245" i="46"/>
  <c r="CA245" i="46"/>
  <c r="BU245" i="46"/>
  <c r="BV245" i="46"/>
  <c r="I198" i="49"/>
  <c r="BY341" i="46"/>
  <c r="BZ341" i="46"/>
  <c r="CA341" i="46"/>
  <c r="BU341" i="46"/>
  <c r="BV341" i="46"/>
  <c r="I178" i="49"/>
  <c r="BY257" i="46"/>
  <c r="BZ257" i="46"/>
  <c r="CA257" i="46"/>
  <c r="BU257" i="46"/>
  <c r="BV257" i="46"/>
  <c r="I160" i="49"/>
  <c r="BY353" i="46"/>
  <c r="BZ353" i="46"/>
  <c r="CA353" i="46"/>
  <c r="BU353" i="46"/>
  <c r="BV353" i="46"/>
  <c r="I140" i="49"/>
  <c r="BY215" i="46"/>
  <c r="BZ215" i="46"/>
  <c r="CA215" i="46"/>
  <c r="BU215" i="46"/>
  <c r="BV215" i="46"/>
  <c r="K245" i="49"/>
  <c r="BW232" i="46"/>
  <c r="J75" i="49"/>
  <c r="AE101" i="46"/>
  <c r="AF104" i="46"/>
  <c r="AJ104" i="46"/>
  <c r="BW104" i="46"/>
  <c r="AG104" i="46"/>
  <c r="AK104" i="46"/>
  <c r="K236" i="49"/>
  <c r="BW191" i="46"/>
  <c r="J141" i="49"/>
  <c r="CB426" i="46"/>
  <c r="N399" i="49"/>
  <c r="CB425" i="46"/>
  <c r="N390" i="49"/>
  <c r="CB453" i="46"/>
  <c r="N394" i="49"/>
  <c r="CB314" i="46"/>
  <c r="N266" i="49"/>
  <c r="AC266" i="49"/>
  <c r="CB374" i="46"/>
  <c r="N328" i="49"/>
  <c r="CB433" i="46"/>
  <c r="N366" i="49"/>
  <c r="CB494" i="46"/>
  <c r="N428" i="49"/>
  <c r="FK49" i="49"/>
  <c r="FC49" i="49"/>
  <c r="FK413" i="49"/>
  <c r="FC413" i="49"/>
  <c r="FK316" i="49"/>
  <c r="FC316" i="49"/>
  <c r="FK156" i="49"/>
  <c r="FC156" i="49"/>
  <c r="FK229" i="49"/>
  <c r="FC229" i="49"/>
  <c r="FK103" i="49"/>
  <c r="FC103" i="49"/>
  <c r="FK320" i="49"/>
  <c r="FK496" i="49"/>
  <c r="FK494" i="49"/>
  <c r="FK493" i="49"/>
  <c r="FC493" i="49"/>
  <c r="FK492" i="49"/>
  <c r="FC492" i="49"/>
  <c r="FK491" i="49"/>
  <c r="FC491" i="49"/>
  <c r="FK490" i="49"/>
  <c r="FC490" i="49"/>
  <c r="FK489" i="49"/>
  <c r="FC489" i="49"/>
  <c r="FK488" i="49"/>
  <c r="FK487" i="49"/>
  <c r="FK486" i="49"/>
  <c r="FC486" i="49"/>
  <c r="FK485" i="49"/>
  <c r="FC485" i="49"/>
  <c r="FK484" i="49"/>
  <c r="FC484" i="49"/>
  <c r="FK483" i="49"/>
  <c r="FK482" i="49"/>
  <c r="FC482" i="49"/>
  <c r="FK481" i="49"/>
  <c r="FC481" i="49"/>
  <c r="FK480" i="49"/>
  <c r="FK479" i="49"/>
  <c r="FC479" i="49"/>
  <c r="FK478" i="49"/>
  <c r="FK477" i="49"/>
  <c r="FC477" i="49"/>
  <c r="FK476" i="49"/>
  <c r="FC476" i="49"/>
  <c r="FK475" i="49"/>
  <c r="FK474" i="49"/>
  <c r="FC474" i="49"/>
  <c r="FK473" i="49"/>
  <c r="FK472" i="49"/>
  <c r="FK471" i="49"/>
  <c r="FC471" i="49"/>
  <c r="FK470" i="49"/>
  <c r="FC470" i="49"/>
  <c r="FK469" i="49"/>
  <c r="FC469" i="49"/>
  <c r="FK468" i="49"/>
  <c r="FC468" i="49"/>
  <c r="FK467" i="49"/>
  <c r="FK466" i="49"/>
  <c r="FC466" i="49"/>
  <c r="FK465" i="49"/>
  <c r="FC465" i="49"/>
  <c r="FK464" i="49"/>
  <c r="FK463" i="49"/>
  <c r="FC463" i="49"/>
  <c r="FK462" i="49"/>
  <c r="FK318" i="49"/>
  <c r="FK454" i="49"/>
  <c r="FK453" i="49"/>
  <c r="FK452" i="49"/>
  <c r="FC452" i="49"/>
  <c r="FK451" i="49"/>
  <c r="FC451" i="49"/>
  <c r="FK450" i="49"/>
  <c r="FC450" i="49"/>
  <c r="FK449" i="49"/>
  <c r="FK448" i="49"/>
  <c r="FC448" i="49"/>
  <c r="FK447" i="49"/>
  <c r="FC447" i="49"/>
  <c r="FK446" i="49"/>
  <c r="FC446" i="49"/>
  <c r="FK445" i="49"/>
  <c r="FK444" i="49"/>
  <c r="FK443" i="49"/>
  <c r="FC443" i="49"/>
  <c r="FK442" i="49"/>
  <c r="FC442" i="49"/>
  <c r="FK441" i="49"/>
  <c r="FK440" i="49"/>
  <c r="FC440" i="49"/>
  <c r="FK439" i="49"/>
  <c r="FC439" i="49"/>
  <c r="FK438" i="49"/>
  <c r="FC438" i="49"/>
  <c r="FK437" i="49"/>
  <c r="FC437" i="49"/>
  <c r="FK436" i="49"/>
  <c r="FC436" i="49"/>
  <c r="FK435" i="49"/>
  <c r="FK434" i="49"/>
  <c r="FK433" i="49"/>
  <c r="FK432" i="49"/>
  <c r="FC432" i="49"/>
  <c r="FK431" i="49"/>
  <c r="FC431" i="49"/>
  <c r="FK430" i="49"/>
  <c r="FK429" i="49"/>
  <c r="FC429" i="49"/>
  <c r="FK428" i="49"/>
  <c r="FK427" i="49"/>
  <c r="FK426" i="49"/>
  <c r="FK425" i="49"/>
  <c r="FK424" i="49"/>
  <c r="FK423" i="49"/>
  <c r="FC423" i="49"/>
  <c r="FK422" i="49"/>
  <c r="FC422" i="49"/>
  <c r="FK421" i="49"/>
  <c r="FC421" i="49"/>
  <c r="FK420" i="49"/>
  <c r="FC420" i="49"/>
  <c r="FK419" i="49"/>
  <c r="FC419" i="49"/>
  <c r="FK418" i="49"/>
  <c r="FK417" i="49"/>
  <c r="FK416" i="49"/>
  <c r="FC416" i="49"/>
  <c r="FK415" i="49"/>
  <c r="FK414" i="49"/>
  <c r="FC414" i="49"/>
  <c r="FK412" i="49"/>
  <c r="FK411" i="49"/>
  <c r="FC411" i="49"/>
  <c r="FK410" i="49"/>
  <c r="FK409" i="49"/>
  <c r="FK408" i="49"/>
  <c r="FC408" i="49"/>
  <c r="FK407" i="49"/>
  <c r="FC407" i="49"/>
  <c r="FK406" i="49"/>
  <c r="FC406" i="49"/>
  <c r="FK405" i="49"/>
  <c r="FC405" i="49"/>
  <c r="FK404" i="49"/>
  <c r="FC404" i="49"/>
  <c r="FK403" i="49"/>
  <c r="FC403" i="49"/>
  <c r="FK402" i="49"/>
  <c r="FK401" i="49"/>
  <c r="FK400" i="49"/>
  <c r="FC400" i="49"/>
  <c r="FK399" i="49"/>
  <c r="FC399" i="49"/>
  <c r="FK398" i="49"/>
  <c r="FC398" i="49"/>
  <c r="FK397" i="49"/>
  <c r="FC397" i="49"/>
  <c r="FK396" i="49"/>
  <c r="FC396" i="49"/>
  <c r="FK395" i="49"/>
  <c r="FC395" i="49"/>
  <c r="FK394" i="49"/>
  <c r="FC394" i="49"/>
  <c r="FK393" i="49"/>
  <c r="FC393" i="49"/>
  <c r="FK392" i="49"/>
  <c r="FK391" i="49"/>
  <c r="FC391" i="49"/>
  <c r="FK390" i="49"/>
  <c r="FK389" i="49"/>
  <c r="FK388" i="49"/>
  <c r="FC388" i="49"/>
  <c r="FK387" i="49"/>
  <c r="FC387" i="49"/>
  <c r="FK386" i="49"/>
  <c r="FC386" i="49"/>
  <c r="FK385" i="49"/>
  <c r="FK384" i="49"/>
  <c r="FK383" i="49"/>
  <c r="FC383" i="49"/>
  <c r="FK382" i="49"/>
  <c r="FK381" i="49"/>
  <c r="FK380" i="49"/>
  <c r="FK379" i="49"/>
  <c r="FC379" i="49"/>
  <c r="FK378" i="49"/>
  <c r="FC378" i="49"/>
  <c r="FK377" i="49"/>
  <c r="FC377" i="49"/>
  <c r="FK376" i="49"/>
  <c r="FC376" i="49"/>
  <c r="FK375" i="49"/>
  <c r="FC375" i="49"/>
  <c r="FK374" i="49"/>
  <c r="FK373" i="49"/>
  <c r="FC373" i="49"/>
  <c r="FK319" i="49"/>
  <c r="FC319" i="49"/>
  <c r="FK460" i="49"/>
  <c r="FK458" i="49"/>
  <c r="FK456" i="49"/>
  <c r="FK459" i="49"/>
  <c r="FC459" i="49"/>
  <c r="FK371" i="49"/>
  <c r="FC371" i="49"/>
  <c r="FK367" i="49"/>
  <c r="FC367" i="49"/>
  <c r="FK363" i="49"/>
  <c r="FC363" i="49"/>
  <c r="FK359" i="49"/>
  <c r="FK356" i="49"/>
  <c r="FC356" i="49"/>
  <c r="FK461" i="49"/>
  <c r="FC461" i="49"/>
  <c r="FK370" i="49"/>
  <c r="FK366" i="49"/>
  <c r="FC366" i="49"/>
  <c r="FK362" i="49"/>
  <c r="FC362" i="49"/>
  <c r="FK358" i="49"/>
  <c r="FK455" i="49"/>
  <c r="FK369" i="49"/>
  <c r="FC369" i="49"/>
  <c r="FK365" i="49"/>
  <c r="FC365" i="49"/>
  <c r="FK361" i="49"/>
  <c r="FK357" i="49"/>
  <c r="FC357" i="49"/>
  <c r="FK457" i="49"/>
  <c r="FC457" i="49"/>
  <c r="FK354" i="49"/>
  <c r="FC354" i="49"/>
  <c r="FK350" i="49"/>
  <c r="FK346" i="49"/>
  <c r="FK342" i="49"/>
  <c r="FC342" i="49"/>
  <c r="FK338" i="49"/>
  <c r="FC338" i="49"/>
  <c r="FK334" i="49"/>
  <c r="FK329" i="49"/>
  <c r="FK325" i="49"/>
  <c r="FC325" i="49"/>
  <c r="FK321" i="49"/>
  <c r="FC321" i="49"/>
  <c r="FK312" i="49"/>
  <c r="FK308" i="49"/>
  <c r="FC308" i="49"/>
  <c r="AZ308" i="49"/>
  <c r="FK304" i="49"/>
  <c r="FC304" i="49"/>
  <c r="FK300" i="49"/>
  <c r="FC300" i="49"/>
  <c r="FK296" i="49"/>
  <c r="FC296" i="49"/>
  <c r="FK292" i="49"/>
  <c r="FC292" i="49"/>
  <c r="FK287" i="49"/>
  <c r="FK283" i="49"/>
  <c r="FK279" i="49"/>
  <c r="FK275" i="49"/>
  <c r="FC275" i="49"/>
  <c r="FK274" i="49"/>
  <c r="FC274" i="49"/>
  <c r="FK273" i="49"/>
  <c r="FK272" i="49"/>
  <c r="FK271" i="49"/>
  <c r="FC271" i="49"/>
  <c r="FK270" i="49"/>
  <c r="FC270" i="49"/>
  <c r="FK269" i="49"/>
  <c r="FC269" i="49"/>
  <c r="FK268" i="49"/>
  <c r="FK267" i="49"/>
  <c r="FK266" i="49"/>
  <c r="FC266" i="49"/>
  <c r="FK265" i="49"/>
  <c r="FK264" i="49"/>
  <c r="FK263" i="49"/>
  <c r="FC263" i="49"/>
  <c r="FK262" i="49"/>
  <c r="FC262" i="49"/>
  <c r="FK261" i="49"/>
  <c r="FK260" i="49"/>
  <c r="FK259" i="49"/>
  <c r="FC259" i="49"/>
  <c r="FK258" i="49"/>
  <c r="FC258" i="49"/>
  <c r="FK257" i="49"/>
  <c r="FC257" i="49"/>
  <c r="FK256" i="49"/>
  <c r="FK255" i="49"/>
  <c r="FC255" i="49"/>
  <c r="FK254" i="49"/>
  <c r="FC254" i="49"/>
  <c r="FK253" i="49"/>
  <c r="FK252" i="49"/>
  <c r="FK251" i="49"/>
  <c r="FK250" i="49"/>
  <c r="FC250" i="49"/>
  <c r="FK249" i="49"/>
  <c r="FK248" i="49"/>
  <c r="FK247" i="49"/>
  <c r="FC247" i="49"/>
  <c r="FK246" i="49"/>
  <c r="FC246" i="49"/>
  <c r="FK245" i="49"/>
  <c r="FK244" i="49"/>
  <c r="FK243" i="49"/>
  <c r="FC243" i="49"/>
  <c r="FK242" i="49"/>
  <c r="FC242" i="49"/>
  <c r="FK241" i="49"/>
  <c r="FC241" i="49"/>
  <c r="FK240" i="49"/>
  <c r="FK239" i="49"/>
  <c r="FC239" i="49"/>
  <c r="FK238" i="49"/>
  <c r="FK237" i="49"/>
  <c r="FK236" i="49"/>
  <c r="FK235" i="49"/>
  <c r="FK234" i="49"/>
  <c r="FC234" i="49"/>
  <c r="FK233" i="49"/>
  <c r="FK232" i="49"/>
  <c r="FK231" i="49"/>
  <c r="FC231" i="49"/>
  <c r="FK230" i="49"/>
  <c r="FC230" i="49"/>
  <c r="FK228" i="49"/>
  <c r="FK227" i="49"/>
  <c r="FC227" i="49"/>
  <c r="FK226" i="49"/>
  <c r="FC226" i="49"/>
  <c r="FK225" i="49"/>
  <c r="FK224" i="49"/>
  <c r="FK223" i="49"/>
  <c r="FC223" i="49"/>
  <c r="AZ223" i="49"/>
  <c r="FK222" i="49"/>
  <c r="FC222" i="49"/>
  <c r="FK221" i="49"/>
  <c r="FK220" i="49"/>
  <c r="FK219" i="49"/>
  <c r="FK218" i="49"/>
  <c r="FC218" i="49"/>
  <c r="FK217" i="49"/>
  <c r="FK216" i="49"/>
  <c r="FK215" i="49"/>
  <c r="FK214" i="49"/>
  <c r="FC214" i="49"/>
  <c r="FK213" i="49"/>
  <c r="FK212" i="49"/>
  <c r="FK211" i="49"/>
  <c r="FK210" i="49"/>
  <c r="FC210" i="49"/>
  <c r="FK209" i="49"/>
  <c r="FK208" i="49"/>
  <c r="FK207" i="49"/>
  <c r="FK206" i="49"/>
  <c r="FC206" i="49"/>
  <c r="FK205" i="49"/>
  <c r="FK355" i="49"/>
  <c r="FK351" i="49"/>
  <c r="FC351" i="49"/>
  <c r="FK347" i="49"/>
  <c r="FK343" i="49"/>
  <c r="FC343" i="49"/>
  <c r="FK339" i="49"/>
  <c r="FK335" i="49"/>
  <c r="FC335" i="49"/>
  <c r="FK331" i="49"/>
  <c r="FC331" i="49"/>
  <c r="FK326" i="49"/>
  <c r="FK322" i="49"/>
  <c r="FC322" i="49"/>
  <c r="FK317" i="49"/>
  <c r="FK313" i="49"/>
  <c r="FC313" i="49"/>
  <c r="FK309" i="49"/>
  <c r="FK305" i="49"/>
  <c r="FK301" i="49"/>
  <c r="FC301" i="49"/>
  <c r="FK297" i="49"/>
  <c r="FC297" i="49"/>
  <c r="FK293" i="49"/>
  <c r="FK289" i="49"/>
  <c r="FK284" i="49"/>
  <c r="FC284" i="49"/>
  <c r="FK280" i="49"/>
  <c r="FC280" i="49"/>
  <c r="FK276" i="49"/>
  <c r="FK372" i="49"/>
  <c r="FK368" i="49"/>
  <c r="FK364" i="49"/>
  <c r="FC364" i="49"/>
  <c r="FK360" i="49"/>
  <c r="FK352" i="49"/>
  <c r="FC352" i="49"/>
  <c r="FK348" i="49"/>
  <c r="FC348" i="49"/>
  <c r="FK344" i="49"/>
  <c r="FC344" i="49"/>
  <c r="FK340" i="49"/>
  <c r="FC340" i="49"/>
  <c r="FK336" i="49"/>
  <c r="FC336" i="49"/>
  <c r="FK332" i="49"/>
  <c r="FK327" i="49"/>
  <c r="FC327" i="49"/>
  <c r="FK323" i="49"/>
  <c r="FC323" i="49"/>
  <c r="FK314" i="49"/>
  <c r="FK310" i="49"/>
  <c r="FK306" i="49"/>
  <c r="FC306" i="49"/>
  <c r="FK302" i="49"/>
  <c r="FK298" i="49"/>
  <c r="FK294" i="49"/>
  <c r="FC294" i="49"/>
  <c r="FK290" i="49"/>
  <c r="FC290" i="49"/>
  <c r="FK288" i="49"/>
  <c r="FK285" i="49"/>
  <c r="FK281" i="49"/>
  <c r="FC281" i="49"/>
  <c r="FK277" i="49"/>
  <c r="FK349" i="49"/>
  <c r="FK341" i="49"/>
  <c r="FK333" i="49"/>
  <c r="FC333" i="49"/>
  <c r="FK324" i="49"/>
  <c r="FK286" i="49"/>
  <c r="FK278" i="49"/>
  <c r="FK201" i="49"/>
  <c r="FC201" i="49"/>
  <c r="FK315" i="49"/>
  <c r="FC315" i="49"/>
  <c r="FK307" i="49"/>
  <c r="FC307" i="49"/>
  <c r="FK299" i="49"/>
  <c r="FK291" i="49"/>
  <c r="FC291" i="49"/>
  <c r="FK202" i="49"/>
  <c r="FK353" i="49"/>
  <c r="FK345" i="49"/>
  <c r="FK337" i="49"/>
  <c r="FC337" i="49"/>
  <c r="FK328" i="49"/>
  <c r="FC328" i="49"/>
  <c r="FK282" i="49"/>
  <c r="FC282" i="49"/>
  <c r="FK199" i="49"/>
  <c r="FC199" i="49"/>
  <c r="FK198" i="49"/>
  <c r="FC198" i="49"/>
  <c r="FK197" i="49"/>
  <c r="FC197" i="49"/>
  <c r="FK196" i="49"/>
  <c r="FK195" i="49"/>
  <c r="FK194" i="49"/>
  <c r="FC194" i="49"/>
  <c r="FK193" i="49"/>
  <c r="FC193" i="49"/>
  <c r="FK192" i="49"/>
  <c r="FC192" i="49"/>
  <c r="FK191" i="49"/>
  <c r="FK190" i="49"/>
  <c r="FC190" i="49"/>
  <c r="FK189" i="49"/>
  <c r="FC189" i="49"/>
  <c r="FK188" i="49"/>
  <c r="FC188" i="49"/>
  <c r="FK187" i="49"/>
  <c r="FK186" i="49"/>
  <c r="FC186" i="49"/>
  <c r="FK185" i="49"/>
  <c r="FC185" i="49"/>
  <c r="FK184" i="49"/>
  <c r="FC184" i="49"/>
  <c r="FK183" i="49"/>
  <c r="FC183" i="49"/>
  <c r="FK182" i="49"/>
  <c r="FC182" i="49"/>
  <c r="FK181" i="49"/>
  <c r="FC181" i="49"/>
  <c r="FK180" i="49"/>
  <c r="FK179" i="49"/>
  <c r="FK178" i="49"/>
  <c r="FC178" i="49"/>
  <c r="FK177" i="49"/>
  <c r="FC177" i="49"/>
  <c r="FK176" i="49"/>
  <c r="FC176" i="49"/>
  <c r="FK175" i="49"/>
  <c r="FK174" i="49"/>
  <c r="FC174" i="49"/>
  <c r="FK173" i="49"/>
  <c r="FC173" i="49"/>
  <c r="FK172" i="49"/>
  <c r="FC172" i="49"/>
  <c r="FK171" i="49"/>
  <c r="FK170" i="49"/>
  <c r="FC170" i="49"/>
  <c r="FK169" i="49"/>
  <c r="FC169" i="49"/>
  <c r="FK168" i="49"/>
  <c r="FC168" i="49"/>
  <c r="FK167" i="49"/>
  <c r="FC167" i="49"/>
  <c r="FK166" i="49"/>
  <c r="FC166" i="49"/>
  <c r="FK165" i="49"/>
  <c r="FC165" i="49"/>
  <c r="FK164" i="49"/>
  <c r="FC164" i="49"/>
  <c r="FK163" i="49"/>
  <c r="FC163" i="49"/>
  <c r="FK162" i="49"/>
  <c r="FK161" i="49"/>
  <c r="FC161" i="49"/>
  <c r="FK160" i="49"/>
  <c r="FC160" i="49"/>
  <c r="FK159" i="49"/>
  <c r="FK158" i="49"/>
  <c r="FK157" i="49"/>
  <c r="FC157" i="49"/>
  <c r="FK155" i="49"/>
  <c r="FK154" i="49"/>
  <c r="FK153" i="49"/>
  <c r="FC153" i="49"/>
  <c r="FK152" i="49"/>
  <c r="FC152" i="49"/>
  <c r="FK151" i="49"/>
  <c r="FC151" i="49"/>
  <c r="FK150" i="49"/>
  <c r="FK149" i="49"/>
  <c r="FC149" i="49"/>
  <c r="FK148" i="49"/>
  <c r="FK147" i="49"/>
  <c r="FK146" i="49"/>
  <c r="FC146" i="49"/>
  <c r="FK145" i="49"/>
  <c r="FC145" i="49"/>
  <c r="FK144" i="49"/>
  <c r="FC144" i="49"/>
  <c r="FK143" i="49"/>
  <c r="FK142" i="49"/>
  <c r="FC142" i="49"/>
  <c r="FK141" i="49"/>
  <c r="FC141" i="49"/>
  <c r="AZ141" i="49"/>
  <c r="FK140" i="49"/>
  <c r="FC140" i="49"/>
  <c r="FK139" i="49"/>
  <c r="FK138" i="49"/>
  <c r="FC138" i="49"/>
  <c r="FK137" i="49"/>
  <c r="FC137" i="49"/>
  <c r="FK136" i="49"/>
  <c r="FC136" i="49"/>
  <c r="FK135" i="49"/>
  <c r="FC135" i="49"/>
  <c r="FK134" i="49"/>
  <c r="FC134" i="49"/>
  <c r="FK133" i="49"/>
  <c r="FC133" i="49"/>
  <c r="FK132" i="49"/>
  <c r="FK131" i="49"/>
  <c r="FK130" i="49"/>
  <c r="FK129" i="49"/>
  <c r="FC129" i="49"/>
  <c r="FK128" i="49"/>
  <c r="FC128" i="49"/>
  <c r="FK127" i="49"/>
  <c r="FK126" i="49"/>
  <c r="FC126" i="49"/>
  <c r="FK125" i="49"/>
  <c r="FC125" i="49"/>
  <c r="FK124" i="49"/>
  <c r="FC124" i="49"/>
  <c r="FK123" i="49"/>
  <c r="FK122" i="49"/>
  <c r="FC122" i="49"/>
  <c r="FK121" i="49"/>
  <c r="FC121" i="49"/>
  <c r="FK120" i="49"/>
  <c r="FC120" i="49"/>
  <c r="FK119" i="49"/>
  <c r="FC119" i="49"/>
  <c r="FK118" i="49"/>
  <c r="FC118" i="49"/>
  <c r="FK117" i="49"/>
  <c r="FC117" i="49"/>
  <c r="FK116" i="49"/>
  <c r="FC116" i="49"/>
  <c r="FK115" i="49"/>
  <c r="FC115" i="49"/>
  <c r="FK114" i="49"/>
  <c r="FC114" i="49"/>
  <c r="FK113" i="49"/>
  <c r="FC113" i="49"/>
  <c r="FK112" i="49"/>
  <c r="FC112" i="49"/>
  <c r="FK111" i="49"/>
  <c r="FK110" i="49"/>
  <c r="FC110" i="49"/>
  <c r="FK109" i="49"/>
  <c r="FC109" i="49"/>
  <c r="FK108" i="49"/>
  <c r="FC108" i="49"/>
  <c r="FK107" i="49"/>
  <c r="FK106" i="49"/>
  <c r="FC106" i="49"/>
  <c r="FK105" i="49"/>
  <c r="FC105" i="49"/>
  <c r="FK104" i="49"/>
  <c r="FC104" i="49"/>
  <c r="FK102" i="49"/>
  <c r="FC102" i="49"/>
  <c r="FK101" i="49"/>
  <c r="FC101" i="49"/>
  <c r="FK100" i="49"/>
  <c r="FK99" i="49"/>
  <c r="FK98" i="49"/>
  <c r="FC98" i="49"/>
  <c r="FK97" i="49"/>
  <c r="FC97" i="49"/>
  <c r="FK96" i="49"/>
  <c r="FC96" i="49"/>
  <c r="FK95" i="49"/>
  <c r="FK94" i="49"/>
  <c r="FK93" i="49"/>
  <c r="FK92" i="49"/>
  <c r="FC92" i="49"/>
  <c r="FK91" i="49"/>
  <c r="FK90" i="49"/>
  <c r="FK89" i="49"/>
  <c r="FC89" i="49"/>
  <c r="FK88" i="49"/>
  <c r="FC88" i="49"/>
  <c r="FK87" i="49"/>
  <c r="FC87" i="49"/>
  <c r="FK86" i="49"/>
  <c r="FK85" i="49"/>
  <c r="FC85" i="49"/>
  <c r="FK84" i="49"/>
  <c r="FC84" i="49"/>
  <c r="FK83" i="49"/>
  <c r="FK82" i="49"/>
  <c r="FC82" i="49"/>
  <c r="FK81" i="49"/>
  <c r="FK80" i="49"/>
  <c r="FC80" i="49"/>
  <c r="FK79" i="49"/>
  <c r="FK78" i="49"/>
  <c r="FC78" i="49"/>
  <c r="FK77" i="49"/>
  <c r="FK76" i="49"/>
  <c r="FC76" i="49"/>
  <c r="FK75" i="49"/>
  <c r="FK74" i="49"/>
  <c r="FC74" i="49"/>
  <c r="FK73" i="49"/>
  <c r="FK72" i="49"/>
  <c r="FC72" i="49"/>
  <c r="FK71" i="49"/>
  <c r="FC71" i="49"/>
  <c r="FK70" i="49"/>
  <c r="FC70" i="49"/>
  <c r="FK69" i="49"/>
  <c r="FK68" i="49"/>
  <c r="FK67" i="49"/>
  <c r="FK66" i="49"/>
  <c r="FC66" i="49"/>
  <c r="FK65" i="49"/>
  <c r="FC65" i="49"/>
  <c r="FK64" i="49"/>
  <c r="FC64" i="49"/>
  <c r="FK63" i="49"/>
  <c r="FK62" i="49"/>
  <c r="FC62" i="49"/>
  <c r="FK61" i="49"/>
  <c r="FC61" i="49"/>
  <c r="FK295" i="49"/>
  <c r="FC295" i="49"/>
  <c r="FK303" i="49"/>
  <c r="FK60" i="49"/>
  <c r="FK59" i="49"/>
  <c r="FC59" i="49"/>
  <c r="FK58" i="49"/>
  <c r="FK57" i="49"/>
  <c r="FK56" i="49"/>
  <c r="FC56" i="49"/>
  <c r="FK55" i="49"/>
  <c r="FC55" i="49"/>
  <c r="FK54" i="49"/>
  <c r="FC54" i="49"/>
  <c r="FK53" i="49"/>
  <c r="FK52" i="49"/>
  <c r="FC52" i="49"/>
  <c r="FK51" i="49"/>
  <c r="FC51" i="49"/>
  <c r="FK50" i="49"/>
  <c r="FK48" i="49"/>
  <c r="FC48" i="49"/>
  <c r="FK47" i="49"/>
  <c r="FC47" i="49"/>
  <c r="FK46" i="49"/>
  <c r="FC46" i="49"/>
  <c r="FK45" i="49"/>
  <c r="FC45" i="49"/>
  <c r="FK44" i="49"/>
  <c r="FC44" i="49"/>
  <c r="FK43" i="49"/>
  <c r="FC43" i="49"/>
  <c r="FK42" i="49"/>
  <c r="FK41" i="49"/>
  <c r="FK40" i="49"/>
  <c r="FK39" i="49"/>
  <c r="FC39" i="49"/>
  <c r="FK38" i="49"/>
  <c r="FK37" i="49"/>
  <c r="FK36" i="49"/>
  <c r="FC36" i="49"/>
  <c r="FK35" i="49"/>
  <c r="FC35" i="49"/>
  <c r="FK34" i="49"/>
  <c r="FC34" i="49"/>
  <c r="FK33" i="49"/>
  <c r="FK32" i="49"/>
  <c r="FC32" i="49"/>
  <c r="FK31" i="49"/>
  <c r="FC31" i="49"/>
  <c r="FK30" i="49"/>
  <c r="FK29" i="49"/>
  <c r="FK28" i="49"/>
  <c r="FC28" i="49"/>
  <c r="FK27" i="49"/>
  <c r="FC27" i="49"/>
  <c r="FK26" i="49"/>
  <c r="FK25" i="49"/>
  <c r="FK24" i="49"/>
  <c r="FC24" i="49"/>
  <c r="FK23" i="49"/>
  <c r="FC23" i="49"/>
  <c r="FK22" i="49"/>
  <c r="FC22" i="49"/>
  <c r="FK21" i="49"/>
  <c r="FK20" i="49"/>
  <c r="FK19" i="49"/>
  <c r="FC19" i="49"/>
  <c r="FK18" i="49"/>
  <c r="FK17" i="49"/>
  <c r="FC17" i="49"/>
  <c r="FK16" i="49"/>
  <c r="FC16" i="49"/>
  <c r="FK15" i="49"/>
  <c r="FC15" i="49"/>
  <c r="FK14" i="49"/>
  <c r="FC14" i="49"/>
  <c r="FK13" i="49"/>
  <c r="FK12" i="49"/>
  <c r="FC12" i="49"/>
  <c r="FK11" i="49"/>
  <c r="FC11" i="49"/>
  <c r="FK10" i="49"/>
  <c r="FC10" i="49"/>
  <c r="FK9" i="49"/>
  <c r="FK8" i="49"/>
  <c r="FC8" i="49"/>
  <c r="FK7" i="49"/>
  <c r="FC7" i="49"/>
  <c r="FK6" i="49"/>
  <c r="FK5" i="49"/>
  <c r="FC5" i="49"/>
  <c r="FK200" i="49"/>
  <c r="FC200" i="49"/>
  <c r="FK311" i="49"/>
  <c r="FC86" i="49"/>
  <c r="FC150" i="49"/>
  <c r="FC207" i="49"/>
  <c r="FC208" i="49"/>
  <c r="FC217" i="49"/>
  <c r="FC374" i="49"/>
  <c r="FC238" i="49"/>
  <c r="FC287" i="49"/>
  <c r="FC286" i="49"/>
  <c r="FC428" i="49"/>
  <c r="FC288" i="49"/>
  <c r="FC312" i="49"/>
  <c r="FC332" i="49"/>
  <c r="FC427" i="49"/>
  <c r="FC358" i="49"/>
  <c r="FC370" i="49"/>
  <c r="FC430" i="49"/>
  <c r="FC401" i="49"/>
  <c r="FC417" i="49"/>
  <c r="FC433" i="49"/>
  <c r="FC444" i="49"/>
  <c r="FC456" i="49"/>
  <c r="FC460" i="49"/>
  <c r="FC464" i="49"/>
  <c r="FC472" i="49"/>
  <c r="FC480" i="49"/>
  <c r="FC488" i="49"/>
  <c r="FC26" i="49"/>
  <c r="FC38" i="49"/>
  <c r="FC50" i="49"/>
  <c r="FC68" i="49"/>
  <c r="FC132" i="49"/>
  <c r="FC180" i="49"/>
  <c r="FC99" i="49"/>
  <c r="FC147" i="49"/>
  <c r="FC195" i="49"/>
  <c r="FC162" i="49"/>
  <c r="FC202" i="49"/>
  <c r="FC213" i="49"/>
  <c r="FC225" i="49"/>
  <c r="FC237" i="49"/>
  <c r="FC249" i="49"/>
  <c r="FC261" i="49"/>
  <c r="FC273" i="49"/>
  <c r="FC392" i="49"/>
  <c r="FC303" i="49"/>
  <c r="FC347" i="49"/>
  <c r="FC424" i="49"/>
  <c r="FC381" i="49"/>
  <c r="FC426" i="49"/>
  <c r="FC455" i="49"/>
  <c r="FC467" i="49"/>
  <c r="FC475" i="49"/>
  <c r="FC483" i="49"/>
  <c r="FC496" i="49"/>
  <c r="FC69" i="49"/>
  <c r="FC20" i="49"/>
  <c r="FC40" i="49"/>
  <c r="FC60" i="49"/>
  <c r="FC77" i="49"/>
  <c r="FC75" i="49"/>
  <c r="FC91" i="49"/>
  <c r="FC107" i="49"/>
  <c r="FC123" i="49"/>
  <c r="FC139" i="49"/>
  <c r="FC155" i="49"/>
  <c r="FC171" i="49"/>
  <c r="FC187" i="49"/>
  <c r="FC81" i="49"/>
  <c r="FC90" i="49"/>
  <c r="FC154" i="49"/>
  <c r="FC277" i="49"/>
  <c r="FC211" i="49"/>
  <c r="FC212" i="49"/>
  <c r="FC205" i="49"/>
  <c r="FC276" i="49"/>
  <c r="FC219" i="49"/>
  <c r="FC235" i="49"/>
  <c r="FC251" i="49"/>
  <c r="FC267" i="49"/>
  <c r="FC382" i="49"/>
  <c r="FC380" i="49"/>
  <c r="FC289" i="49"/>
  <c r="FC293" i="49"/>
  <c r="FC305" i="49"/>
  <c r="FC309" i="49"/>
  <c r="FC317" i="49"/>
  <c r="FC324" i="49"/>
  <c r="FC341" i="49"/>
  <c r="FC345" i="49"/>
  <c r="FC349" i="49"/>
  <c r="FC353" i="49"/>
  <c r="FC384" i="49"/>
  <c r="FC385" i="49"/>
  <c r="FC415" i="49"/>
  <c r="FC359" i="49"/>
  <c r="FC402" i="49"/>
  <c r="FC418" i="49"/>
  <c r="FC434" i="49"/>
  <c r="FC441" i="49"/>
  <c r="FC445" i="49"/>
  <c r="FC449" i="49"/>
  <c r="FC453" i="49"/>
  <c r="FC473" i="49"/>
  <c r="FC318" i="49"/>
  <c r="FC6" i="49"/>
  <c r="FC18" i="49"/>
  <c r="FC30" i="49"/>
  <c r="FC42" i="49"/>
  <c r="FC58" i="49"/>
  <c r="FC100" i="49"/>
  <c r="FC148" i="49"/>
  <c r="FC196" i="49"/>
  <c r="FC67" i="49"/>
  <c r="FC83" i="49"/>
  <c r="FC131" i="49"/>
  <c r="FC179" i="49"/>
  <c r="FC130" i="49"/>
  <c r="FC221" i="49"/>
  <c r="FC233" i="49"/>
  <c r="FC245" i="49"/>
  <c r="FC253" i="49"/>
  <c r="FC265" i="49"/>
  <c r="FC283" i="49"/>
  <c r="FC299" i="49"/>
  <c r="FC311" i="49"/>
  <c r="FC326" i="49"/>
  <c r="FC339" i="49"/>
  <c r="FC355" i="49"/>
  <c r="FC361" i="49"/>
  <c r="FC410" i="49"/>
  <c r="FC487" i="49"/>
  <c r="FC73" i="49"/>
  <c r="FC9" i="49"/>
  <c r="FC13" i="49"/>
  <c r="FC21" i="49"/>
  <c r="FC25" i="49"/>
  <c r="FC29" i="49"/>
  <c r="FC33" i="49"/>
  <c r="FC37" i="49"/>
  <c r="FC41" i="49"/>
  <c r="FC53" i="49"/>
  <c r="FC57" i="49"/>
  <c r="FC63" i="49"/>
  <c r="FC79" i="49"/>
  <c r="FC95" i="49"/>
  <c r="FC111" i="49"/>
  <c r="FC127" i="49"/>
  <c r="FC143" i="49"/>
  <c r="FC159" i="49"/>
  <c r="FC175" i="49"/>
  <c r="FC191" i="49"/>
  <c r="FC93" i="49"/>
  <c r="FC94" i="49"/>
  <c r="FC158" i="49"/>
  <c r="FC285" i="49"/>
  <c r="FC215" i="49"/>
  <c r="FC216" i="49"/>
  <c r="FC209" i="49"/>
  <c r="FC220" i="49"/>
  <c r="FC224" i="49"/>
  <c r="FC228" i="49"/>
  <c r="FC232" i="49"/>
  <c r="FC236" i="49"/>
  <c r="AZ236" i="49"/>
  <c r="FC240" i="49"/>
  <c r="FC244" i="49"/>
  <c r="FC248" i="49"/>
  <c r="FC252" i="49"/>
  <c r="FC256" i="49"/>
  <c r="FC260" i="49"/>
  <c r="FC264" i="49"/>
  <c r="FC268" i="49"/>
  <c r="FC272" i="49"/>
  <c r="FC279" i="49"/>
  <c r="FC278" i="49"/>
  <c r="FC412" i="49"/>
  <c r="FC298" i="49"/>
  <c r="FC302" i="49"/>
  <c r="FC310" i="49"/>
  <c r="FC314" i="49"/>
  <c r="FC329" i="49"/>
  <c r="FC334" i="49"/>
  <c r="FC346" i="49"/>
  <c r="FC350" i="49"/>
  <c r="FC389" i="49"/>
  <c r="FC435" i="49"/>
  <c r="FC360" i="49"/>
  <c r="FC368" i="49"/>
  <c r="FC372" i="49"/>
  <c r="FC390" i="49"/>
  <c r="FC409" i="49"/>
  <c r="FC425" i="49"/>
  <c r="FC320" i="49"/>
  <c r="FC454" i="49"/>
  <c r="FC458" i="49"/>
  <c r="FC462" i="49"/>
  <c r="FC478" i="49"/>
  <c r="FC494" i="49"/>
  <c r="CB236" i="46"/>
  <c r="N235" i="49"/>
  <c r="CB247" i="46"/>
  <c r="N224" i="49"/>
  <c r="AC224" i="49"/>
  <c r="CB335" i="46"/>
  <c r="N221" i="49"/>
  <c r="AC221" i="49"/>
  <c r="CB324" i="46"/>
  <c r="N279" i="49"/>
  <c r="AC279" i="49"/>
  <c r="CB338" i="46"/>
  <c r="N227" i="49"/>
  <c r="CB193" i="46"/>
  <c r="N219" i="49"/>
  <c r="CB226" i="46"/>
  <c r="N190" i="49"/>
  <c r="AC190" i="49"/>
  <c r="CB278" i="46"/>
  <c r="N312" i="49"/>
  <c r="AC312" i="49"/>
  <c r="CB261" i="46"/>
  <c r="N179" i="49"/>
  <c r="CB342" i="46"/>
  <c r="N136" i="49"/>
  <c r="CB310" i="46"/>
  <c r="N281" i="49"/>
  <c r="AC281" i="49"/>
  <c r="CB320" i="46"/>
  <c r="N204" i="49"/>
  <c r="AC204" i="49"/>
  <c r="CB319" i="46"/>
  <c r="N203" i="49"/>
  <c r="AC203" i="49"/>
  <c r="BW320" i="46"/>
  <c r="L204" i="49"/>
  <c r="BW319" i="46"/>
  <c r="L203" i="49"/>
  <c r="CB257" i="46"/>
  <c r="N178" i="49"/>
  <c r="AC178" i="49"/>
  <c r="CB281" i="46"/>
  <c r="N290" i="49"/>
  <c r="CB400" i="46"/>
  <c r="N347" i="49"/>
  <c r="CB105" i="46"/>
  <c r="AL104" i="46"/>
  <c r="CB495" i="46"/>
  <c r="N430" i="49"/>
  <c r="CB460" i="46"/>
  <c r="N391" i="49"/>
  <c r="AC391" i="49"/>
  <c r="CB488" i="46"/>
  <c r="N422" i="49"/>
  <c r="AC422" i="49"/>
  <c r="CB349" i="46"/>
  <c r="N243" i="49"/>
  <c r="AC243" i="49"/>
  <c r="CB213" i="46"/>
  <c r="N292" i="49"/>
  <c r="CB218" i="46"/>
  <c r="N311" i="49"/>
  <c r="CB176" i="46"/>
  <c r="N222" i="49"/>
  <c r="CB330" i="46"/>
  <c r="N189" i="49"/>
  <c r="AC189" i="49"/>
  <c r="CB439" i="46"/>
  <c r="N387" i="49"/>
  <c r="CB294" i="46"/>
  <c r="N167" i="49"/>
  <c r="CB276" i="46"/>
  <c r="N285" i="49"/>
  <c r="AC285" i="49"/>
  <c r="CB431" i="46"/>
  <c r="N369" i="49"/>
  <c r="AC369" i="49"/>
  <c r="CB489" i="46"/>
  <c r="N426" i="49"/>
  <c r="CB192" i="46"/>
  <c r="N310" i="49"/>
  <c r="CB187" i="46"/>
  <c r="N289" i="49"/>
  <c r="AC289" i="49"/>
  <c r="CB327" i="46"/>
  <c r="N169" i="49"/>
  <c r="AC169" i="49"/>
  <c r="CB441" i="46"/>
  <c r="N373" i="49"/>
  <c r="CB398" i="46"/>
  <c r="N344" i="49"/>
  <c r="AC344" i="49"/>
  <c r="CB233" i="46"/>
  <c r="N273" i="49"/>
  <c r="AC273" i="49"/>
  <c r="CB190" i="46"/>
  <c r="N171" i="49"/>
  <c r="AC171" i="49"/>
  <c r="CB312" i="46"/>
  <c r="N280" i="49"/>
  <c r="CB490" i="46"/>
  <c r="N425" i="49"/>
  <c r="AC425" i="49"/>
  <c r="CB244" i="46"/>
  <c r="N265" i="49"/>
  <c r="AC265" i="49"/>
  <c r="CB333" i="46"/>
  <c r="N272" i="49"/>
  <c r="AC272" i="49"/>
  <c r="CB64" i="46"/>
  <c r="N49" i="49"/>
  <c r="CB486" i="46"/>
  <c r="N423" i="49"/>
  <c r="AC423" i="49"/>
  <c r="CB299" i="46"/>
  <c r="N220" i="49"/>
  <c r="AC220" i="49"/>
  <c r="CB209" i="46"/>
  <c r="N209" i="49"/>
  <c r="AC209" i="49"/>
  <c r="CB267" i="46"/>
  <c r="N251" i="49"/>
  <c r="CB438" i="46"/>
  <c r="N397" i="49"/>
  <c r="AC397" i="49"/>
  <c r="AL115" i="46"/>
  <c r="CB227" i="46"/>
  <c r="N144" i="49"/>
  <c r="AC144" i="49"/>
  <c r="CB321" i="46"/>
  <c r="CB210" i="46"/>
  <c r="N208" i="49"/>
  <c r="CB179" i="46"/>
  <c r="N263" i="49"/>
  <c r="AC263" i="49"/>
  <c r="CB459" i="46"/>
  <c r="N383" i="49"/>
  <c r="AC383" i="49"/>
  <c r="CB308" i="46"/>
  <c r="N277" i="49"/>
  <c r="CB279" i="46"/>
  <c r="N255" i="49"/>
  <c r="CB446" i="46"/>
  <c r="N372" i="49"/>
  <c r="AC372" i="49"/>
  <c r="CB201" i="46"/>
  <c r="N137" i="49"/>
  <c r="AC137" i="49"/>
  <c r="CB266" i="46"/>
  <c r="N199" i="49"/>
  <c r="CB456" i="46"/>
  <c r="N395" i="49"/>
  <c r="AC395" i="49"/>
  <c r="CB263" i="46"/>
  <c r="N194" i="49"/>
  <c r="AC194" i="49"/>
  <c r="CB231" i="46"/>
  <c r="N247" i="49"/>
  <c r="AC247" i="49"/>
  <c r="CB351" i="46"/>
  <c r="N157" i="49"/>
  <c r="CB260" i="46"/>
  <c r="N181" i="49"/>
  <c r="CB230" i="46"/>
  <c r="N297" i="49"/>
  <c r="AC297" i="49"/>
  <c r="CB348" i="46"/>
  <c r="N142" i="49"/>
  <c r="AC142" i="49"/>
  <c r="CB235" i="46"/>
  <c r="N154" i="49"/>
  <c r="CB379" i="46"/>
  <c r="N327" i="49"/>
  <c r="AC327" i="49"/>
  <c r="CB304" i="46"/>
  <c r="N252" i="49"/>
  <c r="AC252" i="49"/>
  <c r="CB237" i="46"/>
  <c r="N202" i="49"/>
  <c r="AC202" i="49"/>
  <c r="CB306" i="46"/>
  <c r="N256" i="49"/>
  <c r="CB181" i="46"/>
  <c r="N286" i="49"/>
  <c r="CB212" i="46"/>
  <c r="N269" i="49"/>
  <c r="AC269" i="49"/>
  <c r="CB80" i="46"/>
  <c r="N62" i="49"/>
  <c r="AC62" i="49"/>
  <c r="CB203" i="46"/>
  <c r="N307" i="49"/>
  <c r="CB355" i="46"/>
  <c r="N161" i="49"/>
  <c r="CB217" i="46"/>
  <c r="N257" i="49"/>
  <c r="AC257" i="49"/>
  <c r="CB436" i="46"/>
  <c r="N375" i="49"/>
  <c r="AC375" i="49"/>
  <c r="CB223" i="46"/>
  <c r="N215" i="49"/>
  <c r="CB447" i="46"/>
  <c r="N348" i="49"/>
  <c r="CB249" i="46"/>
  <c r="N237" i="49"/>
  <c r="AC237" i="49"/>
  <c r="CB356" i="46"/>
  <c r="CB65" i="46"/>
  <c r="N50" i="49"/>
  <c r="I464" i="49"/>
  <c r="BY546" i="46"/>
  <c r="BZ546" i="46"/>
  <c r="CA546" i="46"/>
  <c r="BU546" i="46"/>
  <c r="BV546" i="46"/>
  <c r="I461" i="49"/>
  <c r="CA545" i="46"/>
  <c r="BU545" i="46"/>
  <c r="BV545" i="46"/>
  <c r="BY545" i="46"/>
  <c r="BZ545" i="46"/>
  <c r="I72" i="49"/>
  <c r="CA100" i="46"/>
  <c r="BY100" i="46"/>
  <c r="BZ100" i="46"/>
  <c r="BU100" i="46"/>
  <c r="BV100" i="46"/>
  <c r="I39" i="49"/>
  <c r="BY44" i="46"/>
  <c r="BZ44" i="46"/>
  <c r="CA44" i="46"/>
  <c r="BU44" i="46"/>
  <c r="BV44" i="46"/>
  <c r="I74" i="49"/>
  <c r="BZ102" i="46"/>
  <c r="CA102" i="46"/>
  <c r="BY102" i="46"/>
  <c r="BU102" i="46"/>
  <c r="BV102" i="46"/>
  <c r="I490" i="49"/>
  <c r="BY112" i="46"/>
  <c r="BZ112" i="46"/>
  <c r="BU112" i="46"/>
  <c r="BV112" i="46"/>
  <c r="CA112" i="46"/>
  <c r="I462" i="49"/>
  <c r="BZ542" i="46"/>
  <c r="CA542" i="46"/>
  <c r="BY542" i="46"/>
  <c r="BU542" i="46"/>
  <c r="BV542" i="46"/>
  <c r="I469" i="49"/>
  <c r="CA549" i="46"/>
  <c r="BU549" i="46"/>
  <c r="BV549" i="46"/>
  <c r="BY549" i="46"/>
  <c r="BZ549" i="46"/>
  <c r="I73" i="49"/>
  <c r="CA103" i="46"/>
  <c r="BY103" i="46"/>
  <c r="BZ103" i="46"/>
  <c r="BV103" i="46"/>
  <c r="BU103" i="46"/>
  <c r="I475" i="49"/>
  <c r="BY539" i="46"/>
  <c r="BZ539" i="46"/>
  <c r="BU539" i="46"/>
  <c r="BV539" i="46"/>
  <c r="CA539" i="46"/>
  <c r="BU48" i="46"/>
  <c r="BY48" i="46"/>
  <c r="BV48" i="46"/>
  <c r="BZ48" i="46"/>
  <c r="CA48" i="46"/>
  <c r="I473" i="49"/>
  <c r="CA552" i="46"/>
  <c r="BZ552" i="46"/>
  <c r="BU552" i="46"/>
  <c r="BV552" i="46"/>
  <c r="BY552" i="46"/>
  <c r="I465" i="49"/>
  <c r="CA541" i="46"/>
  <c r="BZ541" i="46"/>
  <c r="BU541" i="46"/>
  <c r="BV541" i="46"/>
  <c r="BY541" i="46"/>
  <c r="I40" i="49"/>
  <c r="CA46" i="46"/>
  <c r="BY46" i="46"/>
  <c r="BZ46" i="46"/>
  <c r="BU46" i="46"/>
  <c r="BV46" i="46"/>
  <c r="K211" i="49"/>
  <c r="BW283" i="46"/>
  <c r="K296" i="49"/>
  <c r="BW286" i="46"/>
  <c r="J423" i="49"/>
  <c r="K261" i="49"/>
  <c r="BW245" i="46"/>
  <c r="J211" i="49"/>
  <c r="J244" i="49"/>
  <c r="J246" i="49"/>
  <c r="I471" i="49"/>
  <c r="AD544" i="46"/>
  <c r="AH544" i="46"/>
  <c r="CA544" i="46"/>
  <c r="BU544" i="46"/>
  <c r="BV544" i="46"/>
  <c r="BY544" i="46"/>
  <c r="BZ544" i="46"/>
  <c r="T420" i="46"/>
  <c r="BT420" i="46"/>
  <c r="S465" i="46"/>
  <c r="T406" i="46"/>
  <c r="BT406" i="46"/>
  <c r="K371" i="49"/>
  <c r="BW451" i="46"/>
  <c r="K381" i="49"/>
  <c r="BW450" i="46"/>
  <c r="T90" i="46"/>
  <c r="BT90" i="46"/>
  <c r="CB399" i="46"/>
  <c r="N345" i="49"/>
  <c r="AC345" i="49"/>
  <c r="AC167" i="49"/>
  <c r="J285" i="49"/>
  <c r="K396" i="49"/>
  <c r="BW427" i="46"/>
  <c r="J392" i="49"/>
  <c r="K222" i="49"/>
  <c r="BW176" i="46"/>
  <c r="I493" i="49"/>
  <c r="BZ111" i="46"/>
  <c r="CA111" i="46"/>
  <c r="BY111" i="46"/>
  <c r="BU111" i="46"/>
  <c r="BV111" i="46"/>
  <c r="J216" i="49"/>
  <c r="J282" i="49"/>
  <c r="J140" i="49"/>
  <c r="CB215" i="46"/>
  <c r="N140" i="49"/>
  <c r="AC140" i="49"/>
  <c r="K198" i="49"/>
  <c r="BW341" i="46"/>
  <c r="J261" i="49"/>
  <c r="CB283" i="46"/>
  <c r="N211" i="49"/>
  <c r="AC211" i="49"/>
  <c r="K268" i="49"/>
  <c r="BW311" i="46"/>
  <c r="K139" i="49"/>
  <c r="BW340" i="46"/>
  <c r="CB254" i="46"/>
  <c r="N200" i="49"/>
  <c r="AC200" i="49"/>
  <c r="K156" i="49"/>
  <c r="BW221" i="46"/>
  <c r="K244" i="49"/>
  <c r="BW326" i="46"/>
  <c r="CB208" i="46"/>
  <c r="N250" i="49"/>
  <c r="AC250" i="49"/>
  <c r="K332" i="49"/>
  <c r="CB376" i="46"/>
  <c r="N332" i="49"/>
  <c r="AC332" i="49"/>
  <c r="I474" i="49"/>
  <c r="BZ547" i="46"/>
  <c r="CA547" i="46"/>
  <c r="BU547" i="46"/>
  <c r="BV547" i="46"/>
  <c r="BY547" i="46"/>
  <c r="T416" i="46"/>
  <c r="BT416" i="46"/>
  <c r="T408" i="46"/>
  <c r="BT408" i="46"/>
  <c r="T414" i="46"/>
  <c r="BT414" i="46"/>
  <c r="T411" i="46"/>
  <c r="BT411" i="46"/>
  <c r="K370" i="49"/>
  <c r="BW435" i="46"/>
  <c r="CB435" i="46"/>
  <c r="N370" i="49"/>
  <c r="AC370" i="49"/>
  <c r="J386" i="49"/>
  <c r="CB458" i="46"/>
  <c r="N386" i="49"/>
  <c r="CB434" i="46"/>
  <c r="N377" i="49"/>
  <c r="AC377" i="49"/>
  <c r="K400" i="49"/>
  <c r="BW444" i="46"/>
  <c r="J371" i="49"/>
  <c r="AC387" i="49"/>
  <c r="J381" i="49"/>
  <c r="T92" i="46"/>
  <c r="BT92" i="46"/>
  <c r="T88" i="46"/>
  <c r="BT88" i="46"/>
  <c r="K242" i="49"/>
  <c r="BW195" i="46"/>
  <c r="J264" i="49"/>
  <c r="CB177" i="46"/>
  <c r="N264" i="49"/>
  <c r="AC264" i="49"/>
  <c r="CB199" i="46"/>
  <c r="N193" i="49"/>
  <c r="AC193" i="49"/>
  <c r="K228" i="49"/>
  <c r="BW297" i="46"/>
  <c r="J209" i="49"/>
  <c r="CB317" i="46"/>
  <c r="N150" i="49"/>
  <c r="AC150" i="49"/>
  <c r="K251" i="49"/>
  <c r="BW267" i="46"/>
  <c r="J295" i="49"/>
  <c r="K5" i="49"/>
  <c r="BW198" i="46"/>
  <c r="K147" i="49"/>
  <c r="BW334" i="46"/>
  <c r="CB216" i="46"/>
  <c r="N196" i="49"/>
  <c r="AC196" i="49"/>
  <c r="K326" i="49"/>
  <c r="K53" i="49"/>
  <c r="BW63" i="46"/>
  <c r="BW308" i="49"/>
  <c r="K397" i="49"/>
  <c r="BW438" i="46"/>
  <c r="J396" i="49"/>
  <c r="CB429" i="46"/>
  <c r="N384" i="49"/>
  <c r="K347" i="49"/>
  <c r="BW400" i="46"/>
  <c r="J429" i="49"/>
  <c r="AE493" i="46"/>
  <c r="AI493" i="46"/>
  <c r="Q429" i="49"/>
  <c r="AY429" i="49"/>
  <c r="AC426" i="49"/>
  <c r="K177" i="49"/>
  <c r="BW256" i="46"/>
  <c r="J222" i="49"/>
  <c r="K437" i="49"/>
  <c r="BW510" i="46"/>
  <c r="K492" i="49"/>
  <c r="AF109" i="46"/>
  <c r="BW109" i="46"/>
  <c r="CB109" i="46"/>
  <c r="N492" i="49"/>
  <c r="K310" i="49"/>
  <c r="BW192" i="46"/>
  <c r="J260" i="49"/>
  <c r="CB291" i="46"/>
  <c r="N260" i="49"/>
  <c r="AC260" i="49"/>
  <c r="AC292" i="49"/>
  <c r="K159" i="49"/>
  <c r="BW309" i="46"/>
  <c r="K216" i="49"/>
  <c r="BW336" i="46"/>
  <c r="CB336" i="46"/>
  <c r="N216" i="49"/>
  <c r="J259" i="49"/>
  <c r="J306" i="49"/>
  <c r="K487" i="49"/>
  <c r="BW571" i="46"/>
  <c r="BT106" i="46"/>
  <c r="U107" i="46"/>
  <c r="Z104" i="46"/>
  <c r="Z105" i="46"/>
  <c r="W107" i="46"/>
  <c r="AB104" i="46"/>
  <c r="AB105" i="46"/>
  <c r="X107" i="46"/>
  <c r="AC104" i="46"/>
  <c r="AC105" i="46"/>
  <c r="V107" i="46"/>
  <c r="AA104" i="46"/>
  <c r="AA105" i="46"/>
  <c r="J289" i="49"/>
  <c r="K290" i="49"/>
  <c r="BW281" i="46"/>
  <c r="J169" i="49"/>
  <c r="J233" i="49"/>
  <c r="J217" i="49"/>
  <c r="CB274" i="46"/>
  <c r="N217" i="49"/>
  <c r="AC217" i="49"/>
  <c r="AC208" i="49"/>
  <c r="T125" i="46"/>
  <c r="BT125" i="46"/>
  <c r="T171" i="46"/>
  <c r="BT171" i="46"/>
  <c r="T126" i="46"/>
  <c r="BT126" i="46"/>
  <c r="T163" i="46"/>
  <c r="BT163" i="46"/>
  <c r="T138" i="46"/>
  <c r="BT138" i="46"/>
  <c r="T146" i="46"/>
  <c r="BT146" i="46"/>
  <c r="T145" i="46"/>
  <c r="BT145" i="46"/>
  <c r="T165" i="46"/>
  <c r="BT165" i="46"/>
  <c r="T136" i="46"/>
  <c r="BT136" i="46"/>
  <c r="T172" i="46"/>
  <c r="BT172" i="46"/>
  <c r="T134" i="46"/>
  <c r="BT134" i="46"/>
  <c r="T128" i="46"/>
  <c r="BT128" i="46"/>
  <c r="T154" i="46"/>
  <c r="BT154" i="46"/>
  <c r="BY357" i="46"/>
  <c r="BZ357" i="46"/>
  <c r="CA357" i="46"/>
  <c r="K373" i="49"/>
  <c r="BW441" i="46"/>
  <c r="J374" i="49"/>
  <c r="CB448" i="46"/>
  <c r="N374" i="49"/>
  <c r="AC374" i="49"/>
  <c r="K133" i="49"/>
  <c r="BW242" i="46"/>
  <c r="J286" i="49"/>
  <c r="AC277" i="49"/>
  <c r="K344" i="49"/>
  <c r="BW398" i="46"/>
  <c r="BW498" i="46"/>
  <c r="L75" i="49"/>
  <c r="AG101" i="46"/>
  <c r="BT556" i="46"/>
  <c r="Q537" i="46"/>
  <c r="S537" i="46"/>
  <c r="Q520" i="46"/>
  <c r="S520" i="46"/>
  <c r="Q527" i="46"/>
  <c r="S527" i="46"/>
  <c r="Q525" i="46"/>
  <c r="S525" i="46"/>
  <c r="Q518" i="46"/>
  <c r="S518" i="46"/>
  <c r="BT518" i="46"/>
  <c r="Q528" i="46"/>
  <c r="S528" i="46"/>
  <c r="Q529" i="46"/>
  <c r="S529" i="46"/>
  <c r="Q535" i="46"/>
  <c r="S535" i="46"/>
  <c r="Q516" i="46"/>
  <c r="S516" i="46"/>
  <c r="Q517" i="46"/>
  <c r="S517" i="46"/>
  <c r="BT517" i="46"/>
  <c r="Q523" i="46"/>
  <c r="S523" i="46"/>
  <c r="Q536" i="46"/>
  <c r="S536" i="46"/>
  <c r="Q524" i="46"/>
  <c r="S524" i="46"/>
  <c r="Q534" i="46"/>
  <c r="S534" i="46"/>
  <c r="Q531" i="46"/>
  <c r="S531" i="46"/>
  <c r="Q522" i="46"/>
  <c r="S522" i="46"/>
  <c r="Q519" i="46"/>
  <c r="S519" i="46"/>
  <c r="BT519" i="46"/>
  <c r="Q532" i="46"/>
  <c r="S532" i="46"/>
  <c r="Q533" i="46"/>
  <c r="S533" i="46"/>
  <c r="Q526" i="46"/>
  <c r="S526" i="46"/>
  <c r="Q521" i="46"/>
  <c r="S521" i="46"/>
  <c r="Q530" i="46"/>
  <c r="S530" i="46"/>
  <c r="T474" i="46"/>
  <c r="BT474" i="46"/>
  <c r="T469" i="46"/>
  <c r="BT469" i="46"/>
  <c r="T480" i="46"/>
  <c r="BT480" i="46"/>
  <c r="T475" i="46"/>
  <c r="BT475" i="46"/>
  <c r="BY499" i="46"/>
  <c r="BZ499" i="46"/>
  <c r="CA499" i="46"/>
  <c r="P385" i="49"/>
  <c r="CB511" i="46"/>
  <c r="J71" i="49"/>
  <c r="K486" i="49"/>
  <c r="BW572" i="46"/>
  <c r="J391" i="49"/>
  <c r="CB228" i="46"/>
  <c r="N143" i="49"/>
  <c r="AC143" i="49"/>
  <c r="J258" i="49"/>
  <c r="K241" i="49"/>
  <c r="BW272" i="46"/>
  <c r="CB272" i="46"/>
  <c r="N241" i="49"/>
  <c r="AC241" i="49"/>
  <c r="J269" i="49"/>
  <c r="T13" i="46"/>
  <c r="BT13" i="46"/>
  <c r="T7" i="46"/>
  <c r="BT7" i="46"/>
  <c r="T15" i="46"/>
  <c r="BT15" i="46"/>
  <c r="T395" i="46"/>
  <c r="BT395" i="46"/>
  <c r="S403" i="46"/>
  <c r="T386" i="46"/>
  <c r="BT386" i="46"/>
  <c r="T390" i="46"/>
  <c r="BT390" i="46"/>
  <c r="T505" i="46"/>
  <c r="BT505" i="46"/>
  <c r="T504" i="46"/>
  <c r="BT504" i="46"/>
  <c r="T55" i="46"/>
  <c r="BT55" i="46"/>
  <c r="T60" i="46"/>
  <c r="BT60" i="46"/>
  <c r="T78" i="46"/>
  <c r="BT78" i="46"/>
  <c r="T76" i="46"/>
  <c r="BT76" i="46"/>
  <c r="T567" i="46"/>
  <c r="BT567" i="46"/>
  <c r="S575" i="46"/>
  <c r="T560" i="46"/>
  <c r="BT560" i="46"/>
  <c r="BY574" i="46"/>
  <c r="BZ574" i="46"/>
  <c r="CA574" i="46"/>
  <c r="K197" i="49"/>
  <c r="BW323" i="46"/>
  <c r="AF323" i="46"/>
  <c r="AJ323" i="46"/>
  <c r="R197" i="49"/>
  <c r="BV197" i="49"/>
  <c r="AD197" i="49"/>
  <c r="AC197" i="49"/>
  <c r="K255" i="49"/>
  <c r="BW279" i="46"/>
  <c r="J148" i="49"/>
  <c r="AE289" i="46"/>
  <c r="AI289" i="46"/>
  <c r="Q148" i="49"/>
  <c r="AY148" i="49"/>
  <c r="CB289" i="46"/>
  <c r="N148" i="49"/>
  <c r="AC148" i="49"/>
  <c r="K331" i="49"/>
  <c r="CB234" i="46"/>
  <c r="N274" i="49"/>
  <c r="AC274" i="49"/>
  <c r="K379" i="49"/>
  <c r="BW445" i="46"/>
  <c r="J372" i="49"/>
  <c r="AC399" i="49"/>
  <c r="K153" i="49"/>
  <c r="BW491" i="46"/>
  <c r="J168" i="49"/>
  <c r="CB287" i="46"/>
  <c r="N168" i="49"/>
  <c r="AC168" i="49"/>
  <c r="CB343" i="46"/>
  <c r="N207" i="49"/>
  <c r="AC207" i="49"/>
  <c r="K191" i="49"/>
  <c r="BW202" i="46"/>
  <c r="J62" i="49"/>
  <c r="AC390" i="49"/>
  <c r="K307" i="49"/>
  <c r="BW203" i="46"/>
  <c r="J161" i="49"/>
  <c r="CB253" i="46"/>
  <c r="N185" i="49"/>
  <c r="AC185" i="49"/>
  <c r="K155" i="49"/>
  <c r="BW200" i="46"/>
  <c r="J398" i="49"/>
  <c r="CB432" i="46"/>
  <c r="N398" i="49"/>
  <c r="AC398" i="49"/>
  <c r="CB449" i="46"/>
  <c r="N401" i="49"/>
  <c r="AC401" i="49"/>
  <c r="CB428" i="46"/>
  <c r="N380" i="49"/>
  <c r="AC380" i="49"/>
  <c r="K225" i="49"/>
  <c r="BW207" i="46"/>
  <c r="J257" i="49"/>
  <c r="AE217" i="46"/>
  <c r="AI217" i="46"/>
  <c r="Q257" i="49"/>
  <c r="AY257" i="49"/>
  <c r="K367" i="49"/>
  <c r="BW454" i="46"/>
  <c r="J375" i="49"/>
  <c r="AC394" i="49"/>
  <c r="K293" i="49"/>
  <c r="BW331" i="46"/>
  <c r="CB331" i="46"/>
  <c r="N293" i="49"/>
  <c r="J291" i="49"/>
  <c r="CB205" i="46"/>
  <c r="N298" i="49"/>
  <c r="AC298" i="49"/>
  <c r="K215" i="49"/>
  <c r="BW223" i="46"/>
  <c r="J151" i="49"/>
  <c r="CB252" i="46"/>
  <c r="N163" i="49"/>
  <c r="AC163" i="49"/>
  <c r="CB573" i="46"/>
  <c r="J365" i="49"/>
  <c r="CB440" i="46"/>
  <c r="N393" i="49"/>
  <c r="AC393" i="49"/>
  <c r="K284" i="49"/>
  <c r="BW183" i="46"/>
  <c r="CB183" i="46"/>
  <c r="N284" i="49"/>
  <c r="AC284" i="49"/>
  <c r="J275" i="49"/>
  <c r="K171" i="49"/>
  <c r="BW190" i="46"/>
  <c r="J214" i="49"/>
  <c r="AC199" i="49"/>
  <c r="CB354" i="46"/>
  <c r="N158" i="49"/>
  <c r="AC158" i="49"/>
  <c r="K288" i="49"/>
  <c r="BW280" i="46"/>
  <c r="CB280" i="46"/>
  <c r="N288" i="49"/>
  <c r="AC288" i="49"/>
  <c r="K280" i="49"/>
  <c r="BW312" i="46"/>
  <c r="CB222" i="46"/>
  <c r="N192" i="49"/>
  <c r="AC192" i="49"/>
  <c r="J266" i="49"/>
  <c r="K425" i="49"/>
  <c r="BW490" i="46"/>
  <c r="K201" i="49"/>
  <c r="BW305" i="46"/>
  <c r="J132" i="49"/>
  <c r="CB285" i="46"/>
  <c r="N132" i="49"/>
  <c r="AC132" i="49"/>
  <c r="AC157" i="49"/>
  <c r="K378" i="49"/>
  <c r="BW443" i="46"/>
  <c r="CB443" i="46"/>
  <c r="N378" i="49"/>
  <c r="AC378" i="49"/>
  <c r="J76" i="49"/>
  <c r="CB298" i="46"/>
  <c r="N76" i="49"/>
  <c r="AC76" i="49"/>
  <c r="CB316" i="46"/>
  <c r="N262" i="49"/>
  <c r="AC262" i="49"/>
  <c r="K149" i="49"/>
  <c r="BW271" i="46"/>
  <c r="J271" i="49"/>
  <c r="AE313" i="46"/>
  <c r="AI313" i="46"/>
  <c r="Q271" i="49"/>
  <c r="AY271" i="49"/>
  <c r="K328" i="49"/>
  <c r="BW17" i="46"/>
  <c r="K402" i="49"/>
  <c r="BW430" i="46"/>
  <c r="AF95" i="46"/>
  <c r="AJ95" i="46"/>
  <c r="BW95" i="46"/>
  <c r="AG95" i="46"/>
  <c r="AK95" i="46"/>
  <c r="K300" i="49"/>
  <c r="BW219" i="46"/>
  <c r="J276" i="49"/>
  <c r="CB269" i="46"/>
  <c r="N276" i="49"/>
  <c r="AC276" i="49"/>
  <c r="K253" i="49"/>
  <c r="BW284" i="46"/>
  <c r="CB284" i="46"/>
  <c r="N253" i="49"/>
  <c r="AC253" i="49"/>
  <c r="J287" i="49"/>
  <c r="CB182" i="46"/>
  <c r="N283" i="49"/>
  <c r="AC283" i="49"/>
  <c r="CB265" i="46"/>
  <c r="N188" i="49"/>
  <c r="AC188" i="49"/>
  <c r="K267" i="49"/>
  <c r="BW301" i="46"/>
  <c r="J237" i="49"/>
  <c r="CB318" i="46"/>
  <c r="N239" i="49"/>
  <c r="AC239" i="49"/>
  <c r="K187" i="49"/>
  <c r="BW264" i="46"/>
  <c r="CB264" i="46"/>
  <c r="N187" i="49"/>
  <c r="AC187" i="49"/>
  <c r="J329" i="49"/>
  <c r="AC366" i="49"/>
  <c r="K427" i="49"/>
  <c r="BW496" i="46"/>
  <c r="CB496" i="46"/>
  <c r="N427" i="49"/>
  <c r="J231" i="49"/>
  <c r="K309" i="49"/>
  <c r="BW337" i="46"/>
  <c r="K142" i="49"/>
  <c r="BW348" i="46"/>
  <c r="K304" i="49"/>
  <c r="BW185" i="46"/>
  <c r="J305" i="49"/>
  <c r="CB250" i="46"/>
  <c r="N305" i="49"/>
  <c r="AC305" i="49"/>
  <c r="K346" i="49"/>
  <c r="BW211" i="46"/>
  <c r="J154" i="49"/>
  <c r="AC179" i="49"/>
  <c r="K186" i="49"/>
  <c r="BW258" i="46"/>
  <c r="K299" i="49"/>
  <c r="BW346" i="46"/>
  <c r="CB381" i="46"/>
  <c r="BW356" i="46"/>
  <c r="AC136" i="49"/>
  <c r="K382" i="49"/>
  <c r="BW423" i="46"/>
  <c r="J389" i="49"/>
  <c r="BW401" i="46"/>
  <c r="K176" i="49"/>
  <c r="BW492" i="46"/>
  <c r="J183" i="49"/>
  <c r="CB255" i="46"/>
  <c r="N183" i="49"/>
  <c r="AC183" i="49"/>
  <c r="CB352" i="46"/>
  <c r="N218" i="49"/>
  <c r="AC218" i="49"/>
  <c r="K173" i="49"/>
  <c r="BW220" i="46"/>
  <c r="CB220" i="46"/>
  <c r="N173" i="49"/>
  <c r="AC173" i="49"/>
  <c r="CB569" i="46"/>
  <c r="N488" i="49"/>
  <c r="AC488" i="49"/>
  <c r="CB487" i="46"/>
  <c r="N424" i="49"/>
  <c r="AC424" i="49"/>
  <c r="K240" i="49"/>
  <c r="BW238" i="46"/>
  <c r="J164" i="49"/>
  <c r="CB241" i="46"/>
  <c r="N164" i="49"/>
  <c r="AC164" i="49"/>
  <c r="CB332" i="46"/>
  <c r="N210" i="49"/>
  <c r="AC210" i="49"/>
  <c r="K180" i="49"/>
  <c r="BW262" i="46"/>
  <c r="K162" i="49"/>
  <c r="BW350" i="46"/>
  <c r="CB455" i="46"/>
  <c r="N368" i="49"/>
  <c r="AC368" i="49"/>
  <c r="K428" i="49"/>
  <c r="BW494" i="46"/>
  <c r="J265" i="49"/>
  <c r="K213" i="49"/>
  <c r="BW275" i="46"/>
  <c r="J303" i="49"/>
  <c r="CB290" i="46"/>
  <c r="N138" i="49"/>
  <c r="AC138" i="49"/>
  <c r="K49" i="49"/>
  <c r="BW64" i="46"/>
  <c r="J388" i="49"/>
  <c r="AC256" i="49"/>
  <c r="BW245" i="49"/>
  <c r="K160" i="49"/>
  <c r="BW353" i="46"/>
  <c r="J178" i="49"/>
  <c r="K246" i="49"/>
  <c r="BW268" i="46"/>
  <c r="T407" i="46"/>
  <c r="BT407" i="46"/>
  <c r="T419" i="46"/>
  <c r="BT419" i="46"/>
  <c r="K377" i="49"/>
  <c r="BW434" i="46"/>
  <c r="K140" i="49"/>
  <c r="BW215" i="46"/>
  <c r="J160" i="49"/>
  <c r="J296" i="49"/>
  <c r="T412" i="46"/>
  <c r="BT412" i="46"/>
  <c r="T409" i="46"/>
  <c r="BT409" i="46"/>
  <c r="BY464" i="46"/>
  <c r="BZ464" i="46"/>
  <c r="CA464" i="46"/>
  <c r="K386" i="49"/>
  <c r="BW458" i="46"/>
  <c r="J377" i="49"/>
  <c r="CB66" i="46"/>
  <c r="CB444" i="46"/>
  <c r="N400" i="49"/>
  <c r="AC400" i="49"/>
  <c r="CB451" i="46"/>
  <c r="N371" i="49"/>
  <c r="AC371" i="49"/>
  <c r="BW463" i="46"/>
  <c r="K209" i="49"/>
  <c r="BW209" i="46"/>
  <c r="J206" i="49"/>
  <c r="J147" i="49"/>
  <c r="K429" i="49"/>
  <c r="BW493" i="46"/>
  <c r="J426" i="49"/>
  <c r="AE489" i="46"/>
  <c r="AI489" i="46"/>
  <c r="Q426" i="49"/>
  <c r="AY426" i="49"/>
  <c r="BW141" i="49"/>
  <c r="BY555" i="46"/>
  <c r="BU555" i="46"/>
  <c r="BV555" i="46"/>
  <c r="BZ555" i="46"/>
  <c r="CA555" i="46"/>
  <c r="I470" i="49"/>
  <c r="AD548" i="46"/>
  <c r="AH548" i="46"/>
  <c r="CA548" i="46"/>
  <c r="BY548" i="46"/>
  <c r="BU548" i="46"/>
  <c r="BV548" i="46"/>
  <c r="BZ548" i="46"/>
  <c r="J134" i="49"/>
  <c r="K260" i="49"/>
  <c r="BW291" i="46"/>
  <c r="J292" i="49"/>
  <c r="AC311" i="49"/>
  <c r="J52" i="49"/>
  <c r="AE62" i="46"/>
  <c r="AI62" i="46"/>
  <c r="Q52" i="49"/>
  <c r="AY52" i="49"/>
  <c r="L236" i="49"/>
  <c r="L245" i="49"/>
  <c r="K178" i="49"/>
  <c r="BW257" i="46"/>
  <c r="J198" i="49"/>
  <c r="CB341" i="46"/>
  <c r="N198" i="49"/>
  <c r="AC198" i="49"/>
  <c r="K135" i="49"/>
  <c r="BW251" i="46"/>
  <c r="J268" i="49"/>
  <c r="CB311" i="46"/>
  <c r="N268" i="49"/>
  <c r="AC268" i="49"/>
  <c r="CB340" i="46"/>
  <c r="N139" i="49"/>
  <c r="AC139" i="49"/>
  <c r="K200" i="49"/>
  <c r="BW254" i="46"/>
  <c r="J156" i="49"/>
  <c r="CB221" i="46"/>
  <c r="N156" i="49"/>
  <c r="AC156" i="49"/>
  <c r="CB268" i="46"/>
  <c r="N246" i="49"/>
  <c r="AC246" i="49"/>
  <c r="K250" i="49"/>
  <c r="BW208" i="46"/>
  <c r="J332" i="49"/>
  <c r="T421" i="46"/>
  <c r="BT421" i="46"/>
  <c r="T417" i="46"/>
  <c r="BT417" i="46"/>
  <c r="T413" i="46"/>
  <c r="BT413" i="46"/>
  <c r="T415" i="46"/>
  <c r="BT415" i="46"/>
  <c r="J370" i="49"/>
  <c r="AC386" i="49"/>
  <c r="K423" i="49"/>
  <c r="BW486" i="46"/>
  <c r="BW66" i="46"/>
  <c r="J400" i="49"/>
  <c r="CB463" i="46"/>
  <c r="CB450" i="46"/>
  <c r="N381" i="49"/>
  <c r="AC381" i="49"/>
  <c r="T89" i="46"/>
  <c r="BT89" i="46"/>
  <c r="BY96" i="46"/>
  <c r="BZ96" i="46"/>
  <c r="CA96" i="46"/>
  <c r="J242" i="49"/>
  <c r="K220" i="49"/>
  <c r="BW299" i="46"/>
  <c r="J228" i="49"/>
  <c r="CB297" i="46"/>
  <c r="N228" i="49"/>
  <c r="AC228" i="49"/>
  <c r="K150" i="49"/>
  <c r="BW317" i="46"/>
  <c r="J251" i="49"/>
  <c r="CB180" i="46"/>
  <c r="N295" i="49"/>
  <c r="AC295" i="49"/>
  <c r="K167" i="49"/>
  <c r="BW294" i="46"/>
  <c r="AF294" i="46"/>
  <c r="AJ294" i="46"/>
  <c r="R167" i="49"/>
  <c r="BV167" i="49"/>
  <c r="J5" i="49"/>
  <c r="AE198" i="46"/>
  <c r="AI198" i="46"/>
  <c r="Q5" i="49"/>
  <c r="CB198" i="46"/>
  <c r="N5" i="49"/>
  <c r="AC5" i="49"/>
  <c r="CB334" i="46"/>
  <c r="N147" i="49"/>
  <c r="AC147" i="49"/>
  <c r="K196" i="49"/>
  <c r="BW216" i="46"/>
  <c r="J326" i="49"/>
  <c r="CB375" i="46"/>
  <c r="N326" i="49"/>
  <c r="AC326" i="49"/>
  <c r="CB63" i="46"/>
  <c r="N53" i="49"/>
  <c r="AC53" i="49"/>
  <c r="K369" i="49"/>
  <c r="BW431" i="46"/>
  <c r="J397" i="49"/>
  <c r="CB437" i="46"/>
  <c r="N392" i="49"/>
  <c r="AC392" i="49"/>
  <c r="K384" i="49"/>
  <c r="BW429" i="46"/>
  <c r="J347" i="49"/>
  <c r="CB493" i="46"/>
  <c r="N429" i="49"/>
  <c r="AC429" i="49"/>
  <c r="K232" i="49"/>
  <c r="BW288" i="46"/>
  <c r="CB288" i="46"/>
  <c r="N232" i="49"/>
  <c r="AC232" i="49"/>
  <c r="J177" i="49"/>
  <c r="AC222" i="49"/>
  <c r="K494" i="49"/>
  <c r="BW113" i="46"/>
  <c r="I463" i="49"/>
  <c r="BY553" i="46"/>
  <c r="BZ553" i="46"/>
  <c r="BU553" i="46"/>
  <c r="BV553" i="46"/>
  <c r="CA553" i="46"/>
  <c r="J437" i="49"/>
  <c r="CB510" i="46"/>
  <c r="N437" i="49"/>
  <c r="J492" i="49"/>
  <c r="AE109" i="46"/>
  <c r="AD492" i="49"/>
  <c r="AC492" i="49"/>
  <c r="CB225" i="46"/>
  <c r="N134" i="49"/>
  <c r="AC134" i="49"/>
  <c r="K243" i="49"/>
  <c r="BW349" i="46"/>
  <c r="J310" i="49"/>
  <c r="K229" i="49"/>
  <c r="BW329" i="46"/>
  <c r="J159" i="49"/>
  <c r="AC216" i="49"/>
  <c r="CB282" i="46"/>
  <c r="N282" i="49"/>
  <c r="AC282" i="49"/>
  <c r="K311" i="49"/>
  <c r="BW218" i="46"/>
  <c r="K259" i="49"/>
  <c r="BW322" i="46"/>
  <c r="CB62" i="46"/>
  <c r="N52" i="49"/>
  <c r="AC52" i="49"/>
  <c r="J487" i="49"/>
  <c r="J301" i="49"/>
  <c r="J290" i="49"/>
  <c r="K278" i="49"/>
  <c r="BW345" i="46"/>
  <c r="CB345" i="46"/>
  <c r="N278" i="49"/>
  <c r="K233" i="49"/>
  <c r="BW328" i="46"/>
  <c r="CB328" i="46"/>
  <c r="N233" i="49"/>
  <c r="AC233" i="49"/>
  <c r="T157" i="46"/>
  <c r="BT157" i="46"/>
  <c r="T156" i="46"/>
  <c r="BT156" i="46"/>
  <c r="T170" i="46"/>
  <c r="BT170" i="46"/>
  <c r="T139" i="46"/>
  <c r="BT139" i="46"/>
  <c r="T143" i="46"/>
  <c r="BT143" i="46"/>
  <c r="T144" i="46"/>
  <c r="BT144" i="46"/>
  <c r="T133" i="46"/>
  <c r="BT133" i="46"/>
  <c r="T132" i="46"/>
  <c r="BT132" i="46"/>
  <c r="T127" i="46"/>
  <c r="BT127" i="46"/>
  <c r="T130" i="46"/>
  <c r="BT130" i="46"/>
  <c r="T137" i="46"/>
  <c r="BT137" i="46"/>
  <c r="T166" i="46"/>
  <c r="BT166" i="46"/>
  <c r="T160" i="46"/>
  <c r="BT160" i="46"/>
  <c r="T155" i="46"/>
  <c r="BT155" i="46"/>
  <c r="K263" i="49"/>
  <c r="BW179" i="46"/>
  <c r="J373" i="49"/>
  <c r="K152" i="49"/>
  <c r="BW424" i="46"/>
  <c r="J133" i="49"/>
  <c r="CB242" i="46"/>
  <c r="N133" i="49"/>
  <c r="AC133" i="49"/>
  <c r="AC286" i="49"/>
  <c r="J344" i="49"/>
  <c r="K430" i="49"/>
  <c r="BW495" i="46"/>
  <c r="BX75" i="49"/>
  <c r="BW75" i="49"/>
  <c r="I467" i="49"/>
  <c r="BY554" i="46"/>
  <c r="BZ554" i="46"/>
  <c r="BU554" i="46"/>
  <c r="BV554" i="46"/>
  <c r="CA554" i="46"/>
  <c r="I472" i="49"/>
  <c r="BY538" i="46"/>
  <c r="BZ538" i="46"/>
  <c r="CA538" i="46"/>
  <c r="BU538" i="46"/>
  <c r="BV538" i="46"/>
  <c r="BT117" i="46"/>
  <c r="X118" i="46"/>
  <c r="AC115" i="46"/>
  <c r="AC116" i="46"/>
  <c r="V118" i="46"/>
  <c r="AA115" i="46"/>
  <c r="AA116" i="46"/>
  <c r="W118" i="46"/>
  <c r="AB115" i="46"/>
  <c r="AB116" i="46"/>
  <c r="U118" i="46"/>
  <c r="Z115" i="46"/>
  <c r="Z116" i="46"/>
  <c r="T484" i="46"/>
  <c r="BT484" i="46"/>
  <c r="T481" i="46"/>
  <c r="BT481" i="46"/>
  <c r="T470" i="46"/>
  <c r="BT470" i="46"/>
  <c r="T477" i="46"/>
  <c r="BT477" i="46"/>
  <c r="K385" i="49"/>
  <c r="BW461" i="46"/>
  <c r="AF461" i="46"/>
  <c r="AJ461" i="46"/>
  <c r="R385" i="49"/>
  <c r="BV385" i="49"/>
  <c r="AD385" i="49"/>
  <c r="AC385" i="49"/>
  <c r="BW511" i="46"/>
  <c r="AG511" i="46"/>
  <c r="AK511" i="46"/>
  <c r="AF511" i="46"/>
  <c r="AJ511" i="46"/>
  <c r="K71" i="49"/>
  <c r="BW93" i="46"/>
  <c r="CB93" i="46"/>
  <c r="N71" i="49"/>
  <c r="AC71" i="49"/>
  <c r="CB116" i="46"/>
  <c r="J486" i="49"/>
  <c r="J189" i="49"/>
  <c r="AE330" i="46"/>
  <c r="AI330" i="46"/>
  <c r="Q189" i="49"/>
  <c r="AY189" i="49"/>
  <c r="J241" i="49"/>
  <c r="T8" i="46"/>
  <c r="BT8" i="46"/>
  <c r="T9" i="46"/>
  <c r="BT9" i="46"/>
  <c r="BY18" i="46"/>
  <c r="BZ18" i="46"/>
  <c r="CA18" i="46"/>
  <c r="CB240" i="46"/>
  <c r="N230" i="49"/>
  <c r="AC230" i="49"/>
  <c r="T393" i="46"/>
  <c r="BT393" i="46"/>
  <c r="T389" i="46"/>
  <c r="BT389" i="46"/>
  <c r="T391" i="46"/>
  <c r="BT391" i="46"/>
  <c r="BA236" i="49"/>
  <c r="T503" i="46"/>
  <c r="BT503" i="46"/>
  <c r="S513" i="46"/>
  <c r="BY512" i="46"/>
  <c r="BZ512" i="46"/>
  <c r="CA512" i="46"/>
  <c r="T57" i="46"/>
  <c r="BT57" i="46"/>
  <c r="T54" i="46"/>
  <c r="BT54" i="46"/>
  <c r="T74" i="46"/>
  <c r="BT74" i="46"/>
  <c r="S83" i="46"/>
  <c r="T71" i="46"/>
  <c r="BT71" i="46"/>
  <c r="L223" i="49"/>
  <c r="T568" i="46"/>
  <c r="BT568" i="46"/>
  <c r="T566" i="46"/>
  <c r="BT566" i="46"/>
  <c r="BA308" i="49"/>
  <c r="CB323" i="46"/>
  <c r="N197" i="49"/>
  <c r="J255" i="49"/>
  <c r="K249" i="49"/>
  <c r="BW206" i="46"/>
  <c r="J331" i="49"/>
  <c r="CB378" i="46"/>
  <c r="N331" i="49"/>
  <c r="AC331" i="49"/>
  <c r="K274" i="49"/>
  <c r="BW234" i="46"/>
  <c r="J379" i="49"/>
  <c r="CB445" i="46"/>
  <c r="N379" i="49"/>
  <c r="AC379" i="49"/>
  <c r="K235" i="49"/>
  <c r="BW236" i="46"/>
  <c r="J153" i="49"/>
  <c r="CB491" i="46"/>
  <c r="N153" i="49"/>
  <c r="AC153" i="49"/>
  <c r="K270" i="49"/>
  <c r="BW239" i="46"/>
  <c r="CB239" i="46"/>
  <c r="N270" i="49"/>
  <c r="AC270" i="49"/>
  <c r="J191" i="49"/>
  <c r="CB202" i="46"/>
  <c r="N191" i="49"/>
  <c r="AC191" i="49"/>
  <c r="K195" i="49"/>
  <c r="BW347" i="46"/>
  <c r="CB347" i="46"/>
  <c r="N195" i="49"/>
  <c r="AC195" i="49"/>
  <c r="J307" i="49"/>
  <c r="AC161" i="49"/>
  <c r="K182" i="49"/>
  <c r="BW214" i="46"/>
  <c r="J155" i="49"/>
  <c r="K380" i="49"/>
  <c r="BW428" i="46"/>
  <c r="J225" i="49"/>
  <c r="CB207" i="46"/>
  <c r="N225" i="49"/>
  <c r="AC225" i="49"/>
  <c r="J145" i="49"/>
  <c r="J367" i="49"/>
  <c r="CB454" i="46"/>
  <c r="N367" i="49"/>
  <c r="AC367" i="49"/>
  <c r="J248" i="49"/>
  <c r="CB300" i="46"/>
  <c r="N248" i="49"/>
  <c r="AC248" i="49"/>
  <c r="J293" i="49"/>
  <c r="CB188" i="46"/>
  <c r="N291" i="49"/>
  <c r="AC291" i="49"/>
  <c r="K298" i="49"/>
  <c r="BW205" i="46"/>
  <c r="J215" i="49"/>
  <c r="CB270" i="46"/>
  <c r="N151" i="49"/>
  <c r="AC151" i="49"/>
  <c r="BW573" i="46"/>
  <c r="CB457" i="46"/>
  <c r="N365" i="49"/>
  <c r="AC365" i="49"/>
  <c r="J63" i="49"/>
  <c r="CB94" i="46"/>
  <c r="N63" i="49"/>
  <c r="AC63" i="49"/>
  <c r="J284" i="49"/>
  <c r="CB339" i="46"/>
  <c r="N275" i="49"/>
  <c r="AC275" i="49"/>
  <c r="K184" i="49"/>
  <c r="BW259" i="46"/>
  <c r="CB259" i="46"/>
  <c r="N184" i="49"/>
  <c r="AC184" i="49"/>
  <c r="J171" i="49"/>
  <c r="AE190" i="46"/>
  <c r="AI190" i="46"/>
  <c r="Q171" i="49"/>
  <c r="AY171" i="49"/>
  <c r="AC214" i="49"/>
  <c r="J158" i="49"/>
  <c r="J288" i="49"/>
  <c r="AC280" i="49"/>
  <c r="K192" i="49"/>
  <c r="BW222" i="46"/>
  <c r="K266" i="49"/>
  <c r="BW314" i="46"/>
  <c r="J425" i="49"/>
  <c r="K247" i="49"/>
  <c r="BW231" i="46"/>
  <c r="J201" i="49"/>
  <c r="K181" i="49"/>
  <c r="BW260" i="46"/>
  <c r="J378" i="49"/>
  <c r="J262" i="49"/>
  <c r="J149" i="49"/>
  <c r="CB271" i="46"/>
  <c r="N149" i="49"/>
  <c r="AC149" i="49"/>
  <c r="CB313" i="46"/>
  <c r="N271" i="49"/>
  <c r="AC271" i="49"/>
  <c r="CB229" i="46"/>
  <c r="N170" i="49"/>
  <c r="AC170" i="49"/>
  <c r="K172" i="49"/>
  <c r="BW196" i="46"/>
  <c r="J328" i="49"/>
  <c r="K348" i="49"/>
  <c r="BW447" i="46"/>
  <c r="J402" i="49"/>
  <c r="CB430" i="46"/>
  <c r="N402" i="49"/>
  <c r="AC402" i="49"/>
  <c r="K238" i="49"/>
  <c r="BW243" i="46"/>
  <c r="CB243" i="46"/>
  <c r="N238" i="49"/>
  <c r="AC238" i="49"/>
  <c r="J300" i="49"/>
  <c r="CB219" i="46"/>
  <c r="N300" i="49"/>
  <c r="AC300" i="49"/>
  <c r="CB293" i="46"/>
  <c r="N166" i="49"/>
  <c r="AC166" i="49"/>
  <c r="J279" i="49"/>
  <c r="J253" i="49"/>
  <c r="AE284" i="46"/>
  <c r="AI284" i="46"/>
  <c r="Q253" i="49"/>
  <c r="AY253" i="49"/>
  <c r="CB184" i="46"/>
  <c r="N287" i="49"/>
  <c r="AC287" i="49"/>
  <c r="K188" i="49"/>
  <c r="BW265" i="46"/>
  <c r="J267" i="49"/>
  <c r="AE301" i="46"/>
  <c r="AI301" i="46"/>
  <c r="Q267" i="49"/>
  <c r="AY267" i="49"/>
  <c r="J227" i="49"/>
  <c r="J187" i="49"/>
  <c r="CB380" i="46"/>
  <c r="N329" i="49"/>
  <c r="AC329" i="49"/>
  <c r="K219" i="49"/>
  <c r="BW193" i="46"/>
  <c r="J427" i="49"/>
  <c r="CB189" i="46"/>
  <c r="N231" i="49"/>
  <c r="AC231" i="49"/>
  <c r="K212" i="49"/>
  <c r="BW273" i="46"/>
  <c r="J309" i="49"/>
  <c r="CB337" i="46"/>
  <c r="N309" i="49"/>
  <c r="AC309" i="49"/>
  <c r="K165" i="49"/>
  <c r="BW292" i="46"/>
  <c r="CB292" i="46"/>
  <c r="N165" i="49"/>
  <c r="AC165" i="49"/>
  <c r="J304" i="49"/>
  <c r="CB185" i="46"/>
  <c r="N304" i="49"/>
  <c r="AC304" i="49"/>
  <c r="CB224" i="46"/>
  <c r="N226" i="49"/>
  <c r="AC226" i="49"/>
  <c r="K294" i="49"/>
  <c r="BW315" i="46"/>
  <c r="CB315" i="46"/>
  <c r="N294" i="49"/>
  <c r="AC294" i="49"/>
  <c r="J346" i="49"/>
  <c r="CB211" i="46"/>
  <c r="N346" i="49"/>
  <c r="AC346" i="49"/>
  <c r="AC154" i="49"/>
  <c r="K146" i="49"/>
  <c r="BW194" i="46"/>
  <c r="CB194" i="46"/>
  <c r="N146" i="49"/>
  <c r="AC146" i="49"/>
  <c r="J186" i="49"/>
  <c r="CB258" i="46"/>
  <c r="N186" i="49"/>
  <c r="AC186" i="49"/>
  <c r="CB346" i="46"/>
  <c r="N299" i="49"/>
  <c r="AC299" i="49"/>
  <c r="K175" i="49"/>
  <c r="BW186" i="46"/>
  <c r="J50" i="49"/>
  <c r="J382" i="49"/>
  <c r="CB423" i="46"/>
  <c r="N382" i="49"/>
  <c r="AC382" i="49"/>
  <c r="CB452" i="46"/>
  <c r="N389" i="49"/>
  <c r="AC389" i="49"/>
  <c r="J176" i="49"/>
  <c r="J218" i="49"/>
  <c r="J173" i="49"/>
  <c r="K424" i="49"/>
  <c r="BW487" i="46"/>
  <c r="J240" i="49"/>
  <c r="CB238" i="46"/>
  <c r="N240" i="49"/>
  <c r="AC240" i="49"/>
  <c r="J210" i="49"/>
  <c r="J180" i="49"/>
  <c r="AE262" i="46"/>
  <c r="AI262" i="46"/>
  <c r="Q180" i="49"/>
  <c r="AY180" i="49"/>
  <c r="K368" i="49"/>
  <c r="BW455" i="46"/>
  <c r="J428" i="49"/>
  <c r="AE494" i="46"/>
  <c r="AI494" i="46"/>
  <c r="Q428" i="49"/>
  <c r="AY428" i="49"/>
  <c r="K272" i="49"/>
  <c r="BW333" i="46"/>
  <c r="J213" i="49"/>
  <c r="CB275" i="46"/>
  <c r="N213" i="49"/>
  <c r="AC213" i="49"/>
  <c r="CB295" i="46"/>
  <c r="N303" i="49"/>
  <c r="AC303" i="49"/>
  <c r="K138" i="49"/>
  <c r="BW290" i="46"/>
  <c r="J49" i="49"/>
  <c r="AC388" i="49"/>
  <c r="K403" i="49"/>
  <c r="BW497" i="46"/>
  <c r="CB497" i="46"/>
  <c r="N403" i="49"/>
  <c r="AC403" i="49"/>
  <c r="J135" i="49"/>
  <c r="T410" i="46"/>
  <c r="BT410" i="46"/>
  <c r="J281" i="49"/>
  <c r="K387" i="49"/>
  <c r="BW439" i="46"/>
  <c r="I69" i="49"/>
  <c r="AD87" i="46"/>
  <c r="BY87" i="46"/>
  <c r="BV87" i="46"/>
  <c r="BZ87" i="46"/>
  <c r="BU87" i="46"/>
  <c r="CA87" i="46"/>
  <c r="T91" i="46"/>
  <c r="BT91" i="46"/>
  <c r="K345" i="49"/>
  <c r="BW399" i="46"/>
  <c r="K193" i="49"/>
  <c r="BW199" i="46"/>
  <c r="J220" i="49"/>
  <c r="K206" i="49"/>
  <c r="BW325" i="46"/>
  <c r="CB325" i="46"/>
  <c r="N206" i="49"/>
  <c r="AC206" i="49"/>
  <c r="J150" i="49"/>
  <c r="AC251" i="49"/>
  <c r="K234" i="49"/>
  <c r="BW178" i="46"/>
  <c r="CB178" i="46"/>
  <c r="N234" i="49"/>
  <c r="AC234" i="49"/>
  <c r="J167" i="49"/>
  <c r="AE294" i="46"/>
  <c r="AI294" i="46"/>
  <c r="Q167" i="49"/>
  <c r="AY167" i="49"/>
  <c r="K285" i="49"/>
  <c r="BW276" i="46"/>
  <c r="J196" i="49"/>
  <c r="J369" i="49"/>
  <c r="CB427" i="46"/>
  <c r="N396" i="49"/>
  <c r="AC396" i="49"/>
  <c r="K392" i="49"/>
  <c r="BW437" i="46"/>
  <c r="J384" i="49"/>
  <c r="AC347" i="49"/>
  <c r="K426" i="49"/>
  <c r="BW489" i="46"/>
  <c r="J232" i="49"/>
  <c r="CB256" i="46"/>
  <c r="N177" i="49"/>
  <c r="AC177" i="49"/>
  <c r="T578" i="46"/>
  <c r="BT578" i="46"/>
  <c r="L141" i="49"/>
  <c r="J494" i="49"/>
  <c r="CB113" i="46"/>
  <c r="N494" i="49"/>
  <c r="AC494" i="49"/>
  <c r="AC437" i="49"/>
  <c r="AH109" i="46"/>
  <c r="K134" i="49"/>
  <c r="BW225" i="46"/>
  <c r="J243" i="49"/>
  <c r="AC310" i="49"/>
  <c r="K292" i="49"/>
  <c r="BW213" i="46"/>
  <c r="J229" i="49"/>
  <c r="CB329" i="46"/>
  <c r="N229" i="49"/>
  <c r="AC229" i="49"/>
  <c r="CB309" i="46"/>
  <c r="N159" i="49"/>
  <c r="AC159" i="49"/>
  <c r="K282" i="49"/>
  <c r="BW282" i="46"/>
  <c r="J311" i="49"/>
  <c r="CB322" i="46"/>
  <c r="N259" i="49"/>
  <c r="AC259" i="49"/>
  <c r="CB204" i="46"/>
  <c r="N306" i="49"/>
  <c r="AC306" i="49"/>
  <c r="K52" i="49"/>
  <c r="BW62" i="46"/>
  <c r="I489" i="49"/>
  <c r="CA114" i="46"/>
  <c r="BZ114" i="46"/>
  <c r="BU114" i="46"/>
  <c r="BV114" i="46"/>
  <c r="BY114" i="46"/>
  <c r="K144" i="49"/>
  <c r="BW227" i="46"/>
  <c r="K301" i="49"/>
  <c r="BW302" i="46"/>
  <c r="CB302" i="46"/>
  <c r="N301" i="49"/>
  <c r="AC301" i="49"/>
  <c r="AC290" i="49"/>
  <c r="K205" i="49"/>
  <c r="BW321" i="46"/>
  <c r="J278" i="49"/>
  <c r="K208" i="49"/>
  <c r="BW210" i="46"/>
  <c r="T174" i="46"/>
  <c r="BT174" i="46"/>
  <c r="T168" i="46"/>
  <c r="BT168" i="46"/>
  <c r="T150" i="46"/>
  <c r="BT150" i="46"/>
  <c r="T153" i="46"/>
  <c r="BT153" i="46"/>
  <c r="T152" i="46"/>
  <c r="BT152" i="46"/>
  <c r="S358" i="46"/>
  <c r="T120" i="46"/>
  <c r="BT120" i="46"/>
  <c r="T129" i="46"/>
  <c r="BT129" i="46"/>
  <c r="T151" i="46"/>
  <c r="BT151" i="46"/>
  <c r="T158" i="46"/>
  <c r="BT158" i="46"/>
  <c r="T162" i="46"/>
  <c r="BT162" i="46"/>
  <c r="T121" i="46"/>
  <c r="BT121" i="46"/>
  <c r="T135" i="46"/>
  <c r="BT135" i="46"/>
  <c r="T141" i="46"/>
  <c r="BT141" i="46"/>
  <c r="T164" i="46"/>
  <c r="BT164" i="46"/>
  <c r="J263" i="49"/>
  <c r="AC373" i="49"/>
  <c r="K383" i="49"/>
  <c r="BW459" i="46"/>
  <c r="J152" i="49"/>
  <c r="CB424" i="46"/>
  <c r="N152" i="49"/>
  <c r="AC152" i="49"/>
  <c r="J277" i="49"/>
  <c r="J430" i="49"/>
  <c r="I438" i="49"/>
  <c r="CA551" i="46"/>
  <c r="BZ551" i="46"/>
  <c r="BU551" i="46"/>
  <c r="BV551" i="46"/>
  <c r="BY551" i="46"/>
  <c r="T476" i="46"/>
  <c r="BT476" i="46"/>
  <c r="T485" i="46"/>
  <c r="BT485" i="46"/>
  <c r="T478" i="46"/>
  <c r="BT478" i="46"/>
  <c r="T479" i="46"/>
  <c r="BT479" i="46"/>
  <c r="T473" i="46"/>
  <c r="BT473" i="46"/>
  <c r="J385" i="49"/>
  <c r="AE461" i="46"/>
  <c r="AI461" i="46"/>
  <c r="Q385" i="49"/>
  <c r="AY385" i="49"/>
  <c r="CB572" i="46"/>
  <c r="N486" i="49"/>
  <c r="AC486" i="49"/>
  <c r="K143" i="49"/>
  <c r="BW228" i="46"/>
  <c r="CB248" i="46"/>
  <c r="N258" i="49"/>
  <c r="AC258" i="49"/>
  <c r="K422" i="49"/>
  <c r="BW488" i="46"/>
  <c r="K189" i="49"/>
  <c r="BW330" i="46"/>
  <c r="S19" i="46"/>
  <c r="T6" i="46"/>
  <c r="BT6" i="46"/>
  <c r="T12" i="46"/>
  <c r="BT12" i="46"/>
  <c r="T14" i="46"/>
  <c r="BT14" i="46"/>
  <c r="K230" i="49"/>
  <c r="BW240" i="46"/>
  <c r="T392" i="46"/>
  <c r="BT392" i="46"/>
  <c r="T396" i="46"/>
  <c r="BT396" i="46"/>
  <c r="T388" i="46"/>
  <c r="BT388" i="46"/>
  <c r="AZ245" i="49"/>
  <c r="I468" i="49"/>
  <c r="BY540" i="46"/>
  <c r="CA540" i="46"/>
  <c r="BU540" i="46"/>
  <c r="BV540" i="46"/>
  <c r="BZ540" i="46"/>
  <c r="T506" i="46"/>
  <c r="BT506" i="46"/>
  <c r="T56" i="46"/>
  <c r="BT56" i="46"/>
  <c r="T58" i="46"/>
  <c r="BT58" i="46"/>
  <c r="BY67" i="46"/>
  <c r="BZ67" i="46"/>
  <c r="CA67" i="46"/>
  <c r="T77" i="46"/>
  <c r="BT77" i="46"/>
  <c r="T73" i="46"/>
  <c r="BT73" i="46"/>
  <c r="BW223" i="49"/>
  <c r="T564" i="46"/>
  <c r="BT564" i="46"/>
  <c r="T562" i="46"/>
  <c r="BT562" i="46"/>
  <c r="I491" i="49"/>
  <c r="BY110" i="46"/>
  <c r="BZ110" i="46"/>
  <c r="BU110" i="46"/>
  <c r="BV110" i="46"/>
  <c r="CA110" i="46"/>
  <c r="J197" i="49"/>
  <c r="AE323" i="46"/>
  <c r="AI323" i="46"/>
  <c r="Q197" i="49"/>
  <c r="AY197" i="49"/>
  <c r="BY382" i="46"/>
  <c r="BZ382" i="46"/>
  <c r="CA382" i="46"/>
  <c r="BT49" i="46"/>
  <c r="Q26" i="46"/>
  <c r="S26" i="46"/>
  <c r="Q22" i="46"/>
  <c r="S22" i="46"/>
  <c r="Q42" i="46"/>
  <c r="S42" i="46"/>
  <c r="Q41" i="46"/>
  <c r="S41" i="46"/>
  <c r="Q27" i="46"/>
  <c r="S27" i="46"/>
  <c r="Q37" i="46"/>
  <c r="S37" i="46"/>
  <c r="Q25" i="46"/>
  <c r="S25" i="46"/>
  <c r="BT25" i="46"/>
  <c r="Q36" i="46"/>
  <c r="S36" i="46"/>
  <c r="Q23" i="46"/>
  <c r="S23" i="46"/>
  <c r="Q35" i="46"/>
  <c r="S35" i="46"/>
  <c r="Q38" i="46"/>
  <c r="S38" i="46"/>
  <c r="Q39" i="46"/>
  <c r="S39" i="46"/>
  <c r="Q29" i="46"/>
  <c r="S29" i="46"/>
  <c r="Q33" i="46"/>
  <c r="S33" i="46"/>
  <c r="Q31" i="46"/>
  <c r="S31" i="46"/>
  <c r="Q30" i="46"/>
  <c r="S30" i="46"/>
  <c r="Q40" i="46"/>
  <c r="S40" i="46"/>
  <c r="Q24" i="46"/>
  <c r="S24" i="46"/>
  <c r="Q28" i="46"/>
  <c r="S28" i="46"/>
  <c r="Q32" i="46"/>
  <c r="S32" i="46"/>
  <c r="Q34" i="46"/>
  <c r="S34" i="46"/>
  <c r="AC255" i="49"/>
  <c r="K273" i="49"/>
  <c r="BW233" i="46"/>
  <c r="J249" i="49"/>
  <c r="CB206" i="46"/>
  <c r="N249" i="49"/>
  <c r="AC249" i="49"/>
  <c r="CB81" i="46"/>
  <c r="J274" i="49"/>
  <c r="K399" i="49"/>
  <c r="BW426" i="46"/>
  <c r="J235" i="49"/>
  <c r="K207" i="49"/>
  <c r="BW343" i="46"/>
  <c r="J270" i="49"/>
  <c r="K390" i="49"/>
  <c r="BW425" i="46"/>
  <c r="J195" i="49"/>
  <c r="AC307" i="49"/>
  <c r="K185" i="49"/>
  <c r="BW253" i="46"/>
  <c r="J182" i="49"/>
  <c r="CB214" i="46"/>
  <c r="N182" i="49"/>
  <c r="AC182" i="49"/>
  <c r="CB200" i="46"/>
  <c r="N155" i="49"/>
  <c r="AC155" i="49"/>
  <c r="K401" i="49"/>
  <c r="BW449" i="46"/>
  <c r="J380" i="49"/>
  <c r="K224" i="49"/>
  <c r="BW247" i="46"/>
  <c r="K145" i="49"/>
  <c r="BW344" i="46"/>
  <c r="CB344" i="46"/>
  <c r="N145" i="49"/>
  <c r="AC145" i="49"/>
  <c r="K394" i="49"/>
  <c r="BW453" i="46"/>
  <c r="K248" i="49"/>
  <c r="BW300" i="46"/>
  <c r="AC293" i="49"/>
  <c r="K221" i="49"/>
  <c r="BW335" i="46"/>
  <c r="J298" i="49"/>
  <c r="AC215" i="49"/>
  <c r="K163" i="49"/>
  <c r="BW252" i="46"/>
  <c r="K393" i="49"/>
  <c r="BW440" i="46"/>
  <c r="K63" i="49"/>
  <c r="BW94" i="46"/>
  <c r="K137" i="49"/>
  <c r="BW201" i="46"/>
  <c r="J184" i="49"/>
  <c r="K199" i="49"/>
  <c r="BW266" i="46"/>
  <c r="K158" i="49"/>
  <c r="BW354" i="46"/>
  <c r="K395" i="49"/>
  <c r="BW456" i="46"/>
  <c r="J192" i="49"/>
  <c r="K194" i="49"/>
  <c r="BW263" i="46"/>
  <c r="J247" i="49"/>
  <c r="AE231" i="46"/>
  <c r="AI231" i="46"/>
  <c r="Q247" i="49"/>
  <c r="AY247" i="49"/>
  <c r="CB305" i="46"/>
  <c r="N201" i="49"/>
  <c r="AC201" i="49"/>
  <c r="K157" i="49"/>
  <c r="BW351" i="46"/>
  <c r="J181" i="49"/>
  <c r="K297" i="49"/>
  <c r="BW230" i="46"/>
  <c r="K262" i="49"/>
  <c r="BW316" i="46"/>
  <c r="K170" i="49"/>
  <c r="BW229" i="46"/>
  <c r="J172" i="49"/>
  <c r="CB196" i="46"/>
  <c r="N172" i="49"/>
  <c r="AC172" i="49"/>
  <c r="AC328" i="49"/>
  <c r="J348" i="49"/>
  <c r="CB95" i="46"/>
  <c r="J238" i="49"/>
  <c r="K166" i="49"/>
  <c r="BW293" i="46"/>
  <c r="K279" i="49"/>
  <c r="BW324" i="46"/>
  <c r="K283" i="49"/>
  <c r="BW182" i="46"/>
  <c r="J188" i="49"/>
  <c r="AE265" i="46"/>
  <c r="AI265" i="46"/>
  <c r="Q188" i="49"/>
  <c r="AY188" i="49"/>
  <c r="CB301" i="46"/>
  <c r="N267" i="49"/>
  <c r="AC267" i="49"/>
  <c r="J239" i="49"/>
  <c r="K227" i="49"/>
  <c r="BW338" i="46"/>
  <c r="K366" i="49"/>
  <c r="BW433" i="46"/>
  <c r="J219" i="49"/>
  <c r="AC427" i="49"/>
  <c r="K190" i="49"/>
  <c r="BW226" i="46"/>
  <c r="J212" i="49"/>
  <c r="CB273" i="46"/>
  <c r="N212" i="49"/>
  <c r="AC212" i="49"/>
  <c r="K312" i="49"/>
  <c r="BW278" i="46"/>
  <c r="J165" i="49"/>
  <c r="AE292" i="46"/>
  <c r="AI292" i="46"/>
  <c r="Q165" i="49"/>
  <c r="AY165" i="49"/>
  <c r="K226" i="49"/>
  <c r="BW224" i="46"/>
  <c r="J294" i="49"/>
  <c r="K179" i="49"/>
  <c r="BW261" i="46"/>
  <c r="J146" i="49"/>
  <c r="K485" i="49"/>
  <c r="BW570" i="46"/>
  <c r="CB570" i="46"/>
  <c r="N485" i="49"/>
  <c r="AC485" i="49"/>
  <c r="J175" i="49"/>
  <c r="CB186" i="46"/>
  <c r="N175" i="49"/>
  <c r="AC175" i="49"/>
  <c r="J136" i="49"/>
  <c r="K50" i="49"/>
  <c r="BW65" i="46"/>
  <c r="CB401" i="46"/>
  <c r="AC176" i="49"/>
  <c r="K302" i="49"/>
  <c r="BW303" i="46"/>
  <c r="CB303" i="46"/>
  <c r="N302" i="49"/>
  <c r="AC302" i="49"/>
  <c r="K218" i="49"/>
  <c r="BW352" i="46"/>
  <c r="K488" i="49"/>
  <c r="BW569" i="46"/>
  <c r="K376" i="49"/>
  <c r="BW462" i="46"/>
  <c r="CB462" i="46"/>
  <c r="N376" i="49"/>
  <c r="AC376" i="49"/>
  <c r="J424" i="49"/>
  <c r="K254" i="49"/>
  <c r="BW307" i="46"/>
  <c r="CB307" i="46"/>
  <c r="N254" i="49"/>
  <c r="AC254" i="49"/>
  <c r="K210" i="49"/>
  <c r="BW332" i="46"/>
  <c r="AC180" i="49"/>
  <c r="CB350" i="46"/>
  <c r="N162" i="49"/>
  <c r="AC162" i="49"/>
  <c r="K327" i="49"/>
  <c r="J368" i="49"/>
  <c r="AC428" i="49"/>
  <c r="J252" i="49"/>
  <c r="J272" i="49"/>
  <c r="K202" i="49"/>
  <c r="BW237" i="46"/>
  <c r="J138" i="49"/>
  <c r="AC49" i="49"/>
  <c r="J256" i="49"/>
  <c r="J403" i="49"/>
  <c r="BW236" i="49"/>
  <c r="J200" i="49"/>
  <c r="J250" i="49"/>
  <c r="T418" i="46"/>
  <c r="BT418" i="46"/>
  <c r="BA75" i="49"/>
  <c r="AZ75" i="49"/>
  <c r="CB353" i="46"/>
  <c r="N160" i="49"/>
  <c r="AC160" i="49"/>
  <c r="CB245" i="46"/>
  <c r="N261" i="49"/>
  <c r="AC261" i="49"/>
  <c r="CB251" i="46"/>
  <c r="N135" i="49"/>
  <c r="AC135" i="49"/>
  <c r="J139" i="49"/>
  <c r="CB286" i="46"/>
  <c r="N296" i="49"/>
  <c r="AC296" i="49"/>
  <c r="CB326" i="46"/>
  <c r="N244" i="49"/>
  <c r="AC244" i="49"/>
  <c r="K281" i="49"/>
  <c r="BW310" i="46"/>
  <c r="J387" i="49"/>
  <c r="S97" i="46"/>
  <c r="T86" i="46"/>
  <c r="BT86" i="46"/>
  <c r="J345" i="49"/>
  <c r="CB195" i="46"/>
  <c r="N242" i="49"/>
  <c r="AC242" i="49"/>
  <c r="K264" i="49"/>
  <c r="BW177" i="46"/>
  <c r="J193" i="49"/>
  <c r="K295" i="49"/>
  <c r="BW180" i="46"/>
  <c r="J234" i="49"/>
  <c r="J53" i="49"/>
  <c r="L308" i="49"/>
  <c r="AC384" i="49"/>
  <c r="K306" i="49"/>
  <c r="BW204" i="46"/>
  <c r="CB571" i="46"/>
  <c r="N487" i="49"/>
  <c r="AC487" i="49"/>
  <c r="K289" i="49"/>
  <c r="BW187" i="46"/>
  <c r="J144" i="49"/>
  <c r="K169" i="49"/>
  <c r="BW327" i="46"/>
  <c r="J205" i="49"/>
  <c r="AC278" i="49"/>
  <c r="K217" i="49"/>
  <c r="BW274" i="46"/>
  <c r="J208" i="49"/>
  <c r="T148" i="46"/>
  <c r="BT148" i="46"/>
  <c r="T142" i="46"/>
  <c r="BT142" i="46"/>
  <c r="T140" i="46"/>
  <c r="BT140" i="46"/>
  <c r="T124" i="46"/>
  <c r="BT124" i="46"/>
  <c r="T123" i="46"/>
  <c r="BT123" i="46"/>
  <c r="T159" i="46"/>
  <c r="BT159" i="46"/>
  <c r="T149" i="46"/>
  <c r="BT149" i="46"/>
  <c r="T147" i="46"/>
  <c r="BT147" i="46"/>
  <c r="T173" i="46"/>
  <c r="BT173" i="46"/>
  <c r="T131" i="46"/>
  <c r="BT131" i="46"/>
  <c r="T169" i="46"/>
  <c r="BT169" i="46"/>
  <c r="T167" i="46"/>
  <c r="BT167" i="46"/>
  <c r="T122" i="46"/>
  <c r="BT122" i="46"/>
  <c r="T161" i="46"/>
  <c r="BT161" i="46"/>
  <c r="K374" i="49"/>
  <c r="BW448" i="46"/>
  <c r="J383" i="49"/>
  <c r="K286" i="49"/>
  <c r="BW181" i="46"/>
  <c r="K277" i="49"/>
  <c r="BW308" i="46"/>
  <c r="I51" i="49"/>
  <c r="BY47" i="46"/>
  <c r="BZ47" i="46"/>
  <c r="CA47" i="46"/>
  <c r="BV47" i="46"/>
  <c r="BU47" i="46"/>
  <c r="CB498" i="46"/>
  <c r="AC430" i="49"/>
  <c r="I466" i="49"/>
  <c r="BZ543" i="46"/>
  <c r="CA543" i="46"/>
  <c r="BU543" i="46"/>
  <c r="BV543" i="46"/>
  <c r="BY543" i="46"/>
  <c r="T472" i="46"/>
  <c r="BT472" i="46"/>
  <c r="S500" i="46"/>
  <c r="T468" i="46"/>
  <c r="BT468" i="46"/>
  <c r="T482" i="46"/>
  <c r="BT482" i="46"/>
  <c r="T483" i="46"/>
  <c r="BT483" i="46"/>
  <c r="T471" i="46"/>
  <c r="BT471" i="46"/>
  <c r="CB461" i="46"/>
  <c r="N385" i="49"/>
  <c r="AL511" i="46"/>
  <c r="K391" i="49"/>
  <c r="BW460" i="46"/>
  <c r="J143" i="49"/>
  <c r="K258" i="49"/>
  <c r="BW248" i="46"/>
  <c r="J422" i="49"/>
  <c r="K269" i="49"/>
  <c r="BW212" i="46"/>
  <c r="T10" i="46"/>
  <c r="BT10" i="46"/>
  <c r="T11" i="46"/>
  <c r="BT11" i="46"/>
  <c r="T16" i="46"/>
  <c r="BT16" i="46"/>
  <c r="J230" i="49"/>
  <c r="I38" i="49"/>
  <c r="BY45" i="46"/>
  <c r="BZ45" i="46"/>
  <c r="CA45" i="46"/>
  <c r="BV45" i="46"/>
  <c r="BU45" i="46"/>
  <c r="T394" i="46"/>
  <c r="BT394" i="46"/>
  <c r="T387" i="46"/>
  <c r="BT387" i="46"/>
  <c r="BY402" i="46"/>
  <c r="BZ402" i="46"/>
  <c r="CA402" i="46"/>
  <c r="AE75" i="49"/>
  <c r="I174" i="49"/>
  <c r="CA550" i="46"/>
  <c r="BY550" i="46"/>
  <c r="BZ550" i="46"/>
  <c r="BU550" i="46"/>
  <c r="BV550" i="46"/>
  <c r="T508" i="46"/>
  <c r="BT508" i="46"/>
  <c r="T507" i="46"/>
  <c r="BT507" i="46"/>
  <c r="S68" i="46"/>
  <c r="T53" i="46"/>
  <c r="BT53" i="46"/>
  <c r="T59" i="46"/>
  <c r="BT59" i="46"/>
  <c r="T72" i="46"/>
  <c r="BT72" i="46"/>
  <c r="T75" i="46"/>
  <c r="BT75" i="46"/>
  <c r="BY82" i="46"/>
  <c r="BZ82" i="46"/>
  <c r="CA82" i="46"/>
  <c r="T561" i="46"/>
  <c r="BT561" i="46"/>
  <c r="T565" i="46"/>
  <c r="BT565" i="46"/>
  <c r="T563" i="46"/>
  <c r="BT563" i="46"/>
  <c r="P197" i="49"/>
  <c r="K148" i="49"/>
  <c r="BW289" i="46"/>
  <c r="J273" i="49"/>
  <c r="BW81" i="46"/>
  <c r="K372" i="49"/>
  <c r="BW446" i="46"/>
  <c r="J399" i="49"/>
  <c r="AC235" i="49"/>
  <c r="K168" i="49"/>
  <c r="BW287" i="46"/>
  <c r="J207" i="49"/>
  <c r="K62" i="49"/>
  <c r="BW80" i="46"/>
  <c r="J390" i="49"/>
  <c r="K161" i="49"/>
  <c r="BW355" i="46"/>
  <c r="J185" i="49"/>
  <c r="K398" i="49"/>
  <c r="BW432" i="46"/>
  <c r="J401" i="49"/>
  <c r="K257" i="49"/>
  <c r="BW217" i="46"/>
  <c r="J224" i="49"/>
  <c r="K375" i="49"/>
  <c r="BW436" i="46"/>
  <c r="J394" i="49"/>
  <c r="K291" i="49"/>
  <c r="BW188" i="46"/>
  <c r="J221" i="49"/>
  <c r="K151" i="49"/>
  <c r="BW270" i="46"/>
  <c r="J163" i="49"/>
  <c r="K365" i="49"/>
  <c r="BW457" i="46"/>
  <c r="J393" i="49"/>
  <c r="K275" i="49"/>
  <c r="BW339" i="46"/>
  <c r="J137" i="49"/>
  <c r="K214" i="49"/>
  <c r="BW277" i="46"/>
  <c r="J199" i="49"/>
  <c r="J280" i="49"/>
  <c r="J395" i="49"/>
  <c r="J194" i="49"/>
  <c r="K132" i="49"/>
  <c r="BW285" i="46"/>
  <c r="J157" i="49"/>
  <c r="AC181" i="49"/>
  <c r="K76" i="49"/>
  <c r="BW298" i="46"/>
  <c r="J297" i="49"/>
  <c r="K271" i="49"/>
  <c r="BW313" i="46"/>
  <c r="J170" i="49"/>
  <c r="CB17" i="46"/>
  <c r="AC348" i="49"/>
  <c r="K276" i="49"/>
  <c r="BW269" i="46"/>
  <c r="J166" i="49"/>
  <c r="AE293" i="46"/>
  <c r="AI293" i="46"/>
  <c r="Q166" i="49"/>
  <c r="AY166" i="49"/>
  <c r="K287" i="49"/>
  <c r="BW184" i="46"/>
  <c r="J283" i="49"/>
  <c r="K237" i="49"/>
  <c r="BW249" i="46"/>
  <c r="K239" i="49"/>
  <c r="BW318" i="46"/>
  <c r="AC227" i="49"/>
  <c r="K329" i="49"/>
  <c r="J366" i="49"/>
  <c r="AC219" i="49"/>
  <c r="K231" i="49"/>
  <c r="BW189" i="46"/>
  <c r="J190" i="49"/>
  <c r="J142" i="49"/>
  <c r="J312" i="49"/>
  <c r="K305" i="49"/>
  <c r="BW250" i="46"/>
  <c r="J226" i="49"/>
  <c r="AE224" i="46"/>
  <c r="AI224" i="46"/>
  <c r="Q226" i="49"/>
  <c r="AY226" i="49"/>
  <c r="K154" i="49"/>
  <c r="BW235" i="46"/>
  <c r="J179" i="49"/>
  <c r="J299" i="49"/>
  <c r="J485" i="49"/>
  <c r="K136" i="49"/>
  <c r="BW342" i="46"/>
  <c r="AC50" i="49"/>
  <c r="K389" i="49"/>
  <c r="BW452" i="46"/>
  <c r="K183" i="49"/>
  <c r="BW255" i="46"/>
  <c r="J302" i="49"/>
  <c r="AE303" i="46"/>
  <c r="AI303" i="46"/>
  <c r="Q302" i="49"/>
  <c r="AY302" i="49"/>
  <c r="J488" i="49"/>
  <c r="J376" i="49"/>
  <c r="K164" i="49"/>
  <c r="BW241" i="46"/>
  <c r="J254" i="49"/>
  <c r="J162" i="49"/>
  <c r="AE350" i="46"/>
  <c r="AI350" i="46"/>
  <c r="Q162" i="49"/>
  <c r="AY162" i="49"/>
  <c r="J327" i="49"/>
  <c r="K265" i="49"/>
  <c r="BW244" i="46"/>
  <c r="K252" i="49"/>
  <c r="BW304" i="46"/>
  <c r="K303" i="49"/>
  <c r="BW295" i="46"/>
  <c r="J202" i="49"/>
  <c r="K388" i="49"/>
  <c r="BW442" i="46"/>
  <c r="K256" i="49"/>
  <c r="BW306" i="46"/>
  <c r="CT203" i="49"/>
  <c r="CT204" i="49"/>
  <c r="BW203" i="49"/>
  <c r="AZ203" i="49"/>
  <c r="AZ204" i="49"/>
  <c r="BW204" i="49"/>
  <c r="N205" i="49"/>
  <c r="AC205" i="49"/>
  <c r="CB67" i="46"/>
  <c r="CB548" i="46"/>
  <c r="N470" i="49"/>
  <c r="AL95" i="46"/>
  <c r="CB574" i="46"/>
  <c r="CB542" i="46"/>
  <c r="N462" i="49"/>
  <c r="AC462" i="49"/>
  <c r="CB402" i="46"/>
  <c r="CB47" i="46"/>
  <c r="N51" i="49"/>
  <c r="AC51" i="49"/>
  <c r="CB82" i="46"/>
  <c r="CB545" i="46"/>
  <c r="N461" i="49"/>
  <c r="AC461" i="49"/>
  <c r="CB551" i="46"/>
  <c r="N438" i="49"/>
  <c r="AC438" i="49"/>
  <c r="CB48" i="46"/>
  <c r="CB546" i="46"/>
  <c r="N464" i="49"/>
  <c r="CB553" i="46"/>
  <c r="N463" i="49"/>
  <c r="AC463" i="49"/>
  <c r="CB382" i="46"/>
  <c r="CB464" i="46"/>
  <c r="CB46" i="46"/>
  <c r="N40" i="49"/>
  <c r="CB539" i="46"/>
  <c r="N475" i="49"/>
  <c r="AC475" i="49"/>
  <c r="CB112" i="46"/>
  <c r="N490" i="49"/>
  <c r="AC490" i="49"/>
  <c r="I419" i="49"/>
  <c r="BY468" i="46"/>
  <c r="BZ468" i="46"/>
  <c r="CA468" i="46"/>
  <c r="BU468" i="46"/>
  <c r="BV468" i="46"/>
  <c r="I321" i="49"/>
  <c r="AH373" i="46"/>
  <c r="BZ373" i="46"/>
  <c r="CA373" i="46"/>
  <c r="BY373" i="46"/>
  <c r="I482" i="49"/>
  <c r="BZ565" i="46"/>
  <c r="CA565" i="46"/>
  <c r="BY565" i="46"/>
  <c r="BU565" i="46"/>
  <c r="BV565" i="46"/>
  <c r="I61" i="49"/>
  <c r="BY72" i="46"/>
  <c r="BZ72" i="46"/>
  <c r="CA72" i="46"/>
  <c r="BV72" i="46"/>
  <c r="BU72" i="46"/>
  <c r="I117" i="49"/>
  <c r="BY124" i="46"/>
  <c r="BZ124" i="46"/>
  <c r="CA124" i="46"/>
  <c r="BU124" i="46"/>
  <c r="BV124" i="46"/>
  <c r="I316" i="49"/>
  <c r="CA368" i="46"/>
  <c r="BY368" i="46"/>
  <c r="BZ368" i="46"/>
  <c r="I435" i="49"/>
  <c r="BZ503" i="46"/>
  <c r="CA503" i="46"/>
  <c r="BY503" i="46"/>
  <c r="BU503" i="46"/>
  <c r="BV503" i="46"/>
  <c r="I6" i="49"/>
  <c r="CA9" i="46"/>
  <c r="BU9" i="46"/>
  <c r="BY9" i="46"/>
  <c r="BZ9" i="46"/>
  <c r="CB9" i="46"/>
  <c r="N6" i="49"/>
  <c r="BV9" i="46"/>
  <c r="I417" i="49"/>
  <c r="BZ477" i="46"/>
  <c r="CA477" i="46"/>
  <c r="BY477" i="46"/>
  <c r="BU477" i="46"/>
  <c r="BV477" i="46"/>
  <c r="I79" i="49"/>
  <c r="BZ166" i="46"/>
  <c r="CA166" i="46"/>
  <c r="BY166" i="46"/>
  <c r="BU166" i="46"/>
  <c r="BV166" i="46"/>
  <c r="I112" i="49"/>
  <c r="BY139" i="46"/>
  <c r="BZ139" i="46"/>
  <c r="CA139" i="46"/>
  <c r="BU139" i="46"/>
  <c r="BV139" i="46"/>
  <c r="I349" i="49"/>
  <c r="BY419" i="46"/>
  <c r="BZ419" i="46"/>
  <c r="CA419" i="46"/>
  <c r="BU419" i="46"/>
  <c r="BV419" i="46"/>
  <c r="I78" i="49"/>
  <c r="CA128" i="46"/>
  <c r="BY128" i="46"/>
  <c r="BZ128" i="46"/>
  <c r="BU128" i="46"/>
  <c r="BV128" i="46"/>
  <c r="I102" i="49"/>
  <c r="CA163" i="46"/>
  <c r="BY163" i="46"/>
  <c r="BZ163" i="46"/>
  <c r="BU163" i="46"/>
  <c r="BV163" i="46"/>
  <c r="I362" i="49"/>
  <c r="BY408" i="46"/>
  <c r="BZ408" i="46"/>
  <c r="CA408" i="46"/>
  <c r="BU408" i="46"/>
  <c r="BV408" i="46"/>
  <c r="I353" i="49"/>
  <c r="BY418" i="46"/>
  <c r="BZ418" i="46"/>
  <c r="CA418" i="46"/>
  <c r="BU418" i="46"/>
  <c r="BV418" i="46"/>
  <c r="I317" i="49"/>
  <c r="BZ372" i="46"/>
  <c r="CA372" i="46"/>
  <c r="BY372" i="46"/>
  <c r="I420" i="49"/>
  <c r="CA478" i="46"/>
  <c r="BY478" i="46"/>
  <c r="BZ478" i="46"/>
  <c r="BU478" i="46"/>
  <c r="BV478" i="46"/>
  <c r="I125" i="49"/>
  <c r="BY151" i="46"/>
  <c r="BZ151" i="46"/>
  <c r="CA151" i="46"/>
  <c r="BU151" i="46"/>
  <c r="BV151" i="46"/>
  <c r="I43" i="49"/>
  <c r="BY54" i="46"/>
  <c r="BZ54" i="46"/>
  <c r="CA54" i="46"/>
  <c r="BV54" i="46"/>
  <c r="BU54" i="46"/>
  <c r="I336" i="49"/>
  <c r="BZ389" i="46"/>
  <c r="CA389" i="46"/>
  <c r="BY389" i="46"/>
  <c r="BU389" i="46"/>
  <c r="BV389" i="46"/>
  <c r="I122" i="49"/>
  <c r="CA155" i="46"/>
  <c r="BY155" i="46"/>
  <c r="BZ155" i="46"/>
  <c r="BU155" i="46"/>
  <c r="BV155" i="46"/>
  <c r="I98" i="49"/>
  <c r="CA144" i="46"/>
  <c r="BY144" i="46"/>
  <c r="BZ144" i="46"/>
  <c r="BU144" i="46"/>
  <c r="BV144" i="46"/>
  <c r="I364" i="49"/>
  <c r="CA409" i="46"/>
  <c r="BY409" i="46"/>
  <c r="BZ409" i="46"/>
  <c r="BU409" i="46"/>
  <c r="BV409" i="46"/>
  <c r="I319" i="49"/>
  <c r="AH362" i="46"/>
  <c r="BZ362" i="46"/>
  <c r="CA362" i="46"/>
  <c r="BY362" i="46"/>
  <c r="I333" i="49"/>
  <c r="CA390" i="46"/>
  <c r="BY390" i="46"/>
  <c r="BZ390" i="46"/>
  <c r="BU390" i="46"/>
  <c r="BV390" i="46"/>
  <c r="I415" i="49"/>
  <c r="BY474" i="46"/>
  <c r="BZ474" i="46"/>
  <c r="BU474" i="46"/>
  <c r="BV474" i="46"/>
  <c r="CA474" i="46"/>
  <c r="I114" i="49"/>
  <c r="CA146" i="46"/>
  <c r="BY146" i="46"/>
  <c r="BZ146" i="46"/>
  <c r="BU146" i="46"/>
  <c r="BV146" i="46"/>
  <c r="I354" i="49"/>
  <c r="BY411" i="46"/>
  <c r="BZ411" i="46"/>
  <c r="CA411" i="46"/>
  <c r="BU411" i="46"/>
  <c r="BV411" i="46"/>
  <c r="I350" i="49"/>
  <c r="BY416" i="46"/>
  <c r="BZ416" i="46"/>
  <c r="CA416" i="46"/>
  <c r="BU416" i="46"/>
  <c r="BV416" i="46"/>
  <c r="I65" i="49"/>
  <c r="BY90" i="46"/>
  <c r="BZ90" i="46"/>
  <c r="CA90" i="46"/>
  <c r="BU90" i="46"/>
  <c r="BV90" i="46"/>
  <c r="I361" i="49"/>
  <c r="AD420" i="46"/>
  <c r="AH420" i="46"/>
  <c r="BZ420" i="46"/>
  <c r="BU420" i="46"/>
  <c r="BV420" i="46"/>
  <c r="CA420" i="46"/>
  <c r="BY420" i="46"/>
  <c r="I131" i="49"/>
  <c r="BZ147" i="46"/>
  <c r="CA147" i="46"/>
  <c r="BY147" i="46"/>
  <c r="BU147" i="46"/>
  <c r="BV147" i="46"/>
  <c r="I340" i="49"/>
  <c r="BZ394" i="46"/>
  <c r="CA394" i="46"/>
  <c r="BY394" i="46"/>
  <c r="BU394" i="46"/>
  <c r="BV394" i="46"/>
  <c r="I14" i="49"/>
  <c r="BY16" i="46"/>
  <c r="BZ16" i="46"/>
  <c r="BU16" i="46"/>
  <c r="CA16" i="46"/>
  <c r="BV16" i="46"/>
  <c r="I413" i="49"/>
  <c r="BZ482" i="46"/>
  <c r="CA482" i="46"/>
  <c r="BY482" i="46"/>
  <c r="BU482" i="46"/>
  <c r="BV482" i="46"/>
  <c r="I84" i="49"/>
  <c r="BY167" i="46"/>
  <c r="BZ167" i="46"/>
  <c r="CA167" i="46"/>
  <c r="BU167" i="46"/>
  <c r="BV167" i="46"/>
  <c r="I481" i="49"/>
  <c r="CA562" i="46"/>
  <c r="BZ562" i="46"/>
  <c r="BU562" i="46"/>
  <c r="BV562" i="46"/>
  <c r="BY562" i="46"/>
  <c r="I58" i="49"/>
  <c r="BY73" i="46"/>
  <c r="BZ73" i="46"/>
  <c r="CA73" i="46"/>
  <c r="BU73" i="46"/>
  <c r="BV73" i="46"/>
  <c r="I42" i="49"/>
  <c r="BY56" i="46"/>
  <c r="BZ56" i="46"/>
  <c r="CA56" i="46"/>
  <c r="BV56" i="46"/>
  <c r="BU56" i="46"/>
  <c r="I110" i="49"/>
  <c r="CA135" i="46"/>
  <c r="BY135" i="46"/>
  <c r="BZ135" i="46"/>
  <c r="BU135" i="46"/>
  <c r="BV135" i="46"/>
  <c r="I320" i="49"/>
  <c r="BZ361" i="46"/>
  <c r="CA361" i="46"/>
  <c r="BY361" i="46"/>
  <c r="I484" i="49"/>
  <c r="BY568" i="46"/>
  <c r="CA568" i="46"/>
  <c r="BU568" i="46"/>
  <c r="BV568" i="46"/>
  <c r="BZ568" i="46"/>
  <c r="I91" i="49"/>
  <c r="BZ132" i="46"/>
  <c r="CA132" i="46"/>
  <c r="BY132" i="46"/>
  <c r="BU132" i="46"/>
  <c r="BV132" i="46"/>
  <c r="I55" i="49"/>
  <c r="CA78" i="46"/>
  <c r="BY78" i="46"/>
  <c r="BZ78" i="46"/>
  <c r="BU78" i="46"/>
  <c r="BV78" i="46"/>
  <c r="I434" i="49"/>
  <c r="CA504" i="46"/>
  <c r="BU504" i="46"/>
  <c r="BV504" i="46"/>
  <c r="BY504" i="46"/>
  <c r="BZ504" i="46"/>
  <c r="I12" i="49"/>
  <c r="CA13" i="46"/>
  <c r="BY13" i="46"/>
  <c r="BZ13" i="46"/>
  <c r="BU13" i="46"/>
  <c r="BV13" i="46"/>
  <c r="I409" i="49"/>
  <c r="BZ480" i="46"/>
  <c r="CA480" i="46"/>
  <c r="BU480" i="46"/>
  <c r="BV480" i="46"/>
  <c r="BY480" i="46"/>
  <c r="I86" i="49"/>
  <c r="CA165" i="46"/>
  <c r="BY165" i="46"/>
  <c r="BZ165" i="46"/>
  <c r="BU165" i="46"/>
  <c r="BV165" i="46"/>
  <c r="I68" i="49"/>
  <c r="BZ86" i="46"/>
  <c r="CA86" i="46"/>
  <c r="BY86" i="46"/>
  <c r="CB86" i="46"/>
  <c r="N68" i="49"/>
  <c r="BU86" i="46"/>
  <c r="BV86" i="46"/>
  <c r="I105" i="49"/>
  <c r="BY150" i="46"/>
  <c r="BZ150" i="46"/>
  <c r="CA150" i="46"/>
  <c r="BU150" i="46"/>
  <c r="BV150" i="46"/>
  <c r="I496" i="49"/>
  <c r="BY578" i="46"/>
  <c r="BZ578" i="46"/>
  <c r="CA578" i="46"/>
  <c r="BU578" i="46"/>
  <c r="J496" i="49"/>
  <c r="BV578" i="46"/>
  <c r="I411" i="49"/>
  <c r="BY481" i="46"/>
  <c r="BZ481" i="46"/>
  <c r="CA481" i="46"/>
  <c r="BU481" i="46"/>
  <c r="BV481" i="46"/>
  <c r="I87" i="49"/>
  <c r="BZ130" i="46"/>
  <c r="CA130" i="46"/>
  <c r="BY130" i="46"/>
  <c r="BU130" i="46"/>
  <c r="BV130" i="46"/>
  <c r="I129" i="49"/>
  <c r="BY156" i="46"/>
  <c r="BZ156" i="46"/>
  <c r="CA156" i="46"/>
  <c r="BU156" i="46"/>
  <c r="BV156" i="46"/>
  <c r="I351" i="49"/>
  <c r="CA413" i="46"/>
  <c r="BY413" i="46"/>
  <c r="BZ413" i="46"/>
  <c r="BU413" i="46"/>
  <c r="BV413" i="46"/>
  <c r="I476" i="49"/>
  <c r="BY567" i="46"/>
  <c r="CA567" i="46"/>
  <c r="BU567" i="46"/>
  <c r="BV567" i="46"/>
  <c r="BZ567" i="46"/>
  <c r="I47" i="49"/>
  <c r="AD60" i="46"/>
  <c r="AH60" i="46"/>
  <c r="CA60" i="46"/>
  <c r="BU60" i="46"/>
  <c r="BY60" i="46"/>
  <c r="BZ60" i="46"/>
  <c r="BV60" i="46"/>
  <c r="I11" i="49"/>
  <c r="BY15" i="46"/>
  <c r="BZ15" i="46"/>
  <c r="CA15" i="46"/>
  <c r="BU15" i="46"/>
  <c r="BV15" i="46"/>
  <c r="I77" i="49"/>
  <c r="BY172" i="46"/>
  <c r="BZ172" i="46"/>
  <c r="CA172" i="46"/>
  <c r="BU172" i="46"/>
  <c r="BV172" i="46"/>
  <c r="I90" i="49"/>
  <c r="CA171" i="46"/>
  <c r="BY171" i="46"/>
  <c r="BZ171" i="46"/>
  <c r="BU171" i="46"/>
  <c r="BV171" i="46"/>
  <c r="I70" i="49"/>
  <c r="AD92" i="46"/>
  <c r="AH92" i="46"/>
  <c r="BY92" i="46"/>
  <c r="BU92" i="46"/>
  <c r="BZ92" i="46"/>
  <c r="BV92" i="46"/>
  <c r="CA92" i="46"/>
  <c r="BW256" i="49"/>
  <c r="AZ488" i="49"/>
  <c r="L388" i="49"/>
  <c r="AZ327" i="49"/>
  <c r="L164" i="49"/>
  <c r="AZ299" i="49"/>
  <c r="AZ142" i="49"/>
  <c r="L329" i="49"/>
  <c r="L287" i="49"/>
  <c r="BW276" i="49"/>
  <c r="AZ297" i="49"/>
  <c r="AZ199" i="49"/>
  <c r="BW375" i="49"/>
  <c r="AZ207" i="49"/>
  <c r="I318" i="49"/>
  <c r="BY363" i="46"/>
  <c r="BZ363" i="46"/>
  <c r="CA363" i="46"/>
  <c r="I48" i="49"/>
  <c r="CA53" i="46"/>
  <c r="BY53" i="46"/>
  <c r="BZ53" i="46"/>
  <c r="BU53" i="46"/>
  <c r="BV53" i="46"/>
  <c r="BT500" i="46"/>
  <c r="W501" i="46"/>
  <c r="X501" i="46"/>
  <c r="V501" i="46"/>
  <c r="U501" i="46"/>
  <c r="I418" i="49"/>
  <c r="BY472" i="46"/>
  <c r="BZ472" i="46"/>
  <c r="CA472" i="46"/>
  <c r="BU472" i="46"/>
  <c r="BV472" i="46"/>
  <c r="K51" i="49"/>
  <c r="BW47" i="46"/>
  <c r="I81" i="49"/>
  <c r="BY169" i="46"/>
  <c r="BZ169" i="46"/>
  <c r="CA169" i="46"/>
  <c r="BU169" i="46"/>
  <c r="BV169" i="46"/>
  <c r="I115" i="49"/>
  <c r="BZ140" i="46"/>
  <c r="CA140" i="46"/>
  <c r="BY140" i="46"/>
  <c r="BU140" i="46"/>
  <c r="BV140" i="46"/>
  <c r="L256" i="49"/>
  <c r="BW388" i="49"/>
  <c r="AZ202" i="49"/>
  <c r="BW252" i="49"/>
  <c r="BW164" i="49"/>
  <c r="AZ376" i="49"/>
  <c r="L183" i="49"/>
  <c r="BW389" i="49"/>
  <c r="L136" i="49"/>
  <c r="L305" i="49"/>
  <c r="L237" i="49"/>
  <c r="BW287" i="49"/>
  <c r="BA166" i="49"/>
  <c r="AZ166" i="49"/>
  <c r="AZ170" i="49"/>
  <c r="L132" i="49"/>
  <c r="L275" i="49"/>
  <c r="BW365" i="49"/>
  <c r="L151" i="49"/>
  <c r="BW291" i="49"/>
  <c r="AZ394" i="49"/>
  <c r="L398" i="49"/>
  <c r="BW161" i="49"/>
  <c r="AZ390" i="49"/>
  <c r="L372" i="49"/>
  <c r="BW148" i="49"/>
  <c r="L269" i="49"/>
  <c r="BW258" i="49"/>
  <c r="L391" i="49"/>
  <c r="CB543" i="46"/>
  <c r="N466" i="49"/>
  <c r="AC466" i="49"/>
  <c r="L374" i="49"/>
  <c r="L169" i="49"/>
  <c r="AZ53" i="49"/>
  <c r="AZ234" i="49"/>
  <c r="BT97" i="46"/>
  <c r="W98" i="46"/>
  <c r="U98" i="46"/>
  <c r="X98" i="46"/>
  <c r="V98" i="46"/>
  <c r="AZ139" i="49"/>
  <c r="AZ200" i="49"/>
  <c r="AZ256" i="49"/>
  <c r="AZ138" i="49"/>
  <c r="BW327" i="49"/>
  <c r="L488" i="49"/>
  <c r="AZ136" i="49"/>
  <c r="AZ175" i="49"/>
  <c r="BW485" i="49"/>
  <c r="BW179" i="49"/>
  <c r="AZ294" i="49"/>
  <c r="L366" i="49"/>
  <c r="AZ239" i="49"/>
  <c r="BW283" i="49"/>
  <c r="L279" i="49"/>
  <c r="BW166" i="49"/>
  <c r="AZ238" i="49"/>
  <c r="L170" i="49"/>
  <c r="L297" i="49"/>
  <c r="BW157" i="49"/>
  <c r="BW194" i="49"/>
  <c r="AZ192" i="49"/>
  <c r="BW158" i="49"/>
  <c r="L221" i="49"/>
  <c r="L394" i="49"/>
  <c r="L401" i="49"/>
  <c r="L390" i="49"/>
  <c r="BW207" i="49"/>
  <c r="AZ235" i="49"/>
  <c r="BW273" i="49"/>
  <c r="T32" i="46"/>
  <c r="BT32" i="46"/>
  <c r="T30" i="46"/>
  <c r="BT30" i="46"/>
  <c r="T39" i="46"/>
  <c r="BT39" i="46"/>
  <c r="T36" i="46"/>
  <c r="BT36" i="46"/>
  <c r="T41" i="46"/>
  <c r="BT41" i="46"/>
  <c r="BY49" i="46"/>
  <c r="BZ49" i="46"/>
  <c r="CA49" i="46"/>
  <c r="K491" i="49"/>
  <c r="BW110" i="46"/>
  <c r="BW230" i="49"/>
  <c r="K438" i="49"/>
  <c r="BW551" i="46"/>
  <c r="AZ152" i="49"/>
  <c r="L208" i="49"/>
  <c r="BW205" i="49"/>
  <c r="L144" i="49"/>
  <c r="J489" i="49"/>
  <c r="BW282" i="49"/>
  <c r="L292" i="49"/>
  <c r="BW134" i="49"/>
  <c r="BW426" i="49"/>
  <c r="AZ384" i="49"/>
  <c r="AZ369" i="49"/>
  <c r="AZ196" i="49"/>
  <c r="J69" i="49"/>
  <c r="AE87" i="46"/>
  <c r="BW387" i="49"/>
  <c r="AZ281" i="49"/>
  <c r="AZ213" i="49"/>
  <c r="AZ210" i="49"/>
  <c r="BW424" i="49"/>
  <c r="AZ173" i="49"/>
  <c r="L165" i="49"/>
  <c r="L212" i="49"/>
  <c r="L219" i="49"/>
  <c r="AZ227" i="49"/>
  <c r="AZ267" i="49"/>
  <c r="BA267" i="49"/>
  <c r="BA253" i="49"/>
  <c r="AZ253" i="49"/>
  <c r="AZ300" i="49"/>
  <c r="BW238" i="49"/>
  <c r="BW172" i="49"/>
  <c r="BW181" i="49"/>
  <c r="AZ201" i="49"/>
  <c r="L192" i="49"/>
  <c r="AZ284" i="49"/>
  <c r="BW298" i="49"/>
  <c r="AZ248" i="49"/>
  <c r="AZ225" i="49"/>
  <c r="AZ153" i="49"/>
  <c r="AZ379" i="49"/>
  <c r="BT513" i="46"/>
  <c r="U514" i="46"/>
  <c r="V514" i="46"/>
  <c r="W514" i="46"/>
  <c r="X514" i="46"/>
  <c r="BB236" i="49"/>
  <c r="BW71" i="49"/>
  <c r="Z111" i="46"/>
  <c r="AD111" i="46"/>
  <c r="Z113" i="46"/>
  <c r="AD113" i="46"/>
  <c r="Z114" i="46"/>
  <c r="AD114" i="46"/>
  <c r="Z112" i="46"/>
  <c r="AD112" i="46"/>
  <c r="Z110" i="46"/>
  <c r="BY117" i="46"/>
  <c r="BZ117" i="46"/>
  <c r="CA117" i="46"/>
  <c r="CB554" i="46"/>
  <c r="N467" i="49"/>
  <c r="AC467" i="49"/>
  <c r="BY75" i="49"/>
  <c r="L263" i="49"/>
  <c r="L233" i="49"/>
  <c r="L278" i="49"/>
  <c r="L243" i="49"/>
  <c r="J463" i="49"/>
  <c r="AZ347" i="49"/>
  <c r="AZ397" i="49"/>
  <c r="BW196" i="49"/>
  <c r="L167" i="49"/>
  <c r="AG294" i="46"/>
  <c r="AK294" i="46"/>
  <c r="S167" i="49"/>
  <c r="CS167" i="49"/>
  <c r="L150" i="49"/>
  <c r="L220" i="49"/>
  <c r="CB96" i="46"/>
  <c r="BW423" i="49"/>
  <c r="AZ370" i="49"/>
  <c r="BW250" i="49"/>
  <c r="L200" i="49"/>
  <c r="CT236" i="49"/>
  <c r="BA52" i="49"/>
  <c r="AZ52" i="49"/>
  <c r="AZ292" i="49"/>
  <c r="J470" i="49"/>
  <c r="AE548" i="46"/>
  <c r="AI548" i="46"/>
  <c r="Q470" i="49"/>
  <c r="AY470" i="49"/>
  <c r="AD470" i="49"/>
  <c r="AC470" i="49"/>
  <c r="L429" i="49"/>
  <c r="BW246" i="49"/>
  <c r="AZ178" i="49"/>
  <c r="BW49" i="49"/>
  <c r="BW213" i="49"/>
  <c r="AZ265" i="49"/>
  <c r="L162" i="49"/>
  <c r="BW180" i="49"/>
  <c r="L240" i="49"/>
  <c r="L173" i="49"/>
  <c r="L176" i="49"/>
  <c r="L382" i="49"/>
  <c r="L346" i="49"/>
  <c r="L304" i="49"/>
  <c r="L309" i="49"/>
  <c r="L187" i="49"/>
  <c r="L267" i="49"/>
  <c r="AZ276" i="49"/>
  <c r="L402" i="49"/>
  <c r="L149" i="49"/>
  <c r="AZ132" i="49"/>
  <c r="BW425" i="49"/>
  <c r="BW280" i="49"/>
  <c r="BW288" i="49"/>
  <c r="BW171" i="49"/>
  <c r="AZ275" i="49"/>
  <c r="BW284" i="49"/>
  <c r="L225" i="49"/>
  <c r="AZ398" i="49"/>
  <c r="AZ161" i="49"/>
  <c r="AZ168" i="49"/>
  <c r="L331" i="49"/>
  <c r="BX197" i="49"/>
  <c r="BW197" i="49"/>
  <c r="AZ71" i="49"/>
  <c r="T521" i="46"/>
  <c r="BT521" i="46"/>
  <c r="I455" i="49"/>
  <c r="AD519" i="46"/>
  <c r="BU519" i="46"/>
  <c r="BV519" i="46"/>
  <c r="BY519" i="46"/>
  <c r="BZ519" i="46"/>
  <c r="CA519" i="46"/>
  <c r="T524" i="46"/>
  <c r="BT524" i="46"/>
  <c r="S557" i="46"/>
  <c r="T516" i="46"/>
  <c r="BT516" i="46"/>
  <c r="I449" i="49"/>
  <c r="AD518" i="46"/>
  <c r="CA518" i="46"/>
  <c r="BU518" i="46"/>
  <c r="BV518" i="46"/>
  <c r="BY518" i="46"/>
  <c r="BZ518" i="46"/>
  <c r="T537" i="46"/>
  <c r="BT537" i="46"/>
  <c r="BW344" i="49"/>
  <c r="AZ286" i="49"/>
  <c r="AZ374" i="49"/>
  <c r="AZ233" i="49"/>
  <c r="AZ169" i="49"/>
  <c r="AA102" i="46"/>
  <c r="AA103" i="46"/>
  <c r="AA100" i="46"/>
  <c r="BY106" i="46"/>
  <c r="BZ106" i="46"/>
  <c r="CA106" i="46"/>
  <c r="BX492" i="49"/>
  <c r="BW492" i="49"/>
  <c r="BW177" i="49"/>
  <c r="BA429" i="49"/>
  <c r="AZ429" i="49"/>
  <c r="AZ396" i="49"/>
  <c r="BW53" i="49"/>
  <c r="L147" i="49"/>
  <c r="BW5" i="49"/>
  <c r="AZ295" i="49"/>
  <c r="AZ209" i="49"/>
  <c r="BW242" i="49"/>
  <c r="CB547" i="46"/>
  <c r="N474" i="49"/>
  <c r="AC474" i="49"/>
  <c r="BW244" i="49"/>
  <c r="L139" i="49"/>
  <c r="BW268" i="49"/>
  <c r="BW198" i="49"/>
  <c r="CB111" i="46"/>
  <c r="N493" i="49"/>
  <c r="AC493" i="49"/>
  <c r="BW396" i="49"/>
  <c r="J471" i="49"/>
  <c r="AE544" i="46"/>
  <c r="AI544" i="46"/>
  <c r="Q471" i="49"/>
  <c r="AY471" i="49"/>
  <c r="CB541" i="46"/>
  <c r="N465" i="49"/>
  <c r="AC465" i="49"/>
  <c r="K473" i="49"/>
  <c r="BW552" i="46"/>
  <c r="BW48" i="46"/>
  <c r="K73" i="49"/>
  <c r="BW103" i="46"/>
  <c r="CB549" i="46"/>
  <c r="N469" i="49"/>
  <c r="AC469" i="49"/>
  <c r="J462" i="49"/>
  <c r="K490" i="49"/>
  <c r="BW112" i="46"/>
  <c r="K39" i="49"/>
  <c r="BW44" i="46"/>
  <c r="CB44" i="46"/>
  <c r="N39" i="49"/>
  <c r="AC39" i="49"/>
  <c r="J72" i="49"/>
  <c r="K461" i="49"/>
  <c r="BW545" i="46"/>
  <c r="AZ254" i="49"/>
  <c r="BW183" i="49"/>
  <c r="BW136" i="49"/>
  <c r="AZ485" i="49"/>
  <c r="L154" i="49"/>
  <c r="BW305" i="49"/>
  <c r="AZ312" i="49"/>
  <c r="L231" i="49"/>
  <c r="BW329" i="49"/>
  <c r="L239" i="49"/>
  <c r="BW237" i="49"/>
  <c r="AZ283" i="49"/>
  <c r="L76" i="49"/>
  <c r="BW132" i="49"/>
  <c r="AZ194" i="49"/>
  <c r="AZ395" i="49"/>
  <c r="L214" i="49"/>
  <c r="BW275" i="49"/>
  <c r="AZ393" i="49"/>
  <c r="BW151" i="49"/>
  <c r="AZ221" i="49"/>
  <c r="L257" i="49"/>
  <c r="BW398" i="49"/>
  <c r="AZ185" i="49"/>
  <c r="L168" i="49"/>
  <c r="BW372" i="49"/>
  <c r="AZ273" i="49"/>
  <c r="I483" i="49"/>
  <c r="BY563" i="46"/>
  <c r="BZ563" i="46"/>
  <c r="CA563" i="46"/>
  <c r="BU563" i="46"/>
  <c r="BV563" i="46"/>
  <c r="I57" i="49"/>
  <c r="BY75" i="46"/>
  <c r="BZ75" i="46"/>
  <c r="CA75" i="46"/>
  <c r="BU75" i="46"/>
  <c r="BV75" i="46"/>
  <c r="I431" i="49"/>
  <c r="BY508" i="46"/>
  <c r="BZ508" i="46"/>
  <c r="BU508" i="46"/>
  <c r="BV508" i="46"/>
  <c r="CA508" i="46"/>
  <c r="I338" i="49"/>
  <c r="BY387" i="46"/>
  <c r="BZ387" i="46"/>
  <c r="CA387" i="46"/>
  <c r="BU387" i="46"/>
  <c r="BV387" i="46"/>
  <c r="J38" i="49"/>
  <c r="AZ230" i="49"/>
  <c r="BW269" i="49"/>
  <c r="AZ422" i="49"/>
  <c r="BW391" i="49"/>
  <c r="I408" i="49"/>
  <c r="CA483" i="46"/>
  <c r="BY483" i="46"/>
  <c r="BZ483" i="46"/>
  <c r="BU483" i="46"/>
  <c r="BV483" i="46"/>
  <c r="K466" i="49"/>
  <c r="BW543" i="46"/>
  <c r="L286" i="49"/>
  <c r="BW374" i="49"/>
  <c r="I116" i="49"/>
  <c r="BY122" i="46"/>
  <c r="BZ122" i="46"/>
  <c r="CA122" i="46"/>
  <c r="BU122" i="46"/>
  <c r="BV122" i="46"/>
  <c r="I96" i="49"/>
  <c r="AD173" i="46"/>
  <c r="AH173" i="46"/>
  <c r="BU173" i="46"/>
  <c r="BV173" i="46"/>
  <c r="CA173" i="46"/>
  <c r="BY173" i="46"/>
  <c r="BZ173" i="46"/>
  <c r="I94" i="49"/>
  <c r="CA123" i="46"/>
  <c r="BY123" i="46"/>
  <c r="BZ123" i="46"/>
  <c r="BU123" i="46"/>
  <c r="BV123" i="46"/>
  <c r="I101" i="49"/>
  <c r="BY148" i="46"/>
  <c r="BZ148" i="46"/>
  <c r="CA148" i="46"/>
  <c r="BU148" i="46"/>
  <c r="BV148" i="46"/>
  <c r="L217" i="49"/>
  <c r="BW169" i="49"/>
  <c r="L289" i="49"/>
  <c r="L306" i="49"/>
  <c r="L264" i="49"/>
  <c r="AZ345" i="49"/>
  <c r="L281" i="49"/>
  <c r="BB75" i="49"/>
  <c r="AZ252" i="49"/>
  <c r="AZ368" i="49"/>
  <c r="L210" i="49"/>
  <c r="L254" i="49"/>
  <c r="L376" i="49"/>
  <c r="BW488" i="49"/>
  <c r="L218" i="49"/>
  <c r="L302" i="49"/>
  <c r="L50" i="49"/>
  <c r="AZ146" i="49"/>
  <c r="L312" i="49"/>
  <c r="L190" i="49"/>
  <c r="BW366" i="49"/>
  <c r="L227" i="49"/>
  <c r="BA188" i="49"/>
  <c r="AZ188" i="49"/>
  <c r="BW279" i="49"/>
  <c r="AZ348" i="49"/>
  <c r="BW170" i="49"/>
  <c r="L262" i="49"/>
  <c r="BW297" i="49"/>
  <c r="AZ181" i="49"/>
  <c r="BA247" i="49"/>
  <c r="AZ247" i="49"/>
  <c r="L137" i="49"/>
  <c r="L393" i="49"/>
  <c r="L163" i="49"/>
  <c r="BW221" i="49"/>
  <c r="L248" i="49"/>
  <c r="BW394" i="49"/>
  <c r="L224" i="49"/>
  <c r="BW401" i="49"/>
  <c r="L185" i="49"/>
  <c r="BW390" i="49"/>
  <c r="AZ270" i="49"/>
  <c r="AZ249" i="49"/>
  <c r="T28" i="46"/>
  <c r="BT28" i="46"/>
  <c r="T31" i="46"/>
  <c r="BT31" i="46"/>
  <c r="T38" i="46"/>
  <c r="BT38" i="46"/>
  <c r="I29" i="49"/>
  <c r="AD25" i="46"/>
  <c r="CA25" i="46"/>
  <c r="BV25" i="46"/>
  <c r="BY25" i="46"/>
  <c r="BU25" i="46"/>
  <c r="BZ25" i="46"/>
  <c r="T42" i="46"/>
  <c r="BT42" i="46"/>
  <c r="I315" i="49"/>
  <c r="BY366" i="46"/>
  <c r="BZ366" i="46"/>
  <c r="CA366" i="46"/>
  <c r="J491" i="49"/>
  <c r="I46" i="49"/>
  <c r="BY58" i="46"/>
  <c r="BZ58" i="46"/>
  <c r="CA58" i="46"/>
  <c r="BV58" i="46"/>
  <c r="BU58" i="46"/>
  <c r="K468" i="49"/>
  <c r="BW540" i="46"/>
  <c r="CB540" i="46"/>
  <c r="N468" i="49"/>
  <c r="AC468" i="49"/>
  <c r="I343" i="49"/>
  <c r="CA392" i="46"/>
  <c r="BY392" i="46"/>
  <c r="BZ392" i="46"/>
  <c r="BU392" i="46"/>
  <c r="BV392" i="46"/>
  <c r="BT19" i="46"/>
  <c r="X20" i="46"/>
  <c r="AC17" i="46"/>
  <c r="AC18" i="46"/>
  <c r="W20" i="46"/>
  <c r="AB17" i="46"/>
  <c r="U20" i="46"/>
  <c r="Z17" i="46"/>
  <c r="V20" i="46"/>
  <c r="AA17" i="46"/>
  <c r="L422" i="49"/>
  <c r="L143" i="49"/>
  <c r="BA385" i="49"/>
  <c r="AZ385" i="49"/>
  <c r="I410" i="49"/>
  <c r="BY479" i="46"/>
  <c r="BZ479" i="46"/>
  <c r="CA479" i="46"/>
  <c r="BU479" i="46"/>
  <c r="BV479" i="46"/>
  <c r="J438" i="49"/>
  <c r="I111" i="49"/>
  <c r="BZ141" i="46"/>
  <c r="CA141" i="46"/>
  <c r="BY141" i="46"/>
  <c r="BU141" i="46"/>
  <c r="BV141" i="46"/>
  <c r="I113" i="49"/>
  <c r="BY158" i="46"/>
  <c r="BZ158" i="46"/>
  <c r="CA158" i="46"/>
  <c r="BU158" i="46"/>
  <c r="BV158" i="46"/>
  <c r="I130" i="49"/>
  <c r="CA153" i="46"/>
  <c r="BY153" i="46"/>
  <c r="BZ153" i="46"/>
  <c r="BU153" i="46"/>
  <c r="BV153" i="46"/>
  <c r="BW208" i="49"/>
  <c r="AZ278" i="49"/>
  <c r="L301" i="49"/>
  <c r="BW144" i="49"/>
  <c r="L52" i="49"/>
  <c r="AZ311" i="49"/>
  <c r="BW292" i="49"/>
  <c r="AZ243" i="49"/>
  <c r="P492" i="49"/>
  <c r="CT141" i="49"/>
  <c r="AZ232" i="49"/>
  <c r="L193" i="49"/>
  <c r="AD69" i="49"/>
  <c r="AC69" i="49"/>
  <c r="L138" i="49"/>
  <c r="L368" i="49"/>
  <c r="AZ240" i="49"/>
  <c r="AZ382" i="49"/>
  <c r="L175" i="49"/>
  <c r="L146" i="49"/>
  <c r="AZ304" i="49"/>
  <c r="BW165" i="49"/>
  <c r="BW212" i="49"/>
  <c r="BW219" i="49"/>
  <c r="L348" i="49"/>
  <c r="AZ328" i="49"/>
  <c r="AZ262" i="49"/>
  <c r="AZ378" i="49"/>
  <c r="L266" i="49"/>
  <c r="BW192" i="49"/>
  <c r="AZ288" i="49"/>
  <c r="AZ215" i="49"/>
  <c r="AZ293" i="49"/>
  <c r="AZ367" i="49"/>
  <c r="L182" i="49"/>
  <c r="L195" i="49"/>
  <c r="L249" i="49"/>
  <c r="I324" i="49"/>
  <c r="CA367" i="46"/>
  <c r="BY367" i="46"/>
  <c r="BZ367" i="46"/>
  <c r="BB308" i="49"/>
  <c r="I478" i="49"/>
  <c r="BZ566" i="46"/>
  <c r="CA566" i="46"/>
  <c r="BY566" i="46"/>
  <c r="BU566" i="46"/>
  <c r="BV566" i="46"/>
  <c r="BT83" i="46"/>
  <c r="V84" i="46"/>
  <c r="U84" i="46"/>
  <c r="X84" i="46"/>
  <c r="W84" i="46"/>
  <c r="I60" i="49"/>
  <c r="BZ74" i="46"/>
  <c r="CA74" i="46"/>
  <c r="BY74" i="46"/>
  <c r="BV74" i="46"/>
  <c r="BU74" i="46"/>
  <c r="I342" i="49"/>
  <c r="BY393" i="46"/>
  <c r="BZ393" i="46"/>
  <c r="CA393" i="46"/>
  <c r="BU393" i="46"/>
  <c r="BV393" i="46"/>
  <c r="CB18" i="46"/>
  <c r="AZ189" i="49"/>
  <c r="BA189" i="49"/>
  <c r="I421" i="49"/>
  <c r="BZ470" i="46"/>
  <c r="CA470" i="46"/>
  <c r="BU470" i="46"/>
  <c r="BV470" i="46"/>
  <c r="BY470" i="46"/>
  <c r="AB112" i="46"/>
  <c r="AF112" i="46"/>
  <c r="AB114" i="46"/>
  <c r="AB113" i="46"/>
  <c r="AF113" i="46"/>
  <c r="AB110" i="46"/>
  <c r="AF110" i="46"/>
  <c r="AB111" i="46"/>
  <c r="K472" i="49"/>
  <c r="BW538" i="46"/>
  <c r="CB538" i="46"/>
  <c r="N472" i="49"/>
  <c r="AC472" i="49"/>
  <c r="K467" i="49"/>
  <c r="BW554" i="46"/>
  <c r="L152" i="49"/>
  <c r="BW263" i="49"/>
  <c r="I108" i="49"/>
  <c r="BY137" i="46"/>
  <c r="BZ137" i="46"/>
  <c r="CA137" i="46"/>
  <c r="BU137" i="46"/>
  <c r="BV137" i="46"/>
  <c r="I106" i="49"/>
  <c r="CA133" i="46"/>
  <c r="BY133" i="46"/>
  <c r="BZ133" i="46"/>
  <c r="BU133" i="46"/>
  <c r="BV133" i="46"/>
  <c r="I85" i="49"/>
  <c r="BY170" i="46"/>
  <c r="BZ170" i="46"/>
  <c r="CA170" i="46"/>
  <c r="BU170" i="46"/>
  <c r="BV170" i="46"/>
  <c r="BW233" i="49"/>
  <c r="BW278" i="49"/>
  <c r="AZ290" i="49"/>
  <c r="AZ487" i="49"/>
  <c r="L311" i="49"/>
  <c r="L229" i="49"/>
  <c r="BW243" i="49"/>
  <c r="AI109" i="46"/>
  <c r="AZ437" i="49"/>
  <c r="L494" i="49"/>
  <c r="AZ326" i="49"/>
  <c r="AY5" i="49"/>
  <c r="BW167" i="49"/>
  <c r="BX167" i="49"/>
  <c r="BW150" i="49"/>
  <c r="BW220" i="49"/>
  <c r="AZ242" i="49"/>
  <c r="I352" i="49"/>
  <c r="BZ417" i="46"/>
  <c r="CA417" i="46"/>
  <c r="BY417" i="46"/>
  <c r="BU417" i="46"/>
  <c r="BV417" i="46"/>
  <c r="AZ332" i="49"/>
  <c r="BW200" i="49"/>
  <c r="L135" i="49"/>
  <c r="L178" i="49"/>
  <c r="AZ134" i="49"/>
  <c r="CB555" i="46"/>
  <c r="BW429" i="49"/>
  <c r="AZ147" i="49"/>
  <c r="L209" i="49"/>
  <c r="L386" i="49"/>
  <c r="L140" i="49"/>
  <c r="I355" i="49"/>
  <c r="CA407" i="46"/>
  <c r="BY407" i="46"/>
  <c r="BZ407" i="46"/>
  <c r="BU407" i="46"/>
  <c r="BV407" i="46"/>
  <c r="AZ388" i="49"/>
  <c r="AZ303" i="49"/>
  <c r="L428" i="49"/>
  <c r="BW162" i="49"/>
  <c r="BW240" i="49"/>
  <c r="BW173" i="49"/>
  <c r="BW382" i="49"/>
  <c r="L186" i="49"/>
  <c r="BW346" i="49"/>
  <c r="BW304" i="49"/>
  <c r="L142" i="49"/>
  <c r="BW309" i="49"/>
  <c r="AZ231" i="49"/>
  <c r="BW427" i="49"/>
  <c r="AZ329" i="49"/>
  <c r="BW187" i="49"/>
  <c r="BW267" i="49"/>
  <c r="BW402" i="49"/>
  <c r="L328" i="49"/>
  <c r="BW149" i="49"/>
  <c r="AZ214" i="49"/>
  <c r="AZ365" i="49"/>
  <c r="L215" i="49"/>
  <c r="L367" i="49"/>
  <c r="BW225" i="49"/>
  <c r="L191" i="49"/>
  <c r="L153" i="49"/>
  <c r="L379" i="49"/>
  <c r="L255" i="49"/>
  <c r="I325" i="49"/>
  <c r="BZ369" i="46"/>
  <c r="CA369" i="46"/>
  <c r="BY369" i="46"/>
  <c r="I56" i="49"/>
  <c r="BZ76" i="46"/>
  <c r="CA76" i="46"/>
  <c r="BY76" i="46"/>
  <c r="BV76" i="46"/>
  <c r="BU76" i="46"/>
  <c r="I44" i="49"/>
  <c r="CA55" i="46"/>
  <c r="BY55" i="46"/>
  <c r="BZ55" i="46"/>
  <c r="BU55" i="46"/>
  <c r="BV55" i="46"/>
  <c r="BT403" i="46"/>
  <c r="W404" i="46"/>
  <c r="U404" i="46"/>
  <c r="X404" i="46"/>
  <c r="V404" i="46"/>
  <c r="I339" i="49"/>
  <c r="CA395" i="46"/>
  <c r="BY395" i="46"/>
  <c r="BZ395" i="46"/>
  <c r="BU395" i="46"/>
  <c r="BV395" i="46"/>
  <c r="I15" i="49"/>
  <c r="BY7" i="46"/>
  <c r="BZ7" i="46"/>
  <c r="CA7" i="46"/>
  <c r="BV7" i="46"/>
  <c r="BU7" i="46"/>
  <c r="L241" i="49"/>
  <c r="L486" i="49"/>
  <c r="I406" i="49"/>
  <c r="BY475" i="46"/>
  <c r="BZ475" i="46"/>
  <c r="CA475" i="46"/>
  <c r="BU475" i="46"/>
  <c r="BV475" i="46"/>
  <c r="T526" i="46"/>
  <c r="BT526" i="46"/>
  <c r="T522" i="46"/>
  <c r="BT522" i="46"/>
  <c r="T536" i="46"/>
  <c r="BT536" i="46"/>
  <c r="T535" i="46"/>
  <c r="BT535" i="46"/>
  <c r="T525" i="46"/>
  <c r="BT525" i="46"/>
  <c r="BY556" i="46"/>
  <c r="BZ556" i="46"/>
  <c r="CA556" i="46"/>
  <c r="I100" i="49"/>
  <c r="BY154" i="46"/>
  <c r="BZ154" i="46"/>
  <c r="CA154" i="46"/>
  <c r="BU154" i="46"/>
  <c r="BV154" i="46"/>
  <c r="I104" i="49"/>
  <c r="BY136" i="46"/>
  <c r="BZ136" i="46"/>
  <c r="CA136" i="46"/>
  <c r="BU136" i="46"/>
  <c r="BV136" i="46"/>
  <c r="I126" i="49"/>
  <c r="CA138" i="46"/>
  <c r="BY138" i="46"/>
  <c r="BZ138" i="46"/>
  <c r="BU138" i="46"/>
  <c r="BV138" i="46"/>
  <c r="I80" i="49"/>
  <c r="BY125" i="46"/>
  <c r="BZ125" i="46"/>
  <c r="CA125" i="46"/>
  <c r="BU125" i="46"/>
  <c r="BV125" i="46"/>
  <c r="AC100" i="46"/>
  <c r="AC102" i="46"/>
  <c r="AC103" i="46"/>
  <c r="AZ259" i="49"/>
  <c r="L159" i="49"/>
  <c r="L310" i="49"/>
  <c r="AZ222" i="49"/>
  <c r="L326" i="49"/>
  <c r="BW147" i="49"/>
  <c r="AZ264" i="49"/>
  <c r="I66" i="49"/>
  <c r="BY88" i="46"/>
  <c r="BZ88" i="46"/>
  <c r="CA88" i="46"/>
  <c r="BU88" i="46"/>
  <c r="BV88" i="46"/>
  <c r="L400" i="49"/>
  <c r="I358" i="49"/>
  <c r="BY414" i="46"/>
  <c r="BZ414" i="46"/>
  <c r="CA414" i="46"/>
  <c r="BU414" i="46"/>
  <c r="BV414" i="46"/>
  <c r="K474" i="49"/>
  <c r="BW547" i="46"/>
  <c r="L332" i="49"/>
  <c r="BW139" i="49"/>
  <c r="AZ261" i="49"/>
  <c r="AZ140" i="49"/>
  <c r="AZ216" i="49"/>
  <c r="AZ392" i="49"/>
  <c r="L371" i="49"/>
  <c r="BT465" i="46"/>
  <c r="X466" i="46"/>
  <c r="W466" i="46"/>
  <c r="V466" i="46"/>
  <c r="U466" i="46"/>
  <c r="AZ246" i="49"/>
  <c r="L261" i="49"/>
  <c r="L211" i="49"/>
  <c r="K40" i="49"/>
  <c r="BW46" i="46"/>
  <c r="K465" i="49"/>
  <c r="BW541" i="46"/>
  <c r="J473" i="49"/>
  <c r="K475" i="49"/>
  <c r="BW539" i="46"/>
  <c r="K469" i="49"/>
  <c r="BW549" i="46"/>
  <c r="J490" i="49"/>
  <c r="K74" i="49"/>
  <c r="BW102" i="46"/>
  <c r="J39" i="49"/>
  <c r="J461" i="49"/>
  <c r="K464" i="49"/>
  <c r="BW546" i="46"/>
  <c r="BA162" i="49"/>
  <c r="AZ162" i="49"/>
  <c r="BA302" i="49"/>
  <c r="AZ302" i="49"/>
  <c r="BW154" i="49"/>
  <c r="BA226" i="49"/>
  <c r="AZ226" i="49"/>
  <c r="BW231" i="49"/>
  <c r="AZ366" i="49"/>
  <c r="BW239" i="49"/>
  <c r="L276" i="49"/>
  <c r="L271" i="49"/>
  <c r="BW76" i="49"/>
  <c r="AZ157" i="49"/>
  <c r="BW214" i="49"/>
  <c r="AZ137" i="49"/>
  <c r="AZ163" i="49"/>
  <c r="L375" i="49"/>
  <c r="BW257" i="49"/>
  <c r="AZ401" i="49"/>
  <c r="L62" i="49"/>
  <c r="BW168" i="49"/>
  <c r="AZ399" i="49"/>
  <c r="I322" i="49"/>
  <c r="BY364" i="46"/>
  <c r="BZ364" i="46"/>
  <c r="CA364" i="46"/>
  <c r="AB197" i="49"/>
  <c r="AE197" i="49"/>
  <c r="BT68" i="46"/>
  <c r="V69" i="46"/>
  <c r="U69" i="46"/>
  <c r="X69" i="46"/>
  <c r="W69" i="46"/>
  <c r="I432" i="49"/>
  <c r="BY507" i="46"/>
  <c r="BZ507" i="46"/>
  <c r="CA507" i="46"/>
  <c r="BU507" i="46"/>
  <c r="BV507" i="46"/>
  <c r="K174" i="49"/>
  <c r="BW550" i="46"/>
  <c r="CB550" i="46"/>
  <c r="N174" i="49"/>
  <c r="AC174" i="49"/>
  <c r="K38" i="49"/>
  <c r="BW45" i="46"/>
  <c r="CB45" i="46"/>
  <c r="N38" i="49"/>
  <c r="AC38" i="49"/>
  <c r="I9" i="49"/>
  <c r="BZ10" i="46"/>
  <c r="CA10" i="46"/>
  <c r="BU10" i="46"/>
  <c r="BY10" i="46"/>
  <c r="BV10" i="46"/>
  <c r="AZ143" i="49"/>
  <c r="I405" i="49"/>
  <c r="BZ471" i="46"/>
  <c r="CA471" i="46"/>
  <c r="BY471" i="46"/>
  <c r="BU471" i="46"/>
  <c r="BV471" i="46"/>
  <c r="J466" i="49"/>
  <c r="J51" i="49"/>
  <c r="L277" i="49"/>
  <c r="BW286" i="49"/>
  <c r="AZ383" i="49"/>
  <c r="I127" i="49"/>
  <c r="BZ161" i="46"/>
  <c r="CA161" i="46"/>
  <c r="BY161" i="46"/>
  <c r="BU161" i="46"/>
  <c r="BV161" i="46"/>
  <c r="I107" i="49"/>
  <c r="BZ131" i="46"/>
  <c r="CA131" i="46"/>
  <c r="BY131" i="46"/>
  <c r="BU131" i="46"/>
  <c r="BV131" i="46"/>
  <c r="I121" i="49"/>
  <c r="BY159" i="46"/>
  <c r="BZ159" i="46"/>
  <c r="CA159" i="46"/>
  <c r="BU159" i="46"/>
  <c r="BV159" i="46"/>
  <c r="I120" i="49"/>
  <c r="BY142" i="46"/>
  <c r="BZ142" i="46"/>
  <c r="CA142" i="46"/>
  <c r="BU142" i="46"/>
  <c r="BV142" i="46"/>
  <c r="BW217" i="49"/>
  <c r="AZ205" i="49"/>
  <c r="BW289" i="49"/>
  <c r="BW306" i="49"/>
  <c r="CT308" i="49"/>
  <c r="L295" i="49"/>
  <c r="BW264" i="49"/>
  <c r="BW281" i="49"/>
  <c r="AZ250" i="49"/>
  <c r="AZ403" i="49"/>
  <c r="L202" i="49"/>
  <c r="BW210" i="49"/>
  <c r="BW254" i="49"/>
  <c r="AZ424" i="49"/>
  <c r="BW376" i="49"/>
  <c r="BW218" i="49"/>
  <c r="BW302" i="49"/>
  <c r="BW50" i="49"/>
  <c r="L226" i="49"/>
  <c r="BW312" i="49"/>
  <c r="BW190" i="49"/>
  <c r="AZ219" i="49"/>
  <c r="BW227" i="49"/>
  <c r="AZ172" i="49"/>
  <c r="BW262" i="49"/>
  <c r="L395" i="49"/>
  <c r="L199" i="49"/>
  <c r="BW137" i="49"/>
  <c r="L63" i="49"/>
  <c r="BW393" i="49"/>
  <c r="BW163" i="49"/>
  <c r="AZ298" i="49"/>
  <c r="BW248" i="49"/>
  <c r="L145" i="49"/>
  <c r="BW224" i="49"/>
  <c r="AZ380" i="49"/>
  <c r="BW185" i="49"/>
  <c r="AZ195" i="49"/>
  <c r="L399" i="49"/>
  <c r="T24" i="46"/>
  <c r="BT24" i="46"/>
  <c r="T33" i="46"/>
  <c r="BT33" i="46"/>
  <c r="T35" i="46"/>
  <c r="BT35" i="46"/>
  <c r="T37" i="46"/>
  <c r="BT37" i="46"/>
  <c r="S50" i="46"/>
  <c r="S582" i="46"/>
  <c r="T22" i="46"/>
  <c r="BT22" i="46"/>
  <c r="I314" i="49"/>
  <c r="BY365" i="46"/>
  <c r="BZ365" i="46"/>
  <c r="CA365" i="46"/>
  <c r="BA197" i="49"/>
  <c r="AZ197" i="49"/>
  <c r="J468" i="49"/>
  <c r="I337" i="49"/>
  <c r="BY396" i="46"/>
  <c r="BZ396" i="46"/>
  <c r="CA396" i="46"/>
  <c r="BU396" i="46"/>
  <c r="BV396" i="46"/>
  <c r="I10" i="49"/>
  <c r="BY12" i="46"/>
  <c r="BZ12" i="46"/>
  <c r="BU12" i="46"/>
  <c r="CA12" i="46"/>
  <c r="BV12" i="46"/>
  <c r="I16" i="49"/>
  <c r="CA6" i="46"/>
  <c r="BY6" i="46"/>
  <c r="BU6" i="46"/>
  <c r="BZ6" i="46"/>
  <c r="BV6" i="46"/>
  <c r="L189" i="49"/>
  <c r="BW422" i="49"/>
  <c r="BW143" i="49"/>
  <c r="I412" i="49"/>
  <c r="CA473" i="46"/>
  <c r="BY473" i="46"/>
  <c r="BZ473" i="46"/>
  <c r="BU473" i="46"/>
  <c r="BV473" i="46"/>
  <c r="I416" i="49"/>
  <c r="CA476" i="46"/>
  <c r="BY476" i="46"/>
  <c r="BZ476" i="46"/>
  <c r="BU476" i="46"/>
  <c r="BV476" i="46"/>
  <c r="L383" i="49"/>
  <c r="I82" i="49"/>
  <c r="CA164" i="46"/>
  <c r="BY164" i="46"/>
  <c r="BZ164" i="46"/>
  <c r="BU164" i="46"/>
  <c r="BV164" i="46"/>
  <c r="I124" i="49"/>
  <c r="BY162" i="46"/>
  <c r="BZ162" i="46"/>
  <c r="CA162" i="46"/>
  <c r="BU162" i="46"/>
  <c r="BV162" i="46"/>
  <c r="BT358" i="46"/>
  <c r="W359" i="46"/>
  <c r="X359" i="46"/>
  <c r="U359" i="46"/>
  <c r="V359" i="46"/>
  <c r="I123" i="49"/>
  <c r="BZ152" i="46"/>
  <c r="CA152" i="46"/>
  <c r="BY152" i="46"/>
  <c r="BU152" i="46"/>
  <c r="BV152" i="46"/>
  <c r="I93" i="49"/>
  <c r="AD174" i="46"/>
  <c r="AH174" i="46"/>
  <c r="CA174" i="46"/>
  <c r="BU174" i="46"/>
  <c r="BV174" i="46"/>
  <c r="BY174" i="46"/>
  <c r="BZ174" i="46"/>
  <c r="BW301" i="49"/>
  <c r="CB114" i="46"/>
  <c r="N489" i="49"/>
  <c r="AC489" i="49"/>
  <c r="AZ229" i="49"/>
  <c r="L426" i="49"/>
  <c r="L392" i="49"/>
  <c r="L285" i="49"/>
  <c r="L234" i="49"/>
  <c r="L206" i="49"/>
  <c r="BW193" i="49"/>
  <c r="L345" i="49"/>
  <c r="I64" i="49"/>
  <c r="BZ91" i="46"/>
  <c r="CA91" i="46"/>
  <c r="BY91" i="46"/>
  <c r="BV91" i="46"/>
  <c r="BU91" i="46"/>
  <c r="K69" i="49"/>
  <c r="BW87" i="46"/>
  <c r="AF87" i="46"/>
  <c r="L403" i="49"/>
  <c r="BW138" i="49"/>
  <c r="L272" i="49"/>
  <c r="BW368" i="49"/>
  <c r="BA180" i="49"/>
  <c r="AZ180" i="49"/>
  <c r="L424" i="49"/>
  <c r="AZ218" i="49"/>
  <c r="AZ176" i="49"/>
  <c r="BW175" i="49"/>
  <c r="AZ186" i="49"/>
  <c r="BW146" i="49"/>
  <c r="L294" i="49"/>
  <c r="AZ309" i="49"/>
  <c r="AZ427" i="49"/>
  <c r="AZ187" i="49"/>
  <c r="L188" i="49"/>
  <c r="AZ279" i="49"/>
  <c r="BW348" i="49"/>
  <c r="L247" i="49"/>
  <c r="BW266" i="49"/>
  <c r="L184" i="49"/>
  <c r="L380" i="49"/>
  <c r="BW182" i="49"/>
  <c r="AZ307" i="49"/>
  <c r="BW195" i="49"/>
  <c r="L270" i="49"/>
  <c r="L235" i="49"/>
  <c r="L274" i="49"/>
  <c r="BW249" i="49"/>
  <c r="AZ255" i="49"/>
  <c r="BT383" i="46"/>
  <c r="CT223" i="49"/>
  <c r="I59" i="49"/>
  <c r="CA71" i="46"/>
  <c r="BY71" i="46"/>
  <c r="BZ71" i="46"/>
  <c r="BU71" i="46"/>
  <c r="BV71" i="46"/>
  <c r="CB512" i="46"/>
  <c r="L385" i="49"/>
  <c r="AG461" i="46"/>
  <c r="AK461" i="46"/>
  <c r="S385" i="49"/>
  <c r="CS385" i="49"/>
  <c r="AA111" i="46"/>
  <c r="AA109" i="46"/>
  <c r="AA110" i="46"/>
  <c r="AE110" i="46"/>
  <c r="AA112" i="46"/>
  <c r="AE112" i="46"/>
  <c r="AA113" i="46"/>
  <c r="AE113" i="46"/>
  <c r="AA114" i="46"/>
  <c r="AE114" i="46"/>
  <c r="J472" i="49"/>
  <c r="J467" i="49"/>
  <c r="L430" i="49"/>
  <c r="AZ344" i="49"/>
  <c r="BW152" i="49"/>
  <c r="AZ373" i="49"/>
  <c r="L259" i="49"/>
  <c r="BW311" i="49"/>
  <c r="BW229" i="49"/>
  <c r="AZ310" i="49"/>
  <c r="BA492" i="49"/>
  <c r="AZ492" i="49"/>
  <c r="L232" i="49"/>
  <c r="L384" i="49"/>
  <c r="L369" i="49"/>
  <c r="BA5" i="49"/>
  <c r="AZ5" i="49"/>
  <c r="AZ251" i="49"/>
  <c r="AZ228" i="49"/>
  <c r="AZ156" i="49"/>
  <c r="BW135" i="49"/>
  <c r="BW178" i="49"/>
  <c r="CT245" i="49"/>
  <c r="L260" i="49"/>
  <c r="BA426" i="49"/>
  <c r="AZ426" i="49"/>
  <c r="BW209" i="49"/>
  <c r="BW386" i="49"/>
  <c r="BW140" i="49"/>
  <c r="L377" i="49"/>
  <c r="L160" i="49"/>
  <c r="L49" i="49"/>
  <c r="AZ164" i="49"/>
  <c r="BW176" i="49"/>
  <c r="AZ389" i="49"/>
  <c r="L299" i="49"/>
  <c r="BW186" i="49"/>
  <c r="AZ154" i="49"/>
  <c r="AZ305" i="49"/>
  <c r="BW142" i="49"/>
  <c r="AZ237" i="49"/>
  <c r="L253" i="49"/>
  <c r="L300" i="49"/>
  <c r="AG17" i="46"/>
  <c r="BW328" i="49"/>
  <c r="BA271" i="49"/>
  <c r="AZ271" i="49"/>
  <c r="L378" i="49"/>
  <c r="L201" i="49"/>
  <c r="AZ266" i="49"/>
  <c r="BW215" i="49"/>
  <c r="L293" i="49"/>
  <c r="BW367" i="49"/>
  <c r="BA257" i="49"/>
  <c r="AZ257" i="49"/>
  <c r="L155" i="49"/>
  <c r="L307" i="49"/>
  <c r="BW191" i="49"/>
  <c r="BW379" i="49"/>
  <c r="BW331" i="49"/>
  <c r="BW255" i="49"/>
  <c r="BT575" i="46"/>
  <c r="W576" i="46"/>
  <c r="U576" i="46"/>
  <c r="X576" i="46"/>
  <c r="V576" i="46"/>
  <c r="I334" i="49"/>
  <c r="BY386" i="46"/>
  <c r="BZ386" i="46"/>
  <c r="CA386" i="46"/>
  <c r="BU386" i="46"/>
  <c r="BV386" i="46"/>
  <c r="AZ269" i="49"/>
  <c r="BW241" i="49"/>
  <c r="AZ258" i="49"/>
  <c r="BW486" i="49"/>
  <c r="AL461" i="46"/>
  <c r="CB499" i="46"/>
  <c r="T533" i="46"/>
  <c r="BT533" i="46"/>
  <c r="T531" i="46"/>
  <c r="BT531" i="46"/>
  <c r="T523" i="46"/>
  <c r="BT523" i="46"/>
  <c r="T529" i="46"/>
  <c r="BT529" i="46"/>
  <c r="T527" i="46"/>
  <c r="BT527" i="46"/>
  <c r="L133" i="49"/>
  <c r="L373" i="49"/>
  <c r="CB357" i="46"/>
  <c r="AZ217" i="49"/>
  <c r="L290" i="49"/>
  <c r="AB100" i="46"/>
  <c r="AB103" i="46"/>
  <c r="AF103" i="46"/>
  <c r="AB102" i="46"/>
  <c r="AF102" i="46"/>
  <c r="L487" i="49"/>
  <c r="L216" i="49"/>
  <c r="BW159" i="49"/>
  <c r="BW310" i="49"/>
  <c r="L492" i="49"/>
  <c r="AG109" i="46"/>
  <c r="L437" i="49"/>
  <c r="L347" i="49"/>
  <c r="L397" i="49"/>
  <c r="L251" i="49"/>
  <c r="L228" i="49"/>
  <c r="AZ381" i="49"/>
  <c r="BW400" i="49"/>
  <c r="L370" i="49"/>
  <c r="J474" i="49"/>
  <c r="BW332" i="49"/>
  <c r="L156" i="49"/>
  <c r="K493" i="49"/>
  <c r="AF111" i="46"/>
  <c r="BW111" i="46"/>
  <c r="L222" i="49"/>
  <c r="AZ285" i="49"/>
  <c r="L381" i="49"/>
  <c r="BW371" i="49"/>
  <c r="I360" i="49"/>
  <c r="BY406" i="46"/>
  <c r="BU406" i="46"/>
  <c r="J360" i="49"/>
  <c r="BV406" i="46"/>
  <c r="BZ406" i="46"/>
  <c r="CA406" i="46"/>
  <c r="CB544" i="46"/>
  <c r="N471" i="49"/>
  <c r="P471" i="49"/>
  <c r="BW261" i="49"/>
  <c r="AZ423" i="49"/>
  <c r="L296" i="49"/>
  <c r="BW211" i="49"/>
  <c r="J40" i="49"/>
  <c r="J465" i="49"/>
  <c r="J475" i="49"/>
  <c r="AE539" i="46"/>
  <c r="AI539" i="46"/>
  <c r="Q475" i="49"/>
  <c r="AY475" i="49"/>
  <c r="CB103" i="46"/>
  <c r="N73" i="49"/>
  <c r="AC73" i="49"/>
  <c r="J469" i="49"/>
  <c r="J74" i="49"/>
  <c r="AE102" i="46"/>
  <c r="AI102" i="46"/>
  <c r="Q74" i="49"/>
  <c r="AY74" i="49"/>
  <c r="J464" i="49"/>
  <c r="L303" i="49"/>
  <c r="L265" i="49"/>
  <c r="BW303" i="49"/>
  <c r="L252" i="49"/>
  <c r="BW265" i="49"/>
  <c r="L389" i="49"/>
  <c r="AZ179" i="49"/>
  <c r="AZ190" i="49"/>
  <c r="BW271" i="49"/>
  <c r="AZ280" i="49"/>
  <c r="L365" i="49"/>
  <c r="L291" i="49"/>
  <c r="AZ224" i="49"/>
  <c r="L161" i="49"/>
  <c r="BW62" i="49"/>
  <c r="L148" i="49"/>
  <c r="I480" i="49"/>
  <c r="BY561" i="46"/>
  <c r="BZ561" i="46"/>
  <c r="CA561" i="46"/>
  <c r="BU561" i="46"/>
  <c r="BV561" i="46"/>
  <c r="I41" i="49"/>
  <c r="BZ59" i="46"/>
  <c r="CA59" i="46"/>
  <c r="BY59" i="46"/>
  <c r="BV59" i="46"/>
  <c r="BU59" i="46"/>
  <c r="J174" i="49"/>
  <c r="I8" i="49"/>
  <c r="CA11" i="46"/>
  <c r="BY11" i="46"/>
  <c r="BZ11" i="46"/>
  <c r="BU11" i="46"/>
  <c r="BV11" i="46"/>
  <c r="L258" i="49"/>
  <c r="BW277" i="49"/>
  <c r="I88" i="49"/>
  <c r="BY149" i="46"/>
  <c r="BZ149" i="46"/>
  <c r="CA149" i="46"/>
  <c r="BU149" i="46"/>
  <c r="BV149" i="46"/>
  <c r="AZ208" i="49"/>
  <c r="AZ144" i="49"/>
  <c r="BW295" i="49"/>
  <c r="AZ193" i="49"/>
  <c r="AZ387" i="49"/>
  <c r="BW202" i="49"/>
  <c r="AZ272" i="49"/>
  <c r="L327" i="49"/>
  <c r="L485" i="49"/>
  <c r="L179" i="49"/>
  <c r="BW226" i="49"/>
  <c r="BA165" i="49"/>
  <c r="AZ165" i="49"/>
  <c r="AZ212" i="49"/>
  <c r="L283" i="49"/>
  <c r="L166" i="49"/>
  <c r="L157" i="49"/>
  <c r="L194" i="49"/>
  <c r="BW395" i="49"/>
  <c r="L158" i="49"/>
  <c r="BW199" i="49"/>
  <c r="AZ184" i="49"/>
  <c r="BW63" i="49"/>
  <c r="BW145" i="49"/>
  <c r="AZ182" i="49"/>
  <c r="L207" i="49"/>
  <c r="BW399" i="49"/>
  <c r="AZ274" i="49"/>
  <c r="L273" i="49"/>
  <c r="T34" i="46"/>
  <c r="BT34" i="46"/>
  <c r="T40" i="46"/>
  <c r="BT40" i="46"/>
  <c r="T29" i="46"/>
  <c r="BT29" i="46"/>
  <c r="T23" i="46"/>
  <c r="BT23" i="46"/>
  <c r="T27" i="46"/>
  <c r="BT27" i="46"/>
  <c r="T26" i="46"/>
  <c r="BT26" i="46"/>
  <c r="CB110" i="46"/>
  <c r="N491" i="49"/>
  <c r="AC491" i="49"/>
  <c r="I477" i="49"/>
  <c r="CA564" i="46"/>
  <c r="BU564" i="46"/>
  <c r="BV564" i="46"/>
  <c r="BY564" i="46"/>
  <c r="BZ564" i="46"/>
  <c r="I54" i="49"/>
  <c r="BY77" i="46"/>
  <c r="BZ77" i="46"/>
  <c r="CA77" i="46"/>
  <c r="BV77" i="46"/>
  <c r="BU77" i="46"/>
  <c r="I433" i="49"/>
  <c r="BY506" i="46"/>
  <c r="CA506" i="46"/>
  <c r="BU506" i="46"/>
  <c r="BV506" i="46"/>
  <c r="BZ506" i="46"/>
  <c r="I341" i="49"/>
  <c r="BY388" i="46"/>
  <c r="BZ388" i="46"/>
  <c r="CA388" i="46"/>
  <c r="BU388" i="46"/>
  <c r="BV388" i="46"/>
  <c r="L230" i="49"/>
  <c r="I7" i="49"/>
  <c r="BY14" i="46"/>
  <c r="BU14" i="46"/>
  <c r="BZ14" i="46"/>
  <c r="CA14" i="46"/>
  <c r="BV14" i="46"/>
  <c r="BW189" i="49"/>
  <c r="I414" i="49"/>
  <c r="BY485" i="46"/>
  <c r="BZ485" i="46"/>
  <c r="CA485" i="46"/>
  <c r="BU485" i="46"/>
  <c r="BV485" i="46"/>
  <c r="AZ430" i="49"/>
  <c r="AZ277" i="49"/>
  <c r="BW383" i="49"/>
  <c r="AZ263" i="49"/>
  <c r="I92" i="49"/>
  <c r="BY121" i="46"/>
  <c r="BZ121" i="46"/>
  <c r="CA121" i="46"/>
  <c r="BU121" i="46"/>
  <c r="BV121" i="46"/>
  <c r="I95" i="49"/>
  <c r="BZ129" i="46"/>
  <c r="CA129" i="46"/>
  <c r="BY129" i="46"/>
  <c r="BU129" i="46"/>
  <c r="BV129" i="46"/>
  <c r="I97" i="49"/>
  <c r="BY120" i="46"/>
  <c r="BZ120" i="46"/>
  <c r="CA120" i="46"/>
  <c r="BU120" i="46"/>
  <c r="BV120" i="46"/>
  <c r="I128" i="49"/>
  <c r="BY168" i="46"/>
  <c r="BZ168" i="46"/>
  <c r="CA168" i="46"/>
  <c r="BU168" i="46"/>
  <c r="BV168" i="46"/>
  <c r="L205" i="49"/>
  <c r="K489" i="49"/>
  <c r="BW114" i="46"/>
  <c r="AF114" i="46"/>
  <c r="BW52" i="49"/>
  <c r="L282" i="49"/>
  <c r="L134" i="49"/>
  <c r="AZ494" i="49"/>
  <c r="BW392" i="49"/>
  <c r="BW285" i="49"/>
  <c r="BA167" i="49"/>
  <c r="AZ167" i="49"/>
  <c r="BW234" i="49"/>
  <c r="AZ150" i="49"/>
  <c r="BW206" i="49"/>
  <c r="AZ220" i="49"/>
  <c r="BW345" i="49"/>
  <c r="CB87" i="46"/>
  <c r="N69" i="49"/>
  <c r="L387" i="49"/>
  <c r="I359" i="49"/>
  <c r="CA410" i="46"/>
  <c r="BY410" i="46"/>
  <c r="BZ410" i="46"/>
  <c r="BU410" i="46"/>
  <c r="BV410" i="46"/>
  <c r="AZ135" i="49"/>
  <c r="BW403" i="49"/>
  <c r="AZ49" i="49"/>
  <c r="BW272" i="49"/>
  <c r="BA428" i="49"/>
  <c r="AZ428" i="49"/>
  <c r="AZ50" i="49"/>
  <c r="AZ346" i="49"/>
  <c r="BW294" i="49"/>
  <c r="BW188" i="49"/>
  <c r="L238" i="49"/>
  <c r="AZ402" i="49"/>
  <c r="L172" i="49"/>
  <c r="AZ149" i="49"/>
  <c r="L181" i="49"/>
  <c r="BW247" i="49"/>
  <c r="AZ425" i="49"/>
  <c r="AZ158" i="49"/>
  <c r="BA171" i="49"/>
  <c r="AZ171" i="49"/>
  <c r="BW184" i="49"/>
  <c r="AZ63" i="49"/>
  <c r="L298" i="49"/>
  <c r="AZ145" i="49"/>
  <c r="BW380" i="49"/>
  <c r="AZ155" i="49"/>
  <c r="AZ191" i="49"/>
  <c r="BW270" i="49"/>
  <c r="BW235" i="49"/>
  <c r="BW274" i="49"/>
  <c r="AZ331" i="49"/>
  <c r="I323" i="49"/>
  <c r="BY370" i="46"/>
  <c r="BZ370" i="46"/>
  <c r="CA370" i="46"/>
  <c r="I45" i="49"/>
  <c r="BZ57" i="46"/>
  <c r="CA57" i="46"/>
  <c r="BY57" i="46"/>
  <c r="BU57" i="46"/>
  <c r="BV57" i="46"/>
  <c r="I335" i="49"/>
  <c r="CA391" i="46"/>
  <c r="BY391" i="46"/>
  <c r="BZ391" i="46"/>
  <c r="BU391" i="46"/>
  <c r="BV391" i="46"/>
  <c r="I13" i="49"/>
  <c r="BZ8" i="46"/>
  <c r="CA8" i="46"/>
  <c r="BU8" i="46"/>
  <c r="BY8" i="46"/>
  <c r="BV8" i="46"/>
  <c r="AZ241" i="49"/>
  <c r="AZ486" i="49"/>
  <c r="L71" i="49"/>
  <c r="BX385" i="49"/>
  <c r="BW385" i="49"/>
  <c r="I404" i="49"/>
  <c r="CA484" i="46"/>
  <c r="BY484" i="46"/>
  <c r="BZ484" i="46"/>
  <c r="BU484" i="46"/>
  <c r="BV484" i="46"/>
  <c r="AC111" i="46"/>
  <c r="AC110" i="46"/>
  <c r="AC113" i="46"/>
  <c r="AG113" i="46"/>
  <c r="AC114" i="46"/>
  <c r="AC112" i="46"/>
  <c r="BW430" i="49"/>
  <c r="AZ133" i="49"/>
  <c r="I109" i="49"/>
  <c r="BY160" i="46"/>
  <c r="BZ160" i="46"/>
  <c r="CA160" i="46"/>
  <c r="BU160" i="46"/>
  <c r="BV160" i="46"/>
  <c r="I99" i="49"/>
  <c r="BZ127" i="46"/>
  <c r="CA127" i="46"/>
  <c r="BY127" i="46"/>
  <c r="BU127" i="46"/>
  <c r="BV127" i="46"/>
  <c r="I89" i="49"/>
  <c r="BY143" i="46"/>
  <c r="BZ143" i="46"/>
  <c r="CA143" i="46"/>
  <c r="BU143" i="46"/>
  <c r="BV143" i="46"/>
  <c r="I83" i="49"/>
  <c r="BZ157" i="46"/>
  <c r="CA157" i="46"/>
  <c r="BY157" i="46"/>
  <c r="BU157" i="46"/>
  <c r="BV157" i="46"/>
  <c r="AZ301" i="49"/>
  <c r="BW259" i="49"/>
  <c r="AZ159" i="49"/>
  <c r="K463" i="49"/>
  <c r="BW553" i="46"/>
  <c r="BW494" i="49"/>
  <c r="AZ177" i="49"/>
  <c r="BW232" i="49"/>
  <c r="BW384" i="49"/>
  <c r="BW369" i="49"/>
  <c r="L196" i="49"/>
  <c r="I67" i="49"/>
  <c r="CA89" i="46"/>
  <c r="BY89" i="46"/>
  <c r="BZ89" i="46"/>
  <c r="BV89" i="46"/>
  <c r="BU89" i="46"/>
  <c r="AZ400" i="49"/>
  <c r="L423" i="49"/>
  <c r="I357" i="49"/>
  <c r="BY415" i="46"/>
  <c r="BZ415" i="46"/>
  <c r="CA415" i="46"/>
  <c r="BU415" i="46"/>
  <c r="BV415" i="46"/>
  <c r="I363" i="49"/>
  <c r="AD421" i="46"/>
  <c r="AH421" i="46"/>
  <c r="BU421" i="46"/>
  <c r="BV421" i="46"/>
  <c r="CA421" i="46"/>
  <c r="BY421" i="46"/>
  <c r="BZ421" i="46"/>
  <c r="L250" i="49"/>
  <c r="AZ268" i="49"/>
  <c r="AZ198" i="49"/>
  <c r="BW260" i="49"/>
  <c r="K470" i="49"/>
  <c r="BW548" i="46"/>
  <c r="AF548" i="46"/>
  <c r="AJ548" i="46"/>
  <c r="R470" i="49"/>
  <c r="BV470" i="49"/>
  <c r="P470" i="49"/>
  <c r="BW555" i="46"/>
  <c r="AZ206" i="49"/>
  <c r="AZ377" i="49"/>
  <c r="I356" i="49"/>
  <c r="BZ412" i="46"/>
  <c r="CA412" i="46"/>
  <c r="BY412" i="46"/>
  <c r="BU412" i="46"/>
  <c r="BV412" i="46"/>
  <c r="AZ296" i="49"/>
  <c r="AZ160" i="49"/>
  <c r="BW377" i="49"/>
  <c r="L246" i="49"/>
  <c r="BW160" i="49"/>
  <c r="L213" i="49"/>
  <c r="BW428" i="49"/>
  <c r="L180" i="49"/>
  <c r="AZ183" i="49"/>
  <c r="BW299" i="49"/>
  <c r="L427" i="49"/>
  <c r="AZ287" i="49"/>
  <c r="BW253" i="49"/>
  <c r="BW300" i="49"/>
  <c r="AZ76" i="49"/>
  <c r="BW378" i="49"/>
  <c r="BW201" i="49"/>
  <c r="L425" i="49"/>
  <c r="L280" i="49"/>
  <c r="L288" i="49"/>
  <c r="L171" i="49"/>
  <c r="L284" i="49"/>
  <c r="AZ151" i="49"/>
  <c r="AZ291" i="49"/>
  <c r="BW293" i="49"/>
  <c r="AZ375" i="49"/>
  <c r="BW155" i="49"/>
  <c r="BW307" i="49"/>
  <c r="AZ62" i="49"/>
  <c r="BW153" i="49"/>
  <c r="AZ372" i="49"/>
  <c r="BA148" i="49"/>
  <c r="AZ148" i="49"/>
  <c r="I313" i="49"/>
  <c r="BY371" i="46"/>
  <c r="BZ371" i="46"/>
  <c r="CA371" i="46"/>
  <c r="L197" i="49"/>
  <c r="AG323" i="46"/>
  <c r="AK323" i="46"/>
  <c r="I479" i="49"/>
  <c r="BY560" i="46"/>
  <c r="BZ560" i="46"/>
  <c r="BU560" i="46"/>
  <c r="BV560" i="46"/>
  <c r="CA560" i="46"/>
  <c r="I436" i="49"/>
  <c r="BY505" i="46"/>
  <c r="BZ505" i="46"/>
  <c r="BU505" i="46"/>
  <c r="BV505" i="46"/>
  <c r="CA505" i="46"/>
  <c r="AZ391" i="49"/>
  <c r="AB385" i="49"/>
  <c r="AE385" i="49"/>
  <c r="I407" i="49"/>
  <c r="BY469" i="46"/>
  <c r="BZ469" i="46"/>
  <c r="CA469" i="46"/>
  <c r="BU469" i="46"/>
  <c r="BV469" i="46"/>
  <c r="T530" i="46"/>
  <c r="BT530" i="46"/>
  <c r="T532" i="46"/>
  <c r="BT532" i="46"/>
  <c r="T534" i="46"/>
  <c r="BT534" i="46"/>
  <c r="I454" i="49"/>
  <c r="AD517" i="46"/>
  <c r="BU517" i="46"/>
  <c r="BV517" i="46"/>
  <c r="CA517" i="46"/>
  <c r="BY517" i="46"/>
  <c r="BZ517" i="46"/>
  <c r="T528" i="46"/>
  <c r="BT528" i="46"/>
  <c r="T520" i="46"/>
  <c r="BT520" i="46"/>
  <c r="CT75" i="49"/>
  <c r="CU75" i="49"/>
  <c r="L344" i="49"/>
  <c r="BW133" i="49"/>
  <c r="BW373" i="49"/>
  <c r="I119" i="49"/>
  <c r="BZ134" i="46"/>
  <c r="CA134" i="46"/>
  <c r="BY134" i="46"/>
  <c r="BU134" i="46"/>
  <c r="BV134" i="46"/>
  <c r="I118" i="49"/>
  <c r="CA145" i="46"/>
  <c r="BY145" i="46"/>
  <c r="BZ145" i="46"/>
  <c r="BU145" i="46"/>
  <c r="BV145" i="46"/>
  <c r="I103" i="49"/>
  <c r="BZ126" i="46"/>
  <c r="CA126" i="46"/>
  <c r="BY126" i="46"/>
  <c r="BU126" i="46"/>
  <c r="BV126" i="46"/>
  <c r="BW290" i="49"/>
  <c r="AZ289" i="49"/>
  <c r="Z100" i="46"/>
  <c r="Z102" i="46"/>
  <c r="AD102" i="46"/>
  <c r="Z103" i="46"/>
  <c r="AD103" i="46"/>
  <c r="BW487" i="49"/>
  <c r="AZ306" i="49"/>
  <c r="BW216" i="49"/>
  <c r="AZ260" i="49"/>
  <c r="AJ109" i="46"/>
  <c r="BW437" i="49"/>
  <c r="L177" i="49"/>
  <c r="BW347" i="49"/>
  <c r="BW397" i="49"/>
  <c r="L53" i="49"/>
  <c r="BW326" i="49"/>
  <c r="L5" i="49"/>
  <c r="BW251" i="49"/>
  <c r="BW228" i="49"/>
  <c r="L242" i="49"/>
  <c r="AZ371" i="49"/>
  <c r="AZ386" i="49"/>
  <c r="BW370" i="49"/>
  <c r="L244" i="49"/>
  <c r="BW156" i="49"/>
  <c r="L268" i="49"/>
  <c r="L198" i="49"/>
  <c r="AZ282" i="49"/>
  <c r="J493" i="49"/>
  <c r="AE111" i="46"/>
  <c r="BW222" i="49"/>
  <c r="L396" i="49"/>
  <c r="BW381" i="49"/>
  <c r="K471" i="49"/>
  <c r="BW544" i="46"/>
  <c r="AF544" i="46"/>
  <c r="AJ544" i="46"/>
  <c r="R471" i="49"/>
  <c r="BV471" i="49"/>
  <c r="AD471" i="49"/>
  <c r="AC471" i="49"/>
  <c r="AZ244" i="49"/>
  <c r="AZ211" i="49"/>
  <c r="BW296" i="49"/>
  <c r="AC40" i="49"/>
  <c r="CB552" i="46"/>
  <c r="N473" i="49"/>
  <c r="AC473" i="49"/>
  <c r="J73" i="49"/>
  <c r="AE103" i="46"/>
  <c r="AI103" i="46"/>
  <c r="Q73" i="49"/>
  <c r="AY73" i="49"/>
  <c r="K462" i="49"/>
  <c r="BW542" i="46"/>
  <c r="CB102" i="46"/>
  <c r="N74" i="49"/>
  <c r="AC74" i="49"/>
  <c r="K72" i="49"/>
  <c r="AF100" i="46"/>
  <c r="BW100" i="46"/>
  <c r="CB100" i="46"/>
  <c r="N72" i="49"/>
  <c r="AC72" i="49"/>
  <c r="AC464" i="49"/>
  <c r="CB363" i="46"/>
  <c r="N318" i="49"/>
  <c r="CB395" i="46"/>
  <c r="N339" i="49"/>
  <c r="CB71" i="46"/>
  <c r="N59" i="49"/>
  <c r="T385" i="49"/>
  <c r="CB139" i="46"/>
  <c r="N112" i="49"/>
  <c r="CB124" i="46"/>
  <c r="N117" i="49"/>
  <c r="CB156" i="46"/>
  <c r="N129" i="49"/>
  <c r="AC129" i="49"/>
  <c r="CB174" i="46"/>
  <c r="N93" i="49"/>
  <c r="CB164" i="46"/>
  <c r="N82" i="49"/>
  <c r="Z319" i="46"/>
  <c r="AD319" i="46"/>
  <c r="Z320" i="46"/>
  <c r="AD320" i="46"/>
  <c r="AC320" i="46"/>
  <c r="AG320" i="46"/>
  <c r="AC319" i="46"/>
  <c r="AG319" i="46"/>
  <c r="AB320" i="46"/>
  <c r="AF320" i="46"/>
  <c r="AB319" i="46"/>
  <c r="AF319" i="46"/>
  <c r="CB133" i="46"/>
  <c r="N106" i="49"/>
  <c r="AC106" i="49"/>
  <c r="AA319" i="46"/>
  <c r="AE319" i="46"/>
  <c r="AA320" i="46"/>
  <c r="AE320" i="46"/>
  <c r="CB517" i="46"/>
  <c r="N454" i="49"/>
  <c r="CB59" i="46"/>
  <c r="N41" i="49"/>
  <c r="AC41" i="49"/>
  <c r="AC117" i="46"/>
  <c r="CB106" i="46"/>
  <c r="CB560" i="46"/>
  <c r="N479" i="49"/>
  <c r="AC479" i="49"/>
  <c r="CB391" i="46"/>
  <c r="N335" i="49"/>
  <c r="AC335" i="49"/>
  <c r="CB471" i="46"/>
  <c r="N405" i="49"/>
  <c r="CB88" i="46"/>
  <c r="N66" i="49"/>
  <c r="CB163" i="46"/>
  <c r="N102" i="49"/>
  <c r="AC102" i="49"/>
  <c r="CB145" i="46"/>
  <c r="N118" i="49"/>
  <c r="AC118" i="49"/>
  <c r="CB142" i="46"/>
  <c r="N120" i="49"/>
  <c r="CB160" i="46"/>
  <c r="N109" i="49"/>
  <c r="CB171" i="46"/>
  <c r="N90" i="49"/>
  <c r="AC90" i="49"/>
  <c r="CB128" i="46"/>
  <c r="N78" i="49"/>
  <c r="AC78" i="49"/>
  <c r="CB473" i="46"/>
  <c r="N412" i="49"/>
  <c r="CB414" i="46"/>
  <c r="N358" i="49"/>
  <c r="CB479" i="46"/>
  <c r="N410" i="49"/>
  <c r="AC410" i="49"/>
  <c r="CB58" i="46"/>
  <c r="N46" i="49"/>
  <c r="AC46" i="49"/>
  <c r="CB173" i="46"/>
  <c r="N96" i="49"/>
  <c r="AA106" i="46"/>
  <c r="CB53" i="46"/>
  <c r="N48" i="49"/>
  <c r="AC48" i="49"/>
  <c r="CB172" i="46"/>
  <c r="N77" i="49"/>
  <c r="AC77" i="49"/>
  <c r="CB394" i="46"/>
  <c r="N340" i="49"/>
  <c r="CB389" i="46"/>
  <c r="N336" i="49"/>
  <c r="CB418" i="46"/>
  <c r="N353" i="49"/>
  <c r="AC353" i="49"/>
  <c r="CB503" i="46"/>
  <c r="N435" i="49"/>
  <c r="AC435" i="49"/>
  <c r="CB72" i="46"/>
  <c r="N61" i="49"/>
  <c r="CB565" i="46"/>
  <c r="N482" i="49"/>
  <c r="CB149" i="46"/>
  <c r="N88" i="49"/>
  <c r="AC88" i="49"/>
  <c r="CB152" i="46"/>
  <c r="N123" i="49"/>
  <c r="CB10" i="46"/>
  <c r="N9" i="49"/>
  <c r="CB369" i="46"/>
  <c r="N325" i="49"/>
  <c r="CB563" i="46"/>
  <c r="N483" i="49"/>
  <c r="AC483" i="49"/>
  <c r="CB578" i="46"/>
  <c r="N496" i="49"/>
  <c r="AC496" i="49"/>
  <c r="CB411" i="46"/>
  <c r="N354" i="49"/>
  <c r="CB474" i="46"/>
  <c r="N415" i="49"/>
  <c r="CB126" i="46"/>
  <c r="N103" i="49"/>
  <c r="AC103" i="49"/>
  <c r="CB421" i="46"/>
  <c r="N363" i="49"/>
  <c r="CB410" i="46"/>
  <c r="N359" i="49"/>
  <c r="CB121" i="46"/>
  <c r="N92" i="49"/>
  <c r="AC92" i="49"/>
  <c r="CB162" i="46"/>
  <c r="N124" i="49"/>
  <c r="AC124" i="49"/>
  <c r="CB396" i="46"/>
  <c r="N337" i="49"/>
  <c r="AC337" i="49"/>
  <c r="AC106" i="46"/>
  <c r="CB55" i="46"/>
  <c r="N44" i="49"/>
  <c r="CB141" i="46"/>
  <c r="N111" i="49"/>
  <c r="AC111" i="49"/>
  <c r="CB122" i="46"/>
  <c r="N116" i="49"/>
  <c r="AC116" i="49"/>
  <c r="CB519" i="46"/>
  <c r="N455" i="49"/>
  <c r="CB117" i="46"/>
  <c r="CB169" i="46"/>
  <c r="N81" i="49"/>
  <c r="AC81" i="49"/>
  <c r="CB15" i="46"/>
  <c r="N11" i="49"/>
  <c r="AC11" i="49"/>
  <c r="CB60" i="46"/>
  <c r="N47" i="49"/>
  <c r="CB165" i="46"/>
  <c r="N86" i="49"/>
  <c r="CB78" i="46"/>
  <c r="N55" i="49"/>
  <c r="AC55" i="49"/>
  <c r="CB56" i="46"/>
  <c r="N42" i="49"/>
  <c r="AC42" i="49"/>
  <c r="CB146" i="46"/>
  <c r="N114" i="49"/>
  <c r="CB151" i="46"/>
  <c r="N125" i="49"/>
  <c r="CB505" i="46"/>
  <c r="N436" i="49"/>
  <c r="AC436" i="49"/>
  <c r="CB368" i="46"/>
  <c r="N316" i="49"/>
  <c r="AC316" i="49"/>
  <c r="I25" i="49"/>
  <c r="BY40" i="46"/>
  <c r="BZ40" i="46"/>
  <c r="CA40" i="46"/>
  <c r="BU40" i="46"/>
  <c r="BV40" i="46"/>
  <c r="I444" i="49"/>
  <c r="BY523" i="46"/>
  <c r="BZ523" i="46"/>
  <c r="BU523" i="46"/>
  <c r="BV523" i="46"/>
  <c r="CA523" i="46"/>
  <c r="I441" i="49"/>
  <c r="BY526" i="46"/>
  <c r="CA526" i="46"/>
  <c r="BU526" i="46"/>
  <c r="BV526" i="46"/>
  <c r="BZ526" i="46"/>
  <c r="I457" i="49"/>
  <c r="CA516" i="46"/>
  <c r="BZ516" i="46"/>
  <c r="BU516" i="46"/>
  <c r="BV516" i="46"/>
  <c r="BY516" i="46"/>
  <c r="I27" i="49"/>
  <c r="CA32" i="46"/>
  <c r="BY32" i="46"/>
  <c r="BZ32" i="46"/>
  <c r="BV32" i="46"/>
  <c r="BU32" i="46"/>
  <c r="I23" i="49"/>
  <c r="CA23" i="46"/>
  <c r="BY23" i="46"/>
  <c r="BZ23" i="46"/>
  <c r="BV23" i="46"/>
  <c r="BU23" i="46"/>
  <c r="I456" i="49"/>
  <c r="BY525" i="46"/>
  <c r="BU525" i="46"/>
  <c r="BV525" i="46"/>
  <c r="BZ525" i="46"/>
  <c r="CA525" i="46"/>
  <c r="I21" i="49"/>
  <c r="BY38" i="46"/>
  <c r="BZ38" i="46"/>
  <c r="CA38" i="46"/>
  <c r="BU38" i="46"/>
  <c r="BV38" i="46"/>
  <c r="I452" i="49"/>
  <c r="BZ520" i="46"/>
  <c r="CA520" i="46"/>
  <c r="BY520" i="46"/>
  <c r="BU520" i="46"/>
  <c r="BV520" i="46"/>
  <c r="I459" i="49"/>
  <c r="BY532" i="46"/>
  <c r="BZ532" i="46"/>
  <c r="CA532" i="46"/>
  <c r="BU532" i="46"/>
  <c r="BV532" i="46"/>
  <c r="I30" i="49"/>
  <c r="BY26" i="46"/>
  <c r="BZ26" i="46"/>
  <c r="CA26" i="46"/>
  <c r="BV26" i="46"/>
  <c r="BU26" i="46"/>
  <c r="I19" i="49"/>
  <c r="CA35" i="46"/>
  <c r="BY35" i="46"/>
  <c r="BZ35" i="46"/>
  <c r="BV35" i="46"/>
  <c r="BU35" i="46"/>
  <c r="I458" i="49"/>
  <c r="BZ524" i="46"/>
  <c r="CA524" i="46"/>
  <c r="BY524" i="46"/>
  <c r="BU524" i="46"/>
  <c r="BV524" i="46"/>
  <c r="I26" i="49"/>
  <c r="BY41" i="46"/>
  <c r="BZ41" i="46"/>
  <c r="CA41" i="46"/>
  <c r="BV41" i="46"/>
  <c r="BU41" i="46"/>
  <c r="I440" i="49"/>
  <c r="BY529" i="46"/>
  <c r="BZ529" i="46"/>
  <c r="BU529" i="46"/>
  <c r="BV529" i="46"/>
  <c r="CA529" i="46"/>
  <c r="AE117" i="46"/>
  <c r="AF117" i="46"/>
  <c r="I33" i="49"/>
  <c r="BZ30" i="46"/>
  <c r="CA30" i="46"/>
  <c r="BY30" i="46"/>
  <c r="BV30" i="46"/>
  <c r="BU30" i="46"/>
  <c r="L72" i="49"/>
  <c r="AG100" i="46"/>
  <c r="CT198" i="49"/>
  <c r="BB148" i="49"/>
  <c r="BX470" i="49"/>
  <c r="BW470" i="49"/>
  <c r="BW463" i="49"/>
  <c r="CT71" i="49"/>
  <c r="K335" i="49"/>
  <c r="BW391" i="46"/>
  <c r="BB171" i="49"/>
  <c r="CT172" i="49"/>
  <c r="AF106" i="46"/>
  <c r="Z106" i="46"/>
  <c r="AD100" i="46"/>
  <c r="K118" i="49"/>
  <c r="BW145" i="46"/>
  <c r="J119" i="49"/>
  <c r="CV75" i="49"/>
  <c r="J454" i="49"/>
  <c r="AE517" i="46"/>
  <c r="K407" i="49"/>
  <c r="BW469" i="46"/>
  <c r="K436" i="49"/>
  <c r="BW505" i="46"/>
  <c r="K479" i="49"/>
  <c r="BW560" i="46"/>
  <c r="J313" i="49"/>
  <c r="CB371" i="46"/>
  <c r="N313" i="49"/>
  <c r="CB412" i="46"/>
  <c r="N356" i="49"/>
  <c r="AC356" i="49"/>
  <c r="AB470" i="49"/>
  <c r="J363" i="49"/>
  <c r="AE421" i="46"/>
  <c r="AI421" i="46"/>
  <c r="Q363" i="49"/>
  <c r="AY363" i="49"/>
  <c r="J357" i="49"/>
  <c r="AE415" i="46"/>
  <c r="AI415" i="46"/>
  <c r="Q357" i="49"/>
  <c r="AY357" i="49"/>
  <c r="CB415" i="46"/>
  <c r="N357" i="49"/>
  <c r="AC357" i="49"/>
  <c r="CB157" i="46"/>
  <c r="N83" i="49"/>
  <c r="AC83" i="49"/>
  <c r="K99" i="49"/>
  <c r="BW127" i="46"/>
  <c r="J109" i="49"/>
  <c r="AE160" i="46"/>
  <c r="AI160" i="46"/>
  <c r="Q109" i="49"/>
  <c r="AY109" i="49"/>
  <c r="CB484" i="46"/>
  <c r="N404" i="49"/>
  <c r="AC404" i="49"/>
  <c r="K13" i="49"/>
  <c r="BW8" i="46"/>
  <c r="J335" i="49"/>
  <c r="CB57" i="46"/>
  <c r="N45" i="49"/>
  <c r="AC45" i="49"/>
  <c r="AC359" i="49"/>
  <c r="CT205" i="49"/>
  <c r="K97" i="49"/>
  <c r="BW120" i="46"/>
  <c r="CB120" i="46"/>
  <c r="N97" i="49"/>
  <c r="J95" i="49"/>
  <c r="J341" i="49"/>
  <c r="CB388" i="46"/>
  <c r="N341" i="49"/>
  <c r="AC341" i="49"/>
  <c r="J433" i="49"/>
  <c r="J477" i="49"/>
  <c r="CT258" i="49"/>
  <c r="J41" i="49"/>
  <c r="J480" i="49"/>
  <c r="CB561" i="46"/>
  <c r="N480" i="49"/>
  <c r="AC480" i="49"/>
  <c r="BA360" i="49"/>
  <c r="AZ360" i="49"/>
  <c r="CT290" i="49"/>
  <c r="AA571" i="46"/>
  <c r="AE571" i="46"/>
  <c r="AA573" i="46"/>
  <c r="AE573" i="46"/>
  <c r="AA569" i="46"/>
  <c r="AA572" i="46"/>
  <c r="AE572" i="46"/>
  <c r="AA570" i="46"/>
  <c r="AE570" i="46"/>
  <c r="BY575" i="46"/>
  <c r="BZ575" i="46"/>
  <c r="CA575" i="46"/>
  <c r="CT155" i="49"/>
  <c r="CT201" i="49"/>
  <c r="BB271" i="49"/>
  <c r="BB426" i="49"/>
  <c r="BB5" i="49"/>
  <c r="CT384" i="49"/>
  <c r="CT259" i="49"/>
  <c r="CT430" i="49"/>
  <c r="AZ467" i="49"/>
  <c r="K59" i="49"/>
  <c r="BW71" i="46"/>
  <c r="BW69" i="49"/>
  <c r="BX69" i="49"/>
  <c r="P93" i="49"/>
  <c r="AC123" i="49"/>
  <c r="AB232" i="46"/>
  <c r="AF232" i="46"/>
  <c r="AB296" i="46"/>
  <c r="AF296" i="46"/>
  <c r="AB197" i="46"/>
  <c r="AF197" i="46"/>
  <c r="AB246" i="46"/>
  <c r="AF246" i="46"/>
  <c r="AB191" i="46"/>
  <c r="AF191" i="46"/>
  <c r="AB300" i="46"/>
  <c r="AF300" i="46"/>
  <c r="AB257" i="46"/>
  <c r="AF257" i="46"/>
  <c r="AB245" i="46"/>
  <c r="AF245" i="46"/>
  <c r="AB221" i="46"/>
  <c r="AF221" i="46"/>
  <c r="AB342" i="46"/>
  <c r="AF342" i="46"/>
  <c r="AB268" i="46"/>
  <c r="AF268" i="46"/>
  <c r="AB208" i="46"/>
  <c r="AF208" i="46"/>
  <c r="AB234" i="46"/>
  <c r="AF234" i="46"/>
  <c r="AB236" i="46"/>
  <c r="AF236" i="46"/>
  <c r="AB287" i="46"/>
  <c r="AF287" i="46"/>
  <c r="AB339" i="46"/>
  <c r="AF339" i="46"/>
  <c r="AB182" i="46"/>
  <c r="AF182" i="46"/>
  <c r="AB265" i="46"/>
  <c r="AF265" i="46"/>
  <c r="AB303" i="46"/>
  <c r="AF303" i="46"/>
  <c r="AB259" i="46"/>
  <c r="AF259" i="46"/>
  <c r="AB239" i="46"/>
  <c r="AF239" i="46"/>
  <c r="AB309" i="46"/>
  <c r="AF309" i="46"/>
  <c r="AB202" i="46"/>
  <c r="AF202" i="46"/>
  <c r="AB264" i="46"/>
  <c r="AF264" i="46"/>
  <c r="AB204" i="46"/>
  <c r="AF204" i="46"/>
  <c r="AB312" i="46"/>
  <c r="AF312" i="46"/>
  <c r="AB222" i="46"/>
  <c r="AF222" i="46"/>
  <c r="AB195" i="46"/>
  <c r="AF195" i="46"/>
  <c r="AB297" i="46"/>
  <c r="AF297" i="46"/>
  <c r="AB209" i="46"/>
  <c r="AF209" i="46"/>
  <c r="AB294" i="46"/>
  <c r="AB198" i="46"/>
  <c r="AF198" i="46"/>
  <c r="AB350" i="46"/>
  <c r="AF350" i="46"/>
  <c r="AB185" i="46"/>
  <c r="AF185" i="46"/>
  <c r="AB187" i="46"/>
  <c r="AF187" i="46"/>
  <c r="AB230" i="46"/>
  <c r="AF230" i="46"/>
  <c r="AB207" i="46"/>
  <c r="AF207" i="46"/>
  <c r="AB315" i="46"/>
  <c r="AF315" i="46"/>
  <c r="AB333" i="46"/>
  <c r="AF333" i="46"/>
  <c r="AB275" i="46"/>
  <c r="AF275" i="46"/>
  <c r="AB327" i="46"/>
  <c r="AF327" i="46"/>
  <c r="AB235" i="46"/>
  <c r="AF235" i="46"/>
  <c r="AB295" i="46"/>
  <c r="AF295" i="46"/>
  <c r="AB194" i="46"/>
  <c r="AF194" i="46"/>
  <c r="AB237" i="46"/>
  <c r="AF237" i="46"/>
  <c r="AB328" i="46"/>
  <c r="AF328" i="46"/>
  <c r="AB290" i="46"/>
  <c r="AF290" i="46"/>
  <c r="AB258" i="46"/>
  <c r="AF258" i="46"/>
  <c r="AB330" i="46"/>
  <c r="AF330" i="46"/>
  <c r="AB288" i="46"/>
  <c r="AF288" i="46"/>
  <c r="AB179" i="46"/>
  <c r="AF179" i="46"/>
  <c r="AB306" i="46"/>
  <c r="AF306" i="46"/>
  <c r="AB215" i="46"/>
  <c r="AF215" i="46"/>
  <c r="AB353" i="46"/>
  <c r="AF353" i="46"/>
  <c r="AB341" i="46"/>
  <c r="AF341" i="46"/>
  <c r="AB283" i="46"/>
  <c r="AF283" i="46"/>
  <c r="AB335" i="46"/>
  <c r="AF335" i="46"/>
  <c r="AB251" i="46"/>
  <c r="AF251" i="46"/>
  <c r="AB233" i="46"/>
  <c r="AF233" i="46"/>
  <c r="AB269" i="46"/>
  <c r="AF269" i="46"/>
  <c r="AB311" i="46"/>
  <c r="AF311" i="46"/>
  <c r="AB286" i="46"/>
  <c r="AF286" i="46"/>
  <c r="AB254" i="46"/>
  <c r="AF254" i="46"/>
  <c r="AB284" i="46"/>
  <c r="AF284" i="46"/>
  <c r="AB252" i="46"/>
  <c r="AF252" i="46"/>
  <c r="AB183" i="46"/>
  <c r="AF183" i="46"/>
  <c r="AB225" i="46"/>
  <c r="AF225" i="46"/>
  <c r="AB349" i="46"/>
  <c r="AF349" i="46"/>
  <c r="AB192" i="46"/>
  <c r="AF192" i="46"/>
  <c r="AB213" i="46"/>
  <c r="AF213" i="46"/>
  <c r="AB336" i="46"/>
  <c r="AF336" i="46"/>
  <c r="AB338" i="46"/>
  <c r="AF338" i="46"/>
  <c r="AB177" i="46"/>
  <c r="AF177" i="46"/>
  <c r="AB199" i="46"/>
  <c r="AF199" i="46"/>
  <c r="AB299" i="46"/>
  <c r="AF299" i="46"/>
  <c r="AB347" i="46"/>
  <c r="AF347" i="46"/>
  <c r="AB325" i="46"/>
  <c r="AF325" i="46"/>
  <c r="AB267" i="46"/>
  <c r="AF267" i="46"/>
  <c r="AB305" i="46"/>
  <c r="AF305" i="46"/>
  <c r="AB253" i="46"/>
  <c r="AF253" i="46"/>
  <c r="AB178" i="46"/>
  <c r="AF178" i="46"/>
  <c r="AB351" i="46"/>
  <c r="AF351" i="46"/>
  <c r="AB332" i="46"/>
  <c r="AF332" i="46"/>
  <c r="AB262" i="46"/>
  <c r="AF262" i="46"/>
  <c r="AB292" i="46"/>
  <c r="AF292" i="46"/>
  <c r="AB260" i="46"/>
  <c r="AF260" i="46"/>
  <c r="AB200" i="46"/>
  <c r="AF200" i="46"/>
  <c r="AB228" i="46"/>
  <c r="AF228" i="46"/>
  <c r="AB298" i="46"/>
  <c r="AF298" i="46"/>
  <c r="AB248" i="46"/>
  <c r="AF248" i="46"/>
  <c r="AB302" i="46"/>
  <c r="AF302" i="46"/>
  <c r="AB281" i="46"/>
  <c r="AF281" i="46"/>
  <c r="AB261" i="46"/>
  <c r="AF261" i="46"/>
  <c r="AB272" i="46"/>
  <c r="AF272" i="46"/>
  <c r="AB212" i="46"/>
  <c r="AF212" i="46"/>
  <c r="AB176" i="46"/>
  <c r="AB240" i="46"/>
  <c r="AF240" i="46"/>
  <c r="AB242" i="46"/>
  <c r="AF242" i="46"/>
  <c r="AB188" i="46"/>
  <c r="AF188" i="46"/>
  <c r="AB289" i="46"/>
  <c r="AF289" i="46"/>
  <c r="AB356" i="46"/>
  <c r="AF356" i="46"/>
  <c r="AB324" i="46"/>
  <c r="AF324" i="46"/>
  <c r="AB270" i="46"/>
  <c r="AF270" i="46"/>
  <c r="AB206" i="46"/>
  <c r="AF206" i="46"/>
  <c r="AB326" i="46"/>
  <c r="AF326" i="46"/>
  <c r="AB255" i="46"/>
  <c r="AF255" i="46"/>
  <c r="AB301" i="46"/>
  <c r="AF301" i="46"/>
  <c r="AB291" i="46"/>
  <c r="AF291" i="46"/>
  <c r="AB343" i="46"/>
  <c r="AF343" i="46"/>
  <c r="AB190" i="46"/>
  <c r="AF190" i="46"/>
  <c r="AB249" i="46"/>
  <c r="AF249" i="46"/>
  <c r="AB277" i="46"/>
  <c r="AF277" i="46"/>
  <c r="AB329" i="46"/>
  <c r="AF329" i="46"/>
  <c r="AB282" i="46"/>
  <c r="AF282" i="46"/>
  <c r="AB218" i="46"/>
  <c r="AF218" i="46"/>
  <c r="AB280" i="46"/>
  <c r="AF280" i="46"/>
  <c r="AB220" i="46"/>
  <c r="AF220" i="46"/>
  <c r="AB241" i="46"/>
  <c r="AF241" i="46"/>
  <c r="AB273" i="46"/>
  <c r="AF273" i="46"/>
  <c r="AB337" i="46"/>
  <c r="AF337" i="46"/>
  <c r="AB334" i="46"/>
  <c r="AF334" i="46"/>
  <c r="AB271" i="46"/>
  <c r="AF271" i="46"/>
  <c r="AB227" i="46"/>
  <c r="AF227" i="46"/>
  <c r="AB313" i="46"/>
  <c r="AF313" i="46"/>
  <c r="AB247" i="46"/>
  <c r="AF247" i="46"/>
  <c r="AB211" i="46"/>
  <c r="AF211" i="46"/>
  <c r="AB321" i="46"/>
  <c r="AF321" i="46"/>
  <c r="AB196" i="46"/>
  <c r="AF196" i="46"/>
  <c r="AB345" i="46"/>
  <c r="AF345" i="46"/>
  <c r="AB274" i="46"/>
  <c r="AF274" i="46"/>
  <c r="AB210" i="46"/>
  <c r="AF210" i="46"/>
  <c r="AB323" i="46"/>
  <c r="AB346" i="46"/>
  <c r="AF346" i="46"/>
  <c r="AB181" i="46"/>
  <c r="AF181" i="46"/>
  <c r="AB279" i="46"/>
  <c r="AF279" i="46"/>
  <c r="AB331" i="46"/>
  <c r="AF331" i="46"/>
  <c r="AB243" i="46"/>
  <c r="AF243" i="46"/>
  <c r="AB186" i="46"/>
  <c r="AF186" i="46"/>
  <c r="AB219" i="46"/>
  <c r="AF219" i="46"/>
  <c r="AB205" i="46"/>
  <c r="AF205" i="46"/>
  <c r="AB223" i="46"/>
  <c r="AF223" i="46"/>
  <c r="AB293" i="46"/>
  <c r="AF293" i="46"/>
  <c r="AB340" i="46"/>
  <c r="AF340" i="46"/>
  <c r="AB184" i="46"/>
  <c r="AF184" i="46"/>
  <c r="AB201" i="46"/>
  <c r="AF201" i="46"/>
  <c r="AB352" i="46"/>
  <c r="AF352" i="46"/>
  <c r="AB318" i="46"/>
  <c r="AF318" i="46"/>
  <c r="AB266" i="46"/>
  <c r="AF266" i="46"/>
  <c r="AB354" i="46"/>
  <c r="AF354" i="46"/>
  <c r="AB322" i="46"/>
  <c r="AF322" i="46"/>
  <c r="AB310" i="46"/>
  <c r="AF310" i="46"/>
  <c r="AB314" i="46"/>
  <c r="AF314" i="46"/>
  <c r="AB193" i="46"/>
  <c r="AF193" i="46"/>
  <c r="AB189" i="46"/>
  <c r="AF189" i="46"/>
  <c r="AB238" i="46"/>
  <c r="AF238" i="46"/>
  <c r="AB226" i="46"/>
  <c r="AF226" i="46"/>
  <c r="AB263" i="46"/>
  <c r="AF263" i="46"/>
  <c r="AB231" i="46"/>
  <c r="AF231" i="46"/>
  <c r="AB317" i="46"/>
  <c r="AF317" i="46"/>
  <c r="AB203" i="46"/>
  <c r="AF203" i="46"/>
  <c r="AB307" i="46"/>
  <c r="AF307" i="46"/>
  <c r="AB355" i="46"/>
  <c r="AF355" i="46"/>
  <c r="AB180" i="46"/>
  <c r="AF180" i="46"/>
  <c r="AB285" i="46"/>
  <c r="AF285" i="46"/>
  <c r="AB348" i="46"/>
  <c r="AF348" i="46"/>
  <c r="AB278" i="46"/>
  <c r="AF278" i="46"/>
  <c r="AB214" i="46"/>
  <c r="AF214" i="46"/>
  <c r="AB276" i="46"/>
  <c r="AF276" i="46"/>
  <c r="AB216" i="46"/>
  <c r="AF216" i="46"/>
  <c r="AB250" i="46"/>
  <c r="AF250" i="46"/>
  <c r="AB244" i="46"/>
  <c r="AF244" i="46"/>
  <c r="AB316" i="46"/>
  <c r="AF316" i="46"/>
  <c r="AB224" i="46"/>
  <c r="AF224" i="46"/>
  <c r="AB304" i="46"/>
  <c r="AF304" i="46"/>
  <c r="AB217" i="46"/>
  <c r="AF217" i="46"/>
  <c r="AB229" i="46"/>
  <c r="AF229" i="46"/>
  <c r="AB344" i="46"/>
  <c r="AF344" i="46"/>
  <c r="AB256" i="46"/>
  <c r="AF256" i="46"/>
  <c r="AB308" i="46"/>
  <c r="AF308" i="46"/>
  <c r="J16" i="49"/>
  <c r="K337" i="49"/>
  <c r="BW396" i="46"/>
  <c r="BB197" i="49"/>
  <c r="I24" i="49"/>
  <c r="BZ33" i="46"/>
  <c r="CA33" i="46"/>
  <c r="BY33" i="46"/>
  <c r="BV33" i="46"/>
  <c r="BU33" i="46"/>
  <c r="AC120" i="49"/>
  <c r="K107" i="49"/>
  <c r="BW131" i="46"/>
  <c r="J127" i="49"/>
  <c r="AC405" i="49"/>
  <c r="L38" i="49"/>
  <c r="L174" i="49"/>
  <c r="AA66" i="46"/>
  <c r="AE66" i="46"/>
  <c r="AA62" i="46"/>
  <c r="AA63" i="46"/>
  <c r="AE63" i="46"/>
  <c r="AA65" i="46"/>
  <c r="AE65" i="46"/>
  <c r="AA64" i="46"/>
  <c r="AE64" i="46"/>
  <c r="K322" i="49"/>
  <c r="CT62" i="49"/>
  <c r="CT276" i="49"/>
  <c r="BB226" i="49"/>
  <c r="BB302" i="49"/>
  <c r="L464" i="49"/>
  <c r="L74" i="49"/>
  <c r="AG102" i="46"/>
  <c r="AZ490" i="49"/>
  <c r="BW475" i="49"/>
  <c r="AZ473" i="49"/>
  <c r="CT211" i="49"/>
  <c r="AC447" i="46"/>
  <c r="AG447" i="46"/>
  <c r="AC454" i="46"/>
  <c r="AG454" i="46"/>
  <c r="AC442" i="46"/>
  <c r="AG442" i="46"/>
  <c r="AC430" i="46"/>
  <c r="AG430" i="46"/>
  <c r="AC453" i="46"/>
  <c r="AG453" i="46"/>
  <c r="AC423" i="46"/>
  <c r="AC458" i="46"/>
  <c r="AG458" i="46"/>
  <c r="AC452" i="46"/>
  <c r="AG452" i="46"/>
  <c r="AC446" i="46"/>
  <c r="AG446" i="46"/>
  <c r="AC434" i="46"/>
  <c r="AG434" i="46"/>
  <c r="AC444" i="46"/>
  <c r="AG444" i="46"/>
  <c r="AC451" i="46"/>
  <c r="AG451" i="46"/>
  <c r="AC463" i="46"/>
  <c r="AG463" i="46"/>
  <c r="AC456" i="46"/>
  <c r="AG456" i="46"/>
  <c r="AC450" i="46"/>
  <c r="AG450" i="46"/>
  <c r="AC460" i="46"/>
  <c r="AG460" i="46"/>
  <c r="AC438" i="46"/>
  <c r="AG438" i="46"/>
  <c r="AC449" i="46"/>
  <c r="AG449" i="46"/>
  <c r="AC443" i="46"/>
  <c r="AG443" i="46"/>
  <c r="AC437" i="46"/>
  <c r="AG437" i="46"/>
  <c r="AC429" i="46"/>
  <c r="AG429" i="46"/>
  <c r="AC448" i="46"/>
  <c r="AG448" i="46"/>
  <c r="AC424" i="46"/>
  <c r="AG424" i="46"/>
  <c r="AC457" i="46"/>
  <c r="AG457" i="46"/>
  <c r="AC461" i="46"/>
  <c r="AC431" i="46"/>
  <c r="AG431" i="46"/>
  <c r="AC441" i="46"/>
  <c r="AG441" i="46"/>
  <c r="AC436" i="46"/>
  <c r="AG436" i="46"/>
  <c r="AC459" i="46"/>
  <c r="AG459" i="46"/>
  <c r="AC435" i="46"/>
  <c r="AG435" i="46"/>
  <c r="AC445" i="46"/>
  <c r="AG445" i="46"/>
  <c r="AC440" i="46"/>
  <c r="AG440" i="46"/>
  <c r="AC426" i="46"/>
  <c r="AG426" i="46"/>
  <c r="AC425" i="46"/>
  <c r="AG425" i="46"/>
  <c r="AC462" i="46"/>
  <c r="AG462" i="46"/>
  <c r="AC439" i="46"/>
  <c r="AG439" i="46"/>
  <c r="AC433" i="46"/>
  <c r="AG433" i="46"/>
  <c r="AC432" i="46"/>
  <c r="AG432" i="46"/>
  <c r="AC427" i="46"/>
  <c r="AG427" i="46"/>
  <c r="AC455" i="46"/>
  <c r="AG455" i="46"/>
  <c r="AC428" i="46"/>
  <c r="AG428" i="46"/>
  <c r="J358" i="49"/>
  <c r="AE414" i="46"/>
  <c r="AI414" i="46"/>
  <c r="Q358" i="49"/>
  <c r="AY358" i="49"/>
  <c r="K66" i="49"/>
  <c r="BW88" i="46"/>
  <c r="CT326" i="49"/>
  <c r="CT310" i="49"/>
  <c r="K80" i="49"/>
  <c r="BW125" i="46"/>
  <c r="J126" i="49"/>
  <c r="I442" i="49"/>
  <c r="CA535" i="46"/>
  <c r="BU535" i="46"/>
  <c r="BV535" i="46"/>
  <c r="BY535" i="46"/>
  <c r="BZ535" i="46"/>
  <c r="CT241" i="49"/>
  <c r="K339" i="49"/>
  <c r="BW395" i="46"/>
  <c r="AC400" i="46"/>
  <c r="AG400" i="46"/>
  <c r="AC401" i="46"/>
  <c r="AG401" i="46"/>
  <c r="AC399" i="46"/>
  <c r="AG399" i="46"/>
  <c r="AC398" i="46"/>
  <c r="K44" i="49"/>
  <c r="BW55" i="46"/>
  <c r="K56" i="49"/>
  <c r="BW76" i="46"/>
  <c r="J355" i="49"/>
  <c r="CT178" i="49"/>
  <c r="J352" i="49"/>
  <c r="BY167" i="49"/>
  <c r="K108" i="49"/>
  <c r="BW137" i="46"/>
  <c r="L467" i="49"/>
  <c r="L472" i="49"/>
  <c r="K421" i="49"/>
  <c r="BW470" i="46"/>
  <c r="J60" i="49"/>
  <c r="AC80" i="46"/>
  <c r="AC81" i="46"/>
  <c r="AG81" i="46"/>
  <c r="K478" i="49"/>
  <c r="BW566" i="46"/>
  <c r="CT195" i="49"/>
  <c r="CT146" i="49"/>
  <c r="CT368" i="49"/>
  <c r="AE69" i="49"/>
  <c r="J130" i="49"/>
  <c r="K410" i="49"/>
  <c r="BW479" i="46"/>
  <c r="BB385" i="49"/>
  <c r="CT422" i="49"/>
  <c r="AC15" i="46"/>
  <c r="AC14" i="46"/>
  <c r="AC11" i="46"/>
  <c r="AC13" i="46"/>
  <c r="AC7" i="46"/>
  <c r="AC16" i="46"/>
  <c r="AC6" i="46"/>
  <c r="AC8" i="46"/>
  <c r="AC12" i="46"/>
  <c r="AC9" i="46"/>
  <c r="AC10" i="46"/>
  <c r="K343" i="49"/>
  <c r="BW392" i="46"/>
  <c r="K46" i="49"/>
  <c r="BW58" i="46"/>
  <c r="I37" i="49"/>
  <c r="BZ31" i="46"/>
  <c r="CA31" i="46"/>
  <c r="BY31" i="46"/>
  <c r="BV31" i="46"/>
  <c r="BU31" i="46"/>
  <c r="CT281" i="49"/>
  <c r="CT264" i="49"/>
  <c r="CT289" i="49"/>
  <c r="CT217" i="49"/>
  <c r="K94" i="49"/>
  <c r="BW123" i="46"/>
  <c r="P96" i="49"/>
  <c r="CT286" i="49"/>
  <c r="K408" i="49"/>
  <c r="BW483" i="46"/>
  <c r="AZ38" i="49"/>
  <c r="K57" i="49"/>
  <c r="BW75" i="46"/>
  <c r="J483" i="49"/>
  <c r="CT168" i="49"/>
  <c r="CT214" i="49"/>
  <c r="CT76" i="49"/>
  <c r="CT154" i="49"/>
  <c r="L461" i="49"/>
  <c r="BW490" i="49"/>
  <c r="BB429" i="49"/>
  <c r="AD455" i="49"/>
  <c r="AC455" i="49"/>
  <c r="CT176" i="49"/>
  <c r="CT240" i="49"/>
  <c r="CT162" i="49"/>
  <c r="CT429" i="49"/>
  <c r="CT278" i="49"/>
  <c r="CT263" i="49"/>
  <c r="Z117" i="46"/>
  <c r="AD110" i="46"/>
  <c r="Z510" i="46"/>
  <c r="Z511" i="46"/>
  <c r="CT192" i="49"/>
  <c r="BB253" i="49"/>
  <c r="CT212" i="49"/>
  <c r="I18" i="49"/>
  <c r="BY36" i="46"/>
  <c r="BZ36" i="46"/>
  <c r="CA36" i="46"/>
  <c r="BV36" i="46"/>
  <c r="BU36" i="46"/>
  <c r="Z95" i="46"/>
  <c r="Z93" i="46"/>
  <c r="Z94" i="46"/>
  <c r="AD94" i="46"/>
  <c r="CT169" i="49"/>
  <c r="K115" i="49"/>
  <c r="BW140" i="46"/>
  <c r="J81" i="49"/>
  <c r="AE169" i="46"/>
  <c r="AI169" i="46"/>
  <c r="Q81" i="49"/>
  <c r="AY81" i="49"/>
  <c r="BW51" i="49"/>
  <c r="Z496" i="46"/>
  <c r="AD496" i="46"/>
  <c r="Z488" i="46"/>
  <c r="AD488" i="46"/>
  <c r="Z493" i="46"/>
  <c r="AD493" i="46"/>
  <c r="Z486" i="46"/>
  <c r="Z492" i="46"/>
  <c r="AD492" i="46"/>
  <c r="Z498" i="46"/>
  <c r="AD498" i="46"/>
  <c r="Z491" i="46"/>
  <c r="AD491" i="46"/>
  <c r="Z489" i="46"/>
  <c r="AD489" i="46"/>
  <c r="Z497" i="46"/>
  <c r="AD497" i="46"/>
  <c r="Z495" i="46"/>
  <c r="AD495" i="46"/>
  <c r="Z490" i="46"/>
  <c r="AD490" i="46"/>
  <c r="Z487" i="46"/>
  <c r="AD487" i="46"/>
  <c r="Z494" i="46"/>
  <c r="AD494" i="46"/>
  <c r="BY500" i="46"/>
  <c r="BZ500" i="46"/>
  <c r="CA500" i="46"/>
  <c r="K318" i="49"/>
  <c r="CT329" i="49"/>
  <c r="J70" i="49"/>
  <c r="AE92" i="46"/>
  <c r="AI92" i="46"/>
  <c r="Q70" i="49"/>
  <c r="AY70" i="49"/>
  <c r="K77" i="49"/>
  <c r="BW172" i="46"/>
  <c r="J11" i="49"/>
  <c r="AD47" i="49"/>
  <c r="AC47" i="49"/>
  <c r="K129" i="49"/>
  <c r="BW156" i="46"/>
  <c r="J87" i="49"/>
  <c r="AC68" i="49"/>
  <c r="K86" i="49"/>
  <c r="BW165" i="46"/>
  <c r="K409" i="49"/>
  <c r="BW480" i="46"/>
  <c r="J434" i="49"/>
  <c r="K55" i="49"/>
  <c r="BW78" i="46"/>
  <c r="CB568" i="46"/>
  <c r="N484" i="49"/>
  <c r="AC484" i="49"/>
  <c r="AH361" i="46"/>
  <c r="K110" i="49"/>
  <c r="BW135" i="46"/>
  <c r="K42" i="49"/>
  <c r="BW56" i="46"/>
  <c r="K413" i="49"/>
  <c r="BW482" i="46"/>
  <c r="AC340" i="49"/>
  <c r="J131" i="49"/>
  <c r="AE147" i="46"/>
  <c r="AI147" i="46"/>
  <c r="Q131" i="49"/>
  <c r="AY131" i="49"/>
  <c r="K361" i="49"/>
  <c r="BW420" i="46"/>
  <c r="AF420" i="46"/>
  <c r="AJ420" i="46"/>
  <c r="R361" i="49"/>
  <c r="BV361" i="49"/>
  <c r="AD361" i="49"/>
  <c r="AC361" i="49"/>
  <c r="K354" i="49"/>
  <c r="BW411" i="46"/>
  <c r="K114" i="49"/>
  <c r="BW146" i="46"/>
  <c r="K415" i="49"/>
  <c r="BW474" i="46"/>
  <c r="J333" i="49"/>
  <c r="J319" i="49"/>
  <c r="AI362" i="46"/>
  <c r="Q319" i="49"/>
  <c r="AY319" i="49"/>
  <c r="AD319" i="49"/>
  <c r="AC319" i="49"/>
  <c r="J98" i="49"/>
  <c r="AC336" i="49"/>
  <c r="K125" i="49"/>
  <c r="BW151" i="46"/>
  <c r="J420" i="49"/>
  <c r="J317" i="49"/>
  <c r="K353" i="49"/>
  <c r="BW418" i="46"/>
  <c r="K78" i="49"/>
  <c r="BW128" i="46"/>
  <c r="K112" i="49"/>
  <c r="BW139" i="46"/>
  <c r="J79" i="49"/>
  <c r="J417" i="49"/>
  <c r="AC6" i="49"/>
  <c r="J117" i="49"/>
  <c r="K61" i="49"/>
  <c r="BW72" i="46"/>
  <c r="AC482" i="49"/>
  <c r="BW462" i="49"/>
  <c r="CT5" i="49"/>
  <c r="CT288" i="49"/>
  <c r="CT213" i="49"/>
  <c r="CT250" i="49"/>
  <c r="K357" i="49"/>
  <c r="BW415" i="46"/>
  <c r="BW72" i="49"/>
  <c r="BA73" i="49"/>
  <c r="AZ73" i="49"/>
  <c r="CT244" i="49"/>
  <c r="CT177" i="49"/>
  <c r="J118" i="49"/>
  <c r="CB134" i="46"/>
  <c r="N119" i="49"/>
  <c r="AC119" i="49"/>
  <c r="J479" i="49"/>
  <c r="S197" i="49"/>
  <c r="AL323" i="46"/>
  <c r="CT171" i="49"/>
  <c r="CT280" i="49"/>
  <c r="P363" i="49"/>
  <c r="CB89" i="46"/>
  <c r="N67" i="49"/>
  <c r="AC67" i="49"/>
  <c r="K89" i="49"/>
  <c r="BW143" i="46"/>
  <c r="CB143" i="46"/>
  <c r="N89" i="49"/>
  <c r="AC89" i="49"/>
  <c r="J99" i="49"/>
  <c r="AC109" i="49"/>
  <c r="K404" i="49"/>
  <c r="BW484" i="46"/>
  <c r="BY385" i="49"/>
  <c r="CB8" i="46"/>
  <c r="N13" i="49"/>
  <c r="AC13" i="49"/>
  <c r="K323" i="49"/>
  <c r="CT298" i="49"/>
  <c r="BB428" i="49"/>
  <c r="CT282" i="49"/>
  <c r="L489" i="49"/>
  <c r="AG114" i="46"/>
  <c r="K128" i="49"/>
  <c r="BW168" i="46"/>
  <c r="J97" i="49"/>
  <c r="CB129" i="46"/>
  <c r="N95" i="49"/>
  <c r="AC95" i="49"/>
  <c r="K414" i="49"/>
  <c r="BW485" i="46"/>
  <c r="J54" i="49"/>
  <c r="I32" i="49"/>
  <c r="CA27" i="46"/>
  <c r="BY27" i="46"/>
  <c r="BZ27" i="46"/>
  <c r="BV27" i="46"/>
  <c r="BU27" i="46"/>
  <c r="I17" i="49"/>
  <c r="BZ34" i="46"/>
  <c r="CA34" i="46"/>
  <c r="BY34" i="46"/>
  <c r="BU34" i="46"/>
  <c r="BV34" i="46"/>
  <c r="CT207" i="49"/>
  <c r="CT158" i="49"/>
  <c r="CT194" i="49"/>
  <c r="CT166" i="49"/>
  <c r="CT485" i="49"/>
  <c r="K8" i="49"/>
  <c r="BW11" i="46"/>
  <c r="CB11" i="46"/>
  <c r="N8" i="49"/>
  <c r="AC8" i="49"/>
  <c r="K41" i="49"/>
  <c r="BW59" i="46"/>
  <c r="CT365" i="49"/>
  <c r="CT303" i="49"/>
  <c r="AZ469" i="49"/>
  <c r="AZ40" i="49"/>
  <c r="CT296" i="49"/>
  <c r="CB406" i="46"/>
  <c r="N360" i="49"/>
  <c r="BW493" i="49"/>
  <c r="AZ474" i="49"/>
  <c r="CT228" i="49"/>
  <c r="CT397" i="49"/>
  <c r="CT437" i="49"/>
  <c r="CT216" i="49"/>
  <c r="CT373" i="49"/>
  <c r="K334" i="49"/>
  <c r="BW386" i="46"/>
  <c r="AC573" i="46"/>
  <c r="AG573" i="46"/>
  <c r="AC569" i="46"/>
  <c r="AC572" i="46"/>
  <c r="AG572" i="46"/>
  <c r="AC570" i="46"/>
  <c r="AG570" i="46"/>
  <c r="AC571" i="46"/>
  <c r="AG571" i="46"/>
  <c r="CT300" i="49"/>
  <c r="CT160" i="49"/>
  <c r="J59" i="49"/>
  <c r="BY383" i="46"/>
  <c r="BZ383" i="46"/>
  <c r="CA383" i="46"/>
  <c r="CT235" i="49"/>
  <c r="CT184" i="49"/>
  <c r="CT247" i="49"/>
  <c r="BB180" i="49"/>
  <c r="CT272" i="49"/>
  <c r="CT403" i="49"/>
  <c r="J64" i="49"/>
  <c r="CT345" i="49"/>
  <c r="CT206" i="49"/>
  <c r="CT285" i="49"/>
  <c r="CT426" i="49"/>
  <c r="K93" i="49"/>
  <c r="BW174" i="46"/>
  <c r="AF174" i="46"/>
  <c r="AJ174" i="46"/>
  <c r="R93" i="49"/>
  <c r="BV93" i="49"/>
  <c r="AD93" i="49"/>
  <c r="AC93" i="49"/>
  <c r="AA232" i="46"/>
  <c r="AE232" i="46"/>
  <c r="AA296" i="46"/>
  <c r="AE296" i="46"/>
  <c r="AA197" i="46"/>
  <c r="AA246" i="46"/>
  <c r="AE246" i="46"/>
  <c r="AA191" i="46"/>
  <c r="AA188" i="46"/>
  <c r="AE188" i="46"/>
  <c r="AA283" i="46"/>
  <c r="AE283" i="46"/>
  <c r="AA251" i="46"/>
  <c r="AE251" i="46"/>
  <c r="AA233" i="46"/>
  <c r="AE233" i="46"/>
  <c r="AA269" i="46"/>
  <c r="AE269" i="46"/>
  <c r="AA286" i="46"/>
  <c r="AE286" i="46"/>
  <c r="AA254" i="46"/>
  <c r="AE254" i="46"/>
  <c r="AA284" i="46"/>
  <c r="AA252" i="46"/>
  <c r="AE252" i="46"/>
  <c r="AA183" i="46"/>
  <c r="AE183" i="46"/>
  <c r="AA287" i="46"/>
  <c r="AE287" i="46"/>
  <c r="AA182" i="46"/>
  <c r="AE182" i="46"/>
  <c r="AA225" i="46"/>
  <c r="AE225" i="46"/>
  <c r="AA301" i="46"/>
  <c r="AA192" i="46"/>
  <c r="AE192" i="46"/>
  <c r="AA259" i="46"/>
  <c r="AE259" i="46"/>
  <c r="AA343" i="46"/>
  <c r="AE343" i="46"/>
  <c r="AA213" i="46"/>
  <c r="AE213" i="46"/>
  <c r="AA329" i="46"/>
  <c r="AE329" i="46"/>
  <c r="AA239" i="46"/>
  <c r="AE239" i="46"/>
  <c r="AA318" i="46"/>
  <c r="AE318" i="46"/>
  <c r="AA177" i="46"/>
  <c r="AE177" i="46"/>
  <c r="AA199" i="46"/>
  <c r="AE199" i="46"/>
  <c r="AA307" i="46"/>
  <c r="AE307" i="46"/>
  <c r="AA253" i="46"/>
  <c r="AE253" i="46"/>
  <c r="AA337" i="46"/>
  <c r="AE337" i="46"/>
  <c r="AA334" i="46"/>
  <c r="AE334" i="46"/>
  <c r="AA292" i="46"/>
  <c r="AA260" i="46"/>
  <c r="AE260" i="46"/>
  <c r="AA200" i="46"/>
  <c r="AE200" i="46"/>
  <c r="AA228" i="46"/>
  <c r="AE228" i="46"/>
  <c r="AA248" i="46"/>
  <c r="AE248" i="46"/>
  <c r="AA313" i="46"/>
  <c r="AA281" i="46"/>
  <c r="AE281" i="46"/>
  <c r="AA275" i="46"/>
  <c r="AE275" i="46"/>
  <c r="AA235" i="46"/>
  <c r="AE235" i="46"/>
  <c r="AA321" i="46"/>
  <c r="AE321" i="46"/>
  <c r="AA345" i="46"/>
  <c r="AE345" i="46"/>
  <c r="AA194" i="46"/>
  <c r="AE194" i="46"/>
  <c r="AA344" i="46"/>
  <c r="AE344" i="46"/>
  <c r="AA323" i="46"/>
  <c r="AA346" i="46"/>
  <c r="AE346" i="46"/>
  <c r="AA272" i="46"/>
  <c r="AE272" i="46"/>
  <c r="AA212" i="46"/>
  <c r="AE212" i="46"/>
  <c r="AA176" i="46"/>
  <c r="AA240" i="46"/>
  <c r="AE240" i="46"/>
  <c r="AA242" i="46"/>
  <c r="AE242" i="46"/>
  <c r="AA215" i="46"/>
  <c r="AE215" i="46"/>
  <c r="AA331" i="46"/>
  <c r="AE331" i="46"/>
  <c r="AA289" i="46"/>
  <c r="AA340" i="46"/>
  <c r="AE340" i="46"/>
  <c r="AA270" i="46"/>
  <c r="AE270" i="46"/>
  <c r="AA206" i="46"/>
  <c r="AE206" i="46"/>
  <c r="AA326" i="46"/>
  <c r="AE326" i="46"/>
  <c r="AA184" i="46"/>
  <c r="AE184" i="46"/>
  <c r="AA201" i="46"/>
  <c r="AE201" i="46"/>
  <c r="AA249" i="46"/>
  <c r="AE249" i="46"/>
  <c r="AA277" i="46"/>
  <c r="AE277" i="46"/>
  <c r="AA352" i="46"/>
  <c r="AE352" i="46"/>
  <c r="AA282" i="46"/>
  <c r="AE282" i="46"/>
  <c r="AA218" i="46"/>
  <c r="AE218" i="46"/>
  <c r="AA322" i="46"/>
  <c r="AE322" i="46"/>
  <c r="AA280" i="46"/>
  <c r="AE280" i="46"/>
  <c r="AA220" i="46"/>
  <c r="AE220" i="46"/>
  <c r="AA310" i="46"/>
  <c r="AE310" i="46"/>
  <c r="AA314" i="46"/>
  <c r="AE314" i="46"/>
  <c r="AA238" i="46"/>
  <c r="AE238" i="46"/>
  <c r="AA241" i="46"/>
  <c r="AE241" i="46"/>
  <c r="AA273" i="46"/>
  <c r="AE273" i="46"/>
  <c r="AA317" i="46"/>
  <c r="AE317" i="46"/>
  <c r="AA267" i="46"/>
  <c r="AE267" i="46"/>
  <c r="AA355" i="46"/>
  <c r="AE355" i="46"/>
  <c r="AA178" i="46"/>
  <c r="AE178" i="46"/>
  <c r="AA348" i="46"/>
  <c r="AE348" i="46"/>
  <c r="AA278" i="46"/>
  <c r="AE278" i="46"/>
  <c r="AA198" i="46"/>
  <c r="AA224" i="46"/>
  <c r="AA315" i="46"/>
  <c r="AE315" i="46"/>
  <c r="AA217" i="46"/>
  <c r="AA333" i="46"/>
  <c r="AE333" i="46"/>
  <c r="AA196" i="46"/>
  <c r="AE196" i="46"/>
  <c r="AA274" i="46"/>
  <c r="AE274" i="46"/>
  <c r="AA210" i="46"/>
  <c r="AE210" i="46"/>
  <c r="AA181" i="46"/>
  <c r="AE181" i="46"/>
  <c r="AA308" i="46"/>
  <c r="AE308" i="46"/>
  <c r="AA279" i="46"/>
  <c r="AE279" i="46"/>
  <c r="AA353" i="46"/>
  <c r="AE353" i="46"/>
  <c r="AA341" i="46"/>
  <c r="AE341" i="46"/>
  <c r="AA245" i="46"/>
  <c r="AE245" i="46"/>
  <c r="AA205" i="46"/>
  <c r="AE205" i="46"/>
  <c r="AA311" i="46"/>
  <c r="AE311" i="46"/>
  <c r="AA223" i="46"/>
  <c r="AE223" i="46"/>
  <c r="AA293" i="46"/>
  <c r="AA268" i="46"/>
  <c r="AE268" i="46"/>
  <c r="AA208" i="46"/>
  <c r="AE208" i="46"/>
  <c r="AA255" i="46"/>
  <c r="AE255" i="46"/>
  <c r="AA339" i="46"/>
  <c r="AE339" i="46"/>
  <c r="AA303" i="46"/>
  <c r="AA291" i="46"/>
  <c r="AE291" i="46"/>
  <c r="AA190" i="46"/>
  <c r="AA309" i="46"/>
  <c r="AE309" i="46"/>
  <c r="AA266" i="46"/>
  <c r="AE266" i="46"/>
  <c r="AA354" i="46"/>
  <c r="AE354" i="46"/>
  <c r="AA222" i="46"/>
  <c r="AE222" i="46"/>
  <c r="AA193" i="46"/>
  <c r="AE193" i="46"/>
  <c r="AA195" i="46"/>
  <c r="AE195" i="46"/>
  <c r="AA189" i="46"/>
  <c r="AE189" i="46"/>
  <c r="AA226" i="46"/>
  <c r="AE226" i="46"/>
  <c r="AA299" i="46"/>
  <c r="AE299" i="46"/>
  <c r="AA209" i="46"/>
  <c r="AE209" i="46"/>
  <c r="AA325" i="46"/>
  <c r="AE325" i="46"/>
  <c r="AA203" i="46"/>
  <c r="AE203" i="46"/>
  <c r="AA180" i="46"/>
  <c r="AE180" i="46"/>
  <c r="AA285" i="46"/>
  <c r="AE285" i="46"/>
  <c r="AA214" i="46"/>
  <c r="AE214" i="46"/>
  <c r="AA276" i="46"/>
  <c r="AE276" i="46"/>
  <c r="AA216" i="46"/>
  <c r="AE216" i="46"/>
  <c r="AA298" i="46"/>
  <c r="AE298" i="46"/>
  <c r="AA250" i="46"/>
  <c r="AE250" i="46"/>
  <c r="AA244" i="46"/>
  <c r="AE244" i="46"/>
  <c r="AA316" i="46"/>
  <c r="AE316" i="46"/>
  <c r="AA304" i="46"/>
  <c r="AE304" i="46"/>
  <c r="AA271" i="46"/>
  <c r="AE271" i="46"/>
  <c r="AA227" i="46"/>
  <c r="AE227" i="46"/>
  <c r="AA302" i="46"/>
  <c r="AE302" i="46"/>
  <c r="AA247" i="46"/>
  <c r="AE247" i="46"/>
  <c r="AA229" i="46"/>
  <c r="AE229" i="46"/>
  <c r="AA211" i="46"/>
  <c r="AE211" i="46"/>
  <c r="AA327" i="46"/>
  <c r="AE327" i="46"/>
  <c r="AA328" i="46"/>
  <c r="AE328" i="46"/>
  <c r="AA290" i="46"/>
  <c r="AE290" i="46"/>
  <c r="AA330" i="46"/>
  <c r="AA288" i="46"/>
  <c r="AE288" i="46"/>
  <c r="AA256" i="46"/>
  <c r="AE256" i="46"/>
  <c r="AA306" i="46"/>
  <c r="AE306" i="46"/>
  <c r="AA300" i="46"/>
  <c r="AE300" i="46"/>
  <c r="AA243" i="46"/>
  <c r="AE243" i="46"/>
  <c r="AA257" i="46"/>
  <c r="AE257" i="46"/>
  <c r="AA186" i="46"/>
  <c r="AE186" i="46"/>
  <c r="AA219" i="46"/>
  <c r="AE219" i="46"/>
  <c r="AA335" i="46"/>
  <c r="AE335" i="46"/>
  <c r="AA356" i="46"/>
  <c r="AE356" i="46"/>
  <c r="AA324" i="46"/>
  <c r="AE324" i="46"/>
  <c r="AA221" i="46"/>
  <c r="AE221" i="46"/>
  <c r="AA342" i="46"/>
  <c r="AE342" i="46"/>
  <c r="AA234" i="46"/>
  <c r="AE234" i="46"/>
  <c r="AA236" i="46"/>
  <c r="AE236" i="46"/>
  <c r="AA265" i="46"/>
  <c r="AA349" i="46"/>
  <c r="AE349" i="46"/>
  <c r="AA336" i="46"/>
  <c r="AE336" i="46"/>
  <c r="AA202" i="46"/>
  <c r="AE202" i="46"/>
  <c r="AA338" i="46"/>
  <c r="AE338" i="46"/>
  <c r="AA264" i="46"/>
  <c r="AE264" i="46"/>
  <c r="AA204" i="46"/>
  <c r="AE204" i="46"/>
  <c r="AA312" i="46"/>
  <c r="AE312" i="46"/>
  <c r="AA263" i="46"/>
  <c r="AE263" i="46"/>
  <c r="AA347" i="46"/>
  <c r="AE347" i="46"/>
  <c r="AA297" i="46"/>
  <c r="AE297" i="46"/>
  <c r="AA231" i="46"/>
  <c r="AA305" i="46"/>
  <c r="AE305" i="46"/>
  <c r="AA351" i="46"/>
  <c r="AE351" i="46"/>
  <c r="AA332" i="46"/>
  <c r="AE332" i="46"/>
  <c r="AA294" i="46"/>
  <c r="AA262" i="46"/>
  <c r="AA350" i="46"/>
  <c r="AA185" i="46"/>
  <c r="AE185" i="46"/>
  <c r="AA187" i="46"/>
  <c r="AE187" i="46"/>
  <c r="AA230" i="46"/>
  <c r="AE230" i="46"/>
  <c r="AA207" i="46"/>
  <c r="AE207" i="46"/>
  <c r="AA261" i="46"/>
  <c r="AE261" i="46"/>
  <c r="AA295" i="46"/>
  <c r="AE295" i="46"/>
  <c r="AA237" i="46"/>
  <c r="AE237" i="46"/>
  <c r="AA258" i="46"/>
  <c r="AE258" i="46"/>
  <c r="AA179" i="46"/>
  <c r="AE179" i="46"/>
  <c r="BY358" i="46"/>
  <c r="BZ358" i="46"/>
  <c r="CA358" i="46"/>
  <c r="K82" i="49"/>
  <c r="BW164" i="46"/>
  <c r="CT383" i="49"/>
  <c r="CB476" i="46"/>
  <c r="N416" i="49"/>
  <c r="AC416" i="49"/>
  <c r="K412" i="49"/>
  <c r="BW473" i="46"/>
  <c r="CT189" i="49"/>
  <c r="CB6" i="46"/>
  <c r="N16" i="49"/>
  <c r="AC16" i="49"/>
  <c r="K10" i="49"/>
  <c r="BW12" i="46"/>
  <c r="CB12" i="46"/>
  <c r="N10" i="49"/>
  <c r="AC10" i="49"/>
  <c r="J337" i="49"/>
  <c r="K314" i="49"/>
  <c r="CT399" i="49"/>
  <c r="CT63" i="49"/>
  <c r="CT199" i="49"/>
  <c r="CT226" i="49"/>
  <c r="CT202" i="49"/>
  <c r="K121" i="49"/>
  <c r="BW159" i="46"/>
  <c r="CB159" i="46"/>
  <c r="N121" i="49"/>
  <c r="AC121" i="49"/>
  <c r="J107" i="49"/>
  <c r="CB161" i="46"/>
  <c r="N127" i="49"/>
  <c r="AC127" i="49"/>
  <c r="AZ51" i="49"/>
  <c r="AZ466" i="49"/>
  <c r="AC9" i="49"/>
  <c r="BW38" i="49"/>
  <c r="BW174" i="49"/>
  <c r="AB66" i="46"/>
  <c r="AF66" i="46"/>
  <c r="AB63" i="46"/>
  <c r="AF63" i="46"/>
  <c r="AB65" i="46"/>
  <c r="AF65" i="46"/>
  <c r="AB64" i="46"/>
  <c r="AF64" i="46"/>
  <c r="AB62" i="46"/>
  <c r="BY68" i="46"/>
  <c r="BZ68" i="46"/>
  <c r="CA68" i="46"/>
  <c r="J322" i="49"/>
  <c r="CB364" i="46"/>
  <c r="N322" i="49"/>
  <c r="AC322" i="49"/>
  <c r="BW464" i="49"/>
  <c r="L40" i="49"/>
  <c r="Z423" i="46"/>
  <c r="Z457" i="46"/>
  <c r="AD457" i="46"/>
  <c r="Z435" i="46"/>
  <c r="AD435" i="46"/>
  <c r="Z445" i="46"/>
  <c r="AD445" i="46"/>
  <c r="Z426" i="46"/>
  <c r="AD426" i="46"/>
  <c r="Z425" i="46"/>
  <c r="AD425" i="46"/>
  <c r="Z451" i="46"/>
  <c r="AD451" i="46"/>
  <c r="Z439" i="46"/>
  <c r="AD439" i="46"/>
  <c r="Z463" i="46"/>
  <c r="AD463" i="46"/>
  <c r="Z461" i="46"/>
  <c r="Z427" i="46"/>
  <c r="AD427" i="46"/>
  <c r="Z424" i="46"/>
  <c r="AD424" i="46"/>
  <c r="Z444" i="46"/>
  <c r="AD444" i="46"/>
  <c r="Z462" i="46"/>
  <c r="AD462" i="46"/>
  <c r="Z433" i="46"/>
  <c r="AD433" i="46"/>
  <c r="Z442" i="46"/>
  <c r="AD442" i="46"/>
  <c r="Z430" i="46"/>
  <c r="AD430" i="46"/>
  <c r="Z459" i="46"/>
  <c r="AD459" i="46"/>
  <c r="Z453" i="46"/>
  <c r="AD453" i="46"/>
  <c r="Z446" i="46"/>
  <c r="AD446" i="46"/>
  <c r="Z434" i="46"/>
  <c r="AD434" i="46"/>
  <c r="Z455" i="46"/>
  <c r="AD455" i="46"/>
  <c r="Z449" i="46"/>
  <c r="AD449" i="46"/>
  <c r="Z443" i="46"/>
  <c r="AD443" i="46"/>
  <c r="Z448" i="46"/>
  <c r="AD448" i="46"/>
  <c r="Z436" i="46"/>
  <c r="AD436" i="46"/>
  <c r="Z458" i="46"/>
  <c r="AD458" i="46"/>
  <c r="Z452" i="46"/>
  <c r="AD452" i="46"/>
  <c r="Z440" i="46"/>
  <c r="AD440" i="46"/>
  <c r="Z456" i="46"/>
  <c r="AD456" i="46"/>
  <c r="Z450" i="46"/>
  <c r="AD450" i="46"/>
  <c r="Z431" i="46"/>
  <c r="AD431" i="46"/>
  <c r="Z460" i="46"/>
  <c r="AD460" i="46"/>
  <c r="Z438" i="46"/>
  <c r="AD438" i="46"/>
  <c r="Z432" i="46"/>
  <c r="AD432" i="46"/>
  <c r="Z437" i="46"/>
  <c r="AD437" i="46"/>
  <c r="Z428" i="46"/>
  <c r="AD428" i="46"/>
  <c r="Z429" i="46"/>
  <c r="AD429" i="46"/>
  <c r="Z447" i="46"/>
  <c r="AD447" i="46"/>
  <c r="Z441" i="46"/>
  <c r="AD441" i="46"/>
  <c r="Z454" i="46"/>
  <c r="AD454" i="46"/>
  <c r="BY465" i="46"/>
  <c r="BZ465" i="46"/>
  <c r="CA465" i="46"/>
  <c r="L474" i="49"/>
  <c r="AC358" i="49"/>
  <c r="J66" i="49"/>
  <c r="J80" i="49"/>
  <c r="CB125" i="46"/>
  <c r="N80" i="49"/>
  <c r="AC80" i="49"/>
  <c r="K100" i="49"/>
  <c r="BW154" i="46"/>
  <c r="J15" i="49"/>
  <c r="J339" i="49"/>
  <c r="Z400" i="46"/>
  <c r="AD400" i="46"/>
  <c r="Z401" i="46"/>
  <c r="AD401" i="46"/>
  <c r="Z399" i="46"/>
  <c r="AD399" i="46"/>
  <c r="Z398" i="46"/>
  <c r="J44" i="49"/>
  <c r="CB76" i="46"/>
  <c r="N56" i="49"/>
  <c r="AC56" i="49"/>
  <c r="K325" i="49"/>
  <c r="CT255" i="49"/>
  <c r="CT153" i="49"/>
  <c r="CT215" i="49"/>
  <c r="CT328" i="49"/>
  <c r="CT142" i="49"/>
  <c r="CT386" i="49"/>
  <c r="CB417" i="46"/>
  <c r="N352" i="49"/>
  <c r="AC352" i="49"/>
  <c r="CT311" i="49"/>
  <c r="K106" i="49"/>
  <c r="BW133" i="46"/>
  <c r="J108" i="49"/>
  <c r="CB137" i="46"/>
  <c r="N108" i="49"/>
  <c r="AC108" i="49"/>
  <c r="BW467" i="49"/>
  <c r="BW472" i="49"/>
  <c r="J421" i="49"/>
  <c r="K342" i="49"/>
  <c r="BW393" i="46"/>
  <c r="CB393" i="46"/>
  <c r="N342" i="49"/>
  <c r="AC342" i="49"/>
  <c r="K60" i="49"/>
  <c r="BW74" i="46"/>
  <c r="Z80" i="46"/>
  <c r="Z81" i="46"/>
  <c r="AD81" i="46"/>
  <c r="J478" i="49"/>
  <c r="CB367" i="46"/>
  <c r="N324" i="49"/>
  <c r="AC324" i="49"/>
  <c r="K111" i="49"/>
  <c r="BW141" i="46"/>
  <c r="J410" i="49"/>
  <c r="AA18" i="46"/>
  <c r="AE17" i="46"/>
  <c r="J343" i="49"/>
  <c r="L468" i="49"/>
  <c r="AZ491" i="49"/>
  <c r="J29" i="49"/>
  <c r="AE25" i="46"/>
  <c r="CT393" i="49"/>
  <c r="BB247" i="49"/>
  <c r="CT227" i="49"/>
  <c r="CT190" i="49"/>
  <c r="CT302" i="49"/>
  <c r="CT254" i="49"/>
  <c r="K101" i="49"/>
  <c r="BW148" i="46"/>
  <c r="CB148" i="46"/>
  <c r="N101" i="49"/>
  <c r="AC101" i="49"/>
  <c r="J94" i="49"/>
  <c r="AE123" i="46"/>
  <c r="AI123" i="46"/>
  <c r="Q94" i="49"/>
  <c r="AY94" i="49"/>
  <c r="AD96" i="49"/>
  <c r="AC96" i="49"/>
  <c r="J408" i="49"/>
  <c r="K338" i="49"/>
  <c r="BW387" i="46"/>
  <c r="CB387" i="46"/>
  <c r="N338" i="49"/>
  <c r="AC338" i="49"/>
  <c r="J57" i="49"/>
  <c r="CB75" i="46"/>
  <c r="N57" i="49"/>
  <c r="AC57" i="49"/>
  <c r="BW461" i="49"/>
  <c r="L73" i="49"/>
  <c r="AG103" i="46"/>
  <c r="CT139" i="49"/>
  <c r="CB518" i="46"/>
  <c r="N449" i="49"/>
  <c r="BT557" i="46"/>
  <c r="V558" i="46"/>
  <c r="X558" i="46"/>
  <c r="W558" i="46"/>
  <c r="U558" i="46"/>
  <c r="K455" i="49"/>
  <c r="BW519" i="46"/>
  <c r="AF519" i="46"/>
  <c r="CT331" i="49"/>
  <c r="CT225" i="49"/>
  <c r="CT149" i="49"/>
  <c r="CT187" i="49"/>
  <c r="CT304" i="49"/>
  <c r="CT382" i="49"/>
  <c r="AZ470" i="49"/>
  <c r="BA470" i="49"/>
  <c r="BB52" i="49"/>
  <c r="CT200" i="49"/>
  <c r="CT150" i="49"/>
  <c r="AZ463" i="49"/>
  <c r="AC510" i="46"/>
  <c r="AC511" i="46"/>
  <c r="BY513" i="46"/>
  <c r="BZ513" i="46"/>
  <c r="CA513" i="46"/>
  <c r="BB267" i="49"/>
  <c r="BA69" i="49"/>
  <c r="AZ69" i="49"/>
  <c r="CT292" i="49"/>
  <c r="CT144" i="49"/>
  <c r="CT208" i="49"/>
  <c r="L438" i="49"/>
  <c r="CT390" i="49"/>
  <c r="CT394" i="49"/>
  <c r="CT297" i="49"/>
  <c r="CT279" i="49"/>
  <c r="AB94" i="46"/>
  <c r="AF94" i="46"/>
  <c r="AB95" i="46"/>
  <c r="AB93" i="46"/>
  <c r="CT372" i="49"/>
  <c r="CT151" i="49"/>
  <c r="CT275" i="49"/>
  <c r="CT305" i="49"/>
  <c r="J115" i="49"/>
  <c r="K418" i="49"/>
  <c r="BW472" i="46"/>
  <c r="AA486" i="46"/>
  <c r="AA498" i="46"/>
  <c r="AE498" i="46"/>
  <c r="AA494" i="46"/>
  <c r="AA489" i="46"/>
  <c r="AA490" i="46"/>
  <c r="AE490" i="46"/>
  <c r="AA487" i="46"/>
  <c r="AE487" i="46"/>
  <c r="AA495" i="46"/>
  <c r="AE495" i="46"/>
  <c r="AA492" i="46"/>
  <c r="AE492" i="46"/>
  <c r="AA491" i="46"/>
  <c r="AE491" i="46"/>
  <c r="AA496" i="46"/>
  <c r="AE496" i="46"/>
  <c r="AA488" i="46"/>
  <c r="AE488" i="46"/>
  <c r="AA493" i="46"/>
  <c r="AA497" i="46"/>
  <c r="AE497" i="46"/>
  <c r="K48" i="49"/>
  <c r="BW53" i="46"/>
  <c r="J318" i="49"/>
  <c r="CB92" i="46"/>
  <c r="N70" i="49"/>
  <c r="K90" i="49"/>
  <c r="BW171" i="46"/>
  <c r="J77" i="49"/>
  <c r="J47" i="49"/>
  <c r="AE60" i="46"/>
  <c r="AI60" i="46"/>
  <c r="Q47" i="49"/>
  <c r="AY47" i="49"/>
  <c r="J129" i="49"/>
  <c r="AE156" i="46"/>
  <c r="AI156" i="46"/>
  <c r="Q129" i="49"/>
  <c r="AY129" i="49"/>
  <c r="CB130" i="46"/>
  <c r="N87" i="49"/>
  <c r="AC87" i="49"/>
  <c r="J86" i="49"/>
  <c r="J409" i="49"/>
  <c r="CB13" i="46"/>
  <c r="N12" i="49"/>
  <c r="AC12" i="49"/>
  <c r="J55" i="49"/>
  <c r="K91" i="49"/>
  <c r="BW132" i="46"/>
  <c r="K484" i="49"/>
  <c r="BW568" i="46"/>
  <c r="K320" i="49"/>
  <c r="AD320" i="49"/>
  <c r="AC320" i="49"/>
  <c r="J110" i="49"/>
  <c r="CB562" i="46"/>
  <c r="N481" i="49"/>
  <c r="AC481" i="49"/>
  <c r="K84" i="49"/>
  <c r="BW167" i="46"/>
  <c r="CB167" i="46"/>
  <c r="N84" i="49"/>
  <c r="AC84" i="49"/>
  <c r="J413" i="49"/>
  <c r="J14" i="49"/>
  <c r="CB147" i="46"/>
  <c r="N131" i="49"/>
  <c r="AC131" i="49"/>
  <c r="J361" i="49"/>
  <c r="AE420" i="46"/>
  <c r="AI420" i="46"/>
  <c r="Q361" i="49"/>
  <c r="AY361" i="49"/>
  <c r="K65" i="49"/>
  <c r="BW90" i="46"/>
  <c r="K350" i="49"/>
  <c r="BW416" i="46"/>
  <c r="J354" i="49"/>
  <c r="AE411" i="46"/>
  <c r="AI411" i="46"/>
  <c r="Q354" i="49"/>
  <c r="AY354" i="49"/>
  <c r="J114" i="49"/>
  <c r="J415" i="49"/>
  <c r="AC415" i="49"/>
  <c r="K364" i="49"/>
  <c r="BW409" i="46"/>
  <c r="CB409" i="46"/>
  <c r="N364" i="49"/>
  <c r="AC364" i="49"/>
  <c r="CB155" i="46"/>
  <c r="N122" i="49"/>
  <c r="AC122" i="49"/>
  <c r="J43" i="49"/>
  <c r="CB54" i="46"/>
  <c r="N43" i="49"/>
  <c r="AC43" i="49"/>
  <c r="J125" i="49"/>
  <c r="CB372" i="46"/>
  <c r="N317" i="49"/>
  <c r="AC317" i="49"/>
  <c r="J353" i="49"/>
  <c r="K362" i="49"/>
  <c r="BW408" i="46"/>
  <c r="K102" i="49"/>
  <c r="BW163" i="46"/>
  <c r="J78" i="49"/>
  <c r="K349" i="49"/>
  <c r="BW419" i="46"/>
  <c r="J112" i="49"/>
  <c r="CB166" i="46"/>
  <c r="N79" i="49"/>
  <c r="AC79" i="49"/>
  <c r="CB477" i="46"/>
  <c r="N417" i="49"/>
  <c r="AC417" i="49"/>
  <c r="J6" i="49"/>
  <c r="K316" i="49"/>
  <c r="AC117" i="49"/>
  <c r="AC61" i="49"/>
  <c r="CB373" i="46"/>
  <c r="N321" i="49"/>
  <c r="BX471" i="49"/>
  <c r="BW471" i="49"/>
  <c r="AZ493" i="49"/>
  <c r="CT53" i="49"/>
  <c r="CT344" i="49"/>
  <c r="I446" i="49"/>
  <c r="CA528" i="46"/>
  <c r="BZ528" i="46"/>
  <c r="BU528" i="46"/>
  <c r="BV528" i="46"/>
  <c r="BY528" i="46"/>
  <c r="CT425" i="49"/>
  <c r="CT180" i="49"/>
  <c r="J356" i="49"/>
  <c r="AE412" i="46"/>
  <c r="AI412" i="46"/>
  <c r="Q356" i="49"/>
  <c r="AY356" i="49"/>
  <c r="K363" i="49"/>
  <c r="BW421" i="46"/>
  <c r="AF421" i="46"/>
  <c r="AJ421" i="46"/>
  <c r="R363" i="49"/>
  <c r="BV363" i="49"/>
  <c r="CT268" i="49"/>
  <c r="CT242" i="49"/>
  <c r="R492" i="49"/>
  <c r="BV492" i="49"/>
  <c r="BY492" i="49"/>
  <c r="K103" i="49"/>
  <c r="BW126" i="46"/>
  <c r="I439" i="49"/>
  <c r="BZ534" i="46"/>
  <c r="CA534" i="46"/>
  <c r="BY534" i="46"/>
  <c r="BU534" i="46"/>
  <c r="BV534" i="46"/>
  <c r="J407" i="49"/>
  <c r="CB469" i="46"/>
  <c r="N407" i="49"/>
  <c r="AC407" i="49"/>
  <c r="J436" i="49"/>
  <c r="AC313" i="49"/>
  <c r="CT427" i="49"/>
  <c r="L462" i="49"/>
  <c r="L471" i="49"/>
  <c r="AG544" i="46"/>
  <c r="AK544" i="46"/>
  <c r="S471" i="49"/>
  <c r="CS471" i="49"/>
  <c r="J103" i="49"/>
  <c r="AD454" i="49"/>
  <c r="AC454" i="49"/>
  <c r="CT197" i="49"/>
  <c r="CU197" i="49"/>
  <c r="K356" i="49"/>
  <c r="BW412" i="46"/>
  <c r="L470" i="49"/>
  <c r="AG548" i="46"/>
  <c r="AK548" i="46"/>
  <c r="AD363" i="49"/>
  <c r="AC363" i="49"/>
  <c r="J67" i="49"/>
  <c r="CT196" i="49"/>
  <c r="L463" i="49"/>
  <c r="K83" i="49"/>
  <c r="BW157" i="46"/>
  <c r="J89" i="49"/>
  <c r="CB127" i="46"/>
  <c r="N99" i="49"/>
  <c r="AC99" i="49"/>
  <c r="J404" i="49"/>
  <c r="J13" i="49"/>
  <c r="K45" i="49"/>
  <c r="BW57" i="46"/>
  <c r="J323" i="49"/>
  <c r="CB370" i="46"/>
  <c r="N323" i="49"/>
  <c r="AC323" i="49"/>
  <c r="K359" i="49"/>
  <c r="BW410" i="46"/>
  <c r="CT387" i="49"/>
  <c r="BW489" i="49"/>
  <c r="J128" i="49"/>
  <c r="CB168" i="46"/>
  <c r="N128" i="49"/>
  <c r="AC128" i="49"/>
  <c r="AC97" i="49"/>
  <c r="K92" i="49"/>
  <c r="BW121" i="46"/>
  <c r="J414" i="49"/>
  <c r="CB485" i="46"/>
  <c r="N414" i="49"/>
  <c r="AC414" i="49"/>
  <c r="K7" i="49"/>
  <c r="BW14" i="46"/>
  <c r="J7" i="49"/>
  <c r="CT230" i="49"/>
  <c r="CB506" i="46"/>
  <c r="N433" i="49"/>
  <c r="AC433" i="49"/>
  <c r="K54" i="49"/>
  <c r="BW77" i="46"/>
  <c r="CB77" i="46"/>
  <c r="N54" i="49"/>
  <c r="AC54" i="49"/>
  <c r="CB564" i="46"/>
  <c r="N477" i="49"/>
  <c r="AC477" i="49"/>
  <c r="K88" i="49"/>
  <c r="BW149" i="46"/>
  <c r="J8" i="49"/>
  <c r="BA475" i="49"/>
  <c r="AZ475" i="49"/>
  <c r="AD360" i="49"/>
  <c r="AC360" i="49"/>
  <c r="CT381" i="49"/>
  <c r="CT222" i="49"/>
  <c r="AK109" i="46"/>
  <c r="AL109" i="46"/>
  <c r="AB106" i="46"/>
  <c r="AF107" i="46"/>
  <c r="AJ102" i="46"/>
  <c r="R74" i="49"/>
  <c r="BV74" i="49"/>
  <c r="I453" i="49"/>
  <c r="BY527" i="46"/>
  <c r="BZ527" i="46"/>
  <c r="BU527" i="46"/>
  <c r="BV527" i="46"/>
  <c r="CA527" i="46"/>
  <c r="I447" i="49"/>
  <c r="BZ533" i="46"/>
  <c r="CA533" i="46"/>
  <c r="BU533" i="46"/>
  <c r="BV533" i="46"/>
  <c r="BY533" i="46"/>
  <c r="J334" i="49"/>
  <c r="CB386" i="46"/>
  <c r="N334" i="49"/>
  <c r="AC334" i="49"/>
  <c r="Z573" i="46"/>
  <c r="AD573" i="46"/>
  <c r="Z569" i="46"/>
  <c r="Z570" i="46"/>
  <c r="AD570" i="46"/>
  <c r="Z571" i="46"/>
  <c r="AD571" i="46"/>
  <c r="Z572" i="46"/>
  <c r="AD572" i="46"/>
  <c r="CT307" i="49"/>
  <c r="BB257" i="49"/>
  <c r="CT293" i="49"/>
  <c r="CT378" i="49"/>
  <c r="CT260" i="49"/>
  <c r="CT369" i="49"/>
  <c r="CT232" i="49"/>
  <c r="AZ472" i="49"/>
  <c r="CU385" i="49"/>
  <c r="CT385" i="49"/>
  <c r="AC59" i="49"/>
  <c r="K64" i="49"/>
  <c r="BW91" i="46"/>
  <c r="J93" i="49"/>
  <c r="AE174" i="46"/>
  <c r="AI174" i="46"/>
  <c r="Q93" i="49"/>
  <c r="AY93" i="49"/>
  <c r="K123" i="49"/>
  <c r="BW152" i="46"/>
  <c r="Z296" i="46"/>
  <c r="AD296" i="46"/>
  <c r="Z197" i="46"/>
  <c r="AD197" i="46"/>
  <c r="Z246" i="46"/>
  <c r="AD246" i="46"/>
  <c r="Z191" i="46"/>
  <c r="AD191" i="46"/>
  <c r="Z232" i="46"/>
  <c r="AD232" i="46"/>
  <c r="Z215" i="46"/>
  <c r="AD215" i="46"/>
  <c r="Z353" i="46"/>
  <c r="AD353" i="46"/>
  <c r="Z289" i="46"/>
  <c r="AD289" i="46"/>
  <c r="Z341" i="46"/>
  <c r="AD341" i="46"/>
  <c r="Z335" i="46"/>
  <c r="AD335" i="46"/>
  <c r="Z311" i="46"/>
  <c r="AD311" i="46"/>
  <c r="Z270" i="46"/>
  <c r="AD270" i="46"/>
  <c r="Z206" i="46"/>
  <c r="AD206" i="46"/>
  <c r="Z184" i="46"/>
  <c r="AD184" i="46"/>
  <c r="Z201" i="46"/>
  <c r="AD201" i="46"/>
  <c r="Z349" i="46"/>
  <c r="AD349" i="46"/>
  <c r="Z249" i="46"/>
  <c r="AD249" i="46"/>
  <c r="Z277" i="46"/>
  <c r="AD277" i="46"/>
  <c r="Z336" i="46"/>
  <c r="AD336" i="46"/>
  <c r="Z282" i="46"/>
  <c r="AD282" i="46"/>
  <c r="Z218" i="46"/>
  <c r="AD218" i="46"/>
  <c r="Z338" i="46"/>
  <c r="AD338" i="46"/>
  <c r="Z280" i="46"/>
  <c r="AD280" i="46"/>
  <c r="Z220" i="46"/>
  <c r="AD220" i="46"/>
  <c r="Z238" i="46"/>
  <c r="AD238" i="46"/>
  <c r="Z299" i="46"/>
  <c r="AD299" i="46"/>
  <c r="Z347" i="46"/>
  <c r="AD347" i="46"/>
  <c r="Z241" i="46"/>
  <c r="AD241" i="46"/>
  <c r="Z273" i="46"/>
  <c r="AD273" i="46"/>
  <c r="Z325" i="46"/>
  <c r="AD325" i="46"/>
  <c r="Z267" i="46"/>
  <c r="AD267" i="46"/>
  <c r="Z305" i="46"/>
  <c r="AD305" i="46"/>
  <c r="Z178" i="46"/>
  <c r="AD178" i="46"/>
  <c r="Z351" i="46"/>
  <c r="AD351" i="46"/>
  <c r="Z332" i="46"/>
  <c r="AD332" i="46"/>
  <c r="Z278" i="46"/>
  <c r="AD278" i="46"/>
  <c r="Z224" i="46"/>
  <c r="AD224" i="46"/>
  <c r="Z302" i="46"/>
  <c r="AD302" i="46"/>
  <c r="Z217" i="46"/>
  <c r="AD217" i="46"/>
  <c r="Z196" i="46"/>
  <c r="AD196" i="46"/>
  <c r="Z274" i="46"/>
  <c r="AD274" i="46"/>
  <c r="Z210" i="46"/>
  <c r="AD210" i="46"/>
  <c r="Z181" i="46"/>
  <c r="AD181" i="46"/>
  <c r="Z279" i="46"/>
  <c r="AD279" i="46"/>
  <c r="Z245" i="46"/>
  <c r="AD245" i="46"/>
  <c r="Z205" i="46"/>
  <c r="AD205" i="46"/>
  <c r="Z223" i="46"/>
  <c r="AD223" i="46"/>
  <c r="Z293" i="46"/>
  <c r="AD293" i="46"/>
  <c r="Z356" i="46"/>
  <c r="AD356" i="46"/>
  <c r="Z324" i="46"/>
  <c r="AD324" i="46"/>
  <c r="Z326" i="46"/>
  <c r="AD326" i="46"/>
  <c r="Z268" i="46"/>
  <c r="AD268" i="46"/>
  <c r="Z208" i="46"/>
  <c r="AD208" i="46"/>
  <c r="Z255" i="46"/>
  <c r="AD255" i="46"/>
  <c r="Z301" i="46"/>
  <c r="AD301" i="46"/>
  <c r="Z291" i="46"/>
  <c r="AD291" i="46"/>
  <c r="Z343" i="46"/>
  <c r="AD343" i="46"/>
  <c r="Z190" i="46"/>
  <c r="AD190" i="46"/>
  <c r="Z329" i="46"/>
  <c r="AD329" i="46"/>
  <c r="Z266" i="46"/>
  <c r="AD266" i="46"/>
  <c r="Z222" i="46"/>
  <c r="AD222" i="46"/>
  <c r="Z193" i="46"/>
  <c r="AD193" i="46"/>
  <c r="Z195" i="46"/>
  <c r="AD195" i="46"/>
  <c r="Z189" i="46"/>
  <c r="AD189" i="46"/>
  <c r="Z226" i="46"/>
  <c r="AD226" i="46"/>
  <c r="Z209" i="46"/>
  <c r="AD209" i="46"/>
  <c r="Z203" i="46"/>
  <c r="AD203" i="46"/>
  <c r="Z180" i="46"/>
  <c r="AD180" i="46"/>
  <c r="Z285" i="46"/>
  <c r="AD285" i="46"/>
  <c r="Z337" i="46"/>
  <c r="AD337" i="46"/>
  <c r="Z214" i="46"/>
  <c r="AD214" i="46"/>
  <c r="Z198" i="46"/>
  <c r="AD198" i="46"/>
  <c r="Z334" i="46"/>
  <c r="AD334" i="46"/>
  <c r="Z276" i="46"/>
  <c r="AD276" i="46"/>
  <c r="Z216" i="46"/>
  <c r="AD216" i="46"/>
  <c r="Z250" i="46"/>
  <c r="AD250" i="46"/>
  <c r="Z244" i="46"/>
  <c r="AD244" i="46"/>
  <c r="Z271" i="46"/>
  <c r="AD271" i="46"/>
  <c r="Z227" i="46"/>
  <c r="AD227" i="46"/>
  <c r="Z313" i="46"/>
  <c r="AD313" i="46"/>
  <c r="Z247" i="46"/>
  <c r="AD247" i="46"/>
  <c r="Z229" i="46"/>
  <c r="AD229" i="46"/>
  <c r="Z211" i="46"/>
  <c r="AD211" i="46"/>
  <c r="Z321" i="46"/>
  <c r="AD321" i="46"/>
  <c r="Z345" i="46"/>
  <c r="AD345" i="46"/>
  <c r="Z290" i="46"/>
  <c r="AD290" i="46"/>
  <c r="Z323" i="46"/>
  <c r="Z346" i="46"/>
  <c r="AD346" i="46"/>
  <c r="Z288" i="46"/>
  <c r="AD288" i="46"/>
  <c r="Z256" i="46"/>
  <c r="AD256" i="46"/>
  <c r="Z331" i="46"/>
  <c r="AD331" i="46"/>
  <c r="Z243" i="46"/>
  <c r="AD243" i="46"/>
  <c r="Z257" i="46"/>
  <c r="AD257" i="46"/>
  <c r="Z186" i="46"/>
  <c r="AD186" i="46"/>
  <c r="Z219" i="46"/>
  <c r="AD219" i="46"/>
  <c r="Z340" i="46"/>
  <c r="AD340" i="46"/>
  <c r="Z221" i="46"/>
  <c r="AD221" i="46"/>
  <c r="Z234" i="46"/>
  <c r="AD234" i="46"/>
  <c r="Z236" i="46"/>
  <c r="AD236" i="46"/>
  <c r="Z265" i="46"/>
  <c r="AD265" i="46"/>
  <c r="Z352" i="46"/>
  <c r="AD352" i="46"/>
  <c r="Z318" i="46"/>
  <c r="AD318" i="46"/>
  <c r="Z202" i="46"/>
  <c r="AD202" i="46"/>
  <c r="Z354" i="46"/>
  <c r="AD354" i="46"/>
  <c r="Z322" i="46"/>
  <c r="AD322" i="46"/>
  <c r="Z264" i="46"/>
  <c r="AD264" i="46"/>
  <c r="Z204" i="46"/>
  <c r="AD204" i="46"/>
  <c r="Z310" i="46"/>
  <c r="AD310" i="46"/>
  <c r="Z314" i="46"/>
  <c r="AD314" i="46"/>
  <c r="Z263" i="46"/>
  <c r="AD263" i="46"/>
  <c r="Z297" i="46"/>
  <c r="AD297" i="46"/>
  <c r="Z231" i="46"/>
  <c r="AD231" i="46"/>
  <c r="Z317" i="46"/>
  <c r="AD317" i="46"/>
  <c r="Z307" i="46"/>
  <c r="AD307" i="46"/>
  <c r="Z355" i="46"/>
  <c r="AD355" i="46"/>
  <c r="Z348" i="46"/>
  <c r="AD348" i="46"/>
  <c r="Z294" i="46"/>
  <c r="AD294" i="46"/>
  <c r="Z262" i="46"/>
  <c r="AD262" i="46"/>
  <c r="Z185" i="46"/>
  <c r="AD185" i="46"/>
  <c r="Z187" i="46"/>
  <c r="AD187" i="46"/>
  <c r="Z230" i="46"/>
  <c r="AD230" i="46"/>
  <c r="Z316" i="46"/>
  <c r="AD316" i="46"/>
  <c r="Z304" i="46"/>
  <c r="AD304" i="46"/>
  <c r="Z207" i="46"/>
  <c r="AD207" i="46"/>
  <c r="Z261" i="46"/>
  <c r="AD261" i="46"/>
  <c r="Z295" i="46"/>
  <c r="AD295" i="46"/>
  <c r="Z237" i="46"/>
  <c r="AD237" i="46"/>
  <c r="Z344" i="46"/>
  <c r="AD344" i="46"/>
  <c r="Z258" i="46"/>
  <c r="AD258" i="46"/>
  <c r="Z179" i="46"/>
  <c r="AD179" i="46"/>
  <c r="Z308" i="46"/>
  <c r="AD308" i="46"/>
  <c r="Z300" i="46"/>
  <c r="AD300" i="46"/>
  <c r="Z188" i="46"/>
  <c r="AD188" i="46"/>
  <c r="Z283" i="46"/>
  <c r="AD283" i="46"/>
  <c r="Z251" i="46"/>
  <c r="AD251" i="46"/>
  <c r="Z233" i="46"/>
  <c r="AD233" i="46"/>
  <c r="Z269" i="46"/>
  <c r="AD269" i="46"/>
  <c r="Z286" i="46"/>
  <c r="AD286" i="46"/>
  <c r="Z254" i="46"/>
  <c r="AD254" i="46"/>
  <c r="Z342" i="46"/>
  <c r="AD342" i="46"/>
  <c r="Z284" i="46"/>
  <c r="AD284" i="46"/>
  <c r="Z252" i="46"/>
  <c r="AD252" i="46"/>
  <c r="Z183" i="46"/>
  <c r="AD183" i="46"/>
  <c r="Z287" i="46"/>
  <c r="AD287" i="46"/>
  <c r="Z339" i="46"/>
  <c r="AD339" i="46"/>
  <c r="Z182" i="46"/>
  <c r="AD182" i="46"/>
  <c r="Z225" i="46"/>
  <c r="AD225" i="46"/>
  <c r="Z303" i="46"/>
  <c r="AD303" i="46"/>
  <c r="Z192" i="46"/>
  <c r="AD192" i="46"/>
  <c r="Z259" i="46"/>
  <c r="AD259" i="46"/>
  <c r="Z213" i="46"/>
  <c r="AD213" i="46"/>
  <c r="Z239" i="46"/>
  <c r="AD239" i="46"/>
  <c r="Z309" i="46"/>
  <c r="AD309" i="46"/>
  <c r="Z312" i="46"/>
  <c r="AD312" i="46"/>
  <c r="Z177" i="46"/>
  <c r="AD177" i="46"/>
  <c r="Z199" i="46"/>
  <c r="AD199" i="46"/>
  <c r="Z253" i="46"/>
  <c r="AD253" i="46"/>
  <c r="Z350" i="46"/>
  <c r="AD350" i="46"/>
  <c r="Z292" i="46"/>
  <c r="AD292" i="46"/>
  <c r="Z260" i="46"/>
  <c r="AD260" i="46"/>
  <c r="Z200" i="46"/>
  <c r="AD200" i="46"/>
  <c r="Z228" i="46"/>
  <c r="AD228" i="46"/>
  <c r="Z298" i="46"/>
  <c r="AD298" i="46"/>
  <c r="Z248" i="46"/>
  <c r="AD248" i="46"/>
  <c r="Z315" i="46"/>
  <c r="AD315" i="46"/>
  <c r="Z281" i="46"/>
  <c r="AD281" i="46"/>
  <c r="Z333" i="46"/>
  <c r="AD333" i="46"/>
  <c r="Z275" i="46"/>
  <c r="AD275" i="46"/>
  <c r="Z327" i="46"/>
  <c r="AD327" i="46"/>
  <c r="Z235" i="46"/>
  <c r="AD235" i="46"/>
  <c r="Z194" i="46"/>
  <c r="AD194" i="46"/>
  <c r="Z328" i="46"/>
  <c r="AD328" i="46"/>
  <c r="Z330" i="46"/>
  <c r="AD330" i="46"/>
  <c r="Z272" i="46"/>
  <c r="AD272" i="46"/>
  <c r="Z212" i="46"/>
  <c r="AD212" i="46"/>
  <c r="Z176" i="46"/>
  <c r="Z306" i="46"/>
  <c r="AD306" i="46"/>
  <c r="Z240" i="46"/>
  <c r="AD240" i="46"/>
  <c r="Z242" i="46"/>
  <c r="AD242" i="46"/>
  <c r="K124" i="49"/>
  <c r="BW162" i="46"/>
  <c r="J82" i="49"/>
  <c r="AE164" i="46"/>
  <c r="AI164" i="46"/>
  <c r="Q82" i="49"/>
  <c r="AY82" i="49"/>
  <c r="K416" i="49"/>
  <c r="BW476" i="46"/>
  <c r="J412" i="49"/>
  <c r="K16" i="49"/>
  <c r="BW6" i="46"/>
  <c r="AZ468" i="49"/>
  <c r="J314" i="49"/>
  <c r="CB365" i="46"/>
  <c r="N314" i="49"/>
  <c r="AC314" i="49"/>
  <c r="BT50" i="46"/>
  <c r="W51" i="46"/>
  <c r="X51" i="46"/>
  <c r="U51" i="46"/>
  <c r="V51" i="46"/>
  <c r="I20" i="49"/>
  <c r="BZ37" i="46"/>
  <c r="CA37" i="46"/>
  <c r="BY37" i="46"/>
  <c r="BV37" i="46"/>
  <c r="BU37" i="46"/>
  <c r="K120" i="49"/>
  <c r="BW142" i="46"/>
  <c r="J121" i="49"/>
  <c r="CB131" i="46"/>
  <c r="N107" i="49"/>
  <c r="AC107" i="49"/>
  <c r="K405" i="49"/>
  <c r="BW471" i="46"/>
  <c r="J9" i="49"/>
  <c r="K432" i="49"/>
  <c r="BW507" i="46"/>
  <c r="AC66" i="46"/>
  <c r="AG66" i="46"/>
  <c r="AC63" i="46"/>
  <c r="AG63" i="46"/>
  <c r="AC65" i="46"/>
  <c r="AG65" i="46"/>
  <c r="AC62" i="46"/>
  <c r="AC64" i="46"/>
  <c r="AG64" i="46"/>
  <c r="CT375" i="49"/>
  <c r="CT271" i="49"/>
  <c r="BB162" i="49"/>
  <c r="BW74" i="49"/>
  <c r="L469" i="49"/>
  <c r="L465" i="49"/>
  <c r="BW40" i="49"/>
  <c r="CT261" i="49"/>
  <c r="AA458" i="46"/>
  <c r="AE458" i="46"/>
  <c r="AA452" i="46"/>
  <c r="AE452" i="46"/>
  <c r="AA434" i="46"/>
  <c r="AE434" i="46"/>
  <c r="AA444" i="46"/>
  <c r="AE444" i="46"/>
  <c r="AA456" i="46"/>
  <c r="AE456" i="46"/>
  <c r="AA450" i="46"/>
  <c r="AE450" i="46"/>
  <c r="AA460" i="46"/>
  <c r="AE460" i="46"/>
  <c r="AA454" i="46"/>
  <c r="AE454" i="46"/>
  <c r="AA442" i="46"/>
  <c r="AE442" i="46"/>
  <c r="AA436" i="46"/>
  <c r="AE436" i="46"/>
  <c r="AA430" i="46"/>
  <c r="AE430" i="46"/>
  <c r="AA457" i="46"/>
  <c r="AE457" i="46"/>
  <c r="AA435" i="46"/>
  <c r="AE435" i="46"/>
  <c r="AA446" i="46"/>
  <c r="AE446" i="46"/>
  <c r="AA440" i="46"/>
  <c r="AE440" i="46"/>
  <c r="AA451" i="46"/>
  <c r="AE451" i="46"/>
  <c r="AA439" i="46"/>
  <c r="AE439" i="46"/>
  <c r="AA463" i="46"/>
  <c r="AE463" i="46"/>
  <c r="AA461" i="46"/>
  <c r="AA431" i="46"/>
  <c r="AE431" i="46"/>
  <c r="AA438" i="46"/>
  <c r="AE438" i="46"/>
  <c r="AA432" i="46"/>
  <c r="AE432" i="46"/>
  <c r="AA427" i="46"/>
  <c r="AE427" i="46"/>
  <c r="AA437" i="46"/>
  <c r="AE437" i="46"/>
  <c r="AA428" i="46"/>
  <c r="AE428" i="46"/>
  <c r="AA429" i="46"/>
  <c r="AE429" i="46"/>
  <c r="AA447" i="46"/>
  <c r="AE447" i="46"/>
  <c r="AA441" i="46"/>
  <c r="AE441" i="46"/>
  <c r="AA426" i="46"/>
  <c r="AE426" i="46"/>
  <c r="AA425" i="46"/>
  <c r="AE425" i="46"/>
  <c r="AA462" i="46"/>
  <c r="AE462" i="46"/>
  <c r="AA459" i="46"/>
  <c r="AE459" i="46"/>
  <c r="AA453" i="46"/>
  <c r="AE453" i="46"/>
  <c r="AA424" i="46"/>
  <c r="AE424" i="46"/>
  <c r="AA423" i="46"/>
  <c r="AA445" i="46"/>
  <c r="AE445" i="46"/>
  <c r="AA433" i="46"/>
  <c r="AE433" i="46"/>
  <c r="AA455" i="46"/>
  <c r="AE455" i="46"/>
  <c r="AA449" i="46"/>
  <c r="AE449" i="46"/>
  <c r="AA443" i="46"/>
  <c r="AE443" i="46"/>
  <c r="AA448" i="46"/>
  <c r="AE448" i="46"/>
  <c r="BW474" i="49"/>
  <c r="AC66" i="49"/>
  <c r="CT159" i="49"/>
  <c r="K104" i="49"/>
  <c r="BW136" i="46"/>
  <c r="J100" i="49"/>
  <c r="CB154" i="46"/>
  <c r="N100" i="49"/>
  <c r="AC100" i="49"/>
  <c r="CB556" i="46"/>
  <c r="I451" i="49"/>
  <c r="CA522" i="46"/>
  <c r="BY522" i="46"/>
  <c r="BZ522" i="46"/>
  <c r="BU522" i="46"/>
  <c r="BV522" i="46"/>
  <c r="K406" i="49"/>
  <c r="BW475" i="46"/>
  <c r="CB475" i="46"/>
  <c r="N406" i="49"/>
  <c r="AC406" i="49"/>
  <c r="CT486" i="49"/>
  <c r="K15" i="49"/>
  <c r="BW7" i="46"/>
  <c r="CB7" i="46"/>
  <c r="N15" i="49"/>
  <c r="AC15" i="49"/>
  <c r="AC339" i="49"/>
  <c r="AB399" i="46"/>
  <c r="AF399" i="46"/>
  <c r="AB400" i="46"/>
  <c r="AF400" i="46"/>
  <c r="AB401" i="46"/>
  <c r="AF401" i="46"/>
  <c r="AB398" i="46"/>
  <c r="AC44" i="49"/>
  <c r="J325" i="49"/>
  <c r="CT428" i="49"/>
  <c r="CB407" i="46"/>
  <c r="N355" i="49"/>
  <c r="AC355" i="49"/>
  <c r="CT135" i="49"/>
  <c r="K85" i="49"/>
  <c r="BW170" i="46"/>
  <c r="J106" i="49"/>
  <c r="CT152" i="49"/>
  <c r="BB189" i="49"/>
  <c r="J342" i="49"/>
  <c r="CB74" i="46"/>
  <c r="N60" i="49"/>
  <c r="AC60" i="49"/>
  <c r="AA80" i="46"/>
  <c r="AA81" i="46"/>
  <c r="AE81" i="46"/>
  <c r="CB566" i="46"/>
  <c r="N478" i="49"/>
  <c r="AC478" i="49"/>
  <c r="K324" i="49"/>
  <c r="CT249" i="49"/>
  <c r="CT182" i="49"/>
  <c r="CT266" i="49"/>
  <c r="CT348" i="49"/>
  <c r="CT175" i="49"/>
  <c r="CT138" i="49"/>
  <c r="CT193" i="49"/>
  <c r="AB492" i="49"/>
  <c r="AE492" i="49"/>
  <c r="CT52" i="49"/>
  <c r="CT301" i="49"/>
  <c r="CB153" i="46"/>
  <c r="N130" i="49"/>
  <c r="AC130" i="49"/>
  <c r="K113" i="49"/>
  <c r="BW158" i="46"/>
  <c r="J111" i="49"/>
  <c r="CT143" i="49"/>
  <c r="Z18" i="46"/>
  <c r="AD17" i="46"/>
  <c r="S584" i="46"/>
  <c r="BJ377" i="46"/>
  <c r="BW468" i="49"/>
  <c r="K315" i="49"/>
  <c r="CB25" i="46"/>
  <c r="N29" i="49"/>
  <c r="AD29" i="49"/>
  <c r="AC29" i="49"/>
  <c r="CT306" i="49"/>
  <c r="J101" i="49"/>
  <c r="K96" i="49"/>
  <c r="BW173" i="46"/>
  <c r="AF173" i="46"/>
  <c r="AJ173" i="46"/>
  <c r="R96" i="49"/>
  <c r="BV96" i="49"/>
  <c r="K116" i="49"/>
  <c r="BW122" i="46"/>
  <c r="L466" i="49"/>
  <c r="J338" i="49"/>
  <c r="K431" i="49"/>
  <c r="BW508" i="46"/>
  <c r="CB508" i="46"/>
  <c r="N431" i="49"/>
  <c r="AC431" i="49"/>
  <c r="CT257" i="49"/>
  <c r="CT239" i="49"/>
  <c r="CT231" i="49"/>
  <c r="AE100" i="46"/>
  <c r="L39" i="49"/>
  <c r="AZ462" i="49"/>
  <c r="BW73" i="49"/>
  <c r="L473" i="49"/>
  <c r="BA471" i="49"/>
  <c r="AZ471" i="49"/>
  <c r="CT147" i="49"/>
  <c r="K449" i="49"/>
  <c r="BW518" i="46"/>
  <c r="AF518" i="46"/>
  <c r="AD449" i="49"/>
  <c r="AC449" i="49"/>
  <c r="J455" i="49"/>
  <c r="AE519" i="46"/>
  <c r="CT173" i="49"/>
  <c r="CT243" i="49"/>
  <c r="CT233" i="49"/>
  <c r="AB510" i="46"/>
  <c r="AB511" i="46"/>
  <c r="CT219" i="49"/>
  <c r="CT165" i="49"/>
  <c r="BW438" i="49"/>
  <c r="L491" i="49"/>
  <c r="AG110" i="46"/>
  <c r="CB49" i="46"/>
  <c r="AA94" i="46"/>
  <c r="AE94" i="46"/>
  <c r="AA93" i="46"/>
  <c r="AA95" i="46"/>
  <c r="BY97" i="46"/>
  <c r="BZ97" i="46"/>
  <c r="CA97" i="46"/>
  <c r="CT374" i="49"/>
  <c r="CB140" i="46"/>
  <c r="N115" i="49"/>
  <c r="AC115" i="49"/>
  <c r="J418" i="49"/>
  <c r="CB472" i="46"/>
  <c r="N418" i="49"/>
  <c r="AC418" i="49"/>
  <c r="AC492" i="46"/>
  <c r="AG492" i="46"/>
  <c r="AC490" i="46"/>
  <c r="AG490" i="46"/>
  <c r="AC487" i="46"/>
  <c r="AG487" i="46"/>
  <c r="AC497" i="46"/>
  <c r="AG497" i="46"/>
  <c r="AC495" i="46"/>
  <c r="AG495" i="46"/>
  <c r="AC496" i="46"/>
  <c r="AG496" i="46"/>
  <c r="AC488" i="46"/>
  <c r="AG488" i="46"/>
  <c r="AC493" i="46"/>
  <c r="AG493" i="46"/>
  <c r="AC486" i="46"/>
  <c r="AC491" i="46"/>
  <c r="AG491" i="46"/>
  <c r="AC498" i="46"/>
  <c r="AG498" i="46"/>
  <c r="AC494" i="46"/>
  <c r="AG494" i="46"/>
  <c r="AC489" i="46"/>
  <c r="AG489" i="46"/>
  <c r="J48" i="49"/>
  <c r="AC318" i="49"/>
  <c r="CT287" i="49"/>
  <c r="CT164" i="49"/>
  <c r="CT388" i="49"/>
  <c r="K70" i="49"/>
  <c r="AF92" i="46"/>
  <c r="AJ92" i="46"/>
  <c r="R70" i="49"/>
  <c r="BV70" i="49"/>
  <c r="BW92" i="46"/>
  <c r="P70" i="49"/>
  <c r="J90" i="49"/>
  <c r="AE171" i="46"/>
  <c r="AI171" i="46"/>
  <c r="Q90" i="49"/>
  <c r="AY90" i="49"/>
  <c r="K47" i="49"/>
  <c r="AF60" i="46"/>
  <c r="AJ60" i="46"/>
  <c r="R47" i="49"/>
  <c r="BV47" i="49"/>
  <c r="BW60" i="46"/>
  <c r="K476" i="49"/>
  <c r="BW567" i="46"/>
  <c r="CB567" i="46"/>
  <c r="N476" i="49"/>
  <c r="AC476" i="49"/>
  <c r="K351" i="49"/>
  <c r="BW413" i="46"/>
  <c r="CB413" i="46"/>
  <c r="N351" i="49"/>
  <c r="AC351" i="49"/>
  <c r="K411" i="49"/>
  <c r="BW481" i="46"/>
  <c r="K105" i="49"/>
  <c r="BW150" i="46"/>
  <c r="K68" i="49"/>
  <c r="BW86" i="46"/>
  <c r="AC86" i="49"/>
  <c r="K12" i="49"/>
  <c r="BW13" i="46"/>
  <c r="CB504" i="46"/>
  <c r="N434" i="49"/>
  <c r="AC434" i="49"/>
  <c r="J91" i="49"/>
  <c r="AE132" i="46"/>
  <c r="AI132" i="46"/>
  <c r="Q91" i="49"/>
  <c r="AY91" i="49"/>
  <c r="J484" i="49"/>
  <c r="J320" i="49"/>
  <c r="K58" i="49"/>
  <c r="BW73" i="46"/>
  <c r="K481" i="49"/>
  <c r="BW562" i="46"/>
  <c r="J84" i="49"/>
  <c r="CB482" i="46"/>
  <c r="N413" i="49"/>
  <c r="AC413" i="49"/>
  <c r="K340" i="49"/>
  <c r="BW394" i="46"/>
  <c r="CB420" i="46"/>
  <c r="N361" i="49"/>
  <c r="J65" i="49"/>
  <c r="AE90" i="46"/>
  <c r="AI90" i="46"/>
  <c r="Q65" i="49"/>
  <c r="AY65" i="49"/>
  <c r="CB90" i="46"/>
  <c r="N65" i="49"/>
  <c r="AC65" i="49"/>
  <c r="J350" i="49"/>
  <c r="AE416" i="46"/>
  <c r="AI416" i="46"/>
  <c r="Q350" i="49"/>
  <c r="AY350" i="49"/>
  <c r="CB416" i="46"/>
  <c r="N350" i="49"/>
  <c r="AC350" i="49"/>
  <c r="AC354" i="49"/>
  <c r="AC114" i="49"/>
  <c r="CB362" i="46"/>
  <c r="N319" i="49"/>
  <c r="J364" i="49"/>
  <c r="CB144" i="46"/>
  <c r="N98" i="49"/>
  <c r="AC98" i="49"/>
  <c r="K122" i="49"/>
  <c r="BW155" i="46"/>
  <c r="K336" i="49"/>
  <c r="BW389" i="46"/>
  <c r="K43" i="49"/>
  <c r="BW54" i="46"/>
  <c r="AC125" i="49"/>
  <c r="J362" i="49"/>
  <c r="AE408" i="46"/>
  <c r="AI408" i="46"/>
  <c r="Q362" i="49"/>
  <c r="AY362" i="49"/>
  <c r="CB408" i="46"/>
  <c r="N362" i="49"/>
  <c r="AC362" i="49"/>
  <c r="J102" i="49"/>
  <c r="J349" i="49"/>
  <c r="CB419" i="46"/>
  <c r="N349" i="49"/>
  <c r="AC349" i="49"/>
  <c r="AC112" i="49"/>
  <c r="K6" i="49"/>
  <c r="BW9" i="46"/>
  <c r="K435" i="49"/>
  <c r="BW503" i="46"/>
  <c r="J316" i="49"/>
  <c r="K482" i="49"/>
  <c r="BW565" i="46"/>
  <c r="K321" i="49"/>
  <c r="AJ373" i="46"/>
  <c r="R321" i="49"/>
  <c r="BV321" i="49"/>
  <c r="P321" i="49"/>
  <c r="K419" i="49"/>
  <c r="BW468" i="46"/>
  <c r="CB468" i="46"/>
  <c r="N419" i="49"/>
  <c r="AC419" i="49"/>
  <c r="CT396" i="49"/>
  <c r="K119" i="49"/>
  <c r="BW134" i="46"/>
  <c r="K454" i="49"/>
  <c r="BW517" i="46"/>
  <c r="AF517" i="46"/>
  <c r="I460" i="49"/>
  <c r="BY530" i="46"/>
  <c r="CA530" i="46"/>
  <c r="BU530" i="46"/>
  <c r="BV530" i="46"/>
  <c r="BZ530" i="46"/>
  <c r="K313" i="49"/>
  <c r="CT284" i="49"/>
  <c r="CT246" i="49"/>
  <c r="CT423" i="49"/>
  <c r="K67" i="49"/>
  <c r="BW89" i="46"/>
  <c r="J83" i="49"/>
  <c r="AE157" i="46"/>
  <c r="AI157" i="46"/>
  <c r="Q83" i="49"/>
  <c r="AY83" i="49"/>
  <c r="K109" i="49"/>
  <c r="BW160" i="46"/>
  <c r="J45" i="49"/>
  <c r="CT181" i="49"/>
  <c r="CT238" i="49"/>
  <c r="J359" i="49"/>
  <c r="BB167" i="49"/>
  <c r="CT134" i="49"/>
  <c r="K95" i="49"/>
  <c r="BW129" i="46"/>
  <c r="J92" i="49"/>
  <c r="CB14" i="46"/>
  <c r="N7" i="49"/>
  <c r="AC7" i="49"/>
  <c r="K341" i="49"/>
  <c r="BW388" i="46"/>
  <c r="K433" i="49"/>
  <c r="BW506" i="46"/>
  <c r="K477" i="49"/>
  <c r="BW564" i="46"/>
  <c r="I34" i="49"/>
  <c r="BY29" i="46"/>
  <c r="BZ29" i="46"/>
  <c r="CA29" i="46"/>
  <c r="BV29" i="46"/>
  <c r="BU29" i="46"/>
  <c r="CT273" i="49"/>
  <c r="CT157" i="49"/>
  <c r="CT283" i="49"/>
  <c r="BB165" i="49"/>
  <c r="CT179" i="49"/>
  <c r="CT327" i="49"/>
  <c r="J88" i="49"/>
  <c r="AE149" i="46"/>
  <c r="AI149" i="46"/>
  <c r="Q88" i="49"/>
  <c r="AY88" i="49"/>
  <c r="AZ174" i="49"/>
  <c r="K480" i="49"/>
  <c r="BW561" i="46"/>
  <c r="CT148" i="49"/>
  <c r="CT161" i="49"/>
  <c r="CT291" i="49"/>
  <c r="CT389" i="49"/>
  <c r="CT252" i="49"/>
  <c r="CT265" i="49"/>
  <c r="AZ464" i="49"/>
  <c r="BA74" i="49"/>
  <c r="AZ74" i="49"/>
  <c r="AZ465" i="49"/>
  <c r="AB471" i="49"/>
  <c r="AE471" i="49"/>
  <c r="K360" i="49"/>
  <c r="BW406" i="46"/>
  <c r="L360" i="49"/>
  <c r="L493" i="49"/>
  <c r="AG111" i="46"/>
  <c r="CT156" i="49"/>
  <c r="CT370" i="49"/>
  <c r="CT251" i="49"/>
  <c r="CT347" i="49"/>
  <c r="CU492" i="49"/>
  <c r="CT492" i="49"/>
  <c r="CT487" i="49"/>
  <c r="CT133" i="49"/>
  <c r="I443" i="49"/>
  <c r="BZ531" i="46"/>
  <c r="CA531" i="46"/>
  <c r="BY531" i="46"/>
  <c r="BU531" i="46"/>
  <c r="BV531" i="46"/>
  <c r="AB573" i="46"/>
  <c r="AF573" i="46"/>
  <c r="AB569" i="46"/>
  <c r="AB572" i="46"/>
  <c r="AF572" i="46"/>
  <c r="AB570" i="46"/>
  <c r="AF570" i="46"/>
  <c r="AB571" i="46"/>
  <c r="AF571" i="46"/>
  <c r="CT253" i="49"/>
  <c r="CT299" i="49"/>
  <c r="CT49" i="49"/>
  <c r="CT377" i="49"/>
  <c r="AA117" i="46"/>
  <c r="AE118" i="46"/>
  <c r="AI114" i="46"/>
  <c r="Q489" i="49"/>
  <c r="AY489" i="49"/>
  <c r="CT274" i="49"/>
  <c r="CT270" i="49"/>
  <c r="CT380" i="49"/>
  <c r="CT188" i="49"/>
  <c r="CT294" i="49"/>
  <c r="CT424" i="49"/>
  <c r="L69" i="49"/>
  <c r="AG87" i="46"/>
  <c r="CB91" i="46"/>
  <c r="N64" i="49"/>
  <c r="AC64" i="49"/>
  <c r="CT234" i="49"/>
  <c r="CT392" i="49"/>
  <c r="J123" i="49"/>
  <c r="AC191" i="46"/>
  <c r="AG191" i="46"/>
  <c r="AC296" i="46"/>
  <c r="AG296" i="46"/>
  <c r="AC197" i="46"/>
  <c r="AG197" i="46"/>
  <c r="AC232" i="46"/>
  <c r="AG232" i="46"/>
  <c r="AC246" i="46"/>
  <c r="AG246" i="46"/>
  <c r="AC279" i="46"/>
  <c r="AG279" i="46"/>
  <c r="AC186" i="46"/>
  <c r="AG186" i="46"/>
  <c r="AC223" i="46"/>
  <c r="AG223" i="46"/>
  <c r="AC340" i="46"/>
  <c r="AG340" i="46"/>
  <c r="AC326" i="46"/>
  <c r="AG326" i="46"/>
  <c r="AC234" i="46"/>
  <c r="AG234" i="46"/>
  <c r="AC184" i="46"/>
  <c r="AG184" i="46"/>
  <c r="AC201" i="46"/>
  <c r="AG201" i="46"/>
  <c r="AC303" i="46"/>
  <c r="AG303" i="46"/>
  <c r="AC301" i="46"/>
  <c r="AG301" i="46"/>
  <c r="AC291" i="46"/>
  <c r="AG291" i="46"/>
  <c r="AC277" i="46"/>
  <c r="AG277" i="46"/>
  <c r="AC352" i="46"/>
  <c r="AG352" i="46"/>
  <c r="AC318" i="46"/>
  <c r="AG318" i="46"/>
  <c r="AC266" i="46"/>
  <c r="AG266" i="46"/>
  <c r="AC202" i="46"/>
  <c r="AG202" i="46"/>
  <c r="AC354" i="46"/>
  <c r="AG354" i="46"/>
  <c r="AC322" i="46"/>
  <c r="AG322" i="46"/>
  <c r="AC310" i="46"/>
  <c r="AG310" i="46"/>
  <c r="AC222" i="46"/>
  <c r="AG222" i="46"/>
  <c r="AC189" i="46"/>
  <c r="AG189" i="46"/>
  <c r="AC231" i="46"/>
  <c r="AG231" i="46"/>
  <c r="AC317" i="46"/>
  <c r="AG317" i="46"/>
  <c r="AC203" i="46"/>
  <c r="AG203" i="46"/>
  <c r="AC180" i="46"/>
  <c r="AG180" i="46"/>
  <c r="AC276" i="46"/>
  <c r="AG276" i="46"/>
  <c r="AC216" i="46"/>
  <c r="AG216" i="46"/>
  <c r="AC185" i="46"/>
  <c r="AG185" i="46"/>
  <c r="AC230" i="46"/>
  <c r="AG230" i="46"/>
  <c r="AC316" i="46"/>
  <c r="AG316" i="46"/>
  <c r="AC224" i="46"/>
  <c r="AG224" i="46"/>
  <c r="AC304" i="46"/>
  <c r="AG304" i="46"/>
  <c r="AC315" i="46"/>
  <c r="AG315" i="46"/>
  <c r="AC227" i="46"/>
  <c r="AG227" i="46"/>
  <c r="AC313" i="46"/>
  <c r="AG313" i="46"/>
  <c r="AC217" i="46"/>
  <c r="AG217" i="46"/>
  <c r="AC333" i="46"/>
  <c r="AG333" i="46"/>
  <c r="AC229" i="46"/>
  <c r="AG229" i="46"/>
  <c r="AC196" i="46"/>
  <c r="AG196" i="46"/>
  <c r="AC344" i="46"/>
  <c r="AG344" i="46"/>
  <c r="AC290" i="46"/>
  <c r="AG290" i="46"/>
  <c r="AC258" i="46"/>
  <c r="AG258" i="46"/>
  <c r="AC256" i="46"/>
  <c r="AG256" i="46"/>
  <c r="AC308" i="46"/>
  <c r="AG308" i="46"/>
  <c r="AC300" i="46"/>
  <c r="AG300" i="46"/>
  <c r="AC331" i="46"/>
  <c r="AG331" i="46"/>
  <c r="AC243" i="46"/>
  <c r="AG243" i="46"/>
  <c r="AC353" i="46"/>
  <c r="AG353" i="46"/>
  <c r="AC257" i="46"/>
  <c r="AG257" i="46"/>
  <c r="AC341" i="46"/>
  <c r="AG341" i="46"/>
  <c r="AC245" i="46"/>
  <c r="AG245" i="46"/>
  <c r="AC219" i="46"/>
  <c r="AG219" i="46"/>
  <c r="AC205" i="46"/>
  <c r="AG205" i="46"/>
  <c r="AC311" i="46"/>
  <c r="AG311" i="46"/>
  <c r="AC293" i="46"/>
  <c r="AG293" i="46"/>
  <c r="AC286" i="46"/>
  <c r="AG286" i="46"/>
  <c r="AC254" i="46"/>
  <c r="AG254" i="46"/>
  <c r="AC221" i="46"/>
  <c r="AG221" i="46"/>
  <c r="AC268" i="46"/>
  <c r="AG268" i="46"/>
  <c r="AC208" i="46"/>
  <c r="AG208" i="46"/>
  <c r="AC182" i="46"/>
  <c r="AG182" i="46"/>
  <c r="AC259" i="46"/>
  <c r="AG259" i="46"/>
  <c r="AC309" i="46"/>
  <c r="AG309" i="46"/>
  <c r="AC204" i="46"/>
  <c r="AG204" i="46"/>
  <c r="AC312" i="46"/>
  <c r="AG312" i="46"/>
  <c r="AC314" i="46"/>
  <c r="AG314" i="46"/>
  <c r="AC195" i="46"/>
  <c r="AG195" i="46"/>
  <c r="AC177" i="46"/>
  <c r="AG177" i="46"/>
  <c r="AC263" i="46"/>
  <c r="AG263" i="46"/>
  <c r="AC299" i="46"/>
  <c r="AG299" i="46"/>
  <c r="AC297" i="46"/>
  <c r="AG297" i="46"/>
  <c r="AC209" i="46"/>
  <c r="AG209" i="46"/>
  <c r="AC325" i="46"/>
  <c r="AG325" i="46"/>
  <c r="AC355" i="46"/>
  <c r="AG355" i="46"/>
  <c r="AC285" i="46"/>
  <c r="AG285" i="46"/>
  <c r="AC348" i="46"/>
  <c r="AG348" i="46"/>
  <c r="AC294" i="46"/>
  <c r="AC262" i="46"/>
  <c r="AG262" i="46"/>
  <c r="AC298" i="46"/>
  <c r="AG298" i="46"/>
  <c r="AC187" i="46"/>
  <c r="AG187" i="46"/>
  <c r="AC244" i="46"/>
  <c r="AG244" i="46"/>
  <c r="AC207" i="46"/>
  <c r="AG207" i="46"/>
  <c r="AC275" i="46"/>
  <c r="AG275" i="46"/>
  <c r="AC327" i="46"/>
  <c r="AG327" i="46"/>
  <c r="AC295" i="46"/>
  <c r="AG295" i="46"/>
  <c r="AC194" i="46"/>
  <c r="AG194" i="46"/>
  <c r="AC328" i="46"/>
  <c r="AG328" i="46"/>
  <c r="AC330" i="46"/>
  <c r="AG330" i="46"/>
  <c r="AC288" i="46"/>
  <c r="AG288" i="46"/>
  <c r="AC179" i="46"/>
  <c r="AG179" i="46"/>
  <c r="AC306" i="46"/>
  <c r="AG306" i="46"/>
  <c r="AC283" i="46"/>
  <c r="AG283" i="46"/>
  <c r="AC335" i="46"/>
  <c r="AG335" i="46"/>
  <c r="AC251" i="46"/>
  <c r="AG251" i="46"/>
  <c r="AC233" i="46"/>
  <c r="AG233" i="46"/>
  <c r="AC342" i="46"/>
  <c r="AG342" i="46"/>
  <c r="AC252" i="46"/>
  <c r="AG252" i="46"/>
  <c r="AC236" i="46"/>
  <c r="AG236" i="46"/>
  <c r="AC183" i="46"/>
  <c r="AG183" i="46"/>
  <c r="AC287" i="46"/>
  <c r="AG287" i="46"/>
  <c r="AC339" i="46"/>
  <c r="AG339" i="46"/>
  <c r="AC225" i="46"/>
  <c r="AG225" i="46"/>
  <c r="AC265" i="46"/>
  <c r="AG265" i="46"/>
  <c r="AC349" i="46"/>
  <c r="AG349" i="46"/>
  <c r="AC192" i="46"/>
  <c r="AG192" i="46"/>
  <c r="AC213" i="46"/>
  <c r="AG213" i="46"/>
  <c r="AC329" i="46"/>
  <c r="AG329" i="46"/>
  <c r="AC239" i="46"/>
  <c r="AG239" i="46"/>
  <c r="AC336" i="46"/>
  <c r="AG336" i="46"/>
  <c r="AC282" i="46"/>
  <c r="AG282" i="46"/>
  <c r="AC218" i="46"/>
  <c r="AG218" i="46"/>
  <c r="AC338" i="46"/>
  <c r="AG338" i="46"/>
  <c r="AC264" i="46"/>
  <c r="AG264" i="46"/>
  <c r="AC199" i="46"/>
  <c r="AG199" i="46"/>
  <c r="AC267" i="46"/>
  <c r="AG267" i="46"/>
  <c r="AC253" i="46"/>
  <c r="AG253" i="46"/>
  <c r="AC351" i="46"/>
  <c r="AG351" i="46"/>
  <c r="AC198" i="46"/>
  <c r="AG198" i="46"/>
  <c r="AC350" i="46"/>
  <c r="AG350" i="46"/>
  <c r="AC260" i="46"/>
  <c r="AG260" i="46"/>
  <c r="AC228" i="46"/>
  <c r="AG228" i="46"/>
  <c r="AC248" i="46"/>
  <c r="AG248" i="46"/>
  <c r="AC302" i="46"/>
  <c r="AG302" i="46"/>
  <c r="AC281" i="46"/>
  <c r="AG281" i="46"/>
  <c r="AC235" i="46"/>
  <c r="AG235" i="46"/>
  <c r="AC321" i="46"/>
  <c r="AG321" i="46"/>
  <c r="AC261" i="46"/>
  <c r="AG261" i="46"/>
  <c r="AC345" i="46"/>
  <c r="AG345" i="46"/>
  <c r="AC237" i="46"/>
  <c r="AG237" i="46"/>
  <c r="AC274" i="46"/>
  <c r="AG274" i="46"/>
  <c r="AC210" i="46"/>
  <c r="AG210" i="46"/>
  <c r="AC272" i="46"/>
  <c r="AG272" i="46"/>
  <c r="AC212" i="46"/>
  <c r="AG212" i="46"/>
  <c r="AC176" i="46"/>
  <c r="AC240" i="46"/>
  <c r="AG240" i="46"/>
  <c r="AC242" i="46"/>
  <c r="AG242" i="46"/>
  <c r="AC181" i="46"/>
  <c r="AG181" i="46"/>
  <c r="AC215" i="46"/>
  <c r="AG215" i="46"/>
  <c r="AC188" i="46"/>
  <c r="AG188" i="46"/>
  <c r="AC289" i="46"/>
  <c r="AG289" i="46"/>
  <c r="AC269" i="46"/>
  <c r="AG269" i="46"/>
  <c r="AC356" i="46"/>
  <c r="AG356" i="46"/>
  <c r="AC324" i="46"/>
  <c r="AG324" i="46"/>
  <c r="AC270" i="46"/>
  <c r="AG270" i="46"/>
  <c r="AC206" i="46"/>
  <c r="AG206" i="46"/>
  <c r="AC284" i="46"/>
  <c r="AG284" i="46"/>
  <c r="AC255" i="46"/>
  <c r="AG255" i="46"/>
  <c r="AC343" i="46"/>
  <c r="AG343" i="46"/>
  <c r="AC190" i="46"/>
  <c r="AG190" i="46"/>
  <c r="AC249" i="46"/>
  <c r="AG249" i="46"/>
  <c r="AC280" i="46"/>
  <c r="AG280" i="46"/>
  <c r="AC220" i="46"/>
  <c r="AG220" i="46"/>
  <c r="AC193" i="46"/>
  <c r="AG193" i="46"/>
  <c r="AC238" i="46"/>
  <c r="AG238" i="46"/>
  <c r="AC226" i="46"/>
  <c r="AG226" i="46"/>
  <c r="AC347" i="46"/>
  <c r="AG347" i="46"/>
  <c r="AC241" i="46"/>
  <c r="AG241" i="46"/>
  <c r="AC273" i="46"/>
  <c r="AG273" i="46"/>
  <c r="AC307" i="46"/>
  <c r="AG307" i="46"/>
  <c r="AC305" i="46"/>
  <c r="AG305" i="46"/>
  <c r="AC337" i="46"/>
  <c r="AG337" i="46"/>
  <c r="AC178" i="46"/>
  <c r="AG178" i="46"/>
  <c r="AC332" i="46"/>
  <c r="AG332" i="46"/>
  <c r="AC278" i="46"/>
  <c r="AG278" i="46"/>
  <c r="AC214" i="46"/>
  <c r="AG214" i="46"/>
  <c r="AC334" i="46"/>
  <c r="AG334" i="46"/>
  <c r="AC292" i="46"/>
  <c r="AG292" i="46"/>
  <c r="AC200" i="46"/>
  <c r="AG200" i="46"/>
  <c r="AC250" i="46"/>
  <c r="AG250" i="46"/>
  <c r="AC271" i="46"/>
  <c r="AG271" i="46"/>
  <c r="AC247" i="46"/>
  <c r="AG247" i="46"/>
  <c r="AC211" i="46"/>
  <c r="AG211" i="46"/>
  <c r="AC323" i="46"/>
  <c r="AC346" i="46"/>
  <c r="AG346" i="46"/>
  <c r="J124" i="49"/>
  <c r="AC82" i="49"/>
  <c r="J416" i="49"/>
  <c r="AC412" i="49"/>
  <c r="J10" i="49"/>
  <c r="I36" i="49"/>
  <c r="CA22" i="46"/>
  <c r="BY22" i="46"/>
  <c r="BZ22" i="46"/>
  <c r="BV22" i="46"/>
  <c r="BU22" i="46"/>
  <c r="I22" i="49"/>
  <c r="BY24" i="46"/>
  <c r="BZ24" i="46"/>
  <c r="CA24" i="46"/>
  <c r="BV24" i="46"/>
  <c r="BU24" i="46"/>
  <c r="CT145" i="49"/>
  <c r="CT395" i="49"/>
  <c r="CT295" i="49"/>
  <c r="J120" i="49"/>
  <c r="K127" i="49"/>
  <c r="BW161" i="46"/>
  <c r="CT277" i="49"/>
  <c r="J405" i="49"/>
  <c r="K9" i="49"/>
  <c r="BW10" i="46"/>
  <c r="J432" i="49"/>
  <c r="CB507" i="46"/>
  <c r="N432" i="49"/>
  <c r="AC432" i="49"/>
  <c r="Z62" i="46"/>
  <c r="Z64" i="46"/>
  <c r="AD64" i="46"/>
  <c r="Z65" i="46"/>
  <c r="AD65" i="46"/>
  <c r="Z66" i="46"/>
  <c r="AD66" i="46"/>
  <c r="Z63" i="46"/>
  <c r="AD63" i="46"/>
  <c r="AZ461" i="49"/>
  <c r="AZ39" i="49"/>
  <c r="BW469" i="49"/>
  <c r="L475" i="49"/>
  <c r="BW465" i="49"/>
  <c r="AB440" i="46"/>
  <c r="AF440" i="46"/>
  <c r="AB462" i="46"/>
  <c r="AF462" i="46"/>
  <c r="AB431" i="46"/>
  <c r="AF431" i="46"/>
  <c r="AB438" i="46"/>
  <c r="AF438" i="46"/>
  <c r="AB432" i="46"/>
  <c r="AF432" i="46"/>
  <c r="AB455" i="46"/>
  <c r="AF455" i="46"/>
  <c r="AB437" i="46"/>
  <c r="AF437" i="46"/>
  <c r="AB428" i="46"/>
  <c r="AF428" i="46"/>
  <c r="AB429" i="46"/>
  <c r="AF429" i="46"/>
  <c r="AB447" i="46"/>
  <c r="AF447" i="46"/>
  <c r="AB441" i="46"/>
  <c r="AF441" i="46"/>
  <c r="AB459" i="46"/>
  <c r="AF459" i="46"/>
  <c r="AB453" i="46"/>
  <c r="AF453" i="46"/>
  <c r="AB423" i="46"/>
  <c r="AB435" i="46"/>
  <c r="AF435" i="46"/>
  <c r="AB445" i="46"/>
  <c r="AF445" i="46"/>
  <c r="AB426" i="46"/>
  <c r="AF426" i="46"/>
  <c r="AB425" i="46"/>
  <c r="AF425" i="46"/>
  <c r="AB439" i="46"/>
  <c r="AF439" i="46"/>
  <c r="AB427" i="46"/>
  <c r="AF427" i="46"/>
  <c r="AB449" i="46"/>
  <c r="AF449" i="46"/>
  <c r="AB454" i="46"/>
  <c r="AF454" i="46"/>
  <c r="AB458" i="46"/>
  <c r="AF458" i="46"/>
  <c r="AB452" i="46"/>
  <c r="AF452" i="46"/>
  <c r="AB444" i="46"/>
  <c r="AF444" i="46"/>
  <c r="AB433" i="46"/>
  <c r="AF433" i="46"/>
  <c r="AB463" i="46"/>
  <c r="AF463" i="46"/>
  <c r="AB456" i="46"/>
  <c r="AF456" i="46"/>
  <c r="AB450" i="46"/>
  <c r="AF450" i="46"/>
  <c r="AB460" i="46"/>
  <c r="AF460" i="46"/>
  <c r="AB448" i="46"/>
  <c r="AF448" i="46"/>
  <c r="AB442" i="46"/>
  <c r="AF442" i="46"/>
  <c r="AB430" i="46"/>
  <c r="AF430" i="46"/>
  <c r="AB457" i="46"/>
  <c r="AF457" i="46"/>
  <c r="AB446" i="46"/>
  <c r="AF446" i="46"/>
  <c r="AB434" i="46"/>
  <c r="AF434" i="46"/>
  <c r="AB451" i="46"/>
  <c r="AF451" i="46"/>
  <c r="AB461" i="46"/>
  <c r="AB443" i="46"/>
  <c r="AF443" i="46"/>
  <c r="AB436" i="46"/>
  <c r="AF436" i="46"/>
  <c r="AB424" i="46"/>
  <c r="AF424" i="46"/>
  <c r="CT371" i="49"/>
  <c r="CT332" i="49"/>
  <c r="K358" i="49"/>
  <c r="BW414" i="46"/>
  <c r="CT400" i="49"/>
  <c r="K126" i="49"/>
  <c r="BW138" i="46"/>
  <c r="CB138" i="46"/>
  <c r="N126" i="49"/>
  <c r="AC126" i="49"/>
  <c r="J104" i="49"/>
  <c r="CB136" i="46"/>
  <c r="N104" i="49"/>
  <c r="AC104" i="49"/>
  <c r="I450" i="49"/>
  <c r="BY536" i="46"/>
  <c r="CA536" i="46"/>
  <c r="BU536" i="46"/>
  <c r="BV536" i="46"/>
  <c r="BZ536" i="46"/>
  <c r="J406" i="49"/>
  <c r="AA401" i="46"/>
  <c r="AE401" i="46"/>
  <c r="AA399" i="46"/>
  <c r="AE399" i="46"/>
  <c r="AA398" i="46"/>
  <c r="AA400" i="46"/>
  <c r="AE400" i="46"/>
  <c r="BY403" i="46"/>
  <c r="BZ403" i="46"/>
  <c r="CA403" i="46"/>
  <c r="J56" i="49"/>
  <c r="AC325" i="49"/>
  <c r="CT379" i="49"/>
  <c r="CT191" i="49"/>
  <c r="CT367" i="49"/>
  <c r="CT186" i="49"/>
  <c r="K355" i="49"/>
  <c r="BW407" i="46"/>
  <c r="CT140" i="49"/>
  <c r="CT209" i="49"/>
  <c r="K352" i="49"/>
  <c r="BW417" i="46"/>
  <c r="CT494" i="49"/>
  <c r="Q492" i="49"/>
  <c r="AY492" i="49"/>
  <c r="BB492" i="49"/>
  <c r="CT229" i="49"/>
  <c r="J85" i="49"/>
  <c r="AE170" i="46"/>
  <c r="AI170" i="46"/>
  <c r="Q85" i="49"/>
  <c r="AY85" i="49"/>
  <c r="CB170" i="46"/>
  <c r="N85" i="49"/>
  <c r="AC85" i="49"/>
  <c r="AB117" i="46"/>
  <c r="AF118" i="46"/>
  <c r="AJ110" i="46"/>
  <c r="CB470" i="46"/>
  <c r="N421" i="49"/>
  <c r="AC421" i="49"/>
  <c r="AB81" i="46"/>
  <c r="AF81" i="46"/>
  <c r="AB80" i="46"/>
  <c r="BY83" i="46"/>
  <c r="BZ83" i="46"/>
  <c r="CA83" i="46"/>
  <c r="J324" i="49"/>
  <c r="K130" i="49"/>
  <c r="BW153" i="46"/>
  <c r="J113" i="49"/>
  <c r="CB158" i="46"/>
  <c r="N113" i="49"/>
  <c r="AC113" i="49"/>
  <c r="AZ438" i="49"/>
  <c r="AB18" i="46"/>
  <c r="AF17" i="46"/>
  <c r="BY19" i="46"/>
  <c r="BZ19" i="46"/>
  <c r="CA19" i="46"/>
  <c r="CB392" i="46"/>
  <c r="N343" i="49"/>
  <c r="AC343" i="49"/>
  <c r="J46" i="49"/>
  <c r="J315" i="49"/>
  <c r="CB366" i="46"/>
  <c r="N315" i="49"/>
  <c r="AC315" i="49"/>
  <c r="I28" i="49"/>
  <c r="AD42" i="46"/>
  <c r="AH42" i="46"/>
  <c r="BY42" i="46"/>
  <c r="BU42" i="46"/>
  <c r="BZ42" i="46"/>
  <c r="BV42" i="46"/>
  <c r="CA42" i="46"/>
  <c r="K29" i="49"/>
  <c r="BW25" i="46"/>
  <c r="AF25" i="46"/>
  <c r="I35" i="49"/>
  <c r="BY28" i="46"/>
  <c r="BZ28" i="46"/>
  <c r="CA28" i="46"/>
  <c r="BV28" i="46"/>
  <c r="BU28" i="46"/>
  <c r="CT185" i="49"/>
  <c r="CT224" i="49"/>
  <c r="CT248" i="49"/>
  <c r="CT163" i="49"/>
  <c r="CT137" i="49"/>
  <c r="CT262" i="49"/>
  <c r="BB188" i="49"/>
  <c r="CT312" i="49"/>
  <c r="CT50" i="49"/>
  <c r="CT218" i="49"/>
  <c r="CT376" i="49"/>
  <c r="CT210" i="49"/>
  <c r="CB123" i="46"/>
  <c r="N94" i="49"/>
  <c r="AC94" i="49"/>
  <c r="J96" i="49"/>
  <c r="AE173" i="46"/>
  <c r="AI173" i="46"/>
  <c r="Q96" i="49"/>
  <c r="AY96" i="49"/>
  <c r="J116" i="49"/>
  <c r="BW466" i="49"/>
  <c r="CB483" i="46"/>
  <c r="N408" i="49"/>
  <c r="AC408" i="49"/>
  <c r="J431" i="49"/>
  <c r="K483" i="49"/>
  <c r="BW563" i="46"/>
  <c r="AZ72" i="49"/>
  <c r="BW39" i="49"/>
  <c r="L490" i="49"/>
  <c r="AG112" i="46"/>
  <c r="BW473" i="49"/>
  <c r="I448" i="49"/>
  <c r="BY537" i="46"/>
  <c r="BZ537" i="46"/>
  <c r="BU537" i="46"/>
  <c r="BV537" i="46"/>
  <c r="CA537" i="46"/>
  <c r="J449" i="49"/>
  <c r="AE518" i="46"/>
  <c r="I445" i="49"/>
  <c r="BY521" i="46"/>
  <c r="BU521" i="46"/>
  <c r="BV521" i="46"/>
  <c r="BZ521" i="46"/>
  <c r="CA521" i="46"/>
  <c r="BY197" i="49"/>
  <c r="CT402" i="49"/>
  <c r="CT267" i="49"/>
  <c r="CT309" i="49"/>
  <c r="CT346" i="49"/>
  <c r="AE470" i="49"/>
  <c r="CT220" i="49"/>
  <c r="CU167" i="49"/>
  <c r="CT167" i="49"/>
  <c r="AA511" i="46"/>
  <c r="AA510" i="46"/>
  <c r="AZ489" i="49"/>
  <c r="BW491" i="49"/>
  <c r="I31" i="49"/>
  <c r="BY39" i="46"/>
  <c r="BZ39" i="46"/>
  <c r="CA39" i="46"/>
  <c r="BV39" i="46"/>
  <c r="BU39" i="46"/>
  <c r="CT401" i="49"/>
  <c r="CT221" i="49"/>
  <c r="CT170" i="49"/>
  <c r="CT366" i="49"/>
  <c r="CT488" i="49"/>
  <c r="AC94" i="46"/>
  <c r="AG94" i="46"/>
  <c r="AC95" i="46"/>
  <c r="AC93" i="46"/>
  <c r="CT391" i="49"/>
  <c r="CT269" i="49"/>
  <c r="CT398" i="49"/>
  <c r="CT132" i="49"/>
  <c r="BB166" i="49"/>
  <c r="CT237" i="49"/>
  <c r="CT136" i="49"/>
  <c r="CT183" i="49"/>
  <c r="CT256" i="49"/>
  <c r="K81" i="49"/>
  <c r="BW169" i="46"/>
  <c r="L51" i="49"/>
  <c r="AB491" i="46"/>
  <c r="AF491" i="46"/>
  <c r="AB494" i="46"/>
  <c r="AF494" i="46"/>
  <c r="AB489" i="46"/>
  <c r="AF489" i="46"/>
  <c r="AB490" i="46"/>
  <c r="AF490" i="46"/>
  <c r="AB487" i="46"/>
  <c r="AF487" i="46"/>
  <c r="AB497" i="46"/>
  <c r="AF497" i="46"/>
  <c r="AB495" i="46"/>
  <c r="AF495" i="46"/>
  <c r="AB492" i="46"/>
  <c r="AF492" i="46"/>
  <c r="AB496" i="46"/>
  <c r="AF496" i="46"/>
  <c r="AB488" i="46"/>
  <c r="AF488" i="46"/>
  <c r="AB493" i="46"/>
  <c r="AF493" i="46"/>
  <c r="AB486" i="46"/>
  <c r="AB498" i="46"/>
  <c r="AF498" i="46"/>
  <c r="AD70" i="49"/>
  <c r="AC70" i="49"/>
  <c r="K11" i="49"/>
  <c r="BW15" i="46"/>
  <c r="P47" i="49"/>
  <c r="J476" i="49"/>
  <c r="J351" i="49"/>
  <c r="K87" i="49"/>
  <c r="BW130" i="46"/>
  <c r="J411" i="49"/>
  <c r="CB481" i="46"/>
  <c r="N411" i="49"/>
  <c r="AC411" i="49"/>
  <c r="K496" i="49"/>
  <c r="BW578" i="46"/>
  <c r="L496" i="49"/>
  <c r="J105" i="49"/>
  <c r="CB150" i="46"/>
  <c r="N105" i="49"/>
  <c r="AC105" i="49"/>
  <c r="J68" i="49"/>
  <c r="CB480" i="46"/>
  <c r="N409" i="49"/>
  <c r="AC409" i="49"/>
  <c r="J12" i="49"/>
  <c r="K434" i="49"/>
  <c r="BW504" i="46"/>
  <c r="CB132" i="46"/>
  <c r="N91" i="49"/>
  <c r="AC91" i="49"/>
  <c r="CB361" i="46"/>
  <c r="N320" i="49"/>
  <c r="CB135" i="46"/>
  <c r="N110" i="49"/>
  <c r="AC110" i="49"/>
  <c r="J42" i="49"/>
  <c r="J58" i="49"/>
  <c r="CB73" i="46"/>
  <c r="N58" i="49"/>
  <c r="AC58" i="49"/>
  <c r="J481" i="49"/>
  <c r="K14" i="49"/>
  <c r="BW16" i="46"/>
  <c r="CB16" i="46"/>
  <c r="N14" i="49"/>
  <c r="AC14" i="49"/>
  <c r="J340" i="49"/>
  <c r="K131" i="49"/>
  <c r="BW147" i="46"/>
  <c r="P361" i="49"/>
  <c r="K333" i="49"/>
  <c r="BW390" i="46"/>
  <c r="CB390" i="46"/>
  <c r="N333" i="49"/>
  <c r="AC333" i="49"/>
  <c r="K319" i="49"/>
  <c r="AJ362" i="46"/>
  <c r="R319" i="49"/>
  <c r="BV319" i="49"/>
  <c r="P319" i="49"/>
  <c r="K98" i="49"/>
  <c r="BW144" i="46"/>
  <c r="J122" i="49"/>
  <c r="J336" i="49"/>
  <c r="K420" i="49"/>
  <c r="BW478" i="46"/>
  <c r="CB478" i="46"/>
  <c r="N420" i="49"/>
  <c r="AC420" i="49"/>
  <c r="K317" i="49"/>
  <c r="K79" i="49"/>
  <c r="BW166" i="46"/>
  <c r="K417" i="49"/>
  <c r="BW477" i="46"/>
  <c r="J435" i="49"/>
  <c r="K117" i="49"/>
  <c r="BW124" i="46"/>
  <c r="J61" i="49"/>
  <c r="J482" i="49"/>
  <c r="J321" i="49"/>
  <c r="AI373" i="46"/>
  <c r="Q321" i="49"/>
  <c r="AY321" i="49"/>
  <c r="AD321" i="49"/>
  <c r="AC321" i="49"/>
  <c r="J419" i="49"/>
  <c r="AL544" i="46"/>
  <c r="CB513" i="46"/>
  <c r="AZ496" i="49"/>
  <c r="BJ320" i="46"/>
  <c r="BJ319" i="46"/>
  <c r="CB522" i="46"/>
  <c r="N451" i="49"/>
  <c r="AC451" i="49"/>
  <c r="T471" i="49"/>
  <c r="BX74" i="49"/>
  <c r="BY74" i="49"/>
  <c r="CB358" i="46"/>
  <c r="AA67" i="46"/>
  <c r="CB41" i="46"/>
  <c r="N26" i="49"/>
  <c r="AC26" i="49"/>
  <c r="CB524" i="46"/>
  <c r="N458" i="49"/>
  <c r="AC458" i="49"/>
  <c r="CB531" i="46"/>
  <c r="N443" i="49"/>
  <c r="CB29" i="46"/>
  <c r="N34" i="49"/>
  <c r="AC34" i="49"/>
  <c r="CB500" i="46"/>
  <c r="CB26" i="46"/>
  <c r="N30" i="49"/>
  <c r="AC30" i="49"/>
  <c r="AG117" i="46"/>
  <c r="AG118" i="46"/>
  <c r="AK113" i="46"/>
  <c r="S494" i="49"/>
  <c r="CS494" i="49"/>
  <c r="CU494" i="49"/>
  <c r="CV494" i="49"/>
  <c r="R491" i="49"/>
  <c r="BV491" i="49"/>
  <c r="BX491" i="49"/>
  <c r="BA489" i="49"/>
  <c r="BW117" i="49"/>
  <c r="BW98" i="49"/>
  <c r="BW131" i="49"/>
  <c r="AZ411" i="49"/>
  <c r="L11" i="49"/>
  <c r="AG15" i="46"/>
  <c r="AC96" i="46"/>
  <c r="AG93" i="46"/>
  <c r="AA512" i="46"/>
  <c r="AE510" i="46"/>
  <c r="CV167" i="49"/>
  <c r="J445" i="49"/>
  <c r="J448" i="49"/>
  <c r="BW483" i="49"/>
  <c r="AZ113" i="49"/>
  <c r="CB83" i="46"/>
  <c r="L352" i="49"/>
  <c r="AZ56" i="49"/>
  <c r="AZ419" i="49"/>
  <c r="BA321" i="49"/>
  <c r="AZ321" i="49"/>
  <c r="AZ61" i="49"/>
  <c r="L417" i="49"/>
  <c r="L79" i="49"/>
  <c r="AZ122" i="49"/>
  <c r="L319" i="49"/>
  <c r="AK362" i="46"/>
  <c r="S319" i="49"/>
  <c r="CS319" i="49"/>
  <c r="AB361" i="49"/>
  <c r="AE361" i="49"/>
  <c r="L14" i="49"/>
  <c r="AG16" i="46"/>
  <c r="AZ42" i="49"/>
  <c r="AZ12" i="49"/>
  <c r="BW496" i="49"/>
  <c r="AZ351" i="49"/>
  <c r="AZ476" i="49"/>
  <c r="CT51" i="49"/>
  <c r="J31" i="49"/>
  <c r="CB39" i="46"/>
  <c r="N31" i="49"/>
  <c r="AC31" i="49"/>
  <c r="CB521" i="46"/>
  <c r="N445" i="49"/>
  <c r="AC445" i="49"/>
  <c r="BA449" i="49"/>
  <c r="AZ449" i="49"/>
  <c r="CT490" i="49"/>
  <c r="BA96" i="49"/>
  <c r="AZ96" i="49"/>
  <c r="K28" i="49"/>
  <c r="BW42" i="46"/>
  <c r="AF42" i="46"/>
  <c r="AJ42" i="46"/>
  <c r="R28" i="49"/>
  <c r="BV28" i="49"/>
  <c r="P28" i="49"/>
  <c r="AZ315" i="49"/>
  <c r="AB6" i="46"/>
  <c r="AB14" i="46"/>
  <c r="AF14" i="46"/>
  <c r="AB8" i="46"/>
  <c r="AF8" i="46"/>
  <c r="AB10" i="46"/>
  <c r="AF10" i="46"/>
  <c r="AB15" i="46"/>
  <c r="AF15" i="46"/>
  <c r="AB13" i="46"/>
  <c r="AF13" i="46"/>
  <c r="AB9" i="46"/>
  <c r="AF9" i="46"/>
  <c r="AB12" i="46"/>
  <c r="AF12" i="46"/>
  <c r="AB7" i="46"/>
  <c r="AF7" i="46"/>
  <c r="AB11" i="46"/>
  <c r="AF11" i="46"/>
  <c r="AB16" i="46"/>
  <c r="AF16" i="46"/>
  <c r="AZ324" i="49"/>
  <c r="AB82" i="46"/>
  <c r="AF80" i="46"/>
  <c r="BW352" i="49"/>
  <c r="AA402" i="46"/>
  <c r="AE398" i="46"/>
  <c r="K450" i="49"/>
  <c r="BW536" i="46"/>
  <c r="CB536" i="46"/>
  <c r="N450" i="49"/>
  <c r="AC450" i="49"/>
  <c r="BW358" i="49"/>
  <c r="AB464" i="46"/>
  <c r="AF423" i="46"/>
  <c r="Z67" i="46"/>
  <c r="AD62" i="46"/>
  <c r="AZ405" i="49"/>
  <c r="L127" i="49"/>
  <c r="J22" i="49"/>
  <c r="K36" i="49"/>
  <c r="BW22" i="46"/>
  <c r="AC357" i="46"/>
  <c r="AG176" i="46"/>
  <c r="AZ123" i="49"/>
  <c r="J443" i="49"/>
  <c r="AK111" i="46"/>
  <c r="S493" i="49"/>
  <c r="CS493" i="49"/>
  <c r="BA88" i="49"/>
  <c r="AZ88" i="49"/>
  <c r="BW433" i="49"/>
  <c r="AZ92" i="49"/>
  <c r="AZ359" i="49"/>
  <c r="BW67" i="49"/>
  <c r="J460" i="49"/>
  <c r="L419" i="49"/>
  <c r="L321" i="49"/>
  <c r="AK373" i="46"/>
  <c r="S321" i="49"/>
  <c r="CS321" i="49"/>
  <c r="L482" i="49"/>
  <c r="BW43" i="49"/>
  <c r="BA65" i="49"/>
  <c r="AZ65" i="49"/>
  <c r="BW340" i="49"/>
  <c r="BW481" i="49"/>
  <c r="BW68" i="49"/>
  <c r="L411" i="49"/>
  <c r="BW351" i="49"/>
  <c r="BW476" i="49"/>
  <c r="BX70" i="49"/>
  <c r="BW70" i="49"/>
  <c r="AA96" i="46"/>
  <c r="AE93" i="46"/>
  <c r="CT491" i="49"/>
  <c r="AB512" i="46"/>
  <c r="AF510" i="46"/>
  <c r="AE449" i="49"/>
  <c r="AE106" i="46"/>
  <c r="AE107" i="46"/>
  <c r="AI100" i="46"/>
  <c r="BW431" i="49"/>
  <c r="L116" i="49"/>
  <c r="BX96" i="49"/>
  <c r="BW96" i="49"/>
  <c r="AZ101" i="49"/>
  <c r="AE29" i="49"/>
  <c r="BW315" i="49"/>
  <c r="BW113" i="49"/>
  <c r="BW324" i="49"/>
  <c r="AB402" i="46"/>
  <c r="AF398" i="46"/>
  <c r="L15" i="49"/>
  <c r="AG7" i="46"/>
  <c r="K451" i="49"/>
  <c r="BW522" i="46"/>
  <c r="L104" i="49"/>
  <c r="AA464" i="46"/>
  <c r="AE423" i="46"/>
  <c r="CT465" i="49"/>
  <c r="L432" i="49"/>
  <c r="L405" i="49"/>
  <c r="K20" i="49"/>
  <c r="BW37" i="46"/>
  <c r="AC44" i="46"/>
  <c r="AC46" i="46"/>
  <c r="AG46" i="46"/>
  <c r="AC45" i="46"/>
  <c r="AG45" i="46"/>
  <c r="AC47" i="46"/>
  <c r="AG47" i="46"/>
  <c r="AC48" i="46"/>
  <c r="AG48" i="46"/>
  <c r="BW16" i="49"/>
  <c r="L416" i="49"/>
  <c r="BW123" i="49"/>
  <c r="L64" i="49"/>
  <c r="CV385" i="49"/>
  <c r="J447" i="49"/>
  <c r="AE360" i="49"/>
  <c r="L54" i="49"/>
  <c r="L7" i="49"/>
  <c r="AG14" i="46"/>
  <c r="AZ414" i="49"/>
  <c r="AZ128" i="49"/>
  <c r="AZ89" i="49"/>
  <c r="S470" i="49"/>
  <c r="AL548" i="46"/>
  <c r="L356" i="49"/>
  <c r="J439" i="49"/>
  <c r="AE534" i="46"/>
  <c r="AI534" i="46"/>
  <c r="Q439" i="49"/>
  <c r="AY439" i="49"/>
  <c r="BW103" i="49"/>
  <c r="L363" i="49"/>
  <c r="AG421" i="46"/>
  <c r="AK421" i="46"/>
  <c r="S363" i="49"/>
  <c r="CS363" i="49"/>
  <c r="CB528" i="46"/>
  <c r="N446" i="49"/>
  <c r="AC446" i="49"/>
  <c r="L316" i="49"/>
  <c r="AZ6" i="49"/>
  <c r="AZ112" i="49"/>
  <c r="BW102" i="49"/>
  <c r="AZ125" i="49"/>
  <c r="AZ415" i="49"/>
  <c r="BA354" i="49"/>
  <c r="AZ354" i="49"/>
  <c r="L65" i="49"/>
  <c r="BA361" i="49"/>
  <c r="AZ361" i="49"/>
  <c r="L84" i="49"/>
  <c r="L91" i="49"/>
  <c r="AZ409" i="49"/>
  <c r="BW90" i="49"/>
  <c r="L48" i="49"/>
  <c r="Z541" i="46"/>
  <c r="AD541" i="46"/>
  <c r="Z543" i="46"/>
  <c r="AD543" i="46"/>
  <c r="Z544" i="46"/>
  <c r="Z540" i="46"/>
  <c r="AD540" i="46"/>
  <c r="Z555" i="46"/>
  <c r="AD555" i="46"/>
  <c r="Z550" i="46"/>
  <c r="AD550" i="46"/>
  <c r="Z542" i="46"/>
  <c r="AD542" i="46"/>
  <c r="Z538" i="46"/>
  <c r="Z553" i="46"/>
  <c r="AD553" i="46"/>
  <c r="Z545" i="46"/>
  <c r="AD545" i="46"/>
  <c r="Z539" i="46"/>
  <c r="AD539" i="46"/>
  <c r="Z548" i="46"/>
  <c r="Z546" i="46"/>
  <c r="AD546" i="46"/>
  <c r="Z549" i="46"/>
  <c r="AD549" i="46"/>
  <c r="Z554" i="46"/>
  <c r="AD554" i="46"/>
  <c r="Z551" i="46"/>
  <c r="AD551" i="46"/>
  <c r="Z552" i="46"/>
  <c r="AD552" i="46"/>
  <c r="Z547" i="46"/>
  <c r="AD547" i="46"/>
  <c r="BY557" i="46"/>
  <c r="BZ557" i="46"/>
  <c r="CA557" i="46"/>
  <c r="AZ57" i="49"/>
  <c r="BW338" i="49"/>
  <c r="BW111" i="49"/>
  <c r="BW106" i="49"/>
  <c r="Z402" i="46"/>
  <c r="AD398" i="46"/>
  <c r="CB465" i="46"/>
  <c r="AZ322" i="49"/>
  <c r="AB67" i="46"/>
  <c r="AF62" i="46"/>
  <c r="BW314" i="49"/>
  <c r="BW412" i="49"/>
  <c r="L93" i="49"/>
  <c r="AG174" i="46"/>
  <c r="AK174" i="46"/>
  <c r="S93" i="49"/>
  <c r="CS93" i="49"/>
  <c r="AZ59" i="49"/>
  <c r="AC574" i="46"/>
  <c r="AG569" i="46"/>
  <c r="BW334" i="49"/>
  <c r="L8" i="49"/>
  <c r="AG11" i="46"/>
  <c r="CB34" i="46"/>
  <c r="N17" i="49"/>
  <c r="AC17" i="49"/>
  <c r="J32" i="49"/>
  <c r="AZ54" i="49"/>
  <c r="L128" i="49"/>
  <c r="BB73" i="49"/>
  <c r="L357" i="49"/>
  <c r="AZ117" i="49"/>
  <c r="AZ79" i="49"/>
  <c r="L353" i="49"/>
  <c r="BW125" i="49"/>
  <c r="AZ333" i="49"/>
  <c r="L354" i="49"/>
  <c r="BA131" i="49"/>
  <c r="AZ131" i="49"/>
  <c r="L413" i="49"/>
  <c r="L110" i="49"/>
  <c r="L86" i="49"/>
  <c r="BW129" i="49"/>
  <c r="L77" i="49"/>
  <c r="BW318" i="49"/>
  <c r="BA81" i="49"/>
  <c r="AZ81" i="49"/>
  <c r="Z512" i="46"/>
  <c r="AD510" i="46"/>
  <c r="AZ483" i="49"/>
  <c r="BW408" i="49"/>
  <c r="L94" i="49"/>
  <c r="CB31" i="46"/>
  <c r="N37" i="49"/>
  <c r="AC37" i="49"/>
  <c r="L46" i="49"/>
  <c r="BW343" i="49"/>
  <c r="L478" i="49"/>
  <c r="BW421" i="49"/>
  <c r="BW108" i="49"/>
  <c r="BW339" i="49"/>
  <c r="J442" i="49"/>
  <c r="CT464" i="49"/>
  <c r="CT38" i="49"/>
  <c r="AZ127" i="49"/>
  <c r="CB33" i="46"/>
  <c r="N24" i="49"/>
  <c r="AC24" i="49"/>
  <c r="L59" i="49"/>
  <c r="BB360" i="49"/>
  <c r="AZ95" i="49"/>
  <c r="BW97" i="49"/>
  <c r="L13" i="49"/>
  <c r="AG8" i="46"/>
  <c r="BA109" i="49"/>
  <c r="AZ109" i="49"/>
  <c r="L436" i="49"/>
  <c r="BW407" i="49"/>
  <c r="AJ100" i="46"/>
  <c r="BY470" i="49"/>
  <c r="AG106" i="46"/>
  <c r="AG107" i="46"/>
  <c r="AK100" i="46"/>
  <c r="CB30" i="46"/>
  <c r="N33" i="49"/>
  <c r="AC33" i="49"/>
  <c r="AI110" i="46"/>
  <c r="J26" i="49"/>
  <c r="J458" i="49"/>
  <c r="K19" i="49"/>
  <c r="BW35" i="46"/>
  <c r="AI112" i="46"/>
  <c r="Q490" i="49"/>
  <c r="AY490" i="49"/>
  <c r="BA490" i="49"/>
  <c r="K452" i="49"/>
  <c r="BW520" i="46"/>
  <c r="K456" i="49"/>
  <c r="BW525" i="46"/>
  <c r="K23" i="49"/>
  <c r="BW23" i="46"/>
  <c r="J27" i="49"/>
  <c r="CB516" i="46"/>
  <c r="N457" i="49"/>
  <c r="AC457" i="49"/>
  <c r="L333" i="49"/>
  <c r="BW14" i="49"/>
  <c r="L87" i="49"/>
  <c r="K31" i="49"/>
  <c r="BW39" i="46"/>
  <c r="CB537" i="46"/>
  <c r="N448" i="49"/>
  <c r="AC448" i="49"/>
  <c r="J35" i="49"/>
  <c r="L29" i="49"/>
  <c r="AG25" i="46"/>
  <c r="AD28" i="49"/>
  <c r="AC28" i="49"/>
  <c r="L130" i="49"/>
  <c r="J450" i="49"/>
  <c r="AE536" i="46"/>
  <c r="AI536" i="46"/>
  <c r="Q450" i="49"/>
  <c r="AY450" i="49"/>
  <c r="L126" i="49"/>
  <c r="CT475" i="49"/>
  <c r="L9" i="49"/>
  <c r="AG10" i="46"/>
  <c r="BW127" i="49"/>
  <c r="AZ120" i="49"/>
  <c r="K22" i="49"/>
  <c r="BW24" i="46"/>
  <c r="CB24" i="46"/>
  <c r="N22" i="49"/>
  <c r="AC22" i="49"/>
  <c r="CU69" i="49"/>
  <c r="CT69" i="49"/>
  <c r="AC443" i="49"/>
  <c r="CT493" i="49"/>
  <c r="BB74" i="49"/>
  <c r="L480" i="49"/>
  <c r="BA83" i="49"/>
  <c r="AZ83" i="49"/>
  <c r="BW313" i="49"/>
  <c r="L119" i="49"/>
  <c r="BW419" i="49"/>
  <c r="BW482" i="49"/>
  <c r="L435" i="49"/>
  <c r="BW6" i="49"/>
  <c r="BA362" i="49"/>
  <c r="AZ362" i="49"/>
  <c r="L122" i="49"/>
  <c r="AZ364" i="49"/>
  <c r="BA350" i="49"/>
  <c r="AZ350" i="49"/>
  <c r="AZ84" i="49"/>
  <c r="BA91" i="49"/>
  <c r="AZ91" i="49"/>
  <c r="L12" i="49"/>
  <c r="AG13" i="46"/>
  <c r="L47" i="49"/>
  <c r="AG60" i="46"/>
  <c r="AK60" i="46"/>
  <c r="AB70" i="49"/>
  <c r="AE70" i="49"/>
  <c r="CT473" i="49"/>
  <c r="BW116" i="49"/>
  <c r="BJ316" i="46"/>
  <c r="BJ61" i="46"/>
  <c r="BJ603" i="46"/>
  <c r="BJ599" i="46"/>
  <c r="BJ595" i="46"/>
  <c r="BJ79" i="46"/>
  <c r="BJ246" i="46"/>
  <c r="BJ183" i="46"/>
  <c r="BJ591" i="46"/>
  <c r="BJ43" i="46"/>
  <c r="BJ602" i="46"/>
  <c r="BJ598" i="46"/>
  <c r="BJ594" i="46"/>
  <c r="BJ422" i="46"/>
  <c r="BJ592" i="46"/>
  <c r="BJ601" i="46"/>
  <c r="BJ597" i="46"/>
  <c r="BJ238" i="46"/>
  <c r="BJ509" i="46"/>
  <c r="BJ175" i="46"/>
  <c r="BJ191" i="46"/>
  <c r="BJ397" i="46"/>
  <c r="BJ232" i="46"/>
  <c r="BJ296" i="46"/>
  <c r="BJ197" i="46"/>
  <c r="BJ604" i="46"/>
  <c r="BJ600" i="46"/>
  <c r="BJ596" i="46"/>
  <c r="BJ224" i="46"/>
  <c r="BJ287" i="46"/>
  <c r="BJ277" i="46"/>
  <c r="BJ264" i="46"/>
  <c r="BJ432" i="46"/>
  <c r="BJ181" i="46"/>
  <c r="BJ489" i="46"/>
  <c r="BJ209" i="46"/>
  <c r="BJ355" i="46"/>
  <c r="BJ178" i="46"/>
  <c r="BJ216" i="46"/>
  <c r="BJ441" i="46"/>
  <c r="BJ436" i="46"/>
  <c r="BJ240" i="46"/>
  <c r="BJ226" i="46"/>
  <c r="BJ302" i="46"/>
  <c r="BJ327" i="46"/>
  <c r="BJ261" i="46"/>
  <c r="BJ237" i="46"/>
  <c r="BJ210" i="46"/>
  <c r="BJ288" i="46"/>
  <c r="BJ176" i="46"/>
  <c r="BJ177" i="46"/>
  <c r="BJ187" i="46"/>
  <c r="BJ423" i="46"/>
  <c r="BJ458" i="46"/>
  <c r="BJ445" i="46"/>
  <c r="BJ223" i="46"/>
  <c r="BJ352" i="46"/>
  <c r="BJ270" i="46"/>
  <c r="BJ190" i="46"/>
  <c r="BJ378" i="46"/>
  <c r="BJ225" i="46"/>
  <c r="BJ342" i="46"/>
  <c r="BJ251" i="46"/>
  <c r="BJ348" i="46"/>
  <c r="BJ282" i="46"/>
  <c r="BJ218" i="46"/>
  <c r="BJ487" i="46"/>
  <c r="BJ335" i="46"/>
  <c r="BJ269" i="46"/>
  <c r="BJ189" i="46"/>
  <c r="BJ376" i="46"/>
  <c r="BJ208" i="46"/>
  <c r="BJ428" i="46"/>
  <c r="BJ263" i="46"/>
  <c r="BJ80" i="46"/>
  <c r="BJ459" i="46"/>
  <c r="BJ328" i="46"/>
  <c r="BJ262" i="46"/>
  <c r="BJ182" i="46"/>
  <c r="BJ347" i="46"/>
  <c r="BJ281" i="46"/>
  <c r="BJ217" i="46"/>
  <c r="BJ486" i="46"/>
  <c r="BJ334" i="46"/>
  <c r="BJ252" i="46"/>
  <c r="BJ188" i="46"/>
  <c r="BJ440" i="46"/>
  <c r="BJ325" i="46"/>
  <c r="BJ259" i="46"/>
  <c r="BJ195" i="46"/>
  <c r="BJ303" i="46"/>
  <c r="BJ239" i="46"/>
  <c r="BJ375" i="46"/>
  <c r="BJ455" i="46"/>
  <c r="BJ398" i="46"/>
  <c r="BJ273" i="46"/>
  <c r="BJ305" i="46"/>
  <c r="BJ292" i="46"/>
  <c r="BJ200" i="46"/>
  <c r="BJ454" i="46"/>
  <c r="BJ453" i="46"/>
  <c r="BJ248" i="46"/>
  <c r="BJ207" i="46"/>
  <c r="BJ333" i="46"/>
  <c r="BJ235" i="46"/>
  <c r="BJ295" i="46"/>
  <c r="BJ290" i="46"/>
  <c r="BJ323" i="46"/>
  <c r="BJ272" i="46"/>
  <c r="BJ63" i="46"/>
  <c r="BJ304" i="46"/>
  <c r="BJ308" i="46"/>
  <c r="BJ244" i="46"/>
  <c r="BJ340" i="46"/>
  <c r="BJ426" i="46"/>
  <c r="BJ510" i="46"/>
  <c r="BJ94" i="46"/>
  <c r="BJ571" i="46"/>
  <c r="BJ336" i="46"/>
  <c r="BJ254" i="46"/>
  <c r="BJ93" i="46"/>
  <c r="BJ339" i="46"/>
  <c r="BJ193" i="46"/>
  <c r="BJ326" i="46"/>
  <c r="BJ219" i="46"/>
  <c r="BJ332" i="46"/>
  <c r="BJ266" i="46"/>
  <c r="BJ202" i="46"/>
  <c r="BJ450" i="46"/>
  <c r="BJ317" i="46"/>
  <c r="BJ253" i="46"/>
  <c r="BJ65" i="46"/>
  <c r="BJ354" i="46"/>
  <c r="BJ192" i="46"/>
  <c r="BJ329" i="46"/>
  <c r="BJ231" i="46"/>
  <c r="BJ443" i="46"/>
  <c r="BJ310" i="46"/>
  <c r="BJ230" i="46"/>
  <c r="BJ462" i="46"/>
  <c r="BJ331" i="46"/>
  <c r="BJ265" i="46"/>
  <c r="BJ201" i="46"/>
  <c r="BJ449" i="46"/>
  <c r="BJ300" i="46"/>
  <c r="BJ236" i="46"/>
  <c r="BJ64" i="46"/>
  <c r="BJ424" i="46"/>
  <c r="BJ307" i="46"/>
  <c r="BJ243" i="46"/>
  <c r="BJ179" i="46"/>
  <c r="BJ184" i="46"/>
  <c r="BJ343" i="46"/>
  <c r="BJ309" i="46"/>
  <c r="BJ379" i="46"/>
  <c r="BJ429" i="46"/>
  <c r="BJ488" i="46"/>
  <c r="BJ299" i="46"/>
  <c r="BJ203" i="46"/>
  <c r="BJ180" i="46"/>
  <c r="BJ276" i="46"/>
  <c r="BJ374" i="46"/>
  <c r="BJ312" i="46"/>
  <c r="BJ448" i="46"/>
  <c r="BJ228" i="46"/>
  <c r="BJ497" i="46"/>
  <c r="BJ271" i="46"/>
  <c r="BJ247" i="46"/>
  <c r="BJ321" i="46"/>
  <c r="BJ345" i="46"/>
  <c r="BJ274" i="46"/>
  <c r="BJ346" i="46"/>
  <c r="BJ256" i="46"/>
  <c r="BJ570" i="46"/>
  <c r="BJ306" i="46"/>
  <c r="BJ439" i="46"/>
  <c r="BJ400" i="46"/>
  <c r="BJ324" i="46"/>
  <c r="BJ293" i="46"/>
  <c r="BJ452" i="46"/>
  <c r="BJ451" i="46"/>
  <c r="BJ318" i="46"/>
  <c r="BJ222" i="46"/>
  <c r="BJ491" i="46"/>
  <c r="BJ289" i="46"/>
  <c r="BJ457" i="46"/>
  <c r="BJ349" i="46"/>
  <c r="BJ314" i="46"/>
  <c r="BJ250" i="46"/>
  <c r="BJ186" i="46"/>
  <c r="BJ434" i="46"/>
  <c r="BJ301" i="46"/>
  <c r="BJ221" i="46"/>
  <c r="BJ490" i="46"/>
  <c r="BJ338" i="46"/>
  <c r="BJ460" i="46"/>
  <c r="BJ311" i="46"/>
  <c r="BJ215" i="46"/>
  <c r="BJ427" i="46"/>
  <c r="BJ294" i="46"/>
  <c r="BJ214" i="46"/>
  <c r="BJ446" i="46"/>
  <c r="BJ313" i="46"/>
  <c r="BJ249" i="46"/>
  <c r="BJ185" i="46"/>
  <c r="BJ433" i="46"/>
  <c r="BJ284" i="46"/>
  <c r="BJ220" i="46"/>
  <c r="BJ493" i="46"/>
  <c r="BJ380" i="46"/>
  <c r="BJ291" i="46"/>
  <c r="BJ227" i="46"/>
  <c r="BJ255" i="46"/>
  <c r="BJ213" i="46"/>
  <c r="BJ280" i="46"/>
  <c r="BJ438" i="46"/>
  <c r="BJ242" i="46"/>
  <c r="BJ494" i="46"/>
  <c r="BJ241" i="46"/>
  <c r="BJ267" i="46"/>
  <c r="BJ337" i="46"/>
  <c r="BJ260" i="46"/>
  <c r="BJ572" i="46"/>
  <c r="BJ447" i="46"/>
  <c r="BJ442" i="46"/>
  <c r="BJ495" i="46"/>
  <c r="BJ315" i="46"/>
  <c r="BJ229" i="46"/>
  <c r="BJ196" i="46"/>
  <c r="BJ194" i="46"/>
  <c r="BJ258" i="46"/>
  <c r="BJ330" i="46"/>
  <c r="BJ212" i="46"/>
  <c r="BJ113" i="46"/>
  <c r="BJ461" i="46"/>
  <c r="BJ492" i="46"/>
  <c r="BJ109" i="46"/>
  <c r="BJ245" i="46"/>
  <c r="BJ353" i="46"/>
  <c r="BJ435" i="46"/>
  <c r="BJ286" i="46"/>
  <c r="BJ206" i="46"/>
  <c r="BJ399" i="46"/>
  <c r="BJ257" i="46"/>
  <c r="BJ425" i="46"/>
  <c r="BJ283" i="46"/>
  <c r="BJ431" i="46"/>
  <c r="BJ298" i="46"/>
  <c r="BJ234" i="46"/>
  <c r="BJ62" i="46"/>
  <c r="BJ351" i="46"/>
  <c r="BJ285" i="46"/>
  <c r="BJ205" i="46"/>
  <c r="BJ437" i="46"/>
  <c r="BJ322" i="46"/>
  <c r="BJ444" i="46"/>
  <c r="BJ279" i="46"/>
  <c r="BJ199" i="46"/>
  <c r="BJ496" i="46"/>
  <c r="BJ344" i="46"/>
  <c r="BJ278" i="46"/>
  <c r="BJ198" i="46"/>
  <c r="BJ430" i="46"/>
  <c r="BJ297" i="46"/>
  <c r="BJ233" i="46"/>
  <c r="BJ569" i="46"/>
  <c r="BJ350" i="46"/>
  <c r="BJ268" i="46"/>
  <c r="BJ204" i="46"/>
  <c r="BJ456" i="46"/>
  <c r="BJ341" i="46"/>
  <c r="BJ275" i="46"/>
  <c r="BJ211" i="46"/>
  <c r="BJ549" i="46"/>
  <c r="BJ554" i="46"/>
  <c r="BJ541" i="46"/>
  <c r="BJ542" i="46"/>
  <c r="BJ538" i="46"/>
  <c r="BJ100" i="46"/>
  <c r="BJ552" i="46"/>
  <c r="BJ46" i="46"/>
  <c r="BJ550" i="46"/>
  <c r="BJ45" i="46"/>
  <c r="BJ543" i="46"/>
  <c r="BJ47" i="46"/>
  <c r="BJ548" i="46"/>
  <c r="BJ111" i="46"/>
  <c r="BJ112" i="46"/>
  <c r="BJ102" i="46"/>
  <c r="BJ544" i="46"/>
  <c r="BJ553" i="46"/>
  <c r="BJ539" i="46"/>
  <c r="BJ547" i="46"/>
  <c r="BJ44" i="46"/>
  <c r="BJ110" i="46"/>
  <c r="BJ540" i="46"/>
  <c r="BJ551" i="46"/>
  <c r="BJ114" i="46"/>
  <c r="BJ545" i="46"/>
  <c r="BJ546" i="46"/>
  <c r="BJ406" i="46"/>
  <c r="BJ414" i="46"/>
  <c r="BJ88" i="46"/>
  <c r="BJ125" i="46"/>
  <c r="BJ138" i="46"/>
  <c r="BJ136" i="46"/>
  <c r="BJ154" i="46"/>
  <c r="BJ475" i="46"/>
  <c r="BJ7" i="46"/>
  <c r="BJ395" i="46"/>
  <c r="BJ386" i="46"/>
  <c r="BJ55" i="46"/>
  <c r="BJ76" i="46"/>
  <c r="BJ369" i="46"/>
  <c r="BJ407" i="46"/>
  <c r="BJ417" i="46"/>
  <c r="BJ170" i="46"/>
  <c r="BJ133" i="46"/>
  <c r="BJ137" i="46"/>
  <c r="BJ470" i="46"/>
  <c r="BJ393" i="46"/>
  <c r="BJ503" i="46"/>
  <c r="BJ74" i="46"/>
  <c r="BJ71" i="46"/>
  <c r="BJ566" i="46"/>
  <c r="BJ367" i="46"/>
  <c r="BJ153" i="46"/>
  <c r="BJ158" i="46"/>
  <c r="BJ141" i="46"/>
  <c r="BJ479" i="46"/>
  <c r="BJ6" i="46"/>
  <c r="BJ392" i="46"/>
  <c r="BJ58" i="46"/>
  <c r="BJ366" i="46"/>
  <c r="BJ122" i="46"/>
  <c r="BJ387" i="46"/>
  <c r="BJ90" i="46"/>
  <c r="BJ408" i="46"/>
  <c r="BJ92" i="46"/>
  <c r="BJ163" i="46"/>
  <c r="BJ165" i="46"/>
  <c r="BJ128" i="46"/>
  <c r="BJ480" i="46"/>
  <c r="BJ13" i="46"/>
  <c r="BJ504" i="46"/>
  <c r="BJ78" i="46"/>
  <c r="BJ362" i="46"/>
  <c r="BJ409" i="46"/>
  <c r="BJ156" i="46"/>
  <c r="BJ144" i="46"/>
  <c r="BJ130" i="46"/>
  <c r="BJ155" i="46"/>
  <c r="BJ481" i="46"/>
  <c r="BJ9" i="46"/>
  <c r="BJ54" i="46"/>
  <c r="BJ568" i="46"/>
  <c r="BJ368" i="46"/>
  <c r="BJ578" i="46"/>
  <c r="BJ150" i="46"/>
  <c r="BJ151" i="46"/>
  <c r="BJ135" i="46"/>
  <c r="BJ478" i="46"/>
  <c r="BJ56" i="46"/>
  <c r="BJ73" i="46"/>
  <c r="BJ562" i="46"/>
  <c r="BJ372" i="46"/>
  <c r="BJ418" i="46"/>
  <c r="BJ86" i="46"/>
  <c r="BJ124" i="46"/>
  <c r="BJ147" i="46"/>
  <c r="BJ167" i="46"/>
  <c r="BJ482" i="46"/>
  <c r="BJ16" i="46"/>
  <c r="BJ394" i="46"/>
  <c r="BJ72" i="46"/>
  <c r="BJ565" i="46"/>
  <c r="BJ416" i="46"/>
  <c r="BJ126" i="46"/>
  <c r="BJ145" i="46"/>
  <c r="BJ134" i="46"/>
  <c r="BJ469" i="46"/>
  <c r="BJ505" i="46"/>
  <c r="BJ371" i="46"/>
  <c r="BJ412" i="46"/>
  <c r="BJ415" i="46"/>
  <c r="BJ89" i="46"/>
  <c r="BJ157" i="46"/>
  <c r="BJ143" i="46"/>
  <c r="BJ127" i="46"/>
  <c r="BJ160" i="46"/>
  <c r="BJ484" i="46"/>
  <c r="BJ8" i="46"/>
  <c r="BJ391" i="46"/>
  <c r="BJ57" i="46"/>
  <c r="BJ370" i="46"/>
  <c r="BJ361" i="46"/>
  <c r="BJ410" i="46"/>
  <c r="BJ168" i="46"/>
  <c r="BJ129" i="46"/>
  <c r="BJ121" i="46"/>
  <c r="BJ485" i="46"/>
  <c r="BJ14" i="46"/>
  <c r="BJ388" i="46"/>
  <c r="BJ506" i="46"/>
  <c r="BJ77" i="46"/>
  <c r="BJ564" i="46"/>
  <c r="BJ140" i="46"/>
  <c r="BJ149" i="46"/>
  <c r="BJ169" i="46"/>
  <c r="BJ472" i="46"/>
  <c r="BJ468" i="46"/>
  <c r="BJ11" i="46"/>
  <c r="BJ59" i="46"/>
  <c r="BJ561" i="46"/>
  <c r="BJ363" i="46"/>
  <c r="BJ411" i="46"/>
  <c r="BJ171" i="46"/>
  <c r="BJ146" i="46"/>
  <c r="BJ172" i="46"/>
  <c r="BJ474" i="46"/>
  <c r="BJ15" i="46"/>
  <c r="BJ390" i="46"/>
  <c r="BJ567" i="46"/>
  <c r="BJ560" i="46"/>
  <c r="BJ419" i="46"/>
  <c r="BJ413" i="46"/>
  <c r="BJ139" i="46"/>
  <c r="BJ132" i="46"/>
  <c r="BJ166" i="46"/>
  <c r="BJ477" i="46"/>
  <c r="BJ389" i="46"/>
  <c r="BJ91" i="46"/>
  <c r="BJ174" i="46"/>
  <c r="BJ152" i="46"/>
  <c r="BJ120" i="46"/>
  <c r="BJ162" i="46"/>
  <c r="BJ164" i="46"/>
  <c r="BJ476" i="46"/>
  <c r="BJ473" i="46"/>
  <c r="BJ12" i="46"/>
  <c r="BJ396" i="46"/>
  <c r="BJ365" i="46"/>
  <c r="BJ142" i="46"/>
  <c r="BJ159" i="46"/>
  <c r="BJ131" i="46"/>
  <c r="BJ161" i="46"/>
  <c r="BJ471" i="46"/>
  <c r="BJ10" i="46"/>
  <c r="BJ507" i="46"/>
  <c r="BJ53" i="46"/>
  <c r="BJ364" i="46"/>
  <c r="BJ148" i="46"/>
  <c r="BJ123" i="46"/>
  <c r="BJ173" i="46"/>
  <c r="BJ483" i="46"/>
  <c r="BJ508" i="46"/>
  <c r="BJ75" i="46"/>
  <c r="BJ563" i="46"/>
  <c r="BJ32" i="46"/>
  <c r="BJ41" i="46"/>
  <c r="BJ524" i="46"/>
  <c r="BJ516" i="46"/>
  <c r="BJ38" i="46"/>
  <c r="BJ526" i="46"/>
  <c r="BJ525" i="46"/>
  <c r="BJ35" i="46"/>
  <c r="BJ529" i="46"/>
  <c r="BJ34" i="46"/>
  <c r="BJ27" i="46"/>
  <c r="BJ534" i="46"/>
  <c r="BJ36" i="46"/>
  <c r="BJ31" i="46"/>
  <c r="BJ535" i="46"/>
  <c r="BJ33" i="46"/>
  <c r="BJ523" i="46"/>
  <c r="BJ23" i="46"/>
  <c r="BJ532" i="46"/>
  <c r="BJ520" i="46"/>
  <c r="BJ530" i="46"/>
  <c r="BJ39" i="46"/>
  <c r="BJ521" i="46"/>
  <c r="BJ28" i="46"/>
  <c r="BJ42" i="46"/>
  <c r="BJ536" i="46"/>
  <c r="BJ24" i="46"/>
  <c r="BJ531" i="46"/>
  <c r="BJ29" i="46"/>
  <c r="BJ528" i="46"/>
  <c r="BJ30" i="46"/>
  <c r="BJ522" i="46"/>
  <c r="BJ37" i="46"/>
  <c r="BJ22" i="46"/>
  <c r="BJ533" i="46"/>
  <c r="BJ527" i="46"/>
  <c r="BJ40" i="46"/>
  <c r="BJ26" i="46"/>
  <c r="AZ111" i="49"/>
  <c r="AA82" i="46"/>
  <c r="AE80" i="46"/>
  <c r="L85" i="49"/>
  <c r="AZ325" i="49"/>
  <c r="BW15" i="49"/>
  <c r="L406" i="49"/>
  <c r="J451" i="49"/>
  <c r="BW104" i="49"/>
  <c r="BW432" i="49"/>
  <c r="L120" i="49"/>
  <c r="CB37" i="46"/>
  <c r="N20" i="49"/>
  <c r="AC20" i="49"/>
  <c r="AB47" i="46"/>
  <c r="AF47" i="46"/>
  <c r="AB45" i="46"/>
  <c r="AF45" i="46"/>
  <c r="AB44" i="46"/>
  <c r="AB46" i="46"/>
  <c r="AF46" i="46"/>
  <c r="AB48" i="46"/>
  <c r="AF48" i="46"/>
  <c r="AZ314" i="49"/>
  <c r="BW416" i="49"/>
  <c r="L124" i="49"/>
  <c r="BW64" i="49"/>
  <c r="Z574" i="46"/>
  <c r="AD569" i="46"/>
  <c r="AZ334" i="49"/>
  <c r="L88" i="49"/>
  <c r="BW54" i="49"/>
  <c r="BW7" i="49"/>
  <c r="BW45" i="49"/>
  <c r="AZ13" i="49"/>
  <c r="CT463" i="49"/>
  <c r="AZ67" i="49"/>
  <c r="CU470" i="49"/>
  <c r="CT470" i="49"/>
  <c r="BW356" i="49"/>
  <c r="AI111" i="46"/>
  <c r="Q493" i="49"/>
  <c r="AY493" i="49"/>
  <c r="BA493" i="49"/>
  <c r="CT462" i="49"/>
  <c r="CB534" i="46"/>
  <c r="N439" i="49"/>
  <c r="AC439" i="49"/>
  <c r="BX363" i="49"/>
  <c r="BW363" i="49"/>
  <c r="K446" i="49"/>
  <c r="BW528" i="46"/>
  <c r="AZ78" i="49"/>
  <c r="AZ353" i="49"/>
  <c r="L364" i="49"/>
  <c r="AZ413" i="49"/>
  <c r="BW84" i="49"/>
  <c r="AJ361" i="46"/>
  <c r="L484" i="49"/>
  <c r="BW91" i="49"/>
  <c r="BA47" i="49"/>
  <c r="AZ47" i="49"/>
  <c r="AZ77" i="49"/>
  <c r="L418" i="49"/>
  <c r="AB538" i="46"/>
  <c r="AB554" i="46"/>
  <c r="AF554" i="46"/>
  <c r="AB551" i="46"/>
  <c r="AF551" i="46"/>
  <c r="AB550" i="46"/>
  <c r="AF550" i="46"/>
  <c r="AB549" i="46"/>
  <c r="AF549" i="46"/>
  <c r="AB543" i="46"/>
  <c r="AF543" i="46"/>
  <c r="AB548" i="46"/>
  <c r="AB544" i="46"/>
  <c r="AB540" i="46"/>
  <c r="AF540" i="46"/>
  <c r="AB541" i="46"/>
  <c r="AF541" i="46"/>
  <c r="AB555" i="46"/>
  <c r="AF555" i="46"/>
  <c r="AB546" i="46"/>
  <c r="AF546" i="46"/>
  <c r="AB552" i="46"/>
  <c r="AF552" i="46"/>
  <c r="AB547" i="46"/>
  <c r="AF547" i="46"/>
  <c r="AB542" i="46"/>
  <c r="AF542" i="46"/>
  <c r="AB553" i="46"/>
  <c r="AF553" i="46"/>
  <c r="AB545" i="46"/>
  <c r="AF545" i="46"/>
  <c r="AB539" i="46"/>
  <c r="AF539" i="46"/>
  <c r="CT73" i="49"/>
  <c r="L101" i="49"/>
  <c r="BA29" i="49"/>
  <c r="AZ29" i="49"/>
  <c r="AZ343" i="49"/>
  <c r="AZ410" i="49"/>
  <c r="AZ478" i="49"/>
  <c r="L60" i="49"/>
  <c r="L342" i="49"/>
  <c r="AZ108" i="49"/>
  <c r="L325" i="49"/>
  <c r="AZ339" i="49"/>
  <c r="L100" i="49"/>
  <c r="AZ66" i="49"/>
  <c r="CT474" i="49"/>
  <c r="Z464" i="46"/>
  <c r="AD423" i="46"/>
  <c r="L10" i="49"/>
  <c r="AG12" i="46"/>
  <c r="L82" i="49"/>
  <c r="BX93" i="49"/>
  <c r="BW93" i="49"/>
  <c r="L41" i="49"/>
  <c r="K17" i="49"/>
  <c r="BW34" i="46"/>
  <c r="K32" i="49"/>
  <c r="BW27" i="46"/>
  <c r="BW414" i="49"/>
  <c r="BW128" i="49"/>
  <c r="BW323" i="49"/>
  <c r="L404" i="49"/>
  <c r="L89" i="49"/>
  <c r="CS197" i="49"/>
  <c r="CV197" i="49"/>
  <c r="T197" i="49"/>
  <c r="BW357" i="49"/>
  <c r="L61" i="49"/>
  <c r="L78" i="49"/>
  <c r="BW353" i="49"/>
  <c r="AZ420" i="49"/>
  <c r="L114" i="49"/>
  <c r="BW354" i="49"/>
  <c r="L361" i="49"/>
  <c r="AG420" i="46"/>
  <c r="AK420" i="46"/>
  <c r="BW413" i="49"/>
  <c r="L42" i="49"/>
  <c r="BW110" i="49"/>
  <c r="AZ434" i="49"/>
  <c r="L409" i="49"/>
  <c r="BW86" i="49"/>
  <c r="AZ87" i="49"/>
  <c r="BW77" i="49"/>
  <c r="Z499" i="46"/>
  <c r="AD486" i="46"/>
  <c r="J18" i="49"/>
  <c r="CB36" i="46"/>
  <c r="N18" i="49"/>
  <c r="AC18" i="49"/>
  <c r="AE455" i="49"/>
  <c r="BW94" i="49"/>
  <c r="BW46" i="49"/>
  <c r="AC19" i="46"/>
  <c r="L410" i="49"/>
  <c r="BW478" i="49"/>
  <c r="AZ60" i="49"/>
  <c r="AJ113" i="46"/>
  <c r="R494" i="49"/>
  <c r="BV494" i="49"/>
  <c r="BX494" i="49"/>
  <c r="CT467" i="49"/>
  <c r="L56" i="49"/>
  <c r="BW44" i="49"/>
  <c r="L80" i="49"/>
  <c r="BW66" i="49"/>
  <c r="AK102" i="46"/>
  <c r="S74" i="49"/>
  <c r="CS74" i="49"/>
  <c r="BW322" i="49"/>
  <c r="AA58" i="46"/>
  <c r="AE58" i="46"/>
  <c r="AA57" i="46"/>
  <c r="AE57" i="46"/>
  <c r="AA60" i="46"/>
  <c r="AA54" i="46"/>
  <c r="AE54" i="46"/>
  <c r="AA56" i="46"/>
  <c r="AE56" i="46"/>
  <c r="AA55" i="46"/>
  <c r="AE55" i="46"/>
  <c r="AA53" i="46"/>
  <c r="AA59" i="46"/>
  <c r="AE59" i="46"/>
  <c r="L337" i="49"/>
  <c r="AB93" i="49"/>
  <c r="AE93" i="49"/>
  <c r="BW59" i="49"/>
  <c r="AA574" i="46"/>
  <c r="AE569" i="46"/>
  <c r="AZ41" i="49"/>
  <c r="BW13" i="49"/>
  <c r="BA363" i="49"/>
  <c r="AZ363" i="49"/>
  <c r="AZ313" i="49"/>
  <c r="L479" i="49"/>
  <c r="BW436" i="49"/>
  <c r="L118" i="49"/>
  <c r="CT72" i="49"/>
  <c r="CB529" i="46"/>
  <c r="N440" i="49"/>
  <c r="AC440" i="49"/>
  <c r="K26" i="49"/>
  <c r="BW41" i="46"/>
  <c r="AJ103" i="46"/>
  <c r="R73" i="49"/>
  <c r="BV73" i="49"/>
  <c r="BX73" i="49"/>
  <c r="J30" i="49"/>
  <c r="K459" i="49"/>
  <c r="BW532" i="46"/>
  <c r="J452" i="49"/>
  <c r="K21" i="49"/>
  <c r="BW38" i="46"/>
  <c r="J456" i="49"/>
  <c r="K27" i="49"/>
  <c r="BW32" i="46"/>
  <c r="K457" i="49"/>
  <c r="BW516" i="46"/>
  <c r="CB526" i="46"/>
  <c r="N441" i="49"/>
  <c r="AC441" i="49"/>
  <c r="K25" i="49"/>
  <c r="BW40" i="46"/>
  <c r="AZ435" i="49"/>
  <c r="BW79" i="49"/>
  <c r="L317" i="49"/>
  <c r="L420" i="49"/>
  <c r="AZ340" i="49"/>
  <c r="L434" i="49"/>
  <c r="BW11" i="49"/>
  <c r="AB499" i="46"/>
  <c r="AF486" i="46"/>
  <c r="AZ482" i="49"/>
  <c r="L117" i="49"/>
  <c r="BW417" i="49"/>
  <c r="BW317" i="49"/>
  <c r="BW420" i="49"/>
  <c r="AZ336" i="49"/>
  <c r="L98" i="49"/>
  <c r="AL362" i="46"/>
  <c r="BX319" i="49"/>
  <c r="BW319" i="49"/>
  <c r="BW333" i="49"/>
  <c r="L131" i="49"/>
  <c r="AZ58" i="49"/>
  <c r="BW434" i="49"/>
  <c r="AZ105" i="49"/>
  <c r="BW87" i="49"/>
  <c r="AB47" i="49"/>
  <c r="AE47" i="49"/>
  <c r="L81" i="49"/>
  <c r="K445" i="49"/>
  <c r="BW521" i="46"/>
  <c r="K448" i="49"/>
  <c r="BW537" i="46"/>
  <c r="L483" i="49"/>
  <c r="AZ116" i="49"/>
  <c r="K35" i="49"/>
  <c r="BW28" i="46"/>
  <c r="CB28" i="46"/>
  <c r="N35" i="49"/>
  <c r="AC35" i="49"/>
  <c r="BX29" i="49"/>
  <c r="BW29" i="49"/>
  <c r="J28" i="49"/>
  <c r="AE42" i="46"/>
  <c r="AI42" i="46"/>
  <c r="Q28" i="49"/>
  <c r="AY28" i="49"/>
  <c r="AZ46" i="49"/>
  <c r="CB19" i="46"/>
  <c r="BW130" i="49"/>
  <c r="BA85" i="49"/>
  <c r="AZ85" i="49"/>
  <c r="L355" i="49"/>
  <c r="CB403" i="46"/>
  <c r="AZ406" i="49"/>
  <c r="AZ104" i="49"/>
  <c r="BW126" i="49"/>
  <c r="BW9" i="49"/>
  <c r="CB22" i="46"/>
  <c r="N36" i="49"/>
  <c r="AC36" i="49"/>
  <c r="CU360" i="49"/>
  <c r="CT360" i="49"/>
  <c r="BW480" i="49"/>
  <c r="J34" i="49"/>
  <c r="AE29" i="46"/>
  <c r="AI29" i="46"/>
  <c r="Q34" i="49"/>
  <c r="AY34" i="49"/>
  <c r="L477" i="49"/>
  <c r="L341" i="49"/>
  <c r="L95" i="49"/>
  <c r="AZ45" i="49"/>
  <c r="L109" i="49"/>
  <c r="CB530" i="46"/>
  <c r="N460" i="49"/>
  <c r="AC460" i="49"/>
  <c r="L454" i="49"/>
  <c r="AG517" i="46"/>
  <c r="BW119" i="49"/>
  <c r="AL373" i="46"/>
  <c r="BW321" i="49"/>
  <c r="BX321" i="49"/>
  <c r="BW435" i="49"/>
  <c r="AZ349" i="49"/>
  <c r="AZ102" i="49"/>
  <c r="L336" i="49"/>
  <c r="BW122" i="49"/>
  <c r="L58" i="49"/>
  <c r="AI361" i="46"/>
  <c r="L68" i="49"/>
  <c r="L105" i="49"/>
  <c r="BW411" i="49"/>
  <c r="L70" i="49"/>
  <c r="AG92" i="46"/>
  <c r="AK92" i="46"/>
  <c r="S70" i="49"/>
  <c r="CS70" i="49"/>
  <c r="AZ48" i="49"/>
  <c r="AZ418" i="49"/>
  <c r="CB97" i="46"/>
  <c r="AZ455" i="49"/>
  <c r="BA455" i="49"/>
  <c r="L449" i="49"/>
  <c r="AG518" i="46"/>
  <c r="AZ338" i="49"/>
  <c r="CT466" i="49"/>
  <c r="L315" i="49"/>
  <c r="AZ342" i="49"/>
  <c r="BW85" i="49"/>
  <c r="AZ100" i="49"/>
  <c r="CT469" i="49"/>
  <c r="BW405" i="49"/>
  <c r="BW120" i="49"/>
  <c r="AA47" i="46"/>
  <c r="AE47" i="46"/>
  <c r="AA44" i="46"/>
  <c r="AA46" i="46"/>
  <c r="AE46" i="46"/>
  <c r="AA45" i="46"/>
  <c r="AE45" i="46"/>
  <c r="AA48" i="46"/>
  <c r="AE48" i="46"/>
  <c r="BY50" i="46"/>
  <c r="BZ50" i="46"/>
  <c r="CA50" i="46"/>
  <c r="AZ412" i="49"/>
  <c r="BW124" i="49"/>
  <c r="Z357" i="46"/>
  <c r="AD176" i="46"/>
  <c r="BA93" i="49"/>
  <c r="AZ93" i="49"/>
  <c r="CB533" i="46"/>
  <c r="N447" i="49"/>
  <c r="AC447" i="49"/>
  <c r="K453" i="49"/>
  <c r="BW527" i="46"/>
  <c r="CB527" i="46"/>
  <c r="N453" i="49"/>
  <c r="AC453" i="49"/>
  <c r="S492" i="49"/>
  <c r="CS492" i="49"/>
  <c r="CV492" i="49"/>
  <c r="BW88" i="49"/>
  <c r="AZ7" i="49"/>
  <c r="L92" i="49"/>
  <c r="L359" i="49"/>
  <c r="AZ323" i="49"/>
  <c r="L83" i="49"/>
  <c r="AZ407" i="49"/>
  <c r="J446" i="49"/>
  <c r="BY471" i="49"/>
  <c r="BW316" i="49"/>
  <c r="L349" i="49"/>
  <c r="L362" i="49"/>
  <c r="BW364" i="49"/>
  <c r="AZ114" i="49"/>
  <c r="L350" i="49"/>
  <c r="BW65" i="49"/>
  <c r="AZ110" i="49"/>
  <c r="L320" i="49"/>
  <c r="BW484" i="49"/>
  <c r="AZ86" i="49"/>
  <c r="BW48" i="49"/>
  <c r="BW418" i="49"/>
  <c r="AZ115" i="49"/>
  <c r="L455" i="49"/>
  <c r="AG519" i="46"/>
  <c r="AC542" i="46"/>
  <c r="AG542" i="46"/>
  <c r="AC538" i="46"/>
  <c r="AC539" i="46"/>
  <c r="AG539" i="46"/>
  <c r="AC554" i="46"/>
  <c r="AG554" i="46"/>
  <c r="AC543" i="46"/>
  <c r="AG543" i="46"/>
  <c r="AC545" i="46"/>
  <c r="AG545" i="46"/>
  <c r="AC549" i="46"/>
  <c r="AG549" i="46"/>
  <c r="AC551" i="46"/>
  <c r="AG551" i="46"/>
  <c r="AC548" i="46"/>
  <c r="AC546" i="46"/>
  <c r="AG546" i="46"/>
  <c r="AC552" i="46"/>
  <c r="AG552" i="46"/>
  <c r="AC547" i="46"/>
  <c r="AG547" i="46"/>
  <c r="AC540" i="46"/>
  <c r="AG540" i="46"/>
  <c r="AC550" i="46"/>
  <c r="AG550" i="46"/>
  <c r="AC541" i="46"/>
  <c r="AG541" i="46"/>
  <c r="AC544" i="46"/>
  <c r="AC553" i="46"/>
  <c r="AG553" i="46"/>
  <c r="AC555" i="46"/>
  <c r="AG555" i="46"/>
  <c r="AZ408" i="49"/>
  <c r="BA94" i="49"/>
  <c r="AZ94" i="49"/>
  <c r="BW101" i="49"/>
  <c r="BW60" i="49"/>
  <c r="BW342" i="49"/>
  <c r="AZ421" i="49"/>
  <c r="BW325" i="49"/>
  <c r="BW100" i="49"/>
  <c r="L121" i="49"/>
  <c r="AZ337" i="49"/>
  <c r="BW10" i="49"/>
  <c r="L412" i="49"/>
  <c r="BW82" i="49"/>
  <c r="BW41" i="49"/>
  <c r="BW8" i="49"/>
  <c r="J17" i="49"/>
  <c r="AE34" i="46"/>
  <c r="AI34" i="46"/>
  <c r="Q17" i="49"/>
  <c r="AY17" i="49"/>
  <c r="AZ97" i="49"/>
  <c r="AK114" i="46"/>
  <c r="S489" i="49"/>
  <c r="CS489" i="49"/>
  <c r="BW404" i="49"/>
  <c r="AZ99" i="49"/>
  <c r="BW89" i="49"/>
  <c r="AL421" i="46"/>
  <c r="AZ118" i="49"/>
  <c r="BW61" i="49"/>
  <c r="AZ417" i="49"/>
  <c r="L112" i="49"/>
  <c r="BW78" i="49"/>
  <c r="AZ98" i="49"/>
  <c r="BA319" i="49"/>
  <c r="AZ319" i="49"/>
  <c r="L415" i="49"/>
  <c r="BW114" i="49"/>
  <c r="BX361" i="49"/>
  <c r="BW361" i="49"/>
  <c r="BW42" i="49"/>
  <c r="P320" i="49"/>
  <c r="L55" i="49"/>
  <c r="BW409" i="49"/>
  <c r="AZ11" i="49"/>
  <c r="L115" i="49"/>
  <c r="K18" i="49"/>
  <c r="BW36" i="46"/>
  <c r="AD117" i="46"/>
  <c r="CT461" i="49"/>
  <c r="L57" i="49"/>
  <c r="L408" i="49"/>
  <c r="AB96" i="49"/>
  <c r="AE96" i="49"/>
  <c r="J37" i="49"/>
  <c r="BW56" i="49"/>
  <c r="AC402" i="46"/>
  <c r="AG398" i="46"/>
  <c r="CB535" i="46"/>
  <c r="N442" i="49"/>
  <c r="AC442" i="49"/>
  <c r="BW80" i="49"/>
  <c r="CT74" i="49"/>
  <c r="CT174" i="49"/>
  <c r="L107" i="49"/>
  <c r="J24" i="49"/>
  <c r="BW337" i="49"/>
  <c r="AZ16" i="49"/>
  <c r="AB357" i="46"/>
  <c r="AF176" i="46"/>
  <c r="BY69" i="49"/>
  <c r="AI113" i="46"/>
  <c r="Q494" i="49"/>
  <c r="AY494" i="49"/>
  <c r="BA494" i="49"/>
  <c r="CB575" i="46"/>
  <c r="AJ111" i="46"/>
  <c r="R493" i="49"/>
  <c r="BV493" i="49"/>
  <c r="BX493" i="49"/>
  <c r="AZ341" i="49"/>
  <c r="AZ335" i="49"/>
  <c r="L99" i="49"/>
  <c r="BW479" i="49"/>
  <c r="L407" i="49"/>
  <c r="BA454" i="49"/>
  <c r="AZ454" i="49"/>
  <c r="BW118" i="49"/>
  <c r="L335" i="49"/>
  <c r="J33" i="49"/>
  <c r="K440" i="49"/>
  <c r="BW529" i="46"/>
  <c r="AJ112" i="46"/>
  <c r="R490" i="49"/>
  <c r="BV490" i="49"/>
  <c r="BX490" i="49"/>
  <c r="CB35" i="46"/>
  <c r="N19" i="49"/>
  <c r="AC19" i="49"/>
  <c r="K30" i="49"/>
  <c r="BW26" i="46"/>
  <c r="J459" i="49"/>
  <c r="CB532" i="46"/>
  <c r="N459" i="49"/>
  <c r="CB520" i="46"/>
  <c r="N452" i="49"/>
  <c r="AC452" i="49"/>
  <c r="J21" i="49"/>
  <c r="CB38" i="46"/>
  <c r="N21" i="49"/>
  <c r="AC21" i="49"/>
  <c r="CB525" i="46"/>
  <c r="N456" i="49"/>
  <c r="AC456" i="49"/>
  <c r="CB23" i="46"/>
  <c r="N23" i="49"/>
  <c r="AC23" i="49"/>
  <c r="J457" i="49"/>
  <c r="K441" i="49"/>
  <c r="BW526" i="46"/>
  <c r="K444" i="49"/>
  <c r="BW523" i="46"/>
  <c r="CB523" i="46"/>
  <c r="N444" i="49"/>
  <c r="AC444" i="49"/>
  <c r="J25" i="49"/>
  <c r="CB40" i="46"/>
  <c r="N25" i="49"/>
  <c r="AC25" i="49"/>
  <c r="AB319" i="49"/>
  <c r="AE319" i="49"/>
  <c r="AZ481" i="49"/>
  <c r="AZ68" i="49"/>
  <c r="CT496" i="49"/>
  <c r="BW81" i="49"/>
  <c r="AK112" i="46"/>
  <c r="S490" i="49"/>
  <c r="CS490" i="49"/>
  <c r="AZ431" i="49"/>
  <c r="CB42" i="46"/>
  <c r="N28" i="49"/>
  <c r="BW355" i="49"/>
  <c r="L358" i="49"/>
  <c r="AZ432" i="49"/>
  <c r="J36" i="49"/>
  <c r="AZ10" i="49"/>
  <c r="AZ416" i="49"/>
  <c r="AZ124" i="49"/>
  <c r="AB574" i="46"/>
  <c r="AF569" i="46"/>
  <c r="K443" i="49"/>
  <c r="BW531" i="46"/>
  <c r="BX360" i="49"/>
  <c r="BW360" i="49"/>
  <c r="K34" i="49"/>
  <c r="BW29" i="46"/>
  <c r="BW477" i="49"/>
  <c r="L433" i="49"/>
  <c r="BW341" i="49"/>
  <c r="BW95" i="49"/>
  <c r="BW109" i="49"/>
  <c r="L67" i="49"/>
  <c r="L313" i="49"/>
  <c r="K460" i="49"/>
  <c r="BW530" i="46"/>
  <c r="BX454" i="49"/>
  <c r="BW454" i="49"/>
  <c r="AB321" i="49"/>
  <c r="AE321" i="49"/>
  <c r="T321" i="49"/>
  <c r="AZ316" i="49"/>
  <c r="L6" i="49"/>
  <c r="AG9" i="46"/>
  <c r="L43" i="49"/>
  <c r="BW336" i="49"/>
  <c r="L340" i="49"/>
  <c r="L481" i="49"/>
  <c r="BW58" i="49"/>
  <c r="BA320" i="49"/>
  <c r="AZ320" i="49"/>
  <c r="AZ484" i="49"/>
  <c r="BW12" i="49"/>
  <c r="BW105" i="49"/>
  <c r="L351" i="49"/>
  <c r="L476" i="49"/>
  <c r="BX47" i="49"/>
  <c r="BW47" i="49"/>
  <c r="BA90" i="49"/>
  <c r="AZ90" i="49"/>
  <c r="AC499" i="46"/>
  <c r="AG486" i="46"/>
  <c r="AK110" i="46"/>
  <c r="S491" i="49"/>
  <c r="CS491" i="49"/>
  <c r="BW449" i="49"/>
  <c r="BX449" i="49"/>
  <c r="BB471" i="49"/>
  <c r="CT39" i="49"/>
  <c r="L431" i="49"/>
  <c r="L96" i="49"/>
  <c r="AG173" i="46"/>
  <c r="AK173" i="46"/>
  <c r="S96" i="49"/>
  <c r="CS96" i="49"/>
  <c r="Z9" i="46"/>
  <c r="AD9" i="46"/>
  <c r="Z7" i="46"/>
  <c r="AD7" i="46"/>
  <c r="Z15" i="46"/>
  <c r="AD15" i="46"/>
  <c r="Z14" i="46"/>
  <c r="AD14" i="46"/>
  <c r="Z12" i="46"/>
  <c r="AD12" i="46"/>
  <c r="Z6" i="46"/>
  <c r="Z8" i="46"/>
  <c r="AD8" i="46"/>
  <c r="Z16" i="46"/>
  <c r="AD16" i="46"/>
  <c r="Z11" i="46"/>
  <c r="AD11" i="46"/>
  <c r="Z10" i="46"/>
  <c r="AD10" i="46"/>
  <c r="Z13" i="46"/>
  <c r="AD13" i="46"/>
  <c r="L113" i="49"/>
  <c r="L324" i="49"/>
  <c r="AZ106" i="49"/>
  <c r="BW406" i="49"/>
  <c r="AC67" i="46"/>
  <c r="AG62" i="46"/>
  <c r="AZ9" i="49"/>
  <c r="AZ121" i="49"/>
  <c r="J20" i="49"/>
  <c r="Z45" i="46"/>
  <c r="AD45" i="46"/>
  <c r="Z46" i="46"/>
  <c r="AD46" i="46"/>
  <c r="Z47" i="46"/>
  <c r="AD47" i="46"/>
  <c r="Z48" i="46"/>
  <c r="AD48" i="46"/>
  <c r="Z44" i="46"/>
  <c r="L16" i="49"/>
  <c r="AG6" i="46"/>
  <c r="BA82" i="49"/>
  <c r="AZ82" i="49"/>
  <c r="L123" i="49"/>
  <c r="K447" i="49"/>
  <c r="BW533" i="46"/>
  <c r="J453" i="49"/>
  <c r="BB475" i="49"/>
  <c r="AZ8" i="49"/>
  <c r="BW92" i="49"/>
  <c r="BW359" i="49"/>
  <c r="L45" i="49"/>
  <c r="AZ404" i="49"/>
  <c r="BW83" i="49"/>
  <c r="AE454" i="49"/>
  <c r="AZ103" i="49"/>
  <c r="CT471" i="49"/>
  <c r="CU471" i="49"/>
  <c r="AZ436" i="49"/>
  <c r="K439" i="49"/>
  <c r="BW534" i="46"/>
  <c r="L103" i="49"/>
  <c r="BA356" i="49"/>
  <c r="AZ356" i="49"/>
  <c r="BW349" i="49"/>
  <c r="L102" i="49"/>
  <c r="BW362" i="49"/>
  <c r="AZ43" i="49"/>
  <c r="BW350" i="49"/>
  <c r="AZ14" i="49"/>
  <c r="BX320" i="49"/>
  <c r="BW320" i="49"/>
  <c r="AZ55" i="49"/>
  <c r="BA129" i="49"/>
  <c r="AZ129" i="49"/>
  <c r="L90" i="49"/>
  <c r="AZ318" i="49"/>
  <c r="AA499" i="46"/>
  <c r="AE486" i="46"/>
  <c r="AB96" i="46"/>
  <c r="AF93" i="46"/>
  <c r="CT438" i="49"/>
  <c r="BB69" i="49"/>
  <c r="AC512" i="46"/>
  <c r="AG510" i="46"/>
  <c r="BB470" i="49"/>
  <c r="BX455" i="49"/>
  <c r="BW455" i="49"/>
  <c r="AA540" i="46"/>
  <c r="AE540" i="46"/>
  <c r="AA550" i="46"/>
  <c r="AE550" i="46"/>
  <c r="AA541" i="46"/>
  <c r="AE541" i="46"/>
  <c r="AA539" i="46"/>
  <c r="AA542" i="46"/>
  <c r="AE542" i="46"/>
  <c r="AA538" i="46"/>
  <c r="AA551" i="46"/>
  <c r="AE551" i="46"/>
  <c r="AA552" i="46"/>
  <c r="AE552" i="46"/>
  <c r="AA553" i="46"/>
  <c r="AE553" i="46"/>
  <c r="AA555" i="46"/>
  <c r="AE555" i="46"/>
  <c r="AA547" i="46"/>
  <c r="AE547" i="46"/>
  <c r="AA554" i="46"/>
  <c r="AE554" i="46"/>
  <c r="AA543" i="46"/>
  <c r="AE543" i="46"/>
  <c r="AA545" i="46"/>
  <c r="AE545" i="46"/>
  <c r="AA544" i="46"/>
  <c r="AA549" i="46"/>
  <c r="AE549" i="46"/>
  <c r="AA548" i="46"/>
  <c r="AA546" i="46"/>
  <c r="AE546" i="46"/>
  <c r="L338" i="49"/>
  <c r="CT468" i="49"/>
  <c r="AA13" i="46"/>
  <c r="AE13" i="46"/>
  <c r="AA9" i="46"/>
  <c r="AE9" i="46"/>
  <c r="AA14" i="46"/>
  <c r="AE14" i="46"/>
  <c r="AA6" i="46"/>
  <c r="AA12" i="46"/>
  <c r="AE12" i="46"/>
  <c r="AA10" i="46"/>
  <c r="AE10" i="46"/>
  <c r="AA7" i="46"/>
  <c r="AE7" i="46"/>
  <c r="AA16" i="46"/>
  <c r="AE16" i="46"/>
  <c r="AA15" i="46"/>
  <c r="AE15" i="46"/>
  <c r="AA8" i="46"/>
  <c r="AE8" i="46"/>
  <c r="AA11" i="46"/>
  <c r="AE11" i="46"/>
  <c r="L111" i="49"/>
  <c r="Z82" i="46"/>
  <c r="AD80" i="46"/>
  <c r="L106" i="49"/>
  <c r="AZ44" i="49"/>
  <c r="AZ15" i="49"/>
  <c r="AZ80" i="49"/>
  <c r="CT40" i="49"/>
  <c r="CB68" i="46"/>
  <c r="AZ107" i="49"/>
  <c r="BW121" i="49"/>
  <c r="L314" i="49"/>
  <c r="AA357" i="46"/>
  <c r="AE176" i="46"/>
  <c r="AZ64" i="49"/>
  <c r="CB383" i="46"/>
  <c r="L334" i="49"/>
  <c r="CB27" i="46"/>
  <c r="N32" i="49"/>
  <c r="AC32" i="49"/>
  <c r="L414" i="49"/>
  <c r="CT489" i="49"/>
  <c r="L323" i="49"/>
  <c r="AB363" i="49"/>
  <c r="AE363" i="49"/>
  <c r="AZ479" i="49"/>
  <c r="BW112" i="49"/>
  <c r="AZ317" i="49"/>
  <c r="L125" i="49"/>
  <c r="BW415" i="49"/>
  <c r="BW55" i="49"/>
  <c r="L129" i="49"/>
  <c r="BA70" i="49"/>
  <c r="AZ70" i="49"/>
  <c r="L318" i="49"/>
  <c r="BW115" i="49"/>
  <c r="Z96" i="46"/>
  <c r="AD93" i="46"/>
  <c r="AD118" i="46"/>
  <c r="AH110" i="46"/>
  <c r="BW57" i="49"/>
  <c r="K37" i="49"/>
  <c r="BW31" i="46"/>
  <c r="L343" i="49"/>
  <c r="BW410" i="49"/>
  <c r="AZ130" i="49"/>
  <c r="AC82" i="46"/>
  <c r="AG80" i="46"/>
  <c r="L421" i="49"/>
  <c r="CT472" i="49"/>
  <c r="L108" i="49"/>
  <c r="AZ352" i="49"/>
  <c r="AZ355" i="49"/>
  <c r="L44" i="49"/>
  <c r="L339" i="49"/>
  <c r="K442" i="49"/>
  <c r="BW535" i="46"/>
  <c r="AZ126" i="49"/>
  <c r="L66" i="49"/>
  <c r="BA358" i="49"/>
  <c r="AZ358" i="49"/>
  <c r="AC464" i="46"/>
  <c r="AG423" i="46"/>
  <c r="L322" i="49"/>
  <c r="BW107" i="49"/>
  <c r="K24" i="49"/>
  <c r="BW33" i="46"/>
  <c r="AZ480" i="49"/>
  <c r="AZ477" i="49"/>
  <c r="AZ433" i="49"/>
  <c r="L97" i="49"/>
  <c r="AJ114" i="46"/>
  <c r="R489" i="49"/>
  <c r="BV489" i="49"/>
  <c r="BX489" i="49"/>
  <c r="BW99" i="49"/>
  <c r="BA357" i="49"/>
  <c r="AZ357" i="49"/>
  <c r="AZ119" i="49"/>
  <c r="AD106" i="46"/>
  <c r="AD107" i="46"/>
  <c r="BW335" i="49"/>
  <c r="K33" i="49"/>
  <c r="BW30" i="46"/>
  <c r="J440" i="49"/>
  <c r="K458" i="49"/>
  <c r="BW524" i="46"/>
  <c r="J19" i="49"/>
  <c r="AC459" i="49"/>
  <c r="J23" i="49"/>
  <c r="CB32" i="46"/>
  <c r="N27" i="49"/>
  <c r="AC27" i="49"/>
  <c r="J441" i="49"/>
  <c r="AE526" i="46"/>
  <c r="AI526" i="46"/>
  <c r="Q441" i="49"/>
  <c r="AY441" i="49"/>
  <c r="J444" i="49"/>
  <c r="CU74" i="49"/>
  <c r="CV74" i="49"/>
  <c r="T319" i="49"/>
  <c r="CU493" i="49"/>
  <c r="CV493" i="49"/>
  <c r="T93" i="49"/>
  <c r="T363" i="49"/>
  <c r="CU489" i="49"/>
  <c r="CV489" i="49"/>
  <c r="CU490" i="49"/>
  <c r="CV490" i="49"/>
  <c r="CB557" i="46"/>
  <c r="CU491" i="49"/>
  <c r="CV491" i="49"/>
  <c r="AL174" i="46"/>
  <c r="AK103" i="46"/>
  <c r="S73" i="49"/>
  <c r="CS73" i="49"/>
  <c r="CU73" i="49"/>
  <c r="CV73" i="49"/>
  <c r="AH102" i="46"/>
  <c r="AH103" i="46"/>
  <c r="AH100" i="46"/>
  <c r="P491" i="49"/>
  <c r="AL110" i="46"/>
  <c r="BB493" i="49"/>
  <c r="AC500" i="49"/>
  <c r="BY493" i="49"/>
  <c r="AZ440" i="49"/>
  <c r="CT97" i="49"/>
  <c r="L24" i="49"/>
  <c r="BW442" i="49"/>
  <c r="CT318" i="49"/>
  <c r="CT129" i="49"/>
  <c r="CT323" i="49"/>
  <c r="CT414" i="49"/>
  <c r="CT106" i="49"/>
  <c r="CT111" i="49"/>
  <c r="AA19" i="46"/>
  <c r="AE6" i="46"/>
  <c r="AA556" i="46"/>
  <c r="AE538" i="46"/>
  <c r="AC505" i="46"/>
  <c r="AG505" i="46"/>
  <c r="AC506" i="46"/>
  <c r="AG506" i="46"/>
  <c r="AC508" i="46"/>
  <c r="AG508" i="46"/>
  <c r="AC503" i="46"/>
  <c r="AC504" i="46"/>
  <c r="AG504" i="46"/>
  <c r="AC507" i="46"/>
  <c r="AG507" i="46"/>
  <c r="CT90" i="49"/>
  <c r="CT102" i="49"/>
  <c r="BB356" i="49"/>
  <c r="L439" i="49"/>
  <c r="CV471" i="49"/>
  <c r="AZ453" i="49"/>
  <c r="CT123" i="49"/>
  <c r="CT16" i="49"/>
  <c r="Z19" i="46"/>
  <c r="AD6" i="46"/>
  <c r="BB90" i="49"/>
  <c r="CT476" i="49"/>
  <c r="CT340" i="49"/>
  <c r="CT43" i="49"/>
  <c r="BY454" i="49"/>
  <c r="BW34" i="49"/>
  <c r="BW443" i="49"/>
  <c r="AZ36" i="49"/>
  <c r="L441" i="49"/>
  <c r="AZ21" i="49"/>
  <c r="L30" i="49"/>
  <c r="BW440" i="49"/>
  <c r="CT335" i="49"/>
  <c r="BB454" i="49"/>
  <c r="CT107" i="49"/>
  <c r="CT57" i="49"/>
  <c r="BB319" i="49"/>
  <c r="CT121" i="49"/>
  <c r="BB94" i="49"/>
  <c r="AK361" i="46"/>
  <c r="AZ446" i="49"/>
  <c r="T492" i="49"/>
  <c r="CU454" i="49"/>
  <c r="CT454" i="49"/>
  <c r="BA28" i="49"/>
  <c r="AZ28" i="49"/>
  <c r="L448" i="49"/>
  <c r="CT98" i="49"/>
  <c r="L27" i="49"/>
  <c r="BW21" i="49"/>
  <c r="L459" i="49"/>
  <c r="BY73" i="49"/>
  <c r="CT118" i="49"/>
  <c r="CT479" i="49"/>
  <c r="BB363" i="49"/>
  <c r="CT337" i="49"/>
  <c r="S361" i="49"/>
  <c r="AL420" i="46"/>
  <c r="CT89" i="49"/>
  <c r="CT41" i="49"/>
  <c r="BB47" i="49"/>
  <c r="CT484" i="49"/>
  <c r="CT364" i="49"/>
  <c r="CT124" i="49"/>
  <c r="AZ451" i="49"/>
  <c r="S47" i="49"/>
  <c r="AL60" i="46"/>
  <c r="CT480" i="49"/>
  <c r="CV69" i="49"/>
  <c r="L22" i="49"/>
  <c r="BW23" i="49"/>
  <c r="L456" i="49"/>
  <c r="BW452" i="49"/>
  <c r="BW19" i="49"/>
  <c r="AZ26" i="49"/>
  <c r="CT436" i="49"/>
  <c r="CT13" i="49"/>
  <c r="AZ442" i="49"/>
  <c r="Z505" i="46"/>
  <c r="AD505" i="46"/>
  <c r="Z503" i="46"/>
  <c r="Z506" i="46"/>
  <c r="AD506" i="46"/>
  <c r="Z504" i="46"/>
  <c r="AD504" i="46"/>
  <c r="Z507" i="46"/>
  <c r="AD507" i="46"/>
  <c r="Z508" i="46"/>
  <c r="AD508" i="46"/>
  <c r="CT357" i="49"/>
  <c r="CT8" i="49"/>
  <c r="AC568" i="46"/>
  <c r="AG568" i="46"/>
  <c r="AC565" i="46"/>
  <c r="AG565" i="46"/>
  <c r="AC567" i="46"/>
  <c r="AG567" i="46"/>
  <c r="AC566" i="46"/>
  <c r="AG566" i="46"/>
  <c r="AC562" i="46"/>
  <c r="AG562" i="46"/>
  <c r="AC561" i="46"/>
  <c r="AG561" i="46"/>
  <c r="AC564" i="46"/>
  <c r="AG564" i="46"/>
  <c r="AC560" i="46"/>
  <c r="AC563" i="46"/>
  <c r="AG563" i="46"/>
  <c r="Z389" i="46"/>
  <c r="AD389" i="46"/>
  <c r="Z396" i="46"/>
  <c r="AD396" i="46"/>
  <c r="Z392" i="46"/>
  <c r="AD392" i="46"/>
  <c r="Z387" i="46"/>
  <c r="AD387" i="46"/>
  <c r="Z388" i="46"/>
  <c r="AD388" i="46"/>
  <c r="Z394" i="46"/>
  <c r="AD394" i="46"/>
  <c r="Z393" i="46"/>
  <c r="AD393" i="46"/>
  <c r="Z390" i="46"/>
  <c r="AD390" i="46"/>
  <c r="Z391" i="46"/>
  <c r="AD391" i="46"/>
  <c r="Z395" i="46"/>
  <c r="AD395" i="46"/>
  <c r="Z386" i="46"/>
  <c r="CT84" i="49"/>
  <c r="CT65" i="49"/>
  <c r="CT416" i="49"/>
  <c r="CT405" i="49"/>
  <c r="BW451" i="49"/>
  <c r="AB396" i="46"/>
  <c r="AF396" i="46"/>
  <c r="AB394" i="46"/>
  <c r="AF394" i="46"/>
  <c r="AB392" i="46"/>
  <c r="AF392" i="46"/>
  <c r="AB391" i="46"/>
  <c r="AF391" i="46"/>
  <c r="AB390" i="46"/>
  <c r="AF390" i="46"/>
  <c r="AB388" i="46"/>
  <c r="AF388" i="46"/>
  <c r="AB395" i="46"/>
  <c r="AF395" i="46"/>
  <c r="AB387" i="46"/>
  <c r="AF387" i="46"/>
  <c r="AB393" i="46"/>
  <c r="AF393" i="46"/>
  <c r="AB389" i="46"/>
  <c r="AF389" i="46"/>
  <c r="AB386" i="46"/>
  <c r="CT116" i="49"/>
  <c r="Q72" i="49"/>
  <c r="AY72" i="49"/>
  <c r="BA72" i="49"/>
  <c r="AI106" i="46"/>
  <c r="AZ443" i="49"/>
  <c r="BW450" i="49"/>
  <c r="BB96" i="49"/>
  <c r="BB449" i="49"/>
  <c r="AZ31" i="49"/>
  <c r="CT417" i="49"/>
  <c r="BB321" i="49"/>
  <c r="CT352" i="49"/>
  <c r="AC90" i="46"/>
  <c r="AG90" i="46"/>
  <c r="AC88" i="46"/>
  <c r="AG88" i="46"/>
  <c r="AC91" i="46"/>
  <c r="AG91" i="46"/>
  <c r="AC89" i="46"/>
  <c r="AG89" i="46"/>
  <c r="AC86" i="46"/>
  <c r="AJ117" i="46"/>
  <c r="BW458" i="49"/>
  <c r="AZ23" i="49"/>
  <c r="AZ19" i="49"/>
  <c r="BW24" i="49"/>
  <c r="AC419" i="46"/>
  <c r="AG419" i="46"/>
  <c r="AC409" i="46"/>
  <c r="AG409" i="46"/>
  <c r="AC415" i="46"/>
  <c r="AG415" i="46"/>
  <c r="AC416" i="46"/>
  <c r="AG416" i="46"/>
  <c r="AC411" i="46"/>
  <c r="AG411" i="46"/>
  <c r="AC417" i="46"/>
  <c r="AG417" i="46"/>
  <c r="AC407" i="46"/>
  <c r="AC413" i="46"/>
  <c r="AG413" i="46"/>
  <c r="AC418" i="46"/>
  <c r="AG418" i="46"/>
  <c r="AC414" i="46"/>
  <c r="AG414" i="46"/>
  <c r="AC412" i="46"/>
  <c r="AG412" i="46"/>
  <c r="AC410" i="46"/>
  <c r="AG410" i="46"/>
  <c r="AC408" i="46"/>
  <c r="AG408" i="46"/>
  <c r="CT66" i="49"/>
  <c r="CT44" i="49"/>
  <c r="AC72" i="46"/>
  <c r="AG72" i="46"/>
  <c r="AC76" i="46"/>
  <c r="AG76" i="46"/>
  <c r="AC71" i="46"/>
  <c r="AC73" i="46"/>
  <c r="AG73" i="46"/>
  <c r="AC74" i="46"/>
  <c r="AG74" i="46"/>
  <c r="AC77" i="46"/>
  <c r="AG77" i="46"/>
  <c r="AC75" i="46"/>
  <c r="AG75" i="46"/>
  <c r="AC78" i="46"/>
  <c r="AG78" i="46"/>
  <c r="L37" i="49"/>
  <c r="AH114" i="46"/>
  <c r="AH111" i="46"/>
  <c r="AH113" i="46"/>
  <c r="AH112" i="46"/>
  <c r="Z88" i="46"/>
  <c r="AD88" i="46"/>
  <c r="Z89" i="46"/>
  <c r="AD89" i="46"/>
  <c r="Z90" i="46"/>
  <c r="AD90" i="46"/>
  <c r="Z86" i="46"/>
  <c r="Z91" i="46"/>
  <c r="AD91" i="46"/>
  <c r="CT125" i="49"/>
  <c r="CT334" i="49"/>
  <c r="CT314" i="49"/>
  <c r="AA480" i="46"/>
  <c r="AE480" i="46"/>
  <c r="AA473" i="46"/>
  <c r="AE473" i="46"/>
  <c r="AA483" i="46"/>
  <c r="AE483" i="46"/>
  <c r="AA478" i="46"/>
  <c r="AE478" i="46"/>
  <c r="AA479" i="46"/>
  <c r="AE479" i="46"/>
  <c r="AA468" i="46"/>
  <c r="AA481" i="46"/>
  <c r="AE481" i="46"/>
  <c r="AA477" i="46"/>
  <c r="AE477" i="46"/>
  <c r="AA472" i="46"/>
  <c r="AE472" i="46"/>
  <c r="AA482" i="46"/>
  <c r="AE482" i="46"/>
  <c r="AA471" i="46"/>
  <c r="AE471" i="46"/>
  <c r="AA470" i="46"/>
  <c r="AE470" i="46"/>
  <c r="AA474" i="46"/>
  <c r="AE474" i="46"/>
  <c r="AA485" i="46"/>
  <c r="AE485" i="46"/>
  <c r="AA484" i="46"/>
  <c r="AE484" i="46"/>
  <c r="AA476" i="46"/>
  <c r="AE476" i="46"/>
  <c r="AA475" i="46"/>
  <c r="AE475" i="46"/>
  <c r="AA469" i="46"/>
  <c r="AE469" i="46"/>
  <c r="BW439" i="49"/>
  <c r="Z49" i="46"/>
  <c r="AD44" i="46"/>
  <c r="AC58" i="46"/>
  <c r="AG58" i="46"/>
  <c r="AC56" i="46"/>
  <c r="AG56" i="46"/>
  <c r="AC57" i="46"/>
  <c r="AG57" i="46"/>
  <c r="AC59" i="46"/>
  <c r="AG59" i="46"/>
  <c r="AC60" i="46"/>
  <c r="AC54" i="46"/>
  <c r="AG54" i="46"/>
  <c r="AC55" i="46"/>
  <c r="AG55" i="46"/>
  <c r="AC53" i="46"/>
  <c r="CT431" i="49"/>
  <c r="AC484" i="46"/>
  <c r="AG484" i="46"/>
  <c r="AC468" i="46"/>
  <c r="AC480" i="46"/>
  <c r="AG480" i="46"/>
  <c r="AC476" i="46"/>
  <c r="AG476" i="46"/>
  <c r="AC477" i="46"/>
  <c r="AG477" i="46"/>
  <c r="AC472" i="46"/>
  <c r="AG472" i="46"/>
  <c r="AC482" i="46"/>
  <c r="AG482" i="46"/>
  <c r="AC478" i="46"/>
  <c r="AG478" i="46"/>
  <c r="AC474" i="46"/>
  <c r="AG474" i="46"/>
  <c r="AC473" i="46"/>
  <c r="AG473" i="46"/>
  <c r="AC485" i="46"/>
  <c r="AG485" i="46"/>
  <c r="AC469" i="46"/>
  <c r="AG469" i="46"/>
  <c r="AC471" i="46"/>
  <c r="AG471" i="46"/>
  <c r="AC475" i="46"/>
  <c r="AG475" i="46"/>
  <c r="AC470" i="46"/>
  <c r="AG470" i="46"/>
  <c r="AC479" i="46"/>
  <c r="AG479" i="46"/>
  <c r="AC483" i="46"/>
  <c r="AG483" i="46"/>
  <c r="AC481" i="46"/>
  <c r="AG481" i="46"/>
  <c r="CT313" i="49"/>
  <c r="CT358" i="49"/>
  <c r="L444" i="49"/>
  <c r="BW441" i="49"/>
  <c r="AZ457" i="49"/>
  <c r="BW30" i="49"/>
  <c r="AB158" i="46"/>
  <c r="AF158" i="46"/>
  <c r="AB171" i="46"/>
  <c r="AF171" i="46"/>
  <c r="AB120" i="46"/>
  <c r="AB132" i="46"/>
  <c r="AF132" i="46"/>
  <c r="AB154" i="46"/>
  <c r="AF154" i="46"/>
  <c r="AB124" i="46"/>
  <c r="AF124" i="46"/>
  <c r="AB147" i="46"/>
  <c r="AF147" i="46"/>
  <c r="AB142" i="46"/>
  <c r="AF142" i="46"/>
  <c r="AB168" i="46"/>
  <c r="AF168" i="46"/>
  <c r="AB129" i="46"/>
  <c r="AF129" i="46"/>
  <c r="AB155" i="46"/>
  <c r="AF155" i="46"/>
  <c r="AB172" i="46"/>
  <c r="AF172" i="46"/>
  <c r="AB150" i="46"/>
  <c r="AF150" i="46"/>
  <c r="AB126" i="46"/>
  <c r="AF126" i="46"/>
  <c r="AB169" i="46"/>
  <c r="AF169" i="46"/>
  <c r="AB131" i="46"/>
  <c r="AF131" i="46"/>
  <c r="AB157" i="46"/>
  <c r="AF157" i="46"/>
  <c r="AB122" i="46"/>
  <c r="AF122" i="46"/>
  <c r="AB151" i="46"/>
  <c r="AF151" i="46"/>
  <c r="AB164" i="46"/>
  <c r="AF164" i="46"/>
  <c r="AB139" i="46"/>
  <c r="AF139" i="46"/>
  <c r="AB163" i="46"/>
  <c r="AF163" i="46"/>
  <c r="AB148" i="46"/>
  <c r="AF148" i="46"/>
  <c r="AB170" i="46"/>
  <c r="AF170" i="46"/>
  <c r="AB140" i="46"/>
  <c r="AF140" i="46"/>
  <c r="AB133" i="46"/>
  <c r="AF133" i="46"/>
  <c r="AB145" i="46"/>
  <c r="AF145" i="46"/>
  <c r="AB141" i="46"/>
  <c r="AF141" i="46"/>
  <c r="AB149" i="46"/>
  <c r="AF149" i="46"/>
  <c r="AB146" i="46"/>
  <c r="AF146" i="46"/>
  <c r="AB160" i="46"/>
  <c r="AF160" i="46"/>
  <c r="AB121" i="46"/>
  <c r="AF121" i="46"/>
  <c r="AB166" i="46"/>
  <c r="AF166" i="46"/>
  <c r="AB159" i="46"/>
  <c r="AF159" i="46"/>
  <c r="AB137" i="46"/>
  <c r="AF137" i="46"/>
  <c r="AB162" i="46"/>
  <c r="AF162" i="46"/>
  <c r="AB125" i="46"/>
  <c r="AF125" i="46"/>
  <c r="AB138" i="46"/>
  <c r="AF138" i="46"/>
  <c r="AB167" i="46"/>
  <c r="AF167" i="46"/>
  <c r="AB136" i="46"/>
  <c r="AF136" i="46"/>
  <c r="AB143" i="46"/>
  <c r="AF143" i="46"/>
  <c r="AB144" i="46"/>
  <c r="AF144" i="46"/>
  <c r="AB152" i="46"/>
  <c r="AF152" i="46"/>
  <c r="AB161" i="46"/>
  <c r="AF161" i="46"/>
  <c r="AB123" i="46"/>
  <c r="AF123" i="46"/>
  <c r="AB156" i="46"/>
  <c r="AF156" i="46"/>
  <c r="AB134" i="46"/>
  <c r="AF134" i="46"/>
  <c r="AB127" i="46"/>
  <c r="AF127" i="46"/>
  <c r="AB165" i="46"/>
  <c r="AF165" i="46"/>
  <c r="AB130" i="46"/>
  <c r="AF130" i="46"/>
  <c r="AB128" i="46"/>
  <c r="AF128" i="46"/>
  <c r="AB153" i="46"/>
  <c r="AF153" i="46"/>
  <c r="AB135" i="46"/>
  <c r="AF135" i="46"/>
  <c r="AC393" i="46"/>
  <c r="AG393" i="46"/>
  <c r="AC392" i="46"/>
  <c r="AG392" i="46"/>
  <c r="AC394" i="46"/>
  <c r="AG394" i="46"/>
  <c r="AC389" i="46"/>
  <c r="AG389" i="46"/>
  <c r="AC396" i="46"/>
  <c r="AG396" i="46"/>
  <c r="AC386" i="46"/>
  <c r="AC390" i="46"/>
  <c r="AG390" i="46"/>
  <c r="AC395" i="46"/>
  <c r="AG395" i="46"/>
  <c r="AC387" i="46"/>
  <c r="AG387" i="46"/>
  <c r="AC391" i="46"/>
  <c r="AG391" i="46"/>
  <c r="AC388" i="46"/>
  <c r="AG388" i="46"/>
  <c r="CU320" i="49"/>
  <c r="CT320" i="49"/>
  <c r="CT362" i="49"/>
  <c r="CT92" i="49"/>
  <c r="CU449" i="49"/>
  <c r="CT449" i="49"/>
  <c r="CU70" i="49"/>
  <c r="CT70" i="49"/>
  <c r="CT105" i="49"/>
  <c r="Q320" i="49"/>
  <c r="AY320" i="49"/>
  <c r="BB320" i="49"/>
  <c r="CT341" i="49"/>
  <c r="BA34" i="49"/>
  <c r="AZ34" i="49"/>
  <c r="CV360" i="49"/>
  <c r="BB85" i="49"/>
  <c r="L35" i="49"/>
  <c r="BW448" i="49"/>
  <c r="L445" i="49"/>
  <c r="CT131" i="49"/>
  <c r="BY319" i="49"/>
  <c r="CT434" i="49"/>
  <c r="CT420" i="49"/>
  <c r="L25" i="49"/>
  <c r="L457" i="49"/>
  <c r="BW27" i="49"/>
  <c r="AZ456" i="49"/>
  <c r="BW459" i="49"/>
  <c r="CT80" i="49"/>
  <c r="BY494" i="49"/>
  <c r="AL173" i="46"/>
  <c r="Z479" i="46"/>
  <c r="AD479" i="46"/>
  <c r="Z471" i="46"/>
  <c r="AD471" i="46"/>
  <c r="Z474" i="46"/>
  <c r="AD474" i="46"/>
  <c r="Z469" i="46"/>
  <c r="AD469" i="46"/>
  <c r="Z485" i="46"/>
  <c r="AD485" i="46"/>
  <c r="Z473" i="46"/>
  <c r="AD473" i="46"/>
  <c r="Z484" i="46"/>
  <c r="AD484" i="46"/>
  <c r="Z470" i="46"/>
  <c r="AD470" i="46"/>
  <c r="Z483" i="46"/>
  <c r="AD483" i="46"/>
  <c r="Z475" i="46"/>
  <c r="AD475" i="46"/>
  <c r="Z476" i="46"/>
  <c r="AD476" i="46"/>
  <c r="Z481" i="46"/>
  <c r="AD481" i="46"/>
  <c r="Z482" i="46"/>
  <c r="AD482" i="46"/>
  <c r="Z477" i="46"/>
  <c r="AD477" i="46"/>
  <c r="Z480" i="46"/>
  <c r="AD480" i="46"/>
  <c r="Z478" i="46"/>
  <c r="AD478" i="46"/>
  <c r="Z468" i="46"/>
  <c r="Z472" i="46"/>
  <c r="AD472" i="46"/>
  <c r="CT42" i="49"/>
  <c r="CT361" i="49"/>
  <c r="CU361" i="49"/>
  <c r="CT114" i="49"/>
  <c r="CT61" i="49"/>
  <c r="L17" i="49"/>
  <c r="CT82" i="49"/>
  <c r="CT60" i="49"/>
  <c r="BB29" i="49"/>
  <c r="BY363" i="49"/>
  <c r="CT88" i="49"/>
  <c r="Z565" i="46"/>
  <c r="AD565" i="46"/>
  <c r="Z566" i="46"/>
  <c r="AD566" i="46"/>
  <c r="Z561" i="46"/>
  <c r="AD561" i="46"/>
  <c r="Z560" i="46"/>
  <c r="Z563" i="46"/>
  <c r="AD563" i="46"/>
  <c r="Z562" i="46"/>
  <c r="AD562" i="46"/>
  <c r="Z567" i="46"/>
  <c r="AD567" i="46"/>
  <c r="Z568" i="46"/>
  <c r="AD568" i="46"/>
  <c r="Z564" i="46"/>
  <c r="AD564" i="46"/>
  <c r="CT85" i="49"/>
  <c r="CU47" i="49"/>
  <c r="CT47" i="49"/>
  <c r="BB91" i="49"/>
  <c r="BB350" i="49"/>
  <c r="CT122" i="49"/>
  <c r="CT119" i="49"/>
  <c r="BB83" i="49"/>
  <c r="BW22" i="49"/>
  <c r="AZ35" i="49"/>
  <c r="L31" i="49"/>
  <c r="AZ27" i="49"/>
  <c r="BW456" i="49"/>
  <c r="BB490" i="49"/>
  <c r="Q491" i="49"/>
  <c r="AY491" i="49"/>
  <c r="BA491" i="49"/>
  <c r="AI117" i="46"/>
  <c r="S72" i="49"/>
  <c r="CS72" i="49"/>
  <c r="CU72" i="49"/>
  <c r="AK106" i="46"/>
  <c r="CT478" i="49"/>
  <c r="CT46" i="49"/>
  <c r="CT86" i="49"/>
  <c r="CT413" i="49"/>
  <c r="CT354" i="49"/>
  <c r="CT128" i="49"/>
  <c r="AZ32" i="49"/>
  <c r="CT48" i="49"/>
  <c r="CT363" i="49"/>
  <c r="CU363" i="49"/>
  <c r="BA439" i="49"/>
  <c r="AZ439" i="49"/>
  <c r="CS470" i="49"/>
  <c r="CV470" i="49"/>
  <c r="T470" i="49"/>
  <c r="CT7" i="49"/>
  <c r="L20" i="49"/>
  <c r="CT104" i="49"/>
  <c r="AB506" i="46"/>
  <c r="AF506" i="46"/>
  <c r="AB505" i="46"/>
  <c r="AF505" i="46"/>
  <c r="AB508" i="46"/>
  <c r="AF508" i="46"/>
  <c r="AB507" i="46"/>
  <c r="AF507" i="46"/>
  <c r="AB503" i="46"/>
  <c r="AB504" i="46"/>
  <c r="AF504" i="46"/>
  <c r="AA89" i="46"/>
  <c r="AE89" i="46"/>
  <c r="AA86" i="46"/>
  <c r="AA90" i="46"/>
  <c r="AA88" i="46"/>
  <c r="AE88" i="46"/>
  <c r="AA91" i="46"/>
  <c r="AE91" i="46"/>
  <c r="AA92" i="46"/>
  <c r="CT411" i="49"/>
  <c r="BB65" i="49"/>
  <c r="CT482" i="49"/>
  <c r="CT419" i="49"/>
  <c r="AZ460" i="49"/>
  <c r="BB88" i="49"/>
  <c r="AZ22" i="49"/>
  <c r="AB407" i="46"/>
  <c r="AB414" i="46"/>
  <c r="AF414" i="46"/>
  <c r="AB413" i="46"/>
  <c r="AF413" i="46"/>
  <c r="AB408" i="46"/>
  <c r="AF408" i="46"/>
  <c r="AB416" i="46"/>
  <c r="AF416" i="46"/>
  <c r="AB411" i="46"/>
  <c r="AF411" i="46"/>
  <c r="AB417" i="46"/>
  <c r="AF417" i="46"/>
  <c r="AB418" i="46"/>
  <c r="AF418" i="46"/>
  <c r="AB412" i="46"/>
  <c r="AF412" i="46"/>
  <c r="AB415" i="46"/>
  <c r="AF415" i="46"/>
  <c r="AB409" i="46"/>
  <c r="AF409" i="46"/>
  <c r="AB410" i="46"/>
  <c r="AF410" i="46"/>
  <c r="AB419" i="46"/>
  <c r="AF419" i="46"/>
  <c r="L28" i="49"/>
  <c r="AG42" i="46"/>
  <c r="AK42" i="46"/>
  <c r="S28" i="49"/>
  <c r="CS28" i="49"/>
  <c r="AZ445" i="49"/>
  <c r="CT11" i="49"/>
  <c r="BB489" i="49"/>
  <c r="BY491" i="49"/>
  <c r="AZ444" i="49"/>
  <c r="AZ441" i="49"/>
  <c r="BA441" i="49"/>
  <c r="L33" i="49"/>
  <c r="BY489" i="49"/>
  <c r="CT322" i="49"/>
  <c r="CT339" i="49"/>
  <c r="BW37" i="49"/>
  <c r="BB70" i="49"/>
  <c r="AA161" i="46"/>
  <c r="AE161" i="46"/>
  <c r="AA121" i="46"/>
  <c r="AE121" i="46"/>
  <c r="AA138" i="46"/>
  <c r="AE138" i="46"/>
  <c r="AA124" i="46"/>
  <c r="AE124" i="46"/>
  <c r="AA168" i="46"/>
  <c r="AE168" i="46"/>
  <c r="AA165" i="46"/>
  <c r="AE165" i="46"/>
  <c r="AA134" i="46"/>
  <c r="AE134" i="46"/>
  <c r="AA143" i="46"/>
  <c r="AE143" i="46"/>
  <c r="AA154" i="46"/>
  <c r="AE154" i="46"/>
  <c r="AA151" i="46"/>
  <c r="AE151" i="46"/>
  <c r="AA131" i="46"/>
  <c r="AE131" i="46"/>
  <c r="AA142" i="46"/>
  <c r="AE142" i="46"/>
  <c r="AA150" i="46"/>
  <c r="AE150" i="46"/>
  <c r="AA120" i="46"/>
  <c r="AA144" i="46"/>
  <c r="AE144" i="46"/>
  <c r="AA163" i="46"/>
  <c r="AE163" i="46"/>
  <c r="AA136" i="46"/>
  <c r="AE136" i="46"/>
  <c r="AA123" i="46"/>
  <c r="AA125" i="46"/>
  <c r="AE125" i="46"/>
  <c r="AA133" i="46"/>
  <c r="AE133" i="46"/>
  <c r="AA122" i="46"/>
  <c r="AE122" i="46"/>
  <c r="AA173" i="46"/>
  <c r="AA162" i="46"/>
  <c r="AE162" i="46"/>
  <c r="AA155" i="46"/>
  <c r="AE155" i="46"/>
  <c r="AA172" i="46"/>
  <c r="AE172" i="46"/>
  <c r="AA159" i="46"/>
  <c r="AE159" i="46"/>
  <c r="AA167" i="46"/>
  <c r="AE167" i="46"/>
  <c r="AA146" i="46"/>
  <c r="AE146" i="46"/>
  <c r="AA158" i="46"/>
  <c r="AE158" i="46"/>
  <c r="AA129" i="46"/>
  <c r="AE129" i="46"/>
  <c r="AA140" i="46"/>
  <c r="AE140" i="46"/>
  <c r="AA148" i="46"/>
  <c r="AE148" i="46"/>
  <c r="AA145" i="46"/>
  <c r="AE145" i="46"/>
  <c r="AA141" i="46"/>
  <c r="AE141" i="46"/>
  <c r="AA130" i="46"/>
  <c r="AE130" i="46"/>
  <c r="AA147" i="46"/>
  <c r="AA127" i="46"/>
  <c r="AE127" i="46"/>
  <c r="AA135" i="46"/>
  <c r="AE135" i="46"/>
  <c r="AA137" i="46"/>
  <c r="AE137" i="46"/>
  <c r="AA126" i="46"/>
  <c r="AE126" i="46"/>
  <c r="AA166" i="46"/>
  <c r="AE166" i="46"/>
  <c r="AA153" i="46"/>
  <c r="AE153" i="46"/>
  <c r="AA139" i="46"/>
  <c r="AE139" i="46"/>
  <c r="AA128" i="46"/>
  <c r="AE128" i="46"/>
  <c r="AA156" i="46"/>
  <c r="AA152" i="46"/>
  <c r="AE152" i="46"/>
  <c r="Z74" i="46"/>
  <c r="AD74" i="46"/>
  <c r="Z76" i="46"/>
  <c r="AD76" i="46"/>
  <c r="Z71" i="46"/>
  <c r="Z75" i="46"/>
  <c r="AD75" i="46"/>
  <c r="Z77" i="46"/>
  <c r="AD77" i="46"/>
  <c r="Z72" i="46"/>
  <c r="AD72" i="46"/>
  <c r="Z73" i="46"/>
  <c r="AD73" i="46"/>
  <c r="Z78" i="46"/>
  <c r="AD78" i="46"/>
  <c r="BB129" i="49"/>
  <c r="CT103" i="49"/>
  <c r="L447" i="49"/>
  <c r="BB82" i="49"/>
  <c r="CT324" i="49"/>
  <c r="CT113" i="49"/>
  <c r="BY47" i="49"/>
  <c r="CT351" i="49"/>
  <c r="CT481" i="49"/>
  <c r="CT6" i="49"/>
  <c r="L460" i="49"/>
  <c r="BY360" i="49"/>
  <c r="AB566" i="46"/>
  <c r="AF566" i="46"/>
  <c r="AB565" i="46"/>
  <c r="AF565" i="46"/>
  <c r="AB568" i="46"/>
  <c r="AF568" i="46"/>
  <c r="AB567" i="46"/>
  <c r="AF567" i="46"/>
  <c r="AB561" i="46"/>
  <c r="AF561" i="46"/>
  <c r="AB563" i="46"/>
  <c r="AF563" i="46"/>
  <c r="AB562" i="46"/>
  <c r="AF562" i="46"/>
  <c r="AB560" i="46"/>
  <c r="AB564" i="46"/>
  <c r="AF564" i="46"/>
  <c r="AZ25" i="49"/>
  <c r="BW444" i="49"/>
  <c r="AZ459" i="49"/>
  <c r="AZ33" i="49"/>
  <c r="CT407" i="49"/>
  <c r="CT99" i="49"/>
  <c r="AZ24" i="49"/>
  <c r="AZ37" i="49"/>
  <c r="CT408" i="49"/>
  <c r="L18" i="49"/>
  <c r="CT115" i="49"/>
  <c r="AB320" i="49"/>
  <c r="AE320" i="49"/>
  <c r="BY361" i="49"/>
  <c r="CT415" i="49"/>
  <c r="CT112" i="49"/>
  <c r="BA17" i="49"/>
  <c r="AZ17" i="49"/>
  <c r="CT412" i="49"/>
  <c r="CU455" i="49"/>
  <c r="CT455" i="49"/>
  <c r="AK117" i="46"/>
  <c r="L453" i="49"/>
  <c r="BB93" i="49"/>
  <c r="CB50" i="46"/>
  <c r="AA49" i="46"/>
  <c r="AE44" i="46"/>
  <c r="BB455" i="49"/>
  <c r="BY321" i="49"/>
  <c r="BY29" i="49"/>
  <c r="BW35" i="49"/>
  <c r="CT483" i="49"/>
  <c r="BW445" i="49"/>
  <c r="CT81" i="49"/>
  <c r="CT117" i="49"/>
  <c r="AB480" i="46"/>
  <c r="AF480" i="46"/>
  <c r="AB470" i="46"/>
  <c r="AF470" i="46"/>
  <c r="AB482" i="46"/>
  <c r="AF482" i="46"/>
  <c r="AB468" i="46"/>
  <c r="AB481" i="46"/>
  <c r="AF481" i="46"/>
  <c r="AB477" i="46"/>
  <c r="AF477" i="46"/>
  <c r="AB473" i="46"/>
  <c r="AF473" i="46"/>
  <c r="AB484" i="46"/>
  <c r="AF484" i="46"/>
  <c r="AB483" i="46"/>
  <c r="AF483" i="46"/>
  <c r="AB478" i="46"/>
  <c r="AF478" i="46"/>
  <c r="AB474" i="46"/>
  <c r="AF474" i="46"/>
  <c r="AB485" i="46"/>
  <c r="AF485" i="46"/>
  <c r="AB469" i="46"/>
  <c r="AF469" i="46"/>
  <c r="AB476" i="46"/>
  <c r="AF476" i="46"/>
  <c r="AB472" i="46"/>
  <c r="AF472" i="46"/>
  <c r="AB479" i="46"/>
  <c r="AF479" i="46"/>
  <c r="AB475" i="46"/>
  <c r="AF475" i="46"/>
  <c r="AB471" i="46"/>
  <c r="AF471" i="46"/>
  <c r="BW25" i="49"/>
  <c r="BW457" i="49"/>
  <c r="AZ452" i="49"/>
  <c r="L26" i="49"/>
  <c r="AA562" i="46"/>
  <c r="AE562" i="46"/>
  <c r="AA568" i="46"/>
  <c r="AE568" i="46"/>
  <c r="AA561" i="46"/>
  <c r="AE561" i="46"/>
  <c r="AA567" i="46"/>
  <c r="AE567" i="46"/>
  <c r="AA563" i="46"/>
  <c r="AE563" i="46"/>
  <c r="AA566" i="46"/>
  <c r="AE566" i="46"/>
  <c r="AA560" i="46"/>
  <c r="AA564" i="46"/>
  <c r="AE564" i="46"/>
  <c r="AA565" i="46"/>
  <c r="AE565" i="46"/>
  <c r="AA68" i="46"/>
  <c r="AE53" i="46"/>
  <c r="CT56" i="49"/>
  <c r="CT404" i="49"/>
  <c r="L32" i="49"/>
  <c r="BW17" i="49"/>
  <c r="BY93" i="49"/>
  <c r="Z410" i="46"/>
  <c r="AD410" i="46"/>
  <c r="Z412" i="46"/>
  <c r="AD412" i="46"/>
  <c r="Z411" i="46"/>
  <c r="AD411" i="46"/>
  <c r="Z418" i="46"/>
  <c r="AD418" i="46"/>
  <c r="Z417" i="46"/>
  <c r="AD417" i="46"/>
  <c r="Z419" i="46"/>
  <c r="AD419" i="46"/>
  <c r="Z415" i="46"/>
  <c r="AD415" i="46"/>
  <c r="Z414" i="46"/>
  <c r="AD414" i="46"/>
  <c r="Z409" i="46"/>
  <c r="AD409" i="46"/>
  <c r="Z413" i="46"/>
  <c r="AD413" i="46"/>
  <c r="Z407" i="46"/>
  <c r="Z416" i="46"/>
  <c r="AD416" i="46"/>
  <c r="Z408" i="46"/>
  <c r="AD408" i="46"/>
  <c r="CT100" i="49"/>
  <c r="CT418" i="49"/>
  <c r="R320" i="49"/>
  <c r="BV320" i="49"/>
  <c r="BY320" i="49"/>
  <c r="L446" i="49"/>
  <c r="CT120" i="49"/>
  <c r="CT406" i="49"/>
  <c r="T70" i="49"/>
  <c r="BW31" i="49"/>
  <c r="CT87" i="49"/>
  <c r="CT333" i="49"/>
  <c r="AZ458" i="49"/>
  <c r="R72" i="49"/>
  <c r="BV72" i="49"/>
  <c r="BX72" i="49"/>
  <c r="AJ106" i="46"/>
  <c r="BB109" i="49"/>
  <c r="CT59" i="49"/>
  <c r="CT94" i="49"/>
  <c r="BB81" i="49"/>
  <c r="CT77" i="49"/>
  <c r="CT353" i="49"/>
  <c r="CU93" i="49"/>
  <c r="CT93" i="49"/>
  <c r="AB55" i="46"/>
  <c r="AF55" i="46"/>
  <c r="AB54" i="46"/>
  <c r="AF54" i="46"/>
  <c r="AB56" i="46"/>
  <c r="AF56" i="46"/>
  <c r="AB59" i="46"/>
  <c r="AF59" i="46"/>
  <c r="AB60" i="46"/>
  <c r="AB53" i="46"/>
  <c r="AB57" i="46"/>
  <c r="AF57" i="46"/>
  <c r="AB58" i="46"/>
  <c r="AF58" i="46"/>
  <c r="BB361" i="49"/>
  <c r="BB354" i="49"/>
  <c r="CT316" i="49"/>
  <c r="AZ447" i="49"/>
  <c r="BW20" i="49"/>
  <c r="CT432" i="49"/>
  <c r="AA417" i="46"/>
  <c r="AE417" i="46"/>
  <c r="AA416" i="46"/>
  <c r="AA410" i="46"/>
  <c r="AE410" i="46"/>
  <c r="AA413" i="46"/>
  <c r="AE413" i="46"/>
  <c r="AA409" i="46"/>
  <c r="AE409" i="46"/>
  <c r="AA419" i="46"/>
  <c r="AE419" i="46"/>
  <c r="AA420" i="46"/>
  <c r="AA418" i="46"/>
  <c r="AE418" i="46"/>
  <c r="AA407" i="46"/>
  <c r="AA408" i="46"/>
  <c r="CT15" i="49"/>
  <c r="BY96" i="49"/>
  <c r="BY70" i="49"/>
  <c r="AC160" i="46"/>
  <c r="AG160" i="46"/>
  <c r="AC166" i="46"/>
  <c r="AG166" i="46"/>
  <c r="AC147" i="46"/>
  <c r="AG147" i="46"/>
  <c r="AC143" i="46"/>
  <c r="AG143" i="46"/>
  <c r="AC154" i="46"/>
  <c r="AG154" i="46"/>
  <c r="AC135" i="46"/>
  <c r="AG135" i="46"/>
  <c r="AC169" i="46"/>
  <c r="AG169" i="46"/>
  <c r="AC150" i="46"/>
  <c r="AG150" i="46"/>
  <c r="AC120" i="46"/>
  <c r="AC130" i="46"/>
  <c r="AG130" i="46"/>
  <c r="AC139" i="46"/>
  <c r="AG139" i="46"/>
  <c r="AC140" i="46"/>
  <c r="AG140" i="46"/>
  <c r="AC148" i="46"/>
  <c r="AG148" i="46"/>
  <c r="AC128" i="46"/>
  <c r="AG128" i="46"/>
  <c r="AC134" i="46"/>
  <c r="AG134" i="46"/>
  <c r="AC146" i="46"/>
  <c r="AG146" i="46"/>
  <c r="AC153" i="46"/>
  <c r="AG153" i="46"/>
  <c r="AC122" i="46"/>
  <c r="AG122" i="46"/>
  <c r="AC132" i="46"/>
  <c r="AG132" i="46"/>
  <c r="AC144" i="46"/>
  <c r="AG144" i="46"/>
  <c r="AC129" i="46"/>
  <c r="AG129" i="46"/>
  <c r="AC163" i="46"/>
  <c r="AG163" i="46"/>
  <c r="AC157" i="46"/>
  <c r="AG157" i="46"/>
  <c r="AC170" i="46"/>
  <c r="AG170" i="46"/>
  <c r="AC167" i="46"/>
  <c r="AG167" i="46"/>
  <c r="AC127" i="46"/>
  <c r="AG127" i="46"/>
  <c r="AC133" i="46"/>
  <c r="AG133" i="46"/>
  <c r="AC161" i="46"/>
  <c r="AG161" i="46"/>
  <c r="AC141" i="46"/>
  <c r="AG141" i="46"/>
  <c r="AC155" i="46"/>
  <c r="AG155" i="46"/>
  <c r="AC149" i="46"/>
  <c r="AG149" i="46"/>
  <c r="AC159" i="46"/>
  <c r="AG159" i="46"/>
  <c r="AC124" i="46"/>
  <c r="AG124" i="46"/>
  <c r="AC168" i="46"/>
  <c r="AG168" i="46"/>
  <c r="AC131" i="46"/>
  <c r="AG131" i="46"/>
  <c r="AC121" i="46"/>
  <c r="AG121" i="46"/>
  <c r="AC138" i="46"/>
  <c r="AG138" i="46"/>
  <c r="AC145" i="46"/>
  <c r="AG145" i="46"/>
  <c r="AC158" i="46"/>
  <c r="AG158" i="46"/>
  <c r="AC137" i="46"/>
  <c r="AG137" i="46"/>
  <c r="AC156" i="46"/>
  <c r="AG156" i="46"/>
  <c r="AC152" i="46"/>
  <c r="AG152" i="46"/>
  <c r="AC164" i="46"/>
  <c r="AG164" i="46"/>
  <c r="AC123" i="46"/>
  <c r="AG123" i="46"/>
  <c r="AC172" i="46"/>
  <c r="AG172" i="46"/>
  <c r="AC142" i="46"/>
  <c r="AG142" i="46"/>
  <c r="AC151" i="46"/>
  <c r="AG151" i="46"/>
  <c r="AC136" i="46"/>
  <c r="AG136" i="46"/>
  <c r="AC162" i="46"/>
  <c r="AG162" i="46"/>
  <c r="AC171" i="46"/>
  <c r="AG171" i="46"/>
  <c r="AC165" i="46"/>
  <c r="AG165" i="46"/>
  <c r="AC125" i="46"/>
  <c r="AG125" i="46"/>
  <c r="AC126" i="46"/>
  <c r="AG126" i="46"/>
  <c r="L36" i="49"/>
  <c r="AA394" i="46"/>
  <c r="AE394" i="46"/>
  <c r="AA392" i="46"/>
  <c r="AE392" i="46"/>
  <c r="AA395" i="46"/>
  <c r="AE395" i="46"/>
  <c r="AA396" i="46"/>
  <c r="AE396" i="46"/>
  <c r="AA388" i="46"/>
  <c r="AE388" i="46"/>
  <c r="AA390" i="46"/>
  <c r="AE390" i="46"/>
  <c r="AA387" i="46"/>
  <c r="AE387" i="46"/>
  <c r="AA386" i="46"/>
  <c r="AA389" i="46"/>
  <c r="AE389" i="46"/>
  <c r="AA391" i="46"/>
  <c r="AE391" i="46"/>
  <c r="AA393" i="46"/>
  <c r="AE393" i="46"/>
  <c r="AB76" i="46"/>
  <c r="AF76" i="46"/>
  <c r="AB73" i="46"/>
  <c r="AF73" i="46"/>
  <c r="AB75" i="46"/>
  <c r="AF75" i="46"/>
  <c r="AB72" i="46"/>
  <c r="AF72" i="46"/>
  <c r="AB78" i="46"/>
  <c r="AF78" i="46"/>
  <c r="AB71" i="46"/>
  <c r="AB74" i="46"/>
  <c r="AF74" i="46"/>
  <c r="AB77" i="46"/>
  <c r="AF77" i="46"/>
  <c r="AL42" i="46"/>
  <c r="BW28" i="49"/>
  <c r="BX28" i="49"/>
  <c r="CT14" i="49"/>
  <c r="CU319" i="49"/>
  <c r="CT319" i="49"/>
  <c r="CT79" i="49"/>
  <c r="AA505" i="46"/>
  <c r="AE505" i="46"/>
  <c r="AA508" i="46"/>
  <c r="AE508" i="46"/>
  <c r="AA507" i="46"/>
  <c r="AE507" i="46"/>
  <c r="AA504" i="46"/>
  <c r="AE504" i="46"/>
  <c r="AA503" i="46"/>
  <c r="AA506" i="46"/>
  <c r="AE506" i="46"/>
  <c r="L458" i="49"/>
  <c r="BW33" i="49"/>
  <c r="BB357" i="49"/>
  <c r="BB358" i="49"/>
  <c r="L442" i="49"/>
  <c r="CT108" i="49"/>
  <c r="CT421" i="49"/>
  <c r="CT343" i="49"/>
  <c r="CT338" i="49"/>
  <c r="BY455" i="49"/>
  <c r="AB86" i="46"/>
  <c r="AB90" i="46"/>
  <c r="AF90" i="46"/>
  <c r="AB89" i="46"/>
  <c r="AF89" i="46"/>
  <c r="AB91" i="46"/>
  <c r="AF91" i="46"/>
  <c r="AB88" i="46"/>
  <c r="AF88" i="46"/>
  <c r="CT45" i="49"/>
  <c r="BW447" i="49"/>
  <c r="AG19" i="46"/>
  <c r="AZ20" i="49"/>
  <c r="CU96" i="49"/>
  <c r="CT96" i="49"/>
  <c r="BY449" i="49"/>
  <c r="BW460" i="49"/>
  <c r="CT67" i="49"/>
  <c r="CT433" i="49"/>
  <c r="L34" i="49"/>
  <c r="L443" i="49"/>
  <c r="BY490" i="49"/>
  <c r="L440" i="49"/>
  <c r="BB494" i="49"/>
  <c r="T96" i="49"/>
  <c r="BW18" i="49"/>
  <c r="CT55" i="49"/>
  <c r="AC556" i="46"/>
  <c r="AG538" i="46"/>
  <c r="CT350" i="49"/>
  <c r="CT349" i="49"/>
  <c r="CT83" i="49"/>
  <c r="CT359" i="49"/>
  <c r="BW453" i="49"/>
  <c r="Z148" i="46"/>
  <c r="AD148" i="46"/>
  <c r="Z138" i="46"/>
  <c r="AD138" i="46"/>
  <c r="Z163" i="46"/>
  <c r="AD163" i="46"/>
  <c r="Z129" i="46"/>
  <c r="AD129" i="46"/>
  <c r="Z158" i="46"/>
  <c r="AD158" i="46"/>
  <c r="Z144" i="46"/>
  <c r="AD144" i="46"/>
  <c r="Z143" i="46"/>
  <c r="AD143" i="46"/>
  <c r="Z139" i="46"/>
  <c r="AD139" i="46"/>
  <c r="Z154" i="46"/>
  <c r="AD154" i="46"/>
  <c r="Z131" i="46"/>
  <c r="AD131" i="46"/>
  <c r="Z155" i="46"/>
  <c r="AD155" i="46"/>
  <c r="Z150" i="46"/>
  <c r="AD150" i="46"/>
  <c r="Z162" i="46"/>
  <c r="AD162" i="46"/>
  <c r="Z167" i="46"/>
  <c r="AD167" i="46"/>
  <c r="Z169" i="46"/>
  <c r="AD169" i="46"/>
  <c r="Z149" i="46"/>
  <c r="AD149" i="46"/>
  <c r="Z136" i="46"/>
  <c r="AD136" i="46"/>
  <c r="Z126" i="46"/>
  <c r="AD126" i="46"/>
  <c r="Z166" i="46"/>
  <c r="AD166" i="46"/>
  <c r="Z146" i="46"/>
  <c r="AD146" i="46"/>
  <c r="Z157" i="46"/>
  <c r="AD157" i="46"/>
  <c r="Z122" i="46"/>
  <c r="AD122" i="46"/>
  <c r="Z156" i="46"/>
  <c r="AD156" i="46"/>
  <c r="Z142" i="46"/>
  <c r="AD142" i="46"/>
  <c r="Z133" i="46"/>
  <c r="AD133" i="46"/>
  <c r="Z130" i="46"/>
  <c r="AD130" i="46"/>
  <c r="Z135" i="46"/>
  <c r="AD135" i="46"/>
  <c r="Z121" i="46"/>
  <c r="AD121" i="46"/>
  <c r="Z172" i="46"/>
  <c r="AD172" i="46"/>
  <c r="Z171" i="46"/>
  <c r="AD171" i="46"/>
  <c r="Z141" i="46"/>
  <c r="AD141" i="46"/>
  <c r="Z134" i="46"/>
  <c r="AD134" i="46"/>
  <c r="Z145" i="46"/>
  <c r="AD145" i="46"/>
  <c r="Z132" i="46"/>
  <c r="AD132" i="46"/>
  <c r="Z153" i="46"/>
  <c r="AD153" i="46"/>
  <c r="Z124" i="46"/>
  <c r="AD124" i="46"/>
  <c r="Z164" i="46"/>
  <c r="AD164" i="46"/>
  <c r="Z159" i="46"/>
  <c r="AD159" i="46"/>
  <c r="Z161" i="46"/>
  <c r="AD161" i="46"/>
  <c r="Z125" i="46"/>
  <c r="AD125" i="46"/>
  <c r="Z170" i="46"/>
  <c r="AD170" i="46"/>
  <c r="Z128" i="46"/>
  <c r="AD128" i="46"/>
  <c r="Z140" i="46"/>
  <c r="AD140" i="46"/>
  <c r="Z123" i="46"/>
  <c r="AD123" i="46"/>
  <c r="Z137" i="46"/>
  <c r="AD137" i="46"/>
  <c r="Z165" i="46"/>
  <c r="AD165" i="46"/>
  <c r="Z152" i="46"/>
  <c r="AD152" i="46"/>
  <c r="Z151" i="46"/>
  <c r="AD151" i="46"/>
  <c r="Z160" i="46"/>
  <c r="AD160" i="46"/>
  <c r="Z120" i="46"/>
  <c r="Z147" i="46"/>
  <c r="AD147" i="46"/>
  <c r="Z127" i="46"/>
  <c r="AD127" i="46"/>
  <c r="Z168" i="46"/>
  <c r="AD168" i="46"/>
  <c r="CT315" i="49"/>
  <c r="CT68" i="49"/>
  <c r="CT58" i="49"/>
  <c r="CT336" i="49"/>
  <c r="CT109" i="49"/>
  <c r="CT95" i="49"/>
  <c r="CT477" i="49"/>
  <c r="CT355" i="49"/>
  <c r="CT317" i="49"/>
  <c r="L21" i="49"/>
  <c r="AZ30" i="49"/>
  <c r="BW26" i="49"/>
  <c r="CT410" i="49"/>
  <c r="AZ18" i="49"/>
  <c r="CT409" i="49"/>
  <c r="CT78" i="49"/>
  <c r="BW32" i="49"/>
  <c r="CT10" i="49"/>
  <c r="CT325" i="49"/>
  <c r="CT342" i="49"/>
  <c r="CT101" i="49"/>
  <c r="AB556" i="46"/>
  <c r="AF538" i="46"/>
  <c r="BW446" i="49"/>
  <c r="AB49" i="46"/>
  <c r="AF44" i="46"/>
  <c r="AA71" i="46"/>
  <c r="AA74" i="46"/>
  <c r="AE74" i="46"/>
  <c r="AA73" i="46"/>
  <c r="AE73" i="46"/>
  <c r="AA77" i="46"/>
  <c r="AE77" i="46"/>
  <c r="AA72" i="46"/>
  <c r="AE72" i="46"/>
  <c r="AA78" i="46"/>
  <c r="AE78" i="46"/>
  <c r="AA75" i="46"/>
  <c r="AE75" i="46"/>
  <c r="AA76" i="46"/>
  <c r="AE76" i="46"/>
  <c r="BJ582" i="46"/>
  <c r="BI588" i="46"/>
  <c r="BK377" i="46"/>
  <c r="BM377" i="46"/>
  <c r="CT12" i="49"/>
  <c r="BB362" i="49"/>
  <c r="CT435" i="49"/>
  <c r="CT9" i="49"/>
  <c r="CT126" i="49"/>
  <c r="BA450" i="49"/>
  <c r="AZ450" i="49"/>
  <c r="CT130" i="49"/>
  <c r="CU29" i="49"/>
  <c r="CT29" i="49"/>
  <c r="L23" i="49"/>
  <c r="L452" i="49"/>
  <c r="L19" i="49"/>
  <c r="CT110" i="49"/>
  <c r="BB131" i="49"/>
  <c r="Z556" i="46"/>
  <c r="AD538" i="46"/>
  <c r="CT91" i="49"/>
  <c r="CT356" i="49"/>
  <c r="CT54" i="49"/>
  <c r="CT64" i="49"/>
  <c r="AC49" i="46"/>
  <c r="AG44" i="46"/>
  <c r="L451" i="49"/>
  <c r="AL92" i="46"/>
  <c r="CU321" i="49"/>
  <c r="CT321" i="49"/>
  <c r="BW36" i="49"/>
  <c r="CT127" i="49"/>
  <c r="Z58" i="46"/>
  <c r="AD58" i="46"/>
  <c r="Z55" i="46"/>
  <c r="AD55" i="46"/>
  <c r="Z59" i="46"/>
  <c r="AD59" i="46"/>
  <c r="Z53" i="46"/>
  <c r="Z54" i="46"/>
  <c r="AD54" i="46"/>
  <c r="Z56" i="46"/>
  <c r="AD56" i="46"/>
  <c r="Z60" i="46"/>
  <c r="Z57" i="46"/>
  <c r="AD57" i="46"/>
  <c r="L450" i="49"/>
  <c r="AB19" i="46"/>
  <c r="AF6" i="46"/>
  <c r="AB28" i="49"/>
  <c r="AE28" i="49"/>
  <c r="AZ448" i="49"/>
  <c r="BK319" i="46"/>
  <c r="BM319" i="46"/>
  <c r="BK320" i="46"/>
  <c r="BM320" i="46"/>
  <c r="T28" i="49"/>
  <c r="AZ500" i="49"/>
  <c r="BW500" i="49"/>
  <c r="CT452" i="49"/>
  <c r="CV29" i="49"/>
  <c r="BB450" i="49"/>
  <c r="BK36" i="46"/>
  <c r="BM36" i="46"/>
  <c r="BK35" i="46"/>
  <c r="BM35" i="46"/>
  <c r="BK37" i="46"/>
  <c r="BM37" i="46"/>
  <c r="BK38" i="46"/>
  <c r="BM38" i="46"/>
  <c r="BK24" i="46"/>
  <c r="BM24" i="46"/>
  <c r="BK23" i="46"/>
  <c r="BM23" i="46"/>
  <c r="BK33" i="46"/>
  <c r="BM33" i="46"/>
  <c r="BK40" i="46"/>
  <c r="BM40" i="46"/>
  <c r="BK41" i="46"/>
  <c r="BM41" i="46"/>
  <c r="BK32" i="46"/>
  <c r="BM32" i="46"/>
  <c r="BK42" i="46"/>
  <c r="BM42" i="46"/>
  <c r="BK46" i="46"/>
  <c r="BM46" i="46"/>
  <c r="BK62" i="46"/>
  <c r="BM62" i="46"/>
  <c r="BK94" i="46"/>
  <c r="BM94" i="46"/>
  <c r="BK91" i="46"/>
  <c r="BM91" i="46"/>
  <c r="BK92" i="46"/>
  <c r="BM92" i="46"/>
  <c r="BK100" i="46"/>
  <c r="BM100" i="46"/>
  <c r="BK298" i="46"/>
  <c r="BM298" i="46"/>
  <c r="BK172" i="46"/>
  <c r="BM172" i="46"/>
  <c r="BK120" i="46"/>
  <c r="BM120" i="46"/>
  <c r="BK144" i="46"/>
  <c r="BM144" i="46"/>
  <c r="BK127" i="46"/>
  <c r="BM127" i="46"/>
  <c r="BK154" i="46"/>
  <c r="BM154" i="46"/>
  <c r="BK148" i="46"/>
  <c r="BM148" i="46"/>
  <c r="BK163" i="46"/>
  <c r="BM163" i="46"/>
  <c r="BK126" i="46"/>
  <c r="BM126" i="46"/>
  <c r="BK136" i="46"/>
  <c r="BM136" i="46"/>
  <c r="BK150" i="46"/>
  <c r="BM150" i="46"/>
  <c r="BK133" i="46"/>
  <c r="BM133" i="46"/>
  <c r="BK131" i="46"/>
  <c r="BM131" i="46"/>
  <c r="BK137" i="46"/>
  <c r="BM137" i="46"/>
  <c r="BK160" i="46"/>
  <c r="BM160" i="46"/>
  <c r="BK135" i="46"/>
  <c r="BM135" i="46"/>
  <c r="BK141" i="46"/>
  <c r="BM141" i="46"/>
  <c r="BK139" i="46"/>
  <c r="BM139" i="46"/>
  <c r="BK158" i="46"/>
  <c r="BM158" i="46"/>
  <c r="BK146" i="46"/>
  <c r="BM146" i="46"/>
  <c r="BK140" i="46"/>
  <c r="BM140" i="46"/>
  <c r="BK122" i="46"/>
  <c r="BM122" i="46"/>
  <c r="BK124" i="46"/>
  <c r="BM124" i="46"/>
  <c r="BK145" i="46"/>
  <c r="BM145" i="46"/>
  <c r="BK134" i="46"/>
  <c r="BM134" i="46"/>
  <c r="BK142" i="46"/>
  <c r="BM142" i="46"/>
  <c r="BK159" i="46"/>
  <c r="BM159" i="46"/>
  <c r="BK155" i="46"/>
  <c r="BM155" i="46"/>
  <c r="BK152" i="46"/>
  <c r="BM152" i="46"/>
  <c r="BK162" i="46"/>
  <c r="BM162" i="46"/>
  <c r="BK151" i="46"/>
  <c r="BM151" i="46"/>
  <c r="BK138" i="46"/>
  <c r="BM138" i="46"/>
  <c r="BK161" i="46"/>
  <c r="BM161" i="46"/>
  <c r="BK168" i="46"/>
  <c r="BM168" i="46"/>
  <c r="BK156" i="46"/>
  <c r="BM156" i="46"/>
  <c r="BK153" i="46"/>
  <c r="BM153" i="46"/>
  <c r="BK147" i="46"/>
  <c r="BM147" i="46"/>
  <c r="BK285" i="46"/>
  <c r="BM285" i="46"/>
  <c r="BK290" i="46"/>
  <c r="BM290" i="46"/>
  <c r="BK348" i="46"/>
  <c r="BM348" i="46"/>
  <c r="BK194" i="46"/>
  <c r="BM194" i="46"/>
  <c r="BK317" i="46"/>
  <c r="BM317" i="46"/>
  <c r="BK354" i="46"/>
  <c r="BM354" i="46"/>
  <c r="BK353" i="46"/>
  <c r="BM353" i="46"/>
  <c r="BK293" i="46"/>
  <c r="BM293" i="46"/>
  <c r="BK196" i="46"/>
  <c r="BM196" i="46"/>
  <c r="BK186" i="46"/>
  <c r="BM186" i="46"/>
  <c r="BK262" i="46"/>
  <c r="BM262" i="46"/>
  <c r="BK259" i="46"/>
  <c r="BM259" i="46"/>
  <c r="BK265" i="46"/>
  <c r="BM265" i="46"/>
  <c r="BK222" i="46"/>
  <c r="BM222" i="46"/>
  <c r="BK216" i="46"/>
  <c r="BM216" i="46"/>
  <c r="BK341" i="46"/>
  <c r="BM341" i="46"/>
  <c r="BK237" i="46"/>
  <c r="BM237" i="46"/>
  <c r="BK325" i="46"/>
  <c r="BM325" i="46"/>
  <c r="BK332" i="46"/>
  <c r="BM332" i="46"/>
  <c r="BK277" i="46"/>
  <c r="BM277" i="46"/>
  <c r="BK299" i="46"/>
  <c r="BM299" i="46"/>
  <c r="BK247" i="46"/>
  <c r="BM247" i="46"/>
  <c r="BK240" i="46"/>
  <c r="BM240" i="46"/>
  <c r="BK191" i="46"/>
  <c r="BM191" i="46"/>
  <c r="BK238" i="46"/>
  <c r="BM238" i="46"/>
  <c r="BK300" i="46"/>
  <c r="BM300" i="46"/>
  <c r="BK304" i="46"/>
  <c r="BM304" i="46"/>
  <c r="BK307" i="46"/>
  <c r="BM307" i="46"/>
  <c r="BK248" i="46"/>
  <c r="BM248" i="46"/>
  <c r="BK316" i="46"/>
  <c r="BM316" i="46"/>
  <c r="BK314" i="46"/>
  <c r="BM314" i="46"/>
  <c r="BK311" i="46"/>
  <c r="BM311" i="46"/>
  <c r="BK333" i="46"/>
  <c r="BM333" i="46"/>
  <c r="BK269" i="46"/>
  <c r="BM269" i="46"/>
  <c r="BK312" i="46"/>
  <c r="BM312" i="46"/>
  <c r="BK183" i="46"/>
  <c r="BM183" i="46"/>
  <c r="BK280" i="46"/>
  <c r="BM280" i="46"/>
  <c r="BK315" i="46"/>
  <c r="BM315" i="46"/>
  <c r="BK205" i="46"/>
  <c r="BM205" i="46"/>
  <c r="BK204" i="46"/>
  <c r="BM204" i="46"/>
  <c r="BK278" i="46"/>
  <c r="BM278" i="46"/>
  <c r="BK364" i="46"/>
  <c r="BM364" i="46"/>
  <c r="BK370" i="46"/>
  <c r="BM370" i="46"/>
  <c r="BK367" i="46"/>
  <c r="BM367" i="46"/>
  <c r="BK369" i="46"/>
  <c r="BM369" i="46"/>
  <c r="BK374" i="46"/>
  <c r="BM374" i="46"/>
  <c r="BK390" i="46"/>
  <c r="BM390" i="46"/>
  <c r="BK386" i="46"/>
  <c r="BM386" i="46"/>
  <c r="BK391" i="46"/>
  <c r="BM391" i="46"/>
  <c r="BK389" i="46"/>
  <c r="BM389" i="46"/>
  <c r="BK396" i="46"/>
  <c r="BM396" i="46"/>
  <c r="BK387" i="46"/>
  <c r="BM387" i="46"/>
  <c r="BK395" i="46"/>
  <c r="BM395" i="46"/>
  <c r="BK394" i="46"/>
  <c r="BM394" i="46"/>
  <c r="BK388" i="46"/>
  <c r="BM388" i="46"/>
  <c r="BK393" i="46"/>
  <c r="BM393" i="46"/>
  <c r="BK392" i="46"/>
  <c r="BM392" i="46"/>
  <c r="BK398" i="46"/>
  <c r="BM398" i="46"/>
  <c r="BK211" i="46"/>
  <c r="BM211" i="46"/>
  <c r="BK447" i="46"/>
  <c r="BM447" i="46"/>
  <c r="BK419" i="46"/>
  <c r="BM419" i="46"/>
  <c r="BK416" i="46"/>
  <c r="BM416" i="46"/>
  <c r="BK413" i="46"/>
  <c r="BM413" i="46"/>
  <c r="BK417" i="46"/>
  <c r="BM417" i="46"/>
  <c r="BK418" i="46"/>
  <c r="BM418" i="46"/>
  <c r="BK411" i="46"/>
  <c r="BM411" i="46"/>
  <c r="BK407" i="46"/>
  <c r="BM407" i="46"/>
  <c r="BK412" i="46"/>
  <c r="BM412" i="46"/>
  <c r="BK415" i="46"/>
  <c r="BM415" i="46"/>
  <c r="BK414" i="46"/>
  <c r="BM414" i="46"/>
  <c r="BK410" i="46"/>
  <c r="BM410" i="46"/>
  <c r="BK406" i="46"/>
  <c r="BM406" i="46"/>
  <c r="BK455" i="46"/>
  <c r="BM455" i="46"/>
  <c r="BK446" i="46"/>
  <c r="BM446" i="46"/>
  <c r="BK462" i="46"/>
  <c r="BM462" i="46"/>
  <c r="BK428" i="46"/>
  <c r="BM428" i="46"/>
  <c r="BK458" i="46"/>
  <c r="BM458" i="46"/>
  <c r="BK442" i="46"/>
  <c r="BM442" i="46"/>
  <c r="BK425" i="46"/>
  <c r="BM425" i="46"/>
  <c r="BK453" i="46"/>
  <c r="BM453" i="46"/>
  <c r="BK432" i="46"/>
  <c r="BM432" i="46"/>
  <c r="BK430" i="46"/>
  <c r="BM430" i="46"/>
  <c r="BK487" i="46"/>
  <c r="BM487" i="46"/>
  <c r="BK494" i="46"/>
  <c r="BM494" i="46"/>
  <c r="BK529" i="46"/>
  <c r="BM529" i="46"/>
  <c r="BK526" i="46"/>
  <c r="BM526" i="46"/>
  <c r="BK535" i="46"/>
  <c r="BM535" i="46"/>
  <c r="BK531" i="46"/>
  <c r="BM531" i="46"/>
  <c r="BK523" i="46"/>
  <c r="BM523" i="46"/>
  <c r="BK521" i="46"/>
  <c r="BM521" i="46"/>
  <c r="BK528" i="46"/>
  <c r="BM528" i="46"/>
  <c r="BK533" i="46"/>
  <c r="BM533" i="46"/>
  <c r="BK525" i="46"/>
  <c r="BM525" i="46"/>
  <c r="BK516" i="46"/>
  <c r="BM516" i="46"/>
  <c r="BK524" i="46"/>
  <c r="BM524" i="46"/>
  <c r="BK532" i="46"/>
  <c r="BM532" i="46"/>
  <c r="BK530" i="46"/>
  <c r="BM530" i="46"/>
  <c r="BK545" i="46"/>
  <c r="BM545" i="46"/>
  <c r="BK554" i="46"/>
  <c r="BM554" i="46"/>
  <c r="BK569" i="46"/>
  <c r="BM569" i="46"/>
  <c r="BK112" i="46"/>
  <c r="BM112" i="46"/>
  <c r="BK110" i="46"/>
  <c r="BM110" i="46"/>
  <c r="BK109" i="46"/>
  <c r="BM109" i="46"/>
  <c r="BK79" i="46"/>
  <c r="BM79" i="46"/>
  <c r="BK509" i="46"/>
  <c r="BM509" i="46"/>
  <c r="BK6" i="46"/>
  <c r="BK9" i="46"/>
  <c r="BM9" i="46"/>
  <c r="BK14" i="46"/>
  <c r="BM14" i="46"/>
  <c r="BK11" i="46"/>
  <c r="BM11" i="46"/>
  <c r="BK10" i="46"/>
  <c r="BM10" i="46"/>
  <c r="BK12" i="46"/>
  <c r="BM12" i="46"/>
  <c r="BK15" i="46"/>
  <c r="BM15" i="46"/>
  <c r="BK13" i="46"/>
  <c r="BM13" i="46"/>
  <c r="BK8" i="46"/>
  <c r="BM8" i="46"/>
  <c r="BK16" i="46"/>
  <c r="BM16" i="46"/>
  <c r="BK7" i="46"/>
  <c r="BM7" i="46"/>
  <c r="BK34" i="46"/>
  <c r="BM34" i="46"/>
  <c r="BK59" i="46"/>
  <c r="BM59" i="46"/>
  <c r="BK53" i="46"/>
  <c r="BM53" i="46"/>
  <c r="BK64" i="46"/>
  <c r="BM64" i="46"/>
  <c r="BK63" i="46"/>
  <c r="BM63" i="46"/>
  <c r="BK90" i="46"/>
  <c r="BM90" i="46"/>
  <c r="BK88" i="46"/>
  <c r="BM88" i="46"/>
  <c r="BK89" i="46"/>
  <c r="BM89" i="46"/>
  <c r="BK86" i="46"/>
  <c r="BM86" i="46"/>
  <c r="BK103" i="46"/>
  <c r="BM103" i="46"/>
  <c r="BK102" i="46"/>
  <c r="BM102" i="46"/>
  <c r="BK123" i="46"/>
  <c r="BM123" i="46"/>
  <c r="BK129" i="46"/>
  <c r="BM129" i="46"/>
  <c r="BK173" i="46"/>
  <c r="BM173" i="46"/>
  <c r="BK242" i="46"/>
  <c r="BM242" i="46"/>
  <c r="BK251" i="46"/>
  <c r="BM251" i="46"/>
  <c r="BK340" i="46"/>
  <c r="BM340" i="46"/>
  <c r="BK228" i="46"/>
  <c r="BM228" i="46"/>
  <c r="BK334" i="46"/>
  <c r="BM334" i="46"/>
  <c r="BK270" i="46"/>
  <c r="BM270" i="46"/>
  <c r="BK491" i="46"/>
  <c r="BM491" i="46"/>
  <c r="BK351" i="46"/>
  <c r="BM351" i="46"/>
  <c r="BK309" i="46"/>
  <c r="BM309" i="46"/>
  <c r="BK252" i="46"/>
  <c r="BM252" i="46"/>
  <c r="BK294" i="46"/>
  <c r="BM294" i="46"/>
  <c r="BK327" i="46"/>
  <c r="BM327" i="46"/>
  <c r="BK220" i="46"/>
  <c r="BM220" i="46"/>
  <c r="BK492" i="46"/>
  <c r="BM492" i="46"/>
  <c r="BK256" i="46"/>
  <c r="BM256" i="46"/>
  <c r="BK260" i="46"/>
  <c r="BM260" i="46"/>
  <c r="BK253" i="46"/>
  <c r="BM253" i="46"/>
  <c r="BK330" i="46"/>
  <c r="BM330" i="46"/>
  <c r="BK199" i="46"/>
  <c r="BM199" i="46"/>
  <c r="BK266" i="46"/>
  <c r="BM266" i="46"/>
  <c r="BK343" i="46"/>
  <c r="BM343" i="46"/>
  <c r="BK283" i="46"/>
  <c r="BM283" i="46"/>
  <c r="BK223" i="46"/>
  <c r="BM223" i="46"/>
  <c r="BK335" i="46"/>
  <c r="BM335" i="46"/>
  <c r="BK207" i="46"/>
  <c r="BM207" i="46"/>
  <c r="BK338" i="46"/>
  <c r="BM338" i="46"/>
  <c r="BK189" i="46"/>
  <c r="BM189" i="46"/>
  <c r="BK328" i="46"/>
  <c r="BM328" i="46"/>
  <c r="BK249" i="46"/>
  <c r="BM249" i="46"/>
  <c r="BK272" i="46"/>
  <c r="BM272" i="46"/>
  <c r="BK349" i="46"/>
  <c r="BM349" i="46"/>
  <c r="BK206" i="46"/>
  <c r="BM206" i="46"/>
  <c r="BK279" i="46"/>
  <c r="BM279" i="46"/>
  <c r="BK322" i="46"/>
  <c r="BM322" i="46"/>
  <c r="BK179" i="46"/>
  <c r="BM179" i="46"/>
  <c r="BK212" i="46"/>
  <c r="BM212" i="46"/>
  <c r="BK233" i="46"/>
  <c r="BM233" i="46"/>
  <c r="BK308" i="46"/>
  <c r="BM308" i="46"/>
  <c r="BK310" i="46"/>
  <c r="BM310" i="46"/>
  <c r="BK276" i="46"/>
  <c r="BM276" i="46"/>
  <c r="BK187" i="46"/>
  <c r="BM187" i="46"/>
  <c r="BK180" i="46"/>
  <c r="BM180" i="46"/>
  <c r="BK346" i="46"/>
  <c r="BM346" i="46"/>
  <c r="BK295" i="46"/>
  <c r="BM295" i="46"/>
  <c r="BK203" i="46"/>
  <c r="BM203" i="46"/>
  <c r="BK337" i="46"/>
  <c r="BM337" i="46"/>
  <c r="BK371" i="46"/>
  <c r="BM371" i="46"/>
  <c r="BK380" i="46"/>
  <c r="BM380" i="46"/>
  <c r="BK400" i="46"/>
  <c r="BM400" i="46"/>
  <c r="BK409" i="46"/>
  <c r="BM409" i="46"/>
  <c r="BK457" i="46"/>
  <c r="BM457" i="46"/>
  <c r="BK431" i="46"/>
  <c r="BM431" i="46"/>
  <c r="BK441" i="46"/>
  <c r="BM441" i="46"/>
  <c r="BK434" i="46"/>
  <c r="BM434" i="46"/>
  <c r="BK450" i="46"/>
  <c r="BM450" i="46"/>
  <c r="BK452" i="46"/>
  <c r="BM452" i="46"/>
  <c r="BK460" i="46"/>
  <c r="BM460" i="46"/>
  <c r="BK456" i="46"/>
  <c r="BM456" i="46"/>
  <c r="BK426" i="46"/>
  <c r="BM426" i="46"/>
  <c r="BK497" i="46"/>
  <c r="BM497" i="46"/>
  <c r="BK484" i="46"/>
  <c r="BM484" i="46"/>
  <c r="BK490" i="46"/>
  <c r="BM490" i="46"/>
  <c r="BK493" i="46"/>
  <c r="BM493" i="46"/>
  <c r="BK551" i="46"/>
  <c r="BM551" i="46"/>
  <c r="BK534" i="46"/>
  <c r="BM534" i="46"/>
  <c r="BK542" i="46"/>
  <c r="BM542" i="46"/>
  <c r="BK540" i="46"/>
  <c r="BM540" i="46"/>
  <c r="BK548" i="46"/>
  <c r="BM548" i="46"/>
  <c r="BK564" i="46"/>
  <c r="BM564" i="46"/>
  <c r="BK566" i="46"/>
  <c r="BM566" i="46"/>
  <c r="BK560" i="46"/>
  <c r="BM560" i="46"/>
  <c r="BK561" i="46"/>
  <c r="BM561" i="46"/>
  <c r="BK562" i="46"/>
  <c r="BM562" i="46"/>
  <c r="BK565" i="46"/>
  <c r="BM565" i="46"/>
  <c r="BK563" i="46"/>
  <c r="BM563" i="46"/>
  <c r="BK568" i="46"/>
  <c r="BM568" i="46"/>
  <c r="BK570" i="46"/>
  <c r="BM570" i="46"/>
  <c r="BK114" i="46"/>
  <c r="BM114" i="46"/>
  <c r="BK592" i="46"/>
  <c r="BM592" i="46"/>
  <c r="BK61" i="46"/>
  <c r="BM61" i="46"/>
  <c r="BK422" i="46"/>
  <c r="BM422" i="46"/>
  <c r="BK26" i="46"/>
  <c r="BM26" i="46"/>
  <c r="BK39" i="46"/>
  <c r="BM39" i="46"/>
  <c r="BK27" i="46"/>
  <c r="BM27" i="46"/>
  <c r="BK30" i="46"/>
  <c r="BM30" i="46"/>
  <c r="BK29" i="46"/>
  <c r="BM29" i="46"/>
  <c r="BK28" i="46"/>
  <c r="BM28" i="46"/>
  <c r="BK22" i="46"/>
  <c r="BM22" i="46"/>
  <c r="BK31" i="46"/>
  <c r="BM31" i="46"/>
  <c r="BK45" i="46"/>
  <c r="BM45" i="46"/>
  <c r="BK56" i="46"/>
  <c r="BM56" i="46"/>
  <c r="BK54" i="46"/>
  <c r="BM54" i="46"/>
  <c r="BK55" i="46"/>
  <c r="BM55" i="46"/>
  <c r="BK57" i="46"/>
  <c r="BM57" i="46"/>
  <c r="BK58" i="46"/>
  <c r="BM58" i="46"/>
  <c r="BK65" i="46"/>
  <c r="BM65" i="46"/>
  <c r="BK77" i="46"/>
  <c r="BM77" i="46"/>
  <c r="BK128" i="46"/>
  <c r="BM128" i="46"/>
  <c r="BK166" i="46"/>
  <c r="BM166" i="46"/>
  <c r="BK125" i="46"/>
  <c r="BM125" i="46"/>
  <c r="BK169" i="46"/>
  <c r="BM169" i="46"/>
  <c r="BK164" i="46"/>
  <c r="BM164" i="46"/>
  <c r="BK157" i="46"/>
  <c r="BM157" i="46"/>
  <c r="BK167" i="46"/>
  <c r="BM167" i="46"/>
  <c r="BK170" i="46"/>
  <c r="BM170" i="46"/>
  <c r="BK165" i="46"/>
  <c r="BM165" i="46"/>
  <c r="BK130" i="46"/>
  <c r="BM130" i="46"/>
  <c r="BK149" i="46"/>
  <c r="BM149" i="46"/>
  <c r="BK143" i="46"/>
  <c r="BM143" i="46"/>
  <c r="BK171" i="46"/>
  <c r="BM171" i="46"/>
  <c r="BK132" i="46"/>
  <c r="BM132" i="46"/>
  <c r="BK121" i="46"/>
  <c r="BM121" i="46"/>
  <c r="BK174" i="46"/>
  <c r="BM174" i="46"/>
  <c r="BK225" i="46"/>
  <c r="BM225" i="46"/>
  <c r="BK342" i="46"/>
  <c r="BM342" i="46"/>
  <c r="BK215" i="46"/>
  <c r="BM215" i="46"/>
  <c r="BK227" i="46"/>
  <c r="BM227" i="46"/>
  <c r="BK289" i="46"/>
  <c r="BM289" i="46"/>
  <c r="BK424" i="46"/>
  <c r="BM424" i="46"/>
  <c r="BK235" i="46"/>
  <c r="BM235" i="46"/>
  <c r="BK221" i="46"/>
  <c r="BM221" i="46"/>
  <c r="BK350" i="46"/>
  <c r="BM350" i="46"/>
  <c r="BK241" i="46"/>
  <c r="BM241" i="46"/>
  <c r="BK287" i="46"/>
  <c r="BM287" i="46"/>
  <c r="BK229" i="46"/>
  <c r="BM229" i="46"/>
  <c r="BK550" i="46"/>
  <c r="BM550" i="46"/>
  <c r="BK257" i="46"/>
  <c r="BM257" i="46"/>
  <c r="BK214" i="46"/>
  <c r="BM214" i="46"/>
  <c r="BK258" i="46"/>
  <c r="BM258" i="46"/>
  <c r="BK226" i="46"/>
  <c r="BM226" i="46"/>
  <c r="BK263" i="46"/>
  <c r="BM263" i="46"/>
  <c r="BK254" i="46"/>
  <c r="BM254" i="46"/>
  <c r="BK210" i="46"/>
  <c r="BM210" i="46"/>
  <c r="BK273" i="46"/>
  <c r="BM273" i="46"/>
  <c r="BK336" i="46"/>
  <c r="BM336" i="46"/>
  <c r="BK352" i="46"/>
  <c r="BM352" i="46"/>
  <c r="BK176" i="46"/>
  <c r="BM176" i="46"/>
  <c r="BK224" i="46"/>
  <c r="BM224" i="46"/>
  <c r="BK297" i="46"/>
  <c r="BM297" i="46"/>
  <c r="BK288" i="46"/>
  <c r="BM288" i="46"/>
  <c r="BK178" i="46"/>
  <c r="BM178" i="46"/>
  <c r="BK243" i="46"/>
  <c r="BM243" i="46"/>
  <c r="BK195" i="46"/>
  <c r="BM195" i="46"/>
  <c r="BK326" i="46"/>
  <c r="BM326" i="46"/>
  <c r="BK268" i="46"/>
  <c r="BM268" i="46"/>
  <c r="BK208" i="46"/>
  <c r="BM208" i="46"/>
  <c r="BK306" i="46"/>
  <c r="BM306" i="46"/>
  <c r="BK291" i="46"/>
  <c r="BM291" i="46"/>
  <c r="BK177" i="46"/>
  <c r="BM177" i="46"/>
  <c r="BK239" i="46"/>
  <c r="BM239" i="46"/>
  <c r="BK234" i="46"/>
  <c r="BM234" i="46"/>
  <c r="BK345" i="46"/>
  <c r="BM345" i="46"/>
  <c r="BK282" i="46"/>
  <c r="BM282" i="46"/>
  <c r="BK181" i="46"/>
  <c r="BM181" i="46"/>
  <c r="BK281" i="46"/>
  <c r="BM281" i="46"/>
  <c r="BK213" i="46"/>
  <c r="BM213" i="46"/>
  <c r="BK286" i="46"/>
  <c r="BM286" i="46"/>
  <c r="BK219" i="46"/>
  <c r="BM219" i="46"/>
  <c r="BK303" i="46"/>
  <c r="BM303" i="46"/>
  <c r="BK185" i="46"/>
  <c r="BM185" i="46"/>
  <c r="BK197" i="46"/>
  <c r="BM197" i="46"/>
  <c r="BK192" i="46"/>
  <c r="BM192" i="46"/>
  <c r="BK375" i="46"/>
  <c r="BM375" i="46"/>
  <c r="BK378" i="46"/>
  <c r="BM378" i="46"/>
  <c r="BK408" i="46"/>
  <c r="BM408" i="46"/>
  <c r="BK433" i="46"/>
  <c r="BM433" i="46"/>
  <c r="BK435" i="46"/>
  <c r="BM435" i="46"/>
  <c r="BK448" i="46"/>
  <c r="BM448" i="46"/>
  <c r="BK443" i="46"/>
  <c r="BM443" i="46"/>
  <c r="BK423" i="46"/>
  <c r="BM423" i="46"/>
  <c r="BK429" i="46"/>
  <c r="BM429" i="46"/>
  <c r="BK437" i="46"/>
  <c r="BM437" i="46"/>
  <c r="BK427" i="46"/>
  <c r="BM427" i="46"/>
  <c r="BK444" i="46"/>
  <c r="BM444" i="46"/>
  <c r="BK471" i="46"/>
  <c r="BM471" i="46"/>
  <c r="BK475" i="46"/>
  <c r="BM475" i="46"/>
  <c r="BK469" i="46"/>
  <c r="BM469" i="46"/>
  <c r="BK483" i="46"/>
  <c r="BM483" i="46"/>
  <c r="BK480" i="46"/>
  <c r="BM480" i="46"/>
  <c r="BK479" i="46"/>
  <c r="BM479" i="46"/>
  <c r="BK481" i="46"/>
  <c r="BM481" i="46"/>
  <c r="BK473" i="46"/>
  <c r="BM473" i="46"/>
  <c r="BK482" i="46"/>
  <c r="BM482" i="46"/>
  <c r="BK485" i="46"/>
  <c r="BM485" i="46"/>
  <c r="BK474" i="46"/>
  <c r="BM474" i="46"/>
  <c r="BK476" i="46"/>
  <c r="BM476" i="46"/>
  <c r="BK477" i="46"/>
  <c r="BM477" i="46"/>
  <c r="BK472" i="46"/>
  <c r="BM472" i="46"/>
  <c r="BK468" i="46"/>
  <c r="BM468" i="46"/>
  <c r="BK478" i="46"/>
  <c r="BM478" i="46"/>
  <c r="BK470" i="46"/>
  <c r="BM470" i="46"/>
  <c r="BK488" i="46"/>
  <c r="BM488" i="46"/>
  <c r="BK489" i="46"/>
  <c r="BM489" i="46"/>
  <c r="BK495" i="46"/>
  <c r="BM495" i="46"/>
  <c r="BK507" i="46"/>
  <c r="BM507" i="46"/>
  <c r="BK506" i="46"/>
  <c r="BM506" i="46"/>
  <c r="BK504" i="46"/>
  <c r="BM504" i="46"/>
  <c r="BK503" i="46"/>
  <c r="BM503" i="46"/>
  <c r="BK505" i="46"/>
  <c r="BM505" i="46"/>
  <c r="BK510" i="46"/>
  <c r="BM510" i="46"/>
  <c r="BK536" i="46"/>
  <c r="BM536" i="46"/>
  <c r="BK522" i="46"/>
  <c r="BM522" i="46"/>
  <c r="BK520" i="46"/>
  <c r="BM520" i="46"/>
  <c r="BK527" i="46"/>
  <c r="BM527" i="46"/>
  <c r="BK553" i="46"/>
  <c r="BM553" i="46"/>
  <c r="BK541" i="46"/>
  <c r="BM541" i="46"/>
  <c r="BK549" i="46"/>
  <c r="BM549" i="46"/>
  <c r="BK544" i="46"/>
  <c r="BM544" i="46"/>
  <c r="BK552" i="46"/>
  <c r="BM552" i="46"/>
  <c r="BK539" i="46"/>
  <c r="BM539" i="46"/>
  <c r="BK572" i="46"/>
  <c r="BM572" i="46"/>
  <c r="BK43" i="46"/>
  <c r="BM43" i="46"/>
  <c r="BK397" i="46"/>
  <c r="BM397" i="46"/>
  <c r="BK578" i="46"/>
  <c r="BM578" i="46"/>
  <c r="BK198" i="46"/>
  <c r="BM198" i="46"/>
  <c r="BK44" i="46"/>
  <c r="BM44" i="46"/>
  <c r="BK47" i="46"/>
  <c r="BM47" i="46"/>
  <c r="BK78" i="46"/>
  <c r="BM78" i="46"/>
  <c r="BK76" i="46"/>
  <c r="BM76" i="46"/>
  <c r="BK75" i="46"/>
  <c r="BM75" i="46"/>
  <c r="BK73" i="46"/>
  <c r="BM73" i="46"/>
  <c r="BK71" i="46"/>
  <c r="BM71" i="46"/>
  <c r="BK74" i="46"/>
  <c r="BM74" i="46"/>
  <c r="BK72" i="46"/>
  <c r="BM72" i="46"/>
  <c r="BK80" i="46"/>
  <c r="BM80" i="46"/>
  <c r="BK93" i="46"/>
  <c r="BM93" i="46"/>
  <c r="BK201" i="46"/>
  <c r="BM201" i="46"/>
  <c r="BK296" i="46"/>
  <c r="BM296" i="46"/>
  <c r="BK344" i="46"/>
  <c r="BM344" i="46"/>
  <c r="BK271" i="46"/>
  <c r="BM271" i="46"/>
  <c r="BK200" i="46"/>
  <c r="BM200" i="46"/>
  <c r="BK355" i="46"/>
  <c r="BM355" i="46"/>
  <c r="BK292" i="46"/>
  <c r="BM292" i="46"/>
  <c r="BK190" i="46"/>
  <c r="BM190" i="46"/>
  <c r="BK261" i="46"/>
  <c r="BM261" i="46"/>
  <c r="BK255" i="46"/>
  <c r="BM255" i="46"/>
  <c r="BK264" i="46"/>
  <c r="BM264" i="46"/>
  <c r="BK202" i="46"/>
  <c r="BM202" i="46"/>
  <c r="BK347" i="46"/>
  <c r="BM347" i="46"/>
  <c r="BK323" i="46"/>
  <c r="BM323" i="46"/>
  <c r="BK305" i="46"/>
  <c r="BM305" i="46"/>
  <c r="BK321" i="46"/>
  <c r="BM321" i="46"/>
  <c r="BK209" i="46"/>
  <c r="BM209" i="46"/>
  <c r="BK275" i="46"/>
  <c r="BM275" i="46"/>
  <c r="BK274" i="46"/>
  <c r="BM274" i="46"/>
  <c r="BK193" i="46"/>
  <c r="BM193" i="46"/>
  <c r="BK246" i="46"/>
  <c r="BM246" i="46"/>
  <c r="BK329" i="46"/>
  <c r="BM329" i="46"/>
  <c r="BK236" i="46"/>
  <c r="BM236" i="46"/>
  <c r="BK318" i="46"/>
  <c r="BM318" i="46"/>
  <c r="BK232" i="46"/>
  <c r="BM232" i="46"/>
  <c r="BK231" i="46"/>
  <c r="BM231" i="46"/>
  <c r="BK267" i="46"/>
  <c r="BM267" i="46"/>
  <c r="BK284" i="46"/>
  <c r="BM284" i="46"/>
  <c r="BK217" i="46"/>
  <c r="BM217" i="46"/>
  <c r="BK245" i="46"/>
  <c r="BM245" i="46"/>
  <c r="BK244" i="46"/>
  <c r="BM244" i="46"/>
  <c r="BK301" i="46"/>
  <c r="BM301" i="46"/>
  <c r="BK313" i="46"/>
  <c r="BM313" i="46"/>
  <c r="BK339" i="46"/>
  <c r="BM339" i="46"/>
  <c r="BK324" i="46"/>
  <c r="BM324" i="46"/>
  <c r="BK182" i="46"/>
  <c r="BM182" i="46"/>
  <c r="BK184" i="46"/>
  <c r="BM184" i="46"/>
  <c r="BK188" i="46"/>
  <c r="BM188" i="46"/>
  <c r="BK331" i="46"/>
  <c r="BM331" i="46"/>
  <c r="BK230" i="46"/>
  <c r="BM230" i="46"/>
  <c r="BK302" i="46"/>
  <c r="BM302" i="46"/>
  <c r="BK250" i="46"/>
  <c r="BM250" i="46"/>
  <c r="BK218" i="46"/>
  <c r="BM218" i="46"/>
  <c r="BK365" i="46"/>
  <c r="BM365" i="46"/>
  <c r="BK366" i="46"/>
  <c r="BM366" i="46"/>
  <c r="BK368" i="46"/>
  <c r="BM368" i="46"/>
  <c r="BK372" i="46"/>
  <c r="BM372" i="46"/>
  <c r="BK363" i="46"/>
  <c r="BM363" i="46"/>
  <c r="BK362" i="46"/>
  <c r="BM362" i="46"/>
  <c r="BK361" i="46"/>
  <c r="BM361" i="46"/>
  <c r="BK373" i="46"/>
  <c r="BM373" i="46"/>
  <c r="BK379" i="46"/>
  <c r="BM379" i="46"/>
  <c r="BK376" i="46"/>
  <c r="BM376" i="46"/>
  <c r="BK399" i="46"/>
  <c r="BM399" i="46"/>
  <c r="BK454" i="46"/>
  <c r="BM454" i="46"/>
  <c r="BK451" i="46"/>
  <c r="BM451" i="46"/>
  <c r="BK436" i="46"/>
  <c r="BM436" i="46"/>
  <c r="BK445" i="46"/>
  <c r="BM445" i="46"/>
  <c r="BK459" i="46"/>
  <c r="BM459" i="46"/>
  <c r="BK461" i="46"/>
  <c r="BM461" i="46"/>
  <c r="BK439" i="46"/>
  <c r="BM439" i="46"/>
  <c r="BK440" i="46"/>
  <c r="BM440" i="46"/>
  <c r="BK438" i="46"/>
  <c r="BM438" i="46"/>
  <c r="BK449" i="46"/>
  <c r="BM449" i="46"/>
  <c r="BK486" i="46"/>
  <c r="BM486" i="46"/>
  <c r="BK496" i="46"/>
  <c r="BM496" i="46"/>
  <c r="BK508" i="46"/>
  <c r="BM508" i="46"/>
  <c r="BK546" i="46"/>
  <c r="BM546" i="46"/>
  <c r="BK543" i="46"/>
  <c r="BM543" i="46"/>
  <c r="BK538" i="46"/>
  <c r="BM538" i="46"/>
  <c r="BK547" i="46"/>
  <c r="BM547" i="46"/>
  <c r="BK567" i="46"/>
  <c r="BM567" i="46"/>
  <c r="BK571" i="46"/>
  <c r="BM571" i="46"/>
  <c r="BK111" i="46"/>
  <c r="BM111" i="46"/>
  <c r="BK113" i="46"/>
  <c r="BM113" i="46"/>
  <c r="BK604" i="46"/>
  <c r="BM604" i="46"/>
  <c r="BK603" i="46"/>
  <c r="BM603" i="46"/>
  <c r="BK602" i="46"/>
  <c r="BM602" i="46"/>
  <c r="BK601" i="46"/>
  <c r="BM601" i="46"/>
  <c r="BK600" i="46"/>
  <c r="BM600" i="46"/>
  <c r="BK599" i="46"/>
  <c r="BM599" i="46"/>
  <c r="BK598" i="46"/>
  <c r="BM598" i="46"/>
  <c r="BK597" i="46"/>
  <c r="BM597" i="46"/>
  <c r="BK596" i="46"/>
  <c r="BM596" i="46"/>
  <c r="BK595" i="46"/>
  <c r="BM595" i="46"/>
  <c r="BK594" i="46"/>
  <c r="BM594" i="46"/>
  <c r="BK591" i="46"/>
  <c r="BM591" i="46"/>
  <c r="BK175" i="46"/>
  <c r="BM175" i="46"/>
  <c r="AA83" i="46"/>
  <c r="AE71" i="46"/>
  <c r="AC524" i="46"/>
  <c r="AG524" i="46"/>
  <c r="AC523" i="46"/>
  <c r="AG523" i="46"/>
  <c r="AC531" i="46"/>
  <c r="AG531" i="46"/>
  <c r="AC537" i="46"/>
  <c r="AG537" i="46"/>
  <c r="AC534" i="46"/>
  <c r="AG534" i="46"/>
  <c r="AC528" i="46"/>
  <c r="AG528" i="46"/>
  <c r="AC529" i="46"/>
  <c r="AG529" i="46"/>
  <c r="AC535" i="46"/>
  <c r="AG535" i="46"/>
  <c r="AC526" i="46"/>
  <c r="AG526" i="46"/>
  <c r="AC520" i="46"/>
  <c r="AG520" i="46"/>
  <c r="AC530" i="46"/>
  <c r="AG530" i="46"/>
  <c r="AC536" i="46"/>
  <c r="AG536" i="46"/>
  <c r="AC525" i="46"/>
  <c r="AG525" i="46"/>
  <c r="AC527" i="46"/>
  <c r="AG527" i="46"/>
  <c r="AC516" i="46"/>
  <c r="AC533" i="46"/>
  <c r="AG533" i="46"/>
  <c r="AC521" i="46"/>
  <c r="AG521" i="46"/>
  <c r="AC522" i="46"/>
  <c r="AG522" i="46"/>
  <c r="AC532" i="46"/>
  <c r="AG532" i="46"/>
  <c r="CV96" i="49"/>
  <c r="CT36" i="49"/>
  <c r="CU28" i="49"/>
  <c r="CT28" i="49"/>
  <c r="AA97" i="46"/>
  <c r="AE86" i="46"/>
  <c r="CT25" i="49"/>
  <c r="CT445" i="49"/>
  <c r="CT35" i="49"/>
  <c r="BB34" i="49"/>
  <c r="CV70" i="49"/>
  <c r="AC500" i="46"/>
  <c r="AG468" i="46"/>
  <c r="AA500" i="46"/>
  <c r="AE468" i="46"/>
  <c r="P493" i="49"/>
  <c r="AL111" i="46"/>
  <c r="AC97" i="46"/>
  <c r="AG86" i="46"/>
  <c r="CT456" i="49"/>
  <c r="CT22" i="49"/>
  <c r="CS47" i="49"/>
  <c r="CV47" i="49"/>
  <c r="T47" i="49"/>
  <c r="AC513" i="46"/>
  <c r="AG503" i="46"/>
  <c r="AB491" i="49"/>
  <c r="AD491" i="49"/>
  <c r="T491" i="49"/>
  <c r="P73" i="49"/>
  <c r="AL103" i="46"/>
  <c r="Z68" i="46"/>
  <c r="AD53" i="46"/>
  <c r="CT442" i="49"/>
  <c r="BY28" i="49"/>
  <c r="AB83" i="46"/>
  <c r="AF71" i="46"/>
  <c r="AC358" i="46"/>
  <c r="AG120" i="46"/>
  <c r="CV93" i="49"/>
  <c r="BY72" i="49"/>
  <c r="CT446" i="49"/>
  <c r="CT32" i="49"/>
  <c r="CV455" i="49"/>
  <c r="BB17" i="49"/>
  <c r="AB575" i="46"/>
  <c r="AF560" i="46"/>
  <c r="CT460" i="49"/>
  <c r="CT447" i="49"/>
  <c r="AA358" i="46"/>
  <c r="AE120" i="46"/>
  <c r="CT20" i="49"/>
  <c r="BB439" i="49"/>
  <c r="BB491" i="49"/>
  <c r="Z500" i="46"/>
  <c r="AD468" i="46"/>
  <c r="CT444" i="49"/>
  <c r="Z26" i="46"/>
  <c r="AD26" i="46"/>
  <c r="Z22" i="46"/>
  <c r="Z38" i="46"/>
  <c r="AD38" i="46"/>
  <c r="Z34" i="46"/>
  <c r="AD34" i="46"/>
  <c r="Z29" i="46"/>
  <c r="AD29" i="46"/>
  <c r="Z37" i="46"/>
  <c r="AD37" i="46"/>
  <c r="Z28" i="46"/>
  <c r="AD28" i="46"/>
  <c r="Z23" i="46"/>
  <c r="AD23" i="46"/>
  <c r="Z40" i="46"/>
  <c r="AD40" i="46"/>
  <c r="Z41" i="46"/>
  <c r="AD41" i="46"/>
  <c r="Z32" i="46"/>
  <c r="AD32" i="46"/>
  <c r="Z36" i="46"/>
  <c r="AD36" i="46"/>
  <c r="Z39" i="46"/>
  <c r="AD39" i="46"/>
  <c r="Z31" i="46"/>
  <c r="AD31" i="46"/>
  <c r="Z30" i="46"/>
  <c r="AD30" i="46"/>
  <c r="Z35" i="46"/>
  <c r="AD35" i="46"/>
  <c r="Z24" i="46"/>
  <c r="AD24" i="46"/>
  <c r="Z33" i="46"/>
  <c r="AD33" i="46"/>
  <c r="Z27" i="46"/>
  <c r="AD27" i="46"/>
  <c r="P489" i="49"/>
  <c r="AL114" i="46"/>
  <c r="AC83" i="46"/>
  <c r="AG71" i="46"/>
  <c r="AB403" i="46"/>
  <c r="AF386" i="46"/>
  <c r="Z403" i="46"/>
  <c r="AD386" i="46"/>
  <c r="AC575" i="46"/>
  <c r="AG560" i="46"/>
  <c r="Z513" i="46"/>
  <c r="AD503" i="46"/>
  <c r="AG20" i="46"/>
  <c r="CT459" i="49"/>
  <c r="CT27" i="49"/>
  <c r="CT448" i="49"/>
  <c r="CV454" i="49"/>
  <c r="AD19" i="46"/>
  <c r="CT439" i="49"/>
  <c r="P74" i="49"/>
  <c r="AL102" i="46"/>
  <c r="CT450" i="49"/>
  <c r="CT34" i="49"/>
  <c r="AB97" i="46"/>
  <c r="AF86" i="46"/>
  <c r="CV321" i="49"/>
  <c r="CT451" i="49"/>
  <c r="CT19" i="49"/>
  <c r="CT23" i="49"/>
  <c r="AB34" i="46"/>
  <c r="AF34" i="46"/>
  <c r="AB29" i="46"/>
  <c r="AF29" i="46"/>
  <c r="AB36" i="46"/>
  <c r="AF36" i="46"/>
  <c r="AB39" i="46"/>
  <c r="AF39" i="46"/>
  <c r="AB38" i="46"/>
  <c r="AF38" i="46"/>
  <c r="AB22" i="46"/>
  <c r="AB41" i="46"/>
  <c r="AF41" i="46"/>
  <c r="AB32" i="46"/>
  <c r="AF32" i="46"/>
  <c r="AB24" i="46"/>
  <c r="AF24" i="46"/>
  <c r="AB27" i="46"/>
  <c r="AF27" i="46"/>
  <c r="AB37" i="46"/>
  <c r="AF37" i="46"/>
  <c r="AB23" i="46"/>
  <c r="AF23" i="46"/>
  <c r="AB31" i="46"/>
  <c r="AF31" i="46"/>
  <c r="AB28" i="46"/>
  <c r="AF28" i="46"/>
  <c r="AB26" i="46"/>
  <c r="AF26" i="46"/>
  <c r="AB30" i="46"/>
  <c r="AF30" i="46"/>
  <c r="AB33" i="46"/>
  <c r="AF33" i="46"/>
  <c r="AB40" i="46"/>
  <c r="AF40" i="46"/>
  <c r="AB35" i="46"/>
  <c r="AF35" i="46"/>
  <c r="CT440" i="49"/>
  <c r="AA513" i="46"/>
  <c r="AE503" i="46"/>
  <c r="CV319" i="49"/>
  <c r="AA403" i="46"/>
  <c r="AE386" i="46"/>
  <c r="AB68" i="46"/>
  <c r="AF53" i="46"/>
  <c r="AE68" i="46"/>
  <c r="AE69" i="46"/>
  <c r="AI53" i="46"/>
  <c r="AA575" i="46"/>
  <c r="AE560" i="46"/>
  <c r="CT26" i="49"/>
  <c r="CT453" i="49"/>
  <c r="CT18" i="49"/>
  <c r="Z83" i="46"/>
  <c r="AD71" i="46"/>
  <c r="CT33" i="49"/>
  <c r="AB465" i="46"/>
  <c r="AF407" i="46"/>
  <c r="CV363" i="49"/>
  <c r="CT31" i="49"/>
  <c r="Z575" i="46"/>
  <c r="AD560" i="46"/>
  <c r="CT457" i="49"/>
  <c r="CV449" i="49"/>
  <c r="AK366" i="46"/>
  <c r="S315" i="49"/>
  <c r="CS315" i="49"/>
  <c r="CU315" i="49"/>
  <c r="Z97" i="46"/>
  <c r="AD86" i="46"/>
  <c r="P490" i="49"/>
  <c r="AL112" i="46"/>
  <c r="AC465" i="46"/>
  <c r="AG407" i="46"/>
  <c r="BB72" i="49"/>
  <c r="CS361" i="49"/>
  <c r="CV361" i="49"/>
  <c r="T361" i="49"/>
  <c r="AD20" i="46"/>
  <c r="AH6" i="46"/>
  <c r="AA531" i="46"/>
  <c r="AE531" i="46"/>
  <c r="AA529" i="46"/>
  <c r="AE529" i="46"/>
  <c r="AA527" i="46"/>
  <c r="AE527" i="46"/>
  <c r="AA522" i="46"/>
  <c r="AE522" i="46"/>
  <c r="AA535" i="46"/>
  <c r="AE535" i="46"/>
  <c r="AA532" i="46"/>
  <c r="AE532" i="46"/>
  <c r="AA524" i="46"/>
  <c r="AE524" i="46"/>
  <c r="AA526" i="46"/>
  <c r="AA534" i="46"/>
  <c r="AA521" i="46"/>
  <c r="AE521" i="46"/>
  <c r="AA516" i="46"/>
  <c r="AA520" i="46"/>
  <c r="AE520" i="46"/>
  <c r="AA523" i="46"/>
  <c r="AE523" i="46"/>
  <c r="AA525" i="46"/>
  <c r="AE525" i="46"/>
  <c r="AA530" i="46"/>
  <c r="AE530" i="46"/>
  <c r="AA533" i="46"/>
  <c r="AE533" i="46"/>
  <c r="AA537" i="46"/>
  <c r="AE537" i="46"/>
  <c r="AA528" i="46"/>
  <c r="AE528" i="46"/>
  <c r="AA536" i="46"/>
  <c r="AE19" i="46"/>
  <c r="AE20" i="46"/>
  <c r="AH117" i="46"/>
  <c r="AC26" i="46"/>
  <c r="AG26" i="46"/>
  <c r="AC30" i="46"/>
  <c r="AG30" i="46"/>
  <c r="AC22" i="46"/>
  <c r="AC34" i="46"/>
  <c r="AG34" i="46"/>
  <c r="AC38" i="46"/>
  <c r="AG38" i="46"/>
  <c r="AC28" i="46"/>
  <c r="AG28" i="46"/>
  <c r="AC41" i="46"/>
  <c r="AG41" i="46"/>
  <c r="AC33" i="46"/>
  <c r="AG33" i="46"/>
  <c r="AC27" i="46"/>
  <c r="AG27" i="46"/>
  <c r="AC36" i="46"/>
  <c r="AG36" i="46"/>
  <c r="AC40" i="46"/>
  <c r="AG40" i="46"/>
  <c r="AC24" i="46"/>
  <c r="AG24" i="46"/>
  <c r="AC23" i="46"/>
  <c r="AG23" i="46"/>
  <c r="AC29" i="46"/>
  <c r="AG29" i="46"/>
  <c r="AC39" i="46"/>
  <c r="AG39" i="46"/>
  <c r="AC31" i="46"/>
  <c r="AG31" i="46"/>
  <c r="AC37" i="46"/>
  <c r="AG37" i="46"/>
  <c r="AC35" i="46"/>
  <c r="AG35" i="46"/>
  <c r="AC32" i="46"/>
  <c r="AG32" i="46"/>
  <c r="Z529" i="46"/>
  <c r="AD529" i="46"/>
  <c r="Z532" i="46"/>
  <c r="AD532" i="46"/>
  <c r="Z516" i="46"/>
  <c r="Z521" i="46"/>
  <c r="AD521" i="46"/>
  <c r="Z527" i="46"/>
  <c r="AD527" i="46"/>
  <c r="Z533" i="46"/>
  <c r="AD533" i="46"/>
  <c r="Z523" i="46"/>
  <c r="AD523" i="46"/>
  <c r="Z522" i="46"/>
  <c r="AD522" i="46"/>
  <c r="Z528" i="46"/>
  <c r="AD528" i="46"/>
  <c r="Z526" i="46"/>
  <c r="AD526" i="46"/>
  <c r="Z524" i="46"/>
  <c r="AD524" i="46"/>
  <c r="Z531" i="46"/>
  <c r="AD531" i="46"/>
  <c r="Z530" i="46"/>
  <c r="AD530" i="46"/>
  <c r="Z537" i="46"/>
  <c r="AD537" i="46"/>
  <c r="Z534" i="46"/>
  <c r="AD534" i="46"/>
  <c r="Z525" i="46"/>
  <c r="AD525" i="46"/>
  <c r="Z535" i="46"/>
  <c r="AD535" i="46"/>
  <c r="Z520" i="46"/>
  <c r="AD520" i="46"/>
  <c r="Z536" i="46"/>
  <c r="AD536" i="46"/>
  <c r="AB526" i="46"/>
  <c r="AF526" i="46"/>
  <c r="AB529" i="46"/>
  <c r="AF529" i="46"/>
  <c r="AB528" i="46"/>
  <c r="AF528" i="46"/>
  <c r="AB530" i="46"/>
  <c r="AF530" i="46"/>
  <c r="AB535" i="46"/>
  <c r="AF535" i="46"/>
  <c r="AB532" i="46"/>
  <c r="AF532" i="46"/>
  <c r="AB516" i="46"/>
  <c r="AB520" i="46"/>
  <c r="AF520" i="46"/>
  <c r="AB521" i="46"/>
  <c r="AF521" i="46"/>
  <c r="AB525" i="46"/>
  <c r="AF525" i="46"/>
  <c r="AB527" i="46"/>
  <c r="AF527" i="46"/>
  <c r="AB533" i="46"/>
  <c r="AF533" i="46"/>
  <c r="AB522" i="46"/>
  <c r="AF522" i="46"/>
  <c r="AB536" i="46"/>
  <c r="AF536" i="46"/>
  <c r="AB537" i="46"/>
  <c r="AF537" i="46"/>
  <c r="AB524" i="46"/>
  <c r="AF524" i="46"/>
  <c r="AB523" i="46"/>
  <c r="AF523" i="46"/>
  <c r="AB534" i="46"/>
  <c r="AF534" i="46"/>
  <c r="AB531" i="46"/>
  <c r="AF531" i="46"/>
  <c r="AF19" i="46"/>
  <c r="CT21" i="49"/>
  <c r="Z358" i="46"/>
  <c r="AD120" i="46"/>
  <c r="CT443" i="49"/>
  <c r="CT458" i="49"/>
  <c r="AA465" i="46"/>
  <c r="AE407" i="46"/>
  <c r="Z465" i="46"/>
  <c r="AD407" i="46"/>
  <c r="AB500" i="46"/>
  <c r="AF468" i="46"/>
  <c r="AA38" i="46"/>
  <c r="AE38" i="46"/>
  <c r="AA22" i="46"/>
  <c r="AA26" i="46"/>
  <c r="AE26" i="46"/>
  <c r="AA37" i="46"/>
  <c r="AE37" i="46"/>
  <c r="AA35" i="46"/>
  <c r="AE35" i="46"/>
  <c r="AA27" i="46"/>
  <c r="AE27" i="46"/>
  <c r="AA36" i="46"/>
  <c r="AE36" i="46"/>
  <c r="AA34" i="46"/>
  <c r="AA30" i="46"/>
  <c r="AE30" i="46"/>
  <c r="AA40" i="46"/>
  <c r="AE40" i="46"/>
  <c r="AA24" i="46"/>
  <c r="AE24" i="46"/>
  <c r="AA41" i="46"/>
  <c r="AE41" i="46"/>
  <c r="AA33" i="46"/>
  <c r="AE33" i="46"/>
  <c r="AA42" i="46"/>
  <c r="AA39" i="46"/>
  <c r="AE39" i="46"/>
  <c r="AA31" i="46"/>
  <c r="AE31" i="46"/>
  <c r="AA23" i="46"/>
  <c r="AE23" i="46"/>
  <c r="AA29" i="46"/>
  <c r="AA32" i="46"/>
  <c r="AE32" i="46"/>
  <c r="AA28" i="46"/>
  <c r="AE28" i="46"/>
  <c r="BB441" i="49"/>
  <c r="AB513" i="46"/>
  <c r="AF503" i="46"/>
  <c r="CV72" i="49"/>
  <c r="CT17" i="49"/>
  <c r="AC403" i="46"/>
  <c r="AG386" i="46"/>
  <c r="AB358" i="46"/>
  <c r="AF120" i="46"/>
  <c r="AC68" i="46"/>
  <c r="AG53" i="46"/>
  <c r="P494" i="49"/>
  <c r="AL113" i="46"/>
  <c r="AL117" i="46"/>
  <c r="CT37" i="49"/>
  <c r="BB28" i="49"/>
  <c r="S320" i="49"/>
  <c r="AL361" i="46"/>
  <c r="CT30" i="49"/>
  <c r="CT441" i="49"/>
  <c r="CT24" i="49"/>
  <c r="P72" i="49"/>
  <c r="AL100" i="46"/>
  <c r="AH106" i="46"/>
  <c r="AK364" i="46"/>
  <c r="S322" i="49"/>
  <c r="CS322" i="49"/>
  <c r="CU322" i="49"/>
  <c r="CV322" i="49"/>
  <c r="AK363" i="46"/>
  <c r="S318" i="49"/>
  <c r="CS318" i="49"/>
  <c r="CU318" i="49"/>
  <c r="AI372" i="46"/>
  <c r="Q317" i="49"/>
  <c r="AY317" i="49"/>
  <c r="BA317" i="49"/>
  <c r="BB317" i="49"/>
  <c r="AL106" i="46"/>
  <c r="CT500" i="49"/>
  <c r="CV315" i="49"/>
  <c r="P16" i="49"/>
  <c r="Q48" i="49"/>
  <c r="AY48" i="49"/>
  <c r="BA48" i="49"/>
  <c r="CV318" i="49"/>
  <c r="AB72" i="49"/>
  <c r="AD72" i="49"/>
  <c r="T72" i="49"/>
  <c r="AB494" i="49"/>
  <c r="AD494" i="49"/>
  <c r="T494" i="49"/>
  <c r="AG403" i="46"/>
  <c r="AG404" i="46"/>
  <c r="AI17" i="46"/>
  <c r="AI14" i="46"/>
  <c r="Q7" i="49"/>
  <c r="AY7" i="49"/>
  <c r="BA7" i="49"/>
  <c r="AI10" i="46"/>
  <c r="Q9" i="49"/>
  <c r="AY9" i="49"/>
  <c r="BA9" i="49"/>
  <c r="AI13" i="46"/>
  <c r="Q12" i="49"/>
  <c r="AY12" i="49"/>
  <c r="BA12" i="49"/>
  <c r="AI9" i="46"/>
  <c r="Q6" i="49"/>
  <c r="AI15" i="46"/>
  <c r="Q11" i="49"/>
  <c r="AY11" i="49"/>
  <c r="BA11" i="49"/>
  <c r="AI11" i="46"/>
  <c r="Q8" i="49"/>
  <c r="AY8" i="49"/>
  <c r="BA8" i="49"/>
  <c r="AI16" i="46"/>
  <c r="Q14" i="49"/>
  <c r="AY14" i="49"/>
  <c r="BA14" i="49"/>
  <c r="AI7" i="46"/>
  <c r="Q15" i="49"/>
  <c r="AY15" i="49"/>
  <c r="BA15" i="49"/>
  <c r="AI8" i="46"/>
  <c r="Q13" i="49"/>
  <c r="AY13" i="49"/>
  <c r="BA13" i="49"/>
  <c r="AI12" i="46"/>
  <c r="Q10" i="49"/>
  <c r="AY10" i="49"/>
  <c r="BA10" i="49"/>
  <c r="AF358" i="46"/>
  <c r="AF359" i="46"/>
  <c r="AF513" i="46"/>
  <c r="AF500" i="46"/>
  <c r="AI376" i="46"/>
  <c r="Q332" i="49"/>
  <c r="AY332" i="49"/>
  <c r="BA332" i="49"/>
  <c r="AI379" i="46"/>
  <c r="Q327" i="49"/>
  <c r="AY327" i="49"/>
  <c r="BA327" i="49"/>
  <c r="AI375" i="46"/>
  <c r="Q326" i="49"/>
  <c r="AY326" i="49"/>
  <c r="BA326" i="49"/>
  <c r="AI378" i="46"/>
  <c r="Q331" i="49"/>
  <c r="AY331" i="49"/>
  <c r="BA331" i="49"/>
  <c r="AI381" i="46"/>
  <c r="AI380" i="46"/>
  <c r="Q329" i="49"/>
  <c r="AY329" i="49"/>
  <c r="BA329" i="49"/>
  <c r="AI374" i="46"/>
  <c r="Q328" i="49"/>
  <c r="AY328" i="49"/>
  <c r="BA328" i="49"/>
  <c r="AD358" i="46"/>
  <c r="AD359" i="46"/>
  <c r="AD97" i="46"/>
  <c r="AD98" i="46"/>
  <c r="AH86" i="46"/>
  <c r="AK367" i="46"/>
  <c r="S324" i="49"/>
  <c r="CS324" i="49"/>
  <c r="CU324" i="49"/>
  <c r="AI365" i="46"/>
  <c r="Q314" i="49"/>
  <c r="AY314" i="49"/>
  <c r="BA314" i="49"/>
  <c r="AB74" i="49"/>
  <c r="AD74" i="49"/>
  <c r="T74" i="49"/>
  <c r="AK17" i="46"/>
  <c r="AK15" i="46"/>
  <c r="S11" i="49"/>
  <c r="CS11" i="49"/>
  <c r="CU11" i="49"/>
  <c r="AK9" i="46"/>
  <c r="S6" i="49"/>
  <c r="CS6" i="49"/>
  <c r="CU6" i="49"/>
  <c r="AK6" i="46"/>
  <c r="AK16" i="46"/>
  <c r="S14" i="49"/>
  <c r="CS14" i="49"/>
  <c r="CU14" i="49"/>
  <c r="AK12" i="46"/>
  <c r="S10" i="49"/>
  <c r="CS10" i="49"/>
  <c r="CU10" i="49"/>
  <c r="AK10" i="46"/>
  <c r="S9" i="49"/>
  <c r="CS9" i="49"/>
  <c r="CU9" i="49"/>
  <c r="AK14" i="46"/>
  <c r="S7" i="49"/>
  <c r="CS7" i="49"/>
  <c r="CU7" i="49"/>
  <c r="AK11" i="46"/>
  <c r="S8" i="49"/>
  <c r="CS8" i="49"/>
  <c r="CU8" i="49"/>
  <c r="AK7" i="46"/>
  <c r="S15" i="49"/>
  <c r="CS15" i="49"/>
  <c r="CU15" i="49"/>
  <c r="AK13" i="46"/>
  <c r="S12" i="49"/>
  <c r="CS12" i="49"/>
  <c r="CU12" i="49"/>
  <c r="AK8" i="46"/>
  <c r="S13" i="49"/>
  <c r="CS13" i="49"/>
  <c r="CU13" i="49"/>
  <c r="Z50" i="46"/>
  <c r="AD22" i="46"/>
  <c r="AK369" i="46"/>
  <c r="S325" i="49"/>
  <c r="CS325" i="49"/>
  <c r="CU325" i="49"/>
  <c r="AI369" i="46"/>
  <c r="Q325" i="49"/>
  <c r="AY325" i="49"/>
  <c r="BA325" i="49"/>
  <c r="AD68" i="46"/>
  <c r="AD69" i="46"/>
  <c r="AH53" i="46"/>
  <c r="AE491" i="49"/>
  <c r="AG97" i="46"/>
  <c r="AG98" i="46"/>
  <c r="AE500" i="46"/>
  <c r="AG500" i="46"/>
  <c r="CV28" i="49"/>
  <c r="AI364" i="46"/>
  <c r="Q322" i="49"/>
  <c r="AY322" i="49"/>
  <c r="BA322" i="49"/>
  <c r="CS320" i="49"/>
  <c r="CV320" i="49"/>
  <c r="T320" i="49"/>
  <c r="AF514" i="46"/>
  <c r="AF501" i="46"/>
  <c r="AJ468" i="46"/>
  <c r="AE465" i="46"/>
  <c r="AE466" i="46"/>
  <c r="AA557" i="46"/>
  <c r="AE516" i="46"/>
  <c r="AG465" i="46"/>
  <c r="AG466" i="46"/>
  <c r="AK370" i="46"/>
  <c r="S323" i="49"/>
  <c r="CS323" i="49"/>
  <c r="CU323" i="49"/>
  <c r="AF465" i="46"/>
  <c r="AF466" i="46"/>
  <c r="AD83" i="46"/>
  <c r="AI371" i="46"/>
  <c r="Q313" i="49"/>
  <c r="AY313" i="49"/>
  <c r="BA313" i="49"/>
  <c r="AD513" i="46"/>
  <c r="AG575" i="46"/>
  <c r="AG576" i="46"/>
  <c r="AD403" i="46"/>
  <c r="AF403" i="46"/>
  <c r="AF404" i="46"/>
  <c r="AK372" i="46"/>
  <c r="S317" i="49"/>
  <c r="CS317" i="49"/>
  <c r="CU317" i="49"/>
  <c r="AF575" i="46"/>
  <c r="AF576" i="46"/>
  <c r="AI370" i="46"/>
  <c r="Q323" i="49"/>
  <c r="AY323" i="49"/>
  <c r="BA323" i="49"/>
  <c r="AF83" i="46"/>
  <c r="AF84" i="46"/>
  <c r="AJ71" i="46"/>
  <c r="AB493" i="49"/>
  <c r="AD493" i="49"/>
  <c r="T493" i="49"/>
  <c r="AE501" i="46"/>
  <c r="AI468" i="46"/>
  <c r="AG501" i="46"/>
  <c r="AE97" i="46"/>
  <c r="AE98" i="46"/>
  <c r="AI86" i="46"/>
  <c r="AI367" i="46"/>
  <c r="Q324" i="49"/>
  <c r="AY324" i="49"/>
  <c r="BA324" i="49"/>
  <c r="AG68" i="46"/>
  <c r="AG69" i="46"/>
  <c r="AA50" i="46"/>
  <c r="AE22" i="46"/>
  <c r="AD465" i="46"/>
  <c r="AD466" i="46"/>
  <c r="AH407" i="46"/>
  <c r="AC50" i="46"/>
  <c r="AG22" i="46"/>
  <c r="AD84" i="46"/>
  <c r="AE575" i="46"/>
  <c r="AF68" i="46"/>
  <c r="AF69" i="46"/>
  <c r="AJ53" i="46"/>
  <c r="AB50" i="46"/>
  <c r="AF22" i="46"/>
  <c r="AD514" i="46"/>
  <c r="AH503" i="46"/>
  <c r="AD404" i="46"/>
  <c r="AH386" i="46"/>
  <c r="AK371" i="46"/>
  <c r="S313" i="49"/>
  <c r="CS313" i="49"/>
  <c r="CU313" i="49"/>
  <c r="AD500" i="46"/>
  <c r="AD501" i="46"/>
  <c r="AH468" i="46"/>
  <c r="AI366" i="46"/>
  <c r="Q315" i="49"/>
  <c r="AY315" i="49"/>
  <c r="BA315" i="49"/>
  <c r="AG358" i="46"/>
  <c r="AG359" i="46"/>
  <c r="AB73" i="49"/>
  <c r="AD73" i="49"/>
  <c r="T73" i="49"/>
  <c r="AE83" i="46"/>
  <c r="AI66" i="46"/>
  <c r="AI63" i="46"/>
  <c r="Q53" i="49"/>
  <c r="AY53" i="49"/>
  <c r="BA53" i="49"/>
  <c r="AI64" i="46"/>
  <c r="Q49" i="49"/>
  <c r="AY49" i="49"/>
  <c r="BA49" i="49"/>
  <c r="AI65" i="46"/>
  <c r="Q50" i="49"/>
  <c r="AY50" i="49"/>
  <c r="BA50" i="49"/>
  <c r="AI56" i="46"/>
  <c r="Q42" i="49"/>
  <c r="AY42" i="49"/>
  <c r="BA42" i="49"/>
  <c r="AI58" i="46"/>
  <c r="Q46" i="49"/>
  <c r="AY46" i="49"/>
  <c r="BA46" i="49"/>
  <c r="AI55" i="46"/>
  <c r="Q44" i="49"/>
  <c r="AY44" i="49"/>
  <c r="BA44" i="49"/>
  <c r="AI59" i="46"/>
  <c r="Q41" i="49"/>
  <c r="AY41" i="49"/>
  <c r="BA41" i="49"/>
  <c r="AI54" i="46"/>
  <c r="Q43" i="49"/>
  <c r="AY43" i="49"/>
  <c r="BA43" i="49"/>
  <c r="AI57" i="46"/>
  <c r="Q45" i="49"/>
  <c r="AY45" i="49"/>
  <c r="BA45" i="49"/>
  <c r="AB557" i="46"/>
  <c r="AF516" i="46"/>
  <c r="Z557" i="46"/>
  <c r="AD516" i="46"/>
  <c r="AI6" i="46"/>
  <c r="AH17" i="46"/>
  <c r="AH10" i="46"/>
  <c r="AH16" i="46"/>
  <c r="AH13" i="46"/>
  <c r="AH11" i="46"/>
  <c r="AH14" i="46"/>
  <c r="AH8" i="46"/>
  <c r="AH15" i="46"/>
  <c r="AH12" i="46"/>
  <c r="AH7" i="46"/>
  <c r="AH9" i="46"/>
  <c r="AB490" i="49"/>
  <c r="AD490" i="49"/>
  <c r="T490" i="49"/>
  <c r="AK380" i="46"/>
  <c r="S329" i="49"/>
  <c r="CS329" i="49"/>
  <c r="CU329" i="49"/>
  <c r="AK378" i="46"/>
  <c r="S331" i="49"/>
  <c r="CS331" i="49"/>
  <c r="CU331" i="49"/>
  <c r="AK381" i="46"/>
  <c r="AK376" i="46"/>
  <c r="S332" i="49"/>
  <c r="CS332" i="49"/>
  <c r="CU332" i="49"/>
  <c r="AK379" i="46"/>
  <c r="S327" i="49"/>
  <c r="CS327" i="49"/>
  <c r="CU327" i="49"/>
  <c r="AK375" i="46"/>
  <c r="S326" i="49"/>
  <c r="CS326" i="49"/>
  <c r="CU326" i="49"/>
  <c r="AK374" i="46"/>
  <c r="S328" i="49"/>
  <c r="CS328" i="49"/>
  <c r="CU328" i="49"/>
  <c r="AD575" i="46"/>
  <c r="AD576" i="46"/>
  <c r="AE576" i="46"/>
  <c r="AI363" i="46"/>
  <c r="AE403" i="46"/>
  <c r="AE404" i="46"/>
  <c r="AE513" i="46"/>
  <c r="AE514" i="46"/>
  <c r="AF97" i="46"/>
  <c r="AF98" i="46"/>
  <c r="AG83" i="46"/>
  <c r="AG84" i="46"/>
  <c r="AB489" i="49"/>
  <c r="AD489" i="49"/>
  <c r="T489" i="49"/>
  <c r="AK368" i="46"/>
  <c r="S316" i="49"/>
  <c r="CS316" i="49"/>
  <c r="CU316" i="49"/>
  <c r="AE358" i="46"/>
  <c r="AE359" i="46"/>
  <c r="AI129" i="46"/>
  <c r="Q95" i="49"/>
  <c r="AY95" i="49"/>
  <c r="BA95" i="49"/>
  <c r="BB95" i="49"/>
  <c r="AF20" i="46"/>
  <c r="AG513" i="46"/>
  <c r="AG514" i="46"/>
  <c r="AK365" i="46"/>
  <c r="S314" i="49"/>
  <c r="CS314" i="49"/>
  <c r="CU314" i="49"/>
  <c r="AI368" i="46"/>
  <c r="Q316" i="49"/>
  <c r="AY316" i="49"/>
  <c r="BA316" i="49"/>
  <c r="AC557" i="46"/>
  <c r="AG516" i="46"/>
  <c r="AE84" i="46"/>
  <c r="BK582" i="46"/>
  <c r="BM6" i="46"/>
  <c r="BM582" i="46"/>
  <c r="AL377" i="46"/>
  <c r="AJ320" i="46"/>
  <c r="R204" i="49"/>
  <c r="BV204" i="49"/>
  <c r="BX204" i="49"/>
  <c r="BY204" i="49"/>
  <c r="AJ319" i="46"/>
  <c r="R203" i="49"/>
  <c r="BV203" i="49"/>
  <c r="BX203" i="49"/>
  <c r="BY203" i="49"/>
  <c r="AK320" i="46"/>
  <c r="S204" i="49"/>
  <c r="CS204" i="49"/>
  <c r="CU204" i="49"/>
  <c r="CV204" i="49"/>
  <c r="AK319" i="46"/>
  <c r="S203" i="49"/>
  <c r="CS203" i="49"/>
  <c r="CU203" i="49"/>
  <c r="CV203" i="49"/>
  <c r="AH319" i="46"/>
  <c r="P203" i="49"/>
  <c r="AH320" i="46"/>
  <c r="P204" i="49"/>
  <c r="AI319" i="46"/>
  <c r="Q203" i="49"/>
  <c r="AY203" i="49"/>
  <c r="BA203" i="49"/>
  <c r="BB203" i="49"/>
  <c r="AI320" i="46"/>
  <c r="Q204" i="49"/>
  <c r="AY204" i="49"/>
  <c r="BA204" i="49"/>
  <c r="BB204" i="49"/>
  <c r="AK510" i="46"/>
  <c r="S437" i="49"/>
  <c r="CS437" i="49"/>
  <c r="CU437" i="49"/>
  <c r="AK508" i="46"/>
  <c r="S431" i="49"/>
  <c r="CS431" i="49"/>
  <c r="CU431" i="49"/>
  <c r="AK505" i="46"/>
  <c r="S436" i="49"/>
  <c r="CS436" i="49"/>
  <c r="CU436" i="49"/>
  <c r="AK507" i="46"/>
  <c r="S432" i="49"/>
  <c r="CS432" i="49"/>
  <c r="CU432" i="49"/>
  <c r="AK506" i="46"/>
  <c r="S433" i="49"/>
  <c r="CS433" i="49"/>
  <c r="CU433" i="49"/>
  <c r="AK504" i="46"/>
  <c r="S434" i="49"/>
  <c r="CS434" i="49"/>
  <c r="CU434" i="49"/>
  <c r="AK503" i="46"/>
  <c r="AI510" i="46"/>
  <c r="Q437" i="49"/>
  <c r="AY437" i="49"/>
  <c r="BA437" i="49"/>
  <c r="AI507" i="46"/>
  <c r="Q432" i="49"/>
  <c r="AY432" i="49"/>
  <c r="BA432" i="49"/>
  <c r="AI508" i="46"/>
  <c r="Q431" i="49"/>
  <c r="AY431" i="49"/>
  <c r="BA431" i="49"/>
  <c r="AI506" i="46"/>
  <c r="Q433" i="49"/>
  <c r="AY433" i="49"/>
  <c r="BA433" i="49"/>
  <c r="AI505" i="46"/>
  <c r="Q436" i="49"/>
  <c r="AY436" i="49"/>
  <c r="BA436" i="49"/>
  <c r="AI504" i="46"/>
  <c r="Q434" i="49"/>
  <c r="AY434" i="49"/>
  <c r="BA434" i="49"/>
  <c r="AI503" i="46"/>
  <c r="AH570" i="46"/>
  <c r="AH572" i="46"/>
  <c r="AH573" i="46"/>
  <c r="AH571" i="46"/>
  <c r="AH569" i="46"/>
  <c r="AH567" i="46"/>
  <c r="AH564" i="46"/>
  <c r="AH561" i="46"/>
  <c r="AH562" i="46"/>
  <c r="AH563" i="46"/>
  <c r="AH568" i="46"/>
  <c r="AH566" i="46"/>
  <c r="AH565" i="46"/>
  <c r="AH560" i="46"/>
  <c r="P334" i="49"/>
  <c r="AK65" i="46"/>
  <c r="S50" i="49"/>
  <c r="CS50" i="49"/>
  <c r="CU50" i="49"/>
  <c r="AK63" i="46"/>
  <c r="S53" i="49"/>
  <c r="CS53" i="49"/>
  <c r="CU53" i="49"/>
  <c r="AK64" i="46"/>
  <c r="S49" i="49"/>
  <c r="CS49" i="49"/>
  <c r="CU49" i="49"/>
  <c r="AK66" i="46"/>
  <c r="AK62" i="46"/>
  <c r="S52" i="49"/>
  <c r="CS52" i="49"/>
  <c r="CU52" i="49"/>
  <c r="AK55" i="46"/>
  <c r="S44" i="49"/>
  <c r="CS44" i="49"/>
  <c r="CU44" i="49"/>
  <c r="AK54" i="46"/>
  <c r="S43" i="49"/>
  <c r="CS43" i="49"/>
  <c r="CU43" i="49"/>
  <c r="AK57" i="46"/>
  <c r="S45" i="49"/>
  <c r="CS45" i="49"/>
  <c r="CU45" i="49"/>
  <c r="AK56" i="46"/>
  <c r="S42" i="49"/>
  <c r="CS42" i="49"/>
  <c r="CU42" i="49"/>
  <c r="AK58" i="46"/>
  <c r="S46" i="49"/>
  <c r="CS46" i="49"/>
  <c r="CU46" i="49"/>
  <c r="AK59" i="46"/>
  <c r="S41" i="49"/>
  <c r="CS41" i="49"/>
  <c r="CU41" i="49"/>
  <c r="AK53" i="46"/>
  <c r="AL53" i="46"/>
  <c r="Q419" i="49"/>
  <c r="AY419" i="49"/>
  <c r="BA419" i="49"/>
  <c r="P48" i="49"/>
  <c r="AI237" i="46"/>
  <c r="Q202" i="49"/>
  <c r="AY202" i="49"/>
  <c r="BA202" i="49"/>
  <c r="AI338" i="46"/>
  <c r="Q227" i="49"/>
  <c r="AY227" i="49"/>
  <c r="BA227" i="49"/>
  <c r="AI211" i="46"/>
  <c r="Q346" i="49"/>
  <c r="AY346" i="49"/>
  <c r="BA346" i="49"/>
  <c r="AI203" i="46"/>
  <c r="Q307" i="49"/>
  <c r="AY307" i="49"/>
  <c r="BA307" i="49"/>
  <c r="AI223" i="46"/>
  <c r="Q215" i="49"/>
  <c r="AY215" i="49"/>
  <c r="BA215" i="49"/>
  <c r="AI355" i="46"/>
  <c r="Q161" i="49"/>
  <c r="AY161" i="49"/>
  <c r="BA161" i="49"/>
  <c r="AI201" i="46"/>
  <c r="Q137" i="49"/>
  <c r="AY137" i="49"/>
  <c r="BA137" i="49"/>
  <c r="AI344" i="46"/>
  <c r="Q145" i="49"/>
  <c r="AY145" i="49"/>
  <c r="BA145" i="49"/>
  <c r="AI239" i="46"/>
  <c r="Q270" i="49"/>
  <c r="AY270" i="49"/>
  <c r="BA270" i="49"/>
  <c r="AI232" i="46"/>
  <c r="Q245" i="49"/>
  <c r="AY245" i="49"/>
  <c r="BA245" i="49"/>
  <c r="AI295" i="46"/>
  <c r="Q303" i="49"/>
  <c r="AY303" i="49"/>
  <c r="BA303" i="49"/>
  <c r="AI236" i="46"/>
  <c r="Q235" i="49"/>
  <c r="AY235" i="49"/>
  <c r="BA235" i="49"/>
  <c r="AI290" i="46"/>
  <c r="Q138" i="49"/>
  <c r="AY138" i="49"/>
  <c r="BA138" i="49"/>
  <c r="AI214" i="46"/>
  <c r="Q182" i="49"/>
  <c r="AY182" i="49"/>
  <c r="BA182" i="49"/>
  <c r="AI291" i="46"/>
  <c r="Q260" i="49"/>
  <c r="AY260" i="49"/>
  <c r="BA260" i="49"/>
  <c r="AI210" i="46"/>
  <c r="Q208" i="49"/>
  <c r="AY208" i="49"/>
  <c r="BA208" i="49"/>
  <c r="AI280" i="46"/>
  <c r="Q288" i="49"/>
  <c r="AY288" i="49"/>
  <c r="BA288" i="49"/>
  <c r="AI242" i="46"/>
  <c r="Q133" i="49"/>
  <c r="AY133" i="49"/>
  <c r="BA133" i="49"/>
  <c r="AI228" i="46"/>
  <c r="Q143" i="49"/>
  <c r="AY143" i="49"/>
  <c r="BA143" i="49"/>
  <c r="AI192" i="46"/>
  <c r="Q310" i="49"/>
  <c r="AY310" i="49"/>
  <c r="BA310" i="49"/>
  <c r="AI246" i="46"/>
  <c r="Q223" i="49"/>
  <c r="AY223" i="49"/>
  <c r="BA223" i="49"/>
  <c r="AI332" i="46"/>
  <c r="Q210" i="49"/>
  <c r="AY210" i="49"/>
  <c r="BA210" i="49"/>
  <c r="AI234" i="46"/>
  <c r="Q274" i="49"/>
  <c r="AY274" i="49"/>
  <c r="BA274" i="49"/>
  <c r="AI328" i="46"/>
  <c r="Q233" i="49"/>
  <c r="AY233" i="49"/>
  <c r="BA233" i="49"/>
  <c r="AI285" i="46"/>
  <c r="Q132" i="49"/>
  <c r="AY132" i="49"/>
  <c r="BA132" i="49"/>
  <c r="AI268" i="46"/>
  <c r="Q246" i="49"/>
  <c r="AY246" i="49"/>
  <c r="BA246" i="49"/>
  <c r="AI315" i="46"/>
  <c r="Q294" i="49"/>
  <c r="AY294" i="49"/>
  <c r="BA294" i="49"/>
  <c r="AI322" i="46"/>
  <c r="Q259" i="49"/>
  <c r="AY259" i="49"/>
  <c r="BA259" i="49"/>
  <c r="AI346" i="46"/>
  <c r="Q299" i="49"/>
  <c r="AY299" i="49"/>
  <c r="BA299" i="49"/>
  <c r="AI337" i="46"/>
  <c r="Q309" i="49"/>
  <c r="AY309" i="49"/>
  <c r="BA309" i="49"/>
  <c r="AI286" i="46"/>
  <c r="Q296" i="49"/>
  <c r="AY296" i="49"/>
  <c r="BA296" i="49"/>
  <c r="AI258" i="46"/>
  <c r="Q186" i="49"/>
  <c r="AY186" i="49"/>
  <c r="BA186" i="49"/>
  <c r="AI264" i="46"/>
  <c r="Q187" i="49"/>
  <c r="AY187" i="49"/>
  <c r="BA187" i="49"/>
  <c r="AI243" i="46"/>
  <c r="Q238" i="49"/>
  <c r="AY238" i="49"/>
  <c r="BA238" i="49"/>
  <c r="AI316" i="46"/>
  <c r="Q262" i="49"/>
  <c r="AY262" i="49"/>
  <c r="BA262" i="49"/>
  <c r="AI193" i="46"/>
  <c r="Q219" i="49"/>
  <c r="AY219" i="49"/>
  <c r="BA219" i="49"/>
  <c r="AI308" i="46"/>
  <c r="Q277" i="49"/>
  <c r="AY277" i="49"/>
  <c r="BA277" i="49"/>
  <c r="AI310" i="46"/>
  <c r="Q281" i="49"/>
  <c r="AY281" i="49"/>
  <c r="BA281" i="49"/>
  <c r="AI331" i="46"/>
  <c r="Q293" i="49"/>
  <c r="AY293" i="49"/>
  <c r="BA293" i="49"/>
  <c r="AI260" i="46"/>
  <c r="Q181" i="49"/>
  <c r="AY181" i="49"/>
  <c r="BA181" i="49"/>
  <c r="AI225" i="46"/>
  <c r="Q134" i="49"/>
  <c r="AY134" i="49"/>
  <c r="BA134" i="49"/>
  <c r="AI296" i="46"/>
  <c r="Q141" i="49"/>
  <c r="AY141" i="49"/>
  <c r="BA141" i="49"/>
  <c r="AI230" i="46"/>
  <c r="Q297" i="49"/>
  <c r="AY297" i="49"/>
  <c r="BA297" i="49"/>
  <c r="AI221" i="46"/>
  <c r="Q156" i="49"/>
  <c r="AY156" i="49"/>
  <c r="BA156" i="49"/>
  <c r="AI227" i="46"/>
  <c r="Q144" i="49"/>
  <c r="AY144" i="49"/>
  <c r="BA144" i="49"/>
  <c r="AI226" i="46"/>
  <c r="Q190" i="49"/>
  <c r="AY190" i="49"/>
  <c r="BA190" i="49"/>
  <c r="AI341" i="46"/>
  <c r="Q198" i="49"/>
  <c r="AY198" i="49"/>
  <c r="BA198" i="49"/>
  <c r="AI241" i="46"/>
  <c r="Q164" i="49"/>
  <c r="AY164" i="49"/>
  <c r="BA164" i="49"/>
  <c r="AI270" i="46"/>
  <c r="Q151" i="49"/>
  <c r="AY151" i="49"/>
  <c r="BA151" i="49"/>
  <c r="AI235" i="46"/>
  <c r="Q154" i="49"/>
  <c r="AY154" i="49"/>
  <c r="BA154" i="49"/>
  <c r="AI259" i="46"/>
  <c r="Q184" i="49"/>
  <c r="AY184" i="49"/>
  <c r="BA184" i="49"/>
  <c r="AI187" i="46"/>
  <c r="Q289" i="49"/>
  <c r="AY289" i="49"/>
  <c r="BA289" i="49"/>
  <c r="AI324" i="46"/>
  <c r="Q279" i="49"/>
  <c r="AY279" i="49"/>
  <c r="BA279" i="49"/>
  <c r="AI229" i="46"/>
  <c r="Q170" i="49"/>
  <c r="AY170" i="49"/>
  <c r="BA170" i="49"/>
  <c r="AI325" i="46"/>
  <c r="Q206" i="49"/>
  <c r="AY206" i="49"/>
  <c r="BA206" i="49"/>
  <c r="AI208" i="46"/>
  <c r="Q250" i="49"/>
  <c r="AY250" i="49"/>
  <c r="BA250" i="49"/>
  <c r="AI278" i="46"/>
  <c r="Q312" i="49"/>
  <c r="AY312" i="49"/>
  <c r="BA312" i="49"/>
  <c r="AI352" i="46"/>
  <c r="Q218" i="49"/>
  <c r="AY218" i="49"/>
  <c r="BA218" i="49"/>
  <c r="AI272" i="46"/>
  <c r="Q241" i="49"/>
  <c r="AY241" i="49"/>
  <c r="BA241" i="49"/>
  <c r="AI334" i="46"/>
  <c r="Q147" i="49"/>
  <c r="AY147" i="49"/>
  <c r="BA147" i="49"/>
  <c r="AI287" i="46"/>
  <c r="Q168" i="49"/>
  <c r="AY168" i="49"/>
  <c r="BA168" i="49"/>
  <c r="AI179" i="46"/>
  <c r="Q263" i="49"/>
  <c r="AY263" i="49"/>
  <c r="BA263" i="49"/>
  <c r="AI297" i="46"/>
  <c r="Q228" i="49"/>
  <c r="AY228" i="49"/>
  <c r="BA228" i="49"/>
  <c r="AI356" i="46"/>
  <c r="AI247" i="46"/>
  <c r="Q224" i="49"/>
  <c r="AY224" i="49"/>
  <c r="BA224" i="49"/>
  <c r="AI209" i="46"/>
  <c r="Q209" i="49"/>
  <c r="AY209" i="49"/>
  <c r="BA209" i="49"/>
  <c r="AI205" i="46"/>
  <c r="Q298" i="49"/>
  <c r="AY298" i="49"/>
  <c r="BA298" i="49"/>
  <c r="AI348" i="46"/>
  <c r="Q142" i="49"/>
  <c r="AY142" i="49"/>
  <c r="BA142" i="49"/>
  <c r="AI277" i="46"/>
  <c r="Q214" i="49"/>
  <c r="AY214" i="49"/>
  <c r="BA214" i="49"/>
  <c r="AI345" i="46"/>
  <c r="Q278" i="49"/>
  <c r="AY278" i="49"/>
  <c r="BA278" i="49"/>
  <c r="AI177" i="46"/>
  <c r="Q264" i="49"/>
  <c r="AY264" i="49"/>
  <c r="BA264" i="49"/>
  <c r="AI283" i="46"/>
  <c r="Q211" i="49"/>
  <c r="AY211" i="49"/>
  <c r="BA211" i="49"/>
  <c r="AI207" i="46"/>
  <c r="Q225" i="49"/>
  <c r="AY225" i="49"/>
  <c r="BA225" i="49"/>
  <c r="AI349" i="46"/>
  <c r="Q243" i="49"/>
  <c r="AY243" i="49"/>
  <c r="BA243" i="49"/>
  <c r="AI288" i="46"/>
  <c r="Q232" i="49"/>
  <c r="AY232" i="49"/>
  <c r="BA232" i="49"/>
  <c r="AI216" i="46"/>
  <c r="Q196" i="49"/>
  <c r="AY196" i="49"/>
  <c r="BA196" i="49"/>
  <c r="AI309" i="46"/>
  <c r="Q159" i="49"/>
  <c r="AY159" i="49"/>
  <c r="BA159" i="49"/>
  <c r="AI196" i="46"/>
  <c r="Q172" i="49"/>
  <c r="AY172" i="49"/>
  <c r="BA172" i="49"/>
  <c r="AI218" i="46"/>
  <c r="Q311" i="49"/>
  <c r="AY311" i="49"/>
  <c r="BA311" i="49"/>
  <c r="AI253" i="46"/>
  <c r="Q185" i="49"/>
  <c r="AY185" i="49"/>
  <c r="BA185" i="49"/>
  <c r="AI252" i="46"/>
  <c r="Q163" i="49"/>
  <c r="AY163" i="49"/>
  <c r="BA163" i="49"/>
  <c r="AI305" i="46"/>
  <c r="Q201" i="49"/>
  <c r="AY201" i="49"/>
  <c r="BA201" i="49"/>
  <c r="AI219" i="46"/>
  <c r="Q300" i="49"/>
  <c r="AY300" i="49"/>
  <c r="BA300" i="49"/>
  <c r="AI244" i="46"/>
  <c r="Q265" i="49"/>
  <c r="AY265" i="49"/>
  <c r="BA265" i="49"/>
  <c r="AI222" i="46"/>
  <c r="Q192" i="49"/>
  <c r="AY192" i="49"/>
  <c r="BA192" i="49"/>
  <c r="AI181" i="46"/>
  <c r="Q286" i="49"/>
  <c r="AY286" i="49"/>
  <c r="BA286" i="49"/>
  <c r="AI220" i="46"/>
  <c r="Q173" i="49"/>
  <c r="AY173" i="49"/>
  <c r="BA173" i="49"/>
  <c r="AI215" i="46"/>
  <c r="Q140" i="49"/>
  <c r="AY140" i="49"/>
  <c r="BA140" i="49"/>
  <c r="AI248" i="46"/>
  <c r="Q258" i="49"/>
  <c r="AY258" i="49"/>
  <c r="BA258" i="49"/>
  <c r="AI182" i="46"/>
  <c r="Q283" i="49"/>
  <c r="AY283" i="49"/>
  <c r="BA283" i="49"/>
  <c r="AI312" i="46"/>
  <c r="Q280" i="49"/>
  <c r="AY280" i="49"/>
  <c r="BA280" i="49"/>
  <c r="AI186" i="46"/>
  <c r="Q175" i="49"/>
  <c r="AY175" i="49"/>
  <c r="BA175" i="49"/>
  <c r="AI271" i="46"/>
  <c r="Q149" i="49"/>
  <c r="AY149" i="49"/>
  <c r="BA149" i="49"/>
  <c r="AI189" i="46"/>
  <c r="Q231" i="49"/>
  <c r="AY231" i="49"/>
  <c r="BA231" i="49"/>
  <c r="AI311" i="46"/>
  <c r="Q268" i="49"/>
  <c r="AY268" i="49"/>
  <c r="BA268" i="49"/>
  <c r="AI267" i="46"/>
  <c r="Q251" i="49"/>
  <c r="AY251" i="49"/>
  <c r="BA251" i="49"/>
  <c r="AI184" i="46"/>
  <c r="Q287" i="49"/>
  <c r="AY287" i="49"/>
  <c r="BA287" i="49"/>
  <c r="AI194" i="46"/>
  <c r="Q146" i="49"/>
  <c r="AY146" i="49"/>
  <c r="BA146" i="49"/>
  <c r="AI199" i="46"/>
  <c r="Q193" i="49"/>
  <c r="AY193" i="49"/>
  <c r="BA193" i="49"/>
  <c r="AI254" i="46"/>
  <c r="Q200" i="49"/>
  <c r="AY200" i="49"/>
  <c r="BA200" i="49"/>
  <c r="AI261" i="46"/>
  <c r="Q179" i="49"/>
  <c r="AY179" i="49"/>
  <c r="BA179" i="49"/>
  <c r="AI204" i="46"/>
  <c r="Q306" i="49"/>
  <c r="AY306" i="49"/>
  <c r="BA306" i="49"/>
  <c r="AI257" i="46"/>
  <c r="Q178" i="49"/>
  <c r="AY178" i="49"/>
  <c r="BA178" i="49"/>
  <c r="AI304" i="46"/>
  <c r="Q252" i="49"/>
  <c r="AY252" i="49"/>
  <c r="BA252" i="49"/>
  <c r="AI195" i="46"/>
  <c r="Q242" i="49"/>
  <c r="AY242" i="49"/>
  <c r="BA242" i="49"/>
  <c r="AI279" i="46"/>
  <c r="Q255" i="49"/>
  <c r="AY255" i="49"/>
  <c r="BA255" i="49"/>
  <c r="AI317" i="46"/>
  <c r="Q150" i="49"/>
  <c r="AY150" i="49"/>
  <c r="BA150" i="49"/>
  <c r="AI326" i="46"/>
  <c r="Q244" i="49"/>
  <c r="AY244" i="49"/>
  <c r="BA244" i="49"/>
  <c r="AI281" i="46"/>
  <c r="Q290" i="49"/>
  <c r="AY290" i="49"/>
  <c r="BA290" i="49"/>
  <c r="AI213" i="46"/>
  <c r="Q292" i="49"/>
  <c r="AY292" i="49"/>
  <c r="BA292" i="49"/>
  <c r="AI351" i="46"/>
  <c r="Q157" i="49"/>
  <c r="AY157" i="49"/>
  <c r="BA157" i="49"/>
  <c r="AI342" i="46"/>
  <c r="Q136" i="49"/>
  <c r="AY136" i="49"/>
  <c r="BA136" i="49"/>
  <c r="AI327" i="46"/>
  <c r="Q169" i="49"/>
  <c r="AY169" i="49"/>
  <c r="BA169" i="49"/>
  <c r="AI180" i="46"/>
  <c r="Q295" i="49"/>
  <c r="AY295" i="49"/>
  <c r="BA295" i="49"/>
  <c r="AI339" i="46"/>
  <c r="Q275" i="49"/>
  <c r="AY275" i="49"/>
  <c r="BA275" i="49"/>
  <c r="AI178" i="46"/>
  <c r="Q234" i="49"/>
  <c r="AY234" i="49"/>
  <c r="BA234" i="49"/>
  <c r="AI249" i="46"/>
  <c r="Q237" i="49"/>
  <c r="AY237" i="49"/>
  <c r="BA237" i="49"/>
  <c r="AI318" i="46"/>
  <c r="Q239" i="49"/>
  <c r="AY239" i="49"/>
  <c r="BA239" i="49"/>
  <c r="AI269" i="46"/>
  <c r="Q276" i="49"/>
  <c r="AY276" i="49"/>
  <c r="BA276" i="49"/>
  <c r="AI263" i="46"/>
  <c r="Q194" i="49"/>
  <c r="AY194" i="49"/>
  <c r="BA194" i="49"/>
  <c r="AI300" i="46"/>
  <c r="Q248" i="49"/>
  <c r="AY248" i="49"/>
  <c r="BA248" i="49"/>
  <c r="AI276" i="46"/>
  <c r="Q285" i="49"/>
  <c r="AY285" i="49"/>
  <c r="BA285" i="49"/>
  <c r="AI255" i="46"/>
  <c r="Q183" i="49"/>
  <c r="AY183" i="49"/>
  <c r="BA183" i="49"/>
  <c r="AI333" i="46"/>
  <c r="Q272" i="49"/>
  <c r="AY272" i="49"/>
  <c r="BA272" i="49"/>
  <c r="AI282" i="46"/>
  <c r="Q282" i="49"/>
  <c r="AY282" i="49"/>
  <c r="BA282" i="49"/>
  <c r="AI212" i="46"/>
  <c r="Q269" i="49"/>
  <c r="AY269" i="49"/>
  <c r="BA269" i="49"/>
  <c r="AI307" i="46"/>
  <c r="Q254" i="49"/>
  <c r="AY254" i="49"/>
  <c r="BA254" i="49"/>
  <c r="AI233" i="46"/>
  <c r="Q273" i="49"/>
  <c r="AY273" i="49"/>
  <c r="BA273" i="49"/>
  <c r="AI202" i="46"/>
  <c r="Q191" i="49"/>
  <c r="AY191" i="49"/>
  <c r="BA191" i="49"/>
  <c r="AI306" i="46"/>
  <c r="Q256" i="49"/>
  <c r="AY256" i="49"/>
  <c r="BA256" i="49"/>
  <c r="AI250" i="46"/>
  <c r="Q305" i="49"/>
  <c r="AY305" i="49"/>
  <c r="BA305" i="49"/>
  <c r="AI354" i="46"/>
  <c r="Q158" i="49"/>
  <c r="AY158" i="49"/>
  <c r="BA158" i="49"/>
  <c r="AI353" i="46"/>
  <c r="Q160" i="49"/>
  <c r="AY160" i="49"/>
  <c r="BA160" i="49"/>
  <c r="AI238" i="46"/>
  <c r="Q240" i="49"/>
  <c r="AY240" i="49"/>
  <c r="BA240" i="49"/>
  <c r="AI340" i="46"/>
  <c r="Q139" i="49"/>
  <c r="AY139" i="49"/>
  <c r="BA139" i="49"/>
  <c r="AI275" i="46"/>
  <c r="Q213" i="49"/>
  <c r="AY213" i="49"/>
  <c r="BA213" i="49"/>
  <c r="AI329" i="46"/>
  <c r="Q229" i="49"/>
  <c r="AY229" i="49"/>
  <c r="BA229" i="49"/>
  <c r="AI251" i="46"/>
  <c r="Q135" i="49"/>
  <c r="AY135" i="49"/>
  <c r="BA135" i="49"/>
  <c r="AI185" i="46"/>
  <c r="Q304" i="49"/>
  <c r="AY304" i="49"/>
  <c r="BA304" i="49"/>
  <c r="AI336" i="46"/>
  <c r="Q216" i="49"/>
  <c r="AY216" i="49"/>
  <c r="BA216" i="49"/>
  <c r="AI256" i="46"/>
  <c r="Q177" i="49"/>
  <c r="AY177" i="49"/>
  <c r="BA177" i="49"/>
  <c r="AI298" i="46"/>
  <c r="Q76" i="49"/>
  <c r="AY76" i="49"/>
  <c r="BA76" i="49"/>
  <c r="AI266" i="46"/>
  <c r="Q199" i="49"/>
  <c r="AY199" i="49"/>
  <c r="BA199" i="49"/>
  <c r="AI274" i="46"/>
  <c r="Q217" i="49"/>
  <c r="AY217" i="49"/>
  <c r="BA217" i="49"/>
  <c r="AI314" i="46"/>
  <c r="Q266" i="49"/>
  <c r="AY266" i="49"/>
  <c r="BA266" i="49"/>
  <c r="AI240" i="46"/>
  <c r="Q230" i="49"/>
  <c r="AY230" i="49"/>
  <c r="BA230" i="49"/>
  <c r="AI200" i="46"/>
  <c r="Q155" i="49"/>
  <c r="AY155" i="49"/>
  <c r="BA155" i="49"/>
  <c r="AI183" i="46"/>
  <c r="Q284" i="49"/>
  <c r="AY284" i="49"/>
  <c r="BA284" i="49"/>
  <c r="AI347" i="46"/>
  <c r="Q195" i="49"/>
  <c r="AY195" i="49"/>
  <c r="BA195" i="49"/>
  <c r="AI335" i="46"/>
  <c r="Q221" i="49"/>
  <c r="AY221" i="49"/>
  <c r="BA221" i="49"/>
  <c r="AI302" i="46"/>
  <c r="Q301" i="49"/>
  <c r="AY301" i="49"/>
  <c r="BA301" i="49"/>
  <c r="AI299" i="46"/>
  <c r="Q220" i="49"/>
  <c r="AY220" i="49"/>
  <c r="BA220" i="49"/>
  <c r="AI245" i="46"/>
  <c r="Q261" i="49"/>
  <c r="AY261" i="49"/>
  <c r="BA261" i="49"/>
  <c r="AI273" i="46"/>
  <c r="Q212" i="49"/>
  <c r="AY212" i="49"/>
  <c r="BA212" i="49"/>
  <c r="AI206" i="46"/>
  <c r="Q249" i="49"/>
  <c r="AY249" i="49"/>
  <c r="BA249" i="49"/>
  <c r="AI321" i="46"/>
  <c r="Q205" i="49"/>
  <c r="AY205" i="49"/>
  <c r="BA205" i="49"/>
  <c r="AI343" i="46"/>
  <c r="Q207" i="49"/>
  <c r="AY207" i="49"/>
  <c r="BA207" i="49"/>
  <c r="AI188" i="46"/>
  <c r="Q291" i="49"/>
  <c r="AY291" i="49"/>
  <c r="BA291" i="49"/>
  <c r="AI176" i="46"/>
  <c r="Q222" i="49"/>
  <c r="AY222" i="49"/>
  <c r="BA222" i="49"/>
  <c r="AI137" i="46"/>
  <c r="Q108" i="49"/>
  <c r="AY108" i="49"/>
  <c r="BA108" i="49"/>
  <c r="AI162" i="46"/>
  <c r="Q124" i="49"/>
  <c r="AY124" i="49"/>
  <c r="BA124" i="49"/>
  <c r="AI134" i="46"/>
  <c r="Q119" i="49"/>
  <c r="AY119" i="49"/>
  <c r="BA119" i="49"/>
  <c r="AI135" i="46"/>
  <c r="Q110" i="49"/>
  <c r="AY110" i="49"/>
  <c r="BA110" i="49"/>
  <c r="AI127" i="46"/>
  <c r="Q99" i="49"/>
  <c r="AY99" i="49"/>
  <c r="BA99" i="49"/>
  <c r="AI122" i="46"/>
  <c r="Q116" i="49"/>
  <c r="AY116" i="49"/>
  <c r="BA116" i="49"/>
  <c r="AI168" i="46"/>
  <c r="Q128" i="49"/>
  <c r="AY128" i="49"/>
  <c r="BA128" i="49"/>
  <c r="AI128" i="46"/>
  <c r="Q78" i="49"/>
  <c r="AY78" i="49"/>
  <c r="BA78" i="49"/>
  <c r="AI155" i="46"/>
  <c r="Q122" i="49"/>
  <c r="AY122" i="49"/>
  <c r="BA122" i="49"/>
  <c r="AI143" i="46"/>
  <c r="Q89" i="49"/>
  <c r="AY89" i="49"/>
  <c r="BA89" i="49"/>
  <c r="AI130" i="46"/>
  <c r="Q87" i="49"/>
  <c r="AY87" i="49"/>
  <c r="BA87" i="49"/>
  <c r="AI125" i="46"/>
  <c r="Q80" i="49"/>
  <c r="AY80" i="49"/>
  <c r="BA80" i="49"/>
  <c r="AI138" i="46"/>
  <c r="Q126" i="49"/>
  <c r="AY126" i="49"/>
  <c r="BA126" i="49"/>
  <c r="AI141" i="46"/>
  <c r="Q111" i="49"/>
  <c r="AY111" i="49"/>
  <c r="BA111" i="49"/>
  <c r="AI151" i="46"/>
  <c r="Q125" i="49"/>
  <c r="AY125" i="49"/>
  <c r="BA125" i="49"/>
  <c r="AI145" i="46"/>
  <c r="Q118" i="49"/>
  <c r="AY118" i="49"/>
  <c r="BA118" i="49"/>
  <c r="AI136" i="46"/>
  <c r="Q104" i="49"/>
  <c r="AY104" i="49"/>
  <c r="BA104" i="49"/>
  <c r="AI161" i="46"/>
  <c r="Q127" i="49"/>
  <c r="AY127" i="49"/>
  <c r="BA127" i="49"/>
  <c r="AI126" i="46"/>
  <c r="Q103" i="49"/>
  <c r="AY103" i="49"/>
  <c r="BA103" i="49"/>
  <c r="AI133" i="46"/>
  <c r="Q106" i="49"/>
  <c r="AY106" i="49"/>
  <c r="BA106" i="49"/>
  <c r="AI124" i="46"/>
  <c r="Q117" i="49"/>
  <c r="AY117" i="49"/>
  <c r="BA117" i="49"/>
  <c r="AI140" i="46"/>
  <c r="Q115" i="49"/>
  <c r="AY115" i="49"/>
  <c r="BA115" i="49"/>
  <c r="AI144" i="46"/>
  <c r="Q98" i="49"/>
  <c r="AY98" i="49"/>
  <c r="BA98" i="49"/>
  <c r="AI152" i="46"/>
  <c r="Q123" i="49"/>
  <c r="AY123" i="49"/>
  <c r="BA123" i="49"/>
  <c r="AI159" i="46"/>
  <c r="Q121" i="49"/>
  <c r="AY121" i="49"/>
  <c r="BA121" i="49"/>
  <c r="AI165" i="46"/>
  <c r="Q86" i="49"/>
  <c r="AY86" i="49"/>
  <c r="BA86" i="49"/>
  <c r="AI158" i="46"/>
  <c r="Q113" i="49"/>
  <c r="AY113" i="49"/>
  <c r="BA113" i="49"/>
  <c r="AI150" i="46"/>
  <c r="Q105" i="49"/>
  <c r="AY105" i="49"/>
  <c r="BA105" i="49"/>
  <c r="AI148" i="46"/>
  <c r="Q101" i="49"/>
  <c r="AY101" i="49"/>
  <c r="BA101" i="49"/>
  <c r="AI163" i="46"/>
  <c r="Q102" i="49"/>
  <c r="AY102" i="49"/>
  <c r="BA102" i="49"/>
  <c r="AI139" i="46"/>
  <c r="Q112" i="49"/>
  <c r="AY112" i="49"/>
  <c r="BA112" i="49"/>
  <c r="AI167" i="46"/>
  <c r="Q84" i="49"/>
  <c r="AY84" i="49"/>
  <c r="BA84" i="49"/>
  <c r="AI131" i="46"/>
  <c r="Q107" i="49"/>
  <c r="AY107" i="49"/>
  <c r="BA107" i="49"/>
  <c r="AI153" i="46"/>
  <c r="Q130" i="49"/>
  <c r="AY130" i="49"/>
  <c r="BA130" i="49"/>
  <c r="AI121" i="46"/>
  <c r="Q92" i="49"/>
  <c r="AY92" i="49"/>
  <c r="BA92" i="49"/>
  <c r="AI166" i="46"/>
  <c r="Q79" i="49"/>
  <c r="AY79" i="49"/>
  <c r="BA79" i="49"/>
  <c r="AI172" i="46"/>
  <c r="Q77" i="49"/>
  <c r="AY77" i="49"/>
  <c r="BA77" i="49"/>
  <c r="AI154" i="46"/>
  <c r="Q100" i="49"/>
  <c r="AY100" i="49"/>
  <c r="BA100" i="49"/>
  <c r="AI146" i="46"/>
  <c r="Q114" i="49"/>
  <c r="AY114" i="49"/>
  <c r="BA114" i="49"/>
  <c r="AI142" i="46"/>
  <c r="Q120" i="49"/>
  <c r="AY120" i="49"/>
  <c r="BA120" i="49"/>
  <c r="AI120" i="46"/>
  <c r="P419" i="49"/>
  <c r="AK81" i="46"/>
  <c r="AK80" i="46"/>
  <c r="S62" i="49"/>
  <c r="CS62" i="49"/>
  <c r="CU62" i="49"/>
  <c r="AK78" i="46"/>
  <c r="S55" i="49"/>
  <c r="CS55" i="49"/>
  <c r="CU55" i="49"/>
  <c r="AK72" i="46"/>
  <c r="S61" i="49"/>
  <c r="CS61" i="49"/>
  <c r="CU61" i="49"/>
  <c r="AK73" i="46"/>
  <c r="S58" i="49"/>
  <c r="CS58" i="49"/>
  <c r="CU58" i="49"/>
  <c r="AK75" i="46"/>
  <c r="S57" i="49"/>
  <c r="CS57" i="49"/>
  <c r="CU57" i="49"/>
  <c r="AK77" i="46"/>
  <c r="S54" i="49"/>
  <c r="CS54" i="49"/>
  <c r="CU54" i="49"/>
  <c r="AK76" i="46"/>
  <c r="S56" i="49"/>
  <c r="CS56" i="49"/>
  <c r="CU56" i="49"/>
  <c r="AK74" i="46"/>
  <c r="S60" i="49"/>
  <c r="CS60" i="49"/>
  <c r="CU60" i="49"/>
  <c r="AK71" i="46"/>
  <c r="R48" i="49"/>
  <c r="BV48" i="49"/>
  <c r="BX48" i="49"/>
  <c r="R59" i="49"/>
  <c r="BV59" i="49"/>
  <c r="BX59" i="49"/>
  <c r="R419" i="49"/>
  <c r="BV419" i="49"/>
  <c r="BX419" i="49"/>
  <c r="AI400" i="46"/>
  <c r="Q347" i="49"/>
  <c r="AY347" i="49"/>
  <c r="BA347" i="49"/>
  <c r="AI399" i="46"/>
  <c r="Q345" i="49"/>
  <c r="AY345" i="49"/>
  <c r="BA345" i="49"/>
  <c r="AI401" i="46"/>
  <c r="AI398" i="46"/>
  <c r="Q344" i="49"/>
  <c r="AY344" i="49"/>
  <c r="BA344" i="49"/>
  <c r="AI390" i="46"/>
  <c r="Q333" i="49"/>
  <c r="AY333" i="49"/>
  <c r="BA333" i="49"/>
  <c r="AI388" i="46"/>
  <c r="Q341" i="49"/>
  <c r="AY341" i="49"/>
  <c r="BA341" i="49"/>
  <c r="AI392" i="46"/>
  <c r="Q343" i="49"/>
  <c r="AY343" i="49"/>
  <c r="BA343" i="49"/>
  <c r="AI394" i="46"/>
  <c r="Q340" i="49"/>
  <c r="AY340" i="49"/>
  <c r="BA340" i="49"/>
  <c r="AI396" i="46"/>
  <c r="Q337" i="49"/>
  <c r="AY337" i="49"/>
  <c r="BA337" i="49"/>
  <c r="AI393" i="46"/>
  <c r="Q342" i="49"/>
  <c r="AY342" i="49"/>
  <c r="BA342" i="49"/>
  <c r="AI387" i="46"/>
  <c r="Q338" i="49"/>
  <c r="AY338" i="49"/>
  <c r="BA338" i="49"/>
  <c r="AI391" i="46"/>
  <c r="Q335" i="49"/>
  <c r="AY335" i="49"/>
  <c r="BA335" i="49"/>
  <c r="AI389" i="46"/>
  <c r="Q336" i="49"/>
  <c r="AY336" i="49"/>
  <c r="BA336" i="49"/>
  <c r="AI395" i="46"/>
  <c r="Q339" i="49"/>
  <c r="AY339" i="49"/>
  <c r="BA339" i="49"/>
  <c r="AI386" i="46"/>
  <c r="AJ94" i="46"/>
  <c r="R63" i="49"/>
  <c r="BV63" i="49"/>
  <c r="BX63" i="49"/>
  <c r="AJ93" i="46"/>
  <c r="R71" i="49"/>
  <c r="BV71" i="49"/>
  <c r="BX71" i="49"/>
  <c r="AJ90" i="46"/>
  <c r="R65" i="49"/>
  <c r="BV65" i="49"/>
  <c r="BX65" i="49"/>
  <c r="AJ88" i="46"/>
  <c r="R66" i="49"/>
  <c r="BV66" i="49"/>
  <c r="BX66" i="49"/>
  <c r="AJ91" i="46"/>
  <c r="R64" i="49"/>
  <c r="BV64" i="49"/>
  <c r="BX64" i="49"/>
  <c r="AJ89" i="46"/>
  <c r="R67" i="49"/>
  <c r="BV67" i="49"/>
  <c r="BX67" i="49"/>
  <c r="AJ86" i="46"/>
  <c r="P355" i="49"/>
  <c r="Q68" i="49"/>
  <c r="AY68" i="49"/>
  <c r="BA68" i="49"/>
  <c r="P435" i="49"/>
  <c r="P68" i="49"/>
  <c r="BB316" i="49"/>
  <c r="Q318" i="49"/>
  <c r="AY318" i="49"/>
  <c r="BA318" i="49"/>
  <c r="AI383" i="46"/>
  <c r="CV328" i="49"/>
  <c r="CX328" i="49"/>
  <c r="CW328" i="49"/>
  <c r="AE490" i="49"/>
  <c r="P11" i="49"/>
  <c r="P12" i="49"/>
  <c r="Q16" i="49"/>
  <c r="AY16" i="49"/>
  <c r="BA16" i="49"/>
  <c r="AI19" i="46"/>
  <c r="BB43" i="49"/>
  <c r="BB42" i="49"/>
  <c r="AK570" i="46"/>
  <c r="S485" i="49"/>
  <c r="CS485" i="49"/>
  <c r="CU485" i="49"/>
  <c r="AK571" i="46"/>
  <c r="S487" i="49"/>
  <c r="CS487" i="49"/>
  <c r="CU487" i="49"/>
  <c r="AK572" i="46"/>
  <c r="S486" i="49"/>
  <c r="CS486" i="49"/>
  <c r="CU486" i="49"/>
  <c r="AK573" i="46"/>
  <c r="AK569" i="46"/>
  <c r="S488" i="49"/>
  <c r="CS488" i="49"/>
  <c r="CU488" i="49"/>
  <c r="AK568" i="46"/>
  <c r="S484" i="49"/>
  <c r="CS484" i="49"/>
  <c r="CU484" i="49"/>
  <c r="AK565" i="46"/>
  <c r="S482" i="49"/>
  <c r="CS482" i="49"/>
  <c r="CU482" i="49"/>
  <c r="AK563" i="46"/>
  <c r="S483" i="49"/>
  <c r="CS483" i="49"/>
  <c r="CU483" i="49"/>
  <c r="AK564" i="46"/>
  <c r="S477" i="49"/>
  <c r="CS477" i="49"/>
  <c r="CU477" i="49"/>
  <c r="AK562" i="46"/>
  <c r="S481" i="49"/>
  <c r="CS481" i="49"/>
  <c r="CU481" i="49"/>
  <c r="AK566" i="46"/>
  <c r="S478" i="49"/>
  <c r="CS478" i="49"/>
  <c r="CU478" i="49"/>
  <c r="AK567" i="46"/>
  <c r="S476" i="49"/>
  <c r="CS476" i="49"/>
  <c r="CU476" i="49"/>
  <c r="AK561" i="46"/>
  <c r="S480" i="49"/>
  <c r="CS480" i="49"/>
  <c r="CU480" i="49"/>
  <c r="AF50" i="46"/>
  <c r="AI449" i="46"/>
  <c r="Q401" i="49"/>
  <c r="AY401" i="49"/>
  <c r="BA401" i="49"/>
  <c r="AI447" i="46"/>
  <c r="Q348" i="49"/>
  <c r="AY348" i="49"/>
  <c r="BA348" i="49"/>
  <c r="AI460" i="46"/>
  <c r="Q391" i="49"/>
  <c r="AY391" i="49"/>
  <c r="BA391" i="49"/>
  <c r="AI424" i="46"/>
  <c r="Q152" i="49"/>
  <c r="AY152" i="49"/>
  <c r="BA152" i="49"/>
  <c r="AI463" i="46"/>
  <c r="AI452" i="46"/>
  <c r="Q389" i="49"/>
  <c r="AY389" i="49"/>
  <c r="BA389" i="49"/>
  <c r="AI426" i="46"/>
  <c r="Q399" i="49"/>
  <c r="AY399" i="49"/>
  <c r="BA399" i="49"/>
  <c r="AI435" i="46"/>
  <c r="Q370" i="49"/>
  <c r="AY370" i="49"/>
  <c r="BA370" i="49"/>
  <c r="AI443" i="46"/>
  <c r="Q378" i="49"/>
  <c r="AY378" i="49"/>
  <c r="BA378" i="49"/>
  <c r="AI437" i="46"/>
  <c r="Q392" i="49"/>
  <c r="AY392" i="49"/>
  <c r="BA392" i="49"/>
  <c r="AI454" i="46"/>
  <c r="Q367" i="49"/>
  <c r="AY367" i="49"/>
  <c r="BA367" i="49"/>
  <c r="AI427" i="46"/>
  <c r="Q396" i="49"/>
  <c r="AY396" i="49"/>
  <c r="BA396" i="49"/>
  <c r="AI434" i="46"/>
  <c r="Q377" i="49"/>
  <c r="AY377" i="49"/>
  <c r="BA377" i="49"/>
  <c r="AI425" i="46"/>
  <c r="Q390" i="49"/>
  <c r="AY390" i="49"/>
  <c r="BA390" i="49"/>
  <c r="AI446" i="46"/>
  <c r="Q372" i="49"/>
  <c r="AY372" i="49"/>
  <c r="BA372" i="49"/>
  <c r="AI448" i="46"/>
  <c r="Q374" i="49"/>
  <c r="AY374" i="49"/>
  <c r="BA374" i="49"/>
  <c r="AI428" i="46"/>
  <c r="Q380" i="49"/>
  <c r="AY380" i="49"/>
  <c r="BA380" i="49"/>
  <c r="AI442" i="46"/>
  <c r="Q388" i="49"/>
  <c r="AY388" i="49"/>
  <c r="BA388" i="49"/>
  <c r="AI445" i="46"/>
  <c r="Q379" i="49"/>
  <c r="AY379" i="49"/>
  <c r="BA379" i="49"/>
  <c r="AI431" i="46"/>
  <c r="Q369" i="49"/>
  <c r="AY369" i="49"/>
  <c r="BA369" i="49"/>
  <c r="AI444" i="46"/>
  <c r="Q400" i="49"/>
  <c r="AY400" i="49"/>
  <c r="BA400" i="49"/>
  <c r="AI440" i="46"/>
  <c r="Q393" i="49"/>
  <c r="AY393" i="49"/>
  <c r="BA393" i="49"/>
  <c r="AI429" i="46"/>
  <c r="Q384" i="49"/>
  <c r="AY384" i="49"/>
  <c r="BA384" i="49"/>
  <c r="AI436" i="46"/>
  <c r="Q375" i="49"/>
  <c r="AY375" i="49"/>
  <c r="BA375" i="49"/>
  <c r="AI433" i="46"/>
  <c r="Q366" i="49"/>
  <c r="AY366" i="49"/>
  <c r="BA366" i="49"/>
  <c r="AI438" i="46"/>
  <c r="Q397" i="49"/>
  <c r="AY397" i="49"/>
  <c r="BA397" i="49"/>
  <c r="AI456" i="46"/>
  <c r="Q395" i="49"/>
  <c r="AY395" i="49"/>
  <c r="BA395" i="49"/>
  <c r="AI459" i="46"/>
  <c r="Q383" i="49"/>
  <c r="AY383" i="49"/>
  <c r="BA383" i="49"/>
  <c r="AI451" i="46"/>
  <c r="Q371" i="49"/>
  <c r="AY371" i="49"/>
  <c r="BA371" i="49"/>
  <c r="AI462" i="46"/>
  <c r="Q376" i="49"/>
  <c r="AY376" i="49"/>
  <c r="BA376" i="49"/>
  <c r="AI430" i="46"/>
  <c r="Q402" i="49"/>
  <c r="AY402" i="49"/>
  <c r="BA402" i="49"/>
  <c r="AI455" i="46"/>
  <c r="Q368" i="49"/>
  <c r="AY368" i="49"/>
  <c r="BA368" i="49"/>
  <c r="AI432" i="46"/>
  <c r="Q398" i="49"/>
  <c r="AY398" i="49"/>
  <c r="BA398" i="49"/>
  <c r="AI450" i="46"/>
  <c r="Q381" i="49"/>
  <c r="AY381" i="49"/>
  <c r="BA381" i="49"/>
  <c r="AI453" i="46"/>
  <c r="Q394" i="49"/>
  <c r="AY394" i="49"/>
  <c r="BA394" i="49"/>
  <c r="AI439" i="46"/>
  <c r="Q387" i="49"/>
  <c r="AY387" i="49"/>
  <c r="BA387" i="49"/>
  <c r="AI458" i="46"/>
  <c r="Q386" i="49"/>
  <c r="AY386" i="49"/>
  <c r="BA386" i="49"/>
  <c r="AI441" i="46"/>
  <c r="Q373" i="49"/>
  <c r="AY373" i="49"/>
  <c r="BA373" i="49"/>
  <c r="AI457" i="46"/>
  <c r="Q365" i="49"/>
  <c r="AY365" i="49"/>
  <c r="BA365" i="49"/>
  <c r="AI423" i="46"/>
  <c r="Q382" i="49"/>
  <c r="AY382" i="49"/>
  <c r="BA382" i="49"/>
  <c r="AI410" i="46"/>
  <c r="Q359" i="49"/>
  <c r="AY359" i="49"/>
  <c r="BA359" i="49"/>
  <c r="AI417" i="46"/>
  <c r="Q352" i="49"/>
  <c r="AY352" i="49"/>
  <c r="BA352" i="49"/>
  <c r="AI418" i="46"/>
  <c r="Q353" i="49"/>
  <c r="AY353" i="49"/>
  <c r="BA353" i="49"/>
  <c r="AI413" i="46"/>
  <c r="Q351" i="49"/>
  <c r="AY351" i="49"/>
  <c r="BA351" i="49"/>
  <c r="AI419" i="46"/>
  <c r="Q349" i="49"/>
  <c r="AY349" i="49"/>
  <c r="BA349" i="49"/>
  <c r="AI409" i="46"/>
  <c r="Q364" i="49"/>
  <c r="AY364" i="49"/>
  <c r="BA364" i="49"/>
  <c r="AA582" i="46"/>
  <c r="AE493" i="49"/>
  <c r="CV317" i="49"/>
  <c r="AH378" i="46"/>
  <c r="AH375" i="46"/>
  <c r="AH376" i="46"/>
  <c r="AH379" i="46"/>
  <c r="AH380" i="46"/>
  <c r="AH381" i="46"/>
  <c r="AH374" i="46"/>
  <c r="AH366" i="46"/>
  <c r="AH367" i="46"/>
  <c r="AH372" i="46"/>
  <c r="AH369" i="46"/>
  <c r="AH365" i="46"/>
  <c r="AH371" i="46"/>
  <c r="AH370" i="46"/>
  <c r="AH363" i="46"/>
  <c r="AH364" i="46"/>
  <c r="AH368" i="46"/>
  <c r="AH281" i="46"/>
  <c r="AH259" i="46"/>
  <c r="AH283" i="46"/>
  <c r="AH262" i="46"/>
  <c r="AH318" i="46"/>
  <c r="AH290" i="46"/>
  <c r="AH337" i="46"/>
  <c r="AH255" i="46"/>
  <c r="AH302" i="46"/>
  <c r="AH338" i="46"/>
  <c r="AH215" i="46"/>
  <c r="AH315" i="46"/>
  <c r="AH192" i="46"/>
  <c r="AH188" i="46"/>
  <c r="AH294" i="46"/>
  <c r="AH352" i="46"/>
  <c r="AH345" i="46"/>
  <c r="AH285" i="46"/>
  <c r="AH208" i="46"/>
  <c r="AH224" i="46"/>
  <c r="AH218" i="46"/>
  <c r="AH232" i="46"/>
  <c r="AH248" i="46"/>
  <c r="AH303" i="46"/>
  <c r="AH300" i="46"/>
  <c r="AH348" i="46"/>
  <c r="AH265" i="46"/>
  <c r="AH321" i="46"/>
  <c r="AH180" i="46"/>
  <c r="AH268" i="46"/>
  <c r="AH278" i="46"/>
  <c r="AH282" i="46"/>
  <c r="AH191" i="46"/>
  <c r="AH212" i="46"/>
  <c r="AH292" i="46"/>
  <c r="AH183" i="46"/>
  <c r="AH237" i="46"/>
  <c r="AH297" i="46"/>
  <c r="AH219" i="46"/>
  <c r="AH216" i="46"/>
  <c r="AH329" i="46"/>
  <c r="AH181" i="46"/>
  <c r="AH347" i="46"/>
  <c r="AH311" i="46"/>
  <c r="AH240" i="46"/>
  <c r="AH228" i="46"/>
  <c r="AH182" i="46"/>
  <c r="AH179" i="46"/>
  <c r="AH307" i="46"/>
  <c r="AH234" i="46"/>
  <c r="AH229" i="46"/>
  <c r="AH209" i="46"/>
  <c r="AH324" i="46"/>
  <c r="AH351" i="46"/>
  <c r="AH277" i="46"/>
  <c r="AH197" i="46"/>
  <c r="AH306" i="46"/>
  <c r="AH200" i="46"/>
  <c r="AH339" i="46"/>
  <c r="AH258" i="46"/>
  <c r="AH317" i="46"/>
  <c r="AH221" i="46"/>
  <c r="AH247" i="46"/>
  <c r="AH226" i="46"/>
  <c r="AH356" i="46"/>
  <c r="AH178" i="46"/>
  <c r="AH249" i="46"/>
  <c r="AH296" i="46"/>
  <c r="AH260" i="46"/>
  <c r="AH287" i="46"/>
  <c r="AH344" i="46"/>
  <c r="AH231" i="46"/>
  <c r="AH340" i="46"/>
  <c r="AH313" i="46"/>
  <c r="AH189" i="46"/>
  <c r="AH293" i="46"/>
  <c r="AH305" i="46"/>
  <c r="AH349" i="46"/>
  <c r="AH194" i="46"/>
  <c r="AH177" i="46"/>
  <c r="AH254" i="46"/>
  <c r="AH304" i="46"/>
  <c r="AH204" i="46"/>
  <c r="AH331" i="46"/>
  <c r="AH214" i="46"/>
  <c r="AH301" i="46"/>
  <c r="AH217" i="46"/>
  <c r="AH280" i="46"/>
  <c r="AH353" i="46"/>
  <c r="AH272" i="46"/>
  <c r="AH350" i="46"/>
  <c r="AH252" i="46"/>
  <c r="AH295" i="46"/>
  <c r="AH263" i="46"/>
  <c r="AH186" i="46"/>
  <c r="AH271" i="46"/>
  <c r="AH193" i="46"/>
  <c r="AH205" i="46"/>
  <c r="AH325" i="46"/>
  <c r="AH184" i="46"/>
  <c r="AH330" i="46"/>
  <c r="AH253" i="46"/>
  <c r="AH284" i="46"/>
  <c r="AH261" i="46"/>
  <c r="AH314" i="46"/>
  <c r="AH257" i="46"/>
  <c r="AH244" i="46"/>
  <c r="AH222" i="46"/>
  <c r="AH245" i="46"/>
  <c r="AH273" i="46"/>
  <c r="AH206" i="46"/>
  <c r="AH328" i="46"/>
  <c r="AH199" i="46"/>
  <c r="AH342" i="46"/>
  <c r="AH207" i="46"/>
  <c r="AH310" i="46"/>
  <c r="AH243" i="46"/>
  <c r="AH250" i="46"/>
  <c r="AH266" i="46"/>
  <c r="AH279" i="46"/>
  <c r="AH241" i="46"/>
  <c r="AH270" i="46"/>
  <c r="AH333" i="46"/>
  <c r="AH213" i="46"/>
  <c r="AH251" i="46"/>
  <c r="AH185" i="46"/>
  <c r="AH202" i="46"/>
  <c r="AH211" i="46"/>
  <c r="AH203" i="46"/>
  <c r="AH326" i="46"/>
  <c r="AH332" i="46"/>
  <c r="AH336" i="46"/>
  <c r="AH246" i="46"/>
  <c r="AH235" i="46"/>
  <c r="AH312" i="46"/>
  <c r="AH286" i="46"/>
  <c r="AH316" i="46"/>
  <c r="AH264" i="46"/>
  <c r="AH256" i="46"/>
  <c r="AH276" i="46"/>
  <c r="AH190" i="46"/>
  <c r="AH210" i="46"/>
  <c r="AH299" i="46"/>
  <c r="AH335" i="46"/>
  <c r="AH327" i="46"/>
  <c r="AH309" i="46"/>
  <c r="AH269" i="46"/>
  <c r="AH230" i="46"/>
  <c r="AH322" i="46"/>
  <c r="AH288" i="46"/>
  <c r="AH334" i="46"/>
  <c r="AH343" i="46"/>
  <c r="AH274" i="46"/>
  <c r="AH238" i="46"/>
  <c r="AH341" i="46"/>
  <c r="AH275" i="46"/>
  <c r="AH239" i="46"/>
  <c r="AH233" i="46"/>
  <c r="AH187" i="46"/>
  <c r="AH354" i="46"/>
  <c r="AH346" i="46"/>
  <c r="AH198" i="46"/>
  <c r="AH291" i="46"/>
  <c r="AH196" i="46"/>
  <c r="AH220" i="46"/>
  <c r="AH289" i="46"/>
  <c r="AH242" i="46"/>
  <c r="AH298" i="46"/>
  <c r="AH225" i="46"/>
  <c r="AH308" i="46"/>
  <c r="AH355" i="46"/>
  <c r="AH236" i="46"/>
  <c r="AH227" i="46"/>
  <c r="AH195" i="46"/>
  <c r="AH223" i="46"/>
  <c r="AH267" i="46"/>
  <c r="AH201" i="46"/>
  <c r="AH176" i="46"/>
  <c r="AH168" i="46"/>
  <c r="AH164" i="46"/>
  <c r="AH157" i="46"/>
  <c r="AH158" i="46"/>
  <c r="AH121" i="46"/>
  <c r="AH142" i="46"/>
  <c r="AH152" i="46"/>
  <c r="AH141" i="46"/>
  <c r="AH169" i="46"/>
  <c r="AH165" i="46"/>
  <c r="AH171" i="46"/>
  <c r="AH167" i="46"/>
  <c r="AH160" i="46"/>
  <c r="AH145" i="46"/>
  <c r="AH136" i="46"/>
  <c r="AH148" i="46"/>
  <c r="AH127" i="46"/>
  <c r="AH146" i="46"/>
  <c r="AH151" i="46"/>
  <c r="AH149" i="46"/>
  <c r="AH140" i="46"/>
  <c r="AH135" i="46"/>
  <c r="AH155" i="46"/>
  <c r="AH128" i="46"/>
  <c r="AH130" i="46"/>
  <c r="AH131" i="46"/>
  <c r="AH137" i="46"/>
  <c r="AH172" i="46"/>
  <c r="AH162" i="46"/>
  <c r="AH123" i="46"/>
  <c r="AH139" i="46"/>
  <c r="AH125" i="46"/>
  <c r="AH150" i="46"/>
  <c r="AH161" i="46"/>
  <c r="AH156" i="46"/>
  <c r="AH143" i="46"/>
  <c r="AH159" i="46"/>
  <c r="AH122" i="46"/>
  <c r="AH144" i="46"/>
  <c r="AH170" i="46"/>
  <c r="AH133" i="46"/>
  <c r="AH154" i="46"/>
  <c r="AH124" i="46"/>
  <c r="AH134" i="46"/>
  <c r="AH129" i="46"/>
  <c r="AH147" i="46"/>
  <c r="AH153" i="46"/>
  <c r="AH166" i="46"/>
  <c r="AH163" i="46"/>
  <c r="AH132" i="46"/>
  <c r="AH126" i="46"/>
  <c r="AH138" i="46"/>
  <c r="AJ510" i="46"/>
  <c r="R437" i="49"/>
  <c r="BV437" i="49"/>
  <c r="BX437" i="49"/>
  <c r="AJ504" i="46"/>
  <c r="R434" i="49"/>
  <c r="BV434" i="49"/>
  <c r="BX434" i="49"/>
  <c r="AJ506" i="46"/>
  <c r="R433" i="49"/>
  <c r="BV433" i="49"/>
  <c r="BX433" i="49"/>
  <c r="AJ505" i="46"/>
  <c r="R436" i="49"/>
  <c r="BV436" i="49"/>
  <c r="BX436" i="49"/>
  <c r="AJ508" i="46"/>
  <c r="R431" i="49"/>
  <c r="BV431" i="49"/>
  <c r="BX431" i="49"/>
  <c r="AJ507" i="46"/>
  <c r="R432" i="49"/>
  <c r="BV432" i="49"/>
  <c r="BX432" i="49"/>
  <c r="Z582" i="46"/>
  <c r="CV15" i="49"/>
  <c r="CV10" i="49"/>
  <c r="CV11" i="49"/>
  <c r="BB314" i="49"/>
  <c r="BB328" i="49"/>
  <c r="BD328" i="49"/>
  <c r="BC328" i="49"/>
  <c r="BB326" i="49"/>
  <c r="AK401" i="46"/>
  <c r="AK399" i="46"/>
  <c r="S345" i="49"/>
  <c r="CS345" i="49"/>
  <c r="CU345" i="49"/>
  <c r="AK400" i="46"/>
  <c r="S347" i="49"/>
  <c r="CS347" i="49"/>
  <c r="CU347" i="49"/>
  <c r="AK398" i="46"/>
  <c r="S344" i="49"/>
  <c r="CS344" i="49"/>
  <c r="CU344" i="49"/>
  <c r="AK393" i="46"/>
  <c r="S342" i="49"/>
  <c r="CS342" i="49"/>
  <c r="CU342" i="49"/>
  <c r="AK395" i="46"/>
  <c r="S339" i="49"/>
  <c r="CS339" i="49"/>
  <c r="CU339" i="49"/>
  <c r="AK388" i="46"/>
  <c r="S341" i="49"/>
  <c r="CS341" i="49"/>
  <c r="CU341" i="49"/>
  <c r="AK392" i="46"/>
  <c r="S343" i="49"/>
  <c r="CS343" i="49"/>
  <c r="CU343" i="49"/>
  <c r="AK387" i="46"/>
  <c r="S338" i="49"/>
  <c r="CS338" i="49"/>
  <c r="CU338" i="49"/>
  <c r="AK389" i="46"/>
  <c r="S336" i="49"/>
  <c r="CS336" i="49"/>
  <c r="CU336" i="49"/>
  <c r="AK390" i="46"/>
  <c r="S333" i="49"/>
  <c r="CS333" i="49"/>
  <c r="CU333" i="49"/>
  <c r="AK391" i="46"/>
  <c r="S335" i="49"/>
  <c r="CS335" i="49"/>
  <c r="CU335" i="49"/>
  <c r="AK396" i="46"/>
  <c r="S337" i="49"/>
  <c r="CS337" i="49"/>
  <c r="CU337" i="49"/>
  <c r="AK394" i="46"/>
  <c r="S340" i="49"/>
  <c r="CS340" i="49"/>
  <c r="CU340" i="49"/>
  <c r="BB10" i="49"/>
  <c r="BB8" i="49"/>
  <c r="BB9" i="49"/>
  <c r="AK386" i="46"/>
  <c r="AE494" i="49"/>
  <c r="AK271" i="46"/>
  <c r="S149" i="49"/>
  <c r="CS149" i="49"/>
  <c r="CU149" i="49"/>
  <c r="AK238" i="46"/>
  <c r="S240" i="49"/>
  <c r="CS240" i="49"/>
  <c r="CU240" i="49"/>
  <c r="AK215" i="46"/>
  <c r="S140" i="49"/>
  <c r="CS140" i="49"/>
  <c r="CU140" i="49"/>
  <c r="AK321" i="46"/>
  <c r="S205" i="49"/>
  <c r="CS205" i="49"/>
  <c r="CU205" i="49"/>
  <c r="AK282" i="46"/>
  <c r="S282" i="49"/>
  <c r="CS282" i="49"/>
  <c r="CU282" i="49"/>
  <c r="AK251" i="46"/>
  <c r="S135" i="49"/>
  <c r="CS135" i="49"/>
  <c r="CU135" i="49"/>
  <c r="AK262" i="46"/>
  <c r="S180" i="49"/>
  <c r="CS180" i="49"/>
  <c r="CU180" i="49"/>
  <c r="AK259" i="46"/>
  <c r="S184" i="49"/>
  <c r="CS184" i="49"/>
  <c r="CU184" i="49"/>
  <c r="AK331" i="46"/>
  <c r="S293" i="49"/>
  <c r="CS293" i="49"/>
  <c r="CU293" i="49"/>
  <c r="AK316" i="46"/>
  <c r="S262" i="49"/>
  <c r="CS262" i="49"/>
  <c r="CU262" i="49"/>
  <c r="AK318" i="46"/>
  <c r="S239" i="49"/>
  <c r="CS239" i="49"/>
  <c r="CU239" i="49"/>
  <c r="AK197" i="46"/>
  <c r="S308" i="49"/>
  <c r="CS308" i="49"/>
  <c r="CU308" i="49"/>
  <c r="AK250" i="46"/>
  <c r="S305" i="49"/>
  <c r="CS305" i="49"/>
  <c r="CU305" i="49"/>
  <c r="AK193" i="46"/>
  <c r="S219" i="49"/>
  <c r="CS219" i="49"/>
  <c r="CU219" i="49"/>
  <c r="AK181" i="46"/>
  <c r="S286" i="49"/>
  <c r="CS286" i="49"/>
  <c r="CU286" i="49"/>
  <c r="AK228" i="46"/>
  <c r="S143" i="49"/>
  <c r="CS143" i="49"/>
  <c r="CU143" i="49"/>
  <c r="AK192" i="46"/>
  <c r="S310" i="49"/>
  <c r="CS310" i="49"/>
  <c r="CU310" i="49"/>
  <c r="AK288" i="46"/>
  <c r="S232" i="49"/>
  <c r="CS232" i="49"/>
  <c r="CU232" i="49"/>
  <c r="AK263" i="46"/>
  <c r="S194" i="49"/>
  <c r="CS194" i="49"/>
  <c r="CU194" i="49"/>
  <c r="AK205" i="46"/>
  <c r="S298" i="49"/>
  <c r="CS298" i="49"/>
  <c r="CU298" i="49"/>
  <c r="AK333" i="46"/>
  <c r="S272" i="49"/>
  <c r="CS272" i="49"/>
  <c r="CU272" i="49"/>
  <c r="AK189" i="46"/>
  <c r="S231" i="49"/>
  <c r="CS231" i="49"/>
  <c r="CU231" i="49"/>
  <c r="AK326" i="46"/>
  <c r="S244" i="49"/>
  <c r="CS244" i="49"/>
  <c r="CU244" i="49"/>
  <c r="AK278" i="46"/>
  <c r="S312" i="49"/>
  <c r="CS312" i="49"/>
  <c r="CU312" i="49"/>
  <c r="AK343" i="46"/>
  <c r="S207" i="49"/>
  <c r="CS207" i="49"/>
  <c r="CU207" i="49"/>
  <c r="AK272" i="46"/>
  <c r="S241" i="49"/>
  <c r="CS241" i="49"/>
  <c r="CU241" i="49"/>
  <c r="AK253" i="46"/>
  <c r="S185" i="49"/>
  <c r="CS185" i="49"/>
  <c r="CU185" i="49"/>
  <c r="AK287" i="46"/>
  <c r="S168" i="49"/>
  <c r="CS168" i="49"/>
  <c r="CU168" i="49"/>
  <c r="AK327" i="46"/>
  <c r="S169" i="49"/>
  <c r="CS169" i="49"/>
  <c r="CU169" i="49"/>
  <c r="AK177" i="46"/>
  <c r="S264" i="49"/>
  <c r="CS264" i="49"/>
  <c r="CU264" i="49"/>
  <c r="AK219" i="46"/>
  <c r="S300" i="49"/>
  <c r="CS300" i="49"/>
  <c r="CU300" i="49"/>
  <c r="AK217" i="46"/>
  <c r="S257" i="49"/>
  <c r="CS257" i="49"/>
  <c r="CU257" i="49"/>
  <c r="AK222" i="46"/>
  <c r="S192" i="49"/>
  <c r="CS192" i="49"/>
  <c r="CU192" i="49"/>
  <c r="AK340" i="46"/>
  <c r="S139" i="49"/>
  <c r="CS139" i="49"/>
  <c r="CU139" i="49"/>
  <c r="AK292" i="46"/>
  <c r="S165" i="49"/>
  <c r="CS165" i="49"/>
  <c r="CU165" i="49"/>
  <c r="AK280" i="46"/>
  <c r="S288" i="49"/>
  <c r="CS288" i="49"/>
  <c r="CU288" i="49"/>
  <c r="AK240" i="46"/>
  <c r="S230" i="49"/>
  <c r="CS230" i="49"/>
  <c r="CU230" i="49"/>
  <c r="AK350" i="46"/>
  <c r="S162" i="49"/>
  <c r="CS162" i="49"/>
  <c r="CU162" i="49"/>
  <c r="AK265" i="46"/>
  <c r="S188" i="49"/>
  <c r="CS188" i="49"/>
  <c r="CU188" i="49"/>
  <c r="AK328" i="46"/>
  <c r="S233" i="49"/>
  <c r="CS233" i="49"/>
  <c r="CU233" i="49"/>
  <c r="AK297" i="46"/>
  <c r="S228" i="49"/>
  <c r="CS228" i="49"/>
  <c r="CU228" i="49"/>
  <c r="AK293" i="46"/>
  <c r="S166" i="49"/>
  <c r="CS166" i="49"/>
  <c r="CU166" i="49"/>
  <c r="AK196" i="46"/>
  <c r="S172" i="49"/>
  <c r="CS172" i="49"/>
  <c r="CU172" i="49"/>
  <c r="AK317" i="46"/>
  <c r="S150" i="49"/>
  <c r="CS150" i="49"/>
  <c r="CU150" i="49"/>
  <c r="AK184" i="46"/>
  <c r="S287" i="49"/>
  <c r="CS287" i="49"/>
  <c r="CU287" i="49"/>
  <c r="AK334" i="46"/>
  <c r="S147" i="49"/>
  <c r="CS147" i="49"/>
  <c r="CU147" i="49"/>
  <c r="AK249" i="46"/>
  <c r="S237" i="49"/>
  <c r="CS237" i="49"/>
  <c r="CU237" i="49"/>
  <c r="AK248" i="46"/>
  <c r="S258" i="49"/>
  <c r="CS258" i="49"/>
  <c r="CU258" i="49"/>
  <c r="AK213" i="46"/>
  <c r="S292" i="49"/>
  <c r="CS292" i="49"/>
  <c r="CU292" i="49"/>
  <c r="AK179" i="46"/>
  <c r="S263" i="49"/>
  <c r="CS263" i="49"/>
  <c r="CU263" i="49"/>
  <c r="AK355" i="46"/>
  <c r="S161" i="49"/>
  <c r="CS161" i="49"/>
  <c r="CU161" i="49"/>
  <c r="AK221" i="46"/>
  <c r="S156" i="49"/>
  <c r="CS156" i="49"/>
  <c r="CU156" i="49"/>
  <c r="AK258" i="46"/>
  <c r="S186" i="49"/>
  <c r="CS186" i="49"/>
  <c r="CU186" i="49"/>
  <c r="AK276" i="46"/>
  <c r="S285" i="49"/>
  <c r="CS285" i="49"/>
  <c r="CU285" i="49"/>
  <c r="AK301" i="46"/>
  <c r="S267" i="49"/>
  <c r="CS267" i="49"/>
  <c r="CU267" i="49"/>
  <c r="AK214" i="46"/>
  <c r="S182" i="49"/>
  <c r="CS182" i="49"/>
  <c r="CU182" i="49"/>
  <c r="AK190" i="46"/>
  <c r="S171" i="49"/>
  <c r="CS171" i="49"/>
  <c r="CU171" i="49"/>
  <c r="AK212" i="46"/>
  <c r="S269" i="49"/>
  <c r="CS269" i="49"/>
  <c r="CU269" i="49"/>
  <c r="AK351" i="46"/>
  <c r="S157" i="49"/>
  <c r="CS157" i="49"/>
  <c r="CU157" i="49"/>
  <c r="AK339" i="46"/>
  <c r="S275" i="49"/>
  <c r="CS275" i="49"/>
  <c r="CU275" i="49"/>
  <c r="AK295" i="46"/>
  <c r="S303" i="49"/>
  <c r="CS303" i="49"/>
  <c r="CU303" i="49"/>
  <c r="AK312" i="46"/>
  <c r="S280" i="49"/>
  <c r="CS280" i="49"/>
  <c r="CU280" i="49"/>
  <c r="AK257" i="46"/>
  <c r="S178" i="49"/>
  <c r="CS178" i="49"/>
  <c r="CU178" i="49"/>
  <c r="AK315" i="46"/>
  <c r="S294" i="49"/>
  <c r="CS294" i="49"/>
  <c r="CU294" i="49"/>
  <c r="AK354" i="46"/>
  <c r="S158" i="49"/>
  <c r="CS158" i="49"/>
  <c r="CU158" i="49"/>
  <c r="AK279" i="46"/>
  <c r="S255" i="49"/>
  <c r="CS255" i="49"/>
  <c r="CU255" i="49"/>
  <c r="AK305" i="46"/>
  <c r="S201" i="49"/>
  <c r="CS201" i="49"/>
  <c r="CU201" i="49"/>
  <c r="AK270" i="46"/>
  <c r="S151" i="49"/>
  <c r="CS151" i="49"/>
  <c r="CU151" i="49"/>
  <c r="AK345" i="46"/>
  <c r="S278" i="49"/>
  <c r="CS278" i="49"/>
  <c r="CU278" i="49"/>
  <c r="AK338" i="46"/>
  <c r="S227" i="49"/>
  <c r="CS227" i="49"/>
  <c r="CU227" i="49"/>
  <c r="AK342" i="46"/>
  <c r="S136" i="49"/>
  <c r="CS136" i="49"/>
  <c r="CU136" i="49"/>
  <c r="AK187" i="46"/>
  <c r="S289" i="49"/>
  <c r="CS289" i="49"/>
  <c r="CU289" i="49"/>
  <c r="AK204" i="46"/>
  <c r="S306" i="49"/>
  <c r="CS306" i="49"/>
  <c r="CU306" i="49"/>
  <c r="AK353" i="46"/>
  <c r="S160" i="49"/>
  <c r="CS160" i="49"/>
  <c r="CU160" i="49"/>
  <c r="AK304" i="46"/>
  <c r="S252" i="49"/>
  <c r="CS252" i="49"/>
  <c r="CU252" i="49"/>
  <c r="AK202" i="46"/>
  <c r="S191" i="49"/>
  <c r="CS191" i="49"/>
  <c r="CU191" i="49"/>
  <c r="AK246" i="46"/>
  <c r="S223" i="49"/>
  <c r="CS223" i="49"/>
  <c r="CU223" i="49"/>
  <c r="AK332" i="46"/>
  <c r="S210" i="49"/>
  <c r="CS210" i="49"/>
  <c r="CU210" i="49"/>
  <c r="AK255" i="46"/>
  <c r="S183" i="49"/>
  <c r="CS183" i="49"/>
  <c r="CU183" i="49"/>
  <c r="AK210" i="46"/>
  <c r="S208" i="49"/>
  <c r="CS208" i="49"/>
  <c r="CU208" i="49"/>
  <c r="AK267" i="46"/>
  <c r="S251" i="49"/>
  <c r="CS251" i="49"/>
  <c r="CU251" i="49"/>
  <c r="AK183" i="46"/>
  <c r="S284" i="49"/>
  <c r="CS284" i="49"/>
  <c r="CU284" i="49"/>
  <c r="AK275" i="46"/>
  <c r="S213" i="49"/>
  <c r="CS213" i="49"/>
  <c r="CU213" i="49"/>
  <c r="AK195" i="46"/>
  <c r="S242" i="49"/>
  <c r="CS242" i="49"/>
  <c r="CU242" i="49"/>
  <c r="AK245" i="46"/>
  <c r="S261" i="49"/>
  <c r="CS261" i="49"/>
  <c r="CU261" i="49"/>
  <c r="AK313" i="46"/>
  <c r="S271" i="49"/>
  <c r="CS271" i="49"/>
  <c r="CU271" i="49"/>
  <c r="AK310" i="46"/>
  <c r="S281" i="49"/>
  <c r="CS281" i="49"/>
  <c r="CU281" i="49"/>
  <c r="AK223" i="46"/>
  <c r="S215" i="49"/>
  <c r="CS215" i="49"/>
  <c r="CU215" i="49"/>
  <c r="AK178" i="46"/>
  <c r="S234" i="49"/>
  <c r="CS234" i="49"/>
  <c r="CU234" i="49"/>
  <c r="AK284" i="46"/>
  <c r="S253" i="49"/>
  <c r="CS253" i="49"/>
  <c r="CU253" i="49"/>
  <c r="AK198" i="46"/>
  <c r="S5" i="49"/>
  <c r="AK225" i="46"/>
  <c r="S134" i="49"/>
  <c r="CS134" i="49"/>
  <c r="CU134" i="49"/>
  <c r="AK194" i="46"/>
  <c r="S146" i="49"/>
  <c r="CS146" i="49"/>
  <c r="CU146" i="49"/>
  <c r="AK299" i="46"/>
  <c r="S220" i="49"/>
  <c r="CS220" i="49"/>
  <c r="CU220" i="49"/>
  <c r="AK311" i="46"/>
  <c r="S268" i="49"/>
  <c r="CS268" i="49"/>
  <c r="CU268" i="49"/>
  <c r="AK229" i="46"/>
  <c r="S170" i="49"/>
  <c r="CS170" i="49"/>
  <c r="CU170" i="49"/>
  <c r="AK231" i="46"/>
  <c r="S247" i="49"/>
  <c r="CS247" i="49"/>
  <c r="CU247" i="49"/>
  <c r="AK234" i="46"/>
  <c r="S274" i="49"/>
  <c r="CS274" i="49"/>
  <c r="CU274" i="49"/>
  <c r="AK337" i="46"/>
  <c r="S309" i="49"/>
  <c r="CS309" i="49"/>
  <c r="CU309" i="49"/>
  <c r="AK206" i="46"/>
  <c r="S249" i="49"/>
  <c r="CS249" i="49"/>
  <c r="CU249" i="49"/>
  <c r="AK237" i="46"/>
  <c r="S202" i="49"/>
  <c r="CS202" i="49"/>
  <c r="CU202" i="49"/>
  <c r="AK264" i="46"/>
  <c r="S187" i="49"/>
  <c r="CS187" i="49"/>
  <c r="CU187" i="49"/>
  <c r="AK252" i="46"/>
  <c r="S163" i="49"/>
  <c r="CS163" i="49"/>
  <c r="CU163" i="49"/>
  <c r="AK244" i="46"/>
  <c r="S265" i="49"/>
  <c r="CS265" i="49"/>
  <c r="CU265" i="49"/>
  <c r="AK182" i="46"/>
  <c r="S283" i="49"/>
  <c r="CS283" i="49"/>
  <c r="CU283" i="49"/>
  <c r="AK300" i="46"/>
  <c r="S248" i="49"/>
  <c r="CS248" i="49"/>
  <c r="CU248" i="49"/>
  <c r="AK230" i="46"/>
  <c r="S297" i="49"/>
  <c r="CS297" i="49"/>
  <c r="CU297" i="49"/>
  <c r="AK352" i="46"/>
  <c r="S218" i="49"/>
  <c r="CS218" i="49"/>
  <c r="CU218" i="49"/>
  <c r="AK296" i="46"/>
  <c r="S141" i="49"/>
  <c r="CS141" i="49"/>
  <c r="CU141" i="49"/>
  <c r="AK211" i="46"/>
  <c r="S346" i="49"/>
  <c r="CS346" i="49"/>
  <c r="CU346" i="49"/>
  <c r="AK347" i="46"/>
  <c r="S195" i="49"/>
  <c r="CS195" i="49"/>
  <c r="CU195" i="49"/>
  <c r="AK289" i="46"/>
  <c r="S148" i="49"/>
  <c r="CS148" i="49"/>
  <c r="CU148" i="49"/>
  <c r="AK281" i="46"/>
  <c r="S290" i="49"/>
  <c r="CS290" i="49"/>
  <c r="CU290" i="49"/>
  <c r="AK239" i="46"/>
  <c r="S270" i="49"/>
  <c r="CS270" i="49"/>
  <c r="CU270" i="49"/>
  <c r="AK283" i="46"/>
  <c r="S211" i="49"/>
  <c r="CS211" i="49"/>
  <c r="CU211" i="49"/>
  <c r="AK348" i="46"/>
  <c r="S142" i="49"/>
  <c r="CS142" i="49"/>
  <c r="CU142" i="49"/>
  <c r="AK208" i="46"/>
  <c r="S250" i="49"/>
  <c r="CS250" i="49"/>
  <c r="CU250" i="49"/>
  <c r="AK308" i="46"/>
  <c r="S277" i="49"/>
  <c r="CS277" i="49"/>
  <c r="CU277" i="49"/>
  <c r="AK185" i="46"/>
  <c r="S304" i="49"/>
  <c r="CS304" i="49"/>
  <c r="CU304" i="49"/>
  <c r="AK277" i="46"/>
  <c r="S214" i="49"/>
  <c r="CS214" i="49"/>
  <c r="CU214" i="49"/>
  <c r="AK191" i="46"/>
  <c r="S236" i="49"/>
  <c r="CS236" i="49"/>
  <c r="CU236" i="49"/>
  <c r="AK307" i="46"/>
  <c r="S254" i="49"/>
  <c r="CS254" i="49"/>
  <c r="CU254" i="49"/>
  <c r="AK324" i="46"/>
  <c r="S279" i="49"/>
  <c r="CS279" i="49"/>
  <c r="CU279" i="49"/>
  <c r="AK261" i="46"/>
  <c r="S179" i="49"/>
  <c r="CS179" i="49"/>
  <c r="CU179" i="49"/>
  <c r="AK218" i="46"/>
  <c r="S311" i="49"/>
  <c r="CS311" i="49"/>
  <c r="CU311" i="49"/>
  <c r="AK233" i="46"/>
  <c r="S273" i="49"/>
  <c r="CS273" i="49"/>
  <c r="CU273" i="49"/>
  <c r="AK298" i="46"/>
  <c r="S76" i="49"/>
  <c r="CS76" i="49"/>
  <c r="CU76" i="49"/>
  <c r="AK309" i="46"/>
  <c r="S159" i="49"/>
  <c r="CS159" i="49"/>
  <c r="CU159" i="49"/>
  <c r="AK243" i="46"/>
  <c r="S238" i="49"/>
  <c r="CS238" i="49"/>
  <c r="CU238" i="49"/>
  <c r="AK224" i="46"/>
  <c r="S226" i="49"/>
  <c r="CS226" i="49"/>
  <c r="CU226" i="49"/>
  <c r="AK266" i="46"/>
  <c r="S199" i="49"/>
  <c r="CS199" i="49"/>
  <c r="CU199" i="49"/>
  <c r="AK232" i="46"/>
  <c r="S245" i="49"/>
  <c r="CS245" i="49"/>
  <c r="CU245" i="49"/>
  <c r="AK346" i="46"/>
  <c r="S299" i="49"/>
  <c r="CS299" i="49"/>
  <c r="CU299" i="49"/>
  <c r="AK273" i="46"/>
  <c r="S212" i="49"/>
  <c r="CS212" i="49"/>
  <c r="CU212" i="49"/>
  <c r="AK356" i="46"/>
  <c r="AK274" i="46"/>
  <c r="S217" i="49"/>
  <c r="CS217" i="49"/>
  <c r="CU217" i="49"/>
  <c r="AK199" i="46"/>
  <c r="S193" i="49"/>
  <c r="CS193" i="49"/>
  <c r="CU193" i="49"/>
  <c r="AK236" i="46"/>
  <c r="S235" i="49"/>
  <c r="CS235" i="49"/>
  <c r="CU235" i="49"/>
  <c r="AK207" i="46"/>
  <c r="S225" i="49"/>
  <c r="CS225" i="49"/>
  <c r="CU225" i="49"/>
  <c r="AK314" i="46"/>
  <c r="S266" i="49"/>
  <c r="CS266" i="49"/>
  <c r="CU266" i="49"/>
  <c r="AK341" i="46"/>
  <c r="S198" i="49"/>
  <c r="CS198" i="49"/>
  <c r="CU198" i="49"/>
  <c r="AK227" i="46"/>
  <c r="S144" i="49"/>
  <c r="CS144" i="49"/>
  <c r="CU144" i="49"/>
  <c r="AK322" i="46"/>
  <c r="S259" i="49"/>
  <c r="CS259" i="49"/>
  <c r="CU259" i="49"/>
  <c r="AK186" i="46"/>
  <c r="S175" i="49"/>
  <c r="CS175" i="49"/>
  <c r="CU175" i="49"/>
  <c r="AK241" i="46"/>
  <c r="S164" i="49"/>
  <c r="CS164" i="49"/>
  <c r="CU164" i="49"/>
  <c r="AK269" i="46"/>
  <c r="S276" i="49"/>
  <c r="CS276" i="49"/>
  <c r="CU276" i="49"/>
  <c r="AK235" i="46"/>
  <c r="S154" i="49"/>
  <c r="CS154" i="49"/>
  <c r="CU154" i="49"/>
  <c r="AK336" i="46"/>
  <c r="S216" i="49"/>
  <c r="CS216" i="49"/>
  <c r="CU216" i="49"/>
  <c r="AK335" i="46"/>
  <c r="S221" i="49"/>
  <c r="CS221" i="49"/>
  <c r="CU221" i="49"/>
  <c r="AK325" i="46"/>
  <c r="S206" i="49"/>
  <c r="CS206" i="49"/>
  <c r="CU206" i="49"/>
  <c r="AK254" i="46"/>
  <c r="S200" i="49"/>
  <c r="CS200" i="49"/>
  <c r="CU200" i="49"/>
  <c r="AK290" i="46"/>
  <c r="S138" i="49"/>
  <c r="CS138" i="49"/>
  <c r="CU138" i="49"/>
  <c r="AK180" i="46"/>
  <c r="S295" i="49"/>
  <c r="CS295" i="49"/>
  <c r="CU295" i="49"/>
  <c r="AK303" i="46"/>
  <c r="S302" i="49"/>
  <c r="CS302" i="49"/>
  <c r="CU302" i="49"/>
  <c r="AK200" i="46"/>
  <c r="S155" i="49"/>
  <c r="CS155" i="49"/>
  <c r="CU155" i="49"/>
  <c r="AK220" i="46"/>
  <c r="S173" i="49"/>
  <c r="CS173" i="49"/>
  <c r="CU173" i="49"/>
  <c r="AK242" i="46"/>
  <c r="S133" i="49"/>
  <c r="CS133" i="49"/>
  <c r="CU133" i="49"/>
  <c r="AK260" i="46"/>
  <c r="S181" i="49"/>
  <c r="CS181" i="49"/>
  <c r="CU181" i="49"/>
  <c r="AK349" i="46"/>
  <c r="S243" i="49"/>
  <c r="CS243" i="49"/>
  <c r="CU243" i="49"/>
  <c r="AK330" i="46"/>
  <c r="S189" i="49"/>
  <c r="CS189" i="49"/>
  <c r="CU189" i="49"/>
  <c r="AK209" i="46"/>
  <c r="S209" i="49"/>
  <c r="CS209" i="49"/>
  <c r="CU209" i="49"/>
  <c r="AK286" i="46"/>
  <c r="S296" i="49"/>
  <c r="CS296" i="49"/>
  <c r="CU296" i="49"/>
  <c r="AK344" i="46"/>
  <c r="S145" i="49"/>
  <c r="CS145" i="49"/>
  <c r="CU145" i="49"/>
  <c r="AK203" i="46"/>
  <c r="S307" i="49"/>
  <c r="CS307" i="49"/>
  <c r="CU307" i="49"/>
  <c r="AK201" i="46"/>
  <c r="S137" i="49"/>
  <c r="CS137" i="49"/>
  <c r="CU137" i="49"/>
  <c r="AK247" i="46"/>
  <c r="S224" i="49"/>
  <c r="CS224" i="49"/>
  <c r="CU224" i="49"/>
  <c r="AK226" i="46"/>
  <c r="S190" i="49"/>
  <c r="CS190" i="49"/>
  <c r="CU190" i="49"/>
  <c r="AK188" i="46"/>
  <c r="S291" i="49"/>
  <c r="CS291" i="49"/>
  <c r="CU291" i="49"/>
  <c r="AK302" i="46"/>
  <c r="S301" i="49"/>
  <c r="CS301" i="49"/>
  <c r="CU301" i="49"/>
  <c r="AK329" i="46"/>
  <c r="S229" i="49"/>
  <c r="CS229" i="49"/>
  <c r="CU229" i="49"/>
  <c r="AK306" i="46"/>
  <c r="S256" i="49"/>
  <c r="CS256" i="49"/>
  <c r="CU256" i="49"/>
  <c r="AK285" i="46"/>
  <c r="S132" i="49"/>
  <c r="CS132" i="49"/>
  <c r="CU132" i="49"/>
  <c r="AK268" i="46"/>
  <c r="S246" i="49"/>
  <c r="CS246" i="49"/>
  <c r="CU246" i="49"/>
  <c r="AK256" i="46"/>
  <c r="S177" i="49"/>
  <c r="CS177" i="49"/>
  <c r="CU177" i="49"/>
  <c r="AK216" i="46"/>
  <c r="S196" i="49"/>
  <c r="CS196" i="49"/>
  <c r="CU196" i="49"/>
  <c r="AK291" i="46"/>
  <c r="S260" i="49"/>
  <c r="CS260" i="49"/>
  <c r="CU260" i="49"/>
  <c r="AK176" i="46"/>
  <c r="S222" i="49"/>
  <c r="CS222" i="49"/>
  <c r="CU222" i="49"/>
  <c r="AK171" i="46"/>
  <c r="S90" i="49"/>
  <c r="CS90" i="49"/>
  <c r="CU90" i="49"/>
  <c r="AK168" i="46"/>
  <c r="S128" i="49"/>
  <c r="CS128" i="49"/>
  <c r="CU128" i="49"/>
  <c r="AK122" i="46"/>
  <c r="S116" i="49"/>
  <c r="CS116" i="49"/>
  <c r="CU116" i="49"/>
  <c r="AK166" i="46"/>
  <c r="S79" i="49"/>
  <c r="CS79" i="49"/>
  <c r="CU79" i="49"/>
  <c r="AK156" i="46"/>
  <c r="S129" i="49"/>
  <c r="CS129" i="49"/>
  <c r="CU129" i="49"/>
  <c r="AK167" i="46"/>
  <c r="S84" i="49"/>
  <c r="CS84" i="49"/>
  <c r="CU84" i="49"/>
  <c r="AK123" i="46"/>
  <c r="S94" i="49"/>
  <c r="CS94" i="49"/>
  <c r="CU94" i="49"/>
  <c r="AK161" i="46"/>
  <c r="S127" i="49"/>
  <c r="CS127" i="49"/>
  <c r="CU127" i="49"/>
  <c r="AK140" i="46"/>
  <c r="S115" i="49"/>
  <c r="CS115" i="49"/>
  <c r="CU115" i="49"/>
  <c r="AK165" i="46"/>
  <c r="S86" i="49"/>
  <c r="CS86" i="49"/>
  <c r="CU86" i="49"/>
  <c r="AK131" i="46"/>
  <c r="S107" i="49"/>
  <c r="CS107" i="49"/>
  <c r="CU107" i="49"/>
  <c r="AK132" i="46"/>
  <c r="S91" i="49"/>
  <c r="CS91" i="49"/>
  <c r="CU91" i="49"/>
  <c r="AK147" i="46"/>
  <c r="S131" i="49"/>
  <c r="CS131" i="49"/>
  <c r="CU131" i="49"/>
  <c r="AK142" i="46"/>
  <c r="S120" i="49"/>
  <c r="CS120" i="49"/>
  <c r="CU120" i="49"/>
  <c r="AK155" i="46"/>
  <c r="S122" i="49"/>
  <c r="CS122" i="49"/>
  <c r="CU122" i="49"/>
  <c r="AK128" i="46"/>
  <c r="S78" i="49"/>
  <c r="CS78" i="49"/>
  <c r="CU78" i="49"/>
  <c r="AK138" i="46"/>
  <c r="S126" i="49"/>
  <c r="CS126" i="49"/>
  <c r="CU126" i="49"/>
  <c r="AK129" i="46"/>
  <c r="S95" i="49"/>
  <c r="CS95" i="49"/>
  <c r="CU95" i="49"/>
  <c r="AK137" i="46"/>
  <c r="S108" i="49"/>
  <c r="CS108" i="49"/>
  <c r="CU108" i="49"/>
  <c r="AK170" i="46"/>
  <c r="S85" i="49"/>
  <c r="CS85" i="49"/>
  <c r="CU85" i="49"/>
  <c r="AK150" i="46"/>
  <c r="S105" i="49"/>
  <c r="CS105" i="49"/>
  <c r="CU105" i="49"/>
  <c r="AK151" i="46"/>
  <c r="S125" i="49"/>
  <c r="CS125" i="49"/>
  <c r="CU125" i="49"/>
  <c r="AK149" i="46"/>
  <c r="S88" i="49"/>
  <c r="CS88" i="49"/>
  <c r="CU88" i="49"/>
  <c r="AK134" i="46"/>
  <c r="S119" i="49"/>
  <c r="CS119" i="49"/>
  <c r="CU119" i="49"/>
  <c r="AK152" i="46"/>
  <c r="S123" i="49"/>
  <c r="CS123" i="49"/>
  <c r="CU123" i="49"/>
  <c r="AK127" i="46"/>
  <c r="S99" i="49"/>
  <c r="CS99" i="49"/>
  <c r="CU99" i="49"/>
  <c r="AK130" i="46"/>
  <c r="S87" i="49"/>
  <c r="CS87" i="49"/>
  <c r="CU87" i="49"/>
  <c r="AK126" i="46"/>
  <c r="S103" i="49"/>
  <c r="CS103" i="49"/>
  <c r="CU103" i="49"/>
  <c r="AK124" i="46"/>
  <c r="S117" i="49"/>
  <c r="CS117" i="49"/>
  <c r="CU117" i="49"/>
  <c r="AK153" i="46"/>
  <c r="S130" i="49"/>
  <c r="CS130" i="49"/>
  <c r="CU130" i="49"/>
  <c r="AK154" i="46"/>
  <c r="S100" i="49"/>
  <c r="CS100" i="49"/>
  <c r="CU100" i="49"/>
  <c r="AK125" i="46"/>
  <c r="S80" i="49"/>
  <c r="CS80" i="49"/>
  <c r="CU80" i="49"/>
  <c r="AK121" i="46"/>
  <c r="S92" i="49"/>
  <c r="CS92" i="49"/>
  <c r="CU92" i="49"/>
  <c r="AK144" i="46"/>
  <c r="S98" i="49"/>
  <c r="CS98" i="49"/>
  <c r="CU98" i="49"/>
  <c r="AK143" i="46"/>
  <c r="S89" i="49"/>
  <c r="CS89" i="49"/>
  <c r="CU89" i="49"/>
  <c r="AK164" i="46"/>
  <c r="S82" i="49"/>
  <c r="CS82" i="49"/>
  <c r="CU82" i="49"/>
  <c r="AK133" i="46"/>
  <c r="S106" i="49"/>
  <c r="CS106" i="49"/>
  <c r="CU106" i="49"/>
  <c r="AK139" i="46"/>
  <c r="S112" i="49"/>
  <c r="CS112" i="49"/>
  <c r="CU112" i="49"/>
  <c r="AK145" i="46"/>
  <c r="S118" i="49"/>
  <c r="CS118" i="49"/>
  <c r="CU118" i="49"/>
  <c r="AK163" i="46"/>
  <c r="S102" i="49"/>
  <c r="CS102" i="49"/>
  <c r="CU102" i="49"/>
  <c r="AK135" i="46"/>
  <c r="S110" i="49"/>
  <c r="CS110" i="49"/>
  <c r="CU110" i="49"/>
  <c r="AK172" i="46"/>
  <c r="S77" i="49"/>
  <c r="CS77" i="49"/>
  <c r="CU77" i="49"/>
  <c r="AK141" i="46"/>
  <c r="S111" i="49"/>
  <c r="CS111" i="49"/>
  <c r="CU111" i="49"/>
  <c r="AK148" i="46"/>
  <c r="S101" i="49"/>
  <c r="CS101" i="49"/>
  <c r="CU101" i="49"/>
  <c r="AK160" i="46"/>
  <c r="S109" i="49"/>
  <c r="CS109" i="49"/>
  <c r="CU109" i="49"/>
  <c r="AK162" i="46"/>
  <c r="S124" i="49"/>
  <c r="CS124" i="49"/>
  <c r="CU124" i="49"/>
  <c r="AK136" i="46"/>
  <c r="S104" i="49"/>
  <c r="CS104" i="49"/>
  <c r="CU104" i="49"/>
  <c r="AK159" i="46"/>
  <c r="S121" i="49"/>
  <c r="CS121" i="49"/>
  <c r="CU121" i="49"/>
  <c r="AK146" i="46"/>
  <c r="S114" i="49"/>
  <c r="CS114" i="49"/>
  <c r="CU114" i="49"/>
  <c r="AK158" i="46"/>
  <c r="S113" i="49"/>
  <c r="CS113" i="49"/>
  <c r="CU113" i="49"/>
  <c r="AK157" i="46"/>
  <c r="S83" i="49"/>
  <c r="CS83" i="49"/>
  <c r="CU83" i="49"/>
  <c r="AK169" i="46"/>
  <c r="S81" i="49"/>
  <c r="CS81" i="49"/>
  <c r="CU81" i="49"/>
  <c r="AI81" i="46"/>
  <c r="AI80" i="46"/>
  <c r="Q62" i="49"/>
  <c r="AY62" i="49"/>
  <c r="BA62" i="49"/>
  <c r="AI77" i="46"/>
  <c r="Q54" i="49"/>
  <c r="AY54" i="49"/>
  <c r="BA54" i="49"/>
  <c r="AI76" i="46"/>
  <c r="Q56" i="49"/>
  <c r="AY56" i="49"/>
  <c r="BA56" i="49"/>
  <c r="AI75" i="46"/>
  <c r="Q57" i="49"/>
  <c r="AY57" i="49"/>
  <c r="BA57" i="49"/>
  <c r="AI78" i="46"/>
  <c r="Q55" i="49"/>
  <c r="AY55" i="49"/>
  <c r="BA55" i="49"/>
  <c r="AI72" i="46"/>
  <c r="Q61" i="49"/>
  <c r="AY61" i="49"/>
  <c r="BA61" i="49"/>
  <c r="AI73" i="46"/>
  <c r="Q58" i="49"/>
  <c r="AY58" i="49"/>
  <c r="BA58" i="49"/>
  <c r="AI74" i="46"/>
  <c r="Q60" i="49"/>
  <c r="AY60" i="49"/>
  <c r="BA60" i="49"/>
  <c r="AG557" i="46"/>
  <c r="AG558" i="46"/>
  <c r="AJ379" i="46"/>
  <c r="R327" i="49"/>
  <c r="BV327" i="49"/>
  <c r="BX327" i="49"/>
  <c r="AJ380" i="46"/>
  <c r="R329" i="49"/>
  <c r="BV329" i="49"/>
  <c r="BX329" i="49"/>
  <c r="AJ375" i="46"/>
  <c r="R326" i="49"/>
  <c r="BV326" i="49"/>
  <c r="BX326" i="49"/>
  <c r="AJ378" i="46"/>
  <c r="R331" i="49"/>
  <c r="BV331" i="49"/>
  <c r="BX331" i="49"/>
  <c r="AJ381" i="46"/>
  <c r="AJ376" i="46"/>
  <c r="R332" i="49"/>
  <c r="BV332" i="49"/>
  <c r="BX332" i="49"/>
  <c r="AJ374" i="46"/>
  <c r="R328" i="49"/>
  <c r="BV328" i="49"/>
  <c r="BX328" i="49"/>
  <c r="AJ370" i="46"/>
  <c r="R323" i="49"/>
  <c r="BV323" i="49"/>
  <c r="BX323" i="49"/>
  <c r="AJ371" i="46"/>
  <c r="R313" i="49"/>
  <c r="BV313" i="49"/>
  <c r="BX313" i="49"/>
  <c r="AJ368" i="46"/>
  <c r="R316" i="49"/>
  <c r="BV316" i="49"/>
  <c r="BX316" i="49"/>
  <c r="AJ363" i="46"/>
  <c r="AJ367" i="46"/>
  <c r="R324" i="49"/>
  <c r="BV324" i="49"/>
  <c r="BX324" i="49"/>
  <c r="AJ365" i="46"/>
  <c r="R314" i="49"/>
  <c r="BV314" i="49"/>
  <c r="BX314" i="49"/>
  <c r="AJ369" i="46"/>
  <c r="R325" i="49"/>
  <c r="BV325" i="49"/>
  <c r="BX325" i="49"/>
  <c r="AJ364" i="46"/>
  <c r="R322" i="49"/>
  <c r="BV322" i="49"/>
  <c r="BX322" i="49"/>
  <c r="AJ372" i="46"/>
  <c r="R317" i="49"/>
  <c r="BV317" i="49"/>
  <c r="BX317" i="49"/>
  <c r="AJ366" i="46"/>
  <c r="R315" i="49"/>
  <c r="BV315" i="49"/>
  <c r="BX315" i="49"/>
  <c r="AJ17" i="46"/>
  <c r="AJ16" i="46"/>
  <c r="R14" i="49"/>
  <c r="BV14" i="49"/>
  <c r="BX14" i="49"/>
  <c r="AJ15" i="46"/>
  <c r="R11" i="49"/>
  <c r="BV11" i="49"/>
  <c r="BX11" i="49"/>
  <c r="AJ9" i="46"/>
  <c r="R6" i="49"/>
  <c r="BV6" i="49"/>
  <c r="BX6" i="49"/>
  <c r="AJ11" i="46"/>
  <c r="R8" i="49"/>
  <c r="BV8" i="49"/>
  <c r="BX8" i="49"/>
  <c r="AJ7" i="46"/>
  <c r="R15" i="49"/>
  <c r="BV15" i="49"/>
  <c r="BX15" i="49"/>
  <c r="AJ12" i="46"/>
  <c r="R10" i="49"/>
  <c r="BV10" i="49"/>
  <c r="BX10" i="49"/>
  <c r="AJ8" i="46"/>
  <c r="R13" i="49"/>
  <c r="BV13" i="49"/>
  <c r="BX13" i="49"/>
  <c r="AJ13" i="46"/>
  <c r="R12" i="49"/>
  <c r="BV12" i="49"/>
  <c r="BX12" i="49"/>
  <c r="AJ10" i="46"/>
  <c r="R9" i="49"/>
  <c r="BV9" i="49"/>
  <c r="BX9" i="49"/>
  <c r="AJ14" i="46"/>
  <c r="R7" i="49"/>
  <c r="BV7" i="49"/>
  <c r="BX7" i="49"/>
  <c r="AJ6" i="46"/>
  <c r="AH496" i="46"/>
  <c r="AH487" i="46"/>
  <c r="AH493" i="46"/>
  <c r="AH494" i="46"/>
  <c r="AH489" i="46"/>
  <c r="AH495" i="46"/>
  <c r="AH497" i="46"/>
  <c r="AH490" i="46"/>
  <c r="AH498" i="46"/>
  <c r="AH492" i="46"/>
  <c r="AH491" i="46"/>
  <c r="AH488" i="46"/>
  <c r="AH486" i="46"/>
  <c r="AH477" i="46"/>
  <c r="AH485" i="46"/>
  <c r="AH469" i="46"/>
  <c r="AH475" i="46"/>
  <c r="AH479" i="46"/>
  <c r="AH478" i="46"/>
  <c r="AH476" i="46"/>
  <c r="AH473" i="46"/>
  <c r="AH482" i="46"/>
  <c r="AH481" i="46"/>
  <c r="AH484" i="46"/>
  <c r="AH472" i="46"/>
  <c r="AH471" i="46"/>
  <c r="AH483" i="46"/>
  <c r="AH470" i="46"/>
  <c r="AH474" i="46"/>
  <c r="AH480" i="46"/>
  <c r="AE489" i="49"/>
  <c r="AI571" i="46"/>
  <c r="Q487" i="49"/>
  <c r="AY487" i="49"/>
  <c r="BA487" i="49"/>
  <c r="AI572" i="46"/>
  <c r="Q486" i="49"/>
  <c r="AY486" i="49"/>
  <c r="BA486" i="49"/>
  <c r="AI573" i="46"/>
  <c r="AI570" i="46"/>
  <c r="Q485" i="49"/>
  <c r="AY485" i="49"/>
  <c r="BA485" i="49"/>
  <c r="AI569" i="46"/>
  <c r="Q488" i="49"/>
  <c r="AY488" i="49"/>
  <c r="BA488" i="49"/>
  <c r="AI565" i="46"/>
  <c r="Q482" i="49"/>
  <c r="AY482" i="49"/>
  <c r="BA482" i="49"/>
  <c r="AI564" i="46"/>
  <c r="Q477" i="49"/>
  <c r="AY477" i="49"/>
  <c r="BA477" i="49"/>
  <c r="AI563" i="46"/>
  <c r="Q483" i="49"/>
  <c r="AY483" i="49"/>
  <c r="BA483" i="49"/>
  <c r="AI567" i="46"/>
  <c r="Q476" i="49"/>
  <c r="AY476" i="49"/>
  <c r="BA476" i="49"/>
  <c r="AI566" i="46"/>
  <c r="Q478" i="49"/>
  <c r="AY478" i="49"/>
  <c r="BA478" i="49"/>
  <c r="AI562" i="46"/>
  <c r="Q481" i="49"/>
  <c r="AY481" i="49"/>
  <c r="BA481" i="49"/>
  <c r="AI561" i="46"/>
  <c r="Q480" i="49"/>
  <c r="AY480" i="49"/>
  <c r="BA480" i="49"/>
  <c r="AI568" i="46"/>
  <c r="Q484" i="49"/>
  <c r="AY484" i="49"/>
  <c r="BA484" i="49"/>
  <c r="CV326" i="49"/>
  <c r="CV331" i="49"/>
  <c r="P6" i="49"/>
  <c r="AL9" i="46"/>
  <c r="P13" i="49"/>
  <c r="AL8" i="46"/>
  <c r="P14" i="49"/>
  <c r="AL16" i="46"/>
  <c r="AF557" i="46"/>
  <c r="BB41" i="49"/>
  <c r="BB50" i="49"/>
  <c r="AI71" i="46"/>
  <c r="AE73" i="49"/>
  <c r="BB315" i="49"/>
  <c r="CV313" i="49"/>
  <c r="AH510" i="46"/>
  <c r="AH508" i="46"/>
  <c r="AH507" i="46"/>
  <c r="AH506" i="46"/>
  <c r="AH505" i="46"/>
  <c r="AH504" i="46"/>
  <c r="AF51" i="46"/>
  <c r="AB582" i="46"/>
  <c r="AH81" i="46"/>
  <c r="AH80" i="46"/>
  <c r="AH78" i="46"/>
  <c r="AH73" i="46"/>
  <c r="AH77" i="46"/>
  <c r="AH75" i="46"/>
  <c r="AH74" i="46"/>
  <c r="AH72" i="46"/>
  <c r="AH76" i="46"/>
  <c r="AG50" i="46"/>
  <c r="AG582" i="46"/>
  <c r="AG2" i="46"/>
  <c r="AK493" i="46"/>
  <c r="S429" i="49"/>
  <c r="CS429" i="49"/>
  <c r="CU429" i="49"/>
  <c r="AK487" i="46"/>
  <c r="S424" i="49"/>
  <c r="CS424" i="49"/>
  <c r="CU424" i="49"/>
  <c r="AK490" i="46"/>
  <c r="S425" i="49"/>
  <c r="CS425" i="49"/>
  <c r="CU425" i="49"/>
  <c r="AK495" i="46"/>
  <c r="S430" i="49"/>
  <c r="CS430" i="49"/>
  <c r="CU430" i="49"/>
  <c r="AK497" i="46"/>
  <c r="S403" i="49"/>
  <c r="CS403" i="49"/>
  <c r="CU403" i="49"/>
  <c r="AK489" i="46"/>
  <c r="S426" i="49"/>
  <c r="CS426" i="49"/>
  <c r="CU426" i="49"/>
  <c r="AK492" i="46"/>
  <c r="S176" i="49"/>
  <c r="CS176" i="49"/>
  <c r="CU176" i="49"/>
  <c r="AK498" i="46"/>
  <c r="AK491" i="46"/>
  <c r="S153" i="49"/>
  <c r="CS153" i="49"/>
  <c r="CU153" i="49"/>
  <c r="AK494" i="46"/>
  <c r="S428" i="49"/>
  <c r="CS428" i="49"/>
  <c r="CU428" i="49"/>
  <c r="AK488" i="46"/>
  <c r="S422" i="49"/>
  <c r="CS422" i="49"/>
  <c r="CU422" i="49"/>
  <c r="AK496" i="46"/>
  <c r="S427" i="49"/>
  <c r="CS427" i="49"/>
  <c r="CU427" i="49"/>
  <c r="AK486" i="46"/>
  <c r="S423" i="49"/>
  <c r="CS423" i="49"/>
  <c r="CU423" i="49"/>
  <c r="AK473" i="46"/>
  <c r="S412" i="49"/>
  <c r="CS412" i="49"/>
  <c r="CU412" i="49"/>
  <c r="AK471" i="46"/>
  <c r="S405" i="49"/>
  <c r="CS405" i="49"/>
  <c r="CU405" i="49"/>
  <c r="AK476" i="46"/>
  <c r="S416" i="49"/>
  <c r="CS416" i="49"/>
  <c r="CU416" i="49"/>
  <c r="AK472" i="46"/>
  <c r="S418" i="49"/>
  <c r="CS418" i="49"/>
  <c r="CU418" i="49"/>
  <c r="AK474" i="46"/>
  <c r="S415" i="49"/>
  <c r="CS415" i="49"/>
  <c r="CU415" i="49"/>
  <c r="AK479" i="46"/>
  <c r="S410" i="49"/>
  <c r="CS410" i="49"/>
  <c r="CU410" i="49"/>
  <c r="AK485" i="46"/>
  <c r="S414" i="49"/>
  <c r="CS414" i="49"/>
  <c r="CU414" i="49"/>
  <c r="AK481" i="46"/>
  <c r="S411" i="49"/>
  <c r="CS411" i="49"/>
  <c r="CU411" i="49"/>
  <c r="AK477" i="46"/>
  <c r="S417" i="49"/>
  <c r="CS417" i="49"/>
  <c r="CU417" i="49"/>
  <c r="AK469" i="46"/>
  <c r="S407" i="49"/>
  <c r="CS407" i="49"/>
  <c r="CU407" i="49"/>
  <c r="AK482" i="46"/>
  <c r="S413" i="49"/>
  <c r="CS413" i="49"/>
  <c r="CU413" i="49"/>
  <c r="AK475" i="46"/>
  <c r="S406" i="49"/>
  <c r="CS406" i="49"/>
  <c r="CU406" i="49"/>
  <c r="AK483" i="46"/>
  <c r="S408" i="49"/>
  <c r="CS408" i="49"/>
  <c r="CU408" i="49"/>
  <c r="AK484" i="46"/>
  <c r="S404" i="49"/>
  <c r="CS404" i="49"/>
  <c r="CU404" i="49"/>
  <c r="AK478" i="46"/>
  <c r="S420" i="49"/>
  <c r="CS420" i="49"/>
  <c r="CU420" i="49"/>
  <c r="AK480" i="46"/>
  <c r="S409" i="49"/>
  <c r="CS409" i="49"/>
  <c r="CU409" i="49"/>
  <c r="AK470" i="46"/>
  <c r="S421" i="49"/>
  <c r="CS421" i="49"/>
  <c r="CU421" i="49"/>
  <c r="AK94" i="46"/>
  <c r="S63" i="49"/>
  <c r="CS63" i="49"/>
  <c r="CU63" i="49"/>
  <c r="AK93" i="46"/>
  <c r="S71" i="49"/>
  <c r="CS71" i="49"/>
  <c r="CU71" i="49"/>
  <c r="AK90" i="46"/>
  <c r="S65" i="49"/>
  <c r="CS65" i="49"/>
  <c r="CU65" i="49"/>
  <c r="AK89" i="46"/>
  <c r="S67" i="49"/>
  <c r="CS67" i="49"/>
  <c r="CU67" i="49"/>
  <c r="AK91" i="46"/>
  <c r="S64" i="49"/>
  <c r="CS64" i="49"/>
  <c r="CU64" i="49"/>
  <c r="AK88" i="46"/>
  <c r="S66" i="49"/>
  <c r="CS66" i="49"/>
  <c r="CU66" i="49"/>
  <c r="BB323" i="49"/>
  <c r="AH71" i="46"/>
  <c r="CV323" i="49"/>
  <c r="AI407" i="46"/>
  <c r="AJ278" i="46"/>
  <c r="R312" i="49"/>
  <c r="BV312" i="49"/>
  <c r="BX312" i="49"/>
  <c r="AJ322" i="46"/>
  <c r="R259" i="49"/>
  <c r="BV259" i="49"/>
  <c r="BX259" i="49"/>
  <c r="AJ181" i="46"/>
  <c r="R286" i="49"/>
  <c r="BV286" i="49"/>
  <c r="BX286" i="49"/>
  <c r="AJ241" i="46"/>
  <c r="R164" i="49"/>
  <c r="BV164" i="49"/>
  <c r="BX164" i="49"/>
  <c r="AJ324" i="46"/>
  <c r="R279" i="49"/>
  <c r="BV279" i="49"/>
  <c r="BX279" i="49"/>
  <c r="AJ260" i="46"/>
  <c r="R181" i="49"/>
  <c r="BV181" i="49"/>
  <c r="BX181" i="49"/>
  <c r="AJ213" i="46"/>
  <c r="R292" i="49"/>
  <c r="BV292" i="49"/>
  <c r="BX292" i="49"/>
  <c r="AJ353" i="46"/>
  <c r="R160" i="49"/>
  <c r="BV160" i="49"/>
  <c r="BX160" i="49"/>
  <c r="AJ315" i="46"/>
  <c r="R294" i="49"/>
  <c r="BV294" i="49"/>
  <c r="BX294" i="49"/>
  <c r="AJ309" i="46"/>
  <c r="R159" i="49"/>
  <c r="BV159" i="49"/>
  <c r="BX159" i="49"/>
  <c r="AJ300" i="46"/>
  <c r="R248" i="49"/>
  <c r="BV248" i="49"/>
  <c r="BX248" i="49"/>
  <c r="AJ348" i="46"/>
  <c r="R142" i="49"/>
  <c r="BV142" i="49"/>
  <c r="BX142" i="49"/>
  <c r="AJ354" i="46"/>
  <c r="R158" i="49"/>
  <c r="BV158" i="49"/>
  <c r="BX158" i="49"/>
  <c r="AJ346" i="46"/>
  <c r="R299" i="49"/>
  <c r="BV299" i="49"/>
  <c r="BX299" i="49"/>
  <c r="AJ220" i="46"/>
  <c r="R173" i="49"/>
  <c r="BV173" i="49"/>
  <c r="BX173" i="49"/>
  <c r="AJ356" i="46"/>
  <c r="AJ292" i="46"/>
  <c r="R165" i="49"/>
  <c r="BV165" i="49"/>
  <c r="BX165" i="49"/>
  <c r="AJ192" i="46"/>
  <c r="R310" i="49"/>
  <c r="BV310" i="49"/>
  <c r="BX310" i="49"/>
  <c r="AJ215" i="46"/>
  <c r="R140" i="49"/>
  <c r="BV140" i="49"/>
  <c r="BX140" i="49"/>
  <c r="AJ207" i="46"/>
  <c r="R225" i="49"/>
  <c r="BV225" i="49"/>
  <c r="BX225" i="49"/>
  <c r="AJ239" i="46"/>
  <c r="R270" i="49"/>
  <c r="BV270" i="49"/>
  <c r="BX270" i="49"/>
  <c r="AJ191" i="46"/>
  <c r="R236" i="49"/>
  <c r="BV236" i="49"/>
  <c r="BX236" i="49"/>
  <c r="AJ316" i="46"/>
  <c r="R262" i="49"/>
  <c r="BV262" i="49"/>
  <c r="BX262" i="49"/>
  <c r="AJ226" i="46"/>
  <c r="R190" i="49"/>
  <c r="BV190" i="49"/>
  <c r="BX190" i="49"/>
  <c r="AJ205" i="46"/>
  <c r="R298" i="49"/>
  <c r="BV298" i="49"/>
  <c r="BX298" i="49"/>
  <c r="AJ337" i="46"/>
  <c r="R309" i="49"/>
  <c r="BV309" i="49"/>
  <c r="BX309" i="49"/>
  <c r="AJ206" i="46"/>
  <c r="R249" i="49"/>
  <c r="BV249" i="49"/>
  <c r="BX249" i="49"/>
  <c r="AJ281" i="46"/>
  <c r="R290" i="49"/>
  <c r="BV290" i="49"/>
  <c r="BX290" i="49"/>
  <c r="AJ347" i="46"/>
  <c r="R195" i="49"/>
  <c r="BV195" i="49"/>
  <c r="BX195" i="49"/>
  <c r="AJ269" i="46"/>
  <c r="R276" i="49"/>
  <c r="BV276" i="49"/>
  <c r="BX276" i="49"/>
  <c r="AJ194" i="46"/>
  <c r="R146" i="49"/>
  <c r="BV146" i="49"/>
  <c r="BX146" i="49"/>
  <c r="AJ195" i="46"/>
  <c r="R242" i="49"/>
  <c r="BV242" i="49"/>
  <c r="BX242" i="49"/>
  <c r="AJ208" i="46"/>
  <c r="R250" i="49"/>
  <c r="BV250" i="49"/>
  <c r="BX250" i="49"/>
  <c r="AJ214" i="46"/>
  <c r="R182" i="49"/>
  <c r="BV182" i="49"/>
  <c r="BX182" i="49"/>
  <c r="AJ310" i="46"/>
  <c r="R281" i="49"/>
  <c r="BV281" i="49"/>
  <c r="BX281" i="49"/>
  <c r="AJ279" i="46"/>
  <c r="R255" i="49"/>
  <c r="BV255" i="49"/>
  <c r="BX255" i="49"/>
  <c r="AJ273" i="46"/>
  <c r="R212" i="49"/>
  <c r="BV212" i="49"/>
  <c r="BX212" i="49"/>
  <c r="AJ270" i="46"/>
  <c r="R151" i="49"/>
  <c r="BV151" i="49"/>
  <c r="BX151" i="49"/>
  <c r="AJ200" i="46"/>
  <c r="R155" i="49"/>
  <c r="BV155" i="49"/>
  <c r="BX155" i="49"/>
  <c r="AJ336" i="46"/>
  <c r="R216" i="49"/>
  <c r="BV216" i="49"/>
  <c r="BX216" i="49"/>
  <c r="AJ341" i="46"/>
  <c r="R198" i="49"/>
  <c r="BV198" i="49"/>
  <c r="BX198" i="49"/>
  <c r="AJ333" i="46"/>
  <c r="R272" i="49"/>
  <c r="BV272" i="49"/>
  <c r="BX272" i="49"/>
  <c r="AJ303" i="46"/>
  <c r="R302" i="49"/>
  <c r="BV302" i="49"/>
  <c r="BX302" i="49"/>
  <c r="AJ197" i="46"/>
  <c r="R308" i="49"/>
  <c r="BV308" i="49"/>
  <c r="BX308" i="49"/>
  <c r="AJ256" i="46"/>
  <c r="R177" i="49"/>
  <c r="BV177" i="49"/>
  <c r="BX177" i="49"/>
  <c r="AJ355" i="46"/>
  <c r="R161" i="49"/>
  <c r="BV161" i="49"/>
  <c r="BX161" i="49"/>
  <c r="AJ352" i="46"/>
  <c r="R218" i="49"/>
  <c r="BV218" i="49"/>
  <c r="BX218" i="49"/>
  <c r="AJ274" i="46"/>
  <c r="R217" i="49"/>
  <c r="BV217" i="49"/>
  <c r="BX217" i="49"/>
  <c r="AJ282" i="46"/>
  <c r="R282" i="49"/>
  <c r="BV282" i="49"/>
  <c r="BX282" i="49"/>
  <c r="AJ242" i="46"/>
  <c r="R133" i="49"/>
  <c r="BV133" i="49"/>
  <c r="BX133" i="49"/>
  <c r="AJ351" i="46"/>
  <c r="R157" i="49"/>
  <c r="BV157" i="49"/>
  <c r="BX157" i="49"/>
  <c r="AJ183" i="46"/>
  <c r="R284" i="49"/>
  <c r="BV284" i="49"/>
  <c r="BX284" i="49"/>
  <c r="AJ288" i="46"/>
  <c r="R232" i="49"/>
  <c r="BV232" i="49"/>
  <c r="BX232" i="49"/>
  <c r="AJ185" i="46"/>
  <c r="R304" i="49"/>
  <c r="BV304" i="49"/>
  <c r="BX304" i="49"/>
  <c r="AJ265" i="46"/>
  <c r="R188" i="49"/>
  <c r="BV188" i="49"/>
  <c r="BX188" i="49"/>
  <c r="AJ296" i="46"/>
  <c r="R141" i="49"/>
  <c r="BV141" i="49"/>
  <c r="BX141" i="49"/>
  <c r="AJ344" i="46"/>
  <c r="R145" i="49"/>
  <c r="BV145" i="49"/>
  <c r="BX145" i="49"/>
  <c r="AJ307" i="46"/>
  <c r="R254" i="49"/>
  <c r="BV254" i="49"/>
  <c r="BX254" i="49"/>
  <c r="AJ201" i="46"/>
  <c r="R137" i="49"/>
  <c r="BV137" i="49"/>
  <c r="BX137" i="49"/>
  <c r="AJ345" i="46"/>
  <c r="R278" i="49"/>
  <c r="BV278" i="49"/>
  <c r="BX278" i="49"/>
  <c r="AJ329" i="46"/>
  <c r="R229" i="49"/>
  <c r="BV229" i="49"/>
  <c r="BX229" i="49"/>
  <c r="AJ240" i="46"/>
  <c r="R230" i="49"/>
  <c r="BV230" i="49"/>
  <c r="BX230" i="49"/>
  <c r="AJ178" i="46"/>
  <c r="R234" i="49"/>
  <c r="BV234" i="49"/>
  <c r="BX234" i="49"/>
  <c r="AJ252" i="46"/>
  <c r="R163" i="49"/>
  <c r="BV163" i="49"/>
  <c r="BX163" i="49"/>
  <c r="AJ330" i="46"/>
  <c r="R189" i="49"/>
  <c r="BV189" i="49"/>
  <c r="BX189" i="49"/>
  <c r="AJ350" i="46"/>
  <c r="R162" i="49"/>
  <c r="BV162" i="49"/>
  <c r="BX162" i="49"/>
  <c r="AJ182" i="46"/>
  <c r="R283" i="49"/>
  <c r="BV283" i="49"/>
  <c r="BX283" i="49"/>
  <c r="AJ232" i="46"/>
  <c r="R245" i="49"/>
  <c r="BV245" i="49"/>
  <c r="BX245" i="49"/>
  <c r="AJ276" i="46"/>
  <c r="R285" i="49"/>
  <c r="BV285" i="49"/>
  <c r="BX285" i="49"/>
  <c r="AJ314" i="46"/>
  <c r="R266" i="49"/>
  <c r="BV266" i="49"/>
  <c r="BX266" i="49"/>
  <c r="AJ331" i="46"/>
  <c r="R293" i="49"/>
  <c r="BV293" i="49"/>
  <c r="BX293" i="49"/>
  <c r="AJ280" i="46"/>
  <c r="R288" i="49"/>
  <c r="BV288" i="49"/>
  <c r="BX288" i="49"/>
  <c r="AJ289" i="46"/>
  <c r="R148" i="49"/>
  <c r="BV148" i="49"/>
  <c r="BX148" i="49"/>
  <c r="AJ228" i="46"/>
  <c r="R143" i="49"/>
  <c r="BV143" i="49"/>
  <c r="BX143" i="49"/>
  <c r="AJ338" i="46"/>
  <c r="R227" i="49"/>
  <c r="BV227" i="49"/>
  <c r="BX227" i="49"/>
  <c r="AJ283" i="46"/>
  <c r="R211" i="49"/>
  <c r="BV211" i="49"/>
  <c r="BX211" i="49"/>
  <c r="AJ275" i="46"/>
  <c r="R213" i="49"/>
  <c r="BV213" i="49"/>
  <c r="BX213" i="49"/>
  <c r="AJ264" i="46"/>
  <c r="R187" i="49"/>
  <c r="BV187" i="49"/>
  <c r="BX187" i="49"/>
  <c r="AJ245" i="46"/>
  <c r="R261" i="49"/>
  <c r="BV261" i="49"/>
  <c r="BX261" i="49"/>
  <c r="AJ308" i="46"/>
  <c r="R277" i="49"/>
  <c r="BV277" i="49"/>
  <c r="BX277" i="49"/>
  <c r="AJ180" i="46"/>
  <c r="R295" i="49"/>
  <c r="BV295" i="49"/>
  <c r="BX295" i="49"/>
  <c r="AJ318" i="46"/>
  <c r="R239" i="49"/>
  <c r="BV239" i="49"/>
  <c r="BX239" i="49"/>
  <c r="AJ210" i="46"/>
  <c r="R208" i="49"/>
  <c r="BV208" i="49"/>
  <c r="BX208" i="49"/>
  <c r="AJ218" i="46"/>
  <c r="R311" i="49"/>
  <c r="BV311" i="49"/>
  <c r="BX311" i="49"/>
  <c r="AJ188" i="46"/>
  <c r="R291" i="49"/>
  <c r="BV291" i="49"/>
  <c r="BX291" i="49"/>
  <c r="AJ332" i="46"/>
  <c r="R210" i="49"/>
  <c r="BV210" i="49"/>
  <c r="BX210" i="49"/>
  <c r="AJ225" i="46"/>
  <c r="R134" i="49"/>
  <c r="BV134" i="49"/>
  <c r="BX134" i="49"/>
  <c r="AJ179" i="46"/>
  <c r="R263" i="49"/>
  <c r="BV263" i="49"/>
  <c r="BX263" i="49"/>
  <c r="AJ187" i="46"/>
  <c r="R289" i="49"/>
  <c r="BV289" i="49"/>
  <c r="BX289" i="49"/>
  <c r="AJ287" i="46"/>
  <c r="R168" i="49"/>
  <c r="BV168" i="49"/>
  <c r="BX168" i="49"/>
  <c r="AJ304" i="46"/>
  <c r="R252" i="49"/>
  <c r="BV252" i="49"/>
  <c r="BX252" i="49"/>
  <c r="AJ231" i="46"/>
  <c r="R247" i="49"/>
  <c r="BV247" i="49"/>
  <c r="BX247" i="49"/>
  <c r="AJ293" i="46"/>
  <c r="R166" i="49"/>
  <c r="BV166" i="49"/>
  <c r="BX166" i="49"/>
  <c r="AJ211" i="46"/>
  <c r="R346" i="49"/>
  <c r="BV346" i="49"/>
  <c r="BX346" i="49"/>
  <c r="AJ190" i="46"/>
  <c r="R171" i="49"/>
  <c r="BV171" i="49"/>
  <c r="BX171" i="49"/>
  <c r="AJ272" i="46"/>
  <c r="R241" i="49"/>
  <c r="BV241" i="49"/>
  <c r="BX241" i="49"/>
  <c r="AJ267" i="46"/>
  <c r="R251" i="49"/>
  <c r="BV251" i="49"/>
  <c r="BX251" i="49"/>
  <c r="AJ286" i="46"/>
  <c r="R296" i="49"/>
  <c r="BV296" i="49"/>
  <c r="BX296" i="49"/>
  <c r="AJ328" i="46"/>
  <c r="R233" i="49"/>
  <c r="BV233" i="49"/>
  <c r="BX233" i="49"/>
  <c r="AJ209" i="46"/>
  <c r="R209" i="49"/>
  <c r="BV209" i="49"/>
  <c r="BX209" i="49"/>
  <c r="AJ236" i="46"/>
  <c r="R235" i="49"/>
  <c r="BV235" i="49"/>
  <c r="BX235" i="49"/>
  <c r="AJ224" i="46"/>
  <c r="R226" i="49"/>
  <c r="BV226" i="49"/>
  <c r="BX226" i="49"/>
  <c r="AJ263" i="46"/>
  <c r="R194" i="49"/>
  <c r="BV194" i="49"/>
  <c r="BX194" i="49"/>
  <c r="AJ223" i="46"/>
  <c r="R215" i="49"/>
  <c r="BV215" i="49"/>
  <c r="BX215" i="49"/>
  <c r="AJ247" i="46"/>
  <c r="R224" i="49"/>
  <c r="BV224" i="49"/>
  <c r="BX224" i="49"/>
  <c r="AJ343" i="46"/>
  <c r="R207" i="49"/>
  <c r="BV207" i="49"/>
  <c r="BX207" i="49"/>
  <c r="AJ261" i="46"/>
  <c r="R179" i="49"/>
  <c r="BV179" i="49"/>
  <c r="BX179" i="49"/>
  <c r="AJ325" i="46"/>
  <c r="R206" i="49"/>
  <c r="BV206" i="49"/>
  <c r="BX206" i="49"/>
  <c r="AJ311" i="46"/>
  <c r="R268" i="49"/>
  <c r="BV268" i="49"/>
  <c r="BX268" i="49"/>
  <c r="AJ237" i="46"/>
  <c r="R202" i="49"/>
  <c r="BV202" i="49"/>
  <c r="BX202" i="49"/>
  <c r="AJ297" i="46"/>
  <c r="R228" i="49"/>
  <c r="BV228" i="49"/>
  <c r="BX228" i="49"/>
  <c r="AJ234" i="46"/>
  <c r="R274" i="49"/>
  <c r="BV274" i="49"/>
  <c r="BX274" i="49"/>
  <c r="AJ285" i="46"/>
  <c r="R132" i="49"/>
  <c r="BV132" i="49"/>
  <c r="BX132" i="49"/>
  <c r="AJ266" i="46"/>
  <c r="R199" i="49"/>
  <c r="BV199" i="49"/>
  <c r="BX199" i="49"/>
  <c r="AJ196" i="46"/>
  <c r="R172" i="49"/>
  <c r="BV172" i="49"/>
  <c r="BX172" i="49"/>
  <c r="AJ277" i="46"/>
  <c r="R214" i="49"/>
  <c r="BV214" i="49"/>
  <c r="BX214" i="49"/>
  <c r="AJ262" i="46"/>
  <c r="R180" i="49"/>
  <c r="BV180" i="49"/>
  <c r="BX180" i="49"/>
  <c r="AJ349" i="46"/>
  <c r="R243" i="49"/>
  <c r="BV243" i="49"/>
  <c r="BX243" i="49"/>
  <c r="AJ306" i="46"/>
  <c r="R256" i="49"/>
  <c r="BV256" i="49"/>
  <c r="BX256" i="49"/>
  <c r="AJ230" i="46"/>
  <c r="R297" i="49"/>
  <c r="BV297" i="49"/>
  <c r="BX297" i="49"/>
  <c r="AJ259" i="46"/>
  <c r="R184" i="49"/>
  <c r="BV184" i="49"/>
  <c r="BX184" i="49"/>
  <c r="AJ246" i="46"/>
  <c r="R223" i="49"/>
  <c r="BV223" i="49"/>
  <c r="BX223" i="49"/>
  <c r="AJ217" i="46"/>
  <c r="R257" i="49"/>
  <c r="BV257" i="49"/>
  <c r="BX257" i="49"/>
  <c r="AJ317" i="46"/>
  <c r="R150" i="49"/>
  <c r="BV150" i="49"/>
  <c r="BX150" i="49"/>
  <c r="AJ340" i="46"/>
  <c r="R139" i="49"/>
  <c r="BV139" i="49"/>
  <c r="BX139" i="49"/>
  <c r="AJ321" i="46"/>
  <c r="R205" i="49"/>
  <c r="BV205" i="49"/>
  <c r="BX205" i="49"/>
  <c r="AJ249" i="46"/>
  <c r="R237" i="49"/>
  <c r="BV237" i="49"/>
  <c r="BX237" i="49"/>
  <c r="AJ212" i="46"/>
  <c r="R269" i="49"/>
  <c r="BV269" i="49"/>
  <c r="BX269" i="49"/>
  <c r="AJ305" i="46"/>
  <c r="R201" i="49"/>
  <c r="BV201" i="49"/>
  <c r="BX201" i="49"/>
  <c r="AJ254" i="46"/>
  <c r="R200" i="49"/>
  <c r="BV200" i="49"/>
  <c r="BX200" i="49"/>
  <c r="AJ290" i="46"/>
  <c r="R138" i="49"/>
  <c r="BV138" i="49"/>
  <c r="BX138" i="49"/>
  <c r="AJ222" i="46"/>
  <c r="R192" i="49"/>
  <c r="BV192" i="49"/>
  <c r="BX192" i="49"/>
  <c r="AJ268" i="46"/>
  <c r="R246" i="49"/>
  <c r="BV246" i="49"/>
  <c r="BX246" i="49"/>
  <c r="AJ250" i="46"/>
  <c r="R305" i="49"/>
  <c r="BV305" i="49"/>
  <c r="BX305" i="49"/>
  <c r="AJ189" i="46"/>
  <c r="R231" i="49"/>
  <c r="BV231" i="49"/>
  <c r="BX231" i="49"/>
  <c r="AJ186" i="46"/>
  <c r="R175" i="49"/>
  <c r="BV175" i="49"/>
  <c r="BX175" i="49"/>
  <c r="AJ271" i="46"/>
  <c r="R149" i="49"/>
  <c r="BV149" i="49"/>
  <c r="BX149" i="49"/>
  <c r="AJ255" i="46"/>
  <c r="R183" i="49"/>
  <c r="BV183" i="49"/>
  <c r="BX183" i="49"/>
  <c r="AJ248" i="46"/>
  <c r="R258" i="49"/>
  <c r="BV258" i="49"/>
  <c r="BX258" i="49"/>
  <c r="AJ199" i="46"/>
  <c r="R193" i="49"/>
  <c r="BV193" i="49"/>
  <c r="BX193" i="49"/>
  <c r="AJ251" i="46"/>
  <c r="R135" i="49"/>
  <c r="BV135" i="49"/>
  <c r="BX135" i="49"/>
  <c r="AJ235" i="46"/>
  <c r="R154" i="49"/>
  <c r="BV154" i="49"/>
  <c r="BX154" i="49"/>
  <c r="AJ312" i="46"/>
  <c r="R280" i="49"/>
  <c r="BV280" i="49"/>
  <c r="BX280" i="49"/>
  <c r="AJ342" i="46"/>
  <c r="R136" i="49"/>
  <c r="BV136" i="49"/>
  <c r="BX136" i="49"/>
  <c r="AJ216" i="46"/>
  <c r="R196" i="49"/>
  <c r="BV196" i="49"/>
  <c r="BX196" i="49"/>
  <c r="AJ193" i="46"/>
  <c r="R219" i="49"/>
  <c r="BV219" i="49"/>
  <c r="BX219" i="49"/>
  <c r="AJ243" i="46"/>
  <c r="R238" i="49"/>
  <c r="BV238" i="49"/>
  <c r="BX238" i="49"/>
  <c r="AJ334" i="46"/>
  <c r="R147" i="49"/>
  <c r="BV147" i="49"/>
  <c r="BX147" i="49"/>
  <c r="AJ326" i="46"/>
  <c r="R244" i="49"/>
  <c r="BV244" i="49"/>
  <c r="BX244" i="49"/>
  <c r="AJ298" i="46"/>
  <c r="R76" i="49"/>
  <c r="BV76" i="49"/>
  <c r="BX76" i="49"/>
  <c r="AJ177" i="46"/>
  <c r="R264" i="49"/>
  <c r="BV264" i="49"/>
  <c r="BX264" i="49"/>
  <c r="AJ335" i="46"/>
  <c r="R221" i="49"/>
  <c r="BV221" i="49"/>
  <c r="BX221" i="49"/>
  <c r="AJ327" i="46"/>
  <c r="R169" i="49"/>
  <c r="BV169" i="49"/>
  <c r="BX169" i="49"/>
  <c r="AJ204" i="46"/>
  <c r="R306" i="49"/>
  <c r="BV306" i="49"/>
  <c r="BX306" i="49"/>
  <c r="AJ221" i="46"/>
  <c r="R156" i="49"/>
  <c r="BV156" i="49"/>
  <c r="BX156" i="49"/>
  <c r="AJ229" i="46"/>
  <c r="R170" i="49"/>
  <c r="BV170" i="49"/>
  <c r="BX170" i="49"/>
  <c r="AJ203" i="46"/>
  <c r="R307" i="49"/>
  <c r="BV307" i="49"/>
  <c r="BX307" i="49"/>
  <c r="AJ184" i="46"/>
  <c r="R287" i="49"/>
  <c r="BV287" i="49"/>
  <c r="BX287" i="49"/>
  <c r="AJ313" i="46"/>
  <c r="R271" i="49"/>
  <c r="BV271" i="49"/>
  <c r="BX271" i="49"/>
  <c r="AJ291" i="46"/>
  <c r="R260" i="49"/>
  <c r="BV260" i="49"/>
  <c r="BX260" i="49"/>
  <c r="AJ253" i="46"/>
  <c r="R185" i="49"/>
  <c r="BV185" i="49"/>
  <c r="BX185" i="49"/>
  <c r="AJ284" i="46"/>
  <c r="R253" i="49"/>
  <c r="BV253" i="49"/>
  <c r="BX253" i="49"/>
  <c r="AJ258" i="46"/>
  <c r="R186" i="49"/>
  <c r="BV186" i="49"/>
  <c r="BX186" i="49"/>
  <c r="AJ198" i="46"/>
  <c r="R5" i="49"/>
  <c r="AJ339" i="46"/>
  <c r="R275" i="49"/>
  <c r="BV275" i="49"/>
  <c r="BX275" i="49"/>
  <c r="AJ244" i="46"/>
  <c r="R265" i="49"/>
  <c r="BV265" i="49"/>
  <c r="BX265" i="49"/>
  <c r="AJ238" i="46"/>
  <c r="R240" i="49"/>
  <c r="BV240" i="49"/>
  <c r="BX240" i="49"/>
  <c r="AJ219" i="46"/>
  <c r="R300" i="49"/>
  <c r="BV300" i="49"/>
  <c r="BX300" i="49"/>
  <c r="AJ227" i="46"/>
  <c r="R144" i="49"/>
  <c r="BV144" i="49"/>
  <c r="BX144" i="49"/>
  <c r="AJ301" i="46"/>
  <c r="R267" i="49"/>
  <c r="BV267" i="49"/>
  <c r="BX267" i="49"/>
  <c r="AJ302" i="46"/>
  <c r="R301" i="49"/>
  <c r="BV301" i="49"/>
  <c r="BX301" i="49"/>
  <c r="AJ299" i="46"/>
  <c r="R220" i="49"/>
  <c r="BV220" i="49"/>
  <c r="BX220" i="49"/>
  <c r="AJ233" i="46"/>
  <c r="R273" i="49"/>
  <c r="BV273" i="49"/>
  <c r="BX273" i="49"/>
  <c r="AJ295" i="46"/>
  <c r="R303" i="49"/>
  <c r="BV303" i="49"/>
  <c r="BX303" i="49"/>
  <c r="AJ202" i="46"/>
  <c r="R191" i="49"/>
  <c r="BV191" i="49"/>
  <c r="BX191" i="49"/>
  <c r="AJ257" i="46"/>
  <c r="R178" i="49"/>
  <c r="BV178" i="49"/>
  <c r="BX178" i="49"/>
  <c r="AJ176" i="46"/>
  <c r="R222" i="49"/>
  <c r="BV222" i="49"/>
  <c r="BX222" i="49"/>
  <c r="AJ138" i="46"/>
  <c r="R126" i="49"/>
  <c r="BV126" i="49"/>
  <c r="BX126" i="49"/>
  <c r="AJ163" i="46"/>
  <c r="R102" i="49"/>
  <c r="BV102" i="49"/>
  <c r="BX102" i="49"/>
  <c r="AJ124" i="46"/>
  <c r="R117" i="49"/>
  <c r="BV117" i="49"/>
  <c r="BX117" i="49"/>
  <c r="AJ165" i="46"/>
  <c r="R86" i="49"/>
  <c r="BV86" i="49"/>
  <c r="BX86" i="49"/>
  <c r="AJ166" i="46"/>
  <c r="R79" i="49"/>
  <c r="BV79" i="49"/>
  <c r="BX79" i="49"/>
  <c r="AJ157" i="46"/>
  <c r="R83" i="49"/>
  <c r="BV83" i="49"/>
  <c r="BX83" i="49"/>
  <c r="AJ158" i="46"/>
  <c r="R113" i="49"/>
  <c r="BV113" i="49"/>
  <c r="BX113" i="49"/>
  <c r="AJ153" i="46"/>
  <c r="R130" i="49"/>
  <c r="BV130" i="49"/>
  <c r="BX130" i="49"/>
  <c r="AJ162" i="46"/>
  <c r="R124" i="49"/>
  <c r="BV124" i="49"/>
  <c r="BX124" i="49"/>
  <c r="AJ164" i="46"/>
  <c r="R82" i="49"/>
  <c r="BV82" i="49"/>
  <c r="BX82" i="49"/>
  <c r="AJ132" i="46"/>
  <c r="R91" i="49"/>
  <c r="BV91" i="49"/>
  <c r="BX91" i="49"/>
  <c r="AJ130" i="46"/>
  <c r="R87" i="49"/>
  <c r="BV87" i="49"/>
  <c r="BX87" i="49"/>
  <c r="AJ159" i="46"/>
  <c r="R121" i="49"/>
  <c r="BV121" i="49"/>
  <c r="BX121" i="49"/>
  <c r="AJ122" i="46"/>
  <c r="R116" i="49"/>
  <c r="BV116" i="49"/>
  <c r="BX116" i="49"/>
  <c r="AJ171" i="46"/>
  <c r="R90" i="49"/>
  <c r="BV90" i="49"/>
  <c r="BX90" i="49"/>
  <c r="AJ123" i="46"/>
  <c r="R94" i="49"/>
  <c r="BV94" i="49"/>
  <c r="BX94" i="49"/>
  <c r="AJ149" i="46"/>
  <c r="R88" i="49"/>
  <c r="BV88" i="49"/>
  <c r="BX88" i="49"/>
  <c r="AJ150" i="46"/>
  <c r="R105" i="49"/>
  <c r="BV105" i="49"/>
  <c r="BX105" i="49"/>
  <c r="AJ127" i="46"/>
  <c r="R99" i="49"/>
  <c r="BV99" i="49"/>
  <c r="BX99" i="49"/>
  <c r="AJ121" i="46"/>
  <c r="R92" i="49"/>
  <c r="BV92" i="49"/>
  <c r="BX92" i="49"/>
  <c r="AJ131" i="46"/>
  <c r="R107" i="49"/>
  <c r="BV107" i="49"/>
  <c r="BX107" i="49"/>
  <c r="AJ167" i="46"/>
  <c r="R84" i="49"/>
  <c r="BV84" i="49"/>
  <c r="BX84" i="49"/>
  <c r="AJ148" i="46"/>
  <c r="R101" i="49"/>
  <c r="BV101" i="49"/>
  <c r="BX101" i="49"/>
  <c r="AJ147" i="46"/>
  <c r="R131" i="49"/>
  <c r="BV131" i="49"/>
  <c r="BX131" i="49"/>
  <c r="AJ156" i="46"/>
  <c r="R129" i="49"/>
  <c r="BV129" i="49"/>
  <c r="BX129" i="49"/>
  <c r="AJ146" i="46"/>
  <c r="R114" i="49"/>
  <c r="BV114" i="49"/>
  <c r="BX114" i="49"/>
  <c r="AJ126" i="46"/>
  <c r="R103" i="49"/>
  <c r="BV103" i="49"/>
  <c r="BX103" i="49"/>
  <c r="AJ143" i="46"/>
  <c r="R89" i="49"/>
  <c r="BV89" i="49"/>
  <c r="BX89" i="49"/>
  <c r="AJ140" i="46"/>
  <c r="R115" i="49"/>
  <c r="BV115" i="49"/>
  <c r="BX115" i="49"/>
  <c r="AJ168" i="46"/>
  <c r="R128" i="49"/>
  <c r="BV128" i="49"/>
  <c r="BX128" i="49"/>
  <c r="AJ161" i="46"/>
  <c r="R127" i="49"/>
  <c r="BV127" i="49"/>
  <c r="BX127" i="49"/>
  <c r="AJ141" i="46"/>
  <c r="R111" i="49"/>
  <c r="BV111" i="49"/>
  <c r="BX111" i="49"/>
  <c r="AJ172" i="46"/>
  <c r="R77" i="49"/>
  <c r="BV77" i="49"/>
  <c r="BX77" i="49"/>
  <c r="AJ128" i="46"/>
  <c r="R78" i="49"/>
  <c r="BV78" i="49"/>
  <c r="BX78" i="49"/>
  <c r="AJ137" i="46"/>
  <c r="R108" i="49"/>
  <c r="BV108" i="49"/>
  <c r="BX108" i="49"/>
  <c r="AJ151" i="46"/>
  <c r="R125" i="49"/>
  <c r="BV125" i="49"/>
  <c r="BX125" i="49"/>
  <c r="AJ144" i="46"/>
  <c r="R98" i="49"/>
  <c r="BV98" i="49"/>
  <c r="BX98" i="49"/>
  <c r="AJ133" i="46"/>
  <c r="R106" i="49"/>
  <c r="BV106" i="49"/>
  <c r="BX106" i="49"/>
  <c r="AJ129" i="46"/>
  <c r="R95" i="49"/>
  <c r="BV95" i="49"/>
  <c r="BX95" i="49"/>
  <c r="AJ135" i="46"/>
  <c r="R110" i="49"/>
  <c r="BV110" i="49"/>
  <c r="BX110" i="49"/>
  <c r="AJ125" i="46"/>
  <c r="R80" i="49"/>
  <c r="BV80" i="49"/>
  <c r="BX80" i="49"/>
  <c r="AJ139" i="46"/>
  <c r="R112" i="49"/>
  <c r="BV112" i="49"/>
  <c r="BX112" i="49"/>
  <c r="AJ154" i="46"/>
  <c r="R100" i="49"/>
  <c r="BV100" i="49"/>
  <c r="BX100" i="49"/>
  <c r="AJ136" i="46"/>
  <c r="R104" i="49"/>
  <c r="BV104" i="49"/>
  <c r="BX104" i="49"/>
  <c r="AJ170" i="46"/>
  <c r="R85" i="49"/>
  <c r="BV85" i="49"/>
  <c r="BX85" i="49"/>
  <c r="AJ142" i="46"/>
  <c r="R120" i="49"/>
  <c r="BV120" i="49"/>
  <c r="BX120" i="49"/>
  <c r="AJ134" i="46"/>
  <c r="R119" i="49"/>
  <c r="BV119" i="49"/>
  <c r="BX119" i="49"/>
  <c r="AJ160" i="46"/>
  <c r="R109" i="49"/>
  <c r="BV109" i="49"/>
  <c r="BX109" i="49"/>
  <c r="AJ169" i="46"/>
  <c r="R81" i="49"/>
  <c r="BV81" i="49"/>
  <c r="BX81" i="49"/>
  <c r="AJ152" i="46"/>
  <c r="R123" i="49"/>
  <c r="BV123" i="49"/>
  <c r="BX123" i="49"/>
  <c r="AJ145" i="46"/>
  <c r="R118" i="49"/>
  <c r="BV118" i="49"/>
  <c r="BX118" i="49"/>
  <c r="AJ155" i="46"/>
  <c r="R122" i="49"/>
  <c r="BV122" i="49"/>
  <c r="BX122" i="49"/>
  <c r="CV8" i="49"/>
  <c r="CV14" i="49"/>
  <c r="BB329" i="49"/>
  <c r="BD329" i="49"/>
  <c r="BC329" i="49"/>
  <c r="BB327" i="49"/>
  <c r="BD327" i="49"/>
  <c r="BC327" i="49"/>
  <c r="AJ120" i="46"/>
  <c r="BB13" i="49"/>
  <c r="BB11" i="49"/>
  <c r="BB7" i="49"/>
  <c r="AI68" i="46"/>
  <c r="AL6" i="46"/>
  <c r="CV314" i="49"/>
  <c r="CV316" i="49"/>
  <c r="CV327" i="49"/>
  <c r="CX327" i="49"/>
  <c r="CW327" i="49"/>
  <c r="CV329" i="49"/>
  <c r="P15" i="49"/>
  <c r="AL7" i="46"/>
  <c r="P7" i="49"/>
  <c r="AL14" i="46"/>
  <c r="P9" i="49"/>
  <c r="AL10" i="46"/>
  <c r="AD557" i="46"/>
  <c r="AF558" i="46"/>
  <c r="AH456" i="46"/>
  <c r="AH462" i="46"/>
  <c r="AH428" i="46"/>
  <c r="AH434" i="46"/>
  <c r="AH426" i="46"/>
  <c r="AH441" i="46"/>
  <c r="AH443" i="46"/>
  <c r="AH439" i="46"/>
  <c r="AH447" i="46"/>
  <c r="AH449" i="46"/>
  <c r="AH451" i="46"/>
  <c r="AH436" i="46"/>
  <c r="AH425" i="46"/>
  <c r="AH460" i="46"/>
  <c r="AH430" i="46"/>
  <c r="AH437" i="46"/>
  <c r="AH446" i="46"/>
  <c r="AH445" i="46"/>
  <c r="AH432" i="46"/>
  <c r="AH453" i="46"/>
  <c r="AH435" i="46"/>
  <c r="AH429" i="46"/>
  <c r="AH455" i="46"/>
  <c r="AH457" i="46"/>
  <c r="AH440" i="46"/>
  <c r="AH444" i="46"/>
  <c r="AH431" i="46"/>
  <c r="AH442" i="46"/>
  <c r="AH450" i="46"/>
  <c r="AH433" i="46"/>
  <c r="AH438" i="46"/>
  <c r="AH459" i="46"/>
  <c r="AH454" i="46"/>
  <c r="AH448" i="46"/>
  <c r="AH463" i="46"/>
  <c r="AH452" i="46"/>
  <c r="AH424" i="46"/>
  <c r="AH458" i="46"/>
  <c r="AH427" i="46"/>
  <c r="AH423" i="46"/>
  <c r="AH417" i="46"/>
  <c r="AH414" i="46"/>
  <c r="AH413" i="46"/>
  <c r="AH410" i="46"/>
  <c r="AH418" i="46"/>
  <c r="AH419" i="46"/>
  <c r="AH408" i="46"/>
  <c r="AH415" i="46"/>
  <c r="AH412" i="46"/>
  <c r="AH409" i="46"/>
  <c r="AH416" i="46"/>
  <c r="AH411" i="46"/>
  <c r="BB44" i="49"/>
  <c r="BB49" i="49"/>
  <c r="AJ81" i="46"/>
  <c r="AJ80" i="46"/>
  <c r="R62" i="49"/>
  <c r="BV62" i="49"/>
  <c r="BX62" i="49"/>
  <c r="AJ72" i="46"/>
  <c r="R61" i="49"/>
  <c r="BV61" i="49"/>
  <c r="BX61" i="49"/>
  <c r="AJ74" i="46"/>
  <c r="R60" i="49"/>
  <c r="BV60" i="49"/>
  <c r="BX60" i="49"/>
  <c r="AJ78" i="46"/>
  <c r="R55" i="49"/>
  <c r="BV55" i="49"/>
  <c r="BX55" i="49"/>
  <c r="AJ75" i="46"/>
  <c r="R57" i="49"/>
  <c r="BV57" i="49"/>
  <c r="BX57" i="49"/>
  <c r="AJ73" i="46"/>
  <c r="R58" i="49"/>
  <c r="BV58" i="49"/>
  <c r="BX58" i="49"/>
  <c r="AJ76" i="46"/>
  <c r="R56" i="49"/>
  <c r="BV56" i="49"/>
  <c r="BX56" i="49"/>
  <c r="AJ77" i="46"/>
  <c r="R54" i="49"/>
  <c r="BV54" i="49"/>
  <c r="BX54" i="49"/>
  <c r="AJ571" i="46"/>
  <c r="R487" i="49"/>
  <c r="BV487" i="49"/>
  <c r="BX487" i="49"/>
  <c r="AJ572" i="46"/>
  <c r="R486" i="49"/>
  <c r="BV486" i="49"/>
  <c r="BX486" i="49"/>
  <c r="AJ573" i="46"/>
  <c r="AJ570" i="46"/>
  <c r="R485" i="49"/>
  <c r="BV485" i="49"/>
  <c r="BX485" i="49"/>
  <c r="AJ569" i="46"/>
  <c r="R488" i="49"/>
  <c r="BV488" i="49"/>
  <c r="BX488" i="49"/>
  <c r="AJ563" i="46"/>
  <c r="R483" i="49"/>
  <c r="BV483" i="49"/>
  <c r="BX483" i="49"/>
  <c r="AJ564" i="46"/>
  <c r="R477" i="49"/>
  <c r="BV477" i="49"/>
  <c r="BX477" i="49"/>
  <c r="AJ562" i="46"/>
  <c r="R481" i="49"/>
  <c r="BV481" i="49"/>
  <c r="BX481" i="49"/>
  <c r="AJ565" i="46"/>
  <c r="R482" i="49"/>
  <c r="BV482" i="49"/>
  <c r="BX482" i="49"/>
  <c r="AJ561" i="46"/>
  <c r="R480" i="49"/>
  <c r="BV480" i="49"/>
  <c r="BX480" i="49"/>
  <c r="AJ568" i="46"/>
  <c r="R484" i="49"/>
  <c r="BV484" i="49"/>
  <c r="BX484" i="49"/>
  <c r="AJ566" i="46"/>
  <c r="R478" i="49"/>
  <c r="BV478" i="49"/>
  <c r="BX478" i="49"/>
  <c r="AJ567" i="46"/>
  <c r="R476" i="49"/>
  <c r="BV476" i="49"/>
  <c r="BX476" i="49"/>
  <c r="AJ400" i="46"/>
  <c r="R347" i="49"/>
  <c r="BV347" i="49"/>
  <c r="BX347" i="49"/>
  <c r="AJ399" i="46"/>
  <c r="R345" i="49"/>
  <c r="BV345" i="49"/>
  <c r="BX345" i="49"/>
  <c r="AJ401" i="46"/>
  <c r="AJ398" i="46"/>
  <c r="R344" i="49"/>
  <c r="BV344" i="49"/>
  <c r="BX344" i="49"/>
  <c r="AJ392" i="46"/>
  <c r="R343" i="49"/>
  <c r="BV343" i="49"/>
  <c r="BX343" i="49"/>
  <c r="AJ389" i="46"/>
  <c r="R336" i="49"/>
  <c r="BV336" i="49"/>
  <c r="BX336" i="49"/>
  <c r="AJ388" i="46"/>
  <c r="R341" i="49"/>
  <c r="BV341" i="49"/>
  <c r="BX341" i="49"/>
  <c r="AJ387" i="46"/>
  <c r="R338" i="49"/>
  <c r="BV338" i="49"/>
  <c r="BX338" i="49"/>
  <c r="AJ394" i="46"/>
  <c r="R340" i="49"/>
  <c r="BV340" i="49"/>
  <c r="BX340" i="49"/>
  <c r="AJ393" i="46"/>
  <c r="R342" i="49"/>
  <c r="BV342" i="49"/>
  <c r="BX342" i="49"/>
  <c r="AJ391" i="46"/>
  <c r="R335" i="49"/>
  <c r="BV335" i="49"/>
  <c r="BX335" i="49"/>
  <c r="AJ395" i="46"/>
  <c r="R339" i="49"/>
  <c r="BV339" i="49"/>
  <c r="BX339" i="49"/>
  <c r="AJ390" i="46"/>
  <c r="R333" i="49"/>
  <c r="BV333" i="49"/>
  <c r="BX333" i="49"/>
  <c r="AJ396" i="46"/>
  <c r="R337" i="49"/>
  <c r="BV337" i="49"/>
  <c r="BX337" i="49"/>
  <c r="AJ463" i="46"/>
  <c r="AJ454" i="46"/>
  <c r="R367" i="49"/>
  <c r="BV367" i="49"/>
  <c r="BX367" i="49"/>
  <c r="AJ447" i="46"/>
  <c r="R348" i="49"/>
  <c r="BV348" i="49"/>
  <c r="BX348" i="49"/>
  <c r="AJ430" i="46"/>
  <c r="R402" i="49"/>
  <c r="BV402" i="49"/>
  <c r="BX402" i="49"/>
  <c r="AJ426" i="46"/>
  <c r="R399" i="49"/>
  <c r="BV399" i="49"/>
  <c r="BX399" i="49"/>
  <c r="AJ440" i="46"/>
  <c r="R393" i="49"/>
  <c r="BV393" i="49"/>
  <c r="BX393" i="49"/>
  <c r="AJ442" i="46"/>
  <c r="R388" i="49"/>
  <c r="BV388" i="49"/>
  <c r="BX388" i="49"/>
  <c r="AJ445" i="46"/>
  <c r="R379" i="49"/>
  <c r="BV379" i="49"/>
  <c r="BX379" i="49"/>
  <c r="AJ443" i="46"/>
  <c r="R378" i="49"/>
  <c r="BV378" i="49"/>
  <c r="BX378" i="49"/>
  <c r="AJ435" i="46"/>
  <c r="R370" i="49"/>
  <c r="BV370" i="49"/>
  <c r="BX370" i="49"/>
  <c r="AJ457" i="46"/>
  <c r="R365" i="49"/>
  <c r="BV365" i="49"/>
  <c r="BX365" i="49"/>
  <c r="AJ425" i="46"/>
  <c r="R390" i="49"/>
  <c r="BV390" i="49"/>
  <c r="BX390" i="49"/>
  <c r="AJ455" i="46"/>
  <c r="R368" i="49"/>
  <c r="BV368" i="49"/>
  <c r="BX368" i="49"/>
  <c r="AJ450" i="46"/>
  <c r="R381" i="49"/>
  <c r="BV381" i="49"/>
  <c r="BX381" i="49"/>
  <c r="AJ453" i="46"/>
  <c r="R394" i="49"/>
  <c r="BV394" i="49"/>
  <c r="BX394" i="49"/>
  <c r="AJ456" i="46"/>
  <c r="R395" i="49"/>
  <c r="BV395" i="49"/>
  <c r="BX395" i="49"/>
  <c r="AJ459" i="46"/>
  <c r="R383" i="49"/>
  <c r="BV383" i="49"/>
  <c r="BX383" i="49"/>
  <c r="AJ448" i="46"/>
  <c r="R374" i="49"/>
  <c r="BV374" i="49"/>
  <c r="BX374" i="49"/>
  <c r="AJ441" i="46"/>
  <c r="R373" i="49"/>
  <c r="BV373" i="49"/>
  <c r="BX373" i="49"/>
  <c r="AJ460" i="46"/>
  <c r="R391" i="49"/>
  <c r="BV391" i="49"/>
  <c r="BX391" i="49"/>
  <c r="AJ462" i="46"/>
  <c r="R376" i="49"/>
  <c r="BV376" i="49"/>
  <c r="BX376" i="49"/>
  <c r="AJ424" i="46"/>
  <c r="R152" i="49"/>
  <c r="BV152" i="49"/>
  <c r="BX152" i="49"/>
  <c r="AJ444" i="46"/>
  <c r="R400" i="49"/>
  <c r="BV400" i="49"/>
  <c r="BX400" i="49"/>
  <c r="AJ429" i="46"/>
  <c r="R384" i="49"/>
  <c r="BV384" i="49"/>
  <c r="BX384" i="49"/>
  <c r="AJ436" i="46"/>
  <c r="R375" i="49"/>
  <c r="BV375" i="49"/>
  <c r="BX375" i="49"/>
  <c r="AJ452" i="46"/>
  <c r="R389" i="49"/>
  <c r="BV389" i="49"/>
  <c r="BX389" i="49"/>
  <c r="AJ428" i="46"/>
  <c r="R380" i="49"/>
  <c r="BV380" i="49"/>
  <c r="BX380" i="49"/>
  <c r="AJ458" i="46"/>
  <c r="R386" i="49"/>
  <c r="BV386" i="49"/>
  <c r="BX386" i="49"/>
  <c r="AJ437" i="46"/>
  <c r="R392" i="49"/>
  <c r="BV392" i="49"/>
  <c r="BX392" i="49"/>
  <c r="AJ446" i="46"/>
  <c r="R372" i="49"/>
  <c r="BV372" i="49"/>
  <c r="BX372" i="49"/>
  <c r="AJ433" i="46"/>
  <c r="R366" i="49"/>
  <c r="BV366" i="49"/>
  <c r="BX366" i="49"/>
  <c r="AJ451" i="46"/>
  <c r="R371" i="49"/>
  <c r="BV371" i="49"/>
  <c r="BX371" i="49"/>
  <c r="AJ449" i="46"/>
  <c r="R401" i="49"/>
  <c r="BV401" i="49"/>
  <c r="BX401" i="49"/>
  <c r="AJ432" i="46"/>
  <c r="R398" i="49"/>
  <c r="BV398" i="49"/>
  <c r="BX398" i="49"/>
  <c r="AJ434" i="46"/>
  <c r="R377" i="49"/>
  <c r="BV377" i="49"/>
  <c r="BX377" i="49"/>
  <c r="AJ427" i="46"/>
  <c r="R396" i="49"/>
  <c r="BV396" i="49"/>
  <c r="BX396" i="49"/>
  <c r="AJ438" i="46"/>
  <c r="R397" i="49"/>
  <c r="BV397" i="49"/>
  <c r="BX397" i="49"/>
  <c r="AJ439" i="46"/>
  <c r="R387" i="49"/>
  <c r="BV387" i="49"/>
  <c r="BX387" i="49"/>
  <c r="AJ431" i="46"/>
  <c r="R369" i="49"/>
  <c r="BV369" i="49"/>
  <c r="BX369" i="49"/>
  <c r="AJ423" i="46"/>
  <c r="R382" i="49"/>
  <c r="BV382" i="49"/>
  <c r="BX382" i="49"/>
  <c r="AJ416" i="46"/>
  <c r="R350" i="49"/>
  <c r="BV350" i="49"/>
  <c r="BX350" i="49"/>
  <c r="AJ409" i="46"/>
  <c r="R364" i="49"/>
  <c r="BV364" i="49"/>
  <c r="BX364" i="49"/>
  <c r="AJ415" i="46"/>
  <c r="R357" i="49"/>
  <c r="BV357" i="49"/>
  <c r="BX357" i="49"/>
  <c r="AJ408" i="46"/>
  <c r="R362" i="49"/>
  <c r="BV362" i="49"/>
  <c r="BX362" i="49"/>
  <c r="AJ417" i="46"/>
  <c r="R352" i="49"/>
  <c r="BV352" i="49"/>
  <c r="BX352" i="49"/>
  <c r="AJ411" i="46"/>
  <c r="R354" i="49"/>
  <c r="BV354" i="49"/>
  <c r="BX354" i="49"/>
  <c r="AJ419" i="46"/>
  <c r="R349" i="49"/>
  <c r="BV349" i="49"/>
  <c r="BX349" i="49"/>
  <c r="AJ413" i="46"/>
  <c r="R351" i="49"/>
  <c r="BV351" i="49"/>
  <c r="BX351" i="49"/>
  <c r="AJ414" i="46"/>
  <c r="R358" i="49"/>
  <c r="BV358" i="49"/>
  <c r="BX358" i="49"/>
  <c r="AJ412" i="46"/>
  <c r="R356" i="49"/>
  <c r="BV356" i="49"/>
  <c r="BX356" i="49"/>
  <c r="AJ410" i="46"/>
  <c r="R359" i="49"/>
  <c r="BV359" i="49"/>
  <c r="BX359" i="49"/>
  <c r="AJ418" i="46"/>
  <c r="R353" i="49"/>
  <c r="BV353" i="49"/>
  <c r="BX353" i="49"/>
  <c r="AG51" i="46"/>
  <c r="AK22" i="46"/>
  <c r="AC582" i="46"/>
  <c r="BB324" i="49"/>
  <c r="AI492" i="46"/>
  <c r="Q176" i="49"/>
  <c r="AY176" i="49"/>
  <c r="BA176" i="49"/>
  <c r="AI495" i="46"/>
  <c r="Q430" i="49"/>
  <c r="AY430" i="49"/>
  <c r="BA430" i="49"/>
  <c r="AI498" i="46"/>
  <c r="AI491" i="46"/>
  <c r="Q153" i="49"/>
  <c r="AY153" i="49"/>
  <c r="BA153" i="49"/>
  <c r="AI490" i="46"/>
  <c r="Q425" i="49"/>
  <c r="AY425" i="49"/>
  <c r="BA425" i="49"/>
  <c r="AI496" i="46"/>
  <c r="Q427" i="49"/>
  <c r="AY427" i="49"/>
  <c r="BA427" i="49"/>
  <c r="AI488" i="46"/>
  <c r="Q422" i="49"/>
  <c r="AY422" i="49"/>
  <c r="BA422" i="49"/>
  <c r="AI487" i="46"/>
  <c r="Q424" i="49"/>
  <c r="AY424" i="49"/>
  <c r="BA424" i="49"/>
  <c r="AI497" i="46"/>
  <c r="Q403" i="49"/>
  <c r="AY403" i="49"/>
  <c r="BA403" i="49"/>
  <c r="AI486" i="46"/>
  <c r="Q423" i="49"/>
  <c r="AY423" i="49"/>
  <c r="BA423" i="49"/>
  <c r="AI485" i="46"/>
  <c r="Q414" i="49"/>
  <c r="AY414" i="49"/>
  <c r="BA414" i="49"/>
  <c r="AI473" i="46"/>
  <c r="Q412" i="49"/>
  <c r="AY412" i="49"/>
  <c r="BA412" i="49"/>
  <c r="AI479" i="46"/>
  <c r="Q410" i="49"/>
  <c r="AY410" i="49"/>
  <c r="BA410" i="49"/>
  <c r="AI477" i="46"/>
  <c r="Q417" i="49"/>
  <c r="AY417" i="49"/>
  <c r="BA417" i="49"/>
  <c r="AI482" i="46"/>
  <c r="Q413" i="49"/>
  <c r="AY413" i="49"/>
  <c r="BA413" i="49"/>
  <c r="AI475" i="46"/>
  <c r="Q406" i="49"/>
  <c r="AY406" i="49"/>
  <c r="BA406" i="49"/>
  <c r="AI480" i="46"/>
  <c r="Q409" i="49"/>
  <c r="AY409" i="49"/>
  <c r="BA409" i="49"/>
  <c r="AI478" i="46"/>
  <c r="Q420" i="49"/>
  <c r="AY420" i="49"/>
  <c r="BA420" i="49"/>
  <c r="AI481" i="46"/>
  <c r="Q411" i="49"/>
  <c r="AY411" i="49"/>
  <c r="BA411" i="49"/>
  <c r="AI474" i="46"/>
  <c r="Q415" i="49"/>
  <c r="AY415" i="49"/>
  <c r="BA415" i="49"/>
  <c r="AI476" i="46"/>
  <c r="Q416" i="49"/>
  <c r="AY416" i="49"/>
  <c r="BA416" i="49"/>
  <c r="AI483" i="46"/>
  <c r="Q408" i="49"/>
  <c r="AY408" i="49"/>
  <c r="BA408" i="49"/>
  <c r="AI469" i="46"/>
  <c r="Q407" i="49"/>
  <c r="AY407" i="49"/>
  <c r="BA407" i="49"/>
  <c r="AI472" i="46"/>
  <c r="Q418" i="49"/>
  <c r="AY418" i="49"/>
  <c r="BA418" i="49"/>
  <c r="AI470" i="46"/>
  <c r="Q421" i="49"/>
  <c r="AY421" i="49"/>
  <c r="BA421" i="49"/>
  <c r="AI484" i="46"/>
  <c r="Q404" i="49"/>
  <c r="AY404" i="49"/>
  <c r="BA404" i="49"/>
  <c r="AI471" i="46"/>
  <c r="Q405" i="49"/>
  <c r="AY405" i="49"/>
  <c r="BA405" i="49"/>
  <c r="AH65" i="46"/>
  <c r="AH64" i="46"/>
  <c r="AH63" i="46"/>
  <c r="AH66" i="46"/>
  <c r="AH62" i="46"/>
  <c r="AH59" i="46"/>
  <c r="AH55" i="46"/>
  <c r="AH58" i="46"/>
  <c r="AH54" i="46"/>
  <c r="AH57" i="46"/>
  <c r="AH56" i="46"/>
  <c r="AJ560" i="46"/>
  <c r="AJ386" i="46"/>
  <c r="AK560" i="46"/>
  <c r="AJ407" i="46"/>
  <c r="AH94" i="46"/>
  <c r="AH93" i="46"/>
  <c r="AH89" i="46"/>
  <c r="AH91" i="46"/>
  <c r="AH88" i="46"/>
  <c r="AH90" i="46"/>
  <c r="AJ488" i="46"/>
  <c r="R422" i="49"/>
  <c r="BV422" i="49"/>
  <c r="BX422" i="49"/>
  <c r="AJ491" i="46"/>
  <c r="R153" i="49"/>
  <c r="BV153" i="49"/>
  <c r="BX153" i="49"/>
  <c r="AJ489" i="46"/>
  <c r="R426" i="49"/>
  <c r="BV426" i="49"/>
  <c r="BX426" i="49"/>
  <c r="AJ497" i="46"/>
  <c r="R403" i="49"/>
  <c r="BV403" i="49"/>
  <c r="BX403" i="49"/>
  <c r="AJ498" i="46"/>
  <c r="AJ494" i="46"/>
  <c r="R428" i="49"/>
  <c r="BV428" i="49"/>
  <c r="BX428" i="49"/>
  <c r="AJ496" i="46"/>
  <c r="R427" i="49"/>
  <c r="BV427" i="49"/>
  <c r="BX427" i="49"/>
  <c r="AJ493" i="46"/>
  <c r="R429" i="49"/>
  <c r="BV429" i="49"/>
  <c r="BX429" i="49"/>
  <c r="AJ487" i="46"/>
  <c r="R424" i="49"/>
  <c r="BV424" i="49"/>
  <c r="BX424" i="49"/>
  <c r="AJ492" i="46"/>
  <c r="R176" i="49"/>
  <c r="BV176" i="49"/>
  <c r="BX176" i="49"/>
  <c r="AJ490" i="46"/>
  <c r="R425" i="49"/>
  <c r="BV425" i="49"/>
  <c r="BX425" i="49"/>
  <c r="AJ495" i="46"/>
  <c r="R430" i="49"/>
  <c r="BV430" i="49"/>
  <c r="BX430" i="49"/>
  <c r="AJ486" i="46"/>
  <c r="R423" i="49"/>
  <c r="BV423" i="49"/>
  <c r="BX423" i="49"/>
  <c r="AJ474" i="46"/>
  <c r="R415" i="49"/>
  <c r="BV415" i="49"/>
  <c r="BX415" i="49"/>
  <c r="AJ478" i="46"/>
  <c r="R420" i="49"/>
  <c r="BV420" i="49"/>
  <c r="BX420" i="49"/>
  <c r="AJ481" i="46"/>
  <c r="R411" i="49"/>
  <c r="BV411" i="49"/>
  <c r="BX411" i="49"/>
  <c r="AJ485" i="46"/>
  <c r="R414" i="49"/>
  <c r="BV414" i="49"/>
  <c r="BX414" i="49"/>
  <c r="AJ473" i="46"/>
  <c r="R412" i="49"/>
  <c r="BV412" i="49"/>
  <c r="BX412" i="49"/>
  <c r="AJ477" i="46"/>
  <c r="R417" i="49"/>
  <c r="BV417" i="49"/>
  <c r="BX417" i="49"/>
  <c r="AJ475" i="46"/>
  <c r="R406" i="49"/>
  <c r="BV406" i="49"/>
  <c r="BX406" i="49"/>
  <c r="AJ480" i="46"/>
  <c r="R409" i="49"/>
  <c r="BV409" i="49"/>
  <c r="BX409" i="49"/>
  <c r="AJ484" i="46"/>
  <c r="R404" i="49"/>
  <c r="BV404" i="49"/>
  <c r="BX404" i="49"/>
  <c r="AJ482" i="46"/>
  <c r="R413" i="49"/>
  <c r="BV413" i="49"/>
  <c r="BX413" i="49"/>
  <c r="AJ471" i="46"/>
  <c r="R405" i="49"/>
  <c r="BV405" i="49"/>
  <c r="BX405" i="49"/>
  <c r="AJ470" i="46"/>
  <c r="R421" i="49"/>
  <c r="BV421" i="49"/>
  <c r="BX421" i="49"/>
  <c r="AJ469" i="46"/>
  <c r="R407" i="49"/>
  <c r="BV407" i="49"/>
  <c r="BX407" i="49"/>
  <c r="AJ472" i="46"/>
  <c r="R418" i="49"/>
  <c r="BV418" i="49"/>
  <c r="BX418" i="49"/>
  <c r="AJ476" i="46"/>
  <c r="R416" i="49"/>
  <c r="BV416" i="49"/>
  <c r="BX416" i="49"/>
  <c r="AJ483" i="46"/>
  <c r="R408" i="49"/>
  <c r="BV408" i="49"/>
  <c r="BX408" i="49"/>
  <c r="AJ479" i="46"/>
  <c r="R410" i="49"/>
  <c r="BV410" i="49"/>
  <c r="BX410" i="49"/>
  <c r="BB322" i="49"/>
  <c r="CV325" i="49"/>
  <c r="CV13" i="49"/>
  <c r="CV7" i="49"/>
  <c r="S16" i="49"/>
  <c r="CS16" i="49"/>
  <c r="CU16" i="49"/>
  <c r="AK19" i="46"/>
  <c r="BB332" i="49"/>
  <c r="BD332" i="49"/>
  <c r="BC332" i="49"/>
  <c r="AJ503" i="46"/>
  <c r="AL503" i="46"/>
  <c r="BB15" i="49"/>
  <c r="AY6" i="49"/>
  <c r="BB48" i="49"/>
  <c r="AH19" i="46"/>
  <c r="AJ63" i="46"/>
  <c r="R53" i="49"/>
  <c r="BV53" i="49"/>
  <c r="BX53" i="49"/>
  <c r="AJ65" i="46"/>
  <c r="R50" i="49"/>
  <c r="BV50" i="49"/>
  <c r="BX50" i="49"/>
  <c r="AJ66" i="46"/>
  <c r="AJ64" i="46"/>
  <c r="R49" i="49"/>
  <c r="BV49" i="49"/>
  <c r="BX49" i="49"/>
  <c r="AJ62" i="46"/>
  <c r="R52" i="49"/>
  <c r="BV52" i="49"/>
  <c r="BX52" i="49"/>
  <c r="AJ58" i="46"/>
  <c r="R46" i="49"/>
  <c r="BV46" i="49"/>
  <c r="BX46" i="49"/>
  <c r="AJ59" i="46"/>
  <c r="R41" i="49"/>
  <c r="BV41" i="49"/>
  <c r="BX41" i="49"/>
  <c r="AJ57" i="46"/>
  <c r="R45" i="49"/>
  <c r="BV45" i="49"/>
  <c r="BX45" i="49"/>
  <c r="AJ55" i="46"/>
  <c r="R44" i="49"/>
  <c r="BV44" i="49"/>
  <c r="BX44" i="49"/>
  <c r="AJ56" i="46"/>
  <c r="R42" i="49"/>
  <c r="BV42" i="49"/>
  <c r="BX42" i="49"/>
  <c r="AJ54" i="46"/>
  <c r="R43" i="49"/>
  <c r="BV43" i="49"/>
  <c r="BX43" i="49"/>
  <c r="CX332" i="49"/>
  <c r="CV332" i="49"/>
  <c r="CW332" i="49"/>
  <c r="P10" i="49"/>
  <c r="AL12" i="46"/>
  <c r="P8" i="49"/>
  <c r="AL11" i="46"/>
  <c r="AL17" i="46"/>
  <c r="AD558" i="46"/>
  <c r="BB45" i="49"/>
  <c r="BB46" i="49"/>
  <c r="BD46" i="49"/>
  <c r="BC46" i="49"/>
  <c r="BB53" i="49"/>
  <c r="AI94" i="46"/>
  <c r="Q63" i="49"/>
  <c r="AY63" i="49"/>
  <c r="BA63" i="49"/>
  <c r="AI93" i="46"/>
  <c r="Q71" i="49"/>
  <c r="AY71" i="49"/>
  <c r="BA71" i="49"/>
  <c r="AI91" i="46"/>
  <c r="Q64" i="49"/>
  <c r="AY64" i="49"/>
  <c r="BA64" i="49"/>
  <c r="AI89" i="46"/>
  <c r="Q67" i="49"/>
  <c r="AY67" i="49"/>
  <c r="BA67" i="49"/>
  <c r="AI88" i="46"/>
  <c r="Q66" i="49"/>
  <c r="AY66" i="49"/>
  <c r="BA66" i="49"/>
  <c r="AK120" i="46"/>
  <c r="AH401" i="46"/>
  <c r="AL401" i="46"/>
  <c r="AH399" i="46"/>
  <c r="AH400" i="46"/>
  <c r="AH398" i="46"/>
  <c r="AH390" i="46"/>
  <c r="AH392" i="46"/>
  <c r="AH394" i="46"/>
  <c r="AH387" i="46"/>
  <c r="AH396" i="46"/>
  <c r="AH388" i="46"/>
  <c r="AH393" i="46"/>
  <c r="AH395" i="46"/>
  <c r="AH389" i="46"/>
  <c r="AH391" i="46"/>
  <c r="AI560" i="46"/>
  <c r="AK459" i="46"/>
  <c r="S383" i="49"/>
  <c r="CS383" i="49"/>
  <c r="CU383" i="49"/>
  <c r="AK446" i="46"/>
  <c r="S372" i="49"/>
  <c r="CS372" i="49"/>
  <c r="CU372" i="49"/>
  <c r="AK440" i="46"/>
  <c r="S393" i="49"/>
  <c r="CS393" i="49"/>
  <c r="CU393" i="49"/>
  <c r="AK460" i="46"/>
  <c r="S391" i="49"/>
  <c r="CS391" i="49"/>
  <c r="CU391" i="49"/>
  <c r="AK462" i="46"/>
  <c r="S376" i="49"/>
  <c r="CS376" i="49"/>
  <c r="CU376" i="49"/>
  <c r="AK443" i="46"/>
  <c r="S378" i="49"/>
  <c r="CS378" i="49"/>
  <c r="CU378" i="49"/>
  <c r="AK442" i="46"/>
  <c r="S388" i="49"/>
  <c r="CS388" i="49"/>
  <c r="CU388" i="49"/>
  <c r="AK435" i="46"/>
  <c r="S370" i="49"/>
  <c r="CS370" i="49"/>
  <c r="CU370" i="49"/>
  <c r="AK456" i="46"/>
  <c r="S395" i="49"/>
  <c r="CS395" i="49"/>
  <c r="CU395" i="49"/>
  <c r="AK454" i="46"/>
  <c r="S367" i="49"/>
  <c r="CS367" i="49"/>
  <c r="CU367" i="49"/>
  <c r="AK428" i="46"/>
  <c r="S380" i="49"/>
  <c r="CS380" i="49"/>
  <c r="CU380" i="49"/>
  <c r="AK429" i="46"/>
  <c r="S384" i="49"/>
  <c r="CS384" i="49"/>
  <c r="CU384" i="49"/>
  <c r="AK453" i="46"/>
  <c r="S394" i="49"/>
  <c r="CS394" i="49"/>
  <c r="CU394" i="49"/>
  <c r="AK436" i="46"/>
  <c r="S375" i="49"/>
  <c r="CS375" i="49"/>
  <c r="CU375" i="49"/>
  <c r="AK451" i="46"/>
  <c r="S371" i="49"/>
  <c r="CS371" i="49"/>
  <c r="CU371" i="49"/>
  <c r="AK445" i="46"/>
  <c r="S379" i="49"/>
  <c r="CS379" i="49"/>
  <c r="CU379" i="49"/>
  <c r="AK450" i="46"/>
  <c r="S381" i="49"/>
  <c r="CS381" i="49"/>
  <c r="CU381" i="49"/>
  <c r="AK431" i="46"/>
  <c r="S369" i="49"/>
  <c r="CS369" i="49"/>
  <c r="CU369" i="49"/>
  <c r="AK434" i="46"/>
  <c r="S377" i="49"/>
  <c r="CS377" i="49"/>
  <c r="CU377" i="49"/>
  <c r="AK433" i="46"/>
  <c r="S366" i="49"/>
  <c r="CS366" i="49"/>
  <c r="CU366" i="49"/>
  <c r="AK438" i="46"/>
  <c r="S397" i="49"/>
  <c r="CS397" i="49"/>
  <c r="CU397" i="49"/>
  <c r="AK447" i="46"/>
  <c r="S348" i="49"/>
  <c r="CS348" i="49"/>
  <c r="CU348" i="49"/>
  <c r="AK455" i="46"/>
  <c r="S368" i="49"/>
  <c r="CS368" i="49"/>
  <c r="CU368" i="49"/>
  <c r="AK457" i="46"/>
  <c r="S365" i="49"/>
  <c r="CS365" i="49"/>
  <c r="CU365" i="49"/>
  <c r="AK452" i="46"/>
  <c r="S389" i="49"/>
  <c r="CS389" i="49"/>
  <c r="CU389" i="49"/>
  <c r="AK441" i="46"/>
  <c r="S373" i="49"/>
  <c r="CS373" i="49"/>
  <c r="CU373" i="49"/>
  <c r="AK444" i="46"/>
  <c r="S400" i="49"/>
  <c r="CS400" i="49"/>
  <c r="CU400" i="49"/>
  <c r="AK432" i="46"/>
  <c r="S398" i="49"/>
  <c r="CS398" i="49"/>
  <c r="CU398" i="49"/>
  <c r="AK448" i="46"/>
  <c r="S374" i="49"/>
  <c r="CS374" i="49"/>
  <c r="CU374" i="49"/>
  <c r="AK426" i="46"/>
  <c r="S399" i="49"/>
  <c r="CS399" i="49"/>
  <c r="CU399" i="49"/>
  <c r="AK463" i="46"/>
  <c r="AK439" i="46"/>
  <c r="S387" i="49"/>
  <c r="CS387" i="49"/>
  <c r="CU387" i="49"/>
  <c r="AK437" i="46"/>
  <c r="S392" i="49"/>
  <c r="CS392" i="49"/>
  <c r="CU392" i="49"/>
  <c r="AK430" i="46"/>
  <c r="S402" i="49"/>
  <c r="CS402" i="49"/>
  <c r="CU402" i="49"/>
  <c r="AK427" i="46"/>
  <c r="S396" i="49"/>
  <c r="CS396" i="49"/>
  <c r="CU396" i="49"/>
  <c r="AK424" i="46"/>
  <c r="S152" i="49"/>
  <c r="CS152" i="49"/>
  <c r="CU152" i="49"/>
  <c r="AK458" i="46"/>
  <c r="S386" i="49"/>
  <c r="CS386" i="49"/>
  <c r="CU386" i="49"/>
  <c r="AK425" i="46"/>
  <c r="S390" i="49"/>
  <c r="CS390" i="49"/>
  <c r="CU390" i="49"/>
  <c r="AK449" i="46"/>
  <c r="S401" i="49"/>
  <c r="CS401" i="49"/>
  <c r="CU401" i="49"/>
  <c r="AK423" i="46"/>
  <c r="S382" i="49"/>
  <c r="CS382" i="49"/>
  <c r="CU382" i="49"/>
  <c r="AK411" i="46"/>
  <c r="S354" i="49"/>
  <c r="CS354" i="49"/>
  <c r="CU354" i="49"/>
  <c r="AK412" i="46"/>
  <c r="S356" i="49"/>
  <c r="CS356" i="49"/>
  <c r="CU356" i="49"/>
  <c r="AK419" i="46"/>
  <c r="S349" i="49"/>
  <c r="CS349" i="49"/>
  <c r="CU349" i="49"/>
  <c r="AK410" i="46"/>
  <c r="S359" i="49"/>
  <c r="CS359" i="49"/>
  <c r="CU359" i="49"/>
  <c r="AK408" i="46"/>
  <c r="S362" i="49"/>
  <c r="CS362" i="49"/>
  <c r="CU362" i="49"/>
  <c r="AK413" i="46"/>
  <c r="S351" i="49"/>
  <c r="CS351" i="49"/>
  <c r="CU351" i="49"/>
  <c r="AK414" i="46"/>
  <c r="S358" i="49"/>
  <c r="CS358" i="49"/>
  <c r="CU358" i="49"/>
  <c r="AK418" i="46"/>
  <c r="S353" i="49"/>
  <c r="CS353" i="49"/>
  <c r="CU353" i="49"/>
  <c r="AK416" i="46"/>
  <c r="S350" i="49"/>
  <c r="CS350" i="49"/>
  <c r="CU350" i="49"/>
  <c r="AK415" i="46"/>
  <c r="S357" i="49"/>
  <c r="CS357" i="49"/>
  <c r="CU357" i="49"/>
  <c r="AK417" i="46"/>
  <c r="S352" i="49"/>
  <c r="CS352" i="49"/>
  <c r="CU352" i="49"/>
  <c r="AK409" i="46"/>
  <c r="S364" i="49"/>
  <c r="CS364" i="49"/>
  <c r="CU364" i="49"/>
  <c r="AE50" i="46"/>
  <c r="AE557" i="46"/>
  <c r="AE582" i="46"/>
  <c r="AE2" i="46"/>
  <c r="BB313" i="49"/>
  <c r="AK407" i="46"/>
  <c r="AE558" i="46"/>
  <c r="AK468" i="46"/>
  <c r="AK86" i="46"/>
  <c r="BB325" i="49"/>
  <c r="AD50" i="46"/>
  <c r="AD582" i="46"/>
  <c r="AD2" i="46"/>
  <c r="CV12" i="49"/>
  <c r="CV9" i="49"/>
  <c r="CV6" i="49"/>
  <c r="AE74" i="49"/>
  <c r="CV324" i="49"/>
  <c r="AH120" i="46"/>
  <c r="BB331" i="49"/>
  <c r="AK383" i="46"/>
  <c r="BB14" i="49"/>
  <c r="BB12" i="49"/>
  <c r="AE72" i="49"/>
  <c r="AB16" i="49"/>
  <c r="AD16" i="49"/>
  <c r="T204" i="49"/>
  <c r="AB204" i="49"/>
  <c r="AD204" i="49"/>
  <c r="AE204" i="49"/>
  <c r="AB203" i="49"/>
  <c r="AD203" i="49"/>
  <c r="AE203" i="49"/>
  <c r="T203" i="49"/>
  <c r="AL320" i="46"/>
  <c r="AL319" i="46"/>
  <c r="AH68" i="46"/>
  <c r="AH403" i="46"/>
  <c r="AH465" i="46"/>
  <c r="AH500" i="46"/>
  <c r="AK553" i="46"/>
  <c r="S463" i="49"/>
  <c r="CS463" i="49"/>
  <c r="CU463" i="49"/>
  <c r="AK551" i="46"/>
  <c r="S438" i="49"/>
  <c r="CS438" i="49"/>
  <c r="CU438" i="49"/>
  <c r="AK549" i="46"/>
  <c r="S469" i="49"/>
  <c r="CS469" i="49"/>
  <c r="CU469" i="49"/>
  <c r="AK550" i="46"/>
  <c r="S174" i="49"/>
  <c r="CS174" i="49"/>
  <c r="CU174" i="49"/>
  <c r="AK540" i="46"/>
  <c r="S468" i="49"/>
  <c r="CS468" i="49"/>
  <c r="CU468" i="49"/>
  <c r="AK554" i="46"/>
  <c r="S467" i="49"/>
  <c r="CS467" i="49"/>
  <c r="CU467" i="49"/>
  <c r="AK539" i="46"/>
  <c r="S475" i="49"/>
  <c r="CS475" i="49"/>
  <c r="CU475" i="49"/>
  <c r="AK546" i="46"/>
  <c r="S464" i="49"/>
  <c r="CS464" i="49"/>
  <c r="CU464" i="49"/>
  <c r="AK545" i="46"/>
  <c r="S461" i="49"/>
  <c r="CS461" i="49"/>
  <c r="CU461" i="49"/>
  <c r="AK543" i="46"/>
  <c r="S466" i="49"/>
  <c r="CS466" i="49"/>
  <c r="CU466" i="49"/>
  <c r="AK541" i="46"/>
  <c r="S465" i="49"/>
  <c r="CS465" i="49"/>
  <c r="CU465" i="49"/>
  <c r="AK542" i="46"/>
  <c r="S462" i="49"/>
  <c r="CS462" i="49"/>
  <c r="CU462" i="49"/>
  <c r="AK547" i="46"/>
  <c r="S474" i="49"/>
  <c r="CS474" i="49"/>
  <c r="CU474" i="49"/>
  <c r="AK552" i="46"/>
  <c r="S473" i="49"/>
  <c r="CS473" i="49"/>
  <c r="CU473" i="49"/>
  <c r="AK555" i="46"/>
  <c r="AK538" i="46"/>
  <c r="S472" i="49"/>
  <c r="CS472" i="49"/>
  <c r="CU472" i="49"/>
  <c r="AK520" i="46"/>
  <c r="S452" i="49"/>
  <c r="CS452" i="49"/>
  <c r="CU452" i="49"/>
  <c r="AK526" i="46"/>
  <c r="S441" i="49"/>
  <c r="CS441" i="49"/>
  <c r="CU441" i="49"/>
  <c r="AK537" i="46"/>
  <c r="S448" i="49"/>
  <c r="CS448" i="49"/>
  <c r="CU448" i="49"/>
  <c r="AK532" i="46"/>
  <c r="S459" i="49"/>
  <c r="CS459" i="49"/>
  <c r="CU459" i="49"/>
  <c r="AK529" i="46"/>
  <c r="S440" i="49"/>
  <c r="CS440" i="49"/>
  <c r="CU440" i="49"/>
  <c r="AK528" i="46"/>
  <c r="S446" i="49"/>
  <c r="CS446" i="49"/>
  <c r="CU446" i="49"/>
  <c r="AK534" i="46"/>
  <c r="S439" i="49"/>
  <c r="CS439" i="49"/>
  <c r="CU439" i="49"/>
  <c r="AK533" i="46"/>
  <c r="S447" i="49"/>
  <c r="CS447" i="49"/>
  <c r="CU447" i="49"/>
  <c r="AK522" i="46"/>
  <c r="S451" i="49"/>
  <c r="CS451" i="49"/>
  <c r="CU451" i="49"/>
  <c r="AK523" i="46"/>
  <c r="S444" i="49"/>
  <c r="CS444" i="49"/>
  <c r="CU444" i="49"/>
  <c r="AK521" i="46"/>
  <c r="S445" i="49"/>
  <c r="CS445" i="49"/>
  <c r="CU445" i="49"/>
  <c r="AK524" i="46"/>
  <c r="S458" i="49"/>
  <c r="CS458" i="49"/>
  <c r="CU458" i="49"/>
  <c r="AK536" i="46"/>
  <c r="S450" i="49"/>
  <c r="CS450" i="49"/>
  <c r="CU450" i="49"/>
  <c r="AK531" i="46"/>
  <c r="S443" i="49"/>
  <c r="CS443" i="49"/>
  <c r="CU443" i="49"/>
  <c r="AK527" i="46"/>
  <c r="S453" i="49"/>
  <c r="CS453" i="49"/>
  <c r="CU453" i="49"/>
  <c r="AK525" i="46"/>
  <c r="S456" i="49"/>
  <c r="CS456" i="49"/>
  <c r="CU456" i="49"/>
  <c r="AK535" i="46"/>
  <c r="S442" i="49"/>
  <c r="CS442" i="49"/>
  <c r="CU442" i="49"/>
  <c r="AK530" i="46"/>
  <c r="S460" i="49"/>
  <c r="CS460" i="49"/>
  <c r="CU460" i="49"/>
  <c r="AK516" i="46"/>
  <c r="AI555" i="46"/>
  <c r="AI540" i="46"/>
  <c r="Q468" i="49"/>
  <c r="AY468" i="49"/>
  <c r="BA468" i="49"/>
  <c r="AI552" i="46"/>
  <c r="Q473" i="49"/>
  <c r="AY473" i="49"/>
  <c r="BA473" i="49"/>
  <c r="AI551" i="46"/>
  <c r="Q438" i="49"/>
  <c r="AY438" i="49"/>
  <c r="BA438" i="49"/>
  <c r="AI543" i="46"/>
  <c r="Q466" i="49"/>
  <c r="AY466" i="49"/>
  <c r="BA466" i="49"/>
  <c r="AI541" i="46"/>
  <c r="Q465" i="49"/>
  <c r="AY465" i="49"/>
  <c r="BA465" i="49"/>
  <c r="AI546" i="46"/>
  <c r="Q464" i="49"/>
  <c r="AY464" i="49"/>
  <c r="BA464" i="49"/>
  <c r="AI553" i="46"/>
  <c r="Q463" i="49"/>
  <c r="AY463" i="49"/>
  <c r="BA463" i="49"/>
  <c r="AI549" i="46"/>
  <c r="Q469" i="49"/>
  <c r="AY469" i="49"/>
  <c r="BA469" i="49"/>
  <c r="AI545" i="46"/>
  <c r="Q461" i="49"/>
  <c r="AY461" i="49"/>
  <c r="BA461" i="49"/>
  <c r="AI550" i="46"/>
  <c r="Q174" i="49"/>
  <c r="AY174" i="49"/>
  <c r="BA174" i="49"/>
  <c r="AI542" i="46"/>
  <c r="Q462" i="49"/>
  <c r="AY462" i="49"/>
  <c r="BA462" i="49"/>
  <c r="AI554" i="46"/>
  <c r="Q467" i="49"/>
  <c r="AY467" i="49"/>
  <c r="BA467" i="49"/>
  <c r="AI547" i="46"/>
  <c r="Q474" i="49"/>
  <c r="AY474" i="49"/>
  <c r="BA474" i="49"/>
  <c r="AI538" i="46"/>
  <c r="Q472" i="49"/>
  <c r="AY472" i="49"/>
  <c r="BA472" i="49"/>
  <c r="AI522" i="46"/>
  <c r="Q451" i="49"/>
  <c r="AY451" i="49"/>
  <c r="BA451" i="49"/>
  <c r="AI525" i="46"/>
  <c r="Q456" i="49"/>
  <c r="AY456" i="49"/>
  <c r="BA456" i="49"/>
  <c r="AI537" i="46"/>
  <c r="Q448" i="49"/>
  <c r="AY448" i="49"/>
  <c r="BA448" i="49"/>
  <c r="AI524" i="46"/>
  <c r="Q458" i="49"/>
  <c r="AY458" i="49"/>
  <c r="BA458" i="49"/>
  <c r="AI521" i="46"/>
  <c r="Q445" i="49"/>
  <c r="AY445" i="49"/>
  <c r="BA445" i="49"/>
  <c r="AI523" i="46"/>
  <c r="Q444" i="49"/>
  <c r="AY444" i="49"/>
  <c r="BA444" i="49"/>
  <c r="AI533" i="46"/>
  <c r="Q447" i="49"/>
  <c r="AY447" i="49"/>
  <c r="BA447" i="49"/>
  <c r="AI530" i="46"/>
  <c r="Q460" i="49"/>
  <c r="AY460" i="49"/>
  <c r="BA460" i="49"/>
  <c r="AI527" i="46"/>
  <c r="Q453" i="49"/>
  <c r="AY453" i="49"/>
  <c r="BA453" i="49"/>
  <c r="AI532" i="46"/>
  <c r="Q459" i="49"/>
  <c r="AY459" i="49"/>
  <c r="BA459" i="49"/>
  <c r="AI535" i="46"/>
  <c r="Q442" i="49"/>
  <c r="AY442" i="49"/>
  <c r="BA442" i="49"/>
  <c r="AI520" i="46"/>
  <c r="Q452" i="49"/>
  <c r="AY452" i="49"/>
  <c r="BA452" i="49"/>
  <c r="AI528" i="46"/>
  <c r="Q446" i="49"/>
  <c r="AY446" i="49"/>
  <c r="BA446" i="49"/>
  <c r="AI529" i="46"/>
  <c r="Q440" i="49"/>
  <c r="AY440" i="49"/>
  <c r="BA440" i="49"/>
  <c r="AI531" i="46"/>
  <c r="Q443" i="49"/>
  <c r="AY443" i="49"/>
  <c r="BA443" i="49"/>
  <c r="AI516" i="46"/>
  <c r="S36" i="49"/>
  <c r="CS36" i="49"/>
  <c r="CU36" i="49"/>
  <c r="S355" i="49"/>
  <c r="CS355" i="49"/>
  <c r="CU355" i="49"/>
  <c r="AK465" i="46"/>
  <c r="CV351" i="49"/>
  <c r="CV356" i="49"/>
  <c r="CV390" i="49"/>
  <c r="CV402" i="49"/>
  <c r="CX402" i="49"/>
  <c r="CW402" i="49"/>
  <c r="CX399" i="49"/>
  <c r="CV399" i="49"/>
  <c r="CW399" i="49"/>
  <c r="CV373" i="49"/>
  <c r="CV348" i="49"/>
  <c r="CV369" i="49"/>
  <c r="CX369" i="49"/>
  <c r="CW369" i="49"/>
  <c r="CV375" i="49"/>
  <c r="CX375" i="49"/>
  <c r="CW375" i="49"/>
  <c r="CV367" i="49"/>
  <c r="CX378" i="49"/>
  <c r="CV378" i="49"/>
  <c r="CW378" i="49"/>
  <c r="CV372" i="49"/>
  <c r="P336" i="49"/>
  <c r="AL389" i="46"/>
  <c r="P337" i="49"/>
  <c r="AL396" i="46"/>
  <c r="P333" i="49"/>
  <c r="AL390" i="46"/>
  <c r="BB64" i="49"/>
  <c r="AH539" i="46"/>
  <c r="AH550" i="46"/>
  <c r="AH552" i="46"/>
  <c r="AH541" i="46"/>
  <c r="AH540" i="46"/>
  <c r="AH542" i="46"/>
  <c r="AH547" i="46"/>
  <c r="AH543" i="46"/>
  <c r="AH546" i="46"/>
  <c r="AH551" i="46"/>
  <c r="AH549" i="46"/>
  <c r="AH553" i="46"/>
  <c r="AH554" i="46"/>
  <c r="AH545" i="46"/>
  <c r="AH555" i="46"/>
  <c r="AH538" i="46"/>
  <c r="AH537" i="46"/>
  <c r="AH527" i="46"/>
  <c r="AH521" i="46"/>
  <c r="AH536" i="46"/>
  <c r="AH526" i="46"/>
  <c r="AH535" i="46"/>
  <c r="AH529" i="46"/>
  <c r="AH525" i="46"/>
  <c r="AH534" i="46"/>
  <c r="AH533" i="46"/>
  <c r="AH530" i="46"/>
  <c r="AH531" i="46"/>
  <c r="AH524" i="46"/>
  <c r="AH520" i="46"/>
  <c r="AH532" i="46"/>
  <c r="AH528" i="46"/>
  <c r="AH522" i="46"/>
  <c r="AH523" i="46"/>
  <c r="AB8" i="49"/>
  <c r="AD8" i="49"/>
  <c r="T8" i="49"/>
  <c r="BY44" i="49"/>
  <c r="BY52" i="49"/>
  <c r="CA53" i="49"/>
  <c r="BY53" i="49"/>
  <c r="BZ53" i="49"/>
  <c r="CV16" i="49"/>
  <c r="BY418" i="49"/>
  <c r="CA418" i="49"/>
  <c r="BZ418" i="49"/>
  <c r="BY413" i="49"/>
  <c r="BY417" i="49"/>
  <c r="CA417" i="49"/>
  <c r="BZ417" i="49"/>
  <c r="BY420" i="49"/>
  <c r="BY425" i="49"/>
  <c r="BY427" i="49"/>
  <c r="BY426" i="49"/>
  <c r="CA426" i="49"/>
  <c r="BZ426" i="49"/>
  <c r="P66" i="49"/>
  <c r="AL88" i="46"/>
  <c r="P63" i="49"/>
  <c r="AL94" i="46"/>
  <c r="R479" i="49"/>
  <c r="BV479" i="49"/>
  <c r="BX479" i="49"/>
  <c r="AJ575" i="46"/>
  <c r="P46" i="49"/>
  <c r="AL58" i="46"/>
  <c r="AL66" i="46"/>
  <c r="BB405" i="49"/>
  <c r="BD405" i="49"/>
  <c r="BC405" i="49"/>
  <c r="BB407" i="49"/>
  <c r="BD407" i="49"/>
  <c r="BC407" i="49"/>
  <c r="BB411" i="49"/>
  <c r="BB413" i="49"/>
  <c r="BB414" i="49"/>
  <c r="BB422" i="49"/>
  <c r="BD422" i="49"/>
  <c r="BC422" i="49"/>
  <c r="BY353" i="49"/>
  <c r="CA353" i="49"/>
  <c r="BZ353" i="49"/>
  <c r="BY351" i="49"/>
  <c r="BY362" i="49"/>
  <c r="CA362" i="49"/>
  <c r="BZ362" i="49"/>
  <c r="BY382" i="49"/>
  <c r="BY396" i="49"/>
  <c r="CA396" i="49"/>
  <c r="BZ396" i="49"/>
  <c r="BY371" i="49"/>
  <c r="CA371" i="49"/>
  <c r="BZ371" i="49"/>
  <c r="BY386" i="49"/>
  <c r="BY384" i="49"/>
  <c r="BY391" i="49"/>
  <c r="CA391" i="49"/>
  <c r="BZ391" i="49"/>
  <c r="BY395" i="49"/>
  <c r="BY390" i="49"/>
  <c r="BY379" i="49"/>
  <c r="BY402" i="49"/>
  <c r="BY337" i="49"/>
  <c r="BY342" i="49"/>
  <c r="BY336" i="49"/>
  <c r="CA345" i="49"/>
  <c r="BY345" i="49"/>
  <c r="BZ345" i="49"/>
  <c r="BY484" i="49"/>
  <c r="BY477" i="49"/>
  <c r="BY56" i="49"/>
  <c r="BY60" i="49"/>
  <c r="P364" i="49"/>
  <c r="AL409" i="46"/>
  <c r="P349" i="49"/>
  <c r="AL419" i="46"/>
  <c r="P358" i="49"/>
  <c r="AL414" i="46"/>
  <c r="P386" i="49"/>
  <c r="AL458" i="46"/>
  <c r="P374" i="49"/>
  <c r="AL448" i="46"/>
  <c r="P366" i="49"/>
  <c r="AL433" i="46"/>
  <c r="P400" i="49"/>
  <c r="AL444" i="46"/>
  <c r="P384" i="49"/>
  <c r="AL429" i="46"/>
  <c r="P379" i="49"/>
  <c r="AL445" i="46"/>
  <c r="P391" i="49"/>
  <c r="AL460" i="46"/>
  <c r="P401" i="49"/>
  <c r="AL449" i="46"/>
  <c r="P373" i="49"/>
  <c r="AL441" i="46"/>
  <c r="P376" i="49"/>
  <c r="AL462" i="46"/>
  <c r="AB7" i="49"/>
  <c r="AD7" i="49"/>
  <c r="T7" i="49"/>
  <c r="R97" i="49"/>
  <c r="BV97" i="49"/>
  <c r="BX97" i="49"/>
  <c r="AJ358" i="46"/>
  <c r="BY118" i="49"/>
  <c r="BY119" i="49"/>
  <c r="BY100" i="49"/>
  <c r="BY95" i="49"/>
  <c r="BY108" i="49"/>
  <c r="BY127" i="49"/>
  <c r="BY103" i="49"/>
  <c r="BY101" i="49"/>
  <c r="BY99" i="49"/>
  <c r="BY90" i="49"/>
  <c r="BY91" i="49"/>
  <c r="BY113" i="49"/>
  <c r="BY117" i="49"/>
  <c r="BY178" i="49"/>
  <c r="BY220" i="49"/>
  <c r="BY300" i="49"/>
  <c r="BV5" i="49"/>
  <c r="BY260" i="49"/>
  <c r="BY170" i="49"/>
  <c r="BY221" i="49"/>
  <c r="CA221" i="49"/>
  <c r="BZ221" i="49"/>
  <c r="CA147" i="49"/>
  <c r="BY147" i="49"/>
  <c r="BZ147" i="49"/>
  <c r="BY136" i="49"/>
  <c r="CA193" i="49"/>
  <c r="BY193" i="49"/>
  <c r="BZ193" i="49"/>
  <c r="BY175" i="49"/>
  <c r="CA175" i="49"/>
  <c r="BZ175" i="49"/>
  <c r="BY192" i="49"/>
  <c r="BY269" i="49"/>
  <c r="CA269" i="49"/>
  <c r="BZ269" i="49"/>
  <c r="BY150" i="49"/>
  <c r="BY297" i="49"/>
  <c r="CA297" i="49"/>
  <c r="BZ297" i="49"/>
  <c r="BY214" i="49"/>
  <c r="BY274" i="49"/>
  <c r="BY206" i="49"/>
  <c r="CA206" i="49"/>
  <c r="BZ206" i="49"/>
  <c r="BY215" i="49"/>
  <c r="BY209" i="49"/>
  <c r="BY241" i="49"/>
  <c r="BY247" i="49"/>
  <c r="BY263" i="49"/>
  <c r="CA263" i="49"/>
  <c r="BZ263" i="49"/>
  <c r="BY311" i="49"/>
  <c r="BY277" i="49"/>
  <c r="BY211" i="49"/>
  <c r="CA288" i="49"/>
  <c r="BY288" i="49"/>
  <c r="BZ288" i="49"/>
  <c r="BY245" i="49"/>
  <c r="BY163" i="49"/>
  <c r="BY278" i="49"/>
  <c r="BY141" i="49"/>
  <c r="CA284" i="49"/>
  <c r="BY284" i="49"/>
  <c r="BZ284" i="49"/>
  <c r="BY217" i="49"/>
  <c r="BY308" i="49"/>
  <c r="CA216" i="49"/>
  <c r="BY216" i="49"/>
  <c r="BZ216" i="49"/>
  <c r="BY255" i="49"/>
  <c r="CA255" i="49"/>
  <c r="BZ255" i="49"/>
  <c r="BY242" i="49"/>
  <c r="BY290" i="49"/>
  <c r="BY190" i="49"/>
  <c r="BY225" i="49"/>
  <c r="BY142" i="49"/>
  <c r="BY160" i="49"/>
  <c r="BY164" i="49"/>
  <c r="Q355" i="49"/>
  <c r="AY355" i="49"/>
  <c r="BA355" i="49"/>
  <c r="AI465" i="46"/>
  <c r="P59" i="49"/>
  <c r="AL71" i="46"/>
  <c r="AH83" i="46"/>
  <c r="CV66" i="49"/>
  <c r="CV71" i="49"/>
  <c r="CX71" i="49"/>
  <c r="CW71" i="49"/>
  <c r="CV420" i="49"/>
  <c r="CX420" i="49"/>
  <c r="CW420" i="49"/>
  <c r="CV413" i="49"/>
  <c r="CV414" i="49"/>
  <c r="CV416" i="49"/>
  <c r="CX416" i="49"/>
  <c r="CW416" i="49"/>
  <c r="CV427" i="49"/>
  <c r="CV430" i="49"/>
  <c r="P60" i="49"/>
  <c r="AL74" i="46"/>
  <c r="P55" i="49"/>
  <c r="AL78" i="46"/>
  <c r="AJ45" i="46"/>
  <c r="R38" i="49"/>
  <c r="BV38" i="49"/>
  <c r="BX38" i="49"/>
  <c r="AJ47" i="46"/>
  <c r="R51" i="49"/>
  <c r="BV51" i="49"/>
  <c r="BX51" i="49"/>
  <c r="AJ46" i="46"/>
  <c r="R40" i="49"/>
  <c r="BV40" i="49"/>
  <c r="BX40" i="49"/>
  <c r="AJ48" i="46"/>
  <c r="AJ44" i="46"/>
  <c r="R39" i="49"/>
  <c r="BV39" i="49"/>
  <c r="BX39" i="49"/>
  <c r="AJ32" i="46"/>
  <c r="R27" i="49"/>
  <c r="BV27" i="49"/>
  <c r="BX27" i="49"/>
  <c r="AJ41" i="46"/>
  <c r="R26" i="49"/>
  <c r="BV26" i="49"/>
  <c r="BX26" i="49"/>
  <c r="AJ28" i="46"/>
  <c r="R35" i="49"/>
  <c r="BV35" i="49"/>
  <c r="BX35" i="49"/>
  <c r="AJ29" i="46"/>
  <c r="R34" i="49"/>
  <c r="BV34" i="49"/>
  <c r="BX34" i="49"/>
  <c r="AJ38" i="46"/>
  <c r="R21" i="49"/>
  <c r="BV21" i="49"/>
  <c r="BX21" i="49"/>
  <c r="AJ39" i="46"/>
  <c r="R31" i="49"/>
  <c r="BV31" i="49"/>
  <c r="BX31" i="49"/>
  <c r="AJ35" i="46"/>
  <c r="R19" i="49"/>
  <c r="BV19" i="49"/>
  <c r="BX19" i="49"/>
  <c r="AJ36" i="46"/>
  <c r="R18" i="49"/>
  <c r="BV18" i="49"/>
  <c r="BX18" i="49"/>
  <c r="AJ27" i="46"/>
  <c r="R32" i="49"/>
  <c r="BV32" i="49"/>
  <c r="BX32" i="49"/>
  <c r="AJ33" i="46"/>
  <c r="R24" i="49"/>
  <c r="BV24" i="49"/>
  <c r="BX24" i="49"/>
  <c r="AJ34" i="46"/>
  <c r="R17" i="49"/>
  <c r="BV17" i="49"/>
  <c r="BX17" i="49"/>
  <c r="AJ30" i="46"/>
  <c r="R33" i="49"/>
  <c r="BV33" i="49"/>
  <c r="BX33" i="49"/>
  <c r="AJ26" i="46"/>
  <c r="R30" i="49"/>
  <c r="BV30" i="49"/>
  <c r="BX30" i="49"/>
  <c r="AJ31" i="46"/>
  <c r="R37" i="49"/>
  <c r="BV37" i="49"/>
  <c r="BX37" i="49"/>
  <c r="AJ23" i="46"/>
  <c r="R23" i="49"/>
  <c r="BV23" i="49"/>
  <c r="BX23" i="49"/>
  <c r="AJ37" i="46"/>
  <c r="R20" i="49"/>
  <c r="BV20" i="49"/>
  <c r="BX20" i="49"/>
  <c r="AJ40" i="46"/>
  <c r="R25" i="49"/>
  <c r="BV25" i="49"/>
  <c r="BX25" i="49"/>
  <c r="AJ24" i="46"/>
  <c r="R22" i="49"/>
  <c r="BV22" i="49"/>
  <c r="BX22" i="49"/>
  <c r="P432" i="49"/>
  <c r="AL507" i="46"/>
  <c r="Q59" i="49"/>
  <c r="AY59" i="49"/>
  <c r="BA59" i="49"/>
  <c r="AI83" i="46"/>
  <c r="AB13" i="49"/>
  <c r="AD13" i="49"/>
  <c r="T13" i="49"/>
  <c r="BB478" i="49"/>
  <c r="BB482" i="49"/>
  <c r="BB486" i="49"/>
  <c r="P408" i="49"/>
  <c r="AL483" i="46"/>
  <c r="P411" i="49"/>
  <c r="AL481" i="46"/>
  <c r="P420" i="49"/>
  <c r="AL478" i="46"/>
  <c r="P414" i="49"/>
  <c r="AL485" i="46"/>
  <c r="P153" i="49"/>
  <c r="AL491" i="46"/>
  <c r="P403" i="49"/>
  <c r="AL497" i="46"/>
  <c r="P429" i="49"/>
  <c r="AL493" i="46"/>
  <c r="BY7" i="49"/>
  <c r="BY10" i="49"/>
  <c r="BY11" i="49"/>
  <c r="BY317" i="49"/>
  <c r="BY324" i="49"/>
  <c r="BY323" i="49"/>
  <c r="BY331" i="49"/>
  <c r="BB61" i="49"/>
  <c r="BB54" i="49"/>
  <c r="CV83" i="49"/>
  <c r="CV104" i="49"/>
  <c r="CV111" i="49"/>
  <c r="CV118" i="49"/>
  <c r="CV89" i="49"/>
  <c r="CV100" i="49"/>
  <c r="CV87" i="49"/>
  <c r="CV88" i="49"/>
  <c r="CV108" i="49"/>
  <c r="CV122" i="49"/>
  <c r="CV107" i="49"/>
  <c r="CV94" i="49"/>
  <c r="CV116" i="49"/>
  <c r="CV260" i="49"/>
  <c r="CV132" i="49"/>
  <c r="CV291" i="49"/>
  <c r="CX291" i="49"/>
  <c r="CW291" i="49"/>
  <c r="CV307" i="49"/>
  <c r="CV189" i="49"/>
  <c r="CV173" i="49"/>
  <c r="CV138" i="49"/>
  <c r="CV216" i="49"/>
  <c r="CX216" i="49"/>
  <c r="CW216" i="49"/>
  <c r="CX175" i="49"/>
  <c r="CV175" i="49"/>
  <c r="CW175" i="49"/>
  <c r="CV266" i="49"/>
  <c r="CV217" i="49"/>
  <c r="CV245" i="49"/>
  <c r="CV159" i="49"/>
  <c r="CV179" i="49"/>
  <c r="CV214" i="49"/>
  <c r="CV142" i="49"/>
  <c r="CV148" i="49"/>
  <c r="CV218" i="49"/>
  <c r="CV265" i="49"/>
  <c r="CV249" i="49"/>
  <c r="CV170" i="49"/>
  <c r="CV134" i="49"/>
  <c r="CV215" i="49"/>
  <c r="CV242" i="49"/>
  <c r="CX242" i="49"/>
  <c r="CW242" i="49"/>
  <c r="CV208" i="49"/>
  <c r="CV191" i="49"/>
  <c r="CV289" i="49"/>
  <c r="CX289" i="49"/>
  <c r="CW289" i="49"/>
  <c r="CV151" i="49"/>
  <c r="CX151" i="49"/>
  <c r="CW151" i="49"/>
  <c r="CV294" i="49"/>
  <c r="CX294" i="49"/>
  <c r="CW294" i="49"/>
  <c r="CV275" i="49"/>
  <c r="CX182" i="49"/>
  <c r="CV182" i="49"/>
  <c r="CW182" i="49"/>
  <c r="CV156" i="49"/>
  <c r="CV258" i="49"/>
  <c r="CX258" i="49"/>
  <c r="CW258" i="49"/>
  <c r="CV150" i="49"/>
  <c r="CV233" i="49"/>
  <c r="CV288" i="49"/>
  <c r="CX288" i="49"/>
  <c r="CW288" i="49"/>
  <c r="CV257" i="49"/>
  <c r="CX168" i="49"/>
  <c r="CV168" i="49"/>
  <c r="CW168" i="49"/>
  <c r="CV312" i="49"/>
  <c r="CV298" i="49"/>
  <c r="CV143" i="49"/>
  <c r="CV308" i="49"/>
  <c r="CV184" i="49"/>
  <c r="CV205" i="49"/>
  <c r="CV337" i="49"/>
  <c r="CV338" i="49"/>
  <c r="CV342" i="49"/>
  <c r="AD51" i="46"/>
  <c r="BY433" i="49"/>
  <c r="P103" i="49"/>
  <c r="AL126" i="46"/>
  <c r="P130" i="49"/>
  <c r="AL153" i="46"/>
  <c r="P117" i="49"/>
  <c r="AL124" i="46"/>
  <c r="P98" i="49"/>
  <c r="AL144" i="46"/>
  <c r="P129" i="49"/>
  <c r="AL156" i="46"/>
  <c r="P112" i="49"/>
  <c r="AL139" i="46"/>
  <c r="P108" i="49"/>
  <c r="AL137" i="46"/>
  <c r="P122" i="49"/>
  <c r="AL155" i="46"/>
  <c r="P125" i="49"/>
  <c r="AL151" i="46"/>
  <c r="P104" i="49"/>
  <c r="AL136" i="46"/>
  <c r="P90" i="49"/>
  <c r="AL171" i="46"/>
  <c r="P123" i="49"/>
  <c r="AL152" i="46"/>
  <c r="P83" i="49"/>
  <c r="AL157" i="46"/>
  <c r="P137" i="49"/>
  <c r="AL201" i="46"/>
  <c r="P144" i="49"/>
  <c r="AL227" i="46"/>
  <c r="P134" i="49"/>
  <c r="AL225" i="46"/>
  <c r="P173" i="49"/>
  <c r="AL220" i="46"/>
  <c r="P299" i="49"/>
  <c r="AL346" i="46"/>
  <c r="P270" i="49"/>
  <c r="AL239" i="46"/>
  <c r="P217" i="49"/>
  <c r="AL274" i="46"/>
  <c r="P259" i="49"/>
  <c r="AL322" i="46"/>
  <c r="P169" i="49"/>
  <c r="AL327" i="46"/>
  <c r="P171" i="49"/>
  <c r="AL190" i="46"/>
  <c r="P262" i="49"/>
  <c r="AL316" i="46"/>
  <c r="P223" i="49"/>
  <c r="AL246" i="46"/>
  <c r="P307" i="49"/>
  <c r="AL203" i="46"/>
  <c r="P135" i="49"/>
  <c r="AL251" i="46"/>
  <c r="P164" i="49"/>
  <c r="AL241" i="46"/>
  <c r="P238" i="49"/>
  <c r="AL243" i="46"/>
  <c r="P193" i="49"/>
  <c r="AL199" i="46"/>
  <c r="P261" i="49"/>
  <c r="AL245" i="46"/>
  <c r="P266" i="49"/>
  <c r="AL314" i="46"/>
  <c r="P189" i="49"/>
  <c r="AL330" i="46"/>
  <c r="P219" i="49"/>
  <c r="AL193" i="46"/>
  <c r="P303" i="49"/>
  <c r="AL295" i="46"/>
  <c r="P160" i="49"/>
  <c r="AL353" i="46"/>
  <c r="P182" i="49"/>
  <c r="AL214" i="46"/>
  <c r="P200" i="49"/>
  <c r="AL254" i="46"/>
  <c r="P201" i="49"/>
  <c r="AL305" i="46"/>
  <c r="P139" i="49"/>
  <c r="AL340" i="46"/>
  <c r="P181" i="49"/>
  <c r="AL260" i="46"/>
  <c r="AL356" i="46"/>
  <c r="P150" i="49"/>
  <c r="AL317" i="46"/>
  <c r="P256" i="49"/>
  <c r="AL306" i="46"/>
  <c r="P279" i="49"/>
  <c r="AL324" i="46"/>
  <c r="P254" i="49"/>
  <c r="AL307" i="46"/>
  <c r="P230" i="49"/>
  <c r="AL240" i="46"/>
  <c r="P229" i="49"/>
  <c r="AL329" i="46"/>
  <c r="P202" i="49"/>
  <c r="AL237" i="46"/>
  <c r="P236" i="49"/>
  <c r="AL191" i="46"/>
  <c r="P295" i="49"/>
  <c r="AL180" i="46"/>
  <c r="P248" i="49"/>
  <c r="AL300" i="46"/>
  <c r="P311" i="49"/>
  <c r="AL218" i="46"/>
  <c r="P278" i="49"/>
  <c r="AL345" i="46"/>
  <c r="P310" i="49"/>
  <c r="AL192" i="46"/>
  <c r="P301" i="49"/>
  <c r="AL302" i="46"/>
  <c r="P239" i="49"/>
  <c r="AL318" i="46"/>
  <c r="P290" i="49"/>
  <c r="AL281" i="46"/>
  <c r="P318" i="49"/>
  <c r="AL363" i="46"/>
  <c r="AH383" i="46"/>
  <c r="P325" i="49"/>
  <c r="AL369" i="46"/>
  <c r="P328" i="49"/>
  <c r="AL374" i="46"/>
  <c r="P332" i="49"/>
  <c r="AL376" i="46"/>
  <c r="BB349" i="49"/>
  <c r="BB359" i="49"/>
  <c r="BB386" i="49"/>
  <c r="BB398" i="49"/>
  <c r="BD398" i="49"/>
  <c r="BC398" i="49"/>
  <c r="BB371" i="49"/>
  <c r="BD371" i="49"/>
  <c r="BC371" i="49"/>
  <c r="BB366" i="49"/>
  <c r="BB400" i="49"/>
  <c r="BB380" i="49"/>
  <c r="BB377" i="49"/>
  <c r="BB378" i="49"/>
  <c r="BB401" i="49"/>
  <c r="BD401" i="49"/>
  <c r="BC401" i="49"/>
  <c r="CV476" i="49"/>
  <c r="CX476" i="49"/>
  <c r="CW476" i="49"/>
  <c r="CX483" i="49"/>
  <c r="CV483" i="49"/>
  <c r="CW483" i="49"/>
  <c r="AL13" i="46"/>
  <c r="CY328" i="49"/>
  <c r="BB68" i="49"/>
  <c r="R68" i="49"/>
  <c r="BV68" i="49"/>
  <c r="BX68" i="49"/>
  <c r="AJ97" i="46"/>
  <c r="BY65" i="49"/>
  <c r="BB339" i="49"/>
  <c r="BB342" i="49"/>
  <c r="BB341" i="49"/>
  <c r="BB345" i="49"/>
  <c r="BD345" i="49"/>
  <c r="BC345" i="49"/>
  <c r="AJ83" i="46"/>
  <c r="S59" i="49"/>
  <c r="CS59" i="49"/>
  <c r="CU59" i="49"/>
  <c r="AK83" i="46"/>
  <c r="CV57" i="49"/>
  <c r="CV62" i="49"/>
  <c r="CX62" i="49"/>
  <c r="CW62" i="49"/>
  <c r="AB419" i="49"/>
  <c r="AD419" i="49"/>
  <c r="BB100" i="49"/>
  <c r="BB130" i="49"/>
  <c r="BB102" i="49"/>
  <c r="BB86" i="49"/>
  <c r="BB115" i="49"/>
  <c r="BB127" i="49"/>
  <c r="BB111" i="49"/>
  <c r="BB89" i="49"/>
  <c r="BB116" i="49"/>
  <c r="BB124" i="49"/>
  <c r="BB207" i="49"/>
  <c r="BB261" i="49"/>
  <c r="BB195" i="49"/>
  <c r="BB266" i="49"/>
  <c r="BB177" i="49"/>
  <c r="BD177" i="49"/>
  <c r="BC177" i="49"/>
  <c r="BB229" i="49"/>
  <c r="BB160" i="49"/>
  <c r="BB191" i="49"/>
  <c r="BB282" i="49"/>
  <c r="BB248" i="49"/>
  <c r="BB237" i="49"/>
  <c r="BD237" i="49"/>
  <c r="BC237" i="49"/>
  <c r="BB169" i="49"/>
  <c r="BB290" i="49"/>
  <c r="BB242" i="49"/>
  <c r="BB179" i="49"/>
  <c r="BB287" i="49"/>
  <c r="BD287" i="49"/>
  <c r="BC287" i="49"/>
  <c r="BB149" i="49"/>
  <c r="BB258" i="49"/>
  <c r="BB192" i="49"/>
  <c r="BB163" i="49"/>
  <c r="BB159" i="49"/>
  <c r="BB225" i="49"/>
  <c r="BB214" i="49"/>
  <c r="BB224" i="49"/>
  <c r="BB168" i="49"/>
  <c r="BB312" i="49"/>
  <c r="BB279" i="49"/>
  <c r="BB151" i="49"/>
  <c r="BB144" i="49"/>
  <c r="BB134" i="49"/>
  <c r="BB277" i="49"/>
  <c r="BB187" i="49"/>
  <c r="BB299" i="49"/>
  <c r="BB132" i="49"/>
  <c r="BB223" i="49"/>
  <c r="BB288" i="49"/>
  <c r="BD288" i="49"/>
  <c r="BC288" i="49"/>
  <c r="BB138" i="49"/>
  <c r="BB270" i="49"/>
  <c r="BD270" i="49"/>
  <c r="BC270" i="49"/>
  <c r="BB215" i="49"/>
  <c r="BB202" i="49"/>
  <c r="BD202" i="49"/>
  <c r="BC202" i="49"/>
  <c r="AB48" i="49"/>
  <c r="AD48" i="49"/>
  <c r="CV41" i="49"/>
  <c r="CV43" i="49"/>
  <c r="CV49" i="49"/>
  <c r="P478" i="49"/>
  <c r="AL566" i="46"/>
  <c r="P480" i="49"/>
  <c r="AL561" i="46"/>
  <c r="P487" i="49"/>
  <c r="AL571" i="46"/>
  <c r="BB436" i="49"/>
  <c r="BB437" i="49"/>
  <c r="CX432" i="49"/>
  <c r="CV432" i="49"/>
  <c r="CW432" i="49"/>
  <c r="CV357" i="49"/>
  <c r="P97" i="49"/>
  <c r="AL120" i="46"/>
  <c r="AH358" i="46"/>
  <c r="CV350" i="49"/>
  <c r="CV362" i="49"/>
  <c r="CX362" i="49"/>
  <c r="CW362" i="49"/>
  <c r="CV354" i="49"/>
  <c r="CV386" i="49"/>
  <c r="CV392" i="49"/>
  <c r="CV374" i="49"/>
  <c r="CX374" i="49"/>
  <c r="CW374" i="49"/>
  <c r="CX389" i="49"/>
  <c r="CV389" i="49"/>
  <c r="CW389" i="49"/>
  <c r="CX397" i="49"/>
  <c r="CV397" i="49"/>
  <c r="CW397" i="49"/>
  <c r="CV381" i="49"/>
  <c r="CX381" i="49"/>
  <c r="CW381" i="49"/>
  <c r="CX394" i="49"/>
  <c r="CV394" i="49"/>
  <c r="CW394" i="49"/>
  <c r="CV395" i="49"/>
  <c r="CV376" i="49"/>
  <c r="CX376" i="49"/>
  <c r="CW376" i="49"/>
  <c r="CV383" i="49"/>
  <c r="P339" i="49"/>
  <c r="AL395" i="46"/>
  <c r="P338" i="49"/>
  <c r="AL387" i="46"/>
  <c r="P344" i="49"/>
  <c r="AL398" i="46"/>
  <c r="S97" i="49"/>
  <c r="CS97" i="49"/>
  <c r="CU97" i="49"/>
  <c r="AK358" i="46"/>
  <c r="BB71" i="49"/>
  <c r="CY332" i="49"/>
  <c r="BY45" i="49"/>
  <c r="BY49" i="49"/>
  <c r="BE332" i="49"/>
  <c r="BY410" i="49"/>
  <c r="CA407" i="49"/>
  <c r="BY407" i="49"/>
  <c r="BZ407" i="49"/>
  <c r="BY404" i="49"/>
  <c r="BY412" i="49"/>
  <c r="BY415" i="49"/>
  <c r="CA415" i="49"/>
  <c r="BZ415" i="49"/>
  <c r="CA176" i="49"/>
  <c r="BY176" i="49"/>
  <c r="BZ176" i="49"/>
  <c r="BY428" i="49"/>
  <c r="BY153" i="49"/>
  <c r="P64" i="49"/>
  <c r="AL91" i="46"/>
  <c r="R355" i="49"/>
  <c r="BV355" i="49"/>
  <c r="BX355" i="49"/>
  <c r="AJ465" i="46"/>
  <c r="P42" i="49"/>
  <c r="AL56" i="46"/>
  <c r="P44" i="49"/>
  <c r="AL55" i="46"/>
  <c r="P53" i="49"/>
  <c r="AL63" i="46"/>
  <c r="BB404" i="49"/>
  <c r="BB408" i="49"/>
  <c r="BB420" i="49"/>
  <c r="BB417" i="49"/>
  <c r="BD417" i="49"/>
  <c r="BC417" i="49"/>
  <c r="BB423" i="49"/>
  <c r="BD423" i="49"/>
  <c r="BC423" i="49"/>
  <c r="BB427" i="49"/>
  <c r="BB430" i="49"/>
  <c r="CA359" i="49"/>
  <c r="BY359" i="49"/>
  <c r="BZ359" i="49"/>
  <c r="BY349" i="49"/>
  <c r="BY357" i="49"/>
  <c r="BY369" i="49"/>
  <c r="CA369" i="49"/>
  <c r="BZ369" i="49"/>
  <c r="BY377" i="49"/>
  <c r="BY366" i="49"/>
  <c r="BY380" i="49"/>
  <c r="BY400" i="49"/>
  <c r="BY373" i="49"/>
  <c r="BY394" i="49"/>
  <c r="BY365" i="49"/>
  <c r="BY388" i="49"/>
  <c r="BY348" i="49"/>
  <c r="BY333" i="49"/>
  <c r="BY340" i="49"/>
  <c r="BY343" i="49"/>
  <c r="BY347" i="49"/>
  <c r="CA347" i="49"/>
  <c r="BZ347" i="49"/>
  <c r="BY480" i="49"/>
  <c r="CA480" i="49"/>
  <c r="BZ480" i="49"/>
  <c r="BY483" i="49"/>
  <c r="BY486" i="49"/>
  <c r="BY58" i="49"/>
  <c r="BY61" i="49"/>
  <c r="P356" i="49"/>
  <c r="AL412" i="46"/>
  <c r="P353" i="49"/>
  <c r="AL418" i="46"/>
  <c r="P352" i="49"/>
  <c r="AL417" i="46"/>
  <c r="P152" i="49"/>
  <c r="AL424" i="46"/>
  <c r="P367" i="49"/>
  <c r="AL454" i="46"/>
  <c r="P381" i="49"/>
  <c r="AL450" i="46"/>
  <c r="P393" i="49"/>
  <c r="AL440" i="46"/>
  <c r="P370" i="49"/>
  <c r="AL435" i="46"/>
  <c r="P372" i="49"/>
  <c r="AL446" i="46"/>
  <c r="P390" i="49"/>
  <c r="AL425" i="46"/>
  <c r="P348" i="49"/>
  <c r="AL447" i="46"/>
  <c r="P399" i="49"/>
  <c r="AL426" i="46"/>
  <c r="P395" i="49"/>
  <c r="AL456" i="46"/>
  <c r="BE329" i="49"/>
  <c r="BY123" i="49"/>
  <c r="BY120" i="49"/>
  <c r="BY112" i="49"/>
  <c r="BY106" i="49"/>
  <c r="BY78" i="49"/>
  <c r="BY128" i="49"/>
  <c r="BY114" i="49"/>
  <c r="BY84" i="49"/>
  <c r="BY105" i="49"/>
  <c r="BY116" i="49"/>
  <c r="BY82" i="49"/>
  <c r="BY83" i="49"/>
  <c r="BY102" i="49"/>
  <c r="BY191" i="49"/>
  <c r="BY301" i="49"/>
  <c r="BY240" i="49"/>
  <c r="BY186" i="49"/>
  <c r="BY271" i="49"/>
  <c r="BY156" i="49"/>
  <c r="BY264" i="49"/>
  <c r="CA264" i="49"/>
  <c r="BZ264" i="49"/>
  <c r="BY238" i="49"/>
  <c r="CA238" i="49"/>
  <c r="BZ238" i="49"/>
  <c r="BY280" i="49"/>
  <c r="BY258" i="49"/>
  <c r="CA258" i="49"/>
  <c r="BZ258" i="49"/>
  <c r="BY231" i="49"/>
  <c r="CA231" i="49"/>
  <c r="BZ231" i="49"/>
  <c r="BY138" i="49"/>
  <c r="BY237" i="49"/>
  <c r="CA237" i="49"/>
  <c r="BZ237" i="49"/>
  <c r="BY257" i="49"/>
  <c r="CA257" i="49"/>
  <c r="BZ257" i="49"/>
  <c r="BY256" i="49"/>
  <c r="BY172" i="49"/>
  <c r="CA228" i="49"/>
  <c r="BY228" i="49"/>
  <c r="BZ228" i="49"/>
  <c r="BY179" i="49"/>
  <c r="BY194" i="49"/>
  <c r="BY233" i="49"/>
  <c r="BY171" i="49"/>
  <c r="CA171" i="49"/>
  <c r="BZ171" i="49"/>
  <c r="BY252" i="49"/>
  <c r="BY134" i="49"/>
  <c r="BY208" i="49"/>
  <c r="BY261" i="49"/>
  <c r="BY227" i="49"/>
  <c r="BY293" i="49"/>
  <c r="BY283" i="49"/>
  <c r="CA283" i="49"/>
  <c r="BZ283" i="49"/>
  <c r="BY234" i="49"/>
  <c r="BY137" i="49"/>
  <c r="CA137" i="49"/>
  <c r="BZ137" i="49"/>
  <c r="BY188" i="49"/>
  <c r="BY157" i="49"/>
  <c r="BY218" i="49"/>
  <c r="BY302" i="49"/>
  <c r="CA302" i="49"/>
  <c r="BZ302" i="49"/>
  <c r="BY155" i="49"/>
  <c r="BY281" i="49"/>
  <c r="BY146" i="49"/>
  <c r="BY249" i="49"/>
  <c r="BY262" i="49"/>
  <c r="BY140" i="49"/>
  <c r="BY173" i="49"/>
  <c r="BY248" i="49"/>
  <c r="BY292" i="49"/>
  <c r="BY286" i="49"/>
  <c r="CA286" i="49"/>
  <c r="BZ286" i="49"/>
  <c r="CV64" i="49"/>
  <c r="CX63" i="49"/>
  <c r="CV63" i="49"/>
  <c r="CW63" i="49"/>
  <c r="CV404" i="49"/>
  <c r="CX407" i="49"/>
  <c r="CV407" i="49"/>
  <c r="CW407" i="49"/>
  <c r="CV410" i="49"/>
  <c r="CX405" i="49"/>
  <c r="CV405" i="49"/>
  <c r="CW405" i="49"/>
  <c r="CV422" i="49"/>
  <c r="CX422" i="49"/>
  <c r="CW422" i="49"/>
  <c r="CV176" i="49"/>
  <c r="CX176" i="49"/>
  <c r="CW176" i="49"/>
  <c r="CV425" i="49"/>
  <c r="P57" i="49"/>
  <c r="AL75" i="46"/>
  <c r="P62" i="49"/>
  <c r="AL80" i="46"/>
  <c r="P434" i="49"/>
  <c r="AL504" i="46"/>
  <c r="P431" i="49"/>
  <c r="AL508" i="46"/>
  <c r="BB484" i="49"/>
  <c r="BB476" i="49"/>
  <c r="BD476" i="49"/>
  <c r="BC476" i="49"/>
  <c r="BB488" i="49"/>
  <c r="BD488" i="49"/>
  <c r="BC488" i="49"/>
  <c r="BB487" i="49"/>
  <c r="P409" i="49"/>
  <c r="AL480" i="46"/>
  <c r="P405" i="49"/>
  <c r="AL471" i="46"/>
  <c r="P413" i="49"/>
  <c r="AL482" i="46"/>
  <c r="P410" i="49"/>
  <c r="AL479" i="46"/>
  <c r="P417" i="49"/>
  <c r="AL477" i="46"/>
  <c r="P176" i="49"/>
  <c r="AL492" i="46"/>
  <c r="P430" i="49"/>
  <c r="AL495" i="46"/>
  <c r="P424" i="49"/>
  <c r="AL487" i="46"/>
  <c r="BY9" i="49"/>
  <c r="BY15" i="49"/>
  <c r="BY14" i="49"/>
  <c r="BY322" i="49"/>
  <c r="R318" i="49"/>
  <c r="BV318" i="49"/>
  <c r="BX318" i="49"/>
  <c r="AJ383" i="46"/>
  <c r="BY328" i="49"/>
  <c r="CA328" i="49"/>
  <c r="BZ328" i="49"/>
  <c r="BY326" i="49"/>
  <c r="BB55" i="49"/>
  <c r="BB62" i="49"/>
  <c r="BD62" i="49"/>
  <c r="BC62" i="49"/>
  <c r="CV113" i="49"/>
  <c r="CV124" i="49"/>
  <c r="CV77" i="49"/>
  <c r="CV112" i="49"/>
  <c r="CV98" i="49"/>
  <c r="CV130" i="49"/>
  <c r="CV99" i="49"/>
  <c r="CV125" i="49"/>
  <c r="CV95" i="49"/>
  <c r="CV120" i="49"/>
  <c r="CV86" i="49"/>
  <c r="CV84" i="49"/>
  <c r="CV128" i="49"/>
  <c r="CV196" i="49"/>
  <c r="CV256" i="49"/>
  <c r="CV190" i="49"/>
  <c r="CV145" i="49"/>
  <c r="CV243" i="49"/>
  <c r="CV155" i="49"/>
  <c r="CV200" i="49"/>
  <c r="CV154" i="49"/>
  <c r="CV259" i="49"/>
  <c r="CX259" i="49"/>
  <c r="CW259" i="49"/>
  <c r="CV225" i="49"/>
  <c r="CV199" i="49"/>
  <c r="CV76" i="49"/>
  <c r="CV279" i="49"/>
  <c r="CV304" i="49"/>
  <c r="CX304" i="49"/>
  <c r="CW304" i="49"/>
  <c r="CV211" i="49"/>
  <c r="CV195" i="49"/>
  <c r="CV297" i="49"/>
  <c r="CV163" i="49"/>
  <c r="CV309" i="49"/>
  <c r="CX309" i="49"/>
  <c r="CW309" i="49"/>
  <c r="CV268" i="49"/>
  <c r="CS5" i="49"/>
  <c r="CV281" i="49"/>
  <c r="CV213" i="49"/>
  <c r="CX213" i="49"/>
  <c r="CW213" i="49"/>
  <c r="CV183" i="49"/>
  <c r="CV252" i="49"/>
  <c r="CV136" i="49"/>
  <c r="CV201" i="49"/>
  <c r="CV178" i="49"/>
  <c r="CV157" i="49"/>
  <c r="CV267" i="49"/>
  <c r="CV161" i="49"/>
  <c r="CV237" i="49"/>
  <c r="CX237" i="49"/>
  <c r="CW237" i="49"/>
  <c r="CV172" i="49"/>
  <c r="CV188" i="49"/>
  <c r="CV165" i="49"/>
  <c r="CV300" i="49"/>
  <c r="CV185" i="49"/>
  <c r="CX244" i="49"/>
  <c r="CV244" i="49"/>
  <c r="CW244" i="49"/>
  <c r="CV194" i="49"/>
  <c r="CX286" i="49"/>
  <c r="CV286" i="49"/>
  <c r="CW286" i="49"/>
  <c r="CV239" i="49"/>
  <c r="CX239" i="49"/>
  <c r="CW239" i="49"/>
  <c r="CV180" i="49"/>
  <c r="CV140" i="49"/>
  <c r="S334" i="49"/>
  <c r="CS334" i="49"/>
  <c r="CU334" i="49"/>
  <c r="AK403" i="46"/>
  <c r="CV335" i="49"/>
  <c r="CV343" i="49"/>
  <c r="CV344" i="49"/>
  <c r="CX344" i="49"/>
  <c r="CW344" i="49"/>
  <c r="BE328" i="49"/>
  <c r="BY432" i="49"/>
  <c r="CA432" i="49"/>
  <c r="BZ432" i="49"/>
  <c r="BY434" i="49"/>
  <c r="P91" i="49"/>
  <c r="AL132" i="46"/>
  <c r="P131" i="49"/>
  <c r="AL147" i="46"/>
  <c r="P100" i="49"/>
  <c r="AL154" i="46"/>
  <c r="P116" i="49"/>
  <c r="AL122" i="46"/>
  <c r="P127" i="49"/>
  <c r="AL161" i="46"/>
  <c r="P94" i="49"/>
  <c r="AL123" i="46"/>
  <c r="P107" i="49"/>
  <c r="AL131" i="46"/>
  <c r="P110" i="49"/>
  <c r="AL135" i="46"/>
  <c r="P114" i="49"/>
  <c r="AL146" i="46"/>
  <c r="P118" i="49"/>
  <c r="AL145" i="46"/>
  <c r="P86" i="49"/>
  <c r="AL165" i="46"/>
  <c r="P120" i="49"/>
  <c r="AL142" i="46"/>
  <c r="P82" i="49"/>
  <c r="AL164" i="46"/>
  <c r="P251" i="49"/>
  <c r="AL267" i="46"/>
  <c r="P235" i="49"/>
  <c r="AL236" i="46"/>
  <c r="P76" i="49"/>
  <c r="AL298" i="46"/>
  <c r="P172" i="49"/>
  <c r="AL196" i="46"/>
  <c r="P158" i="49"/>
  <c r="AL354" i="46"/>
  <c r="P213" i="49"/>
  <c r="AL275" i="46"/>
  <c r="P207" i="49"/>
  <c r="AL343" i="46"/>
  <c r="P297" i="49"/>
  <c r="AL230" i="46"/>
  <c r="P221" i="49"/>
  <c r="AL335" i="46"/>
  <c r="P285" i="49"/>
  <c r="AL276" i="46"/>
  <c r="P296" i="49"/>
  <c r="AL286" i="46"/>
  <c r="P216" i="49"/>
  <c r="AL336" i="46"/>
  <c r="P346" i="49"/>
  <c r="AL211" i="46"/>
  <c r="P292" i="49"/>
  <c r="AL213" i="46"/>
  <c r="P255" i="49"/>
  <c r="AL279" i="46"/>
  <c r="P281" i="49"/>
  <c r="AL310" i="46"/>
  <c r="P233" i="49"/>
  <c r="AL328" i="46"/>
  <c r="P192" i="49"/>
  <c r="AL222" i="46"/>
  <c r="P179" i="49"/>
  <c r="AL261" i="46"/>
  <c r="P287" i="49"/>
  <c r="AL184" i="46"/>
  <c r="P149" i="49"/>
  <c r="AL271" i="46"/>
  <c r="P163" i="49"/>
  <c r="AL252" i="46"/>
  <c r="P288" i="49"/>
  <c r="AL280" i="46"/>
  <c r="P293" i="49"/>
  <c r="AL331" i="46"/>
  <c r="P264" i="49"/>
  <c r="AL177" i="46"/>
  <c r="P166" i="49"/>
  <c r="AL293" i="46"/>
  <c r="P247" i="49"/>
  <c r="AL231" i="46"/>
  <c r="P141" i="49"/>
  <c r="AL296" i="46"/>
  <c r="P190" i="49"/>
  <c r="AL226" i="46"/>
  <c r="P186" i="49"/>
  <c r="AL258" i="46"/>
  <c r="P308" i="49"/>
  <c r="AL197" i="46"/>
  <c r="P209" i="49"/>
  <c r="AL209" i="46"/>
  <c r="P263" i="49"/>
  <c r="AL179" i="46"/>
  <c r="P268" i="49"/>
  <c r="AL311" i="46"/>
  <c r="P196" i="49"/>
  <c r="AL216" i="46"/>
  <c r="P284" i="49"/>
  <c r="AL183" i="46"/>
  <c r="P282" i="49"/>
  <c r="AL282" i="46"/>
  <c r="P205" i="49"/>
  <c r="AL321" i="46"/>
  <c r="P302" i="49"/>
  <c r="AL303" i="46"/>
  <c r="P226" i="49"/>
  <c r="AL224" i="46"/>
  <c r="P218" i="49"/>
  <c r="AL352" i="46"/>
  <c r="P294" i="49"/>
  <c r="AL315" i="46"/>
  <c r="P183" i="49"/>
  <c r="AL255" i="46"/>
  <c r="P180" i="49"/>
  <c r="AL262" i="46"/>
  <c r="P323" i="49"/>
  <c r="AL370" i="46"/>
  <c r="P317" i="49"/>
  <c r="AL372" i="46"/>
  <c r="AL381" i="46"/>
  <c r="P326" i="49"/>
  <c r="AL375" i="46"/>
  <c r="AA607" i="46"/>
  <c r="AA2" i="46"/>
  <c r="BB351" i="49"/>
  <c r="BB382" i="49"/>
  <c r="BB387" i="49"/>
  <c r="BD387" i="49"/>
  <c r="BC387" i="49"/>
  <c r="BB368" i="49"/>
  <c r="BB383" i="49"/>
  <c r="BB375" i="49"/>
  <c r="BD375" i="49"/>
  <c r="BC375" i="49"/>
  <c r="BB369" i="49"/>
  <c r="BD369" i="49"/>
  <c r="BC369" i="49"/>
  <c r="BB374" i="49"/>
  <c r="BD374" i="49"/>
  <c r="BC374" i="49"/>
  <c r="BB396" i="49"/>
  <c r="BD396" i="49"/>
  <c r="BC396" i="49"/>
  <c r="BB370" i="49"/>
  <c r="BD370" i="49"/>
  <c r="BC370" i="49"/>
  <c r="BB152" i="49"/>
  <c r="AJ22" i="46"/>
  <c r="CV478" i="49"/>
  <c r="CV482" i="49"/>
  <c r="CX482" i="49"/>
  <c r="CW482" i="49"/>
  <c r="CV486" i="49"/>
  <c r="AB12" i="49"/>
  <c r="AD12" i="49"/>
  <c r="T12" i="49"/>
  <c r="AL86" i="46"/>
  <c r="AH513" i="46"/>
  <c r="AL407" i="46"/>
  <c r="BY67" i="49"/>
  <c r="CA71" i="49"/>
  <c r="BY71" i="49"/>
  <c r="BZ71" i="49"/>
  <c r="BB336" i="49"/>
  <c r="BB337" i="49"/>
  <c r="BB333" i="49"/>
  <c r="BB347" i="49"/>
  <c r="BD347" i="49"/>
  <c r="BC347" i="49"/>
  <c r="BY59" i="49"/>
  <c r="CV60" i="49"/>
  <c r="CV58" i="49"/>
  <c r="Q97" i="49"/>
  <c r="AY97" i="49"/>
  <c r="BA97" i="49"/>
  <c r="AI358" i="46"/>
  <c r="BB77" i="49"/>
  <c r="BB107" i="49"/>
  <c r="BB101" i="49"/>
  <c r="BB121" i="49"/>
  <c r="BB117" i="49"/>
  <c r="BB104" i="49"/>
  <c r="BB126" i="49"/>
  <c r="BB122" i="49"/>
  <c r="BB99" i="49"/>
  <c r="BB108" i="49"/>
  <c r="BB205" i="49"/>
  <c r="BB220" i="49"/>
  <c r="BB284" i="49"/>
  <c r="BD284" i="49"/>
  <c r="BC284" i="49"/>
  <c r="BB217" i="49"/>
  <c r="BB216" i="49"/>
  <c r="BB213" i="49"/>
  <c r="BB158" i="49"/>
  <c r="BB273" i="49"/>
  <c r="BD273" i="49"/>
  <c r="BC273" i="49"/>
  <c r="BB272" i="49"/>
  <c r="BD272" i="49"/>
  <c r="BC272" i="49"/>
  <c r="BB194" i="49"/>
  <c r="BB234" i="49"/>
  <c r="BB136" i="49"/>
  <c r="BB244" i="49"/>
  <c r="BD244" i="49"/>
  <c r="BC244" i="49"/>
  <c r="BB252" i="49"/>
  <c r="BB200" i="49"/>
  <c r="BB251" i="49"/>
  <c r="BB175" i="49"/>
  <c r="BD175" i="49"/>
  <c r="BC175" i="49"/>
  <c r="BB140" i="49"/>
  <c r="BB265" i="49"/>
  <c r="BB185" i="49"/>
  <c r="BB196" i="49"/>
  <c r="BB211" i="49"/>
  <c r="BB142" i="49"/>
  <c r="BB147" i="49"/>
  <c r="BD147" i="49"/>
  <c r="BC147" i="49"/>
  <c r="BB250" i="49"/>
  <c r="BB289" i="49"/>
  <c r="BD289" i="49"/>
  <c r="BC289" i="49"/>
  <c r="BB164" i="49"/>
  <c r="BB156" i="49"/>
  <c r="BB181" i="49"/>
  <c r="BD181" i="49"/>
  <c r="BC181" i="49"/>
  <c r="BB219" i="49"/>
  <c r="BB186" i="49"/>
  <c r="BB259" i="49"/>
  <c r="BB233" i="49"/>
  <c r="BB310" i="49"/>
  <c r="BB208" i="49"/>
  <c r="BB235" i="49"/>
  <c r="BB145" i="49"/>
  <c r="BB307" i="49"/>
  <c r="AI500" i="46"/>
  <c r="CV46" i="49"/>
  <c r="CV44" i="49"/>
  <c r="CX53" i="49"/>
  <c r="CV53" i="49"/>
  <c r="CW53" i="49"/>
  <c r="AB334" i="49"/>
  <c r="AD334" i="49"/>
  <c r="P484" i="49"/>
  <c r="AL568" i="46"/>
  <c r="P477" i="49"/>
  <c r="AL564" i="46"/>
  <c r="AL573" i="46"/>
  <c r="BB433" i="49"/>
  <c r="S435" i="49"/>
  <c r="CS435" i="49"/>
  <c r="CU435" i="49"/>
  <c r="AK513" i="46"/>
  <c r="CV436" i="49"/>
  <c r="CV364" i="49"/>
  <c r="CX364" i="49"/>
  <c r="CW364" i="49"/>
  <c r="CX359" i="49"/>
  <c r="CV359" i="49"/>
  <c r="CW359" i="49"/>
  <c r="CV152" i="49"/>
  <c r="CV387" i="49"/>
  <c r="CX387" i="49"/>
  <c r="CW387" i="49"/>
  <c r="CV398" i="49"/>
  <c r="CX398" i="49"/>
  <c r="CW398" i="49"/>
  <c r="CV365" i="49"/>
  <c r="CV366" i="49"/>
  <c r="CV379" i="49"/>
  <c r="CV384" i="49"/>
  <c r="CV370" i="49"/>
  <c r="CX370" i="49"/>
  <c r="CW370" i="49"/>
  <c r="CV391" i="49"/>
  <c r="CX391" i="49"/>
  <c r="CW391" i="49"/>
  <c r="Q479" i="49"/>
  <c r="AY479" i="49"/>
  <c r="BA479" i="49"/>
  <c r="AI575" i="46"/>
  <c r="P342" i="49"/>
  <c r="AL393" i="46"/>
  <c r="P340" i="49"/>
  <c r="AL394" i="46"/>
  <c r="P347" i="49"/>
  <c r="AL400" i="46"/>
  <c r="BB66" i="49"/>
  <c r="BB63" i="49"/>
  <c r="AB10" i="49"/>
  <c r="AD10" i="49"/>
  <c r="T10" i="49"/>
  <c r="BY43" i="49"/>
  <c r="BY41" i="49"/>
  <c r="CA41" i="49"/>
  <c r="BZ41" i="49"/>
  <c r="BY408" i="49"/>
  <c r="BY421" i="49"/>
  <c r="CA421" i="49"/>
  <c r="BZ421" i="49"/>
  <c r="BY409" i="49"/>
  <c r="BY414" i="49"/>
  <c r="BY423" i="49"/>
  <c r="BY424" i="49"/>
  <c r="CA424" i="49"/>
  <c r="BZ424" i="49"/>
  <c r="BY422" i="49"/>
  <c r="CA422" i="49"/>
  <c r="BZ422" i="49"/>
  <c r="P67" i="49"/>
  <c r="AL89" i="46"/>
  <c r="S479" i="49"/>
  <c r="CS479" i="49"/>
  <c r="CU479" i="49"/>
  <c r="AK575" i="46"/>
  <c r="P45" i="49"/>
  <c r="AL57" i="46"/>
  <c r="P41" i="49"/>
  <c r="AL59" i="46"/>
  <c r="P49" i="49"/>
  <c r="AL64" i="46"/>
  <c r="BB421" i="49"/>
  <c r="BD421" i="49"/>
  <c r="BC421" i="49"/>
  <c r="BB416" i="49"/>
  <c r="BD416" i="49"/>
  <c r="BC416" i="49"/>
  <c r="BB409" i="49"/>
  <c r="BB410" i="49"/>
  <c r="BB403" i="49"/>
  <c r="BD403" i="49"/>
  <c r="BC403" i="49"/>
  <c r="BB425" i="49"/>
  <c r="BB176" i="49"/>
  <c r="BD176" i="49"/>
  <c r="BC176" i="49"/>
  <c r="AC607" i="46"/>
  <c r="AC2" i="46"/>
  <c r="BY356" i="49"/>
  <c r="BY354" i="49"/>
  <c r="BY364" i="49"/>
  <c r="CA364" i="49"/>
  <c r="BZ364" i="49"/>
  <c r="CA387" i="49"/>
  <c r="BY387" i="49"/>
  <c r="BZ387" i="49"/>
  <c r="BY398" i="49"/>
  <c r="CA398" i="49"/>
  <c r="BZ398" i="49"/>
  <c r="BY372" i="49"/>
  <c r="BY389" i="49"/>
  <c r="CA389" i="49"/>
  <c r="BZ389" i="49"/>
  <c r="BY152" i="49"/>
  <c r="BY374" i="49"/>
  <c r="CA374" i="49"/>
  <c r="BZ374" i="49"/>
  <c r="BY381" i="49"/>
  <c r="CA381" i="49"/>
  <c r="BZ381" i="49"/>
  <c r="BY370" i="49"/>
  <c r="CA370" i="49"/>
  <c r="BZ370" i="49"/>
  <c r="BY393" i="49"/>
  <c r="BY367" i="49"/>
  <c r="BY339" i="49"/>
  <c r="BY338" i="49"/>
  <c r="BY344" i="49"/>
  <c r="CA344" i="49"/>
  <c r="BZ344" i="49"/>
  <c r="BY476" i="49"/>
  <c r="CA476" i="49"/>
  <c r="BZ476" i="49"/>
  <c r="BY482" i="49"/>
  <c r="BY488" i="49"/>
  <c r="CA488" i="49"/>
  <c r="BZ488" i="49"/>
  <c r="BY487" i="49"/>
  <c r="BY57" i="49"/>
  <c r="CA62" i="49"/>
  <c r="BY62" i="49"/>
  <c r="BZ62" i="49"/>
  <c r="P354" i="49"/>
  <c r="AL411" i="46"/>
  <c r="P357" i="49"/>
  <c r="AL415" i="46"/>
  <c r="P359" i="49"/>
  <c r="AL410" i="46"/>
  <c r="P382" i="49"/>
  <c r="AL423" i="46"/>
  <c r="P389" i="49"/>
  <c r="AL452" i="46"/>
  <c r="P383" i="49"/>
  <c r="AL459" i="46"/>
  <c r="P388" i="49"/>
  <c r="AL442" i="46"/>
  <c r="P365" i="49"/>
  <c r="AL457" i="46"/>
  <c r="P394" i="49"/>
  <c r="AL453" i="46"/>
  <c r="P392" i="49"/>
  <c r="AL437" i="46"/>
  <c r="P375" i="49"/>
  <c r="AL436" i="46"/>
  <c r="P387" i="49"/>
  <c r="AL439" i="46"/>
  <c r="P377" i="49"/>
  <c r="AL434" i="46"/>
  <c r="AJ546" i="46"/>
  <c r="R464" i="49"/>
  <c r="BV464" i="49"/>
  <c r="BX464" i="49"/>
  <c r="AJ551" i="46"/>
  <c r="R438" i="49"/>
  <c r="BV438" i="49"/>
  <c r="BX438" i="49"/>
  <c r="AJ543" i="46"/>
  <c r="R466" i="49"/>
  <c r="BV466" i="49"/>
  <c r="BX466" i="49"/>
  <c r="AJ540" i="46"/>
  <c r="R468" i="49"/>
  <c r="BV468" i="49"/>
  <c r="BX468" i="49"/>
  <c r="AJ545" i="46"/>
  <c r="R461" i="49"/>
  <c r="BV461" i="49"/>
  <c r="BX461" i="49"/>
  <c r="AJ550" i="46"/>
  <c r="R174" i="49"/>
  <c r="BV174" i="49"/>
  <c r="BX174" i="49"/>
  <c r="AJ539" i="46"/>
  <c r="R475" i="49"/>
  <c r="BV475" i="49"/>
  <c r="BX475" i="49"/>
  <c r="AJ554" i="46"/>
  <c r="R467" i="49"/>
  <c r="BV467" i="49"/>
  <c r="BX467" i="49"/>
  <c r="AJ549" i="46"/>
  <c r="R469" i="49"/>
  <c r="BV469" i="49"/>
  <c r="BX469" i="49"/>
  <c r="AJ542" i="46"/>
  <c r="R462" i="49"/>
  <c r="BV462" i="49"/>
  <c r="BX462" i="49"/>
  <c r="AJ547" i="46"/>
  <c r="R474" i="49"/>
  <c r="BV474" i="49"/>
  <c r="BX474" i="49"/>
  <c r="AJ553" i="46"/>
  <c r="R463" i="49"/>
  <c r="BV463" i="49"/>
  <c r="BX463" i="49"/>
  <c r="AJ555" i="46"/>
  <c r="AJ578" i="46"/>
  <c r="R496" i="49"/>
  <c r="BV496" i="49"/>
  <c r="BX496" i="49"/>
  <c r="AJ541" i="46"/>
  <c r="R465" i="49"/>
  <c r="BV465" i="49"/>
  <c r="BX465" i="49"/>
  <c r="AJ552" i="46"/>
  <c r="R473" i="49"/>
  <c r="BV473" i="49"/>
  <c r="BX473" i="49"/>
  <c r="AJ538" i="46"/>
  <c r="R472" i="49"/>
  <c r="BV472" i="49"/>
  <c r="BX472" i="49"/>
  <c r="AJ525" i="46"/>
  <c r="R456" i="49"/>
  <c r="BV456" i="49"/>
  <c r="BX456" i="49"/>
  <c r="AJ523" i="46"/>
  <c r="R444" i="49"/>
  <c r="BV444" i="49"/>
  <c r="BX444" i="49"/>
  <c r="AJ526" i="46"/>
  <c r="R441" i="49"/>
  <c r="BV441" i="49"/>
  <c r="BX441" i="49"/>
  <c r="AJ530" i="46"/>
  <c r="R460" i="49"/>
  <c r="BV460" i="49"/>
  <c r="BX460" i="49"/>
  <c r="AJ527" i="46"/>
  <c r="R453" i="49"/>
  <c r="BV453" i="49"/>
  <c r="BX453" i="49"/>
  <c r="AJ532" i="46"/>
  <c r="R459" i="49"/>
  <c r="BV459" i="49"/>
  <c r="BX459" i="49"/>
  <c r="AJ522" i="46"/>
  <c r="R451" i="49"/>
  <c r="BV451" i="49"/>
  <c r="BX451" i="49"/>
  <c r="AJ524" i="46"/>
  <c r="R458" i="49"/>
  <c r="BV458" i="49"/>
  <c r="BX458" i="49"/>
  <c r="AJ534" i="46"/>
  <c r="R439" i="49"/>
  <c r="BV439" i="49"/>
  <c r="BX439" i="49"/>
  <c r="AJ529" i="46"/>
  <c r="R440" i="49"/>
  <c r="BV440" i="49"/>
  <c r="BX440" i="49"/>
  <c r="AJ521" i="46"/>
  <c r="R445" i="49"/>
  <c r="BV445" i="49"/>
  <c r="BX445" i="49"/>
  <c r="AJ533" i="46"/>
  <c r="R447" i="49"/>
  <c r="BV447" i="49"/>
  <c r="BX447" i="49"/>
  <c r="AJ531" i="46"/>
  <c r="R443" i="49"/>
  <c r="BV443" i="49"/>
  <c r="BX443" i="49"/>
  <c r="AJ536" i="46"/>
  <c r="R450" i="49"/>
  <c r="BV450" i="49"/>
  <c r="BX450" i="49"/>
  <c r="AJ535" i="46"/>
  <c r="R442" i="49"/>
  <c r="BV442" i="49"/>
  <c r="BX442" i="49"/>
  <c r="AJ520" i="46"/>
  <c r="R452" i="49"/>
  <c r="BV452" i="49"/>
  <c r="BX452" i="49"/>
  <c r="AJ537" i="46"/>
  <c r="R448" i="49"/>
  <c r="BV448" i="49"/>
  <c r="BX448" i="49"/>
  <c r="AJ528" i="46"/>
  <c r="R446" i="49"/>
  <c r="BV446" i="49"/>
  <c r="BX446" i="49"/>
  <c r="AB9" i="49"/>
  <c r="AD9" i="49"/>
  <c r="T9" i="49"/>
  <c r="AB15" i="49"/>
  <c r="AD15" i="49"/>
  <c r="T15" i="49"/>
  <c r="BE327" i="49"/>
  <c r="BY81" i="49"/>
  <c r="BY85" i="49"/>
  <c r="CA80" i="49"/>
  <c r="BY80" i="49"/>
  <c r="BZ80" i="49"/>
  <c r="BY98" i="49"/>
  <c r="BY77" i="49"/>
  <c r="BY115" i="49"/>
  <c r="BY129" i="49"/>
  <c r="BY107" i="49"/>
  <c r="BY88" i="49"/>
  <c r="BY121" i="49"/>
  <c r="BY124" i="49"/>
  <c r="BY79" i="49"/>
  <c r="BY126" i="49"/>
  <c r="BY303" i="49"/>
  <c r="BY267" i="49"/>
  <c r="BY265" i="49"/>
  <c r="BY253" i="49"/>
  <c r="BY287" i="49"/>
  <c r="CA287" i="49"/>
  <c r="BZ287" i="49"/>
  <c r="BY306" i="49"/>
  <c r="BY76" i="49"/>
  <c r="BY219" i="49"/>
  <c r="BY154" i="49"/>
  <c r="BY183" i="49"/>
  <c r="BY305" i="49"/>
  <c r="BY200" i="49"/>
  <c r="BY205" i="49"/>
  <c r="BY223" i="49"/>
  <c r="CA223" i="49"/>
  <c r="BZ223" i="49"/>
  <c r="BY243" i="49"/>
  <c r="BY199" i="49"/>
  <c r="CA202" i="49"/>
  <c r="BY202" i="49"/>
  <c r="BZ202" i="49"/>
  <c r="BY207" i="49"/>
  <c r="BY226" i="49"/>
  <c r="BY296" i="49"/>
  <c r="BY346" i="49"/>
  <c r="BY168" i="49"/>
  <c r="CA168" i="49"/>
  <c r="BZ168" i="49"/>
  <c r="BY210" i="49"/>
  <c r="BY239" i="49"/>
  <c r="CA239" i="49"/>
  <c r="BZ239" i="49"/>
  <c r="BY187" i="49"/>
  <c r="BY143" i="49"/>
  <c r="BY266" i="49"/>
  <c r="BY162" i="49"/>
  <c r="BY230" i="49"/>
  <c r="CA230" i="49"/>
  <c r="BZ230" i="49"/>
  <c r="CA254" i="49"/>
  <c r="BY254" i="49"/>
  <c r="BZ254" i="49"/>
  <c r="BY304" i="49"/>
  <c r="CA304" i="49"/>
  <c r="BZ304" i="49"/>
  <c r="BY133" i="49"/>
  <c r="BY161" i="49"/>
  <c r="BY272" i="49"/>
  <c r="CA272" i="49"/>
  <c r="BZ272" i="49"/>
  <c r="BY151" i="49"/>
  <c r="CA151" i="49"/>
  <c r="BZ151" i="49"/>
  <c r="BY182" i="49"/>
  <c r="CA182" i="49"/>
  <c r="BZ182" i="49"/>
  <c r="BY276" i="49"/>
  <c r="CA276" i="49"/>
  <c r="BZ276" i="49"/>
  <c r="BY309" i="49"/>
  <c r="CA309" i="49"/>
  <c r="BZ309" i="49"/>
  <c r="BY236" i="49"/>
  <c r="CA236" i="49"/>
  <c r="BZ236" i="49"/>
  <c r="BY310" i="49"/>
  <c r="BY299" i="49"/>
  <c r="BY159" i="49"/>
  <c r="BY181" i="49"/>
  <c r="CA181" i="49"/>
  <c r="BZ181" i="49"/>
  <c r="BY259" i="49"/>
  <c r="CA259" i="49"/>
  <c r="BZ259" i="49"/>
  <c r="CV67" i="49"/>
  <c r="CX421" i="49"/>
  <c r="CV421" i="49"/>
  <c r="CW421" i="49"/>
  <c r="CV408" i="49"/>
  <c r="CX417" i="49"/>
  <c r="CV417" i="49"/>
  <c r="CW417" i="49"/>
  <c r="CV415" i="49"/>
  <c r="CV412" i="49"/>
  <c r="CV428" i="49"/>
  <c r="CV426" i="49"/>
  <c r="CX426" i="49"/>
  <c r="CW426" i="49"/>
  <c r="CX424" i="49"/>
  <c r="CV424" i="49"/>
  <c r="CW424" i="49"/>
  <c r="P56" i="49"/>
  <c r="AL76" i="46"/>
  <c r="P54" i="49"/>
  <c r="AL77" i="46"/>
  <c r="AL81" i="46"/>
  <c r="P436" i="49"/>
  <c r="AL505" i="46"/>
  <c r="P437" i="49"/>
  <c r="AL510" i="46"/>
  <c r="AB14" i="49"/>
  <c r="AD14" i="49"/>
  <c r="T14" i="49"/>
  <c r="AB6" i="49"/>
  <c r="AD6" i="49"/>
  <c r="T6" i="49"/>
  <c r="BB480" i="49"/>
  <c r="BD480" i="49"/>
  <c r="BC480" i="49"/>
  <c r="BB483" i="49"/>
  <c r="BB485" i="49"/>
  <c r="P415" i="49"/>
  <c r="AL474" i="46"/>
  <c r="P418" i="49"/>
  <c r="AL472" i="46"/>
  <c r="P412" i="49"/>
  <c r="AL473" i="46"/>
  <c r="P406" i="49"/>
  <c r="AL475" i="46"/>
  <c r="P423" i="49"/>
  <c r="AL486" i="46"/>
  <c r="AL498" i="46"/>
  <c r="P426" i="49"/>
  <c r="AL489" i="46"/>
  <c r="P427" i="49"/>
  <c r="AL496" i="46"/>
  <c r="BY12" i="49"/>
  <c r="BY8" i="49"/>
  <c r="BY325" i="49"/>
  <c r="BY316" i="49"/>
  <c r="BY332" i="49"/>
  <c r="CA332" i="49"/>
  <c r="BZ332" i="49"/>
  <c r="BY329" i="49"/>
  <c r="BB60" i="49"/>
  <c r="BB57" i="49"/>
  <c r="CV114" i="49"/>
  <c r="CV109" i="49"/>
  <c r="CV110" i="49"/>
  <c r="CV106" i="49"/>
  <c r="CV92" i="49"/>
  <c r="CV117" i="49"/>
  <c r="CV123" i="49"/>
  <c r="CV105" i="49"/>
  <c r="CV126" i="49"/>
  <c r="CV131" i="49"/>
  <c r="CV115" i="49"/>
  <c r="CV129" i="49"/>
  <c r="CV90" i="49"/>
  <c r="CV177" i="49"/>
  <c r="CX177" i="49"/>
  <c r="CW177" i="49"/>
  <c r="CV229" i="49"/>
  <c r="CX229" i="49"/>
  <c r="CW229" i="49"/>
  <c r="CV224" i="49"/>
  <c r="CV296" i="49"/>
  <c r="CV181" i="49"/>
  <c r="CX181" i="49"/>
  <c r="CW181" i="49"/>
  <c r="CV302" i="49"/>
  <c r="CX302" i="49"/>
  <c r="CW302" i="49"/>
  <c r="CV206" i="49"/>
  <c r="CX206" i="49"/>
  <c r="CW206" i="49"/>
  <c r="CV276" i="49"/>
  <c r="CX276" i="49"/>
  <c r="CW276" i="49"/>
  <c r="CV144" i="49"/>
  <c r="CV235" i="49"/>
  <c r="CV212" i="49"/>
  <c r="CX212" i="49"/>
  <c r="CW212" i="49"/>
  <c r="CV226" i="49"/>
  <c r="CX226" i="49"/>
  <c r="CW226" i="49"/>
  <c r="CV273" i="49"/>
  <c r="CX273" i="49"/>
  <c r="CW273" i="49"/>
  <c r="CV254" i="49"/>
  <c r="CX254" i="49"/>
  <c r="CW254" i="49"/>
  <c r="CV277" i="49"/>
  <c r="CV270" i="49"/>
  <c r="CX270" i="49"/>
  <c r="CW270" i="49"/>
  <c r="CV346" i="49"/>
  <c r="CV248" i="49"/>
  <c r="CV187" i="49"/>
  <c r="CV274" i="49"/>
  <c r="CV220" i="49"/>
  <c r="CV253" i="49"/>
  <c r="CV271" i="49"/>
  <c r="CV284" i="49"/>
  <c r="CX284" i="49"/>
  <c r="CW284" i="49"/>
  <c r="CV210" i="49"/>
  <c r="CV160" i="49"/>
  <c r="CV227" i="49"/>
  <c r="CV255" i="49"/>
  <c r="CX255" i="49"/>
  <c r="CW255" i="49"/>
  <c r="CV280" i="49"/>
  <c r="CX280" i="49"/>
  <c r="CW280" i="49"/>
  <c r="CV269" i="49"/>
  <c r="CX269" i="49"/>
  <c r="CW269" i="49"/>
  <c r="CV285" i="49"/>
  <c r="CX285" i="49"/>
  <c r="CW285" i="49"/>
  <c r="CV263" i="49"/>
  <c r="CX263" i="49"/>
  <c r="CW263" i="49"/>
  <c r="CV147" i="49"/>
  <c r="CX147" i="49"/>
  <c r="CW147" i="49"/>
  <c r="CV166" i="49"/>
  <c r="CV162" i="49"/>
  <c r="CV139" i="49"/>
  <c r="CV264" i="49"/>
  <c r="CX264" i="49"/>
  <c r="CW264" i="49"/>
  <c r="CV241" i="49"/>
  <c r="CV231" i="49"/>
  <c r="CX231" i="49"/>
  <c r="CW231" i="49"/>
  <c r="CV232" i="49"/>
  <c r="CX232" i="49"/>
  <c r="CW232" i="49"/>
  <c r="CV219" i="49"/>
  <c r="CV262" i="49"/>
  <c r="CX262" i="49"/>
  <c r="CW262" i="49"/>
  <c r="CV135" i="49"/>
  <c r="CV240" i="49"/>
  <c r="CV333" i="49"/>
  <c r="CV341" i="49"/>
  <c r="CV347" i="49"/>
  <c r="CX347" i="49"/>
  <c r="CW347" i="49"/>
  <c r="BY431" i="49"/>
  <c r="BY437" i="49"/>
  <c r="P102" i="49"/>
  <c r="AL163" i="46"/>
  <c r="P95" i="49"/>
  <c r="AL129" i="46"/>
  <c r="P106" i="49"/>
  <c r="AL133" i="46"/>
  <c r="P121" i="49"/>
  <c r="AL159" i="46"/>
  <c r="P105" i="49"/>
  <c r="AL150" i="46"/>
  <c r="P124" i="49"/>
  <c r="AL162" i="46"/>
  <c r="P87" i="49"/>
  <c r="AL130" i="46"/>
  <c r="P115" i="49"/>
  <c r="AL140" i="46"/>
  <c r="P99" i="49"/>
  <c r="AL127" i="46"/>
  <c r="P109" i="49"/>
  <c r="AL160" i="46"/>
  <c r="P81" i="49"/>
  <c r="AL169" i="46"/>
  <c r="P92" i="49"/>
  <c r="AL121" i="46"/>
  <c r="P128" i="49"/>
  <c r="AL168" i="46"/>
  <c r="P215" i="49"/>
  <c r="AL223" i="46"/>
  <c r="P161" i="49"/>
  <c r="AL355" i="46"/>
  <c r="P133" i="49"/>
  <c r="AL242" i="46"/>
  <c r="P260" i="49"/>
  <c r="AL291" i="46"/>
  <c r="P289" i="49"/>
  <c r="AL187" i="46"/>
  <c r="P198" i="49"/>
  <c r="AL341" i="46"/>
  <c r="P147" i="49"/>
  <c r="AL334" i="46"/>
  <c r="P276" i="49"/>
  <c r="AL269" i="46"/>
  <c r="P220" i="49"/>
  <c r="AL299" i="46"/>
  <c r="P177" i="49"/>
  <c r="AL256" i="46"/>
  <c r="P280" i="49"/>
  <c r="AL312" i="46"/>
  <c r="P210" i="49"/>
  <c r="AL332" i="46"/>
  <c r="P191" i="49"/>
  <c r="AL202" i="46"/>
  <c r="P272" i="49"/>
  <c r="AL333" i="46"/>
  <c r="P199" i="49"/>
  <c r="AL266" i="46"/>
  <c r="P225" i="49"/>
  <c r="AL207" i="46"/>
  <c r="P249" i="49"/>
  <c r="AL206" i="46"/>
  <c r="P265" i="49"/>
  <c r="AL244" i="46"/>
  <c r="P253" i="49"/>
  <c r="AL284" i="46"/>
  <c r="P206" i="49"/>
  <c r="AL325" i="46"/>
  <c r="P175" i="49"/>
  <c r="AL186" i="46"/>
  <c r="P162" i="49"/>
  <c r="AL350" i="46"/>
  <c r="P257" i="49"/>
  <c r="AL217" i="46"/>
  <c r="P306" i="49"/>
  <c r="AL204" i="46"/>
  <c r="P146" i="49"/>
  <c r="AL194" i="46"/>
  <c r="P231" i="49"/>
  <c r="AL189" i="46"/>
  <c r="P145" i="49"/>
  <c r="AL344" i="46"/>
  <c r="P237" i="49"/>
  <c r="AL249" i="46"/>
  <c r="P224" i="49"/>
  <c r="AL247" i="46"/>
  <c r="P275" i="49"/>
  <c r="AL339" i="46"/>
  <c r="P214" i="49"/>
  <c r="AL277" i="46"/>
  <c r="P170" i="49"/>
  <c r="AL229" i="46"/>
  <c r="P283" i="49"/>
  <c r="AL182" i="46"/>
  <c r="P195" i="49"/>
  <c r="AL347" i="46"/>
  <c r="P300" i="49"/>
  <c r="AL219" i="46"/>
  <c r="P165" i="49"/>
  <c r="AL292" i="46"/>
  <c r="P312" i="49"/>
  <c r="AL278" i="46"/>
  <c r="P188" i="49"/>
  <c r="AL265" i="46"/>
  <c r="P258" i="49"/>
  <c r="AL248" i="46"/>
  <c r="P250" i="49"/>
  <c r="AL208" i="46"/>
  <c r="P167" i="49"/>
  <c r="AL294" i="46"/>
  <c r="P140" i="49"/>
  <c r="AL215" i="46"/>
  <c r="P309" i="49"/>
  <c r="AL337" i="46"/>
  <c r="P211" i="49"/>
  <c r="AL283" i="46"/>
  <c r="P316" i="49"/>
  <c r="AL368" i="46"/>
  <c r="P313" i="49"/>
  <c r="AL371" i="46"/>
  <c r="P324" i="49"/>
  <c r="AL367" i="46"/>
  <c r="P329" i="49"/>
  <c r="AL380" i="46"/>
  <c r="P331" i="49"/>
  <c r="AL378" i="46"/>
  <c r="AE51" i="46"/>
  <c r="BB353" i="49"/>
  <c r="BB365" i="49"/>
  <c r="BB394" i="49"/>
  <c r="BD394" i="49"/>
  <c r="BC394" i="49"/>
  <c r="BB402" i="49"/>
  <c r="BB395" i="49"/>
  <c r="BB384" i="49"/>
  <c r="BB379" i="49"/>
  <c r="BB372" i="49"/>
  <c r="BB367" i="49"/>
  <c r="BD367" i="49"/>
  <c r="BC367" i="49"/>
  <c r="BB399" i="49"/>
  <c r="BD399" i="49"/>
  <c r="BC399" i="49"/>
  <c r="BB391" i="49"/>
  <c r="BD391" i="49"/>
  <c r="BC391" i="49"/>
  <c r="AF582" i="46"/>
  <c r="AF2" i="46"/>
  <c r="CV481" i="49"/>
  <c r="CV484" i="49"/>
  <c r="CV487" i="49"/>
  <c r="AL15" i="46"/>
  <c r="AH97" i="46"/>
  <c r="AB435" i="49"/>
  <c r="AD435" i="49"/>
  <c r="BY64" i="49"/>
  <c r="BY63" i="49"/>
  <c r="CA63" i="49"/>
  <c r="BZ63" i="49"/>
  <c r="BB335" i="49"/>
  <c r="BB340" i="49"/>
  <c r="BB344" i="49"/>
  <c r="BD344" i="49"/>
  <c r="BC344" i="49"/>
  <c r="AJ500" i="46"/>
  <c r="AJ68" i="46"/>
  <c r="CV56" i="49"/>
  <c r="CV61" i="49"/>
  <c r="BB120" i="49"/>
  <c r="BB79" i="49"/>
  <c r="BB84" i="49"/>
  <c r="BB105" i="49"/>
  <c r="BD105" i="49"/>
  <c r="BC105" i="49"/>
  <c r="BB123" i="49"/>
  <c r="BB106" i="49"/>
  <c r="BB118" i="49"/>
  <c r="BB80" i="49"/>
  <c r="BB78" i="49"/>
  <c r="BB110" i="49"/>
  <c r="BB222" i="49"/>
  <c r="BB249" i="49"/>
  <c r="BB301" i="49"/>
  <c r="BB155" i="49"/>
  <c r="BB199" i="49"/>
  <c r="BB304" i="49"/>
  <c r="BB139" i="49"/>
  <c r="BB305" i="49"/>
  <c r="BB254" i="49"/>
  <c r="BB183" i="49"/>
  <c r="BB276" i="49"/>
  <c r="BB275" i="49"/>
  <c r="BB157" i="49"/>
  <c r="BB150" i="49"/>
  <c r="BB178" i="49"/>
  <c r="BB193" i="49"/>
  <c r="BD193" i="49"/>
  <c r="BC193" i="49"/>
  <c r="BB268" i="49"/>
  <c r="BD280" i="49"/>
  <c r="BB280" i="49"/>
  <c r="BC280" i="49"/>
  <c r="BB173" i="49"/>
  <c r="BB300" i="49"/>
  <c r="BB311" i="49"/>
  <c r="BB232" i="49"/>
  <c r="BD232" i="49"/>
  <c r="BC232" i="49"/>
  <c r="BB264" i="49"/>
  <c r="BB298" i="49"/>
  <c r="BB228" i="49"/>
  <c r="BB241" i="49"/>
  <c r="BB206" i="49"/>
  <c r="BD206" i="49"/>
  <c r="BC206" i="49"/>
  <c r="BB184" i="49"/>
  <c r="BB198" i="49"/>
  <c r="BB297" i="49"/>
  <c r="BB293" i="49"/>
  <c r="BB262" i="49"/>
  <c r="BB296" i="49"/>
  <c r="BB294" i="49"/>
  <c r="BB274" i="49"/>
  <c r="BB143" i="49"/>
  <c r="BB260" i="49"/>
  <c r="BB303" i="49"/>
  <c r="BB137" i="49"/>
  <c r="BD137" i="49"/>
  <c r="BC137" i="49"/>
  <c r="BB346" i="49"/>
  <c r="BB419" i="49"/>
  <c r="CV42" i="49"/>
  <c r="CV52" i="49"/>
  <c r="CV50" i="49"/>
  <c r="P479" i="49"/>
  <c r="AL560" i="46"/>
  <c r="AH575" i="46"/>
  <c r="P483" i="49"/>
  <c r="AL563" i="46"/>
  <c r="P476" i="49"/>
  <c r="AL567" i="46"/>
  <c r="P486" i="49"/>
  <c r="AL572" i="46"/>
  <c r="Q435" i="49"/>
  <c r="AY435" i="49"/>
  <c r="BA435" i="49"/>
  <c r="AI513" i="46"/>
  <c r="BB431" i="49"/>
  <c r="CV434" i="49"/>
  <c r="CV431" i="49"/>
  <c r="CX431" i="49"/>
  <c r="CW431" i="49"/>
  <c r="S68" i="49"/>
  <c r="CS68" i="49"/>
  <c r="CU68" i="49"/>
  <c r="AK97" i="46"/>
  <c r="CX353" i="49"/>
  <c r="CV353" i="49"/>
  <c r="CW353" i="49"/>
  <c r="CV382" i="49"/>
  <c r="AE16" i="49"/>
  <c r="S419" i="49"/>
  <c r="CS419" i="49"/>
  <c r="CU419" i="49"/>
  <c r="AK500" i="46"/>
  <c r="CV352" i="49"/>
  <c r="CV358" i="49"/>
  <c r="CV349" i="49"/>
  <c r="CV401" i="49"/>
  <c r="CX401" i="49"/>
  <c r="CW401" i="49"/>
  <c r="CV396" i="49"/>
  <c r="CX396" i="49"/>
  <c r="CW396" i="49"/>
  <c r="CV400" i="49"/>
  <c r="CV368" i="49"/>
  <c r="CV377" i="49"/>
  <c r="CV371" i="49"/>
  <c r="CX371" i="49"/>
  <c r="CW371" i="49"/>
  <c r="CV380" i="49"/>
  <c r="CV388" i="49"/>
  <c r="CV393" i="49"/>
  <c r="P335" i="49"/>
  <c r="AL391" i="46"/>
  <c r="P341" i="49"/>
  <c r="AL388" i="46"/>
  <c r="P343" i="49"/>
  <c r="AL392" i="46"/>
  <c r="P345" i="49"/>
  <c r="AL399" i="46"/>
  <c r="BB67" i="49"/>
  <c r="BE46" i="49"/>
  <c r="BY42" i="49"/>
  <c r="BY46" i="49"/>
  <c r="CA46" i="49"/>
  <c r="BZ46" i="49"/>
  <c r="BY50" i="49"/>
  <c r="BA6" i="49"/>
  <c r="R435" i="49"/>
  <c r="BV435" i="49"/>
  <c r="BX435" i="49"/>
  <c r="AJ513" i="46"/>
  <c r="BY416" i="49"/>
  <c r="CA416" i="49"/>
  <c r="BZ416" i="49"/>
  <c r="BY405" i="49"/>
  <c r="CA405" i="49"/>
  <c r="BZ405" i="49"/>
  <c r="BY406" i="49"/>
  <c r="CA406" i="49"/>
  <c r="BZ406" i="49"/>
  <c r="CA411" i="49"/>
  <c r="BY411" i="49"/>
  <c r="BZ411" i="49"/>
  <c r="BY430" i="49"/>
  <c r="BY429" i="49"/>
  <c r="CA429" i="49"/>
  <c r="BZ429" i="49"/>
  <c r="CA403" i="49"/>
  <c r="BY403" i="49"/>
  <c r="BZ403" i="49"/>
  <c r="P65" i="49"/>
  <c r="AL90" i="46"/>
  <c r="P71" i="49"/>
  <c r="AL93" i="46"/>
  <c r="R334" i="49"/>
  <c r="BV334" i="49"/>
  <c r="BX334" i="49"/>
  <c r="AJ403" i="46"/>
  <c r="P43" i="49"/>
  <c r="AL54" i="46"/>
  <c r="P52" i="49"/>
  <c r="AL62" i="46"/>
  <c r="P50" i="49"/>
  <c r="AL65" i="46"/>
  <c r="BB418" i="49"/>
  <c r="BD418" i="49"/>
  <c r="BC418" i="49"/>
  <c r="BB415" i="49"/>
  <c r="BD415" i="49"/>
  <c r="BC415" i="49"/>
  <c r="BB406" i="49"/>
  <c r="BD406" i="49"/>
  <c r="BC406" i="49"/>
  <c r="BB412" i="49"/>
  <c r="BB424" i="49"/>
  <c r="BD424" i="49"/>
  <c r="BC424" i="49"/>
  <c r="BB153" i="49"/>
  <c r="AK48" i="46"/>
  <c r="AK578" i="46"/>
  <c r="S496" i="49"/>
  <c r="CS496" i="49"/>
  <c r="CU496" i="49"/>
  <c r="AK45" i="46"/>
  <c r="S38" i="49"/>
  <c r="CS38" i="49"/>
  <c r="CU38" i="49"/>
  <c r="AK47" i="46"/>
  <c r="S51" i="49"/>
  <c r="CS51" i="49"/>
  <c r="CU51" i="49"/>
  <c r="AK46" i="46"/>
  <c r="S40" i="49"/>
  <c r="CS40" i="49"/>
  <c r="CU40" i="49"/>
  <c r="AK44" i="46"/>
  <c r="S39" i="49"/>
  <c r="CS39" i="49"/>
  <c r="CU39" i="49"/>
  <c r="AK37" i="46"/>
  <c r="S20" i="49"/>
  <c r="CS20" i="49"/>
  <c r="CU20" i="49"/>
  <c r="AK26" i="46"/>
  <c r="S30" i="49"/>
  <c r="CS30" i="49"/>
  <c r="CU30" i="49"/>
  <c r="AK33" i="46"/>
  <c r="S24" i="49"/>
  <c r="CS24" i="49"/>
  <c r="CU24" i="49"/>
  <c r="AK41" i="46"/>
  <c r="S26" i="49"/>
  <c r="CS26" i="49"/>
  <c r="CU26" i="49"/>
  <c r="AK36" i="46"/>
  <c r="S18" i="49"/>
  <c r="CS18" i="49"/>
  <c r="CU18" i="49"/>
  <c r="AK23" i="46"/>
  <c r="S23" i="49"/>
  <c r="CS23" i="49"/>
  <c r="CU23" i="49"/>
  <c r="AK34" i="46"/>
  <c r="S17" i="49"/>
  <c r="CS17" i="49"/>
  <c r="CU17" i="49"/>
  <c r="AK32" i="46"/>
  <c r="S27" i="49"/>
  <c r="CS27" i="49"/>
  <c r="CU27" i="49"/>
  <c r="AK28" i="46"/>
  <c r="S35" i="49"/>
  <c r="CS35" i="49"/>
  <c r="CU35" i="49"/>
  <c r="AK27" i="46"/>
  <c r="S32" i="49"/>
  <c r="CS32" i="49"/>
  <c r="CU32" i="49"/>
  <c r="AK31" i="46"/>
  <c r="S37" i="49"/>
  <c r="CS37" i="49"/>
  <c r="CU37" i="49"/>
  <c r="AK39" i="46"/>
  <c r="S31" i="49"/>
  <c r="CS31" i="49"/>
  <c r="CU31" i="49"/>
  <c r="AK35" i="46"/>
  <c r="S19" i="49"/>
  <c r="CS19" i="49"/>
  <c r="CU19" i="49"/>
  <c r="AK30" i="46"/>
  <c r="S33" i="49"/>
  <c r="CS33" i="49"/>
  <c r="CU33" i="49"/>
  <c r="AK38" i="46"/>
  <c r="S21" i="49"/>
  <c r="CS21" i="49"/>
  <c r="CU21" i="49"/>
  <c r="AK24" i="46"/>
  <c r="S22" i="49"/>
  <c r="CS22" i="49"/>
  <c r="CU22" i="49"/>
  <c r="AK40" i="46"/>
  <c r="S25" i="49"/>
  <c r="CS25" i="49"/>
  <c r="CU25" i="49"/>
  <c r="AK29" i="46"/>
  <c r="S34" i="49"/>
  <c r="CS34" i="49"/>
  <c r="CU34" i="49"/>
  <c r="BY358" i="49"/>
  <c r="BY352" i="49"/>
  <c r="BY350" i="49"/>
  <c r="BY397" i="49"/>
  <c r="CA397" i="49"/>
  <c r="BZ397" i="49"/>
  <c r="BY401" i="49"/>
  <c r="CA401" i="49"/>
  <c r="BZ401" i="49"/>
  <c r="BY392" i="49"/>
  <c r="BY375" i="49"/>
  <c r="CA375" i="49"/>
  <c r="BZ375" i="49"/>
  <c r="BY376" i="49"/>
  <c r="CA376" i="49"/>
  <c r="BZ376" i="49"/>
  <c r="BY383" i="49"/>
  <c r="BY368" i="49"/>
  <c r="BY378" i="49"/>
  <c r="BY399" i="49"/>
  <c r="CA399" i="49"/>
  <c r="BZ399" i="49"/>
  <c r="BY335" i="49"/>
  <c r="BY341" i="49"/>
  <c r="BY478" i="49"/>
  <c r="BY481" i="49"/>
  <c r="BY485" i="49"/>
  <c r="BY54" i="49"/>
  <c r="BY55" i="49"/>
  <c r="P350" i="49"/>
  <c r="AL416" i="46"/>
  <c r="P362" i="49"/>
  <c r="AL408" i="46"/>
  <c r="P351" i="49"/>
  <c r="AL413" i="46"/>
  <c r="P396" i="49"/>
  <c r="AL427" i="46"/>
  <c r="AL463" i="46"/>
  <c r="P397" i="49"/>
  <c r="AL438" i="46"/>
  <c r="P369" i="49"/>
  <c r="AL431" i="46"/>
  <c r="P368" i="49"/>
  <c r="AL455" i="46"/>
  <c r="P398" i="49"/>
  <c r="AL432" i="46"/>
  <c r="P402" i="49"/>
  <c r="AL430" i="46"/>
  <c r="P371" i="49"/>
  <c r="AL451" i="46"/>
  <c r="P378" i="49"/>
  <c r="AL443" i="46"/>
  <c r="P380" i="49"/>
  <c r="AL428" i="46"/>
  <c r="AH516" i="46"/>
  <c r="CY327" i="49"/>
  <c r="BY122" i="49"/>
  <c r="BY109" i="49"/>
  <c r="BY104" i="49"/>
  <c r="BY110" i="49"/>
  <c r="BY125" i="49"/>
  <c r="BY111" i="49"/>
  <c r="BY89" i="49"/>
  <c r="BY131" i="49"/>
  <c r="BY92" i="49"/>
  <c r="BY94" i="49"/>
  <c r="BY87" i="49"/>
  <c r="BY130" i="49"/>
  <c r="BY86" i="49"/>
  <c r="BY222" i="49"/>
  <c r="CA222" i="49"/>
  <c r="BZ222" i="49"/>
  <c r="BY273" i="49"/>
  <c r="BY144" i="49"/>
  <c r="BY275" i="49"/>
  <c r="BY185" i="49"/>
  <c r="BY307" i="49"/>
  <c r="BY169" i="49"/>
  <c r="BY244" i="49"/>
  <c r="CA244" i="49"/>
  <c r="BZ244" i="49"/>
  <c r="BY196" i="49"/>
  <c r="BY135" i="49"/>
  <c r="BY149" i="49"/>
  <c r="BY246" i="49"/>
  <c r="CA246" i="49"/>
  <c r="BZ246" i="49"/>
  <c r="BY201" i="49"/>
  <c r="BY139" i="49"/>
  <c r="BY184" i="49"/>
  <c r="BY180" i="49"/>
  <c r="BY132" i="49"/>
  <c r="BY268" i="49"/>
  <c r="BY224" i="49"/>
  <c r="BY235" i="49"/>
  <c r="BY251" i="49"/>
  <c r="CA251" i="49"/>
  <c r="BZ251" i="49"/>
  <c r="BY166" i="49"/>
  <c r="BY289" i="49"/>
  <c r="CA289" i="49"/>
  <c r="BZ289" i="49"/>
  <c r="BY291" i="49"/>
  <c r="CA291" i="49"/>
  <c r="BZ291" i="49"/>
  <c r="BY295" i="49"/>
  <c r="BY213" i="49"/>
  <c r="CA213" i="49"/>
  <c r="BZ213" i="49"/>
  <c r="BY148" i="49"/>
  <c r="BY285" i="49"/>
  <c r="CA285" i="49"/>
  <c r="BZ285" i="49"/>
  <c r="BY189" i="49"/>
  <c r="BY229" i="49"/>
  <c r="CA229" i="49"/>
  <c r="BZ229" i="49"/>
  <c r="BY145" i="49"/>
  <c r="CA232" i="49"/>
  <c r="BY232" i="49"/>
  <c r="BZ232" i="49"/>
  <c r="BY282" i="49"/>
  <c r="BY177" i="49"/>
  <c r="CA177" i="49"/>
  <c r="BZ177" i="49"/>
  <c r="BY198" i="49"/>
  <c r="BY212" i="49"/>
  <c r="CA212" i="49"/>
  <c r="BZ212" i="49"/>
  <c r="BY250" i="49"/>
  <c r="BY195" i="49"/>
  <c r="BY298" i="49"/>
  <c r="CA270" i="49"/>
  <c r="BY270" i="49"/>
  <c r="BZ270" i="49"/>
  <c r="BY165" i="49"/>
  <c r="BY158" i="49"/>
  <c r="BY294" i="49"/>
  <c r="CA294" i="49"/>
  <c r="BZ294" i="49"/>
  <c r="BY279" i="49"/>
  <c r="BY312" i="49"/>
  <c r="CV65" i="49"/>
  <c r="CV409" i="49"/>
  <c r="CV406" i="49"/>
  <c r="CX406" i="49"/>
  <c r="CW406" i="49"/>
  <c r="CV411" i="49"/>
  <c r="CV418" i="49"/>
  <c r="CV423" i="49"/>
  <c r="CV153" i="49"/>
  <c r="CV403" i="49"/>
  <c r="CX403" i="49"/>
  <c r="CW403" i="49"/>
  <c r="CX429" i="49"/>
  <c r="CV429" i="49"/>
  <c r="CW429" i="49"/>
  <c r="P61" i="49"/>
  <c r="AL72" i="46"/>
  <c r="P58" i="49"/>
  <c r="AL73" i="46"/>
  <c r="AB2" i="46"/>
  <c r="AB607" i="46"/>
  <c r="P433" i="49"/>
  <c r="AL506" i="46"/>
  <c r="AJ516" i="46"/>
  <c r="BB481" i="49"/>
  <c r="BB477" i="49"/>
  <c r="P421" i="49"/>
  <c r="AL470" i="46"/>
  <c r="P404" i="49"/>
  <c r="AL484" i="46"/>
  <c r="P416" i="49"/>
  <c r="AL476" i="46"/>
  <c r="P407" i="49"/>
  <c r="AL469" i="46"/>
  <c r="P422" i="49"/>
  <c r="AL488" i="46"/>
  <c r="P425" i="49"/>
  <c r="AL490" i="46"/>
  <c r="P428" i="49"/>
  <c r="AL494" i="46"/>
  <c r="R16" i="49"/>
  <c r="AJ19" i="46"/>
  <c r="BY13" i="49"/>
  <c r="BY6" i="49"/>
  <c r="BY315" i="49"/>
  <c r="BY314" i="49"/>
  <c r="BY313" i="49"/>
  <c r="BY327" i="49"/>
  <c r="BB58" i="49"/>
  <c r="BB56" i="49"/>
  <c r="CV81" i="49"/>
  <c r="CV121" i="49"/>
  <c r="CV101" i="49"/>
  <c r="CV102" i="49"/>
  <c r="CV82" i="49"/>
  <c r="CV80" i="49"/>
  <c r="CX80" i="49"/>
  <c r="CW80" i="49"/>
  <c r="CV103" i="49"/>
  <c r="CV119" i="49"/>
  <c r="CV85" i="49"/>
  <c r="CV78" i="49"/>
  <c r="CV91" i="49"/>
  <c r="CV127" i="49"/>
  <c r="CV79" i="49"/>
  <c r="CV222" i="49"/>
  <c r="CX222" i="49"/>
  <c r="CW222" i="49"/>
  <c r="CV246" i="49"/>
  <c r="CX246" i="49"/>
  <c r="CW246" i="49"/>
  <c r="CV301" i="49"/>
  <c r="CX137" i="49"/>
  <c r="CV137" i="49"/>
  <c r="CW137" i="49"/>
  <c r="CV209" i="49"/>
  <c r="CV133" i="49"/>
  <c r="CV295" i="49"/>
  <c r="CV221" i="49"/>
  <c r="CX221" i="49"/>
  <c r="CW221" i="49"/>
  <c r="CV164" i="49"/>
  <c r="CV198" i="49"/>
  <c r="CV193" i="49"/>
  <c r="CX193" i="49"/>
  <c r="CW193" i="49"/>
  <c r="CV299" i="49"/>
  <c r="CV238" i="49"/>
  <c r="CX238" i="49"/>
  <c r="CW238" i="49"/>
  <c r="CV311" i="49"/>
  <c r="CV236" i="49"/>
  <c r="CX236" i="49"/>
  <c r="CW236" i="49"/>
  <c r="CV250" i="49"/>
  <c r="CV290" i="49"/>
  <c r="CV141" i="49"/>
  <c r="CV283" i="49"/>
  <c r="CX283" i="49"/>
  <c r="CW283" i="49"/>
  <c r="CV202" i="49"/>
  <c r="CX202" i="49"/>
  <c r="CW202" i="49"/>
  <c r="CV247" i="49"/>
  <c r="CV146" i="49"/>
  <c r="CV234" i="49"/>
  <c r="CV261" i="49"/>
  <c r="CV251" i="49"/>
  <c r="CX251" i="49"/>
  <c r="CW251" i="49"/>
  <c r="CV223" i="49"/>
  <c r="CX223" i="49"/>
  <c r="CW223" i="49"/>
  <c r="CV306" i="49"/>
  <c r="CV278" i="49"/>
  <c r="CV158" i="49"/>
  <c r="CV303" i="49"/>
  <c r="CV171" i="49"/>
  <c r="CX171" i="49"/>
  <c r="CW171" i="49"/>
  <c r="CV186" i="49"/>
  <c r="CV292" i="49"/>
  <c r="CV287" i="49"/>
  <c r="CX287" i="49"/>
  <c r="CW287" i="49"/>
  <c r="CV228" i="49"/>
  <c r="CX228" i="49"/>
  <c r="CW228" i="49"/>
  <c r="CX230" i="49"/>
  <c r="CV230" i="49"/>
  <c r="CW230" i="49"/>
  <c r="CV192" i="49"/>
  <c r="CV169" i="49"/>
  <c r="CV207" i="49"/>
  <c r="CX272" i="49"/>
  <c r="CV272" i="49"/>
  <c r="CW272" i="49"/>
  <c r="CV310" i="49"/>
  <c r="CV305" i="49"/>
  <c r="CV293" i="49"/>
  <c r="CX282" i="49"/>
  <c r="CV282" i="49"/>
  <c r="CW282" i="49"/>
  <c r="CV149" i="49"/>
  <c r="CV340" i="49"/>
  <c r="CV336" i="49"/>
  <c r="CV339" i="49"/>
  <c r="CX345" i="49"/>
  <c r="CV345" i="49"/>
  <c r="CW345" i="49"/>
  <c r="Z607" i="46"/>
  <c r="Z2" i="46"/>
  <c r="BY436" i="49"/>
  <c r="P126" i="49"/>
  <c r="AL138" i="46"/>
  <c r="P79" i="49"/>
  <c r="AL166" i="46"/>
  <c r="P119" i="49"/>
  <c r="AL134" i="46"/>
  <c r="P85" i="49"/>
  <c r="AL170" i="46"/>
  <c r="P89" i="49"/>
  <c r="AL143" i="46"/>
  <c r="P80" i="49"/>
  <c r="AL125" i="46"/>
  <c r="P77" i="49"/>
  <c r="AL172" i="46"/>
  <c r="P78" i="49"/>
  <c r="AL128" i="46"/>
  <c r="P88" i="49"/>
  <c r="AL149" i="46"/>
  <c r="P101" i="49"/>
  <c r="AL148" i="46"/>
  <c r="P84" i="49"/>
  <c r="AL167" i="46"/>
  <c r="P111" i="49"/>
  <c r="AL141" i="46"/>
  <c r="P113" i="49"/>
  <c r="AL158" i="46"/>
  <c r="P222" i="49"/>
  <c r="AL176" i="46"/>
  <c r="P242" i="49"/>
  <c r="AL195" i="46"/>
  <c r="P277" i="49"/>
  <c r="AL308" i="46"/>
  <c r="P148" i="49"/>
  <c r="AL289" i="46"/>
  <c r="P5" i="49"/>
  <c r="AL198" i="46"/>
  <c r="P273" i="49"/>
  <c r="AL233" i="46"/>
  <c r="P240" i="49"/>
  <c r="AL238" i="46"/>
  <c r="P232" i="49"/>
  <c r="AL288" i="46"/>
  <c r="P159" i="49"/>
  <c r="AL309" i="46"/>
  <c r="P208" i="49"/>
  <c r="AL210" i="46"/>
  <c r="P187" i="49"/>
  <c r="AL264" i="46"/>
  <c r="P154" i="49"/>
  <c r="AL235" i="46"/>
  <c r="P244" i="49"/>
  <c r="AL326" i="46"/>
  <c r="P304" i="49"/>
  <c r="AL185" i="46"/>
  <c r="P151" i="49"/>
  <c r="AL270" i="46"/>
  <c r="P305" i="49"/>
  <c r="AL250" i="46"/>
  <c r="P136" i="49"/>
  <c r="AL342" i="46"/>
  <c r="P212" i="49"/>
  <c r="AL273" i="46"/>
  <c r="P178" i="49"/>
  <c r="AL257" i="46"/>
  <c r="P185" i="49"/>
  <c r="AL253" i="46"/>
  <c r="P298" i="49"/>
  <c r="AL205" i="46"/>
  <c r="P194" i="49"/>
  <c r="AL263" i="46"/>
  <c r="P241" i="49"/>
  <c r="AL272" i="46"/>
  <c r="P267" i="49"/>
  <c r="AL301" i="46"/>
  <c r="P252" i="49"/>
  <c r="AL304" i="46"/>
  <c r="P243" i="49"/>
  <c r="AL349" i="46"/>
  <c r="P271" i="49"/>
  <c r="AL313" i="46"/>
  <c r="P168" i="49"/>
  <c r="AL287" i="46"/>
  <c r="P234" i="49"/>
  <c r="AL178" i="46"/>
  <c r="P156" i="49"/>
  <c r="AL221" i="46"/>
  <c r="P155" i="49"/>
  <c r="AL200" i="46"/>
  <c r="P157" i="49"/>
  <c r="AL351" i="46"/>
  <c r="P274" i="49"/>
  <c r="AL234" i="46"/>
  <c r="P143" i="49"/>
  <c r="AL228" i="46"/>
  <c r="P286" i="49"/>
  <c r="AL181" i="46"/>
  <c r="P228" i="49"/>
  <c r="AL297" i="46"/>
  <c r="P269" i="49"/>
  <c r="AL212" i="46"/>
  <c r="P246" i="49"/>
  <c r="AL268" i="46"/>
  <c r="P142" i="49"/>
  <c r="AL348" i="46"/>
  <c r="P245" i="49"/>
  <c r="AL232" i="46"/>
  <c r="P132" i="49"/>
  <c r="AL285" i="46"/>
  <c r="P291" i="49"/>
  <c r="AL188" i="46"/>
  <c r="P227" i="49"/>
  <c r="AL338" i="46"/>
  <c r="P138" i="49"/>
  <c r="AL290" i="46"/>
  <c r="P184" i="49"/>
  <c r="AL259" i="46"/>
  <c r="P322" i="49"/>
  <c r="AL364" i="46"/>
  <c r="P314" i="49"/>
  <c r="AL365" i="46"/>
  <c r="P315" i="49"/>
  <c r="AL366" i="46"/>
  <c r="P327" i="49"/>
  <c r="AL379" i="46"/>
  <c r="BB364" i="49"/>
  <c r="BB352" i="49"/>
  <c r="BB373" i="49"/>
  <c r="BB381" i="49"/>
  <c r="BD381" i="49"/>
  <c r="BC381" i="49"/>
  <c r="BB376" i="49"/>
  <c r="BB397" i="49"/>
  <c r="BD397" i="49"/>
  <c r="BC397" i="49"/>
  <c r="BB393" i="49"/>
  <c r="BB388" i="49"/>
  <c r="BB390" i="49"/>
  <c r="BB392" i="49"/>
  <c r="BD392" i="49"/>
  <c r="BC392" i="49"/>
  <c r="BB389" i="49"/>
  <c r="BD389" i="49"/>
  <c r="BC389" i="49"/>
  <c r="BB348" i="49"/>
  <c r="CV480" i="49"/>
  <c r="CX480" i="49"/>
  <c r="CW480" i="49"/>
  <c r="CX477" i="49"/>
  <c r="CV477" i="49"/>
  <c r="CW477" i="49"/>
  <c r="CV488" i="49"/>
  <c r="CX488" i="49"/>
  <c r="CW488" i="49"/>
  <c r="CV485" i="49"/>
  <c r="BB16" i="49"/>
  <c r="AB11" i="49"/>
  <c r="AD11" i="49"/>
  <c r="T11" i="49"/>
  <c r="BB318" i="49"/>
  <c r="AB68" i="49"/>
  <c r="AD68" i="49"/>
  <c r="AI97" i="46"/>
  <c r="AB355" i="49"/>
  <c r="AD355" i="49"/>
  <c r="BY66" i="49"/>
  <c r="Q334" i="49"/>
  <c r="AY334" i="49"/>
  <c r="BA334" i="49"/>
  <c r="AI403" i="46"/>
  <c r="BB338" i="49"/>
  <c r="BB343" i="49"/>
  <c r="BY419" i="49"/>
  <c r="BY48" i="49"/>
  <c r="CV54" i="49"/>
  <c r="CV55" i="49"/>
  <c r="AL468" i="46"/>
  <c r="BB114" i="49"/>
  <c r="BB92" i="49"/>
  <c r="BB112" i="49"/>
  <c r="BB113" i="49"/>
  <c r="BB98" i="49"/>
  <c r="BD98" i="49"/>
  <c r="BC98" i="49"/>
  <c r="BB103" i="49"/>
  <c r="BB125" i="49"/>
  <c r="BB87" i="49"/>
  <c r="BB128" i="49"/>
  <c r="BB119" i="49"/>
  <c r="BB291" i="49"/>
  <c r="BD291" i="49"/>
  <c r="BC291" i="49"/>
  <c r="BB212" i="49"/>
  <c r="BB221" i="49"/>
  <c r="BB230" i="49"/>
  <c r="BB76" i="49"/>
  <c r="BB135" i="49"/>
  <c r="BB240" i="49"/>
  <c r="BB256" i="49"/>
  <c r="BB269" i="49"/>
  <c r="BD269" i="49"/>
  <c r="BC269" i="49"/>
  <c r="BB285" i="49"/>
  <c r="BD285" i="49"/>
  <c r="BC285" i="49"/>
  <c r="BB239" i="49"/>
  <c r="BD239" i="49"/>
  <c r="BC239" i="49"/>
  <c r="BB295" i="49"/>
  <c r="BB292" i="49"/>
  <c r="BB255" i="49"/>
  <c r="BD255" i="49"/>
  <c r="BC255" i="49"/>
  <c r="BB306" i="49"/>
  <c r="BB146" i="49"/>
  <c r="BB231" i="49"/>
  <c r="BB283" i="49"/>
  <c r="BB286" i="49"/>
  <c r="BB201" i="49"/>
  <c r="BB172" i="49"/>
  <c r="BB243" i="49"/>
  <c r="BB278" i="49"/>
  <c r="BB209" i="49"/>
  <c r="BB263" i="49"/>
  <c r="BD263" i="49"/>
  <c r="BC263" i="49"/>
  <c r="BB218" i="49"/>
  <c r="BB170" i="49"/>
  <c r="BB154" i="49"/>
  <c r="BB190" i="49"/>
  <c r="BB141" i="49"/>
  <c r="BB281" i="49"/>
  <c r="BB238" i="49"/>
  <c r="BD238" i="49"/>
  <c r="BC238" i="49"/>
  <c r="BB309" i="49"/>
  <c r="BD309" i="49"/>
  <c r="BC309" i="49"/>
  <c r="BB246" i="49"/>
  <c r="BB210" i="49"/>
  <c r="BB133" i="49"/>
  <c r="BB182" i="49"/>
  <c r="BD182" i="49"/>
  <c r="BC182" i="49"/>
  <c r="BB245" i="49"/>
  <c r="BB161" i="49"/>
  <c r="BB227" i="49"/>
  <c r="AL68" i="46"/>
  <c r="S48" i="49"/>
  <c r="CS48" i="49"/>
  <c r="CU48" i="49"/>
  <c r="AK68" i="46"/>
  <c r="CV45" i="49"/>
  <c r="AL386" i="46"/>
  <c r="AL403" i="46"/>
  <c r="P482" i="49"/>
  <c r="AL565" i="46"/>
  <c r="P481" i="49"/>
  <c r="AL562" i="46"/>
  <c r="P488" i="49"/>
  <c r="AL569" i="46"/>
  <c r="P485" i="49"/>
  <c r="AL570" i="46"/>
  <c r="BB434" i="49"/>
  <c r="BB432" i="49"/>
  <c r="CV433" i="49"/>
  <c r="CV437" i="49"/>
  <c r="T68" i="49"/>
  <c r="AL500" i="46"/>
  <c r="T355" i="49"/>
  <c r="AL513" i="46"/>
  <c r="T435" i="49"/>
  <c r="AL19" i="46"/>
  <c r="BY496" i="49"/>
  <c r="AB327" i="49"/>
  <c r="AD327" i="49"/>
  <c r="T327" i="49"/>
  <c r="AB184" i="49"/>
  <c r="AD184" i="49"/>
  <c r="T184" i="49"/>
  <c r="AB132" i="49"/>
  <c r="AD132" i="49"/>
  <c r="T132" i="49"/>
  <c r="AB269" i="49"/>
  <c r="AD269" i="49"/>
  <c r="T269" i="49"/>
  <c r="AB274" i="49"/>
  <c r="AD274" i="49"/>
  <c r="T274" i="49"/>
  <c r="AB234" i="49"/>
  <c r="AD234" i="49"/>
  <c r="T234" i="49"/>
  <c r="AB252" i="49"/>
  <c r="AD252" i="49"/>
  <c r="T252" i="49"/>
  <c r="AB298" i="49"/>
  <c r="AD298" i="49"/>
  <c r="T298" i="49"/>
  <c r="AB178" i="49"/>
  <c r="AD178" i="49"/>
  <c r="T178" i="49"/>
  <c r="AB151" i="49"/>
  <c r="AD151" i="49"/>
  <c r="T151" i="49"/>
  <c r="AB187" i="49"/>
  <c r="AD187" i="49"/>
  <c r="T187" i="49"/>
  <c r="AB240" i="49"/>
  <c r="AD240" i="49"/>
  <c r="T240" i="49"/>
  <c r="AB277" i="49"/>
  <c r="AD277" i="49"/>
  <c r="T277" i="49"/>
  <c r="AB111" i="49"/>
  <c r="AD111" i="49"/>
  <c r="T111" i="49"/>
  <c r="AB78" i="49"/>
  <c r="AD78" i="49"/>
  <c r="T78" i="49"/>
  <c r="AB85" i="49"/>
  <c r="AD85" i="49"/>
  <c r="T85" i="49"/>
  <c r="R457" i="49"/>
  <c r="BV457" i="49"/>
  <c r="BX457" i="49"/>
  <c r="AJ557" i="46"/>
  <c r="CB212" i="49"/>
  <c r="CB291" i="49"/>
  <c r="CB246" i="49"/>
  <c r="P457" i="49"/>
  <c r="AH557" i="46"/>
  <c r="AL516" i="46"/>
  <c r="BE238" i="49"/>
  <c r="CY480" i="49"/>
  <c r="CY282" i="49"/>
  <c r="CY272" i="49"/>
  <c r="CY230" i="49"/>
  <c r="CY251" i="49"/>
  <c r="CY238" i="49"/>
  <c r="CY137" i="49"/>
  <c r="CY222" i="49"/>
  <c r="CY80" i="49"/>
  <c r="AB428" i="49"/>
  <c r="AD428" i="49"/>
  <c r="T428" i="49"/>
  <c r="AB422" i="49"/>
  <c r="AD422" i="49"/>
  <c r="T422" i="49"/>
  <c r="AB416" i="49"/>
  <c r="AD416" i="49"/>
  <c r="T416" i="49"/>
  <c r="AB421" i="49"/>
  <c r="AD421" i="49"/>
  <c r="T421" i="49"/>
  <c r="CY403" i="49"/>
  <c r="CB270" i="49"/>
  <c r="CB232" i="49"/>
  <c r="CB251" i="49"/>
  <c r="CB222" i="49"/>
  <c r="AB351" i="49"/>
  <c r="AD351" i="49"/>
  <c r="T351" i="49"/>
  <c r="AB350" i="49"/>
  <c r="AD350" i="49"/>
  <c r="T350" i="49"/>
  <c r="CB401" i="49"/>
  <c r="CV22" i="49"/>
  <c r="CX22" i="49"/>
  <c r="CW22" i="49"/>
  <c r="CV31" i="49"/>
  <c r="CX31" i="49"/>
  <c r="CW31" i="49"/>
  <c r="CV27" i="49"/>
  <c r="CV26" i="49"/>
  <c r="CV39" i="49"/>
  <c r="CV496" i="49"/>
  <c r="AB50" i="49"/>
  <c r="AD50" i="49"/>
  <c r="T50" i="49"/>
  <c r="AB43" i="49"/>
  <c r="AD43" i="49"/>
  <c r="T43" i="49"/>
  <c r="AB71" i="49"/>
  <c r="AD71" i="49"/>
  <c r="T71" i="49"/>
  <c r="CB406" i="49"/>
  <c r="AB345" i="49"/>
  <c r="AD345" i="49"/>
  <c r="T345" i="49"/>
  <c r="AB341" i="49"/>
  <c r="AD341" i="49"/>
  <c r="T341" i="49"/>
  <c r="CY401" i="49"/>
  <c r="CV419" i="49"/>
  <c r="AB486" i="49"/>
  <c r="AD486" i="49"/>
  <c r="T486" i="49"/>
  <c r="AB483" i="49"/>
  <c r="AD483" i="49"/>
  <c r="T483" i="49"/>
  <c r="BE137" i="49"/>
  <c r="BE206" i="49"/>
  <c r="BE280" i="49"/>
  <c r="CB63" i="49"/>
  <c r="BE399" i="49"/>
  <c r="AB331" i="49"/>
  <c r="AD331" i="49"/>
  <c r="T331" i="49"/>
  <c r="AB324" i="49"/>
  <c r="AD324" i="49"/>
  <c r="T324" i="49"/>
  <c r="AB316" i="49"/>
  <c r="AD316" i="49"/>
  <c r="T316" i="49"/>
  <c r="AB309" i="49"/>
  <c r="AD309" i="49"/>
  <c r="T309" i="49"/>
  <c r="AB167" i="49"/>
  <c r="AD167" i="49"/>
  <c r="T167" i="49"/>
  <c r="AB258" i="49"/>
  <c r="AD258" i="49"/>
  <c r="T258" i="49"/>
  <c r="AB312" i="49"/>
  <c r="AD312" i="49"/>
  <c r="T312" i="49"/>
  <c r="AB300" i="49"/>
  <c r="AD300" i="49"/>
  <c r="T300" i="49"/>
  <c r="AB283" i="49"/>
  <c r="AD283" i="49"/>
  <c r="T283" i="49"/>
  <c r="AB214" i="49"/>
  <c r="AD214" i="49"/>
  <c r="T214" i="49"/>
  <c r="AB224" i="49"/>
  <c r="AD224" i="49"/>
  <c r="T224" i="49"/>
  <c r="AB145" i="49"/>
  <c r="AD145" i="49"/>
  <c r="T145" i="49"/>
  <c r="AB146" i="49"/>
  <c r="AD146" i="49"/>
  <c r="T146" i="49"/>
  <c r="AB257" i="49"/>
  <c r="AD257" i="49"/>
  <c r="T257" i="49"/>
  <c r="AB175" i="49"/>
  <c r="AD175" i="49"/>
  <c r="T175" i="49"/>
  <c r="AB253" i="49"/>
  <c r="AD253" i="49"/>
  <c r="T253" i="49"/>
  <c r="AB249" i="49"/>
  <c r="AD249" i="49"/>
  <c r="T249" i="49"/>
  <c r="AB199" i="49"/>
  <c r="AD199" i="49"/>
  <c r="T199" i="49"/>
  <c r="AB191" i="49"/>
  <c r="AD191" i="49"/>
  <c r="T191" i="49"/>
  <c r="AB280" i="49"/>
  <c r="AD280" i="49"/>
  <c r="T280" i="49"/>
  <c r="AB220" i="49"/>
  <c r="AD220" i="49"/>
  <c r="T220" i="49"/>
  <c r="AB147" i="49"/>
  <c r="AD147" i="49"/>
  <c r="T147" i="49"/>
  <c r="AB289" i="49"/>
  <c r="AD289" i="49"/>
  <c r="T289" i="49"/>
  <c r="AB133" i="49"/>
  <c r="AD133" i="49"/>
  <c r="T133" i="49"/>
  <c r="AB215" i="49"/>
  <c r="AD215" i="49"/>
  <c r="T215" i="49"/>
  <c r="AB92" i="49"/>
  <c r="AD92" i="49"/>
  <c r="T92" i="49"/>
  <c r="AB109" i="49"/>
  <c r="AD109" i="49"/>
  <c r="T109" i="49"/>
  <c r="AB115" i="49"/>
  <c r="AD115" i="49"/>
  <c r="T115" i="49"/>
  <c r="AB124" i="49"/>
  <c r="AD124" i="49"/>
  <c r="T124" i="49"/>
  <c r="AB121" i="49"/>
  <c r="AD121" i="49"/>
  <c r="T121" i="49"/>
  <c r="AB95" i="49"/>
  <c r="AD95" i="49"/>
  <c r="T95" i="49"/>
  <c r="CY262" i="49"/>
  <c r="CY269" i="49"/>
  <c r="CY254" i="49"/>
  <c r="CY302" i="49"/>
  <c r="CY229" i="49"/>
  <c r="AB426" i="49"/>
  <c r="AD426" i="49"/>
  <c r="T426" i="49"/>
  <c r="BE480" i="49"/>
  <c r="AB437" i="49"/>
  <c r="AD437" i="49"/>
  <c r="T437" i="49"/>
  <c r="CY426" i="49"/>
  <c r="CB259" i="49"/>
  <c r="CB182" i="49"/>
  <c r="CB239" i="49"/>
  <c r="BY446" i="49"/>
  <c r="BY450" i="49"/>
  <c r="BY440" i="49"/>
  <c r="CA440" i="49"/>
  <c r="BZ440" i="49"/>
  <c r="BY459" i="49"/>
  <c r="CA459" i="49"/>
  <c r="BZ459" i="49"/>
  <c r="BY444" i="49"/>
  <c r="BY465" i="49"/>
  <c r="CA465" i="49"/>
  <c r="BZ465" i="49"/>
  <c r="BY462" i="49"/>
  <c r="CA462" i="49"/>
  <c r="BZ462" i="49"/>
  <c r="BY174" i="49"/>
  <c r="BY438" i="49"/>
  <c r="CB476" i="49"/>
  <c r="CB374" i="49"/>
  <c r="CB398" i="49"/>
  <c r="CB387" i="49"/>
  <c r="BE416" i="49"/>
  <c r="AB41" i="49"/>
  <c r="AD41" i="49"/>
  <c r="T41" i="49"/>
  <c r="CV479" i="49"/>
  <c r="CX479" i="49"/>
  <c r="CW479" i="49"/>
  <c r="CB422" i="49"/>
  <c r="CY387" i="49"/>
  <c r="T334" i="49"/>
  <c r="CY53" i="49"/>
  <c r="BE181" i="49"/>
  <c r="BE175" i="49"/>
  <c r="BE244" i="49"/>
  <c r="BE272" i="49"/>
  <c r="BE347" i="49"/>
  <c r="BE370" i="49"/>
  <c r="BE375" i="49"/>
  <c r="AB326" i="49"/>
  <c r="AD326" i="49"/>
  <c r="T326" i="49"/>
  <c r="CB432" i="49"/>
  <c r="CY309" i="49"/>
  <c r="BE62" i="49"/>
  <c r="BY318" i="49"/>
  <c r="AB430" i="49"/>
  <c r="AD430" i="49"/>
  <c r="T430" i="49"/>
  <c r="AB417" i="49"/>
  <c r="AD417" i="49"/>
  <c r="T417" i="49"/>
  <c r="AB413" i="49"/>
  <c r="AD413" i="49"/>
  <c r="T413" i="49"/>
  <c r="AB409" i="49"/>
  <c r="AD409" i="49"/>
  <c r="T409" i="49"/>
  <c r="BE476" i="49"/>
  <c r="CB302" i="49"/>
  <c r="CB137" i="49"/>
  <c r="CB228" i="49"/>
  <c r="CB257" i="49"/>
  <c r="CB258" i="49"/>
  <c r="BF329" i="49"/>
  <c r="BG329" i="49"/>
  <c r="BH329" i="49"/>
  <c r="BE423" i="49"/>
  <c r="CB176" i="49"/>
  <c r="CB407" i="49"/>
  <c r="BF332" i="49"/>
  <c r="BG332" i="49"/>
  <c r="CV97" i="49"/>
  <c r="AB338" i="49"/>
  <c r="AD338" i="49"/>
  <c r="T338" i="49"/>
  <c r="CY381" i="49"/>
  <c r="CY397" i="49"/>
  <c r="AB97" i="49"/>
  <c r="AD97" i="49"/>
  <c r="T97" i="49"/>
  <c r="CY432" i="49"/>
  <c r="AB487" i="49"/>
  <c r="AD487" i="49"/>
  <c r="T487" i="49"/>
  <c r="AB478" i="49"/>
  <c r="AD478" i="49"/>
  <c r="T478" i="49"/>
  <c r="BE237" i="49"/>
  <c r="CY476" i="49"/>
  <c r="BE398" i="49"/>
  <c r="AB332" i="49"/>
  <c r="AD332" i="49"/>
  <c r="T332" i="49"/>
  <c r="AB325" i="49"/>
  <c r="AD325" i="49"/>
  <c r="T325" i="49"/>
  <c r="AB139" i="49"/>
  <c r="AD139" i="49"/>
  <c r="T139" i="49"/>
  <c r="AB200" i="49"/>
  <c r="AD200" i="49"/>
  <c r="T200" i="49"/>
  <c r="AB160" i="49"/>
  <c r="AD160" i="49"/>
  <c r="T160" i="49"/>
  <c r="AB219" i="49"/>
  <c r="AD219" i="49"/>
  <c r="T219" i="49"/>
  <c r="AB266" i="49"/>
  <c r="AD266" i="49"/>
  <c r="T266" i="49"/>
  <c r="AB193" i="49"/>
  <c r="AD193" i="49"/>
  <c r="T193" i="49"/>
  <c r="AB164" i="49"/>
  <c r="AD164" i="49"/>
  <c r="T164" i="49"/>
  <c r="AB307" i="49"/>
  <c r="AD307" i="49"/>
  <c r="T307" i="49"/>
  <c r="AB262" i="49"/>
  <c r="AD262" i="49"/>
  <c r="T262" i="49"/>
  <c r="AB169" i="49"/>
  <c r="AD169" i="49"/>
  <c r="T169" i="49"/>
  <c r="AB217" i="49"/>
  <c r="AD217" i="49"/>
  <c r="T217" i="49"/>
  <c r="AB299" i="49"/>
  <c r="AD299" i="49"/>
  <c r="T299" i="49"/>
  <c r="AB134" i="49"/>
  <c r="AD134" i="49"/>
  <c r="T134" i="49"/>
  <c r="AB137" i="49"/>
  <c r="AD137" i="49"/>
  <c r="T137" i="49"/>
  <c r="AB123" i="49"/>
  <c r="AD123" i="49"/>
  <c r="T123" i="49"/>
  <c r="AB104" i="49"/>
  <c r="AD104" i="49"/>
  <c r="T104" i="49"/>
  <c r="AB122" i="49"/>
  <c r="AD122" i="49"/>
  <c r="T122" i="49"/>
  <c r="AB112" i="49"/>
  <c r="AD112" i="49"/>
  <c r="T112" i="49"/>
  <c r="AB98" i="49"/>
  <c r="AD98" i="49"/>
  <c r="T98" i="49"/>
  <c r="AB130" i="49"/>
  <c r="AD130" i="49"/>
  <c r="T130" i="49"/>
  <c r="CY168" i="49"/>
  <c r="CY289" i="49"/>
  <c r="CY291" i="49"/>
  <c r="BB59" i="49"/>
  <c r="BY25" i="49"/>
  <c r="BY30" i="49"/>
  <c r="BY32" i="49"/>
  <c r="BY21" i="49"/>
  <c r="BY27" i="49"/>
  <c r="BY51" i="49"/>
  <c r="AB59" i="49"/>
  <c r="AD59" i="49"/>
  <c r="T59" i="49"/>
  <c r="CB263" i="49"/>
  <c r="CB297" i="49"/>
  <c r="CB175" i="49"/>
  <c r="CB193" i="49"/>
  <c r="CB221" i="49"/>
  <c r="BY97" i="49"/>
  <c r="CB345" i="49"/>
  <c r="CB371" i="49"/>
  <c r="CB53" i="49"/>
  <c r="AE8" i="49"/>
  <c r="P459" i="49"/>
  <c r="AL532" i="46"/>
  <c r="P460" i="49"/>
  <c r="AL530" i="46"/>
  <c r="P440" i="49"/>
  <c r="AL529" i="46"/>
  <c r="P445" i="49"/>
  <c r="AL521" i="46"/>
  <c r="AL555" i="46"/>
  <c r="P469" i="49"/>
  <c r="AL549" i="46"/>
  <c r="P474" i="49"/>
  <c r="AL547" i="46"/>
  <c r="P473" i="49"/>
  <c r="AL552" i="46"/>
  <c r="CV36" i="49"/>
  <c r="BB446" i="49"/>
  <c r="BB453" i="49"/>
  <c r="BB445" i="49"/>
  <c r="BB451" i="49"/>
  <c r="BB462" i="49"/>
  <c r="BD462" i="49"/>
  <c r="BC462" i="49"/>
  <c r="BB463" i="49"/>
  <c r="BB438" i="49"/>
  <c r="CV460" i="49"/>
  <c r="CV443" i="49"/>
  <c r="CV444" i="49"/>
  <c r="CV446" i="49"/>
  <c r="CV441" i="49"/>
  <c r="CV473" i="49"/>
  <c r="CX466" i="49"/>
  <c r="CV466" i="49"/>
  <c r="CW466" i="49"/>
  <c r="CV467" i="49"/>
  <c r="CX467" i="49"/>
  <c r="CW467" i="49"/>
  <c r="CV438" i="49"/>
  <c r="AB488" i="49"/>
  <c r="AD488" i="49"/>
  <c r="T488" i="49"/>
  <c r="AB314" i="49"/>
  <c r="AD314" i="49"/>
  <c r="T314" i="49"/>
  <c r="AB481" i="49"/>
  <c r="AD481" i="49"/>
  <c r="T481" i="49"/>
  <c r="BE182" i="49"/>
  <c r="BE263" i="49"/>
  <c r="BB334" i="49"/>
  <c r="BE392" i="49"/>
  <c r="BE397" i="49"/>
  <c r="AB322" i="49"/>
  <c r="AD322" i="49"/>
  <c r="T322" i="49"/>
  <c r="AB291" i="49"/>
  <c r="AD291" i="49"/>
  <c r="T291" i="49"/>
  <c r="AB246" i="49"/>
  <c r="AD246" i="49"/>
  <c r="T246" i="49"/>
  <c r="AB157" i="49"/>
  <c r="AD157" i="49"/>
  <c r="T157" i="49"/>
  <c r="AB168" i="49"/>
  <c r="AD168" i="49"/>
  <c r="T168" i="49"/>
  <c r="AB267" i="49"/>
  <c r="AD267" i="49"/>
  <c r="T267" i="49"/>
  <c r="AB185" i="49"/>
  <c r="AD185" i="49"/>
  <c r="T185" i="49"/>
  <c r="AB305" i="49"/>
  <c r="AD305" i="49"/>
  <c r="T305" i="49"/>
  <c r="AB304" i="49"/>
  <c r="AD304" i="49"/>
  <c r="T304" i="49"/>
  <c r="AB232" i="49"/>
  <c r="AD232" i="49"/>
  <c r="T232" i="49"/>
  <c r="AB148" i="49"/>
  <c r="AD148" i="49"/>
  <c r="T148" i="49"/>
  <c r="AB113" i="49"/>
  <c r="AD113" i="49"/>
  <c r="T113" i="49"/>
  <c r="AB84" i="49"/>
  <c r="AD84" i="49"/>
  <c r="T84" i="49"/>
  <c r="AB77" i="49"/>
  <c r="AD77" i="49"/>
  <c r="T77" i="49"/>
  <c r="AB89" i="49"/>
  <c r="AD89" i="49"/>
  <c r="T89" i="49"/>
  <c r="AB119" i="49"/>
  <c r="AD119" i="49"/>
  <c r="T119" i="49"/>
  <c r="AB126" i="49"/>
  <c r="AD126" i="49"/>
  <c r="T126" i="49"/>
  <c r="CY345" i="49"/>
  <c r="CY287" i="49"/>
  <c r="CY223" i="49"/>
  <c r="CY246" i="49"/>
  <c r="AB433" i="49"/>
  <c r="AD433" i="49"/>
  <c r="T433" i="49"/>
  <c r="AB58" i="49"/>
  <c r="AD58" i="49"/>
  <c r="T58" i="49"/>
  <c r="CB177" i="49"/>
  <c r="CB229" i="49"/>
  <c r="CB213" i="49"/>
  <c r="CZ327" i="49"/>
  <c r="DA327" i="49"/>
  <c r="DB327" i="49"/>
  <c r="AB380" i="49"/>
  <c r="AD380" i="49"/>
  <c r="T380" i="49"/>
  <c r="AB371" i="49"/>
  <c r="AD371" i="49"/>
  <c r="T371" i="49"/>
  <c r="AB398" i="49"/>
  <c r="AD398" i="49"/>
  <c r="T398" i="49"/>
  <c r="AB369" i="49"/>
  <c r="AD369" i="49"/>
  <c r="T369" i="49"/>
  <c r="CV21" i="49"/>
  <c r="CX21" i="49"/>
  <c r="CW21" i="49"/>
  <c r="CV37" i="49"/>
  <c r="CV17" i="49"/>
  <c r="CV24" i="49"/>
  <c r="CX40" i="49"/>
  <c r="CV40" i="49"/>
  <c r="CW40" i="49"/>
  <c r="BE424" i="49"/>
  <c r="BE418" i="49"/>
  <c r="CB403" i="49"/>
  <c r="CB46" i="49"/>
  <c r="CY371" i="49"/>
  <c r="CY396" i="49"/>
  <c r="CY353" i="49"/>
  <c r="CY431" i="49"/>
  <c r="BE193" i="49"/>
  <c r="BE391" i="49"/>
  <c r="BE394" i="49"/>
  <c r="AI45" i="46"/>
  <c r="Q38" i="49"/>
  <c r="AY38" i="49"/>
  <c r="BA38" i="49"/>
  <c r="AI46" i="46"/>
  <c r="Q40" i="49"/>
  <c r="AY40" i="49"/>
  <c r="BA40" i="49"/>
  <c r="AI48" i="46"/>
  <c r="AI578" i="46"/>
  <c r="Q496" i="49"/>
  <c r="AY496" i="49"/>
  <c r="BA496" i="49"/>
  <c r="AI47" i="46"/>
  <c r="Q51" i="49"/>
  <c r="AY51" i="49"/>
  <c r="BA51" i="49"/>
  <c r="AI44" i="46"/>
  <c r="Q39" i="49"/>
  <c r="AY39" i="49"/>
  <c r="BA39" i="49"/>
  <c r="AI23" i="46"/>
  <c r="Q23" i="49"/>
  <c r="AY23" i="49"/>
  <c r="BA23" i="49"/>
  <c r="AI31" i="46"/>
  <c r="Q37" i="49"/>
  <c r="AY37" i="49"/>
  <c r="BA37" i="49"/>
  <c r="AI32" i="46"/>
  <c r="Q27" i="49"/>
  <c r="AY27" i="49"/>
  <c r="BA27" i="49"/>
  <c r="AI26" i="46"/>
  <c r="Q30" i="49"/>
  <c r="AY30" i="49"/>
  <c r="BA30" i="49"/>
  <c r="AI30" i="46"/>
  <c r="Q33" i="49"/>
  <c r="AY33" i="49"/>
  <c r="BA33" i="49"/>
  <c r="AI41" i="46"/>
  <c r="Q26" i="49"/>
  <c r="AY26" i="49"/>
  <c r="BA26" i="49"/>
  <c r="AI39" i="46"/>
  <c r="Q31" i="49"/>
  <c r="AY31" i="49"/>
  <c r="BA31" i="49"/>
  <c r="AI40" i="46"/>
  <c r="Q25" i="49"/>
  <c r="AY25" i="49"/>
  <c r="BA25" i="49"/>
  <c r="AI35" i="46"/>
  <c r="Q19" i="49"/>
  <c r="AY19" i="49"/>
  <c r="BA19" i="49"/>
  <c r="AI37" i="46"/>
  <c r="Q20" i="49"/>
  <c r="AY20" i="49"/>
  <c r="BA20" i="49"/>
  <c r="AI24" i="46"/>
  <c r="Q22" i="49"/>
  <c r="AY22" i="49"/>
  <c r="BA22" i="49"/>
  <c r="AI27" i="46"/>
  <c r="Q32" i="49"/>
  <c r="AY32" i="49"/>
  <c r="BA32" i="49"/>
  <c r="AI38" i="46"/>
  <c r="Q21" i="49"/>
  <c r="AY21" i="49"/>
  <c r="BA21" i="49"/>
  <c r="AI28" i="46"/>
  <c r="Q35" i="49"/>
  <c r="AY35" i="49"/>
  <c r="BA35" i="49"/>
  <c r="AI36" i="46"/>
  <c r="Q18" i="49"/>
  <c r="AI33" i="46"/>
  <c r="Q24" i="49"/>
  <c r="AY24" i="49"/>
  <c r="BA24" i="49"/>
  <c r="AI22" i="46"/>
  <c r="CY231" i="49"/>
  <c r="CY285" i="49"/>
  <c r="CY212" i="49"/>
  <c r="CY206" i="49"/>
  <c r="AB406" i="49"/>
  <c r="AD406" i="49"/>
  <c r="T406" i="49"/>
  <c r="AB418" i="49"/>
  <c r="AD418" i="49"/>
  <c r="T418" i="49"/>
  <c r="AE14" i="49"/>
  <c r="AB54" i="49"/>
  <c r="AD54" i="49"/>
  <c r="T54" i="49"/>
  <c r="CY417" i="49"/>
  <c r="CB276" i="49"/>
  <c r="CB230" i="49"/>
  <c r="CB287" i="49"/>
  <c r="AE15" i="49"/>
  <c r="BY448" i="49"/>
  <c r="CA443" i="49"/>
  <c r="BY443" i="49"/>
  <c r="BZ443" i="49"/>
  <c r="BY439" i="49"/>
  <c r="BY453" i="49"/>
  <c r="BY456" i="49"/>
  <c r="CA456" i="49"/>
  <c r="BZ456" i="49"/>
  <c r="BY469" i="49"/>
  <c r="CA469" i="49"/>
  <c r="BZ469" i="49"/>
  <c r="BY461" i="49"/>
  <c r="BY464" i="49"/>
  <c r="CA464" i="49"/>
  <c r="BZ464" i="49"/>
  <c r="AB387" i="49"/>
  <c r="AD387" i="49"/>
  <c r="T387" i="49"/>
  <c r="AB392" i="49"/>
  <c r="AD392" i="49"/>
  <c r="T392" i="49"/>
  <c r="AB365" i="49"/>
  <c r="AD365" i="49"/>
  <c r="T365" i="49"/>
  <c r="AB383" i="49"/>
  <c r="AD383" i="49"/>
  <c r="T383" i="49"/>
  <c r="AB382" i="49"/>
  <c r="AD382" i="49"/>
  <c r="T382" i="49"/>
  <c r="AB357" i="49"/>
  <c r="AD357" i="49"/>
  <c r="T357" i="49"/>
  <c r="CB381" i="49"/>
  <c r="BE176" i="49"/>
  <c r="CB41" i="49"/>
  <c r="AB340" i="49"/>
  <c r="AD340" i="49"/>
  <c r="T340" i="49"/>
  <c r="BD479" i="49"/>
  <c r="BB479" i="49"/>
  <c r="BC479" i="49"/>
  <c r="CY398" i="49"/>
  <c r="CY364" i="49"/>
  <c r="AB477" i="49"/>
  <c r="AD477" i="49"/>
  <c r="T477" i="49"/>
  <c r="AE334" i="49"/>
  <c r="BE289" i="49"/>
  <c r="BB97" i="49"/>
  <c r="CB71" i="49"/>
  <c r="AL465" i="46"/>
  <c r="AE12" i="49"/>
  <c r="BE369" i="49"/>
  <c r="BE387" i="49"/>
  <c r="AB323" i="49"/>
  <c r="AD323" i="49"/>
  <c r="T323" i="49"/>
  <c r="AB183" i="49"/>
  <c r="AD183" i="49"/>
  <c r="T183" i="49"/>
  <c r="AB218" i="49"/>
  <c r="AD218" i="49"/>
  <c r="T218" i="49"/>
  <c r="AB302" i="49"/>
  <c r="AD302" i="49"/>
  <c r="T302" i="49"/>
  <c r="AB282" i="49"/>
  <c r="AD282" i="49"/>
  <c r="T282" i="49"/>
  <c r="AB196" i="49"/>
  <c r="AD196" i="49"/>
  <c r="T196" i="49"/>
  <c r="AB263" i="49"/>
  <c r="AD263" i="49"/>
  <c r="T263" i="49"/>
  <c r="AB308" i="49"/>
  <c r="AD308" i="49"/>
  <c r="T308" i="49"/>
  <c r="AB190" i="49"/>
  <c r="AD190" i="49"/>
  <c r="T190" i="49"/>
  <c r="AB247" i="49"/>
  <c r="AD247" i="49"/>
  <c r="T247" i="49"/>
  <c r="AB264" i="49"/>
  <c r="AD264" i="49"/>
  <c r="T264" i="49"/>
  <c r="AB288" i="49"/>
  <c r="AD288" i="49"/>
  <c r="T288" i="49"/>
  <c r="AB149" i="49"/>
  <c r="AD149" i="49"/>
  <c r="T149" i="49"/>
  <c r="AB179" i="49"/>
  <c r="AD179" i="49"/>
  <c r="T179" i="49"/>
  <c r="AB233" i="49"/>
  <c r="AD233" i="49"/>
  <c r="T233" i="49"/>
  <c r="AB255" i="49"/>
  <c r="AD255" i="49"/>
  <c r="T255" i="49"/>
  <c r="AB346" i="49"/>
  <c r="AD346" i="49"/>
  <c r="T346" i="49"/>
  <c r="AB296" i="49"/>
  <c r="AD296" i="49"/>
  <c r="T296" i="49"/>
  <c r="AB221" i="49"/>
  <c r="AD221" i="49"/>
  <c r="T221" i="49"/>
  <c r="AB207" i="49"/>
  <c r="AD207" i="49"/>
  <c r="T207" i="49"/>
  <c r="AB158" i="49"/>
  <c r="AD158" i="49"/>
  <c r="T158" i="49"/>
  <c r="AB76" i="49"/>
  <c r="AD76" i="49"/>
  <c r="T76" i="49"/>
  <c r="AB251" i="49"/>
  <c r="AD251" i="49"/>
  <c r="T251" i="49"/>
  <c r="AB120" i="49"/>
  <c r="AD120" i="49"/>
  <c r="T120" i="49"/>
  <c r="AB118" i="49"/>
  <c r="AD118" i="49"/>
  <c r="T118" i="49"/>
  <c r="AB110" i="49"/>
  <c r="AD110" i="49"/>
  <c r="T110" i="49"/>
  <c r="AB94" i="49"/>
  <c r="AD94" i="49"/>
  <c r="T94" i="49"/>
  <c r="AB116" i="49"/>
  <c r="AD116" i="49"/>
  <c r="T116" i="49"/>
  <c r="AB131" i="49"/>
  <c r="AD131" i="49"/>
  <c r="T131" i="49"/>
  <c r="CY344" i="49"/>
  <c r="CY244" i="49"/>
  <c r="CY213" i="49"/>
  <c r="CB328" i="49"/>
  <c r="BE488" i="49"/>
  <c r="AB434" i="49"/>
  <c r="AD434" i="49"/>
  <c r="T434" i="49"/>
  <c r="AB57" i="49"/>
  <c r="AD57" i="49"/>
  <c r="T57" i="49"/>
  <c r="CY422" i="49"/>
  <c r="CY405" i="49"/>
  <c r="CY63" i="49"/>
  <c r="CB231" i="49"/>
  <c r="CB264" i="49"/>
  <c r="AB395" i="49"/>
  <c r="AD395" i="49"/>
  <c r="T395" i="49"/>
  <c r="AB348" i="49"/>
  <c r="AD348" i="49"/>
  <c r="T348" i="49"/>
  <c r="AB372" i="49"/>
  <c r="AD372" i="49"/>
  <c r="T372" i="49"/>
  <c r="AB393" i="49"/>
  <c r="AD393" i="49"/>
  <c r="T393" i="49"/>
  <c r="AB367" i="49"/>
  <c r="AD367" i="49"/>
  <c r="T367" i="49"/>
  <c r="AB352" i="49"/>
  <c r="AD352" i="49"/>
  <c r="T352" i="49"/>
  <c r="AB356" i="49"/>
  <c r="AD356" i="49"/>
  <c r="T356" i="49"/>
  <c r="CB369" i="49"/>
  <c r="AB44" i="49"/>
  <c r="AD44" i="49"/>
  <c r="T44" i="49"/>
  <c r="CA355" i="49"/>
  <c r="BY355" i="49"/>
  <c r="BZ355" i="49"/>
  <c r="BH332" i="49"/>
  <c r="DA332" i="49"/>
  <c r="DB332" i="49"/>
  <c r="CZ332" i="49"/>
  <c r="CY374" i="49"/>
  <c r="CY362" i="49"/>
  <c r="BE202" i="49"/>
  <c r="BE288" i="49"/>
  <c r="BE287" i="49"/>
  <c r="CY62" i="49"/>
  <c r="BY68" i="49"/>
  <c r="BE371" i="49"/>
  <c r="AB290" i="49"/>
  <c r="AD290" i="49"/>
  <c r="T290" i="49"/>
  <c r="AB301" i="49"/>
  <c r="AD301" i="49"/>
  <c r="T301" i="49"/>
  <c r="AB278" i="49"/>
  <c r="AD278" i="49"/>
  <c r="T278" i="49"/>
  <c r="AB248" i="49"/>
  <c r="AD248" i="49"/>
  <c r="T248" i="49"/>
  <c r="AB236" i="49"/>
  <c r="AD236" i="49"/>
  <c r="T236" i="49"/>
  <c r="AB229" i="49"/>
  <c r="AD229" i="49"/>
  <c r="T229" i="49"/>
  <c r="AB254" i="49"/>
  <c r="AD254" i="49"/>
  <c r="T254" i="49"/>
  <c r="AB256" i="49"/>
  <c r="AD256" i="49"/>
  <c r="T256" i="49"/>
  <c r="CY288" i="49"/>
  <c r="CY182" i="49"/>
  <c r="CY151" i="49"/>
  <c r="CY242" i="49"/>
  <c r="CY216" i="49"/>
  <c r="AB403" i="49"/>
  <c r="AD403" i="49"/>
  <c r="T403" i="49"/>
  <c r="AB414" i="49"/>
  <c r="AD414" i="49"/>
  <c r="T414" i="49"/>
  <c r="AB411" i="49"/>
  <c r="AD411" i="49"/>
  <c r="T411" i="49"/>
  <c r="BY20" i="49"/>
  <c r="BY33" i="49"/>
  <c r="BY18" i="49"/>
  <c r="CA34" i="49"/>
  <c r="BY34" i="49"/>
  <c r="BZ34" i="49"/>
  <c r="BY39" i="49"/>
  <c r="BY38" i="49"/>
  <c r="AB60" i="49"/>
  <c r="AD60" i="49"/>
  <c r="T60" i="49"/>
  <c r="CY416" i="49"/>
  <c r="CY71" i="49"/>
  <c r="CB255" i="49"/>
  <c r="CB216" i="49"/>
  <c r="CB288" i="49"/>
  <c r="BX5" i="49"/>
  <c r="AB376" i="49"/>
  <c r="AD376" i="49"/>
  <c r="T376" i="49"/>
  <c r="AB401" i="49"/>
  <c r="AD401" i="49"/>
  <c r="T401" i="49"/>
  <c r="AB379" i="49"/>
  <c r="AD379" i="49"/>
  <c r="T379" i="49"/>
  <c r="AB400" i="49"/>
  <c r="AD400" i="49"/>
  <c r="T400" i="49"/>
  <c r="AB374" i="49"/>
  <c r="AD374" i="49"/>
  <c r="T374" i="49"/>
  <c r="AB358" i="49"/>
  <c r="AD358" i="49"/>
  <c r="T358" i="49"/>
  <c r="AB364" i="49"/>
  <c r="AD364" i="49"/>
  <c r="T364" i="49"/>
  <c r="CB362" i="49"/>
  <c r="BE405" i="49"/>
  <c r="AB46" i="49"/>
  <c r="AD46" i="49"/>
  <c r="T46" i="49"/>
  <c r="AB63" i="49"/>
  <c r="AD63" i="49"/>
  <c r="T63" i="49"/>
  <c r="CB426" i="49"/>
  <c r="CB417" i="49"/>
  <c r="P444" i="49"/>
  <c r="AL523" i="46"/>
  <c r="P452" i="49"/>
  <c r="AL520" i="46"/>
  <c r="P447" i="49"/>
  <c r="AL533" i="46"/>
  <c r="P442" i="49"/>
  <c r="AL535" i="46"/>
  <c r="P453" i="49"/>
  <c r="AL527" i="46"/>
  <c r="P461" i="49"/>
  <c r="AL545" i="46"/>
  <c r="P438" i="49"/>
  <c r="AL551" i="46"/>
  <c r="P462" i="49"/>
  <c r="AL542" i="46"/>
  <c r="P174" i="49"/>
  <c r="AL550" i="46"/>
  <c r="AB337" i="49"/>
  <c r="AD337" i="49"/>
  <c r="T337" i="49"/>
  <c r="CY378" i="49"/>
  <c r="CY369" i="49"/>
  <c r="CY402" i="49"/>
  <c r="CV355" i="49"/>
  <c r="CX355" i="49"/>
  <c r="CW355" i="49"/>
  <c r="Q457" i="49"/>
  <c r="AY457" i="49"/>
  <c r="BA457" i="49"/>
  <c r="AI557" i="46"/>
  <c r="BB452" i="49"/>
  <c r="BB460" i="49"/>
  <c r="BB458" i="49"/>
  <c r="BB472" i="49"/>
  <c r="BB174" i="49"/>
  <c r="BB464" i="49"/>
  <c r="BB473" i="49"/>
  <c r="CV442" i="49"/>
  <c r="CV450" i="49"/>
  <c r="CV451" i="49"/>
  <c r="CV440" i="49"/>
  <c r="CV452" i="49"/>
  <c r="CX452" i="49"/>
  <c r="CW452" i="49"/>
  <c r="CV474" i="49"/>
  <c r="CX474" i="49"/>
  <c r="CW474" i="49"/>
  <c r="CV461" i="49"/>
  <c r="CV468" i="49"/>
  <c r="CV463" i="49"/>
  <c r="BE239" i="49"/>
  <c r="BE98" i="49"/>
  <c r="AB485" i="49"/>
  <c r="AD485" i="49"/>
  <c r="T485" i="49"/>
  <c r="CV48" i="49"/>
  <c r="BE309" i="49"/>
  <c r="BE269" i="49"/>
  <c r="BE291" i="49"/>
  <c r="AE68" i="49"/>
  <c r="AB315" i="49"/>
  <c r="AD315" i="49"/>
  <c r="T315" i="49"/>
  <c r="AB138" i="49"/>
  <c r="AD138" i="49"/>
  <c r="T138" i="49"/>
  <c r="AB245" i="49"/>
  <c r="AD245" i="49"/>
  <c r="T245" i="49"/>
  <c r="AB228" i="49"/>
  <c r="AD228" i="49"/>
  <c r="T228" i="49"/>
  <c r="AB143" i="49"/>
  <c r="AD143" i="49"/>
  <c r="T143" i="49"/>
  <c r="AB156" i="49"/>
  <c r="AD156" i="49"/>
  <c r="T156" i="49"/>
  <c r="AB243" i="49"/>
  <c r="AD243" i="49"/>
  <c r="T243" i="49"/>
  <c r="AB194" i="49"/>
  <c r="AD194" i="49"/>
  <c r="T194" i="49"/>
  <c r="AB212" i="49"/>
  <c r="AD212" i="49"/>
  <c r="T212" i="49"/>
  <c r="AB154" i="49"/>
  <c r="AD154" i="49"/>
  <c r="T154" i="49"/>
  <c r="AB208" i="49"/>
  <c r="AD208" i="49"/>
  <c r="T208" i="49"/>
  <c r="AB273" i="49"/>
  <c r="AD273" i="49"/>
  <c r="T273" i="49"/>
  <c r="AB242" i="49"/>
  <c r="AD242" i="49"/>
  <c r="T242" i="49"/>
  <c r="AB88" i="49"/>
  <c r="AD88" i="49"/>
  <c r="T88" i="49"/>
  <c r="BE255" i="49"/>
  <c r="BE285" i="49"/>
  <c r="AE355" i="49"/>
  <c r="AG355" i="49"/>
  <c r="AF355" i="49"/>
  <c r="AE11" i="49"/>
  <c r="CY488" i="49"/>
  <c r="CY477" i="49"/>
  <c r="BE389" i="49"/>
  <c r="CY228" i="49"/>
  <c r="CY171" i="49"/>
  <c r="CY283" i="49"/>
  <c r="CY236" i="49"/>
  <c r="CY193" i="49"/>
  <c r="BV16" i="49"/>
  <c r="BX16" i="49"/>
  <c r="T16" i="49"/>
  <c r="AB425" i="49"/>
  <c r="AD425" i="49"/>
  <c r="T425" i="49"/>
  <c r="AB407" i="49"/>
  <c r="AD407" i="49"/>
  <c r="T407" i="49"/>
  <c r="AB404" i="49"/>
  <c r="AD404" i="49"/>
  <c r="T404" i="49"/>
  <c r="CY429" i="49"/>
  <c r="CB294" i="49"/>
  <c r="CB289" i="49"/>
  <c r="AB396" i="49"/>
  <c r="AD396" i="49"/>
  <c r="T396" i="49"/>
  <c r="AB362" i="49"/>
  <c r="AD362" i="49"/>
  <c r="T362" i="49"/>
  <c r="CB375" i="49"/>
  <c r="CV34" i="49"/>
  <c r="CX34" i="49"/>
  <c r="CW34" i="49"/>
  <c r="CV33" i="49"/>
  <c r="CV32" i="49"/>
  <c r="CX32" i="49"/>
  <c r="CW32" i="49"/>
  <c r="CV23" i="49"/>
  <c r="CV30" i="49"/>
  <c r="CV51" i="49"/>
  <c r="BE415" i="49"/>
  <c r="AB52" i="49"/>
  <c r="AD52" i="49"/>
  <c r="T52" i="49"/>
  <c r="BY334" i="49"/>
  <c r="AB65" i="49"/>
  <c r="AD65" i="49"/>
  <c r="T65" i="49"/>
  <c r="CB411" i="49"/>
  <c r="CB416" i="49"/>
  <c r="BY435" i="49"/>
  <c r="BG46" i="49"/>
  <c r="BH46" i="49"/>
  <c r="BF46" i="49"/>
  <c r="AB343" i="49"/>
  <c r="AD343" i="49"/>
  <c r="T343" i="49"/>
  <c r="AB335" i="49"/>
  <c r="AD335" i="49"/>
  <c r="T335" i="49"/>
  <c r="BB435" i="49"/>
  <c r="AB476" i="49"/>
  <c r="AD476" i="49"/>
  <c r="T476" i="49"/>
  <c r="AL575" i="46"/>
  <c r="AE435" i="49"/>
  <c r="AB329" i="49"/>
  <c r="AD329" i="49"/>
  <c r="T329" i="49"/>
  <c r="AB313" i="49"/>
  <c r="AD313" i="49"/>
  <c r="T313" i="49"/>
  <c r="AB211" i="49"/>
  <c r="AD211" i="49"/>
  <c r="T211" i="49"/>
  <c r="AB140" i="49"/>
  <c r="AD140" i="49"/>
  <c r="T140" i="49"/>
  <c r="AB250" i="49"/>
  <c r="AD250" i="49"/>
  <c r="T250" i="49"/>
  <c r="AB188" i="49"/>
  <c r="AD188" i="49"/>
  <c r="T188" i="49"/>
  <c r="AB165" i="49"/>
  <c r="AD165" i="49"/>
  <c r="T165" i="49"/>
  <c r="AB195" i="49"/>
  <c r="AD195" i="49"/>
  <c r="T195" i="49"/>
  <c r="AB170" i="49"/>
  <c r="AD170" i="49"/>
  <c r="T170" i="49"/>
  <c r="AB275" i="49"/>
  <c r="AD275" i="49"/>
  <c r="T275" i="49"/>
  <c r="AB237" i="49"/>
  <c r="AD237" i="49"/>
  <c r="T237" i="49"/>
  <c r="AB231" i="49"/>
  <c r="AD231" i="49"/>
  <c r="T231" i="49"/>
  <c r="AB306" i="49"/>
  <c r="AD306" i="49"/>
  <c r="T306" i="49"/>
  <c r="AB162" i="49"/>
  <c r="AD162" i="49"/>
  <c r="T162" i="49"/>
  <c r="AB206" i="49"/>
  <c r="AD206" i="49"/>
  <c r="T206" i="49"/>
  <c r="AB265" i="49"/>
  <c r="AD265" i="49"/>
  <c r="T265" i="49"/>
  <c r="AB225" i="49"/>
  <c r="AD225" i="49"/>
  <c r="T225" i="49"/>
  <c r="AB272" i="49"/>
  <c r="AD272" i="49"/>
  <c r="T272" i="49"/>
  <c r="AB210" i="49"/>
  <c r="AD210" i="49"/>
  <c r="T210" i="49"/>
  <c r="AB177" i="49"/>
  <c r="AD177" i="49"/>
  <c r="T177" i="49"/>
  <c r="AB276" i="49"/>
  <c r="AD276" i="49"/>
  <c r="T276" i="49"/>
  <c r="AB198" i="49"/>
  <c r="AD198" i="49"/>
  <c r="T198" i="49"/>
  <c r="AB260" i="49"/>
  <c r="AD260" i="49"/>
  <c r="T260" i="49"/>
  <c r="AB161" i="49"/>
  <c r="AD161" i="49"/>
  <c r="T161" i="49"/>
  <c r="AB128" i="49"/>
  <c r="AD128" i="49"/>
  <c r="T128" i="49"/>
  <c r="AB81" i="49"/>
  <c r="AD81" i="49"/>
  <c r="T81" i="49"/>
  <c r="AB99" i="49"/>
  <c r="AD99" i="49"/>
  <c r="T99" i="49"/>
  <c r="AB87" i="49"/>
  <c r="AD87" i="49"/>
  <c r="T87" i="49"/>
  <c r="AB105" i="49"/>
  <c r="AD105" i="49"/>
  <c r="T105" i="49"/>
  <c r="AB106" i="49"/>
  <c r="AD106" i="49"/>
  <c r="T106" i="49"/>
  <c r="AB102" i="49"/>
  <c r="AD102" i="49"/>
  <c r="T102" i="49"/>
  <c r="CY232" i="49"/>
  <c r="CY263" i="49"/>
  <c r="CY255" i="49"/>
  <c r="CY284" i="49"/>
  <c r="CY270" i="49"/>
  <c r="CY226" i="49"/>
  <c r="CY276" i="49"/>
  <c r="CB332" i="49"/>
  <c r="AB427" i="49"/>
  <c r="AD427" i="49"/>
  <c r="T427" i="49"/>
  <c r="AB436" i="49"/>
  <c r="AD436" i="49"/>
  <c r="T436" i="49"/>
  <c r="CY424" i="49"/>
  <c r="CB309" i="49"/>
  <c r="CB272" i="49"/>
  <c r="CB168" i="49"/>
  <c r="CB202" i="49"/>
  <c r="CB223" i="49"/>
  <c r="BY452" i="49"/>
  <c r="CA452" i="49"/>
  <c r="BZ452" i="49"/>
  <c r="BY447" i="49"/>
  <c r="BY458" i="49"/>
  <c r="BY460" i="49"/>
  <c r="BY472" i="49"/>
  <c r="CA472" i="49"/>
  <c r="BZ472" i="49"/>
  <c r="BY463" i="49"/>
  <c r="CA463" i="49"/>
  <c r="BZ463" i="49"/>
  <c r="BY467" i="49"/>
  <c r="BY468" i="49"/>
  <c r="CB62" i="49"/>
  <c r="CB488" i="49"/>
  <c r="CB370" i="49"/>
  <c r="CB389" i="49"/>
  <c r="CB364" i="49"/>
  <c r="AB49" i="49"/>
  <c r="AD49" i="49"/>
  <c r="T49" i="49"/>
  <c r="AB45" i="49"/>
  <c r="AD45" i="49"/>
  <c r="T45" i="49"/>
  <c r="AB67" i="49"/>
  <c r="AD67" i="49"/>
  <c r="T67" i="49"/>
  <c r="CY370" i="49"/>
  <c r="BE284" i="49"/>
  <c r="CY482" i="49"/>
  <c r="BE374" i="49"/>
  <c r="CY237" i="49"/>
  <c r="CY259" i="49"/>
  <c r="AB424" i="49"/>
  <c r="AD424" i="49"/>
  <c r="T424" i="49"/>
  <c r="AB176" i="49"/>
  <c r="AD176" i="49"/>
  <c r="T176" i="49"/>
  <c r="AB410" i="49"/>
  <c r="AD410" i="49"/>
  <c r="T410" i="49"/>
  <c r="AB405" i="49"/>
  <c r="AD405" i="49"/>
  <c r="T405" i="49"/>
  <c r="CY176" i="49"/>
  <c r="CB286" i="49"/>
  <c r="CB283" i="49"/>
  <c r="CB238" i="49"/>
  <c r="CB347" i="49"/>
  <c r="CB415" i="49"/>
  <c r="AB344" i="49"/>
  <c r="AD344" i="49"/>
  <c r="T344" i="49"/>
  <c r="AB339" i="49"/>
  <c r="AD339" i="49"/>
  <c r="T339" i="49"/>
  <c r="CY394" i="49"/>
  <c r="AB480" i="49"/>
  <c r="AD480" i="49"/>
  <c r="T480" i="49"/>
  <c r="T48" i="49"/>
  <c r="BE177" i="49"/>
  <c r="T419" i="49"/>
  <c r="BE345" i="49"/>
  <c r="DA328" i="49"/>
  <c r="DB328" i="49"/>
  <c r="CZ328" i="49"/>
  <c r="CY483" i="49"/>
  <c r="AB328" i="49"/>
  <c r="AD328" i="49"/>
  <c r="T328" i="49"/>
  <c r="AL383" i="46"/>
  <c r="AB181" i="49"/>
  <c r="AD181" i="49"/>
  <c r="T181" i="49"/>
  <c r="AB201" i="49"/>
  <c r="AD201" i="49"/>
  <c r="T201" i="49"/>
  <c r="AB182" i="49"/>
  <c r="AD182" i="49"/>
  <c r="T182" i="49"/>
  <c r="AB303" i="49"/>
  <c r="AD303" i="49"/>
  <c r="T303" i="49"/>
  <c r="AB189" i="49"/>
  <c r="AD189" i="49"/>
  <c r="T189" i="49"/>
  <c r="AB261" i="49"/>
  <c r="AD261" i="49"/>
  <c r="T261" i="49"/>
  <c r="AB238" i="49"/>
  <c r="AD238" i="49"/>
  <c r="T238" i="49"/>
  <c r="AB135" i="49"/>
  <c r="AD135" i="49"/>
  <c r="T135" i="49"/>
  <c r="AB223" i="49"/>
  <c r="AD223" i="49"/>
  <c r="T223" i="49"/>
  <c r="AB171" i="49"/>
  <c r="AD171" i="49"/>
  <c r="T171" i="49"/>
  <c r="AB259" i="49"/>
  <c r="AD259" i="49"/>
  <c r="T259" i="49"/>
  <c r="AB270" i="49"/>
  <c r="AD270" i="49"/>
  <c r="T270" i="49"/>
  <c r="AB173" i="49"/>
  <c r="AD173" i="49"/>
  <c r="T173" i="49"/>
  <c r="AB144" i="49"/>
  <c r="AD144" i="49"/>
  <c r="T144" i="49"/>
  <c r="AB83" i="49"/>
  <c r="AD83" i="49"/>
  <c r="T83" i="49"/>
  <c r="AB90" i="49"/>
  <c r="AD90" i="49"/>
  <c r="T90" i="49"/>
  <c r="AB125" i="49"/>
  <c r="AD125" i="49"/>
  <c r="T125" i="49"/>
  <c r="AB108" i="49"/>
  <c r="AD108" i="49"/>
  <c r="T108" i="49"/>
  <c r="AB129" i="49"/>
  <c r="AD129" i="49"/>
  <c r="T129" i="49"/>
  <c r="AB117" i="49"/>
  <c r="AD117" i="49"/>
  <c r="T117" i="49"/>
  <c r="AB103" i="49"/>
  <c r="AD103" i="49"/>
  <c r="T103" i="49"/>
  <c r="AH45" i="46"/>
  <c r="AH47" i="46"/>
  <c r="AH46" i="46"/>
  <c r="AH48" i="46"/>
  <c r="AH44" i="46"/>
  <c r="AH31" i="46"/>
  <c r="AH40" i="46"/>
  <c r="AH23" i="46"/>
  <c r="AH27" i="46"/>
  <c r="AH38" i="46"/>
  <c r="AH41" i="46"/>
  <c r="AH29" i="46"/>
  <c r="AH34" i="46"/>
  <c r="AH30" i="46"/>
  <c r="AH37" i="46"/>
  <c r="AH24" i="46"/>
  <c r="AH26" i="46"/>
  <c r="AH35" i="46"/>
  <c r="AH32" i="46"/>
  <c r="AH33" i="46"/>
  <c r="AH39" i="46"/>
  <c r="AH36" i="46"/>
  <c r="AH28" i="46"/>
  <c r="AH22" i="46"/>
  <c r="CY258" i="49"/>
  <c r="CY294" i="49"/>
  <c r="AE13" i="49"/>
  <c r="AB432" i="49"/>
  <c r="AD432" i="49"/>
  <c r="T432" i="49"/>
  <c r="BY23" i="49"/>
  <c r="BY17" i="49"/>
  <c r="BY19" i="49"/>
  <c r="BY35" i="49"/>
  <c r="CY420" i="49"/>
  <c r="BB355" i="49"/>
  <c r="CB284" i="49"/>
  <c r="CB269" i="49"/>
  <c r="CB147" i="49"/>
  <c r="BE422" i="49"/>
  <c r="BE407" i="49"/>
  <c r="P451" i="49"/>
  <c r="AL522" i="46"/>
  <c r="P458" i="49"/>
  <c r="AL524" i="46"/>
  <c r="P439" i="49"/>
  <c r="AL534" i="46"/>
  <c r="P441" i="49"/>
  <c r="AL526" i="46"/>
  <c r="P448" i="49"/>
  <c r="AL537" i="46"/>
  <c r="P467" i="49"/>
  <c r="AL554" i="46"/>
  <c r="P464" i="49"/>
  <c r="AL546" i="46"/>
  <c r="P468" i="49"/>
  <c r="AL540" i="46"/>
  <c r="P475" i="49"/>
  <c r="AL539" i="46"/>
  <c r="CY375" i="49"/>
  <c r="BB443" i="49"/>
  <c r="BB442" i="49"/>
  <c r="BB447" i="49"/>
  <c r="BB448" i="49"/>
  <c r="BB474" i="49"/>
  <c r="BB461" i="49"/>
  <c r="BB465" i="49"/>
  <c r="BB468" i="49"/>
  <c r="CV456" i="49"/>
  <c r="CX456" i="49"/>
  <c r="CW456" i="49"/>
  <c r="CV458" i="49"/>
  <c r="CV447" i="49"/>
  <c r="CV459" i="49"/>
  <c r="CX459" i="49"/>
  <c r="CW459" i="49"/>
  <c r="CV472" i="49"/>
  <c r="CX472" i="49"/>
  <c r="CW472" i="49"/>
  <c r="CV462" i="49"/>
  <c r="CX462" i="49"/>
  <c r="CW462" i="49"/>
  <c r="CV464" i="49"/>
  <c r="CX464" i="49"/>
  <c r="CW464" i="49"/>
  <c r="CV174" i="49"/>
  <c r="AB482" i="49"/>
  <c r="AD482" i="49"/>
  <c r="T482" i="49"/>
  <c r="BE381" i="49"/>
  <c r="AB227" i="49"/>
  <c r="AD227" i="49"/>
  <c r="T227" i="49"/>
  <c r="AB142" i="49"/>
  <c r="AD142" i="49"/>
  <c r="T142" i="49"/>
  <c r="AB286" i="49"/>
  <c r="AD286" i="49"/>
  <c r="T286" i="49"/>
  <c r="AB155" i="49"/>
  <c r="AD155" i="49"/>
  <c r="T155" i="49"/>
  <c r="AB271" i="49"/>
  <c r="AD271" i="49"/>
  <c r="T271" i="49"/>
  <c r="AB241" i="49"/>
  <c r="AD241" i="49"/>
  <c r="T241" i="49"/>
  <c r="AB136" i="49"/>
  <c r="AD136" i="49"/>
  <c r="T136" i="49"/>
  <c r="AB244" i="49"/>
  <c r="AD244" i="49"/>
  <c r="T244" i="49"/>
  <c r="AB159" i="49"/>
  <c r="AD159" i="49"/>
  <c r="T159" i="49"/>
  <c r="AB5" i="49"/>
  <c r="T5" i="49"/>
  <c r="AB222" i="49"/>
  <c r="AD222" i="49"/>
  <c r="T222" i="49"/>
  <c r="AB101" i="49"/>
  <c r="AD101" i="49"/>
  <c r="T101" i="49"/>
  <c r="AB80" i="49"/>
  <c r="AD80" i="49"/>
  <c r="T80" i="49"/>
  <c r="AB79" i="49"/>
  <c r="AD79" i="49"/>
  <c r="T79" i="49"/>
  <c r="CY202" i="49"/>
  <c r="CY221" i="49"/>
  <c r="AB61" i="49"/>
  <c r="AD61" i="49"/>
  <c r="T61" i="49"/>
  <c r="CY406" i="49"/>
  <c r="CB285" i="49"/>
  <c r="CB244" i="49"/>
  <c r="AB378" i="49"/>
  <c r="AD378" i="49"/>
  <c r="T378" i="49"/>
  <c r="AB402" i="49"/>
  <c r="AD402" i="49"/>
  <c r="T402" i="49"/>
  <c r="AB368" i="49"/>
  <c r="AD368" i="49"/>
  <c r="T368" i="49"/>
  <c r="AB397" i="49"/>
  <c r="AD397" i="49"/>
  <c r="T397" i="49"/>
  <c r="CB399" i="49"/>
  <c r="CB376" i="49"/>
  <c r="CB397" i="49"/>
  <c r="CV25" i="49"/>
  <c r="CX25" i="49"/>
  <c r="CW25" i="49"/>
  <c r="CV19" i="49"/>
  <c r="CV35" i="49"/>
  <c r="CX35" i="49"/>
  <c r="CW35" i="49"/>
  <c r="CV18" i="49"/>
  <c r="CX18" i="49"/>
  <c r="CW18" i="49"/>
  <c r="CV20" i="49"/>
  <c r="CV38" i="49"/>
  <c r="BE406" i="49"/>
  <c r="CB429" i="49"/>
  <c r="CB405" i="49"/>
  <c r="BB6" i="49"/>
  <c r="CV68" i="49"/>
  <c r="AB479" i="49"/>
  <c r="AD479" i="49"/>
  <c r="T479" i="49"/>
  <c r="BE232" i="49"/>
  <c r="BE105" i="49"/>
  <c r="BE344" i="49"/>
  <c r="BE367" i="49"/>
  <c r="CY347" i="49"/>
  <c r="CY264" i="49"/>
  <c r="CY147" i="49"/>
  <c r="CY280" i="49"/>
  <c r="CY273" i="49"/>
  <c r="CY181" i="49"/>
  <c r="CY177" i="49"/>
  <c r="AB423" i="49"/>
  <c r="AD423" i="49"/>
  <c r="T423" i="49"/>
  <c r="AB412" i="49"/>
  <c r="AD412" i="49"/>
  <c r="T412" i="49"/>
  <c r="AB415" i="49"/>
  <c r="AD415" i="49"/>
  <c r="T415" i="49"/>
  <c r="AE6" i="49"/>
  <c r="AB56" i="49"/>
  <c r="AD56" i="49"/>
  <c r="T56" i="49"/>
  <c r="CY421" i="49"/>
  <c r="CB181" i="49"/>
  <c r="CB236" i="49"/>
  <c r="CB151" i="49"/>
  <c r="CB304" i="49"/>
  <c r="CB254" i="49"/>
  <c r="CB80" i="49"/>
  <c r="BF327" i="49"/>
  <c r="BG327" i="49"/>
  <c r="BH327" i="49"/>
  <c r="AE9" i="49"/>
  <c r="BY442" i="49"/>
  <c r="BY445" i="49"/>
  <c r="BY451" i="49"/>
  <c r="BY441" i="49"/>
  <c r="BY473" i="49"/>
  <c r="BY474" i="49"/>
  <c r="CA474" i="49"/>
  <c r="BZ474" i="49"/>
  <c r="BY475" i="49"/>
  <c r="BY466" i="49"/>
  <c r="CA466" i="49"/>
  <c r="BZ466" i="49"/>
  <c r="AB377" i="49"/>
  <c r="AD377" i="49"/>
  <c r="T377" i="49"/>
  <c r="AB375" i="49"/>
  <c r="AD375" i="49"/>
  <c r="T375" i="49"/>
  <c r="AB394" i="49"/>
  <c r="AD394" i="49"/>
  <c r="T394" i="49"/>
  <c r="AB388" i="49"/>
  <c r="AD388" i="49"/>
  <c r="T388" i="49"/>
  <c r="AB389" i="49"/>
  <c r="AD389" i="49"/>
  <c r="T389" i="49"/>
  <c r="AB359" i="49"/>
  <c r="AD359" i="49"/>
  <c r="T359" i="49"/>
  <c r="AB354" i="49"/>
  <c r="AD354" i="49"/>
  <c r="T354" i="49"/>
  <c r="CB344" i="49"/>
  <c r="BE403" i="49"/>
  <c r="BE421" i="49"/>
  <c r="CB424" i="49"/>
  <c r="CB421" i="49"/>
  <c r="AE10" i="49"/>
  <c r="AB347" i="49"/>
  <c r="AD347" i="49"/>
  <c r="T347" i="49"/>
  <c r="AB342" i="49"/>
  <c r="AD342" i="49"/>
  <c r="T342" i="49"/>
  <c r="CY391" i="49"/>
  <c r="CY359" i="49"/>
  <c r="CV435" i="49"/>
  <c r="AB484" i="49"/>
  <c r="AD484" i="49"/>
  <c r="T484" i="49"/>
  <c r="BE147" i="49"/>
  <c r="BE273" i="49"/>
  <c r="AL97" i="46"/>
  <c r="R36" i="49"/>
  <c r="BV36" i="49"/>
  <c r="BX36" i="49"/>
  <c r="AJ50" i="46"/>
  <c r="AJ582" i="46"/>
  <c r="BE396" i="49"/>
  <c r="AB317" i="49"/>
  <c r="AD317" i="49"/>
  <c r="T317" i="49"/>
  <c r="AB180" i="49"/>
  <c r="AD180" i="49"/>
  <c r="T180" i="49"/>
  <c r="AB294" i="49"/>
  <c r="AD294" i="49"/>
  <c r="T294" i="49"/>
  <c r="AB226" i="49"/>
  <c r="AD226" i="49"/>
  <c r="T226" i="49"/>
  <c r="AB205" i="49"/>
  <c r="AD205" i="49"/>
  <c r="T205" i="49"/>
  <c r="AB284" i="49"/>
  <c r="AD284" i="49"/>
  <c r="T284" i="49"/>
  <c r="AB268" i="49"/>
  <c r="AD268" i="49"/>
  <c r="T268" i="49"/>
  <c r="AB209" i="49"/>
  <c r="AD209" i="49"/>
  <c r="T209" i="49"/>
  <c r="AB186" i="49"/>
  <c r="AD186" i="49"/>
  <c r="T186" i="49"/>
  <c r="AB141" i="49"/>
  <c r="AD141" i="49"/>
  <c r="T141" i="49"/>
  <c r="AB166" i="49"/>
  <c r="AD166" i="49"/>
  <c r="T166" i="49"/>
  <c r="AB293" i="49"/>
  <c r="AD293" i="49"/>
  <c r="T293" i="49"/>
  <c r="AB163" i="49"/>
  <c r="AD163" i="49"/>
  <c r="T163" i="49"/>
  <c r="AB287" i="49"/>
  <c r="AD287" i="49"/>
  <c r="T287" i="49"/>
  <c r="AB192" i="49"/>
  <c r="AD192" i="49"/>
  <c r="T192" i="49"/>
  <c r="AB281" i="49"/>
  <c r="AD281" i="49"/>
  <c r="T281" i="49"/>
  <c r="AB292" i="49"/>
  <c r="AD292" i="49"/>
  <c r="T292" i="49"/>
  <c r="AB216" i="49"/>
  <c r="AD216" i="49"/>
  <c r="T216" i="49"/>
  <c r="AB285" i="49"/>
  <c r="AD285" i="49"/>
  <c r="T285" i="49"/>
  <c r="AB297" i="49"/>
  <c r="AD297" i="49"/>
  <c r="T297" i="49"/>
  <c r="AB213" i="49"/>
  <c r="AD213" i="49"/>
  <c r="T213" i="49"/>
  <c r="AB172" i="49"/>
  <c r="AD172" i="49"/>
  <c r="T172" i="49"/>
  <c r="AB235" i="49"/>
  <c r="AD235" i="49"/>
  <c r="T235" i="49"/>
  <c r="AB82" i="49"/>
  <c r="AD82" i="49"/>
  <c r="T82" i="49"/>
  <c r="AB86" i="49"/>
  <c r="AD86" i="49"/>
  <c r="T86" i="49"/>
  <c r="AB114" i="49"/>
  <c r="AD114" i="49"/>
  <c r="T114" i="49"/>
  <c r="AB107" i="49"/>
  <c r="AD107" i="49"/>
  <c r="T107" i="49"/>
  <c r="AB127" i="49"/>
  <c r="AD127" i="49"/>
  <c r="T127" i="49"/>
  <c r="AB100" i="49"/>
  <c r="AD100" i="49"/>
  <c r="T100" i="49"/>
  <c r="AB91" i="49"/>
  <c r="AD91" i="49"/>
  <c r="T91" i="49"/>
  <c r="BF328" i="49"/>
  <c r="BG328" i="49"/>
  <c r="BH328" i="49"/>
  <c r="CV334" i="49"/>
  <c r="CY239" i="49"/>
  <c r="CY286" i="49"/>
  <c r="CU5" i="49"/>
  <c r="CY304" i="49"/>
  <c r="AB431" i="49"/>
  <c r="AD431" i="49"/>
  <c r="T431" i="49"/>
  <c r="AB62" i="49"/>
  <c r="AD62" i="49"/>
  <c r="T62" i="49"/>
  <c r="CY407" i="49"/>
  <c r="CB171" i="49"/>
  <c r="CB237" i="49"/>
  <c r="AB399" i="49"/>
  <c r="AD399" i="49"/>
  <c r="T399" i="49"/>
  <c r="AB390" i="49"/>
  <c r="AD390" i="49"/>
  <c r="T390" i="49"/>
  <c r="AB370" i="49"/>
  <c r="AD370" i="49"/>
  <c r="T370" i="49"/>
  <c r="AB381" i="49"/>
  <c r="AD381" i="49"/>
  <c r="T381" i="49"/>
  <c r="AB152" i="49"/>
  <c r="AD152" i="49"/>
  <c r="T152" i="49"/>
  <c r="AB353" i="49"/>
  <c r="AD353" i="49"/>
  <c r="T353" i="49"/>
  <c r="CB480" i="49"/>
  <c r="CB359" i="49"/>
  <c r="BE417" i="49"/>
  <c r="AB53" i="49"/>
  <c r="AD53" i="49"/>
  <c r="T53" i="49"/>
  <c r="AB42" i="49"/>
  <c r="AD42" i="49"/>
  <c r="T42" i="49"/>
  <c r="AB64" i="49"/>
  <c r="AD64" i="49"/>
  <c r="T64" i="49"/>
  <c r="CY376" i="49"/>
  <c r="CY389" i="49"/>
  <c r="AL358" i="46"/>
  <c r="AE48" i="49"/>
  <c r="BE270" i="49"/>
  <c r="AE419" i="49"/>
  <c r="AG419" i="49"/>
  <c r="AF419" i="49"/>
  <c r="CV59" i="49"/>
  <c r="BE401" i="49"/>
  <c r="AB318" i="49"/>
  <c r="AD318" i="49"/>
  <c r="T318" i="49"/>
  <c r="AB239" i="49"/>
  <c r="AD239" i="49"/>
  <c r="T239" i="49"/>
  <c r="AB310" i="49"/>
  <c r="AD310" i="49"/>
  <c r="T310" i="49"/>
  <c r="AB311" i="49"/>
  <c r="AD311" i="49"/>
  <c r="T311" i="49"/>
  <c r="AB295" i="49"/>
  <c r="AD295" i="49"/>
  <c r="T295" i="49"/>
  <c r="AB202" i="49"/>
  <c r="AD202" i="49"/>
  <c r="T202" i="49"/>
  <c r="AB230" i="49"/>
  <c r="AD230" i="49"/>
  <c r="T230" i="49"/>
  <c r="AB279" i="49"/>
  <c r="AD279" i="49"/>
  <c r="T279" i="49"/>
  <c r="AB150" i="49"/>
  <c r="AD150" i="49"/>
  <c r="T150" i="49"/>
  <c r="CY175" i="49"/>
  <c r="AB429" i="49"/>
  <c r="AD429" i="49"/>
  <c r="T429" i="49"/>
  <c r="AB153" i="49"/>
  <c r="AD153" i="49"/>
  <c r="T153" i="49"/>
  <c r="AB420" i="49"/>
  <c r="AD420" i="49"/>
  <c r="T420" i="49"/>
  <c r="AB408" i="49"/>
  <c r="AD408" i="49"/>
  <c r="T408" i="49"/>
  <c r="BY22" i="49"/>
  <c r="CA22" i="49"/>
  <c r="BZ22" i="49"/>
  <c r="BY37" i="49"/>
  <c r="BY24" i="49"/>
  <c r="BY31" i="49"/>
  <c r="BY26" i="49"/>
  <c r="BY40" i="49"/>
  <c r="CA40" i="49"/>
  <c r="BZ40" i="49"/>
  <c r="AB55" i="49"/>
  <c r="AD55" i="49"/>
  <c r="T55" i="49"/>
  <c r="AL83" i="46"/>
  <c r="CB206" i="49"/>
  <c r="AE7" i="49"/>
  <c r="AB373" i="49"/>
  <c r="AD373" i="49"/>
  <c r="T373" i="49"/>
  <c r="AB391" i="49"/>
  <c r="AD391" i="49"/>
  <c r="T391" i="49"/>
  <c r="AB384" i="49"/>
  <c r="AD384" i="49"/>
  <c r="T384" i="49"/>
  <c r="AB366" i="49"/>
  <c r="AD366" i="49"/>
  <c r="T366" i="49"/>
  <c r="AB386" i="49"/>
  <c r="AD386" i="49"/>
  <c r="T386" i="49"/>
  <c r="AB349" i="49"/>
  <c r="AD349" i="49"/>
  <c r="T349" i="49"/>
  <c r="CB391" i="49"/>
  <c r="CB396" i="49"/>
  <c r="CB353" i="49"/>
  <c r="BY479" i="49"/>
  <c r="CA479" i="49"/>
  <c r="BZ479" i="49"/>
  <c r="AB66" i="49"/>
  <c r="AD66" i="49"/>
  <c r="T66" i="49"/>
  <c r="CB418" i="49"/>
  <c r="P446" i="49"/>
  <c r="AL528" i="46"/>
  <c r="P443" i="49"/>
  <c r="AL531" i="46"/>
  <c r="P456" i="49"/>
  <c r="AL525" i="46"/>
  <c r="P450" i="49"/>
  <c r="AL536" i="46"/>
  <c r="P472" i="49"/>
  <c r="AL538" i="46"/>
  <c r="P463" i="49"/>
  <c r="AL553" i="46"/>
  <c r="P466" i="49"/>
  <c r="AL543" i="46"/>
  <c r="P465" i="49"/>
  <c r="AL541" i="46"/>
  <c r="AB333" i="49"/>
  <c r="AD333" i="49"/>
  <c r="T333" i="49"/>
  <c r="AB336" i="49"/>
  <c r="AD336" i="49"/>
  <c r="T336" i="49"/>
  <c r="CY399" i="49"/>
  <c r="AK50" i="46"/>
  <c r="BB440" i="49"/>
  <c r="BB459" i="49"/>
  <c r="BB444" i="49"/>
  <c r="BB456" i="49"/>
  <c r="BB467" i="49"/>
  <c r="BB469" i="49"/>
  <c r="BD469" i="49"/>
  <c r="BC469" i="49"/>
  <c r="BB466" i="49"/>
  <c r="S457" i="49"/>
  <c r="CS457" i="49"/>
  <c r="CU457" i="49"/>
  <c r="AK557" i="46"/>
  <c r="CV453" i="49"/>
  <c r="CV445" i="49"/>
  <c r="CV439" i="49"/>
  <c r="CV448" i="49"/>
  <c r="CV465" i="49"/>
  <c r="CX465" i="49"/>
  <c r="CW465" i="49"/>
  <c r="CV475" i="49"/>
  <c r="CV469" i="49"/>
  <c r="CX469" i="49"/>
  <c r="CW469" i="49"/>
  <c r="AK582" i="46"/>
  <c r="AJ2" i="46"/>
  <c r="AJ607" i="46"/>
  <c r="BI327" i="49"/>
  <c r="BI328" i="49"/>
  <c r="AB465" i="49"/>
  <c r="AD465" i="49"/>
  <c r="T465" i="49"/>
  <c r="AB450" i="49"/>
  <c r="AD450" i="49"/>
  <c r="T450" i="49"/>
  <c r="CD418" i="49"/>
  <c r="CC418" i="49"/>
  <c r="CY469" i="49"/>
  <c r="CD396" i="49"/>
  <c r="CE396" i="49"/>
  <c r="CC396" i="49"/>
  <c r="AE349" i="49"/>
  <c r="AE366" i="49"/>
  <c r="AE391" i="49"/>
  <c r="AG391" i="49"/>
  <c r="AF391" i="49"/>
  <c r="CB40" i="49"/>
  <c r="AE420" i="49"/>
  <c r="AE429" i="49"/>
  <c r="AG429" i="49"/>
  <c r="AF429" i="49"/>
  <c r="AE150" i="49"/>
  <c r="AE230" i="49"/>
  <c r="AG230" i="49"/>
  <c r="AF230" i="49"/>
  <c r="AE295" i="49"/>
  <c r="AE310" i="49"/>
  <c r="AE318" i="49"/>
  <c r="CZ389" i="49"/>
  <c r="DA389" i="49"/>
  <c r="DB389" i="49"/>
  <c r="AE64" i="49"/>
  <c r="AE53" i="49"/>
  <c r="AG53" i="49"/>
  <c r="AF53" i="49"/>
  <c r="CC359" i="49"/>
  <c r="CD359" i="49"/>
  <c r="CE359" i="49"/>
  <c r="AE353" i="49"/>
  <c r="AE381" i="49"/>
  <c r="AG381" i="49"/>
  <c r="AF381" i="49"/>
  <c r="AE390" i="49"/>
  <c r="CC237" i="49"/>
  <c r="CD237" i="49"/>
  <c r="CE237" i="49"/>
  <c r="AE431" i="49"/>
  <c r="AG431" i="49"/>
  <c r="AF431" i="49"/>
  <c r="CS500" i="49"/>
  <c r="CS2" i="49"/>
  <c r="BG147" i="49"/>
  <c r="BH147" i="49"/>
  <c r="BF147" i="49"/>
  <c r="AE484" i="49"/>
  <c r="CC421" i="49"/>
  <c r="CD421" i="49"/>
  <c r="CE421" i="49"/>
  <c r="CC344" i="49"/>
  <c r="CD344" i="49"/>
  <c r="CE344" i="49"/>
  <c r="AE359" i="49"/>
  <c r="AG359" i="49"/>
  <c r="AF359" i="49"/>
  <c r="AE388" i="49"/>
  <c r="AE375" i="49"/>
  <c r="AG375" i="49"/>
  <c r="AF375" i="49"/>
  <c r="CB466" i="49"/>
  <c r="AE412" i="49"/>
  <c r="DA273" i="49"/>
  <c r="DB273" i="49"/>
  <c r="CZ273" i="49"/>
  <c r="DA147" i="49"/>
  <c r="DB147" i="49"/>
  <c r="CZ147" i="49"/>
  <c r="DA347" i="49"/>
  <c r="DB347" i="49"/>
  <c r="CZ347" i="49"/>
  <c r="BG344" i="49"/>
  <c r="BH344" i="49"/>
  <c r="BF344" i="49"/>
  <c r="BF232" i="49"/>
  <c r="BG232" i="49"/>
  <c r="BH232" i="49"/>
  <c r="CY25" i="49"/>
  <c r="CZ221" i="49"/>
  <c r="DA221" i="49"/>
  <c r="DB221" i="49"/>
  <c r="AE159" i="49"/>
  <c r="AE136" i="49"/>
  <c r="AE271" i="49"/>
  <c r="AE286" i="49"/>
  <c r="AG286" i="49"/>
  <c r="AF286" i="49"/>
  <c r="AE227" i="49"/>
  <c r="AE482" i="49"/>
  <c r="CY462" i="49"/>
  <c r="CC269" i="49"/>
  <c r="CD269" i="49"/>
  <c r="DA258" i="49"/>
  <c r="CZ258" i="49"/>
  <c r="P31" i="49"/>
  <c r="AL39" i="46"/>
  <c r="P30" i="49"/>
  <c r="AL26" i="46"/>
  <c r="P17" i="49"/>
  <c r="AL34" i="46"/>
  <c r="P32" i="49"/>
  <c r="AL27" i="46"/>
  <c r="P39" i="49"/>
  <c r="AL44" i="46"/>
  <c r="P38" i="49"/>
  <c r="AL45" i="46"/>
  <c r="AE117" i="49"/>
  <c r="AE108" i="49"/>
  <c r="AE90" i="49"/>
  <c r="AE144" i="49"/>
  <c r="AE270" i="49"/>
  <c r="AG270" i="49"/>
  <c r="AF270" i="49"/>
  <c r="AE171" i="49"/>
  <c r="AG171" i="49"/>
  <c r="AF171" i="49"/>
  <c r="AE135" i="49"/>
  <c r="AE261" i="49"/>
  <c r="AE303" i="49"/>
  <c r="AE201" i="49"/>
  <c r="BF177" i="49"/>
  <c r="BG177" i="49"/>
  <c r="BH177" i="49"/>
  <c r="DA394" i="49"/>
  <c r="CZ394" i="49"/>
  <c r="CC415" i="49"/>
  <c r="CD415" i="49"/>
  <c r="CE415" i="49"/>
  <c r="CC283" i="49"/>
  <c r="CD283" i="49"/>
  <c r="DA176" i="49"/>
  <c r="CZ176" i="49"/>
  <c r="AE410" i="49"/>
  <c r="AE424" i="49"/>
  <c r="AG424" i="49"/>
  <c r="AF424" i="49"/>
  <c r="S500" i="49"/>
  <c r="AE67" i="49"/>
  <c r="AE49" i="49"/>
  <c r="CC389" i="49"/>
  <c r="CD389" i="49"/>
  <c r="CE389" i="49"/>
  <c r="CC223" i="49"/>
  <c r="CD223" i="49"/>
  <c r="CE223" i="49"/>
  <c r="CC168" i="49"/>
  <c r="CD168" i="49"/>
  <c r="CE168" i="49"/>
  <c r="CC309" i="49"/>
  <c r="CD309" i="49"/>
  <c r="CE309" i="49"/>
  <c r="AE436" i="49"/>
  <c r="CC332" i="49"/>
  <c r="CD332" i="49"/>
  <c r="CE332" i="49"/>
  <c r="DA226" i="49"/>
  <c r="DB226" i="49"/>
  <c r="CZ226" i="49"/>
  <c r="CZ284" i="49"/>
  <c r="DA284" i="49"/>
  <c r="DB284" i="49"/>
  <c r="DA263" i="49"/>
  <c r="DB263" i="49"/>
  <c r="CZ263" i="49"/>
  <c r="AE102" i="49"/>
  <c r="AE105" i="49"/>
  <c r="AE99" i="49"/>
  <c r="AE128" i="49"/>
  <c r="AE260" i="49"/>
  <c r="AG260" i="49"/>
  <c r="AF260" i="49"/>
  <c r="AE276" i="49"/>
  <c r="AG276" i="49"/>
  <c r="AF276" i="49"/>
  <c r="AE210" i="49"/>
  <c r="AG210" i="49"/>
  <c r="AF210" i="49"/>
  <c r="AE225" i="49"/>
  <c r="AE206" i="49"/>
  <c r="AG206" i="49"/>
  <c r="AF206" i="49"/>
  <c r="AE306" i="49"/>
  <c r="AE237" i="49"/>
  <c r="AG237" i="49"/>
  <c r="AF237" i="49"/>
  <c r="AE170" i="49"/>
  <c r="AE165" i="49"/>
  <c r="AE250" i="49"/>
  <c r="AE211" i="49"/>
  <c r="AG211" i="49"/>
  <c r="AF211" i="49"/>
  <c r="AE329" i="49"/>
  <c r="AG329" i="49"/>
  <c r="AF329" i="49"/>
  <c r="CD411" i="49"/>
  <c r="CE411" i="49"/>
  <c r="CC411" i="49"/>
  <c r="BF415" i="49"/>
  <c r="BG415" i="49"/>
  <c r="BH415" i="49"/>
  <c r="CY32" i="49"/>
  <c r="CC289" i="49"/>
  <c r="CD289" i="49"/>
  <c r="CE289" i="49"/>
  <c r="AE407" i="49"/>
  <c r="AG407" i="49"/>
  <c r="AF407" i="49"/>
  <c r="BY16" i="49"/>
  <c r="DA236" i="49"/>
  <c r="DB236" i="49"/>
  <c r="CZ236" i="49"/>
  <c r="DA171" i="49"/>
  <c r="DB171" i="49"/>
  <c r="CZ171" i="49"/>
  <c r="BF389" i="49"/>
  <c r="BG389" i="49"/>
  <c r="BH389" i="49"/>
  <c r="DA488" i="49"/>
  <c r="DB488" i="49"/>
  <c r="CZ488" i="49"/>
  <c r="BF285" i="49"/>
  <c r="BG285" i="49"/>
  <c r="BH285" i="49"/>
  <c r="AE88" i="49"/>
  <c r="AE273" i="49"/>
  <c r="AG273" i="49"/>
  <c r="AF273" i="49"/>
  <c r="AE154" i="49"/>
  <c r="AE194" i="49"/>
  <c r="AE156" i="49"/>
  <c r="AE228" i="49"/>
  <c r="AG228" i="49"/>
  <c r="AF228" i="49"/>
  <c r="AE138" i="49"/>
  <c r="BF291" i="49"/>
  <c r="BG291" i="49"/>
  <c r="BH291" i="49"/>
  <c r="BF269" i="49"/>
  <c r="BG269" i="49"/>
  <c r="BH269" i="49"/>
  <c r="AE485" i="49"/>
  <c r="CY452" i="49"/>
  <c r="BB457" i="49"/>
  <c r="CZ402" i="49"/>
  <c r="DA402" i="49"/>
  <c r="DB402" i="49"/>
  <c r="CA5" i="49"/>
  <c r="BX500" i="49"/>
  <c r="BX2" i="49"/>
  <c r="BY5" i="49"/>
  <c r="BZ5" i="49"/>
  <c r="CZ151" i="49"/>
  <c r="DA151" i="49"/>
  <c r="DB151" i="49"/>
  <c r="CZ288" i="49"/>
  <c r="DA288" i="49"/>
  <c r="DA62" i="49"/>
  <c r="DB62" i="49"/>
  <c r="CZ62" i="49"/>
  <c r="BF288" i="49"/>
  <c r="BG288" i="49"/>
  <c r="BI332" i="49"/>
  <c r="CB355" i="49"/>
  <c r="AE352" i="49"/>
  <c r="AE393" i="49"/>
  <c r="AE348" i="49"/>
  <c r="CC264" i="49"/>
  <c r="CD264" i="49"/>
  <c r="DA422" i="49"/>
  <c r="CZ422" i="49"/>
  <c r="AE434" i="49"/>
  <c r="CC328" i="49"/>
  <c r="CD328" i="49"/>
  <c r="DA244" i="49"/>
  <c r="DB244" i="49"/>
  <c r="CZ244" i="49"/>
  <c r="AE131" i="49"/>
  <c r="AE94" i="49"/>
  <c r="AE118" i="49"/>
  <c r="AE251" i="49"/>
  <c r="AG251" i="49"/>
  <c r="AF251" i="49"/>
  <c r="AE158" i="49"/>
  <c r="AE221" i="49"/>
  <c r="AG221" i="49"/>
  <c r="AF221" i="49"/>
  <c r="AE346" i="49"/>
  <c r="AE233" i="49"/>
  <c r="AE149" i="49"/>
  <c r="AE264" i="49"/>
  <c r="AG264" i="49"/>
  <c r="AF264" i="49"/>
  <c r="AE190" i="49"/>
  <c r="AE263" i="49"/>
  <c r="AG263" i="49"/>
  <c r="AF263" i="49"/>
  <c r="AE282" i="49"/>
  <c r="AG282" i="49"/>
  <c r="AF282" i="49"/>
  <c r="AE218" i="49"/>
  <c r="AE323" i="49"/>
  <c r="BF369" i="49"/>
  <c r="BG369" i="49"/>
  <c r="BH369" i="49"/>
  <c r="BF289" i="49"/>
  <c r="BG289" i="49"/>
  <c r="BG176" i="49"/>
  <c r="BF176" i="49"/>
  <c r="CB443" i="49"/>
  <c r="CC276" i="49"/>
  <c r="CD276" i="49"/>
  <c r="CE276" i="49"/>
  <c r="DA417" i="49"/>
  <c r="DB417" i="49"/>
  <c r="CZ417" i="49"/>
  <c r="AE418" i="49"/>
  <c r="AG418" i="49"/>
  <c r="AF418" i="49"/>
  <c r="CZ206" i="49"/>
  <c r="DA206" i="49"/>
  <c r="DB206" i="49"/>
  <c r="DA231" i="49"/>
  <c r="CZ231" i="49"/>
  <c r="AY18" i="49"/>
  <c r="BB22" i="49"/>
  <c r="BB31" i="49"/>
  <c r="BB27" i="49"/>
  <c r="BB51" i="49"/>
  <c r="BF391" i="49"/>
  <c r="BG391" i="49"/>
  <c r="BH391" i="49"/>
  <c r="CY21" i="49"/>
  <c r="AE398" i="49"/>
  <c r="AG398" i="49"/>
  <c r="AF398" i="49"/>
  <c r="AE380" i="49"/>
  <c r="CC177" i="49"/>
  <c r="CD177" i="49"/>
  <c r="AE433" i="49"/>
  <c r="CZ345" i="49"/>
  <c r="DA345" i="49"/>
  <c r="DB345" i="49"/>
  <c r="BF392" i="49"/>
  <c r="BG392" i="49"/>
  <c r="BH392" i="49"/>
  <c r="BF182" i="49"/>
  <c r="BG182" i="49"/>
  <c r="BH182" i="49"/>
  <c r="AE481" i="49"/>
  <c r="CY467" i="49"/>
  <c r="CY466" i="49"/>
  <c r="AB440" i="49"/>
  <c r="AD440" i="49"/>
  <c r="T440" i="49"/>
  <c r="AB459" i="49"/>
  <c r="AD459" i="49"/>
  <c r="T459" i="49"/>
  <c r="CC193" i="49"/>
  <c r="CD193" i="49"/>
  <c r="AE59" i="49"/>
  <c r="AE478" i="49"/>
  <c r="DA432" i="49"/>
  <c r="CZ432" i="49"/>
  <c r="CZ397" i="49"/>
  <c r="DA397" i="49"/>
  <c r="DB397" i="49"/>
  <c r="CC137" i="49"/>
  <c r="CD137" i="49"/>
  <c r="CC302" i="49"/>
  <c r="CD302" i="49"/>
  <c r="CE302" i="49"/>
  <c r="DA309" i="49"/>
  <c r="DB309" i="49"/>
  <c r="CZ309" i="49"/>
  <c r="AE326" i="49"/>
  <c r="BF370" i="49"/>
  <c r="BG370" i="49"/>
  <c r="BF244" i="49"/>
  <c r="BG244" i="49"/>
  <c r="BF181" i="49"/>
  <c r="BG181" i="49"/>
  <c r="CC422" i="49"/>
  <c r="CD422" i="49"/>
  <c r="CB462" i="49"/>
  <c r="CB440" i="49"/>
  <c r="CC239" i="49"/>
  <c r="CD239" i="49"/>
  <c r="AE426" i="49"/>
  <c r="AG426" i="49"/>
  <c r="AF426" i="49"/>
  <c r="DA229" i="49"/>
  <c r="CZ229" i="49"/>
  <c r="AE121" i="49"/>
  <c r="AE115" i="49"/>
  <c r="AE92" i="49"/>
  <c r="AE133" i="49"/>
  <c r="AE147" i="49"/>
  <c r="AG147" i="49"/>
  <c r="AF147" i="49"/>
  <c r="AE280" i="49"/>
  <c r="AG280" i="49"/>
  <c r="AF280" i="49"/>
  <c r="AE199" i="49"/>
  <c r="AE253" i="49"/>
  <c r="AE257" i="49"/>
  <c r="AG257" i="49"/>
  <c r="AF257" i="49"/>
  <c r="AE145" i="49"/>
  <c r="AE214" i="49"/>
  <c r="AE300" i="49"/>
  <c r="AG300" i="49"/>
  <c r="AF300" i="49"/>
  <c r="AE258" i="49"/>
  <c r="AG258" i="49"/>
  <c r="AF258" i="49"/>
  <c r="AE309" i="49"/>
  <c r="AG309" i="49"/>
  <c r="AF309" i="49"/>
  <c r="AE324" i="49"/>
  <c r="BF399" i="49"/>
  <c r="BG399" i="49"/>
  <c r="AE486" i="49"/>
  <c r="CY22" i="49"/>
  <c r="CC232" i="49"/>
  <c r="CD232" i="49"/>
  <c r="AE416" i="49"/>
  <c r="AG416" i="49"/>
  <c r="AF416" i="49"/>
  <c r="AE428" i="49"/>
  <c r="DA80" i="49"/>
  <c r="CZ80" i="49"/>
  <c r="DA137" i="49"/>
  <c r="DB137" i="49"/>
  <c r="CZ137" i="49"/>
  <c r="AB457" i="49"/>
  <c r="AD457" i="49"/>
  <c r="T457" i="49"/>
  <c r="CC291" i="49"/>
  <c r="CD291" i="49"/>
  <c r="BY457" i="49"/>
  <c r="AE78" i="49"/>
  <c r="AE277" i="49"/>
  <c r="AE187" i="49"/>
  <c r="AE178" i="49"/>
  <c r="AG178" i="49"/>
  <c r="AF178" i="49"/>
  <c r="AE252" i="49"/>
  <c r="AE274" i="49"/>
  <c r="AE132" i="49"/>
  <c r="AE327" i="49"/>
  <c r="AG327" i="49"/>
  <c r="AF327" i="49"/>
  <c r="AK2" i="46"/>
  <c r="AK607" i="46"/>
  <c r="AE336" i="49"/>
  <c r="AE333" i="49"/>
  <c r="AB472" i="49"/>
  <c r="AD472" i="49"/>
  <c r="T472" i="49"/>
  <c r="AB446" i="49"/>
  <c r="AD446" i="49"/>
  <c r="T446" i="49"/>
  <c r="AE127" i="49"/>
  <c r="AE114" i="49"/>
  <c r="AE82" i="49"/>
  <c r="AE172" i="49"/>
  <c r="AE297" i="49"/>
  <c r="AG297" i="49"/>
  <c r="AF297" i="49"/>
  <c r="AE216" i="49"/>
  <c r="AG216" i="49"/>
  <c r="AF216" i="49"/>
  <c r="AE281" i="49"/>
  <c r="AE287" i="49"/>
  <c r="AG287" i="49"/>
  <c r="AF287" i="49"/>
  <c r="AE293" i="49"/>
  <c r="AG293" i="49"/>
  <c r="AF293" i="49"/>
  <c r="AE141" i="49"/>
  <c r="AE209" i="49"/>
  <c r="AE284" i="49"/>
  <c r="AG284" i="49"/>
  <c r="AF284" i="49"/>
  <c r="AE226" i="49"/>
  <c r="AG226" i="49"/>
  <c r="AF226" i="49"/>
  <c r="AE180" i="49"/>
  <c r="BF396" i="49"/>
  <c r="BG396" i="49"/>
  <c r="BH396" i="49"/>
  <c r="CZ359" i="49"/>
  <c r="DA359" i="49"/>
  <c r="DB359" i="49"/>
  <c r="AE342" i="49"/>
  <c r="BF403" i="49"/>
  <c r="BG403" i="49"/>
  <c r="CC254" i="49"/>
  <c r="CD254" i="49"/>
  <c r="CE254" i="49"/>
  <c r="CC151" i="49"/>
  <c r="CD151" i="49"/>
  <c r="CE151" i="49"/>
  <c r="CC181" i="49"/>
  <c r="CD181" i="49"/>
  <c r="CE181" i="49"/>
  <c r="AE56" i="49"/>
  <c r="BF367" i="49"/>
  <c r="BG367" i="49"/>
  <c r="BH367" i="49"/>
  <c r="CC429" i="49"/>
  <c r="CD429" i="49"/>
  <c r="CE429" i="49"/>
  <c r="CC376" i="49"/>
  <c r="CD376" i="49"/>
  <c r="CE376" i="49"/>
  <c r="AE397" i="49"/>
  <c r="AG397" i="49"/>
  <c r="AF397" i="49"/>
  <c r="AE402" i="49"/>
  <c r="AG402" i="49"/>
  <c r="AF402" i="49"/>
  <c r="CC244" i="49"/>
  <c r="CD244" i="49"/>
  <c r="CE244" i="49"/>
  <c r="DA406" i="49"/>
  <c r="DB406" i="49"/>
  <c r="CZ406" i="49"/>
  <c r="AE79" i="49"/>
  <c r="AE101" i="49"/>
  <c r="CY464" i="49"/>
  <c r="AB468" i="49"/>
  <c r="AD468" i="49"/>
  <c r="T468" i="49"/>
  <c r="AB467" i="49"/>
  <c r="AD467" i="49"/>
  <c r="T467" i="49"/>
  <c r="AB441" i="49"/>
  <c r="AD441" i="49"/>
  <c r="T441" i="49"/>
  <c r="AB458" i="49"/>
  <c r="AD458" i="49"/>
  <c r="T458" i="49"/>
  <c r="AE432" i="49"/>
  <c r="AG432" i="49"/>
  <c r="AF432" i="49"/>
  <c r="P36" i="49"/>
  <c r="AL22" i="46"/>
  <c r="AH50" i="46"/>
  <c r="AH582" i="46"/>
  <c r="P24" i="49"/>
  <c r="AL33" i="46"/>
  <c r="P22" i="49"/>
  <c r="AL24" i="46"/>
  <c r="P34" i="49"/>
  <c r="AL29" i="46"/>
  <c r="P23" i="49"/>
  <c r="AL23" i="46"/>
  <c r="AL48" i="46"/>
  <c r="AL578" i="46"/>
  <c r="AH578" i="46"/>
  <c r="P496" i="49"/>
  <c r="AE328" i="49"/>
  <c r="AG328" i="49"/>
  <c r="AF328" i="49"/>
  <c r="BF345" i="49"/>
  <c r="BG345" i="49"/>
  <c r="BH345" i="49"/>
  <c r="DB394" i="49"/>
  <c r="AE344" i="49"/>
  <c r="AG344" i="49"/>
  <c r="AF344" i="49"/>
  <c r="CC238" i="49"/>
  <c r="CD238" i="49"/>
  <c r="CE238" i="49"/>
  <c r="DA237" i="49"/>
  <c r="DB237" i="49"/>
  <c r="CZ237" i="49"/>
  <c r="CB472" i="49"/>
  <c r="CB452" i="49"/>
  <c r="DA424" i="49"/>
  <c r="DB424" i="49"/>
  <c r="CZ424" i="49"/>
  <c r="CZ276" i="49"/>
  <c r="DA276" i="49"/>
  <c r="DB276" i="49"/>
  <c r="DA255" i="49"/>
  <c r="DB255" i="49"/>
  <c r="CZ255" i="49"/>
  <c r="AE343" i="49"/>
  <c r="BI46" i="49"/>
  <c r="CD375" i="49"/>
  <c r="CE375" i="49"/>
  <c r="CC375" i="49"/>
  <c r="AE396" i="49"/>
  <c r="AG396" i="49"/>
  <c r="AF396" i="49"/>
  <c r="CZ228" i="49"/>
  <c r="DA228" i="49"/>
  <c r="DB228" i="49"/>
  <c r="AH355" i="49"/>
  <c r="BF239" i="49"/>
  <c r="BG239" i="49"/>
  <c r="BH239" i="49"/>
  <c r="CY474" i="49"/>
  <c r="DA378" i="49"/>
  <c r="DB378" i="49"/>
  <c r="CZ378" i="49"/>
  <c r="AB174" i="49"/>
  <c r="AD174" i="49"/>
  <c r="T174" i="49"/>
  <c r="AB438" i="49"/>
  <c r="AD438" i="49"/>
  <c r="T438" i="49"/>
  <c r="AB453" i="49"/>
  <c r="AD453" i="49"/>
  <c r="T453" i="49"/>
  <c r="AB447" i="49"/>
  <c r="AD447" i="49"/>
  <c r="T447" i="49"/>
  <c r="AB444" i="49"/>
  <c r="AD444" i="49"/>
  <c r="T444" i="49"/>
  <c r="CC426" i="49"/>
  <c r="CD426" i="49"/>
  <c r="CE426" i="49"/>
  <c r="AE46" i="49"/>
  <c r="CC362" i="49"/>
  <c r="CD362" i="49"/>
  <c r="CE362" i="49"/>
  <c r="AE358" i="49"/>
  <c r="AE400" i="49"/>
  <c r="AE401" i="49"/>
  <c r="AG401" i="49"/>
  <c r="AF401" i="49"/>
  <c r="BV500" i="49"/>
  <c r="BV2" i="49"/>
  <c r="CC216" i="49"/>
  <c r="CD216" i="49"/>
  <c r="CE216" i="49"/>
  <c r="DA71" i="49"/>
  <c r="DB71" i="49"/>
  <c r="CZ71" i="49"/>
  <c r="AE60" i="49"/>
  <c r="AE411" i="49"/>
  <c r="AG411" i="49"/>
  <c r="AF411" i="49"/>
  <c r="AE403" i="49"/>
  <c r="AG403" i="49"/>
  <c r="AF403" i="49"/>
  <c r="DB288" i="49"/>
  <c r="AE254" i="49"/>
  <c r="AG254" i="49"/>
  <c r="AF254" i="49"/>
  <c r="AE236" i="49"/>
  <c r="AG236" i="49"/>
  <c r="AF236" i="49"/>
  <c r="AE278" i="49"/>
  <c r="AE290" i="49"/>
  <c r="BG287" i="49"/>
  <c r="BH287" i="49"/>
  <c r="BF287" i="49"/>
  <c r="DA362" i="49"/>
  <c r="DB362" i="49"/>
  <c r="CZ362" i="49"/>
  <c r="CC369" i="49"/>
  <c r="CD369" i="49"/>
  <c r="CE369" i="49"/>
  <c r="BH289" i="49"/>
  <c r="AE477" i="49"/>
  <c r="DA398" i="49"/>
  <c r="DB398" i="49"/>
  <c r="CZ398" i="49"/>
  <c r="BE479" i="49"/>
  <c r="CC41" i="49"/>
  <c r="CD41" i="49"/>
  <c r="CE41" i="49"/>
  <c r="CC381" i="49"/>
  <c r="CD381" i="49"/>
  <c r="CE381" i="49"/>
  <c r="AE357" i="49"/>
  <c r="AE383" i="49"/>
  <c r="AE392" i="49"/>
  <c r="AG392" i="49"/>
  <c r="AF392" i="49"/>
  <c r="CB464" i="49"/>
  <c r="BB35" i="49"/>
  <c r="BB20" i="49"/>
  <c r="BB26" i="49"/>
  <c r="BB37" i="49"/>
  <c r="BB496" i="49"/>
  <c r="BF394" i="49"/>
  <c r="BG394" i="49"/>
  <c r="BH394" i="49"/>
  <c r="BF193" i="49"/>
  <c r="BG193" i="49"/>
  <c r="BH193" i="49"/>
  <c r="DA353" i="49"/>
  <c r="DB353" i="49"/>
  <c r="CZ353" i="49"/>
  <c r="DA396" i="49"/>
  <c r="DB396" i="49"/>
  <c r="CZ396" i="49"/>
  <c r="CC46" i="49"/>
  <c r="CD46" i="49"/>
  <c r="CE46" i="49"/>
  <c r="CC403" i="49"/>
  <c r="CD403" i="49"/>
  <c r="CE403" i="49"/>
  <c r="BF424" i="49"/>
  <c r="BG424" i="49"/>
  <c r="BH424" i="49"/>
  <c r="CY40" i="49"/>
  <c r="DA287" i="49"/>
  <c r="DB287" i="49"/>
  <c r="CZ287" i="49"/>
  <c r="AE119" i="49"/>
  <c r="AE77" i="49"/>
  <c r="AE113" i="49"/>
  <c r="AE232" i="49"/>
  <c r="AG232" i="49"/>
  <c r="AF232" i="49"/>
  <c r="AE305" i="49"/>
  <c r="AE267" i="49"/>
  <c r="AE157" i="49"/>
  <c r="AE291" i="49"/>
  <c r="AG291" i="49"/>
  <c r="AF291" i="49"/>
  <c r="BF397" i="49"/>
  <c r="BG397" i="49"/>
  <c r="BH397" i="49"/>
  <c r="AB474" i="49"/>
  <c r="AD474" i="49"/>
  <c r="T474" i="49"/>
  <c r="CC53" i="49"/>
  <c r="CD53" i="49"/>
  <c r="CE53" i="49"/>
  <c r="CC345" i="49"/>
  <c r="CD345" i="49"/>
  <c r="CE345" i="49"/>
  <c r="CC297" i="49"/>
  <c r="CD297" i="49"/>
  <c r="CE297" i="49"/>
  <c r="CC263" i="49"/>
  <c r="CD263" i="49"/>
  <c r="CE263" i="49"/>
  <c r="CZ168" i="49"/>
  <c r="DA168" i="49"/>
  <c r="DB168" i="49"/>
  <c r="AE98" i="49"/>
  <c r="AE122" i="49"/>
  <c r="AE123" i="49"/>
  <c r="AE134" i="49"/>
  <c r="AE217" i="49"/>
  <c r="AE262" i="49"/>
  <c r="AG262" i="49"/>
  <c r="AF262" i="49"/>
  <c r="AE164" i="49"/>
  <c r="AE266" i="49"/>
  <c r="AE160" i="49"/>
  <c r="AE139" i="49"/>
  <c r="AE332" i="49"/>
  <c r="AG332" i="49"/>
  <c r="AF332" i="49"/>
  <c r="BF237" i="49"/>
  <c r="BG237" i="49"/>
  <c r="BH237" i="49"/>
  <c r="AE338" i="49"/>
  <c r="CC176" i="49"/>
  <c r="CD176" i="49"/>
  <c r="CE176" i="49"/>
  <c r="BI329" i="49"/>
  <c r="CC257" i="49"/>
  <c r="CD257" i="49"/>
  <c r="CE257" i="49"/>
  <c r="AE409" i="49"/>
  <c r="AE417" i="49"/>
  <c r="AG417" i="49"/>
  <c r="AF417" i="49"/>
  <c r="BF62" i="49"/>
  <c r="BG62" i="49"/>
  <c r="BH62" i="49"/>
  <c r="BF375" i="49"/>
  <c r="BG375" i="49"/>
  <c r="BH375" i="49"/>
  <c r="BF272" i="49"/>
  <c r="BG272" i="49"/>
  <c r="BH272" i="49"/>
  <c r="BF175" i="49"/>
  <c r="BG175" i="49"/>
  <c r="BH175" i="49"/>
  <c r="AE41" i="49"/>
  <c r="CC387" i="49"/>
  <c r="CD387" i="49"/>
  <c r="CE387" i="49"/>
  <c r="CC374" i="49"/>
  <c r="CD374" i="49"/>
  <c r="CE374" i="49"/>
  <c r="CB459" i="49"/>
  <c r="CC259" i="49"/>
  <c r="CD259" i="49"/>
  <c r="CE259" i="49"/>
  <c r="DA426" i="49"/>
  <c r="DB426" i="49"/>
  <c r="CZ426" i="49"/>
  <c r="BF480" i="49"/>
  <c r="BG480" i="49"/>
  <c r="BH480" i="49"/>
  <c r="DA254" i="49"/>
  <c r="DB254" i="49"/>
  <c r="CZ254" i="49"/>
  <c r="BF137" i="49"/>
  <c r="BG137" i="49"/>
  <c r="BH137" i="49"/>
  <c r="AE341" i="49"/>
  <c r="CC406" i="49"/>
  <c r="CD406" i="49"/>
  <c r="CE406" i="49"/>
  <c r="AE43" i="49"/>
  <c r="CY31" i="49"/>
  <c r="AE351" i="49"/>
  <c r="CC222" i="49"/>
  <c r="CD222" i="49"/>
  <c r="CE222" i="49"/>
  <c r="DA238" i="49"/>
  <c r="DB238" i="49"/>
  <c r="CZ238" i="49"/>
  <c r="DA272" i="49"/>
  <c r="DB272" i="49"/>
  <c r="CZ272" i="49"/>
  <c r="CV457" i="49"/>
  <c r="DA399" i="49"/>
  <c r="DB399" i="49"/>
  <c r="CZ399" i="49"/>
  <c r="AB466" i="49"/>
  <c r="AD466" i="49"/>
  <c r="T466" i="49"/>
  <c r="AB456" i="49"/>
  <c r="AD456" i="49"/>
  <c r="T456" i="49"/>
  <c r="AE66" i="49"/>
  <c r="AE91" i="49"/>
  <c r="CY465" i="49"/>
  <c r="BE469" i="49"/>
  <c r="CE418" i="49"/>
  <c r="CC353" i="49"/>
  <c r="CD353" i="49"/>
  <c r="CE353" i="49"/>
  <c r="CC391" i="49"/>
  <c r="CD391" i="49"/>
  <c r="CE391" i="49"/>
  <c r="AE386" i="49"/>
  <c r="AE384" i="49"/>
  <c r="AE373" i="49"/>
  <c r="AE55" i="49"/>
  <c r="AE408" i="49"/>
  <c r="AE153" i="49"/>
  <c r="DA175" i="49"/>
  <c r="DB175" i="49"/>
  <c r="CZ175" i="49"/>
  <c r="AE279" i="49"/>
  <c r="AG279" i="49"/>
  <c r="AF279" i="49"/>
  <c r="AE202" i="49"/>
  <c r="AG202" i="49"/>
  <c r="AF202" i="49"/>
  <c r="AE311" i="49"/>
  <c r="AE239" i="49"/>
  <c r="AG239" i="49"/>
  <c r="AF239" i="49"/>
  <c r="BF401" i="49"/>
  <c r="BG401" i="49"/>
  <c r="BH401" i="49"/>
  <c r="BF270" i="49"/>
  <c r="BG270" i="49"/>
  <c r="BH270" i="49"/>
  <c r="DA376" i="49"/>
  <c r="DB376" i="49"/>
  <c r="CZ376" i="49"/>
  <c r="AE42" i="49"/>
  <c r="BF417" i="49"/>
  <c r="BG417" i="49"/>
  <c r="BH417" i="49"/>
  <c r="CC480" i="49"/>
  <c r="CD480" i="49"/>
  <c r="CE480" i="49"/>
  <c r="AE152" i="49"/>
  <c r="AE370" i="49"/>
  <c r="AG370" i="49"/>
  <c r="AF370" i="49"/>
  <c r="AE399" i="49"/>
  <c r="AG399" i="49"/>
  <c r="AF399" i="49"/>
  <c r="CC171" i="49"/>
  <c r="CD171" i="49"/>
  <c r="CE171" i="49"/>
  <c r="AE62" i="49"/>
  <c r="AG62" i="49"/>
  <c r="AF62" i="49"/>
  <c r="DA304" i="49"/>
  <c r="DB304" i="49"/>
  <c r="CZ304" i="49"/>
  <c r="DA286" i="49"/>
  <c r="DB286" i="49"/>
  <c r="CZ286" i="49"/>
  <c r="BF273" i="49"/>
  <c r="BG273" i="49"/>
  <c r="BH273" i="49"/>
  <c r="CD424" i="49"/>
  <c r="CE424" i="49"/>
  <c r="CC424" i="49"/>
  <c r="BH403" i="49"/>
  <c r="AE354" i="49"/>
  <c r="AE389" i="49"/>
  <c r="AG389" i="49"/>
  <c r="AF389" i="49"/>
  <c r="AE394" i="49"/>
  <c r="AG394" i="49"/>
  <c r="AF394" i="49"/>
  <c r="AE377" i="49"/>
  <c r="CB474" i="49"/>
  <c r="AE415" i="49"/>
  <c r="AG415" i="49"/>
  <c r="AF415" i="49"/>
  <c r="AE423" i="49"/>
  <c r="DA181" i="49"/>
  <c r="DB181" i="49"/>
  <c r="CZ181" i="49"/>
  <c r="DA280" i="49"/>
  <c r="DB280" i="49"/>
  <c r="CZ280" i="49"/>
  <c r="DA264" i="49"/>
  <c r="DB264" i="49"/>
  <c r="CZ264" i="49"/>
  <c r="BG105" i="49"/>
  <c r="BH105" i="49"/>
  <c r="BF105" i="49"/>
  <c r="AE479" i="49"/>
  <c r="AG479" i="49"/>
  <c r="AF479" i="49"/>
  <c r="CY35" i="49"/>
  <c r="AD5" i="49"/>
  <c r="AE244" i="49"/>
  <c r="AG244" i="49"/>
  <c r="AF244" i="49"/>
  <c r="AE241" i="49"/>
  <c r="AG241" i="49"/>
  <c r="AF241" i="49"/>
  <c r="AE155" i="49"/>
  <c r="AE142" i="49"/>
  <c r="BF381" i="49"/>
  <c r="BG381" i="49"/>
  <c r="BH381" i="49"/>
  <c r="CY459" i="49"/>
  <c r="BF407" i="49"/>
  <c r="BG407" i="49"/>
  <c r="BH407" i="49"/>
  <c r="CC147" i="49"/>
  <c r="CD147" i="49"/>
  <c r="CE147" i="49"/>
  <c r="CC284" i="49"/>
  <c r="CD284" i="49"/>
  <c r="CE284" i="49"/>
  <c r="DA294" i="49"/>
  <c r="DB294" i="49"/>
  <c r="CZ294" i="49"/>
  <c r="P35" i="49"/>
  <c r="AL28" i="46"/>
  <c r="P27" i="49"/>
  <c r="AL32" i="46"/>
  <c r="P20" i="49"/>
  <c r="AL37" i="46"/>
  <c r="P26" i="49"/>
  <c r="AL41" i="46"/>
  <c r="P25" i="49"/>
  <c r="AL40" i="46"/>
  <c r="P40" i="49"/>
  <c r="AL46" i="46"/>
  <c r="AE103" i="49"/>
  <c r="AE129" i="49"/>
  <c r="AE125" i="49"/>
  <c r="AE83" i="49"/>
  <c r="AE173" i="49"/>
  <c r="AE259" i="49"/>
  <c r="AG259" i="49"/>
  <c r="AF259" i="49"/>
  <c r="AE223" i="49"/>
  <c r="AG223" i="49"/>
  <c r="AF223" i="49"/>
  <c r="AE238" i="49"/>
  <c r="AG238" i="49"/>
  <c r="AF238" i="49"/>
  <c r="AE189" i="49"/>
  <c r="AE182" i="49"/>
  <c r="AG182" i="49"/>
  <c r="AF182" i="49"/>
  <c r="AE181" i="49"/>
  <c r="AG181" i="49"/>
  <c r="AF181" i="49"/>
  <c r="DC332" i="49"/>
  <c r="CC347" i="49"/>
  <c r="CD347" i="49"/>
  <c r="CE347" i="49"/>
  <c r="CC286" i="49"/>
  <c r="CD286" i="49"/>
  <c r="CE286" i="49"/>
  <c r="AE405" i="49"/>
  <c r="AG405" i="49"/>
  <c r="AF405" i="49"/>
  <c r="AE176" i="49"/>
  <c r="AG176" i="49"/>
  <c r="AF176" i="49"/>
  <c r="CZ259" i="49"/>
  <c r="DA259" i="49"/>
  <c r="DB259" i="49"/>
  <c r="DA482" i="49"/>
  <c r="DB482" i="49"/>
  <c r="CZ482" i="49"/>
  <c r="DA370" i="49"/>
  <c r="DB370" i="49"/>
  <c r="CZ370" i="49"/>
  <c r="AE45" i="49"/>
  <c r="CC364" i="49"/>
  <c r="CD364" i="49"/>
  <c r="CE364" i="49"/>
  <c r="CC370" i="49"/>
  <c r="CD370" i="49"/>
  <c r="CE370" i="49"/>
  <c r="CC62" i="49"/>
  <c r="CD62" i="49"/>
  <c r="CE62" i="49"/>
  <c r="CB463" i="49"/>
  <c r="CC202" i="49"/>
  <c r="CD202" i="49"/>
  <c r="CE202" i="49"/>
  <c r="CC272" i="49"/>
  <c r="CD272" i="49"/>
  <c r="CE272" i="49"/>
  <c r="AE427" i="49"/>
  <c r="DA270" i="49"/>
  <c r="DB270" i="49"/>
  <c r="CZ270" i="49"/>
  <c r="CZ232" i="49"/>
  <c r="DA232" i="49"/>
  <c r="DB232" i="49"/>
  <c r="AE106" i="49"/>
  <c r="AE87" i="49"/>
  <c r="AE81" i="49"/>
  <c r="AE161" i="49"/>
  <c r="AE198" i="49"/>
  <c r="AE177" i="49"/>
  <c r="AG177" i="49"/>
  <c r="AF177" i="49"/>
  <c r="AE272" i="49"/>
  <c r="AG272" i="49"/>
  <c r="AF272" i="49"/>
  <c r="AE265" i="49"/>
  <c r="AE162" i="49"/>
  <c r="AE231" i="49"/>
  <c r="AG231" i="49"/>
  <c r="AF231" i="49"/>
  <c r="AE275" i="49"/>
  <c r="AE195" i="49"/>
  <c r="AG195" i="49"/>
  <c r="AF195" i="49"/>
  <c r="AE188" i="49"/>
  <c r="AG188" i="49"/>
  <c r="AF188" i="49"/>
  <c r="AE140" i="49"/>
  <c r="AE313" i="49"/>
  <c r="AE476" i="49"/>
  <c r="AG476" i="49"/>
  <c r="AF476" i="49"/>
  <c r="CC416" i="49"/>
  <c r="CD416" i="49"/>
  <c r="CE416" i="49"/>
  <c r="AE65" i="49"/>
  <c r="CY34" i="49"/>
  <c r="DC327" i="49"/>
  <c r="CC294" i="49"/>
  <c r="CD294" i="49"/>
  <c r="CE294" i="49"/>
  <c r="AE404" i="49"/>
  <c r="AE425" i="49"/>
  <c r="DA193" i="49"/>
  <c r="DB193" i="49"/>
  <c r="CZ193" i="49"/>
  <c r="DA283" i="49"/>
  <c r="DB283" i="49"/>
  <c r="CZ283" i="49"/>
  <c r="DA477" i="49"/>
  <c r="DB477" i="49"/>
  <c r="CZ477" i="49"/>
  <c r="BF255" i="49"/>
  <c r="BG255" i="49"/>
  <c r="BH255" i="49"/>
  <c r="AE242" i="49"/>
  <c r="AG242" i="49"/>
  <c r="AF242" i="49"/>
  <c r="AE208" i="49"/>
  <c r="AE212" i="49"/>
  <c r="AG212" i="49"/>
  <c r="AF212" i="49"/>
  <c r="AE243" i="49"/>
  <c r="AE143" i="49"/>
  <c r="AE245" i="49"/>
  <c r="AE315" i="49"/>
  <c r="BF309" i="49"/>
  <c r="BG309" i="49"/>
  <c r="BH309" i="49"/>
  <c r="BG98" i="49"/>
  <c r="BH98" i="49"/>
  <c r="BF98" i="49"/>
  <c r="CY355" i="49"/>
  <c r="CC417" i="49"/>
  <c r="CD417" i="49"/>
  <c r="CE417" i="49"/>
  <c r="BF405" i="49"/>
  <c r="BG405" i="49"/>
  <c r="BH405" i="49"/>
  <c r="CB34" i="49"/>
  <c r="BF202" i="49"/>
  <c r="BG202" i="49"/>
  <c r="BH202" i="49"/>
  <c r="AE44" i="49"/>
  <c r="AE356" i="49"/>
  <c r="AE367" i="49"/>
  <c r="AE372" i="49"/>
  <c r="AE395" i="49"/>
  <c r="CD231" i="49"/>
  <c r="CE231" i="49"/>
  <c r="CC231" i="49"/>
  <c r="DA405" i="49"/>
  <c r="DB405" i="49"/>
  <c r="CZ405" i="49"/>
  <c r="AE57" i="49"/>
  <c r="BF488" i="49"/>
  <c r="BG488" i="49"/>
  <c r="BH488" i="49"/>
  <c r="DA213" i="49"/>
  <c r="DB213" i="49"/>
  <c r="CZ213" i="49"/>
  <c r="DA344" i="49"/>
  <c r="DB344" i="49"/>
  <c r="CZ344" i="49"/>
  <c r="AE116" i="49"/>
  <c r="AE110" i="49"/>
  <c r="AE120" i="49"/>
  <c r="AE76" i="49"/>
  <c r="AE207" i="49"/>
  <c r="AG207" i="49"/>
  <c r="AF207" i="49"/>
  <c r="AE296" i="49"/>
  <c r="AE255" i="49"/>
  <c r="AG255" i="49"/>
  <c r="AF255" i="49"/>
  <c r="AE179" i="49"/>
  <c r="AE288" i="49"/>
  <c r="AG288" i="49"/>
  <c r="AF288" i="49"/>
  <c r="AE247" i="49"/>
  <c r="AE308" i="49"/>
  <c r="AG308" i="49"/>
  <c r="AF308" i="49"/>
  <c r="AE196" i="49"/>
  <c r="AE302" i="49"/>
  <c r="AG302" i="49"/>
  <c r="AF302" i="49"/>
  <c r="AE183" i="49"/>
  <c r="BF387" i="49"/>
  <c r="BG387" i="49"/>
  <c r="BH387" i="49"/>
  <c r="CB456" i="49"/>
  <c r="AE406" i="49"/>
  <c r="AG406" i="49"/>
  <c r="AF406" i="49"/>
  <c r="DA285" i="49"/>
  <c r="DB285" i="49"/>
  <c r="CZ285" i="49"/>
  <c r="Q36" i="49"/>
  <c r="AY36" i="49"/>
  <c r="BA36" i="49"/>
  <c r="AI50" i="46"/>
  <c r="AI582" i="46"/>
  <c r="BB21" i="49"/>
  <c r="BB19" i="49"/>
  <c r="BB33" i="49"/>
  <c r="BB23" i="49"/>
  <c r="BB40" i="49"/>
  <c r="BD40" i="49"/>
  <c r="BC40" i="49"/>
  <c r="AE369" i="49"/>
  <c r="AG369" i="49"/>
  <c r="AF369" i="49"/>
  <c r="AE371" i="49"/>
  <c r="AG371" i="49"/>
  <c r="AF371" i="49"/>
  <c r="CC229" i="49"/>
  <c r="CD229" i="49"/>
  <c r="CE229" i="49"/>
  <c r="AE58" i="49"/>
  <c r="DA246" i="49"/>
  <c r="DB246" i="49"/>
  <c r="CZ246" i="49"/>
  <c r="DA223" i="49"/>
  <c r="DB223" i="49"/>
  <c r="CZ223" i="49"/>
  <c r="BE462" i="49"/>
  <c r="AB445" i="49"/>
  <c r="AD445" i="49"/>
  <c r="T445" i="49"/>
  <c r="AB460" i="49"/>
  <c r="AD460" i="49"/>
  <c r="T460" i="49"/>
  <c r="CC371" i="49"/>
  <c r="CD371" i="49"/>
  <c r="CE371" i="49"/>
  <c r="CC221" i="49"/>
  <c r="CD221" i="49"/>
  <c r="CE221" i="49"/>
  <c r="CC175" i="49"/>
  <c r="CD175" i="49"/>
  <c r="CE175" i="49"/>
  <c r="BG398" i="49"/>
  <c r="BH398" i="49"/>
  <c r="BF398" i="49"/>
  <c r="DA476" i="49"/>
  <c r="DB476" i="49"/>
  <c r="CZ476" i="49"/>
  <c r="AE487" i="49"/>
  <c r="AE97" i="49"/>
  <c r="CC407" i="49"/>
  <c r="CD407" i="49"/>
  <c r="CE407" i="49"/>
  <c r="BF476" i="49"/>
  <c r="BG476" i="49"/>
  <c r="BH476" i="49"/>
  <c r="CC432" i="49"/>
  <c r="CD432" i="49"/>
  <c r="CE432" i="49"/>
  <c r="DA53" i="49"/>
  <c r="DB53" i="49"/>
  <c r="CZ53" i="49"/>
  <c r="DA387" i="49"/>
  <c r="DB387" i="49"/>
  <c r="CZ387" i="49"/>
  <c r="CY479" i="49"/>
  <c r="BG416" i="49"/>
  <c r="BH416" i="49"/>
  <c r="BF416" i="49"/>
  <c r="CC476" i="49"/>
  <c r="CD476" i="49"/>
  <c r="CE476" i="49"/>
  <c r="DA262" i="49"/>
  <c r="DB262" i="49"/>
  <c r="CZ262" i="49"/>
  <c r="AE95" i="49"/>
  <c r="AE124" i="49"/>
  <c r="AE109" i="49"/>
  <c r="AE215" i="49"/>
  <c r="AE289" i="49"/>
  <c r="AG289" i="49"/>
  <c r="AF289" i="49"/>
  <c r="AE220" i="49"/>
  <c r="AE191" i="49"/>
  <c r="AG191" i="49"/>
  <c r="AF191" i="49"/>
  <c r="AE249" i="49"/>
  <c r="AG249" i="49"/>
  <c r="AF249" i="49"/>
  <c r="AE175" i="49"/>
  <c r="AG175" i="49"/>
  <c r="AF175" i="49"/>
  <c r="AE146" i="49"/>
  <c r="AE224" i="49"/>
  <c r="AE283" i="49"/>
  <c r="AG283" i="49"/>
  <c r="AF283" i="49"/>
  <c r="AE312" i="49"/>
  <c r="AE167" i="49"/>
  <c r="AE316" i="49"/>
  <c r="AE331" i="49"/>
  <c r="AE483" i="49"/>
  <c r="CC401" i="49"/>
  <c r="CD401" i="49"/>
  <c r="CE401" i="49"/>
  <c r="CD251" i="49"/>
  <c r="CE251" i="49"/>
  <c r="CC251" i="49"/>
  <c r="AE421" i="49"/>
  <c r="AG421" i="49"/>
  <c r="AF421" i="49"/>
  <c r="AE422" i="49"/>
  <c r="AG422" i="49"/>
  <c r="AF422" i="49"/>
  <c r="AL557" i="46"/>
  <c r="CC246" i="49"/>
  <c r="CD246" i="49"/>
  <c r="CE246" i="49"/>
  <c r="CC212" i="49"/>
  <c r="CD212" i="49"/>
  <c r="CE212" i="49"/>
  <c r="AE85" i="49"/>
  <c r="AE111" i="49"/>
  <c r="AE240" i="49"/>
  <c r="AE151" i="49"/>
  <c r="AG151" i="49"/>
  <c r="AF151" i="49"/>
  <c r="AE298" i="49"/>
  <c r="AG298" i="49"/>
  <c r="AF298" i="49"/>
  <c r="AE234" i="49"/>
  <c r="AE269" i="49"/>
  <c r="AG269" i="49"/>
  <c r="AF269" i="49"/>
  <c r="AE184" i="49"/>
  <c r="AB463" i="49"/>
  <c r="AD463" i="49"/>
  <c r="T463" i="49"/>
  <c r="AB443" i="49"/>
  <c r="AD443" i="49"/>
  <c r="T443" i="49"/>
  <c r="CB479" i="49"/>
  <c r="CC206" i="49"/>
  <c r="CD206" i="49"/>
  <c r="CE206" i="49"/>
  <c r="CB22" i="49"/>
  <c r="AH419" i="49"/>
  <c r="CZ407" i="49"/>
  <c r="DA407" i="49"/>
  <c r="DB407" i="49"/>
  <c r="CV5" i="49"/>
  <c r="CU500" i="49"/>
  <c r="CU2" i="49"/>
  <c r="CZ239" i="49"/>
  <c r="DA239" i="49"/>
  <c r="DB239" i="49"/>
  <c r="AE100" i="49"/>
  <c r="AE107" i="49"/>
  <c r="AE86" i="49"/>
  <c r="AE235" i="49"/>
  <c r="AE213" i="49"/>
  <c r="AG213" i="49"/>
  <c r="AF213" i="49"/>
  <c r="AE285" i="49"/>
  <c r="AG285" i="49"/>
  <c r="AF285" i="49"/>
  <c r="AE292" i="49"/>
  <c r="AE192" i="49"/>
  <c r="AE163" i="49"/>
  <c r="AE166" i="49"/>
  <c r="AE186" i="49"/>
  <c r="AE268" i="49"/>
  <c r="AE205" i="49"/>
  <c r="AE294" i="49"/>
  <c r="AG294" i="49"/>
  <c r="AF294" i="49"/>
  <c r="AE317" i="49"/>
  <c r="BY36" i="49"/>
  <c r="DA391" i="49"/>
  <c r="DB391" i="49"/>
  <c r="CZ391" i="49"/>
  <c r="AE347" i="49"/>
  <c r="AG347" i="49"/>
  <c r="AF347" i="49"/>
  <c r="BF421" i="49"/>
  <c r="BG421" i="49"/>
  <c r="BH421" i="49"/>
  <c r="CC80" i="49"/>
  <c r="CD80" i="49"/>
  <c r="CE80" i="49"/>
  <c r="CC304" i="49"/>
  <c r="CD304" i="49"/>
  <c r="CE304" i="49"/>
  <c r="CC236" i="49"/>
  <c r="CD236" i="49"/>
  <c r="CE236" i="49"/>
  <c r="CZ421" i="49"/>
  <c r="DA421" i="49"/>
  <c r="DB421" i="49"/>
  <c r="CZ177" i="49"/>
  <c r="DA177" i="49"/>
  <c r="DB177" i="49"/>
  <c r="CC405" i="49"/>
  <c r="CD405" i="49"/>
  <c r="CE405" i="49"/>
  <c r="BF406" i="49"/>
  <c r="BG406" i="49"/>
  <c r="BH406" i="49"/>
  <c r="CY18" i="49"/>
  <c r="CC397" i="49"/>
  <c r="CD397" i="49"/>
  <c r="CE397" i="49"/>
  <c r="CC399" i="49"/>
  <c r="CD399" i="49"/>
  <c r="CE399" i="49"/>
  <c r="AE368" i="49"/>
  <c r="AE378" i="49"/>
  <c r="AG378" i="49"/>
  <c r="AF378" i="49"/>
  <c r="CC285" i="49"/>
  <c r="CD285" i="49"/>
  <c r="CE285" i="49"/>
  <c r="AE61" i="49"/>
  <c r="DA202" i="49"/>
  <c r="DB202" i="49"/>
  <c r="CZ202" i="49"/>
  <c r="AE80" i="49"/>
  <c r="AG80" i="49"/>
  <c r="AF80" i="49"/>
  <c r="AE222" i="49"/>
  <c r="AG222" i="49"/>
  <c r="AF222" i="49"/>
  <c r="CY472" i="49"/>
  <c r="CY456" i="49"/>
  <c r="CZ375" i="49"/>
  <c r="DA375" i="49"/>
  <c r="DB375" i="49"/>
  <c r="AB475" i="49"/>
  <c r="AD475" i="49"/>
  <c r="T475" i="49"/>
  <c r="AB464" i="49"/>
  <c r="AD464" i="49"/>
  <c r="T464" i="49"/>
  <c r="AB448" i="49"/>
  <c r="AD448" i="49"/>
  <c r="T448" i="49"/>
  <c r="AB439" i="49"/>
  <c r="AD439" i="49"/>
  <c r="T439" i="49"/>
  <c r="AB451" i="49"/>
  <c r="AD451" i="49"/>
  <c r="T451" i="49"/>
  <c r="BG422" i="49"/>
  <c r="BH422" i="49"/>
  <c r="BF422" i="49"/>
  <c r="CE269" i="49"/>
  <c r="DA420" i="49"/>
  <c r="DB420" i="49"/>
  <c r="CZ420" i="49"/>
  <c r="DB258" i="49"/>
  <c r="P18" i="49"/>
  <c r="AL36" i="46"/>
  <c r="P19" i="49"/>
  <c r="AL35" i="46"/>
  <c r="P33" i="49"/>
  <c r="AL30" i="46"/>
  <c r="P21" i="49"/>
  <c r="AL38" i="46"/>
  <c r="P37" i="49"/>
  <c r="AL31" i="46"/>
  <c r="P51" i="49"/>
  <c r="AL47" i="46"/>
  <c r="DA483" i="49"/>
  <c r="DB483" i="49"/>
  <c r="CZ483" i="49"/>
  <c r="DC328" i="49"/>
  <c r="AE480" i="49"/>
  <c r="AG480" i="49"/>
  <c r="AF480" i="49"/>
  <c r="AE339" i="49"/>
  <c r="CE283" i="49"/>
  <c r="DB176" i="49"/>
  <c r="BF374" i="49"/>
  <c r="BG374" i="49"/>
  <c r="BH374" i="49"/>
  <c r="BF284" i="49"/>
  <c r="BG284" i="49"/>
  <c r="BH284" i="49"/>
  <c r="CC488" i="49"/>
  <c r="CD488" i="49"/>
  <c r="CE488" i="49"/>
  <c r="AE335" i="49"/>
  <c r="AE52" i="49"/>
  <c r="AE362" i="49"/>
  <c r="AG362" i="49"/>
  <c r="AF362" i="49"/>
  <c r="CZ429" i="49"/>
  <c r="DA429" i="49"/>
  <c r="DB429" i="49"/>
  <c r="CZ369" i="49"/>
  <c r="DA369" i="49"/>
  <c r="DB369" i="49"/>
  <c r="AE337" i="49"/>
  <c r="AB462" i="49"/>
  <c r="AD462" i="49"/>
  <c r="T462" i="49"/>
  <c r="AB461" i="49"/>
  <c r="AD461" i="49"/>
  <c r="T461" i="49"/>
  <c r="AB442" i="49"/>
  <c r="AD442" i="49"/>
  <c r="T442" i="49"/>
  <c r="AB452" i="49"/>
  <c r="AD452" i="49"/>
  <c r="T452" i="49"/>
  <c r="AE63" i="49"/>
  <c r="AG63" i="49"/>
  <c r="AF63" i="49"/>
  <c r="AE364" i="49"/>
  <c r="AG364" i="49"/>
  <c r="AF364" i="49"/>
  <c r="AE374" i="49"/>
  <c r="AG374" i="49"/>
  <c r="AF374" i="49"/>
  <c r="AE379" i="49"/>
  <c r="AE376" i="49"/>
  <c r="AG376" i="49"/>
  <c r="AF376" i="49"/>
  <c r="CC288" i="49"/>
  <c r="CD288" i="49"/>
  <c r="CE288" i="49"/>
  <c r="CC255" i="49"/>
  <c r="CD255" i="49"/>
  <c r="CE255" i="49"/>
  <c r="DA416" i="49"/>
  <c r="DB416" i="49"/>
  <c r="CZ416" i="49"/>
  <c r="AE414" i="49"/>
  <c r="DA216" i="49"/>
  <c r="DB216" i="49"/>
  <c r="CZ216" i="49"/>
  <c r="DA242" i="49"/>
  <c r="DB242" i="49"/>
  <c r="CZ242" i="49"/>
  <c r="DA182" i="49"/>
  <c r="DB182" i="49"/>
  <c r="CZ182" i="49"/>
  <c r="AE256" i="49"/>
  <c r="AG256" i="49"/>
  <c r="AF256" i="49"/>
  <c r="AE229" i="49"/>
  <c r="AG229" i="49"/>
  <c r="AF229" i="49"/>
  <c r="AE248" i="49"/>
  <c r="AE301" i="49"/>
  <c r="BF371" i="49"/>
  <c r="BG371" i="49"/>
  <c r="BH371" i="49"/>
  <c r="BH288" i="49"/>
  <c r="DA374" i="49"/>
  <c r="DB374" i="49"/>
  <c r="CZ374" i="49"/>
  <c r="CE264" i="49"/>
  <c r="CZ63" i="49"/>
  <c r="DA63" i="49"/>
  <c r="DB63" i="49"/>
  <c r="DB422" i="49"/>
  <c r="CE328" i="49"/>
  <c r="CC71" i="49"/>
  <c r="CD71" i="49"/>
  <c r="CE71" i="49"/>
  <c r="DA364" i="49"/>
  <c r="DB364" i="49"/>
  <c r="CZ364" i="49"/>
  <c r="AE340" i="49"/>
  <c r="BH176" i="49"/>
  <c r="AE382" i="49"/>
  <c r="AE365" i="49"/>
  <c r="AE387" i="49"/>
  <c r="AG387" i="49"/>
  <c r="AF387" i="49"/>
  <c r="CB469" i="49"/>
  <c r="CD287" i="49"/>
  <c r="CE287" i="49"/>
  <c r="CC287" i="49"/>
  <c r="CC230" i="49"/>
  <c r="CD230" i="49"/>
  <c r="CE230" i="49"/>
  <c r="AE54" i="49"/>
  <c r="DA212" i="49"/>
  <c r="DB212" i="49"/>
  <c r="CZ212" i="49"/>
  <c r="DB231" i="49"/>
  <c r="BB24" i="49"/>
  <c r="BB32" i="49"/>
  <c r="BB25" i="49"/>
  <c r="BB30" i="49"/>
  <c r="BB39" i="49"/>
  <c r="BB38" i="49"/>
  <c r="DA431" i="49"/>
  <c r="DB431" i="49"/>
  <c r="CZ431" i="49"/>
  <c r="DA371" i="49"/>
  <c r="DB371" i="49"/>
  <c r="CZ371" i="49"/>
  <c r="BF418" i="49"/>
  <c r="BG418" i="49"/>
  <c r="BH418" i="49"/>
  <c r="CC213" i="49"/>
  <c r="CD213" i="49"/>
  <c r="CE213" i="49"/>
  <c r="CE177" i="49"/>
  <c r="AE126" i="49"/>
  <c r="AE89" i="49"/>
  <c r="AE84" i="49"/>
  <c r="AE148" i="49"/>
  <c r="AE304" i="49"/>
  <c r="AG304" i="49"/>
  <c r="AF304" i="49"/>
  <c r="AE185" i="49"/>
  <c r="AE168" i="49"/>
  <c r="AG168" i="49"/>
  <c r="AF168" i="49"/>
  <c r="AE246" i="49"/>
  <c r="AG246" i="49"/>
  <c r="AF246" i="49"/>
  <c r="AE322" i="49"/>
  <c r="BF263" i="49"/>
  <c r="BG263" i="49"/>
  <c r="BH263" i="49"/>
  <c r="AE314" i="49"/>
  <c r="AE488" i="49"/>
  <c r="AG488" i="49"/>
  <c r="AF488" i="49"/>
  <c r="AB473" i="49"/>
  <c r="AD473" i="49"/>
  <c r="T473" i="49"/>
  <c r="AB469" i="49"/>
  <c r="AD469" i="49"/>
  <c r="T469" i="49"/>
  <c r="CE193" i="49"/>
  <c r="DA291" i="49"/>
  <c r="DB291" i="49"/>
  <c r="CZ291" i="49"/>
  <c r="DA289" i="49"/>
  <c r="DB289" i="49"/>
  <c r="CZ289" i="49"/>
  <c r="AE130" i="49"/>
  <c r="AE112" i="49"/>
  <c r="AE104" i="49"/>
  <c r="AE137" i="49"/>
  <c r="AG137" i="49"/>
  <c r="AF137" i="49"/>
  <c r="AE299" i="49"/>
  <c r="AE169" i="49"/>
  <c r="AE307" i="49"/>
  <c r="AE193" i="49"/>
  <c r="AG193" i="49"/>
  <c r="AF193" i="49"/>
  <c r="AE219" i="49"/>
  <c r="AE200" i="49"/>
  <c r="AE325" i="49"/>
  <c r="DB432" i="49"/>
  <c r="DA381" i="49"/>
  <c r="DB381" i="49"/>
  <c r="CZ381" i="49"/>
  <c r="BF423" i="49"/>
  <c r="BG423" i="49"/>
  <c r="BH423" i="49"/>
  <c r="CC258" i="49"/>
  <c r="CD258" i="49"/>
  <c r="CE258" i="49"/>
  <c r="CC228" i="49"/>
  <c r="CD228" i="49"/>
  <c r="CE228" i="49"/>
  <c r="CE137" i="49"/>
  <c r="AE413" i="49"/>
  <c r="AE430" i="49"/>
  <c r="BH370" i="49"/>
  <c r="BF347" i="49"/>
  <c r="BG347" i="49"/>
  <c r="BH347" i="49"/>
  <c r="BH244" i="49"/>
  <c r="BH181" i="49"/>
  <c r="CE422" i="49"/>
  <c r="CC398" i="49"/>
  <c r="CD398" i="49"/>
  <c r="CE398" i="49"/>
  <c r="CB465" i="49"/>
  <c r="CE239" i="49"/>
  <c r="CC182" i="49"/>
  <c r="CD182" i="49"/>
  <c r="CE182" i="49"/>
  <c r="AE437" i="49"/>
  <c r="DB229" i="49"/>
  <c r="CZ302" i="49"/>
  <c r="DA302" i="49"/>
  <c r="DB302" i="49"/>
  <c r="CZ269" i="49"/>
  <c r="DA269" i="49"/>
  <c r="DB269" i="49"/>
  <c r="BH399" i="49"/>
  <c r="CC63" i="49"/>
  <c r="CD63" i="49"/>
  <c r="CE63" i="49"/>
  <c r="BF280" i="49"/>
  <c r="BG280" i="49"/>
  <c r="BH280" i="49"/>
  <c r="BF206" i="49"/>
  <c r="BG206" i="49"/>
  <c r="BH206" i="49"/>
  <c r="DA401" i="49"/>
  <c r="DB401" i="49"/>
  <c r="CZ401" i="49"/>
  <c r="AE345" i="49"/>
  <c r="AG345" i="49"/>
  <c r="AF345" i="49"/>
  <c r="AE71" i="49"/>
  <c r="AG71" i="49"/>
  <c r="AF71" i="49"/>
  <c r="AE50" i="49"/>
  <c r="AE350" i="49"/>
  <c r="CE232" i="49"/>
  <c r="CC270" i="49"/>
  <c r="CD270" i="49"/>
  <c r="CE270" i="49"/>
  <c r="DA403" i="49"/>
  <c r="DB403" i="49"/>
  <c r="CZ403" i="49"/>
  <c r="DB80" i="49"/>
  <c r="DA222" i="49"/>
  <c r="DB222" i="49"/>
  <c r="CZ222" i="49"/>
  <c r="CZ251" i="49"/>
  <c r="DA251" i="49"/>
  <c r="DB251" i="49"/>
  <c r="DA230" i="49"/>
  <c r="DB230" i="49"/>
  <c r="CZ230" i="49"/>
  <c r="DA282" i="49"/>
  <c r="DB282" i="49"/>
  <c r="CZ282" i="49"/>
  <c r="CZ480" i="49"/>
  <c r="DA480" i="49"/>
  <c r="DB480" i="49"/>
  <c r="BF238" i="49"/>
  <c r="BG238" i="49"/>
  <c r="BH238" i="49"/>
  <c r="CE291" i="49"/>
  <c r="R500" i="49"/>
  <c r="CV500" i="49"/>
  <c r="CV2" i="49"/>
  <c r="CW330" i="49"/>
  <c r="CX330" i="49"/>
  <c r="DC369" i="49"/>
  <c r="DC429" i="49"/>
  <c r="DC375" i="49"/>
  <c r="BI406" i="49"/>
  <c r="DC177" i="49"/>
  <c r="CF236" i="49"/>
  <c r="CF80" i="49"/>
  <c r="DC391" i="49"/>
  <c r="CF212" i="49"/>
  <c r="CF251" i="49"/>
  <c r="DC285" i="49"/>
  <c r="DC344" i="49"/>
  <c r="DC406" i="49"/>
  <c r="CF181" i="49"/>
  <c r="CF254" i="49"/>
  <c r="BI238" i="49"/>
  <c r="DC230" i="49"/>
  <c r="DC222" i="49"/>
  <c r="CF488" i="49"/>
  <c r="BI374" i="49"/>
  <c r="CF285" i="49"/>
  <c r="CF397" i="49"/>
  <c r="CF432" i="49"/>
  <c r="CF175" i="49"/>
  <c r="CF371" i="49"/>
  <c r="CF229" i="49"/>
  <c r="BI387" i="49"/>
  <c r="CF231" i="49"/>
  <c r="DC378" i="49"/>
  <c r="CF244" i="49"/>
  <c r="CF376" i="49"/>
  <c r="DC359" i="49"/>
  <c r="BI396" i="49"/>
  <c r="DC420" i="49"/>
  <c r="CF405" i="49"/>
  <c r="DC421" i="49"/>
  <c r="CF304" i="49"/>
  <c r="BI421" i="49"/>
  <c r="CF246" i="49"/>
  <c r="DC387" i="49"/>
  <c r="DC476" i="49"/>
  <c r="DC213" i="49"/>
  <c r="DC399" i="49"/>
  <c r="CF375" i="49"/>
  <c r="CF151" i="49"/>
  <c r="DC401" i="49"/>
  <c r="DC282" i="49"/>
  <c r="BI284" i="49"/>
  <c r="DC483" i="49"/>
  <c r="DC202" i="49"/>
  <c r="CF399" i="49"/>
  <c r="DC239" i="49"/>
  <c r="DC407" i="49"/>
  <c r="CF206" i="49"/>
  <c r="DC262" i="49"/>
  <c r="CF221" i="49"/>
  <c r="DC246" i="49"/>
  <c r="BI488" i="49"/>
  <c r="DC405" i="49"/>
  <c r="CF429" i="49"/>
  <c r="CF291" i="49"/>
  <c r="CF302" i="49"/>
  <c r="BI418" i="49"/>
  <c r="DC231" i="49"/>
  <c r="DC80" i="49"/>
  <c r="R2" i="49"/>
  <c r="R505" i="49"/>
  <c r="CF270" i="49"/>
  <c r="CF232" i="49"/>
  <c r="CF401" i="49"/>
  <c r="AH345" i="49"/>
  <c r="BI206" i="49"/>
  <c r="CF422" i="49"/>
  <c r="BI476" i="49"/>
  <c r="BI423" i="49"/>
  <c r="DC432" i="49"/>
  <c r="CF193" i="49"/>
  <c r="AE473" i="49"/>
  <c r="AH304" i="49"/>
  <c r="CF287" i="49"/>
  <c r="DC364" i="49"/>
  <c r="CF264" i="49"/>
  <c r="DC374" i="49"/>
  <c r="AH376" i="49"/>
  <c r="AH362" i="49"/>
  <c r="DC176" i="49"/>
  <c r="DC258" i="49"/>
  <c r="AH80" i="49"/>
  <c r="AH151" i="49"/>
  <c r="AH421" i="49"/>
  <c r="AH175" i="49"/>
  <c r="AH289" i="49"/>
  <c r="DA479" i="49"/>
  <c r="DB479" i="49"/>
  <c r="CZ479" i="49"/>
  <c r="AE445" i="49"/>
  <c r="AH371" i="49"/>
  <c r="AH406" i="49"/>
  <c r="BI255" i="49"/>
  <c r="CZ34" i="49"/>
  <c r="DA34" i="49"/>
  <c r="DB34" i="49"/>
  <c r="AH272" i="49"/>
  <c r="DC255" i="49"/>
  <c r="DC270" i="49"/>
  <c r="CC463" i="49"/>
  <c r="CD463" i="49"/>
  <c r="CE463" i="49"/>
  <c r="DC237" i="49"/>
  <c r="DE332" i="49"/>
  <c r="DF332" i="49"/>
  <c r="DD332" i="49"/>
  <c r="CF284" i="49"/>
  <c r="CF147" i="49"/>
  <c r="AH244" i="49"/>
  <c r="BI105" i="49"/>
  <c r="AH399" i="49"/>
  <c r="BI270" i="49"/>
  <c r="BI401" i="49"/>
  <c r="AH239" i="49"/>
  <c r="AE466" i="49"/>
  <c r="AG466" i="49"/>
  <c r="AF466" i="49"/>
  <c r="DC272" i="49"/>
  <c r="DC238" i="49"/>
  <c r="BI137" i="49"/>
  <c r="BI480" i="49"/>
  <c r="BI62" i="49"/>
  <c r="AH417" i="49"/>
  <c r="AH332" i="49"/>
  <c r="DC345" i="49"/>
  <c r="DC287" i="49"/>
  <c r="CF276" i="49"/>
  <c r="CF369" i="49"/>
  <c r="DC288" i="49"/>
  <c r="DC71" i="49"/>
  <c r="CZ474" i="49"/>
  <c r="DA474" i="49"/>
  <c r="DB474" i="49"/>
  <c r="BK46" i="49"/>
  <c r="BL46" i="49"/>
  <c r="BJ46" i="49"/>
  <c r="CF238" i="49"/>
  <c r="AB34" i="49"/>
  <c r="AD34" i="49"/>
  <c r="T34" i="49"/>
  <c r="AB24" i="49"/>
  <c r="AD24" i="49"/>
  <c r="T24" i="49"/>
  <c r="AE458" i="49"/>
  <c r="AE467" i="49"/>
  <c r="AG467" i="49"/>
  <c r="AF467" i="49"/>
  <c r="AH397" i="49"/>
  <c r="AE457" i="49"/>
  <c r="DA22" i="49"/>
  <c r="DB22" i="49"/>
  <c r="CZ22" i="49"/>
  <c r="AH309" i="49"/>
  <c r="AH280" i="49"/>
  <c r="CC440" i="49"/>
  <c r="CD440" i="49"/>
  <c r="CE440" i="49"/>
  <c r="AE440" i="49"/>
  <c r="AG440" i="49"/>
  <c r="AF440" i="49"/>
  <c r="DA467" i="49"/>
  <c r="DB467" i="49"/>
  <c r="CZ467" i="49"/>
  <c r="BA18" i="49"/>
  <c r="AY500" i="49"/>
  <c r="AY2" i="49"/>
  <c r="AH263" i="49"/>
  <c r="AH251" i="49"/>
  <c r="CC355" i="49"/>
  <c r="CD355" i="49"/>
  <c r="CE355" i="49"/>
  <c r="BY500" i="49"/>
  <c r="BY2" i="49"/>
  <c r="BZ330" i="49"/>
  <c r="CA330" i="49"/>
  <c r="BI285" i="49"/>
  <c r="CF289" i="49"/>
  <c r="AH206" i="49"/>
  <c r="AH260" i="49"/>
  <c r="DC284" i="49"/>
  <c r="AH270" i="49"/>
  <c r="DA462" i="49"/>
  <c r="DB462" i="49"/>
  <c r="CZ462" i="49"/>
  <c r="AH286" i="49"/>
  <c r="DA25" i="49"/>
  <c r="DB25" i="49"/>
  <c r="CZ25" i="49"/>
  <c r="BI232" i="49"/>
  <c r="AH375" i="49"/>
  <c r="CF421" i="49"/>
  <c r="CF359" i="49"/>
  <c r="DC389" i="49"/>
  <c r="AH230" i="49"/>
  <c r="DC251" i="49"/>
  <c r="AH137" i="49"/>
  <c r="DC212" i="49"/>
  <c r="AH387" i="49"/>
  <c r="AH364" i="49"/>
  <c r="AH63" i="49"/>
  <c r="CF283" i="49"/>
  <c r="BI177" i="49"/>
  <c r="AB51" i="49"/>
  <c r="AD51" i="49"/>
  <c r="T51" i="49"/>
  <c r="AB21" i="49"/>
  <c r="AD21" i="49"/>
  <c r="T21" i="49"/>
  <c r="AB19" i="49"/>
  <c r="AD19" i="49"/>
  <c r="T19" i="49"/>
  <c r="CF269" i="49"/>
  <c r="BI422" i="49"/>
  <c r="AE439" i="49"/>
  <c r="AE464" i="49"/>
  <c r="AG464" i="49"/>
  <c r="AF464" i="49"/>
  <c r="DA456" i="49"/>
  <c r="DB456" i="49"/>
  <c r="CZ456" i="49"/>
  <c r="AH222" i="49"/>
  <c r="AI419" i="49"/>
  <c r="AJ419" i="49"/>
  <c r="AK419" i="49"/>
  <c r="CC479" i="49"/>
  <c r="CD479" i="49"/>
  <c r="CE479" i="49"/>
  <c r="AE463" i="49"/>
  <c r="AG463" i="49"/>
  <c r="AF463" i="49"/>
  <c r="AH298" i="49"/>
  <c r="AH422" i="49"/>
  <c r="AI607" i="46"/>
  <c r="AI2" i="46"/>
  <c r="AH302" i="49"/>
  <c r="AH288" i="49"/>
  <c r="AH207" i="49"/>
  <c r="DA355" i="49"/>
  <c r="DB355" i="49"/>
  <c r="CZ355" i="49"/>
  <c r="AH212" i="49"/>
  <c r="DC477" i="49"/>
  <c r="CF294" i="49"/>
  <c r="CF416" i="49"/>
  <c r="AH476" i="49"/>
  <c r="AH195" i="49"/>
  <c r="DC276" i="49"/>
  <c r="DC424" i="49"/>
  <c r="CF62" i="49"/>
  <c r="CF370" i="49"/>
  <c r="AH405" i="49"/>
  <c r="AH182" i="49"/>
  <c r="AH259" i="49"/>
  <c r="AB25" i="49"/>
  <c r="AD25" i="49"/>
  <c r="T25" i="49"/>
  <c r="AB20" i="49"/>
  <c r="AD20" i="49"/>
  <c r="T20" i="49"/>
  <c r="AB35" i="49"/>
  <c r="AD35" i="49"/>
  <c r="T35" i="49"/>
  <c r="DC294" i="49"/>
  <c r="BI407" i="49"/>
  <c r="DA459" i="49"/>
  <c r="DB459" i="49"/>
  <c r="CZ459" i="49"/>
  <c r="AH241" i="49"/>
  <c r="DA35" i="49"/>
  <c r="DB35" i="49"/>
  <c r="CZ35" i="49"/>
  <c r="BI367" i="49"/>
  <c r="DC264" i="49"/>
  <c r="DC280" i="49"/>
  <c r="DC181" i="49"/>
  <c r="CC474" i="49"/>
  <c r="CD474" i="49"/>
  <c r="CE474" i="49"/>
  <c r="AH389" i="49"/>
  <c r="CF424" i="49"/>
  <c r="AH62" i="49"/>
  <c r="CF480" i="49"/>
  <c r="BI417" i="49"/>
  <c r="AH279" i="49"/>
  <c r="CF391" i="49"/>
  <c r="CF353" i="49"/>
  <c r="CF418" i="49"/>
  <c r="DA465" i="49"/>
  <c r="DB465" i="49"/>
  <c r="CZ465" i="49"/>
  <c r="DC137" i="49"/>
  <c r="DC254" i="49"/>
  <c r="DC426" i="49"/>
  <c r="DC309" i="49"/>
  <c r="CF257" i="49"/>
  <c r="BI237" i="49"/>
  <c r="CF263" i="49"/>
  <c r="CF297" i="49"/>
  <c r="CF345" i="49"/>
  <c r="CF53" i="49"/>
  <c r="BI397" i="49"/>
  <c r="AH291" i="49"/>
  <c r="AH232" i="49"/>
  <c r="BI424" i="49"/>
  <c r="BI193" i="49"/>
  <c r="AH392" i="49"/>
  <c r="CF381" i="49"/>
  <c r="CF41" i="49"/>
  <c r="BF479" i="49"/>
  <c r="BG479" i="49"/>
  <c r="BH479" i="49"/>
  <c r="DC151" i="49"/>
  <c r="CF216" i="49"/>
  <c r="AE447" i="49"/>
  <c r="AE438" i="49"/>
  <c r="AH396" i="49"/>
  <c r="CD452" i="49"/>
  <c r="CE452" i="49"/>
  <c r="CC452" i="49"/>
  <c r="AH344" i="49"/>
  <c r="BI345" i="49"/>
  <c r="AH328" i="49"/>
  <c r="AH607" i="46"/>
  <c r="AH2" i="46"/>
  <c r="AH432" i="49"/>
  <c r="AH402" i="49"/>
  <c r="AH284" i="49"/>
  <c r="AH287" i="49"/>
  <c r="AE446" i="49"/>
  <c r="AH327" i="49"/>
  <c r="AH178" i="49"/>
  <c r="AH416" i="49"/>
  <c r="DA466" i="49"/>
  <c r="DB466" i="49"/>
  <c r="CZ466" i="49"/>
  <c r="CC443" i="49"/>
  <c r="CD443" i="49"/>
  <c r="CE443" i="49"/>
  <c r="AH282" i="49"/>
  <c r="DC402" i="49"/>
  <c r="AH228" i="49"/>
  <c r="AH273" i="49"/>
  <c r="DC488" i="49"/>
  <c r="DC171" i="49"/>
  <c r="DC236" i="49"/>
  <c r="DA32" i="49"/>
  <c r="DB32" i="49"/>
  <c r="CZ32" i="49"/>
  <c r="BI415" i="49"/>
  <c r="AH276" i="49"/>
  <c r="DC263" i="49"/>
  <c r="DC226" i="49"/>
  <c r="CF309" i="49"/>
  <c r="CF168" i="49"/>
  <c r="CF223" i="49"/>
  <c r="S505" i="49"/>
  <c r="S2" i="49"/>
  <c r="AH171" i="49"/>
  <c r="AB39" i="49"/>
  <c r="AD39" i="49"/>
  <c r="T39" i="49"/>
  <c r="AB17" i="49"/>
  <c r="T17" i="49"/>
  <c r="P500" i="49"/>
  <c r="AB31" i="49"/>
  <c r="AD31" i="49"/>
  <c r="T31" i="49"/>
  <c r="DC221" i="49"/>
  <c r="BI344" i="49"/>
  <c r="DC347" i="49"/>
  <c r="DC147" i="49"/>
  <c r="DC273" i="49"/>
  <c r="CF344" i="49"/>
  <c r="AH431" i="49"/>
  <c r="AH53" i="49"/>
  <c r="CC40" i="49"/>
  <c r="CD40" i="49"/>
  <c r="CE40" i="49"/>
  <c r="CF396" i="49"/>
  <c r="AE450" i="49"/>
  <c r="BK328" i="49"/>
  <c r="BL328" i="49"/>
  <c r="BJ328" i="49"/>
  <c r="BK327" i="49"/>
  <c r="BL327" i="49"/>
  <c r="BJ327" i="49"/>
  <c r="CW445" i="49"/>
  <c r="CX445" i="49"/>
  <c r="DC302" i="49"/>
  <c r="DC53" i="49"/>
  <c r="DC417" i="49"/>
  <c r="CF71" i="49"/>
  <c r="BI371" i="49"/>
  <c r="AE461" i="49"/>
  <c r="CF63" i="49"/>
  <c r="BI399" i="49"/>
  <c r="CF476" i="49"/>
  <c r="BI181" i="49"/>
  <c r="BI347" i="49"/>
  <c r="CF137" i="49"/>
  <c r="BI398" i="49"/>
  <c r="AE469" i="49"/>
  <c r="AG469" i="49"/>
  <c r="AF469" i="49"/>
  <c r="AH488" i="49"/>
  <c r="AH168" i="49"/>
  <c r="CF177" i="49"/>
  <c r="DC371" i="49"/>
  <c r="DC431" i="49"/>
  <c r="CF230" i="49"/>
  <c r="CC469" i="49"/>
  <c r="CD469" i="49"/>
  <c r="CE469" i="49"/>
  <c r="CF328" i="49"/>
  <c r="DC63" i="49"/>
  <c r="BI288" i="49"/>
  <c r="AH256" i="49"/>
  <c r="DC416" i="49"/>
  <c r="AH374" i="49"/>
  <c r="CF415" i="49"/>
  <c r="AH378" i="49"/>
  <c r="AH347" i="49"/>
  <c r="AH213" i="49"/>
  <c r="AH191" i="49"/>
  <c r="AE460" i="49"/>
  <c r="BF462" i="49"/>
  <c r="BG462" i="49"/>
  <c r="BH462" i="49"/>
  <c r="BB36" i="49"/>
  <c r="CC456" i="49"/>
  <c r="CD456" i="49"/>
  <c r="CE456" i="49"/>
  <c r="BI309" i="49"/>
  <c r="DC228" i="49"/>
  <c r="DC283" i="49"/>
  <c r="DC193" i="49"/>
  <c r="DE327" i="49"/>
  <c r="DF327" i="49"/>
  <c r="DD327" i="49"/>
  <c r="AH188" i="49"/>
  <c r="DC232" i="49"/>
  <c r="CF272" i="49"/>
  <c r="CF202" i="49"/>
  <c r="CF364" i="49"/>
  <c r="AH176" i="49"/>
  <c r="AH181" i="49"/>
  <c r="AH223" i="49"/>
  <c r="AE5" i="49"/>
  <c r="AG5" i="49"/>
  <c r="AF5" i="49"/>
  <c r="AH415" i="49"/>
  <c r="AH394" i="49"/>
  <c r="BI403" i="49"/>
  <c r="BI273" i="49"/>
  <c r="DC376" i="49"/>
  <c r="AH202" i="49"/>
  <c r="DC175" i="49"/>
  <c r="BF469" i="49"/>
  <c r="BG469" i="49"/>
  <c r="BH469" i="49"/>
  <c r="AE456" i="49"/>
  <c r="AG456" i="49"/>
  <c r="AF456" i="49"/>
  <c r="CF222" i="49"/>
  <c r="DA31" i="49"/>
  <c r="DB31" i="49"/>
  <c r="CZ31" i="49"/>
  <c r="CF259" i="49"/>
  <c r="CF374" i="49"/>
  <c r="CF387" i="49"/>
  <c r="BI272" i="49"/>
  <c r="BI375" i="49"/>
  <c r="BK329" i="49"/>
  <c r="BL329" i="49"/>
  <c r="BJ329" i="49"/>
  <c r="DC397" i="49"/>
  <c r="DC168" i="49"/>
  <c r="AE474" i="49"/>
  <c r="AG474" i="49"/>
  <c r="AF474" i="49"/>
  <c r="BI182" i="49"/>
  <c r="DA40" i="49"/>
  <c r="DB40" i="49"/>
  <c r="CZ40" i="49"/>
  <c r="DC396" i="49"/>
  <c r="DC353" i="49"/>
  <c r="BI394" i="49"/>
  <c r="DC398" i="49"/>
  <c r="BI289" i="49"/>
  <c r="AH254" i="49"/>
  <c r="AH411" i="49"/>
  <c r="CF426" i="49"/>
  <c r="AI355" i="49"/>
  <c r="AJ355" i="49"/>
  <c r="AK355" i="49"/>
  <c r="AB23" i="49"/>
  <c r="AD23" i="49"/>
  <c r="T23" i="49"/>
  <c r="AB22" i="49"/>
  <c r="AD22" i="49"/>
  <c r="T22" i="49"/>
  <c r="AL50" i="46"/>
  <c r="AE441" i="49"/>
  <c r="AE468" i="49"/>
  <c r="AH226" i="49"/>
  <c r="AH293" i="49"/>
  <c r="AH297" i="49"/>
  <c r="AH300" i="49"/>
  <c r="AH426" i="49"/>
  <c r="AE459" i="49"/>
  <c r="DA21" i="49"/>
  <c r="DB21" i="49"/>
  <c r="CZ21" i="49"/>
  <c r="AH418" i="49"/>
  <c r="AH264" i="49"/>
  <c r="AH221" i="49"/>
  <c r="BK332" i="49"/>
  <c r="BL332" i="49"/>
  <c r="BJ332" i="49"/>
  <c r="CB5" i="49"/>
  <c r="DA452" i="49"/>
  <c r="DB452" i="49"/>
  <c r="CZ452" i="49"/>
  <c r="BI269" i="49"/>
  <c r="BI291" i="49"/>
  <c r="AH407" i="49"/>
  <c r="CF411" i="49"/>
  <c r="AH211" i="49"/>
  <c r="AH237" i="49"/>
  <c r="AH210" i="49"/>
  <c r="CW447" i="49"/>
  <c r="CX447" i="49"/>
  <c r="CC466" i="49"/>
  <c r="CD466" i="49"/>
  <c r="CE466" i="49"/>
  <c r="AH359" i="49"/>
  <c r="BI147" i="49"/>
  <c r="AH429" i="49"/>
  <c r="CZ469" i="49"/>
  <c r="DA469" i="49"/>
  <c r="DB469" i="49"/>
  <c r="CW446" i="49"/>
  <c r="CX446" i="49"/>
  <c r="CW475" i="49"/>
  <c r="CX475" i="49"/>
  <c r="CW26" i="49"/>
  <c r="CX26" i="49"/>
  <c r="DC480" i="49"/>
  <c r="AH71" i="49"/>
  <c r="DC269" i="49"/>
  <c r="CC465" i="49"/>
  <c r="CD465" i="49"/>
  <c r="CE465" i="49"/>
  <c r="BI370" i="49"/>
  <c r="AH193" i="49"/>
  <c r="BI263" i="49"/>
  <c r="BI176" i="49"/>
  <c r="DC244" i="49"/>
  <c r="BI202" i="49"/>
  <c r="AE452" i="49"/>
  <c r="DC403" i="49"/>
  <c r="BI280" i="49"/>
  <c r="DC229" i="49"/>
  <c r="CF182" i="49"/>
  <c r="CF239" i="49"/>
  <c r="CF398" i="49"/>
  <c r="BI416" i="49"/>
  <c r="BI244" i="49"/>
  <c r="CF228" i="49"/>
  <c r="CF258" i="49"/>
  <c r="CF407" i="49"/>
  <c r="DC381" i="49"/>
  <c r="DC289" i="49"/>
  <c r="DC291" i="49"/>
  <c r="AH246" i="49"/>
  <c r="CF213" i="49"/>
  <c r="DC422" i="49"/>
  <c r="DC62" i="49"/>
  <c r="AH229" i="49"/>
  <c r="DC182" i="49"/>
  <c r="DC242" i="49"/>
  <c r="DC216" i="49"/>
  <c r="CF255" i="49"/>
  <c r="CF288" i="49"/>
  <c r="BI405" i="49"/>
  <c r="CF417" i="49"/>
  <c r="AE442" i="49"/>
  <c r="AE462" i="49"/>
  <c r="AG462" i="49"/>
  <c r="AF462" i="49"/>
  <c r="AH480" i="49"/>
  <c r="DE328" i="49"/>
  <c r="DF328" i="49"/>
  <c r="DD328" i="49"/>
  <c r="AB37" i="49"/>
  <c r="AD37" i="49"/>
  <c r="T37" i="49"/>
  <c r="AB33" i="49"/>
  <c r="AD33" i="49"/>
  <c r="T33" i="49"/>
  <c r="AB18" i="49"/>
  <c r="AD18" i="49"/>
  <c r="T18" i="49"/>
  <c r="AE451" i="49"/>
  <c r="AE448" i="49"/>
  <c r="AE475" i="49"/>
  <c r="DA472" i="49"/>
  <c r="DB472" i="49"/>
  <c r="CZ472" i="49"/>
  <c r="CZ18" i="49"/>
  <c r="DA18" i="49"/>
  <c r="DB18" i="49"/>
  <c r="AH294" i="49"/>
  <c r="AH285" i="49"/>
  <c r="CW494" i="49"/>
  <c r="CX494" i="49"/>
  <c r="CW75" i="49"/>
  <c r="CX75" i="49"/>
  <c r="CW167" i="49"/>
  <c r="CX167" i="49"/>
  <c r="CW385" i="49"/>
  <c r="CX385" i="49"/>
  <c r="CW491" i="49"/>
  <c r="CX491" i="49"/>
  <c r="CW493" i="49"/>
  <c r="CX493" i="49"/>
  <c r="CW73" i="49"/>
  <c r="CX73" i="49"/>
  <c r="CW69" i="49"/>
  <c r="CX69" i="49"/>
  <c r="CW489" i="49"/>
  <c r="CX489" i="49"/>
  <c r="CW360" i="49"/>
  <c r="CX360" i="49"/>
  <c r="CW29" i="49"/>
  <c r="CX29" i="49"/>
  <c r="CW96" i="49"/>
  <c r="CX96" i="49"/>
  <c r="CW454" i="49"/>
  <c r="CX454" i="49"/>
  <c r="CW319" i="49"/>
  <c r="CX319" i="49"/>
  <c r="CW471" i="49"/>
  <c r="CX471" i="49"/>
  <c r="CW449" i="49"/>
  <c r="CX449" i="49"/>
  <c r="CW470" i="49"/>
  <c r="CX470" i="49"/>
  <c r="CW490" i="49"/>
  <c r="CX490" i="49"/>
  <c r="CW47" i="49"/>
  <c r="CX47" i="49"/>
  <c r="CW93" i="49"/>
  <c r="CX93" i="49"/>
  <c r="CW361" i="49"/>
  <c r="CX361" i="49"/>
  <c r="CW363" i="49"/>
  <c r="CX363" i="49"/>
  <c r="CW317" i="49"/>
  <c r="CX317" i="49"/>
  <c r="CW313" i="49"/>
  <c r="CX313" i="49"/>
  <c r="CW315" i="49"/>
  <c r="CX315" i="49"/>
  <c r="CW12" i="49"/>
  <c r="CX12" i="49"/>
  <c r="CW323" i="49"/>
  <c r="CX323" i="49"/>
  <c r="CW28" i="49"/>
  <c r="CX28" i="49"/>
  <c r="CW322" i="49"/>
  <c r="CX322" i="49"/>
  <c r="CW7" i="49"/>
  <c r="CX7" i="49"/>
  <c r="CW15" i="49"/>
  <c r="CX15" i="49"/>
  <c r="CW326" i="49"/>
  <c r="CX326" i="49"/>
  <c r="CW314" i="49"/>
  <c r="CX314" i="49"/>
  <c r="CW320" i="49"/>
  <c r="CX320" i="49"/>
  <c r="CW9" i="49"/>
  <c r="CX9" i="49"/>
  <c r="CW427" i="49"/>
  <c r="CX427" i="49"/>
  <c r="CW94" i="49"/>
  <c r="CX94" i="49"/>
  <c r="CW132" i="49"/>
  <c r="CX132" i="49"/>
  <c r="CW138" i="49"/>
  <c r="CX138" i="49"/>
  <c r="CW214" i="49"/>
  <c r="CX214" i="49"/>
  <c r="CW218" i="49"/>
  <c r="CX218" i="49"/>
  <c r="CW134" i="49"/>
  <c r="CX134" i="49"/>
  <c r="CW275" i="49"/>
  <c r="CX275" i="49"/>
  <c r="CW150" i="49"/>
  <c r="CX150" i="49"/>
  <c r="CW312" i="49"/>
  <c r="CX312" i="49"/>
  <c r="CW342" i="49"/>
  <c r="CX342" i="49"/>
  <c r="CW57" i="49"/>
  <c r="CX57" i="49"/>
  <c r="CW41" i="49"/>
  <c r="CX41" i="49"/>
  <c r="CW357" i="49"/>
  <c r="CX357" i="49"/>
  <c r="CW329" i="49"/>
  <c r="CX329" i="49"/>
  <c r="CW86" i="49"/>
  <c r="CX86" i="49"/>
  <c r="CW190" i="49"/>
  <c r="CX190" i="49"/>
  <c r="CW200" i="49"/>
  <c r="CX200" i="49"/>
  <c r="CW188" i="49"/>
  <c r="CX188" i="49"/>
  <c r="CW343" i="49"/>
  <c r="CX343" i="49"/>
  <c r="CW436" i="49"/>
  <c r="CX436" i="49"/>
  <c r="CW366" i="49"/>
  <c r="CX366" i="49"/>
  <c r="CW428" i="49"/>
  <c r="CX428" i="49"/>
  <c r="CW235" i="49"/>
  <c r="CX235" i="49"/>
  <c r="CW220" i="49"/>
  <c r="CX220" i="49"/>
  <c r="CW160" i="49"/>
  <c r="CX160" i="49"/>
  <c r="CW166" i="49"/>
  <c r="CX166" i="49"/>
  <c r="CW241" i="49"/>
  <c r="CX241" i="49"/>
  <c r="CW434" i="49"/>
  <c r="CX434" i="49"/>
  <c r="CW368" i="49"/>
  <c r="CX368" i="49"/>
  <c r="CW388" i="49"/>
  <c r="CX388" i="49"/>
  <c r="CW209" i="49"/>
  <c r="CX209" i="49"/>
  <c r="CW310" i="49"/>
  <c r="CX310" i="49"/>
  <c r="CW10" i="49"/>
  <c r="CX10" i="49"/>
  <c r="CW430" i="49"/>
  <c r="CX430" i="49"/>
  <c r="CW179" i="49"/>
  <c r="CX179" i="49"/>
  <c r="CW316" i="49"/>
  <c r="CX316" i="49"/>
  <c r="CW410" i="49"/>
  <c r="CX410" i="49"/>
  <c r="CW54" i="49"/>
  <c r="CX54" i="49"/>
  <c r="CW348" i="49"/>
  <c r="CX348" i="49"/>
  <c r="CW83" i="49"/>
  <c r="CX83" i="49"/>
  <c r="CW89" i="49"/>
  <c r="CX89" i="49"/>
  <c r="CW108" i="49"/>
  <c r="CX108" i="49"/>
  <c r="CW307" i="49"/>
  <c r="CX307" i="49"/>
  <c r="CW189" i="49"/>
  <c r="CX189" i="49"/>
  <c r="CW249" i="49"/>
  <c r="CX249" i="49"/>
  <c r="CW208" i="49"/>
  <c r="CX208" i="49"/>
  <c r="CW257" i="49"/>
  <c r="CX257" i="49"/>
  <c r="CW298" i="49"/>
  <c r="CX298" i="49"/>
  <c r="CW205" i="49"/>
  <c r="CX205" i="49"/>
  <c r="CW337" i="49"/>
  <c r="CX337" i="49"/>
  <c r="CW350" i="49"/>
  <c r="CX350" i="49"/>
  <c r="CW392" i="49"/>
  <c r="CX392" i="49"/>
  <c r="CW395" i="49"/>
  <c r="CX395" i="49"/>
  <c r="CW331" i="49"/>
  <c r="CX331" i="49"/>
  <c r="CW125" i="49"/>
  <c r="CX125" i="49"/>
  <c r="CW128" i="49"/>
  <c r="CX128" i="49"/>
  <c r="CW279" i="49"/>
  <c r="CX279" i="49"/>
  <c r="CW268" i="49"/>
  <c r="CX268" i="49"/>
  <c r="CW183" i="49"/>
  <c r="CX183" i="49"/>
  <c r="CW178" i="49"/>
  <c r="CX178" i="49"/>
  <c r="CW44" i="49"/>
  <c r="CX44" i="49"/>
  <c r="CW384" i="49"/>
  <c r="CX384" i="49"/>
  <c r="CW106" i="49"/>
  <c r="CX106" i="49"/>
  <c r="CW115" i="49"/>
  <c r="CX115" i="49"/>
  <c r="CW271" i="49"/>
  <c r="CX271" i="49"/>
  <c r="CW227" i="49"/>
  <c r="CX227" i="49"/>
  <c r="CW341" i="49"/>
  <c r="CX341" i="49"/>
  <c r="CW11" i="49"/>
  <c r="CX11" i="49"/>
  <c r="CW56" i="49"/>
  <c r="CX56" i="49"/>
  <c r="CW382" i="49"/>
  <c r="CX382" i="49"/>
  <c r="CW400" i="49"/>
  <c r="CX400" i="49"/>
  <c r="CW380" i="49"/>
  <c r="CX380" i="49"/>
  <c r="CW409" i="49"/>
  <c r="CX409" i="49"/>
  <c r="CW121" i="49"/>
  <c r="CX121" i="49"/>
  <c r="CW91" i="49"/>
  <c r="CX91" i="49"/>
  <c r="CW305" i="49"/>
  <c r="CX305" i="49"/>
  <c r="CW336" i="49"/>
  <c r="CX336" i="49"/>
  <c r="CW16" i="49"/>
  <c r="CX16" i="49"/>
  <c r="CW6" i="49"/>
  <c r="CX6" i="49"/>
  <c r="CW154" i="49"/>
  <c r="CX154" i="49"/>
  <c r="CW201" i="49"/>
  <c r="CX201" i="49"/>
  <c r="CW165" i="49"/>
  <c r="CX165" i="49"/>
  <c r="CW140" i="49"/>
  <c r="CX140" i="49"/>
  <c r="CW478" i="49"/>
  <c r="CX478" i="49"/>
  <c r="CW162" i="49"/>
  <c r="CX162" i="49"/>
  <c r="CW311" i="49"/>
  <c r="CX311" i="49"/>
  <c r="CW146" i="49"/>
  <c r="CX146" i="49"/>
  <c r="CW169" i="49"/>
  <c r="CX169" i="49"/>
  <c r="CW411" i="49"/>
  <c r="CX411" i="49"/>
  <c r="CW423" i="49"/>
  <c r="CX423" i="49"/>
  <c r="CW82" i="49"/>
  <c r="CX82" i="49"/>
  <c r="CW119" i="49"/>
  <c r="CX119" i="49"/>
  <c r="CW85" i="49"/>
  <c r="CX85" i="49"/>
  <c r="CW164" i="49"/>
  <c r="CX164" i="49"/>
  <c r="CW299" i="49"/>
  <c r="CX299" i="49"/>
  <c r="CW250" i="49"/>
  <c r="CX250" i="49"/>
  <c r="CW158" i="49"/>
  <c r="CX158" i="49"/>
  <c r="CW292" i="49"/>
  <c r="CX292" i="49"/>
  <c r="CW192" i="49"/>
  <c r="CX192" i="49"/>
  <c r="CW261" i="49"/>
  <c r="CX261" i="49"/>
  <c r="CW135" i="49"/>
  <c r="CX135" i="49"/>
  <c r="CW256" i="49"/>
  <c r="CX256" i="49"/>
  <c r="CW110" i="49"/>
  <c r="CX110" i="49"/>
  <c r="CW252" i="49"/>
  <c r="CX252" i="49"/>
  <c r="CW120" i="49"/>
  <c r="CX120" i="49"/>
  <c r="CW66" i="49"/>
  <c r="CX66" i="49"/>
  <c r="CW247" i="49"/>
  <c r="CX247" i="49"/>
  <c r="CW358" i="49"/>
  <c r="CX358" i="49"/>
  <c r="CW142" i="49"/>
  <c r="CX142" i="49"/>
  <c r="CW42" i="49"/>
  <c r="CX42" i="49"/>
  <c r="CW61" i="49"/>
  <c r="CX61" i="49"/>
  <c r="CW211" i="49"/>
  <c r="CX211" i="49"/>
  <c r="CW404" i="49"/>
  <c r="CX404" i="49"/>
  <c r="CW104" i="49"/>
  <c r="CX104" i="49"/>
  <c r="CW117" i="49"/>
  <c r="CX117" i="49"/>
  <c r="CW415" i="49"/>
  <c r="CX415" i="49"/>
  <c r="CW136" i="49"/>
  <c r="CX136" i="49"/>
  <c r="CW308" i="49"/>
  <c r="CX308" i="49"/>
  <c r="CW293" i="49"/>
  <c r="CX293" i="49"/>
  <c r="CW442" i="49"/>
  <c r="CX442" i="49"/>
  <c r="CW468" i="49"/>
  <c r="CX468" i="49"/>
  <c r="CW33" i="49"/>
  <c r="CX33" i="49"/>
  <c r="CW30" i="49"/>
  <c r="CX30" i="49"/>
  <c r="CW20" i="49"/>
  <c r="CX20" i="49"/>
  <c r="CW68" i="49"/>
  <c r="CX68" i="49"/>
  <c r="CW59" i="49"/>
  <c r="CX59" i="49"/>
  <c r="CW485" i="49"/>
  <c r="CX485" i="49"/>
  <c r="CW295" i="49"/>
  <c r="CX295" i="49"/>
  <c r="CW377" i="49"/>
  <c r="CX377" i="49"/>
  <c r="CW335" i="49"/>
  <c r="CX335" i="49"/>
  <c r="CW163" i="49"/>
  <c r="CX163" i="49"/>
  <c r="CW156" i="49"/>
  <c r="CX156" i="49"/>
  <c r="CW297" i="49"/>
  <c r="CX297" i="49"/>
  <c r="CW130" i="49"/>
  <c r="CX130" i="49"/>
  <c r="CW425" i="49"/>
  <c r="CX425" i="49"/>
  <c r="CW55" i="49"/>
  <c r="CX55" i="49"/>
  <c r="CW101" i="49"/>
  <c r="CX101" i="49"/>
  <c r="CW149" i="49"/>
  <c r="CX149" i="49"/>
  <c r="CW245" i="49"/>
  <c r="CX245" i="49"/>
  <c r="CW413" i="49"/>
  <c r="CX413" i="49"/>
  <c r="CW126" i="49"/>
  <c r="CX126" i="49"/>
  <c r="CW194" i="49"/>
  <c r="CX194" i="49"/>
  <c r="CW141" i="49"/>
  <c r="CX141" i="49"/>
  <c r="CW27" i="49"/>
  <c r="CX27" i="49"/>
  <c r="CW109" i="49"/>
  <c r="CX109" i="49"/>
  <c r="CW67" i="49"/>
  <c r="CX67" i="49"/>
  <c r="CW281" i="49"/>
  <c r="CX281" i="49"/>
  <c r="CW84" i="49"/>
  <c r="CX84" i="49"/>
  <c r="CW36" i="49"/>
  <c r="CX36" i="49"/>
  <c r="CW444" i="49"/>
  <c r="CX444" i="49"/>
  <c r="CW45" i="49"/>
  <c r="CX45" i="49"/>
  <c r="CW207" i="49"/>
  <c r="CX207" i="49"/>
  <c r="CW17" i="49"/>
  <c r="CX17" i="49"/>
  <c r="CW373" i="49"/>
  <c r="CX373" i="49"/>
  <c r="CW102" i="49"/>
  <c r="CX102" i="49"/>
  <c r="CW487" i="49"/>
  <c r="CX487" i="49"/>
  <c r="CW300" i="49"/>
  <c r="CX300" i="49"/>
  <c r="CW186" i="49"/>
  <c r="CX186" i="49"/>
  <c r="CW153" i="49"/>
  <c r="CX153" i="49"/>
  <c r="CW365" i="49"/>
  <c r="CX365" i="49"/>
  <c r="CW199" i="49"/>
  <c r="CX199" i="49"/>
  <c r="CW124" i="49"/>
  <c r="CX124" i="49"/>
  <c r="CW301" i="49"/>
  <c r="CX301" i="49"/>
  <c r="CW481" i="49"/>
  <c r="CX481" i="49"/>
  <c r="CW383" i="49"/>
  <c r="CX383" i="49"/>
  <c r="CW351" i="49"/>
  <c r="CX351" i="49"/>
  <c r="CW352" i="49"/>
  <c r="CX352" i="49"/>
  <c r="CW248" i="49"/>
  <c r="CX248" i="49"/>
  <c r="CW486" i="49"/>
  <c r="CX486" i="49"/>
  <c r="CW185" i="49"/>
  <c r="CX185" i="49"/>
  <c r="CW265" i="49"/>
  <c r="CX265" i="49"/>
  <c r="CW437" i="49"/>
  <c r="CX437" i="49"/>
  <c r="CW418" i="49"/>
  <c r="CX418" i="49"/>
  <c r="CW349" i="49"/>
  <c r="CX349" i="49"/>
  <c r="CW131" i="49"/>
  <c r="CX131" i="49"/>
  <c r="CW46" i="49"/>
  <c r="CX46" i="49"/>
  <c r="CW172" i="49"/>
  <c r="CX172" i="49"/>
  <c r="CW107" i="49"/>
  <c r="CX107" i="49"/>
  <c r="CW234" i="49"/>
  <c r="CX234" i="49"/>
  <c r="CW240" i="49"/>
  <c r="CX240" i="49"/>
  <c r="CW260" i="49"/>
  <c r="CX260" i="49"/>
  <c r="CW450" i="49"/>
  <c r="CX450" i="49"/>
  <c r="CW461" i="49"/>
  <c r="CX461" i="49"/>
  <c r="CW435" i="49"/>
  <c r="CX435" i="49"/>
  <c r="CW334" i="49"/>
  <c r="CX334" i="49"/>
  <c r="CW453" i="49"/>
  <c r="CX453" i="49"/>
  <c r="CW103" i="49"/>
  <c r="CX103" i="49"/>
  <c r="CW346" i="49"/>
  <c r="CX346" i="49"/>
  <c r="CW152" i="49"/>
  <c r="CX152" i="49"/>
  <c r="CW77" i="49"/>
  <c r="CX77" i="49"/>
  <c r="CW338" i="49"/>
  <c r="CX338" i="49"/>
  <c r="CW79" i="49"/>
  <c r="CX79" i="49"/>
  <c r="CW157" i="49"/>
  <c r="CX157" i="49"/>
  <c r="CW243" i="49"/>
  <c r="CX243" i="49"/>
  <c r="CW118" i="49"/>
  <c r="CX118" i="49"/>
  <c r="CW367" i="49"/>
  <c r="CX367" i="49"/>
  <c r="CW133" i="49"/>
  <c r="CX133" i="49"/>
  <c r="CW144" i="49"/>
  <c r="CX144" i="49"/>
  <c r="CW278" i="49"/>
  <c r="CX278" i="49"/>
  <c r="CW296" i="49"/>
  <c r="CX296" i="49"/>
  <c r="CW114" i="49"/>
  <c r="CX114" i="49"/>
  <c r="CW233" i="49"/>
  <c r="CX233" i="49"/>
  <c r="CW217" i="49"/>
  <c r="CX217" i="49"/>
  <c r="CW100" i="49"/>
  <c r="CX100" i="49"/>
  <c r="CW65" i="49"/>
  <c r="CX65" i="49"/>
  <c r="CW39" i="49"/>
  <c r="CX39" i="49"/>
  <c r="CW333" i="49"/>
  <c r="CX333" i="49"/>
  <c r="CW267" i="49"/>
  <c r="CX267" i="49"/>
  <c r="CW145" i="49"/>
  <c r="CX145" i="49"/>
  <c r="CW99" i="49"/>
  <c r="CX99" i="49"/>
  <c r="CW97" i="49"/>
  <c r="CX97" i="49"/>
  <c r="CW173" i="49"/>
  <c r="CX173" i="49"/>
  <c r="CW111" i="49"/>
  <c r="CX111" i="49"/>
  <c r="CW372" i="49"/>
  <c r="CX372" i="49"/>
  <c r="CW460" i="49"/>
  <c r="CX460" i="49"/>
  <c r="CW441" i="49"/>
  <c r="CX441" i="49"/>
  <c r="CW438" i="49"/>
  <c r="CX438" i="49"/>
  <c r="CW159" i="49"/>
  <c r="CX159" i="49"/>
  <c r="CW19" i="49"/>
  <c r="CX19" i="49"/>
  <c r="CC22" i="49"/>
  <c r="CD22" i="49"/>
  <c r="CE22" i="49"/>
  <c r="AE443" i="49"/>
  <c r="AG443" i="49"/>
  <c r="AF443" i="49"/>
  <c r="AH269" i="49"/>
  <c r="AH283" i="49"/>
  <c r="AH249" i="49"/>
  <c r="DC223" i="49"/>
  <c r="AH369" i="49"/>
  <c r="BE40" i="49"/>
  <c r="AH308" i="49"/>
  <c r="AH255" i="49"/>
  <c r="CC34" i="49"/>
  <c r="CD34" i="49"/>
  <c r="CE34" i="49"/>
  <c r="BI239" i="49"/>
  <c r="BI98" i="49"/>
  <c r="AH242" i="49"/>
  <c r="AH231" i="49"/>
  <c r="AH177" i="49"/>
  <c r="DC370" i="49"/>
  <c r="DC482" i="49"/>
  <c r="DC259" i="49"/>
  <c r="CF286" i="49"/>
  <c r="CF347" i="49"/>
  <c r="AH238" i="49"/>
  <c r="AB40" i="49"/>
  <c r="AD40" i="49"/>
  <c r="T40" i="49"/>
  <c r="AB26" i="49"/>
  <c r="AD26" i="49"/>
  <c r="T26" i="49"/>
  <c r="AB27" i="49"/>
  <c r="AD27" i="49"/>
  <c r="T27" i="49"/>
  <c r="BI381" i="49"/>
  <c r="AH479" i="49"/>
  <c r="DC286" i="49"/>
  <c r="DC304" i="49"/>
  <c r="CF171" i="49"/>
  <c r="AH370" i="49"/>
  <c r="CW457" i="49"/>
  <c r="CX457" i="49"/>
  <c r="CW496" i="49"/>
  <c r="CX496" i="49"/>
  <c r="CF406" i="49"/>
  <c r="CC459" i="49"/>
  <c r="CD459" i="49"/>
  <c r="CE459" i="49"/>
  <c r="BI175" i="49"/>
  <c r="CF176" i="49"/>
  <c r="AH262" i="49"/>
  <c r="BI392" i="49"/>
  <c r="CF403" i="49"/>
  <c r="CF46" i="49"/>
  <c r="BI391" i="49"/>
  <c r="DC206" i="49"/>
  <c r="CD464" i="49"/>
  <c r="CE464" i="49"/>
  <c r="CC464" i="49"/>
  <c r="BI369" i="49"/>
  <c r="DC362" i="49"/>
  <c r="BI287" i="49"/>
  <c r="AH236" i="49"/>
  <c r="AH403" i="49"/>
  <c r="AH401" i="49"/>
  <c r="CF362" i="49"/>
  <c r="AE444" i="49"/>
  <c r="AE453" i="49"/>
  <c r="AE174" i="49"/>
  <c r="CC472" i="49"/>
  <c r="CD472" i="49"/>
  <c r="CE472" i="49"/>
  <c r="DC394" i="49"/>
  <c r="AB496" i="49"/>
  <c r="AD496" i="49"/>
  <c r="T496" i="49"/>
  <c r="AB36" i="49"/>
  <c r="AD36" i="49"/>
  <c r="T36" i="49"/>
  <c r="CZ464" i="49"/>
  <c r="DA464" i="49"/>
  <c r="DB464" i="49"/>
  <c r="AH216" i="49"/>
  <c r="AE472" i="49"/>
  <c r="AG472" i="49"/>
  <c r="AF472" i="49"/>
  <c r="AH258" i="49"/>
  <c r="AH257" i="49"/>
  <c r="AH147" i="49"/>
  <c r="CC462" i="49"/>
  <c r="CD462" i="49"/>
  <c r="CE462" i="49"/>
  <c r="AH398" i="49"/>
  <c r="Q500" i="49"/>
  <c r="CW463" i="49"/>
  <c r="CX463" i="49"/>
  <c r="BI389" i="49"/>
  <c r="CW51" i="49"/>
  <c r="CX51" i="49"/>
  <c r="AH329" i="49"/>
  <c r="CF332" i="49"/>
  <c r="CF389" i="49"/>
  <c r="AH424" i="49"/>
  <c r="AB38" i="49"/>
  <c r="AD38" i="49"/>
  <c r="T38" i="49"/>
  <c r="AB32" i="49"/>
  <c r="AD32" i="49"/>
  <c r="T32" i="49"/>
  <c r="AB30" i="49"/>
  <c r="AD30" i="49"/>
  <c r="T30" i="49"/>
  <c r="CF237" i="49"/>
  <c r="AH381" i="49"/>
  <c r="AH391" i="49"/>
  <c r="AE465" i="49"/>
  <c r="AG465" i="49"/>
  <c r="AF465" i="49"/>
  <c r="CW419" i="49"/>
  <c r="CX419" i="49"/>
  <c r="CW37" i="49"/>
  <c r="CX37" i="49"/>
  <c r="CW38" i="49"/>
  <c r="CX38" i="49"/>
  <c r="CB330" i="49"/>
  <c r="CY330" i="49"/>
  <c r="CW204" i="49"/>
  <c r="CX204" i="49"/>
  <c r="CY204" i="49"/>
  <c r="CW443" i="49"/>
  <c r="CX443" i="49"/>
  <c r="CW448" i="49"/>
  <c r="CX448" i="49"/>
  <c r="CW440" i="49"/>
  <c r="CX440" i="49"/>
  <c r="CY440" i="49"/>
  <c r="CW23" i="49"/>
  <c r="CX23" i="49"/>
  <c r="CW498" i="49"/>
  <c r="CX498" i="49"/>
  <c r="CW492" i="49"/>
  <c r="CX492" i="49"/>
  <c r="CW197" i="49"/>
  <c r="CX197" i="49"/>
  <c r="CY197" i="49"/>
  <c r="CW74" i="49"/>
  <c r="CX74" i="49"/>
  <c r="CW455" i="49"/>
  <c r="CX455" i="49"/>
  <c r="CW70" i="49"/>
  <c r="CX70" i="49"/>
  <c r="CW72" i="49"/>
  <c r="CX72" i="49"/>
  <c r="CY72" i="49"/>
  <c r="CW321" i="49"/>
  <c r="CX321" i="49"/>
  <c r="CW8" i="49"/>
  <c r="CX8" i="49"/>
  <c r="CW318" i="49"/>
  <c r="CX318" i="49"/>
  <c r="CW324" i="49"/>
  <c r="CX324" i="49"/>
  <c r="CY324" i="49"/>
  <c r="CW325" i="49"/>
  <c r="CX325" i="49"/>
  <c r="CW87" i="49"/>
  <c r="CX87" i="49"/>
  <c r="CW266" i="49"/>
  <c r="CX266" i="49"/>
  <c r="CW215" i="49"/>
  <c r="CX215" i="49"/>
  <c r="CY215" i="49"/>
  <c r="CW184" i="49"/>
  <c r="CX184" i="49"/>
  <c r="CW49" i="49"/>
  <c r="CX49" i="49"/>
  <c r="CW196" i="49"/>
  <c r="CX196" i="49"/>
  <c r="CW180" i="49"/>
  <c r="CX180" i="49"/>
  <c r="CY180" i="49"/>
  <c r="CW379" i="49"/>
  <c r="CX379" i="49"/>
  <c r="CW253" i="49"/>
  <c r="CX253" i="49"/>
  <c r="CW219" i="49"/>
  <c r="CX219" i="49"/>
  <c r="CW78" i="49"/>
  <c r="CX78" i="49"/>
  <c r="CY78" i="49"/>
  <c r="CW14" i="49"/>
  <c r="CX14" i="49"/>
  <c r="CW64" i="49"/>
  <c r="CX64" i="49"/>
  <c r="CW13" i="49"/>
  <c r="CX13" i="49"/>
  <c r="CW116" i="49"/>
  <c r="CX116" i="49"/>
  <c r="CY116" i="49"/>
  <c r="CW170" i="49"/>
  <c r="CX170" i="49"/>
  <c r="CW143" i="49"/>
  <c r="CX143" i="49"/>
  <c r="CW354" i="49"/>
  <c r="CX354" i="49"/>
  <c r="CW98" i="49"/>
  <c r="CX98" i="49"/>
  <c r="CY98" i="49"/>
  <c r="CW195" i="49"/>
  <c r="CX195" i="49"/>
  <c r="CW60" i="49"/>
  <c r="CX60" i="49"/>
  <c r="CW123" i="49"/>
  <c r="CX123" i="49"/>
  <c r="CW139" i="49"/>
  <c r="CX139" i="49"/>
  <c r="CY139" i="49"/>
  <c r="CW52" i="49"/>
  <c r="CX52" i="49"/>
  <c r="CW393" i="49"/>
  <c r="CX393" i="49"/>
  <c r="CW290" i="49"/>
  <c r="CX290" i="49"/>
  <c r="CW43" i="49"/>
  <c r="CX43" i="49"/>
  <c r="CY43" i="49"/>
  <c r="CW161" i="49"/>
  <c r="CX161" i="49"/>
  <c r="CW277" i="49"/>
  <c r="CX277" i="49"/>
  <c r="CW303" i="49"/>
  <c r="CX303" i="49"/>
  <c r="CW81" i="49"/>
  <c r="CX81" i="49"/>
  <c r="CY81" i="49"/>
  <c r="CW127" i="49"/>
  <c r="CX127" i="49"/>
  <c r="CW306" i="49"/>
  <c r="CX306" i="49"/>
  <c r="CW433" i="49"/>
  <c r="CX433" i="49"/>
  <c r="CW50" i="49"/>
  <c r="CX50" i="49"/>
  <c r="CY50" i="49"/>
  <c r="CW148" i="49"/>
  <c r="CX148" i="49"/>
  <c r="CW225" i="49"/>
  <c r="CX225" i="49"/>
  <c r="CW90" i="49"/>
  <c r="CX90" i="49"/>
  <c r="CW198" i="49"/>
  <c r="CX198" i="49"/>
  <c r="CY198" i="49"/>
  <c r="CW112" i="49"/>
  <c r="CX112" i="49"/>
  <c r="CW451" i="49"/>
  <c r="CX451" i="49"/>
  <c r="CW174" i="49"/>
  <c r="CX174" i="49"/>
  <c r="CW439" i="49"/>
  <c r="CX439" i="49"/>
  <c r="CY439" i="49"/>
  <c r="CW129" i="49"/>
  <c r="CX129" i="49"/>
  <c r="CW390" i="49"/>
  <c r="CX390" i="49"/>
  <c r="CW356" i="49"/>
  <c r="CX356" i="49"/>
  <c r="CW210" i="49"/>
  <c r="CX210" i="49"/>
  <c r="CY210" i="49"/>
  <c r="CW408" i="49"/>
  <c r="CX408" i="49"/>
  <c r="CW187" i="49"/>
  <c r="CX187" i="49"/>
  <c r="CW76" i="49"/>
  <c r="CX76" i="49"/>
  <c r="CW473" i="49"/>
  <c r="CX473" i="49"/>
  <c r="CY473" i="49"/>
  <c r="CW484" i="49"/>
  <c r="CX484" i="49"/>
  <c r="CW105" i="49"/>
  <c r="CX105" i="49"/>
  <c r="CW274" i="49"/>
  <c r="CX274" i="49"/>
  <c r="CW88" i="49"/>
  <c r="CX88" i="49"/>
  <c r="CY88" i="49"/>
  <c r="CW191" i="49"/>
  <c r="CX191" i="49"/>
  <c r="CW92" i="49"/>
  <c r="CX92" i="49"/>
  <c r="CW122" i="49"/>
  <c r="CX122" i="49"/>
  <c r="CW224" i="49"/>
  <c r="CX224" i="49"/>
  <c r="CY224" i="49"/>
  <c r="CW95" i="49"/>
  <c r="CX95" i="49"/>
  <c r="CW412" i="49"/>
  <c r="CX412" i="49"/>
  <c r="CW458" i="49"/>
  <c r="CX458" i="49"/>
  <c r="CW339" i="49"/>
  <c r="CX339" i="49"/>
  <c r="CY339" i="49"/>
  <c r="CW155" i="49"/>
  <c r="CX155" i="49"/>
  <c r="CW58" i="49"/>
  <c r="CX58" i="49"/>
  <c r="CW414" i="49"/>
  <c r="CX414" i="49"/>
  <c r="CW113" i="49"/>
  <c r="CX113" i="49"/>
  <c r="CY113" i="49"/>
  <c r="CW386" i="49"/>
  <c r="CX386" i="49"/>
  <c r="CW340" i="49"/>
  <c r="CX340" i="49"/>
  <c r="CW24" i="49"/>
  <c r="CX24" i="49"/>
  <c r="CY24" i="49"/>
  <c r="CW48" i="49"/>
  <c r="CX48" i="49"/>
  <c r="CY48" i="49"/>
  <c r="CZ48" i="49"/>
  <c r="CW203" i="49"/>
  <c r="CX203" i="49"/>
  <c r="CW5" i="49"/>
  <c r="BZ204" i="49"/>
  <c r="CA204" i="49"/>
  <c r="BZ203" i="49"/>
  <c r="CA203" i="49"/>
  <c r="CY203" i="49"/>
  <c r="CF34" i="49"/>
  <c r="DC465" i="49"/>
  <c r="DC459" i="49"/>
  <c r="CF22" i="49"/>
  <c r="DC464" i="49"/>
  <c r="CF464" i="49"/>
  <c r="DG328" i="49"/>
  <c r="CF479" i="49"/>
  <c r="DC18" i="49"/>
  <c r="CF466" i="49"/>
  <c r="DC35" i="49"/>
  <c r="AL419" i="49"/>
  <c r="DC456" i="49"/>
  <c r="CF459" i="49"/>
  <c r="DC472" i="49"/>
  <c r="CF465" i="49"/>
  <c r="CF452" i="49"/>
  <c r="DC355" i="49"/>
  <c r="CY457" i="49"/>
  <c r="CF462" i="49"/>
  <c r="CF472" i="49"/>
  <c r="BM328" i="49"/>
  <c r="CF40" i="49"/>
  <c r="DC32" i="49"/>
  <c r="CF443" i="49"/>
  <c r="CF474" i="49"/>
  <c r="CY38" i="49"/>
  <c r="CY496" i="49"/>
  <c r="CH286" i="49"/>
  <c r="CG286" i="49"/>
  <c r="AI242" i="49"/>
  <c r="AJ242" i="49"/>
  <c r="AK242" i="49"/>
  <c r="CY159" i="49"/>
  <c r="CY39" i="49"/>
  <c r="CY133" i="49"/>
  <c r="CY346" i="49"/>
  <c r="CY46" i="49"/>
  <c r="CY481" i="49"/>
  <c r="CY130" i="49"/>
  <c r="AE32" i="49"/>
  <c r="CH332" i="49"/>
  <c r="CI332" i="49"/>
  <c r="CG332" i="49"/>
  <c r="CY419" i="49"/>
  <c r="AI391" i="49"/>
  <c r="AJ391" i="49"/>
  <c r="AK391" i="49"/>
  <c r="CH237" i="49"/>
  <c r="CI237" i="49"/>
  <c r="CG237" i="49"/>
  <c r="AE30" i="49"/>
  <c r="AE38" i="49"/>
  <c r="CH389" i="49"/>
  <c r="CI389" i="49"/>
  <c r="CG389" i="49"/>
  <c r="AI329" i="49"/>
  <c r="AJ329" i="49"/>
  <c r="AK329" i="49"/>
  <c r="CY463" i="49"/>
  <c r="AI398" i="49"/>
  <c r="AJ398" i="49"/>
  <c r="AK398" i="49"/>
  <c r="AI257" i="49"/>
  <c r="AJ257" i="49"/>
  <c r="AK257" i="49"/>
  <c r="AH472" i="49"/>
  <c r="CH362" i="49"/>
  <c r="CI362" i="49"/>
  <c r="CG362" i="49"/>
  <c r="AI403" i="49"/>
  <c r="AJ403" i="49"/>
  <c r="AK403" i="49"/>
  <c r="BK287" i="49"/>
  <c r="BL287" i="49"/>
  <c r="BJ287" i="49"/>
  <c r="BK369" i="49"/>
  <c r="BL369" i="49"/>
  <c r="BJ369" i="49"/>
  <c r="BK391" i="49"/>
  <c r="BL391" i="49"/>
  <c r="BJ391" i="49"/>
  <c r="AI262" i="49"/>
  <c r="AJ262" i="49"/>
  <c r="AK262" i="49"/>
  <c r="BK175" i="49"/>
  <c r="BL175" i="49"/>
  <c r="BJ175" i="49"/>
  <c r="CH406" i="49"/>
  <c r="CI406" i="49"/>
  <c r="CG406" i="49"/>
  <c r="AI370" i="49"/>
  <c r="AJ370" i="49"/>
  <c r="AK370" i="49"/>
  <c r="DE304" i="49"/>
  <c r="DF304" i="49"/>
  <c r="DD304" i="49"/>
  <c r="AI479" i="49"/>
  <c r="AJ479" i="49"/>
  <c r="AK479" i="49"/>
  <c r="AE27" i="49"/>
  <c r="AE40" i="49"/>
  <c r="AG40" i="49"/>
  <c r="AF40" i="49"/>
  <c r="DE259" i="49"/>
  <c r="DF259" i="49"/>
  <c r="DD259" i="49"/>
  <c r="DE370" i="49"/>
  <c r="DF370" i="49"/>
  <c r="DD370" i="49"/>
  <c r="AI231" i="49"/>
  <c r="AJ231" i="49"/>
  <c r="AK231" i="49"/>
  <c r="BK239" i="49"/>
  <c r="BL239" i="49"/>
  <c r="BJ239" i="49"/>
  <c r="AI308" i="49"/>
  <c r="AJ308" i="49"/>
  <c r="AK308" i="49"/>
  <c r="AI369" i="49"/>
  <c r="AJ369" i="49"/>
  <c r="AK369" i="49"/>
  <c r="AI249" i="49"/>
  <c r="AJ249" i="49"/>
  <c r="AK249" i="49"/>
  <c r="AI269" i="49"/>
  <c r="AJ269" i="49"/>
  <c r="AK269" i="49"/>
  <c r="CY19" i="49"/>
  <c r="CY460" i="49"/>
  <c r="CY97" i="49"/>
  <c r="CY333" i="49"/>
  <c r="CY100" i="49"/>
  <c r="CY114" i="49"/>
  <c r="CY144" i="49"/>
  <c r="CY118" i="49"/>
  <c r="CY79" i="49"/>
  <c r="CY152" i="49"/>
  <c r="CY453" i="49"/>
  <c r="CY461" i="49"/>
  <c r="CY240" i="49"/>
  <c r="CY172" i="49"/>
  <c r="CY349" i="49"/>
  <c r="CY265" i="49"/>
  <c r="CY248" i="49"/>
  <c r="CY383" i="49"/>
  <c r="CY124" i="49"/>
  <c r="CY153" i="49"/>
  <c r="CY487" i="49"/>
  <c r="CY17" i="49"/>
  <c r="CY444" i="49"/>
  <c r="CY281" i="49"/>
  <c r="CY27" i="49"/>
  <c r="CY126" i="49"/>
  <c r="CY149" i="49"/>
  <c r="CY425" i="49"/>
  <c r="CY156" i="49"/>
  <c r="CY377" i="49"/>
  <c r="CY59" i="49"/>
  <c r="CY30" i="49"/>
  <c r="CY442" i="49"/>
  <c r="CY136" i="49"/>
  <c r="CY104" i="49"/>
  <c r="CY61" i="49"/>
  <c r="CY358" i="49"/>
  <c r="CY120" i="49"/>
  <c r="CY256" i="49"/>
  <c r="CY192" i="49"/>
  <c r="CY250" i="49"/>
  <c r="CY85" i="49"/>
  <c r="CY423" i="49"/>
  <c r="CY146" i="49"/>
  <c r="CY478" i="49"/>
  <c r="CY201" i="49"/>
  <c r="CY16" i="49"/>
  <c r="CY91" i="49"/>
  <c r="CY380" i="49"/>
  <c r="CY56" i="49"/>
  <c r="CY227" i="49"/>
  <c r="CY106" i="49"/>
  <c r="CY178" i="49"/>
  <c r="CY279" i="49"/>
  <c r="CY331" i="49"/>
  <c r="CY350" i="49"/>
  <c r="CY298" i="49"/>
  <c r="CY249" i="49"/>
  <c r="CY108" i="49"/>
  <c r="CY348" i="49"/>
  <c r="CY316" i="49"/>
  <c r="CY10" i="49"/>
  <c r="CY388" i="49"/>
  <c r="CY241" i="49"/>
  <c r="CY220" i="49"/>
  <c r="CY366" i="49"/>
  <c r="CY188" i="49"/>
  <c r="CY86" i="49"/>
  <c r="CY41" i="49"/>
  <c r="CY312" i="49"/>
  <c r="CY134" i="49"/>
  <c r="CY138" i="49"/>
  <c r="CY427" i="49"/>
  <c r="CY314" i="49"/>
  <c r="CY7" i="49"/>
  <c r="CY323" i="49"/>
  <c r="CY313" i="49"/>
  <c r="CY361" i="49"/>
  <c r="CY490" i="49"/>
  <c r="CY471" i="49"/>
  <c r="CY96" i="49"/>
  <c r="CY489" i="49"/>
  <c r="CY493" i="49"/>
  <c r="CY167" i="49"/>
  <c r="AE33" i="49"/>
  <c r="CH407" i="49"/>
  <c r="CI407" i="49"/>
  <c r="CG407" i="49"/>
  <c r="BK202" i="49"/>
  <c r="BL202" i="49"/>
  <c r="BJ202" i="49"/>
  <c r="BK176" i="49"/>
  <c r="BL176" i="49"/>
  <c r="BJ176" i="49"/>
  <c r="AI193" i="49"/>
  <c r="AJ193" i="49"/>
  <c r="AK193" i="49"/>
  <c r="BK370" i="49"/>
  <c r="BL370" i="49"/>
  <c r="BJ370" i="49"/>
  <c r="AI71" i="49"/>
  <c r="AJ71" i="49"/>
  <c r="AK71" i="49"/>
  <c r="CY475" i="49"/>
  <c r="DC469" i="49"/>
  <c r="CY447" i="49"/>
  <c r="AI237" i="49"/>
  <c r="AJ237" i="49"/>
  <c r="AK237" i="49"/>
  <c r="DC466" i="49"/>
  <c r="AL582" i="46"/>
  <c r="B582" i="46"/>
  <c r="AE23" i="49"/>
  <c r="AI411" i="49"/>
  <c r="AJ411" i="49"/>
  <c r="AK411" i="49"/>
  <c r="BK289" i="49"/>
  <c r="BL289" i="49"/>
  <c r="BJ289" i="49"/>
  <c r="DE168" i="49"/>
  <c r="DF168" i="49"/>
  <c r="DD168" i="49"/>
  <c r="DE397" i="49"/>
  <c r="DF397" i="49"/>
  <c r="DD397" i="49"/>
  <c r="CH387" i="49"/>
  <c r="CI387" i="49"/>
  <c r="CG387" i="49"/>
  <c r="BI469" i="49"/>
  <c r="DE175" i="49"/>
  <c r="DF175" i="49"/>
  <c r="DD175" i="49"/>
  <c r="DE376" i="49"/>
  <c r="DF376" i="49"/>
  <c r="DD376" i="49"/>
  <c r="BK403" i="49"/>
  <c r="BL403" i="49"/>
  <c r="BJ403" i="49"/>
  <c r="AI415" i="49"/>
  <c r="AJ415" i="49"/>
  <c r="AK415" i="49"/>
  <c r="AI181" i="49"/>
  <c r="AJ181" i="49"/>
  <c r="AK181" i="49"/>
  <c r="AI176" i="49"/>
  <c r="AJ176" i="49"/>
  <c r="AK176" i="49"/>
  <c r="CH202" i="49"/>
  <c r="CI202" i="49"/>
  <c r="CG202" i="49"/>
  <c r="DE232" i="49"/>
  <c r="DF232" i="49"/>
  <c r="DD232" i="49"/>
  <c r="CH415" i="49"/>
  <c r="CI415" i="49"/>
  <c r="CG415" i="49"/>
  <c r="CH137" i="49"/>
  <c r="CI137" i="49"/>
  <c r="CG137" i="49"/>
  <c r="BK181" i="49"/>
  <c r="BL181" i="49"/>
  <c r="BJ181" i="49"/>
  <c r="BK399" i="49"/>
  <c r="BL399" i="49"/>
  <c r="BJ399" i="49"/>
  <c r="CY445" i="49"/>
  <c r="AI431" i="49"/>
  <c r="AJ431" i="49"/>
  <c r="AK431" i="49"/>
  <c r="DE273" i="49"/>
  <c r="DF273" i="49"/>
  <c r="DD273" i="49"/>
  <c r="DE347" i="49"/>
  <c r="DF347" i="49"/>
  <c r="DD347" i="49"/>
  <c r="DE221" i="49"/>
  <c r="DF221" i="49"/>
  <c r="DD221" i="49"/>
  <c r="AE31" i="49"/>
  <c r="AI171" i="49"/>
  <c r="AJ171" i="49"/>
  <c r="AK171" i="49"/>
  <c r="DE226" i="49"/>
  <c r="DF226" i="49"/>
  <c r="DD226" i="49"/>
  <c r="AI284" i="49"/>
  <c r="AJ284" i="49"/>
  <c r="AK284" i="49"/>
  <c r="AI432" i="49"/>
  <c r="AJ432" i="49"/>
  <c r="AK432" i="49"/>
  <c r="AI328" i="49"/>
  <c r="AJ328" i="49"/>
  <c r="AK328" i="49"/>
  <c r="AI344" i="49"/>
  <c r="AJ344" i="49"/>
  <c r="AK344" i="49"/>
  <c r="DE151" i="49"/>
  <c r="DF151" i="49"/>
  <c r="DD151" i="49"/>
  <c r="CH381" i="49"/>
  <c r="CI381" i="49"/>
  <c r="CG381" i="49"/>
  <c r="BK193" i="49"/>
  <c r="BL193" i="49"/>
  <c r="BJ193" i="49"/>
  <c r="AI232" i="49"/>
  <c r="AJ232" i="49"/>
  <c r="AK232" i="49"/>
  <c r="BK397" i="49"/>
  <c r="BL397" i="49"/>
  <c r="BJ397" i="49"/>
  <c r="CH53" i="49"/>
  <c r="CI53" i="49"/>
  <c r="CG53" i="49"/>
  <c r="CH297" i="49"/>
  <c r="CI297" i="49"/>
  <c r="CG297" i="49"/>
  <c r="BK237" i="49"/>
  <c r="BL237" i="49"/>
  <c r="BJ237" i="49"/>
  <c r="DE309" i="49"/>
  <c r="DF309" i="49"/>
  <c r="DD309" i="49"/>
  <c r="DE254" i="49"/>
  <c r="DF254" i="49"/>
  <c r="DD254" i="49"/>
  <c r="CH418" i="49"/>
  <c r="CI418" i="49"/>
  <c r="CG418" i="49"/>
  <c r="BK417" i="49"/>
  <c r="BL417" i="49"/>
  <c r="BJ417" i="49"/>
  <c r="AI62" i="49"/>
  <c r="AJ62" i="49"/>
  <c r="AK62" i="49"/>
  <c r="AI389" i="49"/>
  <c r="AJ389" i="49"/>
  <c r="AK389" i="49"/>
  <c r="DE280" i="49"/>
  <c r="DF280" i="49"/>
  <c r="DD280" i="49"/>
  <c r="BK367" i="49"/>
  <c r="BL367" i="49"/>
  <c r="BJ367" i="49"/>
  <c r="BK407" i="49"/>
  <c r="BL407" i="49"/>
  <c r="BJ407" i="49"/>
  <c r="AE35" i="49"/>
  <c r="AE25" i="49"/>
  <c r="AI182" i="49"/>
  <c r="AJ182" i="49"/>
  <c r="AK182" i="49"/>
  <c r="CH370" i="49"/>
  <c r="CI370" i="49"/>
  <c r="CG370" i="49"/>
  <c r="DE424" i="49"/>
  <c r="DF424" i="49"/>
  <c r="DD424" i="49"/>
  <c r="AI195" i="49"/>
  <c r="AJ195" i="49"/>
  <c r="AK195" i="49"/>
  <c r="CH416" i="49"/>
  <c r="CI416" i="49"/>
  <c r="CG416" i="49"/>
  <c r="DE477" i="49"/>
  <c r="DF477" i="49"/>
  <c r="DD477" i="49"/>
  <c r="AI212" i="49"/>
  <c r="AJ212" i="49"/>
  <c r="AK212" i="49"/>
  <c r="AI288" i="49"/>
  <c r="AJ288" i="49"/>
  <c r="AK288" i="49"/>
  <c r="AI298" i="49"/>
  <c r="AJ298" i="49"/>
  <c r="AK298" i="49"/>
  <c r="AI230" i="49"/>
  <c r="AJ230" i="49"/>
  <c r="AK230" i="49"/>
  <c r="DE389" i="49"/>
  <c r="DF389" i="49"/>
  <c r="DD389" i="49"/>
  <c r="AI251" i="49"/>
  <c r="AJ251" i="49"/>
  <c r="AK251" i="49"/>
  <c r="AI263" i="49"/>
  <c r="AJ263" i="49"/>
  <c r="AK263" i="49"/>
  <c r="DC467" i="49"/>
  <c r="CY443" i="49"/>
  <c r="AI332" i="49"/>
  <c r="AJ332" i="49"/>
  <c r="AK332" i="49"/>
  <c r="DE238" i="49"/>
  <c r="DF238" i="49"/>
  <c r="DD238" i="49"/>
  <c r="AH466" i="49"/>
  <c r="BK401" i="49"/>
  <c r="BL401" i="49"/>
  <c r="BJ401" i="49"/>
  <c r="AI272" i="49"/>
  <c r="AJ272" i="49"/>
  <c r="AK272" i="49"/>
  <c r="DC479" i="49"/>
  <c r="AI80" i="49"/>
  <c r="AJ80" i="49"/>
  <c r="AK80" i="49"/>
  <c r="CH264" i="49"/>
  <c r="CI264" i="49"/>
  <c r="CG264" i="49"/>
  <c r="CH193" i="49"/>
  <c r="CI193" i="49"/>
  <c r="CG193" i="49"/>
  <c r="CH302" i="49"/>
  <c r="CI302" i="49"/>
  <c r="CG302" i="49"/>
  <c r="CH221" i="49"/>
  <c r="CI221" i="49"/>
  <c r="CG221" i="49"/>
  <c r="DE407" i="49"/>
  <c r="DF407" i="49"/>
  <c r="DD407" i="49"/>
  <c r="DE282" i="49"/>
  <c r="DF282" i="49"/>
  <c r="DD282" i="49"/>
  <c r="DE213" i="49"/>
  <c r="DF213" i="49"/>
  <c r="DD213" i="49"/>
  <c r="DE476" i="49"/>
  <c r="DF476" i="49"/>
  <c r="DD476" i="49"/>
  <c r="CH304" i="49"/>
  <c r="CI304" i="49"/>
  <c r="CG304" i="49"/>
  <c r="CH405" i="49"/>
  <c r="CI405" i="49"/>
  <c r="CG405" i="49"/>
  <c r="DE420" i="49"/>
  <c r="DF420" i="49"/>
  <c r="DD420" i="49"/>
  <c r="DE359" i="49"/>
  <c r="DF359" i="49"/>
  <c r="DD359" i="49"/>
  <c r="CH244" i="49"/>
  <c r="CI244" i="49"/>
  <c r="CG244" i="49"/>
  <c r="DE378" i="49"/>
  <c r="DF378" i="49"/>
  <c r="DD378" i="49"/>
  <c r="CH229" i="49"/>
  <c r="CI229" i="49"/>
  <c r="CG229" i="49"/>
  <c r="CH175" i="49"/>
  <c r="CI175" i="49"/>
  <c r="CG175" i="49"/>
  <c r="CH488" i="49"/>
  <c r="CI488" i="49"/>
  <c r="CG488" i="49"/>
  <c r="CH254" i="49"/>
  <c r="CI254" i="49"/>
  <c r="CG254" i="49"/>
  <c r="DE391" i="49"/>
  <c r="DF391" i="49"/>
  <c r="DD391" i="49"/>
  <c r="CH236" i="49"/>
  <c r="CI236" i="49"/>
  <c r="CG236" i="49"/>
  <c r="BK406" i="49"/>
  <c r="BL406" i="49"/>
  <c r="BJ406" i="49"/>
  <c r="DE369" i="49"/>
  <c r="DF369" i="49"/>
  <c r="DD369" i="49"/>
  <c r="AE36" i="49"/>
  <c r="AG36" i="49"/>
  <c r="AF36" i="49"/>
  <c r="CY372" i="49"/>
  <c r="CY217" i="49"/>
  <c r="CY243" i="49"/>
  <c r="CY334" i="49"/>
  <c r="CY234" i="49"/>
  <c r="CY352" i="49"/>
  <c r="CY186" i="49"/>
  <c r="CY207" i="49"/>
  <c r="CY36" i="49"/>
  <c r="CY67" i="49"/>
  <c r="CY141" i="49"/>
  <c r="CY413" i="49"/>
  <c r="CY163" i="49"/>
  <c r="CY295" i="49"/>
  <c r="CY68" i="49"/>
  <c r="CY33" i="49"/>
  <c r="CY293" i="49"/>
  <c r="CY415" i="49"/>
  <c r="CY404" i="49"/>
  <c r="CY42" i="49"/>
  <c r="CY247" i="49"/>
  <c r="CY252" i="49"/>
  <c r="CY135" i="49"/>
  <c r="CY292" i="49"/>
  <c r="CY299" i="49"/>
  <c r="CY119" i="49"/>
  <c r="CY411" i="49"/>
  <c r="CY311" i="49"/>
  <c r="CY140" i="49"/>
  <c r="CY154" i="49"/>
  <c r="CY336" i="49"/>
  <c r="CY121" i="49"/>
  <c r="CY400" i="49"/>
  <c r="CY11" i="49"/>
  <c r="CY271" i="49"/>
  <c r="CY384" i="49"/>
  <c r="CY183" i="49"/>
  <c r="CY128" i="49"/>
  <c r="CY395" i="49"/>
  <c r="CY337" i="49"/>
  <c r="CY257" i="49"/>
  <c r="CY189" i="49"/>
  <c r="CY89" i="49"/>
  <c r="CY54" i="49"/>
  <c r="CY179" i="49"/>
  <c r="CY310" i="49"/>
  <c r="CY368" i="49"/>
  <c r="CY166" i="49"/>
  <c r="CY235" i="49"/>
  <c r="CY436" i="49"/>
  <c r="CY200" i="49"/>
  <c r="CY329" i="49"/>
  <c r="CY57" i="49"/>
  <c r="CY150" i="49"/>
  <c r="CY218" i="49"/>
  <c r="CY132" i="49"/>
  <c r="CY9" i="49"/>
  <c r="CY326" i="49"/>
  <c r="CY322" i="49"/>
  <c r="CY12" i="49"/>
  <c r="CY317" i="49"/>
  <c r="CY93" i="49"/>
  <c r="CY470" i="49"/>
  <c r="CY319" i="49"/>
  <c r="CY29" i="49"/>
  <c r="CY69" i="49"/>
  <c r="CY491" i="49"/>
  <c r="CY75" i="49"/>
  <c r="AI285" i="49"/>
  <c r="AJ285" i="49"/>
  <c r="AK285" i="49"/>
  <c r="AH462" i="49"/>
  <c r="BK405" i="49"/>
  <c r="BL405" i="49"/>
  <c r="BJ405" i="49"/>
  <c r="CH255" i="49"/>
  <c r="CI255" i="49"/>
  <c r="CG255" i="49"/>
  <c r="DE242" i="49"/>
  <c r="DF242" i="49"/>
  <c r="DD242" i="49"/>
  <c r="AI229" i="49"/>
  <c r="AJ229" i="49"/>
  <c r="AK229" i="49"/>
  <c r="DE422" i="49"/>
  <c r="DF422" i="49"/>
  <c r="DD422" i="49"/>
  <c r="AI246" i="49"/>
  <c r="AJ246" i="49"/>
  <c r="AK246" i="49"/>
  <c r="DE289" i="49"/>
  <c r="DF289" i="49"/>
  <c r="DD289" i="49"/>
  <c r="CH228" i="49"/>
  <c r="CI228" i="49"/>
  <c r="CG228" i="49"/>
  <c r="BK416" i="49"/>
  <c r="BL416" i="49"/>
  <c r="BJ416" i="49"/>
  <c r="CH239" i="49"/>
  <c r="CI239" i="49"/>
  <c r="CG239" i="49"/>
  <c r="DE229" i="49"/>
  <c r="DF229" i="49"/>
  <c r="DD229" i="49"/>
  <c r="DE403" i="49"/>
  <c r="DF403" i="49"/>
  <c r="DD403" i="49"/>
  <c r="CY446" i="49"/>
  <c r="BK147" i="49"/>
  <c r="BL147" i="49"/>
  <c r="BJ147" i="49"/>
  <c r="CY23" i="49"/>
  <c r="BK291" i="49"/>
  <c r="BL291" i="49"/>
  <c r="BJ291" i="49"/>
  <c r="BM332" i="49"/>
  <c r="AI264" i="49"/>
  <c r="AJ264" i="49"/>
  <c r="AK264" i="49"/>
  <c r="AI426" i="49"/>
  <c r="AJ426" i="49"/>
  <c r="AK426" i="49"/>
  <c r="AI297" i="49"/>
  <c r="AJ297" i="49"/>
  <c r="AK297" i="49"/>
  <c r="AI226" i="49"/>
  <c r="AJ226" i="49"/>
  <c r="AK226" i="49"/>
  <c r="BK394" i="49"/>
  <c r="BL394" i="49"/>
  <c r="BJ394" i="49"/>
  <c r="DE396" i="49"/>
  <c r="DF396" i="49"/>
  <c r="DD396" i="49"/>
  <c r="DC40" i="49"/>
  <c r="AH474" i="49"/>
  <c r="BK375" i="49"/>
  <c r="BL375" i="49"/>
  <c r="BJ375" i="49"/>
  <c r="CH259" i="49"/>
  <c r="CI259" i="49"/>
  <c r="CG259" i="49"/>
  <c r="DC31" i="49"/>
  <c r="AH456" i="49"/>
  <c r="AI223" i="49"/>
  <c r="AJ223" i="49"/>
  <c r="AK223" i="49"/>
  <c r="DG327" i="49"/>
  <c r="DE283" i="49"/>
  <c r="DF283" i="49"/>
  <c r="DD283" i="49"/>
  <c r="BK309" i="49"/>
  <c r="BL309" i="49"/>
  <c r="BJ309" i="49"/>
  <c r="AI191" i="49"/>
  <c r="AJ191" i="49"/>
  <c r="AK191" i="49"/>
  <c r="AI347" i="49"/>
  <c r="AJ347" i="49"/>
  <c r="AK347" i="49"/>
  <c r="DE416" i="49"/>
  <c r="DF416" i="49"/>
  <c r="DD416" i="49"/>
  <c r="BK288" i="49"/>
  <c r="BL288" i="49"/>
  <c r="BJ288" i="49"/>
  <c r="CH328" i="49"/>
  <c r="CI328" i="49"/>
  <c r="CG328" i="49"/>
  <c r="DE431" i="49"/>
  <c r="DF431" i="49"/>
  <c r="DD431" i="49"/>
  <c r="CH177" i="49"/>
  <c r="CI177" i="49"/>
  <c r="CG177" i="49"/>
  <c r="AJ488" i="49"/>
  <c r="AK488" i="49"/>
  <c r="AI488" i="49"/>
  <c r="CH71" i="49"/>
  <c r="CI71" i="49"/>
  <c r="CG71" i="49"/>
  <c r="DE53" i="49"/>
  <c r="DF53" i="49"/>
  <c r="DD53" i="49"/>
  <c r="CH396" i="49"/>
  <c r="CI396" i="49"/>
  <c r="CG396" i="49"/>
  <c r="AI53" i="49"/>
  <c r="AJ53" i="49"/>
  <c r="AK53" i="49"/>
  <c r="P2" i="49"/>
  <c r="P505" i="49"/>
  <c r="AE39" i="49"/>
  <c r="AI276" i="49"/>
  <c r="AJ276" i="49"/>
  <c r="AK276" i="49"/>
  <c r="DE236" i="49"/>
  <c r="DF236" i="49"/>
  <c r="DD236" i="49"/>
  <c r="DE488" i="49"/>
  <c r="DF488" i="49"/>
  <c r="DD488" i="49"/>
  <c r="DE402" i="49"/>
  <c r="DF402" i="49"/>
  <c r="DD402" i="49"/>
  <c r="AI416" i="49"/>
  <c r="AJ416" i="49"/>
  <c r="AK416" i="49"/>
  <c r="AI327" i="49"/>
  <c r="AJ327" i="49"/>
  <c r="AK327" i="49"/>
  <c r="CH294" i="49"/>
  <c r="CI294" i="49"/>
  <c r="CG294" i="49"/>
  <c r="AI207" i="49"/>
  <c r="AJ207" i="49"/>
  <c r="AK207" i="49"/>
  <c r="AI222" i="49"/>
  <c r="AJ222" i="49"/>
  <c r="AK222" i="49"/>
  <c r="BK422" i="49"/>
  <c r="BL422" i="49"/>
  <c r="BJ422" i="49"/>
  <c r="AE19" i="49"/>
  <c r="AE51" i="49"/>
  <c r="CH283" i="49"/>
  <c r="CI283" i="49"/>
  <c r="CG283" i="49"/>
  <c r="AI364" i="49"/>
  <c r="AJ364" i="49"/>
  <c r="AK364" i="49"/>
  <c r="DE212" i="49"/>
  <c r="DF212" i="49"/>
  <c r="DD212" i="49"/>
  <c r="DE251" i="49"/>
  <c r="DF251" i="49"/>
  <c r="DD251" i="49"/>
  <c r="CH359" i="49"/>
  <c r="CI359" i="49"/>
  <c r="CG359" i="49"/>
  <c r="CH421" i="49"/>
  <c r="CI421" i="49"/>
  <c r="CG421" i="49"/>
  <c r="BK232" i="49"/>
  <c r="BL232" i="49"/>
  <c r="BJ232" i="49"/>
  <c r="DC25" i="49"/>
  <c r="AI270" i="49"/>
  <c r="AJ270" i="49"/>
  <c r="AK270" i="49"/>
  <c r="AI260" i="49"/>
  <c r="AJ260" i="49"/>
  <c r="AK260" i="49"/>
  <c r="CH289" i="49"/>
  <c r="CI289" i="49"/>
  <c r="CG289" i="49"/>
  <c r="AH467" i="49"/>
  <c r="AE34" i="49"/>
  <c r="DC474" i="49"/>
  <c r="DE71" i="49"/>
  <c r="DF71" i="49"/>
  <c r="DD71" i="49"/>
  <c r="DE345" i="49"/>
  <c r="DF345" i="49"/>
  <c r="DD345" i="49"/>
  <c r="BK62" i="49"/>
  <c r="BL62" i="49"/>
  <c r="BJ62" i="49"/>
  <c r="BK137" i="49"/>
  <c r="BL137" i="49"/>
  <c r="BJ137" i="49"/>
  <c r="AJ244" i="49"/>
  <c r="AK244" i="49"/>
  <c r="AI244" i="49"/>
  <c r="CH284" i="49"/>
  <c r="CI284" i="49"/>
  <c r="CG284" i="49"/>
  <c r="DE237" i="49"/>
  <c r="DF237" i="49"/>
  <c r="DD237" i="49"/>
  <c r="DE255" i="49"/>
  <c r="DF255" i="49"/>
  <c r="DD255" i="49"/>
  <c r="DC34" i="49"/>
  <c r="BK255" i="49"/>
  <c r="BL255" i="49"/>
  <c r="BJ255" i="49"/>
  <c r="AI371" i="49"/>
  <c r="AJ371" i="49"/>
  <c r="AK371" i="49"/>
  <c r="AI175" i="49"/>
  <c r="AJ175" i="49"/>
  <c r="AK175" i="49"/>
  <c r="AI421" i="49"/>
  <c r="AJ421" i="49"/>
  <c r="AK421" i="49"/>
  <c r="AI362" i="49"/>
  <c r="AJ362" i="49"/>
  <c r="AK362" i="49"/>
  <c r="CH287" i="49"/>
  <c r="CI287" i="49"/>
  <c r="CG287" i="49"/>
  <c r="DE432" i="49"/>
  <c r="DF432" i="49"/>
  <c r="DD432" i="49"/>
  <c r="BK476" i="49"/>
  <c r="BL476" i="49"/>
  <c r="BJ476" i="49"/>
  <c r="CH422" i="49"/>
  <c r="CI422" i="49"/>
  <c r="CG422" i="49"/>
  <c r="AI345" i="49"/>
  <c r="AJ345" i="49"/>
  <c r="AK345" i="49"/>
  <c r="CH232" i="49"/>
  <c r="CI232" i="49"/>
  <c r="CG232" i="49"/>
  <c r="DE231" i="49"/>
  <c r="DF231" i="49"/>
  <c r="DD231" i="49"/>
  <c r="BK488" i="49"/>
  <c r="BL488" i="49"/>
  <c r="BJ488" i="49"/>
  <c r="CH206" i="49"/>
  <c r="CI206" i="49"/>
  <c r="CG206" i="49"/>
  <c r="DE483" i="49"/>
  <c r="DF483" i="49"/>
  <c r="DD483" i="49"/>
  <c r="CH246" i="49"/>
  <c r="CI246" i="49"/>
  <c r="CG246" i="49"/>
  <c r="CH371" i="49"/>
  <c r="CI371" i="49"/>
  <c r="CG371" i="49"/>
  <c r="CH397" i="49"/>
  <c r="CI397" i="49"/>
  <c r="CG397" i="49"/>
  <c r="DE222" i="49"/>
  <c r="DF222" i="49"/>
  <c r="DD222" i="49"/>
  <c r="BK238" i="49"/>
  <c r="BL238" i="49"/>
  <c r="BJ238" i="49"/>
  <c r="DE406" i="49"/>
  <c r="DF406" i="49"/>
  <c r="DD406" i="49"/>
  <c r="DE344" i="49"/>
  <c r="DF344" i="49"/>
  <c r="DD344" i="49"/>
  <c r="CH251" i="49"/>
  <c r="CI251" i="49"/>
  <c r="CG251" i="49"/>
  <c r="AI381" i="49"/>
  <c r="AJ381" i="49"/>
  <c r="CY51" i="49"/>
  <c r="Q2" i="49"/>
  <c r="Q505" i="49"/>
  <c r="AI147" i="49"/>
  <c r="AJ147" i="49"/>
  <c r="AK147" i="49"/>
  <c r="AI258" i="49"/>
  <c r="AJ258" i="49"/>
  <c r="AK258" i="49"/>
  <c r="AI401" i="49"/>
  <c r="AJ401" i="49"/>
  <c r="AK401" i="49"/>
  <c r="AI236" i="49"/>
  <c r="AJ236" i="49"/>
  <c r="AK236" i="49"/>
  <c r="DE362" i="49"/>
  <c r="DF362" i="49"/>
  <c r="DD362" i="49"/>
  <c r="DE206" i="49"/>
  <c r="DF206" i="49"/>
  <c r="DD206" i="49"/>
  <c r="CH46" i="49"/>
  <c r="CI46" i="49"/>
  <c r="CG46" i="49"/>
  <c r="BK392" i="49"/>
  <c r="BL392" i="49"/>
  <c r="BJ392" i="49"/>
  <c r="CH171" i="49"/>
  <c r="CI171" i="49"/>
  <c r="CG171" i="49"/>
  <c r="DE286" i="49"/>
  <c r="DF286" i="49"/>
  <c r="DD286" i="49"/>
  <c r="BK381" i="49"/>
  <c r="BL381" i="49"/>
  <c r="BJ381" i="49"/>
  <c r="AE26" i="49"/>
  <c r="AI238" i="49"/>
  <c r="AJ238" i="49"/>
  <c r="AK238" i="49"/>
  <c r="CI286" i="49"/>
  <c r="DE482" i="49"/>
  <c r="DF482" i="49"/>
  <c r="DD482" i="49"/>
  <c r="AI177" i="49"/>
  <c r="AJ177" i="49"/>
  <c r="AK177" i="49"/>
  <c r="BK98" i="49"/>
  <c r="BL98" i="49"/>
  <c r="BJ98" i="49"/>
  <c r="AI255" i="49"/>
  <c r="AJ255" i="49"/>
  <c r="AK255" i="49"/>
  <c r="BF40" i="49"/>
  <c r="BG40" i="49"/>
  <c r="BH40" i="49"/>
  <c r="DE223" i="49"/>
  <c r="DF223" i="49"/>
  <c r="DD223" i="49"/>
  <c r="AI283" i="49"/>
  <c r="AJ283" i="49"/>
  <c r="AK283" i="49"/>
  <c r="AH443" i="49"/>
  <c r="CY438" i="49"/>
  <c r="CY111" i="49"/>
  <c r="CY145" i="49"/>
  <c r="CY65" i="49"/>
  <c r="CY233" i="49"/>
  <c r="CY278" i="49"/>
  <c r="CY367" i="49"/>
  <c r="CY157" i="49"/>
  <c r="CY77" i="49"/>
  <c r="CY103" i="49"/>
  <c r="CY435" i="49"/>
  <c r="CY260" i="49"/>
  <c r="CY107" i="49"/>
  <c r="CY131" i="49"/>
  <c r="CY437" i="49"/>
  <c r="CY486" i="49"/>
  <c r="CY351" i="49"/>
  <c r="CY301" i="49"/>
  <c r="CY365" i="49"/>
  <c r="CY300" i="49"/>
  <c r="CY373" i="49"/>
  <c r="CY45" i="49"/>
  <c r="CY84" i="49"/>
  <c r="CY109" i="49"/>
  <c r="CY194" i="49"/>
  <c r="CY245" i="49"/>
  <c r="CY55" i="49"/>
  <c r="CY297" i="49"/>
  <c r="CY335" i="49"/>
  <c r="CY485" i="49"/>
  <c r="CY20" i="49"/>
  <c r="CY468" i="49"/>
  <c r="CY308" i="49"/>
  <c r="CY117" i="49"/>
  <c r="CY211" i="49"/>
  <c r="CY142" i="49"/>
  <c r="CY66" i="49"/>
  <c r="CY110" i="49"/>
  <c r="CY261" i="49"/>
  <c r="CY158" i="49"/>
  <c r="CY164" i="49"/>
  <c r="CY82" i="49"/>
  <c r="CY169" i="49"/>
  <c r="CY162" i="49"/>
  <c r="CY165" i="49"/>
  <c r="CY6" i="49"/>
  <c r="CY305" i="49"/>
  <c r="CY409" i="49"/>
  <c r="CY382" i="49"/>
  <c r="CY341" i="49"/>
  <c r="CY115" i="49"/>
  <c r="CY44" i="49"/>
  <c r="CY268" i="49"/>
  <c r="CY125" i="49"/>
  <c r="CY392" i="49"/>
  <c r="CY205" i="49"/>
  <c r="CY208" i="49"/>
  <c r="CY307" i="49"/>
  <c r="CY83" i="49"/>
  <c r="CY410" i="49"/>
  <c r="CY430" i="49"/>
  <c r="CY209" i="49"/>
  <c r="CY434" i="49"/>
  <c r="CY160" i="49"/>
  <c r="CY428" i="49"/>
  <c r="CY343" i="49"/>
  <c r="CY190" i="49"/>
  <c r="CY357" i="49"/>
  <c r="CY342" i="49"/>
  <c r="CY275" i="49"/>
  <c r="CY214" i="49"/>
  <c r="CY94" i="49"/>
  <c r="CY320" i="49"/>
  <c r="CY15" i="49"/>
  <c r="CY28" i="49"/>
  <c r="CY315" i="49"/>
  <c r="CY363" i="49"/>
  <c r="CY47" i="49"/>
  <c r="CY449" i="49"/>
  <c r="CY454" i="49"/>
  <c r="CY360" i="49"/>
  <c r="CY73" i="49"/>
  <c r="CY385" i="49"/>
  <c r="CY494" i="49"/>
  <c r="AE18" i="49"/>
  <c r="AE37" i="49"/>
  <c r="CH258" i="49"/>
  <c r="CI258" i="49"/>
  <c r="CG258" i="49"/>
  <c r="DE244" i="49"/>
  <c r="DF244" i="49"/>
  <c r="DD244" i="49"/>
  <c r="BK263" i="49"/>
  <c r="BL263" i="49"/>
  <c r="BJ263" i="49"/>
  <c r="DE269" i="49"/>
  <c r="DF269" i="49"/>
  <c r="DD269" i="49"/>
  <c r="DE480" i="49"/>
  <c r="DF480" i="49"/>
  <c r="DD480" i="49"/>
  <c r="AI429" i="49"/>
  <c r="AJ429" i="49"/>
  <c r="AK429" i="49"/>
  <c r="AI210" i="49"/>
  <c r="AJ210" i="49"/>
  <c r="AK210" i="49"/>
  <c r="AI211" i="49"/>
  <c r="AJ211" i="49"/>
  <c r="AK211" i="49"/>
  <c r="CC5" i="49"/>
  <c r="CD5" i="49"/>
  <c r="AE22" i="49"/>
  <c r="AL355" i="49"/>
  <c r="CH426" i="49"/>
  <c r="CI426" i="49"/>
  <c r="CG426" i="49"/>
  <c r="AI254" i="49"/>
  <c r="AJ254" i="49"/>
  <c r="AK254" i="49"/>
  <c r="DE398" i="49"/>
  <c r="DF398" i="49"/>
  <c r="DD398" i="49"/>
  <c r="CH222" i="49"/>
  <c r="CI222" i="49"/>
  <c r="CG222" i="49"/>
  <c r="AI202" i="49"/>
  <c r="AJ202" i="49"/>
  <c r="AK202" i="49"/>
  <c r="BK273" i="49"/>
  <c r="BL273" i="49"/>
  <c r="BJ273" i="49"/>
  <c r="AI394" i="49"/>
  <c r="AJ394" i="49"/>
  <c r="AK394" i="49"/>
  <c r="CH364" i="49"/>
  <c r="CI364" i="49"/>
  <c r="CG364" i="49"/>
  <c r="CH272" i="49"/>
  <c r="CI272" i="49"/>
  <c r="CG272" i="49"/>
  <c r="AI188" i="49"/>
  <c r="AJ188" i="49"/>
  <c r="AK188" i="49"/>
  <c r="CF469" i="49"/>
  <c r="CH230" i="49"/>
  <c r="CI230" i="49"/>
  <c r="CG230" i="49"/>
  <c r="BK398" i="49"/>
  <c r="BL398" i="49"/>
  <c r="BJ398" i="49"/>
  <c r="BK347" i="49"/>
  <c r="BL347" i="49"/>
  <c r="BJ347" i="49"/>
  <c r="CH476" i="49"/>
  <c r="CI476" i="49"/>
  <c r="CG476" i="49"/>
  <c r="CH63" i="49"/>
  <c r="CI63" i="49"/>
  <c r="CG63" i="49"/>
  <c r="CH344" i="49"/>
  <c r="CI344" i="49"/>
  <c r="CG344" i="49"/>
  <c r="DE147" i="49"/>
  <c r="DF147" i="49"/>
  <c r="DD147" i="49"/>
  <c r="BK344" i="49"/>
  <c r="BL344" i="49"/>
  <c r="BJ344" i="49"/>
  <c r="T500" i="49"/>
  <c r="CH223" i="49"/>
  <c r="CI223" i="49"/>
  <c r="CG223" i="49"/>
  <c r="CH309" i="49"/>
  <c r="CI309" i="49"/>
  <c r="CG309" i="49"/>
  <c r="DE263" i="49"/>
  <c r="DF263" i="49"/>
  <c r="DD263" i="49"/>
  <c r="AI228" i="49"/>
  <c r="AJ228" i="49"/>
  <c r="AK228" i="49"/>
  <c r="AI287" i="49"/>
  <c r="AJ287" i="49"/>
  <c r="AK287" i="49"/>
  <c r="AI402" i="49"/>
  <c r="AJ402" i="49"/>
  <c r="AK402" i="49"/>
  <c r="BK345" i="49"/>
  <c r="BL345" i="49"/>
  <c r="BJ345" i="49"/>
  <c r="AI396" i="49"/>
  <c r="AJ396" i="49"/>
  <c r="AK396" i="49"/>
  <c r="CH216" i="49"/>
  <c r="CI216" i="49"/>
  <c r="CG216" i="49"/>
  <c r="CH41" i="49"/>
  <c r="CI41" i="49"/>
  <c r="CG41" i="49"/>
  <c r="AI392" i="49"/>
  <c r="AJ392" i="49"/>
  <c r="AK392" i="49"/>
  <c r="BK424" i="49"/>
  <c r="BL424" i="49"/>
  <c r="BJ424" i="49"/>
  <c r="AI291" i="49"/>
  <c r="AJ291" i="49"/>
  <c r="AK291" i="49"/>
  <c r="CH345" i="49"/>
  <c r="CI345" i="49"/>
  <c r="CG345" i="49"/>
  <c r="CH263" i="49"/>
  <c r="CI263" i="49"/>
  <c r="CG263" i="49"/>
  <c r="CH257" i="49"/>
  <c r="CI257" i="49"/>
  <c r="CG257" i="49"/>
  <c r="DE426" i="49"/>
  <c r="DF426" i="49"/>
  <c r="DD426" i="49"/>
  <c r="DE137" i="49"/>
  <c r="DF137" i="49"/>
  <c r="DD137" i="49"/>
  <c r="CH353" i="49"/>
  <c r="CI353" i="49"/>
  <c r="CG353" i="49"/>
  <c r="AI279" i="49"/>
  <c r="AJ279" i="49"/>
  <c r="AK279" i="49"/>
  <c r="CH480" i="49"/>
  <c r="CI480" i="49"/>
  <c r="CG480" i="49"/>
  <c r="CH424" i="49"/>
  <c r="CI424" i="49"/>
  <c r="CG424" i="49"/>
  <c r="DE181" i="49"/>
  <c r="DF181" i="49"/>
  <c r="DD181" i="49"/>
  <c r="DE264" i="49"/>
  <c r="DF264" i="49"/>
  <c r="DD264" i="49"/>
  <c r="AI241" i="49"/>
  <c r="AJ241" i="49"/>
  <c r="AK241" i="49"/>
  <c r="DE294" i="49"/>
  <c r="DF294" i="49"/>
  <c r="DD294" i="49"/>
  <c r="AE20" i="49"/>
  <c r="AI259" i="49"/>
  <c r="AJ259" i="49"/>
  <c r="AK259" i="49"/>
  <c r="AI405" i="49"/>
  <c r="AJ405" i="49"/>
  <c r="AK405" i="49"/>
  <c r="CH62" i="49"/>
  <c r="CI62" i="49"/>
  <c r="CG62" i="49"/>
  <c r="DE276" i="49"/>
  <c r="DF276" i="49"/>
  <c r="DD276" i="49"/>
  <c r="AI476" i="49"/>
  <c r="AJ476" i="49"/>
  <c r="AK476" i="49"/>
  <c r="AI302" i="49"/>
  <c r="AJ302" i="49"/>
  <c r="AK302" i="49"/>
  <c r="AI422" i="49"/>
  <c r="AJ422" i="49"/>
  <c r="AK422" i="49"/>
  <c r="AH463" i="49"/>
  <c r="BZ498" i="49"/>
  <c r="CA498" i="49"/>
  <c r="BZ385" i="49"/>
  <c r="CA385" i="49"/>
  <c r="BZ75" i="49"/>
  <c r="CA75" i="49"/>
  <c r="BZ197" i="49"/>
  <c r="CA197" i="49"/>
  <c r="BZ471" i="49"/>
  <c r="CA471" i="49"/>
  <c r="BZ69" i="49"/>
  <c r="CA69" i="49"/>
  <c r="BZ167" i="49"/>
  <c r="CA167" i="49"/>
  <c r="BZ492" i="49"/>
  <c r="CA492" i="49"/>
  <c r="BZ489" i="49"/>
  <c r="CA489" i="49"/>
  <c r="BZ93" i="49"/>
  <c r="CA93" i="49"/>
  <c r="BZ73" i="49"/>
  <c r="CA73" i="49"/>
  <c r="BZ494" i="49"/>
  <c r="CA494" i="49"/>
  <c r="BZ363" i="49"/>
  <c r="CA363" i="49"/>
  <c r="BZ47" i="49"/>
  <c r="CA47" i="49"/>
  <c r="BZ360" i="49"/>
  <c r="CA360" i="49"/>
  <c r="BZ321" i="49"/>
  <c r="CA321" i="49"/>
  <c r="BZ29" i="49"/>
  <c r="CA29" i="49"/>
  <c r="BZ493" i="49"/>
  <c r="CA493" i="49"/>
  <c r="BZ470" i="49"/>
  <c r="CA470" i="49"/>
  <c r="BZ319" i="49"/>
  <c r="CA319" i="49"/>
  <c r="BZ74" i="49"/>
  <c r="CA74" i="49"/>
  <c r="BZ449" i="49"/>
  <c r="CA449" i="49"/>
  <c r="BZ361" i="49"/>
  <c r="CA361" i="49"/>
  <c r="BZ72" i="49"/>
  <c r="CA72" i="49"/>
  <c r="BZ490" i="49"/>
  <c r="CA490" i="49"/>
  <c r="BZ70" i="49"/>
  <c r="CA70" i="49"/>
  <c r="BZ491" i="49"/>
  <c r="CA491" i="49"/>
  <c r="BZ96" i="49"/>
  <c r="CA96" i="49"/>
  <c r="BZ320" i="49"/>
  <c r="CA320" i="49"/>
  <c r="BZ454" i="49"/>
  <c r="CA454" i="49"/>
  <c r="BZ455" i="49"/>
  <c r="CA455" i="49"/>
  <c r="BZ28" i="49"/>
  <c r="CA28" i="49"/>
  <c r="BZ402" i="49"/>
  <c r="CA402" i="49"/>
  <c r="BZ56" i="49"/>
  <c r="CA56" i="49"/>
  <c r="BZ211" i="49"/>
  <c r="CA211" i="49"/>
  <c r="BZ290" i="49"/>
  <c r="CA290" i="49"/>
  <c r="BZ160" i="49"/>
  <c r="CA160" i="49"/>
  <c r="BZ7" i="49"/>
  <c r="CA7" i="49"/>
  <c r="BZ317" i="49"/>
  <c r="CA317" i="49"/>
  <c r="BZ331" i="49"/>
  <c r="CA331" i="49"/>
  <c r="BZ65" i="49"/>
  <c r="CA65" i="49"/>
  <c r="BZ404" i="49"/>
  <c r="CA404" i="49"/>
  <c r="BZ428" i="49"/>
  <c r="CA428" i="49"/>
  <c r="BZ380" i="49"/>
  <c r="CA380" i="49"/>
  <c r="BZ394" i="49"/>
  <c r="CA394" i="49"/>
  <c r="BZ333" i="49"/>
  <c r="CA333" i="49"/>
  <c r="BZ340" i="49"/>
  <c r="CA340" i="49"/>
  <c r="BZ483" i="49"/>
  <c r="CA483" i="49"/>
  <c r="BZ58" i="49"/>
  <c r="CA58" i="49"/>
  <c r="BZ78" i="49"/>
  <c r="CA78" i="49"/>
  <c r="BZ82" i="49"/>
  <c r="CA82" i="49"/>
  <c r="BZ146" i="49"/>
  <c r="CA146" i="49"/>
  <c r="BZ15" i="49"/>
  <c r="CA15" i="49"/>
  <c r="BZ43" i="49"/>
  <c r="CA43" i="49"/>
  <c r="BZ408" i="49"/>
  <c r="CA408" i="49"/>
  <c r="BZ423" i="49"/>
  <c r="CA423" i="49"/>
  <c r="BZ152" i="49"/>
  <c r="CA152" i="49"/>
  <c r="BZ393" i="49"/>
  <c r="CA393" i="49"/>
  <c r="BZ81" i="49"/>
  <c r="CA81" i="49"/>
  <c r="BZ88" i="49"/>
  <c r="CA88" i="49"/>
  <c r="BZ79" i="49"/>
  <c r="CA79" i="49"/>
  <c r="BZ126" i="49"/>
  <c r="CA126" i="49"/>
  <c r="BZ219" i="49"/>
  <c r="CA219" i="49"/>
  <c r="BZ183" i="49"/>
  <c r="CA183" i="49"/>
  <c r="BZ210" i="49"/>
  <c r="CA210" i="49"/>
  <c r="BZ143" i="49"/>
  <c r="CA143" i="49"/>
  <c r="BZ133" i="49"/>
  <c r="CA133" i="49"/>
  <c r="BZ8" i="49"/>
  <c r="CA8" i="49"/>
  <c r="BZ325" i="49"/>
  <c r="CA325" i="49"/>
  <c r="BZ329" i="49"/>
  <c r="CA329" i="49"/>
  <c r="BZ431" i="49"/>
  <c r="CA431" i="49"/>
  <c r="BZ64" i="49"/>
  <c r="CA64" i="49"/>
  <c r="BZ42" i="49"/>
  <c r="CA42" i="49"/>
  <c r="BZ383" i="49"/>
  <c r="CA383" i="49"/>
  <c r="BZ485" i="49"/>
  <c r="CA485" i="49"/>
  <c r="BZ55" i="49"/>
  <c r="CA55" i="49"/>
  <c r="BZ109" i="49"/>
  <c r="CA109" i="49"/>
  <c r="BZ111" i="49"/>
  <c r="CA111" i="49"/>
  <c r="BZ275" i="49"/>
  <c r="CA275" i="49"/>
  <c r="BZ224" i="49"/>
  <c r="CA224" i="49"/>
  <c r="BZ145" i="49"/>
  <c r="CA145" i="49"/>
  <c r="BZ198" i="49"/>
  <c r="CA198" i="49"/>
  <c r="BZ250" i="49"/>
  <c r="CA250" i="49"/>
  <c r="BZ313" i="49"/>
  <c r="CA313" i="49"/>
  <c r="BZ66" i="49"/>
  <c r="CA66" i="49"/>
  <c r="BZ419" i="49"/>
  <c r="CA419" i="49"/>
  <c r="BZ128" i="49"/>
  <c r="CA128" i="49"/>
  <c r="BZ116" i="49"/>
  <c r="CA116" i="49"/>
  <c r="BZ481" i="49"/>
  <c r="CA481" i="49"/>
  <c r="BZ122" i="49"/>
  <c r="CA122" i="49"/>
  <c r="BZ235" i="49"/>
  <c r="CA235" i="49"/>
  <c r="BZ52" i="49"/>
  <c r="CA52" i="49"/>
  <c r="BZ420" i="49"/>
  <c r="CA420" i="49"/>
  <c r="BZ386" i="49"/>
  <c r="CA386" i="49"/>
  <c r="BZ384" i="49"/>
  <c r="CA384" i="49"/>
  <c r="BZ395" i="49"/>
  <c r="CA395" i="49"/>
  <c r="BZ390" i="49"/>
  <c r="CA390" i="49"/>
  <c r="BZ342" i="49"/>
  <c r="CA342" i="49"/>
  <c r="BZ336" i="49"/>
  <c r="CA336" i="49"/>
  <c r="BZ477" i="49"/>
  <c r="CA477" i="49"/>
  <c r="BZ100" i="49"/>
  <c r="CA100" i="49"/>
  <c r="BZ103" i="49"/>
  <c r="CA103" i="49"/>
  <c r="BZ91" i="49"/>
  <c r="CA91" i="49"/>
  <c r="BZ220" i="49"/>
  <c r="CA220" i="49"/>
  <c r="BZ260" i="49"/>
  <c r="CA260" i="49"/>
  <c r="BZ136" i="49"/>
  <c r="CA136" i="49"/>
  <c r="BZ209" i="49"/>
  <c r="CA209" i="49"/>
  <c r="BZ241" i="49"/>
  <c r="CA241" i="49"/>
  <c r="BZ311" i="49"/>
  <c r="CA311" i="49"/>
  <c r="BZ277" i="49"/>
  <c r="CA277" i="49"/>
  <c r="BZ245" i="49"/>
  <c r="CA245" i="49"/>
  <c r="BZ141" i="49"/>
  <c r="CA141" i="49"/>
  <c r="BZ217" i="49"/>
  <c r="CA217" i="49"/>
  <c r="BZ242" i="49"/>
  <c r="CA242" i="49"/>
  <c r="BZ190" i="49"/>
  <c r="CA190" i="49"/>
  <c r="BZ225" i="49"/>
  <c r="CA225" i="49"/>
  <c r="BZ11" i="49"/>
  <c r="CA11" i="49"/>
  <c r="BZ153" i="49"/>
  <c r="CA153" i="49"/>
  <c r="BZ357" i="49"/>
  <c r="CA357" i="49"/>
  <c r="BZ400" i="49"/>
  <c r="CA400" i="49"/>
  <c r="BZ486" i="49"/>
  <c r="CA486" i="49"/>
  <c r="BZ123" i="49"/>
  <c r="CA123" i="49"/>
  <c r="BZ105" i="49"/>
  <c r="CA105" i="49"/>
  <c r="BZ102" i="49"/>
  <c r="CA102" i="49"/>
  <c r="BZ256" i="49"/>
  <c r="CA256" i="49"/>
  <c r="BZ194" i="49"/>
  <c r="CA194" i="49"/>
  <c r="BZ233" i="49"/>
  <c r="CA233" i="49"/>
  <c r="BZ252" i="49"/>
  <c r="CA252" i="49"/>
  <c r="BZ155" i="49"/>
  <c r="CA155" i="49"/>
  <c r="BZ281" i="49"/>
  <c r="CA281" i="49"/>
  <c r="BZ326" i="49"/>
  <c r="CA326" i="49"/>
  <c r="BZ434" i="49"/>
  <c r="CA434" i="49"/>
  <c r="BZ356" i="49"/>
  <c r="CA356" i="49"/>
  <c r="BZ354" i="49"/>
  <c r="CA354" i="49"/>
  <c r="BZ372" i="49"/>
  <c r="CA372" i="49"/>
  <c r="BZ482" i="49"/>
  <c r="CA482" i="49"/>
  <c r="BZ303" i="49"/>
  <c r="CA303" i="49"/>
  <c r="BZ154" i="49"/>
  <c r="CA154" i="49"/>
  <c r="BZ200" i="49"/>
  <c r="CA200" i="49"/>
  <c r="BZ296" i="49"/>
  <c r="CA296" i="49"/>
  <c r="BZ161" i="49"/>
  <c r="CA161" i="49"/>
  <c r="BZ310" i="49"/>
  <c r="CA310" i="49"/>
  <c r="BZ358" i="49"/>
  <c r="CA358" i="49"/>
  <c r="BZ352" i="49"/>
  <c r="CA352" i="49"/>
  <c r="BZ392" i="49"/>
  <c r="CA392" i="49"/>
  <c r="BZ335" i="49"/>
  <c r="CA335" i="49"/>
  <c r="BZ341" i="49"/>
  <c r="CA341" i="49"/>
  <c r="BZ94" i="49"/>
  <c r="CA94" i="49"/>
  <c r="BZ273" i="49"/>
  <c r="CA273" i="49"/>
  <c r="BZ185" i="49"/>
  <c r="CA185" i="49"/>
  <c r="BZ149" i="49"/>
  <c r="CA149" i="49"/>
  <c r="BZ166" i="49"/>
  <c r="CA166" i="49"/>
  <c r="BZ189" i="49"/>
  <c r="CA189" i="49"/>
  <c r="BZ298" i="49"/>
  <c r="CA298" i="49"/>
  <c r="BZ158" i="49"/>
  <c r="CA158" i="49"/>
  <c r="BZ312" i="49"/>
  <c r="CA312" i="49"/>
  <c r="BZ315" i="49"/>
  <c r="CA315" i="49"/>
  <c r="BZ44" i="49"/>
  <c r="CA44" i="49"/>
  <c r="BZ119" i="49"/>
  <c r="CA119" i="49"/>
  <c r="BZ95" i="49"/>
  <c r="CA95" i="49"/>
  <c r="BZ127" i="49"/>
  <c r="CA127" i="49"/>
  <c r="BZ170" i="49"/>
  <c r="CA170" i="49"/>
  <c r="BZ412" i="49"/>
  <c r="CA412" i="49"/>
  <c r="BZ349" i="49"/>
  <c r="CA349" i="49"/>
  <c r="BZ106" i="49"/>
  <c r="CA106" i="49"/>
  <c r="BZ134" i="49"/>
  <c r="CA134" i="49"/>
  <c r="BZ293" i="49"/>
  <c r="CA293" i="49"/>
  <c r="BZ292" i="49"/>
  <c r="CA292" i="49"/>
  <c r="BZ14" i="49"/>
  <c r="CA14" i="49"/>
  <c r="BZ414" i="49"/>
  <c r="CA414" i="49"/>
  <c r="BZ85" i="49"/>
  <c r="CA85" i="49"/>
  <c r="BZ115" i="49"/>
  <c r="CA115" i="49"/>
  <c r="BZ121" i="49"/>
  <c r="CA121" i="49"/>
  <c r="BZ205" i="49"/>
  <c r="CA205" i="49"/>
  <c r="BZ299" i="49"/>
  <c r="CA299" i="49"/>
  <c r="BZ87" i="49"/>
  <c r="CA87" i="49"/>
  <c r="BZ184" i="49"/>
  <c r="CA184" i="49"/>
  <c r="BZ132" i="49"/>
  <c r="CA132" i="49"/>
  <c r="BZ282" i="49"/>
  <c r="CA282" i="49"/>
  <c r="BZ6" i="49"/>
  <c r="BZ314" i="49"/>
  <c r="CA314" i="49"/>
  <c r="BZ327" i="49"/>
  <c r="CA327" i="49"/>
  <c r="BZ436" i="49"/>
  <c r="CA436" i="49"/>
  <c r="BZ48" i="49"/>
  <c r="CA48" i="49"/>
  <c r="BZ253" i="49"/>
  <c r="CA253" i="49"/>
  <c r="BZ339" i="49"/>
  <c r="CA339" i="49"/>
  <c r="BZ9" i="49"/>
  <c r="CA9" i="49"/>
  <c r="BZ208" i="49"/>
  <c r="CA208" i="49"/>
  <c r="BZ186" i="49"/>
  <c r="CA186" i="49"/>
  <c r="BZ61" i="49"/>
  <c r="CA61" i="49"/>
  <c r="BZ10" i="49"/>
  <c r="CA10" i="49"/>
  <c r="BZ89" i="49"/>
  <c r="CA89" i="49"/>
  <c r="BZ187" i="49"/>
  <c r="CA187" i="49"/>
  <c r="BZ265" i="49"/>
  <c r="CA265" i="49"/>
  <c r="BZ234" i="49"/>
  <c r="CA234" i="49"/>
  <c r="BZ348" i="49"/>
  <c r="CA348" i="49"/>
  <c r="BZ316" i="49"/>
  <c r="CA316" i="49"/>
  <c r="BZ162" i="49"/>
  <c r="CA162" i="49"/>
  <c r="BZ112" i="49"/>
  <c r="CA112" i="49"/>
  <c r="BZ214" i="49"/>
  <c r="CA214" i="49"/>
  <c r="BZ99" i="49"/>
  <c r="CA99" i="49"/>
  <c r="BZ427" i="49"/>
  <c r="CA427" i="49"/>
  <c r="BZ13" i="49"/>
  <c r="CA13" i="49"/>
  <c r="BZ139" i="49"/>
  <c r="CA139" i="49"/>
  <c r="BZ125" i="49"/>
  <c r="CA125" i="49"/>
  <c r="BZ57" i="49"/>
  <c r="CA57" i="49"/>
  <c r="BZ59" i="49"/>
  <c r="CA59" i="49"/>
  <c r="BZ120" i="49"/>
  <c r="CA120" i="49"/>
  <c r="BZ323" i="49"/>
  <c r="CA323" i="49"/>
  <c r="BZ215" i="49"/>
  <c r="CA215" i="49"/>
  <c r="BZ60" i="49"/>
  <c r="CA60" i="49"/>
  <c r="BZ337" i="49"/>
  <c r="CA337" i="49"/>
  <c r="BZ130" i="49"/>
  <c r="CA130" i="49"/>
  <c r="BZ430" i="49"/>
  <c r="CA430" i="49"/>
  <c r="BZ129" i="49"/>
  <c r="CA129" i="49"/>
  <c r="BZ461" i="49"/>
  <c r="CA461" i="49"/>
  <c r="BZ458" i="49"/>
  <c r="CA458" i="49"/>
  <c r="BZ467" i="49"/>
  <c r="CA467" i="49"/>
  <c r="BZ451" i="49"/>
  <c r="CA451" i="49"/>
  <c r="BZ475" i="49"/>
  <c r="CA475" i="49"/>
  <c r="BZ37" i="49"/>
  <c r="CA37" i="49"/>
  <c r="BZ165" i="49"/>
  <c r="CA165" i="49"/>
  <c r="BZ207" i="49"/>
  <c r="CA207" i="49"/>
  <c r="BZ248" i="49"/>
  <c r="CA248" i="49"/>
  <c r="BZ379" i="49"/>
  <c r="CA379" i="49"/>
  <c r="BZ104" i="49"/>
  <c r="CA104" i="49"/>
  <c r="BZ373" i="49"/>
  <c r="CA373" i="49"/>
  <c r="BZ142" i="49"/>
  <c r="CA142" i="49"/>
  <c r="BZ274" i="49"/>
  <c r="CA274" i="49"/>
  <c r="BZ169" i="49"/>
  <c r="CA169" i="49"/>
  <c r="BZ368" i="49"/>
  <c r="CA368" i="49"/>
  <c r="BZ140" i="49"/>
  <c r="CA140" i="49"/>
  <c r="BZ343" i="49"/>
  <c r="CA343" i="49"/>
  <c r="BZ150" i="49"/>
  <c r="CA150" i="49"/>
  <c r="BZ108" i="49"/>
  <c r="CA108" i="49"/>
  <c r="BZ382" i="49"/>
  <c r="CA382" i="49"/>
  <c r="BZ307" i="49"/>
  <c r="CA307" i="49"/>
  <c r="BZ305" i="49"/>
  <c r="CA305" i="49"/>
  <c r="BZ338" i="49"/>
  <c r="CA338" i="49"/>
  <c r="BZ280" i="49"/>
  <c r="CA280" i="49"/>
  <c r="BZ300" i="49"/>
  <c r="CA300" i="49"/>
  <c r="BZ196" i="49"/>
  <c r="CA196" i="49"/>
  <c r="BZ346" i="49"/>
  <c r="CA346" i="49"/>
  <c r="BZ438" i="49"/>
  <c r="CA438" i="49"/>
  <c r="BZ262" i="49"/>
  <c r="CA262" i="49"/>
  <c r="BZ191" i="49"/>
  <c r="CA191" i="49"/>
  <c r="BZ324" i="49"/>
  <c r="CA324" i="49"/>
  <c r="BZ164" i="49"/>
  <c r="CA164" i="49"/>
  <c r="BZ90" i="49"/>
  <c r="CA90" i="49"/>
  <c r="BZ484" i="49"/>
  <c r="CA484" i="49"/>
  <c r="BZ131" i="49"/>
  <c r="CA131" i="49"/>
  <c r="BZ350" i="49"/>
  <c r="CA350" i="49"/>
  <c r="BZ50" i="49"/>
  <c r="CA50" i="49"/>
  <c r="BZ38" i="49"/>
  <c r="CA38" i="49"/>
  <c r="BZ172" i="49"/>
  <c r="CA172" i="49"/>
  <c r="BZ199" i="49"/>
  <c r="CA199" i="49"/>
  <c r="BZ77" i="49"/>
  <c r="CA77" i="49"/>
  <c r="BZ249" i="49"/>
  <c r="CA249" i="49"/>
  <c r="BZ308" i="49"/>
  <c r="CA308" i="49"/>
  <c r="BZ135" i="49"/>
  <c r="CA135" i="49"/>
  <c r="BZ12" i="49"/>
  <c r="CA12" i="49"/>
  <c r="BZ107" i="49"/>
  <c r="CA107" i="49"/>
  <c r="BZ173" i="49"/>
  <c r="CA173" i="49"/>
  <c r="BZ83" i="49"/>
  <c r="CA83" i="49"/>
  <c r="BZ377" i="49"/>
  <c r="CA377" i="49"/>
  <c r="BZ144" i="49"/>
  <c r="CA144" i="49"/>
  <c r="BZ301" i="49"/>
  <c r="CA301" i="49"/>
  <c r="BZ278" i="49"/>
  <c r="CA278" i="49"/>
  <c r="BZ192" i="49"/>
  <c r="CA192" i="49"/>
  <c r="BZ118" i="49"/>
  <c r="CA118" i="49"/>
  <c r="BZ279" i="49"/>
  <c r="CA279" i="49"/>
  <c r="BZ86" i="49"/>
  <c r="CA86" i="49"/>
  <c r="BZ478" i="49"/>
  <c r="CA478" i="49"/>
  <c r="BZ409" i="49"/>
  <c r="CA409" i="49"/>
  <c r="BZ218" i="49"/>
  <c r="CA218" i="49"/>
  <c r="BZ271" i="49"/>
  <c r="CA271" i="49"/>
  <c r="BZ45" i="49"/>
  <c r="CA45" i="49"/>
  <c r="BZ113" i="49"/>
  <c r="CA113" i="49"/>
  <c r="BZ425" i="49"/>
  <c r="CA425" i="49"/>
  <c r="BZ195" i="49"/>
  <c r="CA195" i="49"/>
  <c r="BZ226" i="49"/>
  <c r="CA226" i="49"/>
  <c r="BZ67" i="49"/>
  <c r="CA67" i="49"/>
  <c r="BZ227" i="49"/>
  <c r="CA227" i="49"/>
  <c r="BZ156" i="49"/>
  <c r="CA156" i="49"/>
  <c r="BZ84" i="49"/>
  <c r="CA84" i="49"/>
  <c r="BZ388" i="49"/>
  <c r="CA388" i="49"/>
  <c r="BZ49" i="49"/>
  <c r="CA49" i="49"/>
  <c r="BZ433" i="49"/>
  <c r="CA433" i="49"/>
  <c r="BZ110" i="49"/>
  <c r="CA110" i="49"/>
  <c r="BZ267" i="49"/>
  <c r="CA267" i="49"/>
  <c r="BZ39" i="49"/>
  <c r="CA39" i="49"/>
  <c r="BZ322" i="49"/>
  <c r="CA322" i="49"/>
  <c r="BZ442" i="49"/>
  <c r="CA442" i="49"/>
  <c r="BZ473" i="49"/>
  <c r="CA473" i="49"/>
  <c r="BZ24" i="49"/>
  <c r="CA24" i="49"/>
  <c r="BZ201" i="49"/>
  <c r="CA201" i="49"/>
  <c r="BZ54" i="49"/>
  <c r="CA54" i="49"/>
  <c r="BZ437" i="49"/>
  <c r="CA437" i="49"/>
  <c r="BZ487" i="49"/>
  <c r="CA487" i="49"/>
  <c r="BZ157" i="49"/>
  <c r="CA157" i="49"/>
  <c r="BZ138" i="49"/>
  <c r="CA138" i="49"/>
  <c r="BZ410" i="49"/>
  <c r="CA410" i="49"/>
  <c r="BZ413" i="49"/>
  <c r="CA413" i="49"/>
  <c r="BZ378" i="49"/>
  <c r="CA378" i="49"/>
  <c r="BZ243" i="49"/>
  <c r="CA243" i="49"/>
  <c r="BZ98" i="49"/>
  <c r="CA98" i="49"/>
  <c r="BZ367" i="49"/>
  <c r="CA367" i="49"/>
  <c r="BZ188" i="49"/>
  <c r="CA188" i="49"/>
  <c r="BZ178" i="49"/>
  <c r="CA178" i="49"/>
  <c r="BZ295" i="49"/>
  <c r="CA295" i="49"/>
  <c r="BZ159" i="49"/>
  <c r="CA159" i="49"/>
  <c r="BZ114" i="49"/>
  <c r="CA114" i="49"/>
  <c r="BZ247" i="49"/>
  <c r="CA247" i="49"/>
  <c r="BZ117" i="49"/>
  <c r="CA117" i="49"/>
  <c r="BZ268" i="49"/>
  <c r="CA268" i="49"/>
  <c r="BZ92" i="49"/>
  <c r="CA92" i="49"/>
  <c r="BZ266" i="49"/>
  <c r="CA266" i="49"/>
  <c r="BZ261" i="49"/>
  <c r="CA261" i="49"/>
  <c r="BZ365" i="49"/>
  <c r="CA365" i="49"/>
  <c r="BZ163" i="49"/>
  <c r="CA163" i="49"/>
  <c r="BZ101" i="49"/>
  <c r="CA101" i="49"/>
  <c r="BZ180" i="49"/>
  <c r="CA180" i="49"/>
  <c r="BZ76" i="49"/>
  <c r="CA76" i="49"/>
  <c r="BZ179" i="49"/>
  <c r="CA179" i="49"/>
  <c r="BZ240" i="49"/>
  <c r="CA240" i="49"/>
  <c r="BZ366" i="49"/>
  <c r="CA366" i="49"/>
  <c r="BZ25" i="49"/>
  <c r="CA25" i="49"/>
  <c r="BZ27" i="49"/>
  <c r="CA27" i="49"/>
  <c r="BZ51" i="49"/>
  <c r="CA51" i="49"/>
  <c r="BZ97" i="49"/>
  <c r="CA97" i="49"/>
  <c r="BZ351" i="49"/>
  <c r="CA351" i="49"/>
  <c r="BZ148" i="49"/>
  <c r="CA148" i="49"/>
  <c r="BZ306" i="49"/>
  <c r="CA306" i="49"/>
  <c r="BZ124" i="49"/>
  <c r="CA124" i="49"/>
  <c r="BZ453" i="49"/>
  <c r="CA453" i="49"/>
  <c r="BZ35" i="49"/>
  <c r="CA35" i="49"/>
  <c r="BZ30" i="49"/>
  <c r="CA30" i="49"/>
  <c r="BZ460" i="49"/>
  <c r="CA460" i="49"/>
  <c r="BZ23" i="49"/>
  <c r="CA23" i="49"/>
  <c r="BZ32" i="49"/>
  <c r="CA32" i="49"/>
  <c r="BZ26" i="49"/>
  <c r="CA26" i="49"/>
  <c r="BZ16" i="49"/>
  <c r="CA16" i="49"/>
  <c r="BZ17" i="49"/>
  <c r="CA17" i="49"/>
  <c r="BZ441" i="49"/>
  <c r="CA441" i="49"/>
  <c r="BZ33" i="49"/>
  <c r="CA33" i="49"/>
  <c r="BZ318" i="49"/>
  <c r="CA318" i="49"/>
  <c r="BZ446" i="49"/>
  <c r="CA446" i="49"/>
  <c r="BZ31" i="49"/>
  <c r="CA31" i="49"/>
  <c r="BZ18" i="49"/>
  <c r="CA18" i="49"/>
  <c r="BZ439" i="49"/>
  <c r="CA439" i="49"/>
  <c r="BZ445" i="49"/>
  <c r="CA445" i="49"/>
  <c r="BZ447" i="49"/>
  <c r="CA447" i="49"/>
  <c r="BZ496" i="49"/>
  <c r="CA496" i="49"/>
  <c r="BZ68" i="49"/>
  <c r="CA68" i="49"/>
  <c r="BZ435" i="49"/>
  <c r="CA435" i="49"/>
  <c r="BZ457" i="49"/>
  <c r="CA457" i="49"/>
  <c r="BZ448" i="49"/>
  <c r="CA448" i="49"/>
  <c r="BZ174" i="49"/>
  <c r="CA174" i="49"/>
  <c r="BZ19" i="49"/>
  <c r="CA19" i="49"/>
  <c r="BZ468" i="49"/>
  <c r="CA468" i="49"/>
  <c r="BZ450" i="49"/>
  <c r="CA450" i="49"/>
  <c r="BZ334" i="49"/>
  <c r="CA334" i="49"/>
  <c r="BZ20" i="49"/>
  <c r="CA20" i="49"/>
  <c r="BZ444" i="49"/>
  <c r="CA444" i="49"/>
  <c r="BZ21" i="49"/>
  <c r="CA21" i="49"/>
  <c r="BB18" i="49"/>
  <c r="BB500" i="49"/>
  <c r="BB2" i="49"/>
  <c r="BA500" i="49"/>
  <c r="BA2" i="49"/>
  <c r="AH440" i="49"/>
  <c r="CF440" i="49"/>
  <c r="AI309" i="49"/>
  <c r="AJ309" i="49"/>
  <c r="AK309" i="49"/>
  <c r="DC22" i="49"/>
  <c r="CH238" i="49"/>
  <c r="CI238" i="49"/>
  <c r="CG238" i="49"/>
  <c r="BM46" i="49"/>
  <c r="CH369" i="49"/>
  <c r="CI369" i="49"/>
  <c r="CG369" i="49"/>
  <c r="CH276" i="49"/>
  <c r="CI276" i="49"/>
  <c r="CG276" i="49"/>
  <c r="DE272" i="49"/>
  <c r="DF272" i="49"/>
  <c r="DD272" i="49"/>
  <c r="AI239" i="49"/>
  <c r="AJ239" i="49"/>
  <c r="AK239" i="49"/>
  <c r="BK270" i="49"/>
  <c r="BL270" i="49"/>
  <c r="BJ270" i="49"/>
  <c r="CF463" i="49"/>
  <c r="AI406" i="49"/>
  <c r="AJ406" i="49"/>
  <c r="AK406" i="49"/>
  <c r="BZ36" i="49"/>
  <c r="CA36" i="49"/>
  <c r="DE258" i="49"/>
  <c r="DF258" i="49"/>
  <c r="DD258" i="49"/>
  <c r="DE374" i="49"/>
  <c r="DF374" i="49"/>
  <c r="DD374" i="49"/>
  <c r="DE364" i="49"/>
  <c r="DF364" i="49"/>
  <c r="DD364" i="49"/>
  <c r="AI304" i="49"/>
  <c r="AJ304" i="49"/>
  <c r="AK304" i="49"/>
  <c r="CH270" i="49"/>
  <c r="CI270" i="49"/>
  <c r="CG270" i="49"/>
  <c r="CH429" i="49"/>
  <c r="CI429" i="49"/>
  <c r="CG429" i="49"/>
  <c r="DE246" i="49"/>
  <c r="DF246" i="49"/>
  <c r="DD246" i="49"/>
  <c r="DE239" i="49"/>
  <c r="DF239" i="49"/>
  <c r="DD239" i="49"/>
  <c r="DE202" i="49"/>
  <c r="DF202" i="49"/>
  <c r="DD202" i="49"/>
  <c r="DE401" i="49"/>
  <c r="DF401" i="49"/>
  <c r="DD401" i="49"/>
  <c r="CH151" i="49"/>
  <c r="CI151" i="49"/>
  <c r="CG151" i="49"/>
  <c r="DE387" i="49"/>
  <c r="DF387" i="49"/>
  <c r="DD387" i="49"/>
  <c r="BK421" i="49"/>
  <c r="BL421" i="49"/>
  <c r="BJ421" i="49"/>
  <c r="DE421" i="49"/>
  <c r="DF421" i="49"/>
  <c r="DD421" i="49"/>
  <c r="BK396" i="49"/>
  <c r="BL396" i="49"/>
  <c r="BJ396" i="49"/>
  <c r="CH376" i="49"/>
  <c r="CI376" i="49"/>
  <c r="CG376" i="49"/>
  <c r="CZ24" i="49"/>
  <c r="CH432" i="49"/>
  <c r="CI432" i="49"/>
  <c r="CG432" i="49"/>
  <c r="BK374" i="49"/>
  <c r="BL374" i="49"/>
  <c r="BJ374" i="49"/>
  <c r="CH80" i="49"/>
  <c r="CI80" i="49"/>
  <c r="CG80" i="49"/>
  <c r="DE177" i="49"/>
  <c r="DF177" i="49"/>
  <c r="DD177" i="49"/>
  <c r="DE375" i="49"/>
  <c r="DF375" i="49"/>
  <c r="DD375" i="49"/>
  <c r="DE429" i="49"/>
  <c r="DF429" i="49"/>
  <c r="DD429" i="49"/>
  <c r="AH465" i="49"/>
  <c r="DE394" i="49"/>
  <c r="DF394" i="49"/>
  <c r="DD394" i="49"/>
  <c r="CH176" i="49"/>
  <c r="CI176" i="49"/>
  <c r="CG176" i="49"/>
  <c r="CY99" i="49"/>
  <c r="CY296" i="49"/>
  <c r="CY338" i="49"/>
  <c r="CY450" i="49"/>
  <c r="CY418" i="49"/>
  <c r="CY185" i="49"/>
  <c r="CY199" i="49"/>
  <c r="CY102" i="49"/>
  <c r="CY101" i="49"/>
  <c r="CY37" i="49"/>
  <c r="AK381" i="49"/>
  <c r="AI424" i="49"/>
  <c r="AJ424" i="49"/>
  <c r="AK424" i="49"/>
  <c r="BK389" i="49"/>
  <c r="BL389" i="49"/>
  <c r="BJ389" i="49"/>
  <c r="AI216" i="49"/>
  <c r="AJ216" i="49"/>
  <c r="AK216" i="49"/>
  <c r="AE496" i="49"/>
  <c r="CH403" i="49"/>
  <c r="CI403" i="49"/>
  <c r="CG403" i="49"/>
  <c r="CH347" i="49"/>
  <c r="CI347" i="49"/>
  <c r="CG347" i="49"/>
  <c r="CY441" i="49"/>
  <c r="CY173" i="49"/>
  <c r="CY267" i="49"/>
  <c r="CY340" i="49"/>
  <c r="CY386" i="49"/>
  <c r="CY414" i="49"/>
  <c r="CY58" i="49"/>
  <c r="CY155" i="49"/>
  <c r="CY458" i="49"/>
  <c r="CY412" i="49"/>
  <c r="CY95" i="49"/>
  <c r="CY122" i="49"/>
  <c r="CY92" i="49"/>
  <c r="CY191" i="49"/>
  <c r="CY274" i="49"/>
  <c r="CY105" i="49"/>
  <c r="CY484" i="49"/>
  <c r="CY76" i="49"/>
  <c r="CY187" i="49"/>
  <c r="CY408" i="49"/>
  <c r="CY356" i="49"/>
  <c r="CY390" i="49"/>
  <c r="CY129" i="49"/>
  <c r="CY174" i="49"/>
  <c r="CY451" i="49"/>
  <c r="CY112" i="49"/>
  <c r="CY90" i="49"/>
  <c r="CY225" i="49"/>
  <c r="CY148" i="49"/>
  <c r="CY433" i="49"/>
  <c r="CY306" i="49"/>
  <c r="CY127" i="49"/>
  <c r="CY303" i="49"/>
  <c r="CY277" i="49"/>
  <c r="CY161" i="49"/>
  <c r="CY290" i="49"/>
  <c r="CY393" i="49"/>
  <c r="CY52" i="49"/>
  <c r="CY123" i="49"/>
  <c r="CY60" i="49"/>
  <c r="CY195" i="49"/>
  <c r="CY354" i="49"/>
  <c r="CY143" i="49"/>
  <c r="CY170" i="49"/>
  <c r="CY13" i="49"/>
  <c r="CY64" i="49"/>
  <c r="CY14" i="49"/>
  <c r="CY219" i="49"/>
  <c r="CY253" i="49"/>
  <c r="CY379" i="49"/>
  <c r="CY196" i="49"/>
  <c r="CY49" i="49"/>
  <c r="CY184" i="49"/>
  <c r="CY266" i="49"/>
  <c r="CY87" i="49"/>
  <c r="CY325" i="49"/>
  <c r="CY318" i="49"/>
  <c r="CY8" i="49"/>
  <c r="CY321" i="49"/>
  <c r="CY70" i="49"/>
  <c r="CY455" i="49"/>
  <c r="CY74" i="49"/>
  <c r="CY492" i="49"/>
  <c r="CY498" i="49"/>
  <c r="AI294" i="49"/>
  <c r="AJ294" i="49"/>
  <c r="AK294" i="49"/>
  <c r="AI480" i="49"/>
  <c r="AJ480" i="49"/>
  <c r="AK480" i="49"/>
  <c r="CH417" i="49"/>
  <c r="CI417" i="49"/>
  <c r="CG417" i="49"/>
  <c r="CH288" i="49"/>
  <c r="CI288" i="49"/>
  <c r="CG288" i="49"/>
  <c r="DE216" i="49"/>
  <c r="DF216" i="49"/>
  <c r="DD216" i="49"/>
  <c r="DE182" i="49"/>
  <c r="DF182" i="49"/>
  <c r="DD182" i="49"/>
  <c r="DE62" i="49"/>
  <c r="DF62" i="49"/>
  <c r="DD62" i="49"/>
  <c r="CH213" i="49"/>
  <c r="CI213" i="49"/>
  <c r="CG213" i="49"/>
  <c r="DE291" i="49"/>
  <c r="DF291" i="49"/>
  <c r="DD291" i="49"/>
  <c r="DE381" i="49"/>
  <c r="DF381" i="49"/>
  <c r="DD381" i="49"/>
  <c r="BK244" i="49"/>
  <c r="BL244" i="49"/>
  <c r="BJ244" i="49"/>
  <c r="CH398" i="49"/>
  <c r="CI398" i="49"/>
  <c r="CG398" i="49"/>
  <c r="CH182" i="49"/>
  <c r="CI182" i="49"/>
  <c r="CG182" i="49"/>
  <c r="BK280" i="49"/>
  <c r="BL280" i="49"/>
  <c r="BJ280" i="49"/>
  <c r="CY26" i="49"/>
  <c r="AI359" i="49"/>
  <c r="AJ359" i="49"/>
  <c r="AK359" i="49"/>
  <c r="CH411" i="49"/>
  <c r="CI411" i="49"/>
  <c r="CG411" i="49"/>
  <c r="AI407" i="49"/>
  <c r="AJ407" i="49"/>
  <c r="AK407" i="49"/>
  <c r="BK269" i="49"/>
  <c r="BL269" i="49"/>
  <c r="BJ269" i="49"/>
  <c r="DC452" i="49"/>
  <c r="AI221" i="49"/>
  <c r="AJ221" i="49"/>
  <c r="AK221" i="49"/>
  <c r="AI418" i="49"/>
  <c r="AJ418" i="49"/>
  <c r="AK418" i="49"/>
  <c r="DC21" i="49"/>
  <c r="AI300" i="49"/>
  <c r="AJ300" i="49"/>
  <c r="AK300" i="49"/>
  <c r="AI293" i="49"/>
  <c r="AJ293" i="49"/>
  <c r="AK293" i="49"/>
  <c r="BI479" i="49"/>
  <c r="DE353" i="49"/>
  <c r="DF353" i="49"/>
  <c r="DD353" i="49"/>
  <c r="BK182" i="49"/>
  <c r="BL182" i="49"/>
  <c r="BJ182" i="49"/>
  <c r="BM329" i="49"/>
  <c r="BK272" i="49"/>
  <c r="BL272" i="49"/>
  <c r="BJ272" i="49"/>
  <c r="CH374" i="49"/>
  <c r="CI374" i="49"/>
  <c r="CG374" i="49"/>
  <c r="AH5" i="49"/>
  <c r="DE193" i="49"/>
  <c r="DF193" i="49"/>
  <c r="DD193" i="49"/>
  <c r="DE228" i="49"/>
  <c r="DF228" i="49"/>
  <c r="DD228" i="49"/>
  <c r="CF456" i="49"/>
  <c r="BI462" i="49"/>
  <c r="AI213" i="49"/>
  <c r="AJ213" i="49"/>
  <c r="AK213" i="49"/>
  <c r="AI378" i="49"/>
  <c r="AJ378" i="49"/>
  <c r="AK378" i="49"/>
  <c r="AI374" i="49"/>
  <c r="AJ374" i="49"/>
  <c r="AK374" i="49"/>
  <c r="AI256" i="49"/>
  <c r="AJ256" i="49"/>
  <c r="AK256" i="49"/>
  <c r="DE63" i="49"/>
  <c r="DF63" i="49"/>
  <c r="DD63" i="49"/>
  <c r="DE371" i="49"/>
  <c r="DF371" i="49"/>
  <c r="DD371" i="49"/>
  <c r="AI168" i="49"/>
  <c r="AJ168" i="49"/>
  <c r="AK168" i="49"/>
  <c r="AH469" i="49"/>
  <c r="BK371" i="49"/>
  <c r="BL371" i="49"/>
  <c r="BJ371" i="49"/>
  <c r="DE417" i="49"/>
  <c r="DF417" i="49"/>
  <c r="DD417" i="49"/>
  <c r="DE302" i="49"/>
  <c r="DF302" i="49"/>
  <c r="DD302" i="49"/>
  <c r="BM327" i="49"/>
  <c r="CY448" i="49"/>
  <c r="AD17" i="49"/>
  <c r="AB500" i="49"/>
  <c r="AB2" i="49"/>
  <c r="CH168" i="49"/>
  <c r="CI168" i="49"/>
  <c r="CG168" i="49"/>
  <c r="BK415" i="49"/>
  <c r="BL415" i="49"/>
  <c r="BJ415" i="49"/>
  <c r="DE171" i="49"/>
  <c r="DF171" i="49"/>
  <c r="DD171" i="49"/>
  <c r="AI273" i="49"/>
  <c r="AJ273" i="49"/>
  <c r="AK273" i="49"/>
  <c r="AI282" i="49"/>
  <c r="AJ282" i="49"/>
  <c r="AK282" i="49"/>
  <c r="AI178" i="49"/>
  <c r="AJ178" i="49"/>
  <c r="AK178" i="49"/>
  <c r="CH391" i="49"/>
  <c r="CI391" i="49"/>
  <c r="CG391" i="49"/>
  <c r="AH464" i="49"/>
  <c r="CH269" i="49"/>
  <c r="CI269" i="49"/>
  <c r="CG269" i="49"/>
  <c r="AE21" i="49"/>
  <c r="BK177" i="49"/>
  <c r="BL177" i="49"/>
  <c r="BJ177" i="49"/>
  <c r="AI63" i="49"/>
  <c r="AJ63" i="49"/>
  <c r="AK63" i="49"/>
  <c r="AI387" i="49"/>
  <c r="AJ387" i="49"/>
  <c r="AK387" i="49"/>
  <c r="AI137" i="49"/>
  <c r="AJ137" i="49"/>
  <c r="AK137" i="49"/>
  <c r="AI375" i="49"/>
  <c r="AJ375" i="49"/>
  <c r="AK375" i="49"/>
  <c r="AI286" i="49"/>
  <c r="AJ286" i="49"/>
  <c r="AK286" i="49"/>
  <c r="DC462" i="49"/>
  <c r="DE284" i="49"/>
  <c r="DF284" i="49"/>
  <c r="DD284" i="49"/>
  <c r="AI206" i="49"/>
  <c r="AJ206" i="49"/>
  <c r="AK206" i="49"/>
  <c r="BK285" i="49"/>
  <c r="BL285" i="49"/>
  <c r="BJ285" i="49"/>
  <c r="CF355" i="49"/>
  <c r="AI280" i="49"/>
  <c r="AJ280" i="49"/>
  <c r="AK280" i="49"/>
  <c r="AI397" i="49"/>
  <c r="AJ397" i="49"/>
  <c r="AK397" i="49"/>
  <c r="AE24" i="49"/>
  <c r="DE288" i="49"/>
  <c r="DF288" i="49"/>
  <c r="DD288" i="49"/>
  <c r="DE287" i="49"/>
  <c r="DF287" i="49"/>
  <c r="DD287" i="49"/>
  <c r="AI417" i="49"/>
  <c r="AJ417" i="49"/>
  <c r="AK417" i="49"/>
  <c r="BK480" i="49"/>
  <c r="BL480" i="49"/>
  <c r="BJ480" i="49"/>
  <c r="AI399" i="49"/>
  <c r="AJ399" i="49"/>
  <c r="AK399" i="49"/>
  <c r="BK105" i="49"/>
  <c r="BL105" i="49"/>
  <c r="BJ105" i="49"/>
  <c r="CH147" i="49"/>
  <c r="CI147" i="49"/>
  <c r="CG147" i="49"/>
  <c r="DG332" i="49"/>
  <c r="DE270" i="49"/>
  <c r="DF270" i="49"/>
  <c r="DD270" i="49"/>
  <c r="AI289" i="49"/>
  <c r="AJ289" i="49"/>
  <c r="AK289" i="49"/>
  <c r="AI151" i="49"/>
  <c r="AJ151" i="49"/>
  <c r="AK151" i="49"/>
  <c r="DE176" i="49"/>
  <c r="DF176" i="49"/>
  <c r="DD176" i="49"/>
  <c r="AI376" i="49"/>
  <c r="AJ376" i="49"/>
  <c r="AK376" i="49"/>
  <c r="BK423" i="49"/>
  <c r="BL423" i="49"/>
  <c r="BJ423" i="49"/>
  <c r="BK206" i="49"/>
  <c r="BL206" i="49"/>
  <c r="BJ206" i="49"/>
  <c r="CH401" i="49"/>
  <c r="CI401" i="49"/>
  <c r="CG401" i="49"/>
  <c r="DE80" i="49"/>
  <c r="DF80" i="49"/>
  <c r="DD80" i="49"/>
  <c r="BK418" i="49"/>
  <c r="BL418" i="49"/>
  <c r="BJ418" i="49"/>
  <c r="CH291" i="49"/>
  <c r="CI291" i="49"/>
  <c r="CG291" i="49"/>
  <c r="DE405" i="49"/>
  <c r="DF405" i="49"/>
  <c r="DD405" i="49"/>
  <c r="DE262" i="49"/>
  <c r="DF262" i="49"/>
  <c r="DD262" i="49"/>
  <c r="CH399" i="49"/>
  <c r="CI399" i="49"/>
  <c r="CG399" i="49"/>
  <c r="BK284" i="49"/>
  <c r="BL284" i="49"/>
  <c r="BJ284" i="49"/>
  <c r="CH375" i="49"/>
  <c r="CI375" i="49"/>
  <c r="CG375" i="49"/>
  <c r="DE399" i="49"/>
  <c r="DF399" i="49"/>
  <c r="DD399" i="49"/>
  <c r="CH231" i="49"/>
  <c r="CI231" i="49"/>
  <c r="CG231" i="49"/>
  <c r="BK387" i="49"/>
  <c r="BL387" i="49"/>
  <c r="BJ387" i="49"/>
  <c r="CH285" i="49"/>
  <c r="CI285" i="49"/>
  <c r="CG285" i="49"/>
  <c r="DE230" i="49"/>
  <c r="DF230" i="49"/>
  <c r="DD230" i="49"/>
  <c r="CH181" i="49"/>
  <c r="CI181" i="49"/>
  <c r="CG181" i="49"/>
  <c r="DE285" i="49"/>
  <c r="DF285" i="49"/>
  <c r="DD285" i="49"/>
  <c r="CH212" i="49"/>
  <c r="CI212" i="49"/>
  <c r="CG212" i="49"/>
  <c r="CZ330" i="49"/>
  <c r="BC330" i="49"/>
  <c r="BD330" i="49"/>
  <c r="CC330" i="49"/>
  <c r="CW500" i="49"/>
  <c r="CW2" i="49"/>
  <c r="CX5" i="49"/>
  <c r="CY5" i="49"/>
  <c r="CZ203" i="49"/>
  <c r="BC204" i="49"/>
  <c r="BD204" i="49"/>
  <c r="BC203" i="49"/>
  <c r="BD203" i="49"/>
  <c r="CB203" i="49"/>
  <c r="CZ204" i="49"/>
  <c r="CB204" i="49"/>
  <c r="BC216" i="49"/>
  <c r="BD216" i="49"/>
  <c r="BC231" i="49"/>
  <c r="BD231" i="49"/>
  <c r="BE231" i="49"/>
  <c r="BC195" i="49"/>
  <c r="BD195" i="49"/>
  <c r="BC290" i="49"/>
  <c r="BD290" i="49"/>
  <c r="BE290" i="49"/>
  <c r="BC168" i="49"/>
  <c r="BD168" i="49"/>
  <c r="BE168" i="49"/>
  <c r="BC223" i="49"/>
  <c r="BD223" i="49"/>
  <c r="BE223" i="49"/>
  <c r="BC264" i="49"/>
  <c r="BD264" i="49"/>
  <c r="BE264" i="49"/>
  <c r="BC228" i="49"/>
  <c r="BD228" i="49"/>
  <c r="BE228" i="49"/>
  <c r="BC256" i="49"/>
  <c r="BD256" i="49"/>
  <c r="BC212" i="49"/>
  <c r="BD212" i="49"/>
  <c r="BE212" i="49"/>
  <c r="BC297" i="49"/>
  <c r="BD297" i="49"/>
  <c r="BE297" i="49"/>
  <c r="BC221" i="49"/>
  <c r="BD221" i="49"/>
  <c r="BE221" i="49"/>
  <c r="BC246" i="49"/>
  <c r="BD246" i="49"/>
  <c r="BC259" i="49"/>
  <c r="BD259" i="49"/>
  <c r="BC262" i="49"/>
  <c r="BD262" i="49"/>
  <c r="BE262" i="49"/>
  <c r="BC294" i="49"/>
  <c r="BD294" i="49"/>
  <c r="BE294" i="49"/>
  <c r="BC283" i="49"/>
  <c r="BD283" i="49"/>
  <c r="BE283" i="49"/>
  <c r="BC222" i="49"/>
  <c r="BD222" i="49"/>
  <c r="BE222" i="49"/>
  <c r="DG374" i="49"/>
  <c r="CJ181" i="49"/>
  <c r="CJ285" i="49"/>
  <c r="CJ231" i="49"/>
  <c r="CJ375" i="49"/>
  <c r="CJ399" i="49"/>
  <c r="DG405" i="49"/>
  <c r="BM418" i="49"/>
  <c r="AL376" i="49"/>
  <c r="AL151" i="49"/>
  <c r="CJ147" i="49"/>
  <c r="DG288" i="49"/>
  <c r="CJ391" i="49"/>
  <c r="CJ168" i="49"/>
  <c r="CJ411" i="49"/>
  <c r="CJ80" i="49"/>
  <c r="CJ432" i="49"/>
  <c r="AL304" i="49"/>
  <c r="BM238" i="49"/>
  <c r="CJ397" i="49"/>
  <c r="AL175" i="49"/>
  <c r="DG255" i="49"/>
  <c r="CJ284" i="49"/>
  <c r="BM137" i="49"/>
  <c r="DG345" i="49"/>
  <c r="DG71" i="49"/>
  <c r="AL260" i="49"/>
  <c r="CJ421" i="49"/>
  <c r="DG251" i="49"/>
  <c r="DG488" i="49"/>
  <c r="AL53" i="49"/>
  <c r="AL347" i="49"/>
  <c r="BM375" i="49"/>
  <c r="DG396" i="49"/>
  <c r="BM147" i="49"/>
  <c r="CJ347" i="49"/>
  <c r="BM421" i="49"/>
  <c r="DG289" i="49"/>
  <c r="CJ176" i="49"/>
  <c r="BM396" i="49"/>
  <c r="DG401" i="49"/>
  <c r="CJ429" i="49"/>
  <c r="AL406" i="49"/>
  <c r="DG272" i="49"/>
  <c r="DG231" i="49"/>
  <c r="CJ287" i="49"/>
  <c r="AL488" i="49"/>
  <c r="BM288" i="49"/>
  <c r="AL223" i="49"/>
  <c r="AL264" i="49"/>
  <c r="DG229" i="49"/>
  <c r="DG422" i="49"/>
  <c r="BM405" i="49"/>
  <c r="DG230" i="49"/>
  <c r="DG399" i="49"/>
  <c r="DG262" i="49"/>
  <c r="CJ291" i="49"/>
  <c r="DG80" i="49"/>
  <c r="AL289" i="49"/>
  <c r="BM105" i="49"/>
  <c r="BM480" i="49"/>
  <c r="DG287" i="49"/>
  <c r="BM374" i="49"/>
  <c r="AL239" i="49"/>
  <c r="AL309" i="49"/>
  <c r="DG406" i="49"/>
  <c r="DG222" i="49"/>
  <c r="AL362" i="49"/>
  <c r="AL421" i="49"/>
  <c r="DG237" i="49"/>
  <c r="AL244" i="49"/>
  <c r="BM62" i="49"/>
  <c r="AL270" i="49"/>
  <c r="BM232" i="49"/>
  <c r="DG212" i="49"/>
  <c r="CJ283" i="49"/>
  <c r="BM422" i="49"/>
  <c r="DG402" i="49"/>
  <c r="DG236" i="49"/>
  <c r="AL191" i="49"/>
  <c r="CJ259" i="49"/>
  <c r="BM394" i="49"/>
  <c r="AL246" i="49"/>
  <c r="AL229" i="49"/>
  <c r="CJ401" i="49"/>
  <c r="DG239" i="49"/>
  <c r="BM270" i="49"/>
  <c r="CJ369" i="49"/>
  <c r="BM476" i="49"/>
  <c r="AL327" i="49"/>
  <c r="DG53" i="49"/>
  <c r="DG431" i="49"/>
  <c r="BM309" i="49"/>
  <c r="AL297" i="49"/>
  <c r="BM291" i="49"/>
  <c r="BM416" i="49"/>
  <c r="DG242" i="49"/>
  <c r="DG285" i="49"/>
  <c r="BM284" i="49"/>
  <c r="BM206" i="49"/>
  <c r="BM423" i="49"/>
  <c r="DG176" i="49"/>
  <c r="AL399" i="49"/>
  <c r="AL417" i="49"/>
  <c r="AL397" i="49"/>
  <c r="CJ403" i="49"/>
  <c r="DG394" i="49"/>
  <c r="CJ376" i="49"/>
  <c r="DG421" i="49"/>
  <c r="DG387" i="49"/>
  <c r="CJ151" i="49"/>
  <c r="DG202" i="49"/>
  <c r="DG246" i="49"/>
  <c r="DG364" i="49"/>
  <c r="DG258" i="49"/>
  <c r="CJ276" i="49"/>
  <c r="CJ422" i="49"/>
  <c r="DG432" i="49"/>
  <c r="CJ289" i="49"/>
  <c r="AL364" i="49"/>
  <c r="AL222" i="49"/>
  <c r="AL416" i="49"/>
  <c r="AL276" i="49"/>
  <c r="CJ396" i="49"/>
  <c r="CJ71" i="49"/>
  <c r="CJ177" i="49"/>
  <c r="CJ328" i="49"/>
  <c r="DG416" i="49"/>
  <c r="DG283" i="49"/>
  <c r="AL226" i="49"/>
  <c r="AL426" i="49"/>
  <c r="DG403" i="49"/>
  <c r="CJ239" i="49"/>
  <c r="CJ228" i="49"/>
  <c r="CJ255" i="49"/>
  <c r="AL285" i="49"/>
  <c r="CJ254" i="49"/>
  <c r="AJ464" i="49"/>
  <c r="AK464" i="49"/>
  <c r="AI464" i="49"/>
  <c r="CZ448" i="49"/>
  <c r="DG63" i="49"/>
  <c r="DE21" i="49"/>
  <c r="DF21" i="49"/>
  <c r="DD21" i="49"/>
  <c r="CZ197" i="49"/>
  <c r="CZ143" i="49"/>
  <c r="CZ43" i="49"/>
  <c r="CZ210" i="49"/>
  <c r="CZ412" i="49"/>
  <c r="CZ185" i="49"/>
  <c r="DG177" i="49"/>
  <c r="CB21" i="49"/>
  <c r="CB450" i="49"/>
  <c r="CB448" i="49"/>
  <c r="CB496" i="49"/>
  <c r="CB18" i="49"/>
  <c r="CB33" i="49"/>
  <c r="CB26" i="49"/>
  <c r="CB30" i="49"/>
  <c r="CB306" i="49"/>
  <c r="CB51" i="49"/>
  <c r="CB240" i="49"/>
  <c r="CB101" i="49"/>
  <c r="CB266" i="49"/>
  <c r="CB247" i="49"/>
  <c r="CB178" i="49"/>
  <c r="CB243" i="49"/>
  <c r="CB138" i="49"/>
  <c r="CB54" i="49"/>
  <c r="CB442" i="49"/>
  <c r="CB110" i="49"/>
  <c r="CB84" i="49"/>
  <c r="CB226" i="49"/>
  <c r="CB45" i="49"/>
  <c r="CB478" i="49"/>
  <c r="CB192" i="49"/>
  <c r="CB377" i="49"/>
  <c r="CB12" i="49"/>
  <c r="CB77" i="49"/>
  <c r="CB50" i="49"/>
  <c r="CB90" i="49"/>
  <c r="CB262" i="49"/>
  <c r="CB300" i="49"/>
  <c r="CB307" i="49"/>
  <c r="CB343" i="49"/>
  <c r="CB274" i="49"/>
  <c r="CB379" i="49"/>
  <c r="CB37" i="49"/>
  <c r="CB458" i="49"/>
  <c r="CB130" i="49"/>
  <c r="CB323" i="49"/>
  <c r="CB125" i="49"/>
  <c r="CB99" i="49"/>
  <c r="CB316" i="49"/>
  <c r="CB187" i="49"/>
  <c r="CB186" i="49"/>
  <c r="CB253" i="49"/>
  <c r="CB314" i="49"/>
  <c r="CB184" i="49"/>
  <c r="CB121" i="49"/>
  <c r="CB14" i="49"/>
  <c r="CB106" i="49"/>
  <c r="CB127" i="49"/>
  <c r="CB315" i="49"/>
  <c r="CB189" i="49"/>
  <c r="CB273" i="49"/>
  <c r="CB392" i="49"/>
  <c r="CB161" i="49"/>
  <c r="CB303" i="49"/>
  <c r="CB356" i="49"/>
  <c r="CB155" i="49"/>
  <c r="CB256" i="49"/>
  <c r="CB486" i="49"/>
  <c r="CB11" i="49"/>
  <c r="CB217" i="49"/>
  <c r="CB311" i="49"/>
  <c r="CB260" i="49"/>
  <c r="CB100" i="49"/>
  <c r="CB390" i="49"/>
  <c r="CB420" i="49"/>
  <c r="CB481" i="49"/>
  <c r="CB66" i="49"/>
  <c r="CB145" i="49"/>
  <c r="CB109" i="49"/>
  <c r="CB42" i="49"/>
  <c r="CB325" i="49"/>
  <c r="CB210" i="49"/>
  <c r="CB79" i="49"/>
  <c r="CB152" i="49"/>
  <c r="CB15" i="49"/>
  <c r="CB58" i="49"/>
  <c r="CB394" i="49"/>
  <c r="CB65" i="49"/>
  <c r="CB160" i="49"/>
  <c r="CB402" i="49"/>
  <c r="CB320" i="49"/>
  <c r="CB490" i="49"/>
  <c r="CB74" i="49"/>
  <c r="CB29" i="49"/>
  <c r="CB363" i="49"/>
  <c r="CB489" i="49"/>
  <c r="CB471" i="49"/>
  <c r="CB498" i="49"/>
  <c r="AL207" i="49"/>
  <c r="CJ294" i="49"/>
  <c r="AL405" i="49"/>
  <c r="AL259" i="49"/>
  <c r="DG294" i="49"/>
  <c r="CJ480" i="49"/>
  <c r="CJ257" i="49"/>
  <c r="BM424" i="49"/>
  <c r="AL396" i="49"/>
  <c r="DG263" i="49"/>
  <c r="CJ344" i="49"/>
  <c r="BM398" i="49"/>
  <c r="CJ272" i="49"/>
  <c r="AL202" i="49"/>
  <c r="AN355" i="49"/>
  <c r="AM355" i="49"/>
  <c r="CE5" i="49"/>
  <c r="BM263" i="49"/>
  <c r="CZ385" i="49"/>
  <c r="CZ360" i="49"/>
  <c r="CZ449" i="49"/>
  <c r="CZ363" i="49"/>
  <c r="CZ28" i="49"/>
  <c r="CZ320" i="49"/>
  <c r="CZ214" i="49"/>
  <c r="CZ190" i="49"/>
  <c r="CZ428" i="49"/>
  <c r="DA434" i="49"/>
  <c r="DB434" i="49"/>
  <c r="CZ434" i="49"/>
  <c r="CZ83" i="49"/>
  <c r="DA392" i="49"/>
  <c r="CZ392" i="49"/>
  <c r="CZ268" i="49"/>
  <c r="CZ115" i="49"/>
  <c r="CZ382" i="49"/>
  <c r="CZ305" i="49"/>
  <c r="CZ308" i="49"/>
  <c r="CZ335" i="49"/>
  <c r="CZ194" i="49"/>
  <c r="CZ84" i="49"/>
  <c r="CZ373" i="49"/>
  <c r="CZ365" i="49"/>
  <c r="CZ351" i="49"/>
  <c r="CZ437" i="49"/>
  <c r="DA107" i="49"/>
  <c r="DB107" i="49"/>
  <c r="CZ107" i="49"/>
  <c r="CZ435" i="49"/>
  <c r="CZ367" i="49"/>
  <c r="CZ438" i="49"/>
  <c r="AL283" i="49"/>
  <c r="BI40" i="49"/>
  <c r="BM98" i="49"/>
  <c r="DG482" i="49"/>
  <c r="CJ171" i="49"/>
  <c r="DG206" i="49"/>
  <c r="CJ246" i="49"/>
  <c r="CJ232" i="49"/>
  <c r="AL371" i="49"/>
  <c r="CZ75" i="49"/>
  <c r="CZ93" i="49"/>
  <c r="CZ12" i="49"/>
  <c r="DA12" i="49"/>
  <c r="DB12" i="49"/>
  <c r="CZ166" i="49"/>
  <c r="CZ189" i="49"/>
  <c r="CZ11" i="49"/>
  <c r="DA11" i="49"/>
  <c r="DB11" i="49"/>
  <c r="CZ154" i="49"/>
  <c r="CZ311" i="49"/>
  <c r="CZ415" i="49"/>
  <c r="DA415" i="49"/>
  <c r="DB415" i="49"/>
  <c r="CZ413" i="49"/>
  <c r="CZ67" i="49"/>
  <c r="DA67" i="49"/>
  <c r="DB67" i="49"/>
  <c r="CZ207" i="49"/>
  <c r="CZ334" i="49"/>
  <c r="DG378" i="49"/>
  <c r="DG420" i="49"/>
  <c r="DG213" i="49"/>
  <c r="AL80" i="49"/>
  <c r="DE479" i="49"/>
  <c r="DF479" i="49"/>
  <c r="DD479" i="49"/>
  <c r="DG238" i="49"/>
  <c r="DE467" i="49"/>
  <c r="DD467" i="49"/>
  <c r="DG424" i="49"/>
  <c r="BM407" i="49"/>
  <c r="AL389" i="49"/>
  <c r="AL62" i="49"/>
  <c r="CJ418" i="49"/>
  <c r="CJ297" i="49"/>
  <c r="AL232" i="49"/>
  <c r="CJ381" i="49"/>
  <c r="DG226" i="49"/>
  <c r="DG273" i="49"/>
  <c r="CZ445" i="49"/>
  <c r="BM399" i="49"/>
  <c r="DG232" i="49"/>
  <c r="DG168" i="49"/>
  <c r="AL607" i="46"/>
  <c r="AL2" i="46"/>
  <c r="CZ475" i="49"/>
  <c r="BM370" i="49"/>
  <c r="CZ167" i="49"/>
  <c r="DA489" i="49"/>
  <c r="DB489" i="49"/>
  <c r="CZ489" i="49"/>
  <c r="CZ471" i="49"/>
  <c r="CZ361" i="49"/>
  <c r="CZ323" i="49"/>
  <c r="CZ314" i="49"/>
  <c r="CZ138" i="49"/>
  <c r="CZ312" i="49"/>
  <c r="CZ86" i="49"/>
  <c r="CZ366" i="49"/>
  <c r="CZ348" i="49"/>
  <c r="CZ249" i="49"/>
  <c r="CZ350" i="49"/>
  <c r="CZ106" i="49"/>
  <c r="CZ56" i="49"/>
  <c r="CZ91" i="49"/>
  <c r="CZ146" i="49"/>
  <c r="CZ85" i="49"/>
  <c r="CZ192" i="49"/>
  <c r="CZ120" i="49"/>
  <c r="CZ136" i="49"/>
  <c r="CZ30" i="49"/>
  <c r="CZ377" i="49"/>
  <c r="CZ425" i="49"/>
  <c r="CZ126" i="49"/>
  <c r="CZ281" i="49"/>
  <c r="CZ17" i="49"/>
  <c r="CZ383" i="49"/>
  <c r="CZ265" i="49"/>
  <c r="CZ172" i="49"/>
  <c r="CZ461" i="49"/>
  <c r="CZ118" i="49"/>
  <c r="CZ114" i="49"/>
  <c r="CZ333" i="49"/>
  <c r="CZ460" i="49"/>
  <c r="AL269" i="49"/>
  <c r="AL249" i="49"/>
  <c r="AL369" i="49"/>
  <c r="AL308" i="49"/>
  <c r="AH40" i="49"/>
  <c r="AL370" i="49"/>
  <c r="BM175" i="49"/>
  <c r="CJ362" i="49"/>
  <c r="AL257" i="49"/>
  <c r="AL398" i="49"/>
  <c r="CZ463" i="49"/>
  <c r="CJ237" i="49"/>
  <c r="CZ481" i="49"/>
  <c r="CZ39" i="49"/>
  <c r="CH443" i="49"/>
  <c r="CI443" i="49"/>
  <c r="CG443" i="49"/>
  <c r="CH472" i="49"/>
  <c r="CG472" i="49"/>
  <c r="DE355" i="49"/>
  <c r="DF355" i="49"/>
  <c r="DD355" i="49"/>
  <c r="DE456" i="49"/>
  <c r="DD456" i="49"/>
  <c r="DE35" i="49"/>
  <c r="DF35" i="49"/>
  <c r="DD35" i="49"/>
  <c r="DE465" i="49"/>
  <c r="DD465" i="49"/>
  <c r="CJ270" i="49"/>
  <c r="CH355" i="49"/>
  <c r="CI355" i="49"/>
  <c r="CG355" i="49"/>
  <c r="BM272" i="49"/>
  <c r="AL300" i="49"/>
  <c r="CZ455" i="49"/>
  <c r="CZ253" i="49"/>
  <c r="CZ277" i="49"/>
  <c r="CZ225" i="49"/>
  <c r="CZ390" i="49"/>
  <c r="CZ187" i="49"/>
  <c r="CZ340" i="49"/>
  <c r="BM406" i="49"/>
  <c r="BM387" i="49"/>
  <c r="AL280" i="49"/>
  <c r="DE462" i="49"/>
  <c r="DF462" i="49"/>
  <c r="DD462" i="49"/>
  <c r="AL178" i="49"/>
  <c r="AL282" i="49"/>
  <c r="AL273" i="49"/>
  <c r="BM415" i="49"/>
  <c r="DG302" i="49"/>
  <c r="AI469" i="49"/>
  <c r="AJ469" i="49"/>
  <c r="AK469" i="49"/>
  <c r="CJ230" i="49"/>
  <c r="AI5" i="49"/>
  <c r="AJ5" i="49"/>
  <c r="CJ374" i="49"/>
  <c r="BM182" i="49"/>
  <c r="BM269" i="49"/>
  <c r="AL429" i="49"/>
  <c r="BM280" i="49"/>
  <c r="DG291" i="49"/>
  <c r="DG216" i="49"/>
  <c r="AL480" i="49"/>
  <c r="AL294" i="49"/>
  <c r="CZ72" i="49"/>
  <c r="CZ324" i="49"/>
  <c r="CZ87" i="49"/>
  <c r="CZ215" i="49"/>
  <c r="CZ49" i="49"/>
  <c r="CZ180" i="49"/>
  <c r="CZ78" i="49"/>
  <c r="DA116" i="49"/>
  <c r="DB116" i="49"/>
  <c r="CZ116" i="49"/>
  <c r="DA98" i="49"/>
  <c r="DB98" i="49"/>
  <c r="CZ98" i="49"/>
  <c r="CZ60" i="49"/>
  <c r="CZ393" i="49"/>
  <c r="CZ81" i="49"/>
  <c r="CZ306" i="49"/>
  <c r="CZ50" i="49"/>
  <c r="CZ198" i="49"/>
  <c r="CZ451" i="49"/>
  <c r="CZ439" i="49"/>
  <c r="CZ473" i="49"/>
  <c r="DA105" i="49"/>
  <c r="DB105" i="49"/>
  <c r="CZ105" i="49"/>
  <c r="CZ88" i="49"/>
  <c r="CZ92" i="49"/>
  <c r="CZ224" i="49"/>
  <c r="CZ339" i="49"/>
  <c r="CZ58" i="49"/>
  <c r="CZ113" i="49"/>
  <c r="CZ173" i="49"/>
  <c r="AL424" i="49"/>
  <c r="CZ37" i="49"/>
  <c r="CZ102" i="49"/>
  <c r="CZ450" i="49"/>
  <c r="CZ296" i="49"/>
  <c r="DG375" i="49"/>
  <c r="CH440" i="49"/>
  <c r="CI440" i="49"/>
  <c r="CG440" i="49"/>
  <c r="BC18" i="49"/>
  <c r="BD18" i="49"/>
  <c r="CB444" i="49"/>
  <c r="CB468" i="49"/>
  <c r="CB457" i="49"/>
  <c r="CB447" i="49"/>
  <c r="CB31" i="49"/>
  <c r="CB441" i="49"/>
  <c r="CB32" i="49"/>
  <c r="CB35" i="49"/>
  <c r="CB148" i="49"/>
  <c r="CB27" i="49"/>
  <c r="CB179" i="49"/>
  <c r="CB163" i="49"/>
  <c r="CB92" i="49"/>
  <c r="CB114" i="49"/>
  <c r="CB188" i="49"/>
  <c r="CB378" i="49"/>
  <c r="CB157" i="49"/>
  <c r="CB201" i="49"/>
  <c r="CB322" i="49"/>
  <c r="CB433" i="49"/>
  <c r="CB156" i="49"/>
  <c r="CB195" i="49"/>
  <c r="CB271" i="49"/>
  <c r="CB86" i="49"/>
  <c r="CB278" i="49"/>
  <c r="CB83" i="49"/>
  <c r="CB135" i="49"/>
  <c r="CB199" i="49"/>
  <c r="CB350" i="49"/>
  <c r="CB164" i="49"/>
  <c r="CB438" i="49"/>
  <c r="CB280" i="49"/>
  <c r="CB382" i="49"/>
  <c r="CB140" i="49"/>
  <c r="CB142" i="49"/>
  <c r="CB248" i="49"/>
  <c r="CB475" i="49"/>
  <c r="CB461" i="49"/>
  <c r="CB337" i="49"/>
  <c r="CB120" i="49"/>
  <c r="CB139" i="49"/>
  <c r="CB214" i="49"/>
  <c r="CB348" i="49"/>
  <c r="CB89" i="49"/>
  <c r="CB208" i="49"/>
  <c r="CB48" i="49"/>
  <c r="CA6" i="49"/>
  <c r="BZ500" i="49"/>
  <c r="BZ2" i="49"/>
  <c r="CB87" i="49"/>
  <c r="CB115" i="49"/>
  <c r="CB292" i="49"/>
  <c r="CB349" i="49"/>
  <c r="CB95" i="49"/>
  <c r="CB312" i="49"/>
  <c r="CB166" i="49"/>
  <c r="CB94" i="49"/>
  <c r="CB352" i="49"/>
  <c r="CB296" i="49"/>
  <c r="CB482" i="49"/>
  <c r="CB434" i="49"/>
  <c r="CB252" i="49"/>
  <c r="CB102" i="49"/>
  <c r="CB400" i="49"/>
  <c r="CB225" i="49"/>
  <c r="CB141" i="49"/>
  <c r="CB241" i="49"/>
  <c r="CB220" i="49"/>
  <c r="CB477" i="49"/>
  <c r="CB395" i="49"/>
  <c r="CB52" i="49"/>
  <c r="CB116" i="49"/>
  <c r="CB313" i="49"/>
  <c r="CB224" i="49"/>
  <c r="CB55" i="49"/>
  <c r="CB64" i="49"/>
  <c r="CB8" i="49"/>
  <c r="CB183" i="49"/>
  <c r="CB88" i="49"/>
  <c r="CB423" i="49"/>
  <c r="CB146" i="49"/>
  <c r="CB483" i="49"/>
  <c r="CB380" i="49"/>
  <c r="CB331" i="49"/>
  <c r="CB290" i="49"/>
  <c r="CB28" i="49"/>
  <c r="CB96" i="49"/>
  <c r="CB72" i="49"/>
  <c r="CB319" i="49"/>
  <c r="CB321" i="49"/>
  <c r="CB494" i="49"/>
  <c r="CB492" i="49"/>
  <c r="CB197" i="49"/>
  <c r="CJ359" i="49"/>
  <c r="AL422" i="49"/>
  <c r="AL302" i="49"/>
  <c r="CJ424" i="49"/>
  <c r="DG426" i="49"/>
  <c r="BM345" i="49"/>
  <c r="DG147" i="49"/>
  <c r="BM347" i="49"/>
  <c r="CH469" i="49"/>
  <c r="CI469" i="49"/>
  <c r="CG469" i="49"/>
  <c r="AL394" i="49"/>
  <c r="AL254" i="49"/>
  <c r="CZ494" i="49"/>
  <c r="CZ315" i="49"/>
  <c r="CZ15" i="49"/>
  <c r="CZ160" i="49"/>
  <c r="CZ209" i="49"/>
  <c r="CZ410" i="49"/>
  <c r="CZ409" i="49"/>
  <c r="CZ6" i="49"/>
  <c r="CZ162" i="49"/>
  <c r="CZ158" i="49"/>
  <c r="DA45" i="49"/>
  <c r="DB45" i="49"/>
  <c r="CZ45" i="49"/>
  <c r="CZ486" i="49"/>
  <c r="CZ260" i="49"/>
  <c r="CZ157" i="49"/>
  <c r="CZ278" i="49"/>
  <c r="CZ65" i="49"/>
  <c r="DA65" i="49"/>
  <c r="DB65" i="49"/>
  <c r="DG223" i="49"/>
  <c r="AL242" i="49"/>
  <c r="CJ286" i="49"/>
  <c r="DG286" i="49"/>
  <c r="CJ46" i="49"/>
  <c r="AL236" i="49"/>
  <c r="AL401" i="49"/>
  <c r="AL258" i="49"/>
  <c r="AL147" i="49"/>
  <c r="DG344" i="49"/>
  <c r="CJ371" i="49"/>
  <c r="BM488" i="49"/>
  <c r="CX500" i="49"/>
  <c r="CX2" i="49"/>
  <c r="BM255" i="49"/>
  <c r="DE474" i="49"/>
  <c r="DF474" i="49"/>
  <c r="DD474" i="49"/>
  <c r="DI327" i="49"/>
  <c r="DJ327" i="49"/>
  <c r="DH327" i="49"/>
  <c r="AI456" i="49"/>
  <c r="AJ456" i="49"/>
  <c r="AK456" i="49"/>
  <c r="DE40" i="49"/>
  <c r="DF40" i="49"/>
  <c r="DD40" i="49"/>
  <c r="BO332" i="49"/>
  <c r="BP332" i="49"/>
  <c r="BN332" i="49"/>
  <c r="CZ69" i="49"/>
  <c r="CZ319" i="49"/>
  <c r="CZ326" i="49"/>
  <c r="CZ132" i="49"/>
  <c r="CZ150" i="49"/>
  <c r="CZ329" i="49"/>
  <c r="CZ436" i="49"/>
  <c r="CZ310" i="49"/>
  <c r="CZ54" i="49"/>
  <c r="CZ337" i="49"/>
  <c r="CZ128" i="49"/>
  <c r="CZ384" i="49"/>
  <c r="CZ121" i="49"/>
  <c r="CZ119" i="49"/>
  <c r="CZ292" i="49"/>
  <c r="CZ252" i="49"/>
  <c r="CZ42" i="49"/>
  <c r="CZ33" i="49"/>
  <c r="CZ295" i="49"/>
  <c r="CZ352" i="49"/>
  <c r="CZ217" i="49"/>
  <c r="AH36" i="49"/>
  <c r="CJ229" i="49"/>
  <c r="DG476" i="49"/>
  <c r="CJ221" i="49"/>
  <c r="AI466" i="49"/>
  <c r="AJ466" i="49"/>
  <c r="AK466" i="49"/>
  <c r="AL230" i="49"/>
  <c r="AL298" i="49"/>
  <c r="AL288" i="49"/>
  <c r="AL212" i="49"/>
  <c r="CJ416" i="49"/>
  <c r="AL182" i="49"/>
  <c r="BM417" i="49"/>
  <c r="BM237" i="49"/>
  <c r="BM193" i="49"/>
  <c r="DG347" i="49"/>
  <c r="CJ415" i="49"/>
  <c r="AL176" i="49"/>
  <c r="AL181" i="49"/>
  <c r="DG175" i="49"/>
  <c r="DG397" i="49"/>
  <c r="AL411" i="49"/>
  <c r="AL237" i="49"/>
  <c r="CZ447" i="49"/>
  <c r="CJ407" i="49"/>
  <c r="CZ313" i="49"/>
  <c r="CZ7" i="49"/>
  <c r="DA7" i="49"/>
  <c r="DB7" i="49"/>
  <c r="DA41" i="49"/>
  <c r="DB41" i="49"/>
  <c r="CZ41" i="49"/>
  <c r="CZ16" i="49"/>
  <c r="DA16" i="49"/>
  <c r="DB16" i="49"/>
  <c r="CZ59" i="49"/>
  <c r="CZ156" i="49"/>
  <c r="CZ240" i="49"/>
  <c r="CZ79" i="49"/>
  <c r="CZ19" i="49"/>
  <c r="BM239" i="49"/>
  <c r="CJ406" i="49"/>
  <c r="BM287" i="49"/>
  <c r="CJ332" i="49"/>
  <c r="CZ159" i="49"/>
  <c r="CZ38" i="49"/>
  <c r="CH474" i="49"/>
  <c r="CI474" i="49"/>
  <c r="CG474" i="49"/>
  <c r="CH40" i="49"/>
  <c r="CI40" i="49"/>
  <c r="CG40" i="49"/>
  <c r="CH466" i="49"/>
  <c r="CI466" i="49"/>
  <c r="CG466" i="49"/>
  <c r="DE464" i="49"/>
  <c r="DF464" i="49"/>
  <c r="DD464" i="49"/>
  <c r="CJ238" i="49"/>
  <c r="BM177" i="49"/>
  <c r="DG417" i="49"/>
  <c r="CH456" i="49"/>
  <c r="CI456" i="49"/>
  <c r="CG456" i="49"/>
  <c r="AL293" i="49"/>
  <c r="CJ182" i="49"/>
  <c r="CJ288" i="49"/>
  <c r="CZ8" i="49"/>
  <c r="CZ139" i="49"/>
  <c r="CJ236" i="49"/>
  <c r="CJ212" i="49"/>
  <c r="DG270" i="49"/>
  <c r="AL206" i="49"/>
  <c r="CJ269" i="49"/>
  <c r="DG171" i="49"/>
  <c r="AE17" i="49"/>
  <c r="AE500" i="49"/>
  <c r="AE2" i="49"/>
  <c r="AD500" i="49"/>
  <c r="AD2" i="49"/>
  <c r="AF330" i="49"/>
  <c r="AG330" i="49"/>
  <c r="BO327" i="49"/>
  <c r="BP327" i="49"/>
  <c r="BN327" i="49"/>
  <c r="AL256" i="49"/>
  <c r="AL374" i="49"/>
  <c r="AL378" i="49"/>
  <c r="AL213" i="49"/>
  <c r="BK462" i="49"/>
  <c r="BL462" i="49"/>
  <c r="BJ462" i="49"/>
  <c r="DG193" i="49"/>
  <c r="CJ222" i="49"/>
  <c r="BO329" i="49"/>
  <c r="BP329" i="49"/>
  <c r="BN329" i="49"/>
  <c r="BK479" i="49"/>
  <c r="BL479" i="49"/>
  <c r="BJ479" i="49"/>
  <c r="AL418" i="49"/>
  <c r="AL221" i="49"/>
  <c r="DE452" i="49"/>
  <c r="DF452" i="49"/>
  <c r="DD452" i="49"/>
  <c r="AL359" i="49"/>
  <c r="BM244" i="49"/>
  <c r="DG381" i="49"/>
  <c r="DG182" i="49"/>
  <c r="CZ492" i="49"/>
  <c r="CZ14" i="49"/>
  <c r="CZ13" i="49"/>
  <c r="CZ170" i="49"/>
  <c r="CZ161" i="49"/>
  <c r="CZ303" i="49"/>
  <c r="CZ408" i="49"/>
  <c r="CZ484" i="49"/>
  <c r="CZ191" i="49"/>
  <c r="CZ95" i="49"/>
  <c r="CZ155" i="49"/>
  <c r="CZ414" i="49"/>
  <c r="AL216" i="49"/>
  <c r="CZ199" i="49"/>
  <c r="CZ338" i="49"/>
  <c r="DG429" i="49"/>
  <c r="CB36" i="49"/>
  <c r="BO46" i="49"/>
  <c r="BP46" i="49"/>
  <c r="BN46" i="49"/>
  <c r="CB20" i="49"/>
  <c r="CB19" i="49"/>
  <c r="CB435" i="49"/>
  <c r="CB445" i="49"/>
  <c r="CB446" i="49"/>
  <c r="CB17" i="49"/>
  <c r="CB23" i="49"/>
  <c r="CB453" i="49"/>
  <c r="CB351" i="49"/>
  <c r="CB25" i="49"/>
  <c r="CB76" i="49"/>
  <c r="CB365" i="49"/>
  <c r="CB268" i="49"/>
  <c r="CB159" i="49"/>
  <c r="CB367" i="49"/>
  <c r="CB413" i="49"/>
  <c r="CB487" i="49"/>
  <c r="CB24" i="49"/>
  <c r="CB39" i="49"/>
  <c r="CB49" i="49"/>
  <c r="CB227" i="49"/>
  <c r="CB425" i="49"/>
  <c r="CB218" i="49"/>
  <c r="CB279" i="49"/>
  <c r="CB301" i="49"/>
  <c r="CB173" i="49"/>
  <c r="CB308" i="49"/>
  <c r="CB172" i="49"/>
  <c r="CB131" i="49"/>
  <c r="CB324" i="49"/>
  <c r="CB346" i="49"/>
  <c r="CB338" i="49"/>
  <c r="CB108" i="49"/>
  <c r="CB368" i="49"/>
  <c r="CB373" i="49"/>
  <c r="CB207" i="49"/>
  <c r="CB451" i="49"/>
  <c r="CB129" i="49"/>
  <c r="CB60" i="49"/>
  <c r="CB59" i="49"/>
  <c r="CB13" i="49"/>
  <c r="CB112" i="49"/>
  <c r="CB234" i="49"/>
  <c r="CB10" i="49"/>
  <c r="CB9" i="49"/>
  <c r="CB436" i="49"/>
  <c r="CB282" i="49"/>
  <c r="CB299" i="49"/>
  <c r="CB85" i="49"/>
  <c r="CB293" i="49"/>
  <c r="CB412" i="49"/>
  <c r="CB119" i="49"/>
  <c r="CB158" i="49"/>
  <c r="CB149" i="49"/>
  <c r="CB341" i="49"/>
  <c r="CB358" i="49"/>
  <c r="CB200" i="49"/>
  <c r="CB372" i="49"/>
  <c r="CB326" i="49"/>
  <c r="CB233" i="49"/>
  <c r="CB105" i="49"/>
  <c r="CB357" i="49"/>
  <c r="CB190" i="49"/>
  <c r="CB245" i="49"/>
  <c r="CB209" i="49"/>
  <c r="CB91" i="49"/>
  <c r="CB336" i="49"/>
  <c r="CB384" i="49"/>
  <c r="CB235" i="49"/>
  <c r="CB128" i="49"/>
  <c r="CB250" i="49"/>
  <c r="CB275" i="49"/>
  <c r="CB485" i="49"/>
  <c r="CB431" i="49"/>
  <c r="CB133" i="49"/>
  <c r="CB219" i="49"/>
  <c r="CB81" i="49"/>
  <c r="CB408" i="49"/>
  <c r="CB82" i="49"/>
  <c r="CB340" i="49"/>
  <c r="CB428" i="49"/>
  <c r="CB317" i="49"/>
  <c r="CB211" i="49"/>
  <c r="CB455" i="49"/>
  <c r="CB491" i="49"/>
  <c r="CB361" i="49"/>
  <c r="CB470" i="49"/>
  <c r="CB360" i="49"/>
  <c r="CB73" i="49"/>
  <c r="CB167" i="49"/>
  <c r="CB75" i="49"/>
  <c r="AL476" i="49"/>
  <c r="CJ62" i="49"/>
  <c r="AL241" i="49"/>
  <c r="DG181" i="49"/>
  <c r="AL279" i="49"/>
  <c r="DG137" i="49"/>
  <c r="CJ345" i="49"/>
  <c r="AL392" i="49"/>
  <c r="CJ216" i="49"/>
  <c r="CJ223" i="49"/>
  <c r="BM344" i="49"/>
  <c r="CJ476" i="49"/>
  <c r="BM273" i="49"/>
  <c r="CJ426" i="49"/>
  <c r="AL211" i="49"/>
  <c r="AL210" i="49"/>
  <c r="DG269" i="49"/>
  <c r="DA73" i="49"/>
  <c r="DB73" i="49"/>
  <c r="CZ73" i="49"/>
  <c r="CZ454" i="49"/>
  <c r="CZ47" i="49"/>
  <c r="CZ94" i="49"/>
  <c r="CZ275" i="49"/>
  <c r="CZ357" i="49"/>
  <c r="CZ343" i="49"/>
  <c r="CZ307" i="49"/>
  <c r="CZ205" i="49"/>
  <c r="CZ125" i="49"/>
  <c r="CZ44" i="49"/>
  <c r="CZ341" i="49"/>
  <c r="CZ82" i="49"/>
  <c r="CZ110" i="49"/>
  <c r="CZ142" i="49"/>
  <c r="DA117" i="49"/>
  <c r="DB117" i="49"/>
  <c r="CZ117" i="49"/>
  <c r="CZ468" i="49"/>
  <c r="CZ485" i="49"/>
  <c r="CZ297" i="49"/>
  <c r="CZ245" i="49"/>
  <c r="CZ109" i="49"/>
  <c r="CZ300" i="49"/>
  <c r="CZ301" i="49"/>
  <c r="CZ131" i="49"/>
  <c r="DA103" i="49"/>
  <c r="DB103" i="49"/>
  <c r="CZ103" i="49"/>
  <c r="CZ111" i="49"/>
  <c r="AI443" i="49"/>
  <c r="AJ443" i="49"/>
  <c r="AK443" i="49"/>
  <c r="BM392" i="49"/>
  <c r="CJ251" i="49"/>
  <c r="CJ206" i="49"/>
  <c r="CJ302" i="49"/>
  <c r="AL345" i="49"/>
  <c r="AI467" i="49"/>
  <c r="AJ467" i="49"/>
  <c r="AK467" i="49"/>
  <c r="DE25" i="49"/>
  <c r="DF25" i="49"/>
  <c r="DD25" i="49"/>
  <c r="CZ23" i="49"/>
  <c r="CZ317" i="49"/>
  <c r="CZ9" i="49"/>
  <c r="DA9" i="49"/>
  <c r="DB9" i="49"/>
  <c r="CZ57" i="49"/>
  <c r="CZ235" i="49"/>
  <c r="CZ179" i="49"/>
  <c r="CZ257" i="49"/>
  <c r="CZ183" i="49"/>
  <c r="CZ336" i="49"/>
  <c r="CZ411" i="49"/>
  <c r="CZ68" i="49"/>
  <c r="DA68" i="49"/>
  <c r="DB68" i="49"/>
  <c r="CZ163" i="49"/>
  <c r="CZ141" i="49"/>
  <c r="CZ372" i="49"/>
  <c r="CJ175" i="49"/>
  <c r="DG359" i="49"/>
  <c r="CJ304" i="49"/>
  <c r="DG407" i="49"/>
  <c r="AL272" i="49"/>
  <c r="AL332" i="49"/>
  <c r="DA443" i="49"/>
  <c r="DB443" i="49"/>
  <c r="CZ443" i="49"/>
  <c r="AL263" i="49"/>
  <c r="AL251" i="49"/>
  <c r="DG477" i="49"/>
  <c r="DG280" i="49"/>
  <c r="DG309" i="49"/>
  <c r="BM397" i="49"/>
  <c r="AL344" i="49"/>
  <c r="AL328" i="49"/>
  <c r="AL432" i="49"/>
  <c r="AL284" i="49"/>
  <c r="AL171" i="49"/>
  <c r="DG221" i="49"/>
  <c r="AL431" i="49"/>
  <c r="CZ440" i="49"/>
  <c r="CJ137" i="49"/>
  <c r="AL415" i="49"/>
  <c r="DG376" i="49"/>
  <c r="CJ387" i="49"/>
  <c r="AL193" i="49"/>
  <c r="BM202" i="49"/>
  <c r="CZ493" i="49"/>
  <c r="CZ96" i="49"/>
  <c r="CZ490" i="49"/>
  <c r="CZ427" i="49"/>
  <c r="CZ134" i="49"/>
  <c r="CZ188" i="49"/>
  <c r="CZ220" i="49"/>
  <c r="CZ388" i="49"/>
  <c r="CZ316" i="49"/>
  <c r="CZ108" i="49"/>
  <c r="DA298" i="49"/>
  <c r="DB298" i="49"/>
  <c r="CZ298" i="49"/>
  <c r="CZ331" i="49"/>
  <c r="CZ178" i="49"/>
  <c r="CZ227" i="49"/>
  <c r="CZ380" i="49"/>
  <c r="CZ478" i="49"/>
  <c r="CZ423" i="49"/>
  <c r="CZ250" i="49"/>
  <c r="CZ256" i="49"/>
  <c r="CZ358" i="49"/>
  <c r="CZ104" i="49"/>
  <c r="CZ442" i="49"/>
  <c r="CZ149" i="49"/>
  <c r="CZ27" i="49"/>
  <c r="CZ444" i="49"/>
  <c r="CZ487" i="49"/>
  <c r="CZ124" i="49"/>
  <c r="CZ248" i="49"/>
  <c r="CZ349" i="49"/>
  <c r="CZ453" i="49"/>
  <c r="CZ144" i="49"/>
  <c r="CZ100" i="49"/>
  <c r="DA97" i="49"/>
  <c r="DB97" i="49"/>
  <c r="CZ97" i="49"/>
  <c r="AL231" i="49"/>
  <c r="DG259" i="49"/>
  <c r="AL479" i="49"/>
  <c r="DG304" i="49"/>
  <c r="AL262" i="49"/>
  <c r="BM369" i="49"/>
  <c r="AI472" i="49"/>
  <c r="AJ472" i="49"/>
  <c r="AK472" i="49"/>
  <c r="AL329" i="49"/>
  <c r="AL391" i="49"/>
  <c r="CZ419" i="49"/>
  <c r="CZ130" i="49"/>
  <c r="DA46" i="49"/>
  <c r="DB46" i="49"/>
  <c r="CZ46" i="49"/>
  <c r="CZ133" i="49"/>
  <c r="CH462" i="49"/>
  <c r="CI462" i="49"/>
  <c r="CG462" i="49"/>
  <c r="CZ457" i="49"/>
  <c r="CH452" i="49"/>
  <c r="CI452" i="49"/>
  <c r="CG452" i="49"/>
  <c r="CH465" i="49"/>
  <c r="CI465" i="49"/>
  <c r="CG465" i="49"/>
  <c r="DE472" i="49"/>
  <c r="DF472" i="49"/>
  <c r="DD472" i="49"/>
  <c r="AN419" i="49"/>
  <c r="AO419" i="49"/>
  <c r="AM419" i="49"/>
  <c r="CH479" i="49"/>
  <c r="CI479" i="49"/>
  <c r="CG479" i="49"/>
  <c r="DI328" i="49"/>
  <c r="DJ328" i="49"/>
  <c r="DH328" i="49"/>
  <c r="DE459" i="49"/>
  <c r="DF459" i="49"/>
  <c r="DD459" i="49"/>
  <c r="BM285" i="49"/>
  <c r="DG371" i="49"/>
  <c r="DG353" i="49"/>
  <c r="CJ213" i="49"/>
  <c r="CZ498" i="49"/>
  <c r="CZ64" i="49"/>
  <c r="DA64" i="49"/>
  <c r="DB64" i="49"/>
  <c r="DG369" i="49"/>
  <c r="DG391" i="49"/>
  <c r="DI332" i="49"/>
  <c r="DJ332" i="49"/>
  <c r="DH332" i="49"/>
  <c r="DG284" i="49"/>
  <c r="AL286" i="49"/>
  <c r="AL375" i="49"/>
  <c r="AL137" i="49"/>
  <c r="AL387" i="49"/>
  <c r="AL63" i="49"/>
  <c r="BM371" i="49"/>
  <c r="AL168" i="49"/>
  <c r="DG228" i="49"/>
  <c r="AL407" i="49"/>
  <c r="CZ26" i="49"/>
  <c r="CJ398" i="49"/>
  <c r="CJ258" i="49"/>
  <c r="DG62" i="49"/>
  <c r="CJ417" i="49"/>
  <c r="DA74" i="49"/>
  <c r="DB74" i="49"/>
  <c r="CZ74" i="49"/>
  <c r="CZ70" i="49"/>
  <c r="CZ321" i="49"/>
  <c r="CZ318" i="49"/>
  <c r="CZ325" i="49"/>
  <c r="CZ266" i="49"/>
  <c r="CZ184" i="49"/>
  <c r="CZ196" i="49"/>
  <c r="CZ379" i="49"/>
  <c r="CZ219" i="49"/>
  <c r="CZ354" i="49"/>
  <c r="CZ195" i="49"/>
  <c r="CZ123" i="49"/>
  <c r="CZ52" i="49"/>
  <c r="CZ290" i="49"/>
  <c r="CZ127" i="49"/>
  <c r="DA433" i="49"/>
  <c r="DB433" i="49"/>
  <c r="CZ433" i="49"/>
  <c r="CZ148" i="49"/>
  <c r="CZ90" i="49"/>
  <c r="CZ112" i="49"/>
  <c r="CZ174" i="49"/>
  <c r="CZ129" i="49"/>
  <c r="CZ356" i="49"/>
  <c r="CZ76" i="49"/>
  <c r="CZ274" i="49"/>
  <c r="CZ122" i="49"/>
  <c r="CZ458" i="49"/>
  <c r="CZ386" i="49"/>
  <c r="CZ267" i="49"/>
  <c r="CZ441" i="49"/>
  <c r="BM389" i="49"/>
  <c r="AL381" i="49"/>
  <c r="CZ101" i="49"/>
  <c r="CZ418" i="49"/>
  <c r="CZ99" i="49"/>
  <c r="AI465" i="49"/>
  <c r="AJ465" i="49"/>
  <c r="AK465" i="49"/>
  <c r="CH463" i="49"/>
  <c r="CI463" i="49"/>
  <c r="CG463" i="49"/>
  <c r="DE22" i="49"/>
  <c r="DF22" i="49"/>
  <c r="DD22" i="49"/>
  <c r="AI440" i="49"/>
  <c r="AJ440" i="49"/>
  <c r="AK440" i="49"/>
  <c r="BC498" i="49"/>
  <c r="BD498" i="49"/>
  <c r="BC308" i="49"/>
  <c r="BD308" i="49"/>
  <c r="BC426" i="49"/>
  <c r="BD426" i="49"/>
  <c r="BC188" i="49"/>
  <c r="BD188" i="49"/>
  <c r="BC75" i="49"/>
  <c r="BD75" i="49"/>
  <c r="BC385" i="49"/>
  <c r="BD385" i="49"/>
  <c r="BC253" i="49"/>
  <c r="BD253" i="49"/>
  <c r="BC428" i="49"/>
  <c r="BD428" i="49"/>
  <c r="BC236" i="49"/>
  <c r="BD236" i="49"/>
  <c r="BC171" i="49"/>
  <c r="BD171" i="49"/>
  <c r="BC52" i="49"/>
  <c r="BD52" i="49"/>
  <c r="BC267" i="49"/>
  <c r="BD267" i="49"/>
  <c r="BC167" i="49"/>
  <c r="BD167" i="49"/>
  <c r="BC226" i="49"/>
  <c r="BD226" i="49"/>
  <c r="BC257" i="49"/>
  <c r="BD257" i="49"/>
  <c r="BC189" i="49"/>
  <c r="BD189" i="49"/>
  <c r="BC148" i="49"/>
  <c r="BD148" i="49"/>
  <c r="BC429" i="49"/>
  <c r="BD429" i="49"/>
  <c r="BC271" i="49"/>
  <c r="BD271" i="49"/>
  <c r="BC302" i="49"/>
  <c r="BD302" i="49"/>
  <c r="BC73" i="49"/>
  <c r="BD73" i="49"/>
  <c r="BC360" i="49"/>
  <c r="BD360" i="49"/>
  <c r="BC180" i="49"/>
  <c r="BD180" i="49"/>
  <c r="BC165" i="49"/>
  <c r="BD165" i="49"/>
  <c r="BC197" i="49"/>
  <c r="BD197" i="49"/>
  <c r="BC247" i="49"/>
  <c r="BD247" i="49"/>
  <c r="BC74" i="49"/>
  <c r="BD74" i="49"/>
  <c r="BC5" i="49"/>
  <c r="BC162" i="49"/>
  <c r="BD162" i="49"/>
  <c r="BC166" i="49"/>
  <c r="BD166" i="49"/>
  <c r="BC492" i="49"/>
  <c r="BD492" i="49"/>
  <c r="BC471" i="49"/>
  <c r="BD471" i="49"/>
  <c r="BC356" i="49"/>
  <c r="BD356" i="49"/>
  <c r="BC319" i="49"/>
  <c r="BD319" i="49"/>
  <c r="BC363" i="49"/>
  <c r="BD363" i="49"/>
  <c r="BC29" i="49"/>
  <c r="BD29" i="49"/>
  <c r="BC350" i="49"/>
  <c r="BD350" i="49"/>
  <c r="BC490" i="49"/>
  <c r="BD490" i="49"/>
  <c r="BC88" i="49"/>
  <c r="BD88" i="49"/>
  <c r="BC489" i="49"/>
  <c r="BD489" i="49"/>
  <c r="BC320" i="49"/>
  <c r="BD320" i="49"/>
  <c r="BC93" i="49"/>
  <c r="BD93" i="49"/>
  <c r="BC81" i="49"/>
  <c r="BD81" i="49"/>
  <c r="BC358" i="49"/>
  <c r="BD358" i="49"/>
  <c r="BC449" i="49"/>
  <c r="BD449" i="49"/>
  <c r="BC69" i="49"/>
  <c r="BD69" i="49"/>
  <c r="BC357" i="49"/>
  <c r="BD357" i="49"/>
  <c r="BC94" i="49"/>
  <c r="BD94" i="49"/>
  <c r="BC96" i="49"/>
  <c r="BD96" i="49"/>
  <c r="BC109" i="49"/>
  <c r="BD109" i="49"/>
  <c r="BC361" i="49"/>
  <c r="BD361" i="49"/>
  <c r="BC470" i="49"/>
  <c r="BD470" i="49"/>
  <c r="BC475" i="49"/>
  <c r="BD475" i="49"/>
  <c r="BC91" i="49"/>
  <c r="BD91" i="49"/>
  <c r="BC354" i="49"/>
  <c r="BD354" i="49"/>
  <c r="BC85" i="49"/>
  <c r="BD85" i="49"/>
  <c r="BC90" i="49"/>
  <c r="BD90" i="49"/>
  <c r="BC83" i="49"/>
  <c r="BD83" i="49"/>
  <c r="BC362" i="49"/>
  <c r="BD362" i="49"/>
  <c r="BC129" i="49"/>
  <c r="BD129" i="49"/>
  <c r="BC47" i="49"/>
  <c r="BD47" i="49"/>
  <c r="BC17" i="49"/>
  <c r="BD17" i="49"/>
  <c r="BC494" i="49"/>
  <c r="BD494" i="49"/>
  <c r="BC131" i="49"/>
  <c r="BD131" i="49"/>
  <c r="BC95" i="49"/>
  <c r="BD95" i="49"/>
  <c r="BC321" i="49"/>
  <c r="BD321" i="49"/>
  <c r="BC454" i="49"/>
  <c r="BD454" i="49"/>
  <c r="BC493" i="49"/>
  <c r="BD493" i="49"/>
  <c r="BC70" i="49"/>
  <c r="BD70" i="49"/>
  <c r="BC82" i="49"/>
  <c r="BD82" i="49"/>
  <c r="BC65" i="49"/>
  <c r="BD65" i="49"/>
  <c r="BC455" i="49"/>
  <c r="BD455" i="49"/>
  <c r="BC491" i="49"/>
  <c r="BD491" i="49"/>
  <c r="BC28" i="49"/>
  <c r="BD28" i="49"/>
  <c r="BC317" i="49"/>
  <c r="BD317" i="49"/>
  <c r="BC450" i="49"/>
  <c r="BD450" i="49"/>
  <c r="BC441" i="49"/>
  <c r="BD441" i="49"/>
  <c r="BC72" i="49"/>
  <c r="BD72" i="49"/>
  <c r="BC34" i="49"/>
  <c r="BD34" i="49"/>
  <c r="BC439" i="49"/>
  <c r="BD439" i="49"/>
  <c r="BC44" i="49"/>
  <c r="BD44" i="49"/>
  <c r="BC50" i="49"/>
  <c r="BD50" i="49"/>
  <c r="BC13" i="49"/>
  <c r="BD13" i="49"/>
  <c r="BC322" i="49"/>
  <c r="BD322" i="49"/>
  <c r="BC45" i="49"/>
  <c r="BD45" i="49"/>
  <c r="BC313" i="49"/>
  <c r="BD313" i="49"/>
  <c r="BC43" i="49"/>
  <c r="BD43" i="49"/>
  <c r="BC314" i="49"/>
  <c r="BD314" i="49"/>
  <c r="BC7" i="49"/>
  <c r="BD7" i="49"/>
  <c r="BC49" i="49"/>
  <c r="BD49" i="49"/>
  <c r="BC315" i="49"/>
  <c r="BD315" i="49"/>
  <c r="BC326" i="49"/>
  <c r="BD326" i="49"/>
  <c r="BC42" i="49"/>
  <c r="BD42" i="49"/>
  <c r="BC411" i="49"/>
  <c r="BD411" i="49"/>
  <c r="BC478" i="49"/>
  <c r="BD478" i="49"/>
  <c r="BC54" i="49"/>
  <c r="BD54" i="49"/>
  <c r="BC386" i="49"/>
  <c r="BD386" i="49"/>
  <c r="BC342" i="49"/>
  <c r="BD342" i="49"/>
  <c r="BC86" i="49"/>
  <c r="BD86" i="49"/>
  <c r="BC89" i="49"/>
  <c r="BD89" i="49"/>
  <c r="BC261" i="49"/>
  <c r="BD261" i="49"/>
  <c r="BC248" i="49"/>
  <c r="BD248" i="49"/>
  <c r="BC258" i="49"/>
  <c r="BD258" i="49"/>
  <c r="BC214" i="49"/>
  <c r="BD214" i="49"/>
  <c r="BC312" i="49"/>
  <c r="BD312" i="49"/>
  <c r="BC134" i="49"/>
  <c r="BD134" i="49"/>
  <c r="BC215" i="49"/>
  <c r="BD215" i="49"/>
  <c r="BC437" i="49"/>
  <c r="BD437" i="49"/>
  <c r="BC351" i="49"/>
  <c r="BD351" i="49"/>
  <c r="BC382" i="49"/>
  <c r="BD382" i="49"/>
  <c r="BC104" i="49"/>
  <c r="BD104" i="49"/>
  <c r="BC205" i="49"/>
  <c r="BD205" i="49"/>
  <c r="BC217" i="49"/>
  <c r="BD217" i="49"/>
  <c r="BC251" i="49"/>
  <c r="BD251" i="49"/>
  <c r="BC185" i="49"/>
  <c r="BD185" i="49"/>
  <c r="BC156" i="49"/>
  <c r="BD156" i="49"/>
  <c r="BC66" i="49"/>
  <c r="BD66" i="49"/>
  <c r="BC60" i="49"/>
  <c r="BD60" i="49"/>
  <c r="BC353" i="49"/>
  <c r="BD353" i="49"/>
  <c r="BC384" i="49"/>
  <c r="BD384" i="49"/>
  <c r="BC80" i="49"/>
  <c r="BD80" i="49"/>
  <c r="BC78" i="49"/>
  <c r="BD78" i="49"/>
  <c r="BC304" i="49"/>
  <c r="BD304" i="49"/>
  <c r="BC139" i="49"/>
  <c r="BD139" i="49"/>
  <c r="BC150" i="49"/>
  <c r="BD150" i="49"/>
  <c r="BC293" i="49"/>
  <c r="BD293" i="49"/>
  <c r="BC303" i="49"/>
  <c r="BD303" i="49"/>
  <c r="BC431" i="49"/>
  <c r="BD431" i="49"/>
  <c r="BC318" i="49"/>
  <c r="BD318" i="49"/>
  <c r="BC230" i="49"/>
  <c r="BD230" i="49"/>
  <c r="BC331" i="49"/>
  <c r="BD331" i="49"/>
  <c r="BC41" i="49"/>
  <c r="BD41" i="49"/>
  <c r="BC11" i="49"/>
  <c r="BD11" i="49"/>
  <c r="BC316" i="49"/>
  <c r="BD316" i="49"/>
  <c r="BC61" i="49"/>
  <c r="BD61" i="49"/>
  <c r="BC484" i="49"/>
  <c r="BD484" i="49"/>
  <c r="BC395" i="49"/>
  <c r="BD395" i="49"/>
  <c r="BC249" i="49"/>
  <c r="BD249" i="49"/>
  <c r="BC183" i="49"/>
  <c r="BD183" i="49"/>
  <c r="BC343" i="49"/>
  <c r="BD343" i="49"/>
  <c r="BC240" i="49"/>
  <c r="BD240" i="49"/>
  <c r="BC338" i="49"/>
  <c r="BD338" i="49"/>
  <c r="BC112" i="49"/>
  <c r="BD112" i="49"/>
  <c r="BC125" i="49"/>
  <c r="BD125" i="49"/>
  <c r="BC76" i="49"/>
  <c r="BD76" i="49"/>
  <c r="BC172" i="49"/>
  <c r="BD172" i="49"/>
  <c r="BC114" i="49"/>
  <c r="BD114" i="49"/>
  <c r="BC128" i="49"/>
  <c r="BD128" i="49"/>
  <c r="BC286" i="49"/>
  <c r="BD286" i="49"/>
  <c r="BC432" i="49"/>
  <c r="BD432" i="49"/>
  <c r="BC325" i="49"/>
  <c r="BD325" i="49"/>
  <c r="BC14" i="49"/>
  <c r="BD14" i="49"/>
  <c r="BC53" i="49"/>
  <c r="BD53" i="49"/>
  <c r="BC10" i="49"/>
  <c r="BD10" i="49"/>
  <c r="BC414" i="49"/>
  <c r="BD414" i="49"/>
  <c r="BC349" i="49"/>
  <c r="BD349" i="49"/>
  <c r="BC377" i="49"/>
  <c r="BD377" i="49"/>
  <c r="BC130" i="49"/>
  <c r="BD130" i="49"/>
  <c r="BC127" i="49"/>
  <c r="BD127" i="49"/>
  <c r="BC124" i="49"/>
  <c r="BD124" i="49"/>
  <c r="BC169" i="49"/>
  <c r="BD169" i="49"/>
  <c r="BC163" i="49"/>
  <c r="BD163" i="49"/>
  <c r="BC159" i="49"/>
  <c r="BD159" i="49"/>
  <c r="BC436" i="49"/>
  <c r="BD436" i="49"/>
  <c r="BC71" i="49"/>
  <c r="BD71" i="49"/>
  <c r="BC408" i="49"/>
  <c r="BD408" i="49"/>
  <c r="BC487" i="49"/>
  <c r="BD487" i="49"/>
  <c r="BC8" i="49"/>
  <c r="BD8" i="49"/>
  <c r="BC152" i="49"/>
  <c r="BD152" i="49"/>
  <c r="BC121" i="49"/>
  <c r="BD121" i="49"/>
  <c r="BC122" i="49"/>
  <c r="BD122" i="49"/>
  <c r="BC220" i="49"/>
  <c r="BD220" i="49"/>
  <c r="BC194" i="49"/>
  <c r="BD194" i="49"/>
  <c r="BC252" i="49"/>
  <c r="BD252" i="49"/>
  <c r="BC140" i="49"/>
  <c r="BD140" i="49"/>
  <c r="BC211" i="49"/>
  <c r="BD211" i="49"/>
  <c r="BC310" i="49"/>
  <c r="BD310" i="49"/>
  <c r="BC307" i="49"/>
  <c r="BD307" i="49"/>
  <c r="BC433" i="49"/>
  <c r="BD433" i="49"/>
  <c r="BC63" i="49"/>
  <c r="BD63" i="49"/>
  <c r="BC409" i="49"/>
  <c r="BD409" i="49"/>
  <c r="BC485" i="49"/>
  <c r="BD485" i="49"/>
  <c r="BC379" i="49"/>
  <c r="BD379" i="49"/>
  <c r="BC340" i="49"/>
  <c r="BD340" i="49"/>
  <c r="BC79" i="49"/>
  <c r="BD79" i="49"/>
  <c r="BC110" i="49"/>
  <c r="BD110" i="49"/>
  <c r="BC276" i="49"/>
  <c r="BD276" i="49"/>
  <c r="BC275" i="49"/>
  <c r="BD275" i="49"/>
  <c r="BC298" i="49"/>
  <c r="BD298" i="49"/>
  <c r="BC184" i="49"/>
  <c r="BD184" i="49"/>
  <c r="BC346" i="49"/>
  <c r="BD346" i="49"/>
  <c r="BC352" i="49"/>
  <c r="BD352" i="49"/>
  <c r="BC227" i="49"/>
  <c r="BD227" i="49"/>
  <c r="BC306" i="49"/>
  <c r="BD306" i="49"/>
  <c r="BC278" i="49"/>
  <c r="BD278" i="49"/>
  <c r="BC170" i="49"/>
  <c r="BD170" i="49"/>
  <c r="BC161" i="49"/>
  <c r="BD161" i="49"/>
  <c r="BC12" i="49"/>
  <c r="BD12" i="49"/>
  <c r="BC324" i="49"/>
  <c r="BD324" i="49"/>
  <c r="BC48" i="49"/>
  <c r="BD48" i="49"/>
  <c r="BC323" i="49"/>
  <c r="BD323" i="49"/>
  <c r="BC9" i="49"/>
  <c r="BD9" i="49"/>
  <c r="BC15" i="49"/>
  <c r="BD15" i="49"/>
  <c r="BC341" i="49"/>
  <c r="BD341" i="49"/>
  <c r="BC266" i="49"/>
  <c r="BD266" i="49"/>
  <c r="BC191" i="49"/>
  <c r="BD191" i="49"/>
  <c r="BC224" i="49"/>
  <c r="BD224" i="49"/>
  <c r="BC187" i="49"/>
  <c r="BD187" i="49"/>
  <c r="BC427" i="49"/>
  <c r="BD427" i="49"/>
  <c r="BC213" i="49"/>
  <c r="BD213" i="49"/>
  <c r="BC219" i="49"/>
  <c r="BD219" i="49"/>
  <c r="BC57" i="49"/>
  <c r="BD57" i="49"/>
  <c r="BC305" i="49"/>
  <c r="BD305" i="49"/>
  <c r="BC300" i="49"/>
  <c r="BD300" i="49"/>
  <c r="BC143" i="49"/>
  <c r="BD143" i="49"/>
  <c r="BC67" i="49"/>
  <c r="BD67" i="49"/>
  <c r="BC58" i="49"/>
  <c r="BD58" i="49"/>
  <c r="BC190" i="49"/>
  <c r="BD190" i="49"/>
  <c r="BC434" i="49"/>
  <c r="BD434" i="49"/>
  <c r="BC218" i="49"/>
  <c r="BD218" i="49"/>
  <c r="BC135" i="49"/>
  <c r="BD135" i="49"/>
  <c r="BC390" i="49"/>
  <c r="BD390" i="49"/>
  <c r="BC477" i="49"/>
  <c r="BD477" i="49"/>
  <c r="BC296" i="49"/>
  <c r="BD296" i="49"/>
  <c r="BC157" i="49"/>
  <c r="BD157" i="49"/>
  <c r="BC123" i="49"/>
  <c r="BD123" i="49"/>
  <c r="BC145" i="49"/>
  <c r="BD145" i="49"/>
  <c r="BC404" i="49"/>
  <c r="BD404" i="49"/>
  <c r="BC151" i="49"/>
  <c r="BD151" i="49"/>
  <c r="BC372" i="49"/>
  <c r="BD372" i="49"/>
  <c r="BC425" i="49"/>
  <c r="BD425" i="49"/>
  <c r="BC235" i="49"/>
  <c r="BD235" i="49"/>
  <c r="BC108" i="49"/>
  <c r="BD108" i="49"/>
  <c r="BC160" i="49"/>
  <c r="BD160" i="49"/>
  <c r="BC92" i="49"/>
  <c r="BD92" i="49"/>
  <c r="BC373" i="49"/>
  <c r="BD373" i="49"/>
  <c r="BC118" i="49"/>
  <c r="BD118" i="49"/>
  <c r="BC234" i="49"/>
  <c r="BD234" i="49"/>
  <c r="BC77" i="49"/>
  <c r="BD77" i="49"/>
  <c r="BC55" i="49"/>
  <c r="BD55" i="49"/>
  <c r="BC420" i="49"/>
  <c r="BD420" i="49"/>
  <c r="BC132" i="49"/>
  <c r="BD132" i="49"/>
  <c r="BC153" i="49"/>
  <c r="BD153" i="49"/>
  <c r="BC192" i="49"/>
  <c r="BD192" i="49"/>
  <c r="BC102" i="49"/>
  <c r="BD102" i="49"/>
  <c r="BC366" i="49"/>
  <c r="BD366" i="49"/>
  <c r="BC413" i="49"/>
  <c r="BD413" i="49"/>
  <c r="BC445" i="49"/>
  <c r="BD445" i="49"/>
  <c r="BC56" i="49"/>
  <c r="BD56" i="49"/>
  <c r="BC473" i="49"/>
  <c r="BD473" i="49"/>
  <c r="BC245" i="49"/>
  <c r="BD245" i="49"/>
  <c r="BC442" i="49"/>
  <c r="BD442" i="49"/>
  <c r="BC474" i="49"/>
  <c r="BD474" i="49"/>
  <c r="BC461" i="49"/>
  <c r="BD461" i="49"/>
  <c r="BC468" i="49"/>
  <c r="BD468" i="49"/>
  <c r="BC209" i="49"/>
  <c r="BD209" i="49"/>
  <c r="BC119" i="49"/>
  <c r="BD119" i="49"/>
  <c r="BC364" i="49"/>
  <c r="BD364" i="49"/>
  <c r="BC84" i="49"/>
  <c r="BD84" i="49"/>
  <c r="BC233" i="49"/>
  <c r="BD233" i="49"/>
  <c r="BC225" i="49"/>
  <c r="BD225" i="49"/>
  <c r="BC486" i="49"/>
  <c r="BD486" i="49"/>
  <c r="BC155" i="49"/>
  <c r="BD155" i="49"/>
  <c r="BC402" i="49"/>
  <c r="BD402" i="49"/>
  <c r="BC410" i="49"/>
  <c r="BD410" i="49"/>
  <c r="BC116" i="49"/>
  <c r="BD116" i="49"/>
  <c r="BC295" i="49"/>
  <c r="BD295" i="49"/>
  <c r="BC16" i="49"/>
  <c r="BD16" i="49"/>
  <c r="BC178" i="49"/>
  <c r="BD178" i="49"/>
  <c r="BC120" i="49"/>
  <c r="BD120" i="49"/>
  <c r="BC250" i="49"/>
  <c r="BD250" i="49"/>
  <c r="BC158" i="49"/>
  <c r="BD158" i="49"/>
  <c r="BC368" i="49"/>
  <c r="BD368" i="49"/>
  <c r="BC242" i="49"/>
  <c r="BD242" i="49"/>
  <c r="BC412" i="49"/>
  <c r="BD412" i="49"/>
  <c r="BC333" i="49"/>
  <c r="BD333" i="49"/>
  <c r="BC138" i="49"/>
  <c r="BD138" i="49"/>
  <c r="BC339" i="49"/>
  <c r="BD339" i="49"/>
  <c r="BC359" i="49"/>
  <c r="BD359" i="49"/>
  <c r="BC348" i="49"/>
  <c r="BD348" i="49"/>
  <c r="BC483" i="49"/>
  <c r="BD483" i="49"/>
  <c r="BC336" i="49"/>
  <c r="BD336" i="49"/>
  <c r="BC334" i="49"/>
  <c r="BD334" i="49"/>
  <c r="BC268" i="49"/>
  <c r="BD268" i="49"/>
  <c r="BC254" i="49"/>
  <c r="BD254" i="49"/>
  <c r="BC164" i="49"/>
  <c r="BD164" i="49"/>
  <c r="BC97" i="49"/>
  <c r="BD97" i="49"/>
  <c r="BC281" i="49"/>
  <c r="BD281" i="49"/>
  <c r="BC133" i="49"/>
  <c r="BD133" i="49"/>
  <c r="BC201" i="49"/>
  <c r="BD201" i="49"/>
  <c r="BC103" i="49"/>
  <c r="BD103" i="49"/>
  <c r="BC419" i="49"/>
  <c r="BD419" i="49"/>
  <c r="BC198" i="49"/>
  <c r="BD198" i="49"/>
  <c r="BC199" i="49"/>
  <c r="BD199" i="49"/>
  <c r="BC186" i="49"/>
  <c r="BD186" i="49"/>
  <c r="BC126" i="49"/>
  <c r="BD126" i="49"/>
  <c r="BC365" i="49"/>
  <c r="BD365" i="49"/>
  <c r="BC107" i="49"/>
  <c r="BD107" i="49"/>
  <c r="BC383" i="49"/>
  <c r="BD383" i="49"/>
  <c r="BC149" i="49"/>
  <c r="BD149" i="49"/>
  <c r="BC115" i="49"/>
  <c r="BD115" i="49"/>
  <c r="BC482" i="49"/>
  <c r="BD482" i="49"/>
  <c r="BC393" i="49"/>
  <c r="BD393" i="49"/>
  <c r="BC142" i="49"/>
  <c r="BD142" i="49"/>
  <c r="BC99" i="49"/>
  <c r="BD99" i="49"/>
  <c r="BC299" i="49"/>
  <c r="BD299" i="49"/>
  <c r="BC207" i="49"/>
  <c r="BD207" i="49"/>
  <c r="BC68" i="49"/>
  <c r="BD68" i="49"/>
  <c r="BC292" i="49"/>
  <c r="BD292" i="49"/>
  <c r="BC64" i="49"/>
  <c r="BD64" i="49"/>
  <c r="BC243" i="49"/>
  <c r="BD243" i="49"/>
  <c r="BC200" i="49"/>
  <c r="BD200" i="49"/>
  <c r="BC452" i="49"/>
  <c r="BD452" i="49"/>
  <c r="BC460" i="49"/>
  <c r="BD460" i="49"/>
  <c r="BC435" i="49"/>
  <c r="BD435" i="49"/>
  <c r="BC448" i="49"/>
  <c r="BD448" i="49"/>
  <c r="BC465" i="49"/>
  <c r="BD465" i="49"/>
  <c r="BC440" i="49"/>
  <c r="BD440" i="49"/>
  <c r="BC467" i="49"/>
  <c r="BD467" i="49"/>
  <c r="BC456" i="49"/>
  <c r="BD456" i="49"/>
  <c r="BC466" i="49"/>
  <c r="BD466" i="49"/>
  <c r="BC141" i="49"/>
  <c r="BD141" i="49"/>
  <c r="BC146" i="49"/>
  <c r="BD146" i="49"/>
  <c r="BC113" i="49"/>
  <c r="BD113" i="49"/>
  <c r="BC274" i="49"/>
  <c r="BD274" i="49"/>
  <c r="BC311" i="49"/>
  <c r="BD311" i="49"/>
  <c r="BC196" i="49"/>
  <c r="BD196" i="49"/>
  <c r="BC101" i="49"/>
  <c r="BD101" i="49"/>
  <c r="BC241" i="49"/>
  <c r="BD241" i="49"/>
  <c r="BC136" i="49"/>
  <c r="BD136" i="49"/>
  <c r="BC277" i="49"/>
  <c r="BD277" i="49"/>
  <c r="BC179" i="49"/>
  <c r="BD179" i="49"/>
  <c r="BC100" i="49"/>
  <c r="BD100" i="49"/>
  <c r="BC388" i="49"/>
  <c r="BD388" i="49"/>
  <c r="BC154" i="49"/>
  <c r="BD154" i="49"/>
  <c r="BC87" i="49"/>
  <c r="BD87" i="49"/>
  <c r="BC376" i="49"/>
  <c r="BD376" i="49"/>
  <c r="BC173" i="49"/>
  <c r="BD173" i="49"/>
  <c r="BC301" i="49"/>
  <c r="BD301" i="49"/>
  <c r="BC208" i="49"/>
  <c r="BD208" i="49"/>
  <c r="BC265" i="49"/>
  <c r="BD265" i="49"/>
  <c r="BC117" i="49"/>
  <c r="BD117" i="49"/>
  <c r="BC430" i="49"/>
  <c r="BD430" i="49"/>
  <c r="BC229" i="49"/>
  <c r="BD229" i="49"/>
  <c r="BC400" i="49"/>
  <c r="BD400" i="49"/>
  <c r="BC106" i="49"/>
  <c r="BD106" i="49"/>
  <c r="BC144" i="49"/>
  <c r="BD144" i="49"/>
  <c r="BC111" i="49"/>
  <c r="BD111" i="49"/>
  <c r="BC378" i="49"/>
  <c r="BD378" i="49"/>
  <c r="BC210" i="49"/>
  <c r="BD210" i="49"/>
  <c r="BC481" i="49"/>
  <c r="BD481" i="49"/>
  <c r="BC335" i="49"/>
  <c r="BD335" i="49"/>
  <c r="BC279" i="49"/>
  <c r="BD279" i="49"/>
  <c r="BC380" i="49"/>
  <c r="BD380" i="49"/>
  <c r="BC453" i="49"/>
  <c r="BD453" i="49"/>
  <c r="BC438" i="49"/>
  <c r="BD438" i="49"/>
  <c r="BC260" i="49"/>
  <c r="BD260" i="49"/>
  <c r="BC337" i="49"/>
  <c r="BD337" i="49"/>
  <c r="BC282" i="49"/>
  <c r="BD282" i="49"/>
  <c r="BC174" i="49"/>
  <c r="BD174" i="49"/>
  <c r="BC355" i="49"/>
  <c r="BD355" i="49"/>
  <c r="BC447" i="49"/>
  <c r="BD447" i="49"/>
  <c r="BC458" i="49"/>
  <c r="BD458" i="49"/>
  <c r="BC464" i="49"/>
  <c r="BD464" i="49"/>
  <c r="BC472" i="49"/>
  <c r="BD472" i="49"/>
  <c r="BC457" i="49"/>
  <c r="BD457" i="49"/>
  <c r="BC27" i="49"/>
  <c r="BD27" i="49"/>
  <c r="BC446" i="49"/>
  <c r="BD446" i="49"/>
  <c r="BC21" i="49"/>
  <c r="BD21" i="49"/>
  <c r="BC59" i="49"/>
  <c r="BD59" i="49"/>
  <c r="BC24" i="49"/>
  <c r="BD24" i="49"/>
  <c r="BC39" i="49"/>
  <c r="BD39" i="49"/>
  <c r="BC463" i="49"/>
  <c r="BD463" i="49"/>
  <c r="BC25" i="49"/>
  <c r="BD25" i="49"/>
  <c r="BC451" i="49"/>
  <c r="BD451" i="49"/>
  <c r="BC443" i="49"/>
  <c r="BD443" i="49"/>
  <c r="BC35" i="49"/>
  <c r="BD35" i="49"/>
  <c r="BC459" i="49"/>
  <c r="BD459" i="49"/>
  <c r="BC33" i="49"/>
  <c r="BD33" i="49"/>
  <c r="BC444" i="49"/>
  <c r="BD444" i="49"/>
  <c r="BC6" i="49"/>
  <c r="BD6" i="49"/>
  <c r="BC22" i="49"/>
  <c r="BD22" i="49"/>
  <c r="BC496" i="49"/>
  <c r="BD496" i="49"/>
  <c r="BC31" i="49"/>
  <c r="BD31" i="49"/>
  <c r="BC38" i="49"/>
  <c r="BD38" i="49"/>
  <c r="BC19" i="49"/>
  <c r="BD19" i="49"/>
  <c r="BC51" i="49"/>
  <c r="BD51" i="49"/>
  <c r="BC36" i="49"/>
  <c r="BD36" i="49"/>
  <c r="BC20" i="49"/>
  <c r="BD20" i="49"/>
  <c r="BC30" i="49"/>
  <c r="BD30" i="49"/>
  <c r="BC37" i="49"/>
  <c r="BD37" i="49"/>
  <c r="BC32" i="49"/>
  <c r="BD32" i="49"/>
  <c r="BC26" i="49"/>
  <c r="BD26" i="49"/>
  <c r="BC23" i="49"/>
  <c r="BD23" i="49"/>
  <c r="CB334" i="49"/>
  <c r="CB174" i="49"/>
  <c r="CB68" i="49"/>
  <c r="CB439" i="49"/>
  <c r="CB318" i="49"/>
  <c r="CB16" i="49"/>
  <c r="CB460" i="49"/>
  <c r="CB124" i="49"/>
  <c r="CB97" i="49"/>
  <c r="CB366" i="49"/>
  <c r="CB180" i="49"/>
  <c r="CB261" i="49"/>
  <c r="CB117" i="49"/>
  <c r="CB295" i="49"/>
  <c r="CB98" i="49"/>
  <c r="CB410" i="49"/>
  <c r="CB437" i="49"/>
  <c r="CB473" i="49"/>
  <c r="CB267" i="49"/>
  <c r="CB388" i="49"/>
  <c r="CB67" i="49"/>
  <c r="CB113" i="49"/>
  <c r="CB409" i="49"/>
  <c r="CB118" i="49"/>
  <c r="CB144" i="49"/>
  <c r="CB107" i="49"/>
  <c r="CB249" i="49"/>
  <c r="CB38" i="49"/>
  <c r="CB484" i="49"/>
  <c r="CB191" i="49"/>
  <c r="CB196" i="49"/>
  <c r="CB305" i="49"/>
  <c r="CB150" i="49"/>
  <c r="CB169" i="49"/>
  <c r="CB104" i="49"/>
  <c r="CB165" i="49"/>
  <c r="CB467" i="49"/>
  <c r="CB430" i="49"/>
  <c r="CB215" i="49"/>
  <c r="CB57" i="49"/>
  <c r="CB427" i="49"/>
  <c r="CB162" i="49"/>
  <c r="CB265" i="49"/>
  <c r="CB61" i="49"/>
  <c r="CB339" i="49"/>
  <c r="CB327" i="49"/>
  <c r="CB132" i="49"/>
  <c r="CB205" i="49"/>
  <c r="CB414" i="49"/>
  <c r="CB134" i="49"/>
  <c r="CB170" i="49"/>
  <c r="CB44" i="49"/>
  <c r="CB298" i="49"/>
  <c r="CB185" i="49"/>
  <c r="CB335" i="49"/>
  <c r="CB310" i="49"/>
  <c r="CB154" i="49"/>
  <c r="CB354" i="49"/>
  <c r="CB281" i="49"/>
  <c r="CB194" i="49"/>
  <c r="CB123" i="49"/>
  <c r="CB153" i="49"/>
  <c r="CB242" i="49"/>
  <c r="CB277" i="49"/>
  <c r="CB136" i="49"/>
  <c r="CB103" i="49"/>
  <c r="CB342" i="49"/>
  <c r="CB386" i="49"/>
  <c r="CB122" i="49"/>
  <c r="CB419" i="49"/>
  <c r="CB198" i="49"/>
  <c r="CB111" i="49"/>
  <c r="CB383" i="49"/>
  <c r="CB329" i="49"/>
  <c r="CB143" i="49"/>
  <c r="CB126" i="49"/>
  <c r="CB393" i="49"/>
  <c r="CB43" i="49"/>
  <c r="CB78" i="49"/>
  <c r="CB333" i="49"/>
  <c r="CB404" i="49"/>
  <c r="CB7" i="49"/>
  <c r="CB56" i="49"/>
  <c r="CB454" i="49"/>
  <c r="CB70" i="49"/>
  <c r="CB449" i="49"/>
  <c r="CB493" i="49"/>
  <c r="CB47" i="49"/>
  <c r="CB93" i="49"/>
  <c r="CB69" i="49"/>
  <c r="CB385" i="49"/>
  <c r="AI463" i="49"/>
  <c r="AJ463" i="49"/>
  <c r="AK463" i="49"/>
  <c r="DG276" i="49"/>
  <c r="DG264" i="49"/>
  <c r="CJ353" i="49"/>
  <c r="CJ263" i="49"/>
  <c r="AL291" i="49"/>
  <c r="CJ41" i="49"/>
  <c r="AL402" i="49"/>
  <c r="AL287" i="49"/>
  <c r="AL228" i="49"/>
  <c r="CJ309" i="49"/>
  <c r="T2" i="49"/>
  <c r="T505" i="49"/>
  <c r="CJ63" i="49"/>
  <c r="AL188" i="49"/>
  <c r="CJ364" i="49"/>
  <c r="DG398" i="49"/>
  <c r="AO355" i="49"/>
  <c r="DG480" i="49"/>
  <c r="DG244" i="49"/>
  <c r="CZ342" i="49"/>
  <c r="CZ430" i="49"/>
  <c r="CZ208" i="49"/>
  <c r="DB392" i="49"/>
  <c r="CZ165" i="49"/>
  <c r="CZ169" i="49"/>
  <c r="CZ164" i="49"/>
  <c r="CZ261" i="49"/>
  <c r="CZ66" i="49"/>
  <c r="CZ211" i="49"/>
  <c r="CZ20" i="49"/>
  <c r="CZ55" i="49"/>
  <c r="CZ77" i="49"/>
  <c r="CZ233" i="49"/>
  <c r="CZ145" i="49"/>
  <c r="AL255" i="49"/>
  <c r="AL177" i="49"/>
  <c r="AL238" i="49"/>
  <c r="BM381" i="49"/>
  <c r="DG362" i="49"/>
  <c r="CZ51" i="49"/>
  <c r="DG483" i="49"/>
  <c r="DE34" i="49"/>
  <c r="DF34" i="49"/>
  <c r="DD34" i="49"/>
  <c r="DE31" i="49"/>
  <c r="DF31" i="49"/>
  <c r="DD31" i="49"/>
  <c r="AI474" i="49"/>
  <c r="AJ474" i="49"/>
  <c r="AK474" i="49"/>
  <c r="CZ446" i="49"/>
  <c r="AI462" i="49"/>
  <c r="AJ462" i="49"/>
  <c r="AK462" i="49"/>
  <c r="CZ491" i="49"/>
  <c r="CZ29" i="49"/>
  <c r="CZ470" i="49"/>
  <c r="CZ322" i="49"/>
  <c r="CZ218" i="49"/>
  <c r="CZ200" i="49"/>
  <c r="CZ368" i="49"/>
  <c r="CZ89" i="49"/>
  <c r="CZ395" i="49"/>
  <c r="CZ271" i="49"/>
  <c r="CZ400" i="49"/>
  <c r="CZ140" i="49"/>
  <c r="CZ299" i="49"/>
  <c r="CZ135" i="49"/>
  <c r="CZ247" i="49"/>
  <c r="CZ404" i="49"/>
  <c r="DA293" i="49"/>
  <c r="DB293" i="49"/>
  <c r="CZ293" i="49"/>
  <c r="CZ36" i="49"/>
  <c r="CZ186" i="49"/>
  <c r="CZ234" i="49"/>
  <c r="CZ243" i="49"/>
  <c r="CJ488" i="49"/>
  <c r="CJ244" i="49"/>
  <c r="CJ405" i="49"/>
  <c r="DG282" i="49"/>
  <c r="CJ193" i="49"/>
  <c r="CJ264" i="49"/>
  <c r="BM401" i="49"/>
  <c r="DF467" i="49"/>
  <c r="DG389" i="49"/>
  <c r="AL195" i="49"/>
  <c r="CJ370" i="49"/>
  <c r="BM367" i="49"/>
  <c r="DG254" i="49"/>
  <c r="CJ53" i="49"/>
  <c r="DG151" i="49"/>
  <c r="BM181" i="49"/>
  <c r="CJ202" i="49"/>
  <c r="BM403" i="49"/>
  <c r="BK469" i="49"/>
  <c r="BL469" i="49"/>
  <c r="BJ469" i="49"/>
  <c r="BM289" i="49"/>
  <c r="DE466" i="49"/>
  <c r="DF466" i="49"/>
  <c r="DD466" i="49"/>
  <c r="DE469" i="49"/>
  <c r="DF469" i="49"/>
  <c r="DD469" i="49"/>
  <c r="AL71" i="49"/>
  <c r="BM176" i="49"/>
  <c r="CZ241" i="49"/>
  <c r="CZ10" i="49"/>
  <c r="DA10" i="49"/>
  <c r="DB10" i="49"/>
  <c r="CZ279" i="49"/>
  <c r="CZ201" i="49"/>
  <c r="CZ61" i="49"/>
  <c r="CZ153" i="49"/>
  <c r="CZ152" i="49"/>
  <c r="DG370" i="49"/>
  <c r="BM391" i="49"/>
  <c r="AL403" i="49"/>
  <c r="CJ389" i="49"/>
  <c r="CZ346" i="49"/>
  <c r="CZ496" i="49"/>
  <c r="DE32" i="49"/>
  <c r="DF32" i="49"/>
  <c r="DD32" i="49"/>
  <c r="BO328" i="49"/>
  <c r="BP328" i="49"/>
  <c r="BN328" i="49"/>
  <c r="CI472" i="49"/>
  <c r="CH459" i="49"/>
  <c r="CI459" i="49"/>
  <c r="CG459" i="49"/>
  <c r="DF456" i="49"/>
  <c r="DE18" i="49"/>
  <c r="DF18" i="49"/>
  <c r="DD18" i="49"/>
  <c r="CH464" i="49"/>
  <c r="CI464" i="49"/>
  <c r="CG464" i="49"/>
  <c r="CH22" i="49"/>
  <c r="CI22" i="49"/>
  <c r="CG22" i="49"/>
  <c r="DF465" i="49"/>
  <c r="CH34" i="49"/>
  <c r="CI34" i="49"/>
  <c r="CG34" i="49"/>
  <c r="AH330" i="49"/>
  <c r="BE330" i="49"/>
  <c r="CC203" i="49"/>
  <c r="AF203" i="49"/>
  <c r="AG203" i="49"/>
  <c r="AF204" i="49"/>
  <c r="AG204" i="49"/>
  <c r="CC204" i="49"/>
  <c r="BE203" i="49"/>
  <c r="BE204" i="49"/>
  <c r="AF27" i="49"/>
  <c r="AG27" i="49"/>
  <c r="AH27" i="49"/>
  <c r="AF18" i="49"/>
  <c r="AG18" i="49"/>
  <c r="AH18" i="49"/>
  <c r="BF294" i="49"/>
  <c r="BF221" i="49"/>
  <c r="BF228" i="49"/>
  <c r="BF290" i="49"/>
  <c r="BF262" i="49"/>
  <c r="BF297" i="49"/>
  <c r="BF264" i="49"/>
  <c r="BE195" i="49"/>
  <c r="BF222" i="49"/>
  <c r="BE259" i="49"/>
  <c r="BF212" i="49"/>
  <c r="BF223" i="49"/>
  <c r="BF231" i="49"/>
  <c r="BF283" i="49"/>
  <c r="BE246" i="49"/>
  <c r="BE256" i="49"/>
  <c r="BF168" i="49"/>
  <c r="BE216" i="49"/>
  <c r="AF26" i="49"/>
  <c r="AG26" i="49"/>
  <c r="AH26" i="49"/>
  <c r="AF34" i="49"/>
  <c r="AG34" i="49"/>
  <c r="AH34" i="49"/>
  <c r="DC97" i="49"/>
  <c r="DG25" i="49"/>
  <c r="DC117" i="49"/>
  <c r="DC73" i="49"/>
  <c r="BQ46" i="49"/>
  <c r="AP419" i="49"/>
  <c r="CJ465" i="49"/>
  <c r="DC46" i="49"/>
  <c r="AL467" i="49"/>
  <c r="DG452" i="49"/>
  <c r="BM479" i="49"/>
  <c r="BQ327" i="49"/>
  <c r="CJ462" i="49"/>
  <c r="AL472" i="49"/>
  <c r="AL443" i="49"/>
  <c r="DC103" i="49"/>
  <c r="DC64" i="49"/>
  <c r="DG459" i="49"/>
  <c r="DG472" i="49"/>
  <c r="CJ452" i="49"/>
  <c r="DC298" i="49"/>
  <c r="DC443" i="49"/>
  <c r="BQ329" i="49"/>
  <c r="BM462" i="49"/>
  <c r="CJ22" i="49"/>
  <c r="DK328" i="49"/>
  <c r="DG18" i="49"/>
  <c r="CL389" i="49"/>
  <c r="CM389" i="49"/>
  <c r="CK389" i="49"/>
  <c r="AN403" i="49"/>
  <c r="AO403" i="49"/>
  <c r="AM403" i="49"/>
  <c r="DC489" i="49"/>
  <c r="DG469" i="49"/>
  <c r="BM469" i="49"/>
  <c r="DI151" i="49"/>
  <c r="DH151" i="49"/>
  <c r="DI254" i="49"/>
  <c r="DH254" i="49"/>
  <c r="CL370" i="49"/>
  <c r="CM370" i="49"/>
  <c r="CK370" i="49"/>
  <c r="DI389" i="49"/>
  <c r="DH389" i="49"/>
  <c r="CL405" i="49"/>
  <c r="CM405" i="49"/>
  <c r="CK405" i="49"/>
  <c r="CL488" i="49"/>
  <c r="CK488" i="49"/>
  <c r="AL462" i="49"/>
  <c r="AL474" i="49"/>
  <c r="DG34" i="49"/>
  <c r="AN177" i="49"/>
  <c r="AO177" i="49"/>
  <c r="AM177" i="49"/>
  <c r="DI398" i="49"/>
  <c r="DJ398" i="49"/>
  <c r="DH398" i="49"/>
  <c r="CL353" i="49"/>
  <c r="CM353" i="49"/>
  <c r="CK353" i="49"/>
  <c r="DI276" i="49"/>
  <c r="DJ276" i="49"/>
  <c r="DH276" i="49"/>
  <c r="CC385" i="49"/>
  <c r="CC122" i="49"/>
  <c r="CC136" i="49"/>
  <c r="CC132" i="49"/>
  <c r="CC104" i="49"/>
  <c r="CC409" i="49"/>
  <c r="CC437" i="49"/>
  <c r="CC98" i="49"/>
  <c r="CD98" i="49"/>
  <c r="CE98" i="49"/>
  <c r="BE32" i="49"/>
  <c r="BE36" i="49"/>
  <c r="BE31" i="49"/>
  <c r="BE444" i="49"/>
  <c r="BE443" i="49"/>
  <c r="BE39" i="49"/>
  <c r="BE446" i="49"/>
  <c r="BE464" i="49"/>
  <c r="BE174" i="49"/>
  <c r="BE438" i="49"/>
  <c r="BE335" i="49"/>
  <c r="BE111" i="49"/>
  <c r="BE229" i="49"/>
  <c r="BE208" i="49"/>
  <c r="BE87" i="49"/>
  <c r="BE179" i="49"/>
  <c r="BE101" i="49"/>
  <c r="BE113" i="49"/>
  <c r="BE456" i="49"/>
  <c r="BE448" i="49"/>
  <c r="BE200" i="49"/>
  <c r="BE68" i="49"/>
  <c r="BE142" i="49"/>
  <c r="BE149" i="49"/>
  <c r="BE126" i="49"/>
  <c r="BE419" i="49"/>
  <c r="BE281" i="49"/>
  <c r="BE268" i="49"/>
  <c r="BE348" i="49"/>
  <c r="BE333" i="49"/>
  <c r="BE158" i="49"/>
  <c r="BE16" i="49"/>
  <c r="BE402" i="49"/>
  <c r="BE233" i="49"/>
  <c r="BE209" i="49"/>
  <c r="BE442" i="49"/>
  <c r="BE445" i="49"/>
  <c r="BE192" i="49"/>
  <c r="BE55" i="49"/>
  <c r="BE373" i="49"/>
  <c r="BE235" i="49"/>
  <c r="BE404" i="49"/>
  <c r="BE296" i="49"/>
  <c r="BE218" i="49"/>
  <c r="BE67" i="49"/>
  <c r="BE57" i="49"/>
  <c r="BE187" i="49"/>
  <c r="BE341" i="49"/>
  <c r="BE48" i="49"/>
  <c r="BE170" i="49"/>
  <c r="BE352" i="49"/>
  <c r="BE275" i="49"/>
  <c r="BE340" i="49"/>
  <c r="BE63" i="49"/>
  <c r="BE211" i="49"/>
  <c r="BE220" i="49"/>
  <c r="BE8" i="49"/>
  <c r="BE436" i="49"/>
  <c r="BE124" i="49"/>
  <c r="BE349" i="49"/>
  <c r="BE14" i="49"/>
  <c r="BE128" i="49"/>
  <c r="BE125" i="49"/>
  <c r="BE343" i="49"/>
  <c r="BE484" i="49"/>
  <c r="BE41" i="49"/>
  <c r="BE431" i="49"/>
  <c r="BE139" i="49"/>
  <c r="BE384" i="49"/>
  <c r="BE156" i="49"/>
  <c r="BE205" i="49"/>
  <c r="BE437" i="49"/>
  <c r="BE214" i="49"/>
  <c r="BE89" i="49"/>
  <c r="BE54" i="49"/>
  <c r="BE326" i="49"/>
  <c r="BE314" i="49"/>
  <c r="BE322" i="49"/>
  <c r="BE439" i="49"/>
  <c r="BE450" i="49"/>
  <c r="BE455" i="49"/>
  <c r="BE493" i="49"/>
  <c r="BE131" i="49"/>
  <c r="BE129" i="49"/>
  <c r="BE85" i="49"/>
  <c r="BE470" i="49"/>
  <c r="BE94" i="49"/>
  <c r="BE358" i="49"/>
  <c r="BE489" i="49"/>
  <c r="BE29" i="49"/>
  <c r="BE471" i="49"/>
  <c r="BC500" i="49"/>
  <c r="BC2" i="49"/>
  <c r="BD5" i="49"/>
  <c r="BE165" i="49"/>
  <c r="BE302" i="49"/>
  <c r="BE189" i="49"/>
  <c r="BE267" i="49"/>
  <c r="BE428" i="49"/>
  <c r="BE188" i="49"/>
  <c r="CL417" i="49"/>
  <c r="CM417" i="49"/>
  <c r="CK417" i="49"/>
  <c r="BO371" i="49"/>
  <c r="BP371" i="49"/>
  <c r="BN371" i="49"/>
  <c r="CL213" i="49"/>
  <c r="CM213" i="49"/>
  <c r="CK213" i="49"/>
  <c r="BO369" i="49"/>
  <c r="BP369" i="49"/>
  <c r="BN369" i="49"/>
  <c r="DI304" i="49"/>
  <c r="DJ304" i="49"/>
  <c r="DH304" i="49"/>
  <c r="AN231" i="49"/>
  <c r="AO231" i="49"/>
  <c r="AM231" i="49"/>
  <c r="AN193" i="49"/>
  <c r="AO193" i="49"/>
  <c r="AM193" i="49"/>
  <c r="CL137" i="49"/>
  <c r="CM137" i="49"/>
  <c r="CK137" i="49"/>
  <c r="AN284" i="49"/>
  <c r="AO284" i="49"/>
  <c r="AM284" i="49"/>
  <c r="AN328" i="49"/>
  <c r="AO328" i="49"/>
  <c r="AM328" i="49"/>
  <c r="AN251" i="49"/>
  <c r="AO251" i="49"/>
  <c r="AM251" i="49"/>
  <c r="AN332" i="49"/>
  <c r="AO332" i="49"/>
  <c r="AM332" i="49"/>
  <c r="CL175" i="49"/>
  <c r="CM175" i="49"/>
  <c r="CK175" i="49"/>
  <c r="CL302" i="49"/>
  <c r="CM302" i="49"/>
  <c r="CK302" i="49"/>
  <c r="DI269" i="49"/>
  <c r="DJ269" i="49"/>
  <c r="DH269" i="49"/>
  <c r="CL476" i="49"/>
  <c r="CM476" i="49"/>
  <c r="CK476" i="49"/>
  <c r="DI137" i="49"/>
  <c r="DJ137" i="49"/>
  <c r="DH137" i="49"/>
  <c r="DI181" i="49"/>
  <c r="DJ181" i="49"/>
  <c r="DH181" i="49"/>
  <c r="CL62" i="49"/>
  <c r="CM62" i="49"/>
  <c r="CK62" i="49"/>
  <c r="CC108" i="49"/>
  <c r="AN216" i="49"/>
  <c r="AM216" i="49"/>
  <c r="AN213" i="49"/>
  <c r="AO213" i="49"/>
  <c r="AM213" i="49"/>
  <c r="AN374" i="49"/>
  <c r="AM374" i="49"/>
  <c r="DI270" i="49"/>
  <c r="DJ270" i="49"/>
  <c r="DH270" i="49"/>
  <c r="CL236" i="49"/>
  <c r="CK236" i="49"/>
  <c r="CL182" i="49"/>
  <c r="CM182" i="49"/>
  <c r="CK182" i="49"/>
  <c r="CL238" i="49"/>
  <c r="CK238" i="49"/>
  <c r="AN411" i="49"/>
  <c r="AO411" i="49"/>
  <c r="AM411" i="49"/>
  <c r="AN176" i="49"/>
  <c r="AM176" i="49"/>
  <c r="BO237" i="49"/>
  <c r="BP237" i="49"/>
  <c r="BN237" i="49"/>
  <c r="AN182" i="49"/>
  <c r="AM182" i="49"/>
  <c r="AN212" i="49"/>
  <c r="AO212" i="49"/>
  <c r="AM212" i="49"/>
  <c r="AN298" i="49"/>
  <c r="AM298" i="49"/>
  <c r="AL466" i="49"/>
  <c r="CL221" i="49"/>
  <c r="CM221" i="49"/>
  <c r="CK221" i="49"/>
  <c r="AI36" i="49"/>
  <c r="AJ36" i="49"/>
  <c r="AK36" i="49"/>
  <c r="DC11" i="49"/>
  <c r="BQ332" i="49"/>
  <c r="AN258" i="49"/>
  <c r="AO258" i="49"/>
  <c r="AM258" i="49"/>
  <c r="AN236" i="49"/>
  <c r="AO236" i="49"/>
  <c r="AM236" i="49"/>
  <c r="AN242" i="49"/>
  <c r="AO242" i="49"/>
  <c r="AM242" i="49"/>
  <c r="AN394" i="49"/>
  <c r="AO394" i="49"/>
  <c r="AM394" i="49"/>
  <c r="DI426" i="49"/>
  <c r="DJ426" i="49"/>
  <c r="DH426" i="49"/>
  <c r="CL359" i="49"/>
  <c r="CM359" i="49"/>
  <c r="CK359" i="49"/>
  <c r="CC116" i="49"/>
  <c r="CD116" i="49"/>
  <c r="CE116" i="49"/>
  <c r="CC48" i="49"/>
  <c r="CC120" i="49"/>
  <c r="CC280" i="49"/>
  <c r="CC433" i="49"/>
  <c r="CD433" i="49"/>
  <c r="CE433" i="49"/>
  <c r="CC114" i="49"/>
  <c r="CC441" i="49"/>
  <c r="BE18" i="49"/>
  <c r="DI375" i="49"/>
  <c r="DH375" i="49"/>
  <c r="AN424" i="49"/>
  <c r="AO424" i="49"/>
  <c r="AM424" i="49"/>
  <c r="DC98" i="49"/>
  <c r="AN480" i="49"/>
  <c r="AO480" i="49"/>
  <c r="AM480" i="49"/>
  <c r="AN429" i="49"/>
  <c r="AO429" i="49"/>
  <c r="AM429" i="49"/>
  <c r="BO182" i="49"/>
  <c r="BP182" i="49"/>
  <c r="BN182" i="49"/>
  <c r="BO415" i="49"/>
  <c r="BP415" i="49"/>
  <c r="BN415" i="49"/>
  <c r="AN300" i="49"/>
  <c r="AO300" i="49"/>
  <c r="AM300" i="49"/>
  <c r="BO370" i="49"/>
  <c r="BP370" i="49"/>
  <c r="BN370" i="49"/>
  <c r="DI168" i="49"/>
  <c r="DH168" i="49"/>
  <c r="BO399" i="49"/>
  <c r="BP399" i="49"/>
  <c r="BN399" i="49"/>
  <c r="DI226" i="49"/>
  <c r="DH226" i="49"/>
  <c r="CL418" i="49"/>
  <c r="CM418" i="49"/>
  <c r="CK418" i="49"/>
  <c r="DI424" i="49"/>
  <c r="DJ424" i="49"/>
  <c r="DH424" i="49"/>
  <c r="DI213" i="49"/>
  <c r="DJ213" i="49"/>
  <c r="DH213" i="49"/>
  <c r="DI378" i="49"/>
  <c r="DJ378" i="49"/>
  <c r="DH378" i="49"/>
  <c r="CL232" i="49"/>
  <c r="CM232" i="49"/>
  <c r="CK232" i="49"/>
  <c r="DI206" i="49"/>
  <c r="DJ206" i="49"/>
  <c r="DH206" i="49"/>
  <c r="DI482" i="49"/>
  <c r="DJ482" i="49"/>
  <c r="DH482" i="49"/>
  <c r="CL272" i="49"/>
  <c r="CM272" i="49"/>
  <c r="CK272" i="49"/>
  <c r="CL344" i="49"/>
  <c r="CM344" i="49"/>
  <c r="CK344" i="49"/>
  <c r="DI294" i="49"/>
  <c r="DJ294" i="49"/>
  <c r="DH294" i="49"/>
  <c r="CC100" i="49"/>
  <c r="CC106" i="49"/>
  <c r="CC130" i="49"/>
  <c r="CC307" i="49"/>
  <c r="CC50" i="49"/>
  <c r="CL254" i="49"/>
  <c r="CM254" i="49"/>
  <c r="CK254" i="49"/>
  <c r="CL255" i="49"/>
  <c r="CM255" i="49"/>
  <c r="CK255" i="49"/>
  <c r="CL239" i="49"/>
  <c r="CM239" i="49"/>
  <c r="CK239" i="49"/>
  <c r="AN426" i="49"/>
  <c r="AO426" i="49"/>
  <c r="AM426" i="49"/>
  <c r="CL71" i="49"/>
  <c r="CM71" i="49"/>
  <c r="CK71" i="49"/>
  <c r="AN276" i="49"/>
  <c r="AO276" i="49"/>
  <c r="AM276" i="49"/>
  <c r="AN222" i="49"/>
  <c r="AO222" i="49"/>
  <c r="AM222" i="49"/>
  <c r="CL422" i="49"/>
  <c r="CM422" i="49"/>
  <c r="CK422" i="49"/>
  <c r="DI258" i="49"/>
  <c r="DJ258" i="49"/>
  <c r="DH258" i="49"/>
  <c r="DI246" i="49"/>
  <c r="DJ246" i="49"/>
  <c r="DH246" i="49"/>
  <c r="DI421" i="49"/>
  <c r="DJ421" i="49"/>
  <c r="DH421" i="49"/>
  <c r="DI394" i="49"/>
  <c r="DJ394" i="49"/>
  <c r="DH394" i="49"/>
  <c r="AN397" i="49"/>
  <c r="AO397" i="49"/>
  <c r="AM397" i="49"/>
  <c r="AN399" i="49"/>
  <c r="AO399" i="49"/>
  <c r="AM399" i="49"/>
  <c r="BO284" i="49"/>
  <c r="BP284" i="49"/>
  <c r="BN284" i="49"/>
  <c r="DI242" i="49"/>
  <c r="DJ242" i="49"/>
  <c r="DH242" i="49"/>
  <c r="DI53" i="49"/>
  <c r="DJ53" i="49"/>
  <c r="DH53" i="49"/>
  <c r="CL369" i="49"/>
  <c r="CM369" i="49"/>
  <c r="CK369" i="49"/>
  <c r="DI239" i="49"/>
  <c r="DJ239" i="49"/>
  <c r="DH239" i="49"/>
  <c r="AN229" i="49"/>
  <c r="AO229" i="49"/>
  <c r="AM229" i="49"/>
  <c r="BO394" i="49"/>
  <c r="BP394" i="49"/>
  <c r="BN394" i="49"/>
  <c r="DI402" i="49"/>
  <c r="DJ402" i="49"/>
  <c r="DH402" i="49"/>
  <c r="BO62" i="49"/>
  <c r="BP62" i="49"/>
  <c r="BN62" i="49"/>
  <c r="AN362" i="49"/>
  <c r="AO362" i="49"/>
  <c r="AM362" i="49"/>
  <c r="AN239" i="49"/>
  <c r="AO239" i="49"/>
  <c r="AM239" i="49"/>
  <c r="BO480" i="49"/>
  <c r="BP480" i="49"/>
  <c r="BN480" i="49"/>
  <c r="CL291" i="49"/>
  <c r="CM291" i="49"/>
  <c r="CK291" i="49"/>
  <c r="DI399" i="49"/>
  <c r="DJ399" i="49"/>
  <c r="DH399" i="49"/>
  <c r="AN264" i="49"/>
  <c r="AO264" i="49"/>
  <c r="AM264" i="49"/>
  <c r="BO288" i="49"/>
  <c r="BP288" i="49"/>
  <c r="BN288" i="49"/>
  <c r="CL287" i="49"/>
  <c r="CM287" i="49"/>
  <c r="CK287" i="49"/>
  <c r="DI401" i="49"/>
  <c r="DJ401" i="49"/>
  <c r="DH401" i="49"/>
  <c r="BO421" i="49"/>
  <c r="BP421" i="49"/>
  <c r="BN421" i="49"/>
  <c r="AN347" i="49"/>
  <c r="AO347" i="49"/>
  <c r="AM347" i="49"/>
  <c r="CL421" i="49"/>
  <c r="CM421" i="49"/>
  <c r="CK421" i="49"/>
  <c r="AN260" i="49"/>
  <c r="AO260" i="49"/>
  <c r="AM260" i="49"/>
  <c r="AN175" i="49"/>
  <c r="AO175" i="49"/>
  <c r="AM175" i="49"/>
  <c r="BO238" i="49"/>
  <c r="BP238" i="49"/>
  <c r="BN238" i="49"/>
  <c r="CL432" i="49"/>
  <c r="CM432" i="49"/>
  <c r="CK432" i="49"/>
  <c r="CL411" i="49"/>
  <c r="CM411" i="49"/>
  <c r="CK411" i="49"/>
  <c r="DI288" i="49"/>
  <c r="DJ288" i="49"/>
  <c r="DH288" i="49"/>
  <c r="BO418" i="49"/>
  <c r="BP418" i="49"/>
  <c r="BN418" i="49"/>
  <c r="CL399" i="49"/>
  <c r="CM399" i="49"/>
  <c r="CK399" i="49"/>
  <c r="DG465" i="49"/>
  <c r="CJ479" i="49"/>
  <c r="DG35" i="49"/>
  <c r="CJ459" i="49"/>
  <c r="DG32" i="49"/>
  <c r="BO391" i="49"/>
  <c r="BP391" i="49"/>
  <c r="BN391" i="49"/>
  <c r="DI370" i="49"/>
  <c r="DJ370" i="49"/>
  <c r="DH370" i="49"/>
  <c r="DC10" i="49"/>
  <c r="AN71" i="49"/>
  <c r="AO71" i="49"/>
  <c r="AM71" i="49"/>
  <c r="BO289" i="49"/>
  <c r="BP289" i="49"/>
  <c r="BN289" i="49"/>
  <c r="BO403" i="49"/>
  <c r="BP403" i="49"/>
  <c r="BN403" i="49"/>
  <c r="DJ151" i="49"/>
  <c r="DJ254" i="49"/>
  <c r="DJ389" i="49"/>
  <c r="DG479" i="49"/>
  <c r="CL193" i="49"/>
  <c r="CM193" i="49"/>
  <c r="CK193" i="49"/>
  <c r="CM488" i="49"/>
  <c r="DC68" i="49"/>
  <c r="DC293" i="49"/>
  <c r="DC9" i="49"/>
  <c r="DG31" i="49"/>
  <c r="DI483" i="49"/>
  <c r="DJ483" i="49"/>
  <c r="DH483" i="49"/>
  <c r="DC434" i="49"/>
  <c r="DI480" i="49"/>
  <c r="DJ480" i="49"/>
  <c r="DH480" i="49"/>
  <c r="AN188" i="49"/>
  <c r="AO188" i="49"/>
  <c r="AM188" i="49"/>
  <c r="AN228" i="49"/>
  <c r="AO228" i="49"/>
  <c r="AM228" i="49"/>
  <c r="AN402" i="49"/>
  <c r="AO402" i="49"/>
  <c r="AM402" i="49"/>
  <c r="AN291" i="49"/>
  <c r="AO291" i="49"/>
  <c r="AM291" i="49"/>
  <c r="AL463" i="49"/>
  <c r="CC93" i="49"/>
  <c r="CC493" i="49"/>
  <c r="CC70" i="49"/>
  <c r="CC56" i="49"/>
  <c r="CC404" i="49"/>
  <c r="CC78" i="49"/>
  <c r="CC393" i="49"/>
  <c r="CC143" i="49"/>
  <c r="CC383" i="49"/>
  <c r="CC198" i="49"/>
  <c r="CC342" i="49"/>
  <c r="CC242" i="49"/>
  <c r="CC123" i="49"/>
  <c r="CC281" i="49"/>
  <c r="CC154" i="49"/>
  <c r="CC335" i="49"/>
  <c r="CC298" i="49"/>
  <c r="CC170" i="49"/>
  <c r="CC414" i="49"/>
  <c r="CC339" i="49"/>
  <c r="CC265" i="49"/>
  <c r="CC427" i="49"/>
  <c r="CC215" i="49"/>
  <c r="CC467" i="49"/>
  <c r="CC150" i="49"/>
  <c r="CC196" i="49"/>
  <c r="CC484" i="49"/>
  <c r="CC249" i="49"/>
  <c r="CC144" i="49"/>
  <c r="CC67" i="49"/>
  <c r="CD67" i="49"/>
  <c r="CE67" i="49"/>
  <c r="CC267" i="49"/>
  <c r="CC117" i="49"/>
  <c r="CC180" i="49"/>
  <c r="CC97" i="49"/>
  <c r="CD97" i="49"/>
  <c r="CE97" i="49"/>
  <c r="CC460" i="49"/>
  <c r="CC318" i="49"/>
  <c r="CC68" i="49"/>
  <c r="CD68" i="49"/>
  <c r="CE68" i="49"/>
  <c r="CC334" i="49"/>
  <c r="BE37" i="49"/>
  <c r="BE51" i="49"/>
  <c r="BE496" i="49"/>
  <c r="BE33" i="49"/>
  <c r="BE451" i="49"/>
  <c r="BE24" i="49"/>
  <c r="BE27" i="49"/>
  <c r="BE458" i="49"/>
  <c r="BE282" i="49"/>
  <c r="BE453" i="49"/>
  <c r="BE481" i="49"/>
  <c r="BE144" i="49"/>
  <c r="BE430" i="49"/>
  <c r="BE301" i="49"/>
  <c r="BE154" i="49"/>
  <c r="BE277" i="49"/>
  <c r="BE196" i="49"/>
  <c r="BE146" i="49"/>
  <c r="BE467" i="49"/>
  <c r="BE435" i="49"/>
  <c r="BE243" i="49"/>
  <c r="BE207" i="49"/>
  <c r="BE393" i="49"/>
  <c r="BE383" i="49"/>
  <c r="BE186" i="49"/>
  <c r="BE103" i="49"/>
  <c r="BE97" i="49"/>
  <c r="BE334" i="49"/>
  <c r="BE359" i="49"/>
  <c r="BE412" i="49"/>
  <c r="BE250" i="49"/>
  <c r="BE295" i="49"/>
  <c r="BE155" i="49"/>
  <c r="BE84" i="49"/>
  <c r="BE468" i="49"/>
  <c r="BE245" i="49"/>
  <c r="BE413" i="49"/>
  <c r="BE153" i="49"/>
  <c r="BE77" i="49"/>
  <c r="BE92" i="49"/>
  <c r="BE425" i="49"/>
  <c r="BE145" i="49"/>
  <c r="BE477" i="49"/>
  <c r="BE434" i="49"/>
  <c r="BE143" i="49"/>
  <c r="BE219" i="49"/>
  <c r="BE224" i="49"/>
  <c r="BE15" i="49"/>
  <c r="BE324" i="49"/>
  <c r="BE278" i="49"/>
  <c r="BE346" i="49"/>
  <c r="BE276" i="49"/>
  <c r="BE379" i="49"/>
  <c r="BE433" i="49"/>
  <c r="BE140" i="49"/>
  <c r="BE122" i="49"/>
  <c r="BE487" i="49"/>
  <c r="BE159" i="49"/>
  <c r="BE127" i="49"/>
  <c r="BE414" i="49"/>
  <c r="BE325" i="49"/>
  <c r="BE114" i="49"/>
  <c r="BE112" i="49"/>
  <c r="BE183" i="49"/>
  <c r="BE61" i="49"/>
  <c r="BE331" i="49"/>
  <c r="BE303" i="49"/>
  <c r="BE304" i="49"/>
  <c r="BE353" i="49"/>
  <c r="BE185" i="49"/>
  <c r="BE104" i="49"/>
  <c r="BE215" i="49"/>
  <c r="BE258" i="49"/>
  <c r="BE86" i="49"/>
  <c r="BE478" i="49"/>
  <c r="BE315" i="49"/>
  <c r="BE43" i="49"/>
  <c r="BE13" i="49"/>
  <c r="BE34" i="49"/>
  <c r="BE317" i="49"/>
  <c r="BE65" i="49"/>
  <c r="BE454" i="49"/>
  <c r="BE494" i="49"/>
  <c r="BE362" i="49"/>
  <c r="BE354" i="49"/>
  <c r="BE361" i="49"/>
  <c r="BE357" i="49"/>
  <c r="BE81" i="49"/>
  <c r="BE88" i="49"/>
  <c r="BE363" i="49"/>
  <c r="BE492" i="49"/>
  <c r="BE74" i="49"/>
  <c r="BE180" i="49"/>
  <c r="BE271" i="49"/>
  <c r="BE257" i="49"/>
  <c r="BE52" i="49"/>
  <c r="BE253" i="49"/>
  <c r="BE426" i="49"/>
  <c r="AL440" i="49"/>
  <c r="CJ463" i="49"/>
  <c r="AN381" i="49"/>
  <c r="AO381" i="49"/>
  <c r="AM381" i="49"/>
  <c r="DC433" i="49"/>
  <c r="CL258" i="49"/>
  <c r="CM258" i="49"/>
  <c r="CK258" i="49"/>
  <c r="AN407" i="49"/>
  <c r="AO407" i="49"/>
  <c r="AM407" i="49"/>
  <c r="CJ456" i="49"/>
  <c r="AN63" i="49"/>
  <c r="AO63" i="49"/>
  <c r="AM63" i="49"/>
  <c r="AN137" i="49"/>
  <c r="AO137" i="49"/>
  <c r="AM137" i="49"/>
  <c r="AN286" i="49"/>
  <c r="AO286" i="49"/>
  <c r="AM286" i="49"/>
  <c r="DK332" i="49"/>
  <c r="DI369" i="49"/>
  <c r="DJ369" i="49"/>
  <c r="DH369" i="49"/>
  <c r="DI353" i="49"/>
  <c r="DJ353" i="49"/>
  <c r="DH353" i="49"/>
  <c r="AN391" i="49"/>
  <c r="AO391" i="49"/>
  <c r="AM391" i="49"/>
  <c r="DI259" i="49"/>
  <c r="DJ259" i="49"/>
  <c r="DH259" i="49"/>
  <c r="CL387" i="49"/>
  <c r="CM387" i="49"/>
  <c r="CK387" i="49"/>
  <c r="DI309" i="49"/>
  <c r="DJ309" i="49"/>
  <c r="DH309" i="49"/>
  <c r="DI477" i="49"/>
  <c r="DJ477" i="49"/>
  <c r="DH477" i="49"/>
  <c r="DI407" i="49"/>
  <c r="DJ407" i="49"/>
  <c r="DH407" i="49"/>
  <c r="DI359" i="49"/>
  <c r="DJ359" i="49"/>
  <c r="DH359" i="49"/>
  <c r="CL251" i="49"/>
  <c r="CM251" i="49"/>
  <c r="CK251" i="49"/>
  <c r="AN211" i="49"/>
  <c r="AO211" i="49"/>
  <c r="AM211" i="49"/>
  <c r="BO273" i="49"/>
  <c r="BP273" i="49"/>
  <c r="BN273" i="49"/>
  <c r="CL223" i="49"/>
  <c r="CM223" i="49"/>
  <c r="CK223" i="49"/>
  <c r="AN392" i="49"/>
  <c r="AO392" i="49"/>
  <c r="AM392" i="49"/>
  <c r="CC75" i="49"/>
  <c r="CC73" i="49"/>
  <c r="CD73" i="49"/>
  <c r="CE73" i="49"/>
  <c r="CC470" i="49"/>
  <c r="CC491" i="49"/>
  <c r="CC211" i="49"/>
  <c r="CC428" i="49"/>
  <c r="CC82" i="49"/>
  <c r="CC81" i="49"/>
  <c r="CC133" i="49"/>
  <c r="CC485" i="49"/>
  <c r="CC250" i="49"/>
  <c r="CC235" i="49"/>
  <c r="CC336" i="49"/>
  <c r="CC209" i="49"/>
  <c r="CC190" i="49"/>
  <c r="CC105" i="49"/>
  <c r="CC326" i="49"/>
  <c r="CC200" i="49"/>
  <c r="CC341" i="49"/>
  <c r="CC158" i="49"/>
  <c r="CC412" i="49"/>
  <c r="CC85" i="49"/>
  <c r="CC282" i="49"/>
  <c r="CC9" i="49"/>
  <c r="CC234" i="49"/>
  <c r="CC13" i="49"/>
  <c r="CC60" i="49"/>
  <c r="CC451" i="49"/>
  <c r="CC373" i="49"/>
  <c r="CC346" i="49"/>
  <c r="CC131" i="49"/>
  <c r="CC308" i="49"/>
  <c r="CC301" i="49"/>
  <c r="CC218" i="49"/>
  <c r="CC227" i="49"/>
  <c r="CC39" i="49"/>
  <c r="CC487" i="49"/>
  <c r="CC367" i="49"/>
  <c r="CC268" i="49"/>
  <c r="CC76" i="49"/>
  <c r="CC351" i="49"/>
  <c r="CC23" i="49"/>
  <c r="CD23" i="49"/>
  <c r="CE23" i="49"/>
  <c r="CC446" i="49"/>
  <c r="CC435" i="49"/>
  <c r="CC20" i="49"/>
  <c r="DI182" i="49"/>
  <c r="DJ182" i="49"/>
  <c r="DH182" i="49"/>
  <c r="AN418" i="49"/>
  <c r="AO418" i="49"/>
  <c r="AM418" i="49"/>
  <c r="CL222" i="49"/>
  <c r="CM222" i="49"/>
  <c r="CK222" i="49"/>
  <c r="AF498" i="49"/>
  <c r="AG498" i="49"/>
  <c r="AF75" i="49"/>
  <c r="AG75" i="49"/>
  <c r="AF385" i="49"/>
  <c r="AG385" i="49"/>
  <c r="AF470" i="49"/>
  <c r="AG470" i="49"/>
  <c r="AF197" i="49"/>
  <c r="AG197" i="49"/>
  <c r="AF69" i="49"/>
  <c r="AG69" i="49"/>
  <c r="AF471" i="49"/>
  <c r="AG471" i="49"/>
  <c r="AF492" i="49"/>
  <c r="AG492" i="49"/>
  <c r="AF454" i="49"/>
  <c r="AG454" i="49"/>
  <c r="AF29" i="49"/>
  <c r="AG29" i="49"/>
  <c r="AF360" i="49"/>
  <c r="AG360" i="49"/>
  <c r="AF70" i="49"/>
  <c r="AG70" i="49"/>
  <c r="AF361" i="49"/>
  <c r="AG361" i="49"/>
  <c r="AF93" i="49"/>
  <c r="AG93" i="49"/>
  <c r="AF363" i="49"/>
  <c r="AG363" i="49"/>
  <c r="AF455" i="49"/>
  <c r="AG455" i="49"/>
  <c r="AF449" i="49"/>
  <c r="AG449" i="49"/>
  <c r="AF321" i="49"/>
  <c r="AG321" i="49"/>
  <c r="AF319" i="49"/>
  <c r="AG319" i="49"/>
  <c r="AF96" i="49"/>
  <c r="AG96" i="49"/>
  <c r="AF47" i="49"/>
  <c r="AG47" i="49"/>
  <c r="AF28" i="49"/>
  <c r="AG28" i="49"/>
  <c r="AF320" i="49"/>
  <c r="AG320" i="49"/>
  <c r="AF73" i="49"/>
  <c r="AG73" i="49"/>
  <c r="AF491" i="49"/>
  <c r="AG491" i="49"/>
  <c r="AF74" i="49"/>
  <c r="AG74" i="49"/>
  <c r="AF490" i="49"/>
  <c r="AG490" i="49"/>
  <c r="AF72" i="49"/>
  <c r="AG72" i="49"/>
  <c r="AF493" i="49"/>
  <c r="AG493" i="49"/>
  <c r="AF494" i="49"/>
  <c r="AG494" i="49"/>
  <c r="AF489" i="49"/>
  <c r="AG489" i="49"/>
  <c r="AF9" i="49"/>
  <c r="AG9" i="49"/>
  <c r="AF7" i="49"/>
  <c r="AG7" i="49"/>
  <c r="AF16" i="49"/>
  <c r="AG16" i="49"/>
  <c r="AF334" i="49"/>
  <c r="AG334" i="49"/>
  <c r="AF8" i="49"/>
  <c r="AG8" i="49"/>
  <c r="AF11" i="49"/>
  <c r="AG11" i="49"/>
  <c r="AF14" i="49"/>
  <c r="AG14" i="49"/>
  <c r="AF15" i="49"/>
  <c r="AG15" i="49"/>
  <c r="AF10" i="49"/>
  <c r="AG10" i="49"/>
  <c r="AF150" i="49"/>
  <c r="AG150" i="49"/>
  <c r="AF318" i="49"/>
  <c r="AG318" i="49"/>
  <c r="AF388" i="49"/>
  <c r="AG388" i="49"/>
  <c r="AF412" i="49"/>
  <c r="AG412" i="49"/>
  <c r="AF261" i="49"/>
  <c r="AG261" i="49"/>
  <c r="AF303" i="49"/>
  <c r="AG303" i="49"/>
  <c r="AF67" i="49"/>
  <c r="AG67" i="49"/>
  <c r="AF128" i="49"/>
  <c r="AG128" i="49"/>
  <c r="AF170" i="49"/>
  <c r="AG170" i="49"/>
  <c r="AF165" i="49"/>
  <c r="AG165" i="49"/>
  <c r="AF194" i="49"/>
  <c r="AG194" i="49"/>
  <c r="AF156" i="49"/>
  <c r="AG156" i="49"/>
  <c r="AF348" i="49"/>
  <c r="AG348" i="49"/>
  <c r="AF118" i="49"/>
  <c r="AG118" i="49"/>
  <c r="AF190" i="49"/>
  <c r="AG190" i="49"/>
  <c r="AF323" i="49"/>
  <c r="AG323" i="49"/>
  <c r="AF121" i="49"/>
  <c r="AG121" i="49"/>
  <c r="AF277" i="49"/>
  <c r="AG277" i="49"/>
  <c r="AF114" i="49"/>
  <c r="AG114" i="49"/>
  <c r="AF101" i="49"/>
  <c r="AG101" i="49"/>
  <c r="AF357" i="49"/>
  <c r="AG357" i="49"/>
  <c r="AF122" i="49"/>
  <c r="AG122" i="49"/>
  <c r="AF351" i="49"/>
  <c r="AG351" i="49"/>
  <c r="AF66" i="49"/>
  <c r="AG66" i="49"/>
  <c r="AF91" i="49"/>
  <c r="AG91" i="49"/>
  <c r="AF386" i="49"/>
  <c r="AG386" i="49"/>
  <c r="AF311" i="49"/>
  <c r="AG311" i="49"/>
  <c r="AF83" i="49"/>
  <c r="AG83" i="49"/>
  <c r="AF427" i="49"/>
  <c r="AG427" i="49"/>
  <c r="AF87" i="49"/>
  <c r="AG87" i="49"/>
  <c r="AF404" i="49"/>
  <c r="AG404" i="49"/>
  <c r="AF395" i="49"/>
  <c r="AG395" i="49"/>
  <c r="AF120" i="49"/>
  <c r="AG120" i="49"/>
  <c r="AF331" i="49"/>
  <c r="AG331" i="49"/>
  <c r="AF107" i="49"/>
  <c r="AG107" i="49"/>
  <c r="AF52" i="49"/>
  <c r="AG52" i="49"/>
  <c r="AF379" i="49"/>
  <c r="AG379" i="49"/>
  <c r="AF340" i="49"/>
  <c r="AG340" i="49"/>
  <c r="AF382" i="49"/>
  <c r="AG382" i="49"/>
  <c r="AF148" i="49"/>
  <c r="AG148" i="49"/>
  <c r="AF112" i="49"/>
  <c r="AG112" i="49"/>
  <c r="AF169" i="49"/>
  <c r="AG169" i="49"/>
  <c r="AF200" i="49"/>
  <c r="AG200" i="49"/>
  <c r="AF430" i="49"/>
  <c r="AG430" i="49"/>
  <c r="AF414" i="49"/>
  <c r="AG414" i="49"/>
  <c r="AF301" i="49"/>
  <c r="AG301" i="49"/>
  <c r="AF6" i="49"/>
  <c r="AF271" i="49"/>
  <c r="AG271" i="49"/>
  <c r="AF144" i="49"/>
  <c r="AG144" i="49"/>
  <c r="AF436" i="49"/>
  <c r="AG436" i="49"/>
  <c r="AF59" i="49"/>
  <c r="AG59" i="49"/>
  <c r="AF377" i="49"/>
  <c r="AG377" i="49"/>
  <c r="AF423" i="49"/>
  <c r="AG423" i="49"/>
  <c r="AF13" i="49"/>
  <c r="AG13" i="49"/>
  <c r="AF215" i="49"/>
  <c r="AG215" i="49"/>
  <c r="AF240" i="49"/>
  <c r="AG240" i="49"/>
  <c r="AF166" i="49"/>
  <c r="AG166" i="49"/>
  <c r="AF61" i="49"/>
  <c r="AG61" i="49"/>
  <c r="AF54" i="49"/>
  <c r="AG54" i="49"/>
  <c r="AF314" i="49"/>
  <c r="AG314" i="49"/>
  <c r="AF299" i="49"/>
  <c r="AG299" i="49"/>
  <c r="AF435" i="49"/>
  <c r="AG435" i="49"/>
  <c r="AF48" i="49"/>
  <c r="AG48" i="49"/>
  <c r="AF227" i="49"/>
  <c r="AG227" i="49"/>
  <c r="AF108" i="49"/>
  <c r="AG108" i="49"/>
  <c r="AF201" i="49"/>
  <c r="AG201" i="49"/>
  <c r="AF105" i="49"/>
  <c r="AG105" i="49"/>
  <c r="AF306" i="49"/>
  <c r="AG306" i="49"/>
  <c r="AF250" i="49"/>
  <c r="AG250" i="49"/>
  <c r="AF485" i="49"/>
  <c r="AG485" i="49"/>
  <c r="AF352" i="49"/>
  <c r="AG352" i="49"/>
  <c r="AF131" i="49"/>
  <c r="AG131" i="49"/>
  <c r="AF94" i="49"/>
  <c r="AG94" i="49"/>
  <c r="AF149" i="49"/>
  <c r="AG149" i="49"/>
  <c r="AF433" i="49"/>
  <c r="AG433" i="49"/>
  <c r="AF326" i="49"/>
  <c r="AG326" i="49"/>
  <c r="AF92" i="49"/>
  <c r="AG92" i="49"/>
  <c r="AF199" i="49"/>
  <c r="AG199" i="49"/>
  <c r="AF253" i="49"/>
  <c r="AG253" i="49"/>
  <c r="AF324" i="49"/>
  <c r="AG324" i="49"/>
  <c r="AF78" i="49"/>
  <c r="AG78" i="49"/>
  <c r="AF252" i="49"/>
  <c r="AG252" i="49"/>
  <c r="AF333" i="49"/>
  <c r="AG333" i="49"/>
  <c r="AF79" i="49"/>
  <c r="AG79" i="49"/>
  <c r="AF358" i="49"/>
  <c r="AG358" i="49"/>
  <c r="AF290" i="49"/>
  <c r="AG290" i="49"/>
  <c r="AF134" i="49"/>
  <c r="AG134" i="49"/>
  <c r="AF160" i="49"/>
  <c r="AG160" i="49"/>
  <c r="AF373" i="49"/>
  <c r="AG373" i="49"/>
  <c r="AF55" i="49"/>
  <c r="AG55" i="49"/>
  <c r="AF152" i="49"/>
  <c r="AG152" i="49"/>
  <c r="AF155" i="49"/>
  <c r="AG155" i="49"/>
  <c r="AF129" i="49"/>
  <c r="AG129" i="49"/>
  <c r="AF45" i="49"/>
  <c r="AG45" i="49"/>
  <c r="AF162" i="49"/>
  <c r="AG162" i="49"/>
  <c r="AF243" i="49"/>
  <c r="AG243" i="49"/>
  <c r="AF315" i="49"/>
  <c r="AG315" i="49"/>
  <c r="AF367" i="49"/>
  <c r="AG367" i="49"/>
  <c r="AF116" i="49"/>
  <c r="AG116" i="49"/>
  <c r="AF296" i="49"/>
  <c r="AG296" i="49"/>
  <c r="AF247" i="49"/>
  <c r="AG247" i="49"/>
  <c r="AF183" i="49"/>
  <c r="AG183" i="49"/>
  <c r="AF487" i="49"/>
  <c r="AG487" i="49"/>
  <c r="AF124" i="49"/>
  <c r="AG124" i="49"/>
  <c r="AF220" i="49"/>
  <c r="AG220" i="49"/>
  <c r="AF224" i="49"/>
  <c r="AG224" i="49"/>
  <c r="AF85" i="49"/>
  <c r="AG85" i="49"/>
  <c r="AF234" i="49"/>
  <c r="AG234" i="49"/>
  <c r="AF163" i="49"/>
  <c r="AG163" i="49"/>
  <c r="AF205" i="49"/>
  <c r="AG205" i="49"/>
  <c r="AF368" i="49"/>
  <c r="AG368" i="49"/>
  <c r="AF89" i="49"/>
  <c r="AG89" i="49"/>
  <c r="AF390" i="49"/>
  <c r="AG390" i="49"/>
  <c r="AF68" i="49"/>
  <c r="AG68" i="49"/>
  <c r="AF158" i="49"/>
  <c r="AG158" i="49"/>
  <c r="AF172" i="49"/>
  <c r="AG172" i="49"/>
  <c r="AF266" i="49"/>
  <c r="AG266" i="49"/>
  <c r="AF43" i="49"/>
  <c r="AG43" i="49"/>
  <c r="AF42" i="49"/>
  <c r="AG42" i="49"/>
  <c r="AF161" i="49"/>
  <c r="AG161" i="49"/>
  <c r="AF265" i="49"/>
  <c r="AG265" i="49"/>
  <c r="AF12" i="49"/>
  <c r="AG12" i="49"/>
  <c r="AF337" i="49"/>
  <c r="AG337" i="49"/>
  <c r="AF437" i="49"/>
  <c r="AG437" i="49"/>
  <c r="AF146" i="49"/>
  <c r="AG146" i="49"/>
  <c r="AF143" i="49"/>
  <c r="AG143" i="49"/>
  <c r="AF267" i="49"/>
  <c r="AG267" i="49"/>
  <c r="AF343" i="49"/>
  <c r="AG343" i="49"/>
  <c r="AF428" i="49"/>
  <c r="AG428" i="49"/>
  <c r="AF218" i="49"/>
  <c r="AG218" i="49"/>
  <c r="AF49" i="49"/>
  <c r="AG49" i="49"/>
  <c r="AF413" i="49"/>
  <c r="AG413" i="49"/>
  <c r="AF95" i="49"/>
  <c r="AG95" i="49"/>
  <c r="AF217" i="49"/>
  <c r="AG217" i="49"/>
  <c r="AF145" i="49"/>
  <c r="AG145" i="49"/>
  <c r="AF225" i="49"/>
  <c r="AG225" i="49"/>
  <c r="AF353" i="49"/>
  <c r="AG353" i="49"/>
  <c r="AF185" i="49"/>
  <c r="AG185" i="49"/>
  <c r="AF111" i="49"/>
  <c r="AG111" i="49"/>
  <c r="AF77" i="49"/>
  <c r="AG77" i="49"/>
  <c r="AF187" i="49"/>
  <c r="AG187" i="49"/>
  <c r="AF349" i="49"/>
  <c r="AG349" i="49"/>
  <c r="AF235" i="49"/>
  <c r="AG235" i="49"/>
  <c r="AF198" i="49"/>
  <c r="AG198" i="49"/>
  <c r="AF409" i="49"/>
  <c r="AG409" i="49"/>
  <c r="AF119" i="49"/>
  <c r="AG119" i="49"/>
  <c r="AF46" i="49"/>
  <c r="AG46" i="49"/>
  <c r="AF180" i="49"/>
  <c r="AG180" i="49"/>
  <c r="AF486" i="49"/>
  <c r="AG486" i="49"/>
  <c r="AF325" i="49"/>
  <c r="AG325" i="49"/>
  <c r="AF322" i="49"/>
  <c r="AG322" i="49"/>
  <c r="AF365" i="49"/>
  <c r="AG365" i="49"/>
  <c r="AF483" i="49"/>
  <c r="AG483" i="49"/>
  <c r="AF445" i="49"/>
  <c r="AG445" i="49"/>
  <c r="AF245" i="49"/>
  <c r="AG245" i="49"/>
  <c r="AF425" i="49"/>
  <c r="AG425" i="49"/>
  <c r="AF477" i="49"/>
  <c r="AG477" i="49"/>
  <c r="AF458" i="49"/>
  <c r="AG458" i="49"/>
  <c r="AF132" i="49"/>
  <c r="AG132" i="49"/>
  <c r="AF447" i="49"/>
  <c r="AG447" i="49"/>
  <c r="AF138" i="49"/>
  <c r="AG138" i="49"/>
  <c r="AF451" i="49"/>
  <c r="AG451" i="49"/>
  <c r="AF444" i="49"/>
  <c r="AG444" i="49"/>
  <c r="AF186" i="49"/>
  <c r="AG186" i="49"/>
  <c r="AF142" i="49"/>
  <c r="AG142" i="49"/>
  <c r="AF127" i="49"/>
  <c r="AG127" i="49"/>
  <c r="AF214" i="49"/>
  <c r="AG214" i="49"/>
  <c r="AF233" i="49"/>
  <c r="AG233" i="49"/>
  <c r="AF135" i="49"/>
  <c r="AG135" i="49"/>
  <c r="AF484" i="49"/>
  <c r="AG484" i="49"/>
  <c r="AF350" i="49"/>
  <c r="AG350" i="49"/>
  <c r="AF208" i="49"/>
  <c r="AG208" i="49"/>
  <c r="AF98" i="49"/>
  <c r="AG98" i="49"/>
  <c r="AF335" i="49"/>
  <c r="AG335" i="49"/>
  <c r="AF153" i="49"/>
  <c r="AG153" i="49"/>
  <c r="AF130" i="49"/>
  <c r="AG130" i="49"/>
  <c r="AF196" i="49"/>
  <c r="AG196" i="49"/>
  <c r="AF76" i="49"/>
  <c r="AG76" i="49"/>
  <c r="AF106" i="49"/>
  <c r="AG106" i="49"/>
  <c r="AF141" i="49"/>
  <c r="AG141" i="49"/>
  <c r="AF159" i="49"/>
  <c r="AG159" i="49"/>
  <c r="AF307" i="49"/>
  <c r="AG307" i="49"/>
  <c r="AF86" i="49"/>
  <c r="AG86" i="49"/>
  <c r="AF312" i="49"/>
  <c r="AG312" i="49"/>
  <c r="AF313" i="49"/>
  <c r="AG313" i="49"/>
  <c r="AF81" i="49"/>
  <c r="AG81" i="49"/>
  <c r="AF103" i="49"/>
  <c r="AG103" i="49"/>
  <c r="AF384" i="49"/>
  <c r="AG384" i="49"/>
  <c r="AF341" i="49"/>
  <c r="AG341" i="49"/>
  <c r="AF113" i="49"/>
  <c r="AG113" i="49"/>
  <c r="AF281" i="49"/>
  <c r="AG281" i="49"/>
  <c r="AF295" i="49"/>
  <c r="AG295" i="49"/>
  <c r="AF439" i="49"/>
  <c r="AG439" i="49"/>
  <c r="AF410" i="49"/>
  <c r="AG410" i="49"/>
  <c r="AF441" i="49"/>
  <c r="AG441" i="49"/>
  <c r="AF459" i="49"/>
  <c r="AG459" i="49"/>
  <c r="AF453" i="49"/>
  <c r="AG453" i="49"/>
  <c r="AF174" i="49"/>
  <c r="AG174" i="49"/>
  <c r="AF248" i="49"/>
  <c r="AG248" i="49"/>
  <c r="AF292" i="49"/>
  <c r="AG292" i="49"/>
  <c r="AF140" i="49"/>
  <c r="AG140" i="49"/>
  <c r="AF434" i="49"/>
  <c r="AG434" i="49"/>
  <c r="AF90" i="49"/>
  <c r="AG90" i="49"/>
  <c r="AF110" i="49"/>
  <c r="AG110" i="49"/>
  <c r="AF65" i="49"/>
  <c r="AG65" i="49"/>
  <c r="AF305" i="49"/>
  <c r="AG305" i="49"/>
  <c r="AF133" i="49"/>
  <c r="AG133" i="49"/>
  <c r="AF346" i="49"/>
  <c r="AG346" i="49"/>
  <c r="AF88" i="49"/>
  <c r="AG88" i="49"/>
  <c r="AF366" i="49"/>
  <c r="AG366" i="49"/>
  <c r="AF100" i="49"/>
  <c r="AG100" i="49"/>
  <c r="AF184" i="49"/>
  <c r="AG184" i="49"/>
  <c r="AF44" i="49"/>
  <c r="AG44" i="49"/>
  <c r="AF41" i="49"/>
  <c r="AG41" i="49"/>
  <c r="AF60" i="49"/>
  <c r="AG60" i="49"/>
  <c r="AF393" i="49"/>
  <c r="AG393" i="49"/>
  <c r="AF117" i="49"/>
  <c r="AG117" i="49"/>
  <c r="AF268" i="49"/>
  <c r="AG268" i="49"/>
  <c r="AF97" i="49"/>
  <c r="AG97" i="49"/>
  <c r="AF372" i="49"/>
  <c r="AG372" i="49"/>
  <c r="AF275" i="49"/>
  <c r="AG275" i="49"/>
  <c r="AF478" i="49"/>
  <c r="AG478" i="49"/>
  <c r="AF64" i="49"/>
  <c r="AG64" i="49"/>
  <c r="AF104" i="49"/>
  <c r="AG104" i="49"/>
  <c r="AF339" i="49"/>
  <c r="AG339" i="49"/>
  <c r="AF317" i="49"/>
  <c r="AG317" i="49"/>
  <c r="AF354" i="49"/>
  <c r="AG354" i="49"/>
  <c r="AF338" i="49"/>
  <c r="AG338" i="49"/>
  <c r="AF123" i="49"/>
  <c r="AG123" i="49"/>
  <c r="AF82" i="49"/>
  <c r="AG82" i="49"/>
  <c r="AF115" i="49"/>
  <c r="AG115" i="49"/>
  <c r="AF450" i="49"/>
  <c r="AG450" i="49"/>
  <c r="AF460" i="49"/>
  <c r="AG460" i="49"/>
  <c r="AF452" i="49"/>
  <c r="AG452" i="49"/>
  <c r="AF58" i="49"/>
  <c r="AG58" i="49"/>
  <c r="AF173" i="49"/>
  <c r="AG173" i="49"/>
  <c r="AF99" i="49"/>
  <c r="AG99" i="49"/>
  <c r="AF482" i="49"/>
  <c r="AG482" i="49"/>
  <c r="AF420" i="49"/>
  <c r="AG420" i="49"/>
  <c r="AF316" i="49"/>
  <c r="AG316" i="49"/>
  <c r="AF57" i="49"/>
  <c r="AG57" i="49"/>
  <c r="AF164" i="49"/>
  <c r="AG164" i="49"/>
  <c r="AF274" i="49"/>
  <c r="AG274" i="49"/>
  <c r="AF50" i="49"/>
  <c r="AG50" i="49"/>
  <c r="AF167" i="49"/>
  <c r="AG167" i="49"/>
  <c r="AF125" i="49"/>
  <c r="AG125" i="49"/>
  <c r="AF139" i="49"/>
  <c r="AG139" i="49"/>
  <c r="AF209" i="49"/>
  <c r="AG209" i="49"/>
  <c r="AF102" i="49"/>
  <c r="AG102" i="49"/>
  <c r="AF136" i="49"/>
  <c r="AG136" i="49"/>
  <c r="AF219" i="49"/>
  <c r="AG219" i="49"/>
  <c r="AF84" i="49"/>
  <c r="AG84" i="49"/>
  <c r="AF192" i="49"/>
  <c r="AG192" i="49"/>
  <c r="AF109" i="49"/>
  <c r="AG109" i="49"/>
  <c r="AF179" i="49"/>
  <c r="AG179" i="49"/>
  <c r="AF408" i="49"/>
  <c r="AG408" i="49"/>
  <c r="AF157" i="49"/>
  <c r="AG157" i="49"/>
  <c r="AF400" i="49"/>
  <c r="AG400" i="49"/>
  <c r="AF56" i="49"/>
  <c r="AG56" i="49"/>
  <c r="AF481" i="49"/>
  <c r="AG481" i="49"/>
  <c r="AF310" i="49"/>
  <c r="AG310" i="49"/>
  <c r="AF126" i="49"/>
  <c r="AG126" i="49"/>
  <c r="AF356" i="49"/>
  <c r="AG356" i="49"/>
  <c r="AF189" i="49"/>
  <c r="AG189" i="49"/>
  <c r="AF383" i="49"/>
  <c r="AG383" i="49"/>
  <c r="AF278" i="49"/>
  <c r="AG278" i="49"/>
  <c r="AF342" i="49"/>
  <c r="AG342" i="49"/>
  <c r="AF336" i="49"/>
  <c r="AG336" i="49"/>
  <c r="AF380" i="49"/>
  <c r="AG380" i="49"/>
  <c r="AF154" i="49"/>
  <c r="AG154" i="49"/>
  <c r="AF475" i="49"/>
  <c r="AG475" i="49"/>
  <c r="AF20" i="49"/>
  <c r="AG20" i="49"/>
  <c r="AF438" i="49"/>
  <c r="AG438" i="49"/>
  <c r="AF457" i="49"/>
  <c r="AG457" i="49"/>
  <c r="AF448" i="49"/>
  <c r="AG448" i="49"/>
  <c r="AF442" i="49"/>
  <c r="AG442" i="49"/>
  <c r="AF31" i="49"/>
  <c r="AG31" i="49"/>
  <c r="AF51" i="49"/>
  <c r="AG51" i="49"/>
  <c r="AF468" i="49"/>
  <c r="AG468" i="49"/>
  <c r="AF461" i="49"/>
  <c r="AG461" i="49"/>
  <c r="AF446" i="49"/>
  <c r="AG446" i="49"/>
  <c r="AF22" i="49"/>
  <c r="AG22" i="49"/>
  <c r="AF473" i="49"/>
  <c r="AG473" i="49"/>
  <c r="AF30" i="49"/>
  <c r="AG30" i="49"/>
  <c r="AF33" i="49"/>
  <c r="AG33" i="49"/>
  <c r="AF23" i="49"/>
  <c r="AG23" i="49"/>
  <c r="AF35" i="49"/>
  <c r="AG35" i="49"/>
  <c r="AF25" i="49"/>
  <c r="AG25" i="49"/>
  <c r="AF19" i="49"/>
  <c r="AG19" i="49"/>
  <c r="AF37" i="49"/>
  <c r="AG37" i="49"/>
  <c r="AF496" i="49"/>
  <c r="AG496" i="49"/>
  <c r="CL269" i="49"/>
  <c r="CM269" i="49"/>
  <c r="CK269" i="49"/>
  <c r="CM236" i="49"/>
  <c r="CJ40" i="49"/>
  <c r="CJ474" i="49"/>
  <c r="BO287" i="49"/>
  <c r="BP287" i="49"/>
  <c r="BN287" i="49"/>
  <c r="BO239" i="49"/>
  <c r="BP239" i="49"/>
  <c r="BN239" i="49"/>
  <c r="DC41" i="49"/>
  <c r="DI397" i="49"/>
  <c r="DJ397" i="49"/>
  <c r="DH397" i="49"/>
  <c r="CL415" i="49"/>
  <c r="CM415" i="49"/>
  <c r="CK415" i="49"/>
  <c r="BO417" i="49"/>
  <c r="BP417" i="49"/>
  <c r="BN417" i="49"/>
  <c r="CL416" i="49"/>
  <c r="CM416" i="49"/>
  <c r="CK416" i="49"/>
  <c r="DI476" i="49"/>
  <c r="DJ476" i="49"/>
  <c r="DH476" i="49"/>
  <c r="DC415" i="49"/>
  <c r="AL456" i="49"/>
  <c r="DK327" i="49"/>
  <c r="DG474" i="49"/>
  <c r="CZ5" i="49"/>
  <c r="CZ500" i="49"/>
  <c r="CZ2" i="49"/>
  <c r="CY500" i="49"/>
  <c r="CY2" i="49"/>
  <c r="DA330" i="49"/>
  <c r="DB330" i="49"/>
  <c r="CL371" i="49"/>
  <c r="CM371" i="49"/>
  <c r="CK371" i="49"/>
  <c r="CL46" i="49"/>
  <c r="CM46" i="49"/>
  <c r="CK46" i="49"/>
  <c r="CL286" i="49"/>
  <c r="CM286" i="49"/>
  <c r="CK286" i="49"/>
  <c r="DI223" i="49"/>
  <c r="DJ223" i="49"/>
  <c r="DH223" i="49"/>
  <c r="DC65" i="49"/>
  <c r="BO347" i="49"/>
  <c r="BP347" i="49"/>
  <c r="BN347" i="49"/>
  <c r="BO345" i="49"/>
  <c r="BP345" i="49"/>
  <c r="BN345" i="49"/>
  <c r="AN302" i="49"/>
  <c r="AO302" i="49"/>
  <c r="AM302" i="49"/>
  <c r="CC492" i="49"/>
  <c r="CC321" i="49"/>
  <c r="CC72" i="49"/>
  <c r="CC28" i="49"/>
  <c r="CC331" i="49"/>
  <c r="CC483" i="49"/>
  <c r="CC423" i="49"/>
  <c r="CC183" i="49"/>
  <c r="CC64" i="49"/>
  <c r="CC224" i="49"/>
  <c r="CC395" i="49"/>
  <c r="CC220" i="49"/>
  <c r="CC141" i="49"/>
  <c r="CC400" i="49"/>
  <c r="CC252" i="49"/>
  <c r="CC482" i="49"/>
  <c r="CC352" i="49"/>
  <c r="CC166" i="49"/>
  <c r="CC95" i="49"/>
  <c r="CC292" i="49"/>
  <c r="CC87" i="49"/>
  <c r="CC89" i="49"/>
  <c r="CC214" i="49"/>
  <c r="CC461" i="49"/>
  <c r="CC248" i="49"/>
  <c r="CC140" i="49"/>
  <c r="CC164" i="49"/>
  <c r="CC199" i="49"/>
  <c r="CC83" i="49"/>
  <c r="CC86" i="49"/>
  <c r="CC195" i="49"/>
  <c r="CD195" i="49"/>
  <c r="CE195" i="49"/>
  <c r="CC201" i="49"/>
  <c r="CC378" i="49"/>
  <c r="CC163" i="49"/>
  <c r="CC27" i="49"/>
  <c r="CC35" i="49"/>
  <c r="CD35" i="49"/>
  <c r="CE35" i="49"/>
  <c r="CC447" i="49"/>
  <c r="CC468" i="49"/>
  <c r="DJ375" i="49"/>
  <c r="DC116" i="49"/>
  <c r="DI216" i="49"/>
  <c r="DJ216" i="49"/>
  <c r="DH216" i="49"/>
  <c r="CL374" i="49"/>
  <c r="CM374" i="49"/>
  <c r="CK374" i="49"/>
  <c r="CL230" i="49"/>
  <c r="CM230" i="49"/>
  <c r="CK230" i="49"/>
  <c r="AN282" i="49"/>
  <c r="AO282" i="49"/>
  <c r="AM282" i="49"/>
  <c r="AN280" i="49"/>
  <c r="AO280" i="49"/>
  <c r="AM280" i="49"/>
  <c r="BO406" i="49"/>
  <c r="BP406" i="49"/>
  <c r="BN406" i="49"/>
  <c r="CL237" i="49"/>
  <c r="CM237" i="49"/>
  <c r="CK237" i="49"/>
  <c r="AN257" i="49"/>
  <c r="AO257" i="49"/>
  <c r="AM257" i="49"/>
  <c r="BO175" i="49"/>
  <c r="BP175" i="49"/>
  <c r="BN175" i="49"/>
  <c r="AI40" i="49"/>
  <c r="AJ40" i="49"/>
  <c r="AK40" i="49"/>
  <c r="AN308" i="49"/>
  <c r="AO308" i="49"/>
  <c r="AM308" i="49"/>
  <c r="AN249" i="49"/>
  <c r="AO249" i="49"/>
  <c r="AM249" i="49"/>
  <c r="DJ168" i="49"/>
  <c r="DJ226" i="49"/>
  <c r="AN232" i="49"/>
  <c r="AO232" i="49"/>
  <c r="AM232" i="49"/>
  <c r="AN389" i="49"/>
  <c r="AO389" i="49"/>
  <c r="AM389" i="49"/>
  <c r="DI238" i="49"/>
  <c r="DJ238" i="49"/>
  <c r="DH238" i="49"/>
  <c r="BK40" i="49"/>
  <c r="BL40" i="49"/>
  <c r="BJ40" i="49"/>
  <c r="BO263" i="49"/>
  <c r="BP263" i="49"/>
  <c r="BN263" i="49"/>
  <c r="AN396" i="49"/>
  <c r="AO396" i="49"/>
  <c r="AM396" i="49"/>
  <c r="CL257" i="49"/>
  <c r="CM257" i="49"/>
  <c r="CK257" i="49"/>
  <c r="AN405" i="49"/>
  <c r="AO405" i="49"/>
  <c r="AM405" i="49"/>
  <c r="AN207" i="49"/>
  <c r="AO207" i="49"/>
  <c r="AM207" i="49"/>
  <c r="CC471" i="49"/>
  <c r="CC363" i="49"/>
  <c r="CC74" i="49"/>
  <c r="CD74" i="49"/>
  <c r="CE74" i="49"/>
  <c r="CC320" i="49"/>
  <c r="CC160" i="49"/>
  <c r="CC394" i="49"/>
  <c r="CC15" i="49"/>
  <c r="CC79" i="49"/>
  <c r="CC325" i="49"/>
  <c r="CC109" i="49"/>
  <c r="CC66" i="49"/>
  <c r="CD420" i="49"/>
  <c r="CE420" i="49"/>
  <c r="CC420" i="49"/>
  <c r="CC311" i="49"/>
  <c r="CC11" i="49"/>
  <c r="CD11" i="49"/>
  <c r="CE11" i="49"/>
  <c r="CC256" i="49"/>
  <c r="CD256" i="49"/>
  <c r="CE256" i="49"/>
  <c r="CC356" i="49"/>
  <c r="CC161" i="49"/>
  <c r="CC273" i="49"/>
  <c r="CC315" i="49"/>
  <c r="CC121" i="49"/>
  <c r="CC314" i="49"/>
  <c r="CC186" i="49"/>
  <c r="CC316" i="49"/>
  <c r="CC125" i="49"/>
  <c r="CC37" i="49"/>
  <c r="CD37" i="49"/>
  <c r="CE37" i="49"/>
  <c r="CC274" i="49"/>
  <c r="CC262" i="49"/>
  <c r="CC12" i="49"/>
  <c r="CD12" i="49"/>
  <c r="CE12" i="49"/>
  <c r="CC192" i="49"/>
  <c r="CC45" i="49"/>
  <c r="CD45" i="49"/>
  <c r="CE45" i="49"/>
  <c r="CC84" i="49"/>
  <c r="CC442" i="49"/>
  <c r="CC138" i="49"/>
  <c r="CC178" i="49"/>
  <c r="CC266" i="49"/>
  <c r="CC240" i="49"/>
  <c r="CC306" i="49"/>
  <c r="CC26" i="49"/>
  <c r="CC18" i="49"/>
  <c r="CD18" i="49"/>
  <c r="CE18" i="49"/>
  <c r="CC448" i="49"/>
  <c r="CC21" i="49"/>
  <c r="CL228" i="49"/>
  <c r="CM228" i="49"/>
  <c r="CK228" i="49"/>
  <c r="DI403" i="49"/>
  <c r="DJ403" i="49"/>
  <c r="DH403" i="49"/>
  <c r="DI416" i="49"/>
  <c r="DJ416" i="49"/>
  <c r="DH416" i="49"/>
  <c r="CL396" i="49"/>
  <c r="CM396" i="49"/>
  <c r="CK396" i="49"/>
  <c r="CL151" i="49"/>
  <c r="CM151" i="49"/>
  <c r="CK151" i="49"/>
  <c r="DI176" i="49"/>
  <c r="DJ176" i="49"/>
  <c r="DH176" i="49"/>
  <c r="DI285" i="49"/>
  <c r="DJ285" i="49"/>
  <c r="DH285" i="49"/>
  <c r="BO291" i="49"/>
  <c r="BP291" i="49"/>
  <c r="BN291" i="49"/>
  <c r="BO309" i="49"/>
  <c r="BP309" i="49"/>
  <c r="BN309" i="49"/>
  <c r="CL401" i="49"/>
  <c r="CM401" i="49"/>
  <c r="CK401" i="49"/>
  <c r="AN191" i="49"/>
  <c r="AO191" i="49"/>
  <c r="AM191" i="49"/>
  <c r="CL283" i="49"/>
  <c r="CM283" i="49"/>
  <c r="CK283" i="49"/>
  <c r="BO232" i="49"/>
  <c r="BP232" i="49"/>
  <c r="BN232" i="49"/>
  <c r="DI222" i="49"/>
  <c r="DJ222" i="49"/>
  <c r="DH222" i="49"/>
  <c r="AN309" i="49"/>
  <c r="AO309" i="49"/>
  <c r="AM309" i="49"/>
  <c r="BO374" i="49"/>
  <c r="BP374" i="49"/>
  <c r="BN374" i="49"/>
  <c r="AN289" i="49"/>
  <c r="AO289" i="49"/>
  <c r="AM289" i="49"/>
  <c r="BO405" i="49"/>
  <c r="BP405" i="49"/>
  <c r="BN405" i="49"/>
  <c r="DI229" i="49"/>
  <c r="DJ229" i="49"/>
  <c r="DH229" i="49"/>
  <c r="AN406" i="49"/>
  <c r="AO406" i="49"/>
  <c r="AM406" i="49"/>
  <c r="CL176" i="49"/>
  <c r="CM176" i="49"/>
  <c r="CK176" i="49"/>
  <c r="BO375" i="49"/>
  <c r="BP375" i="49"/>
  <c r="BN375" i="49"/>
  <c r="DI71" i="49"/>
  <c r="DJ71" i="49"/>
  <c r="DH71" i="49"/>
  <c r="DI255" i="49"/>
  <c r="DJ255" i="49"/>
  <c r="DH255" i="49"/>
  <c r="CL397" i="49"/>
  <c r="CM397" i="49"/>
  <c r="CK397" i="49"/>
  <c r="CL168" i="49"/>
  <c r="CM168" i="49"/>
  <c r="CK168" i="49"/>
  <c r="AN151" i="49"/>
  <c r="AO151" i="49"/>
  <c r="AM151" i="49"/>
  <c r="CL231" i="49"/>
  <c r="CM231" i="49"/>
  <c r="CK231" i="49"/>
  <c r="CL181" i="49"/>
  <c r="CM181" i="49"/>
  <c r="CK181" i="49"/>
  <c r="CJ34" i="49"/>
  <c r="DG456" i="49"/>
  <c r="DG355" i="49"/>
  <c r="BQ328" i="49"/>
  <c r="BO181" i="49"/>
  <c r="BP181" i="49"/>
  <c r="BN181" i="49"/>
  <c r="BO367" i="49"/>
  <c r="BP367" i="49"/>
  <c r="BN367" i="49"/>
  <c r="DG467" i="49"/>
  <c r="CL264" i="49"/>
  <c r="CM264" i="49"/>
  <c r="CK264" i="49"/>
  <c r="DI282" i="49"/>
  <c r="DJ282" i="49"/>
  <c r="DH282" i="49"/>
  <c r="CL244" i="49"/>
  <c r="CM244" i="49"/>
  <c r="CK244" i="49"/>
  <c r="AN238" i="49"/>
  <c r="AO238" i="49"/>
  <c r="AM238" i="49"/>
  <c r="AN255" i="49"/>
  <c r="AO255" i="49"/>
  <c r="AM255" i="49"/>
  <c r="DC107" i="49"/>
  <c r="CL364" i="49"/>
  <c r="CM364" i="49"/>
  <c r="CK364" i="49"/>
  <c r="CL309" i="49"/>
  <c r="CM309" i="49"/>
  <c r="CK309" i="49"/>
  <c r="DI264" i="49"/>
  <c r="DJ264" i="49"/>
  <c r="DH264" i="49"/>
  <c r="CC449" i="49"/>
  <c r="CC44" i="49"/>
  <c r="CC124" i="49"/>
  <c r="BE23" i="49"/>
  <c r="BE30" i="49"/>
  <c r="BE19" i="49"/>
  <c r="BE22" i="49"/>
  <c r="BE459" i="49"/>
  <c r="BE25" i="49"/>
  <c r="BE59" i="49"/>
  <c r="BE457" i="49"/>
  <c r="BE447" i="49"/>
  <c r="BE337" i="49"/>
  <c r="BE380" i="49"/>
  <c r="BE210" i="49"/>
  <c r="BE106" i="49"/>
  <c r="BE117" i="49"/>
  <c r="BE173" i="49"/>
  <c r="BE388" i="49"/>
  <c r="BE136" i="49"/>
  <c r="BE311" i="49"/>
  <c r="BE141" i="49"/>
  <c r="BE440" i="49"/>
  <c r="BE460" i="49"/>
  <c r="BE64" i="49"/>
  <c r="BE299" i="49"/>
  <c r="BE482" i="49"/>
  <c r="BE107" i="49"/>
  <c r="BE199" i="49"/>
  <c r="BE201" i="49"/>
  <c r="BE164" i="49"/>
  <c r="BE336" i="49"/>
  <c r="BE339" i="49"/>
  <c r="BE242" i="49"/>
  <c r="BE120" i="49"/>
  <c r="BE116" i="49"/>
  <c r="BE486" i="49"/>
  <c r="BE364" i="49"/>
  <c r="BE461" i="49"/>
  <c r="BE473" i="49"/>
  <c r="BE366" i="49"/>
  <c r="BE132" i="49"/>
  <c r="BE234" i="49"/>
  <c r="BE160" i="49"/>
  <c r="BE372" i="49"/>
  <c r="BE123" i="49"/>
  <c r="BE390" i="49"/>
  <c r="BE190" i="49"/>
  <c r="BE300" i="49"/>
  <c r="BE213" i="49"/>
  <c r="BE191" i="49"/>
  <c r="BE9" i="49"/>
  <c r="BE12" i="49"/>
  <c r="BE306" i="49"/>
  <c r="BE184" i="49"/>
  <c r="BE110" i="49"/>
  <c r="BE485" i="49"/>
  <c r="BE307" i="49"/>
  <c r="BE252" i="49"/>
  <c r="BE121" i="49"/>
  <c r="BE408" i="49"/>
  <c r="BE163" i="49"/>
  <c r="BE130" i="49"/>
  <c r="BE10" i="49"/>
  <c r="BE432" i="49"/>
  <c r="BE172" i="49"/>
  <c r="BE338" i="49"/>
  <c r="BE249" i="49"/>
  <c r="BE316" i="49"/>
  <c r="BE230" i="49"/>
  <c r="BE293" i="49"/>
  <c r="BE78" i="49"/>
  <c r="BE60" i="49"/>
  <c r="BE251" i="49"/>
  <c r="BE382" i="49"/>
  <c r="BE134" i="49"/>
  <c r="BE248" i="49"/>
  <c r="BE342" i="49"/>
  <c r="BE411" i="49"/>
  <c r="BE49" i="49"/>
  <c r="BE313" i="49"/>
  <c r="BE50" i="49"/>
  <c r="BE72" i="49"/>
  <c r="BE28" i="49"/>
  <c r="BE82" i="49"/>
  <c r="BE321" i="49"/>
  <c r="BE17" i="49"/>
  <c r="BE83" i="49"/>
  <c r="BE91" i="49"/>
  <c r="BE109" i="49"/>
  <c r="BE69" i="49"/>
  <c r="BE93" i="49"/>
  <c r="BE490" i="49"/>
  <c r="BE319" i="49"/>
  <c r="BE166" i="49"/>
  <c r="BE247" i="49"/>
  <c r="BE360" i="49"/>
  <c r="BE429" i="49"/>
  <c r="BE226" i="49"/>
  <c r="BE171" i="49"/>
  <c r="BE385" i="49"/>
  <c r="BE308" i="49"/>
  <c r="DG22" i="49"/>
  <c r="BO389" i="49"/>
  <c r="BP389" i="49"/>
  <c r="BN389" i="49"/>
  <c r="DC74" i="49"/>
  <c r="DI62" i="49"/>
  <c r="DJ62" i="49"/>
  <c r="DH62" i="49"/>
  <c r="CL398" i="49"/>
  <c r="CM398" i="49"/>
  <c r="CK398" i="49"/>
  <c r="DG21" i="49"/>
  <c r="DI284" i="49"/>
  <c r="DJ284" i="49"/>
  <c r="DH284" i="49"/>
  <c r="BO285" i="49"/>
  <c r="BP285" i="49"/>
  <c r="BN285" i="49"/>
  <c r="BO202" i="49"/>
  <c r="BP202" i="49"/>
  <c r="BN202" i="49"/>
  <c r="AN415" i="49"/>
  <c r="AO415" i="49"/>
  <c r="AM415" i="49"/>
  <c r="AN431" i="49"/>
  <c r="AO431" i="49"/>
  <c r="AM431" i="49"/>
  <c r="AN171" i="49"/>
  <c r="AO171" i="49"/>
  <c r="AM171" i="49"/>
  <c r="AN432" i="49"/>
  <c r="AO432" i="49"/>
  <c r="AM432" i="49"/>
  <c r="AN344" i="49"/>
  <c r="AO344" i="49"/>
  <c r="AM344" i="49"/>
  <c r="AN263" i="49"/>
  <c r="AO263" i="49"/>
  <c r="AM263" i="49"/>
  <c r="AN272" i="49"/>
  <c r="AO272" i="49"/>
  <c r="AM272" i="49"/>
  <c r="BO392" i="49"/>
  <c r="BP392" i="49"/>
  <c r="BN392" i="49"/>
  <c r="CL426" i="49"/>
  <c r="CM426" i="49"/>
  <c r="CK426" i="49"/>
  <c r="CL216" i="49"/>
  <c r="CM216" i="49"/>
  <c r="CK216" i="49"/>
  <c r="CL345" i="49"/>
  <c r="CM345" i="49"/>
  <c r="CK345" i="49"/>
  <c r="CC128" i="49"/>
  <c r="CC112" i="49"/>
  <c r="CC173" i="49"/>
  <c r="CC425" i="49"/>
  <c r="CC36" i="49"/>
  <c r="CD36" i="49"/>
  <c r="CE36" i="49"/>
  <c r="BO244" i="49"/>
  <c r="BP244" i="49"/>
  <c r="BN244" i="49"/>
  <c r="AN359" i="49"/>
  <c r="AO359" i="49"/>
  <c r="AM359" i="49"/>
  <c r="DI193" i="49"/>
  <c r="DJ193" i="49"/>
  <c r="DH193" i="49"/>
  <c r="AN378" i="49"/>
  <c r="AO378" i="49"/>
  <c r="AM378" i="49"/>
  <c r="AN256" i="49"/>
  <c r="AO256" i="49"/>
  <c r="AM256" i="49"/>
  <c r="DI171" i="49"/>
  <c r="DJ171" i="49"/>
  <c r="DH171" i="49"/>
  <c r="CL212" i="49"/>
  <c r="CM212" i="49"/>
  <c r="CK212" i="49"/>
  <c r="CL288" i="49"/>
  <c r="CM288" i="49"/>
  <c r="CK288" i="49"/>
  <c r="BO177" i="49"/>
  <c r="BP177" i="49"/>
  <c r="BN177" i="49"/>
  <c r="CJ466" i="49"/>
  <c r="CJ443" i="49"/>
  <c r="CL332" i="49"/>
  <c r="CM332" i="49"/>
  <c r="CK332" i="49"/>
  <c r="CL406" i="49"/>
  <c r="CM406" i="49"/>
  <c r="CK406" i="49"/>
  <c r="CL407" i="49"/>
  <c r="CM407" i="49"/>
  <c r="CK407" i="49"/>
  <c r="AN237" i="49"/>
  <c r="AO237" i="49"/>
  <c r="AM237" i="49"/>
  <c r="AN181" i="49"/>
  <c r="AO181" i="49"/>
  <c r="AM181" i="49"/>
  <c r="BO193" i="49"/>
  <c r="BP193" i="49"/>
  <c r="BN193" i="49"/>
  <c r="AN288" i="49"/>
  <c r="AO288" i="49"/>
  <c r="AM288" i="49"/>
  <c r="AN230" i="49"/>
  <c r="AO230" i="49"/>
  <c r="AM230" i="49"/>
  <c r="CL229" i="49"/>
  <c r="CM229" i="49"/>
  <c r="CK229" i="49"/>
  <c r="AN147" i="49"/>
  <c r="AO147" i="49"/>
  <c r="AM147" i="49"/>
  <c r="AN401" i="49"/>
  <c r="AO401" i="49"/>
  <c r="AM401" i="49"/>
  <c r="DC45" i="49"/>
  <c r="AN254" i="49"/>
  <c r="AO254" i="49"/>
  <c r="AM254" i="49"/>
  <c r="DI147" i="49"/>
  <c r="DJ147" i="49"/>
  <c r="DH147" i="49"/>
  <c r="CL424" i="49"/>
  <c r="CM424" i="49"/>
  <c r="CK424" i="49"/>
  <c r="CC96" i="49"/>
  <c r="CC52" i="49"/>
  <c r="CC477" i="49"/>
  <c r="CC457" i="49"/>
  <c r="DC105" i="49"/>
  <c r="AN294" i="49"/>
  <c r="AO294" i="49"/>
  <c r="AM294" i="49"/>
  <c r="BO280" i="49"/>
  <c r="BP280" i="49"/>
  <c r="BN280" i="49"/>
  <c r="BO269" i="49"/>
  <c r="BP269" i="49"/>
  <c r="BN269" i="49"/>
  <c r="AK5" i="49"/>
  <c r="DI302" i="49"/>
  <c r="DJ302" i="49"/>
  <c r="DH302" i="49"/>
  <c r="DG462" i="49"/>
  <c r="AF24" i="49"/>
  <c r="AG24" i="49"/>
  <c r="BO272" i="49"/>
  <c r="BP272" i="49"/>
  <c r="BN272" i="49"/>
  <c r="CL362" i="49"/>
  <c r="CM362" i="49"/>
  <c r="CK362" i="49"/>
  <c r="DI232" i="49"/>
  <c r="DJ232" i="49"/>
  <c r="DH232" i="49"/>
  <c r="DI273" i="49"/>
  <c r="DJ273" i="49"/>
  <c r="DH273" i="49"/>
  <c r="CL381" i="49"/>
  <c r="CM381" i="49"/>
  <c r="CK381" i="49"/>
  <c r="CL297" i="49"/>
  <c r="CM297" i="49"/>
  <c r="CK297" i="49"/>
  <c r="BO407" i="49"/>
  <c r="BP407" i="49"/>
  <c r="BN407" i="49"/>
  <c r="DI420" i="49"/>
  <c r="DJ420" i="49"/>
  <c r="DH420" i="49"/>
  <c r="BO398" i="49"/>
  <c r="BP398" i="49"/>
  <c r="BN398" i="49"/>
  <c r="DI263" i="49"/>
  <c r="DJ263" i="49"/>
  <c r="DH263" i="49"/>
  <c r="BO424" i="49"/>
  <c r="BP424" i="49"/>
  <c r="BN424" i="49"/>
  <c r="CL480" i="49"/>
  <c r="CM480" i="49"/>
  <c r="CK480" i="49"/>
  <c r="CL294" i="49"/>
  <c r="CM294" i="49"/>
  <c r="CK294" i="49"/>
  <c r="CC42" i="49"/>
  <c r="CC392" i="49"/>
  <c r="CD392" i="49"/>
  <c r="CE392" i="49"/>
  <c r="DI177" i="49"/>
  <c r="DJ177" i="49"/>
  <c r="DH177" i="49"/>
  <c r="AN285" i="49"/>
  <c r="AO285" i="49"/>
  <c r="AM285" i="49"/>
  <c r="AN226" i="49"/>
  <c r="AO226" i="49"/>
  <c r="AM226" i="49"/>
  <c r="CL177" i="49"/>
  <c r="CM177" i="49"/>
  <c r="CK177" i="49"/>
  <c r="AN416" i="49"/>
  <c r="AO416" i="49"/>
  <c r="AM416" i="49"/>
  <c r="AN364" i="49"/>
  <c r="AO364" i="49"/>
  <c r="AM364" i="49"/>
  <c r="DI432" i="49"/>
  <c r="DJ432" i="49"/>
  <c r="DH432" i="49"/>
  <c r="CL276" i="49"/>
  <c r="CM276" i="49"/>
  <c r="CK276" i="49"/>
  <c r="DI364" i="49"/>
  <c r="DJ364" i="49"/>
  <c r="DH364" i="49"/>
  <c r="DI202" i="49"/>
  <c r="DJ202" i="49"/>
  <c r="DH202" i="49"/>
  <c r="DI387" i="49"/>
  <c r="DJ387" i="49"/>
  <c r="DH387" i="49"/>
  <c r="CL376" i="49"/>
  <c r="CM376" i="49"/>
  <c r="CK376" i="49"/>
  <c r="CL403" i="49"/>
  <c r="CM403" i="49"/>
  <c r="CK403" i="49"/>
  <c r="AF21" i="49"/>
  <c r="AG21" i="49"/>
  <c r="AN417" i="49"/>
  <c r="AO417" i="49"/>
  <c r="AM417" i="49"/>
  <c r="BO206" i="49"/>
  <c r="BP206" i="49"/>
  <c r="BN206" i="49"/>
  <c r="BO416" i="49"/>
  <c r="BP416" i="49"/>
  <c r="BN416" i="49"/>
  <c r="DI431" i="49"/>
  <c r="DJ431" i="49"/>
  <c r="DH431" i="49"/>
  <c r="BO476" i="49"/>
  <c r="BP476" i="49"/>
  <c r="BN476" i="49"/>
  <c r="AN246" i="49"/>
  <c r="AO246" i="49"/>
  <c r="AM246" i="49"/>
  <c r="DI236" i="49"/>
  <c r="DJ236" i="49"/>
  <c r="DH236" i="49"/>
  <c r="BO422" i="49"/>
  <c r="BP422" i="49"/>
  <c r="BN422" i="49"/>
  <c r="DI212" i="49"/>
  <c r="DJ212" i="49"/>
  <c r="DH212" i="49"/>
  <c r="AN244" i="49"/>
  <c r="AO244" i="49"/>
  <c r="AM244" i="49"/>
  <c r="AN421" i="49"/>
  <c r="AO421" i="49"/>
  <c r="AM421" i="49"/>
  <c r="DI287" i="49"/>
  <c r="DJ287" i="49"/>
  <c r="DH287" i="49"/>
  <c r="DI80" i="49"/>
  <c r="DJ80" i="49"/>
  <c r="DH80" i="49"/>
  <c r="DI262" i="49"/>
  <c r="DH262" i="49"/>
  <c r="DI230" i="49"/>
  <c r="DJ230" i="49"/>
  <c r="DH230" i="49"/>
  <c r="AN223" i="49"/>
  <c r="AO223" i="49"/>
  <c r="AM223" i="49"/>
  <c r="AN488" i="49"/>
  <c r="AO488" i="49"/>
  <c r="AM488" i="49"/>
  <c r="DI231" i="49"/>
  <c r="DH231" i="49"/>
  <c r="DI272" i="49"/>
  <c r="DJ272" i="49"/>
  <c r="DH272" i="49"/>
  <c r="CL429" i="49"/>
  <c r="CM429" i="49"/>
  <c r="CK429" i="49"/>
  <c r="BO396" i="49"/>
  <c r="BP396" i="49"/>
  <c r="BN396" i="49"/>
  <c r="DI289" i="49"/>
  <c r="DJ289" i="49"/>
  <c r="DH289" i="49"/>
  <c r="CL347" i="49"/>
  <c r="CM347" i="49"/>
  <c r="CK347" i="49"/>
  <c r="BO147" i="49"/>
  <c r="BP147" i="49"/>
  <c r="BN147" i="49"/>
  <c r="AN53" i="49"/>
  <c r="AO53" i="49"/>
  <c r="AM53" i="49"/>
  <c r="DI251" i="49"/>
  <c r="DH251" i="49"/>
  <c r="BO137" i="49"/>
  <c r="BP137" i="49"/>
  <c r="BN137" i="49"/>
  <c r="CL391" i="49"/>
  <c r="CM391" i="49"/>
  <c r="CK391" i="49"/>
  <c r="DI405" i="49"/>
  <c r="DJ405" i="49"/>
  <c r="DH405" i="49"/>
  <c r="CL375" i="49"/>
  <c r="CM375" i="49"/>
  <c r="CK375" i="49"/>
  <c r="CL285" i="49"/>
  <c r="CM285" i="49"/>
  <c r="CK285" i="49"/>
  <c r="DI374" i="49"/>
  <c r="DJ374" i="49"/>
  <c r="DH374" i="49"/>
  <c r="CJ464" i="49"/>
  <c r="CJ472" i="49"/>
  <c r="BO176" i="49"/>
  <c r="BP176" i="49"/>
  <c r="BN176" i="49"/>
  <c r="DG466" i="49"/>
  <c r="CL202" i="49"/>
  <c r="CM202" i="49"/>
  <c r="CK202" i="49"/>
  <c r="CL53" i="49"/>
  <c r="CM53" i="49"/>
  <c r="CK53" i="49"/>
  <c r="AN195" i="49"/>
  <c r="AO195" i="49"/>
  <c r="AM195" i="49"/>
  <c r="BO401" i="49"/>
  <c r="BP401" i="49"/>
  <c r="BN401" i="49"/>
  <c r="DI362" i="49"/>
  <c r="DJ362" i="49"/>
  <c r="DH362" i="49"/>
  <c r="BO381" i="49"/>
  <c r="BP381" i="49"/>
  <c r="BN381" i="49"/>
  <c r="DC392" i="49"/>
  <c r="DI244" i="49"/>
  <c r="DJ244" i="49"/>
  <c r="DH244" i="49"/>
  <c r="AP355" i="49"/>
  <c r="CL63" i="49"/>
  <c r="CM63" i="49"/>
  <c r="CK63" i="49"/>
  <c r="AN287" i="49"/>
  <c r="AO287" i="49"/>
  <c r="AM287" i="49"/>
  <c r="CL41" i="49"/>
  <c r="CM41" i="49"/>
  <c r="CK41" i="49"/>
  <c r="CL263" i="49"/>
  <c r="CM263" i="49"/>
  <c r="CK263" i="49"/>
  <c r="CC69" i="49"/>
  <c r="CC47" i="49"/>
  <c r="CC454" i="49"/>
  <c r="CC7" i="49"/>
  <c r="CC333" i="49"/>
  <c r="CC43" i="49"/>
  <c r="CC126" i="49"/>
  <c r="CC329" i="49"/>
  <c r="CC111" i="49"/>
  <c r="CC419" i="49"/>
  <c r="CC386" i="49"/>
  <c r="CC103" i="49"/>
  <c r="CD103" i="49"/>
  <c r="CE103" i="49"/>
  <c r="CC277" i="49"/>
  <c r="CC153" i="49"/>
  <c r="CC194" i="49"/>
  <c r="CC354" i="49"/>
  <c r="CC310" i="49"/>
  <c r="CC185" i="49"/>
  <c r="CC134" i="49"/>
  <c r="CC205" i="49"/>
  <c r="CC327" i="49"/>
  <c r="CC61" i="49"/>
  <c r="CC162" i="49"/>
  <c r="CC57" i="49"/>
  <c r="CC430" i="49"/>
  <c r="CC165" i="49"/>
  <c r="CC169" i="49"/>
  <c r="CC305" i="49"/>
  <c r="CC191" i="49"/>
  <c r="CC38" i="49"/>
  <c r="CC107" i="49"/>
  <c r="CD107" i="49"/>
  <c r="CE107" i="49"/>
  <c r="CC118" i="49"/>
  <c r="CC113" i="49"/>
  <c r="CC388" i="49"/>
  <c r="CC473" i="49"/>
  <c r="CC410" i="49"/>
  <c r="CC295" i="49"/>
  <c r="CC261" i="49"/>
  <c r="CC366" i="49"/>
  <c r="CC16" i="49"/>
  <c r="CC439" i="49"/>
  <c r="CC174" i="49"/>
  <c r="BE26" i="49"/>
  <c r="BE20" i="49"/>
  <c r="BE38" i="49"/>
  <c r="BE6" i="49"/>
  <c r="BE35" i="49"/>
  <c r="BE463" i="49"/>
  <c r="BE21" i="49"/>
  <c r="BE472" i="49"/>
  <c r="BE355" i="49"/>
  <c r="BE260" i="49"/>
  <c r="BE279" i="49"/>
  <c r="BE378" i="49"/>
  <c r="BE400" i="49"/>
  <c r="BE265" i="49"/>
  <c r="BE376" i="49"/>
  <c r="BE100" i="49"/>
  <c r="BE241" i="49"/>
  <c r="BE274" i="49"/>
  <c r="BE466" i="49"/>
  <c r="BE465" i="49"/>
  <c r="BE452" i="49"/>
  <c r="BE292" i="49"/>
  <c r="BE99" i="49"/>
  <c r="BE115" i="49"/>
  <c r="BE365" i="49"/>
  <c r="BE198" i="49"/>
  <c r="BE133" i="49"/>
  <c r="BE254" i="49"/>
  <c r="BE483" i="49"/>
  <c r="BE138" i="49"/>
  <c r="BE368" i="49"/>
  <c r="BE178" i="49"/>
  <c r="BE410" i="49"/>
  <c r="BE225" i="49"/>
  <c r="BE119" i="49"/>
  <c r="BE474" i="49"/>
  <c r="BE56" i="49"/>
  <c r="BE102" i="49"/>
  <c r="BE420" i="49"/>
  <c r="BE118" i="49"/>
  <c r="BE108" i="49"/>
  <c r="BE151" i="49"/>
  <c r="BE157" i="49"/>
  <c r="BE135" i="49"/>
  <c r="BE58" i="49"/>
  <c r="BE305" i="49"/>
  <c r="BE427" i="49"/>
  <c r="BE266" i="49"/>
  <c r="BE323" i="49"/>
  <c r="BE161" i="49"/>
  <c r="BE227" i="49"/>
  <c r="BE298" i="49"/>
  <c r="BE79" i="49"/>
  <c r="BE409" i="49"/>
  <c r="BE310" i="49"/>
  <c r="BE194" i="49"/>
  <c r="BE152" i="49"/>
  <c r="BE71" i="49"/>
  <c r="BE169" i="49"/>
  <c r="BE377" i="49"/>
  <c r="BE53" i="49"/>
  <c r="BE286" i="49"/>
  <c r="BE76" i="49"/>
  <c r="BE240" i="49"/>
  <c r="BE395" i="49"/>
  <c r="BE11" i="49"/>
  <c r="BE318" i="49"/>
  <c r="BE150" i="49"/>
  <c r="BE80" i="49"/>
  <c r="BE66" i="49"/>
  <c r="BE217" i="49"/>
  <c r="BE351" i="49"/>
  <c r="BE312" i="49"/>
  <c r="BE261" i="49"/>
  <c r="BE386" i="49"/>
  <c r="BE42" i="49"/>
  <c r="BE7" i="49"/>
  <c r="BE45" i="49"/>
  <c r="BE44" i="49"/>
  <c r="BE441" i="49"/>
  <c r="BE491" i="49"/>
  <c r="BE70" i="49"/>
  <c r="BE95" i="49"/>
  <c r="BE47" i="49"/>
  <c r="BE90" i="49"/>
  <c r="BE475" i="49"/>
  <c r="BE96" i="49"/>
  <c r="BE449" i="49"/>
  <c r="BE320" i="49"/>
  <c r="BE350" i="49"/>
  <c r="BE356" i="49"/>
  <c r="BE162" i="49"/>
  <c r="BE197" i="49"/>
  <c r="BE73" i="49"/>
  <c r="BE148" i="49"/>
  <c r="BE167" i="49"/>
  <c r="BE236" i="49"/>
  <c r="BE75" i="49"/>
  <c r="BE498" i="49"/>
  <c r="AL465" i="49"/>
  <c r="DI228" i="49"/>
  <c r="DJ228" i="49"/>
  <c r="DH228" i="49"/>
  <c r="AN168" i="49"/>
  <c r="AO168" i="49"/>
  <c r="AM168" i="49"/>
  <c r="AL464" i="49"/>
  <c r="AN387" i="49"/>
  <c r="AO387" i="49"/>
  <c r="AM387" i="49"/>
  <c r="AN375" i="49"/>
  <c r="AO375" i="49"/>
  <c r="AM375" i="49"/>
  <c r="DI391" i="49"/>
  <c r="DJ391" i="49"/>
  <c r="DH391" i="49"/>
  <c r="DI371" i="49"/>
  <c r="DJ371" i="49"/>
  <c r="DH371" i="49"/>
  <c r="AN329" i="49"/>
  <c r="AO329" i="49"/>
  <c r="AM329" i="49"/>
  <c r="AN262" i="49"/>
  <c r="AO262" i="49"/>
  <c r="AM262" i="49"/>
  <c r="AN479" i="49"/>
  <c r="AO479" i="49"/>
  <c r="AM479" i="49"/>
  <c r="DI376" i="49"/>
  <c r="DJ376" i="49"/>
  <c r="DH376" i="49"/>
  <c r="DI221" i="49"/>
  <c r="DJ221" i="49"/>
  <c r="DH221" i="49"/>
  <c r="BO397" i="49"/>
  <c r="BP397" i="49"/>
  <c r="BN397" i="49"/>
  <c r="DI280" i="49"/>
  <c r="DJ280" i="49"/>
  <c r="DH280" i="49"/>
  <c r="CL304" i="49"/>
  <c r="CM304" i="49"/>
  <c r="CK304" i="49"/>
  <c r="AN345" i="49"/>
  <c r="AO345" i="49"/>
  <c r="AM345" i="49"/>
  <c r="CL206" i="49"/>
  <c r="CM206" i="49"/>
  <c r="CK206" i="49"/>
  <c r="AN210" i="49"/>
  <c r="AO210" i="49"/>
  <c r="AM210" i="49"/>
  <c r="BO344" i="49"/>
  <c r="BP344" i="49"/>
  <c r="BN344" i="49"/>
  <c r="AN279" i="49"/>
  <c r="AO279" i="49"/>
  <c r="AM279" i="49"/>
  <c r="AN241" i="49"/>
  <c r="AO241" i="49"/>
  <c r="AM241" i="49"/>
  <c r="AN476" i="49"/>
  <c r="AO476" i="49"/>
  <c r="AM476" i="49"/>
  <c r="CC167" i="49"/>
  <c r="CC360" i="49"/>
  <c r="CC361" i="49"/>
  <c r="CC455" i="49"/>
  <c r="CC317" i="49"/>
  <c r="CC340" i="49"/>
  <c r="CC408" i="49"/>
  <c r="CC219" i="49"/>
  <c r="CC431" i="49"/>
  <c r="CC275" i="49"/>
  <c r="CC384" i="49"/>
  <c r="CC91" i="49"/>
  <c r="CC245" i="49"/>
  <c r="CC357" i="49"/>
  <c r="CC233" i="49"/>
  <c r="CC372" i="49"/>
  <c r="CC358" i="49"/>
  <c r="CC149" i="49"/>
  <c r="CC119" i="49"/>
  <c r="CC293" i="49"/>
  <c r="CC299" i="49"/>
  <c r="CC436" i="49"/>
  <c r="CC10" i="49"/>
  <c r="CD10" i="49"/>
  <c r="CE10" i="49"/>
  <c r="CC59" i="49"/>
  <c r="CC129" i="49"/>
  <c r="CC207" i="49"/>
  <c r="CC368" i="49"/>
  <c r="CC338" i="49"/>
  <c r="CC324" i="49"/>
  <c r="CC172" i="49"/>
  <c r="CC279" i="49"/>
  <c r="CC49" i="49"/>
  <c r="CC24" i="49"/>
  <c r="CD24" i="49"/>
  <c r="CE24" i="49"/>
  <c r="CC413" i="49"/>
  <c r="CC159" i="49"/>
  <c r="CC365" i="49"/>
  <c r="CC25" i="49"/>
  <c r="CD25" i="49"/>
  <c r="CE25" i="49"/>
  <c r="CC453" i="49"/>
  <c r="CC17" i="49"/>
  <c r="CC445" i="49"/>
  <c r="CC19" i="49"/>
  <c r="CD19" i="49"/>
  <c r="CE19" i="49"/>
  <c r="DI429" i="49"/>
  <c r="DJ429" i="49"/>
  <c r="DH429" i="49"/>
  <c r="AO216" i="49"/>
  <c r="DI381" i="49"/>
  <c r="DJ381" i="49"/>
  <c r="DH381" i="49"/>
  <c r="AN221" i="49"/>
  <c r="AO221" i="49"/>
  <c r="AM221" i="49"/>
  <c r="AO374" i="49"/>
  <c r="AF17" i="49"/>
  <c r="AG17" i="49"/>
  <c r="AN206" i="49"/>
  <c r="AO206" i="49"/>
  <c r="AM206" i="49"/>
  <c r="AN293" i="49"/>
  <c r="AO293" i="49"/>
  <c r="AM293" i="49"/>
  <c r="DI417" i="49"/>
  <c r="DJ417" i="49"/>
  <c r="DH417" i="49"/>
  <c r="CM238" i="49"/>
  <c r="DG464" i="49"/>
  <c r="DC16" i="49"/>
  <c r="DC7" i="49"/>
  <c r="DI175" i="49"/>
  <c r="DJ175" i="49"/>
  <c r="DH175" i="49"/>
  <c r="AO176" i="49"/>
  <c r="DI347" i="49"/>
  <c r="DJ347" i="49"/>
  <c r="DH347" i="49"/>
  <c r="AO182" i="49"/>
  <c r="AO298" i="49"/>
  <c r="DC67" i="49"/>
  <c r="DC12" i="49"/>
  <c r="DG40" i="49"/>
  <c r="BO255" i="49"/>
  <c r="BP255" i="49"/>
  <c r="BN255" i="49"/>
  <c r="BO488" i="49"/>
  <c r="BP488" i="49"/>
  <c r="BN488" i="49"/>
  <c r="DI344" i="49"/>
  <c r="DJ344" i="49"/>
  <c r="DH344" i="49"/>
  <c r="DI286" i="49"/>
  <c r="DJ286" i="49"/>
  <c r="DH286" i="49"/>
  <c r="CJ469" i="49"/>
  <c r="AN422" i="49"/>
  <c r="AO422" i="49"/>
  <c r="AM422" i="49"/>
  <c r="CC197" i="49"/>
  <c r="CC494" i="49"/>
  <c r="CC319" i="49"/>
  <c r="CC290" i="49"/>
  <c r="CC380" i="49"/>
  <c r="CC146" i="49"/>
  <c r="CC88" i="49"/>
  <c r="CC8" i="49"/>
  <c r="CC55" i="49"/>
  <c r="CC313" i="49"/>
  <c r="CC241" i="49"/>
  <c r="CC225" i="49"/>
  <c r="CC102" i="49"/>
  <c r="CC434" i="49"/>
  <c r="CD434" i="49"/>
  <c r="CE434" i="49"/>
  <c r="CC296" i="49"/>
  <c r="CC94" i="49"/>
  <c r="CC312" i="49"/>
  <c r="CC349" i="49"/>
  <c r="CC115" i="49"/>
  <c r="CB6" i="49"/>
  <c r="CA500" i="49"/>
  <c r="CA2" i="49"/>
  <c r="CC208" i="49"/>
  <c r="CC348" i="49"/>
  <c r="CC139" i="49"/>
  <c r="CC337" i="49"/>
  <c r="CC475" i="49"/>
  <c r="CC142" i="49"/>
  <c r="CC382" i="49"/>
  <c r="CC438" i="49"/>
  <c r="CC350" i="49"/>
  <c r="CC135" i="49"/>
  <c r="CC278" i="49"/>
  <c r="CC271" i="49"/>
  <c r="CC156" i="49"/>
  <c r="CC322" i="49"/>
  <c r="CC157" i="49"/>
  <c r="CC188" i="49"/>
  <c r="CC92" i="49"/>
  <c r="CC179" i="49"/>
  <c r="CC148" i="49"/>
  <c r="CC32" i="49"/>
  <c r="CD32" i="49"/>
  <c r="CE32" i="49"/>
  <c r="CC31" i="49"/>
  <c r="CD31" i="49"/>
  <c r="CE31" i="49"/>
  <c r="CC444" i="49"/>
  <c r="CJ440" i="49"/>
  <c r="DI291" i="49"/>
  <c r="DJ291" i="49"/>
  <c r="DH291" i="49"/>
  <c r="AL469" i="49"/>
  <c r="AN273" i="49"/>
  <c r="AO273" i="49"/>
  <c r="AM273" i="49"/>
  <c r="AN178" i="49"/>
  <c r="AO178" i="49"/>
  <c r="AM178" i="49"/>
  <c r="CJ355" i="49"/>
  <c r="BO387" i="49"/>
  <c r="BP387" i="49"/>
  <c r="BN387" i="49"/>
  <c r="CL270" i="49"/>
  <c r="CM270" i="49"/>
  <c r="CK270" i="49"/>
  <c r="AN398" i="49"/>
  <c r="AO398" i="49"/>
  <c r="AM398" i="49"/>
  <c r="AN370" i="49"/>
  <c r="AO370" i="49"/>
  <c r="AM370" i="49"/>
  <c r="AN369" i="49"/>
  <c r="AO369" i="49"/>
  <c r="AM369" i="49"/>
  <c r="AN269" i="49"/>
  <c r="AO269" i="49"/>
  <c r="AM269" i="49"/>
  <c r="AN62" i="49"/>
  <c r="AO62" i="49"/>
  <c r="AM62" i="49"/>
  <c r="AN80" i="49"/>
  <c r="AO80" i="49"/>
  <c r="AM80" i="49"/>
  <c r="AN371" i="49"/>
  <c r="AO371" i="49"/>
  <c r="AM371" i="49"/>
  <c r="CL246" i="49"/>
  <c r="CM246" i="49"/>
  <c r="CK246" i="49"/>
  <c r="CL171" i="49"/>
  <c r="CM171" i="49"/>
  <c r="CK171" i="49"/>
  <c r="BO98" i="49"/>
  <c r="BP98" i="49"/>
  <c r="BN98" i="49"/>
  <c r="AN283" i="49"/>
  <c r="AO283" i="49"/>
  <c r="AM283" i="49"/>
  <c r="CF5" i="49"/>
  <c r="AN202" i="49"/>
  <c r="AO202" i="49"/>
  <c r="AM202" i="49"/>
  <c r="AN259" i="49"/>
  <c r="AO259" i="49"/>
  <c r="AM259" i="49"/>
  <c r="CC498" i="49"/>
  <c r="CC489" i="49"/>
  <c r="CC29" i="49"/>
  <c r="CC490" i="49"/>
  <c r="CC402" i="49"/>
  <c r="CC65" i="49"/>
  <c r="CD65" i="49"/>
  <c r="CE65" i="49"/>
  <c r="CC58" i="49"/>
  <c r="CC152" i="49"/>
  <c r="CC210" i="49"/>
  <c r="CC145" i="49"/>
  <c r="CC481" i="49"/>
  <c r="CC390" i="49"/>
  <c r="CC260" i="49"/>
  <c r="CC217" i="49"/>
  <c r="CC486" i="49"/>
  <c r="CC155" i="49"/>
  <c r="CC303" i="49"/>
  <c r="CC189" i="49"/>
  <c r="CC127" i="49"/>
  <c r="CC14" i="49"/>
  <c r="CC184" i="49"/>
  <c r="CC253" i="49"/>
  <c r="CC187" i="49"/>
  <c r="CC99" i="49"/>
  <c r="CC323" i="49"/>
  <c r="CC458" i="49"/>
  <c r="CD458" i="49"/>
  <c r="CE458" i="49"/>
  <c r="CC379" i="49"/>
  <c r="CC343" i="49"/>
  <c r="CC300" i="49"/>
  <c r="CC90" i="49"/>
  <c r="CC77" i="49"/>
  <c r="CC377" i="49"/>
  <c r="CC478" i="49"/>
  <c r="CC226" i="49"/>
  <c r="CC110" i="49"/>
  <c r="CC54" i="49"/>
  <c r="CC243" i="49"/>
  <c r="CC247" i="49"/>
  <c r="CC101" i="49"/>
  <c r="CC51" i="49"/>
  <c r="CC30" i="49"/>
  <c r="CC33" i="49"/>
  <c r="CC496" i="49"/>
  <c r="CC450" i="49"/>
  <c r="DI63" i="49"/>
  <c r="DJ63" i="49"/>
  <c r="DH63" i="49"/>
  <c r="AF38" i="49"/>
  <c r="AG38" i="49"/>
  <c r="DI283" i="49"/>
  <c r="DJ283" i="49"/>
  <c r="DH283" i="49"/>
  <c r="CL328" i="49"/>
  <c r="CM328" i="49"/>
  <c r="CK328" i="49"/>
  <c r="CL289" i="49"/>
  <c r="CM289" i="49"/>
  <c r="CK289" i="49"/>
  <c r="BO423" i="49"/>
  <c r="BP423" i="49"/>
  <c r="BN423" i="49"/>
  <c r="AN297" i="49"/>
  <c r="AO297" i="49"/>
  <c r="AM297" i="49"/>
  <c r="AN327" i="49"/>
  <c r="AO327" i="49"/>
  <c r="AM327" i="49"/>
  <c r="BO270" i="49"/>
  <c r="BP270" i="49"/>
  <c r="BN270" i="49"/>
  <c r="CL259" i="49"/>
  <c r="CM259" i="49"/>
  <c r="CK259" i="49"/>
  <c r="AN270" i="49"/>
  <c r="AO270" i="49"/>
  <c r="AM270" i="49"/>
  <c r="DI237" i="49"/>
  <c r="DJ237" i="49"/>
  <c r="DH237" i="49"/>
  <c r="DI406" i="49"/>
  <c r="DJ406" i="49"/>
  <c r="DH406" i="49"/>
  <c r="BO105" i="49"/>
  <c r="BP105" i="49"/>
  <c r="BN105" i="49"/>
  <c r="DJ262" i="49"/>
  <c r="DI422" i="49"/>
  <c r="DJ422" i="49"/>
  <c r="DH422" i="49"/>
  <c r="AF39" i="49"/>
  <c r="AG39" i="49"/>
  <c r="DJ231" i="49"/>
  <c r="AF32" i="49"/>
  <c r="AG32" i="49"/>
  <c r="DI396" i="49"/>
  <c r="DJ396" i="49"/>
  <c r="DH396" i="49"/>
  <c r="DI488" i="49"/>
  <c r="DJ488" i="49"/>
  <c r="DH488" i="49"/>
  <c r="DJ251" i="49"/>
  <c r="DI345" i="49"/>
  <c r="DJ345" i="49"/>
  <c r="DH345" i="49"/>
  <c r="CL284" i="49"/>
  <c r="CM284" i="49"/>
  <c r="CK284" i="49"/>
  <c r="AN304" i="49"/>
  <c r="AO304" i="49"/>
  <c r="AM304" i="49"/>
  <c r="CL80" i="49"/>
  <c r="CM80" i="49"/>
  <c r="CK80" i="49"/>
  <c r="CL147" i="49"/>
  <c r="CM147" i="49"/>
  <c r="CK147" i="49"/>
  <c r="AN376" i="49"/>
  <c r="AO376" i="49"/>
  <c r="AM376" i="49"/>
  <c r="DC330" i="49"/>
  <c r="AI330" i="49"/>
  <c r="BF330" i="49"/>
  <c r="DA329" i="49"/>
  <c r="DB329" i="49"/>
  <c r="DC329" i="49"/>
  <c r="DA204" i="49"/>
  <c r="DB204" i="49"/>
  <c r="DA203" i="49"/>
  <c r="DB203" i="49"/>
  <c r="BF203" i="49"/>
  <c r="AH204" i="49"/>
  <c r="BF204" i="49"/>
  <c r="AH203" i="49"/>
  <c r="BF216" i="49"/>
  <c r="BF256" i="49"/>
  <c r="BF259" i="49"/>
  <c r="BF195" i="49"/>
  <c r="BF246" i="49"/>
  <c r="DA29" i="49"/>
  <c r="DB29" i="49"/>
  <c r="DK488" i="49"/>
  <c r="BQ423" i="49"/>
  <c r="CF458" i="49"/>
  <c r="BQ98" i="49"/>
  <c r="AP80" i="49"/>
  <c r="AP269" i="49"/>
  <c r="AP398" i="49"/>
  <c r="BQ387" i="49"/>
  <c r="BQ488" i="49"/>
  <c r="AP304" i="49"/>
  <c r="DK345" i="49"/>
  <c r="AP297" i="49"/>
  <c r="CN289" i="49"/>
  <c r="DK283" i="49"/>
  <c r="CF65" i="49"/>
  <c r="AP259" i="49"/>
  <c r="AP273" i="49"/>
  <c r="CF32" i="49"/>
  <c r="BQ147" i="49"/>
  <c r="AP223" i="49"/>
  <c r="AP244" i="49"/>
  <c r="AP417" i="49"/>
  <c r="AP254" i="49"/>
  <c r="CN229" i="49"/>
  <c r="AP288" i="49"/>
  <c r="AP181" i="49"/>
  <c r="BQ177" i="49"/>
  <c r="CF36" i="49"/>
  <c r="AP238" i="49"/>
  <c r="CN231" i="49"/>
  <c r="AP191" i="49"/>
  <c r="BQ291" i="49"/>
  <c r="CF12" i="49"/>
  <c r="CF37" i="49"/>
  <c r="AP249" i="49"/>
  <c r="AP257" i="49"/>
  <c r="AP280" i="49"/>
  <c r="CN230" i="49"/>
  <c r="CF195" i="49"/>
  <c r="CN223" i="49"/>
  <c r="AP211" i="49"/>
  <c r="CN251" i="49"/>
  <c r="CN258" i="49"/>
  <c r="DK422" i="49"/>
  <c r="AP327" i="49"/>
  <c r="CN171" i="49"/>
  <c r="AP62" i="49"/>
  <c r="CN270" i="49"/>
  <c r="CF107" i="49"/>
  <c r="CF103" i="49"/>
  <c r="CN263" i="49"/>
  <c r="AP287" i="49"/>
  <c r="BQ381" i="49"/>
  <c r="AP53" i="49"/>
  <c r="AP364" i="49"/>
  <c r="CN177" i="49"/>
  <c r="AP285" i="49"/>
  <c r="BQ269" i="49"/>
  <c r="AP294" i="49"/>
  <c r="AP147" i="49"/>
  <c r="AP263" i="49"/>
  <c r="AP432" i="49"/>
  <c r="AP431" i="49"/>
  <c r="BQ202" i="49"/>
  <c r="BQ181" i="49"/>
  <c r="AP406" i="49"/>
  <c r="CN283" i="49"/>
  <c r="CF45" i="49"/>
  <c r="CF11" i="49"/>
  <c r="CF420" i="49"/>
  <c r="AP405" i="49"/>
  <c r="AP396" i="49"/>
  <c r="BQ263" i="49"/>
  <c r="CF35" i="49"/>
  <c r="BQ345" i="49"/>
  <c r="CN222" i="49"/>
  <c r="CF23" i="49"/>
  <c r="AP137" i="49"/>
  <c r="CF68" i="49"/>
  <c r="CF97" i="49"/>
  <c r="AP402" i="49"/>
  <c r="AP188" i="49"/>
  <c r="DK396" i="49"/>
  <c r="DK406" i="49"/>
  <c r="AP270" i="49"/>
  <c r="AP283" i="49"/>
  <c r="AP371" i="49"/>
  <c r="AP369" i="49"/>
  <c r="AP370" i="49"/>
  <c r="DK344" i="49"/>
  <c r="CN80" i="49"/>
  <c r="CN284" i="49"/>
  <c r="CN259" i="49"/>
  <c r="BQ270" i="49"/>
  <c r="CN328" i="49"/>
  <c r="AP202" i="49"/>
  <c r="AP178" i="49"/>
  <c r="CF31" i="49"/>
  <c r="DK244" i="49"/>
  <c r="BQ176" i="49"/>
  <c r="AP488" i="49"/>
  <c r="AP421" i="49"/>
  <c r="AP246" i="49"/>
  <c r="BQ206" i="49"/>
  <c r="AP230" i="49"/>
  <c r="BQ193" i="49"/>
  <c r="AP237" i="49"/>
  <c r="CN181" i="49"/>
  <c r="CN168" i="49"/>
  <c r="CN176" i="49"/>
  <c r="AP289" i="49"/>
  <c r="BQ309" i="49"/>
  <c r="CF74" i="49"/>
  <c r="AP232" i="49"/>
  <c r="AP308" i="49"/>
  <c r="BQ175" i="49"/>
  <c r="CN237" i="49"/>
  <c r="AP282" i="49"/>
  <c r="AP302" i="49"/>
  <c r="DC29" i="49"/>
  <c r="CF73" i="49"/>
  <c r="AP392" i="49"/>
  <c r="BQ273" i="49"/>
  <c r="AP407" i="49"/>
  <c r="CF67" i="49"/>
  <c r="DK237" i="49"/>
  <c r="DK63" i="49"/>
  <c r="CN246" i="49"/>
  <c r="DK291" i="49"/>
  <c r="DK286" i="49"/>
  <c r="CN41" i="49"/>
  <c r="CN63" i="49"/>
  <c r="DK362" i="49"/>
  <c r="AP416" i="49"/>
  <c r="AP226" i="49"/>
  <c r="BQ280" i="49"/>
  <c r="AP401" i="49"/>
  <c r="AP272" i="49"/>
  <c r="AP344" i="49"/>
  <c r="AP171" i="49"/>
  <c r="AP415" i="49"/>
  <c r="BQ285" i="49"/>
  <c r="AP151" i="49"/>
  <c r="AP309" i="49"/>
  <c r="CF18" i="49"/>
  <c r="CF256" i="49"/>
  <c r="AP207" i="49"/>
  <c r="CN257" i="49"/>
  <c r="BM40" i="49"/>
  <c r="AP389" i="49"/>
  <c r="AL40" i="49"/>
  <c r="BQ347" i="49"/>
  <c r="AP418" i="49"/>
  <c r="AP286" i="49"/>
  <c r="AP63" i="49"/>
  <c r="AP381" i="49"/>
  <c r="AP291" i="49"/>
  <c r="AP228" i="49"/>
  <c r="CN147" i="49"/>
  <c r="BQ396" i="49"/>
  <c r="BQ476" i="49"/>
  <c r="CN403" i="49"/>
  <c r="DK405" i="49"/>
  <c r="DK251" i="49"/>
  <c r="CN347" i="49"/>
  <c r="DK231" i="49"/>
  <c r="DK202" i="49"/>
  <c r="CF434" i="49"/>
  <c r="BQ255" i="49"/>
  <c r="DE12" i="49"/>
  <c r="DF12" i="49"/>
  <c r="DD12" i="49"/>
  <c r="AP182" i="49"/>
  <c r="CN332" i="49"/>
  <c r="AH17" i="49"/>
  <c r="AP241" i="49"/>
  <c r="CN345" i="49"/>
  <c r="BQ344" i="49"/>
  <c r="CN426" i="49"/>
  <c r="BQ392" i="49"/>
  <c r="AP332" i="49"/>
  <c r="AP328" i="49"/>
  <c r="AP262" i="49"/>
  <c r="DK228" i="49"/>
  <c r="BQ389" i="49"/>
  <c r="BF236" i="49"/>
  <c r="BG236" i="49"/>
  <c r="BH236" i="49"/>
  <c r="BF148" i="49"/>
  <c r="BG148" i="49"/>
  <c r="BH148" i="49"/>
  <c r="BF197" i="49"/>
  <c r="BF356" i="49"/>
  <c r="BF320" i="49"/>
  <c r="BG320" i="49"/>
  <c r="BH320" i="49"/>
  <c r="BF96" i="49"/>
  <c r="BG96" i="49"/>
  <c r="BH96" i="49"/>
  <c r="BF90" i="49"/>
  <c r="BF491" i="49"/>
  <c r="BF44" i="49"/>
  <c r="BF312" i="49"/>
  <c r="BF217" i="49"/>
  <c r="BF318" i="49"/>
  <c r="BF395" i="49"/>
  <c r="BF53" i="49"/>
  <c r="BF169" i="49"/>
  <c r="BF152" i="49"/>
  <c r="BF310" i="49"/>
  <c r="BF79" i="49"/>
  <c r="BF427" i="49"/>
  <c r="BF58" i="49"/>
  <c r="BF420" i="49"/>
  <c r="BF119" i="49"/>
  <c r="BF410" i="49"/>
  <c r="BF483" i="49"/>
  <c r="BF133" i="49"/>
  <c r="BF365" i="49"/>
  <c r="BF99" i="49"/>
  <c r="BF466" i="49"/>
  <c r="BF241" i="49"/>
  <c r="BF400" i="49"/>
  <c r="BF355" i="49"/>
  <c r="BG355" i="49"/>
  <c r="BH355" i="49"/>
  <c r="BF21" i="49"/>
  <c r="BF35" i="49"/>
  <c r="BF38" i="49"/>
  <c r="BF26" i="49"/>
  <c r="CN53" i="49"/>
  <c r="CL472" i="49"/>
  <c r="CK472" i="49"/>
  <c r="DK255" i="49"/>
  <c r="DK71" i="49"/>
  <c r="CF392" i="49"/>
  <c r="CN294" i="49"/>
  <c r="BQ407" i="49"/>
  <c r="DK273" i="49"/>
  <c r="AH24" i="49"/>
  <c r="DK302" i="49"/>
  <c r="AP359" i="49"/>
  <c r="DK182" i="49"/>
  <c r="BG226" i="49"/>
  <c r="BH226" i="49"/>
  <c r="BF226" i="49"/>
  <c r="BF360" i="49"/>
  <c r="BF166" i="49"/>
  <c r="BF490" i="49"/>
  <c r="BF91" i="49"/>
  <c r="BG17" i="49"/>
  <c r="BH17" i="49"/>
  <c r="BF17" i="49"/>
  <c r="BF72" i="49"/>
  <c r="BF313" i="49"/>
  <c r="BF411" i="49"/>
  <c r="BF248" i="49"/>
  <c r="BF382" i="49"/>
  <c r="BF293" i="49"/>
  <c r="BF316" i="49"/>
  <c r="BF338" i="49"/>
  <c r="BF408" i="49"/>
  <c r="BF252" i="49"/>
  <c r="BF485" i="49"/>
  <c r="BF184" i="49"/>
  <c r="BF12" i="49"/>
  <c r="BG12" i="49"/>
  <c r="BH12" i="49"/>
  <c r="BF300" i="49"/>
  <c r="BF390" i="49"/>
  <c r="BF372" i="49"/>
  <c r="BF366" i="49"/>
  <c r="BF461" i="49"/>
  <c r="BF486" i="49"/>
  <c r="BF339" i="49"/>
  <c r="BF164" i="49"/>
  <c r="BF199" i="49"/>
  <c r="BF482" i="49"/>
  <c r="BF64" i="49"/>
  <c r="BF440" i="49"/>
  <c r="BF311" i="49"/>
  <c r="BF388" i="49"/>
  <c r="BF457" i="49"/>
  <c r="BG25" i="49"/>
  <c r="BH25" i="49"/>
  <c r="BF25" i="49"/>
  <c r="BF22" i="49"/>
  <c r="DK264" i="49"/>
  <c r="DK480" i="49"/>
  <c r="BR328" i="49"/>
  <c r="DI456" i="49"/>
  <c r="DH456" i="49"/>
  <c r="CN369" i="49"/>
  <c r="DK53" i="49"/>
  <c r="DK176" i="49"/>
  <c r="DK258" i="49"/>
  <c r="CN228" i="49"/>
  <c r="BQ370" i="49"/>
  <c r="CN374" i="49"/>
  <c r="CN371" i="49"/>
  <c r="AN456" i="49"/>
  <c r="AO456" i="49"/>
  <c r="AM456" i="49"/>
  <c r="DK476" i="49"/>
  <c r="DK397" i="49"/>
  <c r="DK270" i="49"/>
  <c r="AH496" i="49"/>
  <c r="AH35" i="49"/>
  <c r="AH473" i="49"/>
  <c r="AH468" i="49"/>
  <c r="AH448" i="49"/>
  <c r="AH475" i="49"/>
  <c r="AH342" i="49"/>
  <c r="AH356" i="49"/>
  <c r="AH56" i="49"/>
  <c r="AH179" i="49"/>
  <c r="AH219" i="49"/>
  <c r="AH139" i="49"/>
  <c r="AH274" i="49"/>
  <c r="AH420" i="49"/>
  <c r="AH58" i="49"/>
  <c r="AH115" i="49"/>
  <c r="AH354" i="49"/>
  <c r="AH64" i="49"/>
  <c r="AH97" i="49"/>
  <c r="AH60" i="49"/>
  <c r="AH100" i="49"/>
  <c r="AH133" i="49"/>
  <c r="AH90" i="49"/>
  <c r="AH248" i="49"/>
  <c r="AH441" i="49"/>
  <c r="AH281" i="49"/>
  <c r="AH103" i="49"/>
  <c r="AH86" i="49"/>
  <c r="AH106" i="49"/>
  <c r="AH153" i="49"/>
  <c r="AH350" i="49"/>
  <c r="AH214" i="49"/>
  <c r="AH444" i="49"/>
  <c r="AH132" i="49"/>
  <c r="AH245" i="49"/>
  <c r="AH322" i="49"/>
  <c r="AH46" i="49"/>
  <c r="AH235" i="49"/>
  <c r="AH111" i="49"/>
  <c r="AH145" i="49"/>
  <c r="AH49" i="49"/>
  <c r="AH267" i="49"/>
  <c r="AH337" i="49"/>
  <c r="AH42" i="49"/>
  <c r="AH158" i="49"/>
  <c r="AH368" i="49"/>
  <c r="AH85" i="49"/>
  <c r="AH487" i="49"/>
  <c r="AH116" i="49"/>
  <c r="AH162" i="49"/>
  <c r="AH152" i="49"/>
  <c r="AH134" i="49"/>
  <c r="AH333" i="49"/>
  <c r="AH253" i="49"/>
  <c r="AH433" i="49"/>
  <c r="AH352" i="49"/>
  <c r="AH105" i="49"/>
  <c r="AH48" i="49"/>
  <c r="AH54" i="49"/>
  <c r="AH215" i="49"/>
  <c r="AH59" i="49"/>
  <c r="AG6" i="49"/>
  <c r="AF500" i="49"/>
  <c r="AF2" i="49"/>
  <c r="AH200" i="49"/>
  <c r="AH382" i="49"/>
  <c r="AH107" i="49"/>
  <c r="AH404" i="49"/>
  <c r="AH311" i="49"/>
  <c r="AH351" i="49"/>
  <c r="AH114" i="49"/>
  <c r="AH190" i="49"/>
  <c r="AH194" i="49"/>
  <c r="AH67" i="49"/>
  <c r="AH388" i="49"/>
  <c r="AH15" i="49"/>
  <c r="AH334" i="49"/>
  <c r="AH489" i="49"/>
  <c r="AH490" i="49"/>
  <c r="AH320" i="49"/>
  <c r="AH319" i="49"/>
  <c r="AH363" i="49"/>
  <c r="AH360" i="49"/>
  <c r="AH471" i="49"/>
  <c r="AH385" i="49"/>
  <c r="DK309" i="49"/>
  <c r="DK304" i="49"/>
  <c r="AP391" i="49"/>
  <c r="DL332" i="49"/>
  <c r="BF426" i="49"/>
  <c r="BF271" i="49"/>
  <c r="BG74" i="49"/>
  <c r="BH74" i="49"/>
  <c r="BF74" i="49"/>
  <c r="BF363" i="49"/>
  <c r="BF81" i="49"/>
  <c r="BF454" i="49"/>
  <c r="BF317" i="49"/>
  <c r="BF13" i="49"/>
  <c r="BF315" i="49"/>
  <c r="BF86" i="49"/>
  <c r="BF215" i="49"/>
  <c r="BF304" i="49"/>
  <c r="BF331" i="49"/>
  <c r="BF183" i="49"/>
  <c r="BF114" i="49"/>
  <c r="BF414" i="49"/>
  <c r="BF159" i="49"/>
  <c r="BF122" i="49"/>
  <c r="BF276" i="49"/>
  <c r="BF219" i="49"/>
  <c r="BF92" i="49"/>
  <c r="BF245" i="49"/>
  <c r="BF84" i="49"/>
  <c r="BF295" i="49"/>
  <c r="BF412" i="49"/>
  <c r="BF334" i="49"/>
  <c r="BF103" i="49"/>
  <c r="BF383" i="49"/>
  <c r="BF277" i="49"/>
  <c r="BF301" i="49"/>
  <c r="BF144" i="49"/>
  <c r="BF458" i="49"/>
  <c r="BF24" i="49"/>
  <c r="BF33" i="49"/>
  <c r="BF51" i="49"/>
  <c r="AN463" i="49"/>
  <c r="AO463" i="49"/>
  <c r="AM463" i="49"/>
  <c r="DE68" i="49"/>
  <c r="DF68" i="49"/>
  <c r="DD68" i="49"/>
  <c r="CN193" i="49"/>
  <c r="DK389" i="49"/>
  <c r="AP71" i="49"/>
  <c r="CL459" i="49"/>
  <c r="CM459" i="49"/>
  <c r="CK459" i="49"/>
  <c r="CL479" i="49"/>
  <c r="CK479" i="49"/>
  <c r="AP175" i="49"/>
  <c r="AP264" i="49"/>
  <c r="AP239" i="49"/>
  <c r="AP397" i="49"/>
  <c r="CN255" i="49"/>
  <c r="CN272" i="49"/>
  <c r="DK378" i="49"/>
  <c r="BQ415" i="49"/>
  <c r="CF116" i="49"/>
  <c r="AP394" i="49"/>
  <c r="AP258" i="49"/>
  <c r="AN466" i="49"/>
  <c r="AO466" i="49"/>
  <c r="AM466" i="49"/>
  <c r="CN62" i="49"/>
  <c r="DK269" i="49"/>
  <c r="BG188" i="49"/>
  <c r="BH188" i="49"/>
  <c r="BF188" i="49"/>
  <c r="BF267" i="49"/>
  <c r="BF302" i="49"/>
  <c r="BG302" i="49"/>
  <c r="BH302" i="49"/>
  <c r="BF29" i="49"/>
  <c r="BF470" i="49"/>
  <c r="BG470" i="49"/>
  <c r="BH470" i="49"/>
  <c r="BF89" i="49"/>
  <c r="BF156" i="49"/>
  <c r="BF139" i="49"/>
  <c r="BF41" i="49"/>
  <c r="BF343" i="49"/>
  <c r="BF349" i="49"/>
  <c r="BF220" i="49"/>
  <c r="BF63" i="49"/>
  <c r="BF170" i="49"/>
  <c r="BF57" i="49"/>
  <c r="BF218" i="49"/>
  <c r="BF373" i="49"/>
  <c r="BF192" i="49"/>
  <c r="BF442" i="49"/>
  <c r="BF16" i="49"/>
  <c r="BF419" i="49"/>
  <c r="BF448" i="49"/>
  <c r="BF179" i="49"/>
  <c r="BF208" i="49"/>
  <c r="BF111" i="49"/>
  <c r="BF464" i="49"/>
  <c r="BF39" i="49"/>
  <c r="BF444" i="49"/>
  <c r="BF36" i="49"/>
  <c r="DK276" i="49"/>
  <c r="AN462" i="49"/>
  <c r="AO462" i="49"/>
  <c r="AM462" i="49"/>
  <c r="DE489" i="49"/>
  <c r="DD489" i="49"/>
  <c r="DA87" i="49"/>
  <c r="DB87" i="49"/>
  <c r="DA37" i="49"/>
  <c r="DB37" i="49"/>
  <c r="DA157" i="49"/>
  <c r="DB157" i="49"/>
  <c r="DA42" i="49"/>
  <c r="DB42" i="49"/>
  <c r="BR329" i="49"/>
  <c r="DA484" i="49"/>
  <c r="DB484" i="49"/>
  <c r="DA372" i="49"/>
  <c r="DB372" i="49"/>
  <c r="DE298" i="49"/>
  <c r="DF298" i="49"/>
  <c r="DD298" i="49"/>
  <c r="DA453" i="49"/>
  <c r="DB453" i="49"/>
  <c r="DI472" i="49"/>
  <c r="DJ472" i="49"/>
  <c r="DH472" i="49"/>
  <c r="DA123" i="49"/>
  <c r="DB123" i="49"/>
  <c r="DA400" i="49"/>
  <c r="DB400" i="49"/>
  <c r="DA404" i="49"/>
  <c r="DB404" i="49"/>
  <c r="DA395" i="49"/>
  <c r="DB395" i="49"/>
  <c r="DA166" i="49"/>
  <c r="DB166" i="49"/>
  <c r="DA113" i="49"/>
  <c r="DB113" i="49"/>
  <c r="DA278" i="49"/>
  <c r="DB278" i="49"/>
  <c r="DA119" i="49"/>
  <c r="DB119" i="49"/>
  <c r="DA139" i="49"/>
  <c r="DB139" i="49"/>
  <c r="DA380" i="49"/>
  <c r="DB380" i="49"/>
  <c r="DA311" i="49"/>
  <c r="DB311" i="49"/>
  <c r="DA173" i="49"/>
  <c r="DB173" i="49"/>
  <c r="DA209" i="49"/>
  <c r="DB209" i="49"/>
  <c r="DA310" i="49"/>
  <c r="DB310" i="49"/>
  <c r="BR327" i="49"/>
  <c r="AI26" i="49"/>
  <c r="DA235" i="49"/>
  <c r="DB235" i="49"/>
  <c r="DA134" i="49"/>
  <c r="DB134" i="49"/>
  <c r="DA358" i="49"/>
  <c r="DB358" i="49"/>
  <c r="DA129" i="49"/>
  <c r="DB129" i="49"/>
  <c r="DA20" i="49"/>
  <c r="DB20" i="49"/>
  <c r="DA448" i="49"/>
  <c r="DB448" i="49"/>
  <c r="DA180" i="49"/>
  <c r="DB180" i="49"/>
  <c r="DA296" i="49"/>
  <c r="DB296" i="49"/>
  <c r="BR46" i="49"/>
  <c r="DE73" i="49"/>
  <c r="DF73" i="49"/>
  <c r="DD73" i="49"/>
  <c r="DI25" i="49"/>
  <c r="DJ25" i="49"/>
  <c r="DH25" i="49"/>
  <c r="DA141" i="49"/>
  <c r="DB141" i="49"/>
  <c r="DA108" i="49"/>
  <c r="DB108" i="49"/>
  <c r="DA444" i="49"/>
  <c r="DB444" i="49"/>
  <c r="DA127" i="49"/>
  <c r="DB127" i="49"/>
  <c r="DA99" i="49"/>
  <c r="DB99" i="49"/>
  <c r="DA470" i="49"/>
  <c r="DB470" i="49"/>
  <c r="DA233" i="49"/>
  <c r="DB233" i="49"/>
  <c r="DK212" i="49"/>
  <c r="DK431" i="49"/>
  <c r="DK364" i="49"/>
  <c r="AH38" i="49"/>
  <c r="CL355" i="49"/>
  <c r="CM355" i="49"/>
  <c r="CK355" i="49"/>
  <c r="AP422" i="49"/>
  <c r="DI40" i="49"/>
  <c r="DJ40" i="49"/>
  <c r="DH40" i="49"/>
  <c r="CN221" i="49"/>
  <c r="BQ237" i="49"/>
  <c r="AP176" i="49"/>
  <c r="AP411" i="49"/>
  <c r="DI464" i="49"/>
  <c r="DJ464" i="49"/>
  <c r="DH464" i="49"/>
  <c r="DK417" i="49"/>
  <c r="AP293" i="49"/>
  <c r="AP374" i="49"/>
  <c r="DK381" i="49"/>
  <c r="DK429" i="49"/>
  <c r="AP476" i="49"/>
  <c r="CN216" i="49"/>
  <c r="CN304" i="49"/>
  <c r="AP251" i="49"/>
  <c r="AP284" i="49"/>
  <c r="CN137" i="49"/>
  <c r="AP193" i="49"/>
  <c r="AP479" i="49"/>
  <c r="DK371" i="49"/>
  <c r="DK391" i="49"/>
  <c r="AP387" i="49"/>
  <c r="BF449" i="49"/>
  <c r="BF42" i="49"/>
  <c r="BF351" i="49"/>
  <c r="BF150" i="49"/>
  <c r="BF11" i="49"/>
  <c r="BG11" i="49"/>
  <c r="BH11" i="49"/>
  <c r="BF240" i="49"/>
  <c r="BF377" i="49"/>
  <c r="BF298" i="49"/>
  <c r="BF161" i="49"/>
  <c r="BF474" i="49"/>
  <c r="BF138" i="49"/>
  <c r="BF292" i="49"/>
  <c r="BF274" i="49"/>
  <c r="BF100" i="49"/>
  <c r="BF378" i="49"/>
  <c r="BF472" i="49"/>
  <c r="BF6" i="49"/>
  <c r="AR355" i="49"/>
  <c r="AS355" i="49"/>
  <c r="AQ355" i="49"/>
  <c r="CN244" i="49"/>
  <c r="AP195" i="49"/>
  <c r="DI466" i="49"/>
  <c r="DJ466" i="49"/>
  <c r="DH466" i="49"/>
  <c r="CM472" i="49"/>
  <c r="DK263" i="49"/>
  <c r="BQ398" i="49"/>
  <c r="DK238" i="49"/>
  <c r="CN381" i="49"/>
  <c r="DI462" i="49"/>
  <c r="DJ462" i="49"/>
  <c r="DH462" i="49"/>
  <c r="DE45" i="49"/>
  <c r="DF45" i="49"/>
  <c r="DD45" i="49"/>
  <c r="DD329" i="49"/>
  <c r="CL443" i="49"/>
  <c r="CM443" i="49"/>
  <c r="CK443" i="49"/>
  <c r="BF308" i="49"/>
  <c r="BG308" i="49"/>
  <c r="BH308" i="49"/>
  <c r="BF429" i="49"/>
  <c r="BG429" i="49"/>
  <c r="BH429" i="49"/>
  <c r="BF109" i="49"/>
  <c r="BF83" i="49"/>
  <c r="BF230" i="49"/>
  <c r="BF172" i="49"/>
  <c r="BF10" i="49"/>
  <c r="BG10" i="49"/>
  <c r="BH10" i="49"/>
  <c r="BF121" i="49"/>
  <c r="BF213" i="49"/>
  <c r="BF190" i="49"/>
  <c r="BF473" i="49"/>
  <c r="BF116" i="49"/>
  <c r="BF336" i="49"/>
  <c r="BF107" i="49"/>
  <c r="BF299" i="49"/>
  <c r="BF141" i="49"/>
  <c r="BF173" i="49"/>
  <c r="BF380" i="49"/>
  <c r="BF59" i="49"/>
  <c r="AP255" i="49"/>
  <c r="DI467" i="49"/>
  <c r="DJ467" i="49"/>
  <c r="DH467" i="49"/>
  <c r="BQ403" i="49"/>
  <c r="DJ456" i="49"/>
  <c r="DK229" i="49"/>
  <c r="BQ405" i="49"/>
  <c r="CN401" i="49"/>
  <c r="DK285" i="49"/>
  <c r="CN151" i="49"/>
  <c r="CN422" i="49"/>
  <c r="DK403" i="49"/>
  <c r="CN418" i="49"/>
  <c r="DK226" i="49"/>
  <c r="CN359" i="49"/>
  <c r="DK426" i="49"/>
  <c r="DE65" i="49"/>
  <c r="DF65" i="49"/>
  <c r="DD65" i="49"/>
  <c r="CN46" i="49"/>
  <c r="CN415" i="49"/>
  <c r="BQ287" i="49"/>
  <c r="CL40" i="49"/>
  <c r="CM40" i="49"/>
  <c r="CK40" i="49"/>
  <c r="AH37" i="49"/>
  <c r="AH23" i="49"/>
  <c r="AH22" i="49"/>
  <c r="AH51" i="49"/>
  <c r="AH457" i="49"/>
  <c r="AH154" i="49"/>
  <c r="AH278" i="49"/>
  <c r="AH126" i="49"/>
  <c r="AH400" i="49"/>
  <c r="AH109" i="49"/>
  <c r="AH136" i="49"/>
  <c r="AH125" i="49"/>
  <c r="AH164" i="49"/>
  <c r="AH482" i="49"/>
  <c r="AH452" i="49"/>
  <c r="AH82" i="49"/>
  <c r="AH317" i="49"/>
  <c r="AH478" i="49"/>
  <c r="AH268" i="49"/>
  <c r="AH41" i="49"/>
  <c r="AH366" i="49"/>
  <c r="AH305" i="49"/>
  <c r="AH434" i="49"/>
  <c r="AH174" i="49"/>
  <c r="AH410" i="49"/>
  <c r="AH113" i="49"/>
  <c r="AH81" i="49"/>
  <c r="AH307" i="49"/>
  <c r="AH76" i="49"/>
  <c r="AH335" i="49"/>
  <c r="AH484" i="49"/>
  <c r="AH127" i="49"/>
  <c r="AH451" i="49"/>
  <c r="AH458" i="49"/>
  <c r="AH445" i="49"/>
  <c r="AH325" i="49"/>
  <c r="AH119" i="49"/>
  <c r="AH349" i="49"/>
  <c r="AH185" i="49"/>
  <c r="AH217" i="49"/>
  <c r="AH218" i="49"/>
  <c r="AH143" i="49"/>
  <c r="AH12" i="49"/>
  <c r="AH43" i="49"/>
  <c r="AH68" i="49"/>
  <c r="AH205" i="49"/>
  <c r="AH224" i="49"/>
  <c r="AH183" i="49"/>
  <c r="AH367" i="49"/>
  <c r="AH45" i="49"/>
  <c r="AH55" i="49"/>
  <c r="AH290" i="49"/>
  <c r="AH252" i="49"/>
  <c r="AH199" i="49"/>
  <c r="AH149" i="49"/>
  <c r="AH485" i="49"/>
  <c r="AH201" i="49"/>
  <c r="AH435" i="49"/>
  <c r="AH61" i="49"/>
  <c r="AH13" i="49"/>
  <c r="AH436" i="49"/>
  <c r="AH301" i="49"/>
  <c r="AH169" i="49"/>
  <c r="AH340" i="49"/>
  <c r="AH331" i="49"/>
  <c r="AH87" i="49"/>
  <c r="AH386" i="49"/>
  <c r="AH122" i="49"/>
  <c r="AH277" i="49"/>
  <c r="AH118" i="49"/>
  <c r="AH165" i="49"/>
  <c r="AH303" i="49"/>
  <c r="AH318" i="49"/>
  <c r="AH14" i="49"/>
  <c r="AH16" i="49"/>
  <c r="AH494" i="49"/>
  <c r="AH74" i="49"/>
  <c r="AH28" i="49"/>
  <c r="AH321" i="49"/>
  <c r="AH93" i="49"/>
  <c r="AH29" i="49"/>
  <c r="AH69" i="49"/>
  <c r="AH75" i="49"/>
  <c r="DK477" i="49"/>
  <c r="BQ369" i="49"/>
  <c r="DK369" i="49"/>
  <c r="BG492" i="49"/>
  <c r="BH492" i="49"/>
  <c r="BF492" i="49"/>
  <c r="BF357" i="49"/>
  <c r="BF494" i="49"/>
  <c r="BF43" i="49"/>
  <c r="BF478" i="49"/>
  <c r="BF104" i="49"/>
  <c r="BF353" i="49"/>
  <c r="BF112" i="49"/>
  <c r="BF379" i="49"/>
  <c r="BF477" i="49"/>
  <c r="BF77" i="49"/>
  <c r="BF359" i="49"/>
  <c r="BF97" i="49"/>
  <c r="BF186" i="49"/>
  <c r="BF393" i="49"/>
  <c r="BF243" i="49"/>
  <c r="BF154" i="49"/>
  <c r="BF430" i="49"/>
  <c r="BF282" i="49"/>
  <c r="BF451" i="49"/>
  <c r="BF496" i="49"/>
  <c r="DE434" i="49"/>
  <c r="DF434" i="49"/>
  <c r="DD434" i="49"/>
  <c r="DI31" i="49"/>
  <c r="DJ31" i="49"/>
  <c r="DH31" i="49"/>
  <c r="CN488" i="49"/>
  <c r="CN370" i="49"/>
  <c r="BQ289" i="49"/>
  <c r="CN389" i="49"/>
  <c r="CM479" i="49"/>
  <c r="CN399" i="49"/>
  <c r="BQ238" i="49"/>
  <c r="CN421" i="49"/>
  <c r="AP347" i="49"/>
  <c r="BQ288" i="49"/>
  <c r="AP399" i="49"/>
  <c r="AP276" i="49"/>
  <c r="CN239" i="49"/>
  <c r="CN344" i="49"/>
  <c r="CN232" i="49"/>
  <c r="AP300" i="49"/>
  <c r="AP480" i="49"/>
  <c r="AP236" i="49"/>
  <c r="CN476" i="49"/>
  <c r="CN417" i="49"/>
  <c r="BF428" i="49"/>
  <c r="BF471" i="49"/>
  <c r="BG471" i="49"/>
  <c r="BH471" i="49"/>
  <c r="BF214" i="49"/>
  <c r="BF431" i="49"/>
  <c r="BG431" i="49"/>
  <c r="BH431" i="49"/>
  <c r="BF125" i="49"/>
  <c r="BF14" i="49"/>
  <c r="BF124" i="49"/>
  <c r="BF211" i="49"/>
  <c r="BF340" i="49"/>
  <c r="BF352" i="49"/>
  <c r="BF67" i="49"/>
  <c r="BF55" i="49"/>
  <c r="BF158" i="49"/>
  <c r="BF281" i="49"/>
  <c r="BF142" i="49"/>
  <c r="BF101" i="49"/>
  <c r="BF87" i="49"/>
  <c r="BF31" i="49"/>
  <c r="DI469" i="49"/>
  <c r="DJ469" i="49"/>
  <c r="DH469" i="49"/>
  <c r="DL328" i="49"/>
  <c r="DA463" i="49"/>
  <c r="DB463" i="49"/>
  <c r="DA78" i="49"/>
  <c r="DB78" i="49"/>
  <c r="AI34" i="49"/>
  <c r="AJ34" i="49"/>
  <c r="AK34" i="49"/>
  <c r="DA414" i="49"/>
  <c r="DB414" i="49"/>
  <c r="DA490" i="49"/>
  <c r="DB490" i="49"/>
  <c r="DA250" i="49"/>
  <c r="DB250" i="49"/>
  <c r="DA419" i="49"/>
  <c r="DB419" i="49"/>
  <c r="DE64" i="49"/>
  <c r="DF64" i="49"/>
  <c r="DD64" i="49"/>
  <c r="DA112" i="49"/>
  <c r="DB112" i="49"/>
  <c r="DA247" i="49"/>
  <c r="DB247" i="49"/>
  <c r="DA279" i="49"/>
  <c r="DB279" i="49"/>
  <c r="DA154" i="49"/>
  <c r="DB154" i="49"/>
  <c r="DA352" i="49"/>
  <c r="DB352" i="49"/>
  <c r="DA492" i="49"/>
  <c r="DB492" i="49"/>
  <c r="DE103" i="49"/>
  <c r="DF103" i="49"/>
  <c r="DD103" i="49"/>
  <c r="DA23" i="49"/>
  <c r="DB23" i="49"/>
  <c r="DA256" i="49"/>
  <c r="DB256" i="49"/>
  <c r="AN472" i="49"/>
  <c r="AO472" i="49"/>
  <c r="AM472" i="49"/>
  <c r="DA52" i="49"/>
  <c r="DB52" i="49"/>
  <c r="DA481" i="49"/>
  <c r="DB481" i="49"/>
  <c r="DA49" i="49"/>
  <c r="DB49" i="49"/>
  <c r="DA450" i="49"/>
  <c r="DB450" i="49"/>
  <c r="DA162" i="49"/>
  <c r="DB162" i="49"/>
  <c r="DA292" i="49"/>
  <c r="DB292" i="49"/>
  <c r="BO479" i="49"/>
  <c r="BP479" i="49"/>
  <c r="BN479" i="49"/>
  <c r="DA303" i="49"/>
  <c r="DB303" i="49"/>
  <c r="DA336" i="49"/>
  <c r="DB336" i="49"/>
  <c r="DA316" i="49"/>
  <c r="DB316" i="49"/>
  <c r="DA27" i="49"/>
  <c r="DB27" i="49"/>
  <c r="DE46" i="49"/>
  <c r="DF46" i="49"/>
  <c r="DD46" i="49"/>
  <c r="AR419" i="49"/>
  <c r="AS419" i="49"/>
  <c r="AQ419" i="49"/>
  <c r="DA26" i="49"/>
  <c r="DB26" i="49"/>
  <c r="DA51" i="49"/>
  <c r="DB51" i="49"/>
  <c r="DA412" i="49"/>
  <c r="DB412" i="49"/>
  <c r="DA475" i="49"/>
  <c r="DB475" i="49"/>
  <c r="DA81" i="49"/>
  <c r="DB81" i="49"/>
  <c r="DA410" i="49"/>
  <c r="DB410" i="49"/>
  <c r="DA408" i="49"/>
  <c r="DB408" i="49"/>
  <c r="DA440" i="49"/>
  <c r="DB440" i="49"/>
  <c r="DA178" i="49"/>
  <c r="DB178" i="49"/>
  <c r="DA349" i="49"/>
  <c r="DB349" i="49"/>
  <c r="AI27" i="49"/>
  <c r="DA90" i="49"/>
  <c r="DB90" i="49"/>
  <c r="DA271" i="49"/>
  <c r="DB271" i="49"/>
  <c r="DA89" i="49"/>
  <c r="DB89" i="49"/>
  <c r="DK374" i="49"/>
  <c r="AH39" i="49"/>
  <c r="DK177" i="49"/>
  <c r="DK262" i="49"/>
  <c r="BQ105" i="49"/>
  <c r="BQ422" i="49"/>
  <c r="CN376" i="49"/>
  <c r="CN276" i="49"/>
  <c r="CH5" i="49"/>
  <c r="CG5" i="49"/>
  <c r="AN469" i="49"/>
  <c r="AO469" i="49"/>
  <c r="AM469" i="49"/>
  <c r="CN424" i="49"/>
  <c r="DK147" i="49"/>
  <c r="DE67" i="49"/>
  <c r="DF67" i="49"/>
  <c r="DD67" i="49"/>
  <c r="AP298" i="49"/>
  <c r="CN407" i="49"/>
  <c r="DE16" i="49"/>
  <c r="DF16" i="49"/>
  <c r="DD16" i="49"/>
  <c r="CN288" i="49"/>
  <c r="AP206" i="49"/>
  <c r="AP213" i="49"/>
  <c r="AP221" i="49"/>
  <c r="CF10" i="49"/>
  <c r="CN206" i="49"/>
  <c r="AP345" i="49"/>
  <c r="AP231" i="49"/>
  <c r="AP375" i="49"/>
  <c r="AP168" i="49"/>
  <c r="CN398" i="49"/>
  <c r="AN465" i="49"/>
  <c r="AO465" i="49"/>
  <c r="AM465" i="49"/>
  <c r="BF75" i="49"/>
  <c r="BF167" i="49"/>
  <c r="BG73" i="49"/>
  <c r="BH73" i="49"/>
  <c r="BF73" i="49"/>
  <c r="BF162" i="49"/>
  <c r="BF350" i="49"/>
  <c r="BG350" i="49"/>
  <c r="BH350" i="49"/>
  <c r="BF475" i="49"/>
  <c r="BG475" i="49"/>
  <c r="BH475" i="49"/>
  <c r="BG47" i="49"/>
  <c r="BH47" i="49"/>
  <c r="BF47" i="49"/>
  <c r="BG70" i="49"/>
  <c r="BH70" i="49"/>
  <c r="BF70" i="49"/>
  <c r="BF441" i="49"/>
  <c r="BG441" i="49"/>
  <c r="BH441" i="49"/>
  <c r="BF45" i="49"/>
  <c r="BF261" i="49"/>
  <c r="BF66" i="49"/>
  <c r="BF286" i="49"/>
  <c r="BF71" i="49"/>
  <c r="BF194" i="49"/>
  <c r="BF409" i="49"/>
  <c r="BF266" i="49"/>
  <c r="BF305" i="49"/>
  <c r="BF135" i="49"/>
  <c r="BF151" i="49"/>
  <c r="BF118" i="49"/>
  <c r="BF102" i="49"/>
  <c r="BF225" i="49"/>
  <c r="BF178" i="49"/>
  <c r="BF254" i="49"/>
  <c r="BF198" i="49"/>
  <c r="BF115" i="49"/>
  <c r="BF465" i="49"/>
  <c r="BF265" i="49"/>
  <c r="BF260" i="49"/>
  <c r="BF463" i="49"/>
  <c r="BF20" i="49"/>
  <c r="DE392" i="49"/>
  <c r="DF392" i="49"/>
  <c r="DD392" i="49"/>
  <c r="DK282" i="49"/>
  <c r="BQ401" i="49"/>
  <c r="BQ367" i="49"/>
  <c r="CL464" i="49"/>
  <c r="CM464" i="49"/>
  <c r="CK464" i="49"/>
  <c r="CN297" i="49"/>
  <c r="CN362" i="49"/>
  <c r="BQ272" i="49"/>
  <c r="AL5" i="49"/>
  <c r="DE105" i="49"/>
  <c r="DF105" i="49"/>
  <c r="DD105" i="49"/>
  <c r="AP378" i="49"/>
  <c r="DI21" i="49"/>
  <c r="DJ21" i="49"/>
  <c r="DH21" i="49"/>
  <c r="BF171" i="49"/>
  <c r="BG171" i="49"/>
  <c r="BH171" i="49"/>
  <c r="BG247" i="49"/>
  <c r="BH247" i="49"/>
  <c r="BF247" i="49"/>
  <c r="BF319" i="49"/>
  <c r="BG319" i="49"/>
  <c r="BH319" i="49"/>
  <c r="BF93" i="49"/>
  <c r="BF321" i="49"/>
  <c r="BG28" i="49"/>
  <c r="BH28" i="49"/>
  <c r="BF28" i="49"/>
  <c r="BF50" i="49"/>
  <c r="BF49" i="49"/>
  <c r="BF342" i="49"/>
  <c r="BF134" i="49"/>
  <c r="BF251" i="49"/>
  <c r="BF78" i="49"/>
  <c r="BF249" i="49"/>
  <c r="BF163" i="49"/>
  <c r="BF307" i="49"/>
  <c r="BF110" i="49"/>
  <c r="BF306" i="49"/>
  <c r="BF9" i="49"/>
  <c r="BG9" i="49"/>
  <c r="BH9" i="49"/>
  <c r="BF123" i="49"/>
  <c r="BF160" i="49"/>
  <c r="BF132" i="49"/>
  <c r="BF364" i="49"/>
  <c r="BF242" i="49"/>
  <c r="BF201" i="49"/>
  <c r="BF460" i="49"/>
  <c r="BF136" i="49"/>
  <c r="BF106" i="49"/>
  <c r="BF447" i="49"/>
  <c r="BF459" i="49"/>
  <c r="BF19" i="49"/>
  <c r="BF23" i="49"/>
  <c r="CN364" i="49"/>
  <c r="DE107" i="49"/>
  <c r="DF107" i="49"/>
  <c r="DD107" i="49"/>
  <c r="DK370" i="49"/>
  <c r="DI355" i="49"/>
  <c r="DJ355" i="49"/>
  <c r="DH355" i="49"/>
  <c r="CL34" i="49"/>
  <c r="CM34" i="49"/>
  <c r="CK34" i="49"/>
  <c r="BQ418" i="49"/>
  <c r="DK288" i="49"/>
  <c r="CN432" i="49"/>
  <c r="DK399" i="49"/>
  <c r="BQ374" i="49"/>
  <c r="DK394" i="49"/>
  <c r="DK416" i="49"/>
  <c r="BQ399" i="49"/>
  <c r="DE116" i="49"/>
  <c r="DF116" i="49"/>
  <c r="DD116" i="49"/>
  <c r="CF433" i="49"/>
  <c r="CN286" i="49"/>
  <c r="DA197" i="49"/>
  <c r="DB197" i="49"/>
  <c r="DA143" i="49"/>
  <c r="DB143" i="49"/>
  <c r="DA43" i="49"/>
  <c r="DB43" i="49"/>
  <c r="DA185" i="49"/>
  <c r="DB185" i="49"/>
  <c r="DA385" i="49"/>
  <c r="DB385" i="49"/>
  <c r="DA360" i="49"/>
  <c r="DB360" i="49"/>
  <c r="DA449" i="49"/>
  <c r="DB449" i="49"/>
  <c r="DA363" i="49"/>
  <c r="DB363" i="49"/>
  <c r="DA28" i="49"/>
  <c r="DB28" i="49"/>
  <c r="DA214" i="49"/>
  <c r="DB214" i="49"/>
  <c r="DA190" i="49"/>
  <c r="DB190" i="49"/>
  <c r="DA428" i="49"/>
  <c r="DB428" i="49"/>
  <c r="DA83" i="49"/>
  <c r="DB83" i="49"/>
  <c r="DA268" i="49"/>
  <c r="DB268" i="49"/>
  <c r="DA115" i="49"/>
  <c r="DB115" i="49"/>
  <c r="DA382" i="49"/>
  <c r="DB382" i="49"/>
  <c r="DA305" i="49"/>
  <c r="DB305" i="49"/>
  <c r="DA308" i="49"/>
  <c r="DB308" i="49"/>
  <c r="DA335" i="49"/>
  <c r="DB335" i="49"/>
  <c r="DA194" i="49"/>
  <c r="DB194" i="49"/>
  <c r="DA84" i="49"/>
  <c r="DB84" i="49"/>
  <c r="DA373" i="49"/>
  <c r="DB373" i="49"/>
  <c r="DA365" i="49"/>
  <c r="DB365" i="49"/>
  <c r="DA351" i="49"/>
  <c r="DB351" i="49"/>
  <c r="DA437" i="49"/>
  <c r="DB437" i="49"/>
  <c r="DA435" i="49"/>
  <c r="DB435" i="49"/>
  <c r="DA367" i="49"/>
  <c r="DB367" i="49"/>
  <c r="DA438" i="49"/>
  <c r="DB438" i="49"/>
  <c r="DA167" i="49"/>
  <c r="DB167" i="49"/>
  <c r="DA471" i="49"/>
  <c r="DB471" i="49"/>
  <c r="DA361" i="49"/>
  <c r="DB361" i="49"/>
  <c r="DA323" i="49"/>
  <c r="DB323" i="49"/>
  <c r="DA314" i="49"/>
  <c r="DB314" i="49"/>
  <c r="DA138" i="49"/>
  <c r="DB138" i="49"/>
  <c r="DA312" i="49"/>
  <c r="DB312" i="49"/>
  <c r="DA86" i="49"/>
  <c r="DB86" i="49"/>
  <c r="DA366" i="49"/>
  <c r="DB366" i="49"/>
  <c r="DA348" i="49"/>
  <c r="DB348" i="49"/>
  <c r="DA249" i="49"/>
  <c r="DB249" i="49"/>
  <c r="DA350" i="49"/>
  <c r="DB350" i="49"/>
  <c r="DA106" i="49"/>
  <c r="DB106" i="49"/>
  <c r="DA56" i="49"/>
  <c r="DB56" i="49"/>
  <c r="DA91" i="49"/>
  <c r="DB91" i="49"/>
  <c r="DA146" i="49"/>
  <c r="DB146" i="49"/>
  <c r="DA85" i="49"/>
  <c r="DB85" i="49"/>
  <c r="DA192" i="49"/>
  <c r="DB192" i="49"/>
  <c r="DA120" i="49"/>
  <c r="DB120" i="49"/>
  <c r="DA136" i="49"/>
  <c r="DB136" i="49"/>
  <c r="DA30" i="49"/>
  <c r="DB30" i="49"/>
  <c r="DA377" i="49"/>
  <c r="DB377" i="49"/>
  <c r="DA425" i="49"/>
  <c r="DB425" i="49"/>
  <c r="DA126" i="49"/>
  <c r="DB126" i="49"/>
  <c r="DA281" i="49"/>
  <c r="DB281" i="49"/>
  <c r="DA17" i="49"/>
  <c r="DB17" i="49"/>
  <c r="DA383" i="49"/>
  <c r="DB383" i="49"/>
  <c r="DA265" i="49"/>
  <c r="DB265" i="49"/>
  <c r="DA172" i="49"/>
  <c r="DB172" i="49"/>
  <c r="DA461" i="49"/>
  <c r="DB461" i="49"/>
  <c r="DA118" i="49"/>
  <c r="DB118" i="49"/>
  <c r="DA114" i="49"/>
  <c r="DB114" i="49"/>
  <c r="DA333" i="49"/>
  <c r="DB333" i="49"/>
  <c r="DA460" i="49"/>
  <c r="DB460" i="49"/>
  <c r="DA39" i="49"/>
  <c r="DB39" i="49"/>
  <c r="DA8" i="49"/>
  <c r="DB8" i="49"/>
  <c r="DA274" i="49"/>
  <c r="DB274" i="49"/>
  <c r="DA386" i="49"/>
  <c r="DB386" i="49"/>
  <c r="DA267" i="49"/>
  <c r="DB267" i="49"/>
  <c r="DA441" i="49"/>
  <c r="DB441" i="49"/>
  <c r="DA101" i="49"/>
  <c r="DB101" i="49"/>
  <c r="DA342" i="49"/>
  <c r="DB342" i="49"/>
  <c r="DA430" i="49"/>
  <c r="DB430" i="49"/>
  <c r="DA145" i="49"/>
  <c r="DB145" i="49"/>
  <c r="DA200" i="49"/>
  <c r="DB200" i="49"/>
  <c r="DA225" i="49"/>
  <c r="DB225" i="49"/>
  <c r="DA187" i="49"/>
  <c r="DB187" i="49"/>
  <c r="DA340" i="49"/>
  <c r="DB340" i="49"/>
  <c r="DA72" i="49"/>
  <c r="DB72" i="49"/>
  <c r="DA324" i="49"/>
  <c r="DB324" i="49"/>
  <c r="DA215" i="49"/>
  <c r="DB215" i="49"/>
  <c r="DA306" i="49"/>
  <c r="DB306" i="49"/>
  <c r="DA50" i="49"/>
  <c r="DB50" i="49"/>
  <c r="DA473" i="49"/>
  <c r="DB473" i="49"/>
  <c r="DA88" i="49"/>
  <c r="DB88" i="49"/>
  <c r="DA92" i="49"/>
  <c r="DB92" i="49"/>
  <c r="DA224" i="49"/>
  <c r="DB224" i="49"/>
  <c r="DA102" i="49"/>
  <c r="DB102" i="49"/>
  <c r="DA494" i="49"/>
  <c r="DB494" i="49"/>
  <c r="DA315" i="49"/>
  <c r="DB315" i="49"/>
  <c r="DA486" i="49"/>
  <c r="DB486" i="49"/>
  <c r="DA14" i="49"/>
  <c r="DB14" i="49"/>
  <c r="DA13" i="49"/>
  <c r="DB13" i="49"/>
  <c r="DA454" i="49"/>
  <c r="DB454" i="49"/>
  <c r="DA47" i="49"/>
  <c r="DB47" i="49"/>
  <c r="DA94" i="49"/>
  <c r="DB94" i="49"/>
  <c r="DA275" i="49"/>
  <c r="DB275" i="49"/>
  <c r="DA357" i="49"/>
  <c r="DB357" i="49"/>
  <c r="DA343" i="49"/>
  <c r="DB343" i="49"/>
  <c r="DA307" i="49"/>
  <c r="DB307" i="49"/>
  <c r="DA205" i="49"/>
  <c r="DB205" i="49"/>
  <c r="DA125" i="49"/>
  <c r="DB125" i="49"/>
  <c r="DA44" i="49"/>
  <c r="DB44" i="49"/>
  <c r="DA341" i="49"/>
  <c r="DB341" i="49"/>
  <c r="DA82" i="49"/>
  <c r="DB82" i="49"/>
  <c r="DA110" i="49"/>
  <c r="DB110" i="49"/>
  <c r="DA142" i="49"/>
  <c r="DB142" i="49"/>
  <c r="DA468" i="49"/>
  <c r="DB468" i="49"/>
  <c r="DA485" i="49"/>
  <c r="DB485" i="49"/>
  <c r="DA297" i="49"/>
  <c r="DB297" i="49"/>
  <c r="DA245" i="49"/>
  <c r="DB245" i="49"/>
  <c r="DA109" i="49"/>
  <c r="DB109" i="49"/>
  <c r="DA300" i="49"/>
  <c r="DB300" i="49"/>
  <c r="DA301" i="49"/>
  <c r="DB301" i="49"/>
  <c r="DA131" i="49"/>
  <c r="DB131" i="49"/>
  <c r="DA111" i="49"/>
  <c r="DB111" i="49"/>
  <c r="DA130" i="49"/>
  <c r="DB130" i="49"/>
  <c r="DA133" i="49"/>
  <c r="DB133" i="49"/>
  <c r="DA498" i="49"/>
  <c r="DB498" i="49"/>
  <c r="DA70" i="49"/>
  <c r="DB70" i="49"/>
  <c r="DA321" i="49"/>
  <c r="DB321" i="49"/>
  <c r="DA318" i="49"/>
  <c r="DB318" i="49"/>
  <c r="DA325" i="49"/>
  <c r="DB325" i="49"/>
  <c r="DA266" i="49"/>
  <c r="DB266" i="49"/>
  <c r="DA184" i="49"/>
  <c r="DB184" i="49"/>
  <c r="DA196" i="49"/>
  <c r="DB196" i="49"/>
  <c r="DA379" i="49"/>
  <c r="DB379" i="49"/>
  <c r="DA219" i="49"/>
  <c r="DB219" i="49"/>
  <c r="DA122" i="49"/>
  <c r="DB122" i="49"/>
  <c r="DA418" i="49"/>
  <c r="DB418" i="49"/>
  <c r="DA455" i="49"/>
  <c r="DB455" i="49"/>
  <c r="DA253" i="49"/>
  <c r="DB253" i="49"/>
  <c r="DA277" i="49"/>
  <c r="DB277" i="49"/>
  <c r="DA390" i="49"/>
  <c r="DB390" i="49"/>
  <c r="DA148" i="49"/>
  <c r="DB148" i="49"/>
  <c r="DA165" i="49"/>
  <c r="DB165" i="49"/>
  <c r="DA169" i="49"/>
  <c r="DB169" i="49"/>
  <c r="DA164" i="49"/>
  <c r="DB164" i="49"/>
  <c r="DA261" i="49"/>
  <c r="DB261" i="49"/>
  <c r="DA66" i="49"/>
  <c r="DB66" i="49"/>
  <c r="DA211" i="49"/>
  <c r="DB211" i="49"/>
  <c r="DA234" i="49"/>
  <c r="DB234" i="49"/>
  <c r="DA61" i="49"/>
  <c r="DB61" i="49"/>
  <c r="DA153" i="49"/>
  <c r="DB153" i="49"/>
  <c r="DA152" i="49"/>
  <c r="DB152" i="49"/>
  <c r="DA346" i="49"/>
  <c r="DB346" i="49"/>
  <c r="DA496" i="49"/>
  <c r="DB496" i="49"/>
  <c r="DA48" i="49"/>
  <c r="DB48" i="49"/>
  <c r="DA24" i="49"/>
  <c r="DB24" i="49"/>
  <c r="DA69" i="49"/>
  <c r="DB69" i="49"/>
  <c r="DA319" i="49"/>
  <c r="DB319" i="49"/>
  <c r="DA337" i="49"/>
  <c r="DB337" i="49"/>
  <c r="DA128" i="49"/>
  <c r="DB128" i="49"/>
  <c r="DA384" i="49"/>
  <c r="DB384" i="49"/>
  <c r="DA252" i="49"/>
  <c r="DB252" i="49"/>
  <c r="DA33" i="49"/>
  <c r="DB33" i="49"/>
  <c r="DA295" i="49"/>
  <c r="DB295" i="49"/>
  <c r="DA217" i="49"/>
  <c r="DB217" i="49"/>
  <c r="DA447" i="49"/>
  <c r="DB447" i="49"/>
  <c r="DA156" i="49"/>
  <c r="DB156" i="49"/>
  <c r="DA240" i="49"/>
  <c r="DB240" i="49"/>
  <c r="DA19" i="49"/>
  <c r="DB19" i="49"/>
  <c r="DA159" i="49"/>
  <c r="DB159" i="49"/>
  <c r="DA227" i="49"/>
  <c r="DB227" i="49"/>
  <c r="DA149" i="49"/>
  <c r="DB149" i="49"/>
  <c r="DL327" i="49"/>
  <c r="DE415" i="49"/>
  <c r="DF415" i="49"/>
  <c r="DD415" i="49"/>
  <c r="BQ239" i="49"/>
  <c r="CL474" i="49"/>
  <c r="CM474" i="49"/>
  <c r="CK474" i="49"/>
  <c r="CN182" i="49"/>
  <c r="CN269" i="49"/>
  <c r="AH19" i="49"/>
  <c r="AH33" i="49"/>
  <c r="AH446" i="49"/>
  <c r="AH31" i="49"/>
  <c r="AH438" i="49"/>
  <c r="AH380" i="49"/>
  <c r="AH383" i="49"/>
  <c r="AH310" i="49"/>
  <c r="AH157" i="49"/>
  <c r="AH192" i="49"/>
  <c r="AH102" i="49"/>
  <c r="AH167" i="49"/>
  <c r="AH57" i="49"/>
  <c r="AH99" i="49"/>
  <c r="AH460" i="49"/>
  <c r="AH123" i="49"/>
  <c r="AH339" i="49"/>
  <c r="AH275" i="49"/>
  <c r="AH117" i="49"/>
  <c r="AH44" i="49"/>
  <c r="AH88" i="49"/>
  <c r="AH65" i="49"/>
  <c r="AH140" i="49"/>
  <c r="AH453" i="49"/>
  <c r="AH439" i="49"/>
  <c r="AH341" i="49"/>
  <c r="AH313" i="49"/>
  <c r="AH159" i="49"/>
  <c r="AH196" i="49"/>
  <c r="AH98" i="49"/>
  <c r="AH135" i="49"/>
  <c r="AH142" i="49"/>
  <c r="AH138" i="49"/>
  <c r="AH477" i="49"/>
  <c r="AH483" i="49"/>
  <c r="AH486" i="49"/>
  <c r="AH409" i="49"/>
  <c r="AH187" i="49"/>
  <c r="AH353" i="49"/>
  <c r="AH95" i="49"/>
  <c r="AH428" i="49"/>
  <c r="AH146" i="49"/>
  <c r="AH265" i="49"/>
  <c r="AH266" i="49"/>
  <c r="AH390" i="49"/>
  <c r="AH163" i="49"/>
  <c r="AH220" i="49"/>
  <c r="AH247" i="49"/>
  <c r="AH315" i="49"/>
  <c r="AH129" i="49"/>
  <c r="AH373" i="49"/>
  <c r="AH358" i="49"/>
  <c r="AH78" i="49"/>
  <c r="AH92" i="49"/>
  <c r="AH94" i="49"/>
  <c r="AH250" i="49"/>
  <c r="AH108" i="49"/>
  <c r="AH299" i="49"/>
  <c r="AH166" i="49"/>
  <c r="AH423" i="49"/>
  <c r="AH144" i="49"/>
  <c r="AH414" i="49"/>
  <c r="AH112" i="49"/>
  <c r="AH379" i="49"/>
  <c r="AH120" i="49"/>
  <c r="AH427" i="49"/>
  <c r="AH91" i="49"/>
  <c r="AH357" i="49"/>
  <c r="AH121" i="49"/>
  <c r="AH348" i="49"/>
  <c r="AH170" i="49"/>
  <c r="AH261" i="49"/>
  <c r="AH150" i="49"/>
  <c r="AH11" i="49"/>
  <c r="AH7" i="49"/>
  <c r="AH493" i="49"/>
  <c r="AH491" i="49"/>
  <c r="AH47" i="49"/>
  <c r="AH449" i="49"/>
  <c r="AH361" i="49"/>
  <c r="AH454" i="49"/>
  <c r="AH197" i="49"/>
  <c r="AH498" i="49"/>
  <c r="DK407" i="49"/>
  <c r="DK259" i="49"/>
  <c r="DK353" i="49"/>
  <c r="CL456" i="49"/>
  <c r="CM456" i="49"/>
  <c r="CK456" i="49"/>
  <c r="AN440" i="49"/>
  <c r="AO440" i="49"/>
  <c r="AM440" i="49"/>
  <c r="BF253" i="49"/>
  <c r="BF257" i="49"/>
  <c r="BG180" i="49"/>
  <c r="BH180" i="49"/>
  <c r="BF180" i="49"/>
  <c r="BF88" i="49"/>
  <c r="BF354" i="49"/>
  <c r="BG65" i="49"/>
  <c r="BH65" i="49"/>
  <c r="BF65" i="49"/>
  <c r="BF34" i="49"/>
  <c r="BG34" i="49"/>
  <c r="BH34" i="49"/>
  <c r="BF258" i="49"/>
  <c r="BF303" i="49"/>
  <c r="BF61" i="49"/>
  <c r="BF325" i="49"/>
  <c r="BF127" i="49"/>
  <c r="BF487" i="49"/>
  <c r="BF140" i="49"/>
  <c r="BF346" i="49"/>
  <c r="BF324" i="49"/>
  <c r="BF224" i="49"/>
  <c r="BF143" i="49"/>
  <c r="BF425" i="49"/>
  <c r="BF413" i="49"/>
  <c r="BF468" i="49"/>
  <c r="BF155" i="49"/>
  <c r="BF250" i="49"/>
  <c r="BF467" i="49"/>
  <c r="BF196" i="49"/>
  <c r="BF481" i="49"/>
  <c r="BF27" i="49"/>
  <c r="BF37" i="49"/>
  <c r="DE293" i="49"/>
  <c r="DF293" i="49"/>
  <c r="DD293" i="49"/>
  <c r="CN405" i="49"/>
  <c r="DI479" i="49"/>
  <c r="DJ479" i="49"/>
  <c r="DH479" i="49"/>
  <c r="DK254" i="49"/>
  <c r="DE10" i="49"/>
  <c r="DF10" i="49"/>
  <c r="DD10" i="49"/>
  <c r="DI32" i="49"/>
  <c r="DJ32" i="49"/>
  <c r="DH32" i="49"/>
  <c r="DI35" i="49"/>
  <c r="DJ35" i="49"/>
  <c r="DH35" i="49"/>
  <c r="DI465" i="49"/>
  <c r="DJ465" i="49"/>
  <c r="DH465" i="49"/>
  <c r="CN411" i="49"/>
  <c r="BQ62" i="49"/>
  <c r="BQ284" i="49"/>
  <c r="AP222" i="49"/>
  <c r="DK294" i="49"/>
  <c r="DK206" i="49"/>
  <c r="DK424" i="49"/>
  <c r="AP429" i="49"/>
  <c r="AP424" i="49"/>
  <c r="AP242" i="49"/>
  <c r="BR332" i="49"/>
  <c r="DK137" i="49"/>
  <c r="BF189" i="49"/>
  <c r="BF165" i="49"/>
  <c r="BF489" i="49"/>
  <c r="BF94" i="49"/>
  <c r="BG94" i="49"/>
  <c r="BH94" i="49"/>
  <c r="BF85" i="49"/>
  <c r="BG131" i="49"/>
  <c r="BH131" i="49"/>
  <c r="BF131" i="49"/>
  <c r="BF455" i="49"/>
  <c r="BF439" i="49"/>
  <c r="BG439" i="49"/>
  <c r="BH439" i="49"/>
  <c r="BF314" i="49"/>
  <c r="BF54" i="49"/>
  <c r="BF205" i="49"/>
  <c r="BF384" i="49"/>
  <c r="BF484" i="49"/>
  <c r="BF8" i="49"/>
  <c r="BF48" i="49"/>
  <c r="BF187" i="49"/>
  <c r="BF296" i="49"/>
  <c r="BF235" i="49"/>
  <c r="BF445" i="49"/>
  <c r="BF209" i="49"/>
  <c r="BF402" i="49"/>
  <c r="BF348" i="49"/>
  <c r="BF126" i="49"/>
  <c r="BF200" i="49"/>
  <c r="BF456" i="49"/>
  <c r="BF229" i="49"/>
  <c r="BF335" i="49"/>
  <c r="BF174" i="49"/>
  <c r="BF446" i="49"/>
  <c r="BF443" i="49"/>
  <c r="BF32" i="49"/>
  <c r="DK398" i="49"/>
  <c r="AP177" i="49"/>
  <c r="AN474" i="49"/>
  <c r="AO474" i="49"/>
  <c r="AM474" i="49"/>
  <c r="DI18" i="49"/>
  <c r="DH18" i="49"/>
  <c r="CL22" i="49"/>
  <c r="CM22" i="49"/>
  <c r="CK22" i="49"/>
  <c r="DA207" i="49"/>
  <c r="DB207" i="49"/>
  <c r="DA439" i="49"/>
  <c r="DB439" i="49"/>
  <c r="DA15" i="49"/>
  <c r="DB15" i="49"/>
  <c r="DA326" i="49"/>
  <c r="DB326" i="49"/>
  <c r="BO462" i="49"/>
  <c r="BP462" i="49"/>
  <c r="BN462" i="49"/>
  <c r="DA338" i="49"/>
  <c r="DB338" i="49"/>
  <c r="DE443" i="49"/>
  <c r="DF443" i="49"/>
  <c r="DD443" i="49"/>
  <c r="DA220" i="49"/>
  <c r="DB220" i="49"/>
  <c r="DA442" i="49"/>
  <c r="DB442" i="49"/>
  <c r="CL452" i="49"/>
  <c r="CM452" i="49"/>
  <c r="CK452" i="49"/>
  <c r="DI459" i="49"/>
  <c r="DJ459" i="49"/>
  <c r="DH459" i="49"/>
  <c r="DA76" i="49"/>
  <c r="DB76" i="49"/>
  <c r="DA322" i="49"/>
  <c r="DB322" i="49"/>
  <c r="DA243" i="49"/>
  <c r="DB243" i="49"/>
  <c r="DA77" i="49"/>
  <c r="DB77" i="49"/>
  <c r="DA413" i="49"/>
  <c r="DB413" i="49"/>
  <c r="DA160" i="49"/>
  <c r="DB160" i="49"/>
  <c r="DA132" i="49"/>
  <c r="DB132" i="49"/>
  <c r="DA313" i="49"/>
  <c r="DB313" i="49"/>
  <c r="DA161" i="49"/>
  <c r="DB161" i="49"/>
  <c r="DA57" i="49"/>
  <c r="DB57" i="49"/>
  <c r="DA427" i="49"/>
  <c r="DB427" i="49"/>
  <c r="DA124" i="49"/>
  <c r="DB124" i="49"/>
  <c r="CL462" i="49"/>
  <c r="CM462" i="49"/>
  <c r="CK462" i="49"/>
  <c r="DA174" i="49"/>
  <c r="DB174" i="49"/>
  <c r="DA140" i="49"/>
  <c r="DB140" i="49"/>
  <c r="DA93" i="49"/>
  <c r="DB93" i="49"/>
  <c r="DA393" i="49"/>
  <c r="DB393" i="49"/>
  <c r="DA38" i="49"/>
  <c r="DB38" i="49"/>
  <c r="DA95" i="49"/>
  <c r="DB95" i="49"/>
  <c r="AI18" i="49"/>
  <c r="AJ18" i="49"/>
  <c r="AK18" i="49"/>
  <c r="AN467" i="49"/>
  <c r="AO467" i="49"/>
  <c r="AM467" i="49"/>
  <c r="DA163" i="49"/>
  <c r="DB163" i="49"/>
  <c r="DA331" i="49"/>
  <c r="DB331" i="49"/>
  <c r="DA248" i="49"/>
  <c r="DB248" i="49"/>
  <c r="CL465" i="49"/>
  <c r="CM465" i="49"/>
  <c r="CK465" i="49"/>
  <c r="DA354" i="49"/>
  <c r="DB354" i="49"/>
  <c r="DA218" i="49"/>
  <c r="DB218" i="49"/>
  <c r="DA451" i="49"/>
  <c r="DB451" i="49"/>
  <c r="DA158" i="49"/>
  <c r="DB158" i="49"/>
  <c r="DA54" i="49"/>
  <c r="DB54" i="49"/>
  <c r="DA155" i="49"/>
  <c r="DB155" i="49"/>
  <c r="DE117" i="49"/>
  <c r="DF117" i="49"/>
  <c r="DD117" i="49"/>
  <c r="DA179" i="49"/>
  <c r="DB179" i="49"/>
  <c r="DA96" i="49"/>
  <c r="DB96" i="49"/>
  <c r="DA423" i="49"/>
  <c r="DB423" i="49"/>
  <c r="DA457" i="49"/>
  <c r="DB457" i="49"/>
  <c r="DA356" i="49"/>
  <c r="DB356" i="49"/>
  <c r="DA55" i="49"/>
  <c r="DB55" i="49"/>
  <c r="DA135" i="49"/>
  <c r="DB135" i="49"/>
  <c r="DA36" i="49"/>
  <c r="DB36" i="49"/>
  <c r="DA299" i="49"/>
  <c r="DB299" i="49"/>
  <c r="DK289" i="49"/>
  <c r="DK230" i="49"/>
  <c r="BQ416" i="49"/>
  <c r="CN285" i="49"/>
  <c r="CN429" i="49"/>
  <c r="CN375" i="49"/>
  <c r="AP376" i="49"/>
  <c r="CN391" i="49"/>
  <c r="AH32" i="49"/>
  <c r="DK272" i="49"/>
  <c r="DK80" i="49"/>
  <c r="DK287" i="49"/>
  <c r="DK236" i="49"/>
  <c r="DK387" i="49"/>
  <c r="DK432" i="49"/>
  <c r="CL440" i="49"/>
  <c r="CM440" i="49"/>
  <c r="CK440" i="49"/>
  <c r="CC6" i="49"/>
  <c r="CC500" i="49"/>
  <c r="CC2" i="49"/>
  <c r="CB500" i="49"/>
  <c r="CB2" i="49"/>
  <c r="CD330" i="49"/>
  <c r="CE330" i="49"/>
  <c r="CL469" i="49"/>
  <c r="CM469" i="49"/>
  <c r="CK469" i="49"/>
  <c r="AL36" i="49"/>
  <c r="AP212" i="49"/>
  <c r="DK347" i="49"/>
  <c r="DK175" i="49"/>
  <c r="DE7" i="49"/>
  <c r="DF7" i="49"/>
  <c r="DD7" i="49"/>
  <c r="CN406" i="49"/>
  <c r="CN238" i="49"/>
  <c r="CN212" i="49"/>
  <c r="DK171" i="49"/>
  <c r="DK193" i="49"/>
  <c r="AP216" i="49"/>
  <c r="CF19" i="49"/>
  <c r="CF25" i="49"/>
  <c r="CF24" i="49"/>
  <c r="AP279" i="49"/>
  <c r="AP210" i="49"/>
  <c r="CN175" i="49"/>
  <c r="DK280" i="49"/>
  <c r="BQ397" i="49"/>
  <c r="DK221" i="49"/>
  <c r="DK376" i="49"/>
  <c r="AP329" i="49"/>
  <c r="CN213" i="49"/>
  <c r="DK284" i="49"/>
  <c r="AN464" i="49"/>
  <c r="AO464" i="49"/>
  <c r="AM464" i="49"/>
  <c r="DK62" i="49"/>
  <c r="BF498" i="49"/>
  <c r="BF95" i="49"/>
  <c r="BF7" i="49"/>
  <c r="BF386" i="49"/>
  <c r="BF80" i="49"/>
  <c r="BF76" i="49"/>
  <c r="BF227" i="49"/>
  <c r="BF323" i="49"/>
  <c r="BF157" i="49"/>
  <c r="BF108" i="49"/>
  <c r="BF56" i="49"/>
  <c r="BF368" i="49"/>
  <c r="BF452" i="49"/>
  <c r="BG376" i="49"/>
  <c r="BH376" i="49"/>
  <c r="BF376" i="49"/>
  <c r="BF279" i="49"/>
  <c r="CN264" i="49"/>
  <c r="CN202" i="49"/>
  <c r="AP403" i="49"/>
  <c r="CN397" i="49"/>
  <c r="BQ137" i="49"/>
  <c r="BQ375" i="49"/>
  <c r="AH21" i="49"/>
  <c r="CN480" i="49"/>
  <c r="BQ424" i="49"/>
  <c r="DK420" i="49"/>
  <c r="DK232" i="49"/>
  <c r="BQ406" i="49"/>
  <c r="CL466" i="49"/>
  <c r="CM466" i="49"/>
  <c r="CK466" i="49"/>
  <c r="AP256" i="49"/>
  <c r="BQ244" i="49"/>
  <c r="DE74" i="49"/>
  <c r="DF74" i="49"/>
  <c r="DD74" i="49"/>
  <c r="DI22" i="49"/>
  <c r="DJ22" i="49"/>
  <c r="DH22" i="49"/>
  <c r="BF385" i="49"/>
  <c r="BF69" i="49"/>
  <c r="BF82" i="49"/>
  <c r="BF60" i="49"/>
  <c r="BF432" i="49"/>
  <c r="BG432" i="49"/>
  <c r="BH432" i="49"/>
  <c r="BF130" i="49"/>
  <c r="BF191" i="49"/>
  <c r="BF234" i="49"/>
  <c r="BF120" i="49"/>
  <c r="BF117" i="49"/>
  <c r="BF210" i="49"/>
  <c r="BF337" i="49"/>
  <c r="BF30" i="49"/>
  <c r="CN309" i="49"/>
  <c r="BQ391" i="49"/>
  <c r="BQ421" i="49"/>
  <c r="DK401" i="49"/>
  <c r="CN287" i="49"/>
  <c r="CN291" i="49"/>
  <c r="BQ480" i="49"/>
  <c r="DK222" i="49"/>
  <c r="BQ232" i="49"/>
  <c r="DK402" i="49"/>
  <c r="BQ394" i="49"/>
  <c r="DK239" i="49"/>
  <c r="DK242" i="49"/>
  <c r="DK421" i="49"/>
  <c r="DK246" i="49"/>
  <c r="CN396" i="49"/>
  <c r="DK168" i="49"/>
  <c r="DK216" i="49"/>
  <c r="DK375" i="49"/>
  <c r="DK223" i="49"/>
  <c r="DA5" i="49"/>
  <c r="DI474" i="49"/>
  <c r="DJ474" i="49"/>
  <c r="DH474" i="49"/>
  <c r="CN416" i="49"/>
  <c r="BQ417" i="49"/>
  <c r="DE41" i="49"/>
  <c r="DF41" i="49"/>
  <c r="DD41" i="49"/>
  <c r="CN236" i="49"/>
  <c r="AH25" i="49"/>
  <c r="AH30" i="49"/>
  <c r="AH461" i="49"/>
  <c r="AH442" i="49"/>
  <c r="AH20" i="49"/>
  <c r="AH336" i="49"/>
  <c r="AH189" i="49"/>
  <c r="AH481" i="49"/>
  <c r="AH408" i="49"/>
  <c r="AH84" i="49"/>
  <c r="AH209" i="49"/>
  <c r="AH50" i="49"/>
  <c r="AH316" i="49"/>
  <c r="AH173" i="49"/>
  <c r="AH450" i="49"/>
  <c r="AH338" i="49"/>
  <c r="AH104" i="49"/>
  <c r="AH372" i="49"/>
  <c r="AH393" i="49"/>
  <c r="AH184" i="49"/>
  <c r="AH346" i="49"/>
  <c r="AH110" i="49"/>
  <c r="AH292" i="49"/>
  <c r="AH459" i="49"/>
  <c r="AH295" i="49"/>
  <c r="AH384" i="49"/>
  <c r="AH312" i="49"/>
  <c r="AH141" i="49"/>
  <c r="AH130" i="49"/>
  <c r="AH208" i="49"/>
  <c r="AH233" i="49"/>
  <c r="AH186" i="49"/>
  <c r="AH447" i="49"/>
  <c r="AH425" i="49"/>
  <c r="AH365" i="49"/>
  <c r="AH180" i="49"/>
  <c r="AH198" i="49"/>
  <c r="AH77" i="49"/>
  <c r="AH225" i="49"/>
  <c r="AH413" i="49"/>
  <c r="AH343" i="49"/>
  <c r="AH437" i="49"/>
  <c r="AH161" i="49"/>
  <c r="AH172" i="49"/>
  <c r="AH89" i="49"/>
  <c r="AH234" i="49"/>
  <c r="AH124" i="49"/>
  <c r="AH296" i="49"/>
  <c r="AH243" i="49"/>
  <c r="AH155" i="49"/>
  <c r="AH160" i="49"/>
  <c r="AH79" i="49"/>
  <c r="AH324" i="49"/>
  <c r="AH326" i="49"/>
  <c r="AH131" i="49"/>
  <c r="AH306" i="49"/>
  <c r="AH227" i="49"/>
  <c r="AH314" i="49"/>
  <c r="AH240" i="49"/>
  <c r="AH377" i="49"/>
  <c r="AH271" i="49"/>
  <c r="AH430" i="49"/>
  <c r="AH148" i="49"/>
  <c r="AH52" i="49"/>
  <c r="AH395" i="49"/>
  <c r="AH83" i="49"/>
  <c r="AH66" i="49"/>
  <c r="AH101" i="49"/>
  <c r="AH323" i="49"/>
  <c r="AH156" i="49"/>
  <c r="AH128" i="49"/>
  <c r="AH412" i="49"/>
  <c r="AH10" i="49"/>
  <c r="AH8" i="49"/>
  <c r="AH9" i="49"/>
  <c r="AH72" i="49"/>
  <c r="AH73" i="49"/>
  <c r="AH96" i="49"/>
  <c r="AH455" i="49"/>
  <c r="AH70" i="49"/>
  <c r="AH492" i="49"/>
  <c r="AH470" i="49"/>
  <c r="DK359" i="49"/>
  <c r="CN387" i="49"/>
  <c r="DE433" i="49"/>
  <c r="DF433" i="49"/>
  <c r="DD433" i="49"/>
  <c r="CL463" i="49"/>
  <c r="CM463" i="49"/>
  <c r="CK463" i="49"/>
  <c r="BG52" i="49"/>
  <c r="BH52" i="49"/>
  <c r="BF52" i="49"/>
  <c r="BF361" i="49"/>
  <c r="BG361" i="49"/>
  <c r="BH361" i="49"/>
  <c r="BF362" i="49"/>
  <c r="BG362" i="49"/>
  <c r="BH362" i="49"/>
  <c r="BF185" i="49"/>
  <c r="BF433" i="49"/>
  <c r="BG433" i="49"/>
  <c r="BH433" i="49"/>
  <c r="BF278" i="49"/>
  <c r="BF15" i="49"/>
  <c r="BF434" i="49"/>
  <c r="BF145" i="49"/>
  <c r="BF153" i="49"/>
  <c r="BF207" i="49"/>
  <c r="BF435" i="49"/>
  <c r="BF146" i="49"/>
  <c r="BF453" i="49"/>
  <c r="DK483" i="49"/>
  <c r="DE9" i="49"/>
  <c r="DF9" i="49"/>
  <c r="DD9" i="49"/>
  <c r="DK151" i="49"/>
  <c r="AP260" i="49"/>
  <c r="AP362" i="49"/>
  <c r="AP229" i="49"/>
  <c r="CN71" i="49"/>
  <c r="AP426" i="49"/>
  <c r="CN254" i="49"/>
  <c r="DK482" i="49"/>
  <c r="DK213" i="49"/>
  <c r="BQ182" i="49"/>
  <c r="DE98" i="49"/>
  <c r="DF98" i="49"/>
  <c r="DD98" i="49"/>
  <c r="BF18" i="49"/>
  <c r="DE11" i="49"/>
  <c r="DF11" i="49"/>
  <c r="DD11" i="49"/>
  <c r="DK181" i="49"/>
  <c r="CN302" i="49"/>
  <c r="BQ371" i="49"/>
  <c r="BE5" i="49"/>
  <c r="BD500" i="49"/>
  <c r="BD2" i="49"/>
  <c r="BF358" i="49"/>
  <c r="BF129" i="49"/>
  <c r="BG129" i="49"/>
  <c r="BH129" i="49"/>
  <c r="BF493" i="49"/>
  <c r="BF450" i="49"/>
  <c r="BG450" i="49"/>
  <c r="BH450" i="49"/>
  <c r="BF322" i="49"/>
  <c r="BF326" i="49"/>
  <c r="BF437" i="49"/>
  <c r="BF128" i="49"/>
  <c r="BF436" i="49"/>
  <c r="BF275" i="49"/>
  <c r="BF341" i="49"/>
  <c r="BF404" i="49"/>
  <c r="BF233" i="49"/>
  <c r="BF333" i="49"/>
  <c r="BF268" i="49"/>
  <c r="BF149" i="49"/>
  <c r="BF68" i="49"/>
  <c r="BF113" i="49"/>
  <c r="BF438" i="49"/>
  <c r="CF98" i="49"/>
  <c r="CN353" i="49"/>
  <c r="DI34" i="49"/>
  <c r="DJ34" i="49"/>
  <c r="DH34" i="49"/>
  <c r="BO469" i="49"/>
  <c r="BP469" i="49"/>
  <c r="BN469" i="49"/>
  <c r="DF489" i="49"/>
  <c r="DJ18" i="49"/>
  <c r="DA58" i="49"/>
  <c r="DB58" i="49"/>
  <c r="DA409" i="49"/>
  <c r="DB409" i="49"/>
  <c r="DA121" i="49"/>
  <c r="DB121" i="49"/>
  <c r="DA59" i="49"/>
  <c r="DB59" i="49"/>
  <c r="DA170" i="49"/>
  <c r="DB170" i="49"/>
  <c r="DA257" i="49"/>
  <c r="DB257" i="49"/>
  <c r="DA487" i="49"/>
  <c r="DB487" i="49"/>
  <c r="DA368" i="49"/>
  <c r="DB368" i="49"/>
  <c r="DA491" i="49"/>
  <c r="DB491" i="49"/>
  <c r="DA446" i="49"/>
  <c r="DB446" i="49"/>
  <c r="DA75" i="49"/>
  <c r="DB75" i="49"/>
  <c r="DA334" i="49"/>
  <c r="DB334" i="49"/>
  <c r="DA445" i="49"/>
  <c r="DB445" i="49"/>
  <c r="DA60" i="49"/>
  <c r="DB60" i="49"/>
  <c r="DA6" i="49"/>
  <c r="DB6" i="49"/>
  <c r="DA436" i="49"/>
  <c r="DB436" i="49"/>
  <c r="DA191" i="49"/>
  <c r="DB191" i="49"/>
  <c r="AN443" i="49"/>
  <c r="AO443" i="49"/>
  <c r="AM443" i="49"/>
  <c r="DA183" i="49"/>
  <c r="DB183" i="49"/>
  <c r="DA388" i="49"/>
  <c r="DB388" i="49"/>
  <c r="DA144" i="49"/>
  <c r="DB144" i="49"/>
  <c r="DA186" i="49"/>
  <c r="DB186" i="49"/>
  <c r="DA210" i="49"/>
  <c r="DB210" i="49"/>
  <c r="DA320" i="49"/>
  <c r="DB320" i="49"/>
  <c r="DA189" i="49"/>
  <c r="DB189" i="49"/>
  <c r="DA198" i="49"/>
  <c r="DB198" i="49"/>
  <c r="DA150" i="49"/>
  <c r="DB150" i="49"/>
  <c r="DI452" i="49"/>
  <c r="DJ452" i="49"/>
  <c r="DH452" i="49"/>
  <c r="DA317" i="49"/>
  <c r="DB317" i="49"/>
  <c r="DA493" i="49"/>
  <c r="DB493" i="49"/>
  <c r="DA478" i="49"/>
  <c r="DB478" i="49"/>
  <c r="DA100" i="49"/>
  <c r="DB100" i="49"/>
  <c r="DA290" i="49"/>
  <c r="DB290" i="49"/>
  <c r="DA208" i="49"/>
  <c r="DB208" i="49"/>
  <c r="DA201" i="49"/>
  <c r="DB201" i="49"/>
  <c r="DA339" i="49"/>
  <c r="DB339" i="49"/>
  <c r="DA260" i="49"/>
  <c r="DB260" i="49"/>
  <c r="DA79" i="49"/>
  <c r="DB79" i="49"/>
  <c r="DA199" i="49"/>
  <c r="DB199" i="49"/>
  <c r="DA411" i="49"/>
  <c r="DB411" i="49"/>
  <c r="DA188" i="49"/>
  <c r="DB188" i="49"/>
  <c r="DA104" i="49"/>
  <c r="DB104" i="49"/>
  <c r="DE97" i="49"/>
  <c r="DF97" i="49"/>
  <c r="DD97" i="49"/>
  <c r="DA195" i="49"/>
  <c r="DB195" i="49"/>
  <c r="DA458" i="49"/>
  <c r="DB458" i="49"/>
  <c r="DA241" i="49"/>
  <c r="DB241" i="49"/>
  <c r="CF330" i="49"/>
  <c r="DD330" i="49"/>
  <c r="CD203" i="49"/>
  <c r="CE203" i="49"/>
  <c r="AI203" i="49"/>
  <c r="DC203" i="49"/>
  <c r="DC204" i="49"/>
  <c r="CF203" i="49"/>
  <c r="AI204" i="49"/>
  <c r="CD204" i="49"/>
  <c r="CE204" i="49"/>
  <c r="CD290" i="49"/>
  <c r="CE290" i="49"/>
  <c r="CF290" i="49"/>
  <c r="DK452" i="49"/>
  <c r="DG433" i="49"/>
  <c r="DK34" i="49"/>
  <c r="CN469" i="49"/>
  <c r="AL18" i="49"/>
  <c r="DG392" i="49"/>
  <c r="BI70" i="49"/>
  <c r="AL34" i="49"/>
  <c r="BQ469" i="49"/>
  <c r="DG74" i="49"/>
  <c r="BI94" i="49"/>
  <c r="BI65" i="49"/>
  <c r="DG116" i="49"/>
  <c r="BI247" i="49"/>
  <c r="BI441" i="49"/>
  <c r="BI350" i="49"/>
  <c r="BI73" i="49"/>
  <c r="AP465" i="49"/>
  <c r="DG46" i="49"/>
  <c r="BI129" i="49"/>
  <c r="DG98" i="49"/>
  <c r="BI450" i="49"/>
  <c r="DG41" i="49"/>
  <c r="AP464" i="49"/>
  <c r="DG7" i="49"/>
  <c r="DG117" i="49"/>
  <c r="DG443" i="49"/>
  <c r="BI34" i="49"/>
  <c r="BI180" i="49"/>
  <c r="AP440" i="49"/>
  <c r="BI319" i="49"/>
  <c r="BI47" i="49"/>
  <c r="DK474" i="49"/>
  <c r="AP467" i="49"/>
  <c r="BI439" i="49"/>
  <c r="BI131" i="49"/>
  <c r="DG293" i="49"/>
  <c r="BI28" i="49"/>
  <c r="BI171" i="49"/>
  <c r="DG105" i="49"/>
  <c r="BI475" i="49"/>
  <c r="DG67" i="49"/>
  <c r="AT419" i="49"/>
  <c r="AP472" i="49"/>
  <c r="DG103" i="49"/>
  <c r="DG64" i="49"/>
  <c r="DC199" i="49"/>
  <c r="DC144" i="49"/>
  <c r="DC75" i="49"/>
  <c r="DK459" i="49"/>
  <c r="DC241" i="49"/>
  <c r="DC411" i="49"/>
  <c r="DC290" i="49"/>
  <c r="DC198" i="49"/>
  <c r="DC183" i="49"/>
  <c r="DC445" i="49"/>
  <c r="DC487" i="49"/>
  <c r="DC58" i="49"/>
  <c r="BR182" i="49"/>
  <c r="DC458" i="49"/>
  <c r="DG97" i="49"/>
  <c r="DG73" i="49"/>
  <c r="DC339" i="49"/>
  <c r="CN465" i="49"/>
  <c r="DC317" i="49"/>
  <c r="DC189" i="49"/>
  <c r="CN462" i="49"/>
  <c r="DC436" i="49"/>
  <c r="DC334" i="49"/>
  <c r="DC368" i="49"/>
  <c r="DG298" i="49"/>
  <c r="DC59" i="49"/>
  <c r="CN22" i="49"/>
  <c r="BF5" i="49"/>
  <c r="BF500" i="49"/>
  <c r="BF2" i="49"/>
  <c r="BE500" i="49"/>
  <c r="BE2" i="49"/>
  <c r="BG330" i="49"/>
  <c r="BH330" i="49"/>
  <c r="BG5" i="49"/>
  <c r="DL482" i="49"/>
  <c r="AR426" i="49"/>
  <c r="AS426" i="49"/>
  <c r="AQ426" i="49"/>
  <c r="AR229" i="49"/>
  <c r="AS229" i="49"/>
  <c r="AQ229" i="49"/>
  <c r="AR260" i="49"/>
  <c r="AS260" i="49"/>
  <c r="AQ260" i="49"/>
  <c r="DL483" i="49"/>
  <c r="BI433" i="49"/>
  <c r="AI141" i="49"/>
  <c r="CO416" i="49"/>
  <c r="CN34" i="49"/>
  <c r="BI17" i="49"/>
  <c r="BR244" i="49"/>
  <c r="DL420" i="49"/>
  <c r="CO480" i="49"/>
  <c r="BR375" i="49"/>
  <c r="CO397" i="49"/>
  <c r="CO202" i="49"/>
  <c r="BI376" i="49"/>
  <c r="BI96" i="49"/>
  <c r="BI148" i="49"/>
  <c r="DL284" i="49"/>
  <c r="AR329" i="49"/>
  <c r="AS329" i="49"/>
  <c r="AQ329" i="49"/>
  <c r="DL221" i="49"/>
  <c r="DL280" i="49"/>
  <c r="CO175" i="49"/>
  <c r="CH24" i="49"/>
  <c r="CI24" i="49"/>
  <c r="CG24" i="49"/>
  <c r="CH19" i="49"/>
  <c r="CI19" i="49"/>
  <c r="CG19" i="49"/>
  <c r="DL171" i="49"/>
  <c r="CO238" i="49"/>
  <c r="DL387" i="49"/>
  <c r="DL287" i="49"/>
  <c r="DL272" i="49"/>
  <c r="CO391" i="49"/>
  <c r="CO375" i="49"/>
  <c r="CO285" i="49"/>
  <c r="DL230" i="49"/>
  <c r="DC36" i="49"/>
  <c r="DC457" i="49"/>
  <c r="DC54" i="49"/>
  <c r="DC354" i="49"/>
  <c r="DC248" i="49"/>
  <c r="DC38" i="49"/>
  <c r="DC174" i="49"/>
  <c r="DC124" i="49"/>
  <c r="DC313" i="49"/>
  <c r="DC77" i="49"/>
  <c r="DC15" i="49"/>
  <c r="AP474" i="49"/>
  <c r="DL398" i="49"/>
  <c r="BR62" i="49"/>
  <c r="DK35" i="49"/>
  <c r="AI65" i="49"/>
  <c r="AJ65" i="49"/>
  <c r="AK65" i="49"/>
  <c r="AI192" i="49"/>
  <c r="AI31" i="49"/>
  <c r="AJ31" i="49"/>
  <c r="AK31" i="49"/>
  <c r="BR239" i="49"/>
  <c r="DC159" i="49"/>
  <c r="DC447" i="49"/>
  <c r="DC252" i="49"/>
  <c r="DC319" i="49"/>
  <c r="DC496" i="49"/>
  <c r="DC61" i="49"/>
  <c r="DC261" i="49"/>
  <c r="DC148" i="49"/>
  <c r="DC455" i="49"/>
  <c r="DC379" i="49"/>
  <c r="DC325" i="49"/>
  <c r="DC498" i="49"/>
  <c r="DC131" i="49"/>
  <c r="DC245" i="49"/>
  <c r="DC142" i="49"/>
  <c r="DC44" i="49"/>
  <c r="DC343" i="49"/>
  <c r="DC47" i="49"/>
  <c r="DC486" i="49"/>
  <c r="DC224" i="49"/>
  <c r="DC50" i="49"/>
  <c r="DC72" i="49"/>
  <c r="DC200" i="49"/>
  <c r="DC101" i="49"/>
  <c r="DC274" i="49"/>
  <c r="DC333" i="49"/>
  <c r="DC172" i="49"/>
  <c r="DC281" i="49"/>
  <c r="DC30" i="49"/>
  <c r="DC85" i="49"/>
  <c r="DC106" i="49"/>
  <c r="DC366" i="49"/>
  <c r="DC314" i="49"/>
  <c r="DC167" i="49"/>
  <c r="DC437" i="49"/>
  <c r="DC84" i="49"/>
  <c r="DC305" i="49"/>
  <c r="DC83" i="49"/>
  <c r="DC28" i="49"/>
  <c r="DC385" i="49"/>
  <c r="DC197" i="49"/>
  <c r="CH433" i="49"/>
  <c r="CI433" i="49"/>
  <c r="CG433" i="49"/>
  <c r="DK467" i="49"/>
  <c r="DK21" i="49"/>
  <c r="CN443" i="49"/>
  <c r="CO297" i="49"/>
  <c r="BR367" i="49"/>
  <c r="DL282" i="49"/>
  <c r="DK464" i="49"/>
  <c r="BR422" i="49"/>
  <c r="DC89" i="49"/>
  <c r="DC178" i="49"/>
  <c r="DC81" i="49"/>
  <c r="DC26" i="49"/>
  <c r="DC316" i="49"/>
  <c r="DC450" i="49"/>
  <c r="DC23" i="49"/>
  <c r="DC492" i="49"/>
  <c r="DC247" i="49"/>
  <c r="DC414" i="49"/>
  <c r="BR288" i="49"/>
  <c r="BR369" i="49"/>
  <c r="CO415" i="49"/>
  <c r="BR405" i="49"/>
  <c r="DK456" i="49"/>
  <c r="AR255" i="49"/>
  <c r="AQ255" i="49"/>
  <c r="DL238" i="49"/>
  <c r="DL263" i="49"/>
  <c r="CO244" i="49"/>
  <c r="AR411" i="49"/>
  <c r="AS411" i="49"/>
  <c r="AQ411" i="49"/>
  <c r="DL364" i="49"/>
  <c r="DL212" i="49"/>
  <c r="DC127" i="49"/>
  <c r="DC296" i="49"/>
  <c r="DC129" i="49"/>
  <c r="DC173" i="49"/>
  <c r="DC119" i="49"/>
  <c r="DC395" i="49"/>
  <c r="DC484" i="49"/>
  <c r="DC157" i="49"/>
  <c r="DL269" i="49"/>
  <c r="AI253" i="49"/>
  <c r="AI145" i="49"/>
  <c r="AI214" i="49"/>
  <c r="AI179" i="49"/>
  <c r="AJ179" i="49"/>
  <c r="AK179" i="49"/>
  <c r="AI35" i="49"/>
  <c r="AJ35" i="49"/>
  <c r="AK35" i="49"/>
  <c r="CO374" i="49"/>
  <c r="CO228" i="49"/>
  <c r="DL176" i="49"/>
  <c r="CO369" i="49"/>
  <c r="AR262" i="49"/>
  <c r="AS262" i="49"/>
  <c r="AQ262" i="49"/>
  <c r="AR332" i="49"/>
  <c r="AS332" i="49"/>
  <c r="AQ332" i="49"/>
  <c r="CO426" i="49"/>
  <c r="CO345" i="49"/>
  <c r="AI17" i="49"/>
  <c r="AR182" i="49"/>
  <c r="AS182" i="49"/>
  <c r="AQ182" i="49"/>
  <c r="CD50" i="49"/>
  <c r="CE50" i="49"/>
  <c r="AR291" i="49"/>
  <c r="AS291" i="49"/>
  <c r="AQ291" i="49"/>
  <c r="AR381" i="49"/>
  <c r="AS381" i="49"/>
  <c r="AQ381" i="49"/>
  <c r="AR286" i="49"/>
  <c r="AS286" i="49"/>
  <c r="AQ286" i="49"/>
  <c r="CD301" i="49"/>
  <c r="CE301" i="49"/>
  <c r="CD64" i="49"/>
  <c r="CE64" i="49"/>
  <c r="CD83" i="49"/>
  <c r="CE83" i="49"/>
  <c r="AN40" i="49"/>
  <c r="AO40" i="49"/>
  <c r="AM40" i="49"/>
  <c r="BO40" i="49"/>
  <c r="BP40" i="49"/>
  <c r="BN40" i="49"/>
  <c r="CO257" i="49"/>
  <c r="CH256" i="49"/>
  <c r="CI256" i="49"/>
  <c r="CG256" i="49"/>
  <c r="AR171" i="49"/>
  <c r="AS171" i="49"/>
  <c r="AQ171" i="49"/>
  <c r="AR272" i="49"/>
  <c r="AS272" i="49"/>
  <c r="AQ272" i="49"/>
  <c r="AR401" i="49"/>
  <c r="AS401" i="49"/>
  <c r="AQ401" i="49"/>
  <c r="CO63" i="49"/>
  <c r="CD153" i="49"/>
  <c r="CE153" i="49"/>
  <c r="CD38" i="49"/>
  <c r="CE38" i="49"/>
  <c r="CD293" i="49"/>
  <c r="CE293" i="49"/>
  <c r="DL291" i="49"/>
  <c r="CO246" i="49"/>
  <c r="CD90" i="49"/>
  <c r="CE90" i="49"/>
  <c r="CD136" i="49"/>
  <c r="CE136" i="49"/>
  <c r="CD70" i="49"/>
  <c r="CE70" i="49"/>
  <c r="BR273" i="49"/>
  <c r="CD218" i="49"/>
  <c r="CE218" i="49"/>
  <c r="AR302" i="49"/>
  <c r="AS302" i="49"/>
  <c r="AQ302" i="49"/>
  <c r="CD400" i="49"/>
  <c r="CE400" i="49"/>
  <c r="BR175" i="49"/>
  <c r="BR309" i="49"/>
  <c r="BR206" i="49"/>
  <c r="AR488" i="49"/>
  <c r="AS488" i="49"/>
  <c r="AQ488" i="49"/>
  <c r="DL244" i="49"/>
  <c r="CD134" i="49"/>
  <c r="CE134" i="49"/>
  <c r="CD174" i="49"/>
  <c r="CE174" i="49"/>
  <c r="CD338" i="49"/>
  <c r="CE338" i="49"/>
  <c r="CD382" i="49"/>
  <c r="CE382" i="49"/>
  <c r="AR178" i="49"/>
  <c r="AS178" i="49"/>
  <c r="AQ178" i="49"/>
  <c r="CD402" i="49"/>
  <c r="CE402" i="49"/>
  <c r="CD14" i="49"/>
  <c r="CE14" i="49"/>
  <c r="CD110" i="49"/>
  <c r="CE110" i="49"/>
  <c r="CO328" i="49"/>
  <c r="CO259" i="49"/>
  <c r="CO284" i="49"/>
  <c r="CD444" i="49"/>
  <c r="CE444" i="49"/>
  <c r="AR369" i="49"/>
  <c r="AS369" i="49"/>
  <c r="AQ369" i="49"/>
  <c r="AR283" i="49"/>
  <c r="AS283" i="49"/>
  <c r="AQ283" i="49"/>
  <c r="CD343" i="49"/>
  <c r="CE343" i="49"/>
  <c r="AR402" i="49"/>
  <c r="AS402" i="49"/>
  <c r="AQ402" i="49"/>
  <c r="CH23" i="49"/>
  <c r="CI23" i="49"/>
  <c r="CG23" i="49"/>
  <c r="BR345" i="49"/>
  <c r="CD395" i="49"/>
  <c r="CE395" i="49"/>
  <c r="CD378" i="49"/>
  <c r="CE378" i="49"/>
  <c r="CH420" i="49"/>
  <c r="CI420" i="49"/>
  <c r="CG420" i="49"/>
  <c r="CH45" i="49"/>
  <c r="CI45" i="49"/>
  <c r="CG45" i="49"/>
  <c r="AR406" i="49"/>
  <c r="AS406" i="49"/>
  <c r="AQ406" i="49"/>
  <c r="AR432" i="49"/>
  <c r="AS432" i="49"/>
  <c r="AQ432" i="49"/>
  <c r="AR147" i="49"/>
  <c r="AS147" i="49"/>
  <c r="AQ147" i="49"/>
  <c r="CO177" i="49"/>
  <c r="AR53" i="49"/>
  <c r="AS53" i="49"/>
  <c r="AQ53" i="49"/>
  <c r="AR287" i="49"/>
  <c r="AS287" i="49"/>
  <c r="AQ287" i="49"/>
  <c r="CD333" i="49"/>
  <c r="CE333" i="49"/>
  <c r="CD354" i="49"/>
  <c r="CE354" i="49"/>
  <c r="CD149" i="49"/>
  <c r="CE149" i="49"/>
  <c r="CD377" i="49"/>
  <c r="CE377" i="49"/>
  <c r="DL422" i="49"/>
  <c r="CD383" i="49"/>
  <c r="CE383" i="49"/>
  <c r="CO258" i="49"/>
  <c r="AR211" i="49"/>
  <c r="AS211" i="49"/>
  <c r="AQ211" i="49"/>
  <c r="CD39" i="49"/>
  <c r="CE39" i="49"/>
  <c r="CD183" i="49"/>
  <c r="CE183" i="49"/>
  <c r="CD461" i="49"/>
  <c r="CE461" i="49"/>
  <c r="CD163" i="49"/>
  <c r="CE163" i="49"/>
  <c r="AR280" i="49"/>
  <c r="AS280" i="49"/>
  <c r="AQ280" i="49"/>
  <c r="AR257" i="49"/>
  <c r="AS257" i="49"/>
  <c r="AQ257" i="49"/>
  <c r="CH37" i="49"/>
  <c r="CI37" i="49"/>
  <c r="CG37" i="49"/>
  <c r="BR291" i="49"/>
  <c r="CO231" i="49"/>
  <c r="CD477" i="49"/>
  <c r="CE477" i="49"/>
  <c r="AR244" i="49"/>
  <c r="AS244" i="49"/>
  <c r="AQ244" i="49"/>
  <c r="CD310" i="49"/>
  <c r="CE310" i="49"/>
  <c r="CD118" i="49"/>
  <c r="CE118" i="49"/>
  <c r="CD119" i="49"/>
  <c r="CE119" i="49"/>
  <c r="CD88" i="49"/>
  <c r="CE88" i="49"/>
  <c r="CD29" i="49"/>
  <c r="CE29" i="49"/>
  <c r="CD217" i="49"/>
  <c r="CE217" i="49"/>
  <c r="CD243" i="49"/>
  <c r="CE243" i="49"/>
  <c r="BR387" i="49"/>
  <c r="AR269" i="49"/>
  <c r="AS269" i="49"/>
  <c r="AQ269" i="49"/>
  <c r="DC100" i="49"/>
  <c r="DC121" i="49"/>
  <c r="CH98" i="49"/>
  <c r="CI98" i="49"/>
  <c r="CG98" i="49"/>
  <c r="BR371" i="49"/>
  <c r="DL181" i="49"/>
  <c r="BI361" i="49"/>
  <c r="CO387" i="49"/>
  <c r="AI470" i="49"/>
  <c r="AI70" i="49"/>
  <c r="AI96" i="49"/>
  <c r="AI72" i="49"/>
  <c r="AI8" i="49"/>
  <c r="AI412" i="49"/>
  <c r="AI156" i="49"/>
  <c r="AI101" i="49"/>
  <c r="AI83" i="49"/>
  <c r="AI52" i="49"/>
  <c r="AI430" i="49"/>
  <c r="AI377" i="49"/>
  <c r="AI314" i="49"/>
  <c r="AI306" i="49"/>
  <c r="AI326" i="49"/>
  <c r="AI79" i="49"/>
  <c r="AI155" i="49"/>
  <c r="AI296" i="49"/>
  <c r="AI234" i="49"/>
  <c r="AJ234" i="49"/>
  <c r="AK234" i="49"/>
  <c r="AI172" i="49"/>
  <c r="AI437" i="49"/>
  <c r="AI413" i="49"/>
  <c r="AI77" i="49"/>
  <c r="AI180" i="49"/>
  <c r="AI425" i="49"/>
  <c r="AI186" i="49"/>
  <c r="AI208" i="49"/>
  <c r="AI384" i="49"/>
  <c r="AI459" i="49"/>
  <c r="AI110" i="49"/>
  <c r="AJ110" i="49"/>
  <c r="AK110" i="49"/>
  <c r="AI184" i="49"/>
  <c r="AI372" i="49"/>
  <c r="AI338" i="49"/>
  <c r="AI173" i="49"/>
  <c r="AI50" i="49"/>
  <c r="AI84" i="49"/>
  <c r="AI481" i="49"/>
  <c r="AI336" i="49"/>
  <c r="AJ336" i="49"/>
  <c r="AK336" i="49"/>
  <c r="AI442" i="49"/>
  <c r="AI30" i="49"/>
  <c r="CO236" i="49"/>
  <c r="BR417" i="49"/>
  <c r="AP456" i="49"/>
  <c r="DA500" i="49"/>
  <c r="DA2" i="49"/>
  <c r="DB5" i="49"/>
  <c r="DL375" i="49"/>
  <c r="DL168" i="49"/>
  <c r="DL246" i="49"/>
  <c r="DL242" i="49"/>
  <c r="DL239" i="49"/>
  <c r="DL402" i="49"/>
  <c r="DL222" i="49"/>
  <c r="CO291" i="49"/>
  <c r="DL401" i="49"/>
  <c r="DK355" i="49"/>
  <c r="CO309" i="49"/>
  <c r="BI226" i="49"/>
  <c r="CN466" i="49"/>
  <c r="BI320" i="49"/>
  <c r="BI236" i="49"/>
  <c r="BR397" i="49"/>
  <c r="DL347" i="49"/>
  <c r="AN36" i="49"/>
  <c r="AO36" i="49"/>
  <c r="AM36" i="49"/>
  <c r="CD93" i="49"/>
  <c r="CE93" i="49"/>
  <c r="CD493" i="49"/>
  <c r="CE493" i="49"/>
  <c r="CD393" i="49"/>
  <c r="CE393" i="49"/>
  <c r="CD143" i="49"/>
  <c r="CE143" i="49"/>
  <c r="CD342" i="49"/>
  <c r="CE342" i="49"/>
  <c r="CD242" i="49"/>
  <c r="CE242" i="49"/>
  <c r="CD123" i="49"/>
  <c r="CE123" i="49"/>
  <c r="CD281" i="49"/>
  <c r="CE281" i="49"/>
  <c r="CD154" i="49"/>
  <c r="CE154" i="49"/>
  <c r="CD335" i="49"/>
  <c r="CE335" i="49"/>
  <c r="CD298" i="49"/>
  <c r="CE298" i="49"/>
  <c r="CD170" i="49"/>
  <c r="CE170" i="49"/>
  <c r="CD339" i="49"/>
  <c r="CE339" i="49"/>
  <c r="CD265" i="49"/>
  <c r="CE265" i="49"/>
  <c r="CD467" i="49"/>
  <c r="CE467" i="49"/>
  <c r="CD150" i="49"/>
  <c r="CE150" i="49"/>
  <c r="CD196" i="49"/>
  <c r="CE196" i="49"/>
  <c r="CD249" i="49"/>
  <c r="CE249" i="49"/>
  <c r="CD267" i="49"/>
  <c r="CE267" i="49"/>
  <c r="CD117" i="49"/>
  <c r="CE117" i="49"/>
  <c r="CD180" i="49"/>
  <c r="CE180" i="49"/>
  <c r="CD318" i="49"/>
  <c r="CE318" i="49"/>
  <c r="CD334" i="49"/>
  <c r="CE334" i="49"/>
  <c r="CD352" i="49"/>
  <c r="CE352" i="49"/>
  <c r="CD356" i="49"/>
  <c r="CE356" i="49"/>
  <c r="CD44" i="49"/>
  <c r="CE44" i="49"/>
  <c r="CD124" i="49"/>
  <c r="CE124" i="49"/>
  <c r="CD96" i="49"/>
  <c r="CE96" i="49"/>
  <c r="CD52" i="49"/>
  <c r="CE52" i="49"/>
  <c r="CD42" i="49"/>
  <c r="CE42" i="49"/>
  <c r="CD388" i="49"/>
  <c r="CE388" i="49"/>
  <c r="CD167" i="49"/>
  <c r="CE167" i="49"/>
  <c r="CD361" i="49"/>
  <c r="CE361" i="49"/>
  <c r="CD455" i="49"/>
  <c r="CE455" i="49"/>
  <c r="CD317" i="49"/>
  <c r="CE317" i="49"/>
  <c r="CD219" i="49"/>
  <c r="CE219" i="49"/>
  <c r="CD431" i="49"/>
  <c r="CE431" i="49"/>
  <c r="CD275" i="49"/>
  <c r="CE275" i="49"/>
  <c r="CD372" i="49"/>
  <c r="CE372" i="49"/>
  <c r="CD299" i="49"/>
  <c r="CE299" i="49"/>
  <c r="CD436" i="49"/>
  <c r="CE436" i="49"/>
  <c r="CD49" i="49"/>
  <c r="CE49" i="49"/>
  <c r="CD159" i="49"/>
  <c r="CE159" i="49"/>
  <c r="CD365" i="49"/>
  <c r="CE365" i="49"/>
  <c r="CD453" i="49"/>
  <c r="CE453" i="49"/>
  <c r="CD17" i="49"/>
  <c r="CE17" i="49"/>
  <c r="CD445" i="49"/>
  <c r="CE445" i="49"/>
  <c r="CD197" i="49"/>
  <c r="CE197" i="49"/>
  <c r="CD494" i="49"/>
  <c r="CE494" i="49"/>
  <c r="CD380" i="49"/>
  <c r="CE380" i="49"/>
  <c r="CD331" i="49"/>
  <c r="CE331" i="49"/>
  <c r="CD201" i="49"/>
  <c r="CE201" i="49"/>
  <c r="CD363" i="49"/>
  <c r="CE363" i="49"/>
  <c r="CD320" i="49"/>
  <c r="CE320" i="49"/>
  <c r="CD160" i="49"/>
  <c r="CE160" i="49"/>
  <c r="CD394" i="49"/>
  <c r="CE394" i="49"/>
  <c r="CD15" i="49"/>
  <c r="CE15" i="49"/>
  <c r="CD79" i="49"/>
  <c r="CE79" i="49"/>
  <c r="CD325" i="49"/>
  <c r="CE325" i="49"/>
  <c r="CD109" i="49"/>
  <c r="CE109" i="49"/>
  <c r="CD66" i="49"/>
  <c r="CE66" i="49"/>
  <c r="CD161" i="49"/>
  <c r="CE161" i="49"/>
  <c r="CD273" i="49"/>
  <c r="CE273" i="49"/>
  <c r="CD121" i="49"/>
  <c r="CE121" i="49"/>
  <c r="CD314" i="49"/>
  <c r="CE314" i="49"/>
  <c r="CD186" i="49"/>
  <c r="CE186" i="49"/>
  <c r="CD316" i="49"/>
  <c r="CE316" i="49"/>
  <c r="CD125" i="49"/>
  <c r="CE125" i="49"/>
  <c r="CD274" i="49"/>
  <c r="CE274" i="49"/>
  <c r="CD262" i="49"/>
  <c r="CE262" i="49"/>
  <c r="CD192" i="49"/>
  <c r="CE192" i="49"/>
  <c r="CD84" i="49"/>
  <c r="CE84" i="49"/>
  <c r="CD138" i="49"/>
  <c r="CE138" i="49"/>
  <c r="CD178" i="49"/>
  <c r="CE178" i="49"/>
  <c r="CD266" i="49"/>
  <c r="CE266" i="49"/>
  <c r="CD240" i="49"/>
  <c r="CE240" i="49"/>
  <c r="CD306" i="49"/>
  <c r="CE306" i="49"/>
  <c r="CD26" i="49"/>
  <c r="CE26" i="49"/>
  <c r="CD21" i="49"/>
  <c r="CE21" i="49"/>
  <c r="CD91" i="49"/>
  <c r="CE91" i="49"/>
  <c r="CD245" i="49"/>
  <c r="CE245" i="49"/>
  <c r="CD357" i="49"/>
  <c r="CE357" i="49"/>
  <c r="CD233" i="49"/>
  <c r="CE233" i="49"/>
  <c r="CD184" i="49"/>
  <c r="CE184" i="49"/>
  <c r="CD478" i="49"/>
  <c r="CE478" i="49"/>
  <c r="CD54" i="49"/>
  <c r="CE54" i="49"/>
  <c r="CD450" i="49"/>
  <c r="CE450" i="49"/>
  <c r="CD419" i="49"/>
  <c r="CE419" i="49"/>
  <c r="CD410" i="49"/>
  <c r="CE410" i="49"/>
  <c r="CD16" i="49"/>
  <c r="CE16" i="49"/>
  <c r="CD208" i="49"/>
  <c r="CE208" i="49"/>
  <c r="CD139" i="49"/>
  <c r="CE139" i="49"/>
  <c r="CD337" i="49"/>
  <c r="CE337" i="49"/>
  <c r="CD475" i="49"/>
  <c r="CE475" i="49"/>
  <c r="CD142" i="49"/>
  <c r="CE142" i="49"/>
  <c r="CD438" i="49"/>
  <c r="CE438" i="49"/>
  <c r="CD350" i="49"/>
  <c r="CE350" i="49"/>
  <c r="CD135" i="49"/>
  <c r="CE135" i="49"/>
  <c r="CD278" i="49"/>
  <c r="CE278" i="49"/>
  <c r="CD271" i="49"/>
  <c r="CE271" i="49"/>
  <c r="CD156" i="49"/>
  <c r="CE156" i="49"/>
  <c r="CD322" i="49"/>
  <c r="CE322" i="49"/>
  <c r="CD157" i="49"/>
  <c r="CE157" i="49"/>
  <c r="CD92" i="49"/>
  <c r="CE92" i="49"/>
  <c r="CD179" i="49"/>
  <c r="CE179" i="49"/>
  <c r="CD148" i="49"/>
  <c r="CE148" i="49"/>
  <c r="CD48" i="49"/>
  <c r="CE48" i="49"/>
  <c r="CD120" i="49"/>
  <c r="CE120" i="49"/>
  <c r="CD280" i="49"/>
  <c r="CE280" i="49"/>
  <c r="CD114" i="49"/>
  <c r="CE114" i="49"/>
  <c r="CD441" i="49"/>
  <c r="CE441" i="49"/>
  <c r="CD427" i="49"/>
  <c r="CE427" i="49"/>
  <c r="CD215" i="49"/>
  <c r="CE215" i="49"/>
  <c r="CD484" i="49"/>
  <c r="CE484" i="49"/>
  <c r="CD75" i="49"/>
  <c r="CE75" i="49"/>
  <c r="CD470" i="49"/>
  <c r="CE470" i="49"/>
  <c r="CD491" i="49"/>
  <c r="CE491" i="49"/>
  <c r="CD211" i="49"/>
  <c r="CE211" i="49"/>
  <c r="CD82" i="49"/>
  <c r="CE82" i="49"/>
  <c r="CD81" i="49"/>
  <c r="CE81" i="49"/>
  <c r="CD133" i="49"/>
  <c r="CE133" i="49"/>
  <c r="CD485" i="49"/>
  <c r="CE485" i="49"/>
  <c r="CD250" i="49"/>
  <c r="CE250" i="49"/>
  <c r="CD235" i="49"/>
  <c r="CE235" i="49"/>
  <c r="CD190" i="49"/>
  <c r="CE190" i="49"/>
  <c r="CD105" i="49"/>
  <c r="CE105" i="49"/>
  <c r="CD200" i="49"/>
  <c r="CE200" i="49"/>
  <c r="CD341" i="49"/>
  <c r="CE341" i="49"/>
  <c r="CD158" i="49"/>
  <c r="CE158" i="49"/>
  <c r="CD85" i="49"/>
  <c r="CE85" i="49"/>
  <c r="CD282" i="49"/>
  <c r="CE282" i="49"/>
  <c r="CD9" i="49"/>
  <c r="CE9" i="49"/>
  <c r="CD234" i="49"/>
  <c r="CE234" i="49"/>
  <c r="CD13" i="49"/>
  <c r="CE13" i="49"/>
  <c r="CD60" i="49"/>
  <c r="CE60" i="49"/>
  <c r="CD373" i="49"/>
  <c r="CE373" i="49"/>
  <c r="CD346" i="49"/>
  <c r="CE346" i="49"/>
  <c r="CD131" i="49"/>
  <c r="CE131" i="49"/>
  <c r="CD308" i="49"/>
  <c r="CE308" i="49"/>
  <c r="CD367" i="49"/>
  <c r="CE367" i="49"/>
  <c r="CD268" i="49"/>
  <c r="CE268" i="49"/>
  <c r="CD76" i="49"/>
  <c r="CE76" i="49"/>
  <c r="CD351" i="49"/>
  <c r="CE351" i="49"/>
  <c r="CD435" i="49"/>
  <c r="CE435" i="49"/>
  <c r="CD20" i="49"/>
  <c r="CE20" i="49"/>
  <c r="CD89" i="49"/>
  <c r="CE89" i="49"/>
  <c r="CD214" i="49"/>
  <c r="CE214" i="49"/>
  <c r="CD447" i="49"/>
  <c r="CE447" i="49"/>
  <c r="CD311" i="49"/>
  <c r="CE311" i="49"/>
  <c r="CD315" i="49"/>
  <c r="CE315" i="49"/>
  <c r="CD448" i="49"/>
  <c r="CE448" i="49"/>
  <c r="CD128" i="49"/>
  <c r="CE128" i="49"/>
  <c r="CD112" i="49"/>
  <c r="CE112" i="49"/>
  <c r="CD173" i="49"/>
  <c r="CE173" i="49"/>
  <c r="CD425" i="49"/>
  <c r="CE425" i="49"/>
  <c r="CD360" i="49"/>
  <c r="CE360" i="49"/>
  <c r="CD340" i="49"/>
  <c r="CE340" i="49"/>
  <c r="CD384" i="49"/>
  <c r="CE384" i="49"/>
  <c r="CD279" i="49"/>
  <c r="CE279" i="49"/>
  <c r="CD319" i="49"/>
  <c r="CE319" i="49"/>
  <c r="CD296" i="49"/>
  <c r="CE296" i="49"/>
  <c r="CD94" i="49"/>
  <c r="CE94" i="49"/>
  <c r="CD312" i="49"/>
  <c r="CE312" i="49"/>
  <c r="CD349" i="49"/>
  <c r="CE349" i="49"/>
  <c r="CD115" i="49"/>
  <c r="CE115" i="49"/>
  <c r="AI32" i="49"/>
  <c r="AJ32" i="49"/>
  <c r="DC135" i="49"/>
  <c r="DC423" i="49"/>
  <c r="DC158" i="49"/>
  <c r="DC331" i="49"/>
  <c r="DC393" i="49"/>
  <c r="DC427" i="49"/>
  <c r="DC132" i="49"/>
  <c r="DC243" i="49"/>
  <c r="DC439" i="49"/>
  <c r="DK469" i="49"/>
  <c r="DL137" i="49"/>
  <c r="AR242" i="49"/>
  <c r="AS242" i="49"/>
  <c r="AQ242" i="49"/>
  <c r="AR429" i="49"/>
  <c r="AS429" i="49"/>
  <c r="AQ429" i="49"/>
  <c r="DL206" i="49"/>
  <c r="AR222" i="49"/>
  <c r="AS222" i="49"/>
  <c r="AQ222" i="49"/>
  <c r="DK465" i="49"/>
  <c r="DL254" i="49"/>
  <c r="BI492" i="49"/>
  <c r="DL353" i="49"/>
  <c r="DL407" i="49"/>
  <c r="AI197" i="49"/>
  <c r="AI361" i="49"/>
  <c r="AI47" i="49"/>
  <c r="AI493" i="49"/>
  <c r="AI11" i="49"/>
  <c r="AJ11" i="49"/>
  <c r="AK11" i="49"/>
  <c r="AI261" i="49"/>
  <c r="AI348" i="49"/>
  <c r="AI357" i="49"/>
  <c r="AI427" i="49"/>
  <c r="AI379" i="49"/>
  <c r="AI414" i="49"/>
  <c r="AJ414" i="49"/>
  <c r="AK414" i="49"/>
  <c r="AI423" i="49"/>
  <c r="AI299" i="49"/>
  <c r="AI250" i="49"/>
  <c r="AI92" i="49"/>
  <c r="AJ92" i="49"/>
  <c r="AK92" i="49"/>
  <c r="AI358" i="49"/>
  <c r="AI129" i="49"/>
  <c r="AI247" i="49"/>
  <c r="AI163" i="49"/>
  <c r="AI266" i="49"/>
  <c r="AI146" i="49"/>
  <c r="AI95" i="49"/>
  <c r="AI187" i="49"/>
  <c r="AI486" i="49"/>
  <c r="AI477" i="49"/>
  <c r="AI142" i="49"/>
  <c r="AI98" i="49"/>
  <c r="AJ98" i="49"/>
  <c r="AK98" i="49"/>
  <c r="AI159" i="49"/>
  <c r="AI341" i="49"/>
  <c r="AJ341" i="49"/>
  <c r="AK341" i="49"/>
  <c r="AI453" i="49"/>
  <c r="AI44" i="49"/>
  <c r="AI275" i="49"/>
  <c r="AI123" i="49"/>
  <c r="AI99" i="49"/>
  <c r="AI167" i="49"/>
  <c r="AI310" i="49"/>
  <c r="AI380" i="49"/>
  <c r="AI33" i="49"/>
  <c r="CO269" i="49"/>
  <c r="CN474" i="49"/>
  <c r="DC19" i="49"/>
  <c r="DC217" i="49"/>
  <c r="DC384" i="49"/>
  <c r="DC69" i="49"/>
  <c r="DC346" i="49"/>
  <c r="DC234" i="49"/>
  <c r="DC164" i="49"/>
  <c r="DC390" i="49"/>
  <c r="DC418" i="49"/>
  <c r="DC196" i="49"/>
  <c r="DC318" i="49"/>
  <c r="DC133" i="49"/>
  <c r="DC301" i="49"/>
  <c r="DC297" i="49"/>
  <c r="DC110" i="49"/>
  <c r="DC125" i="49"/>
  <c r="DC357" i="49"/>
  <c r="DC454" i="49"/>
  <c r="DC315" i="49"/>
  <c r="DC92" i="49"/>
  <c r="DC306" i="49"/>
  <c r="DC340" i="49"/>
  <c r="DC145" i="49"/>
  <c r="DC441" i="49"/>
  <c r="DC8" i="49"/>
  <c r="DC114" i="49"/>
  <c r="DC265" i="49"/>
  <c r="DC126" i="49"/>
  <c r="DC136" i="49"/>
  <c r="DC146" i="49"/>
  <c r="DC350" i="49"/>
  <c r="DC86" i="49"/>
  <c r="DC323" i="49"/>
  <c r="DC438" i="49"/>
  <c r="DC351" i="49"/>
  <c r="DC194" i="49"/>
  <c r="DC382" i="49"/>
  <c r="DC428" i="49"/>
  <c r="DC363" i="49"/>
  <c r="DC185" i="49"/>
  <c r="BR399" i="49"/>
  <c r="DL394" i="49"/>
  <c r="DL399" i="49"/>
  <c r="DL288" i="49"/>
  <c r="CO364" i="49"/>
  <c r="BI10" i="49"/>
  <c r="BI429" i="49"/>
  <c r="BR401" i="49"/>
  <c r="AR168" i="49"/>
  <c r="AS168" i="49"/>
  <c r="AQ168" i="49"/>
  <c r="AR231" i="49"/>
  <c r="AS231" i="49"/>
  <c r="AQ231" i="49"/>
  <c r="CO206" i="49"/>
  <c r="AR221" i="49"/>
  <c r="AS221" i="49"/>
  <c r="AQ221" i="49"/>
  <c r="AR206" i="49"/>
  <c r="AS206" i="49"/>
  <c r="AQ206" i="49"/>
  <c r="CO407" i="49"/>
  <c r="DL147" i="49"/>
  <c r="CO276" i="49"/>
  <c r="DL262" i="49"/>
  <c r="AI39" i="49"/>
  <c r="DC271" i="49"/>
  <c r="DC440" i="49"/>
  <c r="DC475" i="49"/>
  <c r="DC336" i="49"/>
  <c r="DC49" i="49"/>
  <c r="DC352" i="49"/>
  <c r="DC112" i="49"/>
  <c r="DC419" i="49"/>
  <c r="DC78" i="49"/>
  <c r="BI471" i="49"/>
  <c r="CO417" i="49"/>
  <c r="AR236" i="49"/>
  <c r="AS236" i="49"/>
  <c r="AQ236" i="49"/>
  <c r="AR300" i="49"/>
  <c r="AS300" i="49"/>
  <c r="AQ300" i="49"/>
  <c r="CO344" i="49"/>
  <c r="AR276" i="49"/>
  <c r="AS276" i="49"/>
  <c r="AQ276" i="49"/>
  <c r="CO421" i="49"/>
  <c r="CO399" i="49"/>
  <c r="CO389" i="49"/>
  <c r="CO370" i="49"/>
  <c r="DG434" i="49"/>
  <c r="AI75" i="49"/>
  <c r="AI29" i="49"/>
  <c r="AI321" i="49"/>
  <c r="AI74" i="49"/>
  <c r="AI16" i="49"/>
  <c r="AI318" i="49"/>
  <c r="AI165" i="49"/>
  <c r="AI277" i="49"/>
  <c r="AI386" i="49"/>
  <c r="AI331" i="49"/>
  <c r="AI169" i="49"/>
  <c r="AI436" i="49"/>
  <c r="AJ436" i="49"/>
  <c r="AK436" i="49"/>
  <c r="AI61" i="49"/>
  <c r="AI201" i="49"/>
  <c r="AI149" i="49"/>
  <c r="AI252" i="49"/>
  <c r="AI55" i="49"/>
  <c r="AI367" i="49"/>
  <c r="AJ367" i="49"/>
  <c r="AK367" i="49"/>
  <c r="AI224" i="49"/>
  <c r="AI68" i="49"/>
  <c r="AI12" i="49"/>
  <c r="AJ12" i="49"/>
  <c r="AK12" i="49"/>
  <c r="AI218" i="49"/>
  <c r="AI185" i="49"/>
  <c r="AI119" i="49"/>
  <c r="AI445" i="49"/>
  <c r="AI451" i="49"/>
  <c r="AI484" i="49"/>
  <c r="AI76" i="49"/>
  <c r="AI81" i="49"/>
  <c r="AI410" i="49"/>
  <c r="AI434" i="49"/>
  <c r="AJ434" i="49"/>
  <c r="AK434" i="49"/>
  <c r="AI366" i="49"/>
  <c r="AJ366" i="49"/>
  <c r="AK366" i="49"/>
  <c r="AI268" i="49"/>
  <c r="AI317" i="49"/>
  <c r="AI452" i="49"/>
  <c r="AI164" i="49"/>
  <c r="AI136" i="49"/>
  <c r="AI400" i="49"/>
  <c r="AI278" i="49"/>
  <c r="AI457" i="49"/>
  <c r="AI22" i="49"/>
  <c r="AJ22" i="49"/>
  <c r="AK22" i="49"/>
  <c r="AI37" i="49"/>
  <c r="AJ37" i="49"/>
  <c r="AK37" i="49"/>
  <c r="DG65" i="49"/>
  <c r="CO359" i="49"/>
  <c r="CO418" i="49"/>
  <c r="CO422" i="49"/>
  <c r="DL285" i="49"/>
  <c r="DG45" i="49"/>
  <c r="BR398" i="49"/>
  <c r="CN472" i="49"/>
  <c r="AR387" i="49"/>
  <c r="AS387" i="49"/>
  <c r="AQ387" i="49"/>
  <c r="DL371" i="49"/>
  <c r="AR193" i="49"/>
  <c r="AS193" i="49"/>
  <c r="AQ193" i="49"/>
  <c r="AR284" i="49"/>
  <c r="AS284" i="49"/>
  <c r="AQ284" i="49"/>
  <c r="CO304" i="49"/>
  <c r="AR476" i="49"/>
  <c r="AS476" i="49"/>
  <c r="AQ476" i="49"/>
  <c r="DL381" i="49"/>
  <c r="AR293" i="49"/>
  <c r="AS293" i="49"/>
  <c r="AQ293" i="49"/>
  <c r="AR422" i="49"/>
  <c r="AS422" i="49"/>
  <c r="AQ422" i="49"/>
  <c r="DC233" i="49"/>
  <c r="DC444" i="49"/>
  <c r="DK25" i="49"/>
  <c r="DC180" i="49"/>
  <c r="DC358" i="49"/>
  <c r="DC311" i="49"/>
  <c r="DC278" i="49"/>
  <c r="DC404" i="49"/>
  <c r="DK472" i="49"/>
  <c r="DC37" i="49"/>
  <c r="BI470" i="49"/>
  <c r="AR394" i="49"/>
  <c r="AS394" i="49"/>
  <c r="AQ394" i="49"/>
  <c r="BR415" i="49"/>
  <c r="CO272" i="49"/>
  <c r="AR397" i="49"/>
  <c r="AS397" i="49"/>
  <c r="AQ397" i="49"/>
  <c r="AR264" i="49"/>
  <c r="AS264" i="49"/>
  <c r="AQ264" i="49"/>
  <c r="DL389" i="49"/>
  <c r="AR391" i="49"/>
  <c r="AS391" i="49"/>
  <c r="AQ391" i="49"/>
  <c r="DL309" i="49"/>
  <c r="AI471" i="49"/>
  <c r="AI363" i="49"/>
  <c r="AI320" i="49"/>
  <c r="AI489" i="49"/>
  <c r="AI15" i="49"/>
  <c r="AI67" i="49"/>
  <c r="AJ67" i="49"/>
  <c r="AK67" i="49"/>
  <c r="AI190" i="49"/>
  <c r="AI351" i="49"/>
  <c r="AI404" i="49"/>
  <c r="AI382" i="49"/>
  <c r="AH6" i="49"/>
  <c r="AG500" i="49"/>
  <c r="AG2" i="49"/>
  <c r="AI215" i="49"/>
  <c r="AI48" i="49"/>
  <c r="AI352" i="49"/>
  <c r="AI134" i="49"/>
  <c r="AI162" i="49"/>
  <c r="AI487" i="49"/>
  <c r="AI368" i="49"/>
  <c r="AI42" i="49"/>
  <c r="AI267" i="49"/>
  <c r="AI235" i="49"/>
  <c r="AI322" i="49"/>
  <c r="AI132" i="49"/>
  <c r="AI153" i="49"/>
  <c r="AI86" i="49"/>
  <c r="AI281" i="49"/>
  <c r="AI248" i="49"/>
  <c r="AI133" i="49"/>
  <c r="AI60" i="49"/>
  <c r="AI64" i="49"/>
  <c r="AI115" i="49"/>
  <c r="AI420" i="49"/>
  <c r="AI139" i="49"/>
  <c r="AI356" i="49"/>
  <c r="AI475" i="49"/>
  <c r="AI468" i="49"/>
  <c r="DL270" i="49"/>
  <c r="DL476" i="49"/>
  <c r="BR370" i="49"/>
  <c r="DL264" i="49"/>
  <c r="AR359" i="49"/>
  <c r="AS359" i="49"/>
  <c r="AQ359" i="49"/>
  <c r="AI24" i="49"/>
  <c r="AJ24" i="49"/>
  <c r="AK24" i="49"/>
  <c r="BR407" i="49"/>
  <c r="CH392" i="49"/>
  <c r="CI392" i="49"/>
  <c r="CG392" i="49"/>
  <c r="DL255" i="49"/>
  <c r="DG12" i="49"/>
  <c r="CH434" i="49"/>
  <c r="CI434" i="49"/>
  <c r="CG434" i="49"/>
  <c r="DL231" i="49"/>
  <c r="DL251" i="49"/>
  <c r="CO403" i="49"/>
  <c r="BR396" i="49"/>
  <c r="CD122" i="49"/>
  <c r="CE122" i="49"/>
  <c r="CD78" i="49"/>
  <c r="CE78" i="49"/>
  <c r="CD336" i="49"/>
  <c r="CE336" i="49"/>
  <c r="CD487" i="49"/>
  <c r="CE487" i="49"/>
  <c r="CD141" i="49"/>
  <c r="CE141" i="49"/>
  <c r="CD27" i="49"/>
  <c r="CE27" i="49"/>
  <c r="CD442" i="49"/>
  <c r="CE442" i="49"/>
  <c r="AR309" i="49"/>
  <c r="AS309" i="49"/>
  <c r="AQ309" i="49"/>
  <c r="CD457" i="49"/>
  <c r="CE457" i="49"/>
  <c r="AR226" i="49"/>
  <c r="AS226" i="49"/>
  <c r="AQ226" i="49"/>
  <c r="DL362" i="49"/>
  <c r="CD454" i="49"/>
  <c r="CE454" i="49"/>
  <c r="CD185" i="49"/>
  <c r="CE185" i="49"/>
  <c r="CD113" i="49"/>
  <c r="CE113" i="49"/>
  <c r="CD368" i="49"/>
  <c r="CE368" i="49"/>
  <c r="DL286" i="49"/>
  <c r="CD490" i="49"/>
  <c r="CE490" i="49"/>
  <c r="CD247" i="49"/>
  <c r="CE247" i="49"/>
  <c r="DL237" i="49"/>
  <c r="CD437" i="49"/>
  <c r="CE437" i="49"/>
  <c r="CD414" i="49"/>
  <c r="CE414" i="49"/>
  <c r="AR407" i="49"/>
  <c r="AS407" i="49"/>
  <c r="AQ407" i="49"/>
  <c r="CH73" i="49"/>
  <c r="CI73" i="49"/>
  <c r="CG73" i="49"/>
  <c r="CD321" i="49"/>
  <c r="CE321" i="49"/>
  <c r="CD166" i="49"/>
  <c r="CE166" i="49"/>
  <c r="AR282" i="49"/>
  <c r="AS282" i="49"/>
  <c r="AQ282" i="49"/>
  <c r="AR232" i="49"/>
  <c r="AS232" i="49"/>
  <c r="AQ232" i="49"/>
  <c r="CO176" i="49"/>
  <c r="CO181" i="49"/>
  <c r="AR237" i="49"/>
  <c r="AS237" i="49"/>
  <c r="AQ237" i="49"/>
  <c r="AR230" i="49"/>
  <c r="AS230" i="49"/>
  <c r="AQ230" i="49"/>
  <c r="CD7" i="49"/>
  <c r="CE7" i="49"/>
  <c r="CD162" i="49"/>
  <c r="CE162" i="49"/>
  <c r="CD55" i="49"/>
  <c r="CE55" i="49"/>
  <c r="CD152" i="49"/>
  <c r="CE152" i="49"/>
  <c r="CD99" i="49"/>
  <c r="CE99" i="49"/>
  <c r="CD101" i="49"/>
  <c r="CE101" i="49"/>
  <c r="DL344" i="49"/>
  <c r="CD489" i="49"/>
  <c r="CE489" i="49"/>
  <c r="CD51" i="49"/>
  <c r="CE51" i="49"/>
  <c r="DL406" i="49"/>
  <c r="CD56" i="49"/>
  <c r="CE56" i="49"/>
  <c r="CH68" i="49"/>
  <c r="CI68" i="49"/>
  <c r="CG68" i="49"/>
  <c r="AR137" i="49"/>
  <c r="AS137" i="49"/>
  <c r="AQ137" i="49"/>
  <c r="CD252" i="49"/>
  <c r="CE252" i="49"/>
  <c r="BR263" i="49"/>
  <c r="AR405" i="49"/>
  <c r="AS405" i="49"/>
  <c r="AQ405" i="49"/>
  <c r="BR381" i="49"/>
  <c r="CD111" i="49"/>
  <c r="CE111" i="49"/>
  <c r="CD205" i="49"/>
  <c r="CE205" i="49"/>
  <c r="CH107" i="49"/>
  <c r="CI107" i="49"/>
  <c r="CG107" i="49"/>
  <c r="CD129" i="49"/>
  <c r="CE129" i="49"/>
  <c r="CO270" i="49"/>
  <c r="CO171" i="49"/>
  <c r="CD108" i="49"/>
  <c r="CE108" i="49"/>
  <c r="CD144" i="49"/>
  <c r="CE144" i="49"/>
  <c r="CD446" i="49"/>
  <c r="CE446" i="49"/>
  <c r="CD220" i="49"/>
  <c r="CE220" i="49"/>
  <c r="CD199" i="49"/>
  <c r="CE199" i="49"/>
  <c r="CH36" i="49"/>
  <c r="CI36" i="49"/>
  <c r="CG36" i="49"/>
  <c r="AR181" i="49"/>
  <c r="AS181" i="49"/>
  <c r="AQ181" i="49"/>
  <c r="CO229" i="49"/>
  <c r="CD47" i="49"/>
  <c r="CE47" i="49"/>
  <c r="CD327" i="49"/>
  <c r="CE327" i="49"/>
  <c r="CD207" i="49"/>
  <c r="CE207" i="49"/>
  <c r="CD241" i="49"/>
  <c r="CE241" i="49"/>
  <c r="AR273" i="49"/>
  <c r="AS273" i="49"/>
  <c r="AQ273" i="49"/>
  <c r="CD189" i="49"/>
  <c r="CE189" i="49"/>
  <c r="CD30" i="49"/>
  <c r="CE30" i="49"/>
  <c r="CO289" i="49"/>
  <c r="AR304" i="49"/>
  <c r="AS304" i="49"/>
  <c r="AQ304" i="49"/>
  <c r="CD225" i="49"/>
  <c r="CE225" i="49"/>
  <c r="CD58" i="49"/>
  <c r="CE58" i="49"/>
  <c r="CH458" i="49"/>
  <c r="CI458" i="49"/>
  <c r="CG458" i="49"/>
  <c r="BR423" i="49"/>
  <c r="DC195" i="49"/>
  <c r="DC201" i="49"/>
  <c r="DC6" i="49"/>
  <c r="DC257" i="49"/>
  <c r="DK18" i="49"/>
  <c r="BI302" i="49"/>
  <c r="DG11" i="49"/>
  <c r="AP463" i="49"/>
  <c r="DC188" i="49"/>
  <c r="DC79" i="49"/>
  <c r="DC208" i="49"/>
  <c r="DC478" i="49"/>
  <c r="DC150" i="49"/>
  <c r="DC210" i="49"/>
  <c r="DC388" i="49"/>
  <c r="AP443" i="49"/>
  <c r="DC60" i="49"/>
  <c r="DC446" i="49"/>
  <c r="CN452" i="49"/>
  <c r="DC170" i="49"/>
  <c r="DC409" i="49"/>
  <c r="DG489" i="49"/>
  <c r="AP462" i="49"/>
  <c r="AP466" i="49"/>
  <c r="DL213" i="49"/>
  <c r="CO254" i="49"/>
  <c r="CO71" i="49"/>
  <c r="AR362" i="49"/>
  <c r="AS362" i="49"/>
  <c r="AQ362" i="49"/>
  <c r="DL151" i="49"/>
  <c r="DG9" i="49"/>
  <c r="BI362" i="49"/>
  <c r="BI74" i="49"/>
  <c r="CN463" i="49"/>
  <c r="AI324" i="49"/>
  <c r="AI225" i="49"/>
  <c r="BR394" i="49"/>
  <c r="BR232" i="49"/>
  <c r="BR421" i="49"/>
  <c r="BI432" i="49"/>
  <c r="DL232" i="49"/>
  <c r="BR424" i="49"/>
  <c r="AI21" i="49"/>
  <c r="BR137" i="49"/>
  <c r="AR403" i="49"/>
  <c r="AS403" i="49"/>
  <c r="AQ403" i="49"/>
  <c r="CO264" i="49"/>
  <c r="CO213" i="49"/>
  <c r="DL376" i="49"/>
  <c r="AR210" i="49"/>
  <c r="AS210" i="49"/>
  <c r="AQ210" i="49"/>
  <c r="AR279" i="49"/>
  <c r="AS279" i="49"/>
  <c r="AQ279" i="49"/>
  <c r="CH25" i="49"/>
  <c r="CI25" i="49"/>
  <c r="CG25" i="49"/>
  <c r="AR216" i="49"/>
  <c r="AS216" i="49"/>
  <c r="AQ216" i="49"/>
  <c r="DL193" i="49"/>
  <c r="CO212" i="49"/>
  <c r="CO406" i="49"/>
  <c r="CD6" i="49"/>
  <c r="DL432" i="49"/>
  <c r="DL236" i="49"/>
  <c r="DL80" i="49"/>
  <c r="AK32" i="49"/>
  <c r="AR376" i="49"/>
  <c r="AS376" i="49"/>
  <c r="AQ376" i="49"/>
  <c r="CO429" i="49"/>
  <c r="BR416" i="49"/>
  <c r="DL289" i="49"/>
  <c r="DC55" i="49"/>
  <c r="DC96" i="49"/>
  <c r="DC451" i="49"/>
  <c r="DC163" i="49"/>
  <c r="DC95" i="49"/>
  <c r="DC93" i="49"/>
  <c r="DC57" i="49"/>
  <c r="DC160" i="49"/>
  <c r="DC322" i="49"/>
  <c r="DC442" i="49"/>
  <c r="DC207" i="49"/>
  <c r="AR177" i="49"/>
  <c r="AS177" i="49"/>
  <c r="AQ177" i="49"/>
  <c r="BI431" i="49"/>
  <c r="BR284" i="49"/>
  <c r="CO405" i="49"/>
  <c r="DK31" i="49"/>
  <c r="CN456" i="49"/>
  <c r="DC149" i="49"/>
  <c r="DC240" i="49"/>
  <c r="DC295" i="49"/>
  <c r="DC128" i="49"/>
  <c r="DC24" i="49"/>
  <c r="DC152" i="49"/>
  <c r="DC211" i="49"/>
  <c r="DC169" i="49"/>
  <c r="DC277" i="49"/>
  <c r="DC122" i="49"/>
  <c r="DC184" i="49"/>
  <c r="DC321" i="49"/>
  <c r="DC130" i="49"/>
  <c r="DC300" i="49"/>
  <c r="DC485" i="49"/>
  <c r="DC82" i="49"/>
  <c r="DC205" i="49"/>
  <c r="DC275" i="49"/>
  <c r="DC13" i="49"/>
  <c r="DC494" i="49"/>
  <c r="DC88" i="49"/>
  <c r="DC215" i="49"/>
  <c r="DC187" i="49"/>
  <c r="DC430" i="49"/>
  <c r="DC267" i="49"/>
  <c r="DC39" i="49"/>
  <c r="DC118" i="49"/>
  <c r="DC383" i="49"/>
  <c r="DC425" i="49"/>
  <c r="DC120" i="49"/>
  <c r="DC91" i="49"/>
  <c r="DC249" i="49"/>
  <c r="DC312" i="49"/>
  <c r="DC361" i="49"/>
  <c r="DC367" i="49"/>
  <c r="DC365" i="49"/>
  <c r="DC335" i="49"/>
  <c r="DC115" i="49"/>
  <c r="DC190" i="49"/>
  <c r="DC449" i="49"/>
  <c r="DC43" i="49"/>
  <c r="CO286" i="49"/>
  <c r="BR374" i="49"/>
  <c r="BR418" i="49"/>
  <c r="BI9" i="49"/>
  <c r="BI308" i="49"/>
  <c r="AN5" i="49"/>
  <c r="AM5" i="49"/>
  <c r="CO362" i="49"/>
  <c r="CN464" i="49"/>
  <c r="DK466" i="49"/>
  <c r="AP469" i="49"/>
  <c r="CI5" i="49"/>
  <c r="DC90" i="49"/>
  <c r="DC408" i="49"/>
  <c r="DC412" i="49"/>
  <c r="DC303" i="49"/>
  <c r="DC292" i="49"/>
  <c r="DC481" i="49"/>
  <c r="DC154" i="49"/>
  <c r="DC250" i="49"/>
  <c r="DC463" i="49"/>
  <c r="CN479" i="49"/>
  <c r="BR289" i="49"/>
  <c r="AI143" i="49"/>
  <c r="AI174" i="49"/>
  <c r="AI482" i="49"/>
  <c r="BR287" i="49"/>
  <c r="CO46" i="49"/>
  <c r="CO381" i="49"/>
  <c r="AR195" i="49"/>
  <c r="AS195" i="49"/>
  <c r="AQ195" i="49"/>
  <c r="AT355" i="49"/>
  <c r="AR176" i="49"/>
  <c r="AS176" i="49"/>
  <c r="AQ176" i="49"/>
  <c r="CO221" i="49"/>
  <c r="AI38" i="49"/>
  <c r="DL431" i="49"/>
  <c r="DC470" i="49"/>
  <c r="DC108" i="49"/>
  <c r="DC448" i="49"/>
  <c r="DC134" i="49"/>
  <c r="DC310" i="49"/>
  <c r="DC380" i="49"/>
  <c r="DC113" i="49"/>
  <c r="DC400" i="49"/>
  <c r="DC87" i="49"/>
  <c r="DL276" i="49"/>
  <c r="CO62" i="49"/>
  <c r="AI448" i="49"/>
  <c r="AI473" i="49"/>
  <c r="CO371" i="49"/>
  <c r="DL258" i="49"/>
  <c r="DL53" i="49"/>
  <c r="CO53" i="49"/>
  <c r="DL228" i="49"/>
  <c r="AR328" i="49"/>
  <c r="AS328" i="49"/>
  <c r="AQ328" i="49"/>
  <c r="BR392" i="49"/>
  <c r="BR344" i="49"/>
  <c r="AR241" i="49"/>
  <c r="AS241" i="49"/>
  <c r="AQ241" i="49"/>
  <c r="CO332" i="49"/>
  <c r="CD409" i="49"/>
  <c r="CE409" i="49"/>
  <c r="AR228" i="49"/>
  <c r="AS228" i="49"/>
  <c r="AQ228" i="49"/>
  <c r="CD198" i="49"/>
  <c r="CE198" i="49"/>
  <c r="AR63" i="49"/>
  <c r="AS63" i="49"/>
  <c r="AQ63" i="49"/>
  <c r="CD326" i="49"/>
  <c r="CE326" i="49"/>
  <c r="BR347" i="49"/>
  <c r="CD87" i="49"/>
  <c r="CE87" i="49"/>
  <c r="CD468" i="49"/>
  <c r="CE468" i="49"/>
  <c r="AR389" i="49"/>
  <c r="AS389" i="49"/>
  <c r="AQ389" i="49"/>
  <c r="AR207" i="49"/>
  <c r="AS207" i="49"/>
  <c r="AQ207" i="49"/>
  <c r="AR415" i="49"/>
  <c r="AS415" i="49"/>
  <c r="AQ415" i="49"/>
  <c r="AR344" i="49"/>
  <c r="AS344" i="49"/>
  <c r="AQ344" i="49"/>
  <c r="BR280" i="49"/>
  <c r="CO41" i="49"/>
  <c r="CD126" i="49"/>
  <c r="CE126" i="49"/>
  <c r="CD61" i="49"/>
  <c r="CE61" i="49"/>
  <c r="CD295" i="49"/>
  <c r="CE295" i="49"/>
  <c r="CD413" i="49"/>
  <c r="CE413" i="49"/>
  <c r="CD8" i="49"/>
  <c r="CE8" i="49"/>
  <c r="CD481" i="49"/>
  <c r="CE481" i="49"/>
  <c r="CD428" i="49"/>
  <c r="CE428" i="49"/>
  <c r="DD29" i="49"/>
  <c r="CD483" i="49"/>
  <c r="CE483" i="49"/>
  <c r="CD140" i="49"/>
  <c r="CE140" i="49"/>
  <c r="AR246" i="49"/>
  <c r="AS246" i="49"/>
  <c r="AQ246" i="49"/>
  <c r="AR421" i="49"/>
  <c r="AS421" i="49"/>
  <c r="AQ421" i="49"/>
  <c r="BR176" i="49"/>
  <c r="CD329" i="49"/>
  <c r="CE329" i="49"/>
  <c r="CD169" i="49"/>
  <c r="CE169" i="49"/>
  <c r="CD358" i="49"/>
  <c r="CE358" i="49"/>
  <c r="CD102" i="49"/>
  <c r="CE102" i="49"/>
  <c r="CH31" i="49"/>
  <c r="CI31" i="49"/>
  <c r="CG31" i="49"/>
  <c r="AR202" i="49"/>
  <c r="AS202" i="49"/>
  <c r="AQ202" i="49"/>
  <c r="CD390" i="49"/>
  <c r="CE390" i="49"/>
  <c r="CD379" i="49"/>
  <c r="CE379" i="49"/>
  <c r="CD496" i="49"/>
  <c r="CE496" i="49"/>
  <c r="BR270" i="49"/>
  <c r="CO80" i="49"/>
  <c r="CD146" i="49"/>
  <c r="CE146" i="49"/>
  <c r="AR370" i="49"/>
  <c r="AS370" i="49"/>
  <c r="AQ370" i="49"/>
  <c r="AR371" i="49"/>
  <c r="AS371" i="49"/>
  <c r="AQ371" i="49"/>
  <c r="CD260" i="49"/>
  <c r="CE260" i="49"/>
  <c r="AR188" i="49"/>
  <c r="AS188" i="49"/>
  <c r="AQ188" i="49"/>
  <c r="CD227" i="49"/>
  <c r="CE227" i="49"/>
  <c r="CO222" i="49"/>
  <c r="CD72" i="49"/>
  <c r="CE72" i="49"/>
  <c r="CD95" i="49"/>
  <c r="CE95" i="49"/>
  <c r="CH35" i="49"/>
  <c r="CI35" i="49"/>
  <c r="CG35" i="49"/>
  <c r="CD471" i="49"/>
  <c r="CE471" i="49"/>
  <c r="CH11" i="49"/>
  <c r="CI11" i="49"/>
  <c r="CG11" i="49"/>
  <c r="CO283" i="49"/>
  <c r="BR181" i="49"/>
  <c r="AR431" i="49"/>
  <c r="AS431" i="49"/>
  <c r="AQ431" i="49"/>
  <c r="AR263" i="49"/>
  <c r="AS263" i="49"/>
  <c r="AQ263" i="49"/>
  <c r="AR294" i="49"/>
  <c r="AS294" i="49"/>
  <c r="AQ294" i="49"/>
  <c r="AR285" i="49"/>
  <c r="AS285" i="49"/>
  <c r="AQ285" i="49"/>
  <c r="AR364" i="49"/>
  <c r="AS364" i="49"/>
  <c r="AQ364" i="49"/>
  <c r="CO263" i="49"/>
  <c r="CD57" i="49"/>
  <c r="CE57" i="49"/>
  <c r="CD473" i="49"/>
  <c r="CE473" i="49"/>
  <c r="CD210" i="49"/>
  <c r="CE210" i="49"/>
  <c r="AR327" i="49"/>
  <c r="AS327" i="49"/>
  <c r="AQ327" i="49"/>
  <c r="CD385" i="49"/>
  <c r="CE385" i="49"/>
  <c r="CD307" i="49"/>
  <c r="CE307" i="49"/>
  <c r="CD460" i="49"/>
  <c r="CE460" i="49"/>
  <c r="CO251" i="49"/>
  <c r="CO223" i="49"/>
  <c r="CD482" i="49"/>
  <c r="CE482" i="49"/>
  <c r="CO230" i="49"/>
  <c r="AR249" i="49"/>
  <c r="AS249" i="49"/>
  <c r="AQ249" i="49"/>
  <c r="CH12" i="49"/>
  <c r="CI12" i="49"/>
  <c r="CG12" i="49"/>
  <c r="AR191" i="49"/>
  <c r="AS191" i="49"/>
  <c r="AQ191" i="49"/>
  <c r="AR238" i="49"/>
  <c r="AS238" i="49"/>
  <c r="AQ238" i="49"/>
  <c r="AR417" i="49"/>
  <c r="AS417" i="49"/>
  <c r="AQ417" i="49"/>
  <c r="AR223" i="49"/>
  <c r="AS223" i="49"/>
  <c r="AQ223" i="49"/>
  <c r="CD43" i="49"/>
  <c r="CE43" i="49"/>
  <c r="CD430" i="49"/>
  <c r="CE430" i="49"/>
  <c r="CD172" i="49"/>
  <c r="CE172" i="49"/>
  <c r="CH65" i="49"/>
  <c r="CI65" i="49"/>
  <c r="CG65" i="49"/>
  <c r="CD253" i="49"/>
  <c r="CE253" i="49"/>
  <c r="CD348" i="49"/>
  <c r="CE348" i="49"/>
  <c r="AR398" i="49"/>
  <c r="AS398" i="49"/>
  <c r="AQ398" i="49"/>
  <c r="AR80" i="49"/>
  <c r="AS80" i="49"/>
  <c r="AQ80" i="49"/>
  <c r="CD486" i="49"/>
  <c r="CE486" i="49"/>
  <c r="CD226" i="49"/>
  <c r="CE226" i="49"/>
  <c r="DC104" i="49"/>
  <c r="DC320" i="49"/>
  <c r="DC260" i="49"/>
  <c r="DC493" i="49"/>
  <c r="DC186" i="49"/>
  <c r="DC191" i="49"/>
  <c r="DC491" i="49"/>
  <c r="BQ462" i="49"/>
  <c r="CO353" i="49"/>
  <c r="BI188" i="49"/>
  <c r="CO302" i="49"/>
  <c r="DG68" i="49"/>
  <c r="BI52" i="49"/>
  <c r="DL359" i="49"/>
  <c r="AI492" i="49"/>
  <c r="AI455" i="49"/>
  <c r="AI73" i="49"/>
  <c r="AJ73" i="49"/>
  <c r="AK73" i="49"/>
  <c r="AI9" i="49"/>
  <c r="AI10" i="49"/>
  <c r="AJ10" i="49"/>
  <c r="AK10" i="49"/>
  <c r="AI128" i="49"/>
  <c r="AJ128" i="49"/>
  <c r="AK128" i="49"/>
  <c r="AI323" i="49"/>
  <c r="AI66" i="49"/>
  <c r="AI395" i="49"/>
  <c r="AI148" i="49"/>
  <c r="AI271" i="49"/>
  <c r="AI240" i="49"/>
  <c r="AI227" i="49"/>
  <c r="AI131" i="49"/>
  <c r="AI160" i="49"/>
  <c r="AI243" i="49"/>
  <c r="AI124" i="49"/>
  <c r="AI89" i="49"/>
  <c r="AI161" i="49"/>
  <c r="AI343" i="49"/>
  <c r="AI198" i="49"/>
  <c r="AI365" i="49"/>
  <c r="AI447" i="49"/>
  <c r="AI233" i="49"/>
  <c r="AI130" i="49"/>
  <c r="AI312" i="49"/>
  <c r="AI295" i="49"/>
  <c r="AI292" i="49"/>
  <c r="AI346" i="49"/>
  <c r="AI393" i="49"/>
  <c r="AI104" i="49"/>
  <c r="AI450" i="49"/>
  <c r="AI316" i="49"/>
  <c r="AI209" i="49"/>
  <c r="AJ209" i="49"/>
  <c r="AK209" i="49"/>
  <c r="AI408" i="49"/>
  <c r="AI189" i="49"/>
  <c r="AI20" i="49"/>
  <c r="AI461" i="49"/>
  <c r="AI25" i="49"/>
  <c r="AJ25" i="49"/>
  <c r="AK25" i="49"/>
  <c r="DL223" i="49"/>
  <c r="DL216" i="49"/>
  <c r="CO396" i="49"/>
  <c r="DL421" i="49"/>
  <c r="BR480" i="49"/>
  <c r="CO287" i="49"/>
  <c r="BR391" i="49"/>
  <c r="BI25" i="49"/>
  <c r="BI12" i="49"/>
  <c r="DK22" i="49"/>
  <c r="AR256" i="49"/>
  <c r="AS256" i="49"/>
  <c r="AQ256" i="49"/>
  <c r="BR406" i="49"/>
  <c r="BI355" i="49"/>
  <c r="DL62" i="49"/>
  <c r="DL175" i="49"/>
  <c r="AR212" i="49"/>
  <c r="AS212" i="49"/>
  <c r="AQ212" i="49"/>
  <c r="CN440" i="49"/>
  <c r="DC299" i="49"/>
  <c r="DC356" i="49"/>
  <c r="DC179" i="49"/>
  <c r="DC155" i="49"/>
  <c r="DC218" i="49"/>
  <c r="BQ479" i="49"/>
  <c r="DC140" i="49"/>
  <c r="DC161" i="49"/>
  <c r="DC413" i="49"/>
  <c r="DC76" i="49"/>
  <c r="DC220" i="49"/>
  <c r="DC338" i="49"/>
  <c r="DC326" i="49"/>
  <c r="AR424" i="49"/>
  <c r="AS424" i="49"/>
  <c r="AQ424" i="49"/>
  <c r="DL424" i="49"/>
  <c r="DL294" i="49"/>
  <c r="CO411" i="49"/>
  <c r="DK32" i="49"/>
  <c r="DG10" i="49"/>
  <c r="DK479" i="49"/>
  <c r="DL259" i="49"/>
  <c r="AI498" i="49"/>
  <c r="AI454" i="49"/>
  <c r="AI449" i="49"/>
  <c r="AI491" i="49"/>
  <c r="AI7" i="49"/>
  <c r="AI150" i="49"/>
  <c r="AI170" i="49"/>
  <c r="AI121" i="49"/>
  <c r="AI91" i="49"/>
  <c r="AJ91" i="49"/>
  <c r="AK91" i="49"/>
  <c r="AI120" i="49"/>
  <c r="AI112" i="49"/>
  <c r="AI144" i="49"/>
  <c r="AI166" i="49"/>
  <c r="AI108" i="49"/>
  <c r="AI94" i="49"/>
  <c r="AJ94" i="49"/>
  <c r="AK94" i="49"/>
  <c r="AI78" i="49"/>
  <c r="AJ78" i="49"/>
  <c r="AK78" i="49"/>
  <c r="AI373" i="49"/>
  <c r="AI315" i="49"/>
  <c r="AI220" i="49"/>
  <c r="AI390" i="49"/>
  <c r="AI265" i="49"/>
  <c r="AI428" i="49"/>
  <c r="AI353" i="49"/>
  <c r="AJ353" i="49"/>
  <c r="AK353" i="49"/>
  <c r="AI409" i="49"/>
  <c r="AI483" i="49"/>
  <c r="AI138" i="49"/>
  <c r="AI135" i="49"/>
  <c r="AI196" i="49"/>
  <c r="AI313" i="49"/>
  <c r="AI439" i="49"/>
  <c r="AI140" i="49"/>
  <c r="AI88" i="49"/>
  <c r="AI117" i="49"/>
  <c r="AI339" i="49"/>
  <c r="AI460" i="49"/>
  <c r="AI57" i="49"/>
  <c r="AI102" i="49"/>
  <c r="AI157" i="49"/>
  <c r="AI383" i="49"/>
  <c r="AI438" i="49"/>
  <c r="AI446" i="49"/>
  <c r="AI19" i="49"/>
  <c r="AJ19" i="49"/>
  <c r="AK19" i="49"/>
  <c r="CO182" i="49"/>
  <c r="DG415" i="49"/>
  <c r="DC227" i="49"/>
  <c r="DC156" i="49"/>
  <c r="DC33" i="49"/>
  <c r="DC337" i="49"/>
  <c r="DC48" i="49"/>
  <c r="DC153" i="49"/>
  <c r="DC66" i="49"/>
  <c r="DC165" i="49"/>
  <c r="DC253" i="49"/>
  <c r="DC219" i="49"/>
  <c r="DC266" i="49"/>
  <c r="DC70" i="49"/>
  <c r="DC111" i="49"/>
  <c r="DC109" i="49"/>
  <c r="DC468" i="49"/>
  <c r="DC341" i="49"/>
  <c r="DC307" i="49"/>
  <c r="DC94" i="49"/>
  <c r="DC14" i="49"/>
  <c r="DC102" i="49"/>
  <c r="DC473" i="49"/>
  <c r="DC324" i="49"/>
  <c r="DC225" i="49"/>
  <c r="DC342" i="49"/>
  <c r="DC386" i="49"/>
  <c r="DC460" i="49"/>
  <c r="DC461" i="49"/>
  <c r="DC17" i="49"/>
  <c r="DC377" i="49"/>
  <c r="DC192" i="49"/>
  <c r="DC56" i="49"/>
  <c r="DC348" i="49"/>
  <c r="DC138" i="49"/>
  <c r="DC471" i="49"/>
  <c r="DC435" i="49"/>
  <c r="DC373" i="49"/>
  <c r="DC308" i="49"/>
  <c r="DC268" i="49"/>
  <c r="DC214" i="49"/>
  <c r="DC360" i="49"/>
  <c r="DC143" i="49"/>
  <c r="DL416" i="49"/>
  <c r="CO432" i="49"/>
  <c r="DL370" i="49"/>
  <c r="DG107" i="49"/>
  <c r="AR378" i="49"/>
  <c r="AS378" i="49"/>
  <c r="AQ378" i="49"/>
  <c r="BR272" i="49"/>
  <c r="BI11" i="49"/>
  <c r="CO398" i="49"/>
  <c r="AR375" i="49"/>
  <c r="AS375" i="49"/>
  <c r="AQ375" i="49"/>
  <c r="AR345" i="49"/>
  <c r="AS345" i="49"/>
  <c r="AQ345" i="49"/>
  <c r="CH10" i="49"/>
  <c r="CI10" i="49"/>
  <c r="CG10" i="49"/>
  <c r="AR213" i="49"/>
  <c r="AS213" i="49"/>
  <c r="AQ213" i="49"/>
  <c r="CO288" i="49"/>
  <c r="DG16" i="49"/>
  <c r="AR298" i="49"/>
  <c r="AS298" i="49"/>
  <c r="AQ298" i="49"/>
  <c r="DK40" i="49"/>
  <c r="CO424" i="49"/>
  <c r="CN355" i="49"/>
  <c r="CO376" i="49"/>
  <c r="BR105" i="49"/>
  <c r="DL177" i="49"/>
  <c r="DL374" i="49"/>
  <c r="DC349" i="49"/>
  <c r="DC410" i="49"/>
  <c r="DC51" i="49"/>
  <c r="DC27" i="49"/>
  <c r="DC162" i="49"/>
  <c r="DC52" i="49"/>
  <c r="DC256" i="49"/>
  <c r="DC279" i="49"/>
  <c r="DC490" i="49"/>
  <c r="CO476" i="49"/>
  <c r="AR480" i="49"/>
  <c r="AS480" i="49"/>
  <c r="AQ480" i="49"/>
  <c r="CO232" i="49"/>
  <c r="CO239" i="49"/>
  <c r="AR399" i="49"/>
  <c r="AS399" i="49"/>
  <c r="AQ399" i="49"/>
  <c r="AR347" i="49"/>
  <c r="AS347" i="49"/>
  <c r="AQ347" i="49"/>
  <c r="BR238" i="49"/>
  <c r="CN459" i="49"/>
  <c r="CO488" i="49"/>
  <c r="DL369" i="49"/>
  <c r="DL477" i="49"/>
  <c r="AI69" i="49"/>
  <c r="AI93" i="49"/>
  <c r="AI28" i="49"/>
  <c r="AI494" i="49"/>
  <c r="AJ494" i="49"/>
  <c r="AK494" i="49"/>
  <c r="AI14" i="49"/>
  <c r="AI303" i="49"/>
  <c r="AI118" i="49"/>
  <c r="AI122" i="49"/>
  <c r="AI87" i="49"/>
  <c r="AI340" i="49"/>
  <c r="AJ340" i="49"/>
  <c r="AK340" i="49"/>
  <c r="AI301" i="49"/>
  <c r="AI13" i="49"/>
  <c r="AI435" i="49"/>
  <c r="AI485" i="49"/>
  <c r="AI199" i="49"/>
  <c r="AI290" i="49"/>
  <c r="AI45" i="49"/>
  <c r="AJ45" i="49"/>
  <c r="AK45" i="49"/>
  <c r="AI183" i="49"/>
  <c r="AI205" i="49"/>
  <c r="AI43" i="49"/>
  <c r="AI217" i="49"/>
  <c r="AI349" i="49"/>
  <c r="AI325" i="49"/>
  <c r="AI458" i="49"/>
  <c r="AJ458" i="49"/>
  <c r="AK458" i="49"/>
  <c r="AI127" i="49"/>
  <c r="AI335" i="49"/>
  <c r="AJ335" i="49"/>
  <c r="AK335" i="49"/>
  <c r="AI307" i="49"/>
  <c r="AI113" i="49"/>
  <c r="AI305" i="49"/>
  <c r="AI41" i="49"/>
  <c r="AJ41" i="49"/>
  <c r="AK41" i="49"/>
  <c r="AI478" i="49"/>
  <c r="AI82" i="49"/>
  <c r="AI125" i="49"/>
  <c r="AI109" i="49"/>
  <c r="AI126" i="49"/>
  <c r="AI154" i="49"/>
  <c r="AI51" i="49"/>
  <c r="AI23" i="49"/>
  <c r="AJ23" i="49"/>
  <c r="AK23" i="49"/>
  <c r="CN40" i="49"/>
  <c r="DL426" i="49"/>
  <c r="DL226" i="49"/>
  <c r="DL403" i="49"/>
  <c r="CO151" i="49"/>
  <c r="CO401" i="49"/>
  <c r="DL229" i="49"/>
  <c r="BR403" i="49"/>
  <c r="AS255" i="49"/>
  <c r="DK462" i="49"/>
  <c r="DL391" i="49"/>
  <c r="AR479" i="49"/>
  <c r="AS479" i="49"/>
  <c r="AQ479" i="49"/>
  <c r="CO137" i="49"/>
  <c r="AR251" i="49"/>
  <c r="AS251" i="49"/>
  <c r="AQ251" i="49"/>
  <c r="CO216" i="49"/>
  <c r="DL429" i="49"/>
  <c r="AR374" i="49"/>
  <c r="AS374" i="49"/>
  <c r="AQ374" i="49"/>
  <c r="DL417" i="49"/>
  <c r="BR237" i="49"/>
  <c r="DC99" i="49"/>
  <c r="DC141" i="49"/>
  <c r="DC20" i="49"/>
  <c r="DC235" i="49"/>
  <c r="DC209" i="49"/>
  <c r="DC139" i="49"/>
  <c r="DC166" i="49"/>
  <c r="DC123" i="49"/>
  <c r="DC453" i="49"/>
  <c r="DC372" i="49"/>
  <c r="DC42" i="49"/>
  <c r="AR258" i="49"/>
  <c r="AS258" i="49"/>
  <c r="AQ258" i="49"/>
  <c r="CH116" i="49"/>
  <c r="CI116" i="49"/>
  <c r="CG116" i="49"/>
  <c r="DL378" i="49"/>
  <c r="CO255" i="49"/>
  <c r="AR239" i="49"/>
  <c r="AS239" i="49"/>
  <c r="AQ239" i="49"/>
  <c r="AR175" i="49"/>
  <c r="AS175" i="49"/>
  <c r="AQ175" i="49"/>
  <c r="AR71" i="49"/>
  <c r="AS71" i="49"/>
  <c r="AQ71" i="49"/>
  <c r="CO193" i="49"/>
  <c r="DL304" i="49"/>
  <c r="AI385" i="49"/>
  <c r="AI360" i="49"/>
  <c r="AI319" i="49"/>
  <c r="AI490" i="49"/>
  <c r="AI334" i="49"/>
  <c r="AI388" i="49"/>
  <c r="AI194" i="49"/>
  <c r="AI114" i="49"/>
  <c r="AI311" i="49"/>
  <c r="AI107" i="49"/>
  <c r="AJ107" i="49"/>
  <c r="AK107" i="49"/>
  <c r="AI200" i="49"/>
  <c r="AI59" i="49"/>
  <c r="AI54" i="49"/>
  <c r="AI105" i="49"/>
  <c r="AJ105" i="49"/>
  <c r="AK105" i="49"/>
  <c r="AI433" i="49"/>
  <c r="AJ433" i="49"/>
  <c r="AK433" i="49"/>
  <c r="AI333" i="49"/>
  <c r="AI152" i="49"/>
  <c r="AI116" i="49"/>
  <c r="AJ116" i="49"/>
  <c r="AK116" i="49"/>
  <c r="AI85" i="49"/>
  <c r="AI158" i="49"/>
  <c r="AI337" i="49"/>
  <c r="AI49" i="49"/>
  <c r="AI111" i="49"/>
  <c r="AI46" i="49"/>
  <c r="AJ46" i="49"/>
  <c r="AK46" i="49"/>
  <c r="AI245" i="49"/>
  <c r="AI444" i="49"/>
  <c r="AI350" i="49"/>
  <c r="AI106" i="49"/>
  <c r="AI103" i="49"/>
  <c r="AJ103" i="49"/>
  <c r="AK103" i="49"/>
  <c r="AI441" i="49"/>
  <c r="AI90" i="49"/>
  <c r="AI100" i="49"/>
  <c r="AI97" i="49"/>
  <c r="AJ97" i="49"/>
  <c r="AK97" i="49"/>
  <c r="AI354" i="49"/>
  <c r="AI58" i="49"/>
  <c r="AI274" i="49"/>
  <c r="AI219" i="49"/>
  <c r="AI56" i="49"/>
  <c r="AI342" i="49"/>
  <c r="AI496" i="49"/>
  <c r="DL397" i="49"/>
  <c r="DL480" i="49"/>
  <c r="DL182" i="49"/>
  <c r="DL302" i="49"/>
  <c r="DL273" i="49"/>
  <c r="CO294" i="49"/>
  <c r="DL71" i="49"/>
  <c r="BR389" i="49"/>
  <c r="BR255" i="49"/>
  <c r="DL202" i="49"/>
  <c r="CO347" i="49"/>
  <c r="DL405" i="49"/>
  <c r="BR476" i="49"/>
  <c r="CO147" i="49"/>
  <c r="CD100" i="49"/>
  <c r="CE100" i="49"/>
  <c r="CD412" i="49"/>
  <c r="CE412" i="49"/>
  <c r="AR418" i="49"/>
  <c r="AS418" i="49"/>
  <c r="AQ418" i="49"/>
  <c r="CD492" i="49"/>
  <c r="CE492" i="49"/>
  <c r="CD248" i="49"/>
  <c r="CE248" i="49"/>
  <c r="CH18" i="49"/>
  <c r="CI18" i="49"/>
  <c r="CG18" i="49"/>
  <c r="AR151" i="49"/>
  <c r="AS151" i="49"/>
  <c r="AQ151" i="49"/>
  <c r="BR285" i="49"/>
  <c r="AR416" i="49"/>
  <c r="AS416" i="49"/>
  <c r="AQ416" i="49"/>
  <c r="CD386" i="49"/>
  <c r="CE386" i="49"/>
  <c r="CD165" i="49"/>
  <c r="CE165" i="49"/>
  <c r="CD439" i="49"/>
  <c r="CE439" i="49"/>
  <c r="CD187" i="49"/>
  <c r="CE187" i="49"/>
  <c r="DL63" i="49"/>
  <c r="CD106" i="49"/>
  <c r="CE106" i="49"/>
  <c r="CH67" i="49"/>
  <c r="CI67" i="49"/>
  <c r="CG67" i="49"/>
  <c r="AR392" i="49"/>
  <c r="AS392" i="49"/>
  <c r="AQ392" i="49"/>
  <c r="CD209" i="49"/>
  <c r="CE209" i="49"/>
  <c r="CD224" i="49"/>
  <c r="CE224" i="49"/>
  <c r="CD86" i="49"/>
  <c r="CE86" i="49"/>
  <c r="CO237" i="49"/>
  <c r="AR308" i="49"/>
  <c r="AS308" i="49"/>
  <c r="AQ308" i="49"/>
  <c r="CH74" i="49"/>
  <c r="CI74" i="49"/>
  <c r="CG74" i="49"/>
  <c r="AR289" i="49"/>
  <c r="AS289" i="49"/>
  <c r="AQ289" i="49"/>
  <c r="CO168" i="49"/>
  <c r="BR193" i="49"/>
  <c r="CD194" i="49"/>
  <c r="CE194" i="49"/>
  <c r="CD261" i="49"/>
  <c r="CE261" i="49"/>
  <c r="CD59" i="49"/>
  <c r="CE59" i="49"/>
  <c r="CD498" i="49"/>
  <c r="CE498" i="49"/>
  <c r="CD155" i="49"/>
  <c r="CE155" i="49"/>
  <c r="CD77" i="49"/>
  <c r="CE77" i="49"/>
  <c r="CD324" i="49"/>
  <c r="CE324" i="49"/>
  <c r="CD188" i="49"/>
  <c r="CE188" i="49"/>
  <c r="CD323" i="49"/>
  <c r="CE323" i="49"/>
  <c r="AR270" i="49"/>
  <c r="AS270" i="49"/>
  <c r="AQ270" i="49"/>
  <c r="DL396" i="49"/>
  <c r="CD132" i="49"/>
  <c r="CE132" i="49"/>
  <c r="CD130" i="49"/>
  <c r="CE130" i="49"/>
  <c r="CH97" i="49"/>
  <c r="CI97" i="49"/>
  <c r="CG97" i="49"/>
  <c r="CD423" i="49"/>
  <c r="CE423" i="49"/>
  <c r="CD164" i="49"/>
  <c r="CE164" i="49"/>
  <c r="AR396" i="49"/>
  <c r="AS396" i="49"/>
  <c r="AQ396" i="49"/>
  <c r="BR202" i="49"/>
  <c r="BR269" i="49"/>
  <c r="CD69" i="49"/>
  <c r="CE69" i="49"/>
  <c r="CH103" i="49"/>
  <c r="CI103" i="49"/>
  <c r="CG103" i="49"/>
  <c r="CD305" i="49"/>
  <c r="CE305" i="49"/>
  <c r="CD366" i="49"/>
  <c r="CE366" i="49"/>
  <c r="CD313" i="49"/>
  <c r="CE313" i="49"/>
  <c r="AR62" i="49"/>
  <c r="AS62" i="49"/>
  <c r="AQ62" i="49"/>
  <c r="CD303" i="49"/>
  <c r="CE303" i="49"/>
  <c r="CD104" i="49"/>
  <c r="CE104" i="49"/>
  <c r="CD404" i="49"/>
  <c r="CE404" i="49"/>
  <c r="CD451" i="49"/>
  <c r="CE451" i="49"/>
  <c r="CD28" i="49"/>
  <c r="CE28" i="49"/>
  <c r="CD292" i="49"/>
  <c r="CE292" i="49"/>
  <c r="CH195" i="49"/>
  <c r="CI195" i="49"/>
  <c r="CG195" i="49"/>
  <c r="CD449" i="49"/>
  <c r="CE449" i="49"/>
  <c r="BR177" i="49"/>
  <c r="AR288" i="49"/>
  <c r="AS288" i="49"/>
  <c r="AQ288" i="49"/>
  <c r="AR254" i="49"/>
  <c r="AS254" i="49"/>
  <c r="AQ254" i="49"/>
  <c r="BR147" i="49"/>
  <c r="CD277" i="49"/>
  <c r="CE277" i="49"/>
  <c r="CD191" i="49"/>
  <c r="CE191" i="49"/>
  <c r="CD408" i="49"/>
  <c r="CE408" i="49"/>
  <c r="CH32" i="49"/>
  <c r="CI32" i="49"/>
  <c r="CG32" i="49"/>
  <c r="AR259" i="49"/>
  <c r="AS259" i="49"/>
  <c r="AQ259" i="49"/>
  <c r="CD145" i="49"/>
  <c r="CE145" i="49"/>
  <c r="CD300" i="49"/>
  <c r="CE300" i="49"/>
  <c r="DL283" i="49"/>
  <c r="AR297" i="49"/>
  <c r="AS297" i="49"/>
  <c r="AQ297" i="49"/>
  <c r="DL345" i="49"/>
  <c r="BR488" i="49"/>
  <c r="BR98" i="49"/>
  <c r="CD127" i="49"/>
  <c r="CE127" i="49"/>
  <c r="CD33" i="49"/>
  <c r="CE33" i="49"/>
  <c r="DL488" i="49"/>
  <c r="BI330" i="49"/>
  <c r="CG330" i="49"/>
  <c r="BG204" i="49"/>
  <c r="BH204" i="49"/>
  <c r="BG203" i="49"/>
  <c r="BH203" i="49"/>
  <c r="CG203" i="49"/>
  <c r="DD203" i="49"/>
  <c r="CF204" i="49"/>
  <c r="DD204" i="49"/>
  <c r="BG246" i="49"/>
  <c r="BH246" i="49"/>
  <c r="BI246" i="49"/>
  <c r="BJ246" i="49"/>
  <c r="BG95" i="49"/>
  <c r="BH95" i="49"/>
  <c r="BI95" i="49"/>
  <c r="BJ95" i="49"/>
  <c r="BG221" i="49"/>
  <c r="BH221" i="49"/>
  <c r="BI221" i="49"/>
  <c r="BG297" i="49"/>
  <c r="BH297" i="49"/>
  <c r="BI297" i="49"/>
  <c r="BG212" i="49"/>
  <c r="BH212" i="49"/>
  <c r="BI212" i="49"/>
  <c r="BG168" i="49"/>
  <c r="BH168" i="49"/>
  <c r="BI168" i="49"/>
  <c r="BG228" i="49"/>
  <c r="BH228" i="49"/>
  <c r="BG264" i="49"/>
  <c r="BH264" i="49"/>
  <c r="BI264" i="49"/>
  <c r="BG231" i="49"/>
  <c r="BH231" i="49"/>
  <c r="BI231" i="49"/>
  <c r="BG223" i="49"/>
  <c r="BH223" i="49"/>
  <c r="BI223" i="49"/>
  <c r="BG283" i="49"/>
  <c r="BH283" i="49"/>
  <c r="BI283" i="49"/>
  <c r="BG216" i="49"/>
  <c r="BH216" i="49"/>
  <c r="BI216" i="49"/>
  <c r="BG256" i="49"/>
  <c r="BH256" i="49"/>
  <c r="BI256" i="49"/>
  <c r="BG222" i="49"/>
  <c r="BH222" i="49"/>
  <c r="BI222" i="49"/>
  <c r="BG290" i="49"/>
  <c r="BH290" i="49"/>
  <c r="BI290" i="49"/>
  <c r="BG262" i="49"/>
  <c r="BH262" i="49"/>
  <c r="BI262" i="49"/>
  <c r="BG294" i="49"/>
  <c r="BH294" i="49"/>
  <c r="BI294" i="49"/>
  <c r="BG259" i="49"/>
  <c r="BH259" i="49"/>
  <c r="BI259" i="49"/>
  <c r="BG195" i="49"/>
  <c r="BH195" i="49"/>
  <c r="BI195" i="49"/>
  <c r="BG359" i="49"/>
  <c r="BH359" i="49"/>
  <c r="BI359" i="49"/>
  <c r="BK359" i="49"/>
  <c r="BL359" i="49"/>
  <c r="AT270" i="49"/>
  <c r="AT151" i="49"/>
  <c r="AL433" i="49"/>
  <c r="CJ32" i="49"/>
  <c r="AT288" i="49"/>
  <c r="CJ195" i="49"/>
  <c r="AT62" i="49"/>
  <c r="AT289" i="49"/>
  <c r="AT308" i="49"/>
  <c r="CJ67" i="49"/>
  <c r="AT416" i="49"/>
  <c r="AL46" i="49"/>
  <c r="AT71" i="49"/>
  <c r="AT239" i="49"/>
  <c r="CJ116" i="49"/>
  <c r="CJ10" i="49"/>
  <c r="AT375" i="49"/>
  <c r="AT424" i="49"/>
  <c r="AT212" i="49"/>
  <c r="AL10" i="49"/>
  <c r="AT273" i="49"/>
  <c r="CJ107" i="49"/>
  <c r="AT226" i="49"/>
  <c r="CJ434" i="49"/>
  <c r="AT168" i="49"/>
  <c r="AL98" i="49"/>
  <c r="AT429" i="49"/>
  <c r="AL336" i="49"/>
  <c r="AT297" i="49"/>
  <c r="CJ103" i="49"/>
  <c r="AT418" i="49"/>
  <c r="AL97" i="49"/>
  <c r="AL23" i="49"/>
  <c r="AL494" i="49"/>
  <c r="AT347" i="49"/>
  <c r="AT378" i="49"/>
  <c r="AL19" i="49"/>
  <c r="AL353" i="49"/>
  <c r="AL78" i="49"/>
  <c r="AL209" i="49"/>
  <c r="CJ36" i="49"/>
  <c r="AT405" i="49"/>
  <c r="AT137" i="49"/>
  <c r="AT230" i="49"/>
  <c r="AT282" i="49"/>
  <c r="CJ73" i="49"/>
  <c r="CJ392" i="49"/>
  <c r="AT300" i="49"/>
  <c r="AT206" i="49"/>
  <c r="AL341" i="49"/>
  <c r="AL92" i="49"/>
  <c r="AL11" i="49"/>
  <c r="AT222" i="49"/>
  <c r="AL110" i="49"/>
  <c r="AL234" i="49"/>
  <c r="CJ18" i="49"/>
  <c r="AL105" i="49"/>
  <c r="AT479" i="49"/>
  <c r="AT259" i="49"/>
  <c r="AT254" i="49"/>
  <c r="AT396" i="49"/>
  <c r="CJ97" i="49"/>
  <c r="CJ74" i="49"/>
  <c r="AT392" i="49"/>
  <c r="AL103" i="49"/>
  <c r="AL107" i="49"/>
  <c r="AT175" i="49"/>
  <c r="AT258" i="49"/>
  <c r="AT374" i="49"/>
  <c r="AT251" i="49"/>
  <c r="AL41" i="49"/>
  <c r="AL458" i="49"/>
  <c r="AL45" i="49"/>
  <c r="AL340" i="49"/>
  <c r="AT298" i="49"/>
  <c r="AT213" i="49"/>
  <c r="AT345" i="49"/>
  <c r="AL91" i="49"/>
  <c r="AL128" i="49"/>
  <c r="CJ458" i="49"/>
  <c r="AT304" i="49"/>
  <c r="AT359" i="49"/>
  <c r="AT276" i="49"/>
  <c r="AT231" i="49"/>
  <c r="AL414" i="49"/>
  <c r="AT242" i="49"/>
  <c r="AP36" i="49"/>
  <c r="CJ98" i="49"/>
  <c r="AL116" i="49"/>
  <c r="AL335" i="49"/>
  <c r="AT399" i="49"/>
  <c r="AT480" i="49"/>
  <c r="AL94" i="49"/>
  <c r="AT256" i="49"/>
  <c r="AL25" i="49"/>
  <c r="AL73" i="49"/>
  <c r="AT181" i="49"/>
  <c r="CJ68" i="49"/>
  <c r="AT237" i="49"/>
  <c r="AT232" i="49"/>
  <c r="AT407" i="49"/>
  <c r="AT309" i="49"/>
  <c r="AL24" i="49"/>
  <c r="AL436" i="49"/>
  <c r="AT236" i="49"/>
  <c r="AT221" i="49"/>
  <c r="CF277" i="49"/>
  <c r="CF28" i="49"/>
  <c r="CF303" i="49"/>
  <c r="CF313" i="49"/>
  <c r="CF132" i="49"/>
  <c r="CF324" i="49"/>
  <c r="CF59" i="49"/>
  <c r="CF209" i="49"/>
  <c r="CF165" i="49"/>
  <c r="CO40" i="49"/>
  <c r="DI16" i="49"/>
  <c r="DJ16" i="49"/>
  <c r="DH16" i="49"/>
  <c r="DI107" i="49"/>
  <c r="DH107" i="49"/>
  <c r="DD326" i="49"/>
  <c r="DD220" i="49"/>
  <c r="DD413" i="49"/>
  <c r="DD140" i="49"/>
  <c r="DD218" i="49"/>
  <c r="DD179" i="49"/>
  <c r="DD299" i="49"/>
  <c r="DL22" i="49"/>
  <c r="BK25" i="49"/>
  <c r="BL25" i="49"/>
  <c r="BJ25" i="49"/>
  <c r="BK52" i="49"/>
  <c r="BJ52" i="49"/>
  <c r="DE491" i="49"/>
  <c r="DF491" i="49"/>
  <c r="DD491" i="49"/>
  <c r="DD186" i="49"/>
  <c r="DD260" i="49"/>
  <c r="DD104" i="49"/>
  <c r="AT80" i="49"/>
  <c r="CF43" i="49"/>
  <c r="AT238" i="49"/>
  <c r="CF307" i="49"/>
  <c r="AT364" i="49"/>
  <c r="AT431" i="49"/>
  <c r="CJ11" i="49"/>
  <c r="CJ35" i="49"/>
  <c r="CF146" i="49"/>
  <c r="CF390" i="49"/>
  <c r="CF358" i="49"/>
  <c r="CF8" i="49"/>
  <c r="CF126" i="49"/>
  <c r="AT344" i="49"/>
  <c r="AT195" i="49"/>
  <c r="DD463" i="49"/>
  <c r="DD154" i="49"/>
  <c r="DD292" i="49"/>
  <c r="DD412" i="49"/>
  <c r="DD90" i="49"/>
  <c r="AR469" i="49"/>
  <c r="AS469" i="49"/>
  <c r="AQ469" i="49"/>
  <c r="DD442" i="49"/>
  <c r="DD160" i="49"/>
  <c r="DD93" i="49"/>
  <c r="DD163" i="49"/>
  <c r="DD96" i="49"/>
  <c r="AL32" i="49"/>
  <c r="AT210" i="49"/>
  <c r="AT403" i="49"/>
  <c r="BK74" i="49"/>
  <c r="BL74" i="49"/>
  <c r="BJ74" i="49"/>
  <c r="DI9" i="49"/>
  <c r="DJ9" i="49"/>
  <c r="DH9" i="49"/>
  <c r="AT362" i="49"/>
  <c r="CF225" i="49"/>
  <c r="CF30" i="49"/>
  <c r="CF47" i="49"/>
  <c r="CF220" i="49"/>
  <c r="CF129" i="49"/>
  <c r="CF205" i="49"/>
  <c r="CF56" i="49"/>
  <c r="CF489" i="49"/>
  <c r="CF55" i="49"/>
  <c r="CF321" i="49"/>
  <c r="CF437" i="49"/>
  <c r="CF490" i="49"/>
  <c r="CF113" i="49"/>
  <c r="CF457" i="49"/>
  <c r="CF442" i="49"/>
  <c r="CF336" i="49"/>
  <c r="AL67" i="49"/>
  <c r="BK470" i="49"/>
  <c r="BL470" i="49"/>
  <c r="BJ470" i="49"/>
  <c r="DL472" i="49"/>
  <c r="DD278" i="49"/>
  <c r="DD358" i="49"/>
  <c r="DL25" i="49"/>
  <c r="DD233" i="49"/>
  <c r="DI65" i="49"/>
  <c r="DJ65" i="49"/>
  <c r="DH65" i="49"/>
  <c r="AL37" i="49"/>
  <c r="AL22" i="49"/>
  <c r="AL12" i="49"/>
  <c r="DD78" i="49"/>
  <c r="DD112" i="49"/>
  <c r="DD49" i="49"/>
  <c r="DD475" i="49"/>
  <c r="DD271" i="49"/>
  <c r="DD439" i="49"/>
  <c r="DD132" i="49"/>
  <c r="DD393" i="49"/>
  <c r="DD158" i="49"/>
  <c r="DD135" i="49"/>
  <c r="CF94" i="49"/>
  <c r="CF384" i="49"/>
  <c r="CF173" i="49"/>
  <c r="CF315" i="49"/>
  <c r="CF89" i="49"/>
  <c r="CF76" i="49"/>
  <c r="CF131" i="49"/>
  <c r="CF13" i="49"/>
  <c r="CF85" i="49"/>
  <c r="CF105" i="49"/>
  <c r="CF485" i="49"/>
  <c r="CF211" i="49"/>
  <c r="CF484" i="49"/>
  <c r="CF114" i="49"/>
  <c r="CF148" i="49"/>
  <c r="CF322" i="49"/>
  <c r="CF135" i="49"/>
  <c r="CF475" i="49"/>
  <c r="CF16" i="49"/>
  <c r="CF54" i="49"/>
  <c r="CF357" i="49"/>
  <c r="CF26" i="49"/>
  <c r="CF178" i="49"/>
  <c r="CF262" i="49"/>
  <c r="CF186" i="49"/>
  <c r="CF161" i="49"/>
  <c r="CF79" i="49"/>
  <c r="CF320" i="49"/>
  <c r="CF380" i="49"/>
  <c r="CF17" i="49"/>
  <c r="CF49" i="49"/>
  <c r="CF275" i="49"/>
  <c r="CF455" i="49"/>
  <c r="CF42" i="49"/>
  <c r="CF44" i="49"/>
  <c r="CF318" i="49"/>
  <c r="CF249" i="49"/>
  <c r="CF265" i="49"/>
  <c r="CF335" i="49"/>
  <c r="CF242" i="49"/>
  <c r="CF493" i="49"/>
  <c r="BK320" i="49"/>
  <c r="BL320" i="49"/>
  <c r="BJ320" i="49"/>
  <c r="CO466" i="49"/>
  <c r="AR456" i="49"/>
  <c r="AS456" i="49"/>
  <c r="AQ456" i="49"/>
  <c r="BK361" i="49"/>
  <c r="BL361" i="49"/>
  <c r="BJ361" i="49"/>
  <c r="CF88" i="49"/>
  <c r="AT257" i="49"/>
  <c r="CF39" i="49"/>
  <c r="CF333" i="49"/>
  <c r="AT406" i="49"/>
  <c r="CJ45" i="49"/>
  <c r="CF378" i="49"/>
  <c r="AT402" i="49"/>
  <c r="AT283" i="49"/>
  <c r="CF110" i="49"/>
  <c r="AT178" i="49"/>
  <c r="CF174" i="49"/>
  <c r="CF90" i="49"/>
  <c r="AT272" i="49"/>
  <c r="BQ40" i="49"/>
  <c r="CF83" i="49"/>
  <c r="AT286" i="49"/>
  <c r="CF50" i="49"/>
  <c r="AT262" i="49"/>
  <c r="CJ433" i="49"/>
  <c r="DD385" i="49"/>
  <c r="DD83" i="49"/>
  <c r="DD84" i="49"/>
  <c r="DD167" i="49"/>
  <c r="DD366" i="49"/>
  <c r="DD85" i="49"/>
  <c r="DD281" i="49"/>
  <c r="DD333" i="49"/>
  <c r="DD101" i="49"/>
  <c r="DD72" i="49"/>
  <c r="DD224" i="49"/>
  <c r="DD47" i="49"/>
  <c r="DD44" i="49"/>
  <c r="DD245" i="49"/>
  <c r="DD498" i="49"/>
  <c r="DD379" i="49"/>
  <c r="DD148" i="49"/>
  <c r="DD61" i="49"/>
  <c r="DD319" i="49"/>
  <c r="DD447" i="49"/>
  <c r="AR474" i="49"/>
  <c r="AS474" i="49"/>
  <c r="AQ474" i="49"/>
  <c r="DD77" i="49"/>
  <c r="DD124" i="49"/>
  <c r="DD38" i="49"/>
  <c r="DD354" i="49"/>
  <c r="DD457" i="49"/>
  <c r="AT329" i="49"/>
  <c r="AT229" i="49"/>
  <c r="BG357" i="49"/>
  <c r="BH357" i="49"/>
  <c r="BG379" i="49"/>
  <c r="BH379" i="49"/>
  <c r="BG393" i="49"/>
  <c r="BH393" i="49"/>
  <c r="BG496" i="49"/>
  <c r="BH496" i="49"/>
  <c r="BG211" i="49"/>
  <c r="BH211" i="49"/>
  <c r="BG101" i="49"/>
  <c r="BH101" i="49"/>
  <c r="BG135" i="49"/>
  <c r="BH135" i="49"/>
  <c r="BG118" i="49"/>
  <c r="BH118" i="49"/>
  <c r="BG102" i="49"/>
  <c r="BH102" i="49"/>
  <c r="BG254" i="49"/>
  <c r="BH254" i="49"/>
  <c r="BG93" i="49"/>
  <c r="BH93" i="49"/>
  <c r="BG49" i="49"/>
  <c r="BH49" i="49"/>
  <c r="BG134" i="49"/>
  <c r="BH134" i="49"/>
  <c r="BG110" i="49"/>
  <c r="BH110" i="49"/>
  <c r="BG364" i="49"/>
  <c r="BH364" i="49"/>
  <c r="BG460" i="49"/>
  <c r="BH460" i="49"/>
  <c r="BG136" i="49"/>
  <c r="BH136" i="49"/>
  <c r="BG447" i="49"/>
  <c r="BH447" i="49"/>
  <c r="BG459" i="49"/>
  <c r="BH459" i="49"/>
  <c r="BG258" i="49"/>
  <c r="BH258" i="49"/>
  <c r="BG303" i="49"/>
  <c r="BH303" i="49"/>
  <c r="BG325" i="49"/>
  <c r="BH325" i="49"/>
  <c r="BG140" i="49"/>
  <c r="BH140" i="49"/>
  <c r="BG224" i="49"/>
  <c r="BH224" i="49"/>
  <c r="BG189" i="49"/>
  <c r="BH189" i="49"/>
  <c r="BG165" i="49"/>
  <c r="BH165" i="49"/>
  <c r="BG54" i="49"/>
  <c r="BH54" i="49"/>
  <c r="BG187" i="49"/>
  <c r="BH187" i="49"/>
  <c r="BG235" i="49"/>
  <c r="BH235" i="49"/>
  <c r="BG402" i="49"/>
  <c r="BH402" i="49"/>
  <c r="BG348" i="49"/>
  <c r="BH348" i="49"/>
  <c r="BG456" i="49"/>
  <c r="BH456" i="49"/>
  <c r="BG174" i="49"/>
  <c r="BH174" i="49"/>
  <c r="BG446" i="49"/>
  <c r="BH446" i="49"/>
  <c r="BG32" i="49"/>
  <c r="BH32" i="49"/>
  <c r="BG7" i="49"/>
  <c r="BH7" i="49"/>
  <c r="BG386" i="49"/>
  <c r="BH386" i="49"/>
  <c r="BG76" i="49"/>
  <c r="BH76" i="49"/>
  <c r="BG385" i="49"/>
  <c r="BH385" i="49"/>
  <c r="BG82" i="49"/>
  <c r="BH82" i="49"/>
  <c r="BG120" i="49"/>
  <c r="BH120" i="49"/>
  <c r="BG210" i="49"/>
  <c r="BH210" i="49"/>
  <c r="BG434" i="49"/>
  <c r="BH434" i="49"/>
  <c r="BG145" i="49"/>
  <c r="BH145" i="49"/>
  <c r="BG146" i="49"/>
  <c r="BH146" i="49"/>
  <c r="BG18" i="49"/>
  <c r="BH18" i="49"/>
  <c r="BG465" i="49"/>
  <c r="BH465" i="49"/>
  <c r="BG463" i="49"/>
  <c r="BH463" i="49"/>
  <c r="BG437" i="49"/>
  <c r="BH437" i="49"/>
  <c r="BG404" i="49"/>
  <c r="BH404" i="49"/>
  <c r="BG68" i="49"/>
  <c r="BH68" i="49"/>
  <c r="BG197" i="49"/>
  <c r="BH197" i="49"/>
  <c r="BG356" i="49"/>
  <c r="BH356" i="49"/>
  <c r="BG44" i="49"/>
  <c r="BH44" i="49"/>
  <c r="BG152" i="49"/>
  <c r="BH152" i="49"/>
  <c r="BG79" i="49"/>
  <c r="BH79" i="49"/>
  <c r="BG420" i="49"/>
  <c r="BH420" i="49"/>
  <c r="BG410" i="49"/>
  <c r="BH410" i="49"/>
  <c r="BG133" i="49"/>
  <c r="BH133" i="49"/>
  <c r="BG466" i="49"/>
  <c r="BH466" i="49"/>
  <c r="BG241" i="49"/>
  <c r="BH241" i="49"/>
  <c r="BG400" i="49"/>
  <c r="BH400" i="49"/>
  <c r="BG38" i="49"/>
  <c r="BH38" i="49"/>
  <c r="BG166" i="49"/>
  <c r="BH166" i="49"/>
  <c r="BG91" i="49"/>
  <c r="BH91" i="49"/>
  <c r="BG72" i="49"/>
  <c r="BH72" i="49"/>
  <c r="BG164" i="49"/>
  <c r="BH164" i="49"/>
  <c r="BG199" i="49"/>
  <c r="BH199" i="49"/>
  <c r="BG64" i="49"/>
  <c r="BH64" i="49"/>
  <c r="BG311" i="49"/>
  <c r="BH311" i="49"/>
  <c r="BG22" i="49"/>
  <c r="BH22" i="49"/>
  <c r="BG81" i="49"/>
  <c r="BH81" i="49"/>
  <c r="BG295" i="49"/>
  <c r="BH295" i="49"/>
  <c r="BG24" i="49"/>
  <c r="BH24" i="49"/>
  <c r="BG267" i="49"/>
  <c r="BH267" i="49"/>
  <c r="BG29" i="49"/>
  <c r="BH29" i="49"/>
  <c r="BG156" i="49"/>
  <c r="BH156" i="49"/>
  <c r="BG139" i="49"/>
  <c r="BH139" i="49"/>
  <c r="BG41" i="49"/>
  <c r="BH41" i="49"/>
  <c r="BG220" i="49"/>
  <c r="BH220" i="49"/>
  <c r="BG442" i="49"/>
  <c r="BH442" i="49"/>
  <c r="BG448" i="49"/>
  <c r="BH448" i="49"/>
  <c r="BG464" i="49"/>
  <c r="BH464" i="49"/>
  <c r="BG444" i="49"/>
  <c r="BH444" i="49"/>
  <c r="BG449" i="49"/>
  <c r="BH449" i="49"/>
  <c r="BG351" i="49"/>
  <c r="BH351" i="49"/>
  <c r="BG240" i="49"/>
  <c r="BH240" i="49"/>
  <c r="BG377" i="49"/>
  <c r="BH377" i="49"/>
  <c r="BG298" i="49"/>
  <c r="BH298" i="49"/>
  <c r="BG292" i="49"/>
  <c r="BH292" i="49"/>
  <c r="BG274" i="49"/>
  <c r="BH274" i="49"/>
  <c r="BG75" i="49"/>
  <c r="BH75" i="49"/>
  <c r="BG167" i="49"/>
  <c r="BH167" i="49"/>
  <c r="BG45" i="49"/>
  <c r="BH45" i="49"/>
  <c r="BG198" i="49"/>
  <c r="BH198" i="49"/>
  <c r="BG115" i="49"/>
  <c r="BH115" i="49"/>
  <c r="BG265" i="49"/>
  <c r="BH265" i="49"/>
  <c r="BG249" i="49"/>
  <c r="BH249" i="49"/>
  <c r="BG123" i="49"/>
  <c r="BH123" i="49"/>
  <c r="BG132" i="49"/>
  <c r="BH132" i="49"/>
  <c r="BG201" i="49"/>
  <c r="BH201" i="49"/>
  <c r="BG468" i="49"/>
  <c r="BH468" i="49"/>
  <c r="BG155" i="49"/>
  <c r="BH155" i="49"/>
  <c r="BG196" i="49"/>
  <c r="BH196" i="49"/>
  <c r="BG27" i="49"/>
  <c r="BH27" i="49"/>
  <c r="BG205" i="49"/>
  <c r="BH205" i="49"/>
  <c r="BG384" i="49"/>
  <c r="BH384" i="49"/>
  <c r="BG8" i="49"/>
  <c r="BH8" i="49"/>
  <c r="BG498" i="49"/>
  <c r="BH498" i="49"/>
  <c r="BG80" i="49"/>
  <c r="BH80" i="49"/>
  <c r="BG108" i="49"/>
  <c r="BH108" i="49"/>
  <c r="BG368" i="49"/>
  <c r="BH368" i="49"/>
  <c r="BG452" i="49"/>
  <c r="BH452" i="49"/>
  <c r="BG69" i="49"/>
  <c r="BH69" i="49"/>
  <c r="BG275" i="49"/>
  <c r="BH275" i="49"/>
  <c r="BG426" i="49"/>
  <c r="BH426" i="49"/>
  <c r="BG271" i="49"/>
  <c r="BH271" i="49"/>
  <c r="BG454" i="49"/>
  <c r="BH454" i="49"/>
  <c r="BG317" i="49"/>
  <c r="BH317" i="49"/>
  <c r="BG13" i="49"/>
  <c r="BH13" i="49"/>
  <c r="BG86" i="49"/>
  <c r="BH86" i="49"/>
  <c r="BG183" i="49"/>
  <c r="BH183" i="49"/>
  <c r="BG414" i="49"/>
  <c r="BH414" i="49"/>
  <c r="BG159" i="49"/>
  <c r="BH159" i="49"/>
  <c r="BG245" i="49"/>
  <c r="BH245" i="49"/>
  <c r="BG412" i="49"/>
  <c r="BH412" i="49"/>
  <c r="BG334" i="49"/>
  <c r="BH334" i="49"/>
  <c r="BG277" i="49"/>
  <c r="BH277" i="49"/>
  <c r="BG301" i="49"/>
  <c r="BH301" i="49"/>
  <c r="BG144" i="49"/>
  <c r="BH144" i="49"/>
  <c r="BG458" i="49"/>
  <c r="BH458" i="49"/>
  <c r="BG33" i="49"/>
  <c r="BH33" i="49"/>
  <c r="BG343" i="49"/>
  <c r="BH343" i="49"/>
  <c r="BG349" i="49"/>
  <c r="BH349" i="49"/>
  <c r="BG373" i="49"/>
  <c r="BH373" i="49"/>
  <c r="BG419" i="49"/>
  <c r="BH419" i="49"/>
  <c r="BG109" i="49"/>
  <c r="BH109" i="49"/>
  <c r="BG83" i="49"/>
  <c r="BH83" i="49"/>
  <c r="BG121" i="49"/>
  <c r="BH121" i="49"/>
  <c r="BG380" i="49"/>
  <c r="BH380" i="49"/>
  <c r="BG128" i="49"/>
  <c r="BH128" i="49"/>
  <c r="DD59" i="49"/>
  <c r="DD368" i="49"/>
  <c r="DD436" i="49"/>
  <c r="DD189" i="49"/>
  <c r="CO465" i="49"/>
  <c r="DD458" i="49"/>
  <c r="DE58" i="49"/>
  <c r="DF58" i="49"/>
  <c r="DD58" i="49"/>
  <c r="DD445" i="49"/>
  <c r="DD198" i="49"/>
  <c r="DD411" i="49"/>
  <c r="DL459" i="49"/>
  <c r="DD144" i="49"/>
  <c r="BG53" i="49"/>
  <c r="BH53" i="49"/>
  <c r="BG408" i="49"/>
  <c r="BH408" i="49"/>
  <c r="BG122" i="49"/>
  <c r="BH122" i="49"/>
  <c r="BG192" i="49"/>
  <c r="BH192" i="49"/>
  <c r="BG378" i="49"/>
  <c r="BH378" i="49"/>
  <c r="BG494" i="49"/>
  <c r="BH494" i="49"/>
  <c r="BG430" i="49"/>
  <c r="BH430" i="49"/>
  <c r="BG352" i="49"/>
  <c r="BH352" i="49"/>
  <c r="AR472" i="49"/>
  <c r="AS472" i="49"/>
  <c r="AQ472" i="49"/>
  <c r="BK475" i="49"/>
  <c r="BL475" i="49"/>
  <c r="BJ475" i="49"/>
  <c r="BG260" i="49"/>
  <c r="BH260" i="49"/>
  <c r="BK171" i="49"/>
  <c r="BL171" i="49"/>
  <c r="BJ171" i="49"/>
  <c r="BG242" i="49"/>
  <c r="BH242" i="49"/>
  <c r="BG61" i="49"/>
  <c r="BH61" i="49"/>
  <c r="BK131" i="49"/>
  <c r="BL131" i="49"/>
  <c r="BJ131" i="49"/>
  <c r="BG445" i="49"/>
  <c r="BH445" i="49"/>
  <c r="AR467" i="49"/>
  <c r="AS467" i="49"/>
  <c r="AQ467" i="49"/>
  <c r="BG279" i="49"/>
  <c r="BH279" i="49"/>
  <c r="DL474" i="49"/>
  <c r="BG427" i="49"/>
  <c r="BH427" i="49"/>
  <c r="BG252" i="49"/>
  <c r="BH252" i="49"/>
  <c r="BG215" i="49"/>
  <c r="BH215" i="49"/>
  <c r="BG103" i="49"/>
  <c r="BH103" i="49"/>
  <c r="BG336" i="49"/>
  <c r="BH336" i="49"/>
  <c r="BG43" i="49"/>
  <c r="BH43" i="49"/>
  <c r="BG124" i="49"/>
  <c r="BH124" i="49"/>
  <c r="BG225" i="49"/>
  <c r="BH225" i="49"/>
  <c r="BG306" i="49"/>
  <c r="BH306" i="49"/>
  <c r="BG354" i="49"/>
  <c r="BH354" i="49"/>
  <c r="BG425" i="49"/>
  <c r="BH425" i="49"/>
  <c r="BG200" i="49"/>
  <c r="BH200" i="49"/>
  <c r="BG157" i="49"/>
  <c r="BH157" i="49"/>
  <c r="BG149" i="49"/>
  <c r="BH149" i="49"/>
  <c r="BG278" i="49"/>
  <c r="BH278" i="49"/>
  <c r="BG483" i="49"/>
  <c r="BH483" i="49"/>
  <c r="BG485" i="49"/>
  <c r="BH485" i="49"/>
  <c r="BG219" i="49"/>
  <c r="BH219" i="49"/>
  <c r="BG16" i="49"/>
  <c r="BH16" i="49"/>
  <c r="BG6" i="49"/>
  <c r="BH6" i="49"/>
  <c r="BG243" i="49"/>
  <c r="BH243" i="49"/>
  <c r="BG178" i="49"/>
  <c r="BH178" i="49"/>
  <c r="BK247" i="49"/>
  <c r="BL247" i="49"/>
  <c r="BJ247" i="49"/>
  <c r="DI116" i="49"/>
  <c r="DJ116" i="49"/>
  <c r="DH116" i="49"/>
  <c r="BG127" i="49"/>
  <c r="BH127" i="49"/>
  <c r="BG37" i="49"/>
  <c r="BH37" i="49"/>
  <c r="BG296" i="49"/>
  <c r="BH296" i="49"/>
  <c r="BG130" i="49"/>
  <c r="BH130" i="49"/>
  <c r="BG390" i="49"/>
  <c r="BH390" i="49"/>
  <c r="BG331" i="49"/>
  <c r="BH331" i="49"/>
  <c r="BG299" i="49"/>
  <c r="BH299" i="49"/>
  <c r="BG104" i="49"/>
  <c r="BH104" i="49"/>
  <c r="BG87" i="49"/>
  <c r="BH87" i="49"/>
  <c r="BG286" i="49"/>
  <c r="BH286" i="49"/>
  <c r="BG19" i="49"/>
  <c r="BH19" i="49"/>
  <c r="BG60" i="49"/>
  <c r="BH60" i="49"/>
  <c r="BG185" i="49"/>
  <c r="BH185" i="49"/>
  <c r="BG493" i="49"/>
  <c r="BH493" i="49"/>
  <c r="DI433" i="49"/>
  <c r="DH433" i="49"/>
  <c r="BG341" i="49"/>
  <c r="BH341" i="49"/>
  <c r="CF451" i="49"/>
  <c r="CF366" i="49"/>
  <c r="CF77" i="49"/>
  <c r="CF261" i="49"/>
  <c r="CF386" i="49"/>
  <c r="CF248" i="49"/>
  <c r="DD42" i="49"/>
  <c r="DD453" i="49"/>
  <c r="DD166" i="49"/>
  <c r="DD209" i="49"/>
  <c r="DD20" i="49"/>
  <c r="DD99" i="49"/>
  <c r="DD490" i="49"/>
  <c r="DD256" i="49"/>
  <c r="DD162" i="49"/>
  <c r="DD51" i="49"/>
  <c r="DD349" i="49"/>
  <c r="DJ107" i="49"/>
  <c r="DD143" i="49"/>
  <c r="DD214" i="49"/>
  <c r="DD308" i="49"/>
  <c r="DD435" i="49"/>
  <c r="DD138" i="49"/>
  <c r="DE56" i="49"/>
  <c r="DF56" i="49"/>
  <c r="DD56" i="49"/>
  <c r="DD377" i="49"/>
  <c r="DD461" i="49"/>
  <c r="DD386" i="49"/>
  <c r="DD225" i="49"/>
  <c r="DD473" i="49"/>
  <c r="DD14" i="49"/>
  <c r="DD307" i="49"/>
  <c r="DD468" i="49"/>
  <c r="DD111" i="49"/>
  <c r="DD266" i="49"/>
  <c r="DD253" i="49"/>
  <c r="DD66" i="49"/>
  <c r="DD48" i="49"/>
  <c r="DD33" i="49"/>
  <c r="DD227" i="49"/>
  <c r="DL479" i="49"/>
  <c r="DL32" i="49"/>
  <c r="BK355" i="49"/>
  <c r="BL355" i="49"/>
  <c r="BJ355" i="49"/>
  <c r="DI68" i="49"/>
  <c r="DJ68" i="49"/>
  <c r="DH68" i="49"/>
  <c r="BR462" i="49"/>
  <c r="CF226" i="49"/>
  <c r="CF348" i="49"/>
  <c r="CJ65" i="49"/>
  <c r="AT417" i="49"/>
  <c r="AT249" i="49"/>
  <c r="CF385" i="49"/>
  <c r="CF210" i="49"/>
  <c r="AT263" i="49"/>
  <c r="CF471" i="49"/>
  <c r="CF95" i="49"/>
  <c r="CF227" i="49"/>
  <c r="CF260" i="49"/>
  <c r="CF169" i="49"/>
  <c r="AT246" i="49"/>
  <c r="CF140" i="49"/>
  <c r="CF481" i="49"/>
  <c r="CF413" i="49"/>
  <c r="CF468" i="49"/>
  <c r="CF326" i="49"/>
  <c r="CF198" i="49"/>
  <c r="CF409" i="49"/>
  <c r="AT328" i="49"/>
  <c r="DD400" i="49"/>
  <c r="DD380" i="49"/>
  <c r="DD134" i="49"/>
  <c r="DD108" i="49"/>
  <c r="CJ5" i="49"/>
  <c r="CO464" i="49"/>
  <c r="BK308" i="49"/>
  <c r="BL308" i="49"/>
  <c r="BJ308" i="49"/>
  <c r="DD449" i="49"/>
  <c r="DD115" i="49"/>
  <c r="DD365" i="49"/>
  <c r="DD361" i="49"/>
  <c r="DD249" i="49"/>
  <c r="DD120" i="49"/>
  <c r="DD383" i="49"/>
  <c r="DD39" i="49"/>
  <c r="DD430" i="49"/>
  <c r="DD215" i="49"/>
  <c r="DE494" i="49"/>
  <c r="DF494" i="49"/>
  <c r="DD494" i="49"/>
  <c r="DD275" i="49"/>
  <c r="DD82" i="49"/>
  <c r="DD300" i="49"/>
  <c r="DD321" i="49"/>
  <c r="DD122" i="49"/>
  <c r="DD169" i="49"/>
  <c r="DD152" i="49"/>
  <c r="DD128" i="49"/>
  <c r="DD240" i="49"/>
  <c r="CO456" i="49"/>
  <c r="BK431" i="49"/>
  <c r="BL431" i="49"/>
  <c r="BJ431" i="49"/>
  <c r="AT279" i="49"/>
  <c r="BK432" i="49"/>
  <c r="BL432" i="49"/>
  <c r="BJ432" i="49"/>
  <c r="AR462" i="49"/>
  <c r="AS462" i="49"/>
  <c r="AQ462" i="49"/>
  <c r="DD409" i="49"/>
  <c r="CO452" i="49"/>
  <c r="DE60" i="49"/>
  <c r="DF60" i="49"/>
  <c r="DD60" i="49"/>
  <c r="DD388" i="49"/>
  <c r="DD150" i="49"/>
  <c r="DD208" i="49"/>
  <c r="DD188" i="49"/>
  <c r="DI11" i="49"/>
  <c r="DJ11" i="49"/>
  <c r="DH11" i="49"/>
  <c r="DL18" i="49"/>
  <c r="DD6" i="49"/>
  <c r="DD195" i="49"/>
  <c r="CF189" i="49"/>
  <c r="CF241" i="49"/>
  <c r="CF446" i="49"/>
  <c r="CF111" i="49"/>
  <c r="CF252" i="49"/>
  <c r="CF101" i="49"/>
  <c r="CF162" i="49"/>
  <c r="CF185" i="49"/>
  <c r="CF27" i="49"/>
  <c r="CF78" i="49"/>
  <c r="AI6" i="49"/>
  <c r="AI500" i="49"/>
  <c r="AI2" i="49"/>
  <c r="AH500" i="49"/>
  <c r="AH2" i="49"/>
  <c r="AT394" i="49"/>
  <c r="AT293" i="49"/>
  <c r="DI45" i="49"/>
  <c r="DJ45" i="49"/>
  <c r="DH45" i="49"/>
  <c r="BK429" i="49"/>
  <c r="BL429" i="49"/>
  <c r="BJ429" i="49"/>
  <c r="DD363" i="49"/>
  <c r="DD382" i="49"/>
  <c r="DD351" i="49"/>
  <c r="DD323" i="49"/>
  <c r="DD350" i="49"/>
  <c r="DD136" i="49"/>
  <c r="DD265" i="49"/>
  <c r="DD8" i="49"/>
  <c r="DD145" i="49"/>
  <c r="DD306" i="49"/>
  <c r="DD315" i="49"/>
  <c r="DD357" i="49"/>
  <c r="DD110" i="49"/>
  <c r="DD301" i="49"/>
  <c r="DD318" i="49"/>
  <c r="DD418" i="49"/>
  <c r="DD164" i="49"/>
  <c r="DD346" i="49"/>
  <c r="DD384" i="49"/>
  <c r="DD19" i="49"/>
  <c r="CF115" i="49"/>
  <c r="CF296" i="49"/>
  <c r="CF340" i="49"/>
  <c r="CF112" i="49"/>
  <c r="CF311" i="49"/>
  <c r="CF20" i="49"/>
  <c r="CF268" i="49"/>
  <c r="CF346" i="49"/>
  <c r="CF234" i="49"/>
  <c r="CF158" i="49"/>
  <c r="CF190" i="49"/>
  <c r="CF133" i="49"/>
  <c r="CF491" i="49"/>
  <c r="CF215" i="49"/>
  <c r="CF280" i="49"/>
  <c r="CF179" i="49"/>
  <c r="CF156" i="49"/>
  <c r="CF350" i="49"/>
  <c r="CF337" i="49"/>
  <c r="CF410" i="49"/>
  <c r="CF478" i="49"/>
  <c r="CF245" i="49"/>
  <c r="CF306" i="49"/>
  <c r="CF138" i="49"/>
  <c r="CF274" i="49"/>
  <c r="CF314" i="49"/>
  <c r="CF66" i="49"/>
  <c r="CF15" i="49"/>
  <c r="CF363" i="49"/>
  <c r="CF494" i="49"/>
  <c r="CF453" i="49"/>
  <c r="CF436" i="49"/>
  <c r="CF431" i="49"/>
  <c r="CF361" i="49"/>
  <c r="CF52" i="49"/>
  <c r="CF356" i="49"/>
  <c r="CF180" i="49"/>
  <c r="CF196" i="49"/>
  <c r="CF339" i="49"/>
  <c r="CF154" i="49"/>
  <c r="CF342" i="49"/>
  <c r="CF93" i="49"/>
  <c r="DC5" i="49"/>
  <c r="DB500" i="49"/>
  <c r="DB2" i="49"/>
  <c r="DD121" i="49"/>
  <c r="AT269" i="49"/>
  <c r="CF243" i="49"/>
  <c r="CF119" i="49"/>
  <c r="AT244" i="49"/>
  <c r="CF163" i="49"/>
  <c r="CF377" i="49"/>
  <c r="AT53" i="49"/>
  <c r="AT432" i="49"/>
  <c r="CF395" i="49"/>
  <c r="CF444" i="49"/>
  <c r="CF14" i="49"/>
  <c r="CF134" i="49"/>
  <c r="AT488" i="49"/>
  <c r="AT302" i="49"/>
  <c r="CF293" i="49"/>
  <c r="AT401" i="49"/>
  <c r="CF64" i="49"/>
  <c r="AT332" i="49"/>
  <c r="DD157" i="49"/>
  <c r="DD395" i="49"/>
  <c r="DD173" i="49"/>
  <c r="DD296" i="49"/>
  <c r="DL456" i="49"/>
  <c r="DD247" i="49"/>
  <c r="DD23" i="49"/>
  <c r="DD316" i="49"/>
  <c r="DD81" i="49"/>
  <c r="DD89" i="49"/>
  <c r="DL464" i="49"/>
  <c r="CO443" i="49"/>
  <c r="DL467" i="49"/>
  <c r="AL31" i="49"/>
  <c r="DD15" i="49"/>
  <c r="BK148" i="49"/>
  <c r="BL148" i="49"/>
  <c r="BJ148" i="49"/>
  <c r="BK376" i="49"/>
  <c r="BL376" i="49"/>
  <c r="BJ376" i="49"/>
  <c r="CO34" i="49"/>
  <c r="BK433" i="49"/>
  <c r="BL433" i="49"/>
  <c r="BJ433" i="49"/>
  <c r="AT260" i="49"/>
  <c r="DI298" i="49"/>
  <c r="DH298" i="49"/>
  <c r="DI97" i="49"/>
  <c r="DJ97" i="49"/>
  <c r="DH97" i="49"/>
  <c r="BG119" i="49"/>
  <c r="BH119" i="49"/>
  <c r="BG372" i="49"/>
  <c r="BH372" i="49"/>
  <c r="BG230" i="49"/>
  <c r="BH230" i="49"/>
  <c r="BG353" i="49"/>
  <c r="BH353" i="49"/>
  <c r="BG281" i="49"/>
  <c r="BH281" i="49"/>
  <c r="DI103" i="49"/>
  <c r="DJ103" i="49"/>
  <c r="DH103" i="49"/>
  <c r="DI67" i="49"/>
  <c r="DJ67" i="49"/>
  <c r="DH67" i="49"/>
  <c r="BG261" i="49"/>
  <c r="BH261" i="49"/>
  <c r="DI105" i="49"/>
  <c r="DJ105" i="49"/>
  <c r="DH105" i="49"/>
  <c r="BG106" i="49"/>
  <c r="BH106" i="49"/>
  <c r="BG143" i="49"/>
  <c r="BH143" i="49"/>
  <c r="BG126" i="49"/>
  <c r="BH126" i="49"/>
  <c r="BG90" i="49"/>
  <c r="BH90" i="49"/>
  <c r="BG99" i="49"/>
  <c r="BH99" i="49"/>
  <c r="BG366" i="49"/>
  <c r="BH366" i="49"/>
  <c r="BG114" i="49"/>
  <c r="BH114" i="49"/>
  <c r="BG51" i="49"/>
  <c r="BH51" i="49"/>
  <c r="BG57" i="49"/>
  <c r="BH57" i="49"/>
  <c r="BG472" i="49"/>
  <c r="BH472" i="49"/>
  <c r="BG173" i="49"/>
  <c r="BH173" i="49"/>
  <c r="BG112" i="49"/>
  <c r="BH112" i="49"/>
  <c r="BG67" i="49"/>
  <c r="BH67" i="49"/>
  <c r="BK47" i="49"/>
  <c r="BL47" i="49"/>
  <c r="BJ47" i="49"/>
  <c r="BG160" i="49"/>
  <c r="BH160" i="49"/>
  <c r="AR440" i="49"/>
  <c r="AS440" i="49"/>
  <c r="AQ440" i="49"/>
  <c r="BG250" i="49"/>
  <c r="BH250" i="49"/>
  <c r="DI443" i="49"/>
  <c r="DJ443" i="49"/>
  <c r="DH443" i="49"/>
  <c r="CG290" i="49"/>
  <c r="DI7" i="49"/>
  <c r="DJ7" i="49"/>
  <c r="DH7" i="49"/>
  <c r="BG453" i="49"/>
  <c r="BH453" i="49"/>
  <c r="BK129" i="49"/>
  <c r="BL129" i="49"/>
  <c r="BJ129" i="49"/>
  <c r="BG491" i="49"/>
  <c r="BH491" i="49"/>
  <c r="BG26" i="49"/>
  <c r="BH26" i="49"/>
  <c r="BG360" i="49"/>
  <c r="BH360" i="49"/>
  <c r="BG300" i="49"/>
  <c r="BH300" i="49"/>
  <c r="BG383" i="49"/>
  <c r="BH383" i="49"/>
  <c r="BG208" i="49"/>
  <c r="BH208" i="49"/>
  <c r="BG190" i="49"/>
  <c r="BH190" i="49"/>
  <c r="BG451" i="49"/>
  <c r="BH451" i="49"/>
  <c r="BG55" i="49"/>
  <c r="BH55" i="49"/>
  <c r="BK73" i="49"/>
  <c r="BL73" i="49"/>
  <c r="BJ73" i="49"/>
  <c r="BK441" i="49"/>
  <c r="BL441" i="49"/>
  <c r="BJ441" i="49"/>
  <c r="BG20" i="49"/>
  <c r="BH20" i="49"/>
  <c r="BG50" i="49"/>
  <c r="BH50" i="49"/>
  <c r="BG324" i="49"/>
  <c r="BH324" i="49"/>
  <c r="BK94" i="49"/>
  <c r="BL94" i="49"/>
  <c r="BJ94" i="49"/>
  <c r="BG322" i="49"/>
  <c r="BH322" i="49"/>
  <c r="BG395" i="49"/>
  <c r="BH395" i="49"/>
  <c r="BG248" i="49"/>
  <c r="BH248" i="49"/>
  <c r="BG486" i="49"/>
  <c r="BH486" i="49"/>
  <c r="BG92" i="49"/>
  <c r="BH92" i="49"/>
  <c r="BG63" i="49"/>
  <c r="BH63" i="49"/>
  <c r="BG474" i="49"/>
  <c r="BH474" i="49"/>
  <c r="BG59" i="49"/>
  <c r="BH59" i="49"/>
  <c r="BG477" i="49"/>
  <c r="BH477" i="49"/>
  <c r="BG125" i="49"/>
  <c r="BH125" i="49"/>
  <c r="BG266" i="49"/>
  <c r="BH266" i="49"/>
  <c r="BG321" i="49"/>
  <c r="BH321" i="49"/>
  <c r="BG253" i="49"/>
  <c r="BH253" i="49"/>
  <c r="BG85" i="49"/>
  <c r="BH85" i="49"/>
  <c r="AN18" i="49"/>
  <c r="AO18" i="49"/>
  <c r="AM18" i="49"/>
  <c r="BG117" i="49"/>
  <c r="BH117" i="49"/>
  <c r="BG15" i="49"/>
  <c r="BH15" i="49"/>
  <c r="BG326" i="49"/>
  <c r="BH326" i="49"/>
  <c r="DL34" i="49"/>
  <c r="DJ433" i="49"/>
  <c r="BG438" i="49"/>
  <c r="BH438" i="49"/>
  <c r="CF33" i="49"/>
  <c r="CF127" i="49"/>
  <c r="CF300" i="49"/>
  <c r="CF408" i="49"/>
  <c r="CF404" i="49"/>
  <c r="CF305" i="49"/>
  <c r="CF69" i="49"/>
  <c r="CF164" i="49"/>
  <c r="CF323" i="49"/>
  <c r="CF155" i="49"/>
  <c r="CF194" i="49"/>
  <c r="CF86" i="49"/>
  <c r="CF187" i="49"/>
  <c r="CF492" i="49"/>
  <c r="CF412" i="49"/>
  <c r="AT411" i="49"/>
  <c r="DL462" i="49"/>
  <c r="CO459" i="49"/>
  <c r="BK11" i="49"/>
  <c r="BL11" i="49"/>
  <c r="BJ11" i="49"/>
  <c r="DI415" i="49"/>
  <c r="DJ415" i="49"/>
  <c r="DH415" i="49"/>
  <c r="DD338" i="49"/>
  <c r="DD76" i="49"/>
  <c r="DD161" i="49"/>
  <c r="BR479" i="49"/>
  <c r="DD155" i="49"/>
  <c r="DD356" i="49"/>
  <c r="CO440" i="49"/>
  <c r="BK12" i="49"/>
  <c r="BL12" i="49"/>
  <c r="BJ12" i="49"/>
  <c r="BK188" i="49"/>
  <c r="BL188" i="49"/>
  <c r="BJ188" i="49"/>
  <c r="DD191" i="49"/>
  <c r="DD493" i="49"/>
  <c r="DD320" i="49"/>
  <c r="CF486" i="49"/>
  <c r="CF253" i="49"/>
  <c r="CF172" i="49"/>
  <c r="AT223" i="49"/>
  <c r="CF482" i="49"/>
  <c r="CF473" i="49"/>
  <c r="AT294" i="49"/>
  <c r="CF72" i="49"/>
  <c r="AT370" i="49"/>
  <c r="CF496" i="49"/>
  <c r="AT202" i="49"/>
  <c r="CJ31" i="49"/>
  <c r="CF329" i="49"/>
  <c r="AT421" i="49"/>
  <c r="CF483" i="49"/>
  <c r="CF428" i="49"/>
  <c r="CF295" i="49"/>
  <c r="AT207" i="49"/>
  <c r="CF87" i="49"/>
  <c r="AT241" i="49"/>
  <c r="AU355" i="49"/>
  <c r="CO479" i="49"/>
  <c r="DD250" i="49"/>
  <c r="DD481" i="49"/>
  <c r="DD303" i="49"/>
  <c r="DD408" i="49"/>
  <c r="AO5" i="49"/>
  <c r="DD13" i="49"/>
  <c r="DD207" i="49"/>
  <c r="DD322" i="49"/>
  <c r="DD57" i="49"/>
  <c r="DD95" i="49"/>
  <c r="DD451" i="49"/>
  <c r="DD55" i="49"/>
  <c r="AT376" i="49"/>
  <c r="CO463" i="49"/>
  <c r="BK362" i="49"/>
  <c r="BL362" i="49"/>
  <c r="BJ362" i="49"/>
  <c r="DI489" i="49"/>
  <c r="DJ489" i="49"/>
  <c r="DH489" i="49"/>
  <c r="CF207" i="49"/>
  <c r="CF144" i="49"/>
  <c r="CF99" i="49"/>
  <c r="CF7" i="49"/>
  <c r="CF454" i="49"/>
  <c r="CF141" i="49"/>
  <c r="CF122" i="49"/>
  <c r="AT391" i="49"/>
  <c r="AT397" i="49"/>
  <c r="DD37" i="49"/>
  <c r="DD404" i="49"/>
  <c r="DD311" i="49"/>
  <c r="DD180" i="49"/>
  <c r="DD444" i="49"/>
  <c r="AT422" i="49"/>
  <c r="AT476" i="49"/>
  <c r="AT193" i="49"/>
  <c r="CO472" i="49"/>
  <c r="DI434" i="49"/>
  <c r="DJ434" i="49"/>
  <c r="DH434" i="49"/>
  <c r="BK471" i="49"/>
  <c r="BL471" i="49"/>
  <c r="BJ471" i="49"/>
  <c r="DD419" i="49"/>
  <c r="DD352" i="49"/>
  <c r="DE336" i="49"/>
  <c r="DF336" i="49"/>
  <c r="DD336" i="49"/>
  <c r="DD440" i="49"/>
  <c r="DL469" i="49"/>
  <c r="DD243" i="49"/>
  <c r="DD427" i="49"/>
  <c r="DD331" i="49"/>
  <c r="DD423" i="49"/>
  <c r="CF349" i="49"/>
  <c r="CF319" i="49"/>
  <c r="CF360" i="49"/>
  <c r="CF128" i="49"/>
  <c r="CF447" i="49"/>
  <c r="CF435" i="49"/>
  <c r="CF367" i="49"/>
  <c r="CF373" i="49"/>
  <c r="CF9" i="49"/>
  <c r="CF341" i="49"/>
  <c r="CF235" i="49"/>
  <c r="CF81" i="49"/>
  <c r="CF470" i="49"/>
  <c r="CF427" i="49"/>
  <c r="CF120" i="49"/>
  <c r="CF92" i="49"/>
  <c r="CF271" i="49"/>
  <c r="CF438" i="49"/>
  <c r="CF139" i="49"/>
  <c r="CF419" i="49"/>
  <c r="CF184" i="49"/>
  <c r="CF91" i="49"/>
  <c r="CF240" i="49"/>
  <c r="CF84" i="49"/>
  <c r="CF125" i="49"/>
  <c r="CF121" i="49"/>
  <c r="CF109" i="49"/>
  <c r="CF394" i="49"/>
  <c r="CF201" i="49"/>
  <c r="CF197" i="49"/>
  <c r="CF365" i="49"/>
  <c r="CF299" i="49"/>
  <c r="CF219" i="49"/>
  <c r="CF167" i="49"/>
  <c r="CF96" i="49"/>
  <c r="CF352" i="49"/>
  <c r="CF117" i="49"/>
  <c r="CF150" i="49"/>
  <c r="CF170" i="49"/>
  <c r="CF281" i="49"/>
  <c r="CF143" i="49"/>
  <c r="BK236" i="49"/>
  <c r="BL236" i="49"/>
  <c r="BJ236" i="49"/>
  <c r="BK226" i="49"/>
  <c r="BL226" i="49"/>
  <c r="BJ226" i="49"/>
  <c r="DL355" i="49"/>
  <c r="CF217" i="49"/>
  <c r="CF118" i="49"/>
  <c r="CJ37" i="49"/>
  <c r="CF461" i="49"/>
  <c r="AT211" i="49"/>
  <c r="CF383" i="49"/>
  <c r="CF149" i="49"/>
  <c r="AT287" i="49"/>
  <c r="AT147" i="49"/>
  <c r="CJ23" i="49"/>
  <c r="CF343" i="49"/>
  <c r="CF402" i="49"/>
  <c r="CF382" i="49"/>
  <c r="CF70" i="49"/>
  <c r="CF38" i="49"/>
  <c r="CF301" i="49"/>
  <c r="AT291" i="49"/>
  <c r="AT182" i="49"/>
  <c r="AL35" i="49"/>
  <c r="DD197" i="49"/>
  <c r="DD28" i="49"/>
  <c r="DD305" i="49"/>
  <c r="DD437" i="49"/>
  <c r="DD314" i="49"/>
  <c r="DD106" i="49"/>
  <c r="DD30" i="49"/>
  <c r="DD172" i="49"/>
  <c r="DD274" i="49"/>
  <c r="DD200" i="49"/>
  <c r="DD50" i="49"/>
  <c r="DD486" i="49"/>
  <c r="DD343" i="49"/>
  <c r="DD142" i="49"/>
  <c r="DD131" i="49"/>
  <c r="DD325" i="49"/>
  <c r="DD455" i="49"/>
  <c r="DD261" i="49"/>
  <c r="DD496" i="49"/>
  <c r="DD252" i="49"/>
  <c r="DD159" i="49"/>
  <c r="AL65" i="49"/>
  <c r="DL35" i="49"/>
  <c r="DD313" i="49"/>
  <c r="DD174" i="49"/>
  <c r="DD248" i="49"/>
  <c r="DD54" i="49"/>
  <c r="DD36" i="49"/>
  <c r="CJ24" i="49"/>
  <c r="CO22" i="49"/>
  <c r="DJ298" i="49"/>
  <c r="DD334" i="49"/>
  <c r="CO462" i="49"/>
  <c r="DD317" i="49"/>
  <c r="DD339" i="49"/>
  <c r="DD487" i="49"/>
  <c r="DD183" i="49"/>
  <c r="DD290" i="49"/>
  <c r="DD241" i="49"/>
  <c r="DD75" i="49"/>
  <c r="DD199" i="49"/>
  <c r="BG365" i="49"/>
  <c r="BH365" i="49"/>
  <c r="BG490" i="49"/>
  <c r="BH490" i="49"/>
  <c r="BG339" i="49"/>
  <c r="BH339" i="49"/>
  <c r="BG89" i="49"/>
  <c r="BH89" i="49"/>
  <c r="BG150" i="49"/>
  <c r="BH150" i="49"/>
  <c r="BG116" i="49"/>
  <c r="BH116" i="49"/>
  <c r="BG77" i="49"/>
  <c r="BH77" i="49"/>
  <c r="BG214" i="49"/>
  <c r="BH214" i="49"/>
  <c r="BG31" i="49"/>
  <c r="BH31" i="49"/>
  <c r="AU419" i="49"/>
  <c r="BG162" i="49"/>
  <c r="BH162" i="49"/>
  <c r="BG71" i="49"/>
  <c r="BH71" i="49"/>
  <c r="BK28" i="49"/>
  <c r="BL28" i="49"/>
  <c r="BJ28" i="49"/>
  <c r="BG23" i="49"/>
  <c r="BH23" i="49"/>
  <c r="BG257" i="49"/>
  <c r="BH257" i="49"/>
  <c r="BG481" i="49"/>
  <c r="BH481" i="49"/>
  <c r="BG489" i="49"/>
  <c r="BH489" i="49"/>
  <c r="BK439" i="49"/>
  <c r="BL439" i="49"/>
  <c r="BJ439" i="49"/>
  <c r="BG335" i="49"/>
  <c r="BH335" i="49"/>
  <c r="BG191" i="49"/>
  <c r="BH191" i="49"/>
  <c r="BG217" i="49"/>
  <c r="BH217" i="49"/>
  <c r="BG313" i="49"/>
  <c r="BH313" i="49"/>
  <c r="BG440" i="49"/>
  <c r="BH440" i="49"/>
  <c r="BG276" i="49"/>
  <c r="BH276" i="49"/>
  <c r="BG179" i="49"/>
  <c r="BH179" i="49"/>
  <c r="BG172" i="49"/>
  <c r="BH172" i="49"/>
  <c r="BG282" i="49"/>
  <c r="BH282" i="49"/>
  <c r="BG142" i="49"/>
  <c r="BH142" i="49"/>
  <c r="BG66" i="49"/>
  <c r="BH66" i="49"/>
  <c r="BK34" i="49"/>
  <c r="BL34" i="49"/>
  <c r="BJ34" i="49"/>
  <c r="BG314" i="49"/>
  <c r="BH314" i="49"/>
  <c r="BG234" i="49"/>
  <c r="BH234" i="49"/>
  <c r="DI41" i="49"/>
  <c r="DJ41" i="49"/>
  <c r="DH41" i="49"/>
  <c r="DI98" i="49"/>
  <c r="DJ98" i="49"/>
  <c r="DH98" i="49"/>
  <c r="BG436" i="49"/>
  <c r="BH436" i="49"/>
  <c r="BG318" i="49"/>
  <c r="BH318" i="49"/>
  <c r="BG411" i="49"/>
  <c r="BH411" i="49"/>
  <c r="BG461" i="49"/>
  <c r="BH461" i="49"/>
  <c r="BG363" i="49"/>
  <c r="BH363" i="49"/>
  <c r="BG42" i="49"/>
  <c r="BH42" i="49"/>
  <c r="BG107" i="49"/>
  <c r="BH107" i="49"/>
  <c r="DI46" i="49"/>
  <c r="DJ46" i="49"/>
  <c r="DH46" i="49"/>
  <c r="BG409" i="49"/>
  <c r="BH409" i="49"/>
  <c r="BG251" i="49"/>
  <c r="BH251" i="49"/>
  <c r="BG413" i="49"/>
  <c r="BH413" i="49"/>
  <c r="BG455" i="49"/>
  <c r="BH455" i="49"/>
  <c r="DI74" i="49"/>
  <c r="DJ74" i="49"/>
  <c r="DH74" i="49"/>
  <c r="BG233" i="49"/>
  <c r="BH233" i="49"/>
  <c r="BG310" i="49"/>
  <c r="BH310" i="49"/>
  <c r="BG338" i="49"/>
  <c r="BH338" i="49"/>
  <c r="BG482" i="49"/>
  <c r="BH482" i="49"/>
  <c r="BG111" i="49"/>
  <c r="BH111" i="49"/>
  <c r="BG100" i="49"/>
  <c r="BH100" i="49"/>
  <c r="BG97" i="49"/>
  <c r="BH97" i="49"/>
  <c r="BG340" i="49"/>
  <c r="BH340" i="49"/>
  <c r="DI392" i="49"/>
  <c r="DJ392" i="49"/>
  <c r="DH392" i="49"/>
  <c r="BG78" i="49"/>
  <c r="BH78" i="49"/>
  <c r="BG487" i="49"/>
  <c r="BH487" i="49"/>
  <c r="BG229" i="49"/>
  <c r="BH229" i="49"/>
  <c r="BG227" i="49"/>
  <c r="BH227" i="49"/>
  <c r="BG30" i="49"/>
  <c r="BH30" i="49"/>
  <c r="BG207" i="49"/>
  <c r="BH207" i="49"/>
  <c r="BG333" i="49"/>
  <c r="BH333" i="49"/>
  <c r="BG435" i="49"/>
  <c r="BH435" i="49"/>
  <c r="CF145" i="49"/>
  <c r="CF191" i="49"/>
  <c r="CF449" i="49"/>
  <c r="CF292" i="49"/>
  <c r="CF104" i="49"/>
  <c r="CF423" i="49"/>
  <c r="CF130" i="49"/>
  <c r="CF188" i="49"/>
  <c r="CF498" i="49"/>
  <c r="CF224" i="49"/>
  <c r="CF106" i="49"/>
  <c r="CF439" i="49"/>
  <c r="CF100" i="49"/>
  <c r="DD372" i="49"/>
  <c r="DD123" i="49"/>
  <c r="DD139" i="49"/>
  <c r="DD235" i="49"/>
  <c r="DD141" i="49"/>
  <c r="AT255" i="49"/>
  <c r="DD279" i="49"/>
  <c r="DD52" i="49"/>
  <c r="DD27" i="49"/>
  <c r="DD410" i="49"/>
  <c r="CO355" i="49"/>
  <c r="DL40" i="49"/>
  <c r="DD360" i="49"/>
  <c r="DD268" i="49"/>
  <c r="DD373" i="49"/>
  <c r="DD471" i="49"/>
  <c r="DD348" i="49"/>
  <c r="DD192" i="49"/>
  <c r="DD17" i="49"/>
  <c r="DD460" i="49"/>
  <c r="DE342" i="49"/>
  <c r="DF342" i="49"/>
  <c r="DD342" i="49"/>
  <c r="DD324" i="49"/>
  <c r="DD102" i="49"/>
  <c r="DD94" i="49"/>
  <c r="DE341" i="49"/>
  <c r="DF341" i="49"/>
  <c r="DD341" i="49"/>
  <c r="DD109" i="49"/>
  <c r="DD70" i="49"/>
  <c r="DD219" i="49"/>
  <c r="DD165" i="49"/>
  <c r="DD153" i="49"/>
  <c r="DE337" i="49"/>
  <c r="DF337" i="49"/>
  <c r="DD337" i="49"/>
  <c r="DD156" i="49"/>
  <c r="DI10" i="49"/>
  <c r="DJ10" i="49"/>
  <c r="DH10" i="49"/>
  <c r="BL52" i="49"/>
  <c r="AT398" i="49"/>
  <c r="CF430" i="49"/>
  <c r="AT191" i="49"/>
  <c r="CJ12" i="49"/>
  <c r="CF460" i="49"/>
  <c r="AT327" i="49"/>
  <c r="CF57" i="49"/>
  <c r="AT285" i="49"/>
  <c r="AT188" i="49"/>
  <c r="AT371" i="49"/>
  <c r="CF379" i="49"/>
  <c r="CF102" i="49"/>
  <c r="CF61" i="49"/>
  <c r="AT415" i="49"/>
  <c r="AT389" i="49"/>
  <c r="AT63" i="49"/>
  <c r="AT228" i="49"/>
  <c r="DD87" i="49"/>
  <c r="DD113" i="49"/>
  <c r="DD310" i="49"/>
  <c r="DD448" i="49"/>
  <c r="DD470" i="49"/>
  <c r="AT176" i="49"/>
  <c r="DL466" i="49"/>
  <c r="BK9" i="49"/>
  <c r="BL9" i="49"/>
  <c r="BJ9" i="49"/>
  <c r="DD43" i="49"/>
  <c r="DD190" i="49"/>
  <c r="DE335" i="49"/>
  <c r="DF335" i="49"/>
  <c r="DD335" i="49"/>
  <c r="DD367" i="49"/>
  <c r="DD312" i="49"/>
  <c r="DD91" i="49"/>
  <c r="DD425" i="49"/>
  <c r="DD118" i="49"/>
  <c r="DD267" i="49"/>
  <c r="DD187" i="49"/>
  <c r="DD88" i="49"/>
  <c r="DD205" i="49"/>
  <c r="DD485" i="49"/>
  <c r="DD130" i="49"/>
  <c r="DD184" i="49"/>
  <c r="DD277" i="49"/>
  <c r="DD211" i="49"/>
  <c r="DD24" i="49"/>
  <c r="DD295" i="49"/>
  <c r="DD149" i="49"/>
  <c r="DL31" i="49"/>
  <c r="AT177" i="49"/>
  <c r="CD500" i="49"/>
  <c r="CD2" i="49"/>
  <c r="CE6" i="49"/>
  <c r="AT216" i="49"/>
  <c r="CJ25" i="49"/>
  <c r="AR466" i="49"/>
  <c r="AS466" i="49"/>
  <c r="AQ466" i="49"/>
  <c r="DD170" i="49"/>
  <c r="DD446" i="49"/>
  <c r="AR443" i="49"/>
  <c r="AS443" i="49"/>
  <c r="AQ443" i="49"/>
  <c r="DD210" i="49"/>
  <c r="DD478" i="49"/>
  <c r="DD79" i="49"/>
  <c r="AR463" i="49"/>
  <c r="AS463" i="49"/>
  <c r="AQ463" i="49"/>
  <c r="BK302" i="49"/>
  <c r="BL302" i="49"/>
  <c r="BJ302" i="49"/>
  <c r="DD257" i="49"/>
  <c r="DD201" i="49"/>
  <c r="CF58" i="49"/>
  <c r="CF327" i="49"/>
  <c r="CF199" i="49"/>
  <c r="CF108" i="49"/>
  <c r="CF51" i="49"/>
  <c r="CF152" i="49"/>
  <c r="CF166" i="49"/>
  <c r="CF414" i="49"/>
  <c r="CF247" i="49"/>
  <c r="CF368" i="49"/>
  <c r="CF487" i="49"/>
  <c r="DI12" i="49"/>
  <c r="DJ12" i="49"/>
  <c r="DH12" i="49"/>
  <c r="AT264" i="49"/>
  <c r="AT284" i="49"/>
  <c r="AT387" i="49"/>
  <c r="AL366" i="49"/>
  <c r="AL434" i="49"/>
  <c r="AL367" i="49"/>
  <c r="BK10" i="49"/>
  <c r="BL10" i="49"/>
  <c r="BJ10" i="49"/>
  <c r="DD185" i="49"/>
  <c r="DD428" i="49"/>
  <c r="DD194" i="49"/>
  <c r="DD438" i="49"/>
  <c r="DD86" i="49"/>
  <c r="DD146" i="49"/>
  <c r="DD126" i="49"/>
  <c r="DD114" i="49"/>
  <c r="DD441" i="49"/>
  <c r="DE340" i="49"/>
  <c r="DF340" i="49"/>
  <c r="DD340" i="49"/>
  <c r="DD92" i="49"/>
  <c r="DD454" i="49"/>
  <c r="DD125" i="49"/>
  <c r="DD297" i="49"/>
  <c r="DD133" i="49"/>
  <c r="DD196" i="49"/>
  <c r="DD390" i="49"/>
  <c r="DD234" i="49"/>
  <c r="DD69" i="49"/>
  <c r="DD217" i="49"/>
  <c r="CO474" i="49"/>
  <c r="BK492" i="49"/>
  <c r="BL492" i="49"/>
  <c r="BJ492" i="49"/>
  <c r="DL465" i="49"/>
  <c r="CF312" i="49"/>
  <c r="CF279" i="49"/>
  <c r="CF425" i="49"/>
  <c r="CF448" i="49"/>
  <c r="CF214" i="49"/>
  <c r="CF351" i="49"/>
  <c r="CF308" i="49"/>
  <c r="CF60" i="49"/>
  <c r="CF282" i="49"/>
  <c r="CF200" i="49"/>
  <c r="CF250" i="49"/>
  <c r="CF82" i="49"/>
  <c r="CF75" i="49"/>
  <c r="CF441" i="49"/>
  <c r="CF48" i="49"/>
  <c r="CF157" i="49"/>
  <c r="CF278" i="49"/>
  <c r="CF142" i="49"/>
  <c r="CF208" i="49"/>
  <c r="CF450" i="49"/>
  <c r="CF233" i="49"/>
  <c r="CF21" i="49"/>
  <c r="CF266" i="49"/>
  <c r="CF192" i="49"/>
  <c r="CF316" i="49"/>
  <c r="CF273" i="49"/>
  <c r="CF325" i="49"/>
  <c r="CF160" i="49"/>
  <c r="CF331" i="49"/>
  <c r="CF445" i="49"/>
  <c r="CF159" i="49"/>
  <c r="CF372" i="49"/>
  <c r="CF317" i="49"/>
  <c r="CF388" i="49"/>
  <c r="CF124" i="49"/>
  <c r="CF334" i="49"/>
  <c r="CF267" i="49"/>
  <c r="CF467" i="49"/>
  <c r="CF298" i="49"/>
  <c r="CF123" i="49"/>
  <c r="CF393" i="49"/>
  <c r="DD100" i="49"/>
  <c r="CF29" i="49"/>
  <c r="CF310" i="49"/>
  <c r="CF477" i="49"/>
  <c r="AT280" i="49"/>
  <c r="CF183" i="49"/>
  <c r="CF354" i="49"/>
  <c r="CJ420" i="49"/>
  <c r="AT369" i="49"/>
  <c r="CF338" i="49"/>
  <c r="CF400" i="49"/>
  <c r="CF218" i="49"/>
  <c r="CF136" i="49"/>
  <c r="CF153" i="49"/>
  <c r="AT171" i="49"/>
  <c r="CJ256" i="49"/>
  <c r="AP40" i="49"/>
  <c r="AT381" i="49"/>
  <c r="AL179" i="49"/>
  <c r="DD484" i="49"/>
  <c r="DD119" i="49"/>
  <c r="DD129" i="49"/>
  <c r="DD127" i="49"/>
  <c r="DD414" i="49"/>
  <c r="DD492" i="49"/>
  <c r="DD450" i="49"/>
  <c r="DD26" i="49"/>
  <c r="DD178" i="49"/>
  <c r="DL21" i="49"/>
  <c r="CJ19" i="49"/>
  <c r="BK96" i="49"/>
  <c r="BL96" i="49"/>
  <c r="BJ96" i="49"/>
  <c r="BK17" i="49"/>
  <c r="BL17" i="49"/>
  <c r="BJ17" i="49"/>
  <c r="AT426" i="49"/>
  <c r="BH5" i="49"/>
  <c r="DI73" i="49"/>
  <c r="DJ73" i="49"/>
  <c r="DH73" i="49"/>
  <c r="BG312" i="49"/>
  <c r="BH312" i="49"/>
  <c r="BG35" i="49"/>
  <c r="BH35" i="49"/>
  <c r="BG382" i="49"/>
  <c r="BH382" i="49"/>
  <c r="BG457" i="49"/>
  <c r="BH457" i="49"/>
  <c r="BG170" i="49"/>
  <c r="BH170" i="49"/>
  <c r="BG138" i="49"/>
  <c r="BH138" i="49"/>
  <c r="BG141" i="49"/>
  <c r="BH141" i="49"/>
  <c r="BG186" i="49"/>
  <c r="BH186" i="49"/>
  <c r="BG14" i="49"/>
  <c r="BH14" i="49"/>
  <c r="DI64" i="49"/>
  <c r="DJ64" i="49"/>
  <c r="DH64" i="49"/>
  <c r="BG305" i="49"/>
  <c r="BH305" i="49"/>
  <c r="BG342" i="49"/>
  <c r="BH342" i="49"/>
  <c r="BG88" i="49"/>
  <c r="BH88" i="49"/>
  <c r="DI293" i="49"/>
  <c r="DJ293" i="49"/>
  <c r="DH293" i="49"/>
  <c r="BG48" i="49"/>
  <c r="BH48" i="49"/>
  <c r="BG323" i="49"/>
  <c r="BH323" i="49"/>
  <c r="BG268" i="49"/>
  <c r="BH268" i="49"/>
  <c r="BG169" i="49"/>
  <c r="BH169" i="49"/>
  <c r="BG293" i="49"/>
  <c r="BH293" i="49"/>
  <c r="BG84" i="49"/>
  <c r="BH84" i="49"/>
  <c r="BG39" i="49"/>
  <c r="BH39" i="49"/>
  <c r="BG213" i="49"/>
  <c r="BH213" i="49"/>
  <c r="BG428" i="49"/>
  <c r="BH428" i="49"/>
  <c r="BG194" i="49"/>
  <c r="BH194" i="49"/>
  <c r="BK319" i="49"/>
  <c r="BL319" i="49"/>
  <c r="BJ319" i="49"/>
  <c r="BK180" i="49"/>
  <c r="BL180" i="49"/>
  <c r="BJ180" i="49"/>
  <c r="BG346" i="49"/>
  <c r="BH346" i="49"/>
  <c r="BG209" i="49"/>
  <c r="BH209" i="49"/>
  <c r="DI117" i="49"/>
  <c r="DJ117" i="49"/>
  <c r="DH117" i="49"/>
  <c r="AR464" i="49"/>
  <c r="AS464" i="49"/>
  <c r="AQ464" i="49"/>
  <c r="BG337" i="49"/>
  <c r="BH337" i="49"/>
  <c r="BK450" i="49"/>
  <c r="BL450" i="49"/>
  <c r="BJ450" i="49"/>
  <c r="BG58" i="49"/>
  <c r="BH58" i="49"/>
  <c r="BG316" i="49"/>
  <c r="BH316" i="49"/>
  <c r="BG304" i="49"/>
  <c r="BH304" i="49"/>
  <c r="BG218" i="49"/>
  <c r="BH218" i="49"/>
  <c r="BG161" i="49"/>
  <c r="BH161" i="49"/>
  <c r="BG478" i="49"/>
  <c r="BH478" i="49"/>
  <c r="AR465" i="49"/>
  <c r="AS465" i="49"/>
  <c r="AQ465" i="49"/>
  <c r="BK350" i="49"/>
  <c r="BL350" i="49"/>
  <c r="BJ350" i="49"/>
  <c r="BG151" i="49"/>
  <c r="BH151" i="49"/>
  <c r="BG163" i="49"/>
  <c r="BH163" i="49"/>
  <c r="BK65" i="49"/>
  <c r="BL65" i="49"/>
  <c r="BJ65" i="49"/>
  <c r="BG467" i="49"/>
  <c r="BH467" i="49"/>
  <c r="BG484" i="49"/>
  <c r="BH484" i="49"/>
  <c r="BG153" i="49"/>
  <c r="BH153" i="49"/>
  <c r="BR469" i="49"/>
  <c r="BG21" i="49"/>
  <c r="BH21" i="49"/>
  <c r="BG184" i="49"/>
  <c r="BH184" i="49"/>
  <c r="BG388" i="49"/>
  <c r="BH388" i="49"/>
  <c r="BG315" i="49"/>
  <c r="BH315" i="49"/>
  <c r="BG36" i="49"/>
  <c r="BH36" i="49"/>
  <c r="BG473" i="49"/>
  <c r="BH473" i="49"/>
  <c r="BG154" i="49"/>
  <c r="BH154" i="49"/>
  <c r="BG158" i="49"/>
  <c r="BH158" i="49"/>
  <c r="AN34" i="49"/>
  <c r="AO34" i="49"/>
  <c r="AM34" i="49"/>
  <c r="BK70" i="49"/>
  <c r="BL70" i="49"/>
  <c r="BJ70" i="49"/>
  <c r="BG307" i="49"/>
  <c r="BH307" i="49"/>
  <c r="BG443" i="49"/>
  <c r="BH443" i="49"/>
  <c r="CO469" i="49"/>
  <c r="BG56" i="49"/>
  <c r="BH56" i="49"/>
  <c r="BG113" i="49"/>
  <c r="BH113" i="49"/>
  <c r="BG358" i="49"/>
  <c r="BH358" i="49"/>
  <c r="DL452" i="49"/>
  <c r="AJ204" i="49"/>
  <c r="AK204" i="49"/>
  <c r="AL204" i="49"/>
  <c r="AJ330" i="49"/>
  <c r="AK330" i="49"/>
  <c r="BJ330" i="49"/>
  <c r="AJ203" i="49"/>
  <c r="AK203" i="49"/>
  <c r="CG204" i="49"/>
  <c r="BI203" i="49"/>
  <c r="BI204" i="49"/>
  <c r="BJ359" i="49"/>
  <c r="AJ58" i="49"/>
  <c r="AK58" i="49"/>
  <c r="BK195" i="49"/>
  <c r="BL195" i="49"/>
  <c r="BM195" i="49"/>
  <c r="BN195" i="49"/>
  <c r="BJ195" i="49"/>
  <c r="BJ290" i="49"/>
  <c r="BJ283" i="49"/>
  <c r="BI228" i="49"/>
  <c r="BK221" i="49"/>
  <c r="BL221" i="49"/>
  <c r="BJ221" i="49"/>
  <c r="BJ259" i="49"/>
  <c r="BJ222" i="49"/>
  <c r="BJ223" i="49"/>
  <c r="BJ168" i="49"/>
  <c r="BJ294" i="49"/>
  <c r="BJ256" i="49"/>
  <c r="BJ231" i="49"/>
  <c r="BJ212" i="49"/>
  <c r="BK262" i="49"/>
  <c r="BL262" i="49"/>
  <c r="BM262" i="49"/>
  <c r="BJ262" i="49"/>
  <c r="BJ216" i="49"/>
  <c r="BK264" i="49"/>
  <c r="BL264" i="49"/>
  <c r="BM264" i="49"/>
  <c r="BN264" i="49"/>
  <c r="BJ264" i="49"/>
  <c r="BK297" i="49"/>
  <c r="BL297" i="49"/>
  <c r="BM297" i="49"/>
  <c r="BN297" i="49"/>
  <c r="BJ297" i="49"/>
  <c r="DK117" i="49"/>
  <c r="BM188" i="49"/>
  <c r="BM73" i="49"/>
  <c r="AT440" i="49"/>
  <c r="BM180" i="49"/>
  <c r="BM70" i="49"/>
  <c r="BM65" i="49"/>
  <c r="BM350" i="49"/>
  <c r="BM11" i="49"/>
  <c r="AP18" i="49"/>
  <c r="BM94" i="49"/>
  <c r="AT464" i="49"/>
  <c r="DK73" i="49"/>
  <c r="BM226" i="49"/>
  <c r="BM236" i="49"/>
  <c r="BM12" i="49"/>
  <c r="BM441" i="49"/>
  <c r="DK7" i="49"/>
  <c r="BM319" i="49"/>
  <c r="DK293" i="49"/>
  <c r="AP34" i="49"/>
  <c r="AT465" i="49"/>
  <c r="BM450" i="49"/>
  <c r="DK64" i="49"/>
  <c r="DG336" i="49"/>
  <c r="BM471" i="49"/>
  <c r="BM362" i="49"/>
  <c r="BM129" i="49"/>
  <c r="BM47" i="49"/>
  <c r="AL58" i="49"/>
  <c r="BI358" i="49"/>
  <c r="BI21" i="49"/>
  <c r="BI268" i="49"/>
  <c r="BI305" i="49"/>
  <c r="BI170" i="49"/>
  <c r="BI5" i="49"/>
  <c r="BH500" i="49"/>
  <c r="BH2" i="49"/>
  <c r="BI113" i="49"/>
  <c r="BI443" i="49"/>
  <c r="BI158" i="49"/>
  <c r="BI315" i="49"/>
  <c r="BI467" i="49"/>
  <c r="BI163" i="49"/>
  <c r="BI478" i="49"/>
  <c r="BI316" i="49"/>
  <c r="BI209" i="49"/>
  <c r="BI194" i="49"/>
  <c r="BI84" i="49"/>
  <c r="BI323" i="49"/>
  <c r="BI186" i="49"/>
  <c r="BI457" i="49"/>
  <c r="BG500" i="49"/>
  <c r="BG2" i="49"/>
  <c r="BM96" i="49"/>
  <c r="AT474" i="49"/>
  <c r="CL256" i="49"/>
  <c r="CM256" i="49"/>
  <c r="CK256" i="49"/>
  <c r="CG218" i="49"/>
  <c r="CL420" i="49"/>
  <c r="CM420" i="49"/>
  <c r="CK420" i="49"/>
  <c r="BM320" i="49"/>
  <c r="CG123" i="49"/>
  <c r="CG334" i="49"/>
  <c r="CG388" i="49"/>
  <c r="CG372" i="49"/>
  <c r="CG445" i="49"/>
  <c r="CG273" i="49"/>
  <c r="CG21" i="49"/>
  <c r="CG450" i="49"/>
  <c r="CG142" i="49"/>
  <c r="CG157" i="49"/>
  <c r="CG441" i="49"/>
  <c r="CG82" i="49"/>
  <c r="CG60" i="49"/>
  <c r="CG448" i="49"/>
  <c r="CG279" i="49"/>
  <c r="BM492" i="49"/>
  <c r="CG368" i="49"/>
  <c r="CG414" i="49"/>
  <c r="CG152" i="49"/>
  <c r="CG108" i="49"/>
  <c r="CG327" i="49"/>
  <c r="CL25" i="49"/>
  <c r="CM25" i="49"/>
  <c r="CK25" i="49"/>
  <c r="DG335" i="49"/>
  <c r="AT469" i="49"/>
  <c r="AU228" i="49"/>
  <c r="AU389" i="49"/>
  <c r="CG61" i="49"/>
  <c r="AU188" i="49"/>
  <c r="CG57" i="49"/>
  <c r="CG460" i="49"/>
  <c r="AU191" i="49"/>
  <c r="AU398" i="49"/>
  <c r="DG491" i="49"/>
  <c r="DK10" i="49"/>
  <c r="DG337" i="49"/>
  <c r="CG439" i="49"/>
  <c r="CG188" i="49"/>
  <c r="CG423" i="49"/>
  <c r="BI435" i="49"/>
  <c r="BI227" i="49"/>
  <c r="BI97" i="49"/>
  <c r="BI338" i="49"/>
  <c r="DK74" i="49"/>
  <c r="BI251" i="49"/>
  <c r="BI461" i="49"/>
  <c r="DK41" i="49"/>
  <c r="DK443" i="49"/>
  <c r="BM34" i="49"/>
  <c r="BI172" i="49"/>
  <c r="BI313" i="49"/>
  <c r="BI481" i="49"/>
  <c r="BI162" i="49"/>
  <c r="DK103" i="49"/>
  <c r="BI116" i="49"/>
  <c r="BI490" i="49"/>
  <c r="DK97" i="49"/>
  <c r="DK298" i="49"/>
  <c r="CL24" i="49"/>
  <c r="CM24" i="49"/>
  <c r="CK24" i="49"/>
  <c r="AN35" i="49"/>
  <c r="AO35" i="49"/>
  <c r="AM35" i="49"/>
  <c r="AU291" i="49"/>
  <c r="CG38" i="49"/>
  <c r="CG382" i="49"/>
  <c r="AU147" i="49"/>
  <c r="CG149" i="49"/>
  <c r="AU211" i="49"/>
  <c r="CL37" i="49"/>
  <c r="CM37" i="49"/>
  <c r="CK37" i="49"/>
  <c r="CG217" i="49"/>
  <c r="CG184" i="49"/>
  <c r="CG367" i="49"/>
  <c r="CG447" i="49"/>
  <c r="AU391" i="49"/>
  <c r="CG141" i="49"/>
  <c r="CG7" i="49"/>
  <c r="CG144" i="49"/>
  <c r="AU376" i="49"/>
  <c r="CG496" i="49"/>
  <c r="BM359" i="49"/>
  <c r="AU411" i="49"/>
  <c r="CG492" i="49"/>
  <c r="CG86" i="49"/>
  <c r="CG155" i="49"/>
  <c r="CG305" i="49"/>
  <c r="CG408" i="49"/>
  <c r="CG127" i="49"/>
  <c r="DK433" i="49"/>
  <c r="BI15" i="49"/>
  <c r="BI266" i="49"/>
  <c r="BI474" i="49"/>
  <c r="BI248" i="49"/>
  <c r="BI20" i="49"/>
  <c r="BI451" i="49"/>
  <c r="BI300" i="49"/>
  <c r="BI472" i="49"/>
  <c r="BI366" i="49"/>
  <c r="BI143" i="49"/>
  <c r="BI281" i="49"/>
  <c r="BI119" i="49"/>
  <c r="AU260" i="49"/>
  <c r="BM376" i="49"/>
  <c r="AN31" i="49"/>
  <c r="AO31" i="49"/>
  <c r="AM31" i="49"/>
  <c r="DC500" i="49"/>
  <c r="DC2" i="49"/>
  <c r="DD5" i="49"/>
  <c r="DD500" i="49"/>
  <c r="DD2" i="49"/>
  <c r="CG339" i="49"/>
  <c r="CG180" i="49"/>
  <c r="CG431" i="49"/>
  <c r="CG363" i="49"/>
  <c r="CG274" i="49"/>
  <c r="CG306" i="49"/>
  <c r="CG491" i="49"/>
  <c r="CG234" i="49"/>
  <c r="BM429" i="49"/>
  <c r="AU394" i="49"/>
  <c r="AU279" i="49"/>
  <c r="BM308" i="49"/>
  <c r="CG326" i="49"/>
  <c r="CG471" i="49"/>
  <c r="CG210" i="49"/>
  <c r="CG226" i="49"/>
  <c r="CG248" i="49"/>
  <c r="CG261" i="49"/>
  <c r="CG366" i="49"/>
  <c r="BI185" i="49"/>
  <c r="BI87" i="49"/>
  <c r="BI390" i="49"/>
  <c r="BI127" i="49"/>
  <c r="BI243" i="49"/>
  <c r="BI485" i="49"/>
  <c r="BI157" i="49"/>
  <c r="BI306" i="49"/>
  <c r="BI336" i="49"/>
  <c r="BI427" i="49"/>
  <c r="BI242" i="49"/>
  <c r="BI260" i="49"/>
  <c r="BI430" i="49"/>
  <c r="BI122" i="49"/>
  <c r="BI83" i="49"/>
  <c r="BI349" i="49"/>
  <c r="BI144" i="49"/>
  <c r="BI412" i="49"/>
  <c r="BI183" i="49"/>
  <c r="BI454" i="49"/>
  <c r="BI69" i="49"/>
  <c r="BI80" i="49"/>
  <c r="BI205" i="49"/>
  <c r="BI468" i="49"/>
  <c r="BI249" i="49"/>
  <c r="BI45" i="49"/>
  <c r="BI292" i="49"/>
  <c r="BI351" i="49"/>
  <c r="BI448" i="49"/>
  <c r="BI139" i="49"/>
  <c r="BI24" i="49"/>
  <c r="BI311" i="49"/>
  <c r="BI72" i="49"/>
  <c r="BI400" i="49"/>
  <c r="BI410" i="49"/>
  <c r="BI44" i="49"/>
  <c r="BI404" i="49"/>
  <c r="BI18" i="49"/>
  <c r="BI210" i="49"/>
  <c r="BI76" i="49"/>
  <c r="BI446" i="49"/>
  <c r="BI402" i="49"/>
  <c r="BI165" i="49"/>
  <c r="BI325" i="49"/>
  <c r="BI447" i="49"/>
  <c r="BI110" i="49"/>
  <c r="BI254" i="49"/>
  <c r="BI101" i="49"/>
  <c r="BI379" i="49"/>
  <c r="CL433" i="49"/>
  <c r="CM433" i="49"/>
  <c r="CK433" i="49"/>
  <c r="CG493" i="49"/>
  <c r="CG249" i="49"/>
  <c r="CG44" i="49"/>
  <c r="CG49" i="49"/>
  <c r="CG380" i="49"/>
  <c r="CG79" i="49"/>
  <c r="CG186" i="49"/>
  <c r="CG178" i="49"/>
  <c r="CG357" i="49"/>
  <c r="CG16" i="49"/>
  <c r="CG135" i="49"/>
  <c r="CG148" i="49"/>
  <c r="CG484" i="49"/>
  <c r="CG485" i="49"/>
  <c r="CG85" i="49"/>
  <c r="CG131" i="49"/>
  <c r="CG89" i="49"/>
  <c r="CG173" i="49"/>
  <c r="CG94" i="49"/>
  <c r="AN12" i="49"/>
  <c r="AO12" i="49"/>
  <c r="AM12" i="49"/>
  <c r="AN37" i="49"/>
  <c r="AO37" i="49"/>
  <c r="AM37" i="49"/>
  <c r="AU344" i="49"/>
  <c r="CG8" i="49"/>
  <c r="CG390" i="49"/>
  <c r="CL35" i="49"/>
  <c r="CM35" i="49"/>
  <c r="CK35" i="49"/>
  <c r="AU431" i="49"/>
  <c r="CG307" i="49"/>
  <c r="CG43" i="49"/>
  <c r="AJ253" i="49"/>
  <c r="AK253" i="49"/>
  <c r="AJ52" i="49"/>
  <c r="AK52" i="49"/>
  <c r="AJ425" i="49"/>
  <c r="AK425" i="49"/>
  <c r="AJ442" i="49"/>
  <c r="AK442" i="49"/>
  <c r="AJ493" i="49"/>
  <c r="AK493" i="49"/>
  <c r="AJ146" i="49"/>
  <c r="AK146" i="49"/>
  <c r="AJ167" i="49"/>
  <c r="AK167" i="49"/>
  <c r="AU221" i="49"/>
  <c r="AJ386" i="49"/>
  <c r="AK386" i="49"/>
  <c r="AJ218" i="49"/>
  <c r="AK218" i="49"/>
  <c r="AJ404" i="49"/>
  <c r="AK404" i="49"/>
  <c r="AJ420" i="49"/>
  <c r="AK420" i="49"/>
  <c r="AU407" i="49"/>
  <c r="AU237" i="49"/>
  <c r="AN73" i="49"/>
  <c r="AO73" i="49"/>
  <c r="AM73" i="49"/>
  <c r="AJ198" i="49"/>
  <c r="AK198" i="49"/>
  <c r="AJ189" i="49"/>
  <c r="AK189" i="49"/>
  <c r="AU256" i="49"/>
  <c r="AJ144" i="49"/>
  <c r="AK144" i="49"/>
  <c r="AJ428" i="49"/>
  <c r="AK428" i="49"/>
  <c r="AJ102" i="49"/>
  <c r="AK102" i="49"/>
  <c r="AJ28" i="49"/>
  <c r="AK28" i="49"/>
  <c r="AJ100" i="49"/>
  <c r="AK100" i="49"/>
  <c r="AJ413" i="49"/>
  <c r="AK413" i="49"/>
  <c r="AJ30" i="49"/>
  <c r="AK30" i="49"/>
  <c r="AJ197" i="49"/>
  <c r="AK197" i="49"/>
  <c r="AJ247" i="49"/>
  <c r="AK247" i="49"/>
  <c r="AJ310" i="49"/>
  <c r="AK310" i="49"/>
  <c r="AU231" i="49"/>
  <c r="AJ55" i="49"/>
  <c r="AK55" i="49"/>
  <c r="AJ382" i="49"/>
  <c r="AK382" i="49"/>
  <c r="AJ139" i="49"/>
  <c r="AK139" i="49"/>
  <c r="AJ89" i="49"/>
  <c r="AK89" i="49"/>
  <c r="AJ20" i="49"/>
  <c r="AK20" i="49"/>
  <c r="AJ150" i="49"/>
  <c r="AK150" i="49"/>
  <c r="AJ220" i="49"/>
  <c r="AK220" i="49"/>
  <c r="AJ157" i="49"/>
  <c r="AK157" i="49"/>
  <c r="AN340" i="49"/>
  <c r="AO340" i="49"/>
  <c r="AM340" i="49"/>
  <c r="AJ217" i="49"/>
  <c r="AK217" i="49"/>
  <c r="AU258" i="49"/>
  <c r="AJ319" i="49"/>
  <c r="AK319" i="49"/>
  <c r="AJ85" i="49"/>
  <c r="AK85" i="49"/>
  <c r="AN103" i="49"/>
  <c r="AO103" i="49"/>
  <c r="AM103" i="49"/>
  <c r="AU392" i="49"/>
  <c r="AJ219" i="49"/>
  <c r="AK219" i="49"/>
  <c r="AJ101" i="49"/>
  <c r="AK101" i="49"/>
  <c r="AN234" i="49"/>
  <c r="AO234" i="49"/>
  <c r="AM234" i="49"/>
  <c r="AN110" i="49"/>
  <c r="AO110" i="49"/>
  <c r="AM110" i="49"/>
  <c r="AN11" i="49"/>
  <c r="AO11" i="49"/>
  <c r="AM11" i="49"/>
  <c r="AN92" i="49"/>
  <c r="AO92" i="49"/>
  <c r="AM92" i="49"/>
  <c r="AN341" i="49"/>
  <c r="AO341" i="49"/>
  <c r="AM341" i="49"/>
  <c r="AU300" i="49"/>
  <c r="AJ169" i="49"/>
  <c r="AK169" i="49"/>
  <c r="AJ322" i="49"/>
  <c r="AK322" i="49"/>
  <c r="CL392" i="49"/>
  <c r="CM392" i="49"/>
  <c r="CK392" i="49"/>
  <c r="AJ160" i="49"/>
  <c r="AK160" i="49"/>
  <c r="AJ104" i="49"/>
  <c r="AK104" i="49"/>
  <c r="AJ449" i="49"/>
  <c r="AK449" i="49"/>
  <c r="AN78" i="49"/>
  <c r="AO78" i="49"/>
  <c r="AM78" i="49"/>
  <c r="AJ135" i="49"/>
  <c r="AK135" i="49"/>
  <c r="AU378" i="49"/>
  <c r="AJ69" i="49"/>
  <c r="AK69" i="49"/>
  <c r="AJ301" i="49"/>
  <c r="AK301" i="49"/>
  <c r="AJ113" i="49"/>
  <c r="AK113" i="49"/>
  <c r="AN23" i="49"/>
  <c r="AO23" i="49"/>
  <c r="AM23" i="49"/>
  <c r="AJ350" i="49"/>
  <c r="AK350" i="49"/>
  <c r="AU418" i="49"/>
  <c r="AJ314" i="49"/>
  <c r="AK314" i="49"/>
  <c r="AJ384" i="49"/>
  <c r="AK384" i="49"/>
  <c r="AN336" i="49"/>
  <c r="AO336" i="49"/>
  <c r="AM336" i="49"/>
  <c r="AJ261" i="49"/>
  <c r="AK261" i="49"/>
  <c r="AJ266" i="49"/>
  <c r="AK266" i="49"/>
  <c r="AJ453" i="49"/>
  <c r="AK453" i="49"/>
  <c r="AU168" i="49"/>
  <c r="AJ277" i="49"/>
  <c r="AK277" i="49"/>
  <c r="AJ278" i="49"/>
  <c r="AK278" i="49"/>
  <c r="AJ351" i="49"/>
  <c r="AK351" i="49"/>
  <c r="AJ475" i="49"/>
  <c r="AK475" i="49"/>
  <c r="AJ240" i="49"/>
  <c r="AK240" i="49"/>
  <c r="AJ292" i="49"/>
  <c r="AK292" i="49"/>
  <c r="AU212" i="49"/>
  <c r="AJ491" i="49"/>
  <c r="AK491" i="49"/>
  <c r="AJ409" i="49"/>
  <c r="AK409" i="49"/>
  <c r="AJ438" i="49"/>
  <c r="AK438" i="49"/>
  <c r="AU375" i="49"/>
  <c r="AJ87" i="49"/>
  <c r="AK87" i="49"/>
  <c r="AJ325" i="49"/>
  <c r="AK325" i="49"/>
  <c r="AJ385" i="49"/>
  <c r="AK385" i="49"/>
  <c r="AJ354" i="49"/>
  <c r="AK354" i="49"/>
  <c r="AU62" i="49"/>
  <c r="AU288" i="49"/>
  <c r="BI36" i="49"/>
  <c r="BI56" i="49"/>
  <c r="BI388" i="49"/>
  <c r="BI151" i="49"/>
  <c r="BI58" i="49"/>
  <c r="BI428" i="49"/>
  <c r="BI48" i="49"/>
  <c r="BI141" i="49"/>
  <c r="CG29" i="49"/>
  <c r="CG298" i="49"/>
  <c r="CG266" i="49"/>
  <c r="CG250" i="49"/>
  <c r="CG282" i="49"/>
  <c r="CG214" i="49"/>
  <c r="BM10" i="49"/>
  <c r="AN367" i="49"/>
  <c r="AO367" i="49"/>
  <c r="AM367" i="49"/>
  <c r="AN366" i="49"/>
  <c r="AO366" i="49"/>
  <c r="AM366" i="49"/>
  <c r="AU284" i="49"/>
  <c r="AU264" i="49"/>
  <c r="CG487" i="49"/>
  <c r="AT463" i="49"/>
  <c r="AT443" i="49"/>
  <c r="DK489" i="49"/>
  <c r="DK9" i="49"/>
  <c r="BM9" i="49"/>
  <c r="BM52" i="49"/>
  <c r="CG224" i="49"/>
  <c r="CG292" i="49"/>
  <c r="CG191" i="49"/>
  <c r="BI333" i="49"/>
  <c r="BI229" i="49"/>
  <c r="DK392" i="49"/>
  <c r="BI100" i="49"/>
  <c r="BI310" i="49"/>
  <c r="BI409" i="49"/>
  <c r="BI107" i="49"/>
  <c r="BI411" i="49"/>
  <c r="DK98" i="49"/>
  <c r="BI314" i="49"/>
  <c r="BI66" i="49"/>
  <c r="BI179" i="49"/>
  <c r="BI217" i="49"/>
  <c r="BI257" i="49"/>
  <c r="BM28" i="49"/>
  <c r="DK67" i="49"/>
  <c r="BI31" i="49"/>
  <c r="BI150" i="49"/>
  <c r="BI365" i="49"/>
  <c r="CG383" i="49"/>
  <c r="CG143" i="49"/>
  <c r="CG170" i="49"/>
  <c r="CG117" i="49"/>
  <c r="CG96" i="49"/>
  <c r="CG219" i="49"/>
  <c r="CG365" i="49"/>
  <c r="CG201" i="49"/>
  <c r="CG109" i="49"/>
  <c r="CG125" i="49"/>
  <c r="CG240" i="49"/>
  <c r="CG139" i="49"/>
  <c r="CG271" i="49"/>
  <c r="CG120" i="49"/>
  <c r="CG470" i="49"/>
  <c r="CG235" i="49"/>
  <c r="CG9" i="49"/>
  <c r="CG360" i="49"/>
  <c r="CG349" i="49"/>
  <c r="AU193" i="49"/>
  <c r="AU422" i="49"/>
  <c r="AU241" i="49"/>
  <c r="AU207" i="49"/>
  <c r="CG428" i="49"/>
  <c r="AU421" i="49"/>
  <c r="CL31" i="49"/>
  <c r="CM31" i="49"/>
  <c r="CK31" i="49"/>
  <c r="CG72" i="49"/>
  <c r="CG473" i="49"/>
  <c r="AU223" i="49"/>
  <c r="CG253" i="49"/>
  <c r="BI117" i="49"/>
  <c r="BI85" i="49"/>
  <c r="BI125" i="49"/>
  <c r="BI63" i="49"/>
  <c r="BI395" i="49"/>
  <c r="BI190" i="49"/>
  <c r="BI360" i="49"/>
  <c r="BI250" i="49"/>
  <c r="BI160" i="49"/>
  <c r="BI67" i="49"/>
  <c r="BI57" i="49"/>
  <c r="BI99" i="49"/>
  <c r="BI106" i="49"/>
  <c r="BI261" i="49"/>
  <c r="BI353" i="49"/>
  <c r="AU332" i="49"/>
  <c r="AU401" i="49"/>
  <c r="AU302" i="49"/>
  <c r="CG134" i="49"/>
  <c r="CG444" i="49"/>
  <c r="AU432" i="49"/>
  <c r="CG377" i="49"/>
  <c r="AU244" i="49"/>
  <c r="CG243" i="49"/>
  <c r="CG342" i="49"/>
  <c r="CG52" i="49"/>
  <c r="CG453" i="49"/>
  <c r="CG66" i="49"/>
  <c r="CG478" i="49"/>
  <c r="CG337" i="49"/>
  <c r="CG156" i="49"/>
  <c r="CG280" i="49"/>
  <c r="CG190" i="49"/>
  <c r="CG268" i="49"/>
  <c r="CG311" i="49"/>
  <c r="CG340" i="49"/>
  <c r="CG115" i="49"/>
  <c r="DK65" i="49"/>
  <c r="AJ27" i="49"/>
  <c r="AK27" i="49"/>
  <c r="AJ224" i="49"/>
  <c r="AK224" i="49"/>
  <c r="AJ68" i="49"/>
  <c r="AK68" i="49"/>
  <c r="AJ268" i="49"/>
  <c r="AK268" i="49"/>
  <c r="AJ317" i="49"/>
  <c r="AK317" i="49"/>
  <c r="AJ452" i="49"/>
  <c r="AK452" i="49"/>
  <c r="AJ164" i="49"/>
  <c r="AK164" i="49"/>
  <c r="AJ400" i="49"/>
  <c r="AK400" i="49"/>
  <c r="AJ448" i="49"/>
  <c r="AK448" i="49"/>
  <c r="AJ473" i="49"/>
  <c r="AK473" i="49"/>
  <c r="AJ112" i="49"/>
  <c r="AK112" i="49"/>
  <c r="AJ17" i="49"/>
  <c r="AK17" i="49"/>
  <c r="AJ470" i="49"/>
  <c r="AK470" i="49"/>
  <c r="AJ70" i="49"/>
  <c r="AK70" i="49"/>
  <c r="AJ96" i="49"/>
  <c r="AK96" i="49"/>
  <c r="AJ39" i="49"/>
  <c r="AK39" i="49"/>
  <c r="AJ42" i="49"/>
  <c r="AK42" i="49"/>
  <c r="AJ281" i="49"/>
  <c r="AK281" i="49"/>
  <c r="AJ21" i="49"/>
  <c r="AK21" i="49"/>
  <c r="AJ455" i="49"/>
  <c r="AK455" i="49"/>
  <c r="AJ490" i="49"/>
  <c r="AK490" i="49"/>
  <c r="AJ26" i="49"/>
  <c r="AK26" i="49"/>
  <c r="AJ215" i="49"/>
  <c r="AK215" i="49"/>
  <c r="AJ48" i="49"/>
  <c r="AK48" i="49"/>
  <c r="AJ352" i="49"/>
  <c r="AK352" i="49"/>
  <c r="AJ248" i="49"/>
  <c r="AK248" i="49"/>
  <c r="AJ133" i="49"/>
  <c r="AK133" i="49"/>
  <c r="AJ60" i="49"/>
  <c r="AK60" i="49"/>
  <c r="AJ468" i="49"/>
  <c r="AK468" i="49"/>
  <c r="AJ334" i="49"/>
  <c r="AK334" i="49"/>
  <c r="AJ388" i="49"/>
  <c r="AK388" i="49"/>
  <c r="AJ194" i="49"/>
  <c r="AK194" i="49"/>
  <c r="AJ33" i="49"/>
  <c r="AK33" i="49"/>
  <c r="AJ29" i="49"/>
  <c r="AK29" i="49"/>
  <c r="AJ16" i="49"/>
  <c r="AK16" i="49"/>
  <c r="AJ136" i="49"/>
  <c r="AK136" i="49"/>
  <c r="AJ320" i="49"/>
  <c r="AK320" i="49"/>
  <c r="AJ190" i="49"/>
  <c r="AK190" i="49"/>
  <c r="AJ143" i="49"/>
  <c r="AK143" i="49"/>
  <c r="AJ174" i="49"/>
  <c r="AK174" i="49"/>
  <c r="AJ482" i="49"/>
  <c r="AK482" i="49"/>
  <c r="AJ38" i="49"/>
  <c r="AK38" i="49"/>
  <c r="AJ120" i="49"/>
  <c r="AK120" i="49"/>
  <c r="CG27" i="49"/>
  <c r="CG162" i="49"/>
  <c r="CG252" i="49"/>
  <c r="CG446" i="49"/>
  <c r="CG189" i="49"/>
  <c r="CL5" i="49"/>
  <c r="CM5" i="49"/>
  <c r="CK5" i="49"/>
  <c r="CG409" i="49"/>
  <c r="CG413" i="49"/>
  <c r="CG140" i="49"/>
  <c r="CG169" i="49"/>
  <c r="CG227" i="49"/>
  <c r="AU249" i="49"/>
  <c r="CL65" i="49"/>
  <c r="CM65" i="49"/>
  <c r="CK65" i="49"/>
  <c r="DK68" i="49"/>
  <c r="BM355" i="49"/>
  <c r="DG56" i="49"/>
  <c r="DK107" i="49"/>
  <c r="CG451" i="49"/>
  <c r="BI60" i="49"/>
  <c r="BI104" i="49"/>
  <c r="BI130" i="49"/>
  <c r="BI6" i="49"/>
  <c r="BI483" i="49"/>
  <c r="BI200" i="49"/>
  <c r="BI225" i="49"/>
  <c r="BI103" i="49"/>
  <c r="AT467" i="49"/>
  <c r="AT472" i="49"/>
  <c r="BI494" i="49"/>
  <c r="BI408" i="49"/>
  <c r="BI128" i="49"/>
  <c r="BI109" i="49"/>
  <c r="BI343" i="49"/>
  <c r="BI301" i="49"/>
  <c r="BI245" i="49"/>
  <c r="BI86" i="49"/>
  <c r="BI271" i="49"/>
  <c r="BI452" i="49"/>
  <c r="BI498" i="49"/>
  <c r="BI27" i="49"/>
  <c r="BI201" i="49"/>
  <c r="BI265" i="49"/>
  <c r="BI167" i="49"/>
  <c r="BI298" i="49"/>
  <c r="BI449" i="49"/>
  <c r="BI442" i="49"/>
  <c r="BI156" i="49"/>
  <c r="BI295" i="49"/>
  <c r="BI64" i="49"/>
  <c r="BI91" i="49"/>
  <c r="BI241" i="49"/>
  <c r="BI420" i="49"/>
  <c r="BI356" i="49"/>
  <c r="BI437" i="49"/>
  <c r="BI146" i="49"/>
  <c r="BI120" i="49"/>
  <c r="BI386" i="49"/>
  <c r="BI174" i="49"/>
  <c r="BI235" i="49"/>
  <c r="BI189" i="49"/>
  <c r="BI303" i="49"/>
  <c r="BI136" i="49"/>
  <c r="BI134" i="49"/>
  <c r="BI102" i="49"/>
  <c r="BI211" i="49"/>
  <c r="BI357" i="49"/>
  <c r="AU329" i="49"/>
  <c r="CG50" i="49"/>
  <c r="CG83" i="49"/>
  <c r="AU272" i="49"/>
  <c r="CG174" i="49"/>
  <c r="CG110" i="49"/>
  <c r="AU402" i="49"/>
  <c r="CL45" i="49"/>
  <c r="CM45" i="49"/>
  <c r="CK45" i="49"/>
  <c r="CG333" i="49"/>
  <c r="AU257" i="49"/>
  <c r="CG242" i="49"/>
  <c r="CG318" i="49"/>
  <c r="CG262" i="49"/>
  <c r="CG475" i="49"/>
  <c r="CG322" i="49"/>
  <c r="AN67" i="49"/>
  <c r="AO67" i="49"/>
  <c r="AM67" i="49"/>
  <c r="CG442" i="49"/>
  <c r="CG113" i="49"/>
  <c r="CG437" i="49"/>
  <c r="CG55" i="49"/>
  <c r="CG56" i="49"/>
  <c r="CG129" i="49"/>
  <c r="CG47" i="49"/>
  <c r="CG225" i="49"/>
  <c r="AU210" i="49"/>
  <c r="CG165" i="49"/>
  <c r="CG59" i="49"/>
  <c r="CG132" i="49"/>
  <c r="CG303" i="49"/>
  <c r="CG277" i="49"/>
  <c r="AJ306" i="49"/>
  <c r="AK306" i="49"/>
  <c r="AJ459" i="49"/>
  <c r="AK459" i="49"/>
  <c r="AJ348" i="49"/>
  <c r="AK348" i="49"/>
  <c r="AJ477" i="49"/>
  <c r="AK477" i="49"/>
  <c r="AU236" i="49"/>
  <c r="AJ451" i="49"/>
  <c r="AK451" i="49"/>
  <c r="AJ162" i="49"/>
  <c r="AK162" i="49"/>
  <c r="AU181" i="49"/>
  <c r="AJ225" i="49"/>
  <c r="AK225" i="49"/>
  <c r="AJ395" i="49"/>
  <c r="AK395" i="49"/>
  <c r="AJ130" i="49"/>
  <c r="AK130" i="49"/>
  <c r="AJ483" i="49"/>
  <c r="AK483" i="49"/>
  <c r="AJ446" i="49"/>
  <c r="AK446" i="49"/>
  <c r="AU399" i="49"/>
  <c r="AJ303" i="49"/>
  <c r="AK303" i="49"/>
  <c r="AN335" i="49"/>
  <c r="AO335" i="49"/>
  <c r="AM335" i="49"/>
  <c r="AJ156" i="49"/>
  <c r="AK156" i="49"/>
  <c r="AJ186" i="49"/>
  <c r="AK186" i="49"/>
  <c r="AJ357" i="49"/>
  <c r="AK357" i="49"/>
  <c r="AJ95" i="49"/>
  <c r="AK95" i="49"/>
  <c r="AJ318" i="49"/>
  <c r="AK318" i="49"/>
  <c r="AJ185" i="49"/>
  <c r="AK185" i="49"/>
  <c r="AJ487" i="49"/>
  <c r="AK487" i="49"/>
  <c r="AN128" i="49"/>
  <c r="AO128" i="49"/>
  <c r="AM128" i="49"/>
  <c r="AJ365" i="49"/>
  <c r="AK365" i="49"/>
  <c r="AJ138" i="49"/>
  <c r="AK138" i="49"/>
  <c r="AU213" i="49"/>
  <c r="AJ485" i="49"/>
  <c r="AK485" i="49"/>
  <c r="AN41" i="49"/>
  <c r="AO41" i="49"/>
  <c r="AM41" i="49"/>
  <c r="AU374" i="49"/>
  <c r="AJ111" i="49"/>
  <c r="AK111" i="49"/>
  <c r="AJ274" i="49"/>
  <c r="AK274" i="49"/>
  <c r="CL74" i="49"/>
  <c r="CM74" i="49"/>
  <c r="CK74" i="49"/>
  <c r="CL97" i="49"/>
  <c r="CM97" i="49"/>
  <c r="CK97" i="49"/>
  <c r="AU254" i="49"/>
  <c r="AU479" i="49"/>
  <c r="AN105" i="49"/>
  <c r="AO105" i="49"/>
  <c r="AM105" i="49"/>
  <c r="CL18" i="49"/>
  <c r="CM18" i="49"/>
  <c r="CK18" i="49"/>
  <c r="AJ377" i="49"/>
  <c r="AK377" i="49"/>
  <c r="AJ77" i="49"/>
  <c r="AK77" i="49"/>
  <c r="AJ173" i="49"/>
  <c r="AK173" i="49"/>
  <c r="AU222" i="49"/>
  <c r="AJ427" i="49"/>
  <c r="AK427" i="49"/>
  <c r="AJ163" i="49"/>
  <c r="AK163" i="49"/>
  <c r="AJ123" i="49"/>
  <c r="AK123" i="49"/>
  <c r="AJ201" i="49"/>
  <c r="AK201" i="49"/>
  <c r="AJ64" i="49"/>
  <c r="AK64" i="49"/>
  <c r="AU282" i="49"/>
  <c r="AU137" i="49"/>
  <c r="AJ161" i="49"/>
  <c r="AK161" i="49"/>
  <c r="AJ170" i="49"/>
  <c r="AK170" i="49"/>
  <c r="AJ390" i="49"/>
  <c r="AK390" i="49"/>
  <c r="AJ140" i="49"/>
  <c r="AK140" i="49"/>
  <c r="AN19" i="49"/>
  <c r="AO19" i="49"/>
  <c r="AM19" i="49"/>
  <c r="AJ199" i="49"/>
  <c r="AK199" i="49"/>
  <c r="AJ478" i="49"/>
  <c r="AK478" i="49"/>
  <c r="AU297" i="49"/>
  <c r="AJ155" i="49"/>
  <c r="AK155" i="49"/>
  <c r="AJ184" i="49"/>
  <c r="AK184" i="49"/>
  <c r="AU429" i="49"/>
  <c r="AJ379" i="49"/>
  <c r="AK379" i="49"/>
  <c r="AJ486" i="49"/>
  <c r="AK486" i="49"/>
  <c r="AJ99" i="49"/>
  <c r="AK99" i="49"/>
  <c r="AJ149" i="49"/>
  <c r="AK149" i="49"/>
  <c r="AJ134" i="49"/>
  <c r="AK134" i="49"/>
  <c r="AU226" i="49"/>
  <c r="AJ243" i="49"/>
  <c r="AK243" i="49"/>
  <c r="AJ450" i="49"/>
  <c r="AK450" i="49"/>
  <c r="AU424" i="49"/>
  <c r="AJ121" i="49"/>
  <c r="AK121" i="49"/>
  <c r="AJ196" i="49"/>
  <c r="AK196" i="49"/>
  <c r="AJ13" i="49"/>
  <c r="AK13" i="49"/>
  <c r="AJ305" i="49"/>
  <c r="AK305" i="49"/>
  <c r="AU239" i="49"/>
  <c r="AJ311" i="49"/>
  <c r="AK311" i="49"/>
  <c r="AN46" i="49"/>
  <c r="AO46" i="49"/>
  <c r="AM46" i="49"/>
  <c r="AJ56" i="49"/>
  <c r="AK56" i="49"/>
  <c r="CL67" i="49"/>
  <c r="CM67" i="49"/>
  <c r="CK67" i="49"/>
  <c r="AU289" i="49"/>
  <c r="AN433" i="49"/>
  <c r="AO433" i="49"/>
  <c r="AM433" i="49"/>
  <c r="AJ342" i="49"/>
  <c r="AK342" i="49"/>
  <c r="AU270" i="49"/>
  <c r="BI307" i="49"/>
  <c r="BI154" i="49"/>
  <c r="BI161" i="49"/>
  <c r="BI337" i="49"/>
  <c r="BI346" i="49"/>
  <c r="BI293" i="49"/>
  <c r="BI88" i="49"/>
  <c r="BI382" i="49"/>
  <c r="BM17" i="49"/>
  <c r="AU381" i="49"/>
  <c r="CG153" i="49"/>
  <c r="CG338" i="49"/>
  <c r="CG183" i="49"/>
  <c r="CG477" i="49"/>
  <c r="BM361" i="49"/>
  <c r="CG331" i="49"/>
  <c r="CG278" i="49"/>
  <c r="BI473" i="49"/>
  <c r="BI184" i="49"/>
  <c r="BI153" i="49"/>
  <c r="BI218" i="49"/>
  <c r="BI213" i="49"/>
  <c r="BI169" i="49"/>
  <c r="BI342" i="49"/>
  <c r="BI138" i="49"/>
  <c r="BI35" i="49"/>
  <c r="AU426" i="49"/>
  <c r="CL19" i="49"/>
  <c r="CM19" i="49"/>
  <c r="CK19" i="49"/>
  <c r="CG310" i="49"/>
  <c r="AT456" i="49"/>
  <c r="CG393" i="49"/>
  <c r="CG267" i="49"/>
  <c r="CG124" i="49"/>
  <c r="CG317" i="49"/>
  <c r="CG159" i="49"/>
  <c r="CG325" i="49"/>
  <c r="CG316" i="49"/>
  <c r="CG233" i="49"/>
  <c r="CG208" i="49"/>
  <c r="CG48" i="49"/>
  <c r="CG75" i="49"/>
  <c r="CG308" i="49"/>
  <c r="CG425" i="49"/>
  <c r="CG312" i="49"/>
  <c r="CG247" i="49"/>
  <c r="CG166" i="49"/>
  <c r="CG51" i="49"/>
  <c r="CG199" i="49"/>
  <c r="CG58" i="49"/>
  <c r="BM74" i="49"/>
  <c r="AU216" i="49"/>
  <c r="AU63" i="49"/>
  <c r="AU415" i="49"/>
  <c r="CG102" i="49"/>
  <c r="AU371" i="49"/>
  <c r="AU285" i="49"/>
  <c r="AU327" i="49"/>
  <c r="CL12" i="49"/>
  <c r="CM12" i="49"/>
  <c r="CK12" i="49"/>
  <c r="CG430" i="49"/>
  <c r="BM25" i="49"/>
  <c r="DK415" i="49"/>
  <c r="DG341" i="49"/>
  <c r="DG342" i="49"/>
  <c r="AU255" i="49"/>
  <c r="BI207" i="49"/>
  <c r="BI487" i="49"/>
  <c r="BI111" i="49"/>
  <c r="BI233" i="49"/>
  <c r="BI455" i="49"/>
  <c r="BI42" i="49"/>
  <c r="BI318" i="49"/>
  <c r="BI234" i="49"/>
  <c r="BI142" i="49"/>
  <c r="BI276" i="49"/>
  <c r="BI191" i="49"/>
  <c r="BM439" i="49"/>
  <c r="BI23" i="49"/>
  <c r="DK105" i="49"/>
  <c r="BI214" i="49"/>
  <c r="BI89" i="49"/>
  <c r="AU182" i="49"/>
  <c r="CG301" i="49"/>
  <c r="CG70" i="49"/>
  <c r="CG402" i="49"/>
  <c r="CL23" i="49"/>
  <c r="CM23" i="49"/>
  <c r="CK23" i="49"/>
  <c r="AU287" i="49"/>
  <c r="CG461" i="49"/>
  <c r="CG118" i="49"/>
  <c r="CG419" i="49"/>
  <c r="CG427" i="49"/>
  <c r="CG435" i="49"/>
  <c r="AU397" i="49"/>
  <c r="CG122" i="49"/>
  <c r="CG454" i="49"/>
  <c r="CG99" i="49"/>
  <c r="CG207" i="49"/>
  <c r="AP5" i="49"/>
  <c r="CG483" i="49"/>
  <c r="CG172" i="49"/>
  <c r="CG412" i="49"/>
  <c r="CG187" i="49"/>
  <c r="CG194" i="49"/>
  <c r="CG323" i="49"/>
  <c r="CG69" i="49"/>
  <c r="CG404" i="49"/>
  <c r="CG300" i="49"/>
  <c r="CG33" i="49"/>
  <c r="BI253" i="49"/>
  <c r="BI477" i="49"/>
  <c r="BI92" i="49"/>
  <c r="BI322" i="49"/>
  <c r="BI324" i="49"/>
  <c r="BI208" i="49"/>
  <c r="BI26" i="49"/>
  <c r="BI112" i="49"/>
  <c r="BI51" i="49"/>
  <c r="BI90" i="49"/>
  <c r="BI230" i="49"/>
  <c r="CG395" i="49"/>
  <c r="CG196" i="49"/>
  <c r="CG314" i="49"/>
  <c r="AU293" i="49"/>
  <c r="AT462" i="49"/>
  <c r="BM432" i="49"/>
  <c r="CG386" i="49"/>
  <c r="CG77" i="49"/>
  <c r="BI19" i="49"/>
  <c r="BI299" i="49"/>
  <c r="BI296" i="49"/>
  <c r="DK116" i="49"/>
  <c r="BM247" i="49"/>
  <c r="BI16" i="49"/>
  <c r="BI278" i="49"/>
  <c r="BI425" i="49"/>
  <c r="BI124" i="49"/>
  <c r="BI215" i="49"/>
  <c r="BM131" i="49"/>
  <c r="BI378" i="49"/>
  <c r="BI53" i="49"/>
  <c r="BI380" i="49"/>
  <c r="BI419" i="49"/>
  <c r="BI33" i="49"/>
  <c r="BI277" i="49"/>
  <c r="BI159" i="49"/>
  <c r="BI13" i="49"/>
  <c r="BI426" i="49"/>
  <c r="BI368" i="49"/>
  <c r="BI8" i="49"/>
  <c r="BI196" i="49"/>
  <c r="BI132" i="49"/>
  <c r="BI115" i="49"/>
  <c r="BI75" i="49"/>
  <c r="BI377" i="49"/>
  <c r="BI444" i="49"/>
  <c r="BI220" i="49"/>
  <c r="BI29" i="49"/>
  <c r="BI81" i="49"/>
  <c r="BI199" i="49"/>
  <c r="BI166" i="49"/>
  <c r="BI466" i="49"/>
  <c r="BI79" i="49"/>
  <c r="BI197" i="49"/>
  <c r="BI463" i="49"/>
  <c r="BI145" i="49"/>
  <c r="BI82" i="49"/>
  <c r="BI7" i="49"/>
  <c r="BI456" i="49"/>
  <c r="BI187" i="49"/>
  <c r="BI224" i="49"/>
  <c r="BI258" i="49"/>
  <c r="BI460" i="49"/>
  <c r="BI49" i="49"/>
  <c r="BI118" i="49"/>
  <c r="BI496" i="49"/>
  <c r="CG265" i="49"/>
  <c r="CG42" i="49"/>
  <c r="CG275" i="49"/>
  <c r="CG17" i="49"/>
  <c r="CG320" i="49"/>
  <c r="CG161" i="49"/>
  <c r="CG26" i="49"/>
  <c r="CG54" i="49"/>
  <c r="CG114" i="49"/>
  <c r="CG211" i="49"/>
  <c r="CG105" i="49"/>
  <c r="CG13" i="49"/>
  <c r="CG76" i="49"/>
  <c r="CG315" i="49"/>
  <c r="CG384" i="49"/>
  <c r="AN22" i="49"/>
  <c r="AO22" i="49"/>
  <c r="AM22" i="49"/>
  <c r="AU195" i="49"/>
  <c r="CG126" i="49"/>
  <c r="CG358" i="49"/>
  <c r="CG146" i="49"/>
  <c r="CL11" i="49"/>
  <c r="CM11" i="49"/>
  <c r="CK11" i="49"/>
  <c r="AU364" i="49"/>
  <c r="AU238" i="49"/>
  <c r="AU80" i="49"/>
  <c r="AJ192" i="49"/>
  <c r="AK192" i="49"/>
  <c r="AJ296" i="49"/>
  <c r="AK296" i="49"/>
  <c r="AJ372" i="49"/>
  <c r="AK372" i="49"/>
  <c r="AJ250" i="49"/>
  <c r="AK250" i="49"/>
  <c r="AJ159" i="49"/>
  <c r="AK159" i="49"/>
  <c r="AN436" i="49"/>
  <c r="AO436" i="49"/>
  <c r="AM436" i="49"/>
  <c r="AJ410" i="49"/>
  <c r="AK410" i="49"/>
  <c r="AJ267" i="49"/>
  <c r="AK267" i="49"/>
  <c r="AU309" i="49"/>
  <c r="AU232" i="49"/>
  <c r="CL68" i="49"/>
  <c r="CM68" i="49"/>
  <c r="CK68" i="49"/>
  <c r="AJ227" i="49"/>
  <c r="AK227" i="49"/>
  <c r="AJ346" i="49"/>
  <c r="AK346" i="49"/>
  <c r="AN25" i="49"/>
  <c r="AO25" i="49"/>
  <c r="AM25" i="49"/>
  <c r="AJ498" i="49"/>
  <c r="AK498" i="49"/>
  <c r="AN94" i="49"/>
  <c r="AO94" i="49"/>
  <c r="AM94" i="49"/>
  <c r="AJ313" i="49"/>
  <c r="AK313" i="49"/>
  <c r="AJ435" i="49"/>
  <c r="AK435" i="49"/>
  <c r="AJ125" i="49"/>
  <c r="AK125" i="49"/>
  <c r="AJ430" i="49"/>
  <c r="AK430" i="49"/>
  <c r="AJ338" i="49"/>
  <c r="AK338" i="49"/>
  <c r="AR36" i="49"/>
  <c r="AS36" i="49"/>
  <c r="AQ36" i="49"/>
  <c r="AU242" i="49"/>
  <c r="AJ142" i="49"/>
  <c r="AK142" i="49"/>
  <c r="AJ331" i="49"/>
  <c r="AK331" i="49"/>
  <c r="AJ484" i="49"/>
  <c r="AK484" i="49"/>
  <c r="AJ235" i="49"/>
  <c r="AK235" i="49"/>
  <c r="AU304" i="49"/>
  <c r="AJ492" i="49"/>
  <c r="AK492" i="49"/>
  <c r="AJ148" i="49"/>
  <c r="AK148" i="49"/>
  <c r="AJ312" i="49"/>
  <c r="AK312" i="49"/>
  <c r="AN91" i="49"/>
  <c r="AO91" i="49"/>
  <c r="AM91" i="49"/>
  <c r="AJ439" i="49"/>
  <c r="AK439" i="49"/>
  <c r="AJ118" i="49"/>
  <c r="AK118" i="49"/>
  <c r="AN458" i="49"/>
  <c r="AO458" i="49"/>
  <c r="AM458" i="49"/>
  <c r="AJ109" i="49"/>
  <c r="AK109" i="49"/>
  <c r="AU175" i="49"/>
  <c r="AN107" i="49"/>
  <c r="AO107" i="49"/>
  <c r="AM107" i="49"/>
  <c r="AJ444" i="49"/>
  <c r="AK444" i="49"/>
  <c r="AJ496" i="49"/>
  <c r="AK496" i="49"/>
  <c r="AJ127" i="49"/>
  <c r="AK127" i="49"/>
  <c r="AJ158" i="49"/>
  <c r="AK158" i="49"/>
  <c r="AJ141" i="49"/>
  <c r="AK141" i="49"/>
  <c r="AJ79" i="49"/>
  <c r="AK79" i="49"/>
  <c r="AJ208" i="49"/>
  <c r="AK208" i="49"/>
  <c r="AJ361" i="49"/>
  <c r="AK361" i="49"/>
  <c r="AJ423" i="49"/>
  <c r="AK423" i="49"/>
  <c r="AJ187" i="49"/>
  <c r="AK187" i="49"/>
  <c r="AJ380" i="49"/>
  <c r="AK380" i="49"/>
  <c r="AJ321" i="49"/>
  <c r="AK321" i="49"/>
  <c r="AJ119" i="49"/>
  <c r="AK119" i="49"/>
  <c r="AJ489" i="49"/>
  <c r="AK489" i="49"/>
  <c r="AJ356" i="49"/>
  <c r="AK356" i="49"/>
  <c r="CL36" i="49"/>
  <c r="CM36" i="49"/>
  <c r="CK36" i="49"/>
  <c r="AJ323" i="49"/>
  <c r="AK323" i="49"/>
  <c r="AJ447" i="49"/>
  <c r="AK447" i="49"/>
  <c r="AN209" i="49"/>
  <c r="AO209" i="49"/>
  <c r="AM209" i="49"/>
  <c r="AJ108" i="49"/>
  <c r="AK108" i="49"/>
  <c r="AJ460" i="49"/>
  <c r="AK460" i="49"/>
  <c r="AU347" i="49"/>
  <c r="AN494" i="49"/>
  <c r="AO494" i="49"/>
  <c r="AM494" i="49"/>
  <c r="AJ183" i="49"/>
  <c r="AK183" i="49"/>
  <c r="AJ126" i="49"/>
  <c r="AK126" i="49"/>
  <c r="AJ114" i="49"/>
  <c r="AK114" i="49"/>
  <c r="AN97" i="49"/>
  <c r="AO97" i="49"/>
  <c r="AM97" i="49"/>
  <c r="AJ8" i="49"/>
  <c r="AK8" i="49"/>
  <c r="AJ172" i="49"/>
  <c r="AK172" i="49"/>
  <c r="AJ50" i="49"/>
  <c r="AK50" i="49"/>
  <c r="AJ299" i="49"/>
  <c r="AK299" i="49"/>
  <c r="AJ445" i="49"/>
  <c r="AK445" i="49"/>
  <c r="AJ471" i="49"/>
  <c r="AK471" i="49"/>
  <c r="AJ132" i="49"/>
  <c r="AK132" i="49"/>
  <c r="CL434" i="49"/>
  <c r="CM434" i="49"/>
  <c r="CK434" i="49"/>
  <c r="AU273" i="49"/>
  <c r="AJ324" i="49"/>
  <c r="AK324" i="49"/>
  <c r="AN10" i="49"/>
  <c r="AO10" i="49"/>
  <c r="AM10" i="49"/>
  <c r="AJ343" i="49"/>
  <c r="AK343" i="49"/>
  <c r="AJ408" i="49"/>
  <c r="AK408" i="49"/>
  <c r="AJ373" i="49"/>
  <c r="AK373" i="49"/>
  <c r="AJ88" i="49"/>
  <c r="AK88" i="49"/>
  <c r="CL10" i="49"/>
  <c r="CM10" i="49"/>
  <c r="CK10" i="49"/>
  <c r="AJ93" i="49"/>
  <c r="AK93" i="49"/>
  <c r="AJ290" i="49"/>
  <c r="AK290" i="49"/>
  <c r="AJ82" i="49"/>
  <c r="AK82" i="49"/>
  <c r="AJ59" i="49"/>
  <c r="AK59" i="49"/>
  <c r="AJ106" i="49"/>
  <c r="AK106" i="49"/>
  <c r="CL195" i="49"/>
  <c r="CM195" i="49"/>
  <c r="CK195" i="49"/>
  <c r="AJ360" i="49"/>
  <c r="AK360" i="49"/>
  <c r="AJ49" i="49"/>
  <c r="AK49" i="49"/>
  <c r="BI484" i="49"/>
  <c r="BI304" i="49"/>
  <c r="BI39" i="49"/>
  <c r="BI14" i="49"/>
  <c r="BI312" i="49"/>
  <c r="AN179" i="49"/>
  <c r="AO179" i="49"/>
  <c r="AM179" i="49"/>
  <c r="AR40" i="49"/>
  <c r="AS40" i="49"/>
  <c r="AQ40" i="49"/>
  <c r="AU171" i="49"/>
  <c r="CG136" i="49"/>
  <c r="CG400" i="49"/>
  <c r="AU369" i="49"/>
  <c r="CG354" i="49"/>
  <c r="AU280" i="49"/>
  <c r="CG467" i="49"/>
  <c r="CG160" i="49"/>
  <c r="CG192" i="49"/>
  <c r="CG200" i="49"/>
  <c r="CG351" i="49"/>
  <c r="DG340" i="49"/>
  <c r="DK434" i="49"/>
  <c r="AN434" i="49"/>
  <c r="AO434" i="49"/>
  <c r="AM434" i="49"/>
  <c r="AU387" i="49"/>
  <c r="BM470" i="49"/>
  <c r="DK12" i="49"/>
  <c r="BM302" i="49"/>
  <c r="AT466" i="49"/>
  <c r="CF6" i="49"/>
  <c r="CE500" i="49"/>
  <c r="CE2" i="49"/>
  <c r="AU177" i="49"/>
  <c r="AU176" i="49"/>
  <c r="CG379" i="49"/>
  <c r="DK16" i="49"/>
  <c r="CG100" i="49"/>
  <c r="CG106" i="49"/>
  <c r="CG498" i="49"/>
  <c r="CG130" i="49"/>
  <c r="CG104" i="49"/>
  <c r="CG449" i="49"/>
  <c r="CG145" i="49"/>
  <c r="BI30" i="49"/>
  <c r="BI78" i="49"/>
  <c r="BI340" i="49"/>
  <c r="BI482" i="49"/>
  <c r="BI413" i="49"/>
  <c r="DK46" i="49"/>
  <c r="BI363" i="49"/>
  <c r="BI436" i="49"/>
  <c r="BI282" i="49"/>
  <c r="BI440" i="49"/>
  <c r="BI335" i="49"/>
  <c r="BI489" i="49"/>
  <c r="BI71" i="49"/>
  <c r="BI77" i="49"/>
  <c r="BI339" i="49"/>
  <c r="AN65" i="49"/>
  <c r="AO65" i="49"/>
  <c r="AM65" i="49"/>
  <c r="CG343" i="49"/>
  <c r="CG281" i="49"/>
  <c r="CG150" i="49"/>
  <c r="CG352" i="49"/>
  <c r="CG167" i="49"/>
  <c r="CG299" i="49"/>
  <c r="CG197" i="49"/>
  <c r="CG394" i="49"/>
  <c r="CG121" i="49"/>
  <c r="CG84" i="49"/>
  <c r="CG91" i="49"/>
  <c r="CG438" i="49"/>
  <c r="CG92" i="49"/>
  <c r="CG81" i="49"/>
  <c r="CG341" i="49"/>
  <c r="CG373" i="49"/>
  <c r="CG128" i="49"/>
  <c r="CG319" i="49"/>
  <c r="AU476" i="49"/>
  <c r="CG87" i="49"/>
  <c r="CG295" i="49"/>
  <c r="CG329" i="49"/>
  <c r="AU202" i="49"/>
  <c r="AU370" i="49"/>
  <c r="AU294" i="49"/>
  <c r="CG482" i="49"/>
  <c r="CG486" i="49"/>
  <c r="CG164" i="49"/>
  <c r="BI438" i="49"/>
  <c r="BI326" i="49"/>
  <c r="BI321" i="49"/>
  <c r="BI59" i="49"/>
  <c r="BI486" i="49"/>
  <c r="BI50" i="49"/>
  <c r="BI55" i="49"/>
  <c r="BI383" i="49"/>
  <c r="BI491" i="49"/>
  <c r="BI453" i="49"/>
  <c r="BI173" i="49"/>
  <c r="BI114" i="49"/>
  <c r="BI126" i="49"/>
  <c r="BI372" i="49"/>
  <c r="BM433" i="49"/>
  <c r="BM148" i="49"/>
  <c r="CG64" i="49"/>
  <c r="CG293" i="49"/>
  <c r="AU488" i="49"/>
  <c r="CG14" i="49"/>
  <c r="AU53" i="49"/>
  <c r="CG163" i="49"/>
  <c r="CG119" i="49"/>
  <c r="AU269" i="49"/>
  <c r="CG93" i="49"/>
  <c r="CG154" i="49"/>
  <c r="CG356" i="49"/>
  <c r="CG361" i="49"/>
  <c r="CG436" i="49"/>
  <c r="CG494" i="49"/>
  <c r="CG15" i="49"/>
  <c r="CG138" i="49"/>
  <c r="CG245" i="49"/>
  <c r="CG410" i="49"/>
  <c r="CG350" i="49"/>
  <c r="CG179" i="49"/>
  <c r="CG215" i="49"/>
  <c r="CG133" i="49"/>
  <c r="CG158" i="49"/>
  <c r="CG346" i="49"/>
  <c r="CG20" i="49"/>
  <c r="CG112" i="49"/>
  <c r="CG296" i="49"/>
  <c r="DK45" i="49"/>
  <c r="AJ6" i="49"/>
  <c r="CG78" i="49"/>
  <c r="CG185" i="49"/>
  <c r="CG101" i="49"/>
  <c r="CG111" i="49"/>
  <c r="CG241" i="49"/>
  <c r="DK11" i="49"/>
  <c r="DG60" i="49"/>
  <c r="BM431" i="49"/>
  <c r="DG494" i="49"/>
  <c r="AU328" i="49"/>
  <c r="CG198" i="49"/>
  <c r="CG468" i="49"/>
  <c r="CG481" i="49"/>
  <c r="AU246" i="49"/>
  <c r="CG260" i="49"/>
  <c r="CG95" i="49"/>
  <c r="AU263" i="49"/>
  <c r="CG385" i="49"/>
  <c r="AU417" i="49"/>
  <c r="CG348" i="49"/>
  <c r="BI341" i="49"/>
  <c r="BI493" i="49"/>
  <c r="BI286" i="49"/>
  <c r="BI331" i="49"/>
  <c r="BI37" i="49"/>
  <c r="BI178" i="49"/>
  <c r="BI219" i="49"/>
  <c r="BI149" i="49"/>
  <c r="BI354" i="49"/>
  <c r="BI43" i="49"/>
  <c r="BI252" i="49"/>
  <c r="BI279" i="49"/>
  <c r="BI445" i="49"/>
  <c r="BI61" i="49"/>
  <c r="BM171" i="49"/>
  <c r="BM475" i="49"/>
  <c r="BI352" i="49"/>
  <c r="BI192" i="49"/>
  <c r="DG58" i="49"/>
  <c r="BI121" i="49"/>
  <c r="BI373" i="49"/>
  <c r="BI458" i="49"/>
  <c r="BI334" i="49"/>
  <c r="BI414" i="49"/>
  <c r="BI317" i="49"/>
  <c r="BI275" i="49"/>
  <c r="BI108" i="49"/>
  <c r="BI384" i="49"/>
  <c r="BI155" i="49"/>
  <c r="BI123" i="49"/>
  <c r="BI198" i="49"/>
  <c r="BI274" i="49"/>
  <c r="BI240" i="49"/>
  <c r="BI464" i="49"/>
  <c r="BI41" i="49"/>
  <c r="BI267" i="49"/>
  <c r="BI22" i="49"/>
  <c r="BI164" i="49"/>
  <c r="BI38" i="49"/>
  <c r="BI133" i="49"/>
  <c r="BI152" i="49"/>
  <c r="BI68" i="49"/>
  <c r="BI465" i="49"/>
  <c r="BI434" i="49"/>
  <c r="BI385" i="49"/>
  <c r="BI32" i="49"/>
  <c r="BI348" i="49"/>
  <c r="BI54" i="49"/>
  <c r="BI140" i="49"/>
  <c r="BI459" i="49"/>
  <c r="BI364" i="49"/>
  <c r="BI93" i="49"/>
  <c r="BI135" i="49"/>
  <c r="BI393" i="49"/>
  <c r="AU229" i="49"/>
  <c r="AU262" i="49"/>
  <c r="AU286" i="49"/>
  <c r="BR40" i="49"/>
  <c r="CG90" i="49"/>
  <c r="AU178" i="49"/>
  <c r="AU283" i="49"/>
  <c r="CG378" i="49"/>
  <c r="AU406" i="49"/>
  <c r="CG39" i="49"/>
  <c r="CG88" i="49"/>
  <c r="CG335" i="49"/>
  <c r="CG455" i="49"/>
  <c r="CG336" i="49"/>
  <c r="CG457" i="49"/>
  <c r="CG490" i="49"/>
  <c r="CG321" i="49"/>
  <c r="CG489" i="49"/>
  <c r="CG205" i="49"/>
  <c r="CG220" i="49"/>
  <c r="CG30" i="49"/>
  <c r="AU362" i="49"/>
  <c r="AU403" i="49"/>
  <c r="AN32" i="49"/>
  <c r="AO32" i="49"/>
  <c r="AM32" i="49"/>
  <c r="CG209" i="49"/>
  <c r="CG324" i="49"/>
  <c r="CG313" i="49"/>
  <c r="CG28" i="49"/>
  <c r="AJ412" i="49"/>
  <c r="AK412" i="49"/>
  <c r="AJ437" i="49"/>
  <c r="AK437" i="49"/>
  <c r="AJ84" i="49"/>
  <c r="AK84" i="49"/>
  <c r="AJ129" i="49"/>
  <c r="AK129" i="49"/>
  <c r="AJ44" i="49"/>
  <c r="AK44" i="49"/>
  <c r="AJ75" i="49"/>
  <c r="AK75" i="49"/>
  <c r="AJ252" i="49"/>
  <c r="AK252" i="49"/>
  <c r="AJ457" i="49"/>
  <c r="AK457" i="49"/>
  <c r="AJ363" i="49"/>
  <c r="AK363" i="49"/>
  <c r="AJ153" i="49"/>
  <c r="AK153" i="49"/>
  <c r="AN24" i="49"/>
  <c r="AO24" i="49"/>
  <c r="AM24" i="49"/>
  <c r="AJ124" i="49"/>
  <c r="AK124" i="49"/>
  <c r="AJ316" i="49"/>
  <c r="AK316" i="49"/>
  <c r="AJ7" i="49"/>
  <c r="AK7" i="49"/>
  <c r="AJ315" i="49"/>
  <c r="AK315" i="49"/>
  <c r="AJ117" i="49"/>
  <c r="AK117" i="49"/>
  <c r="AU480" i="49"/>
  <c r="AJ43" i="49"/>
  <c r="AK43" i="49"/>
  <c r="AJ51" i="49"/>
  <c r="AK51" i="49"/>
  <c r="AN116" i="49"/>
  <c r="AO116" i="49"/>
  <c r="AM116" i="49"/>
  <c r="AJ145" i="49"/>
  <c r="AK145" i="49"/>
  <c r="CL98" i="49"/>
  <c r="CM98" i="49"/>
  <c r="CK98" i="49"/>
  <c r="AJ326" i="49"/>
  <c r="AK326" i="49"/>
  <c r="AJ481" i="49"/>
  <c r="AK481" i="49"/>
  <c r="AN414" i="49"/>
  <c r="AO414" i="49"/>
  <c r="AM414" i="49"/>
  <c r="AJ275" i="49"/>
  <c r="AK275" i="49"/>
  <c r="AU276" i="49"/>
  <c r="AJ61" i="49"/>
  <c r="AK61" i="49"/>
  <c r="AJ86" i="49"/>
  <c r="AK86" i="49"/>
  <c r="AU359" i="49"/>
  <c r="CL458" i="49"/>
  <c r="CM458" i="49"/>
  <c r="CK458" i="49"/>
  <c r="AJ9" i="49"/>
  <c r="AK9" i="49"/>
  <c r="AJ131" i="49"/>
  <c r="AK131" i="49"/>
  <c r="AJ393" i="49"/>
  <c r="AK393" i="49"/>
  <c r="AJ454" i="49"/>
  <c r="AK454" i="49"/>
  <c r="AJ166" i="49"/>
  <c r="AK166" i="49"/>
  <c r="AJ339" i="49"/>
  <c r="AK339" i="49"/>
  <c r="AU345" i="49"/>
  <c r="AU298" i="49"/>
  <c r="AN45" i="49"/>
  <c r="AO45" i="49"/>
  <c r="AM45" i="49"/>
  <c r="AJ307" i="49"/>
  <c r="AK307" i="49"/>
  <c r="AU251" i="49"/>
  <c r="AJ333" i="49"/>
  <c r="AK333" i="49"/>
  <c r="AU396" i="49"/>
  <c r="AU259" i="49"/>
  <c r="AJ200" i="49"/>
  <c r="AK200" i="49"/>
  <c r="AJ441" i="49"/>
  <c r="AK441" i="49"/>
  <c r="AJ214" i="49"/>
  <c r="AK214" i="49"/>
  <c r="AJ72" i="49"/>
  <c r="AK72" i="49"/>
  <c r="AU206" i="49"/>
  <c r="AJ165" i="49"/>
  <c r="AK165" i="49"/>
  <c r="AJ76" i="49"/>
  <c r="AK76" i="49"/>
  <c r="AJ368" i="49"/>
  <c r="AK368" i="49"/>
  <c r="CL73" i="49"/>
  <c r="CM73" i="49"/>
  <c r="CK73" i="49"/>
  <c r="AU230" i="49"/>
  <c r="AU405" i="49"/>
  <c r="AJ271" i="49"/>
  <c r="AK271" i="49"/>
  <c r="AJ295" i="49"/>
  <c r="AK295" i="49"/>
  <c r="AJ461" i="49"/>
  <c r="AK461" i="49"/>
  <c r="AN353" i="49"/>
  <c r="AO353" i="49"/>
  <c r="AM353" i="49"/>
  <c r="AJ383" i="49"/>
  <c r="AK383" i="49"/>
  <c r="AJ122" i="49"/>
  <c r="AK122" i="49"/>
  <c r="AJ349" i="49"/>
  <c r="AK349" i="49"/>
  <c r="AJ152" i="49"/>
  <c r="AK152" i="49"/>
  <c r="CL103" i="49"/>
  <c r="CM103" i="49"/>
  <c r="CK103" i="49"/>
  <c r="AJ83" i="49"/>
  <c r="AK83" i="49"/>
  <c r="AJ180" i="49"/>
  <c r="AK180" i="49"/>
  <c r="AJ47" i="49"/>
  <c r="AK47" i="49"/>
  <c r="AJ358" i="49"/>
  <c r="AK358" i="49"/>
  <c r="AN98" i="49"/>
  <c r="AO98" i="49"/>
  <c r="AM98" i="49"/>
  <c r="AJ74" i="49"/>
  <c r="AK74" i="49"/>
  <c r="AJ81" i="49"/>
  <c r="AK81" i="49"/>
  <c r="AJ15" i="49"/>
  <c r="AK15" i="49"/>
  <c r="AJ115" i="49"/>
  <c r="AK115" i="49"/>
  <c r="CL107" i="49"/>
  <c r="CM107" i="49"/>
  <c r="CK107" i="49"/>
  <c r="AJ66" i="49"/>
  <c r="AK66" i="49"/>
  <c r="AJ233" i="49"/>
  <c r="AK233" i="49"/>
  <c r="AJ265" i="49"/>
  <c r="AK265" i="49"/>
  <c r="AJ57" i="49"/>
  <c r="AK57" i="49"/>
  <c r="AJ14" i="49"/>
  <c r="AK14" i="49"/>
  <c r="AJ205" i="49"/>
  <c r="AK205" i="49"/>
  <c r="AJ154" i="49"/>
  <c r="AK154" i="49"/>
  <c r="CL116" i="49"/>
  <c r="CM116" i="49"/>
  <c r="CK116" i="49"/>
  <c r="AU71" i="49"/>
  <c r="AJ337" i="49"/>
  <c r="AK337" i="49"/>
  <c r="AJ90" i="49"/>
  <c r="AK90" i="49"/>
  <c r="AU416" i="49"/>
  <c r="AU308" i="49"/>
  <c r="CL32" i="49"/>
  <c r="CM32" i="49"/>
  <c r="CK32" i="49"/>
  <c r="AJ54" i="49"/>
  <c r="AK54" i="49"/>
  <c r="AJ245" i="49"/>
  <c r="AK245" i="49"/>
  <c r="AU151" i="49"/>
  <c r="AL330" i="49"/>
  <c r="DE329" i="49"/>
  <c r="DF329" i="49"/>
  <c r="DG329" i="49"/>
  <c r="DH329" i="49"/>
  <c r="DE330" i="49"/>
  <c r="DF330" i="49"/>
  <c r="BJ203" i="49"/>
  <c r="AL203" i="49"/>
  <c r="DE204" i="49"/>
  <c r="DF204" i="49"/>
  <c r="BJ204" i="49"/>
  <c r="AM204" i="49"/>
  <c r="DE203" i="49"/>
  <c r="DF203" i="49"/>
  <c r="DE86" i="49"/>
  <c r="DF86" i="49"/>
  <c r="DG86" i="49"/>
  <c r="BO262" i="49"/>
  <c r="BP262" i="49"/>
  <c r="BQ262" i="49"/>
  <c r="BR262" i="49"/>
  <c r="BJ228" i="49"/>
  <c r="BO264" i="49"/>
  <c r="BP264" i="49"/>
  <c r="BQ264" i="49"/>
  <c r="BR264" i="49"/>
  <c r="BO195" i="49"/>
  <c r="BP195" i="49"/>
  <c r="BQ195" i="49"/>
  <c r="BR195" i="49"/>
  <c r="BO297" i="49"/>
  <c r="BP297" i="49"/>
  <c r="BQ297" i="49"/>
  <c r="BR297" i="49"/>
  <c r="BN262" i="49"/>
  <c r="BM221" i="49"/>
  <c r="AP98" i="49"/>
  <c r="AP45" i="49"/>
  <c r="AP116" i="49"/>
  <c r="AT40" i="49"/>
  <c r="AP46" i="49"/>
  <c r="AP335" i="49"/>
  <c r="CN45" i="49"/>
  <c r="CN107" i="49"/>
  <c r="CN103" i="49"/>
  <c r="CN73" i="49"/>
  <c r="AP414" i="49"/>
  <c r="CN98" i="49"/>
  <c r="AP434" i="49"/>
  <c r="CN67" i="49"/>
  <c r="AP41" i="49"/>
  <c r="AP366" i="49"/>
  <c r="CN458" i="49"/>
  <c r="AP24" i="49"/>
  <c r="AP32" i="49"/>
  <c r="AP65" i="49"/>
  <c r="AP179" i="49"/>
  <c r="AP433" i="49"/>
  <c r="AP105" i="49"/>
  <c r="CN97" i="49"/>
  <c r="AP353" i="49"/>
  <c r="CN116" i="49"/>
  <c r="AP19" i="49"/>
  <c r="AP128" i="49"/>
  <c r="AP67" i="49"/>
  <c r="CN65" i="49"/>
  <c r="CN31" i="49"/>
  <c r="AP367" i="49"/>
  <c r="AL154" i="49"/>
  <c r="AL83" i="49"/>
  <c r="AL441" i="49"/>
  <c r="AL393" i="49"/>
  <c r="AL86" i="49"/>
  <c r="AL275" i="49"/>
  <c r="AL481" i="49"/>
  <c r="AL316" i="49"/>
  <c r="AL252" i="49"/>
  <c r="AL84" i="49"/>
  <c r="DI58" i="49"/>
  <c r="DJ58" i="49"/>
  <c r="DH58" i="49"/>
  <c r="DL45" i="49"/>
  <c r="BO148" i="49"/>
  <c r="BP148" i="49"/>
  <c r="BN148" i="49"/>
  <c r="BJ372" i="49"/>
  <c r="BJ114" i="49"/>
  <c r="BJ453" i="49"/>
  <c r="BJ383" i="49"/>
  <c r="BJ50" i="49"/>
  <c r="BJ59" i="49"/>
  <c r="BJ326" i="49"/>
  <c r="CF500" i="49"/>
  <c r="CF2" i="49"/>
  <c r="CG6" i="49"/>
  <c r="CG500" i="49"/>
  <c r="CG2" i="49"/>
  <c r="BO302" i="49"/>
  <c r="BP302" i="49"/>
  <c r="BN302" i="49"/>
  <c r="DI340" i="49"/>
  <c r="DJ340" i="49"/>
  <c r="DH340" i="49"/>
  <c r="AL49" i="49"/>
  <c r="AL290" i="49"/>
  <c r="AL343" i="49"/>
  <c r="AL324" i="49"/>
  <c r="CN434" i="49"/>
  <c r="AL445" i="49"/>
  <c r="AL8" i="49"/>
  <c r="AL114" i="49"/>
  <c r="AL460" i="49"/>
  <c r="AP209" i="49"/>
  <c r="CN36" i="49"/>
  <c r="AL119" i="49"/>
  <c r="AL423" i="49"/>
  <c r="AL141" i="49"/>
  <c r="CN74" i="49"/>
  <c r="AL109" i="49"/>
  <c r="AL118" i="49"/>
  <c r="AP91" i="49"/>
  <c r="AL331" i="49"/>
  <c r="AL430" i="49"/>
  <c r="AL227" i="49"/>
  <c r="AL267" i="49"/>
  <c r="AP436" i="49"/>
  <c r="AL296" i="49"/>
  <c r="AP22" i="49"/>
  <c r="BJ496" i="49"/>
  <c r="BJ49" i="49"/>
  <c r="BJ258" i="49"/>
  <c r="BJ187" i="49"/>
  <c r="BJ7" i="49"/>
  <c r="BJ145" i="49"/>
  <c r="BJ197" i="49"/>
  <c r="BJ466" i="49"/>
  <c r="BJ199" i="49"/>
  <c r="BJ29" i="49"/>
  <c r="BJ444" i="49"/>
  <c r="BJ75" i="49"/>
  <c r="BJ132" i="49"/>
  <c r="BJ8" i="49"/>
  <c r="BJ426" i="49"/>
  <c r="BJ159" i="49"/>
  <c r="BJ33" i="49"/>
  <c r="BJ380" i="49"/>
  <c r="BJ378" i="49"/>
  <c r="BJ215" i="49"/>
  <c r="BJ425" i="49"/>
  <c r="DL116" i="49"/>
  <c r="BJ299" i="49"/>
  <c r="AR5" i="49"/>
  <c r="AS5" i="49"/>
  <c r="AQ5" i="49"/>
  <c r="BJ89" i="49"/>
  <c r="DL105" i="49"/>
  <c r="BJ276" i="49"/>
  <c r="BJ234" i="49"/>
  <c r="BJ42" i="49"/>
  <c r="BJ233" i="49"/>
  <c r="BJ487" i="49"/>
  <c r="BO25" i="49"/>
  <c r="BP25" i="49"/>
  <c r="BN25" i="49"/>
  <c r="BJ35" i="49"/>
  <c r="BK342" i="49"/>
  <c r="BL342" i="49"/>
  <c r="BJ342" i="49"/>
  <c r="BJ213" i="49"/>
  <c r="BJ153" i="49"/>
  <c r="BJ473" i="49"/>
  <c r="BO17" i="49"/>
  <c r="BP17" i="49"/>
  <c r="BN17" i="49"/>
  <c r="BJ88" i="49"/>
  <c r="BJ346" i="49"/>
  <c r="BJ161" i="49"/>
  <c r="BJ307" i="49"/>
  <c r="AL56" i="49"/>
  <c r="AL311" i="49"/>
  <c r="AL13" i="49"/>
  <c r="AL486" i="49"/>
  <c r="AL184" i="49"/>
  <c r="AL478" i="49"/>
  <c r="AL161" i="49"/>
  <c r="AL163" i="49"/>
  <c r="AL173" i="49"/>
  <c r="AL111" i="49"/>
  <c r="AL318" i="49"/>
  <c r="AL156" i="49"/>
  <c r="AL303" i="49"/>
  <c r="AL483" i="49"/>
  <c r="AL459" i="49"/>
  <c r="BJ357" i="49"/>
  <c r="BJ102" i="49"/>
  <c r="BJ136" i="49"/>
  <c r="BJ189" i="49"/>
  <c r="BJ174" i="49"/>
  <c r="BJ120" i="49"/>
  <c r="BJ437" i="49"/>
  <c r="BJ420" i="49"/>
  <c r="BJ91" i="49"/>
  <c r="BJ295" i="49"/>
  <c r="BJ442" i="49"/>
  <c r="BJ298" i="49"/>
  <c r="BJ265" i="49"/>
  <c r="BJ27" i="49"/>
  <c r="BJ452" i="49"/>
  <c r="BJ86" i="49"/>
  <c r="BJ301" i="49"/>
  <c r="BJ109" i="49"/>
  <c r="BJ408" i="49"/>
  <c r="AU472" i="49"/>
  <c r="BJ103" i="49"/>
  <c r="BJ200" i="49"/>
  <c r="BJ6" i="49"/>
  <c r="BJ104" i="49"/>
  <c r="DI56" i="49"/>
  <c r="DJ56" i="49"/>
  <c r="DH56" i="49"/>
  <c r="AL174" i="49"/>
  <c r="AL136" i="49"/>
  <c r="AL194" i="49"/>
  <c r="AL60" i="49"/>
  <c r="AL48" i="49"/>
  <c r="AL455" i="49"/>
  <c r="AL39" i="49"/>
  <c r="AL17" i="49"/>
  <c r="AL400" i="49"/>
  <c r="AL268" i="49"/>
  <c r="BK353" i="49"/>
  <c r="BL353" i="49"/>
  <c r="BJ353" i="49"/>
  <c r="BJ106" i="49"/>
  <c r="BJ57" i="49"/>
  <c r="BJ160" i="49"/>
  <c r="BJ360" i="49"/>
  <c r="BJ395" i="49"/>
  <c r="BJ125" i="49"/>
  <c r="BJ117" i="49"/>
  <c r="BJ150" i="49"/>
  <c r="DL67" i="49"/>
  <c r="BJ257" i="49"/>
  <c r="BJ179" i="49"/>
  <c r="BJ314" i="49"/>
  <c r="BK411" i="49"/>
  <c r="BJ411" i="49"/>
  <c r="BJ409" i="49"/>
  <c r="BJ100" i="49"/>
  <c r="BJ229" i="49"/>
  <c r="BJ48" i="49"/>
  <c r="BJ58" i="49"/>
  <c r="BJ388" i="49"/>
  <c r="BJ36" i="49"/>
  <c r="AL87" i="49"/>
  <c r="AL409" i="49"/>
  <c r="AL292" i="49"/>
  <c r="AL278" i="49"/>
  <c r="AL453" i="49"/>
  <c r="AL69" i="49"/>
  <c r="AL104" i="49"/>
  <c r="AP110" i="49"/>
  <c r="AL101" i="49"/>
  <c r="AL319" i="49"/>
  <c r="AL220" i="49"/>
  <c r="AL139" i="49"/>
  <c r="AL30" i="49"/>
  <c r="AL102" i="49"/>
  <c r="AL218" i="49"/>
  <c r="AL167" i="49"/>
  <c r="AL425" i="49"/>
  <c r="CN35" i="49"/>
  <c r="AP37" i="49"/>
  <c r="DE5" i="49"/>
  <c r="BO376" i="49"/>
  <c r="BP376" i="49"/>
  <c r="BN376" i="49"/>
  <c r="AP35" i="49"/>
  <c r="CN420" i="49"/>
  <c r="BJ186" i="49"/>
  <c r="BJ84" i="49"/>
  <c r="BJ209" i="49"/>
  <c r="BJ478" i="49"/>
  <c r="BJ467" i="49"/>
  <c r="BJ158" i="49"/>
  <c r="BJ113" i="49"/>
  <c r="DE104" i="49"/>
  <c r="DF104" i="49"/>
  <c r="DE245" i="49"/>
  <c r="DF245" i="49"/>
  <c r="DE51" i="49"/>
  <c r="DF51" i="49"/>
  <c r="DE253" i="49"/>
  <c r="DF253" i="49"/>
  <c r="DE249" i="49"/>
  <c r="DF249" i="49"/>
  <c r="DE240" i="49"/>
  <c r="DF240" i="49"/>
  <c r="DE8" i="49"/>
  <c r="DF8" i="49"/>
  <c r="DE161" i="49"/>
  <c r="DF161" i="49"/>
  <c r="DE451" i="49"/>
  <c r="DF451" i="49"/>
  <c r="BO471" i="49"/>
  <c r="BP471" i="49"/>
  <c r="BN471" i="49"/>
  <c r="DE183" i="49"/>
  <c r="DF183" i="49"/>
  <c r="DE192" i="49"/>
  <c r="DF192" i="49"/>
  <c r="DE390" i="49"/>
  <c r="DF390" i="49"/>
  <c r="AR34" i="49"/>
  <c r="AQ34" i="49"/>
  <c r="BO319" i="49"/>
  <c r="BP319" i="49"/>
  <c r="BN319" i="49"/>
  <c r="DE93" i="49"/>
  <c r="DF93" i="49"/>
  <c r="DE158" i="49"/>
  <c r="DF158" i="49"/>
  <c r="DE281" i="49"/>
  <c r="DF281" i="49"/>
  <c r="DE59" i="49"/>
  <c r="DF59" i="49"/>
  <c r="DE308" i="49"/>
  <c r="DF308" i="49"/>
  <c r="DE108" i="49"/>
  <c r="DF108" i="49"/>
  <c r="DE409" i="49"/>
  <c r="DF409" i="49"/>
  <c r="DE191" i="49"/>
  <c r="DF191" i="49"/>
  <c r="DE444" i="49"/>
  <c r="DF444" i="49"/>
  <c r="DE50" i="49"/>
  <c r="DF50" i="49"/>
  <c r="DE290" i="49"/>
  <c r="DF290" i="49"/>
  <c r="DE165" i="49"/>
  <c r="DF165" i="49"/>
  <c r="DE91" i="49"/>
  <c r="DF91" i="49"/>
  <c r="DE47" i="49"/>
  <c r="DF47" i="49"/>
  <c r="DE377" i="49"/>
  <c r="DF377" i="49"/>
  <c r="DE383" i="49"/>
  <c r="DF383" i="49"/>
  <c r="DE306" i="49"/>
  <c r="DF306" i="49"/>
  <c r="BO11" i="49"/>
  <c r="BP11" i="49"/>
  <c r="BN11" i="49"/>
  <c r="DE419" i="49"/>
  <c r="DF419" i="49"/>
  <c r="DE241" i="49"/>
  <c r="DF241" i="49"/>
  <c r="DE141" i="49"/>
  <c r="DF141" i="49"/>
  <c r="DE102" i="49"/>
  <c r="DF102" i="49"/>
  <c r="DE425" i="49"/>
  <c r="DF425" i="49"/>
  <c r="DE114" i="49"/>
  <c r="DF114" i="49"/>
  <c r="BO350" i="49"/>
  <c r="BP350" i="49"/>
  <c r="BN350" i="49"/>
  <c r="BO70" i="49"/>
  <c r="BP70" i="49"/>
  <c r="BN70" i="49"/>
  <c r="DE178" i="49"/>
  <c r="DF178" i="49"/>
  <c r="DE412" i="49"/>
  <c r="DF412" i="49"/>
  <c r="DE101" i="49"/>
  <c r="DF101" i="49"/>
  <c r="DE411" i="49"/>
  <c r="DF411" i="49"/>
  <c r="DE143" i="49"/>
  <c r="DF143" i="49"/>
  <c r="DE384" i="49"/>
  <c r="DF384" i="49"/>
  <c r="BO73" i="49"/>
  <c r="BP73" i="49"/>
  <c r="BN73" i="49"/>
  <c r="BO188" i="49"/>
  <c r="BP188" i="49"/>
  <c r="BN188" i="49"/>
  <c r="DE423" i="49"/>
  <c r="DF423" i="49"/>
  <c r="DE343" i="49"/>
  <c r="DF343" i="49"/>
  <c r="DE123" i="49"/>
  <c r="DF123" i="49"/>
  <c r="DE70" i="49"/>
  <c r="DF70" i="49"/>
  <c r="DE118" i="49"/>
  <c r="DF118" i="49"/>
  <c r="DE210" i="49"/>
  <c r="DF210" i="49"/>
  <c r="AL265" i="49"/>
  <c r="AL152" i="49"/>
  <c r="CN32" i="49"/>
  <c r="AL271" i="49"/>
  <c r="AL200" i="49"/>
  <c r="AL131" i="49"/>
  <c r="AL145" i="49"/>
  <c r="AL117" i="49"/>
  <c r="AL124" i="49"/>
  <c r="AL153" i="49"/>
  <c r="AL75" i="49"/>
  <c r="AL437" i="49"/>
  <c r="BJ135" i="49"/>
  <c r="BK364" i="49"/>
  <c r="BL364" i="49"/>
  <c r="BJ364" i="49"/>
  <c r="BJ140" i="49"/>
  <c r="BJ348" i="49"/>
  <c r="BJ385" i="49"/>
  <c r="BJ465" i="49"/>
  <c r="BJ152" i="49"/>
  <c r="BJ38" i="49"/>
  <c r="BJ22" i="49"/>
  <c r="BK41" i="49"/>
  <c r="BL41" i="49"/>
  <c r="BJ41" i="49"/>
  <c r="BJ240" i="49"/>
  <c r="BJ198" i="49"/>
  <c r="BJ155" i="49"/>
  <c r="BJ108" i="49"/>
  <c r="BJ317" i="49"/>
  <c r="BJ334" i="49"/>
  <c r="BJ373" i="49"/>
  <c r="BJ352" i="49"/>
  <c r="BO171" i="49"/>
  <c r="BP171" i="49"/>
  <c r="BN171" i="49"/>
  <c r="BJ445" i="49"/>
  <c r="BJ252" i="49"/>
  <c r="BJ354" i="49"/>
  <c r="BJ219" i="49"/>
  <c r="BJ37" i="49"/>
  <c r="BJ286" i="49"/>
  <c r="BK341" i="49"/>
  <c r="BL341" i="49"/>
  <c r="BJ341" i="49"/>
  <c r="BO431" i="49"/>
  <c r="BP431" i="49"/>
  <c r="BN431" i="49"/>
  <c r="BO433" i="49"/>
  <c r="BP433" i="49"/>
  <c r="BN433" i="49"/>
  <c r="BJ77" i="49"/>
  <c r="BK489" i="49"/>
  <c r="BL489" i="49"/>
  <c r="BJ489" i="49"/>
  <c r="BJ440" i="49"/>
  <c r="BK436" i="49"/>
  <c r="BL436" i="49"/>
  <c r="BJ436" i="49"/>
  <c r="DL46" i="49"/>
  <c r="BJ482" i="49"/>
  <c r="BJ78" i="49"/>
  <c r="DL16" i="49"/>
  <c r="BJ14" i="49"/>
  <c r="BJ304" i="49"/>
  <c r="AL360" i="49"/>
  <c r="AL106" i="49"/>
  <c r="AL93" i="49"/>
  <c r="AL88" i="49"/>
  <c r="AL299" i="49"/>
  <c r="AL126" i="49"/>
  <c r="AP494" i="49"/>
  <c r="AL108" i="49"/>
  <c r="AL447" i="49"/>
  <c r="AL321" i="49"/>
  <c r="AL361" i="49"/>
  <c r="CN18" i="49"/>
  <c r="AL496" i="49"/>
  <c r="AP107" i="49"/>
  <c r="AL439" i="49"/>
  <c r="AL312" i="49"/>
  <c r="AL142" i="49"/>
  <c r="AT36" i="49"/>
  <c r="AL125" i="49"/>
  <c r="AL410" i="49"/>
  <c r="AL159" i="49"/>
  <c r="AL192" i="49"/>
  <c r="CN11" i="49"/>
  <c r="BJ90" i="49"/>
  <c r="BJ112" i="49"/>
  <c r="BJ208" i="49"/>
  <c r="BJ322" i="49"/>
  <c r="BK477" i="49"/>
  <c r="BL477" i="49"/>
  <c r="BJ477" i="49"/>
  <c r="DI342" i="49"/>
  <c r="DJ342" i="49"/>
  <c r="DH342" i="49"/>
  <c r="CN12" i="49"/>
  <c r="AL196" i="49"/>
  <c r="AL450" i="49"/>
  <c r="AL134" i="49"/>
  <c r="AL379" i="49"/>
  <c r="AL155" i="49"/>
  <c r="AL199" i="49"/>
  <c r="AL140" i="49"/>
  <c r="AL64" i="49"/>
  <c r="AL427" i="49"/>
  <c r="AL77" i="49"/>
  <c r="AL138" i="49"/>
  <c r="AL95" i="49"/>
  <c r="AL130" i="49"/>
  <c r="AL306" i="49"/>
  <c r="DL68" i="49"/>
  <c r="AL120" i="49"/>
  <c r="AL143" i="49"/>
  <c r="AL16" i="49"/>
  <c r="AL388" i="49"/>
  <c r="AL133" i="49"/>
  <c r="AL215" i="49"/>
  <c r="AL21" i="49"/>
  <c r="AL96" i="49"/>
  <c r="AL112" i="49"/>
  <c r="AL164" i="49"/>
  <c r="AL68" i="49"/>
  <c r="DL65" i="49"/>
  <c r="BO52" i="49"/>
  <c r="BP52" i="49"/>
  <c r="BN52" i="49"/>
  <c r="DL9" i="49"/>
  <c r="AU443" i="49"/>
  <c r="AL354" i="49"/>
  <c r="AL491" i="49"/>
  <c r="AL240" i="49"/>
  <c r="AL277" i="49"/>
  <c r="AL266" i="49"/>
  <c r="AP336" i="49"/>
  <c r="AP23" i="49"/>
  <c r="AL160" i="49"/>
  <c r="AL322" i="49"/>
  <c r="AP11" i="49"/>
  <c r="AL219" i="49"/>
  <c r="AL150" i="49"/>
  <c r="AL382" i="49"/>
  <c r="AL310" i="49"/>
  <c r="AL413" i="49"/>
  <c r="AL428" i="49"/>
  <c r="AL189" i="49"/>
  <c r="AP73" i="49"/>
  <c r="AL386" i="49"/>
  <c r="AL146" i="49"/>
  <c r="AL52" i="49"/>
  <c r="BJ379" i="49"/>
  <c r="BJ254" i="49"/>
  <c r="BJ447" i="49"/>
  <c r="BJ165" i="49"/>
  <c r="BJ446" i="49"/>
  <c r="BJ210" i="49"/>
  <c r="BJ404" i="49"/>
  <c r="BJ410" i="49"/>
  <c r="BK72" i="49"/>
  <c r="BL72" i="49"/>
  <c r="BJ72" i="49"/>
  <c r="BJ24" i="49"/>
  <c r="BJ448" i="49"/>
  <c r="BJ292" i="49"/>
  <c r="BJ249" i="49"/>
  <c r="BJ205" i="49"/>
  <c r="BJ69" i="49"/>
  <c r="BJ183" i="49"/>
  <c r="BJ144" i="49"/>
  <c r="BJ83" i="49"/>
  <c r="BJ430" i="49"/>
  <c r="BJ242" i="49"/>
  <c r="BK336" i="49"/>
  <c r="BL336" i="49"/>
  <c r="BJ336" i="49"/>
  <c r="BJ157" i="49"/>
  <c r="BJ243" i="49"/>
  <c r="BJ390" i="49"/>
  <c r="BJ185" i="49"/>
  <c r="DE326" i="49"/>
  <c r="DF326" i="49"/>
  <c r="DE186" i="49"/>
  <c r="DF186" i="49"/>
  <c r="DE160" i="49"/>
  <c r="DF160" i="49"/>
  <c r="DE112" i="49"/>
  <c r="DF112" i="49"/>
  <c r="DE439" i="49"/>
  <c r="DF439" i="49"/>
  <c r="DE135" i="49"/>
  <c r="DF135" i="49"/>
  <c r="DE44" i="49"/>
  <c r="DF44" i="49"/>
  <c r="DE148" i="49"/>
  <c r="DF148" i="49"/>
  <c r="DE189" i="49"/>
  <c r="DF189" i="49"/>
  <c r="DE99" i="49"/>
  <c r="DF99" i="49"/>
  <c r="DE14" i="49"/>
  <c r="DF14" i="49"/>
  <c r="DE266" i="49"/>
  <c r="DF266" i="49"/>
  <c r="DE321" i="49"/>
  <c r="DF321" i="49"/>
  <c r="DE315" i="49"/>
  <c r="DF315" i="49"/>
  <c r="DE318" i="49"/>
  <c r="DF318" i="49"/>
  <c r="DE157" i="49"/>
  <c r="DF157" i="49"/>
  <c r="DE356" i="49"/>
  <c r="DF356" i="49"/>
  <c r="DE322" i="49"/>
  <c r="DF322" i="49"/>
  <c r="DE180" i="49"/>
  <c r="DF180" i="49"/>
  <c r="DE142" i="49"/>
  <c r="DF142" i="49"/>
  <c r="DE261" i="49"/>
  <c r="DF261" i="49"/>
  <c r="DE313" i="49"/>
  <c r="DF313" i="49"/>
  <c r="DE36" i="49"/>
  <c r="DF36" i="49"/>
  <c r="DE334" i="49"/>
  <c r="DF334" i="49"/>
  <c r="DE339" i="49"/>
  <c r="DF339" i="49"/>
  <c r="DE487" i="49"/>
  <c r="DF487" i="49"/>
  <c r="DE75" i="49"/>
  <c r="DF75" i="49"/>
  <c r="DE139" i="49"/>
  <c r="DF139" i="49"/>
  <c r="DE279" i="49"/>
  <c r="DF279" i="49"/>
  <c r="DE324" i="49"/>
  <c r="DF324" i="49"/>
  <c r="DE153" i="49"/>
  <c r="DF153" i="49"/>
  <c r="DE113" i="49"/>
  <c r="DF113" i="49"/>
  <c r="DE190" i="49"/>
  <c r="DF190" i="49"/>
  <c r="DE187" i="49"/>
  <c r="DF187" i="49"/>
  <c r="DE184" i="49"/>
  <c r="DF184" i="49"/>
  <c r="DE297" i="49"/>
  <c r="DF297" i="49"/>
  <c r="DE234" i="49"/>
  <c r="DF234" i="49"/>
  <c r="DE129" i="49"/>
  <c r="DF129" i="49"/>
  <c r="DE450" i="49"/>
  <c r="DF450" i="49"/>
  <c r="DE29" i="49"/>
  <c r="DF29" i="49"/>
  <c r="DE271" i="49"/>
  <c r="DF271" i="49"/>
  <c r="DE111" i="49"/>
  <c r="DF111" i="49"/>
  <c r="DE208" i="49"/>
  <c r="DF208" i="49"/>
  <c r="DE23" i="49"/>
  <c r="DF23" i="49"/>
  <c r="DE299" i="49"/>
  <c r="DF299" i="49"/>
  <c r="DE224" i="49"/>
  <c r="DF224" i="49"/>
  <c r="DE498" i="49"/>
  <c r="DF498" i="49"/>
  <c r="DE368" i="49"/>
  <c r="DF368" i="49"/>
  <c r="DE198" i="49"/>
  <c r="DF198" i="49"/>
  <c r="DE209" i="49"/>
  <c r="DF209" i="49"/>
  <c r="DE225" i="49"/>
  <c r="DF225" i="49"/>
  <c r="DE66" i="49"/>
  <c r="DF66" i="49"/>
  <c r="DE82" i="49"/>
  <c r="DF82" i="49"/>
  <c r="DE169" i="49"/>
  <c r="DF169" i="49"/>
  <c r="DE150" i="49"/>
  <c r="DF150" i="49"/>
  <c r="DE363" i="49"/>
  <c r="DF363" i="49"/>
  <c r="DE350" i="49"/>
  <c r="DF350" i="49"/>
  <c r="DE145" i="49"/>
  <c r="DF145" i="49"/>
  <c r="DE110" i="49"/>
  <c r="DF110" i="49"/>
  <c r="DE164" i="49"/>
  <c r="DF164" i="49"/>
  <c r="DE173" i="49"/>
  <c r="DF173" i="49"/>
  <c r="DE247" i="49"/>
  <c r="DF247" i="49"/>
  <c r="DE89" i="49"/>
  <c r="DF89" i="49"/>
  <c r="DE338" i="49"/>
  <c r="DF338" i="49"/>
  <c r="DE493" i="49"/>
  <c r="DF493" i="49"/>
  <c r="DE303" i="49"/>
  <c r="DF303" i="49"/>
  <c r="DE13" i="49"/>
  <c r="DF13" i="49"/>
  <c r="DE95" i="49"/>
  <c r="DF95" i="49"/>
  <c r="DE404" i="49"/>
  <c r="DF404" i="49"/>
  <c r="DE243" i="49"/>
  <c r="DF243" i="49"/>
  <c r="DE486" i="49"/>
  <c r="DF486" i="49"/>
  <c r="DE325" i="49"/>
  <c r="DF325" i="49"/>
  <c r="DE94" i="49"/>
  <c r="DF94" i="49"/>
  <c r="DE219" i="49"/>
  <c r="DF219" i="49"/>
  <c r="DE485" i="49"/>
  <c r="DF485" i="49"/>
  <c r="DE211" i="49"/>
  <c r="DF211" i="49"/>
  <c r="DE446" i="49"/>
  <c r="DF446" i="49"/>
  <c r="DE79" i="49"/>
  <c r="DF79" i="49"/>
  <c r="DE201" i="49"/>
  <c r="DF201" i="49"/>
  <c r="DE438" i="49"/>
  <c r="DF438" i="49"/>
  <c r="DE454" i="49"/>
  <c r="DF454" i="49"/>
  <c r="DE196" i="49"/>
  <c r="DF196" i="49"/>
  <c r="DE361" i="49"/>
  <c r="DF361" i="49"/>
  <c r="DE39" i="49"/>
  <c r="DF39" i="49"/>
  <c r="DE235" i="49"/>
  <c r="DF235" i="49"/>
  <c r="DE170" i="49"/>
  <c r="DF170" i="49"/>
  <c r="DE478" i="49"/>
  <c r="DF478" i="49"/>
  <c r="DE257" i="49"/>
  <c r="DF257" i="49"/>
  <c r="DE194" i="49"/>
  <c r="DF194" i="49"/>
  <c r="DE126" i="49"/>
  <c r="DF126" i="49"/>
  <c r="DE133" i="49"/>
  <c r="DF133" i="49"/>
  <c r="DE69" i="49"/>
  <c r="DF69" i="49"/>
  <c r="DE100" i="49"/>
  <c r="DF100" i="49"/>
  <c r="DE26" i="49"/>
  <c r="DF26" i="49"/>
  <c r="BJ119" i="49"/>
  <c r="BJ143" i="49"/>
  <c r="BJ472" i="49"/>
  <c r="BJ451" i="49"/>
  <c r="BJ248" i="49"/>
  <c r="BJ266" i="49"/>
  <c r="DL433" i="49"/>
  <c r="CN37" i="49"/>
  <c r="DL298" i="49"/>
  <c r="BJ490" i="49"/>
  <c r="DL103" i="49"/>
  <c r="BJ481" i="49"/>
  <c r="BJ172" i="49"/>
  <c r="DL443" i="49"/>
  <c r="BJ461" i="49"/>
  <c r="DL74" i="49"/>
  <c r="BJ97" i="49"/>
  <c r="BJ435" i="49"/>
  <c r="AU469" i="49"/>
  <c r="CN25" i="49"/>
  <c r="AU474" i="49"/>
  <c r="BJ170" i="49"/>
  <c r="BJ268" i="49"/>
  <c r="BJ358" i="49"/>
  <c r="DE463" i="49"/>
  <c r="DF463" i="49"/>
  <c r="DE278" i="49"/>
  <c r="DF278" i="49"/>
  <c r="DE83" i="49"/>
  <c r="DF83" i="49"/>
  <c r="DE61" i="49"/>
  <c r="DF61" i="49"/>
  <c r="DE214" i="49"/>
  <c r="DF214" i="49"/>
  <c r="DE227" i="49"/>
  <c r="DF227" i="49"/>
  <c r="DE430" i="49"/>
  <c r="DF430" i="49"/>
  <c r="DE188" i="49"/>
  <c r="DF188" i="49"/>
  <c r="DE357" i="49"/>
  <c r="DF357" i="49"/>
  <c r="BO47" i="49"/>
  <c r="BP47" i="49"/>
  <c r="BN47" i="49"/>
  <c r="BO362" i="49"/>
  <c r="BP362" i="49"/>
  <c r="BN362" i="49"/>
  <c r="DE28" i="49"/>
  <c r="DF28" i="49"/>
  <c r="DE248" i="49"/>
  <c r="DF248" i="49"/>
  <c r="DE199" i="49"/>
  <c r="DF199" i="49"/>
  <c r="DE448" i="49"/>
  <c r="DF448" i="49"/>
  <c r="DE428" i="49"/>
  <c r="DF428" i="49"/>
  <c r="DE220" i="49"/>
  <c r="DF220" i="49"/>
  <c r="DE319" i="49"/>
  <c r="DF319" i="49"/>
  <c r="DE166" i="49"/>
  <c r="DF166" i="49"/>
  <c r="DE468" i="49"/>
  <c r="DF468" i="49"/>
  <c r="DE115" i="49"/>
  <c r="DF115" i="49"/>
  <c r="DE388" i="49"/>
  <c r="DF388" i="49"/>
  <c r="DL7" i="49"/>
  <c r="DE408" i="49"/>
  <c r="DF408" i="49"/>
  <c r="DE427" i="49"/>
  <c r="DF427" i="49"/>
  <c r="BO226" i="49"/>
  <c r="BP226" i="49"/>
  <c r="BN226" i="49"/>
  <c r="DE131" i="49"/>
  <c r="DF131" i="49"/>
  <c r="DE52" i="49"/>
  <c r="DF52" i="49"/>
  <c r="DE156" i="49"/>
  <c r="DF156" i="49"/>
  <c r="DE130" i="49"/>
  <c r="DF130" i="49"/>
  <c r="AU464" i="49"/>
  <c r="DE413" i="49"/>
  <c r="DF413" i="49"/>
  <c r="DE379" i="49"/>
  <c r="DF379" i="49"/>
  <c r="DE458" i="49"/>
  <c r="DF458" i="49"/>
  <c r="DE473" i="49"/>
  <c r="DF473" i="49"/>
  <c r="DE300" i="49"/>
  <c r="DF300" i="49"/>
  <c r="DE301" i="49"/>
  <c r="DF301" i="49"/>
  <c r="DE15" i="49"/>
  <c r="DF15" i="49"/>
  <c r="AR18" i="49"/>
  <c r="AS18" i="49"/>
  <c r="AQ18" i="49"/>
  <c r="DE155" i="49"/>
  <c r="DF155" i="49"/>
  <c r="DE250" i="49"/>
  <c r="DF250" i="49"/>
  <c r="DE440" i="49"/>
  <c r="DF440" i="49"/>
  <c r="DE437" i="49"/>
  <c r="DF437" i="49"/>
  <c r="DE27" i="49"/>
  <c r="DF27" i="49"/>
  <c r="DE109" i="49"/>
  <c r="DF109" i="49"/>
  <c r="DE88" i="49"/>
  <c r="DF88" i="49"/>
  <c r="DE92" i="49"/>
  <c r="DF92" i="49"/>
  <c r="DE140" i="49"/>
  <c r="DF140" i="49"/>
  <c r="DE442" i="49"/>
  <c r="DF442" i="49"/>
  <c r="DE233" i="49"/>
  <c r="DF233" i="49"/>
  <c r="DE38" i="49"/>
  <c r="DF38" i="49"/>
  <c r="DE42" i="49"/>
  <c r="DF42" i="49"/>
  <c r="DE138" i="49"/>
  <c r="DF138" i="49"/>
  <c r="DE380" i="49"/>
  <c r="DF380" i="49"/>
  <c r="DE320" i="49"/>
  <c r="DF320" i="49"/>
  <c r="DE311" i="49"/>
  <c r="DF311" i="49"/>
  <c r="DE197" i="49"/>
  <c r="DF197" i="49"/>
  <c r="DE455" i="49"/>
  <c r="DF455" i="49"/>
  <c r="DE410" i="49"/>
  <c r="DF410" i="49"/>
  <c r="DE310" i="49"/>
  <c r="DF310" i="49"/>
  <c r="DE205" i="49"/>
  <c r="DF205" i="49"/>
  <c r="DE441" i="49"/>
  <c r="DF441" i="49"/>
  <c r="DE484" i="49"/>
  <c r="DF484" i="49"/>
  <c r="AL81" i="49"/>
  <c r="AL295" i="49"/>
  <c r="AL205" i="49"/>
  <c r="AL74" i="49"/>
  <c r="AL349" i="49"/>
  <c r="AL368" i="49"/>
  <c r="AL61" i="49"/>
  <c r="AL326" i="49"/>
  <c r="AL245" i="49"/>
  <c r="AL337" i="49"/>
  <c r="AL14" i="49"/>
  <c r="AL66" i="49"/>
  <c r="AL115" i="49"/>
  <c r="AL47" i="49"/>
  <c r="AL122" i="49"/>
  <c r="AL76" i="49"/>
  <c r="AL72" i="49"/>
  <c r="AL333" i="49"/>
  <c r="AL166" i="49"/>
  <c r="AL9" i="49"/>
  <c r="AL43" i="49"/>
  <c r="AL315" i="49"/>
  <c r="AL363" i="49"/>
  <c r="AL44" i="49"/>
  <c r="AL412" i="49"/>
  <c r="BO475" i="49"/>
  <c r="BP475" i="49"/>
  <c r="BN475" i="49"/>
  <c r="DL11" i="49"/>
  <c r="AJ500" i="49"/>
  <c r="AJ2" i="49"/>
  <c r="AK6" i="49"/>
  <c r="BJ126" i="49"/>
  <c r="BJ173" i="49"/>
  <c r="BJ491" i="49"/>
  <c r="BJ55" i="49"/>
  <c r="BJ486" i="49"/>
  <c r="BJ321" i="49"/>
  <c r="BJ438" i="49"/>
  <c r="AU466" i="49"/>
  <c r="DL12" i="49"/>
  <c r="AL59" i="49"/>
  <c r="AL373" i="49"/>
  <c r="AL132" i="49"/>
  <c r="AL50" i="49"/>
  <c r="AL183" i="49"/>
  <c r="AL323" i="49"/>
  <c r="AL356" i="49"/>
  <c r="AL380" i="49"/>
  <c r="AL208" i="49"/>
  <c r="AL158" i="49"/>
  <c r="AL444" i="49"/>
  <c r="AL148" i="49"/>
  <c r="AL235" i="49"/>
  <c r="AL435" i="49"/>
  <c r="AP94" i="49"/>
  <c r="AP25" i="49"/>
  <c r="CN68" i="49"/>
  <c r="AL250" i="49"/>
  <c r="BJ118" i="49"/>
  <c r="BJ460" i="49"/>
  <c r="BJ224" i="49"/>
  <c r="BJ456" i="49"/>
  <c r="BJ82" i="49"/>
  <c r="BJ463" i="49"/>
  <c r="BJ79" i="49"/>
  <c r="BJ166" i="49"/>
  <c r="BJ81" i="49"/>
  <c r="BJ220" i="49"/>
  <c r="BJ377" i="49"/>
  <c r="BJ115" i="49"/>
  <c r="BJ196" i="49"/>
  <c r="BJ368" i="49"/>
  <c r="BJ13" i="49"/>
  <c r="BJ277" i="49"/>
  <c r="BJ419" i="49"/>
  <c r="BJ53" i="49"/>
  <c r="BO131" i="49"/>
  <c r="BP131" i="49"/>
  <c r="BN131" i="49"/>
  <c r="BJ124" i="49"/>
  <c r="BJ278" i="49"/>
  <c r="BO247" i="49"/>
  <c r="BP247" i="49"/>
  <c r="BN247" i="49"/>
  <c r="BJ296" i="49"/>
  <c r="BJ19" i="49"/>
  <c r="CN5" i="49"/>
  <c r="AU462" i="49"/>
  <c r="CN23" i="49"/>
  <c r="BJ214" i="49"/>
  <c r="BJ23" i="49"/>
  <c r="BJ191" i="49"/>
  <c r="BJ142" i="49"/>
  <c r="BJ318" i="49"/>
  <c r="BJ455" i="49"/>
  <c r="BJ111" i="49"/>
  <c r="BJ207" i="49"/>
  <c r="DL415" i="49"/>
  <c r="AU456" i="49"/>
  <c r="BJ138" i="49"/>
  <c r="BJ169" i="49"/>
  <c r="BJ218" i="49"/>
  <c r="BJ184" i="49"/>
  <c r="BJ382" i="49"/>
  <c r="BJ293" i="49"/>
  <c r="BJ337" i="49"/>
  <c r="BJ154" i="49"/>
  <c r="AL121" i="49"/>
  <c r="AL243" i="49"/>
  <c r="AL149" i="49"/>
  <c r="AL390" i="49"/>
  <c r="AL201" i="49"/>
  <c r="AL377" i="49"/>
  <c r="AL485" i="49"/>
  <c r="AL365" i="49"/>
  <c r="AL487" i="49"/>
  <c r="AL357" i="49"/>
  <c r="AL395" i="49"/>
  <c r="AL162" i="49"/>
  <c r="AL477" i="49"/>
  <c r="BJ211" i="49"/>
  <c r="BJ134" i="49"/>
  <c r="BJ303" i="49"/>
  <c r="BJ235" i="49"/>
  <c r="BJ386" i="49"/>
  <c r="BJ146" i="49"/>
  <c r="BJ356" i="49"/>
  <c r="BJ241" i="49"/>
  <c r="BJ64" i="49"/>
  <c r="BJ156" i="49"/>
  <c r="BJ449" i="49"/>
  <c r="BJ167" i="49"/>
  <c r="BJ201" i="49"/>
  <c r="BJ498" i="49"/>
  <c r="BJ271" i="49"/>
  <c r="BJ245" i="49"/>
  <c r="BJ343" i="49"/>
  <c r="BK128" i="49"/>
  <c r="BL128" i="49"/>
  <c r="BJ128" i="49"/>
  <c r="BJ494" i="49"/>
  <c r="AU467" i="49"/>
  <c r="BJ225" i="49"/>
  <c r="BJ483" i="49"/>
  <c r="BJ130" i="49"/>
  <c r="BJ60" i="49"/>
  <c r="BO355" i="49"/>
  <c r="BP355" i="49"/>
  <c r="BN355" i="49"/>
  <c r="AL38" i="49"/>
  <c r="AL190" i="49"/>
  <c r="AL29" i="49"/>
  <c r="AL334" i="49"/>
  <c r="AL248" i="49"/>
  <c r="AL26" i="49"/>
  <c r="AL281" i="49"/>
  <c r="AL70" i="49"/>
  <c r="AL473" i="49"/>
  <c r="AL452" i="49"/>
  <c r="AL224" i="49"/>
  <c r="BJ261" i="49"/>
  <c r="BJ99" i="49"/>
  <c r="BJ67" i="49"/>
  <c r="BJ250" i="49"/>
  <c r="BJ190" i="49"/>
  <c r="BJ63" i="49"/>
  <c r="BJ85" i="49"/>
  <c r="BJ365" i="49"/>
  <c r="BJ31" i="49"/>
  <c r="BO28" i="49"/>
  <c r="BP28" i="49"/>
  <c r="BN28" i="49"/>
  <c r="BJ217" i="49"/>
  <c r="BJ66" i="49"/>
  <c r="DL98" i="49"/>
  <c r="BK107" i="49"/>
  <c r="BL107" i="49"/>
  <c r="BJ107" i="49"/>
  <c r="BJ310" i="49"/>
  <c r="DL392" i="49"/>
  <c r="BJ333" i="49"/>
  <c r="BO9" i="49"/>
  <c r="BP9" i="49"/>
  <c r="BN9" i="49"/>
  <c r="BO10" i="49"/>
  <c r="BP10" i="49"/>
  <c r="BN10" i="49"/>
  <c r="BJ141" i="49"/>
  <c r="BJ428" i="49"/>
  <c r="BJ151" i="49"/>
  <c r="BJ56" i="49"/>
  <c r="AL385" i="49"/>
  <c r="AL475" i="49"/>
  <c r="AL261" i="49"/>
  <c r="AL384" i="49"/>
  <c r="AL350" i="49"/>
  <c r="AL113" i="49"/>
  <c r="AP78" i="49"/>
  <c r="AL169" i="49"/>
  <c r="AP92" i="49"/>
  <c r="AP103" i="49"/>
  <c r="AP340" i="49"/>
  <c r="AL20" i="49"/>
  <c r="AL55" i="49"/>
  <c r="AL247" i="49"/>
  <c r="AL100" i="49"/>
  <c r="AL144" i="49"/>
  <c r="AL198" i="49"/>
  <c r="AL420" i="49"/>
  <c r="AL493" i="49"/>
  <c r="AL253" i="49"/>
  <c r="CN433" i="49"/>
  <c r="BO308" i="49"/>
  <c r="BP308" i="49"/>
  <c r="BN308" i="49"/>
  <c r="BO359" i="49"/>
  <c r="BP359" i="49"/>
  <c r="BN359" i="49"/>
  <c r="CN24" i="49"/>
  <c r="DL10" i="49"/>
  <c r="DI335" i="49"/>
  <c r="DJ335" i="49"/>
  <c r="DH335" i="49"/>
  <c r="BO492" i="49"/>
  <c r="BP492" i="49"/>
  <c r="BN492" i="49"/>
  <c r="BO320" i="49"/>
  <c r="BP320" i="49"/>
  <c r="BN320" i="49"/>
  <c r="CN256" i="49"/>
  <c r="BJ457" i="49"/>
  <c r="BJ323" i="49"/>
  <c r="BJ194" i="49"/>
  <c r="BJ316" i="49"/>
  <c r="BJ163" i="49"/>
  <c r="BJ315" i="49"/>
  <c r="BJ443" i="49"/>
  <c r="DE90" i="49"/>
  <c r="DF90" i="49"/>
  <c r="DE475" i="49"/>
  <c r="DF475" i="49"/>
  <c r="DE85" i="49"/>
  <c r="DF85" i="49"/>
  <c r="DE354" i="49"/>
  <c r="DF354" i="49"/>
  <c r="DE386" i="49"/>
  <c r="DF386" i="49"/>
  <c r="DE134" i="49"/>
  <c r="DF134" i="49"/>
  <c r="DE275" i="49"/>
  <c r="DF275" i="49"/>
  <c r="DE6" i="49"/>
  <c r="DF6" i="49"/>
  <c r="AM58" i="49"/>
  <c r="DE418" i="49"/>
  <c r="DF418" i="49"/>
  <c r="DE81" i="49"/>
  <c r="DF81" i="49"/>
  <c r="DI336" i="49"/>
  <c r="DJ336" i="49"/>
  <c r="DH336" i="49"/>
  <c r="DE106" i="49"/>
  <c r="DF106" i="49"/>
  <c r="DE312" i="49"/>
  <c r="DF312" i="49"/>
  <c r="DE146" i="49"/>
  <c r="DF146" i="49"/>
  <c r="DE119" i="49"/>
  <c r="DF119" i="49"/>
  <c r="DL64" i="49"/>
  <c r="AU465" i="49"/>
  <c r="DL293" i="49"/>
  <c r="DE179" i="49"/>
  <c r="DF179" i="49"/>
  <c r="DE358" i="49"/>
  <c r="DF358" i="49"/>
  <c r="DE77" i="49"/>
  <c r="DF77" i="49"/>
  <c r="DE445" i="49"/>
  <c r="DF445" i="49"/>
  <c r="DE490" i="49"/>
  <c r="DF490" i="49"/>
  <c r="DE120" i="49"/>
  <c r="DF120" i="49"/>
  <c r="DE195" i="49"/>
  <c r="DF195" i="49"/>
  <c r="DE121" i="49"/>
  <c r="DF121" i="49"/>
  <c r="BO441" i="49"/>
  <c r="BP441" i="49"/>
  <c r="BN441" i="49"/>
  <c r="BO12" i="49"/>
  <c r="BP12" i="49"/>
  <c r="BN12" i="49"/>
  <c r="DE55" i="49"/>
  <c r="DF55" i="49"/>
  <c r="DE305" i="49"/>
  <c r="DF305" i="49"/>
  <c r="DE496" i="49"/>
  <c r="DF496" i="49"/>
  <c r="DE373" i="49"/>
  <c r="DF373" i="49"/>
  <c r="DE87" i="49"/>
  <c r="DF87" i="49"/>
  <c r="DE24" i="49"/>
  <c r="DF24" i="49"/>
  <c r="DE292" i="49"/>
  <c r="DF292" i="49"/>
  <c r="DE167" i="49"/>
  <c r="DF167" i="49"/>
  <c r="DE447" i="49"/>
  <c r="DF447" i="49"/>
  <c r="DE256" i="49"/>
  <c r="DF256" i="49"/>
  <c r="DE48" i="49"/>
  <c r="DF48" i="49"/>
  <c r="DE400" i="49"/>
  <c r="DF400" i="49"/>
  <c r="DE152" i="49"/>
  <c r="DF152" i="49"/>
  <c r="DE382" i="49"/>
  <c r="DF382" i="49"/>
  <c r="DE346" i="49"/>
  <c r="DF346" i="49"/>
  <c r="DE57" i="49"/>
  <c r="DF57" i="49"/>
  <c r="DE331" i="49"/>
  <c r="DF331" i="49"/>
  <c r="DE172" i="49"/>
  <c r="DF172" i="49"/>
  <c r="DE471" i="49"/>
  <c r="DF471" i="49"/>
  <c r="DE295" i="49"/>
  <c r="DF295" i="49"/>
  <c r="DE127" i="49"/>
  <c r="DF127" i="49"/>
  <c r="BO65" i="49"/>
  <c r="BP65" i="49"/>
  <c r="BN65" i="49"/>
  <c r="BO180" i="49"/>
  <c r="BP180" i="49"/>
  <c r="BN180" i="49"/>
  <c r="DE96" i="49"/>
  <c r="DF96" i="49"/>
  <c r="DE49" i="49"/>
  <c r="DF49" i="49"/>
  <c r="DE385" i="49"/>
  <c r="DF385" i="49"/>
  <c r="DE20" i="49"/>
  <c r="DF20" i="49"/>
  <c r="DE461" i="49"/>
  <c r="DF461" i="49"/>
  <c r="DE128" i="49"/>
  <c r="DF128" i="49"/>
  <c r="DE351" i="49"/>
  <c r="DF351" i="49"/>
  <c r="DE296" i="49"/>
  <c r="DF296" i="49"/>
  <c r="AU440" i="49"/>
  <c r="DE76" i="49"/>
  <c r="DF76" i="49"/>
  <c r="DE314" i="49"/>
  <c r="DF314" i="49"/>
  <c r="DE159" i="49"/>
  <c r="DF159" i="49"/>
  <c r="DE360" i="49"/>
  <c r="DF360" i="49"/>
  <c r="DE43" i="49"/>
  <c r="DF43" i="49"/>
  <c r="DE277" i="49"/>
  <c r="DF277" i="49"/>
  <c r="DE217" i="49"/>
  <c r="DF217" i="49"/>
  <c r="AL90" i="49"/>
  <c r="AL233" i="49"/>
  <c r="AL358" i="49"/>
  <c r="AL307" i="49"/>
  <c r="AL339" i="49"/>
  <c r="AL51" i="49"/>
  <c r="AL54" i="49"/>
  <c r="AL57" i="49"/>
  <c r="AL15" i="49"/>
  <c r="AL180" i="49"/>
  <c r="AL383" i="49"/>
  <c r="AL461" i="49"/>
  <c r="AL165" i="49"/>
  <c r="AL214" i="49"/>
  <c r="AL454" i="49"/>
  <c r="AL7" i="49"/>
  <c r="AL457" i="49"/>
  <c r="AL129" i="49"/>
  <c r="BJ393" i="49"/>
  <c r="BJ93" i="49"/>
  <c r="BJ459" i="49"/>
  <c r="BJ54" i="49"/>
  <c r="BJ32" i="49"/>
  <c r="BK434" i="49"/>
  <c r="BL434" i="49"/>
  <c r="BJ434" i="49"/>
  <c r="BJ68" i="49"/>
  <c r="BJ133" i="49"/>
  <c r="BJ164" i="49"/>
  <c r="BJ267" i="49"/>
  <c r="BJ464" i="49"/>
  <c r="BJ274" i="49"/>
  <c r="BJ123" i="49"/>
  <c r="BJ384" i="49"/>
  <c r="BJ275" i="49"/>
  <c r="BJ414" i="49"/>
  <c r="BJ458" i="49"/>
  <c r="BK121" i="49"/>
  <c r="BL121" i="49"/>
  <c r="BJ121" i="49"/>
  <c r="BJ192" i="49"/>
  <c r="BJ61" i="49"/>
  <c r="BJ279" i="49"/>
  <c r="BJ43" i="49"/>
  <c r="BJ149" i="49"/>
  <c r="BJ178" i="49"/>
  <c r="BJ331" i="49"/>
  <c r="BJ493" i="49"/>
  <c r="DI494" i="49"/>
  <c r="DJ494" i="49"/>
  <c r="DH494" i="49"/>
  <c r="DI60" i="49"/>
  <c r="DJ60" i="49"/>
  <c r="DH60" i="49"/>
  <c r="BJ339" i="49"/>
  <c r="BJ71" i="49"/>
  <c r="BK335" i="49"/>
  <c r="BL335" i="49"/>
  <c r="BJ335" i="49"/>
  <c r="BJ282" i="49"/>
  <c r="BJ363" i="49"/>
  <c r="BJ413" i="49"/>
  <c r="BK340" i="49"/>
  <c r="BL340" i="49"/>
  <c r="BJ340" i="49"/>
  <c r="BJ30" i="49"/>
  <c r="BO470" i="49"/>
  <c r="BP470" i="49"/>
  <c r="BN470" i="49"/>
  <c r="DL434" i="49"/>
  <c r="BJ312" i="49"/>
  <c r="BJ39" i="49"/>
  <c r="BJ484" i="49"/>
  <c r="CN195" i="49"/>
  <c r="AL82" i="49"/>
  <c r="CN10" i="49"/>
  <c r="AL408" i="49"/>
  <c r="AP10" i="49"/>
  <c r="AL471" i="49"/>
  <c r="AL172" i="49"/>
  <c r="AP97" i="49"/>
  <c r="AL489" i="49"/>
  <c r="AL187" i="49"/>
  <c r="AL79" i="49"/>
  <c r="AL127" i="49"/>
  <c r="AP458" i="49"/>
  <c r="AL492" i="49"/>
  <c r="AL484" i="49"/>
  <c r="AL338" i="49"/>
  <c r="AL313" i="49"/>
  <c r="AL498" i="49"/>
  <c r="AL346" i="49"/>
  <c r="AL372" i="49"/>
  <c r="BJ16" i="49"/>
  <c r="BO432" i="49"/>
  <c r="BP432" i="49"/>
  <c r="BN432" i="49"/>
  <c r="BJ230" i="49"/>
  <c r="BJ51" i="49"/>
  <c r="BJ26" i="49"/>
  <c r="BJ324" i="49"/>
  <c r="BJ92" i="49"/>
  <c r="BJ253" i="49"/>
  <c r="BO439" i="49"/>
  <c r="BP439" i="49"/>
  <c r="BN439" i="49"/>
  <c r="DI341" i="49"/>
  <c r="DJ341" i="49"/>
  <c r="DH341" i="49"/>
  <c r="BO74" i="49"/>
  <c r="BP74" i="49"/>
  <c r="BN74" i="49"/>
  <c r="CN19" i="49"/>
  <c r="BO361" i="49"/>
  <c r="BP361" i="49"/>
  <c r="BN361" i="49"/>
  <c r="AL342" i="49"/>
  <c r="AL305" i="49"/>
  <c r="AL99" i="49"/>
  <c r="AL170" i="49"/>
  <c r="AL123" i="49"/>
  <c r="AL274" i="49"/>
  <c r="AL185" i="49"/>
  <c r="AL186" i="49"/>
  <c r="AL446" i="49"/>
  <c r="AL225" i="49"/>
  <c r="AL451" i="49"/>
  <c r="AL348" i="49"/>
  <c r="DL107" i="49"/>
  <c r="AL482" i="49"/>
  <c r="AL320" i="49"/>
  <c r="AL33" i="49"/>
  <c r="AL468" i="49"/>
  <c r="AL352" i="49"/>
  <c r="AL490" i="49"/>
  <c r="AL42" i="49"/>
  <c r="AL470" i="49"/>
  <c r="AL448" i="49"/>
  <c r="AL317" i="49"/>
  <c r="AL27" i="49"/>
  <c r="BL411" i="49"/>
  <c r="DL489" i="49"/>
  <c r="AU463" i="49"/>
  <c r="AL325" i="49"/>
  <c r="AL438" i="49"/>
  <c r="AL351" i="49"/>
  <c r="AL314" i="49"/>
  <c r="AL301" i="49"/>
  <c r="AL135" i="49"/>
  <c r="AL449" i="49"/>
  <c r="CN392" i="49"/>
  <c r="AP341" i="49"/>
  <c r="AP234" i="49"/>
  <c r="AL85" i="49"/>
  <c r="AL217" i="49"/>
  <c r="AL157" i="49"/>
  <c r="AL89" i="49"/>
  <c r="AL197" i="49"/>
  <c r="AL28" i="49"/>
  <c r="AL404" i="49"/>
  <c r="AL442" i="49"/>
  <c r="AP12" i="49"/>
  <c r="BJ101" i="49"/>
  <c r="BK110" i="49"/>
  <c r="BL110" i="49"/>
  <c r="BJ110" i="49"/>
  <c r="BJ325" i="49"/>
  <c r="BJ402" i="49"/>
  <c r="BJ76" i="49"/>
  <c r="BJ18" i="49"/>
  <c r="BJ44" i="49"/>
  <c r="BJ400" i="49"/>
  <c r="BJ311" i="49"/>
  <c r="BJ139" i="49"/>
  <c r="BJ351" i="49"/>
  <c r="BK45" i="49"/>
  <c r="BL45" i="49"/>
  <c r="BJ45" i="49"/>
  <c r="BJ468" i="49"/>
  <c r="BJ80" i="49"/>
  <c r="BJ454" i="49"/>
  <c r="BJ412" i="49"/>
  <c r="BJ349" i="49"/>
  <c r="BJ122" i="49"/>
  <c r="BJ260" i="49"/>
  <c r="BJ427" i="49"/>
  <c r="BJ306" i="49"/>
  <c r="BJ485" i="49"/>
  <c r="BJ127" i="49"/>
  <c r="BJ87" i="49"/>
  <c r="BO429" i="49"/>
  <c r="BP429" i="49"/>
  <c r="BN429" i="49"/>
  <c r="AP31" i="49"/>
  <c r="BJ281" i="49"/>
  <c r="BJ366" i="49"/>
  <c r="BJ300" i="49"/>
  <c r="BJ20" i="49"/>
  <c r="BJ474" i="49"/>
  <c r="BJ15" i="49"/>
  <c r="DL97" i="49"/>
  <c r="BJ116" i="49"/>
  <c r="BJ162" i="49"/>
  <c r="BJ313" i="49"/>
  <c r="BO34" i="49"/>
  <c r="BP34" i="49"/>
  <c r="BN34" i="49"/>
  <c r="DL41" i="49"/>
  <c r="BJ251" i="49"/>
  <c r="BJ338" i="49"/>
  <c r="BJ227" i="49"/>
  <c r="DI337" i="49"/>
  <c r="DJ337" i="49"/>
  <c r="DH337" i="49"/>
  <c r="DI491" i="49"/>
  <c r="DJ491" i="49"/>
  <c r="DH491" i="49"/>
  <c r="BO96" i="49"/>
  <c r="BP96" i="49"/>
  <c r="BN96" i="49"/>
  <c r="BI500" i="49"/>
  <c r="BI2" i="49"/>
  <c r="BK5" i="49"/>
  <c r="BL5" i="49"/>
  <c r="BJ5" i="49"/>
  <c r="BJ305" i="49"/>
  <c r="BJ21" i="49"/>
  <c r="DE218" i="49"/>
  <c r="DF218" i="49"/>
  <c r="DE393" i="49"/>
  <c r="DF393" i="49"/>
  <c r="DE72" i="49"/>
  <c r="DF72" i="49"/>
  <c r="DE453" i="49"/>
  <c r="DF453" i="49"/>
  <c r="DE307" i="49"/>
  <c r="DF307" i="49"/>
  <c r="DE449" i="49"/>
  <c r="DF449" i="49"/>
  <c r="DE122" i="49"/>
  <c r="DF122" i="49"/>
  <c r="DE323" i="49"/>
  <c r="DF323" i="49"/>
  <c r="DE19" i="49"/>
  <c r="DF19" i="49"/>
  <c r="BO129" i="49"/>
  <c r="BP129" i="49"/>
  <c r="BN129" i="49"/>
  <c r="DE207" i="49"/>
  <c r="DF207" i="49"/>
  <c r="DE200" i="49"/>
  <c r="DF200" i="49"/>
  <c r="DE317" i="49"/>
  <c r="DF317" i="49"/>
  <c r="DE268" i="49"/>
  <c r="DF268" i="49"/>
  <c r="DE267" i="49"/>
  <c r="DF267" i="49"/>
  <c r="DE125" i="49"/>
  <c r="DF125" i="49"/>
  <c r="DE492" i="49"/>
  <c r="DF492" i="49"/>
  <c r="BO450" i="49"/>
  <c r="BP450" i="49"/>
  <c r="BN450" i="49"/>
  <c r="AS34" i="49"/>
  <c r="DE154" i="49"/>
  <c r="DF154" i="49"/>
  <c r="DE78" i="49"/>
  <c r="DF78" i="49"/>
  <c r="DE84" i="49"/>
  <c r="DF84" i="49"/>
  <c r="DE457" i="49"/>
  <c r="DF457" i="49"/>
  <c r="DE144" i="49"/>
  <c r="DF144" i="49"/>
  <c r="DE349" i="49"/>
  <c r="DF349" i="49"/>
  <c r="DE215" i="49"/>
  <c r="DF215" i="49"/>
  <c r="DE395" i="49"/>
  <c r="DF395" i="49"/>
  <c r="DE37" i="49"/>
  <c r="DF37" i="49"/>
  <c r="BO236" i="49"/>
  <c r="BP236" i="49"/>
  <c r="BN236" i="49"/>
  <c r="DE30" i="49"/>
  <c r="DF30" i="49"/>
  <c r="DE54" i="49"/>
  <c r="DF54" i="49"/>
  <c r="DE17" i="49"/>
  <c r="DF17" i="49"/>
  <c r="DE470" i="49"/>
  <c r="DF470" i="49"/>
  <c r="DL73" i="49"/>
  <c r="DE163" i="49"/>
  <c r="DF163" i="49"/>
  <c r="DE333" i="49"/>
  <c r="DF333" i="49"/>
  <c r="DE124" i="49"/>
  <c r="DF124" i="49"/>
  <c r="DE435" i="49"/>
  <c r="DF435" i="49"/>
  <c r="DE365" i="49"/>
  <c r="DF365" i="49"/>
  <c r="DE136" i="49"/>
  <c r="DF136" i="49"/>
  <c r="BO94" i="49"/>
  <c r="BP94" i="49"/>
  <c r="BN94" i="49"/>
  <c r="DE252" i="49"/>
  <c r="DF252" i="49"/>
  <c r="DE372" i="49"/>
  <c r="DF372" i="49"/>
  <c r="DE460" i="49"/>
  <c r="DF460" i="49"/>
  <c r="DE414" i="49"/>
  <c r="DF414" i="49"/>
  <c r="DE260" i="49"/>
  <c r="DF260" i="49"/>
  <c r="DE132" i="49"/>
  <c r="DF132" i="49"/>
  <c r="DE366" i="49"/>
  <c r="DF366" i="49"/>
  <c r="DE436" i="49"/>
  <c r="DF436" i="49"/>
  <c r="DE162" i="49"/>
  <c r="DF162" i="49"/>
  <c r="DE33" i="49"/>
  <c r="DF33" i="49"/>
  <c r="DE265" i="49"/>
  <c r="DF265" i="49"/>
  <c r="DE316" i="49"/>
  <c r="DF316" i="49"/>
  <c r="DE481" i="49"/>
  <c r="DF481" i="49"/>
  <c r="DE352" i="49"/>
  <c r="DF352" i="49"/>
  <c r="DE274" i="49"/>
  <c r="DF274" i="49"/>
  <c r="DE174" i="49"/>
  <c r="DF174" i="49"/>
  <c r="DE348" i="49"/>
  <c r="DF348" i="49"/>
  <c r="DE367" i="49"/>
  <c r="DF367" i="49"/>
  <c r="DE149" i="49"/>
  <c r="DF149" i="49"/>
  <c r="DE185" i="49"/>
  <c r="DF185" i="49"/>
  <c r="DL117" i="49"/>
  <c r="CH330" i="49"/>
  <c r="CI330" i="49"/>
  <c r="AM330" i="49"/>
  <c r="DG330" i="49"/>
  <c r="CH203" i="49"/>
  <c r="CI203" i="49"/>
  <c r="CJ203" i="49"/>
  <c r="CH110" i="49"/>
  <c r="CI110" i="49"/>
  <c r="CJ110" i="49"/>
  <c r="DG204" i="49"/>
  <c r="DG203" i="49"/>
  <c r="AM203" i="49"/>
  <c r="CH204" i="49"/>
  <c r="CI204" i="49"/>
  <c r="BO221" i="49"/>
  <c r="BP221" i="49"/>
  <c r="BQ221" i="49"/>
  <c r="BR221" i="49"/>
  <c r="BN221" i="49"/>
  <c r="AT18" i="49"/>
  <c r="BQ52" i="49"/>
  <c r="BM477" i="49"/>
  <c r="BM436" i="49"/>
  <c r="BM41" i="49"/>
  <c r="BM5" i="49"/>
  <c r="BM110" i="49"/>
  <c r="BQ47" i="49"/>
  <c r="BM364" i="49"/>
  <c r="BQ34" i="49"/>
  <c r="BM45" i="49"/>
  <c r="BQ226" i="49"/>
  <c r="BM336" i="49"/>
  <c r="BM341" i="49"/>
  <c r="BQ171" i="49"/>
  <c r="BQ236" i="49"/>
  <c r="BQ129" i="49"/>
  <c r="BM72" i="49"/>
  <c r="BM489" i="49"/>
  <c r="DK337" i="49"/>
  <c r="AM27" i="49"/>
  <c r="AM448" i="49"/>
  <c r="AM42" i="49"/>
  <c r="AM352" i="49"/>
  <c r="AM33" i="49"/>
  <c r="AM482" i="49"/>
  <c r="AM348" i="49"/>
  <c r="AM225" i="49"/>
  <c r="AM186" i="49"/>
  <c r="AM274" i="49"/>
  <c r="AM170" i="49"/>
  <c r="AM305" i="49"/>
  <c r="BQ74" i="49"/>
  <c r="BQ439" i="49"/>
  <c r="BQ432" i="49"/>
  <c r="AM372" i="49"/>
  <c r="AM498" i="49"/>
  <c r="AM338" i="49"/>
  <c r="AM492" i="49"/>
  <c r="AM127" i="49"/>
  <c r="AM187" i="49"/>
  <c r="AR97" i="49"/>
  <c r="AS97" i="49"/>
  <c r="AQ97" i="49"/>
  <c r="AM471" i="49"/>
  <c r="AM408" i="49"/>
  <c r="AM82" i="49"/>
  <c r="BQ470" i="49"/>
  <c r="BM340" i="49"/>
  <c r="BM335" i="49"/>
  <c r="DK494" i="49"/>
  <c r="AM457" i="49"/>
  <c r="AM454" i="49"/>
  <c r="AM165" i="49"/>
  <c r="AM383" i="49"/>
  <c r="AM15" i="49"/>
  <c r="AM54" i="49"/>
  <c r="AM339" i="49"/>
  <c r="AM358" i="49"/>
  <c r="AM90" i="49"/>
  <c r="DG360" i="49"/>
  <c r="DG128" i="49"/>
  <c r="DG49" i="49"/>
  <c r="BQ180" i="49"/>
  <c r="DG127" i="49"/>
  <c r="DG331" i="49"/>
  <c r="DG152" i="49"/>
  <c r="DG447" i="49"/>
  <c r="DG87" i="49"/>
  <c r="DG55" i="49"/>
  <c r="DG195" i="49"/>
  <c r="DG77" i="49"/>
  <c r="DG106" i="49"/>
  <c r="BQ362" i="49"/>
  <c r="DG134" i="49"/>
  <c r="DG475" i="49"/>
  <c r="CO256" i="49"/>
  <c r="DK335" i="49"/>
  <c r="AM452" i="49"/>
  <c r="AM70" i="49"/>
  <c r="AM26" i="49"/>
  <c r="AM334" i="49"/>
  <c r="AM190" i="49"/>
  <c r="DK342" i="49"/>
  <c r="BQ247" i="49"/>
  <c r="AM412" i="49"/>
  <c r="AM363" i="49"/>
  <c r="AM43" i="49"/>
  <c r="AM166" i="49"/>
  <c r="AM72" i="49"/>
  <c r="AM122" i="49"/>
  <c r="AM115" i="49"/>
  <c r="AM14" i="49"/>
  <c r="AM245" i="49"/>
  <c r="AM61" i="49"/>
  <c r="AM349" i="49"/>
  <c r="AM205" i="49"/>
  <c r="AM81" i="49"/>
  <c r="DG310" i="49"/>
  <c r="DG311" i="49"/>
  <c r="DG42" i="49"/>
  <c r="DG140" i="49"/>
  <c r="DG27" i="49"/>
  <c r="DG155" i="49"/>
  <c r="DG15" i="49"/>
  <c r="DG458" i="49"/>
  <c r="DG131" i="49"/>
  <c r="DG427" i="49"/>
  <c r="DG388" i="49"/>
  <c r="DG319" i="49"/>
  <c r="DG199" i="49"/>
  <c r="DG430" i="49"/>
  <c r="DG83" i="49"/>
  <c r="DG69" i="49"/>
  <c r="DG257" i="49"/>
  <c r="DG39" i="49"/>
  <c r="DG438" i="49"/>
  <c r="DG211" i="49"/>
  <c r="DG325" i="49"/>
  <c r="DG95" i="49"/>
  <c r="DG338" i="49"/>
  <c r="DG164" i="49"/>
  <c r="DG363" i="49"/>
  <c r="DG66" i="49"/>
  <c r="DG368" i="49"/>
  <c r="DG23" i="49"/>
  <c r="DG29" i="49"/>
  <c r="DG297" i="49"/>
  <c r="DG113" i="49"/>
  <c r="DG139" i="49"/>
  <c r="DG334" i="49"/>
  <c r="DG142" i="49"/>
  <c r="DG157" i="49"/>
  <c r="DG266" i="49"/>
  <c r="DG148" i="49"/>
  <c r="DG112" i="49"/>
  <c r="AM52" i="49"/>
  <c r="AM386" i="49"/>
  <c r="AM189" i="49"/>
  <c r="AM413" i="49"/>
  <c r="AM382" i="49"/>
  <c r="AM219" i="49"/>
  <c r="AM322" i="49"/>
  <c r="AR23" i="49"/>
  <c r="AS23" i="49"/>
  <c r="AQ23" i="49"/>
  <c r="AM266" i="49"/>
  <c r="AM240" i="49"/>
  <c r="AM354" i="49"/>
  <c r="DG210" i="49"/>
  <c r="DG343" i="49"/>
  <c r="DG384" i="49"/>
  <c r="DG412" i="49"/>
  <c r="DG114" i="49"/>
  <c r="DG241" i="49"/>
  <c r="DG47" i="49"/>
  <c r="DG50" i="49"/>
  <c r="DG108" i="49"/>
  <c r="DG158" i="49"/>
  <c r="DG390" i="49"/>
  <c r="DG8" i="49"/>
  <c r="DG51" i="49"/>
  <c r="DK56" i="49"/>
  <c r="AM483" i="49"/>
  <c r="AM156" i="49"/>
  <c r="AM111" i="49"/>
  <c r="AM163" i="49"/>
  <c r="AM478" i="49"/>
  <c r="AM486" i="49"/>
  <c r="AM311" i="49"/>
  <c r="CH290" i="49"/>
  <c r="CI290" i="49"/>
  <c r="CH61" i="49"/>
  <c r="CI61" i="49"/>
  <c r="CH460" i="49"/>
  <c r="CI460" i="49"/>
  <c r="CH38" i="49"/>
  <c r="CI38" i="49"/>
  <c r="CH408" i="49"/>
  <c r="CI408" i="49"/>
  <c r="CH234" i="49"/>
  <c r="CI234" i="49"/>
  <c r="CH471" i="49"/>
  <c r="CI471" i="49"/>
  <c r="CH261" i="49"/>
  <c r="CI261" i="49"/>
  <c r="CH49" i="49"/>
  <c r="CI49" i="49"/>
  <c r="CH148" i="49"/>
  <c r="CI148" i="49"/>
  <c r="CH131" i="49"/>
  <c r="CI131" i="49"/>
  <c r="CH250" i="49"/>
  <c r="CI250" i="49"/>
  <c r="CH117" i="49"/>
  <c r="CI117" i="49"/>
  <c r="CH139" i="49"/>
  <c r="CI139" i="49"/>
  <c r="CH235" i="49"/>
  <c r="CI235" i="49"/>
  <c r="CH428" i="49"/>
  <c r="CI428" i="49"/>
  <c r="CH72" i="49"/>
  <c r="CI72" i="49"/>
  <c r="CH253" i="49"/>
  <c r="CI253" i="49"/>
  <c r="CH280" i="49"/>
  <c r="CI280" i="49"/>
  <c r="CH446" i="49"/>
  <c r="CI446" i="49"/>
  <c r="CH140" i="49"/>
  <c r="CI140" i="49"/>
  <c r="CH200" i="49"/>
  <c r="CI200" i="49"/>
  <c r="CH334" i="49"/>
  <c r="CI334" i="49"/>
  <c r="CH273" i="49"/>
  <c r="CI273" i="49"/>
  <c r="CH448" i="49"/>
  <c r="CI448" i="49"/>
  <c r="CH368" i="49"/>
  <c r="CI368" i="49"/>
  <c r="CH327" i="49"/>
  <c r="CI327" i="49"/>
  <c r="CH367" i="49"/>
  <c r="CI367" i="49"/>
  <c r="CH141" i="49"/>
  <c r="CI141" i="49"/>
  <c r="CH155" i="49"/>
  <c r="CI155" i="49"/>
  <c r="CH180" i="49"/>
  <c r="CI180" i="49"/>
  <c r="CH306" i="49"/>
  <c r="CI306" i="49"/>
  <c r="CH226" i="49"/>
  <c r="CI226" i="49"/>
  <c r="CH249" i="49"/>
  <c r="CI249" i="49"/>
  <c r="CH79" i="49"/>
  <c r="CI79" i="49"/>
  <c r="CH16" i="49"/>
  <c r="CI16" i="49"/>
  <c r="CH485" i="49"/>
  <c r="CI485" i="49"/>
  <c r="CH173" i="49"/>
  <c r="CI173" i="49"/>
  <c r="CH43" i="49"/>
  <c r="CI43" i="49"/>
  <c r="CH298" i="49"/>
  <c r="CI298" i="49"/>
  <c r="CH214" i="49"/>
  <c r="CI214" i="49"/>
  <c r="CH191" i="49"/>
  <c r="CI191" i="49"/>
  <c r="CH143" i="49"/>
  <c r="CI143" i="49"/>
  <c r="CH219" i="49"/>
  <c r="CI219" i="49"/>
  <c r="CH125" i="49"/>
  <c r="CI125" i="49"/>
  <c r="CH120" i="49"/>
  <c r="CI120" i="49"/>
  <c r="CH360" i="49"/>
  <c r="CI360" i="49"/>
  <c r="CH444" i="49"/>
  <c r="CI444" i="49"/>
  <c r="CH52" i="49"/>
  <c r="CI52" i="49"/>
  <c r="CH337" i="49"/>
  <c r="CI337" i="49"/>
  <c r="CH268" i="49"/>
  <c r="CI268" i="49"/>
  <c r="CH162" i="49"/>
  <c r="CI162" i="49"/>
  <c r="CH409" i="49"/>
  <c r="CI409" i="49"/>
  <c r="CH227" i="49"/>
  <c r="CI227" i="49"/>
  <c r="CH451" i="49"/>
  <c r="CI451" i="49"/>
  <c r="CH333" i="49"/>
  <c r="CI333" i="49"/>
  <c r="CH318" i="49"/>
  <c r="CI318" i="49"/>
  <c r="CH55" i="49"/>
  <c r="CI55" i="49"/>
  <c r="CH454" i="49"/>
  <c r="CI454" i="49"/>
  <c r="CH300" i="49"/>
  <c r="CI300" i="49"/>
  <c r="CH395" i="49"/>
  <c r="CI395" i="49"/>
  <c r="CH386" i="49"/>
  <c r="CI386" i="49"/>
  <c r="CH161" i="49"/>
  <c r="CI161" i="49"/>
  <c r="CH26" i="49"/>
  <c r="CI26" i="49"/>
  <c r="CH136" i="49"/>
  <c r="CI136" i="49"/>
  <c r="CH354" i="49"/>
  <c r="CI354" i="49"/>
  <c r="CH160" i="49"/>
  <c r="CI160" i="49"/>
  <c r="CH379" i="49"/>
  <c r="CI379" i="49"/>
  <c r="CH352" i="49"/>
  <c r="CI352" i="49"/>
  <c r="CH394" i="49"/>
  <c r="CI394" i="49"/>
  <c r="CH436" i="49"/>
  <c r="CI436" i="49"/>
  <c r="CH245" i="49"/>
  <c r="CI245" i="49"/>
  <c r="CH241" i="49"/>
  <c r="CI241" i="49"/>
  <c r="CH468" i="49"/>
  <c r="CI468" i="49"/>
  <c r="CH260" i="49"/>
  <c r="CI260" i="49"/>
  <c r="CH385" i="49"/>
  <c r="CI385" i="49"/>
  <c r="CH90" i="49"/>
  <c r="CI90" i="49"/>
  <c r="CH39" i="49"/>
  <c r="CI39" i="49"/>
  <c r="CH336" i="49"/>
  <c r="CI336" i="49"/>
  <c r="CH489" i="49"/>
  <c r="CI489" i="49"/>
  <c r="CH28" i="49"/>
  <c r="CI28" i="49"/>
  <c r="CH218" i="49"/>
  <c r="CI218" i="49"/>
  <c r="CH123" i="49"/>
  <c r="CI123" i="49"/>
  <c r="CH445" i="49"/>
  <c r="CI445" i="49"/>
  <c r="CH142" i="49"/>
  <c r="CI142" i="49"/>
  <c r="CH60" i="49"/>
  <c r="CI60" i="49"/>
  <c r="CH108" i="49"/>
  <c r="CI108" i="49"/>
  <c r="CH423" i="49"/>
  <c r="CI423" i="49"/>
  <c r="CH382" i="49"/>
  <c r="CI382" i="49"/>
  <c r="CH184" i="49"/>
  <c r="CI184" i="49"/>
  <c r="CH86" i="49"/>
  <c r="CI86" i="49"/>
  <c r="CH127" i="49"/>
  <c r="CI127" i="49"/>
  <c r="CH339" i="49"/>
  <c r="CI339" i="49"/>
  <c r="CH274" i="49"/>
  <c r="CI274" i="49"/>
  <c r="CH210" i="49"/>
  <c r="CI210" i="49"/>
  <c r="CH366" i="49"/>
  <c r="CI366" i="49"/>
  <c r="CH380" i="49"/>
  <c r="CI380" i="49"/>
  <c r="CH357" i="49"/>
  <c r="CI357" i="49"/>
  <c r="CH484" i="49"/>
  <c r="CI484" i="49"/>
  <c r="CH390" i="49"/>
  <c r="CI390" i="49"/>
  <c r="CH29" i="49"/>
  <c r="CI29" i="49"/>
  <c r="CH282" i="49"/>
  <c r="CI282" i="49"/>
  <c r="CH292" i="49"/>
  <c r="CI292" i="49"/>
  <c r="CH383" i="49"/>
  <c r="CI383" i="49"/>
  <c r="CH96" i="49"/>
  <c r="CI96" i="49"/>
  <c r="CH109" i="49"/>
  <c r="CI109" i="49"/>
  <c r="CH271" i="49"/>
  <c r="CI271" i="49"/>
  <c r="CH9" i="49"/>
  <c r="CI9" i="49"/>
  <c r="CH473" i="49"/>
  <c r="CI473" i="49"/>
  <c r="CH134" i="49"/>
  <c r="CI134" i="49"/>
  <c r="CH377" i="49"/>
  <c r="CI377" i="49"/>
  <c r="CH342" i="49"/>
  <c r="CI342" i="49"/>
  <c r="CH478" i="49"/>
  <c r="CI478" i="49"/>
  <c r="CH190" i="49"/>
  <c r="CI190" i="49"/>
  <c r="CH115" i="49"/>
  <c r="CI115" i="49"/>
  <c r="CH27" i="49"/>
  <c r="CI27" i="49"/>
  <c r="CH189" i="49"/>
  <c r="CI189" i="49"/>
  <c r="CH169" i="49"/>
  <c r="CI169" i="49"/>
  <c r="CH50" i="49"/>
  <c r="CI50" i="49"/>
  <c r="CH174" i="49"/>
  <c r="CI174" i="49"/>
  <c r="CH242" i="49"/>
  <c r="CI242" i="49"/>
  <c r="CH322" i="49"/>
  <c r="CI322" i="49"/>
  <c r="CH437" i="49"/>
  <c r="CI437" i="49"/>
  <c r="CH47" i="49"/>
  <c r="CI47" i="49"/>
  <c r="CH165" i="49"/>
  <c r="CI165" i="49"/>
  <c r="CH277" i="49"/>
  <c r="CI277" i="49"/>
  <c r="CH153" i="49"/>
  <c r="CI153" i="49"/>
  <c r="CH393" i="49"/>
  <c r="CI393" i="49"/>
  <c r="CH267" i="49"/>
  <c r="CI267" i="49"/>
  <c r="CH316" i="49"/>
  <c r="CI316" i="49"/>
  <c r="CH233" i="49"/>
  <c r="CI233" i="49"/>
  <c r="CH51" i="49"/>
  <c r="CI51" i="49"/>
  <c r="CH301" i="49"/>
  <c r="CI301" i="49"/>
  <c r="CH427" i="49"/>
  <c r="CI427" i="49"/>
  <c r="CH122" i="49"/>
  <c r="CI122" i="49"/>
  <c r="CH187" i="49"/>
  <c r="CI187" i="49"/>
  <c r="CH404" i="49"/>
  <c r="CI404" i="49"/>
  <c r="CH320" i="49"/>
  <c r="CI320" i="49"/>
  <c r="CH13" i="49"/>
  <c r="CI13" i="49"/>
  <c r="CH358" i="49"/>
  <c r="CI358" i="49"/>
  <c r="CH467" i="49"/>
  <c r="CI467" i="49"/>
  <c r="CH351" i="49"/>
  <c r="CI351" i="49"/>
  <c r="CH100" i="49"/>
  <c r="CI100" i="49"/>
  <c r="CH104" i="49"/>
  <c r="CI104" i="49"/>
  <c r="CH150" i="49"/>
  <c r="CI150" i="49"/>
  <c r="CH197" i="49"/>
  <c r="CI197" i="49"/>
  <c r="CH91" i="49"/>
  <c r="CI91" i="49"/>
  <c r="CH341" i="49"/>
  <c r="CI341" i="49"/>
  <c r="CH329" i="49"/>
  <c r="CI329" i="49"/>
  <c r="CH486" i="49"/>
  <c r="CI486" i="49"/>
  <c r="CH361" i="49"/>
  <c r="CI361" i="49"/>
  <c r="CH138" i="49"/>
  <c r="CI138" i="49"/>
  <c r="CH179" i="49"/>
  <c r="CI179" i="49"/>
  <c r="CH346" i="49"/>
  <c r="CI346" i="49"/>
  <c r="CH111" i="49"/>
  <c r="CI111" i="49"/>
  <c r="CH198" i="49"/>
  <c r="CI198" i="49"/>
  <c r="CH348" i="49"/>
  <c r="CI348" i="49"/>
  <c r="CH455" i="49"/>
  <c r="CI455" i="49"/>
  <c r="CH321" i="49"/>
  <c r="CI321" i="49"/>
  <c r="CH30" i="49"/>
  <c r="CI30" i="49"/>
  <c r="CH313" i="49"/>
  <c r="CI313" i="49"/>
  <c r="AM252" i="49"/>
  <c r="AM481" i="49"/>
  <c r="AM86" i="49"/>
  <c r="AM441" i="49"/>
  <c r="AM154" i="49"/>
  <c r="CH82" i="49"/>
  <c r="CI82" i="49"/>
  <c r="CO31" i="49"/>
  <c r="CH208" i="49"/>
  <c r="CI208" i="49"/>
  <c r="CH42" i="49"/>
  <c r="CI42" i="49"/>
  <c r="CH299" i="49"/>
  <c r="CI299" i="49"/>
  <c r="CH482" i="49"/>
  <c r="CI482" i="49"/>
  <c r="CH494" i="49"/>
  <c r="CI494" i="49"/>
  <c r="CH78" i="49"/>
  <c r="CI78" i="49"/>
  <c r="CH439" i="49"/>
  <c r="CI439" i="49"/>
  <c r="CH326" i="49"/>
  <c r="CI326" i="49"/>
  <c r="CH135" i="49"/>
  <c r="CI135" i="49"/>
  <c r="CH224" i="49"/>
  <c r="CI224" i="49"/>
  <c r="CH470" i="49"/>
  <c r="CI470" i="49"/>
  <c r="CH66" i="49"/>
  <c r="CI66" i="49"/>
  <c r="CH83" i="49"/>
  <c r="CI83" i="49"/>
  <c r="AR105" i="49"/>
  <c r="AS105" i="49"/>
  <c r="AQ105" i="49"/>
  <c r="CH183" i="49"/>
  <c r="CI183" i="49"/>
  <c r="CH312" i="49"/>
  <c r="CI312" i="49"/>
  <c r="CH430" i="49"/>
  <c r="CI430" i="49"/>
  <c r="CH105" i="49"/>
  <c r="CI105" i="49"/>
  <c r="CH119" i="49"/>
  <c r="CI119" i="49"/>
  <c r="CH158" i="49"/>
  <c r="CI158" i="49"/>
  <c r="CH490" i="49"/>
  <c r="CI490" i="49"/>
  <c r="CH57" i="49"/>
  <c r="CI57" i="49"/>
  <c r="CH144" i="49"/>
  <c r="CI144" i="49"/>
  <c r="CH178" i="49"/>
  <c r="CI178" i="49"/>
  <c r="CH487" i="49"/>
  <c r="CI487" i="49"/>
  <c r="CH475" i="49"/>
  <c r="CI475" i="49"/>
  <c r="CH303" i="49"/>
  <c r="CI303" i="49"/>
  <c r="CO67" i="49"/>
  <c r="CH124" i="49"/>
  <c r="CI124" i="49"/>
  <c r="CH99" i="49"/>
  <c r="CI99" i="49"/>
  <c r="CH54" i="49"/>
  <c r="CI54" i="49"/>
  <c r="CH438" i="49"/>
  <c r="CI438" i="49"/>
  <c r="CH164" i="49"/>
  <c r="CI164" i="49"/>
  <c r="CH279" i="49"/>
  <c r="CI279" i="49"/>
  <c r="CH492" i="49"/>
  <c r="CI492" i="49"/>
  <c r="DH86" i="49"/>
  <c r="CH89" i="49"/>
  <c r="CI89" i="49"/>
  <c r="CH266" i="49"/>
  <c r="CI266" i="49"/>
  <c r="CH413" i="49"/>
  <c r="CI413" i="49"/>
  <c r="CO45" i="49"/>
  <c r="CH308" i="49"/>
  <c r="CI308" i="49"/>
  <c r="CH118" i="49"/>
  <c r="CI118" i="49"/>
  <c r="CH69" i="49"/>
  <c r="CI69" i="49"/>
  <c r="CH196" i="49"/>
  <c r="CI196" i="49"/>
  <c r="CH146" i="49"/>
  <c r="CI146" i="49"/>
  <c r="CH167" i="49"/>
  <c r="CI167" i="49"/>
  <c r="CH295" i="49"/>
  <c r="CI295" i="49"/>
  <c r="CH93" i="49"/>
  <c r="CI93" i="49"/>
  <c r="BQ188" i="49"/>
  <c r="DG136" i="49"/>
  <c r="BQ12" i="49"/>
  <c r="DG125" i="49"/>
  <c r="DG185" i="49"/>
  <c r="DG260" i="49"/>
  <c r="DG163" i="49"/>
  <c r="DG154" i="49"/>
  <c r="DK336" i="49"/>
  <c r="DG393" i="49"/>
  <c r="DK491" i="49"/>
  <c r="AR12" i="49"/>
  <c r="AS12" i="49"/>
  <c r="AQ12" i="49"/>
  <c r="AM404" i="49"/>
  <c r="AM197" i="49"/>
  <c r="AM157" i="49"/>
  <c r="AM85" i="49"/>
  <c r="AR341" i="49"/>
  <c r="AS341" i="49"/>
  <c r="AQ341" i="49"/>
  <c r="AM449" i="49"/>
  <c r="AM301" i="49"/>
  <c r="AM351" i="49"/>
  <c r="AM325" i="49"/>
  <c r="BM411" i="49"/>
  <c r="CO19" i="49"/>
  <c r="BQ25" i="49"/>
  <c r="BQ302" i="49"/>
  <c r="DK60" i="49"/>
  <c r="BM121" i="49"/>
  <c r="BM434" i="49"/>
  <c r="DG217" i="49"/>
  <c r="DG159" i="49"/>
  <c r="DG461" i="49"/>
  <c r="DG96" i="49"/>
  <c r="DG295" i="49"/>
  <c r="DG57" i="49"/>
  <c r="DG400" i="49"/>
  <c r="DG167" i="49"/>
  <c r="DG373" i="49"/>
  <c r="DG120" i="49"/>
  <c r="DG358" i="49"/>
  <c r="DG119" i="49"/>
  <c r="DG81" i="49"/>
  <c r="DG386" i="49"/>
  <c r="DG90" i="49"/>
  <c r="CO24" i="49"/>
  <c r="CO433" i="49"/>
  <c r="AN493" i="49"/>
  <c r="AO493" i="49"/>
  <c r="AM493" i="49"/>
  <c r="AM198" i="49"/>
  <c r="AM100" i="49"/>
  <c r="AM55" i="49"/>
  <c r="AR340" i="49"/>
  <c r="AS340" i="49"/>
  <c r="AQ340" i="49"/>
  <c r="AR92" i="49"/>
  <c r="AS92" i="49"/>
  <c r="AQ92" i="49"/>
  <c r="AR78" i="49"/>
  <c r="AS78" i="49"/>
  <c r="AQ78" i="49"/>
  <c r="AM350" i="49"/>
  <c r="AM261" i="49"/>
  <c r="AM385" i="49"/>
  <c r="BQ28" i="49"/>
  <c r="AM162" i="49"/>
  <c r="AM357" i="49"/>
  <c r="AM365" i="49"/>
  <c r="AM377" i="49"/>
  <c r="AM390" i="49"/>
  <c r="AM243" i="49"/>
  <c r="BQ131" i="49"/>
  <c r="AM250" i="49"/>
  <c r="AR25" i="49"/>
  <c r="AS25" i="49"/>
  <c r="AQ25" i="49"/>
  <c r="AM435" i="49"/>
  <c r="AM148" i="49"/>
  <c r="AM158" i="49"/>
  <c r="AM380" i="49"/>
  <c r="AM323" i="49"/>
  <c r="AM50" i="49"/>
  <c r="AM373" i="49"/>
  <c r="DG484" i="49"/>
  <c r="DG410" i="49"/>
  <c r="DG320" i="49"/>
  <c r="DG38" i="49"/>
  <c r="DG92" i="49"/>
  <c r="DG437" i="49"/>
  <c r="DG301" i="49"/>
  <c r="DG379" i="49"/>
  <c r="DG130" i="49"/>
  <c r="DG408" i="49"/>
  <c r="DG115" i="49"/>
  <c r="DG220" i="49"/>
  <c r="DG248" i="49"/>
  <c r="DG227" i="49"/>
  <c r="DG278" i="49"/>
  <c r="CO37" i="49"/>
  <c r="DG133" i="49"/>
  <c r="DG478" i="49"/>
  <c r="DG361" i="49"/>
  <c r="DG201" i="49"/>
  <c r="DG485" i="49"/>
  <c r="DG486" i="49"/>
  <c r="DG13" i="49"/>
  <c r="DG89" i="49"/>
  <c r="DG110" i="49"/>
  <c r="DG150" i="49"/>
  <c r="DG225" i="49"/>
  <c r="DG498" i="49"/>
  <c r="DG208" i="49"/>
  <c r="DG450" i="49"/>
  <c r="DG184" i="49"/>
  <c r="DG153" i="49"/>
  <c r="DG75" i="49"/>
  <c r="DG36" i="49"/>
  <c r="DG180" i="49"/>
  <c r="DG318" i="49"/>
  <c r="DG14" i="49"/>
  <c r="DG44" i="49"/>
  <c r="DG160" i="49"/>
  <c r="AM164" i="49"/>
  <c r="AM96" i="49"/>
  <c r="AM215" i="49"/>
  <c r="AM388" i="49"/>
  <c r="AM143" i="49"/>
  <c r="AM130" i="49"/>
  <c r="AM138" i="49"/>
  <c r="AM427" i="49"/>
  <c r="AM140" i="49"/>
  <c r="AM155" i="49"/>
  <c r="AM134" i="49"/>
  <c r="AM196" i="49"/>
  <c r="AM192" i="49"/>
  <c r="AM410" i="49"/>
  <c r="AU36" i="49"/>
  <c r="AN312" i="49"/>
  <c r="AO312" i="49"/>
  <c r="AM312" i="49"/>
  <c r="AR107" i="49"/>
  <c r="AS107" i="49"/>
  <c r="AQ107" i="49"/>
  <c r="CO18" i="49"/>
  <c r="AM321" i="49"/>
  <c r="AM108" i="49"/>
  <c r="AM126" i="49"/>
  <c r="AM88" i="49"/>
  <c r="AM106" i="49"/>
  <c r="AM437" i="49"/>
  <c r="AM153" i="49"/>
  <c r="AM117" i="49"/>
  <c r="AM131" i="49"/>
  <c r="AM271" i="49"/>
  <c r="AM152" i="49"/>
  <c r="DG118" i="49"/>
  <c r="DG423" i="49"/>
  <c r="DG143" i="49"/>
  <c r="DG178" i="49"/>
  <c r="DG425" i="49"/>
  <c r="DG419" i="49"/>
  <c r="DG306" i="49"/>
  <c r="DG91" i="49"/>
  <c r="DG444" i="49"/>
  <c r="DG308" i="49"/>
  <c r="DG93" i="49"/>
  <c r="DG192" i="49"/>
  <c r="DG240" i="49"/>
  <c r="DG245" i="49"/>
  <c r="CO420" i="49"/>
  <c r="CO35" i="49"/>
  <c r="AM167" i="49"/>
  <c r="AM102" i="49"/>
  <c r="AM139" i="49"/>
  <c r="AM319" i="49"/>
  <c r="AR110" i="49"/>
  <c r="AS110" i="49"/>
  <c r="AQ110" i="49"/>
  <c r="AM69" i="49"/>
  <c r="AM278" i="49"/>
  <c r="AM409" i="49"/>
  <c r="AM400" i="49"/>
  <c r="AM39" i="49"/>
  <c r="AM48" i="49"/>
  <c r="AM194" i="49"/>
  <c r="AM174" i="49"/>
  <c r="AR22" i="49"/>
  <c r="AS22" i="49"/>
  <c r="AQ22" i="49"/>
  <c r="AR436" i="49"/>
  <c r="AS436" i="49"/>
  <c r="AQ436" i="49"/>
  <c r="AM227" i="49"/>
  <c r="AM331" i="49"/>
  <c r="AM118" i="49"/>
  <c r="CO74" i="49"/>
  <c r="AM423" i="49"/>
  <c r="CO36" i="49"/>
  <c r="AM460" i="49"/>
  <c r="AM8" i="49"/>
  <c r="CO434" i="49"/>
  <c r="AM343" i="49"/>
  <c r="AM49" i="49"/>
  <c r="CH453" i="49"/>
  <c r="CI453" i="49"/>
  <c r="CO65" i="49"/>
  <c r="AR67" i="49"/>
  <c r="AS67" i="49"/>
  <c r="AQ67" i="49"/>
  <c r="AR128" i="49"/>
  <c r="AS128" i="49"/>
  <c r="AQ128" i="49"/>
  <c r="CH338" i="49"/>
  <c r="CI338" i="49"/>
  <c r="CH425" i="49"/>
  <c r="CI425" i="49"/>
  <c r="CH211" i="49"/>
  <c r="CI211" i="49"/>
  <c r="CH106" i="49"/>
  <c r="CI106" i="49"/>
  <c r="CH84" i="49"/>
  <c r="CI84" i="49"/>
  <c r="CH293" i="49"/>
  <c r="CI293" i="49"/>
  <c r="CH410" i="49"/>
  <c r="CI410" i="49"/>
  <c r="CH481" i="49"/>
  <c r="CI481" i="49"/>
  <c r="CH88" i="49"/>
  <c r="CI88" i="49"/>
  <c r="CH324" i="49"/>
  <c r="CI324" i="49"/>
  <c r="AR353" i="49"/>
  <c r="AS353" i="49"/>
  <c r="AQ353" i="49"/>
  <c r="CH248" i="49"/>
  <c r="CI248" i="49"/>
  <c r="CH85" i="49"/>
  <c r="CI85" i="49"/>
  <c r="CH170" i="49"/>
  <c r="CI170" i="49"/>
  <c r="CH349" i="49"/>
  <c r="CI349" i="49"/>
  <c r="CH340" i="49"/>
  <c r="CI340" i="49"/>
  <c r="CH262" i="49"/>
  <c r="CI262" i="49"/>
  <c r="CH278" i="49"/>
  <c r="CI278" i="49"/>
  <c r="CH199" i="49"/>
  <c r="CI199" i="49"/>
  <c r="CH70" i="49"/>
  <c r="CI70" i="49"/>
  <c r="CH384" i="49"/>
  <c r="CI384" i="49"/>
  <c r="CH498" i="49"/>
  <c r="CI498" i="49"/>
  <c r="CH356" i="49"/>
  <c r="CI356" i="49"/>
  <c r="CH296" i="49"/>
  <c r="CI296" i="49"/>
  <c r="CH220" i="49"/>
  <c r="CI220" i="49"/>
  <c r="AR24" i="49"/>
  <c r="AS24" i="49"/>
  <c r="AQ24" i="49"/>
  <c r="CH188" i="49"/>
  <c r="CI188" i="49"/>
  <c r="CH442" i="49"/>
  <c r="CI442" i="49"/>
  <c r="CH75" i="49"/>
  <c r="CI75" i="49"/>
  <c r="CH402" i="49"/>
  <c r="CI402" i="49"/>
  <c r="CH172" i="49"/>
  <c r="CI172" i="49"/>
  <c r="CH373" i="49"/>
  <c r="CI373" i="49"/>
  <c r="CH14" i="49"/>
  <c r="CI14" i="49"/>
  <c r="AR414" i="49"/>
  <c r="AS414" i="49"/>
  <c r="AQ414" i="49"/>
  <c r="CO73" i="49"/>
  <c r="CO103" i="49"/>
  <c r="CH388" i="49"/>
  <c r="CI388" i="49"/>
  <c r="CH152" i="49"/>
  <c r="CI152" i="49"/>
  <c r="CH8" i="49"/>
  <c r="CI8" i="49"/>
  <c r="CH113" i="49"/>
  <c r="CI113" i="49"/>
  <c r="AR335" i="49"/>
  <c r="AS335" i="49"/>
  <c r="AQ335" i="49"/>
  <c r="AR46" i="49"/>
  <c r="AS46" i="49"/>
  <c r="AQ46" i="49"/>
  <c r="CH166" i="49"/>
  <c r="CI166" i="49"/>
  <c r="CH265" i="49"/>
  <c r="CI265" i="49"/>
  <c r="AU40" i="49"/>
  <c r="CH121" i="49"/>
  <c r="CI121" i="49"/>
  <c r="CH215" i="49"/>
  <c r="CI215" i="49"/>
  <c r="AR45" i="49"/>
  <c r="AS45" i="49"/>
  <c r="AQ45" i="49"/>
  <c r="DG132" i="49"/>
  <c r="BQ11" i="49"/>
  <c r="DG470" i="49"/>
  <c r="DG78" i="49"/>
  <c r="DG122" i="49"/>
  <c r="BQ73" i="49"/>
  <c r="DG460" i="49"/>
  <c r="DG365" i="49"/>
  <c r="BQ441" i="49"/>
  <c r="DG267" i="49"/>
  <c r="DG449" i="49"/>
  <c r="DG149" i="49"/>
  <c r="DG274" i="49"/>
  <c r="DG352" i="49"/>
  <c r="DG316" i="49"/>
  <c r="DG436" i="49"/>
  <c r="DG414" i="49"/>
  <c r="DG372" i="49"/>
  <c r="DG435" i="49"/>
  <c r="DG54" i="49"/>
  <c r="DG395" i="49"/>
  <c r="DG457" i="49"/>
  <c r="BQ319" i="49"/>
  <c r="BQ450" i="49"/>
  <c r="DG268" i="49"/>
  <c r="DG207" i="49"/>
  <c r="DG19" i="49"/>
  <c r="DG307" i="49"/>
  <c r="DG218" i="49"/>
  <c r="BJ500" i="49"/>
  <c r="BJ2" i="49"/>
  <c r="BQ96" i="49"/>
  <c r="BQ429" i="49"/>
  <c r="BM353" i="49"/>
  <c r="AM317" i="49"/>
  <c r="AM470" i="49"/>
  <c r="AM490" i="49"/>
  <c r="AM468" i="49"/>
  <c r="AM320" i="49"/>
  <c r="AM451" i="49"/>
  <c r="AM446" i="49"/>
  <c r="AM185" i="49"/>
  <c r="AM123" i="49"/>
  <c r="AM99" i="49"/>
  <c r="AM342" i="49"/>
  <c r="BQ361" i="49"/>
  <c r="BM342" i="49"/>
  <c r="AM346" i="49"/>
  <c r="AM313" i="49"/>
  <c r="AM484" i="49"/>
  <c r="AR458" i="49"/>
  <c r="AS458" i="49"/>
  <c r="AQ458" i="49"/>
  <c r="AM79" i="49"/>
  <c r="AM489" i="49"/>
  <c r="AM172" i="49"/>
  <c r="AR10" i="49"/>
  <c r="AS10" i="49"/>
  <c r="AQ10" i="49"/>
  <c r="CO10" i="49"/>
  <c r="CO195" i="49"/>
  <c r="BQ148" i="49"/>
  <c r="AM129" i="49"/>
  <c r="AM7" i="49"/>
  <c r="AM214" i="49"/>
  <c r="AM461" i="49"/>
  <c r="AM180" i="49"/>
  <c r="AM57" i="49"/>
  <c r="AM51" i="49"/>
  <c r="AM307" i="49"/>
  <c r="AM233" i="49"/>
  <c r="DG277" i="49"/>
  <c r="DG314" i="49"/>
  <c r="DG296" i="49"/>
  <c r="DG20" i="49"/>
  <c r="DG471" i="49"/>
  <c r="DG346" i="49"/>
  <c r="DG48" i="49"/>
  <c r="DG292" i="49"/>
  <c r="DG496" i="49"/>
  <c r="DG490" i="49"/>
  <c r="DG179" i="49"/>
  <c r="DG146" i="49"/>
  <c r="DG418" i="49"/>
  <c r="DG6" i="49"/>
  <c r="DG354" i="49"/>
  <c r="BQ9" i="49"/>
  <c r="BM107" i="49"/>
  <c r="AM224" i="49"/>
  <c r="AM473" i="49"/>
  <c r="AM281" i="49"/>
  <c r="AM248" i="49"/>
  <c r="AM29" i="49"/>
  <c r="AM38" i="49"/>
  <c r="BQ355" i="49"/>
  <c r="BM128" i="49"/>
  <c r="CO23" i="49"/>
  <c r="BQ433" i="49"/>
  <c r="AM44" i="49"/>
  <c r="AM315" i="49"/>
  <c r="AM9" i="49"/>
  <c r="AM333" i="49"/>
  <c r="AM76" i="49"/>
  <c r="AM47" i="49"/>
  <c r="AM66" i="49"/>
  <c r="AM337" i="49"/>
  <c r="AM326" i="49"/>
  <c r="AM368" i="49"/>
  <c r="AN74" i="49"/>
  <c r="AO74" i="49"/>
  <c r="AM74" i="49"/>
  <c r="AM295" i="49"/>
  <c r="DG441" i="49"/>
  <c r="DG455" i="49"/>
  <c r="DG380" i="49"/>
  <c r="DG233" i="49"/>
  <c r="DG88" i="49"/>
  <c r="DG440" i="49"/>
  <c r="DG300" i="49"/>
  <c r="DG413" i="49"/>
  <c r="DG156" i="49"/>
  <c r="DG468" i="49"/>
  <c r="DG428" i="49"/>
  <c r="DG28" i="49"/>
  <c r="DG357" i="49"/>
  <c r="DG214" i="49"/>
  <c r="DG463" i="49"/>
  <c r="DG26" i="49"/>
  <c r="DG126" i="49"/>
  <c r="DG170" i="49"/>
  <c r="DG196" i="49"/>
  <c r="DG79" i="49"/>
  <c r="DG219" i="49"/>
  <c r="DG243" i="49"/>
  <c r="DG303" i="49"/>
  <c r="DG247" i="49"/>
  <c r="DG145" i="49"/>
  <c r="DG169" i="49"/>
  <c r="DG209" i="49"/>
  <c r="DG224" i="49"/>
  <c r="DG111" i="49"/>
  <c r="DG129" i="49"/>
  <c r="DG187" i="49"/>
  <c r="DG324" i="49"/>
  <c r="DG487" i="49"/>
  <c r="DG313" i="49"/>
  <c r="DG322" i="49"/>
  <c r="DG315" i="49"/>
  <c r="DG99" i="49"/>
  <c r="DG135" i="49"/>
  <c r="DG186" i="49"/>
  <c r="AM146" i="49"/>
  <c r="AR73" i="49"/>
  <c r="AS73" i="49"/>
  <c r="AQ73" i="49"/>
  <c r="AM428" i="49"/>
  <c r="AM310" i="49"/>
  <c r="AM150" i="49"/>
  <c r="AR11" i="49"/>
  <c r="AS11" i="49"/>
  <c r="AQ11" i="49"/>
  <c r="AM160" i="49"/>
  <c r="AR336" i="49"/>
  <c r="AS336" i="49"/>
  <c r="AQ336" i="49"/>
  <c r="AM277" i="49"/>
  <c r="AN491" i="49"/>
  <c r="AO491" i="49"/>
  <c r="AM491" i="49"/>
  <c r="DG70" i="49"/>
  <c r="DG411" i="49"/>
  <c r="DG102" i="49"/>
  <c r="DG383" i="49"/>
  <c r="DG165" i="49"/>
  <c r="DG191" i="49"/>
  <c r="DG59" i="49"/>
  <c r="DG183" i="49"/>
  <c r="DG451" i="49"/>
  <c r="DG249" i="49"/>
  <c r="DG104" i="49"/>
  <c r="BQ376" i="49"/>
  <c r="AM459" i="49"/>
  <c r="AM303" i="49"/>
  <c r="AM318" i="49"/>
  <c r="AM173" i="49"/>
  <c r="AM161" i="49"/>
  <c r="AM184" i="49"/>
  <c r="AM13" i="49"/>
  <c r="AM56" i="49"/>
  <c r="AM84" i="49"/>
  <c r="AM316" i="49"/>
  <c r="AM275" i="49"/>
  <c r="AM393" i="49"/>
  <c r="AM83" i="49"/>
  <c r="CH372" i="49"/>
  <c r="CI372" i="49"/>
  <c r="CH496" i="49"/>
  <c r="CI496" i="49"/>
  <c r="CH156" i="49"/>
  <c r="CI156" i="49"/>
  <c r="CK110" i="49"/>
  <c r="CH59" i="49"/>
  <c r="CI59" i="49"/>
  <c r="AR19" i="49"/>
  <c r="AS19" i="49"/>
  <c r="AQ19" i="49"/>
  <c r="CH331" i="49"/>
  <c r="CI331" i="49"/>
  <c r="CH315" i="49"/>
  <c r="CI315" i="49"/>
  <c r="CH449" i="49"/>
  <c r="CI449" i="49"/>
  <c r="CH81" i="49"/>
  <c r="CI81" i="49"/>
  <c r="CH163" i="49"/>
  <c r="CI163" i="49"/>
  <c r="CH133" i="49"/>
  <c r="CI133" i="49"/>
  <c r="CH457" i="49"/>
  <c r="CI457" i="49"/>
  <c r="CO116" i="49"/>
  <c r="CH7" i="49"/>
  <c r="CI7" i="49"/>
  <c r="CH44" i="49"/>
  <c r="CI44" i="49"/>
  <c r="CH94" i="49"/>
  <c r="CI94" i="49"/>
  <c r="CH365" i="49"/>
  <c r="CI365" i="49"/>
  <c r="CH252" i="49"/>
  <c r="CI252" i="49"/>
  <c r="CH225" i="49"/>
  <c r="CI225" i="49"/>
  <c r="CO97" i="49"/>
  <c r="CH325" i="49"/>
  <c r="CI325" i="49"/>
  <c r="CH483" i="49"/>
  <c r="CI483" i="49"/>
  <c r="CH126" i="49"/>
  <c r="CI126" i="49"/>
  <c r="AR179" i="49"/>
  <c r="AS179" i="49"/>
  <c r="AQ179" i="49"/>
  <c r="CH145" i="49"/>
  <c r="CI145" i="49"/>
  <c r="AR65" i="49"/>
  <c r="AS65" i="49"/>
  <c r="AQ65" i="49"/>
  <c r="CH15" i="49"/>
  <c r="CI15" i="49"/>
  <c r="CH185" i="49"/>
  <c r="CI185" i="49"/>
  <c r="CH378" i="49"/>
  <c r="CI378" i="49"/>
  <c r="CH157" i="49"/>
  <c r="CI157" i="49"/>
  <c r="CH305" i="49"/>
  <c r="CI305" i="49"/>
  <c r="CH431" i="49"/>
  <c r="CI431" i="49"/>
  <c r="CH201" i="49"/>
  <c r="CI201" i="49"/>
  <c r="CH56" i="49"/>
  <c r="CI56" i="49"/>
  <c r="AR41" i="49"/>
  <c r="AS41" i="49"/>
  <c r="AQ41" i="49"/>
  <c r="CH477" i="49"/>
  <c r="CI477" i="49"/>
  <c r="CH247" i="49"/>
  <c r="CI247" i="49"/>
  <c r="CH461" i="49"/>
  <c r="CI461" i="49"/>
  <c r="CH323" i="49"/>
  <c r="CI323" i="49"/>
  <c r="CH77" i="49"/>
  <c r="CI77" i="49"/>
  <c r="AR434" i="49"/>
  <c r="AS434" i="49"/>
  <c r="AQ434" i="49"/>
  <c r="CH87" i="49"/>
  <c r="CI87" i="49"/>
  <c r="CH21" i="49"/>
  <c r="CI21" i="49"/>
  <c r="CH149" i="49"/>
  <c r="CI149" i="49"/>
  <c r="CH363" i="49"/>
  <c r="CI363" i="49"/>
  <c r="CH129" i="49"/>
  <c r="CI129" i="49"/>
  <c r="CH102" i="49"/>
  <c r="CI102" i="49"/>
  <c r="CH207" i="49"/>
  <c r="CI207" i="49"/>
  <c r="CH114" i="49"/>
  <c r="CI114" i="49"/>
  <c r="CH400" i="49"/>
  <c r="CI400" i="49"/>
  <c r="CH92" i="49"/>
  <c r="CI92" i="49"/>
  <c r="CH64" i="49"/>
  <c r="CI64" i="49"/>
  <c r="CH20" i="49"/>
  <c r="CI20" i="49"/>
  <c r="DG348" i="49"/>
  <c r="DG33" i="49"/>
  <c r="BQ350" i="49"/>
  <c r="DG333" i="49"/>
  <c r="DG349" i="49"/>
  <c r="DG200" i="49"/>
  <c r="DG72" i="49"/>
  <c r="DG174" i="49"/>
  <c r="DG162" i="49"/>
  <c r="DG17" i="49"/>
  <c r="DG144" i="49"/>
  <c r="DG367" i="49"/>
  <c r="DG481" i="49"/>
  <c r="DG265" i="49"/>
  <c r="DG366" i="49"/>
  <c r="BQ70" i="49"/>
  <c r="DG252" i="49"/>
  <c r="BQ94" i="49"/>
  <c r="DG124" i="49"/>
  <c r="DG30" i="49"/>
  <c r="DG37" i="49"/>
  <c r="DG215" i="49"/>
  <c r="DG84" i="49"/>
  <c r="AT34" i="49"/>
  <c r="DG492" i="49"/>
  <c r="DG317" i="49"/>
  <c r="DG323" i="49"/>
  <c r="DG453" i="49"/>
  <c r="BQ492" i="49"/>
  <c r="BQ359" i="49"/>
  <c r="AR31" i="49"/>
  <c r="AS31" i="49"/>
  <c r="AQ31" i="49"/>
  <c r="AM442" i="49"/>
  <c r="AM28" i="49"/>
  <c r="AM89" i="49"/>
  <c r="AM217" i="49"/>
  <c r="AR234" i="49"/>
  <c r="AS234" i="49"/>
  <c r="AQ234" i="49"/>
  <c r="CO392" i="49"/>
  <c r="AM135" i="49"/>
  <c r="AM314" i="49"/>
  <c r="AM438" i="49"/>
  <c r="BQ17" i="49"/>
  <c r="DK341" i="49"/>
  <c r="AT5" i="49"/>
  <c r="BQ475" i="49"/>
  <c r="DG43" i="49"/>
  <c r="DG76" i="49"/>
  <c r="DG351" i="49"/>
  <c r="DG385" i="49"/>
  <c r="BQ65" i="49"/>
  <c r="DG172" i="49"/>
  <c r="DG382" i="49"/>
  <c r="DG256" i="49"/>
  <c r="DG24" i="49"/>
  <c r="DG305" i="49"/>
  <c r="DG121" i="49"/>
  <c r="DG445" i="49"/>
  <c r="DG312" i="49"/>
  <c r="DG275" i="49"/>
  <c r="DG85" i="49"/>
  <c r="BQ320" i="49"/>
  <c r="BQ308" i="49"/>
  <c r="AM253" i="49"/>
  <c r="AM420" i="49"/>
  <c r="AM144" i="49"/>
  <c r="AM247" i="49"/>
  <c r="AM20" i="49"/>
  <c r="AR103" i="49"/>
  <c r="AS103" i="49"/>
  <c r="AQ103" i="49"/>
  <c r="AM169" i="49"/>
  <c r="AM113" i="49"/>
  <c r="AM384" i="49"/>
  <c r="AM475" i="49"/>
  <c r="BQ10" i="49"/>
  <c r="AM477" i="49"/>
  <c r="AM395" i="49"/>
  <c r="AM487" i="49"/>
  <c r="AM485" i="49"/>
  <c r="AM201" i="49"/>
  <c r="AM149" i="49"/>
  <c r="AM121" i="49"/>
  <c r="CO5" i="49"/>
  <c r="CO68" i="49"/>
  <c r="AR94" i="49"/>
  <c r="AS94" i="49"/>
  <c r="AQ94" i="49"/>
  <c r="AM235" i="49"/>
  <c r="AM444" i="49"/>
  <c r="AM208" i="49"/>
  <c r="AM356" i="49"/>
  <c r="AM183" i="49"/>
  <c r="AM132" i="49"/>
  <c r="AM59" i="49"/>
  <c r="AL6" i="49"/>
  <c r="AK500" i="49"/>
  <c r="AK2" i="49"/>
  <c r="BQ431" i="49"/>
  <c r="DG205" i="49"/>
  <c r="DG197" i="49"/>
  <c r="DG138" i="49"/>
  <c r="DG442" i="49"/>
  <c r="DG109" i="49"/>
  <c r="DG250" i="49"/>
  <c r="DG473" i="49"/>
  <c r="DG52" i="49"/>
  <c r="DG166" i="49"/>
  <c r="DG448" i="49"/>
  <c r="BQ471" i="49"/>
  <c r="DG188" i="49"/>
  <c r="DG61" i="49"/>
  <c r="CO25" i="49"/>
  <c r="DG100" i="49"/>
  <c r="DG194" i="49"/>
  <c r="DG235" i="49"/>
  <c r="DG454" i="49"/>
  <c r="DG446" i="49"/>
  <c r="DG94" i="49"/>
  <c r="DG404" i="49"/>
  <c r="DG493" i="49"/>
  <c r="DG173" i="49"/>
  <c r="DG350" i="49"/>
  <c r="DG82" i="49"/>
  <c r="DG198" i="49"/>
  <c r="DG299" i="49"/>
  <c r="DG271" i="49"/>
  <c r="DG234" i="49"/>
  <c r="DG190" i="49"/>
  <c r="DG279" i="49"/>
  <c r="DG339" i="49"/>
  <c r="DG261" i="49"/>
  <c r="DG356" i="49"/>
  <c r="DG321" i="49"/>
  <c r="DG189" i="49"/>
  <c r="DG439" i="49"/>
  <c r="DG326" i="49"/>
  <c r="AM68" i="49"/>
  <c r="AM112" i="49"/>
  <c r="AM21" i="49"/>
  <c r="AM133" i="49"/>
  <c r="AM16" i="49"/>
  <c r="AM120" i="49"/>
  <c r="AM306" i="49"/>
  <c r="AM95" i="49"/>
  <c r="AM77" i="49"/>
  <c r="AM64" i="49"/>
  <c r="AM199" i="49"/>
  <c r="AM379" i="49"/>
  <c r="AM450" i="49"/>
  <c r="CO12" i="49"/>
  <c r="CO11" i="49"/>
  <c r="AM159" i="49"/>
  <c r="AM125" i="49"/>
  <c r="AM142" i="49"/>
  <c r="AM439" i="49"/>
  <c r="AM496" i="49"/>
  <c r="AM361" i="49"/>
  <c r="AM447" i="49"/>
  <c r="AR494" i="49"/>
  <c r="AS494" i="49"/>
  <c r="AQ494" i="49"/>
  <c r="AM299" i="49"/>
  <c r="AM93" i="49"/>
  <c r="AM360" i="49"/>
  <c r="AM75" i="49"/>
  <c r="AM124" i="49"/>
  <c r="AM145" i="49"/>
  <c r="AM200" i="49"/>
  <c r="CO32" i="49"/>
  <c r="AM265" i="49"/>
  <c r="DG123" i="49"/>
  <c r="DG101" i="49"/>
  <c r="DG141" i="49"/>
  <c r="DG377" i="49"/>
  <c r="DG290" i="49"/>
  <c r="DG409" i="49"/>
  <c r="DG281" i="49"/>
  <c r="DG161" i="49"/>
  <c r="DG253" i="49"/>
  <c r="AR35" i="49"/>
  <c r="AS35" i="49"/>
  <c r="AQ35" i="49"/>
  <c r="DE500" i="49"/>
  <c r="DE2" i="49"/>
  <c r="DF5" i="49"/>
  <c r="AR37" i="49"/>
  <c r="AS37" i="49"/>
  <c r="AQ37" i="49"/>
  <c r="AM425" i="49"/>
  <c r="AM218" i="49"/>
  <c r="AM30" i="49"/>
  <c r="AM220" i="49"/>
  <c r="AM101" i="49"/>
  <c r="AM104" i="49"/>
  <c r="AM453" i="49"/>
  <c r="AM292" i="49"/>
  <c r="AM87" i="49"/>
  <c r="AM268" i="49"/>
  <c r="AM17" i="49"/>
  <c r="AM455" i="49"/>
  <c r="AM60" i="49"/>
  <c r="AM136" i="49"/>
  <c r="AM296" i="49"/>
  <c r="AM267" i="49"/>
  <c r="AM430" i="49"/>
  <c r="AR91" i="49"/>
  <c r="AS91" i="49"/>
  <c r="AQ91" i="49"/>
  <c r="AM109" i="49"/>
  <c r="AM141" i="49"/>
  <c r="AM119" i="49"/>
  <c r="AR209" i="49"/>
  <c r="AS209" i="49"/>
  <c r="AQ209" i="49"/>
  <c r="AM114" i="49"/>
  <c r="AM445" i="49"/>
  <c r="AM324" i="49"/>
  <c r="AM290" i="49"/>
  <c r="DK340" i="49"/>
  <c r="CH6" i="49"/>
  <c r="DK58" i="49"/>
  <c r="CH450" i="49"/>
  <c r="CI450" i="49"/>
  <c r="CH307" i="49"/>
  <c r="CI307" i="49"/>
  <c r="AR367" i="49"/>
  <c r="AS367" i="49"/>
  <c r="AQ367" i="49"/>
  <c r="CH311" i="49"/>
  <c r="CI311" i="49"/>
  <c r="CH159" i="49"/>
  <c r="CI159" i="49"/>
  <c r="CH419" i="49"/>
  <c r="CI419" i="49"/>
  <c r="CH314" i="49"/>
  <c r="CI314" i="49"/>
  <c r="CH281" i="49"/>
  <c r="CI281" i="49"/>
  <c r="CH319" i="49"/>
  <c r="CI319" i="49"/>
  <c r="CH154" i="49"/>
  <c r="CI154" i="49"/>
  <c r="CH112" i="49"/>
  <c r="CI112" i="49"/>
  <c r="CH205" i="49"/>
  <c r="CI205" i="49"/>
  <c r="CH186" i="49"/>
  <c r="CI186" i="49"/>
  <c r="CH240" i="49"/>
  <c r="CI240" i="49"/>
  <c r="CH243" i="49"/>
  <c r="CI243" i="49"/>
  <c r="CH132" i="49"/>
  <c r="CI132" i="49"/>
  <c r="AR433" i="49"/>
  <c r="AS433" i="49"/>
  <c r="AQ433" i="49"/>
  <c r="CH48" i="49"/>
  <c r="CI48" i="49"/>
  <c r="CH194" i="49"/>
  <c r="CI194" i="49"/>
  <c r="CH275" i="49"/>
  <c r="CI275" i="49"/>
  <c r="CH192" i="49"/>
  <c r="CI192" i="49"/>
  <c r="CH350" i="49"/>
  <c r="CI350" i="49"/>
  <c r="CH335" i="49"/>
  <c r="CI335" i="49"/>
  <c r="AR32" i="49"/>
  <c r="AS32" i="49"/>
  <c r="AQ32" i="49"/>
  <c r="CO458" i="49"/>
  <c r="CH414" i="49"/>
  <c r="CI414" i="49"/>
  <c r="CH447" i="49"/>
  <c r="CI447" i="49"/>
  <c r="CH491" i="49"/>
  <c r="CI491" i="49"/>
  <c r="AR366" i="49"/>
  <c r="AS366" i="49"/>
  <c r="AQ366" i="49"/>
  <c r="CH310" i="49"/>
  <c r="CI310" i="49"/>
  <c r="CH58" i="49"/>
  <c r="CI58" i="49"/>
  <c r="CH435" i="49"/>
  <c r="CI435" i="49"/>
  <c r="CH33" i="49"/>
  <c r="CI33" i="49"/>
  <c r="CH17" i="49"/>
  <c r="CI17" i="49"/>
  <c r="CH130" i="49"/>
  <c r="CI130" i="49"/>
  <c r="CH101" i="49"/>
  <c r="CI101" i="49"/>
  <c r="CO98" i="49"/>
  <c r="CH209" i="49"/>
  <c r="CI209" i="49"/>
  <c r="CO107" i="49"/>
  <c r="CH441" i="49"/>
  <c r="CI441" i="49"/>
  <c r="CH217" i="49"/>
  <c r="CI217" i="49"/>
  <c r="CH493" i="49"/>
  <c r="CI493" i="49"/>
  <c r="CH317" i="49"/>
  <c r="CI317" i="49"/>
  <c r="CH412" i="49"/>
  <c r="CI412" i="49"/>
  <c r="CH76" i="49"/>
  <c r="CI76" i="49"/>
  <c r="CH343" i="49"/>
  <c r="CI343" i="49"/>
  <c r="CH128" i="49"/>
  <c r="CI128" i="49"/>
  <c r="CH95" i="49"/>
  <c r="CI95" i="49"/>
  <c r="AR116" i="49"/>
  <c r="AS116" i="49"/>
  <c r="AQ116" i="49"/>
  <c r="AR98" i="49"/>
  <c r="AS98" i="49"/>
  <c r="AQ98" i="49"/>
  <c r="BK204" i="49"/>
  <c r="BL204" i="49"/>
  <c r="BM204" i="49"/>
  <c r="BK330" i="49"/>
  <c r="BL330" i="49"/>
  <c r="DH330" i="49"/>
  <c r="CJ330" i="49"/>
  <c r="BK203" i="49"/>
  <c r="BL203" i="49"/>
  <c r="DH204" i="49"/>
  <c r="CJ204" i="49"/>
  <c r="DH203" i="49"/>
  <c r="CK203" i="49"/>
  <c r="BK95" i="49"/>
  <c r="BL95" i="49"/>
  <c r="BM95" i="49"/>
  <c r="BK56" i="49"/>
  <c r="BL56" i="49"/>
  <c r="BM56" i="49"/>
  <c r="BO56" i="49"/>
  <c r="BP56" i="49"/>
  <c r="BK58" i="49"/>
  <c r="BL58" i="49"/>
  <c r="BM58" i="49"/>
  <c r="BK468" i="49"/>
  <c r="BL468" i="49"/>
  <c r="BM468" i="49"/>
  <c r="BK246" i="49"/>
  <c r="BL246" i="49"/>
  <c r="BM246" i="49"/>
  <c r="BK290" i="49"/>
  <c r="BL290" i="49"/>
  <c r="BM290" i="49"/>
  <c r="BK212" i="49"/>
  <c r="BL212" i="49"/>
  <c r="BM212" i="49"/>
  <c r="BK231" i="49"/>
  <c r="BL231" i="49"/>
  <c r="BM231" i="49"/>
  <c r="BK294" i="49"/>
  <c r="BL294" i="49"/>
  <c r="BM294" i="49"/>
  <c r="BK216" i="49"/>
  <c r="BL216" i="49"/>
  <c r="BM216" i="49"/>
  <c r="BK304" i="49"/>
  <c r="BL304" i="49"/>
  <c r="BM304" i="49"/>
  <c r="BN304" i="49"/>
  <c r="BK178" i="49"/>
  <c r="BL178" i="49"/>
  <c r="BM178" i="49"/>
  <c r="BN178" i="49"/>
  <c r="BK259" i="49"/>
  <c r="BL259" i="49"/>
  <c r="BK223" i="49"/>
  <c r="BL223" i="49"/>
  <c r="BM223" i="49"/>
  <c r="BK283" i="49"/>
  <c r="BL283" i="49"/>
  <c r="BM283" i="49"/>
  <c r="BK256" i="49"/>
  <c r="BL256" i="49"/>
  <c r="BK168" i="49"/>
  <c r="BL168" i="49"/>
  <c r="BK222" i="49"/>
  <c r="BL222" i="49"/>
  <c r="BM222" i="49"/>
  <c r="BK228" i="49"/>
  <c r="BL228" i="49"/>
  <c r="BM228" i="49"/>
  <c r="BK229" i="49"/>
  <c r="BL229" i="49"/>
  <c r="BM229" i="49"/>
  <c r="BN229" i="49"/>
  <c r="BK298" i="49"/>
  <c r="BL298" i="49"/>
  <c r="BM298" i="49"/>
  <c r="BK241" i="49"/>
  <c r="BL241" i="49"/>
  <c r="BM241" i="49"/>
  <c r="BN241" i="49"/>
  <c r="AT32" i="49"/>
  <c r="AT19" i="49"/>
  <c r="AT116" i="49"/>
  <c r="AT37" i="49"/>
  <c r="AT35" i="49"/>
  <c r="AT494" i="49"/>
  <c r="AT41" i="49"/>
  <c r="AT24" i="49"/>
  <c r="AT128" i="49"/>
  <c r="AT433" i="49"/>
  <c r="AT434" i="49"/>
  <c r="AT103" i="49"/>
  <c r="AT65" i="49"/>
  <c r="AT67" i="49"/>
  <c r="AT367" i="49"/>
  <c r="AT179" i="49"/>
  <c r="AT46" i="49"/>
  <c r="AT366" i="49"/>
  <c r="AT335" i="49"/>
  <c r="AT414" i="49"/>
  <c r="AT98" i="49"/>
  <c r="CJ76" i="49"/>
  <c r="CJ209" i="49"/>
  <c r="CJ130" i="49"/>
  <c r="CJ275" i="49"/>
  <c r="CJ240" i="49"/>
  <c r="CJ419" i="49"/>
  <c r="CJ95" i="49"/>
  <c r="CJ412" i="49"/>
  <c r="CJ441" i="49"/>
  <c r="CJ17" i="49"/>
  <c r="CJ310" i="49"/>
  <c r="CJ491" i="49"/>
  <c r="CJ335" i="49"/>
  <c r="CJ194" i="49"/>
  <c r="CJ186" i="49"/>
  <c r="CJ319" i="49"/>
  <c r="CJ159" i="49"/>
  <c r="DL340" i="49"/>
  <c r="DH161" i="49"/>
  <c r="DH409" i="49"/>
  <c r="DH377" i="49"/>
  <c r="DH101" i="49"/>
  <c r="DH439" i="49"/>
  <c r="DH321" i="49"/>
  <c r="DH261" i="49"/>
  <c r="DH279" i="49"/>
  <c r="DH234" i="49"/>
  <c r="DH299" i="49"/>
  <c r="DH82" i="49"/>
  <c r="DH173" i="49"/>
  <c r="DH404" i="49"/>
  <c r="DH446" i="49"/>
  <c r="DH235" i="49"/>
  <c r="DH100" i="49"/>
  <c r="DH61" i="49"/>
  <c r="DH166" i="49"/>
  <c r="DH473" i="49"/>
  <c r="DH109" i="49"/>
  <c r="DH138" i="49"/>
  <c r="DH205" i="49"/>
  <c r="BR431" i="49"/>
  <c r="BR10" i="49"/>
  <c r="DH85" i="49"/>
  <c r="DH312" i="49"/>
  <c r="DH121" i="49"/>
  <c r="DH24" i="49"/>
  <c r="DH382" i="49"/>
  <c r="DH351" i="49"/>
  <c r="DH43" i="49"/>
  <c r="BR475" i="49"/>
  <c r="AT97" i="49"/>
  <c r="AT234" i="49"/>
  <c r="BR492" i="49"/>
  <c r="DH323" i="49"/>
  <c r="DH492" i="49"/>
  <c r="DH84" i="49"/>
  <c r="DH37" i="49"/>
  <c r="DH124" i="49"/>
  <c r="DH252" i="49"/>
  <c r="DH366" i="49"/>
  <c r="DH481" i="49"/>
  <c r="DH144" i="49"/>
  <c r="DH162" i="49"/>
  <c r="DH72" i="49"/>
  <c r="DH349" i="49"/>
  <c r="BR350" i="49"/>
  <c r="DH348" i="49"/>
  <c r="CJ92" i="49"/>
  <c r="CJ102" i="49"/>
  <c r="CJ21" i="49"/>
  <c r="CJ247" i="49"/>
  <c r="CJ305" i="49"/>
  <c r="CJ15" i="49"/>
  <c r="CJ145" i="49"/>
  <c r="CJ126" i="49"/>
  <c r="CJ94" i="49"/>
  <c r="CJ81" i="49"/>
  <c r="CJ496" i="49"/>
  <c r="AT11" i="49"/>
  <c r="AT73" i="49"/>
  <c r="AP74" i="49"/>
  <c r="BO128" i="49"/>
  <c r="BP128" i="49"/>
  <c r="BN128" i="49"/>
  <c r="BR9" i="49"/>
  <c r="DH6" i="49"/>
  <c r="BR361" i="49"/>
  <c r="DH218" i="49"/>
  <c r="DH19" i="49"/>
  <c r="DH268" i="49"/>
  <c r="DH395" i="49"/>
  <c r="DH435" i="49"/>
  <c r="DH414" i="49"/>
  <c r="DH316" i="49"/>
  <c r="DH274" i="49"/>
  <c r="DH449" i="49"/>
  <c r="BR441" i="49"/>
  <c r="DH460" i="49"/>
  <c r="DH122" i="49"/>
  <c r="DH470" i="49"/>
  <c r="DH132" i="49"/>
  <c r="CJ388" i="49"/>
  <c r="CJ14" i="49"/>
  <c r="CJ75" i="49"/>
  <c r="CJ356" i="49"/>
  <c r="CJ199" i="49"/>
  <c r="CJ349" i="49"/>
  <c r="CJ88" i="49"/>
  <c r="CJ84" i="49"/>
  <c r="CJ338" i="49"/>
  <c r="AT22" i="49"/>
  <c r="AT110" i="49"/>
  <c r="DH240" i="49"/>
  <c r="DH93" i="49"/>
  <c r="DH444" i="49"/>
  <c r="DH306" i="49"/>
  <c r="DH425" i="49"/>
  <c r="DH143" i="49"/>
  <c r="DH118" i="49"/>
  <c r="DH14" i="49"/>
  <c r="DH13" i="49"/>
  <c r="BR131" i="49"/>
  <c r="AT78" i="49"/>
  <c r="DH90" i="49"/>
  <c r="DH81" i="49"/>
  <c r="DH358" i="49"/>
  <c r="DH373" i="49"/>
  <c r="DH400" i="49"/>
  <c r="DH295" i="49"/>
  <c r="DH461" i="49"/>
  <c r="DH217" i="49"/>
  <c r="AT12" i="49"/>
  <c r="DH393" i="49"/>
  <c r="DH154" i="49"/>
  <c r="DH260" i="49"/>
  <c r="DH125" i="49"/>
  <c r="DH136" i="49"/>
  <c r="CJ93" i="49"/>
  <c r="CJ196" i="49"/>
  <c r="CJ89" i="49"/>
  <c r="CJ492" i="49"/>
  <c r="CJ54" i="49"/>
  <c r="CJ178" i="49"/>
  <c r="CJ158" i="49"/>
  <c r="CJ312" i="49"/>
  <c r="CJ224" i="49"/>
  <c r="CJ78" i="49"/>
  <c r="CJ42" i="49"/>
  <c r="CJ82" i="49"/>
  <c r="CJ313" i="49"/>
  <c r="CJ348" i="49"/>
  <c r="CJ179" i="49"/>
  <c r="CJ329" i="49"/>
  <c r="CJ150" i="49"/>
  <c r="CJ467" i="49"/>
  <c r="CJ404" i="49"/>
  <c r="CJ301" i="49"/>
  <c r="CJ267" i="49"/>
  <c r="CJ165" i="49"/>
  <c r="CJ242" i="49"/>
  <c r="CJ189" i="49"/>
  <c r="CJ478" i="49"/>
  <c r="CJ473" i="49"/>
  <c r="CJ96" i="49"/>
  <c r="CJ29" i="49"/>
  <c r="CJ380" i="49"/>
  <c r="CJ339" i="49"/>
  <c r="CJ382" i="49"/>
  <c r="CJ142" i="49"/>
  <c r="CJ28" i="49"/>
  <c r="CJ90" i="49"/>
  <c r="CJ241" i="49"/>
  <c r="CJ352" i="49"/>
  <c r="CJ136" i="49"/>
  <c r="CJ395" i="49"/>
  <c r="CJ318" i="49"/>
  <c r="CJ409" i="49"/>
  <c r="CJ52" i="49"/>
  <c r="CJ125" i="49"/>
  <c r="CJ214" i="49"/>
  <c r="CJ485" i="49"/>
  <c r="CJ226" i="49"/>
  <c r="CJ141" i="49"/>
  <c r="CJ448" i="49"/>
  <c r="CJ140" i="49"/>
  <c r="CJ72" i="49"/>
  <c r="CJ117" i="49"/>
  <c r="CJ49" i="49"/>
  <c r="CJ408" i="49"/>
  <c r="CJ290" i="49"/>
  <c r="DL56" i="49"/>
  <c r="DH8" i="49"/>
  <c r="DH112" i="49"/>
  <c r="DH266" i="49"/>
  <c r="DH142" i="49"/>
  <c r="DH139" i="49"/>
  <c r="DH297" i="49"/>
  <c r="DH23" i="49"/>
  <c r="DH66" i="49"/>
  <c r="DH164" i="49"/>
  <c r="DH95" i="49"/>
  <c r="DH211" i="49"/>
  <c r="DH39" i="49"/>
  <c r="DH69" i="49"/>
  <c r="DH430" i="49"/>
  <c r="DH319" i="49"/>
  <c r="DH427" i="49"/>
  <c r="DH458" i="49"/>
  <c r="DH155" i="49"/>
  <c r="DH140" i="49"/>
  <c r="DH311" i="49"/>
  <c r="BR247" i="49"/>
  <c r="DH134" i="49"/>
  <c r="DH106" i="49"/>
  <c r="DH195" i="49"/>
  <c r="DH87" i="49"/>
  <c r="DH152" i="49"/>
  <c r="DH127" i="49"/>
  <c r="DH49" i="49"/>
  <c r="DH360" i="49"/>
  <c r="BO335" i="49"/>
  <c r="BP335" i="49"/>
  <c r="BN335" i="49"/>
  <c r="BR432" i="49"/>
  <c r="DL337" i="49"/>
  <c r="BK29" i="49"/>
  <c r="BL29" i="49"/>
  <c r="BK86" i="49"/>
  <c r="BL86" i="49"/>
  <c r="BK242" i="49"/>
  <c r="BL242" i="49"/>
  <c r="BK82" i="49"/>
  <c r="BL82" i="49"/>
  <c r="BK124" i="49"/>
  <c r="BL124" i="49"/>
  <c r="BK138" i="49"/>
  <c r="BL138" i="49"/>
  <c r="BK483" i="49"/>
  <c r="BL483" i="49"/>
  <c r="BK54" i="49"/>
  <c r="BL54" i="49"/>
  <c r="BK279" i="49"/>
  <c r="BL279" i="49"/>
  <c r="BK92" i="49"/>
  <c r="BL92" i="49"/>
  <c r="BK351" i="49"/>
  <c r="BL351" i="49"/>
  <c r="BK127" i="49"/>
  <c r="BL127" i="49"/>
  <c r="BK197" i="49"/>
  <c r="BL197" i="49"/>
  <c r="BK233" i="49"/>
  <c r="BL233" i="49"/>
  <c r="BK120" i="49"/>
  <c r="BL120" i="49"/>
  <c r="BK179" i="49"/>
  <c r="BL179" i="49"/>
  <c r="BK209" i="49"/>
  <c r="BL209" i="49"/>
  <c r="BK38" i="49"/>
  <c r="BL38" i="49"/>
  <c r="BK254" i="49"/>
  <c r="BL254" i="49"/>
  <c r="BO336" i="49"/>
  <c r="BP336" i="49"/>
  <c r="BN336" i="49"/>
  <c r="BK126" i="49"/>
  <c r="BL126" i="49"/>
  <c r="BK19" i="49"/>
  <c r="BL19" i="49"/>
  <c r="BK151" i="49"/>
  <c r="BL151" i="49"/>
  <c r="BK274" i="49"/>
  <c r="BL274" i="49"/>
  <c r="BK71" i="49"/>
  <c r="BL71" i="49"/>
  <c r="BK51" i="49"/>
  <c r="BL51" i="49"/>
  <c r="BO45" i="49"/>
  <c r="BP45" i="49"/>
  <c r="BN45" i="49"/>
  <c r="BK346" i="49"/>
  <c r="BL346" i="49"/>
  <c r="BK360" i="49"/>
  <c r="BL360" i="49"/>
  <c r="BK24" i="49"/>
  <c r="BL24" i="49"/>
  <c r="BK143" i="49"/>
  <c r="BL143" i="49"/>
  <c r="BR47" i="49"/>
  <c r="BK321" i="49"/>
  <c r="BL321" i="49"/>
  <c r="BK23" i="49"/>
  <c r="BL23" i="49"/>
  <c r="BK64" i="49"/>
  <c r="BL64" i="49"/>
  <c r="BK457" i="49"/>
  <c r="BL457" i="49"/>
  <c r="BK312" i="49"/>
  <c r="BL312" i="49"/>
  <c r="BK76" i="49"/>
  <c r="BL76" i="49"/>
  <c r="BK87" i="49"/>
  <c r="BL87" i="49"/>
  <c r="BK15" i="49"/>
  <c r="BL15" i="49"/>
  <c r="BK7" i="49"/>
  <c r="BL7" i="49"/>
  <c r="BK234" i="49"/>
  <c r="BL234" i="49"/>
  <c r="BK106" i="49"/>
  <c r="BL106" i="49"/>
  <c r="BO436" i="49"/>
  <c r="BP436" i="49"/>
  <c r="BN436" i="49"/>
  <c r="BK472" i="49"/>
  <c r="BL472" i="49"/>
  <c r="BK456" i="49"/>
  <c r="BL456" i="49"/>
  <c r="BK191" i="49"/>
  <c r="BL191" i="49"/>
  <c r="BK154" i="49"/>
  <c r="BL154" i="49"/>
  <c r="BK225" i="49"/>
  <c r="BL225" i="49"/>
  <c r="BK141" i="49"/>
  <c r="BL141" i="49"/>
  <c r="BK61" i="49"/>
  <c r="BL61" i="49"/>
  <c r="CJ33" i="49"/>
  <c r="CJ350" i="49"/>
  <c r="CJ48" i="49"/>
  <c r="CJ132" i="49"/>
  <c r="CJ205" i="49"/>
  <c r="CJ281" i="49"/>
  <c r="DL58" i="49"/>
  <c r="DG5" i="49"/>
  <c r="DF500" i="49"/>
  <c r="DF2" i="49"/>
  <c r="BR471" i="49"/>
  <c r="BR320" i="49"/>
  <c r="BR65" i="49"/>
  <c r="AU5" i="49"/>
  <c r="BR17" i="49"/>
  <c r="BN298" i="49"/>
  <c r="CJ400" i="49"/>
  <c r="CJ129" i="49"/>
  <c r="CJ87" i="49"/>
  <c r="CJ77" i="49"/>
  <c r="CJ477" i="49"/>
  <c r="CJ56" i="49"/>
  <c r="CJ157" i="49"/>
  <c r="CJ483" i="49"/>
  <c r="CJ225" i="49"/>
  <c r="CJ44" i="49"/>
  <c r="CJ457" i="49"/>
  <c r="CJ449" i="49"/>
  <c r="CJ372" i="49"/>
  <c r="DH249" i="49"/>
  <c r="DH183" i="49"/>
  <c r="DH191" i="49"/>
  <c r="DH383" i="49"/>
  <c r="DH411" i="49"/>
  <c r="AP491" i="49"/>
  <c r="DH186" i="49"/>
  <c r="DH99" i="49"/>
  <c r="DH322" i="49"/>
  <c r="DH487" i="49"/>
  <c r="DH187" i="49"/>
  <c r="DH111" i="49"/>
  <c r="DH209" i="49"/>
  <c r="DH145" i="49"/>
  <c r="DH303" i="49"/>
  <c r="DH219" i="49"/>
  <c r="DH196" i="49"/>
  <c r="DH126" i="49"/>
  <c r="DH463" i="49"/>
  <c r="DH357" i="49"/>
  <c r="DH428" i="49"/>
  <c r="DH156" i="49"/>
  <c r="DH300" i="49"/>
  <c r="DH88" i="49"/>
  <c r="DH380" i="49"/>
  <c r="DH441" i="49"/>
  <c r="DH354" i="49"/>
  <c r="DH418" i="49"/>
  <c r="DH179" i="49"/>
  <c r="DH496" i="49"/>
  <c r="DH48" i="49"/>
  <c r="DH471" i="49"/>
  <c r="DH296" i="49"/>
  <c r="DH277" i="49"/>
  <c r="BR148" i="49"/>
  <c r="BR319" i="49"/>
  <c r="CJ215" i="49"/>
  <c r="CJ265" i="49"/>
  <c r="CJ113" i="49"/>
  <c r="CJ373" i="49"/>
  <c r="CJ442" i="49"/>
  <c r="CJ498" i="49"/>
  <c r="CJ278" i="49"/>
  <c r="CJ170" i="49"/>
  <c r="AT353" i="49"/>
  <c r="CJ481" i="49"/>
  <c r="CJ106" i="49"/>
  <c r="CJ453" i="49"/>
  <c r="AT436" i="49"/>
  <c r="DH44" i="49"/>
  <c r="DH318" i="49"/>
  <c r="DH36" i="49"/>
  <c r="DH153" i="49"/>
  <c r="DH450" i="49"/>
  <c r="DH498" i="49"/>
  <c r="DH150" i="49"/>
  <c r="DH89" i="49"/>
  <c r="DH486" i="49"/>
  <c r="DH201" i="49"/>
  <c r="DH478" i="49"/>
  <c r="DH227" i="49"/>
  <c r="DH220" i="49"/>
  <c r="DH408" i="49"/>
  <c r="DH379" i="49"/>
  <c r="DH437" i="49"/>
  <c r="DH38" i="49"/>
  <c r="DH410" i="49"/>
  <c r="BR28" i="49"/>
  <c r="BO121" i="49"/>
  <c r="BP121" i="49"/>
  <c r="BN121" i="49"/>
  <c r="BR302" i="49"/>
  <c r="AT341" i="49"/>
  <c r="CJ295" i="49"/>
  <c r="CJ69" i="49"/>
  <c r="CJ279" i="49"/>
  <c r="CJ99" i="49"/>
  <c r="CJ303" i="49"/>
  <c r="CJ144" i="49"/>
  <c r="CJ119" i="49"/>
  <c r="CJ183" i="49"/>
  <c r="CJ83" i="49"/>
  <c r="CJ135" i="49"/>
  <c r="CJ494" i="49"/>
  <c r="CJ208" i="49"/>
  <c r="CJ30" i="49"/>
  <c r="CJ198" i="49"/>
  <c r="CJ138" i="49"/>
  <c r="CJ341" i="49"/>
  <c r="CJ104" i="49"/>
  <c r="CJ358" i="49"/>
  <c r="CJ187" i="49"/>
  <c r="CJ51" i="49"/>
  <c r="CJ393" i="49"/>
  <c r="CJ47" i="49"/>
  <c r="CJ174" i="49"/>
  <c r="CJ27" i="49"/>
  <c r="CJ342" i="49"/>
  <c r="CJ9" i="49"/>
  <c r="CJ383" i="49"/>
  <c r="CJ390" i="49"/>
  <c r="CJ366" i="49"/>
  <c r="CJ127" i="49"/>
  <c r="CJ423" i="49"/>
  <c r="CJ445" i="49"/>
  <c r="CJ489" i="49"/>
  <c r="CJ385" i="49"/>
  <c r="CJ245" i="49"/>
  <c r="CJ379" i="49"/>
  <c r="CJ26" i="49"/>
  <c r="CJ300" i="49"/>
  <c r="CJ333" i="49"/>
  <c r="CJ162" i="49"/>
  <c r="CJ444" i="49"/>
  <c r="CJ219" i="49"/>
  <c r="CJ298" i="49"/>
  <c r="CJ16" i="49"/>
  <c r="CJ306" i="49"/>
  <c r="CJ367" i="49"/>
  <c r="CJ273" i="49"/>
  <c r="CJ446" i="49"/>
  <c r="CJ428" i="49"/>
  <c r="CJ250" i="49"/>
  <c r="CJ261" i="49"/>
  <c r="CJ38" i="49"/>
  <c r="DH51" i="49"/>
  <c r="DH390" i="49"/>
  <c r="DH108" i="49"/>
  <c r="DH47" i="49"/>
  <c r="DH114" i="49"/>
  <c r="DH384" i="49"/>
  <c r="DH210" i="49"/>
  <c r="BK8" i="49"/>
  <c r="BL8" i="49"/>
  <c r="BK140" i="49"/>
  <c r="BL140" i="49"/>
  <c r="BO72" i="49"/>
  <c r="BP72" i="49"/>
  <c r="BN72" i="49"/>
  <c r="BK81" i="49"/>
  <c r="BL81" i="49"/>
  <c r="BK296" i="49"/>
  <c r="BL296" i="49"/>
  <c r="BK382" i="49"/>
  <c r="BL382" i="49"/>
  <c r="BK310" i="49"/>
  <c r="BL310" i="49"/>
  <c r="BK68" i="49"/>
  <c r="BL68" i="49"/>
  <c r="BK339" i="49"/>
  <c r="BL339" i="49"/>
  <c r="BK300" i="49"/>
  <c r="BL300" i="49"/>
  <c r="BR129" i="49"/>
  <c r="BK372" i="49"/>
  <c r="BL372" i="49"/>
  <c r="BK444" i="49"/>
  <c r="BL444" i="49"/>
  <c r="BK35" i="49"/>
  <c r="BL35" i="49"/>
  <c r="BK295" i="49"/>
  <c r="BL295" i="49"/>
  <c r="BK36" i="49"/>
  <c r="BL36" i="49"/>
  <c r="BK113" i="49"/>
  <c r="BL113" i="49"/>
  <c r="BK240" i="49"/>
  <c r="BL240" i="49"/>
  <c r="BK249" i="49"/>
  <c r="BL249" i="49"/>
  <c r="BK390" i="49"/>
  <c r="BL390" i="49"/>
  <c r="BK486" i="49"/>
  <c r="BL486" i="49"/>
  <c r="BK211" i="49"/>
  <c r="BL211" i="49"/>
  <c r="BK414" i="49"/>
  <c r="BL414" i="49"/>
  <c r="BK363" i="49"/>
  <c r="BL363" i="49"/>
  <c r="BK101" i="49"/>
  <c r="BL101" i="49"/>
  <c r="BK454" i="49"/>
  <c r="BL454" i="49"/>
  <c r="BK442" i="49"/>
  <c r="BL442" i="49"/>
  <c r="BK150" i="49"/>
  <c r="BL150" i="49"/>
  <c r="BK219" i="49"/>
  <c r="BL219" i="49"/>
  <c r="BK205" i="49"/>
  <c r="BL205" i="49"/>
  <c r="BK266" i="49"/>
  <c r="BL266" i="49"/>
  <c r="BK224" i="49"/>
  <c r="BL224" i="49"/>
  <c r="BK455" i="49"/>
  <c r="BL455" i="49"/>
  <c r="BK67" i="49"/>
  <c r="BL67" i="49"/>
  <c r="BK163" i="49"/>
  <c r="BL163" i="49"/>
  <c r="BK26" i="49"/>
  <c r="BL26" i="49"/>
  <c r="BK311" i="49"/>
  <c r="BL311" i="49"/>
  <c r="BK281" i="49"/>
  <c r="BL281" i="49"/>
  <c r="BK199" i="49"/>
  <c r="BL199" i="49"/>
  <c r="BK189" i="49"/>
  <c r="BL189" i="49"/>
  <c r="BK395" i="49"/>
  <c r="BL395" i="49"/>
  <c r="BR52" i="49"/>
  <c r="AU18" i="49"/>
  <c r="BK166" i="49"/>
  <c r="BL166" i="49"/>
  <c r="BK111" i="49"/>
  <c r="BL111" i="49"/>
  <c r="BK356" i="49"/>
  <c r="BL356" i="49"/>
  <c r="BK250" i="49"/>
  <c r="BL250" i="49"/>
  <c r="CJ128" i="49"/>
  <c r="CJ343" i="49"/>
  <c r="CJ101" i="49"/>
  <c r="CJ414" i="49"/>
  <c r="CJ192" i="49"/>
  <c r="CJ243" i="49"/>
  <c r="CJ112" i="49"/>
  <c r="CJ314" i="49"/>
  <c r="CJ311" i="49"/>
  <c r="CJ307" i="49"/>
  <c r="CH500" i="49"/>
  <c r="CH2" i="49"/>
  <c r="CI6" i="49"/>
  <c r="AT209" i="49"/>
  <c r="AT91" i="49"/>
  <c r="DH253" i="49"/>
  <c r="DH281" i="49"/>
  <c r="DH290" i="49"/>
  <c r="DH141" i="49"/>
  <c r="DH123" i="49"/>
  <c r="AT23" i="49"/>
  <c r="DH326" i="49"/>
  <c r="DH189" i="49"/>
  <c r="DH356" i="49"/>
  <c r="DH339" i="49"/>
  <c r="DH190" i="49"/>
  <c r="DH271" i="49"/>
  <c r="DH198" i="49"/>
  <c r="DH350" i="49"/>
  <c r="DH493" i="49"/>
  <c r="DH94" i="49"/>
  <c r="DH454" i="49"/>
  <c r="DH194" i="49"/>
  <c r="DH188" i="49"/>
  <c r="DH448" i="49"/>
  <c r="DH52" i="49"/>
  <c r="DH250" i="49"/>
  <c r="DH442" i="49"/>
  <c r="DH197" i="49"/>
  <c r="AT94" i="49"/>
  <c r="DH275" i="49"/>
  <c r="DH445" i="49"/>
  <c r="DH305" i="49"/>
  <c r="DH256" i="49"/>
  <c r="DH172" i="49"/>
  <c r="DH385" i="49"/>
  <c r="DH76" i="49"/>
  <c r="BR359" i="49"/>
  <c r="DH453" i="49"/>
  <c r="DH317" i="49"/>
  <c r="DH215" i="49"/>
  <c r="DH30" i="49"/>
  <c r="BR94" i="49"/>
  <c r="BR70" i="49"/>
  <c r="DH265" i="49"/>
  <c r="DH367" i="49"/>
  <c r="DH17" i="49"/>
  <c r="DH174" i="49"/>
  <c r="DH200" i="49"/>
  <c r="DH333" i="49"/>
  <c r="DH33" i="49"/>
  <c r="CJ20" i="49"/>
  <c r="CJ114" i="49"/>
  <c r="CJ363" i="49"/>
  <c r="CJ323" i="49"/>
  <c r="CJ201" i="49"/>
  <c r="CJ378" i="49"/>
  <c r="CJ325" i="49"/>
  <c r="CJ252" i="49"/>
  <c r="CJ7" i="49"/>
  <c r="CJ133" i="49"/>
  <c r="CJ315" i="49"/>
  <c r="BR376" i="49"/>
  <c r="AT336" i="49"/>
  <c r="BR355" i="49"/>
  <c r="BO107" i="49"/>
  <c r="BP107" i="49"/>
  <c r="BN107" i="49"/>
  <c r="BR96" i="49"/>
  <c r="DH307" i="49"/>
  <c r="DH207" i="49"/>
  <c r="BR450" i="49"/>
  <c r="DH457" i="49"/>
  <c r="DH54" i="49"/>
  <c r="DH372" i="49"/>
  <c r="DH436" i="49"/>
  <c r="DH352" i="49"/>
  <c r="DH149" i="49"/>
  <c r="DH267" i="49"/>
  <c r="DH365" i="49"/>
  <c r="DH78" i="49"/>
  <c r="CJ121" i="49"/>
  <c r="CJ166" i="49"/>
  <c r="CJ8" i="49"/>
  <c r="CJ172" i="49"/>
  <c r="CJ188" i="49"/>
  <c r="CJ220" i="49"/>
  <c r="CJ384" i="49"/>
  <c r="CJ262" i="49"/>
  <c r="CJ85" i="49"/>
  <c r="CJ410" i="49"/>
  <c r="CJ211" i="49"/>
  <c r="DH245" i="49"/>
  <c r="DH192" i="49"/>
  <c r="DH308" i="49"/>
  <c r="DH91" i="49"/>
  <c r="DH419" i="49"/>
  <c r="DH178" i="49"/>
  <c r="DH423" i="49"/>
  <c r="AT107" i="49"/>
  <c r="AP312" i="49"/>
  <c r="AT340" i="49"/>
  <c r="DH386" i="49"/>
  <c r="DH119" i="49"/>
  <c r="DH120" i="49"/>
  <c r="DH167" i="49"/>
  <c r="DH57" i="49"/>
  <c r="DH96" i="49"/>
  <c r="DH159" i="49"/>
  <c r="BO434" i="49"/>
  <c r="BP434" i="49"/>
  <c r="BN434" i="49"/>
  <c r="BO411" i="49"/>
  <c r="BP411" i="49"/>
  <c r="BN411" i="49"/>
  <c r="DH163" i="49"/>
  <c r="DH185" i="49"/>
  <c r="CJ167" i="49"/>
  <c r="CJ118" i="49"/>
  <c r="CJ413" i="49"/>
  <c r="CJ164" i="49"/>
  <c r="CJ124" i="49"/>
  <c r="CJ475" i="49"/>
  <c r="CJ57" i="49"/>
  <c r="CJ105" i="49"/>
  <c r="CJ66" i="49"/>
  <c r="CJ326" i="49"/>
  <c r="CJ482" i="49"/>
  <c r="CJ321" i="49"/>
  <c r="CJ111" i="49"/>
  <c r="CJ361" i="49"/>
  <c r="CJ91" i="49"/>
  <c r="CJ100" i="49"/>
  <c r="CJ13" i="49"/>
  <c r="CJ122" i="49"/>
  <c r="CJ233" i="49"/>
  <c r="CJ153" i="49"/>
  <c r="CJ437" i="49"/>
  <c r="CJ50" i="49"/>
  <c r="CJ115" i="49"/>
  <c r="CJ377" i="49"/>
  <c r="CJ271" i="49"/>
  <c r="CJ292" i="49"/>
  <c r="CJ484" i="49"/>
  <c r="CJ210" i="49"/>
  <c r="CJ86" i="49"/>
  <c r="CJ108" i="49"/>
  <c r="CJ123" i="49"/>
  <c r="CJ336" i="49"/>
  <c r="CJ260" i="49"/>
  <c r="CJ436" i="49"/>
  <c r="CJ160" i="49"/>
  <c r="CJ161" i="49"/>
  <c r="CJ454" i="49"/>
  <c r="CJ451" i="49"/>
  <c r="CJ268" i="49"/>
  <c r="CJ360" i="49"/>
  <c r="CJ143" i="49"/>
  <c r="CJ43" i="49"/>
  <c r="CJ79" i="49"/>
  <c r="CJ180" i="49"/>
  <c r="CJ327" i="49"/>
  <c r="CJ334" i="49"/>
  <c r="CJ280" i="49"/>
  <c r="CJ235" i="49"/>
  <c r="CJ131" i="49"/>
  <c r="CJ471" i="49"/>
  <c r="CJ460" i="49"/>
  <c r="DH148" i="49"/>
  <c r="DH157" i="49"/>
  <c r="DH334" i="49"/>
  <c r="DH113" i="49"/>
  <c r="DH29" i="49"/>
  <c r="DH368" i="49"/>
  <c r="DH363" i="49"/>
  <c r="DH338" i="49"/>
  <c r="DH325" i="49"/>
  <c r="DH438" i="49"/>
  <c r="DH257" i="49"/>
  <c r="DH83" i="49"/>
  <c r="DH199" i="49"/>
  <c r="DH388" i="49"/>
  <c r="DH131" i="49"/>
  <c r="DH27" i="49"/>
  <c r="DH42" i="49"/>
  <c r="DH310" i="49"/>
  <c r="DL342" i="49"/>
  <c r="DH475" i="49"/>
  <c r="BR362" i="49"/>
  <c r="DH77" i="49"/>
  <c r="DH55" i="49"/>
  <c r="DH447" i="49"/>
  <c r="DH331" i="49"/>
  <c r="DH128" i="49"/>
  <c r="DL494" i="49"/>
  <c r="BO340" i="49"/>
  <c r="BP340" i="49"/>
  <c r="BN340" i="49"/>
  <c r="BR439" i="49"/>
  <c r="BO58" i="49"/>
  <c r="BP58" i="49"/>
  <c r="BN58" i="49"/>
  <c r="BK307" i="49"/>
  <c r="BL307" i="49"/>
  <c r="BK125" i="49"/>
  <c r="BL125" i="49"/>
  <c r="BK152" i="49"/>
  <c r="BL152" i="49"/>
  <c r="BK379" i="49"/>
  <c r="BL379" i="49"/>
  <c r="BK292" i="49"/>
  <c r="BL292" i="49"/>
  <c r="BK196" i="49"/>
  <c r="BL196" i="49"/>
  <c r="BK142" i="49"/>
  <c r="BL142" i="49"/>
  <c r="BK449" i="49"/>
  <c r="BL449" i="49"/>
  <c r="BK428" i="49"/>
  <c r="BL428" i="49"/>
  <c r="BK464" i="49"/>
  <c r="BL464" i="49"/>
  <c r="BK484" i="49"/>
  <c r="BL484" i="49"/>
  <c r="BK313" i="49"/>
  <c r="BL313" i="49"/>
  <c r="BK253" i="49"/>
  <c r="BL253" i="49"/>
  <c r="BR236" i="49"/>
  <c r="BK50" i="49"/>
  <c r="BL50" i="49"/>
  <c r="BK426" i="49"/>
  <c r="BL426" i="49"/>
  <c r="BK153" i="49"/>
  <c r="BL153" i="49"/>
  <c r="BK265" i="49"/>
  <c r="BL265" i="49"/>
  <c r="BK317" i="49"/>
  <c r="BL317" i="49"/>
  <c r="BO341" i="49"/>
  <c r="BP341" i="49"/>
  <c r="BN341" i="49"/>
  <c r="BK144" i="49"/>
  <c r="BL144" i="49"/>
  <c r="BR226" i="49"/>
  <c r="BK386" i="49"/>
  <c r="BL386" i="49"/>
  <c r="BK192" i="49"/>
  <c r="BL192" i="49"/>
  <c r="BK30" i="49"/>
  <c r="BL30" i="49"/>
  <c r="BK402" i="49"/>
  <c r="BL402" i="49"/>
  <c r="BR34" i="49"/>
  <c r="BK114" i="49"/>
  <c r="BL114" i="49"/>
  <c r="BK27" i="49"/>
  <c r="BL27" i="49"/>
  <c r="BK100" i="49"/>
  <c r="BL100" i="49"/>
  <c r="BK440" i="49"/>
  <c r="BL440" i="49"/>
  <c r="BK83" i="49"/>
  <c r="BL83" i="49"/>
  <c r="BK377" i="49"/>
  <c r="BL377" i="49"/>
  <c r="BK134" i="49"/>
  <c r="BL134" i="49"/>
  <c r="BK85" i="49"/>
  <c r="BL85" i="49"/>
  <c r="BK93" i="49"/>
  <c r="BL93" i="49"/>
  <c r="BK412" i="49"/>
  <c r="BL412" i="49"/>
  <c r="BK474" i="49"/>
  <c r="BL474" i="49"/>
  <c r="BO5" i="49"/>
  <c r="BN5" i="49"/>
  <c r="BK132" i="49"/>
  <c r="BL132" i="49"/>
  <c r="BK452" i="49"/>
  <c r="BL452" i="49"/>
  <c r="BO41" i="49"/>
  <c r="BP41" i="49"/>
  <c r="BN41" i="49"/>
  <c r="BK90" i="49"/>
  <c r="BL90" i="49"/>
  <c r="BK165" i="49"/>
  <c r="BL165" i="49"/>
  <c r="BK491" i="49"/>
  <c r="BL491" i="49"/>
  <c r="BK115" i="49"/>
  <c r="BL115" i="49"/>
  <c r="BK156" i="49"/>
  <c r="BL156" i="49"/>
  <c r="BK365" i="49"/>
  <c r="BL365" i="49"/>
  <c r="CJ317" i="49"/>
  <c r="CJ447" i="49"/>
  <c r="CJ493" i="49"/>
  <c r="CJ435" i="49"/>
  <c r="CJ217" i="49"/>
  <c r="CJ58" i="49"/>
  <c r="CJ154" i="49"/>
  <c r="CJ450" i="49"/>
  <c r="AL500" i="49"/>
  <c r="AL2" i="49"/>
  <c r="AM6" i="49"/>
  <c r="AM500" i="49"/>
  <c r="AM2" i="49"/>
  <c r="AN204" i="49"/>
  <c r="AO204" i="49"/>
  <c r="BR308" i="49"/>
  <c r="DL341" i="49"/>
  <c r="AT31" i="49"/>
  <c r="AU34" i="49"/>
  <c r="CJ64" i="49"/>
  <c r="CJ207" i="49"/>
  <c r="CJ149" i="49"/>
  <c r="CJ461" i="49"/>
  <c r="CJ431" i="49"/>
  <c r="CJ185" i="49"/>
  <c r="CJ365" i="49"/>
  <c r="CJ163" i="49"/>
  <c r="CJ331" i="49"/>
  <c r="CJ59" i="49"/>
  <c r="CJ156" i="49"/>
  <c r="DH104" i="49"/>
  <c r="DH451" i="49"/>
  <c r="DH59" i="49"/>
  <c r="DH165" i="49"/>
  <c r="DH102" i="49"/>
  <c r="DH70" i="49"/>
  <c r="DH135" i="49"/>
  <c r="DH315" i="49"/>
  <c r="DH313" i="49"/>
  <c r="DH324" i="49"/>
  <c r="DH129" i="49"/>
  <c r="DH224" i="49"/>
  <c r="DH169" i="49"/>
  <c r="DH247" i="49"/>
  <c r="DH243" i="49"/>
  <c r="DH79" i="49"/>
  <c r="DH170" i="49"/>
  <c r="DH26" i="49"/>
  <c r="DH214" i="49"/>
  <c r="DH28" i="49"/>
  <c r="DH468" i="49"/>
  <c r="DH413" i="49"/>
  <c r="DH440" i="49"/>
  <c r="DH233" i="49"/>
  <c r="DH455" i="49"/>
  <c r="BR433" i="49"/>
  <c r="DH146" i="49"/>
  <c r="DH490" i="49"/>
  <c r="DH292" i="49"/>
  <c r="DH346" i="49"/>
  <c r="DH20" i="49"/>
  <c r="DH314" i="49"/>
  <c r="AT10" i="49"/>
  <c r="AT458" i="49"/>
  <c r="BO342" i="49"/>
  <c r="BP342" i="49"/>
  <c r="BN342" i="49"/>
  <c r="BO353" i="49"/>
  <c r="BP353" i="49"/>
  <c r="BN353" i="49"/>
  <c r="BR429" i="49"/>
  <c r="BK383" i="49"/>
  <c r="BL383" i="49"/>
  <c r="BK496" i="49"/>
  <c r="BL496" i="49"/>
  <c r="BK425" i="49"/>
  <c r="BL425" i="49"/>
  <c r="BK89" i="49"/>
  <c r="BL89" i="49"/>
  <c r="BK420" i="49"/>
  <c r="BL420" i="49"/>
  <c r="BK57" i="49"/>
  <c r="BL57" i="49"/>
  <c r="BK48" i="49"/>
  <c r="BL48" i="49"/>
  <c r="BK186" i="49"/>
  <c r="BL186" i="49"/>
  <c r="BK467" i="49"/>
  <c r="BL467" i="49"/>
  <c r="BK135" i="49"/>
  <c r="BL135" i="49"/>
  <c r="BK385" i="49"/>
  <c r="BL385" i="49"/>
  <c r="BK22" i="49"/>
  <c r="BL22" i="49"/>
  <c r="BK155" i="49"/>
  <c r="BL155" i="49"/>
  <c r="BK373" i="49"/>
  <c r="BL373" i="49"/>
  <c r="BK252" i="49"/>
  <c r="BL252" i="49"/>
  <c r="BK286" i="49"/>
  <c r="BL286" i="49"/>
  <c r="BK77" i="49"/>
  <c r="BL77" i="49"/>
  <c r="BK208" i="49"/>
  <c r="BL208" i="49"/>
  <c r="BK210" i="49"/>
  <c r="BL210" i="49"/>
  <c r="BK303" i="49"/>
  <c r="BL303" i="49"/>
  <c r="BK66" i="49"/>
  <c r="BL66" i="49"/>
  <c r="BK323" i="49"/>
  <c r="BL323" i="49"/>
  <c r="BK315" i="49"/>
  <c r="BL315" i="49"/>
  <c r="BK306" i="49"/>
  <c r="BL306" i="49"/>
  <c r="BK338" i="49"/>
  <c r="BL338" i="49"/>
  <c r="BK453" i="49"/>
  <c r="BL453" i="49"/>
  <c r="BK326" i="49"/>
  <c r="BL326" i="49"/>
  <c r="BK187" i="49"/>
  <c r="BL187" i="49"/>
  <c r="BK466" i="49"/>
  <c r="BL466" i="49"/>
  <c r="BK75" i="49"/>
  <c r="BL75" i="49"/>
  <c r="BK159" i="49"/>
  <c r="BL159" i="49"/>
  <c r="BK215" i="49"/>
  <c r="BL215" i="49"/>
  <c r="BK299" i="49"/>
  <c r="BL299" i="49"/>
  <c r="BK276" i="49"/>
  <c r="BL276" i="49"/>
  <c r="BK487" i="49"/>
  <c r="BL487" i="49"/>
  <c r="BK213" i="49"/>
  <c r="BL213" i="49"/>
  <c r="BK88" i="49"/>
  <c r="BL88" i="49"/>
  <c r="BK136" i="49"/>
  <c r="BL136" i="49"/>
  <c r="BK437" i="49"/>
  <c r="BL437" i="49"/>
  <c r="BK408" i="49"/>
  <c r="BL408" i="49"/>
  <c r="BK200" i="49"/>
  <c r="BL200" i="49"/>
  <c r="BK314" i="49"/>
  <c r="BL314" i="49"/>
  <c r="BK478" i="49"/>
  <c r="BL478" i="49"/>
  <c r="BK348" i="49"/>
  <c r="BL348" i="49"/>
  <c r="BK198" i="49"/>
  <c r="BL198" i="49"/>
  <c r="BK334" i="49"/>
  <c r="BL334" i="49"/>
  <c r="BK445" i="49"/>
  <c r="BL445" i="49"/>
  <c r="BK78" i="49"/>
  <c r="BL78" i="49"/>
  <c r="BK112" i="49"/>
  <c r="BL112" i="49"/>
  <c r="BK305" i="49"/>
  <c r="BL305" i="49"/>
  <c r="BK410" i="49"/>
  <c r="BL410" i="49"/>
  <c r="BK119" i="49"/>
  <c r="BL119" i="49"/>
  <c r="BK248" i="49"/>
  <c r="BL248" i="49"/>
  <c r="BK490" i="49"/>
  <c r="BL490" i="49"/>
  <c r="BK172" i="49"/>
  <c r="BL172" i="49"/>
  <c r="BK358" i="49"/>
  <c r="BL358" i="49"/>
  <c r="BK79" i="49"/>
  <c r="BL79" i="49"/>
  <c r="BK218" i="49"/>
  <c r="BL218" i="49"/>
  <c r="BK337" i="49"/>
  <c r="BL337" i="49"/>
  <c r="BK201" i="49"/>
  <c r="BL201" i="49"/>
  <c r="BK343" i="49"/>
  <c r="BL343" i="49"/>
  <c r="BK60" i="49"/>
  <c r="BL60" i="49"/>
  <c r="BK99" i="49"/>
  <c r="BL99" i="49"/>
  <c r="BK63" i="49"/>
  <c r="BL63" i="49"/>
  <c r="BK316" i="49"/>
  <c r="BL316" i="49"/>
  <c r="BK267" i="49"/>
  <c r="BL267" i="49"/>
  <c r="BK384" i="49"/>
  <c r="BL384" i="49"/>
  <c r="BK149" i="49"/>
  <c r="BL149" i="49"/>
  <c r="BK282" i="49"/>
  <c r="BL282" i="49"/>
  <c r="BK16" i="49"/>
  <c r="BL16" i="49"/>
  <c r="BK44" i="49"/>
  <c r="BL44" i="49"/>
  <c r="BK260" i="49"/>
  <c r="BL260" i="49"/>
  <c r="BK162" i="49"/>
  <c r="BL162" i="49"/>
  <c r="BK21" i="49"/>
  <c r="BL21" i="49"/>
  <c r="BK49" i="49"/>
  <c r="BL49" i="49"/>
  <c r="BK145" i="49"/>
  <c r="BL145" i="49"/>
  <c r="BK380" i="49"/>
  <c r="BL380" i="49"/>
  <c r="BK42" i="49"/>
  <c r="BL42" i="49"/>
  <c r="BK473" i="49"/>
  <c r="BL473" i="49"/>
  <c r="BK161" i="49"/>
  <c r="BL161" i="49"/>
  <c r="BK174" i="49"/>
  <c r="BL174" i="49"/>
  <c r="BK91" i="49"/>
  <c r="BL91" i="49"/>
  <c r="BK301" i="49"/>
  <c r="BL301" i="49"/>
  <c r="BK104" i="49"/>
  <c r="BL104" i="49"/>
  <c r="BK160" i="49"/>
  <c r="BL160" i="49"/>
  <c r="BK117" i="49"/>
  <c r="BL117" i="49"/>
  <c r="BK257" i="49"/>
  <c r="BL257" i="49"/>
  <c r="BK409" i="49"/>
  <c r="BL409" i="49"/>
  <c r="BK84" i="49"/>
  <c r="BL84" i="49"/>
  <c r="BK158" i="49"/>
  <c r="BL158" i="49"/>
  <c r="BK465" i="49"/>
  <c r="BL465" i="49"/>
  <c r="BK108" i="49"/>
  <c r="BL108" i="49"/>
  <c r="BK352" i="49"/>
  <c r="BL352" i="49"/>
  <c r="BK354" i="49"/>
  <c r="BL354" i="49"/>
  <c r="BK322" i="49"/>
  <c r="BL322" i="49"/>
  <c r="BK447" i="49"/>
  <c r="BL447" i="49"/>
  <c r="BK404" i="49"/>
  <c r="BL404" i="49"/>
  <c r="BK448" i="49"/>
  <c r="BL448" i="49"/>
  <c r="BK69" i="49"/>
  <c r="BL69" i="49"/>
  <c r="BK430" i="49"/>
  <c r="BL430" i="49"/>
  <c r="BK243" i="49"/>
  <c r="BL243" i="49"/>
  <c r="BK451" i="49"/>
  <c r="BL451" i="49"/>
  <c r="BK481" i="49"/>
  <c r="BL481" i="49"/>
  <c r="BK461" i="49"/>
  <c r="BL461" i="49"/>
  <c r="BK435" i="49"/>
  <c r="BL435" i="49"/>
  <c r="BK268" i="49"/>
  <c r="BL268" i="49"/>
  <c r="BK55" i="49"/>
  <c r="BL55" i="49"/>
  <c r="BK460" i="49"/>
  <c r="BL460" i="49"/>
  <c r="BK463" i="49"/>
  <c r="BL463" i="49"/>
  <c r="BK220" i="49"/>
  <c r="BL220" i="49"/>
  <c r="BK368" i="49"/>
  <c r="BL368" i="49"/>
  <c r="BK53" i="49"/>
  <c r="BL53" i="49"/>
  <c r="BK214" i="49"/>
  <c r="BL214" i="49"/>
  <c r="BK318" i="49"/>
  <c r="BL318" i="49"/>
  <c r="BK169" i="49"/>
  <c r="BL169" i="49"/>
  <c r="BK293" i="49"/>
  <c r="BL293" i="49"/>
  <c r="BK235" i="49"/>
  <c r="BL235" i="49"/>
  <c r="BK167" i="49"/>
  <c r="BL167" i="49"/>
  <c r="BK245" i="49"/>
  <c r="BL245" i="49"/>
  <c r="BK130" i="49"/>
  <c r="BL130" i="49"/>
  <c r="BK261" i="49"/>
  <c r="BL261" i="49"/>
  <c r="BK190" i="49"/>
  <c r="BL190" i="49"/>
  <c r="BK31" i="49"/>
  <c r="BL31" i="49"/>
  <c r="BK194" i="49"/>
  <c r="BL194" i="49"/>
  <c r="BK443" i="49"/>
  <c r="BL443" i="49"/>
  <c r="BK393" i="49"/>
  <c r="BL393" i="49"/>
  <c r="BK32" i="49"/>
  <c r="BL32" i="49"/>
  <c r="BK164" i="49"/>
  <c r="BL164" i="49"/>
  <c r="BK123" i="49"/>
  <c r="BL123" i="49"/>
  <c r="BK458" i="49"/>
  <c r="BL458" i="49"/>
  <c r="BK43" i="49"/>
  <c r="BL43" i="49"/>
  <c r="BK493" i="49"/>
  <c r="BL493" i="49"/>
  <c r="BK39" i="49"/>
  <c r="BL39" i="49"/>
  <c r="BK324" i="49"/>
  <c r="BL324" i="49"/>
  <c r="BK18" i="49"/>
  <c r="BL18" i="49"/>
  <c r="BK139" i="49"/>
  <c r="BL139" i="49"/>
  <c r="BK80" i="49"/>
  <c r="BL80" i="49"/>
  <c r="BK122" i="49"/>
  <c r="BL122" i="49"/>
  <c r="BK485" i="49"/>
  <c r="BL485" i="49"/>
  <c r="BK20" i="49"/>
  <c r="BL20" i="49"/>
  <c r="BK116" i="49"/>
  <c r="BL116" i="49"/>
  <c r="BK227" i="49"/>
  <c r="BL227" i="49"/>
  <c r="BR73" i="49"/>
  <c r="BR11" i="49"/>
  <c r="AT45" i="49"/>
  <c r="CJ152" i="49"/>
  <c r="CJ402" i="49"/>
  <c r="CJ296" i="49"/>
  <c r="CJ70" i="49"/>
  <c r="CJ340" i="49"/>
  <c r="CJ248" i="49"/>
  <c r="CJ324" i="49"/>
  <c r="CJ293" i="49"/>
  <c r="CJ425" i="49"/>
  <c r="DH160" i="49"/>
  <c r="DH180" i="49"/>
  <c r="DH75" i="49"/>
  <c r="DH184" i="49"/>
  <c r="DH208" i="49"/>
  <c r="DH225" i="49"/>
  <c r="DH110" i="49"/>
  <c r="DH485" i="49"/>
  <c r="DH361" i="49"/>
  <c r="DH133" i="49"/>
  <c r="DH278" i="49"/>
  <c r="DH248" i="49"/>
  <c r="DH115" i="49"/>
  <c r="DH130" i="49"/>
  <c r="DH301" i="49"/>
  <c r="DH92" i="49"/>
  <c r="DH320" i="49"/>
  <c r="DH484" i="49"/>
  <c r="AT25" i="49"/>
  <c r="AT92" i="49"/>
  <c r="AP493" i="49"/>
  <c r="DL60" i="49"/>
  <c r="BR25" i="49"/>
  <c r="DL491" i="49"/>
  <c r="DL336" i="49"/>
  <c r="BR12" i="49"/>
  <c r="BR188" i="49"/>
  <c r="CJ146" i="49"/>
  <c r="CJ308" i="49"/>
  <c r="CJ266" i="49"/>
  <c r="CJ438" i="49"/>
  <c r="CJ487" i="49"/>
  <c r="CJ490" i="49"/>
  <c r="CJ430" i="49"/>
  <c r="AT105" i="49"/>
  <c r="CJ470" i="49"/>
  <c r="CJ439" i="49"/>
  <c r="CJ299" i="49"/>
  <c r="CJ455" i="49"/>
  <c r="CJ346" i="49"/>
  <c r="CJ486" i="49"/>
  <c r="CJ197" i="49"/>
  <c r="CJ351" i="49"/>
  <c r="CJ320" i="49"/>
  <c r="CJ427" i="49"/>
  <c r="CJ316" i="49"/>
  <c r="CJ277" i="49"/>
  <c r="CJ322" i="49"/>
  <c r="CJ169" i="49"/>
  <c r="CJ190" i="49"/>
  <c r="CJ134" i="49"/>
  <c r="CJ109" i="49"/>
  <c r="CJ282" i="49"/>
  <c r="CJ357" i="49"/>
  <c r="CJ274" i="49"/>
  <c r="CJ184" i="49"/>
  <c r="CJ60" i="49"/>
  <c r="CJ218" i="49"/>
  <c r="CJ39" i="49"/>
  <c r="CJ468" i="49"/>
  <c r="CJ394" i="49"/>
  <c r="CJ354" i="49"/>
  <c r="CJ386" i="49"/>
  <c r="CJ55" i="49"/>
  <c r="CJ227" i="49"/>
  <c r="CJ337" i="49"/>
  <c r="CJ120" i="49"/>
  <c r="CJ191" i="49"/>
  <c r="CJ173" i="49"/>
  <c r="CJ249" i="49"/>
  <c r="CJ155" i="49"/>
  <c r="CJ368" i="49"/>
  <c r="CJ200" i="49"/>
  <c r="CJ253" i="49"/>
  <c r="CJ139" i="49"/>
  <c r="CJ148" i="49"/>
  <c r="CJ234" i="49"/>
  <c r="CJ61" i="49"/>
  <c r="DH158" i="49"/>
  <c r="DH50" i="49"/>
  <c r="DH241" i="49"/>
  <c r="DH412" i="49"/>
  <c r="DH343" i="49"/>
  <c r="DH15" i="49"/>
  <c r="DL335" i="49"/>
  <c r="BR180" i="49"/>
  <c r="BR470" i="49"/>
  <c r="BR74" i="49"/>
  <c r="BK357" i="49"/>
  <c r="BL357" i="49"/>
  <c r="BK388" i="49"/>
  <c r="BL388" i="49"/>
  <c r="BO489" i="49"/>
  <c r="BP489" i="49"/>
  <c r="BN489" i="49"/>
  <c r="BK446" i="49"/>
  <c r="BL446" i="49"/>
  <c r="BK183" i="49"/>
  <c r="BL183" i="49"/>
  <c r="BK118" i="49"/>
  <c r="BL118" i="49"/>
  <c r="BK419" i="49"/>
  <c r="BL419" i="49"/>
  <c r="BK207" i="49"/>
  <c r="BL207" i="49"/>
  <c r="BK271" i="49"/>
  <c r="BL271" i="49"/>
  <c r="BK275" i="49"/>
  <c r="BL275" i="49"/>
  <c r="BK230" i="49"/>
  <c r="BL230" i="49"/>
  <c r="BK325" i="49"/>
  <c r="BL325" i="49"/>
  <c r="BK251" i="49"/>
  <c r="BL251" i="49"/>
  <c r="BK400" i="49"/>
  <c r="BL400" i="49"/>
  <c r="BK258" i="49"/>
  <c r="BL258" i="49"/>
  <c r="BK378" i="49"/>
  <c r="BL378" i="49"/>
  <c r="BK102" i="49"/>
  <c r="BL102" i="49"/>
  <c r="BK103" i="49"/>
  <c r="BL103" i="49"/>
  <c r="BR171" i="49"/>
  <c r="BK14" i="49"/>
  <c r="BL14" i="49"/>
  <c r="BK97" i="49"/>
  <c r="BL97" i="49"/>
  <c r="BK278" i="49"/>
  <c r="BL278" i="49"/>
  <c r="BK494" i="49"/>
  <c r="BL494" i="49"/>
  <c r="BK133" i="49"/>
  <c r="BL133" i="49"/>
  <c r="BK331" i="49"/>
  <c r="BL331" i="49"/>
  <c r="BK59" i="49"/>
  <c r="BL59" i="49"/>
  <c r="BK109" i="49"/>
  <c r="BL109" i="49"/>
  <c r="BO364" i="49"/>
  <c r="BP364" i="49"/>
  <c r="BN364" i="49"/>
  <c r="BK482" i="49"/>
  <c r="BL482" i="49"/>
  <c r="BK185" i="49"/>
  <c r="BL185" i="49"/>
  <c r="BK170" i="49"/>
  <c r="BL170" i="49"/>
  <c r="BK173" i="49"/>
  <c r="BL173" i="49"/>
  <c r="BK13" i="49"/>
  <c r="BL13" i="49"/>
  <c r="BK146" i="49"/>
  <c r="BL146" i="49"/>
  <c r="BK333" i="49"/>
  <c r="BL333" i="49"/>
  <c r="BK413" i="49"/>
  <c r="BL413" i="49"/>
  <c r="BO110" i="49"/>
  <c r="BP110" i="49"/>
  <c r="BN110" i="49"/>
  <c r="BK427" i="49"/>
  <c r="BL427" i="49"/>
  <c r="BK349" i="49"/>
  <c r="BL349" i="49"/>
  <c r="BK33" i="49"/>
  <c r="BL33" i="49"/>
  <c r="BK6" i="49"/>
  <c r="BK37" i="49"/>
  <c r="BL37" i="49"/>
  <c r="BO477" i="49"/>
  <c r="BP477" i="49"/>
  <c r="BN477" i="49"/>
  <c r="BK157" i="49"/>
  <c r="BL157" i="49"/>
  <c r="BK438" i="49"/>
  <c r="BL438" i="49"/>
  <c r="BK277" i="49"/>
  <c r="BL277" i="49"/>
  <c r="BK184" i="49"/>
  <c r="BL184" i="49"/>
  <c r="BK498" i="49"/>
  <c r="BL498" i="49"/>
  <c r="BK217" i="49"/>
  <c r="BL217" i="49"/>
  <c r="BK459" i="49"/>
  <c r="BL459" i="49"/>
  <c r="BK366" i="49"/>
  <c r="BL366" i="49"/>
  <c r="BM330" i="49"/>
  <c r="AN330" i="49"/>
  <c r="AO330" i="49"/>
  <c r="CK330" i="49"/>
  <c r="BN56" i="49"/>
  <c r="AP204" i="49"/>
  <c r="CK204" i="49"/>
  <c r="AN203" i="49"/>
  <c r="AO203" i="49"/>
  <c r="BM203" i="49"/>
  <c r="BN204" i="49"/>
  <c r="BO95" i="49"/>
  <c r="BP95" i="49"/>
  <c r="BQ95" i="49"/>
  <c r="BR95" i="49"/>
  <c r="BN95" i="49"/>
  <c r="AN198" i="49"/>
  <c r="AO198" i="49"/>
  <c r="AP198" i="49"/>
  <c r="BN228" i="49"/>
  <c r="BN283" i="49"/>
  <c r="BN212" i="49"/>
  <c r="BN222" i="49"/>
  <c r="BN223" i="49"/>
  <c r="BN216" i="49"/>
  <c r="BN290" i="49"/>
  <c r="BM168" i="49"/>
  <c r="BM259" i="49"/>
  <c r="BN294" i="49"/>
  <c r="BN246" i="49"/>
  <c r="BM256" i="49"/>
  <c r="BN231" i="49"/>
  <c r="BQ121" i="49"/>
  <c r="BQ364" i="49"/>
  <c r="BQ110" i="49"/>
  <c r="BQ489" i="49"/>
  <c r="BQ477" i="49"/>
  <c r="BQ342" i="49"/>
  <c r="BQ72" i="49"/>
  <c r="BQ56" i="49"/>
  <c r="BQ353" i="49"/>
  <c r="BQ41" i="49"/>
  <c r="BM349" i="49"/>
  <c r="BM109" i="49"/>
  <c r="BM378" i="49"/>
  <c r="BM388" i="49"/>
  <c r="BM157" i="49"/>
  <c r="BM413" i="49"/>
  <c r="BM184" i="49"/>
  <c r="BL6" i="49"/>
  <c r="BK500" i="49"/>
  <c r="BK2" i="49"/>
  <c r="BM170" i="49"/>
  <c r="BM97" i="49"/>
  <c r="BM400" i="49"/>
  <c r="BM118" i="49"/>
  <c r="CK394" i="49"/>
  <c r="CK134" i="49"/>
  <c r="CK427" i="49"/>
  <c r="CK486" i="49"/>
  <c r="CK439" i="49"/>
  <c r="CK490" i="49"/>
  <c r="CK438" i="49"/>
  <c r="CK425" i="49"/>
  <c r="CK340" i="49"/>
  <c r="BM458" i="49"/>
  <c r="BM459" i="49"/>
  <c r="BM277" i="49"/>
  <c r="BM33" i="49"/>
  <c r="BM146" i="49"/>
  <c r="BM185" i="49"/>
  <c r="BM133" i="49"/>
  <c r="BM14" i="49"/>
  <c r="BM102" i="49"/>
  <c r="BM251" i="49"/>
  <c r="BM271" i="49"/>
  <c r="BM183" i="49"/>
  <c r="CK234" i="49"/>
  <c r="CK139" i="49"/>
  <c r="CK200" i="49"/>
  <c r="CK155" i="49"/>
  <c r="CK173" i="49"/>
  <c r="CK120" i="49"/>
  <c r="CK227" i="49"/>
  <c r="CK39" i="49"/>
  <c r="CK60" i="49"/>
  <c r="CK274" i="49"/>
  <c r="CK282" i="49"/>
  <c r="CK169" i="49"/>
  <c r="CK277" i="49"/>
  <c r="AU105" i="49"/>
  <c r="AR493" i="49"/>
  <c r="AS493" i="49"/>
  <c r="AQ493" i="49"/>
  <c r="AU25" i="49"/>
  <c r="CK152" i="49"/>
  <c r="BM116" i="49"/>
  <c r="BM80" i="49"/>
  <c r="BM39" i="49"/>
  <c r="BM123" i="49"/>
  <c r="BM443" i="49"/>
  <c r="BM261" i="49"/>
  <c r="BM235" i="49"/>
  <c r="BM214" i="49"/>
  <c r="BM463" i="49"/>
  <c r="BM435" i="49"/>
  <c r="BM243" i="49"/>
  <c r="BM404" i="49"/>
  <c r="BM352" i="49"/>
  <c r="BM84" i="49"/>
  <c r="BM160" i="49"/>
  <c r="BM174" i="49"/>
  <c r="BM380" i="49"/>
  <c r="BM162" i="49"/>
  <c r="BM282" i="49"/>
  <c r="BM316" i="49"/>
  <c r="BM343" i="49"/>
  <c r="BM79" i="49"/>
  <c r="BM248" i="49"/>
  <c r="BM112" i="49"/>
  <c r="BM198" i="49"/>
  <c r="BM200" i="49"/>
  <c r="BM88" i="49"/>
  <c r="BM299" i="49"/>
  <c r="BM466" i="49"/>
  <c r="BM338" i="49"/>
  <c r="BM66" i="49"/>
  <c r="BM77" i="49"/>
  <c r="BM155" i="49"/>
  <c r="BM467" i="49"/>
  <c r="BM420" i="49"/>
  <c r="BM383" i="49"/>
  <c r="AU10" i="49"/>
  <c r="CK156" i="49"/>
  <c r="CK149" i="49"/>
  <c r="CK64" i="49"/>
  <c r="AU31" i="49"/>
  <c r="AN6" i="49"/>
  <c r="CK217" i="49"/>
  <c r="BM491" i="49"/>
  <c r="BM85" i="49"/>
  <c r="BM440" i="49"/>
  <c r="BM192" i="49"/>
  <c r="BM144" i="49"/>
  <c r="BM317" i="49"/>
  <c r="BM50" i="49"/>
  <c r="BM313" i="49"/>
  <c r="BM449" i="49"/>
  <c r="BM379" i="49"/>
  <c r="CK235" i="49"/>
  <c r="CK180" i="49"/>
  <c r="CK43" i="49"/>
  <c r="CK161" i="49"/>
  <c r="CK108" i="49"/>
  <c r="CK210" i="49"/>
  <c r="CK153" i="49"/>
  <c r="CK100" i="49"/>
  <c r="CK105" i="49"/>
  <c r="CK164" i="49"/>
  <c r="CK262" i="49"/>
  <c r="CK172" i="49"/>
  <c r="CK315" i="49"/>
  <c r="CK325" i="49"/>
  <c r="CK363" i="49"/>
  <c r="AU209" i="49"/>
  <c r="CK243" i="49"/>
  <c r="BM356" i="49"/>
  <c r="BM189" i="49"/>
  <c r="BM281" i="49"/>
  <c r="BM67" i="49"/>
  <c r="BM205" i="49"/>
  <c r="BM454" i="49"/>
  <c r="BM211" i="49"/>
  <c r="BM240" i="49"/>
  <c r="BM35" i="49"/>
  <c r="BM310" i="49"/>
  <c r="BM8" i="49"/>
  <c r="CK261" i="49"/>
  <c r="CK273" i="49"/>
  <c r="CK245" i="49"/>
  <c r="CK187" i="49"/>
  <c r="CK104" i="49"/>
  <c r="CK83" i="49"/>
  <c r="CK119" i="49"/>
  <c r="CK279" i="49"/>
  <c r="CK106" i="49"/>
  <c r="CK442" i="49"/>
  <c r="CK225" i="49"/>
  <c r="CK157" i="49"/>
  <c r="CK87" i="49"/>
  <c r="BM225" i="49"/>
  <c r="BM472" i="49"/>
  <c r="BM106" i="49"/>
  <c r="BM87" i="49"/>
  <c r="BM64" i="49"/>
  <c r="BM346" i="49"/>
  <c r="BM51" i="49"/>
  <c r="BM19" i="49"/>
  <c r="BQ336" i="49"/>
  <c r="BM179" i="49"/>
  <c r="BM127" i="49"/>
  <c r="BM54" i="49"/>
  <c r="BM82" i="49"/>
  <c r="CK408" i="49"/>
  <c r="CK485" i="49"/>
  <c r="CK409" i="49"/>
  <c r="CK395" i="49"/>
  <c r="CK352" i="49"/>
  <c r="CK90" i="49"/>
  <c r="CK142" i="49"/>
  <c r="CK339" i="49"/>
  <c r="CK473" i="49"/>
  <c r="CK301" i="49"/>
  <c r="CK467" i="49"/>
  <c r="CK329" i="49"/>
  <c r="CK348" i="49"/>
  <c r="CK82" i="49"/>
  <c r="CK78" i="49"/>
  <c r="CK312" i="49"/>
  <c r="CK178" i="49"/>
  <c r="CK492" i="49"/>
  <c r="AU12" i="49"/>
  <c r="CK338" i="49"/>
  <c r="CK388" i="49"/>
  <c r="BQ128" i="49"/>
  <c r="AU73" i="49"/>
  <c r="CK145" i="49"/>
  <c r="CK21" i="49"/>
  <c r="CK92" i="49"/>
  <c r="CK159" i="49"/>
  <c r="CK95" i="49"/>
  <c r="CK76" i="49"/>
  <c r="AN15" i="49"/>
  <c r="AO15" i="49"/>
  <c r="AN190" i="49"/>
  <c r="AO190" i="49"/>
  <c r="AN81" i="49"/>
  <c r="AO81" i="49"/>
  <c r="AN441" i="49"/>
  <c r="AO441" i="49"/>
  <c r="AU335" i="49"/>
  <c r="AN129" i="49"/>
  <c r="AO129" i="49"/>
  <c r="AN281" i="49"/>
  <c r="AO281" i="49"/>
  <c r="AN485" i="49"/>
  <c r="AO485" i="49"/>
  <c r="AN95" i="49"/>
  <c r="AO95" i="49"/>
  <c r="AN220" i="49"/>
  <c r="AO220" i="49"/>
  <c r="AN290" i="49"/>
  <c r="AO290" i="49"/>
  <c r="AN16" i="49"/>
  <c r="AO16" i="49"/>
  <c r="AN250" i="49"/>
  <c r="AO250" i="49"/>
  <c r="AN427" i="49"/>
  <c r="AO427" i="49"/>
  <c r="AU46" i="49"/>
  <c r="AU179" i="49"/>
  <c r="AU367" i="49"/>
  <c r="AN372" i="49"/>
  <c r="AO372" i="49"/>
  <c r="AN70" i="49"/>
  <c r="AO70" i="49"/>
  <c r="AN483" i="49"/>
  <c r="AO483" i="49"/>
  <c r="AN215" i="49"/>
  <c r="AO215" i="49"/>
  <c r="AN126" i="49"/>
  <c r="AO126" i="49"/>
  <c r="AN123" i="49"/>
  <c r="AO123" i="49"/>
  <c r="AN13" i="49"/>
  <c r="AO13" i="49"/>
  <c r="AN28" i="49"/>
  <c r="AO28" i="49"/>
  <c r="AN20" i="49"/>
  <c r="AO20" i="49"/>
  <c r="AN430" i="49"/>
  <c r="AO430" i="49"/>
  <c r="AN409" i="49"/>
  <c r="AO409" i="49"/>
  <c r="AU103" i="49"/>
  <c r="AN27" i="49"/>
  <c r="AO27" i="49"/>
  <c r="AN498" i="49"/>
  <c r="AO498" i="49"/>
  <c r="AN43" i="49"/>
  <c r="AO43" i="49"/>
  <c r="AN482" i="49"/>
  <c r="AO482" i="49"/>
  <c r="AN111" i="49"/>
  <c r="AO111" i="49"/>
  <c r="AN325" i="49"/>
  <c r="AO325" i="49"/>
  <c r="AN373" i="49"/>
  <c r="AO373" i="49"/>
  <c r="AN140" i="49"/>
  <c r="AO140" i="49"/>
  <c r="AN102" i="49"/>
  <c r="AO102" i="49"/>
  <c r="AN313" i="49"/>
  <c r="AO313" i="49"/>
  <c r="AN473" i="49"/>
  <c r="AO473" i="49"/>
  <c r="AN161" i="49"/>
  <c r="AO161" i="49"/>
  <c r="AN306" i="49"/>
  <c r="AO306" i="49"/>
  <c r="AU494" i="49"/>
  <c r="AU37" i="49"/>
  <c r="AN296" i="49"/>
  <c r="AO296" i="49"/>
  <c r="AN68" i="49"/>
  <c r="AO68" i="49"/>
  <c r="AN413" i="49"/>
  <c r="AO413" i="49"/>
  <c r="BM438" i="49"/>
  <c r="BM13" i="49"/>
  <c r="BM446" i="49"/>
  <c r="CK368" i="49"/>
  <c r="CK337" i="49"/>
  <c r="CK354" i="49"/>
  <c r="CK468" i="49"/>
  <c r="CK357" i="49"/>
  <c r="CK190" i="49"/>
  <c r="CK322" i="49"/>
  <c r="CK316" i="49"/>
  <c r="CK320" i="49"/>
  <c r="CK346" i="49"/>
  <c r="CK299" i="49"/>
  <c r="CK470" i="49"/>
  <c r="CK430" i="49"/>
  <c r="CK487" i="49"/>
  <c r="CK146" i="49"/>
  <c r="CK293" i="49"/>
  <c r="CK248" i="49"/>
  <c r="CK70" i="49"/>
  <c r="CK402" i="49"/>
  <c r="BM20" i="49"/>
  <c r="BM139" i="49"/>
  <c r="BM493" i="49"/>
  <c r="BM164" i="49"/>
  <c r="BM194" i="49"/>
  <c r="BM130" i="49"/>
  <c r="BM293" i="49"/>
  <c r="BM53" i="49"/>
  <c r="BM460" i="49"/>
  <c r="BM461" i="49"/>
  <c r="BM430" i="49"/>
  <c r="BM447" i="49"/>
  <c r="BM108" i="49"/>
  <c r="BM409" i="49"/>
  <c r="BM104" i="49"/>
  <c r="BM161" i="49"/>
  <c r="BM145" i="49"/>
  <c r="BM260" i="49"/>
  <c r="BM149" i="49"/>
  <c r="BM63" i="49"/>
  <c r="BM201" i="49"/>
  <c r="BM358" i="49"/>
  <c r="BM119" i="49"/>
  <c r="BM78" i="49"/>
  <c r="BM348" i="49"/>
  <c r="BM408" i="49"/>
  <c r="BM213" i="49"/>
  <c r="BM215" i="49"/>
  <c r="BM187" i="49"/>
  <c r="BM306" i="49"/>
  <c r="BM303" i="49"/>
  <c r="BM286" i="49"/>
  <c r="BM22" i="49"/>
  <c r="BM186" i="49"/>
  <c r="BM89" i="49"/>
  <c r="CK461" i="49"/>
  <c r="AN352" i="49"/>
  <c r="AO352" i="49"/>
  <c r="AN225" i="49"/>
  <c r="AO225" i="49"/>
  <c r="AN305" i="49"/>
  <c r="AO305" i="49"/>
  <c r="AN82" i="49"/>
  <c r="AO82" i="49"/>
  <c r="AN122" i="49"/>
  <c r="AO122" i="49"/>
  <c r="AN52" i="49"/>
  <c r="AO52" i="49"/>
  <c r="AN156" i="49"/>
  <c r="AO156" i="49"/>
  <c r="AN154" i="49"/>
  <c r="AO154" i="49"/>
  <c r="AN197" i="49"/>
  <c r="AO197" i="49"/>
  <c r="AN261" i="49"/>
  <c r="AO261" i="49"/>
  <c r="AN162" i="49"/>
  <c r="AO162" i="49"/>
  <c r="AN158" i="49"/>
  <c r="AO158" i="49"/>
  <c r="AN96" i="49"/>
  <c r="AO96" i="49"/>
  <c r="AN130" i="49"/>
  <c r="AO130" i="49"/>
  <c r="AN155" i="49"/>
  <c r="AO155" i="49"/>
  <c r="AN410" i="49"/>
  <c r="AO410" i="49"/>
  <c r="AN437" i="49"/>
  <c r="AO437" i="49"/>
  <c r="AN271" i="49"/>
  <c r="AO271" i="49"/>
  <c r="AN139" i="49"/>
  <c r="AO139" i="49"/>
  <c r="AN278" i="49"/>
  <c r="AO278" i="49"/>
  <c r="AN48" i="49"/>
  <c r="AO48" i="49"/>
  <c r="AN227" i="49"/>
  <c r="AO227" i="49"/>
  <c r="AN343" i="49"/>
  <c r="AO343" i="49"/>
  <c r="AN470" i="49"/>
  <c r="AO470" i="49"/>
  <c r="AN451" i="49"/>
  <c r="AO451" i="49"/>
  <c r="AN99" i="49"/>
  <c r="AO99" i="49"/>
  <c r="AN484" i="49"/>
  <c r="AO484" i="49"/>
  <c r="AN172" i="49"/>
  <c r="AO172" i="49"/>
  <c r="AN214" i="49"/>
  <c r="AO214" i="49"/>
  <c r="AN51" i="49"/>
  <c r="AO51" i="49"/>
  <c r="AN248" i="49"/>
  <c r="AO248" i="49"/>
  <c r="AN315" i="49"/>
  <c r="AO315" i="49"/>
  <c r="AN47" i="49"/>
  <c r="AO47" i="49"/>
  <c r="AN368" i="49"/>
  <c r="AO368" i="49"/>
  <c r="AN310" i="49"/>
  <c r="AO310" i="49"/>
  <c r="AN173" i="49"/>
  <c r="AO173" i="49"/>
  <c r="AN56" i="49"/>
  <c r="AO56" i="49"/>
  <c r="AN393" i="49"/>
  <c r="AO393" i="49"/>
  <c r="AN89" i="49"/>
  <c r="AO89" i="49"/>
  <c r="AN420" i="49"/>
  <c r="AO420" i="49"/>
  <c r="AN475" i="49"/>
  <c r="AO475" i="49"/>
  <c r="AN487" i="49"/>
  <c r="AO487" i="49"/>
  <c r="AN121" i="49"/>
  <c r="AO121" i="49"/>
  <c r="AN356" i="49"/>
  <c r="AO356" i="49"/>
  <c r="AN133" i="49"/>
  <c r="AO133" i="49"/>
  <c r="AN447" i="49"/>
  <c r="AO447" i="49"/>
  <c r="AN360" i="49"/>
  <c r="AO360" i="49"/>
  <c r="AN200" i="49"/>
  <c r="AO200" i="49"/>
  <c r="AN58" i="49"/>
  <c r="AO58" i="49"/>
  <c r="AN348" i="49"/>
  <c r="AO348" i="49"/>
  <c r="AN170" i="49"/>
  <c r="AO170" i="49"/>
  <c r="AN165" i="49"/>
  <c r="AO165" i="49"/>
  <c r="AN339" i="49"/>
  <c r="AO339" i="49"/>
  <c r="AN321" i="49"/>
  <c r="AO321" i="49"/>
  <c r="AN317" i="49"/>
  <c r="AO317" i="49"/>
  <c r="AN149" i="49"/>
  <c r="AO149" i="49"/>
  <c r="AN145" i="49"/>
  <c r="AO145" i="49"/>
  <c r="AN265" i="49"/>
  <c r="AO265" i="49"/>
  <c r="AN218" i="49"/>
  <c r="AO218" i="49"/>
  <c r="AN104" i="49"/>
  <c r="AO104" i="49"/>
  <c r="AN268" i="49"/>
  <c r="AO268" i="49"/>
  <c r="AN136" i="49"/>
  <c r="AO136" i="49"/>
  <c r="AN119" i="49"/>
  <c r="AO119" i="49"/>
  <c r="AN274" i="49"/>
  <c r="AO274" i="49"/>
  <c r="AN492" i="49"/>
  <c r="AO492" i="49"/>
  <c r="AN54" i="49"/>
  <c r="AO54" i="49"/>
  <c r="AN26" i="49"/>
  <c r="AO26" i="49"/>
  <c r="AN166" i="49"/>
  <c r="AO166" i="49"/>
  <c r="AN14" i="49"/>
  <c r="AO14" i="49"/>
  <c r="AN205" i="49"/>
  <c r="AO205" i="49"/>
  <c r="AN189" i="49"/>
  <c r="AO189" i="49"/>
  <c r="AN322" i="49"/>
  <c r="AO322" i="49"/>
  <c r="AN354" i="49"/>
  <c r="AO354" i="49"/>
  <c r="AN86" i="49"/>
  <c r="AO86" i="49"/>
  <c r="AN85" i="49"/>
  <c r="AO85" i="49"/>
  <c r="AN100" i="49"/>
  <c r="AO100" i="49"/>
  <c r="AN365" i="49"/>
  <c r="AO365" i="49"/>
  <c r="AN435" i="49"/>
  <c r="AO435" i="49"/>
  <c r="AN323" i="49"/>
  <c r="AO323" i="49"/>
  <c r="AN388" i="49"/>
  <c r="AO388" i="49"/>
  <c r="AN118" i="49"/>
  <c r="AO118" i="49"/>
  <c r="AN468" i="49"/>
  <c r="AO468" i="49"/>
  <c r="AN346" i="49"/>
  <c r="AO346" i="49"/>
  <c r="AN79" i="49"/>
  <c r="AO79" i="49"/>
  <c r="AN180" i="49"/>
  <c r="AO180" i="49"/>
  <c r="AN233" i="49"/>
  <c r="AO233" i="49"/>
  <c r="AN38" i="49"/>
  <c r="AO38" i="49"/>
  <c r="AN333" i="49"/>
  <c r="AO333" i="49"/>
  <c r="AN337" i="49"/>
  <c r="AO337" i="49"/>
  <c r="AN295" i="49"/>
  <c r="AO295" i="49"/>
  <c r="AN303" i="49"/>
  <c r="AO303" i="49"/>
  <c r="AN184" i="49"/>
  <c r="AO184" i="49"/>
  <c r="AN316" i="49"/>
  <c r="AO316" i="49"/>
  <c r="AN442" i="49"/>
  <c r="AO442" i="49"/>
  <c r="AN314" i="49"/>
  <c r="AO314" i="49"/>
  <c r="AN113" i="49"/>
  <c r="AO113" i="49"/>
  <c r="AN444" i="49"/>
  <c r="AO444" i="49"/>
  <c r="AN132" i="49"/>
  <c r="AO132" i="49"/>
  <c r="AN112" i="49"/>
  <c r="AO112" i="49"/>
  <c r="AN120" i="49"/>
  <c r="AO120" i="49"/>
  <c r="AN64" i="49"/>
  <c r="AO64" i="49"/>
  <c r="AN159" i="49"/>
  <c r="AO159" i="49"/>
  <c r="AN496" i="49"/>
  <c r="AO496" i="49"/>
  <c r="AN299" i="49"/>
  <c r="AO299" i="49"/>
  <c r="AN124" i="49"/>
  <c r="AO124" i="49"/>
  <c r="AN425" i="49"/>
  <c r="AO425" i="49"/>
  <c r="AN101" i="49"/>
  <c r="AO101" i="49"/>
  <c r="AN87" i="49"/>
  <c r="AO87" i="49"/>
  <c r="AN60" i="49"/>
  <c r="AO60" i="49"/>
  <c r="AN267" i="49"/>
  <c r="AO267" i="49"/>
  <c r="AN141" i="49"/>
  <c r="AO141" i="49"/>
  <c r="AN445" i="49"/>
  <c r="AO445" i="49"/>
  <c r="AN157" i="49"/>
  <c r="AO157" i="49"/>
  <c r="AN357" i="49"/>
  <c r="AO357" i="49"/>
  <c r="AN331" i="49"/>
  <c r="AO331" i="49"/>
  <c r="AN423" i="49"/>
  <c r="AO423" i="49"/>
  <c r="AN8" i="49"/>
  <c r="AO8" i="49"/>
  <c r="AN224" i="49"/>
  <c r="AO224" i="49"/>
  <c r="AN150" i="49"/>
  <c r="AO150" i="49"/>
  <c r="AN135" i="49"/>
  <c r="AO135" i="49"/>
  <c r="CK450" i="49"/>
  <c r="CK58" i="49"/>
  <c r="CK435" i="49"/>
  <c r="CK447" i="49"/>
  <c r="BM365" i="49"/>
  <c r="BM165" i="49"/>
  <c r="BM474" i="49"/>
  <c r="BM134" i="49"/>
  <c r="BM100" i="49"/>
  <c r="BM386" i="49"/>
  <c r="BM265" i="49"/>
  <c r="BM484" i="49"/>
  <c r="BM142" i="49"/>
  <c r="BM152" i="49"/>
  <c r="CK460" i="49"/>
  <c r="CK280" i="49"/>
  <c r="CK327" i="49"/>
  <c r="CK268" i="49"/>
  <c r="CK454" i="49"/>
  <c r="CK260" i="49"/>
  <c r="CK86" i="49"/>
  <c r="CK484" i="49"/>
  <c r="CK437" i="49"/>
  <c r="CK13" i="49"/>
  <c r="CK482" i="49"/>
  <c r="CK66" i="49"/>
  <c r="CK413" i="49"/>
  <c r="AU340" i="49"/>
  <c r="AR312" i="49"/>
  <c r="AS312" i="49"/>
  <c r="AQ312" i="49"/>
  <c r="CK384" i="49"/>
  <c r="BQ107" i="49"/>
  <c r="AU336" i="49"/>
  <c r="CK7" i="49"/>
  <c r="CK201" i="49"/>
  <c r="CK20" i="49"/>
  <c r="AU94" i="49"/>
  <c r="AU23" i="49"/>
  <c r="CJ6" i="49"/>
  <c r="CI500" i="49"/>
  <c r="CI2" i="49"/>
  <c r="CK311" i="49"/>
  <c r="BM111" i="49"/>
  <c r="BM199" i="49"/>
  <c r="BM311" i="49"/>
  <c r="BM455" i="49"/>
  <c r="BM219" i="49"/>
  <c r="BM101" i="49"/>
  <c r="BM486" i="49"/>
  <c r="BM113" i="49"/>
  <c r="BM444" i="49"/>
  <c r="BM300" i="49"/>
  <c r="BM382" i="49"/>
  <c r="CK38" i="49"/>
  <c r="CK446" i="49"/>
  <c r="CK367" i="49"/>
  <c r="CK162" i="49"/>
  <c r="CK300" i="49"/>
  <c r="CK379" i="49"/>
  <c r="CK385" i="49"/>
  <c r="CK445" i="49"/>
  <c r="CK390" i="49"/>
  <c r="CK9" i="49"/>
  <c r="CK358" i="49"/>
  <c r="CK341" i="49"/>
  <c r="CK198" i="49"/>
  <c r="CK208" i="49"/>
  <c r="AU436" i="49"/>
  <c r="AU353" i="49"/>
  <c r="CK278" i="49"/>
  <c r="CK113" i="49"/>
  <c r="CK215" i="49"/>
  <c r="CK449" i="49"/>
  <c r="CK483" i="49"/>
  <c r="DG500" i="49"/>
  <c r="DG2" i="49"/>
  <c r="DH5" i="49"/>
  <c r="DH500" i="49"/>
  <c r="DH2" i="49"/>
  <c r="DI330" i="49"/>
  <c r="DJ330" i="49"/>
  <c r="CK205" i="49"/>
  <c r="CK48" i="49"/>
  <c r="CK33" i="49"/>
  <c r="BM154" i="49"/>
  <c r="BM234" i="49"/>
  <c r="BM76" i="49"/>
  <c r="BM23" i="49"/>
  <c r="BM143" i="49"/>
  <c r="BM71" i="49"/>
  <c r="BM126" i="49"/>
  <c r="BM254" i="49"/>
  <c r="BM120" i="49"/>
  <c r="BM351" i="49"/>
  <c r="BM483" i="49"/>
  <c r="BM242" i="49"/>
  <c r="CK117" i="49"/>
  <c r="CK140" i="49"/>
  <c r="CK141" i="49"/>
  <c r="CK125" i="49"/>
  <c r="CK29" i="49"/>
  <c r="CK189" i="49"/>
  <c r="CK165" i="49"/>
  <c r="CK196" i="49"/>
  <c r="AU110" i="49"/>
  <c r="CK88" i="49"/>
  <c r="CK199" i="49"/>
  <c r="CK75" i="49"/>
  <c r="CK126" i="49"/>
  <c r="CK102" i="49"/>
  <c r="AU234" i="49"/>
  <c r="CK319" i="49"/>
  <c r="CK194" i="49"/>
  <c r="CK491" i="49"/>
  <c r="CK412" i="49"/>
  <c r="CK419" i="49"/>
  <c r="AN42" i="49"/>
  <c r="AO42" i="49"/>
  <c r="AN90" i="49"/>
  <c r="AO90" i="49"/>
  <c r="AN412" i="49"/>
  <c r="AO412" i="49"/>
  <c r="AN386" i="49"/>
  <c r="AO386" i="49"/>
  <c r="AN55" i="49"/>
  <c r="AO55" i="49"/>
  <c r="AN108" i="49"/>
  <c r="AO108" i="49"/>
  <c r="AN44" i="49"/>
  <c r="AO44" i="49"/>
  <c r="AN146" i="49"/>
  <c r="AO146" i="49"/>
  <c r="AN235" i="49"/>
  <c r="AO235" i="49"/>
  <c r="AN379" i="49"/>
  <c r="AO379" i="49"/>
  <c r="AN292" i="49"/>
  <c r="AO292" i="49"/>
  <c r="AN450" i="49"/>
  <c r="AO450" i="49"/>
  <c r="AN167" i="49"/>
  <c r="AO167" i="49"/>
  <c r="AN384" i="49"/>
  <c r="AO384" i="49"/>
  <c r="AN127" i="49"/>
  <c r="AO127" i="49"/>
  <c r="AN363" i="49"/>
  <c r="AO363" i="49"/>
  <c r="AN478" i="49"/>
  <c r="AO478" i="49"/>
  <c r="AN301" i="49"/>
  <c r="AO301" i="49"/>
  <c r="AN138" i="49"/>
  <c r="AO138" i="49"/>
  <c r="AN153" i="49"/>
  <c r="AO153" i="49"/>
  <c r="AU67" i="49"/>
  <c r="AN275" i="49"/>
  <c r="AO275" i="49"/>
  <c r="AN438" i="49"/>
  <c r="AO438" i="49"/>
  <c r="AN477" i="49"/>
  <c r="AO477" i="49"/>
  <c r="AN50" i="49"/>
  <c r="AO50" i="49"/>
  <c r="AN59" i="49"/>
  <c r="AO59" i="49"/>
  <c r="AN33" i="49"/>
  <c r="AO33" i="49"/>
  <c r="AN187" i="49"/>
  <c r="AO187" i="49"/>
  <c r="AN115" i="49"/>
  <c r="AO115" i="49"/>
  <c r="AN377" i="49"/>
  <c r="AO377" i="49"/>
  <c r="AN460" i="49"/>
  <c r="AO460" i="49"/>
  <c r="AN395" i="49"/>
  <c r="AO395" i="49"/>
  <c r="AN338" i="49"/>
  <c r="AO338" i="49"/>
  <c r="AN334" i="49"/>
  <c r="AO334" i="49"/>
  <c r="AN311" i="49"/>
  <c r="AO311" i="49"/>
  <c r="AN192" i="49"/>
  <c r="AO192" i="49"/>
  <c r="AN400" i="49"/>
  <c r="AO400" i="49"/>
  <c r="AU128" i="49"/>
  <c r="AN490" i="49"/>
  <c r="AO490" i="49"/>
  <c r="AN84" i="49"/>
  <c r="AO84" i="49"/>
  <c r="AU41" i="49"/>
  <c r="AN144" i="49"/>
  <c r="AO144" i="49"/>
  <c r="AN199" i="49"/>
  <c r="AO199" i="49"/>
  <c r="AN30" i="49"/>
  <c r="AO30" i="49"/>
  <c r="AN324" i="49"/>
  <c r="AO324" i="49"/>
  <c r="AN125" i="49"/>
  <c r="AO125" i="49"/>
  <c r="AN486" i="49"/>
  <c r="AO486" i="49"/>
  <c r="AN148" i="49"/>
  <c r="AO148" i="49"/>
  <c r="AN196" i="49"/>
  <c r="AO196" i="49"/>
  <c r="AN208" i="49"/>
  <c r="AO208" i="49"/>
  <c r="BM217" i="49"/>
  <c r="BM494" i="49"/>
  <c r="BM325" i="49"/>
  <c r="BM37" i="49"/>
  <c r="BM173" i="49"/>
  <c r="BM59" i="49"/>
  <c r="BM278" i="49"/>
  <c r="BM258" i="49"/>
  <c r="BM230" i="49"/>
  <c r="BM419" i="49"/>
  <c r="BM357" i="49"/>
  <c r="CK61" i="49"/>
  <c r="CK148" i="49"/>
  <c r="CK253" i="49"/>
  <c r="CK249" i="49"/>
  <c r="CK191" i="49"/>
  <c r="CK55" i="49"/>
  <c r="CK218" i="49"/>
  <c r="CK184" i="49"/>
  <c r="CK109" i="49"/>
  <c r="CK197" i="49"/>
  <c r="CK266" i="49"/>
  <c r="AU92" i="49"/>
  <c r="AU45" i="49"/>
  <c r="BM485" i="49"/>
  <c r="BM18" i="49"/>
  <c r="BM43" i="49"/>
  <c r="BM32" i="49"/>
  <c r="BM31" i="49"/>
  <c r="BM245" i="49"/>
  <c r="BM169" i="49"/>
  <c r="BM368" i="49"/>
  <c r="BM55" i="49"/>
  <c r="BM481" i="49"/>
  <c r="BM69" i="49"/>
  <c r="BM322" i="49"/>
  <c r="BM465" i="49"/>
  <c r="BM257" i="49"/>
  <c r="BM301" i="49"/>
  <c r="BM473" i="49"/>
  <c r="BM49" i="49"/>
  <c r="BM44" i="49"/>
  <c r="BM384" i="49"/>
  <c r="BM99" i="49"/>
  <c r="BM337" i="49"/>
  <c r="BM172" i="49"/>
  <c r="BM410" i="49"/>
  <c r="BM445" i="49"/>
  <c r="BM478" i="49"/>
  <c r="BM437" i="49"/>
  <c r="BM487" i="49"/>
  <c r="BM159" i="49"/>
  <c r="BM326" i="49"/>
  <c r="BM315" i="49"/>
  <c r="BM210" i="49"/>
  <c r="BM252" i="49"/>
  <c r="BM385" i="49"/>
  <c r="BM48" i="49"/>
  <c r="BM425" i="49"/>
  <c r="AU458" i="49"/>
  <c r="CK59" i="49"/>
  <c r="CK163" i="49"/>
  <c r="CK185" i="49"/>
  <c r="CK207" i="49"/>
  <c r="BM156" i="49"/>
  <c r="BM90" i="49"/>
  <c r="BM452" i="49"/>
  <c r="BM412" i="49"/>
  <c r="BM377" i="49"/>
  <c r="BM27" i="49"/>
  <c r="BM402" i="49"/>
  <c r="BM153" i="49"/>
  <c r="BM464" i="49"/>
  <c r="BM196" i="49"/>
  <c r="BM125" i="49"/>
  <c r="BQ58" i="49"/>
  <c r="CK131" i="49"/>
  <c r="CK79" i="49"/>
  <c r="CK143" i="49"/>
  <c r="CK160" i="49"/>
  <c r="CK123" i="49"/>
  <c r="CK271" i="49"/>
  <c r="CK115" i="49"/>
  <c r="CK233" i="49"/>
  <c r="CK91" i="49"/>
  <c r="CK111" i="49"/>
  <c r="CK57" i="49"/>
  <c r="CK124" i="49"/>
  <c r="CK167" i="49"/>
  <c r="BQ434" i="49"/>
  <c r="CK211" i="49"/>
  <c r="CK85" i="49"/>
  <c r="CK188" i="49"/>
  <c r="CK8" i="49"/>
  <c r="CK121" i="49"/>
  <c r="CK252" i="49"/>
  <c r="CK378" i="49"/>
  <c r="CK323" i="49"/>
  <c r="CK114" i="49"/>
  <c r="AU91" i="49"/>
  <c r="CK112" i="49"/>
  <c r="CK192" i="49"/>
  <c r="CK101" i="49"/>
  <c r="CK128" i="49"/>
  <c r="BM166" i="49"/>
  <c r="BM26" i="49"/>
  <c r="BM224" i="49"/>
  <c r="BM150" i="49"/>
  <c r="BM363" i="49"/>
  <c r="BM390" i="49"/>
  <c r="BM36" i="49"/>
  <c r="BM372" i="49"/>
  <c r="BM339" i="49"/>
  <c r="BM296" i="49"/>
  <c r="CK250" i="49"/>
  <c r="CK16" i="49"/>
  <c r="CK219" i="49"/>
  <c r="CK127" i="49"/>
  <c r="CK27" i="49"/>
  <c r="CK47" i="49"/>
  <c r="CK51" i="49"/>
  <c r="CK135" i="49"/>
  <c r="CK183" i="49"/>
  <c r="CK144" i="49"/>
  <c r="CK99" i="49"/>
  <c r="CK69" i="49"/>
  <c r="AU341" i="49"/>
  <c r="CK453" i="49"/>
  <c r="CK481" i="49"/>
  <c r="CK170" i="49"/>
  <c r="CK498" i="49"/>
  <c r="CK373" i="49"/>
  <c r="CK44" i="49"/>
  <c r="CK56" i="49"/>
  <c r="CK77" i="49"/>
  <c r="CK129" i="49"/>
  <c r="CK350" i="49"/>
  <c r="BM61" i="49"/>
  <c r="BM191" i="49"/>
  <c r="BM7" i="49"/>
  <c r="BM312" i="49"/>
  <c r="BM321" i="49"/>
  <c r="BM24" i="49"/>
  <c r="BM274" i="49"/>
  <c r="BM38" i="49"/>
  <c r="BM233" i="49"/>
  <c r="BM92" i="49"/>
  <c r="BM138" i="49"/>
  <c r="BM86" i="49"/>
  <c r="BQ335" i="49"/>
  <c r="CK290" i="49"/>
  <c r="CK448" i="49"/>
  <c r="CK318" i="49"/>
  <c r="CK382" i="49"/>
  <c r="CK380" i="49"/>
  <c r="CK478" i="49"/>
  <c r="CK404" i="49"/>
  <c r="CK150" i="49"/>
  <c r="CK313" i="49"/>
  <c r="CK42" i="49"/>
  <c r="CK224" i="49"/>
  <c r="CK158" i="49"/>
  <c r="CK54" i="49"/>
  <c r="AU78" i="49"/>
  <c r="CK349" i="49"/>
  <c r="CK356" i="49"/>
  <c r="AR74" i="49"/>
  <c r="AS74" i="49"/>
  <c r="AQ74" i="49"/>
  <c r="AU11" i="49"/>
  <c r="CK81" i="49"/>
  <c r="CK15" i="49"/>
  <c r="CK247" i="49"/>
  <c r="CK17" i="49"/>
  <c r="CK275" i="49"/>
  <c r="CK209" i="49"/>
  <c r="AU98" i="49"/>
  <c r="AN72" i="49"/>
  <c r="AO72" i="49"/>
  <c r="AN219" i="49"/>
  <c r="AO219" i="49"/>
  <c r="AN243" i="49"/>
  <c r="AO243" i="49"/>
  <c r="AN69" i="49"/>
  <c r="AO69" i="49"/>
  <c r="AU414" i="49"/>
  <c r="AN185" i="49"/>
  <c r="AO185" i="49"/>
  <c r="AN76" i="49"/>
  <c r="AO76" i="49"/>
  <c r="AN160" i="49"/>
  <c r="AO160" i="49"/>
  <c r="AN247" i="49"/>
  <c r="AO247" i="49"/>
  <c r="AN183" i="49"/>
  <c r="AO183" i="49"/>
  <c r="AN75" i="49"/>
  <c r="AO75" i="49"/>
  <c r="AN455" i="49"/>
  <c r="AO455" i="49"/>
  <c r="AN361" i="49"/>
  <c r="AO361" i="49"/>
  <c r="AN404" i="49"/>
  <c r="AO404" i="49"/>
  <c r="AN49" i="49"/>
  <c r="AO49" i="49"/>
  <c r="AN142" i="49"/>
  <c r="AO142" i="49"/>
  <c r="AN471" i="49"/>
  <c r="AO471" i="49"/>
  <c r="AN61" i="49"/>
  <c r="AO61" i="49"/>
  <c r="AN252" i="49"/>
  <c r="AO252" i="49"/>
  <c r="AN134" i="49"/>
  <c r="AO134" i="49"/>
  <c r="AN152" i="49"/>
  <c r="AO152" i="49"/>
  <c r="AN7" i="49"/>
  <c r="AO7" i="49"/>
  <c r="AN201" i="49"/>
  <c r="AO201" i="49"/>
  <c r="AN93" i="49"/>
  <c r="AO93" i="49"/>
  <c r="AN186" i="49"/>
  <c r="AO186" i="49"/>
  <c r="AN408" i="49"/>
  <c r="AO408" i="49"/>
  <c r="AN349" i="49"/>
  <c r="AO349" i="49"/>
  <c r="AN383" i="49"/>
  <c r="AO383" i="49"/>
  <c r="AN350" i="49"/>
  <c r="AO350" i="49"/>
  <c r="AN164" i="49"/>
  <c r="AO164" i="49"/>
  <c r="AN106" i="49"/>
  <c r="AO106" i="49"/>
  <c r="AN174" i="49"/>
  <c r="AO174" i="49"/>
  <c r="AN446" i="49"/>
  <c r="AO446" i="49"/>
  <c r="AN461" i="49"/>
  <c r="AO461" i="49"/>
  <c r="AN428" i="49"/>
  <c r="AO428" i="49"/>
  <c r="AN83" i="49"/>
  <c r="AO83" i="49"/>
  <c r="AN439" i="49"/>
  <c r="AO439" i="49"/>
  <c r="AU35" i="49"/>
  <c r="AN453" i="49"/>
  <c r="AO453" i="49"/>
  <c r="AN481" i="49"/>
  <c r="AO481" i="49"/>
  <c r="AN117" i="49"/>
  <c r="AO117" i="49"/>
  <c r="AN29" i="49"/>
  <c r="AO29" i="49"/>
  <c r="BM482" i="49"/>
  <c r="BM207" i="49"/>
  <c r="BM498" i="49"/>
  <c r="BM427" i="49"/>
  <c r="BM366" i="49"/>
  <c r="BM333" i="49"/>
  <c r="BM331" i="49"/>
  <c r="BM103" i="49"/>
  <c r="BM275" i="49"/>
  <c r="CK386" i="49"/>
  <c r="CK351" i="49"/>
  <c r="CK455" i="49"/>
  <c r="CK308" i="49"/>
  <c r="CK324" i="49"/>
  <c r="CK296" i="49"/>
  <c r="BM227" i="49"/>
  <c r="BM122" i="49"/>
  <c r="BM324" i="49"/>
  <c r="BM393" i="49"/>
  <c r="BM190" i="49"/>
  <c r="BM167" i="49"/>
  <c r="BM318" i="49"/>
  <c r="BM220" i="49"/>
  <c r="BM268" i="49"/>
  <c r="BM451" i="49"/>
  <c r="BM448" i="49"/>
  <c r="BM354" i="49"/>
  <c r="BM158" i="49"/>
  <c r="BM117" i="49"/>
  <c r="BM91" i="49"/>
  <c r="BM42" i="49"/>
  <c r="BM21" i="49"/>
  <c r="BM16" i="49"/>
  <c r="BM267" i="49"/>
  <c r="BM60" i="49"/>
  <c r="BM218" i="49"/>
  <c r="BM490" i="49"/>
  <c r="BM305" i="49"/>
  <c r="BM334" i="49"/>
  <c r="BM314" i="49"/>
  <c r="BM136" i="49"/>
  <c r="BM276" i="49"/>
  <c r="BM75" i="49"/>
  <c r="BM453" i="49"/>
  <c r="BM323" i="49"/>
  <c r="BM208" i="49"/>
  <c r="BM373" i="49"/>
  <c r="BM135" i="49"/>
  <c r="BM57" i="49"/>
  <c r="BM496" i="49"/>
  <c r="CK331" i="49"/>
  <c r="CK365" i="49"/>
  <c r="CK431" i="49"/>
  <c r="CK154" i="49"/>
  <c r="CK493" i="49"/>
  <c r="CK317" i="49"/>
  <c r="BM115" i="49"/>
  <c r="BM132" i="49"/>
  <c r="BP5" i="49"/>
  <c r="BM93" i="49"/>
  <c r="BM83" i="49"/>
  <c r="BM114" i="49"/>
  <c r="BM30" i="49"/>
  <c r="BQ341" i="49"/>
  <c r="BM426" i="49"/>
  <c r="BM253" i="49"/>
  <c r="BM428" i="49"/>
  <c r="BM292" i="49"/>
  <c r="BM307" i="49"/>
  <c r="BQ340" i="49"/>
  <c r="CK471" i="49"/>
  <c r="CK334" i="49"/>
  <c r="CK360" i="49"/>
  <c r="CK451" i="49"/>
  <c r="CK436" i="49"/>
  <c r="CK336" i="49"/>
  <c r="CK292" i="49"/>
  <c r="CK377" i="49"/>
  <c r="CK50" i="49"/>
  <c r="CK122" i="49"/>
  <c r="CK361" i="49"/>
  <c r="CK321" i="49"/>
  <c r="CK326" i="49"/>
  <c r="CK475" i="49"/>
  <c r="CK118" i="49"/>
  <c r="BQ411" i="49"/>
  <c r="AU107" i="49"/>
  <c r="CK410" i="49"/>
  <c r="CK220" i="49"/>
  <c r="CK166" i="49"/>
  <c r="CK133" i="49"/>
  <c r="CK307" i="49"/>
  <c r="CK314" i="49"/>
  <c r="CK414" i="49"/>
  <c r="CK343" i="49"/>
  <c r="BM250" i="49"/>
  <c r="BM395" i="49"/>
  <c r="BM163" i="49"/>
  <c r="BM266" i="49"/>
  <c r="BM442" i="49"/>
  <c r="BM414" i="49"/>
  <c r="BM249" i="49"/>
  <c r="BM295" i="49"/>
  <c r="BM68" i="49"/>
  <c r="BM81" i="49"/>
  <c r="BM140" i="49"/>
  <c r="CK428" i="49"/>
  <c r="CK306" i="49"/>
  <c r="CK298" i="49"/>
  <c r="CK444" i="49"/>
  <c r="CK333" i="49"/>
  <c r="CK26" i="49"/>
  <c r="CK489" i="49"/>
  <c r="CK423" i="49"/>
  <c r="CK366" i="49"/>
  <c r="CK383" i="49"/>
  <c r="CK342" i="49"/>
  <c r="CK174" i="49"/>
  <c r="CK393" i="49"/>
  <c r="CK138" i="49"/>
  <c r="CK30" i="49"/>
  <c r="CK494" i="49"/>
  <c r="CK303" i="49"/>
  <c r="CK295" i="49"/>
  <c r="CK265" i="49"/>
  <c r="AR491" i="49"/>
  <c r="AS491" i="49"/>
  <c r="AQ491" i="49"/>
  <c r="CK372" i="49"/>
  <c r="CK457" i="49"/>
  <c r="CK477" i="49"/>
  <c r="CK400" i="49"/>
  <c r="CK281" i="49"/>
  <c r="CK132" i="49"/>
  <c r="BM141" i="49"/>
  <c r="BM456" i="49"/>
  <c r="BQ436" i="49"/>
  <c r="BM15" i="49"/>
  <c r="BM457" i="49"/>
  <c r="BM360" i="49"/>
  <c r="BQ45" i="49"/>
  <c r="BM151" i="49"/>
  <c r="BM209" i="49"/>
  <c r="BM197" i="49"/>
  <c r="BM279" i="49"/>
  <c r="BM124" i="49"/>
  <c r="BM29" i="49"/>
  <c r="CK49" i="49"/>
  <c r="CK72" i="49"/>
  <c r="CK226" i="49"/>
  <c r="CK214" i="49"/>
  <c r="CK52" i="49"/>
  <c r="CK136" i="49"/>
  <c r="CK241" i="49"/>
  <c r="CK28" i="49"/>
  <c r="CK96" i="49"/>
  <c r="CK242" i="49"/>
  <c r="CK267" i="49"/>
  <c r="CK179" i="49"/>
  <c r="CK89" i="49"/>
  <c r="CK93" i="49"/>
  <c r="AU22" i="49"/>
  <c r="CK84" i="49"/>
  <c r="CK14" i="49"/>
  <c r="CK496" i="49"/>
  <c r="CK94" i="49"/>
  <c r="CK305" i="49"/>
  <c r="AU97" i="49"/>
  <c r="CK186" i="49"/>
  <c r="CK335" i="49"/>
  <c r="CK310" i="49"/>
  <c r="CK441" i="49"/>
  <c r="CK240" i="49"/>
  <c r="CK130" i="49"/>
  <c r="AN457" i="49"/>
  <c r="AO457" i="49"/>
  <c r="AN452" i="49"/>
  <c r="AO452" i="49"/>
  <c r="AN245" i="49"/>
  <c r="AO245" i="49"/>
  <c r="AN266" i="49"/>
  <c r="AO266" i="49"/>
  <c r="AN163" i="49"/>
  <c r="AO163" i="49"/>
  <c r="AN449" i="49"/>
  <c r="AO449" i="49"/>
  <c r="AN380" i="49"/>
  <c r="AO380" i="49"/>
  <c r="AN39" i="49"/>
  <c r="AO39" i="49"/>
  <c r="BN468" i="49"/>
  <c r="AN489" i="49"/>
  <c r="AO489" i="49"/>
  <c r="AN326" i="49"/>
  <c r="AO326" i="49"/>
  <c r="AN169" i="49"/>
  <c r="AO169" i="49"/>
  <c r="AN109" i="49"/>
  <c r="AO109" i="49"/>
  <c r="AU366" i="49"/>
  <c r="AN114" i="49"/>
  <c r="AO114" i="49"/>
  <c r="AN454" i="49"/>
  <c r="AO454" i="49"/>
  <c r="AN240" i="49"/>
  <c r="AO240" i="49"/>
  <c r="AN385" i="49"/>
  <c r="AO385" i="49"/>
  <c r="AN319" i="49"/>
  <c r="AO319" i="49"/>
  <c r="AN320" i="49"/>
  <c r="AO320" i="49"/>
  <c r="AN57" i="49"/>
  <c r="AO57" i="49"/>
  <c r="AN318" i="49"/>
  <c r="AO318" i="49"/>
  <c r="AU65" i="49"/>
  <c r="AN253" i="49"/>
  <c r="AO253" i="49"/>
  <c r="AN77" i="49"/>
  <c r="AO77" i="49"/>
  <c r="AN88" i="49"/>
  <c r="AO88" i="49"/>
  <c r="AN66" i="49"/>
  <c r="AO66" i="49"/>
  <c r="AN9" i="49"/>
  <c r="AO9" i="49"/>
  <c r="AU434" i="49"/>
  <c r="AU433" i="49"/>
  <c r="AN448" i="49"/>
  <c r="AO448" i="49"/>
  <c r="AN358" i="49"/>
  <c r="AO358" i="49"/>
  <c r="AN382" i="49"/>
  <c r="AO382" i="49"/>
  <c r="AN390" i="49"/>
  <c r="AO390" i="49"/>
  <c r="AN143" i="49"/>
  <c r="AO143" i="49"/>
  <c r="AN131" i="49"/>
  <c r="AO131" i="49"/>
  <c r="AU24" i="49"/>
  <c r="AN342" i="49"/>
  <c r="AO342" i="49"/>
  <c r="AN307" i="49"/>
  <c r="AO307" i="49"/>
  <c r="AN277" i="49"/>
  <c r="AO277" i="49"/>
  <c r="AN459" i="49"/>
  <c r="AO459" i="49"/>
  <c r="AN217" i="49"/>
  <c r="AO217" i="49"/>
  <c r="AN21" i="49"/>
  <c r="AO21" i="49"/>
  <c r="AN17" i="49"/>
  <c r="AO17" i="49"/>
  <c r="AU116" i="49"/>
  <c r="AN351" i="49"/>
  <c r="AO351" i="49"/>
  <c r="AN194" i="49"/>
  <c r="AO194" i="49"/>
  <c r="AU19" i="49"/>
  <c r="AU32" i="49"/>
  <c r="DK330" i="49"/>
  <c r="BN330" i="49"/>
  <c r="AP330" i="49"/>
  <c r="DI329" i="49"/>
  <c r="DJ329" i="49"/>
  <c r="DK329" i="49"/>
  <c r="DL329" i="49"/>
  <c r="DI204" i="49"/>
  <c r="DJ204" i="49"/>
  <c r="DK204" i="49"/>
  <c r="BN203" i="49"/>
  <c r="DI203" i="49"/>
  <c r="DJ203" i="49"/>
  <c r="AP203" i="49"/>
  <c r="AQ204" i="49"/>
  <c r="BN256" i="49"/>
  <c r="BN259" i="49"/>
  <c r="BN168" i="49"/>
  <c r="DI5" i="49"/>
  <c r="DJ5" i="49"/>
  <c r="AT491" i="49"/>
  <c r="AT312" i="49"/>
  <c r="AT74" i="49"/>
  <c r="AP131" i="49"/>
  <c r="AP319" i="49"/>
  <c r="AP169" i="49"/>
  <c r="AP449" i="49"/>
  <c r="AP452" i="49"/>
  <c r="BN457" i="49"/>
  <c r="BN81" i="49"/>
  <c r="BN295" i="49"/>
  <c r="BN266" i="49"/>
  <c r="BS341" i="49"/>
  <c r="BT341" i="49"/>
  <c r="BR341" i="49"/>
  <c r="BN373" i="49"/>
  <c r="BN490" i="49"/>
  <c r="BN354" i="49"/>
  <c r="BN451" i="49"/>
  <c r="BN393" i="49"/>
  <c r="BN427" i="49"/>
  <c r="AP29" i="49"/>
  <c r="AP428" i="49"/>
  <c r="AP106" i="49"/>
  <c r="AP349" i="49"/>
  <c r="AP201" i="49"/>
  <c r="AP252" i="49"/>
  <c r="AP49" i="49"/>
  <c r="AP75" i="49"/>
  <c r="AP76" i="49"/>
  <c r="AP69" i="49"/>
  <c r="BN86" i="49"/>
  <c r="BN92" i="49"/>
  <c r="BN38" i="49"/>
  <c r="BN24" i="49"/>
  <c r="BN312" i="49"/>
  <c r="BN191" i="49"/>
  <c r="BN372" i="49"/>
  <c r="BN390" i="49"/>
  <c r="BS434" i="49"/>
  <c r="BT434" i="49"/>
  <c r="BR434" i="49"/>
  <c r="BN125" i="49"/>
  <c r="BN156" i="49"/>
  <c r="BN425" i="49"/>
  <c r="BN385" i="49"/>
  <c r="BN487" i="49"/>
  <c r="BN478" i="49"/>
  <c r="BN410" i="49"/>
  <c r="BN384" i="49"/>
  <c r="BN465" i="49"/>
  <c r="BN485" i="49"/>
  <c r="BN419" i="49"/>
  <c r="BN494" i="49"/>
  <c r="AP208" i="49"/>
  <c r="AP125" i="49"/>
  <c r="AP144" i="49"/>
  <c r="AP490" i="49"/>
  <c r="AP192" i="49"/>
  <c r="AP395" i="49"/>
  <c r="AP187" i="49"/>
  <c r="AP477" i="49"/>
  <c r="AP478" i="49"/>
  <c r="AP167" i="49"/>
  <c r="AP235" i="49"/>
  <c r="AP55" i="49"/>
  <c r="AP42" i="49"/>
  <c r="BN120" i="49"/>
  <c r="BN126" i="49"/>
  <c r="BN143" i="49"/>
  <c r="BN76" i="49"/>
  <c r="BN154" i="49"/>
  <c r="DI191" i="49"/>
  <c r="DJ191" i="49"/>
  <c r="DI487" i="49"/>
  <c r="DJ487" i="49"/>
  <c r="DI145" i="49"/>
  <c r="DJ145" i="49"/>
  <c r="DI126" i="49"/>
  <c r="DJ126" i="49"/>
  <c r="DI156" i="49"/>
  <c r="DJ156" i="49"/>
  <c r="DI441" i="49"/>
  <c r="DJ441" i="49"/>
  <c r="DI496" i="49"/>
  <c r="DJ496" i="49"/>
  <c r="DI277" i="49"/>
  <c r="DJ277" i="49"/>
  <c r="DI51" i="49"/>
  <c r="DJ51" i="49"/>
  <c r="DI114" i="49"/>
  <c r="DJ114" i="49"/>
  <c r="DI59" i="49"/>
  <c r="DJ59" i="49"/>
  <c r="DI135" i="49"/>
  <c r="DJ135" i="49"/>
  <c r="DI129" i="49"/>
  <c r="DJ129" i="49"/>
  <c r="DI243" i="49"/>
  <c r="DJ243" i="49"/>
  <c r="DI214" i="49"/>
  <c r="DJ214" i="49"/>
  <c r="DI440" i="49"/>
  <c r="DJ440" i="49"/>
  <c r="DI346" i="49"/>
  <c r="DJ346" i="49"/>
  <c r="DI158" i="49"/>
  <c r="DJ158" i="49"/>
  <c r="DI343" i="49"/>
  <c r="DJ343" i="49"/>
  <c r="DI86" i="49"/>
  <c r="DJ86" i="49"/>
  <c r="DI101" i="49"/>
  <c r="DJ101" i="49"/>
  <c r="DI279" i="49"/>
  <c r="DJ279" i="49"/>
  <c r="DI173" i="49"/>
  <c r="DJ173" i="49"/>
  <c r="DI100" i="49"/>
  <c r="DJ100" i="49"/>
  <c r="DI109" i="49"/>
  <c r="DJ109" i="49"/>
  <c r="DI312" i="49"/>
  <c r="DJ312" i="49"/>
  <c r="DI351" i="49"/>
  <c r="DJ351" i="49"/>
  <c r="DI84" i="49"/>
  <c r="DJ84" i="49"/>
  <c r="DI366" i="49"/>
  <c r="DJ366" i="49"/>
  <c r="DI72" i="49"/>
  <c r="DJ72" i="49"/>
  <c r="DI348" i="49"/>
  <c r="DJ348" i="49"/>
  <c r="DI6" i="49"/>
  <c r="DJ6" i="49"/>
  <c r="DI19" i="49"/>
  <c r="DJ19" i="49"/>
  <c r="DI414" i="49"/>
  <c r="DJ414" i="49"/>
  <c r="DI470" i="49"/>
  <c r="DJ470" i="49"/>
  <c r="DI240" i="49"/>
  <c r="DJ240" i="49"/>
  <c r="DI425" i="49"/>
  <c r="DJ425" i="49"/>
  <c r="DI13" i="49"/>
  <c r="DJ13" i="49"/>
  <c r="DI373" i="49"/>
  <c r="DJ373" i="49"/>
  <c r="DI217" i="49"/>
  <c r="DJ217" i="49"/>
  <c r="DI154" i="49"/>
  <c r="DJ154" i="49"/>
  <c r="DI8" i="49"/>
  <c r="DJ8" i="49"/>
  <c r="DI139" i="49"/>
  <c r="DJ139" i="49"/>
  <c r="DI164" i="49"/>
  <c r="DJ164" i="49"/>
  <c r="DI69" i="49"/>
  <c r="DJ69" i="49"/>
  <c r="DI458" i="49"/>
  <c r="DJ458" i="49"/>
  <c r="DI106" i="49"/>
  <c r="DJ106" i="49"/>
  <c r="DI127" i="49"/>
  <c r="DJ127" i="49"/>
  <c r="DI183" i="49"/>
  <c r="DJ183" i="49"/>
  <c r="DI322" i="49"/>
  <c r="DJ322" i="49"/>
  <c r="DI209" i="49"/>
  <c r="DJ209" i="49"/>
  <c r="DI196" i="49"/>
  <c r="DJ196" i="49"/>
  <c r="DI428" i="49"/>
  <c r="DJ428" i="49"/>
  <c r="DI380" i="49"/>
  <c r="DJ380" i="49"/>
  <c r="DI179" i="49"/>
  <c r="DJ179" i="49"/>
  <c r="DI296" i="49"/>
  <c r="DJ296" i="49"/>
  <c r="DI44" i="49"/>
  <c r="DJ44" i="49"/>
  <c r="DI450" i="49"/>
  <c r="DJ450" i="49"/>
  <c r="DI486" i="49"/>
  <c r="DJ486" i="49"/>
  <c r="DI220" i="49"/>
  <c r="DJ220" i="49"/>
  <c r="DI38" i="49"/>
  <c r="DJ38" i="49"/>
  <c r="DI47" i="49"/>
  <c r="DJ47" i="49"/>
  <c r="DI141" i="49"/>
  <c r="DJ141" i="49"/>
  <c r="DI326" i="49"/>
  <c r="DJ326" i="49"/>
  <c r="DI190" i="49"/>
  <c r="DJ190" i="49"/>
  <c r="DI493" i="49"/>
  <c r="DJ493" i="49"/>
  <c r="DI188" i="49"/>
  <c r="DJ188" i="49"/>
  <c r="DI442" i="49"/>
  <c r="DJ442" i="49"/>
  <c r="DI305" i="49"/>
  <c r="DJ305" i="49"/>
  <c r="DI76" i="49"/>
  <c r="DJ76" i="49"/>
  <c r="DI317" i="49"/>
  <c r="DJ317" i="49"/>
  <c r="DI367" i="49"/>
  <c r="DJ367" i="49"/>
  <c r="DI333" i="49"/>
  <c r="DJ333" i="49"/>
  <c r="DI372" i="49"/>
  <c r="DJ372" i="49"/>
  <c r="DI267" i="49"/>
  <c r="DJ267" i="49"/>
  <c r="DI91" i="49"/>
  <c r="DJ91" i="49"/>
  <c r="DI386" i="49"/>
  <c r="DJ386" i="49"/>
  <c r="DI57" i="49"/>
  <c r="DJ57" i="49"/>
  <c r="DI334" i="49"/>
  <c r="DJ334" i="49"/>
  <c r="DI363" i="49"/>
  <c r="DJ363" i="49"/>
  <c r="DI257" i="49"/>
  <c r="DJ257" i="49"/>
  <c r="DI131" i="49"/>
  <c r="DJ131" i="49"/>
  <c r="DI331" i="49"/>
  <c r="DJ331" i="49"/>
  <c r="DI377" i="49"/>
  <c r="DJ377" i="49"/>
  <c r="DI261" i="49"/>
  <c r="DJ261" i="49"/>
  <c r="DI82" i="49"/>
  <c r="DJ82" i="49"/>
  <c r="DI235" i="49"/>
  <c r="DJ235" i="49"/>
  <c r="DI473" i="49"/>
  <c r="DJ473" i="49"/>
  <c r="DI85" i="49"/>
  <c r="DJ85" i="49"/>
  <c r="DI382" i="49"/>
  <c r="DJ382" i="49"/>
  <c r="DI492" i="49"/>
  <c r="DJ492" i="49"/>
  <c r="DI252" i="49"/>
  <c r="DJ252" i="49"/>
  <c r="DI162" i="49"/>
  <c r="DJ162" i="49"/>
  <c r="DI218" i="49"/>
  <c r="DJ218" i="49"/>
  <c r="DI435" i="49"/>
  <c r="DJ435" i="49"/>
  <c r="DI449" i="49"/>
  <c r="DJ449" i="49"/>
  <c r="DI122" i="49"/>
  <c r="DJ122" i="49"/>
  <c r="DI306" i="49"/>
  <c r="DJ306" i="49"/>
  <c r="DI14" i="49"/>
  <c r="DJ14" i="49"/>
  <c r="DI358" i="49"/>
  <c r="DJ358" i="49"/>
  <c r="DI461" i="49"/>
  <c r="DJ461" i="49"/>
  <c r="DI393" i="49"/>
  <c r="DJ393" i="49"/>
  <c r="DI136" i="49"/>
  <c r="DJ136" i="49"/>
  <c r="DI142" i="49"/>
  <c r="DJ142" i="49"/>
  <c r="DI66" i="49"/>
  <c r="DJ66" i="49"/>
  <c r="DI39" i="49"/>
  <c r="DJ39" i="49"/>
  <c r="DI427" i="49"/>
  <c r="DJ427" i="49"/>
  <c r="DI311" i="49"/>
  <c r="DJ311" i="49"/>
  <c r="DI134" i="49"/>
  <c r="DJ134" i="49"/>
  <c r="DI152" i="49"/>
  <c r="DJ152" i="49"/>
  <c r="DI249" i="49"/>
  <c r="DJ249" i="49"/>
  <c r="DI411" i="49"/>
  <c r="DJ411" i="49"/>
  <c r="DI99" i="49"/>
  <c r="DJ99" i="49"/>
  <c r="DI111" i="49"/>
  <c r="DJ111" i="49"/>
  <c r="DI219" i="49"/>
  <c r="DJ219" i="49"/>
  <c r="DI357" i="49"/>
  <c r="DJ357" i="49"/>
  <c r="DI88" i="49"/>
  <c r="DJ88" i="49"/>
  <c r="DI418" i="49"/>
  <c r="DJ418" i="49"/>
  <c r="DI471" i="49"/>
  <c r="DJ471" i="49"/>
  <c r="DI153" i="49"/>
  <c r="DJ153" i="49"/>
  <c r="DI89" i="49"/>
  <c r="DJ89" i="49"/>
  <c r="DI227" i="49"/>
  <c r="DJ227" i="49"/>
  <c r="DI437" i="49"/>
  <c r="DJ437" i="49"/>
  <c r="DI108" i="49"/>
  <c r="DJ108" i="49"/>
  <c r="DI210" i="49"/>
  <c r="DJ210" i="49"/>
  <c r="DI290" i="49"/>
  <c r="DJ290" i="49"/>
  <c r="DI339" i="49"/>
  <c r="DJ339" i="49"/>
  <c r="DI350" i="49"/>
  <c r="DJ350" i="49"/>
  <c r="DI194" i="49"/>
  <c r="DJ194" i="49"/>
  <c r="DI250" i="49"/>
  <c r="DJ250" i="49"/>
  <c r="DI445" i="49"/>
  <c r="DJ445" i="49"/>
  <c r="DI385" i="49"/>
  <c r="DJ385" i="49"/>
  <c r="DI453" i="49"/>
  <c r="DJ453" i="49"/>
  <c r="DI265" i="49"/>
  <c r="DJ265" i="49"/>
  <c r="DI200" i="49"/>
  <c r="DJ200" i="49"/>
  <c r="DI207" i="49"/>
  <c r="DJ207" i="49"/>
  <c r="DI54" i="49"/>
  <c r="DJ54" i="49"/>
  <c r="DI149" i="49"/>
  <c r="DJ149" i="49"/>
  <c r="DI308" i="49"/>
  <c r="DJ308" i="49"/>
  <c r="DI423" i="49"/>
  <c r="DJ423" i="49"/>
  <c r="DI167" i="49"/>
  <c r="DJ167" i="49"/>
  <c r="DI157" i="49"/>
  <c r="DJ157" i="49"/>
  <c r="DI368" i="49"/>
  <c r="DJ368" i="49"/>
  <c r="DI438" i="49"/>
  <c r="DJ438" i="49"/>
  <c r="DI388" i="49"/>
  <c r="DJ388" i="49"/>
  <c r="DI310" i="49"/>
  <c r="DJ310" i="49"/>
  <c r="DI447" i="49"/>
  <c r="DJ447" i="49"/>
  <c r="DI104" i="49"/>
  <c r="DJ104" i="49"/>
  <c r="DI102" i="49"/>
  <c r="DJ102" i="49"/>
  <c r="DI313" i="49"/>
  <c r="DJ313" i="49"/>
  <c r="DI169" i="49"/>
  <c r="DJ169" i="49"/>
  <c r="DI170" i="49"/>
  <c r="DJ170" i="49"/>
  <c r="DI468" i="49"/>
  <c r="DJ468" i="49"/>
  <c r="DI455" i="49"/>
  <c r="DJ455" i="49"/>
  <c r="DI490" i="49"/>
  <c r="DJ490" i="49"/>
  <c r="DI314" i="49"/>
  <c r="DJ314" i="49"/>
  <c r="DI160" i="49"/>
  <c r="DJ160" i="49"/>
  <c r="DI208" i="49"/>
  <c r="DJ208" i="49"/>
  <c r="DI361" i="49"/>
  <c r="DJ361" i="49"/>
  <c r="DI115" i="49"/>
  <c r="DJ115" i="49"/>
  <c r="DI320" i="49"/>
  <c r="DJ320" i="49"/>
  <c r="DI241" i="49"/>
  <c r="DJ241" i="49"/>
  <c r="DI75" i="49"/>
  <c r="DJ75" i="49"/>
  <c r="DI110" i="49"/>
  <c r="DJ110" i="49"/>
  <c r="DI278" i="49"/>
  <c r="DJ278" i="49"/>
  <c r="DI301" i="49"/>
  <c r="DJ301" i="49"/>
  <c r="BN300" i="49"/>
  <c r="BN113" i="49"/>
  <c r="BN101" i="49"/>
  <c r="BN199" i="49"/>
  <c r="CJ500" i="49"/>
  <c r="CJ2" i="49"/>
  <c r="CK6" i="49"/>
  <c r="CK500" i="49"/>
  <c r="CK2" i="49"/>
  <c r="CL330" i="49"/>
  <c r="CM330" i="49"/>
  <c r="BS107" i="49"/>
  <c r="BT107" i="49"/>
  <c r="BR107" i="49"/>
  <c r="BN142" i="49"/>
  <c r="BN265" i="49"/>
  <c r="BN100" i="49"/>
  <c r="BN365" i="49"/>
  <c r="AP224" i="49"/>
  <c r="AP357" i="49"/>
  <c r="AP267" i="49"/>
  <c r="AP425" i="49"/>
  <c r="AP159" i="49"/>
  <c r="AP132" i="49"/>
  <c r="AP442" i="49"/>
  <c r="AP295" i="49"/>
  <c r="AP233" i="49"/>
  <c r="AP468" i="49"/>
  <c r="AP435" i="49"/>
  <c r="AP86" i="49"/>
  <c r="AP205" i="49"/>
  <c r="AP54" i="49"/>
  <c r="AP136" i="49"/>
  <c r="AP265" i="49"/>
  <c r="AP321" i="49"/>
  <c r="AP348" i="49"/>
  <c r="AP447" i="49"/>
  <c r="AP487" i="49"/>
  <c r="AP393" i="49"/>
  <c r="AP368" i="49"/>
  <c r="AP51" i="49"/>
  <c r="AP99" i="49"/>
  <c r="AP227" i="49"/>
  <c r="AP271" i="49"/>
  <c r="AP130" i="49"/>
  <c r="AP261" i="49"/>
  <c r="AP52" i="49"/>
  <c r="AP225" i="49"/>
  <c r="BN186" i="49"/>
  <c r="BN286" i="49"/>
  <c r="BN306" i="49"/>
  <c r="BN215" i="49"/>
  <c r="BN78" i="49"/>
  <c r="BN63" i="49"/>
  <c r="BN260" i="49"/>
  <c r="BN161" i="49"/>
  <c r="BN53" i="49"/>
  <c r="BN130" i="49"/>
  <c r="BN164" i="49"/>
  <c r="BN139" i="49"/>
  <c r="BN446" i="49"/>
  <c r="BN438" i="49"/>
  <c r="AP296" i="49"/>
  <c r="AP313" i="49"/>
  <c r="AP325" i="49"/>
  <c r="AP498" i="49"/>
  <c r="AP409" i="49"/>
  <c r="AP13" i="49"/>
  <c r="AP483" i="49"/>
  <c r="AP290" i="49"/>
  <c r="AP281" i="49"/>
  <c r="AP441" i="49"/>
  <c r="BN310" i="49"/>
  <c r="BN240" i="49"/>
  <c r="BN67" i="49"/>
  <c r="BN189" i="49"/>
  <c r="BN313" i="49"/>
  <c r="BN317" i="49"/>
  <c r="BN192" i="49"/>
  <c r="BN85" i="49"/>
  <c r="BN383" i="49"/>
  <c r="BN467" i="49"/>
  <c r="BN404" i="49"/>
  <c r="BN435" i="49"/>
  <c r="AT493" i="49"/>
  <c r="BN458" i="49"/>
  <c r="BN170" i="49"/>
  <c r="BN184" i="49"/>
  <c r="BN157" i="49"/>
  <c r="BN349" i="49"/>
  <c r="DI24" i="49"/>
  <c r="DJ24" i="49"/>
  <c r="DI444" i="49"/>
  <c r="DJ444" i="49"/>
  <c r="DI319" i="49"/>
  <c r="DJ319" i="49"/>
  <c r="DI384" i="49"/>
  <c r="DJ384" i="49"/>
  <c r="DI281" i="49"/>
  <c r="DJ281" i="49"/>
  <c r="DI17" i="49"/>
  <c r="DJ17" i="49"/>
  <c r="DI146" i="49"/>
  <c r="DJ146" i="49"/>
  <c r="DI184" i="49"/>
  <c r="DJ184" i="49"/>
  <c r="DI161" i="49"/>
  <c r="DJ161" i="49"/>
  <c r="DI61" i="49"/>
  <c r="DJ61" i="49"/>
  <c r="DI400" i="49"/>
  <c r="DJ400" i="49"/>
  <c r="DI186" i="49"/>
  <c r="DJ186" i="49"/>
  <c r="DI300" i="49"/>
  <c r="DJ300" i="49"/>
  <c r="DI408" i="49"/>
  <c r="DJ408" i="49"/>
  <c r="DI174" i="49"/>
  <c r="DJ174" i="49"/>
  <c r="DI245" i="49"/>
  <c r="DJ245" i="49"/>
  <c r="DI159" i="49"/>
  <c r="DJ159" i="49"/>
  <c r="DI77" i="49"/>
  <c r="DJ77" i="49"/>
  <c r="DI79" i="49"/>
  <c r="DJ79" i="49"/>
  <c r="DI446" i="49"/>
  <c r="DJ446" i="49"/>
  <c r="DI81" i="49"/>
  <c r="DJ81" i="49"/>
  <c r="DI36" i="49"/>
  <c r="DJ36" i="49"/>
  <c r="DI448" i="49"/>
  <c r="DJ448" i="49"/>
  <c r="DI178" i="49"/>
  <c r="DJ178" i="49"/>
  <c r="DI83" i="49"/>
  <c r="DJ83" i="49"/>
  <c r="DI292" i="49"/>
  <c r="DJ292" i="49"/>
  <c r="DI130" i="49"/>
  <c r="DJ130" i="49"/>
  <c r="BS489" i="49"/>
  <c r="BT489" i="49"/>
  <c r="BR489" i="49"/>
  <c r="DI43" i="49"/>
  <c r="DJ43" i="49"/>
  <c r="DI349" i="49"/>
  <c r="DJ349" i="49"/>
  <c r="DI268" i="49"/>
  <c r="DJ268" i="49"/>
  <c r="DI93" i="49"/>
  <c r="DJ93" i="49"/>
  <c r="DI297" i="49"/>
  <c r="DJ297" i="49"/>
  <c r="DI195" i="49"/>
  <c r="DJ195" i="49"/>
  <c r="DI356" i="49"/>
  <c r="DJ356" i="49"/>
  <c r="DI185" i="49"/>
  <c r="DJ185" i="49"/>
  <c r="DI199" i="49"/>
  <c r="DJ199" i="49"/>
  <c r="DI324" i="49"/>
  <c r="DJ324" i="49"/>
  <c r="AP351" i="49"/>
  <c r="AP358" i="49"/>
  <c r="AP342" i="49"/>
  <c r="AP385" i="49"/>
  <c r="BN29" i="49"/>
  <c r="BN279" i="49"/>
  <c r="BN209" i="49"/>
  <c r="BS45" i="49"/>
  <c r="BT45" i="49"/>
  <c r="BR45" i="49"/>
  <c r="BS436" i="49"/>
  <c r="BT436" i="49"/>
  <c r="BR436" i="49"/>
  <c r="BN141" i="49"/>
  <c r="BN442" i="49"/>
  <c r="BS340" i="49"/>
  <c r="BT340" i="49"/>
  <c r="BR340" i="49"/>
  <c r="BN292" i="49"/>
  <c r="BN253" i="49"/>
  <c r="BN114" i="49"/>
  <c r="BN93" i="49"/>
  <c r="BN132" i="49"/>
  <c r="BN57" i="49"/>
  <c r="BN323" i="49"/>
  <c r="BN75" i="49"/>
  <c r="BN136" i="49"/>
  <c r="BO334" i="49"/>
  <c r="BP334" i="49"/>
  <c r="BN334" i="49"/>
  <c r="BO60" i="49"/>
  <c r="BP60" i="49"/>
  <c r="BN60" i="49"/>
  <c r="BO16" i="49"/>
  <c r="BP16" i="49"/>
  <c r="BN16" i="49"/>
  <c r="BN42" i="49"/>
  <c r="BN117" i="49"/>
  <c r="BN220" i="49"/>
  <c r="BN167" i="49"/>
  <c r="BN122" i="49"/>
  <c r="BN103" i="49"/>
  <c r="BN333" i="49"/>
  <c r="BN207" i="49"/>
  <c r="AP117" i="49"/>
  <c r="AP461" i="49"/>
  <c r="AP164" i="49"/>
  <c r="AP408" i="49"/>
  <c r="AP7" i="49"/>
  <c r="AP61" i="49"/>
  <c r="AP404" i="49"/>
  <c r="AP183" i="49"/>
  <c r="AP185" i="49"/>
  <c r="AP243" i="49"/>
  <c r="BN296" i="49"/>
  <c r="BN150" i="49"/>
  <c r="BN26" i="49"/>
  <c r="BS58" i="49"/>
  <c r="BT58" i="49"/>
  <c r="BR58" i="49"/>
  <c r="BN412" i="49"/>
  <c r="BN210" i="49"/>
  <c r="BN326" i="49"/>
  <c r="BO337" i="49"/>
  <c r="BP337" i="49"/>
  <c r="BN337" i="49"/>
  <c r="BN49" i="49"/>
  <c r="BN301" i="49"/>
  <c r="BN69" i="49"/>
  <c r="BN55" i="49"/>
  <c r="BN169" i="49"/>
  <c r="BN31" i="49"/>
  <c r="BN43" i="49"/>
  <c r="BN258" i="49"/>
  <c r="BO59" i="49"/>
  <c r="BP59" i="49"/>
  <c r="BN59" i="49"/>
  <c r="BN37" i="49"/>
  <c r="AP196" i="49"/>
  <c r="AP324" i="49"/>
  <c r="AP311" i="49"/>
  <c r="AP460" i="49"/>
  <c r="AP33" i="49"/>
  <c r="AP438" i="49"/>
  <c r="AP153" i="49"/>
  <c r="AP363" i="49"/>
  <c r="AP450" i="49"/>
  <c r="AP146" i="49"/>
  <c r="AP386" i="49"/>
  <c r="BN382" i="49"/>
  <c r="BN444" i="49"/>
  <c r="BN486" i="49"/>
  <c r="BN484" i="49"/>
  <c r="BN386" i="49"/>
  <c r="AP8" i="49"/>
  <c r="AP157" i="49"/>
  <c r="AP60" i="49"/>
  <c r="AP124" i="49"/>
  <c r="AP64" i="49"/>
  <c r="AP444" i="49"/>
  <c r="AP316" i="49"/>
  <c r="AP337" i="49"/>
  <c r="AP180" i="49"/>
  <c r="AP118" i="49"/>
  <c r="AP365" i="49"/>
  <c r="AP354" i="49"/>
  <c r="AP14" i="49"/>
  <c r="AP492" i="49"/>
  <c r="AP268" i="49"/>
  <c r="AP145" i="49"/>
  <c r="AP339" i="49"/>
  <c r="AP58" i="49"/>
  <c r="AP133" i="49"/>
  <c r="AP475" i="49"/>
  <c r="AP56" i="49"/>
  <c r="AP47" i="49"/>
  <c r="AP214" i="49"/>
  <c r="AP451" i="49"/>
  <c r="AP48" i="49"/>
  <c r="AP437" i="49"/>
  <c r="AP96" i="49"/>
  <c r="AP197" i="49"/>
  <c r="AP122" i="49"/>
  <c r="AP352" i="49"/>
  <c r="BN430" i="49"/>
  <c r="BN460" i="49"/>
  <c r="BN493" i="49"/>
  <c r="AP306" i="49"/>
  <c r="AP102" i="49"/>
  <c r="AP111" i="49"/>
  <c r="AP27" i="49"/>
  <c r="AP430" i="49"/>
  <c r="AP123" i="49"/>
  <c r="AP70" i="49"/>
  <c r="AP427" i="49"/>
  <c r="AP220" i="49"/>
  <c r="AP129" i="49"/>
  <c r="AP81" i="49"/>
  <c r="BS128" i="49"/>
  <c r="BT128" i="49"/>
  <c r="BR128" i="49"/>
  <c r="BN82" i="49"/>
  <c r="BN127" i="49"/>
  <c r="BS336" i="49"/>
  <c r="BT336" i="49"/>
  <c r="BR336" i="49"/>
  <c r="BN51" i="49"/>
  <c r="BN64" i="49"/>
  <c r="BN106" i="49"/>
  <c r="BN225" i="49"/>
  <c r="BO8" i="49"/>
  <c r="BP8" i="49"/>
  <c r="BN8" i="49"/>
  <c r="BN356" i="49"/>
  <c r="BN449" i="49"/>
  <c r="BN440" i="49"/>
  <c r="BN491" i="49"/>
  <c r="BN77" i="49"/>
  <c r="BO338" i="49"/>
  <c r="BP338" i="49"/>
  <c r="BN338" i="49"/>
  <c r="BN299" i="49"/>
  <c r="BN200" i="49"/>
  <c r="BN112" i="49"/>
  <c r="BN79" i="49"/>
  <c r="BN316" i="49"/>
  <c r="BN162" i="49"/>
  <c r="BN174" i="49"/>
  <c r="BN84" i="49"/>
  <c r="BN214" i="49"/>
  <c r="BN261" i="49"/>
  <c r="BN123" i="49"/>
  <c r="BN80" i="49"/>
  <c r="BN271" i="49"/>
  <c r="BN102" i="49"/>
  <c r="BN133" i="49"/>
  <c r="BN146" i="49"/>
  <c r="BN277" i="49"/>
  <c r="BN413" i="49"/>
  <c r="BN388" i="49"/>
  <c r="DI323" i="49"/>
  <c r="DJ323" i="49"/>
  <c r="DI118" i="49"/>
  <c r="DJ118" i="49"/>
  <c r="DI266" i="49"/>
  <c r="DJ266" i="49"/>
  <c r="DI140" i="49"/>
  <c r="DJ140" i="49"/>
  <c r="DI33" i="49"/>
  <c r="DJ33" i="49"/>
  <c r="DI436" i="49"/>
  <c r="DJ436" i="49"/>
  <c r="DI119" i="49"/>
  <c r="DJ119" i="49"/>
  <c r="DI20" i="49"/>
  <c r="DJ20" i="49"/>
  <c r="DI485" i="49"/>
  <c r="DJ485" i="49"/>
  <c r="DI439" i="49"/>
  <c r="DJ439" i="49"/>
  <c r="DI138" i="49"/>
  <c r="DJ138" i="49"/>
  <c r="DI125" i="49"/>
  <c r="DJ125" i="49"/>
  <c r="DI187" i="49"/>
  <c r="DJ187" i="49"/>
  <c r="DI354" i="49"/>
  <c r="DJ354" i="49"/>
  <c r="DI318" i="49"/>
  <c r="DJ318" i="49"/>
  <c r="DI410" i="49"/>
  <c r="DJ410" i="49"/>
  <c r="DI457" i="49"/>
  <c r="DJ457" i="49"/>
  <c r="DI419" i="49"/>
  <c r="DJ419" i="49"/>
  <c r="DI128" i="49"/>
  <c r="DJ128" i="49"/>
  <c r="DI165" i="49"/>
  <c r="DJ165" i="49"/>
  <c r="DI28" i="49"/>
  <c r="DJ28" i="49"/>
  <c r="DI412" i="49"/>
  <c r="DJ412" i="49"/>
  <c r="DI409" i="49"/>
  <c r="DJ409" i="49"/>
  <c r="DI166" i="49"/>
  <c r="DJ166" i="49"/>
  <c r="DI295" i="49"/>
  <c r="DJ295" i="49"/>
  <c r="DI150" i="49"/>
  <c r="DJ150" i="49"/>
  <c r="BS72" i="49"/>
  <c r="BT72" i="49"/>
  <c r="BR72" i="49"/>
  <c r="DI189" i="49"/>
  <c r="DJ189" i="49"/>
  <c r="DI197" i="49"/>
  <c r="DJ197" i="49"/>
  <c r="DI27" i="49"/>
  <c r="DJ27" i="49"/>
  <c r="DI180" i="49"/>
  <c r="DJ180" i="49"/>
  <c r="DI484" i="49"/>
  <c r="DJ484" i="49"/>
  <c r="DI50" i="49"/>
  <c r="DJ50" i="49"/>
  <c r="BR364" i="49"/>
  <c r="DI316" i="49"/>
  <c r="DJ316" i="49"/>
  <c r="DI143" i="49"/>
  <c r="DJ143" i="49"/>
  <c r="DI95" i="49"/>
  <c r="DJ95" i="49"/>
  <c r="DI49" i="49"/>
  <c r="DJ49" i="49"/>
  <c r="DI198" i="49"/>
  <c r="DJ198" i="49"/>
  <c r="DI256" i="49"/>
  <c r="DJ256" i="49"/>
  <c r="DI148" i="49"/>
  <c r="DJ148" i="49"/>
  <c r="DI42" i="49"/>
  <c r="DJ42" i="49"/>
  <c r="DI247" i="49"/>
  <c r="DJ247" i="49"/>
  <c r="AP307" i="49"/>
  <c r="AP88" i="49"/>
  <c r="AP143" i="49"/>
  <c r="AP77" i="49"/>
  <c r="AP163" i="49"/>
  <c r="AP459" i="49"/>
  <c r="AP390" i="49"/>
  <c r="AP9" i="49"/>
  <c r="AP57" i="49"/>
  <c r="AP39" i="49"/>
  <c r="BN360" i="49"/>
  <c r="BN456" i="49"/>
  <c r="BN140" i="49"/>
  <c r="BN68" i="49"/>
  <c r="BN249" i="49"/>
  <c r="BN163" i="49"/>
  <c r="BN250" i="49"/>
  <c r="BS411" i="49"/>
  <c r="BT411" i="49"/>
  <c r="BR411" i="49"/>
  <c r="BN428" i="49"/>
  <c r="BN426" i="49"/>
  <c r="BQ5" i="49"/>
  <c r="BN496" i="49"/>
  <c r="BN453" i="49"/>
  <c r="BN448" i="49"/>
  <c r="BN366" i="49"/>
  <c r="BN498" i="49"/>
  <c r="BN482" i="49"/>
  <c r="AP481" i="49"/>
  <c r="AP439" i="49"/>
  <c r="AP446" i="49"/>
  <c r="AP350" i="49"/>
  <c r="AP186" i="49"/>
  <c r="AP152" i="49"/>
  <c r="AP471" i="49"/>
  <c r="AP361" i="49"/>
  <c r="AP247" i="49"/>
  <c r="AP219" i="49"/>
  <c r="BS335" i="49"/>
  <c r="BT335" i="49"/>
  <c r="BR335" i="49"/>
  <c r="BN138" i="49"/>
  <c r="BN233" i="49"/>
  <c r="BN274" i="49"/>
  <c r="BN321" i="49"/>
  <c r="BO7" i="49"/>
  <c r="BP7" i="49"/>
  <c r="BN7" i="49"/>
  <c r="BO61" i="49"/>
  <c r="BP61" i="49"/>
  <c r="BN61" i="49"/>
  <c r="BN363" i="49"/>
  <c r="BN196" i="49"/>
  <c r="BN153" i="49"/>
  <c r="BN27" i="49"/>
  <c r="BN90" i="49"/>
  <c r="BN437" i="49"/>
  <c r="BN445" i="49"/>
  <c r="BN473" i="49"/>
  <c r="BO481" i="49"/>
  <c r="BP481" i="49"/>
  <c r="BN481" i="49"/>
  <c r="BN368" i="49"/>
  <c r="BN357" i="49"/>
  <c r="AP148" i="49"/>
  <c r="AP30" i="49"/>
  <c r="AP334" i="49"/>
  <c r="AP377" i="49"/>
  <c r="AP59" i="49"/>
  <c r="AP275" i="49"/>
  <c r="AP138" i="49"/>
  <c r="AP127" i="49"/>
  <c r="AP292" i="49"/>
  <c r="AP44" i="49"/>
  <c r="AP412" i="49"/>
  <c r="BN242" i="49"/>
  <c r="BN351" i="49"/>
  <c r="BN254" i="49"/>
  <c r="BN71" i="49"/>
  <c r="BN23" i="49"/>
  <c r="BN234" i="49"/>
  <c r="BN219" i="49"/>
  <c r="BN311" i="49"/>
  <c r="BN111" i="49"/>
  <c r="BN152" i="49"/>
  <c r="BN134" i="49"/>
  <c r="AP135" i="49"/>
  <c r="AP423" i="49"/>
  <c r="AP445" i="49"/>
  <c r="AP87" i="49"/>
  <c r="AP299" i="49"/>
  <c r="AP120" i="49"/>
  <c r="AP113" i="49"/>
  <c r="AP184" i="49"/>
  <c r="AP333" i="49"/>
  <c r="AP79" i="49"/>
  <c r="AP388" i="49"/>
  <c r="AP100" i="49"/>
  <c r="AP322" i="49"/>
  <c r="AP166" i="49"/>
  <c r="AP274" i="49"/>
  <c r="AP104" i="49"/>
  <c r="AP149" i="49"/>
  <c r="AP165" i="49"/>
  <c r="AP200" i="49"/>
  <c r="AP356" i="49"/>
  <c r="AP420" i="49"/>
  <c r="AP173" i="49"/>
  <c r="AP315" i="49"/>
  <c r="AP172" i="49"/>
  <c r="AP470" i="49"/>
  <c r="AP278" i="49"/>
  <c r="AP410" i="49"/>
  <c r="AP158" i="49"/>
  <c r="AP154" i="49"/>
  <c r="AP82" i="49"/>
  <c r="BN89" i="49"/>
  <c r="BN22" i="49"/>
  <c r="BN303" i="49"/>
  <c r="BN187" i="49"/>
  <c r="BN213" i="49"/>
  <c r="BN348" i="49"/>
  <c r="BN119" i="49"/>
  <c r="BN201" i="49"/>
  <c r="BN149" i="49"/>
  <c r="BN145" i="49"/>
  <c r="BN104" i="49"/>
  <c r="BN108" i="49"/>
  <c r="BN293" i="49"/>
  <c r="BN194" i="49"/>
  <c r="BN20" i="49"/>
  <c r="BO13" i="49"/>
  <c r="BP13" i="49"/>
  <c r="BN13" i="49"/>
  <c r="AP413" i="49"/>
  <c r="AP161" i="49"/>
  <c r="AP140" i="49"/>
  <c r="AP482" i="49"/>
  <c r="AP20" i="49"/>
  <c r="AP126" i="49"/>
  <c r="AP372" i="49"/>
  <c r="AP250" i="49"/>
  <c r="AP95" i="49"/>
  <c r="AP190" i="49"/>
  <c r="BN472" i="49"/>
  <c r="BN35" i="49"/>
  <c r="BN211" i="49"/>
  <c r="BN205" i="49"/>
  <c r="BN281" i="49"/>
  <c r="BN50" i="49"/>
  <c r="BN144" i="49"/>
  <c r="AN500" i="49"/>
  <c r="AN2" i="49"/>
  <c r="AO6" i="49"/>
  <c r="BN420" i="49"/>
  <c r="BN466" i="49"/>
  <c r="BN380" i="49"/>
  <c r="BN352" i="49"/>
  <c r="BN463" i="49"/>
  <c r="BN443" i="49"/>
  <c r="BN459" i="49"/>
  <c r="BN118" i="49"/>
  <c r="BN97" i="49"/>
  <c r="BM6" i="49"/>
  <c r="BL500" i="49"/>
  <c r="BL2" i="49"/>
  <c r="BN109" i="49"/>
  <c r="DI124" i="49"/>
  <c r="DJ124" i="49"/>
  <c r="DI395" i="49"/>
  <c r="DJ395" i="49"/>
  <c r="DI23" i="49"/>
  <c r="DJ23" i="49"/>
  <c r="DI87" i="49"/>
  <c r="DJ87" i="49"/>
  <c r="DI275" i="49"/>
  <c r="DJ275" i="49"/>
  <c r="DI365" i="49"/>
  <c r="DJ365" i="49"/>
  <c r="DI96" i="49"/>
  <c r="DJ96" i="49"/>
  <c r="BS41" i="49"/>
  <c r="BT41" i="49"/>
  <c r="BR41" i="49"/>
  <c r="BS353" i="49"/>
  <c r="BR353" i="49"/>
  <c r="DI248" i="49"/>
  <c r="DJ248" i="49"/>
  <c r="DI234" i="49"/>
  <c r="DJ234" i="49"/>
  <c r="DI303" i="49"/>
  <c r="DJ303" i="49"/>
  <c r="DI48" i="49"/>
  <c r="DJ48" i="49"/>
  <c r="DI498" i="49"/>
  <c r="DJ498" i="49"/>
  <c r="DI352" i="49"/>
  <c r="DJ352" i="49"/>
  <c r="DI315" i="49"/>
  <c r="DJ315" i="49"/>
  <c r="DI233" i="49"/>
  <c r="DJ233" i="49"/>
  <c r="DI321" i="49"/>
  <c r="DJ321" i="49"/>
  <c r="DI205" i="49"/>
  <c r="DJ205" i="49"/>
  <c r="DI478" i="49"/>
  <c r="DJ478" i="49"/>
  <c r="DI271" i="49"/>
  <c r="DJ271" i="49"/>
  <c r="DI215" i="49"/>
  <c r="DJ215" i="49"/>
  <c r="DI163" i="49"/>
  <c r="DJ163" i="49"/>
  <c r="DI113" i="49"/>
  <c r="DJ113" i="49"/>
  <c r="DI55" i="49"/>
  <c r="DJ55" i="49"/>
  <c r="DI225" i="49"/>
  <c r="DJ225" i="49"/>
  <c r="DI15" i="49"/>
  <c r="DJ15" i="49"/>
  <c r="BS110" i="49"/>
  <c r="BT110" i="49"/>
  <c r="BR110" i="49"/>
  <c r="DI37" i="49"/>
  <c r="DJ37" i="49"/>
  <c r="DI460" i="49"/>
  <c r="DJ460" i="49"/>
  <c r="DI430" i="49"/>
  <c r="DJ430" i="49"/>
  <c r="DI253" i="49"/>
  <c r="DJ253" i="49"/>
  <c r="DI454" i="49"/>
  <c r="DJ454" i="49"/>
  <c r="DI29" i="49"/>
  <c r="DJ29" i="49"/>
  <c r="DI475" i="49"/>
  <c r="DJ475" i="49"/>
  <c r="DI451" i="49"/>
  <c r="DJ451" i="49"/>
  <c r="DI26" i="49"/>
  <c r="DJ26" i="49"/>
  <c r="AP21" i="49"/>
  <c r="AP114" i="49"/>
  <c r="AP217" i="49"/>
  <c r="AP448" i="49"/>
  <c r="AP318" i="49"/>
  <c r="AP326" i="49"/>
  <c r="AP457" i="49"/>
  <c r="AP253" i="49"/>
  <c r="AP240" i="49"/>
  <c r="AP489" i="49"/>
  <c r="AP266" i="49"/>
  <c r="AP194" i="49"/>
  <c r="AP17" i="49"/>
  <c r="AP277" i="49"/>
  <c r="AP382" i="49"/>
  <c r="AP66" i="49"/>
  <c r="AP320" i="49"/>
  <c r="AP454" i="49"/>
  <c r="AP109" i="49"/>
  <c r="AP380" i="49"/>
  <c r="AP245" i="49"/>
  <c r="BN124" i="49"/>
  <c r="BN197" i="49"/>
  <c r="BN151" i="49"/>
  <c r="BO15" i="49"/>
  <c r="BP15" i="49"/>
  <c r="BN15" i="49"/>
  <c r="BN414" i="49"/>
  <c r="BN395" i="49"/>
  <c r="BN307" i="49"/>
  <c r="BN30" i="49"/>
  <c r="BN83" i="49"/>
  <c r="BN115" i="49"/>
  <c r="BN135" i="49"/>
  <c r="BN208" i="49"/>
  <c r="BN276" i="49"/>
  <c r="BN314" i="49"/>
  <c r="BN305" i="49"/>
  <c r="BN218" i="49"/>
  <c r="BN267" i="49"/>
  <c r="BN21" i="49"/>
  <c r="BN91" i="49"/>
  <c r="BN158" i="49"/>
  <c r="BN268" i="49"/>
  <c r="BN318" i="49"/>
  <c r="BN190" i="49"/>
  <c r="BN324" i="49"/>
  <c r="BN227" i="49"/>
  <c r="BN275" i="49"/>
  <c r="BN331" i="49"/>
  <c r="AP453" i="49"/>
  <c r="AP83" i="49"/>
  <c r="AP174" i="49"/>
  <c r="AP383" i="49"/>
  <c r="AP93" i="49"/>
  <c r="AP134" i="49"/>
  <c r="AP142" i="49"/>
  <c r="AP455" i="49"/>
  <c r="AP160" i="49"/>
  <c r="AP72" i="49"/>
  <c r="BO339" i="49"/>
  <c r="BP339" i="49"/>
  <c r="BN339" i="49"/>
  <c r="BN36" i="49"/>
  <c r="BN224" i="49"/>
  <c r="BN166" i="49"/>
  <c r="BN464" i="49"/>
  <c r="BN402" i="49"/>
  <c r="BN377" i="49"/>
  <c r="BN452" i="49"/>
  <c r="BN48" i="49"/>
  <c r="BN252" i="49"/>
  <c r="BN315" i="49"/>
  <c r="BN159" i="49"/>
  <c r="BN172" i="49"/>
  <c r="BN99" i="49"/>
  <c r="BN44" i="49"/>
  <c r="BN257" i="49"/>
  <c r="BN322" i="49"/>
  <c r="BN245" i="49"/>
  <c r="BN32" i="49"/>
  <c r="BN18" i="49"/>
  <c r="BN230" i="49"/>
  <c r="BN278" i="49"/>
  <c r="BN173" i="49"/>
  <c r="BN325" i="49"/>
  <c r="BN217" i="49"/>
  <c r="AP486" i="49"/>
  <c r="AP199" i="49"/>
  <c r="AP84" i="49"/>
  <c r="AP400" i="49"/>
  <c r="AP338" i="49"/>
  <c r="AP115" i="49"/>
  <c r="AP50" i="49"/>
  <c r="AP301" i="49"/>
  <c r="AP384" i="49"/>
  <c r="AP379" i="49"/>
  <c r="AP108" i="49"/>
  <c r="AP90" i="49"/>
  <c r="BN483" i="49"/>
  <c r="BN455" i="49"/>
  <c r="BN474" i="49"/>
  <c r="BN165" i="49"/>
  <c r="AP150" i="49"/>
  <c r="AP331" i="49"/>
  <c r="AP141" i="49"/>
  <c r="AP101" i="49"/>
  <c r="AP496" i="49"/>
  <c r="AP112" i="49"/>
  <c r="AP314" i="49"/>
  <c r="AP303" i="49"/>
  <c r="AP38" i="49"/>
  <c r="AP346" i="49"/>
  <c r="AP323" i="49"/>
  <c r="AP85" i="49"/>
  <c r="AP189" i="49"/>
  <c r="AP26" i="49"/>
  <c r="AP119" i="49"/>
  <c r="AP218" i="49"/>
  <c r="AP317" i="49"/>
  <c r="AP170" i="49"/>
  <c r="AP360" i="49"/>
  <c r="AP121" i="49"/>
  <c r="AP89" i="49"/>
  <c r="AP310" i="49"/>
  <c r="AP248" i="49"/>
  <c r="AP484" i="49"/>
  <c r="AP343" i="49"/>
  <c r="AP139" i="49"/>
  <c r="AP155" i="49"/>
  <c r="AP162" i="49"/>
  <c r="AP156" i="49"/>
  <c r="AP305" i="49"/>
  <c r="BN408" i="49"/>
  <c r="BN358" i="49"/>
  <c r="BN409" i="49"/>
  <c r="BN447" i="49"/>
  <c r="BN461" i="49"/>
  <c r="AP68" i="49"/>
  <c r="AP473" i="49"/>
  <c r="AP373" i="49"/>
  <c r="AP43" i="49"/>
  <c r="AP28" i="49"/>
  <c r="AP215" i="49"/>
  <c r="AP16" i="49"/>
  <c r="AP485" i="49"/>
  <c r="AP15" i="49"/>
  <c r="BN54" i="49"/>
  <c r="BN179" i="49"/>
  <c r="BN19" i="49"/>
  <c r="BN346" i="49"/>
  <c r="BN87" i="49"/>
  <c r="BN454" i="49"/>
  <c r="BN379" i="49"/>
  <c r="BN155" i="49"/>
  <c r="BN66" i="49"/>
  <c r="BN88" i="49"/>
  <c r="BN198" i="49"/>
  <c r="BN248" i="49"/>
  <c r="BO343" i="49"/>
  <c r="BP343" i="49"/>
  <c r="BN343" i="49"/>
  <c r="BN282" i="49"/>
  <c r="BN160" i="49"/>
  <c r="BN243" i="49"/>
  <c r="BN235" i="49"/>
  <c r="BN39" i="49"/>
  <c r="BN116" i="49"/>
  <c r="BN183" i="49"/>
  <c r="BN251" i="49"/>
  <c r="BO14" i="49"/>
  <c r="BP14" i="49"/>
  <c r="BN14" i="49"/>
  <c r="BN185" i="49"/>
  <c r="BN33" i="49"/>
  <c r="BN400" i="49"/>
  <c r="BN378" i="49"/>
  <c r="DI144" i="49"/>
  <c r="DJ144" i="49"/>
  <c r="DI274" i="49"/>
  <c r="DJ274" i="49"/>
  <c r="DI260" i="49"/>
  <c r="DJ260" i="49"/>
  <c r="DI211" i="49"/>
  <c r="DJ211" i="49"/>
  <c r="DI360" i="49"/>
  <c r="DJ360" i="49"/>
  <c r="DI390" i="49"/>
  <c r="DJ390" i="49"/>
  <c r="DI172" i="49"/>
  <c r="DJ172" i="49"/>
  <c r="BT353" i="49"/>
  <c r="DI92" i="49"/>
  <c r="DJ92" i="49"/>
  <c r="DI404" i="49"/>
  <c r="DJ404" i="49"/>
  <c r="DI90" i="49"/>
  <c r="DJ90" i="49"/>
  <c r="DI463" i="49"/>
  <c r="DJ463" i="49"/>
  <c r="DI201" i="49"/>
  <c r="DJ201" i="49"/>
  <c r="DI78" i="49"/>
  <c r="DJ78" i="49"/>
  <c r="DI120" i="49"/>
  <c r="DJ120" i="49"/>
  <c r="AQ198" i="49"/>
  <c r="DI224" i="49"/>
  <c r="DJ224" i="49"/>
  <c r="DI299" i="49"/>
  <c r="DJ299" i="49"/>
  <c r="DI132" i="49"/>
  <c r="DJ132" i="49"/>
  <c r="DI383" i="49"/>
  <c r="DJ383" i="49"/>
  <c r="DI379" i="49"/>
  <c r="DJ379" i="49"/>
  <c r="BS56" i="49"/>
  <c r="BT56" i="49"/>
  <c r="BR56" i="49"/>
  <c r="DI94" i="49"/>
  <c r="DJ94" i="49"/>
  <c r="DI307" i="49"/>
  <c r="DJ307" i="49"/>
  <c r="DI192" i="49"/>
  <c r="DJ192" i="49"/>
  <c r="DI338" i="49"/>
  <c r="DJ338" i="49"/>
  <c r="BS342" i="49"/>
  <c r="BT342" i="49"/>
  <c r="BR342" i="49"/>
  <c r="DI133" i="49"/>
  <c r="DJ133" i="49"/>
  <c r="BS477" i="49"/>
  <c r="BT477" i="49"/>
  <c r="BR477" i="49"/>
  <c r="DI121" i="49"/>
  <c r="DJ121" i="49"/>
  <c r="DI481" i="49"/>
  <c r="DJ481" i="49"/>
  <c r="DI112" i="49"/>
  <c r="DJ112" i="49"/>
  <c r="DI155" i="49"/>
  <c r="DJ155" i="49"/>
  <c r="BS121" i="49"/>
  <c r="BT121" i="49"/>
  <c r="BR121" i="49"/>
  <c r="DI123" i="49"/>
  <c r="DJ123" i="49"/>
  <c r="DI52" i="49"/>
  <c r="DJ52" i="49"/>
  <c r="DI30" i="49"/>
  <c r="DJ30" i="49"/>
  <c r="DI325" i="49"/>
  <c r="DJ325" i="49"/>
  <c r="DI70" i="49"/>
  <c r="DJ70" i="49"/>
  <c r="DI413" i="49"/>
  <c r="DJ413" i="49"/>
  <c r="CN330" i="49"/>
  <c r="AQ330" i="49"/>
  <c r="DL330" i="49"/>
  <c r="CL110" i="49"/>
  <c r="CM110" i="49"/>
  <c r="CN110" i="49"/>
  <c r="CO110" i="49"/>
  <c r="CL203" i="49"/>
  <c r="CM203" i="49"/>
  <c r="CN203" i="49"/>
  <c r="CL204" i="49"/>
  <c r="CM204" i="49"/>
  <c r="AQ203" i="49"/>
  <c r="DL204" i="49"/>
  <c r="DK203" i="49"/>
  <c r="CL214" i="49"/>
  <c r="CM214" i="49"/>
  <c r="W56" i="49"/>
  <c r="AO76" i="46"/>
  <c r="BU56" i="49"/>
  <c r="BQ14" i="49"/>
  <c r="W336" i="49"/>
  <c r="AO389" i="46"/>
  <c r="BU336" i="49"/>
  <c r="W128" i="49"/>
  <c r="AO168" i="46"/>
  <c r="BU128" i="49"/>
  <c r="BQ60" i="49"/>
  <c r="BQ343" i="49"/>
  <c r="BQ338" i="49"/>
  <c r="BQ337" i="49"/>
  <c r="W340" i="49"/>
  <c r="AO394" i="46"/>
  <c r="BU340" i="49"/>
  <c r="W436" i="49"/>
  <c r="AO505" i="46"/>
  <c r="BU436" i="49"/>
  <c r="W121" i="49"/>
  <c r="AO159" i="46"/>
  <c r="BU121" i="49"/>
  <c r="W72" i="49"/>
  <c r="AO100" i="46"/>
  <c r="BU72" i="49"/>
  <c r="BQ16" i="49"/>
  <c r="BQ334" i="49"/>
  <c r="CN214" i="49"/>
  <c r="BQ59" i="49"/>
  <c r="W45" i="49"/>
  <c r="AO57" i="46"/>
  <c r="BU45" i="49"/>
  <c r="DK299" i="49"/>
  <c r="DK360" i="49"/>
  <c r="DK413" i="49"/>
  <c r="DK155" i="49"/>
  <c r="DK379" i="49"/>
  <c r="DK120" i="49"/>
  <c r="DK90" i="49"/>
  <c r="DK172" i="49"/>
  <c r="DK211" i="49"/>
  <c r="AQ108" i="49"/>
  <c r="AQ384" i="49"/>
  <c r="AQ50" i="49"/>
  <c r="AQ338" i="49"/>
  <c r="AQ84" i="49"/>
  <c r="AQ486" i="49"/>
  <c r="AQ160" i="49"/>
  <c r="AQ142" i="49"/>
  <c r="AQ93" i="49"/>
  <c r="AQ174" i="49"/>
  <c r="AQ453" i="49"/>
  <c r="AQ245" i="49"/>
  <c r="AQ109" i="49"/>
  <c r="AQ320" i="49"/>
  <c r="AQ382" i="49"/>
  <c r="AQ17" i="49"/>
  <c r="AQ266" i="49"/>
  <c r="AQ240" i="49"/>
  <c r="AQ457" i="49"/>
  <c r="AQ318" i="49"/>
  <c r="AQ217" i="49"/>
  <c r="AQ21" i="49"/>
  <c r="DK29" i="49"/>
  <c r="DK460" i="49"/>
  <c r="DK15" i="49"/>
  <c r="DK113" i="49"/>
  <c r="DK478" i="49"/>
  <c r="DK315" i="49"/>
  <c r="DK303" i="49"/>
  <c r="DK96" i="49"/>
  <c r="DK23" i="49"/>
  <c r="AQ190" i="49"/>
  <c r="AQ250" i="49"/>
  <c r="AQ126" i="49"/>
  <c r="AQ482" i="49"/>
  <c r="AQ161" i="49"/>
  <c r="W335" i="49"/>
  <c r="AO391" i="46"/>
  <c r="BU335" i="49"/>
  <c r="AQ247" i="49"/>
  <c r="AQ471" i="49"/>
  <c r="AQ186" i="49"/>
  <c r="AQ446" i="49"/>
  <c r="AQ481" i="49"/>
  <c r="DK247" i="49"/>
  <c r="DK198" i="49"/>
  <c r="DK316" i="49"/>
  <c r="DK484" i="49"/>
  <c r="DK27" i="49"/>
  <c r="DK409" i="49"/>
  <c r="DK128" i="49"/>
  <c r="DK318" i="49"/>
  <c r="DK138" i="49"/>
  <c r="DK119" i="49"/>
  <c r="DK266" i="49"/>
  <c r="AQ129" i="49"/>
  <c r="AQ427" i="49"/>
  <c r="AQ123" i="49"/>
  <c r="AQ27" i="49"/>
  <c r="AQ102" i="49"/>
  <c r="AQ243" i="49"/>
  <c r="AQ183" i="49"/>
  <c r="AQ61" i="49"/>
  <c r="AQ408" i="49"/>
  <c r="AQ461" i="49"/>
  <c r="DK324" i="49"/>
  <c r="DK195" i="49"/>
  <c r="DK349" i="49"/>
  <c r="DK130" i="49"/>
  <c r="DK448" i="49"/>
  <c r="DK79" i="49"/>
  <c r="DK174" i="49"/>
  <c r="DK400" i="49"/>
  <c r="DK146" i="49"/>
  <c r="DK24" i="49"/>
  <c r="CL6" i="49"/>
  <c r="DK110" i="49"/>
  <c r="DK115" i="49"/>
  <c r="DK314" i="49"/>
  <c r="DK170" i="49"/>
  <c r="DK104" i="49"/>
  <c r="DK438" i="49"/>
  <c r="DK423" i="49"/>
  <c r="DK207" i="49"/>
  <c r="DK385" i="49"/>
  <c r="DK350" i="49"/>
  <c r="DK108" i="49"/>
  <c r="DK153" i="49"/>
  <c r="DK357" i="49"/>
  <c r="DK411" i="49"/>
  <c r="DK311" i="49"/>
  <c r="DK142" i="49"/>
  <c r="DK358" i="49"/>
  <c r="DK449" i="49"/>
  <c r="DK252" i="49"/>
  <c r="DK473" i="49"/>
  <c r="DK377" i="49"/>
  <c r="DK363" i="49"/>
  <c r="DK91" i="49"/>
  <c r="DK367" i="49"/>
  <c r="DK442" i="49"/>
  <c r="DK326" i="49"/>
  <c r="DK220" i="49"/>
  <c r="DK296" i="49"/>
  <c r="DK196" i="49"/>
  <c r="DK127" i="49"/>
  <c r="DK164" i="49"/>
  <c r="DK217" i="49"/>
  <c r="DK240" i="49"/>
  <c r="DK6" i="49"/>
  <c r="DK84" i="49"/>
  <c r="DK100" i="49"/>
  <c r="DK86" i="49"/>
  <c r="DK440" i="49"/>
  <c r="DK135" i="49"/>
  <c r="DK277" i="49"/>
  <c r="DK126" i="49"/>
  <c r="AQ42" i="49"/>
  <c r="AQ235" i="49"/>
  <c r="AQ478" i="49"/>
  <c r="AQ187" i="49"/>
  <c r="AQ192" i="49"/>
  <c r="AQ144" i="49"/>
  <c r="AQ208" i="49"/>
  <c r="AQ69" i="49"/>
  <c r="AQ75" i="49"/>
  <c r="AQ252" i="49"/>
  <c r="AQ349" i="49"/>
  <c r="AQ428" i="49"/>
  <c r="AQ452" i="49"/>
  <c r="AQ169" i="49"/>
  <c r="AQ131" i="49"/>
  <c r="CL43" i="49"/>
  <c r="CM43" i="49"/>
  <c r="CL368" i="49"/>
  <c r="CM368" i="49"/>
  <c r="CL248" i="49"/>
  <c r="CM248" i="49"/>
  <c r="CL66" i="49"/>
  <c r="CM66" i="49"/>
  <c r="CL419" i="49"/>
  <c r="CM419" i="49"/>
  <c r="CL378" i="49"/>
  <c r="CM378" i="49"/>
  <c r="CL17" i="49"/>
  <c r="CM17" i="49"/>
  <c r="CL436" i="49"/>
  <c r="CM436" i="49"/>
  <c r="CL333" i="49"/>
  <c r="CM333" i="49"/>
  <c r="CL400" i="49"/>
  <c r="CM400" i="49"/>
  <c r="CL425" i="49"/>
  <c r="CM425" i="49"/>
  <c r="CL200" i="49"/>
  <c r="CM200" i="49"/>
  <c r="CL348" i="49"/>
  <c r="CM348" i="49"/>
  <c r="CL487" i="49"/>
  <c r="CM487" i="49"/>
  <c r="CL454" i="49"/>
  <c r="CM454" i="49"/>
  <c r="CL194" i="49"/>
  <c r="CM194" i="49"/>
  <c r="CL323" i="49"/>
  <c r="CM323" i="49"/>
  <c r="CL170" i="49"/>
  <c r="CM170" i="49"/>
  <c r="CL158" i="49"/>
  <c r="CM158" i="49"/>
  <c r="CL334" i="49"/>
  <c r="CM334" i="49"/>
  <c r="CL340" i="49"/>
  <c r="CM340" i="49"/>
  <c r="CL39" i="49"/>
  <c r="CM39" i="49"/>
  <c r="CL187" i="49"/>
  <c r="CM187" i="49"/>
  <c r="CL301" i="49"/>
  <c r="CM301" i="49"/>
  <c r="CL92" i="49"/>
  <c r="CM92" i="49"/>
  <c r="CL447" i="49"/>
  <c r="CM447" i="49"/>
  <c r="CL341" i="49"/>
  <c r="CM341" i="49"/>
  <c r="CL102" i="49"/>
  <c r="CM102" i="49"/>
  <c r="CL191" i="49"/>
  <c r="CM191" i="49"/>
  <c r="CL207" i="49"/>
  <c r="CM207" i="49"/>
  <c r="CL85" i="49"/>
  <c r="CM85" i="49"/>
  <c r="CL380" i="49"/>
  <c r="CM380" i="49"/>
  <c r="AU74" i="49"/>
  <c r="CL314" i="49"/>
  <c r="CM314" i="49"/>
  <c r="CL335" i="49"/>
  <c r="CM335" i="49"/>
  <c r="CL494" i="49"/>
  <c r="CM494" i="49"/>
  <c r="CL60" i="49"/>
  <c r="CM60" i="49"/>
  <c r="CL210" i="49"/>
  <c r="CM210" i="49"/>
  <c r="CL106" i="49"/>
  <c r="CM106" i="49"/>
  <c r="CL198" i="49"/>
  <c r="CM198" i="49"/>
  <c r="CL55" i="49"/>
  <c r="CM55" i="49"/>
  <c r="CL91" i="49"/>
  <c r="CM91" i="49"/>
  <c r="CL16" i="49"/>
  <c r="CM16" i="49"/>
  <c r="CL444" i="49"/>
  <c r="CM444" i="49"/>
  <c r="DK121" i="49"/>
  <c r="DK463" i="49"/>
  <c r="DK144" i="49"/>
  <c r="DK52" i="49"/>
  <c r="W110" i="49"/>
  <c r="AO135" i="46"/>
  <c r="BU110" i="49"/>
  <c r="DK307" i="49"/>
  <c r="DK224" i="49"/>
  <c r="DK70" i="49"/>
  <c r="DK123" i="49"/>
  <c r="DK112" i="49"/>
  <c r="W342" i="49"/>
  <c r="AO393" i="46"/>
  <c r="BU342" i="49"/>
  <c r="DK94" i="49"/>
  <c r="DK383" i="49"/>
  <c r="DK78" i="49"/>
  <c r="DK404" i="49"/>
  <c r="DK390" i="49"/>
  <c r="DK260" i="49"/>
  <c r="AQ15" i="49"/>
  <c r="AQ16" i="49"/>
  <c r="AQ28" i="49"/>
  <c r="AQ373" i="49"/>
  <c r="AQ68" i="49"/>
  <c r="AQ156" i="49"/>
  <c r="AQ155" i="49"/>
  <c r="AQ343" i="49"/>
  <c r="AQ248" i="49"/>
  <c r="AQ89" i="49"/>
  <c r="AQ360" i="49"/>
  <c r="AQ317" i="49"/>
  <c r="AQ119" i="49"/>
  <c r="AQ189" i="49"/>
  <c r="AQ323" i="49"/>
  <c r="AQ38" i="49"/>
  <c r="AQ314" i="49"/>
  <c r="AQ496" i="49"/>
  <c r="AQ141" i="49"/>
  <c r="AQ150" i="49"/>
  <c r="DK26" i="49"/>
  <c r="DK454" i="49"/>
  <c r="DK37" i="49"/>
  <c r="DK225" i="49"/>
  <c r="DK163" i="49"/>
  <c r="DK205" i="49"/>
  <c r="DK352" i="49"/>
  <c r="DK5" i="49"/>
  <c r="DJ500" i="49"/>
  <c r="DJ2" i="49"/>
  <c r="DK365" i="49"/>
  <c r="DK395" i="49"/>
  <c r="AQ154" i="49"/>
  <c r="AQ410" i="49"/>
  <c r="AQ470" i="49"/>
  <c r="AQ315" i="49"/>
  <c r="AQ420" i="49"/>
  <c r="AQ200" i="49"/>
  <c r="AQ149" i="49"/>
  <c r="AQ274" i="49"/>
  <c r="AQ322" i="49"/>
  <c r="AQ388" i="49"/>
  <c r="AQ333" i="49"/>
  <c r="AQ113" i="49"/>
  <c r="AQ299" i="49"/>
  <c r="AQ445" i="49"/>
  <c r="AQ135" i="49"/>
  <c r="AQ412" i="49"/>
  <c r="AQ292" i="49"/>
  <c r="AQ138" i="49"/>
  <c r="AQ59" i="49"/>
  <c r="AQ334" i="49"/>
  <c r="AQ148" i="49"/>
  <c r="W58" i="49"/>
  <c r="AO73" i="46"/>
  <c r="BU58" i="49"/>
  <c r="BQ7" i="49"/>
  <c r="BR5" i="49"/>
  <c r="W411" i="49"/>
  <c r="AO481" i="46"/>
  <c r="BU411" i="49"/>
  <c r="AQ39" i="49"/>
  <c r="AQ9" i="49"/>
  <c r="AQ459" i="49"/>
  <c r="AQ77" i="49"/>
  <c r="AQ88" i="49"/>
  <c r="DK42" i="49"/>
  <c r="DK49" i="49"/>
  <c r="DK180" i="49"/>
  <c r="DK197" i="49"/>
  <c r="DK150" i="49"/>
  <c r="DK412" i="49"/>
  <c r="DK419" i="49"/>
  <c r="DK354" i="49"/>
  <c r="DK439" i="49"/>
  <c r="DK436" i="49"/>
  <c r="DK118" i="49"/>
  <c r="AQ352" i="49"/>
  <c r="AQ197" i="49"/>
  <c r="AQ437" i="49"/>
  <c r="AQ451" i="49"/>
  <c r="AQ47" i="49"/>
  <c r="AQ475" i="49"/>
  <c r="AQ58" i="49"/>
  <c r="AQ145" i="49"/>
  <c r="AQ492" i="49"/>
  <c r="AQ354" i="49"/>
  <c r="AQ118" i="49"/>
  <c r="AQ337" i="49"/>
  <c r="AQ444" i="49"/>
  <c r="AQ124" i="49"/>
  <c r="AQ157" i="49"/>
  <c r="AQ386" i="49"/>
  <c r="AQ450" i="49"/>
  <c r="AQ153" i="49"/>
  <c r="AQ33" i="49"/>
  <c r="AQ311" i="49"/>
  <c r="AQ196" i="49"/>
  <c r="AQ385" i="49"/>
  <c r="AQ358" i="49"/>
  <c r="DK199" i="49"/>
  <c r="DK297" i="49"/>
  <c r="DK43" i="49"/>
  <c r="DK292" i="49"/>
  <c r="DK36" i="49"/>
  <c r="DK77" i="49"/>
  <c r="DK408" i="49"/>
  <c r="DK61" i="49"/>
  <c r="DK17" i="49"/>
  <c r="AU493" i="49"/>
  <c r="AQ281" i="49"/>
  <c r="AQ483" i="49"/>
  <c r="AQ409" i="49"/>
  <c r="AQ325" i="49"/>
  <c r="AQ296" i="49"/>
  <c r="AQ225" i="49"/>
  <c r="AQ261" i="49"/>
  <c r="AQ271" i="49"/>
  <c r="AQ99" i="49"/>
  <c r="AQ368" i="49"/>
  <c r="AQ487" i="49"/>
  <c r="AQ348" i="49"/>
  <c r="AQ265" i="49"/>
  <c r="AQ54" i="49"/>
  <c r="AQ86" i="49"/>
  <c r="AQ468" i="49"/>
  <c r="AQ295" i="49"/>
  <c r="AQ132" i="49"/>
  <c r="AQ425" i="49"/>
  <c r="AQ357" i="49"/>
  <c r="W107" i="49"/>
  <c r="AO131" i="46"/>
  <c r="BU107" i="49"/>
  <c r="DK75" i="49"/>
  <c r="DK361" i="49"/>
  <c r="DK490" i="49"/>
  <c r="DK169" i="49"/>
  <c r="DK447" i="49"/>
  <c r="DK368" i="49"/>
  <c r="DK308" i="49"/>
  <c r="DK200" i="49"/>
  <c r="DK445" i="49"/>
  <c r="DK339" i="49"/>
  <c r="DK437" i="49"/>
  <c r="DK471" i="49"/>
  <c r="DK219" i="49"/>
  <c r="DK249" i="49"/>
  <c r="DK427" i="49"/>
  <c r="DK136" i="49"/>
  <c r="DK14" i="49"/>
  <c r="DK435" i="49"/>
  <c r="DK492" i="49"/>
  <c r="DK235" i="49"/>
  <c r="DK331" i="49"/>
  <c r="DK334" i="49"/>
  <c r="DK267" i="49"/>
  <c r="DK317" i="49"/>
  <c r="DK188" i="49"/>
  <c r="DK141" i="49"/>
  <c r="DK486" i="49"/>
  <c r="DK179" i="49"/>
  <c r="DK209" i="49"/>
  <c r="DK106" i="49"/>
  <c r="DK139" i="49"/>
  <c r="DK373" i="49"/>
  <c r="DK470" i="49"/>
  <c r="DK348" i="49"/>
  <c r="DK351" i="49"/>
  <c r="DK173" i="49"/>
  <c r="DK343" i="49"/>
  <c r="DK214" i="49"/>
  <c r="DK59" i="49"/>
  <c r="DK496" i="49"/>
  <c r="DK145" i="49"/>
  <c r="CL153" i="49"/>
  <c r="CM153" i="49"/>
  <c r="CL357" i="49"/>
  <c r="CM357" i="49"/>
  <c r="CL112" i="49"/>
  <c r="CM112" i="49"/>
  <c r="CL50" i="49"/>
  <c r="CM50" i="49"/>
  <c r="CL366" i="49"/>
  <c r="CM366" i="49"/>
  <c r="CL122" i="49"/>
  <c r="CM122" i="49"/>
  <c r="CL72" i="49"/>
  <c r="CM72" i="49"/>
  <c r="CL227" i="49"/>
  <c r="CM227" i="49"/>
  <c r="CL408" i="49"/>
  <c r="CM408" i="49"/>
  <c r="CL178" i="49"/>
  <c r="CM178" i="49"/>
  <c r="CL337" i="49"/>
  <c r="CM337" i="49"/>
  <c r="CL70" i="49"/>
  <c r="CM70" i="49"/>
  <c r="CL437" i="49"/>
  <c r="CM437" i="49"/>
  <c r="CL215" i="49"/>
  <c r="CM215" i="49"/>
  <c r="CL185" i="49"/>
  <c r="CM185" i="49"/>
  <c r="CL192" i="49"/>
  <c r="CM192" i="49"/>
  <c r="CL56" i="49"/>
  <c r="CM56" i="49"/>
  <c r="CL356" i="49"/>
  <c r="CM356" i="49"/>
  <c r="CL455" i="49"/>
  <c r="CM455" i="49"/>
  <c r="CL336" i="49"/>
  <c r="CM336" i="49"/>
  <c r="CL93" i="49"/>
  <c r="CM93" i="49"/>
  <c r="CL279" i="49"/>
  <c r="CM279" i="49"/>
  <c r="CL82" i="49"/>
  <c r="CM82" i="49"/>
  <c r="CL20" i="49"/>
  <c r="CM20" i="49"/>
  <c r="CL140" i="49"/>
  <c r="CM140" i="49"/>
  <c r="CL109" i="49"/>
  <c r="CM109" i="49"/>
  <c r="CL160" i="49"/>
  <c r="CM160" i="49"/>
  <c r="CL250" i="49"/>
  <c r="CM250" i="49"/>
  <c r="CL498" i="49"/>
  <c r="CM498" i="49"/>
  <c r="CL313" i="49"/>
  <c r="CM313" i="49"/>
  <c r="CL209" i="49"/>
  <c r="CM209" i="49"/>
  <c r="CL226" i="49"/>
  <c r="CM226" i="49"/>
  <c r="CL130" i="49"/>
  <c r="CM130" i="49"/>
  <c r="CL277" i="49"/>
  <c r="CM277" i="49"/>
  <c r="CL164" i="49"/>
  <c r="CM164" i="49"/>
  <c r="CL87" i="49"/>
  <c r="CM87" i="49"/>
  <c r="CL159" i="49"/>
  <c r="CM159" i="49"/>
  <c r="CL38" i="49"/>
  <c r="CM38" i="49"/>
  <c r="CL33" i="49"/>
  <c r="CM33" i="49"/>
  <c r="CL167" i="49"/>
  <c r="CM167" i="49"/>
  <c r="CL47" i="49"/>
  <c r="CM47" i="49"/>
  <c r="CL154" i="49"/>
  <c r="CM154" i="49"/>
  <c r="CL174" i="49"/>
  <c r="CM174" i="49"/>
  <c r="DK133" i="49"/>
  <c r="DK325" i="49"/>
  <c r="DK481" i="49"/>
  <c r="W477" i="49"/>
  <c r="AO564" i="46"/>
  <c r="BU477" i="49"/>
  <c r="DK338" i="49"/>
  <c r="DK132" i="49"/>
  <c r="DK201" i="49"/>
  <c r="DK92" i="49"/>
  <c r="DK274" i="49"/>
  <c r="BQ13" i="49"/>
  <c r="AQ90" i="49"/>
  <c r="AQ379" i="49"/>
  <c r="AQ301" i="49"/>
  <c r="AQ115" i="49"/>
  <c r="AQ400" i="49"/>
  <c r="AQ199" i="49"/>
  <c r="BQ339" i="49"/>
  <c r="AQ72" i="49"/>
  <c r="AQ455" i="49"/>
  <c r="AQ134" i="49"/>
  <c r="AQ383" i="49"/>
  <c r="AQ83" i="49"/>
  <c r="AQ380" i="49"/>
  <c r="AQ454" i="49"/>
  <c r="AQ66" i="49"/>
  <c r="AQ277" i="49"/>
  <c r="AQ194" i="49"/>
  <c r="AQ489" i="49"/>
  <c r="AQ253" i="49"/>
  <c r="AQ326" i="49"/>
  <c r="AQ448" i="49"/>
  <c r="AQ114" i="49"/>
  <c r="DK451" i="49"/>
  <c r="DK253" i="49"/>
  <c r="DK215" i="49"/>
  <c r="DK321" i="49"/>
  <c r="DK498" i="49"/>
  <c r="DK234" i="49"/>
  <c r="DK275" i="49"/>
  <c r="DK124" i="49"/>
  <c r="BO6" i="49"/>
  <c r="BN6" i="49"/>
  <c r="BN500" i="49"/>
  <c r="BN2" i="49"/>
  <c r="BM500" i="49"/>
  <c r="BM2" i="49"/>
  <c r="BO330" i="49"/>
  <c r="BP330" i="49"/>
  <c r="AP6" i="49"/>
  <c r="AO500" i="49"/>
  <c r="AO2" i="49"/>
  <c r="AQ95" i="49"/>
  <c r="AQ372" i="49"/>
  <c r="AQ20" i="49"/>
  <c r="AQ140" i="49"/>
  <c r="AQ413" i="49"/>
  <c r="AQ219" i="49"/>
  <c r="AQ361" i="49"/>
  <c r="AQ152" i="49"/>
  <c r="AQ350" i="49"/>
  <c r="AQ439" i="49"/>
  <c r="DK148" i="49"/>
  <c r="DK95" i="49"/>
  <c r="DK189" i="49"/>
  <c r="DK295" i="49"/>
  <c r="DK28" i="49"/>
  <c r="DK457" i="49"/>
  <c r="DK187" i="49"/>
  <c r="DK485" i="49"/>
  <c r="DK33" i="49"/>
  <c r="DK323" i="49"/>
  <c r="AQ81" i="49"/>
  <c r="AQ220" i="49"/>
  <c r="AQ70" i="49"/>
  <c r="AQ430" i="49"/>
  <c r="AQ111" i="49"/>
  <c r="AQ306" i="49"/>
  <c r="AQ185" i="49"/>
  <c r="AQ404" i="49"/>
  <c r="AQ7" i="49"/>
  <c r="AQ164" i="49"/>
  <c r="AQ117" i="49"/>
  <c r="DK185" i="49"/>
  <c r="DK93" i="49"/>
  <c r="DK83" i="49"/>
  <c r="DK81" i="49"/>
  <c r="DK159" i="49"/>
  <c r="DK300" i="49"/>
  <c r="DK161" i="49"/>
  <c r="DK281" i="49"/>
  <c r="DK319" i="49"/>
  <c r="CL315" i="49"/>
  <c r="CM315" i="49"/>
  <c r="CL179" i="49"/>
  <c r="CM179" i="49"/>
  <c r="CL496" i="49"/>
  <c r="CM496" i="49"/>
  <c r="CL427" i="49"/>
  <c r="CM427" i="49"/>
  <c r="CL438" i="49"/>
  <c r="CM438" i="49"/>
  <c r="CL139" i="49"/>
  <c r="CM139" i="49"/>
  <c r="CL120" i="49"/>
  <c r="CM120" i="49"/>
  <c r="CL282" i="49"/>
  <c r="CM282" i="49"/>
  <c r="CL169" i="49"/>
  <c r="CM169" i="49"/>
  <c r="CL152" i="49"/>
  <c r="CM152" i="49"/>
  <c r="CL149" i="49"/>
  <c r="CM149" i="49"/>
  <c r="CL235" i="49"/>
  <c r="CM235" i="49"/>
  <c r="CL108" i="49"/>
  <c r="CM108" i="49"/>
  <c r="CL105" i="49"/>
  <c r="CM105" i="49"/>
  <c r="CL363" i="49"/>
  <c r="CM363" i="49"/>
  <c r="CL245" i="49"/>
  <c r="CM245" i="49"/>
  <c r="CL119" i="49"/>
  <c r="CM119" i="49"/>
  <c r="CL225" i="49"/>
  <c r="CM225" i="49"/>
  <c r="CL395" i="49"/>
  <c r="CM395" i="49"/>
  <c r="CL339" i="49"/>
  <c r="CM339" i="49"/>
  <c r="CL329" i="49"/>
  <c r="CM329" i="49"/>
  <c r="CL312" i="49"/>
  <c r="CM312" i="49"/>
  <c r="CL21" i="49"/>
  <c r="CM21" i="49"/>
  <c r="CL76" i="49"/>
  <c r="CM76" i="49"/>
  <c r="CL468" i="49"/>
  <c r="CM468" i="49"/>
  <c r="CL316" i="49"/>
  <c r="CM316" i="49"/>
  <c r="CL470" i="49"/>
  <c r="CM470" i="49"/>
  <c r="CL293" i="49"/>
  <c r="CM293" i="49"/>
  <c r="CL58" i="49"/>
  <c r="CM58" i="49"/>
  <c r="CL327" i="49"/>
  <c r="CM327" i="49"/>
  <c r="CL86" i="49"/>
  <c r="CM86" i="49"/>
  <c r="CL482" i="49"/>
  <c r="CM482" i="49"/>
  <c r="CL201" i="49"/>
  <c r="CM201" i="49"/>
  <c r="CL367" i="49"/>
  <c r="CM367" i="49"/>
  <c r="CL385" i="49"/>
  <c r="CM385" i="49"/>
  <c r="CL358" i="49"/>
  <c r="CM358" i="49"/>
  <c r="CL278" i="49"/>
  <c r="CM278" i="49"/>
  <c r="CL483" i="49"/>
  <c r="CM483" i="49"/>
  <c r="CL48" i="49"/>
  <c r="CM48" i="49"/>
  <c r="CL117" i="49"/>
  <c r="CM117" i="49"/>
  <c r="CL29" i="49"/>
  <c r="CM29" i="49"/>
  <c r="CL75" i="49"/>
  <c r="CM75" i="49"/>
  <c r="CL412" i="49"/>
  <c r="CM412" i="49"/>
  <c r="CL148" i="49"/>
  <c r="CM148" i="49"/>
  <c r="CL163" i="49"/>
  <c r="CM163" i="49"/>
  <c r="CL143" i="49"/>
  <c r="CM143" i="49"/>
  <c r="CL115" i="49"/>
  <c r="CM115" i="49"/>
  <c r="CL57" i="49"/>
  <c r="CM57" i="49"/>
  <c r="CL8" i="49"/>
  <c r="CM8" i="49"/>
  <c r="CL252" i="49"/>
  <c r="CM252" i="49"/>
  <c r="CL128" i="49"/>
  <c r="CM128" i="49"/>
  <c r="CL127" i="49"/>
  <c r="CM127" i="49"/>
  <c r="CL135" i="49"/>
  <c r="CM135" i="49"/>
  <c r="CL69" i="49"/>
  <c r="CM69" i="49"/>
  <c r="CL481" i="49"/>
  <c r="CM481" i="49"/>
  <c r="CL44" i="49"/>
  <c r="CM44" i="49"/>
  <c r="CL318" i="49"/>
  <c r="CM318" i="49"/>
  <c r="CL404" i="49"/>
  <c r="CM404" i="49"/>
  <c r="CL224" i="49"/>
  <c r="CM224" i="49"/>
  <c r="CL247" i="49"/>
  <c r="CM247" i="49"/>
  <c r="CL351" i="49"/>
  <c r="CM351" i="49"/>
  <c r="CL296" i="49"/>
  <c r="CM296" i="49"/>
  <c r="CL365" i="49"/>
  <c r="CM365" i="49"/>
  <c r="CL317" i="49"/>
  <c r="CM317" i="49"/>
  <c r="CL451" i="49"/>
  <c r="CM451" i="49"/>
  <c r="CL377" i="49"/>
  <c r="CM377" i="49"/>
  <c r="CL321" i="49"/>
  <c r="CM321" i="49"/>
  <c r="CL410" i="49"/>
  <c r="CM410" i="49"/>
  <c r="CL307" i="49"/>
  <c r="CM307" i="49"/>
  <c r="CL298" i="49"/>
  <c r="CM298" i="49"/>
  <c r="CL489" i="49"/>
  <c r="CM489" i="49"/>
  <c r="CL342" i="49"/>
  <c r="CM342" i="49"/>
  <c r="CL30" i="49"/>
  <c r="CM30" i="49"/>
  <c r="CL265" i="49"/>
  <c r="CM265" i="49"/>
  <c r="CL477" i="49"/>
  <c r="CM477" i="49"/>
  <c r="CL49" i="49"/>
  <c r="CM49" i="49"/>
  <c r="CL241" i="49"/>
  <c r="CM241" i="49"/>
  <c r="CL96" i="49"/>
  <c r="CM96" i="49"/>
  <c r="CL242" i="49"/>
  <c r="CM242" i="49"/>
  <c r="CL89" i="49"/>
  <c r="CM89" i="49"/>
  <c r="CL84" i="49"/>
  <c r="CM84" i="49"/>
  <c r="CL134" i="49"/>
  <c r="CM134" i="49"/>
  <c r="CL490" i="49"/>
  <c r="CM490" i="49"/>
  <c r="CL234" i="49"/>
  <c r="CM234" i="49"/>
  <c r="CL173" i="49"/>
  <c r="CM173" i="49"/>
  <c r="CL274" i="49"/>
  <c r="CM274" i="49"/>
  <c r="CL156" i="49"/>
  <c r="CM156" i="49"/>
  <c r="CL217" i="49"/>
  <c r="CM217" i="49"/>
  <c r="CL161" i="49"/>
  <c r="CM161" i="49"/>
  <c r="CL100" i="49"/>
  <c r="CM100" i="49"/>
  <c r="CL172" i="49"/>
  <c r="CM172" i="49"/>
  <c r="CL325" i="49"/>
  <c r="CM325" i="49"/>
  <c r="CL243" i="49"/>
  <c r="CM243" i="49"/>
  <c r="CL273" i="49"/>
  <c r="CM273" i="49"/>
  <c r="CL83" i="49"/>
  <c r="CM83" i="49"/>
  <c r="CL442" i="49"/>
  <c r="CM442" i="49"/>
  <c r="CL409" i="49"/>
  <c r="CM409" i="49"/>
  <c r="CL142" i="49"/>
  <c r="CM142" i="49"/>
  <c r="CL467" i="49"/>
  <c r="CM467" i="49"/>
  <c r="CL78" i="49"/>
  <c r="CM78" i="49"/>
  <c r="CL145" i="49"/>
  <c r="CM145" i="49"/>
  <c r="CL95" i="49"/>
  <c r="CM95" i="49"/>
  <c r="CL354" i="49"/>
  <c r="CM354" i="49"/>
  <c r="CL322" i="49"/>
  <c r="CM322" i="49"/>
  <c r="CL299" i="49"/>
  <c r="CM299" i="49"/>
  <c r="CL146" i="49"/>
  <c r="CM146" i="49"/>
  <c r="CL402" i="49"/>
  <c r="CM402" i="49"/>
  <c r="CL450" i="49"/>
  <c r="CM450" i="49"/>
  <c r="CL280" i="49"/>
  <c r="CM280" i="49"/>
  <c r="CL260" i="49"/>
  <c r="CM260" i="49"/>
  <c r="CL13" i="49"/>
  <c r="CM13" i="49"/>
  <c r="CL7" i="49"/>
  <c r="CM7" i="49"/>
  <c r="CL311" i="49"/>
  <c r="CM311" i="49"/>
  <c r="CL446" i="49"/>
  <c r="CM446" i="49"/>
  <c r="CL379" i="49"/>
  <c r="CM379" i="49"/>
  <c r="CL9" i="49"/>
  <c r="CM9" i="49"/>
  <c r="CL208" i="49"/>
  <c r="CM208" i="49"/>
  <c r="CL449" i="49"/>
  <c r="CM449" i="49"/>
  <c r="CL205" i="49"/>
  <c r="CM205" i="49"/>
  <c r="CL125" i="49"/>
  <c r="CM125" i="49"/>
  <c r="CL196" i="49"/>
  <c r="CM196" i="49"/>
  <c r="CL199" i="49"/>
  <c r="CM199" i="49"/>
  <c r="CL491" i="49"/>
  <c r="CM491" i="49"/>
  <c r="CL61" i="49"/>
  <c r="CM61" i="49"/>
  <c r="CL197" i="49"/>
  <c r="CM197" i="49"/>
  <c r="CL266" i="49"/>
  <c r="CM266" i="49"/>
  <c r="CL59" i="49"/>
  <c r="CM59" i="49"/>
  <c r="CL79" i="49"/>
  <c r="CM79" i="49"/>
  <c r="CL271" i="49"/>
  <c r="CM271" i="49"/>
  <c r="CL111" i="49"/>
  <c r="CM111" i="49"/>
  <c r="CL188" i="49"/>
  <c r="CM188" i="49"/>
  <c r="CL114" i="49"/>
  <c r="CM114" i="49"/>
  <c r="CL101" i="49"/>
  <c r="CM101" i="49"/>
  <c r="CL219" i="49"/>
  <c r="CM219" i="49"/>
  <c r="CL51" i="49"/>
  <c r="CM51" i="49"/>
  <c r="CL99" i="49"/>
  <c r="CM99" i="49"/>
  <c r="CL453" i="49"/>
  <c r="CM453" i="49"/>
  <c r="CL373" i="49"/>
  <c r="CM373" i="49"/>
  <c r="CL129" i="49"/>
  <c r="CM129" i="49"/>
  <c r="CL350" i="49"/>
  <c r="CM350" i="49"/>
  <c r="CL448" i="49"/>
  <c r="CM448" i="49"/>
  <c r="CL478" i="49"/>
  <c r="CM478" i="49"/>
  <c r="CL42" i="49"/>
  <c r="CM42" i="49"/>
  <c r="CL15" i="49"/>
  <c r="CM15" i="49"/>
  <c r="CL386" i="49"/>
  <c r="CM386" i="49"/>
  <c r="CL324" i="49"/>
  <c r="CM324" i="49"/>
  <c r="CL331" i="49"/>
  <c r="CM331" i="49"/>
  <c r="CL493" i="49"/>
  <c r="CM493" i="49"/>
  <c r="CL360" i="49"/>
  <c r="CM360" i="49"/>
  <c r="CL292" i="49"/>
  <c r="CM292" i="49"/>
  <c r="CL361" i="49"/>
  <c r="CM361" i="49"/>
  <c r="CL118" i="49"/>
  <c r="CM118" i="49"/>
  <c r="CL133" i="49"/>
  <c r="CM133" i="49"/>
  <c r="CL343" i="49"/>
  <c r="CM343" i="49"/>
  <c r="CL306" i="49"/>
  <c r="CM306" i="49"/>
  <c r="CL26" i="49"/>
  <c r="CM26" i="49"/>
  <c r="CL383" i="49"/>
  <c r="CM383" i="49"/>
  <c r="CL138" i="49"/>
  <c r="CM138" i="49"/>
  <c r="CL295" i="49"/>
  <c r="CM295" i="49"/>
  <c r="CL457" i="49"/>
  <c r="CM457" i="49"/>
  <c r="CL132" i="49"/>
  <c r="CM132" i="49"/>
  <c r="CL52" i="49"/>
  <c r="CM52" i="49"/>
  <c r="CL136" i="49"/>
  <c r="CM136" i="49"/>
  <c r="CL14" i="49"/>
  <c r="CM14" i="49"/>
  <c r="CL310" i="49"/>
  <c r="CM310" i="49"/>
  <c r="DK301" i="49"/>
  <c r="DK241" i="49"/>
  <c r="DK208" i="49"/>
  <c r="DK455" i="49"/>
  <c r="DK313" i="49"/>
  <c r="DK310" i="49"/>
  <c r="DK157" i="49"/>
  <c r="DK149" i="49"/>
  <c r="DK265" i="49"/>
  <c r="DK250" i="49"/>
  <c r="DK290" i="49"/>
  <c r="DK227" i="49"/>
  <c r="DK418" i="49"/>
  <c r="DK111" i="49"/>
  <c r="DK152" i="49"/>
  <c r="DK39" i="49"/>
  <c r="DK393" i="49"/>
  <c r="DK306" i="49"/>
  <c r="DK218" i="49"/>
  <c r="DK382" i="49"/>
  <c r="DK82" i="49"/>
  <c r="DK131" i="49"/>
  <c r="DK57" i="49"/>
  <c r="DK372" i="49"/>
  <c r="DK76" i="49"/>
  <c r="DK493" i="49"/>
  <c r="DK47" i="49"/>
  <c r="DK450" i="49"/>
  <c r="DK380" i="49"/>
  <c r="DK322" i="49"/>
  <c r="DK458" i="49"/>
  <c r="DK8" i="49"/>
  <c r="DK13" i="49"/>
  <c r="DK414" i="49"/>
  <c r="DK72" i="49"/>
  <c r="DK312" i="49"/>
  <c r="DK279" i="49"/>
  <c r="DK158" i="49"/>
  <c r="DK243" i="49"/>
  <c r="DK114" i="49"/>
  <c r="DK441" i="49"/>
  <c r="DK487" i="49"/>
  <c r="AQ55" i="49"/>
  <c r="AQ167" i="49"/>
  <c r="AQ477" i="49"/>
  <c r="AQ395" i="49"/>
  <c r="AQ490" i="49"/>
  <c r="AQ125" i="49"/>
  <c r="W434" i="49"/>
  <c r="AO504" i="46"/>
  <c r="BU434" i="49"/>
  <c r="AQ76" i="49"/>
  <c r="AQ49" i="49"/>
  <c r="AQ201" i="49"/>
  <c r="AQ106" i="49"/>
  <c r="AQ29" i="49"/>
  <c r="W341" i="49"/>
  <c r="AO388" i="46"/>
  <c r="BU341" i="49"/>
  <c r="AQ449" i="49"/>
  <c r="AQ319" i="49"/>
  <c r="CL262" i="49"/>
  <c r="CM262" i="49"/>
  <c r="CL320" i="49"/>
  <c r="CM320" i="49"/>
  <c r="CL268" i="49"/>
  <c r="CM268" i="49"/>
  <c r="CL113" i="49"/>
  <c r="CM113" i="49"/>
  <c r="CL253" i="49"/>
  <c r="CM253" i="49"/>
  <c r="CL349" i="49"/>
  <c r="CM349" i="49"/>
  <c r="CL326" i="49"/>
  <c r="CM326" i="49"/>
  <c r="CL393" i="49"/>
  <c r="CM393" i="49"/>
  <c r="CL441" i="49"/>
  <c r="CM441" i="49"/>
  <c r="CL372" i="49"/>
  <c r="CM372" i="49"/>
  <c r="CL186" i="49"/>
  <c r="CM186" i="49"/>
  <c r="CL352" i="49"/>
  <c r="CM352" i="49"/>
  <c r="CL388" i="49"/>
  <c r="CM388" i="49"/>
  <c r="CL190" i="49"/>
  <c r="CM190" i="49"/>
  <c r="CL435" i="49"/>
  <c r="CM435" i="49"/>
  <c r="CL413" i="49"/>
  <c r="CM413" i="49"/>
  <c r="CL249" i="49"/>
  <c r="CM249" i="49"/>
  <c r="CL211" i="49"/>
  <c r="CM211" i="49"/>
  <c r="CL382" i="49"/>
  <c r="CM382" i="49"/>
  <c r="CL81" i="49"/>
  <c r="CM81" i="49"/>
  <c r="CL475" i="49"/>
  <c r="CM475" i="49"/>
  <c r="CL394" i="49"/>
  <c r="CM394" i="49"/>
  <c r="CL157" i="49"/>
  <c r="CM157" i="49"/>
  <c r="CL485" i="49"/>
  <c r="CM485" i="49"/>
  <c r="CL492" i="49"/>
  <c r="CM492" i="49"/>
  <c r="CL162" i="49"/>
  <c r="CM162" i="49"/>
  <c r="CL189" i="49"/>
  <c r="CM189" i="49"/>
  <c r="CL233" i="49"/>
  <c r="CM233" i="49"/>
  <c r="CL27" i="49"/>
  <c r="CM27" i="49"/>
  <c r="CL77" i="49"/>
  <c r="CM77" i="49"/>
  <c r="CL54" i="49"/>
  <c r="CM54" i="49"/>
  <c r="CL308" i="49"/>
  <c r="CM308" i="49"/>
  <c r="CL431" i="49"/>
  <c r="CM431" i="49"/>
  <c r="CL267" i="49"/>
  <c r="CM267" i="49"/>
  <c r="CL261" i="49"/>
  <c r="CM261" i="49"/>
  <c r="CL300" i="49"/>
  <c r="CM300" i="49"/>
  <c r="CL141" i="49"/>
  <c r="CM141" i="49"/>
  <c r="CL131" i="49"/>
  <c r="CM131" i="49"/>
  <c r="CL144" i="49"/>
  <c r="CM144" i="49"/>
  <c r="CL166" i="49"/>
  <c r="CM166" i="49"/>
  <c r="CL305" i="49"/>
  <c r="CM305" i="49"/>
  <c r="DK30" i="49"/>
  <c r="DK192" i="49"/>
  <c r="W353" i="49"/>
  <c r="AO418" i="46"/>
  <c r="BU353" i="49"/>
  <c r="AQ485" i="49"/>
  <c r="AQ215" i="49"/>
  <c r="AQ43" i="49"/>
  <c r="AQ473" i="49"/>
  <c r="AQ305" i="49"/>
  <c r="AQ162" i="49"/>
  <c r="AQ139" i="49"/>
  <c r="AQ484" i="49"/>
  <c r="AQ310" i="49"/>
  <c r="AQ121" i="49"/>
  <c r="AQ170" i="49"/>
  <c r="AQ218" i="49"/>
  <c r="AQ26" i="49"/>
  <c r="AQ85" i="49"/>
  <c r="AQ346" i="49"/>
  <c r="AQ303" i="49"/>
  <c r="AQ112" i="49"/>
  <c r="AQ101" i="49"/>
  <c r="AQ331" i="49"/>
  <c r="BQ481" i="49"/>
  <c r="BQ15" i="49"/>
  <c r="DK475" i="49"/>
  <c r="DK430" i="49"/>
  <c r="DK55" i="49"/>
  <c r="DK271" i="49"/>
  <c r="DK233" i="49"/>
  <c r="DK48" i="49"/>
  <c r="DK248" i="49"/>
  <c r="W41" i="49"/>
  <c r="AO59" i="46"/>
  <c r="BU41" i="49"/>
  <c r="DK87" i="49"/>
  <c r="BQ8" i="49"/>
  <c r="AQ82" i="49"/>
  <c r="AQ158" i="49"/>
  <c r="AQ278" i="49"/>
  <c r="AQ172" i="49"/>
  <c r="AQ173" i="49"/>
  <c r="AQ356" i="49"/>
  <c r="AQ165" i="49"/>
  <c r="AQ104" i="49"/>
  <c r="AQ166" i="49"/>
  <c r="AQ100" i="49"/>
  <c r="AQ79" i="49"/>
  <c r="AQ184" i="49"/>
  <c r="AQ120" i="49"/>
  <c r="AQ87" i="49"/>
  <c r="AQ423" i="49"/>
  <c r="AQ44" i="49"/>
  <c r="AQ127" i="49"/>
  <c r="AQ275" i="49"/>
  <c r="AQ377" i="49"/>
  <c r="AQ30" i="49"/>
  <c r="BQ61" i="49"/>
  <c r="AQ57" i="49"/>
  <c r="AQ390" i="49"/>
  <c r="AQ163" i="49"/>
  <c r="AQ143" i="49"/>
  <c r="AQ307" i="49"/>
  <c r="DK256" i="49"/>
  <c r="DK143" i="49"/>
  <c r="DK50" i="49"/>
  <c r="DK166" i="49"/>
  <c r="DK165" i="49"/>
  <c r="DK410" i="49"/>
  <c r="DK125" i="49"/>
  <c r="DK20" i="49"/>
  <c r="DK140" i="49"/>
  <c r="AQ122" i="49"/>
  <c r="AQ96" i="49"/>
  <c r="AQ48" i="49"/>
  <c r="AQ214" i="49"/>
  <c r="AQ56" i="49"/>
  <c r="AQ133" i="49"/>
  <c r="AQ339" i="49"/>
  <c r="AQ268" i="49"/>
  <c r="AQ14" i="49"/>
  <c r="AQ365" i="49"/>
  <c r="AQ180" i="49"/>
  <c r="AQ316" i="49"/>
  <c r="AQ64" i="49"/>
  <c r="AQ60" i="49"/>
  <c r="AQ8" i="49"/>
  <c r="DI500" i="49"/>
  <c r="DI2" i="49"/>
  <c r="AQ146" i="49"/>
  <c r="AQ363" i="49"/>
  <c r="AQ438" i="49"/>
  <c r="AQ460" i="49"/>
  <c r="AQ324" i="49"/>
  <c r="AQ342" i="49"/>
  <c r="AQ351" i="49"/>
  <c r="DK356" i="49"/>
  <c r="DK268" i="49"/>
  <c r="W489" i="49"/>
  <c r="AO114" i="46"/>
  <c r="BU489" i="49"/>
  <c r="DK178" i="49"/>
  <c r="DK446" i="49"/>
  <c r="DK245" i="49"/>
  <c r="DK186" i="49"/>
  <c r="DK184" i="49"/>
  <c r="DK384" i="49"/>
  <c r="DK444" i="49"/>
  <c r="AQ441" i="49"/>
  <c r="AQ290" i="49"/>
  <c r="AQ13" i="49"/>
  <c r="AQ498" i="49"/>
  <c r="AQ313" i="49"/>
  <c r="AQ52" i="49"/>
  <c r="AQ130" i="49"/>
  <c r="AQ227" i="49"/>
  <c r="AQ51" i="49"/>
  <c r="AQ393" i="49"/>
  <c r="AQ447" i="49"/>
  <c r="AQ321" i="49"/>
  <c r="AQ136" i="49"/>
  <c r="AQ205" i="49"/>
  <c r="AQ435" i="49"/>
  <c r="AQ233" i="49"/>
  <c r="AQ442" i="49"/>
  <c r="AQ159" i="49"/>
  <c r="AQ267" i="49"/>
  <c r="AQ224" i="49"/>
  <c r="DK278" i="49"/>
  <c r="DK320" i="49"/>
  <c r="DK160" i="49"/>
  <c r="DK468" i="49"/>
  <c r="DK102" i="49"/>
  <c r="DK388" i="49"/>
  <c r="DK167" i="49"/>
  <c r="DK54" i="49"/>
  <c r="DK453" i="49"/>
  <c r="DK194" i="49"/>
  <c r="DK210" i="49"/>
  <c r="DK89" i="49"/>
  <c r="DK88" i="49"/>
  <c r="DK99" i="49"/>
  <c r="DK134" i="49"/>
  <c r="DK66" i="49"/>
  <c r="DK461" i="49"/>
  <c r="DK122" i="49"/>
  <c r="DK162" i="49"/>
  <c r="DK85" i="49"/>
  <c r="DK261" i="49"/>
  <c r="DK257" i="49"/>
  <c r="DK386" i="49"/>
  <c r="DK333" i="49"/>
  <c r="DK305" i="49"/>
  <c r="DK190" i="49"/>
  <c r="DK38" i="49"/>
  <c r="DK44" i="49"/>
  <c r="DK428" i="49"/>
  <c r="DK183" i="49"/>
  <c r="DK69" i="49"/>
  <c r="DK154" i="49"/>
  <c r="DK425" i="49"/>
  <c r="DK19" i="49"/>
  <c r="DK366" i="49"/>
  <c r="DK109" i="49"/>
  <c r="DK101" i="49"/>
  <c r="DK346" i="49"/>
  <c r="DK129" i="49"/>
  <c r="DK51" i="49"/>
  <c r="DK156" i="49"/>
  <c r="DK191" i="49"/>
  <c r="CL64" i="49"/>
  <c r="CM64" i="49"/>
  <c r="CL338" i="49"/>
  <c r="CM338" i="49"/>
  <c r="CL430" i="49"/>
  <c r="CM430" i="49"/>
  <c r="CL484" i="49"/>
  <c r="CM484" i="49"/>
  <c r="CL319" i="49"/>
  <c r="CM319" i="49"/>
  <c r="CL218" i="49"/>
  <c r="CM218" i="49"/>
  <c r="CL471" i="49"/>
  <c r="CM471" i="49"/>
  <c r="CL428" i="49"/>
  <c r="CM428" i="49"/>
  <c r="CL303" i="49"/>
  <c r="CM303" i="49"/>
  <c r="CL240" i="49"/>
  <c r="CM240" i="49"/>
  <c r="CL486" i="49"/>
  <c r="CM486" i="49"/>
  <c r="CL473" i="49"/>
  <c r="CM473" i="49"/>
  <c r="CL346" i="49"/>
  <c r="CM346" i="49"/>
  <c r="CL460" i="49"/>
  <c r="CM460" i="49"/>
  <c r="CL384" i="49"/>
  <c r="CM384" i="49"/>
  <c r="CL126" i="49"/>
  <c r="CM126" i="49"/>
  <c r="CL184" i="49"/>
  <c r="CM184" i="49"/>
  <c r="CL121" i="49"/>
  <c r="CM121" i="49"/>
  <c r="CL150" i="49"/>
  <c r="CM150" i="49"/>
  <c r="CL275" i="49"/>
  <c r="CM275" i="49"/>
  <c r="CL281" i="49"/>
  <c r="CM281" i="49"/>
  <c r="CL439" i="49"/>
  <c r="CM439" i="49"/>
  <c r="CL155" i="49"/>
  <c r="CM155" i="49"/>
  <c r="CL90" i="49"/>
  <c r="CM90" i="49"/>
  <c r="CL461" i="49"/>
  <c r="CM461" i="49"/>
  <c r="CL445" i="49"/>
  <c r="CM445" i="49"/>
  <c r="CL88" i="49"/>
  <c r="CM88" i="49"/>
  <c r="CL124" i="49"/>
  <c r="CM124" i="49"/>
  <c r="CL183" i="49"/>
  <c r="CM183" i="49"/>
  <c r="CL290" i="49"/>
  <c r="CM290" i="49"/>
  <c r="CL220" i="49"/>
  <c r="CM220" i="49"/>
  <c r="CL94" i="49"/>
  <c r="CM94" i="49"/>
  <c r="CL423" i="49"/>
  <c r="CM423" i="49"/>
  <c r="CL28" i="49"/>
  <c r="CM28" i="49"/>
  <c r="CL180" i="49"/>
  <c r="CM180" i="49"/>
  <c r="CL104" i="49"/>
  <c r="CM104" i="49"/>
  <c r="AU312" i="49"/>
  <c r="CL390" i="49"/>
  <c r="CM390" i="49"/>
  <c r="CL165" i="49"/>
  <c r="CM165" i="49"/>
  <c r="CL123" i="49"/>
  <c r="CM123" i="49"/>
  <c r="CL414" i="49"/>
  <c r="CM414" i="49"/>
  <c r="AU491" i="49"/>
  <c r="BQ330" i="49"/>
  <c r="CO330" i="49"/>
  <c r="DL203" i="49"/>
  <c r="BO204" i="49"/>
  <c r="BP204" i="49"/>
  <c r="CO203" i="49"/>
  <c r="CN204" i="49"/>
  <c r="BO203" i="49"/>
  <c r="BP203" i="49"/>
  <c r="BO229" i="49"/>
  <c r="BP229" i="49"/>
  <c r="BQ229" i="49"/>
  <c r="BO178" i="49"/>
  <c r="BP178" i="49"/>
  <c r="BO304" i="49"/>
  <c r="BP304" i="49"/>
  <c r="BO298" i="49"/>
  <c r="BP298" i="49"/>
  <c r="BO290" i="49"/>
  <c r="BP290" i="49"/>
  <c r="BQ290" i="49"/>
  <c r="BR290" i="49"/>
  <c r="BO241" i="49"/>
  <c r="BP241" i="49"/>
  <c r="BQ241" i="49"/>
  <c r="BO283" i="49"/>
  <c r="BP283" i="49"/>
  <c r="BQ283" i="49"/>
  <c r="BR283" i="49"/>
  <c r="BO216" i="49"/>
  <c r="BP216" i="49"/>
  <c r="BQ216" i="49"/>
  <c r="BR216" i="49"/>
  <c r="BO294" i="49"/>
  <c r="BP294" i="49"/>
  <c r="BQ294" i="49"/>
  <c r="BR294" i="49"/>
  <c r="BO228" i="49"/>
  <c r="BP228" i="49"/>
  <c r="BQ228" i="49"/>
  <c r="BR228" i="49"/>
  <c r="BO222" i="49"/>
  <c r="BP222" i="49"/>
  <c r="BQ222" i="49"/>
  <c r="BR222" i="49"/>
  <c r="BO231" i="49"/>
  <c r="BP231" i="49"/>
  <c r="BQ231" i="49"/>
  <c r="BR231" i="49"/>
  <c r="BO246" i="49"/>
  <c r="BP246" i="49"/>
  <c r="BQ246" i="49"/>
  <c r="BR246" i="49"/>
  <c r="BO212" i="49"/>
  <c r="BP212" i="49"/>
  <c r="BQ212" i="49"/>
  <c r="BR212" i="49"/>
  <c r="BO223" i="49"/>
  <c r="BP223" i="49"/>
  <c r="BQ223" i="49"/>
  <c r="BR223" i="49"/>
  <c r="BO168" i="49"/>
  <c r="BP168" i="49"/>
  <c r="BQ168" i="49"/>
  <c r="BR168" i="49"/>
  <c r="BO256" i="49"/>
  <c r="BP256" i="49"/>
  <c r="BQ256" i="49"/>
  <c r="BR256" i="49"/>
  <c r="BO259" i="49"/>
  <c r="BP259" i="49"/>
  <c r="BQ259" i="49"/>
  <c r="BR259" i="49"/>
  <c r="BO103" i="49"/>
  <c r="BP103" i="49"/>
  <c r="BQ103" i="49"/>
  <c r="BR103" i="49"/>
  <c r="BO358" i="49"/>
  <c r="BP358" i="49"/>
  <c r="BQ358" i="49"/>
  <c r="CN423" i="49"/>
  <c r="CN121" i="49"/>
  <c r="CN218" i="49"/>
  <c r="DL366" i="49"/>
  <c r="DL38" i="49"/>
  <c r="DL261" i="49"/>
  <c r="DL88" i="49"/>
  <c r="DL453" i="49"/>
  <c r="DL102" i="49"/>
  <c r="DL384" i="49"/>
  <c r="DL186" i="49"/>
  <c r="DL446" i="49"/>
  <c r="CN165" i="49"/>
  <c r="CN104" i="49"/>
  <c r="CN94" i="49"/>
  <c r="CN183" i="49"/>
  <c r="CN461" i="49"/>
  <c r="CN281" i="49"/>
  <c r="CN184" i="49"/>
  <c r="CN346" i="49"/>
  <c r="CN303" i="49"/>
  <c r="CN319" i="49"/>
  <c r="CN64" i="49"/>
  <c r="DL140" i="49"/>
  <c r="DL125" i="49"/>
  <c r="DL165" i="49"/>
  <c r="DL50" i="49"/>
  <c r="DL256" i="49"/>
  <c r="BS481" i="49"/>
  <c r="BT481" i="49"/>
  <c r="BR481" i="49"/>
  <c r="DL30" i="49"/>
  <c r="CN131" i="49"/>
  <c r="CN267" i="49"/>
  <c r="CN77" i="49"/>
  <c r="CN162" i="49"/>
  <c r="CN394" i="49"/>
  <c r="CN211" i="49"/>
  <c r="CN190" i="49"/>
  <c r="CN372" i="49"/>
  <c r="CN349" i="49"/>
  <c r="CN320" i="49"/>
  <c r="DL441" i="49"/>
  <c r="DL243" i="49"/>
  <c r="DL279" i="49"/>
  <c r="DL72" i="49"/>
  <c r="DL13" i="49"/>
  <c r="DL458" i="49"/>
  <c r="DL380" i="49"/>
  <c r="DL47" i="49"/>
  <c r="DL76" i="49"/>
  <c r="DL57" i="49"/>
  <c r="DL82" i="49"/>
  <c r="DL218" i="49"/>
  <c r="DL393" i="49"/>
  <c r="DL152" i="49"/>
  <c r="DL418" i="49"/>
  <c r="DL290" i="49"/>
  <c r="DL265" i="49"/>
  <c r="DL157" i="49"/>
  <c r="DL313" i="49"/>
  <c r="DL208" i="49"/>
  <c r="DL301" i="49"/>
  <c r="CN52" i="49"/>
  <c r="CN138" i="49"/>
  <c r="CN343" i="49"/>
  <c r="CN292" i="49"/>
  <c r="CN324" i="49"/>
  <c r="CN478" i="49"/>
  <c r="CN373" i="49"/>
  <c r="CN219" i="49"/>
  <c r="CN111" i="49"/>
  <c r="CN266" i="49"/>
  <c r="CN199" i="49"/>
  <c r="CN449" i="49"/>
  <c r="CN446" i="49"/>
  <c r="CN260" i="49"/>
  <c r="CN146" i="49"/>
  <c r="CN95" i="49"/>
  <c r="CN142" i="49"/>
  <c r="CN273" i="49"/>
  <c r="CN100" i="49"/>
  <c r="CN274" i="49"/>
  <c r="CN134" i="49"/>
  <c r="CN96" i="49"/>
  <c r="CN265" i="49"/>
  <c r="CN298" i="49"/>
  <c r="CN377" i="49"/>
  <c r="CN296" i="49"/>
  <c r="CN404" i="49"/>
  <c r="CN69" i="49"/>
  <c r="CN252" i="49"/>
  <c r="CN143" i="49"/>
  <c r="CN75" i="49"/>
  <c r="CN483" i="49"/>
  <c r="CN367" i="49"/>
  <c r="CN327" i="49"/>
  <c r="CN316" i="49"/>
  <c r="CN312" i="49"/>
  <c r="CN225" i="49"/>
  <c r="CN105" i="49"/>
  <c r="CN152" i="49"/>
  <c r="CN139" i="49"/>
  <c r="CN179" i="49"/>
  <c r="DL33" i="49"/>
  <c r="DL187" i="49"/>
  <c r="DL28" i="49"/>
  <c r="DL189" i="49"/>
  <c r="DL148" i="49"/>
  <c r="DL274" i="49"/>
  <c r="DL92" i="49"/>
  <c r="DL132" i="49"/>
  <c r="DL325" i="49"/>
  <c r="CN154" i="49"/>
  <c r="CN38" i="49"/>
  <c r="CN277" i="49"/>
  <c r="CN313" i="49"/>
  <c r="CN109" i="49"/>
  <c r="CN279" i="49"/>
  <c r="CN356" i="49"/>
  <c r="CN215" i="49"/>
  <c r="CN178" i="49"/>
  <c r="CN122" i="49"/>
  <c r="CN357" i="49"/>
  <c r="DL118" i="49"/>
  <c r="DL439" i="49"/>
  <c r="DL419" i="49"/>
  <c r="DL150" i="49"/>
  <c r="DL180" i="49"/>
  <c r="DL42" i="49"/>
  <c r="DK500" i="49"/>
  <c r="DK2" i="49"/>
  <c r="DL5" i="49"/>
  <c r="DL205" i="49"/>
  <c r="DL225" i="49"/>
  <c r="DL454" i="49"/>
  <c r="DL390" i="49"/>
  <c r="DL78" i="49"/>
  <c r="DL94" i="49"/>
  <c r="DL112" i="49"/>
  <c r="DL70" i="49"/>
  <c r="DL307" i="49"/>
  <c r="DL52" i="49"/>
  <c r="DL463" i="49"/>
  <c r="CN16" i="49"/>
  <c r="CN106" i="49"/>
  <c r="CN335" i="49"/>
  <c r="CN380" i="49"/>
  <c r="CN102" i="49"/>
  <c r="CN301" i="49"/>
  <c r="CN334" i="49"/>
  <c r="CN194" i="49"/>
  <c r="CN200" i="49"/>
  <c r="CN436" i="49"/>
  <c r="CN66" i="49"/>
  <c r="DL277" i="49"/>
  <c r="DL440" i="49"/>
  <c r="DL100" i="49"/>
  <c r="DL6" i="49"/>
  <c r="DL217" i="49"/>
  <c r="DL127" i="49"/>
  <c r="DL296" i="49"/>
  <c r="DL326" i="49"/>
  <c r="DL367" i="49"/>
  <c r="DL363" i="49"/>
  <c r="DL473" i="49"/>
  <c r="DL449" i="49"/>
  <c r="DL142" i="49"/>
  <c r="DL411" i="49"/>
  <c r="DL153" i="49"/>
  <c r="DL350" i="49"/>
  <c r="DL207" i="49"/>
  <c r="DL438" i="49"/>
  <c r="DL170" i="49"/>
  <c r="DL115" i="49"/>
  <c r="BO487" i="49"/>
  <c r="BP487" i="49"/>
  <c r="BO164" i="49"/>
  <c r="BP164" i="49"/>
  <c r="BO170" i="49"/>
  <c r="BP170" i="49"/>
  <c r="BO486" i="49"/>
  <c r="BP486" i="49"/>
  <c r="BO491" i="49"/>
  <c r="BP491" i="49"/>
  <c r="BO196" i="49"/>
  <c r="BP196" i="49"/>
  <c r="BO134" i="49"/>
  <c r="BP134" i="49"/>
  <c r="BO194" i="49"/>
  <c r="BP194" i="49"/>
  <c r="BO352" i="49"/>
  <c r="BP352" i="49"/>
  <c r="BO124" i="49"/>
  <c r="BP124" i="49"/>
  <c r="BO32" i="49"/>
  <c r="BP32" i="49"/>
  <c r="BO400" i="49"/>
  <c r="BP400" i="49"/>
  <c r="CO214" i="49"/>
  <c r="BO184" i="49"/>
  <c r="BP184" i="49"/>
  <c r="BO301" i="49"/>
  <c r="BP301" i="49"/>
  <c r="BO200" i="49"/>
  <c r="BP200" i="49"/>
  <c r="BO413" i="49"/>
  <c r="BP413" i="49"/>
  <c r="BO321" i="49"/>
  <c r="BP321" i="49"/>
  <c r="BO20" i="49"/>
  <c r="BP20" i="49"/>
  <c r="BO414" i="49"/>
  <c r="BP414" i="49"/>
  <c r="BO322" i="49"/>
  <c r="BP322" i="49"/>
  <c r="BO155" i="49"/>
  <c r="BP155" i="49"/>
  <c r="BO183" i="49"/>
  <c r="BP183" i="49"/>
  <c r="BO393" i="49"/>
  <c r="BP393" i="49"/>
  <c r="BO101" i="49"/>
  <c r="BP101" i="49"/>
  <c r="BO313" i="49"/>
  <c r="BP313" i="49"/>
  <c r="BO279" i="49"/>
  <c r="BP279" i="49"/>
  <c r="BO333" i="49"/>
  <c r="BP333" i="49"/>
  <c r="BO174" i="49"/>
  <c r="BP174" i="49"/>
  <c r="BO250" i="49"/>
  <c r="BP250" i="49"/>
  <c r="BO473" i="49"/>
  <c r="BP473" i="49"/>
  <c r="BO111" i="49"/>
  <c r="BP111" i="49"/>
  <c r="BO187" i="49"/>
  <c r="BP187" i="49"/>
  <c r="BO318" i="49"/>
  <c r="BP318" i="49"/>
  <c r="BS343" i="49"/>
  <c r="BT343" i="49"/>
  <c r="BR343" i="49"/>
  <c r="BO384" i="49"/>
  <c r="BP384" i="49"/>
  <c r="BO130" i="49"/>
  <c r="BP130" i="49"/>
  <c r="BO493" i="49"/>
  <c r="BP493" i="49"/>
  <c r="BO366" i="49"/>
  <c r="BP366" i="49"/>
  <c r="BO152" i="49"/>
  <c r="BP152" i="49"/>
  <c r="BO89" i="49"/>
  <c r="BP89" i="49"/>
  <c r="BO190" i="49"/>
  <c r="BP190" i="49"/>
  <c r="BO44" i="49"/>
  <c r="BP44" i="49"/>
  <c r="BO454" i="49"/>
  <c r="BP454" i="49"/>
  <c r="BO173" i="49"/>
  <c r="BP173" i="49"/>
  <c r="CN439" i="49"/>
  <c r="CN338" i="49"/>
  <c r="DL129" i="49"/>
  <c r="DL69" i="49"/>
  <c r="DL386" i="49"/>
  <c r="DL461" i="49"/>
  <c r="DL160" i="49"/>
  <c r="CN390" i="49"/>
  <c r="CN220" i="49"/>
  <c r="CN90" i="49"/>
  <c r="CN126" i="49"/>
  <c r="CN484" i="49"/>
  <c r="DL51" i="49"/>
  <c r="DL346" i="49"/>
  <c r="DL109" i="49"/>
  <c r="DL19" i="49"/>
  <c r="DL154" i="49"/>
  <c r="DL183" i="49"/>
  <c r="DL44" i="49"/>
  <c r="DL190" i="49"/>
  <c r="DL333" i="49"/>
  <c r="DL257" i="49"/>
  <c r="DL85" i="49"/>
  <c r="DL122" i="49"/>
  <c r="DL66" i="49"/>
  <c r="DL99" i="49"/>
  <c r="DL89" i="49"/>
  <c r="DL194" i="49"/>
  <c r="DL54" i="49"/>
  <c r="DL388" i="49"/>
  <c r="DL468" i="49"/>
  <c r="DL320" i="49"/>
  <c r="DL444" i="49"/>
  <c r="DL184" i="49"/>
  <c r="DL245" i="49"/>
  <c r="DL178" i="49"/>
  <c r="DL268" i="49"/>
  <c r="BS61" i="49"/>
  <c r="BT61" i="49"/>
  <c r="BR61" i="49"/>
  <c r="DL87" i="49"/>
  <c r="DL248" i="49"/>
  <c r="DL233" i="49"/>
  <c r="DL55" i="49"/>
  <c r="DL475" i="49"/>
  <c r="CN305" i="49"/>
  <c r="CN141" i="49"/>
  <c r="CN431" i="49"/>
  <c r="CN27" i="49"/>
  <c r="CN492" i="49"/>
  <c r="CN475" i="49"/>
  <c r="CN249" i="49"/>
  <c r="CN388" i="49"/>
  <c r="CN441" i="49"/>
  <c r="CN253" i="49"/>
  <c r="CN262" i="49"/>
  <c r="CN310" i="49"/>
  <c r="CN132" i="49"/>
  <c r="CN383" i="49"/>
  <c r="CN133" i="49"/>
  <c r="CN360" i="49"/>
  <c r="CN386" i="49"/>
  <c r="CN448" i="49"/>
  <c r="CN453" i="49"/>
  <c r="CN101" i="49"/>
  <c r="CN271" i="49"/>
  <c r="CN197" i="49"/>
  <c r="CN196" i="49"/>
  <c r="CN208" i="49"/>
  <c r="CN311" i="49"/>
  <c r="CN280" i="49"/>
  <c r="CN299" i="49"/>
  <c r="CN145" i="49"/>
  <c r="CN409" i="49"/>
  <c r="CN243" i="49"/>
  <c r="CN161" i="49"/>
  <c r="CN173" i="49"/>
  <c r="CN84" i="49"/>
  <c r="CN241" i="49"/>
  <c r="CN30" i="49"/>
  <c r="CN307" i="49"/>
  <c r="CN451" i="49"/>
  <c r="CN351" i="49"/>
  <c r="CN318" i="49"/>
  <c r="CN135" i="49"/>
  <c r="CN8" i="49"/>
  <c r="CN163" i="49"/>
  <c r="CN29" i="49"/>
  <c r="CN278" i="49"/>
  <c r="CN201" i="49"/>
  <c r="CN58" i="49"/>
  <c r="CN468" i="49"/>
  <c r="CN329" i="49"/>
  <c r="CN119" i="49"/>
  <c r="CN108" i="49"/>
  <c r="CN169" i="49"/>
  <c r="CN438" i="49"/>
  <c r="CN315" i="49"/>
  <c r="DL281" i="49"/>
  <c r="DL300" i="49"/>
  <c r="DL81" i="49"/>
  <c r="DL93" i="49"/>
  <c r="AP500" i="49"/>
  <c r="AP2" i="49"/>
  <c r="AQ6" i="49"/>
  <c r="AQ500" i="49"/>
  <c r="AQ2" i="49"/>
  <c r="AR330" i="49"/>
  <c r="AS330" i="49"/>
  <c r="DL275" i="49"/>
  <c r="DL498" i="49"/>
  <c r="DL215" i="49"/>
  <c r="DL253" i="49"/>
  <c r="CN47" i="49"/>
  <c r="CN159" i="49"/>
  <c r="CN130" i="49"/>
  <c r="CN498" i="49"/>
  <c r="CN140" i="49"/>
  <c r="CN93" i="49"/>
  <c r="CN56" i="49"/>
  <c r="CN437" i="49"/>
  <c r="CN408" i="49"/>
  <c r="CN366" i="49"/>
  <c r="CN153" i="49"/>
  <c r="DL496" i="49"/>
  <c r="DL214" i="49"/>
  <c r="DL173" i="49"/>
  <c r="DL348" i="49"/>
  <c r="DL373" i="49"/>
  <c r="DL106" i="49"/>
  <c r="DL179" i="49"/>
  <c r="DL141" i="49"/>
  <c r="DL317" i="49"/>
  <c r="DL334" i="49"/>
  <c r="DL235" i="49"/>
  <c r="DL435" i="49"/>
  <c r="DL136" i="49"/>
  <c r="DL249" i="49"/>
  <c r="DL471" i="49"/>
  <c r="DL339" i="49"/>
  <c r="DL200" i="49"/>
  <c r="DL368" i="49"/>
  <c r="DL169" i="49"/>
  <c r="DL361" i="49"/>
  <c r="DL17" i="49"/>
  <c r="DL408" i="49"/>
  <c r="DL36" i="49"/>
  <c r="DL43" i="49"/>
  <c r="DL199" i="49"/>
  <c r="DL365" i="49"/>
  <c r="CN91" i="49"/>
  <c r="CN210" i="49"/>
  <c r="CN314" i="49"/>
  <c r="CN85" i="49"/>
  <c r="CN341" i="49"/>
  <c r="CN187" i="49"/>
  <c r="CN158" i="49"/>
  <c r="CN454" i="49"/>
  <c r="CN425" i="49"/>
  <c r="CN17" i="49"/>
  <c r="CN248" i="49"/>
  <c r="DL24" i="49"/>
  <c r="DL400" i="49"/>
  <c r="DL79" i="49"/>
  <c r="DL130" i="49"/>
  <c r="DL195" i="49"/>
  <c r="DL119" i="49"/>
  <c r="DL318" i="49"/>
  <c r="DL409" i="49"/>
  <c r="DL484" i="49"/>
  <c r="DL198" i="49"/>
  <c r="DL23" i="49"/>
  <c r="DL303" i="49"/>
  <c r="DL478" i="49"/>
  <c r="DL15" i="49"/>
  <c r="DL29" i="49"/>
  <c r="DL172" i="49"/>
  <c r="DL120" i="49"/>
  <c r="DL155" i="49"/>
  <c r="DL360" i="49"/>
  <c r="BO457" i="49"/>
  <c r="BP457" i="49"/>
  <c r="BO38" i="49"/>
  <c r="BP38" i="49"/>
  <c r="BO465" i="49"/>
  <c r="BP465" i="49"/>
  <c r="BO26" i="49"/>
  <c r="BP26" i="49"/>
  <c r="BO118" i="49"/>
  <c r="BP118" i="49"/>
  <c r="BO30" i="49"/>
  <c r="BP30" i="49"/>
  <c r="BO265" i="49"/>
  <c r="BP265" i="49"/>
  <c r="BO189" i="49"/>
  <c r="BP189" i="49"/>
  <c r="BS16" i="49"/>
  <c r="BT16" i="49"/>
  <c r="BR16" i="49"/>
  <c r="BO31" i="49"/>
  <c r="BP31" i="49"/>
  <c r="BO162" i="49"/>
  <c r="BP162" i="49"/>
  <c r="BO456" i="49"/>
  <c r="BP456" i="49"/>
  <c r="BO153" i="49"/>
  <c r="BP153" i="49"/>
  <c r="BO420" i="49"/>
  <c r="BP420" i="49"/>
  <c r="BO276" i="49"/>
  <c r="BP276" i="49"/>
  <c r="BO325" i="49"/>
  <c r="BP325" i="49"/>
  <c r="BO248" i="49"/>
  <c r="BP248" i="49"/>
  <c r="BO100" i="49"/>
  <c r="BP100" i="49"/>
  <c r="BO383" i="49"/>
  <c r="BP383" i="49"/>
  <c r="BO114" i="49"/>
  <c r="BP114" i="49"/>
  <c r="BO69" i="49"/>
  <c r="BP69" i="49"/>
  <c r="BO460" i="49"/>
  <c r="BP460" i="49"/>
  <c r="BS338" i="49"/>
  <c r="BT338" i="49"/>
  <c r="BR338" i="49"/>
  <c r="BO123" i="49"/>
  <c r="BP123" i="49"/>
  <c r="BO426" i="49"/>
  <c r="BP426" i="49"/>
  <c r="BO357" i="49"/>
  <c r="BP357" i="49"/>
  <c r="BO201" i="49"/>
  <c r="BP201" i="49"/>
  <c r="BO205" i="49"/>
  <c r="BP205" i="49"/>
  <c r="BO395" i="49"/>
  <c r="BP395" i="49"/>
  <c r="BO252" i="49"/>
  <c r="BP252" i="49"/>
  <c r="BO92" i="49"/>
  <c r="BP92" i="49"/>
  <c r="BO494" i="49"/>
  <c r="BP494" i="49"/>
  <c r="BO143" i="49"/>
  <c r="BP143" i="49"/>
  <c r="BO438" i="49"/>
  <c r="BP438" i="49"/>
  <c r="BO209" i="49"/>
  <c r="BP209" i="49"/>
  <c r="BS60" i="49"/>
  <c r="BT60" i="49"/>
  <c r="BR60" i="49"/>
  <c r="BO106" i="49"/>
  <c r="BP106" i="49"/>
  <c r="BO213" i="49"/>
  <c r="BP213" i="49"/>
  <c r="BO331" i="49"/>
  <c r="BP331" i="49"/>
  <c r="BO245" i="49"/>
  <c r="BP245" i="49"/>
  <c r="BO251" i="49"/>
  <c r="BP251" i="49"/>
  <c r="BS14" i="49"/>
  <c r="BT14" i="49"/>
  <c r="BR14" i="49"/>
  <c r="CN123" i="49"/>
  <c r="CN445" i="49"/>
  <c r="CN240" i="49"/>
  <c r="DL156" i="49"/>
  <c r="DL425" i="49"/>
  <c r="DL428" i="49"/>
  <c r="DL162" i="49"/>
  <c r="DL210" i="49"/>
  <c r="DL278" i="49"/>
  <c r="CN180" i="49"/>
  <c r="CN124" i="49"/>
  <c r="CN275" i="49"/>
  <c r="CN473" i="49"/>
  <c r="CN428" i="49"/>
  <c r="DL191" i="49"/>
  <c r="CN414" i="49"/>
  <c r="CN28" i="49"/>
  <c r="CN88" i="49"/>
  <c r="CN155" i="49"/>
  <c r="CN150" i="49"/>
  <c r="CN384" i="49"/>
  <c r="CN486" i="49"/>
  <c r="CN471" i="49"/>
  <c r="CN430" i="49"/>
  <c r="DL20" i="49"/>
  <c r="DL410" i="49"/>
  <c r="DL166" i="49"/>
  <c r="DL143" i="49"/>
  <c r="DL192" i="49"/>
  <c r="CN166" i="49"/>
  <c r="CN300" i="49"/>
  <c r="CN308" i="49"/>
  <c r="CN233" i="49"/>
  <c r="CN485" i="49"/>
  <c r="CN81" i="49"/>
  <c r="CN413" i="49"/>
  <c r="CN352" i="49"/>
  <c r="CN393" i="49"/>
  <c r="CN113" i="49"/>
  <c r="DL487" i="49"/>
  <c r="DL114" i="49"/>
  <c r="DL158" i="49"/>
  <c r="DL312" i="49"/>
  <c r="DL414" i="49"/>
  <c r="DL8" i="49"/>
  <c r="DL322" i="49"/>
  <c r="DL450" i="49"/>
  <c r="DL493" i="49"/>
  <c r="DL372" i="49"/>
  <c r="DL131" i="49"/>
  <c r="DL382" i="49"/>
  <c r="DL306" i="49"/>
  <c r="DL39" i="49"/>
  <c r="DL111" i="49"/>
  <c r="DL227" i="49"/>
  <c r="DL250" i="49"/>
  <c r="DL149" i="49"/>
  <c r="DL310" i="49"/>
  <c r="DL455" i="49"/>
  <c r="DL241" i="49"/>
  <c r="CN14" i="49"/>
  <c r="CN457" i="49"/>
  <c r="CN26" i="49"/>
  <c r="CN118" i="49"/>
  <c r="CN493" i="49"/>
  <c r="CN15" i="49"/>
  <c r="CN350" i="49"/>
  <c r="CN99" i="49"/>
  <c r="CN114" i="49"/>
  <c r="CN79" i="49"/>
  <c r="CN61" i="49"/>
  <c r="CN125" i="49"/>
  <c r="CN9" i="49"/>
  <c r="CN7" i="49"/>
  <c r="CN450" i="49"/>
  <c r="CN322" i="49"/>
  <c r="CN78" i="49"/>
  <c r="CN442" i="49"/>
  <c r="CN325" i="49"/>
  <c r="CN217" i="49"/>
  <c r="CN234" i="49"/>
  <c r="CN89" i="49"/>
  <c r="CN49" i="49"/>
  <c r="CN342" i="49"/>
  <c r="CN410" i="49"/>
  <c r="CN317" i="49"/>
  <c r="CN247" i="49"/>
  <c r="CN44" i="49"/>
  <c r="CN127" i="49"/>
  <c r="CN57" i="49"/>
  <c r="CN148" i="49"/>
  <c r="CN117" i="49"/>
  <c r="CN358" i="49"/>
  <c r="CN482" i="49"/>
  <c r="CN293" i="49"/>
  <c r="CN76" i="49"/>
  <c r="CN339" i="49"/>
  <c r="CN245" i="49"/>
  <c r="CN235" i="49"/>
  <c r="CN282" i="49"/>
  <c r="CN427" i="49"/>
  <c r="DL323" i="49"/>
  <c r="DL485" i="49"/>
  <c r="DL457" i="49"/>
  <c r="DL295" i="49"/>
  <c r="DL95" i="49"/>
  <c r="BS339" i="49"/>
  <c r="BT339" i="49"/>
  <c r="BR339" i="49"/>
  <c r="BS13" i="49"/>
  <c r="BT13" i="49"/>
  <c r="BR13" i="49"/>
  <c r="DL201" i="49"/>
  <c r="DL338" i="49"/>
  <c r="DL481" i="49"/>
  <c r="DL133" i="49"/>
  <c r="CN167" i="49"/>
  <c r="CN87" i="49"/>
  <c r="CN226" i="49"/>
  <c r="CN250" i="49"/>
  <c r="CN20" i="49"/>
  <c r="CN336" i="49"/>
  <c r="CN192" i="49"/>
  <c r="CN70" i="49"/>
  <c r="CN227" i="49"/>
  <c r="CN50" i="49"/>
  <c r="DL436" i="49"/>
  <c r="DL354" i="49"/>
  <c r="DL412" i="49"/>
  <c r="DL197" i="49"/>
  <c r="DL49" i="49"/>
  <c r="BS7" i="49"/>
  <c r="BT7" i="49"/>
  <c r="BR7" i="49"/>
  <c r="DL352" i="49"/>
  <c r="DL163" i="49"/>
  <c r="DL37" i="49"/>
  <c r="DL26" i="49"/>
  <c r="DL260" i="49"/>
  <c r="DL404" i="49"/>
  <c r="DL383" i="49"/>
  <c r="DL123" i="49"/>
  <c r="DL224" i="49"/>
  <c r="DL144" i="49"/>
  <c r="DL121" i="49"/>
  <c r="CN55" i="49"/>
  <c r="CN60" i="49"/>
  <c r="CN207" i="49"/>
  <c r="CN447" i="49"/>
  <c r="CN39" i="49"/>
  <c r="CN170" i="49"/>
  <c r="CN487" i="49"/>
  <c r="CN400" i="49"/>
  <c r="CN378" i="49"/>
  <c r="CN368" i="49"/>
  <c r="DL126" i="49"/>
  <c r="DL135" i="49"/>
  <c r="DL86" i="49"/>
  <c r="DL84" i="49"/>
  <c r="DL240" i="49"/>
  <c r="DL164" i="49"/>
  <c r="DL196" i="49"/>
  <c r="DL220" i="49"/>
  <c r="DL442" i="49"/>
  <c r="DL91" i="49"/>
  <c r="DL377" i="49"/>
  <c r="DL252" i="49"/>
  <c r="DL358" i="49"/>
  <c r="DL311" i="49"/>
  <c r="DL357" i="49"/>
  <c r="DL108" i="49"/>
  <c r="DL385" i="49"/>
  <c r="DL423" i="49"/>
  <c r="DL104" i="49"/>
  <c r="DL314" i="49"/>
  <c r="DL110" i="49"/>
  <c r="BO354" i="49"/>
  <c r="BP354" i="49"/>
  <c r="BO372" i="49"/>
  <c r="BP372" i="49"/>
  <c r="BO306" i="49"/>
  <c r="BP306" i="49"/>
  <c r="BO210" i="49"/>
  <c r="BP210" i="49"/>
  <c r="BO109" i="49"/>
  <c r="BP109" i="49"/>
  <c r="BO208" i="49"/>
  <c r="BP208" i="49"/>
  <c r="BO81" i="49"/>
  <c r="BP81" i="49"/>
  <c r="BO85" i="49"/>
  <c r="BP85" i="49"/>
  <c r="BS334" i="49"/>
  <c r="BT334" i="49"/>
  <c r="BR334" i="49"/>
  <c r="BO220" i="49"/>
  <c r="BP220" i="49"/>
  <c r="BO261" i="49"/>
  <c r="BP261" i="49"/>
  <c r="BO445" i="49"/>
  <c r="BP445" i="49"/>
  <c r="BO463" i="49"/>
  <c r="BP463" i="49"/>
  <c r="BO267" i="49"/>
  <c r="BP267" i="49"/>
  <c r="BO464" i="49"/>
  <c r="BP464" i="49"/>
  <c r="BO483" i="49"/>
  <c r="BP483" i="49"/>
  <c r="BO275" i="49"/>
  <c r="BP275" i="49"/>
  <c r="BO323" i="49"/>
  <c r="BP323" i="49"/>
  <c r="BO43" i="49"/>
  <c r="BP43" i="49"/>
  <c r="BO133" i="49"/>
  <c r="BP133" i="49"/>
  <c r="BO448" i="49"/>
  <c r="BP448" i="49"/>
  <c r="BO108" i="49"/>
  <c r="BP108" i="49"/>
  <c r="BO144" i="49"/>
  <c r="BP144" i="49"/>
  <c r="BO314" i="49"/>
  <c r="BP314" i="49"/>
  <c r="BO191" i="49"/>
  <c r="BP191" i="49"/>
  <c r="BO199" i="49"/>
  <c r="BP199" i="49"/>
  <c r="BO286" i="49"/>
  <c r="BP286" i="49"/>
  <c r="BO93" i="49"/>
  <c r="BP93" i="49"/>
  <c r="BO207" i="49"/>
  <c r="BP207" i="49"/>
  <c r="BO351" i="49"/>
  <c r="BP351" i="49"/>
  <c r="BO149" i="49"/>
  <c r="BP149" i="49"/>
  <c r="BO408" i="49"/>
  <c r="BP408" i="49"/>
  <c r="BO33" i="49"/>
  <c r="BP33" i="49"/>
  <c r="CN290" i="49"/>
  <c r="CN460" i="49"/>
  <c r="DL101" i="49"/>
  <c r="DL305" i="49"/>
  <c r="DL134" i="49"/>
  <c r="DL167" i="49"/>
  <c r="DL356" i="49"/>
  <c r="BS8" i="49"/>
  <c r="BT8" i="49"/>
  <c r="BR8" i="49"/>
  <c r="DL48" i="49"/>
  <c r="DL271" i="49"/>
  <c r="DL430" i="49"/>
  <c r="BS15" i="49"/>
  <c r="BT15" i="49"/>
  <c r="BR15" i="49"/>
  <c r="CN144" i="49"/>
  <c r="CN261" i="49"/>
  <c r="CN54" i="49"/>
  <c r="CN189" i="49"/>
  <c r="CN157" i="49"/>
  <c r="CN382" i="49"/>
  <c r="CN435" i="49"/>
  <c r="CN186" i="49"/>
  <c r="CN326" i="49"/>
  <c r="CN268" i="49"/>
  <c r="CN136" i="49"/>
  <c r="CN295" i="49"/>
  <c r="CN306" i="49"/>
  <c r="CN361" i="49"/>
  <c r="CN331" i="49"/>
  <c r="CN42" i="49"/>
  <c r="CN129" i="49"/>
  <c r="CN51" i="49"/>
  <c r="CN188" i="49"/>
  <c r="CN59" i="49"/>
  <c r="CN491" i="49"/>
  <c r="CN205" i="49"/>
  <c r="CN379" i="49"/>
  <c r="CN13" i="49"/>
  <c r="CN402" i="49"/>
  <c r="CN354" i="49"/>
  <c r="CN467" i="49"/>
  <c r="CN83" i="49"/>
  <c r="CN172" i="49"/>
  <c r="CN156" i="49"/>
  <c r="CN490" i="49"/>
  <c r="CN242" i="49"/>
  <c r="CN477" i="49"/>
  <c r="CN489" i="49"/>
  <c r="CN321" i="49"/>
  <c r="CN365" i="49"/>
  <c r="CN224" i="49"/>
  <c r="CN481" i="49"/>
  <c r="CN128" i="49"/>
  <c r="CN115" i="49"/>
  <c r="CN412" i="49"/>
  <c r="CN48" i="49"/>
  <c r="CN385" i="49"/>
  <c r="CN86" i="49"/>
  <c r="CN470" i="49"/>
  <c r="CN21" i="49"/>
  <c r="CN395" i="49"/>
  <c r="CN363" i="49"/>
  <c r="CN149" i="49"/>
  <c r="CN120" i="49"/>
  <c r="CN496" i="49"/>
  <c r="DL319" i="49"/>
  <c r="DL161" i="49"/>
  <c r="DL159" i="49"/>
  <c r="DL83" i="49"/>
  <c r="DL185" i="49"/>
  <c r="BO468" i="49"/>
  <c r="BP468" i="49"/>
  <c r="BO142" i="49"/>
  <c r="BP142" i="49"/>
  <c r="BO186" i="49"/>
  <c r="BP186" i="49"/>
  <c r="BO78" i="49"/>
  <c r="BP78" i="49"/>
  <c r="BO53" i="49"/>
  <c r="BP53" i="49"/>
  <c r="BO446" i="49"/>
  <c r="BP446" i="49"/>
  <c r="BO67" i="49"/>
  <c r="BP67" i="49"/>
  <c r="BO192" i="49"/>
  <c r="BP192" i="49"/>
  <c r="BO404" i="49"/>
  <c r="BP404" i="49"/>
  <c r="BO458" i="49"/>
  <c r="BP458" i="49"/>
  <c r="BO349" i="49"/>
  <c r="BP349" i="49"/>
  <c r="BO29" i="49"/>
  <c r="BP29" i="49"/>
  <c r="BO442" i="49"/>
  <c r="BP442" i="49"/>
  <c r="BO253" i="49"/>
  <c r="BP253" i="49"/>
  <c r="BO57" i="49"/>
  <c r="BP57" i="49"/>
  <c r="BO117" i="49"/>
  <c r="BP117" i="49"/>
  <c r="BO150" i="49"/>
  <c r="BP150" i="49"/>
  <c r="BO412" i="49"/>
  <c r="BP412" i="49"/>
  <c r="BO49" i="49"/>
  <c r="BP49" i="49"/>
  <c r="BO169" i="49"/>
  <c r="BP169" i="49"/>
  <c r="BO444" i="49"/>
  <c r="BP444" i="49"/>
  <c r="BO430" i="49"/>
  <c r="BP430" i="49"/>
  <c r="BO127" i="49"/>
  <c r="BP127" i="49"/>
  <c r="BO64" i="49"/>
  <c r="BP64" i="49"/>
  <c r="BO356" i="49"/>
  <c r="BP356" i="49"/>
  <c r="BO440" i="49"/>
  <c r="BP440" i="49"/>
  <c r="BO299" i="49"/>
  <c r="BP299" i="49"/>
  <c r="BO316" i="49"/>
  <c r="BP316" i="49"/>
  <c r="BO214" i="49"/>
  <c r="BP214" i="49"/>
  <c r="BO271" i="49"/>
  <c r="BP271" i="49"/>
  <c r="BO277" i="49"/>
  <c r="BP277" i="49"/>
  <c r="BO360" i="49"/>
  <c r="BP360" i="49"/>
  <c r="BO249" i="49"/>
  <c r="BP249" i="49"/>
  <c r="BO163" i="49"/>
  <c r="BP163" i="49"/>
  <c r="BO428" i="49"/>
  <c r="BP428" i="49"/>
  <c r="BO453" i="49"/>
  <c r="BP453" i="49"/>
  <c r="BO482" i="49"/>
  <c r="BP482" i="49"/>
  <c r="BO233" i="49"/>
  <c r="BP233" i="49"/>
  <c r="BO437" i="49"/>
  <c r="BP437" i="49"/>
  <c r="BO368" i="49"/>
  <c r="BP368" i="49"/>
  <c r="BO242" i="49"/>
  <c r="BP242" i="49"/>
  <c r="BO23" i="49"/>
  <c r="BP23" i="49"/>
  <c r="BO311" i="49"/>
  <c r="BP311" i="49"/>
  <c r="BO303" i="49"/>
  <c r="BP303" i="49"/>
  <c r="BO119" i="49"/>
  <c r="BP119" i="49"/>
  <c r="BO104" i="49"/>
  <c r="BP104" i="49"/>
  <c r="BO293" i="49"/>
  <c r="BP293" i="49"/>
  <c r="BO211" i="49"/>
  <c r="BP211" i="49"/>
  <c r="BO50" i="49"/>
  <c r="BP50" i="49"/>
  <c r="BO380" i="49"/>
  <c r="BP380" i="49"/>
  <c r="BO459" i="49"/>
  <c r="BP459" i="49"/>
  <c r="BO197" i="49"/>
  <c r="BP197" i="49"/>
  <c r="BO307" i="49"/>
  <c r="BP307" i="49"/>
  <c r="BO83" i="49"/>
  <c r="BP83" i="49"/>
  <c r="BO305" i="49"/>
  <c r="BP305" i="49"/>
  <c r="BO91" i="49"/>
  <c r="BP91" i="49"/>
  <c r="BO324" i="49"/>
  <c r="BP324" i="49"/>
  <c r="BO36" i="49"/>
  <c r="BP36" i="49"/>
  <c r="BO224" i="49"/>
  <c r="BP224" i="49"/>
  <c r="BO402" i="49"/>
  <c r="BP402" i="49"/>
  <c r="BO315" i="49"/>
  <c r="BP315" i="49"/>
  <c r="BO172" i="49"/>
  <c r="BP172" i="49"/>
  <c r="BO18" i="49"/>
  <c r="BP18" i="49"/>
  <c r="BO230" i="49"/>
  <c r="BP230" i="49"/>
  <c r="BO217" i="49"/>
  <c r="BP217" i="49"/>
  <c r="BO455" i="49"/>
  <c r="BP455" i="49"/>
  <c r="BO474" i="49"/>
  <c r="BP474" i="49"/>
  <c r="BO409" i="49"/>
  <c r="BP409" i="49"/>
  <c r="BO54" i="49"/>
  <c r="BP54" i="49"/>
  <c r="BO87" i="49"/>
  <c r="BP87" i="49"/>
  <c r="BO88" i="49"/>
  <c r="BP88" i="49"/>
  <c r="BO282" i="49"/>
  <c r="BP282" i="49"/>
  <c r="BO160" i="49"/>
  <c r="BP160" i="49"/>
  <c r="BO235" i="49"/>
  <c r="BP235" i="49"/>
  <c r="BO378" i="49"/>
  <c r="BP378" i="49"/>
  <c r="BO86" i="49"/>
  <c r="BP86" i="49"/>
  <c r="BO312" i="49"/>
  <c r="BP312" i="49"/>
  <c r="BO425" i="49"/>
  <c r="BP425" i="49"/>
  <c r="BO410" i="49"/>
  <c r="BP410" i="49"/>
  <c r="BO419" i="49"/>
  <c r="BP419" i="49"/>
  <c r="BO120" i="49"/>
  <c r="BP120" i="49"/>
  <c r="BO154" i="49"/>
  <c r="BP154" i="49"/>
  <c r="BO113" i="49"/>
  <c r="BP113" i="49"/>
  <c r="BO365" i="49"/>
  <c r="BP365" i="49"/>
  <c r="BO215" i="49"/>
  <c r="BP215" i="49"/>
  <c r="BO161" i="49"/>
  <c r="BP161" i="49"/>
  <c r="BO139" i="49"/>
  <c r="BP139" i="49"/>
  <c r="BO240" i="49"/>
  <c r="BP240" i="49"/>
  <c r="BO317" i="49"/>
  <c r="BP317" i="49"/>
  <c r="BO467" i="49"/>
  <c r="BP467" i="49"/>
  <c r="BO157" i="49"/>
  <c r="BP157" i="49"/>
  <c r="BO141" i="49"/>
  <c r="BP141" i="49"/>
  <c r="BO292" i="49"/>
  <c r="BP292" i="49"/>
  <c r="BO132" i="49"/>
  <c r="BP132" i="49"/>
  <c r="BO136" i="49"/>
  <c r="BP136" i="49"/>
  <c r="BO42" i="49"/>
  <c r="BP42" i="49"/>
  <c r="BO122" i="49"/>
  <c r="BP122" i="49"/>
  <c r="BO296" i="49"/>
  <c r="BP296" i="49"/>
  <c r="BO55" i="49"/>
  <c r="BP55" i="49"/>
  <c r="BO258" i="49"/>
  <c r="BP258" i="49"/>
  <c r="BO382" i="49"/>
  <c r="BP382" i="49"/>
  <c r="BO386" i="49"/>
  <c r="BP386" i="49"/>
  <c r="BO82" i="49"/>
  <c r="BP82" i="49"/>
  <c r="BO51" i="49"/>
  <c r="BP51" i="49"/>
  <c r="BO449" i="49"/>
  <c r="BP449" i="49"/>
  <c r="BO79" i="49"/>
  <c r="BP79" i="49"/>
  <c r="BO84" i="49"/>
  <c r="BP84" i="49"/>
  <c r="BO80" i="49"/>
  <c r="BP80" i="49"/>
  <c r="BO146" i="49"/>
  <c r="BP146" i="49"/>
  <c r="BO68" i="49"/>
  <c r="BP68" i="49"/>
  <c r="BO496" i="49"/>
  <c r="BP496" i="49"/>
  <c r="BO498" i="49"/>
  <c r="BP498" i="49"/>
  <c r="BO138" i="49"/>
  <c r="BP138" i="49"/>
  <c r="BO27" i="49"/>
  <c r="BP27" i="49"/>
  <c r="BO90" i="49"/>
  <c r="BP90" i="49"/>
  <c r="BO71" i="49"/>
  <c r="BP71" i="49"/>
  <c r="BO219" i="49"/>
  <c r="BP219" i="49"/>
  <c r="BO22" i="49"/>
  <c r="BP22" i="49"/>
  <c r="BO348" i="49"/>
  <c r="BP348" i="49"/>
  <c r="BO145" i="49"/>
  <c r="BP145" i="49"/>
  <c r="BO472" i="49"/>
  <c r="BP472" i="49"/>
  <c r="BO35" i="49"/>
  <c r="BP35" i="49"/>
  <c r="BO466" i="49"/>
  <c r="BP466" i="49"/>
  <c r="BO443" i="49"/>
  <c r="BP443" i="49"/>
  <c r="BO266" i="49"/>
  <c r="BP266" i="49"/>
  <c r="BO490" i="49"/>
  <c r="BP490" i="49"/>
  <c r="BO427" i="49"/>
  <c r="BP427" i="49"/>
  <c r="BO24" i="49"/>
  <c r="BP24" i="49"/>
  <c r="BO390" i="49"/>
  <c r="BP390" i="49"/>
  <c r="BO156" i="49"/>
  <c r="BP156" i="49"/>
  <c r="BO478" i="49"/>
  <c r="BP478" i="49"/>
  <c r="BO485" i="49"/>
  <c r="BP485" i="49"/>
  <c r="BO76" i="49"/>
  <c r="BP76" i="49"/>
  <c r="BO300" i="49"/>
  <c r="BP300" i="49"/>
  <c r="BO243" i="49"/>
  <c r="BP243" i="49"/>
  <c r="BO295" i="49"/>
  <c r="BP295" i="49"/>
  <c r="BO151" i="49"/>
  <c r="BP151" i="49"/>
  <c r="BO115" i="49"/>
  <c r="BP115" i="49"/>
  <c r="BO135" i="49"/>
  <c r="BP135" i="49"/>
  <c r="BO218" i="49"/>
  <c r="BP218" i="49"/>
  <c r="BO158" i="49"/>
  <c r="BP158" i="49"/>
  <c r="BO268" i="49"/>
  <c r="BP268" i="49"/>
  <c r="BO227" i="49"/>
  <c r="BP227" i="49"/>
  <c r="BO166" i="49"/>
  <c r="BP166" i="49"/>
  <c r="BO377" i="49"/>
  <c r="BP377" i="49"/>
  <c r="BO159" i="49"/>
  <c r="BP159" i="49"/>
  <c r="BO99" i="49"/>
  <c r="BP99" i="49"/>
  <c r="BO278" i="49"/>
  <c r="BP278" i="49"/>
  <c r="BO165" i="49"/>
  <c r="BP165" i="49"/>
  <c r="BO447" i="49"/>
  <c r="BP447" i="49"/>
  <c r="BO179" i="49"/>
  <c r="BP179" i="49"/>
  <c r="BO379" i="49"/>
  <c r="BP379" i="49"/>
  <c r="BO198" i="49"/>
  <c r="BP198" i="49"/>
  <c r="BO116" i="49"/>
  <c r="BP116" i="49"/>
  <c r="BO185" i="49"/>
  <c r="BP185" i="49"/>
  <c r="BO39" i="49"/>
  <c r="BP39" i="49"/>
  <c r="DL124" i="49"/>
  <c r="DL234" i="49"/>
  <c r="DL321" i="49"/>
  <c r="DL451" i="49"/>
  <c r="CN174" i="49"/>
  <c r="CN33" i="49"/>
  <c r="CN164" i="49"/>
  <c r="CN209" i="49"/>
  <c r="CN160" i="49"/>
  <c r="CN82" i="49"/>
  <c r="CN455" i="49"/>
  <c r="CN185" i="49"/>
  <c r="CN337" i="49"/>
  <c r="CN72" i="49"/>
  <c r="CN112" i="49"/>
  <c r="DL145" i="49"/>
  <c r="DL59" i="49"/>
  <c r="DL343" i="49"/>
  <c r="DL351" i="49"/>
  <c r="DL470" i="49"/>
  <c r="DL139" i="49"/>
  <c r="DL209" i="49"/>
  <c r="DL486" i="49"/>
  <c r="DL188" i="49"/>
  <c r="DL267" i="49"/>
  <c r="DL331" i="49"/>
  <c r="DL492" i="49"/>
  <c r="DL14" i="49"/>
  <c r="DL427" i="49"/>
  <c r="DL219" i="49"/>
  <c r="DL437" i="49"/>
  <c r="DL445" i="49"/>
  <c r="DL308" i="49"/>
  <c r="DL447" i="49"/>
  <c r="DL490" i="49"/>
  <c r="DL75" i="49"/>
  <c r="DL61" i="49"/>
  <c r="DL77" i="49"/>
  <c r="DL292" i="49"/>
  <c r="DL297" i="49"/>
  <c r="DL395" i="49"/>
  <c r="CN444" i="49"/>
  <c r="CN198" i="49"/>
  <c r="CN494" i="49"/>
  <c r="CN191" i="49"/>
  <c r="CN92" i="49"/>
  <c r="CN340" i="49"/>
  <c r="CN323" i="49"/>
  <c r="CN348" i="49"/>
  <c r="CN333" i="49"/>
  <c r="CN419" i="49"/>
  <c r="CN43" i="49"/>
  <c r="CL500" i="49"/>
  <c r="CL2" i="49"/>
  <c r="CM6" i="49"/>
  <c r="DL146" i="49"/>
  <c r="DL174" i="49"/>
  <c r="DL448" i="49"/>
  <c r="DL349" i="49"/>
  <c r="DL324" i="49"/>
  <c r="DL266" i="49"/>
  <c r="DL138" i="49"/>
  <c r="DL128" i="49"/>
  <c r="DL27" i="49"/>
  <c r="DL316" i="49"/>
  <c r="DL247" i="49"/>
  <c r="DL96" i="49"/>
  <c r="DL315" i="49"/>
  <c r="DL113" i="49"/>
  <c r="DL460" i="49"/>
  <c r="DL211" i="49"/>
  <c r="DL90" i="49"/>
  <c r="DL379" i="49"/>
  <c r="DL413" i="49"/>
  <c r="DL299" i="49"/>
  <c r="BO125" i="49"/>
  <c r="BP125" i="49"/>
  <c r="BO260" i="49"/>
  <c r="BP260" i="49"/>
  <c r="BS59" i="49"/>
  <c r="BT59" i="49"/>
  <c r="BR59" i="49"/>
  <c r="BO225" i="49"/>
  <c r="BP225" i="49"/>
  <c r="BO274" i="49"/>
  <c r="BP274" i="49"/>
  <c r="BO254" i="49"/>
  <c r="BP254" i="49"/>
  <c r="BO257" i="49"/>
  <c r="BP257" i="49"/>
  <c r="BO19" i="49"/>
  <c r="BP19" i="49"/>
  <c r="BO451" i="49"/>
  <c r="BP451" i="49"/>
  <c r="BO435" i="49"/>
  <c r="BP435" i="49"/>
  <c r="BO326" i="49"/>
  <c r="BP326" i="49"/>
  <c r="BO484" i="49"/>
  <c r="BP484" i="49"/>
  <c r="BO77" i="49"/>
  <c r="BP77" i="49"/>
  <c r="BO102" i="49"/>
  <c r="BP102" i="49"/>
  <c r="BO97" i="49"/>
  <c r="BP97" i="49"/>
  <c r="BO48" i="49"/>
  <c r="BP48" i="49"/>
  <c r="BO346" i="49"/>
  <c r="BP346" i="49"/>
  <c r="BO66" i="49"/>
  <c r="BP66" i="49"/>
  <c r="BO373" i="49"/>
  <c r="BP373" i="49"/>
  <c r="BO126" i="49"/>
  <c r="BP126" i="49"/>
  <c r="BO310" i="49"/>
  <c r="BP310" i="49"/>
  <c r="BO167" i="49"/>
  <c r="BP167" i="49"/>
  <c r="BS337" i="49"/>
  <c r="BT337" i="49"/>
  <c r="BR337" i="49"/>
  <c r="BO37" i="49"/>
  <c r="BP37" i="49"/>
  <c r="BO112" i="49"/>
  <c r="BP112" i="49"/>
  <c r="BO388" i="49"/>
  <c r="BP388" i="49"/>
  <c r="BO140" i="49"/>
  <c r="BP140" i="49"/>
  <c r="BO363" i="49"/>
  <c r="BP363" i="49"/>
  <c r="BP6" i="49"/>
  <c r="BO21" i="49"/>
  <c r="BP21" i="49"/>
  <c r="BO385" i="49"/>
  <c r="BP385" i="49"/>
  <c r="BO63" i="49"/>
  <c r="BP63" i="49"/>
  <c r="BO75" i="49"/>
  <c r="BP75" i="49"/>
  <c r="BO234" i="49"/>
  <c r="BP234" i="49"/>
  <c r="BO281" i="49"/>
  <c r="BP281" i="49"/>
  <c r="BO461" i="49"/>
  <c r="BP461" i="49"/>
  <c r="BO452" i="49"/>
  <c r="BP452" i="49"/>
  <c r="AT330" i="49"/>
  <c r="BR330" i="49"/>
  <c r="CO204" i="49"/>
  <c r="BQ204" i="49"/>
  <c r="AR204" i="49"/>
  <c r="AS204" i="49"/>
  <c r="AR203" i="49"/>
  <c r="AS203" i="49"/>
  <c r="BQ203" i="49"/>
  <c r="AR275" i="49"/>
  <c r="AS275" i="49"/>
  <c r="BQ298" i="49"/>
  <c r="BQ304" i="49"/>
  <c r="BR241" i="49"/>
  <c r="BQ178" i="49"/>
  <c r="BR229" i="49"/>
  <c r="W337" i="49"/>
  <c r="AO396" i="46"/>
  <c r="BU337" i="49"/>
  <c r="W15" i="49"/>
  <c r="AO7" i="46"/>
  <c r="BU15" i="49"/>
  <c r="W8" i="49"/>
  <c r="AO11" i="46"/>
  <c r="BU8" i="49"/>
  <c r="W339" i="49"/>
  <c r="AO395" i="46"/>
  <c r="BU339" i="49"/>
  <c r="W59" i="49"/>
  <c r="AO71" i="46"/>
  <c r="BU59" i="49"/>
  <c r="W7" i="49"/>
  <c r="AO14" i="46"/>
  <c r="BU7" i="49"/>
  <c r="W14" i="49"/>
  <c r="AO16" i="46"/>
  <c r="BU14" i="49"/>
  <c r="W16" i="49"/>
  <c r="AO6" i="46"/>
  <c r="BU16" i="49"/>
  <c r="AT275" i="49"/>
  <c r="BQ363" i="49"/>
  <c r="BQ346" i="49"/>
  <c r="BQ254" i="49"/>
  <c r="BQ140" i="49"/>
  <c r="BQ126" i="49"/>
  <c r="BQ451" i="49"/>
  <c r="BQ21" i="49"/>
  <c r="BQ373" i="49"/>
  <c r="BQ97" i="49"/>
  <c r="BQ326" i="49"/>
  <c r="BQ19" i="49"/>
  <c r="BQ225" i="49"/>
  <c r="BQ125" i="49"/>
  <c r="CO43" i="49"/>
  <c r="CO333" i="49"/>
  <c r="CO323" i="49"/>
  <c r="CO92" i="49"/>
  <c r="CO494" i="49"/>
  <c r="CO444" i="49"/>
  <c r="CO112" i="49"/>
  <c r="CO337" i="49"/>
  <c r="CO455" i="49"/>
  <c r="CO160" i="49"/>
  <c r="CO164" i="49"/>
  <c r="CO174" i="49"/>
  <c r="BQ198" i="49"/>
  <c r="BQ165" i="49"/>
  <c r="BQ377" i="49"/>
  <c r="BQ158" i="49"/>
  <c r="BQ151" i="49"/>
  <c r="BQ76" i="49"/>
  <c r="BQ390" i="49"/>
  <c r="BQ266" i="49"/>
  <c r="BQ472" i="49"/>
  <c r="BQ219" i="49"/>
  <c r="BQ138" i="49"/>
  <c r="BQ146" i="49"/>
  <c r="BQ449" i="49"/>
  <c r="BQ382" i="49"/>
  <c r="BQ122" i="49"/>
  <c r="BQ292" i="49"/>
  <c r="BQ317" i="49"/>
  <c r="BQ215" i="49"/>
  <c r="BQ120" i="49"/>
  <c r="BQ312" i="49"/>
  <c r="BQ160" i="49"/>
  <c r="BQ54" i="49"/>
  <c r="BQ217" i="49"/>
  <c r="BQ315" i="49"/>
  <c r="BQ324" i="49"/>
  <c r="BQ307" i="49"/>
  <c r="BQ50" i="49"/>
  <c r="BQ119" i="49"/>
  <c r="BQ242" i="49"/>
  <c r="BQ482" i="49"/>
  <c r="BQ249" i="49"/>
  <c r="BQ214" i="49"/>
  <c r="BQ356" i="49"/>
  <c r="BQ444" i="49"/>
  <c r="BQ150" i="49"/>
  <c r="BQ442" i="49"/>
  <c r="BQ404" i="49"/>
  <c r="BQ53" i="49"/>
  <c r="BQ468" i="49"/>
  <c r="CO496" i="49"/>
  <c r="CO149" i="49"/>
  <c r="CO395" i="49"/>
  <c r="CO470" i="49"/>
  <c r="CO385" i="49"/>
  <c r="CO412" i="49"/>
  <c r="CO128" i="49"/>
  <c r="CO224" i="49"/>
  <c r="CO321" i="49"/>
  <c r="CO477" i="49"/>
  <c r="CO490" i="49"/>
  <c r="CO172" i="49"/>
  <c r="CO467" i="49"/>
  <c r="CO402" i="49"/>
  <c r="CO379" i="49"/>
  <c r="CO491" i="49"/>
  <c r="CO188" i="49"/>
  <c r="CO129" i="49"/>
  <c r="CO331" i="49"/>
  <c r="CO306" i="49"/>
  <c r="CO136" i="49"/>
  <c r="CO326" i="49"/>
  <c r="CO435" i="49"/>
  <c r="CO157" i="49"/>
  <c r="CO54" i="49"/>
  <c r="CO144" i="49"/>
  <c r="CO290" i="49"/>
  <c r="BQ351" i="49"/>
  <c r="BQ199" i="49"/>
  <c r="BQ108" i="49"/>
  <c r="BQ323" i="49"/>
  <c r="BQ267" i="49"/>
  <c r="BQ261" i="49"/>
  <c r="BQ85" i="49"/>
  <c r="BQ210" i="49"/>
  <c r="CO227" i="49"/>
  <c r="CO192" i="49"/>
  <c r="CO20" i="49"/>
  <c r="CO226" i="49"/>
  <c r="CO167" i="49"/>
  <c r="CO427" i="49"/>
  <c r="CO235" i="49"/>
  <c r="CO339" i="49"/>
  <c r="CO293" i="49"/>
  <c r="CO358" i="49"/>
  <c r="CO148" i="49"/>
  <c r="CO127" i="49"/>
  <c r="CO247" i="49"/>
  <c r="CO410" i="49"/>
  <c r="CO49" i="49"/>
  <c r="CO234" i="49"/>
  <c r="CO325" i="49"/>
  <c r="CO78" i="49"/>
  <c r="CO450" i="49"/>
  <c r="CO9" i="49"/>
  <c r="CO61" i="49"/>
  <c r="CO114" i="49"/>
  <c r="CO350" i="49"/>
  <c r="CO493" i="49"/>
  <c r="CO26" i="49"/>
  <c r="CO14" i="49"/>
  <c r="CO113" i="49"/>
  <c r="CO352" i="49"/>
  <c r="CO81" i="49"/>
  <c r="CO233" i="49"/>
  <c r="CO300" i="49"/>
  <c r="CO471" i="49"/>
  <c r="CO384" i="49"/>
  <c r="CO155" i="49"/>
  <c r="CO414" i="49"/>
  <c r="CO428" i="49"/>
  <c r="CO275" i="49"/>
  <c r="CO180" i="49"/>
  <c r="CO445" i="49"/>
  <c r="BQ213" i="49"/>
  <c r="BQ209" i="49"/>
  <c r="BQ92" i="49"/>
  <c r="BQ201" i="49"/>
  <c r="BQ114" i="49"/>
  <c r="BQ325" i="49"/>
  <c r="BQ456" i="49"/>
  <c r="BQ118" i="49"/>
  <c r="BQ457" i="49"/>
  <c r="CO248" i="49"/>
  <c r="CO425" i="49"/>
  <c r="CO158" i="49"/>
  <c r="CO341" i="49"/>
  <c r="CO314" i="49"/>
  <c r="CO91" i="49"/>
  <c r="CO366" i="49"/>
  <c r="CO437" i="49"/>
  <c r="CO93" i="49"/>
  <c r="CO498" i="49"/>
  <c r="CO159" i="49"/>
  <c r="CO315" i="49"/>
  <c r="CO169" i="49"/>
  <c r="CO119" i="49"/>
  <c r="CO468" i="49"/>
  <c r="CO201" i="49"/>
  <c r="CO29" i="49"/>
  <c r="CO8" i="49"/>
  <c r="CO318" i="49"/>
  <c r="CO451" i="49"/>
  <c r="CO30" i="49"/>
  <c r="CO84" i="49"/>
  <c r="CO161" i="49"/>
  <c r="CO409" i="49"/>
  <c r="CO299" i="49"/>
  <c r="CO311" i="49"/>
  <c r="CO196" i="49"/>
  <c r="CO271" i="49"/>
  <c r="CO453" i="49"/>
  <c r="CO386" i="49"/>
  <c r="CO133" i="49"/>
  <c r="CO132" i="49"/>
  <c r="CO262" i="49"/>
  <c r="CO441" i="49"/>
  <c r="CO249" i="49"/>
  <c r="CO492" i="49"/>
  <c r="CO431" i="49"/>
  <c r="CO305" i="49"/>
  <c r="BQ173" i="49"/>
  <c r="BQ89" i="49"/>
  <c r="BQ130" i="49"/>
  <c r="BQ318" i="49"/>
  <c r="BQ250" i="49"/>
  <c r="BQ313" i="49"/>
  <c r="BQ155" i="49"/>
  <c r="BQ321" i="49"/>
  <c r="BQ184" i="49"/>
  <c r="BQ32" i="49"/>
  <c r="BQ134" i="49"/>
  <c r="BQ487" i="49"/>
  <c r="CO436" i="49"/>
  <c r="CO194" i="49"/>
  <c r="CO301" i="49"/>
  <c r="CO380" i="49"/>
  <c r="CO106" i="49"/>
  <c r="CO139" i="49"/>
  <c r="CO105" i="49"/>
  <c r="CO312" i="49"/>
  <c r="CO327" i="49"/>
  <c r="CO483" i="49"/>
  <c r="CO143" i="49"/>
  <c r="CO69" i="49"/>
  <c r="CO296" i="49"/>
  <c r="CO298" i="49"/>
  <c r="CO96" i="49"/>
  <c r="CO274" i="49"/>
  <c r="CO273" i="49"/>
  <c r="CO95" i="49"/>
  <c r="CO260" i="49"/>
  <c r="CO449" i="49"/>
  <c r="CO266" i="49"/>
  <c r="CO219" i="49"/>
  <c r="CO478" i="49"/>
  <c r="CO292" i="49"/>
  <c r="CO138" i="49"/>
  <c r="CO349" i="49"/>
  <c r="CO190" i="49"/>
  <c r="CO394" i="49"/>
  <c r="CO77" i="49"/>
  <c r="CO131" i="49"/>
  <c r="CO64" i="49"/>
  <c r="CO303" i="49"/>
  <c r="CO184" i="49"/>
  <c r="CO461" i="49"/>
  <c r="CO94" i="49"/>
  <c r="CO165" i="49"/>
  <c r="CO218" i="49"/>
  <c r="CO423" i="49"/>
  <c r="AR453" i="49"/>
  <c r="AS453" i="49"/>
  <c r="AR129" i="49"/>
  <c r="AS129" i="49"/>
  <c r="AR38" i="49"/>
  <c r="AS38" i="49"/>
  <c r="AR200" i="49"/>
  <c r="AS200" i="49"/>
  <c r="AR489" i="49"/>
  <c r="AS489" i="49"/>
  <c r="AR95" i="49"/>
  <c r="AS95" i="49"/>
  <c r="AR485" i="49"/>
  <c r="AS485" i="49"/>
  <c r="AR112" i="49"/>
  <c r="AS112" i="49"/>
  <c r="AR87" i="49"/>
  <c r="AS87" i="49"/>
  <c r="AR119" i="49"/>
  <c r="AS119" i="49"/>
  <c r="AR149" i="49"/>
  <c r="AS149" i="49"/>
  <c r="AR325" i="49"/>
  <c r="AS325" i="49"/>
  <c r="AR357" i="49"/>
  <c r="AS357" i="49"/>
  <c r="AR214" i="49"/>
  <c r="AS214" i="49"/>
  <c r="AR435" i="49"/>
  <c r="AS435" i="49"/>
  <c r="AR56" i="49"/>
  <c r="AS56" i="49"/>
  <c r="AR189" i="49"/>
  <c r="AS189" i="49"/>
  <c r="AR118" i="49"/>
  <c r="AS118" i="49"/>
  <c r="AR83" i="49"/>
  <c r="AS83" i="49"/>
  <c r="AR185" i="49"/>
  <c r="AS185" i="49"/>
  <c r="AR14" i="49"/>
  <c r="AS14" i="49"/>
  <c r="AR174" i="49"/>
  <c r="AS174" i="49"/>
  <c r="AR126" i="49"/>
  <c r="AS126" i="49"/>
  <c r="AR144" i="49"/>
  <c r="AS144" i="49"/>
  <c r="AR140" i="49"/>
  <c r="AS140" i="49"/>
  <c r="AR49" i="49"/>
  <c r="AS49" i="49"/>
  <c r="AR303" i="49"/>
  <c r="AS303" i="49"/>
  <c r="AR120" i="49"/>
  <c r="AS120" i="49"/>
  <c r="AR342" i="49"/>
  <c r="AS342" i="49"/>
  <c r="AR136" i="49"/>
  <c r="AS136" i="49"/>
  <c r="AR158" i="49"/>
  <c r="AS158" i="49"/>
  <c r="BQ63" i="49"/>
  <c r="BQ310" i="49"/>
  <c r="BQ435" i="49"/>
  <c r="BQ281" i="49"/>
  <c r="BQ484" i="49"/>
  <c r="BQ274" i="49"/>
  <c r="BQ234" i="49"/>
  <c r="BQ388" i="49"/>
  <c r="BQ452" i="49"/>
  <c r="BQ75" i="49"/>
  <c r="BQ6" i="49"/>
  <c r="BP500" i="49"/>
  <c r="BP2" i="49"/>
  <c r="BQ112" i="49"/>
  <c r="BQ167" i="49"/>
  <c r="BQ66" i="49"/>
  <c r="BQ102" i="49"/>
  <c r="W334" i="49"/>
  <c r="AO386" i="46"/>
  <c r="BU334" i="49"/>
  <c r="BQ257" i="49"/>
  <c r="CN6" i="49"/>
  <c r="CM500" i="49"/>
  <c r="CM2" i="49"/>
  <c r="BQ39" i="49"/>
  <c r="BQ379" i="49"/>
  <c r="BQ278" i="49"/>
  <c r="BQ166" i="49"/>
  <c r="BQ218" i="49"/>
  <c r="BQ295" i="49"/>
  <c r="BQ485" i="49"/>
  <c r="BQ24" i="49"/>
  <c r="BQ443" i="49"/>
  <c r="BQ145" i="49"/>
  <c r="BQ71" i="49"/>
  <c r="BQ498" i="49"/>
  <c r="BQ80" i="49"/>
  <c r="BQ51" i="49"/>
  <c r="BQ258" i="49"/>
  <c r="BQ42" i="49"/>
  <c r="BQ141" i="49"/>
  <c r="BQ240" i="49"/>
  <c r="BQ365" i="49"/>
  <c r="BQ419" i="49"/>
  <c r="BQ86" i="49"/>
  <c r="BQ282" i="49"/>
  <c r="BQ409" i="49"/>
  <c r="BQ230" i="49"/>
  <c r="BQ402" i="49"/>
  <c r="BQ91" i="49"/>
  <c r="BQ197" i="49"/>
  <c r="BQ211" i="49"/>
  <c r="BQ303" i="49"/>
  <c r="BQ368" i="49"/>
  <c r="BQ453" i="49"/>
  <c r="BQ360" i="49"/>
  <c r="BQ316" i="49"/>
  <c r="BQ64" i="49"/>
  <c r="BQ169" i="49"/>
  <c r="BQ117" i="49"/>
  <c r="BQ29" i="49"/>
  <c r="BQ192" i="49"/>
  <c r="BQ78" i="49"/>
  <c r="BQ33" i="49"/>
  <c r="BQ207" i="49"/>
  <c r="BQ191" i="49"/>
  <c r="BQ448" i="49"/>
  <c r="BQ275" i="49"/>
  <c r="BQ463" i="49"/>
  <c r="BQ220" i="49"/>
  <c r="BQ81" i="49"/>
  <c r="BQ306" i="49"/>
  <c r="CO378" i="49"/>
  <c r="CO487" i="49"/>
  <c r="CO39" i="49"/>
  <c r="CO207" i="49"/>
  <c r="CO55" i="49"/>
  <c r="BQ251" i="49"/>
  <c r="BQ106" i="49"/>
  <c r="BQ438" i="49"/>
  <c r="BQ252" i="49"/>
  <c r="BQ357" i="49"/>
  <c r="W338" i="49"/>
  <c r="AO387" i="46"/>
  <c r="BU338" i="49"/>
  <c r="BQ383" i="49"/>
  <c r="BQ276" i="49"/>
  <c r="BQ162" i="49"/>
  <c r="BQ189" i="49"/>
  <c r="BQ26" i="49"/>
  <c r="AR6" i="49"/>
  <c r="W481" i="49"/>
  <c r="AO562" i="46"/>
  <c r="BU481" i="49"/>
  <c r="W61" i="49"/>
  <c r="AO72" i="46"/>
  <c r="BU61" i="49"/>
  <c r="CO484" i="49"/>
  <c r="CO90" i="49"/>
  <c r="CO390" i="49"/>
  <c r="CO338" i="49"/>
  <c r="BQ454" i="49"/>
  <c r="BQ152" i="49"/>
  <c r="BQ384" i="49"/>
  <c r="BQ187" i="49"/>
  <c r="BQ174" i="49"/>
  <c r="BQ101" i="49"/>
  <c r="BQ322" i="49"/>
  <c r="BQ413" i="49"/>
  <c r="BQ124" i="49"/>
  <c r="BQ196" i="49"/>
  <c r="CO16" i="49"/>
  <c r="DL500" i="49"/>
  <c r="DL2" i="49"/>
  <c r="CO357" i="49"/>
  <c r="CO178" i="49"/>
  <c r="CO356" i="49"/>
  <c r="CO109" i="49"/>
  <c r="CO277" i="49"/>
  <c r="CO154" i="49"/>
  <c r="AR382" i="49"/>
  <c r="AS382" i="49"/>
  <c r="AR102" i="49"/>
  <c r="AS102" i="49"/>
  <c r="AR373" i="49"/>
  <c r="AS373" i="49"/>
  <c r="AR150" i="49"/>
  <c r="AS150" i="49"/>
  <c r="AR388" i="49"/>
  <c r="AS388" i="49"/>
  <c r="AR114" i="49"/>
  <c r="AS114" i="49"/>
  <c r="AR413" i="49"/>
  <c r="AS413" i="49"/>
  <c r="AR167" i="49"/>
  <c r="AS167" i="49"/>
  <c r="AR305" i="49"/>
  <c r="AS305" i="49"/>
  <c r="AR15" i="49"/>
  <c r="AS15" i="49"/>
  <c r="AR314" i="49"/>
  <c r="AS314" i="49"/>
  <c r="AR333" i="49"/>
  <c r="AS333" i="49"/>
  <c r="AR9" i="49"/>
  <c r="AS9" i="49"/>
  <c r="AR271" i="49"/>
  <c r="AS271" i="49"/>
  <c r="AR301" i="49"/>
  <c r="AS301" i="49"/>
  <c r="AR220" i="49"/>
  <c r="AS220" i="49"/>
  <c r="AR268" i="49"/>
  <c r="AS268" i="49"/>
  <c r="AR13" i="49"/>
  <c r="AS13" i="49"/>
  <c r="AR267" i="49"/>
  <c r="AS267" i="49"/>
  <c r="AR64" i="49"/>
  <c r="AS64" i="49"/>
  <c r="AR16" i="49"/>
  <c r="AS16" i="49"/>
  <c r="AR496" i="49"/>
  <c r="AS496" i="49"/>
  <c r="AR157" i="49"/>
  <c r="AS157" i="49"/>
  <c r="AR277" i="49"/>
  <c r="AS277" i="49"/>
  <c r="AR117" i="49"/>
  <c r="AS117" i="49"/>
  <c r="AR320" i="49"/>
  <c r="AS320" i="49"/>
  <c r="AR446" i="49"/>
  <c r="AS446" i="49"/>
  <c r="AR252" i="49"/>
  <c r="AS252" i="49"/>
  <c r="AR152" i="49"/>
  <c r="AS152" i="49"/>
  <c r="AR473" i="49"/>
  <c r="AS473" i="49"/>
  <c r="AR82" i="49"/>
  <c r="AS82" i="49"/>
  <c r="AR127" i="49"/>
  <c r="AS127" i="49"/>
  <c r="AR441" i="49"/>
  <c r="AS441" i="49"/>
  <c r="AR442" i="49"/>
  <c r="AS442" i="49"/>
  <c r="AR100" i="49"/>
  <c r="AS100" i="49"/>
  <c r="CO419" i="49"/>
  <c r="CO348" i="49"/>
  <c r="CO340" i="49"/>
  <c r="CO191" i="49"/>
  <c r="CO198" i="49"/>
  <c r="CO72" i="49"/>
  <c r="CO185" i="49"/>
  <c r="CO82" i="49"/>
  <c r="CO209" i="49"/>
  <c r="CO33" i="49"/>
  <c r="BQ185" i="49"/>
  <c r="BQ179" i="49"/>
  <c r="BQ99" i="49"/>
  <c r="BQ227" i="49"/>
  <c r="BQ135" i="49"/>
  <c r="BQ243" i="49"/>
  <c r="BQ478" i="49"/>
  <c r="BQ427" i="49"/>
  <c r="BQ466" i="49"/>
  <c r="BQ348" i="49"/>
  <c r="BQ90" i="49"/>
  <c r="BQ496" i="49"/>
  <c r="BQ84" i="49"/>
  <c r="BQ82" i="49"/>
  <c r="BQ55" i="49"/>
  <c r="BQ136" i="49"/>
  <c r="BQ157" i="49"/>
  <c r="BQ139" i="49"/>
  <c r="BQ113" i="49"/>
  <c r="BQ410" i="49"/>
  <c r="BQ378" i="49"/>
  <c r="BQ88" i="49"/>
  <c r="BQ474" i="49"/>
  <c r="BQ18" i="49"/>
  <c r="BQ224" i="49"/>
  <c r="BQ305" i="49"/>
  <c r="BQ459" i="49"/>
  <c r="BQ293" i="49"/>
  <c r="BQ311" i="49"/>
  <c r="BQ437" i="49"/>
  <c r="BQ428" i="49"/>
  <c r="BQ277" i="49"/>
  <c r="BQ299" i="49"/>
  <c r="BQ127" i="49"/>
  <c r="BQ49" i="49"/>
  <c r="BQ57" i="49"/>
  <c r="BQ349" i="49"/>
  <c r="BQ67" i="49"/>
  <c r="BQ186" i="49"/>
  <c r="CO120" i="49"/>
  <c r="CO363" i="49"/>
  <c r="CO21" i="49"/>
  <c r="CO86" i="49"/>
  <c r="CO48" i="49"/>
  <c r="CO115" i="49"/>
  <c r="CO481" i="49"/>
  <c r="CO365" i="49"/>
  <c r="CO489" i="49"/>
  <c r="CO242" i="49"/>
  <c r="CO156" i="49"/>
  <c r="CO83" i="49"/>
  <c r="CO354" i="49"/>
  <c r="CO13" i="49"/>
  <c r="CO205" i="49"/>
  <c r="CO59" i="49"/>
  <c r="CO51" i="49"/>
  <c r="CO42" i="49"/>
  <c r="CO361" i="49"/>
  <c r="CO295" i="49"/>
  <c r="CO268" i="49"/>
  <c r="CO186" i="49"/>
  <c r="CO382" i="49"/>
  <c r="CO189" i="49"/>
  <c r="CO261" i="49"/>
  <c r="CO460" i="49"/>
  <c r="BQ408" i="49"/>
  <c r="BQ93" i="49"/>
  <c r="BQ314" i="49"/>
  <c r="BQ133" i="49"/>
  <c r="BQ483" i="49"/>
  <c r="BQ445" i="49"/>
  <c r="BQ208" i="49"/>
  <c r="BQ372" i="49"/>
  <c r="CO50" i="49"/>
  <c r="CO70" i="49"/>
  <c r="CO336" i="49"/>
  <c r="CO250" i="49"/>
  <c r="CO87" i="49"/>
  <c r="W13" i="49"/>
  <c r="AO8" i="46"/>
  <c r="BU13" i="49"/>
  <c r="CO282" i="49"/>
  <c r="CO245" i="49"/>
  <c r="CO76" i="49"/>
  <c r="CO482" i="49"/>
  <c r="CO117" i="49"/>
  <c r="CO57" i="49"/>
  <c r="CO44" i="49"/>
  <c r="CO317" i="49"/>
  <c r="CO342" i="49"/>
  <c r="CO89" i="49"/>
  <c r="CO217" i="49"/>
  <c r="CO442" i="49"/>
  <c r="CO322" i="49"/>
  <c r="CO7" i="49"/>
  <c r="CO125" i="49"/>
  <c r="CO79" i="49"/>
  <c r="CO99" i="49"/>
  <c r="CO15" i="49"/>
  <c r="CO118" i="49"/>
  <c r="CO457" i="49"/>
  <c r="CO393" i="49"/>
  <c r="CO413" i="49"/>
  <c r="CO485" i="49"/>
  <c r="CO308" i="49"/>
  <c r="CO166" i="49"/>
  <c r="CO430" i="49"/>
  <c r="CO486" i="49"/>
  <c r="CO150" i="49"/>
  <c r="CO88" i="49"/>
  <c r="CO28" i="49"/>
  <c r="CO473" i="49"/>
  <c r="CO124" i="49"/>
  <c r="CO240" i="49"/>
  <c r="CO123" i="49"/>
  <c r="BQ245" i="49"/>
  <c r="BQ143" i="49"/>
  <c r="BQ395" i="49"/>
  <c r="BQ426" i="49"/>
  <c r="BQ460" i="49"/>
  <c r="BQ100" i="49"/>
  <c r="BQ420" i="49"/>
  <c r="BQ31" i="49"/>
  <c r="BQ265" i="49"/>
  <c r="BQ465" i="49"/>
  <c r="CO17" i="49"/>
  <c r="CO454" i="49"/>
  <c r="CO187" i="49"/>
  <c r="CO85" i="49"/>
  <c r="CO210" i="49"/>
  <c r="CO153" i="49"/>
  <c r="CO408" i="49"/>
  <c r="CO56" i="49"/>
  <c r="CO140" i="49"/>
  <c r="CO130" i="49"/>
  <c r="CO47" i="49"/>
  <c r="CO438" i="49"/>
  <c r="CO108" i="49"/>
  <c r="CO329" i="49"/>
  <c r="CO58" i="49"/>
  <c r="CO278" i="49"/>
  <c r="CO163" i="49"/>
  <c r="CO135" i="49"/>
  <c r="CO351" i="49"/>
  <c r="CO307" i="49"/>
  <c r="CO241" i="49"/>
  <c r="CO173" i="49"/>
  <c r="CO243" i="49"/>
  <c r="CO145" i="49"/>
  <c r="CO280" i="49"/>
  <c r="CO208" i="49"/>
  <c r="CO197" i="49"/>
  <c r="CO101" i="49"/>
  <c r="CO448" i="49"/>
  <c r="CO360" i="49"/>
  <c r="CO383" i="49"/>
  <c r="CO310" i="49"/>
  <c r="CO253" i="49"/>
  <c r="CO388" i="49"/>
  <c r="CO475" i="49"/>
  <c r="CO27" i="49"/>
  <c r="CO141" i="49"/>
  <c r="BQ44" i="49"/>
  <c r="BQ366" i="49"/>
  <c r="BQ111" i="49"/>
  <c r="BQ333" i="49"/>
  <c r="BQ393" i="49"/>
  <c r="BQ414" i="49"/>
  <c r="BQ200" i="49"/>
  <c r="BQ352" i="49"/>
  <c r="BQ491" i="49"/>
  <c r="BQ170" i="49"/>
  <c r="CO66" i="49"/>
  <c r="CO200" i="49"/>
  <c r="CO334" i="49"/>
  <c r="CO102" i="49"/>
  <c r="CO335" i="49"/>
  <c r="BO500" i="49"/>
  <c r="BO2" i="49"/>
  <c r="CO179" i="49"/>
  <c r="CO152" i="49"/>
  <c r="CO225" i="49"/>
  <c r="CO316" i="49"/>
  <c r="CO367" i="49"/>
  <c r="CO75" i="49"/>
  <c r="CO252" i="49"/>
  <c r="CO404" i="49"/>
  <c r="CO377" i="49"/>
  <c r="CO265" i="49"/>
  <c r="CO134" i="49"/>
  <c r="CO100" i="49"/>
  <c r="CO142" i="49"/>
  <c r="CO146" i="49"/>
  <c r="CO446" i="49"/>
  <c r="CO199" i="49"/>
  <c r="CO111" i="49"/>
  <c r="CO373" i="49"/>
  <c r="CO324" i="49"/>
  <c r="CO343" i="49"/>
  <c r="CO52" i="49"/>
  <c r="CO320" i="49"/>
  <c r="CO372" i="49"/>
  <c r="CO211" i="49"/>
  <c r="CO162" i="49"/>
  <c r="CO267" i="49"/>
  <c r="CO319" i="49"/>
  <c r="CO346" i="49"/>
  <c r="CO281" i="49"/>
  <c r="CO183" i="49"/>
  <c r="CO104" i="49"/>
  <c r="CO121" i="49"/>
  <c r="AR50" i="49"/>
  <c r="AS50" i="49"/>
  <c r="AR457" i="49"/>
  <c r="AS457" i="49"/>
  <c r="AR408" i="49"/>
  <c r="AS408" i="49"/>
  <c r="AR343" i="49"/>
  <c r="AS343" i="49"/>
  <c r="AR445" i="49"/>
  <c r="AS445" i="49"/>
  <c r="AR134" i="49"/>
  <c r="AS134" i="49"/>
  <c r="BR358" i="49"/>
  <c r="AR350" i="49"/>
  <c r="AS350" i="49"/>
  <c r="AR125" i="49"/>
  <c r="AS125" i="49"/>
  <c r="AR310" i="49"/>
  <c r="AS310" i="49"/>
  <c r="AR68" i="49"/>
  <c r="AS68" i="49"/>
  <c r="AR135" i="49"/>
  <c r="AS135" i="49"/>
  <c r="AR348" i="49"/>
  <c r="AS348" i="49"/>
  <c r="AR306" i="49"/>
  <c r="AS306" i="49"/>
  <c r="AR477" i="49"/>
  <c r="AS477" i="49"/>
  <c r="AR316" i="49"/>
  <c r="AS316" i="49"/>
  <c r="AR130" i="49"/>
  <c r="AS130" i="49"/>
  <c r="AR163" i="49"/>
  <c r="AS163" i="49"/>
  <c r="AR250" i="49"/>
  <c r="AS250" i="49"/>
  <c r="AR156" i="49"/>
  <c r="AS156" i="49"/>
  <c r="AR437" i="49"/>
  <c r="AS437" i="49"/>
  <c r="AR33" i="49"/>
  <c r="AS33" i="49"/>
  <c r="AR115" i="49"/>
  <c r="AS115" i="49"/>
  <c r="AR326" i="49"/>
  <c r="AS326" i="49"/>
  <c r="AR384" i="49"/>
  <c r="AS384" i="49"/>
  <c r="AR240" i="49"/>
  <c r="AS240" i="49"/>
  <c r="AR169" i="49"/>
  <c r="AS169" i="49"/>
  <c r="AR90" i="49"/>
  <c r="AS90" i="49"/>
  <c r="AR484" i="49"/>
  <c r="AS484" i="49"/>
  <c r="AR173" i="49"/>
  <c r="AS173" i="49"/>
  <c r="AR143" i="49"/>
  <c r="AS143" i="49"/>
  <c r="AR313" i="49"/>
  <c r="AS313" i="49"/>
  <c r="BQ461" i="49"/>
  <c r="BQ37" i="49"/>
  <c r="BQ77" i="49"/>
  <c r="BQ385" i="49"/>
  <c r="BQ48" i="49"/>
  <c r="BQ260" i="49"/>
  <c r="BQ116" i="49"/>
  <c r="BQ447" i="49"/>
  <c r="BQ159" i="49"/>
  <c r="BQ268" i="49"/>
  <c r="BQ115" i="49"/>
  <c r="BQ300" i="49"/>
  <c r="BQ156" i="49"/>
  <c r="BQ490" i="49"/>
  <c r="BQ35" i="49"/>
  <c r="BQ22" i="49"/>
  <c r="BQ27" i="49"/>
  <c r="BQ68" i="49"/>
  <c r="BQ79" i="49"/>
  <c r="BQ386" i="49"/>
  <c r="BQ296" i="49"/>
  <c r="BQ132" i="49"/>
  <c r="BQ467" i="49"/>
  <c r="BQ161" i="49"/>
  <c r="BQ154" i="49"/>
  <c r="BQ425" i="49"/>
  <c r="BQ235" i="49"/>
  <c r="BQ87" i="49"/>
  <c r="BQ455" i="49"/>
  <c r="BQ172" i="49"/>
  <c r="BQ36" i="49"/>
  <c r="BQ83" i="49"/>
  <c r="BQ380" i="49"/>
  <c r="BQ104" i="49"/>
  <c r="BQ23" i="49"/>
  <c r="BQ233" i="49"/>
  <c r="BQ163" i="49"/>
  <c r="BQ271" i="49"/>
  <c r="BQ440" i="49"/>
  <c r="BQ430" i="49"/>
  <c r="BQ412" i="49"/>
  <c r="BQ253" i="49"/>
  <c r="BQ458" i="49"/>
  <c r="BQ446" i="49"/>
  <c r="BQ142" i="49"/>
  <c r="BQ149" i="49"/>
  <c r="BQ286" i="49"/>
  <c r="BQ144" i="49"/>
  <c r="BQ43" i="49"/>
  <c r="BQ464" i="49"/>
  <c r="BQ109" i="49"/>
  <c r="BQ354" i="49"/>
  <c r="CO368" i="49"/>
  <c r="CO400" i="49"/>
  <c r="CO170" i="49"/>
  <c r="CO447" i="49"/>
  <c r="CO60" i="49"/>
  <c r="BQ331" i="49"/>
  <c r="W60" i="49"/>
  <c r="AO74" i="46"/>
  <c r="BU60" i="49"/>
  <c r="BQ494" i="49"/>
  <c r="BQ205" i="49"/>
  <c r="BQ123" i="49"/>
  <c r="BQ69" i="49"/>
  <c r="BQ248" i="49"/>
  <c r="BQ153" i="49"/>
  <c r="BQ30" i="49"/>
  <c r="BQ38" i="49"/>
  <c r="AR198" i="49"/>
  <c r="AS198" i="49"/>
  <c r="AR186" i="49"/>
  <c r="AS186" i="49"/>
  <c r="AR27" i="49"/>
  <c r="AS27" i="49"/>
  <c r="AR61" i="49"/>
  <c r="AS61" i="49"/>
  <c r="AR42" i="49"/>
  <c r="AS42" i="49"/>
  <c r="AR192" i="49"/>
  <c r="AS192" i="49"/>
  <c r="AR75" i="49"/>
  <c r="AS75" i="49"/>
  <c r="AR452" i="49"/>
  <c r="AS452" i="49"/>
  <c r="AR20" i="49"/>
  <c r="AS20" i="49"/>
  <c r="AR361" i="49"/>
  <c r="AS361" i="49"/>
  <c r="AR81" i="49"/>
  <c r="AS81" i="49"/>
  <c r="AR111" i="49"/>
  <c r="AS111" i="49"/>
  <c r="AR7" i="49"/>
  <c r="AS7" i="49"/>
  <c r="AR55" i="49"/>
  <c r="AS55" i="49"/>
  <c r="AR490" i="49"/>
  <c r="AS490" i="49"/>
  <c r="AR76" i="49"/>
  <c r="AS76" i="49"/>
  <c r="AR29" i="49"/>
  <c r="AS29" i="49"/>
  <c r="AR319" i="49"/>
  <c r="AS319" i="49"/>
  <c r="AR43" i="49"/>
  <c r="AS43" i="49"/>
  <c r="AR139" i="49"/>
  <c r="AS139" i="49"/>
  <c r="AR170" i="49"/>
  <c r="AS170" i="49"/>
  <c r="AR346" i="49"/>
  <c r="AS346" i="49"/>
  <c r="AR331" i="49"/>
  <c r="AS331" i="49"/>
  <c r="AR172" i="49"/>
  <c r="AS172" i="49"/>
  <c r="AR104" i="49"/>
  <c r="AS104" i="49"/>
  <c r="AR184" i="49"/>
  <c r="AS184" i="49"/>
  <c r="AR44" i="49"/>
  <c r="AS44" i="49"/>
  <c r="AR30" i="49"/>
  <c r="AS30" i="49"/>
  <c r="AR390" i="49"/>
  <c r="AS390" i="49"/>
  <c r="AR48" i="49"/>
  <c r="AS48" i="49"/>
  <c r="AR339" i="49"/>
  <c r="AS339" i="49"/>
  <c r="AR180" i="49"/>
  <c r="AS180" i="49"/>
  <c r="AR8" i="49"/>
  <c r="AS8" i="49"/>
  <c r="AR146" i="49"/>
  <c r="AS146" i="49"/>
  <c r="AR324" i="49"/>
  <c r="AS324" i="49"/>
  <c r="AR108" i="49"/>
  <c r="AS108" i="49"/>
  <c r="AR84" i="49"/>
  <c r="AS84" i="49"/>
  <c r="AR93" i="49"/>
  <c r="AS93" i="49"/>
  <c r="AR109" i="49"/>
  <c r="AS109" i="49"/>
  <c r="AR266" i="49"/>
  <c r="AS266" i="49"/>
  <c r="AR217" i="49"/>
  <c r="AS217" i="49"/>
  <c r="AR190" i="49"/>
  <c r="AS190" i="49"/>
  <c r="AR161" i="49"/>
  <c r="AS161" i="49"/>
  <c r="AR471" i="49"/>
  <c r="AS471" i="49"/>
  <c r="AR123" i="49"/>
  <c r="AS123" i="49"/>
  <c r="AR183" i="49"/>
  <c r="AS183" i="49"/>
  <c r="AR187" i="49"/>
  <c r="AS187" i="49"/>
  <c r="AR69" i="49"/>
  <c r="AS69" i="49"/>
  <c r="AR428" i="49"/>
  <c r="AS428" i="49"/>
  <c r="AR154" i="49"/>
  <c r="AS154" i="49"/>
  <c r="AR420" i="49"/>
  <c r="AS420" i="49"/>
  <c r="AR322" i="49"/>
  <c r="AS322" i="49"/>
  <c r="AR299" i="49"/>
  <c r="AS299" i="49"/>
  <c r="AR292" i="49"/>
  <c r="AS292" i="49"/>
  <c r="AR148" i="49"/>
  <c r="AS148" i="49"/>
  <c r="AR39" i="49"/>
  <c r="AS39" i="49"/>
  <c r="AR88" i="49"/>
  <c r="AS88" i="49"/>
  <c r="AR197" i="49"/>
  <c r="AS197" i="49"/>
  <c r="AR475" i="49"/>
  <c r="AS475" i="49"/>
  <c r="AR354" i="49"/>
  <c r="AS354" i="49"/>
  <c r="AR124" i="49"/>
  <c r="AS124" i="49"/>
  <c r="AR153" i="49"/>
  <c r="AS153" i="49"/>
  <c r="AR385" i="49"/>
  <c r="AS385" i="49"/>
  <c r="AR409" i="49"/>
  <c r="AS409" i="49"/>
  <c r="AR261" i="49"/>
  <c r="AS261" i="49"/>
  <c r="AR487" i="49"/>
  <c r="AS487" i="49"/>
  <c r="AR86" i="49"/>
  <c r="AS86" i="49"/>
  <c r="AR425" i="49"/>
  <c r="AS425" i="49"/>
  <c r="AR383" i="49"/>
  <c r="AS383" i="49"/>
  <c r="AR66" i="49"/>
  <c r="AS66" i="49"/>
  <c r="AR253" i="49"/>
  <c r="AS253" i="49"/>
  <c r="AR372" i="49"/>
  <c r="AS372" i="49"/>
  <c r="AR219" i="49"/>
  <c r="AS219" i="49"/>
  <c r="AR439" i="49"/>
  <c r="AS439" i="49"/>
  <c r="AR430" i="49"/>
  <c r="AS430" i="49"/>
  <c r="AR404" i="49"/>
  <c r="AS404" i="49"/>
  <c r="AR395" i="49"/>
  <c r="AS395" i="49"/>
  <c r="AR106" i="49"/>
  <c r="AS106" i="49"/>
  <c r="AR449" i="49"/>
  <c r="AS449" i="49"/>
  <c r="AR215" i="49"/>
  <c r="AS215" i="49"/>
  <c r="AR162" i="49"/>
  <c r="AS162" i="49"/>
  <c r="AR121" i="49"/>
  <c r="AS121" i="49"/>
  <c r="AR85" i="49"/>
  <c r="AS85" i="49"/>
  <c r="AR101" i="49"/>
  <c r="AS101" i="49"/>
  <c r="AR278" i="49"/>
  <c r="AS278" i="49"/>
  <c r="AR165" i="49"/>
  <c r="AS165" i="49"/>
  <c r="AR79" i="49"/>
  <c r="AS79" i="49"/>
  <c r="AR423" i="49"/>
  <c r="AS423" i="49"/>
  <c r="AR377" i="49"/>
  <c r="AS377" i="49"/>
  <c r="AR57" i="49"/>
  <c r="AS57" i="49"/>
  <c r="AR307" i="49"/>
  <c r="AS307" i="49"/>
  <c r="AR96" i="49"/>
  <c r="AS96" i="49"/>
  <c r="AR133" i="49"/>
  <c r="AS133" i="49"/>
  <c r="AR365" i="49"/>
  <c r="AS365" i="49"/>
  <c r="AR60" i="49"/>
  <c r="AS60" i="49"/>
  <c r="AR338" i="49"/>
  <c r="AS338" i="49"/>
  <c r="AR142" i="49"/>
  <c r="AS142" i="49"/>
  <c r="AR245" i="49"/>
  <c r="AS245" i="49"/>
  <c r="AR17" i="49"/>
  <c r="AS17" i="49"/>
  <c r="AR318" i="49"/>
  <c r="AS318" i="49"/>
  <c r="AR482" i="49"/>
  <c r="AS482" i="49"/>
  <c r="AR247" i="49"/>
  <c r="AS247" i="49"/>
  <c r="AR481" i="49"/>
  <c r="AS481" i="49"/>
  <c r="AR427" i="49"/>
  <c r="AS427" i="49"/>
  <c r="AR243" i="49"/>
  <c r="AS243" i="49"/>
  <c r="AR461" i="49"/>
  <c r="AS461" i="49"/>
  <c r="AR478" i="49"/>
  <c r="AS478" i="49"/>
  <c r="AR208" i="49"/>
  <c r="AS208" i="49"/>
  <c r="AR349" i="49"/>
  <c r="AS349" i="49"/>
  <c r="AR131" i="49"/>
  <c r="AS131" i="49"/>
  <c r="AR28" i="49"/>
  <c r="AS28" i="49"/>
  <c r="AR155" i="49"/>
  <c r="AS155" i="49"/>
  <c r="AR360" i="49"/>
  <c r="AS360" i="49"/>
  <c r="AR323" i="49"/>
  <c r="AS323" i="49"/>
  <c r="AR141" i="49"/>
  <c r="AS141" i="49"/>
  <c r="AR315" i="49"/>
  <c r="AS315" i="49"/>
  <c r="AR274" i="49"/>
  <c r="AS274" i="49"/>
  <c r="AR113" i="49"/>
  <c r="AS113" i="49"/>
  <c r="AR412" i="49"/>
  <c r="AS412" i="49"/>
  <c r="AR334" i="49"/>
  <c r="AS334" i="49"/>
  <c r="AR77" i="49"/>
  <c r="AS77" i="49"/>
  <c r="AR352" i="49"/>
  <c r="AS352" i="49"/>
  <c r="AR47" i="49"/>
  <c r="AS47" i="49"/>
  <c r="AR492" i="49"/>
  <c r="AS492" i="49"/>
  <c r="AR444" i="49"/>
  <c r="AS444" i="49"/>
  <c r="AR450" i="49"/>
  <c r="AS450" i="49"/>
  <c r="AR196" i="49"/>
  <c r="AS196" i="49"/>
  <c r="AR483" i="49"/>
  <c r="AS483" i="49"/>
  <c r="AR225" i="49"/>
  <c r="AS225" i="49"/>
  <c r="AR368" i="49"/>
  <c r="AS368" i="49"/>
  <c r="AR54" i="49"/>
  <c r="AS54" i="49"/>
  <c r="AR132" i="49"/>
  <c r="AS132" i="49"/>
  <c r="AR438" i="49"/>
  <c r="AS438" i="49"/>
  <c r="AR351" i="49"/>
  <c r="AS351" i="49"/>
  <c r="AR498" i="49"/>
  <c r="AS498" i="49"/>
  <c r="AR227" i="49"/>
  <c r="AS227" i="49"/>
  <c r="AR321" i="49"/>
  <c r="AS321" i="49"/>
  <c r="AR233" i="49"/>
  <c r="AS233" i="49"/>
  <c r="AR224" i="49"/>
  <c r="AS224" i="49"/>
  <c r="AR459" i="49"/>
  <c r="AS459" i="49"/>
  <c r="AR451" i="49"/>
  <c r="AS451" i="49"/>
  <c r="AR145" i="49"/>
  <c r="AS145" i="49"/>
  <c r="AR337" i="49"/>
  <c r="AS337" i="49"/>
  <c r="AR386" i="49"/>
  <c r="AS386" i="49"/>
  <c r="AR311" i="49"/>
  <c r="AS311" i="49"/>
  <c r="AR281" i="49"/>
  <c r="AS281" i="49"/>
  <c r="AR296" i="49"/>
  <c r="AS296" i="49"/>
  <c r="AR99" i="49"/>
  <c r="AS99" i="49"/>
  <c r="AR265" i="49"/>
  <c r="AS265" i="49"/>
  <c r="AR295" i="49"/>
  <c r="AS295" i="49"/>
  <c r="AR379" i="49"/>
  <c r="AS379" i="49"/>
  <c r="AR199" i="49"/>
  <c r="AS199" i="49"/>
  <c r="AR455" i="49"/>
  <c r="AS455" i="49"/>
  <c r="AR380" i="49"/>
  <c r="AS380" i="49"/>
  <c r="AR194" i="49"/>
  <c r="AS194" i="49"/>
  <c r="AR448" i="49"/>
  <c r="AS448" i="49"/>
  <c r="AR290" i="49"/>
  <c r="AS290" i="49"/>
  <c r="AR52" i="49"/>
  <c r="AS52" i="49"/>
  <c r="AR393" i="49"/>
  <c r="AS393" i="49"/>
  <c r="AR205" i="49"/>
  <c r="AS205" i="49"/>
  <c r="AR159" i="49"/>
  <c r="AS159" i="49"/>
  <c r="CO126" i="49"/>
  <c r="CO220" i="49"/>
  <c r="CO439" i="49"/>
  <c r="BQ190" i="49"/>
  <c r="BQ493" i="49"/>
  <c r="W343" i="49"/>
  <c r="AO392" i="46"/>
  <c r="BU343" i="49"/>
  <c r="BQ473" i="49"/>
  <c r="BQ279" i="49"/>
  <c r="BQ183" i="49"/>
  <c r="BQ20" i="49"/>
  <c r="BQ301" i="49"/>
  <c r="BQ400" i="49"/>
  <c r="BQ194" i="49"/>
  <c r="BQ486" i="49"/>
  <c r="BQ164" i="49"/>
  <c r="CO122" i="49"/>
  <c r="CO215" i="49"/>
  <c r="CO279" i="49"/>
  <c r="CO313" i="49"/>
  <c r="CO38" i="49"/>
  <c r="AR160" i="49"/>
  <c r="AS160" i="49"/>
  <c r="AR317" i="49"/>
  <c r="AS317" i="49"/>
  <c r="AR410" i="49"/>
  <c r="AS410" i="49"/>
  <c r="AR138" i="49"/>
  <c r="AS138" i="49"/>
  <c r="AR454" i="49"/>
  <c r="AS454" i="49"/>
  <c r="AR201" i="49"/>
  <c r="AS201" i="49"/>
  <c r="AR26" i="49"/>
  <c r="AS26" i="49"/>
  <c r="AR356" i="49"/>
  <c r="AS356" i="49"/>
  <c r="AR248" i="49"/>
  <c r="AS248" i="49"/>
  <c r="AR470" i="49"/>
  <c r="AS470" i="49"/>
  <c r="AR59" i="49"/>
  <c r="AS59" i="49"/>
  <c r="AR468" i="49"/>
  <c r="AS468" i="49"/>
  <c r="AR164" i="49"/>
  <c r="AS164" i="49"/>
  <c r="AR460" i="49"/>
  <c r="AS460" i="49"/>
  <c r="AR447" i="49"/>
  <c r="AS447" i="49"/>
  <c r="AR89" i="49"/>
  <c r="AS89" i="49"/>
  <c r="AR58" i="49"/>
  <c r="AS58" i="49"/>
  <c r="AR358" i="49"/>
  <c r="AS358" i="49"/>
  <c r="AR72" i="49"/>
  <c r="AS72" i="49"/>
  <c r="AR70" i="49"/>
  <c r="AS70" i="49"/>
  <c r="AR122" i="49"/>
  <c r="AS122" i="49"/>
  <c r="AR486" i="49"/>
  <c r="AS486" i="49"/>
  <c r="AR21" i="49"/>
  <c r="AS21" i="49"/>
  <c r="AR235" i="49"/>
  <c r="AS235" i="49"/>
  <c r="AR400" i="49"/>
  <c r="AS400" i="49"/>
  <c r="AR218" i="49"/>
  <c r="AS218" i="49"/>
  <c r="AR166" i="49"/>
  <c r="AS166" i="49"/>
  <c r="AR363" i="49"/>
  <c r="AS363" i="49"/>
  <c r="AR51" i="49"/>
  <c r="AS51" i="49"/>
  <c r="DM491" i="49"/>
  <c r="DN491" i="49"/>
  <c r="Y491" i="49"/>
  <c r="AQ110" i="46"/>
  <c r="DM330" i="49"/>
  <c r="DN330" i="49"/>
  <c r="Y330" i="49"/>
  <c r="AU330" i="49"/>
  <c r="AT203" i="49"/>
  <c r="AT204" i="49"/>
  <c r="DM60" i="49"/>
  <c r="DN60" i="49"/>
  <c r="Y60" i="49"/>
  <c r="AQ74" i="46"/>
  <c r="DM204" i="49"/>
  <c r="DN204" i="49"/>
  <c r="Y204" i="49"/>
  <c r="DM203" i="49"/>
  <c r="DN203" i="49"/>
  <c r="Y203" i="49"/>
  <c r="BR203" i="49"/>
  <c r="BR204" i="49"/>
  <c r="BR178" i="49"/>
  <c r="BR304" i="49"/>
  <c r="BR298" i="49"/>
  <c r="DM385" i="49"/>
  <c r="DN385" i="49"/>
  <c r="Y385" i="49"/>
  <c r="AQ461" i="46"/>
  <c r="DM340" i="49"/>
  <c r="DN340" i="49"/>
  <c r="Y340" i="49"/>
  <c r="AQ394" i="46"/>
  <c r="DM58" i="49"/>
  <c r="DN58" i="49"/>
  <c r="Y58" i="49"/>
  <c r="AQ73" i="46"/>
  <c r="DM341" i="49"/>
  <c r="DN341" i="49"/>
  <c r="Y341" i="49"/>
  <c r="AQ388" i="46"/>
  <c r="DM336" i="49"/>
  <c r="DN336" i="49"/>
  <c r="Y336" i="49"/>
  <c r="AQ389" i="46"/>
  <c r="DM56" i="49"/>
  <c r="DN56" i="49"/>
  <c r="Y56" i="49"/>
  <c r="AQ76" i="46"/>
  <c r="DM335" i="49"/>
  <c r="DN335" i="49"/>
  <c r="Y335" i="49"/>
  <c r="AQ391" i="46"/>
  <c r="DM337" i="49"/>
  <c r="DN337" i="49"/>
  <c r="Y337" i="49"/>
  <c r="AQ396" i="46"/>
  <c r="DM494" i="49"/>
  <c r="DN494" i="49"/>
  <c r="Y494" i="49"/>
  <c r="AQ113" i="46"/>
  <c r="DM342" i="49"/>
  <c r="DN342" i="49"/>
  <c r="Y342" i="49"/>
  <c r="AQ393" i="46"/>
  <c r="AT486" i="49"/>
  <c r="AT358" i="49"/>
  <c r="AT460" i="49"/>
  <c r="AT470" i="49"/>
  <c r="AT201" i="49"/>
  <c r="AT410" i="49"/>
  <c r="BR400" i="49"/>
  <c r="BR20" i="49"/>
  <c r="BR279" i="49"/>
  <c r="AT205" i="49"/>
  <c r="AT448" i="49"/>
  <c r="AT199" i="49"/>
  <c r="AT99" i="49"/>
  <c r="AT386" i="49"/>
  <c r="AT459" i="49"/>
  <c r="AT227" i="49"/>
  <c r="AT132" i="49"/>
  <c r="AT483" i="49"/>
  <c r="AT492" i="49"/>
  <c r="AT334" i="49"/>
  <c r="AT315" i="49"/>
  <c r="AT155" i="49"/>
  <c r="AT208" i="49"/>
  <c r="AT427" i="49"/>
  <c r="AT318" i="49"/>
  <c r="AT338" i="49"/>
  <c r="AT96" i="49"/>
  <c r="AT423" i="49"/>
  <c r="AT101" i="49"/>
  <c r="AT215" i="49"/>
  <c r="AT404" i="49"/>
  <c r="AT372" i="49"/>
  <c r="AT425" i="49"/>
  <c r="AT409" i="49"/>
  <c r="AT354" i="49"/>
  <c r="AT39" i="49"/>
  <c r="AT322" i="49"/>
  <c r="AT69" i="49"/>
  <c r="AT471" i="49"/>
  <c r="AT266" i="49"/>
  <c r="AT108" i="49"/>
  <c r="AT180" i="49"/>
  <c r="AT30" i="49"/>
  <c r="AT172" i="49"/>
  <c r="AT139" i="49"/>
  <c r="AT76" i="49"/>
  <c r="AT111" i="49"/>
  <c r="AT452" i="49"/>
  <c r="AT61" i="49"/>
  <c r="BR38" i="49"/>
  <c r="BR205" i="49"/>
  <c r="BR464" i="49"/>
  <c r="BR144" i="49"/>
  <c r="BR149" i="49"/>
  <c r="BR271" i="49"/>
  <c r="BR104" i="49"/>
  <c r="BR172" i="49"/>
  <c r="BR161" i="49"/>
  <c r="BR132" i="49"/>
  <c r="BR68" i="49"/>
  <c r="BR447" i="49"/>
  <c r="BR37" i="49"/>
  <c r="AT313" i="49"/>
  <c r="AT90" i="49"/>
  <c r="AT326" i="49"/>
  <c r="AT156" i="49"/>
  <c r="AT316" i="49"/>
  <c r="AT135" i="49"/>
  <c r="AT350" i="49"/>
  <c r="AT457" i="49"/>
  <c r="BR491" i="49"/>
  <c r="BR200" i="49"/>
  <c r="BR44" i="49"/>
  <c r="BR100" i="49"/>
  <c r="BR372" i="49"/>
  <c r="BR133" i="49"/>
  <c r="BR93" i="49"/>
  <c r="BR49" i="49"/>
  <c r="BR299" i="49"/>
  <c r="BR428" i="49"/>
  <c r="BR311" i="49"/>
  <c r="BR459" i="49"/>
  <c r="BR113" i="49"/>
  <c r="BR157" i="49"/>
  <c r="BR84" i="49"/>
  <c r="BR185" i="49"/>
  <c r="AT127" i="49"/>
  <c r="AT252" i="49"/>
  <c r="AT277" i="49"/>
  <c r="AT268" i="49"/>
  <c r="AT9" i="49"/>
  <c r="AT305" i="49"/>
  <c r="AT388" i="49"/>
  <c r="AT382" i="49"/>
  <c r="BR174" i="49"/>
  <c r="BR454" i="49"/>
  <c r="BR383" i="49"/>
  <c r="BR251" i="49"/>
  <c r="BR306" i="49"/>
  <c r="BR275" i="49"/>
  <c r="BR33" i="49"/>
  <c r="BR192" i="49"/>
  <c r="BR117" i="49"/>
  <c r="BR64" i="49"/>
  <c r="BR360" i="49"/>
  <c r="BR368" i="49"/>
  <c r="BR211" i="49"/>
  <c r="BR230" i="49"/>
  <c r="BR282" i="49"/>
  <c r="BR419" i="49"/>
  <c r="BR498" i="49"/>
  <c r="BR145" i="49"/>
  <c r="BR24" i="49"/>
  <c r="BR295" i="49"/>
  <c r="BR379" i="49"/>
  <c r="BR66" i="49"/>
  <c r="BS6" i="49"/>
  <c r="BQ500" i="49"/>
  <c r="BQ2" i="49"/>
  <c r="BR6" i="49"/>
  <c r="BR452" i="49"/>
  <c r="BR234" i="49"/>
  <c r="BR484" i="49"/>
  <c r="BR435" i="49"/>
  <c r="AT120" i="49"/>
  <c r="AT144" i="49"/>
  <c r="AT185" i="49"/>
  <c r="AT56" i="49"/>
  <c r="AT325" i="49"/>
  <c r="AT112" i="49"/>
  <c r="AT200" i="49"/>
  <c r="BR321" i="49"/>
  <c r="BR313" i="49"/>
  <c r="BR457" i="49"/>
  <c r="BR114" i="49"/>
  <c r="BR213" i="49"/>
  <c r="BR261" i="49"/>
  <c r="BR199" i="49"/>
  <c r="BR442" i="49"/>
  <c r="BR482" i="49"/>
  <c r="BR119" i="49"/>
  <c r="BR54" i="49"/>
  <c r="BR312" i="49"/>
  <c r="BR292" i="49"/>
  <c r="BR382" i="49"/>
  <c r="BR146" i="49"/>
  <c r="BR158" i="49"/>
  <c r="BR19" i="49"/>
  <c r="BR126" i="49"/>
  <c r="DM125" i="49"/>
  <c r="DN125" i="49"/>
  <c r="Y125" i="49"/>
  <c r="AQ151" i="46"/>
  <c r="DM300" i="49"/>
  <c r="DN300" i="49"/>
  <c r="Y300" i="49"/>
  <c r="AQ219" i="46"/>
  <c r="DM496" i="49"/>
  <c r="DN496" i="49"/>
  <c r="Y496" i="49"/>
  <c r="AQ578" i="46"/>
  <c r="DM200" i="49"/>
  <c r="DN200" i="49"/>
  <c r="Y200" i="49"/>
  <c r="AQ254" i="46"/>
  <c r="DM409" i="49"/>
  <c r="DN409" i="49"/>
  <c r="Y409" i="49"/>
  <c r="AQ480" i="46"/>
  <c r="DM161" i="49"/>
  <c r="DN161" i="49"/>
  <c r="Y161" i="49"/>
  <c r="AQ355" i="46"/>
  <c r="DM267" i="49"/>
  <c r="DN267" i="49"/>
  <c r="Y267" i="49"/>
  <c r="AQ301" i="46"/>
  <c r="DM247" i="49"/>
  <c r="DN247" i="49"/>
  <c r="Y247" i="49"/>
  <c r="AQ231" i="46"/>
  <c r="DM441" i="49"/>
  <c r="DN441" i="49"/>
  <c r="Y441" i="49"/>
  <c r="AQ526" i="46"/>
  <c r="DM265" i="49"/>
  <c r="DN265" i="49"/>
  <c r="Y265" i="49"/>
  <c r="AQ244" i="46"/>
  <c r="DM419" i="49"/>
  <c r="DN419" i="49"/>
  <c r="Y419" i="49"/>
  <c r="AQ468" i="46"/>
  <c r="DM277" i="49"/>
  <c r="DN277" i="49"/>
  <c r="Y277" i="49"/>
  <c r="AQ308" i="46"/>
  <c r="DM207" i="49"/>
  <c r="DN207" i="49"/>
  <c r="Y207" i="49"/>
  <c r="AQ343" i="46"/>
  <c r="DM66" i="49"/>
  <c r="DN66" i="49"/>
  <c r="Y66" i="49"/>
  <c r="AQ88" i="46"/>
  <c r="DM166" i="49"/>
  <c r="DN166" i="49"/>
  <c r="Y166" i="49"/>
  <c r="AQ293" i="46"/>
  <c r="DM227" i="49"/>
  <c r="DN227" i="49"/>
  <c r="Y227" i="49"/>
  <c r="AQ338" i="46"/>
  <c r="DM123" i="49"/>
  <c r="DN123" i="49"/>
  <c r="Y123" i="49"/>
  <c r="AQ152" i="46"/>
  <c r="DM357" i="49"/>
  <c r="DN357" i="49"/>
  <c r="Y357" i="49"/>
  <c r="AQ415" i="46"/>
  <c r="DM430" i="49"/>
  <c r="DN430" i="49"/>
  <c r="Y430" i="49"/>
  <c r="AQ495" i="46"/>
  <c r="DM50" i="49"/>
  <c r="DN50" i="49"/>
  <c r="Y50" i="49"/>
  <c r="AQ65" i="46"/>
  <c r="DM173" i="49"/>
  <c r="DN173" i="49"/>
  <c r="Y173" i="49"/>
  <c r="AQ220" i="46"/>
  <c r="DM169" i="49"/>
  <c r="DN169" i="49"/>
  <c r="Y169" i="49"/>
  <c r="AQ327" i="46"/>
  <c r="DM198" i="49"/>
  <c r="DN198" i="49"/>
  <c r="Y198" i="49"/>
  <c r="AQ341" i="46"/>
  <c r="DM486" i="49"/>
  <c r="DN486" i="49"/>
  <c r="Y486" i="49"/>
  <c r="AQ572" i="46"/>
  <c r="DM292" i="49"/>
  <c r="DN292" i="49"/>
  <c r="Y292" i="49"/>
  <c r="AQ213" i="46"/>
  <c r="DM146" i="49"/>
  <c r="DN146" i="49"/>
  <c r="Y146" i="49"/>
  <c r="AQ194" i="46"/>
  <c r="DM90" i="49"/>
  <c r="DN90" i="49"/>
  <c r="Y90" i="49"/>
  <c r="AQ171" i="46"/>
  <c r="DM380" i="49"/>
  <c r="DN380" i="49"/>
  <c r="Y380" i="49"/>
  <c r="AQ428" i="46"/>
  <c r="DM33" i="49"/>
  <c r="DN33" i="49"/>
  <c r="Y33" i="49"/>
  <c r="AQ30" i="46"/>
  <c r="DM180" i="49"/>
  <c r="DN180" i="49"/>
  <c r="Y180" i="49"/>
  <c r="AQ262" i="46"/>
  <c r="DM100" i="49"/>
  <c r="DN100" i="49"/>
  <c r="Y100" i="49"/>
  <c r="AQ154" i="46"/>
  <c r="DM170" i="49"/>
  <c r="DN170" i="49"/>
  <c r="Y170" i="49"/>
  <c r="AQ229" i="46"/>
  <c r="DM468" i="49"/>
  <c r="DN468" i="49"/>
  <c r="Y468" i="49"/>
  <c r="AQ540" i="46"/>
  <c r="DM114" i="49"/>
  <c r="DN114" i="49"/>
  <c r="Y114" i="49"/>
  <c r="AQ146" i="46"/>
  <c r="DM149" i="49"/>
  <c r="DN149" i="49"/>
  <c r="Y149" i="49"/>
  <c r="AQ271" i="46"/>
  <c r="DM49" i="49"/>
  <c r="DN49" i="49"/>
  <c r="Y49" i="49"/>
  <c r="AQ64" i="46"/>
  <c r="DM126" i="49"/>
  <c r="DN126" i="49"/>
  <c r="Y126" i="49"/>
  <c r="AQ138" i="46"/>
  <c r="AT122" i="49"/>
  <c r="AT248" i="49"/>
  <c r="BR183" i="49"/>
  <c r="BR493" i="49"/>
  <c r="AT393" i="49"/>
  <c r="AT296" i="49"/>
  <c r="AT224" i="49"/>
  <c r="AT498" i="49"/>
  <c r="AT54" i="49"/>
  <c r="AT196" i="49"/>
  <c r="AT47" i="49"/>
  <c r="AT412" i="49"/>
  <c r="AT141" i="49"/>
  <c r="AT28" i="49"/>
  <c r="AT478" i="49"/>
  <c r="AT481" i="49"/>
  <c r="AT17" i="49"/>
  <c r="AT60" i="49"/>
  <c r="AT307" i="49"/>
  <c r="AT79" i="49"/>
  <c r="AT85" i="49"/>
  <c r="AT449" i="49"/>
  <c r="AT430" i="49"/>
  <c r="AT253" i="49"/>
  <c r="AT86" i="49"/>
  <c r="AT385" i="49"/>
  <c r="AT475" i="49"/>
  <c r="AT148" i="49"/>
  <c r="AT420" i="49"/>
  <c r="AT187" i="49"/>
  <c r="AT161" i="49"/>
  <c r="AT109" i="49"/>
  <c r="AT324" i="49"/>
  <c r="AT339" i="49"/>
  <c r="AT44" i="49"/>
  <c r="AT331" i="49"/>
  <c r="AT43" i="49"/>
  <c r="AT490" i="49"/>
  <c r="AT81" i="49"/>
  <c r="AT75" i="49"/>
  <c r="AT27" i="49"/>
  <c r="BR153" i="49"/>
  <c r="BR69" i="49"/>
  <c r="BR43" i="49"/>
  <c r="BR142" i="49"/>
  <c r="BR458" i="49"/>
  <c r="BR163" i="49"/>
  <c r="BR23" i="49"/>
  <c r="BR154" i="49"/>
  <c r="BR296" i="49"/>
  <c r="BR79" i="49"/>
  <c r="BR27" i="49"/>
  <c r="BR35" i="49"/>
  <c r="BR115" i="49"/>
  <c r="BR159" i="49"/>
  <c r="BR461" i="49"/>
  <c r="AT143" i="49"/>
  <c r="AT169" i="49"/>
  <c r="AT115" i="49"/>
  <c r="AT250" i="49"/>
  <c r="AT477" i="49"/>
  <c r="AT68" i="49"/>
  <c r="AT445" i="49"/>
  <c r="AT50" i="49"/>
  <c r="BR170" i="49"/>
  <c r="BR414" i="49"/>
  <c r="BR333" i="49"/>
  <c r="BR366" i="49"/>
  <c r="BR265" i="49"/>
  <c r="BR245" i="49"/>
  <c r="BR208" i="49"/>
  <c r="BR67" i="49"/>
  <c r="BR127" i="49"/>
  <c r="BR277" i="49"/>
  <c r="BR437" i="49"/>
  <c r="BR293" i="49"/>
  <c r="BR305" i="49"/>
  <c r="BR18" i="49"/>
  <c r="BR410" i="49"/>
  <c r="BR139" i="49"/>
  <c r="BR82" i="49"/>
  <c r="BR179" i="49"/>
  <c r="AT100" i="49"/>
  <c r="AT82" i="49"/>
  <c r="AT446" i="49"/>
  <c r="AT157" i="49"/>
  <c r="AT64" i="49"/>
  <c r="AT220" i="49"/>
  <c r="AT333" i="49"/>
  <c r="AT167" i="49"/>
  <c r="AT150" i="49"/>
  <c r="DM332" i="49"/>
  <c r="DN332" i="49"/>
  <c r="Y332" i="49"/>
  <c r="DM327" i="49"/>
  <c r="DN327" i="49"/>
  <c r="Y327" i="49"/>
  <c r="AQ379" i="46"/>
  <c r="DM397" i="49"/>
  <c r="DN397" i="49"/>
  <c r="Y397" i="49"/>
  <c r="AQ438" i="46"/>
  <c r="DM182" i="49"/>
  <c r="DN182" i="49"/>
  <c r="Y182" i="49"/>
  <c r="AQ214" i="46"/>
  <c r="DM273" i="49"/>
  <c r="DN273" i="49"/>
  <c r="Y273" i="49"/>
  <c r="AQ233" i="46"/>
  <c r="DM71" i="49"/>
  <c r="DN71" i="49"/>
  <c r="Y71" i="49"/>
  <c r="AQ93" i="46"/>
  <c r="DM482" i="49"/>
  <c r="DN482" i="49"/>
  <c r="Y482" i="49"/>
  <c r="AQ565" i="46"/>
  <c r="DM221" i="49"/>
  <c r="DN221" i="49"/>
  <c r="Y221" i="49"/>
  <c r="AQ335" i="46"/>
  <c r="DM287" i="49"/>
  <c r="DN287" i="49"/>
  <c r="Y287" i="49"/>
  <c r="AQ184" i="46"/>
  <c r="DM398" i="49"/>
  <c r="DN398" i="49"/>
  <c r="Y398" i="49"/>
  <c r="AQ432" i="46"/>
  <c r="DM263" i="49"/>
  <c r="DN263" i="49"/>
  <c r="Y263" i="49"/>
  <c r="AQ179" i="46"/>
  <c r="DM181" i="49"/>
  <c r="DN181" i="49"/>
  <c r="Y181" i="49"/>
  <c r="AQ260" i="46"/>
  <c r="DM168" i="49"/>
  <c r="DN168" i="49"/>
  <c r="Y168" i="49"/>
  <c r="AQ287" i="46"/>
  <c r="DM242" i="49"/>
  <c r="DN242" i="49"/>
  <c r="Y242" i="49"/>
  <c r="AQ195" i="46"/>
  <c r="DM402" i="49"/>
  <c r="DN402" i="49"/>
  <c r="Y402" i="49"/>
  <c r="AQ430" i="46"/>
  <c r="DM347" i="49"/>
  <c r="DN347" i="49"/>
  <c r="Y347" i="49"/>
  <c r="AQ400" i="46"/>
  <c r="DM262" i="49"/>
  <c r="DN262" i="49"/>
  <c r="Y262" i="49"/>
  <c r="AQ316" i="46"/>
  <c r="DM231" i="49"/>
  <c r="DN231" i="49"/>
  <c r="Y231" i="49"/>
  <c r="AQ189" i="46"/>
  <c r="DM286" i="49"/>
  <c r="DN286" i="49"/>
  <c r="Y286" i="49"/>
  <c r="AQ181" i="46"/>
  <c r="DM237" i="49"/>
  <c r="DN237" i="49"/>
  <c r="Y237" i="49"/>
  <c r="AQ249" i="46"/>
  <c r="DM344" i="49"/>
  <c r="DN344" i="49"/>
  <c r="Y344" i="49"/>
  <c r="AQ398" i="46"/>
  <c r="DM406" i="49"/>
  <c r="DN406" i="49"/>
  <c r="Y406" i="49"/>
  <c r="AQ475" i="46"/>
  <c r="DM151" i="49"/>
  <c r="DN151" i="49"/>
  <c r="Y151" i="49"/>
  <c r="AQ270" i="46"/>
  <c r="DM376" i="49"/>
  <c r="DN376" i="49"/>
  <c r="Y376" i="49"/>
  <c r="AQ462" i="46"/>
  <c r="DM432" i="49"/>
  <c r="DN432" i="49"/>
  <c r="Y432" i="49"/>
  <c r="AQ507" i="46"/>
  <c r="DM80" i="49"/>
  <c r="DN80" i="49"/>
  <c r="Y80" i="49"/>
  <c r="AQ125" i="46"/>
  <c r="DM258" i="49"/>
  <c r="DN258" i="49"/>
  <c r="Y258" i="49"/>
  <c r="AQ248" i="46"/>
  <c r="DM359" i="49"/>
  <c r="DN359" i="49"/>
  <c r="Y359" i="49"/>
  <c r="AQ410" i="46"/>
  <c r="DM216" i="49"/>
  <c r="DN216" i="49"/>
  <c r="Y216" i="49"/>
  <c r="AQ336" i="46"/>
  <c r="DM421" i="49"/>
  <c r="DN421" i="49"/>
  <c r="Y421" i="49"/>
  <c r="AQ470" i="46"/>
  <c r="DM328" i="49"/>
  <c r="DN328" i="49"/>
  <c r="Y328" i="49"/>
  <c r="AQ374" i="46"/>
  <c r="DM480" i="49"/>
  <c r="DN480" i="49"/>
  <c r="Y480" i="49"/>
  <c r="AQ561" i="46"/>
  <c r="DM302" i="49"/>
  <c r="DN302" i="49"/>
  <c r="Y302" i="49"/>
  <c r="AQ303" i="46"/>
  <c r="DM202" i="49"/>
  <c r="DN202" i="49"/>
  <c r="Y202" i="49"/>
  <c r="AQ237" i="46"/>
  <c r="DM405" i="49"/>
  <c r="DN405" i="49"/>
  <c r="Y405" i="49"/>
  <c r="AQ471" i="46"/>
  <c r="DM63" i="49"/>
  <c r="DN63" i="49"/>
  <c r="Y63" i="49"/>
  <c r="AQ94" i="46"/>
  <c r="DM283" i="49"/>
  <c r="DN283" i="49"/>
  <c r="Y283" i="49"/>
  <c r="AQ182" i="46"/>
  <c r="DM280" i="49"/>
  <c r="DN280" i="49"/>
  <c r="Y280" i="49"/>
  <c r="AQ312" i="46"/>
  <c r="DM171" i="49"/>
  <c r="DN171" i="49"/>
  <c r="Y171" i="49"/>
  <c r="AQ190" i="46"/>
  <c r="DM387" i="49"/>
  <c r="DN387" i="49"/>
  <c r="Y387" i="49"/>
  <c r="AQ439" i="46"/>
  <c r="DM272" i="49"/>
  <c r="DN272" i="49"/>
  <c r="Y272" i="49"/>
  <c r="AQ333" i="46"/>
  <c r="DM230" i="49"/>
  <c r="DN230" i="49"/>
  <c r="Y230" i="49"/>
  <c r="AQ240" i="46"/>
  <c r="DM238" i="49"/>
  <c r="DN238" i="49"/>
  <c r="Y238" i="49"/>
  <c r="AQ243" i="46"/>
  <c r="DM291" i="49"/>
  <c r="DN291" i="49"/>
  <c r="Y291" i="49"/>
  <c r="AQ188" i="46"/>
  <c r="DM422" i="49"/>
  <c r="DN422" i="49"/>
  <c r="Y422" i="49"/>
  <c r="AQ488" i="46"/>
  <c r="DM375" i="49"/>
  <c r="DN375" i="49"/>
  <c r="Y375" i="49"/>
  <c r="AQ436" i="46"/>
  <c r="DM246" i="49"/>
  <c r="DN246" i="49"/>
  <c r="Y246" i="49"/>
  <c r="AQ268" i="46"/>
  <c r="DM239" i="49"/>
  <c r="DN239" i="49"/>
  <c r="Y239" i="49"/>
  <c r="DM222" i="49"/>
  <c r="DN222" i="49"/>
  <c r="Y222" i="49"/>
  <c r="AQ176" i="46"/>
  <c r="DM401" i="49"/>
  <c r="DN401" i="49"/>
  <c r="Y401" i="49"/>
  <c r="AQ449" i="46"/>
  <c r="DM137" i="49"/>
  <c r="DN137" i="49"/>
  <c r="Y137" i="49"/>
  <c r="AQ201" i="46"/>
  <c r="DM206" i="49"/>
  <c r="DN206" i="49"/>
  <c r="Y206" i="49"/>
  <c r="AQ325" i="46"/>
  <c r="DM381" i="49"/>
  <c r="DN381" i="49"/>
  <c r="Y381" i="49"/>
  <c r="AQ450" i="46"/>
  <c r="DM309" i="49"/>
  <c r="DN309" i="49"/>
  <c r="Y309" i="49"/>
  <c r="AQ337" i="46"/>
  <c r="DM251" i="49"/>
  <c r="DN251" i="49"/>
  <c r="Y251" i="49"/>
  <c r="AQ267" i="46"/>
  <c r="DM362" i="49"/>
  <c r="DN362" i="49"/>
  <c r="Y362" i="49"/>
  <c r="AQ408" i="46"/>
  <c r="DM236" i="49"/>
  <c r="DN236" i="49"/>
  <c r="Y236" i="49"/>
  <c r="AQ191" i="46"/>
  <c r="DM289" i="49"/>
  <c r="DN289" i="49"/>
  <c r="Y289" i="49"/>
  <c r="AQ187" i="46"/>
  <c r="DM53" i="49"/>
  <c r="DN53" i="49"/>
  <c r="Y53" i="49"/>
  <c r="AQ63" i="46"/>
  <c r="DM228" i="49"/>
  <c r="DN228" i="49"/>
  <c r="Y228" i="49"/>
  <c r="AQ297" i="46"/>
  <c r="DM223" i="49"/>
  <c r="DN223" i="49"/>
  <c r="Y223" i="49"/>
  <c r="AQ246" i="46"/>
  <c r="DM417" i="49"/>
  <c r="DN417" i="49"/>
  <c r="Y417" i="49"/>
  <c r="AQ477" i="46"/>
  <c r="DM378" i="49"/>
  <c r="DN378" i="49"/>
  <c r="Y378" i="49"/>
  <c r="AQ443" i="46"/>
  <c r="DM345" i="49"/>
  <c r="DN345" i="49"/>
  <c r="Y345" i="49"/>
  <c r="AQ399" i="46"/>
  <c r="DM259" i="49"/>
  <c r="DN259" i="49"/>
  <c r="Y259" i="49"/>
  <c r="AQ322" i="46"/>
  <c r="DM269" i="49"/>
  <c r="DN269" i="49"/>
  <c r="Y269" i="49"/>
  <c r="AQ212" i="46"/>
  <c r="DM420" i="49"/>
  <c r="DN420" i="49"/>
  <c r="Y420" i="49"/>
  <c r="AQ478" i="46"/>
  <c r="DM294" i="49"/>
  <c r="DN294" i="49"/>
  <c r="Y294" i="49"/>
  <c r="AQ315" i="46"/>
  <c r="DM476" i="49"/>
  <c r="DN476" i="49"/>
  <c r="Y476" i="49"/>
  <c r="AQ567" i="46"/>
  <c r="DM403" i="49"/>
  <c r="DN403" i="49"/>
  <c r="Y403" i="49"/>
  <c r="AQ497" i="46"/>
  <c r="DM226" i="49"/>
  <c r="DN226" i="49"/>
  <c r="Y226" i="49"/>
  <c r="AQ224" i="46"/>
  <c r="DM232" i="49"/>
  <c r="DN232" i="49"/>
  <c r="Y232" i="49"/>
  <c r="AQ288" i="46"/>
  <c r="DM285" i="49"/>
  <c r="DN285" i="49"/>
  <c r="Y285" i="49"/>
  <c r="AQ276" i="46"/>
  <c r="DM254" i="49"/>
  <c r="DN254" i="49"/>
  <c r="Y254" i="49"/>
  <c r="AQ307" i="46"/>
  <c r="DM369" i="49"/>
  <c r="DN369" i="49"/>
  <c r="Y369" i="49"/>
  <c r="AQ431" i="46"/>
  <c r="DM407" i="49"/>
  <c r="DN407" i="49"/>
  <c r="Y407" i="49"/>
  <c r="AQ469" i="46"/>
  <c r="DM459" i="49"/>
  <c r="DN459" i="49"/>
  <c r="Y459" i="49"/>
  <c r="AQ532" i="46"/>
  <c r="DM32" i="49"/>
  <c r="DN32" i="49"/>
  <c r="Y32" i="49"/>
  <c r="AQ27" i="46"/>
  <c r="DM456" i="49"/>
  <c r="DN456" i="49"/>
  <c r="Y456" i="49"/>
  <c r="AQ525" i="46"/>
  <c r="DM469" i="49"/>
  <c r="DN469" i="49"/>
  <c r="Y469" i="49"/>
  <c r="AQ549" i="46"/>
  <c r="DM466" i="49"/>
  <c r="DN466" i="49"/>
  <c r="Y466" i="49"/>
  <c r="AQ543" i="46"/>
  <c r="DM371" i="49"/>
  <c r="DN371" i="49"/>
  <c r="Y371" i="49"/>
  <c r="AQ451" i="46"/>
  <c r="DM394" i="49"/>
  <c r="DN394" i="49"/>
  <c r="Y394" i="49"/>
  <c r="AQ453" i="46"/>
  <c r="DM353" i="49"/>
  <c r="DN353" i="49"/>
  <c r="Y353" i="49"/>
  <c r="AQ418" i="46"/>
  <c r="DM416" i="49"/>
  <c r="DN416" i="49"/>
  <c r="Y416" i="49"/>
  <c r="AQ476" i="46"/>
  <c r="DM175" i="49"/>
  <c r="DN175" i="49"/>
  <c r="Y175" i="49"/>
  <c r="AQ186" i="46"/>
  <c r="DM212" i="49"/>
  <c r="DN212" i="49"/>
  <c r="Y212" i="49"/>
  <c r="AQ273" i="46"/>
  <c r="DM304" i="49"/>
  <c r="DN304" i="49"/>
  <c r="Y304" i="49"/>
  <c r="AQ185" i="46"/>
  <c r="DM424" i="49"/>
  <c r="DN424" i="49"/>
  <c r="Y424" i="49"/>
  <c r="AQ487" i="46"/>
  <c r="DM431" i="49"/>
  <c r="DN431" i="49"/>
  <c r="Y431" i="49"/>
  <c r="AQ508" i="46"/>
  <c r="DM364" i="49"/>
  <c r="DN364" i="49"/>
  <c r="Y364" i="49"/>
  <c r="AQ409" i="46"/>
  <c r="DM370" i="49"/>
  <c r="DN370" i="49"/>
  <c r="Y370" i="49"/>
  <c r="AQ435" i="46"/>
  <c r="DM399" i="49"/>
  <c r="DN399" i="49"/>
  <c r="Y399" i="49"/>
  <c r="AQ426" i="46"/>
  <c r="DM282" i="49"/>
  <c r="DN282" i="49"/>
  <c r="Y282" i="49"/>
  <c r="AQ282" i="46"/>
  <c r="DM276" i="49"/>
  <c r="DN276" i="49"/>
  <c r="Y276" i="49"/>
  <c r="AQ269" i="46"/>
  <c r="DM389" i="49"/>
  <c r="DN389" i="49"/>
  <c r="Y389" i="49"/>
  <c r="AQ452" i="46"/>
  <c r="DM284" i="49"/>
  <c r="DN284" i="49"/>
  <c r="Y284" i="49"/>
  <c r="AQ183" i="46"/>
  <c r="DM488" i="49"/>
  <c r="DN488" i="49"/>
  <c r="Y488" i="49"/>
  <c r="AQ569" i="46"/>
  <c r="DM391" i="49"/>
  <c r="DN391" i="49"/>
  <c r="Y391" i="49"/>
  <c r="AQ460" i="46"/>
  <c r="DM477" i="49"/>
  <c r="DN477" i="49"/>
  <c r="Y477" i="49"/>
  <c r="AQ564" i="46"/>
  <c r="DM213" i="49"/>
  <c r="DN213" i="49"/>
  <c r="Y213" i="49"/>
  <c r="AQ275" i="46"/>
  <c r="DM270" i="49"/>
  <c r="DN270" i="49"/>
  <c r="Y270" i="49"/>
  <c r="AQ239" i="46"/>
  <c r="DM147" i="49"/>
  <c r="DN147" i="49"/>
  <c r="Y147" i="49"/>
  <c r="AQ334" i="46"/>
  <c r="DM288" i="49"/>
  <c r="DN288" i="49"/>
  <c r="Y288" i="49"/>
  <c r="AQ280" i="46"/>
  <c r="DM429" i="49"/>
  <c r="DN429" i="49"/>
  <c r="Y429" i="49"/>
  <c r="AQ493" i="46"/>
  <c r="DM177" i="49"/>
  <c r="DN177" i="49"/>
  <c r="Y177" i="49"/>
  <c r="AQ256" i="46"/>
  <c r="DM62" i="49"/>
  <c r="DN62" i="49"/>
  <c r="Y62" i="49"/>
  <c r="AQ80" i="46"/>
  <c r="DM264" i="49"/>
  <c r="DN264" i="49"/>
  <c r="Y264" i="49"/>
  <c r="AQ177" i="46"/>
  <c r="DM479" i="49"/>
  <c r="DN479" i="49"/>
  <c r="Y479" i="49"/>
  <c r="AQ560" i="46"/>
  <c r="DM18" i="49"/>
  <c r="DN18" i="49"/>
  <c r="Y18" i="49"/>
  <c r="AQ36" i="46"/>
  <c r="DM35" i="49"/>
  <c r="DN35" i="49"/>
  <c r="Y35" i="49"/>
  <c r="AQ28" i="46"/>
  <c r="DM40" i="49"/>
  <c r="DN40" i="49"/>
  <c r="Y40" i="49"/>
  <c r="AQ46" i="46"/>
  <c r="DM31" i="49"/>
  <c r="DN31" i="49"/>
  <c r="Y31" i="49"/>
  <c r="AQ39" i="46"/>
  <c r="DM465" i="49"/>
  <c r="DN465" i="49"/>
  <c r="Y465" i="49"/>
  <c r="AQ541" i="46"/>
  <c r="DM426" i="49"/>
  <c r="DN426" i="49"/>
  <c r="Y426" i="49"/>
  <c r="AQ489" i="46"/>
  <c r="DM193" i="49"/>
  <c r="DN193" i="49"/>
  <c r="Y193" i="49"/>
  <c r="AQ199" i="46"/>
  <c r="DM396" i="49"/>
  <c r="DN396" i="49"/>
  <c r="Y396" i="49"/>
  <c r="AQ427" i="46"/>
  <c r="DM229" i="49"/>
  <c r="DN229" i="49"/>
  <c r="Y229" i="49"/>
  <c r="AQ329" i="46"/>
  <c r="DM374" i="49"/>
  <c r="DN374" i="49"/>
  <c r="Y374" i="49"/>
  <c r="AQ448" i="46"/>
  <c r="DM176" i="49"/>
  <c r="DN176" i="49"/>
  <c r="Y176" i="49"/>
  <c r="AQ492" i="46"/>
  <c r="DM255" i="49"/>
  <c r="DN255" i="49"/>
  <c r="Y255" i="49"/>
  <c r="AQ279" i="46"/>
  <c r="DM244" i="49"/>
  <c r="DN244" i="49"/>
  <c r="Y244" i="49"/>
  <c r="AQ326" i="46"/>
  <c r="DM483" i="49"/>
  <c r="DN483" i="49"/>
  <c r="Y483" i="49"/>
  <c r="AQ563" i="46"/>
  <c r="DM467" i="49"/>
  <c r="DN467" i="49"/>
  <c r="Y467" i="49"/>
  <c r="AQ554" i="46"/>
  <c r="DM22" i="49"/>
  <c r="DN22" i="49"/>
  <c r="Y22" i="49"/>
  <c r="AQ24" i="46"/>
  <c r="DM462" i="49"/>
  <c r="DN462" i="49"/>
  <c r="Y462" i="49"/>
  <c r="AQ542" i="46"/>
  <c r="DM34" i="49"/>
  <c r="DN34" i="49"/>
  <c r="Y34" i="49"/>
  <c r="AQ29" i="46"/>
  <c r="DM452" i="49"/>
  <c r="DN452" i="49"/>
  <c r="Y452" i="49"/>
  <c r="AQ520" i="46"/>
  <c r="DM25" i="49"/>
  <c r="DN25" i="49"/>
  <c r="Y25" i="49"/>
  <c r="AQ40" i="46"/>
  <c r="DM355" i="49"/>
  <c r="DN355" i="49"/>
  <c r="Y355" i="49"/>
  <c r="AQ407" i="46"/>
  <c r="DM472" i="49"/>
  <c r="DN472" i="49"/>
  <c r="Y472" i="49"/>
  <c r="AQ538" i="46"/>
  <c r="DM464" i="49"/>
  <c r="DN464" i="49"/>
  <c r="Y464" i="49"/>
  <c r="AQ546" i="46"/>
  <c r="DM474" i="49"/>
  <c r="DN474" i="49"/>
  <c r="Y474" i="49"/>
  <c r="AQ547" i="46"/>
  <c r="DM21" i="49"/>
  <c r="DN21" i="49"/>
  <c r="Y21" i="49"/>
  <c r="AQ38" i="46"/>
  <c r="DM46" i="49"/>
  <c r="DN46" i="49"/>
  <c r="Y46" i="49"/>
  <c r="AQ58" i="46"/>
  <c r="DM10" i="49"/>
  <c r="DN10" i="49"/>
  <c r="Y10" i="49"/>
  <c r="AQ12" i="46"/>
  <c r="DM67" i="49"/>
  <c r="DN67" i="49"/>
  <c r="Y67" i="49"/>
  <c r="AQ89" i="46"/>
  <c r="DM117" i="49"/>
  <c r="DN117" i="49"/>
  <c r="Y117" i="49"/>
  <c r="AQ124" i="46"/>
  <c r="DM74" i="49"/>
  <c r="DN74" i="49"/>
  <c r="Y74" i="49"/>
  <c r="AQ102" i="46"/>
  <c r="DM116" i="49"/>
  <c r="DN116" i="49"/>
  <c r="Y116" i="49"/>
  <c r="AQ122" i="46"/>
  <c r="DM105" i="49"/>
  <c r="DN105" i="49"/>
  <c r="Y105" i="49"/>
  <c r="AQ150" i="46"/>
  <c r="DM98" i="49"/>
  <c r="DN98" i="49"/>
  <c r="Y98" i="49"/>
  <c r="AQ144" i="46"/>
  <c r="DM392" i="49"/>
  <c r="DN392" i="49"/>
  <c r="Y392" i="49"/>
  <c r="AQ437" i="46"/>
  <c r="DM64" i="49"/>
  <c r="DN64" i="49"/>
  <c r="Y64" i="49"/>
  <c r="AQ91" i="46"/>
  <c r="DM293" i="49"/>
  <c r="DN293" i="49"/>
  <c r="Y293" i="49"/>
  <c r="AQ331" i="46"/>
  <c r="DM41" i="49"/>
  <c r="DN41" i="49"/>
  <c r="Y41" i="49"/>
  <c r="AQ59" i="46"/>
  <c r="DM434" i="49"/>
  <c r="DN434" i="49"/>
  <c r="Y434" i="49"/>
  <c r="AQ504" i="46"/>
  <c r="DM11" i="49"/>
  <c r="DN11" i="49"/>
  <c r="Y11" i="49"/>
  <c r="AQ15" i="46"/>
  <c r="DM9" i="49"/>
  <c r="DN9" i="49"/>
  <c r="Y9" i="49"/>
  <c r="AQ10" i="46"/>
  <c r="DM103" i="49"/>
  <c r="DN103" i="49"/>
  <c r="Y103" i="49"/>
  <c r="AQ126" i="46"/>
  <c r="DM415" i="49"/>
  <c r="DN415" i="49"/>
  <c r="Y415" i="49"/>
  <c r="AQ474" i="46"/>
  <c r="DM7" i="49"/>
  <c r="DN7" i="49"/>
  <c r="Y7" i="49"/>
  <c r="AQ14" i="46"/>
  <c r="DM443" i="49"/>
  <c r="DN443" i="49"/>
  <c r="Y443" i="49"/>
  <c r="AQ531" i="46"/>
  <c r="DM65" i="49"/>
  <c r="DN65" i="49"/>
  <c r="Y65" i="49"/>
  <c r="AQ90" i="46"/>
  <c r="DM12" i="49"/>
  <c r="DN12" i="49"/>
  <c r="Y12" i="49"/>
  <c r="AQ13" i="46"/>
  <c r="DM298" i="49"/>
  <c r="DN298" i="49"/>
  <c r="Y298" i="49"/>
  <c r="AQ205" i="46"/>
  <c r="DM329" i="49"/>
  <c r="DN329" i="49"/>
  <c r="Y329" i="49"/>
  <c r="AQ380" i="46"/>
  <c r="DM489" i="49"/>
  <c r="DN489" i="49"/>
  <c r="Y489" i="49"/>
  <c r="AQ114" i="46"/>
  <c r="DM433" i="49"/>
  <c r="DN433" i="49"/>
  <c r="Y433" i="49"/>
  <c r="AQ506" i="46"/>
  <c r="DM68" i="49"/>
  <c r="DN68" i="49"/>
  <c r="Y68" i="49"/>
  <c r="AQ86" i="46"/>
  <c r="DM45" i="49"/>
  <c r="DN45" i="49"/>
  <c r="Y45" i="49"/>
  <c r="AQ57" i="46"/>
  <c r="DM97" i="49"/>
  <c r="DN97" i="49"/>
  <c r="Y97" i="49"/>
  <c r="AQ120" i="46"/>
  <c r="DM107" i="49"/>
  <c r="DN107" i="49"/>
  <c r="Y107" i="49"/>
  <c r="AQ131" i="46"/>
  <c r="DM16" i="49"/>
  <c r="DN16" i="49"/>
  <c r="Y16" i="49"/>
  <c r="AQ6" i="46"/>
  <c r="DM73" i="49"/>
  <c r="DN73" i="49"/>
  <c r="Y73" i="49"/>
  <c r="AQ103" i="46"/>
  <c r="DM129" i="49"/>
  <c r="DN129" i="49"/>
  <c r="Y129" i="49"/>
  <c r="AQ156" i="46"/>
  <c r="DM386" i="49"/>
  <c r="DN386" i="49"/>
  <c r="Y386" i="49"/>
  <c r="AQ458" i="46"/>
  <c r="DM160" i="49"/>
  <c r="DN160" i="49"/>
  <c r="Y160" i="49"/>
  <c r="AQ353" i="46"/>
  <c r="DM51" i="49"/>
  <c r="DN51" i="49"/>
  <c r="Y51" i="49"/>
  <c r="AQ47" i="46"/>
  <c r="DM109" i="49"/>
  <c r="DN109" i="49"/>
  <c r="Y109" i="49"/>
  <c r="AQ160" i="46"/>
  <c r="DM154" i="49"/>
  <c r="DN154" i="49"/>
  <c r="Y154" i="49"/>
  <c r="AQ235" i="46"/>
  <c r="DM44" i="49"/>
  <c r="DN44" i="49"/>
  <c r="Y44" i="49"/>
  <c r="AQ55" i="46"/>
  <c r="DM352" i="49"/>
  <c r="DN352" i="49"/>
  <c r="Y352" i="49"/>
  <c r="AQ417" i="46"/>
  <c r="DM37" i="49"/>
  <c r="DN37" i="49"/>
  <c r="Y37" i="49"/>
  <c r="AQ31" i="46"/>
  <c r="DM260" i="49"/>
  <c r="DN260" i="49"/>
  <c r="Y260" i="49"/>
  <c r="AQ291" i="46"/>
  <c r="DM383" i="49"/>
  <c r="DN383" i="49"/>
  <c r="Y383" i="49"/>
  <c r="AQ459" i="46"/>
  <c r="DM224" i="49"/>
  <c r="DN224" i="49"/>
  <c r="Y224" i="49"/>
  <c r="AQ247" i="46"/>
  <c r="DM121" i="49"/>
  <c r="DN121" i="49"/>
  <c r="Y121" i="49"/>
  <c r="AQ159" i="46"/>
  <c r="DM135" i="49"/>
  <c r="DN135" i="49"/>
  <c r="Y135" i="49"/>
  <c r="AQ251" i="46"/>
  <c r="DM84" i="49"/>
  <c r="DN84" i="49"/>
  <c r="Y84" i="49"/>
  <c r="AQ167" i="46"/>
  <c r="DM164" i="49"/>
  <c r="DN164" i="49"/>
  <c r="Y164" i="49"/>
  <c r="AQ241" i="46"/>
  <c r="DM220" i="49"/>
  <c r="DN220" i="49"/>
  <c r="Y220" i="49"/>
  <c r="AQ299" i="46"/>
  <c r="DM91" i="49"/>
  <c r="DN91" i="49"/>
  <c r="Y91" i="49"/>
  <c r="AQ132" i="46"/>
  <c r="DM252" i="49"/>
  <c r="DN252" i="49"/>
  <c r="Y252" i="49"/>
  <c r="AQ304" i="46"/>
  <c r="DM311" i="49"/>
  <c r="DN311" i="49"/>
  <c r="Y311" i="49"/>
  <c r="AQ218" i="46"/>
  <c r="DM108" i="49"/>
  <c r="DN108" i="49"/>
  <c r="Y108" i="49"/>
  <c r="AQ137" i="46"/>
  <c r="DM423" i="49"/>
  <c r="DN423" i="49"/>
  <c r="Y423" i="49"/>
  <c r="AQ486" i="46"/>
  <c r="DM314" i="49"/>
  <c r="DN314" i="49"/>
  <c r="Y314" i="49"/>
  <c r="AQ365" i="46"/>
  <c r="DM266" i="49"/>
  <c r="DN266" i="49"/>
  <c r="Y266" i="49"/>
  <c r="AQ314" i="46"/>
  <c r="DM211" i="49"/>
  <c r="DN211" i="49"/>
  <c r="Y211" i="49"/>
  <c r="AQ283" i="46"/>
  <c r="DM366" i="49"/>
  <c r="DN366" i="49"/>
  <c r="Y366" i="49"/>
  <c r="AQ433" i="46"/>
  <c r="DM261" i="49"/>
  <c r="DN261" i="49"/>
  <c r="Y261" i="49"/>
  <c r="AQ245" i="46"/>
  <c r="DM453" i="49"/>
  <c r="DN453" i="49"/>
  <c r="Y453" i="49"/>
  <c r="AQ527" i="46"/>
  <c r="DM384" i="49"/>
  <c r="DN384" i="49"/>
  <c r="Y384" i="49"/>
  <c r="AQ429" i="46"/>
  <c r="DM446" i="49"/>
  <c r="DN446" i="49"/>
  <c r="Y446" i="49"/>
  <c r="AQ528" i="46"/>
  <c r="DM140" i="49"/>
  <c r="DN140" i="49"/>
  <c r="Y140" i="49"/>
  <c r="AQ215" i="46"/>
  <c r="DM165" i="49"/>
  <c r="DN165" i="49"/>
  <c r="Y165" i="49"/>
  <c r="AQ292" i="46"/>
  <c r="DM256" i="49"/>
  <c r="DN256" i="49"/>
  <c r="Y256" i="49"/>
  <c r="AQ306" i="46"/>
  <c r="DM30" i="49"/>
  <c r="DN30" i="49"/>
  <c r="Y30" i="49"/>
  <c r="AQ26" i="46"/>
  <c r="DM243" i="49"/>
  <c r="DN243" i="49"/>
  <c r="Y243" i="49"/>
  <c r="AQ349" i="46"/>
  <c r="DM72" i="49"/>
  <c r="DN72" i="49"/>
  <c r="Y72" i="49"/>
  <c r="AQ100" i="46"/>
  <c r="DM458" i="49"/>
  <c r="DN458" i="49"/>
  <c r="Y458" i="49"/>
  <c r="AQ524" i="46"/>
  <c r="DM47" i="49"/>
  <c r="DN47" i="49"/>
  <c r="Y47" i="49"/>
  <c r="AQ60" i="46"/>
  <c r="DM57" i="49"/>
  <c r="DN57" i="49"/>
  <c r="Y57" i="49"/>
  <c r="AQ75" i="46"/>
  <c r="DM218" i="49"/>
  <c r="DN218" i="49"/>
  <c r="Y218" i="49"/>
  <c r="AQ352" i="46"/>
  <c r="DM152" i="49"/>
  <c r="DN152" i="49"/>
  <c r="Y152" i="49"/>
  <c r="AQ424" i="46"/>
  <c r="DM290" i="49"/>
  <c r="DN290" i="49"/>
  <c r="Y290" i="49"/>
  <c r="AQ281" i="46"/>
  <c r="DM157" i="49"/>
  <c r="DN157" i="49"/>
  <c r="Y157" i="49"/>
  <c r="AQ351" i="46"/>
  <c r="DM208" i="49"/>
  <c r="DN208" i="49"/>
  <c r="Y208" i="49"/>
  <c r="AQ210" i="46"/>
  <c r="DM187" i="49"/>
  <c r="DN187" i="49"/>
  <c r="Y187" i="49"/>
  <c r="AQ264" i="46"/>
  <c r="DM189" i="49"/>
  <c r="DN189" i="49"/>
  <c r="Y189" i="49"/>
  <c r="AQ330" i="46"/>
  <c r="DM5" i="49"/>
  <c r="DM225" i="49"/>
  <c r="DN225" i="49"/>
  <c r="Y225" i="49"/>
  <c r="AQ207" i="46"/>
  <c r="DM390" i="49"/>
  <c r="DN390" i="49"/>
  <c r="Y390" i="49"/>
  <c r="AQ425" i="46"/>
  <c r="DM94" i="49"/>
  <c r="DN94" i="49"/>
  <c r="Y94" i="49"/>
  <c r="AQ123" i="46"/>
  <c r="DM70" i="49"/>
  <c r="DN70" i="49"/>
  <c r="Y70" i="49"/>
  <c r="AQ92" i="46"/>
  <c r="DM52" i="49"/>
  <c r="DN52" i="49"/>
  <c r="Y52" i="49"/>
  <c r="AQ62" i="46"/>
  <c r="DM440" i="49"/>
  <c r="DN440" i="49"/>
  <c r="Y440" i="49"/>
  <c r="AQ529" i="46"/>
  <c r="DM6" i="49"/>
  <c r="DN6" i="49"/>
  <c r="Y6" i="49"/>
  <c r="AQ9" i="46"/>
  <c r="DM127" i="49"/>
  <c r="DN127" i="49"/>
  <c r="Y127" i="49"/>
  <c r="AQ161" i="46"/>
  <c r="DM326" i="49"/>
  <c r="DN326" i="49"/>
  <c r="Y326" i="49"/>
  <c r="AQ375" i="46"/>
  <c r="DM363" i="49"/>
  <c r="DN363" i="49"/>
  <c r="Y363" i="49"/>
  <c r="AQ421" i="46"/>
  <c r="DM449" i="49"/>
  <c r="DN449" i="49"/>
  <c r="Y449" i="49"/>
  <c r="AQ518" i="46"/>
  <c r="DM411" i="49"/>
  <c r="DN411" i="49"/>
  <c r="Y411" i="49"/>
  <c r="AQ481" i="46"/>
  <c r="DM350" i="49"/>
  <c r="DN350" i="49"/>
  <c r="Y350" i="49"/>
  <c r="AQ416" i="46"/>
  <c r="DM438" i="49"/>
  <c r="DN438" i="49"/>
  <c r="Y438" i="49"/>
  <c r="AQ551" i="46"/>
  <c r="DM115" i="49"/>
  <c r="DN115" i="49"/>
  <c r="Y115" i="49"/>
  <c r="AQ140" i="46"/>
  <c r="DM281" i="49"/>
  <c r="DN281" i="49"/>
  <c r="Y281" i="49"/>
  <c r="AQ310" i="46"/>
  <c r="DM81" i="49"/>
  <c r="DN81" i="49"/>
  <c r="Y81" i="49"/>
  <c r="AQ169" i="46"/>
  <c r="DM275" i="49"/>
  <c r="DN275" i="49"/>
  <c r="Y275" i="49"/>
  <c r="AQ339" i="46"/>
  <c r="DM215" i="49"/>
  <c r="DN215" i="49"/>
  <c r="Y215" i="49"/>
  <c r="AQ223" i="46"/>
  <c r="DM214" i="49"/>
  <c r="DN214" i="49"/>
  <c r="Y214" i="49"/>
  <c r="AQ277" i="46"/>
  <c r="DM348" i="49"/>
  <c r="DN348" i="49"/>
  <c r="Y348" i="49"/>
  <c r="AQ447" i="46"/>
  <c r="DM106" i="49"/>
  <c r="DN106" i="49"/>
  <c r="Y106" i="49"/>
  <c r="AQ133" i="46"/>
  <c r="DM141" i="49"/>
  <c r="DN141" i="49"/>
  <c r="Y141" i="49"/>
  <c r="AQ296" i="46"/>
  <c r="DM334" i="49"/>
  <c r="DN334" i="49"/>
  <c r="Y334" i="49"/>
  <c r="AQ386" i="46"/>
  <c r="DM435" i="49"/>
  <c r="DN435" i="49"/>
  <c r="Y435" i="49"/>
  <c r="AQ503" i="46"/>
  <c r="DM249" i="49"/>
  <c r="DN249" i="49"/>
  <c r="Y249" i="49"/>
  <c r="AQ206" i="46"/>
  <c r="DM339" i="49"/>
  <c r="DN339" i="49"/>
  <c r="Y339" i="49"/>
  <c r="AQ395" i="46"/>
  <c r="DM368" i="49"/>
  <c r="DN368" i="49"/>
  <c r="Y368" i="49"/>
  <c r="AQ455" i="46"/>
  <c r="DM361" i="49"/>
  <c r="DN361" i="49"/>
  <c r="Y361" i="49"/>
  <c r="AQ420" i="46"/>
  <c r="DM408" i="49"/>
  <c r="DN408" i="49"/>
  <c r="Y408" i="49"/>
  <c r="AQ483" i="46"/>
  <c r="DM43" i="49"/>
  <c r="DN43" i="49"/>
  <c r="Y43" i="49"/>
  <c r="AQ54" i="46"/>
  <c r="DM365" i="49"/>
  <c r="DN365" i="49"/>
  <c r="Y365" i="49"/>
  <c r="AQ457" i="46"/>
  <c r="DM24" i="49"/>
  <c r="DN24" i="49"/>
  <c r="Y24" i="49"/>
  <c r="AQ33" i="46"/>
  <c r="DM79" i="49"/>
  <c r="DN79" i="49"/>
  <c r="Y79" i="49"/>
  <c r="AQ166" i="46"/>
  <c r="DM195" i="49"/>
  <c r="DN195" i="49"/>
  <c r="Y195" i="49"/>
  <c r="AQ347" i="46"/>
  <c r="DM318" i="49"/>
  <c r="DN318" i="49"/>
  <c r="Y318" i="49"/>
  <c r="AQ363" i="46"/>
  <c r="DM484" i="49"/>
  <c r="DN484" i="49"/>
  <c r="Y484" i="49"/>
  <c r="AQ568" i="46"/>
  <c r="DM23" i="49"/>
  <c r="DN23" i="49"/>
  <c r="Y23" i="49"/>
  <c r="AQ23" i="46"/>
  <c r="DM478" i="49"/>
  <c r="DN478" i="49"/>
  <c r="Y478" i="49"/>
  <c r="AQ566" i="46"/>
  <c r="DM29" i="49"/>
  <c r="DN29" i="49"/>
  <c r="Y29" i="49"/>
  <c r="AQ25" i="46"/>
  <c r="DM120" i="49"/>
  <c r="DN120" i="49"/>
  <c r="Y120" i="49"/>
  <c r="AQ142" i="46"/>
  <c r="DM360" i="49"/>
  <c r="DN360" i="49"/>
  <c r="Y360" i="49"/>
  <c r="DM425" i="49"/>
  <c r="DN425" i="49"/>
  <c r="Y425" i="49"/>
  <c r="AQ490" i="46"/>
  <c r="DM162" i="49"/>
  <c r="DN162" i="49"/>
  <c r="Y162" i="49"/>
  <c r="AQ350" i="46"/>
  <c r="DM278" i="49"/>
  <c r="DN278" i="49"/>
  <c r="Y278" i="49"/>
  <c r="AQ345" i="46"/>
  <c r="DM191" i="49"/>
  <c r="DN191" i="49"/>
  <c r="Y191" i="49"/>
  <c r="AQ202" i="46"/>
  <c r="DM410" i="49"/>
  <c r="DN410" i="49"/>
  <c r="Y410" i="49"/>
  <c r="AQ479" i="46"/>
  <c r="DM143" i="49"/>
  <c r="DN143" i="49"/>
  <c r="Y143" i="49"/>
  <c r="AQ228" i="46"/>
  <c r="DM487" i="49"/>
  <c r="DN487" i="49"/>
  <c r="Y487" i="49"/>
  <c r="AQ571" i="46"/>
  <c r="DM158" i="49"/>
  <c r="DN158" i="49"/>
  <c r="Y158" i="49"/>
  <c r="AQ354" i="46"/>
  <c r="DM414" i="49"/>
  <c r="DN414" i="49"/>
  <c r="Y414" i="49"/>
  <c r="AQ485" i="46"/>
  <c r="DM322" i="49"/>
  <c r="DN322" i="49"/>
  <c r="Y322" i="49"/>
  <c r="AQ364" i="46"/>
  <c r="DM493" i="49"/>
  <c r="DN493" i="49"/>
  <c r="Y493" i="49"/>
  <c r="AQ111" i="46"/>
  <c r="DM131" i="49"/>
  <c r="DN131" i="49"/>
  <c r="Y131" i="49"/>
  <c r="AQ147" i="46"/>
  <c r="DM306" i="49"/>
  <c r="DN306" i="49"/>
  <c r="Y306" i="49"/>
  <c r="AQ204" i="46"/>
  <c r="DM111" i="49"/>
  <c r="DN111" i="49"/>
  <c r="Y111" i="49"/>
  <c r="AQ141" i="46"/>
  <c r="DM250" i="49"/>
  <c r="DN250" i="49"/>
  <c r="Y250" i="49"/>
  <c r="AQ208" i="46"/>
  <c r="DM310" i="49"/>
  <c r="DN310" i="49"/>
  <c r="Y310" i="49"/>
  <c r="AQ192" i="46"/>
  <c r="DM241" i="49"/>
  <c r="DN241" i="49"/>
  <c r="Y241" i="49"/>
  <c r="AQ272" i="46"/>
  <c r="DM323" i="49"/>
  <c r="DN323" i="49"/>
  <c r="Y323" i="49"/>
  <c r="AQ370" i="46"/>
  <c r="DM457" i="49"/>
  <c r="DN457" i="49"/>
  <c r="Y457" i="49"/>
  <c r="AQ516" i="46"/>
  <c r="DM95" i="49"/>
  <c r="DN95" i="49"/>
  <c r="Y95" i="49"/>
  <c r="AQ129" i="46"/>
  <c r="DM338" i="49"/>
  <c r="DN338" i="49"/>
  <c r="Y338" i="49"/>
  <c r="AQ387" i="46"/>
  <c r="DM133" i="49"/>
  <c r="DN133" i="49"/>
  <c r="Y133" i="49"/>
  <c r="AQ242" i="46"/>
  <c r="DM354" i="49"/>
  <c r="DN354" i="49"/>
  <c r="Y354" i="49"/>
  <c r="AQ411" i="46"/>
  <c r="DM197" i="49"/>
  <c r="DN197" i="49"/>
  <c r="Y197" i="49"/>
  <c r="AQ323" i="46"/>
  <c r="DM305" i="49"/>
  <c r="DN305" i="49"/>
  <c r="Y305" i="49"/>
  <c r="AQ250" i="46"/>
  <c r="DM167" i="49"/>
  <c r="DN167" i="49"/>
  <c r="Y167" i="49"/>
  <c r="AQ294" i="46"/>
  <c r="DM271" i="49"/>
  <c r="DN271" i="49"/>
  <c r="Y271" i="49"/>
  <c r="AQ313" i="46"/>
  <c r="DM319" i="49"/>
  <c r="DN319" i="49"/>
  <c r="Y319" i="49"/>
  <c r="AQ362" i="46"/>
  <c r="DM159" i="49"/>
  <c r="DN159" i="49"/>
  <c r="Y159" i="49"/>
  <c r="AQ309" i="46"/>
  <c r="DM185" i="49"/>
  <c r="DN185" i="49"/>
  <c r="Y185" i="49"/>
  <c r="AQ253" i="46"/>
  <c r="DM234" i="49"/>
  <c r="DN234" i="49"/>
  <c r="Y234" i="49"/>
  <c r="AQ178" i="46"/>
  <c r="DM451" i="49"/>
  <c r="DN451" i="49"/>
  <c r="Y451" i="49"/>
  <c r="AQ522" i="46"/>
  <c r="DM145" i="49"/>
  <c r="DN145" i="49"/>
  <c r="Y145" i="49"/>
  <c r="AQ344" i="46"/>
  <c r="DM343" i="49"/>
  <c r="DN343" i="49"/>
  <c r="Y343" i="49"/>
  <c r="AQ392" i="46"/>
  <c r="DM470" i="49"/>
  <c r="DN470" i="49"/>
  <c r="Y470" i="49"/>
  <c r="AQ548" i="46"/>
  <c r="DM209" i="49"/>
  <c r="DN209" i="49"/>
  <c r="Y209" i="49"/>
  <c r="AQ209" i="46"/>
  <c r="DM188" i="49"/>
  <c r="DN188" i="49"/>
  <c r="Y188" i="49"/>
  <c r="AQ265" i="46"/>
  <c r="DM331" i="49"/>
  <c r="DN331" i="49"/>
  <c r="Y331" i="49"/>
  <c r="AQ378" i="46"/>
  <c r="DM14" i="49"/>
  <c r="DN14" i="49"/>
  <c r="Y14" i="49"/>
  <c r="AQ16" i="46"/>
  <c r="DM219" i="49"/>
  <c r="DN219" i="49"/>
  <c r="Y219" i="49"/>
  <c r="AQ193" i="46"/>
  <c r="DM445" i="49"/>
  <c r="DN445" i="49"/>
  <c r="Y445" i="49"/>
  <c r="AQ521" i="46"/>
  <c r="DM447" i="49"/>
  <c r="DN447" i="49"/>
  <c r="Y447" i="49"/>
  <c r="AQ533" i="46"/>
  <c r="DM75" i="49"/>
  <c r="DN75" i="49"/>
  <c r="Y75" i="49"/>
  <c r="AQ101" i="46"/>
  <c r="DM77" i="49"/>
  <c r="DN77" i="49"/>
  <c r="Y77" i="49"/>
  <c r="AQ172" i="46"/>
  <c r="DM297" i="49"/>
  <c r="DN297" i="49"/>
  <c r="Y297" i="49"/>
  <c r="AQ230" i="46"/>
  <c r="DM395" i="49"/>
  <c r="DN395" i="49"/>
  <c r="Y395" i="49"/>
  <c r="AQ456" i="46"/>
  <c r="DM274" i="49"/>
  <c r="DN274" i="49"/>
  <c r="Y274" i="49"/>
  <c r="AQ234" i="46"/>
  <c r="DM132" i="49"/>
  <c r="DN132" i="49"/>
  <c r="Y132" i="49"/>
  <c r="AQ285" i="46"/>
  <c r="DM439" i="49"/>
  <c r="DN439" i="49"/>
  <c r="Y439" i="49"/>
  <c r="AQ534" i="46"/>
  <c r="DM150" i="49"/>
  <c r="DN150" i="49"/>
  <c r="Y150" i="49"/>
  <c r="AQ317" i="46"/>
  <c r="DM42" i="49"/>
  <c r="DN42" i="49"/>
  <c r="Y42" i="49"/>
  <c r="AQ56" i="46"/>
  <c r="DM69" i="49"/>
  <c r="DN69" i="49"/>
  <c r="Y69" i="49"/>
  <c r="AQ87" i="46"/>
  <c r="DM461" i="49"/>
  <c r="DN461" i="49"/>
  <c r="Y461" i="49"/>
  <c r="AQ545" i="46"/>
  <c r="DM346" i="49"/>
  <c r="DN346" i="49"/>
  <c r="Y346" i="49"/>
  <c r="AQ211" i="46"/>
  <c r="DM19" i="49"/>
  <c r="DN19" i="49"/>
  <c r="Y19" i="49"/>
  <c r="AQ35" i="46"/>
  <c r="DM183" i="49"/>
  <c r="DN183" i="49"/>
  <c r="Y183" i="49"/>
  <c r="AQ255" i="46"/>
  <c r="DM190" i="49"/>
  <c r="DN190" i="49"/>
  <c r="Y190" i="49"/>
  <c r="AQ226" i="46"/>
  <c r="DM257" i="49"/>
  <c r="DN257" i="49"/>
  <c r="Y257" i="49"/>
  <c r="AQ217" i="46"/>
  <c r="DM122" i="49"/>
  <c r="DN122" i="49"/>
  <c r="Y122" i="49"/>
  <c r="AQ155" i="46"/>
  <c r="DM99" i="49"/>
  <c r="DN99" i="49"/>
  <c r="Y99" i="49"/>
  <c r="AQ127" i="46"/>
  <c r="DM194" i="49"/>
  <c r="DN194" i="49"/>
  <c r="Y194" i="49"/>
  <c r="AQ263" i="46"/>
  <c r="DM388" i="49"/>
  <c r="DN388" i="49"/>
  <c r="Y388" i="49"/>
  <c r="AQ442" i="46"/>
  <c r="DM320" i="49"/>
  <c r="DN320" i="49"/>
  <c r="Y320" i="49"/>
  <c r="AQ361" i="46"/>
  <c r="DM184" i="49"/>
  <c r="DN184" i="49"/>
  <c r="Y184" i="49"/>
  <c r="AQ259" i="46"/>
  <c r="DM178" i="49"/>
  <c r="DN178" i="49"/>
  <c r="Y178" i="49"/>
  <c r="AQ257" i="46"/>
  <c r="DM248" i="49"/>
  <c r="DN248" i="49"/>
  <c r="Y248" i="49"/>
  <c r="AQ300" i="46"/>
  <c r="DM55" i="49"/>
  <c r="DN55" i="49"/>
  <c r="Y55" i="49"/>
  <c r="AQ78" i="46"/>
  <c r="DM349" i="49"/>
  <c r="DN349" i="49"/>
  <c r="Y349" i="49"/>
  <c r="AQ419" i="46"/>
  <c r="DM316" i="49"/>
  <c r="DN316" i="49"/>
  <c r="Y316" i="49"/>
  <c r="AQ368" i="46"/>
  <c r="DM113" i="49"/>
  <c r="DN113" i="49"/>
  <c r="Y113" i="49"/>
  <c r="AQ158" i="46"/>
  <c r="DM299" i="49"/>
  <c r="DN299" i="49"/>
  <c r="Y299" i="49"/>
  <c r="AQ346" i="46"/>
  <c r="DM174" i="49"/>
  <c r="DN174" i="49"/>
  <c r="Y174" i="49"/>
  <c r="AQ550" i="46"/>
  <c r="DM128" i="49"/>
  <c r="DN128" i="49"/>
  <c r="Y128" i="49"/>
  <c r="AQ168" i="46"/>
  <c r="DM96" i="49"/>
  <c r="DN96" i="49"/>
  <c r="Y96" i="49"/>
  <c r="AQ173" i="46"/>
  <c r="DM379" i="49"/>
  <c r="DN379" i="49"/>
  <c r="Y379" i="49"/>
  <c r="AQ445" i="46"/>
  <c r="BR124" i="49"/>
  <c r="BR322" i="49"/>
  <c r="BR384" i="49"/>
  <c r="BR276" i="49"/>
  <c r="BR252" i="49"/>
  <c r="BR106" i="49"/>
  <c r="BR78" i="49"/>
  <c r="BR316" i="49"/>
  <c r="BR453" i="49"/>
  <c r="BR402" i="49"/>
  <c r="BR409" i="49"/>
  <c r="BR86" i="49"/>
  <c r="BR365" i="49"/>
  <c r="BR71" i="49"/>
  <c r="BR485" i="49"/>
  <c r="BR39" i="49"/>
  <c r="CN500" i="49"/>
  <c r="CN2" i="49"/>
  <c r="CO6" i="49"/>
  <c r="CO500" i="49"/>
  <c r="CO2" i="49"/>
  <c r="BR112" i="49"/>
  <c r="BR75" i="49"/>
  <c r="BR281" i="49"/>
  <c r="AT158" i="49"/>
  <c r="AT303" i="49"/>
  <c r="AT126" i="49"/>
  <c r="AT83" i="49"/>
  <c r="AT435" i="49"/>
  <c r="AT149" i="49"/>
  <c r="AT485" i="49"/>
  <c r="AT38" i="49"/>
  <c r="BR487" i="49"/>
  <c r="BR32" i="49"/>
  <c r="BR318" i="49"/>
  <c r="BR89" i="49"/>
  <c r="BR456" i="49"/>
  <c r="BR92" i="49"/>
  <c r="BR210" i="49"/>
  <c r="BR323" i="49"/>
  <c r="BR53" i="49"/>
  <c r="BR444" i="49"/>
  <c r="BR214" i="49"/>
  <c r="BR307" i="49"/>
  <c r="BR315" i="49"/>
  <c r="BR215" i="49"/>
  <c r="BR219" i="49"/>
  <c r="BR266" i="49"/>
  <c r="BR76" i="49"/>
  <c r="BR165" i="49"/>
  <c r="BR125" i="49"/>
  <c r="BR97" i="49"/>
  <c r="BR21" i="49"/>
  <c r="BR254" i="49"/>
  <c r="BR363" i="49"/>
  <c r="DM373" i="49"/>
  <c r="DN373" i="49"/>
  <c r="Y373" i="49"/>
  <c r="AQ441" i="46"/>
  <c r="DM17" i="49"/>
  <c r="DN17" i="49"/>
  <c r="Y17" i="49"/>
  <c r="AQ34" i="46"/>
  <c r="DM303" i="49"/>
  <c r="DN303" i="49"/>
  <c r="Y303" i="49"/>
  <c r="AQ295" i="46"/>
  <c r="DM124" i="49"/>
  <c r="DN124" i="49"/>
  <c r="Y124" i="49"/>
  <c r="AQ162" i="46"/>
  <c r="DM427" i="49"/>
  <c r="DN427" i="49"/>
  <c r="Y427" i="49"/>
  <c r="AQ496" i="46"/>
  <c r="DM460" i="49"/>
  <c r="DN460" i="49"/>
  <c r="Y460" i="49"/>
  <c r="AQ530" i="46"/>
  <c r="DM13" i="49"/>
  <c r="DN13" i="49"/>
  <c r="Y13" i="49"/>
  <c r="AQ8" i="46"/>
  <c r="DM301" i="49"/>
  <c r="DN301" i="49"/>
  <c r="Y301" i="49"/>
  <c r="AQ302" i="46"/>
  <c r="DM454" i="49"/>
  <c r="DN454" i="49"/>
  <c r="Y454" i="49"/>
  <c r="AQ517" i="46"/>
  <c r="DM217" i="49"/>
  <c r="DN217" i="49"/>
  <c r="Y217" i="49"/>
  <c r="AQ274" i="46"/>
  <c r="DM54" i="49"/>
  <c r="DN54" i="49"/>
  <c r="Y54" i="49"/>
  <c r="AQ77" i="46"/>
  <c r="DM312" i="49"/>
  <c r="DN312" i="49"/>
  <c r="Y312" i="49"/>
  <c r="AQ278" i="46"/>
  <c r="DM455" i="49"/>
  <c r="DN455" i="49"/>
  <c r="Y455" i="49"/>
  <c r="AQ519" i="46"/>
  <c r="DM201" i="49"/>
  <c r="DN201" i="49"/>
  <c r="Y201" i="49"/>
  <c r="AQ305" i="46"/>
  <c r="DM86" i="49"/>
  <c r="DN86" i="49"/>
  <c r="Y86" i="49"/>
  <c r="AQ165" i="46"/>
  <c r="DM104" i="49"/>
  <c r="DN104" i="49"/>
  <c r="Y104" i="49"/>
  <c r="AQ136" i="46"/>
  <c r="DM233" i="49"/>
  <c r="DN233" i="49"/>
  <c r="Y233" i="49"/>
  <c r="AQ328" i="46"/>
  <c r="DM179" i="49"/>
  <c r="DN179" i="49"/>
  <c r="Y179" i="49"/>
  <c r="AQ261" i="46"/>
  <c r="DM36" i="49"/>
  <c r="DN36" i="49"/>
  <c r="Y36" i="49"/>
  <c r="AQ22" i="46"/>
  <c r="DM15" i="49"/>
  <c r="DN15" i="49"/>
  <c r="Y15" i="49"/>
  <c r="AQ7" i="46"/>
  <c r="DM83" i="49"/>
  <c r="DN83" i="49"/>
  <c r="Y83" i="49"/>
  <c r="AQ157" i="46"/>
  <c r="DM492" i="49"/>
  <c r="DN492" i="49"/>
  <c r="Y492" i="49"/>
  <c r="AQ109" i="46"/>
  <c r="DM324" i="49"/>
  <c r="DN324" i="49"/>
  <c r="Y324" i="49"/>
  <c r="AQ367" i="46"/>
  <c r="DM82" i="49"/>
  <c r="DN82" i="49"/>
  <c r="Y82" i="49"/>
  <c r="AQ164" i="46"/>
  <c r="DM148" i="49"/>
  <c r="DN148" i="49"/>
  <c r="Y148" i="49"/>
  <c r="AQ289" i="46"/>
  <c r="DM205" i="49"/>
  <c r="DN205" i="49"/>
  <c r="Y205" i="49"/>
  <c r="DM296" i="49"/>
  <c r="DN296" i="49"/>
  <c r="Y296" i="49"/>
  <c r="AQ286" i="46"/>
  <c r="DM245" i="49"/>
  <c r="DN245" i="49"/>
  <c r="Y245" i="49"/>
  <c r="AQ232" i="46"/>
  <c r="DM428" i="49"/>
  <c r="DN428" i="49"/>
  <c r="Y428" i="49"/>
  <c r="AQ494" i="46"/>
  <c r="DM8" i="49"/>
  <c r="DN8" i="49"/>
  <c r="Y8" i="49"/>
  <c r="AQ11" i="46"/>
  <c r="DM295" i="49"/>
  <c r="DN295" i="49"/>
  <c r="Y295" i="49"/>
  <c r="AQ180" i="46"/>
  <c r="DM163" i="49"/>
  <c r="DN163" i="49"/>
  <c r="Y163" i="49"/>
  <c r="AQ252" i="46"/>
  <c r="DM240" i="49"/>
  <c r="DN240" i="49"/>
  <c r="Y240" i="49"/>
  <c r="AQ238" i="46"/>
  <c r="DM110" i="49"/>
  <c r="DN110" i="49"/>
  <c r="Y110" i="49"/>
  <c r="AQ135" i="46"/>
  <c r="AT218" i="49"/>
  <c r="AT400" i="49"/>
  <c r="AT164" i="49"/>
  <c r="AT317" i="49"/>
  <c r="BR194" i="49"/>
  <c r="BR473" i="49"/>
  <c r="AT379" i="49"/>
  <c r="AT363" i="49"/>
  <c r="AT70" i="49"/>
  <c r="AT356" i="49"/>
  <c r="AT160" i="49"/>
  <c r="AT52" i="49"/>
  <c r="AT380" i="49"/>
  <c r="AT295" i="49"/>
  <c r="AT281" i="49"/>
  <c r="AT145" i="49"/>
  <c r="AT233" i="49"/>
  <c r="AT351" i="49"/>
  <c r="AT368" i="49"/>
  <c r="AT450" i="49"/>
  <c r="AT352" i="49"/>
  <c r="AT113" i="49"/>
  <c r="AT323" i="49"/>
  <c r="AT131" i="49"/>
  <c r="AT461" i="49"/>
  <c r="AT247" i="49"/>
  <c r="AT245" i="49"/>
  <c r="AT365" i="49"/>
  <c r="AT57" i="49"/>
  <c r="AT165" i="49"/>
  <c r="AT121" i="49"/>
  <c r="AT106" i="49"/>
  <c r="AT439" i="49"/>
  <c r="AT66" i="49"/>
  <c r="AT487" i="49"/>
  <c r="AT153" i="49"/>
  <c r="AT197" i="49"/>
  <c r="AT292" i="49"/>
  <c r="AT154" i="49"/>
  <c r="AT183" i="49"/>
  <c r="AT190" i="49"/>
  <c r="AT93" i="49"/>
  <c r="AT146" i="49"/>
  <c r="AT48" i="49"/>
  <c r="AT184" i="49"/>
  <c r="AT346" i="49"/>
  <c r="AT319" i="49"/>
  <c r="AT55" i="49"/>
  <c r="AT361" i="49"/>
  <c r="AT192" i="49"/>
  <c r="AT186" i="49"/>
  <c r="BR30" i="49"/>
  <c r="BR248" i="49"/>
  <c r="BR123" i="49"/>
  <c r="BR494" i="49"/>
  <c r="BR109" i="49"/>
  <c r="BR286" i="49"/>
  <c r="BR412" i="49"/>
  <c r="BR440" i="49"/>
  <c r="BR380" i="49"/>
  <c r="BR36" i="49"/>
  <c r="BR455" i="49"/>
  <c r="BR235" i="49"/>
  <c r="BR467" i="49"/>
  <c r="BR156" i="49"/>
  <c r="BR116" i="49"/>
  <c r="BR48" i="49"/>
  <c r="BR77" i="49"/>
  <c r="AT173" i="49"/>
  <c r="AT240" i="49"/>
  <c r="AT33" i="49"/>
  <c r="AT163" i="49"/>
  <c r="AT306" i="49"/>
  <c r="AT310" i="49"/>
  <c r="AT343" i="49"/>
  <c r="BR352" i="49"/>
  <c r="BR420" i="49"/>
  <c r="BR460" i="49"/>
  <c r="BR395" i="49"/>
  <c r="BR483" i="49"/>
  <c r="BR314" i="49"/>
  <c r="BR408" i="49"/>
  <c r="BR57" i="49"/>
  <c r="BR88" i="49"/>
  <c r="BR136" i="49"/>
  <c r="BR496" i="49"/>
  <c r="BR348" i="49"/>
  <c r="BR427" i="49"/>
  <c r="BR243" i="49"/>
  <c r="BR227" i="49"/>
  <c r="AT442" i="49"/>
  <c r="AT473" i="49"/>
  <c r="AT320" i="49"/>
  <c r="AT496" i="49"/>
  <c r="AT267" i="49"/>
  <c r="AT301" i="49"/>
  <c r="AT314" i="49"/>
  <c r="AT413" i="49"/>
  <c r="AT373" i="49"/>
  <c r="BR413" i="49"/>
  <c r="BR187" i="49"/>
  <c r="AR500" i="49"/>
  <c r="AR2" i="49"/>
  <c r="AS6" i="49"/>
  <c r="BR189" i="49"/>
  <c r="BR81" i="49"/>
  <c r="BR463" i="49"/>
  <c r="BR448" i="49"/>
  <c r="BR207" i="49"/>
  <c r="BR29" i="49"/>
  <c r="BR169" i="49"/>
  <c r="BR303" i="49"/>
  <c r="BR197" i="49"/>
  <c r="BR141" i="49"/>
  <c r="BR258" i="49"/>
  <c r="BR80" i="49"/>
  <c r="BR443" i="49"/>
  <c r="BR218" i="49"/>
  <c r="BR278" i="49"/>
  <c r="BR257" i="49"/>
  <c r="BR102" i="49"/>
  <c r="BR167" i="49"/>
  <c r="BR388" i="49"/>
  <c r="BR274" i="49"/>
  <c r="BR310" i="49"/>
  <c r="AT136" i="49"/>
  <c r="AT49" i="49"/>
  <c r="AT174" i="49"/>
  <c r="AT118" i="49"/>
  <c r="AT214" i="49"/>
  <c r="AT119" i="49"/>
  <c r="AT95" i="49"/>
  <c r="AT129" i="49"/>
  <c r="BR134" i="49"/>
  <c r="BR155" i="49"/>
  <c r="BR130" i="49"/>
  <c r="BR118" i="49"/>
  <c r="BR325" i="49"/>
  <c r="BR209" i="49"/>
  <c r="BR150" i="49"/>
  <c r="BR249" i="49"/>
  <c r="BR50" i="49"/>
  <c r="BR324" i="49"/>
  <c r="BR217" i="49"/>
  <c r="BR317" i="49"/>
  <c r="BR122" i="49"/>
  <c r="BR449" i="49"/>
  <c r="BR138" i="49"/>
  <c r="BR390" i="49"/>
  <c r="BR151" i="49"/>
  <c r="BR377" i="49"/>
  <c r="BR198" i="49"/>
  <c r="BR225" i="49"/>
  <c r="BR373" i="49"/>
  <c r="BR346" i="49"/>
  <c r="DM38" i="49"/>
  <c r="DN38" i="49"/>
  <c r="Y38" i="49"/>
  <c r="AQ45" i="46"/>
  <c r="DM87" i="49"/>
  <c r="DN87" i="49"/>
  <c r="Y87" i="49"/>
  <c r="AQ130" i="46"/>
  <c r="AU275" i="49"/>
  <c r="DM317" i="49"/>
  <c r="DN317" i="49"/>
  <c r="Y317" i="49"/>
  <c r="AQ372" i="46"/>
  <c r="DM199" i="49"/>
  <c r="DN199" i="49"/>
  <c r="Y199" i="49"/>
  <c r="AQ266" i="46"/>
  <c r="DM172" i="49"/>
  <c r="DN172" i="49"/>
  <c r="Y172" i="49"/>
  <c r="AQ196" i="46"/>
  <c r="DM101" i="49"/>
  <c r="DN101" i="49"/>
  <c r="Y101" i="49"/>
  <c r="AQ148" i="46"/>
  <c r="DM59" i="49"/>
  <c r="DN59" i="49"/>
  <c r="Y59" i="49"/>
  <c r="AQ71" i="46"/>
  <c r="DM308" i="49"/>
  <c r="DN308" i="49"/>
  <c r="Y308" i="49"/>
  <c r="AQ197" i="46"/>
  <c r="DM448" i="49"/>
  <c r="DN448" i="49"/>
  <c r="Y448" i="49"/>
  <c r="AQ537" i="46"/>
  <c r="DM413" i="49"/>
  <c r="DN413" i="49"/>
  <c r="Y413" i="49"/>
  <c r="AQ482" i="46"/>
  <c r="DM76" i="49"/>
  <c r="DN76" i="49"/>
  <c r="Y76" i="49"/>
  <c r="AQ298" i="46"/>
  <c r="DM28" i="49"/>
  <c r="DN28" i="49"/>
  <c r="Y28" i="49"/>
  <c r="AQ42" i="46"/>
  <c r="DM112" i="49"/>
  <c r="DN112" i="49"/>
  <c r="Y112" i="49"/>
  <c r="AQ139" i="46"/>
  <c r="DM367" i="49"/>
  <c r="DN367" i="49"/>
  <c r="Y367" i="49"/>
  <c r="AQ454" i="46"/>
  <c r="DM444" i="49"/>
  <c r="DN444" i="49"/>
  <c r="Y444" i="49"/>
  <c r="AQ523" i="46"/>
  <c r="DM156" i="49"/>
  <c r="DN156" i="49"/>
  <c r="Y156" i="49"/>
  <c r="AQ221" i="46"/>
  <c r="DM450" i="49"/>
  <c r="DN450" i="49"/>
  <c r="Y450" i="49"/>
  <c r="AQ536" i="46"/>
  <c r="DM485" i="49"/>
  <c r="DN485" i="49"/>
  <c r="Y485" i="49"/>
  <c r="AQ570" i="46"/>
  <c r="DM412" i="49"/>
  <c r="DN412" i="49"/>
  <c r="Y412" i="49"/>
  <c r="AQ473" i="46"/>
  <c r="DM196" i="49"/>
  <c r="DN196" i="49"/>
  <c r="Y196" i="49"/>
  <c r="AQ216" i="46"/>
  <c r="DM88" i="49"/>
  <c r="DN88" i="49"/>
  <c r="Y88" i="49"/>
  <c r="AQ149" i="46"/>
  <c r="DM93" i="49"/>
  <c r="DN93" i="49"/>
  <c r="Y93" i="49"/>
  <c r="AQ174" i="46"/>
  <c r="DM235" i="49"/>
  <c r="DN235" i="49"/>
  <c r="Y235" i="49"/>
  <c r="AQ236" i="46"/>
  <c r="DM400" i="49"/>
  <c r="DN400" i="49"/>
  <c r="Y400" i="49"/>
  <c r="AQ444" i="46"/>
  <c r="DM155" i="49"/>
  <c r="DN155" i="49"/>
  <c r="Y155" i="49"/>
  <c r="AQ200" i="46"/>
  <c r="DM134" i="49"/>
  <c r="DN134" i="49"/>
  <c r="Y134" i="49"/>
  <c r="AQ225" i="46"/>
  <c r="DM321" i="49"/>
  <c r="DN321" i="49"/>
  <c r="Y321" i="49"/>
  <c r="AQ373" i="46"/>
  <c r="DM437" i="49"/>
  <c r="DN437" i="49"/>
  <c r="Y437" i="49"/>
  <c r="AQ510" i="46"/>
  <c r="DM27" i="49"/>
  <c r="DN27" i="49"/>
  <c r="Y27" i="49"/>
  <c r="AQ32" i="46"/>
  <c r="DM418" i="49"/>
  <c r="DN418" i="49"/>
  <c r="Y418" i="49"/>
  <c r="AQ472" i="46"/>
  <c r="DM325" i="49"/>
  <c r="DN325" i="49"/>
  <c r="Y325" i="49"/>
  <c r="AQ369" i="46"/>
  <c r="DM78" i="49"/>
  <c r="DN78" i="49"/>
  <c r="Y78" i="49"/>
  <c r="AQ128" i="46"/>
  <c r="DM473" i="49"/>
  <c r="DN473" i="49"/>
  <c r="Y473" i="49"/>
  <c r="AQ552" i="46"/>
  <c r="DM85" i="49"/>
  <c r="DN85" i="49"/>
  <c r="Y85" i="49"/>
  <c r="AQ170" i="46"/>
  <c r="DM20" i="49"/>
  <c r="DN20" i="49"/>
  <c r="Y20" i="49"/>
  <c r="AQ37" i="46"/>
  <c r="DM372" i="49"/>
  <c r="DN372" i="49"/>
  <c r="Y372" i="49"/>
  <c r="AQ446" i="46"/>
  <c r="DM481" i="49"/>
  <c r="DN481" i="49"/>
  <c r="Y481" i="49"/>
  <c r="AQ562" i="46"/>
  <c r="DM404" i="49"/>
  <c r="DN404" i="49"/>
  <c r="Y404" i="49"/>
  <c r="AQ484" i="46"/>
  <c r="DM442" i="49"/>
  <c r="DN442" i="49"/>
  <c r="Y442" i="49"/>
  <c r="AQ535" i="46"/>
  <c r="AT51" i="49"/>
  <c r="AT58" i="49"/>
  <c r="BR301" i="49"/>
  <c r="AT194" i="49"/>
  <c r="AT337" i="49"/>
  <c r="AT235" i="49"/>
  <c r="AT89" i="49"/>
  <c r="AT468" i="49"/>
  <c r="AT454" i="49"/>
  <c r="BR164" i="49"/>
  <c r="AT166" i="49"/>
  <c r="AT21" i="49"/>
  <c r="AT72" i="49"/>
  <c r="AT447" i="49"/>
  <c r="AT59" i="49"/>
  <c r="AT26" i="49"/>
  <c r="AT138" i="49"/>
  <c r="BR486" i="49"/>
  <c r="BR190" i="49"/>
  <c r="AT159" i="49"/>
  <c r="AT290" i="49"/>
  <c r="AT455" i="49"/>
  <c r="AT265" i="49"/>
  <c r="AT311" i="49"/>
  <c r="AT451" i="49"/>
  <c r="AT321" i="49"/>
  <c r="AT438" i="49"/>
  <c r="AT225" i="49"/>
  <c r="AT444" i="49"/>
  <c r="AT77" i="49"/>
  <c r="AT274" i="49"/>
  <c r="AT360" i="49"/>
  <c r="AT349" i="49"/>
  <c r="AT243" i="49"/>
  <c r="AT482" i="49"/>
  <c r="AT142" i="49"/>
  <c r="AT133" i="49"/>
  <c r="AT377" i="49"/>
  <c r="AT278" i="49"/>
  <c r="AT162" i="49"/>
  <c r="AT395" i="49"/>
  <c r="AT219" i="49"/>
  <c r="AT383" i="49"/>
  <c r="AT261" i="49"/>
  <c r="AT124" i="49"/>
  <c r="AT88" i="49"/>
  <c r="AT299" i="49"/>
  <c r="AT428" i="49"/>
  <c r="AT123" i="49"/>
  <c r="AT217" i="49"/>
  <c r="AT84" i="49"/>
  <c r="AT8" i="49"/>
  <c r="AT390" i="49"/>
  <c r="AT104" i="49"/>
  <c r="AT170" i="49"/>
  <c r="AT29" i="49"/>
  <c r="AT7" i="49"/>
  <c r="AT20" i="49"/>
  <c r="AT42" i="49"/>
  <c r="AT198" i="49"/>
  <c r="BR331" i="49"/>
  <c r="BR354" i="49"/>
  <c r="BR446" i="49"/>
  <c r="BR253" i="49"/>
  <c r="BR430" i="49"/>
  <c r="BR233" i="49"/>
  <c r="BR83" i="49"/>
  <c r="BR87" i="49"/>
  <c r="BR425" i="49"/>
  <c r="BR386" i="49"/>
  <c r="BR22" i="49"/>
  <c r="BR490" i="49"/>
  <c r="BR300" i="49"/>
  <c r="BR268" i="49"/>
  <c r="BR260" i="49"/>
  <c r="BR385" i="49"/>
  <c r="AT484" i="49"/>
  <c r="AT384" i="49"/>
  <c r="AT437" i="49"/>
  <c r="AT130" i="49"/>
  <c r="AT348" i="49"/>
  <c r="AT125" i="49"/>
  <c r="AT134" i="49"/>
  <c r="AT408" i="49"/>
  <c r="BR393" i="49"/>
  <c r="BR111" i="49"/>
  <c r="BR465" i="49"/>
  <c r="BR31" i="49"/>
  <c r="BR426" i="49"/>
  <c r="BR143" i="49"/>
  <c r="BR445" i="49"/>
  <c r="BR186" i="49"/>
  <c r="BR349" i="49"/>
  <c r="BR224" i="49"/>
  <c r="BR474" i="49"/>
  <c r="BR378" i="49"/>
  <c r="BR55" i="49"/>
  <c r="BR90" i="49"/>
  <c r="BR466" i="49"/>
  <c r="BR478" i="49"/>
  <c r="BR135" i="49"/>
  <c r="BR99" i="49"/>
  <c r="AT441" i="49"/>
  <c r="AT152" i="49"/>
  <c r="AT117" i="49"/>
  <c r="AT16" i="49"/>
  <c r="AT13" i="49"/>
  <c r="AT271" i="49"/>
  <c r="AT15" i="49"/>
  <c r="AT114" i="49"/>
  <c r="AT102" i="49"/>
  <c r="BR196" i="49"/>
  <c r="BR101" i="49"/>
  <c r="BR152" i="49"/>
  <c r="BR26" i="49"/>
  <c r="BR162" i="49"/>
  <c r="BR357" i="49"/>
  <c r="BR438" i="49"/>
  <c r="BR220" i="49"/>
  <c r="BR191" i="49"/>
  <c r="BR91" i="49"/>
  <c r="BR240" i="49"/>
  <c r="BR42" i="49"/>
  <c r="BR51" i="49"/>
  <c r="BR166" i="49"/>
  <c r="BT6" i="49"/>
  <c r="BR63" i="49"/>
  <c r="AT342" i="49"/>
  <c r="AT140" i="49"/>
  <c r="AT14" i="49"/>
  <c r="AT189" i="49"/>
  <c r="AT357" i="49"/>
  <c r="AT87" i="49"/>
  <c r="AT489" i="49"/>
  <c r="AT453" i="49"/>
  <c r="BR184" i="49"/>
  <c r="BR250" i="49"/>
  <c r="BR173" i="49"/>
  <c r="BR201" i="49"/>
  <c r="BR85" i="49"/>
  <c r="BR267" i="49"/>
  <c r="BR108" i="49"/>
  <c r="BR351" i="49"/>
  <c r="BR468" i="49"/>
  <c r="BR404" i="49"/>
  <c r="BR356" i="49"/>
  <c r="BR242" i="49"/>
  <c r="BR160" i="49"/>
  <c r="BR120" i="49"/>
  <c r="BR472" i="49"/>
  <c r="BR326" i="49"/>
  <c r="BR451" i="49"/>
  <c r="BR140" i="49"/>
  <c r="DM102" i="49"/>
  <c r="DN102" i="49"/>
  <c r="Y102" i="49"/>
  <c r="AQ163" i="46"/>
  <c r="DM475" i="49"/>
  <c r="DN475" i="49"/>
  <c r="Y475" i="49"/>
  <c r="AQ539" i="46"/>
  <c r="DM253" i="49"/>
  <c r="DN253" i="49"/>
  <c r="Y253" i="49"/>
  <c r="AQ284" i="46"/>
  <c r="DM136" i="49"/>
  <c r="DN136" i="49"/>
  <c r="Y136" i="49"/>
  <c r="AQ342" i="46"/>
  <c r="DM130" i="49"/>
  <c r="DN130" i="49"/>
  <c r="Y130" i="49"/>
  <c r="AQ153" i="46"/>
  <c r="DM356" i="49"/>
  <c r="DN356" i="49"/>
  <c r="Y356" i="49"/>
  <c r="AQ412" i="46"/>
  <c r="DM139" i="49"/>
  <c r="DN139" i="49"/>
  <c r="Y139" i="49"/>
  <c r="AQ340" i="46"/>
  <c r="DM61" i="49"/>
  <c r="DN61" i="49"/>
  <c r="Y61" i="49"/>
  <c r="AQ72" i="46"/>
  <c r="DM138" i="49"/>
  <c r="DN138" i="49"/>
  <c r="Y138" i="49"/>
  <c r="AQ290" i="46"/>
  <c r="DM393" i="49"/>
  <c r="DN393" i="49"/>
  <c r="Y393" i="49"/>
  <c r="AQ440" i="46"/>
  <c r="DM92" i="49"/>
  <c r="DN92" i="49"/>
  <c r="Y92" i="49"/>
  <c r="AQ121" i="46"/>
  <c r="DM463" i="49"/>
  <c r="DN463" i="49"/>
  <c r="Y463" i="49"/>
  <c r="AQ553" i="46"/>
  <c r="DM142" i="49"/>
  <c r="DN142" i="49"/>
  <c r="Y142" i="49"/>
  <c r="AQ348" i="46"/>
  <c r="DM333" i="49"/>
  <c r="DN333" i="49"/>
  <c r="Y333" i="49"/>
  <c r="AQ390" i="46"/>
  <c r="DM268" i="49"/>
  <c r="DN268" i="49"/>
  <c r="Y268" i="49"/>
  <c r="AQ311" i="46"/>
  <c r="DM210" i="49"/>
  <c r="DN210" i="49"/>
  <c r="Y210" i="49"/>
  <c r="AQ332" i="46"/>
  <c r="DM382" i="49"/>
  <c r="DN382" i="49"/>
  <c r="Y382" i="49"/>
  <c r="AQ423" i="46"/>
  <c r="DM26" i="49"/>
  <c r="DN26" i="49"/>
  <c r="Y26" i="49"/>
  <c r="AQ41" i="46"/>
  <c r="DM377" i="49"/>
  <c r="DN377" i="49"/>
  <c r="Y377" i="49"/>
  <c r="AQ434" i="46"/>
  <c r="DM186" i="49"/>
  <c r="DN186" i="49"/>
  <c r="Y186" i="49"/>
  <c r="AQ258" i="46"/>
  <c r="DM498" i="49"/>
  <c r="DN498" i="49"/>
  <c r="Y498" i="49"/>
  <c r="AQ580" i="46"/>
  <c r="DM471" i="49"/>
  <c r="DN471" i="49"/>
  <c r="Y471" i="49"/>
  <c r="AQ544" i="46"/>
  <c r="DM119" i="49"/>
  <c r="DN119" i="49"/>
  <c r="Y119" i="49"/>
  <c r="AQ134" i="46"/>
  <c r="DM351" i="49"/>
  <c r="DN351" i="49"/>
  <c r="Y351" i="49"/>
  <c r="AQ413" i="46"/>
  <c r="DM490" i="49"/>
  <c r="DN490" i="49"/>
  <c r="Y490" i="49"/>
  <c r="AQ112" i="46"/>
  <c r="DM315" i="49"/>
  <c r="DN315" i="49"/>
  <c r="Y315" i="49"/>
  <c r="AQ366" i="46"/>
  <c r="DM279" i="49"/>
  <c r="DN279" i="49"/>
  <c r="Y279" i="49"/>
  <c r="AQ324" i="46"/>
  <c r="DM313" i="49"/>
  <c r="DN313" i="49"/>
  <c r="Y313" i="49"/>
  <c r="AQ371" i="46"/>
  <c r="DM118" i="49"/>
  <c r="DN118" i="49"/>
  <c r="Y118" i="49"/>
  <c r="AQ145" i="46"/>
  <c r="DM307" i="49"/>
  <c r="DN307" i="49"/>
  <c r="Y307" i="49"/>
  <c r="AQ203" i="46"/>
  <c r="DM153" i="49"/>
  <c r="DN153" i="49"/>
  <c r="Y153" i="49"/>
  <c r="AQ491" i="46"/>
  <c r="DM89" i="49"/>
  <c r="DN89" i="49"/>
  <c r="Y89" i="49"/>
  <c r="AQ143" i="46"/>
  <c r="DM192" i="49"/>
  <c r="DN192" i="49"/>
  <c r="Y192" i="49"/>
  <c r="AQ222" i="46"/>
  <c r="DM39" i="49"/>
  <c r="DN39" i="49"/>
  <c r="Y39" i="49"/>
  <c r="AQ44" i="46"/>
  <c r="DM436" i="49"/>
  <c r="DN436" i="49"/>
  <c r="Y436" i="49"/>
  <c r="AQ505" i="46"/>
  <c r="DM144" i="49"/>
  <c r="DN144" i="49"/>
  <c r="Y144" i="49"/>
  <c r="AQ227" i="46"/>
  <c r="DM358" i="49"/>
  <c r="DN358" i="49"/>
  <c r="Y358" i="49"/>
  <c r="AQ414" i="46"/>
  <c r="DM48" i="49"/>
  <c r="DN48" i="49"/>
  <c r="Y48" i="49"/>
  <c r="AQ53" i="46"/>
  <c r="CP203" i="49"/>
  <c r="CQ203" i="49"/>
  <c r="X203" i="49"/>
  <c r="CP330" i="49"/>
  <c r="CQ330" i="49"/>
  <c r="X330" i="49"/>
  <c r="AQ376" i="46"/>
  <c r="AQ377" i="46"/>
  <c r="AU203" i="49"/>
  <c r="CP204" i="49"/>
  <c r="CQ204" i="49"/>
  <c r="X204" i="49"/>
  <c r="AU204" i="49"/>
  <c r="AQ68" i="46"/>
  <c r="AQ321" i="46"/>
  <c r="AQ320" i="46"/>
  <c r="AQ319" i="46"/>
  <c r="AQ318" i="46"/>
  <c r="CP199" i="49"/>
  <c r="CQ199" i="49"/>
  <c r="X199" i="49"/>
  <c r="AP266" i="46"/>
  <c r="CP110" i="49"/>
  <c r="CQ110" i="49"/>
  <c r="X110" i="49"/>
  <c r="AP135" i="46"/>
  <c r="CP6" i="49"/>
  <c r="CQ6" i="49"/>
  <c r="X6" i="49"/>
  <c r="AP9" i="46"/>
  <c r="AU102" i="49"/>
  <c r="AU15" i="49"/>
  <c r="AU13" i="49"/>
  <c r="AU117" i="49"/>
  <c r="AU441" i="49"/>
  <c r="AU134" i="49"/>
  <c r="AU348" i="49"/>
  <c r="AU437" i="49"/>
  <c r="AU484" i="49"/>
  <c r="AU26" i="49"/>
  <c r="AU447" i="49"/>
  <c r="AU21" i="49"/>
  <c r="AQ83" i="46"/>
  <c r="AU95" i="49"/>
  <c r="AU214" i="49"/>
  <c r="AU174" i="49"/>
  <c r="AU136" i="49"/>
  <c r="AU413" i="49"/>
  <c r="AU301" i="49"/>
  <c r="AU496" i="49"/>
  <c r="AU473" i="49"/>
  <c r="AU343" i="49"/>
  <c r="AU306" i="49"/>
  <c r="AU33" i="49"/>
  <c r="AU173" i="49"/>
  <c r="AU485" i="49"/>
  <c r="AU435" i="49"/>
  <c r="AU126" i="49"/>
  <c r="AU158" i="49"/>
  <c r="AU150" i="49"/>
  <c r="AU333" i="49"/>
  <c r="AU64" i="49"/>
  <c r="AU446" i="49"/>
  <c r="AU100" i="49"/>
  <c r="AU445" i="49"/>
  <c r="AU477" i="49"/>
  <c r="AU115" i="49"/>
  <c r="AU143" i="49"/>
  <c r="AU27" i="49"/>
  <c r="AU81" i="49"/>
  <c r="AU43" i="49"/>
  <c r="AU44" i="49"/>
  <c r="AU324" i="49"/>
  <c r="AU161" i="49"/>
  <c r="AU420" i="49"/>
  <c r="AU475" i="49"/>
  <c r="AU86" i="49"/>
  <c r="AU430" i="49"/>
  <c r="AU85" i="49"/>
  <c r="AU307" i="49"/>
  <c r="AU17" i="49"/>
  <c r="AU478" i="49"/>
  <c r="AU141" i="49"/>
  <c r="AU47" i="49"/>
  <c r="AU54" i="49"/>
  <c r="AU224" i="49"/>
  <c r="AU393" i="49"/>
  <c r="AU122" i="49"/>
  <c r="AU388" i="49"/>
  <c r="AU9" i="49"/>
  <c r="AU277" i="49"/>
  <c r="AU127" i="49"/>
  <c r="AU350" i="49"/>
  <c r="AU316" i="49"/>
  <c r="AU326" i="49"/>
  <c r="AU313" i="49"/>
  <c r="AU61" i="49"/>
  <c r="AU111" i="49"/>
  <c r="AU139" i="49"/>
  <c r="AU30" i="49"/>
  <c r="AU108" i="49"/>
  <c r="AU471" i="49"/>
  <c r="AU322" i="49"/>
  <c r="AU354" i="49"/>
  <c r="AU425" i="49"/>
  <c r="AU404" i="49"/>
  <c r="AU101" i="49"/>
  <c r="AU96" i="49"/>
  <c r="AU318" i="49"/>
  <c r="AU208" i="49"/>
  <c r="AU315" i="49"/>
  <c r="AU492" i="49"/>
  <c r="AU132" i="49"/>
  <c r="AU459" i="49"/>
  <c r="AU99" i="49"/>
  <c r="AU448" i="49"/>
  <c r="AU201" i="49"/>
  <c r="AU460" i="49"/>
  <c r="AU486" i="49"/>
  <c r="CP188" i="49"/>
  <c r="CQ188" i="49"/>
  <c r="X188" i="49"/>
  <c r="AP265" i="46"/>
  <c r="CP427" i="49"/>
  <c r="CQ427" i="49"/>
  <c r="X427" i="49"/>
  <c r="AP496" i="46"/>
  <c r="CP114" i="49"/>
  <c r="CQ114" i="49"/>
  <c r="X114" i="49"/>
  <c r="AP146" i="46"/>
  <c r="CP180" i="49"/>
  <c r="CQ180" i="49"/>
  <c r="X180" i="49"/>
  <c r="AP262" i="46"/>
  <c r="CP119" i="49"/>
  <c r="CQ119" i="49"/>
  <c r="X119" i="49"/>
  <c r="AP134" i="46"/>
  <c r="CP386" i="49"/>
  <c r="CQ386" i="49"/>
  <c r="X386" i="49"/>
  <c r="AP458" i="46"/>
  <c r="CP312" i="49"/>
  <c r="CQ312" i="49"/>
  <c r="X312" i="49"/>
  <c r="AP278" i="46"/>
  <c r="CP292" i="49"/>
  <c r="CQ292" i="49"/>
  <c r="X292" i="49"/>
  <c r="AP213" i="46"/>
  <c r="CP484" i="49"/>
  <c r="CQ484" i="49"/>
  <c r="X484" i="49"/>
  <c r="AP568" i="46"/>
  <c r="CP33" i="49"/>
  <c r="CQ33" i="49"/>
  <c r="X33" i="49"/>
  <c r="AP30" i="46"/>
  <c r="CP354" i="49"/>
  <c r="CQ354" i="49"/>
  <c r="X354" i="49"/>
  <c r="AP411" i="46"/>
  <c r="CP336" i="49"/>
  <c r="CQ336" i="49"/>
  <c r="X336" i="49"/>
  <c r="AP389" i="46"/>
  <c r="CP322" i="49"/>
  <c r="CQ322" i="49"/>
  <c r="X322" i="49"/>
  <c r="AP364" i="46"/>
  <c r="CP88" i="49"/>
  <c r="CQ88" i="49"/>
  <c r="X88" i="49"/>
  <c r="AP149" i="46"/>
  <c r="CP140" i="49"/>
  <c r="CQ140" i="49"/>
  <c r="X140" i="49"/>
  <c r="AP215" i="46"/>
  <c r="CP280" i="49"/>
  <c r="CQ280" i="49"/>
  <c r="X280" i="49"/>
  <c r="AP312" i="46"/>
  <c r="CP316" i="49"/>
  <c r="CQ316" i="49"/>
  <c r="X316" i="49"/>
  <c r="AP368" i="46"/>
  <c r="CP121" i="49"/>
  <c r="CQ121" i="49"/>
  <c r="X121" i="49"/>
  <c r="AP159" i="46"/>
  <c r="CP402" i="49"/>
  <c r="CQ402" i="49"/>
  <c r="X402" i="49"/>
  <c r="AP430" i="46"/>
  <c r="CP20" i="49"/>
  <c r="CQ20" i="49"/>
  <c r="X20" i="49"/>
  <c r="AP37" i="46"/>
  <c r="CP450" i="49"/>
  <c r="CQ450" i="49"/>
  <c r="X450" i="49"/>
  <c r="AP536" i="46"/>
  <c r="CP414" i="49"/>
  <c r="CQ414" i="49"/>
  <c r="X414" i="49"/>
  <c r="AP485" i="46"/>
  <c r="CP159" i="49"/>
  <c r="CQ159" i="49"/>
  <c r="X159" i="49"/>
  <c r="AP309" i="46"/>
  <c r="CP196" i="49"/>
  <c r="CQ196" i="49"/>
  <c r="X196" i="49"/>
  <c r="AP216" i="46"/>
  <c r="CP106" i="49"/>
  <c r="CQ106" i="49"/>
  <c r="X106" i="49"/>
  <c r="AP133" i="46"/>
  <c r="CP266" i="49"/>
  <c r="CQ266" i="49"/>
  <c r="X266" i="49"/>
  <c r="AP314" i="46"/>
  <c r="CP218" i="49"/>
  <c r="CQ218" i="49"/>
  <c r="X218" i="49"/>
  <c r="AP352" i="46"/>
  <c r="CP60" i="49"/>
  <c r="CQ60" i="49"/>
  <c r="X60" i="49"/>
  <c r="AP74" i="46"/>
  <c r="CP490" i="49"/>
  <c r="CQ490" i="49"/>
  <c r="X490" i="49"/>
  <c r="AP112" i="46"/>
  <c r="CP290" i="49"/>
  <c r="CQ290" i="49"/>
  <c r="X290" i="49"/>
  <c r="AP281" i="46"/>
  <c r="CP234" i="49"/>
  <c r="CQ234" i="49"/>
  <c r="X234" i="49"/>
  <c r="AP178" i="46"/>
  <c r="CP471" i="49"/>
  <c r="CQ471" i="49"/>
  <c r="X471" i="49"/>
  <c r="AP544" i="46"/>
  <c r="CP315" i="49"/>
  <c r="CQ315" i="49"/>
  <c r="X315" i="49"/>
  <c r="AP366" i="46"/>
  <c r="CP271" i="49"/>
  <c r="CQ271" i="49"/>
  <c r="X271" i="49"/>
  <c r="AP313" i="46"/>
  <c r="CP139" i="49"/>
  <c r="CQ139" i="49"/>
  <c r="X139" i="49"/>
  <c r="AP340" i="46"/>
  <c r="CP219" i="49"/>
  <c r="CQ219" i="49"/>
  <c r="X219" i="49"/>
  <c r="AP193" i="46"/>
  <c r="CP423" i="49"/>
  <c r="CQ423" i="49"/>
  <c r="X423" i="49"/>
  <c r="AP486" i="46"/>
  <c r="CP21" i="49"/>
  <c r="CQ21" i="49"/>
  <c r="X21" i="49"/>
  <c r="AP38" i="46"/>
  <c r="CP361" i="49"/>
  <c r="CQ361" i="49"/>
  <c r="X361" i="49"/>
  <c r="AP420" i="46"/>
  <c r="CP76" i="49"/>
  <c r="CQ76" i="49"/>
  <c r="X76" i="49"/>
  <c r="AP298" i="46"/>
  <c r="CP118" i="49"/>
  <c r="CQ118" i="49"/>
  <c r="X118" i="49"/>
  <c r="AP145" i="46"/>
  <c r="CP187" i="49"/>
  <c r="CQ187" i="49"/>
  <c r="X187" i="49"/>
  <c r="AP264" i="46"/>
  <c r="CP351" i="49"/>
  <c r="CQ351" i="49"/>
  <c r="X351" i="49"/>
  <c r="AP413" i="46"/>
  <c r="CP475" i="49"/>
  <c r="CQ475" i="49"/>
  <c r="X475" i="49"/>
  <c r="AP539" i="46"/>
  <c r="CP265" i="49"/>
  <c r="CQ265" i="49"/>
  <c r="X265" i="49"/>
  <c r="AP244" i="46"/>
  <c r="CP267" i="49"/>
  <c r="CQ267" i="49"/>
  <c r="X267" i="49"/>
  <c r="AP301" i="46"/>
  <c r="CP227" i="49"/>
  <c r="CQ227" i="49"/>
  <c r="X227" i="49"/>
  <c r="AP338" i="46"/>
  <c r="CP325" i="49"/>
  <c r="CQ325" i="49"/>
  <c r="X325" i="49"/>
  <c r="AP369" i="46"/>
  <c r="CP384" i="49"/>
  <c r="CQ384" i="49"/>
  <c r="X384" i="49"/>
  <c r="AP429" i="46"/>
  <c r="CP93" i="49"/>
  <c r="CQ93" i="49"/>
  <c r="X93" i="49"/>
  <c r="AP174" i="46"/>
  <c r="CP299" i="49"/>
  <c r="CQ299" i="49"/>
  <c r="X299" i="49"/>
  <c r="AP346" i="46"/>
  <c r="CP301" i="49"/>
  <c r="CQ301" i="49"/>
  <c r="X301" i="49"/>
  <c r="AP302" i="46"/>
  <c r="CP260" i="49"/>
  <c r="CQ260" i="49"/>
  <c r="X260" i="49"/>
  <c r="AP291" i="46"/>
  <c r="CP94" i="49"/>
  <c r="CQ94" i="49"/>
  <c r="X94" i="49"/>
  <c r="AP123" i="46"/>
  <c r="CP178" i="49"/>
  <c r="CQ178" i="49"/>
  <c r="X178" i="49"/>
  <c r="AP257" i="46"/>
  <c r="AU453" i="49"/>
  <c r="AU87" i="49"/>
  <c r="AU189" i="49"/>
  <c r="AU140" i="49"/>
  <c r="AU198" i="49"/>
  <c r="AU20" i="49"/>
  <c r="AU29" i="49"/>
  <c r="AU104" i="49"/>
  <c r="AU8" i="49"/>
  <c r="AU217" i="49"/>
  <c r="AU428" i="49"/>
  <c r="AU88" i="49"/>
  <c r="AU261" i="49"/>
  <c r="AU219" i="49"/>
  <c r="AU162" i="49"/>
  <c r="AU377" i="49"/>
  <c r="AU142" i="49"/>
  <c r="AU243" i="49"/>
  <c r="AU360" i="49"/>
  <c r="AU77" i="49"/>
  <c r="AU225" i="49"/>
  <c r="AU321" i="49"/>
  <c r="AU311" i="49"/>
  <c r="AU455" i="49"/>
  <c r="AU159" i="49"/>
  <c r="AU468" i="49"/>
  <c r="AU235" i="49"/>
  <c r="AU194" i="49"/>
  <c r="AU58" i="49"/>
  <c r="AU186" i="49"/>
  <c r="AU361" i="49"/>
  <c r="AU319" i="49"/>
  <c r="AU184" i="49"/>
  <c r="AU146" i="49"/>
  <c r="AU190" i="49"/>
  <c r="AU154" i="49"/>
  <c r="AU197" i="49"/>
  <c r="AU487" i="49"/>
  <c r="AU439" i="49"/>
  <c r="AU121" i="49"/>
  <c r="AU57" i="49"/>
  <c r="AU245" i="49"/>
  <c r="AU461" i="49"/>
  <c r="AU323" i="49"/>
  <c r="AU352" i="49"/>
  <c r="AU368" i="49"/>
  <c r="AU233" i="49"/>
  <c r="AU281" i="49"/>
  <c r="AU380" i="49"/>
  <c r="AU160" i="49"/>
  <c r="AU70" i="49"/>
  <c r="AU379" i="49"/>
  <c r="AU164" i="49"/>
  <c r="AU218" i="49"/>
  <c r="AQ50" i="46"/>
  <c r="CP347" i="49"/>
  <c r="CQ347" i="49"/>
  <c r="X347" i="49"/>
  <c r="AP400" i="46"/>
  <c r="CP175" i="49"/>
  <c r="CQ175" i="49"/>
  <c r="X175" i="49"/>
  <c r="AP186" i="46"/>
  <c r="CP238" i="49"/>
  <c r="CQ238" i="49"/>
  <c r="X238" i="49"/>
  <c r="AP243" i="46"/>
  <c r="CP391" i="49"/>
  <c r="CQ391" i="49"/>
  <c r="X391" i="49"/>
  <c r="AP460" i="46"/>
  <c r="CP285" i="49"/>
  <c r="CQ285" i="49"/>
  <c r="X285" i="49"/>
  <c r="AP276" i="46"/>
  <c r="CP246" i="49"/>
  <c r="CQ246" i="49"/>
  <c r="X246" i="49"/>
  <c r="AP268" i="46"/>
  <c r="CP387" i="49"/>
  <c r="CQ387" i="49"/>
  <c r="X387" i="49"/>
  <c r="AP439" i="46"/>
  <c r="CP291" i="49"/>
  <c r="CQ291" i="49"/>
  <c r="X291" i="49"/>
  <c r="AP188" i="46"/>
  <c r="CP403" i="49"/>
  <c r="CQ403" i="49"/>
  <c r="X403" i="49"/>
  <c r="AP497" i="46"/>
  <c r="CP181" i="49"/>
  <c r="CQ181" i="49"/>
  <c r="X181" i="49"/>
  <c r="AP260" i="46"/>
  <c r="CP229" i="49"/>
  <c r="CQ229" i="49"/>
  <c r="X229" i="49"/>
  <c r="AP329" i="46"/>
  <c r="CP264" i="49"/>
  <c r="CQ264" i="49"/>
  <c r="X264" i="49"/>
  <c r="AP177" i="46"/>
  <c r="CP53" i="49"/>
  <c r="CQ53" i="49"/>
  <c r="X53" i="49"/>
  <c r="AP63" i="46"/>
  <c r="CP41" i="49"/>
  <c r="CQ41" i="49"/>
  <c r="X41" i="49"/>
  <c r="AP59" i="46"/>
  <c r="CP80" i="49"/>
  <c r="CQ80" i="49"/>
  <c r="X80" i="49"/>
  <c r="AP125" i="46"/>
  <c r="CP251" i="49"/>
  <c r="CQ251" i="49"/>
  <c r="X251" i="49"/>
  <c r="AP267" i="46"/>
  <c r="CP288" i="49"/>
  <c r="CQ288" i="49"/>
  <c r="X288" i="49"/>
  <c r="AP280" i="46"/>
  <c r="CP255" i="49"/>
  <c r="CQ255" i="49"/>
  <c r="X255" i="49"/>
  <c r="AP279" i="46"/>
  <c r="CP294" i="49"/>
  <c r="CQ294" i="49"/>
  <c r="X294" i="49"/>
  <c r="AP315" i="46"/>
  <c r="CP147" i="49"/>
  <c r="CQ147" i="49"/>
  <c r="X147" i="49"/>
  <c r="AP334" i="46"/>
  <c r="CP237" i="49"/>
  <c r="CQ237" i="49"/>
  <c r="X237" i="49"/>
  <c r="AP249" i="46"/>
  <c r="CP375" i="49"/>
  <c r="CQ375" i="49"/>
  <c r="X375" i="49"/>
  <c r="AP436" i="46"/>
  <c r="CP244" i="49"/>
  <c r="CQ244" i="49"/>
  <c r="X244" i="49"/>
  <c r="AP326" i="46"/>
  <c r="CP177" i="49"/>
  <c r="CQ177" i="49"/>
  <c r="X177" i="49"/>
  <c r="AP256" i="46"/>
  <c r="CP236" i="49"/>
  <c r="CQ236" i="49"/>
  <c r="X236" i="49"/>
  <c r="AP191" i="46"/>
  <c r="CP309" i="49"/>
  <c r="CQ309" i="49"/>
  <c r="X309" i="49"/>
  <c r="AP337" i="46"/>
  <c r="CP276" i="49"/>
  <c r="CQ276" i="49"/>
  <c r="X276" i="49"/>
  <c r="AP269" i="46"/>
  <c r="CP417" i="49"/>
  <c r="CQ417" i="49"/>
  <c r="X417" i="49"/>
  <c r="AP477" i="46"/>
  <c r="CP344" i="49"/>
  <c r="CQ344" i="49"/>
  <c r="X344" i="49"/>
  <c r="AP398" i="46"/>
  <c r="CP176" i="49"/>
  <c r="CQ176" i="49"/>
  <c r="X176" i="49"/>
  <c r="AP492" i="46"/>
  <c r="CP213" i="49"/>
  <c r="CQ213" i="49"/>
  <c r="X213" i="49"/>
  <c r="AP275" i="46"/>
  <c r="CP429" i="49"/>
  <c r="CQ429" i="49"/>
  <c r="X429" i="49"/>
  <c r="AP493" i="46"/>
  <c r="CP46" i="49"/>
  <c r="CQ46" i="49"/>
  <c r="X46" i="49"/>
  <c r="AP58" i="46"/>
  <c r="CP381" i="49"/>
  <c r="CQ381" i="49"/>
  <c r="X381" i="49"/>
  <c r="AP450" i="46"/>
  <c r="CP332" i="49"/>
  <c r="CQ332" i="49"/>
  <c r="X332" i="49"/>
  <c r="CP222" i="49"/>
  <c r="CQ222" i="49"/>
  <c r="X222" i="49"/>
  <c r="AP176" i="46"/>
  <c r="CP223" i="49"/>
  <c r="CQ223" i="49"/>
  <c r="X223" i="49"/>
  <c r="AP246" i="46"/>
  <c r="CP353" i="49"/>
  <c r="CQ353" i="49"/>
  <c r="X353" i="49"/>
  <c r="AP418" i="46"/>
  <c r="CP302" i="49"/>
  <c r="CQ302" i="49"/>
  <c r="X302" i="49"/>
  <c r="AP303" i="46"/>
  <c r="CP396" i="49"/>
  <c r="CQ396" i="49"/>
  <c r="X396" i="49"/>
  <c r="AP427" i="46"/>
  <c r="CP287" i="49"/>
  <c r="CQ287" i="49"/>
  <c r="X287" i="49"/>
  <c r="AP184" i="46"/>
  <c r="CP137" i="49"/>
  <c r="CQ137" i="49"/>
  <c r="X137" i="49"/>
  <c r="AP201" i="46"/>
  <c r="CP289" i="49"/>
  <c r="CQ289" i="49"/>
  <c r="X289" i="49"/>
  <c r="AP187" i="46"/>
  <c r="CP259" i="49"/>
  <c r="CQ259" i="49"/>
  <c r="X259" i="49"/>
  <c r="AP322" i="46"/>
  <c r="CP488" i="49"/>
  <c r="CQ488" i="49"/>
  <c r="X488" i="49"/>
  <c r="AP569" i="46"/>
  <c r="CP221" i="49"/>
  <c r="CQ221" i="49"/>
  <c r="X221" i="49"/>
  <c r="AP335" i="46"/>
  <c r="CP254" i="49"/>
  <c r="CQ254" i="49"/>
  <c r="X254" i="49"/>
  <c r="AP307" i="46"/>
  <c r="CP297" i="49"/>
  <c r="CQ297" i="49"/>
  <c r="X297" i="49"/>
  <c r="AP230" i="46"/>
  <c r="CP168" i="49"/>
  <c r="CQ168" i="49"/>
  <c r="X168" i="49"/>
  <c r="AP287" i="46"/>
  <c r="CP193" i="49"/>
  <c r="CQ193" i="49"/>
  <c r="X193" i="49"/>
  <c r="AP199" i="46"/>
  <c r="CP283" i="49"/>
  <c r="CQ283" i="49"/>
  <c r="X283" i="49"/>
  <c r="AP182" i="46"/>
  <c r="CP62" i="49"/>
  <c r="CQ62" i="49"/>
  <c r="X62" i="49"/>
  <c r="AP80" i="46"/>
  <c r="CP212" i="49"/>
  <c r="CQ212" i="49"/>
  <c r="X212" i="49"/>
  <c r="AP273" i="46"/>
  <c r="CP40" i="49"/>
  <c r="CQ40" i="49"/>
  <c r="X40" i="49"/>
  <c r="AP46" i="46"/>
  <c r="CP466" i="49"/>
  <c r="CQ466" i="49"/>
  <c r="X466" i="49"/>
  <c r="AP543" i="46"/>
  <c r="CP464" i="49"/>
  <c r="CQ464" i="49"/>
  <c r="X464" i="49"/>
  <c r="AP546" i="46"/>
  <c r="CP472" i="49"/>
  <c r="CQ472" i="49"/>
  <c r="X472" i="49"/>
  <c r="AP538" i="46"/>
  <c r="CP355" i="49"/>
  <c r="CQ355" i="49"/>
  <c r="X355" i="49"/>
  <c r="AP407" i="46"/>
  <c r="CP432" i="49"/>
  <c r="CQ432" i="49"/>
  <c r="X432" i="49"/>
  <c r="AP507" i="46"/>
  <c r="CP411" i="49"/>
  <c r="CQ411" i="49"/>
  <c r="X411" i="49"/>
  <c r="AP481" i="46"/>
  <c r="CP371" i="49"/>
  <c r="CQ371" i="49"/>
  <c r="X371" i="49"/>
  <c r="AP451" i="46"/>
  <c r="CP286" i="49"/>
  <c r="CQ286" i="49"/>
  <c r="X286" i="49"/>
  <c r="AP181" i="46"/>
  <c r="CP421" i="49"/>
  <c r="CQ421" i="49"/>
  <c r="X421" i="49"/>
  <c r="AP470" i="46"/>
  <c r="CP63" i="49"/>
  <c r="CQ63" i="49"/>
  <c r="X63" i="49"/>
  <c r="AP94" i="46"/>
  <c r="CP415" i="49"/>
  <c r="CQ415" i="49"/>
  <c r="X415" i="49"/>
  <c r="AP474" i="46"/>
  <c r="CP416" i="49"/>
  <c r="CQ416" i="49"/>
  <c r="X416" i="49"/>
  <c r="AP476" i="46"/>
  <c r="CP376" i="49"/>
  <c r="CQ376" i="49"/>
  <c r="X376" i="49"/>
  <c r="AP462" i="46"/>
  <c r="CP328" i="49"/>
  <c r="CQ328" i="49"/>
  <c r="X328" i="49"/>
  <c r="AP374" i="46"/>
  <c r="CP231" i="49"/>
  <c r="CQ231" i="49"/>
  <c r="X231" i="49"/>
  <c r="AP189" i="46"/>
  <c r="CP304" i="49"/>
  <c r="CQ304" i="49"/>
  <c r="X304" i="49"/>
  <c r="AP185" i="46"/>
  <c r="CP399" i="49"/>
  <c r="CQ399" i="49"/>
  <c r="X399" i="49"/>
  <c r="AP426" i="46"/>
  <c r="CP345" i="49"/>
  <c r="CQ345" i="49"/>
  <c r="X345" i="49"/>
  <c r="AP399" i="46"/>
  <c r="CP469" i="49"/>
  <c r="CQ469" i="49"/>
  <c r="X469" i="49"/>
  <c r="AP549" i="46"/>
  <c r="CP216" i="49"/>
  <c r="CQ216" i="49"/>
  <c r="X216" i="49"/>
  <c r="AP336" i="46"/>
  <c r="CP239" i="49"/>
  <c r="CQ239" i="49"/>
  <c r="X239" i="49"/>
  <c r="CP182" i="49"/>
  <c r="CQ182" i="49"/>
  <c r="X182" i="49"/>
  <c r="AP214" i="46"/>
  <c r="CP405" i="49"/>
  <c r="CQ405" i="49"/>
  <c r="X405" i="49"/>
  <c r="AP471" i="46"/>
  <c r="CP71" i="49"/>
  <c r="CQ71" i="49"/>
  <c r="X71" i="49"/>
  <c r="AP93" i="46"/>
  <c r="CP418" i="49"/>
  <c r="CQ418" i="49"/>
  <c r="X418" i="49"/>
  <c r="AP472" i="46"/>
  <c r="CP206" i="49"/>
  <c r="CQ206" i="49"/>
  <c r="X206" i="49"/>
  <c r="AP325" i="46"/>
  <c r="CP258" i="49"/>
  <c r="CQ258" i="49"/>
  <c r="X258" i="49"/>
  <c r="AP248" i="46"/>
  <c r="CP426" i="49"/>
  <c r="CQ426" i="49"/>
  <c r="X426" i="49"/>
  <c r="AP489" i="46"/>
  <c r="CP398" i="49"/>
  <c r="CQ398" i="49"/>
  <c r="X398" i="49"/>
  <c r="AP432" i="46"/>
  <c r="CP272" i="49"/>
  <c r="CQ272" i="49"/>
  <c r="X272" i="49"/>
  <c r="AP333" i="46"/>
  <c r="CP370" i="49"/>
  <c r="CQ370" i="49"/>
  <c r="X370" i="49"/>
  <c r="AP435" i="46"/>
  <c r="CP257" i="49"/>
  <c r="CQ257" i="49"/>
  <c r="X257" i="49"/>
  <c r="AP217" i="46"/>
  <c r="CP230" i="49"/>
  <c r="CQ230" i="49"/>
  <c r="X230" i="49"/>
  <c r="AP240" i="46"/>
  <c r="CP407" i="49"/>
  <c r="CQ407" i="49"/>
  <c r="X407" i="49"/>
  <c r="AP469" i="46"/>
  <c r="CP269" i="49"/>
  <c r="CQ269" i="49"/>
  <c r="X269" i="49"/>
  <c r="AP212" i="46"/>
  <c r="CP284" i="49"/>
  <c r="CQ284" i="49"/>
  <c r="X284" i="49"/>
  <c r="AP183" i="46"/>
  <c r="CP228" i="49"/>
  <c r="CQ228" i="49"/>
  <c r="X228" i="49"/>
  <c r="AP297" i="46"/>
  <c r="CP480" i="49"/>
  <c r="CQ480" i="49"/>
  <c r="X480" i="49"/>
  <c r="AP561" i="46"/>
  <c r="CP456" i="49"/>
  <c r="CQ456" i="49"/>
  <c r="X456" i="49"/>
  <c r="AP525" i="46"/>
  <c r="CP452" i="49"/>
  <c r="CQ452" i="49"/>
  <c r="X452" i="49"/>
  <c r="AP520" i="46"/>
  <c r="CP34" i="49"/>
  <c r="CQ34" i="49"/>
  <c r="X34" i="49"/>
  <c r="AP29" i="46"/>
  <c r="CP459" i="49"/>
  <c r="CQ459" i="49"/>
  <c r="X459" i="49"/>
  <c r="AP532" i="46"/>
  <c r="CP479" i="49"/>
  <c r="CQ479" i="49"/>
  <c r="X479" i="49"/>
  <c r="AP560" i="46"/>
  <c r="CP151" i="49"/>
  <c r="CQ151" i="49"/>
  <c r="X151" i="49"/>
  <c r="AP270" i="46"/>
  <c r="CP476" i="49"/>
  <c r="CQ476" i="49"/>
  <c r="X476" i="49"/>
  <c r="AP567" i="46"/>
  <c r="CP171" i="49"/>
  <c r="CQ171" i="49"/>
  <c r="X171" i="49"/>
  <c r="AP190" i="46"/>
  <c r="CP374" i="49"/>
  <c r="CQ374" i="49"/>
  <c r="X374" i="49"/>
  <c r="AP448" i="46"/>
  <c r="CP202" i="49"/>
  <c r="CQ202" i="49"/>
  <c r="X202" i="49"/>
  <c r="AP237" i="46"/>
  <c r="CP232" i="49"/>
  <c r="CQ232" i="49"/>
  <c r="X232" i="49"/>
  <c r="AP288" i="46"/>
  <c r="CP362" i="49"/>
  <c r="CQ362" i="49"/>
  <c r="X362" i="49"/>
  <c r="AP408" i="46"/>
  <c r="CP270" i="49"/>
  <c r="CQ270" i="49"/>
  <c r="X270" i="49"/>
  <c r="AP239" i="46"/>
  <c r="CP359" i="49"/>
  <c r="CQ359" i="49"/>
  <c r="X359" i="49"/>
  <c r="AP410" i="46"/>
  <c r="CP364" i="49"/>
  <c r="CQ364" i="49"/>
  <c r="X364" i="49"/>
  <c r="AP409" i="46"/>
  <c r="CP369" i="49"/>
  <c r="CQ369" i="49"/>
  <c r="X369" i="49"/>
  <c r="AP431" i="46"/>
  <c r="CP397" i="49"/>
  <c r="CQ397" i="49"/>
  <c r="X397" i="49"/>
  <c r="AP438" i="46"/>
  <c r="CP263" i="49"/>
  <c r="CQ263" i="49"/>
  <c r="X263" i="49"/>
  <c r="AP179" i="46"/>
  <c r="CP406" i="49"/>
  <c r="CQ406" i="49"/>
  <c r="X406" i="49"/>
  <c r="AP475" i="46"/>
  <c r="CP389" i="49"/>
  <c r="CQ389" i="49"/>
  <c r="X389" i="49"/>
  <c r="AP452" i="46"/>
  <c r="CP401" i="49"/>
  <c r="CQ401" i="49"/>
  <c r="X401" i="49"/>
  <c r="AP449" i="46"/>
  <c r="CP424" i="49"/>
  <c r="CQ424" i="49"/>
  <c r="X424" i="49"/>
  <c r="AP487" i="46"/>
  <c r="CP422" i="49"/>
  <c r="CQ422" i="49"/>
  <c r="X422" i="49"/>
  <c r="AP488" i="46"/>
  <c r="CP22" i="49"/>
  <c r="CQ22" i="49"/>
  <c r="X22" i="49"/>
  <c r="AP24" i="46"/>
  <c r="CP465" i="49"/>
  <c r="CQ465" i="49"/>
  <c r="X465" i="49"/>
  <c r="AP541" i="46"/>
  <c r="CP474" i="49"/>
  <c r="CQ474" i="49"/>
  <c r="X474" i="49"/>
  <c r="AP547" i="46"/>
  <c r="CP440" i="49"/>
  <c r="CQ440" i="49"/>
  <c r="X440" i="49"/>
  <c r="AP529" i="46"/>
  <c r="CP462" i="49"/>
  <c r="CQ462" i="49"/>
  <c r="X462" i="49"/>
  <c r="AP542" i="46"/>
  <c r="CP463" i="49"/>
  <c r="CQ463" i="49"/>
  <c r="X463" i="49"/>
  <c r="AP553" i="46"/>
  <c r="CP443" i="49"/>
  <c r="CQ443" i="49"/>
  <c r="X443" i="49"/>
  <c r="AP531" i="46"/>
  <c r="CP31" i="49"/>
  <c r="CQ31" i="49"/>
  <c r="X31" i="49"/>
  <c r="AP39" i="46"/>
  <c r="CP24" i="49"/>
  <c r="CQ24" i="49"/>
  <c r="X24" i="49"/>
  <c r="AP33" i="46"/>
  <c r="CP35" i="49"/>
  <c r="CQ35" i="49"/>
  <c r="X35" i="49"/>
  <c r="AP28" i="46"/>
  <c r="CP195" i="49"/>
  <c r="CQ195" i="49"/>
  <c r="X195" i="49"/>
  <c r="AP347" i="46"/>
  <c r="CP5" i="49"/>
  <c r="CP25" i="49"/>
  <c r="CQ25" i="49"/>
  <c r="X25" i="49"/>
  <c r="AP40" i="46"/>
  <c r="CP11" i="49"/>
  <c r="CQ11" i="49"/>
  <c r="X11" i="49"/>
  <c r="AP15" i="46"/>
  <c r="CP98" i="49"/>
  <c r="CQ98" i="49"/>
  <c r="X98" i="49"/>
  <c r="AP144" i="46"/>
  <c r="CP256" i="49"/>
  <c r="CQ256" i="49"/>
  <c r="X256" i="49"/>
  <c r="AP306" i="46"/>
  <c r="CP45" i="49"/>
  <c r="CQ45" i="49"/>
  <c r="X45" i="49"/>
  <c r="AP57" i="46"/>
  <c r="CP19" i="49"/>
  <c r="CQ19" i="49"/>
  <c r="X19" i="49"/>
  <c r="AP35" i="46"/>
  <c r="CP433" i="49"/>
  <c r="CQ433" i="49"/>
  <c r="X433" i="49"/>
  <c r="AP506" i="46"/>
  <c r="CP420" i="49"/>
  <c r="CQ420" i="49"/>
  <c r="X420" i="49"/>
  <c r="AP478" i="46"/>
  <c r="CP36" i="49"/>
  <c r="CQ36" i="49"/>
  <c r="X36" i="49"/>
  <c r="AP22" i="46"/>
  <c r="CP434" i="49"/>
  <c r="CQ434" i="49"/>
  <c r="X434" i="49"/>
  <c r="AP504" i="46"/>
  <c r="CP10" i="49"/>
  <c r="CQ10" i="49"/>
  <c r="X10" i="49"/>
  <c r="AP12" i="46"/>
  <c r="CP68" i="49"/>
  <c r="CQ68" i="49"/>
  <c r="X68" i="49"/>
  <c r="AP86" i="46"/>
  <c r="CP12" i="49"/>
  <c r="CQ12" i="49"/>
  <c r="X12" i="49"/>
  <c r="AP13" i="46"/>
  <c r="CP107" i="49"/>
  <c r="CQ107" i="49"/>
  <c r="X107" i="49"/>
  <c r="AP131" i="46"/>
  <c r="CP116" i="49"/>
  <c r="CQ116" i="49"/>
  <c r="X116" i="49"/>
  <c r="AP122" i="46"/>
  <c r="CP74" i="49"/>
  <c r="CQ74" i="49"/>
  <c r="X74" i="49"/>
  <c r="AP102" i="46"/>
  <c r="CP23" i="49"/>
  <c r="CQ23" i="49"/>
  <c r="X23" i="49"/>
  <c r="AP23" i="46"/>
  <c r="CP32" i="49"/>
  <c r="CQ32" i="49"/>
  <c r="X32" i="49"/>
  <c r="AP27" i="46"/>
  <c r="CP97" i="49"/>
  <c r="CQ97" i="49"/>
  <c r="X97" i="49"/>
  <c r="AP120" i="46"/>
  <c r="CP37" i="49"/>
  <c r="CQ37" i="49"/>
  <c r="X37" i="49"/>
  <c r="AP31" i="46"/>
  <c r="CP73" i="49"/>
  <c r="CQ73" i="49"/>
  <c r="X73" i="49"/>
  <c r="AP103" i="46"/>
  <c r="CP458" i="49"/>
  <c r="CQ458" i="49"/>
  <c r="X458" i="49"/>
  <c r="AP524" i="46"/>
  <c r="CP67" i="49"/>
  <c r="CQ67" i="49"/>
  <c r="X67" i="49"/>
  <c r="AP89" i="46"/>
  <c r="CP392" i="49"/>
  <c r="CQ392" i="49"/>
  <c r="X392" i="49"/>
  <c r="AP437" i="46"/>
  <c r="CP103" i="49"/>
  <c r="CQ103" i="49"/>
  <c r="X103" i="49"/>
  <c r="AP126" i="46"/>
  <c r="CP18" i="49"/>
  <c r="CQ18" i="49"/>
  <c r="X18" i="49"/>
  <c r="AP36" i="46"/>
  <c r="CP65" i="49"/>
  <c r="CQ65" i="49"/>
  <c r="X65" i="49"/>
  <c r="AP90" i="46"/>
  <c r="CP214" i="49"/>
  <c r="CQ214" i="49"/>
  <c r="X214" i="49"/>
  <c r="AP277" i="46"/>
  <c r="CP43" i="49"/>
  <c r="CQ43" i="49"/>
  <c r="X43" i="49"/>
  <c r="AP54" i="46"/>
  <c r="CP323" i="49"/>
  <c r="CQ323" i="49"/>
  <c r="X323" i="49"/>
  <c r="AP370" i="46"/>
  <c r="CP494" i="49"/>
  <c r="CQ494" i="49"/>
  <c r="X494" i="49"/>
  <c r="AP113" i="46"/>
  <c r="CP112" i="49"/>
  <c r="CQ112" i="49"/>
  <c r="X112" i="49"/>
  <c r="AP139" i="46"/>
  <c r="CP455" i="49"/>
  <c r="CQ455" i="49"/>
  <c r="X455" i="49"/>
  <c r="AP519" i="46"/>
  <c r="CP164" i="49"/>
  <c r="CQ164" i="49"/>
  <c r="X164" i="49"/>
  <c r="AP241" i="46"/>
  <c r="CP149" i="49"/>
  <c r="CQ149" i="49"/>
  <c r="X149" i="49"/>
  <c r="AP271" i="46"/>
  <c r="CP470" i="49"/>
  <c r="CQ470" i="49"/>
  <c r="X470" i="49"/>
  <c r="AP548" i="46"/>
  <c r="CP412" i="49"/>
  <c r="CQ412" i="49"/>
  <c r="X412" i="49"/>
  <c r="AP473" i="46"/>
  <c r="CP224" i="49"/>
  <c r="CQ224" i="49"/>
  <c r="X224" i="49"/>
  <c r="AP247" i="46"/>
  <c r="CP477" i="49"/>
  <c r="CQ477" i="49"/>
  <c r="X477" i="49"/>
  <c r="AP564" i="46"/>
  <c r="CP172" i="49"/>
  <c r="CQ172" i="49"/>
  <c r="X172" i="49"/>
  <c r="AP196" i="46"/>
  <c r="CP378" i="49"/>
  <c r="CQ378" i="49"/>
  <c r="X378" i="49"/>
  <c r="AP443" i="46"/>
  <c r="CP39" i="49"/>
  <c r="CQ39" i="49"/>
  <c r="X39" i="49"/>
  <c r="AP44" i="46"/>
  <c r="CP55" i="49"/>
  <c r="CQ55" i="49"/>
  <c r="X55" i="49"/>
  <c r="AP78" i="46"/>
  <c r="CP333" i="49"/>
  <c r="CQ333" i="49"/>
  <c r="X333" i="49"/>
  <c r="AP390" i="46"/>
  <c r="CP92" i="49"/>
  <c r="CQ92" i="49"/>
  <c r="X92" i="49"/>
  <c r="AP121" i="46"/>
  <c r="CP444" i="49"/>
  <c r="CQ444" i="49"/>
  <c r="X444" i="49"/>
  <c r="AP523" i="46"/>
  <c r="CP337" i="49"/>
  <c r="CQ337" i="49"/>
  <c r="X337" i="49"/>
  <c r="AP396" i="46"/>
  <c r="CP160" i="49"/>
  <c r="CQ160" i="49"/>
  <c r="X160" i="49"/>
  <c r="AP353" i="46"/>
  <c r="CP174" i="49"/>
  <c r="CQ174" i="49"/>
  <c r="X174" i="49"/>
  <c r="AP550" i="46"/>
  <c r="CP496" i="49"/>
  <c r="CQ496" i="49"/>
  <c r="X496" i="49"/>
  <c r="AP578" i="46"/>
  <c r="CP395" i="49"/>
  <c r="CQ395" i="49"/>
  <c r="X395" i="49"/>
  <c r="AP456" i="46"/>
  <c r="CP385" i="49"/>
  <c r="CQ385" i="49"/>
  <c r="X385" i="49"/>
  <c r="AP461" i="46"/>
  <c r="CP128" i="49"/>
  <c r="CQ128" i="49"/>
  <c r="X128" i="49"/>
  <c r="AP168" i="46"/>
  <c r="CP321" i="49"/>
  <c r="CQ321" i="49"/>
  <c r="X321" i="49"/>
  <c r="AP373" i="46"/>
  <c r="CP179" i="49"/>
  <c r="CQ179" i="49"/>
  <c r="X179" i="49"/>
  <c r="AP261" i="46"/>
  <c r="CP225" i="49"/>
  <c r="CQ225" i="49"/>
  <c r="X225" i="49"/>
  <c r="AP207" i="46"/>
  <c r="CP367" i="49"/>
  <c r="CQ367" i="49"/>
  <c r="X367" i="49"/>
  <c r="AP454" i="46"/>
  <c r="CP252" i="49"/>
  <c r="CQ252" i="49"/>
  <c r="X252" i="49"/>
  <c r="AP304" i="46"/>
  <c r="CP377" i="49"/>
  <c r="CQ377" i="49"/>
  <c r="X377" i="49"/>
  <c r="AP434" i="46"/>
  <c r="CP134" i="49"/>
  <c r="CQ134" i="49"/>
  <c r="X134" i="49"/>
  <c r="AP225" i="46"/>
  <c r="CP142" i="49"/>
  <c r="CQ142" i="49"/>
  <c r="X142" i="49"/>
  <c r="AP348" i="46"/>
  <c r="CP446" i="49"/>
  <c r="CQ446" i="49"/>
  <c r="X446" i="49"/>
  <c r="AP528" i="46"/>
  <c r="CP111" i="49"/>
  <c r="CQ111" i="49"/>
  <c r="X111" i="49"/>
  <c r="AP141" i="46"/>
  <c r="CP324" i="49"/>
  <c r="CQ324" i="49"/>
  <c r="X324" i="49"/>
  <c r="AP367" i="46"/>
  <c r="CP52" i="49"/>
  <c r="CQ52" i="49"/>
  <c r="X52" i="49"/>
  <c r="AP62" i="46"/>
  <c r="CP372" i="49"/>
  <c r="CQ372" i="49"/>
  <c r="X372" i="49"/>
  <c r="AP446" i="46"/>
  <c r="CP162" i="49"/>
  <c r="CQ162" i="49"/>
  <c r="X162" i="49"/>
  <c r="AP350" i="46"/>
  <c r="CP319" i="49"/>
  <c r="CQ319" i="49"/>
  <c r="X319" i="49"/>
  <c r="AP362" i="46"/>
  <c r="CP281" i="49"/>
  <c r="CQ281" i="49"/>
  <c r="X281" i="49"/>
  <c r="AP310" i="46"/>
  <c r="CP104" i="49"/>
  <c r="CQ104" i="49"/>
  <c r="X104" i="49"/>
  <c r="AP136" i="46"/>
  <c r="CP487" i="49"/>
  <c r="CQ487" i="49"/>
  <c r="X487" i="49"/>
  <c r="AP571" i="46"/>
  <c r="CP207" i="49"/>
  <c r="CQ207" i="49"/>
  <c r="X207" i="49"/>
  <c r="AP343" i="46"/>
  <c r="CP357" i="49"/>
  <c r="CQ357" i="49"/>
  <c r="X357" i="49"/>
  <c r="AP415" i="46"/>
  <c r="CP356" i="49"/>
  <c r="CQ356" i="49"/>
  <c r="X356" i="49"/>
  <c r="AP412" i="46"/>
  <c r="CP277" i="49"/>
  <c r="CQ277" i="49"/>
  <c r="X277" i="49"/>
  <c r="AP308" i="46"/>
  <c r="CP419" i="49"/>
  <c r="CQ419" i="49"/>
  <c r="X419" i="49"/>
  <c r="AP468" i="46"/>
  <c r="CP340" i="49"/>
  <c r="CQ340" i="49"/>
  <c r="X340" i="49"/>
  <c r="AP394" i="46"/>
  <c r="CP198" i="49"/>
  <c r="CQ198" i="49"/>
  <c r="X198" i="49"/>
  <c r="AP341" i="46"/>
  <c r="CP185" i="49"/>
  <c r="CQ185" i="49"/>
  <c r="X185" i="49"/>
  <c r="AP253" i="46"/>
  <c r="CP209" i="49"/>
  <c r="CQ209" i="49"/>
  <c r="X209" i="49"/>
  <c r="AP209" i="46"/>
  <c r="CP363" i="49"/>
  <c r="CQ363" i="49"/>
  <c r="X363" i="49"/>
  <c r="AP421" i="46"/>
  <c r="CP86" i="49"/>
  <c r="CQ86" i="49"/>
  <c r="X86" i="49"/>
  <c r="AP165" i="46"/>
  <c r="CP115" i="49"/>
  <c r="CQ115" i="49"/>
  <c r="X115" i="49"/>
  <c r="AP140" i="46"/>
  <c r="CP365" i="49"/>
  <c r="CQ365" i="49"/>
  <c r="X365" i="49"/>
  <c r="AP457" i="46"/>
  <c r="CP242" i="49"/>
  <c r="CQ242" i="49"/>
  <c r="X242" i="49"/>
  <c r="AP195" i="46"/>
  <c r="CP83" i="49"/>
  <c r="CQ83" i="49"/>
  <c r="X83" i="49"/>
  <c r="AP157" i="46"/>
  <c r="CP13" i="49"/>
  <c r="CQ13" i="49"/>
  <c r="X13" i="49"/>
  <c r="AP8" i="46"/>
  <c r="CP59" i="49"/>
  <c r="CQ59" i="49"/>
  <c r="X59" i="49"/>
  <c r="AP71" i="46"/>
  <c r="CP42" i="49"/>
  <c r="CQ42" i="49"/>
  <c r="X42" i="49"/>
  <c r="AP56" i="46"/>
  <c r="CP295" i="49"/>
  <c r="CQ295" i="49"/>
  <c r="X295" i="49"/>
  <c r="AP180" i="46"/>
  <c r="CP186" i="49"/>
  <c r="CQ186" i="49"/>
  <c r="X186" i="49"/>
  <c r="AP258" i="46"/>
  <c r="CP189" i="49"/>
  <c r="CQ189" i="49"/>
  <c r="X189" i="49"/>
  <c r="AP330" i="46"/>
  <c r="CP460" i="49"/>
  <c r="CQ460" i="49"/>
  <c r="X460" i="49"/>
  <c r="AP530" i="46"/>
  <c r="CP70" i="49"/>
  <c r="CQ70" i="49"/>
  <c r="X70" i="49"/>
  <c r="AP92" i="46"/>
  <c r="CP250" i="49"/>
  <c r="CQ250" i="49"/>
  <c r="X250" i="49"/>
  <c r="AP208" i="46"/>
  <c r="CP245" i="49"/>
  <c r="CQ245" i="49"/>
  <c r="X245" i="49"/>
  <c r="AP232" i="46"/>
  <c r="CP482" i="49"/>
  <c r="CQ482" i="49"/>
  <c r="X482" i="49"/>
  <c r="AP565" i="46"/>
  <c r="CP57" i="49"/>
  <c r="CQ57" i="49"/>
  <c r="X57" i="49"/>
  <c r="AP75" i="46"/>
  <c r="CP317" i="49"/>
  <c r="CQ317" i="49"/>
  <c r="X317" i="49"/>
  <c r="AP372" i="46"/>
  <c r="CP89" i="49"/>
  <c r="CQ89" i="49"/>
  <c r="X89" i="49"/>
  <c r="AP143" i="46"/>
  <c r="CP442" i="49"/>
  <c r="CQ442" i="49"/>
  <c r="X442" i="49"/>
  <c r="AP535" i="46"/>
  <c r="CP7" i="49"/>
  <c r="CQ7" i="49"/>
  <c r="X7" i="49"/>
  <c r="AP14" i="46"/>
  <c r="CP79" i="49"/>
  <c r="CQ79" i="49"/>
  <c r="X79" i="49"/>
  <c r="AP166" i="46"/>
  <c r="CP15" i="49"/>
  <c r="CQ15" i="49"/>
  <c r="X15" i="49"/>
  <c r="AP7" i="46"/>
  <c r="CP457" i="49"/>
  <c r="CQ457" i="49"/>
  <c r="X457" i="49"/>
  <c r="AP516" i="46"/>
  <c r="CP413" i="49"/>
  <c r="CQ413" i="49"/>
  <c r="X413" i="49"/>
  <c r="AP482" i="46"/>
  <c r="CP308" i="49"/>
  <c r="CQ308" i="49"/>
  <c r="X308" i="49"/>
  <c r="AP197" i="46"/>
  <c r="CP430" i="49"/>
  <c r="CQ430" i="49"/>
  <c r="X430" i="49"/>
  <c r="AP495" i="46"/>
  <c r="CP150" i="49"/>
  <c r="CQ150" i="49"/>
  <c r="X150" i="49"/>
  <c r="AP317" i="46"/>
  <c r="CP28" i="49"/>
  <c r="CQ28" i="49"/>
  <c r="X28" i="49"/>
  <c r="AP42" i="46"/>
  <c r="CP124" i="49"/>
  <c r="CQ124" i="49"/>
  <c r="X124" i="49"/>
  <c r="AP162" i="46"/>
  <c r="CP123" i="49"/>
  <c r="CQ123" i="49"/>
  <c r="X123" i="49"/>
  <c r="AP152" i="46"/>
  <c r="CP454" i="49"/>
  <c r="CQ454" i="49"/>
  <c r="X454" i="49"/>
  <c r="AP517" i="46"/>
  <c r="CP85" i="49"/>
  <c r="CQ85" i="49"/>
  <c r="X85" i="49"/>
  <c r="AP170" i="46"/>
  <c r="CP153" i="49"/>
  <c r="CQ153" i="49"/>
  <c r="X153" i="49"/>
  <c r="AP491" i="46"/>
  <c r="CP56" i="49"/>
  <c r="CQ56" i="49"/>
  <c r="X56" i="49"/>
  <c r="AP76" i="46"/>
  <c r="CP130" i="49"/>
  <c r="CQ130" i="49"/>
  <c r="X130" i="49"/>
  <c r="AP153" i="46"/>
  <c r="CP438" i="49"/>
  <c r="CQ438" i="49"/>
  <c r="X438" i="49"/>
  <c r="AP551" i="46"/>
  <c r="CP329" i="49"/>
  <c r="CQ329" i="49"/>
  <c r="X329" i="49"/>
  <c r="AP380" i="46"/>
  <c r="CP278" i="49"/>
  <c r="CQ278" i="49"/>
  <c r="X278" i="49"/>
  <c r="AP345" i="46"/>
  <c r="CP135" i="49"/>
  <c r="CQ135" i="49"/>
  <c r="X135" i="49"/>
  <c r="AP251" i="46"/>
  <c r="CP307" i="49"/>
  <c r="CQ307" i="49"/>
  <c r="X307" i="49"/>
  <c r="AP203" i="46"/>
  <c r="CP173" i="49"/>
  <c r="CQ173" i="49"/>
  <c r="X173" i="49"/>
  <c r="AP220" i="46"/>
  <c r="CP145" i="49"/>
  <c r="CQ145" i="49"/>
  <c r="X145" i="49"/>
  <c r="AP344" i="46"/>
  <c r="CP208" i="49"/>
  <c r="CQ208" i="49"/>
  <c r="X208" i="49"/>
  <c r="AP210" i="46"/>
  <c r="CP101" i="49"/>
  <c r="CQ101" i="49"/>
  <c r="X101" i="49"/>
  <c r="AP148" i="46"/>
  <c r="CP360" i="49"/>
  <c r="CQ360" i="49"/>
  <c r="X360" i="49"/>
  <c r="CP310" i="49"/>
  <c r="CQ310" i="49"/>
  <c r="X310" i="49"/>
  <c r="AP192" i="46"/>
  <c r="CP388" i="49"/>
  <c r="CQ388" i="49"/>
  <c r="X388" i="49"/>
  <c r="AP442" i="46"/>
  <c r="CP27" i="49"/>
  <c r="CQ27" i="49"/>
  <c r="X27" i="49"/>
  <c r="AP32" i="46"/>
  <c r="CP66" i="49"/>
  <c r="CQ66" i="49"/>
  <c r="X66" i="49"/>
  <c r="AP88" i="46"/>
  <c r="CP334" i="49"/>
  <c r="CQ334" i="49"/>
  <c r="X334" i="49"/>
  <c r="AP386" i="46"/>
  <c r="CP335" i="49"/>
  <c r="CQ335" i="49"/>
  <c r="X335" i="49"/>
  <c r="AP391" i="46"/>
  <c r="CP400" i="49"/>
  <c r="CQ400" i="49"/>
  <c r="X400" i="49"/>
  <c r="AP444" i="46"/>
  <c r="CP447" i="49"/>
  <c r="CQ447" i="49"/>
  <c r="X447" i="49"/>
  <c r="AP533" i="46"/>
  <c r="CP220" i="49"/>
  <c r="CQ220" i="49"/>
  <c r="X220" i="49"/>
  <c r="AP299" i="46"/>
  <c r="CP122" i="49"/>
  <c r="CQ122" i="49"/>
  <c r="X122" i="49"/>
  <c r="AP155" i="46"/>
  <c r="CP279" i="49"/>
  <c r="CQ279" i="49"/>
  <c r="X279" i="49"/>
  <c r="AP324" i="46"/>
  <c r="CP38" i="49"/>
  <c r="CQ38" i="49"/>
  <c r="X38" i="49"/>
  <c r="AP45" i="46"/>
  <c r="AQ465" i="46"/>
  <c r="AU200" i="49"/>
  <c r="AU325" i="49"/>
  <c r="AU185" i="49"/>
  <c r="AU120" i="49"/>
  <c r="CP136" i="49"/>
  <c r="CQ136" i="49"/>
  <c r="X136" i="49"/>
  <c r="AP342" i="46"/>
  <c r="CP358" i="49"/>
  <c r="CQ358" i="49"/>
  <c r="X358" i="49"/>
  <c r="AP414" i="46"/>
  <c r="CP14" i="49"/>
  <c r="CQ14" i="49"/>
  <c r="X14" i="49"/>
  <c r="AP16" i="46"/>
  <c r="CP425" i="49"/>
  <c r="CQ425" i="49"/>
  <c r="X425" i="49"/>
  <c r="AP490" i="46"/>
  <c r="CP8" i="49"/>
  <c r="CQ8" i="49"/>
  <c r="X8" i="49"/>
  <c r="AP11" i="46"/>
  <c r="CP441" i="49"/>
  <c r="CQ441" i="49"/>
  <c r="X441" i="49"/>
  <c r="AP526" i="46"/>
  <c r="CP69" i="49"/>
  <c r="CQ69" i="49"/>
  <c r="X69" i="49"/>
  <c r="AP87" i="46"/>
  <c r="CP394" i="49"/>
  <c r="CQ394" i="49"/>
  <c r="X394" i="49"/>
  <c r="AP453" i="46"/>
  <c r="CP16" i="49"/>
  <c r="CQ16" i="49"/>
  <c r="X16" i="49"/>
  <c r="AP6" i="46"/>
  <c r="CP120" i="49"/>
  <c r="CQ120" i="49"/>
  <c r="X120" i="49"/>
  <c r="AP142" i="46"/>
  <c r="CP51" i="49"/>
  <c r="CQ51" i="49"/>
  <c r="X51" i="49"/>
  <c r="AP47" i="46"/>
  <c r="CP282" i="49"/>
  <c r="CQ282" i="49"/>
  <c r="X282" i="49"/>
  <c r="AP282" i="46"/>
  <c r="CP99" i="49"/>
  <c r="CQ99" i="49"/>
  <c r="X99" i="49"/>
  <c r="AP127" i="46"/>
  <c r="CP240" i="49"/>
  <c r="CQ240" i="49"/>
  <c r="X240" i="49"/>
  <c r="AP238" i="46"/>
  <c r="CP108" i="49"/>
  <c r="CQ108" i="49"/>
  <c r="X108" i="49"/>
  <c r="AP137" i="46"/>
  <c r="CP448" i="49"/>
  <c r="CQ448" i="49"/>
  <c r="X448" i="49"/>
  <c r="AP537" i="46"/>
  <c r="CP404" i="49"/>
  <c r="CQ404" i="49"/>
  <c r="X404" i="49"/>
  <c r="AP484" i="46"/>
  <c r="CP129" i="49"/>
  <c r="CQ129" i="49"/>
  <c r="X129" i="49"/>
  <c r="AP156" i="46"/>
  <c r="CP235" i="49"/>
  <c r="CQ235" i="49"/>
  <c r="X235" i="49"/>
  <c r="AP236" i="46"/>
  <c r="CP350" i="49"/>
  <c r="CQ350" i="49"/>
  <c r="X350" i="49"/>
  <c r="AP416" i="46"/>
  <c r="CP445" i="49"/>
  <c r="CQ445" i="49"/>
  <c r="X445" i="49"/>
  <c r="AP521" i="46"/>
  <c r="CP468" i="49"/>
  <c r="CQ468" i="49"/>
  <c r="X468" i="49"/>
  <c r="AP540" i="46"/>
  <c r="CP133" i="49"/>
  <c r="CQ133" i="49"/>
  <c r="X133" i="49"/>
  <c r="AP242" i="46"/>
  <c r="CP327" i="49"/>
  <c r="CQ327" i="49"/>
  <c r="X327" i="49"/>
  <c r="AP379" i="46"/>
  <c r="CP138" i="49"/>
  <c r="CQ138" i="49"/>
  <c r="X138" i="49"/>
  <c r="AP290" i="46"/>
  <c r="CP90" i="49"/>
  <c r="CQ90" i="49"/>
  <c r="X90" i="49"/>
  <c r="AP171" i="46"/>
  <c r="CP379" i="49"/>
  <c r="CQ379" i="49"/>
  <c r="X379" i="49"/>
  <c r="AP445" i="46"/>
  <c r="CP226" i="49"/>
  <c r="CQ226" i="49"/>
  <c r="X226" i="49"/>
  <c r="AP224" i="46"/>
  <c r="CP9" i="49"/>
  <c r="CQ9" i="49"/>
  <c r="X9" i="49"/>
  <c r="AP10" i="46"/>
  <c r="CP428" i="49"/>
  <c r="CQ428" i="49"/>
  <c r="X428" i="49"/>
  <c r="AP494" i="46"/>
  <c r="CP201" i="49"/>
  <c r="CQ201" i="49"/>
  <c r="X201" i="49"/>
  <c r="AP305" i="46"/>
  <c r="CP132" i="49"/>
  <c r="CQ132" i="49"/>
  <c r="X132" i="49"/>
  <c r="AP285" i="46"/>
  <c r="CP483" i="49"/>
  <c r="CQ483" i="49"/>
  <c r="X483" i="49"/>
  <c r="AP563" i="46"/>
  <c r="CP349" i="49"/>
  <c r="CQ349" i="49"/>
  <c r="X349" i="49"/>
  <c r="AP419" i="46"/>
  <c r="CP390" i="49"/>
  <c r="CQ390" i="49"/>
  <c r="X390" i="49"/>
  <c r="AP425" i="46"/>
  <c r="CP481" i="49"/>
  <c r="CQ481" i="49"/>
  <c r="X481" i="49"/>
  <c r="AP562" i="46"/>
  <c r="CP382" i="49"/>
  <c r="CQ382" i="49"/>
  <c r="X382" i="49"/>
  <c r="AP423" i="46"/>
  <c r="CP44" i="49"/>
  <c r="CQ44" i="49"/>
  <c r="X44" i="49"/>
  <c r="AP55" i="46"/>
  <c r="CP485" i="49"/>
  <c r="CQ485" i="49"/>
  <c r="X485" i="49"/>
  <c r="AP570" i="46"/>
  <c r="CP408" i="49"/>
  <c r="CQ408" i="49"/>
  <c r="X408" i="49"/>
  <c r="AP483" i="46"/>
  <c r="CP243" i="49"/>
  <c r="CQ243" i="49"/>
  <c r="X243" i="49"/>
  <c r="AP349" i="46"/>
  <c r="CP102" i="49"/>
  <c r="CQ102" i="49"/>
  <c r="X102" i="49"/>
  <c r="AP163" i="46"/>
  <c r="CP146" i="49"/>
  <c r="CQ146" i="49"/>
  <c r="X146" i="49"/>
  <c r="AP194" i="46"/>
  <c r="CP183" i="49"/>
  <c r="CQ183" i="49"/>
  <c r="X183" i="49"/>
  <c r="AP255" i="46"/>
  <c r="CP491" i="49"/>
  <c r="CQ491" i="49"/>
  <c r="X491" i="49"/>
  <c r="AP110" i="46"/>
  <c r="CP167" i="49"/>
  <c r="CQ167" i="49"/>
  <c r="X167" i="49"/>
  <c r="AP294" i="46"/>
  <c r="CP61" i="49"/>
  <c r="CQ61" i="49"/>
  <c r="X61" i="49"/>
  <c r="AP72" i="46"/>
  <c r="CP275" i="49"/>
  <c r="CQ275" i="49"/>
  <c r="X275" i="49"/>
  <c r="AP339" i="46"/>
  <c r="CP169" i="49"/>
  <c r="CQ169" i="49"/>
  <c r="X169" i="49"/>
  <c r="AP327" i="46"/>
  <c r="CP453" i="49"/>
  <c r="CQ453" i="49"/>
  <c r="X453" i="49"/>
  <c r="AP527" i="46"/>
  <c r="CP105" i="49"/>
  <c r="CQ105" i="49"/>
  <c r="X105" i="49"/>
  <c r="AP150" i="46"/>
  <c r="CP478" i="49"/>
  <c r="CQ478" i="49"/>
  <c r="X478" i="49"/>
  <c r="AP566" i="46"/>
  <c r="CP154" i="49"/>
  <c r="CQ154" i="49"/>
  <c r="X154" i="49"/>
  <c r="AP235" i="46"/>
  <c r="CP439" i="49"/>
  <c r="CQ439" i="49"/>
  <c r="X439" i="49"/>
  <c r="AP534" i="46"/>
  <c r="CP211" i="49"/>
  <c r="CQ211" i="49"/>
  <c r="X211" i="49"/>
  <c r="AP283" i="46"/>
  <c r="W6" i="49"/>
  <c r="AO9" i="46"/>
  <c r="BU6" i="49"/>
  <c r="AU114" i="49"/>
  <c r="AU271" i="49"/>
  <c r="AU16" i="49"/>
  <c r="AU152" i="49"/>
  <c r="AU408" i="49"/>
  <c r="AU125" i="49"/>
  <c r="AU130" i="49"/>
  <c r="AU384" i="49"/>
  <c r="AU138" i="49"/>
  <c r="AU59" i="49"/>
  <c r="AU72" i="49"/>
  <c r="AU166" i="49"/>
  <c r="AU129" i="49"/>
  <c r="AU119" i="49"/>
  <c r="AU118" i="49"/>
  <c r="AU49" i="49"/>
  <c r="AU373" i="49"/>
  <c r="AU314" i="49"/>
  <c r="AU267" i="49"/>
  <c r="AU320" i="49"/>
  <c r="AU442" i="49"/>
  <c r="AU310" i="49"/>
  <c r="AU163" i="49"/>
  <c r="AU240" i="49"/>
  <c r="AQ117" i="46"/>
  <c r="AU38" i="49"/>
  <c r="AU149" i="49"/>
  <c r="AU83" i="49"/>
  <c r="AU303" i="49"/>
  <c r="AQ383" i="46"/>
  <c r="AQ557" i="46"/>
  <c r="AQ513" i="46"/>
  <c r="AQ106" i="46"/>
  <c r="AQ575" i="46"/>
  <c r="AU167" i="49"/>
  <c r="AU220" i="49"/>
  <c r="AU157" i="49"/>
  <c r="AU82" i="49"/>
  <c r="AU50" i="49"/>
  <c r="AU68" i="49"/>
  <c r="AU250" i="49"/>
  <c r="AU169" i="49"/>
  <c r="AU75" i="49"/>
  <c r="AU490" i="49"/>
  <c r="AU331" i="49"/>
  <c r="AU339" i="49"/>
  <c r="AU109" i="49"/>
  <c r="AU187" i="49"/>
  <c r="AU148" i="49"/>
  <c r="AU385" i="49"/>
  <c r="AU253" i="49"/>
  <c r="AU449" i="49"/>
  <c r="AU79" i="49"/>
  <c r="AU60" i="49"/>
  <c r="AU481" i="49"/>
  <c r="AU28" i="49"/>
  <c r="AU412" i="49"/>
  <c r="AU196" i="49"/>
  <c r="AU498" i="49"/>
  <c r="AU296" i="49"/>
  <c r="AU248" i="49"/>
  <c r="BR500" i="49"/>
  <c r="BR2" i="49"/>
  <c r="BS330" i="49"/>
  <c r="BT330" i="49"/>
  <c r="AU382" i="49"/>
  <c r="AU305" i="49"/>
  <c r="AU268" i="49"/>
  <c r="AU252" i="49"/>
  <c r="AU457" i="49"/>
  <c r="AU135" i="49"/>
  <c r="AU156" i="49"/>
  <c r="AU90" i="49"/>
  <c r="AU452" i="49"/>
  <c r="AU76" i="49"/>
  <c r="AU172" i="49"/>
  <c r="AU180" i="49"/>
  <c r="AU266" i="49"/>
  <c r="AU69" i="49"/>
  <c r="AU39" i="49"/>
  <c r="AU409" i="49"/>
  <c r="AU372" i="49"/>
  <c r="AU215" i="49"/>
  <c r="AU423" i="49"/>
  <c r="AU338" i="49"/>
  <c r="AU427" i="49"/>
  <c r="AU155" i="49"/>
  <c r="AU334" i="49"/>
  <c r="AU483" i="49"/>
  <c r="AU227" i="49"/>
  <c r="AU386" i="49"/>
  <c r="AU199" i="49"/>
  <c r="AU205" i="49"/>
  <c r="AU410" i="49"/>
  <c r="AU470" i="49"/>
  <c r="AU358" i="49"/>
  <c r="CP54" i="49"/>
  <c r="CQ54" i="49"/>
  <c r="X54" i="49"/>
  <c r="AP77" i="46"/>
  <c r="CP410" i="49"/>
  <c r="CQ410" i="49"/>
  <c r="X410" i="49"/>
  <c r="AP479" i="46"/>
  <c r="CP233" i="49"/>
  <c r="CQ233" i="49"/>
  <c r="X233" i="49"/>
  <c r="AP328" i="46"/>
  <c r="CP91" i="49"/>
  <c r="CQ91" i="49"/>
  <c r="X91" i="49"/>
  <c r="AP132" i="46"/>
  <c r="CP84" i="49"/>
  <c r="CQ84" i="49"/>
  <c r="X84" i="49"/>
  <c r="AP167" i="46"/>
  <c r="CP305" i="49"/>
  <c r="CQ305" i="49"/>
  <c r="X305" i="49"/>
  <c r="AP250" i="46"/>
  <c r="CP274" i="49"/>
  <c r="CQ274" i="49"/>
  <c r="X274" i="49"/>
  <c r="AP234" i="46"/>
  <c r="CP303" i="49"/>
  <c r="CQ303" i="49"/>
  <c r="X303" i="49"/>
  <c r="AP295" i="46"/>
  <c r="CP348" i="49"/>
  <c r="CQ348" i="49"/>
  <c r="X348" i="49"/>
  <c r="AP447" i="46"/>
  <c r="CP48" i="49"/>
  <c r="CQ48" i="49"/>
  <c r="X48" i="49"/>
  <c r="AP53" i="46"/>
  <c r="CP268" i="49"/>
  <c r="CQ268" i="49"/>
  <c r="X268" i="49"/>
  <c r="AP311" i="46"/>
  <c r="CP117" i="49"/>
  <c r="CQ117" i="49"/>
  <c r="X117" i="49"/>
  <c r="AP124" i="46"/>
  <c r="CP393" i="49"/>
  <c r="CQ393" i="49"/>
  <c r="X393" i="49"/>
  <c r="AP440" i="46"/>
  <c r="CP17" i="49"/>
  <c r="CQ17" i="49"/>
  <c r="X17" i="49"/>
  <c r="AP34" i="46"/>
  <c r="CP163" i="49"/>
  <c r="CQ163" i="49"/>
  <c r="X163" i="49"/>
  <c r="AP252" i="46"/>
  <c r="CP141" i="49"/>
  <c r="CQ141" i="49"/>
  <c r="X141" i="49"/>
  <c r="AP296" i="46"/>
  <c r="CP100" i="49"/>
  <c r="CQ100" i="49"/>
  <c r="X100" i="49"/>
  <c r="AP154" i="46"/>
  <c r="CP326" i="49"/>
  <c r="CQ326" i="49"/>
  <c r="X326" i="49"/>
  <c r="AP375" i="46"/>
  <c r="CP148" i="49"/>
  <c r="CQ148" i="49"/>
  <c r="X148" i="49"/>
  <c r="AP289" i="46"/>
  <c r="CP113" i="49"/>
  <c r="CQ113" i="49"/>
  <c r="X113" i="49"/>
  <c r="AP158" i="46"/>
  <c r="CP158" i="49"/>
  <c r="CQ158" i="49"/>
  <c r="X158" i="49"/>
  <c r="AP354" i="46"/>
  <c r="CP318" i="49"/>
  <c r="CQ318" i="49"/>
  <c r="X318" i="49"/>
  <c r="AP363" i="46"/>
  <c r="CP249" i="49"/>
  <c r="CQ249" i="49"/>
  <c r="X249" i="49"/>
  <c r="AP206" i="46"/>
  <c r="CP296" i="49"/>
  <c r="CQ296" i="49"/>
  <c r="X296" i="49"/>
  <c r="AP286" i="46"/>
  <c r="CP77" i="49"/>
  <c r="CQ77" i="49"/>
  <c r="X77" i="49"/>
  <c r="AP172" i="46"/>
  <c r="CP109" i="49"/>
  <c r="CQ109" i="49"/>
  <c r="X109" i="49"/>
  <c r="AP160" i="46"/>
  <c r="CP126" i="49"/>
  <c r="CQ126" i="49"/>
  <c r="X126" i="49"/>
  <c r="AP138" i="46"/>
  <c r="CP331" i="49"/>
  <c r="CQ331" i="49"/>
  <c r="X331" i="49"/>
  <c r="AP378" i="46"/>
  <c r="CP339" i="49"/>
  <c r="CQ339" i="49"/>
  <c r="X339" i="49"/>
  <c r="AP395" i="46"/>
  <c r="CP493" i="49"/>
  <c r="CQ493" i="49"/>
  <c r="X493" i="49"/>
  <c r="AP111" i="46"/>
  <c r="CP341" i="49"/>
  <c r="CQ341" i="49"/>
  <c r="X341" i="49"/>
  <c r="AP388" i="46"/>
  <c r="CP451" i="49"/>
  <c r="CQ451" i="49"/>
  <c r="X451" i="49"/>
  <c r="AP522" i="46"/>
  <c r="CP492" i="49"/>
  <c r="CQ492" i="49"/>
  <c r="X492" i="49"/>
  <c r="AP109" i="46"/>
  <c r="CP298" i="49"/>
  <c r="CQ298" i="49"/>
  <c r="X298" i="49"/>
  <c r="AP205" i="46"/>
  <c r="CP131" i="49"/>
  <c r="CQ131" i="49"/>
  <c r="X131" i="49"/>
  <c r="AP147" i="46"/>
  <c r="CP191" i="49"/>
  <c r="CQ191" i="49"/>
  <c r="X191" i="49"/>
  <c r="AP202" i="46"/>
  <c r="CP156" i="49"/>
  <c r="CQ156" i="49"/>
  <c r="X156" i="49"/>
  <c r="AP221" i="46"/>
  <c r="CP50" i="49"/>
  <c r="CQ50" i="49"/>
  <c r="X50" i="49"/>
  <c r="AP65" i="46"/>
  <c r="CP217" i="49"/>
  <c r="CQ217" i="49"/>
  <c r="X217" i="49"/>
  <c r="AP274" i="46"/>
  <c r="CP486" i="49"/>
  <c r="CQ486" i="49"/>
  <c r="X486" i="49"/>
  <c r="AP572" i="46"/>
  <c r="CP47" i="49"/>
  <c r="CQ47" i="49"/>
  <c r="X47" i="49"/>
  <c r="AP60" i="46"/>
  <c r="CP197" i="49"/>
  <c r="CQ197" i="49"/>
  <c r="X197" i="49"/>
  <c r="AP323" i="46"/>
  <c r="CP152" i="49"/>
  <c r="CQ152" i="49"/>
  <c r="X152" i="49"/>
  <c r="AP424" i="46"/>
  <c r="CP373" i="49"/>
  <c r="CQ373" i="49"/>
  <c r="X373" i="49"/>
  <c r="AP441" i="46"/>
  <c r="CP306" i="49"/>
  <c r="CQ306" i="49"/>
  <c r="X306" i="49"/>
  <c r="AP204" i="46"/>
  <c r="CP293" i="49"/>
  <c r="CQ293" i="49"/>
  <c r="X293" i="49"/>
  <c r="AP331" i="46"/>
  <c r="CP26" i="49"/>
  <c r="CQ26" i="49"/>
  <c r="X26" i="49"/>
  <c r="AP41" i="46"/>
  <c r="CP248" i="49"/>
  <c r="CQ248" i="49"/>
  <c r="X248" i="49"/>
  <c r="AP300" i="46"/>
  <c r="CP29" i="49"/>
  <c r="CQ29" i="49"/>
  <c r="X29" i="49"/>
  <c r="AP25" i="46"/>
  <c r="CP262" i="49"/>
  <c r="CQ262" i="49"/>
  <c r="X262" i="49"/>
  <c r="AP316" i="46"/>
  <c r="CP143" i="49"/>
  <c r="CQ143" i="49"/>
  <c r="X143" i="49"/>
  <c r="AP228" i="46"/>
  <c r="CP190" i="49"/>
  <c r="CQ190" i="49"/>
  <c r="X190" i="49"/>
  <c r="AP226" i="46"/>
  <c r="CP313" i="49"/>
  <c r="CQ313" i="49"/>
  <c r="X313" i="49"/>
  <c r="AP371" i="46"/>
  <c r="CP346" i="49"/>
  <c r="CQ346" i="49"/>
  <c r="X346" i="49"/>
  <c r="AP211" i="46"/>
  <c r="AU489" i="49"/>
  <c r="AU357" i="49"/>
  <c r="AU14" i="49"/>
  <c r="AU342" i="49"/>
  <c r="AU42" i="49"/>
  <c r="AU7" i="49"/>
  <c r="AU170" i="49"/>
  <c r="AU390" i="49"/>
  <c r="AU84" i="49"/>
  <c r="AU123" i="49"/>
  <c r="AU299" i="49"/>
  <c r="AU124" i="49"/>
  <c r="AU383" i="49"/>
  <c r="AU395" i="49"/>
  <c r="AU278" i="49"/>
  <c r="AU133" i="49"/>
  <c r="AU482" i="49"/>
  <c r="AU349" i="49"/>
  <c r="AU274" i="49"/>
  <c r="AU444" i="49"/>
  <c r="AU438" i="49"/>
  <c r="AU451" i="49"/>
  <c r="AU265" i="49"/>
  <c r="AU290" i="49"/>
  <c r="AU454" i="49"/>
  <c r="AU89" i="49"/>
  <c r="AU337" i="49"/>
  <c r="AU51" i="49"/>
  <c r="AT6" i="49"/>
  <c r="AS500" i="49"/>
  <c r="AS2" i="49"/>
  <c r="AU192" i="49"/>
  <c r="AU55" i="49"/>
  <c r="AU346" i="49"/>
  <c r="AU48" i="49"/>
  <c r="AU93" i="49"/>
  <c r="AU183" i="49"/>
  <c r="AU292" i="49"/>
  <c r="AU153" i="49"/>
  <c r="AU66" i="49"/>
  <c r="AU106" i="49"/>
  <c r="AU165" i="49"/>
  <c r="AU365" i="49"/>
  <c r="AU247" i="49"/>
  <c r="AU131" i="49"/>
  <c r="AU113" i="49"/>
  <c r="AU450" i="49"/>
  <c r="AU351" i="49"/>
  <c r="AU145" i="49"/>
  <c r="AU295" i="49"/>
  <c r="AU52" i="49"/>
  <c r="AU356" i="49"/>
  <c r="AU363" i="49"/>
  <c r="AU317" i="49"/>
  <c r="AU400" i="49"/>
  <c r="AQ403" i="46"/>
  <c r="DM500" i="49"/>
  <c r="DM2" i="49"/>
  <c r="DN5" i="49"/>
  <c r="AQ19" i="46"/>
  <c r="AQ97" i="46"/>
  <c r="AQ500" i="46"/>
  <c r="AU112" i="49"/>
  <c r="AU56" i="49"/>
  <c r="AU144" i="49"/>
  <c r="CP467" i="49"/>
  <c r="CQ467" i="49"/>
  <c r="X467" i="49"/>
  <c r="AP554" i="46"/>
  <c r="CP192" i="49"/>
  <c r="CQ192" i="49"/>
  <c r="X192" i="49"/>
  <c r="AP222" i="46"/>
  <c r="CP78" i="49"/>
  <c r="CQ78" i="49"/>
  <c r="X78" i="49"/>
  <c r="AP128" i="46"/>
  <c r="CP155" i="49"/>
  <c r="CQ155" i="49"/>
  <c r="X155" i="49"/>
  <c r="AP200" i="46"/>
  <c r="CP498" i="49"/>
  <c r="CQ498" i="49"/>
  <c r="X498" i="49"/>
  <c r="AP580" i="46"/>
  <c r="CP311" i="49"/>
  <c r="CQ311" i="49"/>
  <c r="X311" i="49"/>
  <c r="AP218" i="46"/>
  <c r="CP380" i="49"/>
  <c r="CQ380" i="49"/>
  <c r="X380" i="49"/>
  <c r="AP428" i="46"/>
  <c r="CP449" i="49"/>
  <c r="CQ449" i="49"/>
  <c r="X449" i="49"/>
  <c r="AP518" i="46"/>
  <c r="CP165" i="49"/>
  <c r="CQ165" i="49"/>
  <c r="X165" i="49"/>
  <c r="AP292" i="46"/>
  <c r="CP72" i="49"/>
  <c r="CQ72" i="49"/>
  <c r="X72" i="49"/>
  <c r="AP100" i="46"/>
  <c r="CP489" i="49"/>
  <c r="CQ489" i="49"/>
  <c r="X489" i="49"/>
  <c r="AP114" i="46"/>
  <c r="CP261" i="49"/>
  <c r="CQ261" i="49"/>
  <c r="X261" i="49"/>
  <c r="AP245" i="46"/>
  <c r="CP342" i="49"/>
  <c r="CQ342" i="49"/>
  <c r="X342" i="49"/>
  <c r="AP393" i="46"/>
  <c r="CP166" i="49"/>
  <c r="CQ166" i="49"/>
  <c r="X166" i="49"/>
  <c r="AP293" i="46"/>
  <c r="CP210" i="49"/>
  <c r="CQ210" i="49"/>
  <c r="X210" i="49"/>
  <c r="AP332" i="46"/>
  <c r="CP241" i="49"/>
  <c r="CQ241" i="49"/>
  <c r="X241" i="49"/>
  <c r="AP272" i="46"/>
  <c r="CP200" i="49"/>
  <c r="CQ200" i="49"/>
  <c r="X200" i="49"/>
  <c r="AP254" i="46"/>
  <c r="CP343" i="49"/>
  <c r="CQ343" i="49"/>
  <c r="X343" i="49"/>
  <c r="AP392" i="46"/>
  <c r="CP144" i="49"/>
  <c r="CQ144" i="49"/>
  <c r="X144" i="49"/>
  <c r="AP227" i="46"/>
  <c r="CP49" i="49"/>
  <c r="CQ49" i="49"/>
  <c r="X49" i="49"/>
  <c r="AP64" i="46"/>
  <c r="CP300" i="49"/>
  <c r="CQ300" i="49"/>
  <c r="X300" i="49"/>
  <c r="AP219" i="46"/>
  <c r="CP366" i="49"/>
  <c r="CQ366" i="49"/>
  <c r="X366" i="49"/>
  <c r="AP433" i="46"/>
  <c r="CP161" i="49"/>
  <c r="CQ161" i="49"/>
  <c r="X161" i="49"/>
  <c r="AP355" i="46"/>
  <c r="CP436" i="49"/>
  <c r="CQ436" i="49"/>
  <c r="X436" i="49"/>
  <c r="AP505" i="46"/>
  <c r="CP273" i="49"/>
  <c r="CQ273" i="49"/>
  <c r="X273" i="49"/>
  <c r="AP233" i="46"/>
  <c r="CP184" i="49"/>
  <c r="CQ184" i="49"/>
  <c r="X184" i="49"/>
  <c r="AP259" i="46"/>
  <c r="CP368" i="49"/>
  <c r="CQ368" i="49"/>
  <c r="X368" i="49"/>
  <c r="AP455" i="46"/>
  <c r="CP435" i="49"/>
  <c r="CQ435" i="49"/>
  <c r="X435" i="49"/>
  <c r="AP503" i="46"/>
  <c r="CP127" i="49"/>
  <c r="CQ127" i="49"/>
  <c r="X127" i="49"/>
  <c r="AP161" i="46"/>
  <c r="CP352" i="49"/>
  <c r="CQ352" i="49"/>
  <c r="X352" i="49"/>
  <c r="AP417" i="46"/>
  <c r="CP437" i="49"/>
  <c r="CQ437" i="49"/>
  <c r="X437" i="49"/>
  <c r="AP510" i="46"/>
  <c r="CP409" i="49"/>
  <c r="CQ409" i="49"/>
  <c r="X409" i="49"/>
  <c r="AP480" i="46"/>
  <c r="CP194" i="49"/>
  <c r="CQ194" i="49"/>
  <c r="X194" i="49"/>
  <c r="AP263" i="46"/>
  <c r="CP95" i="49"/>
  <c r="CQ95" i="49"/>
  <c r="X95" i="49"/>
  <c r="AP129" i="46"/>
  <c r="CP461" i="49"/>
  <c r="CQ461" i="49"/>
  <c r="X461" i="49"/>
  <c r="AP545" i="46"/>
  <c r="CP82" i="49"/>
  <c r="CQ82" i="49"/>
  <c r="X82" i="49"/>
  <c r="AP164" i="46"/>
  <c r="CP205" i="49"/>
  <c r="CQ205" i="49"/>
  <c r="X205" i="49"/>
  <c r="CP87" i="49"/>
  <c r="CQ87" i="49"/>
  <c r="X87" i="49"/>
  <c r="AP130" i="46"/>
  <c r="CP125" i="49"/>
  <c r="CQ125" i="49"/>
  <c r="X125" i="49"/>
  <c r="AP151" i="46"/>
  <c r="CP473" i="49"/>
  <c r="CQ473" i="49"/>
  <c r="X473" i="49"/>
  <c r="AP552" i="46"/>
  <c r="CP58" i="49"/>
  <c r="CQ58" i="49"/>
  <c r="X58" i="49"/>
  <c r="AP73" i="46"/>
  <c r="CP383" i="49"/>
  <c r="CQ383" i="49"/>
  <c r="X383" i="49"/>
  <c r="AP459" i="46"/>
  <c r="CP75" i="49"/>
  <c r="CQ75" i="49"/>
  <c r="X75" i="49"/>
  <c r="AP101" i="46"/>
  <c r="CP320" i="49"/>
  <c r="CQ320" i="49"/>
  <c r="X320" i="49"/>
  <c r="AP361" i="46"/>
  <c r="CP157" i="49"/>
  <c r="CQ157" i="49"/>
  <c r="X157" i="49"/>
  <c r="AP351" i="46"/>
  <c r="CP247" i="49"/>
  <c r="CQ247" i="49"/>
  <c r="X247" i="49"/>
  <c r="AP231" i="46"/>
  <c r="CP81" i="49"/>
  <c r="CQ81" i="49"/>
  <c r="X81" i="49"/>
  <c r="AP169" i="46"/>
  <c r="CP314" i="49"/>
  <c r="CQ314" i="49"/>
  <c r="X314" i="49"/>
  <c r="AP365" i="46"/>
  <c r="CP30" i="49"/>
  <c r="CQ30" i="49"/>
  <c r="X30" i="49"/>
  <c r="AP26" i="46"/>
  <c r="CP431" i="49"/>
  <c r="CQ431" i="49"/>
  <c r="X431" i="49"/>
  <c r="AP508" i="46"/>
  <c r="CP96" i="49"/>
  <c r="CQ96" i="49"/>
  <c r="X96" i="49"/>
  <c r="AP173" i="46"/>
  <c r="CP64" i="49"/>
  <c r="CQ64" i="49"/>
  <c r="X64" i="49"/>
  <c r="AP91" i="46"/>
  <c r="CP338" i="49"/>
  <c r="CQ338" i="49"/>
  <c r="X338" i="49"/>
  <c r="AP387" i="46"/>
  <c r="CP170" i="49"/>
  <c r="CQ170" i="49"/>
  <c r="X170" i="49"/>
  <c r="AP229" i="46"/>
  <c r="CP253" i="49"/>
  <c r="CQ253" i="49"/>
  <c r="X253" i="49"/>
  <c r="AP284" i="46"/>
  <c r="CP215" i="49"/>
  <c r="CQ215" i="49"/>
  <c r="X215" i="49"/>
  <c r="AP223" i="46"/>
  <c r="W330" i="49"/>
  <c r="AP376" i="46"/>
  <c r="AP377" i="46"/>
  <c r="BS204" i="49"/>
  <c r="BT204" i="49"/>
  <c r="W204" i="49"/>
  <c r="BS364" i="49"/>
  <c r="BT364" i="49"/>
  <c r="W364" i="49"/>
  <c r="AO409" i="46"/>
  <c r="BU364" i="49"/>
  <c r="BS203" i="49"/>
  <c r="BT203" i="49"/>
  <c r="BS351" i="49"/>
  <c r="BT351" i="49"/>
  <c r="BS103" i="49"/>
  <c r="BT103" i="49"/>
  <c r="W103" i="49"/>
  <c r="AO126" i="46"/>
  <c r="BU103" i="49"/>
  <c r="BS241" i="49"/>
  <c r="BT241" i="49"/>
  <c r="W241" i="49"/>
  <c r="AO272" i="46"/>
  <c r="BU241" i="49"/>
  <c r="BS229" i="49"/>
  <c r="BT229" i="49"/>
  <c r="W229" i="49"/>
  <c r="AO329" i="46"/>
  <c r="BU229" i="49"/>
  <c r="AP321" i="46"/>
  <c r="AP319" i="46"/>
  <c r="AP320" i="46"/>
  <c r="BS178" i="49"/>
  <c r="BT178" i="49"/>
  <c r="W178" i="49"/>
  <c r="AO257" i="46"/>
  <c r="BU178" i="49"/>
  <c r="BS304" i="49"/>
  <c r="BT304" i="49"/>
  <c r="W304" i="49"/>
  <c r="AO185" i="46"/>
  <c r="BU304" i="49"/>
  <c r="BS298" i="49"/>
  <c r="BT298" i="49"/>
  <c r="W298" i="49"/>
  <c r="AO205" i="46"/>
  <c r="BU298" i="49"/>
  <c r="AP318" i="46"/>
  <c r="AP106" i="46"/>
  <c r="W351" i="49"/>
  <c r="AO413" i="46"/>
  <c r="BU351" i="49"/>
  <c r="AP383" i="46"/>
  <c r="AP513" i="46"/>
  <c r="AP117" i="46"/>
  <c r="AP19" i="46"/>
  <c r="AP575" i="46"/>
  <c r="BS172" i="49"/>
  <c r="BT172" i="49"/>
  <c r="BS311" i="49"/>
  <c r="BT311" i="49"/>
  <c r="BS360" i="49"/>
  <c r="BT360" i="49"/>
  <c r="BS86" i="49"/>
  <c r="BT86" i="49"/>
  <c r="BS219" i="49"/>
  <c r="BT219" i="49"/>
  <c r="BS123" i="49"/>
  <c r="BT123" i="49"/>
  <c r="BS227" i="49"/>
  <c r="BT227" i="49"/>
  <c r="BS385" i="49"/>
  <c r="BT385" i="49"/>
  <c r="BS186" i="49"/>
  <c r="BT186" i="49"/>
  <c r="BS85" i="49"/>
  <c r="BT85" i="49"/>
  <c r="BS158" i="49"/>
  <c r="BT158" i="49"/>
  <c r="BS170" i="49"/>
  <c r="BT170" i="49"/>
  <c r="BS82" i="49"/>
  <c r="BT82" i="49"/>
  <c r="BS365" i="49"/>
  <c r="BT365" i="49"/>
  <c r="BS266" i="49"/>
  <c r="BT266" i="49"/>
  <c r="BS48" i="49"/>
  <c r="BT48" i="49"/>
  <c r="BS135" i="49"/>
  <c r="BT135" i="49"/>
  <c r="BS250" i="49"/>
  <c r="BT250" i="49"/>
  <c r="BS140" i="49"/>
  <c r="BT140" i="49"/>
  <c r="BS271" i="49"/>
  <c r="BT271" i="49"/>
  <c r="BS299" i="49"/>
  <c r="BT299" i="49"/>
  <c r="BS117" i="49"/>
  <c r="BT117" i="49"/>
  <c r="BS106" i="49"/>
  <c r="BT106" i="49"/>
  <c r="BS53" i="49"/>
  <c r="BT53" i="49"/>
  <c r="BS30" i="49"/>
  <c r="BT30" i="49"/>
  <c r="BS427" i="49"/>
  <c r="BT427" i="49"/>
  <c r="BS164" i="49"/>
  <c r="BT164" i="49"/>
  <c r="BS119" i="49"/>
  <c r="BT119" i="49"/>
  <c r="BS69" i="49"/>
  <c r="BT69" i="49"/>
  <c r="BS333" i="49"/>
  <c r="BT333" i="49"/>
  <c r="BS78" i="49"/>
  <c r="BT78" i="49"/>
  <c r="BS254" i="49"/>
  <c r="BT254" i="49"/>
  <c r="BS36" i="49"/>
  <c r="BT36" i="49"/>
  <c r="BS136" i="49"/>
  <c r="BT136" i="49"/>
  <c r="BS301" i="49"/>
  <c r="BT301" i="49"/>
  <c r="BS260" i="49"/>
  <c r="BT260" i="49"/>
  <c r="BS220" i="49"/>
  <c r="BT220" i="49"/>
  <c r="BS326" i="49"/>
  <c r="BT326" i="49"/>
  <c r="Y5" i="49"/>
  <c r="DN500" i="49"/>
  <c r="DN2" i="49"/>
  <c r="AP557" i="46"/>
  <c r="AP50" i="46"/>
  <c r="BS447" i="49"/>
  <c r="BT447" i="49"/>
  <c r="BS84" i="49"/>
  <c r="BT84" i="49"/>
  <c r="BS282" i="49"/>
  <c r="BT282" i="49"/>
  <c r="BS39" i="49"/>
  <c r="BT39" i="49"/>
  <c r="BS125" i="49"/>
  <c r="BT125" i="49"/>
  <c r="BS412" i="49"/>
  <c r="BT412" i="49"/>
  <c r="BS460" i="49"/>
  <c r="BT460" i="49"/>
  <c r="BS478" i="49"/>
  <c r="BT478" i="49"/>
  <c r="BS468" i="49"/>
  <c r="BT468" i="49"/>
  <c r="BS142" i="49"/>
  <c r="BT142" i="49"/>
  <c r="BS265" i="49"/>
  <c r="BT265" i="49"/>
  <c r="BS124" i="49"/>
  <c r="BT124" i="49"/>
  <c r="BS97" i="49"/>
  <c r="BT97" i="49"/>
  <c r="BS395" i="49"/>
  <c r="BT395" i="49"/>
  <c r="BS331" i="49"/>
  <c r="BT331" i="49"/>
  <c r="BS101" i="49"/>
  <c r="BT101" i="49"/>
  <c r="BS267" i="49"/>
  <c r="BT267" i="49"/>
  <c r="BS108" i="49"/>
  <c r="BT108" i="49"/>
  <c r="BS132" i="49"/>
  <c r="BT132" i="49"/>
  <c r="BS113" i="49"/>
  <c r="BT113" i="49"/>
  <c r="BS211" i="49"/>
  <c r="BT211" i="49"/>
  <c r="BS402" i="49"/>
  <c r="BT402" i="49"/>
  <c r="BS315" i="49"/>
  <c r="BT315" i="49"/>
  <c r="BS109" i="49"/>
  <c r="BT109" i="49"/>
  <c r="BS352" i="49"/>
  <c r="BT352" i="49"/>
  <c r="BS413" i="49"/>
  <c r="BT413" i="49"/>
  <c r="BS354" i="49"/>
  <c r="BT354" i="49"/>
  <c r="BS356" i="49"/>
  <c r="BT356" i="49"/>
  <c r="BS382" i="49"/>
  <c r="BT382" i="49"/>
  <c r="BS163" i="49"/>
  <c r="BT163" i="49"/>
  <c r="BS208" i="49"/>
  <c r="BT208" i="49"/>
  <c r="BS409" i="49"/>
  <c r="BT409" i="49"/>
  <c r="BS444" i="49"/>
  <c r="BT444" i="49"/>
  <c r="BS194" i="49"/>
  <c r="BT194" i="49"/>
  <c r="BS156" i="49"/>
  <c r="BT156" i="49"/>
  <c r="BS243" i="49"/>
  <c r="BT243" i="49"/>
  <c r="BS465" i="49"/>
  <c r="BT465" i="49"/>
  <c r="BS63" i="49"/>
  <c r="BT63" i="49"/>
  <c r="BS451" i="49"/>
  <c r="BT451" i="49"/>
  <c r="AP403" i="46"/>
  <c r="AP83" i="46"/>
  <c r="AP500" i="46"/>
  <c r="AP97" i="46"/>
  <c r="CP500" i="49"/>
  <c r="CP2" i="49"/>
  <c r="CQ5" i="49"/>
  <c r="BS279" i="49"/>
  <c r="BT279" i="49"/>
  <c r="BS44" i="49"/>
  <c r="BT44" i="49"/>
  <c r="BS383" i="49"/>
  <c r="BT383" i="49"/>
  <c r="BS24" i="49"/>
  <c r="BT24" i="49"/>
  <c r="BS276" i="49"/>
  <c r="BT276" i="49"/>
  <c r="BS210" i="49"/>
  <c r="BT210" i="49"/>
  <c r="BS363" i="49"/>
  <c r="BT363" i="49"/>
  <c r="BS116" i="49"/>
  <c r="BT116" i="49"/>
  <c r="BS408" i="49"/>
  <c r="BT408" i="49"/>
  <c r="BS160" i="49"/>
  <c r="BT160" i="49"/>
  <c r="BS442" i="49"/>
  <c r="BT442" i="49"/>
  <c r="BS154" i="49"/>
  <c r="BT154" i="49"/>
  <c r="BS127" i="49"/>
  <c r="BT127" i="49"/>
  <c r="BS252" i="49"/>
  <c r="BT252" i="49"/>
  <c r="BS494" i="49"/>
  <c r="BT494" i="49"/>
  <c r="BS57" i="49"/>
  <c r="BT57" i="49"/>
  <c r="BS425" i="49"/>
  <c r="BT425" i="49"/>
  <c r="BS357" i="49"/>
  <c r="BT357" i="49"/>
  <c r="BS404" i="49"/>
  <c r="BT404" i="49"/>
  <c r="BS400" i="49"/>
  <c r="BT400" i="49"/>
  <c r="BS491" i="49"/>
  <c r="BT491" i="49"/>
  <c r="BS174" i="49"/>
  <c r="BT174" i="49"/>
  <c r="BS498" i="49"/>
  <c r="BT498" i="49"/>
  <c r="BS71" i="49"/>
  <c r="BT71" i="49"/>
  <c r="BS76" i="49"/>
  <c r="BT76" i="49"/>
  <c r="BS467" i="49"/>
  <c r="BT467" i="49"/>
  <c r="BS483" i="49"/>
  <c r="BT483" i="49"/>
  <c r="BS233" i="49"/>
  <c r="BT233" i="49"/>
  <c r="BS90" i="49"/>
  <c r="BT90" i="49"/>
  <c r="BS126" i="49"/>
  <c r="BT126" i="49"/>
  <c r="BS79" i="49"/>
  <c r="BT79" i="49"/>
  <c r="BS437" i="49"/>
  <c r="BT437" i="49"/>
  <c r="BS485" i="49"/>
  <c r="BT485" i="49"/>
  <c r="BS215" i="49"/>
  <c r="BT215" i="49"/>
  <c r="BS248" i="49"/>
  <c r="BT248" i="49"/>
  <c r="BS420" i="49"/>
  <c r="BT420" i="49"/>
  <c r="BS445" i="49"/>
  <c r="BT445" i="49"/>
  <c r="AT500" i="49"/>
  <c r="AT2" i="49"/>
  <c r="AU6" i="49"/>
  <c r="AU500" i="49"/>
  <c r="AU2" i="49"/>
  <c r="AV330" i="49"/>
  <c r="AW330" i="49"/>
  <c r="V330" i="49"/>
  <c r="Z330" i="49"/>
  <c r="DR330" i="49"/>
  <c r="DX330" i="49"/>
  <c r="AP68" i="46"/>
  <c r="BS46" i="49"/>
  <c r="BT46" i="49"/>
  <c r="BS332" i="49"/>
  <c r="BT332" i="49"/>
  <c r="BS328" i="49"/>
  <c r="BT328" i="49"/>
  <c r="BS255" i="49"/>
  <c r="BT255" i="49"/>
  <c r="BS476" i="49"/>
  <c r="BT476" i="49"/>
  <c r="BS175" i="49"/>
  <c r="BT175" i="49"/>
  <c r="BS206" i="49"/>
  <c r="BT206" i="49"/>
  <c r="BS417" i="49"/>
  <c r="BT417" i="49"/>
  <c r="BS228" i="49"/>
  <c r="BT228" i="49"/>
  <c r="BS416" i="49"/>
  <c r="BT416" i="49"/>
  <c r="BS287" i="49"/>
  <c r="BT287" i="49"/>
  <c r="BS294" i="49"/>
  <c r="BT294" i="49"/>
  <c r="BS480" i="49"/>
  <c r="BT480" i="49"/>
  <c r="BS391" i="49"/>
  <c r="BT391" i="49"/>
  <c r="BS389" i="49"/>
  <c r="BT389" i="49"/>
  <c r="BS327" i="49"/>
  <c r="BT327" i="49"/>
  <c r="BS329" i="49"/>
  <c r="BT329" i="49"/>
  <c r="BS290" i="49"/>
  <c r="BT290" i="49"/>
  <c r="BS62" i="49"/>
  <c r="BT62" i="49"/>
  <c r="BS239" i="49"/>
  <c r="BT239" i="49"/>
  <c r="BS309" i="49"/>
  <c r="BT309" i="49"/>
  <c r="BS262" i="49"/>
  <c r="BT262" i="49"/>
  <c r="BS387" i="49"/>
  <c r="BT387" i="49"/>
  <c r="BS371" i="49"/>
  <c r="BT371" i="49"/>
  <c r="BS397" i="49"/>
  <c r="BT397" i="49"/>
  <c r="BS398" i="49"/>
  <c r="BT398" i="49"/>
  <c r="BS407" i="49"/>
  <c r="BT407" i="49"/>
  <c r="BS396" i="49"/>
  <c r="BT396" i="49"/>
  <c r="BS216" i="49"/>
  <c r="BT216" i="49"/>
  <c r="BS263" i="49"/>
  <c r="BT263" i="49"/>
  <c r="BS289" i="49"/>
  <c r="BT289" i="49"/>
  <c r="BS347" i="49"/>
  <c r="BT347" i="49"/>
  <c r="BS280" i="49"/>
  <c r="BT280" i="49"/>
  <c r="BS297" i="49"/>
  <c r="BT297" i="49"/>
  <c r="BS264" i="49"/>
  <c r="BT264" i="49"/>
  <c r="BS176" i="49"/>
  <c r="BT176" i="49"/>
  <c r="BS283" i="49"/>
  <c r="BT283" i="49"/>
  <c r="BS105" i="49"/>
  <c r="BT105" i="49"/>
  <c r="BS344" i="49"/>
  <c r="BT344" i="49"/>
  <c r="BS421" i="49"/>
  <c r="BT421" i="49"/>
  <c r="BS270" i="49"/>
  <c r="BT270" i="49"/>
  <c r="BS284" i="49"/>
  <c r="BT284" i="49"/>
  <c r="BS168" i="49"/>
  <c r="BT168" i="49"/>
  <c r="BS399" i="49"/>
  <c r="BT399" i="49"/>
  <c r="BS244" i="49"/>
  <c r="BT244" i="49"/>
  <c r="BS285" i="49"/>
  <c r="BT285" i="49"/>
  <c r="BS415" i="49"/>
  <c r="BT415" i="49"/>
  <c r="BS272" i="49"/>
  <c r="BT272" i="49"/>
  <c r="BS374" i="49"/>
  <c r="BT374" i="49"/>
  <c r="BS195" i="49"/>
  <c r="BT195" i="49"/>
  <c r="BS381" i="49"/>
  <c r="BT381" i="49"/>
  <c r="BS246" i="49"/>
  <c r="BT246" i="49"/>
  <c r="BS405" i="49"/>
  <c r="BT405" i="49"/>
  <c r="BS462" i="49"/>
  <c r="BT462" i="49"/>
  <c r="BS269" i="49"/>
  <c r="BT269" i="49"/>
  <c r="BS202" i="49"/>
  <c r="BT202" i="49"/>
  <c r="BS424" i="49"/>
  <c r="BT424" i="49"/>
  <c r="BS98" i="49"/>
  <c r="BT98" i="49"/>
  <c r="BS237" i="49"/>
  <c r="BT237" i="49"/>
  <c r="BS394" i="49"/>
  <c r="BT394" i="49"/>
  <c r="BS259" i="49"/>
  <c r="BT259" i="49"/>
  <c r="BS238" i="49"/>
  <c r="BT238" i="49"/>
  <c r="BS137" i="49"/>
  <c r="BT137" i="49"/>
  <c r="BS222" i="49"/>
  <c r="BT222" i="49"/>
  <c r="BS291" i="49"/>
  <c r="BT291" i="49"/>
  <c r="BS469" i="49"/>
  <c r="BT469" i="49"/>
  <c r="BS147" i="49"/>
  <c r="BT147" i="49"/>
  <c r="BS370" i="49"/>
  <c r="BT370" i="49"/>
  <c r="BS367" i="49"/>
  <c r="BT367" i="49"/>
  <c r="BS182" i="49"/>
  <c r="BT182" i="49"/>
  <c r="BS193" i="49"/>
  <c r="BT193" i="49"/>
  <c r="BS403" i="49"/>
  <c r="BT403" i="49"/>
  <c r="BS406" i="49"/>
  <c r="BT406" i="49"/>
  <c r="BS231" i="49"/>
  <c r="BT231" i="49"/>
  <c r="BS232" i="49"/>
  <c r="BT232" i="49"/>
  <c r="BS401" i="49"/>
  <c r="BT401" i="49"/>
  <c r="BS369" i="49"/>
  <c r="BT369" i="49"/>
  <c r="BS177" i="49"/>
  <c r="BT177" i="49"/>
  <c r="BS256" i="49"/>
  <c r="BT256" i="49"/>
  <c r="BS418" i="49"/>
  <c r="BT418" i="49"/>
  <c r="BS273" i="49"/>
  <c r="BT273" i="49"/>
  <c r="BS288" i="49"/>
  <c r="BT288" i="49"/>
  <c r="BS375" i="49"/>
  <c r="BT375" i="49"/>
  <c r="BS223" i="49"/>
  <c r="BT223" i="49"/>
  <c r="BS212" i="49"/>
  <c r="BT212" i="49"/>
  <c r="BS423" i="49"/>
  <c r="BT423" i="49"/>
  <c r="BS345" i="49"/>
  <c r="BT345" i="49"/>
  <c r="BS181" i="49"/>
  <c r="BT181" i="49"/>
  <c r="BS392" i="49"/>
  <c r="BT392" i="49"/>
  <c r="BS422" i="49"/>
  <c r="BT422" i="49"/>
  <c r="BS488" i="49"/>
  <c r="BT488" i="49"/>
  <c r="BS221" i="49"/>
  <c r="BT221" i="49"/>
  <c r="BS479" i="49"/>
  <c r="BT479" i="49"/>
  <c r="BS40" i="49"/>
  <c r="BT40" i="49"/>
  <c r="BS319" i="49"/>
  <c r="BT319" i="49"/>
  <c r="BS95" i="49"/>
  <c r="BT95" i="49"/>
  <c r="BS433" i="49"/>
  <c r="BT433" i="49"/>
  <c r="BS431" i="49"/>
  <c r="BT431" i="49"/>
  <c r="BS471" i="49"/>
  <c r="BT471" i="49"/>
  <c r="BS65" i="49"/>
  <c r="BT65" i="49"/>
  <c r="BS94" i="49"/>
  <c r="BT94" i="49"/>
  <c r="BS362" i="49"/>
  <c r="BT362" i="49"/>
  <c r="BS236" i="49"/>
  <c r="BT236" i="49"/>
  <c r="BS475" i="49"/>
  <c r="BT475" i="49"/>
  <c r="BS350" i="49"/>
  <c r="BT350" i="49"/>
  <c r="BS9" i="49"/>
  <c r="BT9" i="49"/>
  <c r="BS17" i="49"/>
  <c r="BT17" i="49"/>
  <c r="BS148" i="49"/>
  <c r="BT148" i="49"/>
  <c r="BS28" i="49"/>
  <c r="BT28" i="49"/>
  <c r="BS34" i="49"/>
  <c r="BT34" i="49"/>
  <c r="BS226" i="49"/>
  <c r="BT226" i="49"/>
  <c r="BS129" i="49"/>
  <c r="BT129" i="49"/>
  <c r="BS47" i="49"/>
  <c r="BT47" i="49"/>
  <c r="BS470" i="49"/>
  <c r="BT470" i="49"/>
  <c r="BS439" i="49"/>
  <c r="BT439" i="49"/>
  <c r="BS73" i="49"/>
  <c r="BT73" i="49"/>
  <c r="BS70" i="49"/>
  <c r="BT70" i="49"/>
  <c r="BS171" i="49"/>
  <c r="BT171" i="49"/>
  <c r="BS355" i="49"/>
  <c r="BT355" i="49"/>
  <c r="BS10" i="49"/>
  <c r="BT10" i="49"/>
  <c r="BS359" i="49"/>
  <c r="BT359" i="49"/>
  <c r="BS432" i="49"/>
  <c r="BT432" i="49"/>
  <c r="BS131" i="49"/>
  <c r="BT131" i="49"/>
  <c r="BS180" i="49"/>
  <c r="BT180" i="49"/>
  <c r="BS188" i="49"/>
  <c r="BT188" i="49"/>
  <c r="BS11" i="49"/>
  <c r="BT11" i="49"/>
  <c r="BS308" i="49"/>
  <c r="BT308" i="49"/>
  <c r="BS441" i="49"/>
  <c r="BT441" i="49"/>
  <c r="BS302" i="49"/>
  <c r="BT302" i="49"/>
  <c r="BS74" i="49"/>
  <c r="BT74" i="49"/>
  <c r="BS376" i="49"/>
  <c r="BT376" i="49"/>
  <c r="BS320" i="49"/>
  <c r="BT320" i="49"/>
  <c r="BS492" i="49"/>
  <c r="BT492" i="49"/>
  <c r="BS429" i="49"/>
  <c r="BT429" i="49"/>
  <c r="BS247" i="49"/>
  <c r="BT247" i="49"/>
  <c r="BS361" i="49"/>
  <c r="BT361" i="49"/>
  <c r="BS52" i="49"/>
  <c r="BT52" i="49"/>
  <c r="BS12" i="49"/>
  <c r="BT12" i="49"/>
  <c r="BS96" i="49"/>
  <c r="BT96" i="49"/>
  <c r="BS25" i="49"/>
  <c r="BT25" i="49"/>
  <c r="BS450" i="49"/>
  <c r="BT450" i="49"/>
  <c r="BS5" i="49"/>
  <c r="BS234" i="49"/>
  <c r="BT234" i="49"/>
  <c r="BS435" i="49"/>
  <c r="BT435" i="49"/>
  <c r="BS321" i="49"/>
  <c r="BT321" i="49"/>
  <c r="BS457" i="49"/>
  <c r="BT457" i="49"/>
  <c r="BS213" i="49"/>
  <c r="BT213" i="49"/>
  <c r="BS199" i="49"/>
  <c r="BT199" i="49"/>
  <c r="BS482" i="49"/>
  <c r="BT482" i="49"/>
  <c r="BS54" i="49"/>
  <c r="BT54" i="49"/>
  <c r="BS292" i="49"/>
  <c r="BT292" i="49"/>
  <c r="BS146" i="49"/>
  <c r="BT146" i="49"/>
  <c r="BS19" i="49"/>
  <c r="BT19" i="49"/>
  <c r="BS358" i="49"/>
  <c r="BT358" i="49"/>
  <c r="BS20" i="49"/>
  <c r="BT20" i="49"/>
  <c r="BS38" i="49"/>
  <c r="BT38" i="49"/>
  <c r="BS464" i="49"/>
  <c r="BT464" i="49"/>
  <c r="BS149" i="49"/>
  <c r="BT149" i="49"/>
  <c r="BS104" i="49"/>
  <c r="BT104" i="49"/>
  <c r="BS161" i="49"/>
  <c r="BT161" i="49"/>
  <c r="BS68" i="49"/>
  <c r="BT68" i="49"/>
  <c r="BS37" i="49"/>
  <c r="BT37" i="49"/>
  <c r="BS200" i="49"/>
  <c r="BT200" i="49"/>
  <c r="BS100" i="49"/>
  <c r="BT100" i="49"/>
  <c r="BS133" i="49"/>
  <c r="BT133" i="49"/>
  <c r="BS49" i="49"/>
  <c r="BT49" i="49"/>
  <c r="BS428" i="49"/>
  <c r="BT428" i="49"/>
  <c r="BS459" i="49"/>
  <c r="BT459" i="49"/>
  <c r="BS157" i="49"/>
  <c r="BT157" i="49"/>
  <c r="BS185" i="49"/>
  <c r="BT185" i="49"/>
  <c r="BS454" i="49"/>
  <c r="BT454" i="49"/>
  <c r="BS251" i="49"/>
  <c r="BT251" i="49"/>
  <c r="BS275" i="49"/>
  <c r="BT275" i="49"/>
  <c r="BS192" i="49"/>
  <c r="BT192" i="49"/>
  <c r="BS64" i="49"/>
  <c r="BT64" i="49"/>
  <c r="BS368" i="49"/>
  <c r="BT368" i="49"/>
  <c r="BS230" i="49"/>
  <c r="BT230" i="49"/>
  <c r="BS419" i="49"/>
  <c r="BT419" i="49"/>
  <c r="BS145" i="49"/>
  <c r="BT145" i="49"/>
  <c r="BS295" i="49"/>
  <c r="BT295" i="49"/>
  <c r="BS66" i="49"/>
  <c r="BT66" i="49"/>
  <c r="BS493" i="49"/>
  <c r="BT493" i="49"/>
  <c r="BS153" i="49"/>
  <c r="BT153" i="49"/>
  <c r="BS43" i="49"/>
  <c r="BT43" i="49"/>
  <c r="BS458" i="49"/>
  <c r="BT458" i="49"/>
  <c r="BS23" i="49"/>
  <c r="BT23" i="49"/>
  <c r="BS296" i="49"/>
  <c r="BT296" i="49"/>
  <c r="BS27" i="49"/>
  <c r="BT27" i="49"/>
  <c r="BS115" i="49"/>
  <c r="BT115" i="49"/>
  <c r="BS461" i="49"/>
  <c r="BT461" i="49"/>
  <c r="BS414" i="49"/>
  <c r="BT414" i="49"/>
  <c r="BS366" i="49"/>
  <c r="BT366" i="49"/>
  <c r="BS245" i="49"/>
  <c r="BT245" i="49"/>
  <c r="BS67" i="49"/>
  <c r="BT67" i="49"/>
  <c r="BS277" i="49"/>
  <c r="BT277" i="49"/>
  <c r="BS293" i="49"/>
  <c r="BT293" i="49"/>
  <c r="BS18" i="49"/>
  <c r="BT18" i="49"/>
  <c r="BS139" i="49"/>
  <c r="BT139" i="49"/>
  <c r="BS179" i="49"/>
  <c r="BT179" i="49"/>
  <c r="BS112" i="49"/>
  <c r="BT112" i="49"/>
  <c r="BS281" i="49"/>
  <c r="BT281" i="49"/>
  <c r="BS32" i="49"/>
  <c r="BT32" i="49"/>
  <c r="BS318" i="49"/>
  <c r="BT318" i="49"/>
  <c r="BS92" i="49"/>
  <c r="BT92" i="49"/>
  <c r="BS440" i="49"/>
  <c r="BT440" i="49"/>
  <c r="BS380" i="49"/>
  <c r="BT380" i="49"/>
  <c r="BS455" i="49"/>
  <c r="BT455" i="49"/>
  <c r="BS187" i="49"/>
  <c r="BT187" i="49"/>
  <c r="BS189" i="49"/>
  <c r="BT189" i="49"/>
  <c r="BS463" i="49"/>
  <c r="BT463" i="49"/>
  <c r="BS207" i="49"/>
  <c r="BT207" i="49"/>
  <c r="BS169" i="49"/>
  <c r="BT169" i="49"/>
  <c r="BS197" i="49"/>
  <c r="BT197" i="49"/>
  <c r="BS258" i="49"/>
  <c r="BT258" i="49"/>
  <c r="BS443" i="49"/>
  <c r="BT443" i="49"/>
  <c r="BS278" i="49"/>
  <c r="BT278" i="49"/>
  <c r="BS102" i="49"/>
  <c r="BT102" i="49"/>
  <c r="BS388" i="49"/>
  <c r="BT388" i="49"/>
  <c r="BS310" i="49"/>
  <c r="BT310" i="49"/>
  <c r="BS155" i="49"/>
  <c r="BT155" i="49"/>
  <c r="BS118" i="49"/>
  <c r="BT118" i="49"/>
  <c r="BS209" i="49"/>
  <c r="BT209" i="49"/>
  <c r="BS249" i="49"/>
  <c r="BT249" i="49"/>
  <c r="BS324" i="49"/>
  <c r="BT324" i="49"/>
  <c r="BS317" i="49"/>
  <c r="BT317" i="49"/>
  <c r="BS449" i="49"/>
  <c r="BT449" i="49"/>
  <c r="BS390" i="49"/>
  <c r="BT390" i="49"/>
  <c r="BS377" i="49"/>
  <c r="BT377" i="49"/>
  <c r="BS225" i="49"/>
  <c r="BT225" i="49"/>
  <c r="BS346" i="49"/>
  <c r="BT346" i="49"/>
  <c r="BS253" i="49"/>
  <c r="BT253" i="49"/>
  <c r="BS83" i="49"/>
  <c r="BT83" i="49"/>
  <c r="BS22" i="49"/>
  <c r="BT22" i="49"/>
  <c r="BS300" i="49"/>
  <c r="BT300" i="49"/>
  <c r="BS393" i="49"/>
  <c r="BT393" i="49"/>
  <c r="BS143" i="49"/>
  <c r="BT143" i="49"/>
  <c r="BS224" i="49"/>
  <c r="BT224" i="49"/>
  <c r="BS378" i="49"/>
  <c r="BT378" i="49"/>
  <c r="BS55" i="49"/>
  <c r="BT55" i="49"/>
  <c r="BS196" i="49"/>
  <c r="BT196" i="49"/>
  <c r="BS26" i="49"/>
  <c r="BT26" i="49"/>
  <c r="BS240" i="49"/>
  <c r="BT240" i="49"/>
  <c r="BS51" i="49"/>
  <c r="BT51" i="49"/>
  <c r="BS184" i="49"/>
  <c r="BT184" i="49"/>
  <c r="BS452" i="49"/>
  <c r="BT452" i="49"/>
  <c r="BS484" i="49"/>
  <c r="BT484" i="49"/>
  <c r="BS313" i="49"/>
  <c r="BT313" i="49"/>
  <c r="BS114" i="49"/>
  <c r="BT114" i="49"/>
  <c r="BS384" i="49"/>
  <c r="BT384" i="49"/>
  <c r="BS75" i="49"/>
  <c r="BT75" i="49"/>
  <c r="BS487" i="49"/>
  <c r="BT487" i="49"/>
  <c r="BS89" i="49"/>
  <c r="BT89" i="49"/>
  <c r="BS323" i="49"/>
  <c r="BT323" i="49"/>
  <c r="BS81" i="49"/>
  <c r="BT81" i="49"/>
  <c r="BS448" i="49"/>
  <c r="BT448" i="49"/>
  <c r="BS29" i="49"/>
  <c r="BT29" i="49"/>
  <c r="BS303" i="49"/>
  <c r="BT303" i="49"/>
  <c r="BS141" i="49"/>
  <c r="BT141" i="49"/>
  <c r="BS80" i="49"/>
  <c r="BT80" i="49"/>
  <c r="BS218" i="49"/>
  <c r="BT218" i="49"/>
  <c r="BS257" i="49"/>
  <c r="BT257" i="49"/>
  <c r="BS167" i="49"/>
  <c r="BT167" i="49"/>
  <c r="BS274" i="49"/>
  <c r="BT274" i="49"/>
  <c r="BS134" i="49"/>
  <c r="BT134" i="49"/>
  <c r="BS130" i="49"/>
  <c r="BT130" i="49"/>
  <c r="BS325" i="49"/>
  <c r="BT325" i="49"/>
  <c r="BS150" i="49"/>
  <c r="BT150" i="49"/>
  <c r="BS50" i="49"/>
  <c r="BT50" i="49"/>
  <c r="BS217" i="49"/>
  <c r="BT217" i="49"/>
  <c r="BS122" i="49"/>
  <c r="BT122" i="49"/>
  <c r="BS138" i="49"/>
  <c r="BT138" i="49"/>
  <c r="BS151" i="49"/>
  <c r="BT151" i="49"/>
  <c r="BS198" i="49"/>
  <c r="BT198" i="49"/>
  <c r="BS373" i="49"/>
  <c r="BT373" i="49"/>
  <c r="BS486" i="49"/>
  <c r="BT486" i="49"/>
  <c r="BS446" i="49"/>
  <c r="BT446" i="49"/>
  <c r="BS430" i="49"/>
  <c r="BT430" i="49"/>
  <c r="BS490" i="49"/>
  <c r="BT490" i="49"/>
  <c r="BS268" i="49"/>
  <c r="BT268" i="49"/>
  <c r="BS111" i="49"/>
  <c r="BT111" i="49"/>
  <c r="BS426" i="49"/>
  <c r="BT426" i="49"/>
  <c r="BS474" i="49"/>
  <c r="BT474" i="49"/>
  <c r="BS152" i="49"/>
  <c r="BT152" i="49"/>
  <c r="BS162" i="49"/>
  <c r="BT162" i="49"/>
  <c r="BS191" i="49"/>
  <c r="BT191" i="49"/>
  <c r="BS42" i="49"/>
  <c r="BT42" i="49"/>
  <c r="BS166" i="49"/>
  <c r="BT166" i="49"/>
  <c r="BS173" i="49"/>
  <c r="BT173" i="49"/>
  <c r="BS201" i="49"/>
  <c r="BT201" i="49"/>
  <c r="AP465" i="46"/>
  <c r="BS144" i="49"/>
  <c r="BT144" i="49"/>
  <c r="BS93" i="49"/>
  <c r="BT93" i="49"/>
  <c r="BS33" i="49"/>
  <c r="BT33" i="49"/>
  <c r="BS316" i="49"/>
  <c r="BT316" i="49"/>
  <c r="BS214" i="49"/>
  <c r="BT214" i="49"/>
  <c r="BS473" i="49"/>
  <c r="BT473" i="49"/>
  <c r="BS496" i="49"/>
  <c r="BT496" i="49"/>
  <c r="BS87" i="49"/>
  <c r="BT87" i="49"/>
  <c r="BS31" i="49"/>
  <c r="BT31" i="49"/>
  <c r="BS438" i="49"/>
  <c r="BT438" i="49"/>
  <c r="BS312" i="49"/>
  <c r="BT312" i="49"/>
  <c r="BS35" i="49"/>
  <c r="BT35" i="49"/>
  <c r="BS305" i="49"/>
  <c r="BT305" i="49"/>
  <c r="BS453" i="49"/>
  <c r="BT453" i="49"/>
  <c r="BS307" i="49"/>
  <c r="BT307" i="49"/>
  <c r="BS235" i="49"/>
  <c r="BT235" i="49"/>
  <c r="BS348" i="49"/>
  <c r="BT348" i="49"/>
  <c r="BS349" i="49"/>
  <c r="BT349" i="49"/>
  <c r="BS91" i="49"/>
  <c r="BT91" i="49"/>
  <c r="BS120" i="49"/>
  <c r="BT120" i="49"/>
  <c r="BS205" i="49"/>
  <c r="BT205" i="49"/>
  <c r="BS372" i="49"/>
  <c r="BT372" i="49"/>
  <c r="BS306" i="49"/>
  <c r="BT306" i="49"/>
  <c r="BS379" i="49"/>
  <c r="BT379" i="49"/>
  <c r="BS322" i="49"/>
  <c r="BT322" i="49"/>
  <c r="BS456" i="49"/>
  <c r="BT456" i="49"/>
  <c r="BS21" i="49"/>
  <c r="BT21" i="49"/>
  <c r="BS77" i="49"/>
  <c r="BT77" i="49"/>
  <c r="BS88" i="49"/>
  <c r="BT88" i="49"/>
  <c r="BS386" i="49"/>
  <c r="BT386" i="49"/>
  <c r="BS99" i="49"/>
  <c r="BT99" i="49"/>
  <c r="BS261" i="49"/>
  <c r="BT261" i="49"/>
  <c r="BS183" i="49"/>
  <c r="BT183" i="49"/>
  <c r="BS159" i="49"/>
  <c r="BT159" i="49"/>
  <c r="BS410" i="49"/>
  <c r="BT410" i="49"/>
  <c r="BS165" i="49"/>
  <c r="BT165" i="49"/>
  <c r="BS286" i="49"/>
  <c r="BT286" i="49"/>
  <c r="BS314" i="49"/>
  <c r="BT314" i="49"/>
  <c r="BS190" i="49"/>
  <c r="BT190" i="49"/>
  <c r="BS466" i="49"/>
  <c r="BT466" i="49"/>
  <c r="BS242" i="49"/>
  <c r="BT242" i="49"/>
  <c r="BS472" i="49"/>
  <c r="BT472" i="49"/>
  <c r="DZ330" i="49"/>
  <c r="DY330" i="49"/>
  <c r="AV204" i="49"/>
  <c r="AW204" i="49"/>
  <c r="V204" i="49"/>
  <c r="Z204" i="49"/>
  <c r="DR204" i="49"/>
  <c r="DX204" i="49"/>
  <c r="DZ204" i="49"/>
  <c r="AV491" i="49"/>
  <c r="AW491" i="49"/>
  <c r="V491" i="49"/>
  <c r="AN110" i="46"/>
  <c r="AV203" i="49"/>
  <c r="AW203" i="49"/>
  <c r="V203" i="49"/>
  <c r="W203" i="49"/>
  <c r="AV56" i="49"/>
  <c r="AW56" i="49"/>
  <c r="V56" i="49"/>
  <c r="AV74" i="49"/>
  <c r="AW74" i="49"/>
  <c r="V74" i="49"/>
  <c r="AN102" i="46"/>
  <c r="AV312" i="49"/>
  <c r="AW312" i="49"/>
  <c r="V312" i="49"/>
  <c r="AN278" i="46"/>
  <c r="AV493" i="49"/>
  <c r="AW493" i="49"/>
  <c r="V493" i="49"/>
  <c r="AN111" i="46"/>
  <c r="Z56" i="49"/>
  <c r="DR56" i="49"/>
  <c r="DX56" i="49"/>
  <c r="AN76" i="46"/>
  <c r="AR76" i="46"/>
  <c r="W466" i="49"/>
  <c r="AO543" i="46"/>
  <c r="BU466" i="49"/>
  <c r="W77" i="49"/>
  <c r="AO172" i="46"/>
  <c r="BU77" i="49"/>
  <c r="W235" i="49"/>
  <c r="AO236" i="46"/>
  <c r="BU235" i="49"/>
  <c r="W87" i="49"/>
  <c r="AO130" i="46"/>
  <c r="BU87" i="49"/>
  <c r="W166" i="49"/>
  <c r="AO293" i="46"/>
  <c r="BU166" i="49"/>
  <c r="W150" i="49"/>
  <c r="AO317" i="46"/>
  <c r="BU150" i="49"/>
  <c r="W313" i="49"/>
  <c r="AO371" i="46"/>
  <c r="BU313" i="49"/>
  <c r="W253" i="49"/>
  <c r="AO284" i="46"/>
  <c r="BU253" i="49"/>
  <c r="W443" i="49"/>
  <c r="AO531" i="46"/>
  <c r="BU443" i="49"/>
  <c r="W318" i="49"/>
  <c r="AO363" i="46"/>
  <c r="BU318" i="49"/>
  <c r="W296" i="49"/>
  <c r="AO286" i="46"/>
  <c r="BU296" i="49"/>
  <c r="W454" i="49"/>
  <c r="AO517" i="46"/>
  <c r="BU454" i="49"/>
  <c r="W410" i="49"/>
  <c r="AO479" i="46"/>
  <c r="BU410" i="49"/>
  <c r="W91" i="49"/>
  <c r="AO132" i="46"/>
  <c r="BU91" i="49"/>
  <c r="W312" i="49"/>
  <c r="W33" i="49"/>
  <c r="AO30" i="46"/>
  <c r="BU33" i="49"/>
  <c r="W474" i="49"/>
  <c r="AO547" i="46"/>
  <c r="BU474" i="49"/>
  <c r="W122" i="49"/>
  <c r="AO155" i="46"/>
  <c r="BU122" i="49"/>
  <c r="W141" i="49"/>
  <c r="AO296" i="46"/>
  <c r="BU141" i="49"/>
  <c r="W484" i="49"/>
  <c r="AO568" i="46"/>
  <c r="BU484" i="49"/>
  <c r="W300" i="49"/>
  <c r="AO219" i="46"/>
  <c r="BU300" i="49"/>
  <c r="W209" i="49"/>
  <c r="AO209" i="46"/>
  <c r="BU209" i="49"/>
  <c r="W463" i="49"/>
  <c r="AO553" i="46"/>
  <c r="BU463" i="49"/>
  <c r="W139" i="49"/>
  <c r="AO340" i="46"/>
  <c r="BU139" i="49"/>
  <c r="W23" i="49"/>
  <c r="AO23" i="46"/>
  <c r="BU23" i="49"/>
  <c r="W493" i="49"/>
  <c r="W192" i="49"/>
  <c r="AO222" i="46"/>
  <c r="BU192" i="49"/>
  <c r="W49" i="49"/>
  <c r="AO64" i="46"/>
  <c r="BU49" i="49"/>
  <c r="W37" i="49"/>
  <c r="AO31" i="46"/>
  <c r="BU37" i="49"/>
  <c r="W149" i="49"/>
  <c r="AO271" i="46"/>
  <c r="BU149" i="49"/>
  <c r="W358" i="49"/>
  <c r="AO414" i="46"/>
  <c r="BU358" i="49"/>
  <c r="W54" i="49"/>
  <c r="AO77" i="46"/>
  <c r="BU54" i="49"/>
  <c r="W457" i="49"/>
  <c r="AO516" i="46"/>
  <c r="BU457" i="49"/>
  <c r="BS500" i="49"/>
  <c r="BS2" i="49"/>
  <c r="BT5" i="49"/>
  <c r="W12" i="49"/>
  <c r="AO13" i="46"/>
  <c r="BU12" i="49"/>
  <c r="W429" i="49"/>
  <c r="AO493" i="46"/>
  <c r="BU429" i="49"/>
  <c r="W74" i="49"/>
  <c r="W11" i="49"/>
  <c r="AO15" i="46"/>
  <c r="BU11" i="49"/>
  <c r="W432" i="49"/>
  <c r="AO507" i="46"/>
  <c r="BU432" i="49"/>
  <c r="W171" i="49"/>
  <c r="AO190" i="46"/>
  <c r="BU171" i="49"/>
  <c r="W470" i="49"/>
  <c r="AO548" i="46"/>
  <c r="BU470" i="49"/>
  <c r="W34" i="49"/>
  <c r="AO29" i="46"/>
  <c r="BU34" i="49"/>
  <c r="W9" i="49"/>
  <c r="AO10" i="46"/>
  <c r="BU9" i="49"/>
  <c r="W362" i="49"/>
  <c r="AO408" i="46"/>
  <c r="BU362" i="49"/>
  <c r="W431" i="49"/>
  <c r="AO508" i="46"/>
  <c r="BU431" i="49"/>
  <c r="W40" i="49"/>
  <c r="AO46" i="46"/>
  <c r="BU40" i="49"/>
  <c r="W422" i="49"/>
  <c r="AO488" i="46"/>
  <c r="BU422" i="49"/>
  <c r="W423" i="49"/>
  <c r="AO486" i="46"/>
  <c r="BU423" i="49"/>
  <c r="W288" i="49"/>
  <c r="AO280" i="46"/>
  <c r="BU288" i="49"/>
  <c r="W177" i="49"/>
  <c r="AO256" i="46"/>
  <c r="BU177" i="49"/>
  <c r="W231" i="49"/>
  <c r="AO189" i="46"/>
  <c r="BU231" i="49"/>
  <c r="W182" i="49"/>
  <c r="AO214" i="46"/>
  <c r="BU182" i="49"/>
  <c r="W469" i="49"/>
  <c r="AO549" i="46"/>
  <c r="BU469" i="49"/>
  <c r="W238" i="49"/>
  <c r="AO243" i="46"/>
  <c r="BU238" i="49"/>
  <c r="W98" i="49"/>
  <c r="AO144" i="46"/>
  <c r="BU98" i="49"/>
  <c r="W462" i="49"/>
  <c r="AO542" i="46"/>
  <c r="BU462" i="49"/>
  <c r="W195" i="49"/>
  <c r="AO347" i="46"/>
  <c r="BU195" i="49"/>
  <c r="W285" i="49"/>
  <c r="AO276" i="46"/>
  <c r="BU285" i="49"/>
  <c r="W284" i="49"/>
  <c r="AO183" i="46"/>
  <c r="BU284" i="49"/>
  <c r="W105" i="49"/>
  <c r="AO150" i="46"/>
  <c r="BU105" i="49"/>
  <c r="W297" i="49"/>
  <c r="AO230" i="46"/>
  <c r="BU297" i="49"/>
  <c r="W263" i="49"/>
  <c r="AO179" i="46"/>
  <c r="BU263" i="49"/>
  <c r="W398" i="49"/>
  <c r="AO432" i="46"/>
  <c r="BU398" i="49"/>
  <c r="W262" i="49"/>
  <c r="AO316" i="46"/>
  <c r="BU262" i="49"/>
  <c r="W290" i="49"/>
  <c r="AO281" i="46"/>
  <c r="BU290" i="49"/>
  <c r="W391" i="49"/>
  <c r="AO460" i="46"/>
  <c r="BU391" i="49"/>
  <c r="W416" i="49"/>
  <c r="AO476" i="46"/>
  <c r="BU416" i="49"/>
  <c r="W175" i="49"/>
  <c r="AO186" i="46"/>
  <c r="BU175" i="49"/>
  <c r="W332" i="49"/>
  <c r="W248" i="49"/>
  <c r="AO300" i="46"/>
  <c r="BU248" i="49"/>
  <c r="W79" i="49"/>
  <c r="AO166" i="46"/>
  <c r="BU79" i="49"/>
  <c r="W483" i="49"/>
  <c r="AO563" i="46"/>
  <c r="BU483" i="49"/>
  <c r="W498" i="49"/>
  <c r="AO580" i="46"/>
  <c r="BU498" i="49"/>
  <c r="W404" i="49"/>
  <c r="AO484" i="46"/>
  <c r="BU404" i="49"/>
  <c r="W494" i="49"/>
  <c r="AO113" i="46"/>
  <c r="BU494" i="49"/>
  <c r="W442" i="49"/>
  <c r="AO535" i="46"/>
  <c r="BU442" i="49"/>
  <c r="W363" i="49"/>
  <c r="AO421" i="46"/>
  <c r="BU363" i="49"/>
  <c r="W383" i="49"/>
  <c r="AO459" i="46"/>
  <c r="BU383" i="49"/>
  <c r="W243" i="49"/>
  <c r="AO349" i="46"/>
  <c r="BU243" i="49"/>
  <c r="W409" i="49"/>
  <c r="AO480" i="46"/>
  <c r="BU409" i="49"/>
  <c r="W356" i="49"/>
  <c r="AO412" i="46"/>
  <c r="BU356" i="49"/>
  <c r="W109" i="49"/>
  <c r="AO160" i="46"/>
  <c r="BU109" i="49"/>
  <c r="W113" i="49"/>
  <c r="AO158" i="46"/>
  <c r="BU113" i="49"/>
  <c r="W101" i="49"/>
  <c r="AO148" i="46"/>
  <c r="BU101" i="49"/>
  <c r="W124" i="49"/>
  <c r="AO162" i="46"/>
  <c r="BU124" i="49"/>
  <c r="W478" i="49"/>
  <c r="AO566" i="46"/>
  <c r="BU478" i="49"/>
  <c r="W39" i="49"/>
  <c r="AO44" i="46"/>
  <c r="BU39" i="49"/>
  <c r="AQ198" i="46"/>
  <c r="AQ358" i="46"/>
  <c r="AQ582" i="46"/>
  <c r="Y500" i="49"/>
  <c r="Y2" i="49"/>
  <c r="W301" i="49"/>
  <c r="AO302" i="46"/>
  <c r="BU301" i="49"/>
  <c r="W78" i="49"/>
  <c r="AO128" i="46"/>
  <c r="BU78" i="49"/>
  <c r="W164" i="49"/>
  <c r="AO241" i="46"/>
  <c r="BU164" i="49"/>
  <c r="W106" i="49"/>
  <c r="AO133" i="46"/>
  <c r="BU106" i="49"/>
  <c r="W140" i="49"/>
  <c r="AO215" i="46"/>
  <c r="BU140" i="49"/>
  <c r="W266" i="49"/>
  <c r="AO314" i="46"/>
  <c r="BU266" i="49"/>
  <c r="W158" i="49"/>
  <c r="AO354" i="46"/>
  <c r="BU158" i="49"/>
  <c r="W227" i="49"/>
  <c r="AO338" i="46"/>
  <c r="BU227" i="49"/>
  <c r="W360" i="49"/>
  <c r="BU360" i="49"/>
  <c r="AV261" i="49"/>
  <c r="AW261" i="49"/>
  <c r="V261" i="49"/>
  <c r="AV58" i="49"/>
  <c r="AW58" i="49"/>
  <c r="V58" i="49"/>
  <c r="AV352" i="49"/>
  <c r="AW352" i="49"/>
  <c r="V352" i="49"/>
  <c r="AV125" i="49"/>
  <c r="AW125" i="49"/>
  <c r="V125" i="49"/>
  <c r="AV310" i="49"/>
  <c r="AW310" i="49"/>
  <c r="V310" i="49"/>
  <c r="AV385" i="49"/>
  <c r="AW385" i="49"/>
  <c r="V385" i="49"/>
  <c r="AV274" i="49"/>
  <c r="AW274" i="49"/>
  <c r="V274" i="49"/>
  <c r="AV66" i="49"/>
  <c r="AW66" i="49"/>
  <c r="V66" i="49"/>
  <c r="AV134" i="49"/>
  <c r="AW134" i="49"/>
  <c r="V134" i="49"/>
  <c r="AV343" i="49"/>
  <c r="AW343" i="49"/>
  <c r="V343" i="49"/>
  <c r="AV143" i="49"/>
  <c r="AW143" i="49"/>
  <c r="V143" i="49"/>
  <c r="AV47" i="49"/>
  <c r="AW47" i="49"/>
  <c r="V47" i="49"/>
  <c r="AV30" i="49"/>
  <c r="AW30" i="49"/>
  <c r="V30" i="49"/>
  <c r="AV448" i="49"/>
  <c r="AW448" i="49"/>
  <c r="V448" i="49"/>
  <c r="AV219" i="49"/>
  <c r="AW219" i="49"/>
  <c r="V219" i="49"/>
  <c r="AV186" i="49"/>
  <c r="AW186" i="49"/>
  <c r="V186" i="49"/>
  <c r="AV368" i="49"/>
  <c r="AW368" i="49"/>
  <c r="V368" i="49"/>
  <c r="AV130" i="49"/>
  <c r="AW130" i="49"/>
  <c r="V130" i="49"/>
  <c r="AV163" i="49"/>
  <c r="AW163" i="49"/>
  <c r="V163" i="49"/>
  <c r="AV109" i="49"/>
  <c r="AW109" i="49"/>
  <c r="V109" i="49"/>
  <c r="AV390" i="49"/>
  <c r="AW390" i="49"/>
  <c r="V390" i="49"/>
  <c r="AV290" i="49"/>
  <c r="AW290" i="49"/>
  <c r="V290" i="49"/>
  <c r="AV131" i="49"/>
  <c r="AW131" i="49"/>
  <c r="V131" i="49"/>
  <c r="AV29" i="49"/>
  <c r="AW29" i="49"/>
  <c r="V29" i="49"/>
  <c r="AV311" i="49"/>
  <c r="AW311" i="49"/>
  <c r="V311" i="49"/>
  <c r="AV439" i="49"/>
  <c r="AW439" i="49"/>
  <c r="V439" i="49"/>
  <c r="AV152" i="49"/>
  <c r="AW152" i="49"/>
  <c r="V152" i="49"/>
  <c r="AV320" i="49"/>
  <c r="AW320" i="49"/>
  <c r="V320" i="49"/>
  <c r="AV490" i="49"/>
  <c r="AW490" i="49"/>
  <c r="V490" i="49"/>
  <c r="AV296" i="49"/>
  <c r="AW296" i="49"/>
  <c r="V296" i="49"/>
  <c r="AV482" i="49"/>
  <c r="AW482" i="49"/>
  <c r="V482" i="49"/>
  <c r="AV292" i="49"/>
  <c r="AW292" i="49"/>
  <c r="V292" i="49"/>
  <c r="AV317" i="49"/>
  <c r="AW317" i="49"/>
  <c r="V317" i="49"/>
  <c r="AV437" i="49"/>
  <c r="AW437" i="49"/>
  <c r="V437" i="49"/>
  <c r="AV33" i="49"/>
  <c r="AW33" i="49"/>
  <c r="V33" i="49"/>
  <c r="AV81" i="49"/>
  <c r="AW81" i="49"/>
  <c r="V81" i="49"/>
  <c r="AV224" i="49"/>
  <c r="AW224" i="49"/>
  <c r="V224" i="49"/>
  <c r="AV471" i="49"/>
  <c r="AW471" i="49"/>
  <c r="V471" i="49"/>
  <c r="AV460" i="49"/>
  <c r="AW460" i="49"/>
  <c r="V460" i="49"/>
  <c r="AV377" i="49"/>
  <c r="AW377" i="49"/>
  <c r="V377" i="49"/>
  <c r="AV319" i="49"/>
  <c r="AW319" i="49"/>
  <c r="V319" i="49"/>
  <c r="AV281" i="49"/>
  <c r="AW281" i="49"/>
  <c r="V281" i="49"/>
  <c r="AV138" i="49"/>
  <c r="AW138" i="49"/>
  <c r="V138" i="49"/>
  <c r="AV157" i="49"/>
  <c r="AW157" i="49"/>
  <c r="V157" i="49"/>
  <c r="AV79" i="49"/>
  <c r="AW79" i="49"/>
  <c r="V79" i="49"/>
  <c r="AV123" i="49"/>
  <c r="AW123" i="49"/>
  <c r="V123" i="49"/>
  <c r="AV48" i="49"/>
  <c r="AW48" i="49"/>
  <c r="V48" i="49"/>
  <c r="AV52" i="49"/>
  <c r="AW52" i="49"/>
  <c r="V52" i="49"/>
  <c r="W165" i="49"/>
  <c r="AO292" i="46"/>
  <c r="BU165" i="49"/>
  <c r="W379" i="49"/>
  <c r="AO445" i="46"/>
  <c r="BU379" i="49"/>
  <c r="W316" i="49"/>
  <c r="AO368" i="46"/>
  <c r="BU316" i="49"/>
  <c r="W268" i="49"/>
  <c r="AO311" i="46"/>
  <c r="BU268" i="49"/>
  <c r="W274" i="49"/>
  <c r="AO234" i="46"/>
  <c r="BU274" i="49"/>
  <c r="W487" i="49"/>
  <c r="AO571" i="46"/>
  <c r="BU487" i="49"/>
  <c r="W393" i="49"/>
  <c r="AO440" i="46"/>
  <c r="BU393" i="49"/>
  <c r="W310" i="49"/>
  <c r="AO192" i="46"/>
  <c r="BU310" i="49"/>
  <c r="W455" i="49"/>
  <c r="AO519" i="46"/>
  <c r="BU455" i="49"/>
  <c r="W414" i="49"/>
  <c r="AO485" i="46"/>
  <c r="BU414" i="49"/>
  <c r="W428" i="49"/>
  <c r="AO494" i="46"/>
  <c r="BU428" i="49"/>
  <c r="W99" i="49"/>
  <c r="AO127" i="46"/>
  <c r="BU99" i="49"/>
  <c r="W306" i="49"/>
  <c r="AO204" i="46"/>
  <c r="BU306" i="49"/>
  <c r="W307" i="49"/>
  <c r="AO203" i="46"/>
  <c r="BU307" i="49"/>
  <c r="W496" i="49"/>
  <c r="AO578" i="46"/>
  <c r="BU496" i="49"/>
  <c r="W42" i="49"/>
  <c r="AO56" i="46"/>
  <c r="BU42" i="49"/>
  <c r="W373" i="49"/>
  <c r="AO441" i="46"/>
  <c r="BU373" i="49"/>
  <c r="W167" i="49"/>
  <c r="AO294" i="46"/>
  <c r="BU167" i="49"/>
  <c r="W75" i="49"/>
  <c r="AO101" i="46"/>
  <c r="BU75" i="49"/>
  <c r="W378" i="49"/>
  <c r="AO443" i="46"/>
  <c r="BU378" i="49"/>
  <c r="W449" i="49"/>
  <c r="AO518" i="46"/>
  <c r="BU449" i="49"/>
  <c r="W258" i="49"/>
  <c r="AO248" i="46"/>
  <c r="BU258" i="49"/>
  <c r="W32" i="49"/>
  <c r="AO27" i="46"/>
  <c r="BU32" i="49"/>
  <c r="W461" i="49"/>
  <c r="AO545" i="46"/>
  <c r="BU461" i="49"/>
  <c r="W419" i="49"/>
  <c r="AO468" i="46"/>
  <c r="BU419" i="49"/>
  <c r="W472" i="49"/>
  <c r="AO538" i="46"/>
  <c r="BU472" i="49"/>
  <c r="W159" i="49"/>
  <c r="AO309" i="46"/>
  <c r="BU159" i="49"/>
  <c r="W456" i="49"/>
  <c r="AO525" i="46"/>
  <c r="BU456" i="49"/>
  <c r="W372" i="49"/>
  <c r="AO446" i="46"/>
  <c r="BU372" i="49"/>
  <c r="W349" i="49"/>
  <c r="AO419" i="46"/>
  <c r="BU349" i="49"/>
  <c r="W453" i="49"/>
  <c r="AO527" i="46"/>
  <c r="BU453" i="49"/>
  <c r="W438" i="49"/>
  <c r="AO551" i="46"/>
  <c r="BU438" i="49"/>
  <c r="W473" i="49"/>
  <c r="AO552" i="46"/>
  <c r="BU473" i="49"/>
  <c r="W93" i="49"/>
  <c r="AO174" i="46"/>
  <c r="BU93" i="49"/>
  <c r="W201" i="49"/>
  <c r="AO305" i="46"/>
  <c r="BU201" i="49"/>
  <c r="W191" i="49"/>
  <c r="AO202" i="46"/>
  <c r="BU191" i="49"/>
  <c r="W426" i="49"/>
  <c r="AO489" i="46"/>
  <c r="BU426" i="49"/>
  <c r="W430" i="49"/>
  <c r="AO495" i="46"/>
  <c r="BU430" i="49"/>
  <c r="W198" i="49"/>
  <c r="AO341" i="46"/>
  <c r="BU198" i="49"/>
  <c r="W217" i="49"/>
  <c r="AO274" i="46"/>
  <c r="BU217" i="49"/>
  <c r="W130" i="49"/>
  <c r="AO153" i="46"/>
  <c r="BU130" i="49"/>
  <c r="W257" i="49"/>
  <c r="AO217" i="46"/>
  <c r="BU257" i="49"/>
  <c r="W303" i="49"/>
  <c r="AO295" i="46"/>
  <c r="BU303" i="49"/>
  <c r="W323" i="49"/>
  <c r="AO370" i="46"/>
  <c r="BU323" i="49"/>
  <c r="W384" i="49"/>
  <c r="AO429" i="46"/>
  <c r="BU384" i="49"/>
  <c r="W452" i="49"/>
  <c r="AO520" i="46"/>
  <c r="BU452" i="49"/>
  <c r="W26" i="49"/>
  <c r="AO41" i="46"/>
  <c r="BU26" i="49"/>
  <c r="W224" i="49"/>
  <c r="AO247" i="46"/>
  <c r="BU224" i="49"/>
  <c r="W22" i="49"/>
  <c r="AO24" i="46"/>
  <c r="BU22" i="49"/>
  <c r="W225" i="49"/>
  <c r="AO207" i="46"/>
  <c r="BU225" i="49"/>
  <c r="W317" i="49"/>
  <c r="AO372" i="46"/>
  <c r="BU317" i="49"/>
  <c r="W118" i="49"/>
  <c r="AO145" i="46"/>
  <c r="BU118" i="49"/>
  <c r="W102" i="49"/>
  <c r="AO163" i="46"/>
  <c r="BU102" i="49"/>
  <c r="W197" i="49"/>
  <c r="AO323" i="46"/>
  <c r="BU197" i="49"/>
  <c r="W189" i="49"/>
  <c r="AO330" i="46"/>
  <c r="BU189" i="49"/>
  <c r="W440" i="49"/>
  <c r="AO529" i="46"/>
  <c r="BU440" i="49"/>
  <c r="W281" i="49"/>
  <c r="AO310" i="46"/>
  <c r="BU281" i="49"/>
  <c r="W18" i="49"/>
  <c r="AO36" i="46"/>
  <c r="BU18" i="49"/>
  <c r="W245" i="49"/>
  <c r="AO232" i="46"/>
  <c r="BU245" i="49"/>
  <c r="W115" i="49"/>
  <c r="AO140" i="46"/>
  <c r="BU115" i="49"/>
  <c r="W458" i="49"/>
  <c r="AO524" i="46"/>
  <c r="BU458" i="49"/>
  <c r="W66" i="49"/>
  <c r="AO88" i="46"/>
  <c r="BU66" i="49"/>
  <c r="W230" i="49"/>
  <c r="AO240" i="46"/>
  <c r="BU230" i="49"/>
  <c r="W275" i="49"/>
  <c r="AO339" i="46"/>
  <c r="BU275" i="49"/>
  <c r="W157" i="49"/>
  <c r="AO351" i="46"/>
  <c r="BU157" i="49"/>
  <c r="W133" i="49"/>
  <c r="AO242" i="46"/>
  <c r="BU133" i="49"/>
  <c r="W68" i="49"/>
  <c r="AO86" i="46"/>
  <c r="BU68" i="49"/>
  <c r="W464" i="49"/>
  <c r="AO546" i="46"/>
  <c r="BU464" i="49"/>
  <c r="W19" i="49"/>
  <c r="AO35" i="46"/>
  <c r="BU19" i="49"/>
  <c r="W482" i="49"/>
  <c r="AO565" i="46"/>
  <c r="BU482" i="49"/>
  <c r="W321" i="49"/>
  <c r="AO373" i="46"/>
  <c r="BU321" i="49"/>
  <c r="W450" i="49"/>
  <c r="AO536" i="46"/>
  <c r="BU450" i="49"/>
  <c r="W52" i="49"/>
  <c r="AO62" i="46"/>
  <c r="BU52" i="49"/>
  <c r="W492" i="49"/>
  <c r="AO109" i="46"/>
  <c r="W302" i="49"/>
  <c r="AO303" i="46"/>
  <c r="BU302" i="49"/>
  <c r="W188" i="49"/>
  <c r="AO265" i="46"/>
  <c r="BU188" i="49"/>
  <c r="W359" i="49"/>
  <c r="AO410" i="46"/>
  <c r="BU359" i="49"/>
  <c r="W70" i="49"/>
  <c r="AO92" i="46"/>
  <c r="BU70" i="49"/>
  <c r="W47" i="49"/>
  <c r="AO60" i="46"/>
  <c r="BU47" i="49"/>
  <c r="W28" i="49"/>
  <c r="AO42" i="46"/>
  <c r="BU28" i="49"/>
  <c r="W350" i="49"/>
  <c r="AO416" i="46"/>
  <c r="BU350" i="49"/>
  <c r="W94" i="49"/>
  <c r="AO123" i="46"/>
  <c r="BU94" i="49"/>
  <c r="W433" i="49"/>
  <c r="AO506" i="46"/>
  <c r="BU433" i="49"/>
  <c r="W479" i="49"/>
  <c r="AO560" i="46"/>
  <c r="W392" i="49"/>
  <c r="AO437" i="46"/>
  <c r="BU392" i="49"/>
  <c r="W212" i="49"/>
  <c r="AO273" i="46"/>
  <c r="BU212" i="49"/>
  <c r="W273" i="49"/>
  <c r="AO233" i="46"/>
  <c r="BU273" i="49"/>
  <c r="W369" i="49"/>
  <c r="AO431" i="46"/>
  <c r="BU369" i="49"/>
  <c r="W406" i="49"/>
  <c r="AO475" i="46"/>
  <c r="BU406" i="49"/>
  <c r="W367" i="49"/>
  <c r="AO454" i="46"/>
  <c r="BU367" i="49"/>
  <c r="W291" i="49"/>
  <c r="AO188" i="46"/>
  <c r="BU291" i="49"/>
  <c r="W259" i="49"/>
  <c r="AO322" i="46"/>
  <c r="BU259" i="49"/>
  <c r="W424" i="49"/>
  <c r="AO487" i="46"/>
  <c r="BU424" i="49"/>
  <c r="W405" i="49"/>
  <c r="AO471" i="46"/>
  <c r="BU405" i="49"/>
  <c r="W374" i="49"/>
  <c r="AO448" i="46"/>
  <c r="BU374" i="49"/>
  <c r="W244" i="49"/>
  <c r="AO326" i="46"/>
  <c r="BU244" i="49"/>
  <c r="W270" i="49"/>
  <c r="AO239" i="46"/>
  <c r="BU270" i="49"/>
  <c r="W283" i="49"/>
  <c r="AO182" i="46"/>
  <c r="BU283" i="49"/>
  <c r="W280" i="49"/>
  <c r="AO312" i="46"/>
  <c r="BU280" i="49"/>
  <c r="W216" i="49"/>
  <c r="AO336" i="46"/>
  <c r="BU216" i="49"/>
  <c r="W397" i="49"/>
  <c r="AO438" i="46"/>
  <c r="BU397" i="49"/>
  <c r="W309" i="49"/>
  <c r="AO337" i="46"/>
  <c r="BU309" i="49"/>
  <c r="W329" i="49"/>
  <c r="AO380" i="46"/>
  <c r="BU329" i="49"/>
  <c r="W480" i="49"/>
  <c r="AO561" i="46"/>
  <c r="BU480" i="49"/>
  <c r="W228" i="49"/>
  <c r="AO297" i="46"/>
  <c r="BU228" i="49"/>
  <c r="W476" i="49"/>
  <c r="AO567" i="46"/>
  <c r="BU476" i="49"/>
  <c r="W46" i="49"/>
  <c r="AO58" i="46"/>
  <c r="BU46" i="49"/>
  <c r="AV6" i="49"/>
  <c r="AW6" i="49"/>
  <c r="V6" i="49"/>
  <c r="W215" i="49"/>
  <c r="AO223" i="46"/>
  <c r="BU215" i="49"/>
  <c r="W126" i="49"/>
  <c r="AO138" i="46"/>
  <c r="BU126" i="49"/>
  <c r="W467" i="49"/>
  <c r="AO554" i="46"/>
  <c r="BU467" i="49"/>
  <c r="W174" i="49"/>
  <c r="AO550" i="46"/>
  <c r="BU174" i="49"/>
  <c r="W357" i="49"/>
  <c r="AO415" i="46"/>
  <c r="BU357" i="49"/>
  <c r="W252" i="49"/>
  <c r="AO304" i="46"/>
  <c r="BU252" i="49"/>
  <c r="W160" i="49"/>
  <c r="AO353" i="46"/>
  <c r="BU160" i="49"/>
  <c r="W210" i="49"/>
  <c r="AO332" i="46"/>
  <c r="BU210" i="49"/>
  <c r="W44" i="49"/>
  <c r="AO55" i="46"/>
  <c r="BU44" i="49"/>
  <c r="W451" i="49"/>
  <c r="AO522" i="46"/>
  <c r="BU451" i="49"/>
  <c r="W156" i="49"/>
  <c r="AO221" i="46"/>
  <c r="BU156" i="49"/>
  <c r="W208" i="49"/>
  <c r="AO210" i="46"/>
  <c r="BU208" i="49"/>
  <c r="W354" i="49"/>
  <c r="AO411" i="46"/>
  <c r="BU354" i="49"/>
  <c r="W315" i="49"/>
  <c r="AO366" i="46"/>
  <c r="BU315" i="49"/>
  <c r="W132" i="49"/>
  <c r="AO285" i="46"/>
  <c r="BU132" i="49"/>
  <c r="W331" i="49"/>
  <c r="AO378" i="46"/>
  <c r="BU331" i="49"/>
  <c r="W265" i="49"/>
  <c r="AO244" i="46"/>
  <c r="BU265" i="49"/>
  <c r="W460" i="49"/>
  <c r="AO530" i="46"/>
  <c r="BU460" i="49"/>
  <c r="W282" i="49"/>
  <c r="AO282" i="46"/>
  <c r="BU282" i="49"/>
  <c r="W326" i="49"/>
  <c r="AO375" i="46"/>
  <c r="BU326" i="49"/>
  <c r="W136" i="49"/>
  <c r="AO342" i="46"/>
  <c r="BU136" i="49"/>
  <c r="W333" i="49"/>
  <c r="AO390" i="46"/>
  <c r="BU333" i="49"/>
  <c r="W427" i="49"/>
  <c r="AO496" i="46"/>
  <c r="BU427" i="49"/>
  <c r="W117" i="49"/>
  <c r="AO124" i="46"/>
  <c r="BU117" i="49"/>
  <c r="W250" i="49"/>
  <c r="AO208" i="46"/>
  <c r="BU250" i="49"/>
  <c r="W365" i="49"/>
  <c r="AO457" i="46"/>
  <c r="BU365" i="49"/>
  <c r="W85" i="49"/>
  <c r="AO170" i="46"/>
  <c r="BU85" i="49"/>
  <c r="W123" i="49"/>
  <c r="AO152" i="46"/>
  <c r="BU123" i="49"/>
  <c r="W311" i="49"/>
  <c r="AO218" i="46"/>
  <c r="BU311" i="49"/>
  <c r="AV453" i="49"/>
  <c r="AW453" i="49"/>
  <c r="V453" i="49"/>
  <c r="AV142" i="49"/>
  <c r="AW142" i="49"/>
  <c r="V142" i="49"/>
  <c r="AV184" i="49"/>
  <c r="AW184" i="49"/>
  <c r="V184" i="49"/>
  <c r="AV380" i="49"/>
  <c r="AW380" i="49"/>
  <c r="V380" i="49"/>
  <c r="AV59" i="49"/>
  <c r="AW59" i="49"/>
  <c r="V59" i="49"/>
  <c r="AV82" i="49"/>
  <c r="AW82" i="49"/>
  <c r="V82" i="49"/>
  <c r="AV60" i="49"/>
  <c r="AW60" i="49"/>
  <c r="V60" i="49"/>
  <c r="AV170" i="49"/>
  <c r="AW170" i="49"/>
  <c r="V170" i="49"/>
  <c r="AV265" i="49"/>
  <c r="AW265" i="49"/>
  <c r="V265" i="49"/>
  <c r="AV247" i="49"/>
  <c r="AW247" i="49"/>
  <c r="V247" i="49"/>
  <c r="AV26" i="49"/>
  <c r="AW26" i="49"/>
  <c r="V26" i="49"/>
  <c r="AV485" i="49"/>
  <c r="AW485" i="49"/>
  <c r="V485" i="49"/>
  <c r="AV44" i="49"/>
  <c r="AW44" i="49"/>
  <c r="V44" i="49"/>
  <c r="AV122" i="49"/>
  <c r="AW122" i="49"/>
  <c r="V122" i="49"/>
  <c r="AV354" i="49"/>
  <c r="AW354" i="49"/>
  <c r="V354" i="49"/>
  <c r="AV87" i="49"/>
  <c r="AW87" i="49"/>
  <c r="V87" i="49"/>
  <c r="AV243" i="49"/>
  <c r="AW243" i="49"/>
  <c r="V243" i="49"/>
  <c r="AV146" i="49"/>
  <c r="AW146" i="49"/>
  <c r="V146" i="49"/>
  <c r="AV160" i="49"/>
  <c r="AW160" i="49"/>
  <c r="V160" i="49"/>
  <c r="AV72" i="49"/>
  <c r="AW72" i="49"/>
  <c r="V72" i="49"/>
  <c r="AV167" i="49"/>
  <c r="AW167" i="49"/>
  <c r="V167" i="49"/>
  <c r="AV253" i="49"/>
  <c r="AW253" i="49"/>
  <c r="V253" i="49"/>
  <c r="AV124" i="49"/>
  <c r="AW124" i="49"/>
  <c r="V124" i="49"/>
  <c r="AV55" i="49"/>
  <c r="AW55" i="49"/>
  <c r="V55" i="49"/>
  <c r="AV145" i="49"/>
  <c r="AW145" i="49"/>
  <c r="V145" i="49"/>
  <c r="AV428" i="49"/>
  <c r="AW428" i="49"/>
  <c r="V428" i="49"/>
  <c r="AV235" i="49"/>
  <c r="AW235" i="49"/>
  <c r="V235" i="49"/>
  <c r="AV461" i="49"/>
  <c r="AW461" i="49"/>
  <c r="V461" i="49"/>
  <c r="AV384" i="49"/>
  <c r="AW384" i="49"/>
  <c r="V384" i="49"/>
  <c r="AV240" i="49"/>
  <c r="AW240" i="49"/>
  <c r="V240" i="49"/>
  <c r="AV187" i="49"/>
  <c r="AW187" i="49"/>
  <c r="V187" i="49"/>
  <c r="AV42" i="49"/>
  <c r="AW42" i="49"/>
  <c r="V42" i="49"/>
  <c r="AV438" i="49"/>
  <c r="AW438" i="49"/>
  <c r="V438" i="49"/>
  <c r="AV165" i="49"/>
  <c r="AW165" i="49"/>
  <c r="V165" i="49"/>
  <c r="AV112" i="49"/>
  <c r="AW112" i="49"/>
  <c r="V112" i="49"/>
  <c r="AV21" i="49"/>
  <c r="AW21" i="49"/>
  <c r="V21" i="49"/>
  <c r="AV126" i="49"/>
  <c r="AW126" i="49"/>
  <c r="V126" i="49"/>
  <c r="AV161" i="49"/>
  <c r="AW161" i="49"/>
  <c r="V161" i="49"/>
  <c r="AV9" i="49"/>
  <c r="AW9" i="49"/>
  <c r="V9" i="49"/>
  <c r="AV404" i="49"/>
  <c r="AW404" i="49"/>
  <c r="V404" i="49"/>
  <c r="AV140" i="49"/>
  <c r="AW140" i="49"/>
  <c r="V140" i="49"/>
  <c r="AV77" i="49"/>
  <c r="AW77" i="49"/>
  <c r="V77" i="49"/>
  <c r="AV154" i="49"/>
  <c r="AW154" i="49"/>
  <c r="V154" i="49"/>
  <c r="AV379" i="49"/>
  <c r="AW379" i="49"/>
  <c r="V379" i="49"/>
  <c r="AV129" i="49"/>
  <c r="AW129" i="49"/>
  <c r="V129" i="49"/>
  <c r="AV250" i="49"/>
  <c r="AW250" i="49"/>
  <c r="V250" i="49"/>
  <c r="AV412" i="49"/>
  <c r="AW412" i="49"/>
  <c r="V412" i="49"/>
  <c r="AV395" i="49"/>
  <c r="AW395" i="49"/>
  <c r="V395" i="49"/>
  <c r="AV153" i="49"/>
  <c r="AW153" i="49"/>
  <c r="V153" i="49"/>
  <c r="AV400" i="49"/>
  <c r="AW400" i="49"/>
  <c r="V400" i="49"/>
  <c r="W261" i="49"/>
  <c r="AO245" i="46"/>
  <c r="BU261" i="49"/>
  <c r="W120" i="49"/>
  <c r="AO142" i="46"/>
  <c r="BU120" i="49"/>
  <c r="W35" i="49"/>
  <c r="AO28" i="46"/>
  <c r="BU35" i="49"/>
  <c r="W152" i="49"/>
  <c r="AO424" i="46"/>
  <c r="BU152" i="49"/>
  <c r="W138" i="49"/>
  <c r="AO290" i="46"/>
  <c r="BU138" i="49"/>
  <c r="W448" i="49"/>
  <c r="AO537" i="46"/>
  <c r="BU448" i="49"/>
  <c r="W55" i="49"/>
  <c r="AO78" i="46"/>
  <c r="BU55" i="49"/>
  <c r="W390" i="49"/>
  <c r="AO425" i="46"/>
  <c r="BU390" i="49"/>
  <c r="W207" i="49"/>
  <c r="AO343" i="46"/>
  <c r="BU207" i="49"/>
  <c r="W277" i="49"/>
  <c r="AO308" i="46"/>
  <c r="BU277" i="49"/>
  <c r="W64" i="49"/>
  <c r="AO91" i="46"/>
  <c r="BU64" i="49"/>
  <c r="W190" i="49"/>
  <c r="AO226" i="46"/>
  <c r="BU190" i="49"/>
  <c r="W21" i="49"/>
  <c r="AO38" i="46"/>
  <c r="BU21" i="49"/>
  <c r="W490" i="49"/>
  <c r="AO112" i="46"/>
  <c r="BU490" i="49"/>
  <c r="W325" i="49"/>
  <c r="AO369" i="46"/>
  <c r="BU325" i="49"/>
  <c r="W81" i="49"/>
  <c r="AO169" i="46"/>
  <c r="BU81" i="49"/>
  <c r="W240" i="49"/>
  <c r="AO238" i="46"/>
  <c r="BU240" i="49"/>
  <c r="W346" i="49"/>
  <c r="AO211" i="46"/>
  <c r="BU346" i="49"/>
  <c r="W388" i="49"/>
  <c r="AO442" i="46"/>
  <c r="BU388" i="49"/>
  <c r="W380" i="49"/>
  <c r="AO428" i="46"/>
  <c r="BU380" i="49"/>
  <c r="W67" i="49"/>
  <c r="AO89" i="46"/>
  <c r="BU67" i="49"/>
  <c r="W185" i="49"/>
  <c r="AO253" i="46"/>
  <c r="BU185" i="49"/>
  <c r="W314" i="49"/>
  <c r="AO365" i="46"/>
  <c r="BU314" i="49"/>
  <c r="W386" i="49"/>
  <c r="AO458" i="46"/>
  <c r="BU386" i="49"/>
  <c r="W242" i="49"/>
  <c r="AO195" i="46"/>
  <c r="BU242" i="49"/>
  <c r="W286" i="49"/>
  <c r="AO181" i="46"/>
  <c r="BU286" i="49"/>
  <c r="W183" i="49"/>
  <c r="AO255" i="46"/>
  <c r="BU183" i="49"/>
  <c r="W88" i="49"/>
  <c r="AO149" i="46"/>
  <c r="BU88" i="49"/>
  <c r="W322" i="49"/>
  <c r="AO364" i="46"/>
  <c r="BU322" i="49"/>
  <c r="W205" i="49"/>
  <c r="W348" i="49"/>
  <c r="AO447" i="46"/>
  <c r="BU348" i="49"/>
  <c r="W305" i="49"/>
  <c r="AO250" i="46"/>
  <c r="BU305" i="49"/>
  <c r="W31" i="49"/>
  <c r="AO39" i="46"/>
  <c r="BU31" i="49"/>
  <c r="W214" i="49"/>
  <c r="AO277" i="46"/>
  <c r="BU214" i="49"/>
  <c r="W144" i="49"/>
  <c r="AO227" i="46"/>
  <c r="BU144" i="49"/>
  <c r="W173" i="49"/>
  <c r="AO220" i="46"/>
  <c r="BU173" i="49"/>
  <c r="W162" i="49"/>
  <c r="AO350" i="46"/>
  <c r="BU162" i="49"/>
  <c r="W111" i="49"/>
  <c r="AO141" i="46"/>
  <c r="BU111" i="49"/>
  <c r="W446" i="49"/>
  <c r="AO528" i="46"/>
  <c r="BU446" i="49"/>
  <c r="W151" i="49"/>
  <c r="AO270" i="46"/>
  <c r="BU151" i="49"/>
  <c r="W50" i="49"/>
  <c r="AO65" i="46"/>
  <c r="BU50" i="49"/>
  <c r="W134" i="49"/>
  <c r="AO225" i="46"/>
  <c r="BU134" i="49"/>
  <c r="W218" i="49"/>
  <c r="AO352" i="46"/>
  <c r="BU218" i="49"/>
  <c r="W29" i="49"/>
  <c r="AO25" i="46"/>
  <c r="BU29" i="49"/>
  <c r="W89" i="49"/>
  <c r="AO143" i="46"/>
  <c r="BU89" i="49"/>
  <c r="W114" i="49"/>
  <c r="AO146" i="46"/>
  <c r="BU114" i="49"/>
  <c r="W184" i="49"/>
  <c r="AO259" i="46"/>
  <c r="BU184" i="49"/>
  <c r="W196" i="49"/>
  <c r="AO216" i="46"/>
  <c r="BU196" i="49"/>
  <c r="W143" i="49"/>
  <c r="AO228" i="46"/>
  <c r="BU143" i="49"/>
  <c r="W83" i="49"/>
  <c r="AO157" i="46"/>
  <c r="BU83" i="49"/>
  <c r="W377" i="49"/>
  <c r="AO434" i="46"/>
  <c r="BU377" i="49"/>
  <c r="W324" i="49"/>
  <c r="AO367" i="46"/>
  <c r="BU324" i="49"/>
  <c r="W155" i="49"/>
  <c r="AO200" i="46"/>
  <c r="BU155" i="49"/>
  <c r="W278" i="49"/>
  <c r="AO345" i="46"/>
  <c r="BU278" i="49"/>
  <c r="W169" i="49"/>
  <c r="AO327" i="46"/>
  <c r="BU169" i="49"/>
  <c r="W187" i="49"/>
  <c r="AO264" i="46"/>
  <c r="BU187" i="49"/>
  <c r="W92" i="49"/>
  <c r="AO121" i="46"/>
  <c r="BU92" i="49"/>
  <c r="W112" i="49"/>
  <c r="AO139" i="46"/>
  <c r="BU112" i="49"/>
  <c r="W293" i="49"/>
  <c r="AO331" i="46"/>
  <c r="BU293" i="49"/>
  <c r="W366" i="49"/>
  <c r="AO433" i="46"/>
  <c r="BU366" i="49"/>
  <c r="W27" i="49"/>
  <c r="AO32" i="46"/>
  <c r="BU27" i="49"/>
  <c r="W43" i="49"/>
  <c r="AO54" i="46"/>
  <c r="BU43" i="49"/>
  <c r="W295" i="49"/>
  <c r="AO180" i="46"/>
  <c r="BU295" i="49"/>
  <c r="W368" i="49"/>
  <c r="AO455" i="46"/>
  <c r="BU368" i="49"/>
  <c r="W251" i="49"/>
  <c r="AO267" i="46"/>
  <c r="BU251" i="49"/>
  <c r="W459" i="49"/>
  <c r="AO532" i="46"/>
  <c r="BU459" i="49"/>
  <c r="W100" i="49"/>
  <c r="AO154" i="46"/>
  <c r="BU100" i="49"/>
  <c r="W161" i="49"/>
  <c r="AO355" i="46"/>
  <c r="BU161" i="49"/>
  <c r="W38" i="49"/>
  <c r="AO45" i="46"/>
  <c r="BU38" i="49"/>
  <c r="W146" i="49"/>
  <c r="AO194" i="46"/>
  <c r="BU146" i="49"/>
  <c r="W199" i="49"/>
  <c r="AO266" i="46"/>
  <c r="BU199" i="49"/>
  <c r="W435" i="49"/>
  <c r="AO503" i="46"/>
  <c r="BU435" i="49"/>
  <c r="W25" i="49"/>
  <c r="AO40" i="46"/>
  <c r="BU25" i="49"/>
  <c r="W361" i="49"/>
  <c r="AO420" i="46"/>
  <c r="BU361" i="49"/>
  <c r="W320" i="49"/>
  <c r="AO361" i="46"/>
  <c r="BU320" i="49"/>
  <c r="W441" i="49"/>
  <c r="AO526" i="46"/>
  <c r="BU441" i="49"/>
  <c r="W180" i="49"/>
  <c r="AO262" i="46"/>
  <c r="BU180" i="49"/>
  <c r="W10" i="49"/>
  <c r="AO12" i="46"/>
  <c r="BU10" i="49"/>
  <c r="W73" i="49"/>
  <c r="AO103" i="46"/>
  <c r="BU73" i="49"/>
  <c r="W129" i="49"/>
  <c r="AO156" i="46"/>
  <c r="BU129" i="49"/>
  <c r="W148" i="49"/>
  <c r="AO289" i="46"/>
  <c r="BU148" i="49"/>
  <c r="W475" i="49"/>
  <c r="AO539" i="46"/>
  <c r="BU475" i="49"/>
  <c r="W65" i="49"/>
  <c r="AO90" i="46"/>
  <c r="BU65" i="49"/>
  <c r="W95" i="49"/>
  <c r="AO129" i="46"/>
  <c r="BU95" i="49"/>
  <c r="W221" i="49"/>
  <c r="AO335" i="46"/>
  <c r="BU221" i="49"/>
  <c r="W181" i="49"/>
  <c r="AO260" i="46"/>
  <c r="BU181" i="49"/>
  <c r="W223" i="49"/>
  <c r="AO246" i="46"/>
  <c r="BU223" i="49"/>
  <c r="W418" i="49"/>
  <c r="AO472" i="46"/>
  <c r="BU418" i="49"/>
  <c r="W401" i="49"/>
  <c r="AO449" i="46"/>
  <c r="BU401" i="49"/>
  <c r="W403" i="49"/>
  <c r="AO497" i="46"/>
  <c r="BU403" i="49"/>
  <c r="W370" i="49"/>
  <c r="AO435" i="46"/>
  <c r="BU370" i="49"/>
  <c r="W222" i="49"/>
  <c r="AO176" i="46"/>
  <c r="BU222" i="49"/>
  <c r="W394" i="49"/>
  <c r="AO453" i="46"/>
  <c r="BU394" i="49"/>
  <c r="W202" i="49"/>
  <c r="AO237" i="46"/>
  <c r="BU202" i="49"/>
  <c r="W246" i="49"/>
  <c r="AO268" i="46"/>
  <c r="BU246" i="49"/>
  <c r="W272" i="49"/>
  <c r="AO333" i="46"/>
  <c r="BU272" i="49"/>
  <c r="W399" i="49"/>
  <c r="AO426" i="46"/>
  <c r="BU399" i="49"/>
  <c r="W421" i="49"/>
  <c r="AO470" i="46"/>
  <c r="BU421" i="49"/>
  <c r="W176" i="49"/>
  <c r="AO492" i="46"/>
  <c r="BU176" i="49"/>
  <c r="W347" i="49"/>
  <c r="AO400" i="46"/>
  <c r="BU347" i="49"/>
  <c r="W396" i="49"/>
  <c r="AO427" i="46"/>
  <c r="BU396" i="49"/>
  <c r="W371" i="49"/>
  <c r="AO451" i="46"/>
  <c r="BU371" i="49"/>
  <c r="W239" i="49"/>
  <c r="W327" i="49"/>
  <c r="AO379" i="46"/>
  <c r="BU327" i="49"/>
  <c r="W294" i="49"/>
  <c r="AO315" i="46"/>
  <c r="BU294" i="49"/>
  <c r="W417" i="49"/>
  <c r="AO477" i="46"/>
  <c r="BU417" i="49"/>
  <c r="W255" i="49"/>
  <c r="AO279" i="46"/>
  <c r="BU255" i="49"/>
  <c r="W445" i="49"/>
  <c r="AO521" i="46"/>
  <c r="BU445" i="49"/>
  <c r="W485" i="49"/>
  <c r="AO570" i="46"/>
  <c r="BU485" i="49"/>
  <c r="W90" i="49"/>
  <c r="AO171" i="46"/>
  <c r="BU90" i="49"/>
  <c r="W76" i="49"/>
  <c r="AO298" i="46"/>
  <c r="BU76" i="49"/>
  <c r="W491" i="49"/>
  <c r="W425" i="49"/>
  <c r="AO490" i="46"/>
  <c r="BU425" i="49"/>
  <c r="W127" i="49"/>
  <c r="AO161" i="46"/>
  <c r="BU127" i="49"/>
  <c r="W408" i="49"/>
  <c r="AO483" i="46"/>
  <c r="BU408" i="49"/>
  <c r="W276" i="49"/>
  <c r="AO269" i="46"/>
  <c r="BU276" i="49"/>
  <c r="W279" i="49"/>
  <c r="AO324" i="46"/>
  <c r="BU279" i="49"/>
  <c r="W63" i="49"/>
  <c r="AO94" i="46"/>
  <c r="BU63" i="49"/>
  <c r="W194" i="49"/>
  <c r="AO263" i="46"/>
  <c r="BU194" i="49"/>
  <c r="W163" i="49"/>
  <c r="AO252" i="46"/>
  <c r="BU163" i="49"/>
  <c r="W413" i="49"/>
  <c r="AO482" i="46"/>
  <c r="BU413" i="49"/>
  <c r="W402" i="49"/>
  <c r="AO430" i="46"/>
  <c r="BU402" i="49"/>
  <c r="W108" i="49"/>
  <c r="AO137" i="46"/>
  <c r="BU108" i="49"/>
  <c r="W395" i="49"/>
  <c r="AO456" i="46"/>
  <c r="BU395" i="49"/>
  <c r="W142" i="49"/>
  <c r="AO348" i="46"/>
  <c r="BU142" i="49"/>
  <c r="W412" i="49"/>
  <c r="AO473" i="46"/>
  <c r="BU412" i="49"/>
  <c r="W84" i="49"/>
  <c r="AO167" i="46"/>
  <c r="BU84" i="49"/>
  <c r="W220" i="49"/>
  <c r="AO299" i="46"/>
  <c r="BU220" i="49"/>
  <c r="W36" i="49"/>
  <c r="AO22" i="46"/>
  <c r="BU36" i="49"/>
  <c r="W69" i="49"/>
  <c r="AO87" i="46"/>
  <c r="BU69" i="49"/>
  <c r="W30" i="49"/>
  <c r="AO26" i="46"/>
  <c r="BU30" i="49"/>
  <c r="W299" i="49"/>
  <c r="AO346" i="46"/>
  <c r="BU299" i="49"/>
  <c r="W135" i="49"/>
  <c r="AO251" i="46"/>
  <c r="BU135" i="49"/>
  <c r="W82" i="49"/>
  <c r="AO164" i="46"/>
  <c r="BU82" i="49"/>
  <c r="W186" i="49"/>
  <c r="AO258" i="46"/>
  <c r="BU186" i="49"/>
  <c r="W219" i="49"/>
  <c r="AO193" i="46"/>
  <c r="BU219" i="49"/>
  <c r="W172" i="49"/>
  <c r="AO196" i="46"/>
  <c r="BU172" i="49"/>
  <c r="AV198" i="49"/>
  <c r="AW198" i="49"/>
  <c r="V198" i="49"/>
  <c r="AV225" i="49"/>
  <c r="AW225" i="49"/>
  <c r="V225" i="49"/>
  <c r="AV197" i="49"/>
  <c r="AW197" i="49"/>
  <c r="V197" i="49"/>
  <c r="AV164" i="49"/>
  <c r="AW164" i="49"/>
  <c r="V164" i="49"/>
  <c r="AV119" i="49"/>
  <c r="AW119" i="49"/>
  <c r="V119" i="49"/>
  <c r="AV169" i="49"/>
  <c r="AW169" i="49"/>
  <c r="V169" i="49"/>
  <c r="AV196" i="49"/>
  <c r="AW196" i="49"/>
  <c r="V196" i="49"/>
  <c r="AV299" i="49"/>
  <c r="AW299" i="49"/>
  <c r="V299" i="49"/>
  <c r="AV192" i="49"/>
  <c r="AW192" i="49"/>
  <c r="V192" i="49"/>
  <c r="AV356" i="49"/>
  <c r="AW356" i="49"/>
  <c r="V356" i="49"/>
  <c r="AV95" i="49"/>
  <c r="AW95" i="49"/>
  <c r="V95" i="49"/>
  <c r="AV150" i="49"/>
  <c r="AW150" i="49"/>
  <c r="V150" i="49"/>
  <c r="AV475" i="49"/>
  <c r="AW475" i="49"/>
  <c r="V475" i="49"/>
  <c r="AV127" i="49"/>
  <c r="AW127" i="49"/>
  <c r="V127" i="49"/>
  <c r="AV96" i="49"/>
  <c r="AW96" i="49"/>
  <c r="V96" i="49"/>
  <c r="AV20" i="49"/>
  <c r="AW20" i="49"/>
  <c r="V20" i="49"/>
  <c r="AV321" i="49"/>
  <c r="AW321" i="49"/>
  <c r="V321" i="49"/>
  <c r="AV487" i="49"/>
  <c r="AW487" i="49"/>
  <c r="V487" i="49"/>
  <c r="AV218" i="49"/>
  <c r="AW218" i="49"/>
  <c r="V218" i="49"/>
  <c r="AV118" i="49"/>
  <c r="AW118" i="49"/>
  <c r="V118" i="49"/>
  <c r="AV50" i="49"/>
  <c r="AW50" i="49"/>
  <c r="V50" i="49"/>
  <c r="AV481" i="49"/>
  <c r="AW481" i="49"/>
  <c r="V481" i="49"/>
  <c r="AV133" i="49"/>
  <c r="AW133" i="49"/>
  <c r="V133" i="49"/>
  <c r="AV183" i="49"/>
  <c r="AW183" i="49"/>
  <c r="V183" i="49"/>
  <c r="AV363" i="49"/>
  <c r="AW363" i="49"/>
  <c r="V363" i="49"/>
  <c r="AV162" i="49"/>
  <c r="AW162" i="49"/>
  <c r="V162" i="49"/>
  <c r="AV361" i="49"/>
  <c r="AW361" i="49"/>
  <c r="V361" i="49"/>
  <c r="AV233" i="49"/>
  <c r="AW233" i="49"/>
  <c r="V233" i="49"/>
  <c r="AV166" i="49"/>
  <c r="AW166" i="49"/>
  <c r="V166" i="49"/>
  <c r="AV220" i="49"/>
  <c r="AW220" i="49"/>
  <c r="V220" i="49"/>
  <c r="AV449" i="49"/>
  <c r="AW449" i="49"/>
  <c r="V449" i="49"/>
  <c r="AV84" i="49"/>
  <c r="AW84" i="49"/>
  <c r="V84" i="49"/>
  <c r="AV113" i="49"/>
  <c r="AW113" i="49"/>
  <c r="V113" i="49"/>
  <c r="AV351" i="49"/>
  <c r="AW351" i="49"/>
  <c r="V351" i="49"/>
  <c r="AV174" i="49"/>
  <c r="AW174" i="49"/>
  <c r="V174" i="49"/>
  <c r="AV64" i="49"/>
  <c r="AW64" i="49"/>
  <c r="V64" i="49"/>
  <c r="AV430" i="49"/>
  <c r="AW430" i="49"/>
  <c r="V430" i="49"/>
  <c r="AV316" i="49"/>
  <c r="AW316" i="49"/>
  <c r="V316" i="49"/>
  <c r="AV208" i="49"/>
  <c r="AW208" i="49"/>
  <c r="V208" i="49"/>
  <c r="AV104" i="49"/>
  <c r="AW104" i="49"/>
  <c r="V104" i="49"/>
  <c r="AV455" i="49"/>
  <c r="AW455" i="49"/>
  <c r="V455" i="49"/>
  <c r="AV121" i="49"/>
  <c r="AW121" i="49"/>
  <c r="V121" i="49"/>
  <c r="AV114" i="49"/>
  <c r="AW114" i="49"/>
  <c r="V114" i="49"/>
  <c r="AV373" i="49"/>
  <c r="AW373" i="49"/>
  <c r="V373" i="49"/>
  <c r="AV331" i="49"/>
  <c r="AW331" i="49"/>
  <c r="V331" i="49"/>
  <c r="AV248" i="49"/>
  <c r="AW248" i="49"/>
  <c r="V248" i="49"/>
  <c r="AV349" i="49"/>
  <c r="AW349" i="49"/>
  <c r="V349" i="49"/>
  <c r="AV365" i="49"/>
  <c r="AW365" i="49"/>
  <c r="V365" i="49"/>
  <c r="W486" i="49"/>
  <c r="AO572" i="46"/>
  <c r="BU486" i="49"/>
  <c r="W80" i="49"/>
  <c r="AO125" i="46"/>
  <c r="BU80" i="49"/>
  <c r="W51" i="49"/>
  <c r="AO47" i="46"/>
  <c r="BU51" i="49"/>
  <c r="W249" i="49"/>
  <c r="AO206" i="46"/>
  <c r="BU249" i="49"/>
  <c r="W179" i="49"/>
  <c r="AO261" i="46"/>
  <c r="BU179" i="49"/>
  <c r="W153" i="49"/>
  <c r="AO491" i="46"/>
  <c r="BU153" i="49"/>
  <c r="W145" i="49"/>
  <c r="AO344" i="46"/>
  <c r="BU145" i="49"/>
  <c r="W200" i="49"/>
  <c r="AO254" i="46"/>
  <c r="BU200" i="49"/>
  <c r="W104" i="49"/>
  <c r="AO136" i="46"/>
  <c r="BU104" i="49"/>
  <c r="W20" i="49"/>
  <c r="AO37" i="46"/>
  <c r="BU20" i="49"/>
  <c r="W292" i="49"/>
  <c r="AO213" i="46"/>
  <c r="BU292" i="49"/>
  <c r="W213" i="49"/>
  <c r="AO275" i="46"/>
  <c r="BU213" i="49"/>
  <c r="W234" i="49"/>
  <c r="AO178" i="46"/>
  <c r="BU234" i="49"/>
  <c r="W96" i="49"/>
  <c r="AO173" i="46"/>
  <c r="BU96" i="49"/>
  <c r="W247" i="49"/>
  <c r="AO231" i="46"/>
  <c r="BU247" i="49"/>
  <c r="W376" i="49"/>
  <c r="AO462" i="46"/>
  <c r="BU376" i="49"/>
  <c r="W308" i="49"/>
  <c r="AO197" i="46"/>
  <c r="BU308" i="49"/>
  <c r="W131" i="49"/>
  <c r="AO147" i="46"/>
  <c r="BU131" i="49"/>
  <c r="W355" i="49"/>
  <c r="AO407" i="46"/>
  <c r="BU355" i="49"/>
  <c r="W439" i="49"/>
  <c r="AO534" i="46"/>
  <c r="BU439" i="49"/>
  <c r="W226" i="49"/>
  <c r="AO224" i="46"/>
  <c r="BU226" i="49"/>
  <c r="W17" i="49"/>
  <c r="AO34" i="46"/>
  <c r="BU17" i="49"/>
  <c r="W236" i="49"/>
  <c r="AO191" i="46"/>
  <c r="BU236" i="49"/>
  <c r="W471" i="49"/>
  <c r="AO544" i="46"/>
  <c r="BU471" i="49"/>
  <c r="W319" i="49"/>
  <c r="AO362" i="46"/>
  <c r="BU319" i="49"/>
  <c r="W488" i="49"/>
  <c r="AO569" i="46"/>
  <c r="BU488" i="49"/>
  <c r="W345" i="49"/>
  <c r="AO399" i="46"/>
  <c r="BU345" i="49"/>
  <c r="W375" i="49"/>
  <c r="AO436" i="46"/>
  <c r="BU375" i="49"/>
  <c r="W256" i="49"/>
  <c r="AO306" i="46"/>
  <c r="BU256" i="49"/>
  <c r="W232" i="49"/>
  <c r="AO288" i="46"/>
  <c r="BU232" i="49"/>
  <c r="W193" i="49"/>
  <c r="AO199" i="46"/>
  <c r="BU193" i="49"/>
  <c r="W147" i="49"/>
  <c r="AO334" i="46"/>
  <c r="BU147" i="49"/>
  <c r="W137" i="49"/>
  <c r="AO201" i="46"/>
  <c r="BU137" i="49"/>
  <c r="W237" i="49"/>
  <c r="AO249" i="46"/>
  <c r="BU237" i="49"/>
  <c r="W269" i="49"/>
  <c r="AO212" i="46"/>
  <c r="BU269" i="49"/>
  <c r="W381" i="49"/>
  <c r="AO450" i="46"/>
  <c r="BU381" i="49"/>
  <c r="W415" i="49"/>
  <c r="AO474" i="46"/>
  <c r="BU415" i="49"/>
  <c r="W168" i="49"/>
  <c r="AO287" i="46"/>
  <c r="BU168" i="49"/>
  <c r="W344" i="49"/>
  <c r="AO398" i="46"/>
  <c r="BU344" i="49"/>
  <c r="W264" i="49"/>
  <c r="AO177" i="46"/>
  <c r="BU264" i="49"/>
  <c r="W289" i="49"/>
  <c r="AO187" i="46"/>
  <c r="BU289" i="49"/>
  <c r="W407" i="49"/>
  <c r="AO469" i="46"/>
  <c r="BU407" i="49"/>
  <c r="W387" i="49"/>
  <c r="AO439" i="46"/>
  <c r="BU387" i="49"/>
  <c r="W62" i="49"/>
  <c r="AO80" i="46"/>
  <c r="BU62" i="49"/>
  <c r="W389" i="49"/>
  <c r="AO452" i="46"/>
  <c r="BU389" i="49"/>
  <c r="W287" i="49"/>
  <c r="AO184" i="46"/>
  <c r="BU287" i="49"/>
  <c r="W206" i="49"/>
  <c r="AO325" i="46"/>
  <c r="BU206" i="49"/>
  <c r="W328" i="49"/>
  <c r="AO374" i="46"/>
  <c r="BU328" i="49"/>
  <c r="AV355" i="49"/>
  <c r="AW355" i="49"/>
  <c r="V355" i="49"/>
  <c r="AV419" i="49"/>
  <c r="AW419" i="49"/>
  <c r="V419" i="49"/>
  <c r="AV228" i="49"/>
  <c r="AW228" i="49"/>
  <c r="V228" i="49"/>
  <c r="AV391" i="49"/>
  <c r="AW391" i="49"/>
  <c r="V391" i="49"/>
  <c r="AV260" i="49"/>
  <c r="AW260" i="49"/>
  <c r="V260" i="49"/>
  <c r="AV221" i="49"/>
  <c r="AW221" i="49"/>
  <c r="V221" i="49"/>
  <c r="AV237" i="49"/>
  <c r="AW237" i="49"/>
  <c r="V237" i="49"/>
  <c r="AV392" i="49"/>
  <c r="AW392" i="49"/>
  <c r="V392" i="49"/>
  <c r="AV168" i="49"/>
  <c r="AW168" i="49"/>
  <c r="V168" i="49"/>
  <c r="AV212" i="49"/>
  <c r="AW212" i="49"/>
  <c r="V212" i="49"/>
  <c r="AV193" i="49"/>
  <c r="AW193" i="49"/>
  <c r="V193" i="49"/>
  <c r="AV241" i="49"/>
  <c r="AW241" i="49"/>
  <c r="V241" i="49"/>
  <c r="AV171" i="49"/>
  <c r="AW171" i="49"/>
  <c r="V171" i="49"/>
  <c r="AV416" i="49"/>
  <c r="AW416" i="49"/>
  <c r="V416" i="49"/>
  <c r="AV71" i="49"/>
  <c r="AW71" i="49"/>
  <c r="V71" i="49"/>
  <c r="AV389" i="49"/>
  <c r="AW389" i="49"/>
  <c r="V389" i="49"/>
  <c r="AV291" i="49"/>
  <c r="AW291" i="49"/>
  <c r="V291" i="49"/>
  <c r="AV147" i="49"/>
  <c r="AW147" i="49"/>
  <c r="V147" i="49"/>
  <c r="AV344" i="49"/>
  <c r="AW344" i="49"/>
  <c r="V344" i="49"/>
  <c r="AV407" i="49"/>
  <c r="AW407" i="49"/>
  <c r="V407" i="49"/>
  <c r="AV418" i="49"/>
  <c r="AW418" i="49"/>
  <c r="V418" i="49"/>
  <c r="AV422" i="49"/>
  <c r="AW422" i="49"/>
  <c r="V422" i="49"/>
  <c r="AV207" i="49"/>
  <c r="AW207" i="49"/>
  <c r="V207" i="49"/>
  <c r="AV223" i="49"/>
  <c r="AW223" i="49"/>
  <c r="V223" i="49"/>
  <c r="AV244" i="49"/>
  <c r="AW244" i="49"/>
  <c r="V244" i="49"/>
  <c r="AV229" i="49"/>
  <c r="AW229" i="49"/>
  <c r="V229" i="49"/>
  <c r="AV286" i="49"/>
  <c r="AW286" i="49"/>
  <c r="V286" i="49"/>
  <c r="AV362" i="49"/>
  <c r="AW362" i="49"/>
  <c r="V362" i="49"/>
  <c r="AV188" i="49"/>
  <c r="AW188" i="49"/>
  <c r="V188" i="49"/>
  <c r="AV191" i="49"/>
  <c r="AW191" i="49"/>
  <c r="V191" i="49"/>
  <c r="AV211" i="49"/>
  <c r="AW211" i="49"/>
  <c r="V211" i="49"/>
  <c r="AV376" i="49"/>
  <c r="AW376" i="49"/>
  <c r="V376" i="49"/>
  <c r="AV279" i="49"/>
  <c r="AW279" i="49"/>
  <c r="V279" i="49"/>
  <c r="AV256" i="49"/>
  <c r="AW256" i="49"/>
  <c r="V256" i="49"/>
  <c r="AV231" i="49"/>
  <c r="AW231" i="49"/>
  <c r="V231" i="49"/>
  <c r="AV300" i="49"/>
  <c r="AW300" i="49"/>
  <c r="V300" i="49"/>
  <c r="AV62" i="49"/>
  <c r="AW62" i="49"/>
  <c r="V62" i="49"/>
  <c r="AV264" i="49"/>
  <c r="AW264" i="49"/>
  <c r="V264" i="49"/>
  <c r="AV421" i="49"/>
  <c r="AW421" i="49"/>
  <c r="V421" i="49"/>
  <c r="AV401" i="49"/>
  <c r="AW401" i="49"/>
  <c r="V401" i="49"/>
  <c r="AV213" i="49"/>
  <c r="AW213" i="49"/>
  <c r="V213" i="49"/>
  <c r="AV254" i="49"/>
  <c r="AW254" i="49"/>
  <c r="V254" i="49"/>
  <c r="AV282" i="49"/>
  <c r="AW282" i="49"/>
  <c r="V282" i="49"/>
  <c r="AV226" i="49"/>
  <c r="AW226" i="49"/>
  <c r="V226" i="49"/>
  <c r="AV424" i="49"/>
  <c r="AW424" i="49"/>
  <c r="V424" i="49"/>
  <c r="AV289" i="49"/>
  <c r="AW289" i="49"/>
  <c r="V289" i="49"/>
  <c r="AV371" i="49"/>
  <c r="AW371" i="49"/>
  <c r="V371" i="49"/>
  <c r="AV327" i="49"/>
  <c r="AW327" i="49"/>
  <c r="V327" i="49"/>
  <c r="AV255" i="49"/>
  <c r="AW255" i="49"/>
  <c r="V255" i="49"/>
  <c r="AV287" i="49"/>
  <c r="AW287" i="49"/>
  <c r="V287" i="49"/>
  <c r="AV293" i="49"/>
  <c r="AW293" i="49"/>
  <c r="V293" i="49"/>
  <c r="AV476" i="49"/>
  <c r="AW476" i="49"/>
  <c r="V476" i="49"/>
  <c r="AV488" i="49"/>
  <c r="AW488" i="49"/>
  <c r="V488" i="49"/>
  <c r="AV283" i="49"/>
  <c r="AW283" i="49"/>
  <c r="V283" i="49"/>
  <c r="AV480" i="49"/>
  <c r="AW480" i="49"/>
  <c r="V480" i="49"/>
  <c r="AV345" i="49"/>
  <c r="AW345" i="49"/>
  <c r="V345" i="49"/>
  <c r="AV251" i="49"/>
  <c r="AW251" i="49"/>
  <c r="V251" i="49"/>
  <c r="AV53" i="49"/>
  <c r="AW53" i="49"/>
  <c r="V53" i="49"/>
  <c r="AV177" i="49"/>
  <c r="AW177" i="49"/>
  <c r="V177" i="49"/>
  <c r="AV182" i="49"/>
  <c r="AW182" i="49"/>
  <c r="V182" i="49"/>
  <c r="AV429" i="49"/>
  <c r="AW429" i="49"/>
  <c r="V429" i="49"/>
  <c r="AV181" i="49"/>
  <c r="AW181" i="49"/>
  <c r="V181" i="49"/>
  <c r="AV258" i="49"/>
  <c r="AW258" i="49"/>
  <c r="V258" i="49"/>
  <c r="AV206" i="49"/>
  <c r="AW206" i="49"/>
  <c r="V206" i="49"/>
  <c r="AV370" i="49"/>
  <c r="AW370" i="49"/>
  <c r="V370" i="49"/>
  <c r="AV210" i="49"/>
  <c r="AW210" i="49"/>
  <c r="V210" i="49"/>
  <c r="AV257" i="49"/>
  <c r="AW257" i="49"/>
  <c r="V257" i="49"/>
  <c r="AV432" i="49"/>
  <c r="AW432" i="49"/>
  <c r="V432" i="49"/>
  <c r="AV328" i="49"/>
  <c r="AW328" i="49"/>
  <c r="V328" i="49"/>
  <c r="AV202" i="49"/>
  <c r="AW202" i="49"/>
  <c r="V202" i="49"/>
  <c r="AV304" i="49"/>
  <c r="AW304" i="49"/>
  <c r="V304" i="49"/>
  <c r="AV285" i="49"/>
  <c r="AW285" i="49"/>
  <c r="V285" i="49"/>
  <c r="AV394" i="49"/>
  <c r="AW394" i="49"/>
  <c r="V394" i="49"/>
  <c r="AV398" i="49"/>
  <c r="AW398" i="49"/>
  <c r="V398" i="49"/>
  <c r="AV276" i="49"/>
  <c r="AW276" i="49"/>
  <c r="V276" i="49"/>
  <c r="AV396" i="49"/>
  <c r="AW396" i="49"/>
  <c r="V396" i="49"/>
  <c r="AV387" i="49"/>
  <c r="AW387" i="49"/>
  <c r="V387" i="49"/>
  <c r="AV347" i="49"/>
  <c r="AW347" i="49"/>
  <c r="V347" i="49"/>
  <c r="AV195" i="49"/>
  <c r="AW195" i="49"/>
  <c r="V195" i="49"/>
  <c r="AV297" i="49"/>
  <c r="AW297" i="49"/>
  <c r="V297" i="49"/>
  <c r="AV479" i="49"/>
  <c r="AW479" i="49"/>
  <c r="V479" i="49"/>
  <c r="AV236" i="49"/>
  <c r="AW236" i="49"/>
  <c r="V236" i="49"/>
  <c r="AV232" i="49"/>
  <c r="AW232" i="49"/>
  <c r="V232" i="49"/>
  <c r="AV426" i="49"/>
  <c r="AW426" i="49"/>
  <c r="V426" i="49"/>
  <c r="AV137" i="49"/>
  <c r="AW137" i="49"/>
  <c r="V137" i="49"/>
  <c r="AV329" i="49"/>
  <c r="AW329" i="49"/>
  <c r="V329" i="49"/>
  <c r="AV302" i="49"/>
  <c r="AW302" i="49"/>
  <c r="V302" i="49"/>
  <c r="AV431" i="49"/>
  <c r="AW431" i="49"/>
  <c r="V431" i="49"/>
  <c r="AV308" i="49"/>
  <c r="AW308" i="49"/>
  <c r="V308" i="49"/>
  <c r="AV298" i="49"/>
  <c r="AW298" i="49"/>
  <c r="V298" i="49"/>
  <c r="AV269" i="49"/>
  <c r="AW269" i="49"/>
  <c r="V269" i="49"/>
  <c r="AV309" i="49"/>
  <c r="AW309" i="49"/>
  <c r="V309" i="49"/>
  <c r="AV402" i="49"/>
  <c r="AW402" i="49"/>
  <c r="V402" i="49"/>
  <c r="AV63" i="49"/>
  <c r="AW63" i="49"/>
  <c r="V63" i="49"/>
  <c r="AV332" i="49"/>
  <c r="AW332" i="49"/>
  <c r="V332" i="49"/>
  <c r="AN377" i="46"/>
  <c r="AV359" i="49"/>
  <c r="AW359" i="49"/>
  <c r="V359" i="49"/>
  <c r="AV263" i="49"/>
  <c r="AW263" i="49"/>
  <c r="V263" i="49"/>
  <c r="AV369" i="49"/>
  <c r="AW369" i="49"/>
  <c r="V369" i="49"/>
  <c r="AV175" i="49"/>
  <c r="AW175" i="49"/>
  <c r="V175" i="49"/>
  <c r="AV216" i="49"/>
  <c r="AW216" i="49"/>
  <c r="V216" i="49"/>
  <c r="AV374" i="49"/>
  <c r="AW374" i="49"/>
  <c r="V374" i="49"/>
  <c r="AV178" i="49"/>
  <c r="AW178" i="49"/>
  <c r="V178" i="49"/>
  <c r="AV294" i="49"/>
  <c r="AW294" i="49"/>
  <c r="V294" i="49"/>
  <c r="AV238" i="49"/>
  <c r="AW238" i="49"/>
  <c r="V238" i="49"/>
  <c r="AV397" i="49"/>
  <c r="AW397" i="49"/>
  <c r="V397" i="49"/>
  <c r="AV249" i="49"/>
  <c r="AW249" i="49"/>
  <c r="V249" i="49"/>
  <c r="AV405" i="49"/>
  <c r="AW405" i="49"/>
  <c r="V405" i="49"/>
  <c r="AV406" i="49"/>
  <c r="AW406" i="49"/>
  <c r="V406" i="49"/>
  <c r="AV364" i="49"/>
  <c r="AW364" i="49"/>
  <c r="V364" i="49"/>
  <c r="AV381" i="49"/>
  <c r="AW381" i="49"/>
  <c r="V381" i="49"/>
  <c r="AV272" i="49"/>
  <c r="AW272" i="49"/>
  <c r="V272" i="49"/>
  <c r="AV375" i="49"/>
  <c r="AW375" i="49"/>
  <c r="V375" i="49"/>
  <c r="AV411" i="49"/>
  <c r="AW411" i="49"/>
  <c r="V411" i="49"/>
  <c r="AV239" i="49"/>
  <c r="AW239" i="49"/>
  <c r="V239" i="49"/>
  <c r="AV242" i="49"/>
  <c r="AW242" i="49"/>
  <c r="V242" i="49"/>
  <c r="AV288" i="49"/>
  <c r="AW288" i="49"/>
  <c r="V288" i="49"/>
  <c r="AV262" i="49"/>
  <c r="AW262" i="49"/>
  <c r="V262" i="49"/>
  <c r="AV151" i="49"/>
  <c r="AW151" i="49"/>
  <c r="V151" i="49"/>
  <c r="AV417" i="49"/>
  <c r="AW417" i="49"/>
  <c r="V417" i="49"/>
  <c r="AV280" i="49"/>
  <c r="AW280" i="49"/>
  <c r="V280" i="49"/>
  <c r="AV415" i="49"/>
  <c r="AW415" i="49"/>
  <c r="V415" i="49"/>
  <c r="AV259" i="49"/>
  <c r="AW259" i="49"/>
  <c r="V259" i="49"/>
  <c r="AV246" i="49"/>
  <c r="AW246" i="49"/>
  <c r="V246" i="49"/>
  <c r="AV273" i="49"/>
  <c r="AW273" i="49"/>
  <c r="V273" i="49"/>
  <c r="AV399" i="49"/>
  <c r="AW399" i="49"/>
  <c r="V399" i="49"/>
  <c r="AV230" i="49"/>
  <c r="AW230" i="49"/>
  <c r="V230" i="49"/>
  <c r="AV403" i="49"/>
  <c r="AW403" i="49"/>
  <c r="V403" i="49"/>
  <c r="AV176" i="49"/>
  <c r="AW176" i="49"/>
  <c r="V176" i="49"/>
  <c r="AV80" i="49"/>
  <c r="AW80" i="49"/>
  <c r="V80" i="49"/>
  <c r="AV270" i="49"/>
  <c r="AW270" i="49"/>
  <c r="V270" i="49"/>
  <c r="AV222" i="49"/>
  <c r="AW222" i="49"/>
  <c r="V222" i="49"/>
  <c r="AV284" i="49"/>
  <c r="AW284" i="49"/>
  <c r="V284" i="49"/>
  <c r="AV378" i="49"/>
  <c r="AW378" i="49"/>
  <c r="V378" i="49"/>
  <c r="AV464" i="49"/>
  <c r="AW464" i="49"/>
  <c r="V464" i="49"/>
  <c r="AV462" i="49"/>
  <c r="AW462" i="49"/>
  <c r="V462" i="49"/>
  <c r="AV467" i="49"/>
  <c r="AW467" i="49"/>
  <c r="V467" i="49"/>
  <c r="AV469" i="49"/>
  <c r="AW469" i="49"/>
  <c r="V469" i="49"/>
  <c r="AV443" i="49"/>
  <c r="AW443" i="49"/>
  <c r="V443" i="49"/>
  <c r="AV465" i="49"/>
  <c r="AW465" i="49"/>
  <c r="V465" i="49"/>
  <c r="AV440" i="49"/>
  <c r="AW440" i="49"/>
  <c r="V440" i="49"/>
  <c r="AV456" i="49"/>
  <c r="AW456" i="49"/>
  <c r="V456" i="49"/>
  <c r="AV463" i="49"/>
  <c r="AW463" i="49"/>
  <c r="V463" i="49"/>
  <c r="AV466" i="49"/>
  <c r="AW466" i="49"/>
  <c r="V466" i="49"/>
  <c r="AV472" i="49"/>
  <c r="AW472" i="49"/>
  <c r="V472" i="49"/>
  <c r="AV474" i="49"/>
  <c r="AW474" i="49"/>
  <c r="V474" i="49"/>
  <c r="AV36" i="49"/>
  <c r="AW36" i="49"/>
  <c r="V36" i="49"/>
  <c r="AV5" i="49"/>
  <c r="AV40" i="49"/>
  <c r="AW40" i="49"/>
  <c r="V40" i="49"/>
  <c r="AV34" i="49"/>
  <c r="AW34" i="49"/>
  <c r="V34" i="49"/>
  <c r="AV209" i="49"/>
  <c r="AW209" i="49"/>
  <c r="V209" i="49"/>
  <c r="AV32" i="49"/>
  <c r="AW32" i="49"/>
  <c r="V32" i="49"/>
  <c r="AV18" i="49"/>
  <c r="AW18" i="49"/>
  <c r="V18" i="49"/>
  <c r="AV105" i="49"/>
  <c r="AW105" i="49"/>
  <c r="V105" i="49"/>
  <c r="AV12" i="49"/>
  <c r="AW12" i="49"/>
  <c r="V12" i="49"/>
  <c r="AV340" i="49"/>
  <c r="AW340" i="49"/>
  <c r="V340" i="49"/>
  <c r="AV234" i="49"/>
  <c r="AW234" i="49"/>
  <c r="V234" i="49"/>
  <c r="AV92" i="49"/>
  <c r="AW92" i="49"/>
  <c r="V92" i="49"/>
  <c r="AV78" i="49"/>
  <c r="AW78" i="49"/>
  <c r="V78" i="49"/>
  <c r="AV98" i="49"/>
  <c r="AW98" i="49"/>
  <c r="V98" i="49"/>
  <c r="AV35" i="49"/>
  <c r="AW35" i="49"/>
  <c r="V35" i="49"/>
  <c r="AV65" i="49"/>
  <c r="AW65" i="49"/>
  <c r="V65" i="49"/>
  <c r="AV31" i="49"/>
  <c r="AW31" i="49"/>
  <c r="V31" i="49"/>
  <c r="AV46" i="49"/>
  <c r="AW46" i="49"/>
  <c r="V46" i="49"/>
  <c r="AV367" i="49"/>
  <c r="AW367" i="49"/>
  <c r="V367" i="49"/>
  <c r="AV494" i="49"/>
  <c r="AW494" i="49"/>
  <c r="V494" i="49"/>
  <c r="AV94" i="49"/>
  <c r="AW94" i="49"/>
  <c r="V94" i="49"/>
  <c r="AV353" i="49"/>
  <c r="AW353" i="49"/>
  <c r="V353" i="49"/>
  <c r="AV67" i="49"/>
  <c r="AW67" i="49"/>
  <c r="V67" i="49"/>
  <c r="AV107" i="49"/>
  <c r="AW107" i="49"/>
  <c r="V107" i="49"/>
  <c r="AV22" i="49"/>
  <c r="AW22" i="49"/>
  <c r="V22" i="49"/>
  <c r="AV116" i="49"/>
  <c r="AW116" i="49"/>
  <c r="V116" i="49"/>
  <c r="AV458" i="49"/>
  <c r="AW458" i="49"/>
  <c r="V458" i="49"/>
  <c r="AV179" i="49"/>
  <c r="AW179" i="49"/>
  <c r="V179" i="49"/>
  <c r="AV366" i="49"/>
  <c r="AW366" i="49"/>
  <c r="V366" i="49"/>
  <c r="AV11" i="49"/>
  <c r="AW11" i="49"/>
  <c r="V11" i="49"/>
  <c r="AV91" i="49"/>
  <c r="AW91" i="49"/>
  <c r="V91" i="49"/>
  <c r="AV25" i="49"/>
  <c r="AW25" i="49"/>
  <c r="V25" i="49"/>
  <c r="AV19" i="49"/>
  <c r="AW19" i="49"/>
  <c r="V19" i="49"/>
  <c r="AV45" i="49"/>
  <c r="AW45" i="49"/>
  <c r="V45" i="49"/>
  <c r="AV103" i="49"/>
  <c r="AW103" i="49"/>
  <c r="V103" i="49"/>
  <c r="AV110" i="49"/>
  <c r="AW110" i="49"/>
  <c r="V110" i="49"/>
  <c r="AV10" i="49"/>
  <c r="AW10" i="49"/>
  <c r="V10" i="49"/>
  <c r="AV128" i="49"/>
  <c r="AW128" i="49"/>
  <c r="V128" i="49"/>
  <c r="AV335" i="49"/>
  <c r="AW335" i="49"/>
  <c r="V335" i="49"/>
  <c r="AV41" i="49"/>
  <c r="AW41" i="49"/>
  <c r="V41" i="49"/>
  <c r="AV97" i="49"/>
  <c r="AW97" i="49"/>
  <c r="V97" i="49"/>
  <c r="AV414" i="49"/>
  <c r="AW414" i="49"/>
  <c r="V414" i="49"/>
  <c r="AV23" i="49"/>
  <c r="AW23" i="49"/>
  <c r="V23" i="49"/>
  <c r="AV336" i="49"/>
  <c r="AW336" i="49"/>
  <c r="V336" i="49"/>
  <c r="AV73" i="49"/>
  <c r="AW73" i="49"/>
  <c r="V73" i="49"/>
  <c r="AV434" i="49"/>
  <c r="AW434" i="49"/>
  <c r="V434" i="49"/>
  <c r="AV341" i="49"/>
  <c r="AW341" i="49"/>
  <c r="V341" i="49"/>
  <c r="AV436" i="49"/>
  <c r="AW436" i="49"/>
  <c r="V436" i="49"/>
  <c r="AV37" i="49"/>
  <c r="AW37" i="49"/>
  <c r="V37" i="49"/>
  <c r="AV24" i="49"/>
  <c r="AW24" i="49"/>
  <c r="V24" i="49"/>
  <c r="AV433" i="49"/>
  <c r="AW433" i="49"/>
  <c r="V433" i="49"/>
  <c r="AV275" i="49"/>
  <c r="AW275" i="49"/>
  <c r="V275" i="49"/>
  <c r="AV489" i="49"/>
  <c r="AW489" i="49"/>
  <c r="V489" i="49"/>
  <c r="AV454" i="49"/>
  <c r="AW454" i="49"/>
  <c r="V454" i="49"/>
  <c r="AV337" i="49"/>
  <c r="AW337" i="49"/>
  <c r="V337" i="49"/>
  <c r="AV214" i="49"/>
  <c r="AW214" i="49"/>
  <c r="V214" i="49"/>
  <c r="AV136" i="49"/>
  <c r="AW136" i="49"/>
  <c r="V136" i="49"/>
  <c r="AV301" i="49"/>
  <c r="AW301" i="49"/>
  <c r="V301" i="49"/>
  <c r="AV473" i="49"/>
  <c r="AW473" i="49"/>
  <c r="V473" i="49"/>
  <c r="AV306" i="49"/>
  <c r="AW306" i="49"/>
  <c r="V306" i="49"/>
  <c r="AV173" i="49"/>
  <c r="AW173" i="49"/>
  <c r="V173" i="49"/>
  <c r="AV435" i="49"/>
  <c r="AW435" i="49"/>
  <c r="V435" i="49"/>
  <c r="AV158" i="49"/>
  <c r="AW158" i="49"/>
  <c r="V158" i="49"/>
  <c r="AV333" i="49"/>
  <c r="AW333" i="49"/>
  <c r="V333" i="49"/>
  <c r="AV446" i="49"/>
  <c r="AW446" i="49"/>
  <c r="V446" i="49"/>
  <c r="AV445" i="49"/>
  <c r="AW445" i="49"/>
  <c r="V445" i="49"/>
  <c r="AV115" i="49"/>
  <c r="AW115" i="49"/>
  <c r="V115" i="49"/>
  <c r="AV27" i="49"/>
  <c r="AW27" i="49"/>
  <c r="V27" i="49"/>
  <c r="AV43" i="49"/>
  <c r="AW43" i="49"/>
  <c r="V43" i="49"/>
  <c r="AV324" i="49"/>
  <c r="AW324" i="49"/>
  <c r="V324" i="49"/>
  <c r="AV420" i="49"/>
  <c r="AW420" i="49"/>
  <c r="V420" i="49"/>
  <c r="AV86" i="49"/>
  <c r="AW86" i="49"/>
  <c r="V86" i="49"/>
  <c r="AV85" i="49"/>
  <c r="AW85" i="49"/>
  <c r="V85" i="49"/>
  <c r="AV17" i="49"/>
  <c r="AW17" i="49"/>
  <c r="V17" i="49"/>
  <c r="AV141" i="49"/>
  <c r="AW141" i="49"/>
  <c r="V141" i="49"/>
  <c r="AV54" i="49"/>
  <c r="AW54" i="49"/>
  <c r="V54" i="49"/>
  <c r="AV393" i="49"/>
  <c r="AW393" i="49"/>
  <c r="V393" i="49"/>
  <c r="AV388" i="49"/>
  <c r="AW388" i="49"/>
  <c r="V388" i="49"/>
  <c r="AV277" i="49"/>
  <c r="AW277" i="49"/>
  <c r="V277" i="49"/>
  <c r="AV350" i="49"/>
  <c r="AW350" i="49"/>
  <c r="V350" i="49"/>
  <c r="AV326" i="49"/>
  <c r="AW326" i="49"/>
  <c r="V326" i="49"/>
  <c r="AV61" i="49"/>
  <c r="AW61" i="49"/>
  <c r="V61" i="49"/>
  <c r="AV139" i="49"/>
  <c r="AW139" i="49"/>
  <c r="V139" i="49"/>
  <c r="AV108" i="49"/>
  <c r="AW108" i="49"/>
  <c r="V108" i="49"/>
  <c r="AV322" i="49"/>
  <c r="AW322" i="49"/>
  <c r="V322" i="49"/>
  <c r="AV425" i="49"/>
  <c r="AW425" i="49"/>
  <c r="V425" i="49"/>
  <c r="AV101" i="49"/>
  <c r="AW101" i="49"/>
  <c r="V101" i="49"/>
  <c r="AV318" i="49"/>
  <c r="AW318" i="49"/>
  <c r="V318" i="49"/>
  <c r="AV315" i="49"/>
  <c r="AW315" i="49"/>
  <c r="V315" i="49"/>
  <c r="AV132" i="49"/>
  <c r="AW132" i="49"/>
  <c r="V132" i="49"/>
  <c r="AV99" i="49"/>
  <c r="AW99" i="49"/>
  <c r="V99" i="49"/>
  <c r="AV201" i="49"/>
  <c r="AW201" i="49"/>
  <c r="V201" i="49"/>
  <c r="AV486" i="49"/>
  <c r="AW486" i="49"/>
  <c r="V486" i="49"/>
  <c r="AV325" i="49"/>
  <c r="AW325" i="49"/>
  <c r="V325" i="49"/>
  <c r="AV120" i="49"/>
  <c r="AW120" i="49"/>
  <c r="V120" i="49"/>
  <c r="AV38" i="49"/>
  <c r="AW38" i="49"/>
  <c r="V38" i="49"/>
  <c r="AV83" i="49"/>
  <c r="AW83" i="49"/>
  <c r="V83" i="49"/>
  <c r="AV382" i="49"/>
  <c r="AW382" i="49"/>
  <c r="V382" i="49"/>
  <c r="AV268" i="49"/>
  <c r="AW268" i="49"/>
  <c r="V268" i="49"/>
  <c r="AV457" i="49"/>
  <c r="AW457" i="49"/>
  <c r="V457" i="49"/>
  <c r="AV156" i="49"/>
  <c r="AW156" i="49"/>
  <c r="V156" i="49"/>
  <c r="AV452" i="49"/>
  <c r="AW452" i="49"/>
  <c r="V452" i="49"/>
  <c r="AV172" i="49"/>
  <c r="AW172" i="49"/>
  <c r="V172" i="49"/>
  <c r="AV266" i="49"/>
  <c r="AW266" i="49"/>
  <c r="V266" i="49"/>
  <c r="AV39" i="49"/>
  <c r="AW39" i="49"/>
  <c r="V39" i="49"/>
  <c r="AV372" i="49"/>
  <c r="AW372" i="49"/>
  <c r="V372" i="49"/>
  <c r="AV423" i="49"/>
  <c r="AW423" i="49"/>
  <c r="V423" i="49"/>
  <c r="AV427" i="49"/>
  <c r="AW427" i="49"/>
  <c r="V427" i="49"/>
  <c r="AV334" i="49"/>
  <c r="AW334" i="49"/>
  <c r="V334" i="49"/>
  <c r="AV227" i="49"/>
  <c r="AW227" i="49"/>
  <c r="V227" i="49"/>
  <c r="AV199" i="49"/>
  <c r="AW199" i="49"/>
  <c r="V199" i="49"/>
  <c r="AV410" i="49"/>
  <c r="AW410" i="49"/>
  <c r="V410" i="49"/>
  <c r="AV358" i="49"/>
  <c r="AW358" i="49"/>
  <c r="V358" i="49"/>
  <c r="AV14" i="49"/>
  <c r="AW14" i="49"/>
  <c r="V14" i="49"/>
  <c r="AV102" i="49"/>
  <c r="AW102" i="49"/>
  <c r="V102" i="49"/>
  <c r="AV13" i="49"/>
  <c r="AW13" i="49"/>
  <c r="V13" i="49"/>
  <c r="AV441" i="49"/>
  <c r="AW441" i="49"/>
  <c r="V441" i="49"/>
  <c r="AV348" i="49"/>
  <c r="AW348" i="49"/>
  <c r="V348" i="49"/>
  <c r="AV484" i="49"/>
  <c r="AW484" i="49"/>
  <c r="V484" i="49"/>
  <c r="AV447" i="49"/>
  <c r="AW447" i="49"/>
  <c r="V447" i="49"/>
  <c r="AV200" i="49"/>
  <c r="AW200" i="49"/>
  <c r="V200" i="49"/>
  <c r="AV185" i="49"/>
  <c r="AW185" i="49"/>
  <c r="V185" i="49"/>
  <c r="AV149" i="49"/>
  <c r="AW149" i="49"/>
  <c r="V149" i="49"/>
  <c r="AV303" i="49"/>
  <c r="AW303" i="49"/>
  <c r="V303" i="49"/>
  <c r="AV305" i="49"/>
  <c r="AW305" i="49"/>
  <c r="V305" i="49"/>
  <c r="AV252" i="49"/>
  <c r="AW252" i="49"/>
  <c r="V252" i="49"/>
  <c r="AV135" i="49"/>
  <c r="AW135" i="49"/>
  <c r="V135" i="49"/>
  <c r="AV90" i="49"/>
  <c r="AW90" i="49"/>
  <c r="V90" i="49"/>
  <c r="AV76" i="49"/>
  <c r="AW76" i="49"/>
  <c r="V76" i="49"/>
  <c r="AV180" i="49"/>
  <c r="AW180" i="49"/>
  <c r="V180" i="49"/>
  <c r="AV69" i="49"/>
  <c r="AW69" i="49"/>
  <c r="V69" i="49"/>
  <c r="AV409" i="49"/>
  <c r="AW409" i="49"/>
  <c r="V409" i="49"/>
  <c r="AV215" i="49"/>
  <c r="AW215" i="49"/>
  <c r="V215" i="49"/>
  <c r="AV338" i="49"/>
  <c r="AW338" i="49"/>
  <c r="V338" i="49"/>
  <c r="AV155" i="49"/>
  <c r="AW155" i="49"/>
  <c r="V155" i="49"/>
  <c r="AV483" i="49"/>
  <c r="AW483" i="49"/>
  <c r="V483" i="49"/>
  <c r="AV386" i="49"/>
  <c r="AW386" i="49"/>
  <c r="V386" i="49"/>
  <c r="AV205" i="49"/>
  <c r="AW205" i="49"/>
  <c r="V205" i="49"/>
  <c r="AV470" i="49"/>
  <c r="AW470" i="49"/>
  <c r="V470" i="49"/>
  <c r="AV357" i="49"/>
  <c r="AW357" i="49"/>
  <c r="V357" i="49"/>
  <c r="AV342" i="49"/>
  <c r="AW342" i="49"/>
  <c r="V342" i="49"/>
  <c r="AV89" i="49"/>
  <c r="AW89" i="49"/>
  <c r="V89" i="49"/>
  <c r="AV51" i="49"/>
  <c r="AW51" i="49"/>
  <c r="V51" i="49"/>
  <c r="W420" i="49"/>
  <c r="AO478" i="46"/>
  <c r="BU420" i="49"/>
  <c r="W437" i="49"/>
  <c r="AO510" i="46"/>
  <c r="BU437" i="49"/>
  <c r="W233" i="49"/>
  <c r="AO328" i="46"/>
  <c r="BU233" i="49"/>
  <c r="W71" i="49"/>
  <c r="AO93" i="46"/>
  <c r="BU71" i="49"/>
  <c r="W400" i="49"/>
  <c r="AO444" i="46"/>
  <c r="BU400" i="49"/>
  <c r="W57" i="49"/>
  <c r="AO75" i="46"/>
  <c r="BU57" i="49"/>
  <c r="W154" i="49"/>
  <c r="AO235" i="46"/>
  <c r="BU154" i="49"/>
  <c r="W116" i="49"/>
  <c r="AO122" i="46"/>
  <c r="BU116" i="49"/>
  <c r="W24" i="49"/>
  <c r="AO33" i="46"/>
  <c r="BU24" i="49"/>
  <c r="X5" i="49"/>
  <c r="CQ500" i="49"/>
  <c r="CQ2" i="49"/>
  <c r="W465" i="49"/>
  <c r="AO541" i="46"/>
  <c r="BU465" i="49"/>
  <c r="W444" i="49"/>
  <c r="AO523" i="46"/>
  <c r="BU444" i="49"/>
  <c r="W382" i="49"/>
  <c r="AO423" i="46"/>
  <c r="BU382" i="49"/>
  <c r="W352" i="49"/>
  <c r="AO417" i="46"/>
  <c r="BU352" i="49"/>
  <c r="W211" i="49"/>
  <c r="AO283" i="46"/>
  <c r="BU211" i="49"/>
  <c r="W267" i="49"/>
  <c r="AO301" i="46"/>
  <c r="BU267" i="49"/>
  <c r="W97" i="49"/>
  <c r="AO120" i="46"/>
  <c r="BU97" i="49"/>
  <c r="W468" i="49"/>
  <c r="AO540" i="46"/>
  <c r="BU468" i="49"/>
  <c r="W125" i="49"/>
  <c r="AO151" i="46"/>
  <c r="BU125" i="49"/>
  <c r="W447" i="49"/>
  <c r="AO533" i="46"/>
  <c r="BU447" i="49"/>
  <c r="W260" i="49"/>
  <c r="AO291" i="46"/>
  <c r="BU260" i="49"/>
  <c r="W254" i="49"/>
  <c r="AO307" i="46"/>
  <c r="BU254" i="49"/>
  <c r="W119" i="49"/>
  <c r="AO134" i="46"/>
  <c r="BU119" i="49"/>
  <c r="W53" i="49"/>
  <c r="AO63" i="46"/>
  <c r="BU53" i="49"/>
  <c r="W271" i="49"/>
  <c r="AO313" i="46"/>
  <c r="BU271" i="49"/>
  <c r="W48" i="49"/>
  <c r="AO53" i="46"/>
  <c r="BU48" i="49"/>
  <c r="W170" i="49"/>
  <c r="AO229" i="46"/>
  <c r="BU170" i="49"/>
  <c r="W385" i="49"/>
  <c r="AO461" i="46"/>
  <c r="BU385" i="49"/>
  <c r="W86" i="49"/>
  <c r="AO165" i="46"/>
  <c r="BU86" i="49"/>
  <c r="AV8" i="49"/>
  <c r="AW8" i="49"/>
  <c r="V8" i="49"/>
  <c r="AV159" i="49"/>
  <c r="AW159" i="49"/>
  <c r="V159" i="49"/>
  <c r="AV57" i="49"/>
  <c r="AW57" i="49"/>
  <c r="V57" i="49"/>
  <c r="AV271" i="49"/>
  <c r="AW271" i="49"/>
  <c r="V271" i="49"/>
  <c r="AV314" i="49"/>
  <c r="AW314" i="49"/>
  <c r="V314" i="49"/>
  <c r="AV339" i="49"/>
  <c r="AW339" i="49"/>
  <c r="V339" i="49"/>
  <c r="AV278" i="49"/>
  <c r="AW278" i="49"/>
  <c r="V278" i="49"/>
  <c r="AV93" i="49"/>
  <c r="AW93" i="49"/>
  <c r="V93" i="49"/>
  <c r="AV15" i="49"/>
  <c r="AW15" i="49"/>
  <c r="V15" i="49"/>
  <c r="AV413" i="49"/>
  <c r="AW413" i="49"/>
  <c r="V413" i="49"/>
  <c r="AV100" i="49"/>
  <c r="AW100" i="49"/>
  <c r="V100" i="49"/>
  <c r="AV307" i="49"/>
  <c r="AW307" i="49"/>
  <c r="V307" i="49"/>
  <c r="AV313" i="49"/>
  <c r="AW313" i="49"/>
  <c r="V313" i="49"/>
  <c r="AV492" i="49"/>
  <c r="AW492" i="49"/>
  <c r="V492" i="49"/>
  <c r="AV217" i="49"/>
  <c r="AW217" i="49"/>
  <c r="V217" i="49"/>
  <c r="AV468" i="49"/>
  <c r="AW468" i="49"/>
  <c r="V468" i="49"/>
  <c r="AV245" i="49"/>
  <c r="AW245" i="49"/>
  <c r="V245" i="49"/>
  <c r="AV16" i="49"/>
  <c r="AW16" i="49"/>
  <c r="V16" i="49"/>
  <c r="AV267" i="49"/>
  <c r="AW267" i="49"/>
  <c r="V267" i="49"/>
  <c r="AV75" i="49"/>
  <c r="AW75" i="49"/>
  <c r="V75" i="49"/>
  <c r="AV498" i="49"/>
  <c r="AW498" i="49"/>
  <c r="V498" i="49"/>
  <c r="AV444" i="49"/>
  <c r="AW444" i="49"/>
  <c r="V444" i="49"/>
  <c r="AV106" i="49"/>
  <c r="AW106" i="49"/>
  <c r="V106" i="49"/>
  <c r="AV189" i="49"/>
  <c r="AW189" i="49"/>
  <c r="V189" i="49"/>
  <c r="AV360" i="49"/>
  <c r="AW360" i="49"/>
  <c r="V360" i="49"/>
  <c r="Z360" i="49"/>
  <c r="DR360" i="49"/>
  <c r="DX360" i="49"/>
  <c r="AV190" i="49"/>
  <c r="AW190" i="49"/>
  <c r="V190" i="49"/>
  <c r="AV70" i="49"/>
  <c r="AW70" i="49"/>
  <c r="V70" i="49"/>
  <c r="AV49" i="49"/>
  <c r="AW49" i="49"/>
  <c r="V49" i="49"/>
  <c r="AV68" i="49"/>
  <c r="AW68" i="49"/>
  <c r="V68" i="49"/>
  <c r="AV28" i="49"/>
  <c r="AW28" i="49"/>
  <c r="V28" i="49"/>
  <c r="AV383" i="49"/>
  <c r="AW383" i="49"/>
  <c r="V383" i="49"/>
  <c r="AV346" i="49"/>
  <c r="AW346" i="49"/>
  <c r="V346" i="49"/>
  <c r="AV295" i="49"/>
  <c r="AW295" i="49"/>
  <c r="V295" i="49"/>
  <c r="AV117" i="49"/>
  <c r="AW117" i="49"/>
  <c r="V117" i="49"/>
  <c r="AV496" i="49"/>
  <c r="AW496" i="49"/>
  <c r="V496" i="49"/>
  <c r="AV477" i="49"/>
  <c r="AW477" i="49"/>
  <c r="V477" i="49"/>
  <c r="AV478" i="49"/>
  <c r="AW478" i="49"/>
  <c r="V478" i="49"/>
  <c r="AV111" i="49"/>
  <c r="AW111" i="49"/>
  <c r="V111" i="49"/>
  <c r="AV459" i="49"/>
  <c r="AW459" i="49"/>
  <c r="V459" i="49"/>
  <c r="AV88" i="49"/>
  <c r="AW88" i="49"/>
  <c r="V88" i="49"/>
  <c r="AV194" i="49"/>
  <c r="AW194" i="49"/>
  <c r="V194" i="49"/>
  <c r="AV323" i="49"/>
  <c r="AW323" i="49"/>
  <c r="V323" i="49"/>
  <c r="AV408" i="49"/>
  <c r="AW408" i="49"/>
  <c r="V408" i="49"/>
  <c r="AV442" i="49"/>
  <c r="AW442" i="49"/>
  <c r="V442" i="49"/>
  <c r="AV148" i="49"/>
  <c r="AW148" i="49"/>
  <c r="V148" i="49"/>
  <c r="AV7" i="49"/>
  <c r="AW7" i="49"/>
  <c r="V7" i="49"/>
  <c r="AV451" i="49"/>
  <c r="AW451" i="49"/>
  <c r="V451" i="49"/>
  <c r="AV450" i="49"/>
  <c r="AW450" i="49"/>
  <c r="V450" i="49"/>
  <c r="AV144" i="49"/>
  <c r="AW144" i="49"/>
  <c r="V144" i="49"/>
  <c r="AO376" i="46"/>
  <c r="BU332" i="49"/>
  <c r="AO377" i="46"/>
  <c r="DY204" i="49"/>
  <c r="Z203" i="49"/>
  <c r="DR203" i="49"/>
  <c r="DX203" i="49"/>
  <c r="DZ203" i="49"/>
  <c r="AO321" i="46"/>
  <c r="BU205" i="49"/>
  <c r="AO319" i="46"/>
  <c r="BU203" i="49"/>
  <c r="AO320" i="46"/>
  <c r="BU204" i="49"/>
  <c r="AN320" i="46"/>
  <c r="AN319" i="46"/>
  <c r="AO83" i="46"/>
  <c r="AO68" i="46"/>
  <c r="AO318" i="46"/>
  <c r="BU239" i="49"/>
  <c r="Z346" i="49"/>
  <c r="DR346" i="49"/>
  <c r="DX346" i="49"/>
  <c r="AN211" i="46"/>
  <c r="AR211" i="46"/>
  <c r="Z468" i="49"/>
  <c r="DR468" i="49"/>
  <c r="DX468" i="49"/>
  <c r="AN540" i="46"/>
  <c r="AR540" i="46"/>
  <c r="Z342" i="49"/>
  <c r="DR342" i="49"/>
  <c r="DX342" i="49"/>
  <c r="AN393" i="46"/>
  <c r="AR393" i="46"/>
  <c r="Z386" i="49"/>
  <c r="DR386" i="49"/>
  <c r="DX386" i="49"/>
  <c r="AN458" i="46"/>
  <c r="AR458" i="46"/>
  <c r="Z215" i="49"/>
  <c r="DR215" i="49"/>
  <c r="DX215" i="49"/>
  <c r="AN223" i="46"/>
  <c r="AR223" i="46"/>
  <c r="Z76" i="49"/>
  <c r="DR76" i="49"/>
  <c r="DX76" i="49"/>
  <c r="AN298" i="46"/>
  <c r="AR298" i="46"/>
  <c r="Z305" i="49"/>
  <c r="DR305" i="49"/>
  <c r="DX305" i="49"/>
  <c r="AN250" i="46"/>
  <c r="AR250" i="46"/>
  <c r="Z200" i="49"/>
  <c r="DR200" i="49"/>
  <c r="DX200" i="49"/>
  <c r="AN254" i="46"/>
  <c r="AR254" i="46"/>
  <c r="Z441" i="49"/>
  <c r="DR441" i="49"/>
  <c r="DX441" i="49"/>
  <c r="AN526" i="46"/>
  <c r="AR526" i="46"/>
  <c r="Z358" i="49"/>
  <c r="DR358" i="49"/>
  <c r="DX358" i="49"/>
  <c r="AN414" i="46"/>
  <c r="AR414" i="46"/>
  <c r="Z334" i="49"/>
  <c r="DR334" i="49"/>
  <c r="DX334" i="49"/>
  <c r="AN386" i="46"/>
  <c r="Z39" i="49"/>
  <c r="DR39" i="49"/>
  <c r="DX39" i="49"/>
  <c r="AN44" i="46"/>
  <c r="AR44" i="46"/>
  <c r="Z156" i="49"/>
  <c r="DR156" i="49"/>
  <c r="DX156" i="49"/>
  <c r="AN221" i="46"/>
  <c r="AR221" i="46"/>
  <c r="Z83" i="49"/>
  <c r="DR83" i="49"/>
  <c r="DX83" i="49"/>
  <c r="AN157" i="46"/>
  <c r="AR157" i="46"/>
  <c r="Z486" i="49"/>
  <c r="DR486" i="49"/>
  <c r="DX486" i="49"/>
  <c r="AN572" i="46"/>
  <c r="AR572" i="46"/>
  <c r="Z315" i="49"/>
  <c r="DR315" i="49"/>
  <c r="DX315" i="49"/>
  <c r="AN366" i="46"/>
  <c r="AR366" i="46"/>
  <c r="Z322" i="49"/>
  <c r="DR322" i="49"/>
  <c r="DX322" i="49"/>
  <c r="AN364" i="46"/>
  <c r="AR364" i="46"/>
  <c r="Z326" i="49"/>
  <c r="DR326" i="49"/>
  <c r="DX326" i="49"/>
  <c r="AN375" i="46"/>
  <c r="AR375" i="46"/>
  <c r="Z393" i="49"/>
  <c r="DR393" i="49"/>
  <c r="DX393" i="49"/>
  <c r="AN440" i="46"/>
  <c r="AR440" i="46"/>
  <c r="Z85" i="49"/>
  <c r="DR85" i="49"/>
  <c r="DX85" i="49"/>
  <c r="AN170" i="46"/>
  <c r="AR170" i="46"/>
  <c r="Z43" i="49"/>
  <c r="DR43" i="49"/>
  <c r="DX43" i="49"/>
  <c r="AN54" i="46"/>
  <c r="AR54" i="46"/>
  <c r="Z446" i="49"/>
  <c r="DR446" i="49"/>
  <c r="DX446" i="49"/>
  <c r="AN528" i="46"/>
  <c r="AR528" i="46"/>
  <c r="Z173" i="49"/>
  <c r="DR173" i="49"/>
  <c r="DX173" i="49"/>
  <c r="AN220" i="46"/>
  <c r="AR220" i="46"/>
  <c r="Z136" i="49"/>
  <c r="DR136" i="49"/>
  <c r="DX136" i="49"/>
  <c r="AN342" i="46"/>
  <c r="AR342" i="46"/>
  <c r="Z489" i="49"/>
  <c r="DR489" i="49"/>
  <c r="DX489" i="49"/>
  <c r="AN114" i="46"/>
  <c r="AR114" i="46"/>
  <c r="Z37" i="49"/>
  <c r="DR37" i="49"/>
  <c r="DX37" i="49"/>
  <c r="AN31" i="46"/>
  <c r="AR31" i="46"/>
  <c r="Z73" i="49"/>
  <c r="DR73" i="49"/>
  <c r="DX73" i="49"/>
  <c r="AN103" i="46"/>
  <c r="AR103" i="46"/>
  <c r="Z97" i="49"/>
  <c r="DR97" i="49"/>
  <c r="DX97" i="49"/>
  <c r="AN120" i="46"/>
  <c r="Z10" i="49"/>
  <c r="DR10" i="49"/>
  <c r="DX10" i="49"/>
  <c r="AN12" i="46"/>
  <c r="AR12" i="46"/>
  <c r="Z19" i="49"/>
  <c r="DR19" i="49"/>
  <c r="DX19" i="49"/>
  <c r="AN35" i="46"/>
  <c r="AR35" i="46"/>
  <c r="Z366" i="49"/>
  <c r="DR366" i="49"/>
  <c r="DX366" i="49"/>
  <c r="AN433" i="46"/>
  <c r="AR433" i="46"/>
  <c r="Z22" i="49"/>
  <c r="DR22" i="49"/>
  <c r="DX22" i="49"/>
  <c r="AN24" i="46"/>
  <c r="AR24" i="46"/>
  <c r="Z94" i="49"/>
  <c r="DR94" i="49"/>
  <c r="DX94" i="49"/>
  <c r="AN123" i="46"/>
  <c r="AR123" i="46"/>
  <c r="Z31" i="49"/>
  <c r="DR31" i="49"/>
  <c r="DX31" i="49"/>
  <c r="AN39" i="46"/>
  <c r="AR39" i="46"/>
  <c r="Z78" i="49"/>
  <c r="DR78" i="49"/>
  <c r="DX78" i="49"/>
  <c r="AN128" i="46"/>
  <c r="AR128" i="46"/>
  <c r="Z12" i="49"/>
  <c r="DR12" i="49"/>
  <c r="DX12" i="49"/>
  <c r="AN13" i="46"/>
  <c r="AR13" i="46"/>
  <c r="Z209" i="49"/>
  <c r="DR209" i="49"/>
  <c r="DX209" i="49"/>
  <c r="AN209" i="46"/>
  <c r="AR209" i="46"/>
  <c r="Z36" i="49"/>
  <c r="DR36" i="49"/>
  <c r="DX36" i="49"/>
  <c r="AN22" i="46"/>
  <c r="Z463" i="49"/>
  <c r="DR463" i="49"/>
  <c r="DX463" i="49"/>
  <c r="AN553" i="46"/>
  <c r="AR553" i="46"/>
  <c r="Z443" i="49"/>
  <c r="DR443" i="49"/>
  <c r="DX443" i="49"/>
  <c r="AN531" i="46"/>
  <c r="AR531" i="46"/>
  <c r="Z464" i="49"/>
  <c r="DR464" i="49"/>
  <c r="DX464" i="49"/>
  <c r="AN546" i="46"/>
  <c r="AR546" i="46"/>
  <c r="Z270" i="49"/>
  <c r="DR270" i="49"/>
  <c r="DX270" i="49"/>
  <c r="AN239" i="46"/>
  <c r="AR239" i="46"/>
  <c r="Z230" i="49"/>
  <c r="DR230" i="49"/>
  <c r="DX230" i="49"/>
  <c r="AN240" i="46"/>
  <c r="AR240" i="46"/>
  <c r="Z259" i="49"/>
  <c r="DR259" i="49"/>
  <c r="DX259" i="49"/>
  <c r="AN322" i="46"/>
  <c r="AR322" i="46"/>
  <c r="Z151" i="49"/>
  <c r="DR151" i="49"/>
  <c r="DX151" i="49"/>
  <c r="AN270" i="46"/>
  <c r="AR270" i="46"/>
  <c r="Z239" i="49"/>
  <c r="DR239" i="49"/>
  <c r="DX239" i="49"/>
  <c r="AN318" i="46"/>
  <c r="AR318" i="46"/>
  <c r="Z381" i="49"/>
  <c r="DR381" i="49"/>
  <c r="DX381" i="49"/>
  <c r="AN450" i="46"/>
  <c r="AR450" i="46"/>
  <c r="Z249" i="49"/>
  <c r="DR249" i="49"/>
  <c r="DX249" i="49"/>
  <c r="AN206" i="46"/>
  <c r="AR206" i="46"/>
  <c r="Z178" i="49"/>
  <c r="DR178" i="49"/>
  <c r="DX178" i="49"/>
  <c r="AN257" i="46"/>
  <c r="AR257" i="46"/>
  <c r="Z369" i="49"/>
  <c r="DR369" i="49"/>
  <c r="DX369" i="49"/>
  <c r="AN431" i="46"/>
  <c r="AR431" i="46"/>
  <c r="Z63" i="49"/>
  <c r="DR63" i="49"/>
  <c r="DX63" i="49"/>
  <c r="AN94" i="46"/>
  <c r="AR94" i="46"/>
  <c r="Z298" i="49"/>
  <c r="DR298" i="49"/>
  <c r="DX298" i="49"/>
  <c r="AN205" i="46"/>
  <c r="AR205" i="46"/>
  <c r="Z329" i="49"/>
  <c r="DR329" i="49"/>
  <c r="DX329" i="49"/>
  <c r="AN380" i="46"/>
  <c r="AR380" i="46"/>
  <c r="Z236" i="49"/>
  <c r="DR236" i="49"/>
  <c r="DX236" i="49"/>
  <c r="AN191" i="46"/>
  <c r="AR191" i="46"/>
  <c r="Z347" i="49"/>
  <c r="DR347" i="49"/>
  <c r="DX347" i="49"/>
  <c r="AN400" i="46"/>
  <c r="AR400" i="46"/>
  <c r="Z398" i="49"/>
  <c r="DR398" i="49"/>
  <c r="DX398" i="49"/>
  <c r="AN432" i="46"/>
  <c r="AR432" i="46"/>
  <c r="Z202" i="49"/>
  <c r="DR202" i="49"/>
  <c r="DX202" i="49"/>
  <c r="AN237" i="46"/>
  <c r="AR237" i="46"/>
  <c r="Z210" i="49"/>
  <c r="DR210" i="49"/>
  <c r="DX210" i="49"/>
  <c r="AN332" i="46"/>
  <c r="AR332" i="46"/>
  <c r="Z181" i="49"/>
  <c r="DR181" i="49"/>
  <c r="DX181" i="49"/>
  <c r="AN260" i="46"/>
  <c r="AR260" i="46"/>
  <c r="Z53" i="49"/>
  <c r="DR53" i="49"/>
  <c r="DX53" i="49"/>
  <c r="AN63" i="46"/>
  <c r="AR63" i="46"/>
  <c r="Z283" i="49"/>
  <c r="DR283" i="49"/>
  <c r="DX283" i="49"/>
  <c r="AN182" i="46"/>
  <c r="AR182" i="46"/>
  <c r="Z287" i="49"/>
  <c r="DR287" i="49"/>
  <c r="DX287" i="49"/>
  <c r="AN184" i="46"/>
  <c r="AR184" i="46"/>
  <c r="Z289" i="49"/>
  <c r="DR289" i="49"/>
  <c r="DX289" i="49"/>
  <c r="AN187" i="46"/>
  <c r="AR187" i="46"/>
  <c r="Z254" i="49"/>
  <c r="DR254" i="49"/>
  <c r="DX254" i="49"/>
  <c r="AN307" i="46"/>
  <c r="AR307" i="46"/>
  <c r="Z264" i="49"/>
  <c r="DR264" i="49"/>
  <c r="DX264" i="49"/>
  <c r="AN177" i="46"/>
  <c r="AR177" i="46"/>
  <c r="Z256" i="49"/>
  <c r="DR256" i="49"/>
  <c r="DX256" i="49"/>
  <c r="AN306" i="46"/>
  <c r="AR306" i="46"/>
  <c r="Z191" i="49"/>
  <c r="DR191" i="49"/>
  <c r="DX191" i="49"/>
  <c r="AN202" i="46"/>
  <c r="AR202" i="46"/>
  <c r="Z229" i="49"/>
  <c r="DR229" i="49"/>
  <c r="DX229" i="49"/>
  <c r="AN329" i="46"/>
  <c r="AR329" i="46"/>
  <c r="Z422" i="49"/>
  <c r="DR422" i="49"/>
  <c r="DX422" i="49"/>
  <c r="AN488" i="46"/>
  <c r="AR488" i="46"/>
  <c r="Z147" i="49"/>
  <c r="DR147" i="49"/>
  <c r="DX147" i="49"/>
  <c r="AN334" i="46"/>
  <c r="AR334" i="46"/>
  <c r="Z416" i="49"/>
  <c r="DR416" i="49"/>
  <c r="DX416" i="49"/>
  <c r="AN476" i="46"/>
  <c r="AR476" i="46"/>
  <c r="Z212" i="49"/>
  <c r="DR212" i="49"/>
  <c r="DX212" i="49"/>
  <c r="AN273" i="46"/>
  <c r="AR273" i="46"/>
  <c r="Z221" i="49"/>
  <c r="DR221" i="49"/>
  <c r="DX221" i="49"/>
  <c r="AN335" i="46"/>
  <c r="AR335" i="46"/>
  <c r="Z419" i="49"/>
  <c r="DR419" i="49"/>
  <c r="DX419" i="49"/>
  <c r="AN468" i="46"/>
  <c r="Z248" i="49"/>
  <c r="DR248" i="49"/>
  <c r="DX248" i="49"/>
  <c r="AN300" i="46"/>
  <c r="AR300" i="46"/>
  <c r="Z121" i="49"/>
  <c r="DR121" i="49"/>
  <c r="DX121" i="49"/>
  <c r="AN159" i="46"/>
  <c r="AR159" i="46"/>
  <c r="Z316" i="49"/>
  <c r="DR316" i="49"/>
  <c r="DX316" i="49"/>
  <c r="AN368" i="46"/>
  <c r="AR368" i="46"/>
  <c r="Z351" i="49"/>
  <c r="DR351" i="49"/>
  <c r="DX351" i="49"/>
  <c r="AN413" i="46"/>
  <c r="AR413" i="46"/>
  <c r="Z220" i="49"/>
  <c r="DR220" i="49"/>
  <c r="DX220" i="49"/>
  <c r="AN299" i="46"/>
  <c r="AR299" i="46"/>
  <c r="Z162" i="49"/>
  <c r="DR162" i="49"/>
  <c r="DX162" i="49"/>
  <c r="AN350" i="46"/>
  <c r="AR350" i="46"/>
  <c r="Z481" i="49"/>
  <c r="DR481" i="49"/>
  <c r="DX481" i="49"/>
  <c r="AN562" i="46"/>
  <c r="AR562" i="46"/>
  <c r="Z487" i="49"/>
  <c r="DR487" i="49"/>
  <c r="DX487" i="49"/>
  <c r="AN571" i="46"/>
  <c r="AR571" i="46"/>
  <c r="Z127" i="49"/>
  <c r="DR127" i="49"/>
  <c r="DX127" i="49"/>
  <c r="AN161" i="46"/>
  <c r="AR161" i="46"/>
  <c r="Z356" i="49"/>
  <c r="DR356" i="49"/>
  <c r="DX356" i="49"/>
  <c r="AN412" i="46"/>
  <c r="AR412" i="46"/>
  <c r="Z169" i="49"/>
  <c r="DR169" i="49"/>
  <c r="DX169" i="49"/>
  <c r="AN327" i="46"/>
  <c r="AR327" i="46"/>
  <c r="Z225" i="49"/>
  <c r="DR225" i="49"/>
  <c r="DX225" i="49"/>
  <c r="AN207" i="46"/>
  <c r="AR207" i="46"/>
  <c r="Z400" i="49"/>
  <c r="DR400" i="49"/>
  <c r="DX400" i="49"/>
  <c r="AN444" i="46"/>
  <c r="AR444" i="46"/>
  <c r="Z250" i="49"/>
  <c r="DR250" i="49"/>
  <c r="DX250" i="49"/>
  <c r="AN208" i="46"/>
  <c r="AR208" i="46"/>
  <c r="Z77" i="49"/>
  <c r="DR77" i="49"/>
  <c r="DX77" i="49"/>
  <c r="AN172" i="46"/>
  <c r="AR172" i="46"/>
  <c r="Z161" i="49"/>
  <c r="DR161" i="49"/>
  <c r="DX161" i="49"/>
  <c r="AN355" i="46"/>
  <c r="AR355" i="46"/>
  <c r="Z165" i="49"/>
  <c r="DR165" i="49"/>
  <c r="DX165" i="49"/>
  <c r="AN292" i="46"/>
  <c r="AR292" i="46"/>
  <c r="Z240" i="49"/>
  <c r="DR240" i="49"/>
  <c r="DX240" i="49"/>
  <c r="AN238" i="46"/>
  <c r="AR238" i="46"/>
  <c r="Z428" i="49"/>
  <c r="DR428" i="49"/>
  <c r="DX428" i="49"/>
  <c r="AN494" i="46"/>
  <c r="AR494" i="46"/>
  <c r="Z253" i="49"/>
  <c r="DR253" i="49"/>
  <c r="DX253" i="49"/>
  <c r="AN284" i="46"/>
  <c r="AR284" i="46"/>
  <c r="Z146" i="49"/>
  <c r="DR146" i="49"/>
  <c r="DX146" i="49"/>
  <c r="AN194" i="46"/>
  <c r="AR194" i="46"/>
  <c r="Z122" i="49"/>
  <c r="DR122" i="49"/>
  <c r="DX122" i="49"/>
  <c r="AN155" i="46"/>
  <c r="AR155" i="46"/>
  <c r="Z247" i="49"/>
  <c r="DR247" i="49"/>
  <c r="DX247" i="49"/>
  <c r="AN231" i="46"/>
  <c r="AR231" i="46"/>
  <c r="Z82" i="49"/>
  <c r="DR82" i="49"/>
  <c r="DX82" i="49"/>
  <c r="AN164" i="46"/>
  <c r="AR164" i="46"/>
  <c r="Z142" i="49"/>
  <c r="DR142" i="49"/>
  <c r="DX142" i="49"/>
  <c r="AN348" i="46"/>
  <c r="AR348" i="46"/>
  <c r="Z6" i="49"/>
  <c r="DR6" i="49"/>
  <c r="DX6" i="49"/>
  <c r="AN9" i="46"/>
  <c r="AR9" i="46"/>
  <c r="AO575" i="46"/>
  <c r="Z48" i="49"/>
  <c r="DR48" i="49"/>
  <c r="DX48" i="49"/>
  <c r="AN53" i="46"/>
  <c r="Z138" i="49"/>
  <c r="DR138" i="49"/>
  <c r="DX138" i="49"/>
  <c r="AN290" i="46"/>
  <c r="AR290" i="46"/>
  <c r="Z460" i="49"/>
  <c r="DR460" i="49"/>
  <c r="DX460" i="49"/>
  <c r="AN530" i="46"/>
  <c r="AR530" i="46"/>
  <c r="Z33" i="49"/>
  <c r="DR33" i="49"/>
  <c r="DX33" i="49"/>
  <c r="AN30" i="46"/>
  <c r="AR30" i="46"/>
  <c r="Z482" i="49"/>
  <c r="DR482" i="49"/>
  <c r="DX482" i="49"/>
  <c r="AN565" i="46"/>
  <c r="AR565" i="46"/>
  <c r="Z152" i="49"/>
  <c r="DR152" i="49"/>
  <c r="DX152" i="49"/>
  <c r="AN424" i="46"/>
  <c r="AR424" i="46"/>
  <c r="Z131" i="49"/>
  <c r="DR131" i="49"/>
  <c r="DX131" i="49"/>
  <c r="AN147" i="46"/>
  <c r="AR147" i="46"/>
  <c r="Z163" i="49"/>
  <c r="DR163" i="49"/>
  <c r="DX163" i="49"/>
  <c r="AN252" i="46"/>
  <c r="AR252" i="46"/>
  <c r="Z219" i="49"/>
  <c r="DR219" i="49"/>
  <c r="DX219" i="49"/>
  <c r="AN193" i="46"/>
  <c r="AR193" i="46"/>
  <c r="Z143" i="49"/>
  <c r="DR143" i="49"/>
  <c r="DX143" i="49"/>
  <c r="AN228" i="46"/>
  <c r="AR228" i="46"/>
  <c r="Z274" i="49"/>
  <c r="DR274" i="49"/>
  <c r="DX274" i="49"/>
  <c r="AN234" i="46"/>
  <c r="AR234" i="46"/>
  <c r="Z352" i="49"/>
  <c r="DR352" i="49"/>
  <c r="DX352" i="49"/>
  <c r="AN417" i="46"/>
  <c r="AR417" i="46"/>
  <c r="Z88" i="49"/>
  <c r="DR88" i="49"/>
  <c r="DX88" i="49"/>
  <c r="AN149" i="46"/>
  <c r="AR149" i="46"/>
  <c r="Z189" i="49"/>
  <c r="DR189" i="49"/>
  <c r="DX189" i="49"/>
  <c r="AN330" i="46"/>
  <c r="AR330" i="46"/>
  <c r="Z93" i="49"/>
  <c r="DR93" i="49"/>
  <c r="DX93" i="49"/>
  <c r="AN174" i="46"/>
  <c r="AR174" i="46"/>
  <c r="Z408" i="49"/>
  <c r="DR408" i="49"/>
  <c r="DX408" i="49"/>
  <c r="AN483" i="46"/>
  <c r="AR483" i="46"/>
  <c r="Z70" i="49"/>
  <c r="DR70" i="49"/>
  <c r="DX70" i="49"/>
  <c r="AN92" i="46"/>
  <c r="AR92" i="46"/>
  <c r="Z217" i="49"/>
  <c r="DR217" i="49"/>
  <c r="DX217" i="49"/>
  <c r="AN274" i="46"/>
  <c r="AR274" i="46"/>
  <c r="Z100" i="49"/>
  <c r="DR100" i="49"/>
  <c r="DX100" i="49"/>
  <c r="AN154" i="46"/>
  <c r="AR154" i="46"/>
  <c r="Z278" i="49"/>
  <c r="DR278" i="49"/>
  <c r="DX278" i="49"/>
  <c r="AN345" i="46"/>
  <c r="AR345" i="46"/>
  <c r="Z57" i="49"/>
  <c r="DR57" i="49"/>
  <c r="DX57" i="49"/>
  <c r="AN75" i="46"/>
  <c r="AR75" i="46"/>
  <c r="Z357" i="49"/>
  <c r="DR357" i="49"/>
  <c r="DX357" i="49"/>
  <c r="AN415" i="46"/>
  <c r="AR415" i="46"/>
  <c r="Z483" i="49"/>
  <c r="DR483" i="49"/>
  <c r="DX483" i="49"/>
  <c r="AN563" i="46"/>
  <c r="AR563" i="46"/>
  <c r="Z409" i="49"/>
  <c r="DR409" i="49"/>
  <c r="DX409" i="49"/>
  <c r="AN480" i="46"/>
  <c r="AR480" i="46"/>
  <c r="Z90" i="49"/>
  <c r="DR90" i="49"/>
  <c r="DX90" i="49"/>
  <c r="AN171" i="46"/>
  <c r="AR171" i="46"/>
  <c r="Z303" i="49"/>
  <c r="DR303" i="49"/>
  <c r="DX303" i="49"/>
  <c r="AN295" i="46"/>
  <c r="AR295" i="46"/>
  <c r="Z447" i="49"/>
  <c r="DR447" i="49"/>
  <c r="DX447" i="49"/>
  <c r="AN533" i="46"/>
  <c r="AR533" i="46"/>
  <c r="Z13" i="49"/>
  <c r="DR13" i="49"/>
  <c r="DX13" i="49"/>
  <c r="AN8" i="46"/>
  <c r="AR8" i="46"/>
  <c r="Z410" i="49"/>
  <c r="DR410" i="49"/>
  <c r="DX410" i="49"/>
  <c r="AN479" i="46"/>
  <c r="AR479" i="46"/>
  <c r="Z427" i="49"/>
  <c r="DR427" i="49"/>
  <c r="DX427" i="49"/>
  <c r="AN496" i="46"/>
  <c r="AR496" i="46"/>
  <c r="Z266" i="49"/>
  <c r="DR266" i="49"/>
  <c r="DX266" i="49"/>
  <c r="AN314" i="46"/>
  <c r="AR314" i="46"/>
  <c r="Z457" i="49"/>
  <c r="DR457" i="49"/>
  <c r="DX457" i="49"/>
  <c r="AN516" i="46"/>
  <c r="Z38" i="49"/>
  <c r="DR38" i="49"/>
  <c r="DX38" i="49"/>
  <c r="AN45" i="46"/>
  <c r="AR45" i="46"/>
  <c r="Z201" i="49"/>
  <c r="DR201" i="49"/>
  <c r="DX201" i="49"/>
  <c r="AN305" i="46"/>
  <c r="AR305" i="46"/>
  <c r="Z318" i="49"/>
  <c r="DR318" i="49"/>
  <c r="DX318" i="49"/>
  <c r="AN363" i="46"/>
  <c r="AR363" i="46"/>
  <c r="Z108" i="49"/>
  <c r="DR108" i="49"/>
  <c r="DX108" i="49"/>
  <c r="AN137" i="46"/>
  <c r="AR137" i="46"/>
  <c r="Z350" i="49"/>
  <c r="DR350" i="49"/>
  <c r="DX350" i="49"/>
  <c r="AN416" i="46"/>
  <c r="AR416" i="46"/>
  <c r="Z54" i="49"/>
  <c r="DR54" i="49"/>
  <c r="DX54" i="49"/>
  <c r="AN77" i="46"/>
  <c r="AR77" i="46"/>
  <c r="Z86" i="49"/>
  <c r="DR86" i="49"/>
  <c r="DX86" i="49"/>
  <c r="AN165" i="46"/>
  <c r="AR165" i="46"/>
  <c r="Z27" i="49"/>
  <c r="DR27" i="49"/>
  <c r="DX27" i="49"/>
  <c r="AN32" i="46"/>
  <c r="AR32" i="46"/>
  <c r="Z333" i="49"/>
  <c r="DR333" i="49"/>
  <c r="DX333" i="49"/>
  <c r="AN390" i="46"/>
  <c r="AR390" i="46"/>
  <c r="Z306" i="49"/>
  <c r="DR306" i="49"/>
  <c r="DX306" i="49"/>
  <c r="AN204" i="46"/>
  <c r="AR204" i="46"/>
  <c r="Z214" i="49"/>
  <c r="DR214" i="49"/>
  <c r="DX214" i="49"/>
  <c r="AN277" i="46"/>
  <c r="AR277" i="46"/>
  <c r="Z275" i="49"/>
  <c r="DR275" i="49"/>
  <c r="DX275" i="49"/>
  <c r="AN339" i="46"/>
  <c r="AR339" i="46"/>
  <c r="Z436" i="49"/>
  <c r="DR436" i="49"/>
  <c r="DX436" i="49"/>
  <c r="AN505" i="46"/>
  <c r="AR505" i="46"/>
  <c r="Z336" i="49"/>
  <c r="DR336" i="49"/>
  <c r="DX336" i="49"/>
  <c r="AN389" i="46"/>
  <c r="AR389" i="46"/>
  <c r="Z41" i="49"/>
  <c r="DR41" i="49"/>
  <c r="DX41" i="49"/>
  <c r="AN59" i="46"/>
  <c r="AR59" i="46"/>
  <c r="Z110" i="49"/>
  <c r="DR110" i="49"/>
  <c r="DX110" i="49"/>
  <c r="AN135" i="46"/>
  <c r="AR135" i="46"/>
  <c r="Z25" i="49"/>
  <c r="DR25" i="49"/>
  <c r="DX25" i="49"/>
  <c r="AN40" i="46"/>
  <c r="AR40" i="46"/>
  <c r="Z179" i="49"/>
  <c r="DR179" i="49"/>
  <c r="DX179" i="49"/>
  <c r="AN261" i="46"/>
  <c r="AR261" i="46"/>
  <c r="Z107" i="49"/>
  <c r="DR107" i="49"/>
  <c r="DX107" i="49"/>
  <c r="AN131" i="46"/>
  <c r="AR131" i="46"/>
  <c r="Z494" i="49"/>
  <c r="DR494" i="49"/>
  <c r="DX494" i="49"/>
  <c r="AN113" i="46"/>
  <c r="AR113" i="46"/>
  <c r="Z65" i="49"/>
  <c r="DR65" i="49"/>
  <c r="DX65" i="49"/>
  <c r="AN90" i="46"/>
  <c r="AR90" i="46"/>
  <c r="Z92" i="49"/>
  <c r="DR92" i="49"/>
  <c r="DX92" i="49"/>
  <c r="AN121" i="46"/>
  <c r="AR121" i="46"/>
  <c r="Z105" i="49"/>
  <c r="DR105" i="49"/>
  <c r="DX105" i="49"/>
  <c r="AN150" i="46"/>
  <c r="AR150" i="46"/>
  <c r="Z34" i="49"/>
  <c r="DR34" i="49"/>
  <c r="DX34" i="49"/>
  <c r="AN29" i="46"/>
  <c r="AR29" i="46"/>
  <c r="Z474" i="49"/>
  <c r="DR474" i="49"/>
  <c r="DX474" i="49"/>
  <c r="AN547" i="46"/>
  <c r="AR547" i="46"/>
  <c r="Z456" i="49"/>
  <c r="DR456" i="49"/>
  <c r="DX456" i="49"/>
  <c r="AN525" i="46"/>
  <c r="AR525" i="46"/>
  <c r="Z469" i="49"/>
  <c r="DR469" i="49"/>
  <c r="DX469" i="49"/>
  <c r="AN549" i="46"/>
  <c r="AR549" i="46"/>
  <c r="Z378" i="49"/>
  <c r="DR378" i="49"/>
  <c r="DX378" i="49"/>
  <c r="AN443" i="46"/>
  <c r="AR443" i="46"/>
  <c r="Z80" i="49"/>
  <c r="DR80" i="49"/>
  <c r="DX80" i="49"/>
  <c r="AN125" i="46"/>
  <c r="AR125" i="46"/>
  <c r="Z399" i="49"/>
  <c r="DR399" i="49"/>
  <c r="DX399" i="49"/>
  <c r="AN426" i="46"/>
  <c r="AR426" i="46"/>
  <c r="Z415" i="49"/>
  <c r="DR415" i="49"/>
  <c r="DX415" i="49"/>
  <c r="AN474" i="46"/>
  <c r="AR474" i="46"/>
  <c r="Z262" i="49"/>
  <c r="DR262" i="49"/>
  <c r="DX262" i="49"/>
  <c r="AN316" i="46"/>
  <c r="AR316" i="46"/>
  <c r="Z411" i="49"/>
  <c r="DR411" i="49"/>
  <c r="DX411" i="49"/>
  <c r="AN481" i="46"/>
  <c r="AR481" i="46"/>
  <c r="Z364" i="49"/>
  <c r="DR364" i="49"/>
  <c r="DX364" i="49"/>
  <c r="AN409" i="46"/>
  <c r="AR409" i="46"/>
  <c r="Z397" i="49"/>
  <c r="DR397" i="49"/>
  <c r="DX397" i="49"/>
  <c r="AN438" i="46"/>
  <c r="AR438" i="46"/>
  <c r="Z374" i="49"/>
  <c r="DR374" i="49"/>
  <c r="DX374" i="49"/>
  <c r="AN448" i="46"/>
  <c r="AR448" i="46"/>
  <c r="Z263" i="49"/>
  <c r="DR263" i="49"/>
  <c r="DX263" i="49"/>
  <c r="AN179" i="46"/>
  <c r="AR179" i="46"/>
  <c r="Z402" i="49"/>
  <c r="DR402" i="49"/>
  <c r="DX402" i="49"/>
  <c r="AN430" i="46"/>
  <c r="AR430" i="46"/>
  <c r="Z308" i="49"/>
  <c r="DR308" i="49"/>
  <c r="DX308" i="49"/>
  <c r="AN197" i="46"/>
  <c r="AR197" i="46"/>
  <c r="Z137" i="49"/>
  <c r="DR137" i="49"/>
  <c r="DX137" i="49"/>
  <c r="AN201" i="46"/>
  <c r="AR201" i="46"/>
  <c r="Z479" i="49"/>
  <c r="DR479" i="49"/>
  <c r="DX479" i="49"/>
  <c r="AN560" i="46"/>
  <c r="Z387" i="49"/>
  <c r="DR387" i="49"/>
  <c r="DX387" i="49"/>
  <c r="AN439" i="46"/>
  <c r="AR439" i="46"/>
  <c r="Z394" i="49"/>
  <c r="DR394" i="49"/>
  <c r="DX394" i="49"/>
  <c r="AN453" i="46"/>
  <c r="AR453" i="46"/>
  <c r="Z328" i="49"/>
  <c r="DR328" i="49"/>
  <c r="DX328" i="49"/>
  <c r="AN374" i="46"/>
  <c r="AR374" i="46"/>
  <c r="Z370" i="49"/>
  <c r="DR370" i="49"/>
  <c r="DX370" i="49"/>
  <c r="AN435" i="46"/>
  <c r="AR435" i="46"/>
  <c r="Z429" i="49"/>
  <c r="DR429" i="49"/>
  <c r="DX429" i="49"/>
  <c r="AN493" i="46"/>
  <c r="AR493" i="46"/>
  <c r="Z251" i="49"/>
  <c r="DR251" i="49"/>
  <c r="DX251" i="49"/>
  <c r="AN267" i="46"/>
  <c r="AR267" i="46"/>
  <c r="Z488" i="49"/>
  <c r="DR488" i="49"/>
  <c r="DX488" i="49"/>
  <c r="AN569" i="46"/>
  <c r="AR569" i="46"/>
  <c r="Z255" i="49"/>
  <c r="DR255" i="49"/>
  <c r="DX255" i="49"/>
  <c r="AN279" i="46"/>
  <c r="AR279" i="46"/>
  <c r="Z424" i="49"/>
  <c r="DR424" i="49"/>
  <c r="DX424" i="49"/>
  <c r="AN487" i="46"/>
  <c r="AR487" i="46"/>
  <c r="Z213" i="49"/>
  <c r="DR213" i="49"/>
  <c r="DX213" i="49"/>
  <c r="AN275" i="46"/>
  <c r="AR275" i="46"/>
  <c r="Z62" i="49"/>
  <c r="DR62" i="49"/>
  <c r="DX62" i="49"/>
  <c r="AN80" i="46"/>
  <c r="AR80" i="46"/>
  <c r="Z279" i="49"/>
  <c r="DR279" i="49"/>
  <c r="DX279" i="49"/>
  <c r="AN324" i="46"/>
  <c r="AR324" i="46"/>
  <c r="Z188" i="49"/>
  <c r="DR188" i="49"/>
  <c r="DX188" i="49"/>
  <c r="AN265" i="46"/>
  <c r="AR265" i="46"/>
  <c r="Z244" i="49"/>
  <c r="DR244" i="49"/>
  <c r="DX244" i="49"/>
  <c r="AN326" i="46"/>
  <c r="AR326" i="46"/>
  <c r="Z418" i="49"/>
  <c r="DR418" i="49"/>
  <c r="DX418" i="49"/>
  <c r="AN472" i="46"/>
  <c r="AR472" i="46"/>
  <c r="Z291" i="49"/>
  <c r="DR291" i="49"/>
  <c r="DX291" i="49"/>
  <c r="AN188" i="46"/>
  <c r="AR188" i="46"/>
  <c r="Z171" i="49"/>
  <c r="DR171" i="49"/>
  <c r="DX171" i="49"/>
  <c r="AN190" i="46"/>
  <c r="AR190" i="46"/>
  <c r="Z168" i="49"/>
  <c r="DR168" i="49"/>
  <c r="DX168" i="49"/>
  <c r="AN287" i="46"/>
  <c r="AR287" i="46"/>
  <c r="Z260" i="49"/>
  <c r="DR260" i="49"/>
  <c r="DX260" i="49"/>
  <c r="AN291" i="46"/>
  <c r="AR291" i="46"/>
  <c r="Z355" i="49"/>
  <c r="DR355" i="49"/>
  <c r="DX355" i="49"/>
  <c r="AN407" i="46"/>
  <c r="AO465" i="46"/>
  <c r="Z331" i="49"/>
  <c r="DR331" i="49"/>
  <c r="DX331" i="49"/>
  <c r="AN378" i="46"/>
  <c r="AR378" i="46"/>
  <c r="Z455" i="49"/>
  <c r="DR455" i="49"/>
  <c r="DX455" i="49"/>
  <c r="AN519" i="46"/>
  <c r="AR519" i="46"/>
  <c r="Z430" i="49"/>
  <c r="DR430" i="49"/>
  <c r="DX430" i="49"/>
  <c r="AN495" i="46"/>
  <c r="AR495" i="46"/>
  <c r="Z113" i="49"/>
  <c r="DR113" i="49"/>
  <c r="DX113" i="49"/>
  <c r="AN158" i="46"/>
  <c r="AR158" i="46"/>
  <c r="Z166" i="49"/>
  <c r="DR166" i="49"/>
  <c r="DX166" i="49"/>
  <c r="AN293" i="46"/>
  <c r="AR293" i="46"/>
  <c r="Z363" i="49"/>
  <c r="DR363" i="49"/>
  <c r="DX363" i="49"/>
  <c r="AN421" i="46"/>
  <c r="AR421" i="46"/>
  <c r="Z50" i="49"/>
  <c r="DR50" i="49"/>
  <c r="DX50" i="49"/>
  <c r="AN65" i="46"/>
  <c r="AR65" i="46"/>
  <c r="Z321" i="49"/>
  <c r="DR321" i="49"/>
  <c r="DX321" i="49"/>
  <c r="AN373" i="46"/>
  <c r="AR373" i="46"/>
  <c r="Z475" i="49"/>
  <c r="DR475" i="49"/>
  <c r="DX475" i="49"/>
  <c r="AN539" i="46"/>
  <c r="AR539" i="46"/>
  <c r="Z192" i="49"/>
  <c r="DR192" i="49"/>
  <c r="DX192" i="49"/>
  <c r="AN222" i="46"/>
  <c r="AR222" i="46"/>
  <c r="Z119" i="49"/>
  <c r="DR119" i="49"/>
  <c r="DX119" i="49"/>
  <c r="AN134" i="46"/>
  <c r="AR134" i="46"/>
  <c r="Z198" i="49"/>
  <c r="DR198" i="49"/>
  <c r="DX198" i="49"/>
  <c r="AN341" i="46"/>
  <c r="AR341" i="46"/>
  <c r="AO110" i="46"/>
  <c r="Z491" i="49"/>
  <c r="DR491" i="49"/>
  <c r="DX491" i="49"/>
  <c r="AO513" i="46"/>
  <c r="Z153" i="49"/>
  <c r="DR153" i="49"/>
  <c r="DX153" i="49"/>
  <c r="AN491" i="46"/>
  <c r="AR491" i="46"/>
  <c r="Z129" i="49"/>
  <c r="DR129" i="49"/>
  <c r="DX129" i="49"/>
  <c r="AN156" i="46"/>
  <c r="AR156" i="46"/>
  <c r="Z140" i="49"/>
  <c r="DR140" i="49"/>
  <c r="DX140" i="49"/>
  <c r="AN215" i="46"/>
  <c r="AR215" i="46"/>
  <c r="Z126" i="49"/>
  <c r="DR126" i="49"/>
  <c r="DX126" i="49"/>
  <c r="AN138" i="46"/>
  <c r="AR138" i="46"/>
  <c r="Z438" i="49"/>
  <c r="DR438" i="49"/>
  <c r="DX438" i="49"/>
  <c r="AN551" i="46"/>
  <c r="AR551" i="46"/>
  <c r="Z384" i="49"/>
  <c r="DR384" i="49"/>
  <c r="DX384" i="49"/>
  <c r="AN429" i="46"/>
  <c r="AR429" i="46"/>
  <c r="Z145" i="49"/>
  <c r="DR145" i="49"/>
  <c r="DX145" i="49"/>
  <c r="AN344" i="46"/>
  <c r="AR344" i="46"/>
  <c r="Z167" i="49"/>
  <c r="DR167" i="49"/>
  <c r="DX167" i="49"/>
  <c r="AN294" i="46"/>
  <c r="AR294" i="46"/>
  <c r="Z243" i="49"/>
  <c r="DR243" i="49"/>
  <c r="DX243" i="49"/>
  <c r="AN349" i="46"/>
  <c r="AR349" i="46"/>
  <c r="Z44" i="49"/>
  <c r="DR44" i="49"/>
  <c r="DX44" i="49"/>
  <c r="AN55" i="46"/>
  <c r="AR55" i="46"/>
  <c r="Z265" i="49"/>
  <c r="DR265" i="49"/>
  <c r="DX265" i="49"/>
  <c r="AN244" i="46"/>
  <c r="AR244" i="46"/>
  <c r="Z59" i="49"/>
  <c r="DR59" i="49"/>
  <c r="DX59" i="49"/>
  <c r="AN71" i="46"/>
  <c r="Z453" i="49"/>
  <c r="DR453" i="49"/>
  <c r="DX453" i="49"/>
  <c r="AN527" i="46"/>
  <c r="AR527" i="46"/>
  <c r="AO403" i="46"/>
  <c r="Z123" i="49"/>
  <c r="DR123" i="49"/>
  <c r="DX123" i="49"/>
  <c r="AN152" i="46"/>
  <c r="AR152" i="46"/>
  <c r="Z281" i="49"/>
  <c r="DR281" i="49"/>
  <c r="DX281" i="49"/>
  <c r="AN310" i="46"/>
  <c r="AR310" i="46"/>
  <c r="Z471" i="49"/>
  <c r="DR471" i="49"/>
  <c r="DX471" i="49"/>
  <c r="AN544" i="46"/>
  <c r="AR544" i="46"/>
  <c r="Z437" i="49"/>
  <c r="DR437" i="49"/>
  <c r="DX437" i="49"/>
  <c r="AN510" i="46"/>
  <c r="AR510" i="46"/>
  <c r="Z296" i="49"/>
  <c r="DR296" i="49"/>
  <c r="DX296" i="49"/>
  <c r="AN286" i="46"/>
  <c r="AR286" i="46"/>
  <c r="Z439" i="49"/>
  <c r="DR439" i="49"/>
  <c r="DX439" i="49"/>
  <c r="AN534" i="46"/>
  <c r="AR534" i="46"/>
  <c r="Z290" i="49"/>
  <c r="DR290" i="49"/>
  <c r="DX290" i="49"/>
  <c r="AN281" i="46"/>
  <c r="AR281" i="46"/>
  <c r="Z130" i="49"/>
  <c r="DR130" i="49"/>
  <c r="DX130" i="49"/>
  <c r="AN153" i="46"/>
  <c r="AR153" i="46"/>
  <c r="Z448" i="49"/>
  <c r="DR448" i="49"/>
  <c r="DX448" i="49"/>
  <c r="AN537" i="46"/>
  <c r="AR537" i="46"/>
  <c r="Z343" i="49"/>
  <c r="DR343" i="49"/>
  <c r="DX343" i="49"/>
  <c r="AN392" i="46"/>
  <c r="AR392" i="46"/>
  <c r="Z385" i="49"/>
  <c r="DR385" i="49"/>
  <c r="DX385" i="49"/>
  <c r="AN461" i="46"/>
  <c r="AR461" i="46"/>
  <c r="Z58" i="49"/>
  <c r="DR58" i="49"/>
  <c r="DX58" i="49"/>
  <c r="AN73" i="46"/>
  <c r="AR73" i="46"/>
  <c r="AO19" i="46"/>
  <c r="AO102" i="46"/>
  <c r="Z74" i="49"/>
  <c r="DR74" i="49"/>
  <c r="DX74" i="49"/>
  <c r="AO557" i="46"/>
  <c r="AO278" i="46"/>
  <c r="Z312" i="49"/>
  <c r="DR312" i="49"/>
  <c r="DX312" i="49"/>
  <c r="Z442" i="49"/>
  <c r="DR442" i="49"/>
  <c r="DX442" i="49"/>
  <c r="AN535" i="46"/>
  <c r="AR535" i="46"/>
  <c r="Z49" i="49"/>
  <c r="DR49" i="49"/>
  <c r="DX49" i="49"/>
  <c r="AN64" i="46"/>
  <c r="AR64" i="46"/>
  <c r="Z307" i="49"/>
  <c r="DR307" i="49"/>
  <c r="DX307" i="49"/>
  <c r="AN203" i="46"/>
  <c r="AR203" i="46"/>
  <c r="Z271" i="49"/>
  <c r="DR271" i="49"/>
  <c r="DX271" i="49"/>
  <c r="AN313" i="46"/>
  <c r="AR313" i="46"/>
  <c r="Z459" i="49"/>
  <c r="DR459" i="49"/>
  <c r="DX459" i="49"/>
  <c r="AN532" i="46"/>
  <c r="AR532" i="46"/>
  <c r="Z383" i="49"/>
  <c r="DR383" i="49"/>
  <c r="DX383" i="49"/>
  <c r="AN459" i="46"/>
  <c r="AR459" i="46"/>
  <c r="Z106" i="49"/>
  <c r="DR106" i="49"/>
  <c r="DX106" i="49"/>
  <c r="AN133" i="46"/>
  <c r="AR133" i="46"/>
  <c r="Z323" i="49"/>
  <c r="DR323" i="49"/>
  <c r="DX323" i="49"/>
  <c r="AN370" i="46"/>
  <c r="AR370" i="46"/>
  <c r="Z117" i="49"/>
  <c r="DR117" i="49"/>
  <c r="DX117" i="49"/>
  <c r="AN124" i="46"/>
  <c r="AR124" i="46"/>
  <c r="Z28" i="49"/>
  <c r="DR28" i="49"/>
  <c r="DX28" i="49"/>
  <c r="AN42" i="46"/>
  <c r="AR42" i="46"/>
  <c r="Z444" i="49"/>
  <c r="DR444" i="49"/>
  <c r="DX444" i="49"/>
  <c r="AN523" i="46"/>
  <c r="AR523" i="46"/>
  <c r="Z16" i="49"/>
  <c r="DR16" i="49"/>
  <c r="DX16" i="49"/>
  <c r="AN6" i="46"/>
  <c r="Z492" i="49"/>
  <c r="DR492" i="49"/>
  <c r="DX492" i="49"/>
  <c r="AN109" i="46"/>
  <c r="Z413" i="49"/>
  <c r="DR413" i="49"/>
  <c r="DX413" i="49"/>
  <c r="AN482" i="46"/>
  <c r="AR482" i="46"/>
  <c r="Z339" i="49"/>
  <c r="DR339" i="49"/>
  <c r="DX339" i="49"/>
  <c r="AN395" i="46"/>
  <c r="AR395" i="46"/>
  <c r="Z159" i="49"/>
  <c r="DR159" i="49"/>
  <c r="DX159" i="49"/>
  <c r="AN309" i="46"/>
  <c r="AR309" i="46"/>
  <c r="Z51" i="49"/>
  <c r="DR51" i="49"/>
  <c r="DX51" i="49"/>
  <c r="AN47" i="46"/>
  <c r="AR47" i="46"/>
  <c r="Z470" i="49"/>
  <c r="DR470" i="49"/>
  <c r="DX470" i="49"/>
  <c r="AN548" i="46"/>
  <c r="AR548" i="46"/>
  <c r="Z155" i="49"/>
  <c r="DR155" i="49"/>
  <c r="DX155" i="49"/>
  <c r="AN200" i="46"/>
  <c r="AR200" i="46"/>
  <c r="Z69" i="49"/>
  <c r="DR69" i="49"/>
  <c r="DX69" i="49"/>
  <c r="AN87" i="46"/>
  <c r="AR87" i="46"/>
  <c r="Z135" i="49"/>
  <c r="DR135" i="49"/>
  <c r="DX135" i="49"/>
  <c r="AN251" i="46"/>
  <c r="AR251" i="46"/>
  <c r="Z149" i="49"/>
  <c r="DR149" i="49"/>
  <c r="DX149" i="49"/>
  <c r="AN271" i="46"/>
  <c r="AR271" i="46"/>
  <c r="Z484" i="49"/>
  <c r="DR484" i="49"/>
  <c r="DX484" i="49"/>
  <c r="AN568" i="46"/>
  <c r="AR568" i="46"/>
  <c r="Z102" i="49"/>
  <c r="DR102" i="49"/>
  <c r="DX102" i="49"/>
  <c r="AN163" i="46"/>
  <c r="AR163" i="46"/>
  <c r="Z199" i="49"/>
  <c r="DR199" i="49"/>
  <c r="DX199" i="49"/>
  <c r="AN266" i="46"/>
  <c r="AR266" i="46"/>
  <c r="Z423" i="49"/>
  <c r="DR423" i="49"/>
  <c r="DX423" i="49"/>
  <c r="AN486" i="46"/>
  <c r="AR486" i="46"/>
  <c r="Z172" i="49"/>
  <c r="DR172" i="49"/>
  <c r="DX172" i="49"/>
  <c r="AN196" i="46"/>
  <c r="AR196" i="46"/>
  <c r="Z268" i="49"/>
  <c r="DR268" i="49"/>
  <c r="DX268" i="49"/>
  <c r="AN311" i="46"/>
  <c r="AR311" i="46"/>
  <c r="Z120" i="49"/>
  <c r="DR120" i="49"/>
  <c r="DX120" i="49"/>
  <c r="AN142" i="46"/>
  <c r="AR142" i="46"/>
  <c r="Z99" i="49"/>
  <c r="DR99" i="49"/>
  <c r="DX99" i="49"/>
  <c r="AN127" i="46"/>
  <c r="AR127" i="46"/>
  <c r="Z101" i="49"/>
  <c r="DR101" i="49"/>
  <c r="DX101" i="49"/>
  <c r="AN148" i="46"/>
  <c r="AR148" i="46"/>
  <c r="Z139" i="49"/>
  <c r="DR139" i="49"/>
  <c r="DX139" i="49"/>
  <c r="AN340" i="46"/>
  <c r="AR340" i="46"/>
  <c r="Z277" i="49"/>
  <c r="DR277" i="49"/>
  <c r="DX277" i="49"/>
  <c r="AN308" i="46"/>
  <c r="AR308" i="46"/>
  <c r="Z141" i="49"/>
  <c r="DR141" i="49"/>
  <c r="DX141" i="49"/>
  <c r="AN296" i="46"/>
  <c r="AR296" i="46"/>
  <c r="Z420" i="49"/>
  <c r="DR420" i="49"/>
  <c r="DX420" i="49"/>
  <c r="AN478" i="46"/>
  <c r="AR478" i="46"/>
  <c r="Z115" i="49"/>
  <c r="DR115" i="49"/>
  <c r="DX115" i="49"/>
  <c r="AN140" i="46"/>
  <c r="AR140" i="46"/>
  <c r="Z158" i="49"/>
  <c r="DR158" i="49"/>
  <c r="DX158" i="49"/>
  <c r="AN354" i="46"/>
  <c r="AR354" i="46"/>
  <c r="Z473" i="49"/>
  <c r="DR473" i="49"/>
  <c r="DX473" i="49"/>
  <c r="AN552" i="46"/>
  <c r="AR552" i="46"/>
  <c r="Z337" i="49"/>
  <c r="DR337" i="49"/>
  <c r="DX337" i="49"/>
  <c r="AN396" i="46"/>
  <c r="AR396" i="46"/>
  <c r="Z433" i="49"/>
  <c r="DR433" i="49"/>
  <c r="DX433" i="49"/>
  <c r="AN506" i="46"/>
  <c r="AR506" i="46"/>
  <c r="Z341" i="49"/>
  <c r="DR341" i="49"/>
  <c r="DX341" i="49"/>
  <c r="AN388" i="46"/>
  <c r="AR388" i="46"/>
  <c r="Z23" i="49"/>
  <c r="DR23" i="49"/>
  <c r="DX23" i="49"/>
  <c r="AN23" i="46"/>
  <c r="AR23" i="46"/>
  <c r="Z335" i="49"/>
  <c r="DR335" i="49"/>
  <c r="DX335" i="49"/>
  <c r="AN391" i="46"/>
  <c r="AR391" i="46"/>
  <c r="Z103" i="49"/>
  <c r="DR103" i="49"/>
  <c r="DX103" i="49"/>
  <c r="AN126" i="46"/>
  <c r="AR126" i="46"/>
  <c r="Z91" i="49"/>
  <c r="DR91" i="49"/>
  <c r="DX91" i="49"/>
  <c r="AN132" i="46"/>
  <c r="AR132" i="46"/>
  <c r="Z458" i="49"/>
  <c r="DR458" i="49"/>
  <c r="DX458" i="49"/>
  <c r="AN524" i="46"/>
  <c r="AR524" i="46"/>
  <c r="Z67" i="49"/>
  <c r="DR67" i="49"/>
  <c r="DX67" i="49"/>
  <c r="AN89" i="46"/>
  <c r="AR89" i="46"/>
  <c r="Z367" i="49"/>
  <c r="DR367" i="49"/>
  <c r="DX367" i="49"/>
  <c r="AN454" i="46"/>
  <c r="AR454" i="46"/>
  <c r="Z35" i="49"/>
  <c r="DR35" i="49"/>
  <c r="DX35" i="49"/>
  <c r="AN28" i="46"/>
  <c r="AR28" i="46"/>
  <c r="Z234" i="49"/>
  <c r="DR234" i="49"/>
  <c r="DX234" i="49"/>
  <c r="AN178" i="46"/>
  <c r="AR178" i="46"/>
  <c r="Z18" i="49"/>
  <c r="DR18" i="49"/>
  <c r="DX18" i="49"/>
  <c r="AN36" i="46"/>
  <c r="AR36" i="46"/>
  <c r="Z40" i="49"/>
  <c r="DR40" i="49"/>
  <c r="DX40" i="49"/>
  <c r="AN46" i="46"/>
  <c r="AR46" i="46"/>
  <c r="Z472" i="49"/>
  <c r="DR472" i="49"/>
  <c r="DX472" i="49"/>
  <c r="AN538" i="46"/>
  <c r="AR538" i="46"/>
  <c r="Z440" i="49"/>
  <c r="DR440" i="49"/>
  <c r="DX440" i="49"/>
  <c r="AN529" i="46"/>
  <c r="AR529" i="46"/>
  <c r="Z467" i="49"/>
  <c r="DR467" i="49"/>
  <c r="DX467" i="49"/>
  <c r="AN554" i="46"/>
  <c r="AR554" i="46"/>
  <c r="Z284" i="49"/>
  <c r="DR284" i="49"/>
  <c r="DX284" i="49"/>
  <c r="AN183" i="46"/>
  <c r="AR183" i="46"/>
  <c r="Z176" i="49"/>
  <c r="DR176" i="49"/>
  <c r="DX176" i="49"/>
  <c r="AN492" i="46"/>
  <c r="AR492" i="46"/>
  <c r="Z273" i="49"/>
  <c r="DR273" i="49"/>
  <c r="DX273" i="49"/>
  <c r="AN233" i="46"/>
  <c r="AR233" i="46"/>
  <c r="Z280" i="49"/>
  <c r="DR280" i="49"/>
  <c r="DX280" i="49"/>
  <c r="AN312" i="46"/>
  <c r="AR312" i="46"/>
  <c r="Z288" i="49"/>
  <c r="DR288" i="49"/>
  <c r="DX288" i="49"/>
  <c r="AN280" i="46"/>
  <c r="AR280" i="46"/>
  <c r="Z375" i="49"/>
  <c r="DR375" i="49"/>
  <c r="DX375" i="49"/>
  <c r="AN436" i="46"/>
  <c r="AR436" i="46"/>
  <c r="Z406" i="49"/>
  <c r="DR406" i="49"/>
  <c r="DX406" i="49"/>
  <c r="AN475" i="46"/>
  <c r="AR475" i="46"/>
  <c r="Z238" i="49"/>
  <c r="DR238" i="49"/>
  <c r="DX238" i="49"/>
  <c r="AN243" i="46"/>
  <c r="AR243" i="46"/>
  <c r="Z216" i="49"/>
  <c r="DR216" i="49"/>
  <c r="DX216" i="49"/>
  <c r="AN336" i="46"/>
  <c r="AR336" i="46"/>
  <c r="Z359" i="49"/>
  <c r="DR359" i="49"/>
  <c r="DX359" i="49"/>
  <c r="AN410" i="46"/>
  <c r="AR410" i="46"/>
  <c r="Z309" i="49"/>
  <c r="DR309" i="49"/>
  <c r="DX309" i="49"/>
  <c r="AN337" i="46"/>
  <c r="AR337" i="46"/>
  <c r="Z431" i="49"/>
  <c r="DR431" i="49"/>
  <c r="DX431" i="49"/>
  <c r="AN508" i="46"/>
  <c r="AR508" i="46"/>
  <c r="Z426" i="49"/>
  <c r="DR426" i="49"/>
  <c r="DX426" i="49"/>
  <c r="AN489" i="46"/>
  <c r="AR489" i="46"/>
  <c r="Z297" i="49"/>
  <c r="DR297" i="49"/>
  <c r="DX297" i="49"/>
  <c r="AN230" i="46"/>
  <c r="AR230" i="46"/>
  <c r="Z396" i="49"/>
  <c r="DR396" i="49"/>
  <c r="DX396" i="49"/>
  <c r="AN427" i="46"/>
  <c r="AR427" i="46"/>
  <c r="Z285" i="49"/>
  <c r="DR285" i="49"/>
  <c r="DX285" i="49"/>
  <c r="AN276" i="46"/>
  <c r="AR276" i="46"/>
  <c r="Z432" i="49"/>
  <c r="DR432" i="49"/>
  <c r="DX432" i="49"/>
  <c r="AN507" i="46"/>
  <c r="AR507" i="46"/>
  <c r="Z206" i="49"/>
  <c r="DR206" i="49"/>
  <c r="DX206" i="49"/>
  <c r="AN325" i="46"/>
  <c r="AR325" i="46"/>
  <c r="Z182" i="49"/>
  <c r="DR182" i="49"/>
  <c r="DX182" i="49"/>
  <c r="AN214" i="46"/>
  <c r="AR214" i="46"/>
  <c r="Z345" i="49"/>
  <c r="DR345" i="49"/>
  <c r="DX345" i="49"/>
  <c r="AN399" i="46"/>
  <c r="AR399" i="46"/>
  <c r="Z476" i="49"/>
  <c r="DR476" i="49"/>
  <c r="DX476" i="49"/>
  <c r="AN567" i="46"/>
  <c r="AR567" i="46"/>
  <c r="Z327" i="49"/>
  <c r="DR327" i="49"/>
  <c r="DX327" i="49"/>
  <c r="AN379" i="46"/>
  <c r="AR379" i="46"/>
  <c r="Z226" i="49"/>
  <c r="DR226" i="49"/>
  <c r="DX226" i="49"/>
  <c r="AN224" i="46"/>
  <c r="AR224" i="46"/>
  <c r="Z401" i="49"/>
  <c r="DR401" i="49"/>
  <c r="DX401" i="49"/>
  <c r="AN449" i="46"/>
  <c r="AR449" i="46"/>
  <c r="Z300" i="49"/>
  <c r="DR300" i="49"/>
  <c r="DX300" i="49"/>
  <c r="AN219" i="46"/>
  <c r="AR219" i="46"/>
  <c r="Z376" i="49"/>
  <c r="DR376" i="49"/>
  <c r="DX376" i="49"/>
  <c r="AN462" i="46"/>
  <c r="AR462" i="46"/>
  <c r="Z362" i="49"/>
  <c r="DR362" i="49"/>
  <c r="DX362" i="49"/>
  <c r="AN408" i="46"/>
  <c r="AR408" i="46"/>
  <c r="Z223" i="49"/>
  <c r="DR223" i="49"/>
  <c r="DX223" i="49"/>
  <c r="AN246" i="46"/>
  <c r="AR246" i="46"/>
  <c r="Z407" i="49"/>
  <c r="DR407" i="49"/>
  <c r="DX407" i="49"/>
  <c r="AN469" i="46"/>
  <c r="AR469" i="46"/>
  <c r="Z389" i="49"/>
  <c r="DR389" i="49"/>
  <c r="DX389" i="49"/>
  <c r="AN452" i="46"/>
  <c r="AR452" i="46"/>
  <c r="Z241" i="49"/>
  <c r="DR241" i="49"/>
  <c r="DX241" i="49"/>
  <c r="AN272" i="46"/>
  <c r="AR272" i="46"/>
  <c r="Z392" i="49"/>
  <c r="DR392" i="49"/>
  <c r="DX392" i="49"/>
  <c r="AN437" i="46"/>
  <c r="AR437" i="46"/>
  <c r="Z391" i="49"/>
  <c r="DR391" i="49"/>
  <c r="DX391" i="49"/>
  <c r="AN460" i="46"/>
  <c r="AR460" i="46"/>
  <c r="Z365" i="49"/>
  <c r="DR365" i="49"/>
  <c r="DX365" i="49"/>
  <c r="AN457" i="46"/>
  <c r="AR457" i="46"/>
  <c r="Z373" i="49"/>
  <c r="DR373" i="49"/>
  <c r="DX373" i="49"/>
  <c r="AN441" i="46"/>
  <c r="AR441" i="46"/>
  <c r="Z104" i="49"/>
  <c r="DR104" i="49"/>
  <c r="DX104" i="49"/>
  <c r="AN136" i="46"/>
  <c r="AR136" i="46"/>
  <c r="Z64" i="49"/>
  <c r="DR64" i="49"/>
  <c r="DX64" i="49"/>
  <c r="AN91" i="46"/>
  <c r="AR91" i="46"/>
  <c r="Z84" i="49"/>
  <c r="DR84" i="49"/>
  <c r="DX84" i="49"/>
  <c r="AN167" i="46"/>
  <c r="AR167" i="46"/>
  <c r="Z233" i="49"/>
  <c r="DR233" i="49"/>
  <c r="DX233" i="49"/>
  <c r="AN328" i="46"/>
  <c r="AR328" i="46"/>
  <c r="Z183" i="49"/>
  <c r="DR183" i="49"/>
  <c r="DX183" i="49"/>
  <c r="AN255" i="46"/>
  <c r="AR255" i="46"/>
  <c r="Z118" i="49"/>
  <c r="DR118" i="49"/>
  <c r="DX118" i="49"/>
  <c r="AN145" i="46"/>
  <c r="AR145" i="46"/>
  <c r="Z20" i="49"/>
  <c r="DR20" i="49"/>
  <c r="DX20" i="49"/>
  <c r="AN37" i="46"/>
  <c r="AR37" i="46"/>
  <c r="Z150" i="49"/>
  <c r="DR150" i="49"/>
  <c r="DX150" i="49"/>
  <c r="AN317" i="46"/>
  <c r="AR317" i="46"/>
  <c r="Z299" i="49"/>
  <c r="DR299" i="49"/>
  <c r="DX299" i="49"/>
  <c r="AN346" i="46"/>
  <c r="AR346" i="46"/>
  <c r="Z164" i="49"/>
  <c r="DR164" i="49"/>
  <c r="DX164" i="49"/>
  <c r="AN241" i="46"/>
  <c r="AR241" i="46"/>
  <c r="Z395" i="49"/>
  <c r="DR395" i="49"/>
  <c r="DX395" i="49"/>
  <c r="AN456" i="46"/>
  <c r="AR456" i="46"/>
  <c r="Z379" i="49"/>
  <c r="DR379" i="49"/>
  <c r="DX379" i="49"/>
  <c r="AN445" i="46"/>
  <c r="AR445" i="46"/>
  <c r="Z404" i="49"/>
  <c r="DR404" i="49"/>
  <c r="DX404" i="49"/>
  <c r="AN484" i="46"/>
  <c r="AR484" i="46"/>
  <c r="Z21" i="49"/>
  <c r="DR21" i="49"/>
  <c r="DX21" i="49"/>
  <c r="AN38" i="46"/>
  <c r="AR38" i="46"/>
  <c r="Z42" i="49"/>
  <c r="DR42" i="49"/>
  <c r="DX42" i="49"/>
  <c r="AN56" i="46"/>
  <c r="AR56" i="46"/>
  <c r="Z461" i="49"/>
  <c r="DR461" i="49"/>
  <c r="DX461" i="49"/>
  <c r="AN545" i="46"/>
  <c r="AR545" i="46"/>
  <c r="Z55" i="49"/>
  <c r="DR55" i="49"/>
  <c r="DX55" i="49"/>
  <c r="AN78" i="46"/>
  <c r="AR78" i="46"/>
  <c r="Z72" i="49"/>
  <c r="DR72" i="49"/>
  <c r="DX72" i="49"/>
  <c r="AN100" i="46"/>
  <c r="Z87" i="49"/>
  <c r="DR87" i="49"/>
  <c r="DX87" i="49"/>
  <c r="AN130" i="46"/>
  <c r="AR130" i="46"/>
  <c r="Z485" i="49"/>
  <c r="DR485" i="49"/>
  <c r="DX485" i="49"/>
  <c r="AN570" i="46"/>
  <c r="AR570" i="46"/>
  <c r="Z170" i="49"/>
  <c r="DR170" i="49"/>
  <c r="DX170" i="49"/>
  <c r="AN229" i="46"/>
  <c r="AR229" i="46"/>
  <c r="Z380" i="49"/>
  <c r="DR380" i="49"/>
  <c r="DX380" i="49"/>
  <c r="AN428" i="46"/>
  <c r="AR428" i="46"/>
  <c r="AO97" i="46"/>
  <c r="AO500" i="46"/>
  <c r="Z79" i="49"/>
  <c r="DR79" i="49"/>
  <c r="DX79" i="49"/>
  <c r="AN166" i="46"/>
  <c r="AR166" i="46"/>
  <c r="Z319" i="49"/>
  <c r="DR319" i="49"/>
  <c r="DX319" i="49"/>
  <c r="AN362" i="46"/>
  <c r="AR362" i="46"/>
  <c r="Z224" i="49"/>
  <c r="DR224" i="49"/>
  <c r="DX224" i="49"/>
  <c r="AN247" i="46"/>
  <c r="AR247" i="46"/>
  <c r="Z317" i="49"/>
  <c r="DR317" i="49"/>
  <c r="DX317" i="49"/>
  <c r="AN372" i="46"/>
  <c r="AR372" i="46"/>
  <c r="Z490" i="49"/>
  <c r="DR490" i="49"/>
  <c r="DX490" i="49"/>
  <c r="AN112" i="46"/>
  <c r="AR112" i="46"/>
  <c r="Z311" i="49"/>
  <c r="DR311" i="49"/>
  <c r="DX311" i="49"/>
  <c r="AN218" i="46"/>
  <c r="AR218" i="46"/>
  <c r="Z390" i="49"/>
  <c r="DR390" i="49"/>
  <c r="DX390" i="49"/>
  <c r="AN425" i="46"/>
  <c r="AR425" i="46"/>
  <c r="Z368" i="49"/>
  <c r="DR368" i="49"/>
  <c r="DX368" i="49"/>
  <c r="AN455" i="46"/>
  <c r="AR455" i="46"/>
  <c r="Z30" i="49"/>
  <c r="DR30" i="49"/>
  <c r="DX30" i="49"/>
  <c r="AN26" i="46"/>
  <c r="AR26" i="46"/>
  <c r="Z134" i="49"/>
  <c r="DR134" i="49"/>
  <c r="DX134" i="49"/>
  <c r="AN225" i="46"/>
  <c r="AR225" i="46"/>
  <c r="Z310" i="49"/>
  <c r="DR310" i="49"/>
  <c r="DX310" i="49"/>
  <c r="AN192" i="46"/>
  <c r="AR192" i="46"/>
  <c r="Z261" i="49"/>
  <c r="DR261" i="49"/>
  <c r="DX261" i="49"/>
  <c r="AN245" i="46"/>
  <c r="AR245" i="46"/>
  <c r="W5" i="49"/>
  <c r="BT500" i="49"/>
  <c r="BT2" i="49"/>
  <c r="Z450" i="49"/>
  <c r="DR450" i="49"/>
  <c r="DX450" i="49"/>
  <c r="AN536" i="46"/>
  <c r="AR536" i="46"/>
  <c r="Z477" i="49"/>
  <c r="DR477" i="49"/>
  <c r="DX477" i="49"/>
  <c r="AN564" i="46"/>
  <c r="AR564" i="46"/>
  <c r="Z75" i="49"/>
  <c r="DR75" i="49"/>
  <c r="DX75" i="49"/>
  <c r="AN101" i="46"/>
  <c r="AR101" i="46"/>
  <c r="Z451" i="49"/>
  <c r="DR451" i="49"/>
  <c r="DX451" i="49"/>
  <c r="AN522" i="46"/>
  <c r="AR522" i="46"/>
  <c r="Z496" i="49"/>
  <c r="DR496" i="49"/>
  <c r="DX496" i="49"/>
  <c r="AN578" i="46"/>
  <c r="AR578" i="46"/>
  <c r="Z267" i="49"/>
  <c r="DR267" i="49"/>
  <c r="DX267" i="49"/>
  <c r="AN301" i="46"/>
  <c r="AR301" i="46"/>
  <c r="Z7" i="49"/>
  <c r="DR7" i="49"/>
  <c r="DX7" i="49"/>
  <c r="AN14" i="46"/>
  <c r="AR14" i="46"/>
  <c r="Z111" i="49"/>
  <c r="DR111" i="49"/>
  <c r="DX111" i="49"/>
  <c r="AN141" i="46"/>
  <c r="AR141" i="46"/>
  <c r="Z190" i="49"/>
  <c r="DR190" i="49"/>
  <c r="DX190" i="49"/>
  <c r="AN226" i="46"/>
  <c r="AR226" i="46"/>
  <c r="Z144" i="49"/>
  <c r="DR144" i="49"/>
  <c r="DX144" i="49"/>
  <c r="AN227" i="46"/>
  <c r="AR227" i="46"/>
  <c r="Z148" i="49"/>
  <c r="DR148" i="49"/>
  <c r="DX148" i="49"/>
  <c r="AN289" i="46"/>
  <c r="AR289" i="46"/>
  <c r="Z194" i="49"/>
  <c r="DR194" i="49"/>
  <c r="DX194" i="49"/>
  <c r="AN263" i="46"/>
  <c r="AR263" i="46"/>
  <c r="Z478" i="49"/>
  <c r="DR478" i="49"/>
  <c r="DX478" i="49"/>
  <c r="AN566" i="46"/>
  <c r="AR566" i="46"/>
  <c r="Z295" i="49"/>
  <c r="DR295" i="49"/>
  <c r="DX295" i="49"/>
  <c r="AN180" i="46"/>
  <c r="AR180" i="46"/>
  <c r="Z68" i="49"/>
  <c r="DR68" i="49"/>
  <c r="DX68" i="49"/>
  <c r="AN86" i="46"/>
  <c r="DZ360" i="49"/>
  <c r="DY360" i="49"/>
  <c r="Z498" i="49"/>
  <c r="DR498" i="49"/>
  <c r="DX498" i="49"/>
  <c r="AN580" i="46"/>
  <c r="AR580" i="46"/>
  <c r="Z245" i="49"/>
  <c r="DR245" i="49"/>
  <c r="DX245" i="49"/>
  <c r="AN232" i="46"/>
  <c r="AR232" i="46"/>
  <c r="Z313" i="49"/>
  <c r="DR313" i="49"/>
  <c r="DX313" i="49"/>
  <c r="AN371" i="46"/>
  <c r="AR371" i="46"/>
  <c r="Z15" i="49"/>
  <c r="DR15" i="49"/>
  <c r="DX15" i="49"/>
  <c r="AN7" i="46"/>
  <c r="AR7" i="46"/>
  <c r="Z314" i="49"/>
  <c r="DR314" i="49"/>
  <c r="DX314" i="49"/>
  <c r="AN365" i="46"/>
  <c r="AR365" i="46"/>
  <c r="Z8" i="49"/>
  <c r="DR8" i="49"/>
  <c r="DX8" i="49"/>
  <c r="AN11" i="46"/>
  <c r="AR11" i="46"/>
  <c r="AP198" i="46"/>
  <c r="AP358" i="46"/>
  <c r="AP582" i="46"/>
  <c r="X500" i="49"/>
  <c r="X2" i="49"/>
  <c r="Z89" i="49"/>
  <c r="DR89" i="49"/>
  <c r="DX89" i="49"/>
  <c r="AN143" i="46"/>
  <c r="AR143" i="46"/>
  <c r="Z205" i="49"/>
  <c r="DR205" i="49"/>
  <c r="DX205" i="49"/>
  <c r="AN321" i="46"/>
  <c r="AR321" i="46"/>
  <c r="Z338" i="49"/>
  <c r="DR338" i="49"/>
  <c r="DX338" i="49"/>
  <c r="AN387" i="46"/>
  <c r="AR387" i="46"/>
  <c r="Z180" i="49"/>
  <c r="DR180" i="49"/>
  <c r="DX180" i="49"/>
  <c r="AN262" i="46"/>
  <c r="AR262" i="46"/>
  <c r="Z252" i="49"/>
  <c r="DR252" i="49"/>
  <c r="DX252" i="49"/>
  <c r="AN304" i="46"/>
  <c r="AR304" i="46"/>
  <c r="Z185" i="49"/>
  <c r="DR185" i="49"/>
  <c r="DX185" i="49"/>
  <c r="AN253" i="46"/>
  <c r="AR253" i="46"/>
  <c r="Z348" i="49"/>
  <c r="DR348" i="49"/>
  <c r="DX348" i="49"/>
  <c r="AN447" i="46"/>
  <c r="AR447" i="46"/>
  <c r="Z14" i="49"/>
  <c r="DR14" i="49"/>
  <c r="DX14" i="49"/>
  <c r="AN16" i="46"/>
  <c r="AR16" i="46"/>
  <c r="Z227" i="49"/>
  <c r="DR227" i="49"/>
  <c r="DX227" i="49"/>
  <c r="AN338" i="46"/>
  <c r="AR338" i="46"/>
  <c r="Z372" i="49"/>
  <c r="DR372" i="49"/>
  <c r="DX372" i="49"/>
  <c r="AN446" i="46"/>
  <c r="AR446" i="46"/>
  <c r="Z452" i="49"/>
  <c r="DR452" i="49"/>
  <c r="DX452" i="49"/>
  <c r="AN520" i="46"/>
  <c r="AR520" i="46"/>
  <c r="Z382" i="49"/>
  <c r="DR382" i="49"/>
  <c r="DX382" i="49"/>
  <c r="AN423" i="46"/>
  <c r="AR423" i="46"/>
  <c r="Z325" i="49"/>
  <c r="DR325" i="49"/>
  <c r="DX325" i="49"/>
  <c r="AN369" i="46"/>
  <c r="AR369" i="46"/>
  <c r="Z132" i="49"/>
  <c r="DR132" i="49"/>
  <c r="DX132" i="49"/>
  <c r="AN285" i="46"/>
  <c r="AR285" i="46"/>
  <c r="Z425" i="49"/>
  <c r="DR425" i="49"/>
  <c r="DX425" i="49"/>
  <c r="AN490" i="46"/>
  <c r="AR490" i="46"/>
  <c r="Z61" i="49"/>
  <c r="DR61" i="49"/>
  <c r="DX61" i="49"/>
  <c r="AN72" i="46"/>
  <c r="AR72" i="46"/>
  <c r="Z388" i="49"/>
  <c r="DR388" i="49"/>
  <c r="DX388" i="49"/>
  <c r="AN442" i="46"/>
  <c r="AR442" i="46"/>
  <c r="Z17" i="49"/>
  <c r="DR17" i="49"/>
  <c r="DX17" i="49"/>
  <c r="AN34" i="46"/>
  <c r="AR34" i="46"/>
  <c r="Z324" i="49"/>
  <c r="DR324" i="49"/>
  <c r="DX324" i="49"/>
  <c r="AN367" i="46"/>
  <c r="AR367" i="46"/>
  <c r="Z445" i="49"/>
  <c r="DR445" i="49"/>
  <c r="DX445" i="49"/>
  <c r="AN521" i="46"/>
  <c r="AR521" i="46"/>
  <c r="Z435" i="49"/>
  <c r="DR435" i="49"/>
  <c r="DX435" i="49"/>
  <c r="AN503" i="46"/>
  <c r="Z301" i="49"/>
  <c r="DR301" i="49"/>
  <c r="DX301" i="49"/>
  <c r="AN302" i="46"/>
  <c r="AR302" i="46"/>
  <c r="Z454" i="49"/>
  <c r="DR454" i="49"/>
  <c r="DX454" i="49"/>
  <c r="AN517" i="46"/>
  <c r="AR517" i="46"/>
  <c r="Z24" i="49"/>
  <c r="DR24" i="49"/>
  <c r="DX24" i="49"/>
  <c r="AN33" i="46"/>
  <c r="AR33" i="46"/>
  <c r="Z434" i="49"/>
  <c r="DR434" i="49"/>
  <c r="DX434" i="49"/>
  <c r="AN504" i="46"/>
  <c r="AR504" i="46"/>
  <c r="Z414" i="49"/>
  <c r="DR414" i="49"/>
  <c r="DX414" i="49"/>
  <c r="AN485" i="46"/>
  <c r="AR485" i="46"/>
  <c r="Z128" i="49"/>
  <c r="DR128" i="49"/>
  <c r="DX128" i="49"/>
  <c r="AN168" i="46"/>
  <c r="AR168" i="46"/>
  <c r="Z45" i="49"/>
  <c r="DR45" i="49"/>
  <c r="DX45" i="49"/>
  <c r="AN57" i="46"/>
  <c r="AR57" i="46"/>
  <c r="Z11" i="49"/>
  <c r="DR11" i="49"/>
  <c r="DX11" i="49"/>
  <c r="AN15" i="46"/>
  <c r="AR15" i="46"/>
  <c r="Z116" i="49"/>
  <c r="DR116" i="49"/>
  <c r="DX116" i="49"/>
  <c r="AN122" i="46"/>
  <c r="AR122" i="46"/>
  <c r="Z353" i="49"/>
  <c r="DR353" i="49"/>
  <c r="DX353" i="49"/>
  <c r="AN418" i="46"/>
  <c r="AR418" i="46"/>
  <c r="Z46" i="49"/>
  <c r="DR46" i="49"/>
  <c r="DX46" i="49"/>
  <c r="AN58" i="46"/>
  <c r="AR58" i="46"/>
  <c r="Z98" i="49"/>
  <c r="DR98" i="49"/>
  <c r="DX98" i="49"/>
  <c r="AN144" i="46"/>
  <c r="AR144" i="46"/>
  <c r="Z340" i="49"/>
  <c r="DR340" i="49"/>
  <c r="DX340" i="49"/>
  <c r="AN394" i="46"/>
  <c r="AR394" i="46"/>
  <c r="Z32" i="49"/>
  <c r="DR32" i="49"/>
  <c r="DX32" i="49"/>
  <c r="AN27" i="46"/>
  <c r="AR27" i="46"/>
  <c r="AV500" i="49"/>
  <c r="AV2" i="49"/>
  <c r="AW5" i="49"/>
  <c r="Z466" i="49"/>
  <c r="DR466" i="49"/>
  <c r="DX466" i="49"/>
  <c r="AN543" i="46"/>
  <c r="AR543" i="46"/>
  <c r="Z465" i="49"/>
  <c r="DR465" i="49"/>
  <c r="DX465" i="49"/>
  <c r="AN541" i="46"/>
  <c r="AR541" i="46"/>
  <c r="Z462" i="49"/>
  <c r="DR462" i="49"/>
  <c r="DX462" i="49"/>
  <c r="AN542" i="46"/>
  <c r="AR542" i="46"/>
  <c r="Z222" i="49"/>
  <c r="DR222" i="49"/>
  <c r="DX222" i="49"/>
  <c r="AN176" i="46"/>
  <c r="AR176" i="46"/>
  <c r="Z403" i="49"/>
  <c r="DR403" i="49"/>
  <c r="DX403" i="49"/>
  <c r="AN497" i="46"/>
  <c r="AR497" i="46"/>
  <c r="Z246" i="49"/>
  <c r="DR246" i="49"/>
  <c r="DX246" i="49"/>
  <c r="AN268" i="46"/>
  <c r="AR268" i="46"/>
  <c r="Z417" i="49"/>
  <c r="DR417" i="49"/>
  <c r="DX417" i="49"/>
  <c r="AN477" i="46"/>
  <c r="AR477" i="46"/>
  <c r="Z242" i="49"/>
  <c r="DR242" i="49"/>
  <c r="DX242" i="49"/>
  <c r="AN195" i="46"/>
  <c r="AR195" i="46"/>
  <c r="Z272" i="49"/>
  <c r="DR272" i="49"/>
  <c r="DX272" i="49"/>
  <c r="AN333" i="46"/>
  <c r="AR333" i="46"/>
  <c r="Z405" i="49"/>
  <c r="DR405" i="49"/>
  <c r="DX405" i="49"/>
  <c r="AN471" i="46"/>
  <c r="AR471" i="46"/>
  <c r="Z294" i="49"/>
  <c r="DR294" i="49"/>
  <c r="DX294" i="49"/>
  <c r="AN315" i="46"/>
  <c r="AR315" i="46"/>
  <c r="Z175" i="49"/>
  <c r="DR175" i="49"/>
  <c r="DX175" i="49"/>
  <c r="AN186" i="46"/>
  <c r="AR186" i="46"/>
  <c r="Z332" i="49"/>
  <c r="DR332" i="49"/>
  <c r="DX332" i="49"/>
  <c r="AN376" i="46"/>
  <c r="AR376" i="46"/>
  <c r="Z269" i="49"/>
  <c r="DR269" i="49"/>
  <c r="DX269" i="49"/>
  <c r="AN212" i="46"/>
  <c r="AR212" i="46"/>
  <c r="Z302" i="49"/>
  <c r="DR302" i="49"/>
  <c r="DX302" i="49"/>
  <c r="AN303" i="46"/>
  <c r="AR303" i="46"/>
  <c r="Z232" i="49"/>
  <c r="DR232" i="49"/>
  <c r="DX232" i="49"/>
  <c r="AN288" i="46"/>
  <c r="AR288" i="46"/>
  <c r="Z195" i="49"/>
  <c r="DR195" i="49"/>
  <c r="DX195" i="49"/>
  <c r="AN347" i="46"/>
  <c r="AR347" i="46"/>
  <c r="Z276" i="49"/>
  <c r="DR276" i="49"/>
  <c r="DX276" i="49"/>
  <c r="AN269" i="46"/>
  <c r="AR269" i="46"/>
  <c r="Z304" i="49"/>
  <c r="DR304" i="49"/>
  <c r="DX304" i="49"/>
  <c r="AN185" i="46"/>
  <c r="AR185" i="46"/>
  <c r="Z257" i="49"/>
  <c r="DR257" i="49"/>
  <c r="DX257" i="49"/>
  <c r="AN217" i="46"/>
  <c r="AR217" i="46"/>
  <c r="Z258" i="49"/>
  <c r="DR258" i="49"/>
  <c r="DX258" i="49"/>
  <c r="AN248" i="46"/>
  <c r="AR248" i="46"/>
  <c r="Z177" i="49"/>
  <c r="DR177" i="49"/>
  <c r="DX177" i="49"/>
  <c r="AN256" i="46"/>
  <c r="AR256" i="46"/>
  <c r="Z480" i="49"/>
  <c r="DR480" i="49"/>
  <c r="DX480" i="49"/>
  <c r="AN561" i="46"/>
  <c r="AR561" i="46"/>
  <c r="Z293" i="49"/>
  <c r="DR293" i="49"/>
  <c r="DX293" i="49"/>
  <c r="AN331" i="46"/>
  <c r="AR331" i="46"/>
  <c r="Z371" i="49"/>
  <c r="DR371" i="49"/>
  <c r="DX371" i="49"/>
  <c r="AN451" i="46"/>
  <c r="AR451" i="46"/>
  <c r="Z282" i="49"/>
  <c r="DR282" i="49"/>
  <c r="DX282" i="49"/>
  <c r="AN282" i="46"/>
  <c r="AR282" i="46"/>
  <c r="Z421" i="49"/>
  <c r="DR421" i="49"/>
  <c r="DX421" i="49"/>
  <c r="AN470" i="46"/>
  <c r="AR470" i="46"/>
  <c r="Z231" i="49"/>
  <c r="DR231" i="49"/>
  <c r="DX231" i="49"/>
  <c r="AN189" i="46"/>
  <c r="AR189" i="46"/>
  <c r="Z211" i="49"/>
  <c r="DR211" i="49"/>
  <c r="DX211" i="49"/>
  <c r="AN283" i="46"/>
  <c r="AR283" i="46"/>
  <c r="Z286" i="49"/>
  <c r="DR286" i="49"/>
  <c r="DX286" i="49"/>
  <c r="AN181" i="46"/>
  <c r="AR181" i="46"/>
  <c r="Z207" i="49"/>
  <c r="DR207" i="49"/>
  <c r="DX207" i="49"/>
  <c r="AN343" i="46"/>
  <c r="AR343" i="46"/>
  <c r="Z344" i="49"/>
  <c r="DR344" i="49"/>
  <c r="DX344" i="49"/>
  <c r="AN398" i="46"/>
  <c r="AR398" i="46"/>
  <c r="Z71" i="49"/>
  <c r="DR71" i="49"/>
  <c r="DX71" i="49"/>
  <c r="AN93" i="46"/>
  <c r="AR93" i="46"/>
  <c r="Z193" i="49"/>
  <c r="DR193" i="49"/>
  <c r="DX193" i="49"/>
  <c r="AN199" i="46"/>
  <c r="AR199" i="46"/>
  <c r="Z237" i="49"/>
  <c r="DR237" i="49"/>
  <c r="DX237" i="49"/>
  <c r="AN249" i="46"/>
  <c r="AR249" i="46"/>
  <c r="Z228" i="49"/>
  <c r="DR228" i="49"/>
  <c r="DX228" i="49"/>
  <c r="AN297" i="46"/>
  <c r="AR297" i="46"/>
  <c r="Z349" i="49"/>
  <c r="DR349" i="49"/>
  <c r="DX349" i="49"/>
  <c r="AN419" i="46"/>
  <c r="AR419" i="46"/>
  <c r="Z114" i="49"/>
  <c r="DR114" i="49"/>
  <c r="DX114" i="49"/>
  <c r="AN146" i="46"/>
  <c r="AR146" i="46"/>
  <c r="Z208" i="49"/>
  <c r="DR208" i="49"/>
  <c r="DX208" i="49"/>
  <c r="AN210" i="46"/>
  <c r="AR210" i="46"/>
  <c r="Z174" i="49"/>
  <c r="DR174" i="49"/>
  <c r="DX174" i="49"/>
  <c r="AN550" i="46"/>
  <c r="AR550" i="46"/>
  <c r="Z449" i="49"/>
  <c r="DR449" i="49"/>
  <c r="DX449" i="49"/>
  <c r="AN518" i="46"/>
  <c r="AR518" i="46"/>
  <c r="Z361" i="49"/>
  <c r="DR361" i="49"/>
  <c r="DX361" i="49"/>
  <c r="AN420" i="46"/>
  <c r="AR420" i="46"/>
  <c r="Z133" i="49"/>
  <c r="DR133" i="49"/>
  <c r="DX133" i="49"/>
  <c r="AN242" i="46"/>
  <c r="AR242" i="46"/>
  <c r="Z218" i="49"/>
  <c r="DR218" i="49"/>
  <c r="DX218" i="49"/>
  <c r="AN352" i="46"/>
  <c r="AR352" i="46"/>
  <c r="Z96" i="49"/>
  <c r="DR96" i="49"/>
  <c r="DX96" i="49"/>
  <c r="AN173" i="46"/>
  <c r="AR173" i="46"/>
  <c r="Z95" i="49"/>
  <c r="DR95" i="49"/>
  <c r="DX95" i="49"/>
  <c r="AN129" i="46"/>
  <c r="AR129" i="46"/>
  <c r="Z196" i="49"/>
  <c r="DR196" i="49"/>
  <c r="DX196" i="49"/>
  <c r="AN216" i="46"/>
  <c r="AR216" i="46"/>
  <c r="Z197" i="49"/>
  <c r="DR197" i="49"/>
  <c r="DX197" i="49"/>
  <c r="AN323" i="46"/>
  <c r="AR323" i="46"/>
  <c r="AO50" i="46"/>
  <c r="AO383" i="46"/>
  <c r="Z412" i="49"/>
  <c r="DR412" i="49"/>
  <c r="DX412" i="49"/>
  <c r="AN473" i="46"/>
  <c r="AR473" i="46"/>
  <c r="Z154" i="49"/>
  <c r="DR154" i="49"/>
  <c r="DX154" i="49"/>
  <c r="AN235" i="46"/>
  <c r="AR235" i="46"/>
  <c r="Z9" i="49"/>
  <c r="DR9" i="49"/>
  <c r="DX9" i="49"/>
  <c r="AN10" i="46"/>
  <c r="AR10" i="46"/>
  <c r="Z112" i="49"/>
  <c r="DR112" i="49"/>
  <c r="DX112" i="49"/>
  <c r="AN139" i="46"/>
  <c r="AR139" i="46"/>
  <c r="Z187" i="49"/>
  <c r="DR187" i="49"/>
  <c r="DX187" i="49"/>
  <c r="AN264" i="46"/>
  <c r="AR264" i="46"/>
  <c r="Z235" i="49"/>
  <c r="DR235" i="49"/>
  <c r="DX235" i="49"/>
  <c r="AN236" i="46"/>
  <c r="AR236" i="46"/>
  <c r="Z124" i="49"/>
  <c r="DR124" i="49"/>
  <c r="DX124" i="49"/>
  <c r="AN162" i="46"/>
  <c r="AR162" i="46"/>
  <c r="Z160" i="49"/>
  <c r="DR160" i="49"/>
  <c r="DX160" i="49"/>
  <c r="AN353" i="46"/>
  <c r="AR353" i="46"/>
  <c r="Z354" i="49"/>
  <c r="DR354" i="49"/>
  <c r="DX354" i="49"/>
  <c r="AN411" i="46"/>
  <c r="AR411" i="46"/>
  <c r="Z26" i="49"/>
  <c r="DR26" i="49"/>
  <c r="DX26" i="49"/>
  <c r="AN41" i="46"/>
  <c r="AR41" i="46"/>
  <c r="Z60" i="49"/>
  <c r="DR60" i="49"/>
  <c r="DX60" i="49"/>
  <c r="AN74" i="46"/>
  <c r="AR74" i="46"/>
  <c r="Z184" i="49"/>
  <c r="DR184" i="49"/>
  <c r="DX184" i="49"/>
  <c r="AN259" i="46"/>
  <c r="AR259" i="46"/>
  <c r="BU479" i="49"/>
  <c r="BU492" i="49"/>
  <c r="Z52" i="49"/>
  <c r="DR52" i="49"/>
  <c r="DX52" i="49"/>
  <c r="AN62" i="46"/>
  <c r="AR62" i="46"/>
  <c r="Z157" i="49"/>
  <c r="DR157" i="49"/>
  <c r="DX157" i="49"/>
  <c r="AN351" i="46"/>
  <c r="AR351" i="46"/>
  <c r="Z377" i="49"/>
  <c r="DR377" i="49"/>
  <c r="DX377" i="49"/>
  <c r="AN434" i="46"/>
  <c r="AR434" i="46"/>
  <c r="Z81" i="49"/>
  <c r="DR81" i="49"/>
  <c r="DX81" i="49"/>
  <c r="AN169" i="46"/>
  <c r="AR169" i="46"/>
  <c r="Z292" i="49"/>
  <c r="DR292" i="49"/>
  <c r="DX292" i="49"/>
  <c r="AN213" i="46"/>
  <c r="AR213" i="46"/>
  <c r="Z320" i="49"/>
  <c r="DR320" i="49"/>
  <c r="DX320" i="49"/>
  <c r="AN361" i="46"/>
  <c r="Z29" i="49"/>
  <c r="DR29" i="49"/>
  <c r="DX29" i="49"/>
  <c r="AN25" i="46"/>
  <c r="AR25" i="46"/>
  <c r="Z109" i="49"/>
  <c r="DR109" i="49"/>
  <c r="DX109" i="49"/>
  <c r="AN160" i="46"/>
  <c r="AR160" i="46"/>
  <c r="Z186" i="49"/>
  <c r="DR186" i="49"/>
  <c r="DX186" i="49"/>
  <c r="AN258" i="46"/>
  <c r="AR258" i="46"/>
  <c r="Z47" i="49"/>
  <c r="DR47" i="49"/>
  <c r="DX47" i="49"/>
  <c r="AN60" i="46"/>
  <c r="AR60" i="46"/>
  <c r="Z66" i="49"/>
  <c r="DR66" i="49"/>
  <c r="DX66" i="49"/>
  <c r="AN88" i="46"/>
  <c r="AR88" i="46"/>
  <c r="Z125" i="49"/>
  <c r="DR125" i="49"/>
  <c r="DX125" i="49"/>
  <c r="AN151" i="46"/>
  <c r="AR151" i="46"/>
  <c r="AQ607" i="46"/>
  <c r="AQ2" i="46"/>
  <c r="AO111" i="46"/>
  <c r="Z493" i="49"/>
  <c r="DR493" i="49"/>
  <c r="DX493" i="49"/>
  <c r="DZ56" i="49"/>
  <c r="DY56" i="49"/>
  <c r="AR377" i="46"/>
  <c r="BU330" i="49"/>
  <c r="AR319" i="46"/>
  <c r="DY203" i="49"/>
  <c r="AR320" i="46"/>
  <c r="DZ125" i="49"/>
  <c r="DY125" i="49"/>
  <c r="DZ109" i="49"/>
  <c r="DY109" i="49"/>
  <c r="DZ81" i="49"/>
  <c r="DY81" i="49"/>
  <c r="DZ60" i="49"/>
  <c r="DY60" i="49"/>
  <c r="DZ187" i="49"/>
  <c r="DY187" i="49"/>
  <c r="DZ412" i="49"/>
  <c r="DY412" i="49"/>
  <c r="DZ218" i="49"/>
  <c r="DY218" i="49"/>
  <c r="DZ114" i="49"/>
  <c r="DY114" i="49"/>
  <c r="DZ344" i="49"/>
  <c r="DY344" i="49"/>
  <c r="DZ282" i="49"/>
  <c r="DY282" i="49"/>
  <c r="DZ177" i="49"/>
  <c r="DY177" i="49"/>
  <c r="DZ232" i="49"/>
  <c r="DY232" i="49"/>
  <c r="DZ405" i="49"/>
  <c r="DY405" i="49"/>
  <c r="DZ66" i="49"/>
  <c r="DY66" i="49"/>
  <c r="DZ292" i="49"/>
  <c r="DY292" i="49"/>
  <c r="DZ52" i="49"/>
  <c r="DY52" i="49"/>
  <c r="DZ26" i="49"/>
  <c r="DY26" i="49"/>
  <c r="DZ235" i="49"/>
  <c r="DY235" i="49"/>
  <c r="DZ154" i="49"/>
  <c r="DY154" i="49"/>
  <c r="DZ196" i="49"/>
  <c r="DY196" i="49"/>
  <c r="DZ133" i="49"/>
  <c r="DY133" i="49"/>
  <c r="DZ208" i="49"/>
  <c r="DY208" i="49"/>
  <c r="DZ71" i="49"/>
  <c r="DY71" i="49"/>
  <c r="DZ211" i="49"/>
  <c r="DY211" i="49"/>
  <c r="DZ371" i="49"/>
  <c r="DY371" i="49"/>
  <c r="DZ258" i="49"/>
  <c r="DY258" i="49"/>
  <c r="DZ195" i="49"/>
  <c r="DY195" i="49"/>
  <c r="DZ332" i="49"/>
  <c r="DY332" i="49"/>
  <c r="DZ272" i="49"/>
  <c r="DY272" i="49"/>
  <c r="DZ403" i="49"/>
  <c r="DY403" i="49"/>
  <c r="DZ466" i="49"/>
  <c r="DY466" i="49"/>
  <c r="DZ98" i="49"/>
  <c r="DY98" i="49"/>
  <c r="DZ11" i="49"/>
  <c r="DY11" i="49"/>
  <c r="DZ434" i="49"/>
  <c r="DY434" i="49"/>
  <c r="DZ435" i="49"/>
  <c r="DY435" i="49"/>
  <c r="DZ388" i="49"/>
  <c r="DY388" i="49"/>
  <c r="DZ325" i="49"/>
  <c r="DY325" i="49"/>
  <c r="DZ227" i="49"/>
  <c r="DY227" i="49"/>
  <c r="DZ338" i="49"/>
  <c r="DY338" i="49"/>
  <c r="DZ261" i="49"/>
  <c r="DY261" i="49"/>
  <c r="DZ134" i="49"/>
  <c r="DY134" i="49"/>
  <c r="DZ368" i="49"/>
  <c r="DY368" i="49"/>
  <c r="DZ311" i="49"/>
  <c r="DY311" i="49"/>
  <c r="DZ317" i="49"/>
  <c r="DY317" i="49"/>
  <c r="DZ319" i="49"/>
  <c r="DY319" i="49"/>
  <c r="AR109" i="46"/>
  <c r="AN117" i="46"/>
  <c r="DZ59" i="49"/>
  <c r="DY59" i="49"/>
  <c r="DZ44" i="49"/>
  <c r="DY44" i="49"/>
  <c r="DZ167" i="49"/>
  <c r="DY167" i="49"/>
  <c r="DZ384" i="49"/>
  <c r="DY384" i="49"/>
  <c r="DZ126" i="49"/>
  <c r="DY126" i="49"/>
  <c r="DZ129" i="49"/>
  <c r="DY129" i="49"/>
  <c r="DZ491" i="49"/>
  <c r="DY491" i="49"/>
  <c r="DZ355" i="49"/>
  <c r="DY355" i="49"/>
  <c r="DZ168" i="49"/>
  <c r="DY168" i="49"/>
  <c r="DZ291" i="49"/>
  <c r="DY291" i="49"/>
  <c r="DZ244" i="49"/>
  <c r="DY244" i="49"/>
  <c r="DZ279" i="49"/>
  <c r="DY279" i="49"/>
  <c r="DZ213" i="49"/>
  <c r="DY213" i="49"/>
  <c r="DZ255" i="49"/>
  <c r="DY255" i="49"/>
  <c r="DZ251" i="49"/>
  <c r="DY251" i="49"/>
  <c r="DZ370" i="49"/>
  <c r="DY370" i="49"/>
  <c r="DZ394" i="49"/>
  <c r="DY394" i="49"/>
  <c r="DZ479" i="49"/>
  <c r="DY479" i="49"/>
  <c r="DZ308" i="49"/>
  <c r="DY308" i="49"/>
  <c r="DZ263" i="49"/>
  <c r="DY263" i="49"/>
  <c r="DZ397" i="49"/>
  <c r="DY397" i="49"/>
  <c r="DZ411" i="49"/>
  <c r="DY411" i="49"/>
  <c r="DZ415" i="49"/>
  <c r="DY415" i="49"/>
  <c r="DZ80" i="49"/>
  <c r="DY80" i="49"/>
  <c r="DZ469" i="49"/>
  <c r="DY469" i="49"/>
  <c r="DZ474" i="49"/>
  <c r="DY474" i="49"/>
  <c r="DZ105" i="49"/>
  <c r="DY105" i="49"/>
  <c r="DZ65" i="49"/>
  <c r="DY65" i="49"/>
  <c r="DZ107" i="49"/>
  <c r="DY107" i="49"/>
  <c r="DZ25" i="49"/>
  <c r="DY25" i="49"/>
  <c r="DZ41" i="49"/>
  <c r="DY41" i="49"/>
  <c r="DZ436" i="49"/>
  <c r="DY436" i="49"/>
  <c r="DZ214" i="49"/>
  <c r="DY214" i="49"/>
  <c r="DZ333" i="49"/>
  <c r="DY333" i="49"/>
  <c r="DZ86" i="49"/>
  <c r="DY86" i="49"/>
  <c r="DZ350" i="49"/>
  <c r="DY350" i="49"/>
  <c r="DZ318" i="49"/>
  <c r="DY318" i="49"/>
  <c r="DZ38" i="49"/>
  <c r="DY38" i="49"/>
  <c r="DZ266" i="49"/>
  <c r="DY266" i="49"/>
  <c r="DZ410" i="49"/>
  <c r="DY410" i="49"/>
  <c r="DZ447" i="49"/>
  <c r="DY447" i="49"/>
  <c r="DZ90" i="49"/>
  <c r="DY90" i="49"/>
  <c r="DZ483" i="49"/>
  <c r="DY483" i="49"/>
  <c r="AR53" i="46"/>
  <c r="AR68" i="46"/>
  <c r="AN68" i="46"/>
  <c r="AR468" i="46"/>
  <c r="AR500" i="46"/>
  <c r="AN500" i="46"/>
  <c r="AR22" i="46"/>
  <c r="AR50" i="46"/>
  <c r="AN50" i="46"/>
  <c r="AR120" i="46"/>
  <c r="DZ354" i="49"/>
  <c r="DY354" i="49"/>
  <c r="DZ9" i="49"/>
  <c r="DY9" i="49"/>
  <c r="DZ95" i="49"/>
  <c r="DY95" i="49"/>
  <c r="DZ174" i="49"/>
  <c r="DY174" i="49"/>
  <c r="DZ228" i="49"/>
  <c r="DY228" i="49"/>
  <c r="DZ286" i="49"/>
  <c r="DY286" i="49"/>
  <c r="DZ293" i="49"/>
  <c r="DY293" i="49"/>
  <c r="DZ276" i="49"/>
  <c r="DY276" i="49"/>
  <c r="DZ242" i="49"/>
  <c r="DY242" i="49"/>
  <c r="DZ186" i="49"/>
  <c r="DY186" i="49"/>
  <c r="DZ29" i="49"/>
  <c r="DY29" i="49"/>
  <c r="DZ377" i="49"/>
  <c r="DY377" i="49"/>
  <c r="DZ184" i="49"/>
  <c r="DY184" i="49"/>
  <c r="DZ160" i="49"/>
  <c r="DY160" i="49"/>
  <c r="DZ112" i="49"/>
  <c r="DY112" i="49"/>
  <c r="DZ96" i="49"/>
  <c r="DY96" i="49"/>
  <c r="DZ449" i="49"/>
  <c r="DY449" i="49"/>
  <c r="DZ349" i="49"/>
  <c r="DY349" i="49"/>
  <c r="DZ237" i="49"/>
  <c r="DY237" i="49"/>
  <c r="DZ207" i="49"/>
  <c r="DY207" i="49"/>
  <c r="DZ421" i="49"/>
  <c r="DY421" i="49"/>
  <c r="DZ480" i="49"/>
  <c r="DY480" i="49"/>
  <c r="DZ304" i="49"/>
  <c r="DY304" i="49"/>
  <c r="DZ302" i="49"/>
  <c r="DY302" i="49"/>
  <c r="DZ294" i="49"/>
  <c r="DY294" i="49"/>
  <c r="DZ417" i="49"/>
  <c r="DY417" i="49"/>
  <c r="DZ462" i="49"/>
  <c r="DY462" i="49"/>
  <c r="DZ32" i="49"/>
  <c r="DY32" i="49"/>
  <c r="DZ353" i="49"/>
  <c r="DY353" i="49"/>
  <c r="DZ128" i="49"/>
  <c r="DY128" i="49"/>
  <c r="DZ454" i="49"/>
  <c r="DY454" i="49"/>
  <c r="DZ324" i="49"/>
  <c r="DY324" i="49"/>
  <c r="DZ425" i="49"/>
  <c r="DY425" i="49"/>
  <c r="DZ452" i="49"/>
  <c r="DY452" i="49"/>
  <c r="DZ348" i="49"/>
  <c r="DY348" i="49"/>
  <c r="DZ252" i="49"/>
  <c r="DY252" i="49"/>
  <c r="DZ89" i="49"/>
  <c r="DY89" i="49"/>
  <c r="DZ8" i="49"/>
  <c r="DY8" i="49"/>
  <c r="DZ15" i="49"/>
  <c r="DY15" i="49"/>
  <c r="DZ245" i="49"/>
  <c r="DY245" i="49"/>
  <c r="DZ493" i="49"/>
  <c r="DY493" i="49"/>
  <c r="AR361" i="46"/>
  <c r="AR383" i="46"/>
  <c r="AN383" i="46"/>
  <c r="V5" i="49"/>
  <c r="AW500" i="49"/>
  <c r="AW2" i="49"/>
  <c r="DZ295" i="49"/>
  <c r="DY295" i="49"/>
  <c r="DZ194" i="49"/>
  <c r="DY194" i="49"/>
  <c r="DZ144" i="49"/>
  <c r="DY144" i="49"/>
  <c r="DZ111" i="49"/>
  <c r="DY111" i="49"/>
  <c r="DZ267" i="49"/>
  <c r="DY267" i="49"/>
  <c r="DZ451" i="49"/>
  <c r="DY451" i="49"/>
  <c r="DZ477" i="49"/>
  <c r="DY477" i="49"/>
  <c r="DZ170" i="49"/>
  <c r="DY170" i="49"/>
  <c r="DZ87" i="49"/>
  <c r="DY87" i="49"/>
  <c r="DZ55" i="49"/>
  <c r="DY55" i="49"/>
  <c r="DZ42" i="49"/>
  <c r="DY42" i="49"/>
  <c r="DZ404" i="49"/>
  <c r="DY404" i="49"/>
  <c r="DZ395" i="49"/>
  <c r="DY395" i="49"/>
  <c r="DZ299" i="49"/>
  <c r="DY299" i="49"/>
  <c r="DZ20" i="49"/>
  <c r="DY20" i="49"/>
  <c r="DZ183" i="49"/>
  <c r="DY183" i="49"/>
  <c r="DZ84" i="49"/>
  <c r="DY84" i="49"/>
  <c r="DZ104" i="49"/>
  <c r="DY104" i="49"/>
  <c r="DZ365" i="49"/>
  <c r="DY365" i="49"/>
  <c r="DZ392" i="49"/>
  <c r="DY392" i="49"/>
  <c r="DZ389" i="49"/>
  <c r="DY389" i="49"/>
  <c r="DZ223" i="49"/>
  <c r="DY223" i="49"/>
  <c r="DZ376" i="49"/>
  <c r="DY376" i="49"/>
  <c r="DZ401" i="49"/>
  <c r="DY401" i="49"/>
  <c r="DZ327" i="49"/>
  <c r="DY327" i="49"/>
  <c r="DZ345" i="49"/>
  <c r="DY345" i="49"/>
  <c r="DZ206" i="49"/>
  <c r="DY206" i="49"/>
  <c r="DZ285" i="49"/>
  <c r="DY285" i="49"/>
  <c r="DZ297" i="49"/>
  <c r="DY297" i="49"/>
  <c r="DZ431" i="49"/>
  <c r="DY431" i="49"/>
  <c r="DZ359" i="49"/>
  <c r="DY359" i="49"/>
  <c r="DZ238" i="49"/>
  <c r="DY238" i="49"/>
  <c r="DZ375" i="49"/>
  <c r="DY375" i="49"/>
  <c r="DZ280" i="49"/>
  <c r="DY280" i="49"/>
  <c r="DZ176" i="49"/>
  <c r="DY176" i="49"/>
  <c r="DZ467" i="49"/>
  <c r="DY467" i="49"/>
  <c r="DZ472" i="49"/>
  <c r="DY472" i="49"/>
  <c r="DZ18" i="49"/>
  <c r="DY18" i="49"/>
  <c r="DZ35" i="49"/>
  <c r="DY35" i="49"/>
  <c r="DZ67" i="49"/>
  <c r="DY67" i="49"/>
  <c r="DZ91" i="49"/>
  <c r="DY91" i="49"/>
  <c r="DZ335" i="49"/>
  <c r="DY335" i="49"/>
  <c r="DZ341" i="49"/>
  <c r="DY341" i="49"/>
  <c r="DZ337" i="49"/>
  <c r="DY337" i="49"/>
  <c r="DZ158" i="49"/>
  <c r="DY158" i="49"/>
  <c r="DZ420" i="49"/>
  <c r="DY420" i="49"/>
  <c r="DZ277" i="49"/>
  <c r="DY277" i="49"/>
  <c r="DZ101" i="49"/>
  <c r="DY101" i="49"/>
  <c r="DZ120" i="49"/>
  <c r="DY120" i="49"/>
  <c r="DZ172" i="49"/>
  <c r="DY172" i="49"/>
  <c r="DZ199" i="49"/>
  <c r="DY199" i="49"/>
  <c r="DZ484" i="49"/>
  <c r="DY484" i="49"/>
  <c r="DZ135" i="49"/>
  <c r="DY135" i="49"/>
  <c r="DZ155" i="49"/>
  <c r="DY155" i="49"/>
  <c r="DZ51" i="49"/>
  <c r="DY51" i="49"/>
  <c r="DZ339" i="49"/>
  <c r="DY339" i="49"/>
  <c r="DZ492" i="49"/>
  <c r="DY492" i="49"/>
  <c r="DZ444" i="49"/>
  <c r="DY444" i="49"/>
  <c r="DZ117" i="49"/>
  <c r="DY117" i="49"/>
  <c r="DZ106" i="49"/>
  <c r="DY106" i="49"/>
  <c r="DZ459" i="49"/>
  <c r="DY459" i="49"/>
  <c r="DZ307" i="49"/>
  <c r="DY307" i="49"/>
  <c r="DZ442" i="49"/>
  <c r="DY442" i="49"/>
  <c r="DZ74" i="49"/>
  <c r="DY74" i="49"/>
  <c r="DZ58" i="49"/>
  <c r="DY58" i="49"/>
  <c r="DZ343" i="49"/>
  <c r="DY343" i="49"/>
  <c r="DZ130" i="49"/>
  <c r="DY130" i="49"/>
  <c r="DZ439" i="49"/>
  <c r="DY439" i="49"/>
  <c r="DZ437" i="49"/>
  <c r="DY437" i="49"/>
  <c r="DZ281" i="49"/>
  <c r="DY281" i="49"/>
  <c r="AR110" i="46"/>
  <c r="BU491" i="49"/>
  <c r="DZ119" i="49"/>
  <c r="DY119" i="49"/>
  <c r="DZ475" i="49"/>
  <c r="DY475" i="49"/>
  <c r="DZ50" i="49"/>
  <c r="DY50" i="49"/>
  <c r="DZ166" i="49"/>
  <c r="DY166" i="49"/>
  <c r="DZ430" i="49"/>
  <c r="DY430" i="49"/>
  <c r="DZ331" i="49"/>
  <c r="DY331" i="49"/>
  <c r="AR516" i="46"/>
  <c r="AR557" i="46"/>
  <c r="AN557" i="46"/>
  <c r="DZ57" i="49"/>
  <c r="DY57" i="49"/>
  <c r="DZ100" i="49"/>
  <c r="DY100" i="49"/>
  <c r="DZ70" i="49"/>
  <c r="DY70" i="49"/>
  <c r="DZ93" i="49"/>
  <c r="DY93" i="49"/>
  <c r="DZ88" i="49"/>
  <c r="DY88" i="49"/>
  <c r="DZ274" i="49"/>
  <c r="DY274" i="49"/>
  <c r="DZ219" i="49"/>
  <c r="DY219" i="49"/>
  <c r="DZ131" i="49"/>
  <c r="DY131" i="49"/>
  <c r="DZ482" i="49"/>
  <c r="DY482" i="49"/>
  <c r="DZ460" i="49"/>
  <c r="DY460" i="49"/>
  <c r="DZ48" i="49"/>
  <c r="DY48" i="49"/>
  <c r="DZ6" i="49"/>
  <c r="DY6" i="49"/>
  <c r="DZ82" i="49"/>
  <c r="DY82" i="49"/>
  <c r="DZ122" i="49"/>
  <c r="DY122" i="49"/>
  <c r="DZ253" i="49"/>
  <c r="DY253" i="49"/>
  <c r="DZ240" i="49"/>
  <c r="DY240" i="49"/>
  <c r="DZ161" i="49"/>
  <c r="DY161" i="49"/>
  <c r="DZ250" i="49"/>
  <c r="DY250" i="49"/>
  <c r="DZ225" i="49"/>
  <c r="DY225" i="49"/>
  <c r="DZ356" i="49"/>
  <c r="DY356" i="49"/>
  <c r="DZ487" i="49"/>
  <c r="DY487" i="49"/>
  <c r="DZ162" i="49"/>
  <c r="DY162" i="49"/>
  <c r="DZ351" i="49"/>
  <c r="DY351" i="49"/>
  <c r="DZ121" i="49"/>
  <c r="DY121" i="49"/>
  <c r="DZ419" i="49"/>
  <c r="DY419" i="49"/>
  <c r="DZ212" i="49"/>
  <c r="DY212" i="49"/>
  <c r="DZ147" i="49"/>
  <c r="DY147" i="49"/>
  <c r="DZ229" i="49"/>
  <c r="DY229" i="49"/>
  <c r="DZ256" i="49"/>
  <c r="DY256" i="49"/>
  <c r="DZ254" i="49"/>
  <c r="DY254" i="49"/>
  <c r="DZ287" i="49"/>
  <c r="DY287" i="49"/>
  <c r="DZ53" i="49"/>
  <c r="DY53" i="49"/>
  <c r="DZ210" i="49"/>
  <c r="DY210" i="49"/>
  <c r="DZ398" i="49"/>
  <c r="DY398" i="49"/>
  <c r="DZ236" i="49"/>
  <c r="DY236" i="49"/>
  <c r="DZ298" i="49"/>
  <c r="DY298" i="49"/>
  <c r="DZ369" i="49"/>
  <c r="DY369" i="49"/>
  <c r="DZ249" i="49"/>
  <c r="DY249" i="49"/>
  <c r="DZ239" i="49"/>
  <c r="DY239" i="49"/>
  <c r="DZ259" i="49"/>
  <c r="DY259" i="49"/>
  <c r="DZ270" i="49"/>
  <c r="DY270" i="49"/>
  <c r="DZ443" i="49"/>
  <c r="DY443" i="49"/>
  <c r="DZ36" i="49"/>
  <c r="DY36" i="49"/>
  <c r="DZ12" i="49"/>
  <c r="DY12" i="49"/>
  <c r="DZ31" i="49"/>
  <c r="DY31" i="49"/>
  <c r="DZ22" i="49"/>
  <c r="DY22" i="49"/>
  <c r="DZ19" i="49"/>
  <c r="DY19" i="49"/>
  <c r="DZ97" i="49"/>
  <c r="DY97" i="49"/>
  <c r="DZ37" i="49"/>
  <c r="DY37" i="49"/>
  <c r="DZ136" i="49"/>
  <c r="DY136" i="49"/>
  <c r="DZ446" i="49"/>
  <c r="DY446" i="49"/>
  <c r="DZ85" i="49"/>
  <c r="DY85" i="49"/>
  <c r="DZ326" i="49"/>
  <c r="DY326" i="49"/>
  <c r="DZ315" i="49"/>
  <c r="DY315" i="49"/>
  <c r="DZ83" i="49"/>
  <c r="DY83" i="49"/>
  <c r="DZ39" i="49"/>
  <c r="DY39" i="49"/>
  <c r="DZ358" i="49"/>
  <c r="DY358" i="49"/>
  <c r="DZ200" i="49"/>
  <c r="DY200" i="49"/>
  <c r="DZ76" i="49"/>
  <c r="DY76" i="49"/>
  <c r="DZ386" i="49"/>
  <c r="DY386" i="49"/>
  <c r="DZ468" i="49"/>
  <c r="DY468" i="49"/>
  <c r="DZ46" i="49"/>
  <c r="DY46" i="49"/>
  <c r="DZ45" i="49"/>
  <c r="DY45" i="49"/>
  <c r="DZ24" i="49"/>
  <c r="DY24" i="49"/>
  <c r="AP607" i="46"/>
  <c r="AP2" i="46"/>
  <c r="DZ314" i="49"/>
  <c r="DY314" i="49"/>
  <c r="DZ313" i="49"/>
  <c r="DY313" i="49"/>
  <c r="DZ498" i="49"/>
  <c r="DY498" i="49"/>
  <c r="AN97" i="46"/>
  <c r="AR86" i="46"/>
  <c r="AR97" i="46"/>
  <c r="AO198" i="46"/>
  <c r="W500" i="49"/>
  <c r="W2" i="49"/>
  <c r="DZ30" i="49"/>
  <c r="DY30" i="49"/>
  <c r="DZ390" i="49"/>
  <c r="DY390" i="49"/>
  <c r="DZ490" i="49"/>
  <c r="DY490" i="49"/>
  <c r="DZ224" i="49"/>
  <c r="DY224" i="49"/>
  <c r="DZ79" i="49"/>
  <c r="DY79" i="49"/>
  <c r="AR100" i="46"/>
  <c r="AN106" i="46"/>
  <c r="AN19" i="46"/>
  <c r="AR6" i="46"/>
  <c r="AR19" i="46"/>
  <c r="DZ312" i="49"/>
  <c r="DY312" i="49"/>
  <c r="AR102" i="46"/>
  <c r="BU74" i="49"/>
  <c r="DZ453" i="49"/>
  <c r="DY453" i="49"/>
  <c r="DZ265" i="49"/>
  <c r="DY265" i="49"/>
  <c r="DZ243" i="49"/>
  <c r="DY243" i="49"/>
  <c r="DZ145" i="49"/>
  <c r="DY145" i="49"/>
  <c r="DZ438" i="49"/>
  <c r="DY438" i="49"/>
  <c r="DZ140" i="49"/>
  <c r="DY140" i="49"/>
  <c r="DZ153" i="49"/>
  <c r="DY153" i="49"/>
  <c r="DZ260" i="49"/>
  <c r="DY260" i="49"/>
  <c r="DZ171" i="49"/>
  <c r="DY171" i="49"/>
  <c r="DZ418" i="49"/>
  <c r="DY418" i="49"/>
  <c r="DZ188" i="49"/>
  <c r="DY188" i="49"/>
  <c r="DZ62" i="49"/>
  <c r="DY62" i="49"/>
  <c r="DZ424" i="49"/>
  <c r="DY424" i="49"/>
  <c r="DZ488" i="49"/>
  <c r="DY488" i="49"/>
  <c r="DZ429" i="49"/>
  <c r="DY429" i="49"/>
  <c r="DZ328" i="49"/>
  <c r="DY328" i="49"/>
  <c r="DZ387" i="49"/>
  <c r="DY387" i="49"/>
  <c r="DZ137" i="49"/>
  <c r="DY137" i="49"/>
  <c r="DZ402" i="49"/>
  <c r="DY402" i="49"/>
  <c r="DZ374" i="49"/>
  <c r="DY374" i="49"/>
  <c r="DZ364" i="49"/>
  <c r="DY364" i="49"/>
  <c r="DZ262" i="49"/>
  <c r="DY262" i="49"/>
  <c r="DZ399" i="49"/>
  <c r="DY399" i="49"/>
  <c r="DZ378" i="49"/>
  <c r="DY378" i="49"/>
  <c r="DZ456" i="49"/>
  <c r="DY456" i="49"/>
  <c r="DZ34" i="49"/>
  <c r="DY34" i="49"/>
  <c r="DZ92" i="49"/>
  <c r="DY92" i="49"/>
  <c r="DZ494" i="49"/>
  <c r="DY494" i="49"/>
  <c r="DZ179" i="49"/>
  <c r="DY179" i="49"/>
  <c r="DZ110" i="49"/>
  <c r="DY110" i="49"/>
  <c r="DZ336" i="49"/>
  <c r="DY336" i="49"/>
  <c r="DZ275" i="49"/>
  <c r="DY275" i="49"/>
  <c r="DZ306" i="49"/>
  <c r="DY306" i="49"/>
  <c r="DZ27" i="49"/>
  <c r="DY27" i="49"/>
  <c r="DZ54" i="49"/>
  <c r="DY54" i="49"/>
  <c r="DZ108" i="49"/>
  <c r="DY108" i="49"/>
  <c r="DZ201" i="49"/>
  <c r="DY201" i="49"/>
  <c r="DZ457" i="49"/>
  <c r="DY457" i="49"/>
  <c r="DZ427" i="49"/>
  <c r="DY427" i="49"/>
  <c r="DZ13" i="49"/>
  <c r="DY13" i="49"/>
  <c r="DZ303" i="49"/>
  <c r="DY303" i="49"/>
  <c r="DZ409" i="49"/>
  <c r="DY409" i="49"/>
  <c r="DZ357" i="49"/>
  <c r="DY357" i="49"/>
  <c r="AO117" i="46"/>
  <c r="AR386" i="46"/>
  <c r="AR403" i="46"/>
  <c r="AN403" i="46"/>
  <c r="AR111" i="46"/>
  <c r="BU493" i="49"/>
  <c r="DZ47" i="49"/>
  <c r="DY47" i="49"/>
  <c r="DZ320" i="49"/>
  <c r="DY320" i="49"/>
  <c r="DZ157" i="49"/>
  <c r="DY157" i="49"/>
  <c r="DZ124" i="49"/>
  <c r="DY124" i="49"/>
  <c r="DZ197" i="49"/>
  <c r="DY197" i="49"/>
  <c r="DZ361" i="49"/>
  <c r="DY361" i="49"/>
  <c r="DZ193" i="49"/>
  <c r="DY193" i="49"/>
  <c r="DZ231" i="49"/>
  <c r="DY231" i="49"/>
  <c r="DZ257" i="49"/>
  <c r="DY257" i="49"/>
  <c r="DZ269" i="49"/>
  <c r="DY269" i="49"/>
  <c r="DZ175" i="49"/>
  <c r="DY175" i="49"/>
  <c r="DZ246" i="49"/>
  <c r="DY246" i="49"/>
  <c r="DZ222" i="49"/>
  <c r="DY222" i="49"/>
  <c r="DZ465" i="49"/>
  <c r="DY465" i="49"/>
  <c r="DZ340" i="49"/>
  <c r="DY340" i="49"/>
  <c r="DZ116" i="49"/>
  <c r="DY116" i="49"/>
  <c r="DZ414" i="49"/>
  <c r="DY414" i="49"/>
  <c r="DZ301" i="49"/>
  <c r="DY301" i="49"/>
  <c r="DZ445" i="49"/>
  <c r="DY445" i="49"/>
  <c r="DZ17" i="49"/>
  <c r="DY17" i="49"/>
  <c r="DZ61" i="49"/>
  <c r="DY61" i="49"/>
  <c r="DZ132" i="49"/>
  <c r="DY132" i="49"/>
  <c r="DZ382" i="49"/>
  <c r="DY382" i="49"/>
  <c r="DZ372" i="49"/>
  <c r="DY372" i="49"/>
  <c r="DZ14" i="49"/>
  <c r="DY14" i="49"/>
  <c r="DZ185" i="49"/>
  <c r="DY185" i="49"/>
  <c r="DZ180" i="49"/>
  <c r="DY180" i="49"/>
  <c r="DZ205" i="49"/>
  <c r="DY205" i="49"/>
  <c r="DZ310" i="49"/>
  <c r="DY310" i="49"/>
  <c r="AR503" i="46"/>
  <c r="AR513" i="46"/>
  <c r="AN513" i="46"/>
  <c r="DZ68" i="49"/>
  <c r="DY68" i="49"/>
  <c r="DZ478" i="49"/>
  <c r="DY478" i="49"/>
  <c r="DZ148" i="49"/>
  <c r="DY148" i="49"/>
  <c r="DZ190" i="49"/>
  <c r="DY190" i="49"/>
  <c r="DZ7" i="49"/>
  <c r="DY7" i="49"/>
  <c r="DZ496" i="49"/>
  <c r="DY496" i="49"/>
  <c r="DZ75" i="49"/>
  <c r="DY75" i="49"/>
  <c r="DZ450" i="49"/>
  <c r="DY450" i="49"/>
  <c r="AO106" i="46"/>
  <c r="DZ380" i="49"/>
  <c r="DY380" i="49"/>
  <c r="DZ485" i="49"/>
  <c r="DY485" i="49"/>
  <c r="DZ72" i="49"/>
  <c r="DY72" i="49"/>
  <c r="DZ461" i="49"/>
  <c r="DY461" i="49"/>
  <c r="DZ21" i="49"/>
  <c r="DY21" i="49"/>
  <c r="DZ379" i="49"/>
  <c r="DY379" i="49"/>
  <c r="DZ164" i="49"/>
  <c r="DY164" i="49"/>
  <c r="DZ150" i="49"/>
  <c r="DY150" i="49"/>
  <c r="DZ118" i="49"/>
  <c r="DY118" i="49"/>
  <c r="DZ233" i="49"/>
  <c r="DY233" i="49"/>
  <c r="DZ64" i="49"/>
  <c r="DY64" i="49"/>
  <c r="DZ373" i="49"/>
  <c r="DY373" i="49"/>
  <c r="DZ391" i="49"/>
  <c r="DY391" i="49"/>
  <c r="DZ241" i="49"/>
  <c r="DY241" i="49"/>
  <c r="DZ407" i="49"/>
  <c r="DY407" i="49"/>
  <c r="DZ362" i="49"/>
  <c r="DY362" i="49"/>
  <c r="DZ300" i="49"/>
  <c r="DY300" i="49"/>
  <c r="DZ226" i="49"/>
  <c r="DY226" i="49"/>
  <c r="DZ476" i="49"/>
  <c r="DY476" i="49"/>
  <c r="DZ182" i="49"/>
  <c r="DY182" i="49"/>
  <c r="DZ432" i="49"/>
  <c r="DY432" i="49"/>
  <c r="DZ396" i="49"/>
  <c r="DY396" i="49"/>
  <c r="DZ426" i="49"/>
  <c r="DY426" i="49"/>
  <c r="DZ309" i="49"/>
  <c r="DY309" i="49"/>
  <c r="DZ216" i="49"/>
  <c r="DY216" i="49"/>
  <c r="DZ406" i="49"/>
  <c r="DY406" i="49"/>
  <c r="DZ288" i="49"/>
  <c r="DY288" i="49"/>
  <c r="DZ273" i="49"/>
  <c r="DY273" i="49"/>
  <c r="DZ284" i="49"/>
  <c r="DY284" i="49"/>
  <c r="DZ440" i="49"/>
  <c r="DY440" i="49"/>
  <c r="DZ40" i="49"/>
  <c r="DY40" i="49"/>
  <c r="DZ234" i="49"/>
  <c r="DY234" i="49"/>
  <c r="DZ367" i="49"/>
  <c r="DY367" i="49"/>
  <c r="DZ458" i="49"/>
  <c r="DY458" i="49"/>
  <c r="DZ103" i="49"/>
  <c r="DY103" i="49"/>
  <c r="DZ23" i="49"/>
  <c r="DY23" i="49"/>
  <c r="DZ433" i="49"/>
  <c r="DY433" i="49"/>
  <c r="DZ473" i="49"/>
  <c r="DY473" i="49"/>
  <c r="DZ115" i="49"/>
  <c r="DY115" i="49"/>
  <c r="DZ141" i="49"/>
  <c r="DY141" i="49"/>
  <c r="DZ139" i="49"/>
  <c r="DY139" i="49"/>
  <c r="DZ99" i="49"/>
  <c r="DY99" i="49"/>
  <c r="DZ268" i="49"/>
  <c r="DY268" i="49"/>
  <c r="DZ423" i="49"/>
  <c r="DY423" i="49"/>
  <c r="DZ102" i="49"/>
  <c r="DY102" i="49"/>
  <c r="DZ149" i="49"/>
  <c r="DY149" i="49"/>
  <c r="DZ69" i="49"/>
  <c r="DY69" i="49"/>
  <c r="DZ470" i="49"/>
  <c r="DY470" i="49"/>
  <c r="DZ159" i="49"/>
  <c r="DY159" i="49"/>
  <c r="DZ413" i="49"/>
  <c r="DY413" i="49"/>
  <c r="DZ16" i="49"/>
  <c r="DY16" i="49"/>
  <c r="DZ28" i="49"/>
  <c r="DY28" i="49"/>
  <c r="DZ323" i="49"/>
  <c r="DY323" i="49"/>
  <c r="DZ383" i="49"/>
  <c r="DY383" i="49"/>
  <c r="DZ271" i="49"/>
  <c r="DY271" i="49"/>
  <c r="DZ49" i="49"/>
  <c r="DY49" i="49"/>
  <c r="AR278" i="46"/>
  <c r="BU312" i="49"/>
  <c r="DZ385" i="49"/>
  <c r="DY385" i="49"/>
  <c r="DZ448" i="49"/>
  <c r="DY448" i="49"/>
  <c r="DZ290" i="49"/>
  <c r="DY290" i="49"/>
  <c r="DZ296" i="49"/>
  <c r="DY296" i="49"/>
  <c r="DZ471" i="49"/>
  <c r="DY471" i="49"/>
  <c r="DZ123" i="49"/>
  <c r="DY123" i="49"/>
  <c r="AN83" i="46"/>
  <c r="AR71" i="46"/>
  <c r="AR83" i="46"/>
  <c r="DZ198" i="49"/>
  <c r="DY198" i="49"/>
  <c r="DZ192" i="49"/>
  <c r="DY192" i="49"/>
  <c r="DZ321" i="49"/>
  <c r="DY321" i="49"/>
  <c r="DZ363" i="49"/>
  <c r="DY363" i="49"/>
  <c r="DZ113" i="49"/>
  <c r="DY113" i="49"/>
  <c r="DZ455" i="49"/>
  <c r="DY455" i="49"/>
  <c r="AN465" i="46"/>
  <c r="AR407" i="46"/>
  <c r="AR465" i="46"/>
  <c r="AN575" i="46"/>
  <c r="AR560" i="46"/>
  <c r="AR575" i="46"/>
  <c r="DZ278" i="49"/>
  <c r="DY278" i="49"/>
  <c r="DZ217" i="49"/>
  <c r="DY217" i="49"/>
  <c r="DZ408" i="49"/>
  <c r="DY408" i="49"/>
  <c r="DZ189" i="49"/>
  <c r="DY189" i="49"/>
  <c r="DZ352" i="49"/>
  <c r="DY352" i="49"/>
  <c r="DZ143" i="49"/>
  <c r="DY143" i="49"/>
  <c r="DZ163" i="49"/>
  <c r="DY163" i="49"/>
  <c r="DZ152" i="49"/>
  <c r="DY152" i="49"/>
  <c r="DZ33" i="49"/>
  <c r="DY33" i="49"/>
  <c r="DZ138" i="49"/>
  <c r="DY138" i="49"/>
  <c r="DZ142" i="49"/>
  <c r="DY142" i="49"/>
  <c r="DZ247" i="49"/>
  <c r="DY247" i="49"/>
  <c r="DZ146" i="49"/>
  <c r="DY146" i="49"/>
  <c r="DZ428" i="49"/>
  <c r="DY428" i="49"/>
  <c r="DZ165" i="49"/>
  <c r="DY165" i="49"/>
  <c r="DZ77" i="49"/>
  <c r="DY77" i="49"/>
  <c r="DZ400" i="49"/>
  <c r="DY400" i="49"/>
  <c r="DZ169" i="49"/>
  <c r="DY169" i="49"/>
  <c r="DZ127" i="49"/>
  <c r="DY127" i="49"/>
  <c r="DZ481" i="49"/>
  <c r="DY481" i="49"/>
  <c r="DZ220" i="49"/>
  <c r="DY220" i="49"/>
  <c r="DZ316" i="49"/>
  <c r="DY316" i="49"/>
  <c r="DZ248" i="49"/>
  <c r="DY248" i="49"/>
  <c r="DZ221" i="49"/>
  <c r="DY221" i="49"/>
  <c r="DZ416" i="49"/>
  <c r="DY416" i="49"/>
  <c r="DZ422" i="49"/>
  <c r="DY422" i="49"/>
  <c r="DZ191" i="49"/>
  <c r="DY191" i="49"/>
  <c r="DZ264" i="49"/>
  <c r="DY264" i="49"/>
  <c r="DZ289" i="49"/>
  <c r="DY289" i="49"/>
  <c r="DZ283" i="49"/>
  <c r="DY283" i="49"/>
  <c r="DZ181" i="49"/>
  <c r="DY181" i="49"/>
  <c r="DZ202" i="49"/>
  <c r="DY202" i="49"/>
  <c r="DZ347" i="49"/>
  <c r="DY347" i="49"/>
  <c r="DZ329" i="49"/>
  <c r="DY329" i="49"/>
  <c r="DZ63" i="49"/>
  <c r="DY63" i="49"/>
  <c r="DZ178" i="49"/>
  <c r="DY178" i="49"/>
  <c r="DZ381" i="49"/>
  <c r="DY381" i="49"/>
  <c r="DZ151" i="49"/>
  <c r="DY151" i="49"/>
  <c r="DZ230" i="49"/>
  <c r="DY230" i="49"/>
  <c r="DZ464" i="49"/>
  <c r="DY464" i="49"/>
  <c r="DZ463" i="49"/>
  <c r="DY463" i="49"/>
  <c r="DZ209" i="49"/>
  <c r="DY209" i="49"/>
  <c r="DZ78" i="49"/>
  <c r="DY78" i="49"/>
  <c r="DZ94" i="49"/>
  <c r="DY94" i="49"/>
  <c r="DZ366" i="49"/>
  <c r="DY366" i="49"/>
  <c r="DZ10" i="49"/>
  <c r="DY10" i="49"/>
  <c r="DZ73" i="49"/>
  <c r="DY73" i="49"/>
  <c r="DZ489" i="49"/>
  <c r="DY489" i="49"/>
  <c r="DZ173" i="49"/>
  <c r="DY173" i="49"/>
  <c r="DZ43" i="49"/>
  <c r="DY43" i="49"/>
  <c r="DZ393" i="49"/>
  <c r="DY393" i="49"/>
  <c r="DZ322" i="49"/>
  <c r="DY322" i="49"/>
  <c r="DZ486" i="49"/>
  <c r="DY486" i="49"/>
  <c r="DZ156" i="49"/>
  <c r="DY156" i="49"/>
  <c r="DZ334" i="49"/>
  <c r="DY334" i="49"/>
  <c r="DZ441" i="49"/>
  <c r="DY441" i="49"/>
  <c r="DZ305" i="49"/>
  <c r="DY305" i="49"/>
  <c r="DZ215" i="49"/>
  <c r="DY215" i="49"/>
  <c r="DZ342" i="49"/>
  <c r="DY342" i="49"/>
  <c r="DZ346" i="49"/>
  <c r="DY346" i="49"/>
  <c r="AR106" i="46"/>
  <c r="Z5" i="49"/>
  <c r="AN198" i="46"/>
  <c r="V500" i="49"/>
  <c r="V2" i="49"/>
  <c r="AR117" i="46"/>
  <c r="AO358" i="46"/>
  <c r="AO582" i="46"/>
  <c r="BU5" i="49"/>
  <c r="AO607" i="46"/>
  <c r="AO2" i="46"/>
  <c r="AR198" i="46"/>
  <c r="AR358" i="46"/>
  <c r="AR582" i="46"/>
  <c r="AN358" i="46"/>
  <c r="AN582" i="46"/>
  <c r="DR5" i="49"/>
  <c r="Z500" i="49"/>
  <c r="Z2" i="49"/>
  <c r="DT2" i="49"/>
  <c r="AR2" i="46"/>
  <c r="AR607" i="46"/>
  <c r="AN607" i="46"/>
  <c r="AN2" i="46"/>
  <c r="DX5" i="49"/>
  <c r="DR500" i="49"/>
  <c r="DR2" i="49"/>
  <c r="DZ5" i="49"/>
  <c r="DZ500" i="49"/>
  <c r="DZ2" i="49"/>
  <c r="DX500" i="49"/>
  <c r="DX2" i="49"/>
  <c r="DY5" i="49"/>
  <c r="DY500" i="49"/>
  <c r="DY2" i="49"/>
  <c r="EA2" i="49"/>
  <c r="EA56" i="49"/>
  <c r="EB56" i="49"/>
  <c r="EA330" i="49"/>
  <c r="EB330" i="49"/>
  <c r="EA482" i="49"/>
  <c r="EB482" i="49"/>
  <c r="EA11" i="49"/>
  <c r="EB11" i="49"/>
  <c r="EA192" i="49"/>
  <c r="EB192" i="49"/>
  <c r="EA217" i="49"/>
  <c r="EB217" i="49"/>
  <c r="EA468" i="49"/>
  <c r="EB468" i="49"/>
  <c r="EA379" i="49"/>
  <c r="EB379" i="49"/>
  <c r="EA328" i="49"/>
  <c r="EB328" i="49"/>
  <c r="EA18" i="49"/>
  <c r="EB18" i="49"/>
  <c r="EA406" i="49"/>
  <c r="EB406" i="49"/>
  <c r="EA169" i="49"/>
  <c r="EB169" i="49"/>
  <c r="EA212" i="49"/>
  <c r="EB212" i="49"/>
  <c r="EA334" i="49"/>
  <c r="EB334" i="49"/>
  <c r="EA418" i="49"/>
  <c r="EB418" i="49"/>
  <c r="EA121" i="49"/>
  <c r="EB121" i="49"/>
  <c r="EA203" i="49"/>
  <c r="EB203" i="49"/>
  <c r="EC203" i="49"/>
  <c r="EA327" i="49"/>
  <c r="EB327" i="49"/>
  <c r="EA271" i="49"/>
  <c r="EB271" i="49"/>
  <c r="EA259" i="49"/>
  <c r="EB259" i="49"/>
  <c r="EA204" i="49"/>
  <c r="EB204" i="49"/>
  <c r="EC204" i="49"/>
  <c r="EA54" i="49"/>
  <c r="EB54" i="49"/>
  <c r="EA67" i="49"/>
  <c r="EB67" i="49"/>
  <c r="EA477" i="49"/>
  <c r="EB477" i="49"/>
  <c r="EA218" i="49"/>
  <c r="EB218" i="49"/>
  <c r="EA496" i="49"/>
  <c r="EB496" i="49"/>
  <c r="EA57" i="49"/>
  <c r="EB57" i="49"/>
  <c r="EA91" i="49"/>
  <c r="EB91" i="49"/>
  <c r="EA322" i="49"/>
  <c r="EB322" i="49"/>
  <c r="EA114" i="49"/>
  <c r="EB114" i="49"/>
  <c r="EA159" i="49"/>
  <c r="EB159" i="49"/>
  <c r="EA326" i="49"/>
  <c r="EB326" i="49"/>
  <c r="EA430" i="49"/>
  <c r="EB430" i="49"/>
  <c r="EA349" i="49"/>
  <c r="EB349" i="49"/>
  <c r="EA202" i="49"/>
  <c r="EB202" i="49"/>
  <c r="EA69" i="49"/>
  <c r="EB69" i="49"/>
  <c r="EA372" i="49"/>
  <c r="EB372" i="49"/>
  <c r="EA390" i="49"/>
  <c r="EB390" i="49"/>
  <c r="EA131" i="49"/>
  <c r="EB131" i="49"/>
  <c r="EA228" i="49"/>
  <c r="EB228" i="49"/>
  <c r="EA278" i="49"/>
  <c r="EB278" i="49"/>
  <c r="EA429" i="49"/>
  <c r="EB429" i="49"/>
  <c r="EC429" i="49"/>
  <c r="EA8" i="49"/>
  <c r="EB8" i="49"/>
  <c r="EA357" i="49"/>
  <c r="EB357" i="49"/>
  <c r="EA43" i="49"/>
  <c r="EB43" i="49"/>
  <c r="EA216" i="49"/>
  <c r="EB216" i="49"/>
  <c r="EC216" i="49"/>
  <c r="EA369" i="49"/>
  <c r="EB369" i="49"/>
  <c r="EA459" i="49"/>
  <c r="EB459" i="49"/>
  <c r="EA44" i="49"/>
  <c r="EB44" i="49"/>
  <c r="EA247" i="49"/>
  <c r="EB247" i="49"/>
  <c r="EC247" i="49"/>
  <c r="EA103" i="49"/>
  <c r="EB103" i="49"/>
  <c r="EA197" i="49"/>
  <c r="EB197" i="49"/>
  <c r="EA85" i="49"/>
  <c r="EB85" i="49"/>
  <c r="EA442" i="49"/>
  <c r="EB442" i="49"/>
  <c r="EC442" i="49"/>
  <c r="EA491" i="49"/>
  <c r="EB491" i="49"/>
  <c r="EA273" i="49"/>
  <c r="EB273" i="49"/>
  <c r="EA37" i="49"/>
  <c r="EB37" i="49"/>
  <c r="EA350" i="49"/>
  <c r="EB350" i="49"/>
  <c r="EC350" i="49"/>
  <c r="EA463" i="49"/>
  <c r="EB463" i="49"/>
  <c r="EA290" i="49"/>
  <c r="EB290" i="49"/>
  <c r="EA461" i="49"/>
  <c r="EB461" i="49"/>
  <c r="EA358" i="49"/>
  <c r="EB358" i="49"/>
  <c r="EC358" i="49"/>
  <c r="EA254" i="49"/>
  <c r="EB254" i="49"/>
  <c r="EA274" i="49"/>
  <c r="EB274" i="49"/>
  <c r="EA172" i="49"/>
  <c r="EB172" i="49"/>
  <c r="EA104" i="49"/>
  <c r="EB104" i="49"/>
  <c r="EC104" i="49"/>
  <c r="EA134" i="49"/>
  <c r="EB134" i="49"/>
  <c r="EA94" i="49"/>
  <c r="EB94" i="49"/>
  <c r="EA189" i="49"/>
  <c r="EB189" i="49"/>
  <c r="EA16" i="49"/>
  <c r="EB16" i="49"/>
  <c r="EC16" i="49"/>
  <c r="EA40" i="49"/>
  <c r="EB40" i="49"/>
  <c r="EA485" i="49"/>
  <c r="EB485" i="49"/>
  <c r="EA409" i="49"/>
  <c r="EB409" i="49"/>
  <c r="EA243" i="49"/>
  <c r="EB243" i="49"/>
  <c r="EC243" i="49"/>
  <c r="EA97" i="49"/>
  <c r="EB97" i="49"/>
  <c r="EA240" i="49"/>
  <c r="EB240" i="49"/>
  <c r="EA101" i="49"/>
  <c r="EB101" i="49"/>
  <c r="EA302" i="49"/>
  <c r="EB302" i="49"/>
  <c r="EA195" i="49"/>
  <c r="EB195" i="49"/>
  <c r="EA220" i="49"/>
  <c r="EB220" i="49"/>
  <c r="EA476" i="49"/>
  <c r="EB476" i="49"/>
  <c r="EA275" i="49"/>
  <c r="EB275" i="49"/>
  <c r="EA210" i="49"/>
  <c r="EB210" i="49"/>
  <c r="EA404" i="49"/>
  <c r="EB404" i="49"/>
  <c r="EA370" i="49"/>
  <c r="EB370" i="49"/>
  <c r="EA201" i="49"/>
  <c r="EB201" i="49"/>
  <c r="EA59" i="49"/>
  <c r="EB59" i="49"/>
  <c r="EA470" i="49"/>
  <c r="EB470" i="49"/>
  <c r="EA156" i="49"/>
  <c r="EB156" i="49"/>
  <c r="EA143" i="49"/>
  <c r="EB143" i="49"/>
  <c r="EC143" i="49"/>
  <c r="EA102" i="49"/>
  <c r="EB102" i="49"/>
  <c r="EA30" i="49"/>
  <c r="EB30" i="49"/>
  <c r="EA22" i="49"/>
  <c r="EB22" i="49"/>
  <c r="EA487" i="49"/>
  <c r="EB487" i="49"/>
  <c r="EC487" i="49"/>
  <c r="EA281" i="49"/>
  <c r="EB281" i="49"/>
  <c r="EA472" i="49"/>
  <c r="EB472" i="49"/>
  <c r="EA318" i="49"/>
  <c r="EB318" i="49"/>
  <c r="EA133" i="49"/>
  <c r="EB133" i="49"/>
  <c r="EA221" i="49"/>
  <c r="EB221" i="49"/>
  <c r="EA471" i="49"/>
  <c r="EB471" i="49"/>
  <c r="EA115" i="49"/>
  <c r="EB115" i="49"/>
  <c r="EA64" i="49"/>
  <c r="EB64" i="49"/>
  <c r="EA222" i="49"/>
  <c r="EB222" i="49"/>
  <c r="EA488" i="49"/>
  <c r="EB488" i="49"/>
  <c r="EA24" i="49"/>
  <c r="EB24" i="49"/>
  <c r="EA287" i="49"/>
  <c r="EB287" i="49"/>
  <c r="EA166" i="49"/>
  <c r="EB166" i="49"/>
  <c r="EA376" i="49"/>
  <c r="EB376" i="49"/>
  <c r="EA415" i="49"/>
  <c r="EB415" i="49"/>
  <c r="EA362" i="49"/>
  <c r="EB362" i="49"/>
  <c r="EC362" i="49"/>
  <c r="EA28" i="49"/>
  <c r="EB28" i="49"/>
  <c r="EA185" i="49"/>
  <c r="EB185" i="49"/>
  <c r="EA224" i="49"/>
  <c r="EB224" i="49"/>
  <c r="EA339" i="49"/>
  <c r="EB339" i="49"/>
  <c r="EC339" i="49"/>
  <c r="EA449" i="49"/>
  <c r="EB449" i="49"/>
  <c r="EA466" i="49"/>
  <c r="EB466" i="49"/>
  <c r="EA375" i="49"/>
  <c r="EB375" i="49"/>
  <c r="EA280" i="49"/>
  <c r="EB280" i="49"/>
  <c r="EC280" i="49"/>
  <c r="EA15" i="49"/>
  <c r="EB15" i="49"/>
  <c r="EA397" i="49"/>
  <c r="EB397" i="49"/>
  <c r="EA388" i="49"/>
  <c r="EB388" i="49"/>
  <c r="EA342" i="49"/>
  <c r="EB342" i="49"/>
  <c r="EC342" i="49"/>
  <c r="EA178" i="49"/>
  <c r="EB178" i="49"/>
  <c r="EA77" i="49"/>
  <c r="EB77" i="49"/>
  <c r="EA408" i="49"/>
  <c r="EB408" i="49"/>
  <c r="EA385" i="49"/>
  <c r="EB385" i="49"/>
  <c r="EC385" i="49"/>
  <c r="EA413" i="49"/>
  <c r="EB413" i="49"/>
  <c r="EA473" i="49"/>
  <c r="EB473" i="49"/>
  <c r="EA440" i="49"/>
  <c r="EB440" i="49"/>
  <c r="EA164" i="49"/>
  <c r="EB164" i="49"/>
  <c r="EC164" i="49"/>
  <c r="EA14" i="49"/>
  <c r="EB14" i="49"/>
  <c r="EA257" i="49"/>
  <c r="EB257" i="49"/>
  <c r="EA457" i="49"/>
  <c r="EB457" i="49"/>
  <c r="EA188" i="49"/>
  <c r="EB188" i="49"/>
  <c r="EC188" i="49"/>
  <c r="EA312" i="49"/>
  <c r="EB312" i="49"/>
  <c r="EA39" i="49"/>
  <c r="EB39" i="49"/>
  <c r="EA12" i="49"/>
  <c r="EB12" i="49"/>
  <c r="EA229" i="49"/>
  <c r="EB229" i="49"/>
  <c r="EC229" i="49"/>
  <c r="EA6" i="49"/>
  <c r="EB6" i="49"/>
  <c r="EA74" i="49"/>
  <c r="EB74" i="49"/>
  <c r="EA341" i="49"/>
  <c r="EB341" i="49"/>
  <c r="EA183" i="49"/>
  <c r="EB183" i="49"/>
  <c r="EC183" i="49"/>
  <c r="EA377" i="49"/>
  <c r="EB377" i="49"/>
  <c r="EA308" i="49"/>
  <c r="EB308" i="49"/>
  <c r="EA154" i="49"/>
  <c r="EB154" i="49"/>
  <c r="EA346" i="49"/>
  <c r="EB346" i="49"/>
  <c r="EC346" i="49"/>
  <c r="EA146" i="49"/>
  <c r="EB146" i="49"/>
  <c r="EA23" i="49"/>
  <c r="EB23" i="49"/>
  <c r="EA150" i="49"/>
  <c r="EB150" i="49"/>
  <c r="EA414" i="49"/>
  <c r="EB414" i="49"/>
  <c r="EC414" i="49"/>
  <c r="EA399" i="49"/>
  <c r="EB399" i="49"/>
  <c r="EA313" i="49"/>
  <c r="EB313" i="49"/>
  <c r="EA356" i="49"/>
  <c r="EB356" i="49"/>
  <c r="EA158" i="49"/>
  <c r="EB158" i="49"/>
  <c r="EA267" i="49"/>
  <c r="EB267" i="49"/>
  <c r="EA186" i="49"/>
  <c r="EB186" i="49"/>
  <c r="EA126" i="49"/>
  <c r="EB126" i="49"/>
  <c r="EA196" i="49"/>
  <c r="EB196" i="49"/>
  <c r="EC196" i="49"/>
  <c r="EA162" i="49"/>
  <c r="EB162" i="49"/>
  <c r="EA25" i="49"/>
  <c r="EB25" i="49"/>
  <c r="EA125" i="49"/>
  <c r="EB125" i="49"/>
  <c r="EA223" i="49"/>
  <c r="EB223" i="49"/>
  <c r="EC223" i="49"/>
  <c r="EA29" i="49"/>
  <c r="EB29" i="49"/>
  <c r="EA317" i="49"/>
  <c r="EB317" i="49"/>
  <c r="EA272" i="49"/>
  <c r="EB272" i="49"/>
  <c r="EA393" i="49"/>
  <c r="EB393" i="49"/>
  <c r="EC393" i="49"/>
  <c r="EA264" i="49"/>
  <c r="EB264" i="49"/>
  <c r="EA152" i="49"/>
  <c r="EB152" i="49"/>
  <c r="EA123" i="49"/>
  <c r="EB123" i="49"/>
  <c r="EA383" i="49"/>
  <c r="EB383" i="49"/>
  <c r="EC383" i="49"/>
  <c r="EA268" i="49"/>
  <c r="EB268" i="49"/>
  <c r="EA458" i="49"/>
  <c r="EB458" i="49"/>
  <c r="EA396" i="49"/>
  <c r="EB396" i="49"/>
  <c r="EA72" i="49"/>
  <c r="EB72" i="49"/>
  <c r="EC72" i="49"/>
  <c r="EA61" i="49"/>
  <c r="EB61" i="49"/>
  <c r="EA47" i="49"/>
  <c r="EB47" i="49"/>
  <c r="EA92" i="49"/>
  <c r="EB92" i="49"/>
  <c r="EA153" i="49"/>
  <c r="EB153" i="49"/>
  <c r="EC153" i="49"/>
  <c r="EA314" i="49"/>
  <c r="EB314" i="49"/>
  <c r="EA446" i="49"/>
  <c r="EB446" i="49"/>
  <c r="EA53" i="49"/>
  <c r="EB53" i="49"/>
  <c r="EA351" i="49"/>
  <c r="EB351" i="49"/>
  <c r="EC351" i="49"/>
  <c r="EA93" i="49"/>
  <c r="EB93" i="49"/>
  <c r="EA106" i="49"/>
  <c r="EB106" i="49"/>
  <c r="EA238" i="49"/>
  <c r="EB238" i="49"/>
  <c r="EA89" i="49"/>
  <c r="EB89" i="49"/>
  <c r="EA65" i="49"/>
  <c r="EB65" i="49"/>
  <c r="EA434" i="49"/>
  <c r="EB434" i="49"/>
  <c r="EA81" i="49"/>
  <c r="EB81" i="49"/>
  <c r="EA489" i="49"/>
  <c r="EB489" i="49"/>
  <c r="EA448" i="49"/>
  <c r="EB448" i="49"/>
  <c r="EA426" i="49"/>
  <c r="EB426" i="49"/>
  <c r="EA478" i="49"/>
  <c r="EB478" i="49"/>
  <c r="EA427" i="49"/>
  <c r="EB427" i="49"/>
  <c r="EA260" i="49"/>
  <c r="EB260" i="49"/>
  <c r="EA270" i="49"/>
  <c r="EB270" i="49"/>
  <c r="EA439" i="49"/>
  <c r="EB439" i="49"/>
  <c r="EA285" i="49"/>
  <c r="EB285" i="49"/>
  <c r="EC285" i="49"/>
  <c r="EA294" i="49"/>
  <c r="EB294" i="49"/>
  <c r="EA436" i="49"/>
  <c r="EB436" i="49"/>
  <c r="EA261" i="49"/>
  <c r="EB261" i="49"/>
  <c r="EA21" i="49"/>
  <c r="EB21" i="49"/>
  <c r="EC21" i="49"/>
  <c r="EA179" i="49"/>
  <c r="EB179" i="49"/>
  <c r="EA191" i="49"/>
  <c r="EB191" i="49"/>
  <c r="EA82" i="49"/>
  <c r="EB82" i="49"/>
  <c r="EA484" i="49"/>
  <c r="EB484" i="49"/>
  <c r="EC484" i="49"/>
  <c r="EA392" i="49"/>
  <c r="EB392" i="49"/>
  <c r="EA128" i="49"/>
  <c r="EB128" i="49"/>
  <c r="EC128" i="49"/>
  <c r="EA354" i="49"/>
  <c r="EB354" i="49"/>
  <c r="EA168" i="49"/>
  <c r="EB168" i="49"/>
  <c r="EC168" i="49"/>
  <c r="EA435" i="49"/>
  <c r="EB435" i="49"/>
  <c r="EA209" i="49"/>
  <c r="EB209" i="49"/>
  <c r="EC209" i="49"/>
  <c r="EA381" i="49"/>
  <c r="EB381" i="49"/>
  <c r="EA480" i="49"/>
  <c r="EB480" i="49"/>
  <c r="EC480" i="49"/>
  <c r="EA163" i="49"/>
  <c r="EB163" i="49"/>
  <c r="EA433" i="49"/>
  <c r="EB433" i="49"/>
  <c r="EC433" i="49"/>
  <c r="EA359" i="49"/>
  <c r="EB359" i="49"/>
  <c r="EA170" i="49"/>
  <c r="EB170" i="49"/>
  <c r="EC170" i="49"/>
  <c r="EA324" i="49"/>
  <c r="EB324" i="49"/>
  <c r="EA242" i="49"/>
  <c r="EB242" i="49"/>
  <c r="EC242" i="49"/>
  <c r="EA80" i="49"/>
  <c r="EB80" i="49"/>
  <c r="EA279" i="49"/>
  <c r="EB279" i="49"/>
  <c r="EA403" i="49"/>
  <c r="EB403" i="49"/>
  <c r="EA177" i="49"/>
  <c r="EB177" i="49"/>
  <c r="EC177" i="49"/>
  <c r="EA423" i="49"/>
  <c r="EB423" i="49"/>
  <c r="EA441" i="49"/>
  <c r="EB441" i="49"/>
  <c r="EC441" i="49"/>
  <c r="EA464" i="49"/>
  <c r="EB464" i="49"/>
  <c r="EA33" i="49"/>
  <c r="EB33" i="49"/>
  <c r="EC33" i="49"/>
  <c r="EA49" i="49"/>
  <c r="EB49" i="49"/>
  <c r="EA234" i="49"/>
  <c r="EB234" i="49"/>
  <c r="EC234" i="49"/>
  <c r="EA182" i="49"/>
  <c r="EB182" i="49"/>
  <c r="EA75" i="49"/>
  <c r="EB75" i="49"/>
  <c r="EC75" i="49"/>
  <c r="EA310" i="49"/>
  <c r="EB310" i="49"/>
  <c r="EA269" i="49"/>
  <c r="EB269" i="49"/>
  <c r="EC269" i="49"/>
  <c r="EA108" i="49"/>
  <c r="EB108" i="49"/>
  <c r="EA402" i="49"/>
  <c r="EB402" i="49"/>
  <c r="EC402" i="49"/>
  <c r="EA145" i="49"/>
  <c r="EB145" i="49"/>
  <c r="EA386" i="49"/>
  <c r="EB386" i="49"/>
  <c r="EA298" i="49"/>
  <c r="EB298" i="49"/>
  <c r="EA161" i="49"/>
  <c r="EB161" i="49"/>
  <c r="EC161" i="49"/>
  <c r="EA119" i="49"/>
  <c r="EB119" i="49"/>
  <c r="EA135" i="49"/>
  <c r="EB135" i="49"/>
  <c r="EC135" i="49"/>
  <c r="EA337" i="49"/>
  <c r="EB337" i="49"/>
  <c r="EA401" i="49"/>
  <c r="EB401" i="49"/>
  <c r="EC401" i="49"/>
  <c r="EA87" i="49"/>
  <c r="EB87" i="49"/>
  <c r="EA425" i="49"/>
  <c r="EB425" i="49"/>
  <c r="EC425" i="49"/>
  <c r="EA421" i="49"/>
  <c r="EB421" i="49"/>
  <c r="EA9" i="49"/>
  <c r="EB9" i="49"/>
  <c r="EC9" i="49"/>
  <c r="EA214" i="49"/>
  <c r="EB214" i="49"/>
  <c r="EA213" i="49"/>
  <c r="EB213" i="49"/>
  <c r="EC213" i="49"/>
  <c r="EA384" i="49"/>
  <c r="EB384" i="49"/>
  <c r="EA338" i="49"/>
  <c r="EB338" i="49"/>
  <c r="EC338" i="49"/>
  <c r="EA211" i="49"/>
  <c r="EB211" i="49"/>
  <c r="EA215" i="49"/>
  <c r="EB215" i="49"/>
  <c r="EA193" i="49"/>
  <c r="EB193" i="49"/>
  <c r="EA122" i="49"/>
  <c r="EB122" i="49"/>
  <c r="EC122" i="49"/>
  <c r="EA118" i="49"/>
  <c r="EB118" i="49"/>
  <c r="EA395" i="49"/>
  <c r="EB395" i="49"/>
  <c r="EC395" i="49"/>
  <c r="EA394" i="49"/>
  <c r="EB394" i="49"/>
  <c r="EA248" i="49"/>
  <c r="EB248" i="49"/>
  <c r="EC248" i="49"/>
  <c r="EA284" i="49"/>
  <c r="EB284" i="49"/>
  <c r="EA205" i="49"/>
  <c r="EB205" i="49"/>
  <c r="EA365" i="49"/>
  <c r="EB365" i="49"/>
  <c r="EA111" i="49"/>
  <c r="EB111" i="49"/>
  <c r="EC111" i="49"/>
  <c r="EA184" i="49"/>
  <c r="EB184" i="49"/>
  <c r="EA483" i="49"/>
  <c r="EB483" i="49"/>
  <c r="EC483" i="49"/>
  <c r="EA263" i="49"/>
  <c r="EB263" i="49"/>
  <c r="EA368" i="49"/>
  <c r="EB368" i="49"/>
  <c r="EC368" i="49"/>
  <c r="EA71" i="49"/>
  <c r="EB71" i="49"/>
  <c r="EA412" i="49"/>
  <c r="EB412" i="49"/>
  <c r="EA180" i="49"/>
  <c r="EB180" i="49"/>
  <c r="EA173" i="49"/>
  <c r="EB173" i="49"/>
  <c r="EC173" i="49"/>
  <c r="EA481" i="49"/>
  <c r="EB481" i="49"/>
  <c r="EA455" i="49"/>
  <c r="EB455" i="49"/>
  <c r="EC455" i="49"/>
  <c r="EA141" i="49"/>
  <c r="EB141" i="49"/>
  <c r="EC141" i="49"/>
  <c r="EA288" i="49"/>
  <c r="EB288" i="49"/>
  <c r="EC288" i="49"/>
  <c r="EA407" i="49"/>
  <c r="EB407" i="49"/>
  <c r="EA148" i="49"/>
  <c r="EB148" i="49"/>
  <c r="EC148" i="49"/>
  <c r="EA132" i="49"/>
  <c r="EB132" i="49"/>
  <c r="EC132" i="49"/>
  <c r="EA13" i="49"/>
  <c r="EB13" i="49"/>
  <c r="EC13" i="49"/>
  <c r="EA336" i="49"/>
  <c r="EB336" i="49"/>
  <c r="EA62" i="49"/>
  <c r="EB62" i="49"/>
  <c r="EC62" i="49"/>
  <c r="EA490" i="49"/>
  <c r="EB490" i="49"/>
  <c r="EC490" i="49"/>
  <c r="EA31" i="49"/>
  <c r="EB31" i="49"/>
  <c r="EC31" i="49"/>
  <c r="EA256" i="49"/>
  <c r="EB256" i="49"/>
  <c r="EA88" i="49"/>
  <c r="EB88" i="49"/>
  <c r="EC88" i="49"/>
  <c r="EA58" i="49"/>
  <c r="EB58" i="49"/>
  <c r="EC58" i="49"/>
  <c r="EA120" i="49"/>
  <c r="EB120" i="49"/>
  <c r="EC120" i="49"/>
  <c r="EA467" i="49"/>
  <c r="EB467" i="49"/>
  <c r="EA84" i="49"/>
  <c r="EB84" i="49"/>
  <c r="EC84" i="49"/>
  <c r="EA493" i="49"/>
  <c r="EB493" i="49"/>
  <c r="EC493" i="49"/>
  <c r="EA353" i="49"/>
  <c r="EB353" i="49"/>
  <c r="EC353" i="49"/>
  <c r="EA160" i="49"/>
  <c r="EB160" i="49"/>
  <c r="EA410" i="49"/>
  <c r="EB410" i="49"/>
  <c r="EC410" i="49"/>
  <c r="EA107" i="49"/>
  <c r="EB107" i="49"/>
  <c r="EC107" i="49"/>
  <c r="EA355" i="49"/>
  <c r="EB355" i="49"/>
  <c r="EC355" i="49"/>
  <c r="EA311" i="49"/>
  <c r="EB311" i="49"/>
  <c r="EA98" i="49"/>
  <c r="EB98" i="49"/>
  <c r="EC98" i="49"/>
  <c r="EA292" i="49"/>
  <c r="EB292" i="49"/>
  <c r="EA309" i="49"/>
  <c r="EB309" i="49"/>
  <c r="EC309" i="49"/>
  <c r="EA171" i="49"/>
  <c r="EB171" i="49"/>
  <c r="EA289" i="49"/>
  <c r="EB289" i="49"/>
  <c r="EA374" i="49"/>
  <c r="EB374" i="49"/>
  <c r="EC374" i="49"/>
  <c r="EA112" i="49"/>
  <c r="EB112" i="49"/>
  <c r="EC112" i="49"/>
  <c r="EA78" i="49"/>
  <c r="EB78" i="49"/>
  <c r="EA363" i="49"/>
  <c r="EB363" i="49"/>
  <c r="EC363" i="49"/>
  <c r="EA124" i="49"/>
  <c r="EB124" i="49"/>
  <c r="EA200" i="49"/>
  <c r="EB200" i="49"/>
  <c r="EC200" i="49"/>
  <c r="EA297" i="49"/>
  <c r="EB297" i="49"/>
  <c r="EA400" i="49"/>
  <c r="EB400" i="49"/>
  <c r="EC400" i="49"/>
  <c r="EA465" i="49"/>
  <c r="EB465" i="49"/>
  <c r="EA498" i="49"/>
  <c r="EB498" i="49"/>
  <c r="EA194" i="49"/>
  <c r="EB194" i="49"/>
  <c r="EA95" i="49"/>
  <c r="EB95" i="49"/>
  <c r="EC95" i="49"/>
  <c r="EA129" i="49"/>
  <c r="EB129" i="49"/>
  <c r="EC129" i="49"/>
  <c r="EA63" i="49"/>
  <c r="EB63" i="49"/>
  <c r="EC63" i="49"/>
  <c r="EA127" i="49"/>
  <c r="EB127" i="49"/>
  <c r="EA296" i="49"/>
  <c r="EB296" i="49"/>
  <c r="EC296" i="49"/>
  <c r="EA300" i="49"/>
  <c r="EB300" i="49"/>
  <c r="EC300" i="49"/>
  <c r="EA110" i="49"/>
  <c r="EB110" i="49"/>
  <c r="EA249" i="49"/>
  <c r="EB249" i="49"/>
  <c r="EA486" i="49"/>
  <c r="EB486" i="49"/>
  <c r="EC486" i="49"/>
  <c r="EA352" i="49"/>
  <c r="EB352" i="49"/>
  <c r="EC352" i="49"/>
  <c r="EA361" i="49"/>
  <c r="EB361" i="49"/>
  <c r="EC361" i="49"/>
  <c r="EA492" i="49"/>
  <c r="EB492" i="49"/>
  <c r="EA452" i="49"/>
  <c r="EB452" i="49"/>
  <c r="EC452" i="49"/>
  <c r="EA447" i="49"/>
  <c r="EB447" i="49"/>
  <c r="EC447" i="49"/>
  <c r="EA26" i="49"/>
  <c r="EB26" i="49"/>
  <c r="EC26" i="49"/>
  <c r="EA181" i="49"/>
  <c r="EB181" i="49"/>
  <c r="EA428" i="49"/>
  <c r="EB428" i="49"/>
  <c r="EC428" i="49"/>
  <c r="EA149" i="49"/>
  <c r="EB149" i="49"/>
  <c r="EC149" i="49"/>
  <c r="EA380" i="49"/>
  <c r="EB380" i="49"/>
  <c r="EA45" i="49"/>
  <c r="EB45" i="49"/>
  <c r="EA19" i="49"/>
  <c r="EB19" i="49"/>
  <c r="EC19" i="49"/>
  <c r="EA364" i="49"/>
  <c r="EB364" i="49"/>
  <c r="EC364" i="49"/>
  <c r="EA50" i="49"/>
  <c r="EB50" i="49"/>
  <c r="EA116" i="49"/>
  <c r="EB116" i="49"/>
  <c r="EA140" i="49"/>
  <c r="EB140" i="49"/>
  <c r="EC140" i="49"/>
  <c r="EA199" i="49"/>
  <c r="EB199" i="49"/>
  <c r="EC199" i="49"/>
  <c r="EA345" i="49"/>
  <c r="EB345" i="49"/>
  <c r="EC345" i="49"/>
  <c r="EA147" i="49"/>
  <c r="EB147" i="49"/>
  <c r="EA348" i="49"/>
  <c r="EB348" i="49"/>
  <c r="EC348" i="49"/>
  <c r="EA293" i="49"/>
  <c r="EB293" i="49"/>
  <c r="EC293" i="49"/>
  <c r="EA232" i="49"/>
  <c r="EB232" i="49"/>
  <c r="EA10" i="49"/>
  <c r="EB10" i="49"/>
  <c r="EA373" i="49"/>
  <c r="EB373" i="49"/>
  <c r="EC373" i="49"/>
  <c r="EA320" i="49"/>
  <c r="EB320" i="49"/>
  <c r="EC320" i="49"/>
  <c r="EA46" i="49"/>
  <c r="EB46" i="49"/>
  <c r="EC46" i="49"/>
  <c r="EA419" i="49"/>
  <c r="EB419" i="49"/>
  <c r="EA100" i="49"/>
  <c r="EB100" i="49"/>
  <c r="EC100" i="49"/>
  <c r="EA366" i="49"/>
  <c r="EB366" i="49"/>
  <c r="EC366" i="49"/>
  <c r="EA416" i="49"/>
  <c r="EB416" i="49"/>
  <c r="EC416" i="49"/>
  <c r="EA321" i="49"/>
  <c r="EB321" i="49"/>
  <c r="EA190" i="49"/>
  <c r="EB190" i="49"/>
  <c r="EC190" i="49"/>
  <c r="EA157" i="49"/>
  <c r="EB157" i="49"/>
  <c r="EC157" i="49"/>
  <c r="EA79" i="49"/>
  <c r="EB79" i="49"/>
  <c r="EC79" i="49"/>
  <c r="EA155" i="49"/>
  <c r="EB155" i="49"/>
  <c r="EA55" i="49"/>
  <c r="EB55" i="49"/>
  <c r="EC55" i="49"/>
  <c r="EA417" i="49"/>
  <c r="EB417" i="49"/>
  <c r="EC417" i="49"/>
  <c r="EA286" i="49"/>
  <c r="EB286" i="49"/>
  <c r="EC286" i="49"/>
  <c r="EA38" i="49"/>
  <c r="EB38" i="49"/>
  <c r="EA255" i="49"/>
  <c r="EB255" i="49"/>
  <c r="EC255" i="49"/>
  <c r="EA187" i="49"/>
  <c r="EB187" i="49"/>
  <c r="EC187" i="49"/>
  <c r="EA230" i="49"/>
  <c r="EB230" i="49"/>
  <c r="EC230" i="49"/>
  <c r="EA283" i="49"/>
  <c r="EB283" i="49"/>
  <c r="EA316" i="49"/>
  <c r="EB316" i="49"/>
  <c r="EA142" i="49"/>
  <c r="EB142" i="49"/>
  <c r="EC142" i="49"/>
  <c r="EA198" i="49"/>
  <c r="EB198" i="49"/>
  <c r="EC198" i="49"/>
  <c r="EA99" i="49"/>
  <c r="EB99" i="49"/>
  <c r="EA432" i="49"/>
  <c r="EB432" i="49"/>
  <c r="EC432" i="49"/>
  <c r="EA7" i="49"/>
  <c r="EB7" i="49"/>
  <c r="EC7" i="49"/>
  <c r="EA246" i="49"/>
  <c r="EB246" i="49"/>
  <c r="EC246" i="49"/>
  <c r="EA456" i="49"/>
  <c r="EB456" i="49"/>
  <c r="EA265" i="49"/>
  <c r="EB265" i="49"/>
  <c r="EC265" i="49"/>
  <c r="EA443" i="49"/>
  <c r="EB443" i="49"/>
  <c r="EC443" i="49"/>
  <c r="EA307" i="49"/>
  <c r="EB307" i="49"/>
  <c r="EC307" i="49"/>
  <c r="EA451" i="49"/>
  <c r="EB451" i="49"/>
  <c r="EA333" i="49"/>
  <c r="EB333" i="49"/>
  <c r="EC333" i="49"/>
  <c r="EA411" i="49"/>
  <c r="EB411" i="49"/>
  <c r="EC411" i="49"/>
  <c r="EA52" i="49"/>
  <c r="EB52" i="49"/>
  <c r="EC52" i="49"/>
  <c r="EA60" i="49"/>
  <c r="EB60" i="49"/>
  <c r="EA151" i="49"/>
  <c r="EB151" i="49"/>
  <c r="EC151" i="49"/>
  <c r="EA301" i="49"/>
  <c r="EB301" i="49"/>
  <c r="EA494" i="49"/>
  <c r="EB494" i="49"/>
  <c r="EA136" i="49"/>
  <c r="EB136" i="49"/>
  <c r="EA250" i="49"/>
  <c r="EB250" i="49"/>
  <c r="EC250" i="49"/>
  <c r="EA305" i="49"/>
  <c r="EB305" i="49"/>
  <c r="EC305" i="49"/>
  <c r="EA347" i="49"/>
  <c r="EB347" i="49"/>
  <c r="EC347" i="49"/>
  <c r="EA138" i="49"/>
  <c r="EB138" i="49"/>
  <c r="EA139" i="49"/>
  <c r="EB139" i="49"/>
  <c r="EC139" i="49"/>
  <c r="EA175" i="49"/>
  <c r="EB175" i="49"/>
  <c r="EC175" i="49"/>
  <c r="EA378" i="49"/>
  <c r="EB378" i="49"/>
  <c r="EA437" i="49"/>
  <c r="EB437" i="49"/>
  <c r="EA389" i="49"/>
  <c r="EB389" i="49"/>
  <c r="EC389" i="49"/>
  <c r="EA295" i="49"/>
  <c r="EB295" i="49"/>
  <c r="EC295" i="49"/>
  <c r="EA237" i="49"/>
  <c r="EB237" i="49"/>
  <c r="EC237" i="49"/>
  <c r="EA90" i="49"/>
  <c r="EB90" i="49"/>
  <c r="EA469" i="49"/>
  <c r="EB469" i="49"/>
  <c r="EC469" i="49"/>
  <c r="EA332" i="49"/>
  <c r="EB332" i="49"/>
  <c r="EC332" i="49"/>
  <c r="EA73" i="49"/>
  <c r="EB73" i="49"/>
  <c r="EA329" i="49"/>
  <c r="EB329" i="49"/>
  <c r="EA422" i="49"/>
  <c r="EB422" i="49"/>
  <c r="EC422" i="49"/>
  <c r="EA165" i="49"/>
  <c r="EB165" i="49"/>
  <c r="EC165" i="49"/>
  <c r="EA113" i="49"/>
  <c r="EB113" i="49"/>
  <c r="EC113" i="49"/>
  <c r="EA323" i="49"/>
  <c r="EB323" i="49"/>
  <c r="EA367" i="49"/>
  <c r="EB367" i="49"/>
  <c r="EC367" i="49"/>
  <c r="EA391" i="49"/>
  <c r="EB391" i="49"/>
  <c r="EC391" i="49"/>
  <c r="EA17" i="49"/>
  <c r="EB17" i="49"/>
  <c r="EA27" i="49"/>
  <c r="EB27" i="49"/>
  <c r="EA387" i="49"/>
  <c r="EB387" i="49"/>
  <c r="EC387" i="49"/>
  <c r="EA83" i="49"/>
  <c r="EB83" i="49"/>
  <c r="EC83" i="49"/>
  <c r="EA460" i="49"/>
  <c r="EB460" i="49"/>
  <c r="EC460" i="49"/>
  <c r="EA35" i="49"/>
  <c r="EB35" i="49"/>
  <c r="EA304" i="49"/>
  <c r="EB304" i="49"/>
  <c r="EC304" i="49"/>
  <c r="EA291" i="49"/>
  <c r="EB291" i="49"/>
  <c r="EC291" i="49"/>
  <c r="EA241" i="49"/>
  <c r="EB241" i="49"/>
  <c r="EC241" i="49"/>
  <c r="EA450" i="49"/>
  <c r="EB450" i="49"/>
  <c r="EA382" i="49"/>
  <c r="EB382" i="49"/>
  <c r="EC382" i="49"/>
  <c r="EA340" i="49"/>
  <c r="EB340" i="49"/>
  <c r="EC340" i="49"/>
  <c r="EA303" i="49"/>
  <c r="EB303" i="49"/>
  <c r="EC303" i="49"/>
  <c r="EA34" i="49"/>
  <c r="EB34" i="49"/>
  <c r="EA137" i="49"/>
  <c r="EB137" i="49"/>
  <c r="EC137" i="49"/>
  <c r="EA438" i="49"/>
  <c r="EB438" i="49"/>
  <c r="EC438" i="49"/>
  <c r="EA76" i="49"/>
  <c r="EB76" i="49"/>
  <c r="EC76" i="49"/>
  <c r="EA36" i="49"/>
  <c r="EB36" i="49"/>
  <c r="EA253" i="49"/>
  <c r="EB253" i="49"/>
  <c r="EC253" i="49"/>
  <c r="EA130" i="49"/>
  <c r="EB130" i="49"/>
  <c r="EC130" i="49"/>
  <c r="EA420" i="49"/>
  <c r="EB420" i="49"/>
  <c r="EC420" i="49"/>
  <c r="EA299" i="49"/>
  <c r="EB299" i="49"/>
  <c r="EA32" i="49"/>
  <c r="EB32" i="49"/>
  <c r="EC32" i="49"/>
  <c r="EA266" i="49"/>
  <c r="EB266" i="49"/>
  <c r="EC266" i="49"/>
  <c r="EA251" i="49"/>
  <c r="EB251" i="49"/>
  <c r="EC251" i="49"/>
  <c r="EA226" i="49"/>
  <c r="EB226" i="49"/>
  <c r="EA233" i="49"/>
  <c r="EB233" i="49"/>
  <c r="EC233" i="49"/>
  <c r="EA68" i="49"/>
  <c r="EB68" i="49"/>
  <c r="EC68" i="49"/>
  <c r="EA445" i="49"/>
  <c r="EB445" i="49"/>
  <c r="EC445" i="49"/>
  <c r="EA231" i="49"/>
  <c r="EB231" i="49"/>
  <c r="EA306" i="49"/>
  <c r="EB306" i="49"/>
  <c r="EC306" i="49"/>
  <c r="EA262" i="49"/>
  <c r="EB262" i="49"/>
  <c r="EC262" i="49"/>
  <c r="EA424" i="49"/>
  <c r="EB424" i="49"/>
  <c r="EC424" i="49"/>
  <c r="EA453" i="49"/>
  <c r="EB453" i="49"/>
  <c r="EA315" i="49"/>
  <c r="EB315" i="49"/>
  <c r="EC315" i="49"/>
  <c r="EA236" i="49"/>
  <c r="EB236" i="49"/>
  <c r="EC236" i="49"/>
  <c r="EA70" i="49"/>
  <c r="EB70" i="49"/>
  <c r="EC70" i="49"/>
  <c r="EA444" i="49"/>
  <c r="EB444" i="49"/>
  <c r="EA431" i="49"/>
  <c r="EB431" i="49"/>
  <c r="EC431" i="49"/>
  <c r="EA245" i="49"/>
  <c r="EB245" i="49"/>
  <c r="EC245" i="49"/>
  <c r="EA96" i="49"/>
  <c r="EB96" i="49"/>
  <c r="EC96" i="49"/>
  <c r="EA105" i="49"/>
  <c r="EB105" i="49"/>
  <c r="EC105" i="49"/>
  <c r="EA319" i="49"/>
  <c r="EB319" i="49"/>
  <c r="EC319" i="49"/>
  <c r="EA398" i="49"/>
  <c r="EB398" i="49"/>
  <c r="EC398" i="49"/>
  <c r="EA48" i="49"/>
  <c r="EB48" i="49"/>
  <c r="EC48" i="49"/>
  <c r="EA331" i="49"/>
  <c r="EB331" i="49"/>
  <c r="EA343" i="49"/>
  <c r="EB343" i="49"/>
  <c r="EC343" i="49"/>
  <c r="EA51" i="49"/>
  <c r="EB51" i="49"/>
  <c r="EC51" i="49"/>
  <c r="EA335" i="49"/>
  <c r="EB335" i="49"/>
  <c r="EC335" i="49"/>
  <c r="EA206" i="49"/>
  <c r="EB206" i="49"/>
  <c r="EA42" i="49"/>
  <c r="EB42" i="49"/>
  <c r="EC42" i="49"/>
  <c r="EA252" i="49"/>
  <c r="EB252" i="49"/>
  <c r="EC252" i="49"/>
  <c r="EA462" i="49"/>
  <c r="EB462" i="49"/>
  <c r="EC462" i="49"/>
  <c r="EA276" i="49"/>
  <c r="EB276" i="49"/>
  <c r="EA86" i="49"/>
  <c r="EB86" i="49"/>
  <c r="EC86" i="49"/>
  <c r="EA474" i="49"/>
  <c r="EB474" i="49"/>
  <c r="EC474" i="49"/>
  <c r="EA244" i="49"/>
  <c r="EB244" i="49"/>
  <c r="EC244" i="49"/>
  <c r="EA227" i="49"/>
  <c r="EB227" i="49"/>
  <c r="EA371" i="49"/>
  <c r="EB371" i="49"/>
  <c r="EC371" i="49"/>
  <c r="EA239" i="49"/>
  <c r="EB239" i="49"/>
  <c r="EC239" i="49"/>
  <c r="EA225" i="49"/>
  <c r="EB225" i="49"/>
  <c r="EC225" i="49"/>
  <c r="EA219" i="49"/>
  <c r="EB219" i="49"/>
  <c r="EA475" i="49"/>
  <c r="EB475" i="49"/>
  <c r="EC475" i="49"/>
  <c r="EA117" i="49"/>
  <c r="EB117" i="49"/>
  <c r="EC117" i="49"/>
  <c r="EA277" i="49"/>
  <c r="EB277" i="49"/>
  <c r="EC277" i="49"/>
  <c r="EA176" i="49"/>
  <c r="EB176" i="49"/>
  <c r="EA20" i="49"/>
  <c r="EB20" i="49"/>
  <c r="EC20" i="49"/>
  <c r="EA144" i="49"/>
  <c r="EB144" i="49"/>
  <c r="EC144" i="49"/>
  <c r="EA454" i="49"/>
  <c r="EB454" i="49"/>
  <c r="EC454" i="49"/>
  <c r="EA207" i="49"/>
  <c r="EB207" i="49"/>
  <c r="EA174" i="49"/>
  <c r="EB174" i="49"/>
  <c r="EC174" i="49"/>
  <c r="EA41" i="49"/>
  <c r="EB41" i="49"/>
  <c r="EC41" i="49"/>
  <c r="EA479" i="49"/>
  <c r="EB479" i="49"/>
  <c r="EC479" i="49"/>
  <c r="EA167" i="49"/>
  <c r="EB167" i="49"/>
  <c r="EA208" i="49"/>
  <c r="EB208" i="49"/>
  <c r="EC208" i="49"/>
  <c r="EA325" i="49"/>
  <c r="EB325" i="49"/>
  <c r="EC325" i="49"/>
  <c r="EA235" i="49"/>
  <c r="EB235" i="49"/>
  <c r="EC235" i="49"/>
  <c r="EA258" i="49"/>
  <c r="EB258" i="49"/>
  <c r="EA405" i="49"/>
  <c r="EB405" i="49"/>
  <c r="EC405" i="49"/>
  <c r="EA282" i="49"/>
  <c r="EB282" i="49"/>
  <c r="EC282" i="49"/>
  <c r="EA344" i="49"/>
  <c r="EB344" i="49"/>
  <c r="EC344" i="49"/>
  <c r="EA66" i="49"/>
  <c r="EB66" i="49"/>
  <c r="EA360" i="49"/>
  <c r="EB360" i="49"/>
  <c r="EC360" i="49"/>
  <c r="EC463" i="49"/>
  <c r="EC461" i="49"/>
  <c r="EC254" i="49"/>
  <c r="EC274" i="49"/>
  <c r="EC172" i="49"/>
  <c r="EC327" i="49"/>
  <c r="EC349" i="49"/>
  <c r="EC44" i="49"/>
  <c r="EC11" i="49"/>
  <c r="EC334" i="49"/>
  <c r="EC202" i="49"/>
  <c r="EC192" i="49"/>
  <c r="EC271" i="49"/>
  <c r="EC69" i="49"/>
  <c r="EC103" i="49"/>
  <c r="EC406" i="49"/>
  <c r="EC379" i="49"/>
  <c r="EC372" i="49"/>
  <c r="EC197" i="49"/>
  <c r="EC54" i="49"/>
  <c r="EC418" i="49"/>
  <c r="EC390" i="49"/>
  <c r="EC85" i="49"/>
  <c r="EC259" i="49"/>
  <c r="EC121" i="49"/>
  <c r="EC131" i="49"/>
  <c r="EC67" i="49"/>
  <c r="EC365" i="49"/>
  <c r="EC184" i="49"/>
  <c r="EC263" i="49"/>
  <c r="EC71" i="49"/>
  <c r="EC412" i="49"/>
  <c r="EC180" i="49"/>
  <c r="EC481" i="49"/>
  <c r="EC407" i="49"/>
  <c r="EC336" i="49"/>
  <c r="EC256" i="49"/>
  <c r="EC467" i="49"/>
  <c r="EC160" i="49"/>
  <c r="EC311" i="49"/>
  <c r="EC60" i="49"/>
  <c r="EC301" i="49"/>
  <c r="EC494" i="49"/>
  <c r="EC136" i="49"/>
  <c r="EC138" i="49"/>
  <c r="EC378" i="49"/>
  <c r="EC437" i="49"/>
  <c r="EC90" i="49"/>
  <c r="EC73" i="49"/>
  <c r="EC329" i="49"/>
  <c r="EC323" i="49"/>
  <c r="EC380" i="49"/>
  <c r="EC205" i="49"/>
  <c r="EC116" i="49"/>
  <c r="EC124" i="49"/>
  <c r="EC110" i="49"/>
  <c r="EC45" i="49"/>
  <c r="EC444" i="49"/>
  <c r="EC299" i="49"/>
  <c r="EC290" i="49"/>
  <c r="EC169" i="49"/>
  <c r="EC159" i="49"/>
  <c r="EC328" i="49"/>
  <c r="EC326" i="49"/>
  <c r="EC212" i="49"/>
  <c r="EC430" i="49"/>
  <c r="EC18" i="49"/>
  <c r="EC29" i="49"/>
  <c r="EC317" i="49"/>
  <c r="EC272" i="49"/>
  <c r="EC264" i="49"/>
  <c r="EC152" i="49"/>
  <c r="EC123" i="49"/>
  <c r="EC268" i="49"/>
  <c r="EC458" i="49"/>
  <c r="EC396" i="49"/>
  <c r="EC61" i="49"/>
  <c r="EC47" i="49"/>
  <c r="EC92" i="49"/>
  <c r="EC314" i="49"/>
  <c r="EC446" i="49"/>
  <c r="EC53" i="49"/>
  <c r="EC93" i="49"/>
  <c r="EC106" i="49"/>
  <c r="EC238" i="49"/>
  <c r="EC89" i="49"/>
  <c r="EC377" i="49"/>
  <c r="EC65" i="49"/>
  <c r="EC308" i="49"/>
  <c r="EC434" i="49"/>
  <c r="EC154" i="49"/>
  <c r="EC81" i="49"/>
  <c r="EC489" i="49"/>
  <c r="EC146" i="49"/>
  <c r="EC448" i="49"/>
  <c r="EC23" i="49"/>
  <c r="EC426" i="49"/>
  <c r="EC150" i="49"/>
  <c r="EC478" i="49"/>
  <c r="EC427" i="49"/>
  <c r="EC399" i="49"/>
  <c r="EC260" i="49"/>
  <c r="EC313" i="49"/>
  <c r="EC270" i="49"/>
  <c r="EC356" i="49"/>
  <c r="EC57" i="49"/>
  <c r="EC158" i="49"/>
  <c r="EC404" i="49"/>
  <c r="EC8" i="49"/>
  <c r="EC294" i="49"/>
  <c r="EC186" i="49"/>
  <c r="EC370" i="49"/>
  <c r="EC126" i="49"/>
  <c r="EC261" i="49"/>
  <c r="EC466" i="49"/>
  <c r="EC292" i="49"/>
  <c r="EC215" i="49"/>
  <c r="EC193" i="49"/>
  <c r="EC171" i="49"/>
  <c r="EC249" i="49"/>
  <c r="EC289" i="49"/>
  <c r="EC118" i="49"/>
  <c r="EC492" i="49"/>
  <c r="EC394" i="49"/>
  <c r="EC78" i="49"/>
  <c r="EC181" i="49"/>
  <c r="EC284" i="49"/>
  <c r="EC450" i="49"/>
  <c r="EC34" i="49"/>
  <c r="EC36" i="49"/>
  <c r="EC331" i="49"/>
  <c r="EC206" i="49"/>
  <c r="EC276" i="49"/>
  <c r="EC227" i="49"/>
  <c r="EC56" i="49"/>
  <c r="EC156" i="49"/>
  <c r="EC102" i="49"/>
  <c r="EC30" i="49"/>
  <c r="EC22" i="49"/>
  <c r="EC281" i="49"/>
  <c r="EC472" i="49"/>
  <c r="EC318" i="49"/>
  <c r="EC134" i="49"/>
  <c r="EC133" i="49"/>
  <c r="EC94" i="49"/>
  <c r="EC221" i="49"/>
  <c r="EC189" i="49"/>
  <c r="EC471" i="49"/>
  <c r="EC115" i="49"/>
  <c r="EC40" i="49"/>
  <c r="EC64" i="49"/>
  <c r="EC485" i="49"/>
  <c r="EC222" i="49"/>
  <c r="EC409" i="49"/>
  <c r="EC488" i="49"/>
  <c r="EC24" i="49"/>
  <c r="EC97" i="49"/>
  <c r="EC287" i="49"/>
  <c r="EC240" i="49"/>
  <c r="EC166" i="49"/>
  <c r="EC101" i="49"/>
  <c r="EC359" i="49"/>
  <c r="EC324" i="49"/>
  <c r="EC80" i="49"/>
  <c r="EC279" i="49"/>
  <c r="EC403" i="49"/>
  <c r="EC423" i="49"/>
  <c r="EC464" i="49"/>
  <c r="EC49" i="49"/>
  <c r="EC182" i="49"/>
  <c r="EC310" i="49"/>
  <c r="EC108" i="49"/>
  <c r="EC145" i="49"/>
  <c r="EC386" i="49"/>
  <c r="EC298" i="49"/>
  <c r="EC119" i="49"/>
  <c r="EC337" i="49"/>
  <c r="EC87" i="49"/>
  <c r="EC421" i="49"/>
  <c r="EC214" i="49"/>
  <c r="EC384" i="49"/>
  <c r="EC211" i="49"/>
  <c r="EC232" i="49"/>
  <c r="EC10" i="49"/>
  <c r="EC419" i="49"/>
  <c r="EC321" i="49"/>
  <c r="EC155" i="49"/>
  <c r="EC38" i="49"/>
  <c r="EC283" i="49"/>
  <c r="EC316" i="49"/>
  <c r="EC99" i="49"/>
  <c r="EC17" i="49"/>
  <c r="EC27" i="49"/>
  <c r="EC456" i="49"/>
  <c r="EC147" i="49"/>
  <c r="EC50" i="49"/>
  <c r="EC35" i="49"/>
  <c r="EC451" i="49"/>
  <c r="EC43" i="49"/>
  <c r="EC217" i="49"/>
  <c r="EC468" i="49"/>
  <c r="EC369" i="49"/>
  <c r="EC482" i="49"/>
  <c r="EC459" i="49"/>
  <c r="EC15" i="49"/>
  <c r="EC397" i="49"/>
  <c r="EC388" i="49"/>
  <c r="EC178" i="49"/>
  <c r="EC77" i="49"/>
  <c r="EC408" i="49"/>
  <c r="EC413" i="49"/>
  <c r="EC473" i="49"/>
  <c r="EC440" i="49"/>
  <c r="EC14" i="49"/>
  <c r="EC257" i="49"/>
  <c r="EC457" i="49"/>
  <c r="EC312" i="49"/>
  <c r="EC39" i="49"/>
  <c r="EC12" i="49"/>
  <c r="EC6" i="49"/>
  <c r="EC74" i="49"/>
  <c r="EC341" i="49"/>
  <c r="EC376" i="49"/>
  <c r="EC477" i="49"/>
  <c r="EC302" i="49"/>
  <c r="EC228" i="49"/>
  <c r="EC415" i="49"/>
  <c r="EC491" i="49"/>
  <c r="EC195" i="49"/>
  <c r="EC218" i="49"/>
  <c r="EC322" i="49"/>
  <c r="EC220" i="49"/>
  <c r="EC278" i="49"/>
  <c r="EC28" i="49"/>
  <c r="EC273" i="49"/>
  <c r="EC476" i="49"/>
  <c r="EC496" i="49"/>
  <c r="EC185" i="49"/>
  <c r="EC357" i="49"/>
  <c r="EC275" i="49"/>
  <c r="EC224" i="49"/>
  <c r="EC37" i="49"/>
  <c r="EC210" i="49"/>
  <c r="EC82" i="49"/>
  <c r="EC439" i="49"/>
  <c r="EC91" i="49"/>
  <c r="EC392" i="49"/>
  <c r="EC267" i="49"/>
  <c r="EC449" i="49"/>
  <c r="EC354" i="49"/>
  <c r="EC436" i="49"/>
  <c r="EC59" i="49"/>
  <c r="EC435" i="49"/>
  <c r="EC114" i="49"/>
  <c r="EC201" i="49"/>
  <c r="EC162" i="49"/>
  <c r="EC297" i="49"/>
  <c r="EC381" i="49"/>
  <c r="EC470" i="49"/>
  <c r="EC465" i="49"/>
  <c r="EC179" i="49"/>
  <c r="EC498" i="49"/>
  <c r="EC375" i="49"/>
  <c r="EC194" i="49"/>
  <c r="EC25" i="49"/>
  <c r="EC125" i="49"/>
  <c r="EC191" i="49"/>
  <c r="EC127" i="49"/>
  <c r="EC163" i="49"/>
  <c r="EC226" i="49"/>
  <c r="EC231" i="49"/>
  <c r="EC453" i="49"/>
  <c r="EC219" i="49"/>
  <c r="EC176" i="49"/>
  <c r="EC207" i="49"/>
  <c r="EC167" i="49"/>
  <c r="EC258" i="49"/>
  <c r="EC66" i="49"/>
  <c r="EA109" i="49"/>
  <c r="EB109" i="49"/>
  <c r="EA5" i="49"/>
  <c r="EC330" i="49"/>
  <c r="EB5" i="49"/>
  <c r="EA500" i="49"/>
  <c r="EC109" i="49"/>
  <c r="EC5" i="49"/>
  <c r="EB500" i="49"/>
  <c r="EB2" i="49"/>
  <c r="ED2" i="49"/>
  <c r="EC500" i="49"/>
  <c r="EC2" i="49"/>
  <c r="ED330" i="49"/>
  <c r="EE330" i="49"/>
  <c r="EF330" i="49"/>
  <c r="EG330" i="49"/>
  <c r="ED204" i="49"/>
  <c r="EE204" i="49"/>
  <c r="EF204" i="49"/>
  <c r="ED203" i="49"/>
  <c r="EE203" i="49"/>
  <c r="EF203" i="49"/>
  <c r="ED5" i="49"/>
  <c r="EE5" i="49"/>
  <c r="ED479" i="49"/>
  <c r="EE479" i="49"/>
  <c r="EF479" i="49"/>
  <c r="ED117" i="49"/>
  <c r="EE117" i="49"/>
  <c r="EF117" i="49"/>
  <c r="ED445" i="49"/>
  <c r="EE445" i="49"/>
  <c r="EF445" i="49"/>
  <c r="ED95" i="49"/>
  <c r="EE95" i="49"/>
  <c r="EF95" i="49"/>
  <c r="ED114" i="49"/>
  <c r="EE114" i="49"/>
  <c r="EF114" i="49"/>
  <c r="ED37" i="49"/>
  <c r="EE37" i="49"/>
  <c r="EF37" i="49"/>
  <c r="ED6" i="49"/>
  <c r="EE6" i="49"/>
  <c r="EF6" i="49"/>
  <c r="ED397" i="49"/>
  <c r="EE397" i="49"/>
  <c r="EF397" i="49"/>
  <c r="ED344" i="49"/>
  <c r="EE344" i="49"/>
  <c r="EF344" i="49"/>
  <c r="ED387" i="49"/>
  <c r="EE387" i="49"/>
  <c r="EF387" i="49"/>
  <c r="ED230" i="49"/>
  <c r="EE230" i="49"/>
  <c r="EF230" i="49"/>
  <c r="ED46" i="49"/>
  <c r="EE46" i="49"/>
  <c r="EF46" i="49"/>
  <c r="ED421" i="49"/>
  <c r="EE421" i="49"/>
  <c r="EF421" i="49"/>
  <c r="ED269" i="49"/>
  <c r="EE269" i="49"/>
  <c r="EF269" i="49"/>
  <c r="ED279" i="49"/>
  <c r="EE279" i="49"/>
  <c r="EF279" i="49"/>
  <c r="ED243" i="49"/>
  <c r="EE243" i="49"/>
  <c r="EF243" i="49"/>
  <c r="ED104" i="49"/>
  <c r="EE104" i="49"/>
  <c r="EF104" i="49"/>
  <c r="ED244" i="49"/>
  <c r="EE244" i="49"/>
  <c r="EF244" i="49"/>
  <c r="ED428" i="49"/>
  <c r="EE428" i="49"/>
  <c r="EF428" i="49"/>
  <c r="ED118" i="49"/>
  <c r="EE118" i="49"/>
  <c r="EF118" i="49"/>
  <c r="ED261" i="49"/>
  <c r="EE261" i="49"/>
  <c r="EF261" i="49"/>
  <c r="ED478" i="49"/>
  <c r="EE478" i="49"/>
  <c r="EF478" i="49"/>
  <c r="ED154" i="49"/>
  <c r="EE154" i="49"/>
  <c r="EF154" i="49"/>
  <c r="ED152" i="49"/>
  <c r="EE152" i="49"/>
  <c r="EF152" i="49"/>
  <c r="ED105" i="49"/>
  <c r="EE105" i="49"/>
  <c r="EF105" i="49"/>
  <c r="ED205" i="49"/>
  <c r="EE205" i="49"/>
  <c r="EF205" i="49"/>
  <c r="ED90" i="49"/>
  <c r="EE90" i="49"/>
  <c r="EF90" i="49"/>
  <c r="ED60" i="49"/>
  <c r="EE60" i="49"/>
  <c r="EF60" i="49"/>
  <c r="ED31" i="49"/>
  <c r="EE31" i="49"/>
  <c r="EF31" i="49"/>
  <c r="ED481" i="49"/>
  <c r="EE481" i="49"/>
  <c r="EF481" i="49"/>
  <c r="ED131" i="49"/>
  <c r="EE131" i="49"/>
  <c r="EF131" i="49"/>
  <c r="ED463" i="49"/>
  <c r="EE463" i="49"/>
  <c r="EF463" i="49"/>
  <c r="ED20" i="49"/>
  <c r="EE20" i="49"/>
  <c r="EF20" i="49"/>
  <c r="ED125" i="49"/>
  <c r="EE125" i="49"/>
  <c r="EF125" i="49"/>
  <c r="ED201" i="49"/>
  <c r="EE201" i="49"/>
  <c r="EF201" i="49"/>
  <c r="ED224" i="49"/>
  <c r="EE224" i="49"/>
  <c r="EF224" i="49"/>
  <c r="ED322" i="49"/>
  <c r="EE322" i="49"/>
  <c r="EF322" i="49"/>
  <c r="ED312" i="49"/>
  <c r="EE312" i="49"/>
  <c r="EF312" i="49"/>
  <c r="ED280" i="49"/>
  <c r="EE280" i="49"/>
  <c r="EF280" i="49"/>
  <c r="ED451" i="49"/>
  <c r="EE451" i="49"/>
  <c r="EF451" i="49"/>
  <c r="ED83" i="49"/>
  <c r="EE83" i="49"/>
  <c r="EF83" i="49"/>
  <c r="ED187" i="49"/>
  <c r="EE187" i="49"/>
  <c r="EF187" i="49"/>
  <c r="ED211" i="49"/>
  <c r="EE211" i="49"/>
  <c r="EF211" i="49"/>
  <c r="ED119" i="49"/>
  <c r="EE119" i="49"/>
  <c r="EF119" i="49"/>
  <c r="ED441" i="49"/>
  <c r="EE441" i="49"/>
  <c r="EF441" i="49"/>
  <c r="ED133" i="49"/>
  <c r="EE133" i="49"/>
  <c r="EF133" i="49"/>
  <c r="ED252" i="49"/>
  <c r="EE252" i="49"/>
  <c r="EF252" i="49"/>
  <c r="ED137" i="49"/>
  <c r="EE137" i="49"/>
  <c r="EF137" i="49"/>
  <c r="ED181" i="49"/>
  <c r="EE181" i="49"/>
  <c r="EF181" i="49"/>
  <c r="ED309" i="49"/>
  <c r="EE309" i="49"/>
  <c r="EF309" i="49"/>
  <c r="ED158" i="49"/>
  <c r="EE158" i="49"/>
  <c r="EF158" i="49"/>
  <c r="ED377" i="49"/>
  <c r="EE377" i="49"/>
  <c r="EF377" i="49"/>
  <c r="ED61" i="49"/>
  <c r="EE61" i="49"/>
  <c r="EF61" i="49"/>
  <c r="ED317" i="49"/>
  <c r="EE317" i="49"/>
  <c r="EF317" i="49"/>
  <c r="ED169" i="49"/>
  <c r="EE169" i="49"/>
  <c r="EF169" i="49"/>
  <c r="ED130" i="49"/>
  <c r="EE130" i="49"/>
  <c r="EF130" i="49"/>
  <c r="ED323" i="49"/>
  <c r="EE323" i="49"/>
  <c r="EF323" i="49"/>
  <c r="ED237" i="49"/>
  <c r="EE237" i="49"/>
  <c r="EF237" i="49"/>
  <c r="ED107" i="49"/>
  <c r="EE107" i="49"/>
  <c r="EF107" i="49"/>
  <c r="ED288" i="49"/>
  <c r="EE288" i="49"/>
  <c r="EF288" i="49"/>
  <c r="ED263" i="49"/>
  <c r="EE263" i="49"/>
  <c r="EF263" i="49"/>
  <c r="ED271" i="49"/>
  <c r="EE271" i="49"/>
  <c r="EF271" i="49"/>
  <c r="ED167" i="49"/>
  <c r="EE167" i="49"/>
  <c r="EF167" i="49"/>
  <c r="ED219" i="49"/>
  <c r="EE219" i="49"/>
  <c r="EF219" i="49"/>
  <c r="ED226" i="49"/>
  <c r="EE226" i="49"/>
  <c r="EF226" i="49"/>
  <c r="ED194" i="49"/>
  <c r="EE194" i="49"/>
  <c r="EF194" i="49"/>
  <c r="ED439" i="49"/>
  <c r="EE439" i="49"/>
  <c r="EF439" i="49"/>
  <c r="ED218" i="49"/>
  <c r="EE218" i="49"/>
  <c r="EF218" i="49"/>
  <c r="ED12" i="49"/>
  <c r="EE12" i="49"/>
  <c r="EF12" i="49"/>
  <c r="ED216" i="49"/>
  <c r="EE216" i="49"/>
  <c r="EF216" i="49"/>
  <c r="ED35" i="49"/>
  <c r="EE35" i="49"/>
  <c r="EF35" i="49"/>
  <c r="ED255" i="49"/>
  <c r="EE255" i="49"/>
  <c r="EF255" i="49"/>
  <c r="ED366" i="49"/>
  <c r="EE366" i="49"/>
  <c r="EF366" i="49"/>
  <c r="ED161" i="49"/>
  <c r="EE161" i="49"/>
  <c r="EF161" i="49"/>
  <c r="ED423" i="49"/>
  <c r="EE423" i="49"/>
  <c r="EF423" i="49"/>
  <c r="ED101" i="49"/>
  <c r="EE101" i="49"/>
  <c r="EF101" i="49"/>
  <c r="ED40" i="49"/>
  <c r="EE40" i="49"/>
  <c r="EF40" i="49"/>
  <c r="ED472" i="49"/>
  <c r="EE472" i="49"/>
  <c r="EF472" i="49"/>
  <c r="ED474" i="49"/>
  <c r="EE474" i="49"/>
  <c r="EF474" i="49"/>
  <c r="ED36" i="49"/>
  <c r="EE36" i="49"/>
  <c r="EF36" i="49"/>
  <c r="ED447" i="49"/>
  <c r="EE447" i="49"/>
  <c r="EF447" i="49"/>
  <c r="ED171" i="49"/>
  <c r="EE171" i="49"/>
  <c r="EF171" i="49"/>
  <c r="ED426" i="49"/>
  <c r="EE426" i="49"/>
  <c r="EF426" i="49"/>
  <c r="ED183" i="49"/>
  <c r="EE183" i="49"/>
  <c r="EF183" i="49"/>
  <c r="ED223" i="49"/>
  <c r="EE223" i="49"/>
  <c r="EF223" i="49"/>
  <c r="ED70" i="49"/>
  <c r="EE70" i="49"/>
  <c r="EF70" i="49"/>
  <c r="ED165" i="49"/>
  <c r="EE165" i="49"/>
  <c r="EF165" i="49"/>
  <c r="ED494" i="49"/>
  <c r="EE494" i="49"/>
  <c r="EF494" i="49"/>
  <c r="ED88" i="49"/>
  <c r="EE88" i="49"/>
  <c r="EF88" i="49"/>
  <c r="ED365" i="49"/>
  <c r="EE365" i="49"/>
  <c r="EF365" i="49"/>
  <c r="ED54" i="49"/>
  <c r="EE54" i="49"/>
  <c r="EF54" i="49"/>
  <c r="ED11" i="49"/>
  <c r="EE11" i="49"/>
  <c r="EF11" i="49"/>
  <c r="ED191" i="49"/>
  <c r="EE191" i="49"/>
  <c r="EF191" i="49"/>
  <c r="ED162" i="49"/>
  <c r="EE162" i="49"/>
  <c r="EF162" i="49"/>
  <c r="ED354" i="49"/>
  <c r="EE354" i="49"/>
  <c r="EF354" i="49"/>
  <c r="ED429" i="49"/>
  <c r="EE429" i="49"/>
  <c r="EF429" i="49"/>
  <c r="ED195" i="49"/>
  <c r="EE195" i="49"/>
  <c r="EF195" i="49"/>
  <c r="ED457" i="49"/>
  <c r="EE457" i="49"/>
  <c r="EF457" i="49"/>
  <c r="ED77" i="49"/>
  <c r="EE77" i="49"/>
  <c r="EF77" i="49"/>
  <c r="ED291" i="49"/>
  <c r="EE291" i="49"/>
  <c r="EF291" i="49"/>
  <c r="ED147" i="49"/>
  <c r="EE147" i="49"/>
  <c r="EF147" i="49"/>
  <c r="ED316" i="49"/>
  <c r="EE316" i="49"/>
  <c r="EF316" i="49"/>
  <c r="ED10" i="49"/>
  <c r="EE10" i="49"/>
  <c r="EF10" i="49"/>
  <c r="ED108" i="49"/>
  <c r="EE108" i="49"/>
  <c r="EF108" i="49"/>
  <c r="ED409" i="49"/>
  <c r="EE409" i="49"/>
  <c r="EF409" i="49"/>
  <c r="ED156" i="49"/>
  <c r="EE156" i="49"/>
  <c r="EF156" i="49"/>
  <c r="ED343" i="49"/>
  <c r="EE343" i="49"/>
  <c r="EF343" i="49"/>
  <c r="ED363" i="49"/>
  <c r="EE363" i="49"/>
  <c r="EF363" i="49"/>
  <c r="ED193" i="49"/>
  <c r="EE193" i="49"/>
  <c r="EF193" i="49"/>
  <c r="ED57" i="49"/>
  <c r="EE57" i="49"/>
  <c r="EF57" i="49"/>
  <c r="ED346" i="49"/>
  <c r="EE346" i="49"/>
  <c r="EF346" i="49"/>
  <c r="ED238" i="49"/>
  <c r="EE238" i="49"/>
  <c r="EF238" i="49"/>
  <c r="ED383" i="49"/>
  <c r="EE383" i="49"/>
  <c r="EF383" i="49"/>
  <c r="ED18" i="49"/>
  <c r="EE18" i="49"/>
  <c r="EF18" i="49"/>
  <c r="ED251" i="49"/>
  <c r="EE251" i="49"/>
  <c r="EF251" i="49"/>
  <c r="ED140" i="49"/>
  <c r="EE140" i="49"/>
  <c r="EF140" i="49"/>
  <c r="ED295" i="49"/>
  <c r="EE295" i="49"/>
  <c r="EF295" i="49"/>
  <c r="ED301" i="49"/>
  <c r="EE301" i="49"/>
  <c r="EF301" i="49"/>
  <c r="ED256" i="49"/>
  <c r="EE256" i="49"/>
  <c r="EF256" i="49"/>
  <c r="ED483" i="49"/>
  <c r="EE483" i="49"/>
  <c r="EF483" i="49"/>
  <c r="ED406" i="49"/>
  <c r="EE406" i="49"/>
  <c r="EF406" i="49"/>
  <c r="ED274" i="49"/>
  <c r="EE274" i="49"/>
  <c r="EF274" i="49"/>
  <c r="ED151" i="49"/>
  <c r="EE151" i="49"/>
  <c r="EF151" i="49"/>
  <c r="ED184" i="49"/>
  <c r="EE184" i="49"/>
  <c r="EF184" i="49"/>
  <c r="ED461" i="49"/>
  <c r="EE461" i="49"/>
  <c r="EF461" i="49"/>
  <c r="ED78" i="49"/>
  <c r="EE78" i="49"/>
  <c r="EF78" i="49"/>
  <c r="ED84" i="49"/>
  <c r="EE84" i="49"/>
  <c r="EF84" i="49"/>
  <c r="ED210" i="49"/>
  <c r="EE210" i="49"/>
  <c r="EF210" i="49"/>
  <c r="ED408" i="49"/>
  <c r="EE408" i="49"/>
  <c r="EF408" i="49"/>
  <c r="ED99" i="49"/>
  <c r="EE99" i="49"/>
  <c r="EF99" i="49"/>
  <c r="ED221" i="49"/>
  <c r="EE221" i="49"/>
  <c r="EF221" i="49"/>
  <c r="ED339" i="49"/>
  <c r="EE339" i="49"/>
  <c r="EF339" i="49"/>
  <c r="ED272" i="49"/>
  <c r="EE272" i="49"/>
  <c r="EF272" i="49"/>
  <c r="ED250" i="49"/>
  <c r="EE250" i="49"/>
  <c r="EF250" i="49"/>
  <c r="ED197" i="49"/>
  <c r="EE197" i="49"/>
  <c r="EF197" i="49"/>
  <c r="ED41" i="49"/>
  <c r="EE41" i="49"/>
  <c r="EF41" i="49"/>
  <c r="ED239" i="49"/>
  <c r="EE239" i="49"/>
  <c r="EF239" i="49"/>
  <c r="ED68" i="49"/>
  <c r="EE68" i="49"/>
  <c r="EF68" i="49"/>
  <c r="ED375" i="49"/>
  <c r="EE375" i="49"/>
  <c r="EF375" i="49"/>
  <c r="ED168" i="49"/>
  <c r="EE168" i="49"/>
  <c r="EF168" i="49"/>
  <c r="ED476" i="49"/>
  <c r="EE476" i="49"/>
  <c r="EF476" i="49"/>
  <c r="ED14" i="49"/>
  <c r="EE14" i="49"/>
  <c r="EF14" i="49"/>
  <c r="ED15" i="49"/>
  <c r="EE15" i="49"/>
  <c r="EF15" i="49"/>
  <c r="ED235" i="49"/>
  <c r="EE235" i="49"/>
  <c r="EF235" i="49"/>
  <c r="ED7" i="49"/>
  <c r="EE7" i="49"/>
  <c r="EF7" i="49"/>
  <c r="ED79" i="49"/>
  <c r="EE79" i="49"/>
  <c r="EF79" i="49"/>
  <c r="ED232" i="49"/>
  <c r="EE232" i="49"/>
  <c r="EF232" i="49"/>
  <c r="ED337" i="49"/>
  <c r="EE337" i="49"/>
  <c r="EF337" i="49"/>
  <c r="ED234" i="49"/>
  <c r="EE234" i="49"/>
  <c r="EF234" i="49"/>
  <c r="ED324" i="49"/>
  <c r="EE324" i="49"/>
  <c r="EF324" i="49"/>
  <c r="ED16" i="49"/>
  <c r="EE16" i="49"/>
  <c r="EF16" i="49"/>
  <c r="ED487" i="49"/>
  <c r="EE487" i="49"/>
  <c r="EF487" i="49"/>
  <c r="ED331" i="49"/>
  <c r="EE331" i="49"/>
  <c r="EF331" i="49"/>
  <c r="ED248" i="49"/>
  <c r="EE248" i="49"/>
  <c r="EF248" i="49"/>
  <c r="ED486" i="49"/>
  <c r="EE486" i="49"/>
  <c r="EF486" i="49"/>
  <c r="ED350" i="49"/>
  <c r="EE350" i="49"/>
  <c r="EF350" i="49"/>
  <c r="ED150" i="49"/>
  <c r="EE150" i="49"/>
  <c r="EF150" i="49"/>
  <c r="ED106" i="49"/>
  <c r="EE106" i="49"/>
  <c r="EF106" i="49"/>
  <c r="ED328" i="49"/>
  <c r="EE328" i="49"/>
  <c r="EF328" i="49"/>
  <c r="ED245" i="49"/>
  <c r="EE245" i="49"/>
  <c r="EF245" i="49"/>
  <c r="ED367" i="49"/>
  <c r="EE367" i="49"/>
  <c r="EF367" i="49"/>
  <c r="ED389" i="49"/>
  <c r="EE389" i="49"/>
  <c r="EF389" i="49"/>
  <c r="ED311" i="49"/>
  <c r="EE311" i="49"/>
  <c r="EF311" i="49"/>
  <c r="ED336" i="49"/>
  <c r="EE336" i="49"/>
  <c r="EF336" i="49"/>
  <c r="ED173" i="49"/>
  <c r="EE173" i="49"/>
  <c r="EF173" i="49"/>
  <c r="ED69" i="49"/>
  <c r="EE69" i="49"/>
  <c r="EF69" i="49"/>
  <c r="ED66" i="49"/>
  <c r="EE66" i="49"/>
  <c r="EF66" i="49"/>
  <c r="ED233" i="49"/>
  <c r="EE233" i="49"/>
  <c r="EF233" i="49"/>
  <c r="ED498" i="49"/>
  <c r="EE498" i="49"/>
  <c r="EF498" i="49"/>
  <c r="ED196" i="49"/>
  <c r="EE196" i="49"/>
  <c r="EF196" i="49"/>
  <c r="ED357" i="49"/>
  <c r="EE357" i="49"/>
  <c r="EF357" i="49"/>
  <c r="ED491" i="49"/>
  <c r="EE491" i="49"/>
  <c r="EF491" i="49"/>
  <c r="ED188" i="49"/>
  <c r="EE188" i="49"/>
  <c r="EF188" i="49"/>
  <c r="ED369" i="49"/>
  <c r="EE369" i="49"/>
  <c r="EF369" i="49"/>
  <c r="ED307" i="49"/>
  <c r="EE307" i="49"/>
  <c r="EF307" i="49"/>
  <c r="ED456" i="49"/>
  <c r="EE456" i="49"/>
  <c r="EF456" i="49"/>
  <c r="ED286" i="49"/>
  <c r="EE286" i="49"/>
  <c r="EF286" i="49"/>
  <c r="ED214" i="49"/>
  <c r="EE214" i="49"/>
  <c r="EF214" i="49"/>
  <c r="ED386" i="49"/>
  <c r="EE386" i="49"/>
  <c r="EF386" i="49"/>
  <c r="ED80" i="49"/>
  <c r="EE80" i="49"/>
  <c r="EF80" i="49"/>
  <c r="ED30" i="49"/>
  <c r="EE30" i="49"/>
  <c r="EF30" i="49"/>
  <c r="ED335" i="49"/>
  <c r="EE335" i="49"/>
  <c r="EF335" i="49"/>
  <c r="ED340" i="49"/>
  <c r="EE340" i="49"/>
  <c r="EF340" i="49"/>
  <c r="ED394" i="49"/>
  <c r="EE394" i="49"/>
  <c r="EF394" i="49"/>
  <c r="ED215" i="49"/>
  <c r="EE215" i="49"/>
  <c r="EF215" i="49"/>
  <c r="ED356" i="49"/>
  <c r="EE356" i="49"/>
  <c r="EF356" i="49"/>
  <c r="ED89" i="49"/>
  <c r="EE89" i="49"/>
  <c r="EF89" i="49"/>
  <c r="ED458" i="49"/>
  <c r="EE458" i="49"/>
  <c r="EF458" i="49"/>
  <c r="ED29" i="49"/>
  <c r="EE29" i="49"/>
  <c r="EF29" i="49"/>
  <c r="ED405" i="49"/>
  <c r="EE405" i="49"/>
  <c r="EF405" i="49"/>
  <c r="ED19" i="49"/>
  <c r="EE19" i="49"/>
  <c r="EF19" i="49"/>
  <c r="ED113" i="49"/>
  <c r="EE113" i="49"/>
  <c r="EF113" i="49"/>
  <c r="ED437" i="49"/>
  <c r="EE437" i="49"/>
  <c r="EF437" i="49"/>
  <c r="ED353" i="49"/>
  <c r="EE353" i="49"/>
  <c r="EF353" i="49"/>
  <c r="ED141" i="49"/>
  <c r="EE141" i="49"/>
  <c r="EF141" i="49"/>
  <c r="ED121" i="49"/>
  <c r="EE121" i="49"/>
  <c r="EF121" i="49"/>
  <c r="ED349" i="49"/>
  <c r="EE349" i="49"/>
  <c r="EF349" i="49"/>
  <c r="ED207" i="49"/>
  <c r="EE207" i="49"/>
  <c r="EF207" i="49"/>
  <c r="ED315" i="49"/>
  <c r="EE315" i="49"/>
  <c r="EF315" i="49"/>
  <c r="ED127" i="49"/>
  <c r="EE127" i="49"/>
  <c r="EF127" i="49"/>
  <c r="ED381" i="49"/>
  <c r="EE381" i="49"/>
  <c r="EF381" i="49"/>
  <c r="ED82" i="49"/>
  <c r="EE82" i="49"/>
  <c r="EF82" i="49"/>
  <c r="ED415" i="49"/>
  <c r="EE415" i="49"/>
  <c r="EF415" i="49"/>
  <c r="ED385" i="49"/>
  <c r="EE385" i="49"/>
  <c r="EF385" i="49"/>
  <c r="ED325" i="49"/>
  <c r="EE325" i="49"/>
  <c r="EF325" i="49"/>
  <c r="ED265" i="49"/>
  <c r="EE265" i="49"/>
  <c r="EF265" i="49"/>
  <c r="ED417" i="49"/>
  <c r="EE417" i="49"/>
  <c r="EF417" i="49"/>
  <c r="ED100" i="49"/>
  <c r="EE100" i="49"/>
  <c r="EF100" i="49"/>
  <c r="ED310" i="49"/>
  <c r="EE310" i="49"/>
  <c r="EF310" i="49"/>
  <c r="ED177" i="49"/>
  <c r="EE177" i="49"/>
  <c r="EF177" i="49"/>
  <c r="ED287" i="49"/>
  <c r="EE287" i="49"/>
  <c r="EF287" i="49"/>
  <c r="ED471" i="49"/>
  <c r="EE471" i="49"/>
  <c r="EF471" i="49"/>
  <c r="ED281" i="49"/>
  <c r="EE281" i="49"/>
  <c r="EF281" i="49"/>
  <c r="ED86" i="49"/>
  <c r="EE86" i="49"/>
  <c r="EF86" i="49"/>
  <c r="ED34" i="49"/>
  <c r="EE34" i="49"/>
  <c r="EF34" i="49"/>
  <c r="ED112" i="49"/>
  <c r="EE112" i="49"/>
  <c r="EF112" i="49"/>
  <c r="ED294" i="49"/>
  <c r="EE294" i="49"/>
  <c r="EF294" i="49"/>
  <c r="ED23" i="49"/>
  <c r="EE23" i="49"/>
  <c r="EF23" i="49"/>
  <c r="ED314" i="49"/>
  <c r="EE314" i="49"/>
  <c r="EF314" i="49"/>
  <c r="ED371" i="49"/>
  <c r="EE371" i="49"/>
  <c r="EF371" i="49"/>
  <c r="ED45" i="49"/>
  <c r="EE45" i="49"/>
  <c r="EF45" i="49"/>
  <c r="ED378" i="49"/>
  <c r="EE378" i="49"/>
  <c r="EF378" i="49"/>
  <c r="ED98" i="49"/>
  <c r="EE98" i="49"/>
  <c r="EF98" i="49"/>
  <c r="ED490" i="49"/>
  <c r="EE490" i="49"/>
  <c r="EF490" i="49"/>
  <c r="ED67" i="49"/>
  <c r="EE67" i="49"/>
  <c r="EF67" i="49"/>
  <c r="ED379" i="49"/>
  <c r="EE379" i="49"/>
  <c r="EF379" i="49"/>
  <c r="ED327" i="49"/>
  <c r="EE327" i="49"/>
  <c r="EF327" i="49"/>
  <c r="ED277" i="49"/>
  <c r="EE277" i="49"/>
  <c r="EF277" i="49"/>
  <c r="ED25" i="49"/>
  <c r="EE25" i="49"/>
  <c r="EF25" i="49"/>
  <c r="ED209" i="49"/>
  <c r="EE209" i="49"/>
  <c r="EF209" i="49"/>
  <c r="ED392" i="49"/>
  <c r="EE392" i="49"/>
  <c r="EF392" i="49"/>
  <c r="ED275" i="49"/>
  <c r="EE275" i="49"/>
  <c r="EF275" i="49"/>
  <c r="ED341" i="49"/>
  <c r="EE341" i="49"/>
  <c r="EF341" i="49"/>
  <c r="ED257" i="49"/>
  <c r="EE257" i="49"/>
  <c r="EF257" i="49"/>
  <c r="ED388" i="49"/>
  <c r="EE388" i="49"/>
  <c r="EF388" i="49"/>
  <c r="ED304" i="49"/>
  <c r="EE304" i="49"/>
  <c r="EF304" i="49"/>
  <c r="ED17" i="49"/>
  <c r="EE17" i="49"/>
  <c r="EF17" i="49"/>
  <c r="ED38" i="49"/>
  <c r="EE38" i="49"/>
  <c r="EF38" i="49"/>
  <c r="ED338" i="49"/>
  <c r="EE338" i="49"/>
  <c r="EF338" i="49"/>
  <c r="ED182" i="49"/>
  <c r="EE182" i="49"/>
  <c r="EF182" i="49"/>
  <c r="ED222" i="49"/>
  <c r="EE222" i="49"/>
  <c r="EF222" i="49"/>
  <c r="ED227" i="49"/>
  <c r="EE227" i="49"/>
  <c r="EF227" i="49"/>
  <c r="ED76" i="49"/>
  <c r="EE76" i="49"/>
  <c r="EF76" i="49"/>
  <c r="ED26" i="49"/>
  <c r="EE26" i="49"/>
  <c r="EF26" i="49"/>
  <c r="ED292" i="49"/>
  <c r="EE292" i="49"/>
  <c r="EF292" i="49"/>
  <c r="ED313" i="49"/>
  <c r="EE313" i="49"/>
  <c r="EF313" i="49"/>
  <c r="ED81" i="49"/>
  <c r="EE81" i="49"/>
  <c r="EF81" i="49"/>
  <c r="ED351" i="49"/>
  <c r="EE351" i="49"/>
  <c r="EF351" i="49"/>
  <c r="ED123" i="49"/>
  <c r="EE123" i="49"/>
  <c r="EF123" i="49"/>
  <c r="ED326" i="49"/>
  <c r="EE326" i="49"/>
  <c r="EF326" i="49"/>
  <c r="ED32" i="49"/>
  <c r="EE32" i="49"/>
  <c r="EF32" i="49"/>
  <c r="ED116" i="49"/>
  <c r="EE116" i="49"/>
  <c r="EF116" i="49"/>
  <c r="ED139" i="49"/>
  <c r="EE139" i="49"/>
  <c r="EF139" i="49"/>
  <c r="ED455" i="49"/>
  <c r="EE455" i="49"/>
  <c r="EF455" i="49"/>
  <c r="ED103" i="49"/>
  <c r="EE103" i="49"/>
  <c r="EF103" i="49"/>
  <c r="ED352" i="49"/>
  <c r="EE352" i="49"/>
  <c r="EF352" i="49"/>
  <c r="ED334" i="49"/>
  <c r="EE334" i="49"/>
  <c r="EF334" i="49"/>
  <c r="ED59" i="49"/>
  <c r="EE59" i="49"/>
  <c r="EF59" i="49"/>
  <c r="ED217" i="49"/>
  <c r="EE217" i="49"/>
  <c r="EF217" i="49"/>
  <c r="ED373" i="49"/>
  <c r="EE373" i="49"/>
  <c r="EF373" i="49"/>
  <c r="ED206" i="49"/>
  <c r="EE206" i="49"/>
  <c r="EF206" i="49"/>
  <c r="ED414" i="49"/>
  <c r="EE414" i="49"/>
  <c r="EF414" i="49"/>
  <c r="ED319" i="49"/>
  <c r="EE319" i="49"/>
  <c r="EF319" i="49"/>
  <c r="ED160" i="49"/>
  <c r="EE160" i="49"/>
  <c r="EF160" i="49"/>
  <c r="ED44" i="49"/>
  <c r="EE44" i="49"/>
  <c r="EF44" i="49"/>
  <c r="ED454" i="49"/>
  <c r="EE454" i="49"/>
  <c r="EF454" i="49"/>
  <c r="ED424" i="49"/>
  <c r="EE424" i="49"/>
  <c r="EF424" i="49"/>
  <c r="ED433" i="49"/>
  <c r="EE433" i="49"/>
  <c r="EF433" i="49"/>
  <c r="ED470" i="49"/>
  <c r="EE470" i="49"/>
  <c r="EF470" i="49"/>
  <c r="ED449" i="49"/>
  <c r="EE449" i="49"/>
  <c r="EF449" i="49"/>
  <c r="ED273" i="49"/>
  <c r="EE273" i="49"/>
  <c r="EF273" i="49"/>
  <c r="ED473" i="49"/>
  <c r="EE473" i="49"/>
  <c r="EF473" i="49"/>
  <c r="ED482" i="49"/>
  <c r="EE482" i="49"/>
  <c r="EF482" i="49"/>
  <c r="ED411" i="49"/>
  <c r="EE411" i="49"/>
  <c r="EF411" i="49"/>
  <c r="ED198" i="49"/>
  <c r="EE198" i="49"/>
  <c r="EF198" i="49"/>
  <c r="ED321" i="49"/>
  <c r="EE321" i="49"/>
  <c r="EF321" i="49"/>
  <c r="ED384" i="49"/>
  <c r="EE384" i="49"/>
  <c r="EF384" i="49"/>
  <c r="ED135" i="49"/>
  <c r="EE135" i="49"/>
  <c r="EF135" i="49"/>
  <c r="ED464" i="49"/>
  <c r="EE464" i="49"/>
  <c r="EF464" i="49"/>
  <c r="ED170" i="49"/>
  <c r="EE170" i="49"/>
  <c r="EF170" i="49"/>
  <c r="ED94" i="49"/>
  <c r="EE94" i="49"/>
  <c r="EF94" i="49"/>
  <c r="ED22" i="49"/>
  <c r="EE22" i="49"/>
  <c r="EF22" i="49"/>
  <c r="ED48" i="49"/>
  <c r="EE48" i="49"/>
  <c r="EF48" i="49"/>
  <c r="ED452" i="49"/>
  <c r="EE452" i="49"/>
  <c r="EF452" i="49"/>
  <c r="ED122" i="49"/>
  <c r="EE122" i="49"/>
  <c r="EF122" i="49"/>
  <c r="ED186" i="49"/>
  <c r="EE186" i="49"/>
  <c r="EF186" i="49"/>
  <c r="ED448" i="49"/>
  <c r="EE448" i="49"/>
  <c r="EF448" i="49"/>
  <c r="ED47" i="49"/>
  <c r="EE47" i="49"/>
  <c r="EF47" i="49"/>
  <c r="ED159" i="49"/>
  <c r="EE159" i="49"/>
  <c r="EF159" i="49"/>
  <c r="ED420" i="49"/>
  <c r="EE420" i="49"/>
  <c r="EF420" i="49"/>
  <c r="ED422" i="49"/>
  <c r="EE422" i="49"/>
  <c r="EF422" i="49"/>
  <c r="ED138" i="49"/>
  <c r="EE138" i="49"/>
  <c r="EF138" i="49"/>
  <c r="ED467" i="49"/>
  <c r="EE467" i="49"/>
  <c r="EF467" i="49"/>
  <c r="ED13" i="49"/>
  <c r="EE13" i="49"/>
  <c r="EF13" i="49"/>
  <c r="ED111" i="49"/>
  <c r="EE111" i="49"/>
  <c r="EF111" i="49"/>
  <c r="ED202" i="49"/>
  <c r="EE202" i="49"/>
  <c r="EF202" i="49"/>
  <c r="ED258" i="49"/>
  <c r="EE258" i="49"/>
  <c r="EF258" i="49"/>
  <c r="ED296" i="49"/>
  <c r="EE296" i="49"/>
  <c r="EF296" i="49"/>
  <c r="ED179" i="49"/>
  <c r="EE179" i="49"/>
  <c r="EF179" i="49"/>
  <c r="ED267" i="49"/>
  <c r="EE267" i="49"/>
  <c r="EF267" i="49"/>
  <c r="ED185" i="49"/>
  <c r="EE185" i="49"/>
  <c r="EF185" i="49"/>
  <c r="ED477" i="49"/>
  <c r="EE477" i="49"/>
  <c r="EF477" i="49"/>
  <c r="ED164" i="49"/>
  <c r="EE164" i="49"/>
  <c r="EF164" i="49"/>
  <c r="ED143" i="49"/>
  <c r="EE143" i="49"/>
  <c r="EF143" i="49"/>
  <c r="ED50" i="49"/>
  <c r="EE50" i="49"/>
  <c r="EF50" i="49"/>
  <c r="ED27" i="49"/>
  <c r="EE27" i="49"/>
  <c r="EF27" i="49"/>
  <c r="ED157" i="49"/>
  <c r="EE157" i="49"/>
  <c r="EF157" i="49"/>
  <c r="ED425" i="49"/>
  <c r="EE425" i="49"/>
  <c r="EF425" i="49"/>
  <c r="ED145" i="49"/>
  <c r="EE145" i="49"/>
  <c r="EF145" i="49"/>
  <c r="ED485" i="49"/>
  <c r="EE485" i="49"/>
  <c r="EF485" i="49"/>
  <c r="ED282" i="49"/>
  <c r="EE282" i="49"/>
  <c r="EF282" i="49"/>
  <c r="ED51" i="49"/>
  <c r="EE51" i="49"/>
  <c r="EF51" i="49"/>
  <c r="ED284" i="49"/>
  <c r="EE284" i="49"/>
  <c r="EF284" i="49"/>
  <c r="ED395" i="49"/>
  <c r="EE395" i="49"/>
  <c r="EF395" i="49"/>
  <c r="ED126" i="49"/>
  <c r="EE126" i="49"/>
  <c r="EF126" i="49"/>
  <c r="ED270" i="49"/>
  <c r="EE270" i="49"/>
  <c r="EF270" i="49"/>
  <c r="ED93" i="49"/>
  <c r="EE93" i="49"/>
  <c r="EF93" i="49"/>
  <c r="ED268" i="49"/>
  <c r="EE268" i="49"/>
  <c r="EF268" i="49"/>
  <c r="ED430" i="49"/>
  <c r="EE430" i="49"/>
  <c r="EF430" i="49"/>
  <c r="ED266" i="49"/>
  <c r="EE266" i="49"/>
  <c r="EF266" i="49"/>
  <c r="ED364" i="49"/>
  <c r="EE364" i="49"/>
  <c r="EF364" i="49"/>
  <c r="ED329" i="49"/>
  <c r="EE329" i="49"/>
  <c r="EF329" i="49"/>
  <c r="ED52" i="49"/>
  <c r="EE52" i="49"/>
  <c r="EF52" i="49"/>
  <c r="ED58" i="49"/>
  <c r="EE58" i="49"/>
  <c r="EF58" i="49"/>
  <c r="ED180" i="49"/>
  <c r="EE180" i="49"/>
  <c r="EF180" i="49"/>
  <c r="ED390" i="49"/>
  <c r="EE390" i="49"/>
  <c r="EF390" i="49"/>
  <c r="ED176" i="49"/>
  <c r="EE176" i="49"/>
  <c r="EF176" i="49"/>
  <c r="ED306" i="49"/>
  <c r="EE306" i="49"/>
  <c r="EF306" i="49"/>
  <c r="ED129" i="49"/>
  <c r="EE129" i="49"/>
  <c r="EF129" i="49"/>
  <c r="ED21" i="49"/>
  <c r="EE21" i="49"/>
  <c r="EF21" i="49"/>
  <c r="ED278" i="49"/>
  <c r="EE278" i="49"/>
  <c r="EF278" i="49"/>
  <c r="ED228" i="49"/>
  <c r="EE228" i="49"/>
  <c r="EF228" i="49"/>
  <c r="ED342" i="49"/>
  <c r="EE342" i="49"/>
  <c r="EF342" i="49"/>
  <c r="ED293" i="49"/>
  <c r="EE293" i="49"/>
  <c r="EF293" i="49"/>
  <c r="ED246" i="49"/>
  <c r="EE246" i="49"/>
  <c r="EF246" i="49"/>
  <c r="ED55" i="49"/>
  <c r="EE55" i="49"/>
  <c r="EF55" i="49"/>
  <c r="ED320" i="49"/>
  <c r="EE320" i="49"/>
  <c r="EF320" i="49"/>
  <c r="ED75" i="49"/>
  <c r="EE75" i="49"/>
  <c r="EF75" i="49"/>
  <c r="ED242" i="49"/>
  <c r="EE242" i="49"/>
  <c r="EF242" i="49"/>
  <c r="ED97" i="49"/>
  <c r="EE97" i="49"/>
  <c r="EF97" i="49"/>
  <c r="ED189" i="49"/>
  <c r="EE189" i="49"/>
  <c r="EF189" i="49"/>
  <c r="ED102" i="49"/>
  <c r="EE102" i="49"/>
  <c r="EF102" i="49"/>
  <c r="ED42" i="49"/>
  <c r="EE42" i="49"/>
  <c r="EF42" i="49"/>
  <c r="ED382" i="49"/>
  <c r="EE382" i="49"/>
  <c r="EF382" i="49"/>
  <c r="ED492" i="49"/>
  <c r="EE492" i="49"/>
  <c r="EF492" i="49"/>
  <c r="ED8" i="49"/>
  <c r="EE8" i="49"/>
  <c r="EF8" i="49"/>
  <c r="ED489" i="49"/>
  <c r="EE489" i="49"/>
  <c r="EF489" i="49"/>
  <c r="ED153" i="49"/>
  <c r="EE153" i="49"/>
  <c r="EF153" i="49"/>
  <c r="ED96" i="49"/>
  <c r="EE96" i="49"/>
  <c r="EF96" i="49"/>
  <c r="ED124" i="49"/>
  <c r="EE124" i="49"/>
  <c r="EF124" i="49"/>
  <c r="ED175" i="49"/>
  <c r="EE175" i="49"/>
  <c r="EF175" i="49"/>
  <c r="ED493" i="49"/>
  <c r="EE493" i="49"/>
  <c r="EF493" i="49"/>
  <c r="ED62" i="49"/>
  <c r="EE62" i="49"/>
  <c r="EF62" i="49"/>
  <c r="ED259" i="49"/>
  <c r="EE259" i="49"/>
  <c r="EF259" i="49"/>
  <c r="ED192" i="49"/>
  <c r="EE192" i="49"/>
  <c r="EF192" i="49"/>
  <c r="ED172" i="49"/>
  <c r="EE172" i="49"/>
  <c r="EF172" i="49"/>
  <c r="ED225" i="49"/>
  <c r="EE225" i="49"/>
  <c r="EF225" i="49"/>
  <c r="ED465" i="49"/>
  <c r="EE465" i="49"/>
  <c r="EF465" i="49"/>
  <c r="ED435" i="49"/>
  <c r="EE435" i="49"/>
  <c r="EF435" i="49"/>
  <c r="ED91" i="49"/>
  <c r="EE91" i="49"/>
  <c r="EF91" i="49"/>
  <c r="ED496" i="49"/>
  <c r="EE496" i="49"/>
  <c r="EF496" i="49"/>
  <c r="ED74" i="49"/>
  <c r="EE74" i="49"/>
  <c r="EF74" i="49"/>
  <c r="ED440" i="49"/>
  <c r="EE440" i="49"/>
  <c r="EF440" i="49"/>
  <c r="ED459" i="49"/>
  <c r="EE459" i="49"/>
  <c r="EF459" i="49"/>
  <c r="ED199" i="49"/>
  <c r="EE199" i="49"/>
  <c r="EF199" i="49"/>
  <c r="ED432" i="49"/>
  <c r="EE432" i="49"/>
  <c r="EF432" i="49"/>
  <c r="ED155" i="49"/>
  <c r="EE155" i="49"/>
  <c r="EF155" i="49"/>
  <c r="ED401" i="49"/>
  <c r="EE401" i="49"/>
  <c r="EF401" i="49"/>
  <c r="ED166" i="49"/>
  <c r="EE166" i="49"/>
  <c r="EF166" i="49"/>
  <c r="ED115" i="49"/>
  <c r="EE115" i="49"/>
  <c r="EF115" i="49"/>
  <c r="ED276" i="49"/>
  <c r="EE276" i="49"/>
  <c r="EF276" i="49"/>
  <c r="ED450" i="49"/>
  <c r="EE450" i="49"/>
  <c r="EF450" i="49"/>
  <c r="ED374" i="49"/>
  <c r="EE374" i="49"/>
  <c r="EF374" i="49"/>
  <c r="ED370" i="49"/>
  <c r="EE370" i="49"/>
  <c r="EF370" i="49"/>
  <c r="ED260" i="49"/>
  <c r="EE260" i="49"/>
  <c r="EF260" i="49"/>
  <c r="ED308" i="49"/>
  <c r="EE308" i="49"/>
  <c r="EF308" i="49"/>
  <c r="ED53" i="49"/>
  <c r="EE53" i="49"/>
  <c r="EF53" i="49"/>
  <c r="ED393" i="49"/>
  <c r="EE393" i="49"/>
  <c r="EF393" i="49"/>
  <c r="ED290" i="49"/>
  <c r="EE290" i="49"/>
  <c r="EF290" i="49"/>
  <c r="ED431" i="49"/>
  <c r="EE431" i="49"/>
  <c r="EF431" i="49"/>
  <c r="ED300" i="49"/>
  <c r="EE300" i="49"/>
  <c r="EF300" i="49"/>
  <c r="ED305" i="49"/>
  <c r="EE305" i="49"/>
  <c r="EF305" i="49"/>
  <c r="ED410" i="49"/>
  <c r="EE410" i="49"/>
  <c r="EF410" i="49"/>
  <c r="ED412" i="49"/>
  <c r="EE412" i="49"/>
  <c r="EF412" i="49"/>
  <c r="ED85" i="49"/>
  <c r="EE85" i="49"/>
  <c r="EF85" i="49"/>
  <c r="ED247" i="49"/>
  <c r="EE247" i="49"/>
  <c r="EF247" i="49"/>
  <c r="ED359" i="49"/>
  <c r="EE359" i="49"/>
  <c r="EF359" i="49"/>
  <c r="ED72" i="49"/>
  <c r="EE72" i="49"/>
  <c r="EF72" i="49"/>
  <c r="ED380" i="49"/>
  <c r="EE380" i="49"/>
  <c r="EF380" i="49"/>
  <c r="ED148" i="49"/>
  <c r="EE148" i="49"/>
  <c r="EF148" i="49"/>
  <c r="ED358" i="49"/>
  <c r="EE358" i="49"/>
  <c r="EF358" i="49"/>
  <c r="ED297" i="49"/>
  <c r="EE297" i="49"/>
  <c r="EF297" i="49"/>
  <c r="ED220" i="49"/>
  <c r="EE220" i="49"/>
  <c r="EF220" i="49"/>
  <c r="ED460" i="49"/>
  <c r="EE460" i="49"/>
  <c r="EF460" i="49"/>
  <c r="ED24" i="49"/>
  <c r="EE24" i="49"/>
  <c r="EF24" i="49"/>
  <c r="ED289" i="49"/>
  <c r="EE289" i="49"/>
  <c r="EF289" i="49"/>
  <c r="ED92" i="49"/>
  <c r="EE92" i="49"/>
  <c r="EF92" i="49"/>
  <c r="ED332" i="49"/>
  <c r="EE332" i="49"/>
  <c r="EF332" i="49"/>
  <c r="ED71" i="49"/>
  <c r="EE71" i="49"/>
  <c r="EF71" i="49"/>
  <c r="ED144" i="49"/>
  <c r="EE144" i="49"/>
  <c r="EF144" i="49"/>
  <c r="ED262" i="49"/>
  <c r="EE262" i="49"/>
  <c r="EF262" i="49"/>
  <c r="ED63" i="49"/>
  <c r="EE63" i="49"/>
  <c r="EF63" i="49"/>
  <c r="ED200" i="49"/>
  <c r="EE200" i="49"/>
  <c r="EF200" i="49"/>
  <c r="ED128" i="49"/>
  <c r="EE128" i="49"/>
  <c r="EF128" i="49"/>
  <c r="ED302" i="49"/>
  <c r="EE302" i="49"/>
  <c r="EF302" i="49"/>
  <c r="ED178" i="49"/>
  <c r="EE178" i="49"/>
  <c r="EF178" i="49"/>
  <c r="ED43" i="49"/>
  <c r="EE43" i="49"/>
  <c r="EF43" i="49"/>
  <c r="ED348" i="49"/>
  <c r="EE348" i="49"/>
  <c r="EF348" i="49"/>
  <c r="ED283" i="49"/>
  <c r="EE283" i="49"/>
  <c r="EF283" i="49"/>
  <c r="ED419" i="49"/>
  <c r="EE419" i="49"/>
  <c r="EF419" i="49"/>
  <c r="ED213" i="49"/>
  <c r="EE213" i="49"/>
  <c r="EF213" i="49"/>
  <c r="ED298" i="49"/>
  <c r="EE298" i="49"/>
  <c r="EF298" i="49"/>
  <c r="ED403" i="49"/>
  <c r="EE403" i="49"/>
  <c r="EF403" i="49"/>
  <c r="ED240" i="49"/>
  <c r="EE240" i="49"/>
  <c r="EF240" i="49"/>
  <c r="ED318" i="49"/>
  <c r="EE318" i="49"/>
  <c r="EF318" i="49"/>
  <c r="ED56" i="49"/>
  <c r="EE56" i="49"/>
  <c r="EF56" i="49"/>
  <c r="ED303" i="49"/>
  <c r="EE303" i="49"/>
  <c r="EF303" i="49"/>
  <c r="ED361" i="49"/>
  <c r="EE361" i="49"/>
  <c r="EF361" i="49"/>
  <c r="ED466" i="49"/>
  <c r="EE466" i="49"/>
  <c r="EF466" i="49"/>
  <c r="ED404" i="49"/>
  <c r="EE404" i="49"/>
  <c r="EF404" i="49"/>
  <c r="ED146" i="49"/>
  <c r="EE146" i="49"/>
  <c r="EF146" i="49"/>
  <c r="ED396" i="49"/>
  <c r="EE396" i="49"/>
  <c r="EF396" i="49"/>
  <c r="ED360" i="49"/>
  <c r="EE360" i="49"/>
  <c r="EF360" i="49"/>
  <c r="ED236" i="49"/>
  <c r="EE236" i="49"/>
  <c r="EF236" i="49"/>
  <c r="ED469" i="49"/>
  <c r="EE469" i="49"/>
  <c r="EF469" i="49"/>
  <c r="ED136" i="49"/>
  <c r="EE136" i="49"/>
  <c r="EF136" i="49"/>
  <c r="ED120" i="49"/>
  <c r="EE120" i="49"/>
  <c r="EF120" i="49"/>
  <c r="ED407" i="49"/>
  <c r="EE407" i="49"/>
  <c r="EF407" i="49"/>
  <c r="ED442" i="49"/>
  <c r="EE442" i="49"/>
  <c r="EF442" i="49"/>
  <c r="ED254" i="49"/>
  <c r="EE254" i="49"/>
  <c r="EF254" i="49"/>
  <c r="ED174" i="49"/>
  <c r="EE174" i="49"/>
  <c r="EF174" i="49"/>
  <c r="ED163" i="49"/>
  <c r="EE163" i="49"/>
  <c r="EF163" i="49"/>
  <c r="ED400" i="49"/>
  <c r="EE400" i="49"/>
  <c r="EF400" i="49"/>
  <c r="ED484" i="49"/>
  <c r="EE484" i="49"/>
  <c r="EF484" i="49"/>
  <c r="ED28" i="49"/>
  <c r="EE28" i="49"/>
  <c r="EF28" i="49"/>
  <c r="ED229" i="49"/>
  <c r="EE229" i="49"/>
  <c r="EF229" i="49"/>
  <c r="ED413" i="49"/>
  <c r="EE413" i="49"/>
  <c r="EF413" i="49"/>
  <c r="ED333" i="49"/>
  <c r="EE333" i="49"/>
  <c r="EF333" i="49"/>
  <c r="ED443" i="49"/>
  <c r="EE443" i="49"/>
  <c r="EF443" i="49"/>
  <c r="ED142" i="49"/>
  <c r="EE142" i="49"/>
  <c r="EF142" i="49"/>
  <c r="ED416" i="49"/>
  <c r="EE416" i="49"/>
  <c r="EF416" i="49"/>
  <c r="ED87" i="49"/>
  <c r="EE87" i="49"/>
  <c r="EF87" i="49"/>
  <c r="ED49" i="49"/>
  <c r="EE49" i="49"/>
  <c r="EF49" i="49"/>
  <c r="ED64" i="49"/>
  <c r="EE64" i="49"/>
  <c r="EF64" i="49"/>
  <c r="ED462" i="49"/>
  <c r="EE462" i="49"/>
  <c r="EF462" i="49"/>
  <c r="ED438" i="49"/>
  <c r="EE438" i="49"/>
  <c r="EF438" i="49"/>
  <c r="ED149" i="49"/>
  <c r="EE149" i="49"/>
  <c r="EF149" i="49"/>
  <c r="ED249" i="49"/>
  <c r="EE249" i="49"/>
  <c r="EF249" i="49"/>
  <c r="ED285" i="49"/>
  <c r="EE285" i="49"/>
  <c r="EF285" i="49"/>
  <c r="ED399" i="49"/>
  <c r="EE399" i="49"/>
  <c r="EF399" i="49"/>
  <c r="ED446" i="49"/>
  <c r="EE446" i="49"/>
  <c r="EF446" i="49"/>
  <c r="ED264" i="49"/>
  <c r="EE264" i="49"/>
  <c r="EF264" i="49"/>
  <c r="ED212" i="49"/>
  <c r="EE212" i="49"/>
  <c r="EF212" i="49"/>
  <c r="ED444" i="49"/>
  <c r="EE444" i="49"/>
  <c r="EF444" i="49"/>
  <c r="ED110" i="49"/>
  <c r="EE110" i="49"/>
  <c r="EF110" i="49"/>
  <c r="ED73" i="49"/>
  <c r="EE73" i="49"/>
  <c r="EF73" i="49"/>
  <c r="ED355" i="49"/>
  <c r="EE355" i="49"/>
  <c r="EF355" i="49"/>
  <c r="ED132" i="49"/>
  <c r="EE132" i="49"/>
  <c r="EF132" i="49"/>
  <c r="ED368" i="49"/>
  <c r="EE368" i="49"/>
  <c r="EF368" i="49"/>
  <c r="ED372" i="49"/>
  <c r="EE372" i="49"/>
  <c r="EF372" i="49"/>
  <c r="ED475" i="49"/>
  <c r="EE475" i="49"/>
  <c r="EF475" i="49"/>
  <c r="ED231" i="49"/>
  <c r="EE231" i="49"/>
  <c r="EF231" i="49"/>
  <c r="ED480" i="49"/>
  <c r="EE480" i="49"/>
  <c r="EF480" i="49"/>
  <c r="ED436" i="49"/>
  <c r="EE436" i="49"/>
  <c r="EF436" i="49"/>
  <c r="ED362" i="49"/>
  <c r="EE362" i="49"/>
  <c r="EF362" i="49"/>
  <c r="ED376" i="49"/>
  <c r="EE376" i="49"/>
  <c r="EF376" i="49"/>
  <c r="ED468" i="49"/>
  <c r="EE468" i="49"/>
  <c r="EF468" i="49"/>
  <c r="ED345" i="49"/>
  <c r="EE345" i="49"/>
  <c r="EF345" i="49"/>
  <c r="ED391" i="49"/>
  <c r="EE391" i="49"/>
  <c r="EF391" i="49"/>
  <c r="ED190" i="49"/>
  <c r="EE190" i="49"/>
  <c r="EF190" i="49"/>
  <c r="ED9" i="49"/>
  <c r="EE9" i="49"/>
  <c r="EF9" i="49"/>
  <c r="ED33" i="49"/>
  <c r="EE33" i="49"/>
  <c r="EF33" i="49"/>
  <c r="ED488" i="49"/>
  <c r="EE488" i="49"/>
  <c r="EF488" i="49"/>
  <c r="ED134" i="49"/>
  <c r="EE134" i="49"/>
  <c r="EF134" i="49"/>
  <c r="ED208" i="49"/>
  <c r="EE208" i="49"/>
  <c r="EF208" i="49"/>
  <c r="ED398" i="49"/>
  <c r="EE398" i="49"/>
  <c r="EF398" i="49"/>
  <c r="ED427" i="49"/>
  <c r="EE427" i="49"/>
  <c r="EF427" i="49"/>
  <c r="ED434" i="49"/>
  <c r="EE434" i="49"/>
  <c r="EF434" i="49"/>
  <c r="ED299" i="49"/>
  <c r="EE299" i="49"/>
  <c r="EF299" i="49"/>
  <c r="ED347" i="49"/>
  <c r="EE347" i="49"/>
  <c r="EF347" i="49"/>
  <c r="ED418" i="49"/>
  <c r="EE418" i="49"/>
  <c r="EF418" i="49"/>
  <c r="ED453" i="49"/>
  <c r="EE453" i="49"/>
  <c r="EF453" i="49"/>
  <c r="ED39" i="49"/>
  <c r="EE39" i="49"/>
  <c r="EF39" i="49"/>
  <c r="ED402" i="49"/>
  <c r="EE402" i="49"/>
  <c r="EF402" i="49"/>
  <c r="ED241" i="49"/>
  <c r="EE241" i="49"/>
  <c r="EF241" i="49"/>
  <c r="ED65" i="49"/>
  <c r="EE65" i="49"/>
  <c r="EF65" i="49"/>
  <c r="ED253" i="49"/>
  <c r="EE253" i="49"/>
  <c r="EF253" i="49"/>
  <c r="ED109" i="49"/>
  <c r="EE109" i="49"/>
  <c r="EF109" i="49"/>
  <c r="EG203" i="49"/>
  <c r="EG204" i="49"/>
  <c r="EG253" i="49"/>
  <c r="EG39" i="49"/>
  <c r="EG208" i="49"/>
  <c r="EG65" i="49"/>
  <c r="EG453" i="49"/>
  <c r="EG434" i="49"/>
  <c r="EG134" i="49"/>
  <c r="EG190" i="49"/>
  <c r="EG376" i="49"/>
  <c r="EG231" i="49"/>
  <c r="EG132" i="49"/>
  <c r="EG444" i="49"/>
  <c r="EG399" i="49"/>
  <c r="EG438" i="49"/>
  <c r="EG87" i="49"/>
  <c r="EG333" i="49"/>
  <c r="EG484" i="49"/>
  <c r="EG254" i="49"/>
  <c r="EG136" i="49"/>
  <c r="EG396" i="49"/>
  <c r="EG361" i="49"/>
  <c r="EG240" i="49"/>
  <c r="EG419" i="49"/>
  <c r="EG178" i="49"/>
  <c r="EG63" i="49"/>
  <c r="EG332" i="49"/>
  <c r="EG460" i="49"/>
  <c r="EG148" i="49"/>
  <c r="EG247" i="49"/>
  <c r="EG305" i="49"/>
  <c r="EG393" i="49"/>
  <c r="EG370" i="49"/>
  <c r="EG115" i="49"/>
  <c r="EG432" i="49"/>
  <c r="EG74" i="49"/>
  <c r="EG465" i="49"/>
  <c r="EG259" i="49"/>
  <c r="EG124" i="49"/>
  <c r="EG8" i="49"/>
  <c r="EG102" i="49"/>
  <c r="EG75" i="49"/>
  <c r="EG293" i="49"/>
  <c r="EG21" i="49"/>
  <c r="EG390" i="49"/>
  <c r="EG329" i="49"/>
  <c r="EG268" i="49"/>
  <c r="EG395" i="49"/>
  <c r="EG485" i="49"/>
  <c r="EG27" i="49"/>
  <c r="EG477" i="49"/>
  <c r="EG296" i="49"/>
  <c r="EG13" i="49"/>
  <c r="EG420" i="49"/>
  <c r="EG186" i="49"/>
  <c r="EG22" i="49"/>
  <c r="EG135" i="49"/>
  <c r="EG411" i="49"/>
  <c r="EG449" i="49"/>
  <c r="EG454" i="49"/>
  <c r="EG414" i="49"/>
  <c r="EG59" i="49"/>
  <c r="EG455" i="49"/>
  <c r="EG326" i="49"/>
  <c r="EG313" i="49"/>
  <c r="EG227" i="49"/>
  <c r="EG38" i="49"/>
  <c r="EG257" i="49"/>
  <c r="EG209" i="49"/>
  <c r="EG379" i="49"/>
  <c r="EG378" i="49"/>
  <c r="EG23" i="49"/>
  <c r="EG86" i="49"/>
  <c r="EG177" i="49"/>
  <c r="EG265" i="49"/>
  <c r="EG82" i="49"/>
  <c r="EG207" i="49"/>
  <c r="EG353" i="49"/>
  <c r="EG405" i="49"/>
  <c r="EG356" i="49"/>
  <c r="EG335" i="49"/>
  <c r="EG214" i="49"/>
  <c r="EG369" i="49"/>
  <c r="EG196" i="49"/>
  <c r="EG69" i="49"/>
  <c r="EG389" i="49"/>
  <c r="EG106" i="49"/>
  <c r="EG248" i="49"/>
  <c r="EG324" i="49"/>
  <c r="EG79" i="49"/>
  <c r="EG14" i="49"/>
  <c r="EG68" i="49"/>
  <c r="EG250" i="49"/>
  <c r="EG99" i="49"/>
  <c r="EG78" i="49"/>
  <c r="EG274" i="49"/>
  <c r="EG301" i="49"/>
  <c r="EG18" i="49"/>
  <c r="EG57" i="49"/>
  <c r="EG156" i="49"/>
  <c r="EG316" i="49"/>
  <c r="EG457" i="49"/>
  <c r="EG162" i="49"/>
  <c r="EG365" i="49"/>
  <c r="EG70" i="49"/>
  <c r="EG171" i="49"/>
  <c r="EG472" i="49"/>
  <c r="EG161" i="49"/>
  <c r="EG216" i="49"/>
  <c r="EG194" i="49"/>
  <c r="EG271" i="49"/>
  <c r="EG237" i="49"/>
  <c r="EG317" i="49"/>
  <c r="EG309" i="49"/>
  <c r="EG133" i="49"/>
  <c r="EG187" i="49"/>
  <c r="EG312" i="49"/>
  <c r="EG125" i="49"/>
  <c r="EG481" i="49"/>
  <c r="EG205" i="49"/>
  <c r="EG478" i="49"/>
  <c r="EG244" i="49"/>
  <c r="EG269" i="49"/>
  <c r="EG387" i="49"/>
  <c r="EG37" i="49"/>
  <c r="EG117" i="49"/>
  <c r="EG418" i="49"/>
  <c r="EG488" i="49"/>
  <c r="EG391" i="49"/>
  <c r="EG362" i="49"/>
  <c r="EG475" i="49"/>
  <c r="EG355" i="49"/>
  <c r="EG212" i="49"/>
  <c r="EG285" i="49"/>
  <c r="EG462" i="49"/>
  <c r="EG416" i="49"/>
  <c r="EG413" i="49"/>
  <c r="EG400" i="49"/>
  <c r="EG442" i="49"/>
  <c r="EG469" i="49"/>
  <c r="EG146" i="49"/>
  <c r="EG303" i="49"/>
  <c r="EG403" i="49"/>
  <c r="EG283" i="49"/>
  <c r="EG302" i="49"/>
  <c r="EG262" i="49"/>
  <c r="EG92" i="49"/>
  <c r="EG220" i="49"/>
  <c r="EG380" i="49"/>
  <c r="EG85" i="49"/>
  <c r="EG300" i="49"/>
  <c r="EG53" i="49"/>
  <c r="EG374" i="49"/>
  <c r="EG166" i="49"/>
  <c r="EG199" i="49"/>
  <c r="EG496" i="49"/>
  <c r="EG225" i="49"/>
  <c r="EG62" i="49"/>
  <c r="EG96" i="49"/>
  <c r="EG492" i="49"/>
  <c r="EG189" i="49"/>
  <c r="EG320" i="49"/>
  <c r="EG342" i="49"/>
  <c r="EG129" i="49"/>
  <c r="EG180" i="49"/>
  <c r="EG364" i="49"/>
  <c r="EG93" i="49"/>
  <c r="EG284" i="49"/>
  <c r="EG145" i="49"/>
  <c r="EG50" i="49"/>
  <c r="EG185" i="49"/>
  <c r="EG258" i="49"/>
  <c r="EG467" i="49"/>
  <c r="EG159" i="49"/>
  <c r="EG122" i="49"/>
  <c r="EG94" i="49"/>
  <c r="EG384" i="49"/>
  <c r="EG482" i="49"/>
  <c r="EG470" i="49"/>
  <c r="EG44" i="49"/>
  <c r="EG206" i="49"/>
  <c r="EG334" i="49"/>
  <c r="EG139" i="49"/>
  <c r="EG123" i="49"/>
  <c r="EG292" i="49"/>
  <c r="EG222" i="49"/>
  <c r="EG17" i="49"/>
  <c r="EG341" i="49"/>
  <c r="EG25" i="49"/>
  <c r="EG67" i="49"/>
  <c r="EG45" i="49"/>
  <c r="EG294" i="49"/>
  <c r="EG281" i="49"/>
  <c r="EG310" i="49"/>
  <c r="EG325" i="49"/>
  <c r="EG381" i="49"/>
  <c r="EG349" i="49"/>
  <c r="EG437" i="49"/>
  <c r="EG29" i="49"/>
  <c r="EG215" i="49"/>
  <c r="EG30" i="49"/>
  <c r="EG286" i="49"/>
  <c r="EG188" i="49"/>
  <c r="EG498" i="49"/>
  <c r="EG173" i="49"/>
  <c r="EG367" i="49"/>
  <c r="EG150" i="49"/>
  <c r="EG331" i="49"/>
  <c r="EG234" i="49"/>
  <c r="EG7" i="49"/>
  <c r="EG476" i="49"/>
  <c r="EG239" i="49"/>
  <c r="EG272" i="49"/>
  <c r="EG408" i="49"/>
  <c r="EG461" i="49"/>
  <c r="EG406" i="49"/>
  <c r="EG295" i="49"/>
  <c r="EG383" i="49"/>
  <c r="EG193" i="49"/>
  <c r="EG409" i="49"/>
  <c r="EG147" i="49"/>
  <c r="EG195" i="49"/>
  <c r="EG191" i="49"/>
  <c r="EG88" i="49"/>
  <c r="EG223" i="49"/>
  <c r="EG447" i="49"/>
  <c r="EG40" i="49"/>
  <c r="EG366" i="49"/>
  <c r="EG12" i="49"/>
  <c r="EG226" i="49"/>
  <c r="EG263" i="49"/>
  <c r="EG323" i="49"/>
  <c r="EG61" i="49"/>
  <c r="EG181" i="49"/>
  <c r="EG441" i="49"/>
  <c r="EG83" i="49"/>
  <c r="EG322" i="49"/>
  <c r="EG20" i="49"/>
  <c r="EG31" i="49"/>
  <c r="EG105" i="49"/>
  <c r="EG261" i="49"/>
  <c r="EG104" i="49"/>
  <c r="EG421" i="49"/>
  <c r="EG344" i="49"/>
  <c r="EG114" i="49"/>
  <c r="EG479" i="49"/>
  <c r="EG241" i="49"/>
  <c r="EG427" i="49"/>
  <c r="EG109" i="49"/>
  <c r="EG402" i="49"/>
  <c r="EG347" i="49"/>
  <c r="EG398" i="49"/>
  <c r="EG33" i="49"/>
  <c r="EG345" i="49"/>
  <c r="EG436" i="49"/>
  <c r="EG372" i="49"/>
  <c r="EG73" i="49"/>
  <c r="EG264" i="49"/>
  <c r="EG249" i="49"/>
  <c r="EG64" i="49"/>
  <c r="EG142" i="49"/>
  <c r="EG229" i="49"/>
  <c r="EG163" i="49"/>
  <c r="EG407" i="49"/>
  <c r="EG236" i="49"/>
  <c r="EG404" i="49"/>
  <c r="EG56" i="49"/>
  <c r="EG298" i="49"/>
  <c r="EG348" i="49"/>
  <c r="EG128" i="49"/>
  <c r="EG144" i="49"/>
  <c r="EG289" i="49"/>
  <c r="EG297" i="49"/>
  <c r="EG72" i="49"/>
  <c r="EG412" i="49"/>
  <c r="EG431" i="49"/>
  <c r="EG308" i="49"/>
  <c r="EG450" i="49"/>
  <c r="EG401" i="49"/>
  <c r="EG459" i="49"/>
  <c r="EG91" i="49"/>
  <c r="EG172" i="49"/>
  <c r="EG493" i="49"/>
  <c r="EG153" i="49"/>
  <c r="EG382" i="49"/>
  <c r="EG97" i="49"/>
  <c r="EG55" i="49"/>
  <c r="EG228" i="49"/>
  <c r="EG306" i="49"/>
  <c r="EG58" i="49"/>
  <c r="EG266" i="49"/>
  <c r="EG270" i="49"/>
  <c r="EG51" i="49"/>
  <c r="EG425" i="49"/>
  <c r="EG143" i="49"/>
  <c r="EG267" i="49"/>
  <c r="EG202" i="49"/>
  <c r="EG138" i="49"/>
  <c r="EG47" i="49"/>
  <c r="EG452" i="49"/>
  <c r="EG170" i="49"/>
  <c r="EG321" i="49"/>
  <c r="EG473" i="49"/>
  <c r="EG433" i="49"/>
  <c r="EG160" i="49"/>
  <c r="EG373" i="49"/>
  <c r="EG352" i="49"/>
  <c r="EG116" i="49"/>
  <c r="EG351" i="49"/>
  <c r="EG26" i="49"/>
  <c r="EG182" i="49"/>
  <c r="EG304" i="49"/>
  <c r="EG275" i="49"/>
  <c r="EG277" i="49"/>
  <c r="EG490" i="49"/>
  <c r="EG371" i="49"/>
  <c r="EG112" i="49"/>
  <c r="EG471" i="49"/>
  <c r="EG100" i="49"/>
  <c r="EG385" i="49"/>
  <c r="EG127" i="49"/>
  <c r="EG121" i="49"/>
  <c r="EG113" i="49"/>
  <c r="EG458" i="49"/>
  <c r="EG394" i="49"/>
  <c r="EG80" i="49"/>
  <c r="EG456" i="49"/>
  <c r="EG491" i="49"/>
  <c r="EG233" i="49"/>
  <c r="EG336" i="49"/>
  <c r="EG245" i="49"/>
  <c r="EG350" i="49"/>
  <c r="EG487" i="49"/>
  <c r="EG337" i="49"/>
  <c r="EG235" i="49"/>
  <c r="EG168" i="49"/>
  <c r="EG41" i="49"/>
  <c r="EG339" i="49"/>
  <c r="EG210" i="49"/>
  <c r="EG184" i="49"/>
  <c r="EG483" i="49"/>
  <c r="EG140" i="49"/>
  <c r="EG238" i="49"/>
  <c r="EG363" i="49"/>
  <c r="EG108" i="49"/>
  <c r="EG291" i="49"/>
  <c r="EG429" i="49"/>
  <c r="EG11" i="49"/>
  <c r="EG494" i="49"/>
  <c r="EG183" i="49"/>
  <c r="EG36" i="49"/>
  <c r="EG101" i="49"/>
  <c r="EG255" i="49"/>
  <c r="EG218" i="49"/>
  <c r="EG219" i="49"/>
  <c r="EG288" i="49"/>
  <c r="EG130" i="49"/>
  <c r="EG377" i="49"/>
  <c r="EG137" i="49"/>
  <c r="EG119" i="49"/>
  <c r="EG451" i="49"/>
  <c r="EG224" i="49"/>
  <c r="EG463" i="49"/>
  <c r="EG60" i="49"/>
  <c r="EG152" i="49"/>
  <c r="EG118" i="49"/>
  <c r="EG243" i="49"/>
  <c r="EG46" i="49"/>
  <c r="EG397" i="49"/>
  <c r="EG95" i="49"/>
  <c r="ED500" i="49"/>
  <c r="EG299" i="49"/>
  <c r="EG9" i="49"/>
  <c r="EG468" i="49"/>
  <c r="EG480" i="49"/>
  <c r="EG368" i="49"/>
  <c r="EG110" i="49"/>
  <c r="EG446" i="49"/>
  <c r="EG149" i="49"/>
  <c r="EG49" i="49"/>
  <c r="EG443" i="49"/>
  <c r="EG28" i="49"/>
  <c r="EG174" i="49"/>
  <c r="EG120" i="49"/>
  <c r="EG360" i="49"/>
  <c r="EG466" i="49"/>
  <c r="EG318" i="49"/>
  <c r="EG213" i="49"/>
  <c r="EG43" i="49"/>
  <c r="EG200" i="49"/>
  <c r="EG71" i="49"/>
  <c r="EG24" i="49"/>
  <c r="EG358" i="49"/>
  <c r="EG359" i="49"/>
  <c r="EG410" i="49"/>
  <c r="EG290" i="49"/>
  <c r="EG260" i="49"/>
  <c r="EG276" i="49"/>
  <c r="EG155" i="49"/>
  <c r="EG440" i="49"/>
  <c r="EG435" i="49"/>
  <c r="EG192" i="49"/>
  <c r="EG175" i="49"/>
  <c r="EG489" i="49"/>
  <c r="EG42" i="49"/>
  <c r="EG242" i="49"/>
  <c r="EG246" i="49"/>
  <c r="EG278" i="49"/>
  <c r="EG176" i="49"/>
  <c r="EG52" i="49"/>
  <c r="EG430" i="49"/>
  <c r="EG126" i="49"/>
  <c r="EG282" i="49"/>
  <c r="EG157" i="49"/>
  <c r="EG164" i="49"/>
  <c r="EG179" i="49"/>
  <c r="EG111" i="49"/>
  <c r="EG422" i="49"/>
  <c r="EG448" i="49"/>
  <c r="EG48" i="49"/>
  <c r="EG464" i="49"/>
  <c r="EG198" i="49"/>
  <c r="EG273" i="49"/>
  <c r="EG424" i="49"/>
  <c r="EG319" i="49"/>
  <c r="EG217" i="49"/>
  <c r="EG103" i="49"/>
  <c r="EG32" i="49"/>
  <c r="EG81" i="49"/>
  <c r="EG76" i="49"/>
  <c r="EG338" i="49"/>
  <c r="EG388" i="49"/>
  <c r="EG392" i="49"/>
  <c r="EG327" i="49"/>
  <c r="EG98" i="49"/>
  <c r="EG314" i="49"/>
  <c r="EG34" i="49"/>
  <c r="EG287" i="49"/>
  <c r="EG417" i="49"/>
  <c r="EG415" i="49"/>
  <c r="EG315" i="49"/>
  <c r="EG141" i="49"/>
  <c r="EG19" i="49"/>
  <c r="EG89" i="49"/>
  <c r="EG340" i="49"/>
  <c r="EG386" i="49"/>
  <c r="EG307" i="49"/>
  <c r="EG357" i="49"/>
  <c r="EG66" i="49"/>
  <c r="EG311" i="49"/>
  <c r="EG328" i="49"/>
  <c r="EG486" i="49"/>
  <c r="EG16" i="49"/>
  <c r="EG232" i="49"/>
  <c r="EG15" i="49"/>
  <c r="EG375" i="49"/>
  <c r="EG197" i="49"/>
  <c r="EG221" i="49"/>
  <c r="EG84" i="49"/>
  <c r="EG151" i="49"/>
  <c r="EG256" i="49"/>
  <c r="EG251" i="49"/>
  <c r="EG346" i="49"/>
  <c r="EG343" i="49"/>
  <c r="EG10" i="49"/>
  <c r="EG77" i="49"/>
  <c r="EG354" i="49"/>
  <c r="EG54" i="49"/>
  <c r="EG165" i="49"/>
  <c r="EG426" i="49"/>
  <c r="EG474" i="49"/>
  <c r="EG423" i="49"/>
  <c r="EG35" i="49"/>
  <c r="EG439" i="49"/>
  <c r="EG167" i="49"/>
  <c r="EG107" i="49"/>
  <c r="EG169" i="49"/>
  <c r="EG158" i="49"/>
  <c r="EG252" i="49"/>
  <c r="EG211" i="49"/>
  <c r="EG280" i="49"/>
  <c r="EG201" i="49"/>
  <c r="EG131" i="49"/>
  <c r="EG90" i="49"/>
  <c r="EG154" i="49"/>
  <c r="EG428" i="49"/>
  <c r="EG279" i="49"/>
  <c r="EG230" i="49"/>
  <c r="EG6" i="49"/>
  <c r="EG445" i="49"/>
  <c r="EF5" i="49"/>
  <c r="EE500" i="49"/>
  <c r="EE2" i="49"/>
  <c r="EF500" i="49"/>
  <c r="EF2" i="49"/>
  <c r="EG5" i="49"/>
  <c r="EH2" i="49"/>
  <c r="EG500" i="49"/>
  <c r="EG2" i="49"/>
  <c r="EH330" i="49"/>
  <c r="EI330" i="49"/>
  <c r="EJ330" i="49"/>
  <c r="EK330" i="49"/>
  <c r="EH203" i="49"/>
  <c r="EI203" i="49"/>
  <c r="EJ203" i="49"/>
  <c r="EH204" i="49"/>
  <c r="EI204" i="49"/>
  <c r="EJ204" i="49"/>
  <c r="EH5" i="49"/>
  <c r="EI5" i="49"/>
  <c r="EH280" i="49"/>
  <c r="EI280" i="49"/>
  <c r="EJ280" i="49"/>
  <c r="EH89" i="49"/>
  <c r="EI89" i="49"/>
  <c r="EJ89" i="49"/>
  <c r="EH126" i="49"/>
  <c r="EI126" i="49"/>
  <c r="EJ126" i="49"/>
  <c r="EH54" i="49"/>
  <c r="EI54" i="49"/>
  <c r="EJ54" i="49"/>
  <c r="EH386" i="49"/>
  <c r="EI386" i="49"/>
  <c r="EJ386" i="49"/>
  <c r="EH430" i="49"/>
  <c r="EI430" i="49"/>
  <c r="EJ430" i="49"/>
  <c r="EH242" i="49"/>
  <c r="EI242" i="49"/>
  <c r="EJ242" i="49"/>
  <c r="EH443" i="49"/>
  <c r="EI443" i="49"/>
  <c r="EJ443" i="49"/>
  <c r="EH224" i="49"/>
  <c r="EI224" i="49"/>
  <c r="EJ224" i="49"/>
  <c r="EH233" i="49"/>
  <c r="EI233" i="49"/>
  <c r="EJ233" i="49"/>
  <c r="EH267" i="49"/>
  <c r="EI267" i="49"/>
  <c r="EJ267" i="49"/>
  <c r="EH266" i="49"/>
  <c r="EI266" i="49"/>
  <c r="EJ266" i="49"/>
  <c r="EH142" i="49"/>
  <c r="EI142" i="49"/>
  <c r="EJ142" i="49"/>
  <c r="EH73" i="49"/>
  <c r="EI73" i="49"/>
  <c r="EJ73" i="49"/>
  <c r="EH61" i="49"/>
  <c r="EI61" i="49"/>
  <c r="EJ61" i="49"/>
  <c r="EH215" i="49"/>
  <c r="EI215" i="49"/>
  <c r="EJ215" i="49"/>
  <c r="EH50" i="49"/>
  <c r="EI50" i="49"/>
  <c r="EJ50" i="49"/>
  <c r="EH212" i="49"/>
  <c r="EI212" i="49"/>
  <c r="EJ212" i="49"/>
  <c r="EH237" i="49"/>
  <c r="EI237" i="49"/>
  <c r="EJ237" i="49"/>
  <c r="EH27" i="49"/>
  <c r="EI27" i="49"/>
  <c r="EJ27" i="49"/>
  <c r="EH439" i="49"/>
  <c r="EI439" i="49"/>
  <c r="EJ439" i="49"/>
  <c r="EH221" i="49"/>
  <c r="EI221" i="49"/>
  <c r="EJ221" i="49"/>
  <c r="EH81" i="49"/>
  <c r="EI81" i="49"/>
  <c r="EJ81" i="49"/>
  <c r="EH155" i="49"/>
  <c r="EI155" i="49"/>
  <c r="EJ155" i="49"/>
  <c r="EH358" i="49"/>
  <c r="EI358" i="49"/>
  <c r="EJ358" i="49"/>
  <c r="EH468" i="49"/>
  <c r="EI468" i="49"/>
  <c r="EJ468" i="49"/>
  <c r="EH288" i="49"/>
  <c r="EI288" i="49"/>
  <c r="EJ288" i="49"/>
  <c r="EH101" i="49"/>
  <c r="EI101" i="49"/>
  <c r="EJ101" i="49"/>
  <c r="EH491" i="49"/>
  <c r="EI491" i="49"/>
  <c r="EJ491" i="49"/>
  <c r="EH127" i="49"/>
  <c r="EI127" i="49"/>
  <c r="EJ127" i="49"/>
  <c r="EH228" i="49"/>
  <c r="EI228" i="49"/>
  <c r="EJ228" i="49"/>
  <c r="EH172" i="49"/>
  <c r="EI172" i="49"/>
  <c r="EJ172" i="49"/>
  <c r="EH109" i="49"/>
  <c r="EI109" i="49"/>
  <c r="EJ109" i="49"/>
  <c r="EH226" i="49"/>
  <c r="EI226" i="49"/>
  <c r="EJ226" i="49"/>
  <c r="EH88" i="49"/>
  <c r="EI88" i="49"/>
  <c r="EJ88" i="49"/>
  <c r="EH349" i="49"/>
  <c r="EI349" i="49"/>
  <c r="EJ349" i="49"/>
  <c r="EH284" i="49"/>
  <c r="EI284" i="49"/>
  <c r="EJ284" i="49"/>
  <c r="EH96" i="49"/>
  <c r="EI96" i="49"/>
  <c r="EJ96" i="49"/>
  <c r="EH416" i="49"/>
  <c r="EI416" i="49"/>
  <c r="EJ416" i="49"/>
  <c r="EH312" i="49"/>
  <c r="EI312" i="49"/>
  <c r="EJ312" i="49"/>
  <c r="EH216" i="49"/>
  <c r="EI216" i="49"/>
  <c r="EJ216" i="49"/>
  <c r="EH78" i="49"/>
  <c r="EI78" i="49"/>
  <c r="EJ78" i="49"/>
  <c r="EH405" i="49"/>
  <c r="EI405" i="49"/>
  <c r="EJ405" i="49"/>
  <c r="EH265" i="49"/>
  <c r="EI265" i="49"/>
  <c r="EJ265" i="49"/>
  <c r="EH296" i="49"/>
  <c r="EI296" i="49"/>
  <c r="EJ296" i="49"/>
  <c r="EH329" i="49"/>
  <c r="EI329" i="49"/>
  <c r="EJ329" i="49"/>
  <c r="EH102" i="49"/>
  <c r="EI102" i="49"/>
  <c r="EJ102" i="49"/>
  <c r="EH148" i="49"/>
  <c r="EI148" i="49"/>
  <c r="EJ148" i="49"/>
  <c r="EH399" i="49"/>
  <c r="EI399" i="49"/>
  <c r="EJ399" i="49"/>
  <c r="EH134" i="49"/>
  <c r="EI134" i="49"/>
  <c r="EJ134" i="49"/>
  <c r="EH77" i="49"/>
  <c r="EI77" i="49"/>
  <c r="EJ77" i="49"/>
  <c r="EH315" i="49"/>
  <c r="EI315" i="49"/>
  <c r="EJ315" i="49"/>
  <c r="EH103" i="49"/>
  <c r="EI103" i="49"/>
  <c r="EJ103" i="49"/>
  <c r="EH230" i="49"/>
  <c r="EI230" i="49"/>
  <c r="EJ230" i="49"/>
  <c r="EH90" i="49"/>
  <c r="EI90" i="49"/>
  <c r="EJ90" i="49"/>
  <c r="EH346" i="49"/>
  <c r="EI346" i="49"/>
  <c r="EJ346" i="49"/>
  <c r="EH16" i="49"/>
  <c r="EI16" i="49"/>
  <c r="EJ16" i="49"/>
  <c r="EH66" i="49"/>
  <c r="EI66" i="49"/>
  <c r="EJ66" i="49"/>
  <c r="EH319" i="49"/>
  <c r="EI319" i="49"/>
  <c r="EJ319" i="49"/>
  <c r="EH464" i="49"/>
  <c r="EI464" i="49"/>
  <c r="EJ464" i="49"/>
  <c r="EH111" i="49"/>
  <c r="EI111" i="49"/>
  <c r="EJ111" i="49"/>
  <c r="EH410" i="49"/>
  <c r="EI410" i="49"/>
  <c r="EJ410" i="49"/>
  <c r="EH318" i="49"/>
  <c r="EI318" i="49"/>
  <c r="EJ318" i="49"/>
  <c r="EH494" i="49"/>
  <c r="EI494" i="49"/>
  <c r="EJ494" i="49"/>
  <c r="EH184" i="49"/>
  <c r="EI184" i="49"/>
  <c r="EJ184" i="49"/>
  <c r="EH371" i="49"/>
  <c r="EI371" i="49"/>
  <c r="EJ371" i="49"/>
  <c r="EH182" i="49"/>
  <c r="EI182" i="49"/>
  <c r="EJ182" i="49"/>
  <c r="EH160" i="49"/>
  <c r="EI160" i="49"/>
  <c r="EJ160" i="49"/>
  <c r="EH91" i="49"/>
  <c r="EI91" i="49"/>
  <c r="EJ91" i="49"/>
  <c r="EH347" i="49"/>
  <c r="EI347" i="49"/>
  <c r="EJ347" i="49"/>
  <c r="EH447" i="49"/>
  <c r="EI447" i="49"/>
  <c r="EJ447" i="49"/>
  <c r="EH193" i="49"/>
  <c r="EI193" i="49"/>
  <c r="EJ193" i="49"/>
  <c r="EH310" i="49"/>
  <c r="EI310" i="49"/>
  <c r="EJ310" i="49"/>
  <c r="EH222" i="49"/>
  <c r="EI222" i="49"/>
  <c r="EJ222" i="49"/>
  <c r="EH206" i="49"/>
  <c r="EI206" i="49"/>
  <c r="EJ206" i="49"/>
  <c r="EH492" i="49"/>
  <c r="EI492" i="49"/>
  <c r="EJ492" i="49"/>
  <c r="EH53" i="49"/>
  <c r="EI53" i="49"/>
  <c r="EJ53" i="49"/>
  <c r="EH92" i="49"/>
  <c r="EI92" i="49"/>
  <c r="EJ92" i="49"/>
  <c r="EH488" i="49"/>
  <c r="EI488" i="49"/>
  <c r="EJ488" i="49"/>
  <c r="EH162" i="49"/>
  <c r="EI162" i="49"/>
  <c r="EJ162" i="49"/>
  <c r="EH274" i="49"/>
  <c r="EI274" i="49"/>
  <c r="EJ274" i="49"/>
  <c r="EH379" i="49"/>
  <c r="EI379" i="49"/>
  <c r="EJ379" i="49"/>
  <c r="EH227" i="49"/>
  <c r="EI227" i="49"/>
  <c r="EJ227" i="49"/>
  <c r="EH115" i="49"/>
  <c r="EI115" i="49"/>
  <c r="EJ115" i="49"/>
  <c r="EH65" i="49"/>
  <c r="EI65" i="49"/>
  <c r="EJ65" i="49"/>
  <c r="EH211" i="49"/>
  <c r="EI211" i="49"/>
  <c r="EJ211" i="49"/>
  <c r="EH282" i="49"/>
  <c r="EI282" i="49"/>
  <c r="EJ282" i="49"/>
  <c r="EH49" i="49"/>
  <c r="EI49" i="49"/>
  <c r="EJ49" i="49"/>
  <c r="EH397" i="49"/>
  <c r="EI397" i="49"/>
  <c r="EJ397" i="49"/>
  <c r="EH152" i="49"/>
  <c r="EI152" i="49"/>
  <c r="EJ152" i="49"/>
  <c r="EH291" i="49"/>
  <c r="EI291" i="49"/>
  <c r="EJ291" i="49"/>
  <c r="EH41" i="49"/>
  <c r="EI41" i="49"/>
  <c r="EJ41" i="49"/>
  <c r="EH487" i="49"/>
  <c r="EI487" i="49"/>
  <c r="EJ487" i="49"/>
  <c r="EH304" i="49"/>
  <c r="EI304" i="49"/>
  <c r="EJ304" i="49"/>
  <c r="EH473" i="49"/>
  <c r="EI473" i="49"/>
  <c r="EJ473" i="49"/>
  <c r="EH47" i="49"/>
  <c r="EI47" i="49"/>
  <c r="EJ47" i="49"/>
  <c r="EH401" i="49"/>
  <c r="EI401" i="49"/>
  <c r="EJ401" i="49"/>
  <c r="EH412" i="49"/>
  <c r="EI412" i="49"/>
  <c r="EJ412" i="49"/>
  <c r="EH128" i="49"/>
  <c r="EI128" i="49"/>
  <c r="EJ128" i="49"/>
  <c r="EH404" i="49"/>
  <c r="EI404" i="49"/>
  <c r="EJ404" i="49"/>
  <c r="EH479" i="49"/>
  <c r="EI479" i="49"/>
  <c r="EJ479" i="49"/>
  <c r="EH104" i="49"/>
  <c r="EI104" i="49"/>
  <c r="EJ104" i="49"/>
  <c r="EH409" i="49"/>
  <c r="EI409" i="49"/>
  <c r="EJ409" i="49"/>
  <c r="EH461" i="49"/>
  <c r="EI461" i="49"/>
  <c r="EJ461" i="49"/>
  <c r="EH7" i="49"/>
  <c r="EI7" i="49"/>
  <c r="EJ7" i="49"/>
  <c r="EH367" i="49"/>
  <c r="EI367" i="49"/>
  <c r="EJ367" i="49"/>
  <c r="EH470" i="49"/>
  <c r="EI470" i="49"/>
  <c r="EJ470" i="49"/>
  <c r="EH122" i="49"/>
  <c r="EI122" i="49"/>
  <c r="EJ122" i="49"/>
  <c r="EH374" i="49"/>
  <c r="EI374" i="49"/>
  <c r="EJ374" i="49"/>
  <c r="EH283" i="49"/>
  <c r="EI283" i="49"/>
  <c r="EJ283" i="49"/>
  <c r="EH469" i="49"/>
  <c r="EI469" i="49"/>
  <c r="EJ469" i="49"/>
  <c r="EH387" i="49"/>
  <c r="EI387" i="49"/>
  <c r="EJ387" i="49"/>
  <c r="EH205" i="49"/>
  <c r="EI205" i="49"/>
  <c r="EJ205" i="49"/>
  <c r="EH301" i="49"/>
  <c r="EI301" i="49"/>
  <c r="EJ301" i="49"/>
  <c r="EH324" i="49"/>
  <c r="EI324" i="49"/>
  <c r="EJ324" i="49"/>
  <c r="EH69" i="49"/>
  <c r="EI69" i="49"/>
  <c r="EJ69" i="49"/>
  <c r="EH414" i="49"/>
  <c r="EI414" i="49"/>
  <c r="EJ414" i="49"/>
  <c r="EH135" i="49"/>
  <c r="EI135" i="49"/>
  <c r="EJ135" i="49"/>
  <c r="EH13" i="49"/>
  <c r="EI13" i="49"/>
  <c r="EJ13" i="49"/>
  <c r="EH393" i="49"/>
  <c r="EI393" i="49"/>
  <c r="EJ393" i="49"/>
  <c r="EH63" i="49"/>
  <c r="EI63" i="49"/>
  <c r="EJ63" i="49"/>
  <c r="EH361" i="49"/>
  <c r="EI361" i="49"/>
  <c r="EJ361" i="49"/>
  <c r="EH453" i="49"/>
  <c r="EI453" i="49"/>
  <c r="EJ453" i="49"/>
  <c r="EH294" i="49"/>
  <c r="EI294" i="49"/>
  <c r="EJ294" i="49"/>
  <c r="EH209" i="49"/>
  <c r="EI209" i="49"/>
  <c r="EJ209" i="49"/>
  <c r="EH247" i="49"/>
  <c r="EI247" i="49"/>
  <c r="EJ247" i="49"/>
  <c r="EH169" i="49"/>
  <c r="EI169" i="49"/>
  <c r="EJ169" i="49"/>
  <c r="EH46" i="49"/>
  <c r="EI46" i="49"/>
  <c r="EJ46" i="49"/>
  <c r="EH168" i="49"/>
  <c r="EI168" i="49"/>
  <c r="EJ168" i="49"/>
  <c r="EH321" i="49"/>
  <c r="EI321" i="49"/>
  <c r="EJ321" i="49"/>
  <c r="EH348" i="49"/>
  <c r="EI348" i="49"/>
  <c r="EJ348" i="49"/>
  <c r="EH383" i="49"/>
  <c r="EI383" i="49"/>
  <c r="EJ383" i="49"/>
  <c r="EH482" i="49"/>
  <c r="EI482" i="49"/>
  <c r="EJ482" i="49"/>
  <c r="EH442" i="49"/>
  <c r="EI442" i="49"/>
  <c r="EJ442" i="49"/>
  <c r="EH248" i="49"/>
  <c r="EI248" i="49"/>
  <c r="EJ248" i="49"/>
  <c r="EH22" i="49"/>
  <c r="EI22" i="49"/>
  <c r="EJ22" i="49"/>
  <c r="EH396" i="49"/>
  <c r="EI396" i="49"/>
  <c r="EJ396" i="49"/>
  <c r="EH252" i="49"/>
  <c r="EI252" i="49"/>
  <c r="EJ252" i="49"/>
  <c r="EH19" i="49"/>
  <c r="EI19" i="49"/>
  <c r="EJ19" i="49"/>
  <c r="EH167" i="49"/>
  <c r="EI167" i="49"/>
  <c r="EJ167" i="49"/>
  <c r="EH84" i="49"/>
  <c r="EI84" i="49"/>
  <c r="EJ84" i="49"/>
  <c r="EH340" i="49"/>
  <c r="EI340" i="49"/>
  <c r="EJ340" i="49"/>
  <c r="EH176" i="49"/>
  <c r="EI176" i="49"/>
  <c r="EJ176" i="49"/>
  <c r="EH42" i="49"/>
  <c r="EI42" i="49"/>
  <c r="EJ42" i="49"/>
  <c r="EH446" i="49"/>
  <c r="EI446" i="49"/>
  <c r="EJ446" i="49"/>
  <c r="EH119" i="49"/>
  <c r="EI119" i="49"/>
  <c r="EJ119" i="49"/>
  <c r="EH80" i="49"/>
  <c r="EI80" i="49"/>
  <c r="EJ80" i="49"/>
  <c r="EH143" i="49"/>
  <c r="EI143" i="49"/>
  <c r="EJ143" i="49"/>
  <c r="EH58" i="49"/>
  <c r="EI58" i="49"/>
  <c r="EJ58" i="49"/>
  <c r="EH64" i="49"/>
  <c r="EI64" i="49"/>
  <c r="EJ64" i="49"/>
  <c r="EH20" i="49"/>
  <c r="EI20" i="49"/>
  <c r="EJ20" i="49"/>
  <c r="EH263" i="49"/>
  <c r="EI263" i="49"/>
  <c r="EJ263" i="49"/>
  <c r="EH29" i="49"/>
  <c r="EI29" i="49"/>
  <c r="EJ29" i="49"/>
  <c r="EH145" i="49"/>
  <c r="EI145" i="49"/>
  <c r="EJ145" i="49"/>
  <c r="EH125" i="49"/>
  <c r="EI125" i="49"/>
  <c r="EJ125" i="49"/>
  <c r="EH271" i="49"/>
  <c r="EI271" i="49"/>
  <c r="EJ271" i="49"/>
  <c r="EH268" i="49"/>
  <c r="EI268" i="49"/>
  <c r="EJ268" i="49"/>
  <c r="EH474" i="49"/>
  <c r="EI474" i="49"/>
  <c r="EJ474" i="49"/>
  <c r="EH417" i="49"/>
  <c r="EI417" i="49"/>
  <c r="EJ417" i="49"/>
  <c r="EH32" i="49"/>
  <c r="EI32" i="49"/>
  <c r="EJ32" i="49"/>
  <c r="EH276" i="49"/>
  <c r="EI276" i="49"/>
  <c r="EJ276" i="49"/>
  <c r="EH24" i="49"/>
  <c r="EI24" i="49"/>
  <c r="EJ24" i="49"/>
  <c r="EH299" i="49"/>
  <c r="EI299" i="49"/>
  <c r="EJ299" i="49"/>
  <c r="EH219" i="49"/>
  <c r="EI219" i="49"/>
  <c r="EJ219" i="49"/>
  <c r="EH36" i="49"/>
  <c r="EI36" i="49"/>
  <c r="EJ36" i="49"/>
  <c r="EH456" i="49"/>
  <c r="EI456" i="49"/>
  <c r="EJ456" i="49"/>
  <c r="EH100" i="49"/>
  <c r="EI100" i="49"/>
  <c r="EJ100" i="49"/>
  <c r="EH55" i="49"/>
  <c r="EI55" i="49"/>
  <c r="EJ55" i="49"/>
  <c r="EH72" i="49"/>
  <c r="EI72" i="49"/>
  <c r="EJ72" i="49"/>
  <c r="EH322" i="49"/>
  <c r="EI322" i="49"/>
  <c r="EJ322" i="49"/>
  <c r="EH12" i="49"/>
  <c r="EI12" i="49"/>
  <c r="EJ12" i="49"/>
  <c r="EH498" i="49"/>
  <c r="EI498" i="49"/>
  <c r="EJ498" i="49"/>
  <c r="EH281" i="49"/>
  <c r="EI281" i="49"/>
  <c r="EJ281" i="49"/>
  <c r="EH364" i="49"/>
  <c r="EI364" i="49"/>
  <c r="EJ364" i="49"/>
  <c r="EH62" i="49"/>
  <c r="EI62" i="49"/>
  <c r="EJ62" i="49"/>
  <c r="EH462" i="49"/>
  <c r="EI462" i="49"/>
  <c r="EJ462" i="49"/>
  <c r="EH309" i="49"/>
  <c r="EI309" i="49"/>
  <c r="EJ309" i="49"/>
  <c r="EH161" i="49"/>
  <c r="EI161" i="49"/>
  <c r="EJ161" i="49"/>
  <c r="EH369" i="49"/>
  <c r="EI369" i="49"/>
  <c r="EJ369" i="49"/>
  <c r="EH353" i="49"/>
  <c r="EI353" i="49"/>
  <c r="EJ353" i="49"/>
  <c r="EH177" i="49"/>
  <c r="EI177" i="49"/>
  <c r="EJ177" i="49"/>
  <c r="EH477" i="49"/>
  <c r="EI477" i="49"/>
  <c r="EJ477" i="49"/>
  <c r="EH390" i="49"/>
  <c r="EI390" i="49"/>
  <c r="EJ390" i="49"/>
  <c r="EH8" i="49"/>
  <c r="EI8" i="49"/>
  <c r="EJ8" i="49"/>
  <c r="EH484" i="49"/>
  <c r="EI484" i="49"/>
  <c r="EJ484" i="49"/>
  <c r="EH444" i="49"/>
  <c r="EI444" i="49"/>
  <c r="EJ444" i="49"/>
  <c r="EH208" i="49"/>
  <c r="EI208" i="49"/>
  <c r="EJ208" i="49"/>
  <c r="EH251" i="49"/>
  <c r="EI251" i="49"/>
  <c r="EJ251" i="49"/>
  <c r="EH415" i="49"/>
  <c r="EI415" i="49"/>
  <c r="EJ415" i="49"/>
  <c r="EH279" i="49"/>
  <c r="EI279" i="49"/>
  <c r="EJ279" i="49"/>
  <c r="EH131" i="49"/>
  <c r="EI131" i="49"/>
  <c r="EJ131" i="49"/>
  <c r="EH375" i="49"/>
  <c r="EI375" i="49"/>
  <c r="EJ375" i="49"/>
  <c r="EH486" i="49"/>
  <c r="EI486" i="49"/>
  <c r="EJ486" i="49"/>
  <c r="EH392" i="49"/>
  <c r="EI392" i="49"/>
  <c r="EJ392" i="49"/>
  <c r="EH424" i="49"/>
  <c r="EI424" i="49"/>
  <c r="EJ424" i="49"/>
  <c r="EH48" i="49"/>
  <c r="EI48" i="49"/>
  <c r="EJ48" i="49"/>
  <c r="EH435" i="49"/>
  <c r="EI435" i="49"/>
  <c r="EJ435" i="49"/>
  <c r="EH200" i="49"/>
  <c r="EI200" i="49"/>
  <c r="EJ200" i="49"/>
  <c r="EH466" i="49"/>
  <c r="EI466" i="49"/>
  <c r="EJ466" i="49"/>
  <c r="EH108" i="49"/>
  <c r="EI108" i="49"/>
  <c r="EJ108" i="49"/>
  <c r="EH210" i="49"/>
  <c r="EI210" i="49"/>
  <c r="EJ210" i="49"/>
  <c r="EH490" i="49"/>
  <c r="EI490" i="49"/>
  <c r="EJ490" i="49"/>
  <c r="EH26" i="49"/>
  <c r="EI26" i="49"/>
  <c r="EJ26" i="49"/>
  <c r="EH306" i="49"/>
  <c r="EI306" i="49"/>
  <c r="EJ306" i="49"/>
  <c r="EH436" i="49"/>
  <c r="EI436" i="49"/>
  <c r="EJ436" i="49"/>
  <c r="EH427" i="49"/>
  <c r="EI427" i="49"/>
  <c r="EJ427" i="49"/>
  <c r="EH191" i="49"/>
  <c r="EI191" i="49"/>
  <c r="EJ191" i="49"/>
  <c r="EH272" i="49"/>
  <c r="EI272" i="49"/>
  <c r="EJ272" i="49"/>
  <c r="EH123" i="49"/>
  <c r="EI123" i="49"/>
  <c r="EJ123" i="49"/>
  <c r="EH44" i="49"/>
  <c r="EI44" i="49"/>
  <c r="EJ44" i="49"/>
  <c r="EH225" i="49"/>
  <c r="EI225" i="49"/>
  <c r="EJ225" i="49"/>
  <c r="EH85" i="49"/>
  <c r="EI85" i="49"/>
  <c r="EJ85" i="49"/>
  <c r="EH475" i="49"/>
  <c r="EI475" i="49"/>
  <c r="EJ475" i="49"/>
  <c r="EH418" i="49"/>
  <c r="EI418" i="49"/>
  <c r="EJ418" i="49"/>
  <c r="EH59" i="49"/>
  <c r="EI59" i="49"/>
  <c r="EJ59" i="49"/>
  <c r="EH39" i="49"/>
  <c r="EI39" i="49"/>
  <c r="EJ39" i="49"/>
  <c r="EH52" i="49"/>
  <c r="EI52" i="49"/>
  <c r="EJ52" i="49"/>
  <c r="EH60" i="49"/>
  <c r="EI60" i="49"/>
  <c r="EJ60" i="49"/>
  <c r="EH351" i="49"/>
  <c r="EI351" i="49"/>
  <c r="EJ351" i="49"/>
  <c r="EH297" i="49"/>
  <c r="EI297" i="49"/>
  <c r="EJ297" i="49"/>
  <c r="EH261" i="49"/>
  <c r="EI261" i="49"/>
  <c r="EJ261" i="49"/>
  <c r="EH159" i="49"/>
  <c r="EI159" i="49"/>
  <c r="EJ159" i="49"/>
  <c r="EH68" i="49"/>
  <c r="EI68" i="49"/>
  <c r="EJ68" i="49"/>
  <c r="EH465" i="49"/>
  <c r="EI465" i="49"/>
  <c r="EJ465" i="49"/>
  <c r="EH158" i="49"/>
  <c r="EI158" i="49"/>
  <c r="EJ158" i="49"/>
  <c r="EH179" i="49"/>
  <c r="EI179" i="49"/>
  <c r="EJ179" i="49"/>
  <c r="EH35" i="49"/>
  <c r="EI35" i="49"/>
  <c r="EJ35" i="49"/>
  <c r="EH357" i="49"/>
  <c r="EI357" i="49"/>
  <c r="EJ357" i="49"/>
  <c r="EH34" i="49"/>
  <c r="EI34" i="49"/>
  <c r="EJ34" i="49"/>
  <c r="EH278" i="49"/>
  <c r="EI278" i="49"/>
  <c r="EJ278" i="49"/>
  <c r="EH175" i="49"/>
  <c r="EI175" i="49"/>
  <c r="EJ175" i="49"/>
  <c r="EH368" i="49"/>
  <c r="EI368" i="49"/>
  <c r="EJ368" i="49"/>
  <c r="EH137" i="49"/>
  <c r="EI137" i="49"/>
  <c r="EJ137" i="49"/>
  <c r="EH113" i="49"/>
  <c r="EI113" i="49"/>
  <c r="EJ113" i="49"/>
  <c r="EH51" i="49"/>
  <c r="EI51" i="49"/>
  <c r="EJ51" i="49"/>
  <c r="EH163" i="49"/>
  <c r="EI163" i="49"/>
  <c r="EJ163" i="49"/>
  <c r="EH249" i="49"/>
  <c r="EI249" i="49"/>
  <c r="EJ249" i="49"/>
  <c r="EH83" i="49"/>
  <c r="EI83" i="49"/>
  <c r="EJ83" i="49"/>
  <c r="EH188" i="49"/>
  <c r="EI188" i="49"/>
  <c r="EJ188" i="49"/>
  <c r="EH258" i="49"/>
  <c r="EI258" i="49"/>
  <c r="EJ258" i="49"/>
  <c r="EH93" i="49"/>
  <c r="EI93" i="49"/>
  <c r="EJ93" i="49"/>
  <c r="EH187" i="49"/>
  <c r="EI187" i="49"/>
  <c r="EJ187" i="49"/>
  <c r="EH196" i="49"/>
  <c r="EI196" i="49"/>
  <c r="EJ196" i="49"/>
  <c r="EH87" i="49"/>
  <c r="EI87" i="49"/>
  <c r="EJ87" i="49"/>
  <c r="EH10" i="49"/>
  <c r="EI10" i="49"/>
  <c r="EJ10" i="49"/>
  <c r="EH327" i="49"/>
  <c r="EI327" i="49"/>
  <c r="EJ327" i="49"/>
  <c r="EH217" i="49"/>
  <c r="EI217" i="49"/>
  <c r="EJ217" i="49"/>
  <c r="EH260" i="49"/>
  <c r="EI260" i="49"/>
  <c r="EJ260" i="49"/>
  <c r="EH71" i="49"/>
  <c r="EI71" i="49"/>
  <c r="EJ71" i="49"/>
  <c r="EH451" i="49"/>
  <c r="EI451" i="49"/>
  <c r="EJ451" i="49"/>
  <c r="EH218" i="49"/>
  <c r="EI218" i="49"/>
  <c r="EJ218" i="49"/>
  <c r="EH183" i="49"/>
  <c r="EI183" i="49"/>
  <c r="EJ183" i="49"/>
  <c r="EH394" i="49"/>
  <c r="EI394" i="49"/>
  <c r="EJ394" i="49"/>
  <c r="EH112" i="49"/>
  <c r="EI112" i="49"/>
  <c r="EJ112" i="49"/>
  <c r="EH97" i="49"/>
  <c r="EI97" i="49"/>
  <c r="EJ97" i="49"/>
  <c r="EH372" i="49"/>
  <c r="EI372" i="49"/>
  <c r="EJ372" i="49"/>
  <c r="EH441" i="49"/>
  <c r="EI441" i="49"/>
  <c r="EJ441" i="49"/>
  <c r="EH40" i="49"/>
  <c r="EI40" i="49"/>
  <c r="EJ40" i="49"/>
  <c r="EH286" i="49"/>
  <c r="EI286" i="49"/>
  <c r="EJ286" i="49"/>
  <c r="EH45" i="49"/>
  <c r="EI45" i="49"/>
  <c r="EJ45" i="49"/>
  <c r="EH129" i="49"/>
  <c r="EI129" i="49"/>
  <c r="EJ129" i="49"/>
  <c r="EH400" i="49"/>
  <c r="EI400" i="49"/>
  <c r="EJ400" i="49"/>
  <c r="EH285" i="49"/>
  <c r="EI285" i="49"/>
  <c r="EJ285" i="49"/>
  <c r="EH317" i="49"/>
  <c r="EI317" i="49"/>
  <c r="EJ317" i="49"/>
  <c r="EH171" i="49"/>
  <c r="EI171" i="49"/>
  <c r="EJ171" i="49"/>
  <c r="EH335" i="49"/>
  <c r="EI335" i="49"/>
  <c r="EJ335" i="49"/>
  <c r="EH207" i="49"/>
  <c r="EI207" i="49"/>
  <c r="EJ207" i="49"/>
  <c r="EH86" i="49"/>
  <c r="EI86" i="49"/>
  <c r="EJ86" i="49"/>
  <c r="EH485" i="49"/>
  <c r="EI485" i="49"/>
  <c r="EJ485" i="49"/>
  <c r="EH21" i="49"/>
  <c r="EI21" i="49"/>
  <c r="EJ21" i="49"/>
  <c r="EH124" i="49"/>
  <c r="EI124" i="49"/>
  <c r="EJ124" i="49"/>
  <c r="EH333" i="49"/>
  <c r="EI333" i="49"/>
  <c r="EJ333" i="49"/>
  <c r="EH231" i="49"/>
  <c r="EI231" i="49"/>
  <c r="EJ231" i="49"/>
  <c r="EH423" i="49"/>
  <c r="EI423" i="49"/>
  <c r="EJ423" i="49"/>
  <c r="EH151" i="49"/>
  <c r="EI151" i="49"/>
  <c r="EJ151" i="49"/>
  <c r="EH287" i="49"/>
  <c r="EI287" i="49"/>
  <c r="EJ287" i="49"/>
  <c r="EH445" i="49"/>
  <c r="EI445" i="49"/>
  <c r="EJ445" i="49"/>
  <c r="EH428" i="49"/>
  <c r="EI428" i="49"/>
  <c r="EJ428" i="49"/>
  <c r="EH354" i="49"/>
  <c r="EI354" i="49"/>
  <c r="EJ354" i="49"/>
  <c r="EH15" i="49"/>
  <c r="EI15" i="49"/>
  <c r="EJ15" i="49"/>
  <c r="EH328" i="49"/>
  <c r="EI328" i="49"/>
  <c r="EJ328" i="49"/>
  <c r="EH388" i="49"/>
  <c r="EI388" i="49"/>
  <c r="EJ388" i="49"/>
  <c r="EH273" i="49"/>
  <c r="EI273" i="49"/>
  <c r="EJ273" i="49"/>
  <c r="EH448" i="49"/>
  <c r="EI448" i="49"/>
  <c r="EJ448" i="49"/>
  <c r="EH440" i="49"/>
  <c r="EI440" i="49"/>
  <c r="EJ440" i="49"/>
  <c r="EH43" i="49"/>
  <c r="EI43" i="49"/>
  <c r="EJ43" i="49"/>
  <c r="EH360" i="49"/>
  <c r="EI360" i="49"/>
  <c r="EJ360" i="49"/>
  <c r="EH238" i="49"/>
  <c r="EI238" i="49"/>
  <c r="EJ238" i="49"/>
  <c r="EH385" i="49"/>
  <c r="EI385" i="49"/>
  <c r="EJ385" i="49"/>
  <c r="EH277" i="49"/>
  <c r="EI277" i="49"/>
  <c r="EJ277" i="49"/>
  <c r="EH116" i="49"/>
  <c r="EI116" i="49"/>
  <c r="EJ116" i="49"/>
  <c r="EH382" i="49"/>
  <c r="EI382" i="49"/>
  <c r="EJ382" i="49"/>
  <c r="EH345" i="49"/>
  <c r="EI345" i="49"/>
  <c r="EJ345" i="49"/>
  <c r="EH241" i="49"/>
  <c r="EI241" i="49"/>
  <c r="EJ241" i="49"/>
  <c r="EH195" i="49"/>
  <c r="EI195" i="49"/>
  <c r="EJ195" i="49"/>
  <c r="EH381" i="49"/>
  <c r="EI381" i="49"/>
  <c r="EJ381" i="49"/>
  <c r="EH25" i="49"/>
  <c r="EI25" i="49"/>
  <c r="EJ25" i="49"/>
  <c r="EH139" i="49"/>
  <c r="EI139" i="49"/>
  <c r="EJ139" i="49"/>
  <c r="EH342" i="49"/>
  <c r="EI342" i="49"/>
  <c r="EJ342" i="49"/>
  <c r="EH199" i="49"/>
  <c r="EI199" i="49"/>
  <c r="EJ199" i="49"/>
  <c r="EH380" i="49"/>
  <c r="EI380" i="49"/>
  <c r="EJ380" i="49"/>
  <c r="EH362" i="49"/>
  <c r="EI362" i="49"/>
  <c r="EJ362" i="49"/>
  <c r="EH472" i="49"/>
  <c r="EI472" i="49"/>
  <c r="EJ472" i="49"/>
  <c r="EH57" i="49"/>
  <c r="EI57" i="49"/>
  <c r="EJ57" i="49"/>
  <c r="EH250" i="49"/>
  <c r="EI250" i="49"/>
  <c r="EJ250" i="49"/>
  <c r="EH257" i="49"/>
  <c r="EI257" i="49"/>
  <c r="EJ257" i="49"/>
  <c r="EH293" i="49"/>
  <c r="EI293" i="49"/>
  <c r="EJ293" i="49"/>
  <c r="EH376" i="49"/>
  <c r="EI376" i="49"/>
  <c r="EJ376" i="49"/>
  <c r="EH253" i="49"/>
  <c r="EI253" i="49"/>
  <c r="EJ253" i="49"/>
  <c r="EH141" i="49"/>
  <c r="EI141" i="49"/>
  <c r="EJ141" i="49"/>
  <c r="EH174" i="49"/>
  <c r="EI174" i="49"/>
  <c r="EJ174" i="49"/>
  <c r="EH110" i="49"/>
  <c r="EI110" i="49"/>
  <c r="EJ110" i="49"/>
  <c r="EH243" i="49"/>
  <c r="EI243" i="49"/>
  <c r="EJ243" i="49"/>
  <c r="EH463" i="49"/>
  <c r="EI463" i="49"/>
  <c r="EJ463" i="49"/>
  <c r="EH483" i="49"/>
  <c r="EI483" i="49"/>
  <c r="EJ483" i="49"/>
  <c r="EH235" i="49"/>
  <c r="EI235" i="49"/>
  <c r="EJ235" i="49"/>
  <c r="EH245" i="49"/>
  <c r="EI245" i="49"/>
  <c r="EJ245" i="49"/>
  <c r="EH373" i="49"/>
  <c r="EI373" i="49"/>
  <c r="EJ373" i="49"/>
  <c r="EH170" i="49"/>
  <c r="EI170" i="49"/>
  <c r="EJ170" i="49"/>
  <c r="EH202" i="49"/>
  <c r="EI202" i="49"/>
  <c r="EJ202" i="49"/>
  <c r="EH308" i="49"/>
  <c r="EI308" i="49"/>
  <c r="EJ308" i="49"/>
  <c r="EH289" i="49"/>
  <c r="EI289" i="49"/>
  <c r="EJ289" i="49"/>
  <c r="EH298" i="49"/>
  <c r="EI298" i="49"/>
  <c r="EJ298" i="49"/>
  <c r="EH407" i="49"/>
  <c r="EI407" i="49"/>
  <c r="EJ407" i="49"/>
  <c r="EH344" i="49"/>
  <c r="EI344" i="49"/>
  <c r="EJ344" i="49"/>
  <c r="EH105" i="49"/>
  <c r="EI105" i="49"/>
  <c r="EJ105" i="49"/>
  <c r="EH295" i="49"/>
  <c r="EI295" i="49"/>
  <c r="EJ295" i="49"/>
  <c r="EH239" i="49"/>
  <c r="EI239" i="49"/>
  <c r="EJ239" i="49"/>
  <c r="EH331" i="49"/>
  <c r="EI331" i="49"/>
  <c r="EJ331" i="49"/>
  <c r="EH341" i="49"/>
  <c r="EI341" i="49"/>
  <c r="EJ341" i="49"/>
  <c r="EH384" i="49"/>
  <c r="EI384" i="49"/>
  <c r="EJ384" i="49"/>
  <c r="EH467" i="49"/>
  <c r="EI467" i="49"/>
  <c r="EJ467" i="49"/>
  <c r="EH262" i="49"/>
  <c r="EI262" i="49"/>
  <c r="EJ262" i="49"/>
  <c r="EH303" i="49"/>
  <c r="EI303" i="49"/>
  <c r="EJ303" i="49"/>
  <c r="EH117" i="49"/>
  <c r="EI117" i="49"/>
  <c r="EJ117" i="49"/>
  <c r="EH244" i="49"/>
  <c r="EI244" i="49"/>
  <c r="EJ244" i="49"/>
  <c r="EH457" i="49"/>
  <c r="EI457" i="49"/>
  <c r="EJ457" i="49"/>
  <c r="EH14" i="49"/>
  <c r="EI14" i="49"/>
  <c r="EJ14" i="49"/>
  <c r="EH106" i="49"/>
  <c r="EI106" i="49"/>
  <c r="EJ106" i="49"/>
  <c r="EH326" i="49"/>
  <c r="EI326" i="49"/>
  <c r="EJ326" i="49"/>
  <c r="EH449" i="49"/>
  <c r="EI449" i="49"/>
  <c r="EJ449" i="49"/>
  <c r="EH186" i="49"/>
  <c r="EI186" i="49"/>
  <c r="EJ186" i="49"/>
  <c r="EH432" i="49"/>
  <c r="EI432" i="49"/>
  <c r="EJ432" i="49"/>
  <c r="EH460" i="49"/>
  <c r="EI460" i="49"/>
  <c r="EJ460" i="49"/>
  <c r="EH419" i="49"/>
  <c r="EI419" i="49"/>
  <c r="EJ419" i="49"/>
  <c r="EH136" i="49"/>
  <c r="EI136" i="49"/>
  <c r="EJ136" i="49"/>
  <c r="EH389" i="49"/>
  <c r="EI389" i="49"/>
  <c r="EJ389" i="49"/>
  <c r="EH411" i="49"/>
  <c r="EI411" i="49"/>
  <c r="EJ411" i="49"/>
  <c r="EH370" i="49"/>
  <c r="EI370" i="49"/>
  <c r="EJ370" i="49"/>
  <c r="EH240" i="49"/>
  <c r="EI240" i="49"/>
  <c r="EJ240" i="49"/>
  <c r="EH254" i="49"/>
  <c r="EI254" i="49"/>
  <c r="EJ254" i="49"/>
  <c r="EH99" i="49"/>
  <c r="EI99" i="49"/>
  <c r="EJ99" i="49"/>
  <c r="EH149" i="49"/>
  <c r="EI149" i="49"/>
  <c r="EJ149" i="49"/>
  <c r="EH350" i="49"/>
  <c r="EI350" i="49"/>
  <c r="EJ350" i="49"/>
  <c r="EH138" i="49"/>
  <c r="EI138" i="49"/>
  <c r="EJ138" i="49"/>
  <c r="EH236" i="49"/>
  <c r="EI236" i="49"/>
  <c r="EJ236" i="49"/>
  <c r="EH408" i="49"/>
  <c r="EI408" i="49"/>
  <c r="EJ408" i="49"/>
  <c r="EH173" i="49"/>
  <c r="EI173" i="49"/>
  <c r="EJ173" i="49"/>
  <c r="EH403" i="49"/>
  <c r="EI403" i="49"/>
  <c r="EJ403" i="49"/>
  <c r="EH481" i="49"/>
  <c r="EI481" i="49"/>
  <c r="EJ481" i="49"/>
  <c r="EH454" i="49"/>
  <c r="EI454" i="49"/>
  <c r="EJ454" i="49"/>
  <c r="EH178" i="49"/>
  <c r="EI178" i="49"/>
  <c r="EJ178" i="49"/>
  <c r="EH107" i="49"/>
  <c r="EI107" i="49"/>
  <c r="EJ107" i="49"/>
  <c r="EH157" i="49"/>
  <c r="EI157" i="49"/>
  <c r="EJ157" i="49"/>
  <c r="EH165" i="49"/>
  <c r="EI165" i="49"/>
  <c r="EJ165" i="49"/>
  <c r="EH307" i="49"/>
  <c r="EI307" i="49"/>
  <c r="EJ307" i="49"/>
  <c r="EH98" i="49"/>
  <c r="EI98" i="49"/>
  <c r="EJ98" i="49"/>
  <c r="EH246" i="49"/>
  <c r="EI246" i="49"/>
  <c r="EJ246" i="49"/>
  <c r="EH192" i="49"/>
  <c r="EI192" i="49"/>
  <c r="EJ192" i="49"/>
  <c r="EH9" i="49"/>
  <c r="EI9" i="49"/>
  <c r="EJ9" i="49"/>
  <c r="EH130" i="49"/>
  <c r="EI130" i="49"/>
  <c r="EJ130" i="49"/>
  <c r="EH121" i="49"/>
  <c r="EI121" i="49"/>
  <c r="EJ121" i="49"/>
  <c r="EH270" i="49"/>
  <c r="EI270" i="49"/>
  <c r="EJ270" i="49"/>
  <c r="EH229" i="49"/>
  <c r="EI229" i="49"/>
  <c r="EJ229" i="49"/>
  <c r="EH264" i="49"/>
  <c r="EI264" i="49"/>
  <c r="EJ264" i="49"/>
  <c r="EH181" i="49"/>
  <c r="EI181" i="49"/>
  <c r="EJ181" i="49"/>
  <c r="EH30" i="49"/>
  <c r="EI30" i="49"/>
  <c r="EJ30" i="49"/>
  <c r="EH185" i="49"/>
  <c r="EI185" i="49"/>
  <c r="EJ185" i="49"/>
  <c r="EH180" i="49"/>
  <c r="EI180" i="49"/>
  <c r="EJ180" i="49"/>
  <c r="EH133" i="49"/>
  <c r="EI133" i="49"/>
  <c r="EJ133" i="49"/>
  <c r="EH214" i="49"/>
  <c r="EI214" i="49"/>
  <c r="EJ214" i="49"/>
  <c r="EH132" i="49"/>
  <c r="EI132" i="49"/>
  <c r="EJ132" i="49"/>
  <c r="EH256" i="49"/>
  <c r="EI256" i="49"/>
  <c r="EJ256" i="49"/>
  <c r="EH76" i="49"/>
  <c r="EI76" i="49"/>
  <c r="EJ76" i="49"/>
  <c r="EH489" i="49"/>
  <c r="EI489" i="49"/>
  <c r="EJ489" i="49"/>
  <c r="EH359" i="49"/>
  <c r="EI359" i="49"/>
  <c r="EJ359" i="49"/>
  <c r="EH480" i="49"/>
  <c r="EI480" i="49"/>
  <c r="EJ480" i="49"/>
  <c r="EH377" i="49"/>
  <c r="EI377" i="49"/>
  <c r="EJ377" i="49"/>
  <c r="EH255" i="49"/>
  <c r="EI255" i="49"/>
  <c r="EJ255" i="49"/>
  <c r="EH11" i="49"/>
  <c r="EI11" i="49"/>
  <c r="EJ11" i="49"/>
  <c r="EH458" i="49"/>
  <c r="EI458" i="49"/>
  <c r="EJ458" i="49"/>
  <c r="EH425" i="49"/>
  <c r="EI425" i="49"/>
  <c r="EJ425" i="49"/>
  <c r="EH153" i="49"/>
  <c r="EI153" i="49"/>
  <c r="EJ153" i="49"/>
  <c r="EH33" i="49"/>
  <c r="EI33" i="49"/>
  <c r="EJ33" i="49"/>
  <c r="EH323" i="49"/>
  <c r="EI323" i="49"/>
  <c r="EJ323" i="49"/>
  <c r="EH223" i="49"/>
  <c r="EI223" i="49"/>
  <c r="EJ223" i="49"/>
  <c r="EH437" i="49"/>
  <c r="EI437" i="49"/>
  <c r="EJ437" i="49"/>
  <c r="EH67" i="49"/>
  <c r="EI67" i="49"/>
  <c r="EJ67" i="49"/>
  <c r="EH189" i="49"/>
  <c r="EI189" i="49"/>
  <c r="EJ189" i="49"/>
  <c r="EH413" i="49"/>
  <c r="EI413" i="49"/>
  <c r="EJ413" i="49"/>
  <c r="EH355" i="49"/>
  <c r="EI355" i="49"/>
  <c r="EJ355" i="49"/>
  <c r="EH194" i="49"/>
  <c r="EI194" i="49"/>
  <c r="EJ194" i="49"/>
  <c r="EH70" i="49"/>
  <c r="EI70" i="49"/>
  <c r="EJ70" i="49"/>
  <c r="EH356" i="49"/>
  <c r="EI356" i="49"/>
  <c r="EJ356" i="49"/>
  <c r="EH82" i="49"/>
  <c r="EI82" i="49"/>
  <c r="EJ82" i="49"/>
  <c r="EH23" i="49"/>
  <c r="EI23" i="49"/>
  <c r="EJ23" i="49"/>
  <c r="EH395" i="49"/>
  <c r="EI395" i="49"/>
  <c r="EJ395" i="49"/>
  <c r="EH75" i="49"/>
  <c r="EI75" i="49"/>
  <c r="EJ75" i="49"/>
  <c r="EH259" i="49"/>
  <c r="EI259" i="49"/>
  <c r="EJ259" i="49"/>
  <c r="EH438" i="49"/>
  <c r="EI438" i="49"/>
  <c r="EJ438" i="49"/>
  <c r="EH190" i="49"/>
  <c r="EI190" i="49"/>
  <c r="EJ190" i="49"/>
  <c r="EH426" i="49"/>
  <c r="EI426" i="49"/>
  <c r="EJ426" i="49"/>
  <c r="EH197" i="49"/>
  <c r="EI197" i="49"/>
  <c r="EJ197" i="49"/>
  <c r="EH314" i="49"/>
  <c r="EI314" i="49"/>
  <c r="EJ314" i="49"/>
  <c r="EH6" i="49"/>
  <c r="EI6" i="49"/>
  <c r="EJ6" i="49"/>
  <c r="EH154" i="49"/>
  <c r="EI154" i="49"/>
  <c r="EJ154" i="49"/>
  <c r="EH343" i="49"/>
  <c r="EI343" i="49"/>
  <c r="EJ343" i="49"/>
  <c r="EH232" i="49"/>
  <c r="EI232" i="49"/>
  <c r="EJ232" i="49"/>
  <c r="EH311" i="49"/>
  <c r="EI311" i="49"/>
  <c r="EJ311" i="49"/>
  <c r="EH338" i="49"/>
  <c r="EI338" i="49"/>
  <c r="EJ338" i="49"/>
  <c r="EH198" i="49"/>
  <c r="EI198" i="49"/>
  <c r="EJ198" i="49"/>
  <c r="EH422" i="49"/>
  <c r="EI422" i="49"/>
  <c r="EJ422" i="49"/>
  <c r="EH290" i="49"/>
  <c r="EI290" i="49"/>
  <c r="EJ290" i="49"/>
  <c r="EH213" i="49"/>
  <c r="EI213" i="49"/>
  <c r="EJ213" i="49"/>
  <c r="EH120" i="49"/>
  <c r="EI120" i="49"/>
  <c r="EJ120" i="49"/>
  <c r="EH140" i="49"/>
  <c r="EI140" i="49"/>
  <c r="EJ140" i="49"/>
  <c r="EH471" i="49"/>
  <c r="EI471" i="49"/>
  <c r="EJ471" i="49"/>
  <c r="EH275" i="49"/>
  <c r="EI275" i="49"/>
  <c r="EJ275" i="49"/>
  <c r="EH352" i="49"/>
  <c r="EI352" i="49"/>
  <c r="EJ352" i="49"/>
  <c r="EH493" i="49"/>
  <c r="EI493" i="49"/>
  <c r="EJ493" i="49"/>
  <c r="EH398" i="49"/>
  <c r="EI398" i="49"/>
  <c r="EJ398" i="49"/>
  <c r="EH366" i="49"/>
  <c r="EI366" i="49"/>
  <c r="EJ366" i="49"/>
  <c r="EH147" i="49"/>
  <c r="EI147" i="49"/>
  <c r="EJ147" i="49"/>
  <c r="EH325" i="49"/>
  <c r="EI325" i="49"/>
  <c r="EJ325" i="49"/>
  <c r="EH17" i="49"/>
  <c r="EI17" i="49"/>
  <c r="EJ17" i="49"/>
  <c r="EH334" i="49"/>
  <c r="EI334" i="49"/>
  <c r="EJ334" i="49"/>
  <c r="EH320" i="49"/>
  <c r="EI320" i="49"/>
  <c r="EJ320" i="49"/>
  <c r="EH166" i="49"/>
  <c r="EI166" i="49"/>
  <c r="EJ166" i="49"/>
  <c r="EH220" i="49"/>
  <c r="EI220" i="49"/>
  <c r="EJ220" i="49"/>
  <c r="EH391" i="49"/>
  <c r="EI391" i="49"/>
  <c r="EJ391" i="49"/>
  <c r="EH365" i="49"/>
  <c r="EI365" i="49"/>
  <c r="EJ365" i="49"/>
  <c r="EH18" i="49"/>
  <c r="EI18" i="49"/>
  <c r="EJ18" i="49"/>
  <c r="EH378" i="49"/>
  <c r="EI378" i="49"/>
  <c r="EJ378" i="49"/>
  <c r="EH38" i="49"/>
  <c r="EI38" i="49"/>
  <c r="EJ38" i="49"/>
  <c r="EH74" i="49"/>
  <c r="EI74" i="49"/>
  <c r="EJ74" i="49"/>
  <c r="EH434" i="49"/>
  <c r="EI434" i="49"/>
  <c r="EJ434" i="49"/>
  <c r="EH201" i="49"/>
  <c r="EI201" i="49"/>
  <c r="EJ201" i="49"/>
  <c r="EH164" i="49"/>
  <c r="EI164" i="49"/>
  <c r="EJ164" i="49"/>
  <c r="EH28" i="49"/>
  <c r="EI28" i="49"/>
  <c r="EJ28" i="49"/>
  <c r="EH95" i="49"/>
  <c r="EI95" i="49"/>
  <c r="EJ95" i="49"/>
  <c r="EH118" i="49"/>
  <c r="EI118" i="49"/>
  <c r="EJ118" i="49"/>
  <c r="EH429" i="49"/>
  <c r="EI429" i="49"/>
  <c r="EJ429" i="49"/>
  <c r="EH339" i="49"/>
  <c r="EI339" i="49"/>
  <c r="EJ339" i="49"/>
  <c r="EH337" i="49"/>
  <c r="EI337" i="49"/>
  <c r="EJ337" i="49"/>
  <c r="EH336" i="49"/>
  <c r="EI336" i="49"/>
  <c r="EJ336" i="49"/>
  <c r="EH433" i="49"/>
  <c r="EI433" i="49"/>
  <c r="EJ433" i="49"/>
  <c r="EH452" i="49"/>
  <c r="EI452" i="49"/>
  <c r="EJ452" i="49"/>
  <c r="EH459" i="49"/>
  <c r="EI459" i="49"/>
  <c r="EJ459" i="49"/>
  <c r="EH431" i="49"/>
  <c r="EI431" i="49"/>
  <c r="EJ431" i="49"/>
  <c r="EH144" i="49"/>
  <c r="EI144" i="49"/>
  <c r="EJ144" i="49"/>
  <c r="EH56" i="49"/>
  <c r="EI56" i="49"/>
  <c r="EJ56" i="49"/>
  <c r="EH402" i="49"/>
  <c r="EI402" i="49"/>
  <c r="EJ402" i="49"/>
  <c r="EH421" i="49"/>
  <c r="EI421" i="49"/>
  <c r="EJ421" i="49"/>
  <c r="EH31" i="49"/>
  <c r="EI31" i="49"/>
  <c r="EJ31" i="49"/>
  <c r="EH406" i="49"/>
  <c r="EI406" i="49"/>
  <c r="EJ406" i="49"/>
  <c r="EH476" i="49"/>
  <c r="EI476" i="49"/>
  <c r="EJ476" i="49"/>
  <c r="EH150" i="49"/>
  <c r="EI150" i="49"/>
  <c r="EJ150" i="49"/>
  <c r="EH292" i="49"/>
  <c r="EI292" i="49"/>
  <c r="EJ292" i="49"/>
  <c r="EH94" i="49"/>
  <c r="EI94" i="49"/>
  <c r="EJ94" i="49"/>
  <c r="EH496" i="49"/>
  <c r="EI496" i="49"/>
  <c r="EJ496" i="49"/>
  <c r="EH302" i="49"/>
  <c r="EI302" i="49"/>
  <c r="EJ302" i="49"/>
  <c r="EH146" i="49"/>
  <c r="EI146" i="49"/>
  <c r="EJ146" i="49"/>
  <c r="EH37" i="49"/>
  <c r="EI37" i="49"/>
  <c r="EJ37" i="49"/>
  <c r="EH478" i="49"/>
  <c r="EI478" i="49"/>
  <c r="EJ478" i="49"/>
  <c r="EH316" i="49"/>
  <c r="EI316" i="49"/>
  <c r="EJ316" i="49"/>
  <c r="EH79" i="49"/>
  <c r="EI79" i="49"/>
  <c r="EJ79" i="49"/>
  <c r="EH455" i="49"/>
  <c r="EI455" i="49"/>
  <c r="EJ455" i="49"/>
  <c r="EH420" i="49"/>
  <c r="EI420" i="49"/>
  <c r="EJ420" i="49"/>
  <c r="EH332" i="49"/>
  <c r="EI332" i="49"/>
  <c r="EJ332" i="49"/>
  <c r="EH156" i="49"/>
  <c r="EI156" i="49"/>
  <c r="EJ156" i="49"/>
  <c r="EH363" i="49"/>
  <c r="EI363" i="49"/>
  <c r="EJ363" i="49"/>
  <c r="EH450" i="49"/>
  <c r="EI450" i="49"/>
  <c r="EJ450" i="49"/>
  <c r="EH114" i="49"/>
  <c r="EI114" i="49"/>
  <c r="EJ114" i="49"/>
  <c r="EH234" i="49"/>
  <c r="EI234" i="49"/>
  <c r="EJ234" i="49"/>
  <c r="EH300" i="49"/>
  <c r="EI300" i="49"/>
  <c r="EJ300" i="49"/>
  <c r="EH269" i="49"/>
  <c r="EI269" i="49"/>
  <c r="EJ269" i="49"/>
  <c r="EH313" i="49"/>
  <c r="EI313" i="49"/>
  <c r="EJ313" i="49"/>
  <c r="EH305" i="49"/>
  <c r="EI305" i="49"/>
  <c r="EJ305" i="49"/>
  <c r="EK204" i="49"/>
  <c r="EK203" i="49"/>
  <c r="EK305" i="49"/>
  <c r="EK450" i="49"/>
  <c r="EK496" i="49"/>
  <c r="EK402" i="49"/>
  <c r="EK459" i="49"/>
  <c r="EK337" i="49"/>
  <c r="EK95" i="49"/>
  <c r="EK434" i="49"/>
  <c r="EK18" i="49"/>
  <c r="EK166" i="49"/>
  <c r="EK325" i="49"/>
  <c r="EK493" i="49"/>
  <c r="EK140" i="49"/>
  <c r="EK422" i="49"/>
  <c r="EK232" i="49"/>
  <c r="EK314" i="49"/>
  <c r="EK438" i="49"/>
  <c r="EK23" i="49"/>
  <c r="EK194" i="49"/>
  <c r="EK67" i="49"/>
  <c r="EK33" i="49"/>
  <c r="EK11" i="49"/>
  <c r="EK359" i="49"/>
  <c r="EK132" i="49"/>
  <c r="EK185" i="49"/>
  <c r="EK229" i="49"/>
  <c r="EK9" i="49"/>
  <c r="EK307" i="49"/>
  <c r="EK178" i="49"/>
  <c r="EK173" i="49"/>
  <c r="EK350" i="49"/>
  <c r="EK240" i="49"/>
  <c r="EK136" i="49"/>
  <c r="EK186" i="49"/>
  <c r="EK14" i="49"/>
  <c r="EK303" i="49"/>
  <c r="EK341" i="49"/>
  <c r="EK105" i="49"/>
  <c r="EK289" i="49"/>
  <c r="EK373" i="49"/>
  <c r="EK463" i="49"/>
  <c r="EK141" i="49"/>
  <c r="EK257" i="49"/>
  <c r="EK362" i="49"/>
  <c r="EK139" i="49"/>
  <c r="EK241" i="49"/>
  <c r="EK277" i="49"/>
  <c r="EK43" i="49"/>
  <c r="EK388" i="49"/>
  <c r="EK428" i="49"/>
  <c r="EK423" i="49"/>
  <c r="EK21" i="49"/>
  <c r="EK335" i="49"/>
  <c r="EK400" i="49"/>
  <c r="EK40" i="49"/>
  <c r="EK112" i="49"/>
  <c r="EK451" i="49"/>
  <c r="EK327" i="49"/>
  <c r="EK187" i="49"/>
  <c r="EK83" i="49"/>
  <c r="EK113" i="49"/>
  <c r="EK278" i="49"/>
  <c r="EK179" i="49"/>
  <c r="EK159" i="49"/>
  <c r="EK60" i="49"/>
  <c r="EK418" i="49"/>
  <c r="EK44" i="49"/>
  <c r="EK427" i="49"/>
  <c r="EK490" i="49"/>
  <c r="EK200" i="49"/>
  <c r="EK392" i="49"/>
  <c r="EK279" i="49"/>
  <c r="EK444" i="49"/>
  <c r="EK477" i="49"/>
  <c r="EK161" i="49"/>
  <c r="EK364" i="49"/>
  <c r="EK322" i="49"/>
  <c r="EK456" i="49"/>
  <c r="EK24" i="49"/>
  <c r="EK474" i="49"/>
  <c r="EK145" i="49"/>
  <c r="EK64" i="49"/>
  <c r="EK119" i="49"/>
  <c r="EK340" i="49"/>
  <c r="EK252" i="49"/>
  <c r="EK442" i="49"/>
  <c r="EK321" i="49"/>
  <c r="EK247" i="49"/>
  <c r="EK361" i="49"/>
  <c r="EK135" i="49"/>
  <c r="EK301" i="49"/>
  <c r="EK283" i="49"/>
  <c r="EK367" i="49"/>
  <c r="EK104" i="49"/>
  <c r="EK412" i="49"/>
  <c r="EK304" i="49"/>
  <c r="EK152" i="49"/>
  <c r="EK211" i="49"/>
  <c r="EK379" i="49"/>
  <c r="EK92" i="49"/>
  <c r="EK222" i="49"/>
  <c r="EK347" i="49"/>
  <c r="EK371" i="49"/>
  <c r="EK410" i="49"/>
  <c r="EK66" i="49"/>
  <c r="EK230" i="49"/>
  <c r="EK134" i="49"/>
  <c r="EK329" i="49"/>
  <c r="EK78" i="49"/>
  <c r="EK96" i="49"/>
  <c r="EK226" i="49"/>
  <c r="EK127" i="49"/>
  <c r="EK468" i="49"/>
  <c r="EK221" i="49"/>
  <c r="EK212" i="49"/>
  <c r="EK73" i="49"/>
  <c r="EK233" i="49"/>
  <c r="EK430" i="49"/>
  <c r="EK89" i="49"/>
  <c r="EK269" i="49"/>
  <c r="EK420" i="49"/>
  <c r="EK478" i="49"/>
  <c r="EK476" i="49"/>
  <c r="EK300" i="49"/>
  <c r="EK363" i="49"/>
  <c r="EK455" i="49"/>
  <c r="EK37" i="49"/>
  <c r="EK94" i="49"/>
  <c r="EK406" i="49"/>
  <c r="EK56" i="49"/>
  <c r="EK452" i="49"/>
  <c r="EK339" i="49"/>
  <c r="EK28" i="49"/>
  <c r="EK74" i="49"/>
  <c r="EK365" i="49"/>
  <c r="EK320" i="49"/>
  <c r="EK147" i="49"/>
  <c r="EK352" i="49"/>
  <c r="EK120" i="49"/>
  <c r="EK198" i="49"/>
  <c r="EK343" i="49"/>
  <c r="EK197" i="49"/>
  <c r="EK259" i="49"/>
  <c r="EK82" i="49"/>
  <c r="EK355" i="49"/>
  <c r="EK437" i="49"/>
  <c r="EK153" i="49"/>
  <c r="EK255" i="49"/>
  <c r="EK489" i="49"/>
  <c r="EK214" i="49"/>
  <c r="EK30" i="49"/>
  <c r="EK270" i="49"/>
  <c r="EK192" i="49"/>
  <c r="EK165" i="49"/>
  <c r="EK454" i="49"/>
  <c r="EK408" i="49"/>
  <c r="EK149" i="49"/>
  <c r="EK370" i="49"/>
  <c r="EK419" i="49"/>
  <c r="EK449" i="49"/>
  <c r="EK457" i="49"/>
  <c r="EK262" i="49"/>
  <c r="EK331" i="49"/>
  <c r="EK344" i="49"/>
  <c r="EK308" i="49"/>
  <c r="EK245" i="49"/>
  <c r="EK243" i="49"/>
  <c r="EK253" i="49"/>
  <c r="EK250" i="49"/>
  <c r="EK380" i="49"/>
  <c r="EK25" i="49"/>
  <c r="EK345" i="49"/>
  <c r="EK385" i="49"/>
  <c r="EK440" i="49"/>
  <c r="EK328" i="49"/>
  <c r="EK445" i="49"/>
  <c r="EK231" i="49"/>
  <c r="EK485" i="49"/>
  <c r="EK171" i="49"/>
  <c r="EK129" i="49"/>
  <c r="EK441" i="49"/>
  <c r="EK394" i="49"/>
  <c r="EK71" i="49"/>
  <c r="EK10" i="49"/>
  <c r="EK93" i="49"/>
  <c r="EK249" i="49"/>
  <c r="EK137" i="49"/>
  <c r="EK34" i="49"/>
  <c r="EK158" i="49"/>
  <c r="EK261" i="49"/>
  <c r="EK52" i="49"/>
  <c r="EK475" i="49"/>
  <c r="EK123" i="49"/>
  <c r="EK436" i="49"/>
  <c r="EK210" i="49"/>
  <c r="EK435" i="49"/>
  <c r="EK486" i="49"/>
  <c r="EK415" i="49"/>
  <c r="EK484" i="49"/>
  <c r="EK177" i="49"/>
  <c r="EK309" i="49"/>
  <c r="EK281" i="49"/>
  <c r="EK72" i="49"/>
  <c r="EK36" i="49"/>
  <c r="EK276" i="49"/>
  <c r="EK268" i="49"/>
  <c r="EK29" i="49"/>
  <c r="EK58" i="49"/>
  <c r="EK446" i="49"/>
  <c r="EK84" i="49"/>
  <c r="EK396" i="49"/>
  <c r="EK482" i="49"/>
  <c r="EK168" i="49"/>
  <c r="EK209" i="49"/>
  <c r="EK63" i="49"/>
  <c r="EK414" i="49"/>
  <c r="EK205" i="49"/>
  <c r="EK374" i="49"/>
  <c r="EK7" i="49"/>
  <c r="EK479" i="49"/>
  <c r="EK401" i="49"/>
  <c r="EK487" i="49"/>
  <c r="EK397" i="49"/>
  <c r="EK65" i="49"/>
  <c r="EK274" i="49"/>
  <c r="EK53" i="49"/>
  <c r="EK310" i="49"/>
  <c r="EK91" i="49"/>
  <c r="EK184" i="49"/>
  <c r="EK111" i="49"/>
  <c r="EK16" i="49"/>
  <c r="EK103" i="49"/>
  <c r="EK399" i="49"/>
  <c r="EK296" i="49"/>
  <c r="EK216" i="49"/>
  <c r="EK284" i="49"/>
  <c r="EK109" i="49"/>
  <c r="EK491" i="49"/>
  <c r="EK358" i="49"/>
  <c r="EK439" i="49"/>
  <c r="EK50" i="49"/>
  <c r="EK142" i="49"/>
  <c r="EK224" i="49"/>
  <c r="EK386" i="49"/>
  <c r="EK280" i="49"/>
  <c r="EK156" i="49"/>
  <c r="EK146" i="49"/>
  <c r="EK31" i="49"/>
  <c r="EK144" i="49"/>
  <c r="EK433" i="49"/>
  <c r="EK429" i="49"/>
  <c r="EK164" i="49"/>
  <c r="EK38" i="49"/>
  <c r="EK391" i="49"/>
  <c r="EK334" i="49"/>
  <c r="EK366" i="49"/>
  <c r="EK275" i="49"/>
  <c r="EK213" i="49"/>
  <c r="EK338" i="49"/>
  <c r="EK154" i="49"/>
  <c r="EK426" i="49"/>
  <c r="EK75" i="49"/>
  <c r="EK356" i="49"/>
  <c r="EK413" i="49"/>
  <c r="EK223" i="49"/>
  <c r="EK425" i="49"/>
  <c r="EK377" i="49"/>
  <c r="EK76" i="49"/>
  <c r="EK133" i="49"/>
  <c r="EK181" i="49"/>
  <c r="EK121" i="49"/>
  <c r="EK246" i="49"/>
  <c r="EK157" i="49"/>
  <c r="EK481" i="49"/>
  <c r="EK236" i="49"/>
  <c r="EK99" i="49"/>
  <c r="EK411" i="49"/>
  <c r="EK460" i="49"/>
  <c r="EK326" i="49"/>
  <c r="EK244" i="49"/>
  <c r="EK467" i="49"/>
  <c r="EK239" i="49"/>
  <c r="EK407" i="49"/>
  <c r="EK202" i="49"/>
  <c r="EK235" i="49"/>
  <c r="EK110" i="49"/>
  <c r="EK376" i="49"/>
  <c r="EK57" i="49"/>
  <c r="EK199" i="49"/>
  <c r="EK381" i="49"/>
  <c r="EK382" i="49"/>
  <c r="EK238" i="49"/>
  <c r="EK448" i="49"/>
  <c r="EK15" i="49"/>
  <c r="EK287" i="49"/>
  <c r="EK333" i="49"/>
  <c r="EK86" i="49"/>
  <c r="EK317" i="49"/>
  <c r="EK45" i="49"/>
  <c r="EK372" i="49"/>
  <c r="EK183" i="49"/>
  <c r="EK260" i="49"/>
  <c r="EK87" i="49"/>
  <c r="EK258" i="49"/>
  <c r="EK163" i="49"/>
  <c r="EK368" i="49"/>
  <c r="EK357" i="49"/>
  <c r="EK465" i="49"/>
  <c r="EK297" i="49"/>
  <c r="EK39" i="49"/>
  <c r="EK85" i="49"/>
  <c r="EK272" i="49"/>
  <c r="EK306" i="49"/>
  <c r="EK108" i="49"/>
  <c r="EK48" i="49"/>
  <c r="EK375" i="49"/>
  <c r="EK251" i="49"/>
  <c r="EK8" i="49"/>
  <c r="EK353" i="49"/>
  <c r="EK462" i="49"/>
  <c r="EK498" i="49"/>
  <c r="EK55" i="49"/>
  <c r="EK219" i="49"/>
  <c r="EK32" i="49"/>
  <c r="EK271" i="49"/>
  <c r="EK263" i="49"/>
  <c r="EK143" i="49"/>
  <c r="EK42" i="49"/>
  <c r="EK167" i="49"/>
  <c r="EK22" i="49"/>
  <c r="EK383" i="49"/>
  <c r="EK46" i="49"/>
  <c r="EK294" i="49"/>
  <c r="EK393" i="49"/>
  <c r="EK69" i="49"/>
  <c r="EK387" i="49"/>
  <c r="EK122" i="49"/>
  <c r="EK461" i="49"/>
  <c r="EK404" i="49"/>
  <c r="EK47" i="49"/>
  <c r="EK41" i="49"/>
  <c r="EK49" i="49"/>
  <c r="EK115" i="49"/>
  <c r="EK162" i="49"/>
  <c r="EK492" i="49"/>
  <c r="EK193" i="49"/>
  <c r="EK160" i="49"/>
  <c r="EK494" i="49"/>
  <c r="EK464" i="49"/>
  <c r="EK346" i="49"/>
  <c r="EK315" i="49"/>
  <c r="EK148" i="49"/>
  <c r="EK265" i="49"/>
  <c r="EK312" i="49"/>
  <c r="EK349" i="49"/>
  <c r="EK172" i="49"/>
  <c r="EK101" i="49"/>
  <c r="EK155" i="49"/>
  <c r="EK27" i="49"/>
  <c r="EK215" i="49"/>
  <c r="EK266" i="49"/>
  <c r="EK443" i="49"/>
  <c r="EK54" i="49"/>
  <c r="EH500" i="49"/>
  <c r="EK234" i="49"/>
  <c r="EK79" i="49"/>
  <c r="EK292" i="49"/>
  <c r="EK313" i="49"/>
  <c r="EK114" i="49"/>
  <c r="EK332" i="49"/>
  <c r="EK316" i="49"/>
  <c r="EK302" i="49"/>
  <c r="EK150" i="49"/>
  <c r="EK421" i="49"/>
  <c r="EK431" i="49"/>
  <c r="EK336" i="49"/>
  <c r="EK118" i="49"/>
  <c r="EK201" i="49"/>
  <c r="EK378" i="49"/>
  <c r="EK220" i="49"/>
  <c r="EK17" i="49"/>
  <c r="EK398" i="49"/>
  <c r="EK471" i="49"/>
  <c r="EK290" i="49"/>
  <c r="EK311" i="49"/>
  <c r="EK6" i="49"/>
  <c r="EK190" i="49"/>
  <c r="EK395" i="49"/>
  <c r="EK70" i="49"/>
  <c r="EK189" i="49"/>
  <c r="EK323" i="49"/>
  <c r="EK458" i="49"/>
  <c r="EK480" i="49"/>
  <c r="EK256" i="49"/>
  <c r="EK180" i="49"/>
  <c r="EK264" i="49"/>
  <c r="EK130" i="49"/>
  <c r="EK98" i="49"/>
  <c r="EK107" i="49"/>
  <c r="EK403" i="49"/>
  <c r="EK138" i="49"/>
  <c r="EK254" i="49"/>
  <c r="EK389" i="49"/>
  <c r="EK432" i="49"/>
  <c r="EK106" i="49"/>
  <c r="EK117" i="49"/>
  <c r="EK384" i="49"/>
  <c r="EK295" i="49"/>
  <c r="EK298" i="49"/>
  <c r="EK170" i="49"/>
  <c r="EK483" i="49"/>
  <c r="EK174" i="49"/>
  <c r="EK293" i="49"/>
  <c r="EK472" i="49"/>
  <c r="EK342" i="49"/>
  <c r="EK195" i="49"/>
  <c r="EK116" i="49"/>
  <c r="EK360" i="49"/>
  <c r="EK273" i="49"/>
  <c r="EK354" i="49"/>
  <c r="EK151" i="49"/>
  <c r="EK124" i="49"/>
  <c r="EK207" i="49"/>
  <c r="EK285" i="49"/>
  <c r="EK286" i="49"/>
  <c r="EK97" i="49"/>
  <c r="EK218" i="49"/>
  <c r="EK217" i="49"/>
  <c r="EK196" i="49"/>
  <c r="EK188" i="49"/>
  <c r="EK51" i="49"/>
  <c r="EK175" i="49"/>
  <c r="EK35" i="49"/>
  <c r="EK68" i="49"/>
  <c r="EK351" i="49"/>
  <c r="EK59" i="49"/>
  <c r="EK225" i="49"/>
  <c r="EK191" i="49"/>
  <c r="EK26" i="49"/>
  <c r="EK466" i="49"/>
  <c r="EK424" i="49"/>
  <c r="EK131" i="49"/>
  <c r="EK208" i="49"/>
  <c r="EK390" i="49"/>
  <c r="EK369" i="49"/>
  <c r="EK62" i="49"/>
  <c r="EK12" i="49"/>
  <c r="EK100" i="49"/>
  <c r="EK299" i="49"/>
  <c r="EK417" i="49"/>
  <c r="EK125" i="49"/>
  <c r="EK20" i="49"/>
  <c r="EK80" i="49"/>
  <c r="EK176" i="49"/>
  <c r="EK19" i="49"/>
  <c r="EK248" i="49"/>
  <c r="EK348" i="49"/>
  <c r="EK169" i="49"/>
  <c r="EK453" i="49"/>
  <c r="EK13" i="49"/>
  <c r="EK324" i="49"/>
  <c r="EK469" i="49"/>
  <c r="EK470" i="49"/>
  <c r="EK409" i="49"/>
  <c r="EK128" i="49"/>
  <c r="EK473" i="49"/>
  <c r="EK291" i="49"/>
  <c r="EK282" i="49"/>
  <c r="EK227" i="49"/>
  <c r="EK488" i="49"/>
  <c r="EK206" i="49"/>
  <c r="EK447" i="49"/>
  <c r="EK182" i="49"/>
  <c r="EK318" i="49"/>
  <c r="EK319" i="49"/>
  <c r="EK90" i="49"/>
  <c r="EK77" i="49"/>
  <c r="EK102" i="49"/>
  <c r="EK405" i="49"/>
  <c r="EK416" i="49"/>
  <c r="EK88" i="49"/>
  <c r="EK228" i="49"/>
  <c r="EK288" i="49"/>
  <c r="EK81" i="49"/>
  <c r="EK237" i="49"/>
  <c r="EK61" i="49"/>
  <c r="EK267" i="49"/>
  <c r="EK242" i="49"/>
  <c r="EK126" i="49"/>
  <c r="EJ5" i="49"/>
  <c r="EI500" i="49"/>
  <c r="EI2" i="49"/>
  <c r="EJ500" i="49"/>
  <c r="EJ2" i="49"/>
  <c r="EK5" i="49"/>
  <c r="EK500" i="49"/>
  <c r="EK2" i="49"/>
  <c r="EL2" i="49"/>
  <c r="EL330" i="49"/>
  <c r="EM330" i="49"/>
  <c r="EN330" i="49"/>
  <c r="EO330" i="49"/>
  <c r="EL203" i="49"/>
  <c r="EM203" i="49"/>
  <c r="EN203" i="49"/>
  <c r="EL204" i="49"/>
  <c r="EM204" i="49"/>
  <c r="EN204" i="49"/>
  <c r="EL5" i="49"/>
  <c r="EM5" i="49"/>
  <c r="EL182" i="49"/>
  <c r="EM182" i="49"/>
  <c r="EN182" i="49"/>
  <c r="EL470" i="49"/>
  <c r="EM470" i="49"/>
  <c r="EN470" i="49"/>
  <c r="EL424" i="49"/>
  <c r="EM424" i="49"/>
  <c r="EN424" i="49"/>
  <c r="EL151" i="49"/>
  <c r="EM151" i="49"/>
  <c r="EN151" i="49"/>
  <c r="EL298" i="49"/>
  <c r="EM298" i="49"/>
  <c r="EN298" i="49"/>
  <c r="EL431" i="49"/>
  <c r="EM431" i="49"/>
  <c r="EN431" i="49"/>
  <c r="EL266" i="49"/>
  <c r="EM266" i="49"/>
  <c r="EN266" i="49"/>
  <c r="EL349" i="49"/>
  <c r="EM349" i="49"/>
  <c r="EN349" i="49"/>
  <c r="EL41" i="49"/>
  <c r="EM41" i="49"/>
  <c r="EN41" i="49"/>
  <c r="EL42" i="49"/>
  <c r="EM42" i="49"/>
  <c r="EN42" i="49"/>
  <c r="EL498" i="49"/>
  <c r="EM498" i="49"/>
  <c r="EN498" i="49"/>
  <c r="EL48" i="49"/>
  <c r="EM48" i="49"/>
  <c r="EN48" i="49"/>
  <c r="EL287" i="49"/>
  <c r="EM287" i="49"/>
  <c r="EN287" i="49"/>
  <c r="EL157" i="49"/>
  <c r="EM157" i="49"/>
  <c r="EN157" i="49"/>
  <c r="EL377" i="49"/>
  <c r="EM377" i="49"/>
  <c r="EN377" i="49"/>
  <c r="EL366" i="49"/>
  <c r="EM366" i="49"/>
  <c r="EN366" i="49"/>
  <c r="EL280" i="49"/>
  <c r="EM280" i="49"/>
  <c r="EN280" i="49"/>
  <c r="EL358" i="49"/>
  <c r="EM358" i="49"/>
  <c r="EN358" i="49"/>
  <c r="EL7" i="49"/>
  <c r="EM7" i="49"/>
  <c r="EN7" i="49"/>
  <c r="EL29" i="49"/>
  <c r="EM29" i="49"/>
  <c r="EN29" i="49"/>
  <c r="EL177" i="49"/>
  <c r="EM177" i="49"/>
  <c r="EN177" i="49"/>
  <c r="EL475" i="49"/>
  <c r="EM475" i="49"/>
  <c r="EN475" i="49"/>
  <c r="EL137" i="49"/>
  <c r="EM137" i="49"/>
  <c r="EN137" i="49"/>
  <c r="EL345" i="49"/>
  <c r="EM345" i="49"/>
  <c r="EN345" i="49"/>
  <c r="EL165" i="49"/>
  <c r="EM165" i="49"/>
  <c r="EN165" i="49"/>
  <c r="EL255" i="49"/>
  <c r="EM255" i="49"/>
  <c r="EN255" i="49"/>
  <c r="EL320" i="49"/>
  <c r="EM320" i="49"/>
  <c r="EN320" i="49"/>
  <c r="EL233" i="49"/>
  <c r="EM233" i="49"/>
  <c r="EN233" i="49"/>
  <c r="EL96" i="49"/>
  <c r="EM96" i="49"/>
  <c r="EN96" i="49"/>
  <c r="EL152" i="49"/>
  <c r="EM152" i="49"/>
  <c r="EN152" i="49"/>
  <c r="EL474" i="49"/>
  <c r="EM474" i="49"/>
  <c r="EN474" i="49"/>
  <c r="EL418" i="49"/>
  <c r="EM418" i="49"/>
  <c r="EN418" i="49"/>
  <c r="EL187" i="49"/>
  <c r="EM187" i="49"/>
  <c r="EN187" i="49"/>
  <c r="EL335" i="49"/>
  <c r="EM335" i="49"/>
  <c r="EN335" i="49"/>
  <c r="EL14" i="49"/>
  <c r="EM14" i="49"/>
  <c r="EN14" i="49"/>
  <c r="EL185" i="49"/>
  <c r="EM185" i="49"/>
  <c r="EN185" i="49"/>
  <c r="EL23" i="49"/>
  <c r="EM23" i="49"/>
  <c r="EN23" i="49"/>
  <c r="EL95" i="49"/>
  <c r="EM95" i="49"/>
  <c r="EN95" i="49"/>
  <c r="EL81" i="49"/>
  <c r="EM81" i="49"/>
  <c r="EN81" i="49"/>
  <c r="EL102" i="49"/>
  <c r="EM102" i="49"/>
  <c r="EN102" i="49"/>
  <c r="EL128" i="49"/>
  <c r="EM128" i="49"/>
  <c r="EN128" i="49"/>
  <c r="EL125" i="49"/>
  <c r="EM125" i="49"/>
  <c r="EN125" i="49"/>
  <c r="EL62" i="49"/>
  <c r="EM62" i="49"/>
  <c r="EN62" i="49"/>
  <c r="EL51" i="49"/>
  <c r="EM51" i="49"/>
  <c r="EN51" i="49"/>
  <c r="EL124" i="49"/>
  <c r="EM124" i="49"/>
  <c r="EN124" i="49"/>
  <c r="EL138" i="49"/>
  <c r="EM138" i="49"/>
  <c r="EN138" i="49"/>
  <c r="EL180" i="49"/>
  <c r="EM180" i="49"/>
  <c r="EN180" i="49"/>
  <c r="EL189" i="49"/>
  <c r="EM189" i="49"/>
  <c r="EN189" i="49"/>
  <c r="EL150" i="49"/>
  <c r="EM150" i="49"/>
  <c r="EN150" i="49"/>
  <c r="EL193" i="49"/>
  <c r="EM193" i="49"/>
  <c r="EN193" i="49"/>
  <c r="EL393" i="49"/>
  <c r="EM393" i="49"/>
  <c r="EN393" i="49"/>
  <c r="EL39" i="49"/>
  <c r="EM39" i="49"/>
  <c r="EN39" i="49"/>
  <c r="EL57" i="49"/>
  <c r="EM57" i="49"/>
  <c r="EN57" i="49"/>
  <c r="EL76" i="49"/>
  <c r="EM76" i="49"/>
  <c r="EN76" i="49"/>
  <c r="EL386" i="49"/>
  <c r="EM386" i="49"/>
  <c r="EN386" i="49"/>
  <c r="EL65" i="49"/>
  <c r="EM65" i="49"/>
  <c r="EN65" i="49"/>
  <c r="EL414" i="49"/>
  <c r="EM414" i="49"/>
  <c r="EN414" i="49"/>
  <c r="EL445" i="49"/>
  <c r="EM445" i="49"/>
  <c r="EN445" i="49"/>
  <c r="EL449" i="49"/>
  <c r="EM449" i="49"/>
  <c r="EN449" i="49"/>
  <c r="EL74" i="49"/>
  <c r="EM74" i="49"/>
  <c r="EN74" i="49"/>
  <c r="EL478" i="49"/>
  <c r="EM478" i="49"/>
  <c r="EN478" i="49"/>
  <c r="EL283" i="49"/>
  <c r="EM283" i="49"/>
  <c r="EN283" i="49"/>
  <c r="EL279" i="49"/>
  <c r="EM279" i="49"/>
  <c r="EN279" i="49"/>
  <c r="EL241" i="49"/>
  <c r="EM241" i="49"/>
  <c r="EN241" i="49"/>
  <c r="EL166" i="49"/>
  <c r="EM166" i="49"/>
  <c r="EN166" i="49"/>
  <c r="EL409" i="49"/>
  <c r="EM409" i="49"/>
  <c r="EN409" i="49"/>
  <c r="EL354" i="49"/>
  <c r="EM354" i="49"/>
  <c r="EN354" i="49"/>
  <c r="EL403" i="49"/>
  <c r="EM403" i="49"/>
  <c r="EN403" i="49"/>
  <c r="EL421" i="49"/>
  <c r="EM421" i="49"/>
  <c r="EN421" i="49"/>
  <c r="EL215" i="49"/>
  <c r="EM215" i="49"/>
  <c r="EN215" i="49"/>
  <c r="EL315" i="49"/>
  <c r="EM315" i="49"/>
  <c r="EN315" i="49"/>
  <c r="EL47" i="49"/>
  <c r="EM47" i="49"/>
  <c r="EN47" i="49"/>
  <c r="EL263" i="49"/>
  <c r="EM263" i="49"/>
  <c r="EN263" i="49"/>
  <c r="EL258" i="49"/>
  <c r="EM258" i="49"/>
  <c r="EN258" i="49"/>
  <c r="EL448" i="49"/>
  <c r="EM448" i="49"/>
  <c r="EN448" i="49"/>
  <c r="EL202" i="49"/>
  <c r="EM202" i="49"/>
  <c r="EN202" i="49"/>
  <c r="EL425" i="49"/>
  <c r="EM425" i="49"/>
  <c r="EN425" i="49"/>
  <c r="EL216" i="49"/>
  <c r="EM216" i="49"/>
  <c r="EN216" i="49"/>
  <c r="EL58" i="49"/>
  <c r="EM58" i="49"/>
  <c r="EN58" i="49"/>
  <c r="EL71" i="49"/>
  <c r="EM71" i="49"/>
  <c r="EN71" i="49"/>
  <c r="EL259" i="49"/>
  <c r="EM259" i="49"/>
  <c r="EN259" i="49"/>
  <c r="EL456" i="49"/>
  <c r="EM456" i="49"/>
  <c r="EN456" i="49"/>
  <c r="EL307" i="49"/>
  <c r="EM307" i="49"/>
  <c r="EN307" i="49"/>
  <c r="EL68" i="49"/>
  <c r="EM68" i="49"/>
  <c r="EN68" i="49"/>
  <c r="EL201" i="49"/>
  <c r="EM201" i="49"/>
  <c r="EN201" i="49"/>
  <c r="EL38" i="49"/>
  <c r="EM38" i="49"/>
  <c r="EN38" i="49"/>
  <c r="EL367" i="49"/>
  <c r="EM367" i="49"/>
  <c r="EN367" i="49"/>
  <c r="EL459" i="49"/>
  <c r="EM459" i="49"/>
  <c r="EN459" i="49"/>
  <c r="EL206" i="49"/>
  <c r="EM206" i="49"/>
  <c r="EN206" i="49"/>
  <c r="EL324" i="49"/>
  <c r="EM324" i="49"/>
  <c r="EN324" i="49"/>
  <c r="EL26" i="49"/>
  <c r="EM26" i="49"/>
  <c r="EN26" i="49"/>
  <c r="EL273" i="49"/>
  <c r="EM273" i="49"/>
  <c r="EN273" i="49"/>
  <c r="EL384" i="49"/>
  <c r="EM384" i="49"/>
  <c r="EN384" i="49"/>
  <c r="EL316" i="49"/>
  <c r="EM316" i="49"/>
  <c r="EN316" i="49"/>
  <c r="EL27" i="49"/>
  <c r="EM27" i="49"/>
  <c r="EN27" i="49"/>
  <c r="EL148" i="49"/>
  <c r="EM148" i="49"/>
  <c r="EN148" i="49"/>
  <c r="EL122" i="49"/>
  <c r="EM122" i="49"/>
  <c r="EN122" i="49"/>
  <c r="EL143" i="49"/>
  <c r="EM143" i="49"/>
  <c r="EN143" i="49"/>
  <c r="EL353" i="49"/>
  <c r="EM353" i="49"/>
  <c r="EN353" i="49"/>
  <c r="EL163" i="49"/>
  <c r="EM163" i="49"/>
  <c r="EN163" i="49"/>
  <c r="EL381" i="49"/>
  <c r="EM381" i="49"/>
  <c r="EN381" i="49"/>
  <c r="EL246" i="49"/>
  <c r="EM246" i="49"/>
  <c r="EN246" i="49"/>
  <c r="EL356" i="49"/>
  <c r="EM356" i="49"/>
  <c r="EN356" i="49"/>
  <c r="EL391" i="49"/>
  <c r="EM391" i="49"/>
  <c r="EN391" i="49"/>
  <c r="EL224" i="49"/>
  <c r="EM224" i="49"/>
  <c r="EN224" i="49"/>
  <c r="EL399" i="49"/>
  <c r="EM399" i="49"/>
  <c r="EN399" i="49"/>
  <c r="EL205" i="49"/>
  <c r="EM205" i="49"/>
  <c r="EN205" i="49"/>
  <c r="EL36" i="49"/>
  <c r="EM36" i="49"/>
  <c r="EN36" i="49"/>
  <c r="EL484" i="49"/>
  <c r="EM484" i="49"/>
  <c r="EN484" i="49"/>
  <c r="EL52" i="49"/>
  <c r="EM52" i="49"/>
  <c r="EN52" i="49"/>
  <c r="EL93" i="49"/>
  <c r="EM93" i="49"/>
  <c r="EN93" i="49"/>
  <c r="EL380" i="49"/>
  <c r="EM380" i="49"/>
  <c r="EN380" i="49"/>
  <c r="EL192" i="49"/>
  <c r="EM192" i="49"/>
  <c r="EN192" i="49"/>
  <c r="EL355" i="49"/>
  <c r="EM355" i="49"/>
  <c r="EN355" i="49"/>
  <c r="EL28" i="49"/>
  <c r="EM28" i="49"/>
  <c r="EN28" i="49"/>
  <c r="EL212" i="49"/>
  <c r="EM212" i="49"/>
  <c r="EN212" i="49"/>
  <c r="EL66" i="49"/>
  <c r="EM66" i="49"/>
  <c r="EN66" i="49"/>
  <c r="EL252" i="49"/>
  <c r="EM252" i="49"/>
  <c r="EN252" i="49"/>
  <c r="EL322" i="49"/>
  <c r="EM322" i="49"/>
  <c r="EN322" i="49"/>
  <c r="EL60" i="49"/>
  <c r="EM60" i="49"/>
  <c r="EN60" i="49"/>
  <c r="EL327" i="49"/>
  <c r="EM327" i="49"/>
  <c r="EN327" i="49"/>
  <c r="EL21" i="49"/>
  <c r="EM21" i="49"/>
  <c r="EN21" i="49"/>
  <c r="EL136" i="49"/>
  <c r="EM136" i="49"/>
  <c r="EN136" i="49"/>
  <c r="EL359" i="49"/>
  <c r="EM359" i="49"/>
  <c r="EN359" i="49"/>
  <c r="EL438" i="49"/>
  <c r="EM438" i="49"/>
  <c r="EN438" i="49"/>
  <c r="EL126" i="49"/>
  <c r="EM126" i="49"/>
  <c r="EN126" i="49"/>
  <c r="EL288" i="49"/>
  <c r="EM288" i="49"/>
  <c r="EN288" i="49"/>
  <c r="EL318" i="49"/>
  <c r="EM318" i="49"/>
  <c r="EN318" i="49"/>
  <c r="EL19" i="49"/>
  <c r="EM19" i="49"/>
  <c r="EN19" i="49"/>
  <c r="EL417" i="49"/>
  <c r="EM417" i="49"/>
  <c r="EN417" i="49"/>
  <c r="EL369" i="49"/>
  <c r="EM369" i="49"/>
  <c r="EN369" i="49"/>
  <c r="EL196" i="49"/>
  <c r="EM196" i="49"/>
  <c r="EN196" i="49"/>
  <c r="EL360" i="49"/>
  <c r="EM360" i="49"/>
  <c r="EN360" i="49"/>
  <c r="EL107" i="49"/>
  <c r="EM107" i="49"/>
  <c r="EN107" i="49"/>
  <c r="EL256" i="49"/>
  <c r="EM256" i="49"/>
  <c r="EN256" i="49"/>
  <c r="EL290" i="49"/>
  <c r="EM290" i="49"/>
  <c r="EN290" i="49"/>
  <c r="EL114" i="49"/>
  <c r="EM114" i="49"/>
  <c r="EN114" i="49"/>
  <c r="EL162" i="49"/>
  <c r="EM162" i="49"/>
  <c r="EN162" i="49"/>
  <c r="EL32" i="49"/>
  <c r="EM32" i="49"/>
  <c r="EN32" i="49"/>
  <c r="EL465" i="49"/>
  <c r="EM465" i="49"/>
  <c r="EN465" i="49"/>
  <c r="EL460" i="49"/>
  <c r="EM460" i="49"/>
  <c r="EN460" i="49"/>
  <c r="EL154" i="49"/>
  <c r="EM154" i="49"/>
  <c r="EN154" i="49"/>
  <c r="EL111" i="49"/>
  <c r="EM111" i="49"/>
  <c r="EN111" i="49"/>
  <c r="EL487" i="49"/>
  <c r="EM487" i="49"/>
  <c r="EN487" i="49"/>
  <c r="EL209" i="49"/>
  <c r="EM209" i="49"/>
  <c r="EN209" i="49"/>
  <c r="EL440" i="49"/>
  <c r="EM440" i="49"/>
  <c r="EN440" i="49"/>
  <c r="EL370" i="49"/>
  <c r="EM370" i="49"/>
  <c r="EN370" i="49"/>
  <c r="EL339" i="49"/>
  <c r="EM339" i="49"/>
  <c r="EN339" i="49"/>
  <c r="EL221" i="49"/>
  <c r="EM221" i="49"/>
  <c r="EN221" i="49"/>
  <c r="EL247" i="49"/>
  <c r="EM247" i="49"/>
  <c r="EN247" i="49"/>
  <c r="EL200" i="49"/>
  <c r="EM200" i="49"/>
  <c r="EN200" i="49"/>
  <c r="EL373" i="49"/>
  <c r="EM373" i="49"/>
  <c r="EN373" i="49"/>
  <c r="EL337" i="49"/>
  <c r="EM337" i="49"/>
  <c r="EN337" i="49"/>
  <c r="EL191" i="49"/>
  <c r="EM191" i="49"/>
  <c r="EN191" i="49"/>
  <c r="EL195" i="49"/>
  <c r="EM195" i="49"/>
  <c r="EN195" i="49"/>
  <c r="EL6" i="49"/>
  <c r="EM6" i="49"/>
  <c r="EN6" i="49"/>
  <c r="EL302" i="49"/>
  <c r="EM302" i="49"/>
  <c r="EN302" i="49"/>
  <c r="EL101" i="49"/>
  <c r="EM101" i="49"/>
  <c r="EN101" i="49"/>
  <c r="EL464" i="49"/>
  <c r="EM464" i="49"/>
  <c r="EN464" i="49"/>
  <c r="EL294" i="49"/>
  <c r="EM294" i="49"/>
  <c r="EN294" i="49"/>
  <c r="EL219" i="49"/>
  <c r="EM219" i="49"/>
  <c r="EN219" i="49"/>
  <c r="EL183" i="49"/>
  <c r="EM183" i="49"/>
  <c r="EN183" i="49"/>
  <c r="EL86" i="49"/>
  <c r="EM86" i="49"/>
  <c r="EN86" i="49"/>
  <c r="EL382" i="49"/>
  <c r="EM382" i="49"/>
  <c r="EN382" i="49"/>
  <c r="EL239" i="49"/>
  <c r="EM239" i="49"/>
  <c r="EN239" i="49"/>
  <c r="EL223" i="49"/>
  <c r="EM223" i="49"/>
  <c r="EN223" i="49"/>
  <c r="EL334" i="49"/>
  <c r="EM334" i="49"/>
  <c r="EN334" i="49"/>
  <c r="EL491" i="49"/>
  <c r="EM491" i="49"/>
  <c r="EN491" i="49"/>
  <c r="EL296" i="49"/>
  <c r="EM296" i="49"/>
  <c r="EN296" i="49"/>
  <c r="EL268" i="49"/>
  <c r="EM268" i="49"/>
  <c r="EN268" i="49"/>
  <c r="EL486" i="49"/>
  <c r="EM486" i="49"/>
  <c r="EN486" i="49"/>
  <c r="EL394" i="49"/>
  <c r="EM394" i="49"/>
  <c r="EN394" i="49"/>
  <c r="EL385" i="49"/>
  <c r="EM385" i="49"/>
  <c r="EN385" i="49"/>
  <c r="EL214" i="49"/>
  <c r="EM214" i="49"/>
  <c r="EN214" i="49"/>
  <c r="EL198" i="49"/>
  <c r="EM198" i="49"/>
  <c r="EN198" i="49"/>
  <c r="EL269" i="49"/>
  <c r="EM269" i="49"/>
  <c r="EN269" i="49"/>
  <c r="EL78" i="49"/>
  <c r="EM78" i="49"/>
  <c r="EN78" i="49"/>
  <c r="EL371" i="49"/>
  <c r="EM371" i="49"/>
  <c r="EN371" i="49"/>
  <c r="EL135" i="49"/>
  <c r="EM135" i="49"/>
  <c r="EN135" i="49"/>
  <c r="EL364" i="49"/>
  <c r="EM364" i="49"/>
  <c r="EN364" i="49"/>
  <c r="EL490" i="49"/>
  <c r="EM490" i="49"/>
  <c r="EN490" i="49"/>
  <c r="EL40" i="49"/>
  <c r="EM40" i="49"/>
  <c r="EN40" i="49"/>
  <c r="EL186" i="49"/>
  <c r="EM186" i="49"/>
  <c r="EN186" i="49"/>
  <c r="EL229" i="49"/>
  <c r="EM229" i="49"/>
  <c r="EN229" i="49"/>
  <c r="EL314" i="49"/>
  <c r="EM314" i="49"/>
  <c r="EN314" i="49"/>
  <c r="EL61" i="49"/>
  <c r="EM61" i="49"/>
  <c r="EN61" i="49"/>
  <c r="EL90" i="49"/>
  <c r="EM90" i="49"/>
  <c r="EN90" i="49"/>
  <c r="EL169" i="49"/>
  <c r="EM169" i="49"/>
  <c r="EN169" i="49"/>
  <c r="EL390" i="49"/>
  <c r="EM390" i="49"/>
  <c r="EN390" i="49"/>
  <c r="EL35" i="49"/>
  <c r="EM35" i="49"/>
  <c r="EN35" i="49"/>
  <c r="EL207" i="49"/>
  <c r="EM207" i="49"/>
  <c r="EN207" i="49"/>
  <c r="EL170" i="49"/>
  <c r="EM170" i="49"/>
  <c r="EN170" i="49"/>
  <c r="EL458" i="49"/>
  <c r="EM458" i="49"/>
  <c r="EN458" i="49"/>
  <c r="EL311" i="49"/>
  <c r="EM311" i="49"/>
  <c r="EN311" i="49"/>
  <c r="EL79" i="49"/>
  <c r="EM79" i="49"/>
  <c r="EN79" i="49"/>
  <c r="EL383" i="49"/>
  <c r="EM383" i="49"/>
  <c r="EN383" i="49"/>
  <c r="EL357" i="49"/>
  <c r="EM357" i="49"/>
  <c r="EN357" i="49"/>
  <c r="EL326" i="49"/>
  <c r="EM326" i="49"/>
  <c r="EN326" i="49"/>
  <c r="EL429" i="49"/>
  <c r="EM429" i="49"/>
  <c r="EN429" i="49"/>
  <c r="EL401" i="49"/>
  <c r="EM401" i="49"/>
  <c r="EN401" i="49"/>
  <c r="EL123" i="49"/>
  <c r="EM123" i="49"/>
  <c r="EN123" i="49"/>
  <c r="EL308" i="49"/>
  <c r="EM308" i="49"/>
  <c r="EN308" i="49"/>
  <c r="EL454" i="49"/>
  <c r="EM454" i="49"/>
  <c r="EN454" i="49"/>
  <c r="EL452" i="49"/>
  <c r="EM452" i="49"/>
  <c r="EN452" i="49"/>
  <c r="EL420" i="49"/>
  <c r="EM420" i="49"/>
  <c r="EN420" i="49"/>
  <c r="EL301" i="49"/>
  <c r="EM301" i="49"/>
  <c r="EN301" i="49"/>
  <c r="EL388" i="49"/>
  <c r="EM388" i="49"/>
  <c r="EN388" i="49"/>
  <c r="EL463" i="49"/>
  <c r="EM463" i="49"/>
  <c r="EN463" i="49"/>
  <c r="EL232" i="49"/>
  <c r="EM232" i="49"/>
  <c r="EN232" i="49"/>
  <c r="EL496" i="49"/>
  <c r="EM496" i="49"/>
  <c r="EN496" i="49"/>
  <c r="EL289" i="49"/>
  <c r="EM289" i="49"/>
  <c r="EN289" i="49"/>
  <c r="EL305" i="49"/>
  <c r="EM305" i="49"/>
  <c r="EN305" i="49"/>
  <c r="EL213" i="49"/>
  <c r="EM213" i="49"/>
  <c r="EN213" i="49"/>
  <c r="EL270" i="49"/>
  <c r="EM270" i="49"/>
  <c r="EN270" i="49"/>
  <c r="EL230" i="49"/>
  <c r="EM230" i="49"/>
  <c r="EN230" i="49"/>
  <c r="EL392" i="49"/>
  <c r="EM392" i="49"/>
  <c r="EN392" i="49"/>
  <c r="EL194" i="49"/>
  <c r="EM194" i="49"/>
  <c r="EN194" i="49"/>
  <c r="EL13" i="49"/>
  <c r="EM13" i="49"/>
  <c r="EN13" i="49"/>
  <c r="EL174" i="49"/>
  <c r="EM174" i="49"/>
  <c r="EN174" i="49"/>
  <c r="EL404" i="49"/>
  <c r="EM404" i="49"/>
  <c r="EN404" i="49"/>
  <c r="EL397" i="49"/>
  <c r="EM397" i="49"/>
  <c r="EN397" i="49"/>
  <c r="EL419" i="49"/>
  <c r="EM419" i="49"/>
  <c r="EN419" i="49"/>
  <c r="EL44" i="49"/>
  <c r="EM44" i="49"/>
  <c r="EN44" i="49"/>
  <c r="EL227" i="49"/>
  <c r="EM227" i="49"/>
  <c r="EN227" i="49"/>
  <c r="EL453" i="49"/>
  <c r="EM453" i="49"/>
  <c r="EN453" i="49"/>
  <c r="EL225" i="49"/>
  <c r="EM225" i="49"/>
  <c r="EN225" i="49"/>
  <c r="EL116" i="49"/>
  <c r="EM116" i="49"/>
  <c r="EN116" i="49"/>
  <c r="EL389" i="49"/>
  <c r="EM389" i="49"/>
  <c r="EN389" i="49"/>
  <c r="EL292" i="49"/>
  <c r="EM292" i="49"/>
  <c r="EN292" i="49"/>
  <c r="EL155" i="49"/>
  <c r="EM155" i="49"/>
  <c r="EN155" i="49"/>
  <c r="EL346" i="49"/>
  <c r="EM346" i="49"/>
  <c r="EN346" i="49"/>
  <c r="EL69" i="49"/>
  <c r="EM69" i="49"/>
  <c r="EN69" i="49"/>
  <c r="EL271" i="49"/>
  <c r="EM271" i="49"/>
  <c r="EN271" i="49"/>
  <c r="EL8" i="49"/>
  <c r="EM8" i="49"/>
  <c r="EN8" i="49"/>
  <c r="EL87" i="49"/>
  <c r="EM87" i="49"/>
  <c r="EN87" i="49"/>
  <c r="EL235" i="49"/>
  <c r="EM235" i="49"/>
  <c r="EN235" i="49"/>
  <c r="EL121" i="49"/>
  <c r="EM121" i="49"/>
  <c r="EN121" i="49"/>
  <c r="EL75" i="49"/>
  <c r="EM75" i="49"/>
  <c r="EN75" i="49"/>
  <c r="EL144" i="49"/>
  <c r="EM144" i="49"/>
  <c r="EN144" i="49"/>
  <c r="EL50" i="49"/>
  <c r="EM50" i="49"/>
  <c r="EN50" i="49"/>
  <c r="EL103" i="49"/>
  <c r="EM103" i="49"/>
  <c r="EN103" i="49"/>
  <c r="EL63" i="49"/>
  <c r="EM63" i="49"/>
  <c r="EN63" i="49"/>
  <c r="EL281" i="49"/>
  <c r="EM281" i="49"/>
  <c r="EN281" i="49"/>
  <c r="EL435" i="49"/>
  <c r="EM435" i="49"/>
  <c r="EN435" i="49"/>
  <c r="EL158" i="49"/>
  <c r="EM158" i="49"/>
  <c r="EN158" i="49"/>
  <c r="EL441" i="49"/>
  <c r="EM441" i="49"/>
  <c r="EN441" i="49"/>
  <c r="EL243" i="49"/>
  <c r="EM243" i="49"/>
  <c r="EN243" i="49"/>
  <c r="EL30" i="49"/>
  <c r="EM30" i="49"/>
  <c r="EN30" i="49"/>
  <c r="EL82" i="49"/>
  <c r="EM82" i="49"/>
  <c r="EN82" i="49"/>
  <c r="EL37" i="49"/>
  <c r="EM37" i="49"/>
  <c r="EN37" i="49"/>
  <c r="EL468" i="49"/>
  <c r="EM468" i="49"/>
  <c r="EN468" i="49"/>
  <c r="EL410" i="49"/>
  <c r="EM410" i="49"/>
  <c r="EN410" i="49"/>
  <c r="EL119" i="49"/>
  <c r="EM119" i="49"/>
  <c r="EN119" i="49"/>
  <c r="EL444" i="49"/>
  <c r="EM444" i="49"/>
  <c r="EN444" i="49"/>
  <c r="EL179" i="49"/>
  <c r="EM179" i="49"/>
  <c r="EN179" i="49"/>
  <c r="EL451" i="49"/>
  <c r="EM451" i="49"/>
  <c r="EN451" i="49"/>
  <c r="EL423" i="49"/>
  <c r="EM423" i="49"/>
  <c r="EN423" i="49"/>
  <c r="EL178" i="49"/>
  <c r="EM178" i="49"/>
  <c r="EN178" i="49"/>
  <c r="EL11" i="49"/>
  <c r="EM11" i="49"/>
  <c r="EN11" i="49"/>
  <c r="EL493" i="49"/>
  <c r="EM493" i="49"/>
  <c r="EN493" i="49"/>
  <c r="EL267" i="49"/>
  <c r="EM267" i="49"/>
  <c r="EN267" i="49"/>
  <c r="EL228" i="49"/>
  <c r="EM228" i="49"/>
  <c r="EN228" i="49"/>
  <c r="EL447" i="49"/>
  <c r="EM447" i="49"/>
  <c r="EN447" i="49"/>
  <c r="EL176" i="49"/>
  <c r="EM176" i="49"/>
  <c r="EN176" i="49"/>
  <c r="EL299" i="49"/>
  <c r="EM299" i="49"/>
  <c r="EN299" i="49"/>
  <c r="EL466" i="49"/>
  <c r="EM466" i="49"/>
  <c r="EN466" i="49"/>
  <c r="EL97" i="49"/>
  <c r="EM97" i="49"/>
  <c r="EN97" i="49"/>
  <c r="EL472" i="49"/>
  <c r="EM472" i="49"/>
  <c r="EN472" i="49"/>
  <c r="EL98" i="49"/>
  <c r="EM98" i="49"/>
  <c r="EN98" i="49"/>
  <c r="EL480" i="49"/>
  <c r="EM480" i="49"/>
  <c r="EN480" i="49"/>
  <c r="EL398" i="49"/>
  <c r="EM398" i="49"/>
  <c r="EN398" i="49"/>
  <c r="EL234" i="49"/>
  <c r="EM234" i="49"/>
  <c r="EN234" i="49"/>
  <c r="EL461" i="49"/>
  <c r="EM461" i="49"/>
  <c r="EN461" i="49"/>
  <c r="EL108" i="49"/>
  <c r="EM108" i="49"/>
  <c r="EN108" i="49"/>
  <c r="EL368" i="49"/>
  <c r="EM368" i="49"/>
  <c r="EN368" i="49"/>
  <c r="EL99" i="49"/>
  <c r="EM99" i="49"/>
  <c r="EN99" i="49"/>
  <c r="EL433" i="49"/>
  <c r="EM433" i="49"/>
  <c r="EN433" i="49"/>
  <c r="EL91" i="49"/>
  <c r="EM91" i="49"/>
  <c r="EN91" i="49"/>
  <c r="EL479" i="49"/>
  <c r="EM479" i="49"/>
  <c r="EN479" i="49"/>
  <c r="EL482" i="49"/>
  <c r="EM482" i="49"/>
  <c r="EN482" i="49"/>
  <c r="EL253" i="49"/>
  <c r="EM253" i="49"/>
  <c r="EN253" i="49"/>
  <c r="EL408" i="49"/>
  <c r="EM408" i="49"/>
  <c r="EN408" i="49"/>
  <c r="EL455" i="49"/>
  <c r="EM455" i="49"/>
  <c r="EN455" i="49"/>
  <c r="EL92" i="49"/>
  <c r="EM92" i="49"/>
  <c r="EN92" i="49"/>
  <c r="EL442" i="49"/>
  <c r="EM442" i="49"/>
  <c r="EN442" i="49"/>
  <c r="EL428" i="49"/>
  <c r="EM428" i="49"/>
  <c r="EN428" i="49"/>
  <c r="EL303" i="49"/>
  <c r="EM303" i="49"/>
  <c r="EN303" i="49"/>
  <c r="EL402" i="49"/>
  <c r="EM402" i="49"/>
  <c r="EN402" i="49"/>
  <c r="EL59" i="49"/>
  <c r="EM59" i="49"/>
  <c r="EN59" i="49"/>
  <c r="EL295" i="49"/>
  <c r="EM295" i="49"/>
  <c r="EN295" i="49"/>
  <c r="EL220" i="49"/>
  <c r="EM220" i="49"/>
  <c r="EN220" i="49"/>
  <c r="EL332" i="49"/>
  <c r="EM332" i="49"/>
  <c r="EN332" i="49"/>
  <c r="EL312" i="49"/>
  <c r="EM312" i="49"/>
  <c r="EN312" i="49"/>
  <c r="EL492" i="49"/>
  <c r="EM492" i="49"/>
  <c r="EN492" i="49"/>
  <c r="EL46" i="49"/>
  <c r="EM46" i="49"/>
  <c r="EN46" i="49"/>
  <c r="EL462" i="49"/>
  <c r="EM462" i="49"/>
  <c r="EN462" i="49"/>
  <c r="EL372" i="49"/>
  <c r="EM372" i="49"/>
  <c r="EN372" i="49"/>
  <c r="EL333" i="49"/>
  <c r="EM333" i="49"/>
  <c r="EN333" i="49"/>
  <c r="EL376" i="49"/>
  <c r="EM376" i="49"/>
  <c r="EN376" i="49"/>
  <c r="EL244" i="49"/>
  <c r="EM244" i="49"/>
  <c r="EN244" i="49"/>
  <c r="EL413" i="49"/>
  <c r="EM413" i="49"/>
  <c r="EN413" i="49"/>
  <c r="EL164" i="49"/>
  <c r="EM164" i="49"/>
  <c r="EN164" i="49"/>
  <c r="EL109" i="49"/>
  <c r="EM109" i="49"/>
  <c r="EN109" i="49"/>
  <c r="EL310" i="49"/>
  <c r="EM310" i="49"/>
  <c r="EN310" i="49"/>
  <c r="EL276" i="49"/>
  <c r="EM276" i="49"/>
  <c r="EN276" i="49"/>
  <c r="EL261" i="49"/>
  <c r="EM261" i="49"/>
  <c r="EN261" i="49"/>
  <c r="EL171" i="49"/>
  <c r="EM171" i="49"/>
  <c r="EN171" i="49"/>
  <c r="EL245" i="49"/>
  <c r="EM245" i="49"/>
  <c r="EN245" i="49"/>
  <c r="EL153" i="49"/>
  <c r="EM153" i="49"/>
  <c r="EN153" i="49"/>
  <c r="EL365" i="49"/>
  <c r="EM365" i="49"/>
  <c r="EN365" i="49"/>
  <c r="EL430" i="49"/>
  <c r="EM430" i="49"/>
  <c r="EN430" i="49"/>
  <c r="EL329" i="49"/>
  <c r="EM329" i="49"/>
  <c r="EN329" i="49"/>
  <c r="EL379" i="49"/>
  <c r="EM379" i="49"/>
  <c r="EN379" i="49"/>
  <c r="EL64" i="49"/>
  <c r="EM64" i="49"/>
  <c r="EN64" i="49"/>
  <c r="EL161" i="49"/>
  <c r="EM161" i="49"/>
  <c r="EN161" i="49"/>
  <c r="EL159" i="49"/>
  <c r="EM159" i="49"/>
  <c r="EN159" i="49"/>
  <c r="EL400" i="49"/>
  <c r="EM400" i="49"/>
  <c r="EN400" i="49"/>
  <c r="EL240" i="49"/>
  <c r="EM240" i="49"/>
  <c r="EN240" i="49"/>
  <c r="EL132" i="49"/>
  <c r="EM132" i="49"/>
  <c r="EN132" i="49"/>
  <c r="EL325" i="49"/>
  <c r="EM325" i="49"/>
  <c r="EN325" i="49"/>
  <c r="EL88" i="49"/>
  <c r="EM88" i="49"/>
  <c r="EN88" i="49"/>
  <c r="EL319" i="49"/>
  <c r="EM319" i="49"/>
  <c r="EN319" i="49"/>
  <c r="EL248" i="49"/>
  <c r="EM248" i="49"/>
  <c r="EN248" i="49"/>
  <c r="EL208" i="49"/>
  <c r="EM208" i="49"/>
  <c r="EN208" i="49"/>
  <c r="EL188" i="49"/>
  <c r="EM188" i="49"/>
  <c r="EN188" i="49"/>
  <c r="EL342" i="49"/>
  <c r="EM342" i="49"/>
  <c r="EN342" i="49"/>
  <c r="EL117" i="49"/>
  <c r="EM117" i="49"/>
  <c r="EN117" i="49"/>
  <c r="EL70" i="49"/>
  <c r="EM70" i="49"/>
  <c r="EN70" i="49"/>
  <c r="EL471" i="49"/>
  <c r="EM471" i="49"/>
  <c r="EN471" i="49"/>
  <c r="EL160" i="49"/>
  <c r="EM160" i="49"/>
  <c r="EN160" i="49"/>
  <c r="EL251" i="49"/>
  <c r="EM251" i="49"/>
  <c r="EN251" i="49"/>
  <c r="EL199" i="49"/>
  <c r="EM199" i="49"/>
  <c r="EN199" i="49"/>
  <c r="EL411" i="49"/>
  <c r="EM411" i="49"/>
  <c r="EN411" i="49"/>
  <c r="EL184" i="49"/>
  <c r="EM184" i="49"/>
  <c r="EN184" i="49"/>
  <c r="EL396" i="49"/>
  <c r="EM396" i="49"/>
  <c r="EN396" i="49"/>
  <c r="EL328" i="49"/>
  <c r="EM328" i="49"/>
  <c r="EN328" i="49"/>
  <c r="EL331" i="49"/>
  <c r="EM331" i="49"/>
  <c r="EN331" i="49"/>
  <c r="EL343" i="49"/>
  <c r="EM343" i="49"/>
  <c r="EN343" i="49"/>
  <c r="EL406" i="49"/>
  <c r="EM406" i="49"/>
  <c r="EN406" i="49"/>
  <c r="EL222" i="49"/>
  <c r="EM222" i="49"/>
  <c r="EN222" i="49"/>
  <c r="EL361" i="49"/>
  <c r="EM361" i="49"/>
  <c r="EN361" i="49"/>
  <c r="EL277" i="49"/>
  <c r="EM277" i="49"/>
  <c r="EN277" i="49"/>
  <c r="EL140" i="49"/>
  <c r="EM140" i="49"/>
  <c r="EN140" i="49"/>
  <c r="EL142" i="49"/>
  <c r="EM142" i="49"/>
  <c r="EN142" i="49"/>
  <c r="EL226" i="49"/>
  <c r="EM226" i="49"/>
  <c r="EN226" i="49"/>
  <c r="EL105" i="49"/>
  <c r="EM105" i="49"/>
  <c r="EN105" i="49"/>
  <c r="EL77" i="49"/>
  <c r="EM77" i="49"/>
  <c r="EN77" i="49"/>
  <c r="EL285" i="49"/>
  <c r="EM285" i="49"/>
  <c r="EN285" i="49"/>
  <c r="EL190" i="49"/>
  <c r="EM190" i="49"/>
  <c r="EN190" i="49"/>
  <c r="EL467" i="49"/>
  <c r="EM467" i="49"/>
  <c r="EN467" i="49"/>
  <c r="EL250" i="49"/>
  <c r="EM250" i="49"/>
  <c r="EN250" i="49"/>
  <c r="EL476" i="49"/>
  <c r="EM476" i="49"/>
  <c r="EN476" i="49"/>
  <c r="EL350" i="49"/>
  <c r="EM350" i="49"/>
  <c r="EN350" i="49"/>
  <c r="EL291" i="49"/>
  <c r="EM291" i="49"/>
  <c r="EN291" i="49"/>
  <c r="EL348" i="49"/>
  <c r="EM348" i="49"/>
  <c r="EN348" i="49"/>
  <c r="EL351" i="49"/>
  <c r="EM351" i="49"/>
  <c r="EN351" i="49"/>
  <c r="EL483" i="49"/>
  <c r="EM483" i="49"/>
  <c r="EN483" i="49"/>
  <c r="EL17" i="49"/>
  <c r="EM17" i="49"/>
  <c r="EN17" i="49"/>
  <c r="EL54" i="49"/>
  <c r="EM54" i="49"/>
  <c r="EN54" i="49"/>
  <c r="EL172" i="49"/>
  <c r="EM172" i="49"/>
  <c r="EN172" i="49"/>
  <c r="EL494" i="49"/>
  <c r="EM494" i="49"/>
  <c r="EN494" i="49"/>
  <c r="EL167" i="49"/>
  <c r="EM167" i="49"/>
  <c r="EN167" i="49"/>
  <c r="EL55" i="49"/>
  <c r="EM55" i="49"/>
  <c r="EN55" i="49"/>
  <c r="EL375" i="49"/>
  <c r="EM375" i="49"/>
  <c r="EN375" i="49"/>
  <c r="EL260" i="49"/>
  <c r="EM260" i="49"/>
  <c r="EN260" i="49"/>
  <c r="EL236" i="49"/>
  <c r="EM236" i="49"/>
  <c r="EN236" i="49"/>
  <c r="EL133" i="49"/>
  <c r="EM133" i="49"/>
  <c r="EN133" i="49"/>
  <c r="EL426" i="49"/>
  <c r="EM426" i="49"/>
  <c r="EN426" i="49"/>
  <c r="EL146" i="49"/>
  <c r="EM146" i="49"/>
  <c r="EN146" i="49"/>
  <c r="EL439" i="49"/>
  <c r="EM439" i="49"/>
  <c r="EN439" i="49"/>
  <c r="EL16" i="49"/>
  <c r="EM16" i="49"/>
  <c r="EN16" i="49"/>
  <c r="EL168" i="49"/>
  <c r="EM168" i="49"/>
  <c r="EN168" i="49"/>
  <c r="EL309" i="49"/>
  <c r="EM309" i="49"/>
  <c r="EN309" i="49"/>
  <c r="EL436" i="49"/>
  <c r="EM436" i="49"/>
  <c r="EN436" i="49"/>
  <c r="EL34" i="49"/>
  <c r="EM34" i="49"/>
  <c r="EN34" i="49"/>
  <c r="EL129" i="49"/>
  <c r="EM129" i="49"/>
  <c r="EN129" i="49"/>
  <c r="EL149" i="49"/>
  <c r="EM149" i="49"/>
  <c r="EN149" i="49"/>
  <c r="EL489" i="49"/>
  <c r="EM489" i="49"/>
  <c r="EN489" i="49"/>
  <c r="EL352" i="49"/>
  <c r="EM352" i="49"/>
  <c r="EN352" i="49"/>
  <c r="EL89" i="49"/>
  <c r="EM89" i="49"/>
  <c r="EN89" i="49"/>
  <c r="EL127" i="49"/>
  <c r="EM127" i="49"/>
  <c r="EN127" i="49"/>
  <c r="EL347" i="49"/>
  <c r="EM347" i="49"/>
  <c r="EN347" i="49"/>
  <c r="EL145" i="49"/>
  <c r="EM145" i="49"/>
  <c r="EN145" i="49"/>
  <c r="EL427" i="49"/>
  <c r="EM427" i="49"/>
  <c r="EN427" i="49"/>
  <c r="EL113" i="49"/>
  <c r="EM113" i="49"/>
  <c r="EN113" i="49"/>
  <c r="EL112" i="49"/>
  <c r="EM112" i="49"/>
  <c r="EN112" i="49"/>
  <c r="EL362" i="49"/>
  <c r="EM362" i="49"/>
  <c r="EN362" i="49"/>
  <c r="EL9" i="49"/>
  <c r="EM9" i="49"/>
  <c r="EN9" i="49"/>
  <c r="EL67" i="49"/>
  <c r="EM67" i="49"/>
  <c r="EN67" i="49"/>
  <c r="EL434" i="49"/>
  <c r="EM434" i="49"/>
  <c r="EN434" i="49"/>
  <c r="EL237" i="49"/>
  <c r="EM237" i="49"/>
  <c r="EN237" i="49"/>
  <c r="EL405" i="49"/>
  <c r="EM405" i="49"/>
  <c r="EN405" i="49"/>
  <c r="EL488" i="49"/>
  <c r="EM488" i="49"/>
  <c r="EN488" i="49"/>
  <c r="EL80" i="49"/>
  <c r="EM80" i="49"/>
  <c r="EN80" i="49"/>
  <c r="EL100" i="49"/>
  <c r="EM100" i="49"/>
  <c r="EN100" i="49"/>
  <c r="EL175" i="49"/>
  <c r="EM175" i="49"/>
  <c r="EN175" i="49"/>
  <c r="EL286" i="49"/>
  <c r="EM286" i="49"/>
  <c r="EN286" i="49"/>
  <c r="EL106" i="49"/>
  <c r="EM106" i="49"/>
  <c r="EN106" i="49"/>
  <c r="EL130" i="49"/>
  <c r="EM130" i="49"/>
  <c r="EN130" i="49"/>
  <c r="EL323" i="49"/>
  <c r="EM323" i="49"/>
  <c r="EN323" i="49"/>
  <c r="EL118" i="49"/>
  <c r="EM118" i="49"/>
  <c r="EN118" i="49"/>
  <c r="EL443" i="49"/>
  <c r="EM443" i="49"/>
  <c r="EN443" i="49"/>
  <c r="EL387" i="49"/>
  <c r="EM387" i="49"/>
  <c r="EN387" i="49"/>
  <c r="EL272" i="49"/>
  <c r="EM272" i="49"/>
  <c r="EN272" i="49"/>
  <c r="EL238" i="49"/>
  <c r="EM238" i="49"/>
  <c r="EN238" i="49"/>
  <c r="EL481" i="49"/>
  <c r="EM481" i="49"/>
  <c r="EN481" i="49"/>
  <c r="EL156" i="49"/>
  <c r="EM156" i="49"/>
  <c r="EN156" i="49"/>
  <c r="EL53" i="49"/>
  <c r="EM53" i="49"/>
  <c r="EN53" i="49"/>
  <c r="EL374" i="49"/>
  <c r="EM374" i="49"/>
  <c r="EN374" i="49"/>
  <c r="EL10" i="49"/>
  <c r="EM10" i="49"/>
  <c r="EN10" i="49"/>
  <c r="EL344" i="49"/>
  <c r="EM344" i="49"/>
  <c r="EN344" i="49"/>
  <c r="EL197" i="49"/>
  <c r="EM197" i="49"/>
  <c r="EN197" i="49"/>
  <c r="EL300" i="49"/>
  <c r="EM300" i="49"/>
  <c r="EN300" i="49"/>
  <c r="EL304" i="49"/>
  <c r="EM304" i="49"/>
  <c r="EN304" i="49"/>
  <c r="EL340" i="49"/>
  <c r="EM340" i="49"/>
  <c r="EN340" i="49"/>
  <c r="EL43" i="49"/>
  <c r="EM43" i="49"/>
  <c r="EN43" i="49"/>
  <c r="EL422" i="49"/>
  <c r="EM422" i="49"/>
  <c r="EN422" i="49"/>
  <c r="EL450" i="49"/>
  <c r="EM450" i="49"/>
  <c r="EN450" i="49"/>
  <c r="EL473" i="49"/>
  <c r="EM473" i="49"/>
  <c r="EN473" i="49"/>
  <c r="EL217" i="49"/>
  <c r="EM217" i="49"/>
  <c r="EN217" i="49"/>
  <c r="EL432" i="49"/>
  <c r="EM432" i="49"/>
  <c r="EN432" i="49"/>
  <c r="EL336" i="49"/>
  <c r="EM336" i="49"/>
  <c r="EN336" i="49"/>
  <c r="EL313" i="49"/>
  <c r="EM313" i="49"/>
  <c r="EN313" i="49"/>
  <c r="EL265" i="49"/>
  <c r="EM265" i="49"/>
  <c r="EN265" i="49"/>
  <c r="EL49" i="49"/>
  <c r="EM49" i="49"/>
  <c r="EN49" i="49"/>
  <c r="EL22" i="49"/>
  <c r="EM22" i="49"/>
  <c r="EN22" i="49"/>
  <c r="EL306" i="49"/>
  <c r="EM306" i="49"/>
  <c r="EN306" i="49"/>
  <c r="EL45" i="49"/>
  <c r="EM45" i="49"/>
  <c r="EN45" i="49"/>
  <c r="EL15" i="49"/>
  <c r="EM15" i="49"/>
  <c r="EN15" i="49"/>
  <c r="EL110" i="49"/>
  <c r="EM110" i="49"/>
  <c r="EN110" i="49"/>
  <c r="EL181" i="49"/>
  <c r="EM181" i="49"/>
  <c r="EN181" i="49"/>
  <c r="EL338" i="49"/>
  <c r="EM338" i="49"/>
  <c r="EN338" i="49"/>
  <c r="EL31" i="49"/>
  <c r="EM31" i="49"/>
  <c r="EN31" i="49"/>
  <c r="EL284" i="49"/>
  <c r="EM284" i="49"/>
  <c r="EN284" i="49"/>
  <c r="EL84" i="49"/>
  <c r="EM84" i="49"/>
  <c r="EN84" i="49"/>
  <c r="EL72" i="49"/>
  <c r="EM72" i="49"/>
  <c r="EN72" i="49"/>
  <c r="EL249" i="49"/>
  <c r="EM249" i="49"/>
  <c r="EN249" i="49"/>
  <c r="EL485" i="49"/>
  <c r="EM485" i="49"/>
  <c r="EN485" i="49"/>
  <c r="EL262" i="49"/>
  <c r="EM262" i="49"/>
  <c r="EN262" i="49"/>
  <c r="EL437" i="49"/>
  <c r="EM437" i="49"/>
  <c r="EN437" i="49"/>
  <c r="EL56" i="49"/>
  <c r="EM56" i="49"/>
  <c r="EN56" i="49"/>
  <c r="EL73" i="49"/>
  <c r="EM73" i="49"/>
  <c r="EN73" i="49"/>
  <c r="EL134" i="49"/>
  <c r="EM134" i="49"/>
  <c r="EN134" i="49"/>
  <c r="EL211" i="49"/>
  <c r="EM211" i="49"/>
  <c r="EN211" i="49"/>
  <c r="EL24" i="49"/>
  <c r="EM24" i="49"/>
  <c r="EN24" i="49"/>
  <c r="EL477" i="49"/>
  <c r="EM477" i="49"/>
  <c r="EN477" i="49"/>
  <c r="EL278" i="49"/>
  <c r="EM278" i="49"/>
  <c r="EN278" i="49"/>
  <c r="EL141" i="49"/>
  <c r="EM141" i="49"/>
  <c r="EN141" i="49"/>
  <c r="EL173" i="49"/>
  <c r="EM173" i="49"/>
  <c r="EN173" i="49"/>
  <c r="EL33" i="49"/>
  <c r="EM33" i="49"/>
  <c r="EN33" i="49"/>
  <c r="EL469" i="49"/>
  <c r="EM469" i="49"/>
  <c r="EN469" i="49"/>
  <c r="EL416" i="49"/>
  <c r="EM416" i="49"/>
  <c r="EN416" i="49"/>
  <c r="EL282" i="49"/>
  <c r="EM282" i="49"/>
  <c r="EN282" i="49"/>
  <c r="EL20" i="49"/>
  <c r="EM20" i="49"/>
  <c r="EN20" i="49"/>
  <c r="EL131" i="49"/>
  <c r="EM131" i="49"/>
  <c r="EN131" i="49"/>
  <c r="EL218" i="49"/>
  <c r="EM218" i="49"/>
  <c r="EN218" i="49"/>
  <c r="EL293" i="49"/>
  <c r="EM293" i="49"/>
  <c r="EN293" i="49"/>
  <c r="EL254" i="49"/>
  <c r="EM254" i="49"/>
  <c r="EN254" i="49"/>
  <c r="EL395" i="49"/>
  <c r="EM395" i="49"/>
  <c r="EN395" i="49"/>
  <c r="EL378" i="49"/>
  <c r="EM378" i="49"/>
  <c r="EN378" i="49"/>
  <c r="EL115" i="49"/>
  <c r="EM115" i="49"/>
  <c r="EN115" i="49"/>
  <c r="EL85" i="49"/>
  <c r="EM85" i="49"/>
  <c r="EN85" i="49"/>
  <c r="EL407" i="49"/>
  <c r="EM407" i="49"/>
  <c r="EN407" i="49"/>
  <c r="EL275" i="49"/>
  <c r="EM275" i="49"/>
  <c r="EN275" i="49"/>
  <c r="EL274" i="49"/>
  <c r="EM274" i="49"/>
  <c r="EN274" i="49"/>
  <c r="EL446" i="49"/>
  <c r="EM446" i="49"/>
  <c r="EN446" i="49"/>
  <c r="EL25" i="49"/>
  <c r="EM25" i="49"/>
  <c r="EN25" i="49"/>
  <c r="EL457" i="49"/>
  <c r="EM457" i="49"/>
  <c r="EN457" i="49"/>
  <c r="EL120" i="49"/>
  <c r="EM120" i="49"/>
  <c r="EN120" i="49"/>
  <c r="EL363" i="49"/>
  <c r="EM363" i="49"/>
  <c r="EN363" i="49"/>
  <c r="EL412" i="49"/>
  <c r="EM412" i="49"/>
  <c r="EN412" i="49"/>
  <c r="EL321" i="49"/>
  <c r="EM321" i="49"/>
  <c r="EN321" i="49"/>
  <c r="EL139" i="49"/>
  <c r="EM139" i="49"/>
  <c r="EN139" i="49"/>
  <c r="EL341" i="49"/>
  <c r="EM341" i="49"/>
  <c r="EN341" i="49"/>
  <c r="EL18" i="49"/>
  <c r="EM18" i="49"/>
  <c r="EN18" i="49"/>
  <c r="EL317" i="49"/>
  <c r="EM317" i="49"/>
  <c r="EN317" i="49"/>
  <c r="EL415" i="49"/>
  <c r="EM415" i="49"/>
  <c r="EN415" i="49"/>
  <c r="EL231" i="49"/>
  <c r="EM231" i="49"/>
  <c r="EN231" i="49"/>
  <c r="EL94" i="49"/>
  <c r="EM94" i="49"/>
  <c r="EN94" i="49"/>
  <c r="EL104" i="49"/>
  <c r="EM104" i="49"/>
  <c r="EN104" i="49"/>
  <c r="EL83" i="49"/>
  <c r="EM83" i="49"/>
  <c r="EN83" i="49"/>
  <c r="EL242" i="49"/>
  <c r="EM242" i="49"/>
  <c r="EN242" i="49"/>
  <c r="EL12" i="49"/>
  <c r="EM12" i="49"/>
  <c r="EN12" i="49"/>
  <c r="EL264" i="49"/>
  <c r="EM264" i="49"/>
  <c r="EN264" i="49"/>
  <c r="EL297" i="49"/>
  <c r="EM297" i="49"/>
  <c r="EN297" i="49"/>
  <c r="EL210" i="49"/>
  <c r="EM210" i="49"/>
  <c r="EN210" i="49"/>
  <c r="EL147" i="49"/>
  <c r="EM147" i="49"/>
  <c r="EN147" i="49"/>
  <c r="EL257" i="49"/>
  <c r="EM257" i="49"/>
  <c r="EN257" i="49"/>
  <c r="EO204" i="49"/>
  <c r="EO203" i="49"/>
  <c r="EO147" i="49"/>
  <c r="EO94" i="49"/>
  <c r="EO412" i="49"/>
  <c r="EO407" i="49"/>
  <c r="EO210" i="49"/>
  <c r="EO242" i="49"/>
  <c r="EO231" i="49"/>
  <c r="EO341" i="49"/>
  <c r="EO363" i="49"/>
  <c r="EO446" i="49"/>
  <c r="EO85" i="49"/>
  <c r="EO254" i="49"/>
  <c r="EO20" i="49"/>
  <c r="EO33" i="49"/>
  <c r="EO477" i="49"/>
  <c r="EO73" i="49"/>
  <c r="EO485" i="49"/>
  <c r="EO284" i="49"/>
  <c r="EO110" i="49"/>
  <c r="EO22" i="49"/>
  <c r="EO336" i="49"/>
  <c r="EO450" i="49"/>
  <c r="EO304" i="49"/>
  <c r="EO10" i="49"/>
  <c r="EO481" i="49"/>
  <c r="EO443" i="49"/>
  <c r="EO106" i="49"/>
  <c r="EO80" i="49"/>
  <c r="EO434" i="49"/>
  <c r="EO112" i="49"/>
  <c r="EO347" i="49"/>
  <c r="EO489" i="49"/>
  <c r="EO436" i="49"/>
  <c r="EO439" i="49"/>
  <c r="EO236" i="49"/>
  <c r="EO167" i="49"/>
  <c r="EO17" i="49"/>
  <c r="EO291" i="49"/>
  <c r="EO467" i="49"/>
  <c r="EO105" i="49"/>
  <c r="EO277" i="49"/>
  <c r="EO343" i="49"/>
  <c r="EO184" i="49"/>
  <c r="EO160" i="49"/>
  <c r="EO342" i="49"/>
  <c r="EO319" i="49"/>
  <c r="EO240" i="49"/>
  <c r="EO64" i="49"/>
  <c r="EO365" i="49"/>
  <c r="EO261" i="49"/>
  <c r="EO164" i="49"/>
  <c r="EO333" i="49"/>
  <c r="EO492" i="49"/>
  <c r="EO295" i="49"/>
  <c r="EO428" i="49"/>
  <c r="EO408" i="49"/>
  <c r="EO91" i="49"/>
  <c r="EO108" i="49"/>
  <c r="EO480" i="49"/>
  <c r="EO466" i="49"/>
  <c r="EO228" i="49"/>
  <c r="EO178" i="49"/>
  <c r="EO444" i="49"/>
  <c r="EO37" i="49"/>
  <c r="EO441" i="49"/>
  <c r="EO63" i="49"/>
  <c r="EO75" i="49"/>
  <c r="EO8" i="49"/>
  <c r="EO155" i="49"/>
  <c r="EO225" i="49"/>
  <c r="EO419" i="49"/>
  <c r="EO13" i="49"/>
  <c r="EO270" i="49"/>
  <c r="EO496" i="49"/>
  <c r="EO301" i="49"/>
  <c r="EO308" i="49"/>
  <c r="EO326" i="49"/>
  <c r="EO311" i="49"/>
  <c r="EO35" i="49"/>
  <c r="EO61" i="49"/>
  <c r="EO40" i="49"/>
  <c r="EO371" i="49"/>
  <c r="EO214" i="49"/>
  <c r="EO268" i="49"/>
  <c r="EO223" i="49"/>
  <c r="EO183" i="49"/>
  <c r="EO101" i="49"/>
  <c r="EO191" i="49"/>
  <c r="EO247" i="49"/>
  <c r="EO440" i="49"/>
  <c r="EO154" i="49"/>
  <c r="EO162" i="49"/>
  <c r="EO107" i="49"/>
  <c r="EO417" i="49"/>
  <c r="EO126" i="49"/>
  <c r="EO21" i="49"/>
  <c r="EO252" i="49"/>
  <c r="EO355" i="49"/>
  <c r="EO52" i="49"/>
  <c r="EO399" i="49"/>
  <c r="EO246" i="49"/>
  <c r="EO143" i="49"/>
  <c r="EO316" i="49"/>
  <c r="EO324" i="49"/>
  <c r="EO38" i="49"/>
  <c r="EO456" i="49"/>
  <c r="EO216" i="49"/>
  <c r="EO258" i="49"/>
  <c r="EO215" i="49"/>
  <c r="EO409" i="49"/>
  <c r="EO283" i="49"/>
  <c r="EO445" i="49"/>
  <c r="EO76" i="49"/>
  <c r="EO193" i="49"/>
  <c r="EO138" i="49"/>
  <c r="EO125" i="49"/>
  <c r="EO95" i="49"/>
  <c r="EO335" i="49"/>
  <c r="EO152" i="49"/>
  <c r="EO255" i="49"/>
  <c r="EO475" i="49"/>
  <c r="EO358" i="49"/>
  <c r="EO157" i="49"/>
  <c r="EO42" i="49"/>
  <c r="EO431" i="49"/>
  <c r="EO470" i="49"/>
  <c r="EO297" i="49"/>
  <c r="EO415" i="49"/>
  <c r="EO120" i="49"/>
  <c r="EO115" i="49"/>
  <c r="EO293" i="49"/>
  <c r="EO282" i="49"/>
  <c r="EO173" i="49"/>
  <c r="EO24" i="49"/>
  <c r="EO56" i="49"/>
  <c r="EO249" i="49"/>
  <c r="EO31" i="49"/>
  <c r="EO15" i="49"/>
  <c r="EO49" i="49"/>
  <c r="EO432" i="49"/>
  <c r="EO422" i="49"/>
  <c r="EO300" i="49"/>
  <c r="EO374" i="49"/>
  <c r="EO238" i="49"/>
  <c r="EO118" i="49"/>
  <c r="EO286" i="49"/>
  <c r="EO488" i="49"/>
  <c r="EO67" i="49"/>
  <c r="EO113" i="49"/>
  <c r="EO127" i="49"/>
  <c r="EO149" i="49"/>
  <c r="EO309" i="49"/>
  <c r="EO146" i="49"/>
  <c r="EO260" i="49"/>
  <c r="EO494" i="49"/>
  <c r="EO483" i="49"/>
  <c r="EO350" i="49"/>
  <c r="EO190" i="49"/>
  <c r="EO226" i="49"/>
  <c r="EO361" i="49"/>
  <c r="EO331" i="49"/>
  <c r="EO411" i="49"/>
  <c r="EO471" i="49"/>
  <c r="EO188" i="49"/>
  <c r="EO88" i="49"/>
  <c r="EO400" i="49"/>
  <c r="EO379" i="49"/>
  <c r="EO153" i="49"/>
  <c r="EO276" i="49"/>
  <c r="EO413" i="49"/>
  <c r="EO372" i="49"/>
  <c r="EO312" i="49"/>
  <c r="EO59" i="49"/>
  <c r="EO442" i="49"/>
  <c r="EO253" i="49"/>
  <c r="EO433" i="49"/>
  <c r="EO461" i="49"/>
  <c r="EO98" i="49"/>
  <c r="EO299" i="49"/>
  <c r="EO267" i="49"/>
  <c r="EO423" i="49"/>
  <c r="EO119" i="49"/>
  <c r="EO82" i="49"/>
  <c r="EO158" i="49"/>
  <c r="EO103" i="49"/>
  <c r="EO121" i="49"/>
  <c r="EO271" i="49"/>
  <c r="EO292" i="49"/>
  <c r="EO453" i="49"/>
  <c r="EO397" i="49"/>
  <c r="EO194" i="49"/>
  <c r="EO213" i="49"/>
  <c r="EO232" i="49"/>
  <c r="EO420" i="49"/>
  <c r="EO123" i="49"/>
  <c r="EO357" i="49"/>
  <c r="EO458" i="49"/>
  <c r="EO390" i="49"/>
  <c r="EO314" i="49"/>
  <c r="EO490" i="49"/>
  <c r="EO78" i="49"/>
  <c r="EO385" i="49"/>
  <c r="EO296" i="49"/>
  <c r="EO239" i="49"/>
  <c r="EO219" i="49"/>
  <c r="EO302" i="49"/>
  <c r="EO337" i="49"/>
  <c r="EO221" i="49"/>
  <c r="EO209" i="49"/>
  <c r="EO460" i="49"/>
  <c r="EO114" i="49"/>
  <c r="EO360" i="49"/>
  <c r="EO19" i="49"/>
  <c r="EO438" i="49"/>
  <c r="EO327" i="49"/>
  <c r="EO66" i="49"/>
  <c r="EO192" i="49"/>
  <c r="EO484" i="49"/>
  <c r="EO224" i="49"/>
  <c r="EO381" i="49"/>
  <c r="EO122" i="49"/>
  <c r="EO384" i="49"/>
  <c r="EO206" i="49"/>
  <c r="EO201" i="49"/>
  <c r="EO259" i="49"/>
  <c r="EO425" i="49"/>
  <c r="EO263" i="49"/>
  <c r="EO421" i="49"/>
  <c r="EO166" i="49"/>
  <c r="EO478" i="49"/>
  <c r="EO414" i="49"/>
  <c r="EO57" i="49"/>
  <c r="EO150" i="49"/>
  <c r="EO124" i="49"/>
  <c r="EO128" i="49"/>
  <c r="EO23" i="49"/>
  <c r="EO187" i="49"/>
  <c r="EO96" i="49"/>
  <c r="EO165" i="49"/>
  <c r="EO177" i="49"/>
  <c r="EO280" i="49"/>
  <c r="EO287" i="49"/>
  <c r="EO41" i="49"/>
  <c r="EO298" i="49"/>
  <c r="EO182" i="49"/>
  <c r="EO83" i="49"/>
  <c r="EO139" i="49"/>
  <c r="EO274" i="49"/>
  <c r="EO257" i="49"/>
  <c r="EO264" i="49"/>
  <c r="EO104" i="49"/>
  <c r="EO317" i="49"/>
  <c r="EO321" i="49"/>
  <c r="EO457" i="49"/>
  <c r="EO275" i="49"/>
  <c r="EO378" i="49"/>
  <c r="EO218" i="49"/>
  <c r="EO416" i="49"/>
  <c r="EO141" i="49"/>
  <c r="EO211" i="49"/>
  <c r="EO437" i="49"/>
  <c r="EO72" i="49"/>
  <c r="EO338" i="49"/>
  <c r="EO45" i="49"/>
  <c r="EO265" i="49"/>
  <c r="EO217" i="49"/>
  <c r="EO43" i="49"/>
  <c r="EO197" i="49"/>
  <c r="EO53" i="49"/>
  <c r="EO272" i="49"/>
  <c r="EO323" i="49"/>
  <c r="EO175" i="49"/>
  <c r="EO405" i="49"/>
  <c r="EO9" i="49"/>
  <c r="EO427" i="49"/>
  <c r="EO89" i="49"/>
  <c r="EO129" i="49"/>
  <c r="EO168" i="49"/>
  <c r="EO426" i="49"/>
  <c r="EO375" i="49"/>
  <c r="EO172" i="49"/>
  <c r="EO351" i="49"/>
  <c r="EO476" i="49"/>
  <c r="EO285" i="49"/>
  <c r="EO142" i="49"/>
  <c r="EO222" i="49"/>
  <c r="EO328" i="49"/>
  <c r="EO199" i="49"/>
  <c r="EO70" i="49"/>
  <c r="EO208" i="49"/>
  <c r="EO325" i="49"/>
  <c r="EO159" i="49"/>
  <c r="EO329" i="49"/>
  <c r="EO245" i="49"/>
  <c r="EO310" i="49"/>
  <c r="EO244" i="49"/>
  <c r="EO462" i="49"/>
  <c r="EO332" i="49"/>
  <c r="EO402" i="49"/>
  <c r="EO92" i="49"/>
  <c r="EO482" i="49"/>
  <c r="EO99" i="49"/>
  <c r="EO234" i="49"/>
  <c r="EO472" i="49"/>
  <c r="EO176" i="49"/>
  <c r="EO493" i="49"/>
  <c r="EO451" i="49"/>
  <c r="EO410" i="49"/>
  <c r="EO30" i="49"/>
  <c r="EO435" i="49"/>
  <c r="EO50" i="49"/>
  <c r="EO235" i="49"/>
  <c r="EO69" i="49"/>
  <c r="EO389" i="49"/>
  <c r="EO227" i="49"/>
  <c r="EO404" i="49"/>
  <c r="EO392" i="49"/>
  <c r="EO305" i="49"/>
  <c r="EO463" i="49"/>
  <c r="EO452" i="49"/>
  <c r="EO401" i="49"/>
  <c r="EO383" i="49"/>
  <c r="EO170" i="49"/>
  <c r="EO169" i="49"/>
  <c r="EO229" i="49"/>
  <c r="EO364" i="49"/>
  <c r="EO269" i="49"/>
  <c r="EO394" i="49"/>
  <c r="EO491" i="49"/>
  <c r="EO382" i="49"/>
  <c r="EO294" i="49"/>
  <c r="EO6" i="49"/>
  <c r="EO373" i="49"/>
  <c r="EO339" i="49"/>
  <c r="EO487" i="49"/>
  <c r="EO465" i="49"/>
  <c r="EO290" i="49"/>
  <c r="EO196" i="49"/>
  <c r="EO318" i="49"/>
  <c r="EO359" i="49"/>
  <c r="EO60" i="49"/>
  <c r="EO212" i="49"/>
  <c r="EO380" i="49"/>
  <c r="EO36" i="49"/>
  <c r="EO391" i="49"/>
  <c r="EO163" i="49"/>
  <c r="EO148" i="49"/>
  <c r="EO273" i="49"/>
  <c r="EO459" i="49"/>
  <c r="EO68" i="49"/>
  <c r="EO71" i="49"/>
  <c r="EO202" i="49"/>
  <c r="EO47" i="49"/>
  <c r="EO403" i="49"/>
  <c r="EO241" i="49"/>
  <c r="EO74" i="49"/>
  <c r="EO65" i="49"/>
  <c r="EO39" i="49"/>
  <c r="EO189" i="49"/>
  <c r="EO51" i="49"/>
  <c r="EO102" i="49"/>
  <c r="EO185" i="49"/>
  <c r="EO418" i="49"/>
  <c r="EO233" i="49"/>
  <c r="EO345" i="49"/>
  <c r="EO29" i="49"/>
  <c r="EO366" i="49"/>
  <c r="EO48" i="49"/>
  <c r="EO349" i="49"/>
  <c r="EO151" i="49"/>
  <c r="EN5" i="49"/>
  <c r="EM500" i="49"/>
  <c r="EM2" i="49"/>
  <c r="EO12" i="49"/>
  <c r="EO18" i="49"/>
  <c r="EO25" i="49"/>
  <c r="EO395" i="49"/>
  <c r="EO131" i="49"/>
  <c r="EO469" i="49"/>
  <c r="EO278" i="49"/>
  <c r="EO134" i="49"/>
  <c r="EO262" i="49"/>
  <c r="EO84" i="49"/>
  <c r="EO181" i="49"/>
  <c r="EO306" i="49"/>
  <c r="EO313" i="49"/>
  <c r="EO473" i="49"/>
  <c r="EO340" i="49"/>
  <c r="EO344" i="49"/>
  <c r="EO156" i="49"/>
  <c r="EO387" i="49"/>
  <c r="EO130" i="49"/>
  <c r="EO100" i="49"/>
  <c r="EO237" i="49"/>
  <c r="EO362" i="49"/>
  <c r="EO145" i="49"/>
  <c r="EO352" i="49"/>
  <c r="EO34" i="49"/>
  <c r="EO16" i="49"/>
  <c r="EO133" i="49"/>
  <c r="EO55" i="49"/>
  <c r="EO54" i="49"/>
  <c r="EO348" i="49"/>
  <c r="EO250" i="49"/>
  <c r="EO77" i="49"/>
  <c r="EO140" i="49"/>
  <c r="EO406" i="49"/>
  <c r="EO396" i="49"/>
  <c r="EO251" i="49"/>
  <c r="EO117" i="49"/>
  <c r="EO248" i="49"/>
  <c r="EO132" i="49"/>
  <c r="EO161" i="49"/>
  <c r="EO430" i="49"/>
  <c r="EO171" i="49"/>
  <c r="EO109" i="49"/>
  <c r="EO376" i="49"/>
  <c r="EO46" i="49"/>
  <c r="EO220" i="49"/>
  <c r="EO303" i="49"/>
  <c r="EO455" i="49"/>
  <c r="EO479" i="49"/>
  <c r="EO368" i="49"/>
  <c r="EO398" i="49"/>
  <c r="EO97" i="49"/>
  <c r="EO447" i="49"/>
  <c r="EO11" i="49"/>
  <c r="EO179" i="49"/>
  <c r="EO468" i="49"/>
  <c r="EO243" i="49"/>
  <c r="EO281" i="49"/>
  <c r="EO144" i="49"/>
  <c r="EO87" i="49"/>
  <c r="EO346" i="49"/>
  <c r="EO116" i="49"/>
  <c r="EO44" i="49"/>
  <c r="EO174" i="49"/>
  <c r="EO230" i="49"/>
  <c r="EO289" i="49"/>
  <c r="EO388" i="49"/>
  <c r="EO454" i="49"/>
  <c r="EO429" i="49"/>
  <c r="EO79" i="49"/>
  <c r="EO207" i="49"/>
  <c r="EO90" i="49"/>
  <c r="EO186" i="49"/>
  <c r="EO135" i="49"/>
  <c r="EO198" i="49"/>
  <c r="EO486" i="49"/>
  <c r="EO334" i="49"/>
  <c r="EO86" i="49"/>
  <c r="EO464" i="49"/>
  <c r="EO195" i="49"/>
  <c r="EO200" i="49"/>
  <c r="EO370" i="49"/>
  <c r="EO111" i="49"/>
  <c r="EO32" i="49"/>
  <c r="EO256" i="49"/>
  <c r="EO369" i="49"/>
  <c r="EO288" i="49"/>
  <c r="EO136" i="49"/>
  <c r="EO322" i="49"/>
  <c r="EO28" i="49"/>
  <c r="EO93" i="49"/>
  <c r="EO205" i="49"/>
  <c r="EO356" i="49"/>
  <c r="EO353" i="49"/>
  <c r="EO27" i="49"/>
  <c r="EO26" i="49"/>
  <c r="EO367" i="49"/>
  <c r="EO307" i="49"/>
  <c r="EO58" i="49"/>
  <c r="EO448" i="49"/>
  <c r="EO315" i="49"/>
  <c r="EO354" i="49"/>
  <c r="EO279" i="49"/>
  <c r="EO449" i="49"/>
  <c r="EO386" i="49"/>
  <c r="EO393" i="49"/>
  <c r="EO180" i="49"/>
  <c r="EO62" i="49"/>
  <c r="EO81" i="49"/>
  <c r="EO14" i="49"/>
  <c r="EO474" i="49"/>
  <c r="EO320" i="49"/>
  <c r="EO137" i="49"/>
  <c r="EO7" i="49"/>
  <c r="EO377" i="49"/>
  <c r="EO498" i="49"/>
  <c r="EO266" i="49"/>
  <c r="EO424" i="49"/>
  <c r="EL500" i="49"/>
  <c r="EN500" i="49"/>
  <c r="EN2" i="49"/>
  <c r="EP2" i="49"/>
  <c r="EO5" i="49"/>
  <c r="EO500" i="49"/>
  <c r="EO2" i="49"/>
  <c r="EP330" i="49"/>
  <c r="EQ330" i="49"/>
  <c r="ER330" i="49"/>
  <c r="ES330" i="49"/>
  <c r="EP203" i="49"/>
  <c r="EQ203" i="49"/>
  <c r="ER203" i="49"/>
  <c r="ES203" i="49"/>
  <c r="EP204" i="49"/>
  <c r="EQ204" i="49"/>
  <c r="ER204" i="49"/>
  <c r="ES204" i="49"/>
  <c r="EP137" i="49"/>
  <c r="EQ137" i="49"/>
  <c r="ER137" i="49"/>
  <c r="ES137" i="49"/>
  <c r="EP320" i="49"/>
  <c r="EQ320" i="49"/>
  <c r="ER320" i="49"/>
  <c r="ES320" i="49"/>
  <c r="EP205" i="49"/>
  <c r="EQ205" i="49"/>
  <c r="ER205" i="49"/>
  <c r="ES205" i="49"/>
  <c r="EP289" i="49"/>
  <c r="EQ289" i="49"/>
  <c r="ER289" i="49"/>
  <c r="ES289" i="49"/>
  <c r="EP97" i="49"/>
  <c r="EQ97" i="49"/>
  <c r="ER97" i="49"/>
  <c r="ES97" i="49"/>
  <c r="EP16" i="49"/>
  <c r="EQ16" i="49"/>
  <c r="ER16" i="49"/>
  <c r="ES16" i="49"/>
  <c r="EP349" i="49"/>
  <c r="EQ349" i="49"/>
  <c r="ER349" i="49"/>
  <c r="ES349" i="49"/>
  <c r="EP279" i="49"/>
  <c r="EQ279" i="49"/>
  <c r="ER279" i="49"/>
  <c r="ES279" i="49"/>
  <c r="EP200" i="49"/>
  <c r="EQ200" i="49"/>
  <c r="ER200" i="49"/>
  <c r="ES200" i="49"/>
  <c r="EP303" i="49"/>
  <c r="EQ303" i="49"/>
  <c r="ER303" i="49"/>
  <c r="ES303" i="49"/>
  <c r="EP340" i="49"/>
  <c r="EQ340" i="49"/>
  <c r="ER340" i="49"/>
  <c r="ES340" i="49"/>
  <c r="EP74" i="49"/>
  <c r="EQ74" i="49"/>
  <c r="ER74" i="49"/>
  <c r="ES74" i="49"/>
  <c r="EP339" i="49"/>
  <c r="EQ339" i="49"/>
  <c r="ER339" i="49"/>
  <c r="ES339" i="49"/>
  <c r="EP92" i="49"/>
  <c r="EQ92" i="49"/>
  <c r="ER92" i="49"/>
  <c r="ES92" i="49"/>
  <c r="EP217" i="49"/>
  <c r="EQ217" i="49"/>
  <c r="ER217" i="49"/>
  <c r="ES217" i="49"/>
  <c r="EP478" i="49"/>
  <c r="EQ478" i="49"/>
  <c r="ER478" i="49"/>
  <c r="ES478" i="49"/>
  <c r="EP302" i="49"/>
  <c r="EQ302" i="49"/>
  <c r="ER302" i="49"/>
  <c r="ES302" i="49"/>
  <c r="EP433" i="49"/>
  <c r="EQ433" i="49"/>
  <c r="ER433" i="49"/>
  <c r="ES433" i="49"/>
  <c r="EP238" i="49"/>
  <c r="EQ238" i="49"/>
  <c r="ER238" i="49"/>
  <c r="ES238" i="49"/>
  <c r="EP125" i="49"/>
  <c r="EQ125" i="49"/>
  <c r="ER125" i="49"/>
  <c r="ES125" i="49"/>
  <c r="EP162" i="49"/>
  <c r="EQ162" i="49"/>
  <c r="ER162" i="49"/>
  <c r="ES162" i="49"/>
  <c r="EP371" i="49"/>
  <c r="EQ371" i="49"/>
  <c r="ER371" i="49"/>
  <c r="ES371" i="49"/>
  <c r="EP80" i="49"/>
  <c r="EQ80" i="49"/>
  <c r="ER80" i="49"/>
  <c r="ES80" i="49"/>
  <c r="EP33" i="49"/>
  <c r="EQ33" i="49"/>
  <c r="ER33" i="49"/>
  <c r="ES33" i="49"/>
  <c r="EP186" i="49"/>
  <c r="EQ186" i="49"/>
  <c r="ER186" i="49"/>
  <c r="ES186" i="49"/>
  <c r="EP179" i="49"/>
  <c r="EQ179" i="49"/>
  <c r="ER179" i="49"/>
  <c r="ES179" i="49"/>
  <c r="EP117" i="49"/>
  <c r="EQ117" i="49"/>
  <c r="ER117" i="49"/>
  <c r="ES117" i="49"/>
  <c r="EP34" i="49"/>
  <c r="EQ34" i="49"/>
  <c r="ER34" i="49"/>
  <c r="ES34" i="49"/>
  <c r="EP278" i="49"/>
  <c r="EQ278" i="49"/>
  <c r="ER278" i="49"/>
  <c r="ES278" i="49"/>
  <c r="EP151" i="49"/>
  <c r="EQ151" i="49"/>
  <c r="ER151" i="49"/>
  <c r="ES151" i="49"/>
  <c r="EP185" i="49"/>
  <c r="EQ185" i="49"/>
  <c r="ER185" i="49"/>
  <c r="ES185" i="49"/>
  <c r="EP163" i="49"/>
  <c r="EQ163" i="49"/>
  <c r="ER163" i="49"/>
  <c r="ES163" i="49"/>
  <c r="EP394" i="49"/>
  <c r="EQ394" i="49"/>
  <c r="ER394" i="49"/>
  <c r="ES394" i="49"/>
  <c r="EP452" i="49"/>
  <c r="EQ452" i="49"/>
  <c r="ER452" i="49"/>
  <c r="ES452" i="49"/>
  <c r="EP235" i="49"/>
  <c r="EQ235" i="49"/>
  <c r="ER235" i="49"/>
  <c r="ES235" i="49"/>
  <c r="EP472" i="49"/>
  <c r="EQ472" i="49"/>
  <c r="ER472" i="49"/>
  <c r="ES472" i="49"/>
  <c r="EP208" i="49"/>
  <c r="EQ208" i="49"/>
  <c r="ER208" i="49"/>
  <c r="ES208" i="49"/>
  <c r="EP351" i="49"/>
  <c r="EQ351" i="49"/>
  <c r="ER351" i="49"/>
  <c r="ES351" i="49"/>
  <c r="EP9" i="49"/>
  <c r="EQ9" i="49"/>
  <c r="ER9" i="49"/>
  <c r="ES9" i="49"/>
  <c r="EP378" i="49"/>
  <c r="EQ378" i="49"/>
  <c r="ER378" i="49"/>
  <c r="ES378" i="49"/>
  <c r="EP274" i="49"/>
  <c r="EQ274" i="49"/>
  <c r="ER274" i="49"/>
  <c r="ES274" i="49"/>
  <c r="EP177" i="49"/>
  <c r="EQ177" i="49"/>
  <c r="ER177" i="49"/>
  <c r="ES177" i="49"/>
  <c r="EP425" i="49"/>
  <c r="EQ425" i="49"/>
  <c r="ER425" i="49"/>
  <c r="ES425" i="49"/>
  <c r="EP484" i="49"/>
  <c r="EQ484" i="49"/>
  <c r="ER484" i="49"/>
  <c r="ES484" i="49"/>
  <c r="EP239" i="49"/>
  <c r="EQ239" i="49"/>
  <c r="ER239" i="49"/>
  <c r="ES239" i="49"/>
  <c r="EP213" i="49"/>
  <c r="EQ213" i="49"/>
  <c r="ER213" i="49"/>
  <c r="ES213" i="49"/>
  <c r="EP158" i="49"/>
  <c r="EQ158" i="49"/>
  <c r="ER158" i="49"/>
  <c r="ES158" i="49"/>
  <c r="EP413" i="49"/>
  <c r="EQ413" i="49"/>
  <c r="ER413" i="49"/>
  <c r="ES413" i="49"/>
  <c r="EP361" i="49"/>
  <c r="EQ361" i="49"/>
  <c r="ER361" i="49"/>
  <c r="ES361" i="49"/>
  <c r="EP309" i="49"/>
  <c r="EQ309" i="49"/>
  <c r="ER309" i="49"/>
  <c r="ES309" i="49"/>
  <c r="EP249" i="49"/>
  <c r="EQ249" i="49"/>
  <c r="ER249" i="49"/>
  <c r="ES249" i="49"/>
  <c r="EP470" i="49"/>
  <c r="EQ470" i="49"/>
  <c r="ER470" i="49"/>
  <c r="ES470" i="49"/>
  <c r="EP335" i="49"/>
  <c r="EQ335" i="49"/>
  <c r="ER335" i="49"/>
  <c r="ES335" i="49"/>
  <c r="EP143" i="49"/>
  <c r="EQ143" i="49"/>
  <c r="ER143" i="49"/>
  <c r="ES143" i="49"/>
  <c r="EP417" i="49"/>
  <c r="EQ417" i="49"/>
  <c r="ER417" i="49"/>
  <c r="ES417" i="49"/>
  <c r="EP308" i="49"/>
  <c r="EQ308" i="49"/>
  <c r="ER308" i="49"/>
  <c r="ES308" i="49"/>
  <c r="EP8" i="49"/>
  <c r="EQ8" i="49"/>
  <c r="ER8" i="49"/>
  <c r="ES8" i="49"/>
  <c r="EP466" i="49"/>
  <c r="EQ466" i="49"/>
  <c r="ER466" i="49"/>
  <c r="ES466" i="49"/>
  <c r="EP319" i="49"/>
  <c r="EQ319" i="49"/>
  <c r="ER319" i="49"/>
  <c r="ES319" i="49"/>
  <c r="EP291" i="49"/>
  <c r="EQ291" i="49"/>
  <c r="ER291" i="49"/>
  <c r="ES291" i="49"/>
  <c r="EP112" i="49"/>
  <c r="EQ112" i="49"/>
  <c r="ER112" i="49"/>
  <c r="ES112" i="49"/>
  <c r="EP254" i="49"/>
  <c r="EQ254" i="49"/>
  <c r="ER254" i="49"/>
  <c r="ES254" i="49"/>
  <c r="EP407" i="49"/>
  <c r="EQ407" i="49"/>
  <c r="ER407" i="49"/>
  <c r="ES407" i="49"/>
  <c r="EP93" i="49"/>
  <c r="EQ93" i="49"/>
  <c r="ER93" i="49"/>
  <c r="ES93" i="49"/>
  <c r="EP388" i="49"/>
  <c r="EQ388" i="49"/>
  <c r="ER388" i="49"/>
  <c r="ES388" i="49"/>
  <c r="EP447" i="49"/>
  <c r="EQ447" i="49"/>
  <c r="ER447" i="49"/>
  <c r="ES447" i="49"/>
  <c r="EP54" i="49"/>
  <c r="EQ54" i="49"/>
  <c r="ER54" i="49"/>
  <c r="ES54" i="49"/>
  <c r="EP448" i="49"/>
  <c r="EQ448" i="49"/>
  <c r="ER448" i="49"/>
  <c r="ES448" i="49"/>
  <c r="EP195" i="49"/>
  <c r="EQ195" i="49"/>
  <c r="ER195" i="49"/>
  <c r="ES195" i="49"/>
  <c r="EP455" i="49"/>
  <c r="EQ455" i="49"/>
  <c r="ER455" i="49"/>
  <c r="ES455" i="49"/>
  <c r="EP161" i="49"/>
  <c r="EQ161" i="49"/>
  <c r="ER161" i="49"/>
  <c r="ES161" i="49"/>
  <c r="EP473" i="49"/>
  <c r="EQ473" i="49"/>
  <c r="ER473" i="49"/>
  <c r="ES473" i="49"/>
  <c r="EP65" i="49"/>
  <c r="EQ65" i="49"/>
  <c r="ER65" i="49"/>
  <c r="ES65" i="49"/>
  <c r="EP373" i="49"/>
  <c r="EQ373" i="49"/>
  <c r="ER373" i="49"/>
  <c r="ES373" i="49"/>
  <c r="EP482" i="49"/>
  <c r="EQ482" i="49"/>
  <c r="ER482" i="49"/>
  <c r="ES482" i="49"/>
  <c r="EP405" i="49"/>
  <c r="EQ405" i="49"/>
  <c r="ER405" i="49"/>
  <c r="ES405" i="49"/>
  <c r="EP265" i="49"/>
  <c r="EQ265" i="49"/>
  <c r="ER265" i="49"/>
  <c r="ES265" i="49"/>
  <c r="EP414" i="49"/>
  <c r="EQ414" i="49"/>
  <c r="ER414" i="49"/>
  <c r="ES414" i="49"/>
  <c r="EP114" i="49"/>
  <c r="EQ114" i="49"/>
  <c r="ER114" i="49"/>
  <c r="ES114" i="49"/>
  <c r="EP78" i="49"/>
  <c r="EQ78" i="49"/>
  <c r="ER78" i="49"/>
  <c r="ES78" i="49"/>
  <c r="EP253" i="49"/>
  <c r="EQ253" i="49"/>
  <c r="ER253" i="49"/>
  <c r="ES253" i="49"/>
  <c r="EP88" i="49"/>
  <c r="EQ88" i="49"/>
  <c r="ER88" i="49"/>
  <c r="ES88" i="49"/>
  <c r="EP422" i="49"/>
  <c r="EQ422" i="49"/>
  <c r="ER422" i="49"/>
  <c r="ES422" i="49"/>
  <c r="EP216" i="49"/>
  <c r="EQ216" i="49"/>
  <c r="ER216" i="49"/>
  <c r="ES216" i="49"/>
  <c r="EP247" i="49"/>
  <c r="EQ247" i="49"/>
  <c r="ER247" i="49"/>
  <c r="ES247" i="49"/>
  <c r="EP480" i="49"/>
  <c r="EQ480" i="49"/>
  <c r="ER480" i="49"/>
  <c r="ES480" i="49"/>
  <c r="EP365" i="49"/>
  <c r="EQ365" i="49"/>
  <c r="ER365" i="49"/>
  <c r="ES365" i="49"/>
  <c r="EP336" i="49"/>
  <c r="EQ336" i="49"/>
  <c r="ER336" i="49"/>
  <c r="ES336" i="49"/>
  <c r="EP356" i="49"/>
  <c r="EQ356" i="49"/>
  <c r="ER356" i="49"/>
  <c r="ES356" i="49"/>
  <c r="EP28" i="49"/>
  <c r="EQ28" i="49"/>
  <c r="ER28" i="49"/>
  <c r="ES28" i="49"/>
  <c r="EP87" i="49"/>
  <c r="EQ87" i="49"/>
  <c r="ER87" i="49"/>
  <c r="ES87" i="49"/>
  <c r="EP352" i="49"/>
  <c r="EQ352" i="49"/>
  <c r="ER352" i="49"/>
  <c r="ES352" i="49"/>
  <c r="EP102" i="49"/>
  <c r="EQ102" i="49"/>
  <c r="ER102" i="49"/>
  <c r="ES102" i="49"/>
  <c r="EP148" i="49"/>
  <c r="EQ148" i="49"/>
  <c r="ER148" i="49"/>
  <c r="ES148" i="49"/>
  <c r="EP318" i="49"/>
  <c r="EQ318" i="49"/>
  <c r="ER318" i="49"/>
  <c r="ES318" i="49"/>
  <c r="EP229" i="49"/>
  <c r="EQ229" i="49"/>
  <c r="ER229" i="49"/>
  <c r="ES229" i="49"/>
  <c r="EP227" i="49"/>
  <c r="EQ227" i="49"/>
  <c r="ER227" i="49"/>
  <c r="ES227" i="49"/>
  <c r="EP451" i="49"/>
  <c r="EQ451" i="49"/>
  <c r="ER451" i="49"/>
  <c r="ES451" i="49"/>
  <c r="EP70" i="49"/>
  <c r="EQ70" i="49"/>
  <c r="ER70" i="49"/>
  <c r="ES70" i="49"/>
  <c r="EP172" i="49"/>
  <c r="EQ172" i="49"/>
  <c r="ER172" i="49"/>
  <c r="ES172" i="49"/>
  <c r="EP437" i="49"/>
  <c r="EQ437" i="49"/>
  <c r="ER437" i="49"/>
  <c r="ES437" i="49"/>
  <c r="EP321" i="49"/>
  <c r="EQ321" i="49"/>
  <c r="ER321" i="49"/>
  <c r="ES321" i="49"/>
  <c r="EP182" i="49"/>
  <c r="EQ182" i="49"/>
  <c r="ER182" i="49"/>
  <c r="ES182" i="49"/>
  <c r="EP187" i="49"/>
  <c r="EQ187" i="49"/>
  <c r="ER187" i="49"/>
  <c r="ES187" i="49"/>
  <c r="EP224" i="49"/>
  <c r="EQ224" i="49"/>
  <c r="ER224" i="49"/>
  <c r="ES224" i="49"/>
  <c r="EP314" i="49"/>
  <c r="EQ314" i="49"/>
  <c r="ER314" i="49"/>
  <c r="ES314" i="49"/>
  <c r="EP453" i="49"/>
  <c r="EQ453" i="49"/>
  <c r="ER453" i="49"/>
  <c r="ES453" i="49"/>
  <c r="EP423" i="49"/>
  <c r="EQ423" i="49"/>
  <c r="ER423" i="49"/>
  <c r="ES423" i="49"/>
  <c r="EP350" i="49"/>
  <c r="EQ350" i="49"/>
  <c r="ER350" i="49"/>
  <c r="ES350" i="49"/>
  <c r="EP113" i="49"/>
  <c r="EQ113" i="49"/>
  <c r="ER113" i="49"/>
  <c r="ES113" i="49"/>
  <c r="EP56" i="49"/>
  <c r="EQ56" i="49"/>
  <c r="ER56" i="49"/>
  <c r="ES56" i="49"/>
  <c r="EP297" i="49"/>
  <c r="EQ297" i="49"/>
  <c r="ER297" i="49"/>
  <c r="ES297" i="49"/>
  <c r="EP152" i="49"/>
  <c r="EQ152" i="49"/>
  <c r="ER152" i="49"/>
  <c r="ES152" i="49"/>
  <c r="EP316" i="49"/>
  <c r="EQ316" i="49"/>
  <c r="ER316" i="49"/>
  <c r="ES316" i="49"/>
  <c r="EP214" i="49"/>
  <c r="EQ214" i="49"/>
  <c r="ER214" i="49"/>
  <c r="ES214" i="49"/>
  <c r="EP270" i="49"/>
  <c r="EQ270" i="49"/>
  <c r="ER270" i="49"/>
  <c r="ES270" i="49"/>
  <c r="EP441" i="49"/>
  <c r="EQ441" i="49"/>
  <c r="ER441" i="49"/>
  <c r="ES441" i="49"/>
  <c r="EP240" i="49"/>
  <c r="EQ240" i="49"/>
  <c r="ER240" i="49"/>
  <c r="ES240" i="49"/>
  <c r="EP467" i="49"/>
  <c r="EQ467" i="49"/>
  <c r="ER467" i="49"/>
  <c r="ES467" i="49"/>
  <c r="EP347" i="49"/>
  <c r="EQ347" i="49"/>
  <c r="ER347" i="49"/>
  <c r="ES347" i="49"/>
  <c r="EP477" i="49"/>
  <c r="EQ477" i="49"/>
  <c r="ER477" i="49"/>
  <c r="ES477" i="49"/>
  <c r="EP210" i="49"/>
  <c r="EQ210" i="49"/>
  <c r="ER210" i="49"/>
  <c r="ES210" i="49"/>
  <c r="EP488" i="49"/>
  <c r="EQ488" i="49"/>
  <c r="ER488" i="49"/>
  <c r="ES488" i="49"/>
  <c r="EP431" i="49"/>
  <c r="EQ431" i="49"/>
  <c r="ER431" i="49"/>
  <c r="ES431" i="49"/>
  <c r="EP246" i="49"/>
  <c r="EQ246" i="49"/>
  <c r="ER246" i="49"/>
  <c r="ES246" i="49"/>
  <c r="EP35" i="49"/>
  <c r="EQ35" i="49"/>
  <c r="ER35" i="49"/>
  <c r="ES35" i="49"/>
  <c r="EP444" i="49"/>
  <c r="EQ444" i="49"/>
  <c r="ER444" i="49"/>
  <c r="ES444" i="49"/>
  <c r="EP342" i="49"/>
  <c r="EQ342" i="49"/>
  <c r="ER342" i="49"/>
  <c r="ES342" i="49"/>
  <c r="EP434" i="49"/>
  <c r="EQ434" i="49"/>
  <c r="ER434" i="49"/>
  <c r="ES434" i="49"/>
  <c r="EP20" i="49"/>
  <c r="EQ20" i="49"/>
  <c r="ER20" i="49"/>
  <c r="ES20" i="49"/>
  <c r="EP427" i="49"/>
  <c r="EQ427" i="49"/>
  <c r="ER427" i="49"/>
  <c r="ES427" i="49"/>
  <c r="EP122" i="49"/>
  <c r="EQ122" i="49"/>
  <c r="ER122" i="49"/>
  <c r="ES122" i="49"/>
  <c r="EP232" i="49"/>
  <c r="EQ232" i="49"/>
  <c r="ER232" i="49"/>
  <c r="ES232" i="49"/>
  <c r="EP331" i="49"/>
  <c r="EQ331" i="49"/>
  <c r="ER331" i="49"/>
  <c r="ES331" i="49"/>
  <c r="EP31" i="49"/>
  <c r="EQ31" i="49"/>
  <c r="ER31" i="49"/>
  <c r="ES31" i="49"/>
  <c r="EP38" i="49"/>
  <c r="EQ38" i="49"/>
  <c r="ER38" i="49"/>
  <c r="ES38" i="49"/>
  <c r="EP75" i="49"/>
  <c r="EQ75" i="49"/>
  <c r="ER75" i="49"/>
  <c r="ES75" i="49"/>
  <c r="EP436" i="49"/>
  <c r="EQ436" i="49"/>
  <c r="ER436" i="49"/>
  <c r="ES436" i="49"/>
  <c r="EP27" i="49"/>
  <c r="EQ27" i="49"/>
  <c r="ER27" i="49"/>
  <c r="ES27" i="49"/>
  <c r="EP62" i="49"/>
  <c r="EQ62" i="49"/>
  <c r="ER62" i="49"/>
  <c r="ES62" i="49"/>
  <c r="EP136" i="49"/>
  <c r="EQ136" i="49"/>
  <c r="ER136" i="49"/>
  <c r="ES136" i="49"/>
  <c r="EP116" i="49"/>
  <c r="EQ116" i="49"/>
  <c r="ER116" i="49"/>
  <c r="ES116" i="49"/>
  <c r="EP248" i="49"/>
  <c r="EQ248" i="49"/>
  <c r="ER248" i="49"/>
  <c r="ES248" i="49"/>
  <c r="EP362" i="49"/>
  <c r="EQ362" i="49"/>
  <c r="ER362" i="49"/>
  <c r="ES362" i="49"/>
  <c r="EP345" i="49"/>
  <c r="EQ345" i="49"/>
  <c r="ER345" i="49"/>
  <c r="ES345" i="49"/>
  <c r="EP315" i="49"/>
  <c r="EQ315" i="49"/>
  <c r="ER315" i="49"/>
  <c r="ES315" i="49"/>
  <c r="EP464" i="49"/>
  <c r="EQ464" i="49"/>
  <c r="ER464" i="49"/>
  <c r="ES464" i="49"/>
  <c r="EP237" i="49"/>
  <c r="EQ237" i="49"/>
  <c r="ER237" i="49"/>
  <c r="ES237" i="49"/>
  <c r="EP313" i="49"/>
  <c r="EQ313" i="49"/>
  <c r="ER313" i="49"/>
  <c r="ES313" i="49"/>
  <c r="EP403" i="49"/>
  <c r="EQ403" i="49"/>
  <c r="ER403" i="49"/>
  <c r="ES403" i="49"/>
  <c r="EP6" i="49"/>
  <c r="EQ6" i="49"/>
  <c r="ER6" i="49"/>
  <c r="ES6" i="49"/>
  <c r="EP332" i="49"/>
  <c r="EQ332" i="49"/>
  <c r="ER332" i="49"/>
  <c r="ES332" i="49"/>
  <c r="EP45" i="49"/>
  <c r="EQ45" i="49"/>
  <c r="ER45" i="49"/>
  <c r="ES45" i="49"/>
  <c r="EP421" i="49"/>
  <c r="EQ421" i="49"/>
  <c r="ER421" i="49"/>
  <c r="ES421" i="49"/>
  <c r="EP385" i="49"/>
  <c r="EQ385" i="49"/>
  <c r="ER385" i="49"/>
  <c r="ES385" i="49"/>
  <c r="EP442" i="49"/>
  <c r="EQ442" i="49"/>
  <c r="ER442" i="49"/>
  <c r="ES442" i="49"/>
  <c r="EP300" i="49"/>
  <c r="EQ300" i="49"/>
  <c r="ER300" i="49"/>
  <c r="ES300" i="49"/>
  <c r="EP193" i="49"/>
  <c r="EQ193" i="49"/>
  <c r="ER193" i="49"/>
  <c r="ES193" i="49"/>
  <c r="EP440" i="49"/>
  <c r="EQ440" i="49"/>
  <c r="ER440" i="49"/>
  <c r="ES440" i="49"/>
  <c r="EP108" i="49"/>
  <c r="EQ108" i="49"/>
  <c r="ER108" i="49"/>
  <c r="ES108" i="49"/>
  <c r="EP443" i="49"/>
  <c r="EQ443" i="49"/>
  <c r="ER443" i="49"/>
  <c r="ES443" i="49"/>
  <c r="EP474" i="49"/>
  <c r="EQ474" i="49"/>
  <c r="ER474" i="49"/>
  <c r="ES474" i="49"/>
  <c r="EP429" i="49"/>
  <c r="EQ429" i="49"/>
  <c r="ER429" i="49"/>
  <c r="ES429" i="49"/>
  <c r="EP398" i="49"/>
  <c r="EQ398" i="49"/>
  <c r="ER398" i="49"/>
  <c r="ES398" i="49"/>
  <c r="EP140" i="49"/>
  <c r="EQ140" i="49"/>
  <c r="ER140" i="49"/>
  <c r="ES140" i="49"/>
  <c r="EP145" i="49"/>
  <c r="EQ145" i="49"/>
  <c r="ER145" i="49"/>
  <c r="ES145" i="49"/>
  <c r="EP131" i="49"/>
  <c r="EQ131" i="49"/>
  <c r="ER131" i="49"/>
  <c r="ES131" i="49"/>
  <c r="EP48" i="49"/>
  <c r="EQ48" i="49"/>
  <c r="ER48" i="49"/>
  <c r="ES48" i="49"/>
  <c r="EP202" i="49"/>
  <c r="EQ202" i="49"/>
  <c r="ER202" i="49"/>
  <c r="ES202" i="49"/>
  <c r="EP36" i="49"/>
  <c r="EQ36" i="49"/>
  <c r="ER36" i="49"/>
  <c r="ES36" i="49"/>
  <c r="EP364" i="49"/>
  <c r="EQ364" i="49"/>
  <c r="ER364" i="49"/>
  <c r="ES364" i="49"/>
  <c r="EP305" i="49"/>
  <c r="EQ305" i="49"/>
  <c r="ER305" i="49"/>
  <c r="ES305" i="49"/>
  <c r="EP435" i="49"/>
  <c r="EQ435" i="49"/>
  <c r="ER435" i="49"/>
  <c r="ES435" i="49"/>
  <c r="EP244" i="49"/>
  <c r="EQ244" i="49"/>
  <c r="ER244" i="49"/>
  <c r="ES244" i="49"/>
  <c r="EP199" i="49"/>
  <c r="EQ199" i="49"/>
  <c r="ER199" i="49"/>
  <c r="ES199" i="49"/>
  <c r="EP375" i="49"/>
  <c r="EQ375" i="49"/>
  <c r="ER375" i="49"/>
  <c r="ES375" i="49"/>
  <c r="EP175" i="49"/>
  <c r="EQ175" i="49"/>
  <c r="ER175" i="49"/>
  <c r="ES175" i="49"/>
  <c r="EP457" i="49"/>
  <c r="EQ457" i="49"/>
  <c r="ER457" i="49"/>
  <c r="ES457" i="49"/>
  <c r="EP83" i="49"/>
  <c r="EQ83" i="49"/>
  <c r="ER83" i="49"/>
  <c r="ES83" i="49"/>
  <c r="EP96" i="49"/>
  <c r="EQ96" i="49"/>
  <c r="ER96" i="49"/>
  <c r="ES96" i="49"/>
  <c r="EP201" i="49"/>
  <c r="EQ201" i="49"/>
  <c r="ER201" i="49"/>
  <c r="ES201" i="49"/>
  <c r="EP66" i="49"/>
  <c r="EQ66" i="49"/>
  <c r="ER66" i="49"/>
  <c r="ES66" i="49"/>
  <c r="EP390" i="49"/>
  <c r="EQ390" i="49"/>
  <c r="ER390" i="49"/>
  <c r="ES390" i="49"/>
  <c r="EP397" i="49"/>
  <c r="EQ397" i="49"/>
  <c r="ER397" i="49"/>
  <c r="ES397" i="49"/>
  <c r="EP119" i="49"/>
  <c r="EQ119" i="49"/>
  <c r="ER119" i="49"/>
  <c r="ES119" i="49"/>
  <c r="EP400" i="49"/>
  <c r="EQ400" i="49"/>
  <c r="ER400" i="49"/>
  <c r="ES400" i="49"/>
  <c r="EP190" i="49"/>
  <c r="EQ190" i="49"/>
  <c r="ER190" i="49"/>
  <c r="ES190" i="49"/>
  <c r="EP127" i="49"/>
  <c r="EQ127" i="49"/>
  <c r="ER127" i="49"/>
  <c r="ES127" i="49"/>
  <c r="EP282" i="49"/>
  <c r="EQ282" i="49"/>
  <c r="ER282" i="49"/>
  <c r="ES282" i="49"/>
  <c r="EP42" i="49"/>
  <c r="EQ42" i="49"/>
  <c r="ER42" i="49"/>
  <c r="ES42" i="49"/>
  <c r="EP258" i="49"/>
  <c r="EQ258" i="49"/>
  <c r="ER258" i="49"/>
  <c r="ES258" i="49"/>
  <c r="EP399" i="49"/>
  <c r="EQ399" i="49"/>
  <c r="ER399" i="49"/>
  <c r="ES399" i="49"/>
  <c r="EP268" i="49"/>
  <c r="EQ268" i="49"/>
  <c r="ER268" i="49"/>
  <c r="ES268" i="49"/>
  <c r="EP496" i="49"/>
  <c r="EQ496" i="49"/>
  <c r="ER496" i="49"/>
  <c r="ES496" i="49"/>
  <c r="EP63" i="49"/>
  <c r="EQ63" i="49"/>
  <c r="ER63" i="49"/>
  <c r="ES63" i="49"/>
  <c r="EP333" i="49"/>
  <c r="EQ333" i="49"/>
  <c r="ER333" i="49"/>
  <c r="ES333" i="49"/>
  <c r="EP160" i="49"/>
  <c r="EQ160" i="49"/>
  <c r="ER160" i="49"/>
  <c r="ES160" i="49"/>
  <c r="EP167" i="49"/>
  <c r="EQ167" i="49"/>
  <c r="ER167" i="49"/>
  <c r="ES167" i="49"/>
  <c r="EP22" i="49"/>
  <c r="EQ22" i="49"/>
  <c r="ER22" i="49"/>
  <c r="ES22" i="49"/>
  <c r="EP446" i="49"/>
  <c r="EQ446" i="49"/>
  <c r="ER446" i="49"/>
  <c r="ES446" i="49"/>
  <c r="EP94" i="49"/>
  <c r="EQ94" i="49"/>
  <c r="ER94" i="49"/>
  <c r="ES94" i="49"/>
  <c r="EP256" i="49"/>
  <c r="EQ256" i="49"/>
  <c r="ER256" i="49"/>
  <c r="ES256" i="49"/>
  <c r="EP44" i="49"/>
  <c r="EQ44" i="49"/>
  <c r="ER44" i="49"/>
  <c r="ES44" i="49"/>
  <c r="EP109" i="49"/>
  <c r="EQ109" i="49"/>
  <c r="ER109" i="49"/>
  <c r="ES109" i="49"/>
  <c r="EP393" i="49"/>
  <c r="EQ393" i="49"/>
  <c r="ER393" i="49"/>
  <c r="ES393" i="49"/>
  <c r="EP369" i="49"/>
  <c r="EQ369" i="49"/>
  <c r="ER369" i="49"/>
  <c r="ES369" i="49"/>
  <c r="EP86" i="49"/>
  <c r="EQ86" i="49"/>
  <c r="ER86" i="49"/>
  <c r="ES86" i="49"/>
  <c r="EP220" i="49"/>
  <c r="EQ220" i="49"/>
  <c r="ER220" i="49"/>
  <c r="ES220" i="49"/>
  <c r="EP77" i="49"/>
  <c r="EQ77" i="49"/>
  <c r="ER77" i="49"/>
  <c r="ES77" i="49"/>
  <c r="EP306" i="49"/>
  <c r="EQ306" i="49"/>
  <c r="ER306" i="49"/>
  <c r="ES306" i="49"/>
  <c r="EP241" i="49"/>
  <c r="EQ241" i="49"/>
  <c r="ER241" i="49"/>
  <c r="ES241" i="49"/>
  <c r="EP294" i="49"/>
  <c r="EQ294" i="49"/>
  <c r="ER294" i="49"/>
  <c r="ES294" i="49"/>
  <c r="EP402" i="49"/>
  <c r="EQ402" i="49"/>
  <c r="ER402" i="49"/>
  <c r="ES402" i="49"/>
  <c r="EP323" i="49"/>
  <c r="EQ323" i="49"/>
  <c r="ER323" i="49"/>
  <c r="ES323" i="49"/>
  <c r="EP338" i="49"/>
  <c r="EQ338" i="49"/>
  <c r="ER338" i="49"/>
  <c r="ES338" i="49"/>
  <c r="EP166" i="49"/>
  <c r="EQ166" i="49"/>
  <c r="ER166" i="49"/>
  <c r="ES166" i="49"/>
  <c r="EP209" i="49"/>
  <c r="EQ209" i="49"/>
  <c r="ER209" i="49"/>
  <c r="ES209" i="49"/>
  <c r="EP194" i="49"/>
  <c r="EQ194" i="49"/>
  <c r="ER194" i="49"/>
  <c r="ES194" i="49"/>
  <c r="EP59" i="49"/>
  <c r="EQ59" i="49"/>
  <c r="ER59" i="49"/>
  <c r="ES59" i="49"/>
  <c r="EP226" i="49"/>
  <c r="EQ226" i="49"/>
  <c r="ER226" i="49"/>
  <c r="ES226" i="49"/>
  <c r="EP138" i="49"/>
  <c r="EQ138" i="49"/>
  <c r="ER138" i="49"/>
  <c r="ES138" i="49"/>
  <c r="EP126" i="49"/>
  <c r="EQ126" i="49"/>
  <c r="ER126" i="49"/>
  <c r="ES126" i="49"/>
  <c r="EP101" i="49"/>
  <c r="EQ101" i="49"/>
  <c r="ER101" i="49"/>
  <c r="ES101" i="49"/>
  <c r="EP91" i="49"/>
  <c r="EQ91" i="49"/>
  <c r="ER91" i="49"/>
  <c r="ES91" i="49"/>
  <c r="EP106" i="49"/>
  <c r="EQ106" i="49"/>
  <c r="ER106" i="49"/>
  <c r="ES106" i="49"/>
  <c r="EP231" i="49"/>
  <c r="EQ231" i="49"/>
  <c r="ER231" i="49"/>
  <c r="ES231" i="49"/>
  <c r="EP498" i="49"/>
  <c r="EQ498" i="49"/>
  <c r="ER498" i="49"/>
  <c r="ES498" i="49"/>
  <c r="EP135" i="49"/>
  <c r="EQ135" i="49"/>
  <c r="ER135" i="49"/>
  <c r="ES135" i="49"/>
  <c r="EP11" i="49"/>
  <c r="EQ11" i="49"/>
  <c r="ER11" i="49"/>
  <c r="ES11" i="49"/>
  <c r="EP84" i="49"/>
  <c r="EQ84" i="49"/>
  <c r="ER84" i="49"/>
  <c r="ES84" i="49"/>
  <c r="EP189" i="49"/>
  <c r="EQ189" i="49"/>
  <c r="ER189" i="49"/>
  <c r="ES189" i="49"/>
  <c r="EP391" i="49"/>
  <c r="EQ391" i="49"/>
  <c r="ER391" i="49"/>
  <c r="ES391" i="49"/>
  <c r="EP290" i="49"/>
  <c r="EQ290" i="49"/>
  <c r="ER290" i="49"/>
  <c r="ES290" i="49"/>
  <c r="EP170" i="49"/>
  <c r="EQ170" i="49"/>
  <c r="ER170" i="49"/>
  <c r="ES170" i="49"/>
  <c r="EP69" i="49"/>
  <c r="EQ69" i="49"/>
  <c r="ER69" i="49"/>
  <c r="ES69" i="49"/>
  <c r="EP176" i="49"/>
  <c r="EQ176" i="49"/>
  <c r="ER176" i="49"/>
  <c r="ES176" i="49"/>
  <c r="EP328" i="49"/>
  <c r="EQ328" i="49"/>
  <c r="ER328" i="49"/>
  <c r="ES328" i="49"/>
  <c r="EP426" i="49"/>
  <c r="EQ426" i="49"/>
  <c r="ER426" i="49"/>
  <c r="ES426" i="49"/>
  <c r="EP141" i="49"/>
  <c r="EQ141" i="49"/>
  <c r="ER141" i="49"/>
  <c r="ES141" i="49"/>
  <c r="EP104" i="49"/>
  <c r="EQ104" i="49"/>
  <c r="ER104" i="49"/>
  <c r="ES104" i="49"/>
  <c r="EP41" i="49"/>
  <c r="EQ41" i="49"/>
  <c r="ER41" i="49"/>
  <c r="ES41" i="49"/>
  <c r="EP263" i="49"/>
  <c r="EQ263" i="49"/>
  <c r="ER263" i="49"/>
  <c r="ES263" i="49"/>
  <c r="EP192" i="49"/>
  <c r="EQ192" i="49"/>
  <c r="ER192" i="49"/>
  <c r="ES192" i="49"/>
  <c r="EP458" i="49"/>
  <c r="EQ458" i="49"/>
  <c r="ER458" i="49"/>
  <c r="ES458" i="49"/>
  <c r="EP271" i="49"/>
  <c r="EQ271" i="49"/>
  <c r="ER271" i="49"/>
  <c r="ES271" i="49"/>
  <c r="EP372" i="49"/>
  <c r="EQ372" i="49"/>
  <c r="ER372" i="49"/>
  <c r="ES372" i="49"/>
  <c r="EP494" i="49"/>
  <c r="EQ494" i="49"/>
  <c r="ER494" i="49"/>
  <c r="ES494" i="49"/>
  <c r="EP173" i="49"/>
  <c r="EQ173" i="49"/>
  <c r="ER173" i="49"/>
  <c r="ES173" i="49"/>
  <c r="EP95" i="49"/>
  <c r="EQ95" i="49"/>
  <c r="ER95" i="49"/>
  <c r="ES95" i="49"/>
  <c r="EP419" i="49"/>
  <c r="EQ419" i="49"/>
  <c r="ER419" i="49"/>
  <c r="ES419" i="49"/>
  <c r="EP17" i="49"/>
  <c r="EQ17" i="49"/>
  <c r="ER17" i="49"/>
  <c r="ES17" i="49"/>
  <c r="EP412" i="49"/>
  <c r="EQ412" i="49"/>
  <c r="ER412" i="49"/>
  <c r="ES412" i="49"/>
  <c r="EP139" i="49"/>
  <c r="EQ139" i="49"/>
  <c r="ER139" i="49"/>
  <c r="ES139" i="49"/>
  <c r="EP149" i="49"/>
  <c r="EQ149" i="49"/>
  <c r="ER149" i="49"/>
  <c r="ES149" i="49"/>
  <c r="EP475" i="49"/>
  <c r="EQ475" i="49"/>
  <c r="ER475" i="49"/>
  <c r="ES475" i="49"/>
  <c r="EP301" i="49"/>
  <c r="EQ301" i="49"/>
  <c r="ER301" i="49"/>
  <c r="ES301" i="49"/>
  <c r="EP277" i="49"/>
  <c r="EQ277" i="49"/>
  <c r="ER277" i="49"/>
  <c r="ES277" i="49"/>
  <c r="EP363" i="49"/>
  <c r="EQ363" i="49"/>
  <c r="ER363" i="49"/>
  <c r="ES363" i="49"/>
  <c r="EP424" i="49"/>
  <c r="EQ424" i="49"/>
  <c r="ER424" i="49"/>
  <c r="ES424" i="49"/>
  <c r="EP307" i="49"/>
  <c r="EQ307" i="49"/>
  <c r="ER307" i="49"/>
  <c r="ES307" i="49"/>
  <c r="EP90" i="49"/>
  <c r="EQ90" i="49"/>
  <c r="ER90" i="49"/>
  <c r="ES90" i="49"/>
  <c r="EP281" i="49"/>
  <c r="EQ281" i="49"/>
  <c r="ER281" i="49"/>
  <c r="ES281" i="49"/>
  <c r="EP406" i="49"/>
  <c r="EQ406" i="49"/>
  <c r="ER406" i="49"/>
  <c r="ES406" i="49"/>
  <c r="EP100" i="49"/>
  <c r="EQ100" i="49"/>
  <c r="ER100" i="49"/>
  <c r="ES100" i="49"/>
  <c r="EP180" i="49"/>
  <c r="EQ180" i="49"/>
  <c r="ER180" i="49"/>
  <c r="ES180" i="49"/>
  <c r="EP288" i="49"/>
  <c r="EQ288" i="49"/>
  <c r="ER288" i="49"/>
  <c r="ES288" i="49"/>
  <c r="EP334" i="49"/>
  <c r="EQ334" i="49"/>
  <c r="ER334" i="49"/>
  <c r="ES334" i="49"/>
  <c r="EP130" i="49"/>
  <c r="EQ130" i="49"/>
  <c r="ER130" i="49"/>
  <c r="ES130" i="49"/>
  <c r="EP51" i="49"/>
  <c r="EQ51" i="49"/>
  <c r="ER51" i="49"/>
  <c r="ES51" i="49"/>
  <c r="EP196" i="49"/>
  <c r="EQ196" i="49"/>
  <c r="ER196" i="49"/>
  <c r="ES196" i="49"/>
  <c r="EP382" i="49"/>
  <c r="EQ382" i="49"/>
  <c r="ER382" i="49"/>
  <c r="ES382" i="49"/>
  <c r="EP272" i="49"/>
  <c r="EQ272" i="49"/>
  <c r="ER272" i="49"/>
  <c r="ES272" i="49"/>
  <c r="EP72" i="49"/>
  <c r="EQ72" i="49"/>
  <c r="ER72" i="49"/>
  <c r="ES72" i="49"/>
  <c r="EP460" i="49"/>
  <c r="EQ460" i="49"/>
  <c r="ER460" i="49"/>
  <c r="ES460" i="49"/>
  <c r="EP490" i="49"/>
  <c r="EQ490" i="49"/>
  <c r="ER490" i="49"/>
  <c r="ES490" i="49"/>
  <c r="EP153" i="49"/>
  <c r="EQ153" i="49"/>
  <c r="ER153" i="49"/>
  <c r="ES153" i="49"/>
  <c r="EP432" i="49"/>
  <c r="EQ432" i="49"/>
  <c r="ER432" i="49"/>
  <c r="ES432" i="49"/>
  <c r="EP445" i="49"/>
  <c r="EQ445" i="49"/>
  <c r="ER445" i="49"/>
  <c r="ES445" i="49"/>
  <c r="EP191" i="49"/>
  <c r="EQ191" i="49"/>
  <c r="ER191" i="49"/>
  <c r="ES191" i="49"/>
  <c r="EP408" i="49"/>
  <c r="EQ408" i="49"/>
  <c r="ER408" i="49"/>
  <c r="ES408" i="49"/>
  <c r="EP10" i="49"/>
  <c r="EQ10" i="49"/>
  <c r="ER10" i="49"/>
  <c r="ES10" i="49"/>
  <c r="EP367" i="49"/>
  <c r="EQ367" i="49"/>
  <c r="ER367" i="49"/>
  <c r="ES367" i="49"/>
  <c r="EP230" i="49"/>
  <c r="EQ230" i="49"/>
  <c r="ER230" i="49"/>
  <c r="ES230" i="49"/>
  <c r="EP46" i="49"/>
  <c r="EQ46" i="49"/>
  <c r="ER46" i="49"/>
  <c r="ES46" i="49"/>
  <c r="EP250" i="49"/>
  <c r="EQ250" i="49"/>
  <c r="ER250" i="49"/>
  <c r="ES250" i="49"/>
  <c r="EP181" i="49"/>
  <c r="EQ181" i="49"/>
  <c r="ER181" i="49"/>
  <c r="ES181" i="49"/>
  <c r="EP25" i="49"/>
  <c r="EQ25" i="49"/>
  <c r="ER25" i="49"/>
  <c r="ES25" i="49"/>
  <c r="EP29" i="49"/>
  <c r="EQ29" i="49"/>
  <c r="ER29" i="49"/>
  <c r="ES29" i="49"/>
  <c r="EP68" i="49"/>
  <c r="EQ68" i="49"/>
  <c r="ER68" i="49"/>
  <c r="ES68" i="49"/>
  <c r="EP212" i="49"/>
  <c r="EQ212" i="49"/>
  <c r="ER212" i="49"/>
  <c r="ES212" i="49"/>
  <c r="EP169" i="49"/>
  <c r="EQ169" i="49"/>
  <c r="ER169" i="49"/>
  <c r="ES169" i="49"/>
  <c r="EP404" i="49"/>
  <c r="EQ404" i="49"/>
  <c r="ER404" i="49"/>
  <c r="ES404" i="49"/>
  <c r="EP410" i="49"/>
  <c r="EQ410" i="49"/>
  <c r="ER410" i="49"/>
  <c r="ES410" i="49"/>
  <c r="EP245" i="49"/>
  <c r="EQ245" i="49"/>
  <c r="ER245" i="49"/>
  <c r="ES245" i="49"/>
  <c r="EP222" i="49"/>
  <c r="EQ222" i="49"/>
  <c r="ER222" i="49"/>
  <c r="ES222" i="49"/>
  <c r="EP168" i="49"/>
  <c r="EQ168" i="49"/>
  <c r="ER168" i="49"/>
  <c r="ES168" i="49"/>
  <c r="EP211" i="49"/>
  <c r="EQ211" i="49"/>
  <c r="ER211" i="49"/>
  <c r="ES211" i="49"/>
  <c r="EP317" i="49"/>
  <c r="EQ317" i="49"/>
  <c r="ER317" i="49"/>
  <c r="ES317" i="49"/>
  <c r="EP298" i="49"/>
  <c r="EQ298" i="49"/>
  <c r="ER298" i="49"/>
  <c r="ES298" i="49"/>
  <c r="EP23" i="49"/>
  <c r="EQ23" i="49"/>
  <c r="ER23" i="49"/>
  <c r="ES23" i="49"/>
  <c r="EP384" i="49"/>
  <c r="EQ384" i="49"/>
  <c r="ER384" i="49"/>
  <c r="ES384" i="49"/>
  <c r="EP438" i="49"/>
  <c r="EQ438" i="49"/>
  <c r="ER438" i="49"/>
  <c r="ES438" i="49"/>
  <c r="EP357" i="49"/>
  <c r="EQ357" i="49"/>
  <c r="ER357" i="49"/>
  <c r="ES357" i="49"/>
  <c r="EP292" i="49"/>
  <c r="EQ292" i="49"/>
  <c r="ER292" i="49"/>
  <c r="ES292" i="49"/>
  <c r="EP98" i="49"/>
  <c r="EQ98" i="49"/>
  <c r="ER98" i="49"/>
  <c r="ES98" i="49"/>
  <c r="EP188" i="49"/>
  <c r="EQ188" i="49"/>
  <c r="ER188" i="49"/>
  <c r="ES188" i="49"/>
  <c r="EP483" i="49"/>
  <c r="EQ483" i="49"/>
  <c r="ER483" i="49"/>
  <c r="ES483" i="49"/>
  <c r="EP67" i="49"/>
  <c r="EQ67" i="49"/>
  <c r="ER67" i="49"/>
  <c r="ES67" i="49"/>
  <c r="EP115" i="49"/>
  <c r="EQ115" i="49"/>
  <c r="ER115" i="49"/>
  <c r="ES115" i="49"/>
  <c r="EP358" i="49"/>
  <c r="EQ358" i="49"/>
  <c r="ER358" i="49"/>
  <c r="ES358" i="49"/>
  <c r="EP456" i="49"/>
  <c r="EQ456" i="49"/>
  <c r="ER456" i="49"/>
  <c r="ES456" i="49"/>
  <c r="EP355" i="49"/>
  <c r="EQ355" i="49"/>
  <c r="ER355" i="49"/>
  <c r="ES355" i="49"/>
  <c r="EP61" i="49"/>
  <c r="EQ61" i="49"/>
  <c r="ER61" i="49"/>
  <c r="ES61" i="49"/>
  <c r="EP13" i="49"/>
  <c r="EQ13" i="49"/>
  <c r="ER13" i="49"/>
  <c r="ES13" i="49"/>
  <c r="EP37" i="49"/>
  <c r="EQ37" i="49"/>
  <c r="ER37" i="49"/>
  <c r="ES37" i="49"/>
  <c r="EP261" i="49"/>
  <c r="EQ261" i="49"/>
  <c r="ER261" i="49"/>
  <c r="ES261" i="49"/>
  <c r="EP343" i="49"/>
  <c r="EQ343" i="49"/>
  <c r="ER343" i="49"/>
  <c r="ES343" i="49"/>
  <c r="EP439" i="49"/>
  <c r="EQ439" i="49"/>
  <c r="ER439" i="49"/>
  <c r="ES439" i="49"/>
  <c r="EP284" i="49"/>
  <c r="EQ284" i="49"/>
  <c r="ER284" i="49"/>
  <c r="ES284" i="49"/>
  <c r="EP341" i="49"/>
  <c r="EQ341" i="49"/>
  <c r="ER341" i="49"/>
  <c r="ES341" i="49"/>
  <c r="EP377" i="49"/>
  <c r="EQ377" i="49"/>
  <c r="ER377" i="49"/>
  <c r="ES377" i="49"/>
  <c r="EP198" i="49"/>
  <c r="EQ198" i="49"/>
  <c r="ER198" i="49"/>
  <c r="ES198" i="49"/>
  <c r="EP346" i="49"/>
  <c r="EQ346" i="49"/>
  <c r="ER346" i="49"/>
  <c r="ES346" i="49"/>
  <c r="EP132" i="49"/>
  <c r="EQ132" i="49"/>
  <c r="ER132" i="49"/>
  <c r="ES132" i="49"/>
  <c r="EP449" i="49"/>
  <c r="EQ449" i="49"/>
  <c r="ER449" i="49"/>
  <c r="ES449" i="49"/>
  <c r="EP32" i="49"/>
  <c r="EQ32" i="49"/>
  <c r="ER32" i="49"/>
  <c r="ES32" i="49"/>
  <c r="EP486" i="49"/>
  <c r="EQ486" i="49"/>
  <c r="ER486" i="49"/>
  <c r="ES486" i="49"/>
  <c r="EP376" i="49"/>
  <c r="EQ376" i="49"/>
  <c r="ER376" i="49"/>
  <c r="ES376" i="49"/>
  <c r="EP387" i="49"/>
  <c r="EQ387" i="49"/>
  <c r="ER387" i="49"/>
  <c r="ES387" i="49"/>
  <c r="EP134" i="49"/>
  <c r="EQ134" i="49"/>
  <c r="ER134" i="49"/>
  <c r="ES134" i="49"/>
  <c r="EP71" i="49"/>
  <c r="EQ71" i="49"/>
  <c r="ER71" i="49"/>
  <c r="ES71" i="49"/>
  <c r="EP392" i="49"/>
  <c r="EQ392" i="49"/>
  <c r="ER392" i="49"/>
  <c r="ES392" i="49"/>
  <c r="EP310" i="49"/>
  <c r="EQ310" i="49"/>
  <c r="ER310" i="49"/>
  <c r="ES310" i="49"/>
  <c r="EP53" i="49"/>
  <c r="EQ53" i="49"/>
  <c r="ER53" i="49"/>
  <c r="ES53" i="49"/>
  <c r="EP128" i="49"/>
  <c r="EQ128" i="49"/>
  <c r="ER128" i="49"/>
  <c r="ES128" i="49"/>
  <c r="EP259" i="49"/>
  <c r="EQ259" i="49"/>
  <c r="ER259" i="49"/>
  <c r="ES259" i="49"/>
  <c r="EP337" i="49"/>
  <c r="EQ337" i="49"/>
  <c r="ER337" i="49"/>
  <c r="ES337" i="49"/>
  <c r="EP299" i="49"/>
  <c r="EQ299" i="49"/>
  <c r="ER299" i="49"/>
  <c r="ES299" i="49"/>
  <c r="EP276" i="49"/>
  <c r="EQ276" i="49"/>
  <c r="ER276" i="49"/>
  <c r="ES276" i="49"/>
  <c r="EP118" i="49"/>
  <c r="EQ118" i="49"/>
  <c r="ER118" i="49"/>
  <c r="ES118" i="49"/>
  <c r="EP76" i="49"/>
  <c r="EQ76" i="49"/>
  <c r="ER76" i="49"/>
  <c r="ES76" i="49"/>
  <c r="EP107" i="49"/>
  <c r="EQ107" i="49"/>
  <c r="ER107" i="49"/>
  <c r="ES107" i="49"/>
  <c r="EP223" i="49"/>
  <c r="EQ223" i="49"/>
  <c r="ER223" i="49"/>
  <c r="ES223" i="49"/>
  <c r="EP428" i="49"/>
  <c r="EQ428" i="49"/>
  <c r="ER428" i="49"/>
  <c r="ES428" i="49"/>
  <c r="EP481" i="49"/>
  <c r="EQ481" i="49"/>
  <c r="ER481" i="49"/>
  <c r="ES481" i="49"/>
  <c r="EP266" i="49"/>
  <c r="EQ266" i="49"/>
  <c r="ER266" i="49"/>
  <c r="ES266" i="49"/>
  <c r="EP14" i="49"/>
  <c r="EQ14" i="49"/>
  <c r="ER14" i="49"/>
  <c r="ES14" i="49"/>
  <c r="EP454" i="49"/>
  <c r="EQ454" i="49"/>
  <c r="ER454" i="49"/>
  <c r="ES454" i="49"/>
  <c r="EP251" i="49"/>
  <c r="EQ251" i="49"/>
  <c r="ER251" i="49"/>
  <c r="ES251" i="49"/>
  <c r="EP395" i="49"/>
  <c r="EQ395" i="49"/>
  <c r="ER395" i="49"/>
  <c r="ES395" i="49"/>
  <c r="EP366" i="49"/>
  <c r="EQ366" i="49"/>
  <c r="ER366" i="49"/>
  <c r="ES366" i="49"/>
  <c r="EP47" i="49"/>
  <c r="EQ47" i="49"/>
  <c r="ER47" i="49"/>
  <c r="ES47" i="49"/>
  <c r="EP380" i="49"/>
  <c r="EQ380" i="49"/>
  <c r="ER380" i="49"/>
  <c r="ES380" i="49"/>
  <c r="EP491" i="49"/>
  <c r="EQ491" i="49"/>
  <c r="ER491" i="49"/>
  <c r="ES491" i="49"/>
  <c r="EP401" i="49"/>
  <c r="EQ401" i="49"/>
  <c r="ER401" i="49"/>
  <c r="ES401" i="49"/>
  <c r="EP50" i="49"/>
  <c r="EQ50" i="49"/>
  <c r="ER50" i="49"/>
  <c r="ES50" i="49"/>
  <c r="EP462" i="49"/>
  <c r="EQ462" i="49"/>
  <c r="ER462" i="49"/>
  <c r="ES462" i="49"/>
  <c r="EP142" i="49"/>
  <c r="EQ142" i="49"/>
  <c r="ER142" i="49"/>
  <c r="ES142" i="49"/>
  <c r="EP129" i="49"/>
  <c r="EQ129" i="49"/>
  <c r="ER129" i="49"/>
  <c r="ES129" i="49"/>
  <c r="EP218" i="49"/>
  <c r="EQ218" i="49"/>
  <c r="ER218" i="49"/>
  <c r="ES218" i="49"/>
  <c r="EP257" i="49"/>
  <c r="EQ257" i="49"/>
  <c r="ER257" i="49"/>
  <c r="ES257" i="49"/>
  <c r="EP280" i="49"/>
  <c r="EQ280" i="49"/>
  <c r="ER280" i="49"/>
  <c r="ES280" i="49"/>
  <c r="EP206" i="49"/>
  <c r="EQ206" i="49"/>
  <c r="ER206" i="49"/>
  <c r="ES206" i="49"/>
  <c r="EP327" i="49"/>
  <c r="EQ327" i="49"/>
  <c r="ER327" i="49"/>
  <c r="ES327" i="49"/>
  <c r="EP123" i="49"/>
  <c r="EQ123" i="49"/>
  <c r="ER123" i="49"/>
  <c r="ES123" i="49"/>
  <c r="EP103" i="49"/>
  <c r="EQ103" i="49"/>
  <c r="ER103" i="49"/>
  <c r="ES103" i="49"/>
  <c r="EP471" i="49"/>
  <c r="EQ471" i="49"/>
  <c r="ER471" i="49"/>
  <c r="ES471" i="49"/>
  <c r="EP146" i="49"/>
  <c r="EQ146" i="49"/>
  <c r="ER146" i="49"/>
  <c r="ES146" i="49"/>
  <c r="EP49" i="49"/>
  <c r="EQ49" i="49"/>
  <c r="ER49" i="49"/>
  <c r="ES49" i="49"/>
  <c r="EP293" i="49"/>
  <c r="EQ293" i="49"/>
  <c r="ER293" i="49"/>
  <c r="ES293" i="49"/>
  <c r="EP157" i="49"/>
  <c r="EQ157" i="49"/>
  <c r="ER157" i="49"/>
  <c r="ES157" i="49"/>
  <c r="EP215" i="49"/>
  <c r="EQ215" i="49"/>
  <c r="ER215" i="49"/>
  <c r="ES215" i="49"/>
  <c r="EP52" i="49"/>
  <c r="EQ52" i="49"/>
  <c r="ER52" i="49"/>
  <c r="ES52" i="49"/>
  <c r="EP326" i="49"/>
  <c r="EQ326" i="49"/>
  <c r="ER326" i="49"/>
  <c r="ES326" i="49"/>
  <c r="EP155" i="49"/>
  <c r="EQ155" i="49"/>
  <c r="ER155" i="49"/>
  <c r="ES155" i="49"/>
  <c r="EP228" i="49"/>
  <c r="EQ228" i="49"/>
  <c r="ER228" i="49"/>
  <c r="ES228" i="49"/>
  <c r="EP184" i="49"/>
  <c r="EQ184" i="49"/>
  <c r="ER184" i="49"/>
  <c r="ES184" i="49"/>
  <c r="EP236" i="49"/>
  <c r="EQ236" i="49"/>
  <c r="ER236" i="49"/>
  <c r="ES236" i="49"/>
  <c r="EP110" i="49"/>
  <c r="EQ110" i="49"/>
  <c r="ER110" i="49"/>
  <c r="ES110" i="49"/>
  <c r="EP85" i="49"/>
  <c r="EQ85" i="49"/>
  <c r="ER85" i="49"/>
  <c r="ES85" i="49"/>
  <c r="EP147" i="49"/>
  <c r="EQ147" i="49"/>
  <c r="ER147" i="49"/>
  <c r="ES147" i="49"/>
  <c r="EP418" i="49"/>
  <c r="EQ418" i="49"/>
  <c r="ER418" i="49"/>
  <c r="ES418" i="49"/>
  <c r="EP459" i="49"/>
  <c r="EQ459" i="49"/>
  <c r="ER459" i="49"/>
  <c r="ES459" i="49"/>
  <c r="EP60" i="49"/>
  <c r="EQ60" i="49"/>
  <c r="ER60" i="49"/>
  <c r="ES60" i="49"/>
  <c r="EP269" i="49"/>
  <c r="EQ269" i="49"/>
  <c r="ER269" i="49"/>
  <c r="ES269" i="49"/>
  <c r="EP463" i="49"/>
  <c r="EQ463" i="49"/>
  <c r="ER463" i="49"/>
  <c r="ES463" i="49"/>
  <c r="EP30" i="49"/>
  <c r="EQ30" i="49"/>
  <c r="ER30" i="49"/>
  <c r="ES30" i="49"/>
  <c r="EP329" i="49"/>
  <c r="EQ329" i="49"/>
  <c r="ER329" i="49"/>
  <c r="ES329" i="49"/>
  <c r="EP476" i="49"/>
  <c r="EQ476" i="49"/>
  <c r="ER476" i="49"/>
  <c r="ES476" i="49"/>
  <c r="EP275" i="49"/>
  <c r="EQ275" i="49"/>
  <c r="ER275" i="49"/>
  <c r="ES275" i="49"/>
  <c r="EP165" i="49"/>
  <c r="EQ165" i="49"/>
  <c r="ER165" i="49"/>
  <c r="ES165" i="49"/>
  <c r="EP296" i="49"/>
  <c r="EQ296" i="49"/>
  <c r="ER296" i="49"/>
  <c r="ES296" i="49"/>
  <c r="EP82" i="49"/>
  <c r="EQ82" i="49"/>
  <c r="ER82" i="49"/>
  <c r="ES82" i="49"/>
  <c r="EP120" i="49"/>
  <c r="EQ120" i="49"/>
  <c r="ER120" i="49"/>
  <c r="ES120" i="49"/>
  <c r="EP252" i="49"/>
  <c r="EQ252" i="49"/>
  <c r="ER252" i="49"/>
  <c r="ES252" i="49"/>
  <c r="EP164" i="49"/>
  <c r="EQ164" i="49"/>
  <c r="ER164" i="49"/>
  <c r="ES164" i="49"/>
  <c r="EP485" i="49"/>
  <c r="EQ485" i="49"/>
  <c r="ER485" i="49"/>
  <c r="ES485" i="49"/>
  <c r="EP7" i="49"/>
  <c r="EQ7" i="49"/>
  <c r="ER7" i="49"/>
  <c r="ES7" i="49"/>
  <c r="EP353" i="49"/>
  <c r="EQ353" i="49"/>
  <c r="ER353" i="49"/>
  <c r="ES353" i="49"/>
  <c r="EP79" i="49"/>
  <c r="EQ79" i="49"/>
  <c r="ER79" i="49"/>
  <c r="ES79" i="49"/>
  <c r="EP468" i="49"/>
  <c r="EQ468" i="49"/>
  <c r="ER468" i="49"/>
  <c r="ES468" i="49"/>
  <c r="EP348" i="49"/>
  <c r="EQ348" i="49"/>
  <c r="ER348" i="49"/>
  <c r="ES348" i="49"/>
  <c r="EP18" i="49"/>
  <c r="EQ18" i="49"/>
  <c r="ER18" i="49"/>
  <c r="ES18" i="49"/>
  <c r="EP386" i="49"/>
  <c r="EQ386" i="49"/>
  <c r="ER386" i="49"/>
  <c r="ES386" i="49"/>
  <c r="EP111" i="49"/>
  <c r="EQ111" i="49"/>
  <c r="ER111" i="49"/>
  <c r="ES111" i="49"/>
  <c r="EP479" i="49"/>
  <c r="EQ479" i="49"/>
  <c r="ER479" i="49"/>
  <c r="ES479" i="49"/>
  <c r="EP156" i="49"/>
  <c r="EQ156" i="49"/>
  <c r="ER156" i="49"/>
  <c r="ES156" i="49"/>
  <c r="EP39" i="49"/>
  <c r="EQ39" i="49"/>
  <c r="ER39" i="49"/>
  <c r="ES39" i="49"/>
  <c r="EP465" i="49"/>
  <c r="EQ465" i="49"/>
  <c r="ER465" i="49"/>
  <c r="ES465" i="49"/>
  <c r="EP99" i="49"/>
  <c r="EQ99" i="49"/>
  <c r="ER99" i="49"/>
  <c r="ES99" i="49"/>
  <c r="EP197" i="49"/>
  <c r="EQ197" i="49"/>
  <c r="ER197" i="49"/>
  <c r="ES197" i="49"/>
  <c r="EP57" i="49"/>
  <c r="EQ57" i="49"/>
  <c r="ER57" i="49"/>
  <c r="ES57" i="49"/>
  <c r="EP221" i="49"/>
  <c r="EQ221" i="49"/>
  <c r="ER221" i="49"/>
  <c r="ES221" i="49"/>
  <c r="EP267" i="49"/>
  <c r="EQ267" i="49"/>
  <c r="ER267" i="49"/>
  <c r="ES267" i="49"/>
  <c r="EP286" i="49"/>
  <c r="EQ286" i="49"/>
  <c r="ER286" i="49"/>
  <c r="ES286" i="49"/>
  <c r="EP24" i="49"/>
  <c r="EQ24" i="49"/>
  <c r="ER24" i="49"/>
  <c r="ES24" i="49"/>
  <c r="EP409" i="49"/>
  <c r="EQ409" i="49"/>
  <c r="ER409" i="49"/>
  <c r="ES409" i="49"/>
  <c r="EP183" i="49"/>
  <c r="EQ183" i="49"/>
  <c r="ER183" i="49"/>
  <c r="ES183" i="49"/>
  <c r="EP295" i="49"/>
  <c r="EQ295" i="49"/>
  <c r="ER295" i="49"/>
  <c r="ES295" i="49"/>
  <c r="EP450" i="49"/>
  <c r="EQ450" i="49"/>
  <c r="ER450" i="49"/>
  <c r="ES450" i="49"/>
  <c r="EP322" i="49"/>
  <c r="EQ322" i="49"/>
  <c r="ER322" i="49"/>
  <c r="ES322" i="49"/>
  <c r="EP144" i="49"/>
  <c r="EQ144" i="49"/>
  <c r="ER144" i="49"/>
  <c r="ES144" i="49"/>
  <c r="EP430" i="49"/>
  <c r="EQ430" i="49"/>
  <c r="ER430" i="49"/>
  <c r="ES430" i="49"/>
  <c r="EP133" i="49"/>
  <c r="EQ133" i="49"/>
  <c r="ER133" i="49"/>
  <c r="ES133" i="49"/>
  <c r="EP262" i="49"/>
  <c r="EQ262" i="49"/>
  <c r="ER262" i="49"/>
  <c r="ES262" i="49"/>
  <c r="EP12" i="49"/>
  <c r="EQ12" i="49"/>
  <c r="ER12" i="49"/>
  <c r="ES12" i="49"/>
  <c r="EP233" i="49"/>
  <c r="EQ233" i="49"/>
  <c r="ER233" i="49"/>
  <c r="ES233" i="49"/>
  <c r="EP273" i="49"/>
  <c r="EQ273" i="49"/>
  <c r="ER273" i="49"/>
  <c r="ES273" i="49"/>
  <c r="EP359" i="49"/>
  <c r="EQ359" i="49"/>
  <c r="ER359" i="49"/>
  <c r="ES359" i="49"/>
  <c r="EP383" i="49"/>
  <c r="EQ383" i="49"/>
  <c r="ER383" i="49"/>
  <c r="ES383" i="49"/>
  <c r="EP389" i="49"/>
  <c r="EQ389" i="49"/>
  <c r="ER389" i="49"/>
  <c r="ES389" i="49"/>
  <c r="EP493" i="49"/>
  <c r="EQ493" i="49"/>
  <c r="ER493" i="49"/>
  <c r="ES493" i="49"/>
  <c r="EP159" i="49"/>
  <c r="EQ159" i="49"/>
  <c r="ER159" i="49"/>
  <c r="ES159" i="49"/>
  <c r="EP285" i="49"/>
  <c r="EQ285" i="49"/>
  <c r="ER285" i="49"/>
  <c r="ES285" i="49"/>
  <c r="EP89" i="49"/>
  <c r="EQ89" i="49"/>
  <c r="ER89" i="49"/>
  <c r="ES89" i="49"/>
  <c r="EP416" i="49"/>
  <c r="EQ416" i="49"/>
  <c r="ER416" i="49"/>
  <c r="ES416" i="49"/>
  <c r="EP264" i="49"/>
  <c r="EQ264" i="49"/>
  <c r="ER264" i="49"/>
  <c r="ES264" i="49"/>
  <c r="EP287" i="49"/>
  <c r="EQ287" i="49"/>
  <c r="ER287" i="49"/>
  <c r="ES287" i="49"/>
  <c r="EP124" i="49"/>
  <c r="EQ124" i="49"/>
  <c r="ER124" i="49"/>
  <c r="ES124" i="49"/>
  <c r="EP381" i="49"/>
  <c r="EQ381" i="49"/>
  <c r="ER381" i="49"/>
  <c r="ES381" i="49"/>
  <c r="EP360" i="49"/>
  <c r="EQ360" i="49"/>
  <c r="ER360" i="49"/>
  <c r="ES360" i="49"/>
  <c r="EP420" i="49"/>
  <c r="EQ420" i="49"/>
  <c r="ER420" i="49"/>
  <c r="ES420" i="49"/>
  <c r="EP121" i="49"/>
  <c r="EQ121" i="49"/>
  <c r="ER121" i="49"/>
  <c r="ES121" i="49"/>
  <c r="EP312" i="49"/>
  <c r="EQ312" i="49"/>
  <c r="ER312" i="49"/>
  <c r="ES312" i="49"/>
  <c r="EP411" i="49"/>
  <c r="EQ411" i="49"/>
  <c r="ER411" i="49"/>
  <c r="ES411" i="49"/>
  <c r="EP260" i="49"/>
  <c r="EQ260" i="49"/>
  <c r="ER260" i="49"/>
  <c r="ES260" i="49"/>
  <c r="EP15" i="49"/>
  <c r="EQ15" i="49"/>
  <c r="ER15" i="49"/>
  <c r="ES15" i="49"/>
  <c r="EP415" i="49"/>
  <c r="EQ415" i="49"/>
  <c r="ER415" i="49"/>
  <c r="ES415" i="49"/>
  <c r="EP255" i="49"/>
  <c r="EQ255" i="49"/>
  <c r="ER255" i="49"/>
  <c r="ES255" i="49"/>
  <c r="EP324" i="49"/>
  <c r="EQ324" i="49"/>
  <c r="ER324" i="49"/>
  <c r="ES324" i="49"/>
  <c r="EP21" i="49"/>
  <c r="EQ21" i="49"/>
  <c r="ER21" i="49"/>
  <c r="ES21" i="49"/>
  <c r="EP311" i="49"/>
  <c r="EQ311" i="49"/>
  <c r="ER311" i="49"/>
  <c r="ES311" i="49"/>
  <c r="EP225" i="49"/>
  <c r="EQ225" i="49"/>
  <c r="ER225" i="49"/>
  <c r="ES225" i="49"/>
  <c r="EP178" i="49"/>
  <c r="EQ178" i="49"/>
  <c r="ER178" i="49"/>
  <c r="ES178" i="49"/>
  <c r="EP64" i="49"/>
  <c r="EQ64" i="49"/>
  <c r="ER64" i="49"/>
  <c r="ES64" i="49"/>
  <c r="EP105" i="49"/>
  <c r="EQ105" i="49"/>
  <c r="ER105" i="49"/>
  <c r="ES105" i="49"/>
  <c r="EP489" i="49"/>
  <c r="EQ489" i="49"/>
  <c r="ER489" i="49"/>
  <c r="ES489" i="49"/>
  <c r="EP73" i="49"/>
  <c r="EQ73" i="49"/>
  <c r="ER73" i="49"/>
  <c r="ES73" i="49"/>
  <c r="EP242" i="49"/>
  <c r="EQ242" i="49"/>
  <c r="ER242" i="49"/>
  <c r="ES242" i="49"/>
  <c r="EP58" i="49"/>
  <c r="EQ58" i="49"/>
  <c r="ER58" i="49"/>
  <c r="ES58" i="49"/>
  <c r="EP207" i="49"/>
  <c r="EQ207" i="49"/>
  <c r="ER207" i="49"/>
  <c r="ES207" i="49"/>
  <c r="EP243" i="49"/>
  <c r="EQ243" i="49"/>
  <c r="ER243" i="49"/>
  <c r="ES243" i="49"/>
  <c r="EP396" i="49"/>
  <c r="EQ396" i="49"/>
  <c r="ER396" i="49"/>
  <c r="ES396" i="49"/>
  <c r="EP354" i="49"/>
  <c r="EQ354" i="49"/>
  <c r="ER354" i="49"/>
  <c r="ES354" i="49"/>
  <c r="EP370" i="49"/>
  <c r="EQ370" i="49"/>
  <c r="ER370" i="49"/>
  <c r="ES370" i="49"/>
  <c r="EP368" i="49"/>
  <c r="EQ368" i="49"/>
  <c r="ER368" i="49"/>
  <c r="ES368" i="49"/>
  <c r="EP171" i="49"/>
  <c r="EQ171" i="49"/>
  <c r="ER171" i="49"/>
  <c r="ES171" i="49"/>
  <c r="EP344" i="49"/>
  <c r="EQ344" i="49"/>
  <c r="ER344" i="49"/>
  <c r="ES344" i="49"/>
  <c r="EP469" i="49"/>
  <c r="EQ469" i="49"/>
  <c r="ER469" i="49"/>
  <c r="ES469" i="49"/>
  <c r="EP487" i="49"/>
  <c r="EQ487" i="49"/>
  <c r="ER487" i="49"/>
  <c r="ES487" i="49"/>
  <c r="EP234" i="49"/>
  <c r="EQ234" i="49"/>
  <c r="ER234" i="49"/>
  <c r="ES234" i="49"/>
  <c r="EP325" i="49"/>
  <c r="EQ325" i="49"/>
  <c r="ER325" i="49"/>
  <c r="ES325" i="49"/>
  <c r="EP43" i="49"/>
  <c r="EQ43" i="49"/>
  <c r="ER43" i="49"/>
  <c r="ES43" i="49"/>
  <c r="EP150" i="49"/>
  <c r="EQ150" i="49"/>
  <c r="ER150" i="49"/>
  <c r="ES150" i="49"/>
  <c r="EP19" i="49"/>
  <c r="EQ19" i="49"/>
  <c r="ER19" i="49"/>
  <c r="ES19" i="49"/>
  <c r="EP219" i="49"/>
  <c r="EQ219" i="49"/>
  <c r="ER219" i="49"/>
  <c r="ES219" i="49"/>
  <c r="EP461" i="49"/>
  <c r="EQ461" i="49"/>
  <c r="ER461" i="49"/>
  <c r="ES461" i="49"/>
  <c r="EP379" i="49"/>
  <c r="EQ379" i="49"/>
  <c r="ER379" i="49"/>
  <c r="ES379" i="49"/>
  <c r="EP374" i="49"/>
  <c r="EQ374" i="49"/>
  <c r="ER374" i="49"/>
  <c r="ES374" i="49"/>
  <c r="EP283" i="49"/>
  <c r="EQ283" i="49"/>
  <c r="ER283" i="49"/>
  <c r="ES283" i="49"/>
  <c r="EP154" i="49"/>
  <c r="EQ154" i="49"/>
  <c r="ER154" i="49"/>
  <c r="ES154" i="49"/>
  <c r="EP40" i="49"/>
  <c r="EQ40" i="49"/>
  <c r="ER40" i="49"/>
  <c r="ES40" i="49"/>
  <c r="EP492" i="49"/>
  <c r="EQ492" i="49"/>
  <c r="ER492" i="49"/>
  <c r="ES492" i="49"/>
  <c r="EP304" i="49"/>
  <c r="EQ304" i="49"/>
  <c r="ER304" i="49"/>
  <c r="ES304" i="49"/>
  <c r="EP81" i="49"/>
  <c r="EQ81" i="49"/>
  <c r="ER81" i="49"/>
  <c r="ES81" i="49"/>
  <c r="EP26" i="49"/>
  <c r="EQ26" i="49"/>
  <c r="ER26" i="49"/>
  <c r="ES26" i="49"/>
  <c r="EP174" i="49"/>
  <c r="EQ174" i="49"/>
  <c r="ER174" i="49"/>
  <c r="ES174" i="49"/>
  <c r="EP55" i="49"/>
  <c r="EQ55" i="49"/>
  <c r="ER55" i="49"/>
  <c r="ES55" i="49"/>
  <c r="EP5" i="49"/>
  <c r="EP500" i="49"/>
  <c r="EQ5" i="49"/>
  <c r="ER5" i="49"/>
  <c r="EQ500" i="49"/>
  <c r="EQ2" i="49"/>
  <c r="ER500" i="49"/>
  <c r="ER2" i="49"/>
  <c r="ET2" i="49"/>
  <c r="ES5" i="49"/>
  <c r="ES500" i="49"/>
  <c r="ES2" i="49"/>
  <c r="ET330" i="49"/>
  <c r="EU330" i="49"/>
  <c r="EY330" i="49"/>
  <c r="EX330" i="49"/>
  <c r="EV330" i="49"/>
  <c r="ET5" i="49"/>
  <c r="EU5" i="49"/>
  <c r="ET204" i="49"/>
  <c r="EU204" i="49"/>
  <c r="ET203" i="49"/>
  <c r="EU203" i="49"/>
  <c r="ET81" i="49"/>
  <c r="EU81" i="49"/>
  <c r="ET283" i="49"/>
  <c r="EU283" i="49"/>
  <c r="ET354" i="49"/>
  <c r="EU354" i="49"/>
  <c r="ET415" i="49"/>
  <c r="EU415" i="49"/>
  <c r="ET493" i="49"/>
  <c r="EU493" i="49"/>
  <c r="ET24" i="49"/>
  <c r="EU24" i="49"/>
  <c r="ET79" i="49"/>
  <c r="EU79" i="49"/>
  <c r="ET60" i="49"/>
  <c r="EU60" i="49"/>
  <c r="ET146" i="49"/>
  <c r="EU146" i="49"/>
  <c r="ET47" i="49"/>
  <c r="EU47" i="49"/>
  <c r="ET259" i="49"/>
  <c r="EU259" i="49"/>
  <c r="ET341" i="49"/>
  <c r="EU341" i="49"/>
  <c r="ET292" i="49"/>
  <c r="EU292" i="49"/>
  <c r="ET29" i="49"/>
  <c r="EU29" i="49"/>
  <c r="ET272" i="49"/>
  <c r="EU272" i="49"/>
  <c r="ET301" i="49"/>
  <c r="EU301" i="49"/>
  <c r="ET104" i="49"/>
  <c r="EU104" i="49"/>
  <c r="ET91" i="49"/>
  <c r="EU91" i="49"/>
  <c r="ET220" i="49"/>
  <c r="EU220" i="49"/>
  <c r="ET399" i="49"/>
  <c r="EU399" i="49"/>
  <c r="ET375" i="49"/>
  <c r="EU375" i="49"/>
  <c r="ET108" i="49"/>
  <c r="EU108" i="49"/>
  <c r="ET362" i="49"/>
  <c r="EU362" i="49"/>
  <c r="ET342" i="49"/>
  <c r="EU342" i="49"/>
  <c r="ET297" i="49"/>
  <c r="EU297" i="49"/>
  <c r="ET229" i="49"/>
  <c r="EU229" i="49"/>
  <c r="ET78" i="49"/>
  <c r="EU78" i="49"/>
  <c r="ET93" i="49"/>
  <c r="EU93" i="49"/>
  <c r="ET413" i="49"/>
  <c r="EU413" i="49"/>
  <c r="ET163" i="49"/>
  <c r="EU163" i="49"/>
  <c r="ET478" i="49"/>
  <c r="EU478" i="49"/>
  <c r="ET492" i="49"/>
  <c r="EU492" i="49"/>
  <c r="ET396" i="49"/>
  <c r="EU396" i="49"/>
  <c r="ET15" i="49"/>
  <c r="EU15" i="49"/>
  <c r="ET389" i="49"/>
  <c r="EU389" i="49"/>
  <c r="ET286" i="49"/>
  <c r="EU286" i="49"/>
  <c r="ET353" i="49"/>
  <c r="EU353" i="49"/>
  <c r="ET459" i="49"/>
  <c r="EU459" i="49"/>
  <c r="ET471" i="49"/>
  <c r="EU471" i="49"/>
  <c r="ET366" i="49"/>
  <c r="EU366" i="49"/>
  <c r="ET128" i="49"/>
  <c r="EU128" i="49"/>
  <c r="ET284" i="49"/>
  <c r="EU284" i="49"/>
  <c r="ET357" i="49"/>
  <c r="EU357" i="49"/>
  <c r="ET25" i="49"/>
  <c r="EU25" i="49"/>
  <c r="ET382" i="49"/>
  <c r="EU382" i="49"/>
  <c r="ET475" i="49"/>
  <c r="EU475" i="49"/>
  <c r="ET141" i="49"/>
  <c r="EU141" i="49"/>
  <c r="ET101" i="49"/>
  <c r="EU101" i="49"/>
  <c r="ET86" i="49"/>
  <c r="EU86" i="49"/>
  <c r="ET258" i="49"/>
  <c r="EU258" i="49"/>
  <c r="ET199" i="49"/>
  <c r="EU199" i="49"/>
  <c r="ET440" i="49"/>
  <c r="EU440" i="49"/>
  <c r="ET248" i="49"/>
  <c r="EU248" i="49"/>
  <c r="ET444" i="49"/>
  <c r="EU444" i="49"/>
  <c r="ET56" i="49"/>
  <c r="EU56" i="49"/>
  <c r="ET318" i="49"/>
  <c r="EU318" i="49"/>
  <c r="ET114" i="49"/>
  <c r="EU114" i="49"/>
  <c r="ET407" i="49"/>
  <c r="EU407" i="49"/>
  <c r="ET158" i="49"/>
  <c r="EU158" i="49"/>
  <c r="ET185" i="49"/>
  <c r="EU185" i="49"/>
  <c r="ET217" i="49"/>
  <c r="EU217" i="49"/>
  <c r="ET174" i="49"/>
  <c r="EU174" i="49"/>
  <c r="ET379" i="49"/>
  <c r="EU379" i="49"/>
  <c r="ET243" i="49"/>
  <c r="EU243" i="49"/>
  <c r="ET260" i="49"/>
  <c r="EU260" i="49"/>
  <c r="ET383" i="49"/>
  <c r="EU383" i="49"/>
  <c r="ET267" i="49"/>
  <c r="EU267" i="49"/>
  <c r="ET7" i="49"/>
  <c r="EU7" i="49"/>
  <c r="ET418" i="49"/>
  <c r="EU418" i="49"/>
  <c r="ET103" i="49"/>
  <c r="EU103" i="49"/>
  <c r="ET395" i="49"/>
  <c r="EU395" i="49"/>
  <c r="ET53" i="49"/>
  <c r="EU53" i="49"/>
  <c r="ET439" i="49"/>
  <c r="EU439" i="49"/>
  <c r="ET438" i="49"/>
  <c r="EU438" i="49"/>
  <c r="ET181" i="49"/>
  <c r="EU181" i="49"/>
  <c r="ET196" i="49"/>
  <c r="EU196" i="49"/>
  <c r="ET149" i="49"/>
  <c r="EU149" i="49"/>
  <c r="ET426" i="49"/>
  <c r="EU426" i="49"/>
  <c r="ET126" i="49"/>
  <c r="EU126" i="49"/>
  <c r="ET369" i="49"/>
  <c r="EU369" i="49"/>
  <c r="ET42" i="49"/>
  <c r="EU42" i="49"/>
  <c r="ET244" i="49"/>
  <c r="EU244" i="49"/>
  <c r="ET193" i="49"/>
  <c r="EU193" i="49"/>
  <c r="ET116" i="49"/>
  <c r="EU116" i="49"/>
  <c r="ET35" i="49"/>
  <c r="EU35" i="49"/>
  <c r="ET113" i="49"/>
  <c r="EU113" i="49"/>
  <c r="ET148" i="49"/>
  <c r="EU148" i="49"/>
  <c r="ET414" i="49"/>
  <c r="EU414" i="49"/>
  <c r="ET254" i="49"/>
  <c r="EU254" i="49"/>
  <c r="ET213" i="49"/>
  <c r="EU213" i="49"/>
  <c r="ET151" i="49"/>
  <c r="EU151" i="49"/>
  <c r="ET92" i="49"/>
  <c r="EU92" i="49"/>
  <c r="ET461" i="49"/>
  <c r="EU461" i="49"/>
  <c r="ET219" i="49"/>
  <c r="EU219" i="49"/>
  <c r="ET58" i="49"/>
  <c r="EU58" i="49"/>
  <c r="ET312" i="49"/>
  <c r="EU312" i="49"/>
  <c r="ET273" i="49"/>
  <c r="EU273" i="49"/>
  <c r="ET57" i="49"/>
  <c r="EU57" i="49"/>
  <c r="ET164" i="49"/>
  <c r="EU164" i="49"/>
  <c r="ET85" i="49"/>
  <c r="EU85" i="49"/>
  <c r="ET327" i="49"/>
  <c r="EU327" i="49"/>
  <c r="ET454" i="49"/>
  <c r="EU454" i="49"/>
  <c r="ET392" i="49"/>
  <c r="EU392" i="49"/>
  <c r="ET261" i="49"/>
  <c r="EU261" i="49"/>
  <c r="ET23" i="49"/>
  <c r="EU23" i="49"/>
  <c r="ET46" i="49"/>
  <c r="EU46" i="49"/>
  <c r="ET130" i="49"/>
  <c r="EU130" i="49"/>
  <c r="ET412" i="49"/>
  <c r="EU412" i="49"/>
  <c r="ET176" i="49"/>
  <c r="EU176" i="49"/>
  <c r="ET226" i="49"/>
  <c r="EU226" i="49"/>
  <c r="ET109" i="49"/>
  <c r="EU109" i="49"/>
  <c r="ET127" i="49"/>
  <c r="EU127" i="49"/>
  <c r="ET305" i="49"/>
  <c r="EU305" i="49"/>
  <c r="ET442" i="49"/>
  <c r="EU442" i="49"/>
  <c r="ET62" i="49"/>
  <c r="EU62" i="49"/>
  <c r="ET431" i="49"/>
  <c r="EU431" i="49"/>
  <c r="ET423" i="49"/>
  <c r="EU423" i="49"/>
  <c r="ET352" i="49"/>
  <c r="EU352" i="49"/>
  <c r="ET405" i="49"/>
  <c r="EU405" i="49"/>
  <c r="ET291" i="49"/>
  <c r="EU291" i="49"/>
  <c r="ET484" i="49"/>
  <c r="EU484" i="49"/>
  <c r="ET34" i="49"/>
  <c r="EU34" i="49"/>
  <c r="ET74" i="49"/>
  <c r="EU74" i="49"/>
  <c r="ET19" i="49"/>
  <c r="EU19" i="49"/>
  <c r="ET242" i="49"/>
  <c r="EU242" i="49"/>
  <c r="ET121" i="49"/>
  <c r="EU121" i="49"/>
  <c r="ET233" i="49"/>
  <c r="EU233" i="49"/>
  <c r="ET197" i="49"/>
  <c r="EU197" i="49"/>
  <c r="ET252" i="49"/>
  <c r="EU252" i="49"/>
  <c r="ET110" i="49"/>
  <c r="EU110" i="49"/>
  <c r="ET206" i="49"/>
  <c r="EU206" i="49"/>
  <c r="ET14" i="49"/>
  <c r="EU14" i="49"/>
  <c r="ET71" i="49"/>
  <c r="EU71" i="49"/>
  <c r="ET37" i="49"/>
  <c r="EU37" i="49"/>
  <c r="ET298" i="49"/>
  <c r="EU298" i="49"/>
  <c r="ET230" i="49"/>
  <c r="EU230" i="49"/>
  <c r="ET334" i="49"/>
  <c r="EU334" i="49"/>
  <c r="ET17" i="49"/>
  <c r="EU17" i="49"/>
  <c r="ET69" i="49"/>
  <c r="EU69" i="49"/>
  <c r="ET59" i="49"/>
  <c r="EU59" i="49"/>
  <c r="ET44" i="49"/>
  <c r="EU44" i="49"/>
  <c r="ET190" i="49"/>
  <c r="EU190" i="49"/>
  <c r="ET364" i="49"/>
  <c r="EU364" i="49"/>
  <c r="ET385" i="49"/>
  <c r="EU385" i="49"/>
  <c r="ET27" i="49"/>
  <c r="EU27" i="49"/>
  <c r="ET488" i="49"/>
  <c r="EU488" i="49"/>
  <c r="ET453" i="49"/>
  <c r="EU453" i="49"/>
  <c r="ET87" i="49"/>
  <c r="EU87" i="49"/>
  <c r="ET482" i="49"/>
  <c r="EU482" i="49"/>
  <c r="ET319" i="49"/>
  <c r="EU319" i="49"/>
  <c r="ET425" i="49"/>
  <c r="EU425" i="49"/>
  <c r="ET117" i="49"/>
  <c r="EU117" i="49"/>
  <c r="ET340" i="49"/>
  <c r="EU340" i="49"/>
  <c r="ET374" i="49"/>
  <c r="EU374" i="49"/>
  <c r="ET150" i="49"/>
  <c r="EU150" i="49"/>
  <c r="ET73" i="49"/>
  <c r="EU73" i="49"/>
  <c r="ET420" i="49"/>
  <c r="EU420" i="49"/>
  <c r="ET12" i="49"/>
  <c r="EU12" i="49"/>
  <c r="ET99" i="49"/>
  <c r="EU99" i="49"/>
  <c r="ET120" i="49"/>
  <c r="EU120" i="49"/>
  <c r="ET236" i="49"/>
  <c r="EU236" i="49"/>
  <c r="ET280" i="49"/>
  <c r="EU280" i="49"/>
  <c r="ET266" i="49"/>
  <c r="EU266" i="49"/>
  <c r="ET134" i="49"/>
  <c r="EU134" i="49"/>
  <c r="ET13" i="49"/>
  <c r="EU13" i="49"/>
  <c r="ET317" i="49"/>
  <c r="EU317" i="49"/>
  <c r="ET367" i="49"/>
  <c r="EU367" i="49"/>
  <c r="ET288" i="49"/>
  <c r="EU288" i="49"/>
  <c r="ET419" i="49"/>
  <c r="EU419" i="49"/>
  <c r="ET170" i="49"/>
  <c r="EU170" i="49"/>
  <c r="ET194" i="49"/>
  <c r="EU194" i="49"/>
  <c r="ET256" i="49"/>
  <c r="EU256" i="49"/>
  <c r="ET400" i="49"/>
  <c r="EU400" i="49"/>
  <c r="ET36" i="49"/>
  <c r="EU36" i="49"/>
  <c r="ET421" i="49"/>
  <c r="EU421" i="49"/>
  <c r="ET436" i="49"/>
  <c r="EU436" i="49"/>
  <c r="ET210" i="49"/>
  <c r="EU210" i="49"/>
  <c r="ET314" i="49"/>
  <c r="EU314" i="49"/>
  <c r="ET28" i="49"/>
  <c r="EU28" i="49"/>
  <c r="ET373" i="49"/>
  <c r="EU373" i="49"/>
  <c r="ET466" i="49"/>
  <c r="EU466" i="49"/>
  <c r="ET177" i="49"/>
  <c r="EU177" i="49"/>
  <c r="ET179" i="49"/>
  <c r="EU179" i="49"/>
  <c r="ET303" i="49"/>
  <c r="EU303" i="49"/>
  <c r="ET370" i="49"/>
  <c r="EU370" i="49"/>
  <c r="ET255" i="49"/>
  <c r="EU255" i="49"/>
  <c r="ET159" i="49"/>
  <c r="EU159" i="49"/>
  <c r="ET409" i="49"/>
  <c r="EU409" i="49"/>
  <c r="ET468" i="49"/>
  <c r="EU468" i="49"/>
  <c r="ET269" i="49"/>
  <c r="EU269" i="49"/>
  <c r="ET49" i="49"/>
  <c r="EU49" i="49"/>
  <c r="ET380" i="49"/>
  <c r="EU380" i="49"/>
  <c r="ET337" i="49"/>
  <c r="EU337" i="49"/>
  <c r="ET377" i="49"/>
  <c r="EU377" i="49"/>
  <c r="ET98" i="49"/>
  <c r="EU98" i="49"/>
  <c r="ET68" i="49"/>
  <c r="EU68" i="49"/>
  <c r="ET72" i="49"/>
  <c r="EU72" i="49"/>
  <c r="ET277" i="49"/>
  <c r="EU277" i="49"/>
  <c r="ET41" i="49"/>
  <c r="EU41" i="49"/>
  <c r="ET106" i="49"/>
  <c r="EU106" i="49"/>
  <c r="ET77" i="49"/>
  <c r="EU77" i="49"/>
  <c r="ET268" i="49"/>
  <c r="EU268" i="49"/>
  <c r="ET175" i="49"/>
  <c r="EU175" i="49"/>
  <c r="ET443" i="49"/>
  <c r="EU443" i="49"/>
  <c r="ET345" i="49"/>
  <c r="EU345" i="49"/>
  <c r="ET434" i="49"/>
  <c r="EU434" i="49"/>
  <c r="ET152" i="49"/>
  <c r="EU152" i="49"/>
  <c r="ET227" i="49"/>
  <c r="EU227" i="49"/>
  <c r="ET253" i="49"/>
  <c r="EU253" i="49"/>
  <c r="ET388" i="49"/>
  <c r="EU388" i="49"/>
  <c r="ET361" i="49"/>
  <c r="EU361" i="49"/>
  <c r="ET394" i="49"/>
  <c r="EU394" i="49"/>
  <c r="ET302" i="49"/>
  <c r="EU302" i="49"/>
  <c r="ET137" i="49"/>
  <c r="EU137" i="49"/>
  <c r="ET250" i="49"/>
  <c r="EU250" i="49"/>
  <c r="ET139" i="49"/>
  <c r="EU139" i="49"/>
  <c r="ET138" i="49"/>
  <c r="EU138" i="49"/>
  <c r="ET393" i="49"/>
  <c r="EU393" i="49"/>
  <c r="ET435" i="49"/>
  <c r="EU435" i="49"/>
  <c r="ET300" i="49"/>
  <c r="EU300" i="49"/>
  <c r="ET136" i="49"/>
  <c r="EU136" i="49"/>
  <c r="ET350" i="49"/>
  <c r="EU350" i="49"/>
  <c r="ET102" i="49"/>
  <c r="EU102" i="49"/>
  <c r="ET265" i="49"/>
  <c r="EU265" i="49"/>
  <c r="ET112" i="49"/>
  <c r="EU112" i="49"/>
  <c r="ET278" i="49"/>
  <c r="EU278" i="49"/>
  <c r="ET339" i="49"/>
  <c r="EU339" i="49"/>
  <c r="ET160" i="49"/>
  <c r="EU160" i="49"/>
  <c r="ET140" i="49"/>
  <c r="EU140" i="49"/>
  <c r="ET441" i="49"/>
  <c r="EU441" i="49"/>
  <c r="ET195" i="49"/>
  <c r="EU195" i="49"/>
  <c r="ET162" i="49"/>
  <c r="EU162" i="49"/>
  <c r="ET55" i="49"/>
  <c r="EU55" i="49"/>
  <c r="ET325" i="49"/>
  <c r="EU325" i="49"/>
  <c r="ET105" i="49"/>
  <c r="EU105" i="49"/>
  <c r="ET381" i="49"/>
  <c r="EU381" i="49"/>
  <c r="ET133" i="49"/>
  <c r="EU133" i="49"/>
  <c r="ET39" i="49"/>
  <c r="EU39" i="49"/>
  <c r="ET296" i="49"/>
  <c r="EU296" i="49"/>
  <c r="ET228" i="49"/>
  <c r="EU228" i="49"/>
  <c r="ET218" i="49"/>
  <c r="EU218" i="49"/>
  <c r="ET428" i="49"/>
  <c r="EU428" i="49"/>
  <c r="ET376" i="49"/>
  <c r="EU376" i="49"/>
  <c r="ET355" i="49"/>
  <c r="EU355" i="49"/>
  <c r="ET168" i="49"/>
  <c r="EU168" i="49"/>
  <c r="ET408" i="49"/>
  <c r="EU408" i="49"/>
  <c r="ET100" i="49"/>
  <c r="EU100" i="49"/>
  <c r="ET173" i="49"/>
  <c r="EU173" i="49"/>
  <c r="ET391" i="49"/>
  <c r="EU391" i="49"/>
  <c r="ET166" i="49"/>
  <c r="EU166" i="49"/>
  <c r="ET446" i="49"/>
  <c r="EU446" i="49"/>
  <c r="ET397" i="49"/>
  <c r="EU397" i="49"/>
  <c r="ET48" i="49"/>
  <c r="EU48" i="49"/>
  <c r="ET332" i="49"/>
  <c r="EU332" i="49"/>
  <c r="ET38" i="49"/>
  <c r="EU38" i="49"/>
  <c r="ET347" i="49"/>
  <c r="EU347" i="49"/>
  <c r="ET187" i="49"/>
  <c r="EU187" i="49"/>
  <c r="ET336" i="49"/>
  <c r="EU336" i="49"/>
  <c r="ET473" i="49"/>
  <c r="EU473" i="49"/>
  <c r="ET308" i="49"/>
  <c r="EU308" i="49"/>
  <c r="ET378" i="49"/>
  <c r="EU378" i="49"/>
  <c r="ET33" i="49"/>
  <c r="EU33" i="49"/>
  <c r="ET279" i="49"/>
  <c r="EU279" i="49"/>
  <c r="ET234" i="49"/>
  <c r="EU234" i="49"/>
  <c r="ET64" i="49"/>
  <c r="EU64" i="49"/>
  <c r="ET124" i="49"/>
  <c r="EU124" i="49"/>
  <c r="ET430" i="49"/>
  <c r="EU430" i="49"/>
  <c r="ET156" i="49"/>
  <c r="EU156" i="49"/>
  <c r="ET165" i="49"/>
  <c r="EU165" i="49"/>
  <c r="ET155" i="49"/>
  <c r="EU155" i="49"/>
  <c r="ET129" i="49"/>
  <c r="EU129" i="49"/>
  <c r="ET223" i="49"/>
  <c r="EU223" i="49"/>
  <c r="ET486" i="49"/>
  <c r="EU486" i="49"/>
  <c r="ET456" i="49"/>
  <c r="EU456" i="49"/>
  <c r="ET222" i="49"/>
  <c r="EU222" i="49"/>
  <c r="ET191" i="49"/>
  <c r="EU191" i="49"/>
  <c r="ET406" i="49"/>
  <c r="EU406" i="49"/>
  <c r="ET494" i="49"/>
  <c r="EU494" i="49"/>
  <c r="ET189" i="49"/>
  <c r="EU189" i="49"/>
  <c r="ET338" i="49"/>
  <c r="EU338" i="49"/>
  <c r="ET22" i="49"/>
  <c r="EU22" i="49"/>
  <c r="ET390" i="49"/>
  <c r="EU390" i="49"/>
  <c r="ET131" i="49"/>
  <c r="EU131" i="49"/>
  <c r="ET6" i="49"/>
  <c r="EU6" i="49"/>
  <c r="ET31" i="49"/>
  <c r="EU31" i="49"/>
  <c r="ET467" i="49"/>
  <c r="EU467" i="49"/>
  <c r="ET182" i="49"/>
  <c r="EU182" i="49"/>
  <c r="ET365" i="49"/>
  <c r="EU365" i="49"/>
  <c r="ET161" i="49"/>
  <c r="EU161" i="49"/>
  <c r="ET417" i="49"/>
  <c r="EU417" i="49"/>
  <c r="ET9" i="49"/>
  <c r="EU9" i="49"/>
  <c r="ET80" i="49"/>
  <c r="EU80" i="49"/>
  <c r="ET349" i="49"/>
  <c r="EU349" i="49"/>
  <c r="ET26" i="49"/>
  <c r="EU26" i="49"/>
  <c r="ET487" i="49"/>
  <c r="EU487" i="49"/>
  <c r="ET178" i="49"/>
  <c r="EU178" i="49"/>
  <c r="ET287" i="49"/>
  <c r="EU287" i="49"/>
  <c r="ET144" i="49"/>
  <c r="EU144" i="49"/>
  <c r="ET479" i="49"/>
  <c r="EU479" i="49"/>
  <c r="ET275" i="49"/>
  <c r="EU275" i="49"/>
  <c r="ET326" i="49"/>
  <c r="EU326" i="49"/>
  <c r="ET142" i="49"/>
  <c r="EU142" i="49"/>
  <c r="ET107" i="49"/>
  <c r="EU107" i="49"/>
  <c r="ET32" i="49"/>
  <c r="EU32" i="49"/>
  <c r="ET358" i="49"/>
  <c r="EU358" i="49"/>
  <c r="ET245" i="49"/>
  <c r="EU245" i="49"/>
  <c r="ET445" i="49"/>
  <c r="EU445" i="49"/>
  <c r="ET281" i="49"/>
  <c r="EU281" i="49"/>
  <c r="ET372" i="49"/>
  <c r="EU372" i="49"/>
  <c r="ET84" i="49"/>
  <c r="EU84" i="49"/>
  <c r="ET323" i="49"/>
  <c r="EU323" i="49"/>
  <c r="ET167" i="49"/>
  <c r="EU167" i="49"/>
  <c r="ET66" i="49"/>
  <c r="EU66" i="49"/>
  <c r="ET145" i="49"/>
  <c r="EU145" i="49"/>
  <c r="ET403" i="49"/>
  <c r="EU403" i="49"/>
  <c r="ET331" i="49"/>
  <c r="EU331" i="49"/>
  <c r="ET240" i="49"/>
  <c r="EU240" i="49"/>
  <c r="ET321" i="49"/>
  <c r="EU321" i="49"/>
  <c r="ET480" i="49"/>
  <c r="EU480" i="49"/>
  <c r="ET455" i="49"/>
  <c r="EU455" i="49"/>
  <c r="ET143" i="49"/>
  <c r="EU143" i="49"/>
  <c r="ET351" i="49"/>
  <c r="EU351" i="49"/>
  <c r="ET371" i="49"/>
  <c r="EU371" i="49"/>
  <c r="ET16" i="49"/>
  <c r="EU16" i="49"/>
  <c r="ET154" i="49"/>
  <c r="EU154" i="49"/>
  <c r="ET207" i="49"/>
  <c r="EU207" i="49"/>
  <c r="ET411" i="49"/>
  <c r="EU411" i="49"/>
  <c r="ET359" i="49"/>
  <c r="EU359" i="49"/>
  <c r="ET221" i="49"/>
  <c r="EU221" i="49"/>
  <c r="ET485" i="49"/>
  <c r="EU485" i="49"/>
  <c r="ET147" i="49"/>
  <c r="EU147" i="49"/>
  <c r="ET123" i="49"/>
  <c r="EU123" i="49"/>
  <c r="ET251" i="49"/>
  <c r="EU251" i="49"/>
  <c r="ET310" i="49"/>
  <c r="EU310" i="49"/>
  <c r="ET343" i="49"/>
  <c r="EU343" i="49"/>
  <c r="ET384" i="49"/>
  <c r="EU384" i="49"/>
  <c r="ET51" i="49"/>
  <c r="EU51" i="49"/>
  <c r="ET328" i="49"/>
  <c r="EU328" i="49"/>
  <c r="ET282" i="49"/>
  <c r="EU282" i="49"/>
  <c r="ET246" i="49"/>
  <c r="EU246" i="49"/>
  <c r="ET239" i="49"/>
  <c r="EU239" i="49"/>
  <c r="ET232" i="49"/>
  <c r="EU232" i="49"/>
  <c r="ET247" i="49"/>
  <c r="EU247" i="49"/>
  <c r="ET208" i="49"/>
  <c r="EU208" i="49"/>
  <c r="ET304" i="49"/>
  <c r="EU304" i="49"/>
  <c r="ET344" i="49"/>
  <c r="EU344" i="49"/>
  <c r="ET311" i="49"/>
  <c r="EU311" i="49"/>
  <c r="ET416" i="49"/>
  <c r="EU416" i="49"/>
  <c r="ET450" i="49"/>
  <c r="EU450" i="49"/>
  <c r="ET386" i="49"/>
  <c r="EU386" i="49"/>
  <c r="ET329" i="49"/>
  <c r="EU329" i="49"/>
  <c r="ET215" i="49"/>
  <c r="EU215" i="49"/>
  <c r="ET50" i="49"/>
  <c r="EU50" i="49"/>
  <c r="ET118" i="49"/>
  <c r="EU118" i="49"/>
  <c r="ET132" i="49"/>
  <c r="EU132" i="49"/>
  <c r="ET67" i="49"/>
  <c r="EU67" i="49"/>
  <c r="ET404" i="49"/>
  <c r="EU404" i="49"/>
  <c r="ET153" i="49"/>
  <c r="EU153" i="49"/>
  <c r="ET307" i="49"/>
  <c r="EU307" i="49"/>
  <c r="ET458" i="49"/>
  <c r="EU458" i="49"/>
  <c r="ET135" i="49"/>
  <c r="EU135" i="49"/>
  <c r="ET294" i="49"/>
  <c r="EU294" i="49"/>
  <c r="ET333" i="49"/>
  <c r="EU333" i="49"/>
  <c r="ET96" i="49"/>
  <c r="EU96" i="49"/>
  <c r="ET398" i="49"/>
  <c r="EU398" i="49"/>
  <c r="ET237" i="49"/>
  <c r="EU237" i="49"/>
  <c r="ET122" i="49"/>
  <c r="EU122" i="49"/>
  <c r="ET270" i="49"/>
  <c r="EU270" i="49"/>
  <c r="ET172" i="49"/>
  <c r="EU172" i="49"/>
  <c r="ET216" i="49"/>
  <c r="EU216" i="49"/>
  <c r="ET448" i="49"/>
  <c r="EU448" i="49"/>
  <c r="ET470" i="49"/>
  <c r="EU470" i="49"/>
  <c r="ET472" i="49"/>
  <c r="EU472" i="49"/>
  <c r="ET125" i="49"/>
  <c r="EU125" i="49"/>
  <c r="ET289" i="49"/>
  <c r="EU289" i="49"/>
  <c r="ET171" i="49"/>
  <c r="EU171" i="49"/>
  <c r="ET21" i="49"/>
  <c r="EU21" i="49"/>
  <c r="ET89" i="49"/>
  <c r="EU89" i="49"/>
  <c r="ET295" i="49"/>
  <c r="EU295" i="49"/>
  <c r="ET18" i="49"/>
  <c r="EU18" i="49"/>
  <c r="ET30" i="49"/>
  <c r="EU30" i="49"/>
  <c r="ET157" i="49"/>
  <c r="EU157" i="49"/>
  <c r="ET401" i="49"/>
  <c r="EU401" i="49"/>
  <c r="ET276" i="49"/>
  <c r="EU276" i="49"/>
  <c r="ET346" i="49"/>
  <c r="EU346" i="49"/>
  <c r="ET483" i="49"/>
  <c r="EU483" i="49"/>
  <c r="ET169" i="49"/>
  <c r="EU169" i="49"/>
  <c r="ET490" i="49"/>
  <c r="EU490" i="49"/>
  <c r="ET424" i="49"/>
  <c r="EU424" i="49"/>
  <c r="ET192" i="49"/>
  <c r="EU192" i="49"/>
  <c r="ET498" i="49"/>
  <c r="EU498" i="49"/>
  <c r="ET241" i="49"/>
  <c r="EU241" i="49"/>
  <c r="ET63" i="49"/>
  <c r="EU63" i="49"/>
  <c r="ET83" i="49"/>
  <c r="EU83" i="49"/>
  <c r="ET429" i="49"/>
  <c r="EU429" i="49"/>
  <c r="ET464" i="49"/>
  <c r="EU464" i="49"/>
  <c r="ET427" i="49"/>
  <c r="EU427" i="49"/>
  <c r="ET214" i="49"/>
  <c r="EU214" i="49"/>
  <c r="ET70" i="49"/>
  <c r="EU70" i="49"/>
  <c r="ET422" i="49"/>
  <c r="EU422" i="49"/>
  <c r="ET54" i="49"/>
  <c r="EU54" i="49"/>
  <c r="ET249" i="49"/>
  <c r="EU249" i="49"/>
  <c r="ET235" i="49"/>
  <c r="EU235" i="49"/>
  <c r="ET238" i="49"/>
  <c r="EU238" i="49"/>
  <c r="ET205" i="49"/>
  <c r="EU205" i="49"/>
  <c r="ET40" i="49"/>
  <c r="EU40" i="49"/>
  <c r="ET368" i="49"/>
  <c r="EU368" i="49"/>
  <c r="ET324" i="49"/>
  <c r="EU324" i="49"/>
  <c r="ET285" i="49"/>
  <c r="EU285" i="49"/>
  <c r="ET183" i="49"/>
  <c r="EU183" i="49"/>
  <c r="ET348" i="49"/>
  <c r="EU348" i="49"/>
  <c r="ET463" i="49"/>
  <c r="EU463" i="49"/>
  <c r="ET293" i="49"/>
  <c r="EU293" i="49"/>
  <c r="ET491" i="49"/>
  <c r="EU491" i="49"/>
  <c r="ET299" i="49"/>
  <c r="EU299" i="49"/>
  <c r="ET198" i="49"/>
  <c r="EU198" i="49"/>
  <c r="ET188" i="49"/>
  <c r="EU188" i="49"/>
  <c r="ET212" i="49"/>
  <c r="EU212" i="49"/>
  <c r="ET460" i="49"/>
  <c r="EU460" i="49"/>
  <c r="ET363" i="49"/>
  <c r="EU363" i="49"/>
  <c r="ET263" i="49"/>
  <c r="EU263" i="49"/>
  <c r="ET231" i="49"/>
  <c r="EU231" i="49"/>
  <c r="ET306" i="49"/>
  <c r="EU306" i="49"/>
  <c r="ET496" i="49"/>
  <c r="EU496" i="49"/>
  <c r="ET457" i="49"/>
  <c r="EU457" i="49"/>
  <c r="ET474" i="49"/>
  <c r="EU474" i="49"/>
  <c r="ET315" i="49"/>
  <c r="EU315" i="49"/>
  <c r="ET20" i="49"/>
  <c r="EU20" i="49"/>
  <c r="ET316" i="49"/>
  <c r="EU316" i="49"/>
  <c r="ET451" i="49"/>
  <c r="EU451" i="49"/>
  <c r="ET88" i="49"/>
  <c r="EU88" i="49"/>
  <c r="ET447" i="49"/>
  <c r="EU447" i="49"/>
  <c r="ET309" i="49"/>
  <c r="EU309" i="49"/>
  <c r="ET452" i="49"/>
  <c r="EU452" i="49"/>
  <c r="ET433" i="49"/>
  <c r="EU433" i="49"/>
  <c r="ET320" i="49"/>
  <c r="EU320" i="49"/>
  <c r="ET43" i="49"/>
  <c r="EU43" i="49"/>
  <c r="ET489" i="49"/>
  <c r="EU489" i="49"/>
  <c r="ET360" i="49"/>
  <c r="EU360" i="49"/>
  <c r="ET262" i="49"/>
  <c r="EU262" i="49"/>
  <c r="ET465" i="49"/>
  <c r="EU465" i="49"/>
  <c r="ET82" i="49"/>
  <c r="EU82" i="49"/>
  <c r="ET184" i="49"/>
  <c r="EU184" i="49"/>
  <c r="ET257" i="49"/>
  <c r="EU257" i="49"/>
  <c r="ET481" i="49"/>
  <c r="EU481" i="49"/>
  <c r="ET387" i="49"/>
  <c r="EU387" i="49"/>
  <c r="ET61" i="49"/>
  <c r="EU61" i="49"/>
  <c r="ET211" i="49"/>
  <c r="EU211" i="49"/>
  <c r="ET10" i="49"/>
  <c r="EU10" i="49"/>
  <c r="ET180" i="49"/>
  <c r="EU180" i="49"/>
  <c r="ET95" i="49"/>
  <c r="EU95" i="49"/>
  <c r="ET290" i="49"/>
  <c r="EU290" i="49"/>
  <c r="ET209" i="49"/>
  <c r="EU209" i="49"/>
  <c r="ET94" i="49"/>
  <c r="EU94" i="49"/>
  <c r="ET119" i="49"/>
  <c r="EU119" i="49"/>
  <c r="ET202" i="49"/>
  <c r="EU202" i="49"/>
  <c r="ET45" i="49"/>
  <c r="EU45" i="49"/>
  <c r="ET75" i="49"/>
  <c r="EU75" i="49"/>
  <c r="ET477" i="49"/>
  <c r="EU477" i="49"/>
  <c r="ET224" i="49"/>
  <c r="EU224" i="49"/>
  <c r="ET356" i="49"/>
  <c r="EU356" i="49"/>
  <c r="ET65" i="49"/>
  <c r="EU65" i="49"/>
  <c r="ET8" i="49"/>
  <c r="EU8" i="49"/>
  <c r="ET274" i="49"/>
  <c r="EU274" i="49"/>
  <c r="ET186" i="49"/>
  <c r="EU186" i="49"/>
  <c r="ET200" i="49"/>
  <c r="EU200" i="49"/>
  <c r="ET469" i="49"/>
  <c r="EU469" i="49"/>
  <c r="ET225" i="49"/>
  <c r="EU225" i="49"/>
  <c r="ET264" i="49"/>
  <c r="EU264" i="49"/>
  <c r="ET322" i="49"/>
  <c r="EU322" i="49"/>
  <c r="ET111" i="49"/>
  <c r="EU111" i="49"/>
  <c r="ET476" i="49"/>
  <c r="EU476" i="49"/>
  <c r="ET52" i="49"/>
  <c r="EU52" i="49"/>
  <c r="ET462" i="49"/>
  <c r="EU462" i="49"/>
  <c r="ET76" i="49"/>
  <c r="EU76" i="49"/>
  <c r="ET449" i="49"/>
  <c r="EU449" i="49"/>
  <c r="ET115" i="49"/>
  <c r="EU115" i="49"/>
  <c r="ET410" i="49"/>
  <c r="EU410" i="49"/>
  <c r="ET432" i="49"/>
  <c r="EU432" i="49"/>
  <c r="ET90" i="49"/>
  <c r="EU90" i="49"/>
  <c r="ET271" i="49"/>
  <c r="EU271" i="49"/>
  <c r="ET11" i="49"/>
  <c r="EU11" i="49"/>
  <c r="ET402" i="49"/>
  <c r="EU402" i="49"/>
  <c r="ET201" i="49"/>
  <c r="EU201" i="49"/>
  <c r="ET313" i="49"/>
  <c r="EU313" i="49"/>
  <c r="ET437" i="49"/>
  <c r="EU437" i="49"/>
  <c r="ET335" i="49"/>
  <c r="EU335" i="49"/>
  <c r="ET97" i="49"/>
  <c r="EU97" i="49"/>
  <c r="EX203" i="49"/>
  <c r="EV203" i="49"/>
  <c r="EY203" i="49"/>
  <c r="EY204" i="49"/>
  <c r="EX204" i="49"/>
  <c r="EV204" i="49"/>
  <c r="EX437" i="49"/>
  <c r="AW510" i="46"/>
  <c r="EY437" i="49"/>
  <c r="AX510" i="46"/>
  <c r="EV437" i="49"/>
  <c r="EY11" i="49"/>
  <c r="AX15" i="46"/>
  <c r="EX11" i="49"/>
  <c r="AW15" i="46"/>
  <c r="EV11" i="49"/>
  <c r="EY410" i="49"/>
  <c r="AX479" i="46"/>
  <c r="EX410" i="49"/>
  <c r="AW479" i="46"/>
  <c r="EV410" i="49"/>
  <c r="EX462" i="49"/>
  <c r="AW542" i="46"/>
  <c r="EY462" i="49"/>
  <c r="AX542" i="46"/>
  <c r="EV462" i="49"/>
  <c r="EY322" i="49"/>
  <c r="AX364" i="46"/>
  <c r="EX322" i="49"/>
  <c r="AW364" i="46"/>
  <c r="EV322" i="49"/>
  <c r="EY200" i="49"/>
  <c r="AX254" i="46"/>
  <c r="EX200" i="49"/>
  <c r="AW254" i="46"/>
  <c r="EV200" i="49"/>
  <c r="EY65" i="49"/>
  <c r="AX90" i="46"/>
  <c r="EX65" i="49"/>
  <c r="AW90" i="46"/>
  <c r="EV65" i="49"/>
  <c r="EY75" i="49"/>
  <c r="AX101" i="46"/>
  <c r="EX75" i="49"/>
  <c r="AW101" i="46"/>
  <c r="EV75" i="49"/>
  <c r="EY94" i="49"/>
  <c r="AX123" i="46"/>
  <c r="EX94" i="49"/>
  <c r="AW123" i="46"/>
  <c r="EV94" i="49"/>
  <c r="EY180" i="49"/>
  <c r="AX262" i="46"/>
  <c r="EX180" i="49"/>
  <c r="AW262" i="46"/>
  <c r="EV180" i="49"/>
  <c r="EY387" i="49"/>
  <c r="AX439" i="46"/>
  <c r="EX387" i="49"/>
  <c r="AW439" i="46"/>
  <c r="EV387" i="49"/>
  <c r="EY82" i="49"/>
  <c r="AX164" i="46"/>
  <c r="EX82" i="49"/>
  <c r="AW164" i="46"/>
  <c r="EV82" i="49"/>
  <c r="EY489" i="49"/>
  <c r="AX114" i="46"/>
  <c r="EX489" i="49"/>
  <c r="AW114" i="46"/>
  <c r="EV489" i="49"/>
  <c r="EY452" i="49"/>
  <c r="AX520" i="46"/>
  <c r="EX452" i="49"/>
  <c r="AW520" i="46"/>
  <c r="EV452" i="49"/>
  <c r="EX451" i="49"/>
  <c r="AW522" i="46"/>
  <c r="EY451" i="49"/>
  <c r="AX522" i="46"/>
  <c r="EV451" i="49"/>
  <c r="EX474" i="49"/>
  <c r="AW547" i="46"/>
  <c r="EY474" i="49"/>
  <c r="AX547" i="46"/>
  <c r="EV474" i="49"/>
  <c r="EY231" i="49"/>
  <c r="AX189" i="46"/>
  <c r="EX231" i="49"/>
  <c r="AW189" i="46"/>
  <c r="EV231" i="49"/>
  <c r="EY212" i="49"/>
  <c r="AX273" i="46"/>
  <c r="EX212" i="49"/>
  <c r="AW273" i="46"/>
  <c r="EV212" i="49"/>
  <c r="EY491" i="49"/>
  <c r="AX110" i="46"/>
  <c r="EX491" i="49"/>
  <c r="AW110" i="46"/>
  <c r="EV491" i="49"/>
  <c r="EY183" i="49"/>
  <c r="AX255" i="46"/>
  <c r="EX183" i="49"/>
  <c r="AW255" i="46"/>
  <c r="EV183" i="49"/>
  <c r="EY40" i="49"/>
  <c r="AX46" i="46"/>
  <c r="EX40" i="49"/>
  <c r="AW46" i="46"/>
  <c r="EV40" i="49"/>
  <c r="EY249" i="49"/>
  <c r="AX206" i="46"/>
  <c r="EX249" i="49"/>
  <c r="AW206" i="46"/>
  <c r="EV249" i="49"/>
  <c r="EY214" i="49"/>
  <c r="AX277" i="46"/>
  <c r="EX214" i="49"/>
  <c r="AW277" i="46"/>
  <c r="EV214" i="49"/>
  <c r="EY83" i="49"/>
  <c r="AX157" i="46"/>
  <c r="EX83" i="49"/>
  <c r="AW157" i="46"/>
  <c r="EV83" i="49"/>
  <c r="EY192" i="49"/>
  <c r="AX222" i="46"/>
  <c r="EX192" i="49"/>
  <c r="AW222" i="46"/>
  <c r="EV192" i="49"/>
  <c r="EX483" i="49"/>
  <c r="AW563" i="46"/>
  <c r="EY483" i="49"/>
  <c r="AX563" i="46"/>
  <c r="EV483" i="49"/>
  <c r="EY157" i="49"/>
  <c r="AX351" i="46"/>
  <c r="EX157" i="49"/>
  <c r="AW351" i="46"/>
  <c r="EV157" i="49"/>
  <c r="EY89" i="49"/>
  <c r="AX143" i="46"/>
  <c r="EX89" i="49"/>
  <c r="AW143" i="46"/>
  <c r="EV89" i="49"/>
  <c r="EY125" i="49"/>
  <c r="AX151" i="46"/>
  <c r="EX125" i="49"/>
  <c r="AW151" i="46"/>
  <c r="EV125" i="49"/>
  <c r="EY216" i="49"/>
  <c r="AX336" i="46"/>
  <c r="EX216" i="49"/>
  <c r="AW336" i="46"/>
  <c r="EV216" i="49"/>
  <c r="EY237" i="49"/>
  <c r="AX249" i="46"/>
  <c r="EX237" i="49"/>
  <c r="AW249" i="46"/>
  <c r="EV237" i="49"/>
  <c r="EY294" i="49"/>
  <c r="AX315" i="46"/>
  <c r="EX294" i="49"/>
  <c r="AW315" i="46"/>
  <c r="EV294" i="49"/>
  <c r="EY153" i="49"/>
  <c r="AX491" i="46"/>
  <c r="EX153" i="49"/>
  <c r="AW491" i="46"/>
  <c r="EV153" i="49"/>
  <c r="EY118" i="49"/>
  <c r="AX145" i="46"/>
  <c r="EX118" i="49"/>
  <c r="AW145" i="46"/>
  <c r="EV118" i="49"/>
  <c r="EY386" i="49"/>
  <c r="AX458" i="46"/>
  <c r="EX386" i="49"/>
  <c r="AW458" i="46"/>
  <c r="EV386" i="49"/>
  <c r="EY344" i="49"/>
  <c r="AX398" i="46"/>
  <c r="EX344" i="49"/>
  <c r="AW398" i="46"/>
  <c r="EV344" i="49"/>
  <c r="EY232" i="49"/>
  <c r="AX288" i="46"/>
  <c r="EX232" i="49"/>
  <c r="AW288" i="46"/>
  <c r="EV232" i="49"/>
  <c r="EY328" i="49"/>
  <c r="AX374" i="46"/>
  <c r="EX328" i="49"/>
  <c r="AW374" i="46"/>
  <c r="EV328" i="49"/>
  <c r="EY310" i="49"/>
  <c r="AX192" i="46"/>
  <c r="EX310" i="49"/>
  <c r="AW192" i="46"/>
  <c r="EV310" i="49"/>
  <c r="EY485" i="49"/>
  <c r="AX570" i="46"/>
  <c r="EX485" i="49"/>
  <c r="AW570" i="46"/>
  <c r="EV485" i="49"/>
  <c r="EY207" i="49"/>
  <c r="AX343" i="46"/>
  <c r="EX207" i="49"/>
  <c r="AW343" i="46"/>
  <c r="EV207" i="49"/>
  <c r="EY351" i="49"/>
  <c r="AX413" i="46"/>
  <c r="EX351" i="49"/>
  <c r="AW413" i="46"/>
  <c r="EV351" i="49"/>
  <c r="EY321" i="49"/>
  <c r="AX373" i="46"/>
  <c r="EX321" i="49"/>
  <c r="AW373" i="46"/>
  <c r="EV321" i="49"/>
  <c r="EY145" i="49"/>
  <c r="AX344" i="46"/>
  <c r="EX145" i="49"/>
  <c r="AW344" i="46"/>
  <c r="EV145" i="49"/>
  <c r="EY84" i="49"/>
  <c r="AX167" i="46"/>
  <c r="EX84" i="49"/>
  <c r="AW167" i="46"/>
  <c r="EV84" i="49"/>
  <c r="EY245" i="49"/>
  <c r="AX232" i="46"/>
  <c r="EX245" i="49"/>
  <c r="AW232" i="46"/>
  <c r="EV245" i="49"/>
  <c r="EY142" i="49"/>
  <c r="AX348" i="46"/>
  <c r="EX142" i="49"/>
  <c r="AW348" i="46"/>
  <c r="EV142" i="49"/>
  <c r="EY144" i="49"/>
  <c r="AX227" i="46"/>
  <c r="EX144" i="49"/>
  <c r="AW227" i="46"/>
  <c r="EV144" i="49"/>
  <c r="EY26" i="49"/>
  <c r="AX41" i="46"/>
  <c r="EX26" i="49"/>
  <c r="AW41" i="46"/>
  <c r="EV26" i="49"/>
  <c r="EY417" i="49"/>
  <c r="AX477" i="46"/>
  <c r="EX417" i="49"/>
  <c r="AW477" i="46"/>
  <c r="EV417" i="49"/>
  <c r="EX467" i="49"/>
  <c r="AW554" i="46"/>
  <c r="EY467" i="49"/>
  <c r="AX554" i="46"/>
  <c r="EV467" i="49"/>
  <c r="EY390" i="49"/>
  <c r="AX425" i="46"/>
  <c r="EX390" i="49"/>
  <c r="AW425" i="46"/>
  <c r="EV390" i="49"/>
  <c r="EY494" i="49"/>
  <c r="AX113" i="46"/>
  <c r="EX494" i="49"/>
  <c r="AW113" i="46"/>
  <c r="EV494" i="49"/>
  <c r="EY456" i="49"/>
  <c r="AX525" i="46"/>
  <c r="EX456" i="49"/>
  <c r="AW525" i="46"/>
  <c r="EV456" i="49"/>
  <c r="EY155" i="49"/>
  <c r="AX200" i="46"/>
  <c r="EX155" i="49"/>
  <c r="AW200" i="46"/>
  <c r="EV155" i="49"/>
  <c r="EY124" i="49"/>
  <c r="AX162" i="46"/>
  <c r="EX124" i="49"/>
  <c r="AW162" i="46"/>
  <c r="EV124" i="49"/>
  <c r="EY33" i="49"/>
  <c r="AX30" i="46"/>
  <c r="EX33" i="49"/>
  <c r="AW30" i="46"/>
  <c r="EV33" i="49"/>
  <c r="EY336" i="49"/>
  <c r="AX389" i="46"/>
  <c r="EX336" i="49"/>
  <c r="AW389" i="46"/>
  <c r="EV336" i="49"/>
  <c r="EY332" i="49"/>
  <c r="EX332" i="49"/>
  <c r="EV332" i="49"/>
  <c r="EY166" i="49"/>
  <c r="AX293" i="46"/>
  <c r="EX166" i="49"/>
  <c r="AW293" i="46"/>
  <c r="EV166" i="49"/>
  <c r="EY408" i="49"/>
  <c r="AX483" i="46"/>
  <c r="EX408" i="49"/>
  <c r="AW483" i="46"/>
  <c r="EV408" i="49"/>
  <c r="EY428" i="49"/>
  <c r="AX494" i="46"/>
  <c r="EX428" i="49"/>
  <c r="AW494" i="46"/>
  <c r="EV428" i="49"/>
  <c r="EY39" i="49"/>
  <c r="AX44" i="46"/>
  <c r="EX39" i="49"/>
  <c r="AW44" i="46"/>
  <c r="EV39" i="49"/>
  <c r="EY325" i="49"/>
  <c r="AX369" i="46"/>
  <c r="EX325" i="49"/>
  <c r="AW369" i="46"/>
  <c r="EV325" i="49"/>
  <c r="EX441" i="49"/>
  <c r="AW526" i="46"/>
  <c r="EY441" i="49"/>
  <c r="AX526" i="46"/>
  <c r="EV441" i="49"/>
  <c r="EY278" i="49"/>
  <c r="AX345" i="46"/>
  <c r="EX278" i="49"/>
  <c r="AW345" i="46"/>
  <c r="EV278" i="49"/>
  <c r="EY350" i="49"/>
  <c r="AX416" i="46"/>
  <c r="EX350" i="49"/>
  <c r="AW416" i="46"/>
  <c r="EV350" i="49"/>
  <c r="EY393" i="49"/>
  <c r="AX440" i="46"/>
  <c r="EX393" i="49"/>
  <c r="AW440" i="46"/>
  <c r="EV393" i="49"/>
  <c r="EY137" i="49"/>
  <c r="AX201" i="46"/>
  <c r="EX137" i="49"/>
  <c r="AW201" i="46"/>
  <c r="EV137" i="49"/>
  <c r="EY388" i="49"/>
  <c r="AX442" i="46"/>
  <c r="EX388" i="49"/>
  <c r="AW442" i="46"/>
  <c r="EV388" i="49"/>
  <c r="EY434" i="49"/>
  <c r="AX504" i="46"/>
  <c r="EX434" i="49"/>
  <c r="AW504" i="46"/>
  <c r="EV434" i="49"/>
  <c r="EY268" i="49"/>
  <c r="AX311" i="46"/>
  <c r="EX268" i="49"/>
  <c r="AW311" i="46"/>
  <c r="EV268" i="49"/>
  <c r="EY277" i="49"/>
  <c r="AX308" i="46"/>
  <c r="EX277" i="49"/>
  <c r="AW308" i="46"/>
  <c r="EV277" i="49"/>
  <c r="EY377" i="49"/>
  <c r="AX434" i="46"/>
  <c r="EX377" i="49"/>
  <c r="AW434" i="46"/>
  <c r="EV377" i="49"/>
  <c r="EY269" i="49"/>
  <c r="AX212" i="46"/>
  <c r="EX269" i="49"/>
  <c r="AW212" i="46"/>
  <c r="EV269" i="49"/>
  <c r="EY255" i="49"/>
  <c r="AX279" i="46"/>
  <c r="EX255" i="49"/>
  <c r="AW279" i="46"/>
  <c r="EV255" i="49"/>
  <c r="EY177" i="49"/>
  <c r="AX256" i="46"/>
  <c r="EX177" i="49"/>
  <c r="AW256" i="46"/>
  <c r="EV177" i="49"/>
  <c r="EY314" i="49"/>
  <c r="AX365" i="46"/>
  <c r="EX314" i="49"/>
  <c r="AW365" i="46"/>
  <c r="EV314" i="49"/>
  <c r="EY36" i="49"/>
  <c r="AX22" i="46"/>
  <c r="EX36" i="49"/>
  <c r="AW22" i="46"/>
  <c r="EV36" i="49"/>
  <c r="EY170" i="49"/>
  <c r="AX229" i="46"/>
  <c r="EX170" i="49"/>
  <c r="AW229" i="46"/>
  <c r="EV170" i="49"/>
  <c r="EY317" i="49"/>
  <c r="AX372" i="46"/>
  <c r="EX317" i="49"/>
  <c r="AW372" i="46"/>
  <c r="EV317" i="49"/>
  <c r="EY280" i="49"/>
  <c r="AX312" i="46"/>
  <c r="EX280" i="49"/>
  <c r="AW312" i="46"/>
  <c r="EV280" i="49"/>
  <c r="EY12" i="49"/>
  <c r="AX13" i="46"/>
  <c r="EX12" i="49"/>
  <c r="AW13" i="46"/>
  <c r="EV12" i="49"/>
  <c r="EY374" i="49"/>
  <c r="AX448" i="46"/>
  <c r="EX374" i="49"/>
  <c r="AW448" i="46"/>
  <c r="EV374" i="49"/>
  <c r="EY319" i="49"/>
  <c r="AX362" i="46"/>
  <c r="EX319" i="49"/>
  <c r="AW362" i="46"/>
  <c r="EV319" i="49"/>
  <c r="EX488" i="49"/>
  <c r="AW569" i="46"/>
  <c r="EY488" i="49"/>
  <c r="AX569" i="46"/>
  <c r="EV488" i="49"/>
  <c r="EY190" i="49"/>
  <c r="AX226" i="46"/>
  <c r="EX190" i="49"/>
  <c r="AW226" i="46"/>
  <c r="EV190" i="49"/>
  <c r="EY17" i="49"/>
  <c r="AX34" i="46"/>
  <c r="EX17" i="49"/>
  <c r="AW34" i="46"/>
  <c r="EV17" i="49"/>
  <c r="EY37" i="49"/>
  <c r="AX31" i="46"/>
  <c r="EX37" i="49"/>
  <c r="AW31" i="46"/>
  <c r="EV37" i="49"/>
  <c r="EY110" i="49"/>
  <c r="AX135" i="46"/>
  <c r="EX110" i="49"/>
  <c r="AW135" i="46"/>
  <c r="EV110" i="49"/>
  <c r="EY121" i="49"/>
  <c r="AX159" i="46"/>
  <c r="EX121" i="49"/>
  <c r="AW159" i="46"/>
  <c r="EV121" i="49"/>
  <c r="EY34" i="49"/>
  <c r="AX29" i="46"/>
  <c r="EX34" i="49"/>
  <c r="AW29" i="46"/>
  <c r="EV34" i="49"/>
  <c r="EY352" i="49"/>
  <c r="AX417" i="46"/>
  <c r="EX352" i="49"/>
  <c r="AW417" i="46"/>
  <c r="EV352" i="49"/>
  <c r="EX442" i="49"/>
  <c r="AW535" i="46"/>
  <c r="EY442" i="49"/>
  <c r="AX535" i="46"/>
  <c r="EV442" i="49"/>
  <c r="EY226" i="49"/>
  <c r="AX224" i="46"/>
  <c r="EX226" i="49"/>
  <c r="AW224" i="46"/>
  <c r="EV226" i="49"/>
  <c r="EY46" i="49"/>
  <c r="AX58" i="46"/>
  <c r="EX46" i="49"/>
  <c r="AW58" i="46"/>
  <c r="EV46" i="49"/>
  <c r="EY454" i="49"/>
  <c r="AX517" i="46"/>
  <c r="EX454" i="49"/>
  <c r="AW517" i="46"/>
  <c r="EV454" i="49"/>
  <c r="EY57" i="49"/>
  <c r="AX75" i="46"/>
  <c r="EX57" i="49"/>
  <c r="AW75" i="46"/>
  <c r="EV57" i="49"/>
  <c r="EY219" i="49"/>
  <c r="AX193" i="46"/>
  <c r="EX219" i="49"/>
  <c r="AW193" i="46"/>
  <c r="EV219" i="49"/>
  <c r="EY213" i="49"/>
  <c r="AX275" i="46"/>
  <c r="EX213" i="49"/>
  <c r="AW275" i="46"/>
  <c r="EV213" i="49"/>
  <c r="EY113" i="49"/>
  <c r="AX158" i="46"/>
  <c r="EX113" i="49"/>
  <c r="AW158" i="46"/>
  <c r="EV113" i="49"/>
  <c r="EY244" i="49"/>
  <c r="AX326" i="46"/>
  <c r="EX244" i="49"/>
  <c r="AW326" i="46"/>
  <c r="EV244" i="49"/>
  <c r="EY426" i="49"/>
  <c r="AX489" i="46"/>
  <c r="EX426" i="49"/>
  <c r="AW489" i="46"/>
  <c r="EV426" i="49"/>
  <c r="EX438" i="49"/>
  <c r="AW551" i="46"/>
  <c r="EY438" i="49"/>
  <c r="AX551" i="46"/>
  <c r="EV438" i="49"/>
  <c r="EY103" i="49"/>
  <c r="AX126" i="46"/>
  <c r="EX103" i="49"/>
  <c r="AW126" i="46"/>
  <c r="EV103" i="49"/>
  <c r="EY383" i="49"/>
  <c r="AX459" i="46"/>
  <c r="EX383" i="49"/>
  <c r="AW459" i="46"/>
  <c r="EV383" i="49"/>
  <c r="EX174" i="49"/>
  <c r="AW550" i="46"/>
  <c r="EY174" i="49"/>
  <c r="AX550" i="46"/>
  <c r="EV174" i="49"/>
  <c r="EY407" i="49"/>
  <c r="AX469" i="46"/>
  <c r="EX407" i="49"/>
  <c r="AW469" i="46"/>
  <c r="EV407" i="49"/>
  <c r="EX444" i="49"/>
  <c r="AW523" i="46"/>
  <c r="EY444" i="49"/>
  <c r="AX523" i="46"/>
  <c r="EV444" i="49"/>
  <c r="EY258" i="49"/>
  <c r="AX248" i="46"/>
  <c r="EX258" i="49"/>
  <c r="AW248" i="46"/>
  <c r="EV258" i="49"/>
  <c r="EX475" i="49"/>
  <c r="AW539" i="46"/>
  <c r="EY475" i="49"/>
  <c r="AX539" i="46"/>
  <c r="EV475" i="49"/>
  <c r="EY284" i="49"/>
  <c r="AX183" i="46"/>
  <c r="EX284" i="49"/>
  <c r="AW183" i="46"/>
  <c r="EV284" i="49"/>
  <c r="EY459" i="49"/>
  <c r="AX532" i="46"/>
  <c r="EX459" i="49"/>
  <c r="AW532" i="46"/>
  <c r="EV459" i="49"/>
  <c r="EY15" i="49"/>
  <c r="AX7" i="46"/>
  <c r="EX15" i="49"/>
  <c r="AW7" i="46"/>
  <c r="EV15" i="49"/>
  <c r="EY163" i="49"/>
  <c r="AX252" i="46"/>
  <c r="EX163" i="49"/>
  <c r="AW252" i="46"/>
  <c r="EV163" i="49"/>
  <c r="EY229" i="49"/>
  <c r="AX329" i="46"/>
  <c r="EX229" i="49"/>
  <c r="AW329" i="46"/>
  <c r="EV229" i="49"/>
  <c r="EY108" i="49"/>
  <c r="AX137" i="46"/>
  <c r="EX108" i="49"/>
  <c r="AW137" i="46"/>
  <c r="EV108" i="49"/>
  <c r="EY91" i="49"/>
  <c r="AX132" i="46"/>
  <c r="EX91" i="49"/>
  <c r="AW132" i="46"/>
  <c r="EV91" i="49"/>
  <c r="EY29" i="49"/>
  <c r="AX25" i="46"/>
  <c r="EX29" i="49"/>
  <c r="AW25" i="46"/>
  <c r="EV29" i="49"/>
  <c r="EY47" i="49"/>
  <c r="AX60" i="46"/>
  <c r="EX47" i="49"/>
  <c r="AW60" i="46"/>
  <c r="EV47" i="49"/>
  <c r="EY24" i="49"/>
  <c r="AX33" i="46"/>
  <c r="EX24" i="49"/>
  <c r="AW33" i="46"/>
  <c r="EV24" i="49"/>
  <c r="EY283" i="49"/>
  <c r="AX182" i="46"/>
  <c r="EX283" i="49"/>
  <c r="AW182" i="46"/>
  <c r="EV283" i="49"/>
  <c r="EY313" i="49"/>
  <c r="AX371" i="46"/>
  <c r="EX313" i="49"/>
  <c r="AW371" i="46"/>
  <c r="EV313" i="49"/>
  <c r="EY115" i="49"/>
  <c r="AX140" i="46"/>
  <c r="EX115" i="49"/>
  <c r="AW140" i="46"/>
  <c r="EV115" i="49"/>
  <c r="EY52" i="49"/>
  <c r="AX62" i="46"/>
  <c r="EX52" i="49"/>
  <c r="AW62" i="46"/>
  <c r="EV52" i="49"/>
  <c r="EY264" i="49"/>
  <c r="AX177" i="46"/>
  <c r="EX264" i="49"/>
  <c r="AW177" i="46"/>
  <c r="EV264" i="49"/>
  <c r="EY186" i="49"/>
  <c r="AX258" i="46"/>
  <c r="EX186" i="49"/>
  <c r="AW258" i="46"/>
  <c r="EV186" i="49"/>
  <c r="EY356" i="49"/>
  <c r="AX412" i="46"/>
  <c r="EX356" i="49"/>
  <c r="AW412" i="46"/>
  <c r="EV356" i="49"/>
  <c r="EY45" i="49"/>
  <c r="AX57" i="46"/>
  <c r="EX45" i="49"/>
  <c r="AW57" i="46"/>
  <c r="EV45" i="49"/>
  <c r="EY209" i="49"/>
  <c r="AX209" i="46"/>
  <c r="EX209" i="49"/>
  <c r="AW209" i="46"/>
  <c r="EV209" i="49"/>
  <c r="EY10" i="49"/>
  <c r="AX12" i="46"/>
  <c r="EX10" i="49"/>
  <c r="AW12" i="46"/>
  <c r="EV10" i="49"/>
  <c r="EY481" i="49"/>
  <c r="AX562" i="46"/>
  <c r="EX481" i="49"/>
  <c r="AW562" i="46"/>
  <c r="EV481" i="49"/>
  <c r="EY465" i="49"/>
  <c r="AX541" i="46"/>
  <c r="EX465" i="49"/>
  <c r="AW541" i="46"/>
  <c r="EV465" i="49"/>
  <c r="EY43" i="49"/>
  <c r="AX54" i="46"/>
  <c r="EX43" i="49"/>
  <c r="AW54" i="46"/>
  <c r="EV43" i="49"/>
  <c r="EY309" i="49"/>
  <c r="AX337" i="46"/>
  <c r="EX309" i="49"/>
  <c r="AW337" i="46"/>
  <c r="EV309" i="49"/>
  <c r="EY316" i="49"/>
  <c r="AX368" i="46"/>
  <c r="EX316" i="49"/>
  <c r="AW368" i="46"/>
  <c r="EV316" i="49"/>
  <c r="EY457" i="49"/>
  <c r="AX516" i="46"/>
  <c r="EX457" i="49"/>
  <c r="AW516" i="46"/>
  <c r="EV457" i="49"/>
  <c r="EY263" i="49"/>
  <c r="AX179" i="46"/>
  <c r="EX263" i="49"/>
  <c r="AW179" i="46"/>
  <c r="EV263" i="49"/>
  <c r="EY188" i="49"/>
  <c r="AX265" i="46"/>
  <c r="EX188" i="49"/>
  <c r="AW265" i="46"/>
  <c r="EV188" i="49"/>
  <c r="EY293" i="49"/>
  <c r="AX331" i="46"/>
  <c r="EX293" i="49"/>
  <c r="AW331" i="46"/>
  <c r="EV293" i="49"/>
  <c r="EY285" i="49"/>
  <c r="AX276" i="46"/>
  <c r="EX285" i="49"/>
  <c r="AW276" i="46"/>
  <c r="EV285" i="49"/>
  <c r="EY205" i="49"/>
  <c r="EX205" i="49"/>
  <c r="EV205" i="49"/>
  <c r="EY54" i="49"/>
  <c r="AX77" i="46"/>
  <c r="EX54" i="49"/>
  <c r="AW77" i="46"/>
  <c r="EV54" i="49"/>
  <c r="EY427" i="49"/>
  <c r="AX496" i="46"/>
  <c r="EX427" i="49"/>
  <c r="AW496" i="46"/>
  <c r="EV427" i="49"/>
  <c r="EY63" i="49"/>
  <c r="AX94" i="46"/>
  <c r="EX63" i="49"/>
  <c r="AW94" i="46"/>
  <c r="EV63" i="49"/>
  <c r="EY424" i="49"/>
  <c r="AX487" i="46"/>
  <c r="EX424" i="49"/>
  <c r="AW487" i="46"/>
  <c r="EV424" i="49"/>
  <c r="EY346" i="49"/>
  <c r="AX211" i="46"/>
  <c r="EX346" i="49"/>
  <c r="AW211" i="46"/>
  <c r="EV346" i="49"/>
  <c r="EY30" i="49"/>
  <c r="AX26" i="46"/>
  <c r="EX30" i="49"/>
  <c r="AW26" i="46"/>
  <c r="EV30" i="49"/>
  <c r="EY21" i="49"/>
  <c r="AX38" i="46"/>
  <c r="EX21" i="49"/>
  <c r="AW38" i="46"/>
  <c r="EV21" i="49"/>
  <c r="EX472" i="49"/>
  <c r="AW538" i="46"/>
  <c r="EY472" i="49"/>
  <c r="AX538" i="46"/>
  <c r="EV472" i="49"/>
  <c r="EY172" i="49"/>
  <c r="AX196" i="46"/>
  <c r="EX172" i="49"/>
  <c r="AW196" i="46"/>
  <c r="EV172" i="49"/>
  <c r="EY398" i="49"/>
  <c r="AX432" i="46"/>
  <c r="EX398" i="49"/>
  <c r="AW432" i="46"/>
  <c r="EV398" i="49"/>
  <c r="EY135" i="49"/>
  <c r="AX251" i="46"/>
  <c r="EX135" i="49"/>
  <c r="AW251" i="46"/>
  <c r="EV135" i="49"/>
  <c r="EY404" i="49"/>
  <c r="AX484" i="46"/>
  <c r="EX404" i="49"/>
  <c r="AW484" i="46"/>
  <c r="EV404" i="49"/>
  <c r="EY50" i="49"/>
  <c r="AX65" i="46"/>
  <c r="EX50" i="49"/>
  <c r="AW65" i="46"/>
  <c r="EV50" i="49"/>
  <c r="EY450" i="49"/>
  <c r="AX536" i="46"/>
  <c r="EX450" i="49"/>
  <c r="AW536" i="46"/>
  <c r="EV450" i="49"/>
  <c r="EY304" i="49"/>
  <c r="AX185" i="46"/>
  <c r="EX304" i="49"/>
  <c r="AW185" i="46"/>
  <c r="EV304" i="49"/>
  <c r="EY239" i="49"/>
  <c r="EX239" i="49"/>
  <c r="EV239" i="49"/>
  <c r="EY51" i="49"/>
  <c r="AX47" i="46"/>
  <c r="EX51" i="49"/>
  <c r="AW47" i="46"/>
  <c r="EV51" i="49"/>
  <c r="EY251" i="49"/>
  <c r="AX267" i="46"/>
  <c r="EX251" i="49"/>
  <c r="AW267" i="46"/>
  <c r="EV251" i="49"/>
  <c r="EY221" i="49"/>
  <c r="AX335" i="46"/>
  <c r="EX221" i="49"/>
  <c r="AW335" i="46"/>
  <c r="EV221" i="49"/>
  <c r="EY154" i="49"/>
  <c r="AX235" i="46"/>
  <c r="EX154" i="49"/>
  <c r="AW235" i="46"/>
  <c r="EV154" i="49"/>
  <c r="EY143" i="49"/>
  <c r="AX228" i="46"/>
  <c r="EX143" i="49"/>
  <c r="AW228" i="46"/>
  <c r="EV143" i="49"/>
  <c r="EY240" i="49"/>
  <c r="AX238" i="46"/>
  <c r="EX240" i="49"/>
  <c r="AW238" i="46"/>
  <c r="EV240" i="49"/>
  <c r="EY66" i="49"/>
  <c r="AX88" i="46"/>
  <c r="EX66" i="49"/>
  <c r="AW88" i="46"/>
  <c r="EV66" i="49"/>
  <c r="EY372" i="49"/>
  <c r="AX446" i="46"/>
  <c r="EX372" i="49"/>
  <c r="AW446" i="46"/>
  <c r="EV372" i="49"/>
  <c r="EY358" i="49"/>
  <c r="AX414" i="46"/>
  <c r="EX358" i="49"/>
  <c r="AW414" i="46"/>
  <c r="EV358" i="49"/>
  <c r="EY326" i="49"/>
  <c r="AX375" i="46"/>
  <c r="EX326" i="49"/>
  <c r="AW375" i="46"/>
  <c r="EV326" i="49"/>
  <c r="EY287" i="49"/>
  <c r="AX184" i="46"/>
  <c r="EX287" i="49"/>
  <c r="AW184" i="46"/>
  <c r="EV287" i="49"/>
  <c r="EY349" i="49"/>
  <c r="AX419" i="46"/>
  <c r="EX349" i="49"/>
  <c r="AW419" i="46"/>
  <c r="EV349" i="49"/>
  <c r="EY161" i="49"/>
  <c r="AX355" i="46"/>
  <c r="EX161" i="49"/>
  <c r="AW355" i="46"/>
  <c r="EV161" i="49"/>
  <c r="EY31" i="49"/>
  <c r="AX39" i="46"/>
  <c r="EX31" i="49"/>
  <c r="AW39" i="46"/>
  <c r="EV31" i="49"/>
  <c r="EY22" i="49"/>
  <c r="AX24" i="46"/>
  <c r="EX22" i="49"/>
  <c r="AW24" i="46"/>
  <c r="EV22" i="49"/>
  <c r="EY406" i="49"/>
  <c r="AX475" i="46"/>
  <c r="EX406" i="49"/>
  <c r="AW475" i="46"/>
  <c r="EV406" i="49"/>
  <c r="EY486" i="49"/>
  <c r="AX572" i="46"/>
  <c r="EX486" i="49"/>
  <c r="AW572" i="46"/>
  <c r="EV486" i="49"/>
  <c r="EY165" i="49"/>
  <c r="AX292" i="46"/>
  <c r="EX165" i="49"/>
  <c r="AW292" i="46"/>
  <c r="EV165" i="49"/>
  <c r="EY64" i="49"/>
  <c r="AX91" i="46"/>
  <c r="EX64" i="49"/>
  <c r="AW91" i="46"/>
  <c r="EV64" i="49"/>
  <c r="EY378" i="49"/>
  <c r="AX443" i="46"/>
  <c r="EX378" i="49"/>
  <c r="AW443" i="46"/>
  <c r="EV378" i="49"/>
  <c r="EY187" i="49"/>
  <c r="AX264" i="46"/>
  <c r="EX187" i="49"/>
  <c r="AW264" i="46"/>
  <c r="EV187" i="49"/>
  <c r="EY48" i="49"/>
  <c r="AX53" i="46"/>
  <c r="EX48" i="49"/>
  <c r="AW53" i="46"/>
  <c r="EV48" i="49"/>
  <c r="EY391" i="49"/>
  <c r="AX460" i="46"/>
  <c r="EX391" i="49"/>
  <c r="AW460" i="46"/>
  <c r="EV391" i="49"/>
  <c r="EY168" i="49"/>
  <c r="AX287" i="46"/>
  <c r="EX168" i="49"/>
  <c r="AW287" i="46"/>
  <c r="EV168" i="49"/>
  <c r="EY218" i="49"/>
  <c r="AX352" i="46"/>
  <c r="EX218" i="49"/>
  <c r="AW352" i="46"/>
  <c r="EV218" i="49"/>
  <c r="EY133" i="49"/>
  <c r="AX242" i="46"/>
  <c r="EX133" i="49"/>
  <c r="AW242" i="46"/>
  <c r="EV133" i="49"/>
  <c r="EY55" i="49"/>
  <c r="AX78" i="46"/>
  <c r="EX55" i="49"/>
  <c r="AW78" i="46"/>
  <c r="EV55" i="49"/>
  <c r="EY140" i="49"/>
  <c r="AX215" i="46"/>
  <c r="EX140" i="49"/>
  <c r="AW215" i="46"/>
  <c r="EV140" i="49"/>
  <c r="EY112" i="49"/>
  <c r="AX139" i="46"/>
  <c r="EX112" i="49"/>
  <c r="AW139" i="46"/>
  <c r="EV112" i="49"/>
  <c r="EY136" i="49"/>
  <c r="AX342" i="46"/>
  <c r="EX136" i="49"/>
  <c r="AW342" i="46"/>
  <c r="EV136" i="49"/>
  <c r="EY138" i="49"/>
  <c r="AX290" i="46"/>
  <c r="EX138" i="49"/>
  <c r="AW290" i="46"/>
  <c r="EV138" i="49"/>
  <c r="EY302" i="49"/>
  <c r="AX303" i="46"/>
  <c r="EX302" i="49"/>
  <c r="AW303" i="46"/>
  <c r="EV302" i="49"/>
  <c r="EY253" i="49"/>
  <c r="AX284" i="46"/>
  <c r="EX253" i="49"/>
  <c r="AW284" i="46"/>
  <c r="EV253" i="49"/>
  <c r="EX345" i="49"/>
  <c r="AW399" i="46"/>
  <c r="EY345" i="49"/>
  <c r="AX399" i="46"/>
  <c r="EV345" i="49"/>
  <c r="EY77" i="49"/>
  <c r="AX172" i="46"/>
  <c r="EX77" i="49"/>
  <c r="AW172" i="46"/>
  <c r="EV77" i="49"/>
  <c r="EY72" i="49"/>
  <c r="AX100" i="46"/>
  <c r="EX72" i="49"/>
  <c r="AW100" i="46"/>
  <c r="EV72" i="49"/>
  <c r="EY337" i="49"/>
  <c r="AX396" i="46"/>
  <c r="EX337" i="49"/>
  <c r="AW396" i="46"/>
  <c r="EV337" i="49"/>
  <c r="EY468" i="49"/>
  <c r="AX540" i="46"/>
  <c r="EX468" i="49"/>
  <c r="AW540" i="46"/>
  <c r="EV468" i="49"/>
  <c r="EY370" i="49"/>
  <c r="AX435" i="46"/>
  <c r="EX370" i="49"/>
  <c r="AW435" i="46"/>
  <c r="EV370" i="49"/>
  <c r="EX466" i="49"/>
  <c r="AW543" i="46"/>
  <c r="EY466" i="49"/>
  <c r="AX543" i="46"/>
  <c r="EV466" i="49"/>
  <c r="EY210" i="49"/>
  <c r="AX332" i="46"/>
  <c r="EX210" i="49"/>
  <c r="AW332" i="46"/>
  <c r="EV210" i="49"/>
  <c r="EY400" i="49"/>
  <c r="AX444" i="46"/>
  <c r="EX400" i="49"/>
  <c r="AW444" i="46"/>
  <c r="EV400" i="49"/>
  <c r="EY419" i="49"/>
  <c r="AX468" i="46"/>
  <c r="EX419" i="49"/>
  <c r="AW468" i="46"/>
  <c r="EV419" i="49"/>
  <c r="EY13" i="49"/>
  <c r="AX8" i="46"/>
  <c r="EX13" i="49"/>
  <c r="AW8" i="46"/>
  <c r="EV13" i="49"/>
  <c r="EY236" i="49"/>
  <c r="AX191" i="46"/>
  <c r="EX236" i="49"/>
  <c r="AW191" i="46"/>
  <c r="EV236" i="49"/>
  <c r="EY420" i="49"/>
  <c r="AX478" i="46"/>
  <c r="EX420" i="49"/>
  <c r="AW478" i="46"/>
  <c r="EV420" i="49"/>
  <c r="EY340" i="49"/>
  <c r="AX394" i="46"/>
  <c r="EX340" i="49"/>
  <c r="AW394" i="46"/>
  <c r="EV340" i="49"/>
  <c r="EX482" i="49"/>
  <c r="AW565" i="46"/>
  <c r="EY482" i="49"/>
  <c r="AX565" i="46"/>
  <c r="EV482" i="49"/>
  <c r="EY27" i="49"/>
  <c r="AX32" i="46"/>
  <c r="EX27" i="49"/>
  <c r="AW32" i="46"/>
  <c r="EV27" i="49"/>
  <c r="EY44" i="49"/>
  <c r="AX55" i="46"/>
  <c r="EX44" i="49"/>
  <c r="AW55" i="46"/>
  <c r="EV44" i="49"/>
  <c r="EY334" i="49"/>
  <c r="AX386" i="46"/>
  <c r="EX334" i="49"/>
  <c r="AW386" i="46"/>
  <c r="EV334" i="49"/>
  <c r="EY71" i="49"/>
  <c r="AX93" i="46"/>
  <c r="EX71" i="49"/>
  <c r="AW93" i="46"/>
  <c r="EV71" i="49"/>
  <c r="EY252" i="49"/>
  <c r="AX304" i="46"/>
  <c r="EX252" i="49"/>
  <c r="AW304" i="46"/>
  <c r="EV252" i="49"/>
  <c r="EY242" i="49"/>
  <c r="AX195" i="46"/>
  <c r="EX242" i="49"/>
  <c r="AW195" i="46"/>
  <c r="EV242" i="49"/>
  <c r="EY484" i="49"/>
  <c r="AX568" i="46"/>
  <c r="EX484" i="49"/>
  <c r="AW568" i="46"/>
  <c r="EV484" i="49"/>
  <c r="EY423" i="49"/>
  <c r="AX486" i="46"/>
  <c r="EX423" i="49"/>
  <c r="AW486" i="46"/>
  <c r="EV423" i="49"/>
  <c r="EY305" i="49"/>
  <c r="AX250" i="46"/>
  <c r="EX305" i="49"/>
  <c r="AW250" i="46"/>
  <c r="EV305" i="49"/>
  <c r="EY176" i="49"/>
  <c r="AX492" i="46"/>
  <c r="EX176" i="49"/>
  <c r="AW492" i="46"/>
  <c r="EV176" i="49"/>
  <c r="EY23" i="49"/>
  <c r="AX23" i="46"/>
  <c r="EX23" i="49"/>
  <c r="AW23" i="46"/>
  <c r="EV23" i="49"/>
  <c r="EY327" i="49"/>
  <c r="AX379" i="46"/>
  <c r="EX327" i="49"/>
  <c r="AW379" i="46"/>
  <c r="EV327" i="49"/>
  <c r="EY273" i="49"/>
  <c r="AX233" i="46"/>
  <c r="EX273" i="49"/>
  <c r="AW233" i="46"/>
  <c r="EV273" i="49"/>
  <c r="EY461" i="49"/>
  <c r="AX545" i="46"/>
  <c r="EX461" i="49"/>
  <c r="AW545" i="46"/>
  <c r="EV461" i="49"/>
  <c r="EY254" i="49"/>
  <c r="AX307" i="46"/>
  <c r="EX254" i="49"/>
  <c r="AW307" i="46"/>
  <c r="EV254" i="49"/>
  <c r="EY35" i="49"/>
  <c r="AX28" i="46"/>
  <c r="EX35" i="49"/>
  <c r="AW28" i="46"/>
  <c r="EV35" i="49"/>
  <c r="EY42" i="49"/>
  <c r="AX56" i="46"/>
  <c r="EX42" i="49"/>
  <c r="AW56" i="46"/>
  <c r="EV42" i="49"/>
  <c r="EY149" i="49"/>
  <c r="AX271" i="46"/>
  <c r="EX149" i="49"/>
  <c r="AW271" i="46"/>
  <c r="EV149" i="49"/>
  <c r="EX439" i="49"/>
  <c r="AW534" i="46"/>
  <c r="EY439" i="49"/>
  <c r="AX534" i="46"/>
  <c r="EV439" i="49"/>
  <c r="EY418" i="49"/>
  <c r="AX472" i="46"/>
  <c r="EX418" i="49"/>
  <c r="AW472" i="46"/>
  <c r="EV418" i="49"/>
  <c r="EY260" i="49"/>
  <c r="AX291" i="46"/>
  <c r="EX260" i="49"/>
  <c r="AW291" i="46"/>
  <c r="EV260" i="49"/>
  <c r="EY217" i="49"/>
  <c r="AX274" i="46"/>
  <c r="EX217" i="49"/>
  <c r="AW274" i="46"/>
  <c r="EV217" i="49"/>
  <c r="EY114" i="49"/>
  <c r="AX146" i="46"/>
  <c r="EX114" i="49"/>
  <c r="AW146" i="46"/>
  <c r="EV114" i="49"/>
  <c r="EY248" i="49"/>
  <c r="AX300" i="46"/>
  <c r="EX248" i="49"/>
  <c r="AW300" i="46"/>
  <c r="EV248" i="49"/>
  <c r="EY86" i="49"/>
  <c r="AX165" i="46"/>
  <c r="EX86" i="49"/>
  <c r="AW165" i="46"/>
  <c r="EV86" i="49"/>
  <c r="EY382" i="49"/>
  <c r="AX423" i="46"/>
  <c r="EX382" i="49"/>
  <c r="AW423" i="46"/>
  <c r="EV382" i="49"/>
  <c r="EY128" i="49"/>
  <c r="AX168" i="46"/>
  <c r="EX128" i="49"/>
  <c r="AW168" i="46"/>
  <c r="EV128" i="49"/>
  <c r="EY353" i="49"/>
  <c r="AX418" i="46"/>
  <c r="EX353" i="49"/>
  <c r="AW418" i="46"/>
  <c r="EV353" i="49"/>
  <c r="EY396" i="49"/>
  <c r="AX427" i="46"/>
  <c r="EX396" i="49"/>
  <c r="AW427" i="46"/>
  <c r="EV396" i="49"/>
  <c r="EY413" i="49"/>
  <c r="AX482" i="46"/>
  <c r="EX413" i="49"/>
  <c r="AW482" i="46"/>
  <c r="EV413" i="49"/>
  <c r="EY297" i="49"/>
  <c r="AX230" i="46"/>
  <c r="EX297" i="49"/>
  <c r="AW230" i="46"/>
  <c r="EV297" i="49"/>
  <c r="EY375" i="49"/>
  <c r="AX436" i="46"/>
  <c r="EX375" i="49"/>
  <c r="AW436" i="46"/>
  <c r="EV375" i="49"/>
  <c r="EY104" i="49"/>
  <c r="AX136" i="46"/>
  <c r="EX104" i="49"/>
  <c r="AW136" i="46"/>
  <c r="EV104" i="49"/>
  <c r="EY292" i="49"/>
  <c r="AX213" i="46"/>
  <c r="EX292" i="49"/>
  <c r="AW213" i="46"/>
  <c r="EV292" i="49"/>
  <c r="EY146" i="49"/>
  <c r="AX194" i="46"/>
  <c r="EX146" i="49"/>
  <c r="AW194" i="46"/>
  <c r="EV146" i="49"/>
  <c r="EY493" i="49"/>
  <c r="AX111" i="46"/>
  <c r="EX493" i="49"/>
  <c r="AW111" i="46"/>
  <c r="EV493" i="49"/>
  <c r="EY81" i="49"/>
  <c r="AX169" i="46"/>
  <c r="EX81" i="49"/>
  <c r="AW169" i="46"/>
  <c r="EV81" i="49"/>
  <c r="EY97" i="49"/>
  <c r="AX120" i="46"/>
  <c r="EX97" i="49"/>
  <c r="AW120" i="46"/>
  <c r="EV97" i="49"/>
  <c r="EY90" i="49"/>
  <c r="AX171" i="46"/>
  <c r="EX90" i="49"/>
  <c r="AW171" i="46"/>
  <c r="EV90" i="49"/>
  <c r="EY449" i="49"/>
  <c r="AX518" i="46"/>
  <c r="EX449" i="49"/>
  <c r="AW518" i="46"/>
  <c r="EV449" i="49"/>
  <c r="EX476" i="49"/>
  <c r="AW567" i="46"/>
  <c r="EY476" i="49"/>
  <c r="AX567" i="46"/>
  <c r="EV476" i="49"/>
  <c r="EY225" i="49"/>
  <c r="AX207" i="46"/>
  <c r="EX225" i="49"/>
  <c r="AW207" i="46"/>
  <c r="EV225" i="49"/>
  <c r="EY274" i="49"/>
  <c r="AX234" i="46"/>
  <c r="EX274" i="49"/>
  <c r="AW234" i="46"/>
  <c r="EV274" i="49"/>
  <c r="EY224" i="49"/>
  <c r="AX247" i="46"/>
  <c r="EX224" i="49"/>
  <c r="AW247" i="46"/>
  <c r="EV224" i="49"/>
  <c r="EY202" i="49"/>
  <c r="AX237" i="46"/>
  <c r="EX202" i="49"/>
  <c r="AW237" i="46"/>
  <c r="EV202" i="49"/>
  <c r="EY290" i="49"/>
  <c r="AX281" i="46"/>
  <c r="EX290" i="49"/>
  <c r="AW281" i="46"/>
  <c r="EV290" i="49"/>
  <c r="EY211" i="49"/>
  <c r="AX283" i="46"/>
  <c r="EX211" i="49"/>
  <c r="AW283" i="46"/>
  <c r="EV211" i="49"/>
  <c r="EY257" i="49"/>
  <c r="AX217" i="46"/>
  <c r="EX257" i="49"/>
  <c r="AW217" i="46"/>
  <c r="EV257" i="49"/>
  <c r="EY262" i="49"/>
  <c r="AX316" i="46"/>
  <c r="EX262" i="49"/>
  <c r="AW316" i="46"/>
  <c r="EV262" i="49"/>
  <c r="EY320" i="49"/>
  <c r="AX361" i="46"/>
  <c r="EX320" i="49"/>
  <c r="AW361" i="46"/>
  <c r="EV320" i="49"/>
  <c r="EY447" i="49"/>
  <c r="AX533" i="46"/>
  <c r="EX447" i="49"/>
  <c r="AW533" i="46"/>
  <c r="EV447" i="49"/>
  <c r="EY20" i="49"/>
  <c r="AX37" i="46"/>
  <c r="EX20" i="49"/>
  <c r="AW37" i="46"/>
  <c r="EV20" i="49"/>
  <c r="EX496" i="49"/>
  <c r="AW578" i="46"/>
  <c r="EY496" i="49"/>
  <c r="AX578" i="46"/>
  <c r="EV496" i="49"/>
  <c r="EY363" i="49"/>
  <c r="AX421" i="46"/>
  <c r="EX363" i="49"/>
  <c r="AW421" i="46"/>
  <c r="EV363" i="49"/>
  <c r="EY198" i="49"/>
  <c r="AX341" i="46"/>
  <c r="EX198" i="49"/>
  <c r="AW341" i="46"/>
  <c r="EV198" i="49"/>
  <c r="EY463" i="49"/>
  <c r="AX553" i="46"/>
  <c r="EX463" i="49"/>
  <c r="AW553" i="46"/>
  <c r="EV463" i="49"/>
  <c r="EY324" i="49"/>
  <c r="AX367" i="46"/>
  <c r="EX324" i="49"/>
  <c r="AW367" i="46"/>
  <c r="EV324" i="49"/>
  <c r="EY238" i="49"/>
  <c r="AX243" i="46"/>
  <c r="EX238" i="49"/>
  <c r="AW243" i="46"/>
  <c r="EV238" i="49"/>
  <c r="EY422" i="49"/>
  <c r="AX488" i="46"/>
  <c r="EX422" i="49"/>
  <c r="AW488" i="46"/>
  <c r="EV422" i="49"/>
  <c r="EX464" i="49"/>
  <c r="AW546" i="46"/>
  <c r="EY464" i="49"/>
  <c r="AX546" i="46"/>
  <c r="EV464" i="49"/>
  <c r="EY241" i="49"/>
  <c r="AX272" i="46"/>
  <c r="EX241" i="49"/>
  <c r="AW272" i="46"/>
  <c r="EV241" i="49"/>
  <c r="EY490" i="49"/>
  <c r="AX112" i="46"/>
  <c r="EX490" i="49"/>
  <c r="AW112" i="46"/>
  <c r="EV490" i="49"/>
  <c r="EY276" i="49"/>
  <c r="AX269" i="46"/>
  <c r="EX276" i="49"/>
  <c r="AW269" i="46"/>
  <c r="EV276" i="49"/>
  <c r="EY18" i="49"/>
  <c r="AX36" i="46"/>
  <c r="EX18" i="49"/>
  <c r="AW36" i="46"/>
  <c r="EV18" i="49"/>
  <c r="EY171" i="49"/>
  <c r="AX190" i="46"/>
  <c r="EX171" i="49"/>
  <c r="AW190" i="46"/>
  <c r="EV171" i="49"/>
  <c r="EY470" i="49"/>
  <c r="AX548" i="46"/>
  <c r="EX470" i="49"/>
  <c r="AW548" i="46"/>
  <c r="EV470" i="49"/>
  <c r="EY270" i="49"/>
  <c r="AX239" i="46"/>
  <c r="EX270" i="49"/>
  <c r="AW239" i="46"/>
  <c r="EV270" i="49"/>
  <c r="EY96" i="49"/>
  <c r="AX173" i="46"/>
  <c r="EX96" i="49"/>
  <c r="AW173" i="46"/>
  <c r="EV96" i="49"/>
  <c r="EY458" i="49"/>
  <c r="AX524" i="46"/>
  <c r="EX458" i="49"/>
  <c r="AW524" i="46"/>
  <c r="EV458" i="49"/>
  <c r="EY67" i="49"/>
  <c r="AX89" i="46"/>
  <c r="EX67" i="49"/>
  <c r="AW89" i="46"/>
  <c r="EV67" i="49"/>
  <c r="EY215" i="49"/>
  <c r="AX223" i="46"/>
  <c r="EX215" i="49"/>
  <c r="AW223" i="46"/>
  <c r="EV215" i="49"/>
  <c r="EY416" i="49"/>
  <c r="AX476" i="46"/>
  <c r="EX416" i="49"/>
  <c r="AW476" i="46"/>
  <c r="EV416" i="49"/>
  <c r="EY208" i="49"/>
  <c r="AX210" i="46"/>
  <c r="EX208" i="49"/>
  <c r="AW210" i="46"/>
  <c r="EV208" i="49"/>
  <c r="EY246" i="49"/>
  <c r="AX268" i="46"/>
  <c r="EX246" i="49"/>
  <c r="AW268" i="46"/>
  <c r="EV246" i="49"/>
  <c r="EY384" i="49"/>
  <c r="AX429" i="46"/>
  <c r="EX384" i="49"/>
  <c r="AW429" i="46"/>
  <c r="EV384" i="49"/>
  <c r="EY123" i="49"/>
  <c r="AX152" i="46"/>
  <c r="EX123" i="49"/>
  <c r="AW152" i="46"/>
  <c r="EV123" i="49"/>
  <c r="EY359" i="49"/>
  <c r="AX410" i="46"/>
  <c r="EX359" i="49"/>
  <c r="AW410" i="46"/>
  <c r="EV359" i="49"/>
  <c r="EY16" i="49"/>
  <c r="AX6" i="46"/>
  <c r="EX16" i="49"/>
  <c r="AW6" i="46"/>
  <c r="EV16" i="49"/>
  <c r="EY455" i="49"/>
  <c r="AX519" i="46"/>
  <c r="EX455" i="49"/>
  <c r="AW519" i="46"/>
  <c r="EV455" i="49"/>
  <c r="EY331" i="49"/>
  <c r="AX378" i="46"/>
  <c r="EX331" i="49"/>
  <c r="AW378" i="46"/>
  <c r="EV331" i="49"/>
  <c r="EY167" i="49"/>
  <c r="AX294" i="46"/>
  <c r="EX167" i="49"/>
  <c r="AW294" i="46"/>
  <c r="EV167" i="49"/>
  <c r="EY281" i="49"/>
  <c r="AX310" i="46"/>
  <c r="EX281" i="49"/>
  <c r="AW310" i="46"/>
  <c r="EV281" i="49"/>
  <c r="EY32" i="49"/>
  <c r="AX27" i="46"/>
  <c r="EX32" i="49"/>
  <c r="AW27" i="46"/>
  <c r="EV32" i="49"/>
  <c r="EY275" i="49"/>
  <c r="AX339" i="46"/>
  <c r="EX275" i="49"/>
  <c r="AW339" i="46"/>
  <c r="EV275" i="49"/>
  <c r="EY178" i="49"/>
  <c r="AX257" i="46"/>
  <c r="EX178" i="49"/>
  <c r="AW257" i="46"/>
  <c r="EV178" i="49"/>
  <c r="EY80" i="49"/>
  <c r="AX125" i="46"/>
  <c r="EX80" i="49"/>
  <c r="AW125" i="46"/>
  <c r="EV80" i="49"/>
  <c r="EY365" i="49"/>
  <c r="AX457" i="46"/>
  <c r="EX365" i="49"/>
  <c r="AW457" i="46"/>
  <c r="EV365" i="49"/>
  <c r="EY6" i="49"/>
  <c r="AX9" i="46"/>
  <c r="EX6" i="49"/>
  <c r="AW9" i="46"/>
  <c r="EV6" i="49"/>
  <c r="EY338" i="49"/>
  <c r="AX387" i="46"/>
  <c r="EX338" i="49"/>
  <c r="AW387" i="46"/>
  <c r="EV338" i="49"/>
  <c r="EY191" i="49"/>
  <c r="AX202" i="46"/>
  <c r="EX191" i="49"/>
  <c r="AW202" i="46"/>
  <c r="EV191" i="49"/>
  <c r="EY223" i="49"/>
  <c r="AX246" i="46"/>
  <c r="EX223" i="49"/>
  <c r="AW246" i="46"/>
  <c r="EV223" i="49"/>
  <c r="EY156" i="49"/>
  <c r="AX221" i="46"/>
  <c r="EX156" i="49"/>
  <c r="AW221" i="46"/>
  <c r="EV156" i="49"/>
  <c r="EY234" i="49"/>
  <c r="AX178" i="46"/>
  <c r="EX234" i="49"/>
  <c r="AW178" i="46"/>
  <c r="EV234" i="49"/>
  <c r="EY308" i="49"/>
  <c r="AX197" i="46"/>
  <c r="EX308" i="49"/>
  <c r="AW197" i="46"/>
  <c r="EV308" i="49"/>
  <c r="EY347" i="49"/>
  <c r="AX400" i="46"/>
  <c r="EX347" i="49"/>
  <c r="AW400" i="46"/>
  <c r="EV347" i="49"/>
  <c r="EY397" i="49"/>
  <c r="AX438" i="46"/>
  <c r="EX397" i="49"/>
  <c r="AW438" i="46"/>
  <c r="EV397" i="49"/>
  <c r="EY173" i="49"/>
  <c r="AX220" i="46"/>
  <c r="EX173" i="49"/>
  <c r="AW220" i="46"/>
  <c r="EV173" i="49"/>
  <c r="EY355" i="49"/>
  <c r="AX407" i="46"/>
  <c r="EX355" i="49"/>
  <c r="AW407" i="46"/>
  <c r="EV355" i="49"/>
  <c r="EY228" i="49"/>
  <c r="AX297" i="46"/>
  <c r="EX228" i="49"/>
  <c r="AW297" i="46"/>
  <c r="EV228" i="49"/>
  <c r="EY381" i="49"/>
  <c r="AX450" i="46"/>
  <c r="EX381" i="49"/>
  <c r="AW450" i="46"/>
  <c r="EV381" i="49"/>
  <c r="EY162" i="49"/>
  <c r="AX350" i="46"/>
  <c r="EX162" i="49"/>
  <c r="AW350" i="46"/>
  <c r="EV162" i="49"/>
  <c r="EY160" i="49"/>
  <c r="AX353" i="46"/>
  <c r="EX160" i="49"/>
  <c r="AW353" i="46"/>
  <c r="EV160" i="49"/>
  <c r="EY265" i="49"/>
  <c r="AX244" i="46"/>
  <c r="EX265" i="49"/>
  <c r="AW244" i="46"/>
  <c r="EV265" i="49"/>
  <c r="EY300" i="49"/>
  <c r="AX219" i="46"/>
  <c r="EX300" i="49"/>
  <c r="AW219" i="46"/>
  <c r="EV300" i="49"/>
  <c r="EY139" i="49"/>
  <c r="AX340" i="46"/>
  <c r="EX139" i="49"/>
  <c r="AW340" i="46"/>
  <c r="EV139" i="49"/>
  <c r="EY394" i="49"/>
  <c r="AX453" i="46"/>
  <c r="EX394" i="49"/>
  <c r="AW453" i="46"/>
  <c r="EV394" i="49"/>
  <c r="EY227" i="49"/>
  <c r="AX338" i="46"/>
  <c r="EX227" i="49"/>
  <c r="AW338" i="46"/>
  <c r="EV227" i="49"/>
  <c r="EX443" i="49"/>
  <c r="AW531" i="46"/>
  <c r="EY443" i="49"/>
  <c r="AX531" i="46"/>
  <c r="EV443" i="49"/>
  <c r="EY106" i="49"/>
  <c r="AX133" i="46"/>
  <c r="EX106" i="49"/>
  <c r="AW133" i="46"/>
  <c r="EV106" i="49"/>
  <c r="EY68" i="49"/>
  <c r="AX86" i="46"/>
  <c r="EX68" i="49"/>
  <c r="AW86" i="46"/>
  <c r="EV68" i="49"/>
  <c r="EY380" i="49"/>
  <c r="AX428" i="46"/>
  <c r="EX380" i="49"/>
  <c r="AW428" i="46"/>
  <c r="EV380" i="49"/>
  <c r="EY409" i="49"/>
  <c r="AX480" i="46"/>
  <c r="EX409" i="49"/>
  <c r="AW480" i="46"/>
  <c r="EV409" i="49"/>
  <c r="EY303" i="49"/>
  <c r="AX295" i="46"/>
  <c r="EX303" i="49"/>
  <c r="AW295" i="46"/>
  <c r="EV303" i="49"/>
  <c r="EY373" i="49"/>
  <c r="AX441" i="46"/>
  <c r="EX373" i="49"/>
  <c r="AW441" i="46"/>
  <c r="EV373" i="49"/>
  <c r="EY436" i="49"/>
  <c r="AX505" i="46"/>
  <c r="EX436" i="49"/>
  <c r="AW505" i="46"/>
  <c r="EV436" i="49"/>
  <c r="EY256" i="49"/>
  <c r="AX306" i="46"/>
  <c r="EX256" i="49"/>
  <c r="AW306" i="46"/>
  <c r="EV256" i="49"/>
  <c r="EY288" i="49"/>
  <c r="AX280" i="46"/>
  <c r="EX288" i="49"/>
  <c r="AW280" i="46"/>
  <c r="EV288" i="49"/>
  <c r="EY134" i="49"/>
  <c r="AX225" i="46"/>
  <c r="EX134" i="49"/>
  <c r="AW225" i="46"/>
  <c r="EV134" i="49"/>
  <c r="EY120" i="49"/>
  <c r="AX142" i="46"/>
  <c r="EX120" i="49"/>
  <c r="AW142" i="46"/>
  <c r="EV120" i="49"/>
  <c r="EY73" i="49"/>
  <c r="AX103" i="46"/>
  <c r="EX73" i="49"/>
  <c r="AW103" i="46"/>
  <c r="EV73" i="49"/>
  <c r="EY117" i="49"/>
  <c r="AX124" i="46"/>
  <c r="EX117" i="49"/>
  <c r="AW124" i="46"/>
  <c r="EV117" i="49"/>
  <c r="EY87" i="49"/>
  <c r="AX130" i="46"/>
  <c r="EX87" i="49"/>
  <c r="AW130" i="46"/>
  <c r="EV87" i="49"/>
  <c r="EY385" i="49"/>
  <c r="AX461" i="46"/>
  <c r="EX385" i="49"/>
  <c r="AW461" i="46"/>
  <c r="EV385" i="49"/>
  <c r="EY59" i="49"/>
  <c r="AX71" i="46"/>
  <c r="EX59" i="49"/>
  <c r="AW71" i="46"/>
  <c r="EV59" i="49"/>
  <c r="EY230" i="49"/>
  <c r="AX240" i="46"/>
  <c r="EX230" i="49"/>
  <c r="AW240" i="46"/>
  <c r="EV230" i="49"/>
  <c r="EY14" i="49"/>
  <c r="AX16" i="46"/>
  <c r="EX14" i="49"/>
  <c r="AW16" i="46"/>
  <c r="EV14" i="49"/>
  <c r="EY197" i="49"/>
  <c r="AX323" i="46"/>
  <c r="EX197" i="49"/>
  <c r="AW323" i="46"/>
  <c r="EV197" i="49"/>
  <c r="EY19" i="49"/>
  <c r="AX35" i="46"/>
  <c r="EX19" i="49"/>
  <c r="AW35" i="46"/>
  <c r="EV19" i="49"/>
  <c r="EY291" i="49"/>
  <c r="AX188" i="46"/>
  <c r="EX291" i="49"/>
  <c r="AW188" i="46"/>
  <c r="EV291" i="49"/>
  <c r="EY431" i="49"/>
  <c r="AX508" i="46"/>
  <c r="EX431" i="49"/>
  <c r="AW508" i="46"/>
  <c r="EV431" i="49"/>
  <c r="EY127" i="49"/>
  <c r="AX161" i="46"/>
  <c r="EX127" i="49"/>
  <c r="AW161" i="46"/>
  <c r="EV127" i="49"/>
  <c r="EY412" i="49"/>
  <c r="AX473" i="46"/>
  <c r="EX412" i="49"/>
  <c r="AW473" i="46"/>
  <c r="EV412" i="49"/>
  <c r="EY261" i="49"/>
  <c r="AX245" i="46"/>
  <c r="EX261" i="49"/>
  <c r="AW245" i="46"/>
  <c r="EV261" i="49"/>
  <c r="EY85" i="49"/>
  <c r="AX170" i="46"/>
  <c r="EX85" i="49"/>
  <c r="AW170" i="46"/>
  <c r="EV85" i="49"/>
  <c r="EY312" i="49"/>
  <c r="AX278" i="46"/>
  <c r="EX312" i="49"/>
  <c r="AW278" i="46"/>
  <c r="EV312" i="49"/>
  <c r="EY92" i="49"/>
  <c r="AX121" i="46"/>
  <c r="EX92" i="49"/>
  <c r="AW121" i="46"/>
  <c r="EV92" i="49"/>
  <c r="EY414" i="49"/>
  <c r="AX485" i="46"/>
  <c r="EX414" i="49"/>
  <c r="AW485" i="46"/>
  <c r="EV414" i="49"/>
  <c r="EY116" i="49"/>
  <c r="AX122" i="46"/>
  <c r="EX116" i="49"/>
  <c r="AW122" i="46"/>
  <c r="EV116" i="49"/>
  <c r="EY369" i="49"/>
  <c r="AX431" i="46"/>
  <c r="EX369" i="49"/>
  <c r="AW431" i="46"/>
  <c r="EV369" i="49"/>
  <c r="EY196" i="49"/>
  <c r="AX216" i="46"/>
  <c r="EX196" i="49"/>
  <c r="AW216" i="46"/>
  <c r="EV196" i="49"/>
  <c r="EY53" i="49"/>
  <c r="AX63" i="46"/>
  <c r="EX53" i="49"/>
  <c r="AW63" i="46"/>
  <c r="EV53" i="49"/>
  <c r="EY7" i="49"/>
  <c r="AX14" i="46"/>
  <c r="EX7" i="49"/>
  <c r="AW14" i="46"/>
  <c r="EV7" i="49"/>
  <c r="EY243" i="49"/>
  <c r="AX349" i="46"/>
  <c r="EX243" i="49"/>
  <c r="AW349" i="46"/>
  <c r="EV243" i="49"/>
  <c r="EY185" i="49"/>
  <c r="AX253" i="46"/>
  <c r="EX185" i="49"/>
  <c r="AW253" i="46"/>
  <c r="EV185" i="49"/>
  <c r="EY318" i="49"/>
  <c r="AX363" i="46"/>
  <c r="EX318" i="49"/>
  <c r="AW363" i="46"/>
  <c r="EV318" i="49"/>
  <c r="EY440" i="49"/>
  <c r="AX529" i="46"/>
  <c r="EX440" i="49"/>
  <c r="AW529" i="46"/>
  <c r="EV440" i="49"/>
  <c r="EY101" i="49"/>
  <c r="AX148" i="46"/>
  <c r="EX101" i="49"/>
  <c r="AW148" i="46"/>
  <c r="EV101" i="49"/>
  <c r="EY25" i="49"/>
  <c r="AX40" i="46"/>
  <c r="EX25" i="49"/>
  <c r="AW40" i="46"/>
  <c r="EV25" i="49"/>
  <c r="EY366" i="49"/>
  <c r="AX433" i="46"/>
  <c r="EX366" i="49"/>
  <c r="AW433" i="46"/>
  <c r="EV366" i="49"/>
  <c r="EY286" i="49"/>
  <c r="AX181" i="46"/>
  <c r="EX286" i="49"/>
  <c r="AW181" i="46"/>
  <c r="EV286" i="49"/>
  <c r="EY492" i="49"/>
  <c r="AX109" i="46"/>
  <c r="EX492" i="49"/>
  <c r="AW109" i="46"/>
  <c r="EV492" i="49"/>
  <c r="EY93" i="49"/>
  <c r="AX174" i="46"/>
  <c r="EX93" i="49"/>
  <c r="AW174" i="46"/>
  <c r="EV93" i="49"/>
  <c r="EY342" i="49"/>
  <c r="AX393" i="46"/>
  <c r="EX342" i="49"/>
  <c r="AW393" i="46"/>
  <c r="EV342" i="49"/>
  <c r="EY399" i="49"/>
  <c r="AX426" i="46"/>
  <c r="EX399" i="49"/>
  <c r="AW426" i="46"/>
  <c r="EV399" i="49"/>
  <c r="EY301" i="49"/>
  <c r="AX302" i="46"/>
  <c r="EX301" i="49"/>
  <c r="AW302" i="46"/>
  <c r="EV301" i="49"/>
  <c r="EY341" i="49"/>
  <c r="AX388" i="46"/>
  <c r="EX341" i="49"/>
  <c r="AW388" i="46"/>
  <c r="EV341" i="49"/>
  <c r="EY60" i="49"/>
  <c r="AX74" i="46"/>
  <c r="EX60" i="49"/>
  <c r="AW74" i="46"/>
  <c r="EV60" i="49"/>
  <c r="EY415" i="49"/>
  <c r="AX474" i="46"/>
  <c r="EX415" i="49"/>
  <c r="AW474" i="46"/>
  <c r="EV415" i="49"/>
  <c r="EY5" i="49"/>
  <c r="EX5" i="49"/>
  <c r="EV5" i="49"/>
  <c r="EU500" i="49"/>
  <c r="EU2" i="49"/>
  <c r="EY271" i="49"/>
  <c r="AX313" i="46"/>
  <c r="EX271" i="49"/>
  <c r="AW313" i="46"/>
  <c r="EV271" i="49"/>
  <c r="EY201" i="49"/>
  <c r="AX305" i="46"/>
  <c r="EX201" i="49"/>
  <c r="AW305" i="46"/>
  <c r="EV201" i="49"/>
  <c r="EY335" i="49"/>
  <c r="AX391" i="46"/>
  <c r="EX335" i="49"/>
  <c r="AW391" i="46"/>
  <c r="EV335" i="49"/>
  <c r="EY402" i="49"/>
  <c r="AX430" i="46"/>
  <c r="EX402" i="49"/>
  <c r="AW430" i="46"/>
  <c r="EV402" i="49"/>
  <c r="EY432" i="49"/>
  <c r="AX507" i="46"/>
  <c r="EX432" i="49"/>
  <c r="AW507" i="46"/>
  <c r="EV432" i="49"/>
  <c r="EY76" i="49"/>
  <c r="AX298" i="46"/>
  <c r="EX76" i="49"/>
  <c r="AW298" i="46"/>
  <c r="EV76" i="49"/>
  <c r="EY111" i="49"/>
  <c r="AX141" i="46"/>
  <c r="EX111" i="49"/>
  <c r="AW141" i="46"/>
  <c r="EV111" i="49"/>
  <c r="EY469" i="49"/>
  <c r="AX549" i="46"/>
  <c r="EX469" i="49"/>
  <c r="AW549" i="46"/>
  <c r="EV469" i="49"/>
  <c r="EY8" i="49"/>
  <c r="AX11" i="46"/>
  <c r="EX8" i="49"/>
  <c r="AW11" i="46"/>
  <c r="EV8" i="49"/>
  <c r="EY477" i="49"/>
  <c r="AX564" i="46"/>
  <c r="EX477" i="49"/>
  <c r="AW564" i="46"/>
  <c r="EV477" i="49"/>
  <c r="EY119" i="49"/>
  <c r="AX134" i="46"/>
  <c r="EX119" i="49"/>
  <c r="AW134" i="46"/>
  <c r="EV119" i="49"/>
  <c r="EY95" i="49"/>
  <c r="AX129" i="46"/>
  <c r="EX95" i="49"/>
  <c r="AW129" i="46"/>
  <c r="EV95" i="49"/>
  <c r="EY61" i="49"/>
  <c r="AX72" i="46"/>
  <c r="EX61" i="49"/>
  <c r="AW72" i="46"/>
  <c r="EV61" i="49"/>
  <c r="EY184" i="49"/>
  <c r="AX259" i="46"/>
  <c r="EX184" i="49"/>
  <c r="AW259" i="46"/>
  <c r="EV184" i="49"/>
  <c r="EX360" i="49"/>
  <c r="EY360" i="49"/>
  <c r="EV360" i="49"/>
  <c r="EY433" i="49"/>
  <c r="AX506" i="46"/>
  <c r="EX433" i="49"/>
  <c r="AW506" i="46"/>
  <c r="EV433" i="49"/>
  <c r="EY88" i="49"/>
  <c r="AX149" i="46"/>
  <c r="EX88" i="49"/>
  <c r="AW149" i="46"/>
  <c r="EV88" i="49"/>
  <c r="EY315" i="49"/>
  <c r="AX366" i="46"/>
  <c r="EX315" i="49"/>
  <c r="AW366" i="46"/>
  <c r="EV315" i="49"/>
  <c r="EY306" i="49"/>
  <c r="AX204" i="46"/>
  <c r="EX306" i="49"/>
  <c r="AW204" i="46"/>
  <c r="EV306" i="49"/>
  <c r="EX460" i="49"/>
  <c r="AW530" i="46"/>
  <c r="EY460" i="49"/>
  <c r="AX530" i="46"/>
  <c r="EV460" i="49"/>
  <c r="EY299" i="49"/>
  <c r="AX346" i="46"/>
  <c r="EX299" i="49"/>
  <c r="AW346" i="46"/>
  <c r="EV299" i="49"/>
  <c r="EY348" i="49"/>
  <c r="AX447" i="46"/>
  <c r="EX348" i="49"/>
  <c r="AW447" i="46"/>
  <c r="EV348" i="49"/>
  <c r="EY368" i="49"/>
  <c r="AX455" i="46"/>
  <c r="EX368" i="49"/>
  <c r="AW455" i="46"/>
  <c r="EV368" i="49"/>
  <c r="EY235" i="49"/>
  <c r="AX236" i="46"/>
  <c r="EX235" i="49"/>
  <c r="AW236" i="46"/>
  <c r="EV235" i="49"/>
  <c r="EY70" i="49"/>
  <c r="AX92" i="46"/>
  <c r="EX70" i="49"/>
  <c r="AW92" i="46"/>
  <c r="EV70" i="49"/>
  <c r="EY429" i="49"/>
  <c r="AX493" i="46"/>
  <c r="EX429" i="49"/>
  <c r="AW493" i="46"/>
  <c r="EV429" i="49"/>
  <c r="EY498" i="49"/>
  <c r="AX580" i="46"/>
  <c r="EX498" i="49"/>
  <c r="AW580" i="46"/>
  <c r="EV498" i="49"/>
  <c r="EY169" i="49"/>
  <c r="AX327" i="46"/>
  <c r="EX169" i="49"/>
  <c r="AW327" i="46"/>
  <c r="EV169" i="49"/>
  <c r="EY401" i="49"/>
  <c r="AX449" i="46"/>
  <c r="EX401" i="49"/>
  <c r="AW449" i="46"/>
  <c r="EV401" i="49"/>
  <c r="EY295" i="49"/>
  <c r="AX180" i="46"/>
  <c r="EX295" i="49"/>
  <c r="AW180" i="46"/>
  <c r="EV295" i="49"/>
  <c r="EY289" i="49"/>
  <c r="AX187" i="46"/>
  <c r="EX289" i="49"/>
  <c r="AW187" i="46"/>
  <c r="EV289" i="49"/>
  <c r="EY448" i="49"/>
  <c r="AX537" i="46"/>
  <c r="EX448" i="49"/>
  <c r="AW537" i="46"/>
  <c r="EV448" i="49"/>
  <c r="EY122" i="49"/>
  <c r="AX155" i="46"/>
  <c r="EX122" i="49"/>
  <c r="AW155" i="46"/>
  <c r="EV122" i="49"/>
  <c r="EY333" i="49"/>
  <c r="AX390" i="46"/>
  <c r="EX333" i="49"/>
  <c r="AW390" i="46"/>
  <c r="EV333" i="49"/>
  <c r="EY307" i="49"/>
  <c r="AX203" i="46"/>
  <c r="EX307" i="49"/>
  <c r="AW203" i="46"/>
  <c r="EV307" i="49"/>
  <c r="EY132" i="49"/>
  <c r="AX285" i="46"/>
  <c r="EX132" i="49"/>
  <c r="AW285" i="46"/>
  <c r="EV132" i="49"/>
  <c r="EY329" i="49"/>
  <c r="AX380" i="46"/>
  <c r="EX329" i="49"/>
  <c r="AW380" i="46"/>
  <c r="EV329" i="49"/>
  <c r="EY311" i="49"/>
  <c r="AX218" i="46"/>
  <c r="EX311" i="49"/>
  <c r="AW218" i="46"/>
  <c r="EV311" i="49"/>
  <c r="EY247" i="49"/>
  <c r="AX231" i="46"/>
  <c r="EX247" i="49"/>
  <c r="AW231" i="46"/>
  <c r="EV247" i="49"/>
  <c r="EY282" i="49"/>
  <c r="AX282" i="46"/>
  <c r="EX282" i="49"/>
  <c r="AW282" i="46"/>
  <c r="EV282" i="49"/>
  <c r="EY343" i="49"/>
  <c r="AX392" i="46"/>
  <c r="EX343" i="49"/>
  <c r="AW392" i="46"/>
  <c r="EV343" i="49"/>
  <c r="EY147" i="49"/>
  <c r="AX334" i="46"/>
  <c r="EX147" i="49"/>
  <c r="AW334" i="46"/>
  <c r="EV147" i="49"/>
  <c r="EY411" i="49"/>
  <c r="AX481" i="46"/>
  <c r="EX411" i="49"/>
  <c r="AW481" i="46"/>
  <c r="EV411" i="49"/>
  <c r="EY371" i="49"/>
  <c r="AX451" i="46"/>
  <c r="EX371" i="49"/>
  <c r="AW451" i="46"/>
  <c r="EV371" i="49"/>
  <c r="EX480" i="49"/>
  <c r="AW561" i="46"/>
  <c r="EY480" i="49"/>
  <c r="AX561" i="46"/>
  <c r="EV480" i="49"/>
  <c r="EY403" i="49"/>
  <c r="AX497" i="46"/>
  <c r="EX403" i="49"/>
  <c r="AW497" i="46"/>
  <c r="EV403" i="49"/>
  <c r="EY323" i="49"/>
  <c r="AX370" i="46"/>
  <c r="EX323" i="49"/>
  <c r="AW370" i="46"/>
  <c r="EV323" i="49"/>
  <c r="EY445" i="49"/>
  <c r="AX521" i="46"/>
  <c r="EX445" i="49"/>
  <c r="AW521" i="46"/>
  <c r="EV445" i="49"/>
  <c r="EY107" i="49"/>
  <c r="AX131" i="46"/>
  <c r="EX107" i="49"/>
  <c r="AW131" i="46"/>
  <c r="EV107" i="49"/>
  <c r="EY479" i="49"/>
  <c r="AX560" i="46"/>
  <c r="EX479" i="49"/>
  <c r="AW560" i="46"/>
  <c r="EV479" i="49"/>
  <c r="EX487" i="49"/>
  <c r="AW571" i="46"/>
  <c r="EY487" i="49"/>
  <c r="AX571" i="46"/>
  <c r="EV487" i="49"/>
  <c r="EY9" i="49"/>
  <c r="AX10" i="46"/>
  <c r="EX9" i="49"/>
  <c r="AW10" i="46"/>
  <c r="EV9" i="49"/>
  <c r="EY182" i="49"/>
  <c r="AX214" i="46"/>
  <c r="EX182" i="49"/>
  <c r="AW214" i="46"/>
  <c r="EV182" i="49"/>
  <c r="EY131" i="49"/>
  <c r="AX147" i="46"/>
  <c r="EX131" i="49"/>
  <c r="AW147" i="46"/>
  <c r="EV131" i="49"/>
  <c r="EY189" i="49"/>
  <c r="AX330" i="46"/>
  <c r="EX189" i="49"/>
  <c r="AW330" i="46"/>
  <c r="EV189" i="49"/>
  <c r="EY222" i="49"/>
  <c r="AX176" i="46"/>
  <c r="EX222" i="49"/>
  <c r="AW176" i="46"/>
  <c r="EV222" i="49"/>
  <c r="EY129" i="49"/>
  <c r="AX156" i="46"/>
  <c r="EX129" i="49"/>
  <c r="AW156" i="46"/>
  <c r="EV129" i="49"/>
  <c r="EY430" i="49"/>
  <c r="AX495" i="46"/>
  <c r="EX430" i="49"/>
  <c r="AW495" i="46"/>
  <c r="EV430" i="49"/>
  <c r="EY279" i="49"/>
  <c r="AX324" i="46"/>
  <c r="EX279" i="49"/>
  <c r="AW324" i="46"/>
  <c r="EV279" i="49"/>
  <c r="EY473" i="49"/>
  <c r="AX552" i="46"/>
  <c r="EX473" i="49"/>
  <c r="AW552" i="46"/>
  <c r="EV473" i="49"/>
  <c r="EY38" i="49"/>
  <c r="AX45" i="46"/>
  <c r="EX38" i="49"/>
  <c r="AW45" i="46"/>
  <c r="EV38" i="49"/>
  <c r="EY446" i="49"/>
  <c r="AX528" i="46"/>
  <c r="EX446" i="49"/>
  <c r="AW528" i="46"/>
  <c r="EV446" i="49"/>
  <c r="EY100" i="49"/>
  <c r="AX154" i="46"/>
  <c r="EX100" i="49"/>
  <c r="AW154" i="46"/>
  <c r="EV100" i="49"/>
  <c r="EY376" i="49"/>
  <c r="AX462" i="46"/>
  <c r="EX376" i="49"/>
  <c r="AW462" i="46"/>
  <c r="EV376" i="49"/>
  <c r="EY296" i="49"/>
  <c r="AX286" i="46"/>
  <c r="EX296" i="49"/>
  <c r="AW286" i="46"/>
  <c r="EV296" i="49"/>
  <c r="EY105" i="49"/>
  <c r="AX150" i="46"/>
  <c r="EX105" i="49"/>
  <c r="AW150" i="46"/>
  <c r="EV105" i="49"/>
  <c r="EY195" i="49"/>
  <c r="AX347" i="46"/>
  <c r="EX195" i="49"/>
  <c r="AW347" i="46"/>
  <c r="EV195" i="49"/>
  <c r="EY339" i="49"/>
  <c r="AX395" i="46"/>
  <c r="EX339" i="49"/>
  <c r="AW395" i="46"/>
  <c r="EV339" i="49"/>
  <c r="EY102" i="49"/>
  <c r="AX163" i="46"/>
  <c r="EX102" i="49"/>
  <c r="AW163" i="46"/>
  <c r="EV102" i="49"/>
  <c r="EY435" i="49"/>
  <c r="AX503" i="46"/>
  <c r="EX435" i="49"/>
  <c r="AW503" i="46"/>
  <c r="EV435" i="49"/>
  <c r="EY250" i="49"/>
  <c r="AX208" i="46"/>
  <c r="EX250" i="49"/>
  <c r="AW208" i="46"/>
  <c r="EV250" i="49"/>
  <c r="EY361" i="49"/>
  <c r="AX420" i="46"/>
  <c r="EX361" i="49"/>
  <c r="AW420" i="46"/>
  <c r="EV361" i="49"/>
  <c r="EY152" i="49"/>
  <c r="AX424" i="46"/>
  <c r="EX152" i="49"/>
  <c r="AW424" i="46"/>
  <c r="EV152" i="49"/>
  <c r="EY175" i="49"/>
  <c r="AX186" i="46"/>
  <c r="EX175" i="49"/>
  <c r="AW186" i="46"/>
  <c r="EV175" i="49"/>
  <c r="EY41" i="49"/>
  <c r="AX59" i="46"/>
  <c r="EX41" i="49"/>
  <c r="AW59" i="46"/>
  <c r="EV41" i="49"/>
  <c r="EY98" i="49"/>
  <c r="AX144" i="46"/>
  <c r="EX98" i="49"/>
  <c r="AW144" i="46"/>
  <c r="EV98" i="49"/>
  <c r="EY49" i="49"/>
  <c r="AX64" i="46"/>
  <c r="EX49" i="49"/>
  <c r="AW64" i="46"/>
  <c r="EV49" i="49"/>
  <c r="EY159" i="49"/>
  <c r="AX309" i="46"/>
  <c r="EX159" i="49"/>
  <c r="AW309" i="46"/>
  <c r="EV159" i="49"/>
  <c r="EY179" i="49"/>
  <c r="AX261" i="46"/>
  <c r="EX179" i="49"/>
  <c r="AW261" i="46"/>
  <c r="EV179" i="49"/>
  <c r="EY28" i="49"/>
  <c r="AX42" i="46"/>
  <c r="EX28" i="49"/>
  <c r="AW42" i="46"/>
  <c r="EV28" i="49"/>
  <c r="EY421" i="49"/>
  <c r="AX470" i="46"/>
  <c r="EX421" i="49"/>
  <c r="AW470" i="46"/>
  <c r="EV421" i="49"/>
  <c r="EY194" i="49"/>
  <c r="AX263" i="46"/>
  <c r="EX194" i="49"/>
  <c r="AW263" i="46"/>
  <c r="EV194" i="49"/>
  <c r="EY367" i="49"/>
  <c r="AX454" i="46"/>
  <c r="EX367" i="49"/>
  <c r="AW454" i="46"/>
  <c r="EV367" i="49"/>
  <c r="EY266" i="49"/>
  <c r="AX314" i="46"/>
  <c r="EX266" i="49"/>
  <c r="AW314" i="46"/>
  <c r="EV266" i="49"/>
  <c r="EY99" i="49"/>
  <c r="AX127" i="46"/>
  <c r="EX99" i="49"/>
  <c r="AW127" i="46"/>
  <c r="EV99" i="49"/>
  <c r="EY150" i="49"/>
  <c r="AX317" i="46"/>
  <c r="EX150" i="49"/>
  <c r="AW317" i="46"/>
  <c r="EV150" i="49"/>
  <c r="EY425" i="49"/>
  <c r="AX490" i="46"/>
  <c r="EX425" i="49"/>
  <c r="AW490" i="46"/>
  <c r="EV425" i="49"/>
  <c r="EX453" i="49"/>
  <c r="AW527" i="46"/>
  <c r="EY453" i="49"/>
  <c r="AX527" i="46"/>
  <c r="EV453" i="49"/>
  <c r="EY364" i="49"/>
  <c r="AX409" i="46"/>
  <c r="EX364" i="49"/>
  <c r="AW409" i="46"/>
  <c r="EV364" i="49"/>
  <c r="EY69" i="49"/>
  <c r="AX87" i="46"/>
  <c r="EX69" i="49"/>
  <c r="AW87" i="46"/>
  <c r="EV69" i="49"/>
  <c r="EY298" i="49"/>
  <c r="AX205" i="46"/>
  <c r="EX298" i="49"/>
  <c r="AW205" i="46"/>
  <c r="EV298" i="49"/>
  <c r="EY206" i="49"/>
  <c r="AX325" i="46"/>
  <c r="EX206" i="49"/>
  <c r="AW325" i="46"/>
  <c r="EV206" i="49"/>
  <c r="EY233" i="49"/>
  <c r="AX328" i="46"/>
  <c r="EX233" i="49"/>
  <c r="AW328" i="46"/>
  <c r="EV233" i="49"/>
  <c r="EY74" i="49"/>
  <c r="AX102" i="46"/>
  <c r="EX74" i="49"/>
  <c r="AW102" i="46"/>
  <c r="EV74" i="49"/>
  <c r="EY405" i="49"/>
  <c r="AX471" i="46"/>
  <c r="EX405" i="49"/>
  <c r="AW471" i="46"/>
  <c r="EV405" i="49"/>
  <c r="EY62" i="49"/>
  <c r="AX80" i="46"/>
  <c r="EX62" i="49"/>
  <c r="AW80" i="46"/>
  <c r="EV62" i="49"/>
  <c r="EY109" i="49"/>
  <c r="AX160" i="46"/>
  <c r="EX109" i="49"/>
  <c r="AW160" i="46"/>
  <c r="EV109" i="49"/>
  <c r="EY130" i="49"/>
  <c r="AX153" i="46"/>
  <c r="EX130" i="49"/>
  <c r="AW153" i="46"/>
  <c r="EV130" i="49"/>
  <c r="EY392" i="49"/>
  <c r="AX437" i="46"/>
  <c r="EX392" i="49"/>
  <c r="AW437" i="46"/>
  <c r="EV392" i="49"/>
  <c r="EY164" i="49"/>
  <c r="AX241" i="46"/>
  <c r="EX164" i="49"/>
  <c r="AW241" i="46"/>
  <c r="EV164" i="49"/>
  <c r="EY58" i="49"/>
  <c r="AX73" i="46"/>
  <c r="EX58" i="49"/>
  <c r="AW73" i="46"/>
  <c r="EV58" i="49"/>
  <c r="EY151" i="49"/>
  <c r="AX270" i="46"/>
  <c r="EX151" i="49"/>
  <c r="AW270" i="46"/>
  <c r="EV151" i="49"/>
  <c r="EY148" i="49"/>
  <c r="AX289" i="46"/>
  <c r="EX148" i="49"/>
  <c r="AW289" i="46"/>
  <c r="EV148" i="49"/>
  <c r="EY193" i="49"/>
  <c r="AX199" i="46"/>
  <c r="EX193" i="49"/>
  <c r="AW199" i="46"/>
  <c r="EV193" i="49"/>
  <c r="EY126" i="49"/>
  <c r="AX138" i="46"/>
  <c r="EX126" i="49"/>
  <c r="AW138" i="46"/>
  <c r="EV126" i="49"/>
  <c r="EY181" i="49"/>
  <c r="AX260" i="46"/>
  <c r="EX181" i="49"/>
  <c r="AW260" i="46"/>
  <c r="EV181" i="49"/>
  <c r="EY395" i="49"/>
  <c r="AX456" i="46"/>
  <c r="EX395" i="49"/>
  <c r="AW456" i="46"/>
  <c r="EV395" i="49"/>
  <c r="EY267" i="49"/>
  <c r="AX301" i="46"/>
  <c r="EX267" i="49"/>
  <c r="AW301" i="46"/>
  <c r="EV267" i="49"/>
  <c r="EY379" i="49"/>
  <c r="AX445" i="46"/>
  <c r="EX379" i="49"/>
  <c r="AW445" i="46"/>
  <c r="EV379" i="49"/>
  <c r="EY158" i="49"/>
  <c r="AX354" i="46"/>
  <c r="EX158" i="49"/>
  <c r="AW354" i="46"/>
  <c r="EV158" i="49"/>
  <c r="EY56" i="49"/>
  <c r="AX76" i="46"/>
  <c r="EX56" i="49"/>
  <c r="AW76" i="46"/>
  <c r="EV56" i="49"/>
  <c r="EY199" i="49"/>
  <c r="AX266" i="46"/>
  <c r="EX199" i="49"/>
  <c r="AW266" i="46"/>
  <c r="EV199" i="49"/>
  <c r="EY141" i="49"/>
  <c r="AX296" i="46"/>
  <c r="EX141" i="49"/>
  <c r="AW296" i="46"/>
  <c r="EV141" i="49"/>
  <c r="EY357" i="49"/>
  <c r="AX415" i="46"/>
  <c r="EX357" i="49"/>
  <c r="AW415" i="46"/>
  <c r="EV357" i="49"/>
  <c r="EY471" i="49"/>
  <c r="AX544" i="46"/>
  <c r="EX471" i="49"/>
  <c r="AW544" i="46"/>
  <c r="EV471" i="49"/>
  <c r="EY389" i="49"/>
  <c r="AX452" i="46"/>
  <c r="EX389" i="49"/>
  <c r="AW452" i="46"/>
  <c r="EV389" i="49"/>
  <c r="EY478" i="49"/>
  <c r="AX566" i="46"/>
  <c r="EX478" i="49"/>
  <c r="AW566" i="46"/>
  <c r="EV478" i="49"/>
  <c r="EY78" i="49"/>
  <c r="AX128" i="46"/>
  <c r="EX78" i="49"/>
  <c r="AW128" i="46"/>
  <c r="EV78" i="49"/>
  <c r="EY362" i="49"/>
  <c r="AX408" i="46"/>
  <c r="EX362" i="49"/>
  <c r="AW408" i="46"/>
  <c r="EV362" i="49"/>
  <c r="EY220" i="49"/>
  <c r="AX299" i="46"/>
  <c r="EX220" i="49"/>
  <c r="AW299" i="46"/>
  <c r="EV220" i="49"/>
  <c r="EY272" i="49"/>
  <c r="AX333" i="46"/>
  <c r="EX272" i="49"/>
  <c r="AW333" i="46"/>
  <c r="EV272" i="49"/>
  <c r="EY259" i="49"/>
  <c r="AX322" i="46"/>
  <c r="EX259" i="49"/>
  <c r="AW322" i="46"/>
  <c r="EV259" i="49"/>
  <c r="EY79" i="49"/>
  <c r="AX166" i="46"/>
  <c r="EX79" i="49"/>
  <c r="AW166" i="46"/>
  <c r="EV79" i="49"/>
  <c r="EY354" i="49"/>
  <c r="AX411" i="46"/>
  <c r="EX354" i="49"/>
  <c r="AW411" i="46"/>
  <c r="EV354" i="49"/>
  <c r="ET500" i="49"/>
  <c r="AW376" i="46"/>
  <c r="AW377" i="46"/>
  <c r="AX376" i="46"/>
  <c r="AX377" i="46"/>
  <c r="AX321" i="46"/>
  <c r="AX320" i="46"/>
  <c r="AX319" i="46"/>
  <c r="AW321" i="46"/>
  <c r="AW320" i="46"/>
  <c r="AW319" i="46"/>
  <c r="AW117" i="46"/>
  <c r="AW513" i="46"/>
  <c r="AX318" i="46"/>
  <c r="AW318" i="46"/>
  <c r="AX513" i="46"/>
  <c r="AX575" i="46"/>
  <c r="AX83" i="46"/>
  <c r="AX106" i="46"/>
  <c r="AW50" i="46"/>
  <c r="EV500" i="49"/>
  <c r="EV2" i="49"/>
  <c r="AW97" i="46"/>
  <c r="AW465" i="46"/>
  <c r="AW19" i="46"/>
  <c r="AW383" i="46"/>
  <c r="AW68" i="46"/>
  <c r="AX50" i="46"/>
  <c r="AW198" i="46"/>
  <c r="EX500" i="49"/>
  <c r="EX2" i="49"/>
  <c r="AX97" i="46"/>
  <c r="AX465" i="46"/>
  <c r="AX19" i="46"/>
  <c r="AX383" i="46"/>
  <c r="AW403" i="46"/>
  <c r="AW500" i="46"/>
  <c r="AX68" i="46"/>
  <c r="AW557" i="46"/>
  <c r="AW575" i="46"/>
  <c r="AX198" i="46"/>
  <c r="EY500" i="49"/>
  <c r="EY2" i="49"/>
  <c r="AX117" i="46"/>
  <c r="AW83" i="46"/>
  <c r="AX403" i="46"/>
  <c r="AX500" i="46"/>
  <c r="AW106" i="46"/>
  <c r="AX557" i="46"/>
  <c r="AW358" i="46"/>
  <c r="AW582" i="46"/>
  <c r="AX358" i="46"/>
  <c r="AX582" i="46"/>
  <c r="AY319" i="46"/>
  <c r="AZ319" i="46"/>
  <c r="AY377" i="46"/>
  <c r="AZ377" i="46"/>
  <c r="BA319" i="46"/>
  <c r="BB319" i="46"/>
  <c r="AY320" i="46"/>
  <c r="AZ320" i="46"/>
  <c r="AY43" i="46"/>
  <c r="AZ43" i="46"/>
  <c r="AY79" i="46"/>
  <c r="AZ79" i="46"/>
  <c r="AY509" i="46"/>
  <c r="AZ509" i="46"/>
  <c r="AY61" i="46"/>
  <c r="AZ61" i="46"/>
  <c r="AY397" i="46"/>
  <c r="AZ397" i="46"/>
  <c r="AY406" i="46"/>
  <c r="AY422" i="46"/>
  <c r="AZ422" i="46"/>
  <c r="AY175" i="46"/>
  <c r="AZ175" i="46"/>
  <c r="AX2" i="46"/>
  <c r="AY153" i="46"/>
  <c r="AZ153" i="46"/>
  <c r="AY87" i="46"/>
  <c r="AZ87" i="46"/>
  <c r="AY263" i="46"/>
  <c r="AZ263" i="46"/>
  <c r="AY186" i="46"/>
  <c r="AZ186" i="46"/>
  <c r="AY334" i="46"/>
  <c r="AZ334" i="46"/>
  <c r="AY493" i="46"/>
  <c r="AZ493" i="46"/>
  <c r="AY305" i="46"/>
  <c r="AZ305" i="46"/>
  <c r="AY174" i="46"/>
  <c r="AZ174" i="46"/>
  <c r="AY253" i="46"/>
  <c r="AZ253" i="46"/>
  <c r="AY121" i="46"/>
  <c r="AZ121" i="46"/>
  <c r="AY35" i="46"/>
  <c r="AZ35" i="46"/>
  <c r="AY306" i="46"/>
  <c r="AZ306" i="46"/>
  <c r="AY438" i="46"/>
  <c r="AZ438" i="46"/>
  <c r="AY9" i="46"/>
  <c r="AZ9" i="46"/>
  <c r="AY111" i="46"/>
  <c r="AZ111" i="46"/>
  <c r="AY215" i="46"/>
  <c r="AZ215" i="46"/>
  <c r="AY443" i="46"/>
  <c r="AZ443" i="46"/>
  <c r="AY484" i="46"/>
  <c r="AZ484" i="46"/>
  <c r="AY54" i="46"/>
  <c r="AZ54" i="46"/>
  <c r="AY177" i="46"/>
  <c r="AZ177" i="46"/>
  <c r="AY132" i="46"/>
  <c r="AZ132" i="46"/>
  <c r="AY550" i="46"/>
  <c r="AZ550" i="46"/>
  <c r="AY326" i="46"/>
  <c r="AZ326" i="46"/>
  <c r="AY135" i="46"/>
  <c r="AZ135" i="46"/>
  <c r="AY434" i="46"/>
  <c r="AZ434" i="46"/>
  <c r="AY374" i="46"/>
  <c r="AZ374" i="46"/>
  <c r="AY254" i="46"/>
  <c r="AZ254" i="46"/>
  <c r="AY544" i="46"/>
  <c r="AZ544" i="46"/>
  <c r="AY208" i="46"/>
  <c r="AZ208" i="46"/>
  <c r="AY393" i="46"/>
  <c r="AZ393" i="46"/>
  <c r="AY363" i="46"/>
  <c r="AZ363" i="46"/>
  <c r="AY485" i="46"/>
  <c r="AZ485" i="46"/>
  <c r="AY188" i="46"/>
  <c r="AZ188" i="46"/>
  <c r="AY124" i="46"/>
  <c r="AZ124" i="46"/>
  <c r="AY178" i="46"/>
  <c r="AZ178" i="46"/>
  <c r="AY257" i="46"/>
  <c r="AZ257" i="46"/>
  <c r="AY210" i="46"/>
  <c r="AZ210" i="46"/>
  <c r="AY291" i="46"/>
  <c r="AZ291" i="46"/>
  <c r="AY233" i="46"/>
  <c r="AZ233" i="46"/>
  <c r="AY304" i="46"/>
  <c r="AZ304" i="46"/>
  <c r="AY396" i="46"/>
  <c r="AZ396" i="46"/>
  <c r="AY352" i="46"/>
  <c r="AZ352" i="46"/>
  <c r="AY572" i="46"/>
  <c r="AZ572" i="46"/>
  <c r="AY414" i="46"/>
  <c r="AZ414" i="46"/>
  <c r="AY47" i="46"/>
  <c r="AZ47" i="46"/>
  <c r="AY196" i="46"/>
  <c r="AZ196" i="46"/>
  <c r="AY77" i="46"/>
  <c r="AZ77" i="46"/>
  <c r="AY337" i="46"/>
  <c r="AZ337" i="46"/>
  <c r="AY25" i="46"/>
  <c r="AZ25" i="46"/>
  <c r="AY193" i="46"/>
  <c r="AZ193" i="46"/>
  <c r="AY159" i="46"/>
  <c r="AZ159" i="46"/>
  <c r="AY13" i="46"/>
  <c r="AZ13" i="46"/>
  <c r="AY22" i="46"/>
  <c r="AY200" i="46"/>
  <c r="AZ200" i="46"/>
  <c r="AY411" i="46"/>
  <c r="AZ411" i="46"/>
  <c r="AY241" i="46"/>
  <c r="AZ241" i="46"/>
  <c r="AY451" i="46"/>
  <c r="AZ451" i="46"/>
  <c r="AY285" i="46"/>
  <c r="AZ285" i="46"/>
  <c r="AY6" i="46"/>
  <c r="AY89" i="46"/>
  <c r="AZ89" i="46"/>
  <c r="AY112" i="46"/>
  <c r="AZ112" i="46"/>
  <c r="AY213" i="46"/>
  <c r="AZ213" i="46"/>
  <c r="AY534" i="46"/>
  <c r="AZ534" i="46"/>
  <c r="AY545" i="46"/>
  <c r="AZ545" i="46"/>
  <c r="AY195" i="46"/>
  <c r="AZ195" i="46"/>
  <c r="AY55" i="46"/>
  <c r="AZ55" i="46"/>
  <c r="AY444" i="46"/>
  <c r="AZ444" i="46"/>
  <c r="AY432" i="46"/>
  <c r="AZ432" i="46"/>
  <c r="AY496" i="46"/>
  <c r="AZ496" i="46"/>
  <c r="AY412" i="46"/>
  <c r="AZ412" i="46"/>
  <c r="AY183" i="46"/>
  <c r="AZ183" i="46"/>
  <c r="AY469" i="46"/>
  <c r="AZ469" i="46"/>
  <c r="AY34" i="46"/>
  <c r="AZ34" i="46"/>
  <c r="AY311" i="46"/>
  <c r="AZ311" i="46"/>
  <c r="AY526" i="46"/>
  <c r="AZ526" i="46"/>
  <c r="AY293" i="46"/>
  <c r="AZ293" i="46"/>
  <c r="AY425" i="46"/>
  <c r="AZ425" i="46"/>
  <c r="AY143" i="46"/>
  <c r="AZ143" i="46"/>
  <c r="AY255" i="46"/>
  <c r="AZ255" i="46"/>
  <c r="AY101" i="46"/>
  <c r="AZ101" i="46"/>
  <c r="AY333" i="46"/>
  <c r="AZ333" i="46"/>
  <c r="AY296" i="46"/>
  <c r="AZ296" i="46"/>
  <c r="AY138" i="46"/>
  <c r="AZ138" i="46"/>
  <c r="AY160" i="46"/>
  <c r="AZ160" i="46"/>
  <c r="AY470" i="46"/>
  <c r="AZ470" i="46"/>
  <c r="AY424" i="46"/>
  <c r="AZ424" i="46"/>
  <c r="AY286" i="46"/>
  <c r="AZ286" i="46"/>
  <c r="AY156" i="46"/>
  <c r="AZ156" i="46"/>
  <c r="AY392" i="46"/>
  <c r="AZ392" i="46"/>
  <c r="AY148" i="46"/>
  <c r="AZ148" i="46"/>
  <c r="AY431" i="46"/>
  <c r="AZ431" i="46"/>
  <c r="AY161" i="46"/>
  <c r="AZ161" i="46"/>
  <c r="AY338" i="46"/>
  <c r="AZ338" i="46"/>
  <c r="AY297" i="46"/>
  <c r="AZ297" i="46"/>
  <c r="AY239" i="46"/>
  <c r="AZ239" i="46"/>
  <c r="AY290" i="46"/>
  <c r="AZ290" i="46"/>
  <c r="AY88" i="46"/>
  <c r="AZ88" i="46"/>
  <c r="AY94" i="46"/>
  <c r="AZ94" i="46"/>
  <c r="AY62" i="46"/>
  <c r="AZ62" i="46"/>
  <c r="AY417" i="46"/>
  <c r="AZ417" i="46"/>
  <c r="AY308" i="46"/>
  <c r="AZ308" i="46"/>
  <c r="AY362" i="46"/>
  <c r="AZ362" i="46"/>
  <c r="AY46" i="46"/>
  <c r="AZ46" i="46"/>
  <c r="AY415" i="46"/>
  <c r="AZ415" i="46"/>
  <c r="AY260" i="46"/>
  <c r="AZ260" i="46"/>
  <c r="AY150" i="46"/>
  <c r="AZ150" i="46"/>
  <c r="AY495" i="46"/>
  <c r="AZ495" i="46"/>
  <c r="AY571" i="46"/>
  <c r="AZ571" i="46"/>
  <c r="AY560" i="46"/>
  <c r="AY390" i="46"/>
  <c r="AZ390" i="46"/>
  <c r="AY366" i="46"/>
  <c r="AZ366" i="46"/>
  <c r="AY564" i="46"/>
  <c r="AZ564" i="46"/>
  <c r="AY103" i="46"/>
  <c r="AZ103" i="46"/>
  <c r="AY480" i="46"/>
  <c r="AZ480" i="46"/>
  <c r="AY450" i="46"/>
  <c r="AZ450" i="46"/>
  <c r="AY339" i="46"/>
  <c r="AZ339" i="46"/>
  <c r="AY152" i="46"/>
  <c r="AZ152" i="46"/>
  <c r="AY173" i="46"/>
  <c r="AZ173" i="46"/>
  <c r="AY553" i="46"/>
  <c r="AZ553" i="46"/>
  <c r="AY37" i="46"/>
  <c r="AZ37" i="46"/>
  <c r="AY300" i="46"/>
  <c r="AZ300" i="46"/>
  <c r="AY28" i="46"/>
  <c r="AZ28" i="46"/>
  <c r="AY486" i="46"/>
  <c r="AZ486" i="46"/>
  <c r="AY8" i="46"/>
  <c r="AZ8" i="46"/>
  <c r="AY100" i="46"/>
  <c r="AY419" i="46"/>
  <c r="AZ419" i="46"/>
  <c r="AY235" i="46"/>
  <c r="AZ235" i="46"/>
  <c r="AY321" i="46"/>
  <c r="AZ321" i="46"/>
  <c r="AY539" i="46"/>
  <c r="AZ539" i="46"/>
  <c r="AY365" i="46"/>
  <c r="AZ365" i="46"/>
  <c r="AY442" i="46"/>
  <c r="AZ442" i="46"/>
  <c r="AY494" i="46"/>
  <c r="AZ494" i="46"/>
  <c r="AY525" i="46"/>
  <c r="AZ525" i="46"/>
  <c r="AY477" i="46"/>
  <c r="AZ477" i="46"/>
  <c r="AY145" i="46"/>
  <c r="AZ145" i="46"/>
  <c r="AY522" i="46"/>
  <c r="AZ522" i="46"/>
  <c r="AY15" i="46"/>
  <c r="AZ15" i="46"/>
  <c r="AY408" i="46"/>
  <c r="AZ408" i="46"/>
  <c r="AY76" i="46"/>
  <c r="AZ76" i="46"/>
  <c r="AY471" i="46"/>
  <c r="AZ471" i="46"/>
  <c r="AY527" i="46"/>
  <c r="AZ527" i="46"/>
  <c r="AY454" i="46"/>
  <c r="AZ454" i="46"/>
  <c r="AY59" i="46"/>
  <c r="AZ59" i="46"/>
  <c r="AY347" i="46"/>
  <c r="AZ347" i="46"/>
  <c r="AY324" i="46"/>
  <c r="AZ324" i="46"/>
  <c r="AY187" i="46"/>
  <c r="AZ187" i="46"/>
  <c r="AY141" i="46"/>
  <c r="AZ141" i="46"/>
  <c r="AY295" i="46"/>
  <c r="AZ295" i="46"/>
  <c r="AY410" i="46"/>
  <c r="AZ410" i="46"/>
  <c r="AY524" i="46"/>
  <c r="AZ524" i="46"/>
  <c r="AY272" i="46"/>
  <c r="AZ272" i="46"/>
  <c r="AY237" i="46"/>
  <c r="AZ237" i="46"/>
  <c r="AY136" i="46"/>
  <c r="AZ136" i="46"/>
  <c r="AY165" i="46"/>
  <c r="AZ165" i="46"/>
  <c r="AY56" i="46"/>
  <c r="AZ56" i="46"/>
  <c r="AY250" i="46"/>
  <c r="AZ250" i="46"/>
  <c r="AY32" i="46"/>
  <c r="AZ32" i="46"/>
  <c r="AY332" i="46"/>
  <c r="AZ332" i="46"/>
  <c r="AY399" i="46"/>
  <c r="AZ399" i="46"/>
  <c r="AY139" i="46"/>
  <c r="AZ139" i="46"/>
  <c r="AY258" i="46"/>
  <c r="AZ258" i="46"/>
  <c r="AY551" i="46"/>
  <c r="AZ551" i="46"/>
  <c r="AY416" i="46"/>
  <c r="AZ416" i="46"/>
  <c r="AY376" i="46"/>
  <c r="AZ376" i="46"/>
  <c r="AY192" i="46"/>
  <c r="AZ192" i="46"/>
  <c r="AY277" i="46"/>
  <c r="AZ277" i="46"/>
  <c r="AY547" i="46"/>
  <c r="AZ547" i="46"/>
  <c r="AY90" i="46"/>
  <c r="AZ90" i="46"/>
  <c r="AY479" i="46"/>
  <c r="AZ479" i="46"/>
  <c r="AY166" i="46"/>
  <c r="AZ166" i="46"/>
  <c r="AY199" i="46"/>
  <c r="AZ199" i="46"/>
  <c r="AY80" i="46"/>
  <c r="AZ80" i="46"/>
  <c r="AY144" i="46"/>
  <c r="AZ144" i="46"/>
  <c r="AY395" i="46"/>
  <c r="AZ395" i="46"/>
  <c r="AY552" i="46"/>
  <c r="AZ552" i="46"/>
  <c r="AY10" i="46"/>
  <c r="AZ10" i="46"/>
  <c r="AY561" i="46"/>
  <c r="AZ561" i="46"/>
  <c r="AY282" i="46"/>
  <c r="AZ282" i="46"/>
  <c r="AY537" i="46"/>
  <c r="AZ537" i="46"/>
  <c r="AY236" i="46"/>
  <c r="AZ236" i="46"/>
  <c r="AY129" i="46"/>
  <c r="AZ129" i="46"/>
  <c r="AY474" i="46"/>
  <c r="AZ474" i="46"/>
  <c r="AY181" i="46"/>
  <c r="AZ181" i="46"/>
  <c r="AY14" i="46"/>
  <c r="AZ14" i="46"/>
  <c r="AY170" i="46"/>
  <c r="AZ170" i="46"/>
  <c r="AY16" i="46"/>
  <c r="AZ16" i="46"/>
  <c r="AY453" i="46"/>
  <c r="AZ453" i="46"/>
  <c r="AY421" i="46"/>
  <c r="AZ421" i="46"/>
  <c r="AY281" i="46"/>
  <c r="AZ281" i="46"/>
  <c r="AY423" i="46"/>
  <c r="AZ423" i="46"/>
  <c r="AY478" i="46"/>
  <c r="AZ478" i="46"/>
  <c r="AY342" i="46"/>
  <c r="AZ342" i="46"/>
  <c r="AY39" i="46"/>
  <c r="AZ39" i="46"/>
  <c r="AY238" i="46"/>
  <c r="AZ238" i="46"/>
  <c r="AY536" i="46"/>
  <c r="AZ536" i="46"/>
  <c r="AY26" i="46"/>
  <c r="AZ26" i="46"/>
  <c r="AY331" i="46"/>
  <c r="AZ331" i="46"/>
  <c r="AY368" i="46"/>
  <c r="AZ368" i="46"/>
  <c r="AY60" i="46"/>
  <c r="AZ60" i="46"/>
  <c r="AY58" i="46"/>
  <c r="AZ58" i="46"/>
  <c r="AY229" i="46"/>
  <c r="AZ229" i="46"/>
  <c r="AY344" i="46"/>
  <c r="AZ344" i="46"/>
  <c r="AY398" i="46"/>
  <c r="AZ398" i="46"/>
  <c r="AY409" i="46"/>
  <c r="AZ409" i="46"/>
  <c r="AY131" i="46"/>
  <c r="AZ131" i="46"/>
  <c r="AY380" i="46"/>
  <c r="AZ380" i="46"/>
  <c r="AY72" i="46"/>
  <c r="AZ72" i="46"/>
  <c r="AY507" i="46"/>
  <c r="AZ507" i="46"/>
  <c r="AY505" i="46"/>
  <c r="AZ505" i="46"/>
  <c r="AY531" i="46"/>
  <c r="AZ531" i="46"/>
  <c r="AY244" i="46"/>
  <c r="AZ244" i="46"/>
  <c r="AY400" i="46"/>
  <c r="AZ400" i="46"/>
  <c r="AY519" i="46"/>
  <c r="AZ519" i="46"/>
  <c r="AY269" i="46"/>
  <c r="AZ269" i="46"/>
  <c r="AY488" i="46"/>
  <c r="AZ488" i="46"/>
  <c r="AY533" i="46"/>
  <c r="AZ533" i="46"/>
  <c r="AY234" i="46"/>
  <c r="AZ234" i="46"/>
  <c r="AY194" i="46"/>
  <c r="AZ194" i="46"/>
  <c r="AY168" i="46"/>
  <c r="AZ168" i="46"/>
  <c r="AY307" i="46"/>
  <c r="AZ307" i="46"/>
  <c r="AY386" i="46"/>
  <c r="AY394" i="46"/>
  <c r="AZ394" i="46"/>
  <c r="AY543" i="46"/>
  <c r="AZ543" i="46"/>
  <c r="AY24" i="46"/>
  <c r="AZ24" i="46"/>
  <c r="AY516" i="46"/>
  <c r="AY33" i="46"/>
  <c r="AZ33" i="46"/>
  <c r="AY532" i="46"/>
  <c r="AZ532" i="46"/>
  <c r="AY158" i="46"/>
  <c r="AZ158" i="46"/>
  <c r="AY535" i="46"/>
  <c r="AZ535" i="46"/>
  <c r="AY31" i="46"/>
  <c r="AZ31" i="46"/>
  <c r="AY201" i="46"/>
  <c r="AZ201" i="46"/>
  <c r="AY41" i="46"/>
  <c r="AZ41" i="46"/>
  <c r="AY343" i="46"/>
  <c r="AZ343" i="46"/>
  <c r="AY563" i="46"/>
  <c r="AZ563" i="46"/>
  <c r="AY364" i="46"/>
  <c r="AZ364" i="46"/>
  <c r="AY354" i="46"/>
  <c r="AZ354" i="46"/>
  <c r="AY270" i="46"/>
  <c r="AZ270" i="46"/>
  <c r="AY102" i="46"/>
  <c r="AZ102" i="46"/>
  <c r="AY317" i="46"/>
  <c r="AZ317" i="46"/>
  <c r="AY309" i="46"/>
  <c r="AZ309" i="46"/>
  <c r="AY497" i="46"/>
  <c r="AZ497" i="46"/>
  <c r="AY218" i="46"/>
  <c r="AZ218" i="46"/>
  <c r="AY180" i="46"/>
  <c r="AZ180" i="46"/>
  <c r="AY259" i="46"/>
  <c r="AZ259" i="46"/>
  <c r="AY298" i="46"/>
  <c r="AZ298" i="46"/>
  <c r="AY40" i="46"/>
  <c r="AZ40" i="46"/>
  <c r="AY216" i="46"/>
  <c r="AZ216" i="46"/>
  <c r="AY473" i="46"/>
  <c r="AZ473" i="46"/>
  <c r="AY221" i="46"/>
  <c r="AZ221" i="46"/>
  <c r="AY247" i="46"/>
  <c r="AZ247" i="46"/>
  <c r="AY518" i="46"/>
  <c r="AZ518" i="46"/>
  <c r="AY436" i="46"/>
  <c r="AZ436" i="46"/>
  <c r="AY303" i="46"/>
  <c r="AZ303" i="46"/>
  <c r="AY475" i="46"/>
  <c r="AZ475" i="46"/>
  <c r="AY446" i="46"/>
  <c r="AZ446" i="46"/>
  <c r="AY318" i="46"/>
  <c r="AZ318" i="46"/>
  <c r="AY487" i="46"/>
  <c r="AZ487" i="46"/>
  <c r="AY179" i="46"/>
  <c r="AZ179" i="46"/>
  <c r="AY209" i="46"/>
  <c r="AZ209" i="46"/>
  <c r="AY182" i="46"/>
  <c r="AZ182" i="46"/>
  <c r="AY7" i="46"/>
  <c r="AZ7" i="46"/>
  <c r="AY248" i="46"/>
  <c r="AZ248" i="46"/>
  <c r="AY75" i="46"/>
  <c r="AZ75" i="46"/>
  <c r="AY413" i="46"/>
  <c r="AZ413" i="46"/>
  <c r="AY206" i="46"/>
  <c r="AZ206" i="46"/>
  <c r="AY262" i="46"/>
  <c r="AZ262" i="46"/>
  <c r="AY289" i="46"/>
  <c r="AZ289" i="46"/>
  <c r="AY370" i="46"/>
  <c r="AZ370" i="46"/>
  <c r="AY231" i="46"/>
  <c r="AZ231" i="46"/>
  <c r="AY455" i="46"/>
  <c r="AZ455" i="46"/>
  <c r="AY204" i="46"/>
  <c r="AZ204" i="46"/>
  <c r="AY74" i="46"/>
  <c r="AZ74" i="46"/>
  <c r="AY433" i="46"/>
  <c r="AZ433" i="46"/>
  <c r="AY63" i="46"/>
  <c r="AZ63" i="46"/>
  <c r="AY240" i="46"/>
  <c r="AZ240" i="46"/>
  <c r="AY280" i="46"/>
  <c r="AZ280" i="46"/>
  <c r="AY340" i="46"/>
  <c r="AZ340" i="46"/>
  <c r="AY220" i="46"/>
  <c r="AZ220" i="46"/>
  <c r="AY387" i="46"/>
  <c r="AZ387" i="46"/>
  <c r="AY294" i="46"/>
  <c r="AZ294" i="46"/>
  <c r="AY355" i="46"/>
  <c r="AZ355" i="46"/>
  <c r="AY228" i="46"/>
  <c r="AZ228" i="46"/>
  <c r="AY65" i="46"/>
  <c r="AZ65" i="46"/>
  <c r="AY211" i="46"/>
  <c r="AZ211" i="46"/>
  <c r="AY265" i="46"/>
  <c r="AZ265" i="46"/>
  <c r="AY12" i="46"/>
  <c r="AZ12" i="46"/>
  <c r="AY371" i="46"/>
  <c r="AZ371" i="46"/>
  <c r="AY489" i="46"/>
  <c r="AZ489" i="46"/>
  <c r="AY224" i="46"/>
  <c r="AZ224" i="46"/>
  <c r="AY226" i="46"/>
  <c r="AZ226" i="46"/>
  <c r="AY212" i="46"/>
  <c r="AZ212" i="46"/>
  <c r="AY348" i="46"/>
  <c r="AZ348" i="46"/>
  <c r="AY249" i="46"/>
  <c r="AZ249" i="46"/>
  <c r="AY299" i="46"/>
  <c r="AZ299" i="46"/>
  <c r="AY266" i="46"/>
  <c r="AZ266" i="46"/>
  <c r="AY314" i="46"/>
  <c r="AZ314" i="46"/>
  <c r="AY430" i="46"/>
  <c r="AZ430" i="46"/>
  <c r="AY225" i="46"/>
  <c r="AZ225" i="46"/>
  <c r="AY86" i="46"/>
  <c r="AY353" i="46"/>
  <c r="AZ353" i="46"/>
  <c r="AY407" i="46"/>
  <c r="AZ407" i="46"/>
  <c r="AY202" i="46"/>
  <c r="AZ202" i="46"/>
  <c r="AY310" i="46"/>
  <c r="AZ310" i="46"/>
  <c r="AY268" i="46"/>
  <c r="AZ268" i="46"/>
  <c r="AY548" i="46"/>
  <c r="AZ548" i="46"/>
  <c r="AY361" i="46"/>
  <c r="AY120" i="46"/>
  <c r="AY482" i="46"/>
  <c r="AZ482" i="46"/>
  <c r="AY274" i="46"/>
  <c r="AZ274" i="46"/>
  <c r="AY271" i="46"/>
  <c r="AZ271" i="46"/>
  <c r="AY492" i="46"/>
  <c r="AZ492" i="46"/>
  <c r="AY540" i="46"/>
  <c r="AZ540" i="46"/>
  <c r="AY242" i="46"/>
  <c r="AZ242" i="46"/>
  <c r="AY53" i="46"/>
  <c r="AY140" i="46"/>
  <c r="AZ140" i="46"/>
  <c r="AY329" i="46"/>
  <c r="AZ329" i="46"/>
  <c r="AY523" i="46"/>
  <c r="AZ523" i="46"/>
  <c r="AY275" i="46"/>
  <c r="AZ275" i="46"/>
  <c r="AY29" i="46"/>
  <c r="AZ29" i="46"/>
  <c r="AY448" i="46"/>
  <c r="AZ448" i="46"/>
  <c r="AY279" i="46"/>
  <c r="AZ279" i="46"/>
  <c r="AY440" i="46"/>
  <c r="AZ440" i="46"/>
  <c r="AY369" i="46"/>
  <c r="AZ369" i="46"/>
  <c r="AY162" i="46"/>
  <c r="AZ162" i="46"/>
  <c r="AY570" i="46"/>
  <c r="AZ570" i="46"/>
  <c r="AY315" i="46"/>
  <c r="AZ315" i="46"/>
  <c r="AY157" i="46"/>
  <c r="AZ157" i="46"/>
  <c r="AY164" i="46"/>
  <c r="AZ164" i="46"/>
  <c r="AY510" i="46"/>
  <c r="AZ510" i="46"/>
  <c r="AY445" i="46"/>
  <c r="AZ445" i="46"/>
  <c r="AY73" i="46"/>
  <c r="AZ73" i="46"/>
  <c r="AY328" i="46"/>
  <c r="AZ328" i="46"/>
  <c r="AY127" i="46"/>
  <c r="AZ127" i="46"/>
  <c r="AY163" i="46"/>
  <c r="AZ163" i="46"/>
  <c r="AY45" i="46"/>
  <c r="AZ45" i="46"/>
  <c r="AY214" i="46"/>
  <c r="AZ214" i="46"/>
  <c r="AY449" i="46"/>
  <c r="AZ449" i="46"/>
  <c r="AY346" i="46"/>
  <c r="AZ346" i="46"/>
  <c r="AY349" i="46"/>
  <c r="AZ349" i="46"/>
  <c r="AY278" i="46"/>
  <c r="AZ278" i="46"/>
  <c r="AY323" i="46"/>
  <c r="AZ323" i="46"/>
  <c r="AY461" i="46"/>
  <c r="AZ461" i="46"/>
  <c r="AY457" i="46"/>
  <c r="AZ457" i="46"/>
  <c r="AY223" i="46"/>
  <c r="AZ223" i="46"/>
  <c r="AY568" i="46"/>
  <c r="AZ568" i="46"/>
  <c r="AY565" i="46"/>
  <c r="AZ565" i="46"/>
  <c r="AY172" i="46"/>
  <c r="AZ172" i="46"/>
  <c r="AY78" i="46"/>
  <c r="AZ78" i="46"/>
  <c r="AY91" i="46"/>
  <c r="AZ91" i="46"/>
  <c r="AY184" i="46"/>
  <c r="AZ184" i="46"/>
  <c r="AY251" i="46"/>
  <c r="AZ251" i="46"/>
  <c r="AY276" i="46"/>
  <c r="AZ276" i="46"/>
  <c r="AY57" i="46"/>
  <c r="AZ57" i="46"/>
  <c r="AY256" i="46"/>
  <c r="AZ256" i="46"/>
  <c r="AY503" i="46"/>
  <c r="AY528" i="46"/>
  <c r="AZ528" i="46"/>
  <c r="AY147" i="46"/>
  <c r="AZ147" i="46"/>
  <c r="AY447" i="46"/>
  <c r="AZ447" i="46"/>
  <c r="AY388" i="46"/>
  <c r="AZ388" i="46"/>
  <c r="AY71" i="46"/>
  <c r="AY219" i="46"/>
  <c r="AZ219" i="46"/>
  <c r="AY378" i="46"/>
  <c r="AZ378" i="46"/>
  <c r="AY476" i="46"/>
  <c r="AZ476" i="46"/>
  <c r="AY36" i="46"/>
  <c r="AZ36" i="46"/>
  <c r="AY578" i="46"/>
  <c r="AZ578" i="46"/>
  <c r="AY217" i="46"/>
  <c r="AZ217" i="46"/>
  <c r="AY567" i="46"/>
  <c r="AZ567" i="46"/>
  <c r="AY418" i="46"/>
  <c r="AZ418" i="46"/>
  <c r="AY472" i="46"/>
  <c r="AZ472" i="46"/>
  <c r="AY379" i="46"/>
  <c r="AZ379" i="46"/>
  <c r="AY93" i="46"/>
  <c r="AZ93" i="46"/>
  <c r="AY287" i="46"/>
  <c r="AZ287" i="46"/>
  <c r="AY459" i="46"/>
  <c r="AZ459" i="46"/>
  <c r="AY312" i="46"/>
  <c r="AZ312" i="46"/>
  <c r="AY345" i="46"/>
  <c r="AZ345" i="46"/>
  <c r="AY389" i="46"/>
  <c r="AZ389" i="46"/>
  <c r="AY554" i="46"/>
  <c r="AZ554" i="46"/>
  <c r="AY232" i="46"/>
  <c r="AZ232" i="46"/>
  <c r="AY336" i="46"/>
  <c r="AZ336" i="46"/>
  <c r="AY273" i="46"/>
  <c r="AZ273" i="46"/>
  <c r="AY520" i="46"/>
  <c r="AZ520" i="46"/>
  <c r="AY322" i="46"/>
  <c r="AZ322" i="46"/>
  <c r="AY456" i="46"/>
  <c r="AZ456" i="46"/>
  <c r="AY437" i="46"/>
  <c r="AZ437" i="46"/>
  <c r="AY205" i="46"/>
  <c r="AZ205" i="46"/>
  <c r="AY490" i="46"/>
  <c r="AZ490" i="46"/>
  <c r="AY261" i="46"/>
  <c r="AZ261" i="46"/>
  <c r="AY154" i="46"/>
  <c r="AZ154" i="46"/>
  <c r="AY330" i="46"/>
  <c r="AZ330" i="46"/>
  <c r="AY481" i="46"/>
  <c r="AZ481" i="46"/>
  <c r="AY203" i="46"/>
  <c r="AZ203" i="46"/>
  <c r="AY580" i="46"/>
  <c r="AZ580" i="46"/>
  <c r="AY530" i="46"/>
  <c r="AZ530" i="46"/>
  <c r="AY134" i="46"/>
  <c r="AZ134" i="46"/>
  <c r="AY391" i="46"/>
  <c r="AZ391" i="46"/>
  <c r="AY245" i="46"/>
  <c r="AZ245" i="46"/>
  <c r="AY133" i="46"/>
  <c r="AZ133" i="46"/>
  <c r="AY350" i="46"/>
  <c r="AZ350" i="46"/>
  <c r="AY190" i="46"/>
  <c r="AZ190" i="46"/>
  <c r="AY367" i="46"/>
  <c r="AZ367" i="46"/>
  <c r="AY316" i="46"/>
  <c r="AZ316" i="46"/>
  <c r="AY169" i="46"/>
  <c r="AZ169" i="46"/>
  <c r="AY427" i="46"/>
  <c r="AZ427" i="46"/>
  <c r="AY191" i="46"/>
  <c r="AZ191" i="46"/>
  <c r="AY284" i="46"/>
  <c r="AZ284" i="46"/>
  <c r="AY264" i="46"/>
  <c r="AZ264" i="46"/>
  <c r="AY252" i="46"/>
  <c r="AZ252" i="46"/>
  <c r="AY504" i="46"/>
  <c r="AZ504" i="46"/>
  <c r="AY44" i="46"/>
  <c r="AZ44" i="46"/>
  <c r="AY373" i="46"/>
  <c r="AZ373" i="46"/>
  <c r="AY458" i="46"/>
  <c r="AZ458" i="46"/>
  <c r="AY351" i="46"/>
  <c r="AZ351" i="46"/>
  <c r="AY110" i="46"/>
  <c r="AZ110" i="46"/>
  <c r="AY439" i="46"/>
  <c r="AZ439" i="46"/>
  <c r="AY542" i="46"/>
  <c r="AZ542" i="46"/>
  <c r="AY128" i="46"/>
  <c r="AZ128" i="46"/>
  <c r="AY452" i="46"/>
  <c r="AZ452" i="46"/>
  <c r="AY301" i="46"/>
  <c r="AZ301" i="46"/>
  <c r="AY325" i="46"/>
  <c r="AZ325" i="46"/>
  <c r="AY42" i="46"/>
  <c r="AZ42" i="46"/>
  <c r="AY420" i="46"/>
  <c r="AZ420" i="46"/>
  <c r="AY462" i="46"/>
  <c r="AZ462" i="46"/>
  <c r="AY176" i="46"/>
  <c r="AZ176" i="46"/>
  <c r="AY521" i="46"/>
  <c r="AZ521" i="46"/>
  <c r="AY327" i="46"/>
  <c r="AZ327" i="46"/>
  <c r="AY506" i="46"/>
  <c r="AZ506" i="46"/>
  <c r="AY549" i="46"/>
  <c r="AZ549" i="46"/>
  <c r="AY426" i="46"/>
  <c r="AZ426" i="46"/>
  <c r="AY529" i="46"/>
  <c r="AZ529" i="46"/>
  <c r="AY122" i="46"/>
  <c r="AZ122" i="46"/>
  <c r="AY508" i="46"/>
  <c r="AZ508" i="46"/>
  <c r="AY130" i="46"/>
  <c r="AZ130" i="46"/>
  <c r="AY441" i="46"/>
  <c r="AZ441" i="46"/>
  <c r="AY197" i="46"/>
  <c r="AZ197" i="46"/>
  <c r="AY125" i="46"/>
  <c r="AZ125" i="46"/>
  <c r="AY243" i="46"/>
  <c r="AZ243" i="46"/>
  <c r="AY207" i="46"/>
  <c r="AZ207" i="46"/>
  <c r="AY292" i="46"/>
  <c r="AZ292" i="46"/>
  <c r="AY375" i="46"/>
  <c r="AZ375" i="46"/>
  <c r="AY267" i="46"/>
  <c r="AZ267" i="46"/>
  <c r="AY562" i="46"/>
  <c r="AZ562" i="46"/>
  <c r="AY227" i="46"/>
  <c r="AZ227" i="46"/>
  <c r="AY566" i="46"/>
  <c r="AZ566" i="46"/>
  <c r="AY64" i="46"/>
  <c r="AZ64" i="46"/>
  <c r="AY155" i="46"/>
  <c r="AZ155" i="46"/>
  <c r="AY92" i="46"/>
  <c r="AZ92" i="46"/>
  <c r="AY149" i="46"/>
  <c r="AZ149" i="46"/>
  <c r="AY11" i="46"/>
  <c r="AZ11" i="46"/>
  <c r="AY313" i="46"/>
  <c r="AZ313" i="46"/>
  <c r="AY302" i="46"/>
  <c r="AZ302" i="46"/>
  <c r="AY109" i="46"/>
  <c r="AY142" i="46"/>
  <c r="AZ142" i="46"/>
  <c r="AY428" i="46"/>
  <c r="AZ428" i="46"/>
  <c r="AY246" i="46"/>
  <c r="AZ246" i="46"/>
  <c r="AY27" i="46"/>
  <c r="AZ27" i="46"/>
  <c r="AY429" i="46"/>
  <c r="AZ429" i="46"/>
  <c r="AY341" i="46"/>
  <c r="AZ341" i="46"/>
  <c r="AY283" i="46"/>
  <c r="AZ283" i="46"/>
  <c r="AY171" i="46"/>
  <c r="AZ171" i="46"/>
  <c r="AY230" i="46"/>
  <c r="AZ230" i="46"/>
  <c r="AY146" i="46"/>
  <c r="AZ146" i="46"/>
  <c r="AY23" i="46"/>
  <c r="AZ23" i="46"/>
  <c r="AY468" i="46"/>
  <c r="AY435" i="46"/>
  <c r="AZ435" i="46"/>
  <c r="AY335" i="46"/>
  <c r="AZ335" i="46"/>
  <c r="AY38" i="46"/>
  <c r="AZ38" i="46"/>
  <c r="AY541" i="46"/>
  <c r="AZ541" i="46"/>
  <c r="AY137" i="46"/>
  <c r="AZ137" i="46"/>
  <c r="AY126" i="46"/>
  <c r="AZ126" i="46"/>
  <c r="AY517" i="46"/>
  <c r="AZ517" i="46"/>
  <c r="AY569" i="46"/>
  <c r="AZ569" i="46"/>
  <c r="AY483" i="46"/>
  <c r="AZ483" i="46"/>
  <c r="AY167" i="46"/>
  <c r="AZ167" i="46"/>
  <c r="AY288" i="46"/>
  <c r="AZ288" i="46"/>
  <c r="AY151" i="46"/>
  <c r="AZ151" i="46"/>
  <c r="AY222" i="46"/>
  <c r="AZ222" i="46"/>
  <c r="AY189" i="46"/>
  <c r="AZ189" i="46"/>
  <c r="AY123" i="46"/>
  <c r="AZ123" i="46"/>
  <c r="AY546" i="46"/>
  <c r="AZ546" i="46"/>
  <c r="AY460" i="46"/>
  <c r="AZ460" i="46"/>
  <c r="AY185" i="46"/>
  <c r="AZ185" i="46"/>
  <c r="AY538" i="46"/>
  <c r="AZ538" i="46"/>
  <c r="AY372" i="46"/>
  <c r="AZ372" i="46"/>
  <c r="AY113" i="46"/>
  <c r="AZ113" i="46"/>
  <c r="AY491" i="46"/>
  <c r="AZ491" i="46"/>
  <c r="AY114" i="46"/>
  <c r="AZ114" i="46"/>
  <c r="AY30" i="46"/>
  <c r="AZ30" i="46"/>
  <c r="AY198" i="46"/>
  <c r="AZ198" i="46"/>
  <c r="AW2" i="46"/>
  <c r="AW607" i="46"/>
  <c r="BA377" i="46"/>
  <c r="BB377" i="46"/>
  <c r="BC319" i="46"/>
  <c r="BG319" i="46"/>
  <c r="BA320" i="46"/>
  <c r="BB320" i="46"/>
  <c r="BA113" i="46"/>
  <c r="BB113" i="46"/>
  <c r="BA222" i="46"/>
  <c r="BB222" i="46"/>
  <c r="BA137" i="46"/>
  <c r="BB137" i="46"/>
  <c r="BA230" i="46"/>
  <c r="BB230" i="46"/>
  <c r="BA142" i="46"/>
  <c r="BB142" i="46"/>
  <c r="BA64" i="46"/>
  <c r="BB64" i="46"/>
  <c r="BA30" i="46"/>
  <c r="BB30" i="46"/>
  <c r="BA372" i="46"/>
  <c r="BB372" i="46"/>
  <c r="BA546" i="46"/>
  <c r="BB546" i="46"/>
  <c r="BA151" i="46"/>
  <c r="BB151" i="46"/>
  <c r="BA569" i="46"/>
  <c r="BB569" i="46"/>
  <c r="BA541" i="46"/>
  <c r="BB541" i="46"/>
  <c r="AY500" i="46"/>
  <c r="AZ468" i="46"/>
  <c r="BA171" i="46"/>
  <c r="BB171" i="46"/>
  <c r="BA27" i="46"/>
  <c r="BB27" i="46"/>
  <c r="AY117" i="46"/>
  <c r="AZ109" i="46"/>
  <c r="BA149" i="46"/>
  <c r="BB149" i="46"/>
  <c r="BA566" i="46"/>
  <c r="BB566" i="46"/>
  <c r="BA375" i="46"/>
  <c r="BB375" i="46"/>
  <c r="BA125" i="46"/>
  <c r="BB125" i="46"/>
  <c r="BA508" i="46"/>
  <c r="BB508" i="46"/>
  <c r="BA549" i="46"/>
  <c r="BB549" i="46"/>
  <c r="BA176" i="46"/>
  <c r="BB176" i="46"/>
  <c r="BA325" i="46"/>
  <c r="BB325" i="46"/>
  <c r="BA542" i="46"/>
  <c r="BB542" i="46"/>
  <c r="BA458" i="46"/>
  <c r="BB458" i="46"/>
  <c r="BA252" i="46"/>
  <c r="BB252" i="46"/>
  <c r="BA427" i="46"/>
  <c r="BB427" i="46"/>
  <c r="BA190" i="46"/>
  <c r="BB190" i="46"/>
  <c r="BA391" i="46"/>
  <c r="BB391" i="46"/>
  <c r="BA203" i="46"/>
  <c r="BB203" i="46"/>
  <c r="BA261" i="46"/>
  <c r="BB261" i="46"/>
  <c r="BA456" i="46"/>
  <c r="BB456" i="46"/>
  <c r="BA336" i="46"/>
  <c r="BB336" i="46"/>
  <c r="BA345" i="46"/>
  <c r="BB345" i="46"/>
  <c r="BA93" i="46"/>
  <c r="BB93" i="46"/>
  <c r="BA567" i="46"/>
  <c r="BB567" i="46"/>
  <c r="BA476" i="46"/>
  <c r="BB476" i="46"/>
  <c r="BA388" i="46"/>
  <c r="BB388" i="46"/>
  <c r="AY513" i="46"/>
  <c r="AZ503" i="46"/>
  <c r="BA251" i="46"/>
  <c r="BB251" i="46"/>
  <c r="BA172" i="46"/>
  <c r="BB172" i="46"/>
  <c r="BA457" i="46"/>
  <c r="BB457" i="46"/>
  <c r="BA349" i="46"/>
  <c r="BB349" i="46"/>
  <c r="BA45" i="46"/>
  <c r="BB45" i="46"/>
  <c r="BA73" i="46"/>
  <c r="BB73" i="46"/>
  <c r="BA157" i="46"/>
  <c r="BB157" i="46"/>
  <c r="BA369" i="46"/>
  <c r="BB369" i="46"/>
  <c r="BA29" i="46"/>
  <c r="BB29" i="46"/>
  <c r="BA140" i="46"/>
  <c r="BB140" i="46"/>
  <c r="BA492" i="46"/>
  <c r="BB492" i="46"/>
  <c r="AY358" i="46"/>
  <c r="AZ120" i="46"/>
  <c r="BA310" i="46"/>
  <c r="BB310" i="46"/>
  <c r="AY97" i="46"/>
  <c r="AZ86" i="46"/>
  <c r="BA266" i="46"/>
  <c r="BB266" i="46"/>
  <c r="BA212" i="46"/>
  <c r="BB212" i="46"/>
  <c r="BA371" i="46"/>
  <c r="BB371" i="46"/>
  <c r="BA65" i="46"/>
  <c r="BB65" i="46"/>
  <c r="BA387" i="46"/>
  <c r="BB387" i="46"/>
  <c r="BA240" i="46"/>
  <c r="BB240" i="46"/>
  <c r="BA204" i="46"/>
  <c r="BB204" i="46"/>
  <c r="BA289" i="46"/>
  <c r="BB289" i="46"/>
  <c r="BA75" i="46"/>
  <c r="BB75" i="46"/>
  <c r="BA209" i="46"/>
  <c r="BB209" i="46"/>
  <c r="BA446" i="46"/>
  <c r="BB446" i="46"/>
  <c r="BA518" i="46"/>
  <c r="BB518" i="46"/>
  <c r="BA216" i="46"/>
  <c r="BB216" i="46"/>
  <c r="BA180" i="46"/>
  <c r="BB180" i="46"/>
  <c r="BA317" i="46"/>
  <c r="BB317" i="46"/>
  <c r="BA364" i="46"/>
  <c r="BB364" i="46"/>
  <c r="BA201" i="46"/>
  <c r="BB201" i="46"/>
  <c r="BA532" i="46"/>
  <c r="BB532" i="46"/>
  <c r="BA543" i="46"/>
  <c r="BB543" i="46"/>
  <c r="BA168" i="46"/>
  <c r="BB168" i="46"/>
  <c r="BA488" i="46"/>
  <c r="BB488" i="46"/>
  <c r="BA244" i="46"/>
  <c r="BB244" i="46"/>
  <c r="BA72" i="46"/>
  <c r="BB72" i="46"/>
  <c r="BA398" i="46"/>
  <c r="BB398" i="46"/>
  <c r="BA60" i="46"/>
  <c r="BB60" i="46"/>
  <c r="BA536" i="46"/>
  <c r="BB536" i="46"/>
  <c r="BA478" i="46"/>
  <c r="BB478" i="46"/>
  <c r="BA453" i="46"/>
  <c r="BB453" i="46"/>
  <c r="BA181" i="46"/>
  <c r="BB181" i="46"/>
  <c r="BA537" i="46"/>
  <c r="BB537" i="46"/>
  <c r="BA552" i="46"/>
  <c r="BB552" i="46"/>
  <c r="BA199" i="46"/>
  <c r="BB199" i="46"/>
  <c r="BA547" i="46"/>
  <c r="BB547" i="46"/>
  <c r="BA416" i="46"/>
  <c r="BB416" i="46"/>
  <c r="BA399" i="46"/>
  <c r="BB399" i="46"/>
  <c r="BA56" i="46"/>
  <c r="BB56" i="46"/>
  <c r="BA272" i="46"/>
  <c r="BB272" i="46"/>
  <c r="BA141" i="46"/>
  <c r="BB141" i="46"/>
  <c r="BA59" i="46"/>
  <c r="BB59" i="46"/>
  <c r="BA76" i="46"/>
  <c r="BB76" i="46"/>
  <c r="BA145" i="46"/>
  <c r="BB145" i="46"/>
  <c r="BA442" i="46"/>
  <c r="BB442" i="46"/>
  <c r="BA235" i="46"/>
  <c r="BB235" i="46"/>
  <c r="BA486" i="46"/>
  <c r="BB486" i="46"/>
  <c r="BA553" i="46"/>
  <c r="BB553" i="46"/>
  <c r="BA450" i="46"/>
  <c r="BB450" i="46"/>
  <c r="BA366" i="46"/>
  <c r="BB366" i="46"/>
  <c r="BA495" i="46"/>
  <c r="BB495" i="46"/>
  <c r="BA46" i="46"/>
  <c r="BB46" i="46"/>
  <c r="BA62" i="46"/>
  <c r="BB62" i="46"/>
  <c r="BA239" i="46"/>
  <c r="BB239" i="46"/>
  <c r="BA431" i="46"/>
  <c r="BB431" i="46"/>
  <c r="BA286" i="46"/>
  <c r="BB286" i="46"/>
  <c r="BA138" i="46"/>
  <c r="BB138" i="46"/>
  <c r="BA255" i="46"/>
  <c r="BB255" i="46"/>
  <c r="BA526" i="46"/>
  <c r="BB526" i="46"/>
  <c r="BA183" i="46"/>
  <c r="BB183" i="46"/>
  <c r="BA444" i="46"/>
  <c r="BB444" i="46"/>
  <c r="BA534" i="46"/>
  <c r="BB534" i="46"/>
  <c r="AY19" i="46"/>
  <c r="AZ6" i="46"/>
  <c r="BA411" i="46"/>
  <c r="BB411" i="46"/>
  <c r="BA159" i="46"/>
  <c r="BB159" i="46"/>
  <c r="BA77" i="46"/>
  <c r="BB77" i="46"/>
  <c r="BA572" i="46"/>
  <c r="BB572" i="46"/>
  <c r="BA233" i="46"/>
  <c r="BB233" i="46"/>
  <c r="BA178" i="46"/>
  <c r="BB178" i="46"/>
  <c r="BA363" i="46"/>
  <c r="BB363" i="46"/>
  <c r="BA254" i="46"/>
  <c r="BB254" i="46"/>
  <c r="BA326" i="46"/>
  <c r="BB326" i="46"/>
  <c r="BA54" i="46"/>
  <c r="BB54" i="46"/>
  <c r="BA111" i="46"/>
  <c r="BB111" i="46"/>
  <c r="BA35" i="46"/>
  <c r="BB35" i="46"/>
  <c r="BA305" i="46"/>
  <c r="BB305" i="46"/>
  <c r="BA263" i="46"/>
  <c r="BB263" i="46"/>
  <c r="BA175" i="46"/>
  <c r="BB175" i="46"/>
  <c r="BA61" i="46"/>
  <c r="BB61" i="46"/>
  <c r="BA114" i="46"/>
  <c r="BB114" i="46"/>
  <c r="BA123" i="46"/>
  <c r="BB123" i="46"/>
  <c r="BA517" i="46"/>
  <c r="BB517" i="46"/>
  <c r="BA23" i="46"/>
  <c r="BB23" i="46"/>
  <c r="BA246" i="46"/>
  <c r="BB246" i="46"/>
  <c r="BA92" i="46"/>
  <c r="BB92" i="46"/>
  <c r="BA227" i="46"/>
  <c r="BB227" i="46"/>
  <c r="BA292" i="46"/>
  <c r="BB292" i="46"/>
  <c r="BA197" i="46"/>
  <c r="BB197" i="46"/>
  <c r="BA122" i="46"/>
  <c r="BB122" i="46"/>
  <c r="BA506" i="46"/>
  <c r="BB506" i="46"/>
  <c r="BA462" i="46"/>
  <c r="BB462" i="46"/>
  <c r="BA301" i="46"/>
  <c r="BB301" i="46"/>
  <c r="BA439" i="46"/>
  <c r="BB439" i="46"/>
  <c r="BA373" i="46"/>
  <c r="BB373" i="46"/>
  <c r="BA264" i="46"/>
  <c r="BB264" i="46"/>
  <c r="BA169" i="46"/>
  <c r="BB169" i="46"/>
  <c r="BA350" i="46"/>
  <c r="BB350" i="46"/>
  <c r="BA134" i="46"/>
  <c r="BB134" i="46"/>
  <c r="BA481" i="46"/>
  <c r="BB481" i="46"/>
  <c r="BA490" i="46"/>
  <c r="BB490" i="46"/>
  <c r="BA322" i="46"/>
  <c r="BB322" i="46"/>
  <c r="BA232" i="46"/>
  <c r="BB232" i="46"/>
  <c r="BA312" i="46"/>
  <c r="BB312" i="46"/>
  <c r="BA379" i="46"/>
  <c r="BB379" i="46"/>
  <c r="BA217" i="46"/>
  <c r="BB217" i="46"/>
  <c r="BA378" i="46"/>
  <c r="BB378" i="46"/>
  <c r="BA447" i="46"/>
  <c r="BB447" i="46"/>
  <c r="BA256" i="46"/>
  <c r="BB256" i="46"/>
  <c r="BA184" i="46"/>
  <c r="BB184" i="46"/>
  <c r="BA565" i="46"/>
  <c r="BB565" i="46"/>
  <c r="BA461" i="46"/>
  <c r="BB461" i="46"/>
  <c r="BA346" i="46"/>
  <c r="BB346" i="46"/>
  <c r="BA163" i="46"/>
  <c r="BB163" i="46"/>
  <c r="BA445" i="46"/>
  <c r="BB445" i="46"/>
  <c r="BA315" i="46"/>
  <c r="BB315" i="46"/>
  <c r="BA440" i="46"/>
  <c r="BB440" i="46"/>
  <c r="BA275" i="46"/>
  <c r="BB275" i="46"/>
  <c r="AY68" i="46"/>
  <c r="AZ53" i="46"/>
  <c r="BA271" i="46"/>
  <c r="BB271" i="46"/>
  <c r="AY383" i="46"/>
  <c r="AZ361" i="46"/>
  <c r="BA202" i="46"/>
  <c r="BB202" i="46"/>
  <c r="BA225" i="46"/>
  <c r="BB225" i="46"/>
  <c r="BA299" i="46"/>
  <c r="BB299" i="46"/>
  <c r="BA226" i="46"/>
  <c r="BB226" i="46"/>
  <c r="BA12" i="46"/>
  <c r="BB12" i="46"/>
  <c r="BA228" i="46"/>
  <c r="BB228" i="46"/>
  <c r="BA220" i="46"/>
  <c r="BB220" i="46"/>
  <c r="BA63" i="46"/>
  <c r="BB63" i="46"/>
  <c r="BA455" i="46"/>
  <c r="BB455" i="46"/>
  <c r="BA262" i="46"/>
  <c r="BB262" i="46"/>
  <c r="BA248" i="46"/>
  <c r="BB248" i="46"/>
  <c r="BA179" i="46"/>
  <c r="BB179" i="46"/>
  <c r="BA475" i="46"/>
  <c r="BB475" i="46"/>
  <c r="BA247" i="46"/>
  <c r="BB247" i="46"/>
  <c r="BA40" i="46"/>
  <c r="BB40" i="46"/>
  <c r="BA218" i="46"/>
  <c r="BB218" i="46"/>
  <c r="BA102" i="46"/>
  <c r="BB102" i="46"/>
  <c r="BA563" i="46"/>
  <c r="BB563" i="46"/>
  <c r="BA31" i="46"/>
  <c r="BB31" i="46"/>
  <c r="BA33" i="46"/>
  <c r="BB33" i="46"/>
  <c r="BA394" i="46"/>
  <c r="BB394" i="46"/>
  <c r="BA194" i="46"/>
  <c r="BB194" i="46"/>
  <c r="BA269" i="46"/>
  <c r="BB269" i="46"/>
  <c r="BA531" i="46"/>
  <c r="BB531" i="46"/>
  <c r="BA380" i="46"/>
  <c r="BB380" i="46"/>
  <c r="BA344" i="46"/>
  <c r="BB344" i="46"/>
  <c r="BA368" i="46"/>
  <c r="BB368" i="46"/>
  <c r="BA238" i="46"/>
  <c r="BB238" i="46"/>
  <c r="BA423" i="46"/>
  <c r="BB423" i="46"/>
  <c r="BA16" i="46"/>
  <c r="BB16" i="46"/>
  <c r="BA474" i="46"/>
  <c r="BB474" i="46"/>
  <c r="BA282" i="46"/>
  <c r="BB282" i="46"/>
  <c r="BA395" i="46"/>
  <c r="BB395" i="46"/>
  <c r="BA166" i="46"/>
  <c r="BB166" i="46"/>
  <c r="BA277" i="46"/>
  <c r="BB277" i="46"/>
  <c r="BA551" i="46"/>
  <c r="BB551" i="46"/>
  <c r="BA332" i="46"/>
  <c r="BB332" i="46"/>
  <c r="BA165" i="46"/>
  <c r="BB165" i="46"/>
  <c r="BA524" i="46"/>
  <c r="BB524" i="46"/>
  <c r="BA187" i="46"/>
  <c r="BB187" i="46"/>
  <c r="BA454" i="46"/>
  <c r="BB454" i="46"/>
  <c r="BA408" i="46"/>
  <c r="BB408" i="46"/>
  <c r="BA477" i="46"/>
  <c r="BB477" i="46"/>
  <c r="BA365" i="46"/>
  <c r="BB365" i="46"/>
  <c r="BA419" i="46"/>
  <c r="BB419" i="46"/>
  <c r="BA28" i="46"/>
  <c r="BB28" i="46"/>
  <c r="BA173" i="46"/>
  <c r="BB173" i="46"/>
  <c r="BA480" i="46"/>
  <c r="BB480" i="46"/>
  <c r="BA390" i="46"/>
  <c r="BB390" i="46"/>
  <c r="BA150" i="46"/>
  <c r="BB150" i="46"/>
  <c r="BA362" i="46"/>
  <c r="BB362" i="46"/>
  <c r="BA94" i="46"/>
  <c r="BB94" i="46"/>
  <c r="BA297" i="46"/>
  <c r="BB297" i="46"/>
  <c r="BA148" i="46"/>
  <c r="BB148" i="46"/>
  <c r="BA424" i="46"/>
  <c r="BB424" i="46"/>
  <c r="BA296" i="46"/>
  <c r="BB296" i="46"/>
  <c r="BA143" i="46"/>
  <c r="BB143" i="46"/>
  <c r="BA311" i="46"/>
  <c r="BB311" i="46"/>
  <c r="BA412" i="46"/>
  <c r="BB412" i="46"/>
  <c r="BA55" i="46"/>
  <c r="BB55" i="46"/>
  <c r="BA213" i="46"/>
  <c r="BB213" i="46"/>
  <c r="BA285" i="46"/>
  <c r="BB285" i="46"/>
  <c r="BA200" i="46"/>
  <c r="BB200" i="46"/>
  <c r="BA193" i="46"/>
  <c r="BB193" i="46"/>
  <c r="BA196" i="46"/>
  <c r="BB196" i="46"/>
  <c r="BA352" i="46"/>
  <c r="BB352" i="46"/>
  <c r="BA291" i="46"/>
  <c r="BB291" i="46"/>
  <c r="BA124" i="46"/>
  <c r="BB124" i="46"/>
  <c r="BA393" i="46"/>
  <c r="BB393" i="46"/>
  <c r="BA374" i="46"/>
  <c r="BB374" i="46"/>
  <c r="BA550" i="46"/>
  <c r="BB550" i="46"/>
  <c r="BA484" i="46"/>
  <c r="BB484" i="46"/>
  <c r="BA9" i="46"/>
  <c r="BB9" i="46"/>
  <c r="BA121" i="46"/>
  <c r="BB121" i="46"/>
  <c r="BA493" i="46"/>
  <c r="BB493" i="46"/>
  <c r="BA87" i="46"/>
  <c r="BB87" i="46"/>
  <c r="BA422" i="46"/>
  <c r="BB422" i="46"/>
  <c r="BA509" i="46"/>
  <c r="BB509" i="46"/>
  <c r="BA538" i="46"/>
  <c r="BB538" i="46"/>
  <c r="BA288" i="46"/>
  <c r="BB288" i="46"/>
  <c r="BA38" i="46"/>
  <c r="BB38" i="46"/>
  <c r="BA283" i="46"/>
  <c r="BB283" i="46"/>
  <c r="BA302" i="46"/>
  <c r="BB302" i="46"/>
  <c r="BA491" i="46"/>
  <c r="BB491" i="46"/>
  <c r="BA185" i="46"/>
  <c r="BB185" i="46"/>
  <c r="BA189" i="46"/>
  <c r="BB189" i="46"/>
  <c r="BA167" i="46"/>
  <c r="BB167" i="46"/>
  <c r="BA126" i="46"/>
  <c r="BB126" i="46"/>
  <c r="BA335" i="46"/>
  <c r="BB335" i="46"/>
  <c r="BA146" i="46"/>
  <c r="BB146" i="46"/>
  <c r="BA341" i="46"/>
  <c r="BB341" i="46"/>
  <c r="BA428" i="46"/>
  <c r="BB428" i="46"/>
  <c r="BA313" i="46"/>
  <c r="BB313" i="46"/>
  <c r="BA155" i="46"/>
  <c r="BB155" i="46"/>
  <c r="BA562" i="46"/>
  <c r="BB562" i="46"/>
  <c r="BA207" i="46"/>
  <c r="BB207" i="46"/>
  <c r="BA441" i="46"/>
  <c r="BB441" i="46"/>
  <c r="BA529" i="46"/>
  <c r="BB529" i="46"/>
  <c r="BA327" i="46"/>
  <c r="BB327" i="46"/>
  <c r="BA420" i="46"/>
  <c r="BB420" i="46"/>
  <c r="BA452" i="46"/>
  <c r="BB452" i="46"/>
  <c r="BA110" i="46"/>
  <c r="BB110" i="46"/>
  <c r="BA44" i="46"/>
  <c r="BB44" i="46"/>
  <c r="BA284" i="46"/>
  <c r="BB284" i="46"/>
  <c r="BA316" i="46"/>
  <c r="BB316" i="46"/>
  <c r="BA133" i="46"/>
  <c r="BB133" i="46"/>
  <c r="BA530" i="46"/>
  <c r="BB530" i="46"/>
  <c r="BA330" i="46"/>
  <c r="BB330" i="46"/>
  <c r="BA205" i="46"/>
  <c r="BB205" i="46"/>
  <c r="BA520" i="46"/>
  <c r="BB520" i="46"/>
  <c r="BA554" i="46"/>
  <c r="BB554" i="46"/>
  <c r="BA459" i="46"/>
  <c r="BB459" i="46"/>
  <c r="BA472" i="46"/>
  <c r="BB472" i="46"/>
  <c r="BA578" i="46"/>
  <c r="BB578" i="46"/>
  <c r="BA219" i="46"/>
  <c r="BB219" i="46"/>
  <c r="BA147" i="46"/>
  <c r="BB147" i="46"/>
  <c r="BA57" i="46"/>
  <c r="BB57" i="46"/>
  <c r="BA91" i="46"/>
  <c r="BB91" i="46"/>
  <c r="BA568" i="46"/>
  <c r="BB568" i="46"/>
  <c r="BA323" i="46"/>
  <c r="BB323" i="46"/>
  <c r="BA449" i="46"/>
  <c r="BB449" i="46"/>
  <c r="BA127" i="46"/>
  <c r="BB127" i="46"/>
  <c r="BA510" i="46"/>
  <c r="BB510" i="46"/>
  <c r="BA570" i="46"/>
  <c r="BB570" i="46"/>
  <c r="BA279" i="46"/>
  <c r="BB279" i="46"/>
  <c r="BA523" i="46"/>
  <c r="BB523" i="46"/>
  <c r="BA242" i="46"/>
  <c r="BB242" i="46"/>
  <c r="BA274" i="46"/>
  <c r="BB274" i="46"/>
  <c r="BA548" i="46"/>
  <c r="BB548" i="46"/>
  <c r="BA407" i="46"/>
  <c r="BB407" i="46"/>
  <c r="BA430" i="46"/>
  <c r="BB430" i="46"/>
  <c r="BA249" i="46"/>
  <c r="BB249" i="46"/>
  <c r="BA224" i="46"/>
  <c r="BB224" i="46"/>
  <c r="BA265" i="46"/>
  <c r="BB265" i="46"/>
  <c r="BA355" i="46"/>
  <c r="BB355" i="46"/>
  <c r="BA340" i="46"/>
  <c r="BB340" i="46"/>
  <c r="BA433" i="46"/>
  <c r="BB433" i="46"/>
  <c r="BA231" i="46"/>
  <c r="BB231" i="46"/>
  <c r="BA206" i="46"/>
  <c r="BB206" i="46"/>
  <c r="BA7" i="46"/>
  <c r="BB7" i="46"/>
  <c r="BA487" i="46"/>
  <c r="BB487" i="46"/>
  <c r="BA303" i="46"/>
  <c r="BB303" i="46"/>
  <c r="BA221" i="46"/>
  <c r="BB221" i="46"/>
  <c r="BA298" i="46"/>
  <c r="BB298" i="46"/>
  <c r="BA497" i="46"/>
  <c r="BB497" i="46"/>
  <c r="BA270" i="46"/>
  <c r="BB270" i="46"/>
  <c r="BA343" i="46"/>
  <c r="BB343" i="46"/>
  <c r="BA535" i="46"/>
  <c r="BB535" i="46"/>
  <c r="AY557" i="46"/>
  <c r="AZ516" i="46"/>
  <c r="AY403" i="46"/>
  <c r="AZ386" i="46"/>
  <c r="BA234" i="46"/>
  <c r="BB234" i="46"/>
  <c r="BA519" i="46"/>
  <c r="BB519" i="46"/>
  <c r="BA505" i="46"/>
  <c r="BB505" i="46"/>
  <c r="BA131" i="46"/>
  <c r="BB131" i="46"/>
  <c r="BA229" i="46"/>
  <c r="BB229" i="46"/>
  <c r="BA331" i="46"/>
  <c r="BB331" i="46"/>
  <c r="BA39" i="46"/>
  <c r="BB39" i="46"/>
  <c r="BA281" i="46"/>
  <c r="BB281" i="46"/>
  <c r="BA170" i="46"/>
  <c r="BB170" i="46"/>
  <c r="BA129" i="46"/>
  <c r="BB129" i="46"/>
  <c r="BA561" i="46"/>
  <c r="BB561" i="46"/>
  <c r="BA144" i="46"/>
  <c r="BB144" i="46"/>
  <c r="BA479" i="46"/>
  <c r="BB479" i="46"/>
  <c r="BA192" i="46"/>
  <c r="BB192" i="46"/>
  <c r="BA258" i="46"/>
  <c r="BB258" i="46"/>
  <c r="BA32" i="46"/>
  <c r="BB32" i="46"/>
  <c r="BA136" i="46"/>
  <c r="BB136" i="46"/>
  <c r="BA410" i="46"/>
  <c r="BB410" i="46"/>
  <c r="BA324" i="46"/>
  <c r="BB324" i="46"/>
  <c r="BA527" i="46"/>
  <c r="BB527" i="46"/>
  <c r="BA15" i="46"/>
  <c r="BB15" i="46"/>
  <c r="BA525" i="46"/>
  <c r="BB525" i="46"/>
  <c r="BA539" i="46"/>
  <c r="BB539" i="46"/>
  <c r="AY106" i="46"/>
  <c r="AZ100" i="46"/>
  <c r="BA300" i="46"/>
  <c r="BB300" i="46"/>
  <c r="BA152" i="46"/>
  <c r="BB152" i="46"/>
  <c r="BA103" i="46"/>
  <c r="BB103" i="46"/>
  <c r="AY575" i="46"/>
  <c r="AZ560" i="46"/>
  <c r="BA260" i="46"/>
  <c r="BB260" i="46"/>
  <c r="BA308" i="46"/>
  <c r="BB308" i="46"/>
  <c r="BA88" i="46"/>
  <c r="BB88" i="46"/>
  <c r="BA338" i="46"/>
  <c r="BB338" i="46"/>
  <c r="BA392" i="46"/>
  <c r="BB392" i="46"/>
  <c r="BA470" i="46"/>
  <c r="BB470" i="46"/>
  <c r="BA333" i="46"/>
  <c r="BB333" i="46"/>
  <c r="BA425" i="46"/>
  <c r="BB425" i="46"/>
  <c r="BA34" i="46"/>
  <c r="BB34" i="46"/>
  <c r="BA496" i="46"/>
  <c r="BB496" i="46"/>
  <c r="BA195" i="46"/>
  <c r="BB195" i="46"/>
  <c r="BA112" i="46"/>
  <c r="BB112" i="46"/>
  <c r="BA451" i="46"/>
  <c r="BB451" i="46"/>
  <c r="AY50" i="46"/>
  <c r="AZ22" i="46"/>
  <c r="BA25" i="46"/>
  <c r="BB25" i="46"/>
  <c r="BA47" i="46"/>
  <c r="BB47" i="46"/>
  <c r="BA396" i="46"/>
  <c r="BB396" i="46"/>
  <c r="BA210" i="46"/>
  <c r="BB210" i="46"/>
  <c r="BA188" i="46"/>
  <c r="BB188" i="46"/>
  <c r="BA208" i="46"/>
  <c r="BB208" i="46"/>
  <c r="BA434" i="46"/>
  <c r="BB434" i="46"/>
  <c r="BA132" i="46"/>
  <c r="BB132" i="46"/>
  <c r="BA443" i="46"/>
  <c r="BB443" i="46"/>
  <c r="BA438" i="46"/>
  <c r="BB438" i="46"/>
  <c r="BA253" i="46"/>
  <c r="BB253" i="46"/>
  <c r="BA334" i="46"/>
  <c r="BB334" i="46"/>
  <c r="BA153" i="46"/>
  <c r="BB153" i="46"/>
  <c r="AY465" i="46"/>
  <c r="AZ406" i="46"/>
  <c r="BA79" i="46"/>
  <c r="BB79" i="46"/>
  <c r="BA198" i="46"/>
  <c r="BB198" i="46"/>
  <c r="BA460" i="46"/>
  <c r="BB460" i="46"/>
  <c r="BA483" i="46"/>
  <c r="BB483" i="46"/>
  <c r="BA435" i="46"/>
  <c r="BB435" i="46"/>
  <c r="BA429" i="46"/>
  <c r="BB429" i="46"/>
  <c r="BA11" i="46"/>
  <c r="BB11" i="46"/>
  <c r="BA267" i="46"/>
  <c r="BB267" i="46"/>
  <c r="BA243" i="46"/>
  <c r="BB243" i="46"/>
  <c r="BA130" i="46"/>
  <c r="BB130" i="46"/>
  <c r="BA426" i="46"/>
  <c r="BB426" i="46"/>
  <c r="BA521" i="46"/>
  <c r="BB521" i="46"/>
  <c r="BA42" i="46"/>
  <c r="BB42" i="46"/>
  <c r="BA128" i="46"/>
  <c r="BB128" i="46"/>
  <c r="BA351" i="46"/>
  <c r="BB351" i="46"/>
  <c r="BA504" i="46"/>
  <c r="BB504" i="46"/>
  <c r="BA191" i="46"/>
  <c r="BB191" i="46"/>
  <c r="BA367" i="46"/>
  <c r="BB367" i="46"/>
  <c r="BA245" i="46"/>
  <c r="BB245" i="46"/>
  <c r="BA580" i="46"/>
  <c r="BB580" i="46"/>
  <c r="BA154" i="46"/>
  <c r="BB154" i="46"/>
  <c r="BA437" i="46"/>
  <c r="BB437" i="46"/>
  <c r="BA273" i="46"/>
  <c r="BB273" i="46"/>
  <c r="BA389" i="46"/>
  <c r="BB389" i="46"/>
  <c r="BA287" i="46"/>
  <c r="BB287" i="46"/>
  <c r="BA418" i="46"/>
  <c r="BB418" i="46"/>
  <c r="BA36" i="46"/>
  <c r="BB36" i="46"/>
  <c r="AY83" i="46"/>
  <c r="AZ71" i="46"/>
  <c r="BA528" i="46"/>
  <c r="BB528" i="46"/>
  <c r="BA276" i="46"/>
  <c r="BB276" i="46"/>
  <c r="BA78" i="46"/>
  <c r="BB78" i="46"/>
  <c r="BA223" i="46"/>
  <c r="BB223" i="46"/>
  <c r="BA278" i="46"/>
  <c r="BB278" i="46"/>
  <c r="BA214" i="46"/>
  <c r="BB214" i="46"/>
  <c r="BA328" i="46"/>
  <c r="BB328" i="46"/>
  <c r="BA164" i="46"/>
  <c r="BB164" i="46"/>
  <c r="BA162" i="46"/>
  <c r="BB162" i="46"/>
  <c r="BA448" i="46"/>
  <c r="BB448" i="46"/>
  <c r="BA329" i="46"/>
  <c r="BB329" i="46"/>
  <c r="BA540" i="46"/>
  <c r="BB540" i="46"/>
  <c r="BA482" i="46"/>
  <c r="BB482" i="46"/>
  <c r="BA268" i="46"/>
  <c r="BB268" i="46"/>
  <c r="BA353" i="46"/>
  <c r="BB353" i="46"/>
  <c r="BA314" i="46"/>
  <c r="BB314" i="46"/>
  <c r="BA348" i="46"/>
  <c r="BB348" i="46"/>
  <c r="BA489" i="46"/>
  <c r="BB489" i="46"/>
  <c r="BA211" i="46"/>
  <c r="BB211" i="46"/>
  <c r="BA294" i="46"/>
  <c r="BB294" i="46"/>
  <c r="BA280" i="46"/>
  <c r="BB280" i="46"/>
  <c r="BA74" i="46"/>
  <c r="BB74" i="46"/>
  <c r="BA370" i="46"/>
  <c r="BB370" i="46"/>
  <c r="BA413" i="46"/>
  <c r="BB413" i="46"/>
  <c r="BA182" i="46"/>
  <c r="BB182" i="46"/>
  <c r="BA318" i="46"/>
  <c r="BB318" i="46"/>
  <c r="BA436" i="46"/>
  <c r="BB436" i="46"/>
  <c r="BA473" i="46"/>
  <c r="BB473" i="46"/>
  <c r="BA259" i="46"/>
  <c r="BB259" i="46"/>
  <c r="BA309" i="46"/>
  <c r="BB309" i="46"/>
  <c r="BA354" i="46"/>
  <c r="BB354" i="46"/>
  <c r="BA41" i="46"/>
  <c r="BB41" i="46"/>
  <c r="BA158" i="46"/>
  <c r="BB158" i="46"/>
  <c r="BA24" i="46"/>
  <c r="BB24" i="46"/>
  <c r="BA307" i="46"/>
  <c r="BB307" i="46"/>
  <c r="BA533" i="46"/>
  <c r="BB533" i="46"/>
  <c r="BA400" i="46"/>
  <c r="BB400" i="46"/>
  <c r="BA507" i="46"/>
  <c r="BB507" i="46"/>
  <c r="BA409" i="46"/>
  <c r="BB409" i="46"/>
  <c r="BA58" i="46"/>
  <c r="BB58" i="46"/>
  <c r="BA26" i="46"/>
  <c r="BB26" i="46"/>
  <c r="BA342" i="46"/>
  <c r="BB342" i="46"/>
  <c r="BA421" i="46"/>
  <c r="BB421" i="46"/>
  <c r="BA14" i="46"/>
  <c r="BB14" i="46"/>
  <c r="BA236" i="46"/>
  <c r="BB236" i="46"/>
  <c r="BA10" i="46"/>
  <c r="BB10" i="46"/>
  <c r="BA80" i="46"/>
  <c r="BB80" i="46"/>
  <c r="BA90" i="46"/>
  <c r="BB90" i="46"/>
  <c r="BA376" i="46"/>
  <c r="BB376" i="46"/>
  <c r="BA139" i="46"/>
  <c r="BB139" i="46"/>
  <c r="BA250" i="46"/>
  <c r="BB250" i="46"/>
  <c r="BA237" i="46"/>
  <c r="BB237" i="46"/>
  <c r="BA295" i="46"/>
  <c r="BB295" i="46"/>
  <c r="BA347" i="46"/>
  <c r="BB347" i="46"/>
  <c r="BA471" i="46"/>
  <c r="BB471" i="46"/>
  <c r="BA522" i="46"/>
  <c r="BB522" i="46"/>
  <c r="BA494" i="46"/>
  <c r="BB494" i="46"/>
  <c r="BA321" i="46"/>
  <c r="BB321" i="46"/>
  <c r="BA8" i="46"/>
  <c r="BB8" i="46"/>
  <c r="BA37" i="46"/>
  <c r="BB37" i="46"/>
  <c r="BA339" i="46"/>
  <c r="BB339" i="46"/>
  <c r="BA564" i="46"/>
  <c r="BB564" i="46"/>
  <c r="BA571" i="46"/>
  <c r="BB571" i="46"/>
  <c r="BA415" i="46"/>
  <c r="BB415" i="46"/>
  <c r="BA417" i="46"/>
  <c r="BB417" i="46"/>
  <c r="BA290" i="46"/>
  <c r="BB290" i="46"/>
  <c r="BA161" i="46"/>
  <c r="BB161" i="46"/>
  <c r="BA156" i="46"/>
  <c r="BB156" i="46"/>
  <c r="BA160" i="46"/>
  <c r="BB160" i="46"/>
  <c r="BA101" i="46"/>
  <c r="BB101" i="46"/>
  <c r="BA293" i="46"/>
  <c r="BB293" i="46"/>
  <c r="BA469" i="46"/>
  <c r="BB469" i="46"/>
  <c r="BA432" i="46"/>
  <c r="BB432" i="46"/>
  <c r="BA545" i="46"/>
  <c r="BB545" i="46"/>
  <c r="BA89" i="46"/>
  <c r="BB89" i="46"/>
  <c r="BA241" i="46"/>
  <c r="BB241" i="46"/>
  <c r="BA13" i="46"/>
  <c r="BB13" i="46"/>
  <c r="BA337" i="46"/>
  <c r="BB337" i="46"/>
  <c r="BA414" i="46"/>
  <c r="BB414" i="46"/>
  <c r="BA304" i="46"/>
  <c r="BB304" i="46"/>
  <c r="BA257" i="46"/>
  <c r="BB257" i="46"/>
  <c r="BA485" i="46"/>
  <c r="BB485" i="46"/>
  <c r="BA544" i="46"/>
  <c r="BB544" i="46"/>
  <c r="BA135" i="46"/>
  <c r="BB135" i="46"/>
  <c r="BA177" i="46"/>
  <c r="BB177" i="46"/>
  <c r="BA215" i="46"/>
  <c r="BB215" i="46"/>
  <c r="BA306" i="46"/>
  <c r="BB306" i="46"/>
  <c r="BA174" i="46"/>
  <c r="BB174" i="46"/>
  <c r="BA186" i="46"/>
  <c r="BB186" i="46"/>
  <c r="BA397" i="46"/>
  <c r="BB397" i="46"/>
  <c r="BA43" i="46"/>
  <c r="BB43" i="46"/>
  <c r="BC377" i="46"/>
  <c r="BG377" i="46"/>
  <c r="BC320" i="46"/>
  <c r="BG320" i="46"/>
  <c r="BC306" i="46"/>
  <c r="BG306" i="46"/>
  <c r="BC89" i="46"/>
  <c r="BG89" i="46"/>
  <c r="BC161" i="46"/>
  <c r="BG161" i="46"/>
  <c r="BG295" i="46"/>
  <c r="BC295" i="46"/>
  <c r="BC421" i="46"/>
  <c r="BG421" i="46"/>
  <c r="BC158" i="46"/>
  <c r="BG158" i="46"/>
  <c r="BC186" i="46"/>
  <c r="BG186" i="46"/>
  <c r="BC13" i="46"/>
  <c r="BG13" i="46"/>
  <c r="BC545" i="46"/>
  <c r="BG545" i="46"/>
  <c r="BC160" i="46"/>
  <c r="BG160" i="46"/>
  <c r="BC290" i="46"/>
  <c r="BG290" i="46"/>
  <c r="BC571" i="46"/>
  <c r="BG571" i="46"/>
  <c r="BC400" i="46"/>
  <c r="BG400" i="46"/>
  <c r="BC309" i="46"/>
  <c r="BG309" i="46"/>
  <c r="BC182" i="46"/>
  <c r="BG182" i="46"/>
  <c r="BG353" i="46"/>
  <c r="BC353" i="46"/>
  <c r="BC540" i="46"/>
  <c r="BG540" i="46"/>
  <c r="BC78" i="46"/>
  <c r="BG78" i="46"/>
  <c r="BC287" i="46"/>
  <c r="BG287" i="46"/>
  <c r="BC154" i="46"/>
  <c r="BG154" i="46"/>
  <c r="BC367" i="46"/>
  <c r="BG367" i="46"/>
  <c r="BG351" i="46"/>
  <c r="BC351" i="46"/>
  <c r="BG429" i="46"/>
  <c r="BC429" i="46"/>
  <c r="BC153" i="46"/>
  <c r="BG153" i="46"/>
  <c r="BC188" i="46"/>
  <c r="BG188" i="46"/>
  <c r="BC392" i="46"/>
  <c r="BG392" i="46"/>
  <c r="BG539" i="46"/>
  <c r="BC539" i="46"/>
  <c r="BC136" i="46"/>
  <c r="BG136" i="46"/>
  <c r="BC39" i="46"/>
  <c r="BG39" i="46"/>
  <c r="BG221" i="46"/>
  <c r="BC221" i="46"/>
  <c r="BG355" i="46"/>
  <c r="BC355" i="46"/>
  <c r="BC279" i="46"/>
  <c r="BG279" i="46"/>
  <c r="BC57" i="46"/>
  <c r="BG57" i="46"/>
  <c r="BG578" i="46"/>
  <c r="BC578" i="46"/>
  <c r="BC554" i="46"/>
  <c r="BG554" i="46"/>
  <c r="BC44" i="46"/>
  <c r="BG44" i="46"/>
  <c r="BC420" i="46"/>
  <c r="BG420" i="46"/>
  <c r="BC185" i="46"/>
  <c r="BG185" i="46"/>
  <c r="BC538" i="46"/>
  <c r="BG538" i="46"/>
  <c r="BC291" i="46"/>
  <c r="BG291" i="46"/>
  <c r="BC297" i="46"/>
  <c r="BG297" i="46"/>
  <c r="BC419" i="46"/>
  <c r="BG419" i="46"/>
  <c r="BC524" i="46"/>
  <c r="BG524" i="46"/>
  <c r="BC423" i="46"/>
  <c r="BG423" i="46"/>
  <c r="BC269" i="46"/>
  <c r="BG269" i="46"/>
  <c r="BC102" i="46"/>
  <c r="BG102" i="46"/>
  <c r="BC228" i="46"/>
  <c r="BG228" i="46"/>
  <c r="BC275" i="46"/>
  <c r="BG275" i="46"/>
  <c r="BC184" i="46"/>
  <c r="BG184" i="46"/>
  <c r="BG439" i="46"/>
  <c r="BC439" i="46"/>
  <c r="BC114" i="46"/>
  <c r="BG114" i="46"/>
  <c r="BC254" i="46"/>
  <c r="BG254" i="46"/>
  <c r="BC159" i="46"/>
  <c r="BG159" i="46"/>
  <c r="BC138" i="46"/>
  <c r="BG138" i="46"/>
  <c r="BC442" i="46"/>
  <c r="BG442" i="46"/>
  <c r="BC59" i="46"/>
  <c r="BG59" i="46"/>
  <c r="BC398" i="46"/>
  <c r="BG398" i="46"/>
  <c r="BC364" i="46"/>
  <c r="BG364" i="46"/>
  <c r="BC261" i="46"/>
  <c r="BG261" i="46"/>
  <c r="BC432" i="46"/>
  <c r="BG432" i="46"/>
  <c r="BC471" i="46"/>
  <c r="BG471" i="46"/>
  <c r="BC409" i="46"/>
  <c r="BG409" i="46"/>
  <c r="BC436" i="46"/>
  <c r="BG436" i="46"/>
  <c r="BC348" i="46"/>
  <c r="BG348" i="46"/>
  <c r="BC329" i="46"/>
  <c r="BG329" i="46"/>
  <c r="BC278" i="46"/>
  <c r="BG278" i="46"/>
  <c r="BC389" i="46"/>
  <c r="BG389" i="46"/>
  <c r="BC191" i="46"/>
  <c r="BG191" i="46"/>
  <c r="BC243" i="46"/>
  <c r="BG243" i="46"/>
  <c r="BC79" i="46"/>
  <c r="BG79" i="46"/>
  <c r="BG334" i="46"/>
  <c r="BC334" i="46"/>
  <c r="BC434" i="46"/>
  <c r="BG434" i="46"/>
  <c r="BC451" i="46"/>
  <c r="BG451" i="46"/>
  <c r="BC333" i="46"/>
  <c r="BG333" i="46"/>
  <c r="BC103" i="46"/>
  <c r="BG103" i="46"/>
  <c r="BC170" i="46"/>
  <c r="BG170" i="46"/>
  <c r="BG303" i="46"/>
  <c r="BC303" i="46"/>
  <c r="BC206" i="46"/>
  <c r="BG206" i="46"/>
  <c r="BC265" i="46"/>
  <c r="BG265" i="46"/>
  <c r="BG548" i="46"/>
  <c r="BC548" i="46"/>
  <c r="BC568" i="46"/>
  <c r="BG568" i="46"/>
  <c r="BC472" i="46"/>
  <c r="BG472" i="46"/>
  <c r="BC110" i="46"/>
  <c r="BG110" i="46"/>
  <c r="BC441" i="46"/>
  <c r="BG441" i="46"/>
  <c r="BC167" i="46"/>
  <c r="BG167" i="46"/>
  <c r="BC550" i="46"/>
  <c r="BG550" i="46"/>
  <c r="BG213" i="46"/>
  <c r="BC213" i="46"/>
  <c r="BC311" i="46"/>
  <c r="BG311" i="46"/>
  <c r="BC173" i="46"/>
  <c r="BG173" i="46"/>
  <c r="BC365" i="46"/>
  <c r="BG365" i="46"/>
  <c r="BC474" i="46"/>
  <c r="BG474" i="46"/>
  <c r="BC238" i="46"/>
  <c r="BG238" i="46"/>
  <c r="BC380" i="46"/>
  <c r="BG380" i="46"/>
  <c r="BC455" i="46"/>
  <c r="BG455" i="46"/>
  <c r="BC12" i="46"/>
  <c r="BG12" i="46"/>
  <c r="BC271" i="46"/>
  <c r="BG271" i="46"/>
  <c r="BC312" i="46"/>
  <c r="BG312" i="46"/>
  <c r="BC92" i="46"/>
  <c r="BG92" i="46"/>
  <c r="BC363" i="46"/>
  <c r="BG363" i="46"/>
  <c r="BC572" i="46"/>
  <c r="BG572" i="46"/>
  <c r="BC286" i="46"/>
  <c r="BG286" i="46"/>
  <c r="BC486" i="46"/>
  <c r="BG486" i="46"/>
  <c r="BC141" i="46"/>
  <c r="BG141" i="46"/>
  <c r="BC536" i="46"/>
  <c r="BG536" i="46"/>
  <c r="BC289" i="46"/>
  <c r="BG289" i="46"/>
  <c r="BC371" i="46"/>
  <c r="BG371" i="46"/>
  <c r="BC369" i="46"/>
  <c r="BG369" i="46"/>
  <c r="BC345" i="46"/>
  <c r="BG345" i="46"/>
  <c r="BC203" i="46"/>
  <c r="BG203" i="46"/>
  <c r="BC458" i="46"/>
  <c r="BG458" i="46"/>
  <c r="BC569" i="46"/>
  <c r="BG569" i="46"/>
  <c r="BC222" i="46"/>
  <c r="BG222" i="46"/>
  <c r="BG544" i="46"/>
  <c r="BC544" i="46"/>
  <c r="BC417" i="46"/>
  <c r="BG417" i="46"/>
  <c r="BC80" i="46"/>
  <c r="BG80" i="46"/>
  <c r="BC177" i="46"/>
  <c r="BG177" i="46"/>
  <c r="BC494" i="46"/>
  <c r="BG494" i="46"/>
  <c r="BC347" i="46"/>
  <c r="BG347" i="46"/>
  <c r="BC376" i="46"/>
  <c r="BG376" i="46"/>
  <c r="BC14" i="46"/>
  <c r="BG14" i="46"/>
  <c r="BC26" i="46"/>
  <c r="BG26" i="46"/>
  <c r="BC280" i="46"/>
  <c r="BG280" i="46"/>
  <c r="BC448" i="46"/>
  <c r="BG448" i="46"/>
  <c r="BG328" i="46"/>
  <c r="BC328" i="46"/>
  <c r="BC36" i="46"/>
  <c r="BG36" i="46"/>
  <c r="BC273" i="46"/>
  <c r="BG273" i="46"/>
  <c r="BC426" i="46"/>
  <c r="BG426" i="46"/>
  <c r="BC267" i="46"/>
  <c r="BG267" i="46"/>
  <c r="BC443" i="46"/>
  <c r="BG443" i="46"/>
  <c r="BG25" i="46"/>
  <c r="BC25" i="46"/>
  <c r="BC112" i="46"/>
  <c r="BG112" i="46"/>
  <c r="BC34" i="46"/>
  <c r="BG34" i="46"/>
  <c r="BC260" i="46"/>
  <c r="BG260" i="46"/>
  <c r="BC324" i="46"/>
  <c r="BG324" i="46"/>
  <c r="BC479" i="46"/>
  <c r="BG479" i="46"/>
  <c r="BC505" i="46"/>
  <c r="BG505" i="46"/>
  <c r="BC487" i="46"/>
  <c r="BG487" i="46"/>
  <c r="BC430" i="46"/>
  <c r="BG430" i="46"/>
  <c r="BC449" i="46"/>
  <c r="BG449" i="46"/>
  <c r="BC316" i="46"/>
  <c r="BG316" i="46"/>
  <c r="BC207" i="46"/>
  <c r="BG207" i="46"/>
  <c r="BC335" i="46"/>
  <c r="BG335" i="46"/>
  <c r="BC38" i="46"/>
  <c r="BG38" i="46"/>
  <c r="BC9" i="46"/>
  <c r="BG9" i="46"/>
  <c r="BC200" i="46"/>
  <c r="BG200" i="46"/>
  <c r="BC55" i="46"/>
  <c r="BG55" i="46"/>
  <c r="BC143" i="46"/>
  <c r="BG143" i="46"/>
  <c r="BC390" i="46"/>
  <c r="BG390" i="46"/>
  <c r="BC477" i="46"/>
  <c r="BG477" i="46"/>
  <c r="BC277" i="46"/>
  <c r="BG277" i="46"/>
  <c r="BC368" i="46"/>
  <c r="BG368" i="46"/>
  <c r="BC31" i="46"/>
  <c r="BG31" i="46"/>
  <c r="BC475" i="46"/>
  <c r="BG475" i="46"/>
  <c r="BC63" i="46"/>
  <c r="BG63" i="46"/>
  <c r="BC226" i="46"/>
  <c r="BG226" i="46"/>
  <c r="BC202" i="46"/>
  <c r="BG202" i="46"/>
  <c r="BC461" i="46"/>
  <c r="BG461" i="46"/>
  <c r="BC217" i="46"/>
  <c r="BG217" i="46"/>
  <c r="BC232" i="46"/>
  <c r="BG232" i="46"/>
  <c r="BC264" i="46"/>
  <c r="BG264" i="46"/>
  <c r="BG292" i="46"/>
  <c r="BC292" i="46"/>
  <c r="BC246" i="46"/>
  <c r="BG246" i="46"/>
  <c r="BC178" i="46"/>
  <c r="BG178" i="46"/>
  <c r="BC526" i="46"/>
  <c r="BG526" i="46"/>
  <c r="BC62" i="46"/>
  <c r="BG62" i="46"/>
  <c r="BC547" i="46"/>
  <c r="BG547" i="46"/>
  <c r="BC453" i="46"/>
  <c r="BG453" i="46"/>
  <c r="BC532" i="46"/>
  <c r="BG532" i="46"/>
  <c r="BG518" i="46"/>
  <c r="BC518" i="46"/>
  <c r="BC387" i="46"/>
  <c r="BG387" i="46"/>
  <c r="BC212" i="46"/>
  <c r="BG212" i="46"/>
  <c r="BC567" i="46"/>
  <c r="BG567" i="46"/>
  <c r="BC336" i="46"/>
  <c r="BG336" i="46"/>
  <c r="BC391" i="46"/>
  <c r="BG391" i="46"/>
  <c r="BC27" i="46"/>
  <c r="BG27" i="46"/>
  <c r="BC230" i="46"/>
  <c r="BG230" i="46"/>
  <c r="BC397" i="46"/>
  <c r="BG397" i="46"/>
  <c r="BC8" i="46"/>
  <c r="BG8" i="46"/>
  <c r="BC370" i="46"/>
  <c r="BG370" i="46"/>
  <c r="BC482" i="46"/>
  <c r="BG482" i="46"/>
  <c r="BC162" i="46"/>
  <c r="BG162" i="46"/>
  <c r="BC528" i="46"/>
  <c r="BG528" i="46"/>
  <c r="BC418" i="46"/>
  <c r="BG418" i="46"/>
  <c r="BC437" i="46"/>
  <c r="BG437" i="46"/>
  <c r="BC245" i="46"/>
  <c r="BG245" i="46"/>
  <c r="BC42" i="46"/>
  <c r="BG42" i="46"/>
  <c r="BC11" i="46"/>
  <c r="BG11" i="46"/>
  <c r="BC396" i="46"/>
  <c r="BG396" i="46"/>
  <c r="BC195" i="46"/>
  <c r="BG195" i="46"/>
  <c r="BC88" i="46"/>
  <c r="BG88" i="46"/>
  <c r="BC15" i="46"/>
  <c r="BG15" i="46"/>
  <c r="BC410" i="46"/>
  <c r="BG410" i="46"/>
  <c r="BC258" i="46"/>
  <c r="BG258" i="46"/>
  <c r="BC229" i="46"/>
  <c r="BG229" i="46"/>
  <c r="BC298" i="46"/>
  <c r="BG298" i="46"/>
  <c r="BC510" i="46"/>
  <c r="BG510" i="46"/>
  <c r="BC219" i="46"/>
  <c r="BG219" i="46"/>
  <c r="BC530" i="46"/>
  <c r="BG530" i="46"/>
  <c r="BG284" i="46"/>
  <c r="BC284" i="46"/>
  <c r="BC562" i="46"/>
  <c r="BG562" i="46"/>
  <c r="BC302" i="46"/>
  <c r="BG302" i="46"/>
  <c r="BC288" i="46"/>
  <c r="BG288" i="46"/>
  <c r="BC493" i="46"/>
  <c r="BG493" i="46"/>
  <c r="BC196" i="46"/>
  <c r="BG196" i="46"/>
  <c r="BC296" i="46"/>
  <c r="BG296" i="46"/>
  <c r="BC362" i="46"/>
  <c r="BG362" i="46"/>
  <c r="BC408" i="46"/>
  <c r="BG408" i="46"/>
  <c r="BC332" i="46"/>
  <c r="BG332" i="46"/>
  <c r="BC394" i="46"/>
  <c r="BG394" i="46"/>
  <c r="BC563" i="46"/>
  <c r="BG563" i="46"/>
  <c r="BC40" i="46"/>
  <c r="BG40" i="46"/>
  <c r="BC220" i="46"/>
  <c r="BG220" i="46"/>
  <c r="BC299" i="46"/>
  <c r="BG299" i="46"/>
  <c r="BC163" i="46"/>
  <c r="BG163" i="46"/>
  <c r="BC565" i="46"/>
  <c r="BG565" i="46"/>
  <c r="BG447" i="46"/>
  <c r="BC447" i="46"/>
  <c r="BC481" i="46"/>
  <c r="BG481" i="46"/>
  <c r="BC373" i="46"/>
  <c r="BG373" i="46"/>
  <c r="BC122" i="46"/>
  <c r="BG122" i="46"/>
  <c r="BC123" i="46"/>
  <c r="BG123" i="46"/>
  <c r="BC305" i="46"/>
  <c r="BG305" i="46"/>
  <c r="BC444" i="46"/>
  <c r="BG444" i="46"/>
  <c r="BC255" i="46"/>
  <c r="BG255" i="46"/>
  <c r="BC76" i="46"/>
  <c r="BG76" i="46"/>
  <c r="BC537" i="46"/>
  <c r="BG537" i="46"/>
  <c r="BC168" i="46"/>
  <c r="BG168" i="46"/>
  <c r="BC201" i="46"/>
  <c r="BG201" i="46"/>
  <c r="BC180" i="46"/>
  <c r="BG180" i="46"/>
  <c r="BC456" i="46"/>
  <c r="BG456" i="46"/>
  <c r="BC339" i="46"/>
  <c r="BG339" i="46"/>
  <c r="BC215" i="46"/>
  <c r="BG215" i="46"/>
  <c r="BC304" i="46"/>
  <c r="BG304" i="46"/>
  <c r="BC156" i="46"/>
  <c r="BG156" i="46"/>
  <c r="BC564" i="46"/>
  <c r="BG564" i="46"/>
  <c r="BG321" i="46"/>
  <c r="BC321" i="46"/>
  <c r="BC237" i="46"/>
  <c r="BG237" i="46"/>
  <c r="BC10" i="46"/>
  <c r="BG10" i="46"/>
  <c r="BC58" i="46"/>
  <c r="BG58" i="46"/>
  <c r="BC24" i="46"/>
  <c r="BG24" i="46"/>
  <c r="BC318" i="46"/>
  <c r="BG318" i="46"/>
  <c r="AZ557" i="46"/>
  <c r="BA516" i="46"/>
  <c r="BA557" i="46"/>
  <c r="BA6" i="46"/>
  <c r="BA19" i="46"/>
  <c r="AZ19" i="46"/>
  <c r="BA86" i="46"/>
  <c r="BA97" i="46"/>
  <c r="AZ97" i="46"/>
  <c r="BA120" i="46"/>
  <c r="BA358" i="46"/>
  <c r="AZ358" i="46"/>
  <c r="BC140" i="46"/>
  <c r="BG140" i="46"/>
  <c r="BC73" i="46"/>
  <c r="BG73" i="46"/>
  <c r="BG349" i="46"/>
  <c r="BC349" i="46"/>
  <c r="BC172" i="46"/>
  <c r="BG172" i="46"/>
  <c r="BA503" i="46"/>
  <c r="BA513" i="46"/>
  <c r="AZ513" i="46"/>
  <c r="BC476" i="46"/>
  <c r="BG476" i="46"/>
  <c r="BC93" i="46"/>
  <c r="BG93" i="46"/>
  <c r="BC427" i="46"/>
  <c r="BG427" i="46"/>
  <c r="BC325" i="46"/>
  <c r="BG325" i="46"/>
  <c r="BC549" i="46"/>
  <c r="BG549" i="46"/>
  <c r="BC125" i="46"/>
  <c r="BG125" i="46"/>
  <c r="BC566" i="46"/>
  <c r="BG566" i="46"/>
  <c r="BA109" i="46"/>
  <c r="BA117" i="46"/>
  <c r="AZ117" i="46"/>
  <c r="BC171" i="46"/>
  <c r="BG171" i="46"/>
  <c r="BG541" i="46"/>
  <c r="BC541" i="46"/>
  <c r="BC151" i="46"/>
  <c r="BG151" i="46"/>
  <c r="BC372" i="46"/>
  <c r="BG372" i="46"/>
  <c r="BC64" i="46"/>
  <c r="BG64" i="46"/>
  <c r="BC414" i="46"/>
  <c r="BG414" i="46"/>
  <c r="BC307" i="46"/>
  <c r="BG307" i="46"/>
  <c r="BG354" i="46"/>
  <c r="BC354" i="46"/>
  <c r="BC259" i="46"/>
  <c r="BG259" i="46"/>
  <c r="BC211" i="46"/>
  <c r="BG211" i="46"/>
  <c r="BC435" i="46"/>
  <c r="BG435" i="46"/>
  <c r="BC460" i="46"/>
  <c r="BG460" i="46"/>
  <c r="BC253" i="46"/>
  <c r="BG253" i="46"/>
  <c r="BC300" i="46"/>
  <c r="BG300" i="46"/>
  <c r="BC561" i="46"/>
  <c r="BG561" i="46"/>
  <c r="BC234" i="46"/>
  <c r="BG234" i="46"/>
  <c r="BC343" i="46"/>
  <c r="BG343" i="46"/>
  <c r="BC497" i="46"/>
  <c r="BG497" i="46"/>
  <c r="BC433" i="46"/>
  <c r="BG433" i="46"/>
  <c r="BC224" i="46"/>
  <c r="BG224" i="46"/>
  <c r="BC242" i="46"/>
  <c r="BG242" i="46"/>
  <c r="BC205" i="46"/>
  <c r="BG205" i="46"/>
  <c r="BC452" i="46"/>
  <c r="BG452" i="46"/>
  <c r="BG327" i="46"/>
  <c r="BC327" i="46"/>
  <c r="BC313" i="46"/>
  <c r="BG313" i="46"/>
  <c r="BC341" i="46"/>
  <c r="BG341" i="46"/>
  <c r="BC422" i="46"/>
  <c r="BG422" i="46"/>
  <c r="BC393" i="46"/>
  <c r="BG393" i="46"/>
  <c r="BC412" i="46"/>
  <c r="BG412" i="46"/>
  <c r="BC424" i="46"/>
  <c r="BG424" i="46"/>
  <c r="BC454" i="46"/>
  <c r="BG454" i="46"/>
  <c r="BC395" i="46"/>
  <c r="BG395" i="46"/>
  <c r="BC248" i="46"/>
  <c r="BG248" i="46"/>
  <c r="BC315" i="46"/>
  <c r="BG315" i="46"/>
  <c r="BC322" i="46"/>
  <c r="BG322" i="46"/>
  <c r="BG350" i="46"/>
  <c r="BC350" i="46"/>
  <c r="BC462" i="46"/>
  <c r="BG462" i="46"/>
  <c r="BC23" i="46"/>
  <c r="BG23" i="46"/>
  <c r="BC61" i="46"/>
  <c r="BG61" i="46"/>
  <c r="BC263" i="46"/>
  <c r="BG263" i="46"/>
  <c r="BC35" i="46"/>
  <c r="BG35" i="46"/>
  <c r="BC54" i="46"/>
  <c r="BG54" i="46"/>
  <c r="AY582" i="46"/>
  <c r="BC431" i="46"/>
  <c r="BG431" i="46"/>
  <c r="BG495" i="46"/>
  <c r="BC495" i="46"/>
  <c r="BC450" i="46"/>
  <c r="BG450" i="46"/>
  <c r="BC56" i="46"/>
  <c r="BG56" i="46"/>
  <c r="BC416" i="46"/>
  <c r="BG416" i="46"/>
  <c r="BC199" i="46"/>
  <c r="BG199" i="46"/>
  <c r="BC244" i="46"/>
  <c r="BG244" i="46"/>
  <c r="BC209" i="46"/>
  <c r="BG209" i="46"/>
  <c r="BC240" i="46"/>
  <c r="BG240" i="46"/>
  <c r="BC65" i="46"/>
  <c r="BG65" i="46"/>
  <c r="BC43" i="46"/>
  <c r="BG43" i="46"/>
  <c r="BC250" i="46"/>
  <c r="BG250" i="46"/>
  <c r="BC236" i="46"/>
  <c r="BG236" i="46"/>
  <c r="BC135" i="46"/>
  <c r="BG135" i="46"/>
  <c r="BC241" i="46"/>
  <c r="BG241" i="46"/>
  <c r="BG101" i="46"/>
  <c r="BC101" i="46"/>
  <c r="BC415" i="46"/>
  <c r="BG415" i="46"/>
  <c r="BC522" i="46"/>
  <c r="BG522" i="46"/>
  <c r="BC139" i="46"/>
  <c r="BG139" i="46"/>
  <c r="BC342" i="46"/>
  <c r="BG342" i="46"/>
  <c r="BC533" i="46"/>
  <c r="BG533" i="46"/>
  <c r="BC413" i="46"/>
  <c r="BG413" i="46"/>
  <c r="BG294" i="46"/>
  <c r="BC294" i="46"/>
  <c r="BC489" i="46"/>
  <c r="BG489" i="46"/>
  <c r="BG268" i="46"/>
  <c r="BC268" i="46"/>
  <c r="BC164" i="46"/>
  <c r="BG164" i="46"/>
  <c r="BC214" i="46"/>
  <c r="BG214" i="46"/>
  <c r="BC223" i="46"/>
  <c r="BG223" i="46"/>
  <c r="BC276" i="46"/>
  <c r="BG276" i="46"/>
  <c r="BA71" i="46"/>
  <c r="BA83" i="46"/>
  <c r="AZ83" i="46"/>
  <c r="BG580" i="46"/>
  <c r="BC580" i="46"/>
  <c r="BC504" i="46"/>
  <c r="BG504" i="46"/>
  <c r="BC128" i="46"/>
  <c r="BG128" i="46"/>
  <c r="BC521" i="46"/>
  <c r="BG521" i="46"/>
  <c r="BC130" i="46"/>
  <c r="BG130" i="46"/>
  <c r="BC483" i="46"/>
  <c r="BG483" i="46"/>
  <c r="BG198" i="46"/>
  <c r="BC198" i="46"/>
  <c r="AZ465" i="46"/>
  <c r="BA406" i="46"/>
  <c r="BA465" i="46"/>
  <c r="BC438" i="46"/>
  <c r="BG438" i="46"/>
  <c r="BC132" i="46"/>
  <c r="BG132" i="46"/>
  <c r="BC208" i="46"/>
  <c r="BG208" i="46"/>
  <c r="BC210" i="46"/>
  <c r="BG210" i="46"/>
  <c r="BC47" i="46"/>
  <c r="BG47" i="46"/>
  <c r="AZ50" i="46"/>
  <c r="BA22" i="46"/>
  <c r="BA50" i="46"/>
  <c r="BC496" i="46"/>
  <c r="BG496" i="46"/>
  <c r="BG425" i="46"/>
  <c r="BC425" i="46"/>
  <c r="BC470" i="46"/>
  <c r="BG470" i="46"/>
  <c r="BG338" i="46"/>
  <c r="BC338" i="46"/>
  <c r="BC308" i="46"/>
  <c r="BG308" i="46"/>
  <c r="BA560" i="46"/>
  <c r="BA575" i="46"/>
  <c r="AZ575" i="46"/>
  <c r="BC152" i="46"/>
  <c r="BG152" i="46"/>
  <c r="AZ106" i="46"/>
  <c r="BA100" i="46"/>
  <c r="BA106" i="46"/>
  <c r="BC525" i="46"/>
  <c r="BG525" i="46"/>
  <c r="BC527" i="46"/>
  <c r="BG527" i="46"/>
  <c r="BC32" i="46"/>
  <c r="BG32" i="46"/>
  <c r="BC192" i="46"/>
  <c r="BG192" i="46"/>
  <c r="BC144" i="46"/>
  <c r="BG144" i="46"/>
  <c r="BC129" i="46"/>
  <c r="BG129" i="46"/>
  <c r="BC281" i="46"/>
  <c r="BG281" i="46"/>
  <c r="BC331" i="46"/>
  <c r="BG331" i="46"/>
  <c r="BC131" i="46"/>
  <c r="BG131" i="46"/>
  <c r="BG519" i="46"/>
  <c r="BC519" i="46"/>
  <c r="AZ403" i="46"/>
  <c r="BA386" i="46"/>
  <c r="BA403" i="46"/>
  <c r="BC535" i="46"/>
  <c r="BG535" i="46"/>
  <c r="BC270" i="46"/>
  <c r="BG270" i="46"/>
  <c r="BC7" i="46"/>
  <c r="BG7" i="46"/>
  <c r="BC231" i="46"/>
  <c r="BG231" i="46"/>
  <c r="BC340" i="46"/>
  <c r="BG340" i="46"/>
  <c r="BC249" i="46"/>
  <c r="BG249" i="46"/>
  <c r="BC407" i="46"/>
  <c r="BG407" i="46"/>
  <c r="BC274" i="46"/>
  <c r="BG274" i="46"/>
  <c r="BC523" i="46"/>
  <c r="BG523" i="46"/>
  <c r="BG570" i="46"/>
  <c r="BC570" i="46"/>
  <c r="BC127" i="46"/>
  <c r="BG127" i="46"/>
  <c r="BG323" i="46"/>
  <c r="BC323" i="46"/>
  <c r="BC91" i="46"/>
  <c r="BG91" i="46"/>
  <c r="BC147" i="46"/>
  <c r="BG147" i="46"/>
  <c r="BC459" i="46"/>
  <c r="BG459" i="46"/>
  <c r="BC520" i="46"/>
  <c r="BG520" i="46"/>
  <c r="BC330" i="46"/>
  <c r="BG330" i="46"/>
  <c r="BC133" i="46"/>
  <c r="BG133" i="46"/>
  <c r="BC529" i="46"/>
  <c r="BG529" i="46"/>
  <c r="BC155" i="46"/>
  <c r="BG155" i="46"/>
  <c r="BC428" i="46"/>
  <c r="BG428" i="46"/>
  <c r="BC146" i="46"/>
  <c r="BG146" i="46"/>
  <c r="BC126" i="46"/>
  <c r="BG126" i="46"/>
  <c r="BC189" i="46"/>
  <c r="BG189" i="46"/>
  <c r="BC491" i="46"/>
  <c r="BG491" i="46"/>
  <c r="BC283" i="46"/>
  <c r="BG283" i="46"/>
  <c r="BC509" i="46"/>
  <c r="BG509" i="46"/>
  <c r="BG87" i="46"/>
  <c r="BC87" i="46"/>
  <c r="BC121" i="46"/>
  <c r="BG121" i="46"/>
  <c r="BC484" i="46"/>
  <c r="BG484" i="46"/>
  <c r="BC374" i="46"/>
  <c r="BG374" i="46"/>
  <c r="BC124" i="46"/>
  <c r="BG124" i="46"/>
  <c r="BG352" i="46"/>
  <c r="BC352" i="46"/>
  <c r="BC193" i="46"/>
  <c r="BG193" i="46"/>
  <c r="BC285" i="46"/>
  <c r="BG285" i="46"/>
  <c r="BC148" i="46"/>
  <c r="BG148" i="46"/>
  <c r="BC94" i="46"/>
  <c r="BG94" i="46"/>
  <c r="BC150" i="46"/>
  <c r="BG150" i="46"/>
  <c r="BC480" i="46"/>
  <c r="BG480" i="46"/>
  <c r="BC28" i="46"/>
  <c r="BG28" i="46"/>
  <c r="BC187" i="46"/>
  <c r="BG187" i="46"/>
  <c r="BC165" i="46"/>
  <c r="BG165" i="46"/>
  <c r="BG551" i="46"/>
  <c r="BC551" i="46"/>
  <c r="BC166" i="46"/>
  <c r="BG166" i="46"/>
  <c r="BC282" i="46"/>
  <c r="BG282" i="46"/>
  <c r="BC16" i="46"/>
  <c r="BG16" i="46"/>
  <c r="BC344" i="46"/>
  <c r="BG344" i="46"/>
  <c r="BC531" i="46"/>
  <c r="BG531" i="46"/>
  <c r="BC194" i="46"/>
  <c r="BG194" i="46"/>
  <c r="BC33" i="46"/>
  <c r="BG33" i="46"/>
  <c r="BC218" i="46"/>
  <c r="BG218" i="46"/>
  <c r="BC247" i="46"/>
  <c r="BG247" i="46"/>
  <c r="BC179" i="46"/>
  <c r="BG179" i="46"/>
  <c r="BC262" i="46"/>
  <c r="BG262" i="46"/>
  <c r="BC225" i="46"/>
  <c r="BG225" i="46"/>
  <c r="BA361" i="46"/>
  <c r="BA383" i="46"/>
  <c r="AZ383" i="46"/>
  <c r="AZ68" i="46"/>
  <c r="BA53" i="46"/>
  <c r="BA68" i="46"/>
  <c r="BC440" i="46"/>
  <c r="BG440" i="46"/>
  <c r="BC445" i="46"/>
  <c r="BG445" i="46"/>
  <c r="BC346" i="46"/>
  <c r="BG346" i="46"/>
  <c r="BC256" i="46"/>
  <c r="BG256" i="46"/>
  <c r="BC378" i="46"/>
  <c r="BG378" i="46"/>
  <c r="BC379" i="46"/>
  <c r="BG379" i="46"/>
  <c r="BC490" i="46"/>
  <c r="BG490" i="46"/>
  <c r="BC134" i="46"/>
  <c r="BG134" i="46"/>
  <c r="BC169" i="46"/>
  <c r="BG169" i="46"/>
  <c r="BG301" i="46"/>
  <c r="BC301" i="46"/>
  <c r="BC506" i="46"/>
  <c r="BG506" i="46"/>
  <c r="BC197" i="46"/>
  <c r="BG197" i="46"/>
  <c r="BC227" i="46"/>
  <c r="BG227" i="46"/>
  <c r="BG517" i="46"/>
  <c r="BC517" i="46"/>
  <c r="BC175" i="46"/>
  <c r="BG175" i="46"/>
  <c r="BC111" i="46"/>
  <c r="BG111" i="46"/>
  <c r="BC326" i="46"/>
  <c r="BG326" i="46"/>
  <c r="BC233" i="46"/>
  <c r="BG233" i="46"/>
  <c r="BC77" i="46"/>
  <c r="BG77" i="46"/>
  <c r="BC411" i="46"/>
  <c r="BG411" i="46"/>
  <c r="BC534" i="46"/>
  <c r="BG534" i="46"/>
  <c r="BC183" i="46"/>
  <c r="BG183" i="46"/>
  <c r="BC239" i="46"/>
  <c r="BG239" i="46"/>
  <c r="BC46" i="46"/>
  <c r="BG46" i="46"/>
  <c r="BC366" i="46"/>
  <c r="BG366" i="46"/>
  <c r="BC553" i="46"/>
  <c r="BG553" i="46"/>
  <c r="BC235" i="46"/>
  <c r="BG235" i="46"/>
  <c r="BC145" i="46"/>
  <c r="BG145" i="46"/>
  <c r="BC272" i="46"/>
  <c r="BG272" i="46"/>
  <c r="BG399" i="46"/>
  <c r="BC399" i="46"/>
  <c r="BG552" i="46"/>
  <c r="BC552" i="46"/>
  <c r="BC181" i="46"/>
  <c r="BG181" i="46"/>
  <c r="BC478" i="46"/>
  <c r="BG478" i="46"/>
  <c r="BC60" i="46"/>
  <c r="BG60" i="46"/>
  <c r="BC72" i="46"/>
  <c r="BG72" i="46"/>
  <c r="BC488" i="46"/>
  <c r="BG488" i="46"/>
  <c r="BC543" i="46"/>
  <c r="BG543" i="46"/>
  <c r="BG317" i="46"/>
  <c r="BC317" i="46"/>
  <c r="BC216" i="46"/>
  <c r="BG216" i="46"/>
  <c r="BC446" i="46"/>
  <c r="BG446" i="46"/>
  <c r="BC75" i="46"/>
  <c r="BG75" i="46"/>
  <c r="BC204" i="46"/>
  <c r="BG204" i="46"/>
  <c r="BC266" i="46"/>
  <c r="BG266" i="46"/>
  <c r="BC310" i="46"/>
  <c r="BG310" i="46"/>
  <c r="BC492" i="46"/>
  <c r="BG492" i="46"/>
  <c r="BC29" i="46"/>
  <c r="BG29" i="46"/>
  <c r="BC157" i="46"/>
  <c r="BG157" i="46"/>
  <c r="BC45" i="46"/>
  <c r="BG45" i="46"/>
  <c r="BC457" i="46"/>
  <c r="BG457" i="46"/>
  <c r="BG251" i="46"/>
  <c r="BC251" i="46"/>
  <c r="BC388" i="46"/>
  <c r="BG388" i="46"/>
  <c r="BC190" i="46"/>
  <c r="BG190" i="46"/>
  <c r="BG252" i="46"/>
  <c r="BC252" i="46"/>
  <c r="BC542" i="46"/>
  <c r="BG542" i="46"/>
  <c r="BC176" i="46"/>
  <c r="BG176" i="46"/>
  <c r="BC508" i="46"/>
  <c r="BG508" i="46"/>
  <c r="BG375" i="46"/>
  <c r="BC375" i="46"/>
  <c r="BC149" i="46"/>
  <c r="BG149" i="46"/>
  <c r="BA468" i="46"/>
  <c r="BA500" i="46"/>
  <c r="AZ500" i="46"/>
  <c r="BC546" i="46"/>
  <c r="BG546" i="46"/>
  <c r="BC30" i="46"/>
  <c r="BG30" i="46"/>
  <c r="BC142" i="46"/>
  <c r="BG142" i="46"/>
  <c r="BC137" i="46"/>
  <c r="BG137" i="46"/>
  <c r="BC113" i="46"/>
  <c r="BG113" i="46"/>
  <c r="BC257" i="46"/>
  <c r="BG257" i="46"/>
  <c r="BG293" i="46"/>
  <c r="BC293" i="46"/>
  <c r="BC174" i="46"/>
  <c r="BG174" i="46"/>
  <c r="BC485" i="46"/>
  <c r="BG485" i="46"/>
  <c r="BG337" i="46"/>
  <c r="BC337" i="46"/>
  <c r="BC469" i="46"/>
  <c r="BG469" i="46"/>
  <c r="BC37" i="46"/>
  <c r="BG37" i="46"/>
  <c r="BC90" i="46"/>
  <c r="BG90" i="46"/>
  <c r="BC507" i="46"/>
  <c r="BG507" i="46"/>
  <c r="BC41" i="46"/>
  <c r="BG41" i="46"/>
  <c r="BC473" i="46"/>
  <c r="BG473" i="46"/>
  <c r="BC74" i="46"/>
  <c r="BG74" i="46"/>
  <c r="BC314" i="46"/>
  <c r="BG314" i="46"/>
  <c r="BB100" i="46"/>
  <c r="BC100" i="46"/>
  <c r="BB22" i="46"/>
  <c r="BB50" i="46"/>
  <c r="BC50" i="46"/>
  <c r="BB503" i="46"/>
  <c r="BC503" i="46"/>
  <c r="BB6" i="46"/>
  <c r="BC6" i="46"/>
  <c r="BB71" i="46"/>
  <c r="BG71" i="46"/>
  <c r="BG83" i="46"/>
  <c r="BB361" i="46"/>
  <c r="BC361" i="46"/>
  <c r="BB468" i="46"/>
  <c r="BB109" i="46"/>
  <c r="BB120" i="46"/>
  <c r="BB86" i="46"/>
  <c r="AZ582" i="46"/>
  <c r="BB53" i="46"/>
  <c r="BB386" i="46"/>
  <c r="BB560" i="46"/>
  <c r="BB406" i="46"/>
  <c r="AY2" i="46"/>
  <c r="BA582" i="46"/>
  <c r="BA2" i="46"/>
  <c r="BB516" i="46"/>
  <c r="BC22" i="46"/>
  <c r="BB513" i="46"/>
  <c r="BC513" i="46"/>
  <c r="BG100" i="46"/>
  <c r="BG106" i="46"/>
  <c r="BG503" i="46"/>
  <c r="BG513" i="46"/>
  <c r="BB106" i="46"/>
  <c r="BC106" i="46"/>
  <c r="BC71" i="46"/>
  <c r="BG6" i="46"/>
  <c r="BG19" i="46"/>
  <c r="BB83" i="46"/>
  <c r="BC83" i="46"/>
  <c r="BB19" i="46"/>
  <c r="BC19" i="46"/>
  <c r="BG361" i="46"/>
  <c r="BG383" i="46"/>
  <c r="BB383" i="46"/>
  <c r="BC383" i="46"/>
  <c r="BG22" i="46"/>
  <c r="BG50" i="46"/>
  <c r="BB117" i="46"/>
  <c r="BC117" i="46"/>
  <c r="BC109" i="46"/>
  <c r="BG109" i="46"/>
  <c r="BG117" i="46"/>
  <c r="AZ2" i="46"/>
  <c r="BB575" i="46"/>
  <c r="BC575" i="46"/>
  <c r="BC560" i="46"/>
  <c r="BG560" i="46"/>
  <c r="BG575" i="46"/>
  <c r="BB68" i="46"/>
  <c r="BC68" i="46"/>
  <c r="BC53" i="46"/>
  <c r="BG53" i="46"/>
  <c r="BG68" i="46"/>
  <c r="BB557" i="46"/>
  <c r="BC557" i="46"/>
  <c r="BC516" i="46"/>
  <c r="BG516" i="46"/>
  <c r="BG557" i="46"/>
  <c r="BB465" i="46"/>
  <c r="BC465" i="46"/>
  <c r="BC406" i="46"/>
  <c r="BG406" i="46"/>
  <c r="BG465" i="46"/>
  <c r="AZ607" i="46"/>
  <c r="BB403" i="46"/>
  <c r="BC403" i="46"/>
  <c r="BC386" i="46"/>
  <c r="BG386" i="46"/>
  <c r="BG403" i="46"/>
  <c r="BB97" i="46"/>
  <c r="BC97" i="46"/>
  <c r="BC86" i="46"/>
  <c r="BG86" i="46"/>
  <c r="BG97" i="46"/>
  <c r="BB358" i="46"/>
  <c r="BC358" i="46"/>
  <c r="BC120" i="46"/>
  <c r="BG120" i="46"/>
  <c r="BG358" i="46"/>
  <c r="BB500" i="46"/>
  <c r="BC500" i="46"/>
  <c r="BC468" i="46"/>
  <c r="BG468" i="46"/>
  <c r="BG500" i="46"/>
  <c r="BG582" i="46"/>
  <c r="BG2" i="46"/>
  <c r="BB582" i="46"/>
  <c r="BB2" i="46"/>
  <c r="BB607"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ca00715</author>
    <author>Mitch Mraz</author>
  </authors>
  <commentList>
    <comment ref="BY5" authorId="0" shapeId="0" xr:uid="{00000000-0006-0000-0000-000001000000}">
      <text>
        <r>
          <rPr>
            <b/>
            <sz val="9"/>
            <color indexed="81"/>
            <rFont val="Tahoma"/>
            <family val="2"/>
          </rPr>
          <t>ca00715:</t>
        </r>
        <r>
          <rPr>
            <sz val="9"/>
            <color indexed="81"/>
            <rFont val="Tahoma"/>
            <family val="2"/>
          </rPr>
          <t xml:space="preserve">
LEAs whose formula percentage is &gt; 15%</t>
        </r>
      </text>
    </comment>
    <comment ref="BZ5" authorId="0" shapeId="0" xr:uid="{00000000-0006-0000-0000-000002000000}">
      <text>
        <r>
          <rPr>
            <b/>
            <sz val="9"/>
            <color indexed="81"/>
            <rFont val="Tahoma"/>
            <family val="2"/>
          </rPr>
          <t>ca00715:</t>
        </r>
        <r>
          <rPr>
            <sz val="9"/>
            <color indexed="81"/>
            <rFont val="Tahoma"/>
            <family val="2"/>
          </rPr>
          <t xml:space="preserve">
LEA's whose formula percentage  is &gt;15% and &lt; 30%</t>
        </r>
      </text>
    </comment>
    <comment ref="CA5" authorId="0" shapeId="0" xr:uid="{00000000-0006-0000-0000-000003000000}">
      <text>
        <r>
          <rPr>
            <b/>
            <sz val="9"/>
            <color indexed="81"/>
            <rFont val="Tahoma"/>
            <family val="2"/>
          </rPr>
          <t>ca00715:</t>
        </r>
        <r>
          <rPr>
            <sz val="9"/>
            <color indexed="81"/>
            <rFont val="Tahoma"/>
            <family val="2"/>
          </rPr>
          <t xml:space="preserve">
LEAs whose formula percentage is equal to or more than 30%
</t>
        </r>
      </text>
    </comment>
    <comment ref="O319" authorId="1" shapeId="0" xr:uid="{00000000-0006-0000-0000-000004000000}">
      <text>
        <r>
          <rPr>
            <b/>
            <sz val="9"/>
            <color indexed="81"/>
            <rFont val="Tahoma"/>
            <family val="2"/>
          </rPr>
          <t>Mitch Mraz:</t>
        </r>
        <r>
          <rPr>
            <sz val="9"/>
            <color indexed="81"/>
            <rFont val="Tahoma"/>
            <family val="2"/>
          </rPr>
          <t xml:space="preserve">
manual split 10.25.17</t>
        </r>
      </text>
    </comment>
    <comment ref="O320" authorId="1" shapeId="0" xr:uid="{00000000-0006-0000-0000-000005000000}">
      <text>
        <r>
          <rPr>
            <b/>
            <sz val="9"/>
            <color indexed="81"/>
            <rFont val="Tahoma"/>
            <family val="2"/>
          </rPr>
          <t>Mitch Mraz:</t>
        </r>
        <r>
          <rPr>
            <sz val="9"/>
            <color indexed="81"/>
            <rFont val="Tahoma"/>
            <family val="2"/>
          </rPr>
          <t xml:space="preserve">
manual split 10.26.17</t>
        </r>
      </text>
    </comment>
    <comment ref="O321" authorId="1" shapeId="0" xr:uid="{00000000-0006-0000-0000-000006000000}">
      <text>
        <r>
          <rPr>
            <b/>
            <sz val="9"/>
            <color indexed="81"/>
            <rFont val="Tahoma"/>
            <family val="2"/>
          </rPr>
          <t>Mitch Mraz:</t>
        </r>
        <r>
          <rPr>
            <sz val="9"/>
            <color indexed="81"/>
            <rFont val="Tahoma"/>
            <family val="2"/>
          </rPr>
          <t xml:space="preserve">
manual split 10.27.17</t>
        </r>
      </text>
    </comment>
    <comment ref="A323" authorId="1" shapeId="0" xr:uid="{00000000-0006-0000-0000-000007000000}">
      <text>
        <r>
          <rPr>
            <b/>
            <sz val="9"/>
            <color indexed="81"/>
            <rFont val="Tahoma"/>
            <family val="2"/>
          </rPr>
          <t>Mitch Mraz:</t>
        </r>
        <r>
          <rPr>
            <sz val="9"/>
            <color indexed="81"/>
            <rFont val="Tahoma"/>
            <family val="2"/>
          </rPr>
          <t xml:space="preserve">
was 78550000, was being double counted. Hardcoded student count to 0. MM updated number</t>
        </r>
      </text>
    </comment>
    <comment ref="O377" authorId="1" shapeId="0" xr:uid="{00000000-0006-0000-0000-000008000000}">
      <text>
        <r>
          <rPr>
            <b/>
            <sz val="9"/>
            <color indexed="81"/>
            <rFont val="Tahoma"/>
            <family val="2"/>
          </rPr>
          <t xml:space="preserve">Mitch Mraz:
</t>
        </r>
        <r>
          <rPr>
            <sz val="9"/>
            <color indexed="81"/>
            <rFont val="Tahoma"/>
            <family val="2"/>
          </rPr>
          <t>manual input from peter10/20/17 email</t>
        </r>
      </text>
    </comment>
    <comment ref="A461" authorId="1" shapeId="0" xr:uid="{00000000-0006-0000-0000-000009000000}">
      <text>
        <r>
          <rPr>
            <b/>
            <sz val="9"/>
            <color indexed="81"/>
            <rFont val="Tahoma"/>
            <family val="2"/>
          </rPr>
          <t>Mitch Mraz:</t>
        </r>
        <r>
          <rPr>
            <sz val="9"/>
            <color indexed="81"/>
            <rFont val="Tahoma"/>
            <family val="2"/>
          </rPr>
          <t xml:space="preserve">
was 108720000 double counted, updated number and hardcoded enrollment to 0 based on Peter's guidance.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Mitch Mraz</author>
  </authors>
  <commentList>
    <comment ref="B197" authorId="0" shapeId="0" xr:uid="{00000000-0006-0000-0100-000001000000}">
      <text>
        <r>
          <rPr>
            <b/>
            <sz val="9"/>
            <color indexed="81"/>
            <rFont val="Tahoma"/>
            <family val="2"/>
          </rPr>
          <t>Mitch Mraz:</t>
        </r>
        <r>
          <rPr>
            <sz val="9"/>
            <color indexed="81"/>
            <rFont val="Tahoma"/>
            <family val="2"/>
          </rPr>
          <t xml:space="preserve">
was 78550000, double counted</t>
        </r>
      </text>
    </comment>
    <comment ref="B385" authorId="0" shapeId="0" xr:uid="{00000000-0006-0000-0100-000002000000}">
      <text>
        <r>
          <rPr>
            <b/>
            <sz val="9"/>
            <color indexed="81"/>
            <rFont val="Tahoma"/>
            <family val="2"/>
          </rPr>
          <t>Mitch Mraz:</t>
        </r>
        <r>
          <rPr>
            <sz val="9"/>
            <color indexed="81"/>
            <rFont val="Tahoma"/>
            <family val="2"/>
          </rPr>
          <t xml:space="preserve">
was 108720000, double counted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Brown, Chris</author>
    <author>ca00715</author>
    <author>Chris Brown</author>
  </authors>
  <commentList>
    <comment ref="BH5" authorId="0" shapeId="0" xr:uid="{00000000-0006-0000-0700-000001000000}">
      <text>
        <r>
          <rPr>
            <b/>
            <sz val="9"/>
            <color indexed="81"/>
            <rFont val="Tahoma"/>
            <family val="2"/>
          </rPr>
          <t>Brown, Chris:</t>
        </r>
        <r>
          <rPr>
            <sz val="9"/>
            <color indexed="81"/>
            <rFont val="Tahoma"/>
            <family val="2"/>
          </rPr>
          <t xml:space="preserve">
Not Required as no adjustments were made in 2015</t>
        </r>
      </text>
    </comment>
    <comment ref="BI5" authorId="0" shapeId="0" xr:uid="{00000000-0006-0000-0700-000002000000}">
      <text>
        <r>
          <rPr>
            <b/>
            <sz val="9"/>
            <color indexed="81"/>
            <rFont val="Tahoma"/>
            <family val="2"/>
          </rPr>
          <t>Brown, Chris:</t>
        </r>
        <r>
          <rPr>
            <sz val="9"/>
            <color indexed="81"/>
            <rFont val="Tahoma"/>
            <family val="2"/>
          </rPr>
          <t xml:space="preserve">
Not Required</t>
        </r>
      </text>
    </comment>
    <comment ref="CS5" authorId="1" shapeId="0" xr:uid="{00000000-0006-0000-0700-000003000000}">
      <text>
        <r>
          <rPr>
            <b/>
            <sz val="9"/>
            <color indexed="81"/>
            <rFont val="Tahoma"/>
            <family val="2"/>
          </rPr>
          <t>ca00715:</t>
        </r>
        <r>
          <rPr>
            <sz val="9"/>
            <color indexed="81"/>
            <rFont val="Tahoma"/>
            <family val="2"/>
          </rPr>
          <t xml:space="preserve">
LEAs whose formula percentage is &gt; 15%</t>
        </r>
      </text>
    </comment>
    <comment ref="CT5" authorId="1" shapeId="0" xr:uid="{00000000-0006-0000-0700-000004000000}">
      <text>
        <r>
          <rPr>
            <b/>
            <sz val="9"/>
            <color indexed="81"/>
            <rFont val="Tahoma"/>
            <family val="2"/>
          </rPr>
          <t>ca00715:</t>
        </r>
        <r>
          <rPr>
            <sz val="9"/>
            <color indexed="81"/>
            <rFont val="Tahoma"/>
            <family val="2"/>
          </rPr>
          <t xml:space="preserve">
LEA's whose formula percentage  is &gt;15% and &lt; 30%</t>
        </r>
      </text>
    </comment>
    <comment ref="CU5" authorId="1" shapeId="0" xr:uid="{00000000-0006-0000-0700-000005000000}">
      <text>
        <r>
          <rPr>
            <b/>
            <sz val="9"/>
            <color indexed="81"/>
            <rFont val="Tahoma"/>
            <family val="2"/>
          </rPr>
          <t>ca00715:</t>
        </r>
        <r>
          <rPr>
            <sz val="9"/>
            <color indexed="81"/>
            <rFont val="Tahoma"/>
            <family val="2"/>
          </rPr>
          <t xml:space="preserve">
LEAs whose formula percentage is equal to or more than 30%
</t>
        </r>
      </text>
    </comment>
    <comment ref="BM107" authorId="2" shapeId="0" xr:uid="{00000000-0006-0000-0700-000006000000}">
      <text>
        <r>
          <rPr>
            <b/>
            <sz val="9"/>
            <color indexed="81"/>
            <rFont val="Tahoma"/>
            <family val="2"/>
          </rPr>
          <t>Chris Brown:</t>
        </r>
        <r>
          <rPr>
            <sz val="9"/>
            <color indexed="81"/>
            <rFont val="Tahoma"/>
            <family val="2"/>
          </rPr>
          <t xml:space="preserve">
Chris Brown:
This whole county has a hold harmless provision applied below the minimum threshhold. This is to meet a fair hold harmless for Districts in the county.</t>
        </r>
      </text>
    </comment>
    <comment ref="R351" authorId="2" shapeId="0" xr:uid="{00000000-0006-0000-0700-000007000000}">
      <text>
        <r>
          <rPr>
            <b/>
            <sz val="9"/>
            <color indexed="81"/>
            <rFont val="Tahoma"/>
            <family val="2"/>
          </rPr>
          <t>Chris Brown:</t>
        </r>
        <r>
          <rPr>
            <sz val="9"/>
            <color indexed="81"/>
            <rFont val="Tahoma"/>
            <family val="2"/>
          </rPr>
          <t xml:space="preserve">
Taken from Special ASDB extract</t>
        </r>
      </text>
    </comment>
    <comment ref="S351" authorId="2" shapeId="0" xr:uid="{00000000-0006-0000-0700-000008000000}">
      <text>
        <r>
          <rPr>
            <b/>
            <sz val="9"/>
            <color indexed="81"/>
            <rFont val="Tahoma"/>
            <family val="2"/>
          </rPr>
          <t>Chris Brown:</t>
        </r>
        <r>
          <rPr>
            <sz val="9"/>
            <color indexed="81"/>
            <rFont val="Tahoma"/>
            <family val="2"/>
          </rPr>
          <t xml:space="preserve">
Taken from Special ASDB extract</t>
        </r>
      </text>
    </comment>
    <comment ref="BN496" authorId="2" shapeId="0" xr:uid="{00000000-0006-0000-0700-000009000000}">
      <text>
        <r>
          <rPr>
            <b/>
            <sz val="9"/>
            <color indexed="81"/>
            <rFont val="Tahoma"/>
            <family val="2"/>
          </rPr>
          <t>Chris Brown:</t>
        </r>
        <r>
          <rPr>
            <sz val="9"/>
            <color indexed="81"/>
            <rFont val="Tahoma"/>
            <family val="2"/>
          </rPr>
          <t xml:space="preserve">
Hold harmless applied to all entities within county to meet requirements. Charter (not-AVA) included, otherwise funding would have been completely wiped.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Chris Brown</author>
  </authors>
  <commentList>
    <comment ref="A360" authorId="0" shapeId="0" xr:uid="{00000000-0006-0000-1600-000001000000}">
      <text>
        <r>
          <rPr>
            <b/>
            <sz val="9"/>
            <color indexed="81"/>
            <rFont val="Tahoma"/>
            <family val="2"/>
          </rPr>
          <t>Chris Brown:</t>
        </r>
        <r>
          <rPr>
            <sz val="9"/>
            <color indexed="81"/>
            <rFont val="Tahoma"/>
            <family val="2"/>
          </rPr>
          <t xml:space="preserve">
Sierra Vista updated CTDS</t>
        </r>
      </text>
    </comment>
    <comment ref="A381" authorId="0" shapeId="0" xr:uid="{00000000-0006-0000-1600-000002000000}">
      <text>
        <r>
          <rPr>
            <b/>
            <sz val="9"/>
            <color indexed="81"/>
            <rFont val="Tahoma"/>
            <family val="2"/>
          </rPr>
          <t>Chris Brown:</t>
        </r>
        <r>
          <rPr>
            <sz val="9"/>
            <color indexed="81"/>
            <rFont val="Tahoma"/>
            <family val="2"/>
          </rPr>
          <t xml:space="preserve">
Telesis Updated from old CTDS</t>
        </r>
      </text>
    </comment>
  </commentList>
</comments>
</file>

<file path=xl/sharedStrings.xml><?xml version="1.0" encoding="utf-8"?>
<sst xmlns="http://schemas.openxmlformats.org/spreadsheetml/2006/main" count="33534" uniqueCount="1661">
  <si>
    <t>Organization Number</t>
  </si>
  <si>
    <t>Organization Name</t>
  </si>
  <si>
    <t>County</t>
  </si>
  <si>
    <t>Yavapai</t>
  </si>
  <si>
    <t>Academy of Building Industries  Inc.</t>
  </si>
  <si>
    <t>Mohave</t>
  </si>
  <si>
    <t>Academy Of Excellence  Inc.</t>
  </si>
  <si>
    <t>Maricopa</t>
  </si>
  <si>
    <t>Academy of Mathematics and Science  Inc.</t>
  </si>
  <si>
    <t>Pima</t>
  </si>
  <si>
    <t>Academy of Mathematics and Science South, Inc.</t>
  </si>
  <si>
    <t>Academy with Community Partners  Inc</t>
  </si>
  <si>
    <t>Accelerated Elementary and Secondary Schools</t>
  </si>
  <si>
    <t>Acclaim Charter School</t>
  </si>
  <si>
    <t>Acorn Montessori Charter School</t>
  </si>
  <si>
    <t>Agua Fria Union High School District</t>
  </si>
  <si>
    <t>Aguila Elementary District</t>
  </si>
  <si>
    <t>AIBT Non-Profit Charter High School - Phoenix</t>
  </si>
  <si>
    <t>Ajo Unified District</t>
  </si>
  <si>
    <t>Akimel O Otham Pee Posh Charter School  Inc.</t>
  </si>
  <si>
    <t>Pinal</t>
  </si>
  <si>
    <t>Akimel O'Otham Pee Posh Charter School  Inc.</t>
  </si>
  <si>
    <t>Alhambra Elementary District</t>
  </si>
  <si>
    <t>All Aboard Charter School</t>
  </si>
  <si>
    <t>Altar Valley Elementary District</t>
  </si>
  <si>
    <t>American Charter Schools Foundation d.b.a. Alta Vista High S</t>
  </si>
  <si>
    <t>American Charter Schools Foundation d.b.a. Apache Trail High</t>
  </si>
  <si>
    <t>American Charter Schools Foundation d.b.a. Crestview College</t>
  </si>
  <si>
    <t>American Charter Schools Foundation d.b.a. Desert Hills High</t>
  </si>
  <si>
    <t>American Charter Schools Foundation d.b.a. Estrella High Sch</t>
  </si>
  <si>
    <t>American Charter Schools Foundation d.b.a. Peoria Accelerate</t>
  </si>
  <si>
    <t>American Charter Schools Foundation d.b.a. South Pointe High</t>
  </si>
  <si>
    <t xml:space="preserve">American Charter Schools Foundation d.b.a. South Ridge High </t>
  </si>
  <si>
    <t>American Charter Schools Foundation d.b.a. Sun Valley High S</t>
  </si>
  <si>
    <t>American Charter Schools Foundation d.b.a. West Phoenix High</t>
  </si>
  <si>
    <t>American Heritage Academy</t>
  </si>
  <si>
    <t>Amphitheater Unified District</t>
  </si>
  <si>
    <t>Antelope Union High School District</t>
  </si>
  <si>
    <t>Yuma</t>
  </si>
  <si>
    <t>Apache Junction Unified District</t>
  </si>
  <si>
    <t>Aprender Tucson</t>
  </si>
  <si>
    <t>Arizona Academy of Science And Technology  Inc.</t>
  </si>
  <si>
    <t>Arizona Agribusiness &amp; Equine Center  Inc.</t>
  </si>
  <si>
    <t>Arizona Agribusiness &amp; Equine Center  Inc</t>
  </si>
  <si>
    <t>Arizona Autism Charter Schools</t>
  </si>
  <si>
    <t>Arizona Call-a-Teen Youth Resources  Inc.</t>
  </si>
  <si>
    <t>Arizona Community Development Corporation</t>
  </si>
  <si>
    <t>Arizona Connections Academy Charter School  Inc.</t>
  </si>
  <si>
    <t>Arizona Department of Corrections</t>
  </si>
  <si>
    <t>Arizona Montessori Charter School at Anthem</t>
  </si>
  <si>
    <t>Arizona State School for the Deaf and Blind</t>
  </si>
  <si>
    <t>Arizona Supreme Court</t>
  </si>
  <si>
    <t>Arlington Elementary District</t>
  </si>
  <si>
    <t>Ash Creek Elementary District</t>
  </si>
  <si>
    <t>Cochise</t>
  </si>
  <si>
    <t>Ash Fork Joint Unified District</t>
  </si>
  <si>
    <t>ASU Preparatory Academy</t>
  </si>
  <si>
    <t>Athlos Traditional Academy</t>
  </si>
  <si>
    <t>Avondale Elementary District</t>
  </si>
  <si>
    <t>AZ Compass Schools  Inc.</t>
  </si>
  <si>
    <t>AZ Dept of Juvenile Corrections</t>
  </si>
  <si>
    <t>Baboquivari Unified School District #40</t>
  </si>
  <si>
    <t>Bagdad Unified District</t>
  </si>
  <si>
    <t>Ball Charter Schools (Dobson)</t>
  </si>
  <si>
    <t>Ball Charter Schools (Hearn)</t>
  </si>
  <si>
    <t>Balsz Elementary District</t>
  </si>
  <si>
    <t>Beaver Creek Elementary District</t>
  </si>
  <si>
    <t>Bell Canyon Charter School  Inc</t>
  </si>
  <si>
    <t>Benson Unified School District</t>
  </si>
  <si>
    <t>Bicentennial Union High School District</t>
  </si>
  <si>
    <t>La Paz</t>
  </si>
  <si>
    <t>Bisbee Unified District</t>
  </si>
  <si>
    <t>Blue Ridge Unified District</t>
  </si>
  <si>
    <t>Navajo</t>
  </si>
  <si>
    <t>Blueprint Education</t>
  </si>
  <si>
    <t>Bouse Elementary District</t>
  </si>
  <si>
    <t>Bowie Unified District</t>
  </si>
  <si>
    <t>Boys &amp; Girls Clubs of the East Valley dba Mesa Arts Academy</t>
  </si>
  <si>
    <t>Bradley Academy of Excellence  Inc.</t>
  </si>
  <si>
    <t>Buckeye Elementary District</t>
  </si>
  <si>
    <t>Buckeye Union High School District</t>
  </si>
  <si>
    <t>Bullhead City School District</t>
  </si>
  <si>
    <t xml:space="preserve">CAFA  Inc. dba Learning Foundation and Performing Arts Alta </t>
  </si>
  <si>
    <t>CAFA  Inc. dba Learning Foundation and Performing Arts Gilbe</t>
  </si>
  <si>
    <t>CAFA  Inc. dba Learning Foundation Performing Arts School</t>
  </si>
  <si>
    <t>Calibre Academy</t>
  </si>
  <si>
    <t>Camp Verde Unified District</t>
  </si>
  <si>
    <t>Canon Elementary District</t>
  </si>
  <si>
    <t>Career Development  Inc.</t>
  </si>
  <si>
    <t>Career Success Schools</t>
  </si>
  <si>
    <t>Carpe Diem Collegiate High School</t>
  </si>
  <si>
    <t>Cartwright Elementary District</t>
  </si>
  <si>
    <t>CASA Academy</t>
  </si>
  <si>
    <t>Casa Grande Elementary District</t>
  </si>
  <si>
    <t>Casa Grande Union High School District</t>
  </si>
  <si>
    <t>Catalina Foothills Unified District</t>
  </si>
  <si>
    <t>Cave Creek Unified District</t>
  </si>
  <si>
    <t>Cedar Unified District</t>
  </si>
  <si>
    <t>Center for Academic Success  Inc.</t>
  </si>
  <si>
    <t>Challenge Foundation Academies of Arizona  Inc.</t>
  </si>
  <si>
    <t>Challenge School  Inc.</t>
  </si>
  <si>
    <t>Chandler Unified District #80</t>
  </si>
  <si>
    <t>Chinle Unified District</t>
  </si>
  <si>
    <t>Apache</t>
  </si>
  <si>
    <t>Chino Valley Unified District</t>
  </si>
  <si>
    <t>Cholla Academy</t>
  </si>
  <si>
    <t>Clarkdale-Jerome Elementary District</t>
  </si>
  <si>
    <t>Greenlee</t>
  </si>
  <si>
    <t>Cochise Community Development Corporation</t>
  </si>
  <si>
    <t>Collaborative Pathways  Inc.</t>
  </si>
  <si>
    <t>Colorado City Unified District</t>
  </si>
  <si>
    <t>Colorado River Union High School District</t>
  </si>
  <si>
    <t>Concho Elementary District</t>
  </si>
  <si>
    <t>Congress Elementary District</t>
  </si>
  <si>
    <t>Continental Elementary District</t>
  </si>
  <si>
    <t>Coolidge Unified District</t>
  </si>
  <si>
    <t>Cortez Park Charter Middle School  Inc.</t>
  </si>
  <si>
    <t>Cottonwood-Oak Creek Elementary District</t>
  </si>
  <si>
    <t>Country Gardens Charter Schools</t>
  </si>
  <si>
    <t>CPLC Community Schools dba Hiaki High School</t>
  </si>
  <si>
    <t>CPLC Community Schools dba Toltecalli High School</t>
  </si>
  <si>
    <t>Crane Elementary District</t>
  </si>
  <si>
    <t>Creighton Elementary District</t>
  </si>
  <si>
    <t>Daisy Education Corporation dba Paragon Science Academy</t>
  </si>
  <si>
    <t>Daisy Education Corporation dba Sonoran Science Academy - Ph</t>
  </si>
  <si>
    <t>Daisy Education Corporation dba Sonoran Science Academy</t>
  </si>
  <si>
    <t>Daisy Education Corporation dba. Sonoran Science Academy Peoria</t>
  </si>
  <si>
    <t>Deer Valley Unified District</t>
  </si>
  <si>
    <t>Desert Heights Charter Schools</t>
  </si>
  <si>
    <t>Desert Star Community School  Inc.</t>
  </si>
  <si>
    <t>Destiny School  Inc.</t>
  </si>
  <si>
    <t>Gila</t>
  </si>
  <si>
    <t>Discovery Plus Academy</t>
  </si>
  <si>
    <t>Graham</t>
  </si>
  <si>
    <t>Double Adobe Elementary District</t>
  </si>
  <si>
    <t>Douglas Unified District</t>
  </si>
  <si>
    <t>Duncan Unified District</t>
  </si>
  <si>
    <t>Dysart Unified District</t>
  </si>
  <si>
    <t>EAGLE College Prep II  Inc. dba EAGLE College Prep Harmony</t>
  </si>
  <si>
    <t>EAGLE South Mountain Charter  Inc.</t>
  </si>
  <si>
    <t>Eagle South Mountain Charter, Inc.</t>
  </si>
  <si>
    <t>East Mesa Charter Elementary School  Inc.</t>
  </si>
  <si>
    <t>Ed Ahead</t>
  </si>
  <si>
    <t>Edge School  Inc.  The</t>
  </si>
  <si>
    <t>Edkey  Inc. - AZ Conservatory for Arts and Academics</t>
  </si>
  <si>
    <t>Edkey  Inc. - Pathfinder Academy</t>
  </si>
  <si>
    <t>Edkey  Inc. - Redwood Academy</t>
  </si>
  <si>
    <t>Edkey  Inc. - Sequoia Charter School</t>
  </si>
  <si>
    <t>Edkey  Inc. - Sequoia Ranch School</t>
  </si>
  <si>
    <t>Edkey  Inc. - Sequoia Village School</t>
  </si>
  <si>
    <t>Edkey, Inc. - Pathway Academy</t>
  </si>
  <si>
    <t>Edkey, Inc. - Sequoia Choice Schools</t>
  </si>
  <si>
    <t>Educational Options Foundation</t>
  </si>
  <si>
    <t>EduPreneurship  Inc.</t>
  </si>
  <si>
    <t>E-Institute Charter Schools  Inc.</t>
  </si>
  <si>
    <t>Elfrida Elementary District</t>
  </si>
  <si>
    <t>Eloy Elementary District</t>
  </si>
  <si>
    <t>Employ-Ability Unlimited  Inc.</t>
  </si>
  <si>
    <t>Empower College Prep</t>
  </si>
  <si>
    <t>Espiritu Community Development Corp.</t>
  </si>
  <si>
    <t>Excalibur Charter Schools  Inc.</t>
  </si>
  <si>
    <t>Fit Kids  Inc. dba Champion Schools</t>
  </si>
  <si>
    <t>Flagstaff Junior Academy</t>
  </si>
  <si>
    <t>Coconino</t>
  </si>
  <si>
    <t>Flagstaff Unified District</t>
  </si>
  <si>
    <t>Florence Crittenton Services of Arizona  Inc.</t>
  </si>
  <si>
    <t>Florence Unified School District</t>
  </si>
  <si>
    <t>Flowing Wells Unified District</t>
  </si>
  <si>
    <t>Fort Huachuca Accommodation District</t>
  </si>
  <si>
    <t>Fort Thomas Unified District</t>
  </si>
  <si>
    <t>Founding Fathers Academies  Inc</t>
  </si>
  <si>
    <t>Fountain Hills Unified District</t>
  </si>
  <si>
    <t>Fowler Elementary District</t>
  </si>
  <si>
    <t>Franklin Phonetic Primary School  Inc.</t>
  </si>
  <si>
    <t>Fredonia-Moccasin Unified District</t>
  </si>
  <si>
    <t>Friendly House  Inc.</t>
  </si>
  <si>
    <t>Gadsden Elementary District</t>
  </si>
  <si>
    <t>Ganado Unified School District</t>
  </si>
  <si>
    <t>Gem Charter School  Inc.</t>
  </si>
  <si>
    <t>Genesis Program  Inc.</t>
  </si>
  <si>
    <t>Gila Bend Unified District</t>
  </si>
  <si>
    <t>Gila County Regional School District</t>
  </si>
  <si>
    <t>Gilbert Unified District</t>
  </si>
  <si>
    <t>Glendale Elementary District</t>
  </si>
  <si>
    <t>Glendale Union High School District</t>
  </si>
  <si>
    <t>Globe Unified District</t>
  </si>
  <si>
    <t>Graham County Special Services</t>
  </si>
  <si>
    <t>Grand Canyon Unified District</t>
  </si>
  <si>
    <t>Great Expectations Academy</t>
  </si>
  <si>
    <t>Griffin Foundation  Inc. The</t>
  </si>
  <si>
    <t>Ha:san Educational Services</t>
  </si>
  <si>
    <t>Hackberry School District</t>
  </si>
  <si>
    <t>Harvest Power Community Development Group  Inc.</t>
  </si>
  <si>
    <t>Hayden-Winkelman Unified District</t>
  </si>
  <si>
    <t>Heber-Overgaard Unified District</t>
  </si>
  <si>
    <t>Heritage Elementary School</t>
  </si>
  <si>
    <t>Highland Free School</t>
  </si>
  <si>
    <t>Higley Unified School District</t>
  </si>
  <si>
    <t>Hillcrest Academy, Inc.</t>
  </si>
  <si>
    <t>Holbrook Unified District</t>
  </si>
  <si>
    <t>Humboldt Unified District</t>
  </si>
  <si>
    <t>Hyder Elementary District</t>
  </si>
  <si>
    <t>Imagine Avondale Elementary  Inc.</t>
  </si>
  <si>
    <t>Imagine Avondale Middle  Inc.</t>
  </si>
  <si>
    <t>Imagine Camelback Middle  Inc.</t>
  </si>
  <si>
    <t>Imagine Charter Elementary at Camelback  Inc.</t>
  </si>
  <si>
    <t>Imagine Charter Elementary at Desert West  Inc.</t>
  </si>
  <si>
    <t>Imagine Coolidge Elementary  Inc.</t>
  </si>
  <si>
    <t>Imagine Desert West Middle  Inc.</t>
  </si>
  <si>
    <t>Imagine Elementary at Tempe  Inc.</t>
  </si>
  <si>
    <t>Imagine Middle at East Mesa  Inc.</t>
  </si>
  <si>
    <t>Imagine Middle at Surprise  Inc.</t>
  </si>
  <si>
    <t>Imagine Prep Coolidge  Inc.</t>
  </si>
  <si>
    <t>Imagine Prep Superstition  Inc.</t>
  </si>
  <si>
    <t>Imagine Prep Surprise  Inc.</t>
  </si>
  <si>
    <t>Imagine Superstition Middle  Inc.</t>
  </si>
  <si>
    <t>Innovative Humanities Education Corporation</t>
  </si>
  <si>
    <t>Institute for Transformative Education  Inc.</t>
  </si>
  <si>
    <t>Integrity Education Incorporated</t>
  </si>
  <si>
    <t>Intelli-School  Inc.</t>
  </si>
  <si>
    <t>Isaac Elementary District</t>
  </si>
  <si>
    <t>J O Combs Unified School District</t>
  </si>
  <si>
    <t>James Sandoval Preparatory High School</t>
  </si>
  <si>
    <t>Joseph City Unified District</t>
  </si>
  <si>
    <t>Juniper Tree Academy</t>
  </si>
  <si>
    <t>Kaizen Education Foundation dba Advance U</t>
  </si>
  <si>
    <t>Kaizen Education Foundation dba Discover U Elementary School</t>
  </si>
  <si>
    <t>Kaizen Education Foundation dba El Dorado High School</t>
  </si>
  <si>
    <t>Kaizen Education Foundation dba Gilbert Arts Academy</t>
  </si>
  <si>
    <t>Kaizen Education Foundation dba Havasu Preparatory Academy</t>
  </si>
  <si>
    <t>Kaizen Education Foundation dba Liberty Arts Academy</t>
  </si>
  <si>
    <t>Kaizen Education Foundation dba Maya High School</t>
  </si>
  <si>
    <t xml:space="preserve">Kaizen Education Foundation dba Mission Heights Preparatory </t>
  </si>
  <si>
    <t>Kaizen Education Foundation dba Skyview High School</t>
  </si>
  <si>
    <t>Kaizen Education Foundation dba South Pointe Elementary Scho</t>
  </si>
  <si>
    <t>Kaizen Education Foundation dba South Pointe Junior High Sch</t>
  </si>
  <si>
    <t>Kaizen Education Foundation dba Summit High School</t>
  </si>
  <si>
    <t>Kaizen Education Foundation dba Tempe Accelerated High Schoo</t>
  </si>
  <si>
    <t>Kaizen Education Foundation dba Vista Grove Preparatory Acad</t>
  </si>
  <si>
    <t>Kayenta Unified District</t>
  </si>
  <si>
    <t>Khalsa Montessori Elementary Schools</t>
  </si>
  <si>
    <t>Kingman Academy Of Learning</t>
  </si>
  <si>
    <t>Kingman Unified School District</t>
  </si>
  <si>
    <t>Kirkland Elementary District</t>
  </si>
  <si>
    <t>Kyrene Elementary District</t>
  </si>
  <si>
    <t>La Tierra Community School  Inc</t>
  </si>
  <si>
    <t>Lake Havasu Unified District</t>
  </si>
  <si>
    <t>Laveen Elementary District</t>
  </si>
  <si>
    <t>LEAD Charter Schools dba Leading Edge Academy Queen Creek</t>
  </si>
  <si>
    <t>LEAD Charter Schools</t>
  </si>
  <si>
    <t>Leading Edge Academy Maricopa</t>
  </si>
  <si>
    <t>Legacy Education Group</t>
  </si>
  <si>
    <t>Legacy Schools</t>
  </si>
  <si>
    <t>Legacy Traditional Charter School - Casa Grande</t>
  </si>
  <si>
    <t>Legacy Traditional Charter School - Gilbert</t>
  </si>
  <si>
    <t>Legacy Traditional Charter School â€“ Maricopa</t>
  </si>
  <si>
    <t>Legacy Traditional Charter School-Laveen Village</t>
  </si>
  <si>
    <t>Legacy Traditional Charter School</t>
  </si>
  <si>
    <t>Legacy Traditional School- Northwest Tucson</t>
  </si>
  <si>
    <t>Legacy Traditional School-Avondale</t>
  </si>
  <si>
    <t>Liberty Elementary District</t>
  </si>
  <si>
    <t>Liberty Traditional Charter School</t>
  </si>
  <si>
    <t>Litchfield Elementary District</t>
  </si>
  <si>
    <t>Littlefield Unified District</t>
  </si>
  <si>
    <t>Littleton Elementary District</t>
  </si>
  <si>
    <t>Madison Elementary District</t>
  </si>
  <si>
    <t>Madison Highland Prep</t>
  </si>
  <si>
    <t>Maine Consolidated School District</t>
  </si>
  <si>
    <t>Mammoth-San Manuel Unified District</t>
  </si>
  <si>
    <t>Marana Unified District</t>
  </si>
  <si>
    <t>Maricopa County Community College District dba Gateway Early</t>
  </si>
  <si>
    <t>Maricopa County Educational Service Agency</t>
  </si>
  <si>
    <t>Maricopa County Regional District</t>
  </si>
  <si>
    <t>Maricopa Unified School District</t>
  </si>
  <si>
    <t>Mary C O'Brien Accommodation District</t>
  </si>
  <si>
    <t>Maryvale Preparatory Academy</t>
  </si>
  <si>
    <t>Masada Charter School  Inc.</t>
  </si>
  <si>
    <t>Math and Science Success Academy  Inc.</t>
  </si>
  <si>
    <t>Mayer Unified School District</t>
  </si>
  <si>
    <t>MCCCD on behalf of Phoenix College Preparatory Academy</t>
  </si>
  <si>
    <t>Mcnary Elementary District</t>
  </si>
  <si>
    <t>McNeal Elementary District</t>
  </si>
  <si>
    <t>Mesa Unified District</t>
  </si>
  <si>
    <t>Mexicayotl Academy  Inc.</t>
  </si>
  <si>
    <t>Santa Cruz</t>
  </si>
  <si>
    <t>Miami Unified District</t>
  </si>
  <si>
    <t>Midtown Primary School</t>
  </si>
  <si>
    <t>Mingus Springs Charter School</t>
  </si>
  <si>
    <t>Mingus Union High School District</t>
  </si>
  <si>
    <t>Mohave Accelerated Elementary School  Inc.</t>
  </si>
  <si>
    <t>Mohave Accelerated Learning Center</t>
  </si>
  <si>
    <t>Mohave Valley Elementary District</t>
  </si>
  <si>
    <t>Mohawk Valley Elementary District</t>
  </si>
  <si>
    <t>Montessori Academy  Inc.</t>
  </si>
  <si>
    <t>Montessori Day Public Schools Chartered  Inc.</t>
  </si>
  <si>
    <t>Morenci Unified District</t>
  </si>
  <si>
    <t>Morrison Education Group  Inc.</t>
  </si>
  <si>
    <t>Morristown Elementary District</t>
  </si>
  <si>
    <t>Mountain Oak Charter School  Inc.</t>
  </si>
  <si>
    <t>Murphy Elementary District</t>
  </si>
  <si>
    <t>Naco Elementary District</t>
  </si>
  <si>
    <t>Nadaburg Unified School District</t>
  </si>
  <si>
    <t>New Horizon School for the Performing Arts</t>
  </si>
  <si>
    <t>New World Educational Center</t>
  </si>
  <si>
    <t>Noah Webster Schools-Mesa</t>
  </si>
  <si>
    <t>Noah Webster Schools-Pima</t>
  </si>
  <si>
    <t>Nogales Unified District</t>
  </si>
  <si>
    <t>North Star Charter School  Inc.</t>
  </si>
  <si>
    <t>Nosotros  Inc</t>
  </si>
  <si>
    <t>Omega Alpha Academy</t>
  </si>
  <si>
    <t>Open Doors Community School  Inc.</t>
  </si>
  <si>
    <t>Oracle Elementary District</t>
  </si>
  <si>
    <t>Osborn Elementary District</t>
  </si>
  <si>
    <t>Owens-Whitney Elementary District</t>
  </si>
  <si>
    <t>P.L.C. Charter Schools</t>
  </si>
  <si>
    <t>Page Unified District</t>
  </si>
  <si>
    <t>Painted Desert Demonstration Projects  Inc.</t>
  </si>
  <si>
    <t>Palo Verde Elementary District</t>
  </si>
  <si>
    <t>Paloma School District</t>
  </si>
  <si>
    <t>Palominas Elementary District</t>
  </si>
  <si>
    <t>Pan-American Elementary Charter</t>
  </si>
  <si>
    <t>Paradise Valley Unified District</t>
  </si>
  <si>
    <t>Paragon Management  Inc.</t>
  </si>
  <si>
    <t>Paramount Education Studies Inc</t>
  </si>
  <si>
    <t>Park View School  Inc.</t>
  </si>
  <si>
    <t>Parker Unified School District</t>
  </si>
  <si>
    <t>PAS Charter  Inc.  dba Intelli-School</t>
  </si>
  <si>
    <t>Patagonia Elementary District</t>
  </si>
  <si>
    <t>Patagonia Union High School District</t>
  </si>
  <si>
    <t>Pathfinder Charter School Foundation</t>
  </si>
  <si>
    <t>Payson Unified District</t>
  </si>
  <si>
    <t>Peach Springs Unified District</t>
  </si>
  <si>
    <t>PEAK School Inc.  The</t>
  </si>
  <si>
    <t>Pearce Elementary District</t>
  </si>
  <si>
    <t>Pendergast Elementary District</t>
  </si>
  <si>
    <t>Peoria Unified School District</t>
  </si>
  <si>
    <t>Phoenix Advantage Charter School  Inc.</t>
  </si>
  <si>
    <t>Phoenix Elementary District</t>
  </si>
  <si>
    <t>Phoenix School of Academic Excellence The</t>
  </si>
  <si>
    <t>Phoenix Union High School District</t>
  </si>
  <si>
    <t>Picacho Elementary District</t>
  </si>
  <si>
    <t>Pima County Board of Supervisors</t>
  </si>
  <si>
    <t>Pima Prevention Partnership dba Pima Partnership Academy</t>
  </si>
  <si>
    <t>Pima Prevention Partnership dba Pima Partnership School  The</t>
  </si>
  <si>
    <t>Pima Prevention Partnership</t>
  </si>
  <si>
    <t>Pima Unified District</t>
  </si>
  <si>
    <t>Pine Forest Education Association  Inc.</t>
  </si>
  <si>
    <t>Pine Strawberry Elementary District</t>
  </si>
  <si>
    <t>Pinon Unified District</t>
  </si>
  <si>
    <t>Pomerene Elementary District</t>
  </si>
  <si>
    <t>Portable Practical Educational Preparation  Inc. (PPEP  Inc.</t>
  </si>
  <si>
    <t>Premier Charter High School</t>
  </si>
  <si>
    <t>Prescott Unified District</t>
  </si>
  <si>
    <t>Prescott Valley Charter School</t>
  </si>
  <si>
    <t>Presidio School</t>
  </si>
  <si>
    <t>Quartzsite Elementary District</t>
  </si>
  <si>
    <t>Queen Creek Unified District</t>
  </si>
  <si>
    <t>Ray Unified District</t>
  </si>
  <si>
    <t>Red Mesa Unified District</t>
  </si>
  <si>
    <t>Research Based Education Corporation</t>
  </si>
  <si>
    <t>Riverside Elementary District</t>
  </si>
  <si>
    <t>Roosevelt Elementary District</t>
  </si>
  <si>
    <t>Round Valley Unified District</t>
  </si>
  <si>
    <t>RSD Charter School  Inc.</t>
  </si>
  <si>
    <t>Sacaton Elementary District</t>
  </si>
  <si>
    <t>Saddle Mountain Unified School District</t>
  </si>
  <si>
    <t>Safford Unified District</t>
  </si>
  <si>
    <t>Sahuarita Unified District</t>
  </si>
  <si>
    <t>Salome Consolidated Elementary District</t>
  </si>
  <si>
    <t>Salt River Pima-Maricopa  Community Schools</t>
  </si>
  <si>
    <t>San Carlos Unified District</t>
  </si>
  <si>
    <t>San Fernando Elementary District</t>
  </si>
  <si>
    <t>San Simon Unified District</t>
  </si>
  <si>
    <t>San Tan Montessori School  Inc.</t>
  </si>
  <si>
    <t>Sanders Unified District</t>
  </si>
  <si>
    <t>Santa Cruz Elementary District</t>
  </si>
  <si>
    <t>Santa Cruz Valley Unified District</t>
  </si>
  <si>
    <t>Santa Cruz Valley Union High School District</t>
  </si>
  <si>
    <t>SC Jensen Corporation  Inc. dba Intelli-School</t>
  </si>
  <si>
    <t>Scottsdale Unified District</t>
  </si>
  <si>
    <t>Sedona Charter School  Inc.</t>
  </si>
  <si>
    <t>Sedona-Oak Creek JUSD #9</t>
  </si>
  <si>
    <t>Seligman Unified District</t>
  </si>
  <si>
    <t>Show Low Unified District</t>
  </si>
  <si>
    <t>Sierra Vista Unified District</t>
  </si>
  <si>
    <t>Skyline Gila River Schools  LLC</t>
  </si>
  <si>
    <t>Skyline Schools  Inc.</t>
  </si>
  <si>
    <t>Skyview School  Inc.</t>
  </si>
  <si>
    <t>Snowflake Unified District</t>
  </si>
  <si>
    <t>Solomon Elementary District</t>
  </si>
  <si>
    <t>Somerton Elementary District</t>
  </si>
  <si>
    <t>Sonoita Elementary District</t>
  </si>
  <si>
    <t>Sonoran Science Academy - Broadway</t>
  </si>
  <si>
    <t>Sonoran Science Academy - Davis Monthan</t>
  </si>
  <si>
    <t>South Phoenix Academy Inc.</t>
  </si>
  <si>
    <t>South Valley Academy  Inc.</t>
  </si>
  <si>
    <t>Southwest Leadership Academy</t>
  </si>
  <si>
    <t>St. David Unified District</t>
  </si>
  <si>
    <t>St. Johns Unified District</t>
  </si>
  <si>
    <t>Stanfield Elementary District</t>
  </si>
  <si>
    <t>StarShine Academy</t>
  </si>
  <si>
    <t>Strengthbuilding Partners</t>
  </si>
  <si>
    <t>Success School</t>
  </si>
  <si>
    <t>Sunnyside Unified District</t>
  </si>
  <si>
    <t>Superior Unified School District</t>
  </si>
  <si>
    <t>SySTEM Schools</t>
  </si>
  <si>
    <t>Tanque Verde Unified District</t>
  </si>
  <si>
    <t>Teleos Preparatory Academy</t>
  </si>
  <si>
    <t>Telesis Center for Learning  Inc.</t>
  </si>
  <si>
    <t>Tempe School District</t>
  </si>
  <si>
    <t>Tempe Union High School District</t>
  </si>
  <si>
    <t>Thatcher Unified District</t>
  </si>
  <si>
    <t>The Charter Foundation  Inc.</t>
  </si>
  <si>
    <t>The Paideia Academies  Inc</t>
  </si>
  <si>
    <t>Tolleson Elementary District</t>
  </si>
  <si>
    <t>Tolleson Union High School District</t>
  </si>
  <si>
    <t>Toltec Elementary District</t>
  </si>
  <si>
    <t>Tombstone Unified District</t>
  </si>
  <si>
    <t>Tonto Basin Elementary District</t>
  </si>
  <si>
    <t>Topock Elementary District</t>
  </si>
  <si>
    <t>Tuba City Unified District</t>
  </si>
  <si>
    <t>Tucson International Academy  Inc.</t>
  </si>
  <si>
    <t>Tucson Preparatory School</t>
  </si>
  <si>
    <t>Tucson Small School Project</t>
  </si>
  <si>
    <t>Tucson Unified District</t>
  </si>
  <si>
    <t>Tucson Youth Development/ACE Charter High School</t>
  </si>
  <si>
    <t>Union Elementary District</t>
  </si>
  <si>
    <t>Vail Unified District</t>
  </si>
  <si>
    <t>Valley Union High School District</t>
  </si>
  <si>
    <t>Vector School District  Inc.</t>
  </si>
  <si>
    <t>Vernon Elementary District</t>
  </si>
  <si>
    <t>Visions Unlimited Academy  Inc.</t>
  </si>
  <si>
    <t>Vista College Preparatory, Inc.</t>
  </si>
  <si>
    <t>Washington Elementary School District</t>
  </si>
  <si>
    <t>Wellton Elementary District</t>
  </si>
  <si>
    <t>Wenden Elementary District</t>
  </si>
  <si>
    <t>West Gilbert Charter Elementary School  Inc.</t>
  </si>
  <si>
    <t>West Gilbert Charter Middle School  Inc.</t>
  </si>
  <si>
    <t>West Valley Arts and Technology Academy  Inc.</t>
  </si>
  <si>
    <t>Western School of Science and Technology, Inc.</t>
  </si>
  <si>
    <t>Westwind Middle School Academy</t>
  </si>
  <si>
    <t>Whiteriver Unified District</t>
  </si>
  <si>
    <t>Wickenburg Unified District</t>
  </si>
  <si>
    <t>Willcox Unified District</t>
  </si>
  <si>
    <t>Williams Unified District</t>
  </si>
  <si>
    <t>Wilson Elementary District</t>
  </si>
  <si>
    <t>Window Rock Unified District</t>
  </si>
  <si>
    <t>Winslow Unified District</t>
  </si>
  <si>
    <t>Yarnell Elementary District</t>
  </si>
  <si>
    <t>Young Elementary District</t>
  </si>
  <si>
    <t>Young Scholars Academy Charter School Corp.</t>
  </si>
  <si>
    <t>Yucca Elementary District</t>
  </si>
  <si>
    <t>Yuma Elementary District</t>
  </si>
  <si>
    <t>Yuma Union High School District</t>
  </si>
  <si>
    <t>Arizona Department of Education</t>
  </si>
  <si>
    <t>Yavapai Accommodation School District</t>
  </si>
  <si>
    <t>Williamson Valley Elementary School District</t>
  </si>
  <si>
    <t>Western Arizona Vocational District #50</t>
  </si>
  <si>
    <t>West-MEC - Western Maricopa Education Center</t>
  </si>
  <si>
    <t>Walnut Grove Elementary District</t>
  </si>
  <si>
    <t>Vista Charter School</t>
  </si>
  <si>
    <t>Villa Montessori Charter School</t>
  </si>
  <si>
    <t>Veritas Preparatory Academy</t>
  </si>
  <si>
    <t>Valley Academy for Career and Technology Education</t>
  </si>
  <si>
    <t>Valentine Elementary District</t>
  </si>
  <si>
    <t>Trivium Preparatory Academy</t>
  </si>
  <si>
    <t>Triumphant Learning Center</t>
  </si>
  <si>
    <t>The Shelby School</t>
  </si>
  <si>
    <t>The Farm at Mission Montessori Academy</t>
  </si>
  <si>
    <t>Tempe Preparatory Junior Academy</t>
  </si>
  <si>
    <t>Tempe Preparatory Academy</t>
  </si>
  <si>
    <t>Stepping Stones Academy</t>
  </si>
  <si>
    <t>St Johns Unified District</t>
  </si>
  <si>
    <t>St David Unified District</t>
  </si>
  <si>
    <t>Sonoran Desert School</t>
  </si>
  <si>
    <t>Skull Valley Elementary District</t>
  </si>
  <si>
    <t>Sentinel Elementary District</t>
  </si>
  <si>
    <t>Self Development Charter School</t>
  </si>
  <si>
    <t>Scottsdale Preparatory Academy</t>
  </si>
  <si>
    <t>Scottsdale Country Day School</t>
  </si>
  <si>
    <t>Reid Traditional Schools' Painted Rock Academy Inc.</t>
  </si>
  <si>
    <t>Redington Elementary District</t>
  </si>
  <si>
    <t>Red Rock Elementary District</t>
  </si>
  <si>
    <t>Ray of Light Academy</t>
  </si>
  <si>
    <t>Pointe Educational Services</t>
  </si>
  <si>
    <t>Pima County JTED</t>
  </si>
  <si>
    <t>Pima Accommodation District</t>
  </si>
  <si>
    <t>Pillar Charter School</t>
  </si>
  <si>
    <t>Liberty High School</t>
  </si>
  <si>
    <t>Patagonia Montessori Elementary School</t>
  </si>
  <si>
    <t>Painted Pony Ranch Charter School</t>
  </si>
  <si>
    <t>Northland Preparatory Academy</t>
  </si>
  <si>
    <t>Northern Arizona Vocational Institute of Technology</t>
  </si>
  <si>
    <t>North Phoenix Preparatory Academy</t>
  </si>
  <si>
    <t>New School for the Arts Middle School</t>
  </si>
  <si>
    <t>New School For The Arts</t>
  </si>
  <si>
    <t>Navajo County Accommodation District #99</t>
  </si>
  <si>
    <t>Mountain Institute JTED</t>
  </si>
  <si>
    <t>Montessori Education Centre Charter School</t>
  </si>
  <si>
    <t>Mobile Elementary District</t>
  </si>
  <si>
    <t>Milestones Charter School</t>
  </si>
  <si>
    <t>East Valley Academy</t>
  </si>
  <si>
    <t>Little Lamb Community School</t>
  </si>
  <si>
    <t>Legacy Traditional School - Northwest Tucson</t>
  </si>
  <si>
    <t>Legacy Traditional School - Gilbert</t>
  </si>
  <si>
    <t>Legacy Traditional School - Avondale</t>
  </si>
  <si>
    <t>Legacy Traditional Charter Schools - Casa Grande</t>
  </si>
  <si>
    <t>Legacy Traditional Charter School - Maricopa</t>
  </si>
  <si>
    <t>Legacy Traditional Charter School - Laveen Village</t>
  </si>
  <si>
    <t>Klondyke Elementary District</t>
  </si>
  <si>
    <t>Khalsa Family Services</t>
  </si>
  <si>
    <t>James Madison Preparatory School</t>
  </si>
  <si>
    <t>Incito Schools</t>
  </si>
  <si>
    <t>Hirsch Academy A Challenge Foundation</t>
  </si>
  <si>
    <t>Hillside Elementary District</t>
  </si>
  <si>
    <t>Hermosa Montessori Charter School</t>
  </si>
  <si>
    <t>Graysmark Schools Corporation</t>
  </si>
  <si>
    <t>Global Renaissance Academy of Distinguished Education</t>
  </si>
  <si>
    <t>Glendale Preparatory Academy</t>
  </si>
  <si>
    <t>Gila Institute for Technology</t>
  </si>
  <si>
    <t>Fountain Hills Charter School</t>
  </si>
  <si>
    <t>Foothills Academy</t>
  </si>
  <si>
    <t>Flagstaff Arts And Leadership Academy</t>
  </si>
  <si>
    <t>Empire Elementary District</t>
  </si>
  <si>
    <t>East Valley Institute of Technology</t>
  </si>
  <si>
    <t>Eagle Elementary District</t>
  </si>
  <si>
    <t>Desert Springs Academy</t>
  </si>
  <si>
    <t>Crown King Elementary District</t>
  </si>
  <si>
    <t>Coconino County Accommodation School District</t>
  </si>
  <si>
    <t>Coconino Association for Vocation Industry and Technology</t>
  </si>
  <si>
    <t>Cochise Elementary District</t>
  </si>
  <si>
    <t>Cobre Valley Institute of Technology District</t>
  </si>
  <si>
    <t>Clifton Unified District</t>
  </si>
  <si>
    <t>Chevelon Butte School District</t>
  </si>
  <si>
    <t>Chandler Preparatory Academy</t>
  </si>
  <si>
    <t>Central Arizona Valley Institute of Technology</t>
  </si>
  <si>
    <t>Camino Montessori</t>
  </si>
  <si>
    <t>Bonita Elementary District</t>
  </si>
  <si>
    <t>Blue Elementary District</t>
  </si>
  <si>
    <t>Blue Adobe Project</t>
  </si>
  <si>
    <t>Benjamin Franklin Charter School</t>
  </si>
  <si>
    <t>Ball Charter Schools (Val Vista)</t>
  </si>
  <si>
    <t>Az-Tec High School</t>
  </si>
  <si>
    <t>Avondale Learning dba Precision Academy</t>
  </si>
  <si>
    <t>Arizona School For The Arts</t>
  </si>
  <si>
    <t>Archway Classical Academy Veritas</t>
  </si>
  <si>
    <t>Archway Classical Academy Scottsdale</t>
  </si>
  <si>
    <t>Archway Classical Academy North Phoenix</t>
  </si>
  <si>
    <t>Archway Classical Academy Glendale</t>
  </si>
  <si>
    <t>Archway Classical Academy Chandler</t>
  </si>
  <si>
    <t>Apache Elementary District</t>
  </si>
  <si>
    <t>Anthem Preparatory Academy</t>
  </si>
  <si>
    <t>American Basic Schools LLC</t>
  </si>
  <si>
    <t>Ambassador Academy</t>
  </si>
  <si>
    <t>Alpine Elementary District</t>
  </si>
  <si>
    <t>A Center for Creative Education</t>
  </si>
  <si>
    <t>State LEA ID</t>
  </si>
  <si>
    <t>NCES LEA ID</t>
  </si>
  <si>
    <t>Fed ID</t>
  </si>
  <si>
    <t>State ID</t>
  </si>
  <si>
    <t>LEAID</t>
  </si>
  <si>
    <t>LEACTDS</t>
  </si>
  <si>
    <t>Census Population</t>
  </si>
  <si>
    <t>Census Poverty</t>
  </si>
  <si>
    <t>Census Percentage</t>
  </si>
  <si>
    <t>SAIS Oct Enrollment Counts</t>
  </si>
  <si>
    <t>SEA Census Poverty Counts</t>
  </si>
  <si>
    <t>Adjusted Population</t>
  </si>
  <si>
    <t>Adjusted Poverty</t>
  </si>
  <si>
    <t>Adjusted Percentage</t>
  </si>
  <si>
    <t>STATE TOTAL</t>
  </si>
  <si>
    <t>PART D SUBPART 2</t>
  </si>
  <si>
    <t>ARIZONA</t>
  </si>
  <si>
    <t>Undistributed</t>
  </si>
  <si>
    <t>BALANCE OF SANTA CRUZ COUNTY</t>
  </si>
  <si>
    <t>BALANCE OF PIMA COUNTY</t>
  </si>
  <si>
    <t>BALANCE OF NAVAJO COUNTY</t>
  </si>
  <si>
    <t>BALANCE OF MARICOPA COUNTY</t>
  </si>
  <si>
    <t>BALANCE OF GILA COUNTY</t>
  </si>
  <si>
    <t>BALANCE OF COCONINO COUNTY</t>
  </si>
  <si>
    <t>BALANCE OF COCHISE COUNTY</t>
  </si>
  <si>
    <t>Young Elementary School District</t>
  </si>
  <si>
    <t>Washington Elementary District</t>
  </si>
  <si>
    <t>Sedona-Oak Creek Joint Unified District</t>
  </si>
  <si>
    <t>Rucker Elementary District</t>
  </si>
  <si>
    <t>McNary Elementary District</t>
  </si>
  <si>
    <t>Mayer Unified District</t>
  </si>
  <si>
    <t>J. O. Combs Unified School District</t>
  </si>
  <si>
    <t>Indian Oasis-Baboquivari Unified District</t>
  </si>
  <si>
    <t>Higley Unified District</t>
  </si>
  <si>
    <t>Ganado Unified District</t>
  </si>
  <si>
    <t>Chandler Unified District</t>
  </si>
  <si>
    <t>Bagdad Unified School District</t>
  </si>
  <si>
    <t>EFIG</t>
  </si>
  <si>
    <t>TARGETED</t>
  </si>
  <si>
    <t>ELIGIBLES</t>
  </si>
  <si>
    <t>FORMULA</t>
  </si>
  <si>
    <t>POP.</t>
  </si>
  <si>
    <t>COUNT</t>
  </si>
  <si>
    <t>TANF</t>
  </si>
  <si>
    <t>FOSTER</t>
  </si>
  <si>
    <t>DEL</t>
  </si>
  <si>
    <t>NEG</t>
  </si>
  <si>
    <t>POVERTY</t>
  </si>
  <si>
    <t>(LEA)</t>
  </si>
  <si>
    <t xml:space="preserve">STATE </t>
  </si>
  <si>
    <t>STATE C</t>
  </si>
  <si>
    <t>SORT C</t>
  </si>
  <si>
    <t>COUNTS</t>
  </si>
  <si>
    <t>&amp; EFIG</t>
  </si>
  <si>
    <t>CONC.</t>
  </si>
  <si>
    <t>BASIC</t>
  </si>
  <si>
    <t>PERCENT</t>
  </si>
  <si>
    <t>5-17</t>
  </si>
  <si>
    <t>LOCAL EDUCATIONAL AGENCY</t>
  </si>
  <si>
    <t>WEIGHTED</t>
  </si>
  <si>
    <t>TOTAL</t>
  </si>
  <si>
    <t>UNWEIGHTED</t>
  </si>
  <si>
    <t>h</t>
  </si>
  <si>
    <t>Row Labels</t>
  </si>
  <si>
    <t>St. Michaels Association for Special Education, Inc.</t>
  </si>
  <si>
    <t>Center for Academic Success, Inc.</t>
  </si>
  <si>
    <t>Tuba City Unified School District #15</t>
  </si>
  <si>
    <t>Northern AZ Council Of Gov Headstart</t>
  </si>
  <si>
    <t>PEAK School Inc., The</t>
  </si>
  <si>
    <t>Flagstaff Montessori, L.L.C.</t>
  </si>
  <si>
    <t>Pine Forest Education Association, Inc.</t>
  </si>
  <si>
    <t>Visions Unlimited Academy, Inc.</t>
  </si>
  <si>
    <t>Mountain School, Inc.</t>
  </si>
  <si>
    <t>Painted Desert Demonstration Projects, Inc.</t>
  </si>
  <si>
    <t>Haven Montessori Children's House, Inc.</t>
  </si>
  <si>
    <t>Destiny School, Inc.</t>
  </si>
  <si>
    <t>Devereux Arizona</t>
  </si>
  <si>
    <t>Canyon State Academy</t>
  </si>
  <si>
    <t>New Way Learning Academy</t>
  </si>
  <si>
    <t>Desert Choice Schools, Inc.</t>
  </si>
  <si>
    <t>Desert Heights Academy</t>
  </si>
  <si>
    <t>Specialized Education of Arizona</t>
  </si>
  <si>
    <t>Gompers Center</t>
  </si>
  <si>
    <t>St. Dominic Savio Academy, LLC</t>
  </si>
  <si>
    <t>Brightmont Academy</t>
  </si>
  <si>
    <t>Education Works, Inc</t>
  </si>
  <si>
    <t>Autism Academy of Education and Development</t>
  </si>
  <si>
    <t>Pathways School and Evaluation Center</t>
  </si>
  <si>
    <t>THE NEW FOUNDATION</t>
  </si>
  <si>
    <t>Gateway Academy</t>
  </si>
  <si>
    <t>FOUNDATION FOR BLIND CHILDREN</t>
  </si>
  <si>
    <t>Banner Children's Academy of Education &amp; Devemopment</t>
  </si>
  <si>
    <t>Southwest Education Center</t>
  </si>
  <si>
    <t>Chrysalis Academy</t>
  </si>
  <si>
    <t>Aurora Day School</t>
  </si>
  <si>
    <t>Phoenix Center for Success , LLC</t>
  </si>
  <si>
    <t>YOUTH DEVELOPMENT INSTITUTE</t>
  </si>
  <si>
    <t>Neurologic Music Therapy Services of Arizona</t>
  </si>
  <si>
    <t>Lexis Preparatory School, LLC.</t>
  </si>
  <si>
    <t>ACCEL</t>
  </si>
  <si>
    <t>CHILDREN'S CENTER FOR NEURODEVELOPMENTAL STUDIES</t>
  </si>
  <si>
    <t>Hi-Star Center for Children</t>
  </si>
  <si>
    <t>Breakthrough Academy</t>
  </si>
  <si>
    <t>UPWARD FOUNDATION</t>
  </si>
  <si>
    <t>THE ACES</t>
  </si>
  <si>
    <t>MARICOPA COUNTY HEAD START</t>
  </si>
  <si>
    <t>City of Phoenix - Wilson Headstart</t>
  </si>
  <si>
    <t>Fowler Elementary Head Start Program</t>
  </si>
  <si>
    <t>City of Phoenix - Alhambra H/S</t>
  </si>
  <si>
    <t>Southwest Human Development</t>
  </si>
  <si>
    <t>Head Start Washington Elementary School District</t>
  </si>
  <si>
    <t>The Paideia Academies, Inc</t>
  </si>
  <si>
    <t>EAGLE South Mountain Charter, Inc.</t>
  </si>
  <si>
    <t>Arizona Autism Charter Schools, Inc.</t>
  </si>
  <si>
    <t>PS Charter Schools, Inc.</t>
  </si>
  <si>
    <t>Horizon Community Learning Center, Inc.</t>
  </si>
  <si>
    <t>Edkey, Inc. - Sequoia Pathway Academy</t>
  </si>
  <si>
    <t>Archway Classical Academy Arete</t>
  </si>
  <si>
    <t>Archway Classical Academy Cicero</t>
  </si>
  <si>
    <t>Cicero Preparatory Academy</t>
  </si>
  <si>
    <t>Heritage Academy Queen Creek, Inc.</t>
  </si>
  <si>
    <t>Heritage Academy Laveen, Inc.</t>
  </si>
  <si>
    <t>Arizona Language Preparatory</t>
  </si>
  <si>
    <t>Franklin Phonetic Primary School, Inc.</t>
  </si>
  <si>
    <t>Ahwatukee Foothills Prep, Inc.</t>
  </si>
  <si>
    <t>Rosefield Charter Elementary School, Inc.</t>
  </si>
  <si>
    <t>East Mesa Charter Elementary School, Inc.</t>
  </si>
  <si>
    <t>Arizona Agribusiness &amp; Equine Center, Inc.</t>
  </si>
  <si>
    <t>Arizona Connections Academy Charter School, Inc.</t>
  </si>
  <si>
    <t>American Charter Schools Foundation d.b.a. South Ridge High School</t>
  </si>
  <si>
    <t>Imagine Charter Elementary at Camelback, Inc.</t>
  </si>
  <si>
    <t>Imagine Charter Elementary at Desert West, Inc.</t>
  </si>
  <si>
    <t>Imagine Middle at East Mesa, Inc.</t>
  </si>
  <si>
    <t>Imagine Middle at Surprise, Inc.</t>
  </si>
  <si>
    <t>Imagine Elementary at Tempe, Inc.</t>
  </si>
  <si>
    <t>Arete Preparatory Academy</t>
  </si>
  <si>
    <t>Freedom Academy, Inc.</t>
  </si>
  <si>
    <t>Concordia Charter School, Inc.</t>
  </si>
  <si>
    <t>Imagine Camelback Middle, Inc.</t>
  </si>
  <si>
    <t>Imagine Desert West Middle, Inc.</t>
  </si>
  <si>
    <t>Candeo Schools, Inc.</t>
  </si>
  <si>
    <t>Imagine Avondale Elementary, Inc.</t>
  </si>
  <si>
    <t>Imagine Coolidge Elementary, Inc.</t>
  </si>
  <si>
    <t>Imagine Prep Superstition, Inc.</t>
  </si>
  <si>
    <t>Imagine Prep Surprise, Inc.</t>
  </si>
  <si>
    <t>San Tan Montessori School, Inc.</t>
  </si>
  <si>
    <t>AZ Compass Schools, Inc.</t>
  </si>
  <si>
    <t>Imagine Prep Coolidge, Inc.</t>
  </si>
  <si>
    <t>West Valley Arts and Technology Academy, Inc.</t>
  </si>
  <si>
    <t>Choice Academies, Inc.</t>
  </si>
  <si>
    <t>Imagine Superstition Middle, Inc.</t>
  </si>
  <si>
    <t>Imagine Avondale Middle, Inc.</t>
  </si>
  <si>
    <t>Morrison Education Group, Inc.</t>
  </si>
  <si>
    <t>Phoenix Collegiate Academy, Inc.</t>
  </si>
  <si>
    <t>The Odyssey Preparatory Academy, Inc.</t>
  </si>
  <si>
    <t>Vector School District, Inc.</t>
  </si>
  <si>
    <t>CAFA, Inc. dba Learning Foundation and Performing Arts Gilbert</t>
  </si>
  <si>
    <t>CAFA, Inc. dba Learning Foundation and Performing Arts Alta Mesa</t>
  </si>
  <si>
    <t>Skyline Gila River Schools, LLC</t>
  </si>
  <si>
    <t>Kaizen Education Foundation dba Vista Grove Preparatory Academy Elementary</t>
  </si>
  <si>
    <t>Kaizen Education Foundation dba Mission Heights Preparatory High School</t>
  </si>
  <si>
    <t>South Valley Academy, Inc.</t>
  </si>
  <si>
    <t>Ahwatukee Foothills Prep Early College High School, Inc.</t>
  </si>
  <si>
    <t>George Gervin Youth Center, Inc.</t>
  </si>
  <si>
    <t>Happy Valley School, Inc.</t>
  </si>
  <si>
    <t>PLC Arts Academy at Scottsdale, Inc.</t>
  </si>
  <si>
    <t>Academy Of Excellence, Inc.</t>
  </si>
  <si>
    <t>Florence Crittenton Services of Arizona, Inc.</t>
  </si>
  <si>
    <t>Friendly House, Inc.</t>
  </si>
  <si>
    <t>Twenty First Century Charter School, Inc. Bennett Academy</t>
  </si>
  <si>
    <t>STEP UP Schools, Inc.</t>
  </si>
  <si>
    <t>Maricopa County Community College District dba Gateway Early College High School</t>
  </si>
  <si>
    <t>Employ-Ability Unlimited, Inc.</t>
  </si>
  <si>
    <t>Arizona Academy of Science And Technology, Inc.</t>
  </si>
  <si>
    <t>GAR, LLC dba Student Choice High School</t>
  </si>
  <si>
    <t>Eduprize Schools, LLC</t>
  </si>
  <si>
    <t>Sage Academy, Inc.</t>
  </si>
  <si>
    <t>Genesis Program, Inc.</t>
  </si>
  <si>
    <t>International Commerce Secondary Schools, Inc.</t>
  </si>
  <si>
    <t>Heritage Academy, Inc.</t>
  </si>
  <si>
    <t>Humanities and Sciences Academy of the United States, Inc.</t>
  </si>
  <si>
    <t>Phoenix Advantage Charter School, Inc.</t>
  </si>
  <si>
    <t>Phoenix Education Management, LLC,</t>
  </si>
  <si>
    <t>EduPreneurship, Inc.</t>
  </si>
  <si>
    <t>Arizona Call-a-Teen Youth Resources, Inc.</t>
  </si>
  <si>
    <t>Allen-Cochran Enterprises, Inc.</t>
  </si>
  <si>
    <t>American Leadership Academy, Inc.</t>
  </si>
  <si>
    <t>Pinnacle Education-Tempe, Inc.</t>
  </si>
  <si>
    <t>Patriot Academy, Inc.</t>
  </si>
  <si>
    <t>RSD Charter School, Inc.</t>
  </si>
  <si>
    <t>Edkey, Inc. - Redwood Academy</t>
  </si>
  <si>
    <t>Intelli-School, Inc.</t>
  </si>
  <si>
    <t>Edkey, Inc. - Pathfinder Academy</t>
  </si>
  <si>
    <t>Edkey, Inc. - Sequoia School for the Deaf and Hard of Hearing</t>
  </si>
  <si>
    <t>Bradley Academy of Excellence, Inc.</t>
  </si>
  <si>
    <t>Reid Traditional Schools' Valley Academy, Inc.</t>
  </si>
  <si>
    <t>Victory High School, Inc.</t>
  </si>
  <si>
    <t>Montessori Day Public Schools Chartered, Inc.</t>
  </si>
  <si>
    <t>Bright Beginnings School, Inc.</t>
  </si>
  <si>
    <t>Kaizen Education Foundation dba South Pointe Junior High School</t>
  </si>
  <si>
    <t>Benchmark School, Inc.</t>
  </si>
  <si>
    <t>Ombudsman Educational Services, Ltd.,a subsidiary of Educational Services of Ame</t>
  </si>
  <si>
    <t>Cambridge Academy  East,  Inc</t>
  </si>
  <si>
    <t>Challenge School, Inc.</t>
  </si>
  <si>
    <t>Gem Charter School, Inc.</t>
  </si>
  <si>
    <t>Keystone Montessori Charter School, Inc.</t>
  </si>
  <si>
    <t>Fit Kids, Inc. dba Champion Schools</t>
  </si>
  <si>
    <t>Excalibur Charter Schools, Inc.</t>
  </si>
  <si>
    <t>Metropolitan Arts Institute, Inc.</t>
  </si>
  <si>
    <t>E-Institute Charter Schools, Inc.</t>
  </si>
  <si>
    <t>Paragon Management, Inc.</t>
  </si>
  <si>
    <t>Skyline Schools, Inc.</t>
  </si>
  <si>
    <t>Edkey, Inc. - Sequoia Charter School</t>
  </si>
  <si>
    <t>Edkey, Inc. - Sequoia Village School</t>
  </si>
  <si>
    <t>Pinnacle Education-WMCB, Inc.</t>
  </si>
  <si>
    <t>Crown Charter School, Inc</t>
  </si>
  <si>
    <t>Noah Webster Schools - Mesa</t>
  </si>
  <si>
    <t>Deer Valley Charter Schools, Inc.</t>
  </si>
  <si>
    <t>West Gilbert Charter Elementary School, Inc.</t>
  </si>
  <si>
    <t>Montessori House, Inc.</t>
  </si>
  <si>
    <t>North Star Charter School, Inc.</t>
  </si>
  <si>
    <t>Kaizen Education Foundation dba Vista Grove Preparatory Academy Middle School</t>
  </si>
  <si>
    <t>American Charter Schools Foundation d.b.a. Desert Hills High School</t>
  </si>
  <si>
    <t>American Charter Schools Foundation d.b.a. Estrella High School</t>
  </si>
  <si>
    <t>American Charter Schools Foundation d.b.a. Crestview College Preparatory High Sc</t>
  </si>
  <si>
    <t>American Charter Schools Foundation d.b.a. Peoria Accelerated High School</t>
  </si>
  <si>
    <t>American Charter Schools Foundation d.b.a. Sun Valley High School</t>
  </si>
  <si>
    <t>Kaizen Education Foundation dba Tempe Accelerated High School</t>
  </si>
  <si>
    <t>American Charter Schools Foundation d.b.a. West Phoenix High School</t>
  </si>
  <si>
    <t>Challenger Basic School, Inc.</t>
  </si>
  <si>
    <t>Camelback Education, Inc</t>
  </si>
  <si>
    <t>SC Jensen Corporation, Inc. dba Intelli-School</t>
  </si>
  <si>
    <t>PAS Charter, Inc., dba Intelli-School</t>
  </si>
  <si>
    <t>Valley of the Sun Waldorf Education Association, dba Desert Marigold School</t>
  </si>
  <si>
    <t>Edkey, Inc. - Arizona Conservatory for Arts and Academics</t>
  </si>
  <si>
    <t>Bell Canyon Charter School, Inc</t>
  </si>
  <si>
    <t>West Gilbert Charter Middle School, Inc.</t>
  </si>
  <si>
    <t>Cortez Park Charter Middle School, Inc.</t>
  </si>
  <si>
    <t>Montessori Academy, Inc.</t>
  </si>
  <si>
    <t>Accelerated Learning Center, Inc.</t>
  </si>
  <si>
    <t>Life Skills Center of Arizona, Inc.</t>
  </si>
  <si>
    <t>American Charter Schools Foundation d.b.a. South Pointe High School</t>
  </si>
  <si>
    <t>Cornerstone Charter School,Inc</t>
  </si>
  <si>
    <t>Kaizen Education Foundation dba South Pointe Elementary School</t>
  </si>
  <si>
    <t>Owens School District No.6</t>
  </si>
  <si>
    <t>Telesis Center for Learning, Inc.</t>
  </si>
  <si>
    <t>Mohave Accelerated Elementary School, Inc.</t>
  </si>
  <si>
    <t>Academy of Building Industries, Inc.</t>
  </si>
  <si>
    <t>Desert Star Academy</t>
  </si>
  <si>
    <t>Masada Charter School, Inc.</t>
  </si>
  <si>
    <t>Blue Ridge Unified School District No. 32</t>
  </si>
  <si>
    <t>Northeast Arizona Technological Institute of Vocational Education</t>
  </si>
  <si>
    <t>Career Development, Inc.</t>
  </si>
  <si>
    <t>Shonto Governing Board of Education, Inc.</t>
  </si>
  <si>
    <t>CAFA, Inc. dba Learning Foundation Performing Arts School</t>
  </si>
  <si>
    <t>Founding Fathers Academies, Inc</t>
  </si>
  <si>
    <t>CHILD PARENT CENTERS, INC</t>
  </si>
  <si>
    <t>StrengthBuilding Partners</t>
  </si>
  <si>
    <t>Rising Schools, Inc.</t>
  </si>
  <si>
    <t>Daisy Education Corporation dba Sonoran Science Academy - Phoenix</t>
  </si>
  <si>
    <t>Daisy Education Corporation dba. Sonoran Science Academy Davis Monthan</t>
  </si>
  <si>
    <t>Open Doors Community School, Inc.</t>
  </si>
  <si>
    <t>Pima Rose Academy, Inc.</t>
  </si>
  <si>
    <t>Edge School, Inc., The</t>
  </si>
  <si>
    <t>Academy of Tucson, Inc.</t>
  </si>
  <si>
    <t>Luz Academy of Tucson, Inc</t>
  </si>
  <si>
    <t>Montessori Schoolhouse of Tucson, Inc.</t>
  </si>
  <si>
    <t>Vision Charter School, Inc.</t>
  </si>
  <si>
    <t>Nosotros, Inc</t>
  </si>
  <si>
    <t>Lifelong Learning Research Institute, Inc.</t>
  </si>
  <si>
    <t>Pima Prevention Partnership dba Pima Partnership School, The</t>
  </si>
  <si>
    <t>Academy of Mathematics and Science, Inc.</t>
  </si>
  <si>
    <t>Tucson International Academy, Inc.</t>
  </si>
  <si>
    <t>Canyon Rose Academy, Inc.</t>
  </si>
  <si>
    <t>Educational Impact, Inc.</t>
  </si>
  <si>
    <t>Satori, Inc.</t>
  </si>
  <si>
    <t>The Charter Foundation, Inc.</t>
  </si>
  <si>
    <t>Desert Sky Community School, Inc.</t>
  </si>
  <si>
    <t>Academy Del Sol, Inc.</t>
  </si>
  <si>
    <t>Institute for Transformative Education, Inc.</t>
  </si>
  <si>
    <t>Portable Practical Educational Preparation, Inc. (PPEP, Inc.)</t>
  </si>
  <si>
    <t>Mountain Rose Academy, Inc.</t>
  </si>
  <si>
    <t>Southern Arizona Community Academy, Inc.</t>
  </si>
  <si>
    <t>Tucson Country Day School, Inc.</t>
  </si>
  <si>
    <t>Carden of Tucson, Inc.</t>
  </si>
  <si>
    <t>Southgate Academy, Inc.</t>
  </si>
  <si>
    <t>Eastpointe High School, Inc.</t>
  </si>
  <si>
    <t>Desert Rose Academy,Inc.</t>
  </si>
  <si>
    <t>Compass High School, Inc.</t>
  </si>
  <si>
    <t>Griffin Foundation, Inc. The</t>
  </si>
  <si>
    <t>American Charter Schools Foundation d.b.a. Alta Vista High School</t>
  </si>
  <si>
    <t>Math and Science Success Academy, Inc.</t>
  </si>
  <si>
    <t>Collaborative Pathways, Inc.</t>
  </si>
  <si>
    <t>Toltec School District</t>
  </si>
  <si>
    <t>GILA RIVER HEAD START</t>
  </si>
  <si>
    <t>Pinal Gila Community Child Services, Inc</t>
  </si>
  <si>
    <t>American Charter Schools Foundation d.b.a. Apache Trail High School</t>
  </si>
  <si>
    <t>Pinnacle Education-Casa Grande, Inc.</t>
  </si>
  <si>
    <t>Akimel O Otham Pee Posh Charter School, Inc.</t>
  </si>
  <si>
    <t>Akimel O'Otham Pee Posh Charter School, Inc.</t>
  </si>
  <si>
    <t>Pinnacle Education-Kino, Inc.</t>
  </si>
  <si>
    <t>Mexicayotl Academy, Inc.</t>
  </si>
  <si>
    <t>Santa Cruz Valley Opportunities in Education, Inc.</t>
  </si>
  <si>
    <t>ASCEND (Autism Spectrum Center for Educational and Neurological Development)</t>
  </si>
  <si>
    <t>Mingus Mountain Academy</t>
  </si>
  <si>
    <t>Compass Points International, Inc</t>
  </si>
  <si>
    <t>La Tierra Community School, Inc</t>
  </si>
  <si>
    <t>New Visions Academy, Inc.</t>
  </si>
  <si>
    <t>Pathways KM Charter Schools, Inc</t>
  </si>
  <si>
    <t>Edkey, Inc. - Sequoia Ranch School</t>
  </si>
  <si>
    <t>Sedona Charter School, Inc.</t>
  </si>
  <si>
    <t>Desert Star Community School, Inc.</t>
  </si>
  <si>
    <t>Skyview School, Inc.</t>
  </si>
  <si>
    <t>Park View School, Inc.</t>
  </si>
  <si>
    <t>Mary Ellen Halvorson Educational Foundation. dba: Tri-City Prep High School</t>
  </si>
  <si>
    <t>PACE Preparatory Academy, Inc.</t>
  </si>
  <si>
    <t>Kestrel Schools, Inc.</t>
  </si>
  <si>
    <t>Mountain Oak Charter School, Inc.</t>
  </si>
  <si>
    <t>Yuma Private Industry Council, Inc.</t>
  </si>
  <si>
    <t>Harvest Power Community Development Group, Inc.</t>
  </si>
  <si>
    <t>Devereux Florida</t>
  </si>
  <si>
    <t>Balance of Cochise County</t>
  </si>
  <si>
    <t>Charter Subtotal</t>
  </si>
  <si>
    <t>Subtotal</t>
  </si>
  <si>
    <t>Adjustment Value</t>
  </si>
  <si>
    <t>Balance for Coconino County</t>
  </si>
  <si>
    <t>Balance Of Gila County</t>
  </si>
  <si>
    <t>Balance of Maricopa County</t>
  </si>
  <si>
    <t>Balance of Navajo County</t>
  </si>
  <si>
    <t>Balance of Pima County</t>
  </si>
  <si>
    <t>Balance of Santa Cruz County</t>
  </si>
  <si>
    <t xml:space="preserve"> </t>
  </si>
  <si>
    <t xml:space="preserve"> *  Greater than or equal to 20,000 total residents</t>
  </si>
  <si>
    <t>*= &gt;=20,000</t>
  </si>
  <si>
    <t>ALLOCATION</t>
  </si>
  <si>
    <t>STATE CODE</t>
  </si>
  <si>
    <t>SCODE</t>
  </si>
  <si>
    <t>RESIDENT</t>
  </si>
  <si>
    <t>TITLE I</t>
  </si>
  <si>
    <t>2015-16</t>
  </si>
  <si>
    <t>OF TOTAL</t>
  </si>
  <si>
    <t>PERCENTAGE</t>
  </si>
  <si>
    <t>Total Title I Allocation</t>
  </si>
  <si>
    <t>Total</t>
  </si>
  <si>
    <t/>
  </si>
  <si>
    <t>Title I LEA</t>
  </si>
  <si>
    <t>ESEA Consolidated</t>
  </si>
  <si>
    <t>Forfeited</t>
  </si>
  <si>
    <t>Consortium</t>
  </si>
  <si>
    <t>Released</t>
  </si>
  <si>
    <t>Additional</t>
  </si>
  <si>
    <t>Reallocated</t>
  </si>
  <si>
    <t>Outgoing Carryover</t>
  </si>
  <si>
    <t>Incoming Carryover</t>
  </si>
  <si>
    <t>Original</t>
  </si>
  <si>
    <t>Organization</t>
  </si>
  <si>
    <t>Org Code</t>
  </si>
  <si>
    <t>Grant</t>
  </si>
  <si>
    <t>Funding Application</t>
  </si>
  <si>
    <t>Fiscal Year</t>
  </si>
  <si>
    <r>
      <rPr>
        <b/>
        <sz val="10"/>
        <color rgb="FF000000"/>
        <rFont val="Arial"/>
        <family val="2"/>
      </rPr>
      <t xml:space="preserve">Grant(s): </t>
    </r>
    <r>
      <rPr>
        <sz val="10"/>
        <color rgb="FF000000"/>
        <rFont val="Arial"/>
        <family val="2"/>
      </rPr>
      <t>Title I LEA</t>
    </r>
  </si>
  <si>
    <r>
      <rPr>
        <b/>
        <sz val="10"/>
        <color rgb="FF000000"/>
        <rFont val="Arial"/>
        <family val="2"/>
      </rPr>
      <t xml:space="preserve">Funding Application(s): </t>
    </r>
    <r>
      <rPr>
        <sz val="10"/>
        <color rgb="FF000000"/>
        <rFont val="Arial"/>
        <family val="2"/>
      </rPr>
      <t>ESEA Consolidated</t>
    </r>
  </si>
  <si>
    <t>Allocations by Type</t>
  </si>
  <si>
    <t>Test for Sec 1003 School Improvement</t>
  </si>
  <si>
    <t>Sec 1003 School Improvement Set Aside</t>
  </si>
  <si>
    <t>Prior Year Adjustment</t>
  </si>
  <si>
    <t>Admin Set-Aside</t>
  </si>
  <si>
    <t>N &amp; D EVALUATION &amp; TECHNICAL ASSISTANCE</t>
  </si>
  <si>
    <t>MIGRANT COORDINATION ACTIVITIES</t>
  </si>
  <si>
    <t>CENSUS SET-ASIDE</t>
  </si>
  <si>
    <t xml:space="preserve">BIE                    </t>
  </si>
  <si>
    <t xml:space="preserve">VIRGIN ISLANDS         </t>
  </si>
  <si>
    <t xml:space="preserve">NORTHERN MARIANA ISLANDS      </t>
  </si>
  <si>
    <t xml:space="preserve">GUAM                   </t>
  </si>
  <si>
    <t xml:space="preserve">AMERICAN SAMOA         </t>
  </si>
  <si>
    <t>PUERTO RICO</t>
  </si>
  <si>
    <t>WYOMING</t>
  </si>
  <si>
    <t>WISCONSIN</t>
  </si>
  <si>
    <t>WEST VIRGINIA</t>
  </si>
  <si>
    <t>WASHINGTON</t>
  </si>
  <si>
    <t>VIRGINIA</t>
  </si>
  <si>
    <t>VERMONT</t>
  </si>
  <si>
    <t>UTAH</t>
  </si>
  <si>
    <t>TEXAS</t>
  </si>
  <si>
    <t>TENNESSEE</t>
  </si>
  <si>
    <t>SOUTH DAKOTA</t>
  </si>
  <si>
    <t>SOUTH CAROLINA</t>
  </si>
  <si>
    <t>RHODE ISLAND</t>
  </si>
  <si>
    <t>PENNSYLVANIA</t>
  </si>
  <si>
    <t>OREGON</t>
  </si>
  <si>
    <t>OKLAHOMA</t>
  </si>
  <si>
    <t>OHIO</t>
  </si>
  <si>
    <t>NORTH DAKOTA</t>
  </si>
  <si>
    <t>NORTH CAROLINA</t>
  </si>
  <si>
    <t>NEW YORK</t>
  </si>
  <si>
    <t>NEW MEXICO</t>
  </si>
  <si>
    <t>NEW JERSEY</t>
  </si>
  <si>
    <t>NEW HAMPSHIRE</t>
  </si>
  <si>
    <t>NEVADA</t>
  </si>
  <si>
    <t>NEBRASKA</t>
  </si>
  <si>
    <t>MONTANA</t>
  </si>
  <si>
    <t>MISSOURI</t>
  </si>
  <si>
    <t>MISSISSIPPI</t>
  </si>
  <si>
    <t>MINNESOTA</t>
  </si>
  <si>
    <t>MICHIGAN</t>
  </si>
  <si>
    <t>MASSACHUSETTS</t>
  </si>
  <si>
    <t>MARYLAND</t>
  </si>
  <si>
    <t>MAINE</t>
  </si>
  <si>
    <t>LOUISIANA</t>
  </si>
  <si>
    <t>KENTUCKY</t>
  </si>
  <si>
    <t>KANSAS</t>
  </si>
  <si>
    <t>IOWA</t>
  </si>
  <si>
    <t>INDIANA</t>
  </si>
  <si>
    <t>ILLINOIS</t>
  </si>
  <si>
    <t>IDAHO</t>
  </si>
  <si>
    <t>HAWAII</t>
  </si>
  <si>
    <t>GEORGIA</t>
  </si>
  <si>
    <t>FLORIDA</t>
  </si>
  <si>
    <t>DISTRICT OF COLUMBIA</t>
  </si>
  <si>
    <t>DELAWARE</t>
  </si>
  <si>
    <t>CONNECTICUT</t>
  </si>
  <si>
    <t>COLORADO</t>
  </si>
  <si>
    <t>CALIFORNIA</t>
  </si>
  <si>
    <t>ARKANSAS</t>
  </si>
  <si>
    <t>ALASKA</t>
  </si>
  <si>
    <t>ALABAMA</t>
  </si>
  <si>
    <t>STATES ONLY</t>
  </si>
  <si>
    <t>UNITED STATES TOTAL</t>
  </si>
  <si>
    <t>PARTS A, C, &amp; D</t>
  </si>
  <si>
    <t>PROGRAM</t>
  </si>
  <si>
    <t>EDUCATION</t>
  </si>
  <si>
    <t>LEA GRANTS</t>
  </si>
  <si>
    <t>TITLE I,</t>
  </si>
  <si>
    <t>&amp; DELINQUENT</t>
  </si>
  <si>
    <t>MIGRANT</t>
  </si>
  <si>
    <t>STATE NEGLECTED</t>
  </si>
  <si>
    <t>TITLE I, PART C</t>
  </si>
  <si>
    <t>TITLE I, PART A</t>
  </si>
  <si>
    <t>SUBPART 1</t>
  </si>
  <si>
    <t>TITLE I, PART D,</t>
  </si>
  <si>
    <t>Final Title I Allocation Adj to meet Hold Harmless</t>
  </si>
  <si>
    <t>Hold Harmless Threshhold</t>
  </si>
  <si>
    <t>Feds Hold Harmless % Diff</t>
  </si>
  <si>
    <t>Hold Harmless Check</t>
  </si>
  <si>
    <t>Adj Title I Allocation</t>
  </si>
  <si>
    <t>Final After Adjustments</t>
  </si>
  <si>
    <t>New/Exp Charter Set-Aside</t>
  </si>
  <si>
    <t>Review</t>
  </si>
  <si>
    <t>Title II</t>
  </si>
  <si>
    <t>Title II Hold Harmless</t>
  </si>
  <si>
    <t>Arizona Juvenile Corrections</t>
  </si>
  <si>
    <t>CTDS</t>
  </si>
  <si>
    <t>Hold Harmless</t>
  </si>
  <si>
    <t>After 1% Exp Set Aside</t>
  </si>
  <si>
    <t>Left for Distribution</t>
  </si>
  <si>
    <t>Title II Normalization</t>
  </si>
  <si>
    <t>After Exp Set Aside</t>
  </si>
  <si>
    <t>Posted Allocation after Reduction</t>
  </si>
  <si>
    <t>Maintenance of Effort Percentage Reduction</t>
  </si>
  <si>
    <t>Dollar Reduction</t>
  </si>
  <si>
    <t>Normalization Ratio</t>
  </si>
  <si>
    <t>Title I and Title II Allocations</t>
  </si>
  <si>
    <t>Title II MoE Dollar Reduction</t>
  </si>
  <si>
    <t>State</t>
  </si>
  <si>
    <t>LEA</t>
  </si>
  <si>
    <t>Winslow</t>
  </si>
  <si>
    <t>P O Box 580</t>
  </si>
  <si>
    <t>WINSLOW UNIFIED DISTRICT</t>
  </si>
  <si>
    <t>Fort Defiance</t>
  </si>
  <si>
    <t>P O Box 559</t>
  </si>
  <si>
    <t>WINDOW ROCK UNIFIED DISTRICT</t>
  </si>
  <si>
    <t>Wickenburg</t>
  </si>
  <si>
    <t>40 W Yavapai St</t>
  </si>
  <si>
    <t>WICKENBURG UNIFIED DISTRICT</t>
  </si>
  <si>
    <t>Whiteriver</t>
  </si>
  <si>
    <t>P O Box 190</t>
  </si>
  <si>
    <t>WHITERIVER UNIFIED DISTRICT</t>
  </si>
  <si>
    <t>Safford</t>
  </si>
  <si>
    <t>201 E. Main St.</t>
  </si>
  <si>
    <t>TRIUMPHANT LEARNING CENTER</t>
  </si>
  <si>
    <t>Tombstone</t>
  </si>
  <si>
    <t>P O Box 1000</t>
  </si>
  <si>
    <t>TOMBSTONE UNIFIED DISTRICT</t>
  </si>
  <si>
    <t>Snowflake</t>
  </si>
  <si>
    <t>682 School Bus Lane</t>
  </si>
  <si>
    <t>SNOWFLAKE UNIFIED DISTRICT</t>
  </si>
  <si>
    <t>Show Low</t>
  </si>
  <si>
    <t>500 W Old Linden Rd</t>
  </si>
  <si>
    <t>SHOW LOW UNIFIED DISTRICT</t>
  </si>
  <si>
    <t>Rio Rico</t>
  </si>
  <si>
    <t>1374 W. Frontage Rd.</t>
  </si>
  <si>
    <t>SANTA CRUZ VALLEY UNIFIED DISTRICT</t>
  </si>
  <si>
    <t>San Carlos</t>
  </si>
  <si>
    <t>P O Box 207</t>
  </si>
  <si>
    <t>SAN CARLOS UNIFIED DISTRICT</t>
  </si>
  <si>
    <t>Tonopah</t>
  </si>
  <si>
    <t>38201 W Indian School Rd</t>
  </si>
  <si>
    <t>SADDLE MOUNTAIN UNIFIED SCHOOL DISTRICT</t>
  </si>
  <si>
    <t>Ehrenberg</t>
  </si>
  <si>
    <t>P O Box 130</t>
  </si>
  <si>
    <t>QUARTZSITE ELEMENTARY DISTRICT</t>
  </si>
  <si>
    <t>Pinon</t>
  </si>
  <si>
    <t>P O Box 839</t>
  </si>
  <si>
    <t>PINON UNIFIED DISTRICT</t>
  </si>
  <si>
    <t>Payson</t>
  </si>
  <si>
    <t>P O Box 919</t>
  </si>
  <si>
    <t>PAYSON UNIFIED DISTRICT</t>
  </si>
  <si>
    <t>Parker</t>
  </si>
  <si>
    <t>P O Box 1090</t>
  </si>
  <si>
    <t>PARKER UNIFIED SCHOOL DISTRICT</t>
  </si>
  <si>
    <t>Hereford</t>
  </si>
  <si>
    <t>P O Box 38</t>
  </si>
  <si>
    <t>PALOMINAS ELEMENTARY DISTRICT</t>
  </si>
  <si>
    <t>Nogales</t>
  </si>
  <si>
    <t>310 W Plum St</t>
  </si>
  <si>
    <t>NOGALES UNIFIED DISTRICT</t>
  </si>
  <si>
    <t>Wittmann</t>
  </si>
  <si>
    <t>32919 Center St</t>
  </si>
  <si>
    <t>NADABURG UNIFIED SCHOOL DISTRICT</t>
  </si>
  <si>
    <t>Miami</t>
  </si>
  <si>
    <t>PO Box 2070</t>
  </si>
  <si>
    <t>MIAMI UNIFIED DISTRICT</t>
  </si>
  <si>
    <t>San Manuel</t>
  </si>
  <si>
    <t>P O Box 406</t>
  </si>
  <si>
    <t>MAMMOTH-SAN MANUEL UNIFIED DISTRICT</t>
  </si>
  <si>
    <t>Kayenta</t>
  </si>
  <si>
    <t>P O Box 337</t>
  </si>
  <si>
    <t>KAYENTA UNIFIED DISTRICT</t>
  </si>
  <si>
    <t>Phoenix</t>
  </si>
  <si>
    <t>18052 N. Black Canyon Highway</t>
  </si>
  <si>
    <t>IMAGINE COOLIDGE ELEMENTARY  INC.</t>
  </si>
  <si>
    <t>Holbrook</t>
  </si>
  <si>
    <t>P O Box 640</t>
  </si>
  <si>
    <t>HOLBROOK UNIFIED DISTRICT</t>
  </si>
  <si>
    <t>Globe</t>
  </si>
  <si>
    <t>460 N. Willow St.</t>
  </si>
  <si>
    <t>GLOBE UNIFIED DISTRICT</t>
  </si>
  <si>
    <t>P.O. Box 2750</t>
  </si>
  <si>
    <t>GILA COUNTY REGIONAL SCHOOL DISTRICT</t>
  </si>
  <si>
    <t>40 South 11th Street</t>
  </si>
  <si>
    <t>FOUNDING FATHERS ACADEMIES  INC</t>
  </si>
  <si>
    <t>Mesa</t>
  </si>
  <si>
    <t>1460 S. Horne</t>
  </si>
  <si>
    <t>EDKEY  INC. - SEQUOIA VILLAGE SCHOOL</t>
  </si>
  <si>
    <t>798 E. Prickly Pear Dr.</t>
  </si>
  <si>
    <t>DESTINY SCHOOL  INC.</t>
  </si>
  <si>
    <t>Taylor</t>
  </si>
  <si>
    <t>PO Box 125</t>
  </si>
  <si>
    <t>CAREER DEVELOPMENT  INC.</t>
  </si>
  <si>
    <t>Lakeside</t>
  </si>
  <si>
    <t>1200 W White Mountain Blvd</t>
  </si>
  <si>
    <t>BLUE RIDGE UNIFIED DISTRICT</t>
  </si>
  <si>
    <t>Sells</t>
  </si>
  <si>
    <t>PO Box 248</t>
  </si>
  <si>
    <t>BABOQUIVARI UNIFIED SCHOOL DISTRICT #40</t>
  </si>
  <si>
    <t>Zip Code</t>
  </si>
  <si>
    <t>City</t>
  </si>
  <si>
    <t>Mailing Address</t>
  </si>
  <si>
    <t>District Name</t>
  </si>
  <si>
    <t>LEAs ELIGIBLE for the 2015 Rural Low Income Schools (RLIS) Program</t>
  </si>
  <si>
    <t>Open</t>
  </si>
  <si>
    <t>YES</t>
  </si>
  <si>
    <t>NO</t>
  </si>
  <si>
    <t>6</t>
  </si>
  <si>
    <t>(928) 288-8101</t>
  </si>
  <si>
    <t>86047</t>
  </si>
  <si>
    <t>AZ</t>
  </si>
  <si>
    <t>0409460</t>
  </si>
  <si>
    <t>6,7</t>
  </si>
  <si>
    <t>(928) 729-6706</t>
  </si>
  <si>
    <t>86504</t>
  </si>
  <si>
    <t>0409430</t>
  </si>
  <si>
    <t>8</t>
  </si>
  <si>
    <t>(928) 668-5350</t>
  </si>
  <si>
    <t>85390</t>
  </si>
  <si>
    <t>0409190</t>
  </si>
  <si>
    <t>(928) 338-4842</t>
  </si>
  <si>
    <t>85941</t>
  </si>
  <si>
    <t>0409160</t>
  </si>
  <si>
    <t>M</t>
  </si>
  <si>
    <t>(928) 348-8422</t>
  </si>
  <si>
    <t>85546</t>
  </si>
  <si>
    <t>0400028</t>
  </si>
  <si>
    <t>(520) 457-2217</t>
  </si>
  <si>
    <t>85638</t>
  </si>
  <si>
    <t>0408600</t>
  </si>
  <si>
    <t>(928) 536-4156</t>
  </si>
  <si>
    <t>85937</t>
  </si>
  <si>
    <t>0407820</t>
  </si>
  <si>
    <t>(928) 537-6001</t>
  </si>
  <si>
    <t>4645</t>
  </si>
  <si>
    <t>85901</t>
  </si>
  <si>
    <t>0407700</t>
  </si>
  <si>
    <t>(520) 281-8282</t>
  </si>
  <si>
    <t>85648</t>
  </si>
  <si>
    <t>0407520</t>
  </si>
  <si>
    <t>(928) 475-2315</t>
  </si>
  <si>
    <t>85550</t>
  </si>
  <si>
    <t>0406960</t>
  </si>
  <si>
    <t>(623) 474-5100</t>
  </si>
  <si>
    <t>85354</t>
  </si>
  <si>
    <t>0407170</t>
  </si>
  <si>
    <t>(928) 923-7907</t>
  </si>
  <si>
    <t>85334</t>
  </si>
  <si>
    <t>0406780</t>
  </si>
  <si>
    <t>7</t>
  </si>
  <si>
    <t>(928) 725-3450</t>
  </si>
  <si>
    <t>86510</t>
  </si>
  <si>
    <t>0400023</t>
  </si>
  <si>
    <t>(928) 474-2070</t>
  </si>
  <si>
    <t>85541</t>
  </si>
  <si>
    <t>0406070</t>
  </si>
  <si>
    <t>(928) 669-9244</t>
  </si>
  <si>
    <t>85344</t>
  </si>
  <si>
    <t>0405980</t>
  </si>
  <si>
    <t>(520) 366-6204</t>
  </si>
  <si>
    <t>0038</t>
  </si>
  <si>
    <t>85615</t>
  </si>
  <si>
    <t>0405880</t>
  </si>
  <si>
    <t>(520) 287-0800</t>
  </si>
  <si>
    <t>85621</t>
  </si>
  <si>
    <t>0405530</t>
  </si>
  <si>
    <t>(623) 388-2321</t>
  </si>
  <si>
    <t>85361</t>
  </si>
  <si>
    <t>0405460</t>
  </si>
  <si>
    <t>(928) 425-3271</t>
  </si>
  <si>
    <t>85539</t>
  </si>
  <si>
    <t>0405030</t>
  </si>
  <si>
    <t>(520) 385-2337</t>
  </si>
  <si>
    <t>85631</t>
  </si>
  <si>
    <t>0404570</t>
  </si>
  <si>
    <t>(928) 697-2006</t>
  </si>
  <si>
    <t>86033</t>
  </si>
  <si>
    <t>0404060</t>
  </si>
  <si>
    <t>(602) 547-7961</t>
  </si>
  <si>
    <t>85053</t>
  </si>
  <si>
    <t>0400766</t>
  </si>
  <si>
    <t>(928) 524-6144</t>
  </si>
  <si>
    <t>86025</t>
  </si>
  <si>
    <t>0403820</t>
  </si>
  <si>
    <t>(928) 402-6000</t>
  </si>
  <si>
    <t>85501</t>
  </si>
  <si>
    <t>0403500</t>
  </si>
  <si>
    <t>(928) 425-7800</t>
  </si>
  <si>
    <t>85502</t>
  </si>
  <si>
    <t>0400419</t>
  </si>
  <si>
    <t>(928) 537-5432</t>
  </si>
  <si>
    <t>0400398</t>
  </si>
  <si>
    <t>(480) 461-3200</t>
  </si>
  <si>
    <t>85204</t>
  </si>
  <si>
    <t>0400246</t>
  </si>
  <si>
    <t>(928) 425-0925</t>
  </si>
  <si>
    <t>0400339</t>
  </si>
  <si>
    <t>(928) 536-4222</t>
  </si>
  <si>
    <t>85939</t>
  </si>
  <si>
    <t>0400077</t>
  </si>
  <si>
    <t>yes</t>
  </si>
  <si>
    <t>(928) 368-6126</t>
  </si>
  <si>
    <t>0885</t>
  </si>
  <si>
    <t>85929</t>
  </si>
  <si>
    <t>0406580</t>
  </si>
  <si>
    <t>(520) 383-6746</t>
  </si>
  <si>
    <t>85634</t>
  </si>
  <si>
    <t>0403950</t>
  </si>
  <si>
    <t>text</t>
  </si>
  <si>
    <t>14A</t>
  </si>
  <si>
    <t>13A</t>
  </si>
  <si>
    <t>LEA Operational Status</t>
  </si>
  <si>
    <t>SRSA, Not RLIS eligible</t>
  </si>
  <si>
    <t>RLIS eligible</t>
  </si>
  <si>
    <t>Initial RLIS eligible</t>
  </si>
  <si>
    <t>RLIS pov. Eligible</t>
  </si>
  <si>
    <t>RLIS rural eligible</t>
  </si>
  <si>
    <t>SRSA eligible</t>
  </si>
  <si>
    <t>SRSA Small Check</t>
  </si>
  <si>
    <t>SRSA Rural Eligible</t>
  </si>
  <si>
    <t>SRSA Small Eligible</t>
  </si>
  <si>
    <t>SRSA rural eligible</t>
  </si>
  <si>
    <t>FY 2014 Title V allocation amount - PLEASE LEAVE BLANK</t>
  </si>
  <si>
    <t>FY 2014 Title IV, Part A allocation amount - PLEASE LEAVE BLANK</t>
  </si>
  <si>
    <t>FY 2014 Title II, Part D formula allocation amount - PLEASE LEAVE BLANK</t>
  </si>
  <si>
    <t>FY 2014 Title II, Part A allocation amount</t>
  </si>
  <si>
    <t>Does each school in LEA have locale code of 6,7, or 8?</t>
  </si>
  <si>
    <t>According to alternate data, does LEA meet low-income poverty requirement?</t>
  </si>
  <si>
    <t>Alternate Poverty Data Provided by State</t>
  </si>
  <si>
    <t>Does LEA meet low-income poverty requirement?</t>
  </si>
  <si>
    <t>Percentage of children from families below poverty line</t>
  </si>
  <si>
    <t>Is county population density less than 10 persons/sq. mile?</t>
  </si>
  <si>
    <t>Average Daily Attendance</t>
  </si>
  <si>
    <t>Is the LEA defined as rural by the State?</t>
  </si>
  <si>
    <t>Each school has a locale code of 7 or 8?</t>
  </si>
  <si>
    <t>Locale codes of schools in the LEA</t>
  </si>
  <si>
    <t>Telephone</t>
  </si>
  <si>
    <t>Zip +4</t>
  </si>
  <si>
    <t>Arizona School Districts</t>
  </si>
  <si>
    <t>Legacy Traditional School - Surprise</t>
  </si>
  <si>
    <t>Ethos Academy - A Challenge Foundation Academy</t>
  </si>
  <si>
    <t>American Virtual Academy</t>
  </si>
  <si>
    <t>Self Development Academy-Phoenix</t>
  </si>
  <si>
    <t>Oasis Behavioral Health Hospital</t>
  </si>
  <si>
    <t>Herzberg Educational Services, dba The Jones-Gordon School</t>
  </si>
  <si>
    <t>Center for Autism and Related Disorders</t>
  </si>
  <si>
    <t>Assist Enterprises, LLC</t>
  </si>
  <si>
    <t>Phoenix Excel Academy</t>
  </si>
  <si>
    <t>EAGLE College Prep Harmony, LLC</t>
  </si>
  <si>
    <t>EAGLE College Prep Maryvale, LLC</t>
  </si>
  <si>
    <t>Archway Classical Academy Lincoln</t>
  </si>
  <si>
    <t>Lincoln Preparatory Academy</t>
  </si>
  <si>
    <t>Create Academy</t>
  </si>
  <si>
    <t>Archway Classical Academy Trivium East</t>
  </si>
  <si>
    <t>BASIS Schools, Inc.</t>
  </si>
  <si>
    <t>Espiritu Schools</t>
  </si>
  <si>
    <t>Pioneer Preparatory School</t>
  </si>
  <si>
    <t>Archway Classical Academy Trivium West</t>
  </si>
  <si>
    <t>Ridgeline Academy, Inc.</t>
  </si>
  <si>
    <t>Pima County</t>
  </si>
  <si>
    <t>CITY Center for Collaborative Learning</t>
  </si>
  <si>
    <t>Leman Academy of Excellence, Inc.</t>
  </si>
  <si>
    <t>El Centro for the Study of Primary and Secondary Education</t>
  </si>
  <si>
    <t>Individualized Learning Centers, LLC</t>
  </si>
  <si>
    <t>Gila County Juvenile Detention</t>
  </si>
  <si>
    <t>Arizona Department Of Corrections</t>
  </si>
  <si>
    <t>Out Of Arizona</t>
  </si>
  <si>
    <t>ECA - Arizona, Inc.</t>
  </si>
  <si>
    <t>For Fiscal Year Ending June 30, 2017</t>
  </si>
  <si>
    <t xml:space="preserve">REVISED FINAL SCHOOL YEAR 2016-2017 STATE ALLOCATIONS BASED ON $14 BILLION FOR USE IN CALCULATING THE AMOUNT TO RESERVE FOR STATE ADMINISTRATION UNDER SECTION 1004(b) OF THE ELEMENTARY AND SECONDARY EDUCATION ACT OF 1965, AS AMENDED BY THE NO CHILD LEFT BEHIND ACT OF 2001 </t>
  </si>
  <si>
    <t>2016-17</t>
  </si>
  <si>
    <t>REVISED FINAL SY 2016-2017 TITLE I, PART A ALLOCATIONS BY LOCAL EDUCATIONAL AGENCIES (BASED ON THE CONSOLIDATED  APPROPRIATIONS ACT, 2016)</t>
  </si>
  <si>
    <t xml:space="preserve">FORMULA COUNTS USED TO DETERMINE REVISED FINAL SY 2016-2017 TITLE I, PART A ALLOCATIONS </t>
  </si>
  <si>
    <t>Phoenix Collegiate Academy High LLC</t>
  </si>
  <si>
    <t>EAGLE College Prep Mesa, LLC.</t>
  </si>
  <si>
    <t>Pieceful Solutions, LLC</t>
  </si>
  <si>
    <t>Paragon Preparatory Academy</t>
  </si>
  <si>
    <t>Seneca Preparatory Academy Foundation</t>
  </si>
  <si>
    <t>Happy Valley East</t>
  </si>
  <si>
    <t>Maricopa County Sheriffs Office</t>
  </si>
  <si>
    <t>CBHSP Arizona, Inc./LifeShare Educational Resources</t>
  </si>
  <si>
    <t>Arizona Department Of Education</t>
  </si>
  <si>
    <t>Kayenta Unified School District # 27</t>
  </si>
  <si>
    <t>Sum of Final FR</t>
  </si>
  <si>
    <t>Sum of October Count</t>
  </si>
  <si>
    <t>PEA Name</t>
  </si>
  <si>
    <t>PEA CTDS</t>
  </si>
  <si>
    <t>Exists</t>
  </si>
  <si>
    <t>2017 Basic</t>
  </si>
  <si>
    <t>2017 Concentration</t>
  </si>
  <si>
    <t>2017 Target</t>
  </si>
  <si>
    <t>2017 EFIG</t>
  </si>
  <si>
    <t>2017 Title I Allocations</t>
  </si>
  <si>
    <t>2017 Adjusted Basic</t>
  </si>
  <si>
    <t>2017 Adjusted Concentrated</t>
  </si>
  <si>
    <t>2017 Adjusted Targeted</t>
  </si>
  <si>
    <t>2017 Adjusted EFIG</t>
  </si>
  <si>
    <t>2017 Eligible Basic</t>
  </si>
  <si>
    <t>2017 Eligible Concentrated</t>
  </si>
  <si>
    <t>2017 Eligible Targeted</t>
  </si>
  <si>
    <t>2017 Eligible EFIG</t>
  </si>
  <si>
    <t>2017 Reallocated Basic</t>
  </si>
  <si>
    <t>2017 Reallocated Concentrated</t>
  </si>
  <si>
    <t>2017 Reallocated Targeted</t>
  </si>
  <si>
    <t>2017 Reallocated EFIG</t>
  </si>
  <si>
    <t>2017 Adjusted Title I Allocations</t>
  </si>
  <si>
    <t>2017 Allocations after SI Set Aside</t>
  </si>
  <si>
    <t>2016 Final Title I Allocation</t>
  </si>
  <si>
    <t>Westwind Children''s Services</t>
  </si>
  <si>
    <t>Mary C O''Brien Accommodation District</t>
  </si>
  <si>
    <t>Hayden-Winkelman Unified District 41</t>
  </si>
  <si>
    <t>Arizona Department of Juvenile Corrections</t>
  </si>
  <si>
    <t>Akimel O''Otham Pee Posh Charter School, Inc.</t>
  </si>
  <si>
    <t>CR Released</t>
  </si>
  <si>
    <r>
      <rPr>
        <b/>
        <sz val="10"/>
        <color rgb="FF000000"/>
        <rFont val="Arial"/>
        <family val="2"/>
      </rPr>
      <t xml:space="preserve">Fiscal Year(s): </t>
    </r>
    <r>
      <rPr>
        <sz val="10"/>
        <color rgb="FF000000"/>
        <rFont val="Arial"/>
        <family val="2"/>
      </rPr>
      <t>2016</t>
    </r>
  </si>
  <si>
    <t>FR Problems</t>
  </si>
  <si>
    <t>Total Title II Allocation
For PEAs</t>
  </si>
  <si>
    <t>BIE</t>
  </si>
  <si>
    <t>VIRGIN.ISLANDS</t>
  </si>
  <si>
    <t>NORTHERN.MARIANAS</t>
  </si>
  <si>
    <t>GUAM</t>
  </si>
  <si>
    <t>AMERICAN.SAMOA</t>
  </si>
  <si>
    <t>Outlying Areas Total</t>
  </si>
  <si>
    <t>WEST.VIRGINIA</t>
  </si>
  <si>
    <t>SOUTH.DAKOTA</t>
  </si>
  <si>
    <t>SOUTH.CAROLINA</t>
  </si>
  <si>
    <t>RHODE.ISLAND</t>
  </si>
  <si>
    <t>PUERTO.RICO</t>
  </si>
  <si>
    <t>NORTH.DAKOTA</t>
  </si>
  <si>
    <t>NORTH.CAROLINA</t>
  </si>
  <si>
    <t>NEW.YORK</t>
  </si>
  <si>
    <t>NEW.MEXICO</t>
  </si>
  <si>
    <t>NEW.JERSEY</t>
  </si>
  <si>
    <t>NEW.HAMPSHIRE</t>
  </si>
  <si>
    <t>DISTRICT.OF.COLUMBIA</t>
  </si>
  <si>
    <t>Total for States</t>
  </si>
  <si>
    <t>available Oct 1</t>
  </si>
  <si>
    <t>available July 1</t>
  </si>
  <si>
    <t>Grants</t>
  </si>
  <si>
    <t>Activities</t>
  </si>
  <si>
    <t>Admin</t>
  </si>
  <si>
    <t>available Oct 1, 2016</t>
  </si>
  <si>
    <t>available July 1, 2016</t>
  </si>
  <si>
    <t>(2.5% of non-admin)</t>
  </si>
  <si>
    <t>June 2016</t>
  </si>
  <si>
    <t>SEA amount</t>
  </si>
  <si>
    <t>SEA</t>
  </si>
  <si>
    <t>SEA State</t>
  </si>
  <si>
    <t>SAHE amount</t>
  </si>
  <si>
    <t>SAHE</t>
  </si>
  <si>
    <t>SAHE Grants</t>
  </si>
  <si>
    <t>Final Fiscal Year 2016 Title II, Part A Allocation</t>
  </si>
  <si>
    <t>Congressional directive</t>
  </si>
  <si>
    <t>Evaluation set-aside</t>
  </si>
  <si>
    <t>FY 2016 Title II, Part A appropriation</t>
  </si>
  <si>
    <t>1% Exp Set-Aside</t>
  </si>
  <si>
    <t>2017 Allocation After ADMIN Set-aside</t>
  </si>
  <si>
    <t>2017 Allocation After New/Exp Charter Set-Aside</t>
  </si>
  <si>
    <t>Final 2017 Title I Allocation Before Prior year Adjustments</t>
  </si>
  <si>
    <t xml:space="preserve">Final 2017 Title I Allocation </t>
  </si>
  <si>
    <t>Final Versus 2016</t>
  </si>
  <si>
    <t>LEAs ELIGIBLE for the 2016 Rural Low Income Schools (RLIS) Program</t>
  </si>
  <si>
    <t>0401940</t>
  </si>
  <si>
    <t>0408080</t>
  </si>
  <si>
    <t>Base Allocation</t>
  </si>
  <si>
    <t>Allocation</t>
  </si>
  <si>
    <t>October 2015</t>
  </si>
  <si>
    <t>Local Educational Agency (LEA)</t>
  </si>
  <si>
    <t>LEA Code</t>
  </si>
  <si>
    <t>Caseload Count for</t>
  </si>
  <si>
    <t xml:space="preserve">Name of </t>
  </si>
  <si>
    <t>Delinquent</t>
  </si>
  <si>
    <t>Enrollment Problems</t>
  </si>
  <si>
    <t>Entity ID</t>
  </si>
  <si>
    <t>Sum of Free/Reduced</t>
  </si>
  <si>
    <t>Ombudsman Educational Services, Ltd.,a subsidiary of Educational Services o</t>
  </si>
  <si>
    <t>DESERT VOICES ORAL LEARNING CE</t>
  </si>
  <si>
    <t>Chicanos Por La Causa, Inc.</t>
  </si>
  <si>
    <t>Kaizen Education Foundation dba Vista Grove Preparatory Academy Middle Scho</t>
  </si>
  <si>
    <t>American Charter Schools Foundation d.b.a. Crestview College Preparatory Hi</t>
  </si>
  <si>
    <t>City of Phoenix Roosevelt Headstart</t>
  </si>
  <si>
    <t>ASCEND (Autism Spectrum Center for Educational and Neurological Development</t>
  </si>
  <si>
    <t>Phoenix Collegiate Academy Elementary, LLC</t>
  </si>
  <si>
    <t>AZ Assist Academy</t>
  </si>
  <si>
    <t>Pensar Academy</t>
  </si>
  <si>
    <t>The Grande Innovation Academy</t>
  </si>
  <si>
    <t>Pathways In Education-Arizona, Inc.</t>
  </si>
  <si>
    <t>ASU Preparatory Academy - Casa Grande</t>
  </si>
  <si>
    <t>Estrella Educational Foundation</t>
  </si>
  <si>
    <t>Colegio Petite Phoenix</t>
  </si>
  <si>
    <t>Hope College and Career Readiness Academy</t>
  </si>
  <si>
    <t>Painted Desert Montessori, LLC</t>
  </si>
  <si>
    <t>Legacy Traditional School - Peoria</t>
  </si>
  <si>
    <t>Legacy Traditional School - Glendale</t>
  </si>
  <si>
    <t>Legacy Traditional School - North Chandler</t>
  </si>
  <si>
    <t>Portable Practical Educational Preparation, Inc. (AVA)</t>
  </si>
  <si>
    <t>Count of STUDENTID</t>
  </si>
  <si>
    <t>Adj Oct 1</t>
  </si>
  <si>
    <t>Adj SAIS NCLB</t>
  </si>
  <si>
    <t>Arizona Virtual Academy</t>
  </si>
  <si>
    <t>VS 2016 %</t>
  </si>
  <si>
    <t>School Superintendent - Maricopa County</t>
  </si>
  <si>
    <t>Cupertino Power Learning Academy</t>
  </si>
  <si>
    <t>Maricopa County Community College District dba Gateway Early College High S</t>
  </si>
  <si>
    <t>New Horizons Academy, LLC</t>
  </si>
  <si>
    <t>SR PIMA-MAR INDIAN HEAD START</t>
  </si>
  <si>
    <t>Yavapai County Juvenile Justice Center</t>
  </si>
  <si>
    <t>Pinal County School Superintendent</t>
  </si>
  <si>
    <t>School Superintendent - Cochise County</t>
  </si>
  <si>
    <t>School Superintendent - Gila County</t>
  </si>
  <si>
    <t>School Superintendent - Graham County</t>
  </si>
  <si>
    <t>School Superintendent - Mohave County</t>
  </si>
  <si>
    <t>School Superintendent - Navajo County</t>
  </si>
  <si>
    <t>School Superintendent - Santa Cruz County</t>
  </si>
  <si>
    <t>School Superintendent - Yuma County</t>
  </si>
  <si>
    <t>Yavapai County Education Service Agency</t>
  </si>
  <si>
    <t>AOC Hold Harmless</t>
  </si>
  <si>
    <t>no change</t>
  </si>
  <si>
    <t>no change - formula okay</t>
  </si>
  <si>
    <t>apply eligibility test to all LEAs</t>
  </si>
  <si>
    <t>updated based on prior seciton update</t>
  </si>
  <si>
    <t>"adjusted"</t>
  </si>
  <si>
    <t>"eligible"</t>
  </si>
  <si>
    <t>"original to census LEAs from Fed"</t>
  </si>
  <si>
    <t>one change row 14</t>
  </si>
  <si>
    <t>Census LEA</t>
  </si>
  <si>
    <t>Remove/Distribute Census Population</t>
  </si>
  <si>
    <t>Adj 2014 BASIC - ELIGIBLE</t>
  </si>
  <si>
    <t xml:space="preserve"> ADJ 2014 Concentration - ELIGIBLE</t>
  </si>
  <si>
    <t>ADJ 2014 target - ELIGIBLE</t>
  </si>
  <si>
    <t>ADJ 2014 EFIG - ELIGIBLE</t>
  </si>
  <si>
    <t>LEAs at 85% Hold-Harmless</t>
  </si>
  <si>
    <t>LEAs at 90% Hold-Harmless</t>
  </si>
  <si>
    <t>LEAs at 95% Hold-Harmless</t>
  </si>
  <si>
    <t>Hold-Harmless Rate</t>
  </si>
  <si>
    <t>Y</t>
  </si>
  <si>
    <t>N</t>
  </si>
  <si>
    <t>count</t>
  </si>
  <si>
    <t>NA</t>
  </si>
  <si>
    <t>apply formula to blank cells</t>
  </si>
  <si>
    <t>For Fiscal Year Ending June 30, 2016</t>
  </si>
  <si>
    <t>no change - NEED to CHANGE</t>
  </si>
  <si>
    <t>minor fomula change - minimal impact</t>
  </si>
  <si>
    <t>no change to formula</t>
  </si>
  <si>
    <t>new column</t>
  </si>
  <si>
    <t>update formula (pull from updated final)</t>
  </si>
  <si>
    <t>update formula</t>
  </si>
  <si>
    <t>School Improvement &amp; Admin Set Aside</t>
  </si>
  <si>
    <t>Variance to AZ DoE Original Final Allocation</t>
  </si>
  <si>
    <t>Status</t>
  </si>
  <si>
    <t>Application State</t>
  </si>
  <si>
    <t>Program Specialist</t>
  </si>
  <si>
    <t>2016 Basic</t>
  </si>
  <si>
    <t>2016 Concentration</t>
  </si>
  <si>
    <t>2016 Target</t>
  </si>
  <si>
    <t>2016 EFIG</t>
  </si>
  <si>
    <t>2016 Title I Allocations</t>
  </si>
  <si>
    <t>2016 Adjusted Basic</t>
  </si>
  <si>
    <t>2016 Adjusted Concentrated</t>
  </si>
  <si>
    <t>2016 Adjusted Targeted</t>
  </si>
  <si>
    <t>2016 Adjusted EFIG</t>
  </si>
  <si>
    <t>2016 Eligible Basic</t>
  </si>
  <si>
    <t>2016 Eligible Concentrated</t>
  </si>
  <si>
    <t>2016 Eligible Targeted</t>
  </si>
  <si>
    <t>2016 Eligible EFIG</t>
  </si>
  <si>
    <t>2016 Reallocated Basic</t>
  </si>
  <si>
    <t>2016 Reallocated Concentrated</t>
  </si>
  <si>
    <t>2016 Reallocated Targeted</t>
  </si>
  <si>
    <t>2016 Reallocated EFIG</t>
  </si>
  <si>
    <t>2016 Adjusted Title I Allocations</t>
  </si>
  <si>
    <t>UPDATED 2015 Final Title I Allocation</t>
  </si>
  <si>
    <t>2016 Allocations after SI Set Aside</t>
  </si>
  <si>
    <t>2016 Allocation After ADMIN Set-aside</t>
  </si>
  <si>
    <t>2016 Allocation After New/Exp Charter Set-Aside</t>
  </si>
  <si>
    <t>vs. 2015</t>
  </si>
  <si>
    <t>Hold Harmless Amount</t>
  </si>
  <si>
    <t>Hold Harmless Funds Required</t>
  </si>
  <si>
    <t>Allocations of LEAs Above Hold-Harmless</t>
  </si>
  <si>
    <t>Adjustment to Allocations to LEAs Above Hold-Harmless</t>
  </si>
  <si>
    <t>Final 2016 Title I Allocation Before Prior year Adjustments</t>
  </si>
  <si>
    <t>VS 2015 %</t>
  </si>
  <si>
    <t>Final Versus 2015</t>
  </si>
  <si>
    <t>Posted Allocation after Reduction - UPDATED FINAL</t>
  </si>
  <si>
    <t>Variance Total</t>
  </si>
  <si>
    <t>Variance %</t>
  </si>
  <si>
    <t>Variance per Poverty Pupil</t>
  </si>
  <si>
    <t>SEA ESEA Consolidated Director Approved</t>
  </si>
  <si>
    <t>Original Application</t>
  </si>
  <si>
    <t>Groenig, Nadine</t>
  </si>
  <si>
    <t>LEA Authorized Representative Approved</t>
  </si>
  <si>
    <t>Application Revision</t>
  </si>
  <si>
    <t>Revision Started</t>
  </si>
  <si>
    <t>SEA ESEA Consolidated Program Specialist Not Approved</t>
  </si>
  <si>
    <t>Arizona Virtual Academy - Apache</t>
  </si>
  <si>
    <t>Inmon, Chelsea</t>
  </si>
  <si>
    <t>Curtis, Joan</t>
  </si>
  <si>
    <t>Fortney, Gary</t>
  </si>
  <si>
    <t>Manual Adjustment</t>
  </si>
  <si>
    <t>Jeanes, Jill</t>
  </si>
  <si>
    <t>SEA ESEA Consolidated Program Specialist Approved</t>
  </si>
  <si>
    <t>Strayhand, Terry</t>
  </si>
  <si>
    <t>Candelaria, Doreen</t>
  </si>
  <si>
    <t>Arizona Virtual Academy - Cochise</t>
  </si>
  <si>
    <t>Kerr, Colleen</t>
  </si>
  <si>
    <t>Lovett, James</t>
  </si>
  <si>
    <t>Mcandrew, Stacey</t>
  </si>
  <si>
    <t>Arizona Virtual Academy - Coconino</t>
  </si>
  <si>
    <t>Arizona Virtual Academy - Gila</t>
  </si>
  <si>
    <t>Arizona Virtual Academy - Graham</t>
  </si>
  <si>
    <t>Arizona Virtual Academy - Greenlee</t>
  </si>
  <si>
    <t>Anderson, Dave</t>
  </si>
  <si>
    <t>Dolin, Don</t>
  </si>
  <si>
    <t>Arizona Virtual Academy - La Paz</t>
  </si>
  <si>
    <t>LEA Business Manager Returned Not Approved</t>
  </si>
  <si>
    <t>Tuttle, Lynn</t>
  </si>
  <si>
    <t>Mcmanus, Mark</t>
  </si>
  <si>
    <t>Ahwatukee Foothills Prep  Inc.</t>
  </si>
  <si>
    <t>Alvara, Raquel</t>
  </si>
  <si>
    <t>Revision Completed</t>
  </si>
  <si>
    <t>Daisy Education Corporation dba Sonoran Science Academy - Ah</t>
  </si>
  <si>
    <t>Edkey  Inc. - Sequoia School for the Deaf and Hard of Hearing</t>
  </si>
  <si>
    <t>LEA Business Manager Approved</t>
  </si>
  <si>
    <t>LEA Authorized Representative Returned Not Approved</t>
  </si>
  <si>
    <t>Phoenix Collegiate Academy  Inc.</t>
  </si>
  <si>
    <t>Rosefield Charter Elementary School  Inc.</t>
  </si>
  <si>
    <t>STEP UP Schools  Inc.</t>
  </si>
  <si>
    <t>Westwind Children's Services</t>
  </si>
  <si>
    <t>Arizona Virtual Academy - Maricopa</t>
  </si>
  <si>
    <t>Arizona Virtual Academy - Mohave</t>
  </si>
  <si>
    <t>Shonto Governing Board of Education  Inc.</t>
  </si>
  <si>
    <t>Arizona Virtual Academy - Navajo</t>
  </si>
  <si>
    <t>Lifelong Learning Research Institute  Inc.</t>
  </si>
  <si>
    <t>Asked to Return</t>
  </si>
  <si>
    <t>Arizona Virtual Academy - Pima</t>
  </si>
  <si>
    <t>Arizona Virtual Academy - Pinal</t>
  </si>
  <si>
    <t>Arizona Virtual Academy - Santa Cruz</t>
  </si>
  <si>
    <t>Arizona Agribusiness &amp; Equine Center INC</t>
  </si>
  <si>
    <t>Kestrel Schools  Inc.</t>
  </si>
  <si>
    <t>New Visions Academy  Inc.</t>
  </si>
  <si>
    <t>Arizona Virtual Academy - Yavapai</t>
  </si>
  <si>
    <t>Yuma Private Industry Council  Inc.</t>
  </si>
  <si>
    <t>Arizona Virtual Academy - Yuma</t>
  </si>
  <si>
    <t>Multiple</t>
  </si>
  <si>
    <t>Total Title II Allocation</t>
  </si>
  <si>
    <t>After Set-Asides</t>
  </si>
  <si>
    <t>2016 Final Title I Allocation - Afton Update</t>
  </si>
  <si>
    <t>updated</t>
  </si>
  <si>
    <t>vs. 2016</t>
  </si>
  <si>
    <t>"reallocated" BEFORE HH</t>
  </si>
  <si>
    <t>"reallocated" AFTER HH</t>
  </si>
  <si>
    <t>"reallocated" AFTER Hold Harmless</t>
  </si>
  <si>
    <t>BASIC - Hold Harmless</t>
  </si>
  <si>
    <t>CONCENTRATED - Hold Harmless</t>
  </si>
  <si>
    <t>TARGETED - Hold Harmless</t>
  </si>
  <si>
    <t>EFIG - Hold Harmless</t>
  </si>
  <si>
    <t>CTD</t>
  </si>
  <si>
    <t>LEA Name</t>
  </si>
  <si>
    <t>Basic</t>
  </si>
  <si>
    <t>Concentration</t>
  </si>
  <si>
    <t>Target</t>
  </si>
  <si>
    <t>HH Rate</t>
  </si>
  <si>
    <t>2015 Reallocated Basic</t>
  </si>
  <si>
    <t>2015 Reallocated Concentrated</t>
  </si>
  <si>
    <t>2015 Reallocated Targeted</t>
  </si>
  <si>
    <t>2015 Reallocated EFIG</t>
  </si>
  <si>
    <t>2015 Adjusted Title I Allocations</t>
  </si>
  <si>
    <t>"Reallocated" Amount - BASIC</t>
  </si>
  <si>
    <t>Adjusted Allocations</t>
  </si>
  <si>
    <t>Further Adjustments Required 1</t>
  </si>
  <si>
    <t>Further Adjustments Required 2</t>
  </si>
  <si>
    <t>Further Adjustments Required 3</t>
  </si>
  <si>
    <t>Further Adjustments Required 4</t>
  </si>
  <si>
    <t>Adjusted Allocations - FINAL</t>
  </si>
  <si>
    <t>"Reallocated" Amount - CONCENTRATED</t>
  </si>
  <si>
    <t>"Reallocated" Amount - TARGETED</t>
  </si>
  <si>
    <t>"Reallocated" Amount - EFIG</t>
  </si>
  <si>
    <t>FY16 "reallocated" AFTER Hold Harmless</t>
  </si>
  <si>
    <t>FY17 Eligibility</t>
  </si>
  <si>
    <t>SECOND REVISED FINAL SY 2016-2017 TITLE I, PART A ALLOCATIONS BY LOCAL EDUCATIONAL AGENCIES (BASED ON THE CONSOLIDATED  APPROPRIATIONS ACT, 2016)</t>
  </si>
  <si>
    <t xml:space="preserve">FORMULA COUNTS USED TO DETERMINE SECOND REVISED FINAL SY 2016-2017 TITLE I, PART A ALLOCATIONS </t>
  </si>
  <si>
    <t xml:space="preserve">SECOND REVISED FINAL SCHOOL YEAR 2016-2017 STATE ALLOCATIONS BASED ON $14 BILLION FOR USE IN CALCULATING THE AMOUNT TO RESERVE FOR STATE ADMINISTRATION UNDER SECTION 1004(b) OF THE ELEMENTARY AND SECONDARY EDUCATION ACT OF 1965, AS AMENDED BY THE NO CHILD LEFT BEHIND ACT OF 2001 </t>
  </si>
  <si>
    <t>NEW COL</t>
  </si>
  <si>
    <t>From Formula Counts Tab</t>
  </si>
  <si>
    <t>2013 POVERTY</t>
  </si>
  <si>
    <t>TOTAL FORMULA COUNT LESS FOSTER</t>
  </si>
  <si>
    <t>2014 POVERTY</t>
  </si>
  <si>
    <t>Poverty Adjustment</t>
  </si>
  <si>
    <t>CHECKS</t>
  </si>
  <si>
    <t>BEGIN SCHOOL IMPROVEMENT SET ASIDE CALCULATION</t>
  </si>
  <si>
    <t>reallocation</t>
  </si>
  <si>
    <t>Summary of AZ Concentration Grant Eligibility by LEA by Year</t>
  </si>
  <si>
    <t>FINAL TOTAL ALLOCATION BEFORE SET ASIDES</t>
  </si>
  <si>
    <t>4% OF TOTAL ALLOCATION</t>
  </si>
  <si>
    <t>UPDATED PY Final Title I Allocation</t>
  </si>
  <si>
    <t>LEAs Subject to 1003(a) Reservation</t>
  </si>
  <si>
    <t>Increase Over PY</t>
  </si>
  <si>
    <t>Final State-Determined Prior Year Allocation of LEAs Subject to 1003(a) Reservation</t>
  </si>
  <si>
    <t>Allocation to LEAs Subject to the 1003(a) Reservation</t>
  </si>
  <si>
    <t>Second Step Check for LEAs Subject to 1003(a) Reservation that Fall Below Prior Year</t>
  </si>
  <si>
    <t>Allocations of LEAs Still Above prior Year's Amount</t>
  </si>
  <si>
    <t>Second Step Allocations of LEAs above Prior Year</t>
  </si>
  <si>
    <t>Second Step Adjusted Allocations to All LEAs</t>
  </si>
  <si>
    <t>Third Step Check for LEAs Subject to 1003(a) Reservation that Fall Below Prior Year</t>
  </si>
  <si>
    <t>Third Step Allocations of LEAs above Prior Year</t>
  </si>
  <si>
    <t>Third Step Adjusted Allocations to All LEAs</t>
  </si>
  <si>
    <t>Fourth Step Check for LEAs Subject to 1003(a) Reservation that Fall Below Prior Year</t>
  </si>
  <si>
    <t>Fourth Step Allocations of LEAs above Prior Year</t>
  </si>
  <si>
    <t>Fourth Step Adjusted Allocations to All LEAs</t>
  </si>
  <si>
    <t>Fifth Step Check for LEAs Subject to 1003(a) Reservation that Fall Below Prior Year</t>
  </si>
  <si>
    <t>Fifth Step Allocations of LEAs above Prior Year</t>
  </si>
  <si>
    <t>Fifth Step Adjusted Allocations to All LEAs</t>
  </si>
  <si>
    <t>Sixth Step Check for LEAs Subject to 1003(a) Reservation that Fall Below Prior Year</t>
  </si>
  <si>
    <t>Sixth Step Allocations of LEAs above Prior Year</t>
  </si>
  <si>
    <t>Sixth Step Adjusted Allocations to All LEAs</t>
  </si>
  <si>
    <t>Seventh Step Check for LEAs Subject to 1003(a) Reservation that Fall Below Prior Year</t>
  </si>
  <si>
    <t>FINAL SCHOOL IMPROVEMENT ADJUSTMENT</t>
  </si>
  <si>
    <t>ADJUSTED ALLOCATION AFTER SI SET ASIDE</t>
  </si>
  <si>
    <t>Eligible in past 4 years</t>
  </si>
  <si>
    <t xml:space="preserve"> ADJ 2010 Conc - ELIGIBLE</t>
  </si>
  <si>
    <t xml:space="preserve"> ADJ 2011 Conc - ELIGIBLE</t>
  </si>
  <si>
    <t xml:space="preserve"> ADJ 2012 Conc - ELIGIBLE</t>
  </si>
  <si>
    <t xml:space="preserve"> ADJ 2013 Conc - ELIGIBLE</t>
  </si>
  <si>
    <t xml:space="preserve"> ADJ 2014 Conc - ELIGIBLE</t>
  </si>
  <si>
    <t xml:space="preserve"> ADJ 2015 Conc - ELIGIBLE</t>
  </si>
  <si>
    <t xml:space="preserve"> ADJ 2016 Conc - ELIGIBLE</t>
  </si>
  <si>
    <t xml:space="preserve"> ADJ 2017 Conc - ELIGIBLE</t>
  </si>
  <si>
    <t>Adjusted Pooulation</t>
  </si>
  <si>
    <t>1.52% Adjustment</t>
  </si>
  <si>
    <t>checks</t>
  </si>
  <si>
    <t>check</t>
  </si>
  <si>
    <t>FY10</t>
  </si>
  <si>
    <t>FY11</t>
  </si>
  <si>
    <t>FY12</t>
  </si>
  <si>
    <t>FY13</t>
  </si>
  <si>
    <t>FY14</t>
  </si>
  <si>
    <t>FY15</t>
  </si>
  <si>
    <t>FY16</t>
  </si>
  <si>
    <t>FY17</t>
  </si>
  <si>
    <t>Adj Formula Count</t>
  </si>
  <si>
    <t>Adj Population Count</t>
  </si>
  <si>
    <t>% POVERTY</t>
  </si>
  <si>
    <t>`</t>
  </si>
  <si>
    <t>Phoenix Collegiate Academy</t>
  </si>
  <si>
    <t>Name</t>
  </si>
  <si>
    <t>CensusPoverty  Count</t>
  </si>
  <si>
    <t>Proportion</t>
  </si>
  <si>
    <t>Title I Allocation</t>
  </si>
  <si>
    <t>Title II Allocation</t>
  </si>
  <si>
    <t>Phoenix Collegiate Academy Old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</si>
</sst>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3" formatCode="_(* #,##0.00_);_(* \(#,##0.00\);_(* &quot;-&quot;??_);_(@_)"/>
    <numFmt numFmtId="164" formatCode="&quot;$&quot;#,##0.00"/>
    <numFmt numFmtId="165" formatCode="[$-10409]&quot;$&quot;#,##0.00;\(&quot;$&quot;#,##0.00\)"/>
    <numFmt numFmtId="166" formatCode="_(* #,##0_);_(* \(#,##0\);_(* &quot;-&quot;??_);_(@_)"/>
    <numFmt numFmtId="167" formatCode="&quot;$&quot;#,##0"/>
    <numFmt numFmtId="168" formatCode="[&lt;=9999999]###\-####;\(###\)\ ###\-####"/>
    <numFmt numFmtId="169" formatCode="0000"/>
    <numFmt numFmtId="170" formatCode="00000"/>
    <numFmt numFmtId="171" formatCode="0000000"/>
    <numFmt numFmtId="172" formatCode="000"/>
    <numFmt numFmtId="173" formatCode="_(* #,##0.0_);_(* \(#,##0.0\);_(* &quot;-&quot;??_);_(@_)"/>
    <numFmt numFmtId="174" formatCode="0.0%"/>
  </numFmts>
  <fonts count="5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i/>
      <sz val="11"/>
      <color theme="1"/>
      <name val="Calibri"/>
      <family val="2"/>
      <scheme val="minor"/>
    </font>
    <font>
      <sz val="10"/>
      <color theme="1"/>
      <name val="Arial"/>
      <family val="2"/>
    </font>
    <font>
      <sz val="10"/>
      <name val="Arial"/>
      <family val="2"/>
    </font>
    <font>
      <b/>
      <sz val="10"/>
      <name val="Arial"/>
      <family val="2"/>
    </font>
    <font>
      <sz val="11"/>
      <name val="Calibri"/>
      <family val="2"/>
    </font>
    <font>
      <sz val="10"/>
      <color rgb="FF000000"/>
      <name val="Arial"/>
      <family val="2"/>
    </font>
    <font>
      <b/>
      <sz val="10"/>
      <color rgb="FF000000"/>
      <name val="Arial"/>
      <family val="2"/>
    </font>
    <font>
      <b/>
      <sz val="10"/>
      <color rgb="FFFFFFFF"/>
      <name val="Arial"/>
      <family val="2"/>
    </font>
    <font>
      <b/>
      <sz val="14"/>
      <color rgb="FF000000"/>
      <name val="Arial"/>
      <family val="2"/>
    </font>
    <font>
      <sz val="10"/>
      <name val="Arial"/>
      <family val="2"/>
    </font>
    <font>
      <b/>
      <sz val="12"/>
      <name val="Arial"/>
      <family val="2"/>
    </font>
    <font>
      <sz val="10"/>
      <color rgb="FF002060"/>
      <name val="Arial"/>
      <family val="2"/>
    </font>
    <font>
      <b/>
      <sz val="10"/>
      <color rgb="FF002060"/>
      <name val="Arial"/>
      <family val="2"/>
    </font>
    <font>
      <sz val="10"/>
      <color rgb="FFC00000"/>
      <name val="Arial"/>
      <family val="2"/>
    </font>
    <font>
      <sz val="10"/>
      <name val="MS Sans Serif"/>
      <family val="2"/>
    </font>
    <font>
      <b/>
      <sz val="14"/>
      <name val="Arial"/>
      <family val="2"/>
    </font>
    <font>
      <b/>
      <sz val="12"/>
      <color indexed="8"/>
      <name val="Arial"/>
      <family val="2"/>
    </font>
    <font>
      <sz val="9"/>
      <color indexed="81"/>
      <name val="Tahoma"/>
      <family val="2"/>
    </font>
    <font>
      <b/>
      <sz val="9"/>
      <color indexed="81"/>
      <name val="Tahoma"/>
      <family val="2"/>
    </font>
    <font>
      <sz val="10"/>
      <name val="Arial"/>
      <family val="2"/>
    </font>
    <font>
      <sz val="10"/>
      <name val="Arial"/>
      <family val="2"/>
    </font>
    <font>
      <sz val="10"/>
      <color theme="1"/>
      <name val="Calibri"/>
      <family val="2"/>
      <scheme val="minor"/>
    </font>
    <font>
      <sz val="10"/>
      <color indexed="8"/>
      <name val="Arial"/>
      <family val="2"/>
    </font>
    <font>
      <b/>
      <sz val="9"/>
      <color theme="3" tint="-0.499984740745262"/>
      <name val="Arial"/>
      <family val="2"/>
    </font>
    <font>
      <b/>
      <sz val="11"/>
      <color theme="1" tint="0.34998626667073579"/>
      <name val="Calibri"/>
      <family val="2"/>
      <scheme val="minor"/>
    </font>
    <font>
      <sz val="11"/>
      <color indexed="8"/>
      <name val="Calibri"/>
      <family val="2"/>
      <scheme val="minor"/>
    </font>
    <font>
      <b/>
      <sz val="12"/>
      <color theme="1"/>
      <name val="Arial"/>
      <family val="2"/>
    </font>
    <font>
      <b/>
      <sz val="10"/>
      <color theme="1"/>
      <name val="Arial"/>
      <family val="2"/>
    </font>
    <font>
      <b/>
      <sz val="10"/>
      <color theme="0"/>
      <name val="Arial"/>
      <family val="2"/>
    </font>
    <font>
      <sz val="10"/>
      <color theme="0"/>
      <name val="Arial"/>
      <family val="2"/>
    </font>
    <font>
      <sz val="10"/>
      <name val="Arial"/>
      <family val="2"/>
    </font>
    <font>
      <b/>
      <i/>
      <sz val="11"/>
      <color rgb="FFFF0000"/>
      <name val="Calibri"/>
      <family val="2"/>
      <scheme val="minor"/>
    </font>
    <font>
      <b/>
      <i/>
      <sz val="10"/>
      <color theme="1"/>
      <name val="Arial"/>
      <family val="2"/>
    </font>
    <font>
      <b/>
      <sz val="11"/>
      <color theme="1"/>
      <name val="Arial"/>
      <family val="2"/>
    </font>
    <font>
      <sz val="8"/>
      <color theme="1"/>
      <name val="Arial"/>
      <family val="2"/>
    </font>
    <font>
      <i/>
      <sz val="10"/>
      <color theme="1"/>
      <name val="Arial"/>
      <family val="2"/>
    </font>
  </fonts>
  <fills count="6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1F7FB"/>
        <bgColor rgb="FFF1F7FB"/>
      </patternFill>
    </fill>
    <fill>
      <patternFill patternType="solid">
        <fgColor rgb="FFCCE2F2"/>
        <bgColor rgb="FFCCE2F2"/>
      </patternFill>
    </fill>
    <fill>
      <patternFill patternType="solid">
        <fgColor rgb="FF00467F"/>
        <bgColor rgb="FF00467F"/>
      </patternFill>
    </fill>
    <fill>
      <patternFill patternType="solid">
        <fgColor rgb="FFFFFF00"/>
        <bgColor indexed="64"/>
      </patternFill>
    </fill>
    <fill>
      <patternFill patternType="solid">
        <fgColor theme="0" tint="-0.249977111117893"/>
        <bgColor indexed="64"/>
      </patternFill>
    </fill>
    <fill>
      <patternFill patternType="solid">
        <fgColor indexed="51"/>
        <bgColor indexed="64"/>
      </patternFill>
    </fill>
    <fill>
      <patternFill patternType="solid">
        <fgColor indexed="40"/>
        <bgColor indexed="64"/>
      </patternFill>
    </fill>
    <fill>
      <patternFill patternType="solid">
        <fgColor theme="9" tint="0.39997558519241921"/>
        <bgColor indexed="64"/>
      </patternFill>
    </fill>
    <fill>
      <patternFill patternType="solid">
        <fgColor indexed="22"/>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7030A0"/>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1" tint="0.34998626667073579"/>
        <bgColor indexed="64"/>
      </patternFill>
    </fill>
    <fill>
      <patternFill patternType="solid">
        <fgColor theme="7" tint="0.39997558519241921"/>
        <bgColor indexed="64"/>
      </patternFill>
    </fill>
    <fill>
      <patternFill patternType="solid">
        <fgColor theme="3" tint="-0.249977111117893"/>
        <bgColor indexed="64"/>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hair">
        <color auto="1"/>
      </left>
      <right style="hair">
        <color auto="1"/>
      </right>
      <top style="hair">
        <color auto="1"/>
      </top>
      <bottom style="hair">
        <color auto="1"/>
      </bottom>
      <diagonal/>
    </border>
    <border>
      <left/>
      <right style="hair">
        <color indexed="0"/>
      </right>
      <top style="hair">
        <color indexed="0"/>
      </top>
      <bottom style="hair">
        <color indexed="0"/>
      </bottom>
      <diagonal/>
    </border>
    <border>
      <left style="medium">
        <color indexed="0"/>
      </left>
      <right style="medium">
        <color indexed="0"/>
      </right>
      <top style="hair">
        <color indexed="0"/>
      </top>
      <bottom style="hair">
        <color indexed="0"/>
      </bottom>
      <diagonal/>
    </border>
    <border>
      <left style="hair">
        <color indexed="0"/>
      </left>
      <right style="hair">
        <color indexed="0"/>
      </right>
      <top style="hair">
        <color indexed="0"/>
      </top>
      <bottom style="hair">
        <color indexed="0"/>
      </bottom>
      <diagonal/>
    </border>
    <border>
      <left style="hair">
        <color indexed="0"/>
      </left>
      <right style="medium">
        <color auto="1"/>
      </right>
      <top style="hair">
        <color indexed="0"/>
      </top>
      <bottom style="hair">
        <color indexed="0"/>
      </bottom>
      <diagonal/>
    </border>
    <border>
      <left style="medium">
        <color auto="1"/>
      </left>
      <right style="hair">
        <color indexed="0"/>
      </right>
      <top style="hair">
        <color indexed="0"/>
      </top>
      <bottom style="hair">
        <color indexed="0"/>
      </bottom>
      <diagonal/>
    </border>
    <border>
      <left style="hair">
        <color auto="1"/>
      </left>
      <right style="hair">
        <color auto="1"/>
      </right>
      <top/>
      <bottom style="hair">
        <color indexed="0"/>
      </bottom>
      <diagonal/>
    </border>
    <border>
      <left/>
      <right style="hair">
        <color indexed="0"/>
      </right>
      <top/>
      <bottom style="hair">
        <color indexed="0"/>
      </bottom>
      <diagonal/>
    </border>
    <border>
      <left style="medium">
        <color indexed="0"/>
      </left>
      <right style="medium">
        <color indexed="0"/>
      </right>
      <top/>
      <bottom style="hair">
        <color indexed="0"/>
      </bottom>
      <diagonal/>
    </border>
    <border>
      <left style="hair">
        <color indexed="0"/>
      </left>
      <right style="hair">
        <color indexed="0"/>
      </right>
      <top/>
      <bottom style="hair">
        <color indexed="0"/>
      </bottom>
      <diagonal/>
    </border>
    <border>
      <left style="hair">
        <color indexed="0"/>
      </left>
      <right style="medium">
        <color auto="1"/>
      </right>
      <top/>
      <bottom style="hair">
        <color indexed="0"/>
      </bottom>
      <diagonal/>
    </border>
    <border>
      <left style="medium">
        <color auto="1"/>
      </left>
      <right style="hair">
        <color indexed="0"/>
      </right>
      <top/>
      <bottom style="hair">
        <color indexed="0"/>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medium">
        <color auto="1"/>
      </left>
      <right style="hair">
        <color auto="1"/>
      </right>
      <top style="medium">
        <color auto="1"/>
      </top>
      <bottom style="medium">
        <color auto="1"/>
      </bottom>
      <diagonal/>
    </border>
    <border>
      <left/>
      <right style="hair">
        <color auto="1"/>
      </right>
      <top style="medium">
        <color auto="1"/>
      </top>
      <bottom style="medium">
        <color auto="1"/>
      </bottom>
      <diagonal/>
    </border>
    <border>
      <left style="hair">
        <color auto="1"/>
      </left>
      <right/>
      <top style="medium">
        <color auto="1"/>
      </top>
      <bottom style="medium">
        <color auto="1"/>
      </bottom>
      <diagonal/>
    </border>
    <border>
      <left style="medium">
        <color auto="1"/>
      </left>
      <right style="medium">
        <color auto="1"/>
      </right>
      <top style="hair">
        <color auto="1"/>
      </top>
      <bottom style="medium">
        <color auto="1"/>
      </bottom>
      <diagonal/>
    </border>
    <border>
      <left/>
      <right style="hair">
        <color auto="1"/>
      </right>
      <top style="hair">
        <color auto="1"/>
      </top>
      <bottom/>
      <diagonal/>
    </border>
    <border>
      <left style="medium">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style="medium">
        <color auto="1"/>
      </left>
      <right style="hair">
        <color auto="1"/>
      </right>
      <top style="hair">
        <color auto="1"/>
      </top>
      <bottom/>
      <diagonal/>
    </border>
    <border>
      <left/>
      <right style="medium">
        <color auto="1"/>
      </right>
      <top style="hair">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indexed="8"/>
      </right>
      <top style="medium">
        <color auto="1"/>
      </top>
      <bottom style="medium">
        <color auto="1"/>
      </bottom>
      <diagonal/>
    </border>
    <border>
      <left style="thin">
        <color indexed="8"/>
      </left>
      <right style="medium">
        <color auto="1"/>
      </right>
      <top style="medium">
        <color auto="1"/>
      </top>
      <bottom style="medium">
        <color auto="1"/>
      </bottom>
      <diagonal/>
    </border>
    <border>
      <left style="thin">
        <color indexed="8"/>
      </left>
      <right style="thin">
        <color indexed="8"/>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thin">
        <color indexed="8"/>
      </right>
      <top style="medium">
        <color auto="1"/>
      </top>
      <bottom style="thin">
        <color indexed="8"/>
      </bottom>
      <diagonal/>
    </border>
    <border>
      <left style="thin">
        <color indexed="8"/>
      </left>
      <right/>
      <top style="medium">
        <color auto="1"/>
      </top>
      <bottom style="thin">
        <color indexed="8"/>
      </bottom>
      <diagonal/>
    </border>
    <border>
      <left style="medium">
        <color auto="1"/>
      </left>
      <right/>
      <top style="medium">
        <color auto="1"/>
      </top>
      <bottom style="thin">
        <color indexed="8"/>
      </bottom>
      <diagonal/>
    </border>
    <border>
      <left/>
      <right style="thin">
        <color auto="1"/>
      </right>
      <top style="medium">
        <color auto="1"/>
      </top>
      <bottom style="thin">
        <color auto="1"/>
      </bottom>
      <diagonal/>
    </border>
    <border>
      <left/>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s>
  <cellStyleXfs count="6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0" fontId="18" fillId="0" borderId="0"/>
    <xf numFmtId="0" fontId="28" fillId="0" borderId="0"/>
    <xf numFmtId="43" fontId="28" fillId="0" borderId="0" applyFont="0" applyFill="0" applyBorder="0" applyAlignment="0" applyProtection="0"/>
    <xf numFmtId="0" fontId="33" fillId="0" borderId="0"/>
    <xf numFmtId="43" fontId="21" fillId="0" borderId="0" applyFont="0" applyFill="0" applyBorder="0" applyAlignment="0" applyProtection="0"/>
    <xf numFmtId="0" fontId="21" fillId="0" borderId="0"/>
    <xf numFmtId="0" fontId="21" fillId="0" borderId="0"/>
    <xf numFmtId="0" fontId="18" fillId="0" borderId="0"/>
    <xf numFmtId="0" fontId="38" fillId="0" borderId="0"/>
    <xf numFmtId="43" fontId="38" fillId="0" borderId="0" applyFont="0" applyFill="0" applyBorder="0" applyAlignment="0" applyProtection="0"/>
    <xf numFmtId="0" fontId="38" fillId="0" borderId="0" applyNumberFormat="0" applyFill="0" applyBorder="0" applyAlignment="0" applyProtection="0"/>
    <xf numFmtId="0" fontId="39" fillId="0" borderId="0"/>
    <xf numFmtId="9" fontId="1" fillId="0" borderId="0" applyFont="0" applyFill="0" applyBorder="0" applyAlignment="0" applyProtection="0"/>
    <xf numFmtId="0" fontId="4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41" fillId="0" borderId="0"/>
    <xf numFmtId="0" fontId="49" fillId="0" borderId="0"/>
    <xf numFmtId="43" fontId="49" fillId="0" borderId="0" applyFont="0" applyFill="0" applyBorder="0" applyAlignment="0" applyProtection="0"/>
  </cellStyleXfs>
  <cellXfs count="976">
    <xf numFmtId="0" fontId="0" fillId="0" borderId="0" xfId="0"/>
    <xf numFmtId="0" fontId="0" fillId="0" borderId="0" xfId="0" applyNumberFormat="1"/>
    <xf numFmtId="0" fontId="0" fillId="0" borderId="0" xfId="0" applyAlignment="1">
      <alignment wrapText="1"/>
    </xf>
    <xf numFmtId="3" fontId="0" fillId="0" borderId="0" xfId="0" applyNumberFormat="1"/>
    <xf numFmtId="10" fontId="0" fillId="0" borderId="0" xfId="0" applyNumberFormat="1"/>
    <xf numFmtId="3" fontId="20" fillId="0" borderId="0" xfId="0" applyNumberFormat="1" applyFont="1"/>
    <xf numFmtId="0" fontId="20" fillId="0" borderId="0" xfId="0" applyFont="1"/>
    <xf numFmtId="0" fontId="21" fillId="0" borderId="0" xfId="0" applyFont="1" applyAlignment="1">
      <alignment horizontal="center" wrapText="1"/>
    </xf>
    <xf numFmtId="3" fontId="21" fillId="0" borderId="0" xfId="0" applyNumberFormat="1" applyFont="1" applyAlignment="1">
      <alignment horizontal="center" wrapText="1"/>
    </xf>
    <xf numFmtId="10" fontId="21" fillId="0" borderId="0" xfId="0" applyNumberFormat="1" applyFont="1" applyAlignment="1">
      <alignment horizontal="center" wrapText="1"/>
    </xf>
    <xf numFmtId="3" fontId="21" fillId="0" borderId="0" xfId="0" applyNumberFormat="1" applyFont="1" applyAlignment="1">
      <alignment horizontal="center"/>
    </xf>
    <xf numFmtId="0" fontId="21" fillId="0" borderId="0" xfId="0" applyFont="1"/>
    <xf numFmtId="0" fontId="21" fillId="0" borderId="0" xfId="0" applyFont="1" applyAlignment="1">
      <alignment horizontal="center"/>
    </xf>
    <xf numFmtId="4" fontId="21" fillId="0" borderId="0" xfId="0" applyNumberFormat="1" applyFont="1"/>
    <xf numFmtId="3" fontId="21" fillId="0" borderId="0" xfId="0" applyNumberFormat="1" applyFont="1"/>
    <xf numFmtId="10" fontId="21" fillId="0" borderId="0" xfId="0" applyNumberFormat="1" applyFont="1"/>
    <xf numFmtId="1" fontId="21" fillId="0" borderId="0" xfId="0" applyNumberFormat="1" applyFont="1" applyAlignment="1">
      <alignment horizontal="left"/>
    </xf>
    <xf numFmtId="3" fontId="21" fillId="0" borderId="0" xfId="0" applyNumberFormat="1" applyFont="1" applyAlignment="1">
      <alignment horizontal="left"/>
    </xf>
    <xf numFmtId="4" fontId="21" fillId="0" borderId="0" xfId="0" applyNumberFormat="1" applyFont="1" applyAlignment="1">
      <alignment horizontal="center"/>
    </xf>
    <xf numFmtId="10" fontId="21" fillId="0" borderId="0" xfId="0" applyNumberFormat="1" applyFont="1" applyAlignment="1">
      <alignment horizontal="center"/>
    </xf>
    <xf numFmtId="3" fontId="21" fillId="0" borderId="0" xfId="0" quotePrefix="1" applyNumberFormat="1" applyFont="1" applyAlignment="1">
      <alignment horizontal="center"/>
    </xf>
    <xf numFmtId="0" fontId="21" fillId="0" borderId="0" xfId="42" applyNumberFormat="1" applyFont="1" applyAlignment="1">
      <alignment horizontal="center"/>
    </xf>
    <xf numFmtId="0" fontId="22" fillId="0" borderId="0" xfId="0" applyFont="1"/>
    <xf numFmtId="0" fontId="21" fillId="0" borderId="0" xfId="0" quotePrefix="1" applyFont="1" applyAlignment="1">
      <alignment horizontal="left"/>
    </xf>
    <xf numFmtId="1" fontId="0" fillId="0" borderId="0" xfId="0" applyNumberFormat="1"/>
    <xf numFmtId="10" fontId="19" fillId="0" borderId="0" xfId="0" applyNumberFormat="1" applyFont="1" applyAlignment="1">
      <alignment wrapText="1"/>
    </xf>
    <xf numFmtId="1" fontId="0" fillId="0" borderId="0" xfId="0" applyNumberFormat="1" applyAlignment="1">
      <alignment wrapText="1"/>
    </xf>
    <xf numFmtId="1" fontId="21" fillId="0" borderId="0" xfId="0" applyNumberFormat="1" applyFont="1" applyAlignment="1">
      <alignment horizontal="center"/>
    </xf>
    <xf numFmtId="10" fontId="21" fillId="0" borderId="0" xfId="0" quotePrefix="1" applyNumberFormat="1" applyFont="1" applyAlignment="1">
      <alignment horizontal="center"/>
    </xf>
    <xf numFmtId="43" fontId="21" fillId="0" borderId="0" xfId="42" applyFont="1"/>
    <xf numFmtId="10" fontId="21" fillId="0" borderId="0" xfId="42" applyNumberFormat="1" applyFont="1" applyAlignment="1">
      <alignment horizontal="center"/>
    </xf>
    <xf numFmtId="164" fontId="0" fillId="0" borderId="0" xfId="0" applyNumberFormat="1"/>
    <xf numFmtId="164" fontId="0" fillId="0" borderId="0" xfId="0" applyNumberFormat="1" applyAlignment="1">
      <alignment wrapText="1"/>
    </xf>
    <xf numFmtId="0" fontId="24" fillId="33" borderId="10" xfId="43" applyNumberFormat="1" applyFont="1" applyFill="1" applyBorder="1" applyAlignment="1">
      <alignment vertical="top" wrapText="1" readingOrder="1"/>
    </xf>
    <xf numFmtId="0" fontId="24" fillId="33" borderId="10" xfId="43" applyNumberFormat="1" applyFont="1" applyFill="1" applyBorder="1" applyAlignment="1">
      <alignment horizontal="center" vertical="top" wrapText="1" readingOrder="1"/>
    </xf>
    <xf numFmtId="0" fontId="24" fillId="33" borderId="10" xfId="43" applyNumberFormat="1" applyFont="1" applyFill="1" applyBorder="1" applyAlignment="1">
      <alignment horizontal="left" vertical="top" wrapText="1" readingOrder="1"/>
    </xf>
    <xf numFmtId="0" fontId="24" fillId="34" borderId="10" xfId="43" applyNumberFormat="1" applyFont="1" applyFill="1" applyBorder="1" applyAlignment="1">
      <alignment vertical="top" wrapText="1" readingOrder="1"/>
    </xf>
    <xf numFmtId="0" fontId="24" fillId="34" borderId="10" xfId="43" applyNumberFormat="1" applyFont="1" applyFill="1" applyBorder="1" applyAlignment="1">
      <alignment horizontal="center" vertical="top" wrapText="1" readingOrder="1"/>
    </xf>
    <xf numFmtId="0" fontId="24" fillId="34" borderId="10" xfId="43" applyNumberFormat="1" applyFont="1" applyFill="1" applyBorder="1" applyAlignment="1">
      <alignment horizontal="left" vertical="top" wrapText="1" readingOrder="1"/>
    </xf>
    <xf numFmtId="0" fontId="26" fillId="35" borderId="10" xfId="43" applyNumberFormat="1" applyFont="1" applyFill="1" applyBorder="1" applyAlignment="1">
      <alignment vertical="top" wrapText="1" readingOrder="1"/>
    </xf>
    <xf numFmtId="0" fontId="26" fillId="35" borderId="10" xfId="43" applyNumberFormat="1" applyFont="1" applyFill="1" applyBorder="1" applyAlignment="1">
      <alignment horizontal="center" vertical="top" wrapText="1" readingOrder="1"/>
    </xf>
    <xf numFmtId="0" fontId="26" fillId="35" borderId="10" xfId="43" applyNumberFormat="1" applyFont="1" applyFill="1" applyBorder="1" applyAlignment="1">
      <alignment horizontal="left" vertical="top" wrapText="1" readingOrder="1"/>
    </xf>
    <xf numFmtId="0" fontId="19" fillId="0" borderId="0" xfId="0" applyFont="1" applyAlignment="1">
      <alignment wrapText="1"/>
    </xf>
    <xf numFmtId="0" fontId="19" fillId="0" borderId="0" xfId="0" applyFont="1"/>
    <xf numFmtId="0" fontId="0" fillId="0" borderId="0" xfId="0" applyFont="1" applyAlignment="1">
      <alignment wrapText="1"/>
    </xf>
    <xf numFmtId="10" fontId="0" fillId="0" borderId="0" xfId="0" applyNumberFormat="1" applyAlignment="1">
      <alignment wrapText="1"/>
    </xf>
    <xf numFmtId="10" fontId="0" fillId="0" borderId="0" xfId="0" applyNumberFormat="1" applyFill="1"/>
    <xf numFmtId="0" fontId="0" fillId="0" borderId="0" xfId="0"/>
    <xf numFmtId="0" fontId="0" fillId="36" borderId="0" xfId="0" applyFill="1"/>
    <xf numFmtId="0" fontId="0" fillId="0" borderId="0" xfId="0" applyFill="1" applyBorder="1"/>
    <xf numFmtId="3" fontId="21" fillId="0" borderId="12" xfId="0" applyNumberFormat="1" applyFont="1" applyFill="1" applyBorder="1"/>
    <xf numFmtId="0" fontId="21" fillId="0" borderId="13" xfId="0" applyFont="1" applyFill="1" applyBorder="1"/>
    <xf numFmtId="0" fontId="21" fillId="0" borderId="14" xfId="0" applyFont="1" applyFill="1" applyBorder="1" applyAlignment="1">
      <alignment horizontal="center"/>
    </xf>
    <xf numFmtId="0" fontId="21" fillId="0" borderId="15" xfId="0" applyFont="1" applyFill="1" applyBorder="1"/>
    <xf numFmtId="167" fontId="21" fillId="0" borderId="16" xfId="0" applyNumberFormat="1" applyFont="1" applyFill="1" applyBorder="1" applyProtection="1">
      <protection locked="0"/>
    </xf>
    <xf numFmtId="167" fontId="21" fillId="0" borderId="15" xfId="0" applyNumberFormat="1" applyFont="1" applyFill="1" applyBorder="1" applyProtection="1">
      <protection locked="0"/>
    </xf>
    <xf numFmtId="167" fontId="21" fillId="0" borderId="17" xfId="0" applyNumberFormat="1" applyFont="1" applyFill="1" applyBorder="1" applyProtection="1">
      <protection locked="0"/>
    </xf>
    <xf numFmtId="0" fontId="21" fillId="0" borderId="16" xfId="0" applyFont="1" applyFill="1" applyBorder="1" applyAlignment="1">
      <alignment horizontal="center"/>
    </xf>
    <xf numFmtId="0" fontId="21" fillId="0" borderId="15" xfId="0" applyFont="1" applyFill="1" applyBorder="1" applyAlignment="1" applyProtection="1">
      <alignment horizontal="center"/>
      <protection locked="0"/>
    </xf>
    <xf numFmtId="2" fontId="21" fillId="0" borderId="15" xfId="0" applyNumberFormat="1" applyFont="1" applyFill="1" applyBorder="1" applyProtection="1">
      <protection locked="0"/>
    </xf>
    <xf numFmtId="0" fontId="21" fillId="0" borderId="15" xfId="0" applyFont="1" applyFill="1" applyBorder="1" applyAlignment="1">
      <alignment horizontal="center"/>
    </xf>
    <xf numFmtId="2" fontId="21" fillId="0" borderId="17" xfId="0" applyNumberFormat="1" applyFont="1" applyFill="1" applyBorder="1" applyAlignment="1">
      <alignment horizontal="center"/>
    </xf>
    <xf numFmtId="4" fontId="21" fillId="0" borderId="13" xfId="0" applyNumberFormat="1" applyFont="1" applyFill="1" applyBorder="1" applyProtection="1">
      <protection locked="0"/>
    </xf>
    <xf numFmtId="0" fontId="21" fillId="0" borderId="16" xfId="0" applyFont="1" applyFill="1" applyBorder="1" applyAlignment="1" applyProtection="1">
      <alignment horizontal="center"/>
      <protection locked="0"/>
    </xf>
    <xf numFmtId="0" fontId="21" fillId="0" borderId="17" xfId="0" applyFont="1" applyFill="1" applyBorder="1" applyAlignment="1">
      <alignment horizontal="left"/>
    </xf>
    <xf numFmtId="168" fontId="21" fillId="0" borderId="15" xfId="0" applyNumberFormat="1" applyFont="1" applyFill="1" applyBorder="1"/>
    <xf numFmtId="169" fontId="21" fillId="0" borderId="15" xfId="0" applyNumberFormat="1" applyFont="1" applyFill="1" applyBorder="1"/>
    <xf numFmtId="170" fontId="21" fillId="0" borderId="13" xfId="0" applyNumberFormat="1" applyFont="1" applyFill="1" applyBorder="1"/>
    <xf numFmtId="0" fontId="21" fillId="0" borderId="14" xfId="0" applyFont="1" applyFill="1" applyBorder="1"/>
    <xf numFmtId="0" fontId="21" fillId="0" borderId="14" xfId="0" applyNumberFormat="1" applyFont="1" applyFill="1" applyBorder="1"/>
    <xf numFmtId="171" fontId="21" fillId="0" borderId="14" xfId="0" applyNumberFormat="1" applyFont="1" applyFill="1" applyBorder="1"/>
    <xf numFmtId="3" fontId="21" fillId="0" borderId="18" xfId="0" applyNumberFormat="1" applyFont="1" applyFill="1" applyBorder="1"/>
    <xf numFmtId="0" fontId="21" fillId="0" borderId="19" xfId="0" applyFont="1" applyFill="1" applyBorder="1"/>
    <xf numFmtId="0" fontId="21" fillId="0" borderId="20" xfId="0" applyFont="1" applyFill="1" applyBorder="1" applyAlignment="1">
      <alignment horizontal="center"/>
    </xf>
    <xf numFmtId="0" fontId="21" fillId="0" borderId="21" xfId="0" applyFont="1" applyFill="1" applyBorder="1"/>
    <xf numFmtId="167" fontId="21" fillId="0" borderId="22" xfId="0" applyNumberFormat="1" applyFont="1" applyFill="1" applyBorder="1" applyProtection="1">
      <protection locked="0"/>
    </xf>
    <xf numFmtId="167" fontId="21" fillId="0" borderId="21" xfId="0" applyNumberFormat="1" applyFont="1" applyFill="1" applyBorder="1" applyProtection="1">
      <protection locked="0"/>
    </xf>
    <xf numFmtId="167" fontId="21" fillId="0" borderId="23" xfId="0" applyNumberFormat="1" applyFont="1" applyFill="1" applyBorder="1" applyProtection="1">
      <protection locked="0"/>
    </xf>
    <xf numFmtId="0" fontId="21" fillId="0" borderId="22" xfId="0" applyFont="1" applyFill="1" applyBorder="1" applyAlignment="1">
      <alignment horizontal="center"/>
    </xf>
    <xf numFmtId="0" fontId="21" fillId="0" borderId="21" xfId="0" applyFont="1" applyFill="1" applyBorder="1" applyAlignment="1" applyProtection="1">
      <alignment horizontal="center"/>
      <protection locked="0"/>
    </xf>
    <xf numFmtId="2" fontId="21" fillId="0" borderId="21" xfId="0" applyNumberFormat="1" applyFont="1" applyFill="1" applyBorder="1" applyProtection="1">
      <protection locked="0"/>
    </xf>
    <xf numFmtId="0" fontId="21" fillId="0" borderId="21" xfId="0" applyFont="1" applyFill="1" applyBorder="1" applyAlignment="1">
      <alignment horizontal="center"/>
    </xf>
    <xf numFmtId="2" fontId="21" fillId="0" borderId="23" xfId="0" applyNumberFormat="1" applyFont="1" applyFill="1" applyBorder="1" applyAlignment="1">
      <alignment horizontal="center"/>
    </xf>
    <xf numFmtId="4" fontId="21" fillId="0" borderId="19" xfId="0" applyNumberFormat="1" applyFont="1" applyFill="1" applyBorder="1" applyProtection="1">
      <protection locked="0"/>
    </xf>
    <xf numFmtId="0" fontId="21" fillId="0" borderId="22" xfId="0" applyFont="1" applyFill="1" applyBorder="1" applyAlignment="1" applyProtection="1">
      <alignment horizontal="center"/>
      <protection locked="0"/>
    </xf>
    <xf numFmtId="0" fontId="21" fillId="0" borderId="23" xfId="0" applyFont="1" applyFill="1" applyBorder="1" applyAlignment="1">
      <alignment horizontal="left"/>
    </xf>
    <xf numFmtId="168" fontId="21" fillId="0" borderId="21" xfId="0" applyNumberFormat="1" applyFont="1" applyFill="1" applyBorder="1"/>
    <xf numFmtId="169" fontId="21" fillId="0" borderId="21" xfId="0" applyNumberFormat="1" applyFont="1" applyFill="1" applyBorder="1"/>
    <xf numFmtId="170" fontId="21" fillId="0" borderId="19" xfId="0" applyNumberFormat="1" applyFont="1" applyFill="1" applyBorder="1"/>
    <xf numFmtId="0" fontId="21" fillId="0" borderId="20" xfId="0" applyFont="1" applyFill="1" applyBorder="1"/>
    <xf numFmtId="0" fontId="21" fillId="0" borderId="20" xfId="0" applyNumberFormat="1" applyFont="1" applyFill="1" applyBorder="1"/>
    <xf numFmtId="171" fontId="21" fillId="0" borderId="20" xfId="0" applyNumberFormat="1" applyFont="1" applyFill="1" applyBorder="1"/>
    <xf numFmtId="0" fontId="0" fillId="0" borderId="0" xfId="0" applyAlignment="1">
      <alignment horizontal="center"/>
    </xf>
    <xf numFmtId="0" fontId="22" fillId="0" borderId="24" xfId="0" applyNumberFormat="1" applyFont="1" applyBorder="1" applyAlignment="1">
      <alignment horizontal="center"/>
    </xf>
    <xf numFmtId="0" fontId="22" fillId="0" borderId="25" xfId="0" applyNumberFormat="1" applyFont="1" applyBorder="1" applyAlignment="1">
      <alignment horizontal="center"/>
    </xf>
    <xf numFmtId="0" fontId="22" fillId="36" borderId="26" xfId="0" applyFont="1" applyFill="1" applyBorder="1" applyAlignment="1" applyProtection="1">
      <alignment horizontal="center"/>
    </xf>
    <xf numFmtId="0" fontId="22" fillId="36" borderId="27" xfId="0" applyFont="1" applyFill="1" applyBorder="1" applyAlignment="1" applyProtection="1">
      <alignment horizontal="center"/>
    </xf>
    <xf numFmtId="3" fontId="22" fillId="0" borderId="28" xfId="0" applyNumberFormat="1" applyFont="1" applyFill="1" applyBorder="1" applyAlignment="1" applyProtection="1">
      <alignment horizontal="center"/>
    </xf>
    <xf numFmtId="0" fontId="22" fillId="0" borderId="25" xfId="0" applyFont="1" applyBorder="1" applyAlignment="1" applyProtection="1">
      <alignment horizontal="center"/>
    </xf>
    <xf numFmtId="2" fontId="22" fillId="0" borderId="26" xfId="0" applyNumberFormat="1" applyFont="1" applyFill="1" applyBorder="1" applyAlignment="1" applyProtection="1">
      <alignment horizontal="center"/>
    </xf>
    <xf numFmtId="2" fontId="22" fillId="0" borderId="27" xfId="0" applyNumberFormat="1" applyFont="1" applyFill="1" applyBorder="1" applyAlignment="1" applyProtection="1">
      <alignment horizontal="center"/>
    </xf>
    <xf numFmtId="0" fontId="22" fillId="0" borderId="29" xfId="0" applyFont="1" applyBorder="1" applyAlignment="1" applyProtection="1">
      <alignment horizontal="center"/>
    </xf>
    <xf numFmtId="0" fontId="22" fillId="0" borderId="28" xfId="0" applyFont="1" applyBorder="1" applyAlignment="1" applyProtection="1">
      <alignment horizontal="center"/>
    </xf>
    <xf numFmtId="0" fontId="22" fillId="0" borderId="30" xfId="0" applyFont="1" applyFill="1" applyBorder="1" applyAlignment="1" applyProtection="1">
      <alignment horizontal="center"/>
    </xf>
    <xf numFmtId="0" fontId="22" fillId="0" borderId="29" xfId="0" applyFont="1" applyFill="1" applyBorder="1" applyAlignment="1" applyProtection="1">
      <alignment horizontal="center"/>
    </xf>
    <xf numFmtId="0" fontId="22" fillId="0" borderId="26" xfId="0" applyFont="1" applyFill="1" applyBorder="1" applyAlignment="1" applyProtection="1">
      <alignment horizontal="center"/>
    </xf>
    <xf numFmtId="0" fontId="22" fillId="0" borderId="27" xfId="0" applyFont="1" applyBorder="1" applyAlignment="1">
      <alignment horizontal="center"/>
    </xf>
    <xf numFmtId="0" fontId="22" fillId="0" borderId="28" xfId="0" applyFont="1" applyBorder="1" applyAlignment="1">
      <alignment horizontal="center"/>
    </xf>
    <xf numFmtId="0" fontId="22" fillId="0" borderId="30" xfId="0" applyFont="1" applyBorder="1" applyAlignment="1">
      <alignment horizontal="center"/>
    </xf>
    <xf numFmtId="2" fontId="22" fillId="0" borderId="27" xfId="0" applyNumberFormat="1" applyFont="1" applyBorder="1" applyAlignment="1">
      <alignment horizontal="center"/>
    </xf>
    <xf numFmtId="1" fontId="22" fillId="0" borderId="29" xfId="0" applyNumberFormat="1" applyFont="1" applyBorder="1" applyAlignment="1">
      <alignment horizontal="center"/>
    </xf>
    <xf numFmtId="2" fontId="22" fillId="0" borderId="24" xfId="0" applyNumberFormat="1" applyFont="1" applyBorder="1" applyAlignment="1">
      <alignment horizontal="center"/>
    </xf>
    <xf numFmtId="0" fontId="22" fillId="0" borderId="29" xfId="0" applyFont="1" applyBorder="1" applyAlignment="1">
      <alignment horizontal="center"/>
    </xf>
    <xf numFmtId="0" fontId="22" fillId="37" borderId="31" xfId="0" applyFont="1" applyFill="1" applyBorder="1" applyAlignment="1" applyProtection="1">
      <alignment horizontal="center" textRotation="75" wrapText="1"/>
      <protection locked="0"/>
    </xf>
    <xf numFmtId="0" fontId="22" fillId="0" borderId="32" xfId="0" applyFont="1" applyFill="1" applyBorder="1" applyAlignment="1" applyProtection="1">
      <alignment horizontal="left" textRotation="75" wrapText="1"/>
      <protection locked="0"/>
    </xf>
    <xf numFmtId="0" fontId="22" fillId="38" borderId="33" xfId="0" applyFont="1" applyFill="1" applyBorder="1" applyAlignment="1" applyProtection="1">
      <alignment horizontal="left" textRotation="75" wrapText="1"/>
      <protection locked="0"/>
    </xf>
    <xf numFmtId="0" fontId="22" fillId="0" borderId="34" xfId="0" applyFont="1" applyFill="1" applyBorder="1" applyAlignment="1" applyProtection="1">
      <alignment horizontal="left" textRotation="75" wrapText="1"/>
      <protection locked="0"/>
    </xf>
    <xf numFmtId="0" fontId="22" fillId="0" borderId="35" xfId="0" applyFont="1" applyFill="1" applyBorder="1" applyAlignment="1" applyProtection="1">
      <alignment horizontal="left" textRotation="75" wrapText="1"/>
      <protection locked="0"/>
    </xf>
    <xf numFmtId="0" fontId="22" fillId="39" borderId="33" xfId="0" applyFont="1" applyFill="1" applyBorder="1" applyAlignment="1" applyProtection="1">
      <alignment horizontal="left" textRotation="75" wrapText="1"/>
      <protection locked="0"/>
    </xf>
    <xf numFmtId="0" fontId="22" fillId="40" borderId="36" xfId="0" applyFont="1" applyFill="1" applyBorder="1" applyAlignment="1" applyProtection="1">
      <alignment horizontal="left" textRotation="75" wrapText="1"/>
    </xf>
    <xf numFmtId="0" fontId="22" fillId="40" borderId="35" xfId="0" applyFont="1" applyFill="1" applyBorder="1" applyAlignment="1" applyProtection="1">
      <alignment horizontal="left" textRotation="75" wrapText="1"/>
    </xf>
    <xf numFmtId="0" fontId="22" fillId="0" borderId="37" xfId="0" applyFont="1" applyFill="1" applyBorder="1" applyAlignment="1" applyProtection="1">
      <alignment horizontal="left" textRotation="75" wrapText="1"/>
    </xf>
    <xf numFmtId="0" fontId="22" fillId="38" borderId="38" xfId="0" applyFont="1" applyFill="1" applyBorder="1" applyAlignment="1" applyProtection="1">
      <alignment horizontal="left" textRotation="75" wrapText="1"/>
    </xf>
    <xf numFmtId="2" fontId="22" fillId="0" borderId="36" xfId="0" applyNumberFormat="1" applyFont="1" applyFill="1" applyBorder="1" applyAlignment="1">
      <alignment horizontal="left" textRotation="75" wrapText="1"/>
    </xf>
    <xf numFmtId="2" fontId="22" fillId="0" borderId="32" xfId="0" applyNumberFormat="1" applyFont="1" applyFill="1" applyBorder="1" applyAlignment="1">
      <alignment horizontal="left" textRotation="75" wrapText="1"/>
    </xf>
    <xf numFmtId="0" fontId="22" fillId="38" borderId="35" xfId="0" applyFont="1" applyFill="1" applyBorder="1" applyAlignment="1">
      <alignment horizontal="left" textRotation="75" wrapText="1"/>
    </xf>
    <xf numFmtId="0" fontId="22" fillId="38" borderId="37" xfId="0" applyFont="1" applyFill="1" applyBorder="1" applyAlignment="1">
      <alignment horizontal="center" textRotation="75" wrapText="1"/>
    </xf>
    <xf numFmtId="0" fontId="22" fillId="39" borderId="34" xfId="0" applyFont="1" applyFill="1" applyBorder="1" applyAlignment="1" applyProtection="1">
      <alignment horizontal="left" textRotation="75" wrapText="1"/>
    </xf>
    <xf numFmtId="14" fontId="22" fillId="39" borderId="32" xfId="0" applyNumberFormat="1" applyFont="1" applyFill="1" applyBorder="1" applyAlignment="1" applyProtection="1">
      <alignment horizontal="left" textRotation="75" wrapText="1"/>
    </xf>
    <xf numFmtId="0" fontId="22" fillId="39" borderId="36" xfId="0" applyFont="1" applyFill="1" applyBorder="1" applyAlignment="1" applyProtection="1">
      <alignment horizontal="left" textRotation="75" wrapText="1"/>
    </xf>
    <xf numFmtId="0" fontId="22" fillId="39" borderId="35" xfId="0" applyFont="1" applyFill="1" applyBorder="1" applyAlignment="1">
      <alignment horizontal="left" textRotation="75" wrapText="1"/>
    </xf>
    <xf numFmtId="0" fontId="22" fillId="41" borderId="37" xfId="0" applyFont="1" applyFill="1" applyBorder="1" applyAlignment="1">
      <alignment horizontal="left" textRotation="75" wrapText="1"/>
    </xf>
    <xf numFmtId="0" fontId="22" fillId="41" borderId="0" xfId="0" applyFont="1" applyFill="1" applyBorder="1" applyAlignment="1">
      <alignment horizontal="center" wrapText="1"/>
    </xf>
    <xf numFmtId="2" fontId="22" fillId="41" borderId="0" xfId="0" applyNumberFormat="1" applyFont="1" applyFill="1" applyBorder="1" applyAlignment="1">
      <alignment horizontal="center" wrapText="1"/>
    </xf>
    <xf numFmtId="170" fontId="22" fillId="41" borderId="0" xfId="0" applyNumberFormat="1" applyFont="1" applyFill="1" applyBorder="1" applyAlignment="1">
      <alignment horizontal="center" wrapText="1"/>
    </xf>
    <xf numFmtId="172" fontId="22" fillId="41" borderId="0" xfId="0" applyNumberFormat="1" applyFont="1" applyFill="1" applyBorder="1" applyAlignment="1">
      <alignment horizontal="center" wrapText="1"/>
    </xf>
    <xf numFmtId="171" fontId="22" fillId="41" borderId="0" xfId="0" applyNumberFormat="1" applyFont="1" applyFill="1" applyBorder="1" applyAlignment="1">
      <alignment horizontal="center" wrapText="1"/>
    </xf>
    <xf numFmtId="0" fontId="0" fillId="0" borderId="0" xfId="0" applyBorder="1"/>
    <xf numFmtId="3" fontId="0" fillId="0" borderId="0" xfId="0" applyNumberFormat="1" applyFill="1" applyBorder="1"/>
    <xf numFmtId="0" fontId="22" fillId="0" borderId="0" xfId="0" applyFont="1" applyFill="1" applyBorder="1" applyAlignment="1">
      <alignment horizontal="center"/>
    </xf>
    <xf numFmtId="2" fontId="0" fillId="0" borderId="0" xfId="0" applyNumberFormat="1" applyFill="1" applyBorder="1"/>
    <xf numFmtId="0" fontId="22" fillId="0" borderId="0" xfId="0" applyFont="1" applyBorder="1" applyAlignment="1">
      <alignment horizontal="center"/>
    </xf>
    <xf numFmtId="0" fontId="0" fillId="0" borderId="0" xfId="0" applyFill="1" applyBorder="1" applyAlignment="1">
      <alignment horizontal="center"/>
    </xf>
    <xf numFmtId="4" fontId="0" fillId="0" borderId="0" xfId="0" applyNumberFormat="1" applyFill="1" applyBorder="1"/>
    <xf numFmtId="0" fontId="0" fillId="0" borderId="0" xfId="0" applyFill="1" applyBorder="1" applyAlignment="1">
      <alignment horizontal="left"/>
    </xf>
    <xf numFmtId="172" fontId="0" fillId="0" borderId="0" xfId="0" applyNumberFormat="1" applyFill="1" applyBorder="1"/>
    <xf numFmtId="171" fontId="34" fillId="0" borderId="0" xfId="0" applyNumberFormat="1" applyFont="1" applyFill="1" applyBorder="1"/>
    <xf numFmtId="0" fontId="0" fillId="0" borderId="0" xfId="0" applyFill="1"/>
    <xf numFmtId="165" fontId="24" fillId="33" borderId="10" xfId="43" applyNumberFormat="1" applyFont="1" applyFill="1" applyBorder="1" applyAlignment="1">
      <alignment horizontal="right" vertical="top" wrapText="1" readingOrder="1"/>
    </xf>
    <xf numFmtId="165" fontId="24" fillId="34" borderId="10" xfId="43" applyNumberFormat="1" applyFont="1" applyFill="1" applyBorder="1" applyAlignment="1">
      <alignment horizontal="right" vertical="top" wrapText="1" readingOrder="1"/>
    </xf>
    <xf numFmtId="0" fontId="25" fillId="33" borderId="10" xfId="43" applyNumberFormat="1" applyFont="1" applyFill="1" applyBorder="1" applyAlignment="1">
      <alignment horizontal="right" vertical="top" wrapText="1" readingOrder="1"/>
    </xf>
    <xf numFmtId="0" fontId="23" fillId="0" borderId="0" xfId="43" applyFont="1" applyFill="1" applyBorder="1"/>
    <xf numFmtId="0" fontId="26" fillId="35" borderId="10" xfId="43" applyNumberFormat="1" applyFont="1" applyFill="1" applyBorder="1" applyAlignment="1">
      <alignment horizontal="right" vertical="top" wrapText="1" readingOrder="1"/>
    </xf>
    <xf numFmtId="0" fontId="38" fillId="0" borderId="0" xfId="51"/>
    <xf numFmtId="166" fontId="21" fillId="0" borderId="0" xfId="51" applyNumberFormat="1" applyFont="1"/>
    <xf numFmtId="167" fontId="21" fillId="0" borderId="0" xfId="52" applyNumberFormat="1" applyFont="1" applyAlignment="1">
      <alignment horizontal="right"/>
    </xf>
    <xf numFmtId="167" fontId="21" fillId="0" borderId="0" xfId="51" applyNumberFormat="1" applyFont="1" applyAlignment="1">
      <alignment wrapText="1"/>
    </xf>
    <xf numFmtId="167" fontId="21" fillId="0" borderId="0" xfId="51" applyNumberFormat="1" applyFont="1"/>
    <xf numFmtId="0" fontId="21" fillId="0" borderId="0" xfId="51" applyFont="1"/>
    <xf numFmtId="166" fontId="21" fillId="0" borderId="0" xfId="52" applyNumberFormat="1" applyFont="1" applyAlignment="1"/>
    <xf numFmtId="167" fontId="21" fillId="0" borderId="0" xfId="52" applyNumberFormat="1" applyFont="1" applyAlignment="1"/>
    <xf numFmtId="0" fontId="21" fillId="0" borderId="0" xfId="51" applyFont="1" applyAlignment="1">
      <alignment horizontal="center"/>
    </xf>
    <xf numFmtId="166" fontId="21" fillId="0" borderId="0" xfId="52" applyNumberFormat="1" applyFont="1" applyAlignment="1">
      <alignment horizontal="center"/>
    </xf>
    <xf numFmtId="166" fontId="21" fillId="0" borderId="0" xfId="52" applyNumberFormat="1" applyFont="1"/>
    <xf numFmtId="14" fontId="21" fillId="0" borderId="0" xfId="51" applyNumberFormat="1" applyFont="1" applyAlignment="1">
      <alignment horizontal="right"/>
    </xf>
    <xf numFmtId="17" fontId="22" fillId="0" borderId="0" xfId="51" applyNumberFormat="1" applyFont="1"/>
    <xf numFmtId="17" fontId="22" fillId="0" borderId="0" xfId="51" applyNumberFormat="1" applyFont="1" applyAlignment="1">
      <alignment horizontal="left"/>
    </xf>
    <xf numFmtId="0" fontId="30" fillId="0" borderId="0" xfId="51" applyFont="1"/>
    <xf numFmtId="0" fontId="31" fillId="0" borderId="0" xfId="51" applyFont="1"/>
    <xf numFmtId="0" fontId="32" fillId="0" borderId="0" xfId="51" applyFont="1"/>
    <xf numFmtId="49" fontId="32" fillId="0" borderId="0" xfId="51" applyNumberFormat="1" applyFont="1"/>
    <xf numFmtId="0" fontId="0" fillId="0" borderId="0" xfId="0" applyFill="1" applyAlignment="1">
      <alignment wrapText="1"/>
    </xf>
    <xf numFmtId="3" fontId="21" fillId="36" borderId="0" xfId="0" applyNumberFormat="1" applyFont="1" applyFill="1" applyAlignment="1">
      <alignment horizontal="left"/>
    </xf>
    <xf numFmtId="10" fontId="0" fillId="40" borderId="0" xfId="0" applyNumberFormat="1" applyFill="1"/>
    <xf numFmtId="2" fontId="0" fillId="0" borderId="0" xfId="0" applyNumberFormat="1" applyFill="1"/>
    <xf numFmtId="2" fontId="0" fillId="0" borderId="0" xfId="0" applyNumberFormat="1" applyFill="1" applyAlignment="1">
      <alignment wrapText="1"/>
    </xf>
    <xf numFmtId="0" fontId="38" fillId="0" borderId="0" xfId="53"/>
    <xf numFmtId="4" fontId="38" fillId="0" borderId="0" xfId="53" applyNumberFormat="1"/>
    <xf numFmtId="3" fontId="38" fillId="0" borderId="39" xfId="53" applyNumberFormat="1" applyBorder="1"/>
    <xf numFmtId="3" fontId="22" fillId="0" borderId="39" xfId="53" applyNumberFormat="1" applyFont="1" applyBorder="1"/>
    <xf numFmtId="3" fontId="22" fillId="0" borderId="40" xfId="53" applyNumberFormat="1" applyFont="1" applyBorder="1"/>
    <xf numFmtId="3" fontId="22" fillId="0" borderId="40" xfId="53" applyNumberFormat="1" applyFont="1" applyBorder="1" applyAlignment="1">
      <alignment horizontal="right" wrapText="1"/>
    </xf>
    <xf numFmtId="3" fontId="22" fillId="0" borderId="40" xfId="53" quotePrefix="1" applyNumberFormat="1" applyFont="1" applyBorder="1"/>
    <xf numFmtId="3" fontId="38" fillId="0" borderId="0" xfId="53" applyNumberFormat="1"/>
    <xf numFmtId="3" fontId="22" fillId="0" borderId="41" xfId="53" applyNumberFormat="1" applyFont="1" applyBorder="1"/>
    <xf numFmtId="3" fontId="22" fillId="0" borderId="41" xfId="53" applyNumberFormat="1" applyFont="1" applyBorder="1" applyAlignment="1">
      <alignment wrapText="1"/>
    </xf>
    <xf numFmtId="0" fontId="21" fillId="0" borderId="0" xfId="53" applyFont="1"/>
    <xf numFmtId="3" fontId="22" fillId="0" borderId="0" xfId="53" applyNumberFormat="1" applyFont="1"/>
    <xf numFmtId="4" fontId="22" fillId="0" borderId="0" xfId="53" applyNumberFormat="1" applyFont="1"/>
    <xf numFmtId="4" fontId="22" fillId="0" borderId="0" xfId="53" applyNumberFormat="1" applyFont="1" applyAlignment="1">
      <alignment wrapText="1"/>
    </xf>
    <xf numFmtId="0" fontId="0" fillId="40" borderId="0" xfId="0" applyFill="1"/>
    <xf numFmtId="0" fontId="0" fillId="42" borderId="0" xfId="0" applyFill="1"/>
    <xf numFmtId="0" fontId="0" fillId="43" borderId="0" xfId="0" applyFill="1"/>
    <xf numFmtId="0" fontId="0" fillId="44" borderId="0" xfId="0" applyFill="1"/>
    <xf numFmtId="0" fontId="0" fillId="45" borderId="0" xfId="0" applyFill="1"/>
    <xf numFmtId="0" fontId="0" fillId="0" borderId="0" xfId="0" applyAlignment="1">
      <alignment horizontal="center"/>
    </xf>
    <xf numFmtId="0" fontId="0" fillId="46" borderId="0" xfId="0" applyNumberFormat="1" applyFill="1"/>
    <xf numFmtId="0" fontId="0" fillId="46" borderId="0" xfId="0" applyFill="1"/>
    <xf numFmtId="164" fontId="0" fillId="46" borderId="0" xfId="0" applyNumberFormat="1" applyFill="1"/>
    <xf numFmtId="0" fontId="0" fillId="48" borderId="0" xfId="0" applyFill="1"/>
    <xf numFmtId="164" fontId="0" fillId="48" borderId="0" xfId="0" applyNumberFormat="1" applyFill="1"/>
    <xf numFmtId="0" fontId="0" fillId="48" borderId="0" xfId="0" applyNumberFormat="1" applyFill="1"/>
    <xf numFmtId="0" fontId="0" fillId="36" borderId="0" xfId="0" applyNumberFormat="1" applyFill="1"/>
    <xf numFmtId="164" fontId="0" fillId="36" borderId="0" xfId="0" applyNumberFormat="1" applyFill="1"/>
    <xf numFmtId="166" fontId="40" fillId="49" borderId="39" xfId="42" applyNumberFormat="1" applyFont="1" applyFill="1" applyBorder="1" applyAlignment="1">
      <alignment horizontal="center" vertical="center"/>
    </xf>
    <xf numFmtId="166" fontId="40" fillId="49" borderId="39" xfId="42" applyNumberFormat="1" applyFont="1" applyFill="1" applyBorder="1" applyAlignment="1">
      <alignment horizontal="center" vertical="center" wrapText="1"/>
    </xf>
    <xf numFmtId="0" fontId="0" fillId="0" borderId="45" xfId="0" applyBorder="1"/>
    <xf numFmtId="10" fontId="0" fillId="0" borderId="0" xfId="0" applyNumberFormat="1" applyBorder="1"/>
    <xf numFmtId="0" fontId="0" fillId="0" borderId="46" xfId="0" applyBorder="1"/>
    <xf numFmtId="0" fontId="0" fillId="36" borderId="0" xfId="0" applyFill="1" applyBorder="1"/>
    <xf numFmtId="10" fontId="0" fillId="36" borderId="0" xfId="0" applyNumberFormat="1" applyFill="1" applyBorder="1"/>
    <xf numFmtId="1" fontId="0" fillId="36" borderId="0" xfId="0" applyNumberFormat="1" applyFill="1" applyBorder="1"/>
    <xf numFmtId="1" fontId="0" fillId="36" borderId="46" xfId="0" applyNumberFormat="1" applyFill="1" applyBorder="1"/>
    <xf numFmtId="0" fontId="0" fillId="46" borderId="45" xfId="0" applyFill="1" applyBorder="1"/>
    <xf numFmtId="0" fontId="0" fillId="46" borderId="0" xfId="0" applyFill="1" applyBorder="1"/>
    <xf numFmtId="10" fontId="0" fillId="46" borderId="0" xfId="0" applyNumberFormat="1" applyFill="1" applyBorder="1"/>
    <xf numFmtId="0" fontId="0" fillId="46" borderId="46" xfId="0" applyFill="1" applyBorder="1"/>
    <xf numFmtId="1" fontId="0" fillId="46" borderId="0" xfId="0" applyNumberFormat="1" applyFill="1" applyBorder="1"/>
    <xf numFmtId="1" fontId="0" fillId="46" borderId="46" xfId="0" applyNumberFormat="1" applyFill="1" applyBorder="1"/>
    <xf numFmtId="0" fontId="0" fillId="48" borderId="45" xfId="0" applyFill="1" applyBorder="1"/>
    <xf numFmtId="0" fontId="0" fillId="48" borderId="0" xfId="0" applyFill="1" applyBorder="1"/>
    <xf numFmtId="10" fontId="0" fillId="48" borderId="0" xfId="0" applyNumberFormat="1" applyFill="1" applyBorder="1"/>
    <xf numFmtId="0" fontId="0" fillId="48" borderId="46" xfId="0" applyFill="1" applyBorder="1"/>
    <xf numFmtId="0" fontId="0" fillId="36" borderId="46" xfId="0" applyFill="1" applyBorder="1"/>
    <xf numFmtId="1" fontId="0" fillId="0" borderId="0" xfId="0" applyNumberFormat="1" applyBorder="1"/>
    <xf numFmtId="1" fontId="0" fillId="0" borderId="46" xfId="0" applyNumberFormat="1" applyBorder="1"/>
    <xf numFmtId="0" fontId="0" fillId="0" borderId="47" xfId="0" applyBorder="1"/>
    <xf numFmtId="0" fontId="0" fillId="0" borderId="48" xfId="0" applyBorder="1"/>
    <xf numFmtId="0" fontId="0" fillId="0" borderId="49" xfId="0" applyBorder="1"/>
    <xf numFmtId="10" fontId="0" fillId="0" borderId="46" xfId="0" applyNumberFormat="1" applyBorder="1"/>
    <xf numFmtId="10" fontId="0" fillId="36" borderId="46" xfId="0" applyNumberFormat="1" applyFill="1" applyBorder="1"/>
    <xf numFmtId="10" fontId="0" fillId="46" borderId="46" xfId="0" applyNumberFormat="1" applyFill="1" applyBorder="1"/>
    <xf numFmtId="10" fontId="0" fillId="48" borderId="46" xfId="0" applyNumberFormat="1" applyFill="1" applyBorder="1"/>
    <xf numFmtId="0" fontId="0" fillId="0" borderId="42" xfId="0" applyBorder="1" applyAlignment="1">
      <alignment horizontal="center" wrapText="1"/>
    </xf>
    <xf numFmtId="0" fontId="0" fillId="0" borderId="43" xfId="0" applyBorder="1" applyAlignment="1">
      <alignment horizontal="center" wrapText="1"/>
    </xf>
    <xf numFmtId="0" fontId="0" fillId="0" borderId="44" xfId="0" applyBorder="1" applyAlignment="1">
      <alignment horizontal="center" wrapText="1"/>
    </xf>
    <xf numFmtId="0" fontId="0" fillId="51" borderId="0" xfId="0" applyNumberFormat="1" applyFill="1"/>
    <xf numFmtId="0" fontId="0" fillId="51" borderId="0" xfId="0" applyFill="1"/>
    <xf numFmtId="0" fontId="0" fillId="51" borderId="0" xfId="0" applyFill="1" applyBorder="1"/>
    <xf numFmtId="10" fontId="0" fillId="51" borderId="0" xfId="0" applyNumberFormat="1" applyFill="1" applyBorder="1"/>
    <xf numFmtId="0" fontId="0" fillId="51" borderId="46" xfId="0" applyFill="1" applyBorder="1"/>
    <xf numFmtId="10" fontId="0" fillId="51" borderId="46" xfId="0" applyNumberFormat="1" applyFill="1" applyBorder="1"/>
    <xf numFmtId="164" fontId="0" fillId="51" borderId="0" xfId="0" applyNumberFormat="1" applyFill="1"/>
    <xf numFmtId="164" fontId="0" fillId="0" borderId="0" xfId="0" applyNumberFormat="1" applyBorder="1"/>
    <xf numFmtId="164" fontId="0" fillId="36" borderId="0" xfId="0" applyNumberFormat="1" applyFill="1" applyBorder="1"/>
    <xf numFmtId="164" fontId="0" fillId="48" borderId="0" xfId="0" applyNumberFormat="1" applyFill="1" applyBorder="1"/>
    <xf numFmtId="164" fontId="0" fillId="51" borderId="0" xfId="0" applyNumberFormat="1" applyFill="1" applyBorder="1"/>
    <xf numFmtId="164" fontId="0" fillId="0" borderId="48" xfId="0" applyNumberFormat="1" applyBorder="1"/>
    <xf numFmtId="0" fontId="0" fillId="0" borderId="0" xfId="0" applyAlignment="1">
      <alignment horizontal="center" wrapText="1"/>
    </xf>
    <xf numFmtId="0" fontId="0" fillId="0" borderId="0" xfId="0" applyFill="1" applyAlignment="1">
      <alignment horizontal="center" wrapText="1"/>
    </xf>
    <xf numFmtId="164" fontId="0" fillId="0" borderId="43" xfId="0" applyNumberFormat="1" applyBorder="1" applyAlignment="1">
      <alignment horizontal="center" wrapText="1"/>
    </xf>
    <xf numFmtId="164" fontId="0" fillId="0" borderId="0" xfId="0" applyNumberFormat="1" applyAlignment="1">
      <alignment horizontal="center" wrapText="1"/>
    </xf>
    <xf numFmtId="164" fontId="0" fillId="0" borderId="0" xfId="0" applyNumberFormat="1" applyAlignment="1">
      <alignment horizontal="center"/>
    </xf>
    <xf numFmtId="167" fontId="0" fillId="0" borderId="0" xfId="0" applyNumberFormat="1"/>
    <xf numFmtId="167" fontId="40" fillId="49" borderId="39" xfId="42" applyNumberFormat="1" applyFont="1" applyFill="1" applyBorder="1" applyAlignment="1">
      <alignment horizontal="center" vertical="center"/>
    </xf>
    <xf numFmtId="167" fontId="13" fillId="50" borderId="42" xfId="0" applyNumberFormat="1" applyFont="1" applyFill="1" applyBorder="1" applyAlignment="1">
      <alignment horizontal="centerContinuous"/>
    </xf>
    <xf numFmtId="167" fontId="17" fillId="50" borderId="43" xfId="0" applyNumberFormat="1" applyFont="1" applyFill="1" applyBorder="1" applyAlignment="1">
      <alignment horizontal="centerContinuous"/>
    </xf>
    <xf numFmtId="167" fontId="17" fillId="50" borderId="44" xfId="0" applyNumberFormat="1" applyFont="1" applyFill="1" applyBorder="1" applyAlignment="1">
      <alignment horizontal="centerContinuous"/>
    </xf>
    <xf numFmtId="167" fontId="0" fillId="0" borderId="42" xfId="0" applyNumberFormat="1" applyBorder="1" applyAlignment="1">
      <alignment horizontal="center"/>
    </xf>
    <xf numFmtId="167" fontId="0" fillId="0" borderId="43" xfId="0" applyNumberFormat="1" applyBorder="1" applyAlignment="1">
      <alignment horizontal="center"/>
    </xf>
    <xf numFmtId="167" fontId="0" fillId="0" borderId="44" xfId="0" applyNumberFormat="1" applyBorder="1" applyAlignment="1">
      <alignment horizontal="center"/>
    </xf>
    <xf numFmtId="167" fontId="0" fillId="0" borderId="45" xfId="0" applyNumberFormat="1" applyBorder="1"/>
    <xf numFmtId="167" fontId="0" fillId="0" borderId="0" xfId="0" applyNumberFormat="1" applyBorder="1"/>
    <xf numFmtId="167" fontId="0" fillId="0" borderId="46" xfId="0" applyNumberFormat="1" applyBorder="1"/>
    <xf numFmtId="167" fontId="0" fillId="36" borderId="45" xfId="0" applyNumberFormat="1" applyFill="1" applyBorder="1"/>
    <xf numFmtId="167" fontId="0" fillId="36" borderId="0" xfId="0" applyNumberFormat="1" applyFill="1" applyBorder="1"/>
    <xf numFmtId="167" fontId="0" fillId="36" borderId="46" xfId="0" applyNumberFormat="1" applyFill="1" applyBorder="1"/>
    <xf numFmtId="167" fontId="0" fillId="46" borderId="45" xfId="0" applyNumberFormat="1" applyFill="1" applyBorder="1"/>
    <xf numFmtId="167" fontId="0" fillId="46" borderId="0" xfId="0" applyNumberFormat="1" applyFill="1" applyBorder="1"/>
    <xf numFmtId="167" fontId="0" fillId="46" borderId="46" xfId="0" applyNumberFormat="1" applyFill="1" applyBorder="1"/>
    <xf numFmtId="167" fontId="0" fillId="48" borderId="45" xfId="0" applyNumberFormat="1" applyFill="1" applyBorder="1"/>
    <xf numFmtId="167" fontId="0" fillId="48" borderId="0" xfId="0" applyNumberFormat="1" applyFill="1" applyBorder="1"/>
    <xf numFmtId="167" fontId="0" fillId="48" borderId="46" xfId="0" applyNumberFormat="1" applyFill="1" applyBorder="1"/>
    <xf numFmtId="167" fontId="0" fillId="51" borderId="45" xfId="0" applyNumberFormat="1" applyFill="1" applyBorder="1"/>
    <xf numFmtId="167" fontId="0" fillId="51" borderId="0" xfId="0" applyNumberFormat="1" applyFill="1" applyBorder="1"/>
    <xf numFmtId="167" fontId="0" fillId="51" borderId="46" xfId="0" applyNumberFormat="1" applyFill="1" applyBorder="1"/>
    <xf numFmtId="167" fontId="40" fillId="52" borderId="39" xfId="42" applyNumberFormat="1" applyFont="1" applyFill="1" applyBorder="1" applyAlignment="1">
      <alignment horizontal="center" vertical="center" wrapText="1"/>
    </xf>
    <xf numFmtId="167" fontId="13" fillId="48" borderId="42" xfId="0" applyNumberFormat="1" applyFont="1" applyFill="1" applyBorder="1" applyAlignment="1">
      <alignment horizontal="centerContinuous"/>
    </xf>
    <xf numFmtId="167" fontId="17" fillId="48" borderId="43" xfId="0" applyNumberFormat="1" applyFont="1" applyFill="1" applyBorder="1" applyAlignment="1">
      <alignment horizontal="centerContinuous"/>
    </xf>
    <xf numFmtId="167" fontId="17" fillId="48" borderId="44" xfId="0" applyNumberFormat="1" applyFont="1" applyFill="1" applyBorder="1" applyAlignment="1">
      <alignment horizontal="centerContinuous"/>
    </xf>
    <xf numFmtId="166" fontId="0" fillId="46" borderId="46" xfId="42" applyNumberFormat="1" applyFont="1" applyFill="1" applyBorder="1"/>
    <xf numFmtId="3" fontId="21" fillId="36" borderId="0" xfId="0" applyNumberFormat="1" applyFont="1" applyFill="1"/>
    <xf numFmtId="1" fontId="21" fillId="36" borderId="0" xfId="0" applyNumberFormat="1" applyFont="1" applyFill="1" applyAlignment="1">
      <alignment horizontal="left"/>
    </xf>
    <xf numFmtId="10" fontId="21" fillId="36" borderId="0" xfId="0" applyNumberFormat="1" applyFont="1" applyFill="1"/>
    <xf numFmtId="0" fontId="21" fillId="36" borderId="0" xfId="0" applyFont="1" applyFill="1"/>
    <xf numFmtId="0" fontId="21" fillId="36" borderId="0" xfId="0" applyFont="1" applyFill="1" applyAlignment="1">
      <alignment horizontal="center"/>
    </xf>
    <xf numFmtId="0" fontId="0" fillId="47" borderId="50" xfId="56" applyFont="1" applyFill="1" applyBorder="1" applyAlignment="1">
      <alignment horizontal="center" vertical="center" wrapText="1"/>
    </xf>
    <xf numFmtId="0" fontId="0" fillId="47" borderId="51" xfId="56" applyFont="1" applyFill="1" applyBorder="1" applyAlignment="1">
      <alignment horizontal="center" vertical="center" wrapText="1"/>
    </xf>
    <xf numFmtId="0" fontId="0" fillId="0" borderId="0" xfId="0" applyFont="1" applyFill="1" applyAlignment="1">
      <alignment horizontal="center" vertical="center" wrapText="1"/>
    </xf>
    <xf numFmtId="0" fontId="0" fillId="47" borderId="52" xfId="56" applyFont="1" applyFill="1" applyBorder="1" applyAlignment="1">
      <alignment horizontal="center" vertical="center" wrapText="1"/>
    </xf>
    <xf numFmtId="3" fontId="42" fillId="0" borderId="24" xfId="0" applyNumberFormat="1" applyFont="1" applyBorder="1" applyAlignment="1">
      <alignment horizontal="center" wrapText="1"/>
    </xf>
    <xf numFmtId="3" fontId="42" fillId="0" borderId="25" xfId="0" applyNumberFormat="1" applyFont="1" applyBorder="1" applyAlignment="1">
      <alignment horizontal="center" wrapText="1"/>
    </xf>
    <xf numFmtId="9" fontId="1" fillId="0" borderId="42" xfId="55" applyFont="1" applyFill="1" applyBorder="1" applyAlignment="1">
      <alignment horizontal="right"/>
    </xf>
    <xf numFmtId="9" fontId="1" fillId="0" borderId="43" xfId="55" applyFont="1" applyFill="1" applyBorder="1" applyAlignment="1">
      <alignment horizontal="right"/>
    </xf>
    <xf numFmtId="9" fontId="1" fillId="0" borderId="44" xfId="55" applyFont="1" applyFill="1" applyBorder="1" applyAlignment="1">
      <alignment horizontal="right"/>
    </xf>
    <xf numFmtId="0" fontId="0" fillId="0" borderId="45" xfId="0" applyBorder="1" applyAlignment="1">
      <alignment horizontal="center"/>
    </xf>
    <xf numFmtId="0" fontId="0" fillId="0" borderId="0" xfId="0" applyBorder="1" applyAlignment="1">
      <alignment horizontal="center"/>
    </xf>
    <xf numFmtId="0" fontId="0" fillId="0" borderId="46" xfId="0" applyBorder="1" applyAlignment="1">
      <alignment horizontal="center"/>
    </xf>
    <xf numFmtId="0" fontId="0" fillId="36" borderId="45" xfId="0" applyFill="1" applyBorder="1" applyAlignment="1">
      <alignment horizontal="center"/>
    </xf>
    <xf numFmtId="0" fontId="0" fillId="36" borderId="0" xfId="0" applyFill="1" applyBorder="1" applyAlignment="1">
      <alignment horizontal="center"/>
    </xf>
    <xf numFmtId="0" fontId="0" fillId="36" borderId="46" xfId="0" applyFill="1" applyBorder="1" applyAlignment="1">
      <alignment horizontal="center"/>
    </xf>
    <xf numFmtId="0" fontId="0" fillId="46" borderId="45" xfId="0" applyFill="1" applyBorder="1" applyAlignment="1">
      <alignment horizontal="center"/>
    </xf>
    <xf numFmtId="0" fontId="0" fillId="46" borderId="0" xfId="0" applyFill="1" applyBorder="1" applyAlignment="1">
      <alignment horizontal="center"/>
    </xf>
    <xf numFmtId="0" fontId="0" fillId="46" borderId="46" xfId="0" applyFill="1" applyBorder="1" applyAlignment="1">
      <alignment horizontal="center"/>
    </xf>
    <xf numFmtId="0" fontId="0" fillId="48" borderId="45" xfId="0" applyFill="1" applyBorder="1" applyAlignment="1">
      <alignment horizontal="center"/>
    </xf>
    <xf numFmtId="0" fontId="0" fillId="48" borderId="0" xfId="0" applyFill="1" applyBorder="1" applyAlignment="1">
      <alignment horizontal="center"/>
    </xf>
    <xf numFmtId="0" fontId="0" fillId="48" borderId="46" xfId="0" applyFill="1" applyBorder="1" applyAlignment="1">
      <alignment horizontal="center"/>
    </xf>
    <xf numFmtId="0" fontId="0" fillId="51" borderId="45" xfId="0" applyFill="1" applyBorder="1" applyAlignment="1">
      <alignment horizontal="center"/>
    </xf>
    <xf numFmtId="0" fontId="0" fillId="51" borderId="0" xfId="0" applyFill="1" applyBorder="1" applyAlignment="1">
      <alignment horizontal="center"/>
    </xf>
    <xf numFmtId="0" fontId="0" fillId="51" borderId="46" xfId="0" applyFill="1" applyBorder="1" applyAlignment="1">
      <alignment horizontal="center"/>
    </xf>
    <xf numFmtId="0" fontId="0" fillId="47" borderId="24" xfId="56" applyFont="1" applyFill="1" applyBorder="1" applyAlignment="1">
      <alignment horizontal="center" vertical="center" wrapText="1"/>
    </xf>
    <xf numFmtId="0" fontId="0" fillId="0" borderId="54" xfId="0" applyBorder="1" applyAlignment="1">
      <alignment horizontal="center"/>
    </xf>
    <xf numFmtId="0" fontId="0" fillId="36" borderId="54" xfId="0" applyFill="1" applyBorder="1" applyAlignment="1">
      <alignment horizontal="center"/>
    </xf>
    <xf numFmtId="0" fontId="0" fillId="46" borderId="54" xfId="0" applyFill="1" applyBorder="1" applyAlignment="1">
      <alignment horizontal="center"/>
    </xf>
    <xf numFmtId="0" fontId="0" fillId="48" borderId="54" xfId="0" applyFill="1" applyBorder="1" applyAlignment="1">
      <alignment horizontal="center"/>
    </xf>
    <xf numFmtId="0" fontId="0" fillId="51" borderId="54" xfId="0" applyFill="1" applyBorder="1" applyAlignment="1">
      <alignment horizontal="center"/>
    </xf>
    <xf numFmtId="167" fontId="16" fillId="0" borderId="0" xfId="0" applyNumberFormat="1" applyFont="1"/>
    <xf numFmtId="167" fontId="44" fillId="47" borderId="52" xfId="56" applyNumberFormat="1" applyFont="1" applyFill="1" applyBorder="1" applyAlignment="1">
      <alignment horizontal="center" vertical="center" wrapText="1"/>
    </xf>
    <xf numFmtId="167" fontId="44" fillId="47" borderId="25" xfId="56" applyNumberFormat="1" applyFont="1" applyFill="1" applyBorder="1" applyAlignment="1">
      <alignment horizontal="center" vertical="center" wrapText="1"/>
    </xf>
    <xf numFmtId="167" fontId="44" fillId="47" borderId="63" xfId="56" applyNumberFormat="1" applyFont="1" applyFill="1" applyBorder="1" applyAlignment="1">
      <alignment horizontal="center" vertical="center" wrapText="1"/>
    </xf>
    <xf numFmtId="167" fontId="44" fillId="47" borderId="64" xfId="56" applyNumberFormat="1" applyFont="1" applyFill="1" applyBorder="1" applyAlignment="1">
      <alignment horizontal="center" vertical="center" wrapText="1"/>
    </xf>
    <xf numFmtId="167" fontId="44" fillId="0" borderId="63" xfId="56" applyNumberFormat="1" applyFont="1" applyFill="1" applyBorder="1" applyAlignment="1">
      <alignment horizontal="center" vertical="center" wrapText="1"/>
    </xf>
    <xf numFmtId="167" fontId="44" fillId="36" borderId="64" xfId="56" applyNumberFormat="1" applyFont="1" applyFill="1" applyBorder="1" applyAlignment="1">
      <alignment horizontal="center" vertical="center" wrapText="1"/>
    </xf>
    <xf numFmtId="167" fontId="0" fillId="0" borderId="54" xfId="0" applyNumberFormat="1" applyBorder="1"/>
    <xf numFmtId="167" fontId="0" fillId="36" borderId="54" xfId="0" applyNumberFormat="1" applyFill="1" applyBorder="1"/>
    <xf numFmtId="167" fontId="0" fillId="46" borderId="54" xfId="0" applyNumberFormat="1" applyFill="1" applyBorder="1"/>
    <xf numFmtId="167" fontId="0" fillId="48" borderId="54" xfId="0" applyNumberFormat="1" applyFill="1" applyBorder="1"/>
    <xf numFmtId="167" fontId="0" fillId="51" borderId="54" xfId="0" applyNumberFormat="1" applyFill="1" applyBorder="1"/>
    <xf numFmtId="167" fontId="0" fillId="56" borderId="43" xfId="0" applyNumberFormat="1" applyFill="1" applyBorder="1" applyAlignment="1">
      <alignment horizontal="center" wrapText="1"/>
    </xf>
    <xf numFmtId="167" fontId="0" fillId="56" borderId="44" xfId="0" applyNumberFormat="1" applyFill="1" applyBorder="1" applyAlignment="1">
      <alignment horizontal="center" wrapText="1"/>
    </xf>
    <xf numFmtId="167" fontId="0" fillId="56" borderId="53" xfId="0" applyNumberFormat="1" applyFill="1" applyBorder="1" applyAlignment="1">
      <alignment horizontal="center" wrapText="1"/>
    </xf>
    <xf numFmtId="10" fontId="19" fillId="56" borderId="44" xfId="0" applyNumberFormat="1" applyFont="1" applyFill="1" applyBorder="1" applyAlignment="1">
      <alignment horizontal="center" wrapText="1"/>
    </xf>
    <xf numFmtId="164" fontId="13" fillId="53" borderId="42" xfId="0" applyNumberFormat="1" applyFont="1" applyFill="1" applyBorder="1" applyAlignment="1">
      <alignment horizontal="centerContinuous"/>
    </xf>
    <xf numFmtId="164" fontId="17" fillId="53" borderId="43" xfId="0" applyNumberFormat="1" applyFont="1" applyFill="1" applyBorder="1" applyAlignment="1">
      <alignment horizontal="centerContinuous"/>
    </xf>
    <xf numFmtId="164" fontId="17" fillId="53" borderId="44" xfId="0" applyNumberFormat="1" applyFont="1" applyFill="1" applyBorder="1" applyAlignment="1">
      <alignment horizontal="centerContinuous"/>
    </xf>
    <xf numFmtId="164" fontId="13" fillId="48" borderId="56" xfId="0" applyNumberFormat="1" applyFont="1" applyFill="1" applyBorder="1" applyAlignment="1">
      <alignment horizontal="centerContinuous"/>
    </xf>
    <xf numFmtId="164" fontId="17" fillId="48" borderId="57" xfId="0" applyNumberFormat="1" applyFont="1" applyFill="1" applyBorder="1" applyAlignment="1">
      <alignment horizontal="centerContinuous"/>
    </xf>
    <xf numFmtId="167" fontId="0" fillId="56" borderId="42" xfId="0" applyNumberFormat="1" applyFill="1" applyBorder="1" applyAlignment="1">
      <alignment horizontal="center" wrapText="1"/>
    </xf>
    <xf numFmtId="167" fontId="0" fillId="56" borderId="44" xfId="0" applyNumberFormat="1" applyFont="1" applyFill="1" applyBorder="1" applyAlignment="1">
      <alignment horizontal="center" wrapText="1"/>
    </xf>
    <xf numFmtId="167" fontId="0" fillId="56" borderId="42" xfId="0" applyNumberFormat="1" applyFont="1" applyFill="1" applyBorder="1" applyAlignment="1">
      <alignment horizontal="center" wrapText="1"/>
    </xf>
    <xf numFmtId="167" fontId="0" fillId="56" borderId="43" xfId="0" applyNumberFormat="1" applyFont="1" applyFill="1" applyBorder="1" applyAlignment="1">
      <alignment horizontal="center" wrapText="1"/>
    </xf>
    <xf numFmtId="9" fontId="0" fillId="0" borderId="46" xfId="55" applyFont="1" applyBorder="1"/>
    <xf numFmtId="9" fontId="0" fillId="36" borderId="46" xfId="55" applyFont="1" applyFill="1" applyBorder="1"/>
    <xf numFmtId="9" fontId="0" fillId="46" borderId="46" xfId="55" applyFont="1" applyFill="1" applyBorder="1"/>
    <xf numFmtId="9" fontId="0" fillId="48" borderId="46" xfId="55" applyFont="1" applyFill="1" applyBorder="1"/>
    <xf numFmtId="9" fontId="0" fillId="51" borderId="46" xfId="55" applyFont="1" applyFill="1" applyBorder="1"/>
    <xf numFmtId="9" fontId="0" fillId="0" borderId="0" xfId="55" applyFont="1" applyBorder="1"/>
    <xf numFmtId="9" fontId="0" fillId="36" borderId="0" xfId="55" applyFont="1" applyFill="1" applyBorder="1"/>
    <xf numFmtId="9" fontId="0" fillId="46" borderId="0" xfId="55" applyFont="1" applyFill="1" applyBorder="1"/>
    <xf numFmtId="9" fontId="0" fillId="48" borderId="0" xfId="55" applyFont="1" applyFill="1" applyBorder="1"/>
    <xf numFmtId="9" fontId="0" fillId="51" borderId="0" xfId="55" applyFont="1" applyFill="1" applyBorder="1"/>
    <xf numFmtId="167" fontId="16" fillId="0" borderId="0" xfId="0" applyNumberFormat="1" applyFont="1" applyBorder="1"/>
    <xf numFmtId="9" fontId="0" fillId="0" borderId="45" xfId="55" applyFont="1" applyBorder="1" applyAlignment="1">
      <alignment horizontal="right"/>
    </xf>
    <xf numFmtId="9" fontId="0" fillId="0" borderId="0" xfId="55" applyFont="1" applyBorder="1" applyAlignment="1">
      <alignment horizontal="right"/>
    </xf>
    <xf numFmtId="9" fontId="0" fillId="0" borderId="46" xfId="55" applyFont="1" applyBorder="1" applyAlignment="1">
      <alignment horizontal="right"/>
    </xf>
    <xf numFmtId="9" fontId="0" fillId="36" borderId="45" xfId="55" applyFont="1" applyFill="1" applyBorder="1" applyAlignment="1">
      <alignment horizontal="right"/>
    </xf>
    <xf numFmtId="9" fontId="0" fillId="36" borderId="0" xfId="55" applyFont="1" applyFill="1" applyBorder="1" applyAlignment="1">
      <alignment horizontal="right"/>
    </xf>
    <xf numFmtId="9" fontId="0" fillId="36" borderId="46" xfId="55" applyFont="1" applyFill="1" applyBorder="1" applyAlignment="1">
      <alignment horizontal="right"/>
    </xf>
    <xf numFmtId="9" fontId="0" fillId="46" borderId="45" xfId="55" applyFont="1" applyFill="1" applyBorder="1" applyAlignment="1">
      <alignment horizontal="right"/>
    </xf>
    <xf numFmtId="9" fontId="0" fillId="46" borderId="0" xfId="55" applyFont="1" applyFill="1" applyBorder="1" applyAlignment="1">
      <alignment horizontal="right"/>
    </xf>
    <xf numFmtId="9" fontId="0" fillId="46" borderId="46" xfId="55" applyFont="1" applyFill="1" applyBorder="1" applyAlignment="1">
      <alignment horizontal="right"/>
    </xf>
    <xf numFmtId="9" fontId="0" fillId="48" borderId="45" xfId="55" applyFont="1" applyFill="1" applyBorder="1" applyAlignment="1">
      <alignment horizontal="right"/>
    </xf>
    <xf numFmtId="9" fontId="0" fillId="48" borderId="0" xfId="55" applyFont="1" applyFill="1" applyBorder="1" applyAlignment="1">
      <alignment horizontal="right"/>
    </xf>
    <xf numFmtId="9" fontId="0" fillId="48" borderId="46" xfId="55" applyFont="1" applyFill="1" applyBorder="1" applyAlignment="1">
      <alignment horizontal="right"/>
    </xf>
    <xf numFmtId="9" fontId="0" fillId="51" borderId="45" xfId="55" applyFont="1" applyFill="1" applyBorder="1" applyAlignment="1">
      <alignment horizontal="right"/>
    </xf>
    <xf numFmtId="9" fontId="0" fillId="51" borderId="0" xfId="55" applyFont="1" applyFill="1" applyBorder="1" applyAlignment="1">
      <alignment horizontal="right"/>
    </xf>
    <xf numFmtId="9" fontId="0" fillId="51" borderId="46" xfId="55" applyFont="1" applyFill="1" applyBorder="1" applyAlignment="1">
      <alignment horizontal="right"/>
    </xf>
    <xf numFmtId="6" fontId="0" fillId="0" borderId="0" xfId="0" applyNumberFormat="1" applyBorder="1"/>
    <xf numFmtId="6" fontId="0" fillId="0" borderId="46" xfId="0" applyNumberFormat="1" applyBorder="1"/>
    <xf numFmtId="6" fontId="0" fillId="46" borderId="0" xfId="0" applyNumberFormat="1" applyFill="1" applyBorder="1"/>
    <xf numFmtId="167" fontId="16" fillId="57" borderId="0" xfId="0" applyNumberFormat="1" applyFont="1" applyFill="1"/>
    <xf numFmtId="6" fontId="0" fillId="46" borderId="45" xfId="0" applyNumberFormat="1" applyFill="1" applyBorder="1"/>
    <xf numFmtId="167" fontId="0" fillId="0" borderId="0" xfId="0" applyNumberFormat="1" applyAlignment="1">
      <alignment horizontal="right"/>
    </xf>
    <xf numFmtId="2" fontId="0" fillId="0" borderId="42" xfId="0" applyNumberFormat="1" applyFill="1" applyBorder="1" applyAlignment="1">
      <alignment horizontal="center" wrapText="1"/>
    </xf>
    <xf numFmtId="2" fontId="0" fillId="0" borderId="45" xfId="0" applyNumberFormat="1" applyFill="1" applyBorder="1"/>
    <xf numFmtId="2" fontId="0" fillId="48" borderId="45" xfId="0" applyNumberFormat="1" applyFill="1" applyBorder="1"/>
    <xf numFmtId="43" fontId="0" fillId="0" borderId="45" xfId="42" applyFont="1" applyFill="1" applyBorder="1"/>
    <xf numFmtId="43" fontId="0" fillId="36" borderId="45" xfId="42" applyFont="1" applyFill="1" applyBorder="1"/>
    <xf numFmtId="43" fontId="0" fillId="48" borderId="45" xfId="42" applyFont="1" applyFill="1" applyBorder="1"/>
    <xf numFmtId="43" fontId="0" fillId="51" borderId="45" xfId="42" applyFont="1" applyFill="1" applyBorder="1"/>
    <xf numFmtId="167" fontId="44" fillId="36" borderId="44" xfId="56" applyNumberFormat="1" applyFont="1" applyFill="1" applyBorder="1" applyAlignment="1">
      <alignment horizontal="center" vertical="center" wrapText="1"/>
    </xf>
    <xf numFmtId="164" fontId="0" fillId="48" borderId="0" xfId="0" applyNumberFormat="1" applyFill="1" applyAlignment="1">
      <alignment horizontal="center" wrapText="1"/>
    </xf>
    <xf numFmtId="166" fontId="0" fillId="0" borderId="0" xfId="42" applyNumberFormat="1" applyFont="1"/>
    <xf numFmtId="9" fontId="0" fillId="0" borderId="0" xfId="0" applyNumberFormat="1"/>
    <xf numFmtId="173" fontId="0" fillId="0" borderId="0" xfId="42" applyNumberFormat="1" applyFont="1"/>
    <xf numFmtId="0" fontId="16" fillId="0" borderId="0" xfId="0" applyFont="1"/>
    <xf numFmtId="166" fontId="16" fillId="0" borderId="0" xfId="42" applyNumberFormat="1" applyFont="1"/>
    <xf numFmtId="9" fontId="16" fillId="0" borderId="0" xfId="0" applyNumberFormat="1" applyFont="1"/>
    <xf numFmtId="166" fontId="16" fillId="0" borderId="0" xfId="42" applyNumberFormat="1" applyFont="1" applyBorder="1"/>
    <xf numFmtId="167" fontId="16" fillId="0" borderId="0" xfId="0" applyNumberFormat="1" applyFont="1" applyBorder="1" applyAlignment="1">
      <alignment horizontal="right"/>
    </xf>
    <xf numFmtId="167" fontId="43" fillId="50" borderId="0" xfId="0" applyNumberFormat="1" applyFont="1" applyFill="1" applyBorder="1"/>
    <xf numFmtId="10" fontId="16" fillId="0" borderId="0" xfId="0" applyNumberFormat="1" applyFont="1"/>
    <xf numFmtId="10" fontId="16" fillId="0" borderId="0" xfId="0" applyNumberFormat="1" applyFont="1" applyBorder="1"/>
    <xf numFmtId="164" fontId="16" fillId="0" borderId="0" xfId="0" applyNumberFormat="1" applyFont="1"/>
    <xf numFmtId="173" fontId="16" fillId="0" borderId="0" xfId="42" applyNumberFormat="1" applyFont="1" applyBorder="1" applyAlignment="1">
      <alignment horizontal="right"/>
    </xf>
    <xf numFmtId="0" fontId="16" fillId="48" borderId="0" xfId="0" applyFont="1" applyFill="1"/>
    <xf numFmtId="0" fontId="16" fillId="0" borderId="0" xfId="0" applyFont="1" applyAlignment="1">
      <alignment horizontal="center"/>
    </xf>
    <xf numFmtId="0" fontId="40" fillId="0" borderId="0" xfId="0" applyFont="1" applyAlignment="1">
      <alignment horizontal="left" vertical="center"/>
    </xf>
    <xf numFmtId="0" fontId="40" fillId="0" borderId="0" xfId="0" applyFont="1" applyAlignment="1">
      <alignment horizontal="center" vertical="center"/>
    </xf>
    <xf numFmtId="166" fontId="40" fillId="52" borderId="39" xfId="42" applyNumberFormat="1" applyFont="1" applyFill="1" applyBorder="1" applyAlignment="1">
      <alignment horizontal="center" vertical="center" wrapText="1"/>
    </xf>
    <xf numFmtId="173" fontId="40" fillId="49" borderId="39" xfId="42" applyNumberFormat="1" applyFont="1" applyFill="1" applyBorder="1" applyAlignment="1">
      <alignment horizontal="center" vertical="center" wrapText="1"/>
    </xf>
    <xf numFmtId="164" fontId="40" fillId="0" borderId="0" xfId="0" applyNumberFormat="1" applyFont="1" applyAlignment="1">
      <alignment horizontal="center" vertical="center"/>
    </xf>
    <xf numFmtId="0" fontId="40" fillId="48" borderId="0" xfId="0" applyFont="1" applyFill="1" applyAlignment="1">
      <alignment horizontal="center" vertical="center"/>
    </xf>
    <xf numFmtId="164" fontId="13" fillId="50" borderId="42" xfId="0" applyNumberFormat="1" applyFont="1" applyFill="1" applyBorder="1" applyAlignment="1">
      <alignment horizontal="centerContinuous"/>
    </xf>
    <xf numFmtId="164" fontId="17" fillId="50" borderId="43" xfId="0" applyNumberFormat="1" applyFont="1" applyFill="1" applyBorder="1" applyAlignment="1">
      <alignment horizontal="centerContinuous"/>
    </xf>
    <xf numFmtId="164" fontId="17" fillId="50" borderId="44" xfId="0" applyNumberFormat="1" applyFont="1" applyFill="1" applyBorder="1" applyAlignment="1">
      <alignment horizontal="centerContinuous"/>
    </xf>
    <xf numFmtId="164" fontId="13" fillId="48" borderId="42" xfId="0" applyNumberFormat="1" applyFont="1" applyFill="1" applyBorder="1" applyAlignment="1">
      <alignment horizontal="centerContinuous"/>
    </xf>
    <xf numFmtId="164" fontId="17" fillId="48" borderId="43" xfId="0" applyNumberFormat="1" applyFont="1" applyFill="1" applyBorder="1" applyAlignment="1">
      <alignment horizontal="centerContinuous"/>
    </xf>
    <xf numFmtId="164" fontId="17" fillId="48" borderId="44" xfId="0" applyNumberFormat="1" applyFont="1" applyFill="1" applyBorder="1" applyAlignment="1">
      <alignment horizontal="centerContinuous"/>
    </xf>
    <xf numFmtId="164" fontId="17" fillId="0" borderId="0" xfId="0" applyNumberFormat="1" applyFont="1" applyFill="1" applyBorder="1" applyAlignment="1">
      <alignment horizontal="centerContinuous"/>
    </xf>
    <xf numFmtId="164" fontId="17" fillId="48" borderId="53" xfId="0" applyNumberFormat="1" applyFont="1" applyFill="1" applyBorder="1" applyAlignment="1">
      <alignment horizontal="centerContinuous"/>
    </xf>
    <xf numFmtId="164" fontId="17" fillId="48" borderId="25" xfId="0" applyNumberFormat="1" applyFont="1" applyFill="1" applyBorder="1" applyAlignment="1">
      <alignment horizontal="centerContinuous"/>
    </xf>
    <xf numFmtId="164" fontId="13" fillId="48" borderId="45" xfId="0" applyNumberFormat="1" applyFont="1" applyFill="1" applyBorder="1" applyAlignment="1">
      <alignment horizontal="centerContinuous"/>
    </xf>
    <xf numFmtId="0" fontId="0" fillId="0" borderId="39" xfId="0" applyBorder="1" applyAlignment="1">
      <alignment horizontal="center" vertical="center" wrapText="1"/>
    </xf>
    <xf numFmtId="0" fontId="0" fillId="0" borderId="58" xfId="0" applyBorder="1" applyAlignment="1">
      <alignment horizontal="center" vertical="center" wrapText="1"/>
    </xf>
    <xf numFmtId="166" fontId="0" fillId="0" borderId="59" xfId="42" applyNumberFormat="1" applyFont="1" applyBorder="1" applyAlignment="1">
      <alignment horizontal="center" vertical="center" wrapText="1"/>
    </xf>
    <xf numFmtId="166" fontId="0" fillId="0" borderId="60" xfId="42" applyNumberFormat="1" applyFont="1" applyBorder="1" applyAlignment="1">
      <alignment horizontal="center" vertical="center" wrapText="1"/>
    </xf>
    <xf numFmtId="9" fontId="19" fillId="0" borderId="60" xfId="0" applyNumberFormat="1" applyFont="1" applyBorder="1" applyAlignment="1">
      <alignment horizontal="center" vertical="center" wrapText="1"/>
    </xf>
    <xf numFmtId="166" fontId="0" fillId="0" borderId="61" xfId="42" applyNumberFormat="1" applyFont="1" applyBorder="1" applyAlignment="1">
      <alignment horizontal="center" vertical="center" wrapText="1"/>
    </xf>
    <xf numFmtId="166" fontId="0" fillId="47" borderId="59" xfId="42" applyNumberFormat="1" applyFont="1" applyFill="1" applyBorder="1" applyAlignment="1">
      <alignment horizontal="center" vertical="center" wrapText="1"/>
    </xf>
    <xf numFmtId="166" fontId="0" fillId="47" borderId="60" xfId="42" applyNumberFormat="1" applyFont="1" applyFill="1" applyBorder="1" applyAlignment="1">
      <alignment horizontal="center" vertical="center" wrapText="1"/>
    </xf>
    <xf numFmtId="10" fontId="19" fillId="47" borderId="61" xfId="0" applyNumberFormat="1" applyFont="1" applyFill="1" applyBorder="1" applyAlignment="1">
      <alignment horizontal="center" vertical="center" wrapText="1"/>
    </xf>
    <xf numFmtId="167" fontId="0" fillId="0" borderId="59" xfId="0" applyNumberFormat="1" applyBorder="1" applyAlignment="1">
      <alignment horizontal="center" vertical="center"/>
    </xf>
    <xf numFmtId="167" fontId="0" fillId="0" borderId="60" xfId="0" applyNumberFormat="1" applyBorder="1" applyAlignment="1">
      <alignment horizontal="center" vertical="center"/>
    </xf>
    <xf numFmtId="167" fontId="0" fillId="0" borderId="61" xfId="0" applyNumberFormat="1" applyBorder="1" applyAlignment="1">
      <alignment horizontal="center" vertical="center"/>
    </xf>
    <xf numFmtId="167" fontId="0" fillId="47" borderId="62" xfId="0" applyNumberFormat="1" applyFill="1" applyBorder="1" applyAlignment="1">
      <alignment horizontal="center" vertical="center"/>
    </xf>
    <xf numFmtId="167" fontId="0" fillId="47" borderId="63" xfId="0" applyNumberFormat="1" applyFill="1" applyBorder="1" applyAlignment="1">
      <alignment horizontal="center" vertical="center" wrapText="1"/>
    </xf>
    <xf numFmtId="167" fontId="0" fillId="47" borderId="64" xfId="0" applyNumberFormat="1" applyFill="1" applyBorder="1" applyAlignment="1">
      <alignment horizontal="center" vertical="center" wrapText="1"/>
    </xf>
    <xf numFmtId="167" fontId="0" fillId="47" borderId="62" xfId="0" applyNumberFormat="1" applyFill="1" applyBorder="1" applyAlignment="1">
      <alignment horizontal="center" vertical="center" wrapText="1"/>
    </xf>
    <xf numFmtId="0" fontId="0" fillId="0" borderId="0" xfId="0" applyAlignment="1">
      <alignment horizontal="center" vertical="center"/>
    </xf>
    <xf numFmtId="167" fontId="0" fillId="47" borderId="65" xfId="0" applyNumberFormat="1" applyFill="1" applyBorder="1" applyAlignment="1">
      <alignment horizontal="center" vertical="center" wrapText="1"/>
    </xf>
    <xf numFmtId="167" fontId="0" fillId="47" borderId="24" xfId="0" applyNumberFormat="1" applyFill="1" applyBorder="1" applyAlignment="1">
      <alignment horizontal="center" vertical="center" wrapText="1"/>
    </xf>
    <xf numFmtId="0" fontId="19" fillId="0" borderId="65" xfId="0" applyFont="1" applyBorder="1" applyAlignment="1">
      <alignment horizontal="center" vertical="center"/>
    </xf>
    <xf numFmtId="0" fontId="19" fillId="0" borderId="63" xfId="0" applyFont="1" applyBorder="1" applyAlignment="1">
      <alignment horizontal="center" vertical="center" wrapText="1"/>
    </xf>
    <xf numFmtId="10" fontId="0" fillId="0" borderId="64" xfId="0" applyNumberFormat="1" applyBorder="1" applyAlignment="1">
      <alignment horizontal="center" vertical="center"/>
    </xf>
    <xf numFmtId="10" fontId="0" fillId="0" borderId="0" xfId="0" applyNumberFormat="1" applyBorder="1" applyAlignment="1">
      <alignment horizontal="center" vertical="center"/>
    </xf>
    <xf numFmtId="10" fontId="19" fillId="0" borderId="39" xfId="0" applyNumberFormat="1" applyFont="1" applyBorder="1" applyAlignment="1">
      <alignment horizontal="center" vertical="center" wrapText="1"/>
    </xf>
    <xf numFmtId="10" fontId="0" fillId="0" borderId="39" xfId="0" applyNumberFormat="1" applyBorder="1" applyAlignment="1">
      <alignment horizontal="center" vertical="center" wrapText="1"/>
    </xf>
    <xf numFmtId="0" fontId="0" fillId="0" borderId="39" xfId="0" applyBorder="1" applyAlignment="1">
      <alignment horizontal="center" vertical="center"/>
    </xf>
    <xf numFmtId="164" fontId="0" fillId="0" borderId="39" xfId="0" applyNumberFormat="1" applyBorder="1" applyAlignment="1">
      <alignment horizontal="center" vertical="center" wrapText="1"/>
    </xf>
    <xf numFmtId="0" fontId="0" fillId="0" borderId="0" xfId="0" applyAlignment="1">
      <alignment horizontal="center" vertical="center" wrapText="1"/>
    </xf>
    <xf numFmtId="164" fontId="0" fillId="0" borderId="0" xfId="0" applyNumberFormat="1" applyAlignment="1">
      <alignment horizontal="center" vertical="center"/>
    </xf>
    <xf numFmtId="164" fontId="0" fillId="0" borderId="0" xfId="0" applyNumberFormat="1" applyAlignment="1">
      <alignment horizontal="center" vertical="center" wrapText="1"/>
    </xf>
    <xf numFmtId="0" fontId="0" fillId="48" borderId="0" xfId="0" applyFill="1" applyAlignment="1">
      <alignment horizontal="center" vertical="center"/>
    </xf>
    <xf numFmtId="166" fontId="0" fillId="0" borderId="45" xfId="42" applyNumberFormat="1" applyFont="1" applyBorder="1"/>
    <xf numFmtId="166" fontId="0" fillId="0" borderId="0" xfId="42" applyNumberFormat="1" applyFont="1" applyBorder="1"/>
    <xf numFmtId="9" fontId="0" fillId="0" borderId="0" xfId="0" applyNumberFormat="1" applyBorder="1"/>
    <xf numFmtId="166" fontId="0" fillId="0" borderId="46" xfId="42" applyNumberFormat="1" applyFont="1" applyBorder="1"/>
    <xf numFmtId="173" fontId="0" fillId="0" borderId="45" xfId="42" applyNumberFormat="1" applyFont="1" applyBorder="1"/>
    <xf numFmtId="6" fontId="0" fillId="0" borderId="45" xfId="0" applyNumberFormat="1" applyBorder="1"/>
    <xf numFmtId="174" fontId="0" fillId="0" borderId="0" xfId="55" applyNumberFormat="1" applyFont="1" applyBorder="1"/>
    <xf numFmtId="9" fontId="1" fillId="0" borderId="45" xfId="55" applyFont="1" applyBorder="1" applyAlignment="1">
      <alignment horizontal="right"/>
    </xf>
    <xf numFmtId="9" fontId="1" fillId="0" borderId="0" xfId="55" applyFont="1" applyBorder="1" applyAlignment="1">
      <alignment horizontal="right"/>
    </xf>
    <xf numFmtId="9" fontId="1" fillId="0" borderId="46" xfId="55" applyFont="1" applyBorder="1" applyAlignment="1">
      <alignment horizontal="right"/>
    </xf>
    <xf numFmtId="166" fontId="0" fillId="36" borderId="45" xfId="42" applyNumberFormat="1" applyFont="1" applyFill="1" applyBorder="1"/>
    <xf numFmtId="166" fontId="0" fillId="36" borderId="0" xfId="42" applyNumberFormat="1" applyFont="1" applyFill="1" applyBorder="1"/>
    <xf numFmtId="9" fontId="0" fillId="36" borderId="0" xfId="0" applyNumberFormat="1" applyFill="1" applyBorder="1"/>
    <xf numFmtId="166" fontId="0" fillId="36" borderId="46" xfId="42" applyNumberFormat="1" applyFont="1" applyFill="1" applyBorder="1"/>
    <xf numFmtId="10" fontId="0" fillId="36" borderId="0" xfId="0" applyNumberFormat="1" applyFill="1"/>
    <xf numFmtId="173" fontId="0" fillId="36" borderId="45" xfId="42" applyNumberFormat="1" applyFont="1" applyFill="1" applyBorder="1"/>
    <xf numFmtId="6" fontId="0" fillId="36" borderId="0" xfId="0" applyNumberFormat="1" applyFill="1" applyBorder="1"/>
    <xf numFmtId="6" fontId="0" fillId="36" borderId="46" xfId="0" applyNumberFormat="1" applyFill="1" applyBorder="1"/>
    <xf numFmtId="6" fontId="0" fillId="36" borderId="45" xfId="0" applyNumberFormat="1" applyFill="1" applyBorder="1"/>
    <xf numFmtId="174" fontId="0" fillId="36" borderId="0" xfId="55" applyNumberFormat="1" applyFont="1" applyFill="1" applyBorder="1"/>
    <xf numFmtId="0" fontId="0" fillId="36" borderId="0" xfId="0" applyFill="1" applyAlignment="1">
      <alignment horizontal="center"/>
    </xf>
    <xf numFmtId="9" fontId="1" fillId="36" borderId="45" xfId="55" applyFont="1" applyFill="1" applyBorder="1" applyAlignment="1">
      <alignment horizontal="right"/>
    </xf>
    <xf numFmtId="9" fontId="1" fillId="36" borderId="0" xfId="55" applyFont="1" applyFill="1" applyBorder="1" applyAlignment="1">
      <alignment horizontal="right"/>
    </xf>
    <xf numFmtId="9" fontId="1" fillId="36" borderId="46" xfId="55" applyFont="1" applyFill="1" applyBorder="1" applyAlignment="1">
      <alignment horizontal="right"/>
    </xf>
    <xf numFmtId="0" fontId="0" fillId="52" borderId="0" xfId="0" applyNumberFormat="1" applyFill="1"/>
    <xf numFmtId="0" fontId="0" fillId="52" borderId="0" xfId="0" applyFill="1"/>
    <xf numFmtId="166" fontId="0" fillId="52" borderId="45" xfId="42" applyNumberFormat="1" applyFont="1" applyFill="1" applyBorder="1"/>
    <xf numFmtId="166" fontId="0" fillId="52" borderId="0" xfId="42" applyNumberFormat="1" applyFont="1" applyFill="1" applyBorder="1"/>
    <xf numFmtId="166" fontId="0" fillId="52" borderId="46" xfId="42" applyNumberFormat="1" applyFont="1" applyFill="1" applyBorder="1"/>
    <xf numFmtId="10" fontId="0" fillId="52" borderId="46" xfId="0" applyNumberFormat="1" applyFill="1" applyBorder="1"/>
    <xf numFmtId="167" fontId="0" fillId="52" borderId="45" xfId="0" applyNumberFormat="1" applyFill="1" applyBorder="1"/>
    <xf numFmtId="167" fontId="0" fillId="52" borderId="0" xfId="0" applyNumberFormat="1" applyFill="1" applyBorder="1"/>
    <xf numFmtId="167" fontId="0" fillId="52" borderId="46" xfId="0" applyNumberFormat="1" applyFill="1" applyBorder="1"/>
    <xf numFmtId="167" fontId="0" fillId="52" borderId="54" xfId="0" applyNumberFormat="1" applyFill="1" applyBorder="1"/>
    <xf numFmtId="9" fontId="0" fillId="52" borderId="46" xfId="55" applyFont="1" applyFill="1" applyBorder="1" applyAlignment="1">
      <alignment horizontal="right"/>
    </xf>
    <xf numFmtId="10" fontId="0" fillId="52" borderId="0" xfId="0" applyNumberFormat="1" applyFill="1"/>
    <xf numFmtId="10" fontId="0" fillId="52" borderId="0" xfId="0" applyNumberFormat="1" applyFill="1" applyBorder="1"/>
    <xf numFmtId="164" fontId="0" fillId="52" borderId="0" xfId="0" applyNumberFormat="1" applyFill="1"/>
    <xf numFmtId="173" fontId="0" fillId="52" borderId="45" xfId="42" applyNumberFormat="1" applyFont="1" applyFill="1" applyBorder="1"/>
    <xf numFmtId="6" fontId="0" fillId="52" borderId="0" xfId="0" applyNumberFormat="1" applyFill="1" applyBorder="1"/>
    <xf numFmtId="6" fontId="0" fillId="52" borderId="46" xfId="0" applyNumberFormat="1" applyFill="1" applyBorder="1"/>
    <xf numFmtId="6" fontId="0" fillId="52" borderId="45" xfId="0" applyNumberFormat="1" applyFill="1" applyBorder="1"/>
    <xf numFmtId="174" fontId="0" fillId="52" borderId="0" xfId="55" applyNumberFormat="1" applyFont="1" applyFill="1" applyBorder="1"/>
    <xf numFmtId="0" fontId="0" fillId="52" borderId="0" xfId="0" applyFill="1" applyAlignment="1">
      <alignment horizontal="center"/>
    </xf>
    <xf numFmtId="9" fontId="1" fillId="52" borderId="45" xfId="55" applyFont="1" applyFill="1" applyBorder="1" applyAlignment="1">
      <alignment horizontal="right"/>
    </xf>
    <xf numFmtId="9" fontId="1" fillId="52" borderId="0" xfId="55" applyFont="1" applyFill="1" applyBorder="1" applyAlignment="1">
      <alignment horizontal="right"/>
    </xf>
    <xf numFmtId="9" fontId="1" fillId="52" borderId="46" xfId="55" applyFont="1" applyFill="1" applyBorder="1" applyAlignment="1">
      <alignment horizontal="right"/>
    </xf>
    <xf numFmtId="0" fontId="16" fillId="52" borderId="0" xfId="0" applyNumberFormat="1" applyFont="1" applyFill="1"/>
    <xf numFmtId="0" fontId="16" fillId="52" borderId="0" xfId="0" applyFont="1" applyFill="1"/>
    <xf numFmtId="166" fontId="16" fillId="52" borderId="45" xfId="42" applyNumberFormat="1" applyFont="1" applyFill="1" applyBorder="1"/>
    <xf numFmtId="166" fontId="16" fillId="52" borderId="0" xfId="42" applyNumberFormat="1" applyFont="1" applyFill="1" applyBorder="1"/>
    <xf numFmtId="166" fontId="16" fillId="52" borderId="46" xfId="42" applyNumberFormat="1" applyFont="1" applyFill="1" applyBorder="1"/>
    <xf numFmtId="10" fontId="16" fillId="52" borderId="46" xfId="0" applyNumberFormat="1" applyFont="1" applyFill="1" applyBorder="1"/>
    <xf numFmtId="167" fontId="16" fillId="52" borderId="45" xfId="0" applyNumberFormat="1" applyFont="1" applyFill="1" applyBorder="1"/>
    <xf numFmtId="167" fontId="16" fillId="52" borderId="0" xfId="0" applyNumberFormat="1" applyFont="1" applyFill="1" applyBorder="1"/>
    <xf numFmtId="167" fontId="16" fillId="52" borderId="46" xfId="0" applyNumberFormat="1" applyFont="1" applyFill="1" applyBorder="1"/>
    <xf numFmtId="164" fontId="16" fillId="52" borderId="0" xfId="0" applyNumberFormat="1" applyFont="1" applyFill="1"/>
    <xf numFmtId="167" fontId="16" fillId="52" borderId="54" xfId="0" applyNumberFormat="1" applyFont="1" applyFill="1" applyBorder="1"/>
    <xf numFmtId="9" fontId="16" fillId="52" borderId="46" xfId="55" applyFont="1" applyFill="1" applyBorder="1" applyAlignment="1">
      <alignment horizontal="right"/>
    </xf>
    <xf numFmtId="10" fontId="16" fillId="52" borderId="0" xfId="0" applyNumberFormat="1" applyFont="1" applyFill="1"/>
    <xf numFmtId="10" fontId="16" fillId="52" borderId="0" xfId="0" applyNumberFormat="1" applyFont="1" applyFill="1" applyBorder="1"/>
    <xf numFmtId="6" fontId="16" fillId="52" borderId="46" xfId="0" applyNumberFormat="1" applyFont="1" applyFill="1" applyBorder="1"/>
    <xf numFmtId="6" fontId="16" fillId="52" borderId="45" xfId="0" applyNumberFormat="1" applyFont="1" applyFill="1" applyBorder="1"/>
    <xf numFmtId="174" fontId="16" fillId="52" borderId="0" xfId="55" applyNumberFormat="1" applyFont="1" applyFill="1" applyBorder="1"/>
    <xf numFmtId="0" fontId="16" fillId="52" borderId="0" xfId="0" applyFont="1" applyFill="1" applyAlignment="1">
      <alignment horizontal="center"/>
    </xf>
    <xf numFmtId="166" fontId="0" fillId="48" borderId="45" xfId="42" applyNumberFormat="1" applyFont="1" applyFill="1" applyBorder="1"/>
    <xf numFmtId="166" fontId="0" fillId="48" borderId="0" xfId="42" applyNumberFormat="1" applyFont="1" applyFill="1" applyBorder="1"/>
    <xf numFmtId="9" fontId="0" fillId="48" borderId="0" xfId="0" applyNumberFormat="1" applyFill="1" applyBorder="1"/>
    <xf numFmtId="166" fontId="0" fillId="48" borderId="46" xfId="42" applyNumberFormat="1" applyFont="1" applyFill="1" applyBorder="1"/>
    <xf numFmtId="10" fontId="0" fillId="48" borderId="0" xfId="0" applyNumberFormat="1" applyFill="1"/>
    <xf numFmtId="173" fontId="0" fillId="48" borderId="45" xfId="42" applyNumberFormat="1" applyFont="1" applyFill="1" applyBorder="1"/>
    <xf numFmtId="6" fontId="0" fillId="48" borderId="0" xfId="0" applyNumberFormat="1" applyFill="1" applyBorder="1"/>
    <xf numFmtId="6" fontId="0" fillId="48" borderId="46" xfId="0" applyNumberFormat="1" applyFill="1" applyBorder="1"/>
    <xf numFmtId="6" fontId="0" fillId="48" borderId="45" xfId="0" applyNumberFormat="1" applyFill="1" applyBorder="1"/>
    <xf numFmtId="174" fontId="0" fillId="48" borderId="0" xfId="55" applyNumberFormat="1" applyFont="1" applyFill="1" applyBorder="1"/>
    <xf numFmtId="0" fontId="0" fillId="48" borderId="0" xfId="0" applyFill="1" applyAlignment="1">
      <alignment horizontal="center"/>
    </xf>
    <xf numFmtId="9" fontId="1" fillId="48" borderId="45" xfId="55" applyFont="1" applyFill="1" applyBorder="1" applyAlignment="1">
      <alignment horizontal="right"/>
    </xf>
    <xf numFmtId="9" fontId="1" fillId="48" borderId="0" xfId="55" applyFont="1" applyFill="1" applyBorder="1" applyAlignment="1">
      <alignment horizontal="right"/>
    </xf>
    <xf numFmtId="9" fontId="1" fillId="48" borderId="46" xfId="55" applyFont="1" applyFill="1" applyBorder="1" applyAlignment="1">
      <alignment horizontal="right"/>
    </xf>
    <xf numFmtId="10" fontId="0" fillId="54" borderId="0" xfId="0" applyNumberFormat="1" applyFill="1"/>
    <xf numFmtId="10" fontId="0" fillId="54" borderId="0" xfId="0" applyNumberFormat="1" applyFill="1" applyBorder="1"/>
    <xf numFmtId="166" fontId="0" fillId="51" borderId="45" xfId="42" applyNumberFormat="1" applyFont="1" applyFill="1" applyBorder="1"/>
    <xf numFmtId="166" fontId="0" fillId="51" borderId="0" xfId="42" applyNumberFormat="1" applyFont="1" applyFill="1" applyBorder="1"/>
    <xf numFmtId="9" fontId="0" fillId="51" borderId="0" xfId="0" applyNumberFormat="1" applyFill="1" applyBorder="1"/>
    <xf numFmtId="166" fontId="0" fillId="51" borderId="46" xfId="42" applyNumberFormat="1" applyFont="1" applyFill="1" applyBorder="1"/>
    <xf numFmtId="10" fontId="0" fillId="51" borderId="0" xfId="0" applyNumberFormat="1" applyFill="1"/>
    <xf numFmtId="173" fontId="0" fillId="51" borderId="45" xfId="42" applyNumberFormat="1" applyFont="1" applyFill="1" applyBorder="1"/>
    <xf numFmtId="6" fontId="0" fillId="51" borderId="0" xfId="0" applyNumberFormat="1" applyFill="1" applyBorder="1"/>
    <xf numFmtId="6" fontId="0" fillId="51" borderId="46" xfId="0" applyNumberFormat="1" applyFill="1" applyBorder="1"/>
    <xf numFmtId="6" fontId="0" fillId="51" borderId="45" xfId="0" applyNumberFormat="1" applyFill="1" applyBorder="1"/>
    <xf numFmtId="174" fontId="0" fillId="51" borderId="0" xfId="55" applyNumberFormat="1" applyFont="1" applyFill="1" applyBorder="1"/>
    <xf numFmtId="0" fontId="0" fillId="51" borderId="0" xfId="0" applyFill="1" applyAlignment="1">
      <alignment horizontal="center"/>
    </xf>
    <xf numFmtId="9" fontId="1" fillId="51" borderId="45" xfId="55" applyFont="1" applyFill="1" applyBorder="1" applyAlignment="1">
      <alignment horizontal="right"/>
    </xf>
    <xf numFmtId="9" fontId="1" fillId="51" borderId="0" xfId="55" applyFont="1" applyFill="1" applyBorder="1" applyAlignment="1">
      <alignment horizontal="right"/>
    </xf>
    <xf numFmtId="9" fontId="1" fillId="51" borderId="46" xfId="55" applyFont="1" applyFill="1" applyBorder="1" applyAlignment="1">
      <alignment horizontal="right"/>
    </xf>
    <xf numFmtId="10" fontId="0" fillId="0" borderId="0" xfId="0" applyNumberFormat="1" applyFill="1" applyBorder="1"/>
    <xf numFmtId="166" fontId="0" fillId="43" borderId="45" xfId="42" applyNumberFormat="1" applyFont="1" applyFill="1" applyBorder="1"/>
    <xf numFmtId="166" fontId="0" fillId="43" borderId="0" xfId="42" applyNumberFormat="1" applyFont="1" applyFill="1" applyBorder="1"/>
    <xf numFmtId="166" fontId="0" fillId="43" borderId="46" xfId="42" applyNumberFormat="1" applyFont="1" applyFill="1" applyBorder="1"/>
    <xf numFmtId="10" fontId="0" fillId="43" borderId="46" xfId="0" applyNumberFormat="1" applyFill="1" applyBorder="1"/>
    <xf numFmtId="167" fontId="0" fillId="43" borderId="45" xfId="0" applyNumberFormat="1" applyFill="1" applyBorder="1"/>
    <xf numFmtId="167" fontId="0" fillId="43" borderId="0" xfId="0" applyNumberFormat="1" applyFill="1" applyBorder="1"/>
    <xf numFmtId="167" fontId="0" fillId="43" borderId="46" xfId="0" applyNumberFormat="1" applyFill="1" applyBorder="1"/>
    <xf numFmtId="164" fontId="0" fillId="43" borderId="0" xfId="0" applyNumberFormat="1" applyFill="1"/>
    <xf numFmtId="167" fontId="0" fillId="43" borderId="54" xfId="0" applyNumberFormat="1" applyFill="1" applyBorder="1"/>
    <xf numFmtId="9" fontId="0" fillId="43" borderId="46" xfId="55" applyFont="1" applyFill="1" applyBorder="1" applyAlignment="1">
      <alignment horizontal="right"/>
    </xf>
    <xf numFmtId="10" fontId="0" fillId="43" borderId="0" xfId="0" applyNumberFormat="1" applyFill="1"/>
    <xf numFmtId="10" fontId="0" fillId="43" borderId="0" xfId="0" applyNumberFormat="1" applyFill="1" applyBorder="1"/>
    <xf numFmtId="173" fontId="0" fillId="43" borderId="45" xfId="42" applyNumberFormat="1" applyFont="1" applyFill="1" applyBorder="1"/>
    <xf numFmtId="6" fontId="0" fillId="43" borderId="0" xfId="0" applyNumberFormat="1" applyFill="1" applyBorder="1"/>
    <xf numFmtId="6" fontId="0" fillId="43" borderId="46" xfId="0" applyNumberFormat="1" applyFill="1" applyBorder="1"/>
    <xf numFmtId="6" fontId="0" fillId="43" borderId="45" xfId="0" applyNumberFormat="1" applyFill="1" applyBorder="1"/>
    <xf numFmtId="174" fontId="0" fillId="43" borderId="0" xfId="55" applyNumberFormat="1" applyFont="1" applyFill="1" applyBorder="1"/>
    <xf numFmtId="0" fontId="0" fillId="43" borderId="0" xfId="0" applyFill="1" applyAlignment="1">
      <alignment horizontal="center"/>
    </xf>
    <xf numFmtId="9" fontId="1" fillId="43" borderId="45" xfId="55" applyFont="1" applyFill="1" applyBorder="1" applyAlignment="1">
      <alignment horizontal="right"/>
    </xf>
    <xf numFmtId="9" fontId="1" fillId="43" borderId="0" xfId="55" applyFont="1" applyFill="1" applyBorder="1" applyAlignment="1">
      <alignment horizontal="right"/>
    </xf>
    <xf numFmtId="9" fontId="1" fillId="43" borderId="46" xfId="55" applyFont="1" applyFill="1" applyBorder="1" applyAlignment="1">
      <alignment horizontal="right"/>
    </xf>
    <xf numFmtId="0" fontId="0" fillId="43" borderId="0" xfId="0" applyNumberFormat="1" applyFill="1"/>
    <xf numFmtId="164" fontId="0" fillId="52" borderId="0" xfId="0" applyNumberFormat="1" applyFill="1" applyBorder="1"/>
    <xf numFmtId="164" fontId="0" fillId="52" borderId="46" xfId="0" applyNumberFormat="1" applyFill="1" applyBorder="1"/>
    <xf numFmtId="164" fontId="0" fillId="48" borderId="46" xfId="0" applyNumberFormat="1" applyFill="1" applyBorder="1"/>
    <xf numFmtId="164" fontId="0" fillId="0" borderId="46" xfId="0" applyNumberFormat="1" applyBorder="1"/>
    <xf numFmtId="164" fontId="0" fillId="0" borderId="45" xfId="0" applyNumberFormat="1" applyBorder="1"/>
    <xf numFmtId="164" fontId="0" fillId="0" borderId="54" xfId="0" applyNumberFormat="1" applyBorder="1"/>
    <xf numFmtId="0" fontId="16" fillId="55" borderId="0" xfId="0" applyFont="1" applyFill="1"/>
    <xf numFmtId="164" fontId="16" fillId="55" borderId="0" xfId="0" applyNumberFormat="1" applyFont="1" applyFill="1"/>
    <xf numFmtId="166" fontId="16" fillId="55" borderId="45" xfId="42" applyNumberFormat="1" applyFont="1" applyFill="1" applyBorder="1"/>
    <xf numFmtId="166" fontId="16" fillId="55" borderId="0" xfId="42" applyNumberFormat="1" applyFont="1" applyFill="1" applyBorder="1"/>
    <xf numFmtId="9" fontId="16" fillId="55" borderId="0" xfId="0" applyNumberFormat="1" applyFont="1" applyFill="1" applyBorder="1"/>
    <xf numFmtId="166" fontId="16" fillId="55" borderId="46" xfId="42" applyNumberFormat="1" applyFont="1" applyFill="1" applyBorder="1"/>
    <xf numFmtId="166" fontId="16" fillId="55" borderId="45" xfId="42" applyNumberFormat="1" applyFont="1" applyFill="1" applyBorder="1" applyAlignment="1">
      <alignment horizontal="right"/>
    </xf>
    <xf numFmtId="166" fontId="16" fillId="55" borderId="0" xfId="42" applyNumberFormat="1" applyFont="1" applyFill="1" applyBorder="1" applyAlignment="1">
      <alignment horizontal="right"/>
    </xf>
    <xf numFmtId="10" fontId="16" fillId="55" borderId="46" xfId="0" applyNumberFormat="1" applyFont="1" applyFill="1" applyBorder="1"/>
    <xf numFmtId="167" fontId="16" fillId="55" borderId="45" xfId="0" applyNumberFormat="1" applyFont="1" applyFill="1" applyBorder="1" applyAlignment="1">
      <alignment horizontal="right"/>
    </xf>
    <xf numFmtId="167" fontId="16" fillId="55" borderId="0" xfId="0" applyNumberFormat="1" applyFont="1" applyFill="1" applyBorder="1" applyAlignment="1">
      <alignment horizontal="right"/>
    </xf>
    <xf numFmtId="167" fontId="16" fillId="55" borderId="46" xfId="0" applyNumberFormat="1" applyFont="1" applyFill="1" applyBorder="1" applyAlignment="1">
      <alignment horizontal="right"/>
    </xf>
    <xf numFmtId="167" fontId="16" fillId="55" borderId="54" xfId="0" applyNumberFormat="1" applyFont="1" applyFill="1" applyBorder="1" applyAlignment="1">
      <alignment horizontal="right"/>
    </xf>
    <xf numFmtId="167" fontId="16" fillId="55" borderId="45" xfId="0" applyNumberFormat="1" applyFont="1" applyFill="1" applyBorder="1"/>
    <xf numFmtId="167" fontId="16" fillId="55" borderId="0" xfId="0" applyNumberFormat="1" applyFont="1" applyFill="1" applyBorder="1"/>
    <xf numFmtId="167" fontId="16" fillId="55" borderId="46" xfId="0" applyNumberFormat="1" applyFont="1" applyFill="1" applyBorder="1"/>
    <xf numFmtId="10" fontId="16" fillId="55" borderId="0" xfId="0" applyNumberFormat="1" applyFont="1" applyFill="1"/>
    <xf numFmtId="10" fontId="16" fillId="55" borderId="0" xfId="0" applyNumberFormat="1" applyFont="1" applyFill="1" applyBorder="1"/>
    <xf numFmtId="173" fontId="16" fillId="55" borderId="45" xfId="42" applyNumberFormat="1" applyFont="1" applyFill="1" applyBorder="1"/>
    <xf numFmtId="0" fontId="16" fillId="55" borderId="0" xfId="0" applyFont="1" applyFill="1" applyAlignment="1">
      <alignment horizontal="center"/>
    </xf>
    <xf numFmtId="0" fontId="16" fillId="55" borderId="45" xfId="0" applyFont="1" applyFill="1" applyBorder="1"/>
    <xf numFmtId="0" fontId="16" fillId="55" borderId="0" xfId="0" applyFont="1" applyFill="1" applyBorder="1"/>
    <xf numFmtId="0" fontId="16" fillId="55" borderId="46" xfId="0" applyFont="1" applyFill="1" applyBorder="1"/>
    <xf numFmtId="166" fontId="0" fillId="0" borderId="47" xfId="42" applyNumberFormat="1" applyFont="1" applyBorder="1"/>
    <xf numFmtId="166" fontId="0" fillId="0" borderId="48" xfId="42" applyNumberFormat="1" applyFont="1" applyBorder="1"/>
    <xf numFmtId="9" fontId="0" fillId="0" borderId="48" xfId="0" applyNumberFormat="1" applyBorder="1"/>
    <xf numFmtId="166" fontId="0" fillId="0" borderId="49" xfId="42" applyNumberFormat="1" applyFont="1" applyBorder="1"/>
    <xf numFmtId="10" fontId="0" fillId="0" borderId="49" xfId="0" applyNumberFormat="1" applyBorder="1"/>
    <xf numFmtId="164" fontId="0" fillId="0" borderId="47" xfId="0" applyNumberFormat="1" applyBorder="1"/>
    <xf numFmtId="164" fontId="0" fillId="0" borderId="49" xfId="0" applyNumberFormat="1" applyBorder="1"/>
    <xf numFmtId="164" fontId="0" fillId="0" borderId="55" xfId="0" applyNumberFormat="1" applyBorder="1"/>
    <xf numFmtId="167" fontId="0" fillId="0" borderId="47" xfId="0" applyNumberFormat="1" applyBorder="1"/>
    <xf numFmtId="167" fontId="0" fillId="0" borderId="48" xfId="0" applyNumberFormat="1" applyBorder="1"/>
    <xf numFmtId="167" fontId="0" fillId="0" borderId="49" xfId="0" applyNumberFormat="1" applyBorder="1"/>
    <xf numFmtId="173" fontId="0" fillId="0" borderId="47" xfId="42" applyNumberFormat="1" applyFont="1" applyBorder="1"/>
    <xf numFmtId="0" fontId="45" fillId="0" borderId="0" xfId="0" applyFont="1"/>
    <xf numFmtId="167" fontId="20" fillId="0" borderId="0" xfId="0" applyNumberFormat="1" applyFont="1"/>
    <xf numFmtId="0" fontId="46" fillId="49" borderId="42" xfId="0" applyFont="1" applyFill="1" applyBorder="1" applyAlignment="1">
      <alignment horizontal="centerContinuous"/>
    </xf>
    <xf numFmtId="0" fontId="46" fillId="49" borderId="43" xfId="0" applyFont="1" applyFill="1" applyBorder="1" applyAlignment="1">
      <alignment horizontal="centerContinuous"/>
    </xf>
    <xf numFmtId="0" fontId="46" fillId="49" borderId="44" xfId="0" applyFont="1" applyFill="1" applyBorder="1" applyAlignment="1">
      <alignment horizontal="centerContinuous"/>
    </xf>
    <xf numFmtId="0" fontId="46" fillId="49" borderId="56" xfId="0" applyFont="1" applyFill="1" applyBorder="1" applyAlignment="1">
      <alignment horizontal="centerContinuous"/>
    </xf>
    <xf numFmtId="0" fontId="20" fillId="49" borderId="57" xfId="0" applyFont="1" applyFill="1" applyBorder="1" applyAlignment="1">
      <alignment horizontal="centerContinuous"/>
    </xf>
    <xf numFmtId="0" fontId="20" fillId="49" borderId="25" xfId="0" applyFont="1" applyFill="1" applyBorder="1" applyAlignment="1">
      <alignment horizontal="centerContinuous"/>
    </xf>
    <xf numFmtId="0" fontId="20" fillId="49" borderId="24" xfId="0" applyFont="1" applyFill="1" applyBorder="1"/>
    <xf numFmtId="164" fontId="47" fillId="53" borderId="56" xfId="0" applyNumberFormat="1" applyFont="1" applyFill="1" applyBorder="1" applyAlignment="1">
      <alignment horizontal="centerContinuous"/>
    </xf>
    <xf numFmtId="164" fontId="47" fillId="53" borderId="57" xfId="0" applyNumberFormat="1" applyFont="1" applyFill="1" applyBorder="1" applyAlignment="1">
      <alignment horizontal="centerContinuous"/>
    </xf>
    <xf numFmtId="164" fontId="48" fillId="53" borderId="57" xfId="0" applyNumberFormat="1" applyFont="1" applyFill="1" applyBorder="1" applyAlignment="1">
      <alignment horizontal="centerContinuous"/>
    </xf>
    <xf numFmtId="164" fontId="48" fillId="53" borderId="25" xfId="0" applyNumberFormat="1" applyFont="1" applyFill="1" applyBorder="1" applyAlignment="1">
      <alignment horizontal="centerContinuous"/>
    </xf>
    <xf numFmtId="0" fontId="20" fillId="0" borderId="0" xfId="0" applyFont="1" applyAlignment="1">
      <alignment horizontal="center" vertical="center"/>
    </xf>
    <xf numFmtId="0" fontId="20" fillId="0" borderId="42" xfId="0" applyFont="1" applyBorder="1" applyAlignment="1">
      <alignment horizontal="center" vertical="center"/>
    </xf>
    <xf numFmtId="0" fontId="20" fillId="0" borderId="44" xfId="0" applyFont="1" applyBorder="1" applyAlignment="1">
      <alignment horizontal="center" vertical="center"/>
    </xf>
    <xf numFmtId="167" fontId="20" fillId="0" borderId="65" xfId="0" applyNumberFormat="1" applyFont="1" applyFill="1" applyBorder="1" applyAlignment="1">
      <alignment horizontal="center" vertical="center" wrapText="1"/>
    </xf>
    <xf numFmtId="167" fontId="20" fillId="0" borderId="63" xfId="0" applyNumberFormat="1" applyFont="1" applyFill="1" applyBorder="1" applyAlignment="1">
      <alignment horizontal="center" vertical="center" wrapText="1"/>
    </xf>
    <xf numFmtId="167" fontId="20" fillId="0" borderId="64" xfId="0" applyNumberFormat="1" applyFont="1" applyFill="1" applyBorder="1" applyAlignment="1">
      <alignment horizontal="center" vertical="center" wrapText="1"/>
    </xf>
    <xf numFmtId="167" fontId="21" fillId="0" borderId="45" xfId="0" applyNumberFormat="1" applyFont="1" applyFill="1" applyBorder="1" applyAlignment="1">
      <alignment horizontal="center" vertical="center" wrapText="1"/>
    </xf>
    <xf numFmtId="167" fontId="21" fillId="0" borderId="0" xfId="0" applyNumberFormat="1" applyFont="1" applyFill="1" applyBorder="1" applyAlignment="1">
      <alignment horizontal="center" vertical="center" wrapText="1"/>
    </xf>
    <xf numFmtId="167" fontId="21" fillId="0" borderId="46" xfId="0" applyNumberFormat="1" applyFont="1" applyFill="1" applyBorder="1" applyAlignment="1">
      <alignment horizontal="center" vertical="center" wrapText="1"/>
    </xf>
    <xf numFmtId="167" fontId="21" fillId="0" borderId="54" xfId="0" applyNumberFormat="1" applyFont="1" applyFill="1" applyBorder="1" applyAlignment="1">
      <alignment horizontal="center" vertical="center" wrapText="1"/>
    </xf>
    <xf numFmtId="9" fontId="41" fillId="0" borderId="66" xfId="55" applyFont="1" applyFill="1" applyBorder="1" applyAlignment="1">
      <alignment horizontal="center" vertical="center" wrapText="1"/>
    </xf>
    <xf numFmtId="167" fontId="41" fillId="0" borderId="67" xfId="60" applyNumberFormat="1" applyFont="1" applyFill="1" applyBorder="1" applyAlignment="1">
      <alignment horizontal="center" vertical="center" wrapText="1"/>
    </xf>
    <xf numFmtId="167" fontId="41" fillId="0" borderId="68" xfId="60" applyNumberFormat="1" applyFont="1" applyFill="1" applyBorder="1" applyAlignment="1">
      <alignment horizontal="center" vertical="center" wrapText="1"/>
    </xf>
    <xf numFmtId="167" fontId="41" fillId="0" borderId="61" xfId="60" applyNumberFormat="1" applyFont="1" applyFill="1" applyBorder="1" applyAlignment="1">
      <alignment horizontal="center" vertical="center" wrapText="1"/>
    </xf>
    <xf numFmtId="167" fontId="41" fillId="0" borderId="69" xfId="60" applyNumberFormat="1" applyFont="1" applyFill="1" applyBorder="1" applyAlignment="1">
      <alignment horizontal="center" vertical="center" wrapText="1"/>
    </xf>
    <xf numFmtId="167" fontId="41" fillId="0" borderId="60" xfId="60" applyNumberFormat="1" applyFont="1" applyFill="1" applyBorder="1" applyAlignment="1">
      <alignment horizontal="center" vertical="center" wrapText="1"/>
    </xf>
    <xf numFmtId="167" fontId="41" fillId="0" borderId="59" xfId="60" applyNumberFormat="1" applyFont="1" applyFill="1" applyBorder="1" applyAlignment="1">
      <alignment horizontal="center" vertical="center" wrapText="1"/>
    </xf>
    <xf numFmtId="167" fontId="41" fillId="36" borderId="61" xfId="60" applyNumberFormat="1" applyFont="1" applyFill="1" applyBorder="1" applyAlignment="1">
      <alignment horizontal="center" vertical="center" wrapText="1"/>
    </xf>
    <xf numFmtId="0" fontId="20" fillId="0" borderId="45" xfId="0" applyFont="1" applyBorder="1"/>
    <xf numFmtId="0" fontId="20" fillId="0" borderId="46" xfId="0" applyFont="1" applyBorder="1"/>
    <xf numFmtId="166" fontId="20" fillId="0" borderId="45" xfId="42" applyNumberFormat="1" applyFont="1" applyBorder="1"/>
    <xf numFmtId="166" fontId="20" fillId="0" borderId="0" xfId="42" applyNumberFormat="1" applyFont="1" applyBorder="1"/>
    <xf numFmtId="166" fontId="20" fillId="0" borderId="46" xfId="0" applyNumberFormat="1" applyFont="1" applyBorder="1"/>
    <xf numFmtId="0" fontId="20" fillId="0" borderId="45" xfId="0" applyFont="1" applyBorder="1" applyAlignment="1">
      <alignment horizontal="center"/>
    </xf>
    <xf numFmtId="0" fontId="20" fillId="0" borderId="0" xfId="0" applyFont="1" applyBorder="1" applyAlignment="1">
      <alignment horizontal="center"/>
    </xf>
    <xf numFmtId="0" fontId="20" fillId="0" borderId="46" xfId="0" applyFont="1" applyBorder="1" applyAlignment="1">
      <alignment horizontal="center"/>
    </xf>
    <xf numFmtId="9" fontId="20" fillId="0" borderId="54" xfId="55" applyFont="1" applyBorder="1"/>
    <xf numFmtId="166" fontId="20" fillId="0" borderId="46" xfId="42" applyNumberFormat="1" applyFont="1" applyBorder="1"/>
    <xf numFmtId="167" fontId="20" fillId="0" borderId="45" xfId="0" applyNumberFormat="1" applyFont="1" applyFill="1" applyBorder="1"/>
    <xf numFmtId="167" fontId="20" fillId="0" borderId="0" xfId="0" applyNumberFormat="1" applyFont="1" applyFill="1" applyBorder="1"/>
    <xf numFmtId="6" fontId="20" fillId="0" borderId="0" xfId="0" applyNumberFormat="1" applyFont="1" applyFill="1" applyBorder="1"/>
    <xf numFmtId="167" fontId="20" fillId="0" borderId="46" xfId="0" applyNumberFormat="1" applyFont="1" applyFill="1" applyBorder="1"/>
    <xf numFmtId="0" fontId="20" fillId="0" borderId="0" xfId="0" applyFont="1" applyBorder="1"/>
    <xf numFmtId="0" fontId="20" fillId="0" borderId="45" xfId="0" applyFont="1" applyFill="1" applyBorder="1"/>
    <xf numFmtId="0" fontId="20" fillId="0" borderId="0" xfId="0" applyFont="1" applyFill="1" applyBorder="1"/>
    <xf numFmtId="0" fontId="20" fillId="0" borderId="46" xfId="0" applyFont="1" applyFill="1" applyBorder="1"/>
    <xf numFmtId="167" fontId="20" fillId="0" borderId="45" xfId="0" applyNumberFormat="1" applyFont="1" applyBorder="1"/>
    <xf numFmtId="167" fontId="20" fillId="0" borderId="0" xfId="0" applyNumberFormat="1" applyFont="1" applyBorder="1"/>
    <xf numFmtId="167" fontId="20" fillId="0" borderId="46" xfId="0" applyNumberFormat="1" applyFont="1" applyBorder="1"/>
    <xf numFmtId="0" fontId="20" fillId="0" borderId="47" xfId="0" applyFont="1" applyBorder="1"/>
    <xf numFmtId="0" fontId="20" fillId="0" borderId="49" xfId="0" applyFont="1" applyBorder="1"/>
    <xf numFmtId="0" fontId="20" fillId="0" borderId="48" xfId="0" applyFont="1" applyBorder="1"/>
    <xf numFmtId="9" fontId="20" fillId="0" borderId="55" xfId="55" applyFont="1" applyBorder="1"/>
    <xf numFmtId="0" fontId="20" fillId="0" borderId="47" xfId="0" applyFont="1" applyFill="1" applyBorder="1"/>
    <xf numFmtId="0" fontId="20" fillId="0" borderId="48" xfId="0" applyFont="1" applyFill="1" applyBorder="1"/>
    <xf numFmtId="0" fontId="20" fillId="0" borderId="49" xfId="0" applyFont="1" applyFill="1" applyBorder="1"/>
    <xf numFmtId="43" fontId="20" fillId="0" borderId="0" xfId="42" applyFont="1"/>
    <xf numFmtId="0" fontId="20" fillId="36" borderId="45" xfId="0" applyFont="1" applyFill="1" applyBorder="1"/>
    <xf numFmtId="0" fontId="20" fillId="36" borderId="46" xfId="0" applyFont="1" applyFill="1" applyBorder="1"/>
    <xf numFmtId="0" fontId="0" fillId="58" borderId="0" xfId="0" applyNumberFormat="1" applyFill="1"/>
    <xf numFmtId="0" fontId="0" fillId="58" borderId="0" xfId="0" applyFill="1"/>
    <xf numFmtId="0" fontId="0" fillId="58" borderId="0" xfId="0" applyFill="1" applyBorder="1"/>
    <xf numFmtId="0" fontId="0" fillId="58" borderId="46" xfId="0" applyFill="1" applyBorder="1"/>
    <xf numFmtId="10" fontId="0" fillId="58" borderId="46" xfId="0" applyNumberFormat="1" applyFill="1" applyBorder="1"/>
    <xf numFmtId="167" fontId="0" fillId="58" borderId="45" xfId="0" applyNumberFormat="1" applyFill="1" applyBorder="1"/>
    <xf numFmtId="167" fontId="0" fillId="58" borderId="0" xfId="0" applyNumberFormat="1" applyFill="1" applyBorder="1"/>
    <xf numFmtId="167" fontId="0" fillId="58" borderId="46" xfId="0" applyNumberFormat="1" applyFill="1" applyBorder="1"/>
    <xf numFmtId="9" fontId="0" fillId="58" borderId="0" xfId="55" applyFont="1" applyFill="1" applyBorder="1"/>
    <xf numFmtId="167" fontId="0" fillId="58" borderId="54" xfId="0" applyNumberFormat="1" applyFill="1" applyBorder="1"/>
    <xf numFmtId="9" fontId="0" fillId="58" borderId="46" xfId="55" applyFont="1" applyFill="1" applyBorder="1"/>
    <xf numFmtId="9" fontId="0" fillId="58" borderId="45" xfId="55" applyFont="1" applyFill="1" applyBorder="1" applyAlignment="1">
      <alignment horizontal="right"/>
    </xf>
    <xf numFmtId="164" fontId="0" fillId="58" borderId="0" xfId="0" applyNumberFormat="1" applyFill="1" applyBorder="1"/>
    <xf numFmtId="43" fontId="0" fillId="58" borderId="45" xfId="42" applyFont="1" applyFill="1" applyBorder="1"/>
    <xf numFmtId="164" fontId="0" fillId="58" borderId="0" xfId="0" applyNumberFormat="1" applyFill="1"/>
    <xf numFmtId="0" fontId="0" fillId="58" borderId="45" xfId="0" applyFill="1" applyBorder="1" applyAlignment="1">
      <alignment horizontal="center"/>
    </xf>
    <xf numFmtId="0" fontId="0" fillId="58" borderId="0" xfId="0" applyFill="1" applyBorder="1" applyAlignment="1">
      <alignment horizontal="center"/>
    </xf>
    <xf numFmtId="0" fontId="0" fillId="58" borderId="46" xfId="0" applyFill="1" applyBorder="1" applyAlignment="1">
      <alignment horizontal="center"/>
    </xf>
    <xf numFmtId="9" fontId="0" fillId="58" borderId="0" xfId="55" applyFont="1" applyFill="1" applyBorder="1" applyAlignment="1">
      <alignment horizontal="right"/>
    </xf>
    <xf numFmtId="9" fontId="0" fillId="58" borderId="46" xfId="55" applyFont="1" applyFill="1" applyBorder="1" applyAlignment="1">
      <alignment horizontal="right"/>
    </xf>
    <xf numFmtId="0" fontId="0" fillId="58" borderId="54" xfId="0" applyFill="1" applyBorder="1" applyAlignment="1">
      <alignment horizontal="center"/>
    </xf>
    <xf numFmtId="0" fontId="20" fillId="36" borderId="0" xfId="0" applyFont="1" applyFill="1"/>
    <xf numFmtId="166" fontId="20" fillId="36" borderId="45" xfId="42" applyNumberFormat="1" applyFont="1" applyFill="1" applyBorder="1"/>
    <xf numFmtId="166" fontId="20" fillId="36" borderId="0" xfId="42" applyNumberFormat="1" applyFont="1" applyFill="1" applyBorder="1"/>
    <xf numFmtId="166" fontId="20" fillId="36" borderId="46" xfId="0" applyNumberFormat="1" applyFont="1" applyFill="1" applyBorder="1"/>
    <xf numFmtId="0" fontId="20" fillId="36" borderId="45" xfId="0" applyFont="1" applyFill="1" applyBorder="1" applyAlignment="1">
      <alignment horizontal="center"/>
    </xf>
    <xf numFmtId="0" fontId="20" fillId="36" borderId="0" xfId="0" applyFont="1" applyFill="1" applyBorder="1" applyAlignment="1">
      <alignment horizontal="center"/>
    </xf>
    <xf numFmtId="0" fontId="20" fillId="36" borderId="46" xfId="0" applyFont="1" applyFill="1" applyBorder="1" applyAlignment="1">
      <alignment horizontal="center"/>
    </xf>
    <xf numFmtId="9" fontId="20" fillId="36" borderId="54" xfId="55" applyFont="1" applyFill="1" applyBorder="1"/>
    <xf numFmtId="166" fontId="20" fillId="36" borderId="46" xfId="42" applyNumberFormat="1" applyFont="1" applyFill="1" applyBorder="1"/>
    <xf numFmtId="167" fontId="20" fillId="36" borderId="45" xfId="0" applyNumberFormat="1" applyFont="1" applyFill="1" applyBorder="1"/>
    <xf numFmtId="167" fontId="20" fillId="36" borderId="0" xfId="0" applyNumberFormat="1" applyFont="1" applyFill="1" applyBorder="1"/>
    <xf numFmtId="6" fontId="20" fillId="36" borderId="0" xfId="0" applyNumberFormat="1" applyFont="1" applyFill="1" applyBorder="1"/>
    <xf numFmtId="167" fontId="20" fillId="36" borderId="46" xfId="0" applyNumberFormat="1" applyFont="1" applyFill="1" applyBorder="1"/>
    <xf numFmtId="167" fontId="40" fillId="52" borderId="59" xfId="42" applyNumberFormat="1" applyFont="1" applyFill="1" applyBorder="1" applyAlignment="1">
      <alignment horizontal="center" vertical="center" wrapText="1"/>
    </xf>
    <xf numFmtId="167" fontId="40" fillId="52" borderId="60" xfId="42" applyNumberFormat="1" applyFont="1" applyFill="1" applyBorder="1" applyAlignment="1">
      <alignment horizontal="center" vertical="center" wrapText="1"/>
    </xf>
    <xf numFmtId="167" fontId="40" fillId="52" borderId="61" xfId="42" applyNumberFormat="1" applyFont="1" applyFill="1" applyBorder="1" applyAlignment="1">
      <alignment horizontal="center" vertical="center" wrapText="1"/>
    </xf>
    <xf numFmtId="0" fontId="0" fillId="0" borderId="0" xfId="0" applyAlignment="1">
      <alignment horizontal="center"/>
    </xf>
    <xf numFmtId="0" fontId="0" fillId="44" borderId="0" xfId="0" applyNumberFormat="1" applyFill="1"/>
    <xf numFmtId="0" fontId="0" fillId="44" borderId="0" xfId="0" applyFill="1" applyBorder="1"/>
    <xf numFmtId="0" fontId="0" fillId="44" borderId="46" xfId="0" applyFill="1" applyBorder="1"/>
    <xf numFmtId="10" fontId="0" fillId="44" borderId="46" xfId="0" applyNumberFormat="1" applyFill="1" applyBorder="1"/>
    <xf numFmtId="167" fontId="0" fillId="44" borderId="45" xfId="0" applyNumberFormat="1" applyFill="1" applyBorder="1"/>
    <xf numFmtId="167" fontId="0" fillId="44" borderId="0" xfId="0" applyNumberFormat="1" applyFill="1" applyBorder="1"/>
    <xf numFmtId="167" fontId="0" fillId="44" borderId="46" xfId="0" applyNumberFormat="1" applyFill="1" applyBorder="1"/>
    <xf numFmtId="9" fontId="0" fillId="44" borderId="0" xfId="55" applyFont="1" applyFill="1" applyBorder="1"/>
    <xf numFmtId="167" fontId="0" fillId="44" borderId="54" xfId="0" applyNumberFormat="1" applyFill="1" applyBorder="1"/>
    <xf numFmtId="9" fontId="0" fillId="44" borderId="46" xfId="55" applyFont="1" applyFill="1" applyBorder="1"/>
    <xf numFmtId="43" fontId="0" fillId="44" borderId="45" xfId="42" applyFont="1" applyFill="1" applyBorder="1"/>
    <xf numFmtId="164" fontId="0" fillId="44" borderId="0" xfId="0" applyNumberFormat="1" applyFill="1" applyBorder="1"/>
    <xf numFmtId="164" fontId="0" fillId="44" borderId="0" xfId="0" applyNumberFormat="1" applyFill="1"/>
    <xf numFmtId="0" fontId="0" fillId="44" borderId="45" xfId="0" applyFill="1" applyBorder="1" applyAlignment="1">
      <alignment horizontal="center"/>
    </xf>
    <xf numFmtId="0" fontId="0" fillId="44" borderId="0" xfId="0" applyFill="1" applyBorder="1" applyAlignment="1">
      <alignment horizontal="center"/>
    </xf>
    <xf numFmtId="0" fontId="0" fillId="44" borderId="46" xfId="0" applyFill="1" applyBorder="1" applyAlignment="1">
      <alignment horizontal="center"/>
    </xf>
    <xf numFmtId="9" fontId="0" fillId="44" borderId="45" xfId="55" applyFont="1" applyFill="1" applyBorder="1" applyAlignment="1">
      <alignment horizontal="right"/>
    </xf>
    <xf numFmtId="9" fontId="0" fillId="44" borderId="0" xfId="55" applyFont="1" applyFill="1" applyBorder="1" applyAlignment="1">
      <alignment horizontal="right"/>
    </xf>
    <xf numFmtId="9" fontId="0" fillId="44" borderId="46" xfId="55" applyFont="1" applyFill="1" applyBorder="1" applyAlignment="1">
      <alignment horizontal="right"/>
    </xf>
    <xf numFmtId="0" fontId="0" fillId="44" borderId="54" xfId="0" applyFill="1" applyBorder="1" applyAlignment="1">
      <alignment horizontal="center"/>
    </xf>
    <xf numFmtId="0" fontId="49" fillId="0" borderId="0" xfId="61"/>
    <xf numFmtId="49" fontId="32" fillId="0" borderId="0" xfId="61" applyNumberFormat="1" applyFont="1"/>
    <xf numFmtId="0" fontId="32" fillId="0" borderId="0" xfId="61" applyFont="1"/>
    <xf numFmtId="0" fontId="30" fillId="0" borderId="0" xfId="61" applyFont="1"/>
    <xf numFmtId="0" fontId="31" fillId="0" borderId="0" xfId="61" applyFont="1"/>
    <xf numFmtId="17" fontId="22" fillId="0" borderId="0" xfId="61" applyNumberFormat="1" applyFont="1" applyAlignment="1">
      <alignment horizontal="left"/>
    </xf>
    <xf numFmtId="0" fontId="21" fillId="0" borderId="0" xfId="61" applyFont="1"/>
    <xf numFmtId="17" fontId="22" fillId="0" borderId="0" xfId="61" applyNumberFormat="1" applyFont="1"/>
    <xf numFmtId="14" fontId="21" fillId="0" borderId="0" xfId="61" applyNumberFormat="1" applyFont="1" applyAlignment="1">
      <alignment horizontal="right"/>
    </xf>
    <xf numFmtId="166" fontId="21" fillId="0" borderId="0" xfId="62" applyNumberFormat="1" applyFont="1"/>
    <xf numFmtId="0" fontId="21" fillId="0" borderId="0" xfId="61" applyFont="1" applyAlignment="1">
      <alignment horizontal="center"/>
    </xf>
    <xf numFmtId="166" fontId="21" fillId="0" borderId="0" xfId="62" applyNumberFormat="1" applyFont="1" applyAlignment="1">
      <alignment horizontal="center"/>
    </xf>
    <xf numFmtId="167" fontId="21" fillId="0" borderId="0" xfId="62" applyNumberFormat="1" applyFont="1" applyAlignment="1"/>
    <xf numFmtId="166" fontId="21" fillId="0" borderId="0" xfId="62" applyNumberFormat="1" applyFont="1" applyAlignment="1"/>
    <xf numFmtId="167" fontId="21" fillId="0" borderId="0" xfId="61" applyNumberFormat="1" applyFont="1" applyAlignment="1">
      <alignment wrapText="1"/>
    </xf>
    <xf numFmtId="167" fontId="21" fillId="0" borderId="0" xfId="61" applyNumberFormat="1" applyFont="1"/>
    <xf numFmtId="167" fontId="21" fillId="0" borderId="0" xfId="62" applyNumberFormat="1" applyFont="1" applyAlignment="1">
      <alignment horizontal="right"/>
    </xf>
    <xf numFmtId="166" fontId="21" fillId="0" borderId="0" xfId="61" applyNumberFormat="1" applyFont="1"/>
    <xf numFmtId="166" fontId="40" fillId="52" borderId="59" xfId="42" applyNumberFormat="1" applyFont="1" applyFill="1" applyBorder="1" applyAlignment="1">
      <alignment horizontal="center" vertical="center" wrapText="1"/>
    </xf>
    <xf numFmtId="166" fontId="40" fillId="52" borderId="60" xfId="42" applyNumberFormat="1" applyFont="1" applyFill="1" applyBorder="1" applyAlignment="1">
      <alignment horizontal="center" vertical="center" wrapText="1"/>
    </xf>
    <xf numFmtId="166" fontId="40" fillId="52" borderId="61" xfId="42" applyNumberFormat="1" applyFont="1" applyFill="1" applyBorder="1" applyAlignment="1">
      <alignment horizontal="center" vertical="center" wrapText="1"/>
    </xf>
    <xf numFmtId="167" fontId="13" fillId="50" borderId="56" xfId="0" applyNumberFormat="1" applyFont="1" applyFill="1" applyBorder="1" applyAlignment="1">
      <alignment horizontal="centerContinuous"/>
    </xf>
    <xf numFmtId="167" fontId="17" fillId="50" borderId="57" xfId="0" applyNumberFormat="1" applyFont="1" applyFill="1" applyBorder="1" applyAlignment="1">
      <alignment horizontal="centerContinuous"/>
    </xf>
    <xf numFmtId="167" fontId="17" fillId="50" borderId="25" xfId="0" applyNumberFormat="1" applyFont="1" applyFill="1" applyBorder="1" applyAlignment="1">
      <alignment horizontal="centerContinuous"/>
    </xf>
    <xf numFmtId="43" fontId="0" fillId="0" borderId="45" xfId="42" applyFont="1" applyBorder="1"/>
    <xf numFmtId="173" fontId="0" fillId="0" borderId="0" xfId="42" applyNumberFormat="1" applyFont="1" applyBorder="1"/>
    <xf numFmtId="173" fontId="0" fillId="36" borderId="0" xfId="42" applyNumberFormat="1" applyFont="1" applyFill="1" applyBorder="1"/>
    <xf numFmtId="173" fontId="0" fillId="46" borderId="0" xfId="42" applyNumberFormat="1" applyFont="1" applyFill="1" applyBorder="1"/>
    <xf numFmtId="173" fontId="0" fillId="48" borderId="0" xfId="42" applyNumberFormat="1" applyFont="1" applyFill="1" applyBorder="1"/>
    <xf numFmtId="173" fontId="0" fillId="51" borderId="0" xfId="42" applyNumberFormat="1" applyFont="1" applyFill="1" applyBorder="1"/>
    <xf numFmtId="173" fontId="0" fillId="44" borderId="0" xfId="42" applyNumberFormat="1" applyFont="1" applyFill="1" applyBorder="1"/>
    <xf numFmtId="173" fontId="0" fillId="58" borderId="0" xfId="42" applyNumberFormat="1" applyFont="1" applyFill="1" applyBorder="1"/>
    <xf numFmtId="166" fontId="0" fillId="36" borderId="0" xfId="42" applyNumberFormat="1" applyFont="1" applyFill="1"/>
    <xf numFmtId="166" fontId="0" fillId="46" borderId="0" xfId="42" applyNumberFormat="1" applyFont="1" applyFill="1"/>
    <xf numFmtId="166" fontId="0" fillId="46" borderId="45" xfId="42" applyNumberFormat="1" applyFont="1" applyFill="1" applyBorder="1"/>
    <xf numFmtId="166" fontId="0" fillId="46" borderId="0" xfId="42" applyNumberFormat="1" applyFont="1" applyFill="1" applyBorder="1"/>
    <xf numFmtId="166" fontId="0" fillId="48" borderId="0" xfId="42" applyNumberFormat="1" applyFont="1" applyFill="1"/>
    <xf numFmtId="166" fontId="0" fillId="51" borderId="0" xfId="42" applyNumberFormat="1" applyFont="1" applyFill="1"/>
    <xf numFmtId="166" fontId="0" fillId="44" borderId="0" xfId="42" applyNumberFormat="1" applyFont="1" applyFill="1"/>
    <xf numFmtId="166" fontId="0" fillId="44" borderId="45" xfId="42" applyNumberFormat="1" applyFont="1" applyFill="1" applyBorder="1"/>
    <xf numFmtId="166" fontId="0" fillId="44" borderId="0" xfId="42" applyNumberFormat="1" applyFont="1" applyFill="1" applyBorder="1"/>
    <xf numFmtId="166" fontId="0" fillId="58" borderId="0" xfId="42" applyNumberFormat="1" applyFont="1" applyFill="1"/>
    <xf numFmtId="166" fontId="0" fillId="58" borderId="45" xfId="42" applyNumberFormat="1" applyFont="1" applyFill="1" applyBorder="1"/>
    <xf numFmtId="166" fontId="0" fillId="58" borderId="0" xfId="42" applyNumberFormat="1" applyFont="1" applyFill="1" applyBorder="1"/>
    <xf numFmtId="9" fontId="19" fillId="0" borderId="43" xfId="0" applyNumberFormat="1" applyFont="1" applyBorder="1" applyAlignment="1">
      <alignment horizontal="center" wrapText="1"/>
    </xf>
    <xf numFmtId="9" fontId="0" fillId="46" borderId="0" xfId="0" applyNumberFormat="1" applyFill="1" applyBorder="1"/>
    <xf numFmtId="9" fontId="0" fillId="44" borderId="0" xfId="0" applyNumberFormat="1" applyFill="1" applyBorder="1"/>
    <xf numFmtId="9" fontId="0" fillId="58" borderId="0" xfId="0" applyNumberFormat="1" applyFill="1" applyBorder="1"/>
    <xf numFmtId="0" fontId="0" fillId="46" borderId="70" xfId="0" applyFill="1" applyBorder="1" applyAlignment="1">
      <alignment horizontal="center" vertical="center" wrapText="1"/>
    </xf>
    <xf numFmtId="173" fontId="40" fillId="52" borderId="60" xfId="42" applyNumberFormat="1" applyFont="1" applyFill="1" applyBorder="1" applyAlignment="1">
      <alignment horizontal="center" vertical="center" wrapText="1"/>
    </xf>
    <xf numFmtId="173" fontId="0" fillId="46" borderId="70" xfId="42" applyNumberFormat="1" applyFont="1" applyFill="1" applyBorder="1" applyAlignment="1">
      <alignment horizontal="center" vertical="center" wrapText="1"/>
    </xf>
    <xf numFmtId="166" fontId="0" fillId="56" borderId="42" xfId="42" applyNumberFormat="1" applyFont="1" applyFill="1" applyBorder="1" applyAlignment="1">
      <alignment horizontal="center" wrapText="1"/>
    </xf>
    <xf numFmtId="166" fontId="0" fillId="56" borderId="43" xfId="42" applyNumberFormat="1" applyFont="1" applyFill="1" applyBorder="1" applyAlignment="1">
      <alignment horizontal="center" wrapText="1"/>
    </xf>
    <xf numFmtId="166" fontId="0" fillId="0" borderId="0" xfId="42" applyNumberFormat="1" applyFont="1" applyFill="1"/>
    <xf numFmtId="164" fontId="16" fillId="55" borderId="47" xfId="0" applyNumberFormat="1" applyFont="1" applyFill="1" applyBorder="1"/>
    <xf numFmtId="164" fontId="16" fillId="55" borderId="48" xfId="0" applyNumberFormat="1" applyFont="1" applyFill="1" applyBorder="1"/>
    <xf numFmtId="10" fontId="16" fillId="55" borderId="48" xfId="0" applyNumberFormat="1" applyFont="1" applyFill="1" applyBorder="1"/>
    <xf numFmtId="0" fontId="16" fillId="55" borderId="48" xfId="0" applyFont="1" applyFill="1" applyBorder="1"/>
    <xf numFmtId="0" fontId="16" fillId="55" borderId="49" xfId="0" applyFont="1" applyFill="1" applyBorder="1"/>
    <xf numFmtId="173" fontId="16" fillId="55" borderId="48" xfId="42" applyNumberFormat="1" applyFont="1" applyFill="1" applyBorder="1"/>
    <xf numFmtId="166" fontId="16" fillId="55" borderId="47" xfId="42" applyNumberFormat="1" applyFont="1" applyFill="1" applyBorder="1"/>
    <xf numFmtId="166" fontId="16" fillId="55" borderId="48" xfId="42" applyNumberFormat="1" applyFont="1" applyFill="1" applyBorder="1"/>
    <xf numFmtId="10" fontId="16" fillId="55" borderId="49" xfId="0" applyNumberFormat="1" applyFont="1" applyFill="1" applyBorder="1"/>
    <xf numFmtId="167" fontId="16" fillId="55" borderId="47" xfId="0" applyNumberFormat="1" applyFont="1" applyFill="1" applyBorder="1"/>
    <xf numFmtId="167" fontId="16" fillId="55" borderId="48" xfId="0" applyNumberFormat="1" applyFont="1" applyFill="1" applyBorder="1"/>
    <xf numFmtId="167" fontId="16" fillId="55" borderId="49" xfId="0" applyNumberFormat="1" applyFont="1" applyFill="1" applyBorder="1"/>
    <xf numFmtId="167" fontId="16" fillId="55" borderId="55" xfId="0" applyNumberFormat="1" applyFont="1" applyFill="1" applyBorder="1"/>
    <xf numFmtId="167" fontId="16" fillId="55" borderId="49" xfId="0" applyNumberFormat="1" applyFont="1" applyFill="1" applyBorder="1" applyAlignment="1">
      <alignment horizontal="right"/>
    </xf>
    <xf numFmtId="2" fontId="16" fillId="55" borderId="47" xfId="0" applyNumberFormat="1" applyFont="1" applyFill="1" applyBorder="1"/>
    <xf numFmtId="0" fontId="16" fillId="55" borderId="47" xfId="0" applyFont="1" applyFill="1" applyBorder="1" applyAlignment="1">
      <alignment horizontal="center"/>
    </xf>
    <xf numFmtId="0" fontId="16" fillId="55" borderId="49" xfId="0" applyFont="1" applyFill="1" applyBorder="1" applyAlignment="1">
      <alignment horizontal="center"/>
    </xf>
    <xf numFmtId="0" fontId="16" fillId="55" borderId="47" xfId="0" applyFont="1" applyFill="1" applyBorder="1"/>
    <xf numFmtId="0" fontId="16" fillId="55" borderId="55" xfId="0" applyFont="1" applyFill="1" applyBorder="1" applyAlignment="1">
      <alignment horizontal="center"/>
    </xf>
    <xf numFmtId="0" fontId="50" fillId="0" borderId="0" xfId="0" applyFont="1"/>
    <xf numFmtId="10" fontId="50" fillId="0" borderId="0" xfId="0" applyNumberFormat="1" applyFont="1"/>
    <xf numFmtId="173" fontId="50" fillId="0" borderId="0" xfId="42" applyNumberFormat="1" applyFont="1"/>
    <xf numFmtId="166" fontId="50" fillId="0" borderId="0" xfId="42" applyNumberFormat="1" applyFont="1"/>
    <xf numFmtId="167" fontId="50" fillId="0" borderId="0" xfId="0" applyNumberFormat="1" applyFont="1"/>
    <xf numFmtId="164" fontId="50" fillId="0" borderId="0" xfId="0" applyNumberFormat="1" applyFont="1"/>
    <xf numFmtId="0" fontId="50" fillId="48" borderId="0" xfId="0" applyFont="1" applyFill="1"/>
    <xf numFmtId="43" fontId="50" fillId="0" borderId="0" xfId="42" applyFont="1"/>
    <xf numFmtId="166" fontId="50" fillId="40" borderId="0" xfId="42" applyNumberFormat="1" applyFont="1" applyFill="1"/>
    <xf numFmtId="166" fontId="50" fillId="0" borderId="0" xfId="42" applyNumberFormat="1" applyFont="1" applyFill="1"/>
    <xf numFmtId="166" fontId="50" fillId="48" borderId="0" xfId="42" applyNumberFormat="1" applyFont="1" applyFill="1"/>
    <xf numFmtId="0" fontId="20" fillId="59" borderId="0" xfId="0" applyFont="1" applyFill="1"/>
    <xf numFmtId="0" fontId="51" fillId="0" borderId="0" xfId="0" applyFont="1"/>
    <xf numFmtId="0" fontId="20" fillId="48" borderId="0" xfId="0" applyFont="1" applyFill="1"/>
    <xf numFmtId="167" fontId="20" fillId="40" borderId="0" xfId="0" applyNumberFormat="1" applyFont="1" applyFill="1"/>
    <xf numFmtId="164" fontId="48" fillId="53" borderId="24" xfId="0" applyNumberFormat="1" applyFont="1" applyFill="1" applyBorder="1" applyAlignment="1">
      <alignment horizontal="centerContinuous"/>
    </xf>
    <xf numFmtId="0" fontId="20" fillId="50" borderId="0" xfId="0" applyFont="1" applyFill="1" applyBorder="1"/>
    <xf numFmtId="0" fontId="52" fillId="0" borderId="0" xfId="0" applyFont="1"/>
    <xf numFmtId="0" fontId="20" fillId="59" borderId="0" xfId="0" applyFont="1" applyFill="1" applyAlignment="1">
      <alignment horizontal="center" vertical="center"/>
    </xf>
    <xf numFmtId="167" fontId="41" fillId="0" borderId="24" xfId="60" applyNumberFormat="1" applyFont="1" applyFill="1" applyBorder="1" applyAlignment="1">
      <alignment horizontal="center" vertical="center" wrapText="1"/>
    </xf>
    <xf numFmtId="167" fontId="41" fillId="36" borderId="71" xfId="60" applyNumberFormat="1" applyFont="1" applyFill="1" applyBorder="1" applyAlignment="1">
      <alignment horizontal="center" vertical="center" wrapText="1"/>
    </xf>
    <xf numFmtId="167" fontId="41" fillId="0" borderId="56" xfId="60" applyNumberFormat="1" applyFont="1" applyFill="1" applyBorder="1" applyAlignment="1">
      <alignment horizontal="center" vertical="center" wrapText="1"/>
    </xf>
    <xf numFmtId="167" fontId="41" fillId="0" borderId="57" xfId="60" applyNumberFormat="1" applyFont="1" applyFill="1" applyBorder="1" applyAlignment="1">
      <alignment horizontal="center" vertical="center" wrapText="1"/>
    </xf>
    <xf numFmtId="167" fontId="41" fillId="0" borderId="25" xfId="60" applyNumberFormat="1" applyFont="1" applyFill="1" applyBorder="1" applyAlignment="1">
      <alignment horizontal="center" vertical="center" wrapText="1"/>
    </xf>
    <xf numFmtId="167" fontId="41" fillId="36" borderId="42" xfId="60" applyNumberFormat="1" applyFont="1" applyFill="1" applyBorder="1" applyAlignment="1">
      <alignment horizontal="center" vertical="center" wrapText="1"/>
    </xf>
    <xf numFmtId="167" fontId="41" fillId="36" borderId="44" xfId="60" applyNumberFormat="1" applyFont="1" applyFill="1" applyBorder="1" applyAlignment="1">
      <alignment horizontal="center" vertical="center" wrapText="1"/>
    </xf>
    <xf numFmtId="0" fontId="20" fillId="48" borderId="0" xfId="0" applyFont="1" applyFill="1" applyAlignment="1">
      <alignment horizontal="center" vertical="center"/>
    </xf>
    <xf numFmtId="0" fontId="20" fillId="0" borderId="0" xfId="0" applyFont="1" applyAlignment="1">
      <alignment horizontal="center" vertical="center" wrapText="1"/>
    </xf>
    <xf numFmtId="0" fontId="53" fillId="0" borderId="56" xfId="0" applyFont="1" applyBorder="1" applyAlignment="1">
      <alignment horizontal="center" wrapText="1"/>
    </xf>
    <xf numFmtId="0" fontId="53" fillId="0" borderId="57" xfId="0" applyFont="1" applyBorder="1" applyAlignment="1">
      <alignment horizontal="center" wrapText="1"/>
    </xf>
    <xf numFmtId="0" fontId="53" fillId="0" borderId="25" xfId="0" applyFont="1" applyBorder="1" applyAlignment="1">
      <alignment horizontal="center" wrapText="1"/>
    </xf>
    <xf numFmtId="166" fontId="20" fillId="0" borderId="54" xfId="0" applyNumberFormat="1" applyFont="1" applyBorder="1"/>
    <xf numFmtId="167" fontId="20" fillId="0" borderId="54" xfId="0" applyNumberFormat="1" applyFont="1" applyFill="1" applyBorder="1"/>
    <xf numFmtId="166" fontId="20" fillId="0" borderId="45" xfId="0" applyNumberFormat="1" applyFont="1" applyBorder="1"/>
    <xf numFmtId="0" fontId="20" fillId="0" borderId="0" xfId="0" applyFont="1" applyAlignment="1">
      <alignment horizontal="center"/>
    </xf>
    <xf numFmtId="166" fontId="20" fillId="0" borderId="0" xfId="0" applyNumberFormat="1" applyFont="1" applyBorder="1"/>
    <xf numFmtId="0" fontId="20" fillId="48" borderId="0" xfId="0" applyFont="1" applyFill="1" applyBorder="1"/>
    <xf numFmtId="0" fontId="46" fillId="0" borderId="0" xfId="0" applyFont="1"/>
    <xf numFmtId="0" fontId="46" fillId="59" borderId="0" xfId="0" applyFont="1" applyFill="1"/>
    <xf numFmtId="166" fontId="46" fillId="0" borderId="0" xfId="0" applyNumberFormat="1" applyFont="1" applyBorder="1"/>
    <xf numFmtId="0" fontId="46" fillId="0" borderId="0" xfId="0" applyFont="1" applyBorder="1"/>
    <xf numFmtId="167" fontId="46" fillId="0" borderId="0" xfId="0" applyNumberFormat="1" applyFont="1" applyFill="1" applyBorder="1"/>
    <xf numFmtId="166" fontId="46" fillId="0" borderId="0" xfId="42" applyNumberFormat="1" applyFont="1" applyBorder="1"/>
    <xf numFmtId="0" fontId="46" fillId="0" borderId="0" xfId="0" applyFont="1" applyBorder="1" applyAlignment="1">
      <alignment horizontal="center"/>
    </xf>
    <xf numFmtId="43" fontId="20" fillId="0" borderId="0" xfId="42" applyFont="1" applyFill="1" applyBorder="1"/>
    <xf numFmtId="0" fontId="54" fillId="0" borderId="0" xfId="0" applyFont="1" applyBorder="1" applyAlignment="1">
      <alignment horizontal="right"/>
    </xf>
    <xf numFmtId="43" fontId="20" fillId="0" borderId="0" xfId="42" applyFont="1" applyBorder="1"/>
    <xf numFmtId="167" fontId="44" fillId="47" borderId="50" xfId="56" applyNumberFormat="1" applyFont="1" applyFill="1" applyBorder="1" applyAlignment="1">
      <alignment horizontal="center" vertical="center" wrapText="1"/>
    </xf>
    <xf numFmtId="173" fontId="44" fillId="0" borderId="72" xfId="42" applyNumberFormat="1" applyFont="1" applyFill="1" applyBorder="1" applyAlignment="1">
      <alignment horizontal="center" vertical="center" wrapText="1"/>
    </xf>
    <xf numFmtId="167" fontId="44" fillId="47" borderId="72" xfId="56" applyNumberFormat="1" applyFont="1" applyFill="1" applyBorder="1" applyAlignment="1">
      <alignment horizontal="center" vertical="center" wrapText="1"/>
    </xf>
    <xf numFmtId="9" fontId="0" fillId="52" borderId="0" xfId="55" applyFont="1" applyFill="1" applyBorder="1"/>
    <xf numFmtId="43" fontId="0" fillId="52" borderId="45" xfId="42" applyFont="1" applyFill="1" applyBorder="1"/>
    <xf numFmtId="9" fontId="16" fillId="52" borderId="0" xfId="55" applyFont="1" applyFill="1" applyBorder="1"/>
    <xf numFmtId="43" fontId="16" fillId="52" borderId="45" xfId="42" applyFont="1" applyFill="1" applyBorder="1"/>
    <xf numFmtId="9" fontId="0" fillId="43" borderId="0" xfId="55" applyFont="1" applyFill="1" applyBorder="1"/>
    <xf numFmtId="43" fontId="0" fillId="43" borderId="45" xfId="42" applyFont="1" applyFill="1" applyBorder="1"/>
    <xf numFmtId="167" fontId="0" fillId="52" borderId="0" xfId="0" applyNumberFormat="1" applyFill="1"/>
    <xf numFmtId="167" fontId="0" fillId="48" borderId="0" xfId="0" applyNumberFormat="1" applyFill="1"/>
    <xf numFmtId="43" fontId="16" fillId="55" borderId="45" xfId="42" applyFont="1" applyFill="1" applyBorder="1"/>
    <xf numFmtId="9" fontId="50" fillId="0" borderId="0" xfId="0" applyNumberFormat="1" applyFont="1"/>
    <xf numFmtId="43" fontId="50" fillId="36" borderId="56" xfId="42" applyFont="1" applyFill="1" applyBorder="1" applyAlignment="1">
      <alignment horizontal="right"/>
    </xf>
    <xf numFmtId="174" fontId="50" fillId="36" borderId="25" xfId="55" applyNumberFormat="1" applyFont="1" applyFill="1" applyBorder="1"/>
    <xf numFmtId="10" fontId="50" fillId="0" borderId="0" xfId="0" applyNumberFormat="1" applyFont="1" applyBorder="1"/>
    <xf numFmtId="0" fontId="50" fillId="0" borderId="0" xfId="0" applyFont="1" applyBorder="1"/>
    <xf numFmtId="0" fontId="50" fillId="0" borderId="0" xfId="0" applyFont="1" applyAlignment="1">
      <alignment horizontal="center"/>
    </xf>
    <xf numFmtId="0" fontId="20" fillId="0" borderId="55" xfId="0" applyFont="1" applyBorder="1"/>
    <xf numFmtId="0" fontId="20" fillId="0" borderId="55" xfId="0" applyFont="1" applyFill="1" applyBorder="1"/>
    <xf numFmtId="166" fontId="20" fillId="0" borderId="47" xfId="42" applyNumberFormat="1" applyFont="1" applyBorder="1"/>
    <xf numFmtId="166" fontId="20" fillId="0" borderId="48" xfId="42" applyNumberFormat="1" applyFont="1" applyBorder="1"/>
    <xf numFmtId="166" fontId="20" fillId="0" borderId="49" xfId="42" applyNumberFormat="1" applyFont="1" applyBorder="1"/>
    <xf numFmtId="43" fontId="20" fillId="0" borderId="49" xfId="42" applyFont="1" applyFill="1" applyBorder="1"/>
    <xf numFmtId="0" fontId="53" fillId="0" borderId="0" xfId="0" applyFont="1"/>
    <xf numFmtId="0" fontId="53" fillId="0" borderId="42" xfId="0" applyFont="1" applyBorder="1" applyAlignment="1">
      <alignment horizontal="center"/>
    </xf>
    <xf numFmtId="0" fontId="53" fillId="0" borderId="43" xfId="0" applyFont="1" applyBorder="1" applyAlignment="1">
      <alignment horizontal="center"/>
    </xf>
    <xf numFmtId="0" fontId="53" fillId="0" borderId="44" xfId="0" applyFont="1" applyBorder="1" applyAlignment="1">
      <alignment horizontal="center"/>
    </xf>
    <xf numFmtId="0" fontId="53" fillId="0" borderId="0" xfId="0" applyFont="1" applyAlignment="1">
      <alignment wrapText="1"/>
    </xf>
    <xf numFmtId="0" fontId="53" fillId="0" borderId="0" xfId="0" applyFont="1" applyBorder="1" applyAlignment="1">
      <alignment horizontal="center" wrapText="1"/>
    </xf>
    <xf numFmtId="0" fontId="53" fillId="0" borderId="47" xfId="0" applyFont="1" applyBorder="1" applyAlignment="1">
      <alignment horizontal="center" wrapText="1"/>
    </xf>
    <xf numFmtId="0" fontId="53" fillId="0" borderId="48" xfId="0" applyFont="1" applyBorder="1" applyAlignment="1">
      <alignment horizontal="center" wrapText="1"/>
    </xf>
    <xf numFmtId="0" fontId="53" fillId="0" borderId="49" xfId="0" applyFont="1" applyBorder="1" applyAlignment="1">
      <alignment horizontal="center" wrapText="1"/>
    </xf>
    <xf numFmtId="0" fontId="53" fillId="0" borderId="45" xfId="0" applyFont="1" applyBorder="1" applyAlignment="1">
      <alignment horizontal="center"/>
    </xf>
    <xf numFmtId="0" fontId="53" fillId="0" borderId="0" xfId="0" applyFont="1" applyBorder="1" applyAlignment="1">
      <alignment horizontal="center"/>
    </xf>
    <xf numFmtId="0" fontId="53" fillId="0" borderId="46" xfId="0" applyFont="1" applyBorder="1" applyAlignment="1">
      <alignment horizontal="center"/>
    </xf>
    <xf numFmtId="166" fontId="53" fillId="0" borderId="45" xfId="42" applyNumberFormat="1" applyFont="1" applyBorder="1" applyAlignment="1">
      <alignment horizontal="right"/>
    </xf>
    <xf numFmtId="166" fontId="53" fillId="0" borderId="0" xfId="42" applyNumberFormat="1" applyFont="1" applyBorder="1" applyAlignment="1">
      <alignment horizontal="right"/>
    </xf>
    <xf numFmtId="9" fontId="53" fillId="0" borderId="46" xfId="55" applyFont="1" applyBorder="1" applyAlignment="1">
      <alignment horizontal="right"/>
    </xf>
    <xf numFmtId="0" fontId="53" fillId="0" borderId="47" xfId="0" applyFont="1" applyBorder="1" applyAlignment="1">
      <alignment horizontal="center"/>
    </xf>
    <xf numFmtId="0" fontId="53" fillId="0" borderId="48" xfId="0" applyFont="1" applyBorder="1" applyAlignment="1">
      <alignment horizontal="center"/>
    </xf>
    <xf numFmtId="0" fontId="53" fillId="0" borderId="49" xfId="0" applyFont="1" applyBorder="1" applyAlignment="1">
      <alignment horizontal="center"/>
    </xf>
    <xf numFmtId="167" fontId="0" fillId="0" borderId="0" xfId="0" quotePrefix="1" applyNumberFormat="1"/>
    <xf numFmtId="166" fontId="13" fillId="53" borderId="42" xfId="42" applyNumberFormat="1" applyFont="1" applyFill="1" applyBorder="1" applyAlignment="1">
      <alignment horizontal="centerContinuous"/>
    </xf>
    <xf numFmtId="166" fontId="50" fillId="36" borderId="56" xfId="42" applyNumberFormat="1" applyFont="1" applyFill="1" applyBorder="1"/>
    <xf numFmtId="0" fontId="20" fillId="44" borderId="45" xfId="0" applyFont="1" applyFill="1" applyBorder="1"/>
    <xf numFmtId="0" fontId="20" fillId="44" borderId="46" xfId="0" applyFont="1" applyFill="1" applyBorder="1"/>
    <xf numFmtId="166" fontId="20" fillId="44" borderId="45" xfId="42" applyNumberFormat="1" applyFont="1" applyFill="1" applyBorder="1"/>
    <xf numFmtId="166" fontId="20" fillId="44" borderId="0" xfId="42" applyNumberFormat="1" applyFont="1" applyFill="1" applyBorder="1"/>
    <xf numFmtId="166" fontId="20" fillId="44" borderId="46" xfId="0" applyNumberFormat="1" applyFont="1" applyFill="1" applyBorder="1"/>
    <xf numFmtId="0" fontId="20" fillId="44" borderId="45" xfId="0" applyFont="1" applyFill="1" applyBorder="1" applyAlignment="1">
      <alignment horizontal="center"/>
    </xf>
    <xf numFmtId="0" fontId="20" fillId="44" borderId="0" xfId="0" applyFont="1" applyFill="1" applyBorder="1" applyAlignment="1">
      <alignment horizontal="center"/>
    </xf>
    <xf numFmtId="0" fontId="20" fillId="44" borderId="46" xfId="0" applyFont="1" applyFill="1" applyBorder="1" applyAlignment="1">
      <alignment horizontal="center"/>
    </xf>
    <xf numFmtId="0" fontId="20" fillId="44" borderId="0" xfId="0" applyFont="1" applyFill="1"/>
    <xf numFmtId="9" fontId="20" fillId="44" borderId="54" xfId="55" applyFont="1" applyFill="1" applyBorder="1"/>
    <xf numFmtId="166" fontId="20" fillId="44" borderId="46" xfId="42" applyNumberFormat="1" applyFont="1" applyFill="1" applyBorder="1"/>
    <xf numFmtId="167" fontId="20" fillId="44" borderId="45" xfId="0" applyNumberFormat="1" applyFont="1" applyFill="1" applyBorder="1"/>
    <xf numFmtId="167" fontId="20" fillId="44" borderId="0" xfId="0" applyNumberFormat="1" applyFont="1" applyFill="1" applyBorder="1"/>
    <xf numFmtId="6" fontId="20" fillId="44" borderId="0" xfId="0" applyNumberFormat="1" applyFont="1" applyFill="1" applyBorder="1"/>
    <xf numFmtId="167" fontId="20" fillId="44" borderId="46" xfId="0" applyNumberFormat="1" applyFont="1" applyFill="1" applyBorder="1"/>
    <xf numFmtId="43" fontId="20" fillId="44" borderId="0" xfId="42" applyFont="1" applyFill="1"/>
    <xf numFmtId="166" fontId="20" fillId="44" borderId="54" xfId="0" applyNumberFormat="1" applyFont="1" applyFill="1" applyBorder="1"/>
    <xf numFmtId="167" fontId="20" fillId="44" borderId="54" xfId="0" applyNumberFormat="1" applyFont="1" applyFill="1" applyBorder="1"/>
    <xf numFmtId="166" fontId="20" fillId="44" borderId="45" xfId="0" applyNumberFormat="1" applyFont="1" applyFill="1" applyBorder="1"/>
    <xf numFmtId="0" fontId="20" fillId="44" borderId="0" xfId="0" applyFont="1" applyFill="1" applyAlignment="1">
      <alignment horizontal="center"/>
    </xf>
    <xf numFmtId="0" fontId="0" fillId="55" borderId="0" xfId="0" applyNumberFormat="1" applyFill="1"/>
    <xf numFmtId="0" fontId="0" fillId="55" borderId="0" xfId="0" applyFill="1"/>
    <xf numFmtId="166" fontId="0" fillId="55" borderId="0" xfId="42" applyNumberFormat="1" applyFont="1" applyFill="1"/>
    <xf numFmtId="166" fontId="0" fillId="55" borderId="45" xfId="42" applyNumberFormat="1" applyFont="1" applyFill="1" applyBorder="1"/>
    <xf numFmtId="166" fontId="0" fillId="55" borderId="0" xfId="42" applyNumberFormat="1" applyFont="1" applyFill="1" applyBorder="1"/>
    <xf numFmtId="9" fontId="0" fillId="55" borderId="0" xfId="0" applyNumberFormat="1" applyFill="1" applyBorder="1"/>
    <xf numFmtId="0" fontId="0" fillId="55" borderId="0" xfId="0" applyFill="1" applyBorder="1"/>
    <xf numFmtId="0" fontId="0" fillId="55" borderId="46" xfId="0" applyFill="1" applyBorder="1"/>
    <xf numFmtId="173" fontId="0" fillId="55" borderId="0" xfId="42" applyNumberFormat="1" applyFont="1" applyFill="1" applyBorder="1"/>
    <xf numFmtId="10" fontId="0" fillId="55" borderId="46" xfId="0" applyNumberFormat="1" applyFill="1" applyBorder="1"/>
    <xf numFmtId="167" fontId="0" fillId="55" borderId="45" xfId="0" applyNumberFormat="1" applyFill="1" applyBorder="1"/>
    <xf numFmtId="167" fontId="0" fillId="55" borderId="0" xfId="0" applyNumberFormat="1" applyFill="1" applyBorder="1"/>
    <xf numFmtId="167" fontId="0" fillId="55" borderId="46" xfId="0" applyNumberFormat="1" applyFill="1" applyBorder="1"/>
    <xf numFmtId="9" fontId="0" fillId="55" borderId="0" xfId="55" applyFont="1" applyFill="1" applyBorder="1"/>
    <xf numFmtId="167" fontId="0" fillId="55" borderId="54" xfId="0" applyNumberFormat="1" applyFill="1" applyBorder="1"/>
    <xf numFmtId="9" fontId="0" fillId="55" borderId="46" xfId="55" applyFont="1" applyFill="1" applyBorder="1"/>
    <xf numFmtId="43" fontId="0" fillId="55" borderId="45" xfId="42" applyFont="1" applyFill="1" applyBorder="1"/>
    <xf numFmtId="164" fontId="0" fillId="55" borderId="0" xfId="0" applyNumberFormat="1" applyFill="1" applyBorder="1"/>
    <xf numFmtId="164" fontId="0" fillId="55" borderId="0" xfId="0" applyNumberFormat="1" applyFill="1"/>
    <xf numFmtId="0" fontId="0" fillId="55" borderId="45" xfId="0" applyFill="1" applyBorder="1" applyAlignment="1">
      <alignment horizontal="center"/>
    </xf>
    <xf numFmtId="0" fontId="0" fillId="55" borderId="0" xfId="0" applyFill="1" applyBorder="1" applyAlignment="1">
      <alignment horizontal="center"/>
    </xf>
    <xf numFmtId="0" fontId="0" fillId="55" borderId="46" xfId="0" applyFill="1" applyBorder="1" applyAlignment="1">
      <alignment horizontal="center"/>
    </xf>
    <xf numFmtId="9" fontId="0" fillId="55" borderId="45" xfId="55" applyFont="1" applyFill="1" applyBorder="1" applyAlignment="1">
      <alignment horizontal="right"/>
    </xf>
    <xf numFmtId="9" fontId="0" fillId="55" borderId="0" xfId="55" applyFont="1" applyFill="1" applyBorder="1" applyAlignment="1">
      <alignment horizontal="right"/>
    </xf>
    <xf numFmtId="9" fontId="0" fillId="55" borderId="46" xfId="55" applyFont="1" applyFill="1" applyBorder="1" applyAlignment="1">
      <alignment horizontal="right"/>
    </xf>
    <xf numFmtId="0" fontId="0" fillId="55" borderId="54" xfId="0" applyFill="1" applyBorder="1" applyAlignment="1">
      <alignment horizontal="center"/>
    </xf>
    <xf numFmtId="1" fontId="0" fillId="55" borderId="0" xfId="0" applyNumberFormat="1" applyFill="1" applyBorder="1"/>
    <xf numFmtId="0" fontId="20" fillId="55" borderId="0" xfId="0" applyFont="1" applyFill="1"/>
    <xf numFmtId="0" fontId="20" fillId="55" borderId="45" xfId="0" applyFont="1" applyFill="1" applyBorder="1"/>
    <xf numFmtId="0" fontId="20" fillId="55" borderId="46" xfId="0" applyFont="1" applyFill="1" applyBorder="1"/>
    <xf numFmtId="166" fontId="20" fillId="55" borderId="45" xfId="42" applyNumberFormat="1" applyFont="1" applyFill="1" applyBorder="1"/>
    <xf numFmtId="166" fontId="20" fillId="55" borderId="0" xfId="42" applyNumberFormat="1" applyFont="1" applyFill="1" applyBorder="1"/>
    <xf numFmtId="166" fontId="20" fillId="55" borderId="46" xfId="0" applyNumberFormat="1" applyFont="1" applyFill="1" applyBorder="1"/>
    <xf numFmtId="0" fontId="20" fillId="55" borderId="45" xfId="0" applyFont="1" applyFill="1" applyBorder="1" applyAlignment="1">
      <alignment horizontal="center"/>
    </xf>
    <xf numFmtId="0" fontId="20" fillId="55" borderId="0" xfId="0" applyFont="1" applyFill="1" applyBorder="1" applyAlignment="1">
      <alignment horizontal="center"/>
    </xf>
    <xf numFmtId="0" fontId="20" fillId="55" borderId="46" xfId="0" applyFont="1" applyFill="1" applyBorder="1" applyAlignment="1">
      <alignment horizontal="center"/>
    </xf>
    <xf numFmtId="9" fontId="20" fillId="55" borderId="54" xfId="55" applyFont="1" applyFill="1" applyBorder="1"/>
    <xf numFmtId="166" fontId="20" fillId="55" borderId="46" xfId="42" applyNumberFormat="1" applyFont="1" applyFill="1" applyBorder="1"/>
    <xf numFmtId="167" fontId="20" fillId="55" borderId="45" xfId="0" applyNumberFormat="1" applyFont="1" applyFill="1" applyBorder="1"/>
    <xf numFmtId="167" fontId="20" fillId="55" borderId="0" xfId="0" applyNumberFormat="1" applyFont="1" applyFill="1" applyBorder="1"/>
    <xf numFmtId="6" fontId="20" fillId="55" borderId="0" xfId="0" applyNumberFormat="1" applyFont="1" applyFill="1" applyBorder="1"/>
    <xf numFmtId="167" fontId="20" fillId="55" borderId="46" xfId="0" applyNumberFormat="1" applyFont="1" applyFill="1" applyBorder="1"/>
    <xf numFmtId="43" fontId="20" fillId="55" borderId="0" xfId="42" applyFont="1" applyFill="1"/>
    <xf numFmtId="166" fontId="20" fillId="55" borderId="54" xfId="0" applyNumberFormat="1" applyFont="1" applyFill="1" applyBorder="1"/>
    <xf numFmtId="167" fontId="20" fillId="55" borderId="54" xfId="0" applyNumberFormat="1" applyFont="1" applyFill="1" applyBorder="1"/>
    <xf numFmtId="166" fontId="20" fillId="55" borderId="45" xfId="0" applyNumberFormat="1" applyFont="1" applyFill="1" applyBorder="1"/>
    <xf numFmtId="0" fontId="20" fillId="55" borderId="0" xfId="0" applyFont="1" applyFill="1" applyAlignment="1">
      <alignment horizontal="center"/>
    </xf>
    <xf numFmtId="0" fontId="20" fillId="53" borderId="0" xfId="0" applyFont="1" applyFill="1"/>
    <xf numFmtId="0" fontId="53" fillId="53" borderId="25" xfId="0" applyFont="1" applyFill="1" applyBorder="1" applyAlignment="1">
      <alignment horizontal="center" wrapText="1"/>
    </xf>
    <xf numFmtId="0" fontId="20" fillId="53" borderId="0" xfId="0" applyFont="1" applyFill="1" applyAlignment="1">
      <alignment horizontal="center"/>
    </xf>
    <xf numFmtId="0" fontId="20" fillId="53" borderId="0" xfId="0" applyFont="1" applyFill="1" applyBorder="1" applyAlignment="1">
      <alignment horizontal="center"/>
    </xf>
    <xf numFmtId="0" fontId="46" fillId="53" borderId="0" xfId="0" applyFont="1" applyFill="1" applyBorder="1" applyAlignment="1">
      <alignment horizontal="center"/>
    </xf>
    <xf numFmtId="0" fontId="20" fillId="53" borderId="0" xfId="0" applyFont="1" applyFill="1" applyBorder="1"/>
    <xf numFmtId="0" fontId="29" fillId="0" borderId="0" xfId="61" applyFont="1" applyAlignment="1">
      <alignment horizontal="center" vertical="center" wrapText="1"/>
    </xf>
    <xf numFmtId="0" fontId="0" fillId="0" borderId="0" xfId="0" applyAlignment="1">
      <alignment horizontal="center" vertical="top"/>
    </xf>
    <xf numFmtId="0" fontId="0" fillId="0" borderId="0" xfId="0" applyAlignment="1">
      <alignment horizontal="center"/>
    </xf>
    <xf numFmtId="0" fontId="29" fillId="0" borderId="0" xfId="51" applyFont="1" applyAlignment="1">
      <alignment horizontal="center" vertical="center" wrapText="1"/>
    </xf>
    <xf numFmtId="0" fontId="27" fillId="0" borderId="0" xfId="43" applyNumberFormat="1" applyFont="1" applyFill="1" applyBorder="1" applyAlignment="1">
      <alignment horizontal="left" wrapText="1" readingOrder="1"/>
    </xf>
    <xf numFmtId="0" fontId="23" fillId="0" borderId="0" xfId="43" applyFont="1" applyFill="1" applyBorder="1"/>
    <xf numFmtId="0" fontId="25" fillId="0" borderId="0" xfId="43" applyNumberFormat="1" applyFont="1" applyFill="1" applyBorder="1" applyAlignment="1">
      <alignment vertical="top" wrapText="1" readingOrder="1"/>
    </xf>
    <xf numFmtId="0" fontId="26" fillId="35" borderId="10" xfId="43" applyNumberFormat="1" applyFont="1" applyFill="1" applyBorder="1" applyAlignment="1">
      <alignment horizontal="right" vertical="top" wrapText="1" readingOrder="1"/>
    </xf>
    <xf numFmtId="0" fontId="23" fillId="0" borderId="11" xfId="43" applyNumberFormat="1" applyFont="1" applyFill="1" applyBorder="1" applyAlignment="1">
      <alignment vertical="top" wrapText="1"/>
    </xf>
    <xf numFmtId="165" fontId="24" fillId="33" borderId="10" xfId="43" applyNumberFormat="1" applyFont="1" applyFill="1" applyBorder="1" applyAlignment="1">
      <alignment horizontal="right" vertical="top" wrapText="1" readingOrder="1"/>
    </xf>
    <xf numFmtId="165" fontId="24" fillId="34" borderId="10" xfId="43" applyNumberFormat="1" applyFont="1" applyFill="1" applyBorder="1" applyAlignment="1">
      <alignment horizontal="right" vertical="top" wrapText="1" readingOrder="1"/>
    </xf>
    <xf numFmtId="0" fontId="25" fillId="33" borderId="10" xfId="43" applyNumberFormat="1" applyFont="1" applyFill="1" applyBorder="1" applyAlignment="1">
      <alignment horizontal="right" vertical="top" wrapText="1" readingOrder="1"/>
    </xf>
    <xf numFmtId="0" fontId="35" fillId="0" borderId="0" xfId="0" applyFont="1" applyAlignment="1">
      <alignment vertical="center"/>
    </xf>
    <xf numFmtId="0" fontId="0" fillId="0" borderId="0" xfId="0" applyAlignment="1">
      <alignment vertical="center"/>
    </xf>
    <xf numFmtId="0" fontId="0" fillId="0" borderId="0" xfId="0" applyAlignment="1"/>
  </cellXfs>
  <cellStyles count="6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2" builtinId="3"/>
    <cellStyle name="Comma 2" xfId="45" xr:uid="{00000000-0005-0000-0000-00001C000000}"/>
    <cellStyle name="Comma 2 2" xfId="47" xr:uid="{00000000-0005-0000-0000-00001D000000}"/>
    <cellStyle name="Comma 3" xfId="52" xr:uid="{00000000-0005-0000-0000-00001E000000}"/>
    <cellStyle name="Comma 4" xfId="58" xr:uid="{00000000-0005-0000-0000-00001F000000}"/>
    <cellStyle name="Comma 5" xfId="62" xr:uid="{00000000-0005-0000-0000-000020000000}"/>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3" xr:uid="{00000000-0005-0000-0000-00002B000000}"/>
    <cellStyle name="Normal 2 2" xfId="48" xr:uid="{00000000-0005-0000-0000-00002C000000}"/>
    <cellStyle name="Normal 3" xfId="44" xr:uid="{00000000-0005-0000-0000-00002D000000}"/>
    <cellStyle name="Normal 3 2" xfId="49" xr:uid="{00000000-0005-0000-0000-00002E000000}"/>
    <cellStyle name="Normal 4" xfId="50" xr:uid="{00000000-0005-0000-0000-00002F000000}"/>
    <cellStyle name="Normal 5" xfId="46" xr:uid="{00000000-0005-0000-0000-000030000000}"/>
    <cellStyle name="Normal 6" xfId="51" xr:uid="{00000000-0005-0000-0000-000031000000}"/>
    <cellStyle name="Normal 6 2" xfId="57" xr:uid="{00000000-0005-0000-0000-000032000000}"/>
    <cellStyle name="Normal 7" xfId="53" xr:uid="{00000000-0005-0000-0000-000033000000}"/>
    <cellStyle name="Normal 8" xfId="54" xr:uid="{00000000-0005-0000-0000-000034000000}"/>
    <cellStyle name="Normal 9" xfId="61" xr:uid="{00000000-0005-0000-0000-000035000000}"/>
    <cellStyle name="Normal_Sheet1" xfId="56" xr:uid="{00000000-0005-0000-0000-000036000000}"/>
    <cellStyle name="Normal_Sheet1 2" xfId="60" xr:uid="{00000000-0005-0000-0000-000037000000}"/>
    <cellStyle name="Note" xfId="15" builtinId="10" customBuiltin="1"/>
    <cellStyle name="Output" xfId="10" builtinId="21" customBuiltin="1"/>
    <cellStyle name="Percent" xfId="55" builtinId="5"/>
    <cellStyle name="Percent 4" xfId="59" xr:uid="{00000000-0005-0000-0000-00003B000000}"/>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colors>
    <mruColors>
      <color rgb="FFFF0066"/>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130628</xdr:colOff>
      <xdr:row>2</xdr:row>
      <xdr:rowOff>468085</xdr:rowOff>
    </xdr:from>
    <xdr:to>
      <xdr:col>3</xdr:col>
      <xdr:colOff>2177143</xdr:colOff>
      <xdr:row>4</xdr:row>
      <xdr:rowOff>653142</xdr:rowOff>
    </xdr:to>
    <xdr:sp macro="" textlink="">
      <xdr:nvSpPr>
        <xdr:cNvPr id="2" name="Rectangle 1">
          <a:extLst>
            <a:ext uri="{FF2B5EF4-FFF2-40B4-BE49-F238E27FC236}">
              <a16:creationId xmlns:a16="http://schemas.microsoft.com/office/drawing/2014/main" id="{254143A3-300E-4824-A9F8-BF354BB6E26E}"/>
            </a:ext>
          </a:extLst>
        </xdr:cNvPr>
        <xdr:cNvSpPr/>
      </xdr:nvSpPr>
      <xdr:spPr>
        <a:xfrm>
          <a:off x="130628" y="849085"/>
          <a:ext cx="3897086" cy="1088571"/>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600" b="1"/>
            <a:t>FY16 ESEA Allocations Calculations 03-07_v7.xls</a:t>
          </a:r>
        </a:p>
        <a:p>
          <a:pPr algn="l"/>
          <a:endParaRPr lang="en-US" sz="1600" b="1"/>
        </a:p>
        <a:p>
          <a:pPr algn="l"/>
          <a:r>
            <a:rPr lang="en-US" sz="1600" b="1"/>
            <a:t>as of 9/12/2017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tch/Dropbox%20(Afton%20Partners)/Afton%20Partners%20Projects/AZ%20DoE%20Title%20I/Updated%20Afton%20Files/FY15/Title%20I%20Rolling%20Allocations%2004-01-15%20(Empower%20Review)_MM%20v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itch/Dropbox%20(Afton%20Partners)/Afton%20Partners%20Projects/AZ%20DoE%20Title%20I/Updated%20Afton%20Files/FY15/Title%20I%20Rolling%20Allocations%2004-01-15%20(Empower%20Review)_MM%20v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pha"/>
      <sheetName val="Afton Final"/>
      <sheetName val="DOE Final"/>
      <sheetName val="Afton Final FY14"/>
      <sheetName val="HH"/>
      <sheetName val="012315 SAIS FY15 Sum"/>
      <sheetName val="012315 SAIS FY15"/>
      <sheetName val="012315 SAIS ASDB FY15"/>
      <sheetName val="031715 SAIS FY15"/>
      <sheetName val="121514 SAIS FY15 Sum"/>
      <sheetName val="121514 SAIS FY15"/>
      <sheetName val="111714 SAIS FY15 Sum"/>
      <sheetName val="111714 SAIS FY15"/>
      <sheetName val="101614 SAIS FY15 Sum"/>
      <sheetName val="101614 SAIS FY15"/>
      <sheetName val="Percentages &amp; Student Counts"/>
      <sheetName val="Student Counts Sum"/>
      <sheetName val="Gold"/>
      <sheetName val="Beta"/>
      <sheetName val="State N &amp; D"/>
      <sheetName val="2014 Allocations By Type"/>
      <sheetName val="Title II by State"/>
      <sheetName val="State Admin 1004b"/>
      <sheetName val="Allocation"/>
      <sheetName val="Allocation Old"/>
      <sheetName val="Formula Counts"/>
      <sheetName val="Formula Counts Old"/>
      <sheetName val="Percentages &amp; Student Count Pre"/>
      <sheetName val="Percentages &amp; Student Count Old"/>
      <sheetName val="Student Counts Sum Pre"/>
      <sheetName val="Student Counts Sum Old"/>
      <sheetName val="NCES Ref"/>
      <sheetName val="NCLB - H&amp;N Report"/>
      <sheetName val="H&amp;N Summary Ref"/>
      <sheetName val="FreeAndReducedPercentageReport"/>
    </sheetNames>
    <sheetDataSet>
      <sheetData sheetId="0"/>
      <sheetData sheetId="1">
        <row r="5">
          <cell r="C5" t="str">
            <v>CTD</v>
          </cell>
          <cell r="D5" t="str">
            <v>LEA Name</v>
          </cell>
        </row>
        <row r="7">
          <cell r="C7">
            <v>10201000</v>
          </cell>
          <cell r="D7" t="str">
            <v>St Johns Unified District</v>
          </cell>
        </row>
        <row r="8">
          <cell r="C8">
            <v>10208000</v>
          </cell>
          <cell r="D8" t="str">
            <v>Window Rock Unified District</v>
          </cell>
        </row>
        <row r="9">
          <cell r="C9">
            <v>10210000</v>
          </cell>
          <cell r="D9" t="str">
            <v>Round Valley Unified District</v>
          </cell>
        </row>
        <row r="10">
          <cell r="C10">
            <v>10218000</v>
          </cell>
          <cell r="D10" t="str">
            <v>Sanders Unified District</v>
          </cell>
        </row>
        <row r="11">
          <cell r="C11">
            <v>10220000</v>
          </cell>
          <cell r="D11" t="str">
            <v>Ganado Unified School District</v>
          </cell>
        </row>
        <row r="12">
          <cell r="C12">
            <v>10224000</v>
          </cell>
          <cell r="D12" t="str">
            <v>Chinle Unified District</v>
          </cell>
        </row>
        <row r="13">
          <cell r="C13">
            <v>10227000</v>
          </cell>
          <cell r="D13" t="str">
            <v>Red Mesa Unified District</v>
          </cell>
        </row>
        <row r="14">
          <cell r="C14">
            <v>10306000</v>
          </cell>
          <cell r="D14" t="str">
            <v>Concho Elementary District</v>
          </cell>
        </row>
        <row r="15">
          <cell r="C15">
            <v>10307000</v>
          </cell>
          <cell r="D15" t="str">
            <v>Alpine Elementary District</v>
          </cell>
        </row>
        <row r="16">
          <cell r="C16">
            <v>10309000</v>
          </cell>
          <cell r="D16" t="str">
            <v>Vernon Elementary District</v>
          </cell>
        </row>
        <row r="17">
          <cell r="C17">
            <v>10323000</v>
          </cell>
          <cell r="D17" t="str">
            <v>Mcnary Elementary District</v>
          </cell>
        </row>
        <row r="18">
          <cell r="D18" t="str">
            <v>Arizona Virtual Academy</v>
          </cell>
        </row>
        <row r="19">
          <cell r="D19" t="str">
            <v>Subtotal of Charter/AVA</v>
          </cell>
        </row>
        <row r="20">
          <cell r="D20" t="str">
            <v>Subtotal</v>
          </cell>
        </row>
        <row r="21">
          <cell r="D21" t="str">
            <v>Calculation Variable</v>
          </cell>
        </row>
        <row r="24">
          <cell r="C24">
            <v>20100000</v>
          </cell>
          <cell r="D24" t="str">
            <v>Fort Huachuca Accommodation District</v>
          </cell>
        </row>
        <row r="25">
          <cell r="C25">
            <v>20201000</v>
          </cell>
          <cell r="D25" t="str">
            <v>Tombstone Unified District</v>
          </cell>
        </row>
        <row r="26">
          <cell r="C26">
            <v>20202000</v>
          </cell>
          <cell r="D26" t="str">
            <v>Bisbee Unified District</v>
          </cell>
        </row>
        <row r="27">
          <cell r="C27">
            <v>20213000</v>
          </cell>
          <cell r="D27" t="str">
            <v>Willcox Unified District</v>
          </cell>
        </row>
        <row r="28">
          <cell r="C28">
            <v>20214000</v>
          </cell>
          <cell r="D28" t="str">
            <v>Bowie Unified District</v>
          </cell>
        </row>
        <row r="29">
          <cell r="C29">
            <v>20218000</v>
          </cell>
          <cell r="D29" t="str">
            <v>San Simon Unified District</v>
          </cell>
        </row>
        <row r="30">
          <cell r="C30">
            <v>20221000</v>
          </cell>
          <cell r="D30" t="str">
            <v>St David Unified District</v>
          </cell>
        </row>
        <row r="31">
          <cell r="C31">
            <v>20227000</v>
          </cell>
          <cell r="D31" t="str">
            <v>Douglas Unified District</v>
          </cell>
        </row>
        <row r="32">
          <cell r="C32">
            <v>20268000</v>
          </cell>
          <cell r="D32" t="str">
            <v>Sierra Vista Unified District</v>
          </cell>
        </row>
        <row r="33">
          <cell r="C33">
            <v>20323000</v>
          </cell>
          <cell r="D33" t="str">
            <v>Naco Elementary District</v>
          </cell>
        </row>
        <row r="34">
          <cell r="C34">
            <v>20326000</v>
          </cell>
          <cell r="D34" t="str">
            <v>Cochise Elementary District</v>
          </cell>
        </row>
        <row r="35">
          <cell r="C35">
            <v>20342000</v>
          </cell>
          <cell r="D35" t="str">
            <v>Apache Elementary District</v>
          </cell>
        </row>
        <row r="36">
          <cell r="C36">
            <v>20345000</v>
          </cell>
          <cell r="D36" t="str">
            <v>Double Adobe Elementary District</v>
          </cell>
        </row>
        <row r="37">
          <cell r="C37">
            <v>20349000</v>
          </cell>
          <cell r="D37" t="str">
            <v>Palominas Elementary District</v>
          </cell>
        </row>
        <row r="38">
          <cell r="C38">
            <v>20355000</v>
          </cell>
          <cell r="D38" t="str">
            <v>McNeal Elementary District</v>
          </cell>
        </row>
        <row r="39">
          <cell r="C39">
            <v>20412000</v>
          </cell>
          <cell r="D39" t="str">
            <v>Elfrida Elementary District</v>
          </cell>
        </row>
        <row r="40">
          <cell r="C40">
            <v>20422000</v>
          </cell>
          <cell r="D40" t="str">
            <v>Pearce Elementary District</v>
          </cell>
        </row>
        <row r="41">
          <cell r="C41">
            <v>20453000</v>
          </cell>
          <cell r="D41" t="str">
            <v>Ash Creek Elementary District</v>
          </cell>
        </row>
        <row r="42">
          <cell r="C42">
            <v>20364000</v>
          </cell>
          <cell r="D42" t="str">
            <v>Pomerene Elementary District</v>
          </cell>
        </row>
        <row r="43">
          <cell r="C43">
            <v>20522000</v>
          </cell>
          <cell r="D43" t="str">
            <v>Valley Union High School District</v>
          </cell>
        </row>
        <row r="44">
          <cell r="C44">
            <v>20209000</v>
          </cell>
          <cell r="D44" t="str">
            <v>Benson Unified School District</v>
          </cell>
        </row>
        <row r="45">
          <cell r="D45" t="str">
            <v>Balance of Cochise County</v>
          </cell>
        </row>
        <row r="46">
          <cell r="C46">
            <v>28750000</v>
          </cell>
          <cell r="D46" t="str">
            <v>Center for Academic Success, Inc.</v>
          </cell>
        </row>
        <row r="47">
          <cell r="C47">
            <v>28751000</v>
          </cell>
          <cell r="D47" t="str">
            <v>Omega Alpha Academy</v>
          </cell>
        </row>
        <row r="48">
          <cell r="C48">
            <v>38708000</v>
          </cell>
          <cell r="D48" t="str">
            <v>Visions Unlimited Academy, Inc.</v>
          </cell>
        </row>
        <row r="49">
          <cell r="C49">
            <v>28701000</v>
          </cell>
          <cell r="D49" t="str">
            <v>Cochise Community Development Corporation</v>
          </cell>
        </row>
        <row r="50">
          <cell r="D50" t="str">
            <v>Arizona Virtual Academy</v>
          </cell>
        </row>
        <row r="51">
          <cell r="D51" t="str">
            <v>Subtotal of Charter/AVA</v>
          </cell>
        </row>
        <row r="52">
          <cell r="D52" t="str">
            <v>Subtotal</v>
          </cell>
        </row>
        <row r="53">
          <cell r="D53" t="str">
            <v>Calculation Variable</v>
          </cell>
        </row>
        <row r="56">
          <cell r="C56">
            <v>30201000</v>
          </cell>
          <cell r="D56" t="str">
            <v>Flagstaff Unified District</v>
          </cell>
        </row>
        <row r="57">
          <cell r="C57">
            <v>30202000</v>
          </cell>
          <cell r="D57" t="str">
            <v>Williams Unified District</v>
          </cell>
        </row>
        <row r="58">
          <cell r="C58">
            <v>30204000</v>
          </cell>
          <cell r="D58" t="str">
            <v>Grand Canyon Unified District</v>
          </cell>
        </row>
        <row r="59">
          <cell r="C59">
            <v>30206000</v>
          </cell>
          <cell r="D59" t="str">
            <v>Fredonia-Moccasin Unified District</v>
          </cell>
        </row>
        <row r="60">
          <cell r="C60">
            <v>30208000</v>
          </cell>
          <cell r="D60" t="str">
            <v>Page Unified District</v>
          </cell>
        </row>
        <row r="61">
          <cell r="C61">
            <v>30215000</v>
          </cell>
          <cell r="D61" t="str">
            <v>Tuba City Unified District</v>
          </cell>
        </row>
        <row r="62">
          <cell r="C62">
            <v>30305000</v>
          </cell>
          <cell r="D62" t="str">
            <v>Chevelon Butte School District</v>
          </cell>
        </row>
        <row r="63">
          <cell r="C63">
            <v>30310000</v>
          </cell>
          <cell r="D63" t="str">
            <v>Maine Consolidated School District</v>
          </cell>
        </row>
        <row r="64">
          <cell r="D64" t="str">
            <v>Balance of Coconino County</v>
          </cell>
        </row>
        <row r="65">
          <cell r="C65">
            <v>38706000</v>
          </cell>
          <cell r="D65" t="str">
            <v>Pine Forest Education Association, Inc.</v>
          </cell>
        </row>
        <row r="66">
          <cell r="C66">
            <v>38752000</v>
          </cell>
          <cell r="D66" t="str">
            <v>Flagstaff Junior Academy</v>
          </cell>
        </row>
        <row r="67">
          <cell r="C67">
            <v>38753000</v>
          </cell>
          <cell r="D67" t="str">
            <v>Painted Desert Demonstration Projects, Inc.</v>
          </cell>
        </row>
        <row r="68">
          <cell r="C68">
            <v>38702000</v>
          </cell>
          <cell r="D68" t="str">
            <v>PEAK School Inc., The</v>
          </cell>
        </row>
        <row r="69">
          <cell r="D69" t="str">
            <v>Arizona Virtual Academy</v>
          </cell>
        </row>
        <row r="70">
          <cell r="D70" t="str">
            <v>Subtotal of Charter/AVA</v>
          </cell>
        </row>
        <row r="71">
          <cell r="D71" t="str">
            <v>Subtotal</v>
          </cell>
        </row>
        <row r="72">
          <cell r="D72" t="str">
            <v>Calculation Variable</v>
          </cell>
        </row>
        <row r="75">
          <cell r="C75">
            <v>40201000</v>
          </cell>
          <cell r="D75" t="str">
            <v>Globe Unified District</v>
          </cell>
        </row>
        <row r="76">
          <cell r="C76">
            <v>40210000</v>
          </cell>
          <cell r="D76" t="str">
            <v>Payson Unified District</v>
          </cell>
        </row>
        <row r="77">
          <cell r="C77">
            <v>40220000</v>
          </cell>
          <cell r="D77" t="str">
            <v>San Carlos Unified District</v>
          </cell>
        </row>
        <row r="78">
          <cell r="C78">
            <v>40240000</v>
          </cell>
          <cell r="D78" t="str">
            <v>Miami Unified District</v>
          </cell>
        </row>
        <row r="79">
          <cell r="C79">
            <v>40241000</v>
          </cell>
          <cell r="D79" t="str">
            <v>Hayden-Winkelman Unified District</v>
          </cell>
        </row>
        <row r="80">
          <cell r="C80">
            <v>40305000</v>
          </cell>
          <cell r="D80" t="str">
            <v>Young Elementary District</v>
          </cell>
        </row>
        <row r="81">
          <cell r="C81">
            <v>40312000</v>
          </cell>
          <cell r="D81" t="str">
            <v>Pine Strawberry Elementary District</v>
          </cell>
        </row>
        <row r="82">
          <cell r="C82">
            <v>40333000</v>
          </cell>
          <cell r="D82" t="str">
            <v>Tonto Basin Elementary District</v>
          </cell>
        </row>
        <row r="83">
          <cell r="D83" t="str">
            <v>Balance of Gila County</v>
          </cell>
        </row>
        <row r="84">
          <cell r="C84">
            <v>48701000</v>
          </cell>
          <cell r="D84" t="str">
            <v>Destiny School, Inc.</v>
          </cell>
        </row>
        <row r="85">
          <cell r="C85">
            <v>40149000</v>
          </cell>
          <cell r="D85" t="str">
            <v>Gila County Regional School District</v>
          </cell>
        </row>
        <row r="86">
          <cell r="D86" t="str">
            <v>Arizona Virtual Academy</v>
          </cell>
        </row>
        <row r="87">
          <cell r="D87" t="str">
            <v>Subtotal of Charter/AVA</v>
          </cell>
        </row>
        <row r="88">
          <cell r="D88" t="str">
            <v>Subtotal</v>
          </cell>
        </row>
        <row r="89">
          <cell r="D89" t="str">
            <v>Calculation Variable</v>
          </cell>
        </row>
        <row r="92">
          <cell r="C92">
            <v>50201000</v>
          </cell>
          <cell r="D92" t="str">
            <v>Safford Unified District</v>
          </cell>
        </row>
        <row r="93">
          <cell r="C93">
            <v>50204000</v>
          </cell>
          <cell r="D93" t="str">
            <v>Thatcher Unified District</v>
          </cell>
        </row>
        <row r="94">
          <cell r="C94">
            <v>50206000</v>
          </cell>
          <cell r="D94" t="str">
            <v>Pima Unified District</v>
          </cell>
        </row>
        <row r="95">
          <cell r="C95">
            <v>50207000</v>
          </cell>
          <cell r="D95" t="str">
            <v>Fort Thomas Unified District</v>
          </cell>
        </row>
        <row r="96">
          <cell r="C96">
            <v>50305000</v>
          </cell>
          <cell r="D96" t="str">
            <v>Solomon Elementary District</v>
          </cell>
        </row>
        <row r="97">
          <cell r="C97">
            <v>50309000</v>
          </cell>
          <cell r="D97" t="str">
            <v>Klondyke Elementary District</v>
          </cell>
        </row>
        <row r="98">
          <cell r="C98">
            <v>50316000</v>
          </cell>
          <cell r="D98" t="str">
            <v>Bonita Elementary District</v>
          </cell>
        </row>
        <row r="99">
          <cell r="C99">
            <v>50199000</v>
          </cell>
          <cell r="D99" t="str">
            <v>Graham County Special Services</v>
          </cell>
        </row>
        <row r="100">
          <cell r="C100">
            <v>58703000</v>
          </cell>
          <cell r="D100" t="str">
            <v>Discovery Plus Academy</v>
          </cell>
        </row>
        <row r="101">
          <cell r="D101" t="str">
            <v>Arizona Virtual Academy</v>
          </cell>
        </row>
        <row r="102">
          <cell r="D102" t="str">
            <v>Subtotal of Charter/AVA</v>
          </cell>
        </row>
        <row r="103">
          <cell r="D103" t="str">
            <v>Subtotal</v>
          </cell>
        </row>
        <row r="104">
          <cell r="D104" t="str">
            <v>Calculation Variable</v>
          </cell>
        </row>
        <row r="107">
          <cell r="C107">
            <v>60202000</v>
          </cell>
          <cell r="D107" t="str">
            <v>Duncan Unified District</v>
          </cell>
        </row>
        <row r="108">
          <cell r="C108">
            <v>60203000</v>
          </cell>
          <cell r="D108" t="str">
            <v>Clifton Unified District</v>
          </cell>
        </row>
        <row r="109">
          <cell r="C109">
            <v>60218000</v>
          </cell>
          <cell r="D109" t="str">
            <v>Morenci Unified District</v>
          </cell>
        </row>
        <row r="110">
          <cell r="C110">
            <v>60322000</v>
          </cell>
          <cell r="D110" t="str">
            <v>Blue Elementary District</v>
          </cell>
        </row>
        <row r="111">
          <cell r="C111">
            <v>60345000</v>
          </cell>
          <cell r="D111" t="str">
            <v>Eagle Elementary District</v>
          </cell>
        </row>
        <row r="112">
          <cell r="D112" t="str">
            <v>Arizona Virtual Academy</v>
          </cell>
        </row>
        <row r="113">
          <cell r="D113" t="str">
            <v>Subtotal of Charter/AVA</v>
          </cell>
        </row>
        <row r="114">
          <cell r="D114" t="str">
            <v>Subtotal</v>
          </cell>
        </row>
        <row r="115">
          <cell r="D115" t="str">
            <v>Calculation Variable</v>
          </cell>
        </row>
        <row r="118">
          <cell r="C118">
            <v>150227000</v>
          </cell>
          <cell r="D118" t="str">
            <v>Parker Unified School District</v>
          </cell>
        </row>
        <row r="119">
          <cell r="C119">
            <v>150404000</v>
          </cell>
          <cell r="D119" t="str">
            <v>Quartzsite Elementary District</v>
          </cell>
        </row>
        <row r="120">
          <cell r="C120">
            <v>150419000</v>
          </cell>
          <cell r="D120" t="str">
            <v>Wenden Elementary District</v>
          </cell>
        </row>
        <row r="121">
          <cell r="C121">
            <v>150426000</v>
          </cell>
          <cell r="D121" t="str">
            <v>Bouse Elementary District</v>
          </cell>
        </row>
        <row r="122">
          <cell r="C122">
            <v>150430000</v>
          </cell>
          <cell r="D122" t="str">
            <v>Salome Consolidated Elementary District</v>
          </cell>
        </row>
        <row r="123">
          <cell r="C123">
            <v>150576000</v>
          </cell>
          <cell r="D123" t="str">
            <v>Bicentennial Union High School District</v>
          </cell>
        </row>
        <row r="124">
          <cell r="D124" t="str">
            <v>Arizona Virtual Academy</v>
          </cell>
        </row>
        <row r="125">
          <cell r="D125" t="str">
            <v>Subtotal of Charter/AVA</v>
          </cell>
        </row>
        <row r="126">
          <cell r="D126" t="str">
            <v>Subtotal</v>
          </cell>
        </row>
        <row r="127">
          <cell r="D127" t="str">
            <v>Calculation Variable</v>
          </cell>
        </row>
        <row r="130">
          <cell r="C130">
            <v>70204000</v>
          </cell>
          <cell r="D130" t="str">
            <v>Mesa Unified District</v>
          </cell>
        </row>
        <row r="131">
          <cell r="C131">
            <v>70209000</v>
          </cell>
          <cell r="D131" t="str">
            <v>Wickenburg Unified District</v>
          </cell>
        </row>
        <row r="132">
          <cell r="C132">
            <v>70211000</v>
          </cell>
          <cell r="D132" t="str">
            <v>Peoria Unified School District</v>
          </cell>
        </row>
        <row r="133">
          <cell r="C133">
            <v>70224000</v>
          </cell>
          <cell r="D133" t="str">
            <v>Gila Bend Unified District</v>
          </cell>
        </row>
        <row r="134">
          <cell r="C134">
            <v>70241000</v>
          </cell>
          <cell r="D134" t="str">
            <v>Gilbert Unified District</v>
          </cell>
        </row>
        <row r="135">
          <cell r="C135">
            <v>70248000</v>
          </cell>
          <cell r="D135" t="str">
            <v>Scottsdale Unified District</v>
          </cell>
        </row>
        <row r="136">
          <cell r="C136">
            <v>70269000</v>
          </cell>
          <cell r="D136" t="str">
            <v>Paradise Valley Unified District</v>
          </cell>
        </row>
        <row r="137">
          <cell r="C137">
            <v>70280000</v>
          </cell>
          <cell r="D137" t="str">
            <v>Chandler Unified District #80</v>
          </cell>
        </row>
        <row r="138">
          <cell r="C138">
            <v>70289000</v>
          </cell>
          <cell r="D138" t="str">
            <v>Dysart Unified District</v>
          </cell>
        </row>
        <row r="139">
          <cell r="C139">
            <v>70293000</v>
          </cell>
          <cell r="D139" t="str">
            <v>Cave Creek Unified District</v>
          </cell>
        </row>
        <row r="140">
          <cell r="C140">
            <v>70295000</v>
          </cell>
          <cell r="D140" t="str">
            <v>Queen Creek Unified District</v>
          </cell>
        </row>
        <row r="141">
          <cell r="C141">
            <v>70297000</v>
          </cell>
          <cell r="D141" t="str">
            <v>Deer Valley Unified District</v>
          </cell>
        </row>
        <row r="142">
          <cell r="C142">
            <v>70298000</v>
          </cell>
          <cell r="D142" t="str">
            <v>Fountain Hills Unified District</v>
          </cell>
        </row>
        <row r="143">
          <cell r="C143">
            <v>70260000</v>
          </cell>
          <cell r="D143" t="str">
            <v>Higley Unified School District</v>
          </cell>
        </row>
        <row r="144">
          <cell r="C144">
            <v>70363000</v>
          </cell>
          <cell r="D144" t="str">
            <v>Aguila Elementary District</v>
          </cell>
        </row>
        <row r="145">
          <cell r="C145">
            <v>70371000</v>
          </cell>
          <cell r="D145" t="str">
            <v>Sentinel Elementary District</v>
          </cell>
        </row>
        <row r="146">
          <cell r="C146">
            <v>70375000</v>
          </cell>
          <cell r="D146" t="str">
            <v>Morristown Elementary District</v>
          </cell>
        </row>
        <row r="147">
          <cell r="C147">
            <v>70381000</v>
          </cell>
          <cell r="D147" t="str">
            <v>Nadaburg Unified School District</v>
          </cell>
        </row>
        <row r="148">
          <cell r="C148">
            <v>70386000</v>
          </cell>
          <cell r="D148" t="str">
            <v>Mobile Elementary District</v>
          </cell>
        </row>
        <row r="149">
          <cell r="C149">
            <v>70290000</v>
          </cell>
          <cell r="D149" t="str">
            <v>Saddle Mountain Unified School District</v>
          </cell>
        </row>
        <row r="150">
          <cell r="C150">
            <v>70394000</v>
          </cell>
          <cell r="D150" t="str">
            <v>Paloma School District</v>
          </cell>
        </row>
        <row r="151">
          <cell r="C151">
            <v>70401000</v>
          </cell>
          <cell r="D151" t="str">
            <v>Phoenix Elementary District</v>
          </cell>
        </row>
        <row r="152">
          <cell r="C152">
            <v>70402000</v>
          </cell>
          <cell r="D152" t="str">
            <v>Riverside Elementary District</v>
          </cell>
        </row>
        <row r="153">
          <cell r="C153">
            <v>70403000</v>
          </cell>
          <cell r="D153" t="str">
            <v>Tempe School District</v>
          </cell>
        </row>
        <row r="154">
          <cell r="C154">
            <v>70405000</v>
          </cell>
          <cell r="D154" t="str">
            <v>Isaac Elementary District</v>
          </cell>
        </row>
        <row r="155">
          <cell r="C155">
            <v>70406000</v>
          </cell>
          <cell r="D155" t="str">
            <v>Washington Elementary School District</v>
          </cell>
        </row>
        <row r="156">
          <cell r="C156">
            <v>70407000</v>
          </cell>
          <cell r="D156" t="str">
            <v>Wilson Elementary District</v>
          </cell>
        </row>
        <row r="157">
          <cell r="C157">
            <v>70408000</v>
          </cell>
          <cell r="D157" t="str">
            <v>Osborn Elementary District</v>
          </cell>
        </row>
        <row r="158">
          <cell r="C158">
            <v>70414000</v>
          </cell>
          <cell r="D158" t="str">
            <v>Creighton Elementary District</v>
          </cell>
        </row>
        <row r="159">
          <cell r="C159">
            <v>70417000</v>
          </cell>
          <cell r="D159" t="str">
            <v>Tolleson Elementary District</v>
          </cell>
        </row>
        <row r="160">
          <cell r="C160">
            <v>70421000</v>
          </cell>
          <cell r="D160" t="str">
            <v>Murphy Elementary District</v>
          </cell>
        </row>
        <row r="161">
          <cell r="C161">
            <v>70425000</v>
          </cell>
          <cell r="D161" t="str">
            <v>Liberty Elementary District</v>
          </cell>
        </row>
        <row r="162">
          <cell r="C162">
            <v>70428000</v>
          </cell>
          <cell r="D162" t="str">
            <v>Kyrene Elementary District</v>
          </cell>
        </row>
        <row r="163">
          <cell r="C163">
            <v>70431000</v>
          </cell>
          <cell r="D163" t="str">
            <v>Balsz Elementary District</v>
          </cell>
        </row>
        <row r="164">
          <cell r="C164">
            <v>70433000</v>
          </cell>
          <cell r="D164" t="str">
            <v>Buckeye Elementary District</v>
          </cell>
        </row>
        <row r="165">
          <cell r="C165">
            <v>70438000</v>
          </cell>
          <cell r="D165" t="str">
            <v>Madison Elementary District</v>
          </cell>
        </row>
        <row r="166">
          <cell r="C166">
            <v>70440000</v>
          </cell>
          <cell r="D166" t="str">
            <v>Glendale Elementary District</v>
          </cell>
        </row>
        <row r="167">
          <cell r="C167">
            <v>70444000</v>
          </cell>
          <cell r="D167" t="str">
            <v>Avondale Elementary District</v>
          </cell>
        </row>
        <row r="168">
          <cell r="C168">
            <v>70445000</v>
          </cell>
          <cell r="D168" t="str">
            <v>Fowler Elementary District</v>
          </cell>
        </row>
        <row r="169">
          <cell r="C169">
            <v>70447000</v>
          </cell>
          <cell r="D169" t="str">
            <v>Arlington Elementary District</v>
          </cell>
        </row>
        <row r="170">
          <cell r="C170">
            <v>70449000</v>
          </cell>
          <cell r="D170" t="str">
            <v>Palo Verde Elementary District</v>
          </cell>
        </row>
        <row r="171">
          <cell r="C171">
            <v>70459000</v>
          </cell>
          <cell r="D171" t="str">
            <v>Laveen Elementary District</v>
          </cell>
        </row>
        <row r="172">
          <cell r="C172">
            <v>70462000</v>
          </cell>
          <cell r="D172" t="str">
            <v>Union Elementary District</v>
          </cell>
        </row>
        <row r="173">
          <cell r="C173">
            <v>70465000</v>
          </cell>
          <cell r="D173" t="str">
            <v>Littleton Elementary District</v>
          </cell>
        </row>
        <row r="174">
          <cell r="C174">
            <v>70466000</v>
          </cell>
          <cell r="D174" t="str">
            <v>Roosevelt Elementary District</v>
          </cell>
        </row>
        <row r="175">
          <cell r="C175">
            <v>70468000</v>
          </cell>
          <cell r="D175" t="str">
            <v>Alhambra Elementary District</v>
          </cell>
        </row>
        <row r="176">
          <cell r="C176">
            <v>70479000</v>
          </cell>
          <cell r="D176" t="str">
            <v>Litchfield Elementary District</v>
          </cell>
        </row>
        <row r="177">
          <cell r="C177">
            <v>70483000</v>
          </cell>
          <cell r="D177" t="str">
            <v>Cartwright Elementary District</v>
          </cell>
        </row>
        <row r="178">
          <cell r="C178">
            <v>70492000</v>
          </cell>
          <cell r="D178" t="str">
            <v>Pendergast Elementary District</v>
          </cell>
        </row>
        <row r="179">
          <cell r="C179">
            <v>70501000</v>
          </cell>
          <cell r="D179" t="str">
            <v>Buckeye Union High School District</v>
          </cell>
        </row>
        <row r="180">
          <cell r="C180">
            <v>70505000</v>
          </cell>
          <cell r="D180" t="str">
            <v>Glendale Union High School District</v>
          </cell>
        </row>
        <row r="181">
          <cell r="C181">
            <v>70510000</v>
          </cell>
          <cell r="D181" t="str">
            <v>Phoenix Union High School District</v>
          </cell>
        </row>
        <row r="182">
          <cell r="C182">
            <v>70513000</v>
          </cell>
          <cell r="D182" t="str">
            <v>Tempe Union High School District</v>
          </cell>
        </row>
        <row r="183">
          <cell r="C183">
            <v>70514000</v>
          </cell>
          <cell r="D183" t="str">
            <v>Tolleson Union High School District</v>
          </cell>
        </row>
        <row r="184">
          <cell r="C184">
            <v>70516000</v>
          </cell>
          <cell r="D184" t="str">
            <v>Agua Fria Union High School District</v>
          </cell>
        </row>
        <row r="185">
          <cell r="D185" t="str">
            <v>Balance of Maricopa County</v>
          </cell>
        </row>
        <row r="186">
          <cell r="C186">
            <v>70199000</v>
          </cell>
          <cell r="D186" t="str">
            <v>Maricopa County Regional District</v>
          </cell>
        </row>
        <row r="187">
          <cell r="C187">
            <v>78987000</v>
          </cell>
          <cell r="D187" t="str">
            <v>Ball Charter Schools (Hearn)</v>
          </cell>
        </row>
        <row r="188">
          <cell r="C188">
            <v>78995000</v>
          </cell>
          <cell r="D188" t="str">
            <v>Cholla Academy (Omega 07-89-95-000)</v>
          </cell>
        </row>
        <row r="189">
          <cell r="C189">
            <v>78604000</v>
          </cell>
          <cell r="D189" t="str">
            <v>Academy Of Excellence, Inc.</v>
          </cell>
        </row>
        <row r="190">
          <cell r="C190">
            <v>78611000</v>
          </cell>
          <cell r="D190" t="str">
            <v>Friendly House, Inc.</v>
          </cell>
        </row>
        <row r="191">
          <cell r="C191">
            <v>78613000</v>
          </cell>
          <cell r="D191" t="str">
            <v>Boys &amp; Girls Clubs of the East Valley dba Mesa Arts Academy</v>
          </cell>
        </row>
        <row r="192">
          <cell r="C192">
            <v>78630000</v>
          </cell>
          <cell r="D192" t="str">
            <v>Twenty First Century Charter School, Inc. Bennett Academy</v>
          </cell>
        </row>
        <row r="193">
          <cell r="C193">
            <v>78634000</v>
          </cell>
          <cell r="D193" t="str">
            <v>STEP UP Schools, Inc.</v>
          </cell>
        </row>
        <row r="194">
          <cell r="C194">
            <v>78647000</v>
          </cell>
          <cell r="D194" t="str">
            <v>Maricopa County Community College District dba Gateway Early College High School</v>
          </cell>
        </row>
        <row r="195">
          <cell r="C195">
            <v>78656000</v>
          </cell>
          <cell r="D195" t="str">
            <v>Salt River Pima-Maricopa  Community Schools</v>
          </cell>
        </row>
        <row r="196">
          <cell r="C196">
            <v>78701000</v>
          </cell>
          <cell r="D196" t="str">
            <v>Acclaim Charter School</v>
          </cell>
        </row>
        <row r="197">
          <cell r="C197">
            <v>78704000</v>
          </cell>
          <cell r="D197" t="str">
            <v>Hillcrest Academy, Inc.</v>
          </cell>
        </row>
        <row r="198">
          <cell r="C198">
            <v>78705000</v>
          </cell>
          <cell r="D198" t="str">
            <v>Edkey, Inc. - Sequoia Choice Schools</v>
          </cell>
        </row>
        <row r="199">
          <cell r="C199">
            <v>78608000</v>
          </cell>
          <cell r="D199" t="str">
            <v>Florence Crittenton Services of Arizona, Inc.</v>
          </cell>
        </row>
        <row r="200">
          <cell r="C200">
            <v>78707000</v>
          </cell>
          <cell r="D200" t="str">
            <v>Arizona Agribusiness &amp; Equine Center, Inc.</v>
          </cell>
        </row>
        <row r="201">
          <cell r="C201">
            <v>78708000</v>
          </cell>
          <cell r="D201" t="str">
            <v>Genesis Program, Inc.</v>
          </cell>
        </row>
        <row r="202">
          <cell r="C202">
            <v>78711000</v>
          </cell>
          <cell r="D202" t="str">
            <v>Espiritu Community Development Corp.</v>
          </cell>
        </row>
        <row r="203">
          <cell r="C203">
            <v>78714000</v>
          </cell>
          <cell r="D203" t="str">
            <v>Phoenix Advantage Charter School, Inc.</v>
          </cell>
        </row>
        <row r="204">
          <cell r="C204">
            <v>78717000</v>
          </cell>
          <cell r="D204" t="str">
            <v>EduPreneurship, Inc.</v>
          </cell>
        </row>
        <row r="205">
          <cell r="C205">
            <v>78718000</v>
          </cell>
          <cell r="D205" t="str">
            <v>Kaizen Education Foundation dba El Dorado High School</v>
          </cell>
        </row>
        <row r="206">
          <cell r="C206">
            <v>78723000</v>
          </cell>
          <cell r="D206" t="str">
            <v>Arizona Call-a-Teen Youth Resources, Inc.</v>
          </cell>
        </row>
        <row r="207">
          <cell r="C207">
            <v>78741000</v>
          </cell>
          <cell r="D207" t="str">
            <v>Intelli-School, Inc.</v>
          </cell>
        </row>
        <row r="208">
          <cell r="C208">
            <v>78758000</v>
          </cell>
          <cell r="D208" t="str">
            <v>Montessori Day Public Schools Chartered, Inc.</v>
          </cell>
        </row>
        <row r="209">
          <cell r="C209">
            <v>78759000</v>
          </cell>
          <cell r="D209" t="str">
            <v>Khalsa Montessori Elementary Schools</v>
          </cell>
        </row>
        <row r="210">
          <cell r="C210">
            <v>78771000</v>
          </cell>
          <cell r="D210" t="str">
            <v>New Horizon School for the Performing Arts</v>
          </cell>
        </row>
        <row r="211">
          <cell r="C211">
            <v>78751000</v>
          </cell>
          <cell r="D211" t="str">
            <v>Integrity Education Incorporated</v>
          </cell>
        </row>
        <row r="212">
          <cell r="C212">
            <v>78912000</v>
          </cell>
          <cell r="D212" t="str">
            <v>Paragon Management, Inc.</v>
          </cell>
        </row>
        <row r="213">
          <cell r="C213">
            <v>78907000</v>
          </cell>
          <cell r="D213" t="str">
            <v>P.L.C. Charter Schools</v>
          </cell>
        </row>
        <row r="214">
          <cell r="C214">
            <v>78772000</v>
          </cell>
          <cell r="D214" t="str">
            <v>Challenge School, Inc.</v>
          </cell>
        </row>
        <row r="215">
          <cell r="C215">
            <v>78773000</v>
          </cell>
          <cell r="D215" t="str">
            <v>Westwind Children's Services</v>
          </cell>
        </row>
        <row r="216">
          <cell r="C216">
            <v>78774000</v>
          </cell>
          <cell r="D216" t="str">
            <v>Gem Charter School, Inc.</v>
          </cell>
        </row>
        <row r="217">
          <cell r="C217">
            <v>78664000</v>
          </cell>
          <cell r="D217" t="str">
            <v>Employ-Ability Unlimited, Inc.</v>
          </cell>
        </row>
        <row r="218">
          <cell r="C218">
            <v>78665000</v>
          </cell>
          <cell r="D218" t="str">
            <v>Arizona Academy of Science And Technology, Inc.</v>
          </cell>
        </row>
        <row r="219">
          <cell r="C219">
            <v>78776000</v>
          </cell>
          <cell r="D219" t="str">
            <v>Phoenix School of Academic Excellence The</v>
          </cell>
        </row>
        <row r="220">
          <cell r="C220">
            <v>1202000</v>
          </cell>
          <cell r="D220" t="str">
            <v>Arizona State School for the Deaf and Blind</v>
          </cell>
        </row>
        <row r="221">
          <cell r="C221">
            <v>78915000</v>
          </cell>
          <cell r="D221" t="str">
            <v>Edkey, Inc. - Sequoia Charter School</v>
          </cell>
        </row>
        <row r="222">
          <cell r="C222">
            <v>78930000</v>
          </cell>
          <cell r="D222" t="str">
            <v>Noah Webster Basic School</v>
          </cell>
        </row>
        <row r="223">
          <cell r="C223">
            <v>78784000</v>
          </cell>
          <cell r="D223" t="str">
            <v>Liberty Traditional Charter School</v>
          </cell>
        </row>
        <row r="224">
          <cell r="C224">
            <v>78785000</v>
          </cell>
          <cell r="D224" t="str">
            <v>Fit Kids, Inc. dba Champion Schools</v>
          </cell>
        </row>
        <row r="225">
          <cell r="C225">
            <v>78904000</v>
          </cell>
          <cell r="D225" t="str">
            <v>Mission Charter School, Inc.</v>
          </cell>
        </row>
        <row r="226">
          <cell r="C226">
            <v>78760000</v>
          </cell>
          <cell r="D226" t="str">
            <v>New World Educational Center</v>
          </cell>
        </row>
        <row r="227">
          <cell r="C227">
            <v>78765000</v>
          </cell>
          <cell r="D227" t="str">
            <v>Kaizen Education Foundation dba South Pointe Junior High School</v>
          </cell>
        </row>
        <row r="228">
          <cell r="C228">
            <v>78792000</v>
          </cell>
          <cell r="D228" t="str">
            <v>Pathfinder Charter School Foundation</v>
          </cell>
        </row>
        <row r="229">
          <cell r="C229">
            <v>78524000</v>
          </cell>
          <cell r="D229" t="str">
            <v>Career Success Schools</v>
          </cell>
        </row>
        <row r="230">
          <cell r="C230">
            <v>78793000</v>
          </cell>
          <cell r="D230" t="str">
            <v>AIBT Non-Profit Charter High School - Phoenix</v>
          </cell>
        </row>
        <row r="231">
          <cell r="C231">
            <v>78909000</v>
          </cell>
          <cell r="D231" t="str">
            <v>Calibre Academy</v>
          </cell>
        </row>
        <row r="232">
          <cell r="C232">
            <v>78911000</v>
          </cell>
          <cell r="D232" t="str">
            <v>E-Institute Charter Schools, Inc.</v>
          </cell>
        </row>
        <row r="233">
          <cell r="C233">
            <v>78513000</v>
          </cell>
          <cell r="D233" t="str">
            <v>Country Gardens Charter Schools</v>
          </cell>
        </row>
        <row r="234">
          <cell r="C234">
            <v>78914000</v>
          </cell>
          <cell r="D234" t="str">
            <v>Skyline Schools, Inc.</v>
          </cell>
        </row>
        <row r="235">
          <cell r="C235">
            <v>78988000</v>
          </cell>
          <cell r="D235" t="str">
            <v>Ball Charter Schools (Dobson)</v>
          </cell>
        </row>
        <row r="236">
          <cell r="C236">
            <v>78905000</v>
          </cell>
          <cell r="D236" t="str">
            <v>Paramount Education Studies Inc</v>
          </cell>
        </row>
        <row r="237">
          <cell r="C237">
            <v>78917000</v>
          </cell>
          <cell r="D237" t="str">
            <v>Edkey, Inc. - Sequoia Village School</v>
          </cell>
        </row>
        <row r="238">
          <cell r="C238">
            <v>78794000</v>
          </cell>
          <cell r="D238" t="str">
            <v>Academy with Community Partners  Inc</v>
          </cell>
        </row>
        <row r="239">
          <cell r="C239">
            <v>78901000</v>
          </cell>
          <cell r="D239" t="str">
            <v>Excalibur Charter Schools, Inc.</v>
          </cell>
        </row>
        <row r="240">
          <cell r="C240">
            <v>78670000</v>
          </cell>
          <cell r="D240" t="str">
            <v>Precision Academy Systems, Inc</v>
          </cell>
        </row>
        <row r="241">
          <cell r="C241">
            <v>78999000</v>
          </cell>
          <cell r="D241" t="str">
            <v>Kaizen Education Foundation dba South Pointe Elementary School</v>
          </cell>
        </row>
        <row r="242">
          <cell r="C242">
            <v>78924000</v>
          </cell>
          <cell r="D242" t="str">
            <v>Success School</v>
          </cell>
        </row>
        <row r="243">
          <cell r="C243">
            <v>78926000</v>
          </cell>
          <cell r="D243" t="str">
            <v>Primavera Technical Learning Center</v>
          </cell>
        </row>
        <row r="244">
          <cell r="C244">
            <v>78928000</v>
          </cell>
          <cell r="D244" t="str">
            <v>James Sandoval Preparatory High School</v>
          </cell>
        </row>
        <row r="245">
          <cell r="C245">
            <v>78931000</v>
          </cell>
          <cell r="D245" t="str">
            <v>Westwind Middle School Academy</v>
          </cell>
        </row>
        <row r="246">
          <cell r="C246">
            <v>78935000</v>
          </cell>
          <cell r="D246" t="str">
            <v>West Gilbert Charter Elementary School, Inc.</v>
          </cell>
        </row>
        <row r="247">
          <cell r="C247">
            <v>78939000</v>
          </cell>
          <cell r="D247" t="str">
            <v>Premier Charter High School</v>
          </cell>
        </row>
        <row r="248">
          <cell r="C248">
            <v>78940000</v>
          </cell>
          <cell r="D248" t="str">
            <v>Pan-American Elementary Charter</v>
          </cell>
        </row>
        <row r="249">
          <cell r="C249">
            <v>78685000</v>
          </cell>
          <cell r="D249" t="str">
            <v>Legacy Schools</v>
          </cell>
        </row>
        <row r="250">
          <cell r="C250">
            <v>78945000</v>
          </cell>
          <cell r="D250" t="str">
            <v>North Star Charter School, Inc.</v>
          </cell>
        </row>
        <row r="251">
          <cell r="C251">
            <v>78946000</v>
          </cell>
          <cell r="D251" t="str">
            <v>Kaizen Education Foundation dba Vista Grove Preparatory Academy Middle School</v>
          </cell>
        </row>
        <row r="252">
          <cell r="C252">
            <v>78947000</v>
          </cell>
          <cell r="D252" t="str">
            <v>American Charter Schools Foundation d.b.a. Desert Hills High School</v>
          </cell>
        </row>
        <row r="253">
          <cell r="C253">
            <v>78948000</v>
          </cell>
          <cell r="D253" t="str">
            <v>American Charter Schools Foundation d.b.a. Estrella High School</v>
          </cell>
        </row>
        <row r="254">
          <cell r="C254">
            <v>78950000</v>
          </cell>
          <cell r="D254" t="str">
            <v>American Charter Schools Foundation d.b.a. Crestview College Preparatory High Sc</v>
          </cell>
        </row>
        <row r="255">
          <cell r="C255">
            <v>78951000</v>
          </cell>
          <cell r="D255" t="str">
            <v>American Charter Schools Foundation d.b.a. Peoria Accelerated High School</v>
          </cell>
        </row>
        <row r="256">
          <cell r="C256">
            <v>78952000</v>
          </cell>
          <cell r="D256" t="str">
            <v>Kaizen Education Foundation dba Summit High School</v>
          </cell>
        </row>
        <row r="257">
          <cell r="C257">
            <v>78953000</v>
          </cell>
          <cell r="D257" t="str">
            <v>American Charter Schools Foundation d.b.a. Sun Valley High School</v>
          </cell>
        </row>
        <row r="258">
          <cell r="C258">
            <v>78954000</v>
          </cell>
          <cell r="D258" t="str">
            <v>Kaizen Education Foundation dba Tempe Accelerated High School</v>
          </cell>
        </row>
        <row r="259">
          <cell r="C259">
            <v>78956000</v>
          </cell>
          <cell r="D259" t="str">
            <v>American Charter Schools Foundation d.b.a. West Phoenix High School</v>
          </cell>
        </row>
        <row r="260">
          <cell r="C260">
            <v>78949000</v>
          </cell>
          <cell r="D260" t="str">
            <v>Kaizen Education Foundation dba Maya High School</v>
          </cell>
        </row>
        <row r="261">
          <cell r="C261">
            <v>78959000</v>
          </cell>
          <cell r="D261" t="str">
            <v>Camelback Education, Inc</v>
          </cell>
        </row>
        <row r="262">
          <cell r="C262">
            <v>78962000</v>
          </cell>
          <cell r="D262" t="str">
            <v>SC Jensen Corporation, Inc. dba Intelli-School</v>
          </cell>
        </row>
        <row r="263">
          <cell r="C263">
            <v>78963000</v>
          </cell>
          <cell r="D263" t="str">
            <v>PAS Charter, Inc., dba Intelli-School</v>
          </cell>
        </row>
        <row r="264">
          <cell r="C264">
            <v>78968000</v>
          </cell>
          <cell r="D264" t="str">
            <v>LEAD Charter Schools</v>
          </cell>
        </row>
        <row r="265">
          <cell r="C265">
            <v>78967000</v>
          </cell>
          <cell r="D265" t="str">
            <v>All Aboard Charter School</v>
          </cell>
        </row>
        <row r="266">
          <cell r="C266">
            <v>98749000</v>
          </cell>
          <cell r="D266" t="str">
            <v>CAFA, Inc. dba Learning Foundation Performing Arts School</v>
          </cell>
        </row>
        <row r="267">
          <cell r="C267">
            <v>78971000</v>
          </cell>
          <cell r="D267" t="str">
            <v>Edkey, Inc. - Arizona Conservatory for Arts and Academics</v>
          </cell>
        </row>
        <row r="268">
          <cell r="C268">
            <v>78972000</v>
          </cell>
          <cell r="D268" t="str">
            <v>Bell Canyon Charter School, Inc</v>
          </cell>
        </row>
        <row r="269">
          <cell r="C269">
            <v>78975000</v>
          </cell>
          <cell r="D269" t="str">
            <v>Cortez Park Charter Middle School, Inc.</v>
          </cell>
        </row>
        <row r="270">
          <cell r="C270">
            <v>78974000</v>
          </cell>
          <cell r="D270" t="str">
            <v>West Gilbert Charter Middle School, Inc.</v>
          </cell>
        </row>
        <row r="271">
          <cell r="C271">
            <v>78976000</v>
          </cell>
          <cell r="D271" t="str">
            <v>Midtown Primary School</v>
          </cell>
        </row>
        <row r="272">
          <cell r="C272">
            <v>78977000</v>
          </cell>
          <cell r="D272" t="str">
            <v>Montessori Academy, Inc.</v>
          </cell>
        </row>
        <row r="273">
          <cell r="C273">
            <v>78983000</v>
          </cell>
          <cell r="D273" t="str">
            <v>American Charter Schools Foundation d.b.a. South Pointe High School</v>
          </cell>
        </row>
        <row r="274">
          <cell r="C274">
            <v>78735000</v>
          </cell>
          <cell r="D274" t="str">
            <v>RSD Charter School, Inc.</v>
          </cell>
        </row>
        <row r="275">
          <cell r="C275">
            <v>78745000</v>
          </cell>
          <cell r="D275" t="str">
            <v>Blueprint Education</v>
          </cell>
        </row>
        <row r="276">
          <cell r="C276">
            <v>78740000</v>
          </cell>
          <cell r="D276" t="str">
            <v>Edkey, Inc. - Redwood Academy</v>
          </cell>
        </row>
        <row r="277">
          <cell r="C277">
            <v>78742000</v>
          </cell>
          <cell r="D277" t="str">
            <v>Edkey, Inc. - Pathfinder Academy</v>
          </cell>
        </row>
        <row r="278">
          <cell r="C278">
            <v>78744000</v>
          </cell>
          <cell r="D278" t="str">
            <v>Edkey, Inc. - Sequoia School for the Deaf and Hard of Hearing</v>
          </cell>
        </row>
        <row r="279">
          <cell r="C279">
            <v>78985000</v>
          </cell>
          <cell r="D279" t="str">
            <v>Heritage Elementary School</v>
          </cell>
        </row>
        <row r="280">
          <cell r="C280">
            <v>78746000</v>
          </cell>
          <cell r="D280" t="str">
            <v>Bradley Academy of Excellence, Inc.</v>
          </cell>
        </row>
        <row r="281">
          <cell r="C281">
            <v>78621000</v>
          </cell>
          <cell r="D281" t="str">
            <v>Desert Heights Charter Schools</v>
          </cell>
        </row>
        <row r="282">
          <cell r="C282">
            <v>78743000</v>
          </cell>
          <cell r="D282" t="str">
            <v>MCCCD on behalf of Phoenix College Preparatory Academy</v>
          </cell>
        </row>
        <row r="283">
          <cell r="C283">
            <v>78991000</v>
          </cell>
          <cell r="D283" t="str">
            <v>Arizona Montessori Charter School at Anthem</v>
          </cell>
        </row>
        <row r="284">
          <cell r="C284">
            <v>78992000</v>
          </cell>
          <cell r="D284" t="str">
            <v>StarShine Academy</v>
          </cell>
        </row>
        <row r="285">
          <cell r="C285">
            <v>78993000</v>
          </cell>
          <cell r="D285" t="str">
            <v>Arizona Agribusiness &amp; Equine Center, Inc.</v>
          </cell>
        </row>
        <row r="286">
          <cell r="C286">
            <v>78501000</v>
          </cell>
          <cell r="D286" t="str">
            <v>Ahwatukee Foothills Prep, Inc.</v>
          </cell>
        </row>
        <row r="287">
          <cell r="C287">
            <v>78505000</v>
          </cell>
          <cell r="D287" t="str">
            <v>Esperanza Community Collegial Academy</v>
          </cell>
        </row>
        <row r="288">
          <cell r="C288">
            <v>78507000</v>
          </cell>
          <cell r="D288" t="str">
            <v>Legacy Education Group</v>
          </cell>
        </row>
        <row r="289">
          <cell r="C289">
            <v>78508000</v>
          </cell>
          <cell r="D289" t="str">
            <v>Rosefield Charter Elementary School, Inc.</v>
          </cell>
        </row>
        <row r="290">
          <cell r="C290">
            <v>78509000</v>
          </cell>
          <cell r="D290" t="str">
            <v>East Mesa Charter Elementary School, Inc.</v>
          </cell>
        </row>
        <row r="291">
          <cell r="C291">
            <v>78510000</v>
          </cell>
          <cell r="D291" t="str">
            <v>Arizona Agribusiness &amp; Equine Center, Inc.</v>
          </cell>
        </row>
        <row r="292">
          <cell r="C292">
            <v>78511000</v>
          </cell>
          <cell r="D292" t="str">
            <v>Arizona Connections Academy Charter School, Inc.</v>
          </cell>
        </row>
        <row r="293">
          <cell r="C293">
            <v>78517000</v>
          </cell>
          <cell r="D293" t="str">
            <v>American Charter Schools Foundation d.b.a. South Ridge High School</v>
          </cell>
        </row>
        <row r="294">
          <cell r="C294">
            <v>78519000</v>
          </cell>
          <cell r="D294" t="str">
            <v>Imagine Charter Elementary at Camelback, Inc.</v>
          </cell>
        </row>
        <row r="295">
          <cell r="C295">
            <v>78520000</v>
          </cell>
          <cell r="D295" t="str">
            <v>Imagine Charter Elementary at Desert West, Inc.</v>
          </cell>
        </row>
        <row r="296">
          <cell r="C296">
            <v>78521000</v>
          </cell>
          <cell r="D296" t="str">
            <v>Imagine Middle at East Mesa, Inc.</v>
          </cell>
        </row>
        <row r="297">
          <cell r="C297">
            <v>78522000</v>
          </cell>
          <cell r="D297" t="str">
            <v>Imagine Middle at Surprise, Inc.</v>
          </cell>
        </row>
        <row r="298">
          <cell r="C298">
            <v>78523000</v>
          </cell>
          <cell r="D298" t="str">
            <v>Imagine Elementary at Tempe, Inc.</v>
          </cell>
        </row>
        <row r="299">
          <cell r="C299">
            <v>78531000</v>
          </cell>
          <cell r="D299" t="str">
            <v>Imagine Camelback Middle, Inc.</v>
          </cell>
        </row>
        <row r="300">
          <cell r="C300">
            <v>78532000</v>
          </cell>
          <cell r="D300" t="str">
            <v>Imagine Desert West Middle, Inc.</v>
          </cell>
        </row>
        <row r="301">
          <cell r="C301">
            <v>78535000</v>
          </cell>
          <cell r="D301" t="str">
            <v>Imagine Avondale Elementary, Inc.</v>
          </cell>
        </row>
        <row r="302">
          <cell r="C302">
            <v>78536000</v>
          </cell>
          <cell r="D302" t="str">
            <v>Imagine Coolidge Elementary, Inc.</v>
          </cell>
        </row>
        <row r="303">
          <cell r="C303">
            <v>78537000</v>
          </cell>
          <cell r="D303" t="str">
            <v>Imagine Prep Superstition, Inc.</v>
          </cell>
        </row>
        <row r="304">
          <cell r="C304">
            <v>78538000</v>
          </cell>
          <cell r="D304" t="str">
            <v>Imagine Prep Surprise, Inc.</v>
          </cell>
        </row>
        <row r="305">
          <cell r="C305">
            <v>78539000</v>
          </cell>
          <cell r="D305" t="str">
            <v>San Tan Montessori School, Inc.</v>
          </cell>
        </row>
        <row r="306">
          <cell r="C306">
            <v>78541000</v>
          </cell>
          <cell r="D306" t="str">
            <v>EAGLE South Mountain Charter, Inc.</v>
          </cell>
        </row>
        <row r="307">
          <cell r="C307">
            <v>78542000</v>
          </cell>
          <cell r="D307" t="str">
            <v>AZ Compass Schools, Inc.</v>
          </cell>
        </row>
        <row r="308">
          <cell r="C308">
            <v>78544000</v>
          </cell>
          <cell r="D308" t="str">
            <v>Paragon Education Corporation</v>
          </cell>
        </row>
        <row r="309">
          <cell r="C309">
            <v>78546000</v>
          </cell>
          <cell r="D309" t="str">
            <v>ASU Preparatory Academy</v>
          </cell>
        </row>
        <row r="310">
          <cell r="C310">
            <v>78547000</v>
          </cell>
          <cell r="D310" t="str">
            <v>Imagine Prep Coolidge, Inc.</v>
          </cell>
        </row>
        <row r="311">
          <cell r="C311">
            <v>78548000</v>
          </cell>
          <cell r="D311" t="str">
            <v>West Valley Arts and Technology Academy, Inc.</v>
          </cell>
        </row>
        <row r="312">
          <cell r="C312">
            <v>78550000</v>
          </cell>
          <cell r="D312" t="str">
            <v>Challenge Foundation Academies of Arizona, Inc.</v>
          </cell>
        </row>
        <row r="313">
          <cell r="C313">
            <v>78551000</v>
          </cell>
          <cell r="D313" t="str">
            <v>Teleos Preparatory Academy</v>
          </cell>
        </row>
        <row r="314">
          <cell r="C314">
            <v>78552000</v>
          </cell>
          <cell r="D314" t="str">
            <v>Imagine Superstition Middle, Inc.</v>
          </cell>
        </row>
        <row r="315">
          <cell r="C315">
            <v>78553000</v>
          </cell>
          <cell r="D315" t="str">
            <v>Imagine Avondale Middle, Inc.</v>
          </cell>
        </row>
        <row r="316">
          <cell r="C316">
            <v>78556000</v>
          </cell>
          <cell r="D316" t="str">
            <v>Morrison Education Group, Inc.</v>
          </cell>
        </row>
        <row r="317">
          <cell r="C317">
            <v>78558000</v>
          </cell>
          <cell r="D317" t="str">
            <v>Educational Options Foundation</v>
          </cell>
        </row>
        <row r="318">
          <cell r="C318">
            <v>78559000</v>
          </cell>
          <cell r="D318" t="str">
            <v>Phoenix Collegiate Academy, Inc.</v>
          </cell>
        </row>
        <row r="319">
          <cell r="C319">
            <v>78560000</v>
          </cell>
          <cell r="D319" t="str">
            <v>Research Based Education Corporation</v>
          </cell>
        </row>
        <row r="320">
          <cell r="C320">
            <v>78562000</v>
          </cell>
          <cell r="D320" t="str">
            <v>Vector School District, Inc.</v>
          </cell>
        </row>
        <row r="321">
          <cell r="C321">
            <v>78564000</v>
          </cell>
          <cell r="D321" t="str">
            <v>CAFA, Inc. dba Learning Foundation and Performing Arts Gilbert</v>
          </cell>
        </row>
        <row r="322">
          <cell r="C322">
            <v>78565000</v>
          </cell>
          <cell r="D322" t="str">
            <v>CAFA, Inc. dba Learning Foundation and Performing Arts Alta Mesa</v>
          </cell>
        </row>
        <row r="323">
          <cell r="C323">
            <v>78566000</v>
          </cell>
          <cell r="D323" t="str">
            <v>Skyline Gila River Schools, LLC</v>
          </cell>
        </row>
        <row r="324">
          <cell r="C324">
            <v>78567000</v>
          </cell>
          <cell r="D324" t="str">
            <v>Kaizen Education Foundation dba Vista Grove Preparatory Academy Elementary</v>
          </cell>
        </row>
        <row r="325">
          <cell r="C325">
            <v>78569000</v>
          </cell>
          <cell r="D325" t="str">
            <v>Daisy Education Corporation dba Sonoran Science Academy - Ahwatukee</v>
          </cell>
        </row>
        <row r="326">
          <cell r="C326">
            <v>78570000</v>
          </cell>
          <cell r="D326" t="str">
            <v>Kaizen Education Foundation dba Gilbert Arts Public Charter Academy</v>
          </cell>
        </row>
        <row r="327">
          <cell r="C327">
            <v>78571000</v>
          </cell>
          <cell r="D327" t="str">
            <v>Kaizen Education Foundation dba Liberty Arts Academy</v>
          </cell>
        </row>
        <row r="328">
          <cell r="C328">
            <v>78580000</v>
          </cell>
          <cell r="D328" t="str">
            <v>Kaizen Education Foundation dba Havasu Preparatory Academy</v>
          </cell>
        </row>
        <row r="329">
          <cell r="C329">
            <v>78578000</v>
          </cell>
          <cell r="D329" t="str">
            <v>South Valley Academy, Inc.</v>
          </cell>
        </row>
        <row r="330">
          <cell r="C330">
            <v>78577000</v>
          </cell>
          <cell r="D330" t="str">
            <v>Sonoran Science Academy - Phoenix Metro</v>
          </cell>
        </row>
        <row r="331">
          <cell r="C331">
            <v>78576000</v>
          </cell>
          <cell r="D331" t="str">
            <v>Kaizen Education Foundation dba Mission Heights Preparatory High School</v>
          </cell>
        </row>
        <row r="332">
          <cell r="C332">
            <v>78587000</v>
          </cell>
          <cell r="D332" t="str">
            <v>Arizona Agribusiness &amp; Equine Center, Inc.</v>
          </cell>
        </row>
        <row r="333">
          <cell r="C333">
            <v>78592000</v>
          </cell>
          <cell r="D333" t="str">
            <v>Maryvale Preparatory Academy</v>
          </cell>
        </row>
        <row r="334">
          <cell r="C334">
            <v>78599000</v>
          </cell>
          <cell r="D334" t="str">
            <v>South Phoenix Academy Inc.</v>
          </cell>
        </row>
        <row r="335">
          <cell r="C335">
            <v>78202000</v>
          </cell>
          <cell r="D335" t="str">
            <v>EAGLE College Prep II, Inc. dba EAGLE College Prep Harmony</v>
          </cell>
        </row>
        <row r="336">
          <cell r="C336">
            <v>78101000</v>
          </cell>
          <cell r="D336" t="str">
            <v>LEAD Charter Schools</v>
          </cell>
        </row>
        <row r="337">
          <cell r="C337">
            <v>78206000</v>
          </cell>
          <cell r="D337" t="str">
            <v>The Paideia Academies, Inc</v>
          </cell>
        </row>
        <row r="338">
          <cell r="C338">
            <v>78401000</v>
          </cell>
          <cell r="D338" t="str">
            <v>Empower College Prep</v>
          </cell>
        </row>
        <row r="339">
          <cell r="C339">
            <v>78207000</v>
          </cell>
          <cell r="D339" t="str">
            <v>ASU Preparatory Academy</v>
          </cell>
        </row>
        <row r="340">
          <cell r="C340">
            <v>78210000</v>
          </cell>
          <cell r="D340" t="str">
            <v>Incito Schools</v>
          </cell>
        </row>
        <row r="341">
          <cell r="C341">
            <v>78230000</v>
          </cell>
          <cell r="D341" t="str">
            <v>Kaizen Education Foundation dba Discover U Elementary School</v>
          </cell>
        </row>
        <row r="342">
          <cell r="C342">
            <v>78240000</v>
          </cell>
          <cell r="D342" t="str">
            <v>Kaizen Education Foundation dba Advance U</v>
          </cell>
        </row>
        <row r="343">
          <cell r="C343">
            <v>78211000</v>
          </cell>
          <cell r="D343" t="str">
            <v>Camino Montessori</v>
          </cell>
        </row>
        <row r="344">
          <cell r="C344">
            <v>78215000</v>
          </cell>
          <cell r="D344" t="str">
            <v>Legacy Traditional Charter School - Laveen Village</v>
          </cell>
        </row>
        <row r="345">
          <cell r="C345">
            <v>78217000</v>
          </cell>
          <cell r="D345" t="str">
            <v>SySTEM Schools</v>
          </cell>
        </row>
        <row r="346">
          <cell r="C346">
            <v>78218000</v>
          </cell>
          <cell r="D346" t="str">
            <v>CASA Academy</v>
          </cell>
        </row>
        <row r="347">
          <cell r="C347">
            <v>78219000</v>
          </cell>
          <cell r="D347" t="str">
            <v>Madison Highland Prep</v>
          </cell>
        </row>
        <row r="348">
          <cell r="C348">
            <v>78221000</v>
          </cell>
          <cell r="D348" t="str">
            <v>Western School of Science and Technology, Inc.</v>
          </cell>
        </row>
        <row r="349">
          <cell r="C349">
            <v>78222000</v>
          </cell>
          <cell r="D349" t="str">
            <v>EAGLE South Mountain Charter, Inc.</v>
          </cell>
        </row>
        <row r="350">
          <cell r="C350">
            <v>78223000</v>
          </cell>
          <cell r="D350" t="str">
            <v>Eagle South Mountain Charter, Inc.</v>
          </cell>
        </row>
        <row r="351">
          <cell r="C351">
            <v>78224000</v>
          </cell>
          <cell r="D351" t="str">
            <v>Vista College Preparatory, Inc.</v>
          </cell>
        </row>
        <row r="352">
          <cell r="C352">
            <v>78226000</v>
          </cell>
          <cell r="D352" t="str">
            <v>Arizona Autism Charter Schools, Inc.</v>
          </cell>
        </row>
        <row r="353">
          <cell r="C353">
            <v>78228000</v>
          </cell>
          <cell r="D353" t="str">
            <v>Southwest Leadership Academy</v>
          </cell>
        </row>
        <row r="354">
          <cell r="C354">
            <v>78229000</v>
          </cell>
          <cell r="D354" t="str">
            <v>Legacy Traditional School - Gilbert</v>
          </cell>
        </row>
        <row r="355">
          <cell r="C355">
            <v>78245000</v>
          </cell>
          <cell r="D355" t="str">
            <v>Legacy Traditional Charter Schools - Casa Grande</v>
          </cell>
        </row>
        <row r="356">
          <cell r="C356">
            <v>78246000</v>
          </cell>
          <cell r="D356" t="str">
            <v>Edkey, Inc. - Sequoia Pathway Academy</v>
          </cell>
        </row>
        <row r="357">
          <cell r="C357">
            <v>78103000</v>
          </cell>
          <cell r="D357" t="str">
            <v>Espiritu Community Development Corp.</v>
          </cell>
        </row>
        <row r="358">
          <cell r="C358">
            <v>78250000</v>
          </cell>
          <cell r="D358" t="str">
            <v>ASU Preparatory Academy</v>
          </cell>
        </row>
        <row r="359">
          <cell r="C359">
            <v>78261000</v>
          </cell>
          <cell r="D359" t="str">
            <v>Noah Webster Schools-Pima</v>
          </cell>
        </row>
        <row r="360">
          <cell r="D360" t="str">
            <v>Arizona Virtual Academy</v>
          </cell>
        </row>
        <row r="361">
          <cell r="D361" t="str">
            <v>Subtotal of Charter/AVA</v>
          </cell>
        </row>
        <row r="362">
          <cell r="D362" t="str">
            <v>Subtotal</v>
          </cell>
        </row>
        <row r="363">
          <cell r="D363" t="str">
            <v>Calculation Variable</v>
          </cell>
        </row>
        <row r="366">
          <cell r="C366">
            <v>80201000</v>
          </cell>
          <cell r="D366" t="str">
            <v>Lake Havasu Unified District</v>
          </cell>
        </row>
        <row r="367">
          <cell r="C367">
            <v>80208000</v>
          </cell>
          <cell r="D367" t="str">
            <v>Peach Springs Unified District</v>
          </cell>
        </row>
        <row r="368">
          <cell r="C368">
            <v>80214000</v>
          </cell>
          <cell r="D368" t="str">
            <v>Colorado City Unified District</v>
          </cell>
        </row>
        <row r="369">
          <cell r="C369">
            <v>80303000</v>
          </cell>
          <cell r="D369" t="str">
            <v>Hackberry School District</v>
          </cell>
        </row>
        <row r="370">
          <cell r="C370">
            <v>80306000</v>
          </cell>
          <cell r="D370" t="str">
            <v>Owens-Whitney Elementary District</v>
          </cell>
        </row>
        <row r="371">
          <cell r="C371">
            <v>80209000</v>
          </cell>
          <cell r="D371" t="str">
            <v>Littlefield Unified District</v>
          </cell>
        </row>
        <row r="372">
          <cell r="C372">
            <v>80412000</v>
          </cell>
          <cell r="D372" t="str">
            <v>Topock Elementary District</v>
          </cell>
        </row>
        <row r="373">
          <cell r="C373">
            <v>80313000</v>
          </cell>
          <cell r="D373" t="str">
            <v>Yucca Elementary District</v>
          </cell>
        </row>
        <row r="374">
          <cell r="C374">
            <v>80415000</v>
          </cell>
          <cell r="D374" t="str">
            <v>Bullhead City School District</v>
          </cell>
        </row>
        <row r="375">
          <cell r="C375">
            <v>80416000</v>
          </cell>
          <cell r="D375" t="str">
            <v>Mohave Valley Elementary District</v>
          </cell>
        </row>
        <row r="376">
          <cell r="C376">
            <v>80322000</v>
          </cell>
          <cell r="D376" t="str">
            <v>Valentine Elementary District</v>
          </cell>
        </row>
        <row r="377">
          <cell r="C377">
            <v>80502000</v>
          </cell>
          <cell r="D377" t="str">
            <v>Colorado River Union High School District</v>
          </cell>
        </row>
        <row r="378">
          <cell r="C378">
            <v>80220000</v>
          </cell>
          <cell r="D378" t="str">
            <v>Kingman Unified School District</v>
          </cell>
        </row>
        <row r="379">
          <cell r="C379">
            <v>88620000</v>
          </cell>
          <cell r="D379" t="str">
            <v>Kingman Academy Of Learning</v>
          </cell>
        </row>
        <row r="380">
          <cell r="C380">
            <v>88755000</v>
          </cell>
          <cell r="D380" t="str">
            <v>Young Scholars Academy Charter School Corp.</v>
          </cell>
        </row>
        <row r="381">
          <cell r="C381">
            <v>88702000</v>
          </cell>
          <cell r="D381" t="str">
            <v>Telesis Center for Learning, Inc.</v>
          </cell>
        </row>
        <row r="382">
          <cell r="C382">
            <v>88758000</v>
          </cell>
          <cell r="D382" t="str">
            <v>Mohave Accelerated Learning Center</v>
          </cell>
        </row>
        <row r="383">
          <cell r="C383">
            <v>88759000</v>
          </cell>
          <cell r="D383" t="str">
            <v>Masada Charter School, Inc.</v>
          </cell>
        </row>
        <row r="384">
          <cell r="C384">
            <v>88703000</v>
          </cell>
          <cell r="D384" t="str">
            <v>Mohave Accelerated Elementary School, Inc.</v>
          </cell>
        </row>
        <row r="385">
          <cell r="C385">
            <v>88704000</v>
          </cell>
          <cell r="D385" t="str">
            <v>Academy of Building Industries, Inc.</v>
          </cell>
        </row>
        <row r="386">
          <cell r="D386" t="str">
            <v>Arizona Virtual Academy</v>
          </cell>
        </row>
        <row r="387">
          <cell r="D387" t="str">
            <v>Subtotal of Charter/AVA</v>
          </cell>
        </row>
        <row r="388">
          <cell r="D388" t="str">
            <v>Subtotal</v>
          </cell>
        </row>
        <row r="389">
          <cell r="D389" t="str">
            <v>Calculation Variable</v>
          </cell>
        </row>
        <row r="392">
          <cell r="C392">
            <v>90201000</v>
          </cell>
          <cell r="D392" t="str">
            <v>Winslow Unified District</v>
          </cell>
        </row>
        <row r="393">
          <cell r="C393">
            <v>90202000</v>
          </cell>
          <cell r="D393" t="str">
            <v>Joseph City Unified District</v>
          </cell>
        </row>
        <row r="394">
          <cell r="C394">
            <v>90203000</v>
          </cell>
          <cell r="D394" t="str">
            <v>Holbrook Unified District</v>
          </cell>
        </row>
        <row r="395">
          <cell r="C395">
            <v>90204000</v>
          </cell>
          <cell r="D395" t="str">
            <v>Pinon Unified District</v>
          </cell>
        </row>
        <row r="396">
          <cell r="C396">
            <v>90205000</v>
          </cell>
          <cell r="D396" t="str">
            <v>Snowflake Unified District</v>
          </cell>
        </row>
        <row r="397">
          <cell r="C397">
            <v>90206000</v>
          </cell>
          <cell r="D397" t="str">
            <v>Heber-Overgaard Unified District</v>
          </cell>
        </row>
        <row r="398">
          <cell r="C398">
            <v>90210000</v>
          </cell>
          <cell r="D398" t="str">
            <v>Show Low Unified District</v>
          </cell>
        </row>
        <row r="399">
          <cell r="C399">
            <v>90220000</v>
          </cell>
          <cell r="D399" t="str">
            <v>Whiteriver Unified District</v>
          </cell>
        </row>
        <row r="400">
          <cell r="C400">
            <v>90225000</v>
          </cell>
          <cell r="D400" t="str">
            <v>Cedar Unified District</v>
          </cell>
        </row>
        <row r="401">
          <cell r="C401">
            <v>90227000</v>
          </cell>
          <cell r="D401" t="str">
            <v>Kayenta Unified District</v>
          </cell>
        </row>
        <row r="402">
          <cell r="C402">
            <v>90232000</v>
          </cell>
          <cell r="D402" t="str">
            <v>Blue Ridge Unified District</v>
          </cell>
        </row>
        <row r="403">
          <cell r="D403" t="str">
            <v>Balance of Navajo County</v>
          </cell>
        </row>
        <row r="404">
          <cell r="C404">
            <v>98745000</v>
          </cell>
          <cell r="D404" t="str">
            <v>Career Development, Inc.</v>
          </cell>
        </row>
        <row r="405">
          <cell r="C405">
            <v>98746000</v>
          </cell>
          <cell r="D405" t="str">
            <v>Shonto Governing Board of Education, Inc.</v>
          </cell>
        </row>
        <row r="406">
          <cell r="C406">
            <v>98750000</v>
          </cell>
          <cell r="D406" t="str">
            <v>Founding Fathers Academies, Inc</v>
          </cell>
        </row>
        <row r="407">
          <cell r="D407" t="str">
            <v>Arizona Virtual Academy</v>
          </cell>
        </row>
        <row r="408">
          <cell r="D408" t="str">
            <v>Subtotal of Charter/AVA</v>
          </cell>
        </row>
        <row r="409">
          <cell r="D409" t="str">
            <v>Subtotal</v>
          </cell>
        </row>
        <row r="410">
          <cell r="D410" t="str">
            <v>Calculation Variable</v>
          </cell>
        </row>
        <row r="413">
          <cell r="C413">
            <v>100201000</v>
          </cell>
          <cell r="D413" t="str">
            <v>Tucson Unified District</v>
          </cell>
        </row>
        <row r="414">
          <cell r="C414">
            <v>100206000</v>
          </cell>
          <cell r="D414" t="str">
            <v>Marana Unified District</v>
          </cell>
        </row>
        <row r="415">
          <cell r="C415">
            <v>100208000</v>
          </cell>
          <cell r="D415" t="str">
            <v>Flowing Wells Unified District</v>
          </cell>
        </row>
        <row r="416">
          <cell r="C416">
            <v>100210000</v>
          </cell>
          <cell r="D416" t="str">
            <v>Amphitheater Unified District</v>
          </cell>
        </row>
        <row r="417">
          <cell r="C417">
            <v>100212000</v>
          </cell>
          <cell r="D417" t="str">
            <v>Sunnyside Unified District</v>
          </cell>
        </row>
        <row r="418">
          <cell r="C418">
            <v>100213000</v>
          </cell>
          <cell r="D418" t="str">
            <v>Tanque Verde Unified District</v>
          </cell>
        </row>
        <row r="419">
          <cell r="C419">
            <v>100215000</v>
          </cell>
          <cell r="D419" t="str">
            <v>Ajo Unified District</v>
          </cell>
        </row>
        <row r="420">
          <cell r="C420">
            <v>100216000</v>
          </cell>
          <cell r="D420" t="str">
            <v>Catalina Foothills Unified District</v>
          </cell>
        </row>
        <row r="421">
          <cell r="C421">
            <v>100230000</v>
          </cell>
          <cell r="D421" t="str">
            <v>Sahuarita Unified District</v>
          </cell>
        </row>
        <row r="422">
          <cell r="C422">
            <v>100240000</v>
          </cell>
          <cell r="D422" t="str">
            <v>Baboquivari Unified School District #40</v>
          </cell>
        </row>
        <row r="423">
          <cell r="C423">
            <v>100220000</v>
          </cell>
          <cell r="D423" t="str">
            <v>Vail Unified District</v>
          </cell>
        </row>
        <row r="424">
          <cell r="C424">
            <v>100335000</v>
          </cell>
          <cell r="D424" t="str">
            <v>San Fernando Elementary District</v>
          </cell>
        </row>
        <row r="425">
          <cell r="C425">
            <v>100337000</v>
          </cell>
          <cell r="D425" t="str">
            <v>Empire Elementary District</v>
          </cell>
        </row>
        <row r="426">
          <cell r="C426">
            <v>100339000</v>
          </cell>
          <cell r="D426" t="str">
            <v>Continental Elementary District</v>
          </cell>
        </row>
        <row r="427">
          <cell r="C427">
            <v>100344000</v>
          </cell>
          <cell r="D427" t="str">
            <v>Redington Elementary District</v>
          </cell>
        </row>
        <row r="428">
          <cell r="C428">
            <v>100351000</v>
          </cell>
          <cell r="D428" t="str">
            <v>Altar Valley Elementary District</v>
          </cell>
        </row>
        <row r="429">
          <cell r="D429" t="str">
            <v>Balance of Pima County</v>
          </cell>
        </row>
        <row r="430">
          <cell r="C430">
            <v>108601000</v>
          </cell>
          <cell r="D430" t="str">
            <v>Pima County Board of Supervisors</v>
          </cell>
        </row>
        <row r="431">
          <cell r="C431">
            <v>108653000</v>
          </cell>
          <cell r="D431" t="str">
            <v>Edge School, Inc., The</v>
          </cell>
        </row>
        <row r="432">
          <cell r="C432">
            <v>108660000</v>
          </cell>
          <cell r="D432" t="str">
            <v>Tucson Youth Development/ACE Charter High School</v>
          </cell>
        </row>
        <row r="433">
          <cell r="C433">
            <v>108778000</v>
          </cell>
          <cell r="D433" t="str">
            <v>Presidio School</v>
          </cell>
        </row>
        <row r="434">
          <cell r="C434">
            <v>108744000</v>
          </cell>
          <cell r="D434" t="str">
            <v>Portable Practical Educational Preparation, Inc. (PPEP, Inc.)</v>
          </cell>
        </row>
        <row r="435">
          <cell r="C435">
            <v>108722000</v>
          </cell>
          <cell r="D435" t="str">
            <v>The Charter Foundation, Inc.</v>
          </cell>
        </row>
        <row r="436">
          <cell r="C436">
            <v>108767000</v>
          </cell>
          <cell r="D436" t="str">
            <v>Accelerated Elementary and Secondary Schools</v>
          </cell>
        </row>
        <row r="437">
          <cell r="C437">
            <v>108726000</v>
          </cell>
          <cell r="D437" t="str">
            <v>Ha:san Educational Services</v>
          </cell>
        </row>
        <row r="438">
          <cell r="C438">
            <v>108768000</v>
          </cell>
          <cell r="D438" t="str">
            <v>Tucson Preparatory School</v>
          </cell>
        </row>
        <row r="439">
          <cell r="C439">
            <v>1202001</v>
          </cell>
          <cell r="D439" t="str">
            <v>Arizona State School for the Deaf and Blind</v>
          </cell>
        </row>
        <row r="440">
          <cell r="C440">
            <v>108770000</v>
          </cell>
          <cell r="D440" t="str">
            <v>Great Expectations Academy</v>
          </cell>
        </row>
        <row r="441">
          <cell r="C441">
            <v>108666000</v>
          </cell>
          <cell r="D441" t="str">
            <v>Daisy Education Corporation dba Sonoran Science Academy</v>
          </cell>
        </row>
        <row r="442">
          <cell r="C442">
            <v>108776000</v>
          </cell>
          <cell r="D442" t="str">
            <v>Children's Success Academy, Inc.</v>
          </cell>
        </row>
        <row r="443">
          <cell r="C443">
            <v>108775000</v>
          </cell>
          <cell r="D443" t="str">
            <v>Highland Free School</v>
          </cell>
        </row>
        <row r="444">
          <cell r="C444">
            <v>108779000</v>
          </cell>
          <cell r="D444" t="str">
            <v>Southgate Academy, Inc.</v>
          </cell>
        </row>
        <row r="445">
          <cell r="C445">
            <v>108785000</v>
          </cell>
          <cell r="D445" t="str">
            <v>Aprender Tucson</v>
          </cell>
        </row>
        <row r="446">
          <cell r="C446">
            <v>108789000</v>
          </cell>
          <cell r="D446" t="str">
            <v>Griffin Foundation, Inc. The</v>
          </cell>
        </row>
        <row r="447">
          <cell r="C447">
            <v>108706000</v>
          </cell>
          <cell r="D447" t="str">
            <v>Kaizen Education Foundation dba Skyview High School</v>
          </cell>
        </row>
        <row r="448">
          <cell r="C448">
            <v>108707000</v>
          </cell>
          <cell r="D448" t="str">
            <v>Nosotros, Inc</v>
          </cell>
        </row>
        <row r="449">
          <cell r="C449">
            <v>108709000</v>
          </cell>
          <cell r="D449" t="str">
            <v>Arizona Community Development Corporation</v>
          </cell>
        </row>
        <row r="450">
          <cell r="C450">
            <v>108711000</v>
          </cell>
          <cell r="D450" t="str">
            <v>Pima Prevention Partnership dba Pima Partnership School, The</v>
          </cell>
        </row>
        <row r="451">
          <cell r="C451">
            <v>108713000</v>
          </cell>
          <cell r="D451" t="str">
            <v>Academy of Mathematics and Science, Inc.</v>
          </cell>
        </row>
        <row r="452">
          <cell r="C452">
            <v>108714000</v>
          </cell>
          <cell r="D452" t="str">
            <v>Tucson International Academy, Inc.</v>
          </cell>
        </row>
        <row r="453">
          <cell r="C453">
            <v>108793000</v>
          </cell>
          <cell r="D453" t="str">
            <v>CPLC Community Schools dba Toltecalli High School</v>
          </cell>
        </row>
        <row r="454">
          <cell r="C454">
            <v>108794000</v>
          </cell>
          <cell r="D454" t="str">
            <v>American Charter Schools Foundation d.b.a. Alta Vista High School</v>
          </cell>
        </row>
        <row r="455">
          <cell r="C455">
            <v>108720000</v>
          </cell>
          <cell r="D455" t="str">
            <v>Tucson Small School Project</v>
          </cell>
        </row>
        <row r="456">
          <cell r="C456">
            <v>108798000</v>
          </cell>
          <cell r="D456" t="str">
            <v>Math and Science Success Academy, Inc.</v>
          </cell>
        </row>
        <row r="457">
          <cell r="C457">
            <v>108799000</v>
          </cell>
          <cell r="D457" t="str">
            <v>Pima Prevention Partnership dba Pima Partnership Academy</v>
          </cell>
        </row>
        <row r="458">
          <cell r="C458">
            <v>108502000</v>
          </cell>
          <cell r="D458" t="str">
            <v>Daisy Education Corporation dba Sonoran Science Academy - Phoenix</v>
          </cell>
        </row>
        <row r="459">
          <cell r="C459">
            <v>108503000</v>
          </cell>
          <cell r="D459" t="str">
            <v>Sonoran Science Academy - Broadway</v>
          </cell>
        </row>
        <row r="460">
          <cell r="C460">
            <v>108504000</v>
          </cell>
          <cell r="D460" t="str">
            <v>Sonoran Science Academy - Davis Monthan</v>
          </cell>
        </row>
        <row r="461">
          <cell r="C461">
            <v>108505000</v>
          </cell>
          <cell r="D461" t="str">
            <v>CPLC Community Schools dba Hiaki High School</v>
          </cell>
        </row>
        <row r="462">
          <cell r="C462">
            <v>108506000</v>
          </cell>
          <cell r="D462" t="str">
            <v>Ed Ahead</v>
          </cell>
        </row>
        <row r="463">
          <cell r="C463">
            <v>108507000</v>
          </cell>
          <cell r="D463" t="str">
            <v>Pima Prevention Partnership</v>
          </cell>
        </row>
        <row r="464">
          <cell r="C464">
            <v>108708000</v>
          </cell>
          <cell r="D464" t="str">
            <v>Lifelong Learning Research Institute, Inc.</v>
          </cell>
        </row>
        <row r="465">
          <cell r="C465">
            <v>108908000</v>
          </cell>
          <cell r="D465" t="str">
            <v>Lifelong Learning Research Institute, Inc.</v>
          </cell>
        </row>
        <row r="466">
          <cell r="C466">
            <v>108735000</v>
          </cell>
          <cell r="D466" t="str">
            <v>Institute for Transformative Education, Inc.</v>
          </cell>
        </row>
        <row r="467">
          <cell r="C467">
            <v>78242000</v>
          </cell>
          <cell r="D467" t="str">
            <v>Academy of Mathematics and Science South, Inc.</v>
          </cell>
        </row>
        <row r="468">
          <cell r="C468">
            <v>108512000</v>
          </cell>
          <cell r="D468" t="str">
            <v>Open Doors Community School, Inc.</v>
          </cell>
        </row>
        <row r="469">
          <cell r="C469">
            <v>108909000</v>
          </cell>
          <cell r="D469" t="str">
            <v>Collaborative Pathways, Inc.</v>
          </cell>
        </row>
        <row r="470">
          <cell r="C470">
            <v>108227000</v>
          </cell>
          <cell r="D470" t="str">
            <v>StrengthBuilding Partners</v>
          </cell>
        </row>
        <row r="471">
          <cell r="C471">
            <v>108403000</v>
          </cell>
          <cell r="D471" t="str">
            <v>Rising Schools, Inc.</v>
          </cell>
        </row>
        <row r="472">
          <cell r="C472">
            <v>108513000</v>
          </cell>
          <cell r="D472" t="str">
            <v>Innovative Humanities Education Corporation</v>
          </cell>
        </row>
        <row r="473">
          <cell r="D473" t="str">
            <v>Arizona Virtual Academy</v>
          </cell>
        </row>
        <row r="474">
          <cell r="D474" t="str">
            <v>Subtotal of Charter/AVA</v>
          </cell>
        </row>
        <row r="475">
          <cell r="D475" t="str">
            <v>Subtotal</v>
          </cell>
        </row>
        <row r="476">
          <cell r="D476" t="str">
            <v>Calculation Variable</v>
          </cell>
        </row>
        <row r="479">
          <cell r="C479">
            <v>110201000</v>
          </cell>
          <cell r="D479" t="str">
            <v>Florence Unified School District</v>
          </cell>
        </row>
        <row r="480">
          <cell r="C480">
            <v>110203000</v>
          </cell>
          <cell r="D480" t="str">
            <v>Ray Unified District</v>
          </cell>
        </row>
        <row r="481">
          <cell r="C481">
            <v>110208000</v>
          </cell>
          <cell r="D481" t="str">
            <v>Mammoth-San Manuel Unified District</v>
          </cell>
        </row>
        <row r="482">
          <cell r="C482">
            <v>110215000</v>
          </cell>
          <cell r="D482" t="str">
            <v>Superior Unified School District</v>
          </cell>
        </row>
        <row r="483">
          <cell r="C483">
            <v>110220000</v>
          </cell>
          <cell r="D483" t="str">
            <v>Maricopa Unified School District</v>
          </cell>
        </row>
        <row r="484">
          <cell r="C484">
            <v>110221000</v>
          </cell>
          <cell r="D484" t="str">
            <v>Coolidge Unified District</v>
          </cell>
        </row>
        <row r="485">
          <cell r="C485">
            <v>110243000</v>
          </cell>
          <cell r="D485" t="str">
            <v>Apache Junction Unified District</v>
          </cell>
        </row>
        <row r="486">
          <cell r="C486">
            <v>110302000</v>
          </cell>
          <cell r="D486" t="str">
            <v>Oracle Elementary District</v>
          </cell>
        </row>
        <row r="487">
          <cell r="C487">
            <v>110244000</v>
          </cell>
          <cell r="D487" t="str">
            <v>J O Combs Unified School District</v>
          </cell>
        </row>
        <row r="488">
          <cell r="C488">
            <v>110404000</v>
          </cell>
          <cell r="D488" t="str">
            <v>Casa Grande Elementary District</v>
          </cell>
        </row>
        <row r="489">
          <cell r="C489">
            <v>110405000</v>
          </cell>
          <cell r="D489" t="str">
            <v>Red Rock Elementary District</v>
          </cell>
        </row>
        <row r="490">
          <cell r="C490">
            <v>110411000</v>
          </cell>
          <cell r="D490" t="str">
            <v>Eloy Elementary District</v>
          </cell>
        </row>
        <row r="491">
          <cell r="C491">
            <v>110418000</v>
          </cell>
          <cell r="D491" t="str">
            <v>Sacaton Elementary District</v>
          </cell>
        </row>
        <row r="492">
          <cell r="C492">
            <v>110422000</v>
          </cell>
          <cell r="D492" t="str">
            <v>Toltec Elementary District</v>
          </cell>
        </row>
        <row r="493">
          <cell r="C493">
            <v>110424000</v>
          </cell>
          <cell r="D493" t="str">
            <v>Stanfield Elementary District</v>
          </cell>
        </row>
        <row r="494">
          <cell r="C494">
            <v>110433000</v>
          </cell>
          <cell r="D494" t="str">
            <v>Picacho Elementary District</v>
          </cell>
        </row>
        <row r="495">
          <cell r="C495">
            <v>110502000</v>
          </cell>
          <cell r="D495" t="str">
            <v>Casa Grande Union High School District</v>
          </cell>
        </row>
        <row r="496">
          <cell r="C496">
            <v>110540000</v>
          </cell>
          <cell r="D496" t="str">
            <v>Santa Cruz Valley Union High School District</v>
          </cell>
        </row>
        <row r="497">
          <cell r="C497">
            <v>110100000</v>
          </cell>
          <cell r="D497" t="str">
            <v>Mary C O'Brien Accommodation District</v>
          </cell>
        </row>
        <row r="498">
          <cell r="C498">
            <v>118707000</v>
          </cell>
          <cell r="D498" t="str">
            <v>Vechij Himdag Alternative School, Inc.</v>
          </cell>
        </row>
        <row r="499">
          <cell r="C499">
            <v>118705000</v>
          </cell>
          <cell r="D499" t="str">
            <v>Akimel O Otham Pee Posh Charter School, Inc.</v>
          </cell>
        </row>
        <row r="500">
          <cell r="C500">
            <v>118706000</v>
          </cell>
          <cell r="D500" t="str">
            <v>Akimel O'Otham Pee Posh Charter School, Inc.</v>
          </cell>
        </row>
        <row r="501">
          <cell r="C501">
            <v>118703000</v>
          </cell>
          <cell r="D501" t="str">
            <v>American Charter Schools Foundation d.b.a. Apache Trail High School</v>
          </cell>
        </row>
        <row r="502">
          <cell r="C502">
            <v>78518000</v>
          </cell>
          <cell r="D502" t="str">
            <v>Legacy Traditional Charter School - Maricopa</v>
          </cell>
        </row>
        <row r="503">
          <cell r="C503">
            <v>118708000</v>
          </cell>
          <cell r="D503" t="str">
            <v>Leading Edge Academy Maricopa</v>
          </cell>
        </row>
        <row r="504">
          <cell r="C504">
            <v>118711000</v>
          </cell>
          <cell r="D504" t="str">
            <v>Athlos Traditional Academy</v>
          </cell>
        </row>
        <row r="505">
          <cell r="C505">
            <v>118712000</v>
          </cell>
          <cell r="D505" t="str">
            <v>Legacy Traditional School - Avondale</v>
          </cell>
        </row>
        <row r="506">
          <cell r="C506">
            <v>118713000</v>
          </cell>
          <cell r="D506" t="str">
            <v>Legacy Traditional School - Northwest Tucson</v>
          </cell>
        </row>
        <row r="507">
          <cell r="C507">
            <v>118715000</v>
          </cell>
          <cell r="D507" t="str">
            <v>Legacy Traditional Charter School</v>
          </cell>
        </row>
        <row r="508">
          <cell r="D508" t="str">
            <v>Arizona Virtual Academy</v>
          </cell>
        </row>
        <row r="509">
          <cell r="D509" t="str">
            <v>Subtotal of Charter/AVA</v>
          </cell>
        </row>
        <row r="510">
          <cell r="D510" t="str">
            <v>Subtotal</v>
          </cell>
        </row>
        <row r="511">
          <cell r="D511" t="str">
            <v>Calculation Variable</v>
          </cell>
        </row>
        <row r="514">
          <cell r="C514">
            <v>120201000</v>
          </cell>
          <cell r="D514" t="str">
            <v>Nogales Unified District</v>
          </cell>
        </row>
        <row r="515">
          <cell r="C515">
            <v>120235000</v>
          </cell>
          <cell r="D515" t="str">
            <v>Santa Cruz Valley Unified District</v>
          </cell>
        </row>
        <row r="516">
          <cell r="C516">
            <v>120328000</v>
          </cell>
          <cell r="D516" t="str">
            <v>Santa Cruz Elementary District</v>
          </cell>
        </row>
        <row r="517">
          <cell r="C517">
            <v>120406000</v>
          </cell>
          <cell r="D517" t="str">
            <v>Patagonia Elementary District</v>
          </cell>
        </row>
        <row r="518">
          <cell r="C518">
            <v>120425000</v>
          </cell>
          <cell r="D518" t="str">
            <v>Sonoita Elementary District</v>
          </cell>
        </row>
        <row r="519">
          <cell r="C519">
            <v>120520000</v>
          </cell>
          <cell r="D519" t="str">
            <v>Patagonia Union High School District</v>
          </cell>
        </row>
        <row r="520">
          <cell r="D520" t="str">
            <v>Balance of Santa Cruz County</v>
          </cell>
        </row>
        <row r="521">
          <cell r="C521">
            <v>128703000</v>
          </cell>
          <cell r="D521" t="str">
            <v>Mexicayotl Academy, Inc.</v>
          </cell>
        </row>
        <row r="522">
          <cell r="D522" t="str">
            <v>Arizona Virtual Academy</v>
          </cell>
        </row>
        <row r="523">
          <cell r="D523" t="str">
            <v>Subtotal of Charter/AVA</v>
          </cell>
        </row>
        <row r="524">
          <cell r="D524" t="str">
            <v>Subtotal</v>
          </cell>
        </row>
        <row r="525">
          <cell r="D525" t="str">
            <v>Calculation Variable</v>
          </cell>
        </row>
        <row r="528">
          <cell r="C528">
            <v>130201000</v>
          </cell>
          <cell r="D528" t="str">
            <v>Prescott Unified District</v>
          </cell>
        </row>
        <row r="529">
          <cell r="C529">
            <v>130209000</v>
          </cell>
          <cell r="D529" t="str">
            <v>Sedona-Oak Creek JUSD #9</v>
          </cell>
        </row>
        <row r="530">
          <cell r="C530">
            <v>130220000</v>
          </cell>
          <cell r="D530" t="str">
            <v>Bagdad Unified District</v>
          </cell>
        </row>
        <row r="531">
          <cell r="C531">
            <v>130222000</v>
          </cell>
          <cell r="D531" t="str">
            <v>Humboldt Unified District</v>
          </cell>
        </row>
        <row r="532">
          <cell r="C532">
            <v>130228000</v>
          </cell>
          <cell r="D532" t="str">
            <v>Camp Verde Unified District</v>
          </cell>
        </row>
        <row r="533">
          <cell r="C533">
            <v>130231000</v>
          </cell>
          <cell r="D533" t="str">
            <v>Ash Fork Joint Unified District</v>
          </cell>
        </row>
        <row r="534">
          <cell r="C534">
            <v>130240000</v>
          </cell>
          <cell r="D534" t="str">
            <v>Seligman Unified District</v>
          </cell>
        </row>
        <row r="535">
          <cell r="C535">
            <v>130243000</v>
          </cell>
          <cell r="D535" t="str">
            <v>Mayer Unified School District</v>
          </cell>
        </row>
        <row r="536">
          <cell r="C536">
            <v>130251000</v>
          </cell>
          <cell r="D536" t="str">
            <v>Chino Valley Unified District</v>
          </cell>
        </row>
        <row r="537">
          <cell r="C537">
            <v>130302000</v>
          </cell>
          <cell r="D537" t="str">
            <v>Williamson Valley Elementary District</v>
          </cell>
        </row>
        <row r="538">
          <cell r="C538">
            <v>130307000</v>
          </cell>
          <cell r="D538" t="str">
            <v>Walnut Grove Elementary District</v>
          </cell>
        </row>
        <row r="539">
          <cell r="C539">
            <v>130315000</v>
          </cell>
          <cell r="D539" t="str">
            <v>Skull Valley Elementary District</v>
          </cell>
        </row>
        <row r="540">
          <cell r="C540">
            <v>130317000</v>
          </cell>
          <cell r="D540" t="str">
            <v>Congress Elementary District</v>
          </cell>
        </row>
        <row r="541">
          <cell r="C541">
            <v>130323000</v>
          </cell>
          <cell r="D541" t="str">
            <v>Kirkland Elementary District</v>
          </cell>
        </row>
        <row r="542">
          <cell r="C542">
            <v>130326000</v>
          </cell>
          <cell r="D542" t="str">
            <v>Beaver Creek Elementary District</v>
          </cell>
        </row>
        <row r="543">
          <cell r="C543">
            <v>130335000</v>
          </cell>
          <cell r="D543" t="str">
            <v>Hillside Elementary District</v>
          </cell>
        </row>
        <row r="544">
          <cell r="C544">
            <v>130341000</v>
          </cell>
          <cell r="D544" t="str">
            <v>Crown King Elementary District</v>
          </cell>
        </row>
        <row r="545">
          <cell r="C545">
            <v>130350000</v>
          </cell>
          <cell r="D545" t="str">
            <v>Canon Elementary District</v>
          </cell>
        </row>
        <row r="546">
          <cell r="C546">
            <v>130352000</v>
          </cell>
          <cell r="D546" t="str">
            <v>Yarnell Elementary District</v>
          </cell>
        </row>
        <row r="547">
          <cell r="C547">
            <v>130403000</v>
          </cell>
          <cell r="D547" t="str">
            <v>Clarkdale-Jerome Elementary District</v>
          </cell>
        </row>
        <row r="548">
          <cell r="C548">
            <v>130406000</v>
          </cell>
          <cell r="D548" t="str">
            <v>Cottonwood-Oak Creek Elementary District</v>
          </cell>
        </row>
        <row r="549">
          <cell r="C549">
            <v>130504000</v>
          </cell>
          <cell r="D549" t="str">
            <v>Mingus Union High School District</v>
          </cell>
        </row>
        <row r="550">
          <cell r="C550">
            <v>138708000</v>
          </cell>
          <cell r="D550" t="str">
            <v>Sedona Charter School, Inc.</v>
          </cell>
        </row>
        <row r="551">
          <cell r="C551">
            <v>138712000</v>
          </cell>
          <cell r="D551" t="str">
            <v>Mingus Springs Charter School</v>
          </cell>
        </row>
        <row r="552">
          <cell r="C552">
            <v>138751000</v>
          </cell>
          <cell r="D552" t="str">
            <v>Franklin Phonetic Primary School, Inc.</v>
          </cell>
        </row>
        <row r="553">
          <cell r="C553">
            <v>138752000</v>
          </cell>
          <cell r="D553" t="str">
            <v>Skyview School, Inc.</v>
          </cell>
        </row>
        <row r="554">
          <cell r="C554">
            <v>138754000</v>
          </cell>
          <cell r="D554" t="str">
            <v>American Heritage Academy</v>
          </cell>
        </row>
        <row r="555">
          <cell r="C555">
            <v>138755000</v>
          </cell>
          <cell r="D555" t="str">
            <v>Park View School, Inc.</v>
          </cell>
        </row>
        <row r="556">
          <cell r="C556">
            <v>138763000</v>
          </cell>
          <cell r="D556" t="str">
            <v>Accelerated Learning Charter School, Inc.</v>
          </cell>
        </row>
        <row r="557">
          <cell r="C557">
            <v>138768000</v>
          </cell>
          <cell r="D557" t="str">
            <v>Mountain Oak Charter School, Inc.</v>
          </cell>
        </row>
        <row r="558">
          <cell r="C558">
            <v>138759000</v>
          </cell>
          <cell r="D558" t="str">
            <v>Kestrel Schools, Inc.</v>
          </cell>
        </row>
        <row r="559">
          <cell r="C559">
            <v>138758000</v>
          </cell>
          <cell r="D559" t="str">
            <v>PACE Preparatory Academy, Inc.</v>
          </cell>
        </row>
        <row r="560">
          <cell r="C560">
            <v>138654000</v>
          </cell>
          <cell r="D560" t="str">
            <v>New Visions Academy, Inc.</v>
          </cell>
        </row>
        <row r="561">
          <cell r="C561">
            <v>130199000</v>
          </cell>
          <cell r="D561" t="str">
            <v>Yavapai Accommodation School District</v>
          </cell>
        </row>
        <row r="562">
          <cell r="C562">
            <v>138760000</v>
          </cell>
          <cell r="D562" t="str">
            <v>Acorn Montessori Charter School</v>
          </cell>
        </row>
        <row r="563">
          <cell r="C563">
            <v>138761000</v>
          </cell>
          <cell r="D563" t="str">
            <v>A Center for Creative Education</v>
          </cell>
        </row>
        <row r="564">
          <cell r="C564">
            <v>138705000</v>
          </cell>
          <cell r="D564" t="str">
            <v>Edkey, Inc. - Sequoia Ranch School</v>
          </cell>
        </row>
        <row r="565">
          <cell r="C565">
            <v>78516000</v>
          </cell>
          <cell r="D565" t="str">
            <v>Prescott Valley Charter School</v>
          </cell>
        </row>
        <row r="566">
          <cell r="C566">
            <v>138714000</v>
          </cell>
          <cell r="D566" t="str">
            <v>Desert Star Community School, Inc.</v>
          </cell>
        </row>
        <row r="567">
          <cell r="C567">
            <v>138503000</v>
          </cell>
          <cell r="D567" t="str">
            <v>La Tierra Community School, Inc</v>
          </cell>
        </row>
        <row r="568">
          <cell r="C568">
            <v>138785000</v>
          </cell>
          <cell r="D568" t="str">
            <v>Arizona Agribusiness &amp; Equine Center, Inc.</v>
          </cell>
        </row>
        <row r="569">
          <cell r="D569" t="str">
            <v>Arizona Virtual Academy</v>
          </cell>
        </row>
        <row r="570">
          <cell r="D570" t="str">
            <v>Subtotal of Charter/AVA</v>
          </cell>
        </row>
        <row r="571">
          <cell r="D571" t="str">
            <v>Subtotal</v>
          </cell>
        </row>
        <row r="572">
          <cell r="D572" t="str">
            <v>Calculation Variable</v>
          </cell>
        </row>
        <row r="575">
          <cell r="C575">
            <v>140401000</v>
          </cell>
          <cell r="D575" t="str">
            <v>Yuma Elementary District</v>
          </cell>
        </row>
        <row r="576">
          <cell r="C576">
            <v>140411000</v>
          </cell>
          <cell r="D576" t="str">
            <v>Somerton Elementary District</v>
          </cell>
        </row>
        <row r="577">
          <cell r="C577">
            <v>140413000</v>
          </cell>
          <cell r="D577" t="str">
            <v>Crane Elementary District</v>
          </cell>
        </row>
        <row r="578">
          <cell r="C578">
            <v>140416000</v>
          </cell>
          <cell r="D578" t="str">
            <v>Hyder Elementary District</v>
          </cell>
        </row>
        <row r="579">
          <cell r="C579">
            <v>140417000</v>
          </cell>
          <cell r="D579" t="str">
            <v>Mohawk Valley Elementary District</v>
          </cell>
        </row>
        <row r="580">
          <cell r="C580">
            <v>140424000</v>
          </cell>
          <cell r="D580" t="str">
            <v>Wellton Elementary District</v>
          </cell>
        </row>
        <row r="581">
          <cell r="C581">
            <v>140432000</v>
          </cell>
          <cell r="D581" t="str">
            <v>Gadsden Elementary District</v>
          </cell>
        </row>
        <row r="582">
          <cell r="C582">
            <v>140550000</v>
          </cell>
          <cell r="D582" t="str">
            <v>Antelope Union High School District</v>
          </cell>
        </row>
        <row r="583">
          <cell r="C583">
            <v>140570000</v>
          </cell>
          <cell r="D583" t="str">
            <v>Yuma Union High School District</v>
          </cell>
        </row>
        <row r="584">
          <cell r="C584">
            <v>148758000</v>
          </cell>
          <cell r="D584" t="str">
            <v>Yuma Private Industry Council, Inc.</v>
          </cell>
        </row>
        <row r="585">
          <cell r="C585">
            <v>148759000</v>
          </cell>
          <cell r="D585" t="str">
            <v>Juniper Tree Academy</v>
          </cell>
        </row>
        <row r="586">
          <cell r="C586">
            <v>148760000</v>
          </cell>
          <cell r="D586" t="str">
            <v>Harvest Power Community Development Group, Inc.</v>
          </cell>
        </row>
        <row r="587">
          <cell r="C587">
            <v>148761000</v>
          </cell>
          <cell r="D587" t="str">
            <v>Carpe Diem Collegiate High School</v>
          </cell>
        </row>
        <row r="588">
          <cell r="D588" t="str">
            <v>Arizona Virtual Academy</v>
          </cell>
        </row>
        <row r="589">
          <cell r="D589" t="str">
            <v>Subtotal of Charter/AVA</v>
          </cell>
        </row>
        <row r="590">
          <cell r="D590" t="str">
            <v>Subtotal</v>
          </cell>
        </row>
        <row r="591">
          <cell r="D591" t="str">
            <v>Calculation Variable</v>
          </cell>
        </row>
        <row r="594">
          <cell r="C594">
            <v>108796000</v>
          </cell>
          <cell r="D594" t="str">
            <v>Arizona Virtual Academy Totals</v>
          </cell>
        </row>
        <row r="596">
          <cell r="D596" t="str">
            <v>Total</v>
          </cell>
        </row>
        <row r="598">
          <cell r="C598">
            <v>79999001</v>
          </cell>
          <cell r="D598" t="str">
            <v>Maricopa County Educational Services Agency</v>
          </cell>
        </row>
        <row r="600">
          <cell r="C600">
            <v>74499000</v>
          </cell>
          <cell r="D600" t="str">
            <v>Arizona Supreme Court</v>
          </cell>
        </row>
        <row r="601">
          <cell r="C601">
            <v>211002000</v>
          </cell>
          <cell r="D601" t="str">
            <v>Arizona Department of Corrections</v>
          </cell>
        </row>
        <row r="602">
          <cell r="C602">
            <v>211001000</v>
          </cell>
          <cell r="D602" t="str">
            <v>Arizona Juvenile Corrections</v>
          </cell>
        </row>
        <row r="606">
          <cell r="C606">
            <v>1202000</v>
          </cell>
          <cell r="D606" t="str">
            <v>Arizona State School for the Deaf and Blind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pha"/>
      <sheetName val="Afton Final"/>
      <sheetName val="HH &amp; SI"/>
      <sheetName val="Afton Update FY14"/>
      <sheetName val="update_Allocation"/>
      <sheetName val="update_State Admin 1004(b)"/>
      <sheetName val="Historical Conc Grant Elig"/>
      <sheetName val="Formula Counts"/>
      <sheetName val="Variance to Prev Version"/>
      <sheetName val="DOE Final"/>
      <sheetName val="012315 SAIS FY15 Sum"/>
      <sheetName val="012315 SAIS FY15"/>
      <sheetName val="012315 SAIS ASDB FY15"/>
      <sheetName val="031715 SAIS FY15"/>
      <sheetName val="121514 SAIS FY15 Sum"/>
      <sheetName val="121514 SAIS FY15"/>
      <sheetName val="111714 SAIS FY15 Sum"/>
      <sheetName val="111714 SAIS FY15"/>
      <sheetName val="101614 SAIS FY15 Sum"/>
      <sheetName val="101614 SAIS FY15"/>
      <sheetName val="Percentages &amp; Student Counts"/>
      <sheetName val="Student Counts Sum"/>
      <sheetName val="Gold"/>
      <sheetName val="Beta"/>
      <sheetName val="State N &amp; D"/>
      <sheetName val="2014 Allocations By Type"/>
      <sheetName val="Title II by State"/>
      <sheetName val="State Admin 1004b"/>
      <sheetName val="Allocation"/>
      <sheetName val="Allocation Old"/>
      <sheetName val="Formula Counts Old"/>
      <sheetName val="Percentages &amp; Student Count Pre"/>
      <sheetName val="Percentages &amp; Student Count Old"/>
      <sheetName val="Student Counts Sum Pre"/>
      <sheetName val="Student Counts Sum Old"/>
      <sheetName val="NCES Ref"/>
      <sheetName val="NCLB - H&amp;N Report"/>
      <sheetName val="H&amp;N Summary Ref"/>
      <sheetName val="FreeAndReducedPercentageReport"/>
    </sheetNames>
    <sheetDataSet>
      <sheetData sheetId="0" refreshError="1"/>
      <sheetData sheetId="1" refreshError="1"/>
      <sheetData sheetId="2" refreshError="1"/>
      <sheetData sheetId="3"/>
      <sheetData sheetId="4" refreshError="1"/>
      <sheetData sheetId="5" refreshError="1"/>
      <sheetData sheetId="6">
        <row r="3">
          <cell r="C3" t="str">
            <v xml:space="preserve"> ADJ 2010 Conc - ELIGIBLE</v>
          </cell>
          <cell r="D3" t="str">
            <v xml:space="preserve"> ADJ 2011 Conc - ELIGIBLE</v>
          </cell>
          <cell r="E3" t="str">
            <v xml:space="preserve"> ADJ 2012 Conc - ELIGIBLE</v>
          </cell>
          <cell r="F3" t="str">
            <v xml:space="preserve"> ADJ 2013 Conc - ELIGIBLE</v>
          </cell>
          <cell r="G3" t="str">
            <v xml:space="preserve"> ADJ 2014 Conc - ELIGIBLE</v>
          </cell>
          <cell r="H3" t="str">
            <v xml:space="preserve"> ADJ 2015 Conc - ELIGIBLE</v>
          </cell>
          <cell r="I3" t="str">
            <v xml:space="preserve"> ADJ 2016 Conc - ELIGIBLE</v>
          </cell>
          <cell r="J3" t="str">
            <v xml:space="preserve"> ADJ 2017 Conc - ELIGIBLE</v>
          </cell>
        </row>
        <row r="4">
          <cell r="B4">
            <v>1202000</v>
          </cell>
          <cell r="C4" t="str">
            <v>N</v>
          </cell>
          <cell r="D4" t="str">
            <v>N</v>
          </cell>
          <cell r="E4" t="str">
            <v>N</v>
          </cell>
          <cell r="F4" t="str">
            <v>N</v>
          </cell>
          <cell r="G4" t="str">
            <v>N</v>
          </cell>
          <cell r="H4" t="str">
            <v>Y</v>
          </cell>
          <cell r="I4" t="str">
            <v>N</v>
          </cell>
          <cell r="J4" t="str">
            <v>N</v>
          </cell>
        </row>
        <row r="5">
          <cell r="B5">
            <v>10201000</v>
          </cell>
          <cell r="C5" t="str">
            <v>Y</v>
          </cell>
          <cell r="D5" t="str">
            <v>Y</v>
          </cell>
          <cell r="E5" t="str">
            <v>Y</v>
          </cell>
          <cell r="F5" t="str">
            <v>Y</v>
          </cell>
          <cell r="G5" t="str">
            <v>Y</v>
          </cell>
          <cell r="H5" t="str">
            <v>Y</v>
          </cell>
          <cell r="I5" t="str">
            <v>Y</v>
          </cell>
          <cell r="J5" t="str">
            <v>Y</v>
          </cell>
        </row>
        <row r="6">
          <cell r="B6">
            <v>10208000</v>
          </cell>
          <cell r="C6" t="str">
            <v>Y</v>
          </cell>
          <cell r="D6" t="str">
            <v>Y</v>
          </cell>
          <cell r="E6" t="str">
            <v>Y</v>
          </cell>
          <cell r="F6" t="str">
            <v>Y</v>
          </cell>
          <cell r="G6" t="str">
            <v>Y</v>
          </cell>
          <cell r="H6" t="str">
            <v>Y</v>
          </cell>
          <cell r="I6" t="str">
            <v>Y</v>
          </cell>
          <cell r="J6" t="str">
            <v>Y</v>
          </cell>
        </row>
        <row r="7">
          <cell r="B7">
            <v>10210000</v>
          </cell>
          <cell r="C7" t="str">
            <v>N</v>
          </cell>
          <cell r="D7" t="str">
            <v>N</v>
          </cell>
          <cell r="E7" t="str">
            <v>N</v>
          </cell>
          <cell r="F7" t="str">
            <v>Y</v>
          </cell>
          <cell r="G7" t="str">
            <v>Y</v>
          </cell>
          <cell r="H7" t="str">
            <v>Y</v>
          </cell>
          <cell r="I7" t="str">
            <v>Y</v>
          </cell>
          <cell r="J7" t="str">
            <v>Y</v>
          </cell>
        </row>
        <row r="8">
          <cell r="B8">
            <v>10218000</v>
          </cell>
          <cell r="C8" t="str">
            <v>Y</v>
          </cell>
          <cell r="D8" t="str">
            <v>Y</v>
          </cell>
          <cell r="E8" t="str">
            <v>Y</v>
          </cell>
          <cell r="F8" t="str">
            <v>Y</v>
          </cell>
          <cell r="G8" t="str">
            <v>Y</v>
          </cell>
          <cell r="H8" t="str">
            <v>Y</v>
          </cell>
          <cell r="I8" t="str">
            <v>Y</v>
          </cell>
          <cell r="J8" t="str">
            <v>Y</v>
          </cell>
        </row>
        <row r="9">
          <cell r="B9">
            <v>10220000</v>
          </cell>
          <cell r="C9" t="str">
            <v>Y</v>
          </cell>
          <cell r="D9" t="str">
            <v>Y</v>
          </cell>
          <cell r="E9" t="str">
            <v>Y</v>
          </cell>
          <cell r="F9" t="str">
            <v>Y</v>
          </cell>
          <cell r="G9" t="str">
            <v>Y</v>
          </cell>
          <cell r="H9" t="str">
            <v>Y</v>
          </cell>
          <cell r="I9" t="str">
            <v>Y</v>
          </cell>
          <cell r="J9" t="str">
            <v>Y</v>
          </cell>
        </row>
        <row r="10">
          <cell r="B10">
            <v>10224000</v>
          </cell>
          <cell r="C10" t="str">
            <v>Y</v>
          </cell>
          <cell r="D10" t="str">
            <v>Y</v>
          </cell>
          <cell r="E10" t="str">
            <v>Y</v>
          </cell>
          <cell r="F10" t="str">
            <v>Y</v>
          </cell>
          <cell r="G10" t="str">
            <v>Y</v>
          </cell>
          <cell r="H10" t="str">
            <v>Y</v>
          </cell>
          <cell r="I10" t="str">
            <v>Y</v>
          </cell>
          <cell r="J10" t="str">
            <v>Y</v>
          </cell>
        </row>
        <row r="11">
          <cell r="B11">
            <v>10227000</v>
          </cell>
          <cell r="C11" t="str">
            <v>Y</v>
          </cell>
          <cell r="D11" t="str">
            <v>Y</v>
          </cell>
          <cell r="E11" t="str">
            <v>Y</v>
          </cell>
          <cell r="F11" t="str">
            <v>Y</v>
          </cell>
          <cell r="G11" t="str">
            <v>Y</v>
          </cell>
          <cell r="H11" t="str">
            <v>Y</v>
          </cell>
          <cell r="I11" t="str">
            <v>Y</v>
          </cell>
          <cell r="J11" t="str">
            <v>Y</v>
          </cell>
        </row>
        <row r="12">
          <cell r="B12">
            <v>10306000</v>
          </cell>
          <cell r="C12" t="str">
            <v>Y</v>
          </cell>
          <cell r="D12" t="str">
            <v>Y</v>
          </cell>
          <cell r="E12" t="str">
            <v>Y</v>
          </cell>
          <cell r="F12" t="str">
            <v>Y</v>
          </cell>
          <cell r="G12" t="str">
            <v>Y</v>
          </cell>
          <cell r="H12" t="str">
            <v>Y</v>
          </cell>
          <cell r="I12" t="str">
            <v>Y</v>
          </cell>
          <cell r="J12" t="str">
            <v>Y</v>
          </cell>
        </row>
        <row r="13">
          <cell r="B13">
            <v>10307000</v>
          </cell>
          <cell r="C13" t="str">
            <v>N</v>
          </cell>
          <cell r="D13" t="str">
            <v>N</v>
          </cell>
          <cell r="E13" t="str">
            <v>N</v>
          </cell>
          <cell r="F13" t="str">
            <v>Y</v>
          </cell>
          <cell r="G13" t="str">
            <v>Y</v>
          </cell>
          <cell r="H13" t="str">
            <v>Y</v>
          </cell>
          <cell r="I13" t="str">
            <v>Y</v>
          </cell>
          <cell r="J13" t="str">
            <v>Y</v>
          </cell>
        </row>
        <row r="14">
          <cell r="B14">
            <v>10309000</v>
          </cell>
          <cell r="C14" t="str">
            <v>Y</v>
          </cell>
          <cell r="D14" t="str">
            <v>Y</v>
          </cell>
          <cell r="E14" t="str">
            <v>Y</v>
          </cell>
          <cell r="F14" t="str">
            <v>Y</v>
          </cell>
          <cell r="G14" t="str">
            <v>Y</v>
          </cell>
          <cell r="H14" t="str">
            <v>Y</v>
          </cell>
          <cell r="I14" t="str">
            <v>Y</v>
          </cell>
          <cell r="J14" t="str">
            <v>Y</v>
          </cell>
        </row>
        <row r="15">
          <cell r="B15">
            <v>10323000</v>
          </cell>
          <cell r="C15" t="str">
            <v>Y</v>
          </cell>
          <cell r="D15" t="str">
            <v>Y</v>
          </cell>
          <cell r="E15" t="str">
            <v>Y</v>
          </cell>
          <cell r="F15" t="str">
            <v>Y</v>
          </cell>
          <cell r="G15" t="str">
            <v>Y</v>
          </cell>
          <cell r="H15" t="str">
            <v>Y</v>
          </cell>
          <cell r="I15" t="str">
            <v>Y</v>
          </cell>
          <cell r="J15" t="str">
            <v>Y</v>
          </cell>
        </row>
        <row r="16">
          <cell r="B16">
            <v>10899000</v>
          </cell>
          <cell r="C16" t="str">
            <v>N</v>
          </cell>
          <cell r="D16" t="str">
            <v>Y</v>
          </cell>
          <cell r="E16" t="str">
            <v>N</v>
          </cell>
          <cell r="F16" t="str">
            <v>N</v>
          </cell>
          <cell r="G16" t="str">
            <v>N</v>
          </cell>
          <cell r="H16" t="str">
            <v>N</v>
          </cell>
          <cell r="I16" t="str">
            <v>N</v>
          </cell>
          <cell r="J16" t="str">
            <v>N</v>
          </cell>
        </row>
        <row r="17">
          <cell r="B17">
            <v>18759000</v>
          </cell>
          <cell r="C17" t="str">
            <v>N</v>
          </cell>
          <cell r="D17" t="str">
            <v>Y</v>
          </cell>
          <cell r="E17" t="str">
            <v>Y</v>
          </cell>
          <cell r="F17" t="str">
            <v>Y</v>
          </cell>
          <cell r="G17" t="str">
            <v>Y</v>
          </cell>
          <cell r="H17" t="str">
            <v>N</v>
          </cell>
          <cell r="I17" t="str">
            <v>N</v>
          </cell>
          <cell r="J17" t="str">
            <v>N</v>
          </cell>
        </row>
        <row r="18">
          <cell r="B18">
            <v>18760000</v>
          </cell>
          <cell r="C18" t="str">
            <v>N</v>
          </cell>
          <cell r="D18" t="str">
            <v>N</v>
          </cell>
          <cell r="E18" t="str">
            <v>N</v>
          </cell>
          <cell r="F18" t="str">
            <v>N</v>
          </cell>
          <cell r="G18" t="str">
            <v>N</v>
          </cell>
          <cell r="H18" t="str">
            <v>N</v>
          </cell>
          <cell r="I18" t="str">
            <v>N</v>
          </cell>
          <cell r="J18" t="str">
            <v>N</v>
          </cell>
        </row>
        <row r="19">
          <cell r="B19">
            <v>20100000</v>
          </cell>
          <cell r="C19" t="str">
            <v>N</v>
          </cell>
          <cell r="D19" t="str">
            <v>N</v>
          </cell>
          <cell r="E19" t="str">
            <v>Y</v>
          </cell>
          <cell r="F19" t="str">
            <v>N</v>
          </cell>
          <cell r="G19" t="str">
            <v>Y</v>
          </cell>
          <cell r="H19" t="str">
            <v>Y</v>
          </cell>
          <cell r="I19" t="str">
            <v>Y</v>
          </cell>
          <cell r="J19" t="str">
            <v>N</v>
          </cell>
        </row>
        <row r="20">
          <cell r="B20">
            <v>20201000</v>
          </cell>
          <cell r="C20" t="str">
            <v>Y</v>
          </cell>
          <cell r="D20" t="str">
            <v>Y</v>
          </cell>
          <cell r="E20" t="str">
            <v>Y</v>
          </cell>
          <cell r="F20" t="str">
            <v>Y</v>
          </cell>
          <cell r="G20" t="str">
            <v>Y</v>
          </cell>
          <cell r="H20" t="str">
            <v>Y</v>
          </cell>
          <cell r="I20" t="str">
            <v>Y</v>
          </cell>
          <cell r="J20" t="str">
            <v>Y</v>
          </cell>
        </row>
        <row r="21">
          <cell r="B21">
            <v>20202000</v>
          </cell>
          <cell r="C21" t="str">
            <v>Y</v>
          </cell>
          <cell r="D21" t="str">
            <v>Y</v>
          </cell>
          <cell r="E21" t="str">
            <v>Y</v>
          </cell>
          <cell r="F21" t="str">
            <v>Y</v>
          </cell>
          <cell r="G21" t="str">
            <v>Y</v>
          </cell>
          <cell r="H21" t="str">
            <v>Y</v>
          </cell>
          <cell r="I21" t="str">
            <v>Y</v>
          </cell>
          <cell r="J21" t="str">
            <v>Y</v>
          </cell>
        </row>
        <row r="22">
          <cell r="B22">
            <v>20209000</v>
          </cell>
          <cell r="C22" t="str">
            <v>Y</v>
          </cell>
          <cell r="D22" t="str">
            <v>Y</v>
          </cell>
          <cell r="E22" t="str">
            <v>Y</v>
          </cell>
          <cell r="F22" t="str">
            <v>Y</v>
          </cell>
          <cell r="G22" t="str">
            <v>Y</v>
          </cell>
          <cell r="H22" t="str">
            <v>Y</v>
          </cell>
          <cell r="I22" t="str">
            <v>Y</v>
          </cell>
          <cell r="J22" t="str">
            <v>Y</v>
          </cell>
        </row>
        <row r="23">
          <cell r="B23">
            <v>20209700</v>
          </cell>
          <cell r="C23" t="str">
            <v>N</v>
          </cell>
          <cell r="D23" t="str">
            <v>N</v>
          </cell>
          <cell r="E23" t="str">
            <v>N</v>
          </cell>
          <cell r="F23" t="str">
            <v>N</v>
          </cell>
          <cell r="G23" t="str">
            <v>N</v>
          </cell>
          <cell r="H23" t="str">
            <v>N</v>
          </cell>
          <cell r="I23" t="str">
            <v>N</v>
          </cell>
          <cell r="J23" t="str">
            <v>N</v>
          </cell>
        </row>
        <row r="24">
          <cell r="B24">
            <v>20213000</v>
          </cell>
          <cell r="C24" t="str">
            <v>Y</v>
          </cell>
          <cell r="D24" t="str">
            <v>Y</v>
          </cell>
          <cell r="E24" t="str">
            <v>Y</v>
          </cell>
          <cell r="F24" t="str">
            <v>Y</v>
          </cell>
          <cell r="G24" t="str">
            <v>Y</v>
          </cell>
          <cell r="H24" t="str">
            <v>Y</v>
          </cell>
          <cell r="I24" t="str">
            <v>Y</v>
          </cell>
          <cell r="J24" t="str">
            <v>Y</v>
          </cell>
        </row>
        <row r="25">
          <cell r="B25">
            <v>20214000</v>
          </cell>
          <cell r="C25" t="str">
            <v>Y</v>
          </cell>
          <cell r="D25" t="str">
            <v>Y</v>
          </cell>
          <cell r="E25" t="str">
            <v>Y</v>
          </cell>
          <cell r="F25" t="str">
            <v>Y</v>
          </cell>
          <cell r="G25" t="str">
            <v>Y</v>
          </cell>
          <cell r="H25" t="str">
            <v>Y</v>
          </cell>
          <cell r="I25" t="str">
            <v>Y</v>
          </cell>
          <cell r="J25" t="str">
            <v>Y</v>
          </cell>
        </row>
        <row r="26">
          <cell r="B26">
            <v>20218000</v>
          </cell>
          <cell r="C26" t="str">
            <v>Y</v>
          </cell>
          <cell r="D26" t="str">
            <v>Y</v>
          </cell>
          <cell r="E26" t="str">
            <v>Y</v>
          </cell>
          <cell r="F26" t="str">
            <v>N</v>
          </cell>
          <cell r="G26" t="str">
            <v>Y</v>
          </cell>
          <cell r="H26" t="str">
            <v>Y</v>
          </cell>
          <cell r="I26" t="str">
            <v>Y</v>
          </cell>
          <cell r="J26" t="str">
            <v>Y</v>
          </cell>
        </row>
        <row r="27">
          <cell r="B27">
            <v>20221000</v>
          </cell>
          <cell r="C27" t="str">
            <v>Y</v>
          </cell>
          <cell r="D27" t="str">
            <v>N</v>
          </cell>
          <cell r="E27" t="str">
            <v>N</v>
          </cell>
          <cell r="F27" t="str">
            <v>Y</v>
          </cell>
          <cell r="G27" t="str">
            <v>Y</v>
          </cell>
          <cell r="H27" t="str">
            <v>Y</v>
          </cell>
          <cell r="I27" t="str">
            <v>Y</v>
          </cell>
          <cell r="J27" t="str">
            <v>Y</v>
          </cell>
        </row>
        <row r="28">
          <cell r="B28">
            <v>20227000</v>
          </cell>
          <cell r="C28" t="str">
            <v>Y</v>
          </cell>
          <cell r="D28" t="str">
            <v>Y</v>
          </cell>
          <cell r="E28" t="str">
            <v>Y</v>
          </cell>
          <cell r="F28" t="str">
            <v>Y</v>
          </cell>
          <cell r="G28" t="str">
            <v>Y</v>
          </cell>
          <cell r="H28" t="str">
            <v>Y</v>
          </cell>
          <cell r="I28" t="str">
            <v>Y</v>
          </cell>
          <cell r="J28" t="str">
            <v>Y</v>
          </cell>
        </row>
        <row r="29">
          <cell r="B29">
            <v>20268000</v>
          </cell>
          <cell r="C29" t="str">
            <v>Y</v>
          </cell>
          <cell r="D29" t="str">
            <v>N</v>
          </cell>
          <cell r="E29" t="str">
            <v>N</v>
          </cell>
          <cell r="F29" t="str">
            <v>N</v>
          </cell>
          <cell r="G29" t="str">
            <v>Y</v>
          </cell>
          <cell r="H29" t="str">
            <v>Y</v>
          </cell>
          <cell r="I29" t="str">
            <v>Y</v>
          </cell>
          <cell r="J29" t="str">
            <v>Y</v>
          </cell>
        </row>
        <row r="30">
          <cell r="B30">
            <v>20323000</v>
          </cell>
          <cell r="C30" t="str">
            <v>Y</v>
          </cell>
          <cell r="D30" t="str">
            <v>Y</v>
          </cell>
          <cell r="E30" t="str">
            <v>Y</v>
          </cell>
          <cell r="F30" t="str">
            <v>Y</v>
          </cell>
          <cell r="G30" t="str">
            <v>Y</v>
          </cell>
          <cell r="H30" t="str">
            <v>Y</v>
          </cell>
          <cell r="I30" t="str">
            <v>Y</v>
          </cell>
          <cell r="J30" t="str">
            <v>Y</v>
          </cell>
        </row>
        <row r="31">
          <cell r="B31">
            <v>20326000</v>
          </cell>
          <cell r="C31" t="str">
            <v>N</v>
          </cell>
          <cell r="D31" t="str">
            <v>N</v>
          </cell>
          <cell r="E31" t="str">
            <v>N</v>
          </cell>
          <cell r="F31" t="str">
            <v>Y</v>
          </cell>
          <cell r="G31" t="str">
            <v>Y</v>
          </cell>
          <cell r="H31" t="str">
            <v>Y</v>
          </cell>
          <cell r="I31" t="str">
            <v>Y</v>
          </cell>
          <cell r="J31" t="str">
            <v>N</v>
          </cell>
        </row>
        <row r="32">
          <cell r="B32">
            <v>20342000</v>
          </cell>
          <cell r="C32" t="str">
            <v>N</v>
          </cell>
          <cell r="D32" t="str">
            <v>N</v>
          </cell>
          <cell r="E32" t="str">
            <v>N</v>
          </cell>
          <cell r="F32" t="str">
            <v>N</v>
          </cell>
          <cell r="G32" t="str">
            <v>N</v>
          </cell>
          <cell r="H32" t="str">
            <v>N</v>
          </cell>
          <cell r="I32" t="str">
            <v>N</v>
          </cell>
          <cell r="J32" t="str">
            <v>N</v>
          </cell>
        </row>
        <row r="33">
          <cell r="B33">
            <v>20345000</v>
          </cell>
          <cell r="C33" t="str">
            <v>Y</v>
          </cell>
          <cell r="D33" t="str">
            <v>Y</v>
          </cell>
          <cell r="E33" t="str">
            <v>Y</v>
          </cell>
          <cell r="F33" t="str">
            <v>Y</v>
          </cell>
          <cell r="G33" t="str">
            <v>Y</v>
          </cell>
          <cell r="H33" t="str">
            <v>Y</v>
          </cell>
          <cell r="I33" t="str">
            <v>Y</v>
          </cell>
          <cell r="J33" t="str">
            <v>Y</v>
          </cell>
        </row>
        <row r="34">
          <cell r="B34">
            <v>20349000</v>
          </cell>
          <cell r="C34" t="str">
            <v>Y</v>
          </cell>
          <cell r="D34" t="str">
            <v>N</v>
          </cell>
          <cell r="E34" t="str">
            <v>N</v>
          </cell>
          <cell r="F34" t="str">
            <v>Y</v>
          </cell>
          <cell r="G34" t="str">
            <v>Y</v>
          </cell>
          <cell r="H34" t="str">
            <v>Y</v>
          </cell>
          <cell r="I34" t="str">
            <v>Y</v>
          </cell>
          <cell r="J34" t="str">
            <v>Y</v>
          </cell>
        </row>
        <row r="35">
          <cell r="B35">
            <v>20355000</v>
          </cell>
          <cell r="C35" t="str">
            <v>Y</v>
          </cell>
          <cell r="D35" t="str">
            <v>Y</v>
          </cell>
          <cell r="E35" t="str">
            <v>Y</v>
          </cell>
          <cell r="F35" t="str">
            <v>Y</v>
          </cell>
          <cell r="G35" t="str">
            <v>Y</v>
          </cell>
          <cell r="H35" t="str">
            <v>Y</v>
          </cell>
          <cell r="I35" t="str">
            <v>Y</v>
          </cell>
          <cell r="J35" t="str">
            <v>Y</v>
          </cell>
        </row>
        <row r="36">
          <cell r="B36">
            <v>20364000</v>
          </cell>
          <cell r="C36" t="str">
            <v>Y</v>
          </cell>
          <cell r="D36" t="str">
            <v>Y</v>
          </cell>
          <cell r="E36" t="str">
            <v>Y</v>
          </cell>
          <cell r="F36" t="str">
            <v>N</v>
          </cell>
          <cell r="G36" t="str">
            <v>Y</v>
          </cell>
          <cell r="H36" t="str">
            <v>Y</v>
          </cell>
          <cell r="I36" t="str">
            <v>Y</v>
          </cell>
          <cell r="J36" t="str">
            <v>Y</v>
          </cell>
        </row>
        <row r="37">
          <cell r="B37">
            <v>20366000</v>
          </cell>
          <cell r="C37" t="str">
            <v>N</v>
          </cell>
          <cell r="D37" t="str">
            <v>N</v>
          </cell>
          <cell r="E37" t="str">
            <v>N</v>
          </cell>
          <cell r="F37" t="str">
            <v>N</v>
          </cell>
          <cell r="G37" t="str">
            <v>N</v>
          </cell>
          <cell r="H37" t="str">
            <v>N</v>
          </cell>
          <cell r="I37" t="str">
            <v>N</v>
          </cell>
          <cell r="J37" t="str">
            <v>N</v>
          </cell>
        </row>
        <row r="38">
          <cell r="B38">
            <v>20381000</v>
          </cell>
          <cell r="C38" t="str">
            <v>N</v>
          </cell>
          <cell r="D38" t="str">
            <v>N</v>
          </cell>
          <cell r="E38" t="str">
            <v>N</v>
          </cell>
          <cell r="F38" t="str">
            <v>N</v>
          </cell>
          <cell r="G38" t="str">
            <v>N</v>
          </cell>
          <cell r="H38" t="str">
            <v>N</v>
          </cell>
          <cell r="I38" t="str">
            <v>N</v>
          </cell>
          <cell r="J38" t="str">
            <v>N</v>
          </cell>
        </row>
        <row r="39">
          <cell r="B39">
            <v>20412000</v>
          </cell>
          <cell r="C39" t="str">
            <v>Y</v>
          </cell>
          <cell r="D39" t="str">
            <v>Y</v>
          </cell>
          <cell r="E39" t="str">
            <v>Y</v>
          </cell>
          <cell r="F39" t="str">
            <v>Y</v>
          </cell>
          <cell r="G39" t="str">
            <v>Y</v>
          </cell>
          <cell r="H39" t="str">
            <v>Y</v>
          </cell>
          <cell r="I39" t="str">
            <v>Y</v>
          </cell>
          <cell r="J39" t="str">
            <v>N</v>
          </cell>
        </row>
        <row r="40">
          <cell r="B40">
            <v>20422000</v>
          </cell>
          <cell r="C40" t="str">
            <v>Y</v>
          </cell>
          <cell r="D40" t="str">
            <v>Y</v>
          </cell>
          <cell r="E40" t="str">
            <v>Y</v>
          </cell>
          <cell r="F40" t="str">
            <v>Y</v>
          </cell>
          <cell r="G40" t="str">
            <v>Y</v>
          </cell>
          <cell r="H40" t="str">
            <v>Y</v>
          </cell>
          <cell r="I40" t="str">
            <v>Y</v>
          </cell>
          <cell r="J40" t="str">
            <v>Y</v>
          </cell>
        </row>
        <row r="41">
          <cell r="B41">
            <v>20453000</v>
          </cell>
          <cell r="C41" t="str">
            <v>Y</v>
          </cell>
          <cell r="D41" t="str">
            <v>Y</v>
          </cell>
          <cell r="E41" t="str">
            <v>Y</v>
          </cell>
          <cell r="F41" t="str">
            <v>Y</v>
          </cell>
          <cell r="G41" t="str">
            <v>Y</v>
          </cell>
          <cell r="H41" t="str">
            <v>Y</v>
          </cell>
          <cell r="I41" t="str">
            <v>Y</v>
          </cell>
          <cell r="J41" t="str">
            <v>Y</v>
          </cell>
        </row>
        <row r="42">
          <cell r="B42">
            <v>20522000</v>
          </cell>
          <cell r="C42" t="str">
            <v>Y</v>
          </cell>
          <cell r="D42" t="str">
            <v>Y</v>
          </cell>
          <cell r="E42" t="str">
            <v>Y</v>
          </cell>
          <cell r="F42" t="str">
            <v>Y</v>
          </cell>
          <cell r="G42" t="str">
            <v>Y</v>
          </cell>
          <cell r="H42" t="str">
            <v>Y</v>
          </cell>
          <cell r="I42" t="str">
            <v>Y</v>
          </cell>
          <cell r="J42" t="str">
            <v>Y</v>
          </cell>
        </row>
        <row r="43">
          <cell r="B43">
            <v>20899000</v>
          </cell>
          <cell r="C43" t="str">
            <v>N</v>
          </cell>
          <cell r="D43" t="str">
            <v>Y</v>
          </cell>
          <cell r="E43" t="str">
            <v>N</v>
          </cell>
          <cell r="F43" t="str">
            <v>N</v>
          </cell>
          <cell r="G43" t="str">
            <v>N</v>
          </cell>
          <cell r="H43" t="str">
            <v>N</v>
          </cell>
          <cell r="I43" t="str">
            <v>N</v>
          </cell>
          <cell r="J43" t="str">
            <v>N</v>
          </cell>
        </row>
        <row r="44">
          <cell r="B44">
            <v>20900000</v>
          </cell>
          <cell r="C44" t="str">
            <v>N</v>
          </cell>
          <cell r="D44" t="str">
            <v>N</v>
          </cell>
          <cell r="E44" t="str">
            <v>N</v>
          </cell>
          <cell r="F44" t="str">
            <v>N</v>
          </cell>
          <cell r="G44" t="str">
            <v>N</v>
          </cell>
          <cell r="H44" t="str">
            <v>N</v>
          </cell>
          <cell r="I44" t="str">
            <v>N</v>
          </cell>
          <cell r="J44" t="str">
            <v>N</v>
          </cell>
        </row>
        <row r="45">
          <cell r="B45">
            <v>20999000</v>
          </cell>
          <cell r="C45" t="str">
            <v>N</v>
          </cell>
          <cell r="D45" t="str">
            <v>N</v>
          </cell>
          <cell r="E45" t="str">
            <v>N</v>
          </cell>
          <cell r="F45" t="str">
            <v>N</v>
          </cell>
          <cell r="G45" t="str">
            <v>N</v>
          </cell>
          <cell r="H45" t="str">
            <v>N</v>
          </cell>
          <cell r="I45" t="str">
            <v>N</v>
          </cell>
          <cell r="J45" t="str">
            <v>N</v>
          </cell>
        </row>
        <row r="46">
          <cell r="B46">
            <v>28701000</v>
          </cell>
          <cell r="C46" t="str">
            <v>N</v>
          </cell>
          <cell r="D46" t="str">
            <v>N</v>
          </cell>
          <cell r="E46" t="str">
            <v>Y</v>
          </cell>
          <cell r="F46" t="str">
            <v>Y</v>
          </cell>
          <cell r="G46" t="str">
            <v>Y</v>
          </cell>
          <cell r="H46" t="str">
            <v>Y</v>
          </cell>
          <cell r="I46" t="str">
            <v>Y</v>
          </cell>
          <cell r="J46" t="str">
            <v>Y</v>
          </cell>
        </row>
        <row r="47">
          <cell r="B47">
            <v>28750000</v>
          </cell>
          <cell r="C47" t="str">
            <v>Y</v>
          </cell>
          <cell r="D47" t="str">
            <v>Y</v>
          </cell>
          <cell r="E47" t="str">
            <v>Y</v>
          </cell>
          <cell r="F47" t="str">
            <v>Y</v>
          </cell>
          <cell r="G47" t="str">
            <v>Y</v>
          </cell>
          <cell r="H47" t="str">
            <v>Y</v>
          </cell>
          <cell r="I47" t="str">
            <v>Y</v>
          </cell>
          <cell r="J47" t="str">
            <v>Y</v>
          </cell>
        </row>
        <row r="48">
          <cell r="B48">
            <v>28751000</v>
          </cell>
          <cell r="C48" t="str">
            <v>Y</v>
          </cell>
          <cell r="D48" t="str">
            <v>Y</v>
          </cell>
          <cell r="E48" t="str">
            <v>Y</v>
          </cell>
          <cell r="F48" t="str">
            <v>Y</v>
          </cell>
          <cell r="G48" t="str">
            <v>Y</v>
          </cell>
          <cell r="H48" t="str">
            <v>Y</v>
          </cell>
          <cell r="I48" t="str">
            <v>Y</v>
          </cell>
          <cell r="J48" t="str">
            <v>Y</v>
          </cell>
        </row>
        <row r="49">
          <cell r="B49">
            <v>28752000</v>
          </cell>
          <cell r="C49" t="str">
            <v>Y</v>
          </cell>
          <cell r="D49" t="str">
            <v>N</v>
          </cell>
          <cell r="E49" t="str">
            <v>Y</v>
          </cell>
          <cell r="F49" t="str">
            <v>N</v>
          </cell>
          <cell r="G49" t="str">
            <v>N</v>
          </cell>
          <cell r="H49" t="str">
            <v>N</v>
          </cell>
          <cell r="I49" t="str">
            <v>N</v>
          </cell>
          <cell r="J49" t="str">
            <v>N</v>
          </cell>
        </row>
        <row r="50">
          <cell r="B50">
            <v>30199000</v>
          </cell>
          <cell r="C50" t="str">
            <v>N</v>
          </cell>
          <cell r="D50" t="str">
            <v>N</v>
          </cell>
          <cell r="E50" t="str">
            <v>N</v>
          </cell>
          <cell r="F50" t="str">
            <v>N</v>
          </cell>
          <cell r="G50" t="str">
            <v>N</v>
          </cell>
          <cell r="H50" t="str">
            <v>N</v>
          </cell>
          <cell r="I50" t="str">
            <v>N</v>
          </cell>
          <cell r="J50" t="str">
            <v>N</v>
          </cell>
        </row>
        <row r="51">
          <cell r="B51">
            <v>30201000</v>
          </cell>
          <cell r="C51" t="str">
            <v>Y</v>
          </cell>
          <cell r="D51" t="str">
            <v>Y</v>
          </cell>
          <cell r="E51" t="str">
            <v>Y</v>
          </cell>
          <cell r="F51" t="str">
            <v>Y</v>
          </cell>
          <cell r="G51" t="str">
            <v>Y</v>
          </cell>
          <cell r="H51" t="str">
            <v>Y</v>
          </cell>
          <cell r="I51" t="str">
            <v>Y</v>
          </cell>
          <cell r="J51" t="str">
            <v>Y</v>
          </cell>
        </row>
        <row r="52">
          <cell r="B52">
            <v>30202000</v>
          </cell>
          <cell r="C52" t="str">
            <v>Y</v>
          </cell>
          <cell r="D52" t="str">
            <v>Y</v>
          </cell>
          <cell r="E52" t="str">
            <v>Y</v>
          </cell>
          <cell r="F52" t="str">
            <v>Y</v>
          </cell>
          <cell r="G52" t="str">
            <v>Y</v>
          </cell>
          <cell r="H52" t="str">
            <v>Y</v>
          </cell>
          <cell r="I52" t="str">
            <v>Y</v>
          </cell>
          <cell r="J52" t="str">
            <v>Y</v>
          </cell>
        </row>
        <row r="53">
          <cell r="B53">
            <v>30204000</v>
          </cell>
          <cell r="C53" t="str">
            <v>N</v>
          </cell>
          <cell r="D53" t="str">
            <v>N</v>
          </cell>
          <cell r="E53" t="str">
            <v>N</v>
          </cell>
          <cell r="F53" t="str">
            <v>Y</v>
          </cell>
          <cell r="G53" t="str">
            <v>Y</v>
          </cell>
          <cell r="H53" t="str">
            <v>Y</v>
          </cell>
          <cell r="I53" t="str">
            <v>Y</v>
          </cell>
          <cell r="J53" t="str">
            <v>Y</v>
          </cell>
        </row>
        <row r="54">
          <cell r="B54">
            <v>30206000</v>
          </cell>
          <cell r="C54" t="str">
            <v>Y</v>
          </cell>
          <cell r="D54" t="str">
            <v>Y</v>
          </cell>
          <cell r="E54" t="str">
            <v>Y</v>
          </cell>
          <cell r="F54" t="str">
            <v>Y</v>
          </cell>
          <cell r="G54" t="str">
            <v>Y</v>
          </cell>
          <cell r="H54" t="str">
            <v>Y</v>
          </cell>
          <cell r="I54" t="str">
            <v>Y</v>
          </cell>
          <cell r="J54" t="str">
            <v>Y</v>
          </cell>
        </row>
        <row r="55">
          <cell r="B55">
            <v>30208000</v>
          </cell>
          <cell r="C55" t="str">
            <v>Y</v>
          </cell>
          <cell r="D55" t="str">
            <v>Y</v>
          </cell>
          <cell r="E55" t="str">
            <v>Y</v>
          </cell>
          <cell r="F55" t="str">
            <v>Y</v>
          </cell>
          <cell r="G55" t="str">
            <v>Y</v>
          </cell>
          <cell r="H55" t="str">
            <v>Y</v>
          </cell>
          <cell r="I55" t="str">
            <v>Y</v>
          </cell>
          <cell r="J55" t="str">
            <v>Y</v>
          </cell>
        </row>
        <row r="56">
          <cell r="B56">
            <v>30215000</v>
          </cell>
          <cell r="C56" t="str">
            <v>Y</v>
          </cell>
          <cell r="D56" t="str">
            <v>Y</v>
          </cell>
          <cell r="E56" t="str">
            <v>Y</v>
          </cell>
          <cell r="F56" t="str">
            <v>Y</v>
          </cell>
          <cell r="G56" t="str">
            <v>Y</v>
          </cell>
          <cell r="H56" t="str">
            <v>Y</v>
          </cell>
          <cell r="I56" t="str">
            <v>Y</v>
          </cell>
          <cell r="J56" t="str">
            <v>Y</v>
          </cell>
        </row>
        <row r="57">
          <cell r="B57">
            <v>30305000</v>
          </cell>
          <cell r="C57" t="str">
            <v>N</v>
          </cell>
          <cell r="D57" t="str">
            <v>N</v>
          </cell>
          <cell r="E57" t="str">
            <v>N</v>
          </cell>
          <cell r="F57" t="str">
            <v>Y</v>
          </cell>
          <cell r="G57" t="str">
            <v>Y</v>
          </cell>
          <cell r="H57" t="str">
            <v>Y</v>
          </cell>
          <cell r="I57" t="str">
            <v>Y</v>
          </cell>
          <cell r="J57" t="str">
            <v>N</v>
          </cell>
        </row>
        <row r="58">
          <cell r="B58">
            <v>30310000</v>
          </cell>
          <cell r="C58" t="str">
            <v>N</v>
          </cell>
          <cell r="D58" t="str">
            <v>N</v>
          </cell>
          <cell r="E58" t="str">
            <v>N</v>
          </cell>
          <cell r="F58" t="str">
            <v>N</v>
          </cell>
          <cell r="G58" t="str">
            <v>Y</v>
          </cell>
          <cell r="H58" t="str">
            <v>N</v>
          </cell>
          <cell r="I58" t="str">
            <v>Y</v>
          </cell>
          <cell r="J58" t="str">
            <v>Y</v>
          </cell>
        </row>
        <row r="59">
          <cell r="B59">
            <v>30899000</v>
          </cell>
          <cell r="C59" t="str">
            <v>N</v>
          </cell>
          <cell r="D59" t="str">
            <v>N</v>
          </cell>
          <cell r="E59" t="str">
            <v>N</v>
          </cell>
          <cell r="F59" t="str">
            <v>N</v>
          </cell>
          <cell r="G59" t="str">
            <v>N</v>
          </cell>
          <cell r="H59" t="str">
            <v>N</v>
          </cell>
          <cell r="I59" t="str">
            <v>N</v>
          </cell>
          <cell r="J59" t="str">
            <v>N</v>
          </cell>
        </row>
        <row r="60">
          <cell r="B60">
            <v>30900000</v>
          </cell>
          <cell r="C60" t="str">
            <v>N</v>
          </cell>
          <cell r="D60" t="str">
            <v>N</v>
          </cell>
          <cell r="E60" t="str">
            <v>N</v>
          </cell>
          <cell r="F60" t="str">
            <v>N</v>
          </cell>
          <cell r="G60" t="str">
            <v>N</v>
          </cell>
          <cell r="H60" t="str">
            <v>N</v>
          </cell>
          <cell r="I60" t="str">
            <v>N</v>
          </cell>
          <cell r="J60" t="str">
            <v>N</v>
          </cell>
        </row>
        <row r="61">
          <cell r="B61">
            <v>30999000</v>
          </cell>
          <cell r="C61" t="str">
            <v>N</v>
          </cell>
          <cell r="D61" t="str">
            <v>Y</v>
          </cell>
          <cell r="E61" t="str">
            <v>N</v>
          </cell>
          <cell r="F61" t="str">
            <v>N</v>
          </cell>
          <cell r="G61" t="str">
            <v>N</v>
          </cell>
          <cell r="H61" t="str">
            <v>N</v>
          </cell>
          <cell r="I61" t="str">
            <v>N</v>
          </cell>
          <cell r="J61" t="str">
            <v>N</v>
          </cell>
        </row>
        <row r="62">
          <cell r="B62">
            <v>38701000</v>
          </cell>
          <cell r="C62" t="str">
            <v>N</v>
          </cell>
          <cell r="D62" t="str">
            <v>N</v>
          </cell>
          <cell r="E62" t="str">
            <v>N</v>
          </cell>
          <cell r="F62" t="str">
            <v>N</v>
          </cell>
          <cell r="G62" t="str">
            <v>N</v>
          </cell>
          <cell r="H62" t="str">
            <v>N</v>
          </cell>
          <cell r="I62" t="str">
            <v>N</v>
          </cell>
          <cell r="J62" t="str">
            <v>N</v>
          </cell>
        </row>
        <row r="63">
          <cell r="B63">
            <v>38702000</v>
          </cell>
          <cell r="C63" t="str">
            <v>Y</v>
          </cell>
          <cell r="D63" t="str">
            <v>Y</v>
          </cell>
          <cell r="E63" t="str">
            <v>Y</v>
          </cell>
          <cell r="F63" t="str">
            <v>Y</v>
          </cell>
          <cell r="G63" t="str">
            <v>Y</v>
          </cell>
          <cell r="H63" t="str">
            <v>Y</v>
          </cell>
          <cell r="I63" t="str">
            <v>Y</v>
          </cell>
          <cell r="J63" t="str">
            <v>Y</v>
          </cell>
        </row>
        <row r="64">
          <cell r="B64">
            <v>38703000</v>
          </cell>
          <cell r="C64" t="str">
            <v>Y</v>
          </cell>
          <cell r="D64" t="str">
            <v>N</v>
          </cell>
          <cell r="E64" t="str">
            <v>N</v>
          </cell>
          <cell r="F64" t="str">
            <v>N</v>
          </cell>
          <cell r="G64" t="str">
            <v>N</v>
          </cell>
          <cell r="H64" t="str">
            <v>N</v>
          </cell>
          <cell r="I64" t="str">
            <v>N</v>
          </cell>
          <cell r="J64" t="str">
            <v>N</v>
          </cell>
        </row>
        <row r="65">
          <cell r="B65">
            <v>38706000</v>
          </cell>
          <cell r="C65" t="str">
            <v>N</v>
          </cell>
          <cell r="D65" t="str">
            <v>Y</v>
          </cell>
          <cell r="E65" t="str">
            <v>Y</v>
          </cell>
          <cell r="F65" t="str">
            <v>N</v>
          </cell>
          <cell r="G65" t="str">
            <v>Y</v>
          </cell>
          <cell r="H65" t="str">
            <v>Y</v>
          </cell>
          <cell r="I65" t="str">
            <v>Y</v>
          </cell>
          <cell r="J65" t="str">
            <v>Y</v>
          </cell>
        </row>
        <row r="66">
          <cell r="B66">
            <v>38707000</v>
          </cell>
          <cell r="C66" t="str">
            <v>N</v>
          </cell>
          <cell r="D66" t="str">
            <v>N</v>
          </cell>
          <cell r="E66" t="str">
            <v>N</v>
          </cell>
          <cell r="F66" t="str">
            <v>N</v>
          </cell>
          <cell r="G66" t="str">
            <v>N</v>
          </cell>
          <cell r="H66" t="str">
            <v>N</v>
          </cell>
          <cell r="I66" t="str">
            <v>N</v>
          </cell>
          <cell r="J66" t="str">
            <v>N</v>
          </cell>
        </row>
        <row r="67">
          <cell r="B67">
            <v>38708000</v>
          </cell>
          <cell r="C67" t="str">
            <v>Y</v>
          </cell>
          <cell r="D67" t="str">
            <v>Y</v>
          </cell>
          <cell r="E67" t="str">
            <v>Y</v>
          </cell>
          <cell r="F67" t="str">
            <v>Y</v>
          </cell>
          <cell r="G67" t="str">
            <v>Y</v>
          </cell>
          <cell r="H67" t="str">
            <v>Y</v>
          </cell>
          <cell r="I67" t="str">
            <v>Y</v>
          </cell>
          <cell r="J67" t="str">
            <v>Y</v>
          </cell>
        </row>
        <row r="68">
          <cell r="B68">
            <v>38750000</v>
          </cell>
          <cell r="C68" t="str">
            <v>N</v>
          </cell>
          <cell r="D68" t="str">
            <v>Y</v>
          </cell>
          <cell r="E68" t="str">
            <v>N</v>
          </cell>
          <cell r="F68" t="str">
            <v>N</v>
          </cell>
          <cell r="G68" t="str">
            <v>N</v>
          </cell>
          <cell r="H68" t="str">
            <v>N</v>
          </cell>
          <cell r="I68" t="str">
            <v>N</v>
          </cell>
          <cell r="J68" t="str">
            <v>N</v>
          </cell>
        </row>
        <row r="69">
          <cell r="B69">
            <v>38751000</v>
          </cell>
          <cell r="C69" t="str">
            <v>N</v>
          </cell>
          <cell r="D69" t="str">
            <v>N</v>
          </cell>
          <cell r="E69" t="str">
            <v>N</v>
          </cell>
          <cell r="F69" t="str">
            <v>N</v>
          </cell>
          <cell r="G69" t="str">
            <v>N</v>
          </cell>
          <cell r="H69" t="str">
            <v>N</v>
          </cell>
          <cell r="I69" t="str">
            <v>N</v>
          </cell>
          <cell r="J69" t="str">
            <v>N</v>
          </cell>
        </row>
        <row r="70">
          <cell r="B70">
            <v>38752000</v>
          </cell>
          <cell r="C70" t="str">
            <v>N</v>
          </cell>
          <cell r="D70" t="str">
            <v>Y</v>
          </cell>
          <cell r="E70" t="str">
            <v>N</v>
          </cell>
          <cell r="F70" t="str">
            <v>Y</v>
          </cell>
          <cell r="G70" t="str">
            <v>Y</v>
          </cell>
          <cell r="H70" t="str">
            <v>Y</v>
          </cell>
          <cell r="I70" t="str">
            <v>N</v>
          </cell>
          <cell r="J70" t="str">
            <v>N</v>
          </cell>
        </row>
        <row r="71">
          <cell r="B71">
            <v>38753000</v>
          </cell>
          <cell r="C71" t="str">
            <v>Y</v>
          </cell>
          <cell r="D71" t="str">
            <v>Y</v>
          </cell>
          <cell r="E71" t="str">
            <v>Y</v>
          </cell>
          <cell r="F71" t="str">
            <v>Y</v>
          </cell>
          <cell r="G71" t="str">
            <v>Y</v>
          </cell>
          <cell r="H71" t="str">
            <v>Y</v>
          </cell>
          <cell r="I71" t="str">
            <v>Y</v>
          </cell>
          <cell r="J71" t="str">
            <v>Y</v>
          </cell>
        </row>
        <row r="72">
          <cell r="B72">
            <v>38755000</v>
          </cell>
          <cell r="C72" t="str">
            <v>N</v>
          </cell>
          <cell r="D72" t="str">
            <v>N</v>
          </cell>
          <cell r="E72" t="str">
            <v>N</v>
          </cell>
          <cell r="F72" t="str">
            <v>N</v>
          </cell>
          <cell r="G72" t="str">
            <v>N</v>
          </cell>
          <cell r="H72" t="str">
            <v>N</v>
          </cell>
          <cell r="I72" t="str">
            <v>N</v>
          </cell>
          <cell r="J72" t="str">
            <v>N</v>
          </cell>
        </row>
        <row r="73">
          <cell r="B73">
            <v>40149000</v>
          </cell>
          <cell r="C73" t="str">
            <v>Y</v>
          </cell>
          <cell r="D73" t="str">
            <v>Y</v>
          </cell>
          <cell r="E73" t="str">
            <v>Y</v>
          </cell>
          <cell r="F73" t="str">
            <v>Y</v>
          </cell>
          <cell r="G73" t="str">
            <v>Y</v>
          </cell>
          <cell r="H73" t="str">
            <v>Y</v>
          </cell>
          <cell r="I73" t="str">
            <v>Y</v>
          </cell>
          <cell r="J73" t="str">
            <v>N</v>
          </cell>
        </row>
        <row r="74">
          <cell r="B74">
            <v>40201000</v>
          </cell>
          <cell r="C74" t="str">
            <v>Y</v>
          </cell>
          <cell r="D74" t="str">
            <v>Y</v>
          </cell>
          <cell r="E74" t="str">
            <v>Y</v>
          </cell>
          <cell r="F74" t="str">
            <v>Y</v>
          </cell>
          <cell r="G74" t="str">
            <v>Y</v>
          </cell>
          <cell r="H74" t="str">
            <v>Y</v>
          </cell>
          <cell r="I74" t="str">
            <v>Y</v>
          </cell>
          <cell r="J74" t="str">
            <v>Y</v>
          </cell>
        </row>
        <row r="75">
          <cell r="B75">
            <v>40210000</v>
          </cell>
          <cell r="C75" t="str">
            <v>Y</v>
          </cell>
          <cell r="D75" t="str">
            <v>Y</v>
          </cell>
          <cell r="E75" t="str">
            <v>Y</v>
          </cell>
          <cell r="F75" t="str">
            <v>Y</v>
          </cell>
          <cell r="G75" t="str">
            <v>Y</v>
          </cell>
          <cell r="H75" t="str">
            <v>Y</v>
          </cell>
          <cell r="I75" t="str">
            <v>Y</v>
          </cell>
          <cell r="J75" t="str">
            <v>Y</v>
          </cell>
        </row>
        <row r="76">
          <cell r="B76">
            <v>40210700</v>
          </cell>
          <cell r="C76" t="str">
            <v>Y</v>
          </cell>
          <cell r="D76" t="str">
            <v>N</v>
          </cell>
          <cell r="E76" t="str">
            <v>N</v>
          </cell>
          <cell r="F76" t="str">
            <v>N</v>
          </cell>
          <cell r="G76" t="str">
            <v>N</v>
          </cell>
          <cell r="H76" t="str">
            <v>N</v>
          </cell>
          <cell r="I76" t="str">
            <v>N</v>
          </cell>
          <cell r="J76" t="str">
            <v>N</v>
          </cell>
        </row>
        <row r="77">
          <cell r="B77">
            <v>40220000</v>
          </cell>
          <cell r="C77" t="str">
            <v>Y</v>
          </cell>
          <cell r="D77" t="str">
            <v>Y</v>
          </cell>
          <cell r="E77" t="str">
            <v>Y</v>
          </cell>
          <cell r="F77" t="str">
            <v>Y</v>
          </cell>
          <cell r="G77" t="str">
            <v>Y</v>
          </cell>
          <cell r="H77" t="str">
            <v>Y</v>
          </cell>
          <cell r="I77" t="str">
            <v>Y</v>
          </cell>
          <cell r="J77" t="str">
            <v>Y</v>
          </cell>
        </row>
        <row r="78">
          <cell r="B78">
            <v>40240000</v>
          </cell>
          <cell r="C78" t="str">
            <v>Y</v>
          </cell>
          <cell r="D78" t="str">
            <v>Y</v>
          </cell>
          <cell r="E78" t="str">
            <v>Y</v>
          </cell>
          <cell r="F78" t="str">
            <v>Y</v>
          </cell>
          <cell r="G78" t="str">
            <v>Y</v>
          </cell>
          <cell r="H78" t="str">
            <v>Y</v>
          </cell>
          <cell r="I78" t="str">
            <v>Y</v>
          </cell>
          <cell r="J78" t="str">
            <v>Y</v>
          </cell>
        </row>
        <row r="79">
          <cell r="B79">
            <v>40241000</v>
          </cell>
          <cell r="C79" t="str">
            <v>Y</v>
          </cell>
          <cell r="D79" t="str">
            <v>Y</v>
          </cell>
          <cell r="E79" t="str">
            <v>Y</v>
          </cell>
          <cell r="F79" t="str">
            <v>Y</v>
          </cell>
          <cell r="G79" t="str">
            <v>Y</v>
          </cell>
          <cell r="H79" t="str">
            <v>Y</v>
          </cell>
          <cell r="I79" t="str">
            <v>Y</v>
          </cell>
          <cell r="J79" t="str">
            <v>Y</v>
          </cell>
        </row>
        <row r="80">
          <cell r="B80">
            <v>40305000</v>
          </cell>
          <cell r="C80" t="str">
            <v>Y</v>
          </cell>
          <cell r="D80" t="str">
            <v>Y</v>
          </cell>
          <cell r="E80" t="str">
            <v>Y</v>
          </cell>
          <cell r="F80" t="str">
            <v>Y</v>
          </cell>
          <cell r="G80" t="str">
            <v>Y</v>
          </cell>
          <cell r="H80" t="str">
            <v>Y</v>
          </cell>
          <cell r="I80" t="str">
            <v>Y</v>
          </cell>
          <cell r="J80" t="str">
            <v>Y</v>
          </cell>
        </row>
        <row r="81">
          <cell r="B81">
            <v>40312000</v>
          </cell>
          <cell r="C81" t="str">
            <v>Y</v>
          </cell>
          <cell r="D81" t="str">
            <v>Y</v>
          </cell>
          <cell r="E81" t="str">
            <v>Y</v>
          </cell>
          <cell r="F81" t="str">
            <v>Y</v>
          </cell>
          <cell r="G81" t="str">
            <v>Y</v>
          </cell>
          <cell r="H81" t="str">
            <v>Y</v>
          </cell>
          <cell r="I81" t="str">
            <v>Y</v>
          </cell>
          <cell r="J81" t="str">
            <v>Y</v>
          </cell>
        </row>
        <row r="82">
          <cell r="B82">
            <v>40333000</v>
          </cell>
          <cell r="C82" t="str">
            <v>N</v>
          </cell>
          <cell r="D82" t="str">
            <v>N</v>
          </cell>
          <cell r="E82" t="str">
            <v>Y</v>
          </cell>
          <cell r="F82" t="str">
            <v>Y</v>
          </cell>
          <cell r="G82" t="str">
            <v>Y</v>
          </cell>
          <cell r="H82" t="str">
            <v>Y</v>
          </cell>
          <cell r="I82" t="str">
            <v>Y</v>
          </cell>
          <cell r="J82" t="str">
            <v>Y</v>
          </cell>
        </row>
        <row r="83">
          <cell r="B83">
            <v>40899000</v>
          </cell>
          <cell r="C83" t="str">
            <v>N</v>
          </cell>
          <cell r="D83" t="str">
            <v>Y</v>
          </cell>
          <cell r="E83" t="str">
            <v>N</v>
          </cell>
          <cell r="F83" t="str">
            <v>N</v>
          </cell>
          <cell r="G83" t="str">
            <v>N</v>
          </cell>
          <cell r="H83" t="str">
            <v>N</v>
          </cell>
          <cell r="I83" t="str">
            <v>N</v>
          </cell>
          <cell r="J83" t="str">
            <v>N</v>
          </cell>
        </row>
        <row r="84">
          <cell r="B84">
            <v>40900000</v>
          </cell>
          <cell r="C84" t="str">
            <v>N</v>
          </cell>
          <cell r="D84" t="str">
            <v>N</v>
          </cell>
          <cell r="E84" t="str">
            <v>N</v>
          </cell>
          <cell r="F84" t="str">
            <v>N</v>
          </cell>
          <cell r="G84" t="str">
            <v>N</v>
          </cell>
          <cell r="H84" t="str">
            <v>N</v>
          </cell>
          <cell r="I84" t="str">
            <v>N</v>
          </cell>
          <cell r="J84" t="str">
            <v>N</v>
          </cell>
        </row>
        <row r="85">
          <cell r="B85">
            <v>40999000</v>
          </cell>
          <cell r="C85" t="str">
            <v>N</v>
          </cell>
          <cell r="D85" t="str">
            <v>Y</v>
          </cell>
          <cell r="E85" t="str">
            <v>N</v>
          </cell>
          <cell r="F85" t="str">
            <v>N</v>
          </cell>
          <cell r="G85" t="str">
            <v>N</v>
          </cell>
          <cell r="H85" t="str">
            <v>N</v>
          </cell>
          <cell r="I85" t="str">
            <v>N</v>
          </cell>
          <cell r="J85" t="str">
            <v>N</v>
          </cell>
        </row>
        <row r="86">
          <cell r="B86">
            <v>48701000</v>
          </cell>
          <cell r="C86" t="str">
            <v>Y</v>
          </cell>
          <cell r="D86" t="str">
            <v>Y</v>
          </cell>
          <cell r="E86" t="str">
            <v>Y</v>
          </cell>
          <cell r="F86" t="str">
            <v>Y</v>
          </cell>
          <cell r="G86" t="str">
            <v>Y</v>
          </cell>
          <cell r="H86" t="str">
            <v>Y</v>
          </cell>
          <cell r="I86" t="str">
            <v>Y</v>
          </cell>
          <cell r="J86" t="str">
            <v>Y</v>
          </cell>
        </row>
        <row r="87">
          <cell r="B87">
            <v>48703000</v>
          </cell>
          <cell r="C87" t="str">
            <v>Y</v>
          </cell>
          <cell r="D87" t="str">
            <v>Y</v>
          </cell>
          <cell r="E87" t="str">
            <v>Y</v>
          </cell>
          <cell r="F87" t="str">
            <v>Y</v>
          </cell>
          <cell r="G87" t="str">
            <v>Y</v>
          </cell>
          <cell r="H87" t="str">
            <v>N</v>
          </cell>
          <cell r="I87" t="str">
            <v>N</v>
          </cell>
          <cell r="J87" t="str">
            <v>N</v>
          </cell>
        </row>
        <row r="88">
          <cell r="B88">
            <v>48750000</v>
          </cell>
          <cell r="C88" t="str">
            <v>Y</v>
          </cell>
          <cell r="D88" t="str">
            <v>Y</v>
          </cell>
          <cell r="E88" t="str">
            <v>N</v>
          </cell>
          <cell r="F88" t="str">
            <v>Y</v>
          </cell>
          <cell r="G88" t="str">
            <v>Y</v>
          </cell>
          <cell r="H88" t="str">
            <v>N</v>
          </cell>
          <cell r="I88" t="str">
            <v>N</v>
          </cell>
          <cell r="J88" t="str">
            <v>N</v>
          </cell>
        </row>
        <row r="89">
          <cell r="B89">
            <v>50199000</v>
          </cell>
          <cell r="C89" t="str">
            <v>Y</v>
          </cell>
          <cell r="D89" t="str">
            <v>Y</v>
          </cell>
          <cell r="E89" t="str">
            <v>Y</v>
          </cell>
          <cell r="F89" t="str">
            <v>Y</v>
          </cell>
          <cell r="G89" t="str">
            <v>Y</v>
          </cell>
          <cell r="H89" t="str">
            <v>Y</v>
          </cell>
          <cell r="I89" t="str">
            <v>Y</v>
          </cell>
          <cell r="J89" t="str">
            <v>Y</v>
          </cell>
        </row>
        <row r="90">
          <cell r="B90">
            <v>50201000</v>
          </cell>
          <cell r="C90" t="str">
            <v>Y</v>
          </cell>
          <cell r="D90" t="str">
            <v>Y</v>
          </cell>
          <cell r="E90" t="str">
            <v>Y</v>
          </cell>
          <cell r="F90" t="str">
            <v>Y</v>
          </cell>
          <cell r="G90" t="str">
            <v>Y</v>
          </cell>
          <cell r="H90" t="str">
            <v>Y</v>
          </cell>
          <cell r="I90" t="str">
            <v>Y</v>
          </cell>
          <cell r="J90" t="str">
            <v>Y</v>
          </cell>
        </row>
        <row r="91">
          <cell r="B91">
            <v>50204000</v>
          </cell>
          <cell r="C91" t="str">
            <v>Y</v>
          </cell>
          <cell r="D91" t="str">
            <v>N</v>
          </cell>
          <cell r="E91" t="str">
            <v>Y</v>
          </cell>
          <cell r="F91" t="str">
            <v>Y</v>
          </cell>
          <cell r="G91" t="str">
            <v>Y</v>
          </cell>
          <cell r="H91" t="str">
            <v>Y</v>
          </cell>
          <cell r="I91" t="str">
            <v>Y</v>
          </cell>
          <cell r="J91" t="str">
            <v>N</v>
          </cell>
        </row>
        <row r="92">
          <cell r="B92">
            <v>50206000</v>
          </cell>
          <cell r="C92" t="str">
            <v>Y</v>
          </cell>
          <cell r="D92" t="str">
            <v>Y</v>
          </cell>
          <cell r="E92" t="str">
            <v>Y</v>
          </cell>
          <cell r="F92" t="str">
            <v>N</v>
          </cell>
          <cell r="G92" t="str">
            <v>Y</v>
          </cell>
          <cell r="H92" t="str">
            <v>Y</v>
          </cell>
          <cell r="I92" t="str">
            <v>Y</v>
          </cell>
          <cell r="J92" t="str">
            <v>Y</v>
          </cell>
        </row>
        <row r="93">
          <cell r="B93">
            <v>50207000</v>
          </cell>
          <cell r="C93" t="str">
            <v>Y</v>
          </cell>
          <cell r="D93" t="str">
            <v>Y</v>
          </cell>
          <cell r="E93" t="str">
            <v>Y</v>
          </cell>
          <cell r="F93" t="str">
            <v>Y</v>
          </cell>
          <cell r="G93" t="str">
            <v>Y</v>
          </cell>
          <cell r="H93" t="str">
            <v>Y</v>
          </cell>
          <cell r="I93" t="str">
            <v>Y</v>
          </cell>
          <cell r="J93" t="str">
            <v>Y</v>
          </cell>
        </row>
        <row r="94">
          <cell r="B94">
            <v>50207700</v>
          </cell>
          <cell r="C94" t="str">
            <v>N</v>
          </cell>
          <cell r="D94" t="str">
            <v>N</v>
          </cell>
          <cell r="E94" t="str">
            <v>N</v>
          </cell>
          <cell r="F94" t="str">
            <v>N</v>
          </cell>
          <cell r="G94" t="str">
            <v>N</v>
          </cell>
          <cell r="H94" t="str">
            <v>N</v>
          </cell>
          <cell r="I94" t="str">
            <v>N</v>
          </cell>
          <cell r="J94" t="str">
            <v>N</v>
          </cell>
        </row>
        <row r="95">
          <cell r="B95">
            <v>50305000</v>
          </cell>
          <cell r="C95" t="str">
            <v>Y</v>
          </cell>
          <cell r="D95" t="str">
            <v>Y</v>
          </cell>
          <cell r="E95" t="str">
            <v>Y</v>
          </cell>
          <cell r="F95" t="str">
            <v>Y</v>
          </cell>
          <cell r="G95" t="str">
            <v>Y</v>
          </cell>
          <cell r="H95" t="str">
            <v>Y</v>
          </cell>
          <cell r="I95" t="str">
            <v>Y</v>
          </cell>
          <cell r="J95" t="str">
            <v>Y</v>
          </cell>
        </row>
        <row r="96">
          <cell r="B96">
            <v>50309000</v>
          </cell>
          <cell r="C96" t="str">
            <v>N</v>
          </cell>
          <cell r="D96" t="str">
            <v>N</v>
          </cell>
          <cell r="E96" t="str">
            <v>N</v>
          </cell>
          <cell r="F96" t="str">
            <v>N</v>
          </cell>
          <cell r="G96" t="str">
            <v>N</v>
          </cell>
          <cell r="H96" t="str">
            <v>N</v>
          </cell>
          <cell r="I96" t="str">
            <v>N</v>
          </cell>
          <cell r="J96" t="str">
            <v>N</v>
          </cell>
        </row>
        <row r="97">
          <cell r="B97">
            <v>50316000</v>
          </cell>
          <cell r="C97" t="str">
            <v>N</v>
          </cell>
          <cell r="D97" t="str">
            <v>N</v>
          </cell>
          <cell r="E97" t="str">
            <v>N</v>
          </cell>
          <cell r="F97" t="str">
            <v>N</v>
          </cell>
          <cell r="G97" t="str">
            <v>N</v>
          </cell>
          <cell r="H97" t="str">
            <v>N</v>
          </cell>
          <cell r="I97" t="str">
            <v>Y</v>
          </cell>
          <cell r="J97" t="str">
            <v>N</v>
          </cell>
        </row>
        <row r="98">
          <cell r="B98">
            <v>50899000</v>
          </cell>
          <cell r="C98" t="str">
            <v>N</v>
          </cell>
          <cell r="D98" t="str">
            <v>Y</v>
          </cell>
          <cell r="E98" t="str">
            <v>N</v>
          </cell>
          <cell r="F98" t="str">
            <v>N</v>
          </cell>
          <cell r="G98" t="str">
            <v>N</v>
          </cell>
          <cell r="H98" t="str">
            <v>N</v>
          </cell>
          <cell r="I98" t="str">
            <v>N</v>
          </cell>
          <cell r="J98" t="str">
            <v>N</v>
          </cell>
        </row>
        <row r="99">
          <cell r="B99">
            <v>58701000</v>
          </cell>
          <cell r="C99" t="str">
            <v>N</v>
          </cell>
          <cell r="D99" t="str">
            <v>N</v>
          </cell>
          <cell r="E99" t="str">
            <v>N</v>
          </cell>
          <cell r="F99" t="str">
            <v>N</v>
          </cell>
          <cell r="G99" t="str">
            <v>N</v>
          </cell>
          <cell r="H99" t="str">
            <v>N</v>
          </cell>
          <cell r="I99" t="str">
            <v>N</v>
          </cell>
          <cell r="J99" t="str">
            <v>N</v>
          </cell>
        </row>
        <row r="100">
          <cell r="B100">
            <v>58702000</v>
          </cell>
          <cell r="C100" t="str">
            <v>Y</v>
          </cell>
          <cell r="D100" t="str">
            <v>N</v>
          </cell>
          <cell r="E100" t="str">
            <v>N</v>
          </cell>
          <cell r="F100" t="str">
            <v>Y</v>
          </cell>
          <cell r="G100" t="str">
            <v>Y</v>
          </cell>
          <cell r="H100" t="str">
            <v>N</v>
          </cell>
          <cell r="I100" t="str">
            <v>N</v>
          </cell>
          <cell r="J100" t="str">
            <v>N</v>
          </cell>
        </row>
        <row r="101">
          <cell r="B101">
            <v>58703000</v>
          </cell>
          <cell r="C101" t="str">
            <v>Y</v>
          </cell>
          <cell r="D101" t="str">
            <v>N</v>
          </cell>
          <cell r="E101" t="str">
            <v>Y</v>
          </cell>
          <cell r="F101" t="str">
            <v>Y</v>
          </cell>
          <cell r="G101" t="str">
            <v>Y</v>
          </cell>
          <cell r="H101" t="str">
            <v>Y</v>
          </cell>
          <cell r="I101" t="str">
            <v>Y</v>
          </cell>
          <cell r="J101" t="str">
            <v>Y</v>
          </cell>
        </row>
        <row r="102">
          <cell r="B102">
            <v>60202000</v>
          </cell>
          <cell r="C102" t="str">
            <v>Y</v>
          </cell>
          <cell r="D102" t="str">
            <v>Y</v>
          </cell>
          <cell r="E102" t="str">
            <v>N</v>
          </cell>
          <cell r="F102" t="str">
            <v>N</v>
          </cell>
          <cell r="G102" t="str">
            <v>Y</v>
          </cell>
          <cell r="H102" t="str">
            <v>Y</v>
          </cell>
          <cell r="I102" t="str">
            <v>Y</v>
          </cell>
          <cell r="J102" t="str">
            <v>Y</v>
          </cell>
        </row>
        <row r="103">
          <cell r="B103">
            <v>60203000</v>
          </cell>
          <cell r="C103" t="str">
            <v>N</v>
          </cell>
          <cell r="D103" t="str">
            <v>N</v>
          </cell>
          <cell r="E103" t="str">
            <v>N</v>
          </cell>
          <cell r="F103" t="str">
            <v>Y</v>
          </cell>
          <cell r="G103" t="str">
            <v>N</v>
          </cell>
          <cell r="H103" t="str">
            <v>N</v>
          </cell>
          <cell r="I103" t="str">
            <v>N</v>
          </cell>
          <cell r="J103" t="str">
            <v>N</v>
          </cell>
        </row>
        <row r="104">
          <cell r="B104">
            <v>60218000</v>
          </cell>
          <cell r="C104" t="str">
            <v>N</v>
          </cell>
          <cell r="D104" t="str">
            <v>N</v>
          </cell>
          <cell r="E104" t="str">
            <v>N</v>
          </cell>
          <cell r="F104" t="str">
            <v>Y</v>
          </cell>
          <cell r="G104" t="str">
            <v>Y</v>
          </cell>
          <cell r="H104" t="str">
            <v>N</v>
          </cell>
          <cell r="I104" t="str">
            <v>N</v>
          </cell>
          <cell r="J104" t="str">
            <v>N</v>
          </cell>
        </row>
        <row r="105">
          <cell r="B105">
            <v>60322000</v>
          </cell>
          <cell r="C105" t="str">
            <v>N</v>
          </cell>
          <cell r="D105" t="str">
            <v>N</v>
          </cell>
          <cell r="E105" t="str">
            <v>N</v>
          </cell>
          <cell r="F105" t="str">
            <v>N</v>
          </cell>
          <cell r="G105" t="str">
            <v>N</v>
          </cell>
          <cell r="H105" t="str">
            <v>N</v>
          </cell>
          <cell r="I105" t="str">
            <v>N</v>
          </cell>
          <cell r="J105" t="str">
            <v>N</v>
          </cell>
        </row>
        <row r="106">
          <cell r="B106">
            <v>60345000</v>
          </cell>
          <cell r="C106" t="str">
            <v>N</v>
          </cell>
          <cell r="D106" t="str">
            <v>N</v>
          </cell>
          <cell r="E106" t="str">
            <v>N</v>
          </cell>
          <cell r="F106" t="str">
            <v>N</v>
          </cell>
          <cell r="G106" t="str">
            <v>N</v>
          </cell>
          <cell r="H106" t="str">
            <v>N</v>
          </cell>
          <cell r="I106" t="str">
            <v>N</v>
          </cell>
          <cell r="J106" t="str">
            <v>N</v>
          </cell>
        </row>
        <row r="107">
          <cell r="B107">
            <v>60899000</v>
          </cell>
          <cell r="C107" t="str">
            <v>N</v>
          </cell>
          <cell r="D107" t="str">
            <v>N</v>
          </cell>
          <cell r="E107" t="str">
            <v>N</v>
          </cell>
          <cell r="F107" t="str">
            <v>N</v>
          </cell>
          <cell r="G107" t="str">
            <v>N</v>
          </cell>
          <cell r="H107" t="str">
            <v>N</v>
          </cell>
          <cell r="I107" t="str">
            <v>N</v>
          </cell>
          <cell r="J107" t="str">
            <v>N</v>
          </cell>
        </row>
        <row r="108">
          <cell r="B108">
            <v>70199000</v>
          </cell>
          <cell r="C108" t="str">
            <v>Y</v>
          </cell>
          <cell r="D108" t="str">
            <v>Y</v>
          </cell>
          <cell r="E108" t="str">
            <v>Y</v>
          </cell>
          <cell r="F108" t="str">
            <v>Y</v>
          </cell>
          <cell r="G108" t="str">
            <v>Y</v>
          </cell>
          <cell r="H108" t="str">
            <v>Y</v>
          </cell>
          <cell r="I108" t="str">
            <v>Y</v>
          </cell>
          <cell r="J108" t="str">
            <v>Y</v>
          </cell>
        </row>
        <row r="109">
          <cell r="B109">
            <v>70204000</v>
          </cell>
          <cell r="C109" t="str">
            <v>Y</v>
          </cell>
          <cell r="D109" t="str">
            <v>Y</v>
          </cell>
          <cell r="E109" t="str">
            <v>Y</v>
          </cell>
          <cell r="F109" t="str">
            <v>Y</v>
          </cell>
          <cell r="G109" t="str">
            <v>Y</v>
          </cell>
          <cell r="H109" t="str">
            <v>Y</v>
          </cell>
          <cell r="I109" t="str">
            <v>Y</v>
          </cell>
          <cell r="J109" t="str">
            <v>Y</v>
          </cell>
        </row>
        <row r="110">
          <cell r="B110">
            <v>70209000</v>
          </cell>
          <cell r="C110" t="str">
            <v>N</v>
          </cell>
          <cell r="D110" t="str">
            <v>N</v>
          </cell>
          <cell r="E110" t="str">
            <v>Y</v>
          </cell>
          <cell r="F110" t="str">
            <v>Y</v>
          </cell>
          <cell r="G110" t="str">
            <v>Y</v>
          </cell>
          <cell r="H110" t="str">
            <v>Y</v>
          </cell>
          <cell r="I110" t="str">
            <v>Y</v>
          </cell>
          <cell r="J110" t="str">
            <v>Y</v>
          </cell>
        </row>
        <row r="111">
          <cell r="B111">
            <v>70211000</v>
          </cell>
          <cell r="C111" t="str">
            <v>N</v>
          </cell>
          <cell r="D111" t="str">
            <v>N</v>
          </cell>
          <cell r="E111" t="str">
            <v>N</v>
          </cell>
          <cell r="F111" t="str">
            <v>N</v>
          </cell>
          <cell r="G111" t="str">
            <v>Y</v>
          </cell>
          <cell r="H111" t="str">
            <v>Y</v>
          </cell>
          <cell r="I111" t="str">
            <v>Y</v>
          </cell>
          <cell r="J111" t="str">
            <v>Y</v>
          </cell>
        </row>
        <row r="112">
          <cell r="B112">
            <v>70224000</v>
          </cell>
          <cell r="C112" t="str">
            <v>Y</v>
          </cell>
          <cell r="D112" t="str">
            <v>Y</v>
          </cell>
          <cell r="E112" t="str">
            <v>Y</v>
          </cell>
          <cell r="F112" t="str">
            <v>Y</v>
          </cell>
          <cell r="G112" t="str">
            <v>Y</v>
          </cell>
          <cell r="H112" t="str">
            <v>Y</v>
          </cell>
          <cell r="I112" t="str">
            <v>Y</v>
          </cell>
          <cell r="J112" t="str">
            <v>Y</v>
          </cell>
        </row>
        <row r="113">
          <cell r="B113">
            <v>70241000</v>
          </cell>
          <cell r="C113" t="str">
            <v>N</v>
          </cell>
          <cell r="D113" t="str">
            <v>N</v>
          </cell>
          <cell r="E113" t="str">
            <v>N</v>
          </cell>
          <cell r="F113" t="str">
            <v>N</v>
          </cell>
          <cell r="G113" t="str">
            <v>N</v>
          </cell>
          <cell r="H113" t="str">
            <v>N</v>
          </cell>
          <cell r="I113" t="str">
            <v>N</v>
          </cell>
          <cell r="J113" t="str">
            <v>N</v>
          </cell>
        </row>
        <row r="114">
          <cell r="B114">
            <v>70248000</v>
          </cell>
          <cell r="C114" t="str">
            <v>N</v>
          </cell>
          <cell r="D114" t="str">
            <v>N</v>
          </cell>
          <cell r="E114" t="str">
            <v>N</v>
          </cell>
          <cell r="F114" t="str">
            <v>N</v>
          </cell>
          <cell r="G114" t="str">
            <v>N</v>
          </cell>
          <cell r="H114" t="str">
            <v>N</v>
          </cell>
          <cell r="I114" t="str">
            <v>N</v>
          </cell>
          <cell r="J114" t="str">
            <v>N</v>
          </cell>
        </row>
        <row r="115">
          <cell r="B115">
            <v>70260000</v>
          </cell>
          <cell r="C115" t="str">
            <v>N</v>
          </cell>
          <cell r="D115" t="str">
            <v>N</v>
          </cell>
          <cell r="E115" t="str">
            <v>N</v>
          </cell>
          <cell r="F115" t="str">
            <v>N</v>
          </cell>
          <cell r="G115" t="str">
            <v>N</v>
          </cell>
          <cell r="H115" t="str">
            <v>N</v>
          </cell>
          <cell r="I115" t="str">
            <v>N</v>
          </cell>
          <cell r="J115" t="str">
            <v>N</v>
          </cell>
        </row>
        <row r="116">
          <cell r="B116">
            <v>70269000</v>
          </cell>
          <cell r="C116" t="str">
            <v>N</v>
          </cell>
          <cell r="D116" t="str">
            <v>N</v>
          </cell>
          <cell r="E116" t="str">
            <v>Y</v>
          </cell>
          <cell r="F116" t="str">
            <v>Y</v>
          </cell>
          <cell r="G116" t="str">
            <v>Y</v>
          </cell>
          <cell r="H116" t="str">
            <v>Y</v>
          </cell>
          <cell r="I116" t="str">
            <v>Y</v>
          </cell>
          <cell r="J116" t="str">
            <v>Y</v>
          </cell>
        </row>
        <row r="117">
          <cell r="B117">
            <v>70280000</v>
          </cell>
          <cell r="C117" t="str">
            <v>N</v>
          </cell>
          <cell r="D117" t="str">
            <v>N</v>
          </cell>
          <cell r="E117" t="str">
            <v>N</v>
          </cell>
          <cell r="F117" t="str">
            <v>N</v>
          </cell>
          <cell r="G117" t="str">
            <v>N</v>
          </cell>
          <cell r="H117" t="str">
            <v>N</v>
          </cell>
          <cell r="I117" t="str">
            <v>N</v>
          </cell>
          <cell r="J117" t="str">
            <v>N</v>
          </cell>
        </row>
        <row r="118">
          <cell r="B118">
            <v>70281000</v>
          </cell>
          <cell r="C118" t="str">
            <v>Y</v>
          </cell>
          <cell r="D118" t="str">
            <v>Y</v>
          </cell>
          <cell r="E118" t="str">
            <v>Y</v>
          </cell>
          <cell r="F118" t="str">
            <v>N</v>
          </cell>
          <cell r="G118" t="str">
            <v>N</v>
          </cell>
          <cell r="H118" t="str">
            <v>N</v>
          </cell>
          <cell r="I118" t="str">
            <v>N</v>
          </cell>
          <cell r="J118" t="str">
            <v>N</v>
          </cell>
        </row>
        <row r="119">
          <cell r="B119">
            <v>70289000</v>
          </cell>
          <cell r="C119" t="str">
            <v>N</v>
          </cell>
          <cell r="D119" t="str">
            <v>N</v>
          </cell>
          <cell r="E119" t="str">
            <v>N</v>
          </cell>
          <cell r="F119" t="str">
            <v>Y</v>
          </cell>
          <cell r="G119" t="str">
            <v>Y</v>
          </cell>
          <cell r="H119" t="str">
            <v>Y</v>
          </cell>
          <cell r="I119" t="str">
            <v>Y</v>
          </cell>
          <cell r="J119" t="str">
            <v>Y</v>
          </cell>
        </row>
        <row r="120">
          <cell r="B120">
            <v>70290000</v>
          </cell>
          <cell r="C120" t="str">
            <v>Y</v>
          </cell>
          <cell r="D120" t="str">
            <v>Y</v>
          </cell>
          <cell r="E120" t="str">
            <v>Y</v>
          </cell>
          <cell r="F120" t="str">
            <v>N</v>
          </cell>
          <cell r="G120" t="str">
            <v>Y</v>
          </cell>
          <cell r="H120" t="str">
            <v>Y</v>
          </cell>
          <cell r="I120" t="str">
            <v>Y</v>
          </cell>
          <cell r="J120" t="str">
            <v>Y</v>
          </cell>
        </row>
        <row r="121">
          <cell r="B121">
            <v>70293000</v>
          </cell>
          <cell r="C121" t="str">
            <v>N</v>
          </cell>
          <cell r="D121" t="str">
            <v>N</v>
          </cell>
          <cell r="E121" t="str">
            <v>N</v>
          </cell>
          <cell r="F121" t="str">
            <v>N</v>
          </cell>
          <cell r="G121" t="str">
            <v>N</v>
          </cell>
          <cell r="H121" t="str">
            <v>N</v>
          </cell>
          <cell r="I121" t="str">
            <v>N</v>
          </cell>
          <cell r="J121" t="str">
            <v>N</v>
          </cell>
        </row>
        <row r="122">
          <cell r="B122">
            <v>70295000</v>
          </cell>
          <cell r="C122" t="str">
            <v>Y</v>
          </cell>
          <cell r="D122" t="str">
            <v>Y</v>
          </cell>
          <cell r="E122" t="str">
            <v>Y</v>
          </cell>
          <cell r="F122" t="str">
            <v>Y</v>
          </cell>
          <cell r="G122" t="str">
            <v>Y</v>
          </cell>
          <cell r="H122" t="str">
            <v>Y</v>
          </cell>
          <cell r="I122" t="str">
            <v>Y</v>
          </cell>
          <cell r="J122" t="str">
            <v>Y</v>
          </cell>
        </row>
        <row r="123">
          <cell r="B123">
            <v>70297000</v>
          </cell>
          <cell r="C123" t="str">
            <v>N</v>
          </cell>
          <cell r="D123" t="str">
            <v>N</v>
          </cell>
          <cell r="E123" t="str">
            <v>N</v>
          </cell>
          <cell r="F123" t="str">
            <v>N</v>
          </cell>
          <cell r="G123" t="str">
            <v>N</v>
          </cell>
          <cell r="H123" t="str">
            <v>N</v>
          </cell>
          <cell r="I123" t="str">
            <v>N</v>
          </cell>
          <cell r="J123" t="str">
            <v>N</v>
          </cell>
        </row>
        <row r="124">
          <cell r="B124">
            <v>70298000</v>
          </cell>
          <cell r="C124" t="str">
            <v>N</v>
          </cell>
          <cell r="D124" t="str">
            <v>N</v>
          </cell>
          <cell r="E124" t="str">
            <v>N</v>
          </cell>
          <cell r="F124" t="str">
            <v>N</v>
          </cell>
          <cell r="G124" t="str">
            <v>N</v>
          </cell>
          <cell r="H124" t="str">
            <v>N</v>
          </cell>
          <cell r="I124" t="str">
            <v>N</v>
          </cell>
          <cell r="J124" t="str">
            <v>N</v>
          </cell>
        </row>
        <row r="125">
          <cell r="B125">
            <v>70363000</v>
          </cell>
          <cell r="C125" t="str">
            <v>Y</v>
          </cell>
          <cell r="D125" t="str">
            <v>Y</v>
          </cell>
          <cell r="E125" t="str">
            <v>Y</v>
          </cell>
          <cell r="F125" t="str">
            <v>Y</v>
          </cell>
          <cell r="G125" t="str">
            <v>Y</v>
          </cell>
          <cell r="H125" t="str">
            <v>Y</v>
          </cell>
          <cell r="I125" t="str">
            <v>Y</v>
          </cell>
          <cell r="J125" t="str">
            <v>Y</v>
          </cell>
        </row>
        <row r="126">
          <cell r="B126">
            <v>70371000</v>
          </cell>
          <cell r="C126" t="str">
            <v>Y</v>
          </cell>
          <cell r="D126" t="str">
            <v>Y</v>
          </cell>
          <cell r="E126" t="str">
            <v>Y</v>
          </cell>
          <cell r="F126" t="str">
            <v>N</v>
          </cell>
          <cell r="G126" t="str">
            <v>N</v>
          </cell>
          <cell r="H126" t="str">
            <v>N</v>
          </cell>
          <cell r="I126" t="str">
            <v>N</v>
          </cell>
          <cell r="J126" t="str">
            <v>N</v>
          </cell>
        </row>
        <row r="127">
          <cell r="B127">
            <v>70375000</v>
          </cell>
          <cell r="C127" t="str">
            <v>N</v>
          </cell>
          <cell r="D127" t="str">
            <v>N</v>
          </cell>
          <cell r="E127" t="str">
            <v>Y</v>
          </cell>
          <cell r="F127" t="str">
            <v>N</v>
          </cell>
          <cell r="G127" t="str">
            <v>Y</v>
          </cell>
          <cell r="H127" t="str">
            <v>N</v>
          </cell>
          <cell r="I127" t="str">
            <v>Y</v>
          </cell>
          <cell r="J127" t="str">
            <v>N</v>
          </cell>
        </row>
        <row r="128">
          <cell r="B128">
            <v>70381000</v>
          </cell>
          <cell r="C128" t="str">
            <v>N</v>
          </cell>
          <cell r="D128" t="str">
            <v>N</v>
          </cell>
          <cell r="E128" t="str">
            <v>N</v>
          </cell>
          <cell r="F128" t="str">
            <v>Y</v>
          </cell>
          <cell r="G128" t="str">
            <v>Y</v>
          </cell>
          <cell r="H128" t="str">
            <v>Y</v>
          </cell>
          <cell r="I128" t="str">
            <v>Y</v>
          </cell>
          <cell r="J128" t="str">
            <v>Y</v>
          </cell>
        </row>
        <row r="129">
          <cell r="B129">
            <v>70386000</v>
          </cell>
          <cell r="C129" t="str">
            <v>N</v>
          </cell>
          <cell r="D129" t="str">
            <v>Y</v>
          </cell>
          <cell r="E129" t="str">
            <v>Y</v>
          </cell>
          <cell r="F129" t="str">
            <v>N</v>
          </cell>
          <cell r="G129" t="str">
            <v>N</v>
          </cell>
          <cell r="H129" t="str">
            <v>Y</v>
          </cell>
          <cell r="I129" t="str">
            <v>N</v>
          </cell>
          <cell r="J129" t="str">
            <v>N</v>
          </cell>
        </row>
        <row r="130">
          <cell r="B130">
            <v>70394000</v>
          </cell>
          <cell r="C130" t="str">
            <v>Y</v>
          </cell>
          <cell r="D130" t="str">
            <v>Y</v>
          </cell>
          <cell r="E130" t="str">
            <v>Y</v>
          </cell>
          <cell r="F130" t="str">
            <v>Y</v>
          </cell>
          <cell r="G130" t="str">
            <v>Y</v>
          </cell>
          <cell r="H130" t="str">
            <v>Y</v>
          </cell>
          <cell r="I130" t="str">
            <v>Y</v>
          </cell>
          <cell r="J130" t="str">
            <v>Y</v>
          </cell>
        </row>
        <row r="131">
          <cell r="B131">
            <v>70401000</v>
          </cell>
          <cell r="C131" t="str">
            <v>Y</v>
          </cell>
          <cell r="D131" t="str">
            <v>Y</v>
          </cell>
          <cell r="E131" t="str">
            <v>Y</v>
          </cell>
          <cell r="F131" t="str">
            <v>Y</v>
          </cell>
          <cell r="G131" t="str">
            <v>Y</v>
          </cell>
          <cell r="H131" t="str">
            <v>Y</v>
          </cell>
          <cell r="I131" t="str">
            <v>Y</v>
          </cell>
          <cell r="J131" t="str">
            <v>Y</v>
          </cell>
        </row>
        <row r="132">
          <cell r="B132">
            <v>70402000</v>
          </cell>
          <cell r="C132" t="str">
            <v>Y</v>
          </cell>
          <cell r="D132" t="str">
            <v>Y</v>
          </cell>
          <cell r="E132" t="str">
            <v>Y</v>
          </cell>
          <cell r="F132" t="str">
            <v>Y</v>
          </cell>
          <cell r="G132" t="str">
            <v>Y</v>
          </cell>
          <cell r="H132" t="str">
            <v>Y</v>
          </cell>
          <cell r="I132" t="str">
            <v>Y</v>
          </cell>
          <cell r="J132" t="str">
            <v>Y</v>
          </cell>
        </row>
        <row r="133">
          <cell r="B133">
            <v>70403000</v>
          </cell>
          <cell r="C133" t="str">
            <v>Y</v>
          </cell>
          <cell r="D133" t="str">
            <v>Y</v>
          </cell>
          <cell r="E133" t="str">
            <v>Y</v>
          </cell>
          <cell r="F133" t="str">
            <v>Y</v>
          </cell>
          <cell r="G133" t="str">
            <v>Y</v>
          </cell>
          <cell r="H133" t="str">
            <v>Y</v>
          </cell>
          <cell r="I133" t="str">
            <v>Y</v>
          </cell>
          <cell r="J133" t="str">
            <v>Y</v>
          </cell>
        </row>
        <row r="134">
          <cell r="B134">
            <v>70405000</v>
          </cell>
          <cell r="C134" t="str">
            <v>Y</v>
          </cell>
          <cell r="D134" t="str">
            <v>Y</v>
          </cell>
          <cell r="E134" t="str">
            <v>Y</v>
          </cell>
          <cell r="F134" t="str">
            <v>Y</v>
          </cell>
          <cell r="G134" t="str">
            <v>Y</v>
          </cell>
          <cell r="H134" t="str">
            <v>Y</v>
          </cell>
          <cell r="I134" t="str">
            <v>Y</v>
          </cell>
          <cell r="J134" t="str">
            <v>Y</v>
          </cell>
        </row>
        <row r="135">
          <cell r="B135">
            <v>70406000</v>
          </cell>
          <cell r="C135" t="str">
            <v>Y</v>
          </cell>
          <cell r="D135" t="str">
            <v>Y</v>
          </cell>
          <cell r="E135" t="str">
            <v>Y</v>
          </cell>
          <cell r="F135" t="str">
            <v>Y</v>
          </cell>
          <cell r="G135" t="str">
            <v>Y</v>
          </cell>
          <cell r="H135" t="str">
            <v>Y</v>
          </cell>
          <cell r="I135" t="str">
            <v>Y</v>
          </cell>
          <cell r="J135" t="str">
            <v>Y</v>
          </cell>
        </row>
        <row r="136">
          <cell r="B136">
            <v>70407000</v>
          </cell>
          <cell r="C136" t="str">
            <v>Y</v>
          </cell>
          <cell r="D136" t="str">
            <v>Y</v>
          </cell>
          <cell r="E136" t="str">
            <v>Y</v>
          </cell>
          <cell r="F136" t="str">
            <v>Y</v>
          </cell>
          <cell r="G136" t="str">
            <v>Y</v>
          </cell>
          <cell r="H136" t="str">
            <v>Y</v>
          </cell>
          <cell r="I136" t="str">
            <v>Y</v>
          </cell>
          <cell r="J136" t="str">
            <v>Y</v>
          </cell>
        </row>
        <row r="137">
          <cell r="B137">
            <v>70408000</v>
          </cell>
          <cell r="C137" t="str">
            <v>Y</v>
          </cell>
          <cell r="D137" t="str">
            <v>Y</v>
          </cell>
          <cell r="E137" t="str">
            <v>Y</v>
          </cell>
          <cell r="F137" t="str">
            <v>Y</v>
          </cell>
          <cell r="G137" t="str">
            <v>Y</v>
          </cell>
          <cell r="H137" t="str">
            <v>Y</v>
          </cell>
          <cell r="I137" t="str">
            <v>Y</v>
          </cell>
          <cell r="J137" t="str">
            <v>Y</v>
          </cell>
        </row>
        <row r="138">
          <cell r="B138">
            <v>70414000</v>
          </cell>
          <cell r="C138" t="str">
            <v>Y</v>
          </cell>
          <cell r="D138" t="str">
            <v>Y</v>
          </cell>
          <cell r="E138" t="str">
            <v>Y</v>
          </cell>
          <cell r="F138" t="str">
            <v>Y</v>
          </cell>
          <cell r="G138" t="str">
            <v>Y</v>
          </cell>
          <cell r="H138" t="str">
            <v>Y</v>
          </cell>
          <cell r="I138" t="str">
            <v>Y</v>
          </cell>
          <cell r="J138" t="str">
            <v>Y</v>
          </cell>
        </row>
        <row r="139">
          <cell r="B139">
            <v>70417000</v>
          </cell>
          <cell r="C139" t="str">
            <v>Y</v>
          </cell>
          <cell r="D139" t="str">
            <v>Y</v>
          </cell>
          <cell r="E139" t="str">
            <v>Y</v>
          </cell>
          <cell r="F139" t="str">
            <v>Y</v>
          </cell>
          <cell r="G139" t="str">
            <v>Y</v>
          </cell>
          <cell r="H139" t="str">
            <v>Y</v>
          </cell>
          <cell r="I139" t="str">
            <v>Y</v>
          </cell>
          <cell r="J139" t="str">
            <v>Y</v>
          </cell>
        </row>
        <row r="140">
          <cell r="B140">
            <v>70421000</v>
          </cell>
          <cell r="C140" t="str">
            <v>Y</v>
          </cell>
          <cell r="D140" t="str">
            <v>Y</v>
          </cell>
          <cell r="E140" t="str">
            <v>Y</v>
          </cell>
          <cell r="F140" t="str">
            <v>Y</v>
          </cell>
          <cell r="G140" t="str">
            <v>Y</v>
          </cell>
          <cell r="H140" t="str">
            <v>Y</v>
          </cell>
          <cell r="I140" t="str">
            <v>Y</v>
          </cell>
          <cell r="J140" t="str">
            <v>Y</v>
          </cell>
        </row>
        <row r="141">
          <cell r="B141">
            <v>70425000</v>
          </cell>
          <cell r="C141" t="str">
            <v>N</v>
          </cell>
          <cell r="D141" t="str">
            <v>N</v>
          </cell>
          <cell r="E141" t="str">
            <v>N</v>
          </cell>
          <cell r="F141" t="str">
            <v>N</v>
          </cell>
          <cell r="G141" t="str">
            <v>Y</v>
          </cell>
          <cell r="H141" t="str">
            <v>Y</v>
          </cell>
          <cell r="I141" t="str">
            <v>Y</v>
          </cell>
          <cell r="J141" t="str">
            <v>Y</v>
          </cell>
        </row>
        <row r="142">
          <cell r="B142">
            <v>70428000</v>
          </cell>
          <cell r="C142" t="str">
            <v>N</v>
          </cell>
          <cell r="D142" t="str">
            <v>N</v>
          </cell>
          <cell r="E142" t="str">
            <v>N</v>
          </cell>
          <cell r="F142" t="str">
            <v>N</v>
          </cell>
          <cell r="G142" t="str">
            <v>N</v>
          </cell>
          <cell r="H142" t="str">
            <v>N</v>
          </cell>
          <cell r="I142" t="str">
            <v>N</v>
          </cell>
          <cell r="J142" t="str">
            <v>N</v>
          </cell>
        </row>
        <row r="143">
          <cell r="B143">
            <v>70431000</v>
          </cell>
          <cell r="C143" t="str">
            <v>Y</v>
          </cell>
          <cell r="D143" t="str">
            <v>Y</v>
          </cell>
          <cell r="E143" t="str">
            <v>Y</v>
          </cell>
          <cell r="F143" t="str">
            <v>Y</v>
          </cell>
          <cell r="G143" t="str">
            <v>Y</v>
          </cell>
          <cell r="H143" t="str">
            <v>Y</v>
          </cell>
          <cell r="I143" t="str">
            <v>Y</v>
          </cell>
          <cell r="J143" t="str">
            <v>Y</v>
          </cell>
        </row>
        <row r="144">
          <cell r="B144">
            <v>70433000</v>
          </cell>
          <cell r="C144" t="str">
            <v>Y</v>
          </cell>
          <cell r="D144" t="str">
            <v>Y</v>
          </cell>
          <cell r="E144" t="str">
            <v>Y</v>
          </cell>
          <cell r="F144" t="str">
            <v>Y</v>
          </cell>
          <cell r="G144" t="str">
            <v>Y</v>
          </cell>
          <cell r="H144" t="str">
            <v>Y</v>
          </cell>
          <cell r="I144" t="str">
            <v>Y</v>
          </cell>
          <cell r="J144" t="str">
            <v>Y</v>
          </cell>
        </row>
        <row r="145">
          <cell r="B145">
            <v>70438000</v>
          </cell>
          <cell r="C145" t="str">
            <v>N</v>
          </cell>
          <cell r="D145" t="str">
            <v>N</v>
          </cell>
          <cell r="E145" t="str">
            <v>Y</v>
          </cell>
          <cell r="F145" t="str">
            <v>Y</v>
          </cell>
          <cell r="G145" t="str">
            <v>Y</v>
          </cell>
          <cell r="H145" t="str">
            <v>Y</v>
          </cell>
          <cell r="I145" t="str">
            <v>Y</v>
          </cell>
          <cell r="J145" t="str">
            <v>Y</v>
          </cell>
        </row>
        <row r="146">
          <cell r="B146">
            <v>70440000</v>
          </cell>
          <cell r="C146" t="str">
            <v>Y</v>
          </cell>
          <cell r="D146" t="str">
            <v>Y</v>
          </cell>
          <cell r="E146" t="str">
            <v>Y</v>
          </cell>
          <cell r="F146" t="str">
            <v>Y</v>
          </cell>
          <cell r="G146" t="str">
            <v>Y</v>
          </cell>
          <cell r="H146" t="str">
            <v>Y</v>
          </cell>
          <cell r="I146" t="str">
            <v>Y</v>
          </cell>
          <cell r="J146" t="str">
            <v>Y</v>
          </cell>
        </row>
        <row r="147">
          <cell r="B147">
            <v>70444000</v>
          </cell>
          <cell r="C147" t="str">
            <v>Y</v>
          </cell>
          <cell r="D147" t="str">
            <v>Y</v>
          </cell>
          <cell r="E147" t="str">
            <v>Y</v>
          </cell>
          <cell r="F147" t="str">
            <v>Y</v>
          </cell>
          <cell r="G147" t="str">
            <v>Y</v>
          </cell>
          <cell r="H147" t="str">
            <v>Y</v>
          </cell>
          <cell r="I147" t="str">
            <v>Y</v>
          </cell>
          <cell r="J147" t="str">
            <v>Y</v>
          </cell>
        </row>
        <row r="148">
          <cell r="B148">
            <v>70445000</v>
          </cell>
          <cell r="C148" t="str">
            <v>Y</v>
          </cell>
          <cell r="D148" t="str">
            <v>Y</v>
          </cell>
          <cell r="E148" t="str">
            <v>Y</v>
          </cell>
          <cell r="F148" t="str">
            <v>Y</v>
          </cell>
          <cell r="G148" t="str">
            <v>Y</v>
          </cell>
          <cell r="H148" t="str">
            <v>Y</v>
          </cell>
          <cell r="I148" t="str">
            <v>Y</v>
          </cell>
          <cell r="J148" t="str">
            <v>Y</v>
          </cell>
        </row>
        <row r="149">
          <cell r="B149">
            <v>70447000</v>
          </cell>
          <cell r="C149" t="str">
            <v>Y</v>
          </cell>
          <cell r="D149" t="str">
            <v>Y</v>
          </cell>
          <cell r="E149" t="str">
            <v>Y</v>
          </cell>
          <cell r="F149" t="str">
            <v>Y</v>
          </cell>
          <cell r="G149" t="str">
            <v>Y</v>
          </cell>
          <cell r="H149" t="str">
            <v>Y</v>
          </cell>
          <cell r="I149" t="str">
            <v>Y</v>
          </cell>
          <cell r="J149" t="str">
            <v>Y</v>
          </cell>
        </row>
        <row r="150">
          <cell r="B150">
            <v>70449000</v>
          </cell>
          <cell r="C150" t="str">
            <v>Y</v>
          </cell>
          <cell r="D150" t="str">
            <v>Y</v>
          </cell>
          <cell r="E150" t="str">
            <v>Y</v>
          </cell>
          <cell r="F150" t="str">
            <v>Y</v>
          </cell>
          <cell r="G150" t="str">
            <v>Y</v>
          </cell>
          <cell r="H150" t="str">
            <v>Y</v>
          </cell>
          <cell r="I150" t="str">
            <v>Y</v>
          </cell>
          <cell r="J150" t="str">
            <v>Y</v>
          </cell>
        </row>
        <row r="151">
          <cell r="B151">
            <v>70459000</v>
          </cell>
          <cell r="C151" t="str">
            <v>Y</v>
          </cell>
          <cell r="D151" t="str">
            <v>Y</v>
          </cell>
          <cell r="E151" t="str">
            <v>Y</v>
          </cell>
          <cell r="F151" t="str">
            <v>Y</v>
          </cell>
          <cell r="G151" t="str">
            <v>Y</v>
          </cell>
          <cell r="H151" t="str">
            <v>Y</v>
          </cell>
          <cell r="I151" t="str">
            <v>Y</v>
          </cell>
          <cell r="J151" t="str">
            <v>Y</v>
          </cell>
        </row>
        <row r="152">
          <cell r="B152">
            <v>70462000</v>
          </cell>
          <cell r="C152" t="str">
            <v>Y</v>
          </cell>
          <cell r="D152" t="str">
            <v>Y</v>
          </cell>
          <cell r="E152" t="str">
            <v>Y</v>
          </cell>
          <cell r="F152" t="str">
            <v>Y</v>
          </cell>
          <cell r="G152" t="str">
            <v>Y</v>
          </cell>
          <cell r="H152" t="str">
            <v>Y</v>
          </cell>
          <cell r="I152" t="str">
            <v>Y</v>
          </cell>
          <cell r="J152" t="str">
            <v>Y</v>
          </cell>
        </row>
        <row r="153">
          <cell r="B153">
            <v>70465000</v>
          </cell>
          <cell r="C153" t="str">
            <v>Y</v>
          </cell>
          <cell r="D153" t="str">
            <v>Y</v>
          </cell>
          <cell r="E153" t="str">
            <v>Y</v>
          </cell>
          <cell r="F153" t="str">
            <v>Y</v>
          </cell>
          <cell r="G153" t="str">
            <v>Y</v>
          </cell>
          <cell r="H153" t="str">
            <v>Y</v>
          </cell>
          <cell r="I153" t="str">
            <v>Y</v>
          </cell>
          <cell r="J153" t="str">
            <v>Y</v>
          </cell>
        </row>
        <row r="154">
          <cell r="B154">
            <v>70466000</v>
          </cell>
          <cell r="C154" t="str">
            <v>Y</v>
          </cell>
          <cell r="D154" t="str">
            <v>Y</v>
          </cell>
          <cell r="E154" t="str">
            <v>Y</v>
          </cell>
          <cell r="F154" t="str">
            <v>Y</v>
          </cell>
          <cell r="G154" t="str">
            <v>Y</v>
          </cell>
          <cell r="H154" t="str">
            <v>Y</v>
          </cell>
          <cell r="I154" t="str">
            <v>Y</v>
          </cell>
          <cell r="J154" t="str">
            <v>Y</v>
          </cell>
        </row>
        <row r="155">
          <cell r="B155">
            <v>70468000</v>
          </cell>
          <cell r="C155" t="str">
            <v>Y</v>
          </cell>
          <cell r="D155" t="str">
            <v>Y</v>
          </cell>
          <cell r="E155" t="str">
            <v>Y</v>
          </cell>
          <cell r="F155" t="str">
            <v>Y</v>
          </cell>
          <cell r="G155" t="str">
            <v>Y</v>
          </cell>
          <cell r="H155" t="str">
            <v>Y</v>
          </cell>
          <cell r="I155" t="str">
            <v>Y</v>
          </cell>
          <cell r="J155" t="str">
            <v>Y</v>
          </cell>
        </row>
        <row r="156">
          <cell r="B156">
            <v>70479000</v>
          </cell>
          <cell r="C156" t="str">
            <v>N</v>
          </cell>
          <cell r="D156" t="str">
            <v>N</v>
          </cell>
          <cell r="E156" t="str">
            <v>N</v>
          </cell>
          <cell r="F156" t="str">
            <v>N</v>
          </cell>
          <cell r="G156" t="str">
            <v>N</v>
          </cell>
          <cell r="H156" t="str">
            <v>Y</v>
          </cell>
          <cell r="I156" t="str">
            <v>Y</v>
          </cell>
          <cell r="J156" t="str">
            <v>Y</v>
          </cell>
        </row>
        <row r="157">
          <cell r="B157">
            <v>70483000</v>
          </cell>
          <cell r="C157" t="str">
            <v>Y</v>
          </cell>
          <cell r="D157" t="str">
            <v>Y</v>
          </cell>
          <cell r="E157" t="str">
            <v>Y</v>
          </cell>
          <cell r="F157" t="str">
            <v>Y</v>
          </cell>
          <cell r="G157" t="str">
            <v>Y</v>
          </cell>
          <cell r="H157" t="str">
            <v>Y</v>
          </cell>
          <cell r="I157" t="str">
            <v>Y</v>
          </cell>
          <cell r="J157" t="str">
            <v>Y</v>
          </cell>
        </row>
        <row r="158">
          <cell r="B158">
            <v>70492000</v>
          </cell>
          <cell r="C158" t="str">
            <v>Y</v>
          </cell>
          <cell r="D158" t="str">
            <v>Y</v>
          </cell>
          <cell r="E158" t="str">
            <v>Y</v>
          </cell>
          <cell r="F158" t="str">
            <v>Y</v>
          </cell>
          <cell r="G158" t="str">
            <v>Y</v>
          </cell>
          <cell r="H158" t="str">
            <v>Y</v>
          </cell>
          <cell r="I158" t="str">
            <v>Y</v>
          </cell>
          <cell r="J158" t="str">
            <v>Y</v>
          </cell>
        </row>
        <row r="159">
          <cell r="B159">
            <v>70501000</v>
          </cell>
          <cell r="C159" t="str">
            <v>N</v>
          </cell>
          <cell r="D159" t="str">
            <v>N</v>
          </cell>
          <cell r="E159" t="str">
            <v>Y</v>
          </cell>
          <cell r="F159" t="str">
            <v>Y</v>
          </cell>
          <cell r="G159" t="str">
            <v>Y</v>
          </cell>
          <cell r="H159" t="str">
            <v>Y</v>
          </cell>
          <cell r="I159" t="str">
            <v>Y</v>
          </cell>
          <cell r="J159" t="str">
            <v>Y</v>
          </cell>
        </row>
        <row r="160">
          <cell r="B160">
            <v>70505000</v>
          </cell>
          <cell r="C160" t="str">
            <v>Y</v>
          </cell>
          <cell r="D160" t="str">
            <v>Y</v>
          </cell>
          <cell r="E160" t="str">
            <v>Y</v>
          </cell>
          <cell r="F160" t="str">
            <v>Y</v>
          </cell>
          <cell r="G160" t="str">
            <v>Y</v>
          </cell>
          <cell r="H160" t="str">
            <v>Y</v>
          </cell>
          <cell r="I160" t="str">
            <v>Y</v>
          </cell>
          <cell r="J160" t="str">
            <v>Y</v>
          </cell>
        </row>
        <row r="161">
          <cell r="B161">
            <v>70510000</v>
          </cell>
          <cell r="C161" t="str">
            <v>Y</v>
          </cell>
          <cell r="D161" t="str">
            <v>Y</v>
          </cell>
          <cell r="E161" t="str">
            <v>Y</v>
          </cell>
          <cell r="F161" t="str">
            <v>Y</v>
          </cell>
          <cell r="G161" t="str">
            <v>Y</v>
          </cell>
          <cell r="H161" t="str">
            <v>Y</v>
          </cell>
          <cell r="I161" t="str">
            <v>Y</v>
          </cell>
          <cell r="J161" t="str">
            <v>Y</v>
          </cell>
        </row>
        <row r="162">
          <cell r="B162">
            <v>70513000</v>
          </cell>
          <cell r="C162" t="str">
            <v>N</v>
          </cell>
          <cell r="D162" t="str">
            <v>N</v>
          </cell>
          <cell r="E162" t="str">
            <v>N</v>
          </cell>
          <cell r="F162" t="str">
            <v>N</v>
          </cell>
          <cell r="G162" t="str">
            <v>N</v>
          </cell>
          <cell r="H162" t="str">
            <v>Y</v>
          </cell>
          <cell r="I162" t="str">
            <v>N</v>
          </cell>
          <cell r="J162" t="str">
            <v>N</v>
          </cell>
        </row>
        <row r="163">
          <cell r="B163">
            <v>70514000</v>
          </cell>
          <cell r="C163" t="str">
            <v>Y</v>
          </cell>
          <cell r="D163" t="str">
            <v>Y</v>
          </cell>
          <cell r="E163" t="str">
            <v>Y</v>
          </cell>
          <cell r="F163" t="str">
            <v>Y</v>
          </cell>
          <cell r="G163" t="str">
            <v>Y</v>
          </cell>
          <cell r="H163" t="str">
            <v>Y</v>
          </cell>
          <cell r="I163" t="str">
            <v>Y</v>
          </cell>
          <cell r="J163" t="str">
            <v>Y</v>
          </cell>
        </row>
        <row r="164">
          <cell r="B164">
            <v>70516000</v>
          </cell>
          <cell r="C164" t="str">
            <v>N</v>
          </cell>
          <cell r="D164" t="str">
            <v>N</v>
          </cell>
          <cell r="E164" t="str">
            <v>N</v>
          </cell>
          <cell r="F164" t="str">
            <v>N</v>
          </cell>
          <cell r="G164" t="str">
            <v>Y</v>
          </cell>
          <cell r="H164" t="str">
            <v>N</v>
          </cell>
          <cell r="I164" t="str">
            <v>N</v>
          </cell>
          <cell r="J164" t="str">
            <v>N</v>
          </cell>
        </row>
        <row r="165">
          <cell r="B165">
            <v>70899000</v>
          </cell>
          <cell r="C165" t="str">
            <v>N</v>
          </cell>
          <cell r="D165" t="str">
            <v>Y</v>
          </cell>
          <cell r="E165" t="str">
            <v>N</v>
          </cell>
          <cell r="F165" t="str">
            <v>N</v>
          </cell>
          <cell r="G165" t="str">
            <v>N</v>
          </cell>
          <cell r="H165" t="str">
            <v>N</v>
          </cell>
          <cell r="I165" t="str">
            <v>N</v>
          </cell>
          <cell r="J165" t="str">
            <v>N</v>
          </cell>
        </row>
        <row r="166">
          <cell r="B166">
            <v>70900000</v>
          </cell>
          <cell r="C166" t="str">
            <v>N</v>
          </cell>
          <cell r="D166" t="str">
            <v>N</v>
          </cell>
          <cell r="E166" t="str">
            <v>N</v>
          </cell>
          <cell r="F166" t="str">
            <v>N</v>
          </cell>
          <cell r="G166" t="str">
            <v>N</v>
          </cell>
          <cell r="H166" t="str">
            <v>N</v>
          </cell>
          <cell r="I166" t="str">
            <v>N</v>
          </cell>
          <cell r="J166" t="str">
            <v>N</v>
          </cell>
        </row>
        <row r="167">
          <cell r="B167">
            <v>70999000</v>
          </cell>
          <cell r="C167" t="str">
            <v>N</v>
          </cell>
          <cell r="D167" t="str">
            <v>Y</v>
          </cell>
          <cell r="E167" t="str">
            <v>N</v>
          </cell>
          <cell r="F167" t="str">
            <v>N</v>
          </cell>
          <cell r="G167" t="str">
            <v>N</v>
          </cell>
          <cell r="H167" t="str">
            <v>N</v>
          </cell>
          <cell r="I167" t="str">
            <v>N</v>
          </cell>
          <cell r="J167" t="str">
            <v>N</v>
          </cell>
        </row>
        <row r="168">
          <cell r="B168">
            <v>74499000</v>
          </cell>
          <cell r="C168" t="str">
            <v>N</v>
          </cell>
          <cell r="D168" t="str">
            <v>N</v>
          </cell>
          <cell r="E168" t="str">
            <v>N</v>
          </cell>
          <cell r="F168" t="str">
            <v>N</v>
          </cell>
          <cell r="G168" t="str">
            <v>N</v>
          </cell>
          <cell r="H168" t="str">
            <v>N</v>
          </cell>
          <cell r="I168" t="str">
            <v>N</v>
          </cell>
          <cell r="J168" t="str">
            <v>N</v>
          </cell>
        </row>
        <row r="169">
          <cell r="B169">
            <v>78101000</v>
          </cell>
          <cell r="C169" t="str">
            <v>N</v>
          </cell>
          <cell r="D169" t="str">
            <v>N</v>
          </cell>
          <cell r="E169" t="str">
            <v>N</v>
          </cell>
          <cell r="F169" t="str">
            <v>Y</v>
          </cell>
          <cell r="G169" t="str">
            <v>Y</v>
          </cell>
          <cell r="H169" t="str">
            <v>Y</v>
          </cell>
          <cell r="I169" t="str">
            <v>Y</v>
          </cell>
          <cell r="J169" t="str">
            <v>Y</v>
          </cell>
        </row>
        <row r="170">
          <cell r="B170">
            <v>78103000</v>
          </cell>
          <cell r="C170" t="str">
            <v>N</v>
          </cell>
          <cell r="D170" t="str">
            <v>N</v>
          </cell>
          <cell r="E170" t="str">
            <v>N</v>
          </cell>
          <cell r="F170" t="str">
            <v>N</v>
          </cell>
          <cell r="G170" t="str">
            <v>N</v>
          </cell>
          <cell r="H170" t="str">
            <v>Y</v>
          </cell>
          <cell r="I170" t="str">
            <v>Y</v>
          </cell>
          <cell r="J170" t="str">
            <v>Y</v>
          </cell>
        </row>
        <row r="171">
          <cell r="B171">
            <v>78202000</v>
          </cell>
          <cell r="C171" t="str">
            <v>N</v>
          </cell>
          <cell r="D171" t="str">
            <v>N</v>
          </cell>
          <cell r="E171" t="str">
            <v>N</v>
          </cell>
          <cell r="F171" t="str">
            <v>Y</v>
          </cell>
          <cell r="G171" t="str">
            <v>Y</v>
          </cell>
          <cell r="H171" t="str">
            <v>Y</v>
          </cell>
          <cell r="I171" t="str">
            <v>Y</v>
          </cell>
          <cell r="J171" t="str">
            <v>Y</v>
          </cell>
        </row>
        <row r="172">
          <cell r="B172">
            <v>78204000</v>
          </cell>
          <cell r="C172" t="str">
            <v>N</v>
          </cell>
          <cell r="D172" t="str">
            <v>N</v>
          </cell>
          <cell r="E172" t="str">
            <v>N</v>
          </cell>
          <cell r="F172" t="str">
            <v>N</v>
          </cell>
          <cell r="G172" t="str">
            <v>Y</v>
          </cell>
          <cell r="H172" t="str">
            <v>N</v>
          </cell>
          <cell r="I172" t="str">
            <v>Y</v>
          </cell>
          <cell r="J172" t="str">
            <v>Y</v>
          </cell>
        </row>
        <row r="173">
          <cell r="B173">
            <v>78205000</v>
          </cell>
          <cell r="C173" t="str">
            <v>N</v>
          </cell>
          <cell r="D173" t="str">
            <v>N</v>
          </cell>
          <cell r="E173" t="str">
            <v>N</v>
          </cell>
          <cell r="F173" t="str">
            <v>N</v>
          </cell>
          <cell r="G173" t="str">
            <v>N</v>
          </cell>
          <cell r="H173" t="str">
            <v>N</v>
          </cell>
          <cell r="I173" t="str">
            <v>N</v>
          </cell>
          <cell r="J173" t="str">
            <v>N</v>
          </cell>
        </row>
        <row r="174">
          <cell r="B174">
            <v>78206000</v>
          </cell>
          <cell r="C174" t="str">
            <v>N</v>
          </cell>
          <cell r="D174" t="str">
            <v>N</v>
          </cell>
          <cell r="E174" t="str">
            <v>N</v>
          </cell>
          <cell r="F174" t="str">
            <v>Y</v>
          </cell>
          <cell r="G174" t="str">
            <v>Y</v>
          </cell>
          <cell r="H174" t="str">
            <v>Y</v>
          </cell>
          <cell r="I174" t="str">
            <v>Y</v>
          </cell>
          <cell r="J174" t="str">
            <v>Y</v>
          </cell>
        </row>
        <row r="175">
          <cell r="B175">
            <v>78207000</v>
          </cell>
          <cell r="C175" t="str">
            <v>N</v>
          </cell>
          <cell r="D175" t="str">
            <v>N</v>
          </cell>
          <cell r="E175" t="str">
            <v>N</v>
          </cell>
          <cell r="F175" t="str">
            <v>Y</v>
          </cell>
          <cell r="G175" t="str">
            <v>Y</v>
          </cell>
          <cell r="H175" t="str">
            <v>Y</v>
          </cell>
          <cell r="I175" t="str">
            <v>Y</v>
          </cell>
          <cell r="J175" t="str">
            <v>Y</v>
          </cell>
        </row>
        <row r="176">
          <cell r="B176">
            <v>78208000</v>
          </cell>
          <cell r="C176" t="str">
            <v>N</v>
          </cell>
          <cell r="D176" t="str">
            <v>N</v>
          </cell>
          <cell r="E176" t="str">
            <v>N</v>
          </cell>
          <cell r="F176" t="str">
            <v>N</v>
          </cell>
          <cell r="G176" t="str">
            <v>N</v>
          </cell>
          <cell r="H176" t="str">
            <v>N</v>
          </cell>
          <cell r="I176" t="str">
            <v>N</v>
          </cell>
          <cell r="J176" t="str">
            <v>N</v>
          </cell>
        </row>
        <row r="177">
          <cell r="B177">
            <v>78210000</v>
          </cell>
          <cell r="C177" t="str">
            <v>N</v>
          </cell>
          <cell r="D177" t="str">
            <v>N</v>
          </cell>
          <cell r="E177" t="str">
            <v>N</v>
          </cell>
          <cell r="F177" t="str">
            <v>N</v>
          </cell>
          <cell r="G177" t="str">
            <v>N</v>
          </cell>
          <cell r="H177" t="str">
            <v>Y</v>
          </cell>
          <cell r="I177" t="str">
            <v>Y</v>
          </cell>
          <cell r="J177" t="str">
            <v>N</v>
          </cell>
        </row>
        <row r="178">
          <cell r="B178">
            <v>78211000</v>
          </cell>
          <cell r="C178" t="str">
            <v>N</v>
          </cell>
          <cell r="D178" t="str">
            <v>N</v>
          </cell>
          <cell r="E178" t="str">
            <v>N</v>
          </cell>
          <cell r="F178" t="str">
            <v>N</v>
          </cell>
          <cell r="G178" t="str">
            <v>N</v>
          </cell>
          <cell r="H178" t="str">
            <v>Y</v>
          </cell>
          <cell r="I178" t="str">
            <v>N</v>
          </cell>
          <cell r="J178" t="str">
            <v>N</v>
          </cell>
        </row>
        <row r="179">
          <cell r="B179">
            <v>78215000</v>
          </cell>
          <cell r="C179" t="str">
            <v>N</v>
          </cell>
          <cell r="D179" t="str">
            <v>N</v>
          </cell>
          <cell r="E179" t="str">
            <v>N</v>
          </cell>
          <cell r="F179" t="str">
            <v>Y</v>
          </cell>
          <cell r="G179" t="str">
            <v>Y</v>
          </cell>
          <cell r="H179" t="str">
            <v>Y</v>
          </cell>
          <cell r="I179" t="str">
            <v>Y</v>
          </cell>
          <cell r="J179" t="str">
            <v>Y</v>
          </cell>
        </row>
        <row r="180">
          <cell r="B180">
            <v>78217000</v>
          </cell>
          <cell r="C180" t="str">
            <v>N</v>
          </cell>
          <cell r="D180" t="str">
            <v>N</v>
          </cell>
          <cell r="E180" t="str">
            <v>N</v>
          </cell>
          <cell r="F180" t="str">
            <v>N</v>
          </cell>
          <cell r="G180" t="str">
            <v>N</v>
          </cell>
          <cell r="H180" t="str">
            <v>Y</v>
          </cell>
          <cell r="I180" t="str">
            <v>Y</v>
          </cell>
          <cell r="J180" t="str">
            <v>Y</v>
          </cell>
        </row>
        <row r="181">
          <cell r="B181">
            <v>78218000</v>
          </cell>
          <cell r="C181" t="str">
            <v>N</v>
          </cell>
          <cell r="D181" t="str">
            <v>N</v>
          </cell>
          <cell r="E181" t="str">
            <v>N</v>
          </cell>
          <cell r="F181" t="str">
            <v>N</v>
          </cell>
          <cell r="G181" t="str">
            <v>N</v>
          </cell>
          <cell r="H181" t="str">
            <v>Y</v>
          </cell>
          <cell r="I181" t="str">
            <v>Y</v>
          </cell>
          <cell r="J181" t="str">
            <v>Y</v>
          </cell>
        </row>
        <row r="182">
          <cell r="B182">
            <v>78219000</v>
          </cell>
          <cell r="C182" t="str">
            <v>N</v>
          </cell>
          <cell r="D182" t="str">
            <v>N</v>
          </cell>
          <cell r="E182" t="str">
            <v>N</v>
          </cell>
          <cell r="F182" t="str">
            <v>N</v>
          </cell>
          <cell r="G182" t="str">
            <v>N</v>
          </cell>
          <cell r="H182" t="str">
            <v>Y</v>
          </cell>
          <cell r="I182" t="str">
            <v>Y</v>
          </cell>
          <cell r="J182" t="str">
            <v>Y</v>
          </cell>
        </row>
        <row r="183">
          <cell r="B183">
            <v>78221000</v>
          </cell>
          <cell r="C183" t="str">
            <v>N</v>
          </cell>
          <cell r="D183" t="str">
            <v>N</v>
          </cell>
          <cell r="E183" t="str">
            <v>N</v>
          </cell>
          <cell r="F183" t="str">
            <v>N</v>
          </cell>
          <cell r="G183" t="str">
            <v>N</v>
          </cell>
          <cell r="H183" t="str">
            <v>Y</v>
          </cell>
          <cell r="I183" t="str">
            <v>Y</v>
          </cell>
          <cell r="J183" t="str">
            <v>Y</v>
          </cell>
        </row>
        <row r="184">
          <cell r="B184">
            <v>78222000</v>
          </cell>
          <cell r="C184" t="str">
            <v>N</v>
          </cell>
          <cell r="D184" t="str">
            <v>N</v>
          </cell>
          <cell r="E184" t="str">
            <v>N</v>
          </cell>
          <cell r="F184" t="str">
            <v>N</v>
          </cell>
          <cell r="G184" t="str">
            <v>N</v>
          </cell>
          <cell r="H184" t="str">
            <v>Y</v>
          </cell>
          <cell r="I184" t="str">
            <v>Y</v>
          </cell>
          <cell r="J184" t="str">
            <v>Y</v>
          </cell>
        </row>
        <row r="185">
          <cell r="B185">
            <v>78223000</v>
          </cell>
          <cell r="C185" t="str">
            <v>N</v>
          </cell>
          <cell r="D185" t="str">
            <v>N</v>
          </cell>
          <cell r="E185" t="str">
            <v>N</v>
          </cell>
          <cell r="F185" t="str">
            <v>N</v>
          </cell>
          <cell r="G185" t="str">
            <v>N</v>
          </cell>
          <cell r="H185" t="str">
            <v>Y</v>
          </cell>
          <cell r="I185" t="str">
            <v>Y</v>
          </cell>
          <cell r="J185" t="str">
            <v>Y</v>
          </cell>
        </row>
        <row r="186">
          <cell r="B186">
            <v>78224000</v>
          </cell>
          <cell r="C186" t="str">
            <v>N</v>
          </cell>
          <cell r="D186" t="str">
            <v>N</v>
          </cell>
          <cell r="E186" t="str">
            <v>N</v>
          </cell>
          <cell r="F186" t="str">
            <v>N</v>
          </cell>
          <cell r="G186" t="str">
            <v>Y</v>
          </cell>
          <cell r="H186" t="str">
            <v>Y</v>
          </cell>
          <cell r="I186" t="str">
            <v>Y</v>
          </cell>
          <cell r="J186" t="str">
            <v>Y</v>
          </cell>
        </row>
        <row r="187">
          <cell r="B187">
            <v>78226000</v>
          </cell>
          <cell r="C187" t="str">
            <v>N</v>
          </cell>
          <cell r="D187" t="str">
            <v>N</v>
          </cell>
          <cell r="E187" t="str">
            <v>N</v>
          </cell>
          <cell r="F187" t="str">
            <v>N</v>
          </cell>
          <cell r="G187" t="str">
            <v>N</v>
          </cell>
          <cell r="H187" t="str">
            <v>Y</v>
          </cell>
          <cell r="I187" t="str">
            <v>Y</v>
          </cell>
          <cell r="J187" t="str">
            <v>Y</v>
          </cell>
        </row>
        <row r="188">
          <cell r="B188">
            <v>78228000</v>
          </cell>
          <cell r="C188" t="str">
            <v>N</v>
          </cell>
          <cell r="D188" t="str">
            <v>N</v>
          </cell>
          <cell r="E188" t="str">
            <v>N</v>
          </cell>
          <cell r="F188" t="str">
            <v>N</v>
          </cell>
          <cell r="G188" t="str">
            <v>Y</v>
          </cell>
          <cell r="H188" t="str">
            <v>Y</v>
          </cell>
          <cell r="I188" t="str">
            <v>Y</v>
          </cell>
          <cell r="J188" t="str">
            <v>Y</v>
          </cell>
        </row>
        <row r="189">
          <cell r="B189">
            <v>78229000</v>
          </cell>
          <cell r="C189" t="str">
            <v>N</v>
          </cell>
          <cell r="D189" t="str">
            <v>N</v>
          </cell>
          <cell r="E189" t="str">
            <v>N</v>
          </cell>
          <cell r="F189" t="str">
            <v>N</v>
          </cell>
          <cell r="G189" t="str">
            <v>Y</v>
          </cell>
          <cell r="H189" t="str">
            <v>N</v>
          </cell>
          <cell r="I189" t="str">
            <v>N</v>
          </cell>
          <cell r="J189" t="str">
            <v>N</v>
          </cell>
        </row>
        <row r="190">
          <cell r="B190">
            <v>78230000</v>
          </cell>
          <cell r="C190" t="str">
            <v>N</v>
          </cell>
          <cell r="D190" t="str">
            <v>N</v>
          </cell>
          <cell r="E190" t="str">
            <v>N</v>
          </cell>
          <cell r="F190" t="str">
            <v>N</v>
          </cell>
          <cell r="G190" t="str">
            <v>Y</v>
          </cell>
          <cell r="H190" t="str">
            <v>Y</v>
          </cell>
          <cell r="I190" t="str">
            <v>Y</v>
          </cell>
          <cell r="J190" t="str">
            <v>Y</v>
          </cell>
        </row>
        <row r="191">
          <cell r="B191">
            <v>78238000</v>
          </cell>
          <cell r="C191" t="str">
            <v>N</v>
          </cell>
          <cell r="D191" t="str">
            <v>N</v>
          </cell>
          <cell r="E191" t="str">
            <v>N</v>
          </cell>
          <cell r="F191" t="str">
            <v>N</v>
          </cell>
          <cell r="G191" t="str">
            <v>N</v>
          </cell>
          <cell r="H191" t="str">
            <v>N</v>
          </cell>
          <cell r="I191" t="str">
            <v>N</v>
          </cell>
          <cell r="J191" t="str">
            <v>Y</v>
          </cell>
        </row>
        <row r="192">
          <cell r="B192">
            <v>78240000</v>
          </cell>
          <cell r="C192" t="str">
            <v>N</v>
          </cell>
          <cell r="D192" t="str">
            <v>N</v>
          </cell>
          <cell r="E192" t="str">
            <v>N</v>
          </cell>
          <cell r="F192" t="str">
            <v>N</v>
          </cell>
          <cell r="G192" t="str">
            <v>Y</v>
          </cell>
          <cell r="H192" t="str">
            <v>Y</v>
          </cell>
          <cell r="I192" t="str">
            <v>Y</v>
          </cell>
          <cell r="J192" t="str">
            <v>Y</v>
          </cell>
        </row>
        <row r="193">
          <cell r="B193">
            <v>78242000</v>
          </cell>
          <cell r="C193" t="str">
            <v>N</v>
          </cell>
          <cell r="D193" t="str">
            <v>N</v>
          </cell>
          <cell r="E193" t="str">
            <v>N</v>
          </cell>
          <cell r="F193" t="str">
            <v>N</v>
          </cell>
          <cell r="G193" t="str">
            <v>Y</v>
          </cell>
          <cell r="H193" t="str">
            <v>Y</v>
          </cell>
          <cell r="I193" t="str">
            <v>Y</v>
          </cell>
          <cell r="J193" t="str">
            <v>Y</v>
          </cell>
        </row>
        <row r="194">
          <cell r="B194">
            <v>78245000</v>
          </cell>
          <cell r="C194" t="str">
            <v>N</v>
          </cell>
          <cell r="D194" t="str">
            <v>N</v>
          </cell>
          <cell r="E194" t="str">
            <v>N</v>
          </cell>
          <cell r="F194" t="str">
            <v>N</v>
          </cell>
          <cell r="G194" t="str">
            <v>Y</v>
          </cell>
          <cell r="H194" t="str">
            <v>Y</v>
          </cell>
          <cell r="I194" t="str">
            <v>Y</v>
          </cell>
          <cell r="J194" t="str">
            <v>Y</v>
          </cell>
        </row>
        <row r="195">
          <cell r="B195">
            <v>78246000</v>
          </cell>
          <cell r="C195" t="str">
            <v>N</v>
          </cell>
          <cell r="D195" t="str">
            <v>N</v>
          </cell>
          <cell r="E195" t="str">
            <v>N</v>
          </cell>
          <cell r="F195" t="str">
            <v>N</v>
          </cell>
          <cell r="G195" t="str">
            <v>Y</v>
          </cell>
          <cell r="H195" t="str">
            <v>Y</v>
          </cell>
          <cell r="I195" t="str">
            <v>Y</v>
          </cell>
          <cell r="J195" t="str">
            <v>Y</v>
          </cell>
        </row>
        <row r="196">
          <cell r="B196">
            <v>78250000</v>
          </cell>
          <cell r="C196" t="str">
            <v>N</v>
          </cell>
          <cell r="D196" t="str">
            <v>N</v>
          </cell>
          <cell r="E196" t="str">
            <v>N</v>
          </cell>
          <cell r="F196" t="str">
            <v>N</v>
          </cell>
          <cell r="G196" t="str">
            <v>N</v>
          </cell>
          <cell r="H196" t="str">
            <v>Y</v>
          </cell>
          <cell r="I196" t="str">
            <v>Y</v>
          </cell>
          <cell r="J196" t="str">
            <v>Y</v>
          </cell>
        </row>
        <row r="197">
          <cell r="B197">
            <v>78253000</v>
          </cell>
          <cell r="C197" t="str">
            <v>N</v>
          </cell>
          <cell r="D197" t="str">
            <v>N</v>
          </cell>
          <cell r="E197" t="str">
            <v>N</v>
          </cell>
          <cell r="F197" t="str">
            <v>N</v>
          </cell>
          <cell r="G197" t="str">
            <v>N</v>
          </cell>
          <cell r="H197" t="str">
            <v>N</v>
          </cell>
          <cell r="I197" t="str">
            <v>N</v>
          </cell>
          <cell r="J197" t="str">
            <v>Y</v>
          </cell>
        </row>
        <row r="198">
          <cell r="B198">
            <v>78254000</v>
          </cell>
          <cell r="C198" t="str">
            <v>N</v>
          </cell>
          <cell r="D198" t="str">
            <v>N</v>
          </cell>
          <cell r="E198" t="str">
            <v>N</v>
          </cell>
          <cell r="F198" t="str">
            <v>N</v>
          </cell>
          <cell r="G198" t="str">
            <v>N</v>
          </cell>
          <cell r="H198" t="str">
            <v>N</v>
          </cell>
          <cell r="I198" t="str">
            <v>Y</v>
          </cell>
          <cell r="J198" t="str">
            <v>Y</v>
          </cell>
        </row>
        <row r="199">
          <cell r="B199">
            <v>78256000</v>
          </cell>
          <cell r="C199" t="str">
            <v>N</v>
          </cell>
          <cell r="D199" t="str">
            <v>N</v>
          </cell>
          <cell r="E199" t="str">
            <v>N</v>
          </cell>
          <cell r="F199" t="str">
            <v>N</v>
          </cell>
          <cell r="G199" t="str">
            <v>N</v>
          </cell>
          <cell r="H199" t="str">
            <v>N</v>
          </cell>
          <cell r="I199" t="str">
            <v>Y</v>
          </cell>
          <cell r="J199" t="str">
            <v>Y</v>
          </cell>
        </row>
        <row r="200">
          <cell r="B200">
            <v>78261000</v>
          </cell>
          <cell r="C200" t="str">
            <v>N</v>
          </cell>
          <cell r="D200" t="str">
            <v>N</v>
          </cell>
          <cell r="E200" t="str">
            <v>N</v>
          </cell>
          <cell r="F200" t="str">
            <v>N</v>
          </cell>
          <cell r="G200" t="str">
            <v>N</v>
          </cell>
          <cell r="H200" t="str">
            <v>Y</v>
          </cell>
          <cell r="I200" t="str">
            <v>Y</v>
          </cell>
          <cell r="J200" t="str">
            <v>Y</v>
          </cell>
        </row>
        <row r="201">
          <cell r="B201">
            <v>78263000</v>
          </cell>
          <cell r="C201" t="str">
            <v>N</v>
          </cell>
          <cell r="D201" t="str">
            <v>N</v>
          </cell>
          <cell r="E201" t="str">
            <v>N</v>
          </cell>
          <cell r="F201" t="str">
            <v>N</v>
          </cell>
          <cell r="G201" t="str">
            <v>N</v>
          </cell>
          <cell r="H201" t="str">
            <v>N</v>
          </cell>
          <cell r="I201" t="str">
            <v>Y</v>
          </cell>
          <cell r="J201" t="str">
            <v>Y</v>
          </cell>
        </row>
        <row r="202">
          <cell r="B202">
            <v>78270000</v>
          </cell>
          <cell r="C202" t="str">
            <v>N</v>
          </cell>
          <cell r="D202" t="str">
            <v>N</v>
          </cell>
          <cell r="E202" t="str">
            <v>N</v>
          </cell>
          <cell r="F202" t="str">
            <v>N</v>
          </cell>
          <cell r="G202" t="str">
            <v>N</v>
          </cell>
          <cell r="H202" t="str">
            <v>N</v>
          </cell>
          <cell r="I202" t="str">
            <v>Y</v>
          </cell>
          <cell r="J202" t="str">
            <v>Y</v>
          </cell>
        </row>
        <row r="203">
          <cell r="B203">
            <v>78274000</v>
          </cell>
          <cell r="C203" t="str">
            <v>N</v>
          </cell>
          <cell r="D203" t="str">
            <v>N</v>
          </cell>
          <cell r="E203" t="str">
            <v>N</v>
          </cell>
          <cell r="F203" t="str">
            <v>N</v>
          </cell>
          <cell r="G203" t="str">
            <v>N</v>
          </cell>
          <cell r="H203" t="str">
            <v>N</v>
          </cell>
          <cell r="I203" t="str">
            <v>N</v>
          </cell>
          <cell r="J203" t="str">
            <v>N</v>
          </cell>
        </row>
        <row r="204">
          <cell r="B204">
            <v>78281000</v>
          </cell>
          <cell r="C204" t="str">
            <v>N</v>
          </cell>
          <cell r="D204" t="str">
            <v>N</v>
          </cell>
          <cell r="E204" t="str">
            <v>N</v>
          </cell>
          <cell r="F204" t="str">
            <v>N</v>
          </cell>
          <cell r="G204" t="str">
            <v>N</v>
          </cell>
          <cell r="H204" t="str">
            <v>N</v>
          </cell>
          <cell r="I204" t="str">
            <v>N</v>
          </cell>
          <cell r="J204" t="str">
            <v>Y</v>
          </cell>
        </row>
        <row r="205">
          <cell r="B205">
            <v>78401000</v>
          </cell>
          <cell r="C205" t="str">
            <v>N</v>
          </cell>
          <cell r="D205" t="str">
            <v>N</v>
          </cell>
          <cell r="E205" t="str">
            <v>N</v>
          </cell>
          <cell r="F205" t="str">
            <v>Y</v>
          </cell>
          <cell r="G205" t="str">
            <v>Y</v>
          </cell>
          <cell r="H205" t="str">
            <v>Y</v>
          </cell>
          <cell r="I205" t="str">
            <v>Y</v>
          </cell>
          <cell r="J205" t="str">
            <v>Y</v>
          </cell>
        </row>
        <row r="206">
          <cell r="B206">
            <v>78407000</v>
          </cell>
          <cell r="C206" t="str">
            <v>N</v>
          </cell>
          <cell r="D206" t="str">
            <v>N</v>
          </cell>
          <cell r="E206" t="str">
            <v>N</v>
          </cell>
          <cell r="F206" t="str">
            <v>N</v>
          </cell>
          <cell r="G206" t="str">
            <v>N</v>
          </cell>
          <cell r="H206" t="str">
            <v>N</v>
          </cell>
          <cell r="I206" t="str">
            <v>N</v>
          </cell>
          <cell r="J206" t="str">
            <v>N</v>
          </cell>
        </row>
        <row r="207">
          <cell r="B207">
            <v>78408000</v>
          </cell>
          <cell r="C207" t="str">
            <v>N</v>
          </cell>
          <cell r="D207" t="str">
            <v>N</v>
          </cell>
          <cell r="E207" t="str">
            <v>N</v>
          </cell>
          <cell r="F207" t="str">
            <v>N</v>
          </cell>
          <cell r="G207" t="str">
            <v>N</v>
          </cell>
          <cell r="H207" t="str">
            <v>N</v>
          </cell>
          <cell r="I207" t="str">
            <v>N</v>
          </cell>
          <cell r="J207" t="str">
            <v>N</v>
          </cell>
        </row>
        <row r="208">
          <cell r="B208">
            <v>78409000</v>
          </cell>
          <cell r="C208" t="str">
            <v>N</v>
          </cell>
          <cell r="D208" t="str">
            <v>N</v>
          </cell>
          <cell r="E208" t="str">
            <v>N</v>
          </cell>
          <cell r="F208" t="str">
            <v>N</v>
          </cell>
          <cell r="G208" t="str">
            <v>N</v>
          </cell>
          <cell r="H208" t="str">
            <v>N</v>
          </cell>
          <cell r="I208" t="str">
            <v>N</v>
          </cell>
          <cell r="J208" t="str">
            <v>N</v>
          </cell>
        </row>
        <row r="209">
          <cell r="B209">
            <v>78501000</v>
          </cell>
          <cell r="C209" t="str">
            <v>N</v>
          </cell>
          <cell r="D209" t="str">
            <v>N</v>
          </cell>
          <cell r="E209" t="str">
            <v>Y</v>
          </cell>
          <cell r="F209" t="str">
            <v>Y</v>
          </cell>
          <cell r="G209" t="str">
            <v>Y</v>
          </cell>
          <cell r="H209" t="str">
            <v>Y</v>
          </cell>
          <cell r="I209" t="str">
            <v>Y</v>
          </cell>
          <cell r="J209" t="str">
            <v>N</v>
          </cell>
        </row>
        <row r="210">
          <cell r="B210">
            <v>78504000</v>
          </cell>
          <cell r="C210" t="str">
            <v>N</v>
          </cell>
          <cell r="D210" t="str">
            <v>N</v>
          </cell>
          <cell r="E210" t="str">
            <v>N</v>
          </cell>
          <cell r="F210" t="str">
            <v>N</v>
          </cell>
          <cell r="G210" t="str">
            <v>N</v>
          </cell>
          <cell r="H210" t="str">
            <v>N</v>
          </cell>
          <cell r="I210" t="str">
            <v>N</v>
          </cell>
          <cell r="J210" t="str">
            <v>N</v>
          </cell>
        </row>
        <row r="211">
          <cell r="B211">
            <v>78505000</v>
          </cell>
          <cell r="C211" t="str">
            <v>N</v>
          </cell>
          <cell r="D211" t="str">
            <v>Y</v>
          </cell>
          <cell r="E211" t="str">
            <v>N</v>
          </cell>
          <cell r="F211" t="str">
            <v>N</v>
          </cell>
          <cell r="G211" t="str">
            <v>N</v>
          </cell>
          <cell r="H211" t="str">
            <v>N</v>
          </cell>
          <cell r="I211" t="str">
            <v>N</v>
          </cell>
          <cell r="J211" t="str">
            <v>N</v>
          </cell>
        </row>
        <row r="212">
          <cell r="B212">
            <v>78507000</v>
          </cell>
          <cell r="C212" t="str">
            <v>Y</v>
          </cell>
          <cell r="D212" t="str">
            <v>Y</v>
          </cell>
          <cell r="E212" t="str">
            <v>Y</v>
          </cell>
          <cell r="F212" t="str">
            <v>Y</v>
          </cell>
          <cell r="G212" t="str">
            <v>Y</v>
          </cell>
          <cell r="H212" t="str">
            <v>Y</v>
          </cell>
          <cell r="I212" t="str">
            <v>Y</v>
          </cell>
          <cell r="J212" t="str">
            <v>Y</v>
          </cell>
        </row>
        <row r="213">
          <cell r="B213">
            <v>78508000</v>
          </cell>
          <cell r="C213" t="str">
            <v>N</v>
          </cell>
          <cell r="D213" t="str">
            <v>N</v>
          </cell>
          <cell r="E213" t="str">
            <v>N</v>
          </cell>
          <cell r="F213" t="str">
            <v>N</v>
          </cell>
          <cell r="G213" t="str">
            <v>Y</v>
          </cell>
          <cell r="H213" t="str">
            <v>Y</v>
          </cell>
          <cell r="I213" t="str">
            <v>N</v>
          </cell>
          <cell r="J213" t="str">
            <v>Y</v>
          </cell>
        </row>
        <row r="214">
          <cell r="B214">
            <v>78509000</v>
          </cell>
          <cell r="C214" t="str">
            <v>N</v>
          </cell>
          <cell r="D214" t="str">
            <v>Y</v>
          </cell>
          <cell r="E214" t="str">
            <v>Y</v>
          </cell>
          <cell r="F214" t="str">
            <v>Y</v>
          </cell>
          <cell r="G214" t="str">
            <v>Y</v>
          </cell>
          <cell r="H214" t="str">
            <v>Y</v>
          </cell>
          <cell r="I214" t="str">
            <v>Y</v>
          </cell>
          <cell r="J214" t="str">
            <v>Y</v>
          </cell>
        </row>
        <row r="215">
          <cell r="B215">
            <v>78510000</v>
          </cell>
          <cell r="C215" t="str">
            <v>N</v>
          </cell>
          <cell r="D215" t="str">
            <v>N</v>
          </cell>
          <cell r="E215" t="str">
            <v>N</v>
          </cell>
          <cell r="F215" t="str">
            <v>N</v>
          </cell>
          <cell r="G215" t="str">
            <v>Y</v>
          </cell>
          <cell r="H215" t="str">
            <v>Y</v>
          </cell>
          <cell r="I215" t="str">
            <v>Y</v>
          </cell>
          <cell r="J215" t="str">
            <v>N</v>
          </cell>
        </row>
        <row r="216">
          <cell r="B216">
            <v>78511000</v>
          </cell>
          <cell r="C216" t="str">
            <v>Y</v>
          </cell>
          <cell r="D216" t="str">
            <v>Y</v>
          </cell>
          <cell r="E216" t="str">
            <v>Y</v>
          </cell>
          <cell r="F216" t="str">
            <v>Y</v>
          </cell>
          <cell r="G216" t="str">
            <v>Y</v>
          </cell>
          <cell r="H216" t="str">
            <v>Y</v>
          </cell>
          <cell r="I216" t="str">
            <v>Y</v>
          </cell>
          <cell r="J216" t="str">
            <v>Y</v>
          </cell>
        </row>
        <row r="217">
          <cell r="B217">
            <v>78513000</v>
          </cell>
          <cell r="C217" t="str">
            <v>N</v>
          </cell>
          <cell r="D217" t="str">
            <v>N</v>
          </cell>
          <cell r="E217" t="str">
            <v>Y</v>
          </cell>
          <cell r="F217" t="str">
            <v>Y</v>
          </cell>
          <cell r="G217" t="str">
            <v>Y</v>
          </cell>
          <cell r="H217" t="str">
            <v>Y</v>
          </cell>
          <cell r="I217" t="str">
            <v>Y</v>
          </cell>
          <cell r="J217" t="str">
            <v>Y</v>
          </cell>
        </row>
        <row r="218">
          <cell r="B218">
            <v>78515000</v>
          </cell>
          <cell r="C218" t="str">
            <v>N</v>
          </cell>
          <cell r="D218" t="str">
            <v>N</v>
          </cell>
          <cell r="E218" t="str">
            <v>N</v>
          </cell>
          <cell r="F218" t="str">
            <v>N</v>
          </cell>
          <cell r="G218" t="str">
            <v>N</v>
          </cell>
          <cell r="H218" t="str">
            <v>N</v>
          </cell>
          <cell r="I218" t="str">
            <v>N</v>
          </cell>
          <cell r="J218" t="str">
            <v>N</v>
          </cell>
        </row>
        <row r="219">
          <cell r="B219">
            <v>78516000</v>
          </cell>
          <cell r="C219" t="str">
            <v>Y</v>
          </cell>
          <cell r="D219" t="str">
            <v>Y</v>
          </cell>
          <cell r="E219" t="str">
            <v>Y</v>
          </cell>
          <cell r="F219" t="str">
            <v>Y</v>
          </cell>
          <cell r="G219" t="str">
            <v>Y</v>
          </cell>
          <cell r="H219" t="str">
            <v>Y</v>
          </cell>
          <cell r="I219" t="str">
            <v>Y</v>
          </cell>
          <cell r="J219" t="str">
            <v>Y</v>
          </cell>
        </row>
        <row r="220">
          <cell r="B220">
            <v>78517000</v>
          </cell>
          <cell r="C220" t="str">
            <v>Y</v>
          </cell>
          <cell r="D220" t="str">
            <v>Y</v>
          </cell>
          <cell r="E220" t="str">
            <v>Y</v>
          </cell>
          <cell r="F220" t="str">
            <v>Y</v>
          </cell>
          <cell r="G220" t="str">
            <v>Y</v>
          </cell>
          <cell r="H220" t="str">
            <v>Y</v>
          </cell>
          <cell r="I220" t="str">
            <v>Y</v>
          </cell>
          <cell r="J220" t="str">
            <v>Y</v>
          </cell>
        </row>
        <row r="221">
          <cell r="B221">
            <v>78518000</v>
          </cell>
          <cell r="C221" t="str">
            <v>N</v>
          </cell>
          <cell r="D221" t="str">
            <v>N</v>
          </cell>
          <cell r="E221" t="str">
            <v>N</v>
          </cell>
          <cell r="F221" t="str">
            <v>Y</v>
          </cell>
          <cell r="G221" t="str">
            <v>Y</v>
          </cell>
          <cell r="H221" t="str">
            <v>Y</v>
          </cell>
          <cell r="I221" t="str">
            <v>Y</v>
          </cell>
          <cell r="J221" t="str">
            <v>Y</v>
          </cell>
        </row>
        <row r="222">
          <cell r="B222">
            <v>78519000</v>
          </cell>
          <cell r="C222" t="str">
            <v>Y</v>
          </cell>
          <cell r="D222" t="str">
            <v>Y</v>
          </cell>
          <cell r="E222" t="str">
            <v>Y</v>
          </cell>
          <cell r="F222" t="str">
            <v>Y</v>
          </cell>
          <cell r="G222" t="str">
            <v>Y</v>
          </cell>
          <cell r="H222" t="str">
            <v>Y</v>
          </cell>
          <cell r="I222" t="str">
            <v>Y</v>
          </cell>
          <cell r="J222" t="str">
            <v>Y</v>
          </cell>
        </row>
        <row r="223">
          <cell r="B223">
            <v>78520000</v>
          </cell>
          <cell r="C223" t="str">
            <v>Y</v>
          </cell>
          <cell r="D223" t="str">
            <v>Y</v>
          </cell>
          <cell r="E223" t="str">
            <v>Y</v>
          </cell>
          <cell r="F223" t="str">
            <v>Y</v>
          </cell>
          <cell r="G223" t="str">
            <v>Y</v>
          </cell>
          <cell r="H223" t="str">
            <v>Y</v>
          </cell>
          <cell r="I223" t="str">
            <v>Y</v>
          </cell>
          <cell r="J223" t="str">
            <v>Y</v>
          </cell>
        </row>
        <row r="224">
          <cell r="B224">
            <v>78521000</v>
          </cell>
          <cell r="C224" t="str">
            <v>Y</v>
          </cell>
          <cell r="D224" t="str">
            <v>Y</v>
          </cell>
          <cell r="E224" t="str">
            <v>Y</v>
          </cell>
          <cell r="F224" t="str">
            <v>Y</v>
          </cell>
          <cell r="G224" t="str">
            <v>Y</v>
          </cell>
          <cell r="H224" t="str">
            <v>Y</v>
          </cell>
          <cell r="I224" t="str">
            <v>Y</v>
          </cell>
          <cell r="J224" t="str">
            <v>Y</v>
          </cell>
        </row>
        <row r="225">
          <cell r="B225">
            <v>78522000</v>
          </cell>
          <cell r="C225" t="str">
            <v>N</v>
          </cell>
          <cell r="D225" t="str">
            <v>N</v>
          </cell>
          <cell r="E225" t="str">
            <v>N</v>
          </cell>
          <cell r="F225" t="str">
            <v>Y</v>
          </cell>
          <cell r="G225" t="str">
            <v>Y</v>
          </cell>
          <cell r="H225" t="str">
            <v>Y</v>
          </cell>
          <cell r="I225" t="str">
            <v>Y</v>
          </cell>
          <cell r="J225" t="str">
            <v>N</v>
          </cell>
        </row>
        <row r="226">
          <cell r="B226">
            <v>78523000</v>
          </cell>
          <cell r="C226" t="str">
            <v>Y</v>
          </cell>
          <cell r="D226" t="str">
            <v>Y</v>
          </cell>
          <cell r="E226" t="str">
            <v>Y</v>
          </cell>
          <cell r="F226" t="str">
            <v>Y</v>
          </cell>
          <cell r="G226" t="str">
            <v>Y</v>
          </cell>
          <cell r="H226" t="str">
            <v>Y</v>
          </cell>
          <cell r="I226" t="str">
            <v>Y</v>
          </cell>
          <cell r="J226" t="str">
            <v>Y</v>
          </cell>
        </row>
        <row r="227">
          <cell r="B227">
            <v>78524000</v>
          </cell>
          <cell r="C227" t="str">
            <v>Y</v>
          </cell>
          <cell r="D227" t="str">
            <v>Y</v>
          </cell>
          <cell r="E227" t="str">
            <v>Y</v>
          </cell>
          <cell r="F227" t="str">
            <v>Y</v>
          </cell>
          <cell r="G227" t="str">
            <v>Y</v>
          </cell>
          <cell r="H227" t="str">
            <v>Y</v>
          </cell>
          <cell r="I227" t="str">
            <v>Y</v>
          </cell>
          <cell r="J227" t="str">
            <v>Y</v>
          </cell>
        </row>
        <row r="228">
          <cell r="B228">
            <v>78525000</v>
          </cell>
          <cell r="C228" t="str">
            <v>N</v>
          </cell>
          <cell r="D228" t="str">
            <v>N</v>
          </cell>
          <cell r="E228" t="str">
            <v>N</v>
          </cell>
          <cell r="F228" t="str">
            <v>N</v>
          </cell>
          <cell r="G228" t="str">
            <v>N</v>
          </cell>
          <cell r="H228" t="str">
            <v>N</v>
          </cell>
          <cell r="I228" t="str">
            <v>N</v>
          </cell>
          <cell r="J228" t="str">
            <v>N</v>
          </cell>
        </row>
        <row r="229">
          <cell r="B229">
            <v>78527000</v>
          </cell>
          <cell r="C229" t="str">
            <v>N</v>
          </cell>
          <cell r="D229" t="str">
            <v>N</v>
          </cell>
          <cell r="E229" t="str">
            <v>N</v>
          </cell>
          <cell r="F229" t="str">
            <v>N</v>
          </cell>
          <cell r="G229" t="str">
            <v>N</v>
          </cell>
          <cell r="H229" t="str">
            <v>N</v>
          </cell>
          <cell r="I229" t="str">
            <v>N</v>
          </cell>
          <cell r="J229" t="str">
            <v>N</v>
          </cell>
        </row>
        <row r="230">
          <cell r="B230">
            <v>78528000</v>
          </cell>
          <cell r="C230" t="str">
            <v>N</v>
          </cell>
          <cell r="D230" t="str">
            <v>N</v>
          </cell>
          <cell r="E230" t="str">
            <v>N</v>
          </cell>
          <cell r="F230" t="str">
            <v>N</v>
          </cell>
          <cell r="G230" t="str">
            <v>N</v>
          </cell>
          <cell r="H230" t="str">
            <v>N</v>
          </cell>
          <cell r="I230" t="str">
            <v>N</v>
          </cell>
          <cell r="J230" t="str">
            <v>N</v>
          </cell>
        </row>
        <row r="231">
          <cell r="B231">
            <v>78529000</v>
          </cell>
          <cell r="C231" t="str">
            <v>N</v>
          </cell>
          <cell r="D231" t="str">
            <v>N</v>
          </cell>
          <cell r="E231" t="str">
            <v>N</v>
          </cell>
          <cell r="F231" t="str">
            <v>N</v>
          </cell>
          <cell r="G231" t="str">
            <v>N</v>
          </cell>
          <cell r="H231" t="str">
            <v>N</v>
          </cell>
          <cell r="I231" t="str">
            <v>N</v>
          </cell>
          <cell r="J231" t="str">
            <v>N</v>
          </cell>
        </row>
        <row r="232">
          <cell r="B232">
            <v>78530000</v>
          </cell>
          <cell r="C232" t="str">
            <v>Y</v>
          </cell>
          <cell r="D232" t="str">
            <v>Y</v>
          </cell>
          <cell r="E232" t="str">
            <v>Y</v>
          </cell>
          <cell r="F232" t="str">
            <v>Y</v>
          </cell>
          <cell r="G232" t="str">
            <v>Y</v>
          </cell>
          <cell r="H232" t="str">
            <v>N</v>
          </cell>
          <cell r="I232" t="str">
            <v>N</v>
          </cell>
          <cell r="J232" t="str">
            <v>N</v>
          </cell>
        </row>
        <row r="233">
          <cell r="B233">
            <v>78531000</v>
          </cell>
          <cell r="C233" t="str">
            <v>N</v>
          </cell>
          <cell r="D233" t="str">
            <v>N</v>
          </cell>
          <cell r="E233" t="str">
            <v>Y</v>
          </cell>
          <cell r="F233" t="str">
            <v>Y</v>
          </cell>
          <cell r="G233" t="str">
            <v>Y</v>
          </cell>
          <cell r="H233" t="str">
            <v>Y</v>
          </cell>
          <cell r="I233" t="str">
            <v>Y</v>
          </cell>
          <cell r="J233" t="str">
            <v>Y</v>
          </cell>
        </row>
        <row r="234">
          <cell r="B234">
            <v>78532000</v>
          </cell>
          <cell r="C234" t="str">
            <v>Y</v>
          </cell>
          <cell r="D234" t="str">
            <v>Y</v>
          </cell>
          <cell r="E234" t="str">
            <v>Y</v>
          </cell>
          <cell r="F234" t="str">
            <v>Y</v>
          </cell>
          <cell r="G234" t="str">
            <v>Y</v>
          </cell>
          <cell r="H234" t="str">
            <v>Y</v>
          </cell>
          <cell r="I234" t="str">
            <v>Y</v>
          </cell>
          <cell r="J234" t="str">
            <v>Y</v>
          </cell>
        </row>
        <row r="235">
          <cell r="B235">
            <v>78533000</v>
          </cell>
          <cell r="C235" t="str">
            <v>N</v>
          </cell>
          <cell r="D235" t="str">
            <v>N</v>
          </cell>
          <cell r="E235" t="str">
            <v>N</v>
          </cell>
          <cell r="F235" t="str">
            <v>N</v>
          </cell>
          <cell r="G235" t="str">
            <v>N</v>
          </cell>
          <cell r="H235" t="str">
            <v>N</v>
          </cell>
          <cell r="I235" t="str">
            <v>N</v>
          </cell>
          <cell r="J235" t="str">
            <v>N</v>
          </cell>
        </row>
        <row r="236">
          <cell r="B236">
            <v>78534000</v>
          </cell>
          <cell r="C236" t="str">
            <v>N</v>
          </cell>
          <cell r="D236" t="str">
            <v>N</v>
          </cell>
          <cell r="E236" t="str">
            <v>N</v>
          </cell>
          <cell r="F236" t="str">
            <v>N</v>
          </cell>
          <cell r="G236" t="str">
            <v>N</v>
          </cell>
          <cell r="H236" t="str">
            <v>N</v>
          </cell>
          <cell r="I236" t="str">
            <v>N</v>
          </cell>
          <cell r="J236" t="str">
            <v>N</v>
          </cell>
        </row>
        <row r="237">
          <cell r="B237">
            <v>78535000</v>
          </cell>
          <cell r="C237" t="str">
            <v>N</v>
          </cell>
          <cell r="D237" t="str">
            <v>N</v>
          </cell>
          <cell r="E237" t="str">
            <v>Y</v>
          </cell>
          <cell r="F237" t="str">
            <v>Y</v>
          </cell>
          <cell r="G237" t="str">
            <v>Y</v>
          </cell>
          <cell r="H237" t="str">
            <v>Y</v>
          </cell>
          <cell r="I237" t="str">
            <v>Y</v>
          </cell>
          <cell r="J237" t="str">
            <v>Y</v>
          </cell>
        </row>
        <row r="238">
          <cell r="B238">
            <v>78536000</v>
          </cell>
          <cell r="C238" t="str">
            <v>N</v>
          </cell>
          <cell r="D238" t="str">
            <v>N</v>
          </cell>
          <cell r="E238" t="str">
            <v>Y</v>
          </cell>
          <cell r="F238" t="str">
            <v>Y</v>
          </cell>
          <cell r="G238" t="str">
            <v>Y</v>
          </cell>
          <cell r="H238" t="str">
            <v>Y</v>
          </cell>
          <cell r="I238" t="str">
            <v>Y</v>
          </cell>
          <cell r="J238" t="str">
            <v>Y</v>
          </cell>
        </row>
        <row r="239">
          <cell r="B239">
            <v>78537000</v>
          </cell>
          <cell r="C239" t="str">
            <v>N</v>
          </cell>
          <cell r="D239" t="str">
            <v>N</v>
          </cell>
          <cell r="E239" t="str">
            <v>N</v>
          </cell>
          <cell r="F239" t="str">
            <v>Y</v>
          </cell>
          <cell r="G239" t="str">
            <v>N</v>
          </cell>
          <cell r="H239" t="str">
            <v>Y</v>
          </cell>
          <cell r="I239" t="str">
            <v>Y</v>
          </cell>
          <cell r="J239" t="str">
            <v>Y</v>
          </cell>
        </row>
        <row r="240">
          <cell r="B240">
            <v>78538000</v>
          </cell>
          <cell r="C240" t="str">
            <v>N</v>
          </cell>
          <cell r="D240" t="str">
            <v>N</v>
          </cell>
          <cell r="E240" t="str">
            <v>N</v>
          </cell>
          <cell r="F240" t="str">
            <v>Y</v>
          </cell>
          <cell r="G240" t="str">
            <v>Y</v>
          </cell>
          <cell r="H240" t="str">
            <v>Y</v>
          </cell>
          <cell r="I240" t="str">
            <v>Y</v>
          </cell>
          <cell r="J240" t="str">
            <v>N</v>
          </cell>
        </row>
        <row r="241">
          <cell r="B241">
            <v>78539000</v>
          </cell>
          <cell r="C241" t="str">
            <v>N</v>
          </cell>
          <cell r="D241" t="str">
            <v>N</v>
          </cell>
          <cell r="E241" t="str">
            <v>N</v>
          </cell>
          <cell r="F241" t="str">
            <v>N</v>
          </cell>
          <cell r="G241" t="str">
            <v>N</v>
          </cell>
          <cell r="H241" t="str">
            <v>N</v>
          </cell>
          <cell r="I241" t="str">
            <v>N</v>
          </cell>
          <cell r="J241" t="str">
            <v>N</v>
          </cell>
        </row>
        <row r="242">
          <cell r="B242">
            <v>78540000</v>
          </cell>
          <cell r="C242" t="str">
            <v>N</v>
          </cell>
          <cell r="D242" t="str">
            <v>N</v>
          </cell>
          <cell r="E242" t="str">
            <v>N</v>
          </cell>
          <cell r="F242" t="str">
            <v>N</v>
          </cell>
          <cell r="G242" t="str">
            <v>N</v>
          </cell>
          <cell r="H242" t="str">
            <v>N</v>
          </cell>
          <cell r="I242" t="str">
            <v>N</v>
          </cell>
          <cell r="J242" t="str">
            <v>N</v>
          </cell>
        </row>
        <row r="243">
          <cell r="B243">
            <v>78541000</v>
          </cell>
          <cell r="C243" t="str">
            <v>Y</v>
          </cell>
          <cell r="D243" t="str">
            <v>Y</v>
          </cell>
          <cell r="E243" t="str">
            <v>Y</v>
          </cell>
          <cell r="F243" t="str">
            <v>Y</v>
          </cell>
          <cell r="G243" t="str">
            <v>Y</v>
          </cell>
          <cell r="H243" t="str">
            <v>Y</v>
          </cell>
          <cell r="I243" t="str">
            <v>Y</v>
          </cell>
          <cell r="J243" t="str">
            <v>Y</v>
          </cell>
        </row>
        <row r="244">
          <cell r="B244">
            <v>78542000</v>
          </cell>
          <cell r="C244" t="str">
            <v>N</v>
          </cell>
          <cell r="D244" t="str">
            <v>N</v>
          </cell>
          <cell r="E244" t="str">
            <v>Y</v>
          </cell>
          <cell r="F244" t="str">
            <v>Y</v>
          </cell>
          <cell r="G244" t="str">
            <v>Y</v>
          </cell>
          <cell r="H244" t="str">
            <v>Y</v>
          </cell>
          <cell r="I244" t="str">
            <v>Y</v>
          </cell>
          <cell r="J244" t="str">
            <v>Y</v>
          </cell>
        </row>
        <row r="245">
          <cell r="B245">
            <v>78544000</v>
          </cell>
          <cell r="C245" t="str">
            <v>N</v>
          </cell>
          <cell r="D245" t="str">
            <v>N</v>
          </cell>
          <cell r="E245" t="str">
            <v>N</v>
          </cell>
          <cell r="F245" t="str">
            <v>N</v>
          </cell>
          <cell r="G245" t="str">
            <v>N</v>
          </cell>
          <cell r="H245" t="str">
            <v>Y</v>
          </cell>
          <cell r="I245" t="str">
            <v>Y</v>
          </cell>
          <cell r="J245" t="str">
            <v>Y</v>
          </cell>
        </row>
        <row r="246">
          <cell r="B246">
            <v>78545000</v>
          </cell>
          <cell r="C246" t="str">
            <v>N</v>
          </cell>
          <cell r="D246" t="str">
            <v>N</v>
          </cell>
          <cell r="E246" t="str">
            <v>N</v>
          </cell>
          <cell r="F246" t="str">
            <v>N</v>
          </cell>
          <cell r="G246" t="str">
            <v>N</v>
          </cell>
          <cell r="H246" t="str">
            <v>N</v>
          </cell>
          <cell r="I246" t="str">
            <v>N</v>
          </cell>
          <cell r="J246" t="str">
            <v>N</v>
          </cell>
        </row>
        <row r="247">
          <cell r="B247">
            <v>78546000</v>
          </cell>
          <cell r="C247" t="str">
            <v>N</v>
          </cell>
          <cell r="D247" t="str">
            <v>Y</v>
          </cell>
          <cell r="E247" t="str">
            <v>Y</v>
          </cell>
          <cell r="F247" t="str">
            <v>Y</v>
          </cell>
          <cell r="G247" t="str">
            <v>Y</v>
          </cell>
          <cell r="H247" t="str">
            <v>Y</v>
          </cell>
          <cell r="I247" t="str">
            <v>Y</v>
          </cell>
          <cell r="J247" t="str">
            <v>Y</v>
          </cell>
        </row>
        <row r="248">
          <cell r="B248">
            <v>78547000</v>
          </cell>
          <cell r="C248" t="str">
            <v>Y</v>
          </cell>
          <cell r="D248" t="str">
            <v>Y</v>
          </cell>
          <cell r="E248" t="str">
            <v>Y</v>
          </cell>
          <cell r="F248" t="str">
            <v>Y</v>
          </cell>
          <cell r="G248" t="str">
            <v>Y</v>
          </cell>
          <cell r="H248" t="str">
            <v>Y</v>
          </cell>
          <cell r="I248" t="str">
            <v>Y</v>
          </cell>
          <cell r="J248" t="str">
            <v>Y</v>
          </cell>
        </row>
        <row r="249">
          <cell r="B249">
            <v>78548000</v>
          </cell>
          <cell r="C249" t="str">
            <v>Y</v>
          </cell>
          <cell r="D249" t="str">
            <v>Y</v>
          </cell>
          <cell r="E249" t="str">
            <v>Y</v>
          </cell>
          <cell r="F249" t="str">
            <v>Y</v>
          </cell>
          <cell r="G249" t="str">
            <v>Y</v>
          </cell>
          <cell r="H249" t="str">
            <v>Y</v>
          </cell>
          <cell r="I249" t="str">
            <v>Y</v>
          </cell>
          <cell r="J249" t="str">
            <v>Y</v>
          </cell>
        </row>
        <row r="250">
          <cell r="B250">
            <v>78549000</v>
          </cell>
          <cell r="C250" t="str">
            <v>N</v>
          </cell>
          <cell r="D250" t="str">
            <v>N</v>
          </cell>
          <cell r="E250" t="str">
            <v>N</v>
          </cell>
          <cell r="F250" t="str">
            <v>N</v>
          </cell>
          <cell r="G250" t="str">
            <v>N</v>
          </cell>
          <cell r="H250" t="str">
            <v>N</v>
          </cell>
          <cell r="I250" t="str">
            <v>N</v>
          </cell>
          <cell r="J250" t="str">
            <v>N</v>
          </cell>
        </row>
        <row r="251">
          <cell r="B251">
            <v>78550000</v>
          </cell>
          <cell r="C251" t="str">
            <v>N</v>
          </cell>
          <cell r="D251" t="str">
            <v>N</v>
          </cell>
          <cell r="E251" t="str">
            <v>Y</v>
          </cell>
          <cell r="F251" t="str">
            <v>Y</v>
          </cell>
          <cell r="G251" t="str">
            <v>Y</v>
          </cell>
          <cell r="H251" t="str">
            <v>Y</v>
          </cell>
          <cell r="I251" t="str">
            <v>Y</v>
          </cell>
          <cell r="J251" t="str">
            <v>Y</v>
          </cell>
        </row>
        <row r="252">
          <cell r="B252">
            <v>78550001</v>
          </cell>
          <cell r="C252" t="str">
            <v>N</v>
          </cell>
          <cell r="D252" t="str">
            <v>N</v>
          </cell>
          <cell r="E252" t="str">
            <v>N</v>
          </cell>
          <cell r="F252" t="str">
            <v>N</v>
          </cell>
          <cell r="G252" t="str">
            <v>N</v>
          </cell>
          <cell r="H252" t="str">
            <v>N</v>
          </cell>
          <cell r="I252" t="str">
            <v>N</v>
          </cell>
          <cell r="J252" t="str">
            <v>N</v>
          </cell>
        </row>
        <row r="253">
          <cell r="B253">
            <v>78551000</v>
          </cell>
          <cell r="C253" t="str">
            <v>N</v>
          </cell>
          <cell r="D253" t="str">
            <v>Y</v>
          </cell>
          <cell r="E253" t="str">
            <v>N</v>
          </cell>
          <cell r="F253" t="str">
            <v>Y</v>
          </cell>
          <cell r="G253" t="str">
            <v>Y</v>
          </cell>
          <cell r="H253" t="str">
            <v>Y</v>
          </cell>
          <cell r="I253" t="str">
            <v>Y</v>
          </cell>
          <cell r="J253" t="str">
            <v>Y</v>
          </cell>
        </row>
        <row r="254">
          <cell r="B254">
            <v>78552000</v>
          </cell>
          <cell r="C254" t="str">
            <v>N</v>
          </cell>
          <cell r="D254" t="str">
            <v>N</v>
          </cell>
          <cell r="E254" t="str">
            <v>N</v>
          </cell>
          <cell r="F254" t="str">
            <v>Y</v>
          </cell>
          <cell r="G254" t="str">
            <v>Y</v>
          </cell>
          <cell r="H254" t="str">
            <v>Y</v>
          </cell>
          <cell r="I254" t="str">
            <v>Y</v>
          </cell>
          <cell r="J254" t="str">
            <v>Y</v>
          </cell>
        </row>
        <row r="255">
          <cell r="B255">
            <v>78553000</v>
          </cell>
          <cell r="C255" t="str">
            <v>N</v>
          </cell>
          <cell r="D255" t="str">
            <v>N</v>
          </cell>
          <cell r="E255" t="str">
            <v>Y</v>
          </cell>
          <cell r="F255" t="str">
            <v>Y</v>
          </cell>
          <cell r="G255" t="str">
            <v>Y</v>
          </cell>
          <cell r="H255" t="str">
            <v>Y</v>
          </cell>
          <cell r="I255" t="str">
            <v>Y</v>
          </cell>
          <cell r="J255" t="str">
            <v>Y</v>
          </cell>
        </row>
        <row r="256">
          <cell r="B256">
            <v>78554000</v>
          </cell>
          <cell r="C256" t="str">
            <v>N</v>
          </cell>
          <cell r="D256" t="str">
            <v>Y</v>
          </cell>
          <cell r="E256" t="str">
            <v>N</v>
          </cell>
          <cell r="F256" t="str">
            <v>N</v>
          </cell>
          <cell r="G256" t="str">
            <v>N</v>
          </cell>
          <cell r="H256" t="str">
            <v>N</v>
          </cell>
          <cell r="I256" t="str">
            <v>N</v>
          </cell>
          <cell r="J256" t="str">
            <v>N</v>
          </cell>
        </row>
        <row r="257">
          <cell r="B257">
            <v>78555000</v>
          </cell>
          <cell r="C257" t="str">
            <v>N</v>
          </cell>
          <cell r="D257" t="str">
            <v>N</v>
          </cell>
          <cell r="E257" t="str">
            <v>Y</v>
          </cell>
          <cell r="F257" t="str">
            <v>Y</v>
          </cell>
          <cell r="G257" t="str">
            <v>N</v>
          </cell>
          <cell r="H257" t="str">
            <v>N</v>
          </cell>
          <cell r="I257" t="str">
            <v>N</v>
          </cell>
          <cell r="J257" t="str">
            <v>N</v>
          </cell>
        </row>
        <row r="258">
          <cell r="B258">
            <v>78556000</v>
          </cell>
          <cell r="C258" t="str">
            <v>N</v>
          </cell>
          <cell r="D258" t="str">
            <v>N</v>
          </cell>
          <cell r="E258" t="str">
            <v>Y</v>
          </cell>
          <cell r="F258" t="str">
            <v>Y</v>
          </cell>
          <cell r="G258" t="str">
            <v>Y</v>
          </cell>
          <cell r="H258" t="str">
            <v>Y</v>
          </cell>
          <cell r="I258" t="str">
            <v>Y</v>
          </cell>
          <cell r="J258" t="str">
            <v>Y</v>
          </cell>
        </row>
        <row r="259">
          <cell r="B259">
            <v>78557000</v>
          </cell>
          <cell r="C259" t="str">
            <v>N</v>
          </cell>
          <cell r="D259" t="str">
            <v>Y</v>
          </cell>
          <cell r="E259" t="str">
            <v>Y</v>
          </cell>
          <cell r="F259" t="str">
            <v>N</v>
          </cell>
          <cell r="G259" t="str">
            <v>N</v>
          </cell>
          <cell r="H259" t="str">
            <v>N</v>
          </cell>
          <cell r="I259" t="str">
            <v>N</v>
          </cell>
          <cell r="J259" t="str">
            <v>N</v>
          </cell>
        </row>
        <row r="260">
          <cell r="B260">
            <v>78558000</v>
          </cell>
          <cell r="C260" t="str">
            <v>N</v>
          </cell>
          <cell r="D260" t="str">
            <v>N</v>
          </cell>
          <cell r="E260" t="str">
            <v>N</v>
          </cell>
          <cell r="F260" t="str">
            <v>Y</v>
          </cell>
          <cell r="G260" t="str">
            <v>Y</v>
          </cell>
          <cell r="H260" t="str">
            <v>Y</v>
          </cell>
          <cell r="I260" t="str">
            <v>Y</v>
          </cell>
          <cell r="J260" t="str">
            <v>Y</v>
          </cell>
        </row>
        <row r="261">
          <cell r="B261">
            <v>78559000</v>
          </cell>
          <cell r="C261" t="str">
            <v>N</v>
          </cell>
          <cell r="D261" t="str">
            <v>Y</v>
          </cell>
          <cell r="E261" t="str">
            <v>Y</v>
          </cell>
          <cell r="F261" t="str">
            <v>Y</v>
          </cell>
          <cell r="G261" t="str">
            <v>Y</v>
          </cell>
          <cell r="H261" t="str">
            <v>Y</v>
          </cell>
          <cell r="I261" t="str">
            <v>Y</v>
          </cell>
          <cell r="J261" t="str">
            <v>Y</v>
          </cell>
        </row>
        <row r="262">
          <cell r="B262">
            <v>78560000</v>
          </cell>
          <cell r="C262" t="str">
            <v>N</v>
          </cell>
          <cell r="D262" t="str">
            <v>Y</v>
          </cell>
          <cell r="E262" t="str">
            <v>Y</v>
          </cell>
          <cell r="F262" t="str">
            <v>Y</v>
          </cell>
          <cell r="G262" t="str">
            <v>Y</v>
          </cell>
          <cell r="H262" t="str">
            <v>Y</v>
          </cell>
          <cell r="I262" t="str">
            <v>Y</v>
          </cell>
          <cell r="J262" t="str">
            <v>Y</v>
          </cell>
        </row>
        <row r="263">
          <cell r="B263">
            <v>78561000</v>
          </cell>
          <cell r="C263" t="str">
            <v>N</v>
          </cell>
          <cell r="D263" t="str">
            <v>N</v>
          </cell>
          <cell r="E263" t="str">
            <v>N</v>
          </cell>
          <cell r="F263" t="str">
            <v>N</v>
          </cell>
          <cell r="G263" t="str">
            <v>N</v>
          </cell>
          <cell r="H263" t="str">
            <v>N</v>
          </cell>
          <cell r="I263" t="str">
            <v>N</v>
          </cell>
          <cell r="J263" t="str">
            <v>N</v>
          </cell>
        </row>
        <row r="264">
          <cell r="B264">
            <v>78562000</v>
          </cell>
          <cell r="C264" t="str">
            <v>N</v>
          </cell>
          <cell r="D264" t="str">
            <v>Y</v>
          </cell>
          <cell r="E264" t="str">
            <v>Y</v>
          </cell>
          <cell r="F264" t="str">
            <v>Y</v>
          </cell>
          <cell r="G264" t="str">
            <v>Y</v>
          </cell>
          <cell r="H264" t="str">
            <v>Y</v>
          </cell>
          <cell r="I264" t="str">
            <v>Y</v>
          </cell>
          <cell r="J264" t="str">
            <v>Y</v>
          </cell>
        </row>
        <row r="265">
          <cell r="B265">
            <v>78564000</v>
          </cell>
          <cell r="C265" t="str">
            <v>N</v>
          </cell>
          <cell r="D265" t="str">
            <v>Y</v>
          </cell>
          <cell r="E265" t="str">
            <v>Y</v>
          </cell>
          <cell r="F265" t="str">
            <v>Y</v>
          </cell>
          <cell r="G265" t="str">
            <v>Y</v>
          </cell>
          <cell r="H265" t="str">
            <v>Y</v>
          </cell>
          <cell r="I265" t="str">
            <v>Y</v>
          </cell>
          <cell r="J265" t="str">
            <v>Y</v>
          </cell>
        </row>
        <row r="266">
          <cell r="B266">
            <v>78565000</v>
          </cell>
          <cell r="C266" t="str">
            <v>N</v>
          </cell>
          <cell r="D266" t="str">
            <v>Y</v>
          </cell>
          <cell r="E266" t="str">
            <v>Y</v>
          </cell>
          <cell r="F266" t="str">
            <v>Y</v>
          </cell>
          <cell r="G266" t="str">
            <v>Y</v>
          </cell>
          <cell r="H266" t="str">
            <v>Y</v>
          </cell>
          <cell r="I266" t="str">
            <v>Y</v>
          </cell>
          <cell r="J266" t="str">
            <v>Y</v>
          </cell>
        </row>
        <row r="267">
          <cell r="B267">
            <v>78566000</v>
          </cell>
          <cell r="C267" t="str">
            <v>N</v>
          </cell>
          <cell r="D267" t="str">
            <v>Y</v>
          </cell>
          <cell r="E267" t="str">
            <v>Y</v>
          </cell>
          <cell r="F267" t="str">
            <v>Y</v>
          </cell>
          <cell r="G267" t="str">
            <v>Y</v>
          </cell>
          <cell r="H267" t="str">
            <v>Y</v>
          </cell>
          <cell r="I267" t="str">
            <v>Y</v>
          </cell>
          <cell r="J267" t="str">
            <v>Y</v>
          </cell>
        </row>
        <row r="268">
          <cell r="B268">
            <v>78567000</v>
          </cell>
          <cell r="C268" t="str">
            <v>N</v>
          </cell>
          <cell r="D268" t="str">
            <v>Y</v>
          </cell>
          <cell r="E268" t="str">
            <v>Y</v>
          </cell>
          <cell r="F268" t="str">
            <v>Y</v>
          </cell>
          <cell r="G268" t="str">
            <v>Y</v>
          </cell>
          <cell r="H268" t="str">
            <v>Y</v>
          </cell>
          <cell r="I268" t="str">
            <v>Y</v>
          </cell>
          <cell r="J268" t="str">
            <v>Y</v>
          </cell>
        </row>
        <row r="269">
          <cell r="B269">
            <v>78569000</v>
          </cell>
          <cell r="C269" t="str">
            <v>N</v>
          </cell>
          <cell r="D269" t="str">
            <v>N</v>
          </cell>
          <cell r="E269" t="str">
            <v>Y</v>
          </cell>
          <cell r="F269" t="str">
            <v>Y</v>
          </cell>
          <cell r="G269" t="str">
            <v>Y</v>
          </cell>
          <cell r="H269" t="str">
            <v>Y</v>
          </cell>
          <cell r="I269" t="str">
            <v>N</v>
          </cell>
          <cell r="J269" t="str">
            <v>N</v>
          </cell>
        </row>
        <row r="270">
          <cell r="B270">
            <v>78570000</v>
          </cell>
          <cell r="C270" t="str">
            <v>N</v>
          </cell>
          <cell r="D270" t="str">
            <v>Y</v>
          </cell>
          <cell r="E270" t="str">
            <v>Y</v>
          </cell>
          <cell r="F270" t="str">
            <v>Y</v>
          </cell>
          <cell r="G270" t="str">
            <v>Y</v>
          </cell>
          <cell r="H270" t="str">
            <v>Y</v>
          </cell>
          <cell r="I270" t="str">
            <v>Y</v>
          </cell>
          <cell r="J270" t="str">
            <v>Y</v>
          </cell>
        </row>
        <row r="271">
          <cell r="B271">
            <v>78571000</v>
          </cell>
          <cell r="C271" t="str">
            <v>N</v>
          </cell>
          <cell r="D271" t="str">
            <v>Y</v>
          </cell>
          <cell r="E271" t="str">
            <v>Y</v>
          </cell>
          <cell r="F271" t="str">
            <v>Y</v>
          </cell>
          <cell r="G271" t="str">
            <v>Y</v>
          </cell>
          <cell r="H271" t="str">
            <v>Y</v>
          </cell>
          <cell r="I271" t="str">
            <v>Y</v>
          </cell>
          <cell r="J271" t="str">
            <v>Y</v>
          </cell>
        </row>
        <row r="272">
          <cell r="B272">
            <v>78575000</v>
          </cell>
          <cell r="C272" t="str">
            <v>N</v>
          </cell>
          <cell r="D272" t="str">
            <v>N</v>
          </cell>
          <cell r="E272" t="str">
            <v>N</v>
          </cell>
          <cell r="F272" t="str">
            <v>N</v>
          </cell>
          <cell r="G272" t="str">
            <v>N</v>
          </cell>
          <cell r="H272" t="str">
            <v>N</v>
          </cell>
          <cell r="I272" t="str">
            <v>N</v>
          </cell>
          <cell r="J272" t="str">
            <v>N</v>
          </cell>
        </row>
        <row r="273">
          <cell r="B273">
            <v>78576000</v>
          </cell>
          <cell r="C273" t="str">
            <v>N</v>
          </cell>
          <cell r="D273" t="str">
            <v>N</v>
          </cell>
          <cell r="E273" t="str">
            <v>N</v>
          </cell>
          <cell r="F273" t="str">
            <v>Y</v>
          </cell>
          <cell r="G273" t="str">
            <v>Y</v>
          </cell>
          <cell r="H273" t="str">
            <v>Y</v>
          </cell>
          <cell r="I273" t="str">
            <v>Y</v>
          </cell>
          <cell r="J273" t="str">
            <v>Y</v>
          </cell>
        </row>
        <row r="274">
          <cell r="B274">
            <v>78577000</v>
          </cell>
          <cell r="C274" t="str">
            <v>N</v>
          </cell>
          <cell r="D274" t="str">
            <v>N</v>
          </cell>
          <cell r="E274" t="str">
            <v>Y</v>
          </cell>
          <cell r="F274" t="str">
            <v>Y</v>
          </cell>
          <cell r="G274" t="str">
            <v>Y</v>
          </cell>
          <cell r="H274" t="str">
            <v>Y</v>
          </cell>
          <cell r="I274" t="str">
            <v>Y</v>
          </cell>
          <cell r="J274" t="str">
            <v>Y</v>
          </cell>
        </row>
        <row r="275">
          <cell r="B275">
            <v>78578000</v>
          </cell>
          <cell r="C275" t="str">
            <v>N</v>
          </cell>
          <cell r="D275" t="str">
            <v>N</v>
          </cell>
          <cell r="E275" t="str">
            <v>N</v>
          </cell>
          <cell r="F275" t="str">
            <v>Y</v>
          </cell>
          <cell r="G275" t="str">
            <v>Y</v>
          </cell>
          <cell r="H275" t="str">
            <v>Y</v>
          </cell>
          <cell r="I275" t="str">
            <v>Y</v>
          </cell>
          <cell r="J275" t="str">
            <v>Y</v>
          </cell>
        </row>
        <row r="276">
          <cell r="B276">
            <v>78580000</v>
          </cell>
          <cell r="C276" t="str">
            <v>N</v>
          </cell>
          <cell r="D276" t="str">
            <v>N</v>
          </cell>
          <cell r="E276" t="str">
            <v>N</v>
          </cell>
          <cell r="F276" t="str">
            <v>Y</v>
          </cell>
          <cell r="G276" t="str">
            <v>Y</v>
          </cell>
          <cell r="H276" t="str">
            <v>Y</v>
          </cell>
          <cell r="I276" t="str">
            <v>Y</v>
          </cell>
          <cell r="J276" t="str">
            <v>Y</v>
          </cell>
        </row>
        <row r="277">
          <cell r="B277">
            <v>78582000</v>
          </cell>
          <cell r="C277" t="str">
            <v>N</v>
          </cell>
          <cell r="D277" t="str">
            <v>N</v>
          </cell>
          <cell r="E277" t="str">
            <v>N</v>
          </cell>
          <cell r="F277" t="str">
            <v>N</v>
          </cell>
          <cell r="G277" t="str">
            <v>N</v>
          </cell>
          <cell r="H277" t="str">
            <v>N</v>
          </cell>
          <cell r="I277" t="str">
            <v>N</v>
          </cell>
          <cell r="J277" t="str">
            <v>N</v>
          </cell>
        </row>
        <row r="278">
          <cell r="B278">
            <v>78585000</v>
          </cell>
          <cell r="C278" t="str">
            <v>N</v>
          </cell>
          <cell r="D278" t="str">
            <v>N</v>
          </cell>
          <cell r="E278" t="str">
            <v>N</v>
          </cell>
          <cell r="F278" t="str">
            <v>Y</v>
          </cell>
          <cell r="G278" t="str">
            <v>Y</v>
          </cell>
          <cell r="H278" t="str">
            <v>N</v>
          </cell>
          <cell r="I278" t="str">
            <v>Y</v>
          </cell>
          <cell r="J278" t="str">
            <v>Y</v>
          </cell>
        </row>
        <row r="279">
          <cell r="B279">
            <v>78587000</v>
          </cell>
          <cell r="C279" t="str">
            <v>N</v>
          </cell>
          <cell r="D279" t="str">
            <v>N</v>
          </cell>
          <cell r="E279" t="str">
            <v>N</v>
          </cell>
          <cell r="F279" t="str">
            <v>N</v>
          </cell>
          <cell r="G279" t="str">
            <v>Y</v>
          </cell>
          <cell r="H279" t="str">
            <v>Y</v>
          </cell>
          <cell r="I279" t="str">
            <v>Y</v>
          </cell>
          <cell r="J279" t="str">
            <v>Y</v>
          </cell>
        </row>
        <row r="280">
          <cell r="B280">
            <v>78588000</v>
          </cell>
          <cell r="C280" t="str">
            <v>N</v>
          </cell>
          <cell r="D280" t="str">
            <v>N</v>
          </cell>
          <cell r="E280" t="str">
            <v>N</v>
          </cell>
          <cell r="F280" t="str">
            <v>N</v>
          </cell>
          <cell r="G280" t="str">
            <v>N</v>
          </cell>
          <cell r="H280" t="str">
            <v>N</v>
          </cell>
          <cell r="I280" t="str">
            <v>N</v>
          </cell>
          <cell r="J280" t="str">
            <v>N</v>
          </cell>
        </row>
        <row r="281">
          <cell r="B281">
            <v>78589000</v>
          </cell>
          <cell r="C281" t="str">
            <v>N</v>
          </cell>
          <cell r="D281" t="str">
            <v>N</v>
          </cell>
          <cell r="E281" t="str">
            <v>N</v>
          </cell>
          <cell r="F281" t="str">
            <v>N</v>
          </cell>
          <cell r="G281" t="str">
            <v>N</v>
          </cell>
          <cell r="H281" t="str">
            <v>N</v>
          </cell>
          <cell r="I281" t="str">
            <v>N</v>
          </cell>
          <cell r="J281" t="str">
            <v>N</v>
          </cell>
        </row>
        <row r="282">
          <cell r="B282">
            <v>78590000</v>
          </cell>
          <cell r="C282" t="str">
            <v>N</v>
          </cell>
          <cell r="D282" t="str">
            <v>N</v>
          </cell>
          <cell r="E282" t="str">
            <v>N</v>
          </cell>
          <cell r="F282" t="str">
            <v>N</v>
          </cell>
          <cell r="G282" t="str">
            <v>N</v>
          </cell>
          <cell r="H282" t="str">
            <v>N</v>
          </cell>
          <cell r="I282" t="str">
            <v>N</v>
          </cell>
          <cell r="J282" t="str">
            <v>N</v>
          </cell>
        </row>
        <row r="283">
          <cell r="B283">
            <v>78591000</v>
          </cell>
          <cell r="C283" t="str">
            <v>N</v>
          </cell>
          <cell r="D283" t="str">
            <v>N</v>
          </cell>
          <cell r="E283" t="str">
            <v>N</v>
          </cell>
          <cell r="F283" t="str">
            <v>N</v>
          </cell>
          <cell r="G283" t="str">
            <v>N</v>
          </cell>
          <cell r="H283" t="str">
            <v>N</v>
          </cell>
          <cell r="I283" t="str">
            <v>N</v>
          </cell>
          <cell r="J283" t="str">
            <v>N</v>
          </cell>
        </row>
        <row r="284">
          <cell r="B284">
            <v>78592000</v>
          </cell>
          <cell r="C284" t="str">
            <v>N</v>
          </cell>
          <cell r="D284" t="str">
            <v>N</v>
          </cell>
          <cell r="E284" t="str">
            <v>N</v>
          </cell>
          <cell r="F284" t="str">
            <v>Y</v>
          </cell>
          <cell r="G284" t="str">
            <v>Y</v>
          </cell>
          <cell r="H284" t="str">
            <v>Y</v>
          </cell>
          <cell r="I284" t="str">
            <v>Y</v>
          </cell>
          <cell r="J284" t="str">
            <v>Y</v>
          </cell>
        </row>
        <row r="285">
          <cell r="B285">
            <v>78595000</v>
          </cell>
          <cell r="C285" t="str">
            <v>N</v>
          </cell>
          <cell r="D285" t="str">
            <v>N</v>
          </cell>
          <cell r="E285" t="str">
            <v>N</v>
          </cell>
          <cell r="F285" t="str">
            <v>N</v>
          </cell>
          <cell r="G285" t="str">
            <v>N</v>
          </cell>
          <cell r="H285" t="str">
            <v>N</v>
          </cell>
          <cell r="I285" t="str">
            <v>N</v>
          </cell>
          <cell r="J285" t="str">
            <v>N</v>
          </cell>
        </row>
        <row r="286">
          <cell r="B286">
            <v>78596000</v>
          </cell>
          <cell r="C286" t="str">
            <v>N</v>
          </cell>
          <cell r="D286" t="str">
            <v>N</v>
          </cell>
          <cell r="E286" t="str">
            <v>N</v>
          </cell>
          <cell r="F286" t="str">
            <v>N</v>
          </cell>
          <cell r="G286" t="str">
            <v>N</v>
          </cell>
          <cell r="H286" t="str">
            <v>N</v>
          </cell>
          <cell r="I286" t="str">
            <v>N</v>
          </cell>
          <cell r="J286" t="str">
            <v>N</v>
          </cell>
        </row>
        <row r="287">
          <cell r="B287">
            <v>78597000</v>
          </cell>
          <cell r="C287" t="str">
            <v>N</v>
          </cell>
          <cell r="D287" t="str">
            <v>N</v>
          </cell>
          <cell r="E287" t="str">
            <v>N</v>
          </cell>
          <cell r="F287" t="str">
            <v>N</v>
          </cell>
          <cell r="G287" t="str">
            <v>N</v>
          </cell>
          <cell r="H287" t="str">
            <v>N</v>
          </cell>
          <cell r="I287" t="str">
            <v>N</v>
          </cell>
          <cell r="J287" t="str">
            <v>N</v>
          </cell>
        </row>
        <row r="288">
          <cell r="B288">
            <v>78598000</v>
          </cell>
          <cell r="C288" t="str">
            <v>N</v>
          </cell>
          <cell r="D288" t="str">
            <v>N</v>
          </cell>
          <cell r="E288" t="str">
            <v>N</v>
          </cell>
          <cell r="F288" t="str">
            <v>N</v>
          </cell>
          <cell r="G288" t="str">
            <v>N</v>
          </cell>
          <cell r="H288" t="str">
            <v>N</v>
          </cell>
          <cell r="I288" t="str">
            <v>N</v>
          </cell>
          <cell r="J288" t="str">
            <v>N</v>
          </cell>
        </row>
        <row r="289">
          <cell r="B289">
            <v>78599000</v>
          </cell>
          <cell r="C289" t="str">
            <v>N</v>
          </cell>
          <cell r="D289" t="str">
            <v>N</v>
          </cell>
          <cell r="E289" t="str">
            <v>N</v>
          </cell>
          <cell r="F289" t="str">
            <v>Y</v>
          </cell>
          <cell r="G289" t="str">
            <v>Y</v>
          </cell>
          <cell r="H289" t="str">
            <v>Y</v>
          </cell>
          <cell r="I289" t="str">
            <v>Y</v>
          </cell>
          <cell r="J289" t="str">
            <v>Y</v>
          </cell>
        </row>
        <row r="290">
          <cell r="B290">
            <v>78603000</v>
          </cell>
          <cell r="C290" t="str">
            <v>Y</v>
          </cell>
          <cell r="D290" t="str">
            <v>Y</v>
          </cell>
          <cell r="E290" t="str">
            <v>Y</v>
          </cell>
          <cell r="F290" t="str">
            <v>Y</v>
          </cell>
          <cell r="G290" t="str">
            <v>Y</v>
          </cell>
          <cell r="H290" t="str">
            <v>N</v>
          </cell>
          <cell r="I290" t="str">
            <v>N</v>
          </cell>
          <cell r="J290" t="str">
            <v>N</v>
          </cell>
        </row>
        <row r="291">
          <cell r="B291">
            <v>78604000</v>
          </cell>
          <cell r="C291" t="str">
            <v>N</v>
          </cell>
          <cell r="D291" t="str">
            <v>Y</v>
          </cell>
          <cell r="E291" t="str">
            <v>Y</v>
          </cell>
          <cell r="F291" t="str">
            <v>Y</v>
          </cell>
          <cell r="G291" t="str">
            <v>Y</v>
          </cell>
          <cell r="H291" t="str">
            <v>Y</v>
          </cell>
          <cell r="I291" t="str">
            <v>Y</v>
          </cell>
          <cell r="J291" t="str">
            <v>Y</v>
          </cell>
        </row>
        <row r="292">
          <cell r="B292">
            <v>78608000</v>
          </cell>
          <cell r="C292" t="str">
            <v>Y</v>
          </cell>
          <cell r="D292" t="str">
            <v>Y</v>
          </cell>
          <cell r="E292" t="str">
            <v>Y</v>
          </cell>
          <cell r="F292" t="str">
            <v>Y</v>
          </cell>
          <cell r="G292" t="str">
            <v>Y</v>
          </cell>
          <cell r="H292" t="str">
            <v>Y</v>
          </cell>
          <cell r="I292" t="str">
            <v>Y</v>
          </cell>
          <cell r="J292" t="str">
            <v>Y</v>
          </cell>
        </row>
        <row r="293">
          <cell r="B293">
            <v>78609000</v>
          </cell>
          <cell r="C293" t="str">
            <v>N</v>
          </cell>
          <cell r="D293" t="str">
            <v>N</v>
          </cell>
          <cell r="E293" t="str">
            <v>N</v>
          </cell>
          <cell r="F293" t="str">
            <v>N</v>
          </cell>
          <cell r="G293" t="str">
            <v>N</v>
          </cell>
          <cell r="H293" t="str">
            <v>N</v>
          </cell>
          <cell r="I293" t="str">
            <v>N</v>
          </cell>
          <cell r="J293" t="str">
            <v>N</v>
          </cell>
        </row>
        <row r="294">
          <cell r="B294">
            <v>78611000</v>
          </cell>
          <cell r="C294" t="str">
            <v>Y</v>
          </cell>
          <cell r="D294" t="str">
            <v>Y</v>
          </cell>
          <cell r="E294" t="str">
            <v>Y</v>
          </cell>
          <cell r="F294" t="str">
            <v>Y</v>
          </cell>
          <cell r="G294" t="str">
            <v>Y</v>
          </cell>
          <cell r="H294" t="str">
            <v>Y</v>
          </cell>
          <cell r="I294" t="str">
            <v>Y</v>
          </cell>
          <cell r="J294" t="str">
            <v>Y</v>
          </cell>
        </row>
        <row r="295">
          <cell r="B295">
            <v>78613000</v>
          </cell>
          <cell r="C295" t="str">
            <v>Y</v>
          </cell>
          <cell r="D295" t="str">
            <v>Y</v>
          </cell>
          <cell r="E295" t="str">
            <v>Y</v>
          </cell>
          <cell r="F295" t="str">
            <v>Y</v>
          </cell>
          <cell r="G295" t="str">
            <v>Y</v>
          </cell>
          <cell r="H295" t="str">
            <v>Y</v>
          </cell>
          <cell r="I295" t="str">
            <v>Y</v>
          </cell>
          <cell r="J295" t="str">
            <v>Y</v>
          </cell>
        </row>
        <row r="296">
          <cell r="B296">
            <v>78614000</v>
          </cell>
          <cell r="C296" t="str">
            <v>Y</v>
          </cell>
          <cell r="D296" t="str">
            <v>Y</v>
          </cell>
          <cell r="E296" t="str">
            <v>Y</v>
          </cell>
          <cell r="F296" t="str">
            <v>Y</v>
          </cell>
          <cell r="G296" t="str">
            <v>Y</v>
          </cell>
          <cell r="H296" t="str">
            <v>N</v>
          </cell>
          <cell r="I296" t="str">
            <v>N</v>
          </cell>
          <cell r="J296" t="str">
            <v>N</v>
          </cell>
        </row>
        <row r="297">
          <cell r="B297">
            <v>78621000</v>
          </cell>
          <cell r="C297" t="str">
            <v>Y</v>
          </cell>
          <cell r="D297" t="str">
            <v>Y</v>
          </cell>
          <cell r="E297" t="str">
            <v>Y</v>
          </cell>
          <cell r="F297" t="str">
            <v>Y</v>
          </cell>
          <cell r="G297" t="str">
            <v>Y</v>
          </cell>
          <cell r="H297" t="str">
            <v>Y</v>
          </cell>
          <cell r="I297" t="str">
            <v>Y</v>
          </cell>
          <cell r="J297" t="str">
            <v>N</v>
          </cell>
        </row>
        <row r="298">
          <cell r="B298">
            <v>78628000</v>
          </cell>
          <cell r="C298" t="str">
            <v>N</v>
          </cell>
          <cell r="D298" t="str">
            <v>N</v>
          </cell>
          <cell r="E298" t="str">
            <v>N</v>
          </cell>
          <cell r="F298" t="str">
            <v>N</v>
          </cell>
          <cell r="G298" t="str">
            <v>N</v>
          </cell>
          <cell r="H298" t="str">
            <v>N</v>
          </cell>
          <cell r="I298" t="str">
            <v>N</v>
          </cell>
          <cell r="J298" t="str">
            <v>N</v>
          </cell>
        </row>
        <row r="299">
          <cell r="B299">
            <v>78630000</v>
          </cell>
          <cell r="C299" t="str">
            <v>Y</v>
          </cell>
          <cell r="D299" t="str">
            <v>Y</v>
          </cell>
          <cell r="E299" t="str">
            <v>Y</v>
          </cell>
          <cell r="F299" t="str">
            <v>N</v>
          </cell>
          <cell r="G299" t="str">
            <v>N</v>
          </cell>
          <cell r="H299" t="str">
            <v>Y</v>
          </cell>
          <cell r="I299" t="str">
            <v>N</v>
          </cell>
          <cell r="J299" t="str">
            <v>N</v>
          </cell>
        </row>
        <row r="300">
          <cell r="B300">
            <v>78634000</v>
          </cell>
          <cell r="C300" t="str">
            <v>N</v>
          </cell>
          <cell r="D300" t="str">
            <v>N</v>
          </cell>
          <cell r="E300" t="str">
            <v>N</v>
          </cell>
          <cell r="F300" t="str">
            <v>N</v>
          </cell>
          <cell r="G300" t="str">
            <v>Y</v>
          </cell>
          <cell r="H300" t="str">
            <v>Y</v>
          </cell>
          <cell r="I300" t="str">
            <v>Y</v>
          </cell>
          <cell r="J300" t="str">
            <v>Y</v>
          </cell>
        </row>
        <row r="301">
          <cell r="B301">
            <v>78647000</v>
          </cell>
          <cell r="C301" t="str">
            <v>Y</v>
          </cell>
          <cell r="D301" t="str">
            <v>Y</v>
          </cell>
          <cell r="E301" t="str">
            <v>Y</v>
          </cell>
          <cell r="F301" t="str">
            <v>Y</v>
          </cell>
          <cell r="G301" t="str">
            <v>Y</v>
          </cell>
          <cell r="H301" t="str">
            <v>Y</v>
          </cell>
          <cell r="I301" t="str">
            <v>Y</v>
          </cell>
          <cell r="J301" t="str">
            <v>Y</v>
          </cell>
        </row>
        <row r="302">
          <cell r="B302">
            <v>78656000</v>
          </cell>
          <cell r="C302" t="str">
            <v>N</v>
          </cell>
          <cell r="D302" t="str">
            <v>Y</v>
          </cell>
          <cell r="E302" t="str">
            <v>Y</v>
          </cell>
          <cell r="F302" t="str">
            <v>Y</v>
          </cell>
          <cell r="G302" t="str">
            <v>Y</v>
          </cell>
          <cell r="H302" t="str">
            <v>Y</v>
          </cell>
          <cell r="I302" t="str">
            <v>Y</v>
          </cell>
          <cell r="J302" t="str">
            <v>Y</v>
          </cell>
        </row>
        <row r="303">
          <cell r="B303">
            <v>78663000</v>
          </cell>
          <cell r="C303" t="str">
            <v>N</v>
          </cell>
          <cell r="D303" t="str">
            <v>N</v>
          </cell>
          <cell r="E303" t="str">
            <v>N</v>
          </cell>
          <cell r="F303" t="str">
            <v>N</v>
          </cell>
          <cell r="G303" t="str">
            <v>N</v>
          </cell>
          <cell r="H303" t="str">
            <v>N</v>
          </cell>
          <cell r="I303" t="str">
            <v>N</v>
          </cell>
          <cell r="J303" t="str">
            <v>N</v>
          </cell>
        </row>
        <row r="304">
          <cell r="B304">
            <v>78664000</v>
          </cell>
          <cell r="C304" t="str">
            <v>Y</v>
          </cell>
          <cell r="D304" t="str">
            <v>Y</v>
          </cell>
          <cell r="E304" t="str">
            <v>Y</v>
          </cell>
          <cell r="F304" t="str">
            <v>Y</v>
          </cell>
          <cell r="G304" t="str">
            <v>Y</v>
          </cell>
          <cell r="H304" t="str">
            <v>Y</v>
          </cell>
          <cell r="I304" t="str">
            <v>Y</v>
          </cell>
          <cell r="J304" t="str">
            <v>Y</v>
          </cell>
        </row>
        <row r="305">
          <cell r="B305">
            <v>78665000</v>
          </cell>
          <cell r="C305" t="str">
            <v>Y</v>
          </cell>
          <cell r="D305" t="str">
            <v>Y</v>
          </cell>
          <cell r="E305" t="str">
            <v>Y</v>
          </cell>
          <cell r="F305" t="str">
            <v>Y</v>
          </cell>
          <cell r="G305" t="str">
            <v>Y</v>
          </cell>
          <cell r="H305" t="str">
            <v>Y</v>
          </cell>
          <cell r="I305" t="str">
            <v>Y</v>
          </cell>
          <cell r="J305" t="str">
            <v>Y</v>
          </cell>
        </row>
        <row r="306">
          <cell r="B306">
            <v>78670000</v>
          </cell>
          <cell r="C306" t="str">
            <v>Y</v>
          </cell>
          <cell r="D306" t="str">
            <v>Y</v>
          </cell>
          <cell r="E306" t="str">
            <v>Y</v>
          </cell>
          <cell r="F306" t="str">
            <v>Y</v>
          </cell>
          <cell r="G306" t="str">
            <v>Y</v>
          </cell>
          <cell r="H306" t="str">
            <v>Y</v>
          </cell>
          <cell r="I306" t="str">
            <v>N</v>
          </cell>
          <cell r="J306" t="str">
            <v>N</v>
          </cell>
        </row>
        <row r="307">
          <cell r="B307">
            <v>78685000</v>
          </cell>
          <cell r="C307" t="str">
            <v>Y</v>
          </cell>
          <cell r="D307" t="str">
            <v>Y</v>
          </cell>
          <cell r="E307" t="str">
            <v>Y</v>
          </cell>
          <cell r="F307" t="str">
            <v>Y</v>
          </cell>
          <cell r="G307" t="str">
            <v>Y</v>
          </cell>
          <cell r="H307" t="str">
            <v>Y</v>
          </cell>
          <cell r="I307" t="str">
            <v>Y</v>
          </cell>
          <cell r="J307" t="str">
            <v>Y</v>
          </cell>
        </row>
        <row r="308">
          <cell r="B308">
            <v>78688000</v>
          </cell>
          <cell r="C308" t="str">
            <v>N</v>
          </cell>
          <cell r="D308" t="str">
            <v>N</v>
          </cell>
          <cell r="E308" t="str">
            <v>Y</v>
          </cell>
          <cell r="F308" t="str">
            <v>Y</v>
          </cell>
          <cell r="G308" t="str">
            <v>Y</v>
          </cell>
          <cell r="H308" t="str">
            <v>N</v>
          </cell>
          <cell r="I308" t="str">
            <v>Y</v>
          </cell>
          <cell r="J308" t="str">
            <v>Y</v>
          </cell>
        </row>
        <row r="309">
          <cell r="B309">
            <v>78701000</v>
          </cell>
          <cell r="C309" t="str">
            <v>Y</v>
          </cell>
          <cell r="D309" t="str">
            <v>Y</v>
          </cell>
          <cell r="E309" t="str">
            <v>Y</v>
          </cell>
          <cell r="F309" t="str">
            <v>Y</v>
          </cell>
          <cell r="G309" t="str">
            <v>Y</v>
          </cell>
          <cell r="H309" t="str">
            <v>Y</v>
          </cell>
          <cell r="I309" t="str">
            <v>Y</v>
          </cell>
          <cell r="J309" t="str">
            <v>Y</v>
          </cell>
        </row>
        <row r="310">
          <cell r="B310">
            <v>78702000</v>
          </cell>
          <cell r="C310" t="str">
            <v>N</v>
          </cell>
          <cell r="D310" t="str">
            <v>Y</v>
          </cell>
          <cell r="E310" t="str">
            <v>N</v>
          </cell>
          <cell r="F310" t="str">
            <v>N</v>
          </cell>
          <cell r="G310" t="str">
            <v>N</v>
          </cell>
          <cell r="H310" t="str">
            <v>N</v>
          </cell>
          <cell r="I310" t="str">
            <v>N</v>
          </cell>
          <cell r="J310" t="str">
            <v>N</v>
          </cell>
        </row>
        <row r="311">
          <cell r="B311">
            <v>78704000</v>
          </cell>
          <cell r="C311" t="str">
            <v>N</v>
          </cell>
          <cell r="D311" t="str">
            <v>N</v>
          </cell>
          <cell r="E311" t="str">
            <v>Y</v>
          </cell>
          <cell r="F311" t="str">
            <v>Y</v>
          </cell>
          <cell r="G311" t="str">
            <v>Y</v>
          </cell>
          <cell r="H311" t="str">
            <v>Y</v>
          </cell>
          <cell r="I311" t="str">
            <v>N</v>
          </cell>
          <cell r="J311" t="str">
            <v>N</v>
          </cell>
        </row>
        <row r="312">
          <cell r="B312">
            <v>78705000</v>
          </cell>
          <cell r="C312" t="str">
            <v>N</v>
          </cell>
          <cell r="D312" t="str">
            <v>N</v>
          </cell>
          <cell r="E312" t="str">
            <v>N</v>
          </cell>
          <cell r="F312" t="str">
            <v>N</v>
          </cell>
          <cell r="G312" t="str">
            <v>Y</v>
          </cell>
          <cell r="H312" t="str">
            <v>Y</v>
          </cell>
          <cell r="I312" t="str">
            <v>Y</v>
          </cell>
          <cell r="J312" t="str">
            <v>Y</v>
          </cell>
        </row>
        <row r="313">
          <cell r="B313">
            <v>78707000</v>
          </cell>
          <cell r="C313" t="str">
            <v>N</v>
          </cell>
          <cell r="D313" t="str">
            <v>N</v>
          </cell>
          <cell r="E313" t="str">
            <v>N</v>
          </cell>
          <cell r="F313" t="str">
            <v>N</v>
          </cell>
          <cell r="G313" t="str">
            <v>N</v>
          </cell>
          <cell r="H313" t="str">
            <v>Y</v>
          </cell>
          <cell r="I313" t="str">
            <v>N</v>
          </cell>
          <cell r="J313" t="str">
            <v>N</v>
          </cell>
        </row>
        <row r="314">
          <cell r="B314">
            <v>78708000</v>
          </cell>
          <cell r="C314" t="str">
            <v>Y</v>
          </cell>
          <cell r="D314" t="str">
            <v>Y</v>
          </cell>
          <cell r="E314" t="str">
            <v>Y</v>
          </cell>
          <cell r="F314" t="str">
            <v>Y</v>
          </cell>
          <cell r="G314" t="str">
            <v>Y</v>
          </cell>
          <cell r="H314" t="str">
            <v>Y</v>
          </cell>
          <cell r="I314" t="str">
            <v>Y</v>
          </cell>
          <cell r="J314" t="str">
            <v>Y</v>
          </cell>
        </row>
        <row r="315">
          <cell r="B315">
            <v>78711000</v>
          </cell>
          <cell r="C315" t="str">
            <v>Y</v>
          </cell>
          <cell r="D315" t="str">
            <v>Y</v>
          </cell>
          <cell r="E315" t="str">
            <v>Y</v>
          </cell>
          <cell r="F315" t="str">
            <v>Y</v>
          </cell>
          <cell r="G315" t="str">
            <v>Y</v>
          </cell>
          <cell r="H315" t="str">
            <v>Y</v>
          </cell>
          <cell r="I315" t="str">
            <v>Y</v>
          </cell>
          <cell r="J315" t="str">
            <v>Y</v>
          </cell>
        </row>
        <row r="316">
          <cell r="B316">
            <v>78712000</v>
          </cell>
          <cell r="C316" t="str">
            <v>N</v>
          </cell>
          <cell r="D316" t="str">
            <v>N</v>
          </cell>
          <cell r="E316" t="str">
            <v>N</v>
          </cell>
          <cell r="F316" t="str">
            <v>N</v>
          </cell>
          <cell r="G316" t="str">
            <v>N</v>
          </cell>
          <cell r="H316" t="str">
            <v>N</v>
          </cell>
          <cell r="I316" t="str">
            <v>N</v>
          </cell>
          <cell r="J316" t="str">
            <v>N</v>
          </cell>
        </row>
        <row r="317">
          <cell r="B317">
            <v>78714000</v>
          </cell>
          <cell r="C317" t="str">
            <v>Y</v>
          </cell>
          <cell r="D317" t="str">
            <v>Y</v>
          </cell>
          <cell r="E317" t="str">
            <v>Y</v>
          </cell>
          <cell r="F317" t="str">
            <v>Y</v>
          </cell>
          <cell r="G317" t="str">
            <v>Y</v>
          </cell>
          <cell r="H317" t="str">
            <v>Y</v>
          </cell>
          <cell r="I317" t="str">
            <v>Y</v>
          </cell>
          <cell r="J317" t="str">
            <v>Y</v>
          </cell>
        </row>
        <row r="318">
          <cell r="B318">
            <v>78715000</v>
          </cell>
          <cell r="C318" t="str">
            <v>N</v>
          </cell>
          <cell r="D318" t="str">
            <v>N</v>
          </cell>
          <cell r="E318" t="str">
            <v>N</v>
          </cell>
          <cell r="F318" t="str">
            <v>N</v>
          </cell>
          <cell r="G318" t="str">
            <v>N</v>
          </cell>
          <cell r="H318" t="str">
            <v>N</v>
          </cell>
          <cell r="I318" t="str">
            <v>N</v>
          </cell>
          <cell r="J318" t="str">
            <v>N</v>
          </cell>
        </row>
        <row r="319">
          <cell r="B319">
            <v>78717000</v>
          </cell>
          <cell r="C319" t="str">
            <v>Y</v>
          </cell>
          <cell r="D319" t="str">
            <v>Y</v>
          </cell>
          <cell r="E319" t="str">
            <v>Y</v>
          </cell>
          <cell r="F319" t="str">
            <v>N</v>
          </cell>
          <cell r="G319" t="str">
            <v>Y</v>
          </cell>
          <cell r="H319" t="str">
            <v>Y</v>
          </cell>
          <cell r="I319" t="str">
            <v>Y</v>
          </cell>
          <cell r="J319" t="str">
            <v>Y</v>
          </cell>
        </row>
        <row r="320">
          <cell r="B320">
            <v>78718000</v>
          </cell>
          <cell r="C320" t="str">
            <v>Y</v>
          </cell>
          <cell r="D320" t="str">
            <v>Y</v>
          </cell>
          <cell r="E320" t="str">
            <v>Y</v>
          </cell>
          <cell r="F320" t="str">
            <v>Y</v>
          </cell>
          <cell r="G320" t="str">
            <v>Y</v>
          </cell>
          <cell r="H320" t="str">
            <v>Y</v>
          </cell>
          <cell r="I320" t="str">
            <v>Y</v>
          </cell>
          <cell r="J320" t="str">
            <v>Y</v>
          </cell>
        </row>
        <row r="321">
          <cell r="B321">
            <v>78722000</v>
          </cell>
          <cell r="C321" t="str">
            <v>N</v>
          </cell>
          <cell r="D321" t="str">
            <v>N</v>
          </cell>
          <cell r="E321" t="str">
            <v>N</v>
          </cell>
          <cell r="F321" t="str">
            <v>N</v>
          </cell>
          <cell r="G321" t="str">
            <v>N</v>
          </cell>
          <cell r="H321" t="str">
            <v>N</v>
          </cell>
          <cell r="I321" t="str">
            <v>N</v>
          </cell>
          <cell r="J321" t="str">
            <v>N</v>
          </cell>
        </row>
        <row r="322">
          <cell r="B322">
            <v>78723000</v>
          </cell>
          <cell r="C322" t="str">
            <v>Y</v>
          </cell>
          <cell r="D322" t="str">
            <v>Y</v>
          </cell>
          <cell r="E322" t="str">
            <v>Y</v>
          </cell>
          <cell r="F322" t="str">
            <v>Y</v>
          </cell>
          <cell r="G322" t="str">
            <v>Y</v>
          </cell>
          <cell r="H322" t="str">
            <v>Y</v>
          </cell>
          <cell r="I322" t="str">
            <v>Y</v>
          </cell>
          <cell r="J322" t="str">
            <v>Y</v>
          </cell>
        </row>
        <row r="323">
          <cell r="B323">
            <v>78725000</v>
          </cell>
          <cell r="C323" t="str">
            <v>N</v>
          </cell>
          <cell r="D323" t="str">
            <v>N</v>
          </cell>
          <cell r="E323" t="str">
            <v>N</v>
          </cell>
          <cell r="F323" t="str">
            <v>N</v>
          </cell>
          <cell r="G323" t="str">
            <v>N</v>
          </cell>
          <cell r="H323" t="str">
            <v>N</v>
          </cell>
          <cell r="I323" t="str">
            <v>Y</v>
          </cell>
          <cell r="J323" t="str">
            <v>Y</v>
          </cell>
        </row>
        <row r="324">
          <cell r="B324">
            <v>78731000</v>
          </cell>
          <cell r="C324" t="str">
            <v>N</v>
          </cell>
          <cell r="D324" t="str">
            <v>Y</v>
          </cell>
          <cell r="E324" t="str">
            <v>Y</v>
          </cell>
          <cell r="F324" t="str">
            <v>N</v>
          </cell>
          <cell r="G324" t="str">
            <v>N</v>
          </cell>
          <cell r="H324" t="str">
            <v>N</v>
          </cell>
          <cell r="I324" t="str">
            <v>N</v>
          </cell>
          <cell r="J324" t="str">
            <v>N</v>
          </cell>
        </row>
        <row r="325">
          <cell r="B325">
            <v>78733000</v>
          </cell>
          <cell r="C325" t="str">
            <v>N</v>
          </cell>
          <cell r="D325" t="str">
            <v>N</v>
          </cell>
          <cell r="E325" t="str">
            <v>N</v>
          </cell>
          <cell r="F325" t="str">
            <v>N</v>
          </cell>
          <cell r="G325" t="str">
            <v>N</v>
          </cell>
          <cell r="H325" t="str">
            <v>N</v>
          </cell>
          <cell r="I325" t="str">
            <v>N</v>
          </cell>
          <cell r="J325" t="str">
            <v>N</v>
          </cell>
        </row>
        <row r="326">
          <cell r="B326">
            <v>78734000</v>
          </cell>
          <cell r="C326" t="str">
            <v>N</v>
          </cell>
          <cell r="D326" t="str">
            <v>Y</v>
          </cell>
          <cell r="E326" t="str">
            <v>N</v>
          </cell>
          <cell r="F326" t="str">
            <v>N</v>
          </cell>
          <cell r="G326" t="str">
            <v>N</v>
          </cell>
          <cell r="H326" t="str">
            <v>N</v>
          </cell>
          <cell r="I326" t="str">
            <v>N</v>
          </cell>
          <cell r="J326" t="str">
            <v>N</v>
          </cell>
        </row>
        <row r="327">
          <cell r="B327">
            <v>78735000</v>
          </cell>
          <cell r="C327" t="str">
            <v>Y</v>
          </cell>
          <cell r="D327" t="str">
            <v>Y</v>
          </cell>
          <cell r="E327" t="str">
            <v>Y</v>
          </cell>
          <cell r="F327" t="str">
            <v>Y</v>
          </cell>
          <cell r="G327" t="str">
            <v>Y</v>
          </cell>
          <cell r="H327" t="str">
            <v>Y</v>
          </cell>
          <cell r="I327" t="str">
            <v>Y</v>
          </cell>
          <cell r="J327" t="str">
            <v>Y</v>
          </cell>
        </row>
        <row r="328">
          <cell r="B328">
            <v>78736000</v>
          </cell>
          <cell r="C328" t="str">
            <v>N</v>
          </cell>
          <cell r="D328" t="str">
            <v>N</v>
          </cell>
          <cell r="E328" t="str">
            <v>N</v>
          </cell>
          <cell r="F328" t="str">
            <v>N</v>
          </cell>
          <cell r="G328" t="str">
            <v>N</v>
          </cell>
          <cell r="H328" t="str">
            <v>N</v>
          </cell>
          <cell r="I328" t="str">
            <v>N</v>
          </cell>
          <cell r="J328" t="str">
            <v>N</v>
          </cell>
        </row>
        <row r="329">
          <cell r="B329">
            <v>78740000</v>
          </cell>
          <cell r="C329" t="str">
            <v>Y</v>
          </cell>
          <cell r="D329" t="str">
            <v>Y</v>
          </cell>
          <cell r="E329" t="str">
            <v>N</v>
          </cell>
          <cell r="F329" t="str">
            <v>Y</v>
          </cell>
          <cell r="G329" t="str">
            <v>Y</v>
          </cell>
          <cell r="H329" t="str">
            <v>Y</v>
          </cell>
          <cell r="I329" t="str">
            <v>Y</v>
          </cell>
          <cell r="J329" t="str">
            <v>Y</v>
          </cell>
        </row>
        <row r="330">
          <cell r="B330">
            <v>78741000</v>
          </cell>
          <cell r="C330" t="str">
            <v>Y</v>
          </cell>
          <cell r="D330" t="str">
            <v>Y</v>
          </cell>
          <cell r="E330" t="str">
            <v>Y</v>
          </cell>
          <cell r="F330" t="str">
            <v>Y</v>
          </cell>
          <cell r="G330" t="str">
            <v>Y</v>
          </cell>
          <cell r="H330" t="str">
            <v>Y</v>
          </cell>
          <cell r="I330" t="str">
            <v>Y</v>
          </cell>
          <cell r="J330" t="str">
            <v>Y</v>
          </cell>
        </row>
        <row r="331">
          <cell r="B331">
            <v>78742000</v>
          </cell>
          <cell r="C331" t="str">
            <v>N</v>
          </cell>
          <cell r="D331" t="str">
            <v>Y</v>
          </cell>
          <cell r="E331" t="str">
            <v>N</v>
          </cell>
          <cell r="F331" t="str">
            <v>Y</v>
          </cell>
          <cell r="G331" t="str">
            <v>N</v>
          </cell>
          <cell r="H331" t="str">
            <v>Y</v>
          </cell>
          <cell r="I331" t="str">
            <v>Y</v>
          </cell>
          <cell r="J331" t="str">
            <v>N</v>
          </cell>
        </row>
        <row r="332">
          <cell r="B332">
            <v>78743000</v>
          </cell>
          <cell r="C332" t="str">
            <v>N</v>
          </cell>
          <cell r="D332" t="str">
            <v>N</v>
          </cell>
          <cell r="E332" t="str">
            <v>N</v>
          </cell>
          <cell r="F332" t="str">
            <v>N</v>
          </cell>
          <cell r="G332" t="str">
            <v>Y</v>
          </cell>
          <cell r="H332" t="str">
            <v>Y</v>
          </cell>
          <cell r="I332" t="str">
            <v>Y</v>
          </cell>
          <cell r="J332" t="str">
            <v>Y</v>
          </cell>
        </row>
        <row r="333">
          <cell r="B333">
            <v>78744000</v>
          </cell>
          <cell r="C333" t="str">
            <v>Y</v>
          </cell>
          <cell r="D333" t="str">
            <v>Y</v>
          </cell>
          <cell r="E333" t="str">
            <v>N</v>
          </cell>
          <cell r="F333" t="str">
            <v>Y</v>
          </cell>
          <cell r="G333" t="str">
            <v>Y</v>
          </cell>
          <cell r="H333" t="str">
            <v>Y</v>
          </cell>
          <cell r="I333" t="str">
            <v>Y</v>
          </cell>
          <cell r="J333" t="str">
            <v>N</v>
          </cell>
        </row>
        <row r="334">
          <cell r="B334">
            <v>78745000</v>
          </cell>
          <cell r="C334" t="str">
            <v>N</v>
          </cell>
          <cell r="D334" t="str">
            <v>Y</v>
          </cell>
          <cell r="E334" t="str">
            <v>Y</v>
          </cell>
          <cell r="F334" t="str">
            <v>Y</v>
          </cell>
          <cell r="G334" t="str">
            <v>Y</v>
          </cell>
          <cell r="H334" t="str">
            <v>Y</v>
          </cell>
          <cell r="I334" t="str">
            <v>Y</v>
          </cell>
          <cell r="J334" t="str">
            <v>Y</v>
          </cell>
        </row>
        <row r="335">
          <cell r="B335">
            <v>78746000</v>
          </cell>
          <cell r="C335" t="str">
            <v>Y</v>
          </cell>
          <cell r="D335" t="str">
            <v>Y</v>
          </cell>
          <cell r="E335" t="str">
            <v>Y</v>
          </cell>
          <cell r="F335" t="str">
            <v>Y</v>
          </cell>
          <cell r="G335" t="str">
            <v>Y</v>
          </cell>
          <cell r="H335" t="str">
            <v>Y</v>
          </cell>
          <cell r="I335" t="str">
            <v>Y</v>
          </cell>
          <cell r="J335" t="str">
            <v>Y</v>
          </cell>
        </row>
        <row r="336">
          <cell r="B336">
            <v>78747000</v>
          </cell>
          <cell r="C336" t="str">
            <v>Y</v>
          </cell>
          <cell r="D336" t="str">
            <v>N</v>
          </cell>
          <cell r="E336" t="str">
            <v>Y</v>
          </cell>
          <cell r="F336" t="str">
            <v>N</v>
          </cell>
          <cell r="G336" t="str">
            <v>N</v>
          </cell>
          <cell r="H336" t="str">
            <v>N</v>
          </cell>
          <cell r="I336" t="str">
            <v>N</v>
          </cell>
          <cell r="J336" t="str">
            <v>N</v>
          </cell>
        </row>
        <row r="337">
          <cell r="B337">
            <v>78748000</v>
          </cell>
          <cell r="C337" t="str">
            <v>N</v>
          </cell>
          <cell r="D337" t="str">
            <v>Y</v>
          </cell>
          <cell r="E337" t="str">
            <v>Y</v>
          </cell>
          <cell r="F337" t="str">
            <v>N</v>
          </cell>
          <cell r="G337" t="str">
            <v>N</v>
          </cell>
          <cell r="H337" t="str">
            <v>N</v>
          </cell>
          <cell r="I337" t="str">
            <v>N</v>
          </cell>
          <cell r="J337" t="str">
            <v>N</v>
          </cell>
        </row>
        <row r="338">
          <cell r="B338">
            <v>78749000</v>
          </cell>
          <cell r="C338" t="str">
            <v>N</v>
          </cell>
          <cell r="D338" t="str">
            <v>N</v>
          </cell>
          <cell r="E338" t="str">
            <v>N</v>
          </cell>
          <cell r="F338" t="str">
            <v>N</v>
          </cell>
          <cell r="G338" t="str">
            <v>N</v>
          </cell>
          <cell r="H338" t="str">
            <v>N</v>
          </cell>
          <cell r="I338" t="str">
            <v>N</v>
          </cell>
          <cell r="J338" t="str">
            <v>N</v>
          </cell>
        </row>
        <row r="339">
          <cell r="B339">
            <v>78751000</v>
          </cell>
          <cell r="C339" t="str">
            <v>Y</v>
          </cell>
          <cell r="D339" t="str">
            <v>Y</v>
          </cell>
          <cell r="E339" t="str">
            <v>Y</v>
          </cell>
          <cell r="F339" t="str">
            <v>Y</v>
          </cell>
          <cell r="G339" t="str">
            <v>Y</v>
          </cell>
          <cell r="H339" t="str">
            <v>Y</v>
          </cell>
          <cell r="I339" t="str">
            <v>Y</v>
          </cell>
          <cell r="J339" t="str">
            <v>Y</v>
          </cell>
        </row>
        <row r="340">
          <cell r="B340">
            <v>78752000</v>
          </cell>
          <cell r="C340" t="str">
            <v>N</v>
          </cell>
          <cell r="D340" t="str">
            <v>N</v>
          </cell>
          <cell r="E340" t="str">
            <v>N</v>
          </cell>
          <cell r="F340" t="str">
            <v>N</v>
          </cell>
          <cell r="G340" t="str">
            <v>N</v>
          </cell>
          <cell r="H340" t="str">
            <v>N</v>
          </cell>
          <cell r="I340" t="str">
            <v>N</v>
          </cell>
          <cell r="J340" t="str">
            <v>N</v>
          </cell>
        </row>
        <row r="341">
          <cell r="B341">
            <v>78753000</v>
          </cell>
          <cell r="C341" t="str">
            <v>N</v>
          </cell>
          <cell r="D341" t="str">
            <v>N</v>
          </cell>
          <cell r="E341" t="str">
            <v>N</v>
          </cell>
          <cell r="F341" t="str">
            <v>N</v>
          </cell>
          <cell r="G341" t="str">
            <v>N</v>
          </cell>
          <cell r="H341" t="str">
            <v>N</v>
          </cell>
          <cell r="I341" t="str">
            <v>N</v>
          </cell>
          <cell r="J341" t="str">
            <v>N</v>
          </cell>
        </row>
        <row r="342">
          <cell r="B342">
            <v>78755000</v>
          </cell>
          <cell r="C342" t="str">
            <v>N</v>
          </cell>
          <cell r="D342" t="str">
            <v>N</v>
          </cell>
          <cell r="E342" t="str">
            <v>N</v>
          </cell>
          <cell r="F342" t="str">
            <v>N</v>
          </cell>
          <cell r="G342" t="str">
            <v>N</v>
          </cell>
          <cell r="H342" t="str">
            <v>N</v>
          </cell>
          <cell r="I342" t="str">
            <v>N</v>
          </cell>
          <cell r="J342" t="str">
            <v>N</v>
          </cell>
        </row>
        <row r="343">
          <cell r="B343">
            <v>78757000</v>
          </cell>
          <cell r="C343" t="str">
            <v>Y</v>
          </cell>
          <cell r="D343" t="str">
            <v>N</v>
          </cell>
          <cell r="E343" t="str">
            <v>Y</v>
          </cell>
          <cell r="F343" t="str">
            <v>N</v>
          </cell>
          <cell r="G343" t="str">
            <v>N</v>
          </cell>
          <cell r="H343" t="str">
            <v>N</v>
          </cell>
          <cell r="I343" t="str">
            <v>N</v>
          </cell>
          <cell r="J343" t="str">
            <v>N</v>
          </cell>
        </row>
        <row r="344">
          <cell r="B344">
            <v>78758000</v>
          </cell>
          <cell r="C344" t="str">
            <v>Y</v>
          </cell>
          <cell r="D344" t="str">
            <v>Y</v>
          </cell>
          <cell r="E344" t="str">
            <v>Y</v>
          </cell>
          <cell r="F344" t="str">
            <v>Y</v>
          </cell>
          <cell r="G344" t="str">
            <v>Y</v>
          </cell>
          <cell r="H344" t="str">
            <v>Y</v>
          </cell>
          <cell r="I344" t="str">
            <v>Y</v>
          </cell>
          <cell r="J344" t="str">
            <v>Y</v>
          </cell>
        </row>
        <row r="345">
          <cell r="B345">
            <v>78759000</v>
          </cell>
          <cell r="C345" t="str">
            <v>N</v>
          </cell>
          <cell r="D345" t="str">
            <v>N</v>
          </cell>
          <cell r="E345" t="str">
            <v>N</v>
          </cell>
          <cell r="F345" t="str">
            <v>N</v>
          </cell>
          <cell r="G345" t="str">
            <v>N</v>
          </cell>
          <cell r="H345" t="str">
            <v>N</v>
          </cell>
          <cell r="I345" t="str">
            <v>N</v>
          </cell>
          <cell r="J345" t="str">
            <v>N</v>
          </cell>
        </row>
        <row r="346">
          <cell r="B346">
            <v>78760000</v>
          </cell>
          <cell r="C346" t="str">
            <v>Y</v>
          </cell>
          <cell r="D346" t="str">
            <v>Y</v>
          </cell>
          <cell r="E346" t="str">
            <v>Y</v>
          </cell>
          <cell r="F346" t="str">
            <v>Y</v>
          </cell>
          <cell r="G346" t="str">
            <v>Y</v>
          </cell>
          <cell r="H346" t="str">
            <v>Y</v>
          </cell>
          <cell r="I346" t="str">
            <v>Y</v>
          </cell>
          <cell r="J346" t="str">
            <v>Y</v>
          </cell>
        </row>
        <row r="347">
          <cell r="B347">
            <v>78761000</v>
          </cell>
          <cell r="C347" t="str">
            <v>N</v>
          </cell>
          <cell r="D347" t="str">
            <v>N</v>
          </cell>
          <cell r="E347" t="str">
            <v>N</v>
          </cell>
          <cell r="F347" t="str">
            <v>N</v>
          </cell>
          <cell r="G347" t="str">
            <v>N</v>
          </cell>
          <cell r="H347" t="str">
            <v>N</v>
          </cell>
          <cell r="I347" t="str">
            <v>N</v>
          </cell>
          <cell r="J347" t="str">
            <v>N</v>
          </cell>
        </row>
        <row r="348">
          <cell r="B348">
            <v>78763000</v>
          </cell>
          <cell r="C348" t="str">
            <v>N</v>
          </cell>
          <cell r="D348" t="str">
            <v>N</v>
          </cell>
          <cell r="E348" t="str">
            <v>N</v>
          </cell>
          <cell r="F348" t="str">
            <v>N</v>
          </cell>
          <cell r="G348" t="str">
            <v>N</v>
          </cell>
          <cell r="H348" t="str">
            <v>N</v>
          </cell>
          <cell r="I348" t="str">
            <v>N</v>
          </cell>
          <cell r="J348" t="str">
            <v>N</v>
          </cell>
        </row>
        <row r="349">
          <cell r="B349">
            <v>78765000</v>
          </cell>
          <cell r="C349" t="str">
            <v>Y</v>
          </cell>
          <cell r="D349" t="str">
            <v>Y</v>
          </cell>
          <cell r="E349" t="str">
            <v>Y</v>
          </cell>
          <cell r="F349" t="str">
            <v>Y</v>
          </cell>
          <cell r="G349" t="str">
            <v>Y</v>
          </cell>
          <cell r="H349" t="str">
            <v>Y</v>
          </cell>
          <cell r="I349" t="str">
            <v>Y</v>
          </cell>
          <cell r="J349" t="str">
            <v>Y</v>
          </cell>
        </row>
        <row r="350">
          <cell r="B350">
            <v>78766000</v>
          </cell>
          <cell r="C350" t="str">
            <v>N</v>
          </cell>
          <cell r="D350" t="str">
            <v>N</v>
          </cell>
          <cell r="E350" t="str">
            <v>N</v>
          </cell>
          <cell r="F350" t="str">
            <v>N</v>
          </cell>
          <cell r="G350" t="str">
            <v>N</v>
          </cell>
          <cell r="H350" t="str">
            <v>N</v>
          </cell>
          <cell r="I350" t="str">
            <v>N</v>
          </cell>
          <cell r="J350" t="str">
            <v>N</v>
          </cell>
        </row>
        <row r="351">
          <cell r="B351">
            <v>78768000</v>
          </cell>
          <cell r="C351" t="str">
            <v>N</v>
          </cell>
          <cell r="D351" t="str">
            <v>N</v>
          </cell>
          <cell r="E351" t="str">
            <v>N</v>
          </cell>
          <cell r="F351" t="str">
            <v>N</v>
          </cell>
          <cell r="G351" t="str">
            <v>N</v>
          </cell>
          <cell r="H351" t="str">
            <v>N</v>
          </cell>
          <cell r="I351" t="str">
            <v>N</v>
          </cell>
          <cell r="J351" t="str">
            <v>N</v>
          </cell>
        </row>
        <row r="352">
          <cell r="B352">
            <v>78771000</v>
          </cell>
          <cell r="C352" t="str">
            <v>Y</v>
          </cell>
          <cell r="D352" t="str">
            <v>Y</v>
          </cell>
          <cell r="E352" t="str">
            <v>Y</v>
          </cell>
          <cell r="F352" t="str">
            <v>Y</v>
          </cell>
          <cell r="G352" t="str">
            <v>Y</v>
          </cell>
          <cell r="H352" t="str">
            <v>Y</v>
          </cell>
          <cell r="I352" t="str">
            <v>Y</v>
          </cell>
          <cell r="J352" t="str">
            <v>Y</v>
          </cell>
        </row>
        <row r="353">
          <cell r="B353">
            <v>78772000</v>
          </cell>
          <cell r="C353" t="str">
            <v>N</v>
          </cell>
          <cell r="D353" t="str">
            <v>N</v>
          </cell>
          <cell r="E353" t="str">
            <v>N</v>
          </cell>
          <cell r="F353" t="str">
            <v>N</v>
          </cell>
          <cell r="G353" t="str">
            <v>N</v>
          </cell>
          <cell r="H353" t="str">
            <v>N</v>
          </cell>
          <cell r="I353" t="str">
            <v>N</v>
          </cell>
          <cell r="J353" t="str">
            <v>N</v>
          </cell>
        </row>
        <row r="354">
          <cell r="B354">
            <v>78773000</v>
          </cell>
          <cell r="C354" t="str">
            <v>Y</v>
          </cell>
          <cell r="D354" t="str">
            <v>Y</v>
          </cell>
          <cell r="E354" t="str">
            <v>Y</v>
          </cell>
          <cell r="F354" t="str">
            <v>Y</v>
          </cell>
          <cell r="G354" t="str">
            <v>Y</v>
          </cell>
          <cell r="H354" t="str">
            <v>Y</v>
          </cell>
          <cell r="I354" t="str">
            <v>Y</v>
          </cell>
          <cell r="J354" t="str">
            <v>N</v>
          </cell>
        </row>
        <row r="355">
          <cell r="B355">
            <v>78774000</v>
          </cell>
          <cell r="C355" t="str">
            <v>N</v>
          </cell>
          <cell r="D355" t="str">
            <v>N</v>
          </cell>
          <cell r="E355" t="str">
            <v>Y</v>
          </cell>
          <cell r="F355" t="str">
            <v>Y</v>
          </cell>
          <cell r="G355" t="str">
            <v>Y</v>
          </cell>
          <cell r="H355" t="str">
            <v>Y</v>
          </cell>
          <cell r="I355" t="str">
            <v>Y</v>
          </cell>
          <cell r="J355" t="str">
            <v>Y</v>
          </cell>
        </row>
        <row r="356">
          <cell r="B356">
            <v>78775000</v>
          </cell>
          <cell r="C356" t="str">
            <v>Y</v>
          </cell>
          <cell r="D356" t="str">
            <v>Y</v>
          </cell>
          <cell r="E356" t="str">
            <v>Y</v>
          </cell>
          <cell r="F356" t="str">
            <v>N</v>
          </cell>
          <cell r="G356" t="str">
            <v>N</v>
          </cell>
          <cell r="H356" t="str">
            <v>N</v>
          </cell>
          <cell r="I356" t="str">
            <v>N</v>
          </cell>
          <cell r="J356" t="str">
            <v>N</v>
          </cell>
        </row>
        <row r="357">
          <cell r="B357">
            <v>78776000</v>
          </cell>
          <cell r="C357" t="str">
            <v>Y</v>
          </cell>
          <cell r="D357" t="str">
            <v>Y</v>
          </cell>
          <cell r="E357" t="str">
            <v>Y</v>
          </cell>
          <cell r="F357" t="str">
            <v>N</v>
          </cell>
          <cell r="G357" t="str">
            <v>Y</v>
          </cell>
          <cell r="H357" t="str">
            <v>Y</v>
          </cell>
          <cell r="I357" t="str">
            <v>Y</v>
          </cell>
          <cell r="J357" t="str">
            <v>Y</v>
          </cell>
        </row>
        <row r="358">
          <cell r="B358">
            <v>78779000</v>
          </cell>
          <cell r="C358" t="str">
            <v>N</v>
          </cell>
          <cell r="D358" t="str">
            <v>N</v>
          </cell>
          <cell r="E358" t="str">
            <v>N</v>
          </cell>
          <cell r="F358" t="str">
            <v>N</v>
          </cell>
          <cell r="G358" t="str">
            <v>N</v>
          </cell>
          <cell r="H358" t="str">
            <v>N</v>
          </cell>
          <cell r="I358" t="str">
            <v>N</v>
          </cell>
          <cell r="J358" t="str">
            <v>N</v>
          </cell>
        </row>
        <row r="359">
          <cell r="B359">
            <v>78781000</v>
          </cell>
          <cell r="C359" t="str">
            <v>N</v>
          </cell>
          <cell r="D359" t="str">
            <v>N</v>
          </cell>
          <cell r="E359" t="str">
            <v>N</v>
          </cell>
          <cell r="F359" t="str">
            <v>N</v>
          </cell>
          <cell r="G359" t="str">
            <v>N</v>
          </cell>
          <cell r="H359" t="str">
            <v>N</v>
          </cell>
          <cell r="I359" t="str">
            <v>N</v>
          </cell>
          <cell r="J359" t="str">
            <v>N</v>
          </cell>
        </row>
        <row r="360">
          <cell r="B360">
            <v>78782000</v>
          </cell>
          <cell r="C360" t="str">
            <v>N</v>
          </cell>
          <cell r="D360" t="str">
            <v>N</v>
          </cell>
          <cell r="E360" t="str">
            <v>N</v>
          </cell>
          <cell r="F360" t="str">
            <v>N</v>
          </cell>
          <cell r="G360" t="str">
            <v>N</v>
          </cell>
          <cell r="H360" t="str">
            <v>N</v>
          </cell>
          <cell r="I360" t="str">
            <v>N</v>
          </cell>
          <cell r="J360" t="str">
            <v>N</v>
          </cell>
        </row>
        <row r="361">
          <cell r="B361">
            <v>78784000</v>
          </cell>
          <cell r="C361" t="str">
            <v>Y</v>
          </cell>
          <cell r="D361" t="str">
            <v>Y</v>
          </cell>
          <cell r="E361" t="str">
            <v>Y</v>
          </cell>
          <cell r="F361" t="str">
            <v>Y</v>
          </cell>
          <cell r="G361" t="str">
            <v>Y</v>
          </cell>
          <cell r="H361" t="str">
            <v>Y</v>
          </cell>
          <cell r="I361" t="str">
            <v>Y</v>
          </cell>
          <cell r="J361" t="str">
            <v>Y</v>
          </cell>
        </row>
        <row r="362">
          <cell r="B362">
            <v>78785000</v>
          </cell>
          <cell r="C362" t="str">
            <v>N</v>
          </cell>
          <cell r="D362" t="str">
            <v>N</v>
          </cell>
          <cell r="E362" t="str">
            <v>Y</v>
          </cell>
          <cell r="F362" t="str">
            <v>Y</v>
          </cell>
          <cell r="G362" t="str">
            <v>Y</v>
          </cell>
          <cell r="H362" t="str">
            <v>Y</v>
          </cell>
          <cell r="I362" t="str">
            <v>Y</v>
          </cell>
          <cell r="J362" t="str">
            <v>Y</v>
          </cell>
        </row>
        <row r="363">
          <cell r="B363">
            <v>78786000</v>
          </cell>
          <cell r="C363" t="str">
            <v>N</v>
          </cell>
          <cell r="D363" t="str">
            <v>Y</v>
          </cell>
          <cell r="E363" t="str">
            <v>N</v>
          </cell>
          <cell r="F363" t="str">
            <v>Y</v>
          </cell>
          <cell r="G363" t="str">
            <v>N</v>
          </cell>
          <cell r="H363" t="str">
            <v>N</v>
          </cell>
          <cell r="I363" t="str">
            <v>N</v>
          </cell>
          <cell r="J363" t="str">
            <v>N</v>
          </cell>
        </row>
        <row r="364">
          <cell r="B364">
            <v>78791000</v>
          </cell>
          <cell r="C364" t="str">
            <v>N</v>
          </cell>
          <cell r="D364" t="str">
            <v>N</v>
          </cell>
          <cell r="E364" t="str">
            <v>N</v>
          </cell>
          <cell r="F364" t="str">
            <v>N</v>
          </cell>
          <cell r="G364" t="str">
            <v>N</v>
          </cell>
          <cell r="H364" t="str">
            <v>N</v>
          </cell>
          <cell r="I364" t="str">
            <v>N</v>
          </cell>
          <cell r="J364" t="str">
            <v>N</v>
          </cell>
        </row>
        <row r="365">
          <cell r="B365">
            <v>78792000</v>
          </cell>
          <cell r="C365" t="str">
            <v>Y</v>
          </cell>
          <cell r="D365" t="str">
            <v>Y</v>
          </cell>
          <cell r="E365" t="str">
            <v>Y</v>
          </cell>
          <cell r="F365" t="str">
            <v>Y</v>
          </cell>
          <cell r="G365" t="str">
            <v>Y</v>
          </cell>
          <cell r="H365" t="str">
            <v>Y</v>
          </cell>
          <cell r="I365" t="str">
            <v>Y</v>
          </cell>
          <cell r="J365" t="str">
            <v>Y</v>
          </cell>
        </row>
        <row r="366">
          <cell r="B366">
            <v>78793000</v>
          </cell>
          <cell r="C366" t="str">
            <v>Y</v>
          </cell>
          <cell r="D366" t="str">
            <v>Y</v>
          </cell>
          <cell r="E366" t="str">
            <v>Y</v>
          </cell>
          <cell r="F366" t="str">
            <v>Y</v>
          </cell>
          <cell r="G366" t="str">
            <v>Y</v>
          </cell>
          <cell r="H366" t="str">
            <v>Y</v>
          </cell>
          <cell r="I366" t="str">
            <v>Y</v>
          </cell>
          <cell r="J366" t="str">
            <v>Y</v>
          </cell>
        </row>
        <row r="367">
          <cell r="B367">
            <v>78794000</v>
          </cell>
          <cell r="C367" t="str">
            <v>Y</v>
          </cell>
          <cell r="D367" t="str">
            <v>Y</v>
          </cell>
          <cell r="E367" t="str">
            <v>Y</v>
          </cell>
          <cell r="F367" t="str">
            <v>Y</v>
          </cell>
          <cell r="G367" t="str">
            <v>Y</v>
          </cell>
          <cell r="H367" t="str">
            <v>Y</v>
          </cell>
          <cell r="I367" t="str">
            <v>Y</v>
          </cell>
          <cell r="J367" t="str">
            <v>Y</v>
          </cell>
        </row>
        <row r="368">
          <cell r="B368">
            <v>78795000</v>
          </cell>
          <cell r="C368" t="str">
            <v>N</v>
          </cell>
          <cell r="D368" t="str">
            <v>N</v>
          </cell>
          <cell r="E368" t="str">
            <v>N</v>
          </cell>
          <cell r="F368" t="str">
            <v>N</v>
          </cell>
          <cell r="G368" t="str">
            <v>N</v>
          </cell>
          <cell r="H368" t="str">
            <v>N</v>
          </cell>
          <cell r="I368" t="str">
            <v>N</v>
          </cell>
          <cell r="J368" t="str">
            <v>N</v>
          </cell>
        </row>
        <row r="369">
          <cell r="B369">
            <v>78799000</v>
          </cell>
          <cell r="C369" t="str">
            <v>Y</v>
          </cell>
          <cell r="D369" t="str">
            <v>Y</v>
          </cell>
          <cell r="E369" t="str">
            <v>N</v>
          </cell>
          <cell r="F369" t="str">
            <v>N</v>
          </cell>
          <cell r="G369" t="str">
            <v>N</v>
          </cell>
          <cell r="H369" t="str">
            <v>N</v>
          </cell>
          <cell r="I369" t="str">
            <v>N</v>
          </cell>
          <cell r="J369" t="str">
            <v>N</v>
          </cell>
        </row>
        <row r="370">
          <cell r="B370">
            <v>78901000</v>
          </cell>
          <cell r="C370" t="str">
            <v>Y</v>
          </cell>
          <cell r="D370" t="str">
            <v>Y</v>
          </cell>
          <cell r="E370" t="str">
            <v>Y</v>
          </cell>
          <cell r="F370" t="str">
            <v>Y</v>
          </cell>
          <cell r="G370" t="str">
            <v>Y</v>
          </cell>
          <cell r="H370" t="str">
            <v>Y</v>
          </cell>
          <cell r="I370" t="str">
            <v>Y</v>
          </cell>
          <cell r="J370" t="str">
            <v>Y</v>
          </cell>
        </row>
        <row r="371">
          <cell r="B371">
            <v>78902000</v>
          </cell>
          <cell r="C371" t="str">
            <v>Y</v>
          </cell>
          <cell r="D371" t="str">
            <v>Y</v>
          </cell>
          <cell r="E371" t="str">
            <v>Y</v>
          </cell>
          <cell r="F371" t="str">
            <v>N</v>
          </cell>
          <cell r="G371" t="str">
            <v>N</v>
          </cell>
          <cell r="H371" t="str">
            <v>N</v>
          </cell>
          <cell r="I371" t="str">
            <v>N</v>
          </cell>
          <cell r="J371" t="str">
            <v>N</v>
          </cell>
        </row>
        <row r="372">
          <cell r="B372">
            <v>78903000</v>
          </cell>
          <cell r="C372" t="str">
            <v>N</v>
          </cell>
          <cell r="D372" t="str">
            <v>N</v>
          </cell>
          <cell r="E372" t="str">
            <v>N</v>
          </cell>
          <cell r="F372" t="str">
            <v>N</v>
          </cell>
          <cell r="G372" t="str">
            <v>N</v>
          </cell>
          <cell r="H372" t="str">
            <v>N</v>
          </cell>
          <cell r="I372" t="str">
            <v>N</v>
          </cell>
          <cell r="J372" t="str">
            <v>N</v>
          </cell>
        </row>
        <row r="373">
          <cell r="B373">
            <v>78904000</v>
          </cell>
          <cell r="C373" t="str">
            <v>Y</v>
          </cell>
          <cell r="D373" t="str">
            <v>Y</v>
          </cell>
          <cell r="E373" t="str">
            <v>Y</v>
          </cell>
          <cell r="F373" t="str">
            <v>Y</v>
          </cell>
          <cell r="G373" t="str">
            <v>Y</v>
          </cell>
          <cell r="H373" t="str">
            <v>Y</v>
          </cell>
          <cell r="I373" t="str">
            <v>N</v>
          </cell>
          <cell r="J373" t="str">
            <v>N</v>
          </cell>
        </row>
        <row r="374">
          <cell r="B374">
            <v>78905000</v>
          </cell>
          <cell r="C374" t="str">
            <v>N</v>
          </cell>
          <cell r="D374" t="str">
            <v>Y</v>
          </cell>
          <cell r="E374" t="str">
            <v>Y</v>
          </cell>
          <cell r="F374" t="str">
            <v>Y</v>
          </cell>
          <cell r="G374" t="str">
            <v>Y</v>
          </cell>
          <cell r="H374" t="str">
            <v>Y</v>
          </cell>
          <cell r="I374" t="str">
            <v>Y</v>
          </cell>
          <cell r="J374" t="str">
            <v>Y</v>
          </cell>
        </row>
        <row r="375">
          <cell r="B375">
            <v>78906000</v>
          </cell>
          <cell r="C375" t="str">
            <v>N</v>
          </cell>
          <cell r="D375" t="str">
            <v>N</v>
          </cell>
          <cell r="E375" t="str">
            <v>N</v>
          </cell>
          <cell r="F375" t="str">
            <v>N</v>
          </cell>
          <cell r="G375" t="str">
            <v>N</v>
          </cell>
          <cell r="H375" t="str">
            <v>N</v>
          </cell>
          <cell r="I375" t="str">
            <v>N</v>
          </cell>
          <cell r="J375" t="str">
            <v>N</v>
          </cell>
        </row>
        <row r="376">
          <cell r="B376">
            <v>78907000</v>
          </cell>
          <cell r="C376" t="str">
            <v>Y</v>
          </cell>
          <cell r="D376" t="str">
            <v>Y</v>
          </cell>
          <cell r="E376" t="str">
            <v>Y</v>
          </cell>
          <cell r="F376" t="str">
            <v>Y</v>
          </cell>
          <cell r="G376" t="str">
            <v>Y</v>
          </cell>
          <cell r="H376" t="str">
            <v>Y</v>
          </cell>
          <cell r="I376" t="str">
            <v>Y</v>
          </cell>
          <cell r="J376" t="str">
            <v>Y</v>
          </cell>
        </row>
        <row r="377">
          <cell r="B377">
            <v>78909000</v>
          </cell>
          <cell r="C377" t="str">
            <v>N</v>
          </cell>
          <cell r="D377" t="str">
            <v>Y</v>
          </cell>
          <cell r="E377" t="str">
            <v>Y</v>
          </cell>
          <cell r="F377" t="str">
            <v>Y</v>
          </cell>
          <cell r="G377" t="str">
            <v>Y</v>
          </cell>
          <cell r="H377" t="str">
            <v>Y</v>
          </cell>
          <cell r="I377" t="str">
            <v>Y</v>
          </cell>
          <cell r="J377" t="str">
            <v>Y</v>
          </cell>
        </row>
        <row r="378">
          <cell r="B378">
            <v>78911000</v>
          </cell>
          <cell r="C378" t="str">
            <v>N</v>
          </cell>
          <cell r="D378" t="str">
            <v>N</v>
          </cell>
          <cell r="E378" t="str">
            <v>Y</v>
          </cell>
          <cell r="F378" t="str">
            <v>Y</v>
          </cell>
          <cell r="G378" t="str">
            <v>Y</v>
          </cell>
          <cell r="H378" t="str">
            <v>Y</v>
          </cell>
          <cell r="I378" t="str">
            <v>Y</v>
          </cell>
          <cell r="J378" t="str">
            <v>Y</v>
          </cell>
        </row>
        <row r="379">
          <cell r="B379">
            <v>78912000</v>
          </cell>
          <cell r="C379" t="str">
            <v>N</v>
          </cell>
          <cell r="D379" t="str">
            <v>N</v>
          </cell>
          <cell r="E379" t="str">
            <v>N</v>
          </cell>
          <cell r="F379" t="str">
            <v>N</v>
          </cell>
          <cell r="G379" t="str">
            <v>N</v>
          </cell>
          <cell r="H379" t="str">
            <v>N</v>
          </cell>
          <cell r="I379" t="str">
            <v>N</v>
          </cell>
          <cell r="J379" t="str">
            <v>N</v>
          </cell>
        </row>
        <row r="380">
          <cell r="B380">
            <v>78914000</v>
          </cell>
          <cell r="C380" t="str">
            <v>Y</v>
          </cell>
          <cell r="D380" t="str">
            <v>Y</v>
          </cell>
          <cell r="E380" t="str">
            <v>N</v>
          </cell>
          <cell r="F380" t="str">
            <v>Y</v>
          </cell>
          <cell r="G380" t="str">
            <v>Y</v>
          </cell>
          <cell r="H380" t="str">
            <v>Y</v>
          </cell>
          <cell r="I380" t="str">
            <v>Y</v>
          </cell>
          <cell r="J380" t="str">
            <v>Y</v>
          </cell>
        </row>
        <row r="381">
          <cell r="B381">
            <v>78915000</v>
          </cell>
          <cell r="C381" t="str">
            <v>Y</v>
          </cell>
          <cell r="D381" t="str">
            <v>Y</v>
          </cell>
          <cell r="E381" t="str">
            <v>Y</v>
          </cell>
          <cell r="F381" t="str">
            <v>Y</v>
          </cell>
          <cell r="G381" t="str">
            <v>Y</v>
          </cell>
          <cell r="H381" t="str">
            <v>Y</v>
          </cell>
          <cell r="I381" t="str">
            <v>Y</v>
          </cell>
          <cell r="J381" t="str">
            <v>Y</v>
          </cell>
        </row>
        <row r="382">
          <cell r="B382">
            <v>78916000</v>
          </cell>
          <cell r="C382" t="str">
            <v>Y</v>
          </cell>
          <cell r="D382" t="str">
            <v>Y</v>
          </cell>
          <cell r="E382" t="str">
            <v>Y</v>
          </cell>
          <cell r="F382" t="str">
            <v>Y</v>
          </cell>
          <cell r="G382" t="str">
            <v>Y</v>
          </cell>
          <cell r="H382" t="str">
            <v>N</v>
          </cell>
          <cell r="I382" t="str">
            <v>N</v>
          </cell>
          <cell r="J382" t="str">
            <v>N</v>
          </cell>
        </row>
        <row r="383">
          <cell r="B383">
            <v>78917000</v>
          </cell>
          <cell r="C383" t="str">
            <v>Y</v>
          </cell>
          <cell r="D383" t="str">
            <v>Y</v>
          </cell>
          <cell r="E383" t="str">
            <v>Y</v>
          </cell>
          <cell r="F383" t="str">
            <v>Y</v>
          </cell>
          <cell r="G383" t="str">
            <v>Y</v>
          </cell>
          <cell r="H383" t="str">
            <v>Y</v>
          </cell>
          <cell r="I383" t="str">
            <v>Y</v>
          </cell>
          <cell r="J383" t="str">
            <v>Y</v>
          </cell>
        </row>
        <row r="384">
          <cell r="B384">
            <v>78921000</v>
          </cell>
          <cell r="C384" t="str">
            <v>N</v>
          </cell>
          <cell r="D384" t="str">
            <v>N</v>
          </cell>
          <cell r="E384" t="str">
            <v>N</v>
          </cell>
          <cell r="F384" t="str">
            <v>N</v>
          </cell>
          <cell r="G384" t="str">
            <v>N</v>
          </cell>
          <cell r="H384" t="str">
            <v>N</v>
          </cell>
          <cell r="I384" t="str">
            <v>N</v>
          </cell>
          <cell r="J384" t="str">
            <v>N</v>
          </cell>
        </row>
        <row r="385">
          <cell r="B385">
            <v>78922000</v>
          </cell>
          <cell r="C385" t="str">
            <v>N</v>
          </cell>
          <cell r="D385" t="str">
            <v>N</v>
          </cell>
          <cell r="E385" t="str">
            <v>N</v>
          </cell>
          <cell r="F385" t="str">
            <v>N</v>
          </cell>
          <cell r="G385" t="str">
            <v>Y</v>
          </cell>
          <cell r="H385" t="str">
            <v>N</v>
          </cell>
          <cell r="I385" t="str">
            <v>N</v>
          </cell>
          <cell r="J385" t="str">
            <v>N</v>
          </cell>
        </row>
        <row r="386">
          <cell r="B386">
            <v>78923000</v>
          </cell>
          <cell r="C386" t="str">
            <v>Y</v>
          </cell>
          <cell r="D386" t="str">
            <v>Y</v>
          </cell>
          <cell r="E386" t="str">
            <v>N</v>
          </cell>
          <cell r="F386" t="str">
            <v>N</v>
          </cell>
          <cell r="G386" t="str">
            <v>N</v>
          </cell>
          <cell r="H386" t="str">
            <v>N</v>
          </cell>
          <cell r="I386" t="str">
            <v>N</v>
          </cell>
          <cell r="J386" t="str">
            <v>N</v>
          </cell>
        </row>
        <row r="387">
          <cell r="B387">
            <v>78924000</v>
          </cell>
          <cell r="C387" t="str">
            <v>Y</v>
          </cell>
          <cell r="D387" t="str">
            <v>Y</v>
          </cell>
          <cell r="E387" t="str">
            <v>Y</v>
          </cell>
          <cell r="F387" t="str">
            <v>Y</v>
          </cell>
          <cell r="G387" t="str">
            <v>Y</v>
          </cell>
          <cell r="H387" t="str">
            <v>Y</v>
          </cell>
          <cell r="I387" t="str">
            <v>Y</v>
          </cell>
          <cell r="J387" t="str">
            <v>Y</v>
          </cell>
        </row>
        <row r="388">
          <cell r="B388">
            <v>78925000</v>
          </cell>
          <cell r="C388" t="str">
            <v>N</v>
          </cell>
          <cell r="D388" t="str">
            <v>N</v>
          </cell>
          <cell r="E388" t="str">
            <v>N</v>
          </cell>
          <cell r="F388" t="str">
            <v>Y</v>
          </cell>
          <cell r="G388" t="str">
            <v>Y</v>
          </cell>
          <cell r="H388" t="str">
            <v>N</v>
          </cell>
          <cell r="I388" t="str">
            <v>N</v>
          </cell>
          <cell r="J388" t="str">
            <v>N</v>
          </cell>
        </row>
        <row r="389">
          <cell r="B389">
            <v>78926000</v>
          </cell>
          <cell r="C389" t="str">
            <v>N</v>
          </cell>
          <cell r="D389" t="str">
            <v>Y</v>
          </cell>
          <cell r="E389" t="str">
            <v>Y</v>
          </cell>
          <cell r="F389" t="str">
            <v>Y</v>
          </cell>
          <cell r="G389" t="str">
            <v>Y</v>
          </cell>
          <cell r="H389" t="str">
            <v>Y</v>
          </cell>
          <cell r="I389" t="str">
            <v>Y</v>
          </cell>
          <cell r="J389" t="str">
            <v>N</v>
          </cell>
        </row>
        <row r="390">
          <cell r="B390">
            <v>78928000</v>
          </cell>
          <cell r="C390" t="str">
            <v>Y</v>
          </cell>
          <cell r="D390" t="str">
            <v>Y</v>
          </cell>
          <cell r="E390" t="str">
            <v>Y</v>
          </cell>
          <cell r="F390" t="str">
            <v>N</v>
          </cell>
          <cell r="G390" t="str">
            <v>Y</v>
          </cell>
          <cell r="H390" t="str">
            <v>Y</v>
          </cell>
          <cell r="I390" t="str">
            <v>Y</v>
          </cell>
          <cell r="J390" t="str">
            <v>Y</v>
          </cell>
        </row>
        <row r="391">
          <cell r="B391">
            <v>78930000</v>
          </cell>
          <cell r="C391" t="str">
            <v>Y</v>
          </cell>
          <cell r="D391" t="str">
            <v>Y</v>
          </cell>
          <cell r="E391" t="str">
            <v>Y</v>
          </cell>
          <cell r="F391" t="str">
            <v>Y</v>
          </cell>
          <cell r="G391" t="str">
            <v>Y</v>
          </cell>
          <cell r="H391" t="str">
            <v>Y</v>
          </cell>
          <cell r="I391" t="str">
            <v>Y</v>
          </cell>
          <cell r="J391" t="str">
            <v>Y</v>
          </cell>
        </row>
        <row r="392">
          <cell r="B392">
            <v>78931000</v>
          </cell>
          <cell r="C392" t="str">
            <v>Y</v>
          </cell>
          <cell r="D392" t="str">
            <v>Y</v>
          </cell>
          <cell r="E392" t="str">
            <v>Y</v>
          </cell>
          <cell r="F392" t="str">
            <v>Y</v>
          </cell>
          <cell r="G392" t="str">
            <v>Y</v>
          </cell>
          <cell r="H392" t="str">
            <v>N</v>
          </cell>
          <cell r="I392" t="str">
            <v>Y</v>
          </cell>
          <cell r="J392" t="str">
            <v>N</v>
          </cell>
        </row>
        <row r="393">
          <cell r="B393">
            <v>78933000</v>
          </cell>
          <cell r="C393" t="str">
            <v>Y</v>
          </cell>
          <cell r="D393" t="str">
            <v>Y</v>
          </cell>
          <cell r="E393" t="str">
            <v>Y</v>
          </cell>
          <cell r="F393" t="str">
            <v>N</v>
          </cell>
          <cell r="G393" t="str">
            <v>N</v>
          </cell>
          <cell r="H393" t="str">
            <v>N</v>
          </cell>
          <cell r="I393" t="str">
            <v>N</v>
          </cell>
          <cell r="J393" t="str">
            <v>N</v>
          </cell>
        </row>
        <row r="394">
          <cell r="B394">
            <v>78934000</v>
          </cell>
          <cell r="C394" t="str">
            <v>N</v>
          </cell>
          <cell r="D394" t="str">
            <v>N</v>
          </cell>
          <cell r="E394" t="str">
            <v>N</v>
          </cell>
          <cell r="F394" t="str">
            <v>N</v>
          </cell>
          <cell r="G394" t="str">
            <v>N</v>
          </cell>
          <cell r="H394" t="str">
            <v>N</v>
          </cell>
          <cell r="I394" t="str">
            <v>N</v>
          </cell>
          <cell r="J394" t="str">
            <v>N</v>
          </cell>
        </row>
        <row r="395">
          <cell r="B395">
            <v>78935000</v>
          </cell>
          <cell r="C395" t="str">
            <v>N</v>
          </cell>
          <cell r="D395" t="str">
            <v>N</v>
          </cell>
          <cell r="E395" t="str">
            <v>N</v>
          </cell>
          <cell r="F395" t="str">
            <v>Y</v>
          </cell>
          <cell r="G395" t="str">
            <v>Y</v>
          </cell>
          <cell r="H395" t="str">
            <v>Y</v>
          </cell>
          <cell r="I395" t="str">
            <v>Y</v>
          </cell>
          <cell r="J395" t="str">
            <v>Y</v>
          </cell>
        </row>
        <row r="396">
          <cell r="B396">
            <v>78936000</v>
          </cell>
          <cell r="C396" t="str">
            <v>N</v>
          </cell>
          <cell r="D396" t="str">
            <v>N</v>
          </cell>
          <cell r="E396" t="str">
            <v>N</v>
          </cell>
          <cell r="F396" t="str">
            <v>N</v>
          </cell>
          <cell r="G396" t="str">
            <v>N</v>
          </cell>
          <cell r="H396" t="str">
            <v>N</v>
          </cell>
          <cell r="I396" t="str">
            <v>N</v>
          </cell>
          <cell r="J396" t="str">
            <v>N</v>
          </cell>
        </row>
        <row r="397">
          <cell r="B397">
            <v>78939000</v>
          </cell>
          <cell r="C397" t="str">
            <v>Y</v>
          </cell>
          <cell r="D397" t="str">
            <v>Y</v>
          </cell>
          <cell r="E397" t="str">
            <v>Y</v>
          </cell>
          <cell r="F397" t="str">
            <v>Y</v>
          </cell>
          <cell r="G397" t="str">
            <v>Y</v>
          </cell>
          <cell r="H397" t="str">
            <v>Y</v>
          </cell>
          <cell r="I397" t="str">
            <v>Y</v>
          </cell>
          <cell r="J397" t="str">
            <v>Y</v>
          </cell>
        </row>
        <row r="398">
          <cell r="B398">
            <v>78940000</v>
          </cell>
          <cell r="C398" t="str">
            <v>Y</v>
          </cell>
          <cell r="D398" t="str">
            <v>Y</v>
          </cell>
          <cell r="E398" t="str">
            <v>Y</v>
          </cell>
          <cell r="F398" t="str">
            <v>Y</v>
          </cell>
          <cell r="G398" t="str">
            <v>Y</v>
          </cell>
          <cell r="H398" t="str">
            <v>Y</v>
          </cell>
          <cell r="I398" t="str">
            <v>Y</v>
          </cell>
          <cell r="J398" t="str">
            <v>Y</v>
          </cell>
        </row>
        <row r="399">
          <cell r="B399">
            <v>78944000</v>
          </cell>
          <cell r="C399" t="str">
            <v>N</v>
          </cell>
          <cell r="D399" t="str">
            <v>N</v>
          </cell>
          <cell r="E399" t="str">
            <v>Y</v>
          </cell>
          <cell r="F399" t="str">
            <v>Y</v>
          </cell>
          <cell r="G399" t="str">
            <v>N</v>
          </cell>
          <cell r="H399" t="str">
            <v>N</v>
          </cell>
          <cell r="I399" t="str">
            <v>N</v>
          </cell>
          <cell r="J399" t="str">
            <v>N</v>
          </cell>
        </row>
        <row r="400">
          <cell r="B400">
            <v>78945000</v>
          </cell>
          <cell r="C400" t="str">
            <v>N</v>
          </cell>
          <cell r="D400" t="str">
            <v>Y</v>
          </cell>
          <cell r="E400" t="str">
            <v>Y</v>
          </cell>
          <cell r="F400" t="str">
            <v>Y</v>
          </cell>
          <cell r="G400" t="str">
            <v>Y</v>
          </cell>
          <cell r="H400" t="str">
            <v>Y</v>
          </cell>
          <cell r="I400" t="str">
            <v>Y</v>
          </cell>
          <cell r="J400" t="str">
            <v>Y</v>
          </cell>
        </row>
        <row r="401">
          <cell r="B401">
            <v>78946000</v>
          </cell>
          <cell r="C401" t="str">
            <v>Y</v>
          </cell>
          <cell r="D401" t="str">
            <v>Y</v>
          </cell>
          <cell r="E401" t="str">
            <v>Y</v>
          </cell>
          <cell r="F401" t="str">
            <v>Y</v>
          </cell>
          <cell r="G401" t="str">
            <v>Y</v>
          </cell>
          <cell r="H401" t="str">
            <v>Y</v>
          </cell>
          <cell r="I401" t="str">
            <v>Y</v>
          </cell>
          <cell r="J401" t="str">
            <v>Y</v>
          </cell>
        </row>
        <row r="402">
          <cell r="B402">
            <v>78947000</v>
          </cell>
          <cell r="C402" t="str">
            <v>N</v>
          </cell>
          <cell r="D402" t="str">
            <v>Y</v>
          </cell>
          <cell r="E402" t="str">
            <v>N</v>
          </cell>
          <cell r="F402" t="str">
            <v>Y</v>
          </cell>
          <cell r="G402" t="str">
            <v>Y</v>
          </cell>
          <cell r="H402" t="str">
            <v>Y</v>
          </cell>
          <cell r="I402" t="str">
            <v>Y</v>
          </cell>
          <cell r="J402" t="str">
            <v>Y</v>
          </cell>
        </row>
        <row r="403">
          <cell r="B403">
            <v>78948000</v>
          </cell>
          <cell r="C403" t="str">
            <v>Y</v>
          </cell>
          <cell r="D403" t="str">
            <v>Y</v>
          </cell>
          <cell r="E403" t="str">
            <v>Y</v>
          </cell>
          <cell r="F403" t="str">
            <v>Y</v>
          </cell>
          <cell r="G403" t="str">
            <v>Y</v>
          </cell>
          <cell r="H403" t="str">
            <v>Y</v>
          </cell>
          <cell r="I403" t="str">
            <v>Y</v>
          </cell>
          <cell r="J403" t="str">
            <v>Y</v>
          </cell>
        </row>
        <row r="404">
          <cell r="B404">
            <v>78949000</v>
          </cell>
          <cell r="C404" t="str">
            <v>Y</v>
          </cell>
          <cell r="D404" t="str">
            <v>Y</v>
          </cell>
          <cell r="E404" t="str">
            <v>Y</v>
          </cell>
          <cell r="F404" t="str">
            <v>Y</v>
          </cell>
          <cell r="G404" t="str">
            <v>Y</v>
          </cell>
          <cell r="H404" t="str">
            <v>Y</v>
          </cell>
          <cell r="I404" t="str">
            <v>Y</v>
          </cell>
          <cell r="J404" t="str">
            <v>Y</v>
          </cell>
        </row>
        <row r="405">
          <cell r="B405">
            <v>78950000</v>
          </cell>
          <cell r="C405" t="str">
            <v>Y</v>
          </cell>
          <cell r="D405" t="str">
            <v>Y</v>
          </cell>
          <cell r="E405" t="str">
            <v>Y</v>
          </cell>
          <cell r="F405" t="str">
            <v>Y</v>
          </cell>
          <cell r="G405" t="str">
            <v>Y</v>
          </cell>
          <cell r="H405" t="str">
            <v>Y</v>
          </cell>
          <cell r="I405" t="str">
            <v>Y</v>
          </cell>
          <cell r="J405" t="str">
            <v>Y</v>
          </cell>
        </row>
        <row r="406">
          <cell r="B406">
            <v>78951000</v>
          </cell>
          <cell r="C406" t="str">
            <v>Y</v>
          </cell>
          <cell r="D406" t="str">
            <v>Y</v>
          </cell>
          <cell r="E406" t="str">
            <v>Y</v>
          </cell>
          <cell r="F406" t="str">
            <v>Y</v>
          </cell>
          <cell r="G406" t="str">
            <v>Y</v>
          </cell>
          <cell r="H406" t="str">
            <v>Y</v>
          </cell>
          <cell r="I406" t="str">
            <v>Y</v>
          </cell>
          <cell r="J406" t="str">
            <v>Y</v>
          </cell>
        </row>
        <row r="407">
          <cell r="B407">
            <v>78952000</v>
          </cell>
          <cell r="C407" t="str">
            <v>Y</v>
          </cell>
          <cell r="D407" t="str">
            <v>Y</v>
          </cell>
          <cell r="E407" t="str">
            <v>Y</v>
          </cell>
          <cell r="F407" t="str">
            <v>Y</v>
          </cell>
          <cell r="G407" t="str">
            <v>Y</v>
          </cell>
          <cell r="H407" t="str">
            <v>Y</v>
          </cell>
          <cell r="I407" t="str">
            <v>Y</v>
          </cell>
          <cell r="J407" t="str">
            <v>Y</v>
          </cell>
        </row>
        <row r="408">
          <cell r="B408">
            <v>78953000</v>
          </cell>
          <cell r="C408" t="str">
            <v>Y</v>
          </cell>
          <cell r="D408" t="str">
            <v>Y</v>
          </cell>
          <cell r="E408" t="str">
            <v>Y</v>
          </cell>
          <cell r="F408" t="str">
            <v>Y</v>
          </cell>
          <cell r="G408" t="str">
            <v>Y</v>
          </cell>
          <cell r="H408" t="str">
            <v>Y</v>
          </cell>
          <cell r="I408" t="str">
            <v>Y</v>
          </cell>
          <cell r="J408" t="str">
            <v>Y</v>
          </cell>
        </row>
        <row r="409">
          <cell r="B409">
            <v>78954000</v>
          </cell>
          <cell r="C409" t="str">
            <v>Y</v>
          </cell>
          <cell r="D409" t="str">
            <v>Y</v>
          </cell>
          <cell r="E409" t="str">
            <v>Y</v>
          </cell>
          <cell r="F409" t="str">
            <v>Y</v>
          </cell>
          <cell r="G409" t="str">
            <v>Y</v>
          </cell>
          <cell r="H409" t="str">
            <v>Y</v>
          </cell>
          <cell r="I409" t="str">
            <v>N</v>
          </cell>
          <cell r="J409" t="str">
            <v>Y</v>
          </cell>
        </row>
        <row r="410">
          <cell r="B410">
            <v>78956000</v>
          </cell>
          <cell r="C410" t="str">
            <v>Y</v>
          </cell>
          <cell r="D410" t="str">
            <v>Y</v>
          </cell>
          <cell r="E410" t="str">
            <v>Y</v>
          </cell>
          <cell r="F410" t="str">
            <v>Y</v>
          </cell>
          <cell r="G410" t="str">
            <v>Y</v>
          </cell>
          <cell r="H410" t="str">
            <v>Y</v>
          </cell>
          <cell r="I410" t="str">
            <v>Y</v>
          </cell>
          <cell r="J410" t="str">
            <v>Y</v>
          </cell>
        </row>
        <row r="411">
          <cell r="B411">
            <v>78957000</v>
          </cell>
          <cell r="C411" t="str">
            <v>N</v>
          </cell>
          <cell r="D411" t="str">
            <v>N</v>
          </cell>
          <cell r="E411" t="str">
            <v>N</v>
          </cell>
          <cell r="F411" t="str">
            <v>N</v>
          </cell>
          <cell r="G411" t="str">
            <v>N</v>
          </cell>
          <cell r="H411" t="str">
            <v>N</v>
          </cell>
          <cell r="I411" t="str">
            <v>N</v>
          </cell>
          <cell r="J411" t="str">
            <v>N</v>
          </cell>
        </row>
        <row r="412">
          <cell r="B412">
            <v>78959000</v>
          </cell>
          <cell r="C412" t="str">
            <v>Y</v>
          </cell>
          <cell r="D412" t="str">
            <v>Y</v>
          </cell>
          <cell r="E412" t="str">
            <v>Y</v>
          </cell>
          <cell r="F412" t="str">
            <v>Y</v>
          </cell>
          <cell r="G412" t="str">
            <v>Y</v>
          </cell>
          <cell r="H412" t="str">
            <v>Y</v>
          </cell>
          <cell r="I412" t="str">
            <v>Y</v>
          </cell>
          <cell r="J412" t="str">
            <v>Y</v>
          </cell>
        </row>
        <row r="413">
          <cell r="B413">
            <v>78960000</v>
          </cell>
          <cell r="C413" t="str">
            <v>Y</v>
          </cell>
          <cell r="D413" t="str">
            <v>N</v>
          </cell>
          <cell r="E413" t="str">
            <v>N</v>
          </cell>
          <cell r="F413" t="str">
            <v>N</v>
          </cell>
          <cell r="G413" t="str">
            <v>N</v>
          </cell>
          <cell r="H413" t="str">
            <v>N</v>
          </cell>
          <cell r="I413" t="str">
            <v>N</v>
          </cell>
          <cell r="J413" t="str">
            <v>N</v>
          </cell>
        </row>
        <row r="414">
          <cell r="B414">
            <v>78962000</v>
          </cell>
          <cell r="C414" t="str">
            <v>N</v>
          </cell>
          <cell r="D414" t="str">
            <v>N</v>
          </cell>
          <cell r="E414" t="str">
            <v>Y</v>
          </cell>
          <cell r="F414" t="str">
            <v>Y</v>
          </cell>
          <cell r="G414" t="str">
            <v>Y</v>
          </cell>
          <cell r="H414" t="str">
            <v>Y</v>
          </cell>
          <cell r="I414" t="str">
            <v>Y</v>
          </cell>
          <cell r="J414" t="str">
            <v>Y</v>
          </cell>
        </row>
        <row r="415">
          <cell r="B415">
            <v>78963000</v>
          </cell>
          <cell r="C415" t="str">
            <v>Y</v>
          </cell>
          <cell r="D415" t="str">
            <v>Y</v>
          </cell>
          <cell r="E415" t="str">
            <v>Y</v>
          </cell>
          <cell r="F415" t="str">
            <v>Y</v>
          </cell>
          <cell r="G415" t="str">
            <v>Y</v>
          </cell>
          <cell r="H415" t="str">
            <v>Y</v>
          </cell>
          <cell r="I415" t="str">
            <v>Y</v>
          </cell>
          <cell r="J415" t="str">
            <v>Y</v>
          </cell>
        </row>
        <row r="416">
          <cell r="B416">
            <v>78964000</v>
          </cell>
          <cell r="C416" t="str">
            <v>N</v>
          </cell>
          <cell r="D416" t="str">
            <v>N</v>
          </cell>
          <cell r="E416" t="str">
            <v>N</v>
          </cell>
          <cell r="F416" t="str">
            <v>N</v>
          </cell>
          <cell r="G416" t="str">
            <v>N</v>
          </cell>
          <cell r="H416" t="str">
            <v>N</v>
          </cell>
          <cell r="I416" t="str">
            <v>N</v>
          </cell>
          <cell r="J416" t="str">
            <v>N</v>
          </cell>
        </row>
        <row r="417">
          <cell r="B417">
            <v>78967000</v>
          </cell>
          <cell r="C417" t="str">
            <v>Y</v>
          </cell>
          <cell r="D417" t="str">
            <v>Y</v>
          </cell>
          <cell r="E417" t="str">
            <v>Y</v>
          </cell>
          <cell r="F417" t="str">
            <v>Y</v>
          </cell>
          <cell r="G417" t="str">
            <v>Y</v>
          </cell>
          <cell r="H417" t="str">
            <v>Y</v>
          </cell>
          <cell r="I417" t="str">
            <v>Y</v>
          </cell>
          <cell r="J417" t="str">
            <v>Y</v>
          </cell>
        </row>
        <row r="418">
          <cell r="B418">
            <v>78968000</v>
          </cell>
          <cell r="C418" t="str">
            <v>Y</v>
          </cell>
          <cell r="D418" t="str">
            <v>Y</v>
          </cell>
          <cell r="E418" t="str">
            <v>Y</v>
          </cell>
          <cell r="F418" t="str">
            <v>Y</v>
          </cell>
          <cell r="G418" t="str">
            <v>Y</v>
          </cell>
          <cell r="H418" t="str">
            <v>Y</v>
          </cell>
          <cell r="I418" t="str">
            <v>Y</v>
          </cell>
          <cell r="J418" t="str">
            <v>Y</v>
          </cell>
        </row>
        <row r="419">
          <cell r="B419">
            <v>78971000</v>
          </cell>
          <cell r="C419" t="str">
            <v>N</v>
          </cell>
          <cell r="D419" t="str">
            <v>N</v>
          </cell>
          <cell r="E419" t="str">
            <v>N</v>
          </cell>
          <cell r="F419" t="str">
            <v>Y</v>
          </cell>
          <cell r="G419" t="str">
            <v>Y</v>
          </cell>
          <cell r="H419" t="str">
            <v>Y</v>
          </cell>
          <cell r="I419" t="str">
            <v>Y</v>
          </cell>
          <cell r="J419" t="str">
            <v>Y</v>
          </cell>
        </row>
        <row r="420">
          <cell r="B420">
            <v>78972000</v>
          </cell>
          <cell r="C420" t="str">
            <v>Y</v>
          </cell>
          <cell r="D420" t="str">
            <v>Y</v>
          </cell>
          <cell r="E420" t="str">
            <v>Y</v>
          </cell>
          <cell r="F420" t="str">
            <v>Y</v>
          </cell>
          <cell r="G420" t="str">
            <v>Y</v>
          </cell>
          <cell r="H420" t="str">
            <v>Y</v>
          </cell>
          <cell r="I420" t="str">
            <v>Y</v>
          </cell>
          <cell r="J420" t="str">
            <v>Y</v>
          </cell>
        </row>
        <row r="421">
          <cell r="B421">
            <v>78973000</v>
          </cell>
          <cell r="C421" t="str">
            <v>Y</v>
          </cell>
          <cell r="D421" t="str">
            <v>N</v>
          </cell>
          <cell r="E421" t="str">
            <v>Y</v>
          </cell>
          <cell r="F421" t="str">
            <v>Y</v>
          </cell>
          <cell r="G421" t="str">
            <v>Y</v>
          </cell>
          <cell r="H421" t="str">
            <v>N</v>
          </cell>
          <cell r="I421" t="str">
            <v>N</v>
          </cell>
          <cell r="J421" t="str">
            <v>N</v>
          </cell>
        </row>
        <row r="422">
          <cell r="B422">
            <v>78974000</v>
          </cell>
          <cell r="C422" t="str">
            <v>N</v>
          </cell>
          <cell r="D422" t="str">
            <v>N</v>
          </cell>
          <cell r="E422" t="str">
            <v>Y</v>
          </cell>
          <cell r="F422" t="str">
            <v>Y</v>
          </cell>
          <cell r="G422" t="str">
            <v>Y</v>
          </cell>
          <cell r="H422" t="str">
            <v>Y</v>
          </cell>
          <cell r="I422" t="str">
            <v>N</v>
          </cell>
          <cell r="J422" t="str">
            <v>Y</v>
          </cell>
        </row>
        <row r="423">
          <cell r="B423">
            <v>78975000</v>
          </cell>
          <cell r="C423" t="str">
            <v>Y</v>
          </cell>
          <cell r="D423" t="str">
            <v>Y</v>
          </cell>
          <cell r="E423" t="str">
            <v>Y</v>
          </cell>
          <cell r="F423" t="str">
            <v>Y</v>
          </cell>
          <cell r="G423" t="str">
            <v>Y</v>
          </cell>
          <cell r="H423" t="str">
            <v>Y</v>
          </cell>
          <cell r="I423" t="str">
            <v>Y</v>
          </cell>
          <cell r="J423" t="str">
            <v>Y</v>
          </cell>
        </row>
        <row r="424">
          <cell r="B424">
            <v>78976000</v>
          </cell>
          <cell r="C424" t="str">
            <v>Y</v>
          </cell>
          <cell r="D424" t="str">
            <v>Y</v>
          </cell>
          <cell r="E424" t="str">
            <v>Y</v>
          </cell>
          <cell r="F424" t="str">
            <v>Y</v>
          </cell>
          <cell r="G424" t="str">
            <v>Y</v>
          </cell>
          <cell r="H424" t="str">
            <v>Y</v>
          </cell>
          <cell r="I424" t="str">
            <v>Y</v>
          </cell>
          <cell r="J424" t="str">
            <v>Y</v>
          </cell>
        </row>
        <row r="425">
          <cell r="B425">
            <v>78977000</v>
          </cell>
          <cell r="C425" t="str">
            <v>N</v>
          </cell>
          <cell r="D425" t="str">
            <v>Y</v>
          </cell>
          <cell r="E425" t="str">
            <v>N</v>
          </cell>
          <cell r="F425" t="str">
            <v>N</v>
          </cell>
          <cell r="G425" t="str">
            <v>N</v>
          </cell>
          <cell r="H425" t="str">
            <v>Y</v>
          </cell>
          <cell r="I425" t="str">
            <v>Y</v>
          </cell>
          <cell r="J425" t="str">
            <v>N</v>
          </cell>
        </row>
        <row r="426">
          <cell r="B426">
            <v>78980000</v>
          </cell>
          <cell r="C426" t="str">
            <v>Y</v>
          </cell>
          <cell r="D426" t="str">
            <v>Y</v>
          </cell>
          <cell r="E426" t="str">
            <v>N</v>
          </cell>
          <cell r="F426" t="str">
            <v>N</v>
          </cell>
          <cell r="G426" t="str">
            <v>N</v>
          </cell>
          <cell r="H426" t="str">
            <v>N</v>
          </cell>
          <cell r="I426" t="str">
            <v>N</v>
          </cell>
          <cell r="J426" t="str">
            <v>Y</v>
          </cell>
        </row>
        <row r="427">
          <cell r="B427">
            <v>78981000</v>
          </cell>
          <cell r="C427" t="str">
            <v>N</v>
          </cell>
          <cell r="D427" t="str">
            <v>N</v>
          </cell>
          <cell r="E427" t="str">
            <v>N</v>
          </cell>
          <cell r="F427" t="str">
            <v>N</v>
          </cell>
          <cell r="G427" t="str">
            <v>N</v>
          </cell>
          <cell r="H427" t="str">
            <v>N</v>
          </cell>
          <cell r="I427" t="str">
            <v>N</v>
          </cell>
          <cell r="J427" t="str">
            <v>N</v>
          </cell>
        </row>
        <row r="428">
          <cell r="B428">
            <v>78982000</v>
          </cell>
          <cell r="C428" t="str">
            <v>N</v>
          </cell>
          <cell r="D428" t="str">
            <v>N</v>
          </cell>
          <cell r="E428" t="str">
            <v>N</v>
          </cell>
          <cell r="F428" t="str">
            <v>N</v>
          </cell>
          <cell r="G428" t="str">
            <v>N</v>
          </cell>
          <cell r="H428" t="str">
            <v>N</v>
          </cell>
          <cell r="I428" t="str">
            <v>N</v>
          </cell>
          <cell r="J428" t="str">
            <v>N</v>
          </cell>
        </row>
        <row r="429">
          <cell r="B429">
            <v>78983000</v>
          </cell>
          <cell r="C429" t="str">
            <v>Y</v>
          </cell>
          <cell r="D429" t="str">
            <v>Y</v>
          </cell>
          <cell r="E429" t="str">
            <v>Y</v>
          </cell>
          <cell r="F429" t="str">
            <v>Y</v>
          </cell>
          <cell r="G429" t="str">
            <v>Y</v>
          </cell>
          <cell r="H429" t="str">
            <v>Y</v>
          </cell>
          <cell r="I429" t="str">
            <v>Y</v>
          </cell>
          <cell r="J429" t="str">
            <v>Y</v>
          </cell>
        </row>
        <row r="430">
          <cell r="B430">
            <v>78984000</v>
          </cell>
          <cell r="C430" t="str">
            <v>N</v>
          </cell>
          <cell r="D430" t="str">
            <v>N</v>
          </cell>
          <cell r="E430" t="str">
            <v>N</v>
          </cell>
          <cell r="F430" t="str">
            <v>N</v>
          </cell>
          <cell r="G430" t="str">
            <v>N</v>
          </cell>
          <cell r="H430" t="str">
            <v>N</v>
          </cell>
          <cell r="I430" t="str">
            <v>N</v>
          </cell>
          <cell r="J430" t="str">
            <v>N</v>
          </cell>
        </row>
        <row r="431">
          <cell r="B431">
            <v>78985000</v>
          </cell>
          <cell r="C431" t="str">
            <v>Y</v>
          </cell>
          <cell r="D431" t="str">
            <v>Y</v>
          </cell>
          <cell r="E431" t="str">
            <v>Y</v>
          </cell>
          <cell r="F431" t="str">
            <v>Y</v>
          </cell>
          <cell r="G431" t="str">
            <v>Y</v>
          </cell>
          <cell r="H431" t="str">
            <v>Y</v>
          </cell>
          <cell r="I431" t="str">
            <v>Y</v>
          </cell>
          <cell r="J431" t="str">
            <v>Y</v>
          </cell>
        </row>
        <row r="432">
          <cell r="B432">
            <v>78987000</v>
          </cell>
          <cell r="C432" t="str">
            <v>Y</v>
          </cell>
          <cell r="D432" t="str">
            <v>Y</v>
          </cell>
          <cell r="E432" t="str">
            <v>Y</v>
          </cell>
          <cell r="F432" t="str">
            <v>Y</v>
          </cell>
          <cell r="G432" t="str">
            <v>Y</v>
          </cell>
          <cell r="H432" t="str">
            <v>Y</v>
          </cell>
          <cell r="I432" t="str">
            <v>Y</v>
          </cell>
          <cell r="J432" t="str">
            <v>Y</v>
          </cell>
        </row>
        <row r="433">
          <cell r="B433">
            <v>78988000</v>
          </cell>
          <cell r="C433" t="str">
            <v>N</v>
          </cell>
          <cell r="D433" t="str">
            <v>N</v>
          </cell>
          <cell r="E433" t="str">
            <v>N</v>
          </cell>
          <cell r="F433" t="str">
            <v>Y</v>
          </cell>
          <cell r="G433" t="str">
            <v>N</v>
          </cell>
          <cell r="H433" t="str">
            <v>Y</v>
          </cell>
          <cell r="I433" t="str">
            <v>Y</v>
          </cell>
          <cell r="J433" t="str">
            <v>Y</v>
          </cell>
        </row>
        <row r="434">
          <cell r="B434">
            <v>78990000</v>
          </cell>
          <cell r="C434" t="str">
            <v>Y</v>
          </cell>
          <cell r="D434" t="str">
            <v>Y</v>
          </cell>
          <cell r="E434" t="str">
            <v>Y</v>
          </cell>
          <cell r="F434" t="str">
            <v>N</v>
          </cell>
          <cell r="G434" t="str">
            <v>N</v>
          </cell>
          <cell r="H434" t="str">
            <v>N</v>
          </cell>
          <cell r="I434" t="str">
            <v>N</v>
          </cell>
          <cell r="J434" t="str">
            <v>N</v>
          </cell>
        </row>
        <row r="435">
          <cell r="B435">
            <v>78991000</v>
          </cell>
          <cell r="C435" t="str">
            <v>N</v>
          </cell>
          <cell r="D435" t="str">
            <v>N</v>
          </cell>
          <cell r="E435" t="str">
            <v>N</v>
          </cell>
          <cell r="F435" t="str">
            <v>Y</v>
          </cell>
          <cell r="G435" t="str">
            <v>N</v>
          </cell>
          <cell r="H435" t="str">
            <v>Y</v>
          </cell>
          <cell r="I435" t="str">
            <v>N</v>
          </cell>
          <cell r="J435" t="str">
            <v>N</v>
          </cell>
        </row>
        <row r="436">
          <cell r="B436">
            <v>78992000</v>
          </cell>
          <cell r="C436" t="str">
            <v>Y</v>
          </cell>
          <cell r="D436" t="str">
            <v>Y</v>
          </cell>
          <cell r="E436" t="str">
            <v>Y</v>
          </cell>
          <cell r="F436" t="str">
            <v>Y</v>
          </cell>
          <cell r="G436" t="str">
            <v>Y</v>
          </cell>
          <cell r="H436" t="str">
            <v>Y</v>
          </cell>
          <cell r="I436" t="str">
            <v>Y</v>
          </cell>
          <cell r="J436" t="str">
            <v>Y</v>
          </cell>
        </row>
        <row r="437">
          <cell r="B437">
            <v>78993000</v>
          </cell>
          <cell r="C437" t="str">
            <v>Y</v>
          </cell>
          <cell r="D437" t="str">
            <v>Y</v>
          </cell>
          <cell r="E437" t="str">
            <v>Y</v>
          </cell>
          <cell r="F437" t="str">
            <v>Y</v>
          </cell>
          <cell r="G437" t="str">
            <v>Y</v>
          </cell>
          <cell r="H437" t="str">
            <v>Y</v>
          </cell>
          <cell r="I437" t="str">
            <v>Y</v>
          </cell>
          <cell r="J437" t="str">
            <v>Y</v>
          </cell>
        </row>
        <row r="438">
          <cell r="B438">
            <v>78994000</v>
          </cell>
          <cell r="C438" t="str">
            <v>N</v>
          </cell>
          <cell r="D438" t="str">
            <v>N</v>
          </cell>
          <cell r="E438" t="str">
            <v>N</v>
          </cell>
          <cell r="F438" t="str">
            <v>N</v>
          </cell>
          <cell r="G438" t="str">
            <v>N</v>
          </cell>
          <cell r="H438" t="str">
            <v>N</v>
          </cell>
          <cell r="I438" t="str">
            <v>N</v>
          </cell>
          <cell r="J438" t="str">
            <v>N</v>
          </cell>
        </row>
        <row r="439">
          <cell r="B439">
            <v>78995000</v>
          </cell>
          <cell r="C439" t="str">
            <v>Y</v>
          </cell>
          <cell r="D439" t="str">
            <v>Y</v>
          </cell>
          <cell r="E439" t="str">
            <v>Y</v>
          </cell>
          <cell r="F439" t="str">
            <v>Y</v>
          </cell>
          <cell r="G439" t="str">
            <v>Y</v>
          </cell>
          <cell r="H439" t="str">
            <v>Y</v>
          </cell>
          <cell r="I439" t="str">
            <v>Y</v>
          </cell>
          <cell r="J439" t="str">
            <v>Y</v>
          </cell>
        </row>
        <row r="440">
          <cell r="B440">
            <v>78997000</v>
          </cell>
          <cell r="C440" t="str">
            <v>N</v>
          </cell>
          <cell r="D440" t="str">
            <v>N</v>
          </cell>
          <cell r="E440" t="str">
            <v>N</v>
          </cell>
          <cell r="F440" t="str">
            <v>N</v>
          </cell>
          <cell r="G440" t="str">
            <v>N</v>
          </cell>
          <cell r="H440" t="str">
            <v>N</v>
          </cell>
          <cell r="I440" t="str">
            <v>N</v>
          </cell>
          <cell r="J440" t="str">
            <v>N</v>
          </cell>
        </row>
        <row r="441">
          <cell r="B441">
            <v>78998000</v>
          </cell>
          <cell r="C441" t="str">
            <v>N</v>
          </cell>
          <cell r="D441" t="str">
            <v>N</v>
          </cell>
          <cell r="E441" t="str">
            <v>N</v>
          </cell>
          <cell r="F441" t="str">
            <v>N</v>
          </cell>
          <cell r="G441" t="str">
            <v>N</v>
          </cell>
          <cell r="H441" t="str">
            <v>N</v>
          </cell>
          <cell r="I441" t="str">
            <v>N</v>
          </cell>
          <cell r="J441" t="str">
            <v>N</v>
          </cell>
        </row>
        <row r="442">
          <cell r="B442">
            <v>78999000</v>
          </cell>
          <cell r="C442" t="str">
            <v>Y</v>
          </cell>
          <cell r="D442" t="str">
            <v>Y</v>
          </cell>
          <cell r="E442" t="str">
            <v>Y</v>
          </cell>
          <cell r="F442" t="str">
            <v>Y</v>
          </cell>
          <cell r="G442" t="str">
            <v>Y</v>
          </cell>
          <cell r="H442" t="str">
            <v>Y</v>
          </cell>
          <cell r="I442" t="str">
            <v>Y</v>
          </cell>
          <cell r="J442" t="str">
            <v>Y</v>
          </cell>
        </row>
        <row r="443">
          <cell r="B443">
            <v>79999001</v>
          </cell>
          <cell r="C443" t="str">
            <v>N</v>
          </cell>
          <cell r="D443" t="str">
            <v>N</v>
          </cell>
          <cell r="E443" t="str">
            <v>N</v>
          </cell>
          <cell r="F443" t="str">
            <v>N</v>
          </cell>
          <cell r="G443" t="str">
            <v>N</v>
          </cell>
          <cell r="H443" t="str">
            <v>N</v>
          </cell>
          <cell r="I443" t="str">
            <v>N</v>
          </cell>
          <cell r="J443" t="str">
            <v>N</v>
          </cell>
        </row>
        <row r="444">
          <cell r="B444">
            <v>80201000</v>
          </cell>
          <cell r="C444" t="str">
            <v>Y</v>
          </cell>
          <cell r="D444" t="str">
            <v>Y</v>
          </cell>
          <cell r="E444" t="str">
            <v>Y</v>
          </cell>
          <cell r="F444" t="str">
            <v>Y</v>
          </cell>
          <cell r="G444" t="str">
            <v>Y</v>
          </cell>
          <cell r="H444" t="str">
            <v>Y</v>
          </cell>
          <cell r="I444" t="str">
            <v>Y</v>
          </cell>
          <cell r="J444" t="str">
            <v>Y</v>
          </cell>
        </row>
        <row r="445">
          <cell r="B445">
            <v>80208000</v>
          </cell>
          <cell r="C445" t="str">
            <v>Y</v>
          </cell>
          <cell r="D445" t="str">
            <v>Y</v>
          </cell>
          <cell r="E445" t="str">
            <v>Y</v>
          </cell>
          <cell r="F445" t="str">
            <v>Y</v>
          </cell>
          <cell r="G445" t="str">
            <v>Y</v>
          </cell>
          <cell r="H445" t="str">
            <v>Y</v>
          </cell>
          <cell r="I445" t="str">
            <v>Y</v>
          </cell>
          <cell r="J445" t="str">
            <v>Y</v>
          </cell>
        </row>
        <row r="446">
          <cell r="B446">
            <v>80209000</v>
          </cell>
          <cell r="C446" t="str">
            <v>Y</v>
          </cell>
          <cell r="D446" t="str">
            <v>Y</v>
          </cell>
          <cell r="E446" t="str">
            <v>Y</v>
          </cell>
          <cell r="F446" t="str">
            <v>Y</v>
          </cell>
          <cell r="G446" t="str">
            <v>Y</v>
          </cell>
          <cell r="H446" t="str">
            <v>Y</v>
          </cell>
          <cell r="I446" t="str">
            <v>Y</v>
          </cell>
          <cell r="J446" t="str">
            <v>Y</v>
          </cell>
        </row>
        <row r="447">
          <cell r="B447">
            <v>80214000</v>
          </cell>
          <cell r="C447" t="str">
            <v>Y</v>
          </cell>
          <cell r="D447" t="str">
            <v>Y</v>
          </cell>
          <cell r="E447" t="str">
            <v>Y</v>
          </cell>
          <cell r="F447" t="str">
            <v>Y</v>
          </cell>
          <cell r="G447" t="str">
            <v>Y</v>
          </cell>
          <cell r="H447" t="str">
            <v>Y</v>
          </cell>
          <cell r="I447" t="str">
            <v>Y</v>
          </cell>
          <cell r="J447" t="str">
            <v>Y</v>
          </cell>
        </row>
        <row r="448">
          <cell r="B448">
            <v>80220000</v>
          </cell>
          <cell r="C448" t="str">
            <v>Y</v>
          </cell>
          <cell r="D448" t="str">
            <v>Y</v>
          </cell>
          <cell r="E448" t="str">
            <v>Y</v>
          </cell>
          <cell r="F448" t="str">
            <v>Y</v>
          </cell>
          <cell r="G448" t="str">
            <v>Y</v>
          </cell>
          <cell r="H448" t="str">
            <v>Y</v>
          </cell>
          <cell r="I448" t="str">
            <v>Y</v>
          </cell>
          <cell r="J448" t="str">
            <v>Y</v>
          </cell>
        </row>
        <row r="449">
          <cell r="B449">
            <v>80303000</v>
          </cell>
          <cell r="C449" t="str">
            <v>Y</v>
          </cell>
          <cell r="D449" t="str">
            <v>Y</v>
          </cell>
          <cell r="E449" t="str">
            <v>Y</v>
          </cell>
          <cell r="F449" t="str">
            <v>Y</v>
          </cell>
          <cell r="G449" t="str">
            <v>Y</v>
          </cell>
          <cell r="H449" t="str">
            <v>Y</v>
          </cell>
          <cell r="I449" t="str">
            <v>Y</v>
          </cell>
          <cell r="J449" t="str">
            <v>Y</v>
          </cell>
        </row>
        <row r="450">
          <cell r="B450">
            <v>80306000</v>
          </cell>
          <cell r="C450" t="str">
            <v>Y</v>
          </cell>
          <cell r="D450" t="str">
            <v>Y</v>
          </cell>
          <cell r="E450" t="str">
            <v>Y</v>
          </cell>
          <cell r="F450" t="str">
            <v>Y</v>
          </cell>
          <cell r="G450" t="str">
            <v>Y</v>
          </cell>
          <cell r="H450" t="str">
            <v>Y</v>
          </cell>
          <cell r="I450" t="str">
            <v>N</v>
          </cell>
          <cell r="J450" t="str">
            <v>N</v>
          </cell>
        </row>
        <row r="451">
          <cell r="B451">
            <v>80313000</v>
          </cell>
          <cell r="C451" t="str">
            <v>Y</v>
          </cell>
          <cell r="D451" t="str">
            <v>Y</v>
          </cell>
          <cell r="E451" t="str">
            <v>Y</v>
          </cell>
          <cell r="F451" t="str">
            <v>Y</v>
          </cell>
          <cell r="G451" t="str">
            <v>Y</v>
          </cell>
          <cell r="H451" t="str">
            <v>Y</v>
          </cell>
          <cell r="I451" t="str">
            <v>N</v>
          </cell>
          <cell r="J451" t="str">
            <v>N</v>
          </cell>
        </row>
        <row r="452">
          <cell r="B452">
            <v>80322000</v>
          </cell>
          <cell r="C452" t="str">
            <v>N</v>
          </cell>
          <cell r="D452" t="str">
            <v>N</v>
          </cell>
          <cell r="E452" t="str">
            <v>N</v>
          </cell>
          <cell r="F452" t="str">
            <v>N</v>
          </cell>
          <cell r="G452" t="str">
            <v>N</v>
          </cell>
          <cell r="H452" t="str">
            <v>N</v>
          </cell>
          <cell r="I452" t="str">
            <v>N</v>
          </cell>
          <cell r="J452" t="str">
            <v>N</v>
          </cell>
        </row>
        <row r="453">
          <cell r="B453">
            <v>80412000</v>
          </cell>
          <cell r="C453" t="str">
            <v>Y</v>
          </cell>
          <cell r="D453" t="str">
            <v>Y</v>
          </cell>
          <cell r="E453" t="str">
            <v>Y</v>
          </cell>
          <cell r="F453" t="str">
            <v>Y</v>
          </cell>
          <cell r="G453" t="str">
            <v>Y</v>
          </cell>
          <cell r="H453" t="str">
            <v>Y</v>
          </cell>
          <cell r="I453" t="str">
            <v>Y</v>
          </cell>
          <cell r="J453" t="str">
            <v>Y</v>
          </cell>
        </row>
        <row r="454">
          <cell r="B454">
            <v>80415000</v>
          </cell>
          <cell r="C454" t="str">
            <v>Y</v>
          </cell>
          <cell r="D454" t="str">
            <v>Y</v>
          </cell>
          <cell r="E454" t="str">
            <v>Y</v>
          </cell>
          <cell r="F454" t="str">
            <v>Y</v>
          </cell>
          <cell r="G454" t="str">
            <v>Y</v>
          </cell>
          <cell r="H454" t="str">
            <v>Y</v>
          </cell>
          <cell r="I454" t="str">
            <v>Y</v>
          </cell>
          <cell r="J454" t="str">
            <v>Y</v>
          </cell>
        </row>
        <row r="455">
          <cell r="B455">
            <v>80416000</v>
          </cell>
          <cell r="C455" t="str">
            <v>Y</v>
          </cell>
          <cell r="D455" t="str">
            <v>Y</v>
          </cell>
          <cell r="E455" t="str">
            <v>Y</v>
          </cell>
          <cell r="F455" t="str">
            <v>Y</v>
          </cell>
          <cell r="G455" t="str">
            <v>Y</v>
          </cell>
          <cell r="H455" t="str">
            <v>Y</v>
          </cell>
          <cell r="I455" t="str">
            <v>Y</v>
          </cell>
          <cell r="J455" t="str">
            <v>Y</v>
          </cell>
        </row>
        <row r="456">
          <cell r="B456">
            <v>80502000</v>
          </cell>
          <cell r="C456" t="str">
            <v>Y</v>
          </cell>
          <cell r="D456" t="str">
            <v>Y</v>
          </cell>
          <cell r="E456" t="str">
            <v>Y</v>
          </cell>
          <cell r="F456" t="str">
            <v>Y</v>
          </cell>
          <cell r="G456" t="str">
            <v>Y</v>
          </cell>
          <cell r="H456" t="str">
            <v>Y</v>
          </cell>
          <cell r="I456" t="str">
            <v>Y</v>
          </cell>
          <cell r="J456" t="str">
            <v>Y</v>
          </cell>
        </row>
        <row r="457">
          <cell r="B457">
            <v>80899000</v>
          </cell>
          <cell r="C457" t="str">
            <v>N</v>
          </cell>
          <cell r="D457" t="str">
            <v>N</v>
          </cell>
          <cell r="E457" t="str">
            <v>N</v>
          </cell>
          <cell r="F457" t="str">
            <v>N</v>
          </cell>
          <cell r="G457" t="str">
            <v>N</v>
          </cell>
          <cell r="H457" t="str">
            <v>N</v>
          </cell>
          <cell r="I457" t="str">
            <v>N</v>
          </cell>
          <cell r="J457" t="str">
            <v>N</v>
          </cell>
        </row>
        <row r="458">
          <cell r="B458">
            <v>88620000</v>
          </cell>
          <cell r="C458" t="str">
            <v>N</v>
          </cell>
          <cell r="D458" t="str">
            <v>N</v>
          </cell>
          <cell r="E458" t="str">
            <v>N</v>
          </cell>
          <cell r="F458" t="str">
            <v>Y</v>
          </cell>
          <cell r="G458" t="str">
            <v>Y</v>
          </cell>
          <cell r="H458" t="str">
            <v>Y</v>
          </cell>
          <cell r="I458" t="str">
            <v>Y</v>
          </cell>
          <cell r="J458" t="str">
            <v>Y</v>
          </cell>
        </row>
        <row r="459">
          <cell r="B459">
            <v>88702000</v>
          </cell>
          <cell r="C459" t="str">
            <v>Y</v>
          </cell>
          <cell r="D459" t="str">
            <v>Y</v>
          </cell>
          <cell r="E459" t="str">
            <v>Y</v>
          </cell>
          <cell r="F459" t="str">
            <v>Y</v>
          </cell>
          <cell r="G459" t="str">
            <v>Y</v>
          </cell>
          <cell r="H459" t="str">
            <v>Y</v>
          </cell>
          <cell r="I459" t="str">
            <v>Y</v>
          </cell>
          <cell r="J459" t="str">
            <v>Y</v>
          </cell>
        </row>
        <row r="460">
          <cell r="B460">
            <v>88703000</v>
          </cell>
          <cell r="C460" t="str">
            <v>Y</v>
          </cell>
          <cell r="D460" t="str">
            <v>Y</v>
          </cell>
          <cell r="E460" t="str">
            <v>Y</v>
          </cell>
          <cell r="F460" t="str">
            <v>Y</v>
          </cell>
          <cell r="G460" t="str">
            <v>Y</v>
          </cell>
          <cell r="H460" t="str">
            <v>Y</v>
          </cell>
          <cell r="I460" t="str">
            <v>Y</v>
          </cell>
          <cell r="J460" t="str">
            <v>N</v>
          </cell>
        </row>
        <row r="461">
          <cell r="B461">
            <v>88704000</v>
          </cell>
          <cell r="C461" t="str">
            <v>Y</v>
          </cell>
          <cell r="D461" t="str">
            <v>Y</v>
          </cell>
          <cell r="E461" t="str">
            <v>Y</v>
          </cell>
          <cell r="F461" t="str">
            <v>Y</v>
          </cell>
          <cell r="G461" t="str">
            <v>Y</v>
          </cell>
          <cell r="H461" t="str">
            <v>Y</v>
          </cell>
          <cell r="I461" t="str">
            <v>Y</v>
          </cell>
          <cell r="J461" t="str">
            <v>Y</v>
          </cell>
        </row>
        <row r="462">
          <cell r="B462">
            <v>88750000</v>
          </cell>
          <cell r="C462" t="str">
            <v>Y</v>
          </cell>
          <cell r="D462" t="str">
            <v>N</v>
          </cell>
          <cell r="E462" t="str">
            <v>Y</v>
          </cell>
          <cell r="F462" t="str">
            <v>N</v>
          </cell>
          <cell r="G462" t="str">
            <v>N</v>
          </cell>
          <cell r="H462" t="str">
            <v>N</v>
          </cell>
          <cell r="I462" t="str">
            <v>N</v>
          </cell>
          <cell r="J462" t="str">
            <v>N</v>
          </cell>
        </row>
        <row r="463">
          <cell r="B463">
            <v>88755000</v>
          </cell>
          <cell r="C463" t="str">
            <v>Y</v>
          </cell>
          <cell r="D463" t="str">
            <v>Y</v>
          </cell>
          <cell r="E463" t="str">
            <v>Y</v>
          </cell>
          <cell r="F463" t="str">
            <v>Y</v>
          </cell>
          <cell r="G463" t="str">
            <v>Y</v>
          </cell>
          <cell r="H463" t="str">
            <v>Y</v>
          </cell>
          <cell r="I463" t="str">
            <v>Y</v>
          </cell>
          <cell r="J463" t="str">
            <v>Y</v>
          </cell>
        </row>
        <row r="464">
          <cell r="B464">
            <v>88758000</v>
          </cell>
          <cell r="C464" t="str">
            <v>Y</v>
          </cell>
          <cell r="D464" t="str">
            <v>Y</v>
          </cell>
          <cell r="E464" t="str">
            <v>Y</v>
          </cell>
          <cell r="F464" t="str">
            <v>Y</v>
          </cell>
          <cell r="G464" t="str">
            <v>Y</v>
          </cell>
          <cell r="H464" t="str">
            <v>Y</v>
          </cell>
          <cell r="I464" t="str">
            <v>Y</v>
          </cell>
          <cell r="J464" t="str">
            <v>Y</v>
          </cell>
        </row>
        <row r="465">
          <cell r="B465">
            <v>88759000</v>
          </cell>
          <cell r="C465" t="str">
            <v>Y</v>
          </cell>
          <cell r="D465" t="str">
            <v>Y</v>
          </cell>
          <cell r="E465" t="str">
            <v>Y</v>
          </cell>
          <cell r="F465" t="str">
            <v>Y</v>
          </cell>
          <cell r="G465" t="str">
            <v>Y</v>
          </cell>
          <cell r="H465" t="str">
            <v>Y</v>
          </cell>
          <cell r="I465" t="str">
            <v>Y</v>
          </cell>
          <cell r="J465" t="str">
            <v>Y</v>
          </cell>
        </row>
        <row r="466">
          <cell r="B466">
            <v>90199000</v>
          </cell>
          <cell r="C466" t="str">
            <v>N</v>
          </cell>
          <cell r="D466" t="str">
            <v>N</v>
          </cell>
          <cell r="E466" t="str">
            <v>N</v>
          </cell>
          <cell r="F466" t="str">
            <v>N</v>
          </cell>
          <cell r="G466" t="str">
            <v>N</v>
          </cell>
          <cell r="H466" t="str">
            <v>N</v>
          </cell>
          <cell r="I466" t="str">
            <v>N</v>
          </cell>
          <cell r="J466" t="str">
            <v>N</v>
          </cell>
        </row>
        <row r="467">
          <cell r="B467">
            <v>90201000</v>
          </cell>
          <cell r="C467" t="str">
            <v>Y</v>
          </cell>
          <cell r="D467" t="str">
            <v>Y</v>
          </cell>
          <cell r="E467" t="str">
            <v>Y</v>
          </cell>
          <cell r="F467" t="str">
            <v>Y</v>
          </cell>
          <cell r="G467" t="str">
            <v>Y</v>
          </cell>
          <cell r="H467" t="str">
            <v>Y</v>
          </cell>
          <cell r="I467" t="str">
            <v>Y</v>
          </cell>
          <cell r="J467" t="str">
            <v>Y</v>
          </cell>
        </row>
        <row r="468">
          <cell r="B468">
            <v>90202000</v>
          </cell>
          <cell r="C468" t="str">
            <v>Y</v>
          </cell>
          <cell r="D468" t="str">
            <v>Y</v>
          </cell>
          <cell r="E468" t="str">
            <v>Y</v>
          </cell>
          <cell r="F468" t="str">
            <v>Y</v>
          </cell>
          <cell r="G468" t="str">
            <v>Y</v>
          </cell>
          <cell r="H468" t="str">
            <v>Y</v>
          </cell>
          <cell r="I468" t="str">
            <v>Y</v>
          </cell>
          <cell r="J468" t="str">
            <v>Y</v>
          </cell>
        </row>
        <row r="469">
          <cell r="B469">
            <v>90203000</v>
          </cell>
          <cell r="C469" t="str">
            <v>Y</v>
          </cell>
          <cell r="D469" t="str">
            <v>Y</v>
          </cell>
          <cell r="E469" t="str">
            <v>Y</v>
          </cell>
          <cell r="F469" t="str">
            <v>Y</v>
          </cell>
          <cell r="G469" t="str">
            <v>Y</v>
          </cell>
          <cell r="H469" t="str">
            <v>Y</v>
          </cell>
          <cell r="I469" t="str">
            <v>Y</v>
          </cell>
          <cell r="J469" t="str">
            <v>Y</v>
          </cell>
        </row>
        <row r="470">
          <cell r="B470">
            <v>90204000</v>
          </cell>
          <cell r="C470" t="str">
            <v>Y</v>
          </cell>
          <cell r="D470" t="str">
            <v>Y</v>
          </cell>
          <cell r="E470" t="str">
            <v>Y</v>
          </cell>
          <cell r="F470" t="str">
            <v>Y</v>
          </cell>
          <cell r="G470" t="str">
            <v>Y</v>
          </cell>
          <cell r="H470" t="str">
            <v>Y</v>
          </cell>
          <cell r="I470" t="str">
            <v>Y</v>
          </cell>
          <cell r="J470" t="str">
            <v>Y</v>
          </cell>
        </row>
        <row r="471">
          <cell r="B471">
            <v>90205000</v>
          </cell>
          <cell r="C471" t="str">
            <v>Y</v>
          </cell>
          <cell r="D471" t="str">
            <v>Y</v>
          </cell>
          <cell r="E471" t="str">
            <v>Y</v>
          </cell>
          <cell r="F471" t="str">
            <v>Y</v>
          </cell>
          <cell r="G471" t="str">
            <v>Y</v>
          </cell>
          <cell r="H471" t="str">
            <v>Y</v>
          </cell>
          <cell r="I471" t="str">
            <v>Y</v>
          </cell>
          <cell r="J471" t="str">
            <v>Y</v>
          </cell>
        </row>
        <row r="472">
          <cell r="B472">
            <v>90206000</v>
          </cell>
          <cell r="C472" t="str">
            <v>Y</v>
          </cell>
          <cell r="D472" t="str">
            <v>Y</v>
          </cell>
          <cell r="E472" t="str">
            <v>Y</v>
          </cell>
          <cell r="F472" t="str">
            <v>Y</v>
          </cell>
          <cell r="G472" t="str">
            <v>Y</v>
          </cell>
          <cell r="H472" t="str">
            <v>Y</v>
          </cell>
          <cell r="I472" t="str">
            <v>Y</v>
          </cell>
          <cell r="J472" t="str">
            <v>Y</v>
          </cell>
        </row>
        <row r="473">
          <cell r="B473">
            <v>90210000</v>
          </cell>
          <cell r="C473" t="str">
            <v>Y</v>
          </cell>
          <cell r="D473" t="str">
            <v>Y</v>
          </cell>
          <cell r="E473" t="str">
            <v>Y</v>
          </cell>
          <cell r="F473" t="str">
            <v>Y</v>
          </cell>
          <cell r="G473" t="str">
            <v>Y</v>
          </cell>
          <cell r="H473" t="str">
            <v>Y</v>
          </cell>
          <cell r="I473" t="str">
            <v>Y</v>
          </cell>
          <cell r="J473" t="str">
            <v>Y</v>
          </cell>
        </row>
        <row r="474">
          <cell r="B474">
            <v>90220000</v>
          </cell>
          <cell r="C474" t="str">
            <v>Y</v>
          </cell>
          <cell r="D474" t="str">
            <v>Y</v>
          </cell>
          <cell r="E474" t="str">
            <v>Y</v>
          </cell>
          <cell r="F474" t="str">
            <v>Y</v>
          </cell>
          <cell r="G474" t="str">
            <v>Y</v>
          </cell>
          <cell r="H474" t="str">
            <v>Y</v>
          </cell>
          <cell r="I474" t="str">
            <v>Y</v>
          </cell>
          <cell r="J474" t="str">
            <v>Y</v>
          </cell>
        </row>
        <row r="475">
          <cell r="B475">
            <v>90225000</v>
          </cell>
          <cell r="C475" t="str">
            <v>Y</v>
          </cell>
          <cell r="D475" t="str">
            <v>Y</v>
          </cell>
          <cell r="E475" t="str">
            <v>Y</v>
          </cell>
          <cell r="F475" t="str">
            <v>Y</v>
          </cell>
          <cell r="G475" t="str">
            <v>Y</v>
          </cell>
          <cell r="H475" t="str">
            <v>Y</v>
          </cell>
          <cell r="I475" t="str">
            <v>Y</v>
          </cell>
          <cell r="J475" t="str">
            <v>Y</v>
          </cell>
        </row>
        <row r="476">
          <cell r="B476">
            <v>90227000</v>
          </cell>
          <cell r="C476" t="str">
            <v>Y</v>
          </cell>
          <cell r="D476" t="str">
            <v>Y</v>
          </cell>
          <cell r="E476" t="str">
            <v>Y</v>
          </cell>
          <cell r="F476" t="str">
            <v>Y</v>
          </cell>
          <cell r="G476" t="str">
            <v>Y</v>
          </cell>
          <cell r="H476" t="str">
            <v>Y</v>
          </cell>
          <cell r="I476" t="str">
            <v>Y</v>
          </cell>
          <cell r="J476" t="str">
            <v>Y</v>
          </cell>
        </row>
        <row r="477">
          <cell r="B477">
            <v>90232000</v>
          </cell>
          <cell r="C477" t="str">
            <v>Y</v>
          </cell>
          <cell r="D477" t="str">
            <v>Y</v>
          </cell>
          <cell r="E477" t="str">
            <v>Y</v>
          </cell>
          <cell r="F477" t="str">
            <v>Y</v>
          </cell>
          <cell r="G477" t="str">
            <v>Y</v>
          </cell>
          <cell r="H477" t="str">
            <v>Y</v>
          </cell>
          <cell r="I477" t="str">
            <v>Y</v>
          </cell>
          <cell r="J477" t="str">
            <v>Y</v>
          </cell>
        </row>
        <row r="478">
          <cell r="B478">
            <v>90900000</v>
          </cell>
          <cell r="C478" t="str">
            <v>N</v>
          </cell>
          <cell r="D478" t="str">
            <v>N</v>
          </cell>
          <cell r="E478" t="str">
            <v>N</v>
          </cell>
          <cell r="F478" t="str">
            <v>N</v>
          </cell>
          <cell r="G478" t="str">
            <v>N</v>
          </cell>
          <cell r="H478" t="str">
            <v>N</v>
          </cell>
          <cell r="I478" t="str">
            <v>N</v>
          </cell>
          <cell r="J478" t="str">
            <v>N</v>
          </cell>
        </row>
        <row r="479">
          <cell r="B479">
            <v>90999000</v>
          </cell>
          <cell r="C479" t="str">
            <v>N</v>
          </cell>
          <cell r="D479" t="str">
            <v>Y</v>
          </cell>
          <cell r="E479" t="str">
            <v>N</v>
          </cell>
          <cell r="F479" t="str">
            <v>N</v>
          </cell>
          <cell r="G479" t="str">
            <v>N</v>
          </cell>
          <cell r="H479" t="str">
            <v>N</v>
          </cell>
          <cell r="I479" t="str">
            <v>N</v>
          </cell>
          <cell r="J479" t="str">
            <v>N</v>
          </cell>
        </row>
        <row r="480">
          <cell r="B480">
            <v>98651000</v>
          </cell>
          <cell r="C480" t="str">
            <v>N</v>
          </cell>
          <cell r="D480" t="str">
            <v>N</v>
          </cell>
          <cell r="E480" t="str">
            <v>N</v>
          </cell>
          <cell r="F480" t="str">
            <v>N</v>
          </cell>
          <cell r="G480" t="str">
            <v>N</v>
          </cell>
          <cell r="H480" t="str">
            <v>N</v>
          </cell>
          <cell r="I480" t="str">
            <v>N</v>
          </cell>
          <cell r="J480" t="str">
            <v>N</v>
          </cell>
        </row>
        <row r="481">
          <cell r="B481">
            <v>98745000</v>
          </cell>
          <cell r="C481" t="str">
            <v>Y</v>
          </cell>
          <cell r="D481" t="str">
            <v>Y</v>
          </cell>
          <cell r="E481" t="str">
            <v>Y</v>
          </cell>
          <cell r="F481" t="str">
            <v>Y</v>
          </cell>
          <cell r="G481" t="str">
            <v>Y</v>
          </cell>
          <cell r="H481" t="str">
            <v>Y</v>
          </cell>
          <cell r="I481" t="str">
            <v>Y</v>
          </cell>
          <cell r="J481" t="str">
            <v>Y</v>
          </cell>
        </row>
        <row r="482">
          <cell r="B482">
            <v>98746000</v>
          </cell>
          <cell r="C482" t="str">
            <v>N</v>
          </cell>
          <cell r="D482" t="str">
            <v>N</v>
          </cell>
          <cell r="E482" t="str">
            <v>Y</v>
          </cell>
          <cell r="F482" t="str">
            <v>Y</v>
          </cell>
          <cell r="G482" t="str">
            <v>Y</v>
          </cell>
          <cell r="H482" t="str">
            <v>Y</v>
          </cell>
          <cell r="I482" t="str">
            <v>Y</v>
          </cell>
          <cell r="J482" t="str">
            <v>Y</v>
          </cell>
        </row>
        <row r="483">
          <cell r="B483">
            <v>98748000</v>
          </cell>
          <cell r="C483" t="str">
            <v>N</v>
          </cell>
          <cell r="D483" t="str">
            <v>N</v>
          </cell>
          <cell r="E483" t="str">
            <v>N</v>
          </cell>
          <cell r="F483" t="str">
            <v>N</v>
          </cell>
          <cell r="G483" t="str">
            <v>N</v>
          </cell>
          <cell r="H483" t="str">
            <v>N</v>
          </cell>
          <cell r="I483" t="str">
            <v>N</v>
          </cell>
          <cell r="J483" t="str">
            <v>N</v>
          </cell>
        </row>
        <row r="484">
          <cell r="B484">
            <v>98749000</v>
          </cell>
          <cell r="C484" t="str">
            <v>Y</v>
          </cell>
          <cell r="D484" t="str">
            <v>Y</v>
          </cell>
          <cell r="E484" t="str">
            <v>Y</v>
          </cell>
          <cell r="F484" t="str">
            <v>Y</v>
          </cell>
          <cell r="G484" t="str">
            <v>Y</v>
          </cell>
          <cell r="H484" t="str">
            <v>Y</v>
          </cell>
          <cell r="I484" t="str">
            <v>Y</v>
          </cell>
          <cell r="J484" t="str">
            <v>Y</v>
          </cell>
        </row>
        <row r="485">
          <cell r="B485">
            <v>98750000</v>
          </cell>
          <cell r="C485" t="str">
            <v>Y</v>
          </cell>
          <cell r="D485" t="str">
            <v>Y</v>
          </cell>
          <cell r="E485" t="str">
            <v>Y</v>
          </cell>
          <cell r="F485" t="str">
            <v>Y</v>
          </cell>
          <cell r="G485" t="str">
            <v>Y</v>
          </cell>
          <cell r="H485" t="str">
            <v>Y</v>
          </cell>
          <cell r="I485" t="str">
            <v>Y</v>
          </cell>
          <cell r="J485" t="str">
            <v>Y</v>
          </cell>
        </row>
        <row r="486">
          <cell r="B486">
            <v>98751000</v>
          </cell>
          <cell r="C486" t="str">
            <v>N</v>
          </cell>
          <cell r="D486" t="str">
            <v>N</v>
          </cell>
          <cell r="E486" t="str">
            <v>Y</v>
          </cell>
          <cell r="F486" t="str">
            <v>N</v>
          </cell>
          <cell r="G486" t="str">
            <v>N</v>
          </cell>
          <cell r="H486" t="str">
            <v>N</v>
          </cell>
          <cell r="I486" t="str">
            <v>N</v>
          </cell>
          <cell r="J486" t="str">
            <v>N</v>
          </cell>
        </row>
        <row r="487">
          <cell r="B487">
            <v>100100000</v>
          </cell>
          <cell r="C487" t="str">
            <v>N</v>
          </cell>
          <cell r="D487" t="str">
            <v>N</v>
          </cell>
          <cell r="E487" t="str">
            <v>N</v>
          </cell>
          <cell r="F487" t="str">
            <v>N</v>
          </cell>
          <cell r="G487" t="str">
            <v>N</v>
          </cell>
          <cell r="H487" t="str">
            <v>N</v>
          </cell>
          <cell r="I487" t="str">
            <v>N</v>
          </cell>
          <cell r="J487" t="str">
            <v>Y</v>
          </cell>
        </row>
        <row r="488">
          <cell r="B488">
            <v>100201000</v>
          </cell>
          <cell r="C488" t="str">
            <v>Y</v>
          </cell>
          <cell r="D488" t="str">
            <v>Y</v>
          </cell>
          <cell r="E488" t="str">
            <v>Y</v>
          </cell>
          <cell r="F488" t="str">
            <v>Y</v>
          </cell>
          <cell r="G488" t="str">
            <v>Y</v>
          </cell>
          <cell r="H488" t="str">
            <v>Y</v>
          </cell>
          <cell r="I488" t="str">
            <v>Y</v>
          </cell>
          <cell r="J488" t="str">
            <v>Y</v>
          </cell>
        </row>
        <row r="489">
          <cell r="B489">
            <v>100206000</v>
          </cell>
          <cell r="C489" t="str">
            <v>N</v>
          </cell>
          <cell r="D489" t="str">
            <v>N</v>
          </cell>
          <cell r="E489" t="str">
            <v>N</v>
          </cell>
          <cell r="F489" t="str">
            <v>N</v>
          </cell>
          <cell r="G489" t="str">
            <v>Y</v>
          </cell>
          <cell r="H489" t="str">
            <v>N</v>
          </cell>
          <cell r="I489" t="str">
            <v>N</v>
          </cell>
          <cell r="J489" t="str">
            <v>N</v>
          </cell>
        </row>
        <row r="490">
          <cell r="B490">
            <v>100208000</v>
          </cell>
          <cell r="C490" t="str">
            <v>Y</v>
          </cell>
          <cell r="D490" t="str">
            <v>Y</v>
          </cell>
          <cell r="E490" t="str">
            <v>Y</v>
          </cell>
          <cell r="F490" t="str">
            <v>Y</v>
          </cell>
          <cell r="G490" t="str">
            <v>Y</v>
          </cell>
          <cell r="H490" t="str">
            <v>Y</v>
          </cell>
          <cell r="I490" t="str">
            <v>Y</v>
          </cell>
          <cell r="J490" t="str">
            <v>Y</v>
          </cell>
        </row>
        <row r="491">
          <cell r="B491">
            <v>100210000</v>
          </cell>
          <cell r="C491" t="str">
            <v>Y</v>
          </cell>
          <cell r="D491" t="str">
            <v>Y</v>
          </cell>
          <cell r="E491" t="str">
            <v>Y</v>
          </cell>
          <cell r="F491" t="str">
            <v>Y</v>
          </cell>
          <cell r="G491" t="str">
            <v>Y</v>
          </cell>
          <cell r="H491" t="str">
            <v>Y</v>
          </cell>
          <cell r="I491" t="str">
            <v>Y</v>
          </cell>
          <cell r="J491" t="str">
            <v>Y</v>
          </cell>
        </row>
        <row r="492">
          <cell r="B492">
            <v>100212000</v>
          </cell>
          <cell r="C492" t="str">
            <v>Y</v>
          </cell>
          <cell r="D492" t="str">
            <v>Y</v>
          </cell>
          <cell r="E492" t="str">
            <v>Y</v>
          </cell>
          <cell r="F492" t="str">
            <v>Y</v>
          </cell>
          <cell r="G492" t="str">
            <v>Y</v>
          </cell>
          <cell r="H492" t="str">
            <v>Y</v>
          </cell>
          <cell r="I492" t="str">
            <v>Y</v>
          </cell>
          <cell r="J492" t="str">
            <v>Y</v>
          </cell>
        </row>
        <row r="493">
          <cell r="B493">
            <v>100213000</v>
          </cell>
          <cell r="C493" t="str">
            <v>N</v>
          </cell>
          <cell r="D493" t="str">
            <v>N</v>
          </cell>
          <cell r="E493" t="str">
            <v>N</v>
          </cell>
          <cell r="F493" t="str">
            <v>N</v>
          </cell>
          <cell r="G493" t="str">
            <v>N</v>
          </cell>
          <cell r="H493" t="str">
            <v>N</v>
          </cell>
          <cell r="I493" t="str">
            <v>N</v>
          </cell>
          <cell r="J493" t="str">
            <v>N</v>
          </cell>
        </row>
        <row r="494">
          <cell r="B494">
            <v>100215000</v>
          </cell>
          <cell r="C494" t="str">
            <v>Y</v>
          </cell>
          <cell r="D494" t="str">
            <v>Y</v>
          </cell>
          <cell r="E494" t="str">
            <v>Y</v>
          </cell>
          <cell r="F494" t="str">
            <v>Y</v>
          </cell>
          <cell r="G494" t="str">
            <v>Y</v>
          </cell>
          <cell r="H494" t="str">
            <v>Y</v>
          </cell>
          <cell r="I494" t="str">
            <v>Y</v>
          </cell>
          <cell r="J494" t="str">
            <v>Y</v>
          </cell>
        </row>
        <row r="495">
          <cell r="B495">
            <v>100216000</v>
          </cell>
          <cell r="C495" t="str">
            <v>N</v>
          </cell>
          <cell r="D495" t="str">
            <v>N</v>
          </cell>
          <cell r="E495" t="str">
            <v>N</v>
          </cell>
          <cell r="F495" t="str">
            <v>N</v>
          </cell>
          <cell r="G495" t="str">
            <v>N</v>
          </cell>
          <cell r="H495" t="str">
            <v>N</v>
          </cell>
          <cell r="I495" t="str">
            <v>N</v>
          </cell>
          <cell r="J495" t="str">
            <v>N</v>
          </cell>
        </row>
        <row r="496">
          <cell r="B496">
            <v>100220000</v>
          </cell>
          <cell r="C496" t="str">
            <v>N</v>
          </cell>
          <cell r="D496" t="str">
            <v>N</v>
          </cell>
          <cell r="E496" t="str">
            <v>N</v>
          </cell>
          <cell r="F496" t="str">
            <v>N</v>
          </cell>
          <cell r="G496" t="str">
            <v>N</v>
          </cell>
          <cell r="H496" t="str">
            <v>N</v>
          </cell>
          <cell r="I496" t="str">
            <v>N</v>
          </cell>
          <cell r="J496" t="str">
            <v>N</v>
          </cell>
        </row>
        <row r="497">
          <cell r="B497">
            <v>100220700</v>
          </cell>
          <cell r="C497" t="str">
            <v>N</v>
          </cell>
          <cell r="D497" t="str">
            <v>N</v>
          </cell>
          <cell r="E497" t="str">
            <v>N</v>
          </cell>
          <cell r="F497" t="str">
            <v>N</v>
          </cell>
          <cell r="G497" t="str">
            <v>N</v>
          </cell>
          <cell r="H497" t="str">
            <v>N</v>
          </cell>
          <cell r="I497" t="str">
            <v>N</v>
          </cell>
          <cell r="J497" t="str">
            <v>N</v>
          </cell>
        </row>
        <row r="498">
          <cell r="B498">
            <v>100220705</v>
          </cell>
          <cell r="C498" t="str">
            <v>N</v>
          </cell>
          <cell r="D498" t="str">
            <v>N</v>
          </cell>
          <cell r="E498" t="str">
            <v>N</v>
          </cell>
          <cell r="F498" t="str">
            <v>N</v>
          </cell>
          <cell r="G498" t="str">
            <v>N</v>
          </cell>
          <cell r="H498" t="str">
            <v>N</v>
          </cell>
          <cell r="I498" t="str">
            <v>N</v>
          </cell>
          <cell r="J498" t="str">
            <v>N</v>
          </cell>
        </row>
        <row r="499">
          <cell r="B499">
            <v>100230000</v>
          </cell>
          <cell r="C499" t="str">
            <v>Y</v>
          </cell>
          <cell r="D499" t="str">
            <v>N</v>
          </cell>
          <cell r="E499" t="str">
            <v>N</v>
          </cell>
          <cell r="F499" t="str">
            <v>N</v>
          </cell>
          <cell r="G499" t="str">
            <v>N</v>
          </cell>
          <cell r="H499" t="str">
            <v>N</v>
          </cell>
          <cell r="I499" t="str">
            <v>N</v>
          </cell>
          <cell r="J499" t="str">
            <v>N</v>
          </cell>
        </row>
        <row r="500">
          <cell r="B500">
            <v>100240000</v>
          </cell>
          <cell r="C500" t="str">
            <v>Y</v>
          </cell>
          <cell r="D500" t="str">
            <v>Y</v>
          </cell>
          <cell r="E500" t="str">
            <v>Y</v>
          </cell>
          <cell r="F500" t="str">
            <v>Y</v>
          </cell>
          <cell r="G500" t="str">
            <v>Y</v>
          </cell>
          <cell r="H500" t="str">
            <v>Y</v>
          </cell>
          <cell r="I500" t="str">
            <v>Y</v>
          </cell>
          <cell r="J500" t="str">
            <v>Y</v>
          </cell>
        </row>
        <row r="501">
          <cell r="B501">
            <v>100335000</v>
          </cell>
          <cell r="C501" t="str">
            <v>N</v>
          </cell>
          <cell r="D501" t="str">
            <v>N</v>
          </cell>
          <cell r="E501" t="str">
            <v>N</v>
          </cell>
          <cell r="F501" t="str">
            <v>N</v>
          </cell>
          <cell r="G501" t="str">
            <v>N</v>
          </cell>
          <cell r="H501" t="str">
            <v>N</v>
          </cell>
          <cell r="I501" t="str">
            <v>N</v>
          </cell>
          <cell r="J501" t="str">
            <v>N</v>
          </cell>
        </row>
        <row r="502">
          <cell r="B502">
            <v>100337000</v>
          </cell>
          <cell r="C502" t="str">
            <v>N</v>
          </cell>
          <cell r="D502" t="str">
            <v>N</v>
          </cell>
          <cell r="E502" t="str">
            <v>Y</v>
          </cell>
          <cell r="F502" t="str">
            <v>N</v>
          </cell>
          <cell r="G502" t="str">
            <v>Y</v>
          </cell>
          <cell r="H502" t="str">
            <v>Y</v>
          </cell>
          <cell r="I502" t="str">
            <v>N</v>
          </cell>
          <cell r="J502" t="str">
            <v>N</v>
          </cell>
        </row>
        <row r="503">
          <cell r="B503">
            <v>100339000</v>
          </cell>
          <cell r="C503" t="str">
            <v>N</v>
          </cell>
          <cell r="D503" t="str">
            <v>N</v>
          </cell>
          <cell r="E503" t="str">
            <v>N</v>
          </cell>
          <cell r="F503" t="str">
            <v>Y</v>
          </cell>
          <cell r="G503" t="str">
            <v>Y</v>
          </cell>
          <cell r="H503" t="str">
            <v>Y</v>
          </cell>
          <cell r="I503" t="str">
            <v>N</v>
          </cell>
          <cell r="J503" t="str">
            <v>N</v>
          </cell>
        </row>
        <row r="504">
          <cell r="B504">
            <v>100344000</v>
          </cell>
          <cell r="C504" t="str">
            <v>N</v>
          </cell>
          <cell r="D504" t="str">
            <v>N</v>
          </cell>
          <cell r="E504" t="str">
            <v>N</v>
          </cell>
          <cell r="F504" t="str">
            <v>N</v>
          </cell>
          <cell r="G504" t="str">
            <v>N</v>
          </cell>
          <cell r="H504" t="str">
            <v>N</v>
          </cell>
          <cell r="I504" t="str">
            <v>N</v>
          </cell>
          <cell r="J504" t="str">
            <v>N</v>
          </cell>
        </row>
        <row r="505">
          <cell r="B505">
            <v>100351000</v>
          </cell>
          <cell r="C505" t="str">
            <v>Y</v>
          </cell>
          <cell r="D505" t="str">
            <v>Y</v>
          </cell>
          <cell r="E505" t="str">
            <v>Y</v>
          </cell>
          <cell r="F505" t="str">
            <v>Y</v>
          </cell>
          <cell r="G505" t="str">
            <v>Y</v>
          </cell>
          <cell r="H505" t="str">
            <v>Y</v>
          </cell>
          <cell r="I505" t="str">
            <v>Y</v>
          </cell>
          <cell r="J505" t="str">
            <v>Y</v>
          </cell>
        </row>
        <row r="506">
          <cell r="B506">
            <v>100899000</v>
          </cell>
          <cell r="C506" t="str">
            <v>N</v>
          </cell>
          <cell r="D506" t="str">
            <v>Y</v>
          </cell>
          <cell r="E506" t="str">
            <v>N</v>
          </cell>
          <cell r="F506" t="str">
            <v>N</v>
          </cell>
          <cell r="G506" t="str">
            <v>N</v>
          </cell>
          <cell r="H506" t="str">
            <v>N</v>
          </cell>
          <cell r="I506" t="str">
            <v>N</v>
          </cell>
          <cell r="J506" t="str">
            <v>N</v>
          </cell>
        </row>
        <row r="507">
          <cell r="B507">
            <v>100900000</v>
          </cell>
          <cell r="C507" t="str">
            <v>N</v>
          </cell>
          <cell r="D507" t="str">
            <v>N</v>
          </cell>
          <cell r="E507" t="str">
            <v>N</v>
          </cell>
          <cell r="F507" t="str">
            <v>N</v>
          </cell>
          <cell r="G507" t="str">
            <v>N</v>
          </cell>
          <cell r="H507" t="str">
            <v>N</v>
          </cell>
          <cell r="I507" t="str">
            <v>N</v>
          </cell>
          <cell r="J507" t="str">
            <v>N</v>
          </cell>
        </row>
        <row r="508">
          <cell r="B508">
            <v>100999000</v>
          </cell>
          <cell r="C508" t="str">
            <v>N</v>
          </cell>
          <cell r="D508" t="str">
            <v>Y</v>
          </cell>
          <cell r="E508" t="str">
            <v>N</v>
          </cell>
          <cell r="F508" t="str">
            <v>N</v>
          </cell>
          <cell r="G508" t="str">
            <v>N</v>
          </cell>
          <cell r="H508" t="str">
            <v>N</v>
          </cell>
          <cell r="I508" t="str">
            <v>N</v>
          </cell>
          <cell r="J508" t="str">
            <v>N</v>
          </cell>
        </row>
        <row r="509">
          <cell r="B509">
            <v>108227000</v>
          </cell>
          <cell r="C509" t="str">
            <v>N</v>
          </cell>
          <cell r="D509" t="str">
            <v>N</v>
          </cell>
          <cell r="E509" t="str">
            <v>N</v>
          </cell>
          <cell r="F509" t="str">
            <v>N</v>
          </cell>
          <cell r="G509" t="str">
            <v>N</v>
          </cell>
          <cell r="H509" t="str">
            <v>Y</v>
          </cell>
          <cell r="I509" t="str">
            <v>Y</v>
          </cell>
          <cell r="J509" t="str">
            <v>Y</v>
          </cell>
        </row>
        <row r="510">
          <cell r="B510">
            <v>108403000</v>
          </cell>
          <cell r="C510" t="str">
            <v>N</v>
          </cell>
          <cell r="D510" t="str">
            <v>N</v>
          </cell>
          <cell r="E510" t="str">
            <v>N</v>
          </cell>
          <cell r="F510" t="str">
            <v>N</v>
          </cell>
          <cell r="G510" t="str">
            <v>N</v>
          </cell>
          <cell r="H510" t="str">
            <v>Y</v>
          </cell>
          <cell r="I510" t="str">
            <v>N</v>
          </cell>
          <cell r="J510" t="str">
            <v>N</v>
          </cell>
        </row>
        <row r="511">
          <cell r="B511">
            <v>108501000</v>
          </cell>
          <cell r="C511" t="str">
            <v>N</v>
          </cell>
          <cell r="D511" t="str">
            <v>N</v>
          </cell>
          <cell r="E511" t="str">
            <v>N</v>
          </cell>
          <cell r="F511" t="str">
            <v>N</v>
          </cell>
          <cell r="G511" t="str">
            <v>N</v>
          </cell>
          <cell r="H511" t="str">
            <v>N</v>
          </cell>
          <cell r="I511" t="str">
            <v>N</v>
          </cell>
          <cell r="J511" t="str">
            <v>N</v>
          </cell>
        </row>
        <row r="512">
          <cell r="B512">
            <v>108502000</v>
          </cell>
          <cell r="C512" t="str">
            <v>N</v>
          </cell>
          <cell r="D512" t="str">
            <v>Y</v>
          </cell>
          <cell r="E512" t="str">
            <v>Y</v>
          </cell>
          <cell r="F512" t="str">
            <v>Y</v>
          </cell>
          <cell r="G512" t="str">
            <v>Y</v>
          </cell>
          <cell r="H512" t="str">
            <v>Y</v>
          </cell>
          <cell r="I512" t="str">
            <v>Y</v>
          </cell>
          <cell r="J512" t="str">
            <v>Y</v>
          </cell>
        </row>
        <row r="513">
          <cell r="B513">
            <v>108503000</v>
          </cell>
          <cell r="C513" t="str">
            <v>Y</v>
          </cell>
          <cell r="D513" t="str">
            <v>Y</v>
          </cell>
          <cell r="E513" t="str">
            <v>Y</v>
          </cell>
          <cell r="F513" t="str">
            <v>Y</v>
          </cell>
          <cell r="G513" t="str">
            <v>Y</v>
          </cell>
          <cell r="H513" t="str">
            <v>Y</v>
          </cell>
          <cell r="I513" t="str">
            <v>Y</v>
          </cell>
          <cell r="J513" t="str">
            <v>Y</v>
          </cell>
        </row>
        <row r="514">
          <cell r="B514">
            <v>108504000</v>
          </cell>
          <cell r="C514" t="str">
            <v>N</v>
          </cell>
          <cell r="D514" t="str">
            <v>Y</v>
          </cell>
          <cell r="E514" t="str">
            <v>N</v>
          </cell>
          <cell r="F514" t="str">
            <v>Y</v>
          </cell>
          <cell r="G514" t="str">
            <v>Y</v>
          </cell>
          <cell r="H514" t="str">
            <v>Y</v>
          </cell>
          <cell r="I514" t="str">
            <v>Y</v>
          </cell>
          <cell r="J514" t="str">
            <v>Y</v>
          </cell>
        </row>
        <row r="515">
          <cell r="B515">
            <v>108505000</v>
          </cell>
          <cell r="C515" t="str">
            <v>N</v>
          </cell>
          <cell r="D515" t="str">
            <v>N</v>
          </cell>
          <cell r="E515" t="str">
            <v>Y</v>
          </cell>
          <cell r="F515" t="str">
            <v>Y</v>
          </cell>
          <cell r="G515" t="str">
            <v>Y</v>
          </cell>
          <cell r="H515" t="str">
            <v>Y</v>
          </cell>
          <cell r="I515" t="str">
            <v>Y</v>
          </cell>
          <cell r="J515" t="str">
            <v>Y</v>
          </cell>
        </row>
        <row r="516">
          <cell r="B516">
            <v>108506000</v>
          </cell>
          <cell r="C516" t="str">
            <v>N</v>
          </cell>
          <cell r="D516" t="str">
            <v>N</v>
          </cell>
          <cell r="E516" t="str">
            <v>N</v>
          </cell>
          <cell r="F516" t="str">
            <v>Y</v>
          </cell>
          <cell r="G516" t="str">
            <v>Y</v>
          </cell>
          <cell r="H516" t="str">
            <v>Y</v>
          </cell>
          <cell r="I516" t="str">
            <v>Y</v>
          </cell>
          <cell r="J516" t="str">
            <v>Y</v>
          </cell>
        </row>
        <row r="517">
          <cell r="B517">
            <v>108507000</v>
          </cell>
          <cell r="C517" t="str">
            <v>N</v>
          </cell>
          <cell r="D517" t="str">
            <v>N</v>
          </cell>
          <cell r="E517" t="str">
            <v>N</v>
          </cell>
          <cell r="F517" t="str">
            <v>Y</v>
          </cell>
          <cell r="G517" t="str">
            <v>Y</v>
          </cell>
          <cell r="H517" t="str">
            <v>Y</v>
          </cell>
          <cell r="I517" t="str">
            <v>Y</v>
          </cell>
          <cell r="J517" t="str">
            <v>Y</v>
          </cell>
        </row>
        <row r="518">
          <cell r="B518">
            <v>108509000</v>
          </cell>
          <cell r="C518" t="str">
            <v>N</v>
          </cell>
          <cell r="D518" t="str">
            <v>N</v>
          </cell>
          <cell r="E518" t="str">
            <v>N</v>
          </cell>
          <cell r="F518" t="str">
            <v>Y</v>
          </cell>
          <cell r="G518" t="str">
            <v>N</v>
          </cell>
          <cell r="H518" t="str">
            <v>N</v>
          </cell>
          <cell r="I518" t="str">
            <v>N</v>
          </cell>
          <cell r="J518" t="str">
            <v>N</v>
          </cell>
        </row>
        <row r="519">
          <cell r="B519">
            <v>108512000</v>
          </cell>
          <cell r="C519" t="str">
            <v>N</v>
          </cell>
          <cell r="D519" t="str">
            <v>N</v>
          </cell>
          <cell r="E519" t="str">
            <v>N</v>
          </cell>
          <cell r="F519" t="str">
            <v>N</v>
          </cell>
          <cell r="G519" t="str">
            <v>N</v>
          </cell>
          <cell r="H519" t="str">
            <v>Y</v>
          </cell>
          <cell r="I519" t="str">
            <v>Y</v>
          </cell>
          <cell r="J519" t="str">
            <v>Y</v>
          </cell>
        </row>
        <row r="520">
          <cell r="B520">
            <v>108513000</v>
          </cell>
          <cell r="C520" t="str">
            <v>N</v>
          </cell>
          <cell r="D520" t="str">
            <v>N</v>
          </cell>
          <cell r="E520" t="str">
            <v>N</v>
          </cell>
          <cell r="F520" t="str">
            <v>N</v>
          </cell>
          <cell r="G520" t="str">
            <v>N</v>
          </cell>
          <cell r="H520" t="str">
            <v>Y</v>
          </cell>
          <cell r="I520" t="str">
            <v>Y</v>
          </cell>
          <cell r="J520" t="str">
            <v>Y</v>
          </cell>
        </row>
        <row r="521">
          <cell r="B521">
            <v>108601000</v>
          </cell>
          <cell r="C521" t="str">
            <v>Y</v>
          </cell>
          <cell r="D521" t="str">
            <v>Y</v>
          </cell>
          <cell r="E521" t="str">
            <v>Y</v>
          </cell>
          <cell r="F521" t="str">
            <v>Y</v>
          </cell>
          <cell r="G521" t="str">
            <v>Y</v>
          </cell>
          <cell r="H521" t="str">
            <v>Y</v>
          </cell>
          <cell r="I521" t="str">
            <v>Y</v>
          </cell>
          <cell r="J521" t="str">
            <v>Y</v>
          </cell>
        </row>
        <row r="522">
          <cell r="B522">
            <v>108602000</v>
          </cell>
          <cell r="C522" t="str">
            <v>N</v>
          </cell>
          <cell r="D522" t="str">
            <v>N</v>
          </cell>
          <cell r="E522" t="str">
            <v>N</v>
          </cell>
          <cell r="F522" t="str">
            <v>Y</v>
          </cell>
          <cell r="G522" t="str">
            <v>Y</v>
          </cell>
          <cell r="H522" t="str">
            <v>N</v>
          </cell>
          <cell r="I522" t="str">
            <v>N</v>
          </cell>
          <cell r="J522" t="str">
            <v>N</v>
          </cell>
        </row>
        <row r="523">
          <cell r="B523">
            <v>108653000</v>
          </cell>
          <cell r="C523" t="str">
            <v>Y</v>
          </cell>
          <cell r="D523" t="str">
            <v>Y</v>
          </cell>
          <cell r="E523" t="str">
            <v>Y</v>
          </cell>
          <cell r="F523" t="str">
            <v>Y</v>
          </cell>
          <cell r="G523" t="str">
            <v>Y</v>
          </cell>
          <cell r="H523" t="str">
            <v>Y</v>
          </cell>
          <cell r="I523" t="str">
            <v>Y</v>
          </cell>
          <cell r="J523" t="str">
            <v>Y</v>
          </cell>
        </row>
        <row r="524">
          <cell r="B524">
            <v>108660000</v>
          </cell>
          <cell r="C524" t="str">
            <v>Y</v>
          </cell>
          <cell r="D524" t="str">
            <v>Y</v>
          </cell>
          <cell r="E524" t="str">
            <v>Y</v>
          </cell>
          <cell r="F524" t="str">
            <v>Y</v>
          </cell>
          <cell r="G524" t="str">
            <v>Y</v>
          </cell>
          <cell r="H524" t="str">
            <v>Y</v>
          </cell>
          <cell r="I524" t="str">
            <v>Y</v>
          </cell>
          <cell r="J524" t="str">
            <v>Y</v>
          </cell>
        </row>
        <row r="525">
          <cell r="B525">
            <v>108665000</v>
          </cell>
          <cell r="C525" t="str">
            <v>N</v>
          </cell>
          <cell r="D525" t="str">
            <v>N</v>
          </cell>
          <cell r="E525" t="str">
            <v>N</v>
          </cell>
          <cell r="F525" t="str">
            <v>N</v>
          </cell>
          <cell r="G525" t="str">
            <v>N</v>
          </cell>
          <cell r="H525" t="str">
            <v>N</v>
          </cell>
          <cell r="I525" t="str">
            <v>N</v>
          </cell>
          <cell r="J525" t="str">
            <v>N</v>
          </cell>
        </row>
        <row r="526">
          <cell r="B526">
            <v>108666000</v>
          </cell>
          <cell r="C526" t="str">
            <v>N</v>
          </cell>
          <cell r="D526" t="str">
            <v>N</v>
          </cell>
          <cell r="E526" t="str">
            <v>N</v>
          </cell>
          <cell r="F526" t="str">
            <v>Y</v>
          </cell>
          <cell r="G526" t="str">
            <v>Y</v>
          </cell>
          <cell r="H526" t="str">
            <v>Y</v>
          </cell>
          <cell r="I526" t="str">
            <v>Y</v>
          </cell>
          <cell r="J526" t="str">
            <v>Y</v>
          </cell>
        </row>
        <row r="527">
          <cell r="B527">
            <v>108701000</v>
          </cell>
          <cell r="C527" t="str">
            <v>N</v>
          </cell>
          <cell r="D527" t="str">
            <v>N</v>
          </cell>
          <cell r="E527" t="str">
            <v>N</v>
          </cell>
          <cell r="F527" t="str">
            <v>N</v>
          </cell>
          <cell r="G527" t="str">
            <v>N</v>
          </cell>
          <cell r="H527" t="str">
            <v>N</v>
          </cell>
          <cell r="I527" t="str">
            <v>N</v>
          </cell>
          <cell r="J527" t="str">
            <v>N</v>
          </cell>
        </row>
        <row r="528">
          <cell r="B528">
            <v>108702000</v>
          </cell>
          <cell r="C528" t="str">
            <v>Y</v>
          </cell>
          <cell r="D528" t="str">
            <v>Y</v>
          </cell>
          <cell r="E528" t="str">
            <v>Y</v>
          </cell>
          <cell r="F528" t="str">
            <v>Y</v>
          </cell>
          <cell r="G528" t="str">
            <v>Y</v>
          </cell>
          <cell r="H528" t="str">
            <v>N</v>
          </cell>
          <cell r="I528" t="str">
            <v>N</v>
          </cell>
          <cell r="J528" t="str">
            <v>N</v>
          </cell>
        </row>
        <row r="529">
          <cell r="B529">
            <v>108705000</v>
          </cell>
          <cell r="C529" t="str">
            <v>Y</v>
          </cell>
          <cell r="D529" t="str">
            <v>Y</v>
          </cell>
          <cell r="E529" t="str">
            <v>Y</v>
          </cell>
          <cell r="F529" t="str">
            <v>Y</v>
          </cell>
          <cell r="G529" t="str">
            <v>Y</v>
          </cell>
          <cell r="H529" t="str">
            <v>N</v>
          </cell>
          <cell r="I529" t="str">
            <v>N</v>
          </cell>
          <cell r="J529" t="str">
            <v>N</v>
          </cell>
        </row>
        <row r="530">
          <cell r="B530">
            <v>108706000</v>
          </cell>
          <cell r="C530" t="str">
            <v>Y</v>
          </cell>
          <cell r="D530" t="str">
            <v>Y</v>
          </cell>
          <cell r="E530" t="str">
            <v>Y</v>
          </cell>
          <cell r="F530" t="str">
            <v>Y</v>
          </cell>
          <cell r="G530" t="str">
            <v>Y</v>
          </cell>
          <cell r="H530" t="str">
            <v>Y</v>
          </cell>
          <cell r="I530" t="str">
            <v>Y</v>
          </cell>
          <cell r="J530" t="str">
            <v>Y</v>
          </cell>
        </row>
        <row r="531">
          <cell r="B531">
            <v>108707000</v>
          </cell>
          <cell r="C531" t="str">
            <v>Y</v>
          </cell>
          <cell r="D531" t="str">
            <v>Y</v>
          </cell>
          <cell r="E531" t="str">
            <v>Y</v>
          </cell>
          <cell r="F531" t="str">
            <v>Y</v>
          </cell>
          <cell r="G531" t="str">
            <v>Y</v>
          </cell>
          <cell r="H531" t="str">
            <v>Y</v>
          </cell>
          <cell r="I531" t="str">
            <v>Y</v>
          </cell>
          <cell r="J531" t="str">
            <v>Y</v>
          </cell>
        </row>
        <row r="532">
          <cell r="B532">
            <v>108708000</v>
          </cell>
          <cell r="C532" t="str">
            <v>N</v>
          </cell>
          <cell r="D532" t="str">
            <v>N</v>
          </cell>
          <cell r="E532" t="str">
            <v>Y</v>
          </cell>
          <cell r="F532" t="str">
            <v>Y</v>
          </cell>
          <cell r="G532" t="str">
            <v>N</v>
          </cell>
          <cell r="H532" t="str">
            <v>Y</v>
          </cell>
          <cell r="I532" t="str">
            <v>N</v>
          </cell>
          <cell r="J532" t="str">
            <v>N</v>
          </cell>
        </row>
        <row r="533">
          <cell r="B533">
            <v>108709000</v>
          </cell>
          <cell r="C533" t="str">
            <v>Y</v>
          </cell>
          <cell r="D533" t="str">
            <v>Y</v>
          </cell>
          <cell r="E533" t="str">
            <v>Y</v>
          </cell>
          <cell r="F533" t="str">
            <v>Y</v>
          </cell>
          <cell r="G533" t="str">
            <v>Y</v>
          </cell>
          <cell r="H533" t="str">
            <v>Y</v>
          </cell>
          <cell r="I533" t="str">
            <v>Y</v>
          </cell>
          <cell r="J533" t="str">
            <v>Y</v>
          </cell>
        </row>
        <row r="534">
          <cell r="B534">
            <v>108710000</v>
          </cell>
          <cell r="C534" t="str">
            <v>Y</v>
          </cell>
          <cell r="D534" t="str">
            <v>Y</v>
          </cell>
          <cell r="E534" t="str">
            <v>Y</v>
          </cell>
          <cell r="F534" t="str">
            <v>Y</v>
          </cell>
          <cell r="G534" t="str">
            <v>Y</v>
          </cell>
          <cell r="H534" t="str">
            <v>N</v>
          </cell>
          <cell r="I534" t="str">
            <v>N</v>
          </cell>
          <cell r="J534" t="str">
            <v>N</v>
          </cell>
        </row>
        <row r="535">
          <cell r="B535">
            <v>108711000</v>
          </cell>
          <cell r="C535" t="str">
            <v>Y</v>
          </cell>
          <cell r="D535" t="str">
            <v>Y</v>
          </cell>
          <cell r="E535" t="str">
            <v>Y</v>
          </cell>
          <cell r="F535" t="str">
            <v>Y</v>
          </cell>
          <cell r="G535" t="str">
            <v>Y</v>
          </cell>
          <cell r="H535" t="str">
            <v>Y</v>
          </cell>
          <cell r="I535" t="str">
            <v>Y</v>
          </cell>
          <cell r="J535" t="str">
            <v>Y</v>
          </cell>
        </row>
        <row r="536">
          <cell r="B536">
            <v>108712000</v>
          </cell>
          <cell r="C536" t="str">
            <v>Y</v>
          </cell>
          <cell r="D536" t="str">
            <v>Y</v>
          </cell>
          <cell r="E536" t="str">
            <v>N</v>
          </cell>
          <cell r="F536" t="str">
            <v>N</v>
          </cell>
          <cell r="G536" t="str">
            <v>N</v>
          </cell>
          <cell r="H536" t="str">
            <v>N</v>
          </cell>
          <cell r="I536" t="str">
            <v>N</v>
          </cell>
          <cell r="J536" t="str">
            <v>N</v>
          </cell>
        </row>
        <row r="537">
          <cell r="B537">
            <v>108713000</v>
          </cell>
          <cell r="C537" t="str">
            <v>Y</v>
          </cell>
          <cell r="D537" t="str">
            <v>Y</v>
          </cell>
          <cell r="E537" t="str">
            <v>Y</v>
          </cell>
          <cell r="F537" t="str">
            <v>Y</v>
          </cell>
          <cell r="G537" t="str">
            <v>Y</v>
          </cell>
          <cell r="H537" t="str">
            <v>Y</v>
          </cell>
          <cell r="I537" t="str">
            <v>Y</v>
          </cell>
          <cell r="J537" t="str">
            <v>Y</v>
          </cell>
        </row>
        <row r="538">
          <cell r="B538">
            <v>108714000</v>
          </cell>
          <cell r="C538" t="str">
            <v>Y</v>
          </cell>
          <cell r="D538" t="str">
            <v>Y</v>
          </cell>
          <cell r="E538" t="str">
            <v>Y</v>
          </cell>
          <cell r="F538" t="str">
            <v>Y</v>
          </cell>
          <cell r="G538" t="str">
            <v>Y</v>
          </cell>
          <cell r="H538" t="str">
            <v>Y</v>
          </cell>
          <cell r="I538" t="str">
            <v>Y</v>
          </cell>
          <cell r="J538" t="str">
            <v>Y</v>
          </cell>
        </row>
        <row r="539">
          <cell r="B539">
            <v>108716000</v>
          </cell>
          <cell r="C539" t="str">
            <v>N</v>
          </cell>
          <cell r="D539" t="str">
            <v>Y</v>
          </cell>
          <cell r="E539" t="str">
            <v>Y</v>
          </cell>
          <cell r="F539" t="str">
            <v>Y</v>
          </cell>
          <cell r="G539" t="str">
            <v>Y</v>
          </cell>
          <cell r="H539" t="str">
            <v>N</v>
          </cell>
          <cell r="I539" t="str">
            <v>N</v>
          </cell>
          <cell r="J539" t="str">
            <v>N</v>
          </cell>
        </row>
        <row r="540">
          <cell r="B540">
            <v>108719000</v>
          </cell>
          <cell r="C540" t="str">
            <v>N</v>
          </cell>
          <cell r="D540" t="str">
            <v>N</v>
          </cell>
          <cell r="E540" t="str">
            <v>N</v>
          </cell>
          <cell r="F540" t="str">
            <v>N</v>
          </cell>
          <cell r="G540" t="str">
            <v>N</v>
          </cell>
          <cell r="H540" t="str">
            <v>N</v>
          </cell>
          <cell r="I540" t="str">
            <v>N</v>
          </cell>
          <cell r="J540" t="str">
            <v>N</v>
          </cell>
        </row>
        <row r="541">
          <cell r="B541">
            <v>108720000</v>
          </cell>
          <cell r="C541" t="str">
            <v>Y</v>
          </cell>
          <cell r="D541" t="str">
            <v>Y</v>
          </cell>
          <cell r="E541" t="str">
            <v>Y</v>
          </cell>
          <cell r="F541" t="str">
            <v>Y</v>
          </cell>
          <cell r="G541" t="str">
            <v>Y</v>
          </cell>
          <cell r="H541" t="str">
            <v>Y</v>
          </cell>
          <cell r="I541" t="str">
            <v>Y</v>
          </cell>
          <cell r="J541" t="str">
            <v>Y</v>
          </cell>
        </row>
        <row r="542">
          <cell r="B542">
            <v>108720001</v>
          </cell>
          <cell r="C542" t="str">
            <v>N</v>
          </cell>
          <cell r="D542" t="str">
            <v>N</v>
          </cell>
          <cell r="E542" t="str">
            <v>N</v>
          </cell>
          <cell r="F542" t="str">
            <v>N</v>
          </cell>
          <cell r="G542" t="str">
            <v>N</v>
          </cell>
          <cell r="H542" t="str">
            <v>N</v>
          </cell>
          <cell r="I542" t="str">
            <v>N</v>
          </cell>
          <cell r="J542" t="str">
            <v>N</v>
          </cell>
        </row>
        <row r="543">
          <cell r="B543">
            <v>108721000</v>
          </cell>
          <cell r="C543" t="str">
            <v>N</v>
          </cell>
          <cell r="D543" t="str">
            <v>N</v>
          </cell>
          <cell r="E543" t="str">
            <v>Y</v>
          </cell>
          <cell r="F543" t="str">
            <v>N</v>
          </cell>
          <cell r="G543" t="str">
            <v>N</v>
          </cell>
          <cell r="H543" t="str">
            <v>N</v>
          </cell>
          <cell r="I543" t="str">
            <v>N</v>
          </cell>
          <cell r="J543" t="str">
            <v>N</v>
          </cell>
        </row>
        <row r="544">
          <cell r="B544">
            <v>108722000</v>
          </cell>
          <cell r="C544" t="str">
            <v>N</v>
          </cell>
          <cell r="D544" t="str">
            <v>N</v>
          </cell>
          <cell r="E544" t="str">
            <v>N</v>
          </cell>
          <cell r="F544" t="str">
            <v>N</v>
          </cell>
          <cell r="G544" t="str">
            <v>N</v>
          </cell>
          <cell r="H544" t="str">
            <v>Y</v>
          </cell>
          <cell r="I544" t="str">
            <v>Y</v>
          </cell>
          <cell r="J544" t="str">
            <v>Y</v>
          </cell>
        </row>
        <row r="545">
          <cell r="B545">
            <v>108722001</v>
          </cell>
          <cell r="C545" t="str">
            <v>N</v>
          </cell>
          <cell r="D545" t="str">
            <v>N</v>
          </cell>
          <cell r="E545" t="str">
            <v>N</v>
          </cell>
          <cell r="F545" t="str">
            <v>Y</v>
          </cell>
          <cell r="G545" t="str">
            <v>Y</v>
          </cell>
          <cell r="H545" t="str">
            <v>N</v>
          </cell>
          <cell r="I545" t="str">
            <v>N</v>
          </cell>
          <cell r="J545" t="str">
            <v>N</v>
          </cell>
        </row>
        <row r="546">
          <cell r="B546">
            <v>108722004</v>
          </cell>
          <cell r="C546" t="str">
            <v>N</v>
          </cell>
          <cell r="D546" t="str">
            <v>N</v>
          </cell>
          <cell r="E546" t="str">
            <v>N</v>
          </cell>
          <cell r="F546" t="str">
            <v>Y</v>
          </cell>
          <cell r="G546" t="str">
            <v>Y</v>
          </cell>
          <cell r="H546" t="str">
            <v>N</v>
          </cell>
          <cell r="I546" t="str">
            <v>N</v>
          </cell>
          <cell r="J546" t="str">
            <v>N</v>
          </cell>
        </row>
        <row r="547">
          <cell r="B547">
            <v>108722005</v>
          </cell>
          <cell r="C547" t="str">
            <v>N</v>
          </cell>
          <cell r="D547" t="str">
            <v>N</v>
          </cell>
          <cell r="E547" t="str">
            <v>N</v>
          </cell>
          <cell r="F547" t="str">
            <v>Y</v>
          </cell>
          <cell r="G547" t="str">
            <v>Y</v>
          </cell>
          <cell r="H547" t="str">
            <v>N</v>
          </cell>
          <cell r="I547" t="str">
            <v>N</v>
          </cell>
          <cell r="J547" t="str">
            <v>N</v>
          </cell>
        </row>
        <row r="548">
          <cell r="B548">
            <v>108724000</v>
          </cell>
          <cell r="C548" t="str">
            <v>Y</v>
          </cell>
          <cell r="D548" t="str">
            <v>Y</v>
          </cell>
          <cell r="E548" t="str">
            <v>Y</v>
          </cell>
          <cell r="F548" t="str">
            <v>N</v>
          </cell>
          <cell r="G548" t="str">
            <v>N</v>
          </cell>
          <cell r="H548" t="str">
            <v>N</v>
          </cell>
          <cell r="I548" t="str">
            <v>N</v>
          </cell>
          <cell r="J548" t="str">
            <v>N</v>
          </cell>
        </row>
        <row r="549">
          <cell r="B549">
            <v>108725000</v>
          </cell>
          <cell r="C549" t="str">
            <v>N</v>
          </cell>
          <cell r="D549" t="str">
            <v>N</v>
          </cell>
          <cell r="E549" t="str">
            <v>N</v>
          </cell>
          <cell r="F549" t="str">
            <v>N</v>
          </cell>
          <cell r="G549" t="str">
            <v>N</v>
          </cell>
          <cell r="H549" t="str">
            <v>N</v>
          </cell>
          <cell r="I549" t="str">
            <v>N</v>
          </cell>
          <cell r="J549" t="str">
            <v>N</v>
          </cell>
        </row>
        <row r="550">
          <cell r="B550">
            <v>108726000</v>
          </cell>
          <cell r="C550" t="str">
            <v>Y</v>
          </cell>
          <cell r="D550" t="str">
            <v>Y</v>
          </cell>
          <cell r="E550" t="str">
            <v>Y</v>
          </cell>
          <cell r="F550" t="str">
            <v>Y</v>
          </cell>
          <cell r="G550" t="str">
            <v>Y</v>
          </cell>
          <cell r="H550" t="str">
            <v>Y</v>
          </cell>
          <cell r="I550" t="str">
            <v>Y</v>
          </cell>
          <cell r="J550" t="str">
            <v>Y</v>
          </cell>
        </row>
        <row r="551">
          <cell r="B551">
            <v>108727000</v>
          </cell>
          <cell r="C551" t="str">
            <v>Y</v>
          </cell>
          <cell r="D551" t="str">
            <v>Y</v>
          </cell>
          <cell r="E551" t="str">
            <v>N</v>
          </cell>
          <cell r="F551" t="str">
            <v>N</v>
          </cell>
          <cell r="G551" t="str">
            <v>N</v>
          </cell>
          <cell r="H551" t="str">
            <v>N</v>
          </cell>
          <cell r="I551" t="str">
            <v>N</v>
          </cell>
          <cell r="J551" t="str">
            <v>N</v>
          </cell>
        </row>
        <row r="552">
          <cell r="B552">
            <v>108728000</v>
          </cell>
          <cell r="C552" t="str">
            <v>N</v>
          </cell>
          <cell r="D552" t="str">
            <v>N</v>
          </cell>
          <cell r="E552" t="str">
            <v>N</v>
          </cell>
          <cell r="F552" t="str">
            <v>N</v>
          </cell>
          <cell r="G552" t="str">
            <v>N</v>
          </cell>
          <cell r="H552" t="str">
            <v>N</v>
          </cell>
          <cell r="I552" t="str">
            <v>N</v>
          </cell>
          <cell r="J552" t="str">
            <v>N</v>
          </cell>
        </row>
        <row r="553">
          <cell r="B553">
            <v>108729000</v>
          </cell>
          <cell r="C553" t="str">
            <v>Y</v>
          </cell>
          <cell r="D553" t="str">
            <v>Y</v>
          </cell>
          <cell r="E553" t="str">
            <v>Y</v>
          </cell>
          <cell r="F553" t="str">
            <v>Y</v>
          </cell>
          <cell r="G553" t="str">
            <v>N</v>
          </cell>
          <cell r="H553" t="str">
            <v>N</v>
          </cell>
          <cell r="I553" t="str">
            <v>N</v>
          </cell>
          <cell r="J553" t="str">
            <v>N</v>
          </cell>
        </row>
        <row r="554">
          <cell r="B554">
            <v>108730000</v>
          </cell>
          <cell r="C554" t="str">
            <v>N</v>
          </cell>
          <cell r="D554" t="str">
            <v>Y</v>
          </cell>
          <cell r="E554" t="str">
            <v>N</v>
          </cell>
          <cell r="F554" t="str">
            <v>N</v>
          </cell>
          <cell r="G554" t="str">
            <v>N</v>
          </cell>
          <cell r="H554" t="str">
            <v>N</v>
          </cell>
          <cell r="I554" t="str">
            <v>N</v>
          </cell>
          <cell r="J554" t="str">
            <v>N</v>
          </cell>
        </row>
        <row r="555">
          <cell r="B555">
            <v>108732000</v>
          </cell>
          <cell r="C555" t="str">
            <v>Y</v>
          </cell>
          <cell r="D555" t="str">
            <v>N</v>
          </cell>
          <cell r="E555" t="str">
            <v>Y</v>
          </cell>
          <cell r="F555" t="str">
            <v>Y</v>
          </cell>
          <cell r="G555" t="str">
            <v>Y</v>
          </cell>
          <cell r="H555" t="str">
            <v>N</v>
          </cell>
          <cell r="I555" t="str">
            <v>N</v>
          </cell>
          <cell r="J555" t="str">
            <v>N</v>
          </cell>
        </row>
        <row r="556">
          <cell r="B556">
            <v>108733000</v>
          </cell>
          <cell r="C556" t="str">
            <v>Y</v>
          </cell>
          <cell r="D556" t="str">
            <v>Y</v>
          </cell>
          <cell r="E556" t="str">
            <v>Y</v>
          </cell>
          <cell r="F556" t="str">
            <v>Y</v>
          </cell>
          <cell r="G556" t="str">
            <v>N</v>
          </cell>
          <cell r="H556" t="str">
            <v>N</v>
          </cell>
          <cell r="I556" t="str">
            <v>N</v>
          </cell>
          <cell r="J556" t="str">
            <v>N</v>
          </cell>
        </row>
        <row r="557">
          <cell r="B557">
            <v>108734000</v>
          </cell>
          <cell r="C557" t="str">
            <v>N</v>
          </cell>
          <cell r="D557" t="str">
            <v>Y</v>
          </cell>
          <cell r="E557" t="str">
            <v>Y</v>
          </cell>
          <cell r="F557" t="str">
            <v>N</v>
          </cell>
          <cell r="G557" t="str">
            <v>N</v>
          </cell>
          <cell r="H557" t="str">
            <v>N</v>
          </cell>
          <cell r="I557" t="str">
            <v>N</v>
          </cell>
          <cell r="J557" t="str">
            <v>N</v>
          </cell>
        </row>
        <row r="558">
          <cell r="B558">
            <v>108735000</v>
          </cell>
          <cell r="C558" t="str">
            <v>N</v>
          </cell>
          <cell r="D558" t="str">
            <v>N</v>
          </cell>
          <cell r="E558" t="str">
            <v>N</v>
          </cell>
          <cell r="F558" t="str">
            <v>N</v>
          </cell>
          <cell r="G558" t="str">
            <v>Y</v>
          </cell>
          <cell r="H558" t="str">
            <v>Y</v>
          </cell>
          <cell r="I558" t="str">
            <v>Y</v>
          </cell>
          <cell r="J558" t="str">
            <v>Y</v>
          </cell>
        </row>
        <row r="559">
          <cell r="B559">
            <v>108744000</v>
          </cell>
          <cell r="C559" t="str">
            <v>Y</v>
          </cell>
          <cell r="D559" t="str">
            <v>Y</v>
          </cell>
          <cell r="E559" t="str">
            <v>Y</v>
          </cell>
          <cell r="F559" t="str">
            <v>Y</v>
          </cell>
          <cell r="G559" t="str">
            <v>Y</v>
          </cell>
          <cell r="H559" t="str">
            <v>Y</v>
          </cell>
          <cell r="I559" t="str">
            <v>Y</v>
          </cell>
          <cell r="J559" t="str">
            <v>Y</v>
          </cell>
        </row>
        <row r="560">
          <cell r="B560">
            <v>108767000</v>
          </cell>
          <cell r="C560" t="str">
            <v>Y</v>
          </cell>
          <cell r="D560" t="str">
            <v>Y</v>
          </cell>
          <cell r="E560" t="str">
            <v>Y</v>
          </cell>
          <cell r="F560" t="str">
            <v>Y</v>
          </cell>
          <cell r="G560" t="str">
            <v>Y</v>
          </cell>
          <cell r="H560" t="str">
            <v>Y</v>
          </cell>
          <cell r="I560" t="str">
            <v>Y</v>
          </cell>
          <cell r="J560" t="str">
            <v>Y</v>
          </cell>
        </row>
        <row r="561">
          <cell r="B561">
            <v>108768000</v>
          </cell>
          <cell r="C561" t="str">
            <v>Y</v>
          </cell>
          <cell r="D561" t="str">
            <v>Y</v>
          </cell>
          <cell r="E561" t="str">
            <v>N</v>
          </cell>
          <cell r="F561" t="str">
            <v>Y</v>
          </cell>
          <cell r="G561" t="str">
            <v>Y</v>
          </cell>
          <cell r="H561" t="str">
            <v>Y</v>
          </cell>
          <cell r="I561" t="str">
            <v>Y</v>
          </cell>
          <cell r="J561" t="str">
            <v>Y</v>
          </cell>
        </row>
        <row r="562">
          <cell r="B562">
            <v>108770000</v>
          </cell>
          <cell r="C562" t="str">
            <v>N</v>
          </cell>
          <cell r="D562" t="str">
            <v>Y</v>
          </cell>
          <cell r="E562" t="str">
            <v>N</v>
          </cell>
          <cell r="F562" t="str">
            <v>N</v>
          </cell>
          <cell r="G562" t="str">
            <v>Y</v>
          </cell>
          <cell r="H562" t="str">
            <v>Y</v>
          </cell>
          <cell r="I562" t="str">
            <v>Y</v>
          </cell>
          <cell r="J562" t="str">
            <v>Y</v>
          </cell>
        </row>
        <row r="563">
          <cell r="B563">
            <v>108773000</v>
          </cell>
          <cell r="C563" t="str">
            <v>N</v>
          </cell>
          <cell r="D563" t="str">
            <v>N</v>
          </cell>
          <cell r="E563" t="str">
            <v>N</v>
          </cell>
          <cell r="F563" t="str">
            <v>N</v>
          </cell>
          <cell r="G563" t="str">
            <v>N</v>
          </cell>
          <cell r="H563" t="str">
            <v>N</v>
          </cell>
          <cell r="I563" t="str">
            <v>N</v>
          </cell>
          <cell r="J563" t="str">
            <v>N</v>
          </cell>
        </row>
        <row r="564">
          <cell r="B564">
            <v>108774000</v>
          </cell>
          <cell r="C564" t="str">
            <v>Y</v>
          </cell>
          <cell r="D564" t="str">
            <v>Y</v>
          </cell>
          <cell r="E564" t="str">
            <v>Y</v>
          </cell>
          <cell r="F564" t="str">
            <v>Y</v>
          </cell>
          <cell r="G564" t="str">
            <v>Y</v>
          </cell>
          <cell r="H564" t="str">
            <v>N</v>
          </cell>
          <cell r="I564" t="str">
            <v>N</v>
          </cell>
          <cell r="J564" t="str">
            <v>N</v>
          </cell>
        </row>
        <row r="565">
          <cell r="B565">
            <v>108775000</v>
          </cell>
          <cell r="C565" t="str">
            <v>Y</v>
          </cell>
          <cell r="D565" t="str">
            <v>Y</v>
          </cell>
          <cell r="E565" t="str">
            <v>Y</v>
          </cell>
          <cell r="F565" t="str">
            <v>Y</v>
          </cell>
          <cell r="G565" t="str">
            <v>Y</v>
          </cell>
          <cell r="H565" t="str">
            <v>Y</v>
          </cell>
          <cell r="I565" t="str">
            <v>N</v>
          </cell>
          <cell r="J565" t="str">
            <v>Y</v>
          </cell>
        </row>
        <row r="566">
          <cell r="B566">
            <v>108776000</v>
          </cell>
          <cell r="C566" t="str">
            <v>Y</v>
          </cell>
          <cell r="D566" t="str">
            <v>Y</v>
          </cell>
          <cell r="E566" t="str">
            <v>Y</v>
          </cell>
          <cell r="F566" t="str">
            <v>Y</v>
          </cell>
          <cell r="G566" t="str">
            <v>Y</v>
          </cell>
          <cell r="H566" t="str">
            <v>Y</v>
          </cell>
          <cell r="I566" t="str">
            <v>N</v>
          </cell>
          <cell r="J566" t="str">
            <v>N</v>
          </cell>
        </row>
        <row r="567">
          <cell r="B567">
            <v>108777000</v>
          </cell>
          <cell r="C567" t="str">
            <v>N</v>
          </cell>
          <cell r="D567" t="str">
            <v>N</v>
          </cell>
          <cell r="E567" t="str">
            <v>N</v>
          </cell>
          <cell r="F567" t="str">
            <v>N</v>
          </cell>
          <cell r="G567" t="str">
            <v>N</v>
          </cell>
          <cell r="H567" t="str">
            <v>N</v>
          </cell>
          <cell r="I567" t="str">
            <v>N</v>
          </cell>
          <cell r="J567" t="str">
            <v>N</v>
          </cell>
        </row>
        <row r="568">
          <cell r="B568">
            <v>108778000</v>
          </cell>
          <cell r="C568" t="str">
            <v>Y</v>
          </cell>
          <cell r="D568" t="str">
            <v>Y</v>
          </cell>
          <cell r="E568" t="str">
            <v>Y</v>
          </cell>
          <cell r="F568" t="str">
            <v>Y</v>
          </cell>
          <cell r="G568" t="str">
            <v>Y</v>
          </cell>
          <cell r="H568" t="str">
            <v>Y</v>
          </cell>
          <cell r="I568" t="str">
            <v>Y</v>
          </cell>
          <cell r="J568" t="str">
            <v>Y</v>
          </cell>
        </row>
        <row r="569">
          <cell r="B569">
            <v>108779000</v>
          </cell>
          <cell r="C569" t="str">
            <v>Y</v>
          </cell>
          <cell r="D569" t="str">
            <v>Y</v>
          </cell>
          <cell r="E569" t="str">
            <v>Y</v>
          </cell>
          <cell r="F569" t="str">
            <v>Y</v>
          </cell>
          <cell r="G569" t="str">
            <v>Y</v>
          </cell>
          <cell r="H569" t="str">
            <v>Y</v>
          </cell>
          <cell r="I569" t="str">
            <v>Y</v>
          </cell>
          <cell r="J569" t="str">
            <v>Y</v>
          </cell>
        </row>
        <row r="570">
          <cell r="B570">
            <v>108780000</v>
          </cell>
          <cell r="C570" t="str">
            <v>N</v>
          </cell>
          <cell r="D570" t="str">
            <v>N</v>
          </cell>
          <cell r="E570" t="str">
            <v>N</v>
          </cell>
          <cell r="F570" t="str">
            <v>N</v>
          </cell>
          <cell r="G570" t="str">
            <v>N</v>
          </cell>
          <cell r="H570" t="str">
            <v>N</v>
          </cell>
          <cell r="I570" t="str">
            <v>N</v>
          </cell>
          <cell r="J570" t="str">
            <v>N</v>
          </cell>
        </row>
        <row r="571">
          <cell r="B571">
            <v>108781000</v>
          </cell>
          <cell r="C571" t="str">
            <v>N</v>
          </cell>
          <cell r="D571" t="str">
            <v>N</v>
          </cell>
          <cell r="E571" t="str">
            <v>N</v>
          </cell>
          <cell r="F571" t="str">
            <v>N</v>
          </cell>
          <cell r="G571" t="str">
            <v>N</v>
          </cell>
          <cell r="H571" t="str">
            <v>N</v>
          </cell>
          <cell r="I571" t="str">
            <v>N</v>
          </cell>
          <cell r="J571" t="str">
            <v>N</v>
          </cell>
        </row>
        <row r="572">
          <cell r="B572">
            <v>108784000</v>
          </cell>
          <cell r="C572" t="str">
            <v>N</v>
          </cell>
          <cell r="D572" t="str">
            <v>N</v>
          </cell>
          <cell r="E572" t="str">
            <v>N</v>
          </cell>
          <cell r="F572" t="str">
            <v>N</v>
          </cell>
          <cell r="G572" t="str">
            <v>N</v>
          </cell>
          <cell r="H572" t="str">
            <v>N</v>
          </cell>
          <cell r="I572" t="str">
            <v>N</v>
          </cell>
          <cell r="J572" t="str">
            <v>N</v>
          </cell>
        </row>
        <row r="573">
          <cell r="B573">
            <v>108785000</v>
          </cell>
          <cell r="C573" t="str">
            <v>Y</v>
          </cell>
          <cell r="D573" t="str">
            <v>Y</v>
          </cell>
          <cell r="E573" t="str">
            <v>Y</v>
          </cell>
          <cell r="F573" t="str">
            <v>Y</v>
          </cell>
          <cell r="G573" t="str">
            <v>Y</v>
          </cell>
          <cell r="H573" t="str">
            <v>Y</v>
          </cell>
          <cell r="I573" t="str">
            <v>Y</v>
          </cell>
          <cell r="J573" t="str">
            <v>Y</v>
          </cell>
        </row>
        <row r="574">
          <cell r="B574">
            <v>108786000</v>
          </cell>
          <cell r="C574" t="str">
            <v>Y</v>
          </cell>
          <cell r="D574" t="str">
            <v>Y</v>
          </cell>
          <cell r="E574" t="str">
            <v>N</v>
          </cell>
          <cell r="F574" t="str">
            <v>N</v>
          </cell>
          <cell r="G574" t="str">
            <v>N</v>
          </cell>
          <cell r="H574" t="str">
            <v>N</v>
          </cell>
          <cell r="I574" t="str">
            <v>N</v>
          </cell>
          <cell r="J574" t="str">
            <v>N</v>
          </cell>
        </row>
        <row r="575">
          <cell r="B575">
            <v>108789000</v>
          </cell>
          <cell r="C575" t="str">
            <v>Y</v>
          </cell>
          <cell r="D575" t="str">
            <v>Y</v>
          </cell>
          <cell r="E575" t="str">
            <v>Y</v>
          </cell>
          <cell r="F575" t="str">
            <v>Y</v>
          </cell>
          <cell r="G575" t="str">
            <v>Y</v>
          </cell>
          <cell r="H575" t="str">
            <v>Y</v>
          </cell>
          <cell r="I575" t="str">
            <v>Y</v>
          </cell>
          <cell r="J575" t="str">
            <v>Y</v>
          </cell>
        </row>
        <row r="576">
          <cell r="B576">
            <v>108790000</v>
          </cell>
          <cell r="C576" t="str">
            <v>Y</v>
          </cell>
          <cell r="D576" t="str">
            <v>Y</v>
          </cell>
          <cell r="E576" t="str">
            <v>Y</v>
          </cell>
          <cell r="F576" t="str">
            <v>N</v>
          </cell>
          <cell r="G576" t="str">
            <v>N</v>
          </cell>
          <cell r="H576" t="str">
            <v>N</v>
          </cell>
          <cell r="I576" t="str">
            <v>N</v>
          </cell>
          <cell r="J576" t="str">
            <v>N</v>
          </cell>
        </row>
        <row r="577">
          <cell r="B577">
            <v>108792000</v>
          </cell>
          <cell r="C577" t="str">
            <v>Y</v>
          </cell>
          <cell r="D577" t="str">
            <v>Y</v>
          </cell>
          <cell r="E577" t="str">
            <v>Y</v>
          </cell>
          <cell r="F577" t="str">
            <v>Y</v>
          </cell>
          <cell r="G577" t="str">
            <v>Y</v>
          </cell>
          <cell r="H577" t="str">
            <v>N</v>
          </cell>
          <cell r="I577" t="str">
            <v>N</v>
          </cell>
          <cell r="J577" t="str">
            <v>N</v>
          </cell>
        </row>
        <row r="578">
          <cell r="B578">
            <v>108793000</v>
          </cell>
          <cell r="C578" t="str">
            <v>Y</v>
          </cell>
          <cell r="D578" t="str">
            <v>Y</v>
          </cell>
          <cell r="E578" t="str">
            <v>Y</v>
          </cell>
          <cell r="F578" t="str">
            <v>Y</v>
          </cell>
          <cell r="G578" t="str">
            <v>Y</v>
          </cell>
          <cell r="H578" t="str">
            <v>Y</v>
          </cell>
          <cell r="I578" t="str">
            <v>Y</v>
          </cell>
          <cell r="J578" t="str">
            <v>Y</v>
          </cell>
        </row>
        <row r="579">
          <cell r="B579">
            <v>108794000</v>
          </cell>
          <cell r="C579" t="str">
            <v>Y</v>
          </cell>
          <cell r="D579" t="str">
            <v>Y</v>
          </cell>
          <cell r="E579" t="str">
            <v>Y</v>
          </cell>
          <cell r="F579" t="str">
            <v>Y</v>
          </cell>
          <cell r="G579" t="str">
            <v>Y</v>
          </cell>
          <cell r="H579" t="str">
            <v>Y</v>
          </cell>
          <cell r="I579" t="str">
            <v>Y</v>
          </cell>
          <cell r="J579" t="str">
            <v>Y</v>
          </cell>
        </row>
        <row r="580">
          <cell r="B580">
            <v>108796000</v>
          </cell>
          <cell r="C580" t="str">
            <v>Y</v>
          </cell>
          <cell r="D580" t="str">
            <v>Y</v>
          </cell>
          <cell r="E580" t="str">
            <v>Y</v>
          </cell>
          <cell r="F580" t="str">
            <v>N</v>
          </cell>
          <cell r="G580" t="str">
            <v>N</v>
          </cell>
          <cell r="H580" t="str">
            <v>Y</v>
          </cell>
          <cell r="I580" t="str">
            <v>Y</v>
          </cell>
          <cell r="J580" t="str">
            <v>Y</v>
          </cell>
        </row>
        <row r="581">
          <cell r="B581">
            <v>108797000</v>
          </cell>
          <cell r="C581" t="str">
            <v>N</v>
          </cell>
          <cell r="D581" t="str">
            <v>N</v>
          </cell>
          <cell r="E581" t="str">
            <v>N</v>
          </cell>
          <cell r="F581" t="str">
            <v>N</v>
          </cell>
          <cell r="G581" t="str">
            <v>N</v>
          </cell>
          <cell r="H581" t="str">
            <v>N</v>
          </cell>
          <cell r="I581" t="str">
            <v>N</v>
          </cell>
          <cell r="J581" t="str">
            <v>N</v>
          </cell>
        </row>
        <row r="582">
          <cell r="B582">
            <v>108798000</v>
          </cell>
          <cell r="C582" t="str">
            <v>Y</v>
          </cell>
          <cell r="D582" t="str">
            <v>Y</v>
          </cell>
          <cell r="E582" t="str">
            <v>Y</v>
          </cell>
          <cell r="F582" t="str">
            <v>Y</v>
          </cell>
          <cell r="G582" t="str">
            <v>Y</v>
          </cell>
          <cell r="H582" t="str">
            <v>Y</v>
          </cell>
          <cell r="I582" t="str">
            <v>Y</v>
          </cell>
          <cell r="J582" t="str">
            <v>Y</v>
          </cell>
        </row>
        <row r="583">
          <cell r="B583">
            <v>108799000</v>
          </cell>
          <cell r="C583" t="str">
            <v>Y</v>
          </cell>
          <cell r="D583" t="str">
            <v>Y</v>
          </cell>
          <cell r="E583" t="str">
            <v>Y</v>
          </cell>
          <cell r="F583" t="str">
            <v>Y</v>
          </cell>
          <cell r="G583" t="str">
            <v>Y</v>
          </cell>
          <cell r="H583" t="str">
            <v>Y</v>
          </cell>
          <cell r="I583" t="str">
            <v>Y</v>
          </cell>
          <cell r="J583" t="str">
            <v>Y</v>
          </cell>
        </row>
        <row r="584">
          <cell r="B584">
            <v>108908000</v>
          </cell>
          <cell r="C584" t="str">
            <v>N</v>
          </cell>
          <cell r="D584" t="str">
            <v>N</v>
          </cell>
          <cell r="E584" t="str">
            <v>N</v>
          </cell>
          <cell r="F584" t="str">
            <v>N</v>
          </cell>
          <cell r="G584" t="str">
            <v>N</v>
          </cell>
          <cell r="H584" t="str">
            <v>Y</v>
          </cell>
          <cell r="I584" t="str">
            <v>Y</v>
          </cell>
          <cell r="J584" t="str">
            <v>N</v>
          </cell>
        </row>
        <row r="585">
          <cell r="B585">
            <v>108909000</v>
          </cell>
          <cell r="C585" t="str">
            <v>N</v>
          </cell>
          <cell r="D585" t="str">
            <v>N</v>
          </cell>
          <cell r="E585" t="str">
            <v>N</v>
          </cell>
          <cell r="F585" t="str">
            <v>Y</v>
          </cell>
          <cell r="G585" t="str">
            <v>Y</v>
          </cell>
          <cell r="H585" t="str">
            <v>Y</v>
          </cell>
          <cell r="I585" t="str">
            <v>Y</v>
          </cell>
          <cell r="J585" t="str">
            <v>Y</v>
          </cell>
        </row>
        <row r="586">
          <cell r="B586">
            <v>110100000</v>
          </cell>
          <cell r="C586" t="str">
            <v>Y</v>
          </cell>
          <cell r="D586" t="str">
            <v>Y</v>
          </cell>
          <cell r="E586" t="str">
            <v>Y</v>
          </cell>
          <cell r="F586" t="str">
            <v>Y</v>
          </cell>
          <cell r="G586" t="str">
            <v>Y</v>
          </cell>
          <cell r="H586" t="str">
            <v>Y</v>
          </cell>
          <cell r="I586" t="str">
            <v>Y</v>
          </cell>
          <cell r="J586" t="str">
            <v>Y</v>
          </cell>
        </row>
        <row r="587">
          <cell r="B587">
            <v>110201000</v>
          </cell>
          <cell r="C587" t="str">
            <v>N</v>
          </cell>
          <cell r="D587" t="str">
            <v>N</v>
          </cell>
          <cell r="E587" t="str">
            <v>N</v>
          </cell>
          <cell r="F587" t="str">
            <v>N</v>
          </cell>
          <cell r="G587" t="str">
            <v>Y</v>
          </cell>
          <cell r="H587" t="str">
            <v>Y</v>
          </cell>
          <cell r="I587" t="str">
            <v>Y</v>
          </cell>
          <cell r="J587" t="str">
            <v>Y</v>
          </cell>
        </row>
        <row r="588">
          <cell r="B588">
            <v>110203000</v>
          </cell>
          <cell r="C588" t="str">
            <v>Y</v>
          </cell>
          <cell r="D588" t="str">
            <v>Y</v>
          </cell>
          <cell r="E588" t="str">
            <v>Y</v>
          </cell>
          <cell r="F588" t="str">
            <v>Y</v>
          </cell>
          <cell r="G588" t="str">
            <v>Y</v>
          </cell>
          <cell r="H588" t="str">
            <v>Y</v>
          </cell>
          <cell r="I588" t="str">
            <v>Y</v>
          </cell>
          <cell r="J588" t="str">
            <v>Y</v>
          </cell>
        </row>
        <row r="589">
          <cell r="B589">
            <v>110208000</v>
          </cell>
          <cell r="C589" t="str">
            <v>Y</v>
          </cell>
          <cell r="D589" t="str">
            <v>Y</v>
          </cell>
          <cell r="E589" t="str">
            <v>Y</v>
          </cell>
          <cell r="F589" t="str">
            <v>Y</v>
          </cell>
          <cell r="G589" t="str">
            <v>Y</v>
          </cell>
          <cell r="H589" t="str">
            <v>Y</v>
          </cell>
          <cell r="I589" t="str">
            <v>Y</v>
          </cell>
          <cell r="J589" t="str">
            <v>Y</v>
          </cell>
        </row>
        <row r="590">
          <cell r="B590">
            <v>110215000</v>
          </cell>
          <cell r="C590" t="str">
            <v>Y</v>
          </cell>
          <cell r="D590" t="str">
            <v>Y</v>
          </cell>
          <cell r="E590" t="str">
            <v>Y</v>
          </cell>
          <cell r="F590" t="str">
            <v>Y</v>
          </cell>
          <cell r="G590" t="str">
            <v>Y</v>
          </cell>
          <cell r="H590" t="str">
            <v>Y</v>
          </cell>
          <cell r="I590" t="str">
            <v>Y</v>
          </cell>
          <cell r="J590" t="str">
            <v>Y</v>
          </cell>
        </row>
        <row r="591">
          <cell r="B591">
            <v>110220000</v>
          </cell>
          <cell r="C591" t="str">
            <v>N</v>
          </cell>
          <cell r="D591" t="str">
            <v>N</v>
          </cell>
          <cell r="E591" t="str">
            <v>N</v>
          </cell>
          <cell r="F591" t="str">
            <v>N</v>
          </cell>
          <cell r="G591" t="str">
            <v>N</v>
          </cell>
          <cell r="H591" t="str">
            <v>N</v>
          </cell>
          <cell r="I591" t="str">
            <v>Y</v>
          </cell>
          <cell r="J591" t="str">
            <v>Y</v>
          </cell>
        </row>
        <row r="592">
          <cell r="B592">
            <v>110221000</v>
          </cell>
          <cell r="C592" t="str">
            <v>Y</v>
          </cell>
          <cell r="D592" t="str">
            <v>Y</v>
          </cell>
          <cell r="E592" t="str">
            <v>Y</v>
          </cell>
          <cell r="F592" t="str">
            <v>Y</v>
          </cell>
          <cell r="G592" t="str">
            <v>Y</v>
          </cell>
          <cell r="H592" t="str">
            <v>Y</v>
          </cell>
          <cell r="I592" t="str">
            <v>Y</v>
          </cell>
          <cell r="J592" t="str">
            <v>Y</v>
          </cell>
        </row>
        <row r="593">
          <cell r="B593">
            <v>110243000</v>
          </cell>
          <cell r="C593" t="str">
            <v>N</v>
          </cell>
          <cell r="D593" t="str">
            <v>N</v>
          </cell>
          <cell r="E593" t="str">
            <v>Y</v>
          </cell>
          <cell r="F593" t="str">
            <v>Y</v>
          </cell>
          <cell r="G593" t="str">
            <v>Y</v>
          </cell>
          <cell r="H593" t="str">
            <v>Y</v>
          </cell>
          <cell r="I593" t="str">
            <v>Y</v>
          </cell>
          <cell r="J593" t="str">
            <v>Y</v>
          </cell>
        </row>
        <row r="594">
          <cell r="B594">
            <v>110244000</v>
          </cell>
          <cell r="C594" t="str">
            <v>N</v>
          </cell>
          <cell r="D594" t="str">
            <v>N</v>
          </cell>
          <cell r="E594" t="str">
            <v>N</v>
          </cell>
          <cell r="F594" t="str">
            <v>N</v>
          </cell>
          <cell r="G594" t="str">
            <v>Y</v>
          </cell>
          <cell r="H594" t="str">
            <v>Y</v>
          </cell>
          <cell r="I594" t="str">
            <v>Y</v>
          </cell>
          <cell r="J594" t="str">
            <v>Y</v>
          </cell>
        </row>
        <row r="595">
          <cell r="B595">
            <v>110302000</v>
          </cell>
          <cell r="C595" t="str">
            <v>N</v>
          </cell>
          <cell r="D595" t="str">
            <v>N</v>
          </cell>
          <cell r="E595" t="str">
            <v>N</v>
          </cell>
          <cell r="F595" t="str">
            <v>Y</v>
          </cell>
          <cell r="G595" t="str">
            <v>N</v>
          </cell>
          <cell r="H595" t="str">
            <v>N</v>
          </cell>
          <cell r="I595" t="str">
            <v>N</v>
          </cell>
          <cell r="J595" t="str">
            <v>Y</v>
          </cell>
        </row>
        <row r="596">
          <cell r="B596">
            <v>110404000</v>
          </cell>
          <cell r="C596" t="str">
            <v>Y</v>
          </cell>
          <cell r="D596" t="str">
            <v>Y</v>
          </cell>
          <cell r="E596" t="str">
            <v>Y</v>
          </cell>
          <cell r="F596" t="str">
            <v>Y</v>
          </cell>
          <cell r="G596" t="str">
            <v>Y</v>
          </cell>
          <cell r="H596" t="str">
            <v>Y</v>
          </cell>
          <cell r="I596" t="str">
            <v>Y</v>
          </cell>
          <cell r="J596" t="str">
            <v>Y</v>
          </cell>
        </row>
        <row r="597">
          <cell r="B597">
            <v>110405000</v>
          </cell>
          <cell r="C597" t="str">
            <v>Y</v>
          </cell>
          <cell r="D597" t="str">
            <v>N</v>
          </cell>
          <cell r="E597" t="str">
            <v>N</v>
          </cell>
          <cell r="F597" t="str">
            <v>Y</v>
          </cell>
          <cell r="G597" t="str">
            <v>Y</v>
          </cell>
          <cell r="H597" t="str">
            <v>Y</v>
          </cell>
          <cell r="I597" t="str">
            <v>Y</v>
          </cell>
          <cell r="J597" t="str">
            <v>Y</v>
          </cell>
        </row>
        <row r="598">
          <cell r="B598">
            <v>110411000</v>
          </cell>
          <cell r="C598" t="str">
            <v>Y</v>
          </cell>
          <cell r="D598" t="str">
            <v>Y</v>
          </cell>
          <cell r="E598" t="str">
            <v>Y</v>
          </cell>
          <cell r="F598" t="str">
            <v>Y</v>
          </cell>
          <cell r="G598" t="str">
            <v>Y</v>
          </cell>
          <cell r="H598" t="str">
            <v>Y</v>
          </cell>
          <cell r="I598" t="str">
            <v>Y</v>
          </cell>
          <cell r="J598" t="str">
            <v>Y</v>
          </cell>
        </row>
        <row r="599">
          <cell r="B599">
            <v>110418000</v>
          </cell>
          <cell r="C599" t="str">
            <v>Y</v>
          </cell>
          <cell r="D599" t="str">
            <v>Y</v>
          </cell>
          <cell r="E599" t="str">
            <v>Y</v>
          </cell>
          <cell r="F599" t="str">
            <v>Y</v>
          </cell>
          <cell r="G599" t="str">
            <v>Y</v>
          </cell>
          <cell r="H599" t="str">
            <v>Y</v>
          </cell>
          <cell r="I599" t="str">
            <v>Y</v>
          </cell>
          <cell r="J599" t="str">
            <v>Y</v>
          </cell>
        </row>
        <row r="600">
          <cell r="B600">
            <v>110422000</v>
          </cell>
          <cell r="C600" t="str">
            <v>N</v>
          </cell>
          <cell r="D600" t="str">
            <v>N</v>
          </cell>
          <cell r="E600" t="str">
            <v>N</v>
          </cell>
          <cell r="F600" t="str">
            <v>Y</v>
          </cell>
          <cell r="G600" t="str">
            <v>Y</v>
          </cell>
          <cell r="H600" t="str">
            <v>Y</v>
          </cell>
          <cell r="I600" t="str">
            <v>Y</v>
          </cell>
          <cell r="J600" t="str">
            <v>Y</v>
          </cell>
        </row>
        <row r="601">
          <cell r="B601">
            <v>110424000</v>
          </cell>
          <cell r="C601" t="str">
            <v>Y</v>
          </cell>
          <cell r="D601" t="str">
            <v>Y</v>
          </cell>
          <cell r="E601" t="str">
            <v>Y</v>
          </cell>
          <cell r="F601" t="str">
            <v>Y</v>
          </cell>
          <cell r="G601" t="str">
            <v>Y</v>
          </cell>
          <cell r="H601" t="str">
            <v>Y</v>
          </cell>
          <cell r="I601" t="str">
            <v>Y</v>
          </cell>
          <cell r="J601" t="str">
            <v>Y</v>
          </cell>
        </row>
        <row r="602">
          <cell r="B602">
            <v>110433000</v>
          </cell>
          <cell r="C602" t="str">
            <v>Y</v>
          </cell>
          <cell r="D602" t="str">
            <v>Y</v>
          </cell>
          <cell r="E602" t="str">
            <v>Y</v>
          </cell>
          <cell r="F602" t="str">
            <v>Y</v>
          </cell>
          <cell r="G602" t="str">
            <v>Y</v>
          </cell>
          <cell r="H602" t="str">
            <v>Y</v>
          </cell>
          <cell r="I602" t="str">
            <v>Y</v>
          </cell>
          <cell r="J602" t="str">
            <v>Y</v>
          </cell>
        </row>
        <row r="603">
          <cell r="B603">
            <v>110502000</v>
          </cell>
          <cell r="C603" t="str">
            <v>Y</v>
          </cell>
          <cell r="D603" t="str">
            <v>Y</v>
          </cell>
          <cell r="E603" t="str">
            <v>Y</v>
          </cell>
          <cell r="F603" t="str">
            <v>Y</v>
          </cell>
          <cell r="G603" t="str">
            <v>Y</v>
          </cell>
          <cell r="H603" t="str">
            <v>Y</v>
          </cell>
          <cell r="I603" t="str">
            <v>Y</v>
          </cell>
          <cell r="J603" t="str">
            <v>Y</v>
          </cell>
        </row>
        <row r="604">
          <cell r="B604">
            <v>110502700</v>
          </cell>
          <cell r="C604" t="str">
            <v>N</v>
          </cell>
          <cell r="D604" t="str">
            <v>N</v>
          </cell>
          <cell r="E604" t="str">
            <v>N</v>
          </cell>
          <cell r="F604" t="str">
            <v>N</v>
          </cell>
          <cell r="G604" t="str">
            <v>N</v>
          </cell>
          <cell r="H604" t="str">
            <v>N</v>
          </cell>
          <cell r="I604" t="str">
            <v>N</v>
          </cell>
          <cell r="J604" t="str">
            <v>N</v>
          </cell>
        </row>
        <row r="605">
          <cell r="B605">
            <v>110540000</v>
          </cell>
          <cell r="C605" t="str">
            <v>Y</v>
          </cell>
          <cell r="D605" t="str">
            <v>Y</v>
          </cell>
          <cell r="E605" t="str">
            <v>Y</v>
          </cell>
          <cell r="F605" t="str">
            <v>Y</v>
          </cell>
          <cell r="G605" t="str">
            <v>Y</v>
          </cell>
          <cell r="H605" t="str">
            <v>Y</v>
          </cell>
          <cell r="I605" t="str">
            <v>Y</v>
          </cell>
          <cell r="J605" t="str">
            <v>Y</v>
          </cell>
        </row>
        <row r="606">
          <cell r="B606">
            <v>110899000</v>
          </cell>
          <cell r="C606" t="str">
            <v>N</v>
          </cell>
          <cell r="D606" t="str">
            <v>N</v>
          </cell>
          <cell r="E606" t="str">
            <v>N</v>
          </cell>
          <cell r="F606" t="str">
            <v>N</v>
          </cell>
          <cell r="G606" t="str">
            <v>N</v>
          </cell>
          <cell r="H606" t="str">
            <v>N</v>
          </cell>
          <cell r="I606" t="str">
            <v>N</v>
          </cell>
          <cell r="J606" t="str">
            <v>N</v>
          </cell>
        </row>
        <row r="607">
          <cell r="B607">
            <v>118702000</v>
          </cell>
          <cell r="C607" t="str">
            <v>Y</v>
          </cell>
          <cell r="D607" t="str">
            <v>Y</v>
          </cell>
          <cell r="E607" t="str">
            <v>N</v>
          </cell>
          <cell r="F607" t="str">
            <v>Y</v>
          </cell>
          <cell r="G607" t="str">
            <v>N</v>
          </cell>
          <cell r="H607" t="str">
            <v>N</v>
          </cell>
          <cell r="I607" t="str">
            <v>N</v>
          </cell>
          <cell r="J607" t="str">
            <v>N</v>
          </cell>
        </row>
        <row r="608">
          <cell r="B608">
            <v>118703000</v>
          </cell>
          <cell r="C608" t="str">
            <v>Y</v>
          </cell>
          <cell r="D608" t="str">
            <v>Y</v>
          </cell>
          <cell r="E608" t="str">
            <v>Y</v>
          </cell>
          <cell r="F608" t="str">
            <v>Y</v>
          </cell>
          <cell r="G608" t="str">
            <v>Y</v>
          </cell>
          <cell r="H608" t="str">
            <v>Y</v>
          </cell>
          <cell r="I608" t="str">
            <v>Y</v>
          </cell>
          <cell r="J608" t="str">
            <v>Y</v>
          </cell>
        </row>
        <row r="609">
          <cell r="B609">
            <v>118705000</v>
          </cell>
          <cell r="C609" t="str">
            <v>N</v>
          </cell>
          <cell r="D609" t="str">
            <v>N</v>
          </cell>
          <cell r="E609" t="str">
            <v>Y</v>
          </cell>
          <cell r="F609" t="str">
            <v>Y</v>
          </cell>
          <cell r="G609" t="str">
            <v>Y</v>
          </cell>
          <cell r="H609" t="str">
            <v>N</v>
          </cell>
          <cell r="I609" t="str">
            <v>N</v>
          </cell>
          <cell r="J609" t="str">
            <v>Y</v>
          </cell>
        </row>
        <row r="610">
          <cell r="B610">
            <v>118706000</v>
          </cell>
          <cell r="C610" t="str">
            <v>Y</v>
          </cell>
          <cell r="D610" t="str">
            <v>Y</v>
          </cell>
          <cell r="E610" t="str">
            <v>Y</v>
          </cell>
          <cell r="F610" t="str">
            <v>Y</v>
          </cell>
          <cell r="G610" t="str">
            <v>Y</v>
          </cell>
          <cell r="H610" t="str">
            <v>Y</v>
          </cell>
          <cell r="I610" t="str">
            <v>Y</v>
          </cell>
          <cell r="J610" t="str">
            <v>Y</v>
          </cell>
        </row>
        <row r="611">
          <cell r="B611">
            <v>118707000</v>
          </cell>
          <cell r="C611" t="str">
            <v>Y</v>
          </cell>
          <cell r="D611" t="str">
            <v>N</v>
          </cell>
          <cell r="E611" t="str">
            <v>N</v>
          </cell>
          <cell r="F611" t="str">
            <v>Y</v>
          </cell>
          <cell r="G611" t="str">
            <v>Y</v>
          </cell>
          <cell r="H611" t="str">
            <v>Y</v>
          </cell>
          <cell r="I611" t="str">
            <v>N</v>
          </cell>
          <cell r="J611" t="str">
            <v>N</v>
          </cell>
        </row>
        <row r="612">
          <cell r="B612">
            <v>118708000</v>
          </cell>
          <cell r="C612" t="str">
            <v>N</v>
          </cell>
          <cell r="D612" t="str">
            <v>N</v>
          </cell>
          <cell r="E612" t="str">
            <v>Y</v>
          </cell>
          <cell r="F612" t="str">
            <v>Y</v>
          </cell>
          <cell r="G612" t="str">
            <v>Y</v>
          </cell>
          <cell r="H612" t="str">
            <v>Y</v>
          </cell>
          <cell r="I612" t="str">
            <v>Y</v>
          </cell>
          <cell r="J612" t="str">
            <v>Y</v>
          </cell>
        </row>
        <row r="613">
          <cell r="B613">
            <v>118709000</v>
          </cell>
          <cell r="C613" t="str">
            <v>N</v>
          </cell>
          <cell r="D613" t="str">
            <v>N</v>
          </cell>
          <cell r="E613" t="str">
            <v>N</v>
          </cell>
          <cell r="F613" t="str">
            <v>N</v>
          </cell>
          <cell r="G613" t="str">
            <v>Y</v>
          </cell>
          <cell r="H613" t="str">
            <v>N</v>
          </cell>
          <cell r="I613" t="str">
            <v>N</v>
          </cell>
          <cell r="J613" t="str">
            <v>N</v>
          </cell>
        </row>
        <row r="614">
          <cell r="B614">
            <v>118711000</v>
          </cell>
          <cell r="C614" t="str">
            <v>N</v>
          </cell>
          <cell r="D614" t="str">
            <v>N</v>
          </cell>
          <cell r="E614" t="str">
            <v>N</v>
          </cell>
          <cell r="F614" t="str">
            <v>N</v>
          </cell>
          <cell r="G614" t="str">
            <v>N</v>
          </cell>
          <cell r="H614" t="str">
            <v>N</v>
          </cell>
          <cell r="I614" t="str">
            <v>N</v>
          </cell>
          <cell r="J614" t="str">
            <v>N</v>
          </cell>
        </row>
        <row r="615">
          <cell r="B615">
            <v>118712000</v>
          </cell>
          <cell r="C615" t="str">
            <v>N</v>
          </cell>
          <cell r="D615" t="str">
            <v>N</v>
          </cell>
          <cell r="E615" t="str">
            <v>N</v>
          </cell>
          <cell r="F615" t="str">
            <v>N</v>
          </cell>
          <cell r="G615" t="str">
            <v>Y</v>
          </cell>
          <cell r="H615" t="str">
            <v>Y</v>
          </cell>
          <cell r="I615" t="str">
            <v>Y</v>
          </cell>
          <cell r="J615" t="str">
            <v>Y</v>
          </cell>
        </row>
        <row r="616">
          <cell r="B616">
            <v>118713000</v>
          </cell>
          <cell r="C616" t="str">
            <v>N</v>
          </cell>
          <cell r="D616" t="str">
            <v>N</v>
          </cell>
          <cell r="E616" t="str">
            <v>N</v>
          </cell>
          <cell r="F616" t="str">
            <v>N</v>
          </cell>
          <cell r="G616" t="str">
            <v>N</v>
          </cell>
          <cell r="H616" t="str">
            <v>N</v>
          </cell>
          <cell r="I616" t="str">
            <v>N</v>
          </cell>
          <cell r="J616" t="str">
            <v>N</v>
          </cell>
        </row>
        <row r="617">
          <cell r="B617">
            <v>118715000</v>
          </cell>
          <cell r="C617" t="str">
            <v>N</v>
          </cell>
          <cell r="D617" t="str">
            <v>N</v>
          </cell>
          <cell r="E617" t="str">
            <v>N</v>
          </cell>
          <cell r="F617" t="str">
            <v>N</v>
          </cell>
          <cell r="G617" t="str">
            <v>N</v>
          </cell>
          <cell r="H617" t="str">
            <v>Y</v>
          </cell>
          <cell r="I617" t="str">
            <v>Y</v>
          </cell>
          <cell r="J617" t="str">
            <v>N</v>
          </cell>
        </row>
        <row r="618">
          <cell r="B618">
            <v>118717000</v>
          </cell>
          <cell r="C618" t="str">
            <v>N</v>
          </cell>
          <cell r="D618" t="str">
            <v>N</v>
          </cell>
          <cell r="E618" t="str">
            <v>N</v>
          </cell>
          <cell r="F618" t="str">
            <v>N</v>
          </cell>
          <cell r="G618" t="str">
            <v>N</v>
          </cell>
          <cell r="H618" t="str">
            <v>N</v>
          </cell>
          <cell r="I618" t="str">
            <v>N</v>
          </cell>
          <cell r="J618" t="str">
            <v>Y</v>
          </cell>
        </row>
        <row r="619">
          <cell r="B619">
            <v>120199000</v>
          </cell>
          <cell r="C619" t="str">
            <v>Y</v>
          </cell>
          <cell r="D619" t="str">
            <v>N</v>
          </cell>
          <cell r="E619" t="str">
            <v>Y</v>
          </cell>
          <cell r="F619" t="str">
            <v>Y</v>
          </cell>
          <cell r="G619" t="str">
            <v>N</v>
          </cell>
          <cell r="H619" t="str">
            <v>N</v>
          </cell>
          <cell r="I619" t="str">
            <v>N</v>
          </cell>
          <cell r="J619" t="str">
            <v>N</v>
          </cell>
        </row>
        <row r="620">
          <cell r="B620">
            <v>120201000</v>
          </cell>
          <cell r="C620" t="str">
            <v>Y</v>
          </cell>
          <cell r="D620" t="str">
            <v>Y</v>
          </cell>
          <cell r="E620" t="str">
            <v>Y</v>
          </cell>
          <cell r="F620" t="str">
            <v>Y</v>
          </cell>
          <cell r="G620" t="str">
            <v>Y</v>
          </cell>
          <cell r="H620" t="str">
            <v>Y</v>
          </cell>
          <cell r="I620" t="str">
            <v>Y</v>
          </cell>
          <cell r="J620" t="str">
            <v>Y</v>
          </cell>
        </row>
        <row r="621">
          <cell r="B621">
            <v>120235000</v>
          </cell>
          <cell r="C621" t="str">
            <v>Y</v>
          </cell>
          <cell r="D621" t="str">
            <v>Y</v>
          </cell>
          <cell r="E621" t="str">
            <v>Y</v>
          </cell>
          <cell r="F621" t="str">
            <v>Y</v>
          </cell>
          <cell r="G621" t="str">
            <v>Y</v>
          </cell>
          <cell r="H621" t="str">
            <v>Y</v>
          </cell>
          <cell r="I621" t="str">
            <v>Y</v>
          </cell>
          <cell r="J621" t="str">
            <v>Y</v>
          </cell>
        </row>
        <row r="622">
          <cell r="B622">
            <v>120328000</v>
          </cell>
          <cell r="C622" t="str">
            <v>Y</v>
          </cell>
          <cell r="D622" t="str">
            <v>N</v>
          </cell>
          <cell r="E622" t="str">
            <v>Y</v>
          </cell>
          <cell r="F622" t="str">
            <v>Y</v>
          </cell>
          <cell r="G622" t="str">
            <v>Y</v>
          </cell>
          <cell r="H622" t="str">
            <v>Y</v>
          </cell>
          <cell r="I622" t="str">
            <v>Y</v>
          </cell>
          <cell r="J622" t="str">
            <v>Y</v>
          </cell>
        </row>
        <row r="623">
          <cell r="B623">
            <v>120406000</v>
          </cell>
          <cell r="C623" t="str">
            <v>Y</v>
          </cell>
          <cell r="D623" t="str">
            <v>Y</v>
          </cell>
          <cell r="E623" t="str">
            <v>Y</v>
          </cell>
          <cell r="F623" t="str">
            <v>Y</v>
          </cell>
          <cell r="G623" t="str">
            <v>Y</v>
          </cell>
          <cell r="H623" t="str">
            <v>Y</v>
          </cell>
          <cell r="I623" t="str">
            <v>Y</v>
          </cell>
          <cell r="J623" t="str">
            <v>Y</v>
          </cell>
        </row>
        <row r="624">
          <cell r="B624">
            <v>120425000</v>
          </cell>
          <cell r="C624" t="str">
            <v>Y</v>
          </cell>
          <cell r="D624" t="str">
            <v>N</v>
          </cell>
          <cell r="E624" t="str">
            <v>Y</v>
          </cell>
          <cell r="F624" t="str">
            <v>Y</v>
          </cell>
          <cell r="G624" t="str">
            <v>Y</v>
          </cell>
          <cell r="H624" t="str">
            <v>Y</v>
          </cell>
          <cell r="I624" t="str">
            <v>Y</v>
          </cell>
          <cell r="J624" t="str">
            <v>Y</v>
          </cell>
        </row>
        <row r="625">
          <cell r="B625">
            <v>120520000</v>
          </cell>
          <cell r="C625" t="str">
            <v>Y</v>
          </cell>
          <cell r="D625" t="str">
            <v>N</v>
          </cell>
          <cell r="E625" t="str">
            <v>N</v>
          </cell>
          <cell r="F625" t="str">
            <v>N</v>
          </cell>
          <cell r="G625" t="str">
            <v>Y</v>
          </cell>
          <cell r="H625" t="str">
            <v>Y</v>
          </cell>
          <cell r="I625" t="str">
            <v>Y</v>
          </cell>
          <cell r="J625" t="str">
            <v>Y</v>
          </cell>
        </row>
        <row r="626">
          <cell r="B626">
            <v>120899000</v>
          </cell>
          <cell r="C626" t="str">
            <v>N</v>
          </cell>
          <cell r="D626" t="str">
            <v>Y</v>
          </cell>
          <cell r="E626" t="str">
            <v>N</v>
          </cell>
          <cell r="F626" t="str">
            <v>N</v>
          </cell>
          <cell r="G626" t="str">
            <v>N</v>
          </cell>
          <cell r="H626" t="str">
            <v>N</v>
          </cell>
          <cell r="I626" t="str">
            <v>N</v>
          </cell>
          <cell r="J626" t="str">
            <v>N</v>
          </cell>
        </row>
        <row r="627">
          <cell r="B627">
            <v>120900000</v>
          </cell>
          <cell r="C627" t="str">
            <v>N</v>
          </cell>
          <cell r="D627" t="str">
            <v>N</v>
          </cell>
          <cell r="E627" t="str">
            <v>N</v>
          </cell>
          <cell r="F627" t="str">
            <v>N</v>
          </cell>
          <cell r="G627" t="str">
            <v>N</v>
          </cell>
          <cell r="H627" t="str">
            <v>N</v>
          </cell>
          <cell r="I627" t="str">
            <v>N</v>
          </cell>
          <cell r="J627" t="str">
            <v>N</v>
          </cell>
        </row>
        <row r="628">
          <cell r="B628">
            <v>120999000</v>
          </cell>
          <cell r="C628" t="str">
            <v>N</v>
          </cell>
          <cell r="D628" t="str">
            <v>N</v>
          </cell>
          <cell r="E628" t="str">
            <v>N</v>
          </cell>
          <cell r="F628" t="str">
            <v>N</v>
          </cell>
          <cell r="G628" t="str">
            <v>N</v>
          </cell>
          <cell r="H628" t="str">
            <v>N</v>
          </cell>
          <cell r="I628" t="str">
            <v>N</v>
          </cell>
          <cell r="J628" t="str">
            <v>N</v>
          </cell>
        </row>
        <row r="629">
          <cell r="B629">
            <v>128703000</v>
          </cell>
          <cell r="C629" t="str">
            <v>Y</v>
          </cell>
          <cell r="D629" t="str">
            <v>Y</v>
          </cell>
          <cell r="E629" t="str">
            <v>Y</v>
          </cell>
          <cell r="F629" t="str">
            <v>Y</v>
          </cell>
          <cell r="G629" t="str">
            <v>Y</v>
          </cell>
          <cell r="H629" t="str">
            <v>Y</v>
          </cell>
          <cell r="I629" t="str">
            <v>Y</v>
          </cell>
          <cell r="J629" t="str">
            <v>Y</v>
          </cell>
        </row>
        <row r="630">
          <cell r="B630">
            <v>128725000</v>
          </cell>
          <cell r="C630" t="str">
            <v>N</v>
          </cell>
          <cell r="D630" t="str">
            <v>N</v>
          </cell>
          <cell r="E630" t="str">
            <v>N</v>
          </cell>
          <cell r="F630" t="str">
            <v>N</v>
          </cell>
          <cell r="G630" t="str">
            <v>N</v>
          </cell>
          <cell r="H630" t="str">
            <v>N</v>
          </cell>
          <cell r="I630" t="str">
            <v>N</v>
          </cell>
          <cell r="J630" t="str">
            <v>N</v>
          </cell>
        </row>
        <row r="631">
          <cell r="B631">
            <v>128726000</v>
          </cell>
          <cell r="C631" t="str">
            <v>N</v>
          </cell>
          <cell r="D631" t="str">
            <v>N</v>
          </cell>
          <cell r="E631" t="str">
            <v>N</v>
          </cell>
          <cell r="F631" t="str">
            <v>Y</v>
          </cell>
          <cell r="G631" t="str">
            <v>N</v>
          </cell>
          <cell r="H631" t="str">
            <v>N</v>
          </cell>
          <cell r="I631" t="str">
            <v>N</v>
          </cell>
          <cell r="J631" t="str">
            <v>N</v>
          </cell>
        </row>
        <row r="632">
          <cell r="B632">
            <v>130199000</v>
          </cell>
          <cell r="C632" t="str">
            <v>N</v>
          </cell>
          <cell r="D632" t="str">
            <v>Y</v>
          </cell>
          <cell r="E632" t="str">
            <v>Y</v>
          </cell>
          <cell r="F632" t="str">
            <v>Y</v>
          </cell>
          <cell r="G632" t="str">
            <v>N</v>
          </cell>
          <cell r="H632" t="str">
            <v>Y</v>
          </cell>
          <cell r="I632" t="str">
            <v>N</v>
          </cell>
          <cell r="J632" t="str">
            <v>Y</v>
          </cell>
        </row>
        <row r="633">
          <cell r="B633">
            <v>130201000</v>
          </cell>
          <cell r="C633" t="str">
            <v>N</v>
          </cell>
          <cell r="D633" t="str">
            <v>N</v>
          </cell>
          <cell r="E633" t="str">
            <v>N</v>
          </cell>
          <cell r="F633" t="str">
            <v>Y</v>
          </cell>
          <cell r="G633" t="str">
            <v>Y</v>
          </cell>
          <cell r="H633" t="str">
            <v>Y</v>
          </cell>
          <cell r="I633" t="str">
            <v>Y</v>
          </cell>
          <cell r="J633" t="str">
            <v>N</v>
          </cell>
        </row>
        <row r="634">
          <cell r="B634">
            <v>130209000</v>
          </cell>
          <cell r="C634" t="str">
            <v>N</v>
          </cell>
          <cell r="D634" t="str">
            <v>N</v>
          </cell>
          <cell r="E634" t="str">
            <v>N</v>
          </cell>
          <cell r="F634" t="str">
            <v>Y</v>
          </cell>
          <cell r="G634" t="str">
            <v>Y</v>
          </cell>
          <cell r="H634" t="str">
            <v>Y</v>
          </cell>
          <cell r="I634" t="str">
            <v>Y</v>
          </cell>
          <cell r="J634" t="str">
            <v>Y</v>
          </cell>
        </row>
        <row r="635">
          <cell r="B635">
            <v>130220000</v>
          </cell>
          <cell r="C635" t="str">
            <v>N</v>
          </cell>
          <cell r="D635" t="str">
            <v>N</v>
          </cell>
          <cell r="E635" t="str">
            <v>N</v>
          </cell>
          <cell r="F635" t="str">
            <v>Y</v>
          </cell>
          <cell r="G635" t="str">
            <v>Y</v>
          </cell>
          <cell r="H635" t="str">
            <v>N</v>
          </cell>
          <cell r="I635" t="str">
            <v>N</v>
          </cell>
          <cell r="J635" t="str">
            <v>N</v>
          </cell>
        </row>
        <row r="636">
          <cell r="B636">
            <v>130222000</v>
          </cell>
          <cell r="C636" t="str">
            <v>Y</v>
          </cell>
          <cell r="D636" t="str">
            <v>Y</v>
          </cell>
          <cell r="E636" t="str">
            <v>Y</v>
          </cell>
          <cell r="F636" t="str">
            <v>Y</v>
          </cell>
          <cell r="G636" t="str">
            <v>Y</v>
          </cell>
          <cell r="H636" t="str">
            <v>Y</v>
          </cell>
          <cell r="I636" t="str">
            <v>Y</v>
          </cell>
          <cell r="J636" t="str">
            <v>Y</v>
          </cell>
        </row>
        <row r="637">
          <cell r="B637">
            <v>130228000</v>
          </cell>
          <cell r="C637" t="str">
            <v>Y</v>
          </cell>
          <cell r="D637" t="str">
            <v>Y</v>
          </cell>
          <cell r="E637" t="str">
            <v>Y</v>
          </cell>
          <cell r="F637" t="str">
            <v>Y</v>
          </cell>
          <cell r="G637" t="str">
            <v>Y</v>
          </cell>
          <cell r="H637" t="str">
            <v>Y</v>
          </cell>
          <cell r="I637" t="str">
            <v>Y</v>
          </cell>
          <cell r="J637" t="str">
            <v>Y</v>
          </cell>
        </row>
        <row r="638">
          <cell r="B638">
            <v>130231000</v>
          </cell>
          <cell r="C638" t="str">
            <v>Y</v>
          </cell>
          <cell r="D638" t="str">
            <v>Y</v>
          </cell>
          <cell r="E638" t="str">
            <v>Y</v>
          </cell>
          <cell r="F638" t="str">
            <v>Y</v>
          </cell>
          <cell r="G638" t="str">
            <v>Y</v>
          </cell>
          <cell r="H638" t="str">
            <v>Y</v>
          </cell>
          <cell r="I638" t="str">
            <v>Y</v>
          </cell>
          <cell r="J638" t="str">
            <v>Y</v>
          </cell>
        </row>
        <row r="639">
          <cell r="B639">
            <v>130240000</v>
          </cell>
          <cell r="C639" t="str">
            <v>Y</v>
          </cell>
          <cell r="D639" t="str">
            <v>Y</v>
          </cell>
          <cell r="E639" t="str">
            <v>Y</v>
          </cell>
          <cell r="F639" t="str">
            <v>N</v>
          </cell>
          <cell r="G639" t="str">
            <v>N</v>
          </cell>
          <cell r="H639" t="str">
            <v>N</v>
          </cell>
          <cell r="I639" t="str">
            <v>N</v>
          </cell>
          <cell r="J639" t="str">
            <v>Y</v>
          </cell>
        </row>
        <row r="640">
          <cell r="B640">
            <v>130243000</v>
          </cell>
          <cell r="C640" t="str">
            <v>Y</v>
          </cell>
          <cell r="D640" t="str">
            <v>Y</v>
          </cell>
          <cell r="E640" t="str">
            <v>Y</v>
          </cell>
          <cell r="F640" t="str">
            <v>Y</v>
          </cell>
          <cell r="G640" t="str">
            <v>Y</v>
          </cell>
          <cell r="H640" t="str">
            <v>Y</v>
          </cell>
          <cell r="I640" t="str">
            <v>Y</v>
          </cell>
          <cell r="J640" t="str">
            <v>Y</v>
          </cell>
        </row>
        <row r="641">
          <cell r="B641">
            <v>130251000</v>
          </cell>
          <cell r="C641" t="str">
            <v>Y</v>
          </cell>
          <cell r="D641" t="str">
            <v>Y</v>
          </cell>
          <cell r="E641" t="str">
            <v>Y</v>
          </cell>
          <cell r="F641" t="str">
            <v>Y</v>
          </cell>
          <cell r="G641" t="str">
            <v>Y</v>
          </cell>
          <cell r="H641" t="str">
            <v>Y</v>
          </cell>
          <cell r="I641" t="str">
            <v>Y</v>
          </cell>
          <cell r="J641" t="str">
            <v>Y</v>
          </cell>
        </row>
        <row r="642">
          <cell r="B642">
            <v>130302000</v>
          </cell>
          <cell r="C642" t="str">
            <v>N</v>
          </cell>
          <cell r="D642" t="str">
            <v>N</v>
          </cell>
          <cell r="E642" t="str">
            <v>Y</v>
          </cell>
          <cell r="F642" t="str">
            <v>Y</v>
          </cell>
          <cell r="G642" t="str">
            <v>Y</v>
          </cell>
          <cell r="H642" t="str">
            <v>N</v>
          </cell>
          <cell r="I642" t="str">
            <v>Y</v>
          </cell>
          <cell r="J642" t="str">
            <v>N</v>
          </cell>
        </row>
        <row r="643">
          <cell r="B643">
            <v>130307000</v>
          </cell>
          <cell r="C643" t="str">
            <v>N</v>
          </cell>
          <cell r="D643" t="str">
            <v>N</v>
          </cell>
          <cell r="E643" t="str">
            <v>N</v>
          </cell>
          <cell r="F643" t="str">
            <v>N</v>
          </cell>
          <cell r="G643" t="str">
            <v>N</v>
          </cell>
          <cell r="H643" t="str">
            <v>N</v>
          </cell>
          <cell r="I643" t="str">
            <v>N</v>
          </cell>
          <cell r="J643" t="str">
            <v>N</v>
          </cell>
        </row>
        <row r="644">
          <cell r="B644">
            <v>130314000</v>
          </cell>
          <cell r="C644" t="str">
            <v>N</v>
          </cell>
          <cell r="D644" t="str">
            <v>N</v>
          </cell>
          <cell r="E644" t="str">
            <v>N</v>
          </cell>
          <cell r="F644" t="str">
            <v>N</v>
          </cell>
          <cell r="G644" t="str">
            <v>N</v>
          </cell>
          <cell r="H644" t="str">
            <v>N</v>
          </cell>
          <cell r="I644" t="str">
            <v>N</v>
          </cell>
          <cell r="J644" t="str">
            <v>N</v>
          </cell>
        </row>
        <row r="645">
          <cell r="B645">
            <v>130315000</v>
          </cell>
          <cell r="C645" t="str">
            <v>N</v>
          </cell>
          <cell r="D645" t="str">
            <v>N</v>
          </cell>
          <cell r="E645" t="str">
            <v>N</v>
          </cell>
          <cell r="F645" t="str">
            <v>Y</v>
          </cell>
          <cell r="G645" t="str">
            <v>Y</v>
          </cell>
          <cell r="H645" t="str">
            <v>Y</v>
          </cell>
          <cell r="I645" t="str">
            <v>Y</v>
          </cell>
          <cell r="J645" t="str">
            <v>N</v>
          </cell>
        </row>
        <row r="646">
          <cell r="B646">
            <v>130317000</v>
          </cell>
          <cell r="C646" t="str">
            <v>N</v>
          </cell>
          <cell r="D646" t="str">
            <v>Y</v>
          </cell>
          <cell r="E646" t="str">
            <v>Y</v>
          </cell>
          <cell r="F646" t="str">
            <v>Y</v>
          </cell>
          <cell r="G646" t="str">
            <v>Y</v>
          </cell>
          <cell r="H646" t="str">
            <v>Y</v>
          </cell>
          <cell r="I646" t="str">
            <v>Y</v>
          </cell>
          <cell r="J646" t="str">
            <v>Y</v>
          </cell>
        </row>
        <row r="647">
          <cell r="B647">
            <v>130323000</v>
          </cell>
          <cell r="C647" t="str">
            <v>Y</v>
          </cell>
          <cell r="D647" t="str">
            <v>Y</v>
          </cell>
          <cell r="E647" t="str">
            <v>Y</v>
          </cell>
          <cell r="F647" t="str">
            <v>Y</v>
          </cell>
          <cell r="G647" t="str">
            <v>Y</v>
          </cell>
          <cell r="H647" t="str">
            <v>Y</v>
          </cell>
          <cell r="I647" t="str">
            <v>Y</v>
          </cell>
          <cell r="J647" t="str">
            <v>Y</v>
          </cell>
        </row>
        <row r="648">
          <cell r="B648">
            <v>130326000</v>
          </cell>
          <cell r="C648" t="str">
            <v>N</v>
          </cell>
          <cell r="D648" t="str">
            <v>Y</v>
          </cell>
          <cell r="E648" t="str">
            <v>Y</v>
          </cell>
          <cell r="F648" t="str">
            <v>Y</v>
          </cell>
          <cell r="G648" t="str">
            <v>Y</v>
          </cell>
          <cell r="H648" t="str">
            <v>Y</v>
          </cell>
          <cell r="I648" t="str">
            <v>Y</v>
          </cell>
          <cell r="J648" t="str">
            <v>Y</v>
          </cell>
        </row>
        <row r="649">
          <cell r="B649">
            <v>130335000</v>
          </cell>
          <cell r="C649" t="str">
            <v>N</v>
          </cell>
          <cell r="D649" t="str">
            <v>N</v>
          </cell>
          <cell r="E649" t="str">
            <v>N</v>
          </cell>
          <cell r="F649" t="str">
            <v>N</v>
          </cell>
          <cell r="G649" t="str">
            <v>N</v>
          </cell>
          <cell r="H649" t="str">
            <v>N</v>
          </cell>
          <cell r="I649" t="str">
            <v>N</v>
          </cell>
          <cell r="J649" t="str">
            <v>N</v>
          </cell>
        </row>
        <row r="650">
          <cell r="B650">
            <v>130341000</v>
          </cell>
          <cell r="C650" t="str">
            <v>N</v>
          </cell>
          <cell r="D650" t="str">
            <v>N</v>
          </cell>
          <cell r="E650" t="str">
            <v>N</v>
          </cell>
          <cell r="F650" t="str">
            <v>N</v>
          </cell>
          <cell r="G650" t="str">
            <v>N</v>
          </cell>
          <cell r="H650" t="str">
            <v>N</v>
          </cell>
          <cell r="I650" t="str">
            <v>N</v>
          </cell>
          <cell r="J650" t="str">
            <v>N</v>
          </cell>
        </row>
        <row r="651">
          <cell r="B651">
            <v>130350000</v>
          </cell>
          <cell r="C651" t="str">
            <v>Y</v>
          </cell>
          <cell r="D651" t="str">
            <v>Y</v>
          </cell>
          <cell r="E651" t="str">
            <v>Y</v>
          </cell>
          <cell r="F651" t="str">
            <v>Y</v>
          </cell>
          <cell r="G651" t="str">
            <v>Y</v>
          </cell>
          <cell r="H651" t="str">
            <v>Y</v>
          </cell>
          <cell r="I651" t="str">
            <v>Y</v>
          </cell>
          <cell r="J651" t="str">
            <v>Y</v>
          </cell>
        </row>
        <row r="652">
          <cell r="B652">
            <v>130352000</v>
          </cell>
          <cell r="C652" t="str">
            <v>Y</v>
          </cell>
          <cell r="D652" t="str">
            <v>Y</v>
          </cell>
          <cell r="E652" t="str">
            <v>Y</v>
          </cell>
          <cell r="F652" t="str">
            <v>Y</v>
          </cell>
          <cell r="G652" t="str">
            <v>Y</v>
          </cell>
          <cell r="H652" t="str">
            <v>N</v>
          </cell>
          <cell r="I652" t="str">
            <v>N</v>
          </cell>
          <cell r="J652" t="str">
            <v>Y</v>
          </cell>
        </row>
        <row r="653">
          <cell r="B653">
            <v>130403000</v>
          </cell>
          <cell r="C653" t="str">
            <v>N</v>
          </cell>
          <cell r="D653" t="str">
            <v>Y</v>
          </cell>
          <cell r="E653" t="str">
            <v>Y</v>
          </cell>
          <cell r="F653" t="str">
            <v>Y</v>
          </cell>
          <cell r="G653" t="str">
            <v>Y</v>
          </cell>
          <cell r="H653" t="str">
            <v>Y</v>
          </cell>
          <cell r="I653" t="str">
            <v>Y</v>
          </cell>
          <cell r="J653" t="str">
            <v>Y</v>
          </cell>
        </row>
        <row r="654">
          <cell r="B654">
            <v>130406000</v>
          </cell>
          <cell r="C654" t="str">
            <v>Y</v>
          </cell>
          <cell r="D654" t="str">
            <v>Y</v>
          </cell>
          <cell r="E654" t="str">
            <v>Y</v>
          </cell>
          <cell r="F654" t="str">
            <v>Y</v>
          </cell>
          <cell r="G654" t="str">
            <v>Y</v>
          </cell>
          <cell r="H654" t="str">
            <v>Y</v>
          </cell>
          <cell r="I654" t="str">
            <v>Y</v>
          </cell>
          <cell r="J654" t="str">
            <v>Y</v>
          </cell>
        </row>
        <row r="655">
          <cell r="B655">
            <v>130504000</v>
          </cell>
          <cell r="C655" t="str">
            <v>Y</v>
          </cell>
          <cell r="D655" t="str">
            <v>Y</v>
          </cell>
          <cell r="E655" t="str">
            <v>Y</v>
          </cell>
          <cell r="F655" t="str">
            <v>Y</v>
          </cell>
          <cell r="G655" t="str">
            <v>Y</v>
          </cell>
          <cell r="H655" t="str">
            <v>Y</v>
          </cell>
          <cell r="I655" t="str">
            <v>Y</v>
          </cell>
          <cell r="J655" t="str">
            <v>Y</v>
          </cell>
        </row>
        <row r="656">
          <cell r="B656">
            <v>130899000</v>
          </cell>
          <cell r="C656" t="str">
            <v>N</v>
          </cell>
          <cell r="D656" t="str">
            <v>N</v>
          </cell>
          <cell r="E656" t="str">
            <v>N</v>
          </cell>
          <cell r="F656" t="str">
            <v>N</v>
          </cell>
          <cell r="G656" t="str">
            <v>N</v>
          </cell>
          <cell r="H656" t="str">
            <v>N</v>
          </cell>
          <cell r="I656" t="str">
            <v>N</v>
          </cell>
          <cell r="J656" t="str">
            <v>N</v>
          </cell>
        </row>
        <row r="657">
          <cell r="B657">
            <v>138501000</v>
          </cell>
          <cell r="C657" t="str">
            <v>N</v>
          </cell>
          <cell r="D657" t="str">
            <v>N</v>
          </cell>
          <cell r="E657" t="str">
            <v>N</v>
          </cell>
          <cell r="F657" t="str">
            <v>N</v>
          </cell>
          <cell r="G657" t="str">
            <v>Y</v>
          </cell>
          <cell r="H657" t="str">
            <v>N</v>
          </cell>
          <cell r="I657" t="str">
            <v>N</v>
          </cell>
          <cell r="J657" t="str">
            <v>N</v>
          </cell>
        </row>
        <row r="658">
          <cell r="B658">
            <v>138503000</v>
          </cell>
          <cell r="C658" t="str">
            <v>N</v>
          </cell>
          <cell r="D658" t="str">
            <v>N</v>
          </cell>
          <cell r="E658" t="str">
            <v>N</v>
          </cell>
          <cell r="F658" t="str">
            <v>N</v>
          </cell>
          <cell r="G658" t="str">
            <v>Y</v>
          </cell>
          <cell r="H658" t="str">
            <v>Y</v>
          </cell>
          <cell r="I658" t="str">
            <v>Y</v>
          </cell>
          <cell r="J658" t="str">
            <v>Y</v>
          </cell>
        </row>
        <row r="659">
          <cell r="B659">
            <v>138654000</v>
          </cell>
          <cell r="C659" t="str">
            <v>N</v>
          </cell>
          <cell r="D659" t="str">
            <v>N</v>
          </cell>
          <cell r="E659" t="str">
            <v>Y</v>
          </cell>
          <cell r="F659" t="str">
            <v>Y</v>
          </cell>
          <cell r="G659" t="str">
            <v>Y</v>
          </cell>
          <cell r="H659" t="str">
            <v>Y</v>
          </cell>
          <cell r="I659" t="str">
            <v>Y</v>
          </cell>
          <cell r="J659" t="str">
            <v>N</v>
          </cell>
        </row>
        <row r="660">
          <cell r="B660">
            <v>138702000</v>
          </cell>
          <cell r="C660" t="str">
            <v>Y</v>
          </cell>
          <cell r="D660" t="str">
            <v>Y</v>
          </cell>
          <cell r="E660" t="str">
            <v>Y</v>
          </cell>
          <cell r="F660" t="str">
            <v>Y</v>
          </cell>
          <cell r="G660" t="str">
            <v>N</v>
          </cell>
          <cell r="H660" t="str">
            <v>N</v>
          </cell>
          <cell r="I660" t="str">
            <v>N</v>
          </cell>
          <cell r="J660" t="str">
            <v>N</v>
          </cell>
        </row>
        <row r="661">
          <cell r="B661">
            <v>138703000</v>
          </cell>
          <cell r="C661" t="str">
            <v>Y</v>
          </cell>
          <cell r="D661" t="str">
            <v>N</v>
          </cell>
          <cell r="E661" t="str">
            <v>N</v>
          </cell>
          <cell r="F661" t="str">
            <v>N</v>
          </cell>
          <cell r="G661" t="str">
            <v>N</v>
          </cell>
          <cell r="H661" t="str">
            <v>N</v>
          </cell>
          <cell r="I661" t="str">
            <v>N</v>
          </cell>
          <cell r="J661" t="str">
            <v>N</v>
          </cell>
        </row>
        <row r="662">
          <cell r="B662">
            <v>138705000</v>
          </cell>
          <cell r="C662" t="str">
            <v>Y</v>
          </cell>
          <cell r="D662" t="str">
            <v>Y</v>
          </cell>
          <cell r="E662" t="str">
            <v>Y</v>
          </cell>
          <cell r="F662" t="str">
            <v>Y</v>
          </cell>
          <cell r="G662" t="str">
            <v>Y</v>
          </cell>
          <cell r="H662" t="str">
            <v>Y</v>
          </cell>
          <cell r="I662" t="str">
            <v>Y</v>
          </cell>
          <cell r="J662" t="str">
            <v>Y</v>
          </cell>
        </row>
        <row r="663">
          <cell r="B663">
            <v>138708000</v>
          </cell>
          <cell r="C663" t="str">
            <v>Y</v>
          </cell>
          <cell r="D663" t="str">
            <v>Y</v>
          </cell>
          <cell r="E663" t="str">
            <v>Y</v>
          </cell>
          <cell r="F663" t="str">
            <v>Y</v>
          </cell>
          <cell r="G663" t="str">
            <v>Y</v>
          </cell>
          <cell r="H663" t="str">
            <v>Y</v>
          </cell>
          <cell r="I663" t="str">
            <v>Y</v>
          </cell>
          <cell r="J663" t="str">
            <v>Y</v>
          </cell>
        </row>
        <row r="664">
          <cell r="B664">
            <v>138712000</v>
          </cell>
          <cell r="C664" t="str">
            <v>Y</v>
          </cell>
          <cell r="D664" t="str">
            <v>Y</v>
          </cell>
          <cell r="E664" t="str">
            <v>Y</v>
          </cell>
          <cell r="F664" t="str">
            <v>Y</v>
          </cell>
          <cell r="G664" t="str">
            <v>Y</v>
          </cell>
          <cell r="H664" t="str">
            <v>Y</v>
          </cell>
          <cell r="I664" t="str">
            <v>Y</v>
          </cell>
          <cell r="J664" t="str">
            <v>Y</v>
          </cell>
        </row>
        <row r="665">
          <cell r="B665">
            <v>138713000</v>
          </cell>
          <cell r="C665" t="str">
            <v>Y</v>
          </cell>
          <cell r="D665" t="str">
            <v>N</v>
          </cell>
          <cell r="E665" t="str">
            <v>N</v>
          </cell>
          <cell r="F665" t="str">
            <v>N</v>
          </cell>
          <cell r="G665" t="str">
            <v>N</v>
          </cell>
          <cell r="H665" t="str">
            <v>N</v>
          </cell>
          <cell r="I665" t="str">
            <v>N</v>
          </cell>
          <cell r="J665" t="str">
            <v>N</v>
          </cell>
        </row>
        <row r="666">
          <cell r="B666">
            <v>138714000</v>
          </cell>
          <cell r="C666" t="str">
            <v>Y</v>
          </cell>
          <cell r="D666" t="str">
            <v>Y</v>
          </cell>
          <cell r="E666" t="str">
            <v>Y</v>
          </cell>
          <cell r="F666" t="str">
            <v>Y</v>
          </cell>
          <cell r="G666" t="str">
            <v>Y</v>
          </cell>
          <cell r="H666" t="str">
            <v>Y</v>
          </cell>
          <cell r="I666" t="str">
            <v>Y</v>
          </cell>
          <cell r="J666" t="str">
            <v>Y</v>
          </cell>
        </row>
        <row r="667">
          <cell r="B667">
            <v>138751000</v>
          </cell>
          <cell r="C667" t="str">
            <v>Y</v>
          </cell>
          <cell r="D667" t="str">
            <v>Y</v>
          </cell>
          <cell r="E667" t="str">
            <v>Y</v>
          </cell>
          <cell r="F667" t="str">
            <v>Y</v>
          </cell>
          <cell r="G667" t="str">
            <v>Y</v>
          </cell>
          <cell r="H667" t="str">
            <v>Y</v>
          </cell>
          <cell r="I667" t="str">
            <v>Y</v>
          </cell>
          <cell r="J667" t="str">
            <v>Y</v>
          </cell>
        </row>
        <row r="668">
          <cell r="B668">
            <v>138752000</v>
          </cell>
          <cell r="C668" t="str">
            <v>Y</v>
          </cell>
          <cell r="D668" t="str">
            <v>Y</v>
          </cell>
          <cell r="E668" t="str">
            <v>Y</v>
          </cell>
          <cell r="F668" t="str">
            <v>Y</v>
          </cell>
          <cell r="G668" t="str">
            <v>Y</v>
          </cell>
          <cell r="H668" t="str">
            <v>Y</v>
          </cell>
          <cell r="I668" t="str">
            <v>Y</v>
          </cell>
          <cell r="J668" t="str">
            <v>Y</v>
          </cell>
        </row>
        <row r="669">
          <cell r="B669">
            <v>138753000</v>
          </cell>
          <cell r="C669" t="str">
            <v>Y</v>
          </cell>
          <cell r="D669" t="str">
            <v>Y</v>
          </cell>
          <cell r="E669" t="str">
            <v>Y</v>
          </cell>
          <cell r="F669" t="str">
            <v>N</v>
          </cell>
          <cell r="G669" t="str">
            <v>N</v>
          </cell>
          <cell r="H669" t="str">
            <v>N</v>
          </cell>
          <cell r="I669" t="str">
            <v>N</v>
          </cell>
          <cell r="J669" t="str">
            <v>N</v>
          </cell>
        </row>
        <row r="670">
          <cell r="B670">
            <v>138754000</v>
          </cell>
          <cell r="C670" t="str">
            <v>N</v>
          </cell>
          <cell r="D670" t="str">
            <v>N</v>
          </cell>
          <cell r="E670" t="str">
            <v>N</v>
          </cell>
          <cell r="F670" t="str">
            <v>N</v>
          </cell>
          <cell r="G670" t="str">
            <v>Y</v>
          </cell>
          <cell r="H670" t="str">
            <v>Y</v>
          </cell>
          <cell r="I670" t="str">
            <v>N</v>
          </cell>
          <cell r="J670" t="str">
            <v>Y</v>
          </cell>
        </row>
        <row r="671">
          <cell r="B671">
            <v>138755000</v>
          </cell>
          <cell r="C671" t="str">
            <v>Y</v>
          </cell>
          <cell r="D671" t="str">
            <v>Y</v>
          </cell>
          <cell r="E671" t="str">
            <v>Y</v>
          </cell>
          <cell r="F671" t="str">
            <v>Y</v>
          </cell>
          <cell r="G671" t="str">
            <v>Y</v>
          </cell>
          <cell r="H671" t="str">
            <v>Y</v>
          </cell>
          <cell r="I671" t="str">
            <v>Y</v>
          </cell>
          <cell r="J671" t="str">
            <v>Y</v>
          </cell>
        </row>
        <row r="672">
          <cell r="B672">
            <v>138756000</v>
          </cell>
          <cell r="C672" t="str">
            <v>N</v>
          </cell>
          <cell r="D672" t="str">
            <v>N</v>
          </cell>
          <cell r="E672" t="str">
            <v>N</v>
          </cell>
          <cell r="F672" t="str">
            <v>Y</v>
          </cell>
          <cell r="G672" t="str">
            <v>N</v>
          </cell>
          <cell r="H672" t="str">
            <v>N</v>
          </cell>
          <cell r="I672" t="str">
            <v>N</v>
          </cell>
          <cell r="J672" t="str">
            <v>N</v>
          </cell>
        </row>
        <row r="673">
          <cell r="B673">
            <v>138757000</v>
          </cell>
          <cell r="C673" t="str">
            <v>N</v>
          </cell>
          <cell r="D673" t="str">
            <v>N</v>
          </cell>
          <cell r="E673" t="str">
            <v>N</v>
          </cell>
          <cell r="F673" t="str">
            <v>N</v>
          </cell>
          <cell r="G673" t="str">
            <v>N</v>
          </cell>
          <cell r="H673" t="str">
            <v>N</v>
          </cell>
          <cell r="I673" t="str">
            <v>N</v>
          </cell>
          <cell r="J673" t="str">
            <v>N</v>
          </cell>
        </row>
        <row r="674">
          <cell r="B674">
            <v>138758000</v>
          </cell>
          <cell r="C674" t="str">
            <v>Y</v>
          </cell>
          <cell r="D674" t="str">
            <v>Y</v>
          </cell>
          <cell r="E674" t="str">
            <v>Y</v>
          </cell>
          <cell r="F674" t="str">
            <v>Y</v>
          </cell>
          <cell r="G674" t="str">
            <v>Y</v>
          </cell>
          <cell r="H674" t="str">
            <v>Y</v>
          </cell>
          <cell r="I674" t="str">
            <v>Y</v>
          </cell>
          <cell r="J674" t="str">
            <v>N</v>
          </cell>
        </row>
        <row r="675">
          <cell r="B675">
            <v>138759000</v>
          </cell>
          <cell r="C675" t="str">
            <v>Y</v>
          </cell>
          <cell r="D675" t="str">
            <v>N</v>
          </cell>
          <cell r="E675" t="str">
            <v>N</v>
          </cell>
          <cell r="F675" t="str">
            <v>Y</v>
          </cell>
          <cell r="G675" t="str">
            <v>Y</v>
          </cell>
          <cell r="H675" t="str">
            <v>N</v>
          </cell>
          <cell r="I675" t="str">
            <v>N</v>
          </cell>
          <cell r="J675" t="str">
            <v>N</v>
          </cell>
        </row>
        <row r="676">
          <cell r="B676">
            <v>138760000</v>
          </cell>
          <cell r="C676" t="str">
            <v>Y</v>
          </cell>
          <cell r="D676" t="str">
            <v>Y</v>
          </cell>
          <cell r="E676" t="str">
            <v>Y</v>
          </cell>
          <cell r="F676" t="str">
            <v>Y</v>
          </cell>
          <cell r="G676" t="str">
            <v>Y</v>
          </cell>
          <cell r="H676" t="str">
            <v>Y</v>
          </cell>
          <cell r="I676" t="str">
            <v>Y</v>
          </cell>
          <cell r="J676" t="str">
            <v>Y</v>
          </cell>
        </row>
        <row r="677">
          <cell r="B677">
            <v>138761000</v>
          </cell>
          <cell r="C677" t="str">
            <v>Y</v>
          </cell>
          <cell r="D677" t="str">
            <v>Y</v>
          </cell>
          <cell r="E677" t="str">
            <v>Y</v>
          </cell>
          <cell r="F677" t="str">
            <v>Y</v>
          </cell>
          <cell r="G677" t="str">
            <v>Y</v>
          </cell>
          <cell r="H677" t="str">
            <v>Y</v>
          </cell>
          <cell r="I677" t="str">
            <v>Y</v>
          </cell>
          <cell r="J677" t="str">
            <v>Y</v>
          </cell>
        </row>
        <row r="678">
          <cell r="B678">
            <v>138763000</v>
          </cell>
          <cell r="C678" t="str">
            <v>Y</v>
          </cell>
          <cell r="D678" t="str">
            <v>N</v>
          </cell>
          <cell r="E678" t="str">
            <v>Y</v>
          </cell>
          <cell r="F678" t="str">
            <v>Y</v>
          </cell>
          <cell r="G678" t="str">
            <v>Y</v>
          </cell>
          <cell r="H678" t="str">
            <v>Y</v>
          </cell>
          <cell r="I678" t="str">
            <v>N</v>
          </cell>
          <cell r="J678" t="str">
            <v>N</v>
          </cell>
        </row>
        <row r="679">
          <cell r="B679">
            <v>138767000</v>
          </cell>
          <cell r="C679" t="str">
            <v>N</v>
          </cell>
          <cell r="D679" t="str">
            <v>Y</v>
          </cell>
          <cell r="E679" t="str">
            <v>Y</v>
          </cell>
          <cell r="F679" t="str">
            <v>Y</v>
          </cell>
          <cell r="G679" t="str">
            <v>Y</v>
          </cell>
          <cell r="H679" t="str">
            <v>N</v>
          </cell>
          <cell r="I679" t="str">
            <v>N</v>
          </cell>
          <cell r="J679" t="str">
            <v>N</v>
          </cell>
        </row>
        <row r="680">
          <cell r="B680">
            <v>138768000</v>
          </cell>
          <cell r="C680" t="str">
            <v>N</v>
          </cell>
          <cell r="D680" t="str">
            <v>Y</v>
          </cell>
          <cell r="E680" t="str">
            <v>Y</v>
          </cell>
          <cell r="F680" t="str">
            <v>Y</v>
          </cell>
          <cell r="G680" t="str">
            <v>Y</v>
          </cell>
          <cell r="H680" t="str">
            <v>Y</v>
          </cell>
          <cell r="I680" t="str">
            <v>Y</v>
          </cell>
          <cell r="J680" t="str">
            <v>Y</v>
          </cell>
        </row>
        <row r="681">
          <cell r="B681">
            <v>138771000</v>
          </cell>
          <cell r="C681" t="str">
            <v>N</v>
          </cell>
          <cell r="D681" t="str">
            <v>N</v>
          </cell>
          <cell r="E681" t="str">
            <v>Y</v>
          </cell>
          <cell r="F681" t="str">
            <v>N</v>
          </cell>
          <cell r="G681" t="str">
            <v>N</v>
          </cell>
          <cell r="H681" t="str">
            <v>N</v>
          </cell>
          <cell r="I681" t="str">
            <v>N</v>
          </cell>
          <cell r="J681" t="str">
            <v>N</v>
          </cell>
        </row>
        <row r="682">
          <cell r="B682">
            <v>138785000</v>
          </cell>
          <cell r="C682" t="str">
            <v>N</v>
          </cell>
          <cell r="D682" t="str">
            <v>N</v>
          </cell>
          <cell r="E682" t="str">
            <v>N</v>
          </cell>
          <cell r="F682" t="str">
            <v>N</v>
          </cell>
          <cell r="G682" t="str">
            <v>Y</v>
          </cell>
          <cell r="H682" t="str">
            <v>N</v>
          </cell>
          <cell r="I682" t="str">
            <v>Y</v>
          </cell>
          <cell r="J682" t="str">
            <v>N</v>
          </cell>
        </row>
        <row r="683">
          <cell r="B683">
            <v>140401000</v>
          </cell>
          <cell r="C683" t="str">
            <v>Y</v>
          </cell>
          <cell r="D683" t="str">
            <v>Y</v>
          </cell>
          <cell r="E683" t="str">
            <v>Y</v>
          </cell>
          <cell r="F683" t="str">
            <v>Y</v>
          </cell>
          <cell r="G683" t="str">
            <v>Y</v>
          </cell>
          <cell r="H683" t="str">
            <v>Y</v>
          </cell>
          <cell r="I683" t="str">
            <v>Y</v>
          </cell>
          <cell r="J683" t="str">
            <v>Y</v>
          </cell>
        </row>
        <row r="684">
          <cell r="B684">
            <v>140411000</v>
          </cell>
          <cell r="C684" t="str">
            <v>Y</v>
          </cell>
          <cell r="D684" t="str">
            <v>Y</v>
          </cell>
          <cell r="E684" t="str">
            <v>Y</v>
          </cell>
          <cell r="F684" t="str">
            <v>Y</v>
          </cell>
          <cell r="G684" t="str">
            <v>Y</v>
          </cell>
          <cell r="H684" t="str">
            <v>Y</v>
          </cell>
          <cell r="I684" t="str">
            <v>Y</v>
          </cell>
          <cell r="J684" t="str">
            <v>Y</v>
          </cell>
        </row>
        <row r="685">
          <cell r="B685">
            <v>140413000</v>
          </cell>
          <cell r="C685" t="str">
            <v>Y</v>
          </cell>
          <cell r="D685" t="str">
            <v>Y</v>
          </cell>
          <cell r="E685" t="str">
            <v>Y</v>
          </cell>
          <cell r="F685" t="str">
            <v>Y</v>
          </cell>
          <cell r="G685" t="str">
            <v>Y</v>
          </cell>
          <cell r="H685" t="str">
            <v>Y</v>
          </cell>
          <cell r="I685" t="str">
            <v>Y</v>
          </cell>
          <cell r="J685" t="str">
            <v>Y</v>
          </cell>
        </row>
        <row r="686">
          <cell r="B686">
            <v>140416000</v>
          </cell>
          <cell r="C686" t="str">
            <v>Y</v>
          </cell>
          <cell r="D686" t="str">
            <v>Y</v>
          </cell>
          <cell r="E686" t="str">
            <v>Y</v>
          </cell>
          <cell r="F686" t="str">
            <v>Y</v>
          </cell>
          <cell r="G686" t="str">
            <v>Y</v>
          </cell>
          <cell r="H686" t="str">
            <v>Y</v>
          </cell>
          <cell r="I686" t="str">
            <v>Y</v>
          </cell>
          <cell r="J686" t="str">
            <v>Y</v>
          </cell>
        </row>
        <row r="687">
          <cell r="B687">
            <v>140417000</v>
          </cell>
          <cell r="C687" t="str">
            <v>Y</v>
          </cell>
          <cell r="D687" t="str">
            <v>Y</v>
          </cell>
          <cell r="E687" t="str">
            <v>Y</v>
          </cell>
          <cell r="F687" t="str">
            <v>Y</v>
          </cell>
          <cell r="G687" t="str">
            <v>Y</v>
          </cell>
          <cell r="H687" t="str">
            <v>Y</v>
          </cell>
          <cell r="I687" t="str">
            <v>Y</v>
          </cell>
          <cell r="J687" t="str">
            <v>Y</v>
          </cell>
        </row>
        <row r="688">
          <cell r="B688">
            <v>140424000</v>
          </cell>
          <cell r="C688" t="str">
            <v>Y</v>
          </cell>
          <cell r="D688" t="str">
            <v>Y</v>
          </cell>
          <cell r="E688" t="str">
            <v>Y</v>
          </cell>
          <cell r="F688" t="str">
            <v>Y</v>
          </cell>
          <cell r="G688" t="str">
            <v>Y</v>
          </cell>
          <cell r="H688" t="str">
            <v>Y</v>
          </cell>
          <cell r="I688" t="str">
            <v>Y</v>
          </cell>
          <cell r="J688" t="str">
            <v>Y</v>
          </cell>
        </row>
        <row r="689">
          <cell r="B689">
            <v>140432000</v>
          </cell>
          <cell r="C689" t="str">
            <v>Y</v>
          </cell>
          <cell r="D689" t="str">
            <v>Y</v>
          </cell>
          <cell r="E689" t="str">
            <v>Y</v>
          </cell>
          <cell r="F689" t="str">
            <v>Y</v>
          </cell>
          <cell r="G689" t="str">
            <v>Y</v>
          </cell>
          <cell r="H689" t="str">
            <v>Y</v>
          </cell>
          <cell r="I689" t="str">
            <v>Y</v>
          </cell>
          <cell r="J689" t="str">
            <v>Y</v>
          </cell>
        </row>
        <row r="690">
          <cell r="B690">
            <v>140550000</v>
          </cell>
          <cell r="C690" t="str">
            <v>Y</v>
          </cell>
          <cell r="D690" t="str">
            <v>Y</v>
          </cell>
          <cell r="E690" t="str">
            <v>Y</v>
          </cell>
          <cell r="F690" t="str">
            <v>Y</v>
          </cell>
          <cell r="G690" t="str">
            <v>Y</v>
          </cell>
          <cell r="H690" t="str">
            <v>Y</v>
          </cell>
          <cell r="I690" t="str">
            <v>Y</v>
          </cell>
          <cell r="J690" t="str">
            <v>Y</v>
          </cell>
        </row>
        <row r="691">
          <cell r="B691">
            <v>140570000</v>
          </cell>
          <cell r="C691" t="str">
            <v>Y</v>
          </cell>
          <cell r="D691" t="str">
            <v>Y</v>
          </cell>
          <cell r="E691" t="str">
            <v>Y</v>
          </cell>
          <cell r="F691" t="str">
            <v>Y</v>
          </cell>
          <cell r="G691" t="str">
            <v>Y</v>
          </cell>
          <cell r="H691" t="str">
            <v>Y</v>
          </cell>
          <cell r="I691" t="str">
            <v>Y</v>
          </cell>
          <cell r="J691" t="str">
            <v>Y</v>
          </cell>
        </row>
        <row r="692">
          <cell r="B692">
            <v>148757000</v>
          </cell>
          <cell r="C692" t="str">
            <v>Y</v>
          </cell>
          <cell r="D692" t="str">
            <v>Y</v>
          </cell>
          <cell r="E692" t="str">
            <v>Y</v>
          </cell>
          <cell r="F692" t="str">
            <v>Y</v>
          </cell>
          <cell r="G692" t="str">
            <v>Y</v>
          </cell>
          <cell r="H692" t="str">
            <v>N</v>
          </cell>
          <cell r="I692" t="str">
            <v>N</v>
          </cell>
          <cell r="J692" t="str">
            <v>Y</v>
          </cell>
        </row>
        <row r="693">
          <cell r="B693">
            <v>148758000</v>
          </cell>
          <cell r="C693" t="str">
            <v>Y</v>
          </cell>
          <cell r="D693" t="str">
            <v>Y</v>
          </cell>
          <cell r="E693" t="str">
            <v>N</v>
          </cell>
          <cell r="F693" t="str">
            <v>Y</v>
          </cell>
          <cell r="G693" t="str">
            <v>N</v>
          </cell>
          <cell r="H693" t="str">
            <v>Y</v>
          </cell>
          <cell r="I693" t="str">
            <v>N</v>
          </cell>
          <cell r="J693" t="str">
            <v>N</v>
          </cell>
        </row>
        <row r="694">
          <cell r="B694">
            <v>148759000</v>
          </cell>
          <cell r="C694" t="str">
            <v>Y</v>
          </cell>
          <cell r="D694" t="str">
            <v>Y</v>
          </cell>
          <cell r="E694" t="str">
            <v>Y</v>
          </cell>
          <cell r="F694" t="str">
            <v>Y</v>
          </cell>
          <cell r="G694" t="str">
            <v>Y</v>
          </cell>
          <cell r="H694" t="str">
            <v>Y</v>
          </cell>
          <cell r="I694" t="str">
            <v>Y</v>
          </cell>
          <cell r="J694" t="str">
            <v>Y</v>
          </cell>
        </row>
        <row r="695">
          <cell r="B695">
            <v>148760000</v>
          </cell>
          <cell r="C695" t="str">
            <v>Y</v>
          </cell>
          <cell r="D695" t="str">
            <v>Y</v>
          </cell>
          <cell r="E695" t="str">
            <v>Y</v>
          </cell>
          <cell r="F695" t="str">
            <v>Y</v>
          </cell>
          <cell r="G695" t="str">
            <v>Y</v>
          </cell>
          <cell r="H695" t="str">
            <v>Y</v>
          </cell>
          <cell r="I695" t="str">
            <v>Y</v>
          </cell>
          <cell r="J695" t="str">
            <v>Y</v>
          </cell>
        </row>
        <row r="696">
          <cell r="B696">
            <v>148761000</v>
          </cell>
          <cell r="C696" t="str">
            <v>Y</v>
          </cell>
          <cell r="D696" t="str">
            <v>Y</v>
          </cell>
          <cell r="E696" t="str">
            <v>Y</v>
          </cell>
          <cell r="F696" t="str">
            <v>Y</v>
          </cell>
          <cell r="G696" t="str">
            <v>Y</v>
          </cell>
          <cell r="H696" t="str">
            <v>Y</v>
          </cell>
          <cell r="I696" t="str">
            <v>Y</v>
          </cell>
          <cell r="J696" t="str">
            <v>Y</v>
          </cell>
        </row>
        <row r="697">
          <cell r="B697">
            <v>150227000</v>
          </cell>
          <cell r="C697" t="str">
            <v>Y</v>
          </cell>
          <cell r="D697" t="str">
            <v>Y</v>
          </cell>
          <cell r="E697" t="str">
            <v>Y</v>
          </cell>
          <cell r="F697" t="str">
            <v>Y</v>
          </cell>
          <cell r="G697" t="str">
            <v>Y</v>
          </cell>
          <cell r="H697" t="str">
            <v>Y</v>
          </cell>
          <cell r="I697" t="str">
            <v>Y</v>
          </cell>
          <cell r="J697" t="str">
            <v>Y</v>
          </cell>
        </row>
        <row r="698">
          <cell r="B698">
            <v>150404000</v>
          </cell>
          <cell r="C698" t="str">
            <v>Y</v>
          </cell>
          <cell r="D698" t="str">
            <v>Y</v>
          </cell>
          <cell r="E698" t="str">
            <v>Y</v>
          </cell>
          <cell r="F698" t="str">
            <v>Y</v>
          </cell>
          <cell r="G698" t="str">
            <v>Y</v>
          </cell>
          <cell r="H698" t="str">
            <v>Y</v>
          </cell>
          <cell r="I698" t="str">
            <v>Y</v>
          </cell>
          <cell r="J698" t="str">
            <v>Y</v>
          </cell>
        </row>
        <row r="699">
          <cell r="B699">
            <v>150419000</v>
          </cell>
          <cell r="C699" t="str">
            <v>Y</v>
          </cell>
          <cell r="D699" t="str">
            <v>Y</v>
          </cell>
          <cell r="E699" t="str">
            <v>Y</v>
          </cell>
          <cell r="F699" t="str">
            <v>Y</v>
          </cell>
          <cell r="G699" t="str">
            <v>Y</v>
          </cell>
          <cell r="H699" t="str">
            <v>Y</v>
          </cell>
          <cell r="I699" t="str">
            <v>Y</v>
          </cell>
          <cell r="J699" t="str">
            <v>Y</v>
          </cell>
        </row>
        <row r="700">
          <cell r="B700">
            <v>150426000</v>
          </cell>
          <cell r="C700" t="str">
            <v>Y</v>
          </cell>
          <cell r="D700" t="str">
            <v>Y</v>
          </cell>
          <cell r="E700" t="str">
            <v>Y</v>
          </cell>
          <cell r="F700" t="str">
            <v>Y</v>
          </cell>
          <cell r="G700" t="str">
            <v>Y</v>
          </cell>
          <cell r="H700" t="str">
            <v>Y</v>
          </cell>
          <cell r="I700" t="str">
            <v>Y</v>
          </cell>
          <cell r="J700" t="str">
            <v>N</v>
          </cell>
        </row>
        <row r="701">
          <cell r="B701">
            <v>150430000</v>
          </cell>
          <cell r="C701" t="str">
            <v>Y</v>
          </cell>
          <cell r="D701" t="str">
            <v>Y</v>
          </cell>
          <cell r="E701" t="str">
            <v>Y</v>
          </cell>
          <cell r="F701" t="str">
            <v>Y</v>
          </cell>
          <cell r="G701" t="str">
            <v>Y</v>
          </cell>
          <cell r="H701" t="str">
            <v>Y</v>
          </cell>
          <cell r="I701" t="str">
            <v>Y</v>
          </cell>
          <cell r="J701" t="str">
            <v>Y</v>
          </cell>
        </row>
        <row r="702">
          <cell r="B702">
            <v>150576000</v>
          </cell>
          <cell r="C702" t="str">
            <v>Y</v>
          </cell>
          <cell r="D702" t="str">
            <v>Y</v>
          </cell>
          <cell r="E702" t="str">
            <v>Y</v>
          </cell>
          <cell r="F702" t="str">
            <v>Y</v>
          </cell>
          <cell r="G702" t="str">
            <v>Y</v>
          </cell>
          <cell r="H702" t="str">
            <v>Y</v>
          </cell>
          <cell r="I702" t="str">
            <v>Y</v>
          </cell>
          <cell r="J702" t="str">
            <v>Y</v>
          </cell>
        </row>
        <row r="703">
          <cell r="B703">
            <v>158701000</v>
          </cell>
          <cell r="C703" t="str">
            <v>Y</v>
          </cell>
          <cell r="D703" t="str">
            <v>Y</v>
          </cell>
          <cell r="E703" t="str">
            <v>Y</v>
          </cell>
          <cell r="F703" t="str">
            <v>N</v>
          </cell>
          <cell r="G703" t="str">
            <v>N</v>
          </cell>
          <cell r="H703" t="str">
            <v>N</v>
          </cell>
          <cell r="I703" t="str">
            <v>N</v>
          </cell>
          <cell r="J703" t="str">
            <v>N</v>
          </cell>
        </row>
        <row r="704">
          <cell r="B704">
            <v>200900000</v>
          </cell>
          <cell r="C704" t="str">
            <v>N</v>
          </cell>
          <cell r="D704" t="str">
            <v>N</v>
          </cell>
          <cell r="E704" t="str">
            <v>N</v>
          </cell>
          <cell r="F704" t="str">
            <v>Y</v>
          </cell>
          <cell r="G704" t="str">
            <v>N</v>
          </cell>
          <cell r="H704" t="str">
            <v>N</v>
          </cell>
          <cell r="I704" t="str">
            <v>N</v>
          </cell>
          <cell r="J704" t="str">
            <v>N</v>
          </cell>
        </row>
        <row r="705">
          <cell r="B705">
            <v>211001000</v>
          </cell>
          <cell r="C705" t="str">
            <v>N</v>
          </cell>
          <cell r="D705" t="str">
            <v>N</v>
          </cell>
          <cell r="E705" t="str">
            <v>N</v>
          </cell>
          <cell r="F705" t="str">
            <v>N</v>
          </cell>
          <cell r="G705" t="str">
            <v>N</v>
          </cell>
          <cell r="H705" t="str">
            <v>N</v>
          </cell>
          <cell r="I705" t="str">
            <v>N</v>
          </cell>
          <cell r="J705" t="str">
            <v>N</v>
          </cell>
        </row>
        <row r="706">
          <cell r="B706">
            <v>211002000</v>
          </cell>
          <cell r="C706" t="str">
            <v>N</v>
          </cell>
          <cell r="D706" t="str">
            <v>N</v>
          </cell>
          <cell r="E706" t="str">
            <v>N</v>
          </cell>
          <cell r="F706" t="str">
            <v>N</v>
          </cell>
          <cell r="G706" t="str">
            <v>N</v>
          </cell>
          <cell r="H706" t="str">
            <v>N</v>
          </cell>
          <cell r="I706" t="str">
            <v>N</v>
          </cell>
          <cell r="J706" t="str">
            <v>N</v>
          </cell>
        </row>
        <row r="707">
          <cell r="B707">
            <v>217601000</v>
          </cell>
          <cell r="C707" t="str">
            <v>N</v>
          </cell>
          <cell r="D707" t="str">
            <v>N</v>
          </cell>
          <cell r="E707" t="str">
            <v>N</v>
          </cell>
          <cell r="F707" t="str">
            <v>N</v>
          </cell>
          <cell r="G707" t="str">
            <v>N</v>
          </cell>
          <cell r="H707" t="str">
            <v>N</v>
          </cell>
          <cell r="I707" t="str">
            <v>N</v>
          </cell>
          <cell r="J707" t="str">
            <v>N</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T607"/>
  <sheetViews>
    <sheetView tabSelected="1" zoomScale="70" zoomScaleNormal="70" zoomScalePageLayoutView="70" workbookViewId="0">
      <pane xSplit="4" ySplit="5" topLeftCell="F6" activePane="bottomRight" state="frozen"/>
      <selection pane="topRight" activeCell="E1" sqref="E1"/>
      <selection pane="bottomLeft" activeCell="A6" sqref="A6"/>
      <selection pane="bottomRight" activeCell="F6" sqref="F6"/>
    </sheetView>
  </sheetViews>
  <sheetFormatPr defaultColWidth="8.77734375" defaultRowHeight="14.4" outlineLevelRow="1" outlineLevelCol="1" x14ac:dyDescent="0.3"/>
  <cols>
    <col min="1" max="1" width="22.33203125" style="47" customWidth="1"/>
    <col min="2" max="2" width="14.77734375" style="47" customWidth="1" outlineLevel="1"/>
    <col min="3" max="3" width="7.77734375" style="47" customWidth="1" outlineLevel="1"/>
    <col min="4" max="4" width="35" style="147" customWidth="1"/>
    <col min="5" max="5" width="10.109375" style="47" hidden="1" customWidth="1" outlineLevel="1"/>
    <col min="6" max="6" width="10.109375" style="47" customWidth="1" collapsed="1"/>
    <col min="7" max="11" width="10.109375" style="47" customWidth="1"/>
    <col min="12" max="13" width="14.109375" style="47" customWidth="1"/>
    <col min="14" max="14" width="14.109375" style="4" customWidth="1"/>
    <col min="15" max="16" width="14.109375" style="47" customWidth="1"/>
    <col min="17" max="17" width="14.109375" style="384" customWidth="1"/>
    <col min="18" max="19" width="14.109375" style="382" customWidth="1"/>
    <col min="20" max="20" width="14.109375" style="4" customWidth="1"/>
    <col min="21" max="38" width="15.44140625" style="253" customWidth="1"/>
    <col min="39" max="39" width="5" style="253" customWidth="1"/>
    <col min="40" max="44" width="15.44140625" style="253" customWidth="1"/>
    <col min="45" max="45" width="2.6640625" style="253" customWidth="1"/>
    <col min="46" max="46" width="15.44140625" style="253" customWidth="1"/>
    <col min="47" max="47" width="2.33203125" style="253" customWidth="1"/>
    <col min="48" max="48" width="15.44140625" style="382" customWidth="1"/>
    <col min="49" max="54" width="15.44140625" style="253" customWidth="1"/>
    <col min="55" max="55" width="10.77734375" style="253" customWidth="1"/>
    <col min="56" max="56" width="5" style="253" customWidth="1"/>
    <col min="57" max="57" width="15.44140625" style="174" customWidth="1"/>
    <col min="58" max="59" width="15.44140625" style="31" customWidth="1"/>
    <col min="60" max="60" width="3.44140625" style="47" customWidth="1"/>
    <col min="61" max="61" width="7.33203125" style="31" hidden="1" customWidth="1" outlineLevel="1"/>
    <col min="62" max="63" width="7.33203125" style="47" hidden="1" customWidth="1" outlineLevel="1"/>
    <col min="64" max="64" width="7.33203125" style="31" hidden="1" customWidth="1" outlineLevel="1"/>
    <col min="65" max="65" width="7.33203125" style="47" hidden="1" customWidth="1" outlineLevel="1"/>
    <col min="66" max="66" width="4.33203125" style="199" customWidth="1" collapsed="1"/>
    <col min="67" max="67" width="3.44140625" style="47" customWidth="1"/>
    <col min="68" max="70" width="8.77734375" style="47"/>
    <col min="71" max="71" width="3.44140625" style="47" customWidth="1"/>
    <col min="72" max="75" width="8.77734375" style="47"/>
    <col min="76" max="76" width="3.6640625" style="47" customWidth="1"/>
    <col min="77" max="80" width="8.77734375" style="47"/>
    <col min="81" max="81" width="4.109375" style="47" customWidth="1"/>
    <col min="82" max="16384" width="8.77734375" style="47"/>
  </cols>
  <sheetData>
    <row r="1" spans="1:82" x14ac:dyDescent="0.3">
      <c r="A1" s="47" t="s">
        <v>454</v>
      </c>
      <c r="AW1" s="885"/>
    </row>
    <row r="2" spans="1:82" ht="15" thickBot="1" x14ac:dyDescent="0.35">
      <c r="A2" s="47" t="s">
        <v>1017</v>
      </c>
      <c r="U2" s="316">
        <f t="shared" ref="U2:BB2" si="0">U582</f>
        <v>144342915.73710904</v>
      </c>
      <c r="V2" s="316">
        <f t="shared" si="0"/>
        <v>31458698.270372376</v>
      </c>
      <c r="W2" s="316">
        <f t="shared" si="0"/>
        <v>81683541.747701183</v>
      </c>
      <c r="X2" s="316">
        <f t="shared" si="0"/>
        <v>76362474.111216515</v>
      </c>
      <c r="Y2" s="316">
        <f t="shared" si="0"/>
        <v>333847629.86639905</v>
      </c>
      <c r="Z2" s="316">
        <f t="shared" si="0"/>
        <v>144342915.73710907</v>
      </c>
      <c r="AA2" s="316">
        <f t="shared" si="0"/>
        <v>31458698.270372376</v>
      </c>
      <c r="AB2" s="316">
        <f t="shared" si="0"/>
        <v>81683541.747701183</v>
      </c>
      <c r="AC2" s="316">
        <f t="shared" si="0"/>
        <v>76362474.111216545</v>
      </c>
      <c r="AD2" s="370">
        <f t="shared" si="0"/>
        <v>144302044.14329809</v>
      </c>
      <c r="AE2" s="370">
        <f t="shared" si="0"/>
        <v>30688587.534732252</v>
      </c>
      <c r="AF2" s="370">
        <f t="shared" si="0"/>
        <v>81657734.5740024</v>
      </c>
      <c r="AG2" s="370">
        <f t="shared" si="0"/>
        <v>76339049.572574392</v>
      </c>
      <c r="AH2" s="316">
        <f t="shared" si="0"/>
        <v>144342915.73710907</v>
      </c>
      <c r="AI2" s="316">
        <f t="shared" si="0"/>
        <v>31458698.270372368</v>
      </c>
      <c r="AJ2" s="316">
        <f t="shared" si="0"/>
        <v>81683541.747701198</v>
      </c>
      <c r="AK2" s="316">
        <f t="shared" si="0"/>
        <v>76362474.11121653</v>
      </c>
      <c r="AL2" s="316">
        <f t="shared" si="0"/>
        <v>333847629.86639905</v>
      </c>
      <c r="AN2" s="316">
        <f t="shared" ref="AN2:AR2" si="1">AN582</f>
        <v>144342915.73710915</v>
      </c>
      <c r="AO2" s="316">
        <f t="shared" si="1"/>
        <v>31458698.270372342</v>
      </c>
      <c r="AP2" s="316">
        <f t="shared" si="1"/>
        <v>81683541.747701228</v>
      </c>
      <c r="AQ2" s="316">
        <f t="shared" si="1"/>
        <v>76362474.111216471</v>
      </c>
      <c r="AR2" s="316">
        <f t="shared" si="1"/>
        <v>333847629.86639911</v>
      </c>
      <c r="AT2" s="316">
        <f t="shared" si="0"/>
        <v>302753906.52540153</v>
      </c>
      <c r="AV2" s="386" t="s">
        <v>1450</v>
      </c>
      <c r="AW2" s="316">
        <f t="shared" si="0"/>
        <v>13353906.000000233</v>
      </c>
      <c r="AX2" s="316">
        <f t="shared" si="0"/>
        <v>320493723.86639887</v>
      </c>
      <c r="AY2" s="316">
        <f t="shared" si="0"/>
        <v>3067355.169999999</v>
      </c>
      <c r="AZ2" s="316">
        <f t="shared" si="0"/>
        <v>317426368.69639879</v>
      </c>
      <c r="BA2" s="316">
        <f t="shared" si="0"/>
        <v>3174263.6869639885</v>
      </c>
      <c r="BB2" s="316">
        <f t="shared" si="0"/>
        <v>314252105.009435</v>
      </c>
      <c r="BC2" s="372">
        <f>BC582</f>
        <v>0</v>
      </c>
      <c r="BG2" s="316">
        <f t="shared" ref="BG2" si="2">BG582</f>
        <v>314252105.009435</v>
      </c>
    </row>
    <row r="3" spans="1:82" ht="42" thickBot="1" x14ac:dyDescent="0.35">
      <c r="A3" s="47" t="s">
        <v>1280</v>
      </c>
      <c r="F3" s="741" t="s">
        <v>1593</v>
      </c>
      <c r="G3" s="742" t="s">
        <v>1593</v>
      </c>
      <c r="H3" s="742" t="s">
        <v>1593</v>
      </c>
      <c r="I3" s="742" t="s">
        <v>1593</v>
      </c>
      <c r="J3" s="742" t="s">
        <v>1593</v>
      </c>
      <c r="K3" s="743" t="s">
        <v>1593</v>
      </c>
      <c r="L3" s="204" t="s">
        <v>1429</v>
      </c>
      <c r="M3" s="204" t="s">
        <v>1429</v>
      </c>
      <c r="N3" s="204" t="s">
        <v>1429</v>
      </c>
      <c r="O3" s="204" t="s">
        <v>1429</v>
      </c>
      <c r="P3" s="204" t="s">
        <v>1429</v>
      </c>
      <c r="Q3" s="772" t="s">
        <v>1593</v>
      </c>
      <c r="R3" s="205" t="s">
        <v>1430</v>
      </c>
      <c r="S3" s="205" t="s">
        <v>1430</v>
      </c>
      <c r="T3" s="205" t="s">
        <v>1430</v>
      </c>
      <c r="U3" s="254" t="s">
        <v>1429</v>
      </c>
      <c r="V3" s="276" t="s">
        <v>1436</v>
      </c>
      <c r="W3" s="254" t="s">
        <v>1429</v>
      </c>
      <c r="X3" s="254" t="s">
        <v>1429</v>
      </c>
      <c r="Y3" s="254" t="s">
        <v>1429</v>
      </c>
      <c r="Z3" s="276" t="s">
        <v>1451</v>
      </c>
      <c r="AA3" s="276" t="s">
        <v>1451</v>
      </c>
      <c r="AB3" s="276" t="s">
        <v>1451</v>
      </c>
      <c r="AC3" s="276" t="s">
        <v>1451</v>
      </c>
      <c r="AD3" s="276" t="s">
        <v>1431</v>
      </c>
      <c r="AE3" s="276" t="s">
        <v>1431</v>
      </c>
      <c r="AF3" s="276" t="s">
        <v>1431</v>
      </c>
      <c r="AG3" s="276" t="s">
        <v>1431</v>
      </c>
      <c r="AH3" s="276" t="s">
        <v>1432</v>
      </c>
      <c r="AI3" s="276" t="s">
        <v>1432</v>
      </c>
      <c r="AJ3" s="276" t="s">
        <v>1432</v>
      </c>
      <c r="AK3" s="276" t="s">
        <v>1432</v>
      </c>
      <c r="AL3" s="276" t="s">
        <v>1432</v>
      </c>
      <c r="AN3" s="699" t="s">
        <v>1432</v>
      </c>
      <c r="AO3" s="700" t="s">
        <v>1432</v>
      </c>
      <c r="AP3" s="700" t="s">
        <v>1432</v>
      </c>
      <c r="AQ3" s="700" t="s">
        <v>1432</v>
      </c>
      <c r="AR3" s="701" t="s">
        <v>1432</v>
      </c>
      <c r="AT3" s="276" t="s">
        <v>1558</v>
      </c>
      <c r="AV3" s="205" t="s">
        <v>1455</v>
      </c>
      <c r="AW3" s="205" t="s">
        <v>1455</v>
      </c>
      <c r="AX3" s="205" t="s">
        <v>1455</v>
      </c>
      <c r="AY3" s="205" t="s">
        <v>1455</v>
      </c>
      <c r="AZ3" s="205" t="s">
        <v>1455</v>
      </c>
      <c r="BA3" s="205" t="s">
        <v>1455</v>
      </c>
      <c r="BB3" s="205" t="s">
        <v>1455</v>
      </c>
      <c r="BC3" s="276" t="s">
        <v>1456</v>
      </c>
      <c r="BE3" s="399" t="s">
        <v>1429</v>
      </c>
      <c r="BF3" s="399" t="s">
        <v>1456</v>
      </c>
      <c r="BG3" s="399" t="s">
        <v>1456</v>
      </c>
    </row>
    <row r="4" spans="1:82" ht="15" thickBot="1" x14ac:dyDescent="0.35">
      <c r="F4" s="744" t="s">
        <v>1594</v>
      </c>
      <c r="G4" s="745"/>
      <c r="H4" s="745"/>
      <c r="I4" s="745"/>
      <c r="J4" s="745"/>
      <c r="K4" s="746"/>
      <c r="U4" s="255" t="s">
        <v>1435</v>
      </c>
      <c r="V4" s="256"/>
      <c r="W4" s="256"/>
      <c r="X4" s="256"/>
      <c r="Y4" s="257"/>
      <c r="Z4" s="277" t="s">
        <v>1433</v>
      </c>
      <c r="AA4" s="278"/>
      <c r="AB4" s="278"/>
      <c r="AC4" s="279"/>
      <c r="AD4" s="255" t="s">
        <v>1434</v>
      </c>
      <c r="AE4" s="256"/>
      <c r="AF4" s="256"/>
      <c r="AG4" s="257"/>
      <c r="AH4" s="406" t="s">
        <v>1560</v>
      </c>
      <c r="AI4" s="407"/>
      <c r="AJ4" s="407"/>
      <c r="AK4" s="407"/>
      <c r="AL4" s="408"/>
      <c r="AM4" s="409"/>
      <c r="AN4" s="406" t="s">
        <v>1561</v>
      </c>
      <c r="AO4" s="407"/>
      <c r="AP4" s="407"/>
      <c r="AQ4" s="407"/>
      <c r="AR4" s="408"/>
      <c r="AS4" s="47"/>
      <c r="AT4" s="410"/>
      <c r="AV4" s="886" t="s">
        <v>1459</v>
      </c>
      <c r="AW4" s="333"/>
      <c r="AX4" s="333"/>
      <c r="AY4" s="333"/>
      <c r="AZ4" s="334"/>
      <c r="BA4" s="335" t="s">
        <v>1002</v>
      </c>
      <c r="BB4" s="336"/>
      <c r="BC4" s="411"/>
    </row>
    <row r="5" spans="1:82" s="195" customFormat="1" ht="87" thickBot="1" x14ac:dyDescent="0.35">
      <c r="A5" s="248" t="s">
        <v>0</v>
      </c>
      <c r="B5" s="248" t="s">
        <v>558</v>
      </c>
      <c r="C5" s="248" t="s">
        <v>559</v>
      </c>
      <c r="D5" s="249" t="s">
        <v>1</v>
      </c>
      <c r="E5" s="248" t="s">
        <v>2</v>
      </c>
      <c r="F5" s="8" t="s">
        <v>1597</v>
      </c>
      <c r="G5" s="8" t="s">
        <v>602</v>
      </c>
      <c r="H5" s="8" t="s">
        <v>601</v>
      </c>
      <c r="I5" s="8" t="s">
        <v>600</v>
      </c>
      <c r="J5" s="8" t="s">
        <v>599</v>
      </c>
      <c r="K5" s="8" t="s">
        <v>1596</v>
      </c>
      <c r="L5" s="233" t="s">
        <v>562</v>
      </c>
      <c r="M5" s="234" t="s">
        <v>563</v>
      </c>
      <c r="N5" s="767" t="s">
        <v>564</v>
      </c>
      <c r="O5" s="234" t="s">
        <v>565</v>
      </c>
      <c r="P5" s="235" t="s">
        <v>566</v>
      </c>
      <c r="Q5" s="773" t="s">
        <v>1598</v>
      </c>
      <c r="R5" s="774" t="s">
        <v>567</v>
      </c>
      <c r="S5" s="775" t="s">
        <v>568</v>
      </c>
      <c r="T5" s="331" t="s">
        <v>569</v>
      </c>
      <c r="U5" s="258" t="s">
        <v>1300</v>
      </c>
      <c r="V5" s="259" t="s">
        <v>1301</v>
      </c>
      <c r="W5" s="259" t="s">
        <v>1302</v>
      </c>
      <c r="X5" s="259" t="s">
        <v>1303</v>
      </c>
      <c r="Y5" s="260" t="s">
        <v>1304</v>
      </c>
      <c r="Z5" s="328" t="s">
        <v>1305</v>
      </c>
      <c r="AA5" s="328" t="s">
        <v>1306</v>
      </c>
      <c r="AB5" s="328" t="s">
        <v>1307</v>
      </c>
      <c r="AC5" s="329" t="s">
        <v>1308</v>
      </c>
      <c r="AD5" s="328" t="s">
        <v>1309</v>
      </c>
      <c r="AE5" s="328" t="s">
        <v>1310</v>
      </c>
      <c r="AF5" s="328" t="s">
        <v>1311</v>
      </c>
      <c r="AG5" s="329" t="s">
        <v>1312</v>
      </c>
      <c r="AH5" s="328" t="s">
        <v>1313</v>
      </c>
      <c r="AI5" s="328" t="s">
        <v>1314</v>
      </c>
      <c r="AJ5" s="328" t="s">
        <v>1315</v>
      </c>
      <c r="AK5" s="328" t="s">
        <v>1316</v>
      </c>
      <c r="AL5" s="329" t="s">
        <v>1317</v>
      </c>
      <c r="AM5" s="253"/>
      <c r="AN5" s="337" t="s">
        <v>1313</v>
      </c>
      <c r="AO5" s="328" t="s">
        <v>1314</v>
      </c>
      <c r="AP5" s="328" t="s">
        <v>1315</v>
      </c>
      <c r="AQ5" s="328" t="s">
        <v>1316</v>
      </c>
      <c r="AR5" s="329" t="s">
        <v>1317</v>
      </c>
      <c r="AS5" s="253"/>
      <c r="AT5" s="330" t="s">
        <v>1557</v>
      </c>
      <c r="AU5" s="253"/>
      <c r="AV5" s="774" t="s">
        <v>919</v>
      </c>
      <c r="AW5" s="328" t="s">
        <v>920</v>
      </c>
      <c r="AX5" s="328" t="s">
        <v>1318</v>
      </c>
      <c r="AY5" s="328" t="s">
        <v>922</v>
      </c>
      <c r="AZ5" s="338" t="s">
        <v>1368</v>
      </c>
      <c r="BA5" s="339" t="s">
        <v>1002</v>
      </c>
      <c r="BB5" s="340" t="s">
        <v>1369</v>
      </c>
      <c r="BC5" s="338" t="s">
        <v>1559</v>
      </c>
      <c r="BD5" s="253"/>
      <c r="BE5" s="373" t="s">
        <v>1014</v>
      </c>
      <c r="BF5" s="250" t="s">
        <v>1015</v>
      </c>
      <c r="BG5" s="380" t="s">
        <v>1494</v>
      </c>
      <c r="BH5" s="248"/>
      <c r="BI5" s="252" t="s">
        <v>1005</v>
      </c>
      <c r="BJ5" s="195" t="s">
        <v>1004</v>
      </c>
      <c r="BK5" s="195" t="s">
        <v>1011</v>
      </c>
      <c r="BL5" s="251" t="s">
        <v>1018</v>
      </c>
      <c r="BM5" s="251" t="s">
        <v>1013</v>
      </c>
      <c r="BN5" s="381"/>
      <c r="BP5" s="286" t="s">
        <v>1437</v>
      </c>
      <c r="BQ5" s="286" t="s">
        <v>1020</v>
      </c>
      <c r="BR5" s="287" t="s">
        <v>1438</v>
      </c>
      <c r="BS5" s="288"/>
      <c r="BT5" s="286" t="s">
        <v>1439</v>
      </c>
      <c r="BU5" s="289" t="s">
        <v>1440</v>
      </c>
      <c r="BV5" s="289" t="s">
        <v>1441</v>
      </c>
      <c r="BW5" s="287" t="s">
        <v>1442</v>
      </c>
      <c r="BX5" s="288"/>
      <c r="BY5" s="290" t="s">
        <v>1443</v>
      </c>
      <c r="BZ5" s="291" t="s">
        <v>1444</v>
      </c>
      <c r="CA5" s="290" t="s">
        <v>1445</v>
      </c>
      <c r="CB5" s="290" t="s">
        <v>1446</v>
      </c>
      <c r="CD5" s="310" t="s">
        <v>1449</v>
      </c>
    </row>
    <row r="6" spans="1:82" outlineLevel="1" x14ac:dyDescent="0.3">
      <c r="A6" s="1">
        <v>10323000</v>
      </c>
      <c r="B6" s="47">
        <f>VLOOKUP(C6,'NCES ID'!$A$2:$B$3136,2,FALSE)</f>
        <v>404860</v>
      </c>
      <c r="C6" s="47">
        <f>VLOOKUP(A6,'State ID'!$A$2:$B$713,2,FALSE)</f>
        <v>4163</v>
      </c>
      <c r="D6" s="147" t="s">
        <v>280</v>
      </c>
      <c r="E6" s="47" t="s">
        <v>103</v>
      </c>
      <c r="F6" s="382">
        <f>IFERROR(VLOOKUP($B6,'update_Formula counts'!$D$7:$R$234,'update_Formula counts'!F$5,0),0)</f>
        <v>68</v>
      </c>
      <c r="G6" s="382">
        <f>IFERROR(VLOOKUP($B6,'update_Formula counts'!$D$7:$R$234,'update_Formula counts'!G$5,0),0)</f>
        <v>0</v>
      </c>
      <c r="H6" s="382">
        <f>IFERROR(VLOOKUP($B6,'update_Formula counts'!$D$7:$R$234,'update_Formula counts'!H$5,0),0)</f>
        <v>0</v>
      </c>
      <c r="I6" s="382">
        <f>IFERROR(VLOOKUP($B6,'update_Formula counts'!$D$7:$R$234,'update_Formula counts'!I$5,0),0)</f>
        <v>0</v>
      </c>
      <c r="J6" s="382">
        <f>IFERROR(VLOOKUP($B6,'update_Formula counts'!$D$7:$R$234,'update_Formula counts'!J$5,0),0)</f>
        <v>0</v>
      </c>
      <c r="K6" s="382">
        <f t="shared" ref="K6:K16" si="3">M6-I6</f>
        <v>68</v>
      </c>
      <c r="L6" s="444">
        <f>IFERROR(VLOOKUP($B6,'update_Formula counts'!$D$7:$R$234,'update_Formula counts'!L$5,0),0)</f>
        <v>159</v>
      </c>
      <c r="M6" s="445">
        <f>IFERROR(VLOOKUP($B6,'update_Formula counts'!$D$7:$R$234,'update_Formula counts'!K$5,0),0)</f>
        <v>68</v>
      </c>
      <c r="N6" s="446">
        <f>IFERROR(VLOOKUP($B6,'update_Formula counts'!$D$7:$R$234,'update_Formula counts'!M$5,0),0)</f>
        <v>0.42767295597484278</v>
      </c>
      <c r="O6" s="137">
        <f>VLOOKUP($C6,'Final SEA Counts'!$A$2:$F$709,5,FALSE)</f>
        <v>130</v>
      </c>
      <c r="P6" s="208">
        <f>VLOOKUP($C6,'Final SEA Counts'!$A$2:$F$709,6,FALSE)</f>
        <v>120</v>
      </c>
      <c r="Q6" s="748">
        <f t="shared" ref="Q6:Q16" si="4">-F6/($F$19-$F$20)*$S$18+(M6/($M$19-$M$20)*$M$20)</f>
        <v>-0.21259710513300473</v>
      </c>
      <c r="R6" s="444">
        <f t="shared" ref="R6:R16" si="5">L6-(L6/(L$19))*R$18</f>
        <v>158.53144802386018</v>
      </c>
      <c r="S6" s="445">
        <f t="shared" ref="S6:S16" si="6">Q6+K6+I6</f>
        <v>67.787402894867</v>
      </c>
      <c r="T6" s="229">
        <f t="shared" ref="T6:T17" si="7">S6/R6</f>
        <v>0.42759593594744988</v>
      </c>
      <c r="U6" s="261">
        <f>VLOOKUP($B6,update_Allocation!$D$8:$Q$235,update_Allocation!K$239,0)</f>
        <v>39433.564605220199</v>
      </c>
      <c r="V6" s="262">
        <f>VLOOKUP($B6,update_Allocation!$D$8:$Q$235,update_Allocation!L$239,0)</f>
        <v>9344.1494430341027</v>
      </c>
      <c r="W6" s="262">
        <f>VLOOKUP($B6,update_Allocation!$D$8:$Q$235,update_Allocation!M$239,0)</f>
        <v>27982.418459258133</v>
      </c>
      <c r="X6" s="262">
        <f>VLOOKUP($B6,update_Allocation!$D$8:$Q$235,update_Allocation!N$239,0)</f>
        <v>33378.745619887923</v>
      </c>
      <c r="Y6" s="263">
        <f>VLOOKUP($B6,update_Allocation!$D$8:$Q$235,update_Allocation!O$239,0)</f>
        <v>110138.87812740036</v>
      </c>
      <c r="Z6" s="262">
        <f t="shared" ref="Z6:Z16" si="8">IF(U6=0,"",U6-(U6/U$19)*Z$18)</f>
        <v>39311.518623286189</v>
      </c>
      <c r="AA6" s="262">
        <f t="shared" ref="AA6:AA16" si="9">IF(V6=0,"",V6-(V6/V$19)*AA$18)</f>
        <v>9315.2295138942882</v>
      </c>
      <c r="AB6" s="262">
        <f t="shared" ref="AB6:AB16" si="10">IF(W6=0,"",W6-(W6/W$19)*AB$18)</f>
        <v>27895.813513143359</v>
      </c>
      <c r="AC6" s="263">
        <f t="shared" ref="AC6:AC16" si="11">IF(X6=0,"",X6-(X6/X$19)*AC$18)</f>
        <v>33275.43916444348</v>
      </c>
      <c r="AD6" s="262">
        <f t="shared" ref="AD6:AD17" si="12">IF(BT6="Y",Z6,"")</f>
        <v>39311.518623286189</v>
      </c>
      <c r="AE6" s="262">
        <f t="shared" ref="AE6:AE17" si="13">IF(BU6="Y",AA6,"")</f>
        <v>9315.2295138942882</v>
      </c>
      <c r="AF6" s="262">
        <f t="shared" ref="AF6:AF17" si="14">IF(BV6="Y",AB6,"")</f>
        <v>27895.813513143359</v>
      </c>
      <c r="AG6" s="263">
        <f t="shared" ref="AG6:AG17" si="15">IF(BW6="Y",AC6,"")</f>
        <v>33275.43916444348</v>
      </c>
      <c r="AH6" s="262">
        <f t="shared" ref="AH6:AK17" si="16">IF(AD6="","",AD6+AD$20)</f>
        <v>39311.518623286189</v>
      </c>
      <c r="AI6" s="262">
        <f t="shared" si="16"/>
        <v>9315.2295138942882</v>
      </c>
      <c r="AJ6" s="262">
        <f t="shared" si="16"/>
        <v>27895.813513143359</v>
      </c>
      <c r="AK6" s="262">
        <f t="shared" si="16"/>
        <v>33275.43916444348</v>
      </c>
      <c r="AL6" s="263">
        <f t="shared" ref="AL6:AL17" si="17">SUM(AH6:AK6)</f>
        <v>109798.00081476731</v>
      </c>
      <c r="AM6" s="346"/>
      <c r="AN6" s="261">
        <f>IFERROR(VLOOKUP($A6,'HH &amp; SI'!$B$4:$Z$494,'HH &amp; SI'!V$503,0),0)</f>
        <v>38775.283993586265</v>
      </c>
      <c r="AO6" s="262">
        <f>IFERROR(VLOOKUP($A6,'HH &amp; SI'!$B$4:$Z$494,'HH &amp; SI'!W$503,0),0)</f>
        <v>9021.7221519767027</v>
      </c>
      <c r="AP6" s="262">
        <f>IFERROR(VLOOKUP($A6,'HH &amp; SI'!$B$4:$Z$494,'HH &amp; SI'!X$503,0),0)</f>
        <v>27642.111980749894</v>
      </c>
      <c r="AQ6" s="262">
        <f>IFERROR(VLOOKUP($A6,'HH &amp; SI'!$B$4:$Z$494,'HH &amp; SI'!Y$503,0),0)</f>
        <v>33068.947647690002</v>
      </c>
      <c r="AR6" s="263">
        <f t="shared" ref="AR6" si="18">SUM(AN6:AQ6)</f>
        <v>108508.06577400287</v>
      </c>
      <c r="AS6" s="346"/>
      <c r="AT6" s="323">
        <f>IFERROR(VLOOKUP(A6,'Afton FY16 Final'!$A$5:$BV$572,'Afton FY16 Final'!$BV$587,0),0)</f>
        <v>108411.93158199832</v>
      </c>
      <c r="AU6" s="346"/>
      <c r="AV6" s="444">
        <v>0</v>
      </c>
      <c r="AW6" s="262">
        <f>IFERROR(VLOOKUP($A6,'HH &amp; SI'!$B$4:$EY$503,'HH &amp; SI'!EX$503,0),0)</f>
        <v>96.13419200455246</v>
      </c>
      <c r="AX6" s="262">
        <f>IFERROR(VLOOKUP($A6,'HH &amp; SI'!$B$4:$EY$503,'HH &amp; SI'!EY$503,0),0)</f>
        <v>108411.93158199832</v>
      </c>
      <c r="AY6" s="262">
        <f>AX6/$AX$582*'update_State Admin 1004(b)'!$B$30*0.01</f>
        <v>1037.5800649573739</v>
      </c>
      <c r="AZ6" s="263">
        <f t="shared" ref="AZ6" si="19">AX6-AY6</f>
        <v>107374.35151704094</v>
      </c>
      <c r="BA6" s="261">
        <f t="shared" ref="BA6:BA16" si="20">AZ6*0.01</f>
        <v>1073.7435151704094</v>
      </c>
      <c r="BB6" s="262">
        <f t="shared" ref="BB6:BB16" si="21">AZ6-BA6</f>
        <v>106300.60800187053</v>
      </c>
      <c r="BC6" s="341">
        <f>IFERROR(BB6/AT6,"")</f>
        <v>0.98052498881517602</v>
      </c>
      <c r="BD6" s="346"/>
      <c r="BE6" s="376" t="str">
        <f>'Original Title I &amp; II'!AZ6</f>
        <v/>
      </c>
      <c r="BF6" s="243" t="str">
        <f t="shared" ref="BF6:BF16" si="22">IF(BE6&lt;0,BB6*BE6/100,"")</f>
        <v/>
      </c>
      <c r="BG6" s="263">
        <f t="shared" ref="BG6:BG17" si="23">IF(BF6&lt;0,BB6+BF6,BB6)</f>
        <v>106300.60800187053</v>
      </c>
      <c r="BI6" s="31">
        <f>IFERROR(VLOOKUP(A6,'Title II Hold Harmless'!A$1:B$439,2, FALSE),"")</f>
        <v>9049</v>
      </c>
      <c r="BJ6" s="31">
        <f t="shared" ref="BJ6:BJ16" si="24">IFERROR($BI$587*(0.8*($S6/$S$584)+0.2*($R6/$R$584))+$BI6,$BI$587*(0.8*($S6/$S$584)+0.2*($R6/$R$584)))</f>
        <v>10063.983660414675</v>
      </c>
      <c r="BK6" s="31">
        <f t="shared" ref="BK6:BK16" si="25">$BI$588*BJ6</f>
        <v>10073.719476279764</v>
      </c>
      <c r="BL6" s="31" t="str">
        <f>IF(BE6&lt;0,BK6*BE6/100,"")</f>
        <v/>
      </c>
      <c r="BM6" s="31">
        <f>IF(BL6&lt;0,BK6+BL6,BK6)</f>
        <v>10073.719476279764</v>
      </c>
      <c r="BN6" s="200"/>
      <c r="BP6" s="295" t="s">
        <v>1447</v>
      </c>
      <c r="BQ6" s="296" t="str">
        <f>IF(OR(BP6="y",BP6="n"),"Y","N")</f>
        <v>Y</v>
      </c>
      <c r="BR6" s="297" t="s">
        <v>1448</v>
      </c>
      <c r="BT6" s="295" t="str">
        <f>IF(AND(S6&gt;=10,T6&gt;0.02),"Y","N")</f>
        <v>Y</v>
      </c>
      <c r="BU6" s="296" t="str">
        <f t="shared" ref="BU6:BU17" si="26">IF(AND(BT6="Y",(OR(T6&gt;0.15,S6&gt;6500))),"Y","N")</f>
        <v>Y</v>
      </c>
      <c r="BV6" s="296" t="str">
        <f t="shared" ref="BV6:BV17" si="27">IF(AND(BT6="Y",T6&gt;=0.05),"Y","N")</f>
        <v>Y</v>
      </c>
      <c r="BW6" s="297" t="str">
        <f t="shared" ref="BW6" si="28">BV6</f>
        <v>Y</v>
      </c>
      <c r="BY6" s="292">
        <f>IF(BT6="NA","NA",IF($T6&lt;0.15,0.85,0))</f>
        <v>0</v>
      </c>
      <c r="BZ6" s="293">
        <f>IF(BT6="NA","NA",IF(AND($T6&gt;=0.15,$T6&lt;0.3),0.9,0))</f>
        <v>0</v>
      </c>
      <c r="CA6" s="293">
        <f>IF(BT6="NA","NA",IF($T6&gt;=0.3,0.95,0))</f>
        <v>0.95</v>
      </c>
      <c r="CB6" s="294">
        <f>IF(BY6="NA","NA",MAX(BY6:CA6))</f>
        <v>0.95</v>
      </c>
      <c r="CD6" s="311">
        <v>1</v>
      </c>
    </row>
    <row r="7" spans="1:82" outlineLevel="1" x14ac:dyDescent="0.3">
      <c r="A7" s="1">
        <v>10309000</v>
      </c>
      <c r="B7" s="47">
        <f>VLOOKUP(C7,'NCES ID'!$A$2:$B$3136,2,FALSE)</f>
        <v>400022</v>
      </c>
      <c r="C7" s="47">
        <f>VLOOKUP(A7,'State ID'!$A$2:$B$713,2,FALSE)</f>
        <v>4162</v>
      </c>
      <c r="D7" s="147" t="s">
        <v>430</v>
      </c>
      <c r="E7" s="47" t="s">
        <v>103</v>
      </c>
      <c r="F7" s="382">
        <f>IFERROR(VLOOKUP($B7,'update_Formula counts'!$D$7:$R$234,'update_Formula counts'!F$5,0),0)</f>
        <v>89</v>
      </c>
      <c r="G7" s="382">
        <f>IFERROR(VLOOKUP($B7,'update_Formula counts'!$D$7:$R$234,'update_Formula counts'!G$5,0),0)</f>
        <v>0</v>
      </c>
      <c r="H7" s="382">
        <f>IFERROR(VLOOKUP($B7,'update_Formula counts'!$D$7:$R$234,'update_Formula counts'!H$5,0),0)</f>
        <v>0</v>
      </c>
      <c r="I7" s="382">
        <f>IFERROR(VLOOKUP($B7,'update_Formula counts'!$D$7:$R$234,'update_Formula counts'!I$5,0),0)</f>
        <v>1</v>
      </c>
      <c r="J7" s="382">
        <f>IFERROR(VLOOKUP($B7,'update_Formula counts'!$D$7:$R$234,'update_Formula counts'!J$5,0),0)</f>
        <v>0</v>
      </c>
      <c r="K7" s="382">
        <f t="shared" si="3"/>
        <v>89</v>
      </c>
      <c r="L7" s="444">
        <f>IFERROR(VLOOKUP($B7,'update_Formula counts'!$D$7:$R$234,'update_Formula counts'!L$5,0),0)</f>
        <v>275</v>
      </c>
      <c r="M7" s="445">
        <f>IFERROR(VLOOKUP($B7,'update_Formula counts'!$D$7:$R$234,'update_Formula counts'!K$5,0),0)</f>
        <v>90</v>
      </c>
      <c r="N7" s="446">
        <f>IFERROR(VLOOKUP($B7,'update_Formula counts'!$D$7:$R$234,'update_Formula counts'!M$5,0),0)</f>
        <v>0.32727272727272727</v>
      </c>
      <c r="O7" s="137">
        <f>VLOOKUP($C7,'Final SEA Counts'!$A$2:$F$709,5,FALSE)</f>
        <v>108</v>
      </c>
      <c r="P7" s="208">
        <f>VLOOKUP($C7,'Final SEA Counts'!$A$2:$F$709,6,FALSE)</f>
        <v>71</v>
      </c>
      <c r="Q7" s="748">
        <f t="shared" si="4"/>
        <v>-0.27825209348290331</v>
      </c>
      <c r="R7" s="444">
        <f t="shared" si="5"/>
        <v>274.18961136202233</v>
      </c>
      <c r="S7" s="445">
        <f t="shared" si="6"/>
        <v>89.721747906517095</v>
      </c>
      <c r="T7" s="229">
        <f t="shared" si="7"/>
        <v>0.32722519084814727</v>
      </c>
      <c r="U7" s="261">
        <f>VLOOKUP($B7,update_Allocation!$D$8:$Q$235,update_Allocation!K$239,0)</f>
        <v>53454.387575965156</v>
      </c>
      <c r="V7" s="262">
        <f>VLOOKUP($B7,update_Allocation!$D$8:$Q$235,update_Allocation!L$239,0)</f>
        <v>12666.513689446234</v>
      </c>
      <c r="W7" s="262">
        <f>VLOOKUP($B7,update_Allocation!$D$8:$Q$235,update_Allocation!M$239,0)</f>
        <v>32180.048795923445</v>
      </c>
      <c r="X7" s="262">
        <f>VLOOKUP($B7,update_Allocation!$D$8:$Q$235,update_Allocation!N$239,0)</f>
        <v>27883.074911673819</v>
      </c>
      <c r="Y7" s="263">
        <f>VLOOKUP($B7,update_Allocation!$D$8:$Q$235,update_Allocation!O$239,0)</f>
        <v>126184.02497300865</v>
      </c>
      <c r="Z7" s="262">
        <f t="shared" si="8"/>
        <v>53288.947467121274</v>
      </c>
      <c r="AA7" s="262">
        <f t="shared" si="9"/>
        <v>12627.311118834486</v>
      </c>
      <c r="AB7" s="262">
        <f t="shared" si="10"/>
        <v>32080.452279775294</v>
      </c>
      <c r="AC7" s="263">
        <f t="shared" si="11"/>
        <v>27796.777431570172</v>
      </c>
      <c r="AD7" s="262">
        <f t="shared" si="12"/>
        <v>53288.947467121274</v>
      </c>
      <c r="AE7" s="262">
        <f t="shared" si="13"/>
        <v>12627.311118834486</v>
      </c>
      <c r="AF7" s="262">
        <f t="shared" si="14"/>
        <v>32080.452279775294</v>
      </c>
      <c r="AG7" s="263">
        <f t="shared" si="15"/>
        <v>27796.777431570172</v>
      </c>
      <c r="AH7" s="262">
        <f t="shared" si="16"/>
        <v>53288.947467121274</v>
      </c>
      <c r="AI7" s="262">
        <f t="shared" si="16"/>
        <v>12627.311118834486</v>
      </c>
      <c r="AJ7" s="262">
        <f t="shared" si="16"/>
        <v>32080.452279775294</v>
      </c>
      <c r="AK7" s="262">
        <f t="shared" si="16"/>
        <v>27796.777431570172</v>
      </c>
      <c r="AL7" s="263">
        <f t="shared" si="17"/>
        <v>125793.48829730123</v>
      </c>
      <c r="AM7" s="346"/>
      <c r="AN7" s="261">
        <f>IFERROR(VLOOKUP($A7,'HH &amp; SI'!$B$4:$Z$494,'HH &amp; SI'!V$503,0),0)</f>
        <v>52562.051635750271</v>
      </c>
      <c r="AO7" s="262">
        <f>IFERROR(VLOOKUP($A7,'HH &amp; SI'!$B$4:$Z$494,'HH &amp; SI'!W$503,0),0)</f>
        <v>12229.445583790646</v>
      </c>
      <c r="AP7" s="262">
        <f>IFERROR(VLOOKUP($A7,'HH &amp; SI'!$B$4:$Z$494,'HH &amp; SI'!X$503,0),0)</f>
        <v>31788.693091629742</v>
      </c>
      <c r="AQ7" s="262">
        <f>IFERROR(VLOOKUP($A7,'HH &amp; SI'!$B$4:$Z$494,'HH &amp; SI'!Y$503,0),0)</f>
        <v>27490.506981029597</v>
      </c>
      <c r="AR7" s="263">
        <f t="shared" ref="AR7:AR17" si="29">SUM(AN7:AQ7)</f>
        <v>124070.69729220026</v>
      </c>
      <c r="AS7" s="346"/>
      <c r="AT7" s="323">
        <f>IFERROR(VLOOKUP(A7,'Afton FY16 Final'!$A$5:$BV$572,'Afton FY16 Final'!$BV$587,0),0)</f>
        <v>115000.39090785898</v>
      </c>
      <c r="AU7" s="346"/>
      <c r="AV7" s="444">
        <v>0</v>
      </c>
      <c r="AW7" s="262">
        <f>IFERROR(VLOOKUP($A7,'HH &amp; SI'!$B$4:$EY$503,'HH &amp; SI'!EX$503,0),0)</f>
        <v>6949.5844939797098</v>
      </c>
      <c r="AX7" s="262">
        <f>IFERROR(VLOOKUP($A7,'HH &amp; SI'!$B$4:$EY$503,'HH &amp; SI'!EY$503,0),0)</f>
        <v>117121.11279822055</v>
      </c>
      <c r="AY7" s="262">
        <f>AX7/$AX$582*'update_State Admin 1004(b)'!$B$30*0.01</f>
        <v>1120.9331855981459</v>
      </c>
      <c r="AZ7" s="263">
        <f t="shared" ref="AZ7:AZ16" si="30">AX7-AY7</f>
        <v>116000.17961262241</v>
      </c>
      <c r="BA7" s="261">
        <f t="shared" si="20"/>
        <v>1160.001796126224</v>
      </c>
      <c r="BB7" s="262">
        <f t="shared" si="21"/>
        <v>114840.17781649619</v>
      </c>
      <c r="BC7" s="341">
        <f t="shared" ref="BC7:BC70" si="31">IFERROR(BB7/AT7,"")</f>
        <v>0.99860684741940431</v>
      </c>
      <c r="BD7" s="346"/>
      <c r="BE7" s="376" t="str">
        <f>'Original Title I &amp; II'!AZ7</f>
        <v/>
      </c>
      <c r="BF7" s="243" t="str">
        <f t="shared" si="22"/>
        <v/>
      </c>
      <c r="BG7" s="263">
        <f t="shared" si="23"/>
        <v>114840.17781649619</v>
      </c>
      <c r="BI7" s="31">
        <f>IFERROR(VLOOKUP(A7,'Title II Hold Harmless'!A$1:B$439,2, FALSE),"")</f>
        <v>3337</v>
      </c>
      <c r="BJ7" s="31">
        <f t="shared" si="24"/>
        <v>4732.2054657062026</v>
      </c>
      <c r="BK7" s="31">
        <f t="shared" si="25"/>
        <v>4736.7833627502032</v>
      </c>
      <c r="BL7" s="31" t="str">
        <f t="shared" ref="BL7:BL16" si="32">IF(BE7&lt;0,BK7*BE7/100,"")</f>
        <v/>
      </c>
      <c r="BM7" s="31">
        <f t="shared" ref="BM7:BM16" si="33">IF(BL7&lt;0,BK7+BL7,BK7)</f>
        <v>4736.7833627502032</v>
      </c>
      <c r="BN7" s="200"/>
      <c r="BP7" s="295" t="s">
        <v>1447</v>
      </c>
      <c r="BQ7" s="296" t="str">
        <f t="shared" ref="BQ7:BQ70" si="34">IF(OR(BP7="y",BP7="n"),"Y","N")</f>
        <v>Y</v>
      </c>
      <c r="BR7" s="297" t="s">
        <v>1448</v>
      </c>
      <c r="BT7" s="295" t="str">
        <f t="shared" ref="BT7:BT70" si="35">IF(AND(S7&gt;=10,T7&gt;0.02),"Y","N")</f>
        <v>Y</v>
      </c>
      <c r="BU7" s="296" t="str">
        <f t="shared" si="26"/>
        <v>Y</v>
      </c>
      <c r="BV7" s="296" t="str">
        <f t="shared" si="27"/>
        <v>Y</v>
      </c>
      <c r="BW7" s="297" t="str">
        <f t="shared" ref="BW7:BW66" si="36">BV7</f>
        <v>Y</v>
      </c>
      <c r="BY7" s="352">
        <f t="shared" ref="BY7:BY70" si="37">IF(BT7="NA","NA",IF($T7&lt;0.15,0.85,0))</f>
        <v>0</v>
      </c>
      <c r="BZ7" s="353">
        <f t="shared" ref="BZ7:BZ70" si="38">IF(BT7="NA","NA",IF(AND($T7&gt;=0.15,$T7&lt;0.3),0.9,0))</f>
        <v>0</v>
      </c>
      <c r="CA7" s="353">
        <f t="shared" ref="CA7:CA70" si="39">IF(BT7="NA","NA",IF($T7&gt;=0.3,0.95,0))</f>
        <v>0.95</v>
      </c>
      <c r="CB7" s="354">
        <f t="shared" ref="CB7:CB70" si="40">IF(BY7="NA","NA",MAX(BY7:CA7))</f>
        <v>0.95</v>
      </c>
      <c r="CD7" s="311">
        <f>CD6+1</f>
        <v>2</v>
      </c>
    </row>
    <row r="8" spans="1:82" outlineLevel="1" x14ac:dyDescent="0.3">
      <c r="A8" s="1">
        <v>10306000</v>
      </c>
      <c r="B8" s="47">
        <f>VLOOKUP(C8,'NCES ID'!$A$2:$B$3136,2,FALSE)</f>
        <v>402190</v>
      </c>
      <c r="C8" s="47">
        <f>VLOOKUP(A8,'State ID'!$A$2:$B$713,2,FALSE)</f>
        <v>4160</v>
      </c>
      <c r="D8" s="147" t="s">
        <v>112</v>
      </c>
      <c r="E8" s="47" t="s">
        <v>103</v>
      </c>
      <c r="F8" s="382">
        <f>IFERROR(VLOOKUP($B8,'update_Formula counts'!$D$7:$R$234,'update_Formula counts'!F$5,0),0)</f>
        <v>110</v>
      </c>
      <c r="G8" s="382">
        <f>IFERROR(VLOOKUP($B8,'update_Formula counts'!$D$7:$R$234,'update_Formula counts'!G$5,0),0)</f>
        <v>0</v>
      </c>
      <c r="H8" s="382">
        <f>IFERROR(VLOOKUP($B8,'update_Formula counts'!$D$7:$R$234,'update_Formula counts'!H$5,0),0)</f>
        <v>0</v>
      </c>
      <c r="I8" s="382">
        <f>IFERROR(VLOOKUP($B8,'update_Formula counts'!$D$7:$R$234,'update_Formula counts'!I$5,0),0)</f>
        <v>1</v>
      </c>
      <c r="J8" s="382">
        <f>IFERROR(VLOOKUP($B8,'update_Formula counts'!$D$7:$R$234,'update_Formula counts'!J$5,0),0)</f>
        <v>0</v>
      </c>
      <c r="K8" s="382">
        <f t="shared" si="3"/>
        <v>110</v>
      </c>
      <c r="L8" s="444">
        <f>IFERROR(VLOOKUP($B8,'update_Formula counts'!$D$7:$R$234,'update_Formula counts'!L$5,0),0)</f>
        <v>291</v>
      </c>
      <c r="M8" s="445">
        <f>IFERROR(VLOOKUP($B8,'update_Formula counts'!$D$7:$R$234,'update_Formula counts'!K$5,0),0)</f>
        <v>111</v>
      </c>
      <c r="N8" s="446">
        <f>IFERROR(VLOOKUP($B8,'update_Formula counts'!$D$7:$R$234,'update_Formula counts'!M$5,0),0)</f>
        <v>0.38144329896907214</v>
      </c>
      <c r="O8" s="137">
        <f>VLOOKUP($C8,'Final SEA Counts'!$A$2:$F$709,5,FALSE)</f>
        <v>165</v>
      </c>
      <c r="P8" s="208">
        <f>VLOOKUP($C8,'Final SEA Counts'!$A$2:$F$709,6,FALSE)</f>
        <v>159</v>
      </c>
      <c r="Q8" s="748">
        <f t="shared" si="4"/>
        <v>-0.34390708183280183</v>
      </c>
      <c r="R8" s="444">
        <f t="shared" si="5"/>
        <v>290.14246147763089</v>
      </c>
      <c r="S8" s="445">
        <f t="shared" si="6"/>
        <v>110.6560929181672</v>
      </c>
      <c r="T8" s="229">
        <f t="shared" si="7"/>
        <v>0.3813853799772029</v>
      </c>
      <c r="U8" s="261">
        <f>VLOOKUP($B8,update_Allocation!$D$8:$Q$235,update_Allocation!K$239,0)</f>
        <v>61779.25121484499</v>
      </c>
      <c r="V8" s="262">
        <f>VLOOKUP($B8,update_Allocation!$D$8:$Q$235,update_Allocation!L$239,0)</f>
        <v>14639.167460753433</v>
      </c>
      <c r="W8" s="262">
        <f>VLOOKUP($B8,update_Allocation!$D$8:$Q$235,update_Allocation!M$239,0)</f>
        <v>39788.497861566007</v>
      </c>
      <c r="X8" s="262">
        <f>VLOOKUP($B8,update_Allocation!$D$8:$Q$235,update_Allocation!N$239,0)</f>
        <v>35474.549867531248</v>
      </c>
      <c r="Y8" s="263">
        <f>VLOOKUP($B8,update_Allocation!$D$8:$Q$235,update_Allocation!O$239,0)</f>
        <v>151681.46640469568</v>
      </c>
      <c r="Z8" s="262">
        <f t="shared" si="8"/>
        <v>61588.045843148371</v>
      </c>
      <c r="AA8" s="262">
        <f t="shared" si="9"/>
        <v>14593.859571767725</v>
      </c>
      <c r="AB8" s="262">
        <f t="shared" si="10"/>
        <v>39665.353369308992</v>
      </c>
      <c r="AC8" s="263">
        <f t="shared" si="11"/>
        <v>35364.756945800887</v>
      </c>
      <c r="AD8" s="262">
        <f t="shared" si="12"/>
        <v>61588.045843148371</v>
      </c>
      <c r="AE8" s="262">
        <f t="shared" si="13"/>
        <v>14593.859571767725</v>
      </c>
      <c r="AF8" s="262">
        <f t="shared" si="14"/>
        <v>39665.353369308992</v>
      </c>
      <c r="AG8" s="263">
        <f t="shared" si="15"/>
        <v>35364.756945800887</v>
      </c>
      <c r="AH8" s="262">
        <f t="shared" si="16"/>
        <v>61588.045843148371</v>
      </c>
      <c r="AI8" s="262">
        <f t="shared" si="16"/>
        <v>14593.859571767725</v>
      </c>
      <c r="AJ8" s="262">
        <f t="shared" si="16"/>
        <v>39665.353369308992</v>
      </c>
      <c r="AK8" s="262">
        <f t="shared" si="16"/>
        <v>35364.756945800887</v>
      </c>
      <c r="AL8" s="263">
        <f t="shared" si="17"/>
        <v>151212.01573002597</v>
      </c>
      <c r="AM8" s="346"/>
      <c r="AN8" s="261">
        <f>IFERROR(VLOOKUP($A8,'HH &amp; SI'!$B$4:$Z$494,'HH &amp; SI'!V$503,0),0)</f>
        <v>60747.944923285162</v>
      </c>
      <c r="AO8" s="262">
        <f>IFERROR(VLOOKUP($A8,'HH &amp; SI'!$B$4:$Z$494,'HH &amp; SI'!W$503,0),0)</f>
        <v>14134.031371430174</v>
      </c>
      <c r="AP8" s="262">
        <f>IFERROR(VLOOKUP($A8,'HH &amp; SI'!$B$4:$Z$494,'HH &amp; SI'!X$503,0),0)</f>
        <v>39304.612467166793</v>
      </c>
      <c r="AQ8" s="262">
        <f>IFERROR(VLOOKUP($A8,'HH &amp; SI'!$B$4:$Z$494,'HH &amp; SI'!Y$503,0),0)</f>
        <v>34975.100984072502</v>
      </c>
      <c r="AR8" s="263">
        <f t="shared" si="29"/>
        <v>149161.68974595465</v>
      </c>
      <c r="AS8" s="346"/>
      <c r="AT8" s="323">
        <f>IFERROR(VLOOKUP(A8,'Afton FY16 Final'!$A$5:$BV$572,'Afton FY16 Final'!$BV$587,0),0)</f>
        <v>138202.87468545447</v>
      </c>
      <c r="AU8" s="346"/>
      <c r="AV8" s="444">
        <v>0</v>
      </c>
      <c r="AW8" s="262">
        <f>IFERROR(VLOOKUP($A8,'HH &amp; SI'!$B$4:$EY$503,'HH &amp; SI'!EX$503,0),0)</f>
        <v>8355.0087875540776</v>
      </c>
      <c r="AX8" s="262">
        <f>IFERROR(VLOOKUP($A8,'HH &amp; SI'!$B$4:$EY$503,'HH &amp; SI'!EY$503,0),0)</f>
        <v>140806.68095840057</v>
      </c>
      <c r="AY8" s="262">
        <f>AX8/$AX$582*'update_State Admin 1004(b)'!$B$30*0.01</f>
        <v>1347.6210878573529</v>
      </c>
      <c r="AZ8" s="263">
        <f t="shared" si="30"/>
        <v>139459.05987054322</v>
      </c>
      <c r="BA8" s="261">
        <f t="shared" si="20"/>
        <v>1394.5905987054323</v>
      </c>
      <c r="BB8" s="262">
        <f t="shared" si="21"/>
        <v>138064.46927183779</v>
      </c>
      <c r="BC8" s="341">
        <f t="shared" si="31"/>
        <v>0.99899853448105413</v>
      </c>
      <c r="BD8" s="346"/>
      <c r="BE8" s="376" t="str">
        <f>'Original Title I &amp; II'!AZ8</f>
        <v/>
      </c>
      <c r="BF8" s="243" t="str">
        <f t="shared" si="22"/>
        <v/>
      </c>
      <c r="BG8" s="263">
        <f t="shared" si="23"/>
        <v>138064.46927183779</v>
      </c>
      <c r="BI8" s="31">
        <f>IFERROR(VLOOKUP(A8,'Title II Hold Harmless'!A$1:B$439,2, FALSE),"")</f>
        <v>7633</v>
      </c>
      <c r="BJ8" s="31">
        <f t="shared" si="24"/>
        <v>9315.0935734327868</v>
      </c>
      <c r="BK8" s="31">
        <f t="shared" si="25"/>
        <v>9324.1049191242273</v>
      </c>
      <c r="BL8" s="31" t="str">
        <f t="shared" si="32"/>
        <v/>
      </c>
      <c r="BM8" s="31">
        <f t="shared" si="33"/>
        <v>9324.1049191242273</v>
      </c>
      <c r="BN8" s="200"/>
      <c r="BP8" s="295" t="s">
        <v>1447</v>
      </c>
      <c r="BQ8" s="296" t="str">
        <f t="shared" si="34"/>
        <v>Y</v>
      </c>
      <c r="BR8" s="297" t="s">
        <v>1448</v>
      </c>
      <c r="BT8" s="295" t="str">
        <f t="shared" si="35"/>
        <v>Y</v>
      </c>
      <c r="BU8" s="296" t="str">
        <f t="shared" si="26"/>
        <v>Y</v>
      </c>
      <c r="BV8" s="296" t="str">
        <f t="shared" si="27"/>
        <v>Y</v>
      </c>
      <c r="BW8" s="297" t="str">
        <f t="shared" si="36"/>
        <v>Y</v>
      </c>
      <c r="BY8" s="352">
        <f t="shared" si="37"/>
        <v>0</v>
      </c>
      <c r="BZ8" s="353">
        <f t="shared" si="38"/>
        <v>0</v>
      </c>
      <c r="CA8" s="353">
        <f t="shared" si="39"/>
        <v>0.95</v>
      </c>
      <c r="CB8" s="354">
        <f t="shared" si="40"/>
        <v>0.95</v>
      </c>
      <c r="CD8" s="311">
        <f t="shared" ref="CD8:CD71" si="41">CD7+1</f>
        <v>3</v>
      </c>
    </row>
    <row r="9" spans="1:82" outlineLevel="1" x14ac:dyDescent="0.3">
      <c r="A9" s="1">
        <v>10201000</v>
      </c>
      <c r="B9" s="47">
        <f>VLOOKUP(C9,'NCES ID'!$A$2:$B$3136,2,FALSE)</f>
        <v>408080</v>
      </c>
      <c r="C9" s="47">
        <f>VLOOKUP(A9,'State ID'!$A$2:$B$713,2,FALSE)</f>
        <v>4153</v>
      </c>
      <c r="D9" s="147" t="s">
        <v>398</v>
      </c>
      <c r="E9" s="47" t="s">
        <v>103</v>
      </c>
      <c r="F9" s="382">
        <f>IFERROR(VLOOKUP($B9,'update_Formula counts'!$D$7:$R$234,'update_Formula counts'!F$5,0),0)</f>
        <v>253</v>
      </c>
      <c r="G9" s="382">
        <f>IFERROR(VLOOKUP($B9,'update_Formula counts'!$D$7:$R$234,'update_Formula counts'!G$5,0),0)</f>
        <v>0</v>
      </c>
      <c r="H9" s="382">
        <f>IFERROR(VLOOKUP($B9,'update_Formula counts'!$D$7:$R$234,'update_Formula counts'!H$5,0),0)</f>
        <v>0</v>
      </c>
      <c r="I9" s="382">
        <f>IFERROR(VLOOKUP($B9,'update_Formula counts'!$D$7:$R$234,'update_Formula counts'!I$5,0),0)</f>
        <v>2</v>
      </c>
      <c r="J9" s="382">
        <f>IFERROR(VLOOKUP($B9,'update_Formula counts'!$D$7:$R$234,'update_Formula counts'!J$5,0),0)</f>
        <v>0</v>
      </c>
      <c r="K9" s="382">
        <f t="shared" si="3"/>
        <v>253</v>
      </c>
      <c r="L9" s="444">
        <f>IFERROR(VLOOKUP($B9,'update_Formula counts'!$D$7:$R$234,'update_Formula counts'!L$5,0),0)</f>
        <v>830</v>
      </c>
      <c r="M9" s="445">
        <f>IFERROR(VLOOKUP($B9,'update_Formula counts'!$D$7:$R$234,'update_Formula counts'!K$5,0),0)</f>
        <v>255</v>
      </c>
      <c r="N9" s="446">
        <f>IFERROR(VLOOKUP($B9,'update_Formula counts'!$D$7:$R$234,'update_Formula counts'!M$5,0),0)</f>
        <v>0.30722891566265059</v>
      </c>
      <c r="O9" s="137">
        <f>VLOOKUP($C9,'Final SEA Counts'!$A$2:$F$709,5,FALSE)</f>
        <v>746</v>
      </c>
      <c r="P9" s="208">
        <f>VLOOKUP($C9,'Final SEA Counts'!$A$2:$F$709,6,FALSE)</f>
        <v>387</v>
      </c>
      <c r="Q9" s="748">
        <f t="shared" si="4"/>
        <v>-0.79098628821544414</v>
      </c>
      <c r="R9" s="444">
        <f t="shared" si="5"/>
        <v>827.55409974719464</v>
      </c>
      <c r="S9" s="445">
        <f t="shared" si="6"/>
        <v>254.20901371178456</v>
      </c>
      <c r="T9" s="229">
        <f t="shared" si="7"/>
        <v>0.30718114234397681</v>
      </c>
      <c r="U9" s="261">
        <f>VLOOKUP($B9,update_Allocation!$D$8:$Q$235,update_Allocation!K$239,0)</f>
        <v>126625.5574545405</v>
      </c>
      <c r="V9" s="262">
        <f>VLOOKUP($B9,update_Allocation!$D$8:$Q$235,update_Allocation!L$239,0)</f>
        <v>30005.102100409513</v>
      </c>
      <c r="W9" s="262">
        <f>VLOOKUP($B9,update_Allocation!$D$8:$Q$235,update_Allocation!M$239,0)</f>
        <v>62402.728069999765</v>
      </c>
      <c r="X9" s="262">
        <f>VLOOKUP($B9,update_Allocation!$D$8:$Q$235,update_Allocation!N$239,0)</f>
        <v>49079.935689503131</v>
      </c>
      <c r="Y9" s="263">
        <f>VLOOKUP($B9,update_Allocation!$D$8:$Q$235,update_Allocation!O$239,0)</f>
        <v>268113.32331445295</v>
      </c>
      <c r="Z9" s="262">
        <f t="shared" si="8"/>
        <v>126233.65424588573</v>
      </c>
      <c r="AA9" s="262">
        <f t="shared" si="9"/>
        <v>29912.236994616109</v>
      </c>
      <c r="AB9" s="262">
        <f t="shared" si="10"/>
        <v>62209.593051674383</v>
      </c>
      <c r="AC9" s="263">
        <f t="shared" si="11"/>
        <v>48928.034409351283</v>
      </c>
      <c r="AD9" s="262">
        <f t="shared" si="12"/>
        <v>126233.65424588573</v>
      </c>
      <c r="AE9" s="262">
        <f t="shared" si="13"/>
        <v>29912.236994616109</v>
      </c>
      <c r="AF9" s="262">
        <f t="shared" si="14"/>
        <v>62209.593051674383</v>
      </c>
      <c r="AG9" s="263">
        <f t="shared" si="15"/>
        <v>48928.034409351283</v>
      </c>
      <c r="AH9" s="262">
        <f t="shared" si="16"/>
        <v>126233.65424588573</v>
      </c>
      <c r="AI9" s="262">
        <f t="shared" si="16"/>
        <v>29912.236994616109</v>
      </c>
      <c r="AJ9" s="262">
        <f t="shared" si="16"/>
        <v>62209.593051674383</v>
      </c>
      <c r="AK9" s="262">
        <f t="shared" si="16"/>
        <v>48928.034409351283</v>
      </c>
      <c r="AL9" s="263">
        <f t="shared" si="17"/>
        <v>267283.5187015275</v>
      </c>
      <c r="AM9" s="346"/>
      <c r="AN9" s="261">
        <f>IFERROR(VLOOKUP($A9,'HH &amp; SI'!$B$4:$Z$494,'HH &amp; SI'!V$503,0),0)</f>
        <v>124511.74526829376</v>
      </c>
      <c r="AO9" s="262">
        <f>IFERROR(VLOOKUP($A9,'HH &amp; SI'!$B$4:$Z$494,'HH &amp; SI'!W$503,0),0)</f>
        <v>28969.752243569634</v>
      </c>
      <c r="AP9" s="262">
        <f>IFERROR(VLOOKUP($A9,'HH &amp; SI'!$B$4:$Z$494,'HH &amp; SI'!X$503,0),0)</f>
        <v>61643.821091686637</v>
      </c>
      <c r="AQ9" s="262">
        <f>IFERROR(VLOOKUP($A9,'HH &amp; SI'!$B$4:$Z$494,'HH &amp; SI'!Y$503,0),0)</f>
        <v>48388.935545121167</v>
      </c>
      <c r="AR9" s="263">
        <f t="shared" si="29"/>
        <v>263514.25414867117</v>
      </c>
      <c r="AS9" s="346"/>
      <c r="AT9" s="323">
        <f>IFERROR(VLOOKUP(A9,'Afton FY16 Final'!$A$5:$BV$572,'Afton FY16 Final'!$BV$587,0),0)</f>
        <v>244532.05583422331</v>
      </c>
      <c r="AU9" s="346"/>
      <c r="AV9" s="444">
        <v>0</v>
      </c>
      <c r="AW9" s="262">
        <f>IFERROR(VLOOKUP($A9,'HH &amp; SI'!$B$4:$EY$503,'HH &amp; SI'!EX$503,0),0)</f>
        <v>14760.250522823248</v>
      </c>
      <c r="AX9" s="262">
        <f>IFERROR(VLOOKUP($A9,'HH &amp; SI'!$B$4:$EY$503,'HH &amp; SI'!EY$503,0),0)</f>
        <v>248754.00362584792</v>
      </c>
      <c r="AY9" s="262">
        <f>AX9/$AX$582*'update_State Admin 1004(b)'!$B$30*0.01</f>
        <v>2380.7545117420609</v>
      </c>
      <c r="AZ9" s="263">
        <f t="shared" si="30"/>
        <v>246373.24911410586</v>
      </c>
      <c r="BA9" s="261">
        <f t="shared" si="20"/>
        <v>2463.7324911410587</v>
      </c>
      <c r="BB9" s="262">
        <f t="shared" si="21"/>
        <v>243909.51662296479</v>
      </c>
      <c r="BC9" s="341">
        <f t="shared" si="31"/>
        <v>0.99745416113591023</v>
      </c>
      <c r="BD9" s="346"/>
      <c r="BE9" s="376" t="str">
        <f>'Original Title I &amp; II'!AZ9</f>
        <v/>
      </c>
      <c r="BF9" s="243" t="str">
        <f t="shared" si="22"/>
        <v/>
      </c>
      <c r="BG9" s="263">
        <f t="shared" si="23"/>
        <v>243909.51662296479</v>
      </c>
      <c r="BI9" s="31">
        <f>IFERROR(VLOOKUP(A9,'Title II Hold Harmless'!A$1:B$439,2, FALSE),"")</f>
        <v>43358</v>
      </c>
      <c r="BJ9" s="31">
        <f t="shared" si="24"/>
        <v>47351.838138993939</v>
      </c>
      <c r="BK9" s="31">
        <f t="shared" si="25"/>
        <v>47397.645921731906</v>
      </c>
      <c r="BL9" s="31" t="str">
        <f t="shared" si="32"/>
        <v/>
      </c>
      <c r="BM9" s="31">
        <f t="shared" si="33"/>
        <v>47397.645921731906</v>
      </c>
      <c r="BN9" s="200"/>
      <c r="BP9" s="295" t="s">
        <v>1447</v>
      </c>
      <c r="BQ9" s="296" t="str">
        <f t="shared" si="34"/>
        <v>Y</v>
      </c>
      <c r="BR9" s="297" t="s">
        <v>1448</v>
      </c>
      <c r="BT9" s="295" t="str">
        <f t="shared" si="35"/>
        <v>Y</v>
      </c>
      <c r="BU9" s="296" t="str">
        <f t="shared" si="26"/>
        <v>Y</v>
      </c>
      <c r="BV9" s="296" t="str">
        <f t="shared" si="27"/>
        <v>Y</v>
      </c>
      <c r="BW9" s="297" t="str">
        <f t="shared" si="36"/>
        <v>Y</v>
      </c>
      <c r="BY9" s="352">
        <f t="shared" si="37"/>
        <v>0</v>
      </c>
      <c r="BZ9" s="353">
        <f t="shared" si="38"/>
        <v>0</v>
      </c>
      <c r="CA9" s="353">
        <f t="shared" si="39"/>
        <v>0.95</v>
      </c>
      <c r="CB9" s="354">
        <f t="shared" si="40"/>
        <v>0.95</v>
      </c>
      <c r="CD9" s="311">
        <f t="shared" si="41"/>
        <v>4</v>
      </c>
    </row>
    <row r="10" spans="1:82" outlineLevel="1" x14ac:dyDescent="0.3">
      <c r="A10" s="1">
        <v>10218000</v>
      </c>
      <c r="B10" s="47">
        <f>VLOOKUP(C10,'NCES ID'!$A$2:$B$3136,2,FALSE)</f>
        <v>406740</v>
      </c>
      <c r="C10" s="47">
        <f>VLOOKUP(A10,'State ID'!$A$2:$B$713,2,FALSE)</f>
        <v>4156</v>
      </c>
      <c r="D10" s="147" t="s">
        <v>374</v>
      </c>
      <c r="E10" s="47" t="s">
        <v>103</v>
      </c>
      <c r="F10" s="382">
        <f>IFERROR(VLOOKUP($B10,'update_Formula counts'!$D$7:$R$234,'update_Formula counts'!F$5,0),0)</f>
        <v>589</v>
      </c>
      <c r="G10" s="382">
        <f>IFERROR(VLOOKUP($B10,'update_Formula counts'!$D$7:$R$234,'update_Formula counts'!G$5,0),0)</f>
        <v>0</v>
      </c>
      <c r="H10" s="382">
        <f>IFERROR(VLOOKUP($B10,'update_Formula counts'!$D$7:$R$234,'update_Formula counts'!H$5,0),0)</f>
        <v>0</v>
      </c>
      <c r="I10" s="382">
        <f>IFERROR(VLOOKUP($B10,'update_Formula counts'!$D$7:$R$234,'update_Formula counts'!I$5,0),0)</f>
        <v>4</v>
      </c>
      <c r="J10" s="382">
        <f>IFERROR(VLOOKUP($B10,'update_Formula counts'!$D$7:$R$234,'update_Formula counts'!J$5,0),0)</f>
        <v>0</v>
      </c>
      <c r="K10" s="382">
        <f t="shared" si="3"/>
        <v>589</v>
      </c>
      <c r="L10" s="444">
        <f>IFERROR(VLOOKUP($B10,'update_Formula counts'!$D$7:$R$234,'update_Formula counts'!L$5,0),0)</f>
        <v>1356</v>
      </c>
      <c r="M10" s="445">
        <f>IFERROR(VLOOKUP($B10,'update_Formula counts'!$D$7:$R$234,'update_Formula counts'!K$5,0),0)</f>
        <v>593</v>
      </c>
      <c r="N10" s="446">
        <f>IFERROR(VLOOKUP($B10,'update_Formula counts'!$D$7:$R$234,'update_Formula counts'!M$5,0),0)</f>
        <v>0.43731563421828906</v>
      </c>
      <c r="O10" s="137">
        <f>VLOOKUP($C10,'Final SEA Counts'!$A$2:$F$709,5,FALSE)</f>
        <v>676</v>
      </c>
      <c r="P10" s="208">
        <f>VLOOKUP($C10,'Final SEA Counts'!$A$2:$F$709,6,FALSE)</f>
        <v>650</v>
      </c>
      <c r="Q10" s="748">
        <f t="shared" si="4"/>
        <v>-1.8414661018138208</v>
      </c>
      <c r="R10" s="444">
        <f t="shared" si="5"/>
        <v>1352.0040472978264</v>
      </c>
      <c r="S10" s="445">
        <f t="shared" si="6"/>
        <v>591.15853389818619</v>
      </c>
      <c r="T10" s="229">
        <f t="shared" si="7"/>
        <v>0.43724612739118729</v>
      </c>
      <c r="U10" s="261">
        <f>VLOOKUP($B10,update_Allocation!$D$8:$Q$235,update_Allocation!K$239,0)</f>
        <v>317221.11971310474</v>
      </c>
      <c r="V10" s="262">
        <f>VLOOKUP($B10,update_Allocation!$D$8:$Q$235,update_Allocation!L$239,0)</f>
        <v>79443.213236367999</v>
      </c>
      <c r="W10" s="262">
        <f>VLOOKUP($B10,update_Allocation!$D$8:$Q$235,update_Allocation!M$239,0)</f>
        <v>217554.60305842335</v>
      </c>
      <c r="X10" s="262">
        <f>VLOOKUP($B10,update_Allocation!$D$8:$Q$235,update_Allocation!N$239,0)</f>
        <v>231049.85023170948</v>
      </c>
      <c r="Y10" s="263">
        <f>VLOOKUP($B10,update_Allocation!$D$8:$Q$235,update_Allocation!O$239,0)</f>
        <v>845268.78623960563</v>
      </c>
      <c r="Z10" s="262">
        <f t="shared" si="8"/>
        <v>316239.32759176893</v>
      </c>
      <c r="AA10" s="262">
        <f t="shared" si="9"/>
        <v>79197.338305595389</v>
      </c>
      <c r="AB10" s="262">
        <f t="shared" si="10"/>
        <v>216881.27653011313</v>
      </c>
      <c r="AC10" s="263">
        <f t="shared" si="11"/>
        <v>230334.75622158029</v>
      </c>
      <c r="AD10" s="262">
        <f t="shared" si="12"/>
        <v>316239.32759176893</v>
      </c>
      <c r="AE10" s="262">
        <f t="shared" si="13"/>
        <v>79197.338305595389</v>
      </c>
      <c r="AF10" s="262">
        <f t="shared" si="14"/>
        <v>216881.27653011313</v>
      </c>
      <c r="AG10" s="263">
        <f t="shared" si="15"/>
        <v>230334.75622158029</v>
      </c>
      <c r="AH10" s="262">
        <f t="shared" si="16"/>
        <v>316239.32759176893</v>
      </c>
      <c r="AI10" s="262">
        <f t="shared" si="16"/>
        <v>79197.338305595389</v>
      </c>
      <c r="AJ10" s="262">
        <f t="shared" si="16"/>
        <v>216881.27653011313</v>
      </c>
      <c r="AK10" s="262">
        <f t="shared" si="16"/>
        <v>230334.75622158029</v>
      </c>
      <c r="AL10" s="263">
        <f t="shared" si="17"/>
        <v>842652.69864905777</v>
      </c>
      <c r="AM10" s="346"/>
      <c r="AN10" s="261">
        <f>IFERROR(VLOOKUP($A10,'HH &amp; SI'!$B$4:$Z$494,'HH &amp; SI'!V$503,0),0)</f>
        <v>311925.61790396064</v>
      </c>
      <c r="AO10" s="262">
        <f>IFERROR(VLOOKUP($A10,'HH &amp; SI'!$B$4:$Z$494,'HH &amp; SI'!W$503,0),0)</f>
        <v>78705.87736863397</v>
      </c>
      <c r="AP10" s="262">
        <f>IFERROR(VLOOKUP($A10,'HH &amp; SI'!$B$4:$Z$494,'HH &amp; SI'!X$503,0),0)</f>
        <v>214908.82599816445</v>
      </c>
      <c r="AQ10" s="262">
        <f>IFERROR(VLOOKUP($A10,'HH &amp; SI'!$B$4:$Z$494,'HH &amp; SI'!Y$503,0),0)</f>
        <v>228905.4084994304</v>
      </c>
      <c r="AR10" s="263">
        <f t="shared" si="29"/>
        <v>834445.7297701895</v>
      </c>
      <c r="AS10" s="346"/>
      <c r="AT10" s="323">
        <f>IFERROR(VLOOKUP(A10,'Afton FY16 Final'!$A$5:$BV$572,'Afton FY16 Final'!$BV$587,0),0)</f>
        <v>859636.11465812591</v>
      </c>
      <c r="AU10" s="346"/>
      <c r="AV10" s="444">
        <v>0</v>
      </c>
      <c r="AW10" s="262">
        <f>IFERROR(VLOOKUP($A10,'HH &amp; SI'!$B$4:$EY$503,'HH &amp; SI'!EX$503,0),0)</f>
        <v>0</v>
      </c>
      <c r="AX10" s="262">
        <f>IFERROR(VLOOKUP($A10,'HH &amp; SI'!$B$4:$EY$503,'HH &amp; SI'!EY$503,0),0)</f>
        <v>834445.7297701895</v>
      </c>
      <c r="AY10" s="262">
        <f>AX10/$AX$582*'update_State Admin 1004(b)'!$B$30*0.01</f>
        <v>7986.2450734354643</v>
      </c>
      <c r="AZ10" s="263">
        <f t="shared" si="30"/>
        <v>826459.48469675402</v>
      </c>
      <c r="BA10" s="261">
        <f t="shared" si="20"/>
        <v>8264.5948469675404</v>
      </c>
      <c r="BB10" s="262">
        <f t="shared" si="21"/>
        <v>818194.88984978653</v>
      </c>
      <c r="BC10" s="341">
        <f t="shared" si="31"/>
        <v>0.95179213145922748</v>
      </c>
      <c r="BD10" s="346"/>
      <c r="BE10" s="376" t="str">
        <f>'Original Title I &amp; II'!AZ10</f>
        <v/>
      </c>
      <c r="BF10" s="243" t="str">
        <f t="shared" si="22"/>
        <v/>
      </c>
      <c r="BG10" s="263">
        <f t="shared" si="23"/>
        <v>818194.88984978653</v>
      </c>
      <c r="BI10" s="31">
        <f>IFERROR(VLOOKUP(A10,'Title II Hold Harmless'!A$1:B$439,2, FALSE),"")</f>
        <v>73187</v>
      </c>
      <c r="BJ10" s="31">
        <f t="shared" si="24"/>
        <v>82013.885221334698</v>
      </c>
      <c r="BK10" s="31">
        <f t="shared" si="25"/>
        <v>82093.22478624637</v>
      </c>
      <c r="BL10" s="31" t="str">
        <f t="shared" si="32"/>
        <v/>
      </c>
      <c r="BM10" s="31">
        <f t="shared" si="33"/>
        <v>82093.22478624637</v>
      </c>
      <c r="BN10" s="200"/>
      <c r="BP10" s="295" t="s">
        <v>1447</v>
      </c>
      <c r="BQ10" s="296" t="str">
        <f t="shared" si="34"/>
        <v>Y</v>
      </c>
      <c r="BR10" s="297" t="s">
        <v>1448</v>
      </c>
      <c r="BT10" s="295" t="str">
        <f t="shared" si="35"/>
        <v>Y</v>
      </c>
      <c r="BU10" s="296" t="str">
        <f t="shared" si="26"/>
        <v>Y</v>
      </c>
      <c r="BV10" s="296" t="str">
        <f t="shared" si="27"/>
        <v>Y</v>
      </c>
      <c r="BW10" s="297" t="str">
        <f t="shared" si="36"/>
        <v>Y</v>
      </c>
      <c r="BY10" s="352">
        <f t="shared" si="37"/>
        <v>0</v>
      </c>
      <c r="BZ10" s="353">
        <f t="shared" si="38"/>
        <v>0</v>
      </c>
      <c r="CA10" s="353">
        <f t="shared" si="39"/>
        <v>0.95</v>
      </c>
      <c r="CB10" s="354">
        <f t="shared" si="40"/>
        <v>0.95</v>
      </c>
      <c r="CD10" s="311">
        <f t="shared" si="41"/>
        <v>5</v>
      </c>
    </row>
    <row r="11" spans="1:82" outlineLevel="1" x14ac:dyDescent="0.3">
      <c r="A11" s="1">
        <v>10210000</v>
      </c>
      <c r="B11" s="47">
        <f>VLOOKUP(C11,'NCES ID'!$A$2:$B$3136,2,FALSE)</f>
        <v>407130</v>
      </c>
      <c r="C11" s="47">
        <f>VLOOKUP(A11,'State ID'!$A$2:$B$713,2,FALSE)</f>
        <v>4155</v>
      </c>
      <c r="D11" s="147" t="s">
        <v>362</v>
      </c>
      <c r="E11" s="47" t="s">
        <v>103</v>
      </c>
      <c r="F11" s="382">
        <f>IFERROR(VLOOKUP($B11,'update_Formula counts'!$D$7:$R$234,'update_Formula counts'!F$5,0),0)</f>
        <v>372</v>
      </c>
      <c r="G11" s="382">
        <f>IFERROR(VLOOKUP($B11,'update_Formula counts'!$D$7:$R$234,'update_Formula counts'!G$5,0),0)</f>
        <v>0</v>
      </c>
      <c r="H11" s="382">
        <f>IFERROR(VLOOKUP($B11,'update_Formula counts'!$D$7:$R$234,'update_Formula counts'!H$5,0),0)</f>
        <v>0</v>
      </c>
      <c r="I11" s="382">
        <f>IFERROR(VLOOKUP($B11,'update_Formula counts'!$D$7:$R$234,'update_Formula counts'!I$5,0),0)</f>
        <v>2</v>
      </c>
      <c r="J11" s="382">
        <f>IFERROR(VLOOKUP($B11,'update_Formula counts'!$D$7:$R$234,'update_Formula counts'!J$5,0),0)</f>
        <v>0</v>
      </c>
      <c r="K11" s="382">
        <f t="shared" si="3"/>
        <v>372</v>
      </c>
      <c r="L11" s="444">
        <f>IFERROR(VLOOKUP($B11,'update_Formula counts'!$D$7:$R$234,'update_Formula counts'!L$5,0),0)</f>
        <v>1477</v>
      </c>
      <c r="M11" s="445">
        <f>IFERROR(VLOOKUP($B11,'update_Formula counts'!$D$7:$R$234,'update_Formula counts'!K$5,0),0)</f>
        <v>374</v>
      </c>
      <c r="N11" s="446">
        <f>IFERROR(VLOOKUP($B11,'update_Formula counts'!$D$7:$R$234,'update_Formula counts'!M$5,0),0)</f>
        <v>0.25321597833446174</v>
      </c>
      <c r="O11" s="137">
        <f>VLOOKUP($C11,'Final SEA Counts'!$A$2:$F$709,5,FALSE)</f>
        <v>1228</v>
      </c>
      <c r="P11" s="208">
        <f>VLOOKUP($C11,'Final SEA Counts'!$A$2:$F$709,6,FALSE)</f>
        <v>569</v>
      </c>
      <c r="Q11" s="748">
        <f t="shared" si="4"/>
        <v>-1.1630312221982024</v>
      </c>
      <c r="R11" s="444">
        <f t="shared" si="5"/>
        <v>1472.6474762971163</v>
      </c>
      <c r="S11" s="445">
        <f t="shared" si="6"/>
        <v>372.83696877780181</v>
      </c>
      <c r="T11" s="229">
        <f t="shared" si="7"/>
        <v>0.25317462242578109</v>
      </c>
      <c r="U11" s="261">
        <f>VLOOKUP($B11,update_Allocation!$D$8:$Q$235,update_Allocation!K$239,0)</f>
        <v>183469.84795270878</v>
      </c>
      <c r="V11" s="262">
        <f>VLOOKUP($B11,update_Allocation!$D$8:$Q$235,update_Allocation!L$239,0)</f>
        <v>43474.88477706397</v>
      </c>
      <c r="W11" s="262">
        <f>VLOOKUP($B11,update_Allocation!$D$8:$Q$235,update_Allocation!M$239,0)</f>
        <v>77968.603254004309</v>
      </c>
      <c r="X11" s="262">
        <f>VLOOKUP($B11,update_Allocation!$D$8:$Q$235,update_Allocation!N$239,0)</f>
        <v>57250.776916379749</v>
      </c>
      <c r="Y11" s="263">
        <f>VLOOKUP($B11,update_Allocation!$D$8:$Q$235,update_Allocation!O$239,0)</f>
        <v>362164.11290015682</v>
      </c>
      <c r="Z11" s="262">
        <f t="shared" si="8"/>
        <v>182902.01296307895</v>
      </c>
      <c r="AA11" s="262">
        <f t="shared" si="9"/>
        <v>43340.331001487153</v>
      </c>
      <c r="AB11" s="262">
        <f t="shared" si="10"/>
        <v>77727.292207452396</v>
      </c>
      <c r="AC11" s="263">
        <f t="shared" si="11"/>
        <v>57073.587069223002</v>
      </c>
      <c r="AD11" s="262">
        <f t="shared" si="12"/>
        <v>182902.01296307895</v>
      </c>
      <c r="AE11" s="262">
        <f t="shared" si="13"/>
        <v>43340.331001487153</v>
      </c>
      <c r="AF11" s="262">
        <f t="shared" si="14"/>
        <v>77727.292207452396</v>
      </c>
      <c r="AG11" s="263">
        <f t="shared" si="15"/>
        <v>57073.587069223002</v>
      </c>
      <c r="AH11" s="262">
        <f t="shared" si="16"/>
        <v>182902.01296307895</v>
      </c>
      <c r="AI11" s="262">
        <f t="shared" si="16"/>
        <v>43340.331001487153</v>
      </c>
      <c r="AJ11" s="262">
        <f t="shared" si="16"/>
        <v>77727.292207452396</v>
      </c>
      <c r="AK11" s="262">
        <f t="shared" si="16"/>
        <v>57073.587069223002</v>
      </c>
      <c r="AL11" s="263">
        <f t="shared" si="17"/>
        <v>361043.22324124147</v>
      </c>
      <c r="AM11" s="346"/>
      <c r="AN11" s="261">
        <f>IFERROR(VLOOKUP($A11,'HH &amp; SI'!$B$4:$Z$494,'HH &amp; SI'!V$503,0),0)</f>
        <v>180407.11079121192</v>
      </c>
      <c r="AO11" s="262">
        <f>IFERROR(VLOOKUP($A11,'HH &amp; SI'!$B$4:$Z$494,'HH &amp; SI'!W$503,0),0)</f>
        <v>41974.749380775858</v>
      </c>
      <c r="AP11" s="262">
        <f>IFERROR(VLOOKUP($A11,'HH &amp; SI'!$B$4:$Z$494,'HH &amp; SI'!X$503,0),0)</f>
        <v>77020.392832299418</v>
      </c>
      <c r="AQ11" s="262">
        <f>IFERROR(VLOOKUP($A11,'HH &amp; SI'!$B$4:$Z$494,'HH &amp; SI'!Y$503,0),0)</f>
        <v>56444.738877424883</v>
      </c>
      <c r="AR11" s="263">
        <f t="shared" si="29"/>
        <v>355846.99188171211</v>
      </c>
      <c r="AS11" s="346"/>
      <c r="AT11" s="323">
        <f>IFERROR(VLOOKUP(A11,'Afton FY16 Final'!$A$5:$BV$572,'Afton FY16 Final'!$BV$587,0),0)</f>
        <v>348226.39606514713</v>
      </c>
      <c r="AU11" s="346"/>
      <c r="AV11" s="444">
        <v>0</v>
      </c>
      <c r="AW11" s="262">
        <f>IFERROR(VLOOKUP($A11,'HH &amp; SI'!$B$4:$EY$503,'HH &amp; SI'!EX$503,0),0)</f>
        <v>7620.595816564979</v>
      </c>
      <c r="AX11" s="262">
        <f>IFERROR(VLOOKUP($A11,'HH &amp; SI'!$B$4:$EY$503,'HH &amp; SI'!EY$503,0),0)</f>
        <v>348226.39606514713</v>
      </c>
      <c r="AY11" s="262">
        <f>AX11/$AX$582*'update_State Admin 1004(b)'!$B$30*0.01</f>
        <v>3332.7767652203993</v>
      </c>
      <c r="AZ11" s="263">
        <f t="shared" si="30"/>
        <v>344893.61929992674</v>
      </c>
      <c r="BA11" s="261">
        <f t="shared" si="20"/>
        <v>3448.9361929992674</v>
      </c>
      <c r="BB11" s="262">
        <f t="shared" si="21"/>
        <v>341444.68310692749</v>
      </c>
      <c r="BC11" s="341">
        <f t="shared" si="31"/>
        <v>0.98052498881517614</v>
      </c>
      <c r="BD11" s="346"/>
      <c r="BE11" s="376" t="str">
        <f>'Original Title I &amp; II'!AZ11</f>
        <v/>
      </c>
      <c r="BF11" s="243" t="str">
        <f t="shared" si="22"/>
        <v/>
      </c>
      <c r="BG11" s="263">
        <f t="shared" si="23"/>
        <v>341444.68310692749</v>
      </c>
      <c r="BI11" s="31">
        <f>IFERROR(VLOOKUP(A11,'Title II Hold Harmless'!A$1:B$439,2, FALSE),"")</f>
        <v>46511</v>
      </c>
      <c r="BJ11" s="31">
        <f t="shared" si="24"/>
        <v>52576.954888607695</v>
      </c>
      <c r="BK11" s="31">
        <f t="shared" si="25"/>
        <v>52627.817406753071</v>
      </c>
      <c r="BL11" s="31" t="str">
        <f t="shared" si="32"/>
        <v/>
      </c>
      <c r="BM11" s="31">
        <f t="shared" si="33"/>
        <v>52627.817406753071</v>
      </c>
      <c r="BN11" s="200"/>
      <c r="BP11" s="295" t="s">
        <v>1447</v>
      </c>
      <c r="BQ11" s="296" t="str">
        <f t="shared" si="34"/>
        <v>Y</v>
      </c>
      <c r="BR11" s="297" t="s">
        <v>1448</v>
      </c>
      <c r="BT11" s="295" t="str">
        <f t="shared" si="35"/>
        <v>Y</v>
      </c>
      <c r="BU11" s="296" t="str">
        <f t="shared" si="26"/>
        <v>Y</v>
      </c>
      <c r="BV11" s="296" t="str">
        <f t="shared" si="27"/>
        <v>Y</v>
      </c>
      <c r="BW11" s="297" t="str">
        <f t="shared" si="36"/>
        <v>Y</v>
      </c>
      <c r="BY11" s="352">
        <f t="shared" si="37"/>
        <v>0</v>
      </c>
      <c r="BZ11" s="353">
        <f t="shared" si="38"/>
        <v>0.9</v>
      </c>
      <c r="CA11" s="353">
        <f t="shared" si="39"/>
        <v>0</v>
      </c>
      <c r="CB11" s="354">
        <f t="shared" si="40"/>
        <v>0.9</v>
      </c>
      <c r="CD11" s="311">
        <f t="shared" si="41"/>
        <v>6</v>
      </c>
    </row>
    <row r="12" spans="1:82" outlineLevel="1" x14ac:dyDescent="0.3">
      <c r="A12" s="1">
        <v>10220000</v>
      </c>
      <c r="B12" s="47">
        <f>VLOOKUP(C12,'NCES ID'!$A$2:$B$3136,2,FALSE)</f>
        <v>403290</v>
      </c>
      <c r="C12" s="47">
        <f>VLOOKUP(A12,'State ID'!$A$2:$B$713,2,FALSE)</f>
        <v>4157</v>
      </c>
      <c r="D12" s="147" t="s">
        <v>177</v>
      </c>
      <c r="E12" s="47" t="s">
        <v>103</v>
      </c>
      <c r="F12" s="382">
        <f>IFERROR(VLOOKUP($B12,'update_Formula counts'!$D$7:$R$234,'update_Formula counts'!F$5,0),0)</f>
        <v>661</v>
      </c>
      <c r="G12" s="382">
        <f>IFERROR(VLOOKUP($B12,'update_Formula counts'!$D$7:$R$234,'update_Formula counts'!G$5,0),0)</f>
        <v>3</v>
      </c>
      <c r="H12" s="382">
        <f>IFERROR(VLOOKUP($B12,'update_Formula counts'!$D$7:$R$234,'update_Formula counts'!H$5,0),0)</f>
        <v>0</v>
      </c>
      <c r="I12" s="382">
        <f>IFERROR(VLOOKUP($B12,'update_Formula counts'!$D$7:$R$234,'update_Formula counts'!I$5,0),0)</f>
        <v>4</v>
      </c>
      <c r="J12" s="382">
        <f>IFERROR(VLOOKUP($B12,'update_Formula counts'!$D$7:$R$234,'update_Formula counts'!J$5,0),0)</f>
        <v>0</v>
      </c>
      <c r="K12" s="382">
        <f t="shared" si="3"/>
        <v>664</v>
      </c>
      <c r="L12" s="444">
        <f>IFERROR(VLOOKUP($B12,'update_Formula counts'!$D$7:$R$234,'update_Formula counts'!L$5,0),0)</f>
        <v>1613</v>
      </c>
      <c r="M12" s="445">
        <f>IFERROR(VLOOKUP($B12,'update_Formula counts'!$D$7:$R$234,'update_Formula counts'!K$5,0),0)</f>
        <v>668</v>
      </c>
      <c r="N12" s="446">
        <f>IFERROR(VLOOKUP($B12,'update_Formula counts'!$D$7:$R$234,'update_Formula counts'!M$5,0),0)</f>
        <v>0.41413515189088657</v>
      </c>
      <c r="O12" s="137">
        <f>VLOOKUP($C12,'Final SEA Counts'!$A$2:$F$709,5,FALSE)</f>
        <v>1323</v>
      </c>
      <c r="P12" s="208">
        <f>VLOOKUP($C12,'Final SEA Counts'!$A$2:$F$709,6,FALSE)</f>
        <v>1321</v>
      </c>
      <c r="Q12" s="748">
        <f t="shared" si="4"/>
        <v>-2.0665689190134726</v>
      </c>
      <c r="R12" s="444">
        <f t="shared" si="5"/>
        <v>1608.2467022797891</v>
      </c>
      <c r="S12" s="445">
        <f t="shared" si="6"/>
        <v>665.93343108098657</v>
      </c>
      <c r="T12" s="229">
        <f t="shared" si="7"/>
        <v>0.41407417788389356</v>
      </c>
      <c r="U12" s="261">
        <f>VLOOKUP($B12,update_Allocation!$D$8:$Q$235,update_Allocation!K$239,0)</f>
        <v>355590.75261179003</v>
      </c>
      <c r="V12" s="262">
        <f>VLOOKUP($B12,update_Allocation!$D$8:$Q$235,update_Allocation!L$239,0)</f>
        <v>91736.645584564554</v>
      </c>
      <c r="W12" s="262">
        <f>VLOOKUP($B12,update_Allocation!$D$8:$Q$235,update_Allocation!M$239,0)</f>
        <v>221558.06268586783</v>
      </c>
      <c r="X12" s="262">
        <f>VLOOKUP($B12,update_Allocation!$D$8:$Q$235,update_Allocation!N$239,0)</f>
        <v>246596.32121814394</v>
      </c>
      <c r="Y12" s="263">
        <f>VLOOKUP($B12,update_Allocation!$D$8:$Q$235,update_Allocation!O$239,0)</f>
        <v>915481.78210036631</v>
      </c>
      <c r="Z12" s="262">
        <f t="shared" si="8"/>
        <v>354490.20735285559</v>
      </c>
      <c r="AA12" s="262">
        <f t="shared" si="9"/>
        <v>91452.72276141154</v>
      </c>
      <c r="AB12" s="262">
        <f t="shared" si="10"/>
        <v>220872.34554143512</v>
      </c>
      <c r="AC12" s="263">
        <f t="shared" si="11"/>
        <v>245833.11123533658</v>
      </c>
      <c r="AD12" s="262">
        <f t="shared" si="12"/>
        <v>354490.20735285559</v>
      </c>
      <c r="AE12" s="262">
        <f t="shared" si="13"/>
        <v>91452.72276141154</v>
      </c>
      <c r="AF12" s="262">
        <f t="shared" si="14"/>
        <v>220872.34554143512</v>
      </c>
      <c r="AG12" s="263">
        <f t="shared" si="15"/>
        <v>245833.11123533658</v>
      </c>
      <c r="AH12" s="262">
        <f t="shared" si="16"/>
        <v>354490.20735285559</v>
      </c>
      <c r="AI12" s="262">
        <f t="shared" si="16"/>
        <v>91452.72276141154</v>
      </c>
      <c r="AJ12" s="262">
        <f t="shared" si="16"/>
        <v>220872.34554143512</v>
      </c>
      <c r="AK12" s="262">
        <f t="shared" si="16"/>
        <v>245833.11123533658</v>
      </c>
      <c r="AL12" s="263">
        <f t="shared" si="17"/>
        <v>912648.38689103886</v>
      </c>
      <c r="AM12" s="346"/>
      <c r="AN12" s="261">
        <f>IFERROR(VLOOKUP($A12,'HH &amp; SI'!$B$4:$Z$494,'HH &amp; SI'!V$503,0),0)</f>
        <v>352290.41007208044</v>
      </c>
      <c r="AO12" s="262">
        <f>IFERROR(VLOOKUP($A12,'HH &amp; SI'!$B$4:$Z$494,'HH &amp; SI'!W$503,0),0)</f>
        <v>90885.210749296122</v>
      </c>
      <c r="AP12" s="262">
        <f>IFERROR(VLOOKUP($A12,'HH &amp; SI'!$B$4:$Z$494,'HH &amp; SI'!X$503,0),0)</f>
        <v>219501.71703028743</v>
      </c>
      <c r="AQ12" s="262">
        <f>IFERROR(VLOOKUP($A12,'HH &amp; SI'!$B$4:$Z$494,'HH &amp; SI'!Y$503,0),0)</f>
        <v>244307.5881083135</v>
      </c>
      <c r="AR12" s="263">
        <f t="shared" si="29"/>
        <v>906984.92595997755</v>
      </c>
      <c r="AS12" s="346"/>
      <c r="AT12" s="323">
        <f>IFERROR(VLOOKUP(A12,'Afton FY16 Final'!$A$5:$BV$572,'Afton FY16 Final'!$BV$587,0),0)</f>
        <v>935922.51886108448</v>
      </c>
      <c r="AU12" s="346"/>
      <c r="AV12" s="444">
        <v>0</v>
      </c>
      <c r="AW12" s="262">
        <f>IFERROR(VLOOKUP($A12,'HH &amp; SI'!$B$4:$EY$503,'HH &amp; SI'!EX$503,0),0)</f>
        <v>0</v>
      </c>
      <c r="AX12" s="262">
        <f>IFERROR(VLOOKUP($A12,'HH &amp; SI'!$B$4:$EY$503,'HH &amp; SI'!EY$503,0),0)</f>
        <v>906984.92595997755</v>
      </c>
      <c r="AY12" s="262">
        <f>AX12/$AX$582*'update_State Admin 1004(b)'!$B$30*0.01</f>
        <v>8680.4972908459476</v>
      </c>
      <c r="AZ12" s="263">
        <f t="shared" si="30"/>
        <v>898304.42866913159</v>
      </c>
      <c r="BA12" s="261">
        <f t="shared" si="20"/>
        <v>8983.0442866913163</v>
      </c>
      <c r="BB12" s="262">
        <f t="shared" si="21"/>
        <v>889321.38438244024</v>
      </c>
      <c r="BC12" s="341">
        <f t="shared" si="31"/>
        <v>0.95020834146040989</v>
      </c>
      <c r="BD12" s="346"/>
      <c r="BE12" s="376" t="str">
        <f>'Original Title I &amp; II'!AZ12</f>
        <v/>
      </c>
      <c r="BF12" s="243" t="str">
        <f t="shared" si="22"/>
        <v/>
      </c>
      <c r="BG12" s="263">
        <f t="shared" si="23"/>
        <v>889321.38438244024</v>
      </c>
      <c r="BI12" s="31">
        <f>IFERROR(VLOOKUP(A12,'Title II Hold Harmless'!A$1:B$439,2, FALSE),"")</f>
        <v>128063</v>
      </c>
      <c r="BJ12" s="31">
        <f t="shared" si="24"/>
        <v>138074.97936693684</v>
      </c>
      <c r="BK12" s="31">
        <f t="shared" si="25"/>
        <v>138208.55197794773</v>
      </c>
      <c r="BL12" s="31" t="str">
        <f t="shared" si="32"/>
        <v/>
      </c>
      <c r="BM12" s="31">
        <f t="shared" si="33"/>
        <v>138208.55197794773</v>
      </c>
      <c r="BN12" s="200"/>
      <c r="BP12" s="295" t="s">
        <v>1447</v>
      </c>
      <c r="BQ12" s="296" t="str">
        <f t="shared" si="34"/>
        <v>Y</v>
      </c>
      <c r="BR12" s="297" t="s">
        <v>1448</v>
      </c>
      <c r="BT12" s="295" t="str">
        <f t="shared" si="35"/>
        <v>Y</v>
      </c>
      <c r="BU12" s="296" t="str">
        <f t="shared" si="26"/>
        <v>Y</v>
      </c>
      <c r="BV12" s="296" t="str">
        <f t="shared" si="27"/>
        <v>Y</v>
      </c>
      <c r="BW12" s="297" t="str">
        <f t="shared" si="36"/>
        <v>Y</v>
      </c>
      <c r="BY12" s="352">
        <f t="shared" si="37"/>
        <v>0</v>
      </c>
      <c r="BZ12" s="353">
        <f t="shared" si="38"/>
        <v>0</v>
      </c>
      <c r="CA12" s="353">
        <f t="shared" si="39"/>
        <v>0.95</v>
      </c>
      <c r="CB12" s="354">
        <f t="shared" si="40"/>
        <v>0.95</v>
      </c>
      <c r="CD12" s="311">
        <f t="shared" si="41"/>
        <v>7</v>
      </c>
    </row>
    <row r="13" spans="1:82" outlineLevel="1" x14ac:dyDescent="0.3">
      <c r="A13" s="1">
        <v>10227000</v>
      </c>
      <c r="B13" s="47">
        <f>VLOOKUP(C13,'NCES ID'!$A$2:$B$3136,2,FALSE)</f>
        <v>406870</v>
      </c>
      <c r="C13" s="47">
        <f>VLOOKUP(A13,'State ID'!$A$2:$B$713,2,FALSE)</f>
        <v>4159</v>
      </c>
      <c r="D13" s="147" t="s">
        <v>358</v>
      </c>
      <c r="E13" s="47" t="s">
        <v>103</v>
      </c>
      <c r="F13" s="382">
        <f>IFERROR(VLOOKUP($B13,'update_Formula counts'!$D$7:$R$234,'update_Formula counts'!F$5,0),0)</f>
        <v>815</v>
      </c>
      <c r="G13" s="382">
        <f>IFERROR(VLOOKUP($B13,'update_Formula counts'!$D$7:$R$234,'update_Formula counts'!G$5,0),0)</f>
        <v>0</v>
      </c>
      <c r="H13" s="382">
        <f>IFERROR(VLOOKUP($B13,'update_Formula counts'!$D$7:$R$234,'update_Formula counts'!H$5,0),0)</f>
        <v>0</v>
      </c>
      <c r="I13" s="382">
        <f>IFERROR(VLOOKUP($B13,'update_Formula counts'!$D$7:$R$234,'update_Formula counts'!I$5,0),0)</f>
        <v>5</v>
      </c>
      <c r="J13" s="382">
        <f>IFERROR(VLOOKUP($B13,'update_Formula counts'!$D$7:$R$234,'update_Formula counts'!J$5,0),0)</f>
        <v>0</v>
      </c>
      <c r="K13" s="382">
        <f t="shared" si="3"/>
        <v>815</v>
      </c>
      <c r="L13" s="444">
        <f>IFERROR(VLOOKUP($B13,'update_Formula counts'!$D$7:$R$234,'update_Formula counts'!L$5,0),0)</f>
        <v>2060</v>
      </c>
      <c r="M13" s="445">
        <f>IFERROR(VLOOKUP($B13,'update_Formula counts'!$D$7:$R$234,'update_Formula counts'!K$5,0),0)</f>
        <v>820</v>
      </c>
      <c r="N13" s="446">
        <f>IFERROR(VLOOKUP($B13,'update_Formula counts'!$D$7:$R$234,'update_Formula counts'!M$5,0),0)</f>
        <v>0.39805825242718446</v>
      </c>
      <c r="O13" s="137">
        <f>VLOOKUP($C13,'Final SEA Counts'!$A$2:$F$709,5,FALSE)</f>
        <v>617</v>
      </c>
      <c r="P13" s="208">
        <f>VLOOKUP($C13,'Final SEA Counts'!$A$2:$F$709,6,FALSE)</f>
        <v>576</v>
      </c>
      <c r="Q13" s="748">
        <f t="shared" si="4"/>
        <v>-2.5480388335793949</v>
      </c>
      <c r="R13" s="444">
        <f t="shared" si="5"/>
        <v>2053.9294523846038</v>
      </c>
      <c r="S13" s="445">
        <f t="shared" si="6"/>
        <v>817.45196116642057</v>
      </c>
      <c r="T13" s="229">
        <f t="shared" si="7"/>
        <v>0.39799417658545289</v>
      </c>
      <c r="U13" s="261">
        <f>VLOOKUP($B13,update_Allocation!$D$8:$Q$235,update_Allocation!K$239,0)</f>
        <v>476005.5446171615</v>
      </c>
      <c r="V13" s="262">
        <f>VLOOKUP($B13,update_Allocation!$D$8:$Q$235,update_Allocation!L$239,0)</f>
        <v>122801.70848679246</v>
      </c>
      <c r="W13" s="262">
        <f>VLOOKUP($B13,update_Allocation!$D$8:$Q$235,update_Allocation!M$239,0)</f>
        <v>331527.58630230819</v>
      </c>
      <c r="X13" s="262">
        <f>VLOOKUP($B13,update_Allocation!$D$8:$Q$235,update_Allocation!N$239,0)</f>
        <v>385058.11295521981</v>
      </c>
      <c r="Y13" s="263">
        <f>VLOOKUP($B13,update_Allocation!$D$8:$Q$235,update_Allocation!O$239,0)</f>
        <v>1315392.952361482</v>
      </c>
      <c r="Z13" s="262">
        <f t="shared" si="8"/>
        <v>474532.31832680618</v>
      </c>
      <c r="AA13" s="262">
        <f t="shared" si="9"/>
        <v>122421.64000337006</v>
      </c>
      <c r="AB13" s="262">
        <f t="shared" si="10"/>
        <v>330501.51599358645</v>
      </c>
      <c r="AC13" s="263">
        <f t="shared" si="11"/>
        <v>383866.36688894976</v>
      </c>
      <c r="AD13" s="262">
        <f t="shared" si="12"/>
        <v>474532.31832680618</v>
      </c>
      <c r="AE13" s="262">
        <f t="shared" si="13"/>
        <v>122421.64000337006</v>
      </c>
      <c r="AF13" s="262">
        <f t="shared" si="14"/>
        <v>330501.51599358645</v>
      </c>
      <c r="AG13" s="263">
        <f t="shared" si="15"/>
        <v>383866.36688894976</v>
      </c>
      <c r="AH13" s="262">
        <f t="shared" si="16"/>
        <v>474532.31832680618</v>
      </c>
      <c r="AI13" s="262">
        <f t="shared" si="16"/>
        <v>122421.64000337006</v>
      </c>
      <c r="AJ13" s="262">
        <f t="shared" si="16"/>
        <v>330501.51599358645</v>
      </c>
      <c r="AK13" s="262">
        <f t="shared" si="16"/>
        <v>383866.36688894976</v>
      </c>
      <c r="AL13" s="263">
        <f t="shared" si="17"/>
        <v>1311321.8412127127</v>
      </c>
      <c r="AM13" s="346"/>
      <c r="AN13" s="261">
        <f>IFERROR(VLOOKUP($A13,'HH &amp; SI'!$B$4:$Z$494,'HH &amp; SI'!V$503,0),0)</f>
        <v>471587.59691605036</v>
      </c>
      <c r="AO13" s="262">
        <f>IFERROR(VLOOKUP($A13,'HH &amp; SI'!$B$4:$Z$494,'HH &amp; SI'!W$503,0),0)</f>
        <v>121661.94965028962</v>
      </c>
      <c r="AP13" s="262">
        <f>IFERROR(VLOOKUP($A13,'HH &amp; SI'!$B$4:$Z$494,'HH &amp; SI'!X$503,0),0)</f>
        <v>328450.58109864558</v>
      </c>
      <c r="AQ13" s="262">
        <f>IFERROR(VLOOKUP($A13,'HH &amp; SI'!$B$4:$Z$494,'HH &amp; SI'!Y$503,0),0)</f>
        <v>381484.27516244171</v>
      </c>
      <c r="AR13" s="263">
        <f t="shared" si="29"/>
        <v>1303184.4028274273</v>
      </c>
      <c r="AS13" s="346"/>
      <c r="AT13" s="323">
        <f>IFERROR(VLOOKUP(A13,'Afton FY16 Final'!$A$5:$BV$572,'Afton FY16 Final'!$BV$587,0),0)</f>
        <v>1344762.8443700781</v>
      </c>
      <c r="AU13" s="346"/>
      <c r="AV13" s="444">
        <v>0</v>
      </c>
      <c r="AW13" s="262">
        <f>IFERROR(VLOOKUP($A13,'HH &amp; SI'!$B$4:$EY$503,'HH &amp; SI'!EX$503,0),0)</f>
        <v>0</v>
      </c>
      <c r="AX13" s="262">
        <f>IFERROR(VLOOKUP($A13,'HH &amp; SI'!$B$4:$EY$503,'HH &amp; SI'!EY$503,0),0)</f>
        <v>1303184.4028274273</v>
      </c>
      <c r="AY13" s="262">
        <f>AX13/$AX$582*'update_State Admin 1004(b)'!$B$30*0.01</f>
        <v>12472.41090169491</v>
      </c>
      <c r="AZ13" s="263">
        <f t="shared" si="30"/>
        <v>1290711.9919257322</v>
      </c>
      <c r="BA13" s="261">
        <f t="shared" si="20"/>
        <v>12907.119919257322</v>
      </c>
      <c r="BB13" s="262">
        <f t="shared" si="21"/>
        <v>1277804.872006475</v>
      </c>
      <c r="BC13" s="341">
        <f t="shared" si="31"/>
        <v>0.95020834146040978</v>
      </c>
      <c r="BD13" s="346"/>
      <c r="BE13" s="376" t="str">
        <f>'Original Title I &amp; II'!AZ13</f>
        <v/>
      </c>
      <c r="BF13" s="243" t="str">
        <f t="shared" si="22"/>
        <v/>
      </c>
      <c r="BG13" s="263">
        <f t="shared" si="23"/>
        <v>1277804.872006475</v>
      </c>
      <c r="BI13" s="31">
        <f>IFERROR(VLOOKUP(A13,'Title II Hold Harmless'!A$1:B$439,2, FALSE),"")</f>
        <v>52545</v>
      </c>
      <c r="BJ13" s="31">
        <f t="shared" si="24"/>
        <v>64899.17748626574</v>
      </c>
      <c r="BK13" s="31">
        <f t="shared" si="25"/>
        <v>64961.960422240416</v>
      </c>
      <c r="BL13" s="31" t="str">
        <f t="shared" si="32"/>
        <v/>
      </c>
      <c r="BM13" s="31">
        <f t="shared" si="33"/>
        <v>64961.960422240416</v>
      </c>
      <c r="BN13" s="200"/>
      <c r="BP13" s="295" t="s">
        <v>1447</v>
      </c>
      <c r="BQ13" s="296" t="str">
        <f t="shared" si="34"/>
        <v>Y</v>
      </c>
      <c r="BR13" s="297" t="s">
        <v>1448</v>
      </c>
      <c r="BT13" s="295" t="str">
        <f t="shared" si="35"/>
        <v>Y</v>
      </c>
      <c r="BU13" s="296" t="str">
        <f t="shared" si="26"/>
        <v>Y</v>
      </c>
      <c r="BV13" s="296" t="str">
        <f t="shared" si="27"/>
        <v>Y</v>
      </c>
      <c r="BW13" s="297" t="str">
        <f t="shared" si="36"/>
        <v>Y</v>
      </c>
      <c r="BY13" s="352">
        <f t="shared" si="37"/>
        <v>0</v>
      </c>
      <c r="BZ13" s="353">
        <f t="shared" si="38"/>
        <v>0</v>
      </c>
      <c r="CA13" s="353">
        <f t="shared" si="39"/>
        <v>0.95</v>
      </c>
      <c r="CB13" s="354">
        <f t="shared" si="40"/>
        <v>0.95</v>
      </c>
      <c r="CD13" s="311">
        <f t="shared" si="41"/>
        <v>8</v>
      </c>
    </row>
    <row r="14" spans="1:82" outlineLevel="1" x14ac:dyDescent="0.3">
      <c r="A14" s="1">
        <v>10208000</v>
      </c>
      <c r="B14" s="47">
        <f>VLOOKUP(C14,'NCES ID'!$A$2:$B$3136,2,FALSE)</f>
        <v>409430</v>
      </c>
      <c r="C14" s="47">
        <f>VLOOKUP(A14,'State ID'!$A$2:$B$713,2,FALSE)</f>
        <v>4154</v>
      </c>
      <c r="D14" s="147" t="s">
        <v>446</v>
      </c>
      <c r="E14" s="47" t="s">
        <v>103</v>
      </c>
      <c r="F14" s="382">
        <f>IFERROR(VLOOKUP($B14,'update_Formula counts'!$D$7:$R$234,'update_Formula counts'!F$5,0),0)</f>
        <v>941</v>
      </c>
      <c r="G14" s="382">
        <f>IFERROR(VLOOKUP($B14,'update_Formula counts'!$D$7:$R$234,'update_Formula counts'!G$5,0),0)</f>
        <v>18</v>
      </c>
      <c r="H14" s="382">
        <f>IFERROR(VLOOKUP($B14,'update_Formula counts'!$D$7:$R$234,'update_Formula counts'!H$5,0),0)</f>
        <v>0</v>
      </c>
      <c r="I14" s="382">
        <f>IFERROR(VLOOKUP($B14,'update_Formula counts'!$D$7:$R$234,'update_Formula counts'!I$5,0),0)</f>
        <v>6</v>
      </c>
      <c r="J14" s="382">
        <f>IFERROR(VLOOKUP($B14,'update_Formula counts'!$D$7:$R$234,'update_Formula counts'!J$5,0),0)</f>
        <v>0</v>
      </c>
      <c r="K14" s="382">
        <f t="shared" si="3"/>
        <v>959</v>
      </c>
      <c r="L14" s="444">
        <f>IFERROR(VLOOKUP($B14,'update_Formula counts'!$D$7:$R$234,'update_Formula counts'!L$5,0),0)</f>
        <v>2567</v>
      </c>
      <c r="M14" s="445">
        <f>IFERROR(VLOOKUP($B14,'update_Formula counts'!$D$7:$R$234,'update_Formula counts'!K$5,0),0)</f>
        <v>965</v>
      </c>
      <c r="N14" s="446">
        <f>IFERROR(VLOOKUP($B14,'update_Formula counts'!$D$7:$R$234,'update_Formula counts'!M$5,0),0)</f>
        <v>0.37592520451889366</v>
      </c>
      <c r="O14" s="137">
        <f>VLOOKUP($C14,'Final SEA Counts'!$A$2:$F$709,5,FALSE)</f>
        <v>1743</v>
      </c>
      <c r="P14" s="208">
        <f>VLOOKUP($C14,'Final SEA Counts'!$A$2:$F$709,6,FALSE)</f>
        <v>1355</v>
      </c>
      <c r="Q14" s="748">
        <f t="shared" si="4"/>
        <v>-2.9419687636787861</v>
      </c>
      <c r="R14" s="444">
        <f t="shared" si="5"/>
        <v>2559.4353904229501</v>
      </c>
      <c r="S14" s="445">
        <f t="shared" si="6"/>
        <v>962.0580312363212</v>
      </c>
      <c r="T14" s="229">
        <f t="shared" si="7"/>
        <v>0.37588682052151345</v>
      </c>
      <c r="U14" s="261">
        <f>VLOOKUP($B14,update_Allocation!$D$8:$Q$235,update_Allocation!K$239,0)</f>
        <v>495548.46187226725</v>
      </c>
      <c r="V14" s="262">
        <f>VLOOKUP($B14,update_Allocation!$D$8:$Q$235,update_Allocation!L$239,0)</f>
        <v>117424.81133412864</v>
      </c>
      <c r="W14" s="262">
        <f>VLOOKUP($B14,update_Allocation!$D$8:$Q$235,update_Allocation!M$239,0)</f>
        <v>296595.50719967711</v>
      </c>
      <c r="X14" s="262">
        <f>VLOOKUP($B14,update_Allocation!$D$8:$Q$235,update_Allocation!N$239,0)</f>
        <v>259297.44997009463</v>
      </c>
      <c r="Y14" s="263">
        <f>VLOOKUP($B14,update_Allocation!$D$8:$Q$235,update_Allocation!O$239,0)</f>
        <v>1168866.2303761677</v>
      </c>
      <c r="Z14" s="262">
        <f t="shared" si="8"/>
        <v>494014.75069929648</v>
      </c>
      <c r="AA14" s="262">
        <f t="shared" si="9"/>
        <v>117061.38422460498</v>
      </c>
      <c r="AB14" s="262">
        <f t="shared" si="10"/>
        <v>295677.55087805638</v>
      </c>
      <c r="AC14" s="263">
        <f t="shared" si="11"/>
        <v>258494.93028384756</v>
      </c>
      <c r="AD14" s="262">
        <f t="shared" si="12"/>
        <v>494014.75069929648</v>
      </c>
      <c r="AE14" s="262">
        <f t="shared" si="13"/>
        <v>117061.38422460498</v>
      </c>
      <c r="AF14" s="262">
        <f t="shared" si="14"/>
        <v>295677.55087805638</v>
      </c>
      <c r="AG14" s="263">
        <f t="shared" si="15"/>
        <v>258494.93028384756</v>
      </c>
      <c r="AH14" s="262">
        <f t="shared" si="16"/>
        <v>494014.75069929648</v>
      </c>
      <c r="AI14" s="262">
        <f t="shared" si="16"/>
        <v>117061.38422460498</v>
      </c>
      <c r="AJ14" s="262">
        <f t="shared" si="16"/>
        <v>295677.55087805638</v>
      </c>
      <c r="AK14" s="262">
        <f t="shared" si="16"/>
        <v>258494.93028384756</v>
      </c>
      <c r="AL14" s="263">
        <f t="shared" si="17"/>
        <v>1165248.6160858052</v>
      </c>
      <c r="AM14" s="346"/>
      <c r="AN14" s="261">
        <f>IFERROR(VLOOKUP($A14,'HH &amp; SI'!$B$4:$Z$494,'HH &amp; SI'!V$503,0),0)</f>
        <v>487276.06885273411</v>
      </c>
      <c r="AO14" s="262">
        <f>IFERROR(VLOOKUP($A14,'HH &amp; SI'!$B$4:$Z$494,'HH &amp; SI'!W$503,0),0)</f>
        <v>113372.97504317397</v>
      </c>
      <c r="AP14" s="262">
        <f>IFERROR(VLOOKUP($A14,'HH &amp; SI'!$B$4:$Z$494,'HH &amp; SI'!X$503,0),0)</f>
        <v>292988.47899575526</v>
      </c>
      <c r="AQ14" s="262">
        <f>IFERROR(VLOOKUP($A14,'HH &amp; SI'!$B$4:$Z$494,'HH &amp; SI'!Y$503,0),0)</f>
        <v>256101.74719512652</v>
      </c>
      <c r="AR14" s="263">
        <f t="shared" si="29"/>
        <v>1149739.2700867897</v>
      </c>
      <c r="AS14" s="346"/>
      <c r="AT14" s="323">
        <f>IFERROR(VLOOKUP(A14,'Afton FY16 Final'!$A$5:$BV$572,'Afton FY16 Final'!$BV$587,0),0)</f>
        <v>1101038.6567781605</v>
      </c>
      <c r="AU14" s="346"/>
      <c r="AV14" s="444">
        <v>0</v>
      </c>
      <c r="AW14" s="262">
        <f>IFERROR(VLOOKUP($A14,'HH &amp; SI'!$B$4:$EY$503,'HH &amp; SI'!EX$503,0),0)</f>
        <v>48700.613308629254</v>
      </c>
      <c r="AX14" s="262">
        <f>IFERROR(VLOOKUP($A14,'HH &amp; SI'!$B$4:$EY$503,'HH &amp; SI'!EY$503,0),0)</f>
        <v>1101038.6567781605</v>
      </c>
      <c r="AY14" s="262">
        <f>AX14/$AX$582*'update_State Admin 1004(b)'!$B$30*0.01</f>
        <v>10537.730896865234</v>
      </c>
      <c r="AZ14" s="263">
        <f t="shared" si="30"/>
        <v>1090500.9258812952</v>
      </c>
      <c r="BA14" s="261">
        <f t="shared" si="20"/>
        <v>10905.009258812952</v>
      </c>
      <c r="BB14" s="262">
        <f t="shared" si="21"/>
        <v>1079595.9166224822</v>
      </c>
      <c r="BC14" s="341">
        <f t="shared" si="31"/>
        <v>0.98052498881517602</v>
      </c>
      <c r="BD14" s="346"/>
      <c r="BE14" s="376" t="str">
        <f>'Original Title I &amp; II'!AZ14</f>
        <v/>
      </c>
      <c r="BF14" s="243" t="str">
        <f t="shared" si="22"/>
        <v/>
      </c>
      <c r="BG14" s="263">
        <f t="shared" si="23"/>
        <v>1079595.9166224822</v>
      </c>
      <c r="BI14" s="31">
        <f>IFERROR(VLOOKUP(A14,'Title II Hold Harmless'!A$1:B$439,2, FALSE),"")</f>
        <v>170003</v>
      </c>
      <c r="BJ14" s="31">
        <f t="shared" si="24"/>
        <v>184657.03101808979</v>
      </c>
      <c r="BK14" s="31">
        <f t="shared" si="25"/>
        <v>184835.66672665693</v>
      </c>
      <c r="BL14" s="31" t="str">
        <f t="shared" si="32"/>
        <v/>
      </c>
      <c r="BM14" s="31">
        <f t="shared" si="33"/>
        <v>184835.66672665693</v>
      </c>
      <c r="BN14" s="200"/>
      <c r="BP14" s="295" t="s">
        <v>1447</v>
      </c>
      <c r="BQ14" s="296" t="str">
        <f t="shared" si="34"/>
        <v>Y</v>
      </c>
      <c r="BR14" s="297" t="s">
        <v>1448</v>
      </c>
      <c r="BT14" s="295" t="str">
        <f t="shared" si="35"/>
        <v>Y</v>
      </c>
      <c r="BU14" s="296" t="str">
        <f t="shared" si="26"/>
        <v>Y</v>
      </c>
      <c r="BV14" s="296" t="str">
        <f t="shared" si="27"/>
        <v>Y</v>
      </c>
      <c r="BW14" s="297" t="str">
        <f t="shared" si="36"/>
        <v>Y</v>
      </c>
      <c r="BY14" s="352">
        <f t="shared" si="37"/>
        <v>0</v>
      </c>
      <c r="BZ14" s="353">
        <f t="shared" si="38"/>
        <v>0</v>
      </c>
      <c r="CA14" s="353">
        <f t="shared" si="39"/>
        <v>0.95</v>
      </c>
      <c r="CB14" s="354">
        <f t="shared" si="40"/>
        <v>0.95</v>
      </c>
      <c r="CD14" s="311">
        <f t="shared" si="41"/>
        <v>9</v>
      </c>
    </row>
    <row r="15" spans="1:82" outlineLevel="1" x14ac:dyDescent="0.3">
      <c r="A15" s="1">
        <v>10224000</v>
      </c>
      <c r="B15" s="47">
        <f>VLOOKUP(C15,'NCES ID'!$A$2:$B$3136,2,FALSE)</f>
        <v>401940</v>
      </c>
      <c r="C15" s="47">
        <f>VLOOKUP(A15,'State ID'!$A$2:$B$713,2,FALSE)</f>
        <v>4158</v>
      </c>
      <c r="D15" s="147" t="s">
        <v>102</v>
      </c>
      <c r="E15" s="47" t="s">
        <v>103</v>
      </c>
      <c r="F15" s="382">
        <f>IFERROR(VLOOKUP($B15,'update_Formula counts'!$D$7:$R$234,'update_Formula counts'!F$5,0),0)</f>
        <v>1896</v>
      </c>
      <c r="G15" s="382">
        <f>IFERROR(VLOOKUP($B15,'update_Formula counts'!$D$7:$R$234,'update_Formula counts'!G$5,0),0)</f>
        <v>0</v>
      </c>
      <c r="H15" s="382">
        <f>IFERROR(VLOOKUP($B15,'update_Formula counts'!$D$7:$R$234,'update_Formula counts'!H$5,0),0)</f>
        <v>0</v>
      </c>
      <c r="I15" s="382">
        <f>IFERROR(VLOOKUP($B15,'update_Formula counts'!$D$7:$R$234,'update_Formula counts'!I$5,0),0)</f>
        <v>13</v>
      </c>
      <c r="J15" s="382">
        <f>IFERROR(VLOOKUP($B15,'update_Formula counts'!$D$7:$R$234,'update_Formula counts'!J$5,0),0)</f>
        <v>0</v>
      </c>
      <c r="K15" s="382">
        <f t="shared" si="3"/>
        <v>1896</v>
      </c>
      <c r="L15" s="444">
        <f>IFERROR(VLOOKUP($B15,'update_Formula counts'!$D$7:$R$234,'update_Formula counts'!L$5,0),0)</f>
        <v>4862</v>
      </c>
      <c r="M15" s="445">
        <f>IFERROR(VLOOKUP($B15,'update_Formula counts'!$D$7:$R$234,'update_Formula counts'!K$5,0),0)</f>
        <v>1909</v>
      </c>
      <c r="N15" s="446">
        <f>IFERROR(VLOOKUP($B15,'update_Formula counts'!$D$7:$R$234,'update_Formula counts'!M$5,0),0)</f>
        <v>0.39263677498971616</v>
      </c>
      <c r="O15" s="137">
        <f>VLOOKUP($C15,'Final SEA Counts'!$A$2:$F$709,5,FALSE)</f>
        <v>3142</v>
      </c>
      <c r="P15" s="208">
        <f>VLOOKUP($C15,'Final SEA Counts'!$A$2:$F$709,6,FALSE)</f>
        <v>2471</v>
      </c>
      <c r="Q15" s="748">
        <f t="shared" si="4"/>
        <v>-5.9277075195908386</v>
      </c>
      <c r="R15" s="444">
        <f t="shared" si="5"/>
        <v>4847.6723288805551</v>
      </c>
      <c r="S15" s="445">
        <f t="shared" si="6"/>
        <v>1903.0722924804093</v>
      </c>
      <c r="T15" s="229">
        <f t="shared" si="7"/>
        <v>0.3925744488014673</v>
      </c>
      <c r="U15" s="261">
        <f>VLOOKUP($B15,update_Allocation!$D$8:$Q$235,update_Allocation!K$239,0)</f>
        <v>1258152.6901455526</v>
      </c>
      <c r="V15" s="262">
        <f>VLOOKUP($B15,update_Allocation!$D$8:$Q$235,update_Allocation!L$239,0)</f>
        <v>324582.98361081228</v>
      </c>
      <c r="W15" s="262">
        <f>VLOOKUP($B15,update_Allocation!$D$8:$Q$235,update_Allocation!M$239,0)</f>
        <v>920821.41932894744</v>
      </c>
      <c r="X15" s="262">
        <f>VLOOKUP($B15,update_Allocation!$D$8:$Q$235,update_Allocation!N$239,0)</f>
        <v>1087824.2720974761</v>
      </c>
      <c r="Y15" s="263">
        <f>VLOOKUP($B15,update_Allocation!$D$8:$Q$235,update_Allocation!O$239,0)</f>
        <v>3591381.3651827881</v>
      </c>
      <c r="Z15" s="262">
        <f t="shared" si="8"/>
        <v>1254258.7363011821</v>
      </c>
      <c r="AA15" s="262">
        <f t="shared" si="9"/>
        <v>323578.40668883122</v>
      </c>
      <c r="AB15" s="262">
        <f t="shared" si="10"/>
        <v>917971.49806433532</v>
      </c>
      <c r="AC15" s="263">
        <f t="shared" si="11"/>
        <v>1084457.4808172828</v>
      </c>
      <c r="AD15" s="262">
        <f t="shared" si="12"/>
        <v>1254258.7363011821</v>
      </c>
      <c r="AE15" s="262">
        <f t="shared" si="13"/>
        <v>323578.40668883122</v>
      </c>
      <c r="AF15" s="262">
        <f t="shared" si="14"/>
        <v>917971.49806433532</v>
      </c>
      <c r="AG15" s="263">
        <f t="shared" si="15"/>
        <v>1084457.4808172828</v>
      </c>
      <c r="AH15" s="262">
        <f t="shared" si="16"/>
        <v>1254258.7363011821</v>
      </c>
      <c r="AI15" s="262">
        <f t="shared" si="16"/>
        <v>323578.40668883122</v>
      </c>
      <c r="AJ15" s="262">
        <f t="shared" si="16"/>
        <v>917971.49806433532</v>
      </c>
      <c r="AK15" s="262">
        <f t="shared" si="16"/>
        <v>1084457.4808172828</v>
      </c>
      <c r="AL15" s="263">
        <f t="shared" si="17"/>
        <v>3580266.1218716316</v>
      </c>
      <c r="AM15" s="346"/>
      <c r="AN15" s="261">
        <f>IFERROR(VLOOKUP($A15,'HH &amp; SI'!$B$4:$Z$494,'HH &amp; SI'!V$503,0),0)</f>
        <v>1246475.404349342</v>
      </c>
      <c r="AO15" s="262">
        <f>IFERROR(VLOOKUP($A15,'HH &amp; SI'!$B$4:$Z$494,'HH &amp; SI'!W$503,0),0)</f>
        <v>321570.43331075949</v>
      </c>
      <c r="AP15" s="262">
        <f>IFERROR(VLOOKUP($A15,'HH &amp; SI'!$B$4:$Z$494,'HH &amp; SI'!X$503,0),0)</f>
        <v>912275.00444226724</v>
      </c>
      <c r="AQ15" s="262">
        <f>IFERROR(VLOOKUP($A15,'HH &amp; SI'!$B$4:$Z$494,'HH &amp; SI'!Y$503,0),0)</f>
        <v>1077727.8545316025</v>
      </c>
      <c r="AR15" s="263">
        <f t="shared" si="29"/>
        <v>3558048.6966339713</v>
      </c>
      <c r="AS15" s="346"/>
      <c r="AT15" s="323">
        <f>IFERROR(VLOOKUP(A15,'Afton FY16 Final'!$A$5:$BV$572,'Afton FY16 Final'!$BV$587,0),0)</f>
        <v>3671569.1772489394</v>
      </c>
      <c r="AU15" s="346"/>
      <c r="AV15" s="444">
        <v>0</v>
      </c>
      <c r="AW15" s="262">
        <f>IFERROR(VLOOKUP($A15,'HH &amp; SI'!$B$4:$EY$503,'HH &amp; SI'!EX$503,0),0)</f>
        <v>0</v>
      </c>
      <c r="AX15" s="262">
        <f>IFERROR(VLOOKUP($A15,'HH &amp; SI'!$B$4:$EY$503,'HH &amp; SI'!EY$503,0),0)</f>
        <v>3558048.6966339713</v>
      </c>
      <c r="AY15" s="262">
        <f>AX15/$AX$582*'update_State Admin 1004(b)'!$B$30*0.01</f>
        <v>34053.082016924309</v>
      </c>
      <c r="AZ15" s="263">
        <f t="shared" si="30"/>
        <v>3523995.6146170469</v>
      </c>
      <c r="BA15" s="261">
        <f t="shared" si="20"/>
        <v>35239.956146170472</v>
      </c>
      <c r="BB15" s="262">
        <f t="shared" si="21"/>
        <v>3488755.6584708765</v>
      </c>
      <c r="BC15" s="341">
        <f t="shared" si="31"/>
        <v>0.95020834146040989</v>
      </c>
      <c r="BD15" s="346"/>
      <c r="BE15" s="376" t="str">
        <f>'Original Title I &amp; II'!AZ15</f>
        <v/>
      </c>
      <c r="BF15" s="243" t="str">
        <f t="shared" si="22"/>
        <v/>
      </c>
      <c r="BG15" s="263">
        <f t="shared" si="23"/>
        <v>3488755.6584708765</v>
      </c>
      <c r="BI15" s="31">
        <f>IFERROR(VLOOKUP(A15,'Title II Hold Harmless'!A$1:B$439,2, FALSE),"")</f>
        <v>261791</v>
      </c>
      <c r="BJ15" s="31">
        <f t="shared" si="24"/>
        <v>290605.31987668882</v>
      </c>
      <c r="BK15" s="31">
        <f t="shared" si="25"/>
        <v>290886.44909740321</v>
      </c>
      <c r="BL15" s="31" t="str">
        <f t="shared" si="32"/>
        <v/>
      </c>
      <c r="BM15" s="31">
        <f t="shared" si="33"/>
        <v>290886.44909740321</v>
      </c>
      <c r="BN15" s="200"/>
      <c r="BP15" s="295" t="s">
        <v>1447</v>
      </c>
      <c r="BQ15" s="296" t="str">
        <f t="shared" si="34"/>
        <v>Y</v>
      </c>
      <c r="BR15" s="297" t="s">
        <v>1448</v>
      </c>
      <c r="BT15" s="295" t="str">
        <f t="shared" si="35"/>
        <v>Y</v>
      </c>
      <c r="BU15" s="296" t="str">
        <f t="shared" si="26"/>
        <v>Y</v>
      </c>
      <c r="BV15" s="296" t="str">
        <f t="shared" si="27"/>
        <v>Y</v>
      </c>
      <c r="BW15" s="297" t="str">
        <f t="shared" si="36"/>
        <v>Y</v>
      </c>
      <c r="BY15" s="352">
        <f t="shared" si="37"/>
        <v>0</v>
      </c>
      <c r="BZ15" s="353">
        <f t="shared" si="38"/>
        <v>0</v>
      </c>
      <c r="CA15" s="353">
        <f t="shared" si="39"/>
        <v>0.95</v>
      </c>
      <c r="CB15" s="354">
        <f t="shared" si="40"/>
        <v>0.95</v>
      </c>
      <c r="CD15" s="311">
        <f t="shared" si="41"/>
        <v>10</v>
      </c>
    </row>
    <row r="16" spans="1:82" outlineLevel="1" x14ac:dyDescent="0.3">
      <c r="A16" s="1">
        <v>10307000</v>
      </c>
      <c r="B16" s="47">
        <v>400630</v>
      </c>
      <c r="C16" s="47">
        <f>VLOOKUP(A16,'State ID'!$A$2:$B$713,2,FALSE)</f>
        <v>4161</v>
      </c>
      <c r="D16" s="147" t="s">
        <v>554</v>
      </c>
      <c r="E16" s="47" t="s">
        <v>103</v>
      </c>
      <c r="F16" s="382">
        <f>IFERROR(VLOOKUP($B16,'update_Formula counts'!$D$7:$R$234,'update_Formula counts'!F$5,0),0)</f>
        <v>12</v>
      </c>
      <c r="G16" s="382">
        <f>IFERROR(VLOOKUP($B16,'update_Formula counts'!$D$7:$R$234,'update_Formula counts'!G$5,0),0)</f>
        <v>0</v>
      </c>
      <c r="H16" s="382">
        <f>IFERROR(VLOOKUP($B16,'update_Formula counts'!$D$7:$R$234,'update_Formula counts'!H$5,0),0)</f>
        <v>0</v>
      </c>
      <c r="I16" s="382">
        <f>IFERROR(VLOOKUP($B16,'update_Formula counts'!$D$7:$R$234,'update_Formula counts'!I$5,0),0)</f>
        <v>0</v>
      </c>
      <c r="J16" s="382">
        <f>IFERROR(VLOOKUP($B16,'update_Formula counts'!$D$7:$R$234,'update_Formula counts'!J$5,0),0)</f>
        <v>0</v>
      </c>
      <c r="K16" s="382">
        <f t="shared" si="3"/>
        <v>12</v>
      </c>
      <c r="L16" s="444">
        <f>IFERROR(VLOOKUP($B16,'update_Formula counts'!$D$7:$R$234,'update_Formula counts'!L$5,0),0)</f>
        <v>47</v>
      </c>
      <c r="M16" s="445">
        <f>IFERROR(VLOOKUP($B16,'update_Formula counts'!$D$7:$R$234,'update_Formula counts'!K$5,0),0)</f>
        <v>12</v>
      </c>
      <c r="N16" s="446">
        <f>IFERROR(VLOOKUP($B16,'update_Formula counts'!$D$7:$R$234,'update_Formula counts'!M$5,0),0)</f>
        <v>0.25531914893617019</v>
      </c>
      <c r="O16" s="137">
        <f>VLOOKUP($C16,'Final SEA Counts'!$A$2:$F$709,5,FALSE)</f>
        <v>62</v>
      </c>
      <c r="P16" s="208">
        <f>VLOOKUP($C16,'Final SEA Counts'!$A$2:$F$709,6,FALSE)</f>
        <v>37</v>
      </c>
      <c r="Q16" s="748">
        <f t="shared" si="4"/>
        <v>-3.7517136199942014E-2</v>
      </c>
      <c r="R16" s="444">
        <f t="shared" si="5"/>
        <v>46.861497214600178</v>
      </c>
      <c r="S16" s="445">
        <f t="shared" si="6"/>
        <v>11.962482863800059</v>
      </c>
      <c r="T16" s="229">
        <f t="shared" si="7"/>
        <v>0.25527316826900326</v>
      </c>
      <c r="U16" s="261">
        <f>VLOOKUP($B16,update_Allocation!$D$8:$Q$235,update_Allocation!K$239,0)</f>
        <v>7056.5326135657187</v>
      </c>
      <c r="V16" s="262">
        <f>VLOOKUP($B16,update_Allocation!$D$8:$Q$235,update_Allocation!L$239,0)</f>
        <v>1672.1109529639975</v>
      </c>
      <c r="W16" s="262">
        <f>VLOOKUP($B16,update_Allocation!$D$8:$Q$235,update_Allocation!M$239,0)</f>
        <v>3511.6538054340444</v>
      </c>
      <c r="X16" s="262">
        <f>VLOOKUP($B16,update_Allocation!$D$8:$Q$235,update_Allocation!N$239,0)</f>
        <v>2775.1626544755186</v>
      </c>
      <c r="Y16" s="263">
        <f>VLOOKUP($B16,update_Allocation!$D$8:$Q$235,update_Allocation!O$239,0)</f>
        <v>15015.460026439277</v>
      </c>
      <c r="Z16" s="262">
        <f t="shared" si="8"/>
        <v>7034.6928062722636</v>
      </c>
      <c r="AA16" s="262">
        <f t="shared" si="9"/>
        <v>1666.9358077495044</v>
      </c>
      <c r="AB16" s="262">
        <f t="shared" si="10"/>
        <v>3500.7853170996227</v>
      </c>
      <c r="AC16" s="263">
        <f t="shared" si="11"/>
        <v>2766.5735894345348</v>
      </c>
      <c r="AD16" s="262">
        <f t="shared" si="12"/>
        <v>7034.6928062722636</v>
      </c>
      <c r="AE16" s="262">
        <f t="shared" si="13"/>
        <v>1666.9358077495044</v>
      </c>
      <c r="AF16" s="262">
        <f t="shared" si="14"/>
        <v>3500.7853170996227</v>
      </c>
      <c r="AG16" s="263">
        <f t="shared" si="15"/>
        <v>2766.5735894345348</v>
      </c>
      <c r="AH16" s="262">
        <f t="shared" si="16"/>
        <v>7034.6928062722636</v>
      </c>
      <c r="AI16" s="262">
        <f t="shared" si="16"/>
        <v>1666.9358077495044</v>
      </c>
      <c r="AJ16" s="262">
        <f t="shared" si="16"/>
        <v>3500.7853170996227</v>
      </c>
      <c r="AK16" s="262">
        <f t="shared" si="16"/>
        <v>2766.5735894345348</v>
      </c>
      <c r="AL16" s="263">
        <f t="shared" si="17"/>
        <v>14968.987520555924</v>
      </c>
      <c r="AM16" s="346"/>
      <c r="AN16" s="261">
        <f>IFERROR(VLOOKUP($A16,'HH &amp; SI'!$B$4:$Z$494,'HH &amp; SI'!V$503,0),0)</f>
        <v>6938.7350304312249</v>
      </c>
      <c r="AO16" s="262">
        <f>IFERROR(VLOOKUP($A16,'HH &amp; SI'!$B$4:$Z$494,'HH &amp; SI'!W$503,0),0)</f>
        <v>1614.4134377221469</v>
      </c>
      <c r="AP16" s="262">
        <f>IFERROR(VLOOKUP($A16,'HH &amp; SI'!$B$4:$Z$494,'HH &amp; SI'!X$503,0),0)</f>
        <v>3468.9470414705484</v>
      </c>
      <c r="AQ16" s="262">
        <f>IFERROR(VLOOKUP($A16,'HH &amp; SI'!$B$4:$Z$494,'HH &amp; SI'!Y$503,0),0)</f>
        <v>2736.0909285658172</v>
      </c>
      <c r="AR16" s="263">
        <f t="shared" si="29"/>
        <v>14758.186438189736</v>
      </c>
      <c r="AS16" s="346"/>
      <c r="AT16" s="323">
        <f>IFERROR(VLOOKUP(A16,'Afton FY16 Final'!$A$5:$BV$572,'Afton FY16 Final'!$BV$587,0),0)</f>
        <v>14455.140510267605</v>
      </c>
      <c r="AU16" s="346"/>
      <c r="AV16" s="444">
        <v>0</v>
      </c>
      <c r="AW16" s="262">
        <f>IFERROR(VLOOKUP($A16,'HH &amp; SI'!$B$4:$EY$503,'HH &amp; SI'!EX$503,0),0)</f>
        <v>303.04592792213043</v>
      </c>
      <c r="AX16" s="262">
        <f>IFERROR(VLOOKUP($A16,'HH &amp; SI'!$B$4:$EY$503,'HH &amp; SI'!EY$503,0),0)</f>
        <v>14455.140510267605</v>
      </c>
      <c r="AY16" s="262">
        <f>AX16/$AX$582*'update_State Admin 1004(b)'!$B$30*0.01</f>
        <v>138.34607880099696</v>
      </c>
      <c r="AZ16" s="263">
        <f t="shared" si="30"/>
        <v>14316.794431466609</v>
      </c>
      <c r="BA16" s="261">
        <f t="shared" si="20"/>
        <v>143.1679443146661</v>
      </c>
      <c r="BB16" s="262">
        <f t="shared" si="21"/>
        <v>14173.626487151943</v>
      </c>
      <c r="BC16" s="341">
        <f t="shared" si="31"/>
        <v>0.98052498881517614</v>
      </c>
      <c r="BD16" s="346"/>
      <c r="BE16" s="376" t="str">
        <f>'Original Title I &amp; II'!AZ16</f>
        <v/>
      </c>
      <c r="BF16" s="243" t="str">
        <f t="shared" si="22"/>
        <v/>
      </c>
      <c r="BG16" s="263">
        <f t="shared" si="23"/>
        <v>14173.626487151943</v>
      </c>
      <c r="BI16" s="31">
        <f>IFERROR(VLOOKUP(A16,'Title II Hold Harmless'!A$1:B$439,2, FALSE),"")</f>
        <v>1222</v>
      </c>
      <c r="BJ16" s="31">
        <f t="shared" si="24"/>
        <v>1416.3136949257337</v>
      </c>
      <c r="BK16" s="31">
        <f t="shared" si="25"/>
        <v>1417.6838252644025</v>
      </c>
      <c r="BL16" s="31" t="str">
        <f t="shared" si="32"/>
        <v/>
      </c>
      <c r="BM16" s="31">
        <f t="shared" si="33"/>
        <v>1417.6838252644025</v>
      </c>
      <c r="BN16" s="200"/>
      <c r="BP16" s="295" t="s">
        <v>1447</v>
      </c>
      <c r="BQ16" s="296" t="str">
        <f t="shared" si="34"/>
        <v>Y</v>
      </c>
      <c r="BR16" s="297" t="s">
        <v>1448</v>
      </c>
      <c r="BT16" s="295" t="str">
        <f t="shared" si="35"/>
        <v>Y</v>
      </c>
      <c r="BU16" s="296" t="str">
        <f t="shared" si="26"/>
        <v>Y</v>
      </c>
      <c r="BV16" s="296" t="str">
        <f t="shared" si="27"/>
        <v>Y</v>
      </c>
      <c r="BW16" s="297" t="str">
        <f t="shared" si="36"/>
        <v>Y</v>
      </c>
      <c r="BY16" s="352">
        <f t="shared" si="37"/>
        <v>0</v>
      </c>
      <c r="BZ16" s="353">
        <f t="shared" si="38"/>
        <v>0.9</v>
      </c>
      <c r="CA16" s="353">
        <f t="shared" si="39"/>
        <v>0</v>
      </c>
      <c r="CB16" s="354">
        <f t="shared" si="40"/>
        <v>0.9</v>
      </c>
      <c r="CD16" s="311">
        <f t="shared" si="41"/>
        <v>11</v>
      </c>
    </row>
    <row r="17" spans="1:82" s="48" customFormat="1" outlineLevel="1" x14ac:dyDescent="0.3">
      <c r="A17" s="202"/>
      <c r="D17" s="48" t="s">
        <v>1411</v>
      </c>
      <c r="E17" s="48" t="s">
        <v>103</v>
      </c>
      <c r="F17" s="755"/>
      <c r="G17" s="755"/>
      <c r="H17" s="755"/>
      <c r="I17" s="755"/>
      <c r="J17" s="755"/>
      <c r="K17" s="755"/>
      <c r="L17" s="454"/>
      <c r="M17" s="455"/>
      <c r="N17" s="456"/>
      <c r="O17" s="211">
        <f>'AVA Metrics'!C2</f>
        <v>45.785484611851167</v>
      </c>
      <c r="P17" s="212">
        <f>'AVA Metrics'!D2</f>
        <v>23.95498392282958</v>
      </c>
      <c r="Q17" s="749"/>
      <c r="R17" s="454">
        <f>O17</f>
        <v>45.785484611851167</v>
      </c>
      <c r="S17" s="455">
        <f>P17*$B$19</f>
        <v>18.152041064738611</v>
      </c>
      <c r="T17" s="230">
        <f t="shared" si="7"/>
        <v>0.3964584238568945</v>
      </c>
      <c r="U17" s="264"/>
      <c r="V17" s="265"/>
      <c r="W17" s="265"/>
      <c r="X17" s="265"/>
      <c r="Y17" s="266"/>
      <c r="Z17" s="265">
        <f>$S17*U$20</f>
        <v>10443.49815601949</v>
      </c>
      <c r="AA17" s="265">
        <f>$S17*V$20</f>
        <v>2623.8946841747011</v>
      </c>
      <c r="AB17" s="265">
        <f>$S17*W$20</f>
        <v>6907.6520754291632</v>
      </c>
      <c r="AC17" s="266">
        <f>$S17*X$20</f>
        <v>7476.4380752748757</v>
      </c>
      <c r="AD17" s="265">
        <f t="shared" si="12"/>
        <v>10443.49815601949</v>
      </c>
      <c r="AE17" s="265">
        <f t="shared" si="13"/>
        <v>2623.8946841747011</v>
      </c>
      <c r="AF17" s="265">
        <f t="shared" si="14"/>
        <v>6907.6520754291632</v>
      </c>
      <c r="AG17" s="266">
        <f t="shared" si="15"/>
        <v>7476.4380752748757</v>
      </c>
      <c r="AH17" s="265">
        <f t="shared" si="16"/>
        <v>10443.49815601949</v>
      </c>
      <c r="AI17" s="265">
        <f t="shared" si="16"/>
        <v>2623.8946841747011</v>
      </c>
      <c r="AJ17" s="265">
        <f t="shared" si="16"/>
        <v>6907.6520754291632</v>
      </c>
      <c r="AK17" s="265">
        <f t="shared" si="16"/>
        <v>7476.4380752748757</v>
      </c>
      <c r="AL17" s="266">
        <f t="shared" si="17"/>
        <v>27451.482990898232</v>
      </c>
      <c r="AM17" s="347"/>
      <c r="AN17" s="264">
        <f>IFERROR(VLOOKUP($A17,'HH &amp; SI'!$B$4:$Z$494,'HH &amp; SI'!V$503,0),0)</f>
        <v>0</v>
      </c>
      <c r="AO17" s="265">
        <f>IFERROR(VLOOKUP($A17,'HH &amp; SI'!$B$4:$Z$494,'HH &amp; SI'!W$503,0),0)</f>
        <v>0</v>
      </c>
      <c r="AP17" s="265">
        <f>IFERROR(VLOOKUP($A17,'HH &amp; SI'!$B$4:$Z$494,'HH &amp; SI'!X$503,0),0)</f>
        <v>0</v>
      </c>
      <c r="AQ17" s="265">
        <f>IFERROR(VLOOKUP($A17,'HH &amp; SI'!$B$4:$Z$494,'HH &amp; SI'!Y$503,0),0)</f>
        <v>0</v>
      </c>
      <c r="AR17" s="266">
        <f t="shared" si="29"/>
        <v>0</v>
      </c>
      <c r="AS17" s="347"/>
      <c r="AT17" s="324">
        <f>IFERROR(VLOOKUP(A17,'Afton FY16 Final'!$A$5:$BV$572,'Afton FY16 Final'!$BV$587,0),0)</f>
        <v>0</v>
      </c>
      <c r="AU17" s="347"/>
      <c r="AV17" s="454">
        <v>0</v>
      </c>
      <c r="AW17" s="265">
        <f>IFERROR(VLOOKUP($A17,'HH &amp; SI'!$B$4:$EY$503,'HH &amp; SI'!EX$503,0),0)</f>
        <v>0</v>
      </c>
      <c r="AX17" s="265">
        <f>IFERROR(VLOOKUP($A17,'HH &amp; SI'!$B$4:$EY$503,'HH &amp; SI'!EY$503,0),0)</f>
        <v>0</v>
      </c>
      <c r="AY17" s="265"/>
      <c r="AZ17" s="266"/>
      <c r="BA17" s="264"/>
      <c r="BB17" s="265"/>
      <c r="BC17" s="342" t="str">
        <f t="shared" si="31"/>
        <v/>
      </c>
      <c r="BD17" s="347"/>
      <c r="BE17" s="377">
        <f>'Original Title I &amp; II'!AZ17</f>
        <v>0</v>
      </c>
      <c r="BF17" s="244"/>
      <c r="BG17" s="266">
        <f t="shared" si="23"/>
        <v>0</v>
      </c>
      <c r="BI17" s="203"/>
      <c r="BJ17" s="203"/>
      <c r="BK17" s="203"/>
      <c r="BL17" s="203"/>
      <c r="BM17" s="203"/>
      <c r="BN17" s="200"/>
      <c r="BP17" s="298" t="s">
        <v>1448</v>
      </c>
      <c r="BQ17" s="299" t="str">
        <f t="shared" si="34"/>
        <v>Y</v>
      </c>
      <c r="BR17" s="300" t="s">
        <v>1448</v>
      </c>
      <c r="BT17" s="298" t="str">
        <f t="shared" si="35"/>
        <v>Y</v>
      </c>
      <c r="BU17" s="299" t="str">
        <f t="shared" si="26"/>
        <v>Y</v>
      </c>
      <c r="BV17" s="299" t="str">
        <f t="shared" si="27"/>
        <v>Y</v>
      </c>
      <c r="BW17" s="300" t="str">
        <f t="shared" si="36"/>
        <v>Y</v>
      </c>
      <c r="BY17" s="355">
        <f t="shared" si="37"/>
        <v>0</v>
      </c>
      <c r="BZ17" s="356">
        <f t="shared" si="38"/>
        <v>0</v>
      </c>
      <c r="CA17" s="356">
        <f t="shared" si="39"/>
        <v>0.95</v>
      </c>
      <c r="CB17" s="357">
        <f t="shared" si="40"/>
        <v>0.95</v>
      </c>
      <c r="CD17" s="312">
        <f t="shared" si="41"/>
        <v>12</v>
      </c>
    </row>
    <row r="18" spans="1:82" s="197" customFormat="1" outlineLevel="1" x14ac:dyDescent="0.3">
      <c r="A18" s="196"/>
      <c r="D18" s="197" t="s">
        <v>878</v>
      </c>
      <c r="F18" s="756"/>
      <c r="G18" s="756"/>
      <c r="H18" s="756"/>
      <c r="I18" s="756"/>
      <c r="J18" s="756"/>
      <c r="K18" s="756"/>
      <c r="L18" s="757"/>
      <c r="M18" s="758"/>
      <c r="N18" s="768"/>
      <c r="O18" s="214"/>
      <c r="P18" s="216"/>
      <c r="Q18" s="750"/>
      <c r="R18" s="757">
        <f>SUM(R17)</f>
        <v>45.785484611851167</v>
      </c>
      <c r="S18" s="758">
        <f>SUM(S17)</f>
        <v>18.152041064738611</v>
      </c>
      <c r="T18" s="231"/>
      <c r="U18" s="267"/>
      <c r="V18" s="268"/>
      <c r="W18" s="268"/>
      <c r="X18" s="268"/>
      <c r="Y18" s="269"/>
      <c r="Z18" s="268">
        <f>SUM(Z17)</f>
        <v>10443.49815601949</v>
      </c>
      <c r="AA18" s="268">
        <f t="shared" ref="AA18:AC18" si="42">SUM(AA17)</f>
        <v>2623.8946841747011</v>
      </c>
      <c r="AB18" s="268">
        <f t="shared" si="42"/>
        <v>6907.6520754291632</v>
      </c>
      <c r="AC18" s="269">
        <f t="shared" si="42"/>
        <v>7476.4380752748757</v>
      </c>
      <c r="AD18" s="268"/>
      <c r="AE18" s="268"/>
      <c r="AF18" s="268"/>
      <c r="AG18" s="269"/>
      <c r="AH18" s="268"/>
      <c r="AI18" s="268"/>
      <c r="AJ18" s="268"/>
      <c r="AK18" s="268"/>
      <c r="AL18" s="269"/>
      <c r="AM18" s="348"/>
      <c r="AN18" s="267"/>
      <c r="AO18" s="268"/>
      <c r="AP18" s="268"/>
      <c r="AQ18" s="268"/>
      <c r="AR18" s="269"/>
      <c r="AS18" s="348"/>
      <c r="AT18" s="325"/>
      <c r="AU18" s="348"/>
      <c r="AV18" s="757"/>
      <c r="AW18" s="268"/>
      <c r="AX18" s="268"/>
      <c r="AY18" s="268"/>
      <c r="AZ18" s="269"/>
      <c r="BA18" s="267"/>
      <c r="BB18" s="268"/>
      <c r="BC18" s="343" t="str">
        <f t="shared" si="31"/>
        <v/>
      </c>
      <c r="BD18" s="348"/>
      <c r="BE18" s="371"/>
      <c r="BF18" s="369"/>
      <c r="BG18" s="269"/>
      <c r="BI18" s="198"/>
      <c r="BL18" s="198"/>
      <c r="BN18" s="199"/>
      <c r="BP18" s="301" t="s">
        <v>1450</v>
      </c>
      <c r="BQ18" s="302" t="str">
        <f t="shared" si="34"/>
        <v>N</v>
      </c>
      <c r="BR18" s="303" t="s">
        <v>1448</v>
      </c>
      <c r="BT18" s="301" t="str">
        <f t="shared" si="35"/>
        <v>N</v>
      </c>
      <c r="BU18" s="302" t="s">
        <v>1450</v>
      </c>
      <c r="BV18" s="302" t="s">
        <v>1450</v>
      </c>
      <c r="BW18" s="303" t="s">
        <v>1450</v>
      </c>
      <c r="BY18" s="358">
        <f t="shared" si="37"/>
        <v>0.85</v>
      </c>
      <c r="BZ18" s="359">
        <f t="shared" si="38"/>
        <v>0</v>
      </c>
      <c r="CA18" s="359">
        <f t="shared" si="39"/>
        <v>0</v>
      </c>
      <c r="CB18" s="360">
        <f t="shared" si="40"/>
        <v>0.85</v>
      </c>
      <c r="CD18" s="313">
        <f t="shared" si="41"/>
        <v>13</v>
      </c>
    </row>
    <row r="19" spans="1:82" s="197" customFormat="1" outlineLevel="1" x14ac:dyDescent="0.3">
      <c r="A19" s="196" t="s">
        <v>880</v>
      </c>
      <c r="B19" s="197">
        <f>M19/P19</f>
        <v>0.75775634511861867</v>
      </c>
      <c r="D19" s="197" t="s">
        <v>879</v>
      </c>
      <c r="F19" s="756">
        <f t="shared" ref="F19:K19" si="43">SUM(F6:F17)</f>
        <v>5806</v>
      </c>
      <c r="G19" s="756">
        <f t="shared" si="43"/>
        <v>21</v>
      </c>
      <c r="H19" s="756">
        <f t="shared" si="43"/>
        <v>0</v>
      </c>
      <c r="I19" s="756">
        <f t="shared" si="43"/>
        <v>38</v>
      </c>
      <c r="J19" s="756">
        <f t="shared" si="43"/>
        <v>0</v>
      </c>
      <c r="K19" s="756">
        <f t="shared" si="43"/>
        <v>5827</v>
      </c>
      <c r="L19" s="757">
        <f t="shared" ref="L19:M19" si="44">SUM(L6:L17)</f>
        <v>15537</v>
      </c>
      <c r="M19" s="758">
        <f t="shared" si="44"/>
        <v>5865</v>
      </c>
      <c r="N19" s="768"/>
      <c r="O19" s="217">
        <f>SUM(O6:O17)</f>
        <v>9985.7854846118516</v>
      </c>
      <c r="P19" s="218">
        <f>SUM(P6:P17)</f>
        <v>7739.9549839228293</v>
      </c>
      <c r="Q19" s="750"/>
      <c r="R19" s="757">
        <f>SUM(R6:R17)</f>
        <v>15537.000000000002</v>
      </c>
      <c r="S19" s="758">
        <f>SUM(S6:S17)</f>
        <v>5865</v>
      </c>
      <c r="T19" s="231"/>
      <c r="U19" s="267">
        <f>SUM(U6:U17)</f>
        <v>3374337.7103767213</v>
      </c>
      <c r="V19" s="268">
        <f t="shared" ref="V19:Y19" si="45">SUM(V6:V17)</f>
        <v>847791.2906763372</v>
      </c>
      <c r="W19" s="268">
        <f t="shared" si="45"/>
        <v>2231891.1288214098</v>
      </c>
      <c r="X19" s="268">
        <f t="shared" si="45"/>
        <v>2415668.2521320954</v>
      </c>
      <c r="Y19" s="269">
        <f t="shared" si="45"/>
        <v>8869688.3820065632</v>
      </c>
      <c r="Z19" s="268">
        <f>SUM(Z6:Z17)</f>
        <v>3374337.7103767213</v>
      </c>
      <c r="AA19" s="268">
        <f t="shared" ref="AA19:AL19" si="46">SUM(AA6:AA17)</f>
        <v>847791.2906763372</v>
      </c>
      <c r="AB19" s="268">
        <f t="shared" si="46"/>
        <v>2231891.1288214093</v>
      </c>
      <c r="AC19" s="269">
        <f t="shared" si="46"/>
        <v>2415668.2521320949</v>
      </c>
      <c r="AD19" s="268">
        <f t="shared" si="46"/>
        <v>3374337.7103767213</v>
      </c>
      <c r="AE19" s="268">
        <f t="shared" si="46"/>
        <v>847791.2906763372</v>
      </c>
      <c r="AF19" s="268">
        <f t="shared" si="46"/>
        <v>2231891.1288214093</v>
      </c>
      <c r="AG19" s="269">
        <f t="shared" si="46"/>
        <v>2415668.2521320949</v>
      </c>
      <c r="AH19" s="268">
        <f t="shared" si="46"/>
        <v>3374337.7103767213</v>
      </c>
      <c r="AI19" s="268">
        <f t="shared" si="46"/>
        <v>847791.2906763372</v>
      </c>
      <c r="AJ19" s="268">
        <f t="shared" si="46"/>
        <v>2231891.1288214093</v>
      </c>
      <c r="AK19" s="268">
        <f t="shared" si="46"/>
        <v>2415668.2521320949</v>
      </c>
      <c r="AL19" s="269">
        <f t="shared" si="46"/>
        <v>8869688.3820065632</v>
      </c>
      <c r="AM19" s="348"/>
      <c r="AN19" s="267">
        <f t="shared" ref="AN19:AR19" si="47">SUM(AN6:AN17)</f>
        <v>3333497.969736726</v>
      </c>
      <c r="AO19" s="268">
        <f t="shared" ref="AO19" si="48">SUM(AO6:AO17)</f>
        <v>834140.56029141834</v>
      </c>
      <c r="AP19" s="268">
        <f t="shared" si="47"/>
        <v>2208993.1860701228</v>
      </c>
      <c r="AQ19" s="268">
        <f t="shared" si="47"/>
        <v>2391631.1944608185</v>
      </c>
      <c r="AR19" s="269">
        <f t="shared" si="47"/>
        <v>8768262.9105590861</v>
      </c>
      <c r="AS19" s="348"/>
      <c r="AT19" s="325">
        <f t="shared" ref="AT19:BB19" si="49">SUM(AT6:AT17)</f>
        <v>8881758.10150134</v>
      </c>
      <c r="AU19" s="348"/>
      <c r="AV19" s="757">
        <f t="shared" si="49"/>
        <v>0</v>
      </c>
      <c r="AW19" s="268">
        <f t="shared" si="49"/>
        <v>86785.233049477945</v>
      </c>
      <c r="AX19" s="268">
        <f t="shared" si="49"/>
        <v>8681477.6775096096</v>
      </c>
      <c r="AY19" s="268">
        <f t="shared" si="49"/>
        <v>83087.977873942204</v>
      </c>
      <c r="AZ19" s="269">
        <f t="shared" si="49"/>
        <v>8598389.6996356659</v>
      </c>
      <c r="BA19" s="267">
        <f t="shared" si="49"/>
        <v>85983.896996356663</v>
      </c>
      <c r="BB19" s="268">
        <f t="shared" si="49"/>
        <v>8512405.8026393112</v>
      </c>
      <c r="BC19" s="343">
        <f t="shared" si="31"/>
        <v>0.95841450592990196</v>
      </c>
      <c r="BD19" s="348"/>
      <c r="BE19" s="371">
        <f t="shared" ref="BE19:BG19" si="50">SUM(BE6:BE17)</f>
        <v>0</v>
      </c>
      <c r="BF19" s="369">
        <f t="shared" si="50"/>
        <v>0</v>
      </c>
      <c r="BG19" s="269">
        <f t="shared" si="50"/>
        <v>8512405.8026393112</v>
      </c>
      <c r="BI19" s="198"/>
      <c r="BL19" s="198"/>
      <c r="BN19" s="199"/>
      <c r="BP19" s="301" t="s">
        <v>1450</v>
      </c>
      <c r="BQ19" s="302" t="str">
        <f t="shared" si="34"/>
        <v>N</v>
      </c>
      <c r="BR19" s="303" t="s">
        <v>1448</v>
      </c>
      <c r="BT19" s="301" t="str">
        <f t="shared" si="35"/>
        <v>N</v>
      </c>
      <c r="BU19" s="302" t="s">
        <v>1450</v>
      </c>
      <c r="BV19" s="302" t="s">
        <v>1450</v>
      </c>
      <c r="BW19" s="303" t="s">
        <v>1450</v>
      </c>
      <c r="BY19" s="358">
        <f t="shared" si="37"/>
        <v>0.85</v>
      </c>
      <c r="BZ19" s="359">
        <f t="shared" si="38"/>
        <v>0</v>
      </c>
      <c r="CA19" s="359">
        <f t="shared" si="39"/>
        <v>0</v>
      </c>
      <c r="CB19" s="360">
        <f t="shared" si="40"/>
        <v>0.85</v>
      </c>
      <c r="CD19" s="313">
        <f t="shared" si="41"/>
        <v>14</v>
      </c>
    </row>
    <row r="20" spans="1:82" s="197" customFormat="1" outlineLevel="1" x14ac:dyDescent="0.3">
      <c r="A20" s="196"/>
      <c r="F20" s="756"/>
      <c r="G20" s="756"/>
      <c r="H20" s="756"/>
      <c r="I20" s="756"/>
      <c r="J20" s="756"/>
      <c r="K20" s="756"/>
      <c r="L20" s="757"/>
      <c r="M20" s="758"/>
      <c r="N20" s="768"/>
      <c r="O20" s="214"/>
      <c r="P20" s="216"/>
      <c r="Q20" s="750"/>
      <c r="R20" s="757"/>
      <c r="S20" s="758"/>
      <c r="T20" s="231"/>
      <c r="U20" s="267">
        <f>U19/$S19</f>
        <v>575.33464797557053</v>
      </c>
      <c r="V20" s="268">
        <f>V19/$S19</f>
        <v>144.55094470184778</v>
      </c>
      <c r="W20" s="268">
        <f>W19/$S19</f>
        <v>380.54409698574761</v>
      </c>
      <c r="X20" s="268">
        <f>X19/$S19</f>
        <v>411.87864486480743</v>
      </c>
      <c r="Y20" s="269" t="str">
        <f>IFERROR(VLOOKUP($B20,#REF!,12,FALSE),"")</f>
        <v/>
      </c>
      <c r="Z20" s="268"/>
      <c r="AA20" s="268"/>
      <c r="AB20" s="268"/>
      <c r="AC20" s="269"/>
      <c r="AD20" s="268">
        <f>(Z19-AD19)/COUNT(AD6:AD17)</f>
        <v>0</v>
      </c>
      <c r="AE20" s="268">
        <f>(AA19-AE19)/COUNT(AE6:AE17)</f>
        <v>0</v>
      </c>
      <c r="AF20" s="268">
        <f>(AB19-AF19)/COUNT(AF6:AF17)</f>
        <v>0</v>
      </c>
      <c r="AG20" s="269">
        <f>(AC19-AG19)/COUNT(AG6:AG17)</f>
        <v>0</v>
      </c>
      <c r="AH20" s="268"/>
      <c r="AI20" s="268"/>
      <c r="AJ20" s="268"/>
      <c r="AK20" s="268"/>
      <c r="AL20" s="280"/>
      <c r="AM20" s="348"/>
      <c r="AN20" s="267"/>
      <c r="AO20" s="268"/>
      <c r="AP20" s="268"/>
      <c r="AQ20" s="268"/>
      <c r="AR20" s="280"/>
      <c r="AS20" s="348"/>
      <c r="AT20" s="325"/>
      <c r="AU20" s="348"/>
      <c r="AV20" s="757"/>
      <c r="AW20" s="268"/>
      <c r="AX20" s="268"/>
      <c r="AY20" s="268"/>
      <c r="AZ20" s="269"/>
      <c r="BA20" s="267"/>
      <c r="BB20" s="268"/>
      <c r="BC20" s="343" t="str">
        <f t="shared" si="31"/>
        <v/>
      </c>
      <c r="BD20" s="348"/>
      <c r="BE20" s="371"/>
      <c r="BF20" s="369"/>
      <c r="BG20" s="269"/>
      <c r="BI20" s="198"/>
      <c r="BL20" s="198"/>
      <c r="BN20" s="199"/>
      <c r="BP20" s="301" t="s">
        <v>1450</v>
      </c>
      <c r="BQ20" s="302" t="str">
        <f t="shared" si="34"/>
        <v>N</v>
      </c>
      <c r="BR20" s="303" t="s">
        <v>1448</v>
      </c>
      <c r="BT20" s="301" t="str">
        <f t="shared" si="35"/>
        <v>N</v>
      </c>
      <c r="BU20" s="302" t="s">
        <v>1450</v>
      </c>
      <c r="BV20" s="302" t="s">
        <v>1450</v>
      </c>
      <c r="BW20" s="303" t="s">
        <v>1450</v>
      </c>
      <c r="BY20" s="358">
        <f t="shared" si="37"/>
        <v>0.85</v>
      </c>
      <c r="BZ20" s="359">
        <f t="shared" si="38"/>
        <v>0</v>
      </c>
      <c r="CA20" s="359">
        <f t="shared" si="39"/>
        <v>0</v>
      </c>
      <c r="CB20" s="360">
        <f t="shared" si="40"/>
        <v>0.85</v>
      </c>
      <c r="CD20" s="313">
        <f t="shared" si="41"/>
        <v>15</v>
      </c>
    </row>
    <row r="21" spans="1:82" s="199" customFormat="1" outlineLevel="1" x14ac:dyDescent="0.3">
      <c r="A21" s="201"/>
      <c r="F21" s="759"/>
      <c r="G21" s="759"/>
      <c r="H21" s="759"/>
      <c r="I21" s="759"/>
      <c r="J21" s="759"/>
      <c r="K21" s="759"/>
      <c r="L21" s="509"/>
      <c r="M21" s="510"/>
      <c r="N21" s="511"/>
      <c r="O21" s="220"/>
      <c r="P21" s="222"/>
      <c r="Q21" s="751"/>
      <c r="R21" s="509"/>
      <c r="S21" s="510"/>
      <c r="T21" s="232"/>
      <c r="U21" s="270" t="str">
        <f>IFERROR(VLOOKUP($B21,#REF!,8,FALSE),"")</f>
        <v/>
      </c>
      <c r="V21" s="271" t="str">
        <f>IFERROR(VLOOKUP($B21,#REF!,9,FALSE),"")</f>
        <v/>
      </c>
      <c r="W21" s="271" t="str">
        <f>IFERROR(VLOOKUP($B21,#REF!,10,FALSE),"")</f>
        <v/>
      </c>
      <c r="X21" s="271" t="str">
        <f>IFERROR(VLOOKUP($B21,#REF!,11,FALSE),"")</f>
        <v/>
      </c>
      <c r="Y21" s="272" t="str">
        <f>IFERROR(VLOOKUP($B21,#REF!,12,FALSE),"")</f>
        <v/>
      </c>
      <c r="Z21" s="271"/>
      <c r="AA21" s="271"/>
      <c r="AB21" s="271"/>
      <c r="AC21" s="272"/>
      <c r="AD21" s="271"/>
      <c r="AE21" s="271"/>
      <c r="AF21" s="271"/>
      <c r="AG21" s="272"/>
      <c r="AH21" s="271"/>
      <c r="AI21" s="271"/>
      <c r="AJ21" s="271"/>
      <c r="AK21" s="271"/>
      <c r="AL21" s="272"/>
      <c r="AM21" s="349"/>
      <c r="AN21" s="270"/>
      <c r="AO21" s="271"/>
      <c r="AP21" s="271"/>
      <c r="AQ21" s="271"/>
      <c r="AR21" s="272"/>
      <c r="AS21" s="349"/>
      <c r="AT21" s="326"/>
      <c r="AU21" s="349"/>
      <c r="AV21" s="509"/>
      <c r="AW21" s="271"/>
      <c r="AX21" s="271"/>
      <c r="AY21" s="271"/>
      <c r="AZ21" s="272"/>
      <c r="BA21" s="270"/>
      <c r="BB21" s="271"/>
      <c r="BC21" s="344" t="str">
        <f t="shared" si="31"/>
        <v/>
      </c>
      <c r="BD21" s="349"/>
      <c r="BE21" s="378">
        <f>'Original Title I &amp; II'!AZ21</f>
        <v>0</v>
      </c>
      <c r="BF21" s="245"/>
      <c r="BG21" s="272">
        <f t="shared" ref="BG21:BG48" si="51">IF(BF21&lt;0,BB21+BF21,BB21)</f>
        <v>0</v>
      </c>
      <c r="BI21" s="200"/>
      <c r="BL21" s="200"/>
      <c r="BP21" s="304" t="s">
        <v>1450</v>
      </c>
      <c r="BQ21" s="305" t="str">
        <f t="shared" si="34"/>
        <v>N</v>
      </c>
      <c r="BR21" s="306" t="s">
        <v>1448</v>
      </c>
      <c r="BT21" s="304" t="str">
        <f t="shared" si="35"/>
        <v>N</v>
      </c>
      <c r="BU21" s="305" t="s">
        <v>1450</v>
      </c>
      <c r="BV21" s="305" t="s">
        <v>1450</v>
      </c>
      <c r="BW21" s="306" t="s">
        <v>1450</v>
      </c>
      <c r="BY21" s="361">
        <f t="shared" si="37"/>
        <v>0.85</v>
      </c>
      <c r="BZ21" s="362">
        <f t="shared" si="38"/>
        <v>0</v>
      </c>
      <c r="CA21" s="362">
        <f t="shared" si="39"/>
        <v>0</v>
      </c>
      <c r="CB21" s="363">
        <f t="shared" si="40"/>
        <v>0.85</v>
      </c>
      <c r="CD21" s="314">
        <f t="shared" si="41"/>
        <v>16</v>
      </c>
    </row>
    <row r="22" spans="1:82" outlineLevel="1" x14ac:dyDescent="0.3">
      <c r="A22" s="1">
        <v>20453000</v>
      </c>
      <c r="B22" s="47">
        <f>VLOOKUP(C22,'NCES ID'!$A$2:$B$3136,2,FALSE)</f>
        <v>400870</v>
      </c>
      <c r="C22" s="47">
        <f>VLOOKUP(A22,'State ID'!$A$2:$B$713,2,FALSE)</f>
        <v>4187</v>
      </c>
      <c r="D22" s="147" t="s">
        <v>53</v>
      </c>
      <c r="E22" s="47" t="s">
        <v>54</v>
      </c>
      <c r="F22" s="382">
        <f>IFERROR(VLOOKUP($B22,'update_Formula counts'!$D$7:$R$234,'update_Formula counts'!F$5,0),0)</f>
        <v>22</v>
      </c>
      <c r="G22" s="382">
        <f>IFERROR(VLOOKUP($B22,'update_Formula counts'!$D$7:$R$234,'update_Formula counts'!G$5,0),0)</f>
        <v>0</v>
      </c>
      <c r="H22" s="382">
        <f>IFERROR(VLOOKUP($B22,'update_Formula counts'!$D$7:$R$234,'update_Formula counts'!H$5,0),0)</f>
        <v>0</v>
      </c>
      <c r="I22" s="382">
        <f>IFERROR(VLOOKUP($B22,'update_Formula counts'!$D$7:$R$234,'update_Formula counts'!I$5,0),0)</f>
        <v>1</v>
      </c>
      <c r="J22" s="382">
        <f>IFERROR(VLOOKUP($B22,'update_Formula counts'!$D$7:$R$234,'update_Formula counts'!J$5,0),0)</f>
        <v>0</v>
      </c>
      <c r="K22" s="382">
        <f t="shared" ref="K22:K43" si="52">M22-I22</f>
        <v>22</v>
      </c>
      <c r="L22" s="444">
        <f>IFERROR(VLOOKUP($B22,'update_Formula counts'!$D$7:$R$234,'update_Formula counts'!L$5,0),0)</f>
        <v>49</v>
      </c>
      <c r="M22" s="445">
        <f>IFERROR(VLOOKUP($B22,'update_Formula counts'!$D$7:$R$234,'update_Formula counts'!K$5,0),0)</f>
        <v>23</v>
      </c>
      <c r="N22" s="446">
        <f>IFERROR(VLOOKUP($B22,'update_Formula counts'!$D$7:$R$234,'update_Formula counts'!M$5,0),0)</f>
        <v>0.46938775510204084</v>
      </c>
      <c r="O22" s="137">
        <f>VLOOKUP($C22,'Final SEA Counts'!$A$2:$F$709,5,FALSE)</f>
        <v>25</v>
      </c>
      <c r="P22" s="208">
        <f>VLOOKUP($C22,'Final SEA Counts'!$A$2:$F$709,6,FALSE)</f>
        <v>25</v>
      </c>
      <c r="Q22" s="748">
        <f>-F22/($F$50-$F$43)*$S$49+(M22/($M$50-$M$43)*$M$43)</f>
        <v>-3.319861712185654</v>
      </c>
      <c r="R22" s="444">
        <f t="shared" ref="R22:R42" si="53">L22-(L22/(L$50-L$43))*R$49+(L22/(L$50-L$43))*L$43</f>
        <v>44.036926430671528</v>
      </c>
      <c r="S22" s="445">
        <f>Q22+K22+I22</f>
        <v>19.680138287814344</v>
      </c>
      <c r="T22" s="229">
        <f t="shared" ref="T22:T42" si="54">S22/R22</f>
        <v>0.44690081445164648</v>
      </c>
      <c r="U22" s="261">
        <f>VLOOKUP($B22,update_Allocation!$D$8:$Q$235,update_Allocation!K$239,0)</f>
        <v>14785.042331209534</v>
      </c>
      <c r="V22" s="262">
        <f>VLOOKUP($B22,update_Allocation!$D$8:$Q$235,update_Allocation!L$239,0)</f>
        <v>3576.2618223327281</v>
      </c>
      <c r="W22" s="262">
        <f>VLOOKUP($B22,update_Allocation!$D$8:$Q$235,update_Allocation!M$239,0)</f>
        <v>10337.520293129757</v>
      </c>
      <c r="X22" s="262">
        <f>VLOOKUP($B22,update_Allocation!$D$8:$Q$235,update_Allocation!N$239,0)</f>
        <v>11393.792634605907</v>
      </c>
      <c r="Y22" s="263">
        <f>VLOOKUP($B22,update_Allocation!$D$8:$Q$235,update_Allocation!O$239,0)</f>
        <v>40092.617081277924</v>
      </c>
      <c r="Z22" s="262">
        <f t="shared" ref="Z22:Z42" si="55">IF(U22=0,"",U22-(U22/(U$50-U$43)*Z$49-U22/(U$50-U$43)*U$43))</f>
        <v>12617.24030499388</v>
      </c>
      <c r="AA22" s="262">
        <f t="shared" ref="AA22:AA42" si="56">IF(V22=0,"",V22-(V22/(V$50-V$43)*AA$49-V22/(V$50-V$43)*V$43))</f>
        <v>3051.905689218002</v>
      </c>
      <c r="AB22" s="262">
        <f t="shared" ref="AB22:AB42" si="57">IF(W22=0,"",W22-(W22/(W$50-W$43)*AB$49-W22/(W$50-W$43)*W$43))</f>
        <v>8821.8196995516246</v>
      </c>
      <c r="AC22" s="263">
        <f t="shared" ref="AC22:AC42" si="58">IF(X22=0,"",X22-(X22/(X$50-X$43)*AC$49-X22/(X$50-X$43)*X$43))</f>
        <v>9723.2200243779425</v>
      </c>
      <c r="AD22" s="262">
        <f t="shared" ref="AD22:AD48" si="59">IF(BT22="Y",Z22,"")</f>
        <v>12617.24030499388</v>
      </c>
      <c r="AE22" s="262">
        <f t="shared" ref="AE22:AE48" si="60">IF(BU22="Y",AA22,"")</f>
        <v>3051.905689218002</v>
      </c>
      <c r="AF22" s="262">
        <f t="shared" ref="AF22:AF48" si="61">IF(BV22="Y",AB22,"")</f>
        <v>8821.8196995516246</v>
      </c>
      <c r="AG22" s="263">
        <f t="shared" ref="AG22:AG48" si="62">IF(BW22="Y",AC22,"")</f>
        <v>9723.2200243779425</v>
      </c>
      <c r="AH22" s="262">
        <f t="shared" ref="AH22:AK24" si="63">IF(AD22="","",AD22+AD$51)</f>
        <v>12617.24030499388</v>
      </c>
      <c r="AI22" s="262">
        <f t="shared" si="63"/>
        <v>4087.3559827651002</v>
      </c>
      <c r="AJ22" s="262">
        <f t="shared" si="63"/>
        <v>8821.8196995516246</v>
      </c>
      <c r="AK22" s="262">
        <f t="shared" si="63"/>
        <v>9723.2200243779425</v>
      </c>
      <c r="AL22" s="263">
        <f t="shared" ref="AL22:AL42" si="64">SUM(AH22:AK22)</f>
        <v>35249.636011688548</v>
      </c>
      <c r="AM22" s="346"/>
      <c r="AN22" s="261">
        <f>IFERROR(VLOOKUP($A22,'HH &amp; SI'!$B$4:$Z$494,'HH &amp; SI'!V$503,0),0)</f>
        <v>12617.55068216576</v>
      </c>
      <c r="AO22" s="262">
        <f>IFERROR(VLOOKUP($A22,'HH &amp; SI'!$B$4:$Z$494,'HH &amp; SI'!W$503,0),0)</f>
        <v>3952.7334204556537</v>
      </c>
      <c r="AP22" s="262">
        <f>IFERROR(VLOOKUP($A22,'HH &amp; SI'!$B$4:$Z$494,'HH &amp; SI'!X$503,0),0)</f>
        <v>8759.4695431312193</v>
      </c>
      <c r="AQ22" s="262">
        <f>IFERROR(VLOOKUP($A22,'HH &amp; SI'!$B$4:$Z$494,'HH &amp; SI'!Y$503,0),0)</f>
        <v>9616.0876423994032</v>
      </c>
      <c r="AR22" s="263">
        <f t="shared" ref="AR22:AR48" si="65">SUM(AN22:AQ22)</f>
        <v>34945.841288152042</v>
      </c>
      <c r="AS22" s="346"/>
      <c r="AT22" s="323">
        <f>IFERROR(VLOOKUP(A22,'Afton FY16 Final'!$A$5:$BV$572,'Afton FY16 Final'!$BV$587,0),0)</f>
        <v>34501.018614607194</v>
      </c>
      <c r="AU22" s="346"/>
      <c r="AV22" s="444">
        <v>0</v>
      </c>
      <c r="AW22" s="262">
        <f>IFERROR(VLOOKUP($A22,'HH &amp; SI'!$B$4:$EY$503,'HH &amp; SI'!EX$503,0),0)</f>
        <v>444.82267354484793</v>
      </c>
      <c r="AX22" s="262">
        <f>IFERROR(VLOOKUP($A22,'HH &amp; SI'!$B$4:$EY$503,'HH &amp; SI'!EY$503,0),0)</f>
        <v>34501.018614607194</v>
      </c>
      <c r="AY22" s="262">
        <f>AX22/$AX$582*'update_State Admin 1004(b)'!$B$30*0.01</f>
        <v>330.19953258709256</v>
      </c>
      <c r="AZ22" s="263">
        <f t="shared" ref="AZ22:AZ47" si="66">AX22-AY22</f>
        <v>34170.819082020098</v>
      </c>
      <c r="BA22" s="261">
        <f t="shared" ref="BA22:BA47" si="67">AZ22*0.01</f>
        <v>341.70819082020097</v>
      </c>
      <c r="BB22" s="262">
        <f t="shared" ref="BB22:BB47" si="68">AZ22-BA22</f>
        <v>33829.110891199896</v>
      </c>
      <c r="BC22" s="341">
        <f t="shared" si="31"/>
        <v>0.98052498881517591</v>
      </c>
      <c r="BD22" s="346"/>
      <c r="BE22" s="376" t="str">
        <f>'Original Title I &amp; II'!AZ22</f>
        <v/>
      </c>
      <c r="BF22" s="243" t="str">
        <f>IF(BE22&lt;0,BB22*BE22/100,"")</f>
        <v/>
      </c>
      <c r="BG22" s="263">
        <f t="shared" si="51"/>
        <v>33829.110891199896</v>
      </c>
      <c r="BI22" s="31">
        <f>IFERROR(VLOOKUP(A22,'Title II Hold Harmless'!A$1:B$439,2, FALSE),"")</f>
        <v>2764</v>
      </c>
      <c r="BJ22" s="31">
        <f>IFERROR($BI$587*(0.8*($S22/$S$584)+0.2*($R22/$R$584))+$BI22,$BI$587*(0.8*($S22/$S$584)+0.2*($R22/$R$584)))</f>
        <v>3057.0714783018952</v>
      </c>
      <c r="BK22" s="31">
        <f>$BI$588*BJ22</f>
        <v>3060.0288643632648</v>
      </c>
      <c r="BL22" s="31" t="str">
        <f t="shared" ref="BL22:BL47" si="69">IF(BE22&lt;0,BK22*BE22/100,"")</f>
        <v/>
      </c>
      <c r="BM22" s="31">
        <f t="shared" ref="BM22:BM47" si="70">IF(BL22&lt;0,BK22+BL22,BK22)</f>
        <v>3060.0288643632648</v>
      </c>
      <c r="BN22" s="200"/>
      <c r="BP22" s="295" t="s">
        <v>1447</v>
      </c>
      <c r="BQ22" s="296" t="str">
        <f t="shared" si="34"/>
        <v>Y</v>
      </c>
      <c r="BR22" s="297" t="s">
        <v>1448</v>
      </c>
      <c r="BT22" s="295" t="str">
        <f t="shared" si="35"/>
        <v>Y</v>
      </c>
      <c r="BU22" s="296" t="str">
        <f t="shared" ref="BU22:BU48" si="71">IF(AND(BT22="Y",(OR(T22&gt;0.15,S22&gt;6500))),"Y","N")</f>
        <v>Y</v>
      </c>
      <c r="BV22" s="296" t="str">
        <f t="shared" ref="BV22:BV48" si="72">IF(AND(BT22="Y",T22&gt;=0.05),"Y","N")</f>
        <v>Y</v>
      </c>
      <c r="BW22" s="297" t="str">
        <f t="shared" si="36"/>
        <v>Y</v>
      </c>
      <c r="BY22" s="352">
        <f t="shared" si="37"/>
        <v>0</v>
      </c>
      <c r="BZ22" s="353">
        <f t="shared" si="38"/>
        <v>0</v>
      </c>
      <c r="CA22" s="353">
        <f t="shared" si="39"/>
        <v>0.95</v>
      </c>
      <c r="CB22" s="354">
        <f t="shared" si="40"/>
        <v>0.95</v>
      </c>
      <c r="CD22" s="311">
        <f t="shared" si="41"/>
        <v>17</v>
      </c>
    </row>
    <row r="23" spans="1:82" outlineLevel="1" x14ac:dyDescent="0.3">
      <c r="A23" s="1">
        <v>20218000</v>
      </c>
      <c r="B23" s="47">
        <f>VLOOKUP(C23,'NCES ID'!$A$2:$B$3136,2,FALSE)</f>
        <v>407430</v>
      </c>
      <c r="C23" s="47">
        <f>VLOOKUP(A23,'State ID'!$A$2:$B$713,2,FALSE)</f>
        <v>4172</v>
      </c>
      <c r="D23" s="147" t="s">
        <v>372</v>
      </c>
      <c r="E23" s="47" t="s">
        <v>54</v>
      </c>
      <c r="F23" s="382">
        <f>IFERROR(VLOOKUP($B23,'update_Formula counts'!$D$7:$R$234,'update_Formula counts'!F$5,0),0)</f>
        <v>18</v>
      </c>
      <c r="G23" s="382">
        <f>IFERROR(VLOOKUP($B23,'update_Formula counts'!$D$7:$R$234,'update_Formula counts'!G$5,0),0)</f>
        <v>0</v>
      </c>
      <c r="H23" s="382">
        <f>IFERROR(VLOOKUP($B23,'update_Formula counts'!$D$7:$R$234,'update_Formula counts'!H$5,0),0)</f>
        <v>0</v>
      </c>
      <c r="I23" s="382">
        <f>IFERROR(VLOOKUP($B23,'update_Formula counts'!$D$7:$R$234,'update_Formula counts'!I$5,0),0)</f>
        <v>0</v>
      </c>
      <c r="J23" s="382">
        <f>IFERROR(VLOOKUP($B23,'update_Formula counts'!$D$7:$R$234,'update_Formula counts'!J$5,0),0)</f>
        <v>0</v>
      </c>
      <c r="K23" s="382">
        <f t="shared" si="52"/>
        <v>18</v>
      </c>
      <c r="L23" s="444">
        <f>IFERROR(VLOOKUP($B23,'update_Formula counts'!$D$7:$R$234,'update_Formula counts'!L$5,0),0)</f>
        <v>81</v>
      </c>
      <c r="M23" s="445">
        <f>IFERROR(VLOOKUP($B23,'update_Formula counts'!$D$7:$R$234,'update_Formula counts'!K$5,0),0)</f>
        <v>18</v>
      </c>
      <c r="N23" s="446">
        <f>IFERROR(VLOOKUP($B23,'update_Formula counts'!$D$7:$R$234,'update_Formula counts'!M$5,0),0)</f>
        <v>0.22222222222222221</v>
      </c>
      <c r="O23" s="137">
        <f>VLOOKUP($C23,'Final SEA Counts'!$A$2:$F$709,5,FALSE)</f>
        <v>100</v>
      </c>
      <c r="P23" s="208">
        <f>VLOOKUP($C23,'Final SEA Counts'!$A$2:$F$709,6,FALSE)</f>
        <v>65</v>
      </c>
      <c r="Q23" s="748">
        <f t="shared" ref="Q23:Q42" si="73">-F23/($F$50-$F$43)*$S$49+(M23/($M$50-$M$43)*$M$43)</f>
        <v>-2.7164029669686913</v>
      </c>
      <c r="R23" s="444">
        <f t="shared" si="53"/>
        <v>72.795735528252948</v>
      </c>
      <c r="S23" s="445">
        <f t="shared" ref="S23:S42" si="74">Q23+K23+I23</f>
        <v>15.28359703303131</v>
      </c>
      <c r="T23" s="229">
        <f t="shared" si="54"/>
        <v>0.20995181822291709</v>
      </c>
      <c r="U23" s="261">
        <f>VLOOKUP($B23,update_Allocation!$D$8:$Q$235,update_Allocation!K$239,0)</f>
        <v>8716.8932285223655</v>
      </c>
      <c r="V23" s="262">
        <f>VLOOKUP($B23,update_Allocation!$D$8:$Q$235,update_Allocation!L$239,0)</f>
        <v>2065.5488242496449</v>
      </c>
      <c r="W23" s="262">
        <f>VLOOKUP($B23,update_Allocation!$D$8:$Q$235,update_Allocation!M$239,0)</f>
        <v>3396.1643436267209</v>
      </c>
      <c r="X23" s="262">
        <f>VLOOKUP($B23,update_Allocation!$D$8:$Q$235,update_Allocation!N$239,0)</f>
        <v>2802.9659724151784</v>
      </c>
      <c r="Y23" s="263">
        <f>VLOOKUP($B23,update_Allocation!$D$8:$Q$235,update_Allocation!O$239,0)</f>
        <v>16981.572368813908</v>
      </c>
      <c r="Z23" s="262">
        <f t="shared" si="55"/>
        <v>7438.8110709077109</v>
      </c>
      <c r="AA23" s="262">
        <f t="shared" si="56"/>
        <v>1762.695384526728</v>
      </c>
      <c r="AB23" s="262">
        <f t="shared" si="57"/>
        <v>2898.2143357370196</v>
      </c>
      <c r="AC23" s="263">
        <f t="shared" si="58"/>
        <v>2391.9914768204767</v>
      </c>
      <c r="AD23" s="262">
        <f t="shared" si="59"/>
        <v>7438.8110709077109</v>
      </c>
      <c r="AE23" s="262">
        <f t="shared" si="60"/>
        <v>1762.695384526728</v>
      </c>
      <c r="AF23" s="262">
        <f t="shared" si="61"/>
        <v>2898.2143357370196</v>
      </c>
      <c r="AG23" s="263">
        <f t="shared" si="62"/>
        <v>2391.9914768204767</v>
      </c>
      <c r="AH23" s="262">
        <f t="shared" si="63"/>
        <v>7438.8110709077109</v>
      </c>
      <c r="AI23" s="262">
        <f t="shared" si="63"/>
        <v>2798.1456780738263</v>
      </c>
      <c r="AJ23" s="262">
        <f t="shared" si="63"/>
        <v>2898.2143357370196</v>
      </c>
      <c r="AK23" s="262">
        <f t="shared" si="63"/>
        <v>2391.9914768204767</v>
      </c>
      <c r="AL23" s="263">
        <f t="shared" si="64"/>
        <v>15527.162561539033</v>
      </c>
      <c r="AM23" s="346"/>
      <c r="AN23" s="261">
        <f>IFERROR(VLOOKUP($A23,'HH &amp; SI'!$B$4:$Z$494,'HH &amp; SI'!V$503,0),0)</f>
        <v>7376.2098991329385</v>
      </c>
      <c r="AO23" s="262">
        <f>IFERROR(VLOOKUP($A23,'HH &amp; SI'!$B$4:$Z$494,'HH &amp; SI'!W$503,0),0)</f>
        <v>2705.9849897252261</v>
      </c>
      <c r="AP23" s="262">
        <f>IFERROR(VLOOKUP($A23,'HH &amp; SI'!$B$4:$Z$494,'HH &amp; SI'!X$503,0),0)</f>
        <v>2877.7305667043966</v>
      </c>
      <c r="AQ23" s="262">
        <f>IFERROR(VLOOKUP($A23,'HH &amp; SI'!$B$4:$Z$494,'HH &amp; SI'!Y$503,0),0)</f>
        <v>2365.6360365505202</v>
      </c>
      <c r="AR23" s="263">
        <f t="shared" si="65"/>
        <v>15325.561492113082</v>
      </c>
      <c r="AS23" s="346"/>
      <c r="AT23" s="323">
        <f>IFERROR(VLOOKUP(A23,'Afton FY16 Final'!$A$5:$BV$572,'Afton FY16 Final'!$BV$587,0),0)</f>
        <v>15611.883545749211</v>
      </c>
      <c r="AU23" s="346"/>
      <c r="AV23" s="444">
        <v>0</v>
      </c>
      <c r="AW23" s="262">
        <f>IFERROR(VLOOKUP($A23,'HH &amp; SI'!$B$4:$EY$503,'HH &amp; SI'!EX$503,0),0)</f>
        <v>0</v>
      </c>
      <c r="AX23" s="262">
        <f>IFERROR(VLOOKUP($A23,'HH &amp; SI'!$B$4:$EY$503,'HH &amp; SI'!EY$503,0),0)</f>
        <v>15325.561492113082</v>
      </c>
      <c r="AY23" s="262">
        <f>AX23/$AX$582*'update_State Admin 1004(b)'!$B$30*0.01</f>
        <v>146.67663288028112</v>
      </c>
      <c r="AZ23" s="263">
        <f t="shared" si="66"/>
        <v>15178.884859232801</v>
      </c>
      <c r="BA23" s="261">
        <f t="shared" si="67"/>
        <v>151.78884859232801</v>
      </c>
      <c r="BB23" s="262">
        <f t="shared" si="68"/>
        <v>15027.096010640473</v>
      </c>
      <c r="BC23" s="341">
        <f t="shared" si="31"/>
        <v>0.96254215364884887</v>
      </c>
      <c r="BD23" s="346"/>
      <c r="BE23" s="376" t="str">
        <f>'Original Title I &amp; II'!AZ23</f>
        <v/>
      </c>
      <c r="BF23" s="243" t="str">
        <f>IF(BE23&lt;0,BB23*BE23/100,"")</f>
        <v/>
      </c>
      <c r="BG23" s="263">
        <f t="shared" si="51"/>
        <v>15027.096010640473</v>
      </c>
      <c r="BI23" s="31">
        <f>IFERROR(VLOOKUP(A23,'Title II Hold Harmless'!A$1:B$439,2, FALSE),"")</f>
        <v>5063</v>
      </c>
      <c r="BJ23" s="31">
        <f>IFERROR($BI$587*(0.8*($S23/$S$584)+0.2*($R23/$R$584))+$BI23,$BI$587*(0.8*($S23/$S$584)+0.2*($R23/$R$584)))</f>
        <v>5321.6619102472823</v>
      </c>
      <c r="BK23" s="31">
        <f>$BI$588*BJ23</f>
        <v>5326.8100426571364</v>
      </c>
      <c r="BL23" s="31" t="str">
        <f t="shared" si="69"/>
        <v/>
      </c>
      <c r="BM23" s="31">
        <f t="shared" si="70"/>
        <v>5326.8100426571364</v>
      </c>
      <c r="BN23" s="200"/>
      <c r="BP23" s="295" t="s">
        <v>1447</v>
      </c>
      <c r="BQ23" s="296" t="str">
        <f t="shared" si="34"/>
        <v>Y</v>
      </c>
      <c r="BR23" s="297" t="s">
        <v>1448</v>
      </c>
      <c r="BT23" s="295" t="str">
        <f t="shared" si="35"/>
        <v>Y</v>
      </c>
      <c r="BU23" s="296" t="str">
        <f t="shared" si="71"/>
        <v>Y</v>
      </c>
      <c r="BV23" s="296" t="str">
        <f t="shared" si="72"/>
        <v>Y</v>
      </c>
      <c r="BW23" s="297" t="str">
        <f t="shared" si="36"/>
        <v>Y</v>
      </c>
      <c r="BY23" s="352">
        <f t="shared" si="37"/>
        <v>0</v>
      </c>
      <c r="BZ23" s="353">
        <f t="shared" si="38"/>
        <v>0.9</v>
      </c>
      <c r="CA23" s="353">
        <f t="shared" si="39"/>
        <v>0</v>
      </c>
      <c r="CB23" s="354">
        <f t="shared" si="40"/>
        <v>0.9</v>
      </c>
      <c r="CD23" s="311">
        <f t="shared" si="41"/>
        <v>18</v>
      </c>
    </row>
    <row r="24" spans="1:82" outlineLevel="1" x14ac:dyDescent="0.3">
      <c r="A24" s="1">
        <v>20214000</v>
      </c>
      <c r="B24" s="47">
        <f>VLOOKUP(C24,'NCES ID'!$A$2:$B$3136,2,FALSE)</f>
        <v>401330</v>
      </c>
      <c r="C24" s="47">
        <f>VLOOKUP(A24,'State ID'!$A$2:$B$713,2,FALSE)</f>
        <v>4171</v>
      </c>
      <c r="D24" s="147" t="s">
        <v>76</v>
      </c>
      <c r="E24" s="47" t="s">
        <v>54</v>
      </c>
      <c r="F24" s="382">
        <f>IFERROR(VLOOKUP($B24,'update_Formula counts'!$D$7:$R$234,'update_Formula counts'!F$5,0),0)</f>
        <v>14</v>
      </c>
      <c r="G24" s="382">
        <f>IFERROR(VLOOKUP($B24,'update_Formula counts'!$D$7:$R$234,'update_Formula counts'!G$5,0),0)</f>
        <v>0</v>
      </c>
      <c r="H24" s="382">
        <f>IFERROR(VLOOKUP($B24,'update_Formula counts'!$D$7:$R$234,'update_Formula counts'!H$5,0),0)</f>
        <v>0</v>
      </c>
      <c r="I24" s="382">
        <f>IFERROR(VLOOKUP($B24,'update_Formula counts'!$D$7:$R$234,'update_Formula counts'!I$5,0),0)</f>
        <v>0</v>
      </c>
      <c r="J24" s="382">
        <f>IFERROR(VLOOKUP($B24,'update_Formula counts'!$D$7:$R$234,'update_Formula counts'!J$5,0),0)</f>
        <v>0</v>
      </c>
      <c r="K24" s="382">
        <f t="shared" si="52"/>
        <v>14</v>
      </c>
      <c r="L24" s="444">
        <f>IFERROR(VLOOKUP($B24,'update_Formula counts'!$D$7:$R$234,'update_Formula counts'!L$5,0),0)</f>
        <v>82</v>
      </c>
      <c r="M24" s="445">
        <f>IFERROR(VLOOKUP($B24,'update_Formula counts'!$D$7:$R$234,'update_Formula counts'!K$5,0),0)</f>
        <v>14</v>
      </c>
      <c r="N24" s="446">
        <f>IFERROR(VLOOKUP($B24,'update_Formula counts'!$D$7:$R$234,'update_Formula counts'!M$5,0),0)</f>
        <v>0.17073170731707318</v>
      </c>
      <c r="O24" s="137">
        <f>VLOOKUP($C24,'Final SEA Counts'!$A$2:$F$709,5,FALSE)</f>
        <v>45</v>
      </c>
      <c r="P24" s="208">
        <f>VLOOKUP($C24,'Final SEA Counts'!$A$2:$F$709,6,FALSE)</f>
        <v>39</v>
      </c>
      <c r="Q24" s="748">
        <f t="shared" si="73"/>
        <v>-2.1127578631978712</v>
      </c>
      <c r="R24" s="444">
        <f t="shared" si="53"/>
        <v>73.694448312552367</v>
      </c>
      <c r="S24" s="445">
        <f t="shared" si="74"/>
        <v>11.887242136802129</v>
      </c>
      <c r="T24" s="229">
        <f t="shared" si="54"/>
        <v>0.16130444570785091</v>
      </c>
      <c r="U24" s="261">
        <f>VLOOKUP($B24,update_Allocation!$D$8:$Q$235,update_Allocation!K$239,0)</f>
        <v>12870.659801217331</v>
      </c>
      <c r="V24" s="262">
        <f>VLOOKUP($B24,update_Allocation!$D$8:$Q$235,update_Allocation!L$239,0)</f>
        <v>3274.9530123480254</v>
      </c>
      <c r="W24" s="262">
        <f>VLOOKUP($B24,update_Allocation!$D$8:$Q$235,update_Allocation!M$239,0)</f>
        <v>6143.5705647155828</v>
      </c>
      <c r="X24" s="262">
        <f>VLOOKUP($B24,update_Allocation!$D$8:$Q$235,update_Allocation!N$239,0)</f>
        <v>5899.6619791968251</v>
      </c>
      <c r="Y24" s="263">
        <f>VLOOKUP($B24,update_Allocation!$D$8:$Q$235,update_Allocation!O$239,0)</f>
        <v>28188.845357477767</v>
      </c>
      <c r="Z24" s="262">
        <f t="shared" si="55"/>
        <v>10983.547017176439</v>
      </c>
      <c r="AA24" s="262">
        <f t="shared" si="56"/>
        <v>2794.7751665975957</v>
      </c>
      <c r="AB24" s="262">
        <f t="shared" si="57"/>
        <v>5242.7923038190002</v>
      </c>
      <c r="AC24" s="263">
        <f t="shared" si="58"/>
        <v>5034.6459105249369</v>
      </c>
      <c r="AD24" s="262">
        <f t="shared" si="59"/>
        <v>10983.547017176439</v>
      </c>
      <c r="AE24" s="262">
        <f t="shared" si="60"/>
        <v>2794.7751665975957</v>
      </c>
      <c r="AF24" s="262">
        <f t="shared" si="61"/>
        <v>5242.7923038190002</v>
      </c>
      <c r="AG24" s="263">
        <f t="shared" si="62"/>
        <v>5034.6459105249369</v>
      </c>
      <c r="AH24" s="262">
        <f t="shared" si="63"/>
        <v>10983.547017176439</v>
      </c>
      <c r="AI24" s="262">
        <f t="shared" si="63"/>
        <v>3830.2254601446939</v>
      </c>
      <c r="AJ24" s="262">
        <f t="shared" si="63"/>
        <v>5242.7923038190002</v>
      </c>
      <c r="AK24" s="262">
        <f t="shared" si="63"/>
        <v>5034.6459105249369</v>
      </c>
      <c r="AL24" s="263">
        <f t="shared" si="64"/>
        <v>25091.210691665074</v>
      </c>
      <c r="AM24" s="346"/>
      <c r="AN24" s="261">
        <f>IFERROR(VLOOKUP($A24,'HH &amp; SI'!$B$4:$Z$494,'HH &amp; SI'!V$503,0),0)</f>
        <v>10965.708609190813</v>
      </c>
      <c r="AO24" s="262">
        <f>IFERROR(VLOOKUP($A24,'HH &amp; SI'!$B$4:$Z$494,'HH &amp; SI'!W$503,0),0)</f>
        <v>3704.0718371566786</v>
      </c>
      <c r="AP24" s="262">
        <f>IFERROR(VLOOKUP($A24,'HH &amp; SI'!$B$4:$Z$494,'HH &amp; SI'!X$503,0),0)</f>
        <v>5242.9212736260788</v>
      </c>
      <c r="AQ24" s="262">
        <f>IFERROR(VLOOKUP($A24,'HH &amp; SI'!$B$4:$Z$494,'HH &amp; SI'!Y$503,0),0)</f>
        <v>5038.3679776002564</v>
      </c>
      <c r="AR24" s="263">
        <f t="shared" si="65"/>
        <v>24951.069697573828</v>
      </c>
      <c r="AS24" s="346"/>
      <c r="AT24" s="323">
        <f>IFERROR(VLOOKUP(A24,'Afton FY16 Final'!$A$5:$BV$572,'Afton FY16 Final'!$BV$587,0),0)</f>
        <v>26187.17546260016</v>
      </c>
      <c r="AU24" s="346"/>
      <c r="AV24" s="444">
        <v>0</v>
      </c>
      <c r="AW24" s="262">
        <f>IFERROR(VLOOKUP($A24,'HH &amp; SI'!$B$4:$EY$503,'HH &amp; SI'!EX$503,0),0)</f>
        <v>0</v>
      </c>
      <c r="AX24" s="262">
        <f>IFERROR(VLOOKUP($A24,'HH &amp; SI'!$B$4:$EY$503,'HH &amp; SI'!EY$503,0),0)</f>
        <v>24951.069697573828</v>
      </c>
      <c r="AY24" s="262">
        <f>AX24/$AX$582*'update_State Admin 1004(b)'!$B$30*0.01</f>
        <v>238.7996610685185</v>
      </c>
      <c r="AZ24" s="263">
        <f t="shared" si="66"/>
        <v>24712.27003650531</v>
      </c>
      <c r="BA24" s="261">
        <f t="shared" si="67"/>
        <v>247.12270036505311</v>
      </c>
      <c r="BB24" s="262">
        <f t="shared" si="68"/>
        <v>24465.147336140257</v>
      </c>
      <c r="BC24" s="341">
        <f t="shared" si="31"/>
        <v>0.93424154777901658</v>
      </c>
      <c r="BD24" s="346"/>
      <c r="BE24" s="376" t="str">
        <f>'Original Title I &amp; II'!AZ24</f>
        <v/>
      </c>
      <c r="BF24" s="243" t="str">
        <f>IF(BE24&lt;0,BB24*BE24/100,"")</f>
        <v/>
      </c>
      <c r="BG24" s="263">
        <f t="shared" si="51"/>
        <v>24465.147336140257</v>
      </c>
      <c r="BI24" s="31">
        <f>IFERROR(VLOOKUP(A24,'Title II Hold Harmless'!A$1:B$439,2, FALSE),"")</f>
        <v>5258</v>
      </c>
      <c r="BJ24" s="31">
        <f>IFERROR($BI$587*(0.8*($S24/$S$584)+0.2*($R24/$R$584))+$BI24,$BI$587*(0.8*($S24/$S$584)+0.2*($R24/$R$584)))</f>
        <v>5472.9238773730685</v>
      </c>
      <c r="BK24" s="31">
        <f>$BI$588*BJ24</f>
        <v>5478.2183393785399</v>
      </c>
      <c r="BL24" s="31" t="str">
        <f t="shared" si="69"/>
        <v/>
      </c>
      <c r="BM24" s="31">
        <f t="shared" si="70"/>
        <v>5478.2183393785399</v>
      </c>
      <c r="BN24" s="200"/>
      <c r="BP24" s="295" t="s">
        <v>1447</v>
      </c>
      <c r="BQ24" s="296" t="str">
        <f t="shared" si="34"/>
        <v>Y</v>
      </c>
      <c r="BR24" s="297" t="s">
        <v>1448</v>
      </c>
      <c r="BT24" s="295" t="str">
        <f t="shared" si="35"/>
        <v>Y</v>
      </c>
      <c r="BU24" s="296" t="str">
        <f t="shared" si="71"/>
        <v>Y</v>
      </c>
      <c r="BV24" s="296" t="str">
        <f t="shared" si="72"/>
        <v>Y</v>
      </c>
      <c r="BW24" s="297" t="str">
        <f t="shared" si="36"/>
        <v>Y</v>
      </c>
      <c r="BY24" s="352">
        <f t="shared" si="37"/>
        <v>0</v>
      </c>
      <c r="BZ24" s="353">
        <f t="shared" si="38"/>
        <v>0.9</v>
      </c>
      <c r="CA24" s="353">
        <f t="shared" si="39"/>
        <v>0</v>
      </c>
      <c r="CB24" s="354">
        <f t="shared" si="40"/>
        <v>0.9</v>
      </c>
      <c r="CD24" s="311">
        <f t="shared" si="41"/>
        <v>19</v>
      </c>
    </row>
    <row r="25" spans="1:82" outlineLevel="1" x14ac:dyDescent="0.3">
      <c r="A25" s="1">
        <v>20342000</v>
      </c>
      <c r="B25" s="47">
        <f>VLOOKUP(C25,'NCES ID'!$A$2:$B$3136,2,FALSE)</f>
        <v>400750</v>
      </c>
      <c r="C25" s="47">
        <f>VLOOKUP(A25,'State ID'!$A$2:$B$713,2,FALSE)</f>
        <v>4178</v>
      </c>
      <c r="D25" s="147" t="s">
        <v>550</v>
      </c>
      <c r="E25" s="47" t="s">
        <v>54</v>
      </c>
      <c r="F25" s="382">
        <f>IFERROR(VLOOKUP($B25,'update_Formula counts'!$D$7:$R$234,'update_Formula counts'!F$5,0),0)</f>
        <v>8</v>
      </c>
      <c r="G25" s="382">
        <f>IFERROR(VLOOKUP($B25,'update_Formula counts'!$D$7:$R$234,'update_Formula counts'!G$5,0),0)</f>
        <v>0</v>
      </c>
      <c r="H25" s="382">
        <f>IFERROR(VLOOKUP($B25,'update_Formula counts'!$D$7:$R$234,'update_Formula counts'!H$5,0),0)</f>
        <v>0</v>
      </c>
      <c r="I25" s="382">
        <f>IFERROR(VLOOKUP($B25,'update_Formula counts'!$D$7:$R$234,'update_Formula counts'!I$5,0),0)</f>
        <v>0</v>
      </c>
      <c r="J25" s="382">
        <f>IFERROR(VLOOKUP($B25,'update_Formula counts'!$D$7:$R$234,'update_Formula counts'!J$5,0),0)</f>
        <v>0</v>
      </c>
      <c r="K25" s="382">
        <f t="shared" si="52"/>
        <v>8</v>
      </c>
      <c r="L25" s="444">
        <f>IFERROR(VLOOKUP($B25,'update_Formula counts'!$D$7:$R$234,'update_Formula counts'!L$5,0),0)</f>
        <v>22</v>
      </c>
      <c r="M25" s="445">
        <f>IFERROR(VLOOKUP($B25,'update_Formula counts'!$D$7:$R$234,'update_Formula counts'!K$5,0),0)</f>
        <v>8</v>
      </c>
      <c r="N25" s="446">
        <f>IFERROR(VLOOKUP($B25,'update_Formula counts'!$D$7:$R$234,'update_Formula counts'!M$5,0),0)</f>
        <v>0.36363636363636365</v>
      </c>
      <c r="O25" s="137">
        <f>VLOOKUP($C25,'Final SEA Counts'!$A$2:$F$709,5,FALSE)</f>
        <v>9</v>
      </c>
      <c r="P25" s="208">
        <f>VLOOKUP($C25,'Final SEA Counts'!$A$2:$F$709,6,FALSE)</f>
        <v>0</v>
      </c>
      <c r="Q25" s="748">
        <f t="shared" si="73"/>
        <v>-1.2072902075416405</v>
      </c>
      <c r="R25" s="444">
        <f t="shared" si="53"/>
        <v>19.771681254587222</v>
      </c>
      <c r="S25" s="445">
        <f t="shared" si="74"/>
        <v>6.7927097924583597</v>
      </c>
      <c r="T25" s="229"/>
      <c r="U25" s="261">
        <f>VLOOKUP($B25,update_Allocation!$D$8:$Q$235,update_Allocation!K$239,0)</f>
        <v>0</v>
      </c>
      <c r="V25" s="262">
        <f>VLOOKUP($B25,update_Allocation!$D$8:$Q$235,update_Allocation!L$239,0)</f>
        <v>0</v>
      </c>
      <c r="W25" s="262">
        <f>VLOOKUP($B25,update_Allocation!$D$8:$Q$235,update_Allocation!M$239,0)</f>
        <v>0</v>
      </c>
      <c r="X25" s="262">
        <f>VLOOKUP($B25,update_Allocation!$D$8:$Q$235,update_Allocation!N$239,0)</f>
        <v>0</v>
      </c>
      <c r="Y25" s="263">
        <f>VLOOKUP($B25,update_Allocation!$D$8:$Q$235,update_Allocation!O$239,0)</f>
        <v>0</v>
      </c>
      <c r="Z25" s="262" t="str">
        <f t="shared" si="55"/>
        <v/>
      </c>
      <c r="AA25" s="262" t="str">
        <f t="shared" si="56"/>
        <v/>
      </c>
      <c r="AB25" s="262" t="str">
        <f t="shared" si="57"/>
        <v/>
      </c>
      <c r="AC25" s="263" t="str">
        <f t="shared" si="58"/>
        <v/>
      </c>
      <c r="AD25" s="262" t="str">
        <f t="shared" si="59"/>
        <v/>
      </c>
      <c r="AE25" s="262" t="str">
        <f t="shared" si="60"/>
        <v/>
      </c>
      <c r="AF25" s="262" t="str">
        <f t="shared" si="61"/>
        <v/>
      </c>
      <c r="AG25" s="263" t="str">
        <f t="shared" si="62"/>
        <v/>
      </c>
      <c r="AH25" s="262"/>
      <c r="AI25" s="262"/>
      <c r="AJ25" s="262"/>
      <c r="AK25" s="262"/>
      <c r="AL25" s="263"/>
      <c r="AM25" s="346"/>
      <c r="AN25" s="261">
        <f>IFERROR(VLOOKUP($A25,'HH &amp; SI'!$B$4:$Z$494,'HH &amp; SI'!V$503,0),0)</f>
        <v>0</v>
      </c>
      <c r="AO25" s="262">
        <f>IFERROR(VLOOKUP($A25,'HH &amp; SI'!$B$4:$Z$494,'HH &amp; SI'!W$503,0),0)</f>
        <v>0</v>
      </c>
      <c r="AP25" s="262">
        <f>IFERROR(VLOOKUP($A25,'HH &amp; SI'!$B$4:$Z$494,'HH &amp; SI'!X$503,0),0)</f>
        <v>0</v>
      </c>
      <c r="AQ25" s="262">
        <f>IFERROR(VLOOKUP($A25,'HH &amp; SI'!$B$4:$Z$494,'HH &amp; SI'!Y$503,0),0)</f>
        <v>0</v>
      </c>
      <c r="AR25" s="263">
        <f t="shared" si="65"/>
        <v>0</v>
      </c>
      <c r="AS25" s="346"/>
      <c r="AT25" s="323">
        <f>IFERROR(VLOOKUP(A25,'Afton FY16 Final'!$A$5:$BV$572,'Afton FY16 Final'!$BV$587,0),0)</f>
        <v>0</v>
      </c>
      <c r="AU25" s="346"/>
      <c r="AV25" s="444">
        <v>0</v>
      </c>
      <c r="AW25" s="262">
        <f>IFERROR(VLOOKUP($A25,'HH &amp; SI'!$B$4:$EY$503,'HH &amp; SI'!EX$503,0),0)</f>
        <v>0</v>
      </c>
      <c r="AX25" s="262">
        <f>IFERROR(VLOOKUP($A25,'HH &amp; SI'!$B$4:$EY$503,'HH &amp; SI'!EY$503,0),0)</f>
        <v>0</v>
      </c>
      <c r="AY25" s="262">
        <f>AX25/$AX$582*'update_State Admin 1004(b)'!$B$30*0.01</f>
        <v>0</v>
      </c>
      <c r="AZ25" s="263">
        <f t="shared" si="66"/>
        <v>0</v>
      </c>
      <c r="BA25" s="261">
        <f t="shared" si="67"/>
        <v>0</v>
      </c>
      <c r="BB25" s="262">
        <f t="shared" si="68"/>
        <v>0</v>
      </c>
      <c r="BC25" s="341" t="str">
        <f t="shared" si="31"/>
        <v/>
      </c>
      <c r="BD25" s="346"/>
      <c r="BE25" s="376">
        <f>'Original Title I &amp; II'!AZ25</f>
        <v>0</v>
      </c>
      <c r="BF25" s="243"/>
      <c r="BG25" s="263">
        <f t="shared" si="51"/>
        <v>0</v>
      </c>
      <c r="BJ25" s="31"/>
      <c r="BK25" s="31"/>
      <c r="BM25" s="31"/>
      <c r="BN25" s="200"/>
      <c r="BP25" s="295" t="s">
        <v>1447</v>
      </c>
      <c r="BQ25" s="296" t="str">
        <f t="shared" si="34"/>
        <v>Y</v>
      </c>
      <c r="BR25" s="297" t="s">
        <v>1448</v>
      </c>
      <c r="BT25" s="295" t="str">
        <f t="shared" si="35"/>
        <v>N</v>
      </c>
      <c r="BU25" s="296" t="str">
        <f t="shared" si="71"/>
        <v>N</v>
      </c>
      <c r="BV25" s="296" t="str">
        <f t="shared" si="72"/>
        <v>N</v>
      </c>
      <c r="BW25" s="297" t="str">
        <f t="shared" si="36"/>
        <v>N</v>
      </c>
      <c r="BY25" s="352">
        <f t="shared" si="37"/>
        <v>0.85</v>
      </c>
      <c r="BZ25" s="353">
        <f t="shared" si="38"/>
        <v>0</v>
      </c>
      <c r="CA25" s="353">
        <f t="shared" si="39"/>
        <v>0</v>
      </c>
      <c r="CB25" s="354">
        <f t="shared" si="40"/>
        <v>0.85</v>
      </c>
      <c r="CD25" s="311">
        <f t="shared" si="41"/>
        <v>20</v>
      </c>
    </row>
    <row r="26" spans="1:82" outlineLevel="1" x14ac:dyDescent="0.3">
      <c r="A26" s="1">
        <v>20345000</v>
      </c>
      <c r="B26" s="47">
        <f>VLOOKUP(C26,'NCES ID'!$A$2:$B$3136,2,FALSE)</f>
        <v>402490</v>
      </c>
      <c r="C26" s="47">
        <f>VLOOKUP(A26,'State ID'!$A$2:$B$713,2,FALSE)</f>
        <v>4179</v>
      </c>
      <c r="D26" s="147" t="s">
        <v>134</v>
      </c>
      <c r="E26" s="47" t="s">
        <v>54</v>
      </c>
      <c r="F26" s="382">
        <f>IFERROR(VLOOKUP($B26,'update_Formula counts'!$D$7:$R$234,'update_Formula counts'!F$5,0),0)</f>
        <v>25</v>
      </c>
      <c r="G26" s="382">
        <f>IFERROR(VLOOKUP($B26,'update_Formula counts'!$D$7:$R$234,'update_Formula counts'!G$5,0),0)</f>
        <v>0</v>
      </c>
      <c r="H26" s="382">
        <f>IFERROR(VLOOKUP($B26,'update_Formula counts'!$D$7:$R$234,'update_Formula counts'!H$5,0),0)</f>
        <v>0</v>
      </c>
      <c r="I26" s="382">
        <f>IFERROR(VLOOKUP($B26,'update_Formula counts'!$D$7:$R$234,'update_Formula counts'!I$5,0),0)</f>
        <v>1</v>
      </c>
      <c r="J26" s="382">
        <f>IFERROR(VLOOKUP($B26,'update_Formula counts'!$D$7:$R$234,'update_Formula counts'!J$5,0),0)</f>
        <v>0</v>
      </c>
      <c r="K26" s="382">
        <f t="shared" si="52"/>
        <v>25</v>
      </c>
      <c r="L26" s="444">
        <f>IFERROR(VLOOKUP($B26,'update_Formula counts'!$D$7:$R$234,'update_Formula counts'!L$5,0),0)</f>
        <v>83</v>
      </c>
      <c r="M26" s="445">
        <f>IFERROR(VLOOKUP($B26,'update_Formula counts'!$D$7:$R$234,'update_Formula counts'!K$5,0),0)</f>
        <v>26</v>
      </c>
      <c r="N26" s="446">
        <f>IFERROR(VLOOKUP($B26,'update_Formula counts'!$D$7:$R$234,'update_Formula counts'!M$5,0),0)</f>
        <v>0.31325301204819278</v>
      </c>
      <c r="O26" s="137">
        <f>VLOOKUP($C26,'Final SEA Counts'!$A$2:$F$709,5,FALSE)</f>
        <v>42</v>
      </c>
      <c r="P26" s="208">
        <f>VLOOKUP($C26,'Final SEA Counts'!$A$2:$F$709,6,FALSE)</f>
        <v>25</v>
      </c>
      <c r="Q26" s="748">
        <f t="shared" si="73"/>
        <v>-3.7725955400137696</v>
      </c>
      <c r="R26" s="444">
        <f t="shared" si="53"/>
        <v>74.593161096851787</v>
      </c>
      <c r="S26" s="445">
        <f t="shared" si="74"/>
        <v>22.227404459986232</v>
      </c>
      <c r="T26" s="229">
        <f t="shared" si="54"/>
        <v>0.29798180065228985</v>
      </c>
      <c r="U26" s="261">
        <f>VLOOKUP($B26,update_Allocation!$D$8:$Q$235,update_Allocation!K$239,0)</f>
        <v>12295.141136606477</v>
      </c>
      <c r="V26" s="262">
        <f>VLOOKUP($B26,update_Allocation!$D$8:$Q$235,update_Allocation!L$239,0)</f>
        <v>2928.81507315627</v>
      </c>
      <c r="W26" s="262">
        <f>VLOOKUP($B26,update_Allocation!$D$8:$Q$235,update_Allocation!M$239,0)</f>
        <v>6031.676998856009</v>
      </c>
      <c r="X26" s="262">
        <f>VLOOKUP($B26,update_Allocation!$D$8:$Q$235,update_Allocation!N$239,0)</f>
        <v>5032.9555811133014</v>
      </c>
      <c r="Y26" s="263">
        <f>VLOOKUP($B26,update_Allocation!$D$8:$Q$235,update_Allocation!O$239,0)</f>
        <v>26288.588789732057</v>
      </c>
      <c r="Z26" s="262">
        <f t="shared" si="55"/>
        <v>10492.411643415875</v>
      </c>
      <c r="AA26" s="262">
        <f t="shared" si="56"/>
        <v>2499.388419666283</v>
      </c>
      <c r="AB26" s="262">
        <f t="shared" si="57"/>
        <v>5147.3047172834667</v>
      </c>
      <c r="AC26" s="263">
        <f t="shared" si="58"/>
        <v>4295.0171253295075</v>
      </c>
      <c r="AD26" s="262">
        <f t="shared" si="59"/>
        <v>10492.411643415875</v>
      </c>
      <c r="AE26" s="262">
        <f t="shared" si="60"/>
        <v>2499.388419666283</v>
      </c>
      <c r="AF26" s="262">
        <f t="shared" si="61"/>
        <v>5147.3047172834667</v>
      </c>
      <c r="AG26" s="263">
        <f t="shared" si="62"/>
        <v>4295.0171253295075</v>
      </c>
      <c r="AH26" s="262">
        <f t="shared" ref="AH26:AK42" si="75">IF(AD26="","",AD26+AD$51)</f>
        <v>10492.411643415875</v>
      </c>
      <c r="AI26" s="262">
        <f t="shared" si="75"/>
        <v>3534.8387132133812</v>
      </c>
      <c r="AJ26" s="262">
        <f t="shared" si="75"/>
        <v>5147.3047172834667</v>
      </c>
      <c r="AK26" s="262">
        <f t="shared" si="75"/>
        <v>4295.0171253295075</v>
      </c>
      <c r="AL26" s="263">
        <f t="shared" si="64"/>
        <v>23469.57219924223</v>
      </c>
      <c r="AM26" s="346"/>
      <c r="AN26" s="261">
        <f>IFERROR(VLOOKUP($A26,'HH &amp; SI'!$B$4:$Z$494,'HH &amp; SI'!V$503,0),0)</f>
        <v>10349.288338356542</v>
      </c>
      <c r="AO26" s="262">
        <f>IFERROR(VLOOKUP($A26,'HH &amp; SI'!$B$4:$Z$494,'HH &amp; SI'!W$503,0),0)</f>
        <v>3418.414049707198</v>
      </c>
      <c r="AP26" s="262">
        <f>IFERROR(VLOOKUP($A26,'HH &amp; SI'!$B$4:$Z$494,'HH &amp; SI'!X$503,0),0)</f>
        <v>5100.491990568913</v>
      </c>
      <c r="AQ26" s="262">
        <f>IFERROR(VLOOKUP($A26,'HH &amp; SI'!$B$4:$Z$494,'HH &amp; SI'!Y$503,0),0)</f>
        <v>4247.6937680341343</v>
      </c>
      <c r="AR26" s="263">
        <f t="shared" si="65"/>
        <v>23115.888146666788</v>
      </c>
      <c r="AS26" s="346"/>
      <c r="AT26" s="323">
        <f>IFERROR(VLOOKUP(A26,'Afton FY16 Final'!$A$5:$BV$572,'Afton FY16 Final'!$BV$587,0),0)</f>
        <v>17471.349635656192</v>
      </c>
      <c r="AU26" s="346"/>
      <c r="AV26" s="444">
        <v>0</v>
      </c>
      <c r="AW26" s="262">
        <f>IFERROR(VLOOKUP($A26,'HH &amp; SI'!$B$4:$EY$503,'HH &amp; SI'!EX$503,0),0)</f>
        <v>1294.792576609012</v>
      </c>
      <c r="AX26" s="262">
        <f>IFERROR(VLOOKUP($A26,'HH &amp; SI'!$B$4:$EY$503,'HH &amp; SI'!EY$503,0),0)</f>
        <v>21821.095570057776</v>
      </c>
      <c r="AY26" s="262">
        <f>AX26/$AX$582*'update_State Admin 1004(b)'!$B$30*0.01</f>
        <v>208.84356019334268</v>
      </c>
      <c r="AZ26" s="263">
        <f t="shared" si="66"/>
        <v>21612.252009864435</v>
      </c>
      <c r="BA26" s="261">
        <f t="shared" si="67"/>
        <v>216.12252009864434</v>
      </c>
      <c r="BB26" s="262">
        <f t="shared" si="68"/>
        <v>21396.12948976579</v>
      </c>
      <c r="BC26" s="341">
        <f t="shared" si="31"/>
        <v>1.2246409084561938</v>
      </c>
      <c r="BD26" s="346"/>
      <c r="BE26" s="376" t="str">
        <f>'Original Title I &amp; II'!AZ26</f>
        <v/>
      </c>
      <c r="BF26" s="243" t="str">
        <f t="shared" ref="BF26:BF47" si="76">IF(BE26&lt;0,BB26*BE26/100,"")</f>
        <v/>
      </c>
      <c r="BG26" s="263">
        <f t="shared" si="51"/>
        <v>21396.12948976579</v>
      </c>
      <c r="BI26" s="31">
        <f>IFERROR(VLOOKUP(A26,'Title II Hold Harmless'!A$1:B$439,2, FALSE),"")</f>
        <v>2960</v>
      </c>
      <c r="BJ26" s="31">
        <f t="shared" ref="BJ26:BJ47" si="77">IFERROR($BI$587*(0.8*($S26/$S$584)+0.2*($R26/$R$584))+$BI26,$BI$587*(0.8*($S26/$S$584)+0.2*($R26/$R$584)))</f>
        <v>3311.0091139562446</v>
      </c>
      <c r="BK26" s="31">
        <f t="shared" ref="BK26:BK47" si="78">$BI$588*BJ26</f>
        <v>3314.2121572191131</v>
      </c>
      <c r="BL26" s="31" t="str">
        <f t="shared" si="69"/>
        <v/>
      </c>
      <c r="BM26" s="31">
        <f t="shared" si="70"/>
        <v>3314.2121572191131</v>
      </c>
      <c r="BN26" s="200"/>
      <c r="BP26" s="295" t="s">
        <v>1447</v>
      </c>
      <c r="BQ26" s="296" t="str">
        <f t="shared" si="34"/>
        <v>Y</v>
      </c>
      <c r="BR26" s="297" t="s">
        <v>1448</v>
      </c>
      <c r="BT26" s="295" t="str">
        <f t="shared" si="35"/>
        <v>Y</v>
      </c>
      <c r="BU26" s="296" t="str">
        <f t="shared" si="71"/>
        <v>Y</v>
      </c>
      <c r="BV26" s="296" t="str">
        <f t="shared" si="72"/>
        <v>Y</v>
      </c>
      <c r="BW26" s="297" t="str">
        <f t="shared" si="36"/>
        <v>Y</v>
      </c>
      <c r="BY26" s="352">
        <f t="shared" si="37"/>
        <v>0</v>
      </c>
      <c r="BZ26" s="353">
        <f t="shared" si="38"/>
        <v>0.9</v>
      </c>
      <c r="CA26" s="353">
        <f t="shared" si="39"/>
        <v>0</v>
      </c>
      <c r="CB26" s="354">
        <f t="shared" si="40"/>
        <v>0.9</v>
      </c>
      <c r="CD26" s="311">
        <f t="shared" si="41"/>
        <v>21</v>
      </c>
    </row>
    <row r="27" spans="1:82" outlineLevel="1" x14ac:dyDescent="0.3">
      <c r="A27" s="1">
        <v>20355000</v>
      </c>
      <c r="B27" s="47">
        <f>VLOOKUP(C27,'NCES ID'!$A$2:$B$3136,2,FALSE)</f>
        <v>404920</v>
      </c>
      <c r="C27" s="47">
        <f>VLOOKUP(A27,'State ID'!$A$2:$B$713,2,FALSE)</f>
        <v>4181</v>
      </c>
      <c r="D27" s="147" t="s">
        <v>281</v>
      </c>
      <c r="E27" s="47" t="s">
        <v>54</v>
      </c>
      <c r="F27" s="382">
        <f>IFERROR(VLOOKUP($B27,'update_Formula counts'!$D$7:$R$234,'update_Formula counts'!F$5,0),0)</f>
        <v>20</v>
      </c>
      <c r="G27" s="382">
        <f>IFERROR(VLOOKUP($B27,'update_Formula counts'!$D$7:$R$234,'update_Formula counts'!G$5,0),0)</f>
        <v>0</v>
      </c>
      <c r="H27" s="382">
        <f>IFERROR(VLOOKUP($B27,'update_Formula counts'!$D$7:$R$234,'update_Formula counts'!H$5,0),0)</f>
        <v>0</v>
      </c>
      <c r="I27" s="382">
        <f>IFERROR(VLOOKUP($B27,'update_Formula counts'!$D$7:$R$234,'update_Formula counts'!I$5,0),0)</f>
        <v>1</v>
      </c>
      <c r="J27" s="382">
        <f>IFERROR(VLOOKUP($B27,'update_Formula counts'!$D$7:$R$234,'update_Formula counts'!J$5,0),0)</f>
        <v>0</v>
      </c>
      <c r="K27" s="382">
        <f t="shared" si="52"/>
        <v>20</v>
      </c>
      <c r="L27" s="444">
        <f>IFERROR(VLOOKUP($B27,'update_Formula counts'!$D$7:$R$234,'update_Formula counts'!L$5,0),0)</f>
        <v>105</v>
      </c>
      <c r="M27" s="445">
        <f>IFERROR(VLOOKUP($B27,'update_Formula counts'!$D$7:$R$234,'update_Formula counts'!K$5,0),0)</f>
        <v>21</v>
      </c>
      <c r="N27" s="446">
        <f>IFERROR(VLOOKUP($B27,'update_Formula counts'!$D$7:$R$234,'update_Formula counts'!M$5,0),0)</f>
        <v>0.2</v>
      </c>
      <c r="O27" s="137">
        <f>VLOOKUP($C27,'Final SEA Counts'!$A$2:$F$709,5,FALSE)</f>
        <v>62</v>
      </c>
      <c r="P27" s="208">
        <f>VLOOKUP($C27,'Final SEA Counts'!$A$2:$F$709,6,FALSE)</f>
        <v>35</v>
      </c>
      <c r="Q27" s="748">
        <f t="shared" si="73"/>
        <v>-3.0180391603002437</v>
      </c>
      <c r="R27" s="444">
        <f t="shared" si="53"/>
        <v>94.364842351438995</v>
      </c>
      <c r="S27" s="445">
        <f t="shared" si="74"/>
        <v>17.981960839699756</v>
      </c>
      <c r="T27" s="229">
        <f t="shared" si="54"/>
        <v>0.19055784327737549</v>
      </c>
      <c r="U27" s="261">
        <f>VLOOKUP($B27,update_Allocation!$D$8:$Q$235,update_Allocation!K$239,0)</f>
        <v>10289.949362141819</v>
      </c>
      <c r="V27" s="262">
        <f>VLOOKUP($B27,update_Allocation!$D$8:$Q$235,update_Allocation!L$239,0)</f>
        <v>2436.5355043556606</v>
      </c>
      <c r="W27" s="262">
        <f>VLOOKUP($B27,update_Allocation!$D$8:$Q$235,update_Allocation!M$239,0)</f>
        <v>3971.2383662335869</v>
      </c>
      <c r="X27" s="262">
        <f>VLOOKUP($B27,update_Allocation!$D$8:$Q$235,update_Allocation!N$239,0)</f>
        <v>3843.6105633920774</v>
      </c>
      <c r="Y27" s="263">
        <f>VLOOKUP($B27,update_Allocation!$D$8:$Q$235,update_Allocation!O$239,0)</f>
        <v>20541.333796123145</v>
      </c>
      <c r="Z27" s="262">
        <f t="shared" si="55"/>
        <v>8781.2236799825678</v>
      </c>
      <c r="AA27" s="262">
        <f t="shared" si="56"/>
        <v>2079.287517845738</v>
      </c>
      <c r="AB27" s="262">
        <f t="shared" si="57"/>
        <v>3388.9702614792168</v>
      </c>
      <c r="AC27" s="263">
        <f t="shared" si="58"/>
        <v>3280.0554121351252</v>
      </c>
      <c r="AD27" s="262">
        <f t="shared" si="59"/>
        <v>8781.2236799825678</v>
      </c>
      <c r="AE27" s="262">
        <f t="shared" si="60"/>
        <v>2079.287517845738</v>
      </c>
      <c r="AF27" s="262">
        <f t="shared" si="61"/>
        <v>3388.9702614792168</v>
      </c>
      <c r="AG27" s="263">
        <f t="shared" si="62"/>
        <v>3280.0554121351252</v>
      </c>
      <c r="AH27" s="262">
        <f t="shared" si="75"/>
        <v>8781.2236799825678</v>
      </c>
      <c r="AI27" s="262">
        <f t="shared" si="75"/>
        <v>3114.7378113928362</v>
      </c>
      <c r="AJ27" s="262">
        <f t="shared" si="75"/>
        <v>3388.9702614792168</v>
      </c>
      <c r="AK27" s="262">
        <f t="shared" si="75"/>
        <v>3280.0554121351252</v>
      </c>
      <c r="AL27" s="263">
        <f t="shared" si="64"/>
        <v>18564.987164989747</v>
      </c>
      <c r="AM27" s="346"/>
      <c r="AN27" s="261">
        <f>IFERROR(VLOOKUP($A27,'HH &amp; SI'!$B$4:$Z$494,'HH &amp; SI'!V$503,0),0)</f>
        <v>8707.3254606645442</v>
      </c>
      <c r="AO27" s="262">
        <f>IFERROR(VLOOKUP($A27,'HH &amp; SI'!$B$4:$Z$494,'HH &amp; SI'!W$503,0),0)</f>
        <v>3012.1497356637055</v>
      </c>
      <c r="AP27" s="262">
        <f>IFERROR(VLOOKUP($A27,'HH &amp; SI'!$B$4:$Z$494,'HH &amp; SI'!X$503,0),0)</f>
        <v>3365.0179667028838</v>
      </c>
      <c r="AQ27" s="262">
        <f>IFERROR(VLOOKUP($A27,'HH &amp; SI'!$B$4:$Z$494,'HH &amp; SI'!Y$503,0),0)</f>
        <v>3282.4803267113821</v>
      </c>
      <c r="AR27" s="263">
        <f t="shared" si="65"/>
        <v>18366.973489742515</v>
      </c>
      <c r="AS27" s="346"/>
      <c r="AT27" s="323">
        <f>IFERROR(VLOOKUP(A27,'Afton FY16 Final'!$A$5:$BV$572,'Afton FY16 Final'!$BV$587,0),0)</f>
        <v>18044.954316478979</v>
      </c>
      <c r="AU27" s="346"/>
      <c r="AV27" s="444">
        <v>0</v>
      </c>
      <c r="AW27" s="262">
        <f>IFERROR(VLOOKUP($A27,'HH &amp; SI'!$B$4:$EY$503,'HH &amp; SI'!EX$503,0),0)</f>
        <v>322.01917326353578</v>
      </c>
      <c r="AX27" s="262">
        <f>IFERROR(VLOOKUP($A27,'HH &amp; SI'!$B$4:$EY$503,'HH &amp; SI'!EY$503,0),0)</f>
        <v>18044.954316478979</v>
      </c>
      <c r="AY27" s="262">
        <f>AX27/$AX$582*'update_State Admin 1004(b)'!$B$30*0.01</f>
        <v>172.70317573563142</v>
      </c>
      <c r="AZ27" s="263">
        <f t="shared" si="66"/>
        <v>17872.251140743349</v>
      </c>
      <c r="BA27" s="261">
        <f t="shared" si="67"/>
        <v>178.7225114074335</v>
      </c>
      <c r="BB27" s="262">
        <f t="shared" si="68"/>
        <v>17693.528629335917</v>
      </c>
      <c r="BC27" s="341">
        <f t="shared" si="31"/>
        <v>0.98052498881517625</v>
      </c>
      <c r="BD27" s="346"/>
      <c r="BE27" s="376" t="str">
        <f>'Original Title I &amp; II'!AZ27</f>
        <v/>
      </c>
      <c r="BF27" s="243" t="str">
        <f t="shared" si="76"/>
        <v/>
      </c>
      <c r="BG27" s="263">
        <f t="shared" si="51"/>
        <v>17693.528629335917</v>
      </c>
      <c r="BI27" s="31">
        <f>IFERROR(VLOOKUP(A27,'Title II Hold Harmless'!A$1:B$439,2, FALSE),"")</f>
        <v>1455</v>
      </c>
      <c r="BJ27" s="31">
        <f t="shared" si="77"/>
        <v>1766.3447110857157</v>
      </c>
      <c r="BK27" s="31">
        <f t="shared" si="78"/>
        <v>1768.0534585799157</v>
      </c>
      <c r="BL27" s="31" t="str">
        <f t="shared" si="69"/>
        <v/>
      </c>
      <c r="BM27" s="31">
        <f t="shared" si="70"/>
        <v>1768.0534585799157</v>
      </c>
      <c r="BN27" s="200"/>
      <c r="BP27" s="295" t="s">
        <v>1447</v>
      </c>
      <c r="BQ27" s="296" t="str">
        <f t="shared" si="34"/>
        <v>Y</v>
      </c>
      <c r="BR27" s="297" t="s">
        <v>1448</v>
      </c>
      <c r="BT27" s="295" t="str">
        <f t="shared" si="35"/>
        <v>Y</v>
      </c>
      <c r="BU27" s="296" t="str">
        <f t="shared" si="71"/>
        <v>Y</v>
      </c>
      <c r="BV27" s="296" t="str">
        <f t="shared" si="72"/>
        <v>Y</v>
      </c>
      <c r="BW27" s="297" t="str">
        <f t="shared" si="36"/>
        <v>Y</v>
      </c>
      <c r="BY27" s="352">
        <f t="shared" si="37"/>
        <v>0</v>
      </c>
      <c r="BZ27" s="353">
        <f t="shared" si="38"/>
        <v>0.9</v>
      </c>
      <c r="CA27" s="353">
        <f t="shared" si="39"/>
        <v>0</v>
      </c>
      <c r="CB27" s="354">
        <f t="shared" si="40"/>
        <v>0.9</v>
      </c>
      <c r="CD27" s="311">
        <f t="shared" si="41"/>
        <v>22</v>
      </c>
    </row>
    <row r="28" spans="1:82" outlineLevel="1" x14ac:dyDescent="0.3">
      <c r="A28" s="1">
        <v>20422000</v>
      </c>
      <c r="B28" s="47">
        <f>VLOOKUP(C28,'NCES ID'!$A$2:$B$3136,2,FALSE)</f>
        <v>406150</v>
      </c>
      <c r="C28" s="47">
        <f>VLOOKUP(A28,'State ID'!$A$2:$B$713,2,FALSE)</f>
        <v>4186</v>
      </c>
      <c r="D28" s="147" t="s">
        <v>333</v>
      </c>
      <c r="E28" s="47" t="s">
        <v>54</v>
      </c>
      <c r="F28" s="382">
        <f>IFERROR(VLOOKUP($B28,'update_Formula counts'!$D$7:$R$234,'update_Formula counts'!F$5,0),0)</f>
        <v>31</v>
      </c>
      <c r="G28" s="382">
        <f>IFERROR(VLOOKUP($B28,'update_Formula counts'!$D$7:$R$234,'update_Formula counts'!G$5,0),0)</f>
        <v>0</v>
      </c>
      <c r="H28" s="382">
        <f>IFERROR(VLOOKUP($B28,'update_Formula counts'!$D$7:$R$234,'update_Formula counts'!H$5,0),0)</f>
        <v>0</v>
      </c>
      <c r="I28" s="382">
        <f>IFERROR(VLOOKUP($B28,'update_Formula counts'!$D$7:$R$234,'update_Formula counts'!I$5,0),0)</f>
        <v>1</v>
      </c>
      <c r="J28" s="382">
        <f>IFERROR(VLOOKUP($B28,'update_Formula counts'!$D$7:$R$234,'update_Formula counts'!J$5,0),0)</f>
        <v>0</v>
      </c>
      <c r="K28" s="382">
        <f t="shared" si="52"/>
        <v>31</v>
      </c>
      <c r="L28" s="444">
        <f>IFERROR(VLOOKUP($B28,'update_Formula counts'!$D$7:$R$234,'update_Formula counts'!L$5,0),0)</f>
        <v>115</v>
      </c>
      <c r="M28" s="445">
        <f>IFERROR(VLOOKUP($B28,'update_Formula counts'!$D$7:$R$234,'update_Formula counts'!K$5,0),0)</f>
        <v>32</v>
      </c>
      <c r="N28" s="446">
        <f>IFERROR(VLOOKUP($B28,'update_Formula counts'!$D$7:$R$234,'update_Formula counts'!M$5,0),0)</f>
        <v>0.27826086956521739</v>
      </c>
      <c r="O28" s="137">
        <f>VLOOKUP($C28,'Final SEA Counts'!$A$2:$F$709,5,FALSE)</f>
        <v>104</v>
      </c>
      <c r="P28" s="208">
        <f>VLOOKUP($C28,'Final SEA Counts'!$A$2:$F$709,6,FALSE)</f>
        <v>63</v>
      </c>
      <c r="Q28" s="748">
        <f t="shared" si="73"/>
        <v>-4.6780631956699992</v>
      </c>
      <c r="R28" s="444">
        <f t="shared" si="53"/>
        <v>103.35197019443319</v>
      </c>
      <c r="S28" s="445">
        <f t="shared" si="74"/>
        <v>27.321936804330001</v>
      </c>
      <c r="T28" s="229">
        <f t="shared" si="54"/>
        <v>0.26435816127094625</v>
      </c>
      <c r="U28" s="261">
        <f>VLOOKUP($B28,update_Allocation!$D$8:$Q$235,update_Allocation!K$239,0)</f>
        <v>15773.42584208808</v>
      </c>
      <c r="V28" s="262">
        <f>VLOOKUP($B28,update_Allocation!$D$8:$Q$235,update_Allocation!L$239,0)</f>
        <v>3737.6597772136424</v>
      </c>
      <c r="W28" s="262">
        <f>VLOOKUP($B28,update_Allocation!$D$8:$Q$235,update_Allocation!M$239,0)</f>
        <v>7306.6985127122152</v>
      </c>
      <c r="X28" s="262">
        <f>VLOOKUP($B28,update_Allocation!$D$8:$Q$235,update_Allocation!N$239,0)</f>
        <v>6950.9751336848758</v>
      </c>
      <c r="Y28" s="263">
        <f>VLOOKUP($B28,update_Allocation!$D$8:$Q$235,update_Allocation!O$239,0)</f>
        <v>33768.759265698813</v>
      </c>
      <c r="Z28" s="262">
        <f t="shared" si="55"/>
        <v>13460.705747356802</v>
      </c>
      <c r="AA28" s="262">
        <f t="shared" si="56"/>
        <v>3189.6392672388411</v>
      </c>
      <c r="AB28" s="262">
        <f t="shared" si="57"/>
        <v>6235.3809279550096</v>
      </c>
      <c r="AC28" s="263">
        <f t="shared" si="58"/>
        <v>5931.8141707724362</v>
      </c>
      <c r="AD28" s="262">
        <f t="shared" si="59"/>
        <v>13460.705747356802</v>
      </c>
      <c r="AE28" s="262">
        <f t="shared" si="60"/>
        <v>3189.6392672388411</v>
      </c>
      <c r="AF28" s="262">
        <f t="shared" si="61"/>
        <v>6235.3809279550096</v>
      </c>
      <c r="AG28" s="263">
        <f t="shared" si="62"/>
        <v>5931.8141707724362</v>
      </c>
      <c r="AH28" s="262">
        <f t="shared" si="75"/>
        <v>13460.705747356802</v>
      </c>
      <c r="AI28" s="262">
        <f t="shared" si="75"/>
        <v>4225.0895607859393</v>
      </c>
      <c r="AJ28" s="262">
        <f t="shared" si="75"/>
        <v>6235.3809279550096</v>
      </c>
      <c r="AK28" s="262">
        <f t="shared" si="75"/>
        <v>5931.8141707724362</v>
      </c>
      <c r="AL28" s="263">
        <f t="shared" si="64"/>
        <v>29852.990406870187</v>
      </c>
      <c r="AM28" s="346"/>
      <c r="AN28" s="261">
        <f>IFERROR(VLOOKUP($A28,'HH &amp; SI'!$B$4:$Z$494,'HH &amp; SI'!V$503,0),0)</f>
        <v>13347.427436526265</v>
      </c>
      <c r="AO28" s="262">
        <f>IFERROR(VLOOKUP($A28,'HH &amp; SI'!$B$4:$Z$494,'HH &amp; SI'!W$503,0),0)</f>
        <v>4085.9305579835682</v>
      </c>
      <c r="AP28" s="262">
        <f>IFERROR(VLOOKUP($A28,'HH &amp; SI'!$B$4:$Z$494,'HH &amp; SI'!X$503,0),0)</f>
        <v>6203.5447329899807</v>
      </c>
      <c r="AQ28" s="262">
        <f>IFERROR(VLOOKUP($A28,'HH &amp; SI'!$B$4:$Z$494,'HH &amp; SI'!Y$503,0),0)</f>
        <v>5936.3549465217902</v>
      </c>
      <c r="AR28" s="263">
        <f t="shared" si="65"/>
        <v>29573.257674021603</v>
      </c>
      <c r="AS28" s="346"/>
      <c r="AT28" s="323">
        <f>IFERROR(VLOOKUP(A28,'Afton FY16 Final'!$A$5:$BV$572,'Afton FY16 Final'!$BV$587,0),0)</f>
        <v>31148.727690811374</v>
      </c>
      <c r="AU28" s="346"/>
      <c r="AV28" s="444">
        <v>0</v>
      </c>
      <c r="AW28" s="262">
        <f>IFERROR(VLOOKUP($A28,'HH &amp; SI'!$B$4:$EY$503,'HH &amp; SI'!EX$503,0),0)</f>
        <v>0</v>
      </c>
      <c r="AX28" s="262">
        <f>IFERROR(VLOOKUP($A28,'HH &amp; SI'!$B$4:$EY$503,'HH &amp; SI'!EY$503,0),0)</f>
        <v>29573.257674021603</v>
      </c>
      <c r="AY28" s="262">
        <f>AX28/$AX$582*'update_State Admin 1004(b)'!$B$30*0.01</f>
        <v>283.03732043740877</v>
      </c>
      <c r="AZ28" s="263">
        <f t="shared" si="66"/>
        <v>29290.220353584195</v>
      </c>
      <c r="BA28" s="261">
        <f t="shared" si="67"/>
        <v>292.90220353584198</v>
      </c>
      <c r="BB28" s="262">
        <f t="shared" si="68"/>
        <v>28997.318150048352</v>
      </c>
      <c r="BC28" s="341">
        <f t="shared" si="31"/>
        <v>0.93093106202865317</v>
      </c>
      <c r="BD28" s="346"/>
      <c r="BE28" s="376" t="str">
        <f>'Original Title I &amp; II'!AZ28</f>
        <v/>
      </c>
      <c r="BF28" s="243" t="str">
        <f t="shared" si="76"/>
        <v/>
      </c>
      <c r="BG28" s="263">
        <f t="shared" si="51"/>
        <v>28997.318150048352</v>
      </c>
      <c r="BI28" s="31">
        <f>IFERROR(VLOOKUP(A28,'Title II Hold Harmless'!A$1:B$439,2, FALSE),"")</f>
        <v>3979</v>
      </c>
      <c r="BJ28" s="31">
        <f t="shared" si="77"/>
        <v>4419.8461695540709</v>
      </c>
      <c r="BK28" s="31">
        <f t="shared" si="78"/>
        <v>4424.1218927578011</v>
      </c>
      <c r="BL28" s="31" t="str">
        <f t="shared" si="69"/>
        <v/>
      </c>
      <c r="BM28" s="31">
        <f t="shared" si="70"/>
        <v>4424.1218927578011</v>
      </c>
      <c r="BN28" s="200"/>
      <c r="BP28" s="295" t="s">
        <v>1447</v>
      </c>
      <c r="BQ28" s="296" t="str">
        <f t="shared" si="34"/>
        <v>Y</v>
      </c>
      <c r="BR28" s="297" t="s">
        <v>1448</v>
      </c>
      <c r="BT28" s="295" t="str">
        <f t="shared" si="35"/>
        <v>Y</v>
      </c>
      <c r="BU28" s="296" t="str">
        <f t="shared" si="71"/>
        <v>Y</v>
      </c>
      <c r="BV28" s="296" t="str">
        <f t="shared" si="72"/>
        <v>Y</v>
      </c>
      <c r="BW28" s="297" t="str">
        <f t="shared" si="36"/>
        <v>Y</v>
      </c>
      <c r="BY28" s="352">
        <f t="shared" si="37"/>
        <v>0</v>
      </c>
      <c r="BZ28" s="353">
        <f t="shared" si="38"/>
        <v>0.9</v>
      </c>
      <c r="CA28" s="353">
        <f t="shared" si="39"/>
        <v>0</v>
      </c>
      <c r="CB28" s="354">
        <f t="shared" si="40"/>
        <v>0.9</v>
      </c>
      <c r="CD28" s="311">
        <f t="shared" si="41"/>
        <v>23</v>
      </c>
    </row>
    <row r="29" spans="1:82" outlineLevel="1" x14ac:dyDescent="0.3">
      <c r="A29" s="1">
        <v>20412000</v>
      </c>
      <c r="B29" s="47">
        <f>VLOOKUP(C29,'NCES ID'!$A$2:$B$3136,2,FALSE)</f>
        <v>402760</v>
      </c>
      <c r="C29" s="47">
        <f>VLOOKUP(A29,'State ID'!$A$2:$B$713,2,FALSE)</f>
        <v>4185</v>
      </c>
      <c r="D29" s="147" t="s">
        <v>155</v>
      </c>
      <c r="E29" s="47" t="s">
        <v>54</v>
      </c>
      <c r="F29" s="382">
        <f>IFERROR(VLOOKUP($B29,'update_Formula counts'!$D$7:$R$234,'update_Formula counts'!F$5,0),0)</f>
        <v>16</v>
      </c>
      <c r="G29" s="382">
        <f>IFERROR(VLOOKUP($B29,'update_Formula counts'!$D$7:$R$234,'update_Formula counts'!G$5,0),0)</f>
        <v>0</v>
      </c>
      <c r="H29" s="382">
        <f>IFERROR(VLOOKUP($B29,'update_Formula counts'!$D$7:$R$234,'update_Formula counts'!H$5,0),0)</f>
        <v>0</v>
      </c>
      <c r="I29" s="382">
        <f>IFERROR(VLOOKUP($B29,'update_Formula counts'!$D$7:$R$234,'update_Formula counts'!I$5,0),0)</f>
        <v>0</v>
      </c>
      <c r="J29" s="382">
        <f>IFERROR(VLOOKUP($B29,'update_Formula counts'!$D$7:$R$234,'update_Formula counts'!J$5,0),0)</f>
        <v>0</v>
      </c>
      <c r="K29" s="382">
        <f t="shared" si="52"/>
        <v>16</v>
      </c>
      <c r="L29" s="444">
        <f>IFERROR(VLOOKUP($B29,'update_Formula counts'!$D$7:$R$234,'update_Formula counts'!L$5,0),0)</f>
        <v>119</v>
      </c>
      <c r="M29" s="445">
        <f>IFERROR(VLOOKUP($B29,'update_Formula counts'!$D$7:$R$234,'update_Formula counts'!K$5,0),0)</f>
        <v>16</v>
      </c>
      <c r="N29" s="446">
        <f>IFERROR(VLOOKUP($B29,'update_Formula counts'!$D$7:$R$234,'update_Formula counts'!M$5,0),0)</f>
        <v>0.13445378151260504</v>
      </c>
      <c r="O29" s="137">
        <f>VLOOKUP($C29,'Final SEA Counts'!$A$2:$F$709,5,FALSE)</f>
        <v>122</v>
      </c>
      <c r="P29" s="208">
        <f>VLOOKUP($C29,'Final SEA Counts'!$A$2:$F$709,6,FALSE)</f>
        <v>102</v>
      </c>
      <c r="Q29" s="748">
        <f t="shared" si="73"/>
        <v>-2.414580415083281</v>
      </c>
      <c r="R29" s="444">
        <f t="shared" si="53"/>
        <v>106.94682133163087</v>
      </c>
      <c r="S29" s="445">
        <f t="shared" si="74"/>
        <v>13.585419584916719</v>
      </c>
      <c r="T29" s="229">
        <f t="shared" si="54"/>
        <v>0.12702967152983219</v>
      </c>
      <c r="U29" s="261">
        <f>VLOOKUP($B29,update_Allocation!$D$8:$Q$235,update_Allocation!K$239,0)</f>
        <v>18051.878469417195</v>
      </c>
      <c r="V29" s="262">
        <f>VLOOKUP($B29,update_Allocation!$D$8:$Q$235,update_Allocation!L$239,0)</f>
        <v>4584.613038502107</v>
      </c>
      <c r="W29" s="262">
        <f>VLOOKUP($B29,update_Allocation!$D$8:$Q$235,update_Allocation!M$239,0)</f>
        <v>8131.2718293790322</v>
      </c>
      <c r="X29" s="262">
        <f>VLOOKUP($B29,update_Allocation!$D$8:$Q$235,update_Allocation!N$239,0)</f>
        <v>7568.2396526640596</v>
      </c>
      <c r="Y29" s="263">
        <f>VLOOKUP($B29,update_Allocation!$D$8:$Q$235,update_Allocation!O$239,0)</f>
        <v>38336.002989962391</v>
      </c>
      <c r="Z29" s="262">
        <f t="shared" si="55"/>
        <v>15405.088704034093</v>
      </c>
      <c r="AA29" s="262">
        <f t="shared" si="56"/>
        <v>3912.4111461003208</v>
      </c>
      <c r="AB29" s="262">
        <f t="shared" si="57"/>
        <v>6939.0542386164025</v>
      </c>
      <c r="AC29" s="263">
        <f t="shared" si="58"/>
        <v>6458.5745677492423</v>
      </c>
      <c r="AD29" s="262">
        <f t="shared" si="59"/>
        <v>15405.088704034093</v>
      </c>
      <c r="AE29" s="262" t="str">
        <f t="shared" si="60"/>
        <v/>
      </c>
      <c r="AF29" s="262">
        <f t="shared" si="61"/>
        <v>6939.0542386164025</v>
      </c>
      <c r="AG29" s="263">
        <f t="shared" si="62"/>
        <v>6458.5745677492423</v>
      </c>
      <c r="AH29" s="262">
        <f t="shared" si="75"/>
        <v>15405.088704034093</v>
      </c>
      <c r="AI29" s="262" t="str">
        <f t="shared" si="75"/>
        <v/>
      </c>
      <c r="AJ29" s="262">
        <f t="shared" si="75"/>
        <v>6939.0542386164025</v>
      </c>
      <c r="AK29" s="262">
        <f t="shared" si="75"/>
        <v>6458.5745677492423</v>
      </c>
      <c r="AL29" s="263">
        <f t="shared" si="64"/>
        <v>28802.717510399736</v>
      </c>
      <c r="AM29" s="346"/>
      <c r="AN29" s="261">
        <f>IFERROR(VLOOKUP($A29,'HH &amp; SI'!$B$4:$Z$494,'HH &amp; SI'!V$503,0),0)</f>
        <v>15378.658236058025</v>
      </c>
      <c r="AO29" s="262">
        <f>IFERROR(VLOOKUP($A29,'HH &amp; SI'!$B$4:$Z$494,'HH &amp; SI'!W$503,0),0)</f>
        <v>3912.5073892626451</v>
      </c>
      <c r="AP29" s="262">
        <f>IFERROR(VLOOKUP($A29,'HH &amp; SI'!$B$4:$Z$494,'HH &amp; SI'!X$503,0),0)</f>
        <v>6939.2249355341146</v>
      </c>
      <c r="AQ29" s="262">
        <f>IFERROR(VLOOKUP($A29,'HH &amp; SI'!$B$4:$Z$494,'HH &amp; SI'!Y$503,0),0)</f>
        <v>6463.3493320880534</v>
      </c>
      <c r="AR29" s="263">
        <f t="shared" si="65"/>
        <v>32693.739892942838</v>
      </c>
      <c r="AS29" s="346"/>
      <c r="AT29" s="323">
        <f>IFERROR(VLOOKUP(A29,'Afton FY16 Final'!$A$5:$BV$572,'Afton FY16 Final'!$BV$587,0),0)</f>
        <v>37705.88254101784</v>
      </c>
      <c r="AU29" s="346"/>
      <c r="AV29" s="444">
        <v>0</v>
      </c>
      <c r="AW29" s="262">
        <f>IFERROR(VLOOKUP($A29,'HH &amp; SI'!$B$4:$EY$503,'HH &amp; SI'!EX$503,0),0)</f>
        <v>0</v>
      </c>
      <c r="AX29" s="262">
        <f>IFERROR(VLOOKUP($A29,'HH &amp; SI'!$B$4:$EY$503,'HH &amp; SI'!EY$503,0),0)</f>
        <v>32693.739892942838</v>
      </c>
      <c r="AY29" s="262">
        <f>AX29/$AX$582*'update_State Admin 1004(b)'!$B$30*0.01</f>
        <v>312.90257692864401</v>
      </c>
      <c r="AZ29" s="263">
        <f t="shared" si="66"/>
        <v>32380.837316014193</v>
      </c>
      <c r="BA29" s="261">
        <f t="shared" si="67"/>
        <v>323.80837316014191</v>
      </c>
      <c r="BB29" s="262">
        <f t="shared" si="68"/>
        <v>32057.028942854049</v>
      </c>
      <c r="BC29" s="341">
        <f t="shared" si="31"/>
        <v>0.85018641078036672</v>
      </c>
      <c r="BD29" s="346"/>
      <c r="BE29" s="376" t="str">
        <f>'Original Title I &amp; II'!AZ29</f>
        <v/>
      </c>
      <c r="BF29" s="243" t="str">
        <f t="shared" si="76"/>
        <v/>
      </c>
      <c r="BG29" s="263">
        <f t="shared" si="51"/>
        <v>32057.028942854049</v>
      </c>
      <c r="BH29" s="31"/>
      <c r="BI29" s="31">
        <f>IFERROR(VLOOKUP(A29,'Title II Hold Harmless'!A$1:B$439,2, FALSE),"")</f>
        <v>9189</v>
      </c>
      <c r="BJ29" s="31">
        <f t="shared" si="77"/>
        <v>9452.9160351756673</v>
      </c>
      <c r="BK29" s="31">
        <f t="shared" si="78"/>
        <v>9462.0607091946258</v>
      </c>
      <c r="BL29" s="31" t="str">
        <f t="shared" si="69"/>
        <v/>
      </c>
      <c r="BM29" s="31">
        <f t="shared" si="70"/>
        <v>9462.0607091946258</v>
      </c>
      <c r="BN29" s="200"/>
      <c r="BP29" s="295" t="s">
        <v>1447</v>
      </c>
      <c r="BQ29" s="296" t="str">
        <f t="shared" si="34"/>
        <v>Y</v>
      </c>
      <c r="BR29" s="297" t="s">
        <v>1448</v>
      </c>
      <c r="BT29" s="295" t="str">
        <f t="shared" si="35"/>
        <v>Y</v>
      </c>
      <c r="BU29" s="296" t="str">
        <f t="shared" si="71"/>
        <v>N</v>
      </c>
      <c r="BV29" s="296" t="str">
        <f t="shared" si="72"/>
        <v>Y</v>
      </c>
      <c r="BW29" s="297" t="str">
        <f t="shared" si="36"/>
        <v>Y</v>
      </c>
      <c r="BY29" s="352">
        <f t="shared" si="37"/>
        <v>0.85</v>
      </c>
      <c r="BZ29" s="353">
        <f t="shared" si="38"/>
        <v>0</v>
      </c>
      <c r="CA29" s="353">
        <f t="shared" si="39"/>
        <v>0</v>
      </c>
      <c r="CB29" s="354">
        <f t="shared" si="40"/>
        <v>0.85</v>
      </c>
      <c r="CD29" s="311">
        <f t="shared" si="41"/>
        <v>24</v>
      </c>
    </row>
    <row r="30" spans="1:82" outlineLevel="1" x14ac:dyDescent="0.3">
      <c r="A30" s="1">
        <v>20364000</v>
      </c>
      <c r="B30" s="47">
        <f>VLOOKUP(C30,'NCES ID'!$A$2:$B$3136,2,FALSE)</f>
        <v>406630</v>
      </c>
      <c r="C30" s="47">
        <f>VLOOKUP(A30,'State ID'!$A$2:$B$713,2,FALSE)</f>
        <v>4188</v>
      </c>
      <c r="D30" s="147" t="s">
        <v>349</v>
      </c>
      <c r="E30" s="47" t="s">
        <v>54</v>
      </c>
      <c r="F30" s="382">
        <f>IFERROR(VLOOKUP($B30,'update_Formula counts'!$D$7:$R$234,'update_Formula counts'!F$5,0),0)</f>
        <v>37</v>
      </c>
      <c r="G30" s="382">
        <f>IFERROR(VLOOKUP($B30,'update_Formula counts'!$D$7:$R$234,'update_Formula counts'!G$5,0),0)</f>
        <v>0</v>
      </c>
      <c r="H30" s="382">
        <f>IFERROR(VLOOKUP($B30,'update_Formula counts'!$D$7:$R$234,'update_Formula counts'!H$5,0),0)</f>
        <v>0</v>
      </c>
      <c r="I30" s="382">
        <f>IFERROR(VLOOKUP($B30,'update_Formula counts'!$D$7:$R$234,'update_Formula counts'!I$5,0),0)</f>
        <v>1</v>
      </c>
      <c r="J30" s="382">
        <f>IFERROR(VLOOKUP($B30,'update_Formula counts'!$D$7:$R$234,'update_Formula counts'!J$5,0),0)</f>
        <v>0</v>
      </c>
      <c r="K30" s="382">
        <f t="shared" si="52"/>
        <v>37</v>
      </c>
      <c r="L30" s="444">
        <f>IFERROR(VLOOKUP($B30,'update_Formula counts'!$D$7:$R$234,'update_Formula counts'!L$5,0),0)</f>
        <v>162</v>
      </c>
      <c r="M30" s="445">
        <f>IFERROR(VLOOKUP($B30,'update_Formula counts'!$D$7:$R$234,'update_Formula counts'!K$5,0),0)</f>
        <v>38</v>
      </c>
      <c r="N30" s="446">
        <f>IFERROR(VLOOKUP($B30,'update_Formula counts'!$D$7:$R$234,'update_Formula counts'!M$5,0),0)</f>
        <v>0.23456790123456789</v>
      </c>
      <c r="O30" s="137">
        <f>VLOOKUP($C30,'Final SEA Counts'!$A$2:$F$709,5,FALSE)</f>
        <v>101</v>
      </c>
      <c r="P30" s="208">
        <f>VLOOKUP($C30,'Final SEA Counts'!$A$2:$F$709,6,FALSE)</f>
        <v>54</v>
      </c>
      <c r="Q30" s="748">
        <f t="shared" si="73"/>
        <v>-5.5835308513262296</v>
      </c>
      <c r="R30" s="444">
        <f t="shared" si="53"/>
        <v>145.5914710565059</v>
      </c>
      <c r="S30" s="445">
        <f t="shared" si="74"/>
        <v>32.416469148673769</v>
      </c>
      <c r="T30" s="229">
        <f t="shared" si="54"/>
        <v>0.22265362739615788</v>
      </c>
      <c r="U30" s="261">
        <f>VLOOKUP($B30,update_Allocation!$D$8:$Q$235,update_Allocation!K$239,0)</f>
        <v>17969.82166119407</v>
      </c>
      <c r="V30" s="262">
        <f>VLOOKUP($B30,update_Allocation!$D$8:$Q$235,update_Allocation!L$239,0)</f>
        <v>4280.5758761514699</v>
      </c>
      <c r="W30" s="262">
        <f>VLOOKUP($B30,update_Allocation!$D$8:$Q$235,update_Allocation!M$239,0)</f>
        <v>7022.5962549313253</v>
      </c>
      <c r="X30" s="262">
        <f>VLOOKUP($B30,update_Allocation!$D$8:$Q$235,update_Allocation!N$239,0)</f>
        <v>5275.9500554077522</v>
      </c>
      <c r="Y30" s="263">
        <f>VLOOKUP($B30,update_Allocation!$D$8:$Q$235,update_Allocation!O$239,0)</f>
        <v>34548.943847684619</v>
      </c>
      <c r="Z30" s="262">
        <f t="shared" si="55"/>
        <v>15335.06317114627</v>
      </c>
      <c r="AA30" s="262">
        <f t="shared" si="56"/>
        <v>3652.9523056661046</v>
      </c>
      <c r="AB30" s="262">
        <f t="shared" si="57"/>
        <v>5992.9341106032498</v>
      </c>
      <c r="AC30" s="263">
        <f t="shared" si="58"/>
        <v>4502.383435569076</v>
      </c>
      <c r="AD30" s="262">
        <f t="shared" si="59"/>
        <v>15335.06317114627</v>
      </c>
      <c r="AE30" s="262">
        <f t="shared" si="60"/>
        <v>3652.9523056661046</v>
      </c>
      <c r="AF30" s="262">
        <f t="shared" si="61"/>
        <v>5992.9341106032498</v>
      </c>
      <c r="AG30" s="263">
        <f t="shared" si="62"/>
        <v>4502.383435569076</v>
      </c>
      <c r="AH30" s="262">
        <f t="shared" si="75"/>
        <v>15335.06317114627</v>
      </c>
      <c r="AI30" s="262">
        <f t="shared" si="75"/>
        <v>4688.4025992132028</v>
      </c>
      <c r="AJ30" s="262">
        <f t="shared" si="75"/>
        <v>5992.9341106032498</v>
      </c>
      <c r="AK30" s="262">
        <f t="shared" si="75"/>
        <v>4502.383435569076</v>
      </c>
      <c r="AL30" s="263">
        <f t="shared" si="64"/>
        <v>30518.783316531801</v>
      </c>
      <c r="AM30" s="346"/>
      <c r="AN30" s="261">
        <f>IFERROR(VLOOKUP($A30,'HH &amp; SI'!$B$4:$Z$494,'HH &amp; SI'!V$503,0),0)</f>
        <v>15125.882956059551</v>
      </c>
      <c r="AO30" s="262">
        <f>IFERROR(VLOOKUP($A30,'HH &amp; SI'!$B$4:$Z$494,'HH &amp; SI'!W$503,0),0)</f>
        <v>4533.9837588416412</v>
      </c>
      <c r="AP30" s="262">
        <f>IFERROR(VLOOKUP($A30,'HH &amp; SI'!$B$4:$Z$494,'HH &amp; SI'!X$503,0),0)</f>
        <v>5938.4307147199661</v>
      </c>
      <c r="AQ30" s="262">
        <f>IFERROR(VLOOKUP($A30,'HH &amp; SI'!$B$4:$Z$494,'HH &amp; SI'!Y$503,0),0)</f>
        <v>4452.7752748132889</v>
      </c>
      <c r="AR30" s="263">
        <f t="shared" si="65"/>
        <v>30051.072704434446</v>
      </c>
      <c r="AS30" s="346"/>
      <c r="AT30" s="323">
        <f>IFERROR(VLOOKUP(A30,'Afton FY16 Final'!$A$5:$BV$572,'Afton FY16 Final'!$BV$587,0),0)</f>
        <v>22078.121292477252</v>
      </c>
      <c r="AU30" s="346"/>
      <c r="AV30" s="444">
        <v>0</v>
      </c>
      <c r="AW30" s="262">
        <f>IFERROR(VLOOKUP($A30,'HH &amp; SI'!$B$4:$EY$503,'HH &amp; SI'!EX$503,0),0)</f>
        <v>1683.2537694403945</v>
      </c>
      <c r="AX30" s="262">
        <f>IFERROR(VLOOKUP($A30,'HH &amp; SI'!$B$4:$EY$503,'HH &amp; SI'!EY$503,0),0)</f>
        <v>28367.818934994051</v>
      </c>
      <c r="AY30" s="262">
        <f>AX30/$AX$582*'update_State Admin 1004(b)'!$B$30*0.01</f>
        <v>271.50040575568545</v>
      </c>
      <c r="AZ30" s="263">
        <f t="shared" si="66"/>
        <v>28096.318529238364</v>
      </c>
      <c r="BA30" s="261">
        <f t="shared" si="67"/>
        <v>280.96318529238363</v>
      </c>
      <c r="BB30" s="262">
        <f t="shared" si="68"/>
        <v>27815.355343945979</v>
      </c>
      <c r="BC30" s="341">
        <f t="shared" si="31"/>
        <v>1.2598606093093434</v>
      </c>
      <c r="BD30" s="346"/>
      <c r="BE30" s="376" t="str">
        <f>'Original Title I &amp; II'!AZ30</f>
        <v/>
      </c>
      <c r="BF30" s="243" t="str">
        <f t="shared" si="76"/>
        <v/>
      </c>
      <c r="BG30" s="263">
        <f t="shared" si="51"/>
        <v>27815.355343945979</v>
      </c>
      <c r="BI30" s="31">
        <f>IFERROR(VLOOKUP(A30,'Title II Hold Harmless'!A$1:B$439,2, FALSE),"")</f>
        <v>2078</v>
      </c>
      <c r="BJ30" s="31">
        <f t="shared" si="77"/>
        <v>2619.5324816980933</v>
      </c>
      <c r="BK30" s="31">
        <f t="shared" si="78"/>
        <v>2622.0665960960278</v>
      </c>
      <c r="BL30" s="31" t="str">
        <f t="shared" si="69"/>
        <v/>
      </c>
      <c r="BM30" s="31">
        <f t="shared" si="70"/>
        <v>2622.0665960960278</v>
      </c>
      <c r="BN30" s="200"/>
      <c r="BP30" s="295" t="s">
        <v>1447</v>
      </c>
      <c r="BQ30" s="296" t="str">
        <f t="shared" si="34"/>
        <v>Y</v>
      </c>
      <c r="BR30" s="297" t="s">
        <v>1448</v>
      </c>
      <c r="BT30" s="295" t="str">
        <f t="shared" si="35"/>
        <v>Y</v>
      </c>
      <c r="BU30" s="296" t="str">
        <f t="shared" si="71"/>
        <v>Y</v>
      </c>
      <c r="BV30" s="296" t="str">
        <f t="shared" si="72"/>
        <v>Y</v>
      </c>
      <c r="BW30" s="297" t="str">
        <f t="shared" si="36"/>
        <v>Y</v>
      </c>
      <c r="BY30" s="352">
        <f t="shared" si="37"/>
        <v>0</v>
      </c>
      <c r="BZ30" s="353">
        <f t="shared" si="38"/>
        <v>0.9</v>
      </c>
      <c r="CA30" s="353">
        <f t="shared" si="39"/>
        <v>0</v>
      </c>
      <c r="CB30" s="354">
        <f t="shared" si="40"/>
        <v>0.9</v>
      </c>
      <c r="CD30" s="311">
        <f t="shared" si="41"/>
        <v>25</v>
      </c>
    </row>
    <row r="31" spans="1:82" outlineLevel="1" x14ac:dyDescent="0.3">
      <c r="A31" s="1">
        <v>20522000</v>
      </c>
      <c r="B31" s="47">
        <f>VLOOKUP(C31,'NCES ID'!$A$2:$B$3136,2,FALSE)</f>
        <v>408910</v>
      </c>
      <c r="C31" s="47">
        <f>VLOOKUP(A31,'State ID'!$A$2:$B$713,2,FALSE)</f>
        <v>4190</v>
      </c>
      <c r="D31" s="147" t="s">
        <v>428</v>
      </c>
      <c r="E31" s="47" t="s">
        <v>54</v>
      </c>
      <c r="F31" s="382">
        <f>IFERROR(VLOOKUP($B31,'update_Formula counts'!$D$7:$R$234,'update_Formula counts'!F$5,0),0)</f>
        <v>43</v>
      </c>
      <c r="G31" s="382">
        <f>IFERROR(VLOOKUP($B31,'update_Formula counts'!$D$7:$R$234,'update_Formula counts'!G$5,0),0)</f>
        <v>0</v>
      </c>
      <c r="H31" s="382">
        <f>IFERROR(VLOOKUP($B31,'update_Formula counts'!$D$7:$R$234,'update_Formula counts'!H$5,0),0)</f>
        <v>0</v>
      </c>
      <c r="I31" s="382">
        <f>IFERROR(VLOOKUP($B31,'update_Formula counts'!$D$7:$R$234,'update_Formula counts'!I$5,0),0)</f>
        <v>1</v>
      </c>
      <c r="J31" s="382">
        <f>IFERROR(VLOOKUP($B31,'update_Formula counts'!$D$7:$R$234,'update_Formula counts'!J$5,0),0)</f>
        <v>0</v>
      </c>
      <c r="K31" s="382">
        <f t="shared" si="52"/>
        <v>43</v>
      </c>
      <c r="L31" s="444">
        <f>IFERROR(VLOOKUP($B31,'update_Formula counts'!$D$7:$R$234,'update_Formula counts'!L$5,0),0)</f>
        <v>174</v>
      </c>
      <c r="M31" s="445">
        <f>IFERROR(VLOOKUP($B31,'update_Formula counts'!$D$7:$R$234,'update_Formula counts'!K$5,0),0)</f>
        <v>44</v>
      </c>
      <c r="N31" s="446">
        <f>IFERROR(VLOOKUP($B31,'update_Formula counts'!$D$7:$R$234,'update_Formula counts'!M$5,0),0)</f>
        <v>0.25287356321839083</v>
      </c>
      <c r="O31" s="137">
        <f>VLOOKUP($C31,'Final SEA Counts'!$A$2:$F$709,5,FALSE)</f>
        <v>80</v>
      </c>
      <c r="P31" s="208">
        <f>VLOOKUP($C31,'Final SEA Counts'!$A$2:$F$709,6,FALSE)</f>
        <v>61</v>
      </c>
      <c r="Q31" s="748">
        <f t="shared" si="73"/>
        <v>-6.4889985069824609</v>
      </c>
      <c r="R31" s="444">
        <f t="shared" si="53"/>
        <v>156.3760244680989</v>
      </c>
      <c r="S31" s="445">
        <f t="shared" si="74"/>
        <v>37.511001493017538</v>
      </c>
      <c r="T31" s="229">
        <f t="shared" si="54"/>
        <v>0.23987693523101347</v>
      </c>
      <c r="U31" s="261">
        <f>VLOOKUP($B31,update_Allocation!$D$8:$Q$235,update_Allocation!K$239,0)</f>
        <v>29056.310761741202</v>
      </c>
      <c r="V31" s="262">
        <f>VLOOKUP($B31,update_Allocation!$D$8:$Q$235,update_Allocation!L$239,0)</f>
        <v>6885.1627474988136</v>
      </c>
      <c r="W31" s="262">
        <f>VLOOKUP($B31,update_Allocation!$D$8:$Q$235,update_Allocation!M$239,0)</f>
        <v>15673.270022326735</v>
      </c>
      <c r="X31" s="262">
        <f>VLOOKUP($B31,update_Allocation!$D$8:$Q$235,update_Allocation!N$239,0)</f>
        <v>12880.709235063383</v>
      </c>
      <c r="Y31" s="263">
        <f>VLOOKUP($B31,update_Allocation!$D$8:$Q$235,update_Allocation!O$239,0)</f>
        <v>64495.452766630136</v>
      </c>
      <c r="Z31" s="262">
        <f t="shared" si="55"/>
        <v>24796.036903025692</v>
      </c>
      <c r="AA31" s="262">
        <f t="shared" si="56"/>
        <v>5875.6512817557586</v>
      </c>
      <c r="AB31" s="262">
        <f t="shared" si="57"/>
        <v>13375.23490340764</v>
      </c>
      <c r="AC31" s="263">
        <f t="shared" si="58"/>
        <v>10992.122990036329</v>
      </c>
      <c r="AD31" s="262">
        <f t="shared" si="59"/>
        <v>24796.036903025692</v>
      </c>
      <c r="AE31" s="262">
        <f t="shared" si="60"/>
        <v>5875.6512817557586</v>
      </c>
      <c r="AF31" s="262">
        <f t="shared" si="61"/>
        <v>13375.23490340764</v>
      </c>
      <c r="AG31" s="263">
        <f t="shared" si="62"/>
        <v>10992.122990036329</v>
      </c>
      <c r="AH31" s="262">
        <f t="shared" si="75"/>
        <v>24796.036903025692</v>
      </c>
      <c r="AI31" s="262">
        <f t="shared" si="75"/>
        <v>6911.1015753028569</v>
      </c>
      <c r="AJ31" s="262">
        <f t="shared" si="75"/>
        <v>13375.23490340764</v>
      </c>
      <c r="AK31" s="262">
        <f t="shared" si="75"/>
        <v>10992.122990036329</v>
      </c>
      <c r="AL31" s="263">
        <f t="shared" si="64"/>
        <v>56074.496371772519</v>
      </c>
      <c r="AM31" s="346"/>
      <c r="AN31" s="261">
        <f>IFERROR(VLOOKUP($A31,'HH &amp; SI'!$B$4:$Z$494,'HH &amp; SI'!V$503,0),0)</f>
        <v>24587.366330443121</v>
      </c>
      <c r="AO31" s="262">
        <f>IFERROR(VLOOKUP($A31,'HH &amp; SI'!$B$4:$Z$494,'HH &amp; SI'!W$503,0),0)</f>
        <v>6683.4751570580947</v>
      </c>
      <c r="AP31" s="262">
        <f>IFERROR(VLOOKUP($A31,'HH &amp; SI'!$B$4:$Z$494,'HH &amp; SI'!X$503,0),0)</f>
        <v>13280.702480756849</v>
      </c>
      <c r="AQ31" s="262">
        <f>IFERROR(VLOOKUP($A31,'HH &amp; SI'!$B$4:$Z$494,'HH &amp; SI'!Y$503,0),0)</f>
        <v>10871.00958151825</v>
      </c>
      <c r="AR31" s="263">
        <f t="shared" si="65"/>
        <v>55422.553549776312</v>
      </c>
      <c r="AS31" s="346"/>
      <c r="AT31" s="323">
        <f>IFERROR(VLOOKUP(A31,'Afton FY16 Final'!$A$5:$BV$572,'Afton FY16 Final'!$BV$587,0),0)</f>
        <v>53486.253419892877</v>
      </c>
      <c r="AU31" s="346"/>
      <c r="AV31" s="444">
        <v>0</v>
      </c>
      <c r="AW31" s="262">
        <f>IFERROR(VLOOKUP($A31,'HH &amp; SI'!$B$4:$EY$503,'HH &amp; SI'!EX$503,0),0)</f>
        <v>1936.3001298834351</v>
      </c>
      <c r="AX31" s="262">
        <f>IFERROR(VLOOKUP($A31,'HH &amp; SI'!$B$4:$EY$503,'HH &amp; SI'!EY$503,0),0)</f>
        <v>53486.253419892877</v>
      </c>
      <c r="AY31" s="262">
        <f>AX31/$AX$582*'update_State Admin 1004(b)'!$B$30*0.01</f>
        <v>511.90186806849692</v>
      </c>
      <c r="AZ31" s="263">
        <f t="shared" si="66"/>
        <v>52974.35155182438</v>
      </c>
      <c r="BA31" s="261">
        <f t="shared" si="67"/>
        <v>529.74351551824384</v>
      </c>
      <c r="BB31" s="262">
        <f t="shared" si="68"/>
        <v>52444.608036306134</v>
      </c>
      <c r="BC31" s="341">
        <f t="shared" si="31"/>
        <v>0.98052498881517602</v>
      </c>
      <c r="BD31" s="346"/>
      <c r="BE31" s="376" t="str">
        <f>'Original Title I &amp; II'!AZ31</f>
        <v/>
      </c>
      <c r="BF31" s="243" t="str">
        <f t="shared" si="76"/>
        <v/>
      </c>
      <c r="BG31" s="263">
        <f t="shared" si="51"/>
        <v>52444.608036306134</v>
      </c>
      <c r="BI31" s="31" t="str">
        <f>IFERROR(VLOOKUP(A31,'Title II Hold Harmless'!A$1:B$439,2, FALSE),"")</f>
        <v/>
      </c>
      <c r="BJ31" s="31">
        <f t="shared" si="77"/>
        <v>616.90386190099082</v>
      </c>
      <c r="BK31" s="31">
        <f t="shared" si="78"/>
        <v>617.50064967495689</v>
      </c>
      <c r="BL31" s="31" t="str">
        <f t="shared" si="69"/>
        <v/>
      </c>
      <c r="BM31" s="31">
        <f t="shared" si="70"/>
        <v>617.50064967495689</v>
      </c>
      <c r="BN31" s="200"/>
      <c r="BP31" s="295" t="s">
        <v>1447</v>
      </c>
      <c r="BQ31" s="296" t="str">
        <f t="shared" si="34"/>
        <v>Y</v>
      </c>
      <c r="BR31" s="297" t="s">
        <v>1448</v>
      </c>
      <c r="BT31" s="295" t="str">
        <f t="shared" si="35"/>
        <v>Y</v>
      </c>
      <c r="BU31" s="296" t="str">
        <f t="shared" si="71"/>
        <v>Y</v>
      </c>
      <c r="BV31" s="296" t="str">
        <f t="shared" si="72"/>
        <v>Y</v>
      </c>
      <c r="BW31" s="297" t="str">
        <f t="shared" si="36"/>
        <v>Y</v>
      </c>
      <c r="BY31" s="352">
        <f t="shared" si="37"/>
        <v>0</v>
      </c>
      <c r="BZ31" s="353">
        <f t="shared" si="38"/>
        <v>0.9</v>
      </c>
      <c r="CA31" s="353">
        <f t="shared" si="39"/>
        <v>0</v>
      </c>
      <c r="CB31" s="354">
        <f t="shared" si="40"/>
        <v>0.9</v>
      </c>
      <c r="CD31" s="311">
        <f t="shared" si="41"/>
        <v>26</v>
      </c>
    </row>
    <row r="32" spans="1:82" outlineLevel="1" x14ac:dyDescent="0.3">
      <c r="A32" s="1">
        <v>20323000</v>
      </c>
      <c r="B32" s="47">
        <f>VLOOKUP(C32,'NCES ID'!$A$2:$B$3136,2,FALSE)</f>
        <v>405430</v>
      </c>
      <c r="C32" s="47">
        <f>VLOOKUP(A32,'State ID'!$A$2:$B$713,2,FALSE)</f>
        <v>4176</v>
      </c>
      <c r="D32" s="147" t="s">
        <v>300</v>
      </c>
      <c r="E32" s="47" t="s">
        <v>54</v>
      </c>
      <c r="F32" s="382">
        <f>IFERROR(VLOOKUP($B32,'update_Formula counts'!$D$7:$R$234,'update_Formula counts'!F$5,0),0)</f>
        <v>121</v>
      </c>
      <c r="G32" s="382">
        <f>IFERROR(VLOOKUP($B32,'update_Formula counts'!$D$7:$R$234,'update_Formula counts'!G$5,0),0)</f>
        <v>0</v>
      </c>
      <c r="H32" s="382">
        <f>IFERROR(VLOOKUP($B32,'update_Formula counts'!$D$7:$R$234,'update_Formula counts'!H$5,0),0)</f>
        <v>0</v>
      </c>
      <c r="I32" s="382">
        <f>IFERROR(VLOOKUP($B32,'update_Formula counts'!$D$7:$R$234,'update_Formula counts'!I$5,0),0)</f>
        <v>3</v>
      </c>
      <c r="J32" s="382">
        <f>IFERROR(VLOOKUP($B32,'update_Formula counts'!$D$7:$R$234,'update_Formula counts'!J$5,0),0)</f>
        <v>0</v>
      </c>
      <c r="K32" s="382">
        <f t="shared" si="52"/>
        <v>121</v>
      </c>
      <c r="L32" s="444">
        <f>IFERROR(VLOOKUP($B32,'update_Formula counts'!$D$7:$R$234,'update_Formula counts'!L$5,0),0)</f>
        <v>371</v>
      </c>
      <c r="M32" s="445">
        <f>IFERROR(VLOOKUP($B32,'update_Formula counts'!$D$7:$R$234,'update_Formula counts'!K$5,0),0)</f>
        <v>124</v>
      </c>
      <c r="N32" s="446">
        <f>IFERROR(VLOOKUP($B32,'update_Formula counts'!$D$7:$R$234,'update_Formula counts'!M$5,0),0)</f>
        <v>0.33423180592991913</v>
      </c>
      <c r="O32" s="137">
        <f>VLOOKUP($C32,'Final SEA Counts'!$A$2:$F$709,5,FALSE)</f>
        <v>298</v>
      </c>
      <c r="P32" s="208">
        <f>VLOOKUP($C32,'Final SEA Counts'!$A$2:$F$709,6,FALSE)</f>
        <v>266</v>
      </c>
      <c r="Q32" s="748">
        <f t="shared" si="73"/>
        <v>-18.259705313405743</v>
      </c>
      <c r="R32" s="444">
        <f t="shared" si="53"/>
        <v>333.42244297508449</v>
      </c>
      <c r="S32" s="445">
        <f t="shared" si="74"/>
        <v>105.74029468659425</v>
      </c>
      <c r="T32" s="229">
        <f t="shared" si="54"/>
        <v>0.3171361044058329</v>
      </c>
      <c r="U32" s="261">
        <f>VLOOKUP($B32,update_Allocation!$D$8:$Q$235,update_Allocation!K$239,0)</f>
        <v>58638.365420738563</v>
      </c>
      <c r="V32" s="262">
        <f>VLOOKUP($B32,update_Allocation!$D$8:$Q$235,update_Allocation!L$239,0)</f>
        <v>13968.194964283743</v>
      </c>
      <c r="W32" s="262">
        <f>VLOOKUP($B32,update_Allocation!$D$8:$Q$235,update_Allocation!M$239,0)</f>
        <v>30570.906766741289</v>
      </c>
      <c r="X32" s="262">
        <f>VLOOKUP($B32,update_Allocation!$D$8:$Q$235,update_Allocation!N$239,0)</f>
        <v>26374.441433187563</v>
      </c>
      <c r="Y32" s="263">
        <f>VLOOKUP($B32,update_Allocation!$D$8:$Q$235,update_Allocation!O$239,0)</f>
        <v>129551.90858495116</v>
      </c>
      <c r="Z32" s="262">
        <f t="shared" si="55"/>
        <v>50040.732453214165</v>
      </c>
      <c r="AA32" s="262">
        <f t="shared" si="56"/>
        <v>11920.160155331498</v>
      </c>
      <c r="AB32" s="262">
        <f t="shared" si="57"/>
        <v>26088.560883138394</v>
      </c>
      <c r="AC32" s="263">
        <f t="shared" si="58"/>
        <v>22507.386723544892</v>
      </c>
      <c r="AD32" s="262">
        <f t="shared" si="59"/>
        <v>50040.732453214165</v>
      </c>
      <c r="AE32" s="262">
        <f t="shared" si="60"/>
        <v>11920.160155331498</v>
      </c>
      <c r="AF32" s="262">
        <f t="shared" si="61"/>
        <v>26088.560883138394</v>
      </c>
      <c r="AG32" s="263">
        <f t="shared" si="62"/>
        <v>22507.386723544892</v>
      </c>
      <c r="AH32" s="262">
        <f t="shared" si="75"/>
        <v>50040.732453214165</v>
      </c>
      <c r="AI32" s="262">
        <f t="shared" si="75"/>
        <v>12955.610448878597</v>
      </c>
      <c r="AJ32" s="262">
        <f t="shared" si="75"/>
        <v>26088.560883138394</v>
      </c>
      <c r="AK32" s="262">
        <f t="shared" si="75"/>
        <v>22507.386723544892</v>
      </c>
      <c r="AL32" s="263">
        <f t="shared" si="64"/>
        <v>111592.29050877603</v>
      </c>
      <c r="AM32" s="346"/>
      <c r="AN32" s="261">
        <f>IFERROR(VLOOKUP($A32,'HH &amp; SI'!$B$4:$Z$494,'HH &amp; SI'!V$503,0),0)</f>
        <v>49358.14438293119</v>
      </c>
      <c r="AO32" s="262">
        <f>IFERROR(VLOOKUP($A32,'HH &amp; SI'!$B$4:$Z$494,'HH &amp; SI'!W$503,0),0)</f>
        <v>12528.900007638493</v>
      </c>
      <c r="AP32" s="262">
        <f>IFERROR(VLOOKUP($A32,'HH &amp; SI'!$B$4:$Z$494,'HH &amp; SI'!X$503,0),0)</f>
        <v>25851.295607799715</v>
      </c>
      <c r="AQ32" s="262">
        <f>IFERROR(VLOOKUP($A32,'HH &amp; SI'!$B$4:$Z$494,'HH &amp; SI'!Y$503,0),0)</f>
        <v>22259.395837217115</v>
      </c>
      <c r="AR32" s="263">
        <f t="shared" si="65"/>
        <v>109997.73583558651</v>
      </c>
      <c r="AS32" s="346"/>
      <c r="AT32" s="323">
        <f>IFERROR(VLOOKUP(A32,'Afton FY16 Final'!$A$5:$BV$572,'Afton FY16 Final'!$BV$587,0),0)</f>
        <v>98655.563689937801</v>
      </c>
      <c r="AU32" s="346"/>
      <c r="AV32" s="444">
        <v>0</v>
      </c>
      <c r="AW32" s="262">
        <f>IFERROR(VLOOKUP($A32,'HH &amp; SI'!$B$4:$EY$503,'HH &amp; SI'!EX$503,0),0)</f>
        <v>6161.3142830617726</v>
      </c>
      <c r="AX32" s="262">
        <f>IFERROR(VLOOKUP($A32,'HH &amp; SI'!$B$4:$EY$503,'HH &amp; SI'!EY$503,0),0)</f>
        <v>103836.42155252474</v>
      </c>
      <c r="AY32" s="262">
        <f>AX32/$AX$582*'update_State Admin 1004(b)'!$B$30*0.01</f>
        <v>993.78914707299396</v>
      </c>
      <c r="AZ32" s="263">
        <f t="shared" si="66"/>
        <v>102842.63240545175</v>
      </c>
      <c r="BA32" s="261">
        <f t="shared" si="67"/>
        <v>1028.4263240545174</v>
      </c>
      <c r="BB32" s="262">
        <f t="shared" si="68"/>
        <v>101814.20608139723</v>
      </c>
      <c r="BC32" s="341">
        <f t="shared" si="31"/>
        <v>1.0320168703448562</v>
      </c>
      <c r="BD32" s="346"/>
      <c r="BE32" s="376" t="str">
        <f>'Original Title I &amp; II'!AZ32</f>
        <v/>
      </c>
      <c r="BF32" s="243" t="str">
        <f t="shared" si="76"/>
        <v/>
      </c>
      <c r="BG32" s="263">
        <f t="shared" si="51"/>
        <v>101814.20608139723</v>
      </c>
      <c r="BI32" s="31">
        <f>IFERROR(VLOOKUP(A32,'Title II Hold Harmless'!A$1:B$439,2, FALSE),"")</f>
        <v>14022</v>
      </c>
      <c r="BJ32" s="31">
        <f t="shared" si="77"/>
        <v>15674.57310318334</v>
      </c>
      <c r="BK32" s="31">
        <f t="shared" si="78"/>
        <v>15689.736557601169</v>
      </c>
      <c r="BL32" s="31" t="str">
        <f t="shared" si="69"/>
        <v/>
      </c>
      <c r="BM32" s="31">
        <f t="shared" si="70"/>
        <v>15689.736557601169</v>
      </c>
      <c r="BN32" s="200"/>
      <c r="BP32" s="295" t="s">
        <v>1447</v>
      </c>
      <c r="BQ32" s="296" t="str">
        <f t="shared" si="34"/>
        <v>Y</v>
      </c>
      <c r="BR32" s="297" t="s">
        <v>1448</v>
      </c>
      <c r="BT32" s="295" t="str">
        <f t="shared" si="35"/>
        <v>Y</v>
      </c>
      <c r="BU32" s="296" t="str">
        <f t="shared" si="71"/>
        <v>Y</v>
      </c>
      <c r="BV32" s="296" t="str">
        <f t="shared" si="72"/>
        <v>Y</v>
      </c>
      <c r="BW32" s="297" t="str">
        <f t="shared" si="36"/>
        <v>Y</v>
      </c>
      <c r="BY32" s="352">
        <f t="shared" si="37"/>
        <v>0</v>
      </c>
      <c r="BZ32" s="353">
        <f t="shared" si="38"/>
        <v>0</v>
      </c>
      <c r="CA32" s="353">
        <f t="shared" si="39"/>
        <v>0.95</v>
      </c>
      <c r="CB32" s="354">
        <f t="shared" si="40"/>
        <v>0.95</v>
      </c>
      <c r="CD32" s="311">
        <f t="shared" si="41"/>
        <v>27</v>
      </c>
    </row>
    <row r="33" spans="1:82" outlineLevel="1" x14ac:dyDescent="0.3">
      <c r="A33" s="1">
        <v>20221000</v>
      </c>
      <c r="B33" s="47">
        <f>VLOOKUP(C33,'NCES ID'!$A$2:$B$3136,2,FALSE)</f>
        <v>408020</v>
      </c>
      <c r="C33" s="47">
        <f>VLOOKUP(A33,'State ID'!$A$2:$B$713,2,FALSE)</f>
        <v>4173</v>
      </c>
      <c r="D33" s="147" t="s">
        <v>397</v>
      </c>
      <c r="E33" s="47" t="s">
        <v>54</v>
      </c>
      <c r="F33" s="382">
        <f>IFERROR(VLOOKUP($B33,'update_Formula counts'!$D$7:$R$234,'update_Formula counts'!F$5,0),0)</f>
        <v>99</v>
      </c>
      <c r="G33" s="382">
        <f>IFERROR(VLOOKUP($B33,'update_Formula counts'!$D$7:$R$234,'update_Formula counts'!G$5,0),0)</f>
        <v>0</v>
      </c>
      <c r="H33" s="382">
        <f>IFERROR(VLOOKUP($B33,'update_Formula counts'!$D$7:$R$234,'update_Formula counts'!H$5,0),0)</f>
        <v>0</v>
      </c>
      <c r="I33" s="382">
        <f>IFERROR(VLOOKUP($B33,'update_Formula counts'!$D$7:$R$234,'update_Formula counts'!I$5,0),0)</f>
        <v>3</v>
      </c>
      <c r="J33" s="382">
        <f>IFERROR(VLOOKUP($B33,'update_Formula counts'!$D$7:$R$234,'update_Formula counts'!J$5,0),0)</f>
        <v>0</v>
      </c>
      <c r="K33" s="382">
        <f t="shared" si="52"/>
        <v>99</v>
      </c>
      <c r="L33" s="444">
        <f>IFERROR(VLOOKUP($B33,'update_Formula counts'!$D$7:$R$234,'update_Formula counts'!L$5,0),0)</f>
        <v>518</v>
      </c>
      <c r="M33" s="445">
        <f>IFERROR(VLOOKUP($B33,'update_Formula counts'!$D$7:$R$234,'update_Formula counts'!K$5,0),0)</f>
        <v>102</v>
      </c>
      <c r="N33" s="446">
        <f>IFERROR(VLOOKUP($B33,'update_Formula counts'!$D$7:$R$234,'update_Formula counts'!M$5,0),0)</f>
        <v>0.19691119691119691</v>
      </c>
      <c r="O33" s="137">
        <f>VLOOKUP($C33,'Final SEA Counts'!$A$2:$F$709,5,FALSE)</f>
        <v>351</v>
      </c>
      <c r="P33" s="208">
        <f>VLOOKUP($C33,'Final SEA Counts'!$A$2:$F$709,6,FALSE)</f>
        <v>270</v>
      </c>
      <c r="Q33" s="748">
        <f t="shared" si="73"/>
        <v>-14.939657242666229</v>
      </c>
      <c r="R33" s="444">
        <f t="shared" si="53"/>
        <v>465.53322226709906</v>
      </c>
      <c r="S33" s="445">
        <f t="shared" si="74"/>
        <v>87.060342757333771</v>
      </c>
      <c r="T33" s="229">
        <f t="shared" si="54"/>
        <v>0.1870120940743151</v>
      </c>
      <c r="U33" s="261">
        <f>VLOOKUP($B33,update_Allocation!$D$8:$Q$235,update_Allocation!K$239,0)</f>
        <v>57329.717874790098</v>
      </c>
      <c r="V33" s="262">
        <f>VLOOKUP($B33,update_Allocation!$D$8:$Q$235,update_Allocation!L$239,0)</f>
        <v>13574.983524267249</v>
      </c>
      <c r="W33" s="262">
        <f>VLOOKUP($B33,update_Allocation!$D$8:$Q$235,update_Allocation!M$239,0)</f>
        <v>23965.964400588844</v>
      </c>
      <c r="X33" s="262">
        <f>VLOOKUP($B33,update_Allocation!$D$8:$Q$235,update_Allocation!N$239,0)</f>
        <v>20097.70545152836</v>
      </c>
      <c r="Y33" s="263">
        <f>VLOOKUP($B33,update_Allocation!$D$8:$Q$235,update_Allocation!O$239,0)</f>
        <v>114968.37125117454</v>
      </c>
      <c r="Z33" s="262">
        <f t="shared" si="55"/>
        <v>48923.960502759997</v>
      </c>
      <c r="AA33" s="262">
        <f t="shared" si="56"/>
        <v>11584.601885140539</v>
      </c>
      <c r="AB33" s="262">
        <f t="shared" si="57"/>
        <v>20452.043708042642</v>
      </c>
      <c r="AC33" s="263">
        <f t="shared" si="58"/>
        <v>17150.953888420434</v>
      </c>
      <c r="AD33" s="262">
        <f t="shared" si="59"/>
        <v>48923.960502759997</v>
      </c>
      <c r="AE33" s="262">
        <f t="shared" si="60"/>
        <v>11584.601885140539</v>
      </c>
      <c r="AF33" s="262">
        <f t="shared" si="61"/>
        <v>20452.043708042642</v>
      </c>
      <c r="AG33" s="263">
        <f t="shared" si="62"/>
        <v>17150.953888420434</v>
      </c>
      <c r="AH33" s="262">
        <f t="shared" si="75"/>
        <v>48923.960502759997</v>
      </c>
      <c r="AI33" s="262">
        <f t="shared" si="75"/>
        <v>12620.052178687638</v>
      </c>
      <c r="AJ33" s="262">
        <f t="shared" si="75"/>
        <v>20452.043708042642</v>
      </c>
      <c r="AK33" s="262">
        <f t="shared" si="75"/>
        <v>17150.953888420434</v>
      </c>
      <c r="AL33" s="263">
        <f t="shared" si="64"/>
        <v>99147.010277910726</v>
      </c>
      <c r="AM33" s="346"/>
      <c r="AN33" s="261">
        <f>IFERROR(VLOOKUP($A33,'HH &amp; SI'!$B$4:$Z$494,'HH &amp; SI'!V$503,0),0)</f>
        <v>48512.241852273866</v>
      </c>
      <c r="AO33" s="262">
        <f>IFERROR(VLOOKUP($A33,'HH &amp; SI'!$B$4:$Z$494,'HH &amp; SI'!W$503,0),0)</f>
        <v>12204.393800034622</v>
      </c>
      <c r="AP33" s="262">
        <f>IFERROR(VLOOKUP($A33,'HH &amp; SI'!$B$4:$Z$494,'HH &amp; SI'!X$503,0),0)</f>
        <v>20307.494378341627</v>
      </c>
      <c r="AQ33" s="262">
        <f>IFERROR(VLOOKUP($A33,'HH &amp; SI'!$B$4:$Z$494,'HH &amp; SI'!Y$503,0),0)</f>
        <v>16961.981249864093</v>
      </c>
      <c r="AR33" s="263">
        <f t="shared" si="65"/>
        <v>97986.111280514218</v>
      </c>
      <c r="AS33" s="346"/>
      <c r="AT33" s="323">
        <f>IFERROR(VLOOKUP(A33,'Afton FY16 Final'!$A$5:$BV$572,'Afton FY16 Final'!$BV$587,0),0)</f>
        <v>105727.76225205336</v>
      </c>
      <c r="AU33" s="346"/>
      <c r="AV33" s="444">
        <v>0</v>
      </c>
      <c r="AW33" s="262">
        <f>IFERROR(VLOOKUP($A33,'HH &amp; SI'!$B$4:$EY$503,'HH &amp; SI'!EX$503,0),0)</f>
        <v>0</v>
      </c>
      <c r="AX33" s="262">
        <f>IFERROR(VLOOKUP($A33,'HH &amp; SI'!$B$4:$EY$503,'HH &amp; SI'!EY$503,0),0)</f>
        <v>97986.111280514218</v>
      </c>
      <c r="AY33" s="262">
        <f>AX33/$AX$582*'update_State Admin 1004(b)'!$B$30*0.01</f>
        <v>937.7974750911859</v>
      </c>
      <c r="AZ33" s="263">
        <f t="shared" si="66"/>
        <v>97048.313805423037</v>
      </c>
      <c r="BA33" s="261">
        <f t="shared" si="67"/>
        <v>970.48313805423038</v>
      </c>
      <c r="BB33" s="262">
        <f t="shared" si="68"/>
        <v>96077.830667368806</v>
      </c>
      <c r="BC33" s="341">
        <f t="shared" si="31"/>
        <v>0.90872849874870831</v>
      </c>
      <c r="BD33" s="346"/>
      <c r="BE33" s="376" t="str">
        <f>'Original Title I &amp; II'!AZ33</f>
        <v/>
      </c>
      <c r="BF33" s="243" t="str">
        <f t="shared" si="76"/>
        <v/>
      </c>
      <c r="BG33" s="263">
        <f t="shared" si="51"/>
        <v>96077.830667368806</v>
      </c>
      <c r="BI33" s="31">
        <f>IFERROR(VLOOKUP(A33,'Title II Hold Harmless'!A$1:B$439,2, FALSE),"")</f>
        <v>13953</v>
      </c>
      <c r="BJ33" s="31">
        <f t="shared" si="77"/>
        <v>15467.358575794286</v>
      </c>
      <c r="BK33" s="31">
        <f t="shared" si="78"/>
        <v>15482.321572565192</v>
      </c>
      <c r="BL33" s="31" t="str">
        <f t="shared" si="69"/>
        <v/>
      </c>
      <c r="BM33" s="31">
        <f t="shared" si="70"/>
        <v>15482.321572565192</v>
      </c>
      <c r="BN33" s="200"/>
      <c r="BP33" s="295" t="s">
        <v>1447</v>
      </c>
      <c r="BQ33" s="296" t="str">
        <f t="shared" si="34"/>
        <v>Y</v>
      </c>
      <c r="BR33" s="297" t="s">
        <v>1448</v>
      </c>
      <c r="BT33" s="295" t="str">
        <f t="shared" si="35"/>
        <v>Y</v>
      </c>
      <c r="BU33" s="296" t="str">
        <f t="shared" si="71"/>
        <v>Y</v>
      </c>
      <c r="BV33" s="296" t="str">
        <f t="shared" si="72"/>
        <v>Y</v>
      </c>
      <c r="BW33" s="297" t="str">
        <f t="shared" si="36"/>
        <v>Y</v>
      </c>
      <c r="BY33" s="352">
        <f t="shared" si="37"/>
        <v>0</v>
      </c>
      <c r="BZ33" s="353">
        <f t="shared" si="38"/>
        <v>0.9</v>
      </c>
      <c r="CA33" s="353">
        <f t="shared" si="39"/>
        <v>0</v>
      </c>
      <c r="CB33" s="354">
        <f t="shared" si="40"/>
        <v>0.9</v>
      </c>
      <c r="CD33" s="311">
        <f t="shared" si="41"/>
        <v>28</v>
      </c>
    </row>
    <row r="34" spans="1:82" outlineLevel="1" x14ac:dyDescent="0.3">
      <c r="A34" s="1">
        <v>20100000</v>
      </c>
      <c r="B34" s="47">
        <f>VLOOKUP(C34,'NCES ID'!$A$2:$B$3136,2,FALSE)</f>
        <v>403150</v>
      </c>
      <c r="C34" s="47">
        <f>VLOOKUP(A34,'State ID'!$A$2:$B$713,2,FALSE)</f>
        <v>4167</v>
      </c>
      <c r="D34" s="147" t="s">
        <v>168</v>
      </c>
      <c r="E34" s="47" t="s">
        <v>54</v>
      </c>
      <c r="F34" s="382">
        <f>IFERROR(VLOOKUP($B34,'update_Formula counts'!$D$7:$R$234,'update_Formula counts'!F$5,0),0)</f>
        <v>101</v>
      </c>
      <c r="G34" s="382">
        <f>IFERROR(VLOOKUP($B34,'update_Formula counts'!$D$7:$R$234,'update_Formula counts'!G$5,0),0)</f>
        <v>0</v>
      </c>
      <c r="H34" s="382">
        <f>IFERROR(VLOOKUP($B34,'update_Formula counts'!$D$7:$R$234,'update_Formula counts'!H$5,0),0)</f>
        <v>0</v>
      </c>
      <c r="I34" s="382">
        <f>IFERROR(VLOOKUP($B34,'update_Formula counts'!$D$7:$R$234,'update_Formula counts'!I$5,0),0)</f>
        <v>3</v>
      </c>
      <c r="J34" s="382">
        <f>IFERROR(VLOOKUP($B34,'update_Formula counts'!$D$7:$R$234,'update_Formula counts'!J$5,0),0)</f>
        <v>0</v>
      </c>
      <c r="K34" s="382">
        <f t="shared" si="52"/>
        <v>101</v>
      </c>
      <c r="L34" s="444">
        <f>IFERROR(VLOOKUP($B34,'update_Formula counts'!$D$7:$R$234,'update_Formula counts'!L$5,0),0)</f>
        <v>685</v>
      </c>
      <c r="M34" s="445">
        <f>IFERROR(VLOOKUP($B34,'update_Formula counts'!$D$7:$R$234,'update_Formula counts'!K$5,0),0)</f>
        <v>104</v>
      </c>
      <c r="N34" s="446">
        <f>IFERROR(VLOOKUP($B34,'update_Formula counts'!$D$7:$R$234,'update_Formula counts'!M$5,0),0)</f>
        <v>0.15182481751824817</v>
      </c>
      <c r="O34" s="137">
        <f>VLOOKUP($C34,'Final SEA Counts'!$A$2:$F$709,5,FALSE)</f>
        <v>1038</v>
      </c>
      <c r="P34" s="208">
        <f>VLOOKUP($C34,'Final SEA Counts'!$A$2:$F$709,6,FALSE)</f>
        <v>352</v>
      </c>
      <c r="Q34" s="748">
        <f t="shared" si="73"/>
        <v>-15.24147979455164</v>
      </c>
      <c r="R34" s="444">
        <f t="shared" si="53"/>
        <v>615.61825724510209</v>
      </c>
      <c r="S34" s="445">
        <f t="shared" si="74"/>
        <v>88.758520205448363</v>
      </c>
      <c r="T34" s="229">
        <f t="shared" si="54"/>
        <v>0.14417785561241089</v>
      </c>
      <c r="U34" s="261">
        <f>VLOOKUP($B34,update_Allocation!$D$8:$Q$235,update_Allocation!K$239,0)</f>
        <v>84624.323205997483</v>
      </c>
      <c r="V34" s="262">
        <f>VLOOKUP($B34,update_Allocation!$D$8:$Q$235,update_Allocation!L$239,0)</f>
        <v>20639.514142504275</v>
      </c>
      <c r="W34" s="262">
        <f>VLOOKUP($B34,update_Allocation!$D$8:$Q$235,update_Allocation!M$239,0)</f>
        <v>26739.327428002885</v>
      </c>
      <c r="X34" s="262">
        <f>VLOOKUP($B34,update_Allocation!$D$8:$Q$235,update_Allocation!N$239,0)</f>
        <v>22192.893294549838</v>
      </c>
      <c r="Y34" s="263">
        <f>VLOOKUP($B34,update_Allocation!$D$8:$Q$235,update_Allocation!O$239,0)</f>
        <v>154196.05807105446</v>
      </c>
      <c r="Z34" s="262">
        <f t="shared" si="55"/>
        <v>72216.595503666176</v>
      </c>
      <c r="AA34" s="262">
        <f t="shared" si="56"/>
        <v>17613.321888473231</v>
      </c>
      <c r="AB34" s="262">
        <f t="shared" si="57"/>
        <v>22818.772661939773</v>
      </c>
      <c r="AC34" s="263">
        <f t="shared" si="58"/>
        <v>18938.942580458301</v>
      </c>
      <c r="AD34" s="262">
        <f t="shared" si="59"/>
        <v>72216.595503666176</v>
      </c>
      <c r="AE34" s="262" t="str">
        <f t="shared" si="60"/>
        <v/>
      </c>
      <c r="AF34" s="262">
        <f t="shared" si="61"/>
        <v>22818.772661939773</v>
      </c>
      <c r="AG34" s="263">
        <f t="shared" si="62"/>
        <v>18938.942580458301</v>
      </c>
      <c r="AH34" s="262">
        <f t="shared" si="75"/>
        <v>72216.595503666176</v>
      </c>
      <c r="AI34" s="262" t="str">
        <f t="shared" si="75"/>
        <v/>
      </c>
      <c r="AJ34" s="262">
        <f t="shared" si="75"/>
        <v>22818.772661939773</v>
      </c>
      <c r="AK34" s="262">
        <f t="shared" si="75"/>
        <v>18938.942580458301</v>
      </c>
      <c r="AL34" s="263">
        <f t="shared" si="64"/>
        <v>113974.31074606425</v>
      </c>
      <c r="AM34" s="346"/>
      <c r="AN34" s="261">
        <f>IFERROR(VLOOKUP($A34,'HH &amp; SI'!$B$4:$Z$494,'HH &amp; SI'!V$503,0),0)</f>
        <v>71231.514267828112</v>
      </c>
      <c r="AO34" s="262">
        <f>IFERROR(VLOOKUP($A34,'HH &amp; SI'!$B$4:$Z$494,'HH &amp; SI'!W$503,0),0)</f>
        <v>16556.570662617942</v>
      </c>
      <c r="AP34" s="262">
        <f>IFERROR(VLOOKUP($A34,'HH &amp; SI'!$B$4:$Z$494,'HH &amp; SI'!X$503,0),0)</f>
        <v>22611.244833832352</v>
      </c>
      <c r="AQ34" s="262">
        <f>IFERROR(VLOOKUP($A34,'HH &amp; SI'!$B$4:$Z$494,'HH &amp; SI'!Y$503,0),0)</f>
        <v>18730.269525059757</v>
      </c>
      <c r="AR34" s="263">
        <f t="shared" si="65"/>
        <v>129129.59928933816</v>
      </c>
      <c r="AS34" s="346"/>
      <c r="AT34" s="323">
        <f>IFERROR(VLOOKUP(A34,'Afton FY16 Final'!$A$5:$BV$572,'Afton FY16 Final'!$BV$587,0),0)</f>
        <v>143008.05066517682</v>
      </c>
      <c r="AU34" s="346"/>
      <c r="AV34" s="444">
        <v>0</v>
      </c>
      <c r="AW34" s="262">
        <f>IFERROR(VLOOKUP($A34,'HH &amp; SI'!$B$4:$EY$503,'HH &amp; SI'!EX$503,0),0)</f>
        <v>0</v>
      </c>
      <c r="AX34" s="262">
        <f>IFERROR(VLOOKUP($A34,'HH &amp; SI'!$B$4:$EY$503,'HH &amp; SI'!EY$503,0),0)</f>
        <v>129129.59928933816</v>
      </c>
      <c r="AY34" s="262">
        <f>AX34/$AX$582*'update_State Admin 1004(b)'!$B$30*0.01</f>
        <v>1235.8630278366775</v>
      </c>
      <c r="AZ34" s="263">
        <f t="shared" si="66"/>
        <v>127893.73626150149</v>
      </c>
      <c r="BA34" s="261">
        <f t="shared" si="67"/>
        <v>1278.937362615015</v>
      </c>
      <c r="BB34" s="262">
        <f t="shared" si="68"/>
        <v>126614.79889888647</v>
      </c>
      <c r="BC34" s="341">
        <f t="shared" si="31"/>
        <v>0.88536832933502674</v>
      </c>
      <c r="BD34" s="346"/>
      <c r="BE34" s="376" t="str">
        <f>'Original Title I &amp; II'!AZ34</f>
        <v/>
      </c>
      <c r="BF34" s="243" t="str">
        <f t="shared" si="76"/>
        <v/>
      </c>
      <c r="BG34" s="263">
        <f t="shared" si="51"/>
        <v>126614.79889888647</v>
      </c>
      <c r="BI34" s="31">
        <f>IFERROR(VLOOKUP(A34,'Title II Hold Harmless'!A$1:B$439,2, FALSE),"")</f>
        <v>22505</v>
      </c>
      <c r="BJ34" s="31">
        <f t="shared" si="77"/>
        <v>24162.377623663921</v>
      </c>
      <c r="BK34" s="31">
        <f t="shared" si="78"/>
        <v>24185.752111078087</v>
      </c>
      <c r="BL34" s="31" t="str">
        <f t="shared" si="69"/>
        <v/>
      </c>
      <c r="BM34" s="31">
        <f t="shared" si="70"/>
        <v>24185.752111078087</v>
      </c>
      <c r="BN34" s="200"/>
      <c r="BP34" s="295" t="s">
        <v>1447</v>
      </c>
      <c r="BQ34" s="296" t="str">
        <f t="shared" si="34"/>
        <v>Y</v>
      </c>
      <c r="BR34" s="297" t="s">
        <v>1448</v>
      </c>
      <c r="BT34" s="295" t="str">
        <f t="shared" si="35"/>
        <v>Y</v>
      </c>
      <c r="BU34" s="296" t="str">
        <f t="shared" si="71"/>
        <v>N</v>
      </c>
      <c r="BV34" s="296" t="str">
        <f t="shared" si="72"/>
        <v>Y</v>
      </c>
      <c r="BW34" s="297" t="str">
        <f t="shared" si="36"/>
        <v>Y</v>
      </c>
      <c r="BY34" s="352">
        <f t="shared" si="37"/>
        <v>0.85</v>
      </c>
      <c r="BZ34" s="353">
        <f t="shared" si="38"/>
        <v>0</v>
      </c>
      <c r="CA34" s="353">
        <f t="shared" si="39"/>
        <v>0</v>
      </c>
      <c r="CB34" s="354">
        <f t="shared" si="40"/>
        <v>0.85</v>
      </c>
      <c r="CD34" s="311">
        <f t="shared" si="41"/>
        <v>29</v>
      </c>
    </row>
    <row r="35" spans="1:82" outlineLevel="1" x14ac:dyDescent="0.3">
      <c r="A35" s="1">
        <v>20202000</v>
      </c>
      <c r="B35" s="47">
        <f>VLOOKUP(C35,'NCES ID'!$A$2:$B$3136,2,FALSE)</f>
        <v>401180</v>
      </c>
      <c r="C35" s="47">
        <f>VLOOKUP(A35,'State ID'!$A$2:$B$713,2,FALSE)</f>
        <v>4169</v>
      </c>
      <c r="D35" s="147" t="s">
        <v>71</v>
      </c>
      <c r="E35" s="47" t="s">
        <v>54</v>
      </c>
      <c r="F35" s="382">
        <f>IFERROR(VLOOKUP($B35,'update_Formula counts'!$D$7:$R$234,'update_Formula counts'!F$5,0),0)</f>
        <v>256</v>
      </c>
      <c r="G35" s="382">
        <f>IFERROR(VLOOKUP($B35,'update_Formula counts'!$D$7:$R$234,'update_Formula counts'!G$5,0),0)</f>
        <v>0</v>
      </c>
      <c r="H35" s="382">
        <f>IFERROR(VLOOKUP($B35,'update_Formula counts'!$D$7:$R$234,'update_Formula counts'!H$5,0),0)</f>
        <v>0</v>
      </c>
      <c r="I35" s="382">
        <f>IFERROR(VLOOKUP($B35,'update_Formula counts'!$D$7:$R$234,'update_Formula counts'!I$5,0),0)</f>
        <v>7</v>
      </c>
      <c r="J35" s="382">
        <f>IFERROR(VLOOKUP($B35,'update_Formula counts'!$D$7:$R$234,'update_Formula counts'!J$5,0),0)</f>
        <v>0</v>
      </c>
      <c r="K35" s="382">
        <f t="shared" si="52"/>
        <v>256</v>
      </c>
      <c r="L35" s="444">
        <f>IFERROR(VLOOKUP($B35,'update_Formula counts'!$D$7:$R$234,'update_Formula counts'!L$5,0),0)</f>
        <v>787</v>
      </c>
      <c r="M35" s="445">
        <f>IFERROR(VLOOKUP($B35,'update_Formula counts'!$D$7:$R$234,'update_Formula counts'!K$5,0),0)</f>
        <v>263</v>
      </c>
      <c r="N35" s="446">
        <f>IFERROR(VLOOKUP($B35,'update_Formula counts'!$D$7:$R$234,'update_Formula counts'!M$5,0),0)</f>
        <v>0.33418043202033038</v>
      </c>
      <c r="O35" s="137">
        <f>VLOOKUP($C35,'Final SEA Counts'!$A$2:$F$709,5,FALSE)</f>
        <v>651</v>
      </c>
      <c r="P35" s="208">
        <f>VLOOKUP($C35,'Final SEA Counts'!$A$2:$F$709,6,FALSE)</f>
        <v>457</v>
      </c>
      <c r="Q35" s="748">
        <f t="shared" si="73"/>
        <v>-38.631982131455494</v>
      </c>
      <c r="R35" s="444">
        <f t="shared" si="53"/>
        <v>707.28696124364285</v>
      </c>
      <c r="S35" s="445">
        <f t="shared" si="74"/>
        <v>224.36801786854451</v>
      </c>
      <c r="T35" s="229">
        <f t="shared" si="54"/>
        <v>0.31722346114515082</v>
      </c>
      <c r="U35" s="261">
        <f>VLOOKUP($B35,update_Allocation!$D$8:$Q$235,update_Allocation!K$239,0)</f>
        <v>153140.12601192846</v>
      </c>
      <c r="V35" s="262">
        <f>VLOOKUP($B35,update_Allocation!$D$8:$Q$235,update_Allocation!L$239,0)</f>
        <v>36261.728900471237</v>
      </c>
      <c r="W35" s="262">
        <f>VLOOKUP($B35,update_Allocation!$D$8:$Q$235,update_Allocation!M$239,0)</f>
        <v>95008.261496696796</v>
      </c>
      <c r="X35" s="262">
        <f>VLOOKUP($B35,update_Allocation!$D$8:$Q$235,update_Allocation!N$239,0)</f>
        <v>96949.736168430463</v>
      </c>
      <c r="Y35" s="263">
        <f>VLOOKUP($B35,update_Allocation!$D$8:$Q$235,update_Allocation!O$239,0)</f>
        <v>381359.852577527</v>
      </c>
      <c r="Z35" s="262">
        <f t="shared" si="55"/>
        <v>130686.52269942306</v>
      </c>
      <c r="AA35" s="262">
        <f t="shared" si="56"/>
        <v>30944.987316404804</v>
      </c>
      <c r="AB35" s="262">
        <f t="shared" si="57"/>
        <v>81078.027333957216</v>
      </c>
      <c r="AC35" s="263">
        <f t="shared" si="58"/>
        <v>82734.840478659171</v>
      </c>
      <c r="AD35" s="262">
        <f t="shared" si="59"/>
        <v>130686.52269942306</v>
      </c>
      <c r="AE35" s="262">
        <f t="shared" si="60"/>
        <v>30944.987316404804</v>
      </c>
      <c r="AF35" s="262">
        <f t="shared" si="61"/>
        <v>81078.027333957216</v>
      </c>
      <c r="AG35" s="263">
        <f t="shared" si="62"/>
        <v>82734.840478659171</v>
      </c>
      <c r="AH35" s="262">
        <f t="shared" si="75"/>
        <v>130686.52269942306</v>
      </c>
      <c r="AI35" s="262">
        <f t="shared" si="75"/>
        <v>31980.437609951903</v>
      </c>
      <c r="AJ35" s="262">
        <f t="shared" si="75"/>
        <v>81078.027333957216</v>
      </c>
      <c r="AK35" s="262">
        <f t="shared" si="75"/>
        <v>82734.840478659171</v>
      </c>
      <c r="AL35" s="263">
        <f t="shared" si="64"/>
        <v>326479.82812199136</v>
      </c>
      <c r="AM35" s="346"/>
      <c r="AN35" s="261">
        <f>IFERROR(VLOOKUP($A35,'HH &amp; SI'!$B$4:$Z$494,'HH &amp; SI'!V$503,0),0)</f>
        <v>129586.73277625247</v>
      </c>
      <c r="AO35" s="262">
        <f>IFERROR(VLOOKUP($A35,'HH &amp; SI'!$B$4:$Z$494,'HH &amp; SI'!W$503,0),0)</f>
        <v>30927.118918606451</v>
      </c>
      <c r="AP35" s="262">
        <f>IFERROR(VLOOKUP($A35,'HH &amp; SI'!$B$4:$Z$494,'HH &amp; SI'!X$503,0),0)</f>
        <v>80504.990493634235</v>
      </c>
      <c r="AQ35" s="262">
        <f>IFERROR(VLOOKUP($A35,'HH &amp; SI'!$B$4:$Z$494,'HH &amp; SI'!Y$503,0),0)</f>
        <v>81823.251466904781</v>
      </c>
      <c r="AR35" s="263">
        <f t="shared" si="65"/>
        <v>322842.09365539794</v>
      </c>
      <c r="AS35" s="346"/>
      <c r="AT35" s="323">
        <f>IFERROR(VLOOKUP(A35,'Afton FY16 Final'!$A$5:$BV$572,'Afton FY16 Final'!$BV$587,0),0)</f>
        <v>325806.76766109996</v>
      </c>
      <c r="AU35" s="346"/>
      <c r="AV35" s="444">
        <v>0</v>
      </c>
      <c r="AW35" s="262">
        <f>IFERROR(VLOOKUP($A35,'HH &amp; SI'!$B$4:$EY$503,'HH &amp; SI'!EX$503,0),0)</f>
        <v>0</v>
      </c>
      <c r="AX35" s="262">
        <f>IFERROR(VLOOKUP($A35,'HH &amp; SI'!$B$4:$EY$503,'HH &amp; SI'!EY$503,0),0)</f>
        <v>322842.09365539794</v>
      </c>
      <c r="AY35" s="262">
        <f>AX35/$AX$582*'update_State Admin 1004(b)'!$B$30*0.01</f>
        <v>3089.8307558756251</v>
      </c>
      <c r="AZ35" s="263">
        <f t="shared" si="66"/>
        <v>319752.26289952232</v>
      </c>
      <c r="BA35" s="261">
        <f t="shared" si="67"/>
        <v>3197.5226289952234</v>
      </c>
      <c r="BB35" s="262">
        <f t="shared" si="68"/>
        <v>316554.74027052708</v>
      </c>
      <c r="BC35" s="341">
        <f t="shared" si="31"/>
        <v>0.97160271575390744</v>
      </c>
      <c r="BD35" s="346"/>
      <c r="BE35" s="376" t="str">
        <f>'Original Title I &amp; II'!AZ35</f>
        <v/>
      </c>
      <c r="BF35" s="243" t="str">
        <f t="shared" si="76"/>
        <v/>
      </c>
      <c r="BG35" s="263">
        <f t="shared" si="51"/>
        <v>316554.74027052708</v>
      </c>
      <c r="BI35" s="31">
        <f>IFERROR(VLOOKUP(A35,'Title II Hold Harmless'!A$1:B$439,2, FALSE),"")</f>
        <v>47087</v>
      </c>
      <c r="BJ35" s="31">
        <f t="shared" si="77"/>
        <v>50593.401916301671</v>
      </c>
      <c r="BK35" s="31">
        <f t="shared" si="78"/>
        <v>50642.345561449169</v>
      </c>
      <c r="BL35" s="31" t="str">
        <f t="shared" si="69"/>
        <v/>
      </c>
      <c r="BM35" s="31">
        <f t="shared" si="70"/>
        <v>50642.345561449169</v>
      </c>
      <c r="BN35" s="200"/>
      <c r="BP35" s="295" t="s">
        <v>1447</v>
      </c>
      <c r="BQ35" s="296" t="str">
        <f t="shared" si="34"/>
        <v>Y</v>
      </c>
      <c r="BR35" s="297" t="s">
        <v>1448</v>
      </c>
      <c r="BT35" s="295" t="str">
        <f t="shared" si="35"/>
        <v>Y</v>
      </c>
      <c r="BU35" s="296" t="str">
        <f t="shared" si="71"/>
        <v>Y</v>
      </c>
      <c r="BV35" s="296" t="str">
        <f t="shared" si="72"/>
        <v>Y</v>
      </c>
      <c r="BW35" s="297" t="str">
        <f t="shared" si="36"/>
        <v>Y</v>
      </c>
      <c r="BY35" s="352">
        <f t="shared" si="37"/>
        <v>0</v>
      </c>
      <c r="BZ35" s="353">
        <f t="shared" si="38"/>
        <v>0</v>
      </c>
      <c r="CA35" s="353">
        <f t="shared" si="39"/>
        <v>0.95</v>
      </c>
      <c r="CB35" s="354">
        <f t="shared" si="40"/>
        <v>0.95</v>
      </c>
      <c r="CD35" s="311">
        <f t="shared" si="41"/>
        <v>30</v>
      </c>
    </row>
    <row r="36" spans="1:82" outlineLevel="1" x14ac:dyDescent="0.3">
      <c r="A36" s="1">
        <v>20201000</v>
      </c>
      <c r="B36" s="47">
        <f>VLOOKUP(C36,'NCES ID'!$A$2:$B$3136,2,FALSE)</f>
        <v>408600</v>
      </c>
      <c r="C36" s="47">
        <f>VLOOKUP(A36,'State ID'!$A$2:$B$713,2,FALSE)</f>
        <v>4168</v>
      </c>
      <c r="D36" s="147" t="s">
        <v>417</v>
      </c>
      <c r="E36" s="47" t="s">
        <v>54</v>
      </c>
      <c r="F36" s="382">
        <f>IFERROR(VLOOKUP($B36,'update_Formula counts'!$D$7:$R$234,'update_Formula counts'!F$5,0),0)</f>
        <v>197</v>
      </c>
      <c r="G36" s="382">
        <f>IFERROR(VLOOKUP($B36,'update_Formula counts'!$D$7:$R$234,'update_Formula counts'!G$5,0),0)</f>
        <v>0</v>
      </c>
      <c r="H36" s="382">
        <f>IFERROR(VLOOKUP($B36,'update_Formula counts'!$D$7:$R$234,'update_Formula counts'!H$5,0),0)</f>
        <v>0</v>
      </c>
      <c r="I36" s="382">
        <f>IFERROR(VLOOKUP($B36,'update_Formula counts'!$D$7:$R$234,'update_Formula counts'!I$5,0),0)</f>
        <v>5</v>
      </c>
      <c r="J36" s="382">
        <f>IFERROR(VLOOKUP($B36,'update_Formula counts'!$D$7:$R$234,'update_Formula counts'!J$5,0),0)</f>
        <v>0</v>
      </c>
      <c r="K36" s="382">
        <f t="shared" si="52"/>
        <v>197</v>
      </c>
      <c r="L36" s="444">
        <f>IFERROR(VLOOKUP($B36,'update_Formula counts'!$D$7:$R$234,'update_Formula counts'!L$5,0),0)</f>
        <v>1051</v>
      </c>
      <c r="M36" s="445">
        <f>IFERROR(VLOOKUP($B36,'update_Formula counts'!$D$7:$R$234,'update_Formula counts'!K$5,0),0)</f>
        <v>202</v>
      </c>
      <c r="N36" s="446">
        <f>IFERROR(VLOOKUP($B36,'update_Formula counts'!$D$7:$R$234,'update_Formula counts'!M$5,0),0)</f>
        <v>0.19219790675547099</v>
      </c>
      <c r="O36" s="137">
        <f>VLOOKUP($C36,'Final SEA Counts'!$A$2:$F$709,5,FALSE)</f>
        <v>774</v>
      </c>
      <c r="P36" s="208">
        <f>VLOOKUP($C36,'Final SEA Counts'!$A$2:$F$709,6,FALSE)</f>
        <v>516</v>
      </c>
      <c r="Q36" s="748">
        <f t="shared" si="73"/>
        <v>-29.728589567943608</v>
      </c>
      <c r="R36" s="444">
        <f t="shared" si="53"/>
        <v>944.54713629868945</v>
      </c>
      <c r="S36" s="445">
        <f t="shared" si="74"/>
        <v>172.2714104320564</v>
      </c>
      <c r="T36" s="229">
        <f t="shared" si="54"/>
        <v>0.18238519160316408</v>
      </c>
      <c r="U36" s="261">
        <f>VLOOKUP($B36,update_Allocation!$D$8:$Q$235,update_Allocation!K$239,0)</f>
        <v>116225.24304696481</v>
      </c>
      <c r="V36" s="262">
        <f>VLOOKUP($B36,update_Allocation!$D$8:$Q$235,update_Allocation!L$239,0)</f>
        <v>27540.650989995254</v>
      </c>
      <c r="W36" s="262">
        <f>VLOOKUP($B36,update_Allocation!$D$8:$Q$235,update_Allocation!M$239,0)</f>
        <v>45000.033802755264</v>
      </c>
      <c r="X36" s="262">
        <f>VLOOKUP($B36,update_Allocation!$D$8:$Q$235,update_Allocation!N$239,0)</f>
        <v>35846.294039615903</v>
      </c>
      <c r="Y36" s="263">
        <f>VLOOKUP($B36,update_Allocation!$D$8:$Q$235,update_Allocation!O$239,0)</f>
        <v>224612.22187933122</v>
      </c>
      <c r="Z36" s="262">
        <f t="shared" si="55"/>
        <v>99184.147612102766</v>
      </c>
      <c r="AA36" s="262">
        <f t="shared" si="56"/>
        <v>23502.605127023035</v>
      </c>
      <c r="AB36" s="262">
        <f t="shared" si="57"/>
        <v>38402.070653778253</v>
      </c>
      <c r="AC36" s="263">
        <f t="shared" si="58"/>
        <v>30590.464052077117</v>
      </c>
      <c r="AD36" s="262">
        <f t="shared" si="59"/>
        <v>99184.147612102766</v>
      </c>
      <c r="AE36" s="262">
        <f t="shared" si="60"/>
        <v>23502.605127023035</v>
      </c>
      <c r="AF36" s="262">
        <f t="shared" si="61"/>
        <v>38402.070653778253</v>
      </c>
      <c r="AG36" s="263">
        <f t="shared" si="62"/>
        <v>30590.464052077117</v>
      </c>
      <c r="AH36" s="262">
        <f t="shared" si="75"/>
        <v>99184.147612102766</v>
      </c>
      <c r="AI36" s="262">
        <f t="shared" si="75"/>
        <v>24538.055420570134</v>
      </c>
      <c r="AJ36" s="262">
        <f t="shared" si="75"/>
        <v>38402.070653778253</v>
      </c>
      <c r="AK36" s="262">
        <f t="shared" si="75"/>
        <v>30590.464052077117</v>
      </c>
      <c r="AL36" s="263">
        <f t="shared" si="64"/>
        <v>192714.73773852826</v>
      </c>
      <c r="AM36" s="346"/>
      <c r="AN36" s="261">
        <f>IFERROR(VLOOKUP($A36,'HH &amp; SI'!$B$4:$Z$494,'HH &amp; SI'!V$503,0),0)</f>
        <v>98349.465321772484</v>
      </c>
      <c r="AO36" s="262">
        <f>IFERROR(VLOOKUP($A36,'HH &amp; SI'!$B$4:$Z$494,'HH &amp; SI'!W$503,0),0)</f>
        <v>23729.861588484677</v>
      </c>
      <c r="AP36" s="262">
        <f>IFERROR(VLOOKUP($A36,'HH &amp; SI'!$B$4:$Z$494,'HH &amp; SI'!X$503,0),0)</f>
        <v>38130.655549675394</v>
      </c>
      <c r="AQ36" s="262">
        <f>IFERROR(VLOOKUP($A36,'HH &amp; SI'!$B$4:$Z$494,'HH &amp; SI'!Y$503,0),0)</f>
        <v>30613.079298728124</v>
      </c>
      <c r="AR36" s="263">
        <f t="shared" si="65"/>
        <v>190823.06175866068</v>
      </c>
      <c r="AS36" s="346"/>
      <c r="AT36" s="323">
        <f>IFERROR(VLOOKUP(A36,'Afton FY16 Final'!$A$5:$BV$572,'Afton FY16 Final'!$BV$587,0),0)</f>
        <v>199236.4947498184</v>
      </c>
      <c r="AU36" s="346"/>
      <c r="AV36" s="444">
        <v>0</v>
      </c>
      <c r="AW36" s="262">
        <f>IFERROR(VLOOKUP($A36,'HH &amp; SI'!$B$4:$EY$503,'HH &amp; SI'!EX$503,0),0)</f>
        <v>0</v>
      </c>
      <c r="AX36" s="262">
        <f>IFERROR(VLOOKUP($A36,'HH &amp; SI'!$B$4:$EY$503,'HH &amp; SI'!EY$503,0),0)</f>
        <v>190823.06175866068</v>
      </c>
      <c r="AY36" s="262">
        <f>AX36/$AX$582*'update_State Admin 1004(b)'!$B$30*0.01</f>
        <v>1826.3137823087443</v>
      </c>
      <c r="AZ36" s="263">
        <f t="shared" si="66"/>
        <v>188996.74797635194</v>
      </c>
      <c r="BA36" s="261">
        <f t="shared" si="67"/>
        <v>1889.9674797635193</v>
      </c>
      <c r="BB36" s="262">
        <f t="shared" si="68"/>
        <v>187106.78049658841</v>
      </c>
      <c r="BC36" s="341">
        <f t="shared" si="31"/>
        <v>0.9391190139715051</v>
      </c>
      <c r="BD36" s="346"/>
      <c r="BE36" s="376" t="str">
        <f>'Original Title I &amp; II'!AZ36</f>
        <v/>
      </c>
      <c r="BF36" s="243" t="str">
        <f t="shared" si="76"/>
        <v/>
      </c>
      <c r="BG36" s="263">
        <f t="shared" si="51"/>
        <v>187106.78049658841</v>
      </c>
      <c r="BI36" s="31">
        <f>IFERROR(VLOOKUP(A36,'Title II Hold Harmless'!A$1:B$439,2, FALSE),"")</f>
        <v>31104</v>
      </c>
      <c r="BJ36" s="31">
        <f t="shared" si="77"/>
        <v>34119.357746931237</v>
      </c>
      <c r="BK36" s="31">
        <f t="shared" si="78"/>
        <v>34152.364535859742</v>
      </c>
      <c r="BL36" s="31" t="str">
        <f t="shared" si="69"/>
        <v/>
      </c>
      <c r="BM36" s="31">
        <f t="shared" si="70"/>
        <v>34152.364535859742</v>
      </c>
      <c r="BN36" s="200"/>
      <c r="BP36" s="295" t="s">
        <v>1447</v>
      </c>
      <c r="BQ36" s="296" t="str">
        <f t="shared" si="34"/>
        <v>Y</v>
      </c>
      <c r="BR36" s="297" t="s">
        <v>1448</v>
      </c>
      <c r="BT36" s="295" t="str">
        <f t="shared" si="35"/>
        <v>Y</v>
      </c>
      <c r="BU36" s="296" t="str">
        <f t="shared" si="71"/>
        <v>Y</v>
      </c>
      <c r="BV36" s="296" t="str">
        <f t="shared" si="72"/>
        <v>Y</v>
      </c>
      <c r="BW36" s="297" t="str">
        <f t="shared" si="36"/>
        <v>Y</v>
      </c>
      <c r="BY36" s="352">
        <f t="shared" si="37"/>
        <v>0</v>
      </c>
      <c r="BZ36" s="353">
        <f t="shared" si="38"/>
        <v>0.9</v>
      </c>
      <c r="CA36" s="353">
        <f t="shared" si="39"/>
        <v>0</v>
      </c>
      <c r="CB36" s="354">
        <f t="shared" si="40"/>
        <v>0.9</v>
      </c>
      <c r="CD36" s="311">
        <f t="shared" si="41"/>
        <v>31</v>
      </c>
    </row>
    <row r="37" spans="1:82" outlineLevel="1" x14ac:dyDescent="0.3">
      <c r="A37" s="1">
        <v>20209000</v>
      </c>
      <c r="B37" s="47">
        <f>VLOOKUP(C37,'NCES ID'!$A$2:$B$3136,2,FALSE)</f>
        <v>400212</v>
      </c>
      <c r="C37" s="47">
        <f>VLOOKUP(A37,'State ID'!$A$2:$B$713,2,FALSE)</f>
        <v>79226</v>
      </c>
      <c r="D37" s="147" t="s">
        <v>68</v>
      </c>
      <c r="E37" s="47" t="s">
        <v>54</v>
      </c>
      <c r="F37" s="382">
        <f>IFERROR(VLOOKUP($B37,'update_Formula counts'!$D$7:$R$234,'update_Formula counts'!F$5,0),0)</f>
        <v>303</v>
      </c>
      <c r="G37" s="382">
        <f>IFERROR(VLOOKUP($B37,'update_Formula counts'!$D$7:$R$234,'update_Formula counts'!G$5,0),0)</f>
        <v>0</v>
      </c>
      <c r="H37" s="382">
        <f>IFERROR(VLOOKUP($B37,'update_Formula counts'!$D$7:$R$234,'update_Formula counts'!H$5,0),0)</f>
        <v>0</v>
      </c>
      <c r="I37" s="382">
        <f>IFERROR(VLOOKUP($B37,'update_Formula counts'!$D$7:$R$234,'update_Formula counts'!I$5,0),0)</f>
        <v>8</v>
      </c>
      <c r="J37" s="382">
        <f>IFERROR(VLOOKUP($B37,'update_Formula counts'!$D$7:$R$234,'update_Formula counts'!J$5,0),0)</f>
        <v>0</v>
      </c>
      <c r="K37" s="382">
        <f t="shared" si="52"/>
        <v>303</v>
      </c>
      <c r="L37" s="444">
        <f>IFERROR(VLOOKUP($B37,'update_Formula counts'!$D$7:$R$234,'update_Formula counts'!L$5,0),0)</f>
        <v>1145</v>
      </c>
      <c r="M37" s="445">
        <f>IFERROR(VLOOKUP($B37,'update_Formula counts'!$D$7:$R$234,'update_Formula counts'!K$5,0),0)</f>
        <v>311</v>
      </c>
      <c r="N37" s="446">
        <f>IFERROR(VLOOKUP($B37,'update_Formula counts'!$D$7:$R$234,'update_Formula counts'!M$5,0),0)</f>
        <v>0.27161572052401745</v>
      </c>
      <c r="O37" s="137">
        <f>VLOOKUP($C37,'Final SEA Counts'!$A$2:$F$709,5,FALSE)</f>
        <v>1234</v>
      </c>
      <c r="P37" s="208">
        <f>VLOOKUP($C37,'Final SEA Counts'!$A$2:$F$709,6,FALSE)</f>
        <v>628</v>
      </c>
      <c r="Q37" s="748">
        <f t="shared" si="73"/>
        <v>-45.724625742208772</v>
      </c>
      <c r="R37" s="444">
        <f t="shared" si="53"/>
        <v>1029.0261380228349</v>
      </c>
      <c r="S37" s="445">
        <f t="shared" si="74"/>
        <v>265.27537425779121</v>
      </c>
      <c r="T37" s="229">
        <f t="shared" si="54"/>
        <v>0.25779264923968781</v>
      </c>
      <c r="U37" s="261">
        <f>VLOOKUP($B37,update_Allocation!$D$8:$Q$235,update_Allocation!K$239,0)</f>
        <v>147068.803595562</v>
      </c>
      <c r="V37" s="262">
        <f>VLOOKUP($B37,update_Allocation!$D$8:$Q$235,update_Allocation!L$239,0)</f>
        <v>35033.134144292308</v>
      </c>
      <c r="W37" s="262">
        <f>VLOOKUP($B37,update_Allocation!$D$8:$Q$235,update_Allocation!M$239,0)</f>
        <v>64770.003533542716</v>
      </c>
      <c r="X37" s="262">
        <f>VLOOKUP($B37,update_Allocation!$D$8:$Q$235,update_Allocation!N$239,0)</f>
        <v>51379.560980555478</v>
      </c>
      <c r="Y37" s="263">
        <f>VLOOKUP($B37,update_Allocation!$D$8:$Q$235,update_Allocation!O$239,0)</f>
        <v>298251.50225395249</v>
      </c>
      <c r="Z37" s="262">
        <f t="shared" si="55"/>
        <v>125505.38542701291</v>
      </c>
      <c r="AA37" s="262">
        <f t="shared" si="56"/>
        <v>29896.530712162079</v>
      </c>
      <c r="AB37" s="262">
        <f t="shared" si="57"/>
        <v>55273.341856651707</v>
      </c>
      <c r="AC37" s="263">
        <f t="shared" si="58"/>
        <v>43846.223306938751</v>
      </c>
      <c r="AD37" s="262">
        <f t="shared" si="59"/>
        <v>125505.38542701291</v>
      </c>
      <c r="AE37" s="262">
        <f t="shared" si="60"/>
        <v>29896.530712162079</v>
      </c>
      <c r="AF37" s="262">
        <f t="shared" si="61"/>
        <v>55273.341856651707</v>
      </c>
      <c r="AG37" s="263">
        <f t="shared" si="62"/>
        <v>43846.223306938751</v>
      </c>
      <c r="AH37" s="262">
        <f t="shared" si="75"/>
        <v>125505.38542701291</v>
      </c>
      <c r="AI37" s="262">
        <f t="shared" si="75"/>
        <v>30931.981005709178</v>
      </c>
      <c r="AJ37" s="262">
        <f t="shared" si="75"/>
        <v>55273.341856651707</v>
      </c>
      <c r="AK37" s="262">
        <f t="shared" si="75"/>
        <v>43846.223306938751</v>
      </c>
      <c r="AL37" s="263">
        <f t="shared" si="64"/>
        <v>255556.93159631253</v>
      </c>
      <c r="AM37" s="346"/>
      <c r="AN37" s="261">
        <f>IFERROR(VLOOKUP($A37,'HH &amp; SI'!$B$4:$Z$494,'HH &amp; SI'!V$503,0),0)</f>
        <v>123793.41050880319</v>
      </c>
      <c r="AO37" s="262">
        <f>IFERROR(VLOOKUP($A37,'HH &amp; SI'!$B$4:$Z$494,'HH &amp; SI'!W$503,0),0)</f>
        <v>29913.194641650261</v>
      </c>
      <c r="AP37" s="262">
        <f>IFERROR(VLOOKUP($A37,'HH &amp; SI'!$B$4:$Z$494,'HH &amp; SI'!X$503,0),0)</f>
        <v>54770.65239312582</v>
      </c>
      <c r="AQ37" s="262">
        <f>IFERROR(VLOOKUP($A37,'HH &amp; SI'!$B$4:$Z$494,'HH &amp; SI'!Y$503,0),0)</f>
        <v>43363.116853329957</v>
      </c>
      <c r="AR37" s="263">
        <f t="shared" si="65"/>
        <v>251840.37439690923</v>
      </c>
      <c r="AS37" s="346"/>
      <c r="AT37" s="323">
        <f>IFERROR(VLOOKUP(A37,'Afton FY16 Final'!$A$5:$BV$572,'Afton FY16 Final'!$BV$587,0),0)</f>
        <v>196090.51821931658</v>
      </c>
      <c r="AU37" s="346"/>
      <c r="AV37" s="444">
        <v>0</v>
      </c>
      <c r="AW37" s="262">
        <f>IFERROR(VLOOKUP($A37,'HH &amp; SI'!$B$4:$EY$503,'HH &amp; SI'!EX$503,0),0)</f>
        <v>14106.360317657643</v>
      </c>
      <c r="AX37" s="262">
        <f>IFERROR(VLOOKUP($A37,'HH &amp; SI'!$B$4:$EY$503,'HH &amp; SI'!EY$503,0),0)</f>
        <v>237734.01407925159</v>
      </c>
      <c r="AY37" s="262">
        <f>AX37/$AX$582*'update_State Admin 1004(b)'!$B$30*0.01</f>
        <v>2275.2852953676743</v>
      </c>
      <c r="AZ37" s="263">
        <f t="shared" si="66"/>
        <v>235458.72878388391</v>
      </c>
      <c r="BA37" s="261">
        <f t="shared" si="67"/>
        <v>2354.5872878388391</v>
      </c>
      <c r="BB37" s="262">
        <f t="shared" si="68"/>
        <v>233104.14149604508</v>
      </c>
      <c r="BC37" s="341">
        <f t="shared" si="31"/>
        <v>1.1887578431269725</v>
      </c>
      <c r="BD37" s="346"/>
      <c r="BE37" s="376" t="str">
        <f>'Original Title I &amp; II'!AZ37</f>
        <v/>
      </c>
      <c r="BF37" s="243" t="str">
        <f t="shared" si="76"/>
        <v/>
      </c>
      <c r="BG37" s="263">
        <f t="shared" si="51"/>
        <v>233104.14149604508</v>
      </c>
      <c r="BI37" s="31">
        <f>IFERROR(VLOOKUP(A37,'Title II Hold Harmless'!A$1:B$439,2, FALSE),"")</f>
        <v>23515</v>
      </c>
      <c r="BJ37" s="31">
        <f t="shared" si="77"/>
        <v>27815.851308479963</v>
      </c>
      <c r="BK37" s="31">
        <f t="shared" si="78"/>
        <v>27842.760136594941</v>
      </c>
      <c r="BL37" s="31" t="str">
        <f t="shared" si="69"/>
        <v/>
      </c>
      <c r="BM37" s="31">
        <f t="shared" si="70"/>
        <v>27842.760136594941</v>
      </c>
      <c r="BN37" s="200"/>
      <c r="BP37" s="295" t="s">
        <v>1447</v>
      </c>
      <c r="BQ37" s="296" t="str">
        <f t="shared" si="34"/>
        <v>Y</v>
      </c>
      <c r="BR37" s="297" t="s">
        <v>1448</v>
      </c>
      <c r="BT37" s="295" t="str">
        <f t="shared" si="35"/>
        <v>Y</v>
      </c>
      <c r="BU37" s="296" t="str">
        <f t="shared" si="71"/>
        <v>Y</v>
      </c>
      <c r="BV37" s="296" t="str">
        <f t="shared" si="72"/>
        <v>Y</v>
      </c>
      <c r="BW37" s="297" t="str">
        <f t="shared" si="36"/>
        <v>Y</v>
      </c>
      <c r="BY37" s="352">
        <f t="shared" si="37"/>
        <v>0</v>
      </c>
      <c r="BZ37" s="353">
        <f t="shared" si="38"/>
        <v>0.9</v>
      </c>
      <c r="CA37" s="353">
        <f t="shared" si="39"/>
        <v>0</v>
      </c>
      <c r="CB37" s="354">
        <f t="shared" si="40"/>
        <v>0.9</v>
      </c>
      <c r="CD37" s="311">
        <f t="shared" si="41"/>
        <v>32</v>
      </c>
    </row>
    <row r="38" spans="1:82" outlineLevel="1" x14ac:dyDescent="0.3">
      <c r="A38" s="1">
        <v>20213000</v>
      </c>
      <c r="B38" s="47">
        <f>VLOOKUP(C38,'NCES ID'!$A$2:$B$3136,2,FALSE)</f>
        <v>409250</v>
      </c>
      <c r="C38" s="47">
        <f>VLOOKUP(A38,'State ID'!$A$2:$B$713,2,FALSE)</f>
        <v>4170</v>
      </c>
      <c r="D38" s="147" t="s">
        <v>443</v>
      </c>
      <c r="E38" s="47" t="s">
        <v>54</v>
      </c>
      <c r="F38" s="382">
        <f>IFERROR(VLOOKUP($B38,'update_Formula counts'!$D$7:$R$234,'update_Formula counts'!F$5,0),0)</f>
        <v>334</v>
      </c>
      <c r="G38" s="382">
        <f>IFERROR(VLOOKUP($B38,'update_Formula counts'!$D$7:$R$234,'update_Formula counts'!G$5,0),0)</f>
        <v>0</v>
      </c>
      <c r="H38" s="382">
        <f>IFERROR(VLOOKUP($B38,'update_Formula counts'!$D$7:$R$234,'update_Formula counts'!H$5,0),0)</f>
        <v>0</v>
      </c>
      <c r="I38" s="382">
        <f>IFERROR(VLOOKUP($B38,'update_Formula counts'!$D$7:$R$234,'update_Formula counts'!I$5,0),0)</f>
        <v>9</v>
      </c>
      <c r="J38" s="382">
        <f>IFERROR(VLOOKUP($B38,'update_Formula counts'!$D$7:$R$234,'update_Formula counts'!J$5,0),0)</f>
        <v>0</v>
      </c>
      <c r="K38" s="382">
        <f t="shared" si="52"/>
        <v>334</v>
      </c>
      <c r="L38" s="444">
        <f>IFERROR(VLOOKUP($B38,'update_Formula counts'!$D$7:$R$234,'update_Formula counts'!L$5,0),0)</f>
        <v>1495</v>
      </c>
      <c r="M38" s="445">
        <f>IFERROR(VLOOKUP($B38,'update_Formula counts'!$D$7:$R$234,'update_Formula counts'!K$5,0),0)</f>
        <v>343</v>
      </c>
      <c r="N38" s="446">
        <f>IFERROR(VLOOKUP($B38,'update_Formula counts'!$D$7:$R$234,'update_Formula counts'!M$5,0),0)</f>
        <v>0.2294314381270903</v>
      </c>
      <c r="O38" s="137">
        <f>VLOOKUP($C38,'Final SEA Counts'!$A$2:$F$709,5,FALSE)</f>
        <v>1035</v>
      </c>
      <c r="P38" s="208">
        <f>VLOOKUP($C38,'Final SEA Counts'!$A$2:$F$709,6,FALSE)</f>
        <v>817</v>
      </c>
      <c r="Q38" s="748">
        <f t="shared" si="73"/>
        <v>-50.402688937878779</v>
      </c>
      <c r="R38" s="444">
        <f t="shared" si="53"/>
        <v>1343.5756125276316</v>
      </c>
      <c r="S38" s="445">
        <f t="shared" si="74"/>
        <v>292.59731106212121</v>
      </c>
      <c r="T38" s="229">
        <f t="shared" si="54"/>
        <v>0.21777509827799418</v>
      </c>
      <c r="U38" s="261">
        <f>VLOOKUP($B38,update_Allocation!$D$8:$Q$235,update_Allocation!K$239,0)</f>
        <v>162201.28499446233</v>
      </c>
      <c r="V38" s="262">
        <f>VLOOKUP($B38,update_Allocation!$D$8:$Q$235,update_Allocation!L$239,0)</f>
        <v>38637.829618946176</v>
      </c>
      <c r="W38" s="262">
        <f>VLOOKUP($B38,update_Allocation!$D$8:$Q$235,update_Allocation!M$239,0)</f>
        <v>62067.489984409753</v>
      </c>
      <c r="X38" s="262">
        <f>VLOOKUP($B38,update_Allocation!$D$8:$Q$235,update_Allocation!N$239,0)</f>
        <v>53646.820255532431</v>
      </c>
      <c r="Y38" s="263">
        <f>VLOOKUP($B38,update_Allocation!$D$8:$Q$235,update_Allocation!O$239,0)</f>
        <v>316553.42485335073</v>
      </c>
      <c r="Z38" s="262">
        <f t="shared" si="55"/>
        <v>138419.12283429402</v>
      </c>
      <c r="AA38" s="262">
        <f t="shared" si="56"/>
        <v>32972.70107482827</v>
      </c>
      <c r="AB38" s="262">
        <f t="shared" si="57"/>
        <v>52967.074338909471</v>
      </c>
      <c r="AC38" s="263">
        <f t="shared" si="58"/>
        <v>45781.054095060696</v>
      </c>
      <c r="AD38" s="262">
        <f t="shared" si="59"/>
        <v>138419.12283429402</v>
      </c>
      <c r="AE38" s="262">
        <f t="shared" si="60"/>
        <v>32972.70107482827</v>
      </c>
      <c r="AF38" s="262">
        <f t="shared" si="61"/>
        <v>52967.074338909471</v>
      </c>
      <c r="AG38" s="263">
        <f t="shared" si="62"/>
        <v>45781.054095060696</v>
      </c>
      <c r="AH38" s="262">
        <f t="shared" si="75"/>
        <v>138419.12283429402</v>
      </c>
      <c r="AI38" s="262">
        <f t="shared" si="75"/>
        <v>34008.151368375366</v>
      </c>
      <c r="AJ38" s="262">
        <f t="shared" si="75"/>
        <v>52967.074338909471</v>
      </c>
      <c r="AK38" s="262">
        <f t="shared" si="75"/>
        <v>45781.054095060696</v>
      </c>
      <c r="AL38" s="263">
        <f t="shared" si="64"/>
        <v>271175.40263663954</v>
      </c>
      <c r="AM38" s="346"/>
      <c r="AN38" s="261">
        <f>IFERROR(VLOOKUP($A38,'HH &amp; SI'!$B$4:$Z$494,'HH &amp; SI'!V$503,0),0)</f>
        <v>136530.99615601127</v>
      </c>
      <c r="AO38" s="262">
        <f>IFERROR(VLOOKUP($A38,'HH &amp; SI'!$B$4:$Z$494,'HH &amp; SI'!W$503,0),0)</f>
        <v>32888.047199342109</v>
      </c>
      <c r="AP38" s="262">
        <f>IFERROR(VLOOKUP($A38,'HH &amp; SI'!$B$4:$Z$494,'HH &amp; SI'!X$503,0),0)</f>
        <v>52485.359478009334</v>
      </c>
      <c r="AQ38" s="262">
        <f>IFERROR(VLOOKUP($A38,'HH &amp; SI'!$B$4:$Z$494,'HH &amp; SI'!Y$503,0),0)</f>
        <v>45814.899604188635</v>
      </c>
      <c r="AR38" s="263">
        <f t="shared" si="65"/>
        <v>267719.30243755138</v>
      </c>
      <c r="AS38" s="346"/>
      <c r="AT38" s="323">
        <f>IFERROR(VLOOKUP(A38,'Afton FY16 Final'!$A$5:$BV$572,'Afton FY16 Final'!$BV$587,0),0)</f>
        <v>281922.30095594958</v>
      </c>
      <c r="AU38" s="346"/>
      <c r="AV38" s="444">
        <v>0</v>
      </c>
      <c r="AW38" s="262">
        <f>IFERROR(VLOOKUP($A38,'HH &amp; SI'!$B$4:$EY$503,'HH &amp; SI'!EX$503,0),0)</f>
        <v>0</v>
      </c>
      <c r="AX38" s="262">
        <f>IFERROR(VLOOKUP($A38,'HH &amp; SI'!$B$4:$EY$503,'HH &amp; SI'!EY$503,0),0)</f>
        <v>267719.30243755138</v>
      </c>
      <c r="AY38" s="262">
        <f>AX38/$AX$582*'update_State Admin 1004(b)'!$B$30*0.01</f>
        <v>2562.2660454434936</v>
      </c>
      <c r="AZ38" s="263">
        <f t="shared" si="66"/>
        <v>265157.0363921079</v>
      </c>
      <c r="BA38" s="261">
        <f t="shared" si="67"/>
        <v>2651.5703639210792</v>
      </c>
      <c r="BB38" s="262">
        <f t="shared" si="68"/>
        <v>262505.46602818684</v>
      </c>
      <c r="BC38" s="341">
        <f t="shared" si="31"/>
        <v>0.93112699895707562</v>
      </c>
      <c r="BD38" s="346"/>
      <c r="BE38" s="376" t="str">
        <f>'Original Title I &amp; II'!AZ38</f>
        <v/>
      </c>
      <c r="BF38" s="243" t="str">
        <f t="shared" si="76"/>
        <v/>
      </c>
      <c r="BG38" s="263">
        <f t="shared" si="51"/>
        <v>262505.46602818684</v>
      </c>
      <c r="BI38" s="31">
        <f>IFERROR(VLOOKUP(A38,'Title II Hold Harmless'!A$1:B$439,2, FALSE),"")</f>
        <v>62953</v>
      </c>
      <c r="BJ38" s="31">
        <f t="shared" si="77"/>
        <v>67864.669163924453</v>
      </c>
      <c r="BK38" s="31">
        <f t="shared" si="78"/>
        <v>67930.320892406875</v>
      </c>
      <c r="BL38" s="31" t="str">
        <f t="shared" si="69"/>
        <v/>
      </c>
      <c r="BM38" s="31">
        <f t="shared" si="70"/>
        <v>67930.320892406875</v>
      </c>
      <c r="BN38" s="200"/>
      <c r="BP38" s="295" t="s">
        <v>1447</v>
      </c>
      <c r="BQ38" s="296" t="str">
        <f t="shared" si="34"/>
        <v>Y</v>
      </c>
      <c r="BR38" s="297" t="s">
        <v>1448</v>
      </c>
      <c r="BT38" s="295" t="str">
        <f t="shared" si="35"/>
        <v>Y</v>
      </c>
      <c r="BU38" s="296" t="str">
        <f t="shared" si="71"/>
        <v>Y</v>
      </c>
      <c r="BV38" s="296" t="str">
        <f t="shared" si="72"/>
        <v>Y</v>
      </c>
      <c r="BW38" s="297" t="str">
        <f t="shared" si="36"/>
        <v>Y</v>
      </c>
      <c r="BY38" s="352">
        <f t="shared" si="37"/>
        <v>0</v>
      </c>
      <c r="BZ38" s="353">
        <f t="shared" si="38"/>
        <v>0.9</v>
      </c>
      <c r="CA38" s="353">
        <f t="shared" si="39"/>
        <v>0</v>
      </c>
      <c r="CB38" s="354">
        <f t="shared" si="40"/>
        <v>0.9</v>
      </c>
      <c r="CD38" s="311">
        <f t="shared" si="41"/>
        <v>33</v>
      </c>
    </row>
    <row r="39" spans="1:82" outlineLevel="1" x14ac:dyDescent="0.3">
      <c r="A39" s="1">
        <v>20349000</v>
      </c>
      <c r="B39" s="47">
        <f>VLOOKUP(C39,'NCES ID'!$A$2:$B$3136,2,FALSE)</f>
        <v>405880</v>
      </c>
      <c r="C39" s="47">
        <f>VLOOKUP(A39,'State ID'!$A$2:$B$713,2,FALSE)</f>
        <v>4180</v>
      </c>
      <c r="D39" s="147" t="s">
        <v>319</v>
      </c>
      <c r="E39" s="47" t="s">
        <v>54</v>
      </c>
      <c r="F39" s="382">
        <f>IFERROR(VLOOKUP($B39,'update_Formula counts'!$D$7:$R$234,'update_Formula counts'!F$5,0),0)</f>
        <v>436</v>
      </c>
      <c r="G39" s="382">
        <f>IFERROR(VLOOKUP($B39,'update_Formula counts'!$D$7:$R$234,'update_Formula counts'!G$5,0),0)</f>
        <v>0</v>
      </c>
      <c r="H39" s="382">
        <f>IFERROR(VLOOKUP($B39,'update_Formula counts'!$D$7:$R$234,'update_Formula counts'!H$5,0),0)</f>
        <v>0</v>
      </c>
      <c r="I39" s="382">
        <f>IFERROR(VLOOKUP($B39,'update_Formula counts'!$D$7:$R$234,'update_Formula counts'!I$5,0),0)</f>
        <v>11</v>
      </c>
      <c r="J39" s="382">
        <f>IFERROR(VLOOKUP($B39,'update_Formula counts'!$D$7:$R$234,'update_Formula counts'!J$5,0),0)</f>
        <v>0</v>
      </c>
      <c r="K39" s="382">
        <f t="shared" si="52"/>
        <v>436</v>
      </c>
      <c r="L39" s="444">
        <f>IFERROR(VLOOKUP($B39,'update_Formula counts'!$D$7:$R$234,'update_Formula counts'!L$5,0),0)</f>
        <v>1648</v>
      </c>
      <c r="M39" s="445">
        <f>IFERROR(VLOOKUP($B39,'update_Formula counts'!$D$7:$R$234,'update_Formula counts'!K$5,0),0)</f>
        <v>447</v>
      </c>
      <c r="N39" s="446">
        <f>IFERROR(VLOOKUP($B39,'update_Formula counts'!$D$7:$R$234,'update_Formula counts'!M$5,0),0)</f>
        <v>0.27123786407766992</v>
      </c>
      <c r="O39" s="137">
        <f>VLOOKUP($C39,'Final SEA Counts'!$A$2:$F$709,5,FALSE)</f>
        <v>1052</v>
      </c>
      <c r="P39" s="208">
        <f>VLOOKUP($C39,'Final SEA Counts'!$A$2:$F$709,6,FALSE)</f>
        <v>545</v>
      </c>
      <c r="Q39" s="748">
        <f t="shared" si="73"/>
        <v>-65.795266366926967</v>
      </c>
      <c r="R39" s="444">
        <f t="shared" si="53"/>
        <v>1481.0786685254425</v>
      </c>
      <c r="S39" s="445">
        <f t="shared" si="74"/>
        <v>381.20473363307303</v>
      </c>
      <c r="T39" s="229">
        <f t="shared" si="54"/>
        <v>0.25738317736531802</v>
      </c>
      <c r="U39" s="261">
        <f>VLOOKUP($B39,update_Allocation!$D$8:$Q$235,update_Allocation!K$239,0)</f>
        <v>222893.12091722415</v>
      </c>
      <c r="V39" s="262">
        <f>VLOOKUP($B39,update_Allocation!$D$8:$Q$235,update_Allocation!L$239,0)</f>
        <v>52425.596348812396</v>
      </c>
      <c r="W39" s="262">
        <f>VLOOKUP($B39,update_Allocation!$D$8:$Q$235,update_Allocation!M$239,0)</f>
        <v>110298.56283964151</v>
      </c>
      <c r="X39" s="262">
        <f>VLOOKUP($B39,update_Allocation!$D$8:$Q$235,update_Allocation!N$239,0)</f>
        <v>104917.60981126653</v>
      </c>
      <c r="Y39" s="263">
        <f>VLOOKUP($B39,update_Allocation!$D$8:$Q$235,update_Allocation!O$239,0)</f>
        <v>490534.88991694461</v>
      </c>
      <c r="Z39" s="262">
        <f t="shared" si="55"/>
        <v>190212.24328903272</v>
      </c>
      <c r="AA39" s="262">
        <f t="shared" si="56"/>
        <v>44738.887616797416</v>
      </c>
      <c r="AB39" s="262">
        <f t="shared" si="57"/>
        <v>94126.444920998489</v>
      </c>
      <c r="AC39" s="263">
        <f t="shared" si="58"/>
        <v>89534.454184145623</v>
      </c>
      <c r="AD39" s="262">
        <f t="shared" si="59"/>
        <v>190212.24328903272</v>
      </c>
      <c r="AE39" s="262">
        <f t="shared" si="60"/>
        <v>44738.887616797416</v>
      </c>
      <c r="AF39" s="262">
        <f t="shared" si="61"/>
        <v>94126.444920998489</v>
      </c>
      <c r="AG39" s="263">
        <f t="shared" si="62"/>
        <v>89534.454184145623</v>
      </c>
      <c r="AH39" s="262">
        <f t="shared" si="75"/>
        <v>190212.24328903272</v>
      </c>
      <c r="AI39" s="262">
        <f t="shared" si="75"/>
        <v>45774.337910344511</v>
      </c>
      <c r="AJ39" s="262">
        <f t="shared" si="75"/>
        <v>94126.444920998489</v>
      </c>
      <c r="AK39" s="262">
        <f t="shared" si="75"/>
        <v>89534.454184145623</v>
      </c>
      <c r="AL39" s="263">
        <f t="shared" si="64"/>
        <v>419647.48030452133</v>
      </c>
      <c r="AM39" s="346"/>
      <c r="AN39" s="261">
        <f>IFERROR(VLOOKUP($A39,'HH &amp; SI'!$B$4:$Z$494,'HH &amp; SI'!V$503,0),0)</f>
        <v>188611.51580687228</v>
      </c>
      <c r="AO39" s="262">
        <f>IFERROR(VLOOKUP($A39,'HH &amp; SI'!$B$4:$Z$494,'HH &amp; SI'!W$503,0),0)</f>
        <v>44266.698574917638</v>
      </c>
      <c r="AP39" s="262">
        <f>IFERROR(VLOOKUP($A39,'HH &amp; SI'!$B$4:$Z$494,'HH &amp; SI'!X$503,0),0)</f>
        <v>93645.860352630683</v>
      </c>
      <c r="AQ39" s="262">
        <f>IFERROR(VLOOKUP($A39,'HH &amp; SI'!$B$4:$Z$494,'HH &amp; SI'!Y$503,0),0)</f>
        <v>89602.992386217811</v>
      </c>
      <c r="AR39" s="263">
        <f t="shared" si="65"/>
        <v>416127.06712063838</v>
      </c>
      <c r="AS39" s="346"/>
      <c r="AT39" s="323">
        <f>IFERROR(VLOOKUP(A39,'Afton FY16 Final'!$A$5:$BV$572,'Afton FY16 Final'!$BV$587,0),0)</f>
        <v>442805.96123212454</v>
      </c>
      <c r="AU39" s="346"/>
      <c r="AV39" s="444">
        <v>0</v>
      </c>
      <c r="AW39" s="262">
        <f>IFERROR(VLOOKUP($A39,'HH &amp; SI'!$B$4:$EY$503,'HH &amp; SI'!EX$503,0),0)</f>
        <v>0</v>
      </c>
      <c r="AX39" s="262">
        <f>IFERROR(VLOOKUP($A39,'HH &amp; SI'!$B$4:$EY$503,'HH &amp; SI'!EY$503,0),0)</f>
        <v>416127.06712063838</v>
      </c>
      <c r="AY39" s="262">
        <f>AX39/$AX$582*'update_State Admin 1004(b)'!$B$30*0.01</f>
        <v>3982.6349649252779</v>
      </c>
      <c r="AZ39" s="263">
        <f t="shared" si="66"/>
        <v>412144.43215571309</v>
      </c>
      <c r="BA39" s="261">
        <f t="shared" si="67"/>
        <v>4121.4443215571309</v>
      </c>
      <c r="BB39" s="262">
        <f t="shared" si="68"/>
        <v>408022.98783415597</v>
      </c>
      <c r="BC39" s="341">
        <f t="shared" si="31"/>
        <v>0.92144872372272579</v>
      </c>
      <c r="BD39" s="346"/>
      <c r="BE39" s="376" t="str">
        <f>'Original Title I &amp; II'!AZ39</f>
        <v/>
      </c>
      <c r="BF39" s="243" t="str">
        <f t="shared" si="76"/>
        <v/>
      </c>
      <c r="BG39" s="263">
        <f t="shared" si="51"/>
        <v>408022.98783415597</v>
      </c>
      <c r="BI39" s="31">
        <f>IFERROR(VLOOKUP(A39,'Title II Hold Harmless'!A$1:B$439,2, FALSE),"")</f>
        <v>25968</v>
      </c>
      <c r="BJ39" s="31">
        <f t="shared" si="77"/>
        <v>32150.281819201715</v>
      </c>
      <c r="BK39" s="31">
        <f t="shared" si="78"/>
        <v>32181.383740107412</v>
      </c>
      <c r="BL39" s="31" t="str">
        <f t="shared" si="69"/>
        <v/>
      </c>
      <c r="BM39" s="31">
        <f t="shared" si="70"/>
        <v>32181.383740107412</v>
      </c>
      <c r="BN39" s="200"/>
      <c r="BP39" s="295" t="s">
        <v>1447</v>
      </c>
      <c r="BQ39" s="296" t="str">
        <f t="shared" si="34"/>
        <v>Y</v>
      </c>
      <c r="BR39" s="297" t="s">
        <v>1448</v>
      </c>
      <c r="BT39" s="295" t="str">
        <f t="shared" si="35"/>
        <v>Y</v>
      </c>
      <c r="BU39" s="296" t="str">
        <f t="shared" si="71"/>
        <v>Y</v>
      </c>
      <c r="BV39" s="296" t="str">
        <f t="shared" si="72"/>
        <v>Y</v>
      </c>
      <c r="BW39" s="297" t="str">
        <f t="shared" si="36"/>
        <v>Y</v>
      </c>
      <c r="BY39" s="352">
        <f t="shared" si="37"/>
        <v>0</v>
      </c>
      <c r="BZ39" s="353">
        <f t="shared" si="38"/>
        <v>0.9</v>
      </c>
      <c r="CA39" s="353">
        <f t="shared" si="39"/>
        <v>0</v>
      </c>
      <c r="CB39" s="354">
        <f t="shared" si="40"/>
        <v>0.9</v>
      </c>
      <c r="CD39" s="311">
        <f t="shared" si="41"/>
        <v>34</v>
      </c>
    </row>
    <row r="40" spans="1:82" outlineLevel="1" x14ac:dyDescent="0.3">
      <c r="A40" s="1">
        <v>20227000</v>
      </c>
      <c r="B40" s="47">
        <f>VLOOKUP(C40,'NCES ID'!$A$2:$B$3136,2,FALSE)</f>
        <v>402530</v>
      </c>
      <c r="C40" s="47">
        <f>VLOOKUP(A40,'State ID'!$A$2:$B$713,2,FALSE)</f>
        <v>4174</v>
      </c>
      <c r="D40" s="147" t="s">
        <v>135</v>
      </c>
      <c r="E40" s="47" t="s">
        <v>54</v>
      </c>
      <c r="F40" s="382">
        <f>IFERROR(VLOOKUP($B40,'update_Formula counts'!$D$7:$R$234,'update_Formula counts'!F$5,0),0)</f>
        <v>1744</v>
      </c>
      <c r="G40" s="382">
        <f>IFERROR(VLOOKUP($B40,'update_Formula counts'!$D$7:$R$234,'update_Formula counts'!G$5,0),0)</f>
        <v>0</v>
      </c>
      <c r="H40" s="382">
        <f>IFERROR(VLOOKUP($B40,'update_Formula counts'!$D$7:$R$234,'update_Formula counts'!H$5,0),0)</f>
        <v>0</v>
      </c>
      <c r="I40" s="382">
        <f>IFERROR(VLOOKUP($B40,'update_Formula counts'!$D$7:$R$234,'update_Formula counts'!I$5,0),0)</f>
        <v>44</v>
      </c>
      <c r="J40" s="382">
        <f>IFERROR(VLOOKUP($B40,'update_Formula counts'!$D$7:$R$234,'update_Formula counts'!J$5,0),0)</f>
        <v>0</v>
      </c>
      <c r="K40" s="382">
        <f t="shared" si="52"/>
        <v>1744</v>
      </c>
      <c r="L40" s="444">
        <f>IFERROR(VLOOKUP($B40,'update_Formula counts'!$D$7:$R$234,'update_Formula counts'!L$5,0),0)</f>
        <v>4327</v>
      </c>
      <c r="M40" s="445">
        <f>IFERROR(VLOOKUP($B40,'update_Formula counts'!$D$7:$R$234,'update_Formula counts'!K$5,0),0)</f>
        <v>1788</v>
      </c>
      <c r="N40" s="446">
        <f>IFERROR(VLOOKUP($B40,'update_Formula counts'!$D$7:$R$234,'update_Formula counts'!M$5,0),0)</f>
        <v>0.41321932054541255</v>
      </c>
      <c r="O40" s="137">
        <f>VLOOKUP($C40,'Final SEA Counts'!$A$2:$F$709,5,FALSE)</f>
        <v>3452</v>
      </c>
      <c r="P40" s="208">
        <f>VLOOKUP($C40,'Final SEA Counts'!$A$2:$F$709,6,FALSE)</f>
        <v>2996</v>
      </c>
      <c r="Q40" s="748">
        <f t="shared" si="73"/>
        <v>-263.18106546770787</v>
      </c>
      <c r="R40" s="444">
        <f t="shared" si="53"/>
        <v>3888.7302176635867</v>
      </c>
      <c r="S40" s="445">
        <f t="shared" si="74"/>
        <v>1524.8189345322921</v>
      </c>
      <c r="T40" s="229">
        <f t="shared" si="54"/>
        <v>0.39211229609248349</v>
      </c>
      <c r="U40" s="261">
        <f>VLOOKUP($B40,update_Allocation!$D$8:$Q$235,update_Allocation!K$239,0)</f>
        <v>893389.3136671558</v>
      </c>
      <c r="V40" s="262">
        <f>VLOOKUP($B40,update_Allocation!$D$8:$Q$235,update_Allocation!L$239,0)</f>
        <v>212858.24321127174</v>
      </c>
      <c r="W40" s="262">
        <f>VLOOKUP($B40,update_Allocation!$D$8:$Q$235,update_Allocation!M$239,0)</f>
        <v>555485.69101670769</v>
      </c>
      <c r="X40" s="262">
        <f>VLOOKUP($B40,update_Allocation!$D$8:$Q$235,update_Allocation!N$239,0)</f>
        <v>618358.5087626779</v>
      </c>
      <c r="Y40" s="263">
        <f>VLOOKUP($B40,update_Allocation!$D$8:$Q$235,update_Allocation!O$239,0)</f>
        <v>2280091.7566578127</v>
      </c>
      <c r="Z40" s="262">
        <f t="shared" si="55"/>
        <v>762399.41719057027</v>
      </c>
      <c r="AA40" s="262">
        <f t="shared" si="56"/>
        <v>181648.69232915735</v>
      </c>
      <c r="AB40" s="262">
        <f t="shared" si="57"/>
        <v>474039.66066088458</v>
      </c>
      <c r="AC40" s="263">
        <f t="shared" si="58"/>
        <v>527693.9845635267</v>
      </c>
      <c r="AD40" s="262">
        <f t="shared" si="59"/>
        <v>762399.41719057027</v>
      </c>
      <c r="AE40" s="262">
        <f t="shared" si="60"/>
        <v>181648.69232915735</v>
      </c>
      <c r="AF40" s="262">
        <f t="shared" si="61"/>
        <v>474039.66066088458</v>
      </c>
      <c r="AG40" s="263">
        <f t="shared" si="62"/>
        <v>527693.9845635267</v>
      </c>
      <c r="AH40" s="262">
        <f t="shared" si="75"/>
        <v>762399.41719057027</v>
      </c>
      <c r="AI40" s="262">
        <f t="shared" si="75"/>
        <v>182684.14262270444</v>
      </c>
      <c r="AJ40" s="262">
        <f t="shared" si="75"/>
        <v>474039.66066088458</v>
      </c>
      <c r="AK40" s="262">
        <f t="shared" si="75"/>
        <v>527693.9845635267</v>
      </c>
      <c r="AL40" s="263">
        <f t="shared" si="64"/>
        <v>1946817.205037686</v>
      </c>
      <c r="AM40" s="346"/>
      <c r="AN40" s="261">
        <f>IFERROR(VLOOKUP($A40,'HH &amp; SI'!$B$4:$Z$494,'HH &amp; SI'!V$503,0),0)</f>
        <v>755983.45952991839</v>
      </c>
      <c r="AO40" s="262">
        <f>IFERROR(VLOOKUP($A40,'HH &amp; SI'!$B$4:$Z$494,'HH &amp; SI'!W$503,0),0)</f>
        <v>181653.16078707983</v>
      </c>
      <c r="AP40" s="262">
        <f>IFERROR(VLOOKUP($A40,'HH &amp; SI'!$B$4:$Z$494,'HH &amp; SI'!X$503,0),0)</f>
        <v>470689.28080748738</v>
      </c>
      <c r="AQ40" s="262">
        <f>IFERROR(VLOOKUP($A40,'HH &amp; SI'!$B$4:$Z$494,'HH &amp; SI'!Y$503,0),0)</f>
        <v>528084.10383719427</v>
      </c>
      <c r="AR40" s="263">
        <f t="shared" si="65"/>
        <v>1936410.0049616797</v>
      </c>
      <c r="AS40" s="346"/>
      <c r="AT40" s="323">
        <f>IFERROR(VLOOKUP(A40,'Afton FY16 Final'!$A$5:$BV$572,'Afton FY16 Final'!$BV$587,0),0)</f>
        <v>1998191.6760891275</v>
      </c>
      <c r="AU40" s="346"/>
      <c r="AV40" s="444">
        <v>0</v>
      </c>
      <c r="AW40" s="262">
        <f>IFERROR(VLOOKUP($A40,'HH &amp; SI'!$B$4:$EY$503,'HH &amp; SI'!EX$503,0),0)</f>
        <v>0</v>
      </c>
      <c r="AX40" s="262">
        <f>IFERROR(VLOOKUP($A40,'HH &amp; SI'!$B$4:$EY$503,'HH &amp; SI'!EY$503,0),0)</f>
        <v>1936410.0049616797</v>
      </c>
      <c r="AY40" s="262">
        <f>AX40/$AX$582*'update_State Admin 1004(b)'!$B$30*0.01</f>
        <v>18532.83480345138</v>
      </c>
      <c r="AZ40" s="263">
        <f t="shared" si="66"/>
        <v>1917877.1701582284</v>
      </c>
      <c r="BA40" s="261">
        <f t="shared" si="67"/>
        <v>19178.771701582285</v>
      </c>
      <c r="BB40" s="262">
        <f t="shared" si="68"/>
        <v>1898698.3984566461</v>
      </c>
      <c r="BC40" s="341">
        <f t="shared" si="31"/>
        <v>0.95020834146040967</v>
      </c>
      <c r="BD40" s="346"/>
      <c r="BE40" s="376" t="str">
        <f>'Original Title I &amp; II'!AZ40</f>
        <v/>
      </c>
      <c r="BF40" s="243" t="str">
        <f t="shared" si="76"/>
        <v/>
      </c>
      <c r="BG40" s="263">
        <f t="shared" si="51"/>
        <v>1898698.3984566461</v>
      </c>
      <c r="BI40" s="31">
        <f>IFERROR(VLOOKUP(A40,'Title II Hold Harmless'!A$1:B$439,2, FALSE),"")</f>
        <v>208823</v>
      </c>
      <c r="BJ40" s="31">
        <f t="shared" si="77"/>
        <v>231913.88953833119</v>
      </c>
      <c r="BK40" s="31">
        <f t="shared" si="78"/>
        <v>232138.2411471263</v>
      </c>
      <c r="BL40" s="31" t="str">
        <f t="shared" si="69"/>
        <v/>
      </c>
      <c r="BM40" s="31">
        <f t="shared" si="70"/>
        <v>232138.2411471263</v>
      </c>
      <c r="BN40" s="200"/>
      <c r="BP40" s="295" t="s">
        <v>1447</v>
      </c>
      <c r="BQ40" s="296" t="str">
        <f t="shared" si="34"/>
        <v>Y</v>
      </c>
      <c r="BR40" s="297" t="s">
        <v>1448</v>
      </c>
      <c r="BT40" s="295" t="str">
        <f t="shared" si="35"/>
        <v>Y</v>
      </c>
      <c r="BU40" s="296" t="str">
        <f t="shared" si="71"/>
        <v>Y</v>
      </c>
      <c r="BV40" s="296" t="str">
        <f t="shared" si="72"/>
        <v>Y</v>
      </c>
      <c r="BW40" s="297" t="str">
        <f t="shared" si="36"/>
        <v>Y</v>
      </c>
      <c r="BY40" s="352">
        <f t="shared" si="37"/>
        <v>0</v>
      </c>
      <c r="BZ40" s="353">
        <f t="shared" si="38"/>
        <v>0</v>
      </c>
      <c r="CA40" s="353">
        <f t="shared" si="39"/>
        <v>0.95</v>
      </c>
      <c r="CB40" s="354">
        <f t="shared" si="40"/>
        <v>0.95</v>
      </c>
      <c r="CD40" s="311">
        <f t="shared" si="41"/>
        <v>35</v>
      </c>
    </row>
    <row r="41" spans="1:82" outlineLevel="1" x14ac:dyDescent="0.3">
      <c r="A41" s="1">
        <v>20268000</v>
      </c>
      <c r="B41" s="47">
        <f>VLOOKUP(C41,'NCES ID'!$A$2:$B$3136,2,FALSE)</f>
        <v>401460</v>
      </c>
      <c r="C41" s="47">
        <f>VLOOKUP(A41,'State ID'!$A$2:$B$713,2,FALSE)</f>
        <v>4175</v>
      </c>
      <c r="D41" s="147" t="s">
        <v>384</v>
      </c>
      <c r="E41" s="47" t="s">
        <v>54</v>
      </c>
      <c r="F41" s="382">
        <f>IFERROR(VLOOKUP($B41,'update_Formula counts'!$D$7:$R$234,'update_Formula counts'!F$5,0),0)</f>
        <v>1375</v>
      </c>
      <c r="G41" s="382">
        <f>IFERROR(VLOOKUP($B41,'update_Formula counts'!$D$7:$R$234,'update_Formula counts'!G$5,0),0)</f>
        <v>24</v>
      </c>
      <c r="H41" s="382">
        <f>IFERROR(VLOOKUP($B41,'update_Formula counts'!$D$7:$R$234,'update_Formula counts'!H$5,0),0)</f>
        <v>0</v>
      </c>
      <c r="I41" s="382">
        <f>IFERROR(VLOOKUP($B41,'update_Formula counts'!$D$7:$R$234,'update_Formula counts'!I$5,0),0)</f>
        <v>35</v>
      </c>
      <c r="J41" s="382">
        <f>IFERROR(VLOOKUP($B41,'update_Formula counts'!$D$7:$R$234,'update_Formula counts'!J$5,0),0)</f>
        <v>0</v>
      </c>
      <c r="K41" s="382">
        <f t="shared" si="52"/>
        <v>1399</v>
      </c>
      <c r="L41" s="444">
        <f>IFERROR(VLOOKUP($B41,'update_Formula counts'!$D$7:$R$234,'update_Formula counts'!L$5,0),0)</f>
        <v>7226</v>
      </c>
      <c r="M41" s="445">
        <f>IFERROR(VLOOKUP($B41,'update_Formula counts'!$D$7:$R$234,'update_Formula counts'!K$5,0),0)</f>
        <v>1434</v>
      </c>
      <c r="N41" s="446">
        <f>IFERROR(VLOOKUP($B41,'update_Formula counts'!$D$7:$R$234,'update_Formula counts'!M$5,0),0)</f>
        <v>0.19845004151674508</v>
      </c>
      <c r="O41" s="137">
        <f>VLOOKUP($C41,'Final SEA Counts'!$A$2:$F$709,5,FALSE)</f>
        <v>5497</v>
      </c>
      <c r="P41" s="208">
        <f>VLOOKUP($C41,'Final SEA Counts'!$A$2:$F$709,6,FALSE)</f>
        <v>2381</v>
      </c>
      <c r="Q41" s="748">
        <f t="shared" si="73"/>
        <v>-207.49200926654188</v>
      </c>
      <c r="R41" s="444">
        <f t="shared" si="53"/>
        <v>6494.098579347602</v>
      </c>
      <c r="S41" s="445">
        <f t="shared" si="74"/>
        <v>1226.5079907334582</v>
      </c>
      <c r="T41" s="229">
        <f t="shared" si="54"/>
        <v>0.18886500963104771</v>
      </c>
      <c r="U41" s="261">
        <f>VLOOKUP($B41,update_Allocation!$D$8:$Q$235,update_Allocation!K$239,0)</f>
        <v>678124.32268821844</v>
      </c>
      <c r="V41" s="262">
        <f>VLOOKUP($B41,update_Allocation!$D$8:$Q$235,update_Allocation!L$239,0)</f>
        <v>161535.41595792657</v>
      </c>
      <c r="W41" s="262">
        <f>VLOOKUP($B41,update_Allocation!$D$8:$Q$235,update_Allocation!M$239,0)</f>
        <v>257674.47160655129</v>
      </c>
      <c r="X41" s="262">
        <f>VLOOKUP($B41,update_Allocation!$D$8:$Q$235,update_Allocation!N$239,0)</f>
        <v>199898.17671198811</v>
      </c>
      <c r="Y41" s="263">
        <f>VLOOKUP($B41,update_Allocation!$D$8:$Q$235,update_Allocation!O$239,0)</f>
        <v>1297232.3869646844</v>
      </c>
      <c r="Z41" s="262">
        <f t="shared" si="55"/>
        <v>578696.85756378307</v>
      </c>
      <c r="AA41" s="262">
        <f t="shared" si="56"/>
        <v>137850.88437697882</v>
      </c>
      <c r="AB41" s="262">
        <f t="shared" si="57"/>
        <v>219893.90736199613</v>
      </c>
      <c r="AC41" s="263">
        <f t="shared" si="58"/>
        <v>170588.84753960342</v>
      </c>
      <c r="AD41" s="262">
        <f t="shared" si="59"/>
        <v>578696.85756378307</v>
      </c>
      <c r="AE41" s="262">
        <f t="shared" si="60"/>
        <v>137850.88437697882</v>
      </c>
      <c r="AF41" s="262">
        <f t="shared" si="61"/>
        <v>219893.90736199613</v>
      </c>
      <c r="AG41" s="263">
        <f t="shared" si="62"/>
        <v>170588.84753960342</v>
      </c>
      <c r="AH41" s="262">
        <f t="shared" si="75"/>
        <v>578696.85756378307</v>
      </c>
      <c r="AI41" s="262">
        <f t="shared" si="75"/>
        <v>138886.33467052592</v>
      </c>
      <c r="AJ41" s="262">
        <f t="shared" si="75"/>
        <v>219893.90736199613</v>
      </c>
      <c r="AK41" s="262">
        <f t="shared" si="75"/>
        <v>170588.84753960342</v>
      </c>
      <c r="AL41" s="263">
        <f t="shared" si="64"/>
        <v>1108065.9471359085</v>
      </c>
      <c r="AM41" s="346"/>
      <c r="AN41" s="261">
        <f>IFERROR(VLOOKUP($A41,'HH &amp; SI'!$B$4:$Z$494,'HH &amp; SI'!V$503,0),0)</f>
        <v>570803.05681551073</v>
      </c>
      <c r="AO41" s="262">
        <f>IFERROR(VLOOKUP($A41,'HH &amp; SI'!$B$4:$Z$494,'HH &amp; SI'!W$503,0),0)</f>
        <v>134311.92658814869</v>
      </c>
      <c r="AP41" s="262">
        <f>IFERROR(VLOOKUP($A41,'HH &amp; SI'!$B$4:$Z$494,'HH &amp; SI'!X$503,0),0)</f>
        <v>217894.0581288687</v>
      </c>
      <c r="AQ41" s="262">
        <f>IFERROR(VLOOKUP($A41,'HH &amp; SI'!$B$4:$Z$494,'HH &amp; SI'!Y$503,0),0)</f>
        <v>168709.26551532841</v>
      </c>
      <c r="AR41" s="263">
        <f t="shared" si="65"/>
        <v>1091718.3070478565</v>
      </c>
      <c r="AS41" s="346"/>
      <c r="AT41" s="323">
        <f>IFERROR(VLOOKUP(A41,'Afton FY16 Final'!$A$5:$BV$572,'Afton FY16 Final'!$BV$587,0),0)</f>
        <v>932852.37244252604</v>
      </c>
      <c r="AU41" s="346"/>
      <c r="AV41" s="444">
        <v>0</v>
      </c>
      <c r="AW41" s="262">
        <f>IFERROR(VLOOKUP($A41,'HH &amp; SI'!$B$4:$EY$503,'HH &amp; SI'!EX$503,0),0)</f>
        <v>61150.527755843592</v>
      </c>
      <c r="AX41" s="262">
        <f>IFERROR(VLOOKUP($A41,'HH &amp; SI'!$B$4:$EY$503,'HH &amp; SI'!EY$503,0),0)</f>
        <v>1030567.7792920129</v>
      </c>
      <c r="AY41" s="262">
        <f>AX41/$AX$582*'update_State Admin 1004(b)'!$B$30*0.01</f>
        <v>9863.2739752636135</v>
      </c>
      <c r="AZ41" s="263">
        <f t="shared" si="66"/>
        <v>1020704.5053167493</v>
      </c>
      <c r="BA41" s="261">
        <f t="shared" si="67"/>
        <v>10207.045053167494</v>
      </c>
      <c r="BB41" s="262">
        <f t="shared" si="68"/>
        <v>1010497.4602635818</v>
      </c>
      <c r="BC41" s="341">
        <f t="shared" si="31"/>
        <v>1.0832340573007864</v>
      </c>
      <c r="BD41" s="346"/>
      <c r="BE41" s="376" t="str">
        <f>'Original Title I &amp; II'!AZ41</f>
        <v/>
      </c>
      <c r="BF41" s="243" t="str">
        <f t="shared" si="76"/>
        <v/>
      </c>
      <c r="BG41" s="263">
        <f t="shared" si="51"/>
        <v>1010497.4602635818</v>
      </c>
      <c r="BI41" s="31">
        <f>IFERROR(VLOOKUP(A41,'Title II Hold Harmless'!A$1:B$439,2, FALSE),"")</f>
        <v>152316</v>
      </c>
      <c r="BJ41" s="31">
        <f t="shared" si="77"/>
        <v>173598.53270705888</v>
      </c>
      <c r="BK41" s="31">
        <f t="shared" si="78"/>
        <v>173766.47051438398</v>
      </c>
      <c r="BL41" s="31" t="str">
        <f t="shared" si="69"/>
        <v/>
      </c>
      <c r="BM41" s="31">
        <f t="shared" si="70"/>
        <v>173766.47051438398</v>
      </c>
      <c r="BN41" s="200"/>
      <c r="BP41" s="295" t="s">
        <v>1447</v>
      </c>
      <c r="BQ41" s="296" t="str">
        <f t="shared" si="34"/>
        <v>Y</v>
      </c>
      <c r="BR41" s="297" t="s">
        <v>1448</v>
      </c>
      <c r="BT41" s="295" t="str">
        <f t="shared" si="35"/>
        <v>Y</v>
      </c>
      <c r="BU41" s="296" t="str">
        <f t="shared" si="71"/>
        <v>Y</v>
      </c>
      <c r="BV41" s="296" t="str">
        <f t="shared" si="72"/>
        <v>Y</v>
      </c>
      <c r="BW41" s="297" t="str">
        <f t="shared" si="36"/>
        <v>Y</v>
      </c>
      <c r="BY41" s="352">
        <f t="shared" si="37"/>
        <v>0</v>
      </c>
      <c r="BZ41" s="353">
        <f t="shared" si="38"/>
        <v>0.9</v>
      </c>
      <c r="CA41" s="353">
        <f t="shared" si="39"/>
        <v>0</v>
      </c>
      <c r="CB41" s="354">
        <f t="shared" si="40"/>
        <v>0.9</v>
      </c>
      <c r="CD41" s="311">
        <f t="shared" si="41"/>
        <v>36</v>
      </c>
    </row>
    <row r="42" spans="1:82" outlineLevel="1" x14ac:dyDescent="0.3">
      <c r="A42" s="1">
        <v>20326000</v>
      </c>
      <c r="B42" s="47">
        <v>402130</v>
      </c>
      <c r="C42" s="47">
        <f>VLOOKUP(A42,'State ID'!$A$2:$B$713,2,FALSE)</f>
        <v>4177</v>
      </c>
      <c r="D42" s="147" t="s">
        <v>530</v>
      </c>
      <c r="E42" s="47" t="s">
        <v>54</v>
      </c>
      <c r="F42" s="382">
        <f>IFERROR(VLOOKUP($B42,'update_Formula counts'!$D$7:$R$234,'update_Formula counts'!F$5,0),0)</f>
        <v>8</v>
      </c>
      <c r="G42" s="382">
        <f>IFERROR(VLOOKUP($B42,'update_Formula counts'!$D$7:$R$234,'update_Formula counts'!G$5,0),0)</f>
        <v>0</v>
      </c>
      <c r="H42" s="382">
        <f>IFERROR(VLOOKUP($B42,'update_Formula counts'!$D$7:$R$234,'update_Formula counts'!H$5,0),0)</f>
        <v>0</v>
      </c>
      <c r="I42" s="382">
        <f>IFERROR(VLOOKUP($B42,'update_Formula counts'!$D$7:$R$234,'update_Formula counts'!I$5,0),0)</f>
        <v>0</v>
      </c>
      <c r="J42" s="382">
        <f>IFERROR(VLOOKUP($B42,'update_Formula counts'!$D$7:$R$234,'update_Formula counts'!J$5,0),0)</f>
        <v>0</v>
      </c>
      <c r="K42" s="382">
        <f t="shared" si="52"/>
        <v>8</v>
      </c>
      <c r="L42" s="444">
        <f>IFERROR(VLOOKUP($B42,'update_Formula counts'!$D$7:$R$234,'update_Formula counts'!L$5,0),0)</f>
        <v>32</v>
      </c>
      <c r="M42" s="445">
        <f>IFERROR(VLOOKUP($B42,'update_Formula counts'!$D$7:$R$234,'update_Formula counts'!K$5,0),0)</f>
        <v>8</v>
      </c>
      <c r="N42" s="446">
        <f>IFERROR(VLOOKUP($B42,'update_Formula counts'!$D$7:$R$234,'update_Formula counts'!M$5,0),0)</f>
        <v>0.25</v>
      </c>
      <c r="O42" s="137">
        <f>VLOOKUP($C42,'Final SEA Counts'!$A$2:$F$709,5,FALSE)</f>
        <v>85</v>
      </c>
      <c r="P42" s="208">
        <f>VLOOKUP($C42,'Final SEA Counts'!$A$2:$F$709,6,FALSE)</f>
        <v>46</v>
      </c>
      <c r="Q42" s="748">
        <f t="shared" si="73"/>
        <v>-1.2072902075416405</v>
      </c>
      <c r="R42" s="444">
        <f t="shared" si="53"/>
        <v>28.758809097581409</v>
      </c>
      <c r="S42" s="445">
        <f t="shared" si="74"/>
        <v>6.7927097924583597</v>
      </c>
      <c r="T42" s="229">
        <f t="shared" si="54"/>
        <v>0.23619579550078174</v>
      </c>
      <c r="U42" s="261">
        <f>VLOOKUP($B42,update_Allocation!$D$8:$Q$235,update_Allocation!K$239,0)</f>
        <v>0</v>
      </c>
      <c r="V42" s="262">
        <f>VLOOKUP($B42,update_Allocation!$D$8:$Q$235,update_Allocation!L$239,0)</f>
        <v>1469.6563359605575</v>
      </c>
      <c r="W42" s="262">
        <f>VLOOKUP($B42,update_Allocation!$D$8:$Q$235,update_Allocation!M$239,0)</f>
        <v>0</v>
      </c>
      <c r="X42" s="262">
        <f>VLOOKUP($B42,update_Allocation!$D$8:$Q$235,update_Allocation!N$239,0)</f>
        <v>0</v>
      </c>
      <c r="Y42" s="263">
        <f>VLOOKUP($B42,update_Allocation!$D$8:$Q$235,update_Allocation!O$239,0)</f>
        <v>1469.6563359605575</v>
      </c>
      <c r="Z42" s="262" t="str">
        <f t="shared" si="55"/>
        <v/>
      </c>
      <c r="AA42" s="262">
        <f t="shared" si="56"/>
        <v>1254.1734234625089</v>
      </c>
      <c r="AB42" s="262" t="str">
        <f t="shared" si="57"/>
        <v/>
      </c>
      <c r="AC42" s="263" t="str">
        <f t="shared" si="58"/>
        <v/>
      </c>
      <c r="AD42" s="262" t="str">
        <f t="shared" si="59"/>
        <v/>
      </c>
      <c r="AE42" s="262" t="str">
        <f t="shared" si="60"/>
        <v/>
      </c>
      <c r="AF42" s="262" t="str">
        <f t="shared" si="61"/>
        <v/>
      </c>
      <c r="AG42" s="263" t="str">
        <f t="shared" si="62"/>
        <v/>
      </c>
      <c r="AH42" s="262" t="str">
        <f t="shared" si="75"/>
        <v/>
      </c>
      <c r="AI42" s="262" t="str">
        <f t="shared" si="75"/>
        <v/>
      </c>
      <c r="AJ42" s="262" t="str">
        <f t="shared" si="75"/>
        <v/>
      </c>
      <c r="AK42" s="262" t="str">
        <f t="shared" si="75"/>
        <v/>
      </c>
      <c r="AL42" s="263">
        <f t="shared" si="64"/>
        <v>0</v>
      </c>
      <c r="AM42" s="346"/>
      <c r="AN42" s="261">
        <f>IFERROR(VLOOKUP($A42,'HH &amp; SI'!$B$4:$Z$494,'HH &amp; SI'!V$503,0),0)</f>
        <v>0</v>
      </c>
      <c r="AO42" s="262">
        <f>IFERROR(VLOOKUP($A42,'HH &amp; SI'!$B$4:$Z$494,'HH &amp; SI'!W$503,0),0)</f>
        <v>1225.666370772763</v>
      </c>
      <c r="AP42" s="262">
        <f>IFERROR(VLOOKUP($A42,'HH &amp; SI'!$B$4:$Z$494,'HH &amp; SI'!X$503,0),0)</f>
        <v>0</v>
      </c>
      <c r="AQ42" s="262">
        <f>IFERROR(VLOOKUP($A42,'HH &amp; SI'!$B$4:$Z$494,'HH &amp; SI'!Y$503,0),0)</f>
        <v>0</v>
      </c>
      <c r="AR42" s="263">
        <f t="shared" si="65"/>
        <v>1225.666370772763</v>
      </c>
      <c r="AS42" s="346"/>
      <c r="AT42" s="323">
        <f>IFERROR(VLOOKUP(A42,'Afton FY16 Final'!$A$5:$BV$572,'Afton FY16 Final'!$BV$587,0),0)</f>
        <v>14287.533546593721</v>
      </c>
      <c r="AU42" s="346"/>
      <c r="AV42" s="444">
        <v>0</v>
      </c>
      <c r="AW42" s="262">
        <f>IFERROR(VLOOKUP($A42,'HH &amp; SI'!$B$4:$EY$503,'HH &amp; SI'!EX$503,0),0)</f>
        <v>0</v>
      </c>
      <c r="AX42" s="262">
        <f>IFERROR(VLOOKUP($A42,'HH &amp; SI'!$B$4:$EY$503,'HH &amp; SI'!EY$503,0),0)</f>
        <v>1225.666370772763</v>
      </c>
      <c r="AY42" s="262">
        <f>AX42/$AX$582*'update_State Admin 1004(b)'!$B$30*0.01</f>
        <v>11.730507648418664</v>
      </c>
      <c r="AZ42" s="263">
        <f t="shared" si="66"/>
        <v>1213.9358631243445</v>
      </c>
      <c r="BA42" s="261">
        <f t="shared" si="67"/>
        <v>12.139358631243445</v>
      </c>
      <c r="BB42" s="262">
        <f t="shared" si="68"/>
        <v>1201.7965044931011</v>
      </c>
      <c r="BC42" s="341">
        <f t="shared" si="31"/>
        <v>8.4115043409967741E-2</v>
      </c>
      <c r="BD42" s="346"/>
      <c r="BE42" s="376" t="str">
        <f>'Original Title I &amp; II'!AZ42</f>
        <v/>
      </c>
      <c r="BF42" s="243" t="str">
        <f t="shared" si="76"/>
        <v/>
      </c>
      <c r="BG42" s="263">
        <f t="shared" si="51"/>
        <v>1201.7965044931011</v>
      </c>
      <c r="BI42" s="31">
        <f>IFERROR(VLOOKUP(A42,'Title II Hold Harmless'!A$1:B$439,2, FALSE),"")</f>
        <v>1125</v>
      </c>
      <c r="BJ42" s="31">
        <f t="shared" si="77"/>
        <v>1237.0677139198062</v>
      </c>
      <c r="BK42" s="31">
        <f t="shared" si="78"/>
        <v>1238.2644431556398</v>
      </c>
      <c r="BL42" s="31" t="str">
        <f t="shared" si="69"/>
        <v/>
      </c>
      <c r="BM42" s="31">
        <f t="shared" si="70"/>
        <v>1238.2644431556398</v>
      </c>
      <c r="BN42" s="200"/>
      <c r="BP42" s="295" t="s">
        <v>1447</v>
      </c>
      <c r="BQ42" s="296" t="str">
        <f t="shared" si="34"/>
        <v>Y</v>
      </c>
      <c r="BR42" s="297" t="s">
        <v>1448</v>
      </c>
      <c r="BT42" s="295" t="str">
        <f t="shared" si="35"/>
        <v>N</v>
      </c>
      <c r="BU42" s="296" t="str">
        <f t="shared" si="71"/>
        <v>N</v>
      </c>
      <c r="BV42" s="296" t="str">
        <f t="shared" si="72"/>
        <v>N</v>
      </c>
      <c r="BW42" s="297" t="str">
        <f t="shared" si="36"/>
        <v>N</v>
      </c>
      <c r="BY42" s="352">
        <f t="shared" si="37"/>
        <v>0</v>
      </c>
      <c r="BZ42" s="353">
        <f t="shared" si="38"/>
        <v>0.9</v>
      </c>
      <c r="CA42" s="353">
        <f t="shared" si="39"/>
        <v>0</v>
      </c>
      <c r="CB42" s="354">
        <f t="shared" si="40"/>
        <v>0.9</v>
      </c>
      <c r="CD42" s="311">
        <f t="shared" si="41"/>
        <v>37</v>
      </c>
    </row>
    <row r="43" spans="1:82" s="237" customFormat="1" outlineLevel="1" x14ac:dyDescent="0.3">
      <c r="A43" s="236"/>
      <c r="B43" s="237">
        <v>481003</v>
      </c>
      <c r="D43" s="237" t="s">
        <v>877</v>
      </c>
      <c r="E43" s="237" t="s">
        <v>54</v>
      </c>
      <c r="F43" s="760">
        <f>IFERROR(VLOOKUP($B43,'update_Formula counts'!$D$7:$R$234,'update_Formula counts'!F$5,0),0)</f>
        <v>1</v>
      </c>
      <c r="G43" s="760">
        <f>IFERROR(VLOOKUP($B43,'update_Formula counts'!$D$7:$R$234,'update_Formula counts'!G$5,0),0)</f>
        <v>0</v>
      </c>
      <c r="H43" s="760">
        <f>IFERROR(VLOOKUP($B43,'update_Formula counts'!$D$7:$R$234,'update_Formula counts'!H$5,0),0)</f>
        <v>0</v>
      </c>
      <c r="I43" s="760">
        <f>IFERROR(VLOOKUP($B43,'update_Formula counts'!$D$7:$R$234,'update_Formula counts'!I$5,0),0)</f>
        <v>0</v>
      </c>
      <c r="J43" s="760">
        <f>IFERROR(VLOOKUP($B43,'update_Formula counts'!$D$7:$R$234,'update_Formula counts'!J$5,0),0)</f>
        <v>0</v>
      </c>
      <c r="K43" s="760">
        <f t="shared" si="52"/>
        <v>1</v>
      </c>
      <c r="L43" s="525">
        <f>IFERROR(VLOOKUP($B43,'update_Formula counts'!$D$7:$R$234,'update_Formula counts'!L$5,0),0)</f>
        <v>5</v>
      </c>
      <c r="M43" s="526">
        <f>IFERROR(VLOOKUP($B43,'update_Formula counts'!$D$7:$R$234,'update_Formula counts'!K$5,0),0)</f>
        <v>1</v>
      </c>
      <c r="N43" s="527">
        <f>IFERROR(VLOOKUP($B43,'update_Formula counts'!$D$7:$R$234,'update_Formula counts'!M$5,0),0)</f>
        <v>0.2</v>
      </c>
      <c r="O43" s="238"/>
      <c r="P43" s="240"/>
      <c r="Q43" s="752"/>
      <c r="R43" s="525"/>
      <c r="S43" s="526"/>
      <c r="T43" s="241"/>
      <c r="U43" s="273">
        <f>VLOOKUP($B43,update_Allocation!$D$8:$Q$235,update_Allocation!K$239,0)</f>
        <v>0</v>
      </c>
      <c r="V43" s="274">
        <f>VLOOKUP($B43,update_Allocation!$D$8:$Q$235,update_Allocation!L$239,0)</f>
        <v>0</v>
      </c>
      <c r="W43" s="274">
        <f>VLOOKUP($B43,update_Allocation!$D$8:$Q$235,update_Allocation!M$239,0)</f>
        <v>0</v>
      </c>
      <c r="X43" s="274">
        <f>VLOOKUP($B43,update_Allocation!$D$8:$Q$235,update_Allocation!N$239,0)</f>
        <v>0</v>
      </c>
      <c r="Y43" s="275">
        <f>VLOOKUP($B43,update_Allocation!$D$8:$Q$235,update_Allocation!O$239,0)</f>
        <v>0</v>
      </c>
      <c r="Z43" s="274" t="str">
        <f>IF(U43=0,"",U43-(U43/(U$50-U$43)*Z$49)-(U43/(U$50-U$43)*U$43))</f>
        <v/>
      </c>
      <c r="AA43" s="274" t="str">
        <f>IF(V43=0,"",V43-(V43/(V$50-V$43)*AA$49)-(V43/(V$50-V$43)*V$43))</f>
        <v/>
      </c>
      <c r="AB43" s="274" t="str">
        <f>IF(W43=0,"",W43-(W43/(W$50-W$43)*AB$49)-(W43/(W$50-W$43)*W$43))</f>
        <v/>
      </c>
      <c r="AC43" s="275" t="str">
        <f>IF(X43=0,"",X43-(X43/(X$50-X$43)*AC$49)-(X43/(X$50-X$43)*X$43))</f>
        <v/>
      </c>
      <c r="AD43" s="274" t="str">
        <f t="shared" si="59"/>
        <v/>
      </c>
      <c r="AE43" s="274" t="str">
        <f t="shared" si="60"/>
        <v/>
      </c>
      <c r="AF43" s="274" t="str">
        <f t="shared" si="61"/>
        <v/>
      </c>
      <c r="AG43" s="275" t="str">
        <f t="shared" si="62"/>
        <v/>
      </c>
      <c r="AH43" s="274"/>
      <c r="AI43" s="274"/>
      <c r="AJ43" s="274"/>
      <c r="AK43" s="274"/>
      <c r="AL43" s="275"/>
      <c r="AM43" s="350"/>
      <c r="AN43" s="273">
        <f>IFERROR(VLOOKUP($A43,'HH &amp; SI'!$B$4:$Z$494,'HH &amp; SI'!V$503,0),0)</f>
        <v>0</v>
      </c>
      <c r="AO43" s="274">
        <f>IFERROR(VLOOKUP($A43,'HH &amp; SI'!$B$4:$Z$494,'HH &amp; SI'!W$503,0),0)</f>
        <v>0</v>
      </c>
      <c r="AP43" s="274">
        <f>IFERROR(VLOOKUP($A43,'HH &amp; SI'!$B$4:$Z$494,'HH &amp; SI'!X$503,0),0)</f>
        <v>0</v>
      </c>
      <c r="AQ43" s="274">
        <f>IFERROR(VLOOKUP($A43,'HH &amp; SI'!$B$4:$Z$494,'HH &amp; SI'!Y$503,0),0)</f>
        <v>0</v>
      </c>
      <c r="AR43" s="275">
        <f t="shared" si="65"/>
        <v>0</v>
      </c>
      <c r="AS43" s="350"/>
      <c r="AT43" s="327">
        <f>IFERROR(VLOOKUP(A43,'Afton FY16 Final'!$A$5:$BV$572,'Afton FY16 Final'!$BV$587,0),0)</f>
        <v>0</v>
      </c>
      <c r="AU43" s="350"/>
      <c r="AV43" s="525">
        <v>0</v>
      </c>
      <c r="AW43" s="274">
        <f>IFERROR(VLOOKUP($A43,'HH &amp; SI'!$B$4:$EY$503,'HH &amp; SI'!EX$503,0),0)</f>
        <v>0</v>
      </c>
      <c r="AX43" s="274">
        <f>IFERROR(VLOOKUP($A43,'HH &amp; SI'!$B$4:$EY$503,'HH &amp; SI'!EY$503,0),0)</f>
        <v>0</v>
      </c>
      <c r="AY43" s="274">
        <f>AX43/$AX$582*'update_State Admin 1004(b)'!$B$30*0.01</f>
        <v>0</v>
      </c>
      <c r="AZ43" s="275">
        <f t="shared" si="66"/>
        <v>0</v>
      </c>
      <c r="BA43" s="273">
        <f t="shared" si="67"/>
        <v>0</v>
      </c>
      <c r="BB43" s="274">
        <f t="shared" si="68"/>
        <v>0</v>
      </c>
      <c r="BC43" s="345" t="str">
        <f t="shared" si="31"/>
        <v/>
      </c>
      <c r="BD43" s="350"/>
      <c r="BE43" s="379" t="str">
        <f>'Original Title I &amp; II'!AZ43</f>
        <v/>
      </c>
      <c r="BF43" s="246" t="str">
        <f t="shared" si="76"/>
        <v/>
      </c>
      <c r="BG43" s="275">
        <f t="shared" si="51"/>
        <v>0</v>
      </c>
      <c r="BI43" s="242" t="str">
        <f>IFERROR(VLOOKUP(A43,'Title II Hold Harmless'!A$1:B$439,2, FALSE),"")</f>
        <v/>
      </c>
      <c r="BJ43" s="242">
        <f t="shared" si="77"/>
        <v>0</v>
      </c>
      <c r="BK43" s="242">
        <f t="shared" si="78"/>
        <v>0</v>
      </c>
      <c r="BL43" s="242" t="str">
        <f t="shared" si="69"/>
        <v/>
      </c>
      <c r="BM43" s="242">
        <f t="shared" si="70"/>
        <v>0</v>
      </c>
      <c r="BN43" s="200"/>
      <c r="BP43" s="307" t="s">
        <v>1447</v>
      </c>
      <c r="BQ43" s="308" t="str">
        <f t="shared" si="34"/>
        <v>Y</v>
      </c>
      <c r="BR43" s="309" t="s">
        <v>1447</v>
      </c>
      <c r="BT43" s="307" t="str">
        <f t="shared" si="35"/>
        <v>N</v>
      </c>
      <c r="BU43" s="308" t="str">
        <f t="shared" si="71"/>
        <v>N</v>
      </c>
      <c r="BV43" s="308" t="str">
        <f t="shared" si="72"/>
        <v>N</v>
      </c>
      <c r="BW43" s="309" t="str">
        <f t="shared" si="36"/>
        <v>N</v>
      </c>
      <c r="BY43" s="364">
        <f t="shared" si="37"/>
        <v>0.85</v>
      </c>
      <c r="BZ43" s="365">
        <f t="shared" si="38"/>
        <v>0</v>
      </c>
      <c r="CA43" s="365">
        <f t="shared" si="39"/>
        <v>0</v>
      </c>
      <c r="CB43" s="366">
        <f t="shared" si="40"/>
        <v>0.85</v>
      </c>
      <c r="CD43" s="315">
        <f t="shared" si="41"/>
        <v>38</v>
      </c>
    </row>
    <row r="44" spans="1:82" s="48" customFormat="1" outlineLevel="1" x14ac:dyDescent="0.3">
      <c r="A44" s="202">
        <v>28750000</v>
      </c>
      <c r="B44" s="48">
        <f>VLOOKUP(C44,'NCES ID'!$A$2:$B$3136,2,FALSE)</f>
        <v>400016</v>
      </c>
      <c r="C44" s="48">
        <f>VLOOKUP(A44,'State ID'!$A$2:$B$713,2,FALSE)</f>
        <v>4191</v>
      </c>
      <c r="D44" s="48" t="s">
        <v>98</v>
      </c>
      <c r="E44" s="48" t="s">
        <v>54</v>
      </c>
      <c r="F44" s="755"/>
      <c r="G44" s="755"/>
      <c r="H44" s="755"/>
      <c r="I44" s="755"/>
      <c r="J44" s="755"/>
      <c r="K44" s="755"/>
      <c r="L44" s="454"/>
      <c r="M44" s="455"/>
      <c r="N44" s="456"/>
      <c r="O44" s="209">
        <f>VLOOKUP($C44,'Final SEA Counts'!$A$2:$F$709,5,FALSE)</f>
        <v>1147</v>
      </c>
      <c r="P44" s="223">
        <f>VLOOKUP($C44,'Final SEA Counts'!$A$2:$F$709,6,FALSE)</f>
        <v>971</v>
      </c>
      <c r="Q44" s="749"/>
      <c r="R44" s="454">
        <f>O44</f>
        <v>1147</v>
      </c>
      <c r="S44" s="455">
        <f>P44*$B$50</f>
        <v>456.45705608900607</v>
      </c>
      <c r="T44" s="230">
        <f>S44/R44</f>
        <v>0.39795732876112128</v>
      </c>
      <c r="U44" s="264" t="str">
        <f>IFERROR(VLOOKUP($B44,#REF!,8,FALSE),"")</f>
        <v/>
      </c>
      <c r="V44" s="265" t="str">
        <f>IFERROR(VLOOKUP($B44,#REF!,9,FALSE),"")</f>
        <v/>
      </c>
      <c r="W44" s="265" t="str">
        <f>IFERROR(VLOOKUP($B44,#REF!,10,FALSE),"")</f>
        <v/>
      </c>
      <c r="X44" s="265" t="str">
        <f>IFERROR(VLOOKUP($B44,#REF!,11,FALSE),"")</f>
        <v/>
      </c>
      <c r="Y44" s="266" t="str">
        <f>IFERROR(VLOOKUP($B44,#REF!,12,FALSE),"")</f>
        <v/>
      </c>
      <c r="Z44" s="265">
        <f t="shared" ref="Z44:AC48" si="79">$S44*U$51</f>
        <v>230775.20835796773</v>
      </c>
      <c r="AA44" s="265">
        <f t="shared" si="79"/>
        <v>55087.407448827682</v>
      </c>
      <c r="AB44" s="265">
        <f t="shared" si="79"/>
        <v>113930.95999099515</v>
      </c>
      <c r="AC44" s="266">
        <f t="shared" si="79"/>
        <v>109824.45285913</v>
      </c>
      <c r="AD44" s="265">
        <f t="shared" si="59"/>
        <v>230775.20835796773</v>
      </c>
      <c r="AE44" s="265">
        <f t="shared" si="60"/>
        <v>55087.407448827682</v>
      </c>
      <c r="AF44" s="265">
        <f t="shared" si="61"/>
        <v>113930.95999099515</v>
      </c>
      <c r="AG44" s="266">
        <f t="shared" si="62"/>
        <v>109824.45285913</v>
      </c>
      <c r="AH44" s="265">
        <f t="shared" ref="AH44:AK48" si="80">IF(AD44="","",AD44+AD$51)</f>
        <v>230775.20835796773</v>
      </c>
      <c r="AI44" s="265">
        <f t="shared" si="80"/>
        <v>56122.857742374777</v>
      </c>
      <c r="AJ44" s="265">
        <f t="shared" si="80"/>
        <v>113930.95999099515</v>
      </c>
      <c r="AK44" s="265">
        <f t="shared" si="80"/>
        <v>109824.45285913</v>
      </c>
      <c r="AL44" s="266">
        <f>SUM(AH44:AK44)</f>
        <v>510653.47895046766</v>
      </c>
      <c r="AM44" s="347"/>
      <c r="AN44" s="264">
        <f>IFERROR(VLOOKUP($A44,'HH &amp; SI'!$B$4:$Z$494,'HH &amp; SI'!V$503,0),0)</f>
        <v>227627.28472816283</v>
      </c>
      <c r="AO44" s="265">
        <f>IFERROR(VLOOKUP($A44,'HH &amp; SI'!$B$4:$Z$494,'HH &amp; SI'!W$503,0),0)</f>
        <v>54274.375998855139</v>
      </c>
      <c r="AP44" s="265">
        <f>IFERROR(VLOOKUP($A44,'HH &amp; SI'!$B$4:$Z$494,'HH &amp; SI'!X$503,0),0)</f>
        <v>112894.80239253848</v>
      </c>
      <c r="AQ44" s="265">
        <f>IFERROR(VLOOKUP($A44,'HH &amp; SI'!$B$4:$Z$494,'HH &amp; SI'!Y$503,0),0)</f>
        <v>108614.38508273603</v>
      </c>
      <c r="AR44" s="266">
        <f t="shared" si="65"/>
        <v>503410.84820229246</v>
      </c>
      <c r="AS44" s="347"/>
      <c r="AT44" s="324">
        <f>IFERROR(VLOOKUP(A44,'Afton FY16 Final'!$A$5:$BV$572,'Afton FY16 Final'!$BV$587,0),0)</f>
        <v>462162.29570589488</v>
      </c>
      <c r="AU44" s="347"/>
      <c r="AV44" s="454">
        <v>0</v>
      </c>
      <c r="AW44" s="265">
        <f>IFERROR(VLOOKUP($A44,'HH &amp; SI'!$B$4:$EY$503,'HH &amp; SI'!EX$503,0),0)</f>
        <v>28197.602666232211</v>
      </c>
      <c r="AX44" s="265">
        <f>IFERROR(VLOOKUP($A44,'HH &amp; SI'!$B$4:$EY$503,'HH &amp; SI'!EY$503,0),0)</f>
        <v>475213.24553606025</v>
      </c>
      <c r="AY44" s="265">
        <f>AX44/$AX$582*'update_State Admin 1004(b)'!$B$30*0.01</f>
        <v>4548.1321380107565</v>
      </c>
      <c r="AZ44" s="266">
        <f t="shared" si="66"/>
        <v>470665.11339804949</v>
      </c>
      <c r="BA44" s="264">
        <f t="shared" si="67"/>
        <v>4706.6511339804947</v>
      </c>
      <c r="BB44" s="265">
        <f t="shared" si="68"/>
        <v>465958.46226406901</v>
      </c>
      <c r="BC44" s="342">
        <f t="shared" si="31"/>
        <v>1.008213925267045</v>
      </c>
      <c r="BD44" s="347"/>
      <c r="BE44" s="377" t="str">
        <f>'Original Title I &amp; II'!AZ44</f>
        <v/>
      </c>
      <c r="BF44" s="244" t="str">
        <f t="shared" si="76"/>
        <v/>
      </c>
      <c r="BG44" s="266">
        <f t="shared" si="51"/>
        <v>465958.46226406901</v>
      </c>
      <c r="BI44" s="203">
        <f>IFERROR(VLOOKUP(A44,'Title II Hold Harmless'!A$1:B$439,2, FALSE),"")</f>
        <v>14326</v>
      </c>
      <c r="BJ44" s="203">
        <f t="shared" si="77"/>
        <v>21224.535469844748</v>
      </c>
      <c r="BK44" s="203">
        <f t="shared" si="78"/>
        <v>21245.067912675437</v>
      </c>
      <c r="BL44" s="203" t="str">
        <f t="shared" si="69"/>
        <v/>
      </c>
      <c r="BM44" s="203">
        <f t="shared" si="70"/>
        <v>21245.067912675437</v>
      </c>
      <c r="BN44" s="200"/>
      <c r="BP44" s="298" t="s">
        <v>1448</v>
      </c>
      <c r="BQ44" s="299" t="str">
        <f t="shared" si="34"/>
        <v>Y</v>
      </c>
      <c r="BR44" s="300" t="s">
        <v>1448</v>
      </c>
      <c r="BT44" s="298" t="str">
        <f t="shared" si="35"/>
        <v>Y</v>
      </c>
      <c r="BU44" s="299" t="str">
        <f t="shared" si="71"/>
        <v>Y</v>
      </c>
      <c r="BV44" s="299" t="str">
        <f t="shared" si="72"/>
        <v>Y</v>
      </c>
      <c r="BW44" s="300" t="str">
        <f t="shared" si="36"/>
        <v>Y</v>
      </c>
      <c r="BY44" s="355">
        <f t="shared" si="37"/>
        <v>0</v>
      </c>
      <c r="BZ44" s="356">
        <f t="shared" si="38"/>
        <v>0</v>
      </c>
      <c r="CA44" s="356">
        <f t="shared" si="39"/>
        <v>0.95</v>
      </c>
      <c r="CB44" s="357">
        <f t="shared" si="40"/>
        <v>0.95</v>
      </c>
      <c r="CD44" s="312">
        <f t="shared" si="41"/>
        <v>39</v>
      </c>
    </row>
    <row r="45" spans="1:82" s="48" customFormat="1" outlineLevel="1" x14ac:dyDescent="0.3">
      <c r="A45" s="202">
        <v>28701000</v>
      </c>
      <c r="B45" s="48">
        <f>VLOOKUP(C45,'NCES ID'!$A$2:$B$3136,2,FALSE)</f>
        <v>400632</v>
      </c>
      <c r="C45" s="48">
        <f>VLOOKUP(A45,'State ID'!$A$2:$B$713,2,FALSE)</f>
        <v>81027</v>
      </c>
      <c r="D45" s="48" t="s">
        <v>108</v>
      </c>
      <c r="E45" s="48" t="s">
        <v>54</v>
      </c>
      <c r="F45" s="755"/>
      <c r="G45" s="755"/>
      <c r="H45" s="755"/>
      <c r="I45" s="755"/>
      <c r="J45" s="755"/>
      <c r="K45" s="755"/>
      <c r="L45" s="454"/>
      <c r="M45" s="455"/>
      <c r="N45" s="456"/>
      <c r="O45" s="209">
        <f>VLOOKUP($C45,'Final SEA Counts'!$A$2:$F$709,5,FALSE)</f>
        <v>359</v>
      </c>
      <c r="P45" s="223">
        <f>VLOOKUP($C45,'Final SEA Counts'!$A$2:$F$709,6,FALSE)</f>
        <v>238</v>
      </c>
      <c r="Q45" s="749"/>
      <c r="R45" s="454">
        <f>O45</f>
        <v>359</v>
      </c>
      <c r="S45" s="455">
        <f>P45*$B$50</f>
        <v>111.88133815569871</v>
      </c>
      <c r="T45" s="230">
        <f>S45/R45</f>
        <v>0.311647181492197</v>
      </c>
      <c r="U45" s="264" t="str">
        <f>IFERROR(VLOOKUP($B45,#REF!,8,FALSE),"")</f>
        <v/>
      </c>
      <c r="V45" s="265" t="str">
        <f>IFERROR(VLOOKUP($B45,#REF!,9,FALSE),"")</f>
        <v/>
      </c>
      <c r="W45" s="265" t="str">
        <f>IFERROR(VLOOKUP($B45,#REF!,10,FALSE),"")</f>
        <v/>
      </c>
      <c r="X45" s="265" t="str">
        <f>IFERROR(VLOOKUP($B45,#REF!,11,FALSE),"")</f>
        <v/>
      </c>
      <c r="Y45" s="266" t="str">
        <f>IFERROR(VLOOKUP($B45,#REF!,12,FALSE),"")</f>
        <v/>
      </c>
      <c r="Z45" s="265">
        <f t="shared" si="79"/>
        <v>56564.881142323713</v>
      </c>
      <c r="AA45" s="265">
        <f t="shared" si="79"/>
        <v>13502.37175367764</v>
      </c>
      <c r="AB45" s="265">
        <f t="shared" si="79"/>
        <v>27925.405229512715</v>
      </c>
      <c r="AC45" s="266">
        <f t="shared" si="79"/>
        <v>26918.866921187375</v>
      </c>
      <c r="AD45" s="265">
        <f t="shared" si="59"/>
        <v>56564.881142323713</v>
      </c>
      <c r="AE45" s="265">
        <f t="shared" si="60"/>
        <v>13502.37175367764</v>
      </c>
      <c r="AF45" s="265">
        <f t="shared" si="61"/>
        <v>27925.405229512715</v>
      </c>
      <c r="AG45" s="266">
        <f t="shared" si="62"/>
        <v>26918.866921187375</v>
      </c>
      <c r="AH45" s="265">
        <f t="shared" si="80"/>
        <v>56564.881142323713</v>
      </c>
      <c r="AI45" s="265">
        <f t="shared" si="80"/>
        <v>14537.822047224738</v>
      </c>
      <c r="AJ45" s="265">
        <f t="shared" si="80"/>
        <v>27925.405229512715</v>
      </c>
      <c r="AK45" s="265">
        <f t="shared" si="80"/>
        <v>26918.866921187375</v>
      </c>
      <c r="AL45" s="266">
        <f>SUM(AH45:AK45)</f>
        <v>125946.97534024855</v>
      </c>
      <c r="AM45" s="347"/>
      <c r="AN45" s="264">
        <f>IFERROR(VLOOKUP($A45,'HH &amp; SI'!$B$4:$Z$494,'HH &amp; SI'!V$503,0),0)</f>
        <v>55793.299449333426</v>
      </c>
      <c r="AO45" s="265">
        <f>IFERROR(VLOOKUP($A45,'HH &amp; SI'!$B$4:$Z$494,'HH &amp; SI'!W$503,0),0)</f>
        <v>14058.999340651439</v>
      </c>
      <c r="AP45" s="265">
        <f>IFERROR(VLOOKUP($A45,'HH &amp; SI'!$B$4:$Z$494,'HH &amp; SI'!X$503,0),0)</f>
        <v>27671.43457201252</v>
      </c>
      <c r="AQ45" s="265">
        <f>IFERROR(VLOOKUP($A45,'HH &amp; SI'!$B$4:$Z$494,'HH &amp; SI'!Y$503,0),0)</f>
        <v>26622.26946415157</v>
      </c>
      <c r="AR45" s="266">
        <f t="shared" si="65"/>
        <v>124146.00282614895</v>
      </c>
      <c r="AS45" s="347"/>
      <c r="AT45" s="324">
        <f>IFERROR(VLOOKUP(A45,'Afton FY16 Final'!$A$5:$BV$572,'Afton FY16 Final'!$BV$587,0),0)</f>
        <v>102058.8931083768</v>
      </c>
      <c r="AU45" s="347"/>
      <c r="AV45" s="454">
        <v>0</v>
      </c>
      <c r="AW45" s="265">
        <f>IFERROR(VLOOKUP($A45,'HH &amp; SI'!$B$4:$EY$503,'HH &amp; SI'!EX$503,0),0)</f>
        <v>6953.8025904558599</v>
      </c>
      <c r="AX45" s="265">
        <f>IFERROR(VLOOKUP($A45,'HH &amp; SI'!$B$4:$EY$503,'HH &amp; SI'!EY$503,0),0)</f>
        <v>117192.20023569309</v>
      </c>
      <c r="AY45" s="265">
        <f>AX45/$AX$582*'update_State Admin 1004(b)'!$B$30*0.01</f>
        <v>1121.6135434417345</v>
      </c>
      <c r="AZ45" s="266">
        <f t="shared" si="66"/>
        <v>116070.58669225135</v>
      </c>
      <c r="BA45" s="264">
        <f t="shared" si="67"/>
        <v>1160.7058669225135</v>
      </c>
      <c r="BB45" s="265">
        <f t="shared" si="68"/>
        <v>114909.88082532884</v>
      </c>
      <c r="BC45" s="342">
        <f t="shared" si="31"/>
        <v>1.1259173730534735</v>
      </c>
      <c r="BD45" s="347"/>
      <c r="BE45" s="377" t="str">
        <f>'Original Title I &amp; II'!AZ45</f>
        <v/>
      </c>
      <c r="BF45" s="244" t="str">
        <f t="shared" si="76"/>
        <v/>
      </c>
      <c r="BG45" s="266">
        <f t="shared" si="51"/>
        <v>114909.88082532884</v>
      </c>
      <c r="BI45" s="203" t="str">
        <f>IFERROR(VLOOKUP(A45,'Title II Hold Harmless'!A$1:B$439,2, FALSE),"")</f>
        <v/>
      </c>
      <c r="BJ45" s="203">
        <f t="shared" si="77"/>
        <v>1753.5496526752781</v>
      </c>
      <c r="BK45" s="203">
        <f t="shared" si="78"/>
        <v>1755.2460223341329</v>
      </c>
      <c r="BL45" s="203" t="str">
        <f t="shared" si="69"/>
        <v/>
      </c>
      <c r="BM45" s="203">
        <f t="shared" si="70"/>
        <v>1755.2460223341329</v>
      </c>
      <c r="BN45" s="200"/>
      <c r="BP45" s="298" t="s">
        <v>1448</v>
      </c>
      <c r="BQ45" s="299" t="str">
        <f t="shared" si="34"/>
        <v>Y</v>
      </c>
      <c r="BR45" s="300" t="s">
        <v>1448</v>
      </c>
      <c r="BT45" s="298" t="str">
        <f t="shared" si="35"/>
        <v>Y</v>
      </c>
      <c r="BU45" s="299" t="str">
        <f t="shared" si="71"/>
        <v>Y</v>
      </c>
      <c r="BV45" s="299" t="str">
        <f t="shared" si="72"/>
        <v>Y</v>
      </c>
      <c r="BW45" s="300" t="str">
        <f t="shared" si="36"/>
        <v>Y</v>
      </c>
      <c r="BY45" s="355">
        <f t="shared" si="37"/>
        <v>0</v>
      </c>
      <c r="BZ45" s="356">
        <f t="shared" si="38"/>
        <v>0</v>
      </c>
      <c r="CA45" s="356">
        <f t="shared" si="39"/>
        <v>0.95</v>
      </c>
      <c r="CB45" s="357">
        <f t="shared" si="40"/>
        <v>0.95</v>
      </c>
      <c r="CD45" s="312">
        <f t="shared" si="41"/>
        <v>40</v>
      </c>
    </row>
    <row r="46" spans="1:82" s="48" customFormat="1" outlineLevel="1" x14ac:dyDescent="0.3">
      <c r="A46" s="202">
        <v>28751000</v>
      </c>
      <c r="B46" s="48">
        <f>VLOOKUP(C46,'NCES ID'!$A$2:$B$3136,2,FALSE)</f>
        <v>400284</v>
      </c>
      <c r="C46" s="48">
        <f>VLOOKUP(A46,'State ID'!$A$2:$B$713,2,FALSE)</f>
        <v>79503</v>
      </c>
      <c r="D46" s="48" t="s">
        <v>309</v>
      </c>
      <c r="E46" s="48" t="s">
        <v>54</v>
      </c>
      <c r="F46" s="755"/>
      <c r="G46" s="755"/>
      <c r="H46" s="755"/>
      <c r="I46" s="755"/>
      <c r="J46" s="755"/>
      <c r="K46" s="755"/>
      <c r="L46" s="454"/>
      <c r="M46" s="455"/>
      <c r="N46" s="456"/>
      <c r="O46" s="209">
        <f>VLOOKUP($C46,'Final SEA Counts'!$A$2:$F$709,5,FALSE)</f>
        <v>395</v>
      </c>
      <c r="P46" s="223">
        <f>VLOOKUP($C46,'Final SEA Counts'!$A$2:$F$709,6,FALSE)</f>
        <v>366</v>
      </c>
      <c r="Q46" s="749"/>
      <c r="R46" s="454">
        <f>O46</f>
        <v>395</v>
      </c>
      <c r="S46" s="455">
        <f>P46*$B$50</f>
        <v>172.05281413859549</v>
      </c>
      <c r="T46" s="230">
        <f>S46/R46</f>
        <v>0.43557674465467211</v>
      </c>
      <c r="U46" s="264" t="str">
        <f>IFERROR(VLOOKUP($B46,#REF!,8,FALSE),"")</f>
        <v/>
      </c>
      <c r="V46" s="265" t="str">
        <f>IFERROR(VLOOKUP($B46,#REF!,9,FALSE),"")</f>
        <v/>
      </c>
      <c r="W46" s="265" t="str">
        <f>IFERROR(VLOOKUP($B46,#REF!,10,FALSE),"")</f>
        <v/>
      </c>
      <c r="X46" s="265" t="str">
        <f>IFERROR(VLOOKUP($B46,#REF!,11,FALSE),"")</f>
        <v/>
      </c>
      <c r="Y46" s="266" t="str">
        <f>IFERROR(VLOOKUP($B46,#REF!,12,FALSE),"")</f>
        <v/>
      </c>
      <c r="Z46" s="265">
        <f t="shared" si="79"/>
        <v>86986.329823909575</v>
      </c>
      <c r="AA46" s="265">
        <f t="shared" si="79"/>
        <v>20764.151520361411</v>
      </c>
      <c r="AB46" s="265">
        <f t="shared" si="79"/>
        <v>42944.110563032154</v>
      </c>
      <c r="AC46" s="266">
        <f t="shared" si="79"/>
        <v>41396.240727540251</v>
      </c>
      <c r="AD46" s="265">
        <f t="shared" si="59"/>
        <v>86986.329823909575</v>
      </c>
      <c r="AE46" s="265">
        <f t="shared" si="60"/>
        <v>20764.151520361411</v>
      </c>
      <c r="AF46" s="265">
        <f t="shared" si="61"/>
        <v>42944.110563032154</v>
      </c>
      <c r="AG46" s="266">
        <f t="shared" si="62"/>
        <v>41396.240727540251</v>
      </c>
      <c r="AH46" s="265">
        <f t="shared" si="80"/>
        <v>86986.329823909575</v>
      </c>
      <c r="AI46" s="265">
        <f t="shared" si="80"/>
        <v>21799.60181390851</v>
      </c>
      <c r="AJ46" s="265">
        <f t="shared" si="80"/>
        <v>42944.110563032154</v>
      </c>
      <c r="AK46" s="265">
        <f t="shared" si="80"/>
        <v>41396.240727540251</v>
      </c>
      <c r="AL46" s="266">
        <f>SUM(AH46:AK46)</f>
        <v>193126.28292839049</v>
      </c>
      <c r="AM46" s="347"/>
      <c r="AN46" s="264">
        <f>IFERROR(VLOOKUP($A46,'HH &amp; SI'!$B$4:$Z$494,'HH &amp; SI'!V$503,0),0)</f>
        <v>101216.96658181782</v>
      </c>
      <c r="AO46" s="265">
        <f>IFERROR(VLOOKUP($A46,'HH &amp; SI'!$B$4:$Z$494,'HH &amp; SI'!W$503,0),0)</f>
        <v>24168.373276578801</v>
      </c>
      <c r="AP46" s="265">
        <f>IFERROR(VLOOKUP($A46,'HH &amp; SI'!$B$4:$Z$494,'HH &amp; SI'!X$503,0),0)</f>
        <v>50213.105551886998</v>
      </c>
      <c r="AQ46" s="265">
        <f>IFERROR(VLOOKUP($A46,'HH &amp; SI'!$B$4:$Z$494,'HH &amp; SI'!Y$503,0),0)</f>
        <v>50097.920098257557</v>
      </c>
      <c r="AR46" s="266">
        <f t="shared" si="65"/>
        <v>225696.36550854117</v>
      </c>
      <c r="AS46" s="347"/>
      <c r="AT46" s="324">
        <f>IFERROR(VLOOKUP(A46,'Afton FY16 Final'!$A$5:$BV$572,'Afton FY16 Final'!$BV$587,0),0)</f>
        <v>229166.86615475739</v>
      </c>
      <c r="AU46" s="347"/>
      <c r="AV46" s="454">
        <v>0</v>
      </c>
      <c r="AW46" s="265">
        <f>IFERROR(VLOOKUP($A46,'HH &amp; SI'!$B$4:$EY$503,'HH &amp; SI'!EX$503,0),0)</f>
        <v>0</v>
      </c>
      <c r="AX46" s="265">
        <f>IFERROR(VLOOKUP($A46,'HH &amp; SI'!$B$4:$EY$503,'HH &amp; SI'!EY$503,0),0)</f>
        <v>225696.36550854117</v>
      </c>
      <c r="AY46" s="265">
        <f>AX46/$AX$582*'update_State Admin 1004(b)'!$B$30*0.01</f>
        <v>2160.0763510783199</v>
      </c>
      <c r="AZ46" s="266">
        <f t="shared" si="66"/>
        <v>223536.28915746286</v>
      </c>
      <c r="BA46" s="264">
        <f t="shared" si="67"/>
        <v>2235.3628915746285</v>
      </c>
      <c r="BB46" s="265">
        <f t="shared" si="68"/>
        <v>221300.92626588824</v>
      </c>
      <c r="BC46" s="342">
        <f t="shared" si="31"/>
        <v>0.96567592854563344</v>
      </c>
      <c r="BD46" s="347"/>
      <c r="BE46" s="377" t="str">
        <f>'Original Title I &amp; II'!AZ46</f>
        <v/>
      </c>
      <c r="BF46" s="244" t="str">
        <f t="shared" si="76"/>
        <v/>
      </c>
      <c r="BG46" s="266">
        <f t="shared" si="51"/>
        <v>221300.92626588824</v>
      </c>
      <c r="BI46" s="203" t="str">
        <f>IFERROR(VLOOKUP(A46,'Title II Hold Harmless'!A$1:B$439,2, FALSE),"")</f>
        <v/>
      </c>
      <c r="BJ46" s="203">
        <f t="shared" si="77"/>
        <v>2570.2207617108911</v>
      </c>
      <c r="BK46" s="203">
        <f t="shared" si="78"/>
        <v>2572.7071723523422</v>
      </c>
      <c r="BL46" s="203" t="str">
        <f t="shared" si="69"/>
        <v/>
      </c>
      <c r="BM46" s="203">
        <f t="shared" si="70"/>
        <v>2572.7071723523422</v>
      </c>
      <c r="BN46" s="200"/>
      <c r="BP46" s="298" t="s">
        <v>1448</v>
      </c>
      <c r="BQ46" s="299" t="str">
        <f t="shared" si="34"/>
        <v>Y</v>
      </c>
      <c r="BR46" s="300" t="s">
        <v>1448</v>
      </c>
      <c r="BT46" s="298" t="str">
        <f t="shared" si="35"/>
        <v>Y</v>
      </c>
      <c r="BU46" s="299" t="str">
        <f t="shared" si="71"/>
        <v>Y</v>
      </c>
      <c r="BV46" s="299" t="str">
        <f t="shared" si="72"/>
        <v>Y</v>
      </c>
      <c r="BW46" s="300" t="str">
        <f t="shared" si="36"/>
        <v>Y</v>
      </c>
      <c r="BY46" s="355">
        <f t="shared" si="37"/>
        <v>0</v>
      </c>
      <c r="BZ46" s="356">
        <f t="shared" si="38"/>
        <v>0</v>
      </c>
      <c r="CA46" s="356">
        <f t="shared" si="39"/>
        <v>0.95</v>
      </c>
      <c r="CB46" s="357">
        <f t="shared" si="40"/>
        <v>0.95</v>
      </c>
      <c r="CD46" s="312">
        <f t="shared" si="41"/>
        <v>41</v>
      </c>
    </row>
    <row r="47" spans="1:82" s="48" customFormat="1" outlineLevel="1" x14ac:dyDescent="0.3">
      <c r="A47" s="202">
        <v>38708000</v>
      </c>
      <c r="B47" s="48">
        <f>VLOOKUP(C47,'NCES ID'!$A$2:$B$3136,2,FALSE)</f>
        <v>400299</v>
      </c>
      <c r="C47" s="48">
        <f>VLOOKUP(A47,'State ID'!$A$2:$B$713,2,FALSE)</f>
        <v>79671</v>
      </c>
      <c r="D47" s="48" t="s">
        <v>431</v>
      </c>
      <c r="E47" s="48" t="s">
        <v>54</v>
      </c>
      <c r="F47" s="755"/>
      <c r="G47" s="755"/>
      <c r="H47" s="755"/>
      <c r="I47" s="755"/>
      <c r="J47" s="755"/>
      <c r="K47" s="755"/>
      <c r="L47" s="454"/>
      <c r="M47" s="455"/>
      <c r="N47" s="456"/>
      <c r="O47" s="209">
        <f>VLOOKUP($C47,'Final SEA Counts'!$A$2:$F$709,5,FALSE)</f>
        <v>47</v>
      </c>
      <c r="P47" s="223">
        <f>VLOOKUP($C47,'Final SEA Counts'!$A$2:$F$709,6,FALSE)</f>
        <v>41</v>
      </c>
      <c r="Q47" s="749"/>
      <c r="R47" s="454">
        <f>O47</f>
        <v>47</v>
      </c>
      <c r="S47" s="455">
        <f>P47*$B$50</f>
        <v>19.273675900771629</v>
      </c>
      <c r="T47" s="230">
        <f>S47/R47</f>
        <v>0.4100782106547155</v>
      </c>
      <c r="U47" s="264" t="str">
        <f>IFERROR(VLOOKUP($B47,#REF!,8,FALSE),"")</f>
        <v/>
      </c>
      <c r="V47" s="265" t="str">
        <f>IFERROR(VLOOKUP($B47,#REF!,9,FALSE),"")</f>
        <v/>
      </c>
      <c r="W47" s="265" t="str">
        <f>IFERROR(VLOOKUP($B47,#REF!,10,FALSE),"")</f>
        <v/>
      </c>
      <c r="X47" s="265" t="str">
        <f>IFERROR(VLOOKUP($B47,#REF!,11,FALSE),"")</f>
        <v/>
      </c>
      <c r="Y47" s="266" t="str">
        <f>IFERROR(VLOOKUP($B47,#REF!,12,FALSE),"")</f>
        <v/>
      </c>
      <c r="Z47" s="265">
        <f t="shared" si="79"/>
        <v>9744.3702808204725</v>
      </c>
      <c r="AA47" s="265">
        <f t="shared" si="79"/>
        <v>2326.0388315158962</v>
      </c>
      <c r="AB47" s="265">
        <f t="shared" si="79"/>
        <v>4810.6790521429475</v>
      </c>
      <c r="AC47" s="266">
        <f t="shared" si="79"/>
        <v>4637.2837973474052</v>
      </c>
      <c r="AD47" s="265">
        <f t="shared" si="59"/>
        <v>9744.3702808204725</v>
      </c>
      <c r="AE47" s="265">
        <f t="shared" si="60"/>
        <v>2326.0388315158962</v>
      </c>
      <c r="AF47" s="265">
        <f t="shared" si="61"/>
        <v>4810.6790521429475</v>
      </c>
      <c r="AG47" s="266">
        <f t="shared" si="62"/>
        <v>4637.2837973474052</v>
      </c>
      <c r="AH47" s="265">
        <f t="shared" si="80"/>
        <v>9744.3702808204725</v>
      </c>
      <c r="AI47" s="265">
        <f t="shared" si="80"/>
        <v>3361.4891250629944</v>
      </c>
      <c r="AJ47" s="265">
        <f t="shared" si="80"/>
        <v>4810.6790521429475</v>
      </c>
      <c r="AK47" s="265">
        <f t="shared" si="80"/>
        <v>4637.2837973474052</v>
      </c>
      <c r="AL47" s="266">
        <f>SUM(AH47:AK47)</f>
        <v>22553.82225537382</v>
      </c>
      <c r="AM47" s="347"/>
      <c r="AN47" s="264">
        <f>IFERROR(VLOOKUP($A47,'HH &amp; SI'!$B$4:$Z$494,'HH &amp; SI'!V$503,0),0)</f>
        <v>9611.4507454734066</v>
      </c>
      <c r="AO47" s="265">
        <f>IFERROR(VLOOKUP($A47,'HH &amp; SI'!$B$4:$Z$494,'HH &amp; SI'!W$503,0),0)</f>
        <v>3250.7739632078769</v>
      </c>
      <c r="AP47" s="265">
        <f>IFERROR(VLOOKUP($A47,'HH &amp; SI'!$B$4:$Z$494,'HH &amp; SI'!X$503,0),0)</f>
        <v>4766.9278044223256</v>
      </c>
      <c r="AQ47" s="265">
        <f>IFERROR(VLOOKUP($A47,'HH &amp; SI'!$B$4:$Z$494,'HH &amp; SI'!Y$503,0),0)</f>
        <v>4586.1892774378757</v>
      </c>
      <c r="AR47" s="266">
        <f t="shared" si="65"/>
        <v>22215.341790541486</v>
      </c>
      <c r="AS47" s="347"/>
      <c r="AT47" s="324">
        <f>IFERROR(VLOOKUP(A47,'Afton FY16 Final'!$A$5:$BV$572,'Afton FY16 Final'!$BV$587,0),0)</f>
        <v>17232.896032385292</v>
      </c>
      <c r="AU47" s="347"/>
      <c r="AV47" s="454">
        <v>0</v>
      </c>
      <c r="AW47" s="265">
        <f>IFERROR(VLOOKUP($A47,'HH &amp; SI'!$B$4:$EY$503,'HH &amp; SI'!EX$503,0),0)</f>
        <v>1244.350182641494</v>
      </c>
      <c r="AX47" s="265">
        <f>IFERROR(VLOOKUP($A47,'HH &amp; SI'!$B$4:$EY$503,'HH &amp; SI'!EY$503,0),0)</f>
        <v>20970.991607899992</v>
      </c>
      <c r="AY47" s="265">
        <f>AX47/$AX$582*'update_State Admin 1004(b)'!$B$30*0.01</f>
        <v>200.70745458757688</v>
      </c>
      <c r="AZ47" s="266">
        <f t="shared" si="66"/>
        <v>20770.284153312416</v>
      </c>
      <c r="BA47" s="264">
        <f t="shared" si="67"/>
        <v>207.70284153312417</v>
      </c>
      <c r="BB47" s="265">
        <f t="shared" si="68"/>
        <v>20562.581311779293</v>
      </c>
      <c r="BC47" s="342">
        <f t="shared" si="31"/>
        <v>1.1932168146976931</v>
      </c>
      <c r="BD47" s="347"/>
      <c r="BE47" s="377" t="str">
        <f>'Original Title I &amp; II'!AZ47</f>
        <v/>
      </c>
      <c r="BF47" s="244" t="str">
        <f t="shared" si="76"/>
        <v/>
      </c>
      <c r="BG47" s="266">
        <f t="shared" si="51"/>
        <v>20562.581311779293</v>
      </c>
      <c r="BI47" s="203" t="str">
        <f>IFERROR(VLOOKUP(A47,'Title II Hold Harmless'!A$1:B$439,2, FALSE),"")</f>
        <v/>
      </c>
      <c r="BJ47" s="203">
        <f t="shared" si="77"/>
        <v>290.13520359963047</v>
      </c>
      <c r="BK47" s="203">
        <f t="shared" si="78"/>
        <v>290.41587803368549</v>
      </c>
      <c r="BL47" s="203" t="str">
        <f t="shared" si="69"/>
        <v/>
      </c>
      <c r="BM47" s="203">
        <f t="shared" si="70"/>
        <v>290.41587803368549</v>
      </c>
      <c r="BN47" s="200"/>
      <c r="BP47" s="298" t="s">
        <v>1448</v>
      </c>
      <c r="BQ47" s="299" t="str">
        <f t="shared" si="34"/>
        <v>Y</v>
      </c>
      <c r="BR47" s="300" t="s">
        <v>1448</v>
      </c>
      <c r="BT47" s="298" t="str">
        <f t="shared" si="35"/>
        <v>Y</v>
      </c>
      <c r="BU47" s="299" t="str">
        <f t="shared" si="71"/>
        <v>Y</v>
      </c>
      <c r="BV47" s="299" t="str">
        <f t="shared" si="72"/>
        <v>Y</v>
      </c>
      <c r="BW47" s="300" t="str">
        <f t="shared" si="36"/>
        <v>Y</v>
      </c>
      <c r="BY47" s="355">
        <f t="shared" si="37"/>
        <v>0</v>
      </c>
      <c r="BZ47" s="356">
        <f t="shared" si="38"/>
        <v>0</v>
      </c>
      <c r="CA47" s="356">
        <f t="shared" si="39"/>
        <v>0.95</v>
      </c>
      <c r="CB47" s="357">
        <f t="shared" si="40"/>
        <v>0.95</v>
      </c>
      <c r="CD47" s="312">
        <f t="shared" si="41"/>
        <v>42</v>
      </c>
    </row>
    <row r="48" spans="1:82" s="48" customFormat="1" outlineLevel="1" x14ac:dyDescent="0.3">
      <c r="A48" s="202"/>
      <c r="D48" s="48" t="s">
        <v>1411</v>
      </c>
      <c r="F48" s="755"/>
      <c r="G48" s="755"/>
      <c r="H48" s="755"/>
      <c r="I48" s="755"/>
      <c r="J48" s="755"/>
      <c r="K48" s="755"/>
      <c r="L48" s="454"/>
      <c r="M48" s="455"/>
      <c r="N48" s="456"/>
      <c r="O48" s="211">
        <f>'AVA Metrics'!C3</f>
        <v>110.80087276067982</v>
      </c>
      <c r="P48" s="212">
        <f>'AVA Metrics'!D3</f>
        <v>57.971061093247584</v>
      </c>
      <c r="Q48" s="749"/>
      <c r="R48" s="454">
        <f>O48</f>
        <v>110.80087276067982</v>
      </c>
      <c r="S48" s="455">
        <f>P48*$B$50</f>
        <v>27.251596174026481</v>
      </c>
      <c r="T48" s="230">
        <f>S48/R48</f>
        <v>0.24595109672906224</v>
      </c>
      <c r="U48" s="264"/>
      <c r="V48" s="265"/>
      <c r="W48" s="265"/>
      <c r="X48" s="265"/>
      <c r="Y48" s="266"/>
      <c r="Z48" s="265">
        <f t="shared" si="79"/>
        <v>13777.841094260237</v>
      </c>
      <c r="AA48" s="265">
        <f t="shared" si="79"/>
        <v>3288.8521757822982</v>
      </c>
      <c r="AB48" s="265">
        <f t="shared" si="79"/>
        <v>6801.955347116711</v>
      </c>
      <c r="AC48" s="266">
        <f t="shared" si="79"/>
        <v>6556.7868859208193</v>
      </c>
      <c r="AD48" s="265">
        <f t="shared" si="59"/>
        <v>13777.841094260237</v>
      </c>
      <c r="AE48" s="265">
        <f t="shared" si="60"/>
        <v>3288.8521757822982</v>
      </c>
      <c r="AF48" s="265">
        <f t="shared" si="61"/>
        <v>6801.955347116711</v>
      </c>
      <c r="AG48" s="266">
        <f t="shared" si="62"/>
        <v>6556.7868859208193</v>
      </c>
      <c r="AH48" s="265">
        <f t="shared" si="80"/>
        <v>13777.841094260237</v>
      </c>
      <c r="AI48" s="265">
        <f t="shared" si="80"/>
        <v>4324.3024693293964</v>
      </c>
      <c r="AJ48" s="265">
        <f t="shared" si="80"/>
        <v>6801.955347116711</v>
      </c>
      <c r="AK48" s="265">
        <f t="shared" si="80"/>
        <v>6556.7868859208193</v>
      </c>
      <c r="AL48" s="266">
        <f>SUM(AH48:AK48)</f>
        <v>31460.885796627161</v>
      </c>
      <c r="AM48" s="347"/>
      <c r="AN48" s="264">
        <f>IFERROR(VLOOKUP($A48,'HH &amp; SI'!$B$4:$Z$494,'HH &amp; SI'!V$503,0),0)</f>
        <v>0</v>
      </c>
      <c r="AO48" s="265">
        <f>IFERROR(VLOOKUP($A48,'HH &amp; SI'!$B$4:$Z$494,'HH &amp; SI'!W$503,0),0)</f>
        <v>0</v>
      </c>
      <c r="AP48" s="265">
        <f>IFERROR(VLOOKUP($A48,'HH &amp; SI'!$B$4:$Z$494,'HH &amp; SI'!X$503,0),0)</f>
        <v>0</v>
      </c>
      <c r="AQ48" s="265">
        <f>IFERROR(VLOOKUP($A48,'HH &amp; SI'!$B$4:$Z$494,'HH &amp; SI'!Y$503,0),0)</f>
        <v>0</v>
      </c>
      <c r="AR48" s="266">
        <f t="shared" si="65"/>
        <v>0</v>
      </c>
      <c r="AS48" s="347"/>
      <c r="AT48" s="324">
        <f>IFERROR(VLOOKUP(A48,'Afton FY16 Final'!$A$5:$BV$572,'Afton FY16 Final'!$BV$587,0),0)</f>
        <v>0</v>
      </c>
      <c r="AU48" s="347"/>
      <c r="AV48" s="454">
        <v>0</v>
      </c>
      <c r="AW48" s="265">
        <f>IFERROR(VLOOKUP($A48,'HH &amp; SI'!$B$4:$EY$503,'HH &amp; SI'!EX$503,0),0)</f>
        <v>0</v>
      </c>
      <c r="AX48" s="265">
        <f>IFERROR(VLOOKUP($A48,'HH &amp; SI'!$B$4:$EY$503,'HH &amp; SI'!EY$503,0),0)</f>
        <v>0</v>
      </c>
      <c r="AY48" s="265"/>
      <c r="AZ48" s="266"/>
      <c r="BA48" s="264"/>
      <c r="BB48" s="265"/>
      <c r="BC48" s="342" t="str">
        <f t="shared" si="31"/>
        <v/>
      </c>
      <c r="BD48" s="347"/>
      <c r="BE48" s="377">
        <f>'Original Title I &amp; II'!AZ48</f>
        <v>0</v>
      </c>
      <c r="BF48" s="244"/>
      <c r="BG48" s="266">
        <f t="shared" si="51"/>
        <v>0</v>
      </c>
      <c r="BI48" s="203"/>
      <c r="BJ48" s="203"/>
      <c r="BK48" s="203"/>
      <c r="BL48" s="203"/>
      <c r="BM48" s="203"/>
      <c r="BN48" s="200"/>
      <c r="BP48" s="298" t="s">
        <v>1448</v>
      </c>
      <c r="BQ48" s="299" t="str">
        <f t="shared" si="34"/>
        <v>Y</v>
      </c>
      <c r="BR48" s="300" t="s">
        <v>1448</v>
      </c>
      <c r="BT48" s="298" t="str">
        <f t="shared" si="35"/>
        <v>Y</v>
      </c>
      <c r="BU48" s="299" t="str">
        <f t="shared" si="71"/>
        <v>Y</v>
      </c>
      <c r="BV48" s="299" t="str">
        <f t="shared" si="72"/>
        <v>Y</v>
      </c>
      <c r="BW48" s="300" t="str">
        <f t="shared" si="36"/>
        <v>Y</v>
      </c>
      <c r="BY48" s="355">
        <f t="shared" si="37"/>
        <v>0</v>
      </c>
      <c r="BZ48" s="356">
        <f t="shared" si="38"/>
        <v>0.9</v>
      </c>
      <c r="CA48" s="356">
        <f t="shared" si="39"/>
        <v>0</v>
      </c>
      <c r="CB48" s="357">
        <f t="shared" si="40"/>
        <v>0.9</v>
      </c>
      <c r="CD48" s="312">
        <f t="shared" si="41"/>
        <v>43</v>
      </c>
    </row>
    <row r="49" spans="1:82" s="197" customFormat="1" outlineLevel="1" x14ac:dyDescent="0.3">
      <c r="A49" s="196"/>
      <c r="D49" s="197" t="s">
        <v>878</v>
      </c>
      <c r="F49" s="756"/>
      <c r="G49" s="756"/>
      <c r="H49" s="756"/>
      <c r="I49" s="756"/>
      <c r="J49" s="756"/>
      <c r="K49" s="756"/>
      <c r="L49" s="757"/>
      <c r="M49" s="758"/>
      <c r="N49" s="768"/>
      <c r="O49" s="214"/>
      <c r="P49" s="216"/>
      <c r="Q49" s="750"/>
      <c r="R49" s="757">
        <f>SUM(R44:R48)</f>
        <v>2058.8008727606798</v>
      </c>
      <c r="S49" s="758">
        <f>SUM(S44:S48)</f>
        <v>786.91648045809848</v>
      </c>
      <c r="T49" s="231"/>
      <c r="U49" s="267"/>
      <c r="V49" s="268"/>
      <c r="W49" s="268"/>
      <c r="X49" s="268"/>
      <c r="Y49" s="269"/>
      <c r="Z49" s="268">
        <f>SUM(Z44:Z48)</f>
        <v>397848.6306992817</v>
      </c>
      <c r="AA49" s="268">
        <f>SUM(AA44:AA48)</f>
        <v>94968.821730164927</v>
      </c>
      <c r="AB49" s="268">
        <f>SUM(AB44:AB48)</f>
        <v>196413.11018279969</v>
      </c>
      <c r="AC49" s="269">
        <f>SUM(AC44:AC48)</f>
        <v>189333.63119112584</v>
      </c>
      <c r="AD49" s="268"/>
      <c r="AE49" s="268"/>
      <c r="AF49" s="268"/>
      <c r="AG49" s="269"/>
      <c r="AH49" s="268"/>
      <c r="AI49" s="268"/>
      <c r="AJ49" s="268"/>
      <c r="AK49" s="268"/>
      <c r="AL49" s="269"/>
      <c r="AM49" s="348"/>
      <c r="AN49" s="267"/>
      <c r="AO49" s="268"/>
      <c r="AP49" s="268"/>
      <c r="AQ49" s="268"/>
      <c r="AR49" s="269"/>
      <c r="AS49" s="348"/>
      <c r="AT49" s="325"/>
      <c r="AU49" s="348"/>
      <c r="AV49" s="757"/>
      <c r="AW49" s="268"/>
      <c r="AX49" s="268"/>
      <c r="AY49" s="268"/>
      <c r="AZ49" s="269"/>
      <c r="BA49" s="267"/>
      <c r="BB49" s="268"/>
      <c r="BC49" s="343" t="str">
        <f t="shared" si="31"/>
        <v/>
      </c>
      <c r="BD49" s="348"/>
      <c r="BE49" s="371"/>
      <c r="BF49" s="369"/>
      <c r="BG49" s="269"/>
      <c r="BI49" s="198"/>
      <c r="BL49" s="198"/>
      <c r="BN49" s="199"/>
      <c r="BP49" s="301" t="s">
        <v>1450</v>
      </c>
      <c r="BQ49" s="302" t="str">
        <f t="shared" si="34"/>
        <v>N</v>
      </c>
      <c r="BR49" s="303" t="s">
        <v>1448</v>
      </c>
      <c r="BT49" s="301" t="str">
        <f t="shared" si="35"/>
        <v>N</v>
      </c>
      <c r="BU49" s="302" t="s">
        <v>1450</v>
      </c>
      <c r="BV49" s="302" t="s">
        <v>1450</v>
      </c>
      <c r="BW49" s="303" t="s">
        <v>1450</v>
      </c>
      <c r="BY49" s="358">
        <f t="shared" si="37"/>
        <v>0.85</v>
      </c>
      <c r="BZ49" s="359">
        <f t="shared" si="38"/>
        <v>0</v>
      </c>
      <c r="CA49" s="359">
        <f t="shared" si="39"/>
        <v>0</v>
      </c>
      <c r="CB49" s="360">
        <f t="shared" si="40"/>
        <v>0.85</v>
      </c>
      <c r="CD49" s="313">
        <f t="shared" si="41"/>
        <v>44</v>
      </c>
    </row>
    <row r="50" spans="1:82" s="197" customFormat="1" outlineLevel="1" x14ac:dyDescent="0.3">
      <c r="A50" s="196" t="s">
        <v>880</v>
      </c>
      <c r="B50" s="197">
        <f>M50/P50</f>
        <v>0.47008965611638115</v>
      </c>
      <c r="D50" s="197" t="s">
        <v>879</v>
      </c>
      <c r="F50" s="756">
        <f t="shared" ref="F50:K50" si="81">SUM(F22:F48)</f>
        <v>5209</v>
      </c>
      <c r="G50" s="756">
        <f t="shared" si="81"/>
        <v>24</v>
      </c>
      <c r="H50" s="756">
        <f t="shared" si="81"/>
        <v>0</v>
      </c>
      <c r="I50" s="756">
        <f t="shared" si="81"/>
        <v>134</v>
      </c>
      <c r="J50" s="756">
        <f t="shared" si="81"/>
        <v>0</v>
      </c>
      <c r="K50" s="756">
        <f t="shared" si="81"/>
        <v>5233</v>
      </c>
      <c r="L50" s="757">
        <f>SUM(L22:L48)</f>
        <v>20282</v>
      </c>
      <c r="M50" s="758">
        <f>SUM(M22:M48)</f>
        <v>5367</v>
      </c>
      <c r="N50" s="768"/>
      <c r="O50" s="217">
        <f>SUM(O22:O48)</f>
        <v>18215.800872760679</v>
      </c>
      <c r="P50" s="218">
        <f>SUM(P22:P48)</f>
        <v>11416.971061093247</v>
      </c>
      <c r="Q50" s="750"/>
      <c r="R50" s="757">
        <f>SUM(R22:R48)</f>
        <v>20282</v>
      </c>
      <c r="S50" s="758">
        <f>SUM(S22:S48)</f>
        <v>5366.9999999999991</v>
      </c>
      <c r="T50" s="231"/>
      <c r="U50" s="267">
        <f>SUM(U22:U48)</f>
        <v>2713443.7440171801</v>
      </c>
      <c r="V50" s="268">
        <f t="shared" ref="V50:AL50" si="82">SUM(V22:V48)</f>
        <v>647715.07381453982</v>
      </c>
      <c r="W50" s="268">
        <f t="shared" si="82"/>
        <v>1339594.720061549</v>
      </c>
      <c r="X50" s="268">
        <f t="shared" si="82"/>
        <v>1291310.6077168761</v>
      </c>
      <c r="Y50" s="269">
        <f t="shared" si="82"/>
        <v>5992064.1456101444</v>
      </c>
      <c r="Z50" s="268">
        <f t="shared" si="82"/>
        <v>2713443.7440171805</v>
      </c>
      <c r="AA50" s="268">
        <f t="shared" si="82"/>
        <v>647715.07381453994</v>
      </c>
      <c r="AB50" s="268">
        <f t="shared" si="82"/>
        <v>1339594.720061549</v>
      </c>
      <c r="AC50" s="269">
        <f t="shared" si="82"/>
        <v>1291310.6077168763</v>
      </c>
      <c r="AD50" s="268">
        <f t="shared" si="82"/>
        <v>2713443.7440171805</v>
      </c>
      <c r="AE50" s="268">
        <f t="shared" si="82"/>
        <v>624935.16735650378</v>
      </c>
      <c r="AF50" s="268">
        <f t="shared" si="82"/>
        <v>1339594.720061549</v>
      </c>
      <c r="AG50" s="269">
        <f t="shared" si="82"/>
        <v>1291310.6077168763</v>
      </c>
      <c r="AH50" s="268">
        <f t="shared" si="82"/>
        <v>2713443.7440171805</v>
      </c>
      <c r="AI50" s="268">
        <f t="shared" si="82"/>
        <v>647715.07381453994</v>
      </c>
      <c r="AJ50" s="268">
        <f t="shared" si="82"/>
        <v>1339594.720061549</v>
      </c>
      <c r="AK50" s="268">
        <f t="shared" si="82"/>
        <v>1291310.6077168763</v>
      </c>
      <c r="AL50" s="269">
        <f t="shared" si="82"/>
        <v>5992064.1456101453</v>
      </c>
      <c r="AM50" s="348"/>
      <c r="AN50" s="267">
        <f t="shared" ref="AN50:AR50" si="83">SUM(AN22:AN48)</f>
        <v>2685464.9568715594</v>
      </c>
      <c r="AO50" s="268">
        <f t="shared" ref="AO50" si="84">SUM(AO22:AO48)</f>
        <v>651967.31261444115</v>
      </c>
      <c r="AP50" s="268">
        <f t="shared" si="83"/>
        <v>1330144.696549</v>
      </c>
      <c r="AQ50" s="268">
        <f t="shared" si="83"/>
        <v>1288156.8743828528</v>
      </c>
      <c r="AR50" s="269">
        <f t="shared" si="83"/>
        <v>5955733.8404178536</v>
      </c>
      <c r="AS50" s="348"/>
      <c r="AT50" s="325">
        <f t="shared" ref="AT50:BB50" si="85">SUM(AT22:AT48)</f>
        <v>5805441.3190244306</v>
      </c>
      <c r="AU50" s="348"/>
      <c r="AV50" s="757">
        <f t="shared" si="85"/>
        <v>0</v>
      </c>
      <c r="AW50" s="268">
        <f t="shared" si="85"/>
        <v>123495.1461186338</v>
      </c>
      <c r="AX50" s="268">
        <f t="shared" si="85"/>
        <v>5832238.6942992182</v>
      </c>
      <c r="AY50" s="268">
        <f t="shared" si="85"/>
        <v>55818.714001058579</v>
      </c>
      <c r="AZ50" s="269">
        <f t="shared" si="85"/>
        <v>5776419.9802981615</v>
      </c>
      <c r="BA50" s="267">
        <f t="shared" si="85"/>
        <v>57764.19980298161</v>
      </c>
      <c r="BB50" s="268">
        <f t="shared" si="85"/>
        <v>5718655.780495178</v>
      </c>
      <c r="BC50" s="343">
        <f t="shared" si="31"/>
        <v>0.98505100064574658</v>
      </c>
      <c r="BD50" s="348"/>
      <c r="BE50" s="371">
        <f t="shared" ref="BE50:BG50" si="86">SUM(BE22:BE48)</f>
        <v>0</v>
      </c>
      <c r="BF50" s="369">
        <f t="shared" si="86"/>
        <v>0</v>
      </c>
      <c r="BG50" s="269">
        <f t="shared" si="86"/>
        <v>5718655.780495178</v>
      </c>
      <c r="BI50" s="198"/>
      <c r="BL50" s="198"/>
      <c r="BN50" s="199"/>
      <c r="BP50" s="301" t="s">
        <v>1450</v>
      </c>
      <c r="BQ50" s="302" t="str">
        <f t="shared" si="34"/>
        <v>N</v>
      </c>
      <c r="BR50" s="303" t="s">
        <v>1448</v>
      </c>
      <c r="BT50" s="301" t="str">
        <f t="shared" si="35"/>
        <v>N</v>
      </c>
      <c r="BU50" s="302" t="s">
        <v>1450</v>
      </c>
      <c r="BV50" s="302" t="s">
        <v>1450</v>
      </c>
      <c r="BW50" s="303" t="s">
        <v>1450</v>
      </c>
      <c r="BY50" s="358">
        <f t="shared" si="37"/>
        <v>0.85</v>
      </c>
      <c r="BZ50" s="359">
        <f t="shared" si="38"/>
        <v>0</v>
      </c>
      <c r="CA50" s="359">
        <f t="shared" si="39"/>
        <v>0</v>
      </c>
      <c r="CB50" s="360">
        <f t="shared" si="40"/>
        <v>0.85</v>
      </c>
      <c r="CD50" s="313">
        <f t="shared" si="41"/>
        <v>45</v>
      </c>
    </row>
    <row r="51" spans="1:82" s="197" customFormat="1" outlineLevel="1" x14ac:dyDescent="0.3">
      <c r="A51" s="196"/>
      <c r="F51" s="756"/>
      <c r="G51" s="756"/>
      <c r="H51" s="756"/>
      <c r="I51" s="756"/>
      <c r="J51" s="756"/>
      <c r="K51" s="756"/>
      <c r="L51" s="757"/>
      <c r="M51" s="758"/>
      <c r="N51" s="768"/>
      <c r="O51" s="214"/>
      <c r="P51" s="216"/>
      <c r="Q51" s="750"/>
      <c r="R51" s="757"/>
      <c r="S51" s="758"/>
      <c r="T51" s="231"/>
      <c r="U51" s="267">
        <f>U50/$S50</f>
        <v>505.57923309431351</v>
      </c>
      <c r="V51" s="268">
        <f>V50/$S50</f>
        <v>120.68475383166385</v>
      </c>
      <c r="W51" s="268">
        <f>W50/$S50</f>
        <v>249.59841998538275</v>
      </c>
      <c r="X51" s="268">
        <f>X50/$S50</f>
        <v>240.60193920567846</v>
      </c>
      <c r="Y51" s="269" t="str">
        <f>IFERROR(VLOOKUP($B51,#REF!,12,FALSE),"")</f>
        <v/>
      </c>
      <c r="Z51" s="268"/>
      <c r="AA51" s="268"/>
      <c r="AB51" s="268"/>
      <c r="AC51" s="269"/>
      <c r="AD51" s="268">
        <f>(Z50-AD50)/COUNT(AD22:AD48)</f>
        <v>0</v>
      </c>
      <c r="AE51" s="268">
        <f t="shared" ref="AE51:AG51" si="87">(AA50-AE50)/COUNT(AE22:AE48)</f>
        <v>1035.4502935470982</v>
      </c>
      <c r="AF51" s="268">
        <f t="shared" si="87"/>
        <v>0</v>
      </c>
      <c r="AG51" s="269">
        <f t="shared" si="87"/>
        <v>0</v>
      </c>
      <c r="AH51" s="268"/>
      <c r="AI51" s="268"/>
      <c r="AJ51" s="268"/>
      <c r="AK51" s="268"/>
      <c r="AL51" s="280"/>
      <c r="AM51" s="348"/>
      <c r="AN51" s="267"/>
      <c r="AO51" s="268"/>
      <c r="AP51" s="268"/>
      <c r="AQ51" s="268"/>
      <c r="AR51" s="280"/>
      <c r="AS51" s="348"/>
      <c r="AT51" s="325"/>
      <c r="AU51" s="348"/>
      <c r="AV51" s="757"/>
      <c r="AW51" s="268"/>
      <c r="AX51" s="268"/>
      <c r="AY51" s="268"/>
      <c r="AZ51" s="269"/>
      <c r="BA51" s="267"/>
      <c r="BB51" s="268"/>
      <c r="BC51" s="343" t="str">
        <f t="shared" si="31"/>
        <v/>
      </c>
      <c r="BD51" s="348"/>
      <c r="BE51" s="371"/>
      <c r="BF51" s="369"/>
      <c r="BG51" s="269"/>
      <c r="BI51" s="198"/>
      <c r="BL51" s="198"/>
      <c r="BN51" s="199"/>
      <c r="BP51" s="301" t="s">
        <v>1450</v>
      </c>
      <c r="BQ51" s="302" t="str">
        <f t="shared" si="34"/>
        <v>N</v>
      </c>
      <c r="BR51" s="303" t="s">
        <v>1448</v>
      </c>
      <c r="BT51" s="301" t="str">
        <f t="shared" si="35"/>
        <v>N</v>
      </c>
      <c r="BU51" s="302" t="s">
        <v>1450</v>
      </c>
      <c r="BV51" s="302" t="s">
        <v>1450</v>
      </c>
      <c r="BW51" s="303" t="s">
        <v>1450</v>
      </c>
      <c r="BY51" s="358">
        <f t="shared" si="37"/>
        <v>0.85</v>
      </c>
      <c r="BZ51" s="359">
        <f t="shared" si="38"/>
        <v>0</v>
      </c>
      <c r="CA51" s="359">
        <f t="shared" si="39"/>
        <v>0</v>
      </c>
      <c r="CB51" s="360">
        <f t="shared" si="40"/>
        <v>0.85</v>
      </c>
      <c r="CD51" s="313">
        <f t="shared" si="41"/>
        <v>46</v>
      </c>
    </row>
    <row r="52" spans="1:82" s="199" customFormat="1" outlineLevel="1" x14ac:dyDescent="0.3">
      <c r="A52" s="201"/>
      <c r="F52" s="759"/>
      <c r="G52" s="759"/>
      <c r="H52" s="759"/>
      <c r="I52" s="759"/>
      <c r="J52" s="759"/>
      <c r="K52" s="759"/>
      <c r="L52" s="509"/>
      <c r="M52" s="510"/>
      <c r="N52" s="511"/>
      <c r="O52" s="220"/>
      <c r="P52" s="222"/>
      <c r="Q52" s="751"/>
      <c r="R52" s="509"/>
      <c r="S52" s="510"/>
      <c r="T52" s="232"/>
      <c r="U52" s="270" t="str">
        <f>IFERROR(VLOOKUP($B52,#REF!,8,FALSE),"")</f>
        <v/>
      </c>
      <c r="V52" s="271" t="str">
        <f>IFERROR(VLOOKUP($B52,#REF!,9,FALSE),"")</f>
        <v/>
      </c>
      <c r="W52" s="271" t="str">
        <f>IFERROR(VLOOKUP($B52,#REF!,10,FALSE),"")</f>
        <v/>
      </c>
      <c r="X52" s="271" t="str">
        <f>IFERROR(VLOOKUP($B52,#REF!,11,FALSE),"")</f>
        <v/>
      </c>
      <c r="Y52" s="272" t="str">
        <f>IFERROR(VLOOKUP($B52,#REF!,12,FALSE),"")</f>
        <v/>
      </c>
      <c r="Z52" s="271"/>
      <c r="AA52" s="271"/>
      <c r="AB52" s="271"/>
      <c r="AC52" s="272"/>
      <c r="AD52" s="271"/>
      <c r="AE52" s="271"/>
      <c r="AF52" s="271"/>
      <c r="AG52" s="272"/>
      <c r="AH52" s="271"/>
      <c r="AI52" s="271"/>
      <c r="AJ52" s="271"/>
      <c r="AK52" s="271"/>
      <c r="AL52" s="272"/>
      <c r="AM52" s="349"/>
      <c r="AN52" s="270"/>
      <c r="AO52" s="271"/>
      <c r="AP52" s="271"/>
      <c r="AQ52" s="271"/>
      <c r="AR52" s="272"/>
      <c r="AS52" s="349"/>
      <c r="AT52" s="326"/>
      <c r="AU52" s="349"/>
      <c r="AV52" s="509"/>
      <c r="AW52" s="271"/>
      <c r="AX52" s="271"/>
      <c r="AY52" s="271"/>
      <c r="AZ52" s="272"/>
      <c r="BA52" s="270"/>
      <c r="BB52" s="271"/>
      <c r="BC52" s="344" t="str">
        <f t="shared" si="31"/>
        <v/>
      </c>
      <c r="BD52" s="349"/>
      <c r="BE52" s="378">
        <f>'Original Title I &amp; II'!AZ52</f>
        <v>0</v>
      </c>
      <c r="BF52" s="245"/>
      <c r="BG52" s="272">
        <f t="shared" ref="BG52:BG66" si="88">IF(BF52&lt;0,BB52+BF52,BB52)</f>
        <v>0</v>
      </c>
      <c r="BI52" s="200"/>
      <c r="BL52" s="200"/>
      <c r="BP52" s="304" t="s">
        <v>1450</v>
      </c>
      <c r="BQ52" s="305" t="str">
        <f t="shared" si="34"/>
        <v>N</v>
      </c>
      <c r="BR52" s="306" t="s">
        <v>1448</v>
      </c>
      <c r="BT52" s="304" t="str">
        <f t="shared" si="35"/>
        <v>N</v>
      </c>
      <c r="BU52" s="305" t="s">
        <v>1450</v>
      </c>
      <c r="BV52" s="305" t="s">
        <v>1450</v>
      </c>
      <c r="BW52" s="306" t="s">
        <v>1450</v>
      </c>
      <c r="BY52" s="361">
        <f t="shared" si="37"/>
        <v>0.85</v>
      </c>
      <c r="BZ52" s="362">
        <f t="shared" si="38"/>
        <v>0</v>
      </c>
      <c r="CA52" s="362">
        <f t="shared" si="39"/>
        <v>0</v>
      </c>
      <c r="CB52" s="363">
        <f t="shared" si="40"/>
        <v>0.85</v>
      </c>
      <c r="CD52" s="314">
        <f t="shared" si="41"/>
        <v>47</v>
      </c>
    </row>
    <row r="53" spans="1:82" outlineLevel="1" x14ac:dyDescent="0.3">
      <c r="A53" s="1">
        <v>30310000</v>
      </c>
      <c r="B53" s="47">
        <f>VLOOKUP(C53,'NCES ID'!$A$2:$B$3136,2,FALSE)</f>
        <v>404530</v>
      </c>
      <c r="C53" s="47">
        <f>VLOOKUP(A53,'State ID'!$A$2:$B$713,2,FALSE)</f>
        <v>4199</v>
      </c>
      <c r="D53" s="147" t="s">
        <v>267</v>
      </c>
      <c r="E53" s="47" t="s">
        <v>163</v>
      </c>
      <c r="F53" s="382">
        <f>IFERROR(VLOOKUP($B53,'update_Formula counts'!$D$7:$R$234,'update_Formula counts'!F$5,0),0)</f>
        <v>24</v>
      </c>
      <c r="G53" s="382">
        <f>IFERROR(VLOOKUP($B53,'update_Formula counts'!$D$7:$R$234,'update_Formula counts'!G$5,0),0)</f>
        <v>0</v>
      </c>
      <c r="H53" s="382">
        <f>IFERROR(VLOOKUP($B53,'update_Formula counts'!$D$7:$R$234,'update_Formula counts'!H$5,0),0)</f>
        <v>0</v>
      </c>
      <c r="I53" s="382">
        <f>IFERROR(VLOOKUP($B53,'update_Formula counts'!$D$7:$R$234,'update_Formula counts'!I$5,0),0)</f>
        <v>0</v>
      </c>
      <c r="J53" s="382">
        <f>IFERROR(VLOOKUP($B53,'update_Formula counts'!$D$7:$R$234,'update_Formula counts'!J$5,0),0)</f>
        <v>0</v>
      </c>
      <c r="K53" s="382">
        <f t="shared" ref="K53:K61" si="89">M53-I53</f>
        <v>24</v>
      </c>
      <c r="L53" s="444">
        <f>IFERROR(VLOOKUP($B53,'update_Formula counts'!$D$7:$R$234,'update_Formula counts'!L$5,0),0)</f>
        <v>157</v>
      </c>
      <c r="M53" s="445">
        <f>IFERROR(VLOOKUP($B53,'update_Formula counts'!$D$7:$R$234,'update_Formula counts'!K$5,0),0)</f>
        <v>24</v>
      </c>
      <c r="N53" s="446">
        <f>IFERROR(VLOOKUP($B53,'update_Formula counts'!$D$7:$R$234,'update_Formula counts'!M$5,0),0)</f>
        <v>0.15286624203821655</v>
      </c>
      <c r="O53" s="137">
        <f>VLOOKUP($C53,'Final SEA Counts'!$A$2:$F$709,5,FALSE)</f>
        <v>123</v>
      </c>
      <c r="P53" s="208">
        <f>VLOOKUP($C53,'Final SEA Counts'!$A$2:$F$709,6,FALSE)</f>
        <v>59</v>
      </c>
      <c r="Q53" s="748">
        <f t="shared" ref="Q53:Q60" si="90">-F53/($F$68-$F$61)*$S$67+(M53/($M$68-$M$61)*$M$61)</f>
        <v>-1.2457106853782991</v>
      </c>
      <c r="R53" s="444">
        <f t="shared" ref="R53:R60" si="91">L53-(L53/(L$68-L$61))*R$67+(L53/(L$68-L$61))*L$61</f>
        <v>151.10245626957214</v>
      </c>
      <c r="S53" s="445">
        <f t="shared" ref="S53:S60" si="92">Q53+K53+I53</f>
        <v>22.754289314621701</v>
      </c>
      <c r="T53" s="229">
        <f t="shared" ref="T53:T60" si="93">S53/R53</f>
        <v>0.15058848066656999</v>
      </c>
      <c r="U53" s="261">
        <f>VLOOKUP($B53,update_Allocation!$D$8:$Q$235,update_Allocation!K$239,0)</f>
        <v>12037.614458435639</v>
      </c>
      <c r="V53" s="262">
        <f>VLOOKUP($B53,update_Allocation!$D$8:$Q$235,update_Allocation!L$239,0)</f>
        <v>2852.4245668209383</v>
      </c>
      <c r="W53" s="262">
        <f>VLOOKUP($B53,update_Allocation!$D$8:$Q$235,update_Allocation!M$239,0)</f>
        <v>3665.0949852889889</v>
      </c>
      <c r="X53" s="262">
        <f>VLOOKUP($B53,update_Allocation!$D$8:$Q$235,update_Allocation!N$239,0)</f>
        <v>2657.1898316741699</v>
      </c>
      <c r="Y53" s="263">
        <f>VLOOKUP($B53,update_Allocation!$D$8:$Q$235,update_Allocation!O$239,0)</f>
        <v>21212.323842219739</v>
      </c>
      <c r="Z53" s="262">
        <f t="shared" ref="Z53:AC60" si="94">IF(U53=0,"",U53-(U53/(U$68-U$61)*Z$67-U53/(U$68-U$61)*U$61))</f>
        <v>11486.005778482282</v>
      </c>
      <c r="AA53" s="262">
        <f t="shared" si="94"/>
        <v>2722.1351959357262</v>
      </c>
      <c r="AB53" s="262">
        <f t="shared" si="94"/>
        <v>3499.2547805359259</v>
      </c>
      <c r="AC53" s="263">
        <f t="shared" si="94"/>
        <v>2540.9765446666479</v>
      </c>
      <c r="AD53" s="262">
        <f t="shared" ref="AD53:AD66" si="95">IF(BT53="Y",Z53,"")</f>
        <v>11486.005778482282</v>
      </c>
      <c r="AE53" s="262">
        <f t="shared" ref="AE53:AE66" si="96">IF(BU53="Y",AA53,"")</f>
        <v>2722.1351959357262</v>
      </c>
      <c r="AF53" s="262">
        <f t="shared" ref="AF53:AF66" si="97">IF(BV53="Y",AB53,"")</f>
        <v>3499.2547805359259</v>
      </c>
      <c r="AG53" s="263">
        <f t="shared" ref="AG53:AG66" si="98">IF(BW53="Y",AC53,"")</f>
        <v>2540.9765446666479</v>
      </c>
      <c r="AH53" s="262">
        <f t="shared" ref="AH53:AK60" si="99">IF(AD53="","",AD53+AD$69)</f>
        <v>11912.130925394149</v>
      </c>
      <c r="AI53" s="262">
        <f t="shared" si="99"/>
        <v>3337.3764461651754</v>
      </c>
      <c r="AJ53" s="262">
        <f t="shared" si="99"/>
        <v>3772.8166771270044</v>
      </c>
      <c r="AK53" s="262">
        <f t="shared" si="99"/>
        <v>2772.0304910529917</v>
      </c>
      <c r="AL53" s="263">
        <f t="shared" ref="AL53:AL60" si="100">SUM(AH53:AK53)</f>
        <v>21794.354539739321</v>
      </c>
      <c r="AM53" s="346"/>
      <c r="AN53" s="261">
        <f>IFERROR(VLOOKUP($A53,'HH &amp; SI'!$B$4:$Z$494,'HH &amp; SI'!V$503,0),0)</f>
        <v>11749.641727840431</v>
      </c>
      <c r="AO53" s="262">
        <f>IFERROR(VLOOKUP($A53,'HH &amp; SI'!$B$4:$Z$494,'HH &amp; SI'!W$503,0),0)</f>
        <v>3227.4554677947012</v>
      </c>
      <c r="AP53" s="262">
        <f>IFERROR(VLOOKUP($A53,'HH &amp; SI'!$B$4:$Z$494,'HH &amp; SI'!X$503,0),0)</f>
        <v>3738.5043824891095</v>
      </c>
      <c r="AQ53" s="262">
        <f>IFERROR(VLOOKUP($A53,'HH &amp; SI'!$B$4:$Z$494,'HH &amp; SI'!Y$503,0),0)</f>
        <v>2741.4877049513634</v>
      </c>
      <c r="AR53" s="263">
        <f t="shared" ref="AR53:AR66" si="101">SUM(AN53:AQ53)</f>
        <v>21457.089283075606</v>
      </c>
      <c r="AS53" s="346"/>
      <c r="AT53" s="323">
        <f>IFERROR(VLOOKUP(A53,'Afton FY16 Final'!$A$5:$BV$572,'Afton FY16 Final'!$BV$587,0),0)</f>
        <v>19856.064280045419</v>
      </c>
      <c r="AU53" s="346"/>
      <c r="AV53" s="444">
        <v>0</v>
      </c>
      <c r="AW53" s="262">
        <f>IFERROR(VLOOKUP($A53,'HH &amp; SI'!$B$4:$EY$503,'HH &amp; SI'!EX$503,0),0)</f>
        <v>1201.8781083853428</v>
      </c>
      <c r="AX53" s="262">
        <f>IFERROR(VLOOKUP($A53,'HH &amp; SI'!$B$4:$EY$503,'HH &amp; SI'!EY$503,0),0)</f>
        <v>20255.211174690263</v>
      </c>
      <c r="AY53" s="262">
        <f>AX53/$AX$582*'update_State Admin 1004(b)'!$B$30*0.01</f>
        <v>193.85692164763722</v>
      </c>
      <c r="AZ53" s="263">
        <f t="shared" ref="AZ53:AZ65" si="102">AX53-AY53</f>
        <v>20061.354253042624</v>
      </c>
      <c r="BA53" s="261">
        <f t="shared" ref="BA53:BA65" si="103">AZ53*0.01</f>
        <v>200.61354253042623</v>
      </c>
      <c r="BB53" s="262">
        <f t="shared" ref="BB53:BB65" si="104">AZ53-BA53</f>
        <v>19860.740710512197</v>
      </c>
      <c r="BC53" s="341">
        <f t="shared" si="31"/>
        <v>1.0002355164850809</v>
      </c>
      <c r="BD53" s="346"/>
      <c r="BE53" s="376" t="str">
        <f>'Original Title I &amp; II'!AZ53</f>
        <v/>
      </c>
      <c r="BF53" s="243" t="str">
        <f t="shared" ref="BF53:BF65" si="105">IF(BE53&lt;0,BB53*BE53/100,"")</f>
        <v/>
      </c>
      <c r="BG53" s="263">
        <f t="shared" si="88"/>
        <v>19860.740710512197</v>
      </c>
      <c r="BI53" s="31">
        <f>IFERROR(VLOOKUP(A53,'Title II Hold Harmless'!A$1:B$439,2, FALSE),"")</f>
        <v>1886</v>
      </c>
      <c r="BJ53" s="31">
        <f t="shared" ref="BJ53:BJ59" si="106">IFERROR($BI$587*(0.8*($S53/$S$584)+0.2*($R53/$R$584))+$BI53,$BI$587*(0.8*($S53/$S$584)+0.2*($R53/$R$584)))</f>
        <v>2305.4811639162317</v>
      </c>
      <c r="BK53" s="31">
        <f t="shared" ref="BK53:BK59" si="107">$BI$588*BJ53</f>
        <v>2307.7114676259453</v>
      </c>
      <c r="BL53" s="31" t="str">
        <f t="shared" ref="BL53:BL65" si="108">IF(BE53&lt;0,BK53*BE53/100,"")</f>
        <v/>
      </c>
      <c r="BM53" s="31">
        <f t="shared" ref="BM53:BM65" si="109">IF(BL53&lt;0,BK53+BL53,BK53)</f>
        <v>2307.7114676259453</v>
      </c>
      <c r="BN53" s="200"/>
      <c r="BP53" s="295" t="s">
        <v>1447</v>
      </c>
      <c r="BQ53" s="296" t="str">
        <f t="shared" si="34"/>
        <v>Y</v>
      </c>
      <c r="BR53" s="297" t="s">
        <v>1448</v>
      </c>
      <c r="BT53" s="295" t="str">
        <f t="shared" si="35"/>
        <v>Y</v>
      </c>
      <c r="BU53" s="296" t="str">
        <f t="shared" ref="BU53:BU66" si="110">IF(AND(BT53="Y",(OR(T53&gt;0.15,S53&gt;6500))),"Y","N")</f>
        <v>Y</v>
      </c>
      <c r="BV53" s="296" t="str">
        <f t="shared" ref="BV53:BV66" si="111">IF(AND(BT53="Y",T53&gt;=0.05),"Y","N")</f>
        <v>Y</v>
      </c>
      <c r="BW53" s="297" t="str">
        <f t="shared" si="36"/>
        <v>Y</v>
      </c>
      <c r="BY53" s="352">
        <f t="shared" si="37"/>
        <v>0</v>
      </c>
      <c r="BZ53" s="353">
        <f t="shared" si="38"/>
        <v>0.9</v>
      </c>
      <c r="CA53" s="353">
        <f t="shared" si="39"/>
        <v>0</v>
      </c>
      <c r="CB53" s="354">
        <f t="shared" si="40"/>
        <v>0.9</v>
      </c>
      <c r="CD53" s="311">
        <f t="shared" si="41"/>
        <v>48</v>
      </c>
    </row>
    <row r="54" spans="1:82" outlineLevel="1" x14ac:dyDescent="0.3">
      <c r="A54" s="1">
        <v>30204000</v>
      </c>
      <c r="B54" s="47">
        <f>VLOOKUP(C54,'NCES ID'!$A$2:$B$3136,2,FALSE)</f>
        <v>403550</v>
      </c>
      <c r="C54" s="47">
        <f>VLOOKUP(A54,'State ID'!$A$2:$B$713,2,FALSE)</f>
        <v>4194</v>
      </c>
      <c r="D54" s="147" t="s">
        <v>187</v>
      </c>
      <c r="E54" s="47" t="s">
        <v>163</v>
      </c>
      <c r="F54" s="382">
        <f>IFERROR(VLOOKUP($B54,'update_Formula counts'!$D$7:$R$234,'update_Formula counts'!F$5,0),0)</f>
        <v>50</v>
      </c>
      <c r="G54" s="382">
        <f>IFERROR(VLOOKUP($B54,'update_Formula counts'!$D$7:$R$234,'update_Formula counts'!G$5,0),0)</f>
        <v>0</v>
      </c>
      <c r="H54" s="382">
        <f>IFERROR(VLOOKUP($B54,'update_Formula counts'!$D$7:$R$234,'update_Formula counts'!H$5,0),0)</f>
        <v>0</v>
      </c>
      <c r="I54" s="382">
        <f>IFERROR(VLOOKUP($B54,'update_Formula counts'!$D$7:$R$234,'update_Formula counts'!I$5,0),0)</f>
        <v>1</v>
      </c>
      <c r="J54" s="382">
        <f>IFERROR(VLOOKUP($B54,'update_Formula counts'!$D$7:$R$234,'update_Formula counts'!J$5,0),0)</f>
        <v>0</v>
      </c>
      <c r="K54" s="382">
        <f t="shared" si="89"/>
        <v>50</v>
      </c>
      <c r="L54" s="444">
        <f>IFERROR(VLOOKUP($B54,'update_Formula counts'!$D$7:$R$234,'update_Formula counts'!L$5,0),0)</f>
        <v>203</v>
      </c>
      <c r="M54" s="445">
        <f>IFERROR(VLOOKUP($B54,'update_Formula counts'!$D$7:$R$234,'update_Formula counts'!K$5,0),0)</f>
        <v>51</v>
      </c>
      <c r="N54" s="446">
        <f>IFERROR(VLOOKUP($B54,'update_Formula counts'!$D$7:$R$234,'update_Formula counts'!M$5,0),0)</f>
        <v>0.25123152709359609</v>
      </c>
      <c r="O54" s="137">
        <f>VLOOKUP($C54,'Final SEA Counts'!$A$2:$F$709,5,FALSE)</f>
        <v>276</v>
      </c>
      <c r="P54" s="208">
        <f>VLOOKUP($C54,'Final SEA Counts'!$A$2:$F$709,6,FALSE)</f>
        <v>190</v>
      </c>
      <c r="Q54" s="748">
        <f t="shared" si="90"/>
        <v>-2.5911581042102885</v>
      </c>
      <c r="R54" s="444">
        <f t="shared" si="91"/>
        <v>195.37451352052958</v>
      </c>
      <c r="S54" s="445">
        <f t="shared" si="92"/>
        <v>48.408841895789713</v>
      </c>
      <c r="T54" s="229">
        <f t="shared" si="93"/>
        <v>0.24777459978526323</v>
      </c>
      <c r="U54" s="261">
        <f>VLOOKUP($B54,update_Allocation!$D$8:$Q$235,update_Allocation!K$239,0)</f>
        <v>28641.220608002048</v>
      </c>
      <c r="V54" s="262">
        <f>VLOOKUP($B54,update_Allocation!$D$8:$Q$235,update_Allocation!L$239,0)</f>
        <v>6786.8032796774023</v>
      </c>
      <c r="W54" s="262">
        <f>VLOOKUP($B54,update_Allocation!$D$8:$Q$235,update_Allocation!M$239,0)</f>
        <v>13605.237569396999</v>
      </c>
      <c r="X54" s="262">
        <f>VLOOKUP($B54,update_Allocation!$D$8:$Q$235,update_Allocation!N$239,0)</f>
        <v>12138.08115700145</v>
      </c>
      <c r="Y54" s="263">
        <f>VLOOKUP($B54,update_Allocation!$D$8:$Q$235,update_Allocation!O$239,0)</f>
        <v>61171.34261407789</v>
      </c>
      <c r="Z54" s="262">
        <f t="shared" si="94"/>
        <v>27328.772369492337</v>
      </c>
      <c r="AA54" s="262">
        <f t="shared" si="94"/>
        <v>6476.8044317091399</v>
      </c>
      <c r="AB54" s="262">
        <f t="shared" si="94"/>
        <v>12989.620404417859</v>
      </c>
      <c r="AC54" s="263">
        <f t="shared" si="94"/>
        <v>11607.217199746861</v>
      </c>
      <c r="AD54" s="262">
        <f t="shared" si="95"/>
        <v>27328.772369492337</v>
      </c>
      <c r="AE54" s="262">
        <f t="shared" si="96"/>
        <v>6476.8044317091399</v>
      </c>
      <c r="AF54" s="262">
        <f t="shared" si="97"/>
        <v>12989.620404417859</v>
      </c>
      <c r="AG54" s="263">
        <f t="shared" si="98"/>
        <v>11607.217199746861</v>
      </c>
      <c r="AH54" s="262">
        <f t="shared" si="99"/>
        <v>27754.897516404206</v>
      </c>
      <c r="AI54" s="262">
        <f t="shared" si="99"/>
        <v>7092.045681938589</v>
      </c>
      <c r="AJ54" s="262">
        <f t="shared" si="99"/>
        <v>13263.182301008937</v>
      </c>
      <c r="AK54" s="262">
        <f t="shared" si="99"/>
        <v>11838.271146133206</v>
      </c>
      <c r="AL54" s="263">
        <f t="shared" si="100"/>
        <v>59948.396645484936</v>
      </c>
      <c r="AM54" s="346"/>
      <c r="AN54" s="261">
        <f>IFERROR(VLOOKUP($A54,'HH &amp; SI'!$B$4:$Z$494,'HH &amp; SI'!V$503,0),0)</f>
        <v>27376.302699584987</v>
      </c>
      <c r="AO54" s="262">
        <f>IFERROR(VLOOKUP($A54,'HH &amp; SI'!$B$4:$Z$494,'HH &amp; SI'!W$503,0),0)</f>
        <v>6858.4596263701351</v>
      </c>
      <c r="AP54" s="262">
        <f>IFERROR(VLOOKUP($A54,'HH &amp; SI'!$B$4:$Z$494,'HH &amp; SI'!X$503,0),0)</f>
        <v>13142.558836394992</v>
      </c>
      <c r="AQ54" s="262">
        <f>IFERROR(VLOOKUP($A54,'HH &amp; SI'!$B$4:$Z$494,'HH &amp; SI'!Y$503,0),0)</f>
        <v>11707.834708079426</v>
      </c>
      <c r="AR54" s="263">
        <f t="shared" si="101"/>
        <v>59085.155870429538</v>
      </c>
      <c r="AS54" s="346"/>
      <c r="AT54" s="323">
        <f>IFERROR(VLOOKUP(A54,'Afton FY16 Final'!$A$5:$BV$572,'Afton FY16 Final'!$BV$587,0),0)</f>
        <v>60899.905378409327</v>
      </c>
      <c r="AU54" s="346"/>
      <c r="AV54" s="444">
        <v>0</v>
      </c>
      <c r="AW54" s="262">
        <f>IFERROR(VLOOKUP($A54,'HH &amp; SI'!$B$4:$EY$503,'HH &amp; SI'!EX$503,0),0)</f>
        <v>0</v>
      </c>
      <c r="AX54" s="262">
        <f>IFERROR(VLOOKUP($A54,'HH &amp; SI'!$B$4:$EY$503,'HH &amp; SI'!EY$503,0),0)</f>
        <v>59085.155870429538</v>
      </c>
      <c r="AY54" s="262">
        <f>AX54/$AX$582*'update_State Admin 1004(b)'!$B$30*0.01</f>
        <v>565.48738659533831</v>
      </c>
      <c r="AZ54" s="263">
        <f t="shared" si="102"/>
        <v>58519.668483834197</v>
      </c>
      <c r="BA54" s="261">
        <f t="shared" si="103"/>
        <v>585.19668483834198</v>
      </c>
      <c r="BB54" s="262">
        <f t="shared" si="104"/>
        <v>57934.471798995852</v>
      </c>
      <c r="BC54" s="341">
        <f t="shared" si="31"/>
        <v>0.95130643371303492</v>
      </c>
      <c r="BD54" s="346"/>
      <c r="BE54" s="376" t="str">
        <f>'Original Title I &amp; II'!AZ54</f>
        <v/>
      </c>
      <c r="BF54" s="243" t="str">
        <f t="shared" si="105"/>
        <v/>
      </c>
      <c r="BG54" s="263">
        <f t="shared" si="88"/>
        <v>57934.471798995852</v>
      </c>
      <c r="BI54" s="31">
        <f>IFERROR(VLOOKUP(A54,'Title II Hold Harmless'!A$1:B$439,2, FALSE),"")</f>
        <v>10229</v>
      </c>
      <c r="BJ54" s="31">
        <f t="shared" si="106"/>
        <v>11019.952290352034</v>
      </c>
      <c r="BK54" s="31">
        <f t="shared" si="107"/>
        <v>11030.612902487459</v>
      </c>
      <c r="BL54" s="31" t="str">
        <f t="shared" si="108"/>
        <v/>
      </c>
      <c r="BM54" s="31">
        <f t="shared" si="109"/>
        <v>11030.612902487459</v>
      </c>
      <c r="BN54" s="200"/>
      <c r="BP54" s="295" t="s">
        <v>1447</v>
      </c>
      <c r="BQ54" s="296" t="str">
        <f t="shared" si="34"/>
        <v>Y</v>
      </c>
      <c r="BR54" s="297" t="s">
        <v>1448</v>
      </c>
      <c r="BT54" s="295" t="str">
        <f t="shared" si="35"/>
        <v>Y</v>
      </c>
      <c r="BU54" s="296" t="str">
        <f t="shared" si="110"/>
        <v>Y</v>
      </c>
      <c r="BV54" s="296" t="str">
        <f t="shared" si="111"/>
        <v>Y</v>
      </c>
      <c r="BW54" s="297" t="str">
        <f t="shared" si="36"/>
        <v>Y</v>
      </c>
      <c r="BY54" s="352">
        <f t="shared" si="37"/>
        <v>0</v>
      </c>
      <c r="BZ54" s="353">
        <f t="shared" si="38"/>
        <v>0.9</v>
      </c>
      <c r="CA54" s="353">
        <f t="shared" si="39"/>
        <v>0</v>
      </c>
      <c r="CB54" s="354">
        <f t="shared" si="40"/>
        <v>0.9</v>
      </c>
      <c r="CD54" s="311">
        <f t="shared" si="41"/>
        <v>49</v>
      </c>
    </row>
    <row r="55" spans="1:82" outlineLevel="1" x14ac:dyDescent="0.3">
      <c r="A55" s="1">
        <v>30206000</v>
      </c>
      <c r="B55" s="47">
        <f>VLOOKUP(C55,'NCES ID'!$A$2:$B$3136,2,FALSE)</f>
        <v>403080</v>
      </c>
      <c r="C55" s="47">
        <f>VLOOKUP(A55,'State ID'!$A$2:$B$713,2,FALSE)</f>
        <v>4195</v>
      </c>
      <c r="D55" s="147" t="s">
        <v>174</v>
      </c>
      <c r="E55" s="47" t="s">
        <v>163</v>
      </c>
      <c r="F55" s="382">
        <f>IFERROR(VLOOKUP($B55,'update_Formula counts'!$D$7:$R$234,'update_Formula counts'!F$5,0),0)</f>
        <v>91</v>
      </c>
      <c r="G55" s="382">
        <f>IFERROR(VLOOKUP($B55,'update_Formula counts'!$D$7:$R$234,'update_Formula counts'!G$5,0),0)</f>
        <v>0</v>
      </c>
      <c r="H55" s="382">
        <f>IFERROR(VLOOKUP($B55,'update_Formula counts'!$D$7:$R$234,'update_Formula counts'!H$5,0),0)</f>
        <v>0</v>
      </c>
      <c r="I55" s="382">
        <f>IFERROR(VLOOKUP($B55,'update_Formula counts'!$D$7:$R$234,'update_Formula counts'!I$5,0),0)</f>
        <v>3</v>
      </c>
      <c r="J55" s="382">
        <f>IFERROR(VLOOKUP($B55,'update_Formula counts'!$D$7:$R$234,'update_Formula counts'!J$5,0),0)</f>
        <v>0</v>
      </c>
      <c r="K55" s="382">
        <f t="shared" si="89"/>
        <v>91</v>
      </c>
      <c r="L55" s="444">
        <f>IFERROR(VLOOKUP($B55,'update_Formula counts'!$D$7:$R$234,'update_Formula counts'!L$5,0),0)</f>
        <v>474</v>
      </c>
      <c r="M55" s="445">
        <f>IFERROR(VLOOKUP($B55,'update_Formula counts'!$D$7:$R$234,'update_Formula counts'!K$5,0),0)</f>
        <v>94</v>
      </c>
      <c r="N55" s="446">
        <f>IFERROR(VLOOKUP($B55,'update_Formula counts'!$D$7:$R$234,'update_Formula counts'!M$5,0),0)</f>
        <v>0.19831223628691982</v>
      </c>
      <c r="O55" s="137">
        <f>VLOOKUP($C55,'Final SEA Counts'!$A$2:$F$709,5,FALSE)</f>
        <v>206</v>
      </c>
      <c r="P55" s="208">
        <f>VLOOKUP($C55,'Final SEA Counts'!$A$2:$F$709,6,FALSE)</f>
        <v>137</v>
      </c>
      <c r="Q55" s="748">
        <f t="shared" si="90"/>
        <v>-4.7111022110758789</v>
      </c>
      <c r="R55" s="444">
        <f t="shared" si="91"/>
        <v>456.19467689030057</v>
      </c>
      <c r="S55" s="445">
        <f t="shared" si="92"/>
        <v>89.288897788924118</v>
      </c>
      <c r="T55" s="229">
        <f t="shared" si="93"/>
        <v>0.19572542669189252</v>
      </c>
      <c r="U55" s="261">
        <f>VLOOKUP($B55,update_Allocation!$D$8:$Q$235,update_Allocation!K$239,0)</f>
        <v>44451.66410926955</v>
      </c>
      <c r="V55" s="262">
        <f>VLOOKUP($B55,update_Allocation!$D$8:$Q$235,update_Allocation!L$239,0)</f>
        <v>10588.792956795745</v>
      </c>
      <c r="W55" s="262">
        <f>VLOOKUP($B55,update_Allocation!$D$8:$Q$235,update_Allocation!M$239,0)</f>
        <v>15572.22951418045</v>
      </c>
      <c r="X55" s="262">
        <f>VLOOKUP($B55,update_Allocation!$D$8:$Q$235,update_Allocation!N$239,0)</f>
        <v>13185.828735364468</v>
      </c>
      <c r="Y55" s="263">
        <f>VLOOKUP($B55,update_Allocation!$D$8:$Q$235,update_Allocation!O$239,0)</f>
        <v>83798.515315610217</v>
      </c>
      <c r="Z55" s="262">
        <f t="shared" si="94"/>
        <v>42414.722002034898</v>
      </c>
      <c r="AA55" s="262">
        <f t="shared" si="94"/>
        <v>10105.131727390381</v>
      </c>
      <c r="AB55" s="262">
        <f t="shared" si="94"/>
        <v>14867.608831371665</v>
      </c>
      <c r="AC55" s="263">
        <f t="shared" si="94"/>
        <v>12609.141108086644</v>
      </c>
      <c r="AD55" s="262">
        <f t="shared" si="95"/>
        <v>42414.722002034898</v>
      </c>
      <c r="AE55" s="262">
        <f t="shared" si="96"/>
        <v>10105.131727390381</v>
      </c>
      <c r="AF55" s="262">
        <f t="shared" si="97"/>
        <v>14867.608831371665</v>
      </c>
      <c r="AG55" s="263">
        <f t="shared" si="98"/>
        <v>12609.141108086644</v>
      </c>
      <c r="AH55" s="262">
        <f t="shared" si="99"/>
        <v>42840.847148946763</v>
      </c>
      <c r="AI55" s="262">
        <f t="shared" si="99"/>
        <v>10720.372977619829</v>
      </c>
      <c r="AJ55" s="262">
        <f t="shared" si="99"/>
        <v>15141.170727962743</v>
      </c>
      <c r="AK55" s="262">
        <f t="shared" si="99"/>
        <v>12840.195054472988</v>
      </c>
      <c r="AL55" s="263">
        <f t="shared" si="100"/>
        <v>81542.58590900233</v>
      </c>
      <c r="AM55" s="346"/>
      <c r="AN55" s="261">
        <f>IFERROR(VLOOKUP($A55,'HH &amp; SI'!$B$4:$Z$494,'HH &amp; SI'!V$503,0),0)</f>
        <v>42256.470187397928</v>
      </c>
      <c r="AO55" s="262">
        <f>IFERROR(VLOOKUP($A55,'HH &amp; SI'!$B$4:$Z$494,'HH &amp; SI'!W$503,0),0)</f>
        <v>10367.283086441865</v>
      </c>
      <c r="AP55" s="262">
        <f>IFERROR(VLOOKUP($A55,'HH &amp; SI'!$B$4:$Z$494,'HH &amp; SI'!X$503,0),0)</f>
        <v>15003.46769183851</v>
      </c>
      <c r="AQ55" s="262">
        <f>IFERROR(VLOOKUP($A55,'HH &amp; SI'!$B$4:$Z$494,'HH &amp; SI'!Y$503,0),0)</f>
        <v>12698.719218504466</v>
      </c>
      <c r="AR55" s="263">
        <f t="shared" si="101"/>
        <v>80325.940184182778</v>
      </c>
      <c r="AS55" s="346"/>
      <c r="AT55" s="323">
        <f>IFERROR(VLOOKUP(A55,'Afton FY16 Final'!$A$5:$BV$572,'Afton FY16 Final'!$BV$587,0),0)</f>
        <v>84548.202459454871</v>
      </c>
      <c r="AU55" s="346"/>
      <c r="AV55" s="444">
        <v>0</v>
      </c>
      <c r="AW55" s="262">
        <f>IFERROR(VLOOKUP($A55,'HH &amp; SI'!$B$4:$EY$503,'HH &amp; SI'!EX$503,0),0)</f>
        <v>0</v>
      </c>
      <c r="AX55" s="262">
        <f>IFERROR(VLOOKUP($A55,'HH &amp; SI'!$B$4:$EY$503,'HH &amp; SI'!EY$503,0),0)</f>
        <v>80325.940184182778</v>
      </c>
      <c r="AY55" s="262">
        <f>AX55/$AX$582*'update_State Admin 1004(b)'!$B$30*0.01</f>
        <v>768.77695118851466</v>
      </c>
      <c r="AZ55" s="263">
        <f t="shared" si="102"/>
        <v>79557.163232994266</v>
      </c>
      <c r="BA55" s="261">
        <f t="shared" si="103"/>
        <v>795.57163232994264</v>
      </c>
      <c r="BB55" s="262">
        <f t="shared" si="104"/>
        <v>78761.591600664324</v>
      </c>
      <c r="BC55" s="341">
        <f t="shared" si="31"/>
        <v>0.93155844015056954</v>
      </c>
      <c r="BD55" s="346"/>
      <c r="BE55" s="376" t="str">
        <f>'Original Title I &amp; II'!AZ55</f>
        <v/>
      </c>
      <c r="BF55" s="243" t="str">
        <f t="shared" si="105"/>
        <v/>
      </c>
      <c r="BG55" s="263">
        <f t="shared" si="88"/>
        <v>78761.591600664324</v>
      </c>
      <c r="BI55" s="31">
        <f>IFERROR(VLOOKUP(A55,'Title II Hold Harmless'!A$1:B$439,2, FALSE),"")</f>
        <v>15511</v>
      </c>
      <c r="BJ55" s="31">
        <f t="shared" si="106"/>
        <v>17047.016691596044</v>
      </c>
      <c r="BK55" s="31">
        <f t="shared" si="107"/>
        <v>17063.507836768633</v>
      </c>
      <c r="BL55" s="31" t="str">
        <f t="shared" si="108"/>
        <v/>
      </c>
      <c r="BM55" s="31">
        <f t="shared" si="109"/>
        <v>17063.507836768633</v>
      </c>
      <c r="BN55" s="200"/>
      <c r="BP55" s="295" t="s">
        <v>1447</v>
      </c>
      <c r="BQ55" s="296" t="str">
        <f t="shared" si="34"/>
        <v>Y</v>
      </c>
      <c r="BR55" s="297" t="s">
        <v>1448</v>
      </c>
      <c r="BT55" s="295" t="str">
        <f t="shared" si="35"/>
        <v>Y</v>
      </c>
      <c r="BU55" s="296" t="str">
        <f t="shared" si="110"/>
        <v>Y</v>
      </c>
      <c r="BV55" s="296" t="str">
        <f t="shared" si="111"/>
        <v>Y</v>
      </c>
      <c r="BW55" s="297" t="str">
        <f t="shared" si="36"/>
        <v>Y</v>
      </c>
      <c r="BY55" s="352">
        <f t="shared" si="37"/>
        <v>0</v>
      </c>
      <c r="BZ55" s="353">
        <f t="shared" si="38"/>
        <v>0.9</v>
      </c>
      <c r="CA55" s="353">
        <f t="shared" si="39"/>
        <v>0</v>
      </c>
      <c r="CB55" s="354">
        <f t="shared" si="40"/>
        <v>0.9</v>
      </c>
      <c r="CD55" s="311">
        <f t="shared" si="41"/>
        <v>50</v>
      </c>
    </row>
    <row r="56" spans="1:82" outlineLevel="1" x14ac:dyDescent="0.3">
      <c r="A56" s="1">
        <v>30202000</v>
      </c>
      <c r="B56" s="47">
        <f>VLOOKUP(C56,'NCES ID'!$A$2:$B$3136,2,FALSE)</f>
        <v>409310</v>
      </c>
      <c r="C56" s="47">
        <f>VLOOKUP(A56,'State ID'!$A$2:$B$713,2,FALSE)</f>
        <v>4193</v>
      </c>
      <c r="D56" s="147" t="s">
        <v>444</v>
      </c>
      <c r="E56" s="47" t="s">
        <v>163</v>
      </c>
      <c r="F56" s="382">
        <f>IFERROR(VLOOKUP($B56,'update_Formula counts'!$D$7:$R$234,'update_Formula counts'!F$5,0),0)</f>
        <v>260</v>
      </c>
      <c r="G56" s="382">
        <f>IFERROR(VLOOKUP($B56,'update_Formula counts'!$D$7:$R$234,'update_Formula counts'!G$5,0),0)</f>
        <v>0</v>
      </c>
      <c r="H56" s="382">
        <f>IFERROR(VLOOKUP($B56,'update_Formula counts'!$D$7:$R$234,'update_Formula counts'!H$5,0),0)</f>
        <v>0</v>
      </c>
      <c r="I56" s="382">
        <f>IFERROR(VLOOKUP($B56,'update_Formula counts'!$D$7:$R$234,'update_Formula counts'!I$5,0),0)</f>
        <v>4</v>
      </c>
      <c r="J56" s="382">
        <f>IFERROR(VLOOKUP($B56,'update_Formula counts'!$D$7:$R$234,'update_Formula counts'!J$5,0),0)</f>
        <v>0</v>
      </c>
      <c r="K56" s="382">
        <f t="shared" si="89"/>
        <v>260</v>
      </c>
      <c r="L56" s="444">
        <f>IFERROR(VLOOKUP($B56,'update_Formula counts'!$D$7:$R$234,'update_Formula counts'!L$5,0),0)</f>
        <v>899</v>
      </c>
      <c r="M56" s="445">
        <f>IFERROR(VLOOKUP($B56,'update_Formula counts'!$D$7:$R$234,'update_Formula counts'!K$5,0),0)</f>
        <v>264</v>
      </c>
      <c r="N56" s="446">
        <f>IFERROR(VLOOKUP($B56,'update_Formula counts'!$D$7:$R$234,'update_Formula counts'!M$5,0),0)</f>
        <v>0.29365962180200222</v>
      </c>
      <c r="O56" s="137">
        <f>VLOOKUP($C56,'Final SEA Counts'!$A$2:$F$709,5,FALSE)</f>
        <v>546</v>
      </c>
      <c r="P56" s="208">
        <f>VLOOKUP($C56,'Final SEA Counts'!$A$2:$F$709,6,FALSE)</f>
        <v>341</v>
      </c>
      <c r="Q56" s="748">
        <f t="shared" si="90"/>
        <v>-13.478909130286899</v>
      </c>
      <c r="R56" s="444">
        <f t="shared" si="91"/>
        <v>865.22998844805954</v>
      </c>
      <c r="S56" s="445">
        <f t="shared" si="92"/>
        <v>250.52109086971311</v>
      </c>
      <c r="T56" s="229">
        <f t="shared" si="93"/>
        <v>0.28954277384567573</v>
      </c>
      <c r="U56" s="261">
        <f>VLOOKUP($B56,update_Allocation!$D$8:$Q$235,update_Allocation!K$239,0)</f>
        <v>124842.97154092725</v>
      </c>
      <c r="V56" s="262">
        <f>VLOOKUP($B56,update_Allocation!$D$8:$Q$235,update_Allocation!L$239,0)</f>
        <v>29738.737665894419</v>
      </c>
      <c r="W56" s="262">
        <f>VLOOKUP($B56,update_Allocation!$D$8:$Q$235,update_Allocation!M$239,0)</f>
        <v>57925.04638955502</v>
      </c>
      <c r="X56" s="262">
        <f>VLOOKUP($B56,update_Allocation!$D$8:$Q$235,update_Allocation!N$239,0)</f>
        <v>46923.154698981838</v>
      </c>
      <c r="Y56" s="263">
        <f>VLOOKUP($B56,update_Allocation!$D$8:$Q$235,update_Allocation!O$239,0)</f>
        <v>259429.91029535851</v>
      </c>
      <c r="Z56" s="262">
        <f t="shared" si="94"/>
        <v>119122.19796316185</v>
      </c>
      <c r="AA56" s="262">
        <f t="shared" si="94"/>
        <v>28380.369957777224</v>
      </c>
      <c r="AB56" s="262">
        <f t="shared" si="94"/>
        <v>55304.022489183437</v>
      </c>
      <c r="AC56" s="263">
        <f t="shared" si="94"/>
        <v>44870.951284935429</v>
      </c>
      <c r="AD56" s="262">
        <f t="shared" si="95"/>
        <v>119122.19796316185</v>
      </c>
      <c r="AE56" s="262">
        <f t="shared" si="96"/>
        <v>28380.369957777224</v>
      </c>
      <c r="AF56" s="262">
        <f t="shared" si="97"/>
        <v>55304.022489183437</v>
      </c>
      <c r="AG56" s="263">
        <f t="shared" si="98"/>
        <v>44870.951284935429</v>
      </c>
      <c r="AH56" s="262">
        <f t="shared" si="99"/>
        <v>119548.32311007372</v>
      </c>
      <c r="AI56" s="262">
        <f t="shared" si="99"/>
        <v>28995.611208006674</v>
      </c>
      <c r="AJ56" s="262">
        <f t="shared" si="99"/>
        <v>55577.584385774513</v>
      </c>
      <c r="AK56" s="262">
        <f t="shared" si="99"/>
        <v>45102.005231321775</v>
      </c>
      <c r="AL56" s="263">
        <f t="shared" si="100"/>
        <v>249223.52393517666</v>
      </c>
      <c r="AM56" s="346"/>
      <c r="AN56" s="261">
        <f>IFERROR(VLOOKUP($A56,'HH &amp; SI'!$B$4:$Z$494,'HH &amp; SI'!V$503,0),0)</f>
        <v>117917.60638837975</v>
      </c>
      <c r="AO56" s="262">
        <f>IFERROR(VLOOKUP($A56,'HH &amp; SI'!$B$4:$Z$494,'HH &amp; SI'!W$503,0),0)</f>
        <v>28040.601785531642</v>
      </c>
      <c r="AP56" s="262">
        <f>IFERROR(VLOOKUP($A56,'HH &amp; SI'!$B$4:$Z$494,'HH &amp; SI'!X$503,0),0)</f>
        <v>55072.127955233249</v>
      </c>
      <c r="AQ56" s="262">
        <f>IFERROR(VLOOKUP($A56,'HH &amp; SI'!$B$4:$Z$494,'HH &amp; SI'!Y$503,0),0)</f>
        <v>44605.062321429206</v>
      </c>
      <c r="AR56" s="263">
        <f t="shared" si="101"/>
        <v>245635.39845057382</v>
      </c>
      <c r="AS56" s="346"/>
      <c r="AT56" s="323">
        <f>IFERROR(VLOOKUP(A56,'Afton FY16 Final'!$A$5:$BV$572,'Afton FY16 Final'!$BV$587,0),0)</f>
        <v>232976.37686992664</v>
      </c>
      <c r="AU56" s="346"/>
      <c r="AV56" s="444">
        <v>0</v>
      </c>
      <c r="AW56" s="262">
        <f>IFERROR(VLOOKUP($A56,'HH &amp; SI'!$B$4:$EY$503,'HH &amp; SI'!EX$503,0),0)</f>
        <v>12659.021580647182</v>
      </c>
      <c r="AX56" s="262">
        <f>IFERROR(VLOOKUP($A56,'HH &amp; SI'!$B$4:$EY$503,'HH &amp; SI'!EY$503,0),0)</f>
        <v>232976.37686992664</v>
      </c>
      <c r="AY56" s="262">
        <f>AX56/$AX$582*'update_State Admin 1004(b)'!$B$30*0.01</f>
        <v>2229.7512895376858</v>
      </c>
      <c r="AZ56" s="263">
        <f t="shared" si="102"/>
        <v>230746.62558038894</v>
      </c>
      <c r="BA56" s="261">
        <f t="shared" si="103"/>
        <v>2307.4662558038895</v>
      </c>
      <c r="BB56" s="262">
        <f t="shared" si="104"/>
        <v>228439.15932458505</v>
      </c>
      <c r="BC56" s="341">
        <f t="shared" si="31"/>
        <v>0.98052498881517602</v>
      </c>
      <c r="BD56" s="346"/>
      <c r="BE56" s="376" t="str">
        <f>'Original Title I &amp; II'!AZ56</f>
        <v/>
      </c>
      <c r="BF56" s="243" t="str">
        <f t="shared" si="105"/>
        <v/>
      </c>
      <c r="BG56" s="263">
        <f t="shared" si="88"/>
        <v>228439.15932458505</v>
      </c>
      <c r="BI56" s="31">
        <f>IFERROR(VLOOKUP(A56,'Title II Hold Harmless'!A$1:B$439,2, FALSE),"")</f>
        <v>20844</v>
      </c>
      <c r="BJ56" s="31">
        <f t="shared" si="106"/>
        <v>24819.881481258984</v>
      </c>
      <c r="BK56" s="31">
        <f t="shared" si="107"/>
        <v>24843.892032552438</v>
      </c>
      <c r="BL56" s="31" t="str">
        <f t="shared" si="108"/>
        <v/>
      </c>
      <c r="BM56" s="31">
        <f t="shared" si="109"/>
        <v>24843.892032552438</v>
      </c>
      <c r="BN56" s="200"/>
      <c r="BP56" s="295" t="s">
        <v>1447</v>
      </c>
      <c r="BQ56" s="296" t="str">
        <f t="shared" si="34"/>
        <v>Y</v>
      </c>
      <c r="BR56" s="297" t="s">
        <v>1448</v>
      </c>
      <c r="BT56" s="295" t="str">
        <f t="shared" si="35"/>
        <v>Y</v>
      </c>
      <c r="BU56" s="296" t="str">
        <f t="shared" si="110"/>
        <v>Y</v>
      </c>
      <c r="BV56" s="296" t="str">
        <f t="shared" si="111"/>
        <v>Y</v>
      </c>
      <c r="BW56" s="297" t="str">
        <f t="shared" si="36"/>
        <v>Y</v>
      </c>
      <c r="BY56" s="352">
        <f t="shared" si="37"/>
        <v>0</v>
      </c>
      <c r="BZ56" s="353">
        <f t="shared" si="38"/>
        <v>0.9</v>
      </c>
      <c r="CA56" s="353">
        <f t="shared" si="39"/>
        <v>0</v>
      </c>
      <c r="CB56" s="354">
        <f t="shared" si="40"/>
        <v>0.9</v>
      </c>
      <c r="CD56" s="311">
        <f t="shared" si="41"/>
        <v>51</v>
      </c>
    </row>
    <row r="57" spans="1:82" outlineLevel="1" x14ac:dyDescent="0.3">
      <c r="A57" s="1">
        <v>30208000</v>
      </c>
      <c r="B57" s="47">
        <f>VLOOKUP(C57,'NCES ID'!$A$2:$B$3136,2,FALSE)</f>
        <v>405820</v>
      </c>
      <c r="C57" s="47">
        <f>VLOOKUP(A57,'State ID'!$A$2:$B$713,2,FALSE)</f>
        <v>4196</v>
      </c>
      <c r="D57" s="147" t="s">
        <v>315</v>
      </c>
      <c r="E57" s="47" t="s">
        <v>163</v>
      </c>
      <c r="F57" s="382">
        <f>IFERROR(VLOOKUP($B57,'update_Formula counts'!$D$7:$R$234,'update_Formula counts'!F$5,0),0)</f>
        <v>722</v>
      </c>
      <c r="G57" s="382">
        <f>IFERROR(VLOOKUP($B57,'update_Formula counts'!$D$7:$R$234,'update_Formula counts'!G$5,0),0)</f>
        <v>0</v>
      </c>
      <c r="H57" s="382">
        <f>IFERROR(VLOOKUP($B57,'update_Formula counts'!$D$7:$R$234,'update_Formula counts'!H$5,0),0)</f>
        <v>0</v>
      </c>
      <c r="I57" s="382">
        <f>IFERROR(VLOOKUP($B57,'update_Formula counts'!$D$7:$R$234,'update_Formula counts'!I$5,0),0)</f>
        <v>10</v>
      </c>
      <c r="J57" s="382">
        <f>IFERROR(VLOOKUP($B57,'update_Formula counts'!$D$7:$R$234,'update_Formula counts'!J$5,0),0)</f>
        <v>0</v>
      </c>
      <c r="K57" s="382">
        <f t="shared" si="89"/>
        <v>722</v>
      </c>
      <c r="L57" s="444">
        <f>IFERROR(VLOOKUP($B57,'update_Formula counts'!$D$7:$R$234,'update_Formula counts'!L$5,0),0)</f>
        <v>2900</v>
      </c>
      <c r="M57" s="445">
        <f>IFERROR(VLOOKUP($B57,'update_Formula counts'!$D$7:$R$234,'update_Formula counts'!K$5,0),0)</f>
        <v>732</v>
      </c>
      <c r="N57" s="446">
        <f>IFERROR(VLOOKUP($B57,'update_Formula counts'!$D$7:$R$234,'update_Formula counts'!M$5,0),0)</f>
        <v>0.2524137931034483</v>
      </c>
      <c r="O57" s="137">
        <f>VLOOKUP($C57,'Final SEA Counts'!$A$2:$F$709,5,FALSE)</f>
        <v>2499</v>
      </c>
      <c r="P57" s="208">
        <f>VLOOKUP($C57,'Final SEA Counts'!$A$2:$F$709,6,FALSE)</f>
        <v>1601</v>
      </c>
      <c r="Q57" s="748">
        <f t="shared" si="90"/>
        <v>-37.434404881852153</v>
      </c>
      <c r="R57" s="444">
        <f t="shared" si="91"/>
        <v>2791.0644788647082</v>
      </c>
      <c r="S57" s="445">
        <f t="shared" si="92"/>
        <v>694.56559511814783</v>
      </c>
      <c r="T57" s="229">
        <f t="shared" si="93"/>
        <v>0.24885329607314158</v>
      </c>
      <c r="U57" s="261">
        <f>VLOOKUP($B57,update_Allocation!$D$8:$Q$235,update_Allocation!K$239,0)</f>
        <v>389117.17440388841</v>
      </c>
      <c r="V57" s="262">
        <f>VLOOKUP($B57,update_Allocation!$D$8:$Q$235,update_Allocation!L$239,0)</f>
        <v>90589.069863520082</v>
      </c>
      <c r="W57" s="262">
        <f>VLOOKUP($B57,update_Allocation!$D$8:$Q$235,update_Allocation!M$239,0)</f>
        <v>191399.79440160922</v>
      </c>
      <c r="X57" s="262">
        <f>VLOOKUP($B57,update_Allocation!$D$8:$Q$235,update_Allocation!N$239,0)</f>
        <v>146801.48533134875</v>
      </c>
      <c r="Y57" s="263">
        <f>VLOOKUP($B57,update_Allocation!$D$8:$Q$235,update_Allocation!O$239,0)</f>
        <v>817907.52400036645</v>
      </c>
      <c r="Z57" s="262">
        <f t="shared" si="94"/>
        <v>371286.36484762334</v>
      </c>
      <c r="AA57" s="262">
        <f t="shared" si="94"/>
        <v>86451.25915368284</v>
      </c>
      <c r="AB57" s="262">
        <f t="shared" si="94"/>
        <v>182739.23274613707</v>
      </c>
      <c r="AC57" s="263">
        <f t="shared" si="94"/>
        <v>140381.06216677805</v>
      </c>
      <c r="AD57" s="262">
        <f t="shared" si="95"/>
        <v>371286.36484762334</v>
      </c>
      <c r="AE57" s="262">
        <f t="shared" si="96"/>
        <v>86451.25915368284</v>
      </c>
      <c r="AF57" s="262">
        <f t="shared" si="97"/>
        <v>182739.23274613707</v>
      </c>
      <c r="AG57" s="263">
        <f t="shared" si="98"/>
        <v>140381.06216677805</v>
      </c>
      <c r="AH57" s="262">
        <f t="shared" si="99"/>
        <v>371712.48999453522</v>
      </c>
      <c r="AI57" s="262">
        <f t="shared" si="99"/>
        <v>87066.500403912287</v>
      </c>
      <c r="AJ57" s="262">
        <f t="shared" si="99"/>
        <v>183012.79464272814</v>
      </c>
      <c r="AK57" s="262">
        <f t="shared" si="99"/>
        <v>140612.1161131644</v>
      </c>
      <c r="AL57" s="263">
        <f t="shared" si="100"/>
        <v>782403.90115434001</v>
      </c>
      <c r="AM57" s="346"/>
      <c r="AN57" s="261">
        <f>IFERROR(VLOOKUP($A57,'HH &amp; SI'!$B$4:$Z$494,'HH &amp; SI'!V$503,0),0)</f>
        <v>371135.6035412238</v>
      </c>
      <c r="AO57" s="262">
        <f>IFERROR(VLOOKUP($A57,'HH &amp; SI'!$B$4:$Z$494,'HH &amp; SI'!W$503,0),0)</f>
        <v>86210.205998970239</v>
      </c>
      <c r="AP57" s="262">
        <f>IFERROR(VLOOKUP($A57,'HH &amp; SI'!$B$4:$Z$494,'HH &amp; SI'!X$503,0),0)</f>
        <v>182916.18633254309</v>
      </c>
      <c r="AQ57" s="262">
        <f>IFERROR(VLOOKUP($A57,'HH &amp; SI'!$B$4:$Z$494,'HH &amp; SI'!Y$503,0),0)</f>
        <v>140382.60944937539</v>
      </c>
      <c r="AR57" s="263">
        <f t="shared" si="101"/>
        <v>780644.60532211256</v>
      </c>
      <c r="AS57" s="346"/>
      <c r="AT57" s="323">
        <f>IFERROR(VLOOKUP(A57,'Afton FY16 Final'!$A$5:$BV$572,'Afton FY16 Final'!$BV$587,0),0)</f>
        <v>850304.12574733526</v>
      </c>
      <c r="AU57" s="346"/>
      <c r="AV57" s="444">
        <v>0</v>
      </c>
      <c r="AW57" s="262">
        <f>IFERROR(VLOOKUP($A57,'HH &amp; SI'!$B$4:$EY$503,'HH &amp; SI'!EX$503,0),0)</f>
        <v>0</v>
      </c>
      <c r="AX57" s="262">
        <f>IFERROR(VLOOKUP($A57,'HH &amp; SI'!$B$4:$EY$503,'HH &amp; SI'!EY$503,0),0)</f>
        <v>780644.60532211256</v>
      </c>
      <c r="AY57" s="262">
        <f>AX57/$AX$582*'update_State Admin 1004(b)'!$B$30*0.01</f>
        <v>7471.3296634338149</v>
      </c>
      <c r="AZ57" s="263">
        <f t="shared" si="102"/>
        <v>773173.27565867873</v>
      </c>
      <c r="BA57" s="261">
        <f t="shared" si="103"/>
        <v>7731.7327565867872</v>
      </c>
      <c r="BB57" s="262">
        <f t="shared" si="104"/>
        <v>765441.54290209198</v>
      </c>
      <c r="BC57" s="341">
        <f t="shared" si="31"/>
        <v>0.90019737612038842</v>
      </c>
      <c r="BD57" s="346"/>
      <c r="BE57" s="376" t="str">
        <f>'Original Title I &amp; II'!AZ57</f>
        <v/>
      </c>
      <c r="BF57" s="243" t="str">
        <f t="shared" si="105"/>
        <v/>
      </c>
      <c r="BG57" s="263">
        <f t="shared" si="88"/>
        <v>765441.54290209198</v>
      </c>
      <c r="BI57" s="31">
        <f>IFERROR(VLOOKUP(A57,'Title II Hold Harmless'!A$1:B$439,2, FALSE),"")</f>
        <v>119129</v>
      </c>
      <c r="BJ57" s="31">
        <f t="shared" si="106"/>
        <v>130467.73132607147</v>
      </c>
      <c r="BK57" s="31">
        <f t="shared" si="107"/>
        <v>130593.94474725604</v>
      </c>
      <c r="BL57" s="31" t="str">
        <f t="shared" si="108"/>
        <v/>
      </c>
      <c r="BM57" s="31">
        <f t="shared" si="109"/>
        <v>130593.94474725604</v>
      </c>
      <c r="BN57" s="200"/>
      <c r="BP57" s="295" t="s">
        <v>1447</v>
      </c>
      <c r="BQ57" s="296" t="str">
        <f t="shared" si="34"/>
        <v>Y</v>
      </c>
      <c r="BR57" s="297" t="s">
        <v>1448</v>
      </c>
      <c r="BT57" s="295" t="str">
        <f t="shared" si="35"/>
        <v>Y</v>
      </c>
      <c r="BU57" s="296" t="str">
        <f t="shared" si="110"/>
        <v>Y</v>
      </c>
      <c r="BV57" s="296" t="str">
        <f t="shared" si="111"/>
        <v>Y</v>
      </c>
      <c r="BW57" s="297" t="str">
        <f t="shared" si="36"/>
        <v>Y</v>
      </c>
      <c r="BY57" s="352">
        <f t="shared" si="37"/>
        <v>0</v>
      </c>
      <c r="BZ57" s="353">
        <f t="shared" si="38"/>
        <v>0.9</v>
      </c>
      <c r="CA57" s="353">
        <f t="shared" si="39"/>
        <v>0</v>
      </c>
      <c r="CB57" s="354">
        <f t="shared" si="40"/>
        <v>0.9</v>
      </c>
      <c r="CD57" s="311">
        <f t="shared" si="41"/>
        <v>52</v>
      </c>
    </row>
    <row r="58" spans="1:82" outlineLevel="1" x14ac:dyDescent="0.3">
      <c r="A58" s="1">
        <v>30215000</v>
      </c>
      <c r="B58" s="47">
        <f>VLOOKUP(C58,'NCES ID'!$A$2:$B$3136,2,FALSE)</f>
        <v>408680</v>
      </c>
      <c r="C58" s="47">
        <f>VLOOKUP(A58,'State ID'!$A$2:$B$713,2,FALSE)</f>
        <v>4197</v>
      </c>
      <c r="D58" s="147" t="s">
        <v>420</v>
      </c>
      <c r="E58" s="47" t="s">
        <v>163</v>
      </c>
      <c r="F58" s="382">
        <f>IFERROR(VLOOKUP($B58,'update_Formula counts'!$D$7:$R$234,'update_Formula counts'!F$5,0),0)</f>
        <v>1199</v>
      </c>
      <c r="G58" s="382">
        <f>IFERROR(VLOOKUP($B58,'update_Formula counts'!$D$7:$R$234,'update_Formula counts'!G$5,0),0)</f>
        <v>0</v>
      </c>
      <c r="H58" s="382">
        <f>IFERROR(VLOOKUP($B58,'update_Formula counts'!$D$7:$R$234,'update_Formula counts'!H$5,0),0)</f>
        <v>0</v>
      </c>
      <c r="I58" s="382">
        <f>IFERROR(VLOOKUP($B58,'update_Formula counts'!$D$7:$R$234,'update_Formula counts'!I$5,0),0)</f>
        <v>17</v>
      </c>
      <c r="J58" s="382">
        <f>IFERROR(VLOOKUP($B58,'update_Formula counts'!$D$7:$R$234,'update_Formula counts'!J$5,0),0)</f>
        <v>0</v>
      </c>
      <c r="K58" s="382">
        <f t="shared" si="89"/>
        <v>1199</v>
      </c>
      <c r="L58" s="444">
        <f>IFERROR(VLOOKUP($B58,'update_Formula counts'!$D$7:$R$234,'update_Formula counts'!L$5,0),0)</f>
        <v>3711</v>
      </c>
      <c r="M58" s="445">
        <f>IFERROR(VLOOKUP($B58,'update_Formula counts'!$D$7:$R$234,'update_Formula counts'!K$5,0),0)</f>
        <v>1216</v>
      </c>
      <c r="N58" s="446">
        <f>IFERROR(VLOOKUP($B58,'update_Formula counts'!$D$7:$R$234,'update_Formula counts'!M$5,0),0)</f>
        <v>0.32767448127189436</v>
      </c>
      <c r="O58" s="137">
        <f>VLOOKUP($C58,'Final SEA Counts'!$A$2:$F$709,5,FALSE)</f>
        <v>1556</v>
      </c>
      <c r="P58" s="208">
        <f>VLOOKUP($C58,'Final SEA Counts'!$A$2:$F$709,6,FALSE)</f>
        <v>1436</v>
      </c>
      <c r="Q58" s="748">
        <f t="shared" si="90"/>
        <v>-62.164397321451005</v>
      </c>
      <c r="R58" s="444">
        <f t="shared" si="91"/>
        <v>3571.6000969196316</v>
      </c>
      <c r="S58" s="445">
        <f t="shared" si="92"/>
        <v>1153.8356026785491</v>
      </c>
      <c r="T58" s="229">
        <f t="shared" si="93"/>
        <v>0.32305845317724347</v>
      </c>
      <c r="U58" s="261">
        <f>VLOOKUP($B58,update_Allocation!$D$8:$Q$235,update_Allocation!K$239,0)</f>
        <v>808808.6026576102</v>
      </c>
      <c r="V58" s="262">
        <f>VLOOKUP($B58,update_Allocation!$D$8:$Q$235,update_Allocation!L$239,0)</f>
        <v>176980.60833518449</v>
      </c>
      <c r="W58" s="262">
        <f>VLOOKUP($B58,update_Allocation!$D$8:$Q$235,update_Allocation!M$239,0)</f>
        <v>319626.82771766256</v>
      </c>
      <c r="X58" s="262">
        <f>VLOOKUP($B58,update_Allocation!$D$8:$Q$235,update_Allocation!N$239,0)</f>
        <v>314213.68587987992</v>
      </c>
      <c r="Y58" s="263">
        <f>VLOOKUP($B58,update_Allocation!$D$8:$Q$235,update_Allocation!O$239,0)</f>
        <v>1619629.7245903371</v>
      </c>
      <c r="Z58" s="262">
        <f t="shared" si="94"/>
        <v>771745.95646742289</v>
      </c>
      <c r="AA58" s="262">
        <f t="shared" si="94"/>
        <v>168896.71634130349</v>
      </c>
      <c r="AB58" s="262">
        <f t="shared" si="94"/>
        <v>305164.17974645598</v>
      </c>
      <c r="AC58" s="263">
        <f t="shared" si="94"/>
        <v>300471.42146821652</v>
      </c>
      <c r="AD58" s="262">
        <f t="shared" si="95"/>
        <v>771745.95646742289</v>
      </c>
      <c r="AE58" s="262">
        <f t="shared" si="96"/>
        <v>168896.71634130349</v>
      </c>
      <c r="AF58" s="262">
        <f t="shared" si="97"/>
        <v>305164.17974645598</v>
      </c>
      <c r="AG58" s="263">
        <f t="shared" si="98"/>
        <v>300471.42146821652</v>
      </c>
      <c r="AH58" s="262">
        <f t="shared" si="99"/>
        <v>772172.08161433472</v>
      </c>
      <c r="AI58" s="262">
        <f t="shared" si="99"/>
        <v>169511.95759153293</v>
      </c>
      <c r="AJ58" s="262">
        <f t="shared" si="99"/>
        <v>305437.74164304708</v>
      </c>
      <c r="AK58" s="262">
        <f t="shared" si="99"/>
        <v>300702.47541460284</v>
      </c>
      <c r="AL58" s="263">
        <f t="shared" si="100"/>
        <v>1547824.2562635175</v>
      </c>
      <c r="AM58" s="346"/>
      <c r="AN58" s="261">
        <f>IFERROR(VLOOKUP($A58,'HH &amp; SI'!$B$4:$Z$494,'HH &amp; SI'!V$503,0),0)</f>
        <v>771432.58802833874</v>
      </c>
      <c r="AO58" s="262">
        <f>IFERROR(VLOOKUP($A58,'HH &amp; SI'!$B$4:$Z$494,'HH &amp; SI'!W$503,0),0)</f>
        <v>170477.75915025643</v>
      </c>
      <c r="AP58" s="262">
        <f>IFERROR(VLOOKUP($A58,'HH &amp; SI'!$B$4:$Z$494,'HH &amp; SI'!X$503,0),0)</f>
        <v>305459.68222415209</v>
      </c>
      <c r="AQ58" s="262">
        <f>IFERROR(VLOOKUP($A58,'HH &amp; SI'!$B$4:$Z$494,'HH &amp; SI'!Y$503,0),0)</f>
        <v>300474.73326963943</v>
      </c>
      <c r="AR58" s="263">
        <f t="shared" si="101"/>
        <v>1547844.7626723866</v>
      </c>
      <c r="AS58" s="346"/>
      <c r="AT58" s="323">
        <f>IFERROR(VLOOKUP(A58,'Afton FY16 Final'!$A$5:$BV$572,'Afton FY16 Final'!$BV$587,0),0)</f>
        <v>1597229.1574228462</v>
      </c>
      <c r="AU58" s="346"/>
      <c r="AV58" s="444">
        <v>0</v>
      </c>
      <c r="AW58" s="262">
        <f>IFERROR(VLOOKUP($A58,'HH &amp; SI'!$B$4:$EY$503,'HH &amp; SI'!EX$503,0),0)</f>
        <v>0</v>
      </c>
      <c r="AX58" s="262">
        <f>IFERROR(VLOOKUP($A58,'HH &amp; SI'!$B$4:$EY$503,'HH &amp; SI'!EY$503,0),0)</f>
        <v>1547844.7626723866</v>
      </c>
      <c r="AY58" s="262">
        <f>AX58/$AX$582*'update_State Admin 1004(b)'!$B$30*0.01</f>
        <v>14813.986301709088</v>
      </c>
      <c r="AZ58" s="263">
        <f t="shared" si="102"/>
        <v>1533030.7763706774</v>
      </c>
      <c r="BA58" s="261">
        <f t="shared" si="103"/>
        <v>15330.307763706774</v>
      </c>
      <c r="BB58" s="262">
        <f t="shared" si="104"/>
        <v>1517700.4686069707</v>
      </c>
      <c r="BC58" s="341">
        <f t="shared" si="31"/>
        <v>0.95020834146041</v>
      </c>
      <c r="BD58" s="346"/>
      <c r="BE58" s="376" t="str">
        <f>'Original Title I &amp; II'!AZ58</f>
        <v/>
      </c>
      <c r="BF58" s="243" t="str">
        <f t="shared" si="105"/>
        <v/>
      </c>
      <c r="BG58" s="263">
        <f t="shared" si="88"/>
        <v>1517700.4686069707</v>
      </c>
      <c r="BI58" s="31">
        <f>IFERROR(VLOOKUP(A58,'Title II Hold Harmless'!A$1:B$439,2, FALSE),"")</f>
        <v>124783</v>
      </c>
      <c r="BJ58" s="31">
        <f t="shared" si="106"/>
        <v>142762.16042027576</v>
      </c>
      <c r="BK58" s="31">
        <f t="shared" si="107"/>
        <v>142900.26737208065</v>
      </c>
      <c r="BL58" s="31" t="str">
        <f t="shared" si="108"/>
        <v/>
      </c>
      <c r="BM58" s="31">
        <f t="shared" si="109"/>
        <v>142900.26737208065</v>
      </c>
      <c r="BN58" s="200"/>
      <c r="BP58" s="295" t="s">
        <v>1447</v>
      </c>
      <c r="BQ58" s="296" t="str">
        <f t="shared" si="34"/>
        <v>Y</v>
      </c>
      <c r="BR58" s="297" t="s">
        <v>1448</v>
      </c>
      <c r="BT58" s="295" t="str">
        <f t="shared" si="35"/>
        <v>Y</v>
      </c>
      <c r="BU58" s="296" t="str">
        <f t="shared" si="110"/>
        <v>Y</v>
      </c>
      <c r="BV58" s="296" t="str">
        <f t="shared" si="111"/>
        <v>Y</v>
      </c>
      <c r="BW58" s="297" t="str">
        <f t="shared" si="36"/>
        <v>Y</v>
      </c>
      <c r="BY58" s="352">
        <f t="shared" si="37"/>
        <v>0</v>
      </c>
      <c r="BZ58" s="353">
        <f t="shared" si="38"/>
        <v>0</v>
      </c>
      <c r="CA58" s="353">
        <f t="shared" si="39"/>
        <v>0.95</v>
      </c>
      <c r="CB58" s="354">
        <f t="shared" si="40"/>
        <v>0.95</v>
      </c>
      <c r="CD58" s="311">
        <f t="shared" si="41"/>
        <v>53</v>
      </c>
    </row>
    <row r="59" spans="1:82" outlineLevel="1" x14ac:dyDescent="0.3">
      <c r="A59" s="1">
        <v>30201000</v>
      </c>
      <c r="B59" s="47">
        <f>VLOOKUP(C59,'NCES ID'!$A$2:$B$3136,2,FALSE)</f>
        <v>402860</v>
      </c>
      <c r="C59" s="47">
        <f>VLOOKUP(A59,'State ID'!$A$2:$B$713,2,FALSE)</f>
        <v>4192</v>
      </c>
      <c r="D59" s="147" t="s">
        <v>164</v>
      </c>
      <c r="E59" s="47" t="s">
        <v>163</v>
      </c>
      <c r="F59" s="382">
        <f>IFERROR(VLOOKUP($B59,'update_Formula counts'!$D$7:$R$234,'update_Formula counts'!F$5,0),0)</f>
        <v>2451</v>
      </c>
      <c r="G59" s="382">
        <f>IFERROR(VLOOKUP($B59,'update_Formula counts'!$D$7:$R$234,'update_Formula counts'!G$5,0),0)</f>
        <v>34</v>
      </c>
      <c r="H59" s="382">
        <f>IFERROR(VLOOKUP($B59,'update_Formula counts'!$D$7:$R$234,'update_Formula counts'!H$5,0),0)</f>
        <v>0</v>
      </c>
      <c r="I59" s="382">
        <f>IFERROR(VLOOKUP($B59,'update_Formula counts'!$D$7:$R$234,'update_Formula counts'!I$5,0),0)</f>
        <v>35</v>
      </c>
      <c r="J59" s="382">
        <f>IFERROR(VLOOKUP($B59,'update_Formula counts'!$D$7:$R$234,'update_Formula counts'!J$5,0),0)</f>
        <v>0</v>
      </c>
      <c r="K59" s="382">
        <f t="shared" si="89"/>
        <v>2485</v>
      </c>
      <c r="L59" s="444">
        <f>IFERROR(VLOOKUP($B59,'update_Formula counts'!$D$7:$R$234,'update_Formula counts'!L$5,0),0)</f>
        <v>13267</v>
      </c>
      <c r="M59" s="445">
        <f>IFERROR(VLOOKUP($B59,'update_Formula counts'!$D$7:$R$234,'update_Formula counts'!K$5,0),0)</f>
        <v>2520</v>
      </c>
      <c r="N59" s="446">
        <f>IFERROR(VLOOKUP($B59,'update_Formula counts'!$D$7:$R$234,'update_Formula counts'!M$5,0),0)</f>
        <v>0.18994497625687798</v>
      </c>
      <c r="O59" s="137">
        <f>VLOOKUP($C59,'Final SEA Counts'!$A$2:$F$709,5,FALSE)</f>
        <v>9226</v>
      </c>
      <c r="P59" s="208">
        <f>VLOOKUP($C59,'Final SEA Counts'!$A$2:$F$709,6,FALSE)</f>
        <v>3876</v>
      </c>
      <c r="Q59" s="748">
        <f t="shared" si="90"/>
        <v>-126.9372019116382</v>
      </c>
      <c r="R59" s="444">
        <f t="shared" si="91"/>
        <v>12768.638772792443</v>
      </c>
      <c r="S59" s="445">
        <f t="shared" si="92"/>
        <v>2393.0627980883619</v>
      </c>
      <c r="T59" s="229">
        <f t="shared" si="93"/>
        <v>0.18741722126148064</v>
      </c>
      <c r="U59" s="261">
        <f>VLOOKUP($B59,update_Allocation!$D$8:$Q$235,update_Allocation!K$239,0)</f>
        <v>1236553.5679889577</v>
      </c>
      <c r="V59" s="262">
        <f>VLOOKUP($B59,update_Allocation!$D$8:$Q$235,update_Allocation!L$239,0)</f>
        <v>293012.85463998525</v>
      </c>
      <c r="W59" s="262">
        <f>VLOOKUP($B59,update_Allocation!$D$8:$Q$235,update_Allocation!M$239,0)</f>
        <v>520382.7188330295</v>
      </c>
      <c r="X59" s="262">
        <f>VLOOKUP($B59,update_Allocation!$D$8:$Q$235,update_Allocation!N$239,0)</f>
        <v>440540.43307626859</v>
      </c>
      <c r="Y59" s="263">
        <f>VLOOKUP($B59,update_Allocation!$D$8:$Q$235,update_Allocation!O$239,0)</f>
        <v>2490489.5745382411</v>
      </c>
      <c r="Z59" s="262">
        <f t="shared" si="94"/>
        <v>1179890.0418654734</v>
      </c>
      <c r="AA59" s="262">
        <f t="shared" si="94"/>
        <v>279628.99133422505</v>
      </c>
      <c r="AB59" s="262">
        <f t="shared" si="94"/>
        <v>496836.15947027929</v>
      </c>
      <c r="AC59" s="263">
        <f t="shared" si="94"/>
        <v>421273.21656910103</v>
      </c>
      <c r="AD59" s="262">
        <f t="shared" si="95"/>
        <v>1179890.0418654734</v>
      </c>
      <c r="AE59" s="262">
        <f t="shared" si="96"/>
        <v>279628.99133422505</v>
      </c>
      <c r="AF59" s="262">
        <f t="shared" si="97"/>
        <v>496836.15947027929</v>
      </c>
      <c r="AG59" s="263">
        <f t="shared" si="98"/>
        <v>421273.21656910103</v>
      </c>
      <c r="AH59" s="262">
        <f t="shared" si="99"/>
        <v>1180316.1670123853</v>
      </c>
      <c r="AI59" s="262">
        <f t="shared" si="99"/>
        <v>280244.23258445453</v>
      </c>
      <c r="AJ59" s="262">
        <f t="shared" si="99"/>
        <v>497109.72136687039</v>
      </c>
      <c r="AK59" s="262">
        <f t="shared" si="99"/>
        <v>421504.27051548735</v>
      </c>
      <c r="AL59" s="263">
        <f t="shared" si="100"/>
        <v>2379174.3914791979</v>
      </c>
      <c r="AM59" s="346"/>
      <c r="AN59" s="261">
        <f>IFERROR(VLOOKUP($A59,'HH &amp; SI'!$B$4:$Z$494,'HH &amp; SI'!V$503,0),0)</f>
        <v>1178303.6990997342</v>
      </c>
      <c r="AO59" s="262">
        <f>IFERROR(VLOOKUP($A59,'HH &amp; SI'!$B$4:$Z$494,'HH &amp; SI'!W$503,0),0)</f>
        <v>274754.07103698573</v>
      </c>
      <c r="AP59" s="262">
        <f>IFERROR(VLOOKUP($A59,'HH &amp; SI'!$B$4:$Z$494,'HH &amp; SI'!X$503,0),0)</f>
        <v>497249.00875219901</v>
      </c>
      <c r="AQ59" s="262">
        <f>IFERROR(VLOOKUP($A59,'HH &amp; SI'!$B$4:$Z$494,'HH &amp; SI'!Y$503,0),0)</f>
        <v>421222.47518925503</v>
      </c>
      <c r="AR59" s="263">
        <f t="shared" si="101"/>
        <v>2371529.254078174</v>
      </c>
      <c r="AS59" s="346"/>
      <c r="AT59" s="323">
        <f>IFERROR(VLOOKUP(A59,'Afton FY16 Final'!$A$5:$BV$572,'Afton FY16 Final'!$BV$587,0),0)</f>
        <v>2583148.7149534672</v>
      </c>
      <c r="AU59" s="346"/>
      <c r="AV59" s="444">
        <v>0</v>
      </c>
      <c r="AW59" s="262">
        <f>IFERROR(VLOOKUP($A59,'HH &amp; SI'!$B$4:$EY$503,'HH &amp; SI'!EX$503,0),0)</f>
        <v>0</v>
      </c>
      <c r="AX59" s="262">
        <f>IFERROR(VLOOKUP($A59,'HH &amp; SI'!$B$4:$EY$503,'HH &amp; SI'!EY$503,0),0)</f>
        <v>2371529.254078174</v>
      </c>
      <c r="AY59" s="262">
        <f>AX59/$AX$582*'update_State Admin 1004(b)'!$B$30*0.01</f>
        <v>22697.238593462465</v>
      </c>
      <c r="AZ59" s="263">
        <f t="shared" si="102"/>
        <v>2348832.0154847116</v>
      </c>
      <c r="BA59" s="261">
        <f t="shared" si="103"/>
        <v>23488.320154847115</v>
      </c>
      <c r="BB59" s="262">
        <f t="shared" si="104"/>
        <v>2325343.6953298645</v>
      </c>
      <c r="BC59" s="341">
        <f t="shared" si="31"/>
        <v>0.90019737612038853</v>
      </c>
      <c r="BD59" s="346"/>
      <c r="BE59" s="376" t="str">
        <f>'Original Title I &amp; II'!AZ59</f>
        <v/>
      </c>
      <c r="BF59" s="243" t="str">
        <f t="shared" si="105"/>
        <v/>
      </c>
      <c r="BG59" s="263">
        <f t="shared" si="88"/>
        <v>2325343.6953298645</v>
      </c>
      <c r="BI59" s="31">
        <f>IFERROR(VLOOKUP(A59,'Title II Hold Harmless'!A$1:B$439,2, FALSE),"")</f>
        <v>339668</v>
      </c>
      <c r="BJ59" s="31">
        <f t="shared" si="106"/>
        <v>381271.52421810845</v>
      </c>
      <c r="BK59" s="31">
        <f t="shared" si="107"/>
        <v>381640.36318681523</v>
      </c>
      <c r="BL59" s="31" t="str">
        <f t="shared" si="108"/>
        <v/>
      </c>
      <c r="BM59" s="31">
        <f t="shared" si="109"/>
        <v>381640.36318681523</v>
      </c>
      <c r="BN59" s="200"/>
      <c r="BP59" s="295" t="s">
        <v>1447</v>
      </c>
      <c r="BQ59" s="296" t="str">
        <f t="shared" si="34"/>
        <v>Y</v>
      </c>
      <c r="BR59" s="297" t="s">
        <v>1448</v>
      </c>
      <c r="BT59" s="295" t="str">
        <f t="shared" si="35"/>
        <v>Y</v>
      </c>
      <c r="BU59" s="296" t="str">
        <f t="shared" si="110"/>
        <v>Y</v>
      </c>
      <c r="BV59" s="296" t="str">
        <f t="shared" si="111"/>
        <v>Y</v>
      </c>
      <c r="BW59" s="297" t="str">
        <f t="shared" si="36"/>
        <v>Y</v>
      </c>
      <c r="BY59" s="352">
        <f t="shared" si="37"/>
        <v>0</v>
      </c>
      <c r="BZ59" s="353">
        <f t="shared" si="38"/>
        <v>0.9</v>
      </c>
      <c r="CA59" s="353">
        <f t="shared" si="39"/>
        <v>0</v>
      </c>
      <c r="CB59" s="354">
        <f t="shared" si="40"/>
        <v>0.9</v>
      </c>
      <c r="CD59" s="311">
        <f t="shared" si="41"/>
        <v>54</v>
      </c>
    </row>
    <row r="60" spans="1:82" outlineLevel="1" x14ac:dyDescent="0.3">
      <c r="A60" s="1">
        <v>30305000</v>
      </c>
      <c r="B60" s="47">
        <v>401920</v>
      </c>
      <c r="C60" s="47">
        <v>4198</v>
      </c>
      <c r="D60" s="147" t="s">
        <v>533</v>
      </c>
      <c r="E60" s="47" t="s">
        <v>163</v>
      </c>
      <c r="F60" s="382">
        <f>IFERROR(VLOOKUP($B60,'update_Formula counts'!$D$7:$R$234,'update_Formula counts'!F$5,0),0)</f>
        <v>10</v>
      </c>
      <c r="G60" s="382">
        <f>IFERROR(VLOOKUP($B60,'update_Formula counts'!$D$7:$R$234,'update_Formula counts'!G$5,0),0)</f>
        <v>0</v>
      </c>
      <c r="H60" s="382">
        <f>IFERROR(VLOOKUP($B60,'update_Formula counts'!$D$7:$R$234,'update_Formula counts'!H$5,0),0)</f>
        <v>0</v>
      </c>
      <c r="I60" s="382">
        <f>IFERROR(VLOOKUP($B60,'update_Formula counts'!$D$7:$R$234,'update_Formula counts'!I$5,0),0)</f>
        <v>0</v>
      </c>
      <c r="J60" s="382">
        <f>IFERROR(VLOOKUP($B60,'update_Formula counts'!$D$7:$R$234,'update_Formula counts'!J$5,0),0)</f>
        <v>0</v>
      </c>
      <c r="K60" s="382">
        <f t="shared" si="89"/>
        <v>10</v>
      </c>
      <c r="L60" s="444">
        <f>IFERROR(VLOOKUP($B60,'update_Formula counts'!$D$7:$R$234,'update_Formula counts'!L$5,0),0)</f>
        <v>28</v>
      </c>
      <c r="M60" s="445">
        <f>IFERROR(VLOOKUP($B60,'update_Formula counts'!$D$7:$R$234,'update_Formula counts'!K$5,0),0)</f>
        <v>10</v>
      </c>
      <c r="N60" s="446">
        <f>IFERROR(VLOOKUP($B60,'update_Formula counts'!$D$7:$R$234,'update_Formula counts'!M$5,0),0)</f>
        <v>0.35714285714285715</v>
      </c>
      <c r="O60" s="137"/>
      <c r="P60" s="208"/>
      <c r="Q60" s="748">
        <f t="shared" si="90"/>
        <v>-0.51904611890762475</v>
      </c>
      <c r="R60" s="444">
        <f t="shared" si="91"/>
        <v>26.948208761452356</v>
      </c>
      <c r="S60" s="445">
        <f t="shared" si="92"/>
        <v>9.4809538810923755</v>
      </c>
      <c r="T60" s="229">
        <f t="shared" si="93"/>
        <v>0.35182130155731378</v>
      </c>
      <c r="U60" s="261">
        <f>VLOOKUP($B60,update_Allocation!$D$8:$Q$235,update_Allocation!K$239,0)</f>
        <v>5359.0746811346335</v>
      </c>
      <c r="V60" s="262">
        <f>VLOOKUP($B60,update_Allocation!$D$8:$Q$235,update_Allocation!L$239,0)</f>
        <v>1245.8865924045476</v>
      </c>
      <c r="W60" s="262">
        <f>VLOOKUP($B60,update_Allocation!$D$8:$Q$235,update_Allocation!M$239,0)</f>
        <v>3438.3218081943678</v>
      </c>
      <c r="X60" s="262">
        <f>VLOOKUP($B60,update_Allocation!$D$8:$Q$235,update_Allocation!N$239,0)</f>
        <v>2899.4562654800729</v>
      </c>
      <c r="Y60" s="263">
        <f>VLOOKUP($B60,update_Allocation!$D$8:$Q$235,update_Allocation!O$239,0)</f>
        <v>12942.739347213621</v>
      </c>
      <c r="Z60" s="262">
        <f t="shared" si="94"/>
        <v>5113.501762942311</v>
      </c>
      <c r="AA60" s="262">
        <f t="shared" si="94"/>
        <v>1188.9785913282483</v>
      </c>
      <c r="AB60" s="262">
        <f t="shared" si="94"/>
        <v>3282.7427590928842</v>
      </c>
      <c r="AC60" s="263">
        <f t="shared" si="94"/>
        <v>2772.6473566360655</v>
      </c>
      <c r="AD60" s="262" t="str">
        <f t="shared" si="95"/>
        <v/>
      </c>
      <c r="AE60" s="262" t="str">
        <f t="shared" si="96"/>
        <v/>
      </c>
      <c r="AF60" s="262" t="str">
        <f t="shared" si="97"/>
        <v/>
      </c>
      <c r="AG60" s="263" t="str">
        <f t="shared" si="98"/>
        <v/>
      </c>
      <c r="AH60" s="262" t="str">
        <f t="shared" si="99"/>
        <v/>
      </c>
      <c r="AI60" s="262" t="str">
        <f t="shared" si="99"/>
        <v/>
      </c>
      <c r="AJ60" s="262" t="str">
        <f t="shared" si="99"/>
        <v/>
      </c>
      <c r="AK60" s="262" t="str">
        <f t="shared" si="99"/>
        <v/>
      </c>
      <c r="AL60" s="263">
        <f t="shared" si="100"/>
        <v>0</v>
      </c>
      <c r="AM60" s="346"/>
      <c r="AN60" s="261">
        <f>IFERROR(VLOOKUP($A60,'HH &amp; SI'!$B$4:$Z$494,'HH &amp; SI'!V$503,0),0)</f>
        <v>0</v>
      </c>
      <c r="AO60" s="262">
        <f>IFERROR(VLOOKUP($A60,'HH &amp; SI'!$B$4:$Z$494,'HH &amp; SI'!W$503,0),0)</f>
        <v>1375.9484093280143</v>
      </c>
      <c r="AP60" s="262">
        <f>IFERROR(VLOOKUP($A60,'HH &amp; SI'!$B$4:$Z$494,'HH &amp; SI'!X$503,0),0)</f>
        <v>0</v>
      </c>
      <c r="AQ60" s="262">
        <f>IFERROR(VLOOKUP($A60,'HH &amp; SI'!$B$4:$Z$494,'HH &amp; SI'!Y$503,0),0)</f>
        <v>0</v>
      </c>
      <c r="AR60" s="263">
        <f t="shared" si="101"/>
        <v>1375.9484093280143</v>
      </c>
      <c r="AS60" s="346"/>
      <c r="AT60" s="323">
        <f>IFERROR(VLOOKUP(A60,'Afton FY16 Final'!$A$5:$BV$572,'Afton FY16 Final'!$BV$587,0),0)</f>
        <v>12946.255895436752</v>
      </c>
      <c r="AU60" s="346"/>
      <c r="AV60" s="444">
        <v>0</v>
      </c>
      <c r="AW60" s="262">
        <f>IFERROR(VLOOKUP($A60,'HH &amp; SI'!$B$4:$EY$503,'HH &amp; SI'!EX$503,0),0)</f>
        <v>0</v>
      </c>
      <c r="AX60" s="262">
        <f>IFERROR(VLOOKUP($A60,'HH &amp; SI'!$B$4:$EY$503,'HH &amp; SI'!EY$503,0),0)</f>
        <v>1375.9484093280143</v>
      </c>
      <c r="AY60" s="262">
        <f>AX60/$AX$582*'update_State Admin 1004(b)'!$B$30*0.01</f>
        <v>13.16881471527639</v>
      </c>
      <c r="AZ60" s="263">
        <f t="shared" si="102"/>
        <v>1362.779594612738</v>
      </c>
      <c r="BA60" s="261">
        <f t="shared" si="103"/>
        <v>13.62779594612738</v>
      </c>
      <c r="BB60" s="262">
        <f t="shared" si="104"/>
        <v>1349.1517986666106</v>
      </c>
      <c r="BC60" s="341">
        <f t="shared" si="31"/>
        <v>0.10421173577622196</v>
      </c>
      <c r="BD60" s="346"/>
      <c r="BE60" s="376" t="str">
        <f>'Original Title I &amp; II'!AZ60</f>
        <v/>
      </c>
      <c r="BF60" s="243" t="str">
        <f t="shared" si="105"/>
        <v/>
      </c>
      <c r="BG60" s="263">
        <f t="shared" si="88"/>
        <v>1349.1517986666106</v>
      </c>
      <c r="BI60" s="31" t="str">
        <f>IFERROR(VLOOKUP(A60,'Title II Hold Harmless'!A$1:B$439,2, FALSE),"")</f>
        <v/>
      </c>
      <c r="BJ60" s="31"/>
      <c r="BK60" s="31"/>
      <c r="BL60" s="31" t="str">
        <f t="shared" si="108"/>
        <v/>
      </c>
      <c r="BM60" s="31">
        <f t="shared" si="109"/>
        <v>0</v>
      </c>
      <c r="BN60" s="200"/>
      <c r="BP60" s="295" t="s">
        <v>1447</v>
      </c>
      <c r="BQ60" s="296" t="str">
        <f t="shared" si="34"/>
        <v>Y</v>
      </c>
      <c r="BR60" s="297" t="s">
        <v>1448</v>
      </c>
      <c r="BT60" s="295" t="str">
        <f t="shared" si="35"/>
        <v>N</v>
      </c>
      <c r="BU60" s="296" t="str">
        <f t="shared" si="110"/>
        <v>N</v>
      </c>
      <c r="BV60" s="296" t="str">
        <f t="shared" si="111"/>
        <v>N</v>
      </c>
      <c r="BW60" s="297" t="str">
        <f t="shared" si="36"/>
        <v>N</v>
      </c>
      <c r="BY60" s="352">
        <f t="shared" si="37"/>
        <v>0</v>
      </c>
      <c r="BZ60" s="353">
        <f t="shared" si="38"/>
        <v>0</v>
      </c>
      <c r="CA60" s="353">
        <f t="shared" si="39"/>
        <v>0.95</v>
      </c>
      <c r="CB60" s="354">
        <f t="shared" si="40"/>
        <v>0.95</v>
      </c>
      <c r="CD60" s="311">
        <f t="shared" si="41"/>
        <v>55</v>
      </c>
    </row>
    <row r="61" spans="1:82" s="237" customFormat="1" outlineLevel="1" x14ac:dyDescent="0.3">
      <c r="A61" s="236"/>
      <c r="B61" s="237">
        <v>481005</v>
      </c>
      <c r="D61" s="237" t="s">
        <v>881</v>
      </c>
      <c r="E61" s="237" t="s">
        <v>163</v>
      </c>
      <c r="F61" s="760">
        <f>IFERROR(VLOOKUP($B61,'update_Formula counts'!$D$7:$R$234,'update_Formula counts'!F$5,0),0)</f>
        <v>20</v>
      </c>
      <c r="G61" s="760">
        <f>IFERROR(VLOOKUP($B61,'update_Formula counts'!$D$7:$R$234,'update_Formula counts'!G$5,0),0)</f>
        <v>0</v>
      </c>
      <c r="H61" s="760">
        <f>IFERROR(VLOOKUP($B61,'update_Formula counts'!$D$7:$R$234,'update_Formula counts'!H$5,0),0)</f>
        <v>0</v>
      </c>
      <c r="I61" s="760">
        <f>IFERROR(VLOOKUP($B61,'update_Formula counts'!$D$7:$R$234,'update_Formula counts'!I$5,0),0)</f>
        <v>0</v>
      </c>
      <c r="J61" s="760">
        <f>IFERROR(VLOOKUP($B61,'update_Formula counts'!$D$7:$R$234,'update_Formula counts'!J$5,0),0)</f>
        <v>0</v>
      </c>
      <c r="K61" s="760">
        <f t="shared" si="89"/>
        <v>20</v>
      </c>
      <c r="L61" s="525">
        <f>IFERROR(VLOOKUP($B61,'update_Formula counts'!$D$7:$R$234,'update_Formula counts'!L$5,0),0)</f>
        <v>91</v>
      </c>
      <c r="M61" s="526">
        <f>IFERROR(VLOOKUP($B61,'update_Formula counts'!$D$7:$R$234,'update_Formula counts'!K$5,0),0)</f>
        <v>20</v>
      </c>
      <c r="N61" s="527">
        <f>IFERROR(VLOOKUP($B61,'update_Formula counts'!$D$7:$R$234,'update_Formula counts'!M$5,0),0)</f>
        <v>0.21978021978021978</v>
      </c>
      <c r="O61" s="238"/>
      <c r="P61" s="240"/>
      <c r="Q61" s="752"/>
      <c r="R61" s="525"/>
      <c r="S61" s="526"/>
      <c r="T61" s="241"/>
      <c r="U61" s="273">
        <f>VLOOKUP($B61,update_Allocation!$D$8:$Q$235,update_Allocation!K$239,0)</f>
        <v>24512.043864900017</v>
      </c>
      <c r="V61" s="274">
        <f>VLOOKUP($B61,update_Allocation!$D$8:$Q$235,update_Allocation!L$239,0)</f>
        <v>5754.5546301821068</v>
      </c>
      <c r="W61" s="274">
        <f>VLOOKUP($B61,update_Allocation!$D$8:$Q$235,update_Allocation!M$239,0)</f>
        <v>11097.324823627241</v>
      </c>
      <c r="X61" s="274">
        <f>VLOOKUP($B61,update_Allocation!$D$8:$Q$235,update_Allocation!N$239,0)</f>
        <v>11222.836358768269</v>
      </c>
      <c r="Y61" s="275">
        <f>VLOOKUP($B61,update_Allocation!$D$8:$Q$235,update_Allocation!O$239,0)</f>
        <v>52586.759677477632</v>
      </c>
      <c r="Z61" s="274"/>
      <c r="AA61" s="274"/>
      <c r="AB61" s="274"/>
      <c r="AC61" s="275"/>
      <c r="AD61" s="274" t="str">
        <f t="shared" si="95"/>
        <v/>
      </c>
      <c r="AE61" s="274" t="str">
        <f t="shared" si="96"/>
        <v/>
      </c>
      <c r="AF61" s="274" t="str">
        <f t="shared" si="97"/>
        <v/>
      </c>
      <c r="AG61" s="275" t="str">
        <f t="shared" si="98"/>
        <v/>
      </c>
      <c r="AH61" s="274"/>
      <c r="AI61" s="274"/>
      <c r="AJ61" s="274"/>
      <c r="AK61" s="274"/>
      <c r="AL61" s="275"/>
      <c r="AM61" s="350"/>
      <c r="AN61" s="273">
        <f>IFERROR(VLOOKUP($A61,'HH &amp; SI'!$B$4:$Z$494,'HH &amp; SI'!V$503,0),0)</f>
        <v>0</v>
      </c>
      <c r="AO61" s="274">
        <f>IFERROR(VLOOKUP($A61,'HH &amp; SI'!$B$4:$Z$494,'HH &amp; SI'!W$503,0),0)</f>
        <v>0</v>
      </c>
      <c r="AP61" s="274">
        <f>IFERROR(VLOOKUP($A61,'HH &amp; SI'!$B$4:$Z$494,'HH &amp; SI'!X$503,0),0)</f>
        <v>0</v>
      </c>
      <c r="AQ61" s="274">
        <f>IFERROR(VLOOKUP($A61,'HH &amp; SI'!$B$4:$Z$494,'HH &amp; SI'!Y$503,0),0)</f>
        <v>0</v>
      </c>
      <c r="AR61" s="275">
        <f t="shared" si="101"/>
        <v>0</v>
      </c>
      <c r="AS61" s="350"/>
      <c r="AT61" s="327">
        <f>IFERROR(VLOOKUP(A61,'Afton FY16 Final'!$A$5:$BV$572,'Afton FY16 Final'!$BV$587,0),0)</f>
        <v>0</v>
      </c>
      <c r="AU61" s="350"/>
      <c r="AV61" s="525">
        <v>0</v>
      </c>
      <c r="AW61" s="274">
        <f>IFERROR(VLOOKUP($A61,'HH &amp; SI'!$B$4:$EY$503,'HH &amp; SI'!EX$503,0),0)</f>
        <v>0</v>
      </c>
      <c r="AX61" s="274">
        <f>IFERROR(VLOOKUP($A61,'HH &amp; SI'!$B$4:$EY$503,'HH &amp; SI'!EY$503,0),0)</f>
        <v>0</v>
      </c>
      <c r="AY61" s="274">
        <f>AX61/$AX$582*'update_State Admin 1004(b)'!$B$30*0.01</f>
        <v>0</v>
      </c>
      <c r="AZ61" s="275">
        <f t="shared" si="102"/>
        <v>0</v>
      </c>
      <c r="BA61" s="273">
        <f t="shared" si="103"/>
        <v>0</v>
      </c>
      <c r="BB61" s="274">
        <f t="shared" si="104"/>
        <v>0</v>
      </c>
      <c r="BC61" s="345" t="str">
        <f t="shared" si="31"/>
        <v/>
      </c>
      <c r="BD61" s="350"/>
      <c r="BE61" s="379" t="str">
        <f>'Original Title I &amp; II'!AZ61</f>
        <v/>
      </c>
      <c r="BF61" s="246" t="str">
        <f t="shared" si="105"/>
        <v/>
      </c>
      <c r="BG61" s="275">
        <f t="shared" si="88"/>
        <v>0</v>
      </c>
      <c r="BI61" s="242" t="str">
        <f>IFERROR(VLOOKUP(A61,'Title II Hold Harmless'!A$1:B$439,2, FALSE),"")</f>
        <v/>
      </c>
      <c r="BJ61" s="242">
        <f>IFERROR($BI$587*(0.8*($S61/$S$584)+0.2*($R61/$R$584))+$BI61,$BI$587*(0.8*($S61/$S$584)+0.2*($R61/$R$584)))</f>
        <v>0</v>
      </c>
      <c r="BK61" s="242">
        <f>$BI$588*BJ61</f>
        <v>0</v>
      </c>
      <c r="BL61" s="242" t="str">
        <f t="shared" si="108"/>
        <v/>
      </c>
      <c r="BM61" s="242">
        <f t="shared" si="109"/>
        <v>0</v>
      </c>
      <c r="BN61" s="200"/>
      <c r="BP61" s="307" t="s">
        <v>1447</v>
      </c>
      <c r="BQ61" s="308" t="str">
        <f t="shared" si="34"/>
        <v>Y</v>
      </c>
      <c r="BR61" s="309" t="s">
        <v>1447</v>
      </c>
      <c r="BT61" s="307" t="str">
        <f t="shared" si="35"/>
        <v>N</v>
      </c>
      <c r="BU61" s="308" t="str">
        <f t="shared" si="110"/>
        <v>N</v>
      </c>
      <c r="BV61" s="308" t="str">
        <f t="shared" si="111"/>
        <v>N</v>
      </c>
      <c r="BW61" s="309" t="str">
        <f t="shared" si="36"/>
        <v>N</v>
      </c>
      <c r="BY61" s="364">
        <f t="shared" si="37"/>
        <v>0.85</v>
      </c>
      <c r="BZ61" s="365">
        <f t="shared" si="38"/>
        <v>0</v>
      </c>
      <c r="CA61" s="365">
        <f t="shared" si="39"/>
        <v>0</v>
      </c>
      <c r="CB61" s="366">
        <f t="shared" si="40"/>
        <v>0.85</v>
      </c>
      <c r="CD61" s="315">
        <f t="shared" si="41"/>
        <v>56</v>
      </c>
    </row>
    <row r="62" spans="1:82" s="48" customFormat="1" outlineLevel="1" x14ac:dyDescent="0.3">
      <c r="A62" s="202">
        <v>38752000</v>
      </c>
      <c r="B62" s="48">
        <f>VLOOKUP(C62,'NCES ID'!$A$2:$B$3136,2,FALSE)</f>
        <v>400098</v>
      </c>
      <c r="C62" s="48">
        <f>VLOOKUP(A62,'State ID'!$A$2:$B$713,2,FALSE)</f>
        <v>4207</v>
      </c>
      <c r="D62" s="48" t="s">
        <v>162</v>
      </c>
      <c r="E62" s="48" t="s">
        <v>163</v>
      </c>
      <c r="F62" s="755"/>
      <c r="G62" s="755"/>
      <c r="H62" s="755"/>
      <c r="I62" s="755"/>
      <c r="J62" s="755"/>
      <c r="K62" s="755"/>
      <c r="L62" s="454"/>
      <c r="M62" s="455"/>
      <c r="N62" s="456"/>
      <c r="O62" s="209">
        <f>VLOOKUP($C62,'Final SEA Counts'!$A$2:$F$709,5,FALSE)</f>
        <v>298</v>
      </c>
      <c r="P62" s="223">
        <f>VLOOKUP($C62,'Final SEA Counts'!$A$2:$F$709,6,FALSE)</f>
        <v>73</v>
      </c>
      <c r="Q62" s="749"/>
      <c r="R62" s="454">
        <f>O62</f>
        <v>298</v>
      </c>
      <c r="S62" s="455">
        <f>P62*$B$68</f>
        <v>44.54450511562429</v>
      </c>
      <c r="T62" s="230">
        <f>S62/R62</f>
        <v>0.14947820508598755</v>
      </c>
      <c r="U62" s="264" t="str">
        <f>IFERROR(VLOOKUP($B62,#REF!,8,FALSE),"")</f>
        <v/>
      </c>
      <c r="V62" s="265" t="str">
        <f>IFERROR(VLOOKUP($B62,#REF!,9,FALSE),"")</f>
        <v/>
      </c>
      <c r="W62" s="265" t="str">
        <f>IFERROR(VLOOKUP($B62,#REF!,10,FALSE),"")</f>
        <v/>
      </c>
      <c r="X62" s="265" t="str">
        <f>IFERROR(VLOOKUP($B62,#REF!,11,FALSE),"")</f>
        <v/>
      </c>
      <c r="Y62" s="266" t="str">
        <f>IFERROR(VLOOKUP($B62,#REF!,12,FALSE),"")</f>
        <v/>
      </c>
      <c r="Z62" s="265">
        <f t="shared" ref="Z62:AC66" si="112">$S62*U$69</f>
        <v>24158.676976850034</v>
      </c>
      <c r="AA62" s="265">
        <f t="shared" si="112"/>
        <v>5578.6751611956433</v>
      </c>
      <c r="AB62" s="265">
        <f t="shared" si="112"/>
        <v>10268.566223770367</v>
      </c>
      <c r="AC62" s="266">
        <f t="shared" si="112"/>
        <v>8948.4874685819668</v>
      </c>
      <c r="AD62" s="265">
        <f t="shared" si="95"/>
        <v>24158.676976850034</v>
      </c>
      <c r="AE62" s="265" t="str">
        <f t="shared" si="96"/>
        <v/>
      </c>
      <c r="AF62" s="265">
        <f t="shared" si="97"/>
        <v>10268.566223770367</v>
      </c>
      <c r="AG62" s="266">
        <f t="shared" si="98"/>
        <v>8948.4874685819668</v>
      </c>
      <c r="AH62" s="265">
        <f t="shared" ref="AH62:AK66" si="113">IF(AD62="","",AD62+AD$69)</f>
        <v>24584.802123761903</v>
      </c>
      <c r="AI62" s="265" t="str">
        <f t="shared" si="113"/>
        <v/>
      </c>
      <c r="AJ62" s="265">
        <f t="shared" si="113"/>
        <v>10542.128120361445</v>
      </c>
      <c r="AK62" s="265">
        <f t="shared" si="113"/>
        <v>9179.5414149683111</v>
      </c>
      <c r="AL62" s="266">
        <f>SUM(AH62:AK62)</f>
        <v>44306.471659091658</v>
      </c>
      <c r="AM62" s="347"/>
      <c r="AN62" s="264">
        <f>IFERROR(VLOOKUP($A62,'HH &amp; SI'!$B$4:$Z$494,'HH &amp; SI'!V$503,0),0)</f>
        <v>24249.449465692058</v>
      </c>
      <c r="AO62" s="265">
        <f>IFERROR(VLOOKUP($A62,'HH &amp; SI'!$B$4:$Z$494,'HH &amp; SI'!W$503,0),0)</f>
        <v>4303.2583857522668</v>
      </c>
      <c r="AP62" s="265">
        <f>IFERROR(VLOOKUP($A62,'HH &amp; SI'!$B$4:$Z$494,'HH &amp; SI'!X$503,0),0)</f>
        <v>10446.251581125056</v>
      </c>
      <c r="AQ62" s="265">
        <f>IFERROR(VLOOKUP($A62,'HH &amp; SI'!$B$4:$Z$494,'HH &amp; SI'!Y$503,0),0)</f>
        <v>9078.3993925939776</v>
      </c>
      <c r="AR62" s="266">
        <f t="shared" si="101"/>
        <v>48077.358825163356</v>
      </c>
      <c r="AS62" s="347"/>
      <c r="AT62" s="324">
        <f>IFERROR(VLOOKUP(A62,'Afton FY16 Final'!$A$5:$BV$572,'Afton FY16 Final'!$BV$587,0),0)</f>
        <v>44205.450517531499</v>
      </c>
      <c r="AU62" s="347"/>
      <c r="AV62" s="454">
        <v>0</v>
      </c>
      <c r="AW62" s="265">
        <f>IFERROR(VLOOKUP($A62,'HH &amp; SI'!$B$4:$EY$503,'HH &amp; SI'!EX$503,0),0)</f>
        <v>2692.9619539089908</v>
      </c>
      <c r="AX62" s="265">
        <f>IFERROR(VLOOKUP($A62,'HH &amp; SI'!$B$4:$EY$503,'HH &amp; SI'!EY$503,0),0)</f>
        <v>45384.396871254365</v>
      </c>
      <c r="AY62" s="265">
        <f>AX62/$AX$582*'update_State Admin 1004(b)'!$B$30*0.01</f>
        <v>434.36128077941731</v>
      </c>
      <c r="AZ62" s="266">
        <f t="shared" si="102"/>
        <v>44950.035590474945</v>
      </c>
      <c r="BA62" s="264">
        <f t="shared" si="103"/>
        <v>449.50035590474948</v>
      </c>
      <c r="BB62" s="265">
        <f t="shared" si="104"/>
        <v>44500.535234570198</v>
      </c>
      <c r="BC62" s="342">
        <f t="shared" si="31"/>
        <v>1.0066753016558823</v>
      </c>
      <c r="BD62" s="347"/>
      <c r="BE62" s="377" t="str">
        <f>'Original Title I &amp; II'!AZ62</f>
        <v/>
      </c>
      <c r="BF62" s="244" t="str">
        <f t="shared" si="105"/>
        <v/>
      </c>
      <c r="BG62" s="266">
        <f t="shared" si="88"/>
        <v>44500.535234570198</v>
      </c>
      <c r="BI62" s="203">
        <f>IFERROR(VLOOKUP(A62,'Title II Hold Harmless'!A$1:B$439,2, FALSE),"")</f>
        <v>2593</v>
      </c>
      <c r="BJ62" s="203">
        <f>IFERROR($BI$587*(0.8*($S62/$S$584)+0.2*($R62/$R$584))+$BI62,$BI$587*(0.8*($S62/$S$584)+0.2*($R62/$R$584)))</f>
        <v>3415.9576328529238</v>
      </c>
      <c r="BK62" s="203">
        <f>$BI$588*BJ62</f>
        <v>3419.2622024586171</v>
      </c>
      <c r="BL62" s="203" t="str">
        <f t="shared" si="108"/>
        <v/>
      </c>
      <c r="BM62" s="203">
        <f t="shared" si="109"/>
        <v>3419.2622024586171</v>
      </c>
      <c r="BN62" s="200"/>
      <c r="BP62" s="298" t="s">
        <v>1448</v>
      </c>
      <c r="BQ62" s="299" t="str">
        <f t="shared" si="34"/>
        <v>Y</v>
      </c>
      <c r="BR62" s="300" t="s">
        <v>1448</v>
      </c>
      <c r="BT62" s="298" t="str">
        <f t="shared" si="35"/>
        <v>Y</v>
      </c>
      <c r="BU62" s="299" t="str">
        <f t="shared" si="110"/>
        <v>N</v>
      </c>
      <c r="BV62" s="299" t="str">
        <f t="shared" si="111"/>
        <v>Y</v>
      </c>
      <c r="BW62" s="300" t="str">
        <f t="shared" si="36"/>
        <v>Y</v>
      </c>
      <c r="BY62" s="355">
        <f t="shared" si="37"/>
        <v>0.85</v>
      </c>
      <c r="BZ62" s="356">
        <f t="shared" si="38"/>
        <v>0</v>
      </c>
      <c r="CA62" s="356">
        <f t="shared" si="39"/>
        <v>0</v>
      </c>
      <c r="CB62" s="357">
        <f t="shared" si="40"/>
        <v>0.85</v>
      </c>
      <c r="CD62" s="312">
        <f t="shared" si="41"/>
        <v>57</v>
      </c>
    </row>
    <row r="63" spans="1:82" s="48" customFormat="1" outlineLevel="1" x14ac:dyDescent="0.3">
      <c r="A63" s="202">
        <v>38753000</v>
      </c>
      <c r="B63" s="48">
        <f>VLOOKUP(C63,'NCES ID'!$A$2:$B$3136,2,FALSE)</f>
        <v>400213</v>
      </c>
      <c r="C63" s="48">
        <f>VLOOKUP(A63,'State ID'!$A$2:$B$713,2,FALSE)</f>
        <v>79086</v>
      </c>
      <c r="D63" s="48" t="s">
        <v>316</v>
      </c>
      <c r="E63" s="48" t="s">
        <v>163</v>
      </c>
      <c r="F63" s="755"/>
      <c r="G63" s="755"/>
      <c r="H63" s="755"/>
      <c r="I63" s="755"/>
      <c r="J63" s="755"/>
      <c r="K63" s="755"/>
      <c r="L63" s="454"/>
      <c r="M63" s="455"/>
      <c r="N63" s="456"/>
      <c r="O63" s="209">
        <f>VLOOKUP($C63,'Final SEA Counts'!$A$2:$F$709,5,FALSE)</f>
        <v>106</v>
      </c>
      <c r="P63" s="223">
        <f>VLOOKUP($C63,'Final SEA Counts'!$A$2:$F$709,6,FALSE)</f>
        <v>78</v>
      </c>
      <c r="Q63" s="749"/>
      <c r="R63" s="454">
        <f>O63</f>
        <v>106</v>
      </c>
      <c r="S63" s="455">
        <f>P63*$B$68</f>
        <v>47.595498616694442</v>
      </c>
      <c r="T63" s="230">
        <f>S63/R63</f>
        <v>0.44901413789334377</v>
      </c>
      <c r="U63" s="264" t="str">
        <f>IFERROR(VLOOKUP($B63,#REF!,8,FALSE),"")</f>
        <v/>
      </c>
      <c r="V63" s="265" t="str">
        <f>IFERROR(VLOOKUP($B63,#REF!,9,FALSE),"")</f>
        <v/>
      </c>
      <c r="W63" s="265" t="str">
        <f>IFERROR(VLOOKUP($B63,#REF!,10,FALSE),"")</f>
        <v/>
      </c>
      <c r="X63" s="265" t="str">
        <f>IFERROR(VLOOKUP($B63,#REF!,11,FALSE),"")</f>
        <v/>
      </c>
      <c r="Y63" s="266" t="str">
        <f>IFERROR(VLOOKUP($B63,#REF!,12,FALSE),"")</f>
        <v/>
      </c>
      <c r="Z63" s="265">
        <f t="shared" si="112"/>
        <v>25813.38087937401</v>
      </c>
      <c r="AA63" s="265">
        <f t="shared" si="112"/>
        <v>5960.7761996337003</v>
      </c>
      <c r="AB63" s="265">
        <f t="shared" si="112"/>
        <v>10971.892677453268</v>
      </c>
      <c r="AC63" s="266">
        <f t="shared" si="112"/>
        <v>9561.3975691697706</v>
      </c>
      <c r="AD63" s="265">
        <f t="shared" si="95"/>
        <v>25813.38087937401</v>
      </c>
      <c r="AE63" s="265">
        <f t="shared" si="96"/>
        <v>5960.7761996337003</v>
      </c>
      <c r="AF63" s="265">
        <f t="shared" si="97"/>
        <v>10971.892677453268</v>
      </c>
      <c r="AG63" s="266">
        <f t="shared" si="98"/>
        <v>9561.3975691697706</v>
      </c>
      <c r="AH63" s="265">
        <f t="shared" si="113"/>
        <v>26239.506026285879</v>
      </c>
      <c r="AI63" s="265">
        <f t="shared" si="113"/>
        <v>6576.0174498631495</v>
      </c>
      <c r="AJ63" s="265">
        <f t="shared" si="113"/>
        <v>11245.454574044346</v>
      </c>
      <c r="AK63" s="265">
        <f t="shared" si="113"/>
        <v>9792.4515155561148</v>
      </c>
      <c r="AL63" s="266">
        <f>SUM(AH63:AK63)</f>
        <v>53853.429565749488</v>
      </c>
      <c r="AM63" s="347"/>
      <c r="AN63" s="264">
        <f>IFERROR(VLOOKUP($A63,'HH &amp; SI'!$B$4:$Z$494,'HH &amp; SI'!V$503,0),0)</f>
        <v>27287.336144372723</v>
      </c>
      <c r="AO63" s="265">
        <f>IFERROR(VLOOKUP($A63,'HH &amp; SI'!$B$4:$Z$494,'HH &amp; SI'!W$503,0),0)</f>
        <v>6359.4274776108878</v>
      </c>
      <c r="AP63" s="265">
        <f>IFERROR(VLOOKUP($A63,'HH &amp; SI'!$B$4:$Z$494,'HH &amp; SI'!X$503,0),0)</f>
        <v>11693.126533444592</v>
      </c>
      <c r="AQ63" s="265">
        <f>IFERROR(VLOOKUP($A63,'HH &amp; SI'!$B$4:$Z$494,'HH &amp; SI'!Y$503,0),0)</f>
        <v>10201.770739499714</v>
      </c>
      <c r="AR63" s="266">
        <f t="shared" si="101"/>
        <v>55541.660894927918</v>
      </c>
      <c r="AS63" s="347"/>
      <c r="AT63" s="324">
        <f>IFERROR(VLOOKUP(A63,'Afton FY16 Final'!$A$5:$BV$572,'Afton FY16 Final'!$BV$587,0),0)</f>
        <v>57169.906173513431</v>
      </c>
      <c r="AU63" s="347"/>
      <c r="AV63" s="454">
        <v>0</v>
      </c>
      <c r="AW63" s="265">
        <f>IFERROR(VLOOKUP($A63,'HH &amp; SI'!$B$4:$EY$503,'HH &amp; SI'!EX$503,0),0)</f>
        <v>0</v>
      </c>
      <c r="AX63" s="265">
        <f>IFERROR(VLOOKUP($A63,'HH &amp; SI'!$B$4:$EY$503,'HH &amp; SI'!EY$503,0),0)</f>
        <v>55541.660894927918</v>
      </c>
      <c r="AY63" s="265">
        <f>AX63/$AX$582*'update_State Admin 1004(b)'!$B$30*0.01</f>
        <v>531.57359414458551</v>
      </c>
      <c r="AZ63" s="266">
        <f t="shared" si="102"/>
        <v>55010.087300783329</v>
      </c>
      <c r="BA63" s="264">
        <f t="shared" si="103"/>
        <v>550.10087300783334</v>
      </c>
      <c r="BB63" s="265">
        <f t="shared" si="104"/>
        <v>54459.986427775497</v>
      </c>
      <c r="BC63" s="342">
        <f t="shared" si="31"/>
        <v>0.95259884216858437</v>
      </c>
      <c r="BD63" s="347"/>
      <c r="BE63" s="377" t="str">
        <f>'Original Title I &amp; II'!AZ63</f>
        <v/>
      </c>
      <c r="BF63" s="244" t="str">
        <f t="shared" si="105"/>
        <v/>
      </c>
      <c r="BG63" s="266">
        <f t="shared" si="88"/>
        <v>54459.986427775497</v>
      </c>
      <c r="BI63" s="203">
        <f>IFERROR(VLOOKUP(A63,'Title II Hold Harmless'!A$1:B$439,2, FALSE),"")</f>
        <v>1448</v>
      </c>
      <c r="BJ63" s="203">
        <f>IFERROR($BI$587*(0.8*($S63/$S$584)+0.2*($R63/$R$584))+$BI63,$BI$587*(0.8*($S63/$S$584)+0.2*($R63/$R$584)))</f>
        <v>2156.3763202365612</v>
      </c>
      <c r="BK63" s="203">
        <f>$BI$588*BJ63</f>
        <v>2158.4623811343185</v>
      </c>
      <c r="BL63" s="203" t="str">
        <f t="shared" si="108"/>
        <v/>
      </c>
      <c r="BM63" s="203">
        <f t="shared" si="109"/>
        <v>2158.4623811343185</v>
      </c>
      <c r="BN63" s="200"/>
      <c r="BP63" s="298" t="s">
        <v>1448</v>
      </c>
      <c r="BQ63" s="299" t="str">
        <f t="shared" si="34"/>
        <v>Y</v>
      </c>
      <c r="BR63" s="300" t="s">
        <v>1448</v>
      </c>
      <c r="BT63" s="298" t="str">
        <f t="shared" si="35"/>
        <v>Y</v>
      </c>
      <c r="BU63" s="299" t="str">
        <f t="shared" si="110"/>
        <v>Y</v>
      </c>
      <c r="BV63" s="299" t="str">
        <f t="shared" si="111"/>
        <v>Y</v>
      </c>
      <c r="BW63" s="300" t="str">
        <f t="shared" si="36"/>
        <v>Y</v>
      </c>
      <c r="BY63" s="355">
        <f t="shared" si="37"/>
        <v>0</v>
      </c>
      <c r="BZ63" s="356">
        <f t="shared" si="38"/>
        <v>0</v>
      </c>
      <c r="CA63" s="356">
        <f t="shared" si="39"/>
        <v>0.95</v>
      </c>
      <c r="CB63" s="357">
        <f t="shared" si="40"/>
        <v>0.95</v>
      </c>
      <c r="CD63" s="312">
        <f t="shared" si="41"/>
        <v>58</v>
      </c>
    </row>
    <row r="64" spans="1:82" s="48" customFormat="1" outlineLevel="1" x14ac:dyDescent="0.3">
      <c r="A64" s="202">
        <v>38702000</v>
      </c>
      <c r="B64" s="48">
        <f>VLOOKUP(C64,'NCES ID'!$A$2:$B$3136,2,FALSE)</f>
        <v>400350</v>
      </c>
      <c r="C64" s="48">
        <f>VLOOKUP(A64,'State ID'!$A$2:$B$713,2,FALSE)</f>
        <v>79866</v>
      </c>
      <c r="D64" s="48" t="s">
        <v>332</v>
      </c>
      <c r="E64" s="48" t="s">
        <v>163</v>
      </c>
      <c r="F64" s="755"/>
      <c r="G64" s="755"/>
      <c r="H64" s="755"/>
      <c r="I64" s="755"/>
      <c r="J64" s="755"/>
      <c r="K64" s="755"/>
      <c r="L64" s="454"/>
      <c r="M64" s="455"/>
      <c r="N64" s="456"/>
      <c r="O64" s="209">
        <f>VLOOKUP($C64,'Final SEA Counts'!$A$2:$F$709,5,FALSE)</f>
        <v>186</v>
      </c>
      <c r="P64" s="223">
        <f>VLOOKUP($C64,'Final SEA Counts'!$A$2:$F$709,6,FALSE)</f>
        <v>156</v>
      </c>
      <c r="Q64" s="749"/>
      <c r="R64" s="454">
        <f>O64</f>
        <v>186</v>
      </c>
      <c r="S64" s="455">
        <f>P64*$B$68</f>
        <v>95.190997233388885</v>
      </c>
      <c r="T64" s="230">
        <f>S64/R64</f>
        <v>0.51177955501821981</v>
      </c>
      <c r="U64" s="264" t="str">
        <f>IFERROR(VLOOKUP($B64,#REF!,8,FALSE),"")</f>
        <v/>
      </c>
      <c r="V64" s="265" t="str">
        <f>IFERROR(VLOOKUP($B64,#REF!,9,FALSE),"")</f>
        <v/>
      </c>
      <c r="W64" s="265" t="str">
        <f>IFERROR(VLOOKUP($B64,#REF!,10,FALSE),"")</f>
        <v/>
      </c>
      <c r="X64" s="265" t="str">
        <f>IFERROR(VLOOKUP($B64,#REF!,11,FALSE),"")</f>
        <v/>
      </c>
      <c r="Y64" s="266" t="str">
        <f>IFERROR(VLOOKUP($B64,#REF!,12,FALSE),"")</f>
        <v/>
      </c>
      <c r="Z64" s="265">
        <f t="shared" si="112"/>
        <v>51626.76175874802</v>
      </c>
      <c r="AA64" s="265">
        <f t="shared" si="112"/>
        <v>11921.552399267401</v>
      </c>
      <c r="AB64" s="265">
        <f t="shared" si="112"/>
        <v>21943.785354906537</v>
      </c>
      <c r="AC64" s="266">
        <f t="shared" si="112"/>
        <v>19122.795138339541</v>
      </c>
      <c r="AD64" s="265">
        <f t="shared" si="95"/>
        <v>51626.76175874802</v>
      </c>
      <c r="AE64" s="265">
        <f t="shared" si="96"/>
        <v>11921.552399267401</v>
      </c>
      <c r="AF64" s="265">
        <f t="shared" si="97"/>
        <v>21943.785354906537</v>
      </c>
      <c r="AG64" s="266">
        <f t="shared" si="98"/>
        <v>19122.795138339541</v>
      </c>
      <c r="AH64" s="265">
        <f t="shared" si="113"/>
        <v>52052.886905659885</v>
      </c>
      <c r="AI64" s="265">
        <f t="shared" si="113"/>
        <v>12536.793649496849</v>
      </c>
      <c r="AJ64" s="265">
        <f t="shared" si="113"/>
        <v>22217.347251497617</v>
      </c>
      <c r="AK64" s="265">
        <f t="shared" si="113"/>
        <v>19353.849084725884</v>
      </c>
      <c r="AL64" s="266">
        <f>SUM(AH64:AK64)</f>
        <v>106160.87689138023</v>
      </c>
      <c r="AM64" s="347"/>
      <c r="AN64" s="264">
        <f>IFERROR(VLOOKUP($A64,'HH &amp; SI'!$B$4:$Z$494,'HH &amp; SI'!V$503,0),0)</f>
        <v>51342.851742629202</v>
      </c>
      <c r="AO64" s="265">
        <f>IFERROR(VLOOKUP($A64,'HH &amp; SI'!$B$4:$Z$494,'HH &amp; SI'!W$503,0),0)</f>
        <v>12123.877502394265</v>
      </c>
      <c r="AP64" s="265">
        <f>IFERROR(VLOOKUP($A64,'HH &amp; SI'!$B$4:$Z$494,'HH &amp; SI'!X$503,0),0)</f>
        <v>22015.289152680496</v>
      </c>
      <c r="AQ64" s="265">
        <f>IFERROR(VLOOKUP($A64,'HH &amp; SI'!$B$4:$Z$494,'HH &amp; SI'!Y$503,0),0)</f>
        <v>19140.604506520169</v>
      </c>
      <c r="AR64" s="266">
        <f t="shared" si="101"/>
        <v>104622.62290422415</v>
      </c>
      <c r="AS64" s="347"/>
      <c r="AT64" s="324">
        <f>IFERROR(VLOOKUP(A64,'Afton FY16 Final'!$A$5:$BV$572,'Afton FY16 Final'!$BV$587,0),0)</f>
        <v>96561.324222434749</v>
      </c>
      <c r="AU64" s="347"/>
      <c r="AV64" s="454">
        <v>0</v>
      </c>
      <c r="AW64" s="265">
        <f>IFERROR(VLOOKUP($A64,'HH &amp; SI'!$B$4:$EY$503,'HH &amp; SI'!EX$503,0),0)</f>
        <v>5860.2375397497817</v>
      </c>
      <c r="AX64" s="265">
        <f>IFERROR(VLOOKUP($A64,'HH &amp; SI'!$B$4:$EY$503,'HH &amp; SI'!EY$503,0),0)</f>
        <v>98762.385364474365</v>
      </c>
      <c r="AY64" s="265">
        <f>AX64/$AX$582*'update_State Admin 1004(b)'!$B$30*0.01</f>
        <v>945.2269757255408</v>
      </c>
      <c r="AZ64" s="266">
        <f t="shared" si="102"/>
        <v>97817.158388748823</v>
      </c>
      <c r="BA64" s="264">
        <f t="shared" si="103"/>
        <v>978.17158388748828</v>
      </c>
      <c r="BB64" s="265">
        <f t="shared" si="104"/>
        <v>96838.986804861328</v>
      </c>
      <c r="BC64" s="342">
        <f t="shared" si="31"/>
        <v>1.0028755051223921</v>
      </c>
      <c r="BD64" s="347"/>
      <c r="BE64" s="377" t="str">
        <f>'Original Title I &amp; II'!AZ64</f>
        <v/>
      </c>
      <c r="BF64" s="244" t="str">
        <f t="shared" si="105"/>
        <v/>
      </c>
      <c r="BG64" s="266">
        <f t="shared" si="88"/>
        <v>96838.986804861328</v>
      </c>
      <c r="BI64" s="203" t="str">
        <f>IFERROR(VLOOKUP(A64,'Title II Hold Harmless'!A$1:B$439,2, FALSE),"")</f>
        <v/>
      </c>
      <c r="BJ64" s="203">
        <f>IFERROR($BI$587*(0.8*($S64/$S$584)+0.2*($R64/$R$584))+$BI64,$BI$587*(0.8*($S64/$S$584)+0.2*($R64/$R$584)))</f>
        <v>1395.827848546337</v>
      </c>
      <c r="BK64" s="203">
        <f>$BI$588*BJ64</f>
        <v>1397.1781610439878</v>
      </c>
      <c r="BL64" s="203" t="str">
        <f t="shared" si="108"/>
        <v/>
      </c>
      <c r="BM64" s="203">
        <f t="shared" si="109"/>
        <v>1397.1781610439878</v>
      </c>
      <c r="BN64" s="200"/>
      <c r="BP64" s="298" t="s">
        <v>1448</v>
      </c>
      <c r="BQ64" s="299" t="str">
        <f t="shared" si="34"/>
        <v>Y</v>
      </c>
      <c r="BR64" s="300" t="s">
        <v>1448</v>
      </c>
      <c r="BT64" s="298" t="str">
        <f t="shared" si="35"/>
        <v>Y</v>
      </c>
      <c r="BU64" s="299" t="str">
        <f t="shared" si="110"/>
        <v>Y</v>
      </c>
      <c r="BV64" s="299" t="str">
        <f t="shared" si="111"/>
        <v>Y</v>
      </c>
      <c r="BW64" s="300" t="str">
        <f t="shared" si="36"/>
        <v>Y</v>
      </c>
      <c r="BY64" s="355">
        <f t="shared" si="37"/>
        <v>0</v>
      </c>
      <c r="BZ64" s="356">
        <f t="shared" si="38"/>
        <v>0</v>
      </c>
      <c r="CA64" s="356">
        <f t="shared" si="39"/>
        <v>0.95</v>
      </c>
      <c r="CB64" s="357">
        <f t="shared" si="40"/>
        <v>0.95</v>
      </c>
      <c r="CD64" s="312">
        <f t="shared" si="41"/>
        <v>59</v>
      </c>
    </row>
    <row r="65" spans="1:82" s="48" customFormat="1" outlineLevel="1" x14ac:dyDescent="0.3">
      <c r="A65" s="202">
        <v>38706000</v>
      </c>
      <c r="B65" s="48">
        <f>VLOOKUP(C65,'NCES ID'!$A$2:$B$3136,2,FALSE)</f>
        <v>400018</v>
      </c>
      <c r="C65" s="48">
        <f>VLOOKUP(A65,'State ID'!$A$2:$B$713,2,FALSE)</f>
        <v>4201</v>
      </c>
      <c r="D65" s="48" t="s">
        <v>346</v>
      </c>
      <c r="E65" s="48" t="s">
        <v>163</v>
      </c>
      <c r="F65" s="755"/>
      <c r="G65" s="755"/>
      <c r="H65" s="755"/>
      <c r="I65" s="755"/>
      <c r="J65" s="755"/>
      <c r="K65" s="755"/>
      <c r="L65" s="454"/>
      <c r="M65" s="455"/>
      <c r="N65" s="456"/>
      <c r="O65" s="209">
        <f>VLOOKUP($C65,'Final SEA Counts'!$A$2:$F$709,5,FALSE)</f>
        <v>247</v>
      </c>
      <c r="P65" s="223">
        <f>VLOOKUP($C65,'Final SEA Counts'!$A$2:$F$709,6,FALSE)</f>
        <v>99</v>
      </c>
      <c r="Q65" s="749"/>
      <c r="R65" s="454">
        <f>O65</f>
        <v>247</v>
      </c>
      <c r="S65" s="455">
        <f>P65*$B$68</f>
        <v>60.409671321189101</v>
      </c>
      <c r="T65" s="230">
        <f>S65/R65</f>
        <v>0.24457356810198017</v>
      </c>
      <c r="U65" s="264" t="str">
        <f>IFERROR(VLOOKUP($B65,#REF!,8,FALSE),"")</f>
        <v/>
      </c>
      <c r="V65" s="265" t="str">
        <f>IFERROR(VLOOKUP($B65,#REF!,9,FALSE),"")</f>
        <v/>
      </c>
      <c r="W65" s="265" t="str">
        <f>IFERROR(VLOOKUP($B65,#REF!,10,FALSE),"")</f>
        <v/>
      </c>
      <c r="X65" s="265" t="str">
        <f>IFERROR(VLOOKUP($B65,#REF!,11,FALSE),"")</f>
        <v/>
      </c>
      <c r="Y65" s="266" t="str">
        <f>IFERROR(VLOOKUP($B65,#REF!,12,FALSE),"")</f>
        <v/>
      </c>
      <c r="Z65" s="265">
        <f t="shared" si="112"/>
        <v>32763.137269974704</v>
      </c>
      <c r="AA65" s="265">
        <f t="shared" si="112"/>
        <v>7565.6005610735428</v>
      </c>
      <c r="AB65" s="265">
        <f t="shared" si="112"/>
        <v>13925.863782921455</v>
      </c>
      <c r="AC65" s="266">
        <f t="shared" si="112"/>
        <v>12135.619991638556</v>
      </c>
      <c r="AD65" s="265">
        <f t="shared" si="95"/>
        <v>32763.137269974704</v>
      </c>
      <c r="AE65" s="265">
        <f t="shared" si="96"/>
        <v>7565.6005610735428</v>
      </c>
      <c r="AF65" s="265">
        <f t="shared" si="97"/>
        <v>13925.863782921455</v>
      </c>
      <c r="AG65" s="266">
        <f t="shared" si="98"/>
        <v>12135.619991638556</v>
      </c>
      <c r="AH65" s="265">
        <f t="shared" si="113"/>
        <v>33189.262416886573</v>
      </c>
      <c r="AI65" s="265">
        <f t="shared" si="113"/>
        <v>8180.841811302992</v>
      </c>
      <c r="AJ65" s="265">
        <f t="shared" si="113"/>
        <v>14199.425679512533</v>
      </c>
      <c r="AK65" s="265">
        <f t="shared" si="113"/>
        <v>12366.6739380249</v>
      </c>
      <c r="AL65" s="266">
        <f>SUM(AH65:AK65)</f>
        <v>67936.203845726995</v>
      </c>
      <c r="AM65" s="347"/>
      <c r="AN65" s="264">
        <f>IFERROR(VLOOKUP($A65,'HH &amp; SI'!$B$4:$Z$494,'HH &amp; SI'!V$503,0),0)</f>
        <v>32736.539335575984</v>
      </c>
      <c r="AO65" s="265">
        <f>IFERROR(VLOOKUP($A65,'HH &amp; SI'!$B$4:$Z$494,'HH &amp; SI'!W$503,0),0)</f>
        <v>7911.3947919756438</v>
      </c>
      <c r="AP65" s="265">
        <f>IFERROR(VLOOKUP($A65,'HH &amp; SI'!$B$4:$Z$494,'HH &amp; SI'!X$503,0),0)</f>
        <v>14070.287446913504</v>
      </c>
      <c r="AQ65" s="265">
        <f>IFERROR(VLOOKUP($A65,'HH &amp; SI'!$B$4:$Z$494,'HH &amp; SI'!Y$503,0),0)</f>
        <v>12230.415452378085</v>
      </c>
      <c r="AR65" s="266">
        <f t="shared" si="101"/>
        <v>66948.637026843222</v>
      </c>
      <c r="AS65" s="347"/>
      <c r="AT65" s="324">
        <f>IFERROR(VLOOKUP(A65,'Afton FY16 Final'!$A$5:$BV$572,'Afton FY16 Final'!$BV$587,0),0)</f>
        <v>51456.581541177926</v>
      </c>
      <c r="AU65" s="347"/>
      <c r="AV65" s="454">
        <v>0</v>
      </c>
      <c r="AW65" s="265">
        <f>IFERROR(VLOOKUP($A65,'HH &amp; SI'!$B$4:$EY$503,'HH &amp; SI'!EX$503,0),0)</f>
        <v>3750.0007651208361</v>
      </c>
      <c r="AX65" s="265">
        <f>IFERROR(VLOOKUP($A65,'HH &amp; SI'!$B$4:$EY$503,'HH &amp; SI'!EY$503,0),0)</f>
        <v>63198.636261722386</v>
      </c>
      <c r="AY65" s="265">
        <f>AX65/$AX$582*'update_State Admin 1004(b)'!$B$30*0.01</f>
        <v>604.85634893478641</v>
      </c>
      <c r="AZ65" s="266">
        <f t="shared" si="102"/>
        <v>62593.779912787599</v>
      </c>
      <c r="BA65" s="264">
        <f t="shared" si="103"/>
        <v>625.93779912787602</v>
      </c>
      <c r="BB65" s="265">
        <f t="shared" si="104"/>
        <v>61967.842113659724</v>
      </c>
      <c r="BC65" s="342">
        <f t="shared" si="31"/>
        <v>1.2042743660316846</v>
      </c>
      <c r="BD65" s="347"/>
      <c r="BE65" s="377" t="str">
        <f>'Original Title I &amp; II'!AZ65</f>
        <v/>
      </c>
      <c r="BF65" s="244" t="str">
        <f t="shared" si="105"/>
        <v/>
      </c>
      <c r="BG65" s="266">
        <f t="shared" si="88"/>
        <v>61967.842113659724</v>
      </c>
      <c r="BI65" s="203" t="str">
        <f>IFERROR(VLOOKUP(A65,'Title II Hold Harmless'!A$1:B$439,2, FALSE),"")</f>
        <v/>
      </c>
      <c r="BJ65" s="203">
        <f>IFERROR($BI$587*(0.8*($S65/$S$584)+0.2*($R65/$R$584))+$BI65,$BI$587*(0.8*($S65/$S$584)+0.2*($R65/$R$584)))</f>
        <v>989.60203307232302</v>
      </c>
      <c r="BK65" s="203">
        <f>$BI$588*BJ65</f>
        <v>990.55936602305167</v>
      </c>
      <c r="BL65" s="203" t="str">
        <f t="shared" si="108"/>
        <v/>
      </c>
      <c r="BM65" s="203">
        <f t="shared" si="109"/>
        <v>990.55936602305167</v>
      </c>
      <c r="BN65" s="200"/>
      <c r="BP65" s="298" t="s">
        <v>1448</v>
      </c>
      <c r="BQ65" s="299" t="str">
        <f t="shared" si="34"/>
        <v>Y</v>
      </c>
      <c r="BR65" s="300" t="s">
        <v>1448</v>
      </c>
      <c r="BT65" s="298" t="str">
        <f t="shared" si="35"/>
        <v>Y</v>
      </c>
      <c r="BU65" s="299" t="str">
        <f t="shared" si="110"/>
        <v>Y</v>
      </c>
      <c r="BV65" s="299" t="str">
        <f t="shared" si="111"/>
        <v>Y</v>
      </c>
      <c r="BW65" s="300" t="str">
        <f t="shared" si="36"/>
        <v>Y</v>
      </c>
      <c r="BY65" s="355">
        <f t="shared" si="37"/>
        <v>0</v>
      </c>
      <c r="BZ65" s="356">
        <f t="shared" si="38"/>
        <v>0.9</v>
      </c>
      <c r="CA65" s="356">
        <f t="shared" si="39"/>
        <v>0</v>
      </c>
      <c r="CB65" s="357">
        <f t="shared" si="40"/>
        <v>0.9</v>
      </c>
      <c r="CD65" s="312">
        <f t="shared" si="41"/>
        <v>60</v>
      </c>
    </row>
    <row r="66" spans="1:82" s="48" customFormat="1" outlineLevel="1" x14ac:dyDescent="0.3">
      <c r="A66" s="202"/>
      <c r="D66" s="48" t="s">
        <v>1411</v>
      </c>
      <c r="E66" s="48" t="s">
        <v>163</v>
      </c>
      <c r="F66" s="755"/>
      <c r="G66" s="755"/>
      <c r="H66" s="755"/>
      <c r="I66" s="755"/>
      <c r="J66" s="755"/>
      <c r="K66" s="755"/>
      <c r="L66" s="454"/>
      <c r="M66" s="455"/>
      <c r="N66" s="456"/>
      <c r="O66" s="211">
        <f>'AVA Metrics'!C4</f>
        <v>66.846807533302709</v>
      </c>
      <c r="P66" s="212">
        <f>'AVA Metrics'!D4</f>
        <v>34.974276527331192</v>
      </c>
      <c r="Q66" s="749"/>
      <c r="R66" s="454">
        <f>O66</f>
        <v>66.846807533302709</v>
      </c>
      <c r="S66" s="455">
        <f>P66*$B$68</f>
        <v>21.3412580779036</v>
      </c>
      <c r="T66" s="230">
        <f>S66/R66</f>
        <v>0.3192562048273061</v>
      </c>
      <c r="U66" s="264"/>
      <c r="V66" s="265"/>
      <c r="W66" s="265"/>
      <c r="X66" s="265"/>
      <c r="Y66" s="266"/>
      <c r="Z66" s="265">
        <f t="shared" si="112"/>
        <v>11574.414371545516</v>
      </c>
      <c r="AA66" s="265">
        <f t="shared" si="112"/>
        <v>2672.7414759426074</v>
      </c>
      <c r="AB66" s="265">
        <f t="shared" si="112"/>
        <v>4919.6667760186001</v>
      </c>
      <c r="AC66" s="266">
        <f t="shared" si="112"/>
        <v>4287.2174688704599</v>
      </c>
      <c r="AD66" s="265">
        <f t="shared" si="95"/>
        <v>11574.414371545516</v>
      </c>
      <c r="AE66" s="265">
        <f t="shared" si="96"/>
        <v>2672.7414759426074</v>
      </c>
      <c r="AF66" s="265">
        <f t="shared" si="97"/>
        <v>4919.6667760186001</v>
      </c>
      <c r="AG66" s="266">
        <f t="shared" si="98"/>
        <v>4287.2174688704599</v>
      </c>
      <c r="AH66" s="265">
        <f t="shared" si="113"/>
        <v>12000.539518457383</v>
      </c>
      <c r="AI66" s="265">
        <f t="shared" si="113"/>
        <v>3287.9827261720566</v>
      </c>
      <c r="AJ66" s="265">
        <f t="shared" si="113"/>
        <v>5193.2286726096791</v>
      </c>
      <c r="AK66" s="265">
        <f t="shared" si="113"/>
        <v>4518.2714152568033</v>
      </c>
      <c r="AL66" s="266">
        <f>SUM(AH66:AK66)</f>
        <v>25000.022332495922</v>
      </c>
      <c r="AM66" s="347"/>
      <c r="AN66" s="264">
        <f>IFERROR(VLOOKUP($A66,'HH &amp; SI'!$B$4:$Z$494,'HH &amp; SI'!V$503,0),0)</f>
        <v>0</v>
      </c>
      <c r="AO66" s="265">
        <f>IFERROR(VLOOKUP($A66,'HH &amp; SI'!$B$4:$Z$494,'HH &amp; SI'!W$503,0),0)</f>
        <v>0</v>
      </c>
      <c r="AP66" s="265">
        <f>IFERROR(VLOOKUP($A66,'HH &amp; SI'!$B$4:$Z$494,'HH &amp; SI'!X$503,0),0)</f>
        <v>0</v>
      </c>
      <c r="AQ66" s="265">
        <f>IFERROR(VLOOKUP($A66,'HH &amp; SI'!$B$4:$Z$494,'HH &amp; SI'!Y$503,0),0)</f>
        <v>0</v>
      </c>
      <c r="AR66" s="266">
        <f t="shared" si="101"/>
        <v>0</v>
      </c>
      <c r="AS66" s="347"/>
      <c r="AT66" s="324">
        <f>IFERROR(VLOOKUP(A66,'Afton FY16 Final'!$A$5:$BV$572,'Afton FY16 Final'!$BV$587,0),0)</f>
        <v>0</v>
      </c>
      <c r="AU66" s="347"/>
      <c r="AV66" s="454">
        <v>0</v>
      </c>
      <c r="AW66" s="265">
        <f>IFERROR(VLOOKUP($A66,'HH &amp; SI'!$B$4:$EY$503,'HH &amp; SI'!EX$503,0),0)</f>
        <v>0</v>
      </c>
      <c r="AX66" s="265">
        <f>IFERROR(VLOOKUP($A66,'HH &amp; SI'!$B$4:$EY$503,'HH &amp; SI'!EY$503,0),0)</f>
        <v>0</v>
      </c>
      <c r="AY66" s="265"/>
      <c r="AZ66" s="266"/>
      <c r="BA66" s="264"/>
      <c r="BB66" s="265"/>
      <c r="BC66" s="342" t="str">
        <f t="shared" si="31"/>
        <v/>
      </c>
      <c r="BD66" s="347"/>
      <c r="BE66" s="377">
        <f>'Original Title I &amp; II'!AZ66</f>
        <v>0</v>
      </c>
      <c r="BF66" s="244"/>
      <c r="BG66" s="266">
        <f t="shared" si="88"/>
        <v>0</v>
      </c>
      <c r="BI66" s="203"/>
      <c r="BJ66" s="203"/>
      <c r="BK66" s="203"/>
      <c r="BL66" s="203"/>
      <c r="BM66" s="203"/>
      <c r="BN66" s="200"/>
      <c r="BP66" s="298" t="s">
        <v>1448</v>
      </c>
      <c r="BQ66" s="299" t="str">
        <f t="shared" si="34"/>
        <v>Y</v>
      </c>
      <c r="BR66" s="300" t="s">
        <v>1448</v>
      </c>
      <c r="BT66" s="298" t="str">
        <f t="shared" si="35"/>
        <v>Y</v>
      </c>
      <c r="BU66" s="299" t="str">
        <f t="shared" si="110"/>
        <v>Y</v>
      </c>
      <c r="BV66" s="299" t="str">
        <f t="shared" si="111"/>
        <v>Y</v>
      </c>
      <c r="BW66" s="300" t="str">
        <f t="shared" si="36"/>
        <v>Y</v>
      </c>
      <c r="BY66" s="355">
        <f t="shared" si="37"/>
        <v>0</v>
      </c>
      <c r="BZ66" s="356">
        <f t="shared" si="38"/>
        <v>0</v>
      </c>
      <c r="CA66" s="356">
        <f t="shared" si="39"/>
        <v>0.95</v>
      </c>
      <c r="CB66" s="357">
        <f t="shared" si="40"/>
        <v>0.95</v>
      </c>
      <c r="CD66" s="312">
        <f t="shared" si="41"/>
        <v>61</v>
      </c>
    </row>
    <row r="67" spans="1:82" s="197" customFormat="1" outlineLevel="1" x14ac:dyDescent="0.3">
      <c r="A67" s="196"/>
      <c r="D67" s="197" t="s">
        <v>878</v>
      </c>
      <c r="F67" s="756"/>
      <c r="G67" s="756"/>
      <c r="H67" s="756"/>
      <c r="I67" s="756"/>
      <c r="J67" s="756"/>
      <c r="K67" s="756"/>
      <c r="L67" s="757"/>
      <c r="M67" s="758"/>
      <c r="N67" s="768"/>
      <c r="O67" s="214"/>
      <c r="P67" s="216"/>
      <c r="Q67" s="750"/>
      <c r="R67" s="757">
        <f>SUM(R62:R66)</f>
        <v>903.84680753330269</v>
      </c>
      <c r="S67" s="758">
        <f>SUM(S62:S66)</f>
        <v>269.08193036480031</v>
      </c>
      <c r="T67" s="231"/>
      <c r="U67" s="267"/>
      <c r="V67" s="268"/>
      <c r="W67" s="268"/>
      <c r="X67" s="268"/>
      <c r="Y67" s="269"/>
      <c r="Z67" s="268">
        <f>SUM(Z62:Z66)</f>
        <v>145936.37125649228</v>
      </c>
      <c r="AA67" s="268">
        <f t="shared" ref="AA67:AC67" si="114">SUM(AA62:AA66)</f>
        <v>33699.345797112896</v>
      </c>
      <c r="AB67" s="268">
        <f t="shared" si="114"/>
        <v>62029.774815070232</v>
      </c>
      <c r="AC67" s="269">
        <f t="shared" si="114"/>
        <v>54055.517636600292</v>
      </c>
      <c r="AD67" s="268"/>
      <c r="AE67" s="268"/>
      <c r="AF67" s="268"/>
      <c r="AG67" s="269"/>
      <c r="AH67" s="268"/>
      <c r="AI67" s="268"/>
      <c r="AJ67" s="268"/>
      <c r="AK67" s="268"/>
      <c r="AL67" s="269"/>
      <c r="AM67" s="348"/>
      <c r="AN67" s="267"/>
      <c r="AO67" s="268"/>
      <c r="AP67" s="268"/>
      <c r="AQ67" s="268"/>
      <c r="AR67" s="269"/>
      <c r="AS67" s="348"/>
      <c r="AT67" s="325"/>
      <c r="AU67" s="348"/>
      <c r="AV67" s="757"/>
      <c r="AW67" s="268"/>
      <c r="AX67" s="268"/>
      <c r="AY67" s="268"/>
      <c r="AZ67" s="269"/>
      <c r="BA67" s="267"/>
      <c r="BB67" s="268"/>
      <c r="BC67" s="343" t="str">
        <f t="shared" si="31"/>
        <v/>
      </c>
      <c r="BD67" s="348"/>
      <c r="BE67" s="371"/>
      <c r="BF67" s="369"/>
      <c r="BG67" s="269"/>
      <c r="BI67" s="198"/>
      <c r="BL67" s="198"/>
      <c r="BN67" s="199"/>
      <c r="BP67" s="301" t="s">
        <v>1450</v>
      </c>
      <c r="BQ67" s="302" t="str">
        <f t="shared" si="34"/>
        <v>N</v>
      </c>
      <c r="BR67" s="303" t="s">
        <v>1448</v>
      </c>
      <c r="BT67" s="301" t="str">
        <f t="shared" si="35"/>
        <v>N</v>
      </c>
      <c r="BU67" s="302" t="s">
        <v>1450</v>
      </c>
      <c r="BV67" s="302" t="s">
        <v>1450</v>
      </c>
      <c r="BW67" s="303" t="s">
        <v>1450</v>
      </c>
      <c r="BY67" s="358">
        <f t="shared" si="37"/>
        <v>0.85</v>
      </c>
      <c r="BZ67" s="359">
        <f t="shared" si="38"/>
        <v>0</v>
      </c>
      <c r="CA67" s="359">
        <f t="shared" si="39"/>
        <v>0</v>
      </c>
      <c r="CB67" s="360">
        <f t="shared" si="40"/>
        <v>0.85</v>
      </c>
      <c r="CD67" s="313">
        <f t="shared" si="41"/>
        <v>62</v>
      </c>
    </row>
    <row r="68" spans="1:82" s="197" customFormat="1" outlineLevel="1" x14ac:dyDescent="0.3">
      <c r="A68" s="196" t="s">
        <v>880</v>
      </c>
      <c r="B68" s="197">
        <f>M68/P68</f>
        <v>0.61019870021403133</v>
      </c>
      <c r="D68" s="197" t="s">
        <v>879</v>
      </c>
      <c r="E68" s="197">
        <f t="shared" ref="E68:K68" si="115">SUM(E53:E66)</f>
        <v>0</v>
      </c>
      <c r="F68" s="756">
        <f t="shared" si="115"/>
        <v>4827</v>
      </c>
      <c r="G68" s="756">
        <f t="shared" si="115"/>
        <v>34</v>
      </c>
      <c r="H68" s="756">
        <f t="shared" si="115"/>
        <v>0</v>
      </c>
      <c r="I68" s="756">
        <f t="shared" si="115"/>
        <v>70</v>
      </c>
      <c r="J68" s="756">
        <f t="shared" si="115"/>
        <v>0</v>
      </c>
      <c r="K68" s="756">
        <f t="shared" si="115"/>
        <v>4861</v>
      </c>
      <c r="L68" s="757">
        <f>SUM(L53:L66)</f>
        <v>21730</v>
      </c>
      <c r="M68" s="758">
        <f>SUM(M53:M66)</f>
        <v>4931</v>
      </c>
      <c r="N68" s="768"/>
      <c r="O68" s="217">
        <f>SUM(O53:O66)</f>
        <v>15335.846807533302</v>
      </c>
      <c r="P68" s="218">
        <f t="shared" ref="P68:S68" si="116">SUM(P53:P66)</f>
        <v>8080.9742765273313</v>
      </c>
      <c r="Q68" s="750"/>
      <c r="R68" s="757">
        <f t="shared" si="116"/>
        <v>21730.000000000004</v>
      </c>
      <c r="S68" s="758">
        <f t="shared" si="116"/>
        <v>4930.9999999999991</v>
      </c>
      <c r="T68" s="231"/>
      <c r="U68" s="267">
        <f>SUM(U53:U66)</f>
        <v>2674323.9343131254</v>
      </c>
      <c r="V68" s="268">
        <f t="shared" ref="V68:AL68" si="117">SUM(V53:V66)</f>
        <v>617549.732530465</v>
      </c>
      <c r="W68" s="268">
        <f t="shared" si="117"/>
        <v>1136712.5960425441</v>
      </c>
      <c r="X68" s="268">
        <f t="shared" si="117"/>
        <v>990582.15133476758</v>
      </c>
      <c r="Y68" s="269">
        <f t="shared" si="117"/>
        <v>5419168.4142209021</v>
      </c>
      <c r="Z68" s="268">
        <f t="shared" si="117"/>
        <v>2674323.9343131259</v>
      </c>
      <c r="AA68" s="268">
        <f t="shared" si="117"/>
        <v>617549.73253046512</v>
      </c>
      <c r="AB68" s="268">
        <f t="shared" si="117"/>
        <v>1136712.5960425443</v>
      </c>
      <c r="AC68" s="269">
        <f t="shared" si="117"/>
        <v>990582.15133476758</v>
      </c>
      <c r="AD68" s="268">
        <f t="shared" si="117"/>
        <v>2669210.4325501835</v>
      </c>
      <c r="AE68" s="268">
        <f t="shared" si="117"/>
        <v>610782.07877794118</v>
      </c>
      <c r="AF68" s="268">
        <f t="shared" si="117"/>
        <v>1133429.8532834514</v>
      </c>
      <c r="AG68" s="269">
        <f t="shared" si="117"/>
        <v>987809.50397813146</v>
      </c>
      <c r="AH68" s="268">
        <f t="shared" si="117"/>
        <v>2674323.9343131254</v>
      </c>
      <c r="AI68" s="268">
        <f t="shared" si="117"/>
        <v>617549.73253046512</v>
      </c>
      <c r="AJ68" s="268">
        <f t="shared" si="117"/>
        <v>1136712.5960425443</v>
      </c>
      <c r="AK68" s="268">
        <f t="shared" si="117"/>
        <v>990582.15133476758</v>
      </c>
      <c r="AL68" s="269">
        <f t="shared" si="117"/>
        <v>5419168.4142209031</v>
      </c>
      <c r="AM68" s="348"/>
      <c r="AN68" s="267">
        <f t="shared" ref="AN68:AR68" si="118">SUM(AN53:AN66)</f>
        <v>2655788.0883607701</v>
      </c>
      <c r="AO68" s="268">
        <f t="shared" ref="AO68" si="119">SUM(AO53:AO66)</f>
        <v>612009.74271941173</v>
      </c>
      <c r="AP68" s="268">
        <f t="shared" si="118"/>
        <v>1130806.4908890135</v>
      </c>
      <c r="AQ68" s="268">
        <f t="shared" si="118"/>
        <v>984484.11195222638</v>
      </c>
      <c r="AR68" s="269">
        <f t="shared" si="118"/>
        <v>5383088.4339214219</v>
      </c>
      <c r="AS68" s="348"/>
      <c r="AT68" s="325">
        <f t="shared" ref="AT68:BB68" si="120">SUM(AT53:AT66)</f>
        <v>5691302.0654615788</v>
      </c>
      <c r="AU68" s="348"/>
      <c r="AV68" s="757">
        <f t="shared" si="120"/>
        <v>0</v>
      </c>
      <c r="AW68" s="268">
        <f t="shared" si="120"/>
        <v>26164.099947812134</v>
      </c>
      <c r="AX68" s="268">
        <f t="shared" si="120"/>
        <v>5356924.3339736098</v>
      </c>
      <c r="AY68" s="268">
        <f t="shared" si="120"/>
        <v>51269.614121874154</v>
      </c>
      <c r="AZ68" s="269">
        <f t="shared" si="120"/>
        <v>5305654.7198517332</v>
      </c>
      <c r="BA68" s="267">
        <f t="shared" si="120"/>
        <v>53056.547198517343</v>
      </c>
      <c r="BB68" s="268">
        <f t="shared" si="120"/>
        <v>5252598.1726532187</v>
      </c>
      <c r="BC68" s="343">
        <f t="shared" si="31"/>
        <v>0.92291677936571093</v>
      </c>
      <c r="BD68" s="348"/>
      <c r="BE68" s="371">
        <f t="shared" ref="BE68:BG68" si="121">SUM(BE53:BE66)</f>
        <v>0</v>
      </c>
      <c r="BF68" s="369">
        <f t="shared" si="121"/>
        <v>0</v>
      </c>
      <c r="BG68" s="269">
        <f t="shared" si="121"/>
        <v>5252598.1726532187</v>
      </c>
      <c r="BI68" s="198"/>
      <c r="BL68" s="198"/>
      <c r="BN68" s="199"/>
      <c r="BP68" s="301" t="s">
        <v>1450</v>
      </c>
      <c r="BQ68" s="302" t="str">
        <f t="shared" si="34"/>
        <v>N</v>
      </c>
      <c r="BR68" s="303" t="s">
        <v>1448</v>
      </c>
      <c r="BT68" s="301" t="str">
        <f t="shared" si="35"/>
        <v>N</v>
      </c>
      <c r="BU68" s="302" t="s">
        <v>1450</v>
      </c>
      <c r="BV68" s="302" t="s">
        <v>1450</v>
      </c>
      <c r="BW68" s="303" t="s">
        <v>1450</v>
      </c>
      <c r="BY68" s="358">
        <f t="shared" si="37"/>
        <v>0.85</v>
      </c>
      <c r="BZ68" s="359">
        <f t="shared" si="38"/>
        <v>0</v>
      </c>
      <c r="CA68" s="359">
        <f t="shared" si="39"/>
        <v>0</v>
      </c>
      <c r="CB68" s="360">
        <f t="shared" si="40"/>
        <v>0.85</v>
      </c>
      <c r="CD68" s="313">
        <f t="shared" si="41"/>
        <v>63</v>
      </c>
    </row>
    <row r="69" spans="1:82" s="197" customFormat="1" outlineLevel="1" x14ac:dyDescent="0.3">
      <c r="A69" s="196"/>
      <c r="F69" s="756"/>
      <c r="G69" s="756"/>
      <c r="H69" s="756"/>
      <c r="I69" s="756"/>
      <c r="J69" s="756"/>
      <c r="K69" s="756"/>
      <c r="L69" s="757"/>
      <c r="M69" s="758"/>
      <c r="N69" s="768"/>
      <c r="O69" s="214"/>
      <c r="P69" s="216"/>
      <c r="Q69" s="750"/>
      <c r="R69" s="757"/>
      <c r="S69" s="758"/>
      <c r="T69" s="231"/>
      <c r="U69" s="267">
        <f>U68/$S68</f>
        <v>542.34920590410184</v>
      </c>
      <c r="V69" s="268">
        <f>V68/$S68</f>
        <v>125.2382341371862</v>
      </c>
      <c r="W69" s="268">
        <f>W68/$S68</f>
        <v>230.52374691594895</v>
      </c>
      <c r="X69" s="268">
        <f>X68/$S68</f>
        <v>200.88869424757002</v>
      </c>
      <c r="Y69" s="269" t="str">
        <f>IFERROR(VLOOKUP($B69,#REF!,12,FALSE),"")</f>
        <v/>
      </c>
      <c r="Z69" s="268"/>
      <c r="AA69" s="268"/>
      <c r="AB69" s="268"/>
      <c r="AC69" s="269"/>
      <c r="AD69" s="268">
        <f>(Z68-AD68)/COUNT(AD53:AD66)</f>
        <v>426.1251469118676</v>
      </c>
      <c r="AE69" s="268">
        <f>(AA68-AE68)/COUNT(AE53:AE66)</f>
        <v>615.24125022944907</v>
      </c>
      <c r="AF69" s="268">
        <f>(AB68-AF68)/COUNT(AF53:AF66)</f>
        <v>273.56189659107866</v>
      </c>
      <c r="AG69" s="269">
        <f>(AC68-AG68)/COUNT(AG53:AG66)</f>
        <v>231.05394638634365</v>
      </c>
      <c r="AH69" s="268"/>
      <c r="AI69" s="268"/>
      <c r="AJ69" s="268"/>
      <c r="AK69" s="268"/>
      <c r="AL69" s="280"/>
      <c r="AM69" s="348"/>
      <c r="AN69" s="267"/>
      <c r="AO69" s="268"/>
      <c r="AP69" s="268"/>
      <c r="AQ69" s="268"/>
      <c r="AR69" s="280"/>
      <c r="AS69" s="348"/>
      <c r="AT69" s="325"/>
      <c r="AU69" s="348"/>
      <c r="AV69" s="757"/>
      <c r="AW69" s="268"/>
      <c r="AX69" s="268"/>
      <c r="AY69" s="268"/>
      <c r="AZ69" s="269"/>
      <c r="BA69" s="267"/>
      <c r="BB69" s="268"/>
      <c r="BC69" s="343" t="str">
        <f t="shared" si="31"/>
        <v/>
      </c>
      <c r="BD69" s="348"/>
      <c r="BE69" s="371"/>
      <c r="BF69" s="369"/>
      <c r="BG69" s="269"/>
      <c r="BI69" s="198"/>
      <c r="BL69" s="198"/>
      <c r="BN69" s="199"/>
      <c r="BP69" s="301" t="s">
        <v>1450</v>
      </c>
      <c r="BQ69" s="302" t="str">
        <f t="shared" si="34"/>
        <v>N</v>
      </c>
      <c r="BR69" s="303" t="s">
        <v>1448</v>
      </c>
      <c r="BT69" s="301" t="str">
        <f t="shared" si="35"/>
        <v>N</v>
      </c>
      <c r="BU69" s="302" t="s">
        <v>1450</v>
      </c>
      <c r="BV69" s="302" t="s">
        <v>1450</v>
      </c>
      <c r="BW69" s="303" t="s">
        <v>1450</v>
      </c>
      <c r="BY69" s="358">
        <f t="shared" si="37"/>
        <v>0.85</v>
      </c>
      <c r="BZ69" s="359">
        <f t="shared" si="38"/>
        <v>0</v>
      </c>
      <c r="CA69" s="359">
        <f t="shared" si="39"/>
        <v>0</v>
      </c>
      <c r="CB69" s="360">
        <f t="shared" si="40"/>
        <v>0.85</v>
      </c>
      <c r="CD69" s="313">
        <f t="shared" si="41"/>
        <v>64</v>
      </c>
    </row>
    <row r="70" spans="1:82" s="199" customFormat="1" outlineLevel="1" x14ac:dyDescent="0.3">
      <c r="A70" s="201"/>
      <c r="F70" s="759"/>
      <c r="G70" s="759"/>
      <c r="H70" s="759"/>
      <c r="I70" s="759"/>
      <c r="J70" s="759"/>
      <c r="K70" s="759"/>
      <c r="L70" s="509"/>
      <c r="M70" s="510"/>
      <c r="N70" s="511"/>
      <c r="O70" s="220"/>
      <c r="P70" s="222"/>
      <c r="Q70" s="751"/>
      <c r="R70" s="509"/>
      <c r="S70" s="510"/>
      <c r="T70" s="232"/>
      <c r="U70" s="270" t="str">
        <f>IFERROR(VLOOKUP($B70,#REF!,8,FALSE),"")</f>
        <v/>
      </c>
      <c r="V70" s="271" t="str">
        <f>IFERROR(VLOOKUP($B70,#REF!,9,FALSE),"")</f>
        <v/>
      </c>
      <c r="W70" s="271" t="str">
        <f>IFERROR(VLOOKUP($B70,#REF!,10,FALSE),"")</f>
        <v/>
      </c>
      <c r="X70" s="271" t="str">
        <f>IFERROR(VLOOKUP($B70,#REF!,11,FALSE),"")</f>
        <v/>
      </c>
      <c r="Y70" s="272" t="str">
        <f>IFERROR(VLOOKUP($B70,#REF!,12,FALSE),"")</f>
        <v/>
      </c>
      <c r="Z70" s="271"/>
      <c r="AA70" s="271"/>
      <c r="AB70" s="271"/>
      <c r="AC70" s="272"/>
      <c r="AD70" s="271"/>
      <c r="AE70" s="271"/>
      <c r="AF70" s="271"/>
      <c r="AG70" s="272"/>
      <c r="AH70" s="271"/>
      <c r="AI70" s="271"/>
      <c r="AJ70" s="271"/>
      <c r="AK70" s="271"/>
      <c r="AL70" s="272"/>
      <c r="AM70" s="349"/>
      <c r="AN70" s="270"/>
      <c r="AO70" s="271"/>
      <c r="AP70" s="271"/>
      <c r="AQ70" s="271"/>
      <c r="AR70" s="272"/>
      <c r="AS70" s="349"/>
      <c r="AT70" s="326"/>
      <c r="AU70" s="349"/>
      <c r="AV70" s="509"/>
      <c r="AW70" s="271"/>
      <c r="AX70" s="271"/>
      <c r="AY70" s="271"/>
      <c r="AZ70" s="272"/>
      <c r="BA70" s="270"/>
      <c r="BB70" s="271"/>
      <c r="BC70" s="344" t="str">
        <f t="shared" si="31"/>
        <v/>
      </c>
      <c r="BD70" s="349"/>
      <c r="BE70" s="378">
        <f>'Original Title I &amp; II'!AZ70</f>
        <v>0</v>
      </c>
      <c r="BF70" s="245"/>
      <c r="BG70" s="272">
        <f t="shared" ref="BG70:BG81" si="122">IF(BF70&lt;0,BB70+BF70,BB70)</f>
        <v>0</v>
      </c>
      <c r="BI70" s="200"/>
      <c r="BL70" s="200"/>
      <c r="BP70" s="304" t="s">
        <v>1450</v>
      </c>
      <c r="BQ70" s="305" t="str">
        <f t="shared" si="34"/>
        <v>N</v>
      </c>
      <c r="BR70" s="306" t="s">
        <v>1448</v>
      </c>
      <c r="BT70" s="304" t="str">
        <f t="shared" si="35"/>
        <v>N</v>
      </c>
      <c r="BU70" s="305" t="s">
        <v>1450</v>
      </c>
      <c r="BV70" s="305" t="s">
        <v>1450</v>
      </c>
      <c r="BW70" s="306" t="s">
        <v>1450</v>
      </c>
      <c r="BY70" s="361">
        <f t="shared" si="37"/>
        <v>0.85</v>
      </c>
      <c r="BZ70" s="362">
        <f t="shared" si="38"/>
        <v>0</v>
      </c>
      <c r="CA70" s="362">
        <f t="shared" si="39"/>
        <v>0</v>
      </c>
      <c r="CB70" s="363">
        <f t="shared" si="40"/>
        <v>0.85</v>
      </c>
      <c r="CD70" s="314">
        <f t="shared" si="41"/>
        <v>65</v>
      </c>
    </row>
    <row r="71" spans="1:82" outlineLevel="1" x14ac:dyDescent="0.3">
      <c r="A71" s="1">
        <v>40305000</v>
      </c>
      <c r="B71" s="47">
        <f>VLOOKUP(C71,'NCES ID'!$A$2:$B$3136,2,FALSE)</f>
        <v>409540</v>
      </c>
      <c r="C71" s="47">
        <f>VLOOKUP(A71,'State ID'!$A$2:$B$713,2,FALSE)</f>
        <v>4213</v>
      </c>
      <c r="D71" s="147" t="s">
        <v>449</v>
      </c>
      <c r="E71" s="47" t="s">
        <v>131</v>
      </c>
      <c r="F71" s="382">
        <f>IFERROR(VLOOKUP($B71,'update_Formula counts'!$D$7:$R$234,'update_Formula counts'!F$5,0),0)</f>
        <v>24</v>
      </c>
      <c r="G71" s="382">
        <f>IFERROR(VLOOKUP($B71,'update_Formula counts'!$D$7:$R$234,'update_Formula counts'!G$5,0),0)</f>
        <v>0</v>
      </c>
      <c r="H71" s="382">
        <f>IFERROR(VLOOKUP($B71,'update_Formula counts'!$D$7:$R$234,'update_Formula counts'!H$5,0),0)</f>
        <v>0</v>
      </c>
      <c r="I71" s="382">
        <f>IFERROR(VLOOKUP($B71,'update_Formula counts'!$D$7:$R$234,'update_Formula counts'!I$5,0),0)</f>
        <v>1</v>
      </c>
      <c r="J71" s="382">
        <f>IFERROR(VLOOKUP($B71,'update_Formula counts'!$D$7:$R$234,'update_Formula counts'!J$5,0),0)</f>
        <v>0</v>
      </c>
      <c r="K71" s="382">
        <f t="shared" ref="K71:K79" si="123">M71-I71</f>
        <v>24</v>
      </c>
      <c r="L71" s="444">
        <f>IFERROR(VLOOKUP($B71,'update_Formula counts'!$D$7:$R$234,'update_Formula counts'!L$5,0),0)</f>
        <v>95</v>
      </c>
      <c r="M71" s="445">
        <f>IFERROR(VLOOKUP($B71,'update_Formula counts'!$D$7:$R$234,'update_Formula counts'!K$5,0),0)</f>
        <v>25</v>
      </c>
      <c r="N71" s="446">
        <f>IFERROR(VLOOKUP($B71,'update_Formula counts'!$D$7:$R$234,'update_Formula counts'!M$5,0),0)</f>
        <v>0.26315789473684209</v>
      </c>
      <c r="O71" s="137">
        <f>VLOOKUP($C71,'Final SEA Counts'!$A$2:$F$709,5,FALSE)</f>
        <v>30</v>
      </c>
      <c r="P71" s="208">
        <f>VLOOKUP($C71,'Final SEA Counts'!$A$2:$F$709,6,FALSE)</f>
        <v>26</v>
      </c>
      <c r="Q71" s="748">
        <f t="shared" ref="Q71:Q78" si="124">-F71/($F$83-$F$79)*$S$82+(M71/($M$83-$M$79)*$M$79)</f>
        <v>-7.3848495082555754E-3</v>
      </c>
      <c r="R71" s="444">
        <f t="shared" ref="R71:R78" si="125">L71-(L71/(L$83-L$79))*R$82+(L71/(L$83-L$79))*L$79</f>
        <v>95.123042108358462</v>
      </c>
      <c r="S71" s="445">
        <f t="shared" ref="S71:S78" si="126">Q71+K71+I71</f>
        <v>24.992615150491744</v>
      </c>
      <c r="T71" s="229">
        <f t="shared" ref="T71:T78" si="127">S71/R71</f>
        <v>0.26273986403863803</v>
      </c>
      <c r="U71" s="261">
        <f>VLOOKUP($B71,update_Allocation!$D$8:$Q$235,update_Allocation!K$239,0)</f>
        <v>11863.709176655524</v>
      </c>
      <c r="V71" s="262">
        <f>VLOOKUP($B71,update_Allocation!$D$8:$Q$235,update_Allocation!L$239,0)</f>
        <v>2893.5084389163617</v>
      </c>
      <c r="W71" s="262">
        <f>VLOOKUP($B71,update_Allocation!$D$8:$Q$235,update_Allocation!M$239,0)</f>
        <v>5374.584260490542</v>
      </c>
      <c r="X71" s="262">
        <f>VLOOKUP($B71,update_Allocation!$D$8:$Q$235,update_Allocation!N$239,0)</f>
        <v>5067.0883168901564</v>
      </c>
      <c r="Y71" s="263">
        <f>VLOOKUP($B71,update_Allocation!$D$8:$Q$235,update_Allocation!O$239,0)</f>
        <v>25198.890192952585</v>
      </c>
      <c r="Z71" s="262">
        <f t="shared" ref="Z71:AC78" si="128">IF(U71=0,"",U71-(U71/(U$83-U$79)*Z$82-U71/(U$83-U$79)*U$79))</f>
        <v>12070.034812654143</v>
      </c>
      <c r="AA71" s="262">
        <f t="shared" si="128"/>
        <v>2947.6974013473455</v>
      </c>
      <c r="AB71" s="262">
        <f t="shared" si="128"/>
        <v>5518.4373508672388</v>
      </c>
      <c r="AC71" s="263">
        <f t="shared" si="128"/>
        <v>5269.1779528245561</v>
      </c>
      <c r="AD71" s="262">
        <f t="shared" ref="AD71:AD81" si="129">IF(BT71="Y",Z71,"")</f>
        <v>12070.034812654143</v>
      </c>
      <c r="AE71" s="262">
        <f t="shared" ref="AE71:AE81" si="130">IF(BU71="Y",AA71,"")</f>
        <v>2947.6974013473455</v>
      </c>
      <c r="AF71" s="262">
        <f t="shared" ref="AF71:AF81" si="131">IF(BV71="Y",AB71,"")</f>
        <v>5518.4373508672388</v>
      </c>
      <c r="AG71" s="263">
        <f t="shared" ref="AG71:AG81" si="132">IF(BW71="Y",AC71,"")</f>
        <v>5269.1779528245561</v>
      </c>
      <c r="AH71" s="262">
        <f t="shared" ref="AH71:AK78" si="133">IF(AD71="","",AD71+AD$84)</f>
        <v>12070.034812654143</v>
      </c>
      <c r="AI71" s="262">
        <f t="shared" si="133"/>
        <v>2947.6974013473455</v>
      </c>
      <c r="AJ71" s="262">
        <f t="shared" si="133"/>
        <v>5518.4373508672388</v>
      </c>
      <c r="AK71" s="262">
        <f t="shared" si="133"/>
        <v>5269.1779528245561</v>
      </c>
      <c r="AL71" s="263">
        <f t="shared" ref="AL71:AL78" si="134">SUM(AH71:AK71)</f>
        <v>25805.347517693284</v>
      </c>
      <c r="AM71" s="346"/>
      <c r="AN71" s="261">
        <f>IFERROR(VLOOKUP($A71,'HH &amp; SI'!$B$4:$Z$494,'HH &amp; SI'!V$503,0),0)</f>
        <v>11905.391703588524</v>
      </c>
      <c r="AO71" s="262">
        <f>IFERROR(VLOOKUP($A71,'HH &amp; SI'!$B$4:$Z$494,'HH &amp; SI'!W$503,0),0)</f>
        <v>2855.4279308544465</v>
      </c>
      <c r="AP71" s="262">
        <f>IFERROR(VLOOKUP($A71,'HH &amp; SI'!$B$4:$Z$494,'HH &amp; SI'!X$503,0),0)</f>
        <v>5468.2493177534989</v>
      </c>
      <c r="AQ71" s="262">
        <f>IFERROR(VLOOKUP($A71,'HH &amp; SI'!$B$4:$Z$494,'HH &amp; SI'!Y$503,0),0)</f>
        <v>5211.1210967892521</v>
      </c>
      <c r="AR71" s="263">
        <f t="shared" ref="AR71:AR81" si="135">SUM(AN71:AQ71)</f>
        <v>25440.190048985722</v>
      </c>
      <c r="AS71" s="346"/>
      <c r="AT71" s="323">
        <f>IFERROR(VLOOKUP(A71,'Afton FY16 Final'!$A$5:$BV$572,'Afton FY16 Final'!$BV$587,0),0)</f>
        <v>27480.280199236367</v>
      </c>
      <c r="AU71" s="346"/>
      <c r="AV71" s="444">
        <v>0</v>
      </c>
      <c r="AW71" s="262">
        <f>IFERROR(VLOOKUP($A71,'HH &amp; SI'!$B$4:$EY$503,'HH &amp; SI'!EX$503,0),0)</f>
        <v>0</v>
      </c>
      <c r="AX71" s="262">
        <f>IFERROR(VLOOKUP($A71,'HH &amp; SI'!$B$4:$EY$503,'HH &amp; SI'!EY$503,0),0)</f>
        <v>25440.190048985722</v>
      </c>
      <c r="AY71" s="262">
        <f>AX71/$AX$582*'update_State Admin 1004(b)'!$B$30*0.01</f>
        <v>243.48089420018792</v>
      </c>
      <c r="AZ71" s="263">
        <f t="shared" ref="AZ71:AZ80" si="136">AX71-AY71</f>
        <v>25196.709154785534</v>
      </c>
      <c r="BA71" s="261">
        <f t="shared" ref="BA71:BA80" si="137">AZ71*0.01</f>
        <v>251.96709154785535</v>
      </c>
      <c r="BB71" s="262">
        <f t="shared" ref="BB71:BB80" si="138">AZ71-BA71</f>
        <v>24944.742063237678</v>
      </c>
      <c r="BC71" s="341">
        <f t="shared" ref="BC71:BC80" si="139">IFERROR(BB71/AT71,"")</f>
        <v>0.90773244968334976</v>
      </c>
      <c r="BD71" s="346"/>
      <c r="BE71" s="376" t="str">
        <f>'Original Title I &amp; II'!AZ71</f>
        <v/>
      </c>
      <c r="BF71" s="243" t="str">
        <f t="shared" ref="BF71:BF80" si="140">IF(BE71&lt;0,BB71*BE71/100,"")</f>
        <v/>
      </c>
      <c r="BG71" s="263">
        <f t="shared" si="122"/>
        <v>24944.742063237678</v>
      </c>
      <c r="BI71" s="31">
        <f>IFERROR(VLOOKUP(A71,'Title II Hold Harmless'!A$1:B$439,2, FALSE),"")</f>
        <v>2594</v>
      </c>
      <c r="BJ71" s="31">
        <f t="shared" ref="BJ71:BJ80" si="141">IFERROR($BI$587*(0.8*($S71/$S$584)+0.2*($R71/$R$584))+$BI71,$BI$587*(0.8*($S71/$S$584)+0.2*($R71/$R$584)))</f>
        <v>2997.7306315505712</v>
      </c>
      <c r="BK71" s="31">
        <f t="shared" ref="BK71:BK80" si="142">$BI$588*BJ71</f>
        <v>3000.6306117598701</v>
      </c>
      <c r="BL71" s="31" t="str">
        <f t="shared" ref="BL71:BL80" si="143">IF(BE71&lt;0,BK71*BE71/100,"")</f>
        <v/>
      </c>
      <c r="BM71" s="31">
        <f t="shared" ref="BM71:BM80" si="144">IF(BL71&lt;0,BK71+BL71,BK71)</f>
        <v>3000.6306117598701</v>
      </c>
      <c r="BN71" s="200"/>
      <c r="BP71" s="295" t="s">
        <v>1447</v>
      </c>
      <c r="BQ71" s="296" t="str">
        <f t="shared" ref="BQ71:BQ134" si="145">IF(OR(BP71="y",BP71="n"),"Y","N")</f>
        <v>Y</v>
      </c>
      <c r="BR71" s="297" t="s">
        <v>1448</v>
      </c>
      <c r="BT71" s="295" t="str">
        <f t="shared" ref="BT71:BT134" si="146">IF(AND(S71&gt;=10,T71&gt;0.02),"Y","N")</f>
        <v>Y</v>
      </c>
      <c r="BU71" s="296" t="str">
        <f t="shared" ref="BU71:BU81" si="147">IF(AND(BT71="Y",(OR(T71&gt;0.15,S71&gt;6500))),"Y","N")</f>
        <v>Y</v>
      </c>
      <c r="BV71" s="296" t="str">
        <f t="shared" ref="BV71:BV81" si="148">IF(AND(BT71="Y",T71&gt;=0.05),"Y","N")</f>
        <v>Y</v>
      </c>
      <c r="BW71" s="297" t="str">
        <f t="shared" ref="BW71:BW134" si="149">BV71</f>
        <v>Y</v>
      </c>
      <c r="BY71" s="352">
        <f t="shared" ref="BY71:BY134" si="150">IF(BT71="NA","NA",IF($T71&lt;0.15,0.85,0))</f>
        <v>0</v>
      </c>
      <c r="BZ71" s="353">
        <f t="shared" ref="BZ71:BZ134" si="151">IF(BT71="NA","NA",IF(AND($T71&gt;=0.15,$T71&lt;0.3),0.9,0))</f>
        <v>0.9</v>
      </c>
      <c r="CA71" s="353">
        <f t="shared" ref="CA71:CA134" si="152">IF(BT71="NA","NA",IF($T71&gt;=0.3,0.95,0))</f>
        <v>0</v>
      </c>
      <c r="CB71" s="354">
        <f t="shared" ref="CB71:CB134" si="153">IF(BY71="NA","NA",MAX(BY71:CA71))</f>
        <v>0.9</v>
      </c>
      <c r="CD71" s="311">
        <f t="shared" si="41"/>
        <v>66</v>
      </c>
    </row>
    <row r="72" spans="1:82" outlineLevel="1" x14ac:dyDescent="0.3">
      <c r="A72" s="1">
        <v>40333000</v>
      </c>
      <c r="B72" s="47">
        <f>VLOOKUP(C72,'NCES ID'!$A$2:$B$3136,2,FALSE)</f>
        <v>405760</v>
      </c>
      <c r="C72" s="47">
        <f>VLOOKUP(A72,'State ID'!$A$2:$B$713,2,FALSE)</f>
        <v>4215</v>
      </c>
      <c r="D72" s="147" t="s">
        <v>418</v>
      </c>
      <c r="E72" s="47" t="s">
        <v>131</v>
      </c>
      <c r="F72" s="382">
        <f>IFERROR(VLOOKUP($B72,'update_Formula counts'!$D$7:$R$234,'update_Formula counts'!F$5,0),0)</f>
        <v>48</v>
      </c>
      <c r="G72" s="382">
        <f>IFERROR(VLOOKUP($B72,'update_Formula counts'!$D$7:$R$234,'update_Formula counts'!G$5,0),0)</f>
        <v>0</v>
      </c>
      <c r="H72" s="382">
        <f>IFERROR(VLOOKUP($B72,'update_Formula counts'!$D$7:$R$234,'update_Formula counts'!H$5,0),0)</f>
        <v>0</v>
      </c>
      <c r="I72" s="382">
        <f>IFERROR(VLOOKUP($B72,'update_Formula counts'!$D$7:$R$234,'update_Formula counts'!I$5,0),0)</f>
        <v>1</v>
      </c>
      <c r="J72" s="382">
        <f>IFERROR(VLOOKUP($B72,'update_Formula counts'!$D$7:$R$234,'update_Formula counts'!J$5,0),0)</f>
        <v>0</v>
      </c>
      <c r="K72" s="382">
        <f t="shared" si="123"/>
        <v>48</v>
      </c>
      <c r="L72" s="444">
        <f>IFERROR(VLOOKUP($B72,'update_Formula counts'!$D$7:$R$234,'update_Formula counts'!L$5,0),0)</f>
        <v>102</v>
      </c>
      <c r="M72" s="445">
        <f>IFERROR(VLOOKUP($B72,'update_Formula counts'!$D$7:$R$234,'update_Formula counts'!K$5,0),0)</f>
        <v>49</v>
      </c>
      <c r="N72" s="446">
        <f>IFERROR(VLOOKUP($B72,'update_Formula counts'!$D$7:$R$234,'update_Formula counts'!M$5,0),0)</f>
        <v>0.48039215686274511</v>
      </c>
      <c r="O72" s="137">
        <f>VLOOKUP($C72,'Final SEA Counts'!$A$2:$F$709,5,FALSE)</f>
        <v>53</v>
      </c>
      <c r="P72" s="208">
        <f>VLOOKUP($C72,'Final SEA Counts'!$A$2:$F$709,6,FALSE)</f>
        <v>47</v>
      </c>
      <c r="Q72" s="748">
        <f t="shared" si="124"/>
        <v>-6.598263702190188E-2</v>
      </c>
      <c r="R72" s="444">
        <f t="shared" si="125"/>
        <v>102.13210836897434</v>
      </c>
      <c r="S72" s="445">
        <f t="shared" si="126"/>
        <v>48.934017362978096</v>
      </c>
      <c r="T72" s="229">
        <f t="shared" si="127"/>
        <v>0.47912471547334917</v>
      </c>
      <c r="U72" s="261">
        <f>VLOOKUP($B72,update_Allocation!$D$8:$Q$235,update_Allocation!K$239,0)</f>
        <v>24567.93465432007</v>
      </c>
      <c r="V72" s="262">
        <f>VLOOKUP($B72,update_Allocation!$D$8:$Q$235,update_Allocation!L$239,0)</f>
        <v>5817.3896631772086</v>
      </c>
      <c r="W72" s="262">
        <f>VLOOKUP($B72,update_Allocation!$D$8:$Q$235,update_Allocation!M$239,0)</f>
        <v>17538.640880879015</v>
      </c>
      <c r="X72" s="262">
        <f>VLOOKUP($B72,update_Allocation!$D$8:$Q$235,update_Allocation!N$239,0)</f>
        <v>19511.131212379129</v>
      </c>
      <c r="Y72" s="263">
        <f>VLOOKUP($B72,update_Allocation!$D$8:$Q$235,update_Allocation!O$239,0)</f>
        <v>67435.096410755417</v>
      </c>
      <c r="Z72" s="262">
        <f t="shared" si="128"/>
        <v>24995.203619467957</v>
      </c>
      <c r="AA72" s="262">
        <f t="shared" si="128"/>
        <v>5926.3364025972469</v>
      </c>
      <c r="AB72" s="262">
        <f t="shared" si="128"/>
        <v>18008.070248703501</v>
      </c>
      <c r="AC72" s="263">
        <f t="shared" si="128"/>
        <v>20289.289625413847</v>
      </c>
      <c r="AD72" s="262">
        <f t="shared" si="129"/>
        <v>24995.203619467957</v>
      </c>
      <c r="AE72" s="262">
        <f t="shared" si="130"/>
        <v>5926.3364025972469</v>
      </c>
      <c r="AF72" s="262">
        <f t="shared" si="131"/>
        <v>18008.070248703501</v>
      </c>
      <c r="AG72" s="263">
        <f t="shared" si="132"/>
        <v>20289.289625413847</v>
      </c>
      <c r="AH72" s="262">
        <f t="shared" si="133"/>
        <v>24995.203619467957</v>
      </c>
      <c r="AI72" s="262">
        <f t="shared" si="133"/>
        <v>5926.3364025972469</v>
      </c>
      <c r="AJ72" s="262">
        <f t="shared" si="133"/>
        <v>18008.070248703501</v>
      </c>
      <c r="AK72" s="262">
        <f t="shared" si="133"/>
        <v>20289.289625413847</v>
      </c>
      <c r="AL72" s="263">
        <f t="shared" si="134"/>
        <v>69218.899896182556</v>
      </c>
      <c r="AM72" s="346"/>
      <c r="AN72" s="261">
        <f>IFERROR(VLOOKUP($A72,'HH &amp; SI'!$B$4:$Z$494,'HH &amp; SI'!V$503,0),0)</f>
        <v>24654.252818619982</v>
      </c>
      <c r="AO72" s="262">
        <f>IFERROR(VLOOKUP($A72,'HH &amp; SI'!$B$4:$Z$494,'HH &amp; SI'!W$503,0),0)</f>
        <v>5740.8289208657425</v>
      </c>
      <c r="AP72" s="262">
        <f>IFERROR(VLOOKUP($A72,'HH &amp; SI'!$B$4:$Z$494,'HH &amp; SI'!X$503,0),0)</f>
        <v>17844.293880776728</v>
      </c>
      <c r="AQ72" s="262">
        <f>IFERROR(VLOOKUP($A72,'HH &amp; SI'!$B$4:$Z$494,'HH &amp; SI'!Y$503,0),0)</f>
        <v>20065.738176328738</v>
      </c>
      <c r="AR72" s="263">
        <f t="shared" si="135"/>
        <v>68305.113796591191</v>
      </c>
      <c r="AS72" s="346"/>
      <c r="AT72" s="323">
        <f>IFERROR(VLOOKUP(A72,'Afton FY16 Final'!$A$5:$BV$572,'Afton FY16 Final'!$BV$587,0),0)</f>
        <v>68760.01410790981</v>
      </c>
      <c r="AU72" s="346"/>
      <c r="AV72" s="444">
        <v>0</v>
      </c>
      <c r="AW72" s="262">
        <f>IFERROR(VLOOKUP($A72,'HH &amp; SI'!$B$4:$EY$503,'HH &amp; SI'!EX$503,0),0)</f>
        <v>0</v>
      </c>
      <c r="AX72" s="262">
        <f>IFERROR(VLOOKUP($A72,'HH &amp; SI'!$B$4:$EY$503,'HH &amp; SI'!EY$503,0),0)</f>
        <v>68305.113796591191</v>
      </c>
      <c r="AY72" s="262">
        <f>AX72/$AX$582*'update_State Admin 1004(b)'!$B$30*0.01</f>
        <v>653.72900727613387</v>
      </c>
      <c r="AZ72" s="263">
        <f t="shared" si="136"/>
        <v>67651.384789315052</v>
      </c>
      <c r="BA72" s="261">
        <f t="shared" si="137"/>
        <v>676.51384789315057</v>
      </c>
      <c r="BB72" s="262">
        <f t="shared" si="138"/>
        <v>66974.870941421905</v>
      </c>
      <c r="BC72" s="341">
        <f t="shared" si="139"/>
        <v>0.97403806282403671</v>
      </c>
      <c r="BD72" s="346"/>
      <c r="BE72" s="376" t="str">
        <f>'Original Title I &amp; II'!AZ72</f>
        <v/>
      </c>
      <c r="BF72" s="243" t="str">
        <f t="shared" si="140"/>
        <v/>
      </c>
      <c r="BG72" s="263">
        <f t="shared" si="122"/>
        <v>66974.870941421905</v>
      </c>
      <c r="BI72" s="31">
        <f>IFERROR(VLOOKUP(A72,'Title II Hold Harmless'!A$1:B$439,2, FALSE),"")</f>
        <v>2280</v>
      </c>
      <c r="BJ72" s="31">
        <f t="shared" si="141"/>
        <v>3002.7858471931345</v>
      </c>
      <c r="BK72" s="31">
        <f t="shared" si="142"/>
        <v>3005.6907177768931</v>
      </c>
      <c r="BL72" s="31" t="str">
        <f t="shared" si="143"/>
        <v/>
      </c>
      <c r="BM72" s="31">
        <f t="shared" si="144"/>
        <v>3005.6907177768931</v>
      </c>
      <c r="BN72" s="200"/>
      <c r="BP72" s="295" t="s">
        <v>1447</v>
      </c>
      <c r="BQ72" s="296" t="str">
        <f t="shared" si="145"/>
        <v>Y</v>
      </c>
      <c r="BR72" s="297" t="s">
        <v>1448</v>
      </c>
      <c r="BT72" s="295" t="str">
        <f t="shared" si="146"/>
        <v>Y</v>
      </c>
      <c r="BU72" s="296" t="str">
        <f t="shared" si="147"/>
        <v>Y</v>
      </c>
      <c r="BV72" s="296" t="str">
        <f t="shared" si="148"/>
        <v>Y</v>
      </c>
      <c r="BW72" s="297" t="str">
        <f t="shared" si="149"/>
        <v>Y</v>
      </c>
      <c r="BY72" s="352">
        <f t="shared" si="150"/>
        <v>0</v>
      </c>
      <c r="BZ72" s="353">
        <f t="shared" si="151"/>
        <v>0</v>
      </c>
      <c r="CA72" s="353">
        <f t="shared" si="152"/>
        <v>0.95</v>
      </c>
      <c r="CB72" s="354">
        <f t="shared" si="153"/>
        <v>0.95</v>
      </c>
      <c r="CD72" s="311">
        <f t="shared" ref="CD72:CD135" si="154">CD71+1</f>
        <v>67</v>
      </c>
    </row>
    <row r="73" spans="1:82" outlineLevel="1" x14ac:dyDescent="0.3">
      <c r="A73" s="1">
        <v>40241000</v>
      </c>
      <c r="B73" s="47">
        <f>VLOOKUP(C73,'NCES ID'!$A$2:$B$3136,2,FALSE)</f>
        <v>403730</v>
      </c>
      <c r="C73" s="47">
        <f>VLOOKUP(A73,'State ID'!$A$2:$B$713,2,FALSE)</f>
        <v>4212</v>
      </c>
      <c r="D73" s="147" t="s">
        <v>193</v>
      </c>
      <c r="E73" s="47" t="s">
        <v>131</v>
      </c>
      <c r="F73" s="382">
        <f>IFERROR(VLOOKUP($B73,'update_Formula counts'!$D$7:$R$234,'update_Formula counts'!F$5,0),0)</f>
        <v>74</v>
      </c>
      <c r="G73" s="382">
        <f>IFERROR(VLOOKUP($B73,'update_Formula counts'!$D$7:$R$234,'update_Formula counts'!G$5,0),0)</f>
        <v>0</v>
      </c>
      <c r="H73" s="382">
        <f>IFERROR(VLOOKUP($B73,'update_Formula counts'!$D$7:$R$234,'update_Formula counts'!H$5,0),0)</f>
        <v>0</v>
      </c>
      <c r="I73" s="382">
        <f>IFERROR(VLOOKUP($B73,'update_Formula counts'!$D$7:$R$234,'update_Formula counts'!I$5,0),0)</f>
        <v>2</v>
      </c>
      <c r="J73" s="382">
        <f>IFERROR(VLOOKUP($B73,'update_Formula counts'!$D$7:$R$234,'update_Formula counts'!J$5,0),0)</f>
        <v>0</v>
      </c>
      <c r="K73" s="382">
        <f t="shared" si="123"/>
        <v>74</v>
      </c>
      <c r="L73" s="444">
        <f>IFERROR(VLOOKUP($B73,'update_Formula counts'!$D$7:$R$234,'update_Formula counts'!L$5,0),0)</f>
        <v>200</v>
      </c>
      <c r="M73" s="445">
        <f>IFERROR(VLOOKUP($B73,'update_Formula counts'!$D$7:$R$234,'update_Formula counts'!K$5,0),0)</f>
        <v>76</v>
      </c>
      <c r="N73" s="446">
        <f>IFERROR(VLOOKUP($B73,'update_Formula counts'!$D$7:$R$234,'update_Formula counts'!M$5,0),0)</f>
        <v>0.38</v>
      </c>
      <c r="O73" s="137">
        <f>VLOOKUP($C73,'Final SEA Counts'!$A$2:$F$709,5,FALSE)</f>
        <v>253</v>
      </c>
      <c r="P73" s="208">
        <f>VLOOKUP($C73,'Final SEA Counts'!$A$2:$F$709,6,FALSE)</f>
        <v>219</v>
      </c>
      <c r="Q73" s="748">
        <f t="shared" si="124"/>
        <v>-7.8250635489628184E-2</v>
      </c>
      <c r="R73" s="444">
        <f t="shared" si="125"/>
        <v>200.25903601759677</v>
      </c>
      <c r="S73" s="445">
        <f t="shared" si="126"/>
        <v>75.921749364510376</v>
      </c>
      <c r="T73" s="229">
        <f t="shared" si="127"/>
        <v>0.3791177210991824</v>
      </c>
      <c r="U73" s="261">
        <f>VLOOKUP($B73,update_Allocation!$D$8:$Q$235,update_Allocation!K$239,0)</f>
        <v>49093.457666861119</v>
      </c>
      <c r="V73" s="262">
        <f>VLOOKUP($B73,update_Allocation!$D$8:$Q$235,update_Allocation!L$239,0)</f>
        <v>11973.68647017792</v>
      </c>
      <c r="W73" s="262">
        <f>VLOOKUP($B73,update_Allocation!$D$8:$Q$235,update_Allocation!M$239,0)</f>
        <v>27665.980525830961</v>
      </c>
      <c r="X73" s="262">
        <f>VLOOKUP($B73,update_Allocation!$D$8:$Q$235,update_Allocation!N$239,0)</f>
        <v>25724.44728871261</v>
      </c>
      <c r="Y73" s="263">
        <f>VLOOKUP($B73,update_Allocation!$D$8:$Q$235,update_Allocation!O$239,0)</f>
        <v>114457.57195158262</v>
      </c>
      <c r="Z73" s="262">
        <f t="shared" si="128"/>
        <v>49947.258002460869</v>
      </c>
      <c r="AA73" s="262">
        <f t="shared" si="128"/>
        <v>12197.926924280706</v>
      </c>
      <c r="AB73" s="262">
        <f t="shared" si="128"/>
        <v>28406.472553502521</v>
      </c>
      <c r="AC73" s="263">
        <f t="shared" si="128"/>
        <v>26750.410102477061</v>
      </c>
      <c r="AD73" s="262">
        <f t="shared" si="129"/>
        <v>49947.258002460869</v>
      </c>
      <c r="AE73" s="262">
        <f t="shared" si="130"/>
        <v>12197.926924280706</v>
      </c>
      <c r="AF73" s="262">
        <f t="shared" si="131"/>
        <v>28406.472553502521</v>
      </c>
      <c r="AG73" s="263">
        <f t="shared" si="132"/>
        <v>26750.410102477061</v>
      </c>
      <c r="AH73" s="262">
        <f t="shared" si="133"/>
        <v>49947.258002460869</v>
      </c>
      <c r="AI73" s="262">
        <f t="shared" si="133"/>
        <v>12197.926924280706</v>
      </c>
      <c r="AJ73" s="262">
        <f t="shared" si="133"/>
        <v>28406.472553502521</v>
      </c>
      <c r="AK73" s="262">
        <f t="shared" si="133"/>
        <v>26750.410102477061</v>
      </c>
      <c r="AL73" s="263">
        <f t="shared" si="134"/>
        <v>117302.06758272115</v>
      </c>
      <c r="AM73" s="346"/>
      <c r="AN73" s="261">
        <f>IFERROR(VLOOKUP($A73,'HH &amp; SI'!$B$4:$Z$494,'HH &amp; SI'!V$503,0),0)</f>
        <v>49265.944984357033</v>
      </c>
      <c r="AO73" s="262">
        <f>IFERROR(VLOOKUP($A73,'HH &amp; SI'!$B$4:$Z$494,'HH &amp; SI'!W$503,0),0)</f>
        <v>11825.228010271358</v>
      </c>
      <c r="AP73" s="262">
        <f>IFERROR(VLOOKUP($A73,'HH &amp; SI'!$B$4:$Z$494,'HH &amp; SI'!X$503,0),0)</f>
        <v>28148.12677651627</v>
      </c>
      <c r="AQ73" s="262">
        <f>IFERROR(VLOOKUP($A73,'HH &amp; SI'!$B$4:$Z$494,'HH &amp; SI'!Y$503,0),0)</f>
        <v>26476.684686813409</v>
      </c>
      <c r="AR73" s="263">
        <f t="shared" si="135"/>
        <v>115715.98445795808</v>
      </c>
      <c r="AS73" s="346"/>
      <c r="AT73" s="323">
        <f>IFERROR(VLOOKUP(A73,'Afton FY16 Final'!$A$5:$BV$572,'Afton FY16 Final'!$BV$587,0),0)</f>
        <v>118668.98092631182</v>
      </c>
      <c r="AU73" s="346"/>
      <c r="AV73" s="444">
        <v>0</v>
      </c>
      <c r="AW73" s="262">
        <f>IFERROR(VLOOKUP($A73,'HH &amp; SI'!$B$4:$EY$503,'HH &amp; SI'!EX$503,0),0)</f>
        <v>0</v>
      </c>
      <c r="AX73" s="262">
        <f>IFERROR(VLOOKUP($A73,'HH &amp; SI'!$B$4:$EY$503,'HH &amp; SI'!EY$503,0),0)</f>
        <v>115715.98445795808</v>
      </c>
      <c r="AY73" s="262">
        <f>AX73/$AX$582*'update_State Admin 1004(b)'!$B$30*0.01</f>
        <v>1107.4850979818834</v>
      </c>
      <c r="AZ73" s="263">
        <f t="shared" si="136"/>
        <v>114608.49935997619</v>
      </c>
      <c r="BA73" s="261">
        <f t="shared" si="137"/>
        <v>1146.0849935997619</v>
      </c>
      <c r="BB73" s="262">
        <f t="shared" si="138"/>
        <v>113462.41436637643</v>
      </c>
      <c r="BC73" s="341">
        <f t="shared" si="139"/>
        <v>0.9561252947544191</v>
      </c>
      <c r="BD73" s="346"/>
      <c r="BE73" s="376" t="str">
        <f>'Original Title I &amp; II'!AZ73</f>
        <v/>
      </c>
      <c r="BF73" s="243" t="str">
        <f t="shared" si="140"/>
        <v/>
      </c>
      <c r="BG73" s="263">
        <f t="shared" si="122"/>
        <v>113462.41436637643</v>
      </c>
      <c r="BI73" s="31">
        <f>IFERROR(VLOOKUP(A73,'Title II Hold Harmless'!A$1:B$439,2, FALSE),"")</f>
        <v>24228</v>
      </c>
      <c r="BJ73" s="31">
        <f t="shared" si="141"/>
        <v>25383.051865001478</v>
      </c>
      <c r="BK73" s="31">
        <f t="shared" si="142"/>
        <v>25407.607222739556</v>
      </c>
      <c r="BL73" s="31" t="str">
        <f t="shared" si="143"/>
        <v/>
      </c>
      <c r="BM73" s="31">
        <f t="shared" si="144"/>
        <v>25407.607222739556</v>
      </c>
      <c r="BN73" s="200"/>
      <c r="BP73" s="295" t="s">
        <v>1447</v>
      </c>
      <c r="BQ73" s="296" t="str">
        <f t="shared" si="145"/>
        <v>Y</v>
      </c>
      <c r="BR73" s="297" t="s">
        <v>1448</v>
      </c>
      <c r="BT73" s="295" t="str">
        <f t="shared" si="146"/>
        <v>Y</v>
      </c>
      <c r="BU73" s="296" t="str">
        <f t="shared" si="147"/>
        <v>Y</v>
      </c>
      <c r="BV73" s="296" t="str">
        <f t="shared" si="148"/>
        <v>Y</v>
      </c>
      <c r="BW73" s="297" t="str">
        <f t="shared" si="149"/>
        <v>Y</v>
      </c>
      <c r="BY73" s="352">
        <f t="shared" si="150"/>
        <v>0</v>
      </c>
      <c r="BZ73" s="353">
        <f t="shared" si="151"/>
        <v>0</v>
      </c>
      <c r="CA73" s="353">
        <f t="shared" si="152"/>
        <v>0.95</v>
      </c>
      <c r="CB73" s="354">
        <f t="shared" si="153"/>
        <v>0.95</v>
      </c>
      <c r="CD73" s="311">
        <f t="shared" si="154"/>
        <v>68</v>
      </c>
    </row>
    <row r="74" spans="1:82" outlineLevel="1" x14ac:dyDescent="0.3">
      <c r="A74" s="1">
        <v>40312000</v>
      </c>
      <c r="B74" s="47">
        <f>VLOOKUP(C74,'NCES ID'!$A$2:$B$3136,2,FALSE)</f>
        <v>406510</v>
      </c>
      <c r="C74" s="47">
        <f>VLOOKUP(A74,'State ID'!$A$2:$B$713,2,FALSE)</f>
        <v>4214</v>
      </c>
      <c r="D74" s="147" t="s">
        <v>347</v>
      </c>
      <c r="E74" s="47" t="s">
        <v>131</v>
      </c>
      <c r="F74" s="382">
        <f>IFERROR(VLOOKUP($B74,'update_Formula counts'!$D$7:$R$234,'update_Formula counts'!F$5,0),0)</f>
        <v>53</v>
      </c>
      <c r="G74" s="382">
        <f>IFERROR(VLOOKUP($B74,'update_Formula counts'!$D$7:$R$234,'update_Formula counts'!G$5,0),0)</f>
        <v>0</v>
      </c>
      <c r="H74" s="382">
        <f>IFERROR(VLOOKUP($B74,'update_Formula counts'!$D$7:$R$234,'update_Formula counts'!H$5,0),0)</f>
        <v>0</v>
      </c>
      <c r="I74" s="382">
        <f>IFERROR(VLOOKUP($B74,'update_Formula counts'!$D$7:$R$234,'update_Formula counts'!I$5,0),0)</f>
        <v>1</v>
      </c>
      <c r="J74" s="382">
        <f>IFERROR(VLOOKUP($B74,'update_Formula counts'!$D$7:$R$234,'update_Formula counts'!J$5,0),0)</f>
        <v>0</v>
      </c>
      <c r="K74" s="382">
        <f t="shared" si="123"/>
        <v>53</v>
      </c>
      <c r="L74" s="444">
        <f>IFERROR(VLOOKUP($B74,'update_Formula counts'!$D$7:$R$234,'update_Formula counts'!L$5,0),0)</f>
        <v>220</v>
      </c>
      <c r="M74" s="445">
        <f>IFERROR(VLOOKUP($B74,'update_Formula counts'!$D$7:$R$234,'update_Formula counts'!K$5,0),0)</f>
        <v>54</v>
      </c>
      <c r="N74" s="446">
        <f>IFERROR(VLOOKUP($B74,'update_Formula counts'!$D$7:$R$234,'update_Formula counts'!M$5,0),0)</f>
        <v>0.24545454545454545</v>
      </c>
      <c r="O74" s="137">
        <f>VLOOKUP($C74,'Final SEA Counts'!$A$2:$F$709,5,FALSE)</f>
        <v>141</v>
      </c>
      <c r="P74" s="208">
        <f>VLOOKUP($C74,'Final SEA Counts'!$A$2:$F$709,6,FALSE)</f>
        <v>92</v>
      </c>
      <c r="Q74" s="748">
        <f t="shared" si="124"/>
        <v>-7.8190509420578369E-2</v>
      </c>
      <c r="R74" s="444">
        <f t="shared" si="125"/>
        <v>220.28493961935646</v>
      </c>
      <c r="S74" s="445">
        <f t="shared" si="126"/>
        <v>53.92180949057942</v>
      </c>
      <c r="T74" s="229">
        <f t="shared" si="127"/>
        <v>0.24478209714996468</v>
      </c>
      <c r="U74" s="261">
        <f>VLOOKUP($B74,update_Allocation!$D$8:$Q$235,update_Allocation!K$239,0)</f>
        <v>29034.867195499053</v>
      </c>
      <c r="V74" s="262">
        <f>VLOOKUP($B74,update_Allocation!$D$8:$Q$235,update_Allocation!L$239,0)</f>
        <v>7081.4811794532006</v>
      </c>
      <c r="W74" s="262">
        <f>VLOOKUP($B74,update_Allocation!$D$8:$Q$235,update_Allocation!M$239,0)</f>
        <v>12083.426824434653</v>
      </c>
      <c r="X74" s="262">
        <f>VLOOKUP($B74,update_Allocation!$D$8:$Q$235,update_Allocation!N$239,0)</f>
        <v>10902.41644708447</v>
      </c>
      <c r="Y74" s="263">
        <f>VLOOKUP($B74,update_Allocation!$D$8:$Q$235,update_Allocation!O$239,0)</f>
        <v>59102.191646471379</v>
      </c>
      <c r="Z74" s="262">
        <f t="shared" si="128"/>
        <v>29539.82204149567</v>
      </c>
      <c r="AA74" s="262">
        <f t="shared" si="128"/>
        <v>7214.1015348763976</v>
      </c>
      <c r="AB74" s="262">
        <f t="shared" si="128"/>
        <v>12406.845010249261</v>
      </c>
      <c r="AC74" s="263">
        <f t="shared" si="128"/>
        <v>11337.235268625898</v>
      </c>
      <c r="AD74" s="262">
        <f t="shared" si="129"/>
        <v>29539.82204149567</v>
      </c>
      <c r="AE74" s="262">
        <f t="shared" si="130"/>
        <v>7214.1015348763976</v>
      </c>
      <c r="AF74" s="262">
        <f t="shared" si="131"/>
        <v>12406.845010249261</v>
      </c>
      <c r="AG74" s="263">
        <f t="shared" si="132"/>
        <v>11337.235268625898</v>
      </c>
      <c r="AH74" s="262">
        <f t="shared" si="133"/>
        <v>29539.82204149567</v>
      </c>
      <c r="AI74" s="262">
        <f t="shared" si="133"/>
        <v>7214.1015348763976</v>
      </c>
      <c r="AJ74" s="262">
        <f t="shared" si="133"/>
        <v>12406.845010249261</v>
      </c>
      <c r="AK74" s="262">
        <f t="shared" si="133"/>
        <v>11337.235268625898</v>
      </c>
      <c r="AL74" s="263">
        <f t="shared" si="134"/>
        <v>60498.003855247225</v>
      </c>
      <c r="AM74" s="346"/>
      <c r="AN74" s="261">
        <f>IFERROR(VLOOKUP($A74,'HH &amp; SI'!$B$4:$Z$494,'HH &amp; SI'!V$503,0),0)</f>
        <v>29136.879695624553</v>
      </c>
      <c r="AO74" s="262">
        <f>IFERROR(VLOOKUP($A74,'HH &amp; SI'!$B$4:$Z$494,'HH &amp; SI'!W$503,0),0)</f>
        <v>6992.0293974174529</v>
      </c>
      <c r="AP74" s="262">
        <f>IFERROR(VLOOKUP($A74,'HH &amp; SI'!$B$4:$Z$494,'HH &amp; SI'!X$503,0),0)</f>
        <v>12294.009598950521</v>
      </c>
      <c r="AQ74" s="262">
        <f>IFERROR(VLOOKUP($A74,'HH &amp; SI'!$B$4:$Z$494,'HH &amp; SI'!Y$503,0),0)</f>
        <v>11219.618089167774</v>
      </c>
      <c r="AR74" s="263">
        <f t="shared" si="135"/>
        <v>59642.536781160299</v>
      </c>
      <c r="AS74" s="346"/>
      <c r="AT74" s="323">
        <f>IFERROR(VLOOKUP(A74,'Afton FY16 Final'!$A$5:$BV$572,'Afton FY16 Final'!$BV$587,0),0)</f>
        <v>64538.319401735454</v>
      </c>
      <c r="AU74" s="346"/>
      <c r="AV74" s="444">
        <v>0</v>
      </c>
      <c r="AW74" s="262">
        <f>IFERROR(VLOOKUP($A74,'HH &amp; SI'!$B$4:$EY$503,'HH &amp; SI'!EX$503,0),0)</f>
        <v>0</v>
      </c>
      <c r="AX74" s="262">
        <f>IFERROR(VLOOKUP($A74,'HH &amp; SI'!$B$4:$EY$503,'HH &amp; SI'!EY$503,0),0)</f>
        <v>59642.536781160299</v>
      </c>
      <c r="AY74" s="262">
        <f>AX74/$AX$582*'update_State Admin 1004(b)'!$B$30*0.01</f>
        <v>570.82192231592546</v>
      </c>
      <c r="AZ74" s="263">
        <f t="shared" si="136"/>
        <v>59071.714858844374</v>
      </c>
      <c r="BA74" s="261">
        <f t="shared" si="137"/>
        <v>590.71714858844371</v>
      </c>
      <c r="BB74" s="262">
        <f t="shared" si="138"/>
        <v>58480.997710255928</v>
      </c>
      <c r="BC74" s="341">
        <f t="shared" si="139"/>
        <v>0.90614379569176318</v>
      </c>
      <c r="BD74" s="346"/>
      <c r="BE74" s="376" t="str">
        <f>'Original Title I &amp; II'!AZ74</f>
        <v/>
      </c>
      <c r="BF74" s="243" t="str">
        <f t="shared" si="140"/>
        <v/>
      </c>
      <c r="BG74" s="263">
        <f t="shared" si="122"/>
        <v>58480.997710255928</v>
      </c>
      <c r="BI74" s="31">
        <f>IFERROR(VLOOKUP(A74,'Title II Hold Harmless'!A$1:B$439,2, FALSE),"")</f>
        <v>7132</v>
      </c>
      <c r="BJ74" s="31">
        <f t="shared" si="141"/>
        <v>8015.1698593652618</v>
      </c>
      <c r="BK74" s="31">
        <f t="shared" si="142"/>
        <v>8022.9236694380197</v>
      </c>
      <c r="BL74" s="31" t="str">
        <f t="shared" si="143"/>
        <v/>
      </c>
      <c r="BM74" s="31">
        <f t="shared" si="144"/>
        <v>8022.9236694380197</v>
      </c>
      <c r="BN74" s="200"/>
      <c r="BP74" s="295" t="s">
        <v>1447</v>
      </c>
      <c r="BQ74" s="296" t="str">
        <f t="shared" si="145"/>
        <v>Y</v>
      </c>
      <c r="BR74" s="297" t="s">
        <v>1448</v>
      </c>
      <c r="BT74" s="295" t="str">
        <f t="shared" si="146"/>
        <v>Y</v>
      </c>
      <c r="BU74" s="296" t="str">
        <f t="shared" si="147"/>
        <v>Y</v>
      </c>
      <c r="BV74" s="296" t="str">
        <f t="shared" si="148"/>
        <v>Y</v>
      </c>
      <c r="BW74" s="297" t="str">
        <f t="shared" si="149"/>
        <v>Y</v>
      </c>
      <c r="BY74" s="352">
        <f t="shared" si="150"/>
        <v>0</v>
      </c>
      <c r="BZ74" s="353">
        <f t="shared" si="151"/>
        <v>0.9</v>
      </c>
      <c r="CA74" s="353">
        <f t="shared" si="152"/>
        <v>0</v>
      </c>
      <c r="CB74" s="354">
        <f t="shared" si="153"/>
        <v>0.9</v>
      </c>
      <c r="CD74" s="311">
        <f t="shared" si="154"/>
        <v>69</v>
      </c>
    </row>
    <row r="75" spans="1:82" outlineLevel="1" x14ac:dyDescent="0.3">
      <c r="A75" s="1">
        <v>40240000</v>
      </c>
      <c r="B75" s="47">
        <f>VLOOKUP(C75,'NCES ID'!$A$2:$B$3136,2,FALSE)</f>
        <v>405030</v>
      </c>
      <c r="C75" s="47">
        <f>VLOOKUP(A75,'State ID'!$A$2:$B$713,2,FALSE)</f>
        <v>4211</v>
      </c>
      <c r="D75" s="147" t="s">
        <v>285</v>
      </c>
      <c r="E75" s="47" t="s">
        <v>131</v>
      </c>
      <c r="F75" s="382">
        <f>IFERROR(VLOOKUP($B75,'update_Formula counts'!$D$7:$R$234,'update_Formula counts'!F$5,0),0)</f>
        <v>537</v>
      </c>
      <c r="G75" s="382">
        <f>IFERROR(VLOOKUP($B75,'update_Formula counts'!$D$7:$R$234,'update_Formula counts'!G$5,0),0)</f>
        <v>0</v>
      </c>
      <c r="H75" s="382">
        <f>IFERROR(VLOOKUP($B75,'update_Formula counts'!$D$7:$R$234,'update_Formula counts'!H$5,0),0)</f>
        <v>0</v>
      </c>
      <c r="I75" s="382">
        <f>IFERROR(VLOOKUP($B75,'update_Formula counts'!$D$7:$R$234,'update_Formula counts'!I$5,0),0)</f>
        <v>15</v>
      </c>
      <c r="J75" s="382">
        <f>IFERROR(VLOOKUP($B75,'update_Formula counts'!$D$7:$R$234,'update_Formula counts'!J$5,0),0)</f>
        <v>0</v>
      </c>
      <c r="K75" s="382">
        <f t="shared" si="123"/>
        <v>537</v>
      </c>
      <c r="L75" s="444">
        <f>IFERROR(VLOOKUP($B75,'update_Formula counts'!$D$7:$R$234,'update_Formula counts'!L$5,0),0)</f>
        <v>1223</v>
      </c>
      <c r="M75" s="445">
        <f>IFERROR(VLOOKUP($B75,'update_Formula counts'!$D$7:$R$234,'update_Formula counts'!K$5,0),0)</f>
        <v>552</v>
      </c>
      <c r="N75" s="446">
        <f>IFERROR(VLOOKUP($B75,'update_Formula counts'!$D$7:$R$234,'update_Formula counts'!M$5,0),0)</f>
        <v>0.45134914145543747</v>
      </c>
      <c r="O75" s="137">
        <f>VLOOKUP($C75,'Final SEA Counts'!$A$2:$F$709,5,FALSE)</f>
        <v>1018</v>
      </c>
      <c r="P75" s="208">
        <f>VLOOKUP($C75,'Final SEA Counts'!$A$2:$F$709,6,FALSE)</f>
        <v>709</v>
      </c>
      <c r="Q75" s="748">
        <f t="shared" si="124"/>
        <v>-0.54293142553697393</v>
      </c>
      <c r="R75" s="444">
        <f t="shared" si="125"/>
        <v>1224.5840052476042</v>
      </c>
      <c r="S75" s="445">
        <f t="shared" si="126"/>
        <v>551.45706857446305</v>
      </c>
      <c r="T75" s="229">
        <f t="shared" si="127"/>
        <v>0.45032195930320146</v>
      </c>
      <c r="U75" s="261">
        <f>VLOOKUP($B75,update_Allocation!$D$8:$Q$235,update_Allocation!K$239,0)</f>
        <v>261035.30413102973</v>
      </c>
      <c r="V75" s="262">
        <f>VLOOKUP($B75,update_Allocation!$D$8:$Q$235,update_Allocation!L$239,0)</f>
        <v>62180.996937779244</v>
      </c>
      <c r="W75" s="262">
        <f>VLOOKUP($B75,update_Allocation!$D$8:$Q$235,update_Allocation!M$239,0)</f>
        <v>176238.9880715129</v>
      </c>
      <c r="X75" s="262">
        <f>VLOOKUP($B75,update_Allocation!$D$8:$Q$235,update_Allocation!N$239,0)</f>
        <v>172310.16346780208</v>
      </c>
      <c r="Y75" s="263">
        <f>VLOOKUP($B75,update_Allocation!$D$8:$Q$235,update_Allocation!O$239,0)</f>
        <v>671765.452608124</v>
      </c>
      <c r="Z75" s="262">
        <f t="shared" si="128"/>
        <v>265575.05424972833</v>
      </c>
      <c r="AA75" s="262">
        <f t="shared" si="128"/>
        <v>63345.508387500238</v>
      </c>
      <c r="AB75" s="262">
        <f t="shared" si="128"/>
        <v>180956.10140534217</v>
      </c>
      <c r="AC75" s="263">
        <f t="shared" si="128"/>
        <v>179182.37409948424</v>
      </c>
      <c r="AD75" s="262">
        <f t="shared" si="129"/>
        <v>265575.05424972833</v>
      </c>
      <c r="AE75" s="262">
        <f t="shared" si="130"/>
        <v>63345.508387500238</v>
      </c>
      <c r="AF75" s="262">
        <f t="shared" si="131"/>
        <v>180956.10140534217</v>
      </c>
      <c r="AG75" s="263">
        <f t="shared" si="132"/>
        <v>179182.37409948424</v>
      </c>
      <c r="AH75" s="262">
        <f t="shared" si="133"/>
        <v>265575.05424972833</v>
      </c>
      <c r="AI75" s="262">
        <f t="shared" si="133"/>
        <v>63345.508387500238</v>
      </c>
      <c r="AJ75" s="262">
        <f t="shared" si="133"/>
        <v>180956.10140534217</v>
      </c>
      <c r="AK75" s="262">
        <f t="shared" si="133"/>
        <v>179182.37409948424</v>
      </c>
      <c r="AL75" s="263">
        <f t="shared" si="134"/>
        <v>689059.03814205504</v>
      </c>
      <c r="AM75" s="346"/>
      <c r="AN75" s="261">
        <f>IFERROR(VLOOKUP($A75,'HH &amp; SI'!$B$4:$Z$494,'HH &amp; SI'!V$503,0),0)</f>
        <v>261952.43813464436</v>
      </c>
      <c r="AO75" s="262">
        <f>IFERROR(VLOOKUP($A75,'HH &amp; SI'!$B$4:$Z$494,'HH &amp; SI'!W$503,0),0)</f>
        <v>61259.138938428958</v>
      </c>
      <c r="AP75" s="262">
        <f>IFERROR(VLOOKUP($A75,'HH &amp; SI'!$B$4:$Z$494,'HH &amp; SI'!X$503,0),0)</f>
        <v>179310.37631469901</v>
      </c>
      <c r="AQ75" s="262">
        <f>IFERROR(VLOOKUP($A75,'HH &amp; SI'!$B$4:$Z$494,'HH &amp; SI'!Y$503,0),0)</f>
        <v>177208.10688165735</v>
      </c>
      <c r="AR75" s="263">
        <f t="shared" si="135"/>
        <v>679730.0602694297</v>
      </c>
      <c r="AS75" s="346"/>
      <c r="AT75" s="323">
        <f>IFERROR(VLOOKUP(A75,'Afton FY16 Final'!$A$5:$BV$572,'Afton FY16 Final'!$BV$587,0),0)</f>
        <v>462930.28224094084</v>
      </c>
      <c r="AU75" s="346"/>
      <c r="AV75" s="444">
        <v>0</v>
      </c>
      <c r="AW75" s="262">
        <f>IFERROR(VLOOKUP($A75,'HH &amp; SI'!$B$4:$EY$503,'HH &amp; SI'!EX$503,0),0)</f>
        <v>38073.788493468077</v>
      </c>
      <c r="AX75" s="262">
        <f>IFERROR(VLOOKUP($A75,'HH &amp; SI'!$B$4:$EY$503,'HH &amp; SI'!EY$503,0),0)</f>
        <v>641656.27177596162</v>
      </c>
      <c r="AY75" s="262">
        <f>AX75/$AX$582*'update_State Admin 1004(b)'!$B$30*0.01</f>
        <v>6141.1114665552086</v>
      </c>
      <c r="AZ75" s="263">
        <f t="shared" si="136"/>
        <v>635515.16030940646</v>
      </c>
      <c r="BA75" s="261">
        <f t="shared" si="137"/>
        <v>6355.1516030940647</v>
      </c>
      <c r="BB75" s="262">
        <f t="shared" si="138"/>
        <v>629160.00870631239</v>
      </c>
      <c r="BC75" s="341">
        <f t="shared" si="139"/>
        <v>1.3590815568614156</v>
      </c>
      <c r="BD75" s="346"/>
      <c r="BE75" s="376" t="str">
        <f>'Original Title I &amp; II'!AZ75</f>
        <v/>
      </c>
      <c r="BF75" s="243" t="str">
        <f t="shared" si="140"/>
        <v/>
      </c>
      <c r="BG75" s="263">
        <f t="shared" si="122"/>
        <v>629160.00870631239</v>
      </c>
      <c r="BI75" s="31">
        <f>IFERROR(VLOOKUP(A75,'Title II Hold Harmless'!A$1:B$439,2, FALSE),"")</f>
        <v>41772</v>
      </c>
      <c r="BJ75" s="31">
        <f t="shared" si="141"/>
        <v>49976.609998685031</v>
      </c>
      <c r="BK75" s="31">
        <f t="shared" si="142"/>
        <v>50024.956964352554</v>
      </c>
      <c r="BL75" s="31" t="str">
        <f t="shared" si="143"/>
        <v/>
      </c>
      <c r="BM75" s="31">
        <f t="shared" si="144"/>
        <v>50024.956964352554</v>
      </c>
      <c r="BN75" s="200"/>
      <c r="BP75" s="295" t="s">
        <v>1447</v>
      </c>
      <c r="BQ75" s="296" t="str">
        <f t="shared" si="145"/>
        <v>Y</v>
      </c>
      <c r="BR75" s="297" t="s">
        <v>1448</v>
      </c>
      <c r="BT75" s="295" t="str">
        <f t="shared" si="146"/>
        <v>Y</v>
      </c>
      <c r="BU75" s="296" t="str">
        <f t="shared" si="147"/>
        <v>Y</v>
      </c>
      <c r="BV75" s="296" t="str">
        <f t="shared" si="148"/>
        <v>Y</v>
      </c>
      <c r="BW75" s="297" t="str">
        <f t="shared" si="149"/>
        <v>Y</v>
      </c>
      <c r="BY75" s="352">
        <f t="shared" si="150"/>
        <v>0</v>
      </c>
      <c r="BZ75" s="353">
        <f t="shared" si="151"/>
        <v>0</v>
      </c>
      <c r="CA75" s="353">
        <f t="shared" si="152"/>
        <v>0.95</v>
      </c>
      <c r="CB75" s="354">
        <f t="shared" si="153"/>
        <v>0.95</v>
      </c>
      <c r="CD75" s="311">
        <f t="shared" si="154"/>
        <v>70</v>
      </c>
    </row>
    <row r="76" spans="1:82" outlineLevel="1" x14ac:dyDescent="0.3">
      <c r="A76" s="1">
        <v>40220000</v>
      </c>
      <c r="B76" s="47">
        <f>VLOOKUP(C76,'NCES ID'!$A$2:$B$3136,2,FALSE)</f>
        <v>406960</v>
      </c>
      <c r="C76" s="47">
        <f>VLOOKUP(A76,'State ID'!$A$2:$B$713,2,FALSE)</f>
        <v>4210</v>
      </c>
      <c r="D76" s="147" t="s">
        <v>370</v>
      </c>
      <c r="E76" s="47" t="s">
        <v>131</v>
      </c>
      <c r="F76" s="382">
        <f>IFERROR(VLOOKUP($B76,'update_Formula counts'!$D$7:$R$234,'update_Formula counts'!F$5,0),0)</f>
        <v>651</v>
      </c>
      <c r="G76" s="382">
        <f>IFERROR(VLOOKUP($B76,'update_Formula counts'!$D$7:$R$234,'update_Formula counts'!G$5,0),0)</f>
        <v>0</v>
      </c>
      <c r="H76" s="382">
        <f>IFERROR(VLOOKUP($B76,'update_Formula counts'!$D$7:$R$234,'update_Formula counts'!H$5,0),0)</f>
        <v>0</v>
      </c>
      <c r="I76" s="382">
        <f>IFERROR(VLOOKUP($B76,'update_Formula counts'!$D$7:$R$234,'update_Formula counts'!I$5,0),0)</f>
        <v>18</v>
      </c>
      <c r="J76" s="382">
        <f>IFERROR(VLOOKUP($B76,'update_Formula counts'!$D$7:$R$234,'update_Formula counts'!J$5,0),0)</f>
        <v>0</v>
      </c>
      <c r="K76" s="382">
        <f t="shared" si="123"/>
        <v>651</v>
      </c>
      <c r="L76" s="444">
        <f>IFERROR(VLOOKUP($B76,'update_Formula counts'!$D$7:$R$234,'update_Formula counts'!L$5,0),0)</f>
        <v>1250</v>
      </c>
      <c r="M76" s="445">
        <f>IFERROR(VLOOKUP($B76,'update_Formula counts'!$D$7:$R$234,'update_Formula counts'!K$5,0),0)</f>
        <v>669</v>
      </c>
      <c r="N76" s="446">
        <f>IFERROR(VLOOKUP($B76,'update_Formula counts'!$D$7:$R$234,'update_Formula counts'!M$5,0),0)</f>
        <v>0.53520000000000001</v>
      </c>
      <c r="O76" s="137">
        <f>VLOOKUP($C76,'Final SEA Counts'!$A$2:$F$709,5,FALSE)</f>
        <v>1442</v>
      </c>
      <c r="P76" s="208">
        <f>VLOOKUP($C76,'Final SEA Counts'!$A$2:$F$709,6,FALSE)</f>
        <v>1256</v>
      </c>
      <c r="Q76" s="748">
        <f t="shared" si="124"/>
        <v>-0.66763210221062508</v>
      </c>
      <c r="R76" s="444">
        <f t="shared" si="125"/>
        <v>1251.6189751099798</v>
      </c>
      <c r="S76" s="445">
        <f t="shared" si="126"/>
        <v>668.33236789778937</v>
      </c>
      <c r="T76" s="229">
        <f t="shared" si="127"/>
        <v>0.53397430143551716</v>
      </c>
      <c r="U76" s="261">
        <f>VLOOKUP($B76,update_Allocation!$D$8:$Q$235,update_Allocation!K$239,0)</f>
        <v>316363.43924575887</v>
      </c>
      <c r="V76" s="262">
        <f>VLOOKUP($B76,update_Allocation!$D$8:$Q$235,update_Allocation!L$239,0)</f>
        <v>76032.909085629755</v>
      </c>
      <c r="W76" s="262">
        <f>VLOOKUP($B76,update_Allocation!$D$8:$Q$235,update_Allocation!M$239,0)</f>
        <v>239964.25756006804</v>
      </c>
      <c r="X76" s="262">
        <f>VLOOKUP($B76,update_Allocation!$D$8:$Q$235,update_Allocation!N$239,0)</f>
        <v>269070.5166983438</v>
      </c>
      <c r="Y76" s="263">
        <f>VLOOKUP($B76,update_Allocation!$D$8:$Q$235,update_Allocation!O$239,0)</f>
        <v>901431.12258980039</v>
      </c>
      <c r="Z76" s="262">
        <f t="shared" si="128"/>
        <v>321865.41900918161</v>
      </c>
      <c r="AA76" s="262">
        <f t="shared" si="128"/>
        <v>77456.835969182444</v>
      </c>
      <c r="AB76" s="262">
        <f t="shared" si="128"/>
        <v>246387.0055079837</v>
      </c>
      <c r="AC76" s="263">
        <f t="shared" si="128"/>
        <v>279801.80049677222</v>
      </c>
      <c r="AD76" s="262">
        <f t="shared" si="129"/>
        <v>321865.41900918161</v>
      </c>
      <c r="AE76" s="262">
        <f t="shared" si="130"/>
        <v>77456.835969182444</v>
      </c>
      <c r="AF76" s="262">
        <f t="shared" si="131"/>
        <v>246387.0055079837</v>
      </c>
      <c r="AG76" s="263">
        <f t="shared" si="132"/>
        <v>279801.80049677222</v>
      </c>
      <c r="AH76" s="262">
        <f t="shared" si="133"/>
        <v>321865.41900918161</v>
      </c>
      <c r="AI76" s="262">
        <f t="shared" si="133"/>
        <v>77456.835969182444</v>
      </c>
      <c r="AJ76" s="262">
        <f t="shared" si="133"/>
        <v>246387.0055079837</v>
      </c>
      <c r="AK76" s="262">
        <f t="shared" si="133"/>
        <v>279801.80049677222</v>
      </c>
      <c r="AL76" s="263">
        <f t="shared" si="134"/>
        <v>925511.06098312</v>
      </c>
      <c r="AM76" s="346"/>
      <c r="AN76" s="261">
        <f>IFERROR(VLOOKUP($A76,'HH &amp; SI'!$B$4:$Z$494,'HH &amp; SI'!V$503,0),0)</f>
        <v>317474.9657827483</v>
      </c>
      <c r="AO76" s="262">
        <f>IFERROR(VLOOKUP($A76,'HH &amp; SI'!$B$4:$Z$494,'HH &amp; SI'!W$503,0),0)</f>
        <v>75090.197865223075</v>
      </c>
      <c r="AP76" s="262">
        <f>IFERROR(VLOOKUP($A76,'HH &amp; SI'!$B$4:$Z$494,'HH &amp; SI'!X$503,0),0)</f>
        <v>244146.21189105761</v>
      </c>
      <c r="AQ76" s="262">
        <f>IFERROR(VLOOKUP($A76,'HH &amp; SI'!$B$4:$Z$494,'HH &amp; SI'!Y$503,0),0)</f>
        <v>276938.7092824314</v>
      </c>
      <c r="AR76" s="263">
        <f t="shared" si="135"/>
        <v>913650.08482146042</v>
      </c>
      <c r="AS76" s="346"/>
      <c r="AT76" s="323">
        <f>IFERROR(VLOOKUP(A76,'Afton FY16 Final'!$A$5:$BV$572,'Afton FY16 Final'!$BV$587,0),0)</f>
        <v>921799.08508870448</v>
      </c>
      <c r="AU76" s="346"/>
      <c r="AV76" s="444">
        <v>0</v>
      </c>
      <c r="AW76" s="262">
        <f>IFERROR(VLOOKUP($A76,'HH &amp; SI'!$B$4:$EY$503,'HH &amp; SI'!EX$503,0),0)</f>
        <v>0</v>
      </c>
      <c r="AX76" s="262">
        <f>IFERROR(VLOOKUP($A76,'HH &amp; SI'!$B$4:$EY$503,'HH &amp; SI'!EY$503,0),0)</f>
        <v>913650.08482146042</v>
      </c>
      <c r="AY76" s="262">
        <f>AX76/$AX$582*'update_State Admin 1004(b)'!$B$30*0.01</f>
        <v>8744.2876491905718</v>
      </c>
      <c r="AZ76" s="263">
        <f t="shared" si="136"/>
        <v>904905.7971722699</v>
      </c>
      <c r="BA76" s="261">
        <f t="shared" si="137"/>
        <v>9049.0579717226992</v>
      </c>
      <c r="BB76" s="262">
        <f t="shared" si="138"/>
        <v>895856.73920054722</v>
      </c>
      <c r="BC76" s="341">
        <f t="shared" si="139"/>
        <v>0.97185683267882517</v>
      </c>
      <c r="BD76" s="346"/>
      <c r="BE76" s="376" t="str">
        <f>'Original Title I &amp; II'!AZ76</f>
        <v/>
      </c>
      <c r="BF76" s="243" t="str">
        <f t="shared" si="140"/>
        <v/>
      </c>
      <c r="BG76" s="263">
        <f t="shared" si="122"/>
        <v>895856.73920054722</v>
      </c>
      <c r="BI76" s="31">
        <f>IFERROR(VLOOKUP(A76,'Title II Hold Harmless'!A$1:B$439,2, FALSE),"")</f>
        <v>96589</v>
      </c>
      <c r="BJ76" s="31">
        <f t="shared" si="141"/>
        <v>106345.36970669214</v>
      </c>
      <c r="BK76" s="31">
        <f t="shared" si="142"/>
        <v>106448.24735161933</v>
      </c>
      <c r="BL76" s="31" t="str">
        <f t="shared" si="143"/>
        <v/>
      </c>
      <c r="BM76" s="31">
        <f t="shared" si="144"/>
        <v>106448.24735161933</v>
      </c>
      <c r="BN76" s="200"/>
      <c r="BP76" s="295" t="s">
        <v>1447</v>
      </c>
      <c r="BQ76" s="296" t="str">
        <f t="shared" si="145"/>
        <v>Y</v>
      </c>
      <c r="BR76" s="297" t="s">
        <v>1448</v>
      </c>
      <c r="BT76" s="295" t="str">
        <f t="shared" si="146"/>
        <v>Y</v>
      </c>
      <c r="BU76" s="296" t="str">
        <f t="shared" si="147"/>
        <v>Y</v>
      </c>
      <c r="BV76" s="296" t="str">
        <f t="shared" si="148"/>
        <v>Y</v>
      </c>
      <c r="BW76" s="297" t="str">
        <f t="shared" si="149"/>
        <v>Y</v>
      </c>
      <c r="BY76" s="352">
        <f t="shared" si="150"/>
        <v>0</v>
      </c>
      <c r="BZ76" s="353">
        <f t="shared" si="151"/>
        <v>0</v>
      </c>
      <c r="CA76" s="353">
        <f t="shared" si="152"/>
        <v>0.95</v>
      </c>
      <c r="CB76" s="354">
        <f t="shared" si="153"/>
        <v>0.95</v>
      </c>
      <c r="CD76" s="311">
        <f t="shared" si="154"/>
        <v>71</v>
      </c>
    </row>
    <row r="77" spans="1:82" outlineLevel="1" x14ac:dyDescent="0.3">
      <c r="A77" s="1">
        <v>40201000</v>
      </c>
      <c r="B77" s="47">
        <f>VLOOKUP(C77,'NCES ID'!$A$2:$B$3136,2,FALSE)</f>
        <v>403500</v>
      </c>
      <c r="C77" s="47">
        <f>VLOOKUP(A77,'State ID'!$A$2:$B$713,2,FALSE)</f>
        <v>4208</v>
      </c>
      <c r="D77" s="147" t="s">
        <v>185</v>
      </c>
      <c r="E77" s="47" t="s">
        <v>131</v>
      </c>
      <c r="F77" s="382">
        <f>IFERROR(VLOOKUP($B77,'update_Formula counts'!$D$7:$R$234,'update_Formula counts'!F$5,0),0)</f>
        <v>436</v>
      </c>
      <c r="G77" s="382">
        <f>IFERROR(VLOOKUP($B77,'update_Formula counts'!$D$7:$R$234,'update_Formula counts'!G$5,0),0)</f>
        <v>0</v>
      </c>
      <c r="H77" s="382">
        <f>IFERROR(VLOOKUP($B77,'update_Formula counts'!$D$7:$R$234,'update_Formula counts'!H$5,0),0)</f>
        <v>0</v>
      </c>
      <c r="I77" s="382">
        <f>IFERROR(VLOOKUP($B77,'update_Formula counts'!$D$7:$R$234,'update_Formula counts'!I$5,0),0)</f>
        <v>12</v>
      </c>
      <c r="J77" s="382">
        <f>IFERROR(VLOOKUP($B77,'update_Formula counts'!$D$7:$R$234,'update_Formula counts'!J$5,0),0)</f>
        <v>0</v>
      </c>
      <c r="K77" s="382">
        <f t="shared" si="123"/>
        <v>436</v>
      </c>
      <c r="L77" s="444">
        <f>IFERROR(VLOOKUP($B77,'update_Formula counts'!$D$7:$R$234,'update_Formula counts'!L$5,0),0)</f>
        <v>1641</v>
      </c>
      <c r="M77" s="445">
        <f>IFERROR(VLOOKUP($B77,'update_Formula counts'!$D$7:$R$234,'update_Formula counts'!K$5,0),0)</f>
        <v>448</v>
      </c>
      <c r="N77" s="446">
        <f>IFERROR(VLOOKUP($B77,'update_Formula counts'!$D$7:$R$234,'update_Formula counts'!M$5,0),0)</f>
        <v>0.27300426569165143</v>
      </c>
      <c r="O77" s="137">
        <f>VLOOKUP($C77,'Final SEA Counts'!$A$2:$F$709,5,FALSE)</f>
        <v>1557</v>
      </c>
      <c r="P77" s="208">
        <f>VLOOKUP($C77,'Final SEA Counts'!$A$2:$F$709,6,FALSE)</f>
        <v>1048</v>
      </c>
      <c r="Q77" s="748">
        <f t="shared" si="124"/>
        <v>-0.44997121709988619</v>
      </c>
      <c r="R77" s="444">
        <f t="shared" si="125"/>
        <v>1643.1253905243816</v>
      </c>
      <c r="S77" s="445">
        <f t="shared" si="126"/>
        <v>447.55002878290009</v>
      </c>
      <c r="T77" s="229">
        <f t="shared" si="127"/>
        <v>0.27237728256397431</v>
      </c>
      <c r="U77" s="261">
        <f>VLOOKUP($B77,update_Allocation!$D$8:$Q$235,update_Allocation!K$239,0)</f>
        <v>211854.73958460373</v>
      </c>
      <c r="V77" s="262">
        <f>VLOOKUP($B77,update_Allocation!$D$8:$Q$235,update_Allocation!L$239,0)</f>
        <v>50465.736645154175</v>
      </c>
      <c r="W77" s="262">
        <f>VLOOKUP($B77,update_Allocation!$D$8:$Q$235,update_Allocation!M$239,0)</f>
        <v>93640.562060044176</v>
      </c>
      <c r="X77" s="262">
        <f>VLOOKUP($B77,update_Allocation!$D$8:$Q$235,update_Allocation!N$239,0)</f>
        <v>74393.393539691067</v>
      </c>
      <c r="Y77" s="263">
        <f>VLOOKUP($B77,update_Allocation!$D$8:$Q$235,update_Allocation!O$239,0)</f>
        <v>430354.43182949309</v>
      </c>
      <c r="Z77" s="262">
        <f t="shared" si="128"/>
        <v>215539.1744635475</v>
      </c>
      <c r="AA77" s="262">
        <f t="shared" si="128"/>
        <v>51410.847386956724</v>
      </c>
      <c r="AB77" s="262">
        <f t="shared" si="128"/>
        <v>96146.892519122091</v>
      </c>
      <c r="AC77" s="263">
        <f t="shared" si="128"/>
        <v>77360.409876518534</v>
      </c>
      <c r="AD77" s="262">
        <f t="shared" si="129"/>
        <v>215539.1744635475</v>
      </c>
      <c r="AE77" s="262">
        <f t="shared" si="130"/>
        <v>51410.847386956724</v>
      </c>
      <c r="AF77" s="262">
        <f t="shared" si="131"/>
        <v>96146.892519122091</v>
      </c>
      <c r="AG77" s="263">
        <f t="shared" si="132"/>
        <v>77360.409876518534</v>
      </c>
      <c r="AH77" s="262">
        <f t="shared" si="133"/>
        <v>215539.1744635475</v>
      </c>
      <c r="AI77" s="262">
        <f t="shared" si="133"/>
        <v>51410.847386956724</v>
      </c>
      <c r="AJ77" s="262">
        <f t="shared" si="133"/>
        <v>96146.892519122091</v>
      </c>
      <c r="AK77" s="262">
        <f t="shared" si="133"/>
        <v>77360.409876518534</v>
      </c>
      <c r="AL77" s="263">
        <f t="shared" si="134"/>
        <v>440457.32424614485</v>
      </c>
      <c r="AM77" s="346"/>
      <c r="AN77" s="261">
        <f>IFERROR(VLOOKUP($A77,'HH &amp; SI'!$B$4:$Z$494,'HH &amp; SI'!V$503,0),0)</f>
        <v>212599.08022521849</v>
      </c>
      <c r="AO77" s="262">
        <f>IFERROR(VLOOKUP($A77,'HH &amp; SI'!$B$4:$Z$494,'HH &amp; SI'!W$503,0),0)</f>
        <v>49717.562036985822</v>
      </c>
      <c r="AP77" s="262">
        <f>IFERROR(VLOOKUP($A77,'HH &amp; SI'!$B$4:$Z$494,'HH &amp; SI'!X$503,0),0)</f>
        <v>95272.474070795492</v>
      </c>
      <c r="AQ77" s="262">
        <f>IFERROR(VLOOKUP($A77,'HH &amp; SI'!$B$4:$Z$494,'HH &amp; SI'!Y$503,0),0)</f>
        <v>76508.037415530474</v>
      </c>
      <c r="AR77" s="263">
        <f t="shared" si="135"/>
        <v>434097.15374853025</v>
      </c>
      <c r="AS77" s="346"/>
      <c r="AT77" s="323">
        <f>IFERROR(VLOOKUP(A77,'Afton FY16 Final'!$A$5:$BV$572,'Afton FY16 Final'!$BV$587,0),0)</f>
        <v>401049.9273049676</v>
      </c>
      <c r="AU77" s="346"/>
      <c r="AV77" s="444">
        <v>0</v>
      </c>
      <c r="AW77" s="262">
        <f>IFERROR(VLOOKUP($A77,'HH &amp; SI'!$B$4:$EY$503,'HH &amp; SI'!EX$503,0),0)</f>
        <v>24315.127700673882</v>
      </c>
      <c r="AX77" s="262">
        <f>IFERROR(VLOOKUP($A77,'HH &amp; SI'!$B$4:$EY$503,'HH &amp; SI'!EY$503,0),0)</f>
        <v>409782.02604785637</v>
      </c>
      <c r="AY77" s="262">
        <f>AX77/$AX$582*'update_State Admin 1004(b)'!$B$30*0.01</f>
        <v>3921.9083637810591</v>
      </c>
      <c r="AZ77" s="263">
        <f t="shared" si="136"/>
        <v>405860.11768407532</v>
      </c>
      <c r="BA77" s="261">
        <f t="shared" si="137"/>
        <v>4058.6011768407534</v>
      </c>
      <c r="BB77" s="262">
        <f t="shared" si="138"/>
        <v>401801.51650723454</v>
      </c>
      <c r="BC77" s="341">
        <f t="shared" si="139"/>
        <v>1.0018740539546225</v>
      </c>
      <c r="BD77" s="346"/>
      <c r="BE77" s="376" t="str">
        <f>'Original Title I &amp; II'!AZ77</f>
        <v/>
      </c>
      <c r="BF77" s="243" t="str">
        <f t="shared" si="140"/>
        <v/>
      </c>
      <c r="BG77" s="263">
        <f t="shared" si="122"/>
        <v>401801.51650723454</v>
      </c>
      <c r="BI77" s="31">
        <f>IFERROR(VLOOKUP(A77,'Title II Hold Harmless'!A$1:B$439,2, FALSE),"")</f>
        <v>59842</v>
      </c>
      <c r="BJ77" s="31">
        <f t="shared" si="141"/>
        <v>67023.216093638825</v>
      </c>
      <c r="BK77" s="31">
        <f t="shared" si="142"/>
        <v>67088.053807271092</v>
      </c>
      <c r="BL77" s="31" t="str">
        <f t="shared" si="143"/>
        <v/>
      </c>
      <c r="BM77" s="31">
        <f t="shared" si="144"/>
        <v>67088.053807271092</v>
      </c>
      <c r="BN77" s="200"/>
      <c r="BP77" s="295" t="s">
        <v>1447</v>
      </c>
      <c r="BQ77" s="296" t="str">
        <f t="shared" si="145"/>
        <v>Y</v>
      </c>
      <c r="BR77" s="297" t="s">
        <v>1448</v>
      </c>
      <c r="BT77" s="295" t="str">
        <f t="shared" si="146"/>
        <v>Y</v>
      </c>
      <c r="BU77" s="296" t="str">
        <f t="shared" si="147"/>
        <v>Y</v>
      </c>
      <c r="BV77" s="296" t="str">
        <f t="shared" si="148"/>
        <v>Y</v>
      </c>
      <c r="BW77" s="297" t="str">
        <f t="shared" si="149"/>
        <v>Y</v>
      </c>
      <c r="BY77" s="352">
        <f t="shared" si="150"/>
        <v>0</v>
      </c>
      <c r="BZ77" s="353">
        <f t="shared" si="151"/>
        <v>0.9</v>
      </c>
      <c r="CA77" s="353">
        <f t="shared" si="152"/>
        <v>0</v>
      </c>
      <c r="CB77" s="354">
        <f t="shared" si="153"/>
        <v>0.9</v>
      </c>
      <c r="CD77" s="311">
        <f t="shared" si="154"/>
        <v>72</v>
      </c>
    </row>
    <row r="78" spans="1:82" outlineLevel="1" x14ac:dyDescent="0.3">
      <c r="A78" s="1">
        <v>40210000</v>
      </c>
      <c r="B78" s="47">
        <f>VLOOKUP(C78,'NCES ID'!$A$2:$B$3136,2,FALSE)</f>
        <v>406070</v>
      </c>
      <c r="C78" s="47">
        <f>VLOOKUP(A78,'State ID'!$A$2:$B$713,2,FALSE)</f>
        <v>4209</v>
      </c>
      <c r="D78" s="147" t="s">
        <v>330</v>
      </c>
      <c r="E78" s="47" t="s">
        <v>131</v>
      </c>
      <c r="F78" s="382">
        <f>IFERROR(VLOOKUP($B78,'update_Formula counts'!$D$7:$R$234,'update_Formula counts'!F$5,0),0)</f>
        <v>705</v>
      </c>
      <c r="G78" s="382">
        <f>IFERROR(VLOOKUP($B78,'update_Formula counts'!$D$7:$R$234,'update_Formula counts'!G$5,0),0)</f>
        <v>0</v>
      </c>
      <c r="H78" s="382">
        <f>IFERROR(VLOOKUP($B78,'update_Formula counts'!$D$7:$R$234,'update_Formula counts'!H$5,0),0)</f>
        <v>0</v>
      </c>
      <c r="I78" s="382">
        <f>IFERROR(VLOOKUP($B78,'update_Formula counts'!$D$7:$R$234,'update_Formula counts'!I$5,0),0)</f>
        <v>19</v>
      </c>
      <c r="J78" s="382">
        <f>IFERROR(VLOOKUP($B78,'update_Formula counts'!$D$7:$R$234,'update_Formula counts'!J$5,0),0)</f>
        <v>0</v>
      </c>
      <c r="K78" s="382">
        <f t="shared" si="123"/>
        <v>705</v>
      </c>
      <c r="L78" s="444">
        <f>IFERROR(VLOOKUP($B78,'update_Formula counts'!$D$7:$R$234,'update_Formula counts'!L$5,0),0)</f>
        <v>2700</v>
      </c>
      <c r="M78" s="445">
        <f>IFERROR(VLOOKUP($B78,'update_Formula counts'!$D$7:$R$234,'update_Formula counts'!K$5,0),0)</f>
        <v>724</v>
      </c>
      <c r="N78" s="446">
        <f>IFERROR(VLOOKUP($B78,'update_Formula counts'!$D$7:$R$234,'update_Formula counts'!M$5,0),0)</f>
        <v>0.26814814814814814</v>
      </c>
      <c r="O78" s="137">
        <f>VLOOKUP($C78,'Final SEA Counts'!$A$2:$F$709,5,FALSE)</f>
        <v>2152</v>
      </c>
      <c r="P78" s="208">
        <f>VLOOKUP($C78,'Final SEA Counts'!$A$2:$F$709,6,FALSE)</f>
        <v>1358</v>
      </c>
      <c r="Q78" s="748">
        <f t="shared" si="124"/>
        <v>-0.74826418611093715</v>
      </c>
      <c r="R78" s="444">
        <f t="shared" si="125"/>
        <v>2703.4969862375565</v>
      </c>
      <c r="S78" s="445">
        <f t="shared" si="126"/>
        <v>723.25173581388901</v>
      </c>
      <c r="T78" s="229">
        <f t="shared" si="127"/>
        <v>0.26752452083197431</v>
      </c>
      <c r="U78" s="261">
        <f>VLOOKUP($B78,update_Allocation!$D$8:$Q$235,update_Allocation!K$239,0)</f>
        <v>342372.39165011869</v>
      </c>
      <c r="V78" s="262">
        <f>VLOOKUP($B78,update_Allocation!$D$8:$Q$235,update_Allocation!L$239,0)</f>
        <v>81556.23511404384</v>
      </c>
      <c r="W78" s="262">
        <f>VLOOKUP($B78,update_Allocation!$D$8:$Q$235,update_Allocation!M$239,0)</f>
        <v>149392.32301419371</v>
      </c>
      <c r="X78" s="262">
        <f>VLOOKUP($B78,update_Allocation!$D$8:$Q$235,update_Allocation!N$239,0)</f>
        <v>118047.3190157698</v>
      </c>
      <c r="Y78" s="263">
        <f>VLOOKUP($B78,update_Allocation!$D$8:$Q$235,update_Allocation!O$239,0)</f>
        <v>691368.26879412599</v>
      </c>
      <c r="Z78" s="262">
        <f t="shared" si="128"/>
        <v>348326.70158841176</v>
      </c>
      <c r="AA78" s="262">
        <f t="shared" si="128"/>
        <v>83083.601580706891</v>
      </c>
      <c r="AB78" s="262">
        <f t="shared" si="128"/>
        <v>153390.87365598493</v>
      </c>
      <c r="AC78" s="263">
        <f t="shared" si="128"/>
        <v>122755.37583874031</v>
      </c>
      <c r="AD78" s="262">
        <f t="shared" si="129"/>
        <v>348326.70158841176</v>
      </c>
      <c r="AE78" s="262">
        <f t="shared" si="130"/>
        <v>83083.601580706891</v>
      </c>
      <c r="AF78" s="262">
        <f t="shared" si="131"/>
        <v>153390.87365598493</v>
      </c>
      <c r="AG78" s="263">
        <f t="shared" si="132"/>
        <v>122755.37583874031</v>
      </c>
      <c r="AH78" s="262">
        <f t="shared" si="133"/>
        <v>348326.70158841176</v>
      </c>
      <c r="AI78" s="262">
        <f t="shared" si="133"/>
        <v>83083.601580706891</v>
      </c>
      <c r="AJ78" s="262">
        <f t="shared" si="133"/>
        <v>153390.87365598493</v>
      </c>
      <c r="AK78" s="262">
        <f t="shared" si="133"/>
        <v>122755.37583874031</v>
      </c>
      <c r="AL78" s="263">
        <f t="shared" si="134"/>
        <v>707556.55266384385</v>
      </c>
      <c r="AM78" s="346"/>
      <c r="AN78" s="261">
        <f>IFERROR(VLOOKUP($A78,'HH &amp; SI'!$B$4:$Z$494,'HH &amp; SI'!V$503,0),0)</f>
        <v>343575.29929254076</v>
      </c>
      <c r="AO78" s="262">
        <f>IFERROR(VLOOKUP($A78,'HH &amp; SI'!$B$4:$Z$494,'HH &amp; SI'!W$503,0),0)</f>
        <v>80347.131506200341</v>
      </c>
      <c r="AP78" s="262">
        <f>IFERROR(VLOOKUP($A78,'HH &amp; SI'!$B$4:$Z$494,'HH &amp; SI'!X$503,0),0)</f>
        <v>151995.84354928593</v>
      </c>
      <c r="AQ78" s="262">
        <f>IFERROR(VLOOKUP($A78,'HH &amp; SI'!$B$4:$Z$494,'HH &amp; SI'!Y$503,0),0)</f>
        <v>121402.83256796142</v>
      </c>
      <c r="AR78" s="263">
        <f t="shared" si="135"/>
        <v>697321.10691598849</v>
      </c>
      <c r="AS78" s="346"/>
      <c r="AT78" s="323">
        <f>IFERROR(VLOOKUP(A78,'Afton FY16 Final'!$A$5:$BV$572,'Afton FY16 Final'!$BV$587,0),0)</f>
        <v>661385.81143281062</v>
      </c>
      <c r="AU78" s="346"/>
      <c r="AV78" s="444">
        <v>0</v>
      </c>
      <c r="AW78" s="262">
        <f>IFERROR(VLOOKUP($A78,'HH &amp; SI'!$B$4:$EY$503,'HH &amp; SI'!EX$503,0),0)</f>
        <v>35935.295483177877</v>
      </c>
      <c r="AX78" s="262">
        <f>IFERROR(VLOOKUP($A78,'HH &amp; SI'!$B$4:$EY$503,'HH &amp; SI'!EY$503,0),0)</f>
        <v>661385.81143281062</v>
      </c>
      <c r="AY78" s="262">
        <f>AX78/$AX$582*'update_State Admin 1004(b)'!$B$30*0.01</f>
        <v>6329.937334151241</v>
      </c>
      <c r="AZ78" s="263">
        <f t="shared" si="136"/>
        <v>655055.87409865938</v>
      </c>
      <c r="BA78" s="261">
        <f t="shared" si="137"/>
        <v>6550.5587409865939</v>
      </c>
      <c r="BB78" s="262">
        <f t="shared" si="138"/>
        <v>648505.31535767275</v>
      </c>
      <c r="BC78" s="341">
        <f t="shared" si="139"/>
        <v>0.98052498881517602</v>
      </c>
      <c r="BD78" s="346"/>
      <c r="BE78" s="376" t="str">
        <f>'Original Title I &amp; II'!AZ78</f>
        <v/>
      </c>
      <c r="BF78" s="243" t="str">
        <f t="shared" si="140"/>
        <v/>
      </c>
      <c r="BG78" s="263">
        <f t="shared" si="122"/>
        <v>648505.31535767275</v>
      </c>
      <c r="BI78" s="31">
        <f>IFERROR(VLOOKUP(A78,'Title II Hold Harmless'!A$1:B$439,2, FALSE),"")</f>
        <v>91881</v>
      </c>
      <c r="BJ78" s="31">
        <f t="shared" si="141"/>
        <v>103524.78421764125</v>
      </c>
      <c r="BK78" s="31">
        <f t="shared" si="142"/>
        <v>103624.93325112791</v>
      </c>
      <c r="BL78" s="31" t="str">
        <f t="shared" si="143"/>
        <v/>
      </c>
      <c r="BM78" s="31">
        <f t="shared" si="144"/>
        <v>103624.93325112791</v>
      </c>
      <c r="BN78" s="200"/>
      <c r="BP78" s="295" t="s">
        <v>1447</v>
      </c>
      <c r="BQ78" s="296" t="str">
        <f t="shared" si="145"/>
        <v>Y</v>
      </c>
      <c r="BR78" s="297" t="s">
        <v>1448</v>
      </c>
      <c r="BT78" s="295" t="str">
        <f t="shared" si="146"/>
        <v>Y</v>
      </c>
      <c r="BU78" s="296" t="str">
        <f t="shared" si="147"/>
        <v>Y</v>
      </c>
      <c r="BV78" s="296" t="str">
        <f t="shared" si="148"/>
        <v>Y</v>
      </c>
      <c r="BW78" s="297" t="str">
        <f t="shared" si="149"/>
        <v>Y</v>
      </c>
      <c r="BY78" s="352">
        <f t="shared" si="150"/>
        <v>0</v>
      </c>
      <c r="BZ78" s="353">
        <f t="shared" si="151"/>
        <v>0.9</v>
      </c>
      <c r="CA78" s="353">
        <f t="shared" si="152"/>
        <v>0</v>
      </c>
      <c r="CB78" s="354">
        <f t="shared" si="153"/>
        <v>0.9</v>
      </c>
      <c r="CD78" s="311">
        <f t="shared" si="154"/>
        <v>73</v>
      </c>
    </row>
    <row r="79" spans="1:82" s="237" customFormat="1" outlineLevel="1" x14ac:dyDescent="0.3">
      <c r="A79" s="236"/>
      <c r="B79" s="237">
        <v>481007</v>
      </c>
      <c r="D79" s="237" t="s">
        <v>882</v>
      </c>
      <c r="E79" s="237" t="s">
        <v>131</v>
      </c>
      <c r="F79" s="760">
        <f>IFERROR(VLOOKUP($B79,'update_Formula counts'!$D$7:$R$234,'update_Formula counts'!F$5,0),0)</f>
        <v>129</v>
      </c>
      <c r="G79" s="760">
        <f>IFERROR(VLOOKUP($B79,'update_Formula counts'!$D$7:$R$234,'update_Formula counts'!G$5,0),0)</f>
        <v>0</v>
      </c>
      <c r="H79" s="760">
        <f>IFERROR(VLOOKUP($B79,'update_Formula counts'!$D$7:$R$234,'update_Formula counts'!H$5,0),0)</f>
        <v>0</v>
      </c>
      <c r="I79" s="760">
        <f>IFERROR(VLOOKUP($B79,'update_Formula counts'!$D$7:$R$234,'update_Formula counts'!I$5,0),0)</f>
        <v>4</v>
      </c>
      <c r="J79" s="760">
        <f>IFERROR(VLOOKUP($B79,'update_Formula counts'!$D$7:$R$234,'update_Formula counts'!J$5,0),0)</f>
        <v>0</v>
      </c>
      <c r="K79" s="760">
        <f t="shared" si="123"/>
        <v>129</v>
      </c>
      <c r="L79" s="525">
        <f>IFERROR(VLOOKUP($B79,'update_Formula counts'!$D$7:$R$234,'update_Formula counts'!L$5,0),0)</f>
        <v>354</v>
      </c>
      <c r="M79" s="526">
        <f>IFERROR(VLOOKUP($B79,'update_Formula counts'!$D$7:$R$234,'update_Formula counts'!K$5,0),0)</f>
        <v>133</v>
      </c>
      <c r="N79" s="527">
        <f>IFERROR(VLOOKUP($B79,'update_Formula counts'!$D$7:$R$234,'update_Formula counts'!M$5,0),0)</f>
        <v>0.37570621468926552</v>
      </c>
      <c r="O79" s="238"/>
      <c r="P79" s="240"/>
      <c r="Q79" s="752"/>
      <c r="R79" s="525"/>
      <c r="S79" s="526"/>
      <c r="T79" s="241"/>
      <c r="U79" s="273">
        <f>VLOOKUP($B79,update_Allocation!$D$8:$Q$235,update_Allocation!K$239,0)</f>
        <v>87959.111653126223</v>
      </c>
      <c r="V79" s="274">
        <f>VLOOKUP($B79,update_Allocation!$D$8:$Q$235,update_Allocation!L$239,0)</f>
        <v>21452.854925735432</v>
      </c>
      <c r="W79" s="274">
        <f>VLOOKUP($B79,update_Allocation!$D$8:$Q$235,update_Allocation!M$239,0)</f>
        <v>58074.494239139516</v>
      </c>
      <c r="X79" s="274">
        <f>VLOOKUP($B79,update_Allocation!$D$8:$Q$235,update_Allocation!N$239,0)</f>
        <v>65506.264653698177</v>
      </c>
      <c r="Y79" s="275">
        <f>VLOOKUP($B79,update_Allocation!$D$8:$Q$235,update_Allocation!O$239,0)</f>
        <v>232992.72547169938</v>
      </c>
      <c r="Z79" s="274"/>
      <c r="AA79" s="274"/>
      <c r="AB79" s="274"/>
      <c r="AC79" s="275"/>
      <c r="AD79" s="274" t="str">
        <f t="shared" si="129"/>
        <v/>
      </c>
      <c r="AE79" s="274" t="str">
        <f t="shared" si="130"/>
        <v/>
      </c>
      <c r="AF79" s="274" t="str">
        <f t="shared" si="131"/>
        <v/>
      </c>
      <c r="AG79" s="275" t="str">
        <f t="shared" si="132"/>
        <v/>
      </c>
      <c r="AH79" s="274"/>
      <c r="AI79" s="274"/>
      <c r="AJ79" s="274"/>
      <c r="AK79" s="274"/>
      <c r="AL79" s="275"/>
      <c r="AM79" s="350"/>
      <c r="AN79" s="273">
        <f>IFERROR(VLOOKUP($A79,'HH &amp; SI'!$B$4:$Z$494,'HH &amp; SI'!V$503,0),0)</f>
        <v>0</v>
      </c>
      <c r="AO79" s="274">
        <f>IFERROR(VLOOKUP($A79,'HH &amp; SI'!$B$4:$Z$494,'HH &amp; SI'!W$503,0),0)</f>
        <v>0</v>
      </c>
      <c r="AP79" s="274">
        <f>IFERROR(VLOOKUP($A79,'HH &amp; SI'!$B$4:$Z$494,'HH &amp; SI'!X$503,0),0)</f>
        <v>0</v>
      </c>
      <c r="AQ79" s="274">
        <f>IFERROR(VLOOKUP($A79,'HH &amp; SI'!$B$4:$Z$494,'HH &amp; SI'!Y$503,0),0)</f>
        <v>0</v>
      </c>
      <c r="AR79" s="275">
        <f t="shared" si="135"/>
        <v>0</v>
      </c>
      <c r="AS79" s="350"/>
      <c r="AT79" s="327">
        <f>IFERROR(VLOOKUP(A79,'Afton FY16 Final'!$A$5:$BV$572,'Afton FY16 Final'!$BV$587,0),0)</f>
        <v>0</v>
      </c>
      <c r="AU79" s="350"/>
      <c r="AV79" s="525">
        <v>0</v>
      </c>
      <c r="AW79" s="274">
        <f>IFERROR(VLOOKUP($A79,'HH &amp; SI'!$B$4:$EY$503,'HH &amp; SI'!EX$503,0),0)</f>
        <v>0</v>
      </c>
      <c r="AX79" s="274">
        <f>IFERROR(VLOOKUP($A79,'HH &amp; SI'!$B$4:$EY$503,'HH &amp; SI'!EY$503,0),0)</f>
        <v>0</v>
      </c>
      <c r="AY79" s="274">
        <f>AX79/$AX$582*'update_State Admin 1004(b)'!$B$30*0.01</f>
        <v>0</v>
      </c>
      <c r="AZ79" s="275">
        <f t="shared" si="136"/>
        <v>0</v>
      </c>
      <c r="BA79" s="273">
        <f t="shared" si="137"/>
        <v>0</v>
      </c>
      <c r="BB79" s="274">
        <f t="shared" si="138"/>
        <v>0</v>
      </c>
      <c r="BC79" s="345" t="str">
        <f t="shared" si="139"/>
        <v/>
      </c>
      <c r="BD79" s="350"/>
      <c r="BE79" s="379" t="str">
        <f>'Original Title I &amp; II'!AZ79</f>
        <v/>
      </c>
      <c r="BF79" s="246" t="str">
        <f t="shared" si="140"/>
        <v/>
      </c>
      <c r="BG79" s="275">
        <f t="shared" si="122"/>
        <v>0</v>
      </c>
      <c r="BI79" s="242" t="str">
        <f>IFERROR(VLOOKUP(A79,'Title II Hold Harmless'!A$1:B$439,2, FALSE),"")</f>
        <v/>
      </c>
      <c r="BJ79" s="242">
        <f t="shared" si="141"/>
        <v>0</v>
      </c>
      <c r="BK79" s="242">
        <f t="shared" si="142"/>
        <v>0</v>
      </c>
      <c r="BL79" s="242" t="str">
        <f t="shared" si="143"/>
        <v/>
      </c>
      <c r="BM79" s="242">
        <f t="shared" si="144"/>
        <v>0</v>
      </c>
      <c r="BN79" s="200"/>
      <c r="BP79" s="307" t="s">
        <v>1447</v>
      </c>
      <c r="BQ79" s="308" t="str">
        <f t="shared" si="145"/>
        <v>Y</v>
      </c>
      <c r="BR79" s="309" t="s">
        <v>1447</v>
      </c>
      <c r="BT79" s="307" t="str">
        <f t="shared" si="146"/>
        <v>N</v>
      </c>
      <c r="BU79" s="308" t="str">
        <f t="shared" si="147"/>
        <v>N</v>
      </c>
      <c r="BV79" s="308" t="str">
        <f t="shared" si="148"/>
        <v>N</v>
      </c>
      <c r="BW79" s="309" t="str">
        <f t="shared" si="149"/>
        <v>N</v>
      </c>
      <c r="BY79" s="364">
        <f t="shared" si="150"/>
        <v>0.85</v>
      </c>
      <c r="BZ79" s="365">
        <f t="shared" si="151"/>
        <v>0</v>
      </c>
      <c r="CA79" s="365">
        <f t="shared" si="152"/>
        <v>0</v>
      </c>
      <c r="CB79" s="366">
        <f t="shared" si="153"/>
        <v>0.85</v>
      </c>
      <c r="CD79" s="315">
        <f t="shared" si="154"/>
        <v>74</v>
      </c>
    </row>
    <row r="80" spans="1:82" s="48" customFormat="1" outlineLevel="1" x14ac:dyDescent="0.3">
      <c r="A80" s="202">
        <v>48701000</v>
      </c>
      <c r="B80" s="48">
        <f>VLOOKUP(C80,'NCES ID'!$A$2:$B$3136,2,FALSE)</f>
        <v>400339</v>
      </c>
      <c r="C80" s="48">
        <f>VLOOKUP(A80,'State ID'!$A$2:$B$713,2,FALSE)</f>
        <v>6258</v>
      </c>
      <c r="D80" s="48" t="s">
        <v>130</v>
      </c>
      <c r="E80" s="48" t="s">
        <v>131</v>
      </c>
      <c r="F80" s="755"/>
      <c r="G80" s="755"/>
      <c r="H80" s="755"/>
      <c r="I80" s="755"/>
      <c r="J80" s="755"/>
      <c r="K80" s="755"/>
      <c r="L80" s="454"/>
      <c r="M80" s="455"/>
      <c r="N80" s="456"/>
      <c r="O80" s="209">
        <f>VLOOKUP($C80,'Final SEA Counts'!$A$2:$F$709,5,FALSE)</f>
        <v>305</v>
      </c>
      <c r="P80" s="223">
        <f>VLOOKUP($C80,'Final SEA Counts'!$A$2:$F$709,6,FALSE)</f>
        <v>228</v>
      </c>
      <c r="Q80" s="749"/>
      <c r="R80" s="454">
        <f>O80</f>
        <v>305</v>
      </c>
      <c r="S80" s="455">
        <f>P80*$B$83</f>
        <v>124.39840115158215</v>
      </c>
      <c r="T80" s="230">
        <f>S80/R80</f>
        <v>0.40786361033305624</v>
      </c>
      <c r="U80" s="264" t="str">
        <f>IFERROR(VLOOKUP($B80,#REF!,8,FALSE),"")</f>
        <v/>
      </c>
      <c r="V80" s="265" t="str">
        <f>IFERROR(VLOOKUP($B80,#REF!,9,FALSE),"")</f>
        <v/>
      </c>
      <c r="W80" s="265" t="str">
        <f>IFERROR(VLOOKUP($B80,#REF!,10,FALSE),"")</f>
        <v/>
      </c>
      <c r="X80" s="265" t="str">
        <f>IFERROR(VLOOKUP($B80,#REF!,11,FALSE),"")</f>
        <v/>
      </c>
      <c r="Y80" s="266" t="str">
        <f>IFERROR(VLOOKUP($B80,#REF!,12,FALSE),"")</f>
        <v/>
      </c>
      <c r="Z80" s="265">
        <f t="shared" ref="Z80:AC81" si="155">$S80*U$84</f>
        <v>60793.223187260599</v>
      </c>
      <c r="AA80" s="265">
        <f t="shared" si="155"/>
        <v>14556.654274224642</v>
      </c>
      <c r="AB80" s="265">
        <f t="shared" si="155"/>
        <v>35541.181745825503</v>
      </c>
      <c r="AC80" s="266">
        <f t="shared" si="155"/>
        <v>34655.332219448021</v>
      </c>
      <c r="AD80" s="265">
        <f t="shared" si="129"/>
        <v>60793.223187260599</v>
      </c>
      <c r="AE80" s="265">
        <f t="shared" si="130"/>
        <v>14556.654274224642</v>
      </c>
      <c r="AF80" s="265">
        <f t="shared" si="131"/>
        <v>35541.181745825503</v>
      </c>
      <c r="AG80" s="266">
        <f t="shared" si="132"/>
        <v>34655.332219448021</v>
      </c>
      <c r="AH80" s="265">
        <f t="shared" ref="AH80:AK81" si="156">IF(AD80="","",AD80+AD$84)</f>
        <v>60793.223187260599</v>
      </c>
      <c r="AI80" s="265">
        <f t="shared" si="156"/>
        <v>14556.654274224642</v>
      </c>
      <c r="AJ80" s="265">
        <f t="shared" si="156"/>
        <v>35541.181745825503</v>
      </c>
      <c r="AK80" s="265">
        <f t="shared" si="156"/>
        <v>34655.332219448021</v>
      </c>
      <c r="AL80" s="266">
        <f>SUM(AH80:AK80)</f>
        <v>145546.39142675878</v>
      </c>
      <c r="AM80" s="347"/>
      <c r="AN80" s="264">
        <f>IFERROR(VLOOKUP($A80,'HH &amp; SI'!$B$4:$Z$494,'HH &amp; SI'!V$503,0),0)</f>
        <v>74858.375905546141</v>
      </c>
      <c r="AO80" s="265">
        <f>IFERROR(VLOOKUP($A80,'HH &amp; SI'!$B$4:$Z$494,'HH &amp; SI'!W$503,0),0)</f>
        <v>17131.711574403667</v>
      </c>
      <c r="AP80" s="265">
        <f>IFERROR(VLOOKUP($A80,'HH &amp; SI'!$B$4:$Z$494,'HH &amp; SI'!X$503,0),0)</f>
        <v>41332.828082304601</v>
      </c>
      <c r="AQ80" s="265">
        <f>IFERROR(VLOOKUP($A80,'HH &amp; SI'!$B$4:$Z$494,'HH &amp; SI'!Y$503,0),0)</f>
        <v>42677.2782573902</v>
      </c>
      <c r="AR80" s="266">
        <f t="shared" si="135"/>
        <v>176000.1938196446</v>
      </c>
      <c r="AS80" s="347"/>
      <c r="AT80" s="324">
        <f>IFERROR(VLOOKUP(A80,'Afton FY16 Final'!$A$5:$BV$572,'Afton FY16 Final'!$BV$587,0),0)</f>
        <v>178706.52356052888</v>
      </c>
      <c r="AU80" s="347"/>
      <c r="AV80" s="454">
        <v>0</v>
      </c>
      <c r="AW80" s="265">
        <f>IFERROR(VLOOKUP($A80,'HH &amp; SI'!$B$4:$EY$503,'HH &amp; SI'!EX$503,0),0)</f>
        <v>0</v>
      </c>
      <c r="AX80" s="265">
        <f>IFERROR(VLOOKUP($A80,'HH &amp; SI'!$B$4:$EY$503,'HH &amp; SI'!EY$503,0),0)</f>
        <v>176000.1938196446</v>
      </c>
      <c r="AY80" s="265">
        <f>AX80/$AX$582*'update_State Admin 1004(b)'!$B$30*0.01</f>
        <v>1684.4482878508195</v>
      </c>
      <c r="AZ80" s="266">
        <f t="shared" si="136"/>
        <v>174315.74553179377</v>
      </c>
      <c r="BA80" s="264">
        <f t="shared" si="137"/>
        <v>1743.1574553179378</v>
      </c>
      <c r="BB80" s="265">
        <f t="shared" si="138"/>
        <v>172572.58807647583</v>
      </c>
      <c r="BC80" s="342">
        <f t="shared" si="139"/>
        <v>0.96567592854563344</v>
      </c>
      <c r="BD80" s="347"/>
      <c r="BE80" s="377" t="str">
        <f>'Original Title I &amp; II'!AZ80</f>
        <v/>
      </c>
      <c r="BF80" s="244" t="str">
        <f t="shared" si="140"/>
        <v/>
      </c>
      <c r="BG80" s="266">
        <f t="shared" si="122"/>
        <v>172572.58807647583</v>
      </c>
      <c r="BI80" s="203">
        <f>IFERROR(VLOOKUP(A80,'Title II Hold Harmless'!A$1:B$439,2, FALSE),"")</f>
        <v>18040</v>
      </c>
      <c r="BJ80" s="203">
        <f t="shared" si="141"/>
        <v>19913.949994821021</v>
      </c>
      <c r="BK80" s="203">
        <f t="shared" si="142"/>
        <v>19933.214587932271</v>
      </c>
      <c r="BL80" s="203" t="str">
        <f t="shared" si="143"/>
        <v/>
      </c>
      <c r="BM80" s="203">
        <f t="shared" si="144"/>
        <v>19933.214587932271</v>
      </c>
      <c r="BN80" s="200"/>
      <c r="BP80" s="298" t="s">
        <v>1448</v>
      </c>
      <c r="BQ80" s="299" t="str">
        <f t="shared" si="145"/>
        <v>Y</v>
      </c>
      <c r="BR80" s="300" t="s">
        <v>1448</v>
      </c>
      <c r="BT80" s="298" t="str">
        <f t="shared" si="146"/>
        <v>Y</v>
      </c>
      <c r="BU80" s="299" t="str">
        <f t="shared" si="147"/>
        <v>Y</v>
      </c>
      <c r="BV80" s="299" t="str">
        <f t="shared" si="148"/>
        <v>Y</v>
      </c>
      <c r="BW80" s="300" t="str">
        <f t="shared" si="149"/>
        <v>Y</v>
      </c>
      <c r="BY80" s="355">
        <f t="shared" si="150"/>
        <v>0</v>
      </c>
      <c r="BZ80" s="356">
        <f t="shared" si="151"/>
        <v>0</v>
      </c>
      <c r="CA80" s="356">
        <f t="shared" si="152"/>
        <v>0.95</v>
      </c>
      <c r="CB80" s="357">
        <f t="shared" si="153"/>
        <v>0.95</v>
      </c>
      <c r="CD80" s="312">
        <f t="shared" si="154"/>
        <v>75</v>
      </c>
    </row>
    <row r="81" spans="1:82" s="48" customFormat="1" outlineLevel="1" x14ac:dyDescent="0.3">
      <c r="A81" s="202"/>
      <c r="D81" s="48" t="s">
        <v>1411</v>
      </c>
      <c r="E81" s="48" t="s">
        <v>131</v>
      </c>
      <c r="F81" s="755"/>
      <c r="G81" s="755"/>
      <c r="H81" s="755"/>
      <c r="I81" s="755"/>
      <c r="J81" s="755"/>
      <c r="K81" s="755"/>
      <c r="L81" s="454"/>
      <c r="M81" s="455"/>
      <c r="N81" s="456"/>
      <c r="O81" s="211">
        <f>'AVA Metrics'!C5</f>
        <v>39.375516766192007</v>
      </c>
      <c r="P81" s="212">
        <f>'AVA Metrics'!D5</f>
        <v>20.60128617363344</v>
      </c>
      <c r="Q81" s="749"/>
      <c r="R81" s="454">
        <f>O81</f>
        <v>39.375516766192007</v>
      </c>
      <c r="S81" s="455">
        <f>P81*$B$83</f>
        <v>11.240206410816647</v>
      </c>
      <c r="T81" s="230">
        <f>S81/R81</f>
        <v>0.28546181317593622</v>
      </c>
      <c r="U81" s="264"/>
      <c r="V81" s="265"/>
      <c r="W81" s="265"/>
      <c r="X81" s="265"/>
      <c r="Y81" s="266"/>
      <c r="Z81" s="265">
        <f t="shared" si="155"/>
        <v>5493.0639837645776</v>
      </c>
      <c r="AA81" s="265">
        <f t="shared" si="155"/>
        <v>1315.2885983945009</v>
      </c>
      <c r="AB81" s="265">
        <f t="shared" si="155"/>
        <v>3211.3774390125795</v>
      </c>
      <c r="AC81" s="266">
        <f t="shared" si="155"/>
        <v>3131.3351600666142</v>
      </c>
      <c r="AD81" s="265">
        <f t="shared" si="129"/>
        <v>5493.0639837645776</v>
      </c>
      <c r="AE81" s="265">
        <f t="shared" si="130"/>
        <v>1315.2885983945009</v>
      </c>
      <c r="AF81" s="265">
        <f t="shared" si="131"/>
        <v>3211.3774390125795</v>
      </c>
      <c r="AG81" s="266">
        <f t="shared" si="132"/>
        <v>3131.3351600666142</v>
      </c>
      <c r="AH81" s="265">
        <f t="shared" si="156"/>
        <v>5493.0639837645776</v>
      </c>
      <c r="AI81" s="265">
        <f t="shared" si="156"/>
        <v>1315.2885983945009</v>
      </c>
      <c r="AJ81" s="265">
        <f t="shared" si="156"/>
        <v>3211.3774390125795</v>
      </c>
      <c r="AK81" s="265">
        <f t="shared" si="156"/>
        <v>3131.3351600666142</v>
      </c>
      <c r="AL81" s="266">
        <f>SUM(AH81:AK81)</f>
        <v>13151.065181238271</v>
      </c>
      <c r="AM81" s="347"/>
      <c r="AN81" s="264">
        <f>IFERROR(VLOOKUP($A81,'HH &amp; SI'!$B$4:$Z$494,'HH &amp; SI'!V$503,0),0)</f>
        <v>0</v>
      </c>
      <c r="AO81" s="265">
        <f>IFERROR(VLOOKUP($A81,'HH &amp; SI'!$B$4:$Z$494,'HH &amp; SI'!W$503,0),0)</f>
        <v>0</v>
      </c>
      <c r="AP81" s="265">
        <f>IFERROR(VLOOKUP($A81,'HH &amp; SI'!$B$4:$Z$494,'HH &amp; SI'!X$503,0),0)</f>
        <v>0</v>
      </c>
      <c r="AQ81" s="265">
        <f>IFERROR(VLOOKUP($A81,'HH &amp; SI'!$B$4:$Z$494,'HH &amp; SI'!Y$503,0),0)</f>
        <v>0</v>
      </c>
      <c r="AR81" s="266">
        <f t="shared" si="135"/>
        <v>0</v>
      </c>
      <c r="AS81" s="347"/>
      <c r="AT81" s="324">
        <f>IFERROR(VLOOKUP(A81,'Afton FY16 Final'!$A$5:$BV$572,'Afton FY16 Final'!$BV$587,0),0)</f>
        <v>0</v>
      </c>
      <c r="AU81" s="347"/>
      <c r="AV81" s="454">
        <v>0</v>
      </c>
      <c r="AW81" s="265">
        <f>IFERROR(VLOOKUP($A81,'HH &amp; SI'!$B$4:$EY$503,'HH &amp; SI'!EX$503,0),0)</f>
        <v>0</v>
      </c>
      <c r="AX81" s="265">
        <f>IFERROR(VLOOKUP($A81,'HH &amp; SI'!$B$4:$EY$503,'HH &amp; SI'!EY$503,0),0)</f>
        <v>0</v>
      </c>
      <c r="AY81" s="265"/>
      <c r="AZ81" s="266"/>
      <c r="BA81" s="264"/>
      <c r="BB81" s="265"/>
      <c r="BC81" s="342" t="str">
        <f t="shared" ref="BC81:BC134" si="157">IFERROR(BB81/AT81,"")</f>
        <v/>
      </c>
      <c r="BD81" s="347"/>
      <c r="BE81" s="377">
        <f>'Original Title I &amp; II'!AZ81</f>
        <v>0</v>
      </c>
      <c r="BF81" s="244"/>
      <c r="BG81" s="266">
        <f t="shared" si="122"/>
        <v>0</v>
      </c>
      <c r="BI81" s="203"/>
      <c r="BJ81" s="203"/>
      <c r="BK81" s="203"/>
      <c r="BL81" s="203"/>
      <c r="BM81" s="203"/>
      <c r="BN81" s="200"/>
      <c r="BP81" s="298" t="s">
        <v>1448</v>
      </c>
      <c r="BQ81" s="299" t="str">
        <f t="shared" si="145"/>
        <v>Y</v>
      </c>
      <c r="BR81" s="300" t="s">
        <v>1448</v>
      </c>
      <c r="BT81" s="298" t="str">
        <f t="shared" si="146"/>
        <v>Y</v>
      </c>
      <c r="BU81" s="299" t="str">
        <f t="shared" si="147"/>
        <v>Y</v>
      </c>
      <c r="BV81" s="299" t="str">
        <f t="shared" si="148"/>
        <v>Y</v>
      </c>
      <c r="BW81" s="300" t="str">
        <f t="shared" si="149"/>
        <v>Y</v>
      </c>
      <c r="BY81" s="355">
        <f t="shared" si="150"/>
        <v>0</v>
      </c>
      <c r="BZ81" s="356">
        <f t="shared" si="151"/>
        <v>0.9</v>
      </c>
      <c r="CA81" s="356">
        <f t="shared" si="152"/>
        <v>0</v>
      </c>
      <c r="CB81" s="357">
        <f t="shared" si="153"/>
        <v>0.9</v>
      </c>
      <c r="CD81" s="312">
        <f t="shared" si="154"/>
        <v>76</v>
      </c>
    </row>
    <row r="82" spans="1:82" s="197" customFormat="1" outlineLevel="1" x14ac:dyDescent="0.3">
      <c r="A82" s="196"/>
      <c r="D82" s="197" t="s">
        <v>878</v>
      </c>
      <c r="F82" s="756"/>
      <c r="G82" s="756"/>
      <c r="H82" s="756"/>
      <c r="I82" s="756"/>
      <c r="J82" s="756"/>
      <c r="K82" s="756"/>
      <c r="L82" s="757"/>
      <c r="M82" s="758"/>
      <c r="N82" s="768"/>
      <c r="O82" s="214"/>
      <c r="P82" s="216"/>
      <c r="Q82" s="750"/>
      <c r="R82" s="757">
        <f>SUM(R80:R81)</f>
        <v>344.37551676619199</v>
      </c>
      <c r="S82" s="758">
        <f>SUM(S80:S81)</f>
        <v>135.63860756239879</v>
      </c>
      <c r="T82" s="231"/>
      <c r="U82" s="267"/>
      <c r="V82" s="268"/>
      <c r="W82" s="268"/>
      <c r="X82" s="268"/>
      <c r="Y82" s="269"/>
      <c r="Z82" s="268">
        <f>SUM(Z80:Z81)</f>
        <v>66286.287171025178</v>
      </c>
      <c r="AA82" s="268">
        <f t="shared" ref="AA82:AC82" si="158">SUM(AA80:AA81)</f>
        <v>15871.942872619144</v>
      </c>
      <c r="AB82" s="268">
        <f t="shared" si="158"/>
        <v>38752.559184838079</v>
      </c>
      <c r="AC82" s="269">
        <f t="shared" si="158"/>
        <v>37786.667379514634</v>
      </c>
      <c r="AD82" s="268"/>
      <c r="AE82" s="268"/>
      <c r="AF82" s="268"/>
      <c r="AG82" s="269"/>
      <c r="AH82" s="268"/>
      <c r="AI82" s="268"/>
      <c r="AJ82" s="268"/>
      <c r="AK82" s="268"/>
      <c r="AL82" s="269"/>
      <c r="AM82" s="348"/>
      <c r="AN82" s="267"/>
      <c r="AO82" s="268"/>
      <c r="AP82" s="268"/>
      <c r="AQ82" s="268"/>
      <c r="AR82" s="269"/>
      <c r="AS82" s="348"/>
      <c r="AT82" s="325"/>
      <c r="AU82" s="348"/>
      <c r="AV82" s="757"/>
      <c r="AW82" s="268"/>
      <c r="AX82" s="268"/>
      <c r="AY82" s="268"/>
      <c r="AZ82" s="269"/>
      <c r="BA82" s="267"/>
      <c r="BB82" s="268"/>
      <c r="BC82" s="343" t="str">
        <f t="shared" si="157"/>
        <v/>
      </c>
      <c r="BD82" s="348"/>
      <c r="BE82" s="371"/>
      <c r="BF82" s="369"/>
      <c r="BG82" s="269"/>
      <c r="BI82" s="198"/>
      <c r="BL82" s="198"/>
      <c r="BN82" s="199"/>
      <c r="BP82" s="301" t="s">
        <v>1450</v>
      </c>
      <c r="BQ82" s="302" t="str">
        <f t="shared" si="145"/>
        <v>N</v>
      </c>
      <c r="BR82" s="303" t="s">
        <v>1448</v>
      </c>
      <c r="BT82" s="301" t="str">
        <f t="shared" si="146"/>
        <v>N</v>
      </c>
      <c r="BU82" s="302" t="s">
        <v>1450</v>
      </c>
      <c r="BV82" s="302" t="s">
        <v>1450</v>
      </c>
      <c r="BW82" s="303" t="s">
        <v>1450</v>
      </c>
      <c r="BY82" s="358">
        <f t="shared" si="150"/>
        <v>0.85</v>
      </c>
      <c r="BZ82" s="359">
        <f t="shared" si="151"/>
        <v>0</v>
      </c>
      <c r="CA82" s="359">
        <f t="shared" si="152"/>
        <v>0</v>
      </c>
      <c r="CB82" s="360">
        <f t="shared" si="153"/>
        <v>0.85</v>
      </c>
      <c r="CD82" s="313">
        <f t="shared" si="154"/>
        <v>77</v>
      </c>
    </row>
    <row r="83" spans="1:82" s="197" customFormat="1" outlineLevel="1" x14ac:dyDescent="0.3">
      <c r="A83" s="196" t="s">
        <v>880</v>
      </c>
      <c r="B83" s="197">
        <f>M83/P83</f>
        <v>0.54560702259465854</v>
      </c>
      <c r="D83" s="197" t="s">
        <v>879</v>
      </c>
      <c r="E83" s="197">
        <f t="shared" ref="E83:K83" si="159">SUM(E71:E81)</f>
        <v>0</v>
      </c>
      <c r="F83" s="756">
        <f t="shared" si="159"/>
        <v>2657</v>
      </c>
      <c r="G83" s="756">
        <f t="shared" si="159"/>
        <v>0</v>
      </c>
      <c r="H83" s="756">
        <f t="shared" si="159"/>
        <v>0</v>
      </c>
      <c r="I83" s="756">
        <f t="shared" si="159"/>
        <v>73</v>
      </c>
      <c r="J83" s="756">
        <f t="shared" si="159"/>
        <v>0</v>
      </c>
      <c r="K83" s="756">
        <f t="shared" si="159"/>
        <v>2657</v>
      </c>
      <c r="L83" s="757">
        <f>SUM(L71:L81)</f>
        <v>7785</v>
      </c>
      <c r="M83" s="758">
        <f>SUM(M71:M81)</f>
        <v>2730</v>
      </c>
      <c r="N83" s="768"/>
      <c r="O83" s="217">
        <f>SUM(O71:O81)</f>
        <v>6990.375516766192</v>
      </c>
      <c r="P83" s="218">
        <f>SUM(P71:P81)</f>
        <v>5003.6012861736335</v>
      </c>
      <c r="Q83" s="750"/>
      <c r="R83" s="757">
        <f>SUM(R71:R81)</f>
        <v>7785.0000000000009</v>
      </c>
      <c r="S83" s="758">
        <f>SUM(S71:S81)</f>
        <v>2729.9999999999995</v>
      </c>
      <c r="T83" s="231"/>
      <c r="U83" s="267">
        <f>SUM(U71:U81)</f>
        <v>1334144.954957973</v>
      </c>
      <c r="V83" s="268">
        <f t="shared" ref="V83:AL83" si="160">SUM(V71:V81)</f>
        <v>319454.79846006719</v>
      </c>
      <c r="W83" s="268">
        <f t="shared" si="160"/>
        <v>779973.25743659341</v>
      </c>
      <c r="X83" s="268">
        <f t="shared" si="160"/>
        <v>760532.74064037122</v>
      </c>
      <c r="Y83" s="269">
        <f t="shared" si="160"/>
        <v>3194105.7514950046</v>
      </c>
      <c r="Z83" s="268">
        <f t="shared" si="160"/>
        <v>1334144.954957973</v>
      </c>
      <c r="AA83" s="268">
        <f t="shared" si="160"/>
        <v>319454.79846006713</v>
      </c>
      <c r="AB83" s="268">
        <f t="shared" si="160"/>
        <v>779973.25743659353</v>
      </c>
      <c r="AC83" s="269">
        <f t="shared" si="160"/>
        <v>760532.74064037122</v>
      </c>
      <c r="AD83" s="268">
        <f t="shared" si="160"/>
        <v>1334144.954957973</v>
      </c>
      <c r="AE83" s="268">
        <f t="shared" si="160"/>
        <v>319454.79846006713</v>
      </c>
      <c r="AF83" s="268">
        <f t="shared" si="160"/>
        <v>779973.25743659353</v>
      </c>
      <c r="AG83" s="269">
        <f t="shared" si="160"/>
        <v>760532.74064037122</v>
      </c>
      <c r="AH83" s="268">
        <f t="shared" si="160"/>
        <v>1334144.954957973</v>
      </c>
      <c r="AI83" s="268">
        <f t="shared" si="160"/>
        <v>319454.79846006713</v>
      </c>
      <c r="AJ83" s="268">
        <f t="shared" si="160"/>
        <v>779973.25743659353</v>
      </c>
      <c r="AK83" s="268">
        <f t="shared" si="160"/>
        <v>760532.74064037122</v>
      </c>
      <c r="AL83" s="269">
        <f t="shared" si="160"/>
        <v>3194105.7514950051</v>
      </c>
      <c r="AM83" s="348"/>
      <c r="AN83" s="267">
        <f t="shared" ref="AN83:AR83" si="161">SUM(AN71:AN81)</f>
        <v>1325422.6285428882</v>
      </c>
      <c r="AO83" s="268">
        <f t="shared" ref="AO83" si="162">SUM(AO71:AO81)</f>
        <v>310959.2561806509</v>
      </c>
      <c r="AP83" s="268">
        <f t="shared" si="161"/>
        <v>775812.41348213959</v>
      </c>
      <c r="AQ83" s="268">
        <f t="shared" si="161"/>
        <v>757708.12645406998</v>
      </c>
      <c r="AR83" s="269">
        <f t="shared" si="161"/>
        <v>3169902.4246597486</v>
      </c>
      <c r="AS83" s="348"/>
      <c r="AT83" s="325">
        <f t="shared" ref="AT83:BB83" si="163">SUM(AT71:AT81)</f>
        <v>2905319.2242631456</v>
      </c>
      <c r="AU83" s="348"/>
      <c r="AV83" s="757">
        <f t="shared" si="163"/>
        <v>0</v>
      </c>
      <c r="AW83" s="268">
        <f t="shared" si="163"/>
        <v>98324.211677319836</v>
      </c>
      <c r="AX83" s="268">
        <f t="shared" si="163"/>
        <v>3071578.2129824287</v>
      </c>
      <c r="AY83" s="268">
        <f t="shared" si="163"/>
        <v>29397.210023303032</v>
      </c>
      <c r="AZ83" s="269">
        <f t="shared" si="163"/>
        <v>3042181.0029591257</v>
      </c>
      <c r="BA83" s="267">
        <f t="shared" si="163"/>
        <v>30421.810029591263</v>
      </c>
      <c r="BB83" s="268">
        <f t="shared" si="163"/>
        <v>3011759.1929295352</v>
      </c>
      <c r="BC83" s="343">
        <f t="shared" si="157"/>
        <v>1.0366362387229187</v>
      </c>
      <c r="BD83" s="348"/>
      <c r="BE83" s="371">
        <f t="shared" ref="BE83:BG83" si="164">SUM(BE71:BE81)</f>
        <v>0</v>
      </c>
      <c r="BF83" s="369">
        <f t="shared" si="164"/>
        <v>0</v>
      </c>
      <c r="BG83" s="269">
        <f t="shared" si="164"/>
        <v>3011759.1929295352</v>
      </c>
      <c r="BI83" s="198"/>
      <c r="BL83" s="198"/>
      <c r="BN83" s="199"/>
      <c r="BP83" s="301" t="s">
        <v>1450</v>
      </c>
      <c r="BQ83" s="302" t="str">
        <f t="shared" si="145"/>
        <v>N</v>
      </c>
      <c r="BR83" s="303" t="s">
        <v>1448</v>
      </c>
      <c r="BT83" s="301" t="str">
        <f t="shared" si="146"/>
        <v>N</v>
      </c>
      <c r="BU83" s="302" t="s">
        <v>1450</v>
      </c>
      <c r="BV83" s="302" t="s">
        <v>1450</v>
      </c>
      <c r="BW83" s="303" t="s">
        <v>1450</v>
      </c>
      <c r="BY83" s="358">
        <f t="shared" si="150"/>
        <v>0.85</v>
      </c>
      <c r="BZ83" s="359">
        <f t="shared" si="151"/>
        <v>0</v>
      </c>
      <c r="CA83" s="359">
        <f t="shared" si="152"/>
        <v>0</v>
      </c>
      <c r="CB83" s="360">
        <f t="shared" si="153"/>
        <v>0.85</v>
      </c>
      <c r="CD83" s="313">
        <f t="shared" si="154"/>
        <v>78</v>
      </c>
    </row>
    <row r="84" spans="1:82" s="197" customFormat="1" outlineLevel="1" x14ac:dyDescent="0.3">
      <c r="A84" s="196"/>
      <c r="F84" s="756"/>
      <c r="G84" s="756"/>
      <c r="H84" s="756"/>
      <c r="I84" s="756"/>
      <c r="J84" s="756"/>
      <c r="K84" s="756"/>
      <c r="L84" s="757"/>
      <c r="M84" s="758"/>
      <c r="N84" s="768"/>
      <c r="O84" s="214"/>
      <c r="P84" s="216"/>
      <c r="Q84" s="750"/>
      <c r="R84" s="757"/>
      <c r="S84" s="758"/>
      <c r="T84" s="231"/>
      <c r="U84" s="267">
        <f>U83/$S83</f>
        <v>488.69778569889127</v>
      </c>
      <c r="V84" s="268">
        <f>V83/$S83</f>
        <v>117.01640969233232</v>
      </c>
      <c r="W84" s="268">
        <f>W83/$S83</f>
        <v>285.70448990351412</v>
      </c>
      <c r="X84" s="268">
        <f>X83/$S83</f>
        <v>278.58342147998951</v>
      </c>
      <c r="Y84" s="269" t="str">
        <f>IFERROR(VLOOKUP($B84,#REF!,12,FALSE),"")</f>
        <v/>
      </c>
      <c r="Z84" s="268"/>
      <c r="AA84" s="268"/>
      <c r="AB84" s="268"/>
      <c r="AC84" s="269"/>
      <c r="AD84" s="268">
        <f>(Z83-AD83)/COUNT(AD71:AD81)</f>
        <v>0</v>
      </c>
      <c r="AE84" s="268">
        <f t="shared" ref="AE84:AG84" si="165">(AA83-AE83)/COUNT(AE71:AE81)</f>
        <v>0</v>
      </c>
      <c r="AF84" s="268">
        <f t="shared" si="165"/>
        <v>0</v>
      </c>
      <c r="AG84" s="269">
        <f t="shared" si="165"/>
        <v>0</v>
      </c>
      <c r="AH84" s="268"/>
      <c r="AI84" s="268"/>
      <c r="AJ84" s="268"/>
      <c r="AK84" s="268"/>
      <c r="AL84" s="280"/>
      <c r="AM84" s="348"/>
      <c r="AN84" s="267"/>
      <c r="AO84" s="268"/>
      <c r="AP84" s="268"/>
      <c r="AQ84" s="268"/>
      <c r="AR84" s="280"/>
      <c r="AS84" s="348"/>
      <c r="AT84" s="325"/>
      <c r="AU84" s="348"/>
      <c r="AV84" s="757"/>
      <c r="AW84" s="268"/>
      <c r="AX84" s="268"/>
      <c r="AY84" s="268"/>
      <c r="AZ84" s="269"/>
      <c r="BA84" s="267"/>
      <c r="BB84" s="268"/>
      <c r="BC84" s="343" t="str">
        <f t="shared" si="157"/>
        <v/>
      </c>
      <c r="BD84" s="348"/>
      <c r="BE84" s="371"/>
      <c r="BF84" s="369"/>
      <c r="BG84" s="269"/>
      <c r="BI84" s="198"/>
      <c r="BL84" s="198"/>
      <c r="BN84" s="199"/>
      <c r="BP84" s="301" t="s">
        <v>1450</v>
      </c>
      <c r="BQ84" s="302" t="str">
        <f t="shared" si="145"/>
        <v>N</v>
      </c>
      <c r="BR84" s="303" t="s">
        <v>1448</v>
      </c>
      <c r="BT84" s="301" t="str">
        <f t="shared" si="146"/>
        <v>N</v>
      </c>
      <c r="BU84" s="302" t="s">
        <v>1450</v>
      </c>
      <c r="BV84" s="302" t="s">
        <v>1450</v>
      </c>
      <c r="BW84" s="303" t="s">
        <v>1450</v>
      </c>
      <c r="BY84" s="358">
        <f t="shared" si="150"/>
        <v>0.85</v>
      </c>
      <c r="BZ84" s="359">
        <f t="shared" si="151"/>
        <v>0</v>
      </c>
      <c r="CA84" s="359">
        <f t="shared" si="152"/>
        <v>0</v>
      </c>
      <c r="CB84" s="360">
        <f t="shared" si="153"/>
        <v>0.85</v>
      </c>
      <c r="CD84" s="313">
        <f t="shared" si="154"/>
        <v>79</v>
      </c>
    </row>
    <row r="85" spans="1:82" s="199" customFormat="1" outlineLevel="1" x14ac:dyDescent="0.3">
      <c r="A85" s="201"/>
      <c r="F85" s="759"/>
      <c r="G85" s="759"/>
      <c r="H85" s="759"/>
      <c r="I85" s="759"/>
      <c r="J85" s="759"/>
      <c r="K85" s="759"/>
      <c r="L85" s="509"/>
      <c r="M85" s="510"/>
      <c r="N85" s="511"/>
      <c r="O85" s="220"/>
      <c r="P85" s="222"/>
      <c r="Q85" s="751"/>
      <c r="R85" s="509"/>
      <c r="S85" s="510"/>
      <c r="T85" s="232"/>
      <c r="U85" s="270" t="str">
        <f>IFERROR(VLOOKUP($B85,#REF!,8,FALSE),"")</f>
        <v/>
      </c>
      <c r="V85" s="271" t="str">
        <f>IFERROR(VLOOKUP($B85,#REF!,9,FALSE),"")</f>
        <v/>
      </c>
      <c r="W85" s="271" t="str">
        <f>IFERROR(VLOOKUP($B85,#REF!,10,FALSE),"")</f>
        <v/>
      </c>
      <c r="X85" s="271" t="str">
        <f>IFERROR(VLOOKUP($B85,#REF!,11,FALSE),"")</f>
        <v/>
      </c>
      <c r="Y85" s="272" t="str">
        <f>IFERROR(VLOOKUP($B85,#REF!,12,FALSE),"")</f>
        <v/>
      </c>
      <c r="Z85" s="271"/>
      <c r="AA85" s="271"/>
      <c r="AB85" s="271"/>
      <c r="AC85" s="272"/>
      <c r="AD85" s="271"/>
      <c r="AE85" s="271"/>
      <c r="AF85" s="271"/>
      <c r="AG85" s="272"/>
      <c r="AH85" s="271"/>
      <c r="AI85" s="271"/>
      <c r="AJ85" s="271"/>
      <c r="AK85" s="271"/>
      <c r="AL85" s="272"/>
      <c r="AM85" s="349"/>
      <c r="AN85" s="270"/>
      <c r="AO85" s="271"/>
      <c r="AP85" s="271"/>
      <c r="AQ85" s="271"/>
      <c r="AR85" s="272"/>
      <c r="AS85" s="349"/>
      <c r="AT85" s="326"/>
      <c r="AU85" s="349"/>
      <c r="AV85" s="509"/>
      <c r="AW85" s="271"/>
      <c r="AX85" s="271"/>
      <c r="AY85" s="271"/>
      <c r="AZ85" s="272"/>
      <c r="BA85" s="270"/>
      <c r="BB85" s="271"/>
      <c r="BC85" s="344" t="str">
        <f t="shared" si="157"/>
        <v/>
      </c>
      <c r="BD85" s="349"/>
      <c r="BE85" s="378">
        <f>'Original Title I &amp; II'!AZ85</f>
        <v>0</v>
      </c>
      <c r="BF85" s="245"/>
      <c r="BG85" s="272">
        <f t="shared" ref="BG85:BG95" si="166">IF(BF85&lt;0,BB85+BF85,BB85)</f>
        <v>0</v>
      </c>
      <c r="BI85" s="200"/>
      <c r="BL85" s="200"/>
      <c r="BP85" s="304" t="s">
        <v>1450</v>
      </c>
      <c r="BQ85" s="305" t="str">
        <f t="shared" si="145"/>
        <v>N</v>
      </c>
      <c r="BR85" s="306" t="s">
        <v>1448</v>
      </c>
      <c r="BT85" s="304" t="str">
        <f t="shared" si="146"/>
        <v>N</v>
      </c>
      <c r="BU85" s="305" t="s">
        <v>1450</v>
      </c>
      <c r="BV85" s="305" t="s">
        <v>1450</v>
      </c>
      <c r="BW85" s="306" t="s">
        <v>1450</v>
      </c>
      <c r="BY85" s="361">
        <f t="shared" si="150"/>
        <v>0.85</v>
      </c>
      <c r="BZ85" s="362">
        <f t="shared" si="151"/>
        <v>0</v>
      </c>
      <c r="CA85" s="362">
        <f t="shared" si="152"/>
        <v>0</v>
      </c>
      <c r="CB85" s="363">
        <f t="shared" si="153"/>
        <v>0.85</v>
      </c>
      <c r="CD85" s="314">
        <f t="shared" si="154"/>
        <v>80</v>
      </c>
    </row>
    <row r="86" spans="1:82" outlineLevel="1" x14ac:dyDescent="0.3">
      <c r="A86" s="1">
        <v>50305000</v>
      </c>
      <c r="B86" s="47">
        <f>VLOOKUP(C86,'NCES ID'!$A$2:$B$3136,2,FALSE)</f>
        <v>407860</v>
      </c>
      <c r="C86" s="47">
        <f>VLOOKUP(A86,'State ID'!$A$2:$B$713,2,FALSE)</f>
        <v>4222</v>
      </c>
      <c r="D86" s="147" t="s">
        <v>389</v>
      </c>
      <c r="E86" s="47" t="s">
        <v>133</v>
      </c>
      <c r="F86" s="382">
        <f>IFERROR(VLOOKUP($B86,'update_Formula counts'!$D$7:$R$234,'update_Formula counts'!F$5,0),0)</f>
        <v>86</v>
      </c>
      <c r="G86" s="382">
        <f>IFERROR(VLOOKUP($B86,'update_Formula counts'!$D$7:$R$234,'update_Formula counts'!G$5,0),0)</f>
        <v>0</v>
      </c>
      <c r="H86" s="382">
        <f>IFERROR(VLOOKUP($B86,'update_Formula counts'!$D$7:$R$234,'update_Formula counts'!H$5,0),0)</f>
        <v>0</v>
      </c>
      <c r="I86" s="382">
        <f>IFERROR(VLOOKUP($B86,'update_Formula counts'!$D$7:$R$234,'update_Formula counts'!I$5,0),0)</f>
        <v>2</v>
      </c>
      <c r="J86" s="382">
        <f>IFERROR(VLOOKUP($B86,'update_Formula counts'!$D$7:$R$234,'update_Formula counts'!J$5,0),0)</f>
        <v>0</v>
      </c>
      <c r="K86" s="382">
        <f t="shared" ref="K86:K92" si="167">M86-I86</f>
        <v>86</v>
      </c>
      <c r="L86" s="444">
        <f>IFERROR(VLOOKUP($B86,'update_Formula counts'!$D$7:$R$234,'update_Formula counts'!L$5,0),0)</f>
        <v>397</v>
      </c>
      <c r="M86" s="445">
        <f>IFERROR(VLOOKUP($B86,'update_Formula counts'!$D$7:$R$234,'update_Formula counts'!K$5,0),0)</f>
        <v>88</v>
      </c>
      <c r="N86" s="446">
        <f>IFERROR(VLOOKUP($B86,'update_Formula counts'!$D$7:$R$234,'update_Formula counts'!M$5,0),0)</f>
        <v>0.22166246851385391</v>
      </c>
      <c r="O86" s="137">
        <f>VLOOKUP($C86,'Final SEA Counts'!$A$2:$F$709,5,FALSE)</f>
        <v>180</v>
      </c>
      <c r="P86" s="208">
        <f>VLOOKUP($C86,'Final SEA Counts'!$A$2:$F$709,6,FALSE)</f>
        <v>119</v>
      </c>
      <c r="Q86" s="748">
        <f t="shared" ref="Q86:Q92" si="168">-F86/($F$97-$F$98)*$S$96+(M86/($M$97-$M$98)*$M$98)</f>
        <v>-2.5462703998404286</v>
      </c>
      <c r="R86" s="444">
        <f t="shared" ref="R86:R92" si="169">L86-(L86/L$97)*R$96</f>
        <v>388.18008194867269</v>
      </c>
      <c r="S86" s="445">
        <f t="shared" ref="S86:S92" si="170">Q86+K86+I86</f>
        <v>85.453729600159576</v>
      </c>
      <c r="T86" s="229">
        <f t="shared" ref="T86:T95" si="171">S86/R86</f>
        <v>0.22013939811434927</v>
      </c>
      <c r="U86" s="261">
        <f>VLOOKUP($B86,update_Allocation!$D$8:$Q$235,update_Allocation!K$239,0)</f>
        <v>54791.900293569131</v>
      </c>
      <c r="V86" s="262">
        <f>VLOOKUP($B86,update_Allocation!$D$8:$Q$235,update_Allocation!L$239,0)</f>
        <v>12983.449752426333</v>
      </c>
      <c r="W86" s="262">
        <f>VLOOKUP($B86,update_Allocation!$D$8:$Q$235,update_Allocation!M$239,0)</f>
        <v>30387.618801550503</v>
      </c>
      <c r="X86" s="262">
        <f>VLOOKUP($B86,update_Allocation!$D$8:$Q$235,update_Allocation!N$239,0)</f>
        <v>30742.434636272461</v>
      </c>
      <c r="Y86" s="263">
        <f>VLOOKUP($B86,update_Allocation!$D$8:$Q$235,update_Allocation!O$239,0)</f>
        <v>128905.40348381843</v>
      </c>
      <c r="Z86" s="262">
        <f t="shared" ref="Z86:AC92" si="172">IF(U86=0,"",U86-(U86/U$97)*Z$96)</f>
        <v>53208.994696294161</v>
      </c>
      <c r="AA86" s="262">
        <f t="shared" si="172"/>
        <v>12608.365567082499</v>
      </c>
      <c r="AB86" s="262">
        <f t="shared" si="172"/>
        <v>29509.738464655562</v>
      </c>
      <c r="AC86" s="263">
        <f t="shared" si="172"/>
        <v>29854.303879739327</v>
      </c>
      <c r="AD86" s="262">
        <f t="shared" ref="AD86:AD95" si="173">IF(BT86="Y",Z86,"")</f>
        <v>53208.994696294161</v>
      </c>
      <c r="AE86" s="262">
        <f t="shared" ref="AE86:AE95" si="174">IF(BU86="Y",AA86,"")</f>
        <v>12608.365567082499</v>
      </c>
      <c r="AF86" s="262">
        <f t="shared" ref="AF86:AF95" si="175">IF(BV86="Y",AB86,"")</f>
        <v>29509.738464655562</v>
      </c>
      <c r="AG86" s="263">
        <f t="shared" ref="AG86:AG95" si="176">IF(BW86="Y",AC86,"")</f>
        <v>29854.303879739327</v>
      </c>
      <c r="AH86" s="262">
        <f>IF(AD86="","",AD86+AD$98)</f>
        <v>53641.986696411012</v>
      </c>
      <c r="AI86" s="262">
        <f>IF(AE86="","",AE86+AE$98)</f>
        <v>17187.862803615124</v>
      </c>
      <c r="AJ86" s="262">
        <f>IF(AF86="","",AF86+AF$98)</f>
        <v>29694.595890268476</v>
      </c>
      <c r="AK86" s="262">
        <f>IF(AG86="","",AG86+AG$98)</f>
        <v>30022.183714964627</v>
      </c>
      <c r="AL86" s="263">
        <f t="shared" ref="AL86:AL95" si="177">SUM(AH86:AK86)</f>
        <v>130546.62910525924</v>
      </c>
      <c r="AM86" s="346"/>
      <c r="AN86" s="261">
        <f>IFERROR(VLOOKUP($A86,'HH &amp; SI'!$B$4:$Z$494,'HH &amp; SI'!V$503,0),0)</f>
        <v>52910.275180807563</v>
      </c>
      <c r="AO86" s="262">
        <f>IFERROR(VLOOKUP($A86,'HH &amp; SI'!$B$4:$Z$494,'HH &amp; SI'!W$503,0),0)</f>
        <v>16621.757443327773</v>
      </c>
      <c r="AP86" s="262">
        <f>IFERROR(VLOOKUP($A86,'HH &amp; SI'!$B$4:$Z$494,'HH &amp; SI'!X$503,0),0)</f>
        <v>29519.596749023705</v>
      </c>
      <c r="AQ86" s="262">
        <f>IFERROR(VLOOKUP($A86,'HH &amp; SI'!$B$4:$Z$494,'HH &amp; SI'!Y$503,0),0)</f>
        <v>29820.6756102328</v>
      </c>
      <c r="AR86" s="263">
        <f t="shared" ref="AR86:AR95" si="178">SUM(AN86:AQ86)</f>
        <v>128872.30498339183</v>
      </c>
      <c r="AS86" s="346"/>
      <c r="AT86" s="323">
        <f>IFERROR(VLOOKUP(A86,'Afton FY16 Final'!$A$5:$BV$572,'Afton FY16 Final'!$BV$587,0),0)</f>
        <v>132342.42546291256</v>
      </c>
      <c r="AU86" s="346"/>
      <c r="AV86" s="444">
        <v>0</v>
      </c>
      <c r="AW86" s="262">
        <f>IFERROR(VLOOKUP($A86,'HH &amp; SI'!$B$4:$EY$503,'HH &amp; SI'!EX$503,0),0)</f>
        <v>0</v>
      </c>
      <c r="AX86" s="262">
        <f>IFERROR(VLOOKUP($A86,'HH &amp; SI'!$B$4:$EY$503,'HH &amp; SI'!EY$503,0),0)</f>
        <v>128872.30498339183</v>
      </c>
      <c r="AY86" s="262">
        <f>AX86/$AX$582*'update_State Admin 1004(b)'!$B$30*0.01</f>
        <v>1233.4005364966442</v>
      </c>
      <c r="AZ86" s="263">
        <f t="shared" ref="AZ86:AZ94" si="179">AX86-AY86</f>
        <v>127638.90444689519</v>
      </c>
      <c r="BA86" s="261">
        <f t="shared" ref="BA86:BA94" si="180">AZ86*0.01</f>
        <v>1276.3890444689519</v>
      </c>
      <c r="BB86" s="262">
        <f t="shared" ref="BB86:BB94" si="181">AZ86-BA86</f>
        <v>126362.51540242624</v>
      </c>
      <c r="BC86" s="341">
        <f t="shared" si="157"/>
        <v>0.95481486726898379</v>
      </c>
      <c r="BD86" s="346"/>
      <c r="BE86" s="376" t="str">
        <f>'Original Title I &amp; II'!AZ86</f>
        <v/>
      </c>
      <c r="BF86" s="243" t="str">
        <f>IF(BE86&lt;0,BB86*BE86/100,"")</f>
        <v/>
      </c>
      <c r="BG86" s="263">
        <f t="shared" si="166"/>
        <v>126362.51540242624</v>
      </c>
      <c r="BI86" s="31">
        <f>IFERROR(VLOOKUP(A86,'Title II Hold Harmless'!A$1:B$439,2, FALSE),"")</f>
        <v>7614</v>
      </c>
      <c r="BJ86" s="31">
        <f>IFERROR($BI$587*(0.8*($S86/$S$584)+0.2*($R86/$R$584))+$BI86,$BI$587*(0.8*($S86/$S$584)+0.2*($R86/$R$584)))</f>
        <v>9045.072792447123</v>
      </c>
      <c r="BK86" s="31">
        <f>$BI$588*BJ86</f>
        <v>9053.8229222332011</v>
      </c>
      <c r="BL86" s="31" t="str">
        <f t="shared" ref="BL86:BL94" si="182">IF(BE86&lt;0,BK86*BE86/100,"")</f>
        <v/>
      </c>
      <c r="BM86" s="31">
        <f t="shared" ref="BM86:BM94" si="183">IF(BL86&lt;0,BK86+BL86,BK86)</f>
        <v>9053.8229222332011</v>
      </c>
      <c r="BN86" s="200"/>
      <c r="BP86" s="295" t="s">
        <v>1447</v>
      </c>
      <c r="BQ86" s="296" t="str">
        <f t="shared" si="145"/>
        <v>Y</v>
      </c>
      <c r="BR86" s="297" t="s">
        <v>1448</v>
      </c>
      <c r="BT86" s="295" t="str">
        <f t="shared" si="146"/>
        <v>Y</v>
      </c>
      <c r="BU86" s="296" t="str">
        <f t="shared" ref="BU86:BU95" si="184">IF(AND(BT86="Y",(OR(T86&gt;0.15,S86&gt;6500))),"Y","N")</f>
        <v>Y</v>
      </c>
      <c r="BV86" s="296" t="str">
        <f t="shared" ref="BV86:BV95" si="185">IF(AND(BT86="Y",T86&gt;=0.05),"Y","N")</f>
        <v>Y</v>
      </c>
      <c r="BW86" s="297" t="str">
        <f t="shared" si="149"/>
        <v>Y</v>
      </c>
      <c r="BY86" s="352">
        <f t="shared" si="150"/>
        <v>0</v>
      </c>
      <c r="BZ86" s="353">
        <f t="shared" si="151"/>
        <v>0.9</v>
      </c>
      <c r="CA86" s="353">
        <f t="shared" si="152"/>
        <v>0</v>
      </c>
      <c r="CB86" s="354">
        <f t="shared" si="153"/>
        <v>0.9</v>
      </c>
      <c r="CD86" s="311">
        <f t="shared" si="154"/>
        <v>81</v>
      </c>
    </row>
    <row r="87" spans="1:82" outlineLevel="1" x14ac:dyDescent="0.3">
      <c r="A87" s="1">
        <v>50309000</v>
      </c>
      <c r="B87" s="47">
        <f>VLOOKUP(C87,'NCES ID'!$A$2:$B$3136,2,FALSE)</f>
        <v>404200</v>
      </c>
      <c r="C87" s="47">
        <v>4223</v>
      </c>
      <c r="D87" s="147" t="s">
        <v>509</v>
      </c>
      <c r="E87" s="47" t="s">
        <v>133</v>
      </c>
      <c r="F87" s="382">
        <f>IFERROR(VLOOKUP($B87,'update_Formula counts'!$D$7:$R$234,'update_Formula counts'!F$5,0),0)</f>
        <v>5</v>
      </c>
      <c r="G87" s="382">
        <f>IFERROR(VLOOKUP($B87,'update_Formula counts'!$D$7:$R$234,'update_Formula counts'!G$5,0),0)</f>
        <v>0</v>
      </c>
      <c r="H87" s="382">
        <f>IFERROR(VLOOKUP($B87,'update_Formula counts'!$D$7:$R$234,'update_Formula counts'!H$5,0),0)</f>
        <v>0</v>
      </c>
      <c r="I87" s="382">
        <f>IFERROR(VLOOKUP($B87,'update_Formula counts'!$D$7:$R$234,'update_Formula counts'!I$5,0),0)</f>
        <v>0</v>
      </c>
      <c r="J87" s="382">
        <f>IFERROR(VLOOKUP($B87,'update_Formula counts'!$D$7:$R$234,'update_Formula counts'!J$5,0),0)</f>
        <v>0</v>
      </c>
      <c r="K87" s="382">
        <f t="shared" si="167"/>
        <v>5</v>
      </c>
      <c r="L87" s="444">
        <f>IFERROR(VLOOKUP($B87,'update_Formula counts'!$D$7:$R$234,'update_Formula counts'!L$5,0),0)</f>
        <v>6</v>
      </c>
      <c r="M87" s="445">
        <f>IFERROR(VLOOKUP($B87,'update_Formula counts'!$D$7:$R$234,'update_Formula counts'!K$5,0),0)</f>
        <v>5</v>
      </c>
      <c r="N87" s="446">
        <f>IFERROR(VLOOKUP($B87,'update_Formula counts'!$D$7:$R$234,'update_Formula counts'!M$5,0),0)</f>
        <v>0.83333333333333337</v>
      </c>
      <c r="O87" s="137"/>
      <c r="P87" s="208"/>
      <c r="Q87" s="748">
        <f t="shared" si="168"/>
        <v>-0.14803897673490865</v>
      </c>
      <c r="R87" s="444">
        <f t="shared" si="169"/>
        <v>5.8667014904081514</v>
      </c>
      <c r="S87" s="445">
        <f t="shared" si="170"/>
        <v>4.8519610232650914</v>
      </c>
      <c r="T87" s="229"/>
      <c r="U87" s="261">
        <f>VLOOKUP($B87,update_Allocation!$D$8:$Q$235,update_Allocation!K$239,0)</f>
        <v>0</v>
      </c>
      <c r="V87" s="262">
        <f>VLOOKUP($B87,update_Allocation!$D$8:$Q$235,update_Allocation!L$239,0)</f>
        <v>0</v>
      </c>
      <c r="W87" s="262">
        <f>VLOOKUP($B87,update_Allocation!$D$8:$Q$235,update_Allocation!M$239,0)</f>
        <v>0</v>
      </c>
      <c r="X87" s="262">
        <f>VLOOKUP($B87,update_Allocation!$D$8:$Q$235,update_Allocation!N$239,0)</f>
        <v>0</v>
      </c>
      <c r="Y87" s="263">
        <f>VLOOKUP($B87,update_Allocation!$D$8:$Q$235,update_Allocation!O$239,0)</f>
        <v>0</v>
      </c>
      <c r="Z87" s="262" t="str">
        <f t="shared" si="172"/>
        <v/>
      </c>
      <c r="AA87" s="262" t="str">
        <f t="shared" si="172"/>
        <v/>
      </c>
      <c r="AB87" s="262" t="str">
        <f t="shared" si="172"/>
        <v/>
      </c>
      <c r="AC87" s="263" t="str">
        <f t="shared" si="172"/>
        <v/>
      </c>
      <c r="AD87" s="262" t="str">
        <f t="shared" si="173"/>
        <v/>
      </c>
      <c r="AE87" s="262" t="str">
        <f t="shared" si="174"/>
        <v/>
      </c>
      <c r="AF87" s="262" t="str">
        <f t="shared" si="175"/>
        <v/>
      </c>
      <c r="AG87" s="263" t="str">
        <f t="shared" si="176"/>
        <v/>
      </c>
      <c r="AH87" s="262"/>
      <c r="AI87" s="262"/>
      <c r="AJ87" s="262"/>
      <c r="AK87" s="262"/>
      <c r="AL87" s="263"/>
      <c r="AM87" s="346"/>
      <c r="AN87" s="261">
        <f>IFERROR(VLOOKUP($A87,'HH &amp; SI'!$B$4:$Z$494,'HH &amp; SI'!V$503,0),0)</f>
        <v>0</v>
      </c>
      <c r="AO87" s="262">
        <f>IFERROR(VLOOKUP($A87,'HH &amp; SI'!$B$4:$Z$494,'HH &amp; SI'!W$503,0),0)</f>
        <v>0</v>
      </c>
      <c r="AP87" s="262">
        <f>IFERROR(VLOOKUP($A87,'HH &amp; SI'!$B$4:$Z$494,'HH &amp; SI'!X$503,0),0)</f>
        <v>0</v>
      </c>
      <c r="AQ87" s="262">
        <f>IFERROR(VLOOKUP($A87,'HH &amp; SI'!$B$4:$Z$494,'HH &amp; SI'!Y$503,0),0)</f>
        <v>0</v>
      </c>
      <c r="AR87" s="263">
        <f t="shared" si="178"/>
        <v>0</v>
      </c>
      <c r="AS87" s="346"/>
      <c r="AT87" s="323">
        <f>IFERROR(VLOOKUP(A87,'Afton FY16 Final'!$A$5:$BV$572,'Afton FY16 Final'!$BV$587,0),0)</f>
        <v>0</v>
      </c>
      <c r="AU87" s="346"/>
      <c r="AV87" s="444">
        <v>0</v>
      </c>
      <c r="AW87" s="262">
        <f>IFERROR(VLOOKUP($A87,'HH &amp; SI'!$B$4:$EY$503,'HH &amp; SI'!EX$503,0),0)</f>
        <v>0</v>
      </c>
      <c r="AX87" s="262">
        <f>IFERROR(VLOOKUP($A87,'HH &amp; SI'!$B$4:$EY$503,'HH &amp; SI'!EY$503,0),0)</f>
        <v>0</v>
      </c>
      <c r="AY87" s="262">
        <f>AX87/$AX$582*'update_State Admin 1004(b)'!$B$30*0.01</f>
        <v>0</v>
      </c>
      <c r="AZ87" s="263">
        <f t="shared" si="179"/>
        <v>0</v>
      </c>
      <c r="BA87" s="261">
        <f t="shared" si="180"/>
        <v>0</v>
      </c>
      <c r="BB87" s="262">
        <f t="shared" si="181"/>
        <v>0</v>
      </c>
      <c r="BC87" s="341" t="str">
        <f t="shared" si="157"/>
        <v/>
      </c>
      <c r="BD87" s="346"/>
      <c r="BE87" s="376">
        <f>'Original Title I &amp; II'!AZ87</f>
        <v>0</v>
      </c>
      <c r="BF87" s="243"/>
      <c r="BG87" s="263">
        <f t="shared" si="166"/>
        <v>0</v>
      </c>
      <c r="BJ87" s="31"/>
      <c r="BK87" s="31"/>
      <c r="BM87" s="31"/>
      <c r="BN87" s="200"/>
      <c r="BP87" s="295" t="s">
        <v>1447</v>
      </c>
      <c r="BQ87" s="296" t="str">
        <f t="shared" si="145"/>
        <v>Y</v>
      </c>
      <c r="BR87" s="297" t="s">
        <v>1448</v>
      </c>
      <c r="BT87" s="295" t="str">
        <f t="shared" si="146"/>
        <v>N</v>
      </c>
      <c r="BU87" s="296" t="str">
        <f t="shared" si="184"/>
        <v>N</v>
      </c>
      <c r="BV87" s="296" t="str">
        <f t="shared" si="185"/>
        <v>N</v>
      </c>
      <c r="BW87" s="297" t="str">
        <f t="shared" si="149"/>
        <v>N</v>
      </c>
      <c r="BY87" s="352">
        <f t="shared" si="150"/>
        <v>0.85</v>
      </c>
      <c r="BZ87" s="353">
        <f t="shared" si="151"/>
        <v>0</v>
      </c>
      <c r="CA87" s="353">
        <f t="shared" si="152"/>
        <v>0</v>
      </c>
      <c r="CB87" s="354">
        <f t="shared" si="153"/>
        <v>0.85</v>
      </c>
      <c r="CD87" s="311">
        <f t="shared" si="154"/>
        <v>82</v>
      </c>
    </row>
    <row r="88" spans="1:82" outlineLevel="1" x14ac:dyDescent="0.3">
      <c r="A88" s="1">
        <v>50206000</v>
      </c>
      <c r="B88" s="47">
        <f>VLOOKUP(C88,'NCES ID'!$A$2:$B$3136,2,FALSE)</f>
        <v>406440</v>
      </c>
      <c r="C88" s="47">
        <f>VLOOKUP(A88,'State ID'!$A$2:$B$713,2,FALSE)</f>
        <v>4220</v>
      </c>
      <c r="D88" s="147" t="s">
        <v>345</v>
      </c>
      <c r="E88" s="47" t="s">
        <v>133</v>
      </c>
      <c r="F88" s="382">
        <f>IFERROR(VLOOKUP($B88,'update_Formula counts'!$D$7:$R$234,'update_Formula counts'!F$5,0),0)</f>
        <v>194</v>
      </c>
      <c r="G88" s="382">
        <f>IFERROR(VLOOKUP($B88,'update_Formula counts'!$D$7:$R$234,'update_Formula counts'!G$5,0),0)</f>
        <v>0</v>
      </c>
      <c r="H88" s="382">
        <f>IFERROR(VLOOKUP($B88,'update_Formula counts'!$D$7:$R$234,'update_Formula counts'!H$5,0),0)</f>
        <v>0</v>
      </c>
      <c r="I88" s="382">
        <f>IFERROR(VLOOKUP($B88,'update_Formula counts'!$D$7:$R$234,'update_Formula counts'!I$5,0),0)</f>
        <v>5</v>
      </c>
      <c r="J88" s="382">
        <f>IFERROR(VLOOKUP($B88,'update_Formula counts'!$D$7:$R$234,'update_Formula counts'!J$5,0),0)</f>
        <v>0</v>
      </c>
      <c r="K88" s="382">
        <f t="shared" si="167"/>
        <v>194</v>
      </c>
      <c r="L88" s="444">
        <f>IFERROR(VLOOKUP($B88,'update_Formula counts'!$D$7:$R$234,'update_Formula counts'!L$5,0),0)</f>
        <v>939</v>
      </c>
      <c r="M88" s="445">
        <f>IFERROR(VLOOKUP($B88,'update_Formula counts'!$D$7:$R$234,'update_Formula counts'!K$5,0),0)</f>
        <v>199</v>
      </c>
      <c r="N88" s="446">
        <f>IFERROR(VLOOKUP($B88,'update_Formula counts'!$D$7:$R$234,'update_Formula counts'!M$5,0),0)</f>
        <v>0.21192758253461128</v>
      </c>
      <c r="O88" s="137">
        <f>VLOOKUP($C88,'Final SEA Counts'!$A$2:$F$709,5,FALSE)</f>
        <v>766</v>
      </c>
      <c r="P88" s="208">
        <f>VLOOKUP($C88,'Final SEA Counts'!$A$2:$F$709,6,FALSE)</f>
        <v>390</v>
      </c>
      <c r="Q88" s="748">
        <f t="shared" si="168"/>
        <v>-5.7439122973144556</v>
      </c>
      <c r="R88" s="444">
        <f t="shared" si="169"/>
        <v>918.13878324887571</v>
      </c>
      <c r="S88" s="445">
        <f t="shared" si="170"/>
        <v>193.25608770268553</v>
      </c>
      <c r="T88" s="229">
        <f t="shared" si="171"/>
        <v>0.21048679265986359</v>
      </c>
      <c r="U88" s="261">
        <f>VLOOKUP($B88,update_Allocation!$D$8:$Q$235,update_Allocation!K$239,0)</f>
        <v>94105.118699411076</v>
      </c>
      <c r="V88" s="262">
        <f>VLOOKUP($B88,update_Allocation!$D$8:$Q$235,update_Allocation!L$239,0)</f>
        <v>22416.699983003753</v>
      </c>
      <c r="W88" s="262">
        <f>VLOOKUP($B88,update_Allocation!$D$8:$Q$235,update_Allocation!M$239,0)</f>
        <v>34041.837558679988</v>
      </c>
      <c r="X88" s="262">
        <f>VLOOKUP($B88,update_Allocation!$D$8:$Q$235,update_Allocation!N$239,0)</f>
        <v>24950.11571785227</v>
      </c>
      <c r="Y88" s="263">
        <f>VLOOKUP($B88,update_Allocation!$D$8:$Q$235,update_Allocation!O$239,0)</f>
        <v>175513.77195894707</v>
      </c>
      <c r="Z88" s="262">
        <f t="shared" si="172"/>
        <v>91386.477470992017</v>
      </c>
      <c r="AA88" s="262">
        <f t="shared" si="172"/>
        <v>21769.094777025981</v>
      </c>
      <c r="AB88" s="262">
        <f t="shared" si="172"/>
        <v>33058.389002881602</v>
      </c>
      <c r="AC88" s="263">
        <f t="shared" si="172"/>
        <v>24229.321629477097</v>
      </c>
      <c r="AD88" s="262">
        <f t="shared" si="173"/>
        <v>91386.477470992017</v>
      </c>
      <c r="AE88" s="262">
        <f t="shared" si="174"/>
        <v>21769.094777025981</v>
      </c>
      <c r="AF88" s="262">
        <f t="shared" si="175"/>
        <v>33058.389002881602</v>
      </c>
      <c r="AG88" s="263">
        <f t="shared" si="176"/>
        <v>24229.321629477097</v>
      </c>
      <c r="AH88" s="262">
        <f t="shared" ref="AH88:AK95" si="186">IF(AD88="","",AD88+AD$98)</f>
        <v>91819.469471108867</v>
      </c>
      <c r="AI88" s="262">
        <f t="shared" si="186"/>
        <v>26348.592013558606</v>
      </c>
      <c r="AJ88" s="262">
        <f t="shared" si="186"/>
        <v>33243.246428494516</v>
      </c>
      <c r="AK88" s="262">
        <f t="shared" si="186"/>
        <v>24397.201464702397</v>
      </c>
      <c r="AL88" s="263">
        <f t="shared" si="177"/>
        <v>175808.50937786439</v>
      </c>
      <c r="AM88" s="346"/>
      <c r="AN88" s="261">
        <f>IFERROR(VLOOKUP($A88,'HH &amp; SI'!$B$4:$Z$494,'HH &amp; SI'!V$503,0),0)</f>
        <v>90566.992310841699</v>
      </c>
      <c r="AO88" s="262">
        <f>IFERROR(VLOOKUP($A88,'HH &amp; SI'!$B$4:$Z$494,'HH &amp; SI'!W$503,0),0)</f>
        <v>25480.765725594363</v>
      </c>
      <c r="AP88" s="262">
        <f>IFERROR(VLOOKUP($A88,'HH &amp; SI'!$B$4:$Z$494,'HH &amp; SI'!X$503,0),0)</f>
        <v>32940.912081562172</v>
      </c>
      <c r="AQ88" s="262">
        <f>IFERROR(VLOOKUP($A88,'HH &amp; SI'!$B$4:$Z$494,'HH &amp; SI'!Y$503,0),0)</f>
        <v>24128.388221767367</v>
      </c>
      <c r="AR88" s="263">
        <f t="shared" si="178"/>
        <v>173117.05833976559</v>
      </c>
      <c r="AS88" s="346"/>
      <c r="AT88" s="323">
        <f>IFERROR(VLOOKUP(A88,'Afton FY16 Final'!$A$5:$BV$572,'Afton FY16 Final'!$BV$587,0),0)</f>
        <v>141482.40949770762</v>
      </c>
      <c r="AU88" s="346"/>
      <c r="AV88" s="444">
        <v>0</v>
      </c>
      <c r="AW88" s="262">
        <f>IFERROR(VLOOKUP($A88,'HH &amp; SI'!$B$4:$EY$503,'HH &amp; SI'!EX$503,0),0)</f>
        <v>9696.823267205531</v>
      </c>
      <c r="AX88" s="262">
        <f>IFERROR(VLOOKUP($A88,'HH &amp; SI'!$B$4:$EY$503,'HH &amp; SI'!EY$503,0),0)</f>
        <v>163420.23507256006</v>
      </c>
      <c r="AY88" s="262">
        <f>AX88/$AX$582*'update_State Admin 1004(b)'!$B$30*0.01</f>
        <v>1564.0490455950119</v>
      </c>
      <c r="AZ88" s="263">
        <f t="shared" si="179"/>
        <v>161856.18602696504</v>
      </c>
      <c r="BA88" s="261">
        <f t="shared" si="180"/>
        <v>1618.5618602696504</v>
      </c>
      <c r="BB88" s="262">
        <f t="shared" si="181"/>
        <v>160237.62416669537</v>
      </c>
      <c r="BC88" s="341">
        <f t="shared" si="157"/>
        <v>1.1325621661065339</v>
      </c>
      <c r="BD88" s="346"/>
      <c r="BE88" s="376" t="str">
        <f>'Original Title I &amp; II'!AZ88</f>
        <v/>
      </c>
      <c r="BF88" s="243" t="str">
        <f t="shared" ref="BF88:BF94" si="187">IF(BE88&lt;0,BB88*BE88/100,"")</f>
        <v/>
      </c>
      <c r="BG88" s="263">
        <f t="shared" si="166"/>
        <v>160237.62416669537</v>
      </c>
      <c r="BI88" s="31">
        <f>IFERROR(VLOOKUP(A88,'Title II Hold Harmless'!A$1:B$439,2, FALSE),"")</f>
        <v>30708</v>
      </c>
      <c r="BJ88" s="31">
        <f t="shared" ref="BJ88:BJ94" si="188">IFERROR($BI$587*(0.8*($S88/$S$584)+0.2*($R88/$R$584))+$BI88,$BI$587*(0.8*($S88/$S$584)+0.2*($R88/$R$584)))</f>
        <v>33976.812465692492</v>
      </c>
      <c r="BK88" s="31">
        <f t="shared" ref="BK88:BK94" si="189">$BI$588*BJ88</f>
        <v>34009.681357476344</v>
      </c>
      <c r="BL88" s="31" t="str">
        <f t="shared" si="182"/>
        <v/>
      </c>
      <c r="BM88" s="31">
        <f t="shared" si="183"/>
        <v>34009.681357476344</v>
      </c>
      <c r="BN88" s="200"/>
      <c r="BP88" s="295" t="s">
        <v>1447</v>
      </c>
      <c r="BQ88" s="296" t="str">
        <f t="shared" si="145"/>
        <v>Y</v>
      </c>
      <c r="BR88" s="297" t="s">
        <v>1448</v>
      </c>
      <c r="BT88" s="295" t="str">
        <f t="shared" si="146"/>
        <v>Y</v>
      </c>
      <c r="BU88" s="296" t="str">
        <f t="shared" si="184"/>
        <v>Y</v>
      </c>
      <c r="BV88" s="296" t="str">
        <f t="shared" si="185"/>
        <v>Y</v>
      </c>
      <c r="BW88" s="297" t="str">
        <f t="shared" si="149"/>
        <v>Y</v>
      </c>
      <c r="BY88" s="352">
        <f t="shared" si="150"/>
        <v>0</v>
      </c>
      <c r="BZ88" s="353">
        <f t="shared" si="151"/>
        <v>0.9</v>
      </c>
      <c r="CA88" s="353">
        <f t="shared" si="152"/>
        <v>0</v>
      </c>
      <c r="CB88" s="354">
        <f t="shared" si="153"/>
        <v>0.9</v>
      </c>
      <c r="CD88" s="311">
        <f t="shared" si="154"/>
        <v>83</v>
      </c>
    </row>
    <row r="89" spans="1:82" outlineLevel="1" x14ac:dyDescent="0.3">
      <c r="A89" s="1">
        <v>50207000</v>
      </c>
      <c r="B89" s="47">
        <f>VLOOKUP(C89,'NCES ID'!$A$2:$B$3136,2,FALSE)</f>
        <v>403200</v>
      </c>
      <c r="C89" s="47">
        <f>VLOOKUP(A89,'State ID'!$A$2:$B$713,2,FALSE)</f>
        <v>4221</v>
      </c>
      <c r="D89" s="147" t="s">
        <v>169</v>
      </c>
      <c r="E89" s="47" t="s">
        <v>133</v>
      </c>
      <c r="F89" s="382">
        <f>IFERROR(VLOOKUP($B89,'update_Formula counts'!$D$7:$R$234,'update_Formula counts'!F$5,0),0)</f>
        <v>457</v>
      </c>
      <c r="G89" s="382">
        <f>IFERROR(VLOOKUP($B89,'update_Formula counts'!$D$7:$R$234,'update_Formula counts'!G$5,0),0)</f>
        <v>0</v>
      </c>
      <c r="H89" s="382">
        <f>IFERROR(VLOOKUP($B89,'update_Formula counts'!$D$7:$R$234,'update_Formula counts'!H$5,0),0)</f>
        <v>0</v>
      </c>
      <c r="I89" s="382">
        <f>IFERROR(VLOOKUP($B89,'update_Formula counts'!$D$7:$R$234,'update_Formula counts'!I$5,0),0)</f>
        <v>11</v>
      </c>
      <c r="J89" s="382">
        <f>IFERROR(VLOOKUP($B89,'update_Formula counts'!$D$7:$R$234,'update_Formula counts'!J$5,0),0)</f>
        <v>0</v>
      </c>
      <c r="K89" s="382">
        <f t="shared" si="167"/>
        <v>457</v>
      </c>
      <c r="L89" s="444">
        <f>IFERROR(VLOOKUP($B89,'update_Formula counts'!$D$7:$R$234,'update_Formula counts'!L$5,0),0)</f>
        <v>1435</v>
      </c>
      <c r="M89" s="445">
        <f>IFERROR(VLOOKUP($B89,'update_Formula counts'!$D$7:$R$234,'update_Formula counts'!K$5,0),0)</f>
        <v>468</v>
      </c>
      <c r="N89" s="446">
        <f>IFERROR(VLOOKUP($B89,'update_Formula counts'!$D$7:$R$234,'update_Formula counts'!M$5,0),0)</f>
        <v>0.32613240418118467</v>
      </c>
      <c r="O89" s="137">
        <f>VLOOKUP($C89,'Final SEA Counts'!$A$2:$F$709,5,FALSE)</f>
        <v>538</v>
      </c>
      <c r="P89" s="208">
        <f>VLOOKUP($C89,'Final SEA Counts'!$A$2:$F$709,6,FALSE)</f>
        <v>462</v>
      </c>
      <c r="Q89" s="748">
        <f t="shared" si="168"/>
        <v>-13.53076247357065</v>
      </c>
      <c r="R89" s="444">
        <f t="shared" si="169"/>
        <v>1403.119439789283</v>
      </c>
      <c r="S89" s="445">
        <f t="shared" si="170"/>
        <v>454.46923752642937</v>
      </c>
      <c r="T89" s="229">
        <f t="shared" si="171"/>
        <v>0.32389918109514643</v>
      </c>
      <c r="U89" s="261">
        <f>VLOOKUP($B89,update_Allocation!$D$8:$Q$235,update_Allocation!K$239,0)</f>
        <v>286090.57988616941</v>
      </c>
      <c r="V89" s="262">
        <f>VLOOKUP($B89,update_Allocation!$D$8:$Q$235,update_Allocation!L$239,0)</f>
        <v>70353.278197214808</v>
      </c>
      <c r="W89" s="262">
        <f>VLOOKUP($B89,update_Allocation!$D$8:$Q$235,update_Allocation!M$239,0)</f>
        <v>151163.40132996711</v>
      </c>
      <c r="X89" s="262">
        <f>VLOOKUP($B89,update_Allocation!$D$8:$Q$235,update_Allocation!N$239,0)</f>
        <v>163067.83524425398</v>
      </c>
      <c r="Y89" s="263">
        <f>VLOOKUP($B89,update_Allocation!$D$8:$Q$235,update_Allocation!O$239,0)</f>
        <v>670675.09465760528</v>
      </c>
      <c r="Z89" s="262">
        <f t="shared" si="172"/>
        <v>277825.59221822734</v>
      </c>
      <c r="AA89" s="262">
        <f t="shared" si="172"/>
        <v>68320.813594812891</v>
      </c>
      <c r="AB89" s="262">
        <f t="shared" si="172"/>
        <v>146796.38005882475</v>
      </c>
      <c r="AC89" s="263">
        <f t="shared" si="172"/>
        <v>158356.90191723561</v>
      </c>
      <c r="AD89" s="262">
        <f t="shared" si="173"/>
        <v>277825.59221822734</v>
      </c>
      <c r="AE89" s="262">
        <f t="shared" si="174"/>
        <v>68320.813594812891</v>
      </c>
      <c r="AF89" s="262">
        <f t="shared" si="175"/>
        <v>146796.38005882475</v>
      </c>
      <c r="AG89" s="263">
        <f t="shared" si="176"/>
        <v>158356.90191723561</v>
      </c>
      <c r="AH89" s="262">
        <f t="shared" si="186"/>
        <v>278258.58421834419</v>
      </c>
      <c r="AI89" s="262">
        <f t="shared" si="186"/>
        <v>72900.310831345516</v>
      </c>
      <c r="AJ89" s="262">
        <f t="shared" si="186"/>
        <v>146981.23748443768</v>
      </c>
      <c r="AK89" s="262">
        <f t="shared" si="186"/>
        <v>158524.7817524609</v>
      </c>
      <c r="AL89" s="263">
        <f t="shared" si="177"/>
        <v>656664.9142865882</v>
      </c>
      <c r="AM89" s="346"/>
      <c r="AN89" s="261">
        <f>IFERROR(VLOOKUP($A89,'HH &amp; SI'!$B$4:$Z$494,'HH &amp; SI'!V$503,0),0)</f>
        <v>276172.20050561911</v>
      </c>
      <c r="AO89" s="262">
        <f>IFERROR(VLOOKUP($A89,'HH &amp; SI'!$B$4:$Z$494,'HH &amp; SI'!W$503,0),0)</f>
        <v>70499.241123041895</v>
      </c>
      <c r="AP89" s="262">
        <f>IFERROR(VLOOKUP($A89,'HH &amp; SI'!$B$4:$Z$494,'HH &amp; SI'!X$503,0),0)</f>
        <v>146090.39202158561</v>
      </c>
      <c r="AQ89" s="262">
        <f>IFERROR(VLOOKUP($A89,'HH &amp; SI'!$B$4:$Z$494,'HH &amp; SI'!Y$503,0),0)</f>
        <v>157418.88244502796</v>
      </c>
      <c r="AR89" s="263">
        <f t="shared" si="178"/>
        <v>650180.71609527455</v>
      </c>
      <c r="AS89" s="346"/>
      <c r="AT89" s="323">
        <f>IFERROR(VLOOKUP(A89,'Afton FY16 Final'!$A$5:$BV$572,'Afton FY16 Final'!$BV$587,0),0)</f>
        <v>667750.95409655187</v>
      </c>
      <c r="AU89" s="346"/>
      <c r="AV89" s="444">
        <v>0</v>
      </c>
      <c r="AW89" s="262">
        <f>IFERROR(VLOOKUP($A89,'HH &amp; SI'!$B$4:$EY$503,'HH &amp; SI'!EX$503,0),0)</f>
        <v>0</v>
      </c>
      <c r="AX89" s="262">
        <f>IFERROR(VLOOKUP($A89,'HH &amp; SI'!$B$4:$EY$503,'HH &amp; SI'!EY$503,0),0)</f>
        <v>650180.71609527455</v>
      </c>
      <c r="AY89" s="262">
        <f>AX89/$AX$582*'update_State Admin 1004(b)'!$B$30*0.01</f>
        <v>6222.6965223833904</v>
      </c>
      <c r="AZ89" s="263">
        <f t="shared" si="179"/>
        <v>643958.01957289118</v>
      </c>
      <c r="BA89" s="261">
        <f t="shared" si="180"/>
        <v>6439.5801957289123</v>
      </c>
      <c r="BB89" s="262">
        <f t="shared" si="181"/>
        <v>637518.43937716226</v>
      </c>
      <c r="BC89" s="341">
        <f t="shared" si="157"/>
        <v>0.95472486481087349</v>
      </c>
      <c r="BD89" s="346"/>
      <c r="BE89" s="376" t="str">
        <f>'Original Title I &amp; II'!AZ89</f>
        <v/>
      </c>
      <c r="BF89" s="243" t="str">
        <f t="shared" si="187"/>
        <v/>
      </c>
      <c r="BG89" s="263">
        <f t="shared" si="166"/>
        <v>637518.43937716226</v>
      </c>
      <c r="BI89" s="31">
        <f>IFERROR(VLOOKUP(A89,'Title II Hold Harmless'!A$1:B$439,2, FALSE),"")</f>
        <v>25665</v>
      </c>
      <c r="BJ89" s="31">
        <f t="shared" si="188"/>
        <v>32743.637996461563</v>
      </c>
      <c r="BK89" s="31">
        <f t="shared" si="189"/>
        <v>32775.313925302798</v>
      </c>
      <c r="BL89" s="31" t="str">
        <f t="shared" si="182"/>
        <v/>
      </c>
      <c r="BM89" s="31">
        <f t="shared" si="183"/>
        <v>32775.313925302798</v>
      </c>
      <c r="BN89" s="200"/>
      <c r="BP89" s="295" t="s">
        <v>1447</v>
      </c>
      <c r="BQ89" s="296" t="str">
        <f t="shared" si="145"/>
        <v>Y</v>
      </c>
      <c r="BR89" s="297" t="s">
        <v>1448</v>
      </c>
      <c r="BT89" s="295" t="str">
        <f t="shared" si="146"/>
        <v>Y</v>
      </c>
      <c r="BU89" s="296" t="str">
        <f t="shared" si="184"/>
        <v>Y</v>
      </c>
      <c r="BV89" s="296" t="str">
        <f t="shared" si="185"/>
        <v>Y</v>
      </c>
      <c r="BW89" s="297" t="str">
        <f t="shared" si="149"/>
        <v>Y</v>
      </c>
      <c r="BY89" s="352">
        <f t="shared" si="150"/>
        <v>0</v>
      </c>
      <c r="BZ89" s="353">
        <f t="shared" si="151"/>
        <v>0</v>
      </c>
      <c r="CA89" s="353">
        <f t="shared" si="152"/>
        <v>0.95</v>
      </c>
      <c r="CB89" s="354">
        <f t="shared" si="153"/>
        <v>0.95</v>
      </c>
      <c r="CD89" s="311">
        <f t="shared" si="154"/>
        <v>84</v>
      </c>
    </row>
    <row r="90" spans="1:82" outlineLevel="1" x14ac:dyDescent="0.3">
      <c r="A90" s="1">
        <v>50204000</v>
      </c>
      <c r="B90" s="47">
        <f>VLOOKUP(C90,'NCES ID'!$A$2:$B$3136,2,FALSE)</f>
        <v>408410</v>
      </c>
      <c r="C90" s="47">
        <f>VLOOKUP(A90,'State ID'!$A$2:$B$713,2,FALSE)</f>
        <v>4219</v>
      </c>
      <c r="D90" s="147" t="s">
        <v>411</v>
      </c>
      <c r="E90" s="47" t="s">
        <v>133</v>
      </c>
      <c r="F90" s="382">
        <f>IFERROR(VLOOKUP($B90,'update_Formula counts'!$D$7:$R$234,'update_Formula counts'!F$5,0),0)</f>
        <v>211</v>
      </c>
      <c r="G90" s="382">
        <f>IFERROR(VLOOKUP($B90,'update_Formula counts'!$D$7:$R$234,'update_Formula counts'!G$5,0),0)</f>
        <v>0</v>
      </c>
      <c r="H90" s="382">
        <f>IFERROR(VLOOKUP($B90,'update_Formula counts'!$D$7:$R$234,'update_Formula counts'!H$5,0),0)</f>
        <v>0</v>
      </c>
      <c r="I90" s="382">
        <f>IFERROR(VLOOKUP($B90,'update_Formula counts'!$D$7:$R$234,'update_Formula counts'!I$5,0),0)</f>
        <v>5</v>
      </c>
      <c r="J90" s="382">
        <f>IFERROR(VLOOKUP($B90,'update_Formula counts'!$D$7:$R$234,'update_Formula counts'!J$5,0),0)</f>
        <v>0</v>
      </c>
      <c r="K90" s="382">
        <f t="shared" si="167"/>
        <v>211</v>
      </c>
      <c r="L90" s="444">
        <f>IFERROR(VLOOKUP($B90,'update_Formula counts'!$D$7:$R$234,'update_Formula counts'!L$5,0),0)</f>
        <v>1557</v>
      </c>
      <c r="M90" s="445">
        <f>IFERROR(VLOOKUP($B90,'update_Formula counts'!$D$7:$R$234,'update_Formula counts'!K$5,0),0)</f>
        <v>216</v>
      </c>
      <c r="N90" s="446">
        <f>IFERROR(VLOOKUP($B90,'update_Formula counts'!$D$7:$R$234,'update_Formula counts'!M$5,0),0)</f>
        <v>0.13872832369942195</v>
      </c>
      <c r="O90" s="137">
        <f>VLOOKUP($C90,'Final SEA Counts'!$A$2:$F$709,5,FALSE)</f>
        <v>1578</v>
      </c>
      <c r="P90" s="208">
        <f>VLOOKUP($C90,'Final SEA Counts'!$A$2:$F$709,6,FALSE)</f>
        <v>634</v>
      </c>
      <c r="Q90" s="748">
        <f t="shared" si="168"/>
        <v>-6.2472448182131455</v>
      </c>
      <c r="R90" s="444">
        <f t="shared" si="169"/>
        <v>1522.4090367609153</v>
      </c>
      <c r="S90" s="445">
        <f t="shared" si="170"/>
        <v>209.75275518178685</v>
      </c>
      <c r="T90" s="229">
        <f t="shared" si="171"/>
        <v>0.13777687212633591</v>
      </c>
      <c r="U90" s="261">
        <f>VLOOKUP($B90,update_Allocation!$D$8:$Q$235,update_Allocation!K$239,0)</f>
        <v>110024.87522337744</v>
      </c>
      <c r="V90" s="262">
        <f>VLOOKUP($B90,update_Allocation!$D$8:$Q$235,update_Allocation!L$239,0)</f>
        <v>26052.559192406061</v>
      </c>
      <c r="W90" s="262">
        <f>VLOOKUP($B90,update_Allocation!$D$8:$Q$235,update_Allocation!M$239,0)</f>
        <v>36502.520130135323</v>
      </c>
      <c r="X90" s="262">
        <f>VLOOKUP($B90,update_Allocation!$D$8:$Q$235,update_Allocation!N$239,0)</f>
        <v>27680.472932454824</v>
      </c>
      <c r="Y90" s="263">
        <f>VLOOKUP($B90,update_Allocation!$D$8:$Q$235,update_Allocation!O$239,0)</f>
        <v>200260.42747837363</v>
      </c>
      <c r="Z90" s="262">
        <f t="shared" si="172"/>
        <v>106846.32164342422</v>
      </c>
      <c r="AA90" s="262">
        <f t="shared" si="172"/>
        <v>25299.916164001421</v>
      </c>
      <c r="AB90" s="262">
        <f t="shared" si="172"/>
        <v>35447.983910017858</v>
      </c>
      <c r="AC90" s="263">
        <f t="shared" si="172"/>
        <v>26880.800438797152</v>
      </c>
      <c r="AD90" s="262">
        <f t="shared" si="173"/>
        <v>106846.32164342422</v>
      </c>
      <c r="AE90" s="262" t="str">
        <f t="shared" si="174"/>
        <v/>
      </c>
      <c r="AF90" s="262">
        <f t="shared" si="175"/>
        <v>35447.983910017858</v>
      </c>
      <c r="AG90" s="263">
        <f t="shared" si="176"/>
        <v>26880.800438797152</v>
      </c>
      <c r="AH90" s="262">
        <f t="shared" si="186"/>
        <v>107279.31364354107</v>
      </c>
      <c r="AI90" s="262" t="str">
        <f t="shared" si="186"/>
        <v/>
      </c>
      <c r="AJ90" s="262">
        <f t="shared" si="186"/>
        <v>35632.841335630772</v>
      </c>
      <c r="AK90" s="262">
        <f t="shared" si="186"/>
        <v>27048.680274022452</v>
      </c>
      <c r="AL90" s="263">
        <f t="shared" si="177"/>
        <v>169960.83525319429</v>
      </c>
      <c r="AM90" s="346"/>
      <c r="AN90" s="261">
        <f>IFERROR(VLOOKUP($A90,'HH &amp; SI'!$B$4:$Z$494,'HH &amp; SI'!V$503,0),0)</f>
        <v>106425.5423108604</v>
      </c>
      <c r="AO90" s="262">
        <f>IFERROR(VLOOKUP($A90,'HH &amp; SI'!$B$4:$Z$494,'HH &amp; SI'!W$503,0),0)</f>
        <v>25085.824749615207</v>
      </c>
      <c r="AP90" s="262">
        <f>IFERROR(VLOOKUP($A90,'HH &amp; SI'!$B$4:$Z$494,'HH &amp; SI'!X$503,0),0)</f>
        <v>35400.776759195796</v>
      </c>
      <c r="AQ90" s="262">
        <f>IFERROR(VLOOKUP($A90,'HH &amp; SI'!$B$4:$Z$494,'HH &amp; SI'!Y$503,0),0)</f>
        <v>26849.509124839875</v>
      </c>
      <c r="AR90" s="263">
        <f t="shared" si="178"/>
        <v>193761.6529445113</v>
      </c>
      <c r="AS90" s="346"/>
      <c r="AT90" s="323">
        <f>IFERROR(VLOOKUP(A90,'Afton FY16 Final'!$A$5:$BV$572,'Afton FY16 Final'!$BV$587,0),0)</f>
        <v>223466.45415308527</v>
      </c>
      <c r="AU90" s="346"/>
      <c r="AV90" s="444">
        <v>0</v>
      </c>
      <c r="AW90" s="262">
        <f>IFERROR(VLOOKUP($A90,'HH &amp; SI'!$B$4:$EY$503,'HH &amp; SI'!EX$503,0),0)</f>
        <v>0</v>
      </c>
      <c r="AX90" s="262">
        <f>IFERROR(VLOOKUP($A90,'HH &amp; SI'!$B$4:$EY$503,'HH &amp; SI'!EY$503,0),0)</f>
        <v>193761.6529445113</v>
      </c>
      <c r="AY90" s="262">
        <f>AX90/$AX$582*'update_State Admin 1004(b)'!$B$30*0.01</f>
        <v>1854.4382109487033</v>
      </c>
      <c r="AZ90" s="263">
        <f t="shared" si="179"/>
        <v>191907.21473356261</v>
      </c>
      <c r="BA90" s="261">
        <f t="shared" si="180"/>
        <v>1919.0721473356261</v>
      </c>
      <c r="BB90" s="262">
        <f t="shared" si="181"/>
        <v>189988.14258622698</v>
      </c>
      <c r="BC90" s="341">
        <f t="shared" si="157"/>
        <v>0.85018641078036694</v>
      </c>
      <c r="BD90" s="346"/>
      <c r="BE90" s="376" t="str">
        <f>'Original Title I &amp; II'!AZ90</f>
        <v/>
      </c>
      <c r="BF90" s="243" t="str">
        <f t="shared" si="187"/>
        <v/>
      </c>
      <c r="BG90" s="263">
        <f t="shared" si="166"/>
        <v>189988.14258622698</v>
      </c>
      <c r="BI90" s="31">
        <f>IFERROR(VLOOKUP(A90,'Title II Hold Harmless'!A$1:B$439,2, FALSE),"")</f>
        <v>32734</v>
      </c>
      <c r="BJ90" s="31">
        <f t="shared" si="188"/>
        <v>36705.085077720891</v>
      </c>
      <c r="BK90" s="31">
        <f t="shared" si="189"/>
        <v>36740.593278219538</v>
      </c>
      <c r="BL90" s="31" t="str">
        <f t="shared" si="182"/>
        <v/>
      </c>
      <c r="BM90" s="31">
        <f t="shared" si="183"/>
        <v>36740.593278219538</v>
      </c>
      <c r="BN90" s="200"/>
      <c r="BP90" s="295" t="s">
        <v>1447</v>
      </c>
      <c r="BQ90" s="296" t="str">
        <f t="shared" si="145"/>
        <v>Y</v>
      </c>
      <c r="BR90" s="297" t="s">
        <v>1448</v>
      </c>
      <c r="BT90" s="295" t="str">
        <f t="shared" si="146"/>
        <v>Y</v>
      </c>
      <c r="BU90" s="296" t="str">
        <f t="shared" si="184"/>
        <v>N</v>
      </c>
      <c r="BV90" s="296" t="str">
        <f t="shared" si="185"/>
        <v>Y</v>
      </c>
      <c r="BW90" s="297" t="str">
        <f t="shared" si="149"/>
        <v>Y</v>
      </c>
      <c r="BY90" s="352">
        <f t="shared" si="150"/>
        <v>0.85</v>
      </c>
      <c r="BZ90" s="353">
        <f t="shared" si="151"/>
        <v>0</v>
      </c>
      <c r="CA90" s="353">
        <f t="shared" si="152"/>
        <v>0</v>
      </c>
      <c r="CB90" s="354">
        <f t="shared" si="153"/>
        <v>0.85</v>
      </c>
      <c r="CD90" s="311">
        <f t="shared" si="154"/>
        <v>85</v>
      </c>
    </row>
    <row r="91" spans="1:82" outlineLevel="1" x14ac:dyDescent="0.3">
      <c r="A91" s="1">
        <v>50201000</v>
      </c>
      <c r="B91" s="47">
        <f>VLOOKUP(C91,'NCES ID'!$A$2:$B$3136,2,FALSE)</f>
        <v>407240</v>
      </c>
      <c r="C91" s="47">
        <f>VLOOKUP(A91,'State ID'!$A$2:$B$713,2,FALSE)</f>
        <v>4218</v>
      </c>
      <c r="D91" s="147" t="s">
        <v>366</v>
      </c>
      <c r="E91" s="47" t="s">
        <v>133</v>
      </c>
      <c r="F91" s="382">
        <f>IFERROR(VLOOKUP($B91,'update_Formula counts'!$D$7:$R$234,'update_Formula counts'!F$5,0),0)</f>
        <v>729</v>
      </c>
      <c r="G91" s="382">
        <f>IFERROR(VLOOKUP($B91,'update_Formula counts'!$D$7:$R$234,'update_Formula counts'!G$5,0),0)</f>
        <v>0</v>
      </c>
      <c r="H91" s="382">
        <f>IFERROR(VLOOKUP($B91,'update_Formula counts'!$D$7:$R$234,'update_Formula counts'!H$5,0),0)</f>
        <v>0</v>
      </c>
      <c r="I91" s="382">
        <f>IFERROR(VLOOKUP($B91,'update_Formula counts'!$D$7:$R$234,'update_Formula counts'!I$5,0),0)</f>
        <v>19</v>
      </c>
      <c r="J91" s="382">
        <f>IFERROR(VLOOKUP($B91,'update_Formula counts'!$D$7:$R$234,'update_Formula counts'!J$5,0),0)</f>
        <v>0</v>
      </c>
      <c r="K91" s="382">
        <f t="shared" si="167"/>
        <v>729</v>
      </c>
      <c r="L91" s="444">
        <f>IFERROR(VLOOKUP($B91,'update_Formula counts'!$D$7:$R$234,'update_Formula counts'!L$5,0),0)</f>
        <v>3397</v>
      </c>
      <c r="M91" s="445">
        <f>IFERROR(VLOOKUP($B91,'update_Formula counts'!$D$7:$R$234,'update_Formula counts'!K$5,0),0)</f>
        <v>748</v>
      </c>
      <c r="N91" s="446">
        <f>IFERROR(VLOOKUP($B91,'update_Formula counts'!$D$7:$R$234,'update_Formula counts'!M$5,0),0)</f>
        <v>0.22019428907859875</v>
      </c>
      <c r="O91" s="137">
        <f>VLOOKUP($C91,'Final SEA Counts'!$A$2:$F$709,5,FALSE)</f>
        <v>2972</v>
      </c>
      <c r="P91" s="208">
        <f>VLOOKUP($C91,'Final SEA Counts'!$A$2:$F$709,6,FALSE)</f>
        <v>1649</v>
      </c>
      <c r="Q91" s="748">
        <f t="shared" si="168"/>
        <v>-21.584082807949681</v>
      </c>
      <c r="R91" s="444">
        <f t="shared" si="169"/>
        <v>3321.5308271527483</v>
      </c>
      <c r="S91" s="445">
        <f t="shared" si="170"/>
        <v>726.4159171920503</v>
      </c>
      <c r="T91" s="229">
        <f t="shared" si="171"/>
        <v>0.21869913452368642</v>
      </c>
      <c r="U91" s="261">
        <f>VLOOKUP($B91,update_Allocation!$D$8:$Q$235,update_Allocation!K$239,0)</f>
        <v>353721.75269929401</v>
      </c>
      <c r="V91" s="262">
        <f>VLOOKUP($B91,update_Allocation!$D$8:$Q$235,update_Allocation!L$239,0)</f>
        <v>84259.756720034246</v>
      </c>
      <c r="W91" s="262">
        <f>VLOOKUP($B91,update_Allocation!$D$8:$Q$235,update_Allocation!M$239,0)</f>
        <v>131601.53905563828</v>
      </c>
      <c r="X91" s="262">
        <f>VLOOKUP($B91,update_Allocation!$D$8:$Q$235,update_Allocation!N$239,0)</f>
        <v>102016.7431479834</v>
      </c>
      <c r="Y91" s="263">
        <f>VLOOKUP($B91,update_Allocation!$D$8:$Q$235,update_Allocation!O$239,0)</f>
        <v>671599.79162295</v>
      </c>
      <c r="Z91" s="262">
        <f t="shared" si="172"/>
        <v>343502.94044372893</v>
      </c>
      <c r="AA91" s="262">
        <f t="shared" si="172"/>
        <v>81825.542176962015</v>
      </c>
      <c r="AB91" s="262">
        <f t="shared" si="172"/>
        <v>127799.64841733129</v>
      </c>
      <c r="AC91" s="263">
        <f t="shared" si="172"/>
        <v>99069.539767930924</v>
      </c>
      <c r="AD91" s="262">
        <f t="shared" si="173"/>
        <v>343502.94044372893</v>
      </c>
      <c r="AE91" s="262">
        <f t="shared" si="174"/>
        <v>81825.542176962015</v>
      </c>
      <c r="AF91" s="262">
        <f t="shared" si="175"/>
        <v>127799.64841733129</v>
      </c>
      <c r="AG91" s="263">
        <f t="shared" si="176"/>
        <v>99069.539767930924</v>
      </c>
      <c r="AH91" s="262">
        <f t="shared" si="186"/>
        <v>343935.93244384578</v>
      </c>
      <c r="AI91" s="262">
        <f t="shared" si="186"/>
        <v>86405.03941349464</v>
      </c>
      <c r="AJ91" s="262">
        <f t="shared" si="186"/>
        <v>127984.5058429442</v>
      </c>
      <c r="AK91" s="262">
        <f t="shared" si="186"/>
        <v>99237.419603156231</v>
      </c>
      <c r="AL91" s="263">
        <f t="shared" si="177"/>
        <v>657562.89730344096</v>
      </c>
      <c r="AM91" s="346"/>
      <c r="AN91" s="261">
        <f>IFERROR(VLOOKUP($A91,'HH &amp; SI'!$B$4:$Z$494,'HH &amp; SI'!V$503,0),0)</f>
        <v>339244.42308899539</v>
      </c>
      <c r="AO91" s="262">
        <f>IFERROR(VLOOKUP($A91,'HH &amp; SI'!$B$4:$Z$494,'HH &amp; SI'!W$503,0),0)</f>
        <v>83559.173320269198</v>
      </c>
      <c r="AP91" s="262">
        <f>IFERROR(VLOOKUP($A91,'HH &amp; SI'!$B$4:$Z$494,'HH &amp; SI'!X$503,0),0)</f>
        <v>126820.53673196356</v>
      </c>
      <c r="AQ91" s="262">
        <f>IFERROR(VLOOKUP($A91,'HH &amp; SI'!$B$4:$Z$494,'HH &amp; SI'!Y$503,0),0)</f>
        <v>98534.019881550819</v>
      </c>
      <c r="AR91" s="263">
        <f t="shared" si="178"/>
        <v>648158.15302277892</v>
      </c>
      <c r="AS91" s="346"/>
      <c r="AT91" s="323">
        <f>IFERROR(VLOOKUP(A91,'Afton FY16 Final'!$A$5:$BV$572,'Afton FY16 Final'!$BV$587,0),0)</f>
        <v>670611.40349402057</v>
      </c>
      <c r="AU91" s="346"/>
      <c r="AV91" s="444">
        <v>0</v>
      </c>
      <c r="AW91" s="262">
        <f>IFERROR(VLOOKUP($A91,'HH &amp; SI'!$B$4:$EY$503,'HH &amp; SI'!EX$503,0),0)</f>
        <v>0</v>
      </c>
      <c r="AX91" s="262">
        <f>IFERROR(VLOOKUP($A91,'HH &amp; SI'!$B$4:$EY$503,'HH &amp; SI'!EY$503,0),0)</f>
        <v>648158.15302277892</v>
      </c>
      <c r="AY91" s="262">
        <f>AX91/$AX$582*'update_State Admin 1004(b)'!$B$30*0.01</f>
        <v>6203.3391408339876</v>
      </c>
      <c r="AZ91" s="263">
        <f t="shared" si="179"/>
        <v>641954.81388194498</v>
      </c>
      <c r="BA91" s="261">
        <f t="shared" si="180"/>
        <v>6419.5481388194503</v>
      </c>
      <c r="BB91" s="262">
        <f t="shared" si="181"/>
        <v>635535.26574312558</v>
      </c>
      <c r="BC91" s="341">
        <f t="shared" si="157"/>
        <v>0.94769528587175633</v>
      </c>
      <c r="BD91" s="346"/>
      <c r="BE91" s="376" t="str">
        <f>'Original Title I &amp; II'!AZ91</f>
        <v/>
      </c>
      <c r="BF91" s="243" t="str">
        <f t="shared" si="187"/>
        <v/>
      </c>
      <c r="BG91" s="263">
        <f t="shared" si="166"/>
        <v>635535.26574312558</v>
      </c>
      <c r="BI91" s="31">
        <f>IFERROR(VLOOKUP(A91,'Title II Hold Harmless'!A$1:B$439,2, FALSE),"")</f>
        <v>115868</v>
      </c>
      <c r="BJ91" s="31">
        <f t="shared" si="188"/>
        <v>128050.59961899607</v>
      </c>
      <c r="BK91" s="31">
        <f t="shared" si="189"/>
        <v>128174.47472664439</v>
      </c>
      <c r="BL91" s="31" t="str">
        <f t="shared" si="182"/>
        <v/>
      </c>
      <c r="BM91" s="31">
        <f t="shared" si="183"/>
        <v>128174.47472664439</v>
      </c>
      <c r="BN91" s="200"/>
      <c r="BP91" s="295" t="s">
        <v>1447</v>
      </c>
      <c r="BQ91" s="296" t="str">
        <f t="shared" si="145"/>
        <v>Y</v>
      </c>
      <c r="BR91" s="297" t="s">
        <v>1448</v>
      </c>
      <c r="BT91" s="295" t="str">
        <f t="shared" si="146"/>
        <v>Y</v>
      </c>
      <c r="BU91" s="296" t="str">
        <f t="shared" si="184"/>
        <v>Y</v>
      </c>
      <c r="BV91" s="296" t="str">
        <f t="shared" si="185"/>
        <v>Y</v>
      </c>
      <c r="BW91" s="297" t="str">
        <f t="shared" si="149"/>
        <v>Y</v>
      </c>
      <c r="BY91" s="352">
        <f t="shared" si="150"/>
        <v>0</v>
      </c>
      <c r="BZ91" s="353">
        <f t="shared" si="151"/>
        <v>0.9</v>
      </c>
      <c r="CA91" s="353">
        <f t="shared" si="152"/>
        <v>0</v>
      </c>
      <c r="CB91" s="354">
        <f t="shared" si="153"/>
        <v>0.9</v>
      </c>
      <c r="CD91" s="311">
        <f t="shared" si="154"/>
        <v>86</v>
      </c>
    </row>
    <row r="92" spans="1:82" outlineLevel="1" x14ac:dyDescent="0.3">
      <c r="A92" s="1">
        <v>50316000</v>
      </c>
      <c r="B92" s="47">
        <v>401260</v>
      </c>
      <c r="C92" s="47">
        <f>VLOOKUP(A92,'State ID'!$A$2:$B$713,2,FALSE)</f>
        <v>4224</v>
      </c>
      <c r="D92" s="147" t="s">
        <v>537</v>
      </c>
      <c r="E92" s="47" t="s">
        <v>133</v>
      </c>
      <c r="F92" s="382">
        <f>IFERROR(VLOOKUP($B92,'update_Formula counts'!$D$7:$R$234,'update_Formula counts'!F$5,0),0)</f>
        <v>7</v>
      </c>
      <c r="G92" s="382">
        <f>IFERROR(VLOOKUP($B92,'update_Formula counts'!$D$7:$R$234,'update_Formula counts'!G$5,0),0)</f>
        <v>0</v>
      </c>
      <c r="H92" s="382">
        <f>IFERROR(VLOOKUP($B92,'update_Formula counts'!$D$7:$R$234,'update_Formula counts'!H$5,0),0)</f>
        <v>0</v>
      </c>
      <c r="I92" s="382">
        <f>IFERROR(VLOOKUP($B92,'update_Formula counts'!$D$7:$R$234,'update_Formula counts'!I$5,0),0)</f>
        <v>0</v>
      </c>
      <c r="J92" s="382">
        <f>IFERROR(VLOOKUP($B92,'update_Formula counts'!$D$7:$R$234,'update_Formula counts'!J$5,0),0)</f>
        <v>0</v>
      </c>
      <c r="K92" s="382">
        <f t="shared" si="167"/>
        <v>7</v>
      </c>
      <c r="L92" s="444">
        <f>IFERROR(VLOOKUP($B92,'update_Formula counts'!$D$7:$R$234,'update_Formula counts'!L$5,0),0)</f>
        <v>55</v>
      </c>
      <c r="M92" s="445">
        <f>IFERROR(VLOOKUP($B92,'update_Formula counts'!$D$7:$R$234,'update_Formula counts'!K$5,0),0)</f>
        <v>7</v>
      </c>
      <c r="N92" s="446">
        <f>IFERROR(VLOOKUP($B92,'update_Formula counts'!$D$7:$R$234,'update_Formula counts'!M$5,0),0)</f>
        <v>0.12727272727272726</v>
      </c>
      <c r="O92" s="137">
        <f>VLOOKUP($C92,'Final SEA Counts'!$A$2:$F$709,5,FALSE)</f>
        <v>111</v>
      </c>
      <c r="P92" s="208">
        <f>VLOOKUP($C92,'Final SEA Counts'!$A$2:$F$709,6,FALSE)</f>
        <v>57</v>
      </c>
      <c r="Q92" s="748">
        <f t="shared" si="168"/>
        <v>-0.20725456742887211</v>
      </c>
      <c r="R92" s="444">
        <f t="shared" si="169"/>
        <v>53.778096995408056</v>
      </c>
      <c r="S92" s="445">
        <f t="shared" si="170"/>
        <v>6.7927454325711283</v>
      </c>
      <c r="T92" s="229">
        <f t="shared" si="171"/>
        <v>0.12631063224775579</v>
      </c>
      <c r="U92" s="261">
        <f>VLOOKUP($B92,update_Allocation!$D$8:$Q$235,update_Allocation!K$239,0)</f>
        <v>0</v>
      </c>
      <c r="V92" s="262">
        <f>VLOOKUP($B92,update_Allocation!$D$8:$Q$235,update_Allocation!L$239,0)</f>
        <v>1486.3208470791089</v>
      </c>
      <c r="W92" s="262">
        <f>VLOOKUP($B92,update_Allocation!$D$8:$Q$235,update_Allocation!M$239,0)</f>
        <v>0</v>
      </c>
      <c r="X92" s="262">
        <f>VLOOKUP($B92,update_Allocation!$D$8:$Q$235,update_Allocation!N$239,0)</f>
        <v>0</v>
      </c>
      <c r="Y92" s="263">
        <f>VLOOKUP($B92,update_Allocation!$D$8:$Q$235,update_Allocation!O$239,0)</f>
        <v>1486.3208470791089</v>
      </c>
      <c r="Z92" s="262" t="str">
        <f t="shared" si="172"/>
        <v/>
      </c>
      <c r="AA92" s="262">
        <f t="shared" si="172"/>
        <v>1443.3819167703871</v>
      </c>
      <c r="AB92" s="262" t="str">
        <f t="shared" si="172"/>
        <v/>
      </c>
      <c r="AC92" s="263" t="str">
        <f t="shared" si="172"/>
        <v/>
      </c>
      <c r="AD92" s="262" t="str">
        <f t="shared" si="173"/>
        <v/>
      </c>
      <c r="AE92" s="262" t="str">
        <f t="shared" si="174"/>
        <v/>
      </c>
      <c r="AF92" s="262" t="str">
        <f t="shared" si="175"/>
        <v/>
      </c>
      <c r="AG92" s="263" t="str">
        <f t="shared" si="176"/>
        <v/>
      </c>
      <c r="AH92" s="262" t="str">
        <f t="shared" si="186"/>
        <v/>
      </c>
      <c r="AI92" s="262" t="str">
        <f t="shared" si="186"/>
        <v/>
      </c>
      <c r="AJ92" s="262" t="str">
        <f t="shared" si="186"/>
        <v/>
      </c>
      <c r="AK92" s="262" t="str">
        <f t="shared" si="186"/>
        <v/>
      </c>
      <c r="AL92" s="263">
        <f t="shared" si="177"/>
        <v>0</v>
      </c>
      <c r="AM92" s="346"/>
      <c r="AN92" s="261">
        <f>IFERROR(VLOOKUP($A92,'HH &amp; SI'!$B$4:$Z$494,'HH &amp; SI'!V$503,0),0)</f>
        <v>0</v>
      </c>
      <c r="AO92" s="262">
        <f>IFERROR(VLOOKUP($A92,'HH &amp; SI'!$B$4:$Z$494,'HH &amp; SI'!W$503,0),0)</f>
        <v>1462.432383884895</v>
      </c>
      <c r="AP92" s="262">
        <f>IFERROR(VLOOKUP($A92,'HH &amp; SI'!$B$4:$Z$494,'HH &amp; SI'!X$503,0),0)</f>
        <v>0</v>
      </c>
      <c r="AQ92" s="262">
        <f>IFERROR(VLOOKUP($A92,'HH &amp; SI'!$B$4:$Z$494,'HH &amp; SI'!Y$503,0),0)</f>
        <v>0</v>
      </c>
      <c r="AR92" s="263">
        <f t="shared" si="178"/>
        <v>1462.432383884895</v>
      </c>
      <c r="AS92" s="346"/>
      <c r="AT92" s="323">
        <f>IFERROR(VLOOKUP(A92,'Afton FY16 Final'!$A$5:$BV$572,'Afton FY16 Final'!$BV$587,0),0)</f>
        <v>12858.606687767624</v>
      </c>
      <c r="AU92" s="346"/>
      <c r="AV92" s="444">
        <v>0</v>
      </c>
      <c r="AW92" s="262">
        <f>IFERROR(VLOOKUP($A92,'HH &amp; SI'!$B$4:$EY$503,'HH &amp; SI'!EX$503,0),0)</f>
        <v>0</v>
      </c>
      <c r="AX92" s="262">
        <f>IFERROR(VLOOKUP($A92,'HH &amp; SI'!$B$4:$EY$503,'HH &amp; SI'!EY$503,0),0)</f>
        <v>1462.432383884895</v>
      </c>
      <c r="AY92" s="262">
        <f>AX92/$AX$582*'update_State Admin 1004(b)'!$B$30*0.01</f>
        <v>13.996528479149593</v>
      </c>
      <c r="AZ92" s="263">
        <f t="shared" si="179"/>
        <v>1448.4358554057453</v>
      </c>
      <c r="BA92" s="261">
        <f t="shared" si="180"/>
        <v>14.484358554057453</v>
      </c>
      <c r="BB92" s="262">
        <f t="shared" si="181"/>
        <v>1433.9514968516878</v>
      </c>
      <c r="BC92" s="341">
        <f t="shared" si="157"/>
        <v>0.11151686428171133</v>
      </c>
      <c r="BD92" s="346"/>
      <c r="BE92" s="376" t="str">
        <f>'Original Title I &amp; II'!AZ92</f>
        <v/>
      </c>
      <c r="BF92" s="243" t="str">
        <f t="shared" si="187"/>
        <v/>
      </c>
      <c r="BG92" s="263">
        <f t="shared" si="166"/>
        <v>1433.9514968516878</v>
      </c>
      <c r="BI92" s="31">
        <f>IFERROR(VLOOKUP(A92,'Title II Hold Harmless'!A$1:B$439,2, FALSE),"")</f>
        <v>2976</v>
      </c>
      <c r="BJ92" s="31">
        <f t="shared" si="188"/>
        <v>3108.2036956121647</v>
      </c>
      <c r="BK92" s="31">
        <f t="shared" si="189"/>
        <v>3111.2105465643076</v>
      </c>
      <c r="BL92" s="31" t="str">
        <f t="shared" si="182"/>
        <v/>
      </c>
      <c r="BM92" s="31">
        <f t="shared" si="183"/>
        <v>3111.2105465643076</v>
      </c>
      <c r="BN92" s="200"/>
      <c r="BP92" s="295" t="s">
        <v>1447</v>
      </c>
      <c r="BQ92" s="296" t="str">
        <f t="shared" si="145"/>
        <v>Y</v>
      </c>
      <c r="BR92" s="297" t="s">
        <v>1448</v>
      </c>
      <c r="BT92" s="295" t="str">
        <f t="shared" si="146"/>
        <v>N</v>
      </c>
      <c r="BU92" s="296" t="str">
        <f t="shared" si="184"/>
        <v>N</v>
      </c>
      <c r="BV92" s="296" t="str">
        <f t="shared" si="185"/>
        <v>N</v>
      </c>
      <c r="BW92" s="297" t="str">
        <f t="shared" si="149"/>
        <v>N</v>
      </c>
      <c r="BY92" s="352">
        <f t="shared" si="150"/>
        <v>0.85</v>
      </c>
      <c r="BZ92" s="353">
        <f t="shared" si="151"/>
        <v>0</v>
      </c>
      <c r="CA92" s="353">
        <f t="shared" si="152"/>
        <v>0</v>
      </c>
      <c r="CB92" s="354">
        <f t="shared" si="153"/>
        <v>0.85</v>
      </c>
      <c r="CD92" s="311">
        <f t="shared" si="154"/>
        <v>87</v>
      </c>
    </row>
    <row r="93" spans="1:82" s="48" customFormat="1" outlineLevel="1" x14ac:dyDescent="0.3">
      <c r="A93" s="202">
        <v>58703000</v>
      </c>
      <c r="B93" s="48">
        <f>VLOOKUP(C93,'NCES ID'!$A$2:$B$3136,2,FALSE)</f>
        <v>400141</v>
      </c>
      <c r="C93" s="48">
        <f>VLOOKUP(A93,'State ID'!$A$2:$B$713,2,FALSE)</f>
        <v>6357</v>
      </c>
      <c r="D93" s="48" t="s">
        <v>132</v>
      </c>
      <c r="E93" s="48" t="s">
        <v>133</v>
      </c>
      <c r="F93" s="755"/>
      <c r="G93" s="755"/>
      <c r="H93" s="755"/>
      <c r="I93" s="755"/>
      <c r="J93" s="755"/>
      <c r="K93" s="755"/>
      <c r="L93" s="454"/>
      <c r="M93" s="455"/>
      <c r="N93" s="456"/>
      <c r="O93" s="209">
        <f>VLOOKUP($C93,'Final SEA Counts'!$A$2:$F$709,5,FALSE)</f>
        <v>110</v>
      </c>
      <c r="P93" s="223">
        <f>VLOOKUP($C93,'Final SEA Counts'!$A$2:$F$709,6,FALSE)</f>
        <v>60</v>
      </c>
      <c r="Q93" s="749"/>
      <c r="R93" s="454">
        <f>O93</f>
        <v>110</v>
      </c>
      <c r="S93" s="455">
        <f>P93*$B$97</f>
        <v>30.461958930696731</v>
      </c>
      <c r="T93" s="230">
        <f t="shared" si="171"/>
        <v>0.27692689936997028</v>
      </c>
      <c r="U93" s="264" t="str">
        <f>IFERROR(VLOOKUP($B93,#REF!,8,FALSE),"")</f>
        <v/>
      </c>
      <c r="V93" s="265" t="str">
        <f>IFERROR(VLOOKUP($B93,#REF!,9,FALSE),"")</f>
        <v/>
      </c>
      <c r="W93" s="265" t="str">
        <f>IFERROR(VLOOKUP($B93,#REF!,10,FALSE),"")</f>
        <v/>
      </c>
      <c r="X93" s="265" t="str">
        <f>IFERROR(VLOOKUP($B93,#REF!,11,FALSE),"")</f>
        <v/>
      </c>
      <c r="Y93" s="266" t="str">
        <f>IFERROR(VLOOKUP($B93,#REF!,12,FALSE),"")</f>
        <v/>
      </c>
      <c r="Z93" s="265">
        <f t="shared" ref="Z93:AC95" si="190">$S93*U$98</f>
        <v>15815.831950576869</v>
      </c>
      <c r="AA93" s="265">
        <f t="shared" si="190"/>
        <v>3828.4587290242566</v>
      </c>
      <c r="AB93" s="265">
        <f t="shared" si="190"/>
        <v>6752.2586503239709</v>
      </c>
      <c r="AC93" s="266">
        <f t="shared" si="190"/>
        <v>6132.1208269377257</v>
      </c>
      <c r="AD93" s="265">
        <f t="shared" si="173"/>
        <v>15815.831950576869</v>
      </c>
      <c r="AE93" s="265">
        <f t="shared" si="174"/>
        <v>3828.4587290242566</v>
      </c>
      <c r="AF93" s="265">
        <f t="shared" si="175"/>
        <v>6752.2586503239709</v>
      </c>
      <c r="AG93" s="266">
        <f t="shared" si="176"/>
        <v>6132.1208269377257</v>
      </c>
      <c r="AH93" s="265">
        <f t="shared" si="186"/>
        <v>16248.823950693719</v>
      </c>
      <c r="AI93" s="265">
        <f t="shared" si="186"/>
        <v>8407.955965556881</v>
      </c>
      <c r="AJ93" s="265">
        <f t="shared" si="186"/>
        <v>6937.116075936884</v>
      </c>
      <c r="AK93" s="265">
        <f t="shared" si="186"/>
        <v>6300.0006621630264</v>
      </c>
      <c r="AL93" s="266">
        <f t="shared" si="177"/>
        <v>37893.896654350508</v>
      </c>
      <c r="AM93" s="347"/>
      <c r="AN93" s="264">
        <f>IFERROR(VLOOKUP($A93,'HH &amp; SI'!$B$4:$Z$494,'HH &amp; SI'!V$503,0),0)</f>
        <v>17957.812716191202</v>
      </c>
      <c r="AO93" s="265">
        <f>IFERROR(VLOOKUP($A93,'HH &amp; SI'!$B$4:$Z$494,'HH &amp; SI'!W$503,0),0)</f>
        <v>8131.0286363393916</v>
      </c>
      <c r="AP93" s="265">
        <f>IFERROR(VLOOKUP($A93,'HH &amp; SI'!$B$4:$Z$494,'HH &amp; SI'!X$503,0),0)</f>
        <v>7597.6294207700512</v>
      </c>
      <c r="AQ93" s="265">
        <f>IFERROR(VLOOKUP($A93,'HH &amp; SI'!$B$4:$Z$494,'HH &amp; SI'!Y$503,0),0)</f>
        <v>6634.4073346621153</v>
      </c>
      <c r="AR93" s="266">
        <f t="shared" si="178"/>
        <v>40320.878107962759</v>
      </c>
      <c r="AS93" s="347"/>
      <c r="AT93" s="324">
        <f>IFERROR(VLOOKUP(A93,'Afton FY16 Final'!$A$5:$BV$572,'Afton FY16 Final'!$BV$587,0),0)</f>
        <v>39697.276954430847</v>
      </c>
      <c r="AU93" s="347"/>
      <c r="AV93" s="454">
        <v>0</v>
      </c>
      <c r="AW93" s="265">
        <f>IFERROR(VLOOKUP($A93,'HH &amp; SI'!$B$4:$EY$503,'HH &amp; SI'!EX$503,0),0)</f>
        <v>623.60115353191213</v>
      </c>
      <c r="AX93" s="265">
        <f>IFERROR(VLOOKUP($A93,'HH &amp; SI'!$B$4:$EY$503,'HH &amp; SI'!EY$503,0),0)</f>
        <v>39697.276954430847</v>
      </c>
      <c r="AY93" s="265">
        <f>AX93/$AX$582*'update_State Admin 1004(b)'!$B$30*0.01</f>
        <v>379.93145772756094</v>
      </c>
      <c r="AZ93" s="266">
        <f t="shared" si="179"/>
        <v>39317.345496703289</v>
      </c>
      <c r="BA93" s="264">
        <f t="shared" si="180"/>
        <v>393.17345496703291</v>
      </c>
      <c r="BB93" s="265">
        <f t="shared" si="181"/>
        <v>38924.172041736252</v>
      </c>
      <c r="BC93" s="342">
        <f t="shared" si="157"/>
        <v>0.98052498881517602</v>
      </c>
      <c r="BD93" s="347"/>
      <c r="BE93" s="377" t="str">
        <f>'Original Title I &amp; II'!AZ93</f>
        <v/>
      </c>
      <c r="BF93" s="244" t="str">
        <f t="shared" si="187"/>
        <v/>
      </c>
      <c r="BG93" s="266">
        <f t="shared" si="166"/>
        <v>38924.172041736252</v>
      </c>
      <c r="BI93" s="203" t="str">
        <f>IFERROR(VLOOKUP(A93,'Title II Hold Harmless'!A$1:B$439,2, FALSE),"")</f>
        <v/>
      </c>
      <c r="BJ93" s="203">
        <f t="shared" si="188"/>
        <v>487.30219380145996</v>
      </c>
      <c r="BK93" s="203">
        <f t="shared" si="189"/>
        <v>487.77360597675647</v>
      </c>
      <c r="BL93" s="203" t="str">
        <f t="shared" si="182"/>
        <v/>
      </c>
      <c r="BM93" s="203">
        <f t="shared" si="183"/>
        <v>487.77360597675647</v>
      </c>
      <c r="BN93" s="200"/>
      <c r="BP93" s="298" t="s">
        <v>1448</v>
      </c>
      <c r="BQ93" s="299" t="str">
        <f t="shared" si="145"/>
        <v>Y</v>
      </c>
      <c r="BR93" s="300" t="s">
        <v>1448</v>
      </c>
      <c r="BT93" s="298" t="str">
        <f t="shared" si="146"/>
        <v>Y</v>
      </c>
      <c r="BU93" s="299" t="str">
        <f t="shared" si="184"/>
        <v>Y</v>
      </c>
      <c r="BV93" s="299" t="str">
        <f t="shared" si="185"/>
        <v>Y</v>
      </c>
      <c r="BW93" s="300" t="str">
        <f t="shared" si="149"/>
        <v>Y</v>
      </c>
      <c r="BY93" s="355">
        <f t="shared" si="150"/>
        <v>0</v>
      </c>
      <c r="BZ93" s="356">
        <f t="shared" si="151"/>
        <v>0.9</v>
      </c>
      <c r="CA93" s="356">
        <f t="shared" si="152"/>
        <v>0</v>
      </c>
      <c r="CB93" s="357">
        <f t="shared" si="153"/>
        <v>0.9</v>
      </c>
      <c r="CD93" s="312">
        <f t="shared" si="154"/>
        <v>88</v>
      </c>
    </row>
    <row r="94" spans="1:82" s="48" customFormat="1" outlineLevel="1" x14ac:dyDescent="0.3">
      <c r="A94" s="202">
        <v>50199000</v>
      </c>
      <c r="B94" s="48">
        <f>VLOOKUP(C94,'NCES ID'!$A$2:$B$3136,2,FALSE)</f>
        <v>402480</v>
      </c>
      <c r="C94" s="48">
        <f>VLOOKUP(A94,'State ID'!$A$2:$B$713,2,FALSE)</f>
        <v>4217</v>
      </c>
      <c r="D94" s="48" t="s">
        <v>186</v>
      </c>
      <c r="E94" s="48" t="s">
        <v>133</v>
      </c>
      <c r="F94" s="755"/>
      <c r="G94" s="755"/>
      <c r="H94" s="755"/>
      <c r="I94" s="755"/>
      <c r="J94" s="755"/>
      <c r="K94" s="755"/>
      <c r="L94" s="454"/>
      <c r="M94" s="455"/>
      <c r="N94" s="456"/>
      <c r="O94" s="209">
        <f>VLOOKUP($C94,'Final SEA Counts'!$A$2:$F$709,5,FALSE)</f>
        <v>41</v>
      </c>
      <c r="P94" s="223">
        <f>VLOOKUP($C94,'Final SEA Counts'!$A$2:$F$709,6,FALSE)</f>
        <v>27</v>
      </c>
      <c r="Q94" s="749"/>
      <c r="R94" s="454">
        <f>O94</f>
        <v>41</v>
      </c>
      <c r="S94" s="455">
        <f>P94*$B$97</f>
        <v>13.707881518813529</v>
      </c>
      <c r="T94" s="230">
        <f t="shared" si="171"/>
        <v>0.33433857362959829</v>
      </c>
      <c r="U94" s="264" t="str">
        <f>IFERROR(VLOOKUP($B94,#REF!,8,FALSE),"")</f>
        <v/>
      </c>
      <c r="V94" s="265" t="str">
        <f>IFERROR(VLOOKUP($B94,#REF!,9,FALSE),"")</f>
        <v/>
      </c>
      <c r="W94" s="265" t="str">
        <f>IFERROR(VLOOKUP($B94,#REF!,10,FALSE),"")</f>
        <v/>
      </c>
      <c r="X94" s="265" t="str">
        <f>IFERROR(VLOOKUP($B94,#REF!,11,FALSE),"")</f>
        <v/>
      </c>
      <c r="Y94" s="266" t="str">
        <f>IFERROR(VLOOKUP($B94,#REF!,12,FALSE),"")</f>
        <v/>
      </c>
      <c r="Z94" s="265">
        <f t="shared" si="190"/>
        <v>7117.124377759591</v>
      </c>
      <c r="AA94" s="265">
        <f t="shared" si="190"/>
        <v>1722.8064280609156</v>
      </c>
      <c r="AB94" s="265">
        <f t="shared" si="190"/>
        <v>3038.5163926457872</v>
      </c>
      <c r="AC94" s="266">
        <f t="shared" si="190"/>
        <v>2759.454372121977</v>
      </c>
      <c r="AD94" s="265">
        <f t="shared" si="173"/>
        <v>7117.124377759591</v>
      </c>
      <c r="AE94" s="265">
        <f t="shared" si="174"/>
        <v>1722.8064280609156</v>
      </c>
      <c r="AF94" s="265">
        <f t="shared" si="175"/>
        <v>3038.5163926457872</v>
      </c>
      <c r="AG94" s="266">
        <f t="shared" si="176"/>
        <v>2759.454372121977</v>
      </c>
      <c r="AH94" s="265">
        <f t="shared" si="186"/>
        <v>7550.1163778764412</v>
      </c>
      <c r="AI94" s="265">
        <f t="shared" si="186"/>
        <v>6302.3036645935408</v>
      </c>
      <c r="AJ94" s="265">
        <f t="shared" si="186"/>
        <v>3223.3738182587003</v>
      </c>
      <c r="AK94" s="265">
        <f t="shared" si="186"/>
        <v>2927.3342073472777</v>
      </c>
      <c r="AL94" s="266">
        <f t="shared" si="177"/>
        <v>20003.128068075959</v>
      </c>
      <c r="AM94" s="347"/>
      <c r="AN94" s="264">
        <f>IFERROR(VLOOKUP($A94,'HH &amp; SI'!$B$4:$Z$494,'HH &amp; SI'!V$503,0),0)</f>
        <v>10532.013082220017</v>
      </c>
      <c r="AO94" s="265">
        <f>IFERROR(VLOOKUP($A94,'HH &amp; SI'!$B$4:$Z$494,'HH &amp; SI'!W$503,0),0)</f>
        <v>6094.7288237043877</v>
      </c>
      <c r="AP94" s="265">
        <f>IFERROR(VLOOKUP($A94,'HH &amp; SI'!$B$4:$Z$494,'HH &amp; SI'!X$503,0),0)</f>
        <v>4536.5376886134145</v>
      </c>
      <c r="AQ94" s="265">
        <f>IFERROR(VLOOKUP($A94,'HH &amp; SI'!$B$4:$Z$494,'HH &amp; SI'!Y$503,0),0)</f>
        <v>4029.6306731555887</v>
      </c>
      <c r="AR94" s="266">
        <f t="shared" si="178"/>
        <v>25192.910267693409</v>
      </c>
      <c r="AS94" s="347"/>
      <c r="AT94" s="324">
        <f>IFERROR(VLOOKUP(A94,'Afton FY16 Final'!$A$5:$BV$572,'Afton FY16 Final'!$BV$587,0),0)</f>
        <v>20164.843304618673</v>
      </c>
      <c r="AU94" s="347"/>
      <c r="AV94" s="454">
        <v>0</v>
      </c>
      <c r="AW94" s="265">
        <f>IFERROR(VLOOKUP($A94,'HH &amp; SI'!$B$4:$EY$503,'HH &amp; SI'!EX$503,0),0)</f>
        <v>1411.1330263764903</v>
      </c>
      <c r="AX94" s="265">
        <f>IFERROR(VLOOKUP($A94,'HH &amp; SI'!$B$4:$EY$503,'HH &amp; SI'!EY$503,0),0)</f>
        <v>23781.777241316919</v>
      </c>
      <c r="AY94" s="265">
        <f>AX94/$AX$582*'update_State Admin 1004(b)'!$B$30*0.01</f>
        <v>227.60869227926153</v>
      </c>
      <c r="AZ94" s="266">
        <f t="shared" si="179"/>
        <v>23554.168549037659</v>
      </c>
      <c r="BA94" s="264">
        <f t="shared" si="180"/>
        <v>235.54168549037658</v>
      </c>
      <c r="BB94" s="265">
        <f t="shared" si="181"/>
        <v>23318.626863547281</v>
      </c>
      <c r="BC94" s="342">
        <f t="shared" si="157"/>
        <v>1.1564001024598216</v>
      </c>
      <c r="BD94" s="347"/>
      <c r="BE94" s="377" t="str">
        <f>'Original Title I &amp; II'!AZ94</f>
        <v/>
      </c>
      <c r="BF94" s="244" t="str">
        <f t="shared" si="187"/>
        <v/>
      </c>
      <c r="BG94" s="266">
        <f t="shared" si="166"/>
        <v>23318.626863547281</v>
      </c>
      <c r="BI94" s="203">
        <f>IFERROR(VLOOKUP(A94,'Title II Hold Harmless'!A$1:B$439,2, FALSE),"")</f>
        <v>1539</v>
      </c>
      <c r="BJ94" s="203">
        <f t="shared" si="188"/>
        <v>1751.4451898499772</v>
      </c>
      <c r="BK94" s="203">
        <f t="shared" si="189"/>
        <v>1753.1395236686265</v>
      </c>
      <c r="BL94" s="203" t="str">
        <f t="shared" si="182"/>
        <v/>
      </c>
      <c r="BM94" s="203">
        <f t="shared" si="183"/>
        <v>1753.1395236686265</v>
      </c>
      <c r="BN94" s="200"/>
      <c r="BP94" s="298" t="s">
        <v>1448</v>
      </c>
      <c r="BQ94" s="299" t="str">
        <f t="shared" si="145"/>
        <v>Y</v>
      </c>
      <c r="BR94" s="300" t="s">
        <v>1448</v>
      </c>
      <c r="BT94" s="298" t="str">
        <f t="shared" si="146"/>
        <v>Y</v>
      </c>
      <c r="BU94" s="299" t="str">
        <f t="shared" si="184"/>
        <v>Y</v>
      </c>
      <c r="BV94" s="299" t="str">
        <f t="shared" si="185"/>
        <v>Y</v>
      </c>
      <c r="BW94" s="300" t="str">
        <f t="shared" si="149"/>
        <v>Y</v>
      </c>
      <c r="BY94" s="355">
        <f t="shared" si="150"/>
        <v>0</v>
      </c>
      <c r="BZ94" s="356">
        <f t="shared" si="151"/>
        <v>0</v>
      </c>
      <c r="CA94" s="356">
        <f t="shared" si="152"/>
        <v>0.95</v>
      </c>
      <c r="CB94" s="357">
        <f t="shared" si="153"/>
        <v>0.95</v>
      </c>
      <c r="CD94" s="312">
        <f t="shared" si="154"/>
        <v>89</v>
      </c>
    </row>
    <row r="95" spans="1:82" s="48" customFormat="1" outlineLevel="1" x14ac:dyDescent="0.3">
      <c r="A95" s="202"/>
      <c r="D95" s="48" t="s">
        <v>1411</v>
      </c>
      <c r="E95" s="48" t="s">
        <v>133</v>
      </c>
      <c r="F95" s="755"/>
      <c r="G95" s="755"/>
      <c r="H95" s="755"/>
      <c r="I95" s="755"/>
      <c r="J95" s="755"/>
      <c r="K95" s="755"/>
      <c r="L95" s="454"/>
      <c r="M95" s="455"/>
      <c r="N95" s="456"/>
      <c r="O95" s="211">
        <f>'AVA Metrics'!C6</f>
        <v>21.977032613688561</v>
      </c>
      <c r="P95" s="212">
        <f>'AVA Metrics'!D6</f>
        <v>11.498392282958198</v>
      </c>
      <c r="Q95" s="749"/>
      <c r="R95" s="454">
        <f>O95</f>
        <v>21.977032613688561</v>
      </c>
      <c r="S95" s="455">
        <f>P95*$B$97</f>
        <v>5.837725891541881</v>
      </c>
      <c r="T95" s="230">
        <f t="shared" si="171"/>
        <v>0.2656284856175628</v>
      </c>
      <c r="U95" s="264"/>
      <c r="V95" s="265"/>
      <c r="W95" s="265"/>
      <c r="X95" s="265"/>
      <c r="Y95" s="266"/>
      <c r="Z95" s="265">
        <f t="shared" si="190"/>
        <v>3030.9440008179463</v>
      </c>
      <c r="AA95" s="265">
        <f t="shared" si="190"/>
        <v>733.68533842394106</v>
      </c>
      <c r="AB95" s="265">
        <f t="shared" si="190"/>
        <v>1294.0019792903815</v>
      </c>
      <c r="AC95" s="266">
        <f t="shared" si="190"/>
        <v>1175.1588465771333</v>
      </c>
      <c r="AD95" s="265" t="str">
        <f t="shared" si="173"/>
        <v/>
      </c>
      <c r="AE95" s="265" t="str">
        <f t="shared" si="174"/>
        <v/>
      </c>
      <c r="AF95" s="265" t="str">
        <f t="shared" si="175"/>
        <v/>
      </c>
      <c r="AG95" s="266" t="str">
        <f t="shared" si="176"/>
        <v/>
      </c>
      <c r="AH95" s="265" t="str">
        <f t="shared" si="186"/>
        <v/>
      </c>
      <c r="AI95" s="265" t="str">
        <f t="shared" si="186"/>
        <v/>
      </c>
      <c r="AJ95" s="265" t="str">
        <f t="shared" si="186"/>
        <v/>
      </c>
      <c r="AK95" s="265" t="str">
        <f t="shared" si="186"/>
        <v/>
      </c>
      <c r="AL95" s="266">
        <f t="shared" si="177"/>
        <v>0</v>
      </c>
      <c r="AM95" s="347"/>
      <c r="AN95" s="264">
        <f>IFERROR(VLOOKUP($A95,'HH &amp; SI'!$B$4:$Z$494,'HH &amp; SI'!V$503,0),0)</f>
        <v>0</v>
      </c>
      <c r="AO95" s="265">
        <f>IFERROR(VLOOKUP($A95,'HH &amp; SI'!$B$4:$Z$494,'HH &amp; SI'!W$503,0),0)</f>
        <v>0</v>
      </c>
      <c r="AP95" s="265">
        <f>IFERROR(VLOOKUP($A95,'HH &amp; SI'!$B$4:$Z$494,'HH &amp; SI'!X$503,0),0)</f>
        <v>0</v>
      </c>
      <c r="AQ95" s="265">
        <f>IFERROR(VLOOKUP($A95,'HH &amp; SI'!$B$4:$Z$494,'HH &amp; SI'!Y$503,0),0)</f>
        <v>0</v>
      </c>
      <c r="AR95" s="266">
        <f t="shared" si="178"/>
        <v>0</v>
      </c>
      <c r="AS95" s="347"/>
      <c r="AT95" s="324">
        <f>IFERROR(VLOOKUP(A95,'Afton FY16 Final'!$A$5:$BV$572,'Afton FY16 Final'!$BV$587,0),0)</f>
        <v>0</v>
      </c>
      <c r="AU95" s="347"/>
      <c r="AV95" s="454">
        <v>0</v>
      </c>
      <c r="AW95" s="265">
        <f>IFERROR(VLOOKUP($A95,'HH &amp; SI'!$B$4:$EY$503,'HH &amp; SI'!EX$503,0),0)</f>
        <v>0</v>
      </c>
      <c r="AX95" s="265">
        <f>IFERROR(VLOOKUP($A95,'HH &amp; SI'!$B$4:$EY$503,'HH &amp; SI'!EY$503,0),0)</f>
        <v>0</v>
      </c>
      <c r="AY95" s="265"/>
      <c r="AZ95" s="266"/>
      <c r="BA95" s="264"/>
      <c r="BB95" s="265"/>
      <c r="BC95" s="342" t="str">
        <f t="shared" si="157"/>
        <v/>
      </c>
      <c r="BD95" s="347"/>
      <c r="BE95" s="377">
        <f>'Original Title I &amp; II'!AZ95</f>
        <v>0</v>
      </c>
      <c r="BF95" s="244"/>
      <c r="BG95" s="266">
        <f t="shared" si="166"/>
        <v>0</v>
      </c>
      <c r="BI95" s="203"/>
      <c r="BJ95" s="203"/>
      <c r="BK95" s="203"/>
      <c r="BL95" s="203"/>
      <c r="BM95" s="203"/>
      <c r="BN95" s="200"/>
      <c r="BP95" s="298" t="s">
        <v>1448</v>
      </c>
      <c r="BQ95" s="299" t="str">
        <f t="shared" si="145"/>
        <v>Y</v>
      </c>
      <c r="BR95" s="300" t="s">
        <v>1448</v>
      </c>
      <c r="BT95" s="298" t="str">
        <f t="shared" si="146"/>
        <v>N</v>
      </c>
      <c r="BU95" s="299" t="str">
        <f t="shared" si="184"/>
        <v>N</v>
      </c>
      <c r="BV95" s="299" t="str">
        <f t="shared" si="185"/>
        <v>N</v>
      </c>
      <c r="BW95" s="300" t="str">
        <f t="shared" si="149"/>
        <v>N</v>
      </c>
      <c r="BY95" s="355">
        <f t="shared" si="150"/>
        <v>0</v>
      </c>
      <c r="BZ95" s="356">
        <f t="shared" si="151"/>
        <v>0.9</v>
      </c>
      <c r="CA95" s="356">
        <f t="shared" si="152"/>
        <v>0</v>
      </c>
      <c r="CB95" s="357">
        <f t="shared" si="153"/>
        <v>0.9</v>
      </c>
      <c r="CD95" s="312">
        <f t="shared" si="154"/>
        <v>90</v>
      </c>
    </row>
    <row r="96" spans="1:82" s="197" customFormat="1" outlineLevel="1" x14ac:dyDescent="0.3">
      <c r="A96" s="196"/>
      <c r="D96" s="197" t="s">
        <v>878</v>
      </c>
      <c r="F96" s="756"/>
      <c r="G96" s="756"/>
      <c r="H96" s="756"/>
      <c r="I96" s="756"/>
      <c r="J96" s="756"/>
      <c r="K96" s="756"/>
      <c r="L96" s="757"/>
      <c r="M96" s="758"/>
      <c r="N96" s="768"/>
      <c r="O96" s="214"/>
      <c r="P96" s="216"/>
      <c r="Q96" s="750"/>
      <c r="R96" s="757">
        <f>SUM(R93:R95)</f>
        <v>172.97703261368855</v>
      </c>
      <c r="S96" s="758">
        <f>SUM(S93:S95)</f>
        <v>50.00756634105214</v>
      </c>
      <c r="T96" s="231"/>
      <c r="U96" s="267"/>
      <c r="V96" s="268"/>
      <c r="W96" s="268"/>
      <c r="X96" s="268"/>
      <c r="Y96" s="269"/>
      <c r="Z96" s="268">
        <f>SUM(Z93:Z95)</f>
        <v>25963.900329154407</v>
      </c>
      <c r="AA96" s="268">
        <f t="shared" ref="AA96:AC96" si="191">SUM(AA93:AA95)</f>
        <v>6284.9504955091134</v>
      </c>
      <c r="AB96" s="268">
        <f t="shared" si="191"/>
        <v>11084.777022260141</v>
      </c>
      <c r="AC96" s="269">
        <f t="shared" si="191"/>
        <v>10066.734045636835</v>
      </c>
      <c r="AD96" s="268"/>
      <c r="AE96" s="268"/>
      <c r="AF96" s="268"/>
      <c r="AG96" s="269"/>
      <c r="AH96" s="268"/>
      <c r="AI96" s="268"/>
      <c r="AJ96" s="268"/>
      <c r="AK96" s="268"/>
      <c r="AL96" s="269"/>
      <c r="AM96" s="348"/>
      <c r="AN96" s="267"/>
      <c r="AO96" s="268"/>
      <c r="AP96" s="268"/>
      <c r="AQ96" s="268"/>
      <c r="AR96" s="269"/>
      <c r="AS96" s="348"/>
      <c r="AT96" s="325"/>
      <c r="AU96" s="348"/>
      <c r="AV96" s="757"/>
      <c r="AW96" s="268"/>
      <c r="AX96" s="268"/>
      <c r="AY96" s="268"/>
      <c r="AZ96" s="269"/>
      <c r="BA96" s="267"/>
      <c r="BB96" s="268"/>
      <c r="BC96" s="343" t="str">
        <f t="shared" si="157"/>
        <v/>
      </c>
      <c r="BD96" s="348"/>
      <c r="BE96" s="371"/>
      <c r="BF96" s="369"/>
      <c r="BG96" s="269"/>
      <c r="BI96" s="198"/>
      <c r="BL96" s="198"/>
      <c r="BN96" s="199"/>
      <c r="BP96" s="301" t="s">
        <v>1450</v>
      </c>
      <c r="BQ96" s="302" t="str">
        <f t="shared" si="145"/>
        <v>N</v>
      </c>
      <c r="BR96" s="303" t="s">
        <v>1448</v>
      </c>
      <c r="BT96" s="301" t="str">
        <f t="shared" si="146"/>
        <v>N</v>
      </c>
      <c r="BU96" s="302" t="s">
        <v>1450</v>
      </c>
      <c r="BV96" s="302" t="s">
        <v>1450</v>
      </c>
      <c r="BW96" s="303" t="s">
        <v>1450</v>
      </c>
      <c r="BY96" s="358">
        <f t="shared" si="150"/>
        <v>0.85</v>
      </c>
      <c r="BZ96" s="359">
        <f t="shared" si="151"/>
        <v>0</v>
      </c>
      <c r="CA96" s="359">
        <f t="shared" si="152"/>
        <v>0</v>
      </c>
      <c r="CB96" s="360">
        <f t="shared" si="153"/>
        <v>0.85</v>
      </c>
      <c r="CD96" s="313">
        <f t="shared" si="154"/>
        <v>91</v>
      </c>
    </row>
    <row r="97" spans="1:82" s="197" customFormat="1" outlineLevel="1" x14ac:dyDescent="0.3">
      <c r="A97" s="196" t="s">
        <v>880</v>
      </c>
      <c r="B97" s="197">
        <f>M97/P97</f>
        <v>0.50769931551161218</v>
      </c>
      <c r="D97" s="197" t="s">
        <v>879</v>
      </c>
      <c r="E97" s="197">
        <f t="shared" ref="E97:K97" si="192">SUM(E86:E95)</f>
        <v>0</v>
      </c>
      <c r="F97" s="756">
        <f t="shared" si="192"/>
        <v>1689</v>
      </c>
      <c r="G97" s="756">
        <f t="shared" si="192"/>
        <v>0</v>
      </c>
      <c r="H97" s="756">
        <f t="shared" si="192"/>
        <v>0</v>
      </c>
      <c r="I97" s="756">
        <f t="shared" si="192"/>
        <v>42</v>
      </c>
      <c r="J97" s="756">
        <f t="shared" si="192"/>
        <v>0</v>
      </c>
      <c r="K97" s="756">
        <f t="shared" si="192"/>
        <v>1689</v>
      </c>
      <c r="L97" s="757">
        <f>SUM(L86:L95)</f>
        <v>7786</v>
      </c>
      <c r="M97" s="758">
        <f>SUM(M86:M95)</f>
        <v>1731</v>
      </c>
      <c r="N97" s="768"/>
      <c r="O97" s="217">
        <f>SUM(O86:O95)</f>
        <v>6317.9770326136886</v>
      </c>
      <c r="P97" s="218">
        <f t="shared" ref="P97:S97" si="193">SUM(P86:P95)</f>
        <v>3409.4983922829583</v>
      </c>
      <c r="Q97" s="750"/>
      <c r="R97" s="757">
        <f t="shared" si="193"/>
        <v>7786</v>
      </c>
      <c r="S97" s="758">
        <f t="shared" si="193"/>
        <v>1730.9999999999998</v>
      </c>
      <c r="T97" s="231"/>
      <c r="U97" s="267">
        <f>SUM(U86:U95)</f>
        <v>898734.22680182115</v>
      </c>
      <c r="V97" s="268">
        <f t="shared" ref="V97:AL97" si="194">SUM(V86:V95)</f>
        <v>217552.06469216431</v>
      </c>
      <c r="W97" s="268">
        <f t="shared" si="194"/>
        <v>383696.91687597119</v>
      </c>
      <c r="X97" s="268">
        <f t="shared" si="194"/>
        <v>348457.60167881695</v>
      </c>
      <c r="Y97" s="269">
        <f t="shared" si="194"/>
        <v>1848440.8100487737</v>
      </c>
      <c r="Z97" s="268">
        <f t="shared" si="194"/>
        <v>898734.22680182115</v>
      </c>
      <c r="AA97" s="268">
        <f t="shared" si="194"/>
        <v>217552.06469216431</v>
      </c>
      <c r="AB97" s="268">
        <f t="shared" si="194"/>
        <v>383696.91687597119</v>
      </c>
      <c r="AC97" s="269">
        <f t="shared" si="194"/>
        <v>348457.60167881689</v>
      </c>
      <c r="AD97" s="268">
        <f t="shared" si="194"/>
        <v>895703.2828010032</v>
      </c>
      <c r="AE97" s="268">
        <f t="shared" si="194"/>
        <v>190075.08127296856</v>
      </c>
      <c r="AF97" s="268">
        <f t="shared" si="194"/>
        <v>382402.9148966808</v>
      </c>
      <c r="AG97" s="269">
        <f t="shared" si="194"/>
        <v>347282.44283223979</v>
      </c>
      <c r="AH97" s="268">
        <f t="shared" si="194"/>
        <v>898734.22680182115</v>
      </c>
      <c r="AI97" s="268">
        <f t="shared" si="194"/>
        <v>217552.06469216431</v>
      </c>
      <c r="AJ97" s="268">
        <f t="shared" si="194"/>
        <v>383696.91687597125</v>
      </c>
      <c r="AK97" s="268">
        <f t="shared" si="194"/>
        <v>348457.60167881689</v>
      </c>
      <c r="AL97" s="269">
        <f t="shared" si="194"/>
        <v>1848440.8100487737</v>
      </c>
      <c r="AM97" s="348"/>
      <c r="AN97" s="267">
        <f t="shared" ref="AN97:AR97" si="195">SUM(AN86:AN95)</f>
        <v>893809.25919553533</v>
      </c>
      <c r="AO97" s="268">
        <f t="shared" ref="AO97" si="196">SUM(AO86:AO95)</f>
        <v>236934.95220577711</v>
      </c>
      <c r="AP97" s="268">
        <f t="shared" si="195"/>
        <v>382906.38145271427</v>
      </c>
      <c r="AQ97" s="268">
        <f t="shared" si="195"/>
        <v>347415.51329123654</v>
      </c>
      <c r="AR97" s="269">
        <f t="shared" si="195"/>
        <v>1861066.1061452632</v>
      </c>
      <c r="AS97" s="348"/>
      <c r="AT97" s="325">
        <f t="shared" ref="AT97:BB97" si="197">SUM(AT86:AT95)</f>
        <v>1908374.3736510952</v>
      </c>
      <c r="AU97" s="348"/>
      <c r="AV97" s="757">
        <f t="shared" si="197"/>
        <v>0</v>
      </c>
      <c r="AW97" s="268">
        <f t="shared" si="197"/>
        <v>11731.557447113933</v>
      </c>
      <c r="AX97" s="268">
        <f t="shared" si="197"/>
        <v>1849334.5486981494</v>
      </c>
      <c r="AY97" s="268">
        <f t="shared" si="197"/>
        <v>17699.460134743709</v>
      </c>
      <c r="AZ97" s="269">
        <f t="shared" si="197"/>
        <v>1831635.0885634057</v>
      </c>
      <c r="BA97" s="267">
        <f t="shared" si="197"/>
        <v>18316.35088563406</v>
      </c>
      <c r="BB97" s="268">
        <f t="shared" si="197"/>
        <v>1813318.7376777716</v>
      </c>
      <c r="BC97" s="343">
        <f t="shared" si="157"/>
        <v>0.95019025759004327</v>
      </c>
      <c r="BD97" s="348"/>
      <c r="BE97" s="371">
        <f t="shared" ref="BE97:BG97" si="198">SUM(BE86:BE95)</f>
        <v>0</v>
      </c>
      <c r="BF97" s="369">
        <f t="shared" si="198"/>
        <v>0</v>
      </c>
      <c r="BG97" s="269">
        <f t="shared" si="198"/>
        <v>1813318.7376777716</v>
      </c>
      <c r="BI97" s="198"/>
      <c r="BL97" s="198"/>
      <c r="BN97" s="199"/>
      <c r="BP97" s="301" t="s">
        <v>1450</v>
      </c>
      <c r="BQ97" s="302" t="str">
        <f t="shared" si="145"/>
        <v>N</v>
      </c>
      <c r="BR97" s="303" t="s">
        <v>1448</v>
      </c>
      <c r="BT97" s="301" t="str">
        <f t="shared" si="146"/>
        <v>N</v>
      </c>
      <c r="BU97" s="302" t="s">
        <v>1450</v>
      </c>
      <c r="BV97" s="302" t="s">
        <v>1450</v>
      </c>
      <c r="BW97" s="303" t="s">
        <v>1450</v>
      </c>
      <c r="BY97" s="358">
        <f t="shared" si="150"/>
        <v>0.85</v>
      </c>
      <c r="BZ97" s="359">
        <f t="shared" si="151"/>
        <v>0</v>
      </c>
      <c r="CA97" s="359">
        <f t="shared" si="152"/>
        <v>0</v>
      </c>
      <c r="CB97" s="360">
        <f t="shared" si="153"/>
        <v>0.85</v>
      </c>
      <c r="CD97" s="313">
        <f t="shared" si="154"/>
        <v>92</v>
      </c>
    </row>
    <row r="98" spans="1:82" s="197" customFormat="1" outlineLevel="1" x14ac:dyDescent="0.3">
      <c r="A98" s="196"/>
      <c r="F98" s="756"/>
      <c r="G98" s="756"/>
      <c r="H98" s="756"/>
      <c r="I98" s="756"/>
      <c r="J98" s="756"/>
      <c r="K98" s="756"/>
      <c r="L98" s="757"/>
      <c r="M98" s="758"/>
      <c r="N98" s="768"/>
      <c r="O98" s="214"/>
      <c r="P98" s="216"/>
      <c r="Q98" s="750"/>
      <c r="R98" s="757"/>
      <c r="S98" s="758"/>
      <c r="T98" s="231"/>
      <c r="U98" s="267">
        <f>U97/$S97</f>
        <v>519.19943778268123</v>
      </c>
      <c r="V98" s="268">
        <f>V97/$S97</f>
        <v>125.67999115665184</v>
      </c>
      <c r="W98" s="268">
        <f>W97/$S97</f>
        <v>221.66199703984475</v>
      </c>
      <c r="X98" s="268">
        <f>X97/$S97</f>
        <v>201.30421818533623</v>
      </c>
      <c r="Y98" s="269" t="str">
        <f>IFERROR(VLOOKUP($B98,#REF!,12,FALSE),"")</f>
        <v/>
      </c>
      <c r="Z98" s="268"/>
      <c r="AA98" s="268"/>
      <c r="AB98" s="268"/>
      <c r="AC98" s="269"/>
      <c r="AD98" s="268">
        <f>(Z97-AD97)/COUNT(AD86:AD95)</f>
        <v>432.99200011685025</v>
      </c>
      <c r="AE98" s="268">
        <f t="shared" ref="AE98:AG98" si="199">(AA97-AE97)/COUNT(AE86:AE95)</f>
        <v>4579.4972365326248</v>
      </c>
      <c r="AF98" s="268">
        <f t="shared" si="199"/>
        <v>184.85742561291303</v>
      </c>
      <c r="AG98" s="269">
        <f t="shared" si="199"/>
        <v>167.87983522530081</v>
      </c>
      <c r="AH98" s="268"/>
      <c r="AI98" s="268"/>
      <c r="AJ98" s="268"/>
      <c r="AK98" s="268"/>
      <c r="AL98" s="280"/>
      <c r="AM98" s="348"/>
      <c r="AN98" s="267"/>
      <c r="AO98" s="268"/>
      <c r="AP98" s="268"/>
      <c r="AQ98" s="268"/>
      <c r="AR98" s="280"/>
      <c r="AS98" s="348"/>
      <c r="AT98" s="325"/>
      <c r="AU98" s="348"/>
      <c r="AV98" s="757"/>
      <c r="AW98" s="268"/>
      <c r="AX98" s="268"/>
      <c r="AY98" s="268"/>
      <c r="AZ98" s="269"/>
      <c r="BA98" s="267"/>
      <c r="BB98" s="268"/>
      <c r="BC98" s="343" t="str">
        <f t="shared" si="157"/>
        <v/>
      </c>
      <c r="BD98" s="348"/>
      <c r="BE98" s="371"/>
      <c r="BF98" s="369"/>
      <c r="BG98" s="269"/>
      <c r="BI98" s="198"/>
      <c r="BL98" s="198"/>
      <c r="BN98" s="199"/>
      <c r="BP98" s="301" t="s">
        <v>1450</v>
      </c>
      <c r="BQ98" s="302" t="str">
        <f t="shared" si="145"/>
        <v>N</v>
      </c>
      <c r="BR98" s="303" t="s">
        <v>1448</v>
      </c>
      <c r="BT98" s="301" t="str">
        <f t="shared" si="146"/>
        <v>N</v>
      </c>
      <c r="BU98" s="302" t="s">
        <v>1450</v>
      </c>
      <c r="BV98" s="302" t="s">
        <v>1450</v>
      </c>
      <c r="BW98" s="303" t="s">
        <v>1450</v>
      </c>
      <c r="BY98" s="358">
        <f t="shared" si="150"/>
        <v>0.85</v>
      </c>
      <c r="BZ98" s="359">
        <f t="shared" si="151"/>
        <v>0</v>
      </c>
      <c r="CA98" s="359">
        <f t="shared" si="152"/>
        <v>0</v>
      </c>
      <c r="CB98" s="360">
        <f t="shared" si="153"/>
        <v>0.85</v>
      </c>
      <c r="CD98" s="313">
        <f t="shared" si="154"/>
        <v>93</v>
      </c>
    </row>
    <row r="99" spans="1:82" s="199" customFormat="1" outlineLevel="1" x14ac:dyDescent="0.3">
      <c r="A99" s="201"/>
      <c r="F99" s="759"/>
      <c r="G99" s="759"/>
      <c r="H99" s="759"/>
      <c r="I99" s="759"/>
      <c r="J99" s="759"/>
      <c r="K99" s="759"/>
      <c r="L99" s="509"/>
      <c r="M99" s="510"/>
      <c r="N99" s="511"/>
      <c r="O99" s="220"/>
      <c r="P99" s="222"/>
      <c r="Q99" s="751"/>
      <c r="R99" s="509"/>
      <c r="S99" s="510"/>
      <c r="T99" s="232"/>
      <c r="U99" s="270" t="str">
        <f>IFERROR(VLOOKUP($B99,#REF!,8,FALSE),"")</f>
        <v/>
      </c>
      <c r="V99" s="271" t="str">
        <f>IFERROR(VLOOKUP($B99,#REF!,9,FALSE),"")</f>
        <v/>
      </c>
      <c r="W99" s="271" t="str">
        <f>IFERROR(VLOOKUP($B99,#REF!,10,FALSE),"")</f>
        <v/>
      </c>
      <c r="X99" s="271" t="str">
        <f>IFERROR(VLOOKUP($B99,#REF!,11,FALSE),"")</f>
        <v/>
      </c>
      <c r="Y99" s="272" t="str">
        <f>IFERROR(VLOOKUP($B99,#REF!,12,FALSE),"")</f>
        <v/>
      </c>
      <c r="Z99" s="271"/>
      <c r="AA99" s="271"/>
      <c r="AB99" s="271"/>
      <c r="AC99" s="272"/>
      <c r="AD99" s="271"/>
      <c r="AE99" s="271"/>
      <c r="AF99" s="271"/>
      <c r="AG99" s="272"/>
      <c r="AH99" s="271"/>
      <c r="AI99" s="271"/>
      <c r="AJ99" s="271"/>
      <c r="AK99" s="271"/>
      <c r="AL99" s="272"/>
      <c r="AM99" s="349"/>
      <c r="AN99" s="270"/>
      <c r="AO99" s="271"/>
      <c r="AP99" s="271"/>
      <c r="AQ99" s="271"/>
      <c r="AR99" s="272"/>
      <c r="AS99" s="349"/>
      <c r="AT99" s="326"/>
      <c r="AU99" s="349"/>
      <c r="AV99" s="509"/>
      <c r="AW99" s="271"/>
      <c r="AX99" s="271"/>
      <c r="AY99" s="271"/>
      <c r="AZ99" s="272"/>
      <c r="BA99" s="270"/>
      <c r="BB99" s="271"/>
      <c r="BC99" s="344" t="str">
        <f t="shared" si="157"/>
        <v/>
      </c>
      <c r="BD99" s="349"/>
      <c r="BE99" s="378">
        <f>'Original Title I &amp; II'!AZ99</f>
        <v>0</v>
      </c>
      <c r="BF99" s="245"/>
      <c r="BG99" s="272">
        <f t="shared" ref="BG99:BG104" si="200">IF(BF99&lt;0,BB99+BF99,BB99)</f>
        <v>0</v>
      </c>
      <c r="BI99" s="200"/>
      <c r="BL99" s="200"/>
      <c r="BP99" s="304" t="s">
        <v>1450</v>
      </c>
      <c r="BQ99" s="305" t="str">
        <f t="shared" si="145"/>
        <v>N</v>
      </c>
      <c r="BR99" s="306" t="s">
        <v>1448</v>
      </c>
      <c r="BT99" s="304" t="str">
        <f t="shared" si="146"/>
        <v>N</v>
      </c>
      <c r="BU99" s="305" t="s">
        <v>1450</v>
      </c>
      <c r="BV99" s="305" t="s">
        <v>1450</v>
      </c>
      <c r="BW99" s="306" t="s">
        <v>1450</v>
      </c>
      <c r="BY99" s="361">
        <f t="shared" si="150"/>
        <v>0.85</v>
      </c>
      <c r="BZ99" s="362">
        <f t="shared" si="151"/>
        <v>0</v>
      </c>
      <c r="CA99" s="362">
        <f t="shared" si="152"/>
        <v>0</v>
      </c>
      <c r="CB99" s="363">
        <f t="shared" si="153"/>
        <v>0.85</v>
      </c>
      <c r="CD99" s="314">
        <f t="shared" si="154"/>
        <v>94</v>
      </c>
    </row>
    <row r="100" spans="1:82" outlineLevel="1" x14ac:dyDescent="0.3">
      <c r="A100" s="1">
        <v>60202000</v>
      </c>
      <c r="B100" s="47">
        <f>VLOOKUP(C100,'NCES ID'!$A$2:$B$3136,2,FALSE)</f>
        <v>402600</v>
      </c>
      <c r="C100" s="47">
        <f>VLOOKUP(A100,'State ID'!$A$2:$B$713,2,FALSE)</f>
        <v>4228</v>
      </c>
      <c r="D100" s="147" t="s">
        <v>136</v>
      </c>
      <c r="E100" s="47" t="s">
        <v>107</v>
      </c>
      <c r="F100" s="382">
        <f>IFERROR(VLOOKUP($B100,'update_Formula counts'!$D$7:$R$234,'update_Formula counts'!F$5,0),0)</f>
        <v>106</v>
      </c>
      <c r="G100" s="382">
        <f>IFERROR(VLOOKUP($B100,'update_Formula counts'!$D$7:$R$234,'update_Formula counts'!G$5,0),0)</f>
        <v>0</v>
      </c>
      <c r="H100" s="382">
        <f>IFERROR(VLOOKUP($B100,'update_Formula counts'!$D$7:$R$234,'update_Formula counts'!H$5,0),0)</f>
        <v>0</v>
      </c>
      <c r="I100" s="382">
        <f>IFERROR(VLOOKUP($B100,'update_Formula counts'!$D$7:$R$234,'update_Formula counts'!I$5,0),0)</f>
        <v>0</v>
      </c>
      <c r="J100" s="382">
        <f>IFERROR(VLOOKUP($B100,'update_Formula counts'!$D$7:$R$234,'update_Formula counts'!J$5,0),0)</f>
        <v>0</v>
      </c>
      <c r="K100" s="382">
        <f>M100-I100</f>
        <v>106</v>
      </c>
      <c r="L100" s="444">
        <f>IFERROR(VLOOKUP($B100,'update_Formula counts'!$D$7:$R$234,'update_Formula counts'!L$5,0),0)</f>
        <v>586</v>
      </c>
      <c r="M100" s="445">
        <f>IFERROR(VLOOKUP($B100,'update_Formula counts'!$D$7:$R$234,'update_Formula counts'!K$5,0),0)</f>
        <v>106</v>
      </c>
      <c r="N100" s="446">
        <f>IFERROR(VLOOKUP($B100,'update_Formula counts'!$D$7:$R$234,'update_Formula counts'!M$5,0),0)</f>
        <v>0.18088737201365188</v>
      </c>
      <c r="O100" s="137">
        <f>VLOOKUP($C100,'Final SEA Counts'!$A$2:$F$709,5,FALSE)</f>
        <v>329</v>
      </c>
      <c r="P100" s="208">
        <f>VLOOKUP($C100,'Final SEA Counts'!$A$2:$F$709,6,FALSE)</f>
        <v>211</v>
      </c>
      <c r="Q100" s="748">
        <f>-F100/($F$106-$F$107)*$S$105+(M100/($M$106-$M$107)*$M$107)</f>
        <v>-0.97434112250428528</v>
      </c>
      <c r="R100" s="444">
        <f>L100-(L100/L$106)*R$105</f>
        <v>582.23056582282356</v>
      </c>
      <c r="S100" s="445">
        <f t="shared" ref="S100:S103" si="201">Q100+K100+I100</f>
        <v>105.02565887749572</v>
      </c>
      <c r="T100" s="229">
        <f>S100/R100</f>
        <v>0.18038499701414798</v>
      </c>
      <c r="U100" s="261">
        <f>VLOOKUP($B100,update_Allocation!$D$8:$Q$235,update_Allocation!K$239,0)</f>
        <v>50126.344633857174</v>
      </c>
      <c r="V100" s="262">
        <f>VLOOKUP($B100,update_Allocation!$D$8:$Q$235,update_Allocation!L$239,0)</f>
        <v>11940.553759790946</v>
      </c>
      <c r="W100" s="262">
        <f>VLOOKUP($B100,update_Allocation!$D$8:$Q$235,update_Allocation!M$239,0)</f>
        <v>16701.515894090891</v>
      </c>
      <c r="X100" s="262">
        <f>VLOOKUP($B100,update_Allocation!$D$8:$Q$235,update_Allocation!N$239,0)</f>
        <v>12549.752572256924</v>
      </c>
      <c r="Y100" s="263">
        <f>VLOOKUP($B100,update_Allocation!$D$8:$Q$235,update_Allocation!O$239,0)</f>
        <v>91318.166859995938</v>
      </c>
      <c r="Z100" s="262">
        <f t="shared" ref="Z100:AC103" si="202">IF(U100=0,"",U100-(U100/U$106)*Z$105)</f>
        <v>49665.588417842184</v>
      </c>
      <c r="AA100" s="262">
        <f t="shared" si="202"/>
        <v>11830.797414945309</v>
      </c>
      <c r="AB100" s="262">
        <f t="shared" si="202"/>
        <v>16547.997273866629</v>
      </c>
      <c r="AC100" s="263">
        <f t="shared" si="202"/>
        <v>12434.396534441794</v>
      </c>
      <c r="AD100" s="262">
        <f t="shared" ref="AD100:AG104" si="203">IF(BT100="Y",Z100,"")</f>
        <v>49665.588417842184</v>
      </c>
      <c r="AE100" s="262">
        <f t="shared" si="203"/>
        <v>11830.797414945309</v>
      </c>
      <c r="AF100" s="262">
        <f t="shared" si="203"/>
        <v>16547.997273866629</v>
      </c>
      <c r="AG100" s="263">
        <f t="shared" si="203"/>
        <v>12434.396534441794</v>
      </c>
      <c r="AH100" s="262">
        <f>IF(AD100="","",AD100+AD$107)</f>
        <v>49983.823826172302</v>
      </c>
      <c r="AI100" s="262">
        <f>IF(AE100="","",AE100+AE$107)</f>
        <v>24278.479276927261</v>
      </c>
      <c r="AJ100" s="262">
        <f>IF(AF100="","",AF100+AF$107)</f>
        <v>16646.053634999993</v>
      </c>
      <c r="AK100" s="262">
        <f>IF(AG100="","",AG100+AG$107)</f>
        <v>12505.561128017558</v>
      </c>
      <c r="AL100" s="263">
        <f t="shared" ref="AL100:AL103" si="204">SUM(AH100:AK100)</f>
        <v>103413.91786611712</v>
      </c>
      <c r="AM100" s="346"/>
      <c r="AN100" s="261">
        <f>IFERROR(VLOOKUP($A100,'HH &amp; SI'!$B$4:$Z$494,'HH &amp; SI'!V$503,0),0)</f>
        <v>49302.012026499498</v>
      </c>
      <c r="AO100" s="262">
        <f>IFERROR(VLOOKUP($A100,'HH &amp; SI'!$B$4:$Z$494,'HH &amp; SI'!W$503,0),0)</f>
        <v>23637.701439843724</v>
      </c>
      <c r="AP100" s="262">
        <f>IFERROR(VLOOKUP($A100,'HH &amp; SI'!$B$4:$Z$494,'HH &amp; SI'!X$503,0),0)</f>
        <v>16494.664276395572</v>
      </c>
      <c r="AQ100" s="262">
        <f>IFERROR(VLOOKUP($A100,'HH &amp; SI'!$B$4:$Z$494,'HH &amp; SI'!Y$503,0),0)</f>
        <v>12367.772355546736</v>
      </c>
      <c r="AR100" s="263">
        <f t="shared" ref="AR100:AR104" si="205">SUM(AN100:AQ100)</f>
        <v>101802.15009828554</v>
      </c>
      <c r="AS100" s="346"/>
      <c r="AT100" s="323">
        <f>IFERROR(VLOOKUP(A100,'Afton FY16 Final'!$A$5:$BV$572,'Afton FY16 Final'!$BV$587,0),0)</f>
        <v>101549.97258703521</v>
      </c>
      <c r="AU100" s="346"/>
      <c r="AV100" s="444">
        <v>0</v>
      </c>
      <c r="AW100" s="262">
        <f>IFERROR(VLOOKUP($A100,'HH &amp; SI'!$B$4:$EY$503,'HH &amp; SI'!EX$503,0),0)</f>
        <v>252.17751125032373</v>
      </c>
      <c r="AX100" s="262">
        <f>IFERROR(VLOOKUP($A100,'HH &amp; SI'!$B$4:$EY$503,'HH &amp; SI'!EY$503,0),0)</f>
        <v>101549.97258703521</v>
      </c>
      <c r="AY100" s="262">
        <f>AX100/$AX$582*'update_State Admin 1004(b)'!$B$30*0.01</f>
        <v>971.90618796032493</v>
      </c>
      <c r="AZ100" s="263">
        <f t="shared" ref="AZ100:AZ103" si="206">AX100-AY100</f>
        <v>100578.06639907489</v>
      </c>
      <c r="BA100" s="261">
        <f t="shared" ref="BA100:BA102" si="207">AZ100*0.01</f>
        <v>1005.7806639907488</v>
      </c>
      <c r="BB100" s="262">
        <f t="shared" ref="BB100:BB102" si="208">AZ100-BA100</f>
        <v>99572.285735084137</v>
      </c>
      <c r="BC100" s="341">
        <f t="shared" si="157"/>
        <v>0.98052498881517602</v>
      </c>
      <c r="BD100" s="346"/>
      <c r="BE100" s="376" t="str">
        <f>'Original Title I &amp; II'!AZ100</f>
        <v/>
      </c>
      <c r="BF100" s="243" t="str">
        <f>IF(BE100&lt;0,BB100*BE100/100,"")</f>
        <v/>
      </c>
      <c r="BG100" s="263">
        <f t="shared" si="200"/>
        <v>99572.285735084137</v>
      </c>
      <c r="BI100" s="31">
        <f>IFERROR(VLOOKUP(A100,'Title II Hold Harmless'!A$1:B$439,2, FALSE),"")</f>
        <v>13276</v>
      </c>
      <c r="BJ100" s="31">
        <f>IFERROR($BI$587*(0.8*($S100/$S$584)+0.2*($R100/$R$584))+$BI100,$BI$587*(0.8*($S100/$S$584)+0.2*($R100/$R$584)))</f>
        <v>15119.458582681575</v>
      </c>
      <c r="BK100" s="31">
        <f>$BI$588*BJ100</f>
        <v>15134.085023831298</v>
      </c>
      <c r="BL100" s="31" t="str">
        <f t="shared" ref="BL100:BL103" si="209">IF(BE100&lt;0,BK100*BE100/100,"")</f>
        <v/>
      </c>
      <c r="BM100" s="31">
        <f t="shared" ref="BM100:BM103" si="210">IF(BL100&lt;0,BK100+BL100,BK100)</f>
        <v>15134.085023831298</v>
      </c>
      <c r="BN100" s="200"/>
      <c r="BP100" s="295" t="s">
        <v>1447</v>
      </c>
      <c r="BQ100" s="296" t="str">
        <f t="shared" si="145"/>
        <v>Y</v>
      </c>
      <c r="BR100" s="297" t="s">
        <v>1448</v>
      </c>
      <c r="BT100" s="295" t="str">
        <f t="shared" si="146"/>
        <v>Y</v>
      </c>
      <c r="BU100" s="296" t="str">
        <f>IF(AND(BT100="Y",(OR(T100&gt;0.15,S100&gt;6500))),"Y","N")</f>
        <v>Y</v>
      </c>
      <c r="BV100" s="296" t="str">
        <f>IF(AND(BT100="Y",T100&gt;=0.05),"Y","N")</f>
        <v>Y</v>
      </c>
      <c r="BW100" s="297" t="str">
        <f t="shared" si="149"/>
        <v>Y</v>
      </c>
      <c r="BY100" s="352">
        <f t="shared" si="150"/>
        <v>0</v>
      </c>
      <c r="BZ100" s="353">
        <f t="shared" si="151"/>
        <v>0.9</v>
      </c>
      <c r="CA100" s="353">
        <f t="shared" si="152"/>
        <v>0</v>
      </c>
      <c r="CB100" s="354">
        <f t="shared" si="153"/>
        <v>0.9</v>
      </c>
      <c r="CD100" s="311">
        <f t="shared" si="154"/>
        <v>95</v>
      </c>
    </row>
    <row r="101" spans="1:82" outlineLevel="1" x14ac:dyDescent="0.3">
      <c r="A101" s="1">
        <v>60345000</v>
      </c>
      <c r="B101" s="47">
        <v>402710</v>
      </c>
      <c r="C101" s="47">
        <v>4232</v>
      </c>
      <c r="D101" s="147" t="s">
        <v>525</v>
      </c>
      <c r="E101" s="47" t="s">
        <v>107</v>
      </c>
      <c r="F101" s="382">
        <f>IFERROR(VLOOKUP($B101,'update_Formula counts'!$D$7:$R$234,'update_Formula counts'!F$5,0),0)</f>
        <v>0</v>
      </c>
      <c r="G101" s="382">
        <f>IFERROR(VLOOKUP($B101,'update_Formula counts'!$D$7:$R$234,'update_Formula counts'!G$5,0),0)</f>
        <v>0</v>
      </c>
      <c r="H101" s="382">
        <f>IFERROR(VLOOKUP($B101,'update_Formula counts'!$D$7:$R$234,'update_Formula counts'!H$5,0),0)</f>
        <v>0</v>
      </c>
      <c r="I101" s="382">
        <f>IFERROR(VLOOKUP($B101,'update_Formula counts'!$D$7:$R$234,'update_Formula counts'!I$5,0),0)</f>
        <v>0</v>
      </c>
      <c r="J101" s="382">
        <f>IFERROR(VLOOKUP($B101,'update_Formula counts'!$D$7:$R$234,'update_Formula counts'!J$5,0),0)</f>
        <v>0</v>
      </c>
      <c r="K101" s="382">
        <f>M101-I101</f>
        <v>0</v>
      </c>
      <c r="L101" s="444">
        <f>IFERROR(VLOOKUP($B101,'update_Formula counts'!$D$7:$R$234,'update_Formula counts'!L$5,0),0)</f>
        <v>2</v>
      </c>
      <c r="M101" s="445">
        <f>IFERROR(VLOOKUP($B101,'update_Formula counts'!$D$7:$R$234,'update_Formula counts'!K$5,0),0)</f>
        <v>0</v>
      </c>
      <c r="N101" s="446">
        <f>IFERROR(VLOOKUP($B101,'update_Formula counts'!$D$7:$R$234,'update_Formula counts'!M$5,0),0)</f>
        <v>0</v>
      </c>
      <c r="O101" s="137"/>
      <c r="P101" s="208"/>
      <c r="Q101" s="748">
        <f>-F101/($F$106-$F$107)*$S$105+(M101/($M$106-$M$107)*$M$107)</f>
        <v>0</v>
      </c>
      <c r="R101" s="444">
        <f>L101-(L101/L$106)*R$105</f>
        <v>1.9871350369379646</v>
      </c>
      <c r="S101" s="445">
        <f t="shared" si="201"/>
        <v>0</v>
      </c>
      <c r="T101" s="229"/>
      <c r="U101" s="261">
        <f>VLOOKUP($B101,update_Allocation!$D$8:$Q$235,update_Allocation!K$239,0)</f>
        <v>0</v>
      </c>
      <c r="V101" s="262">
        <f>VLOOKUP($B101,update_Allocation!$D$8:$Q$235,update_Allocation!L$239,0)</f>
        <v>0</v>
      </c>
      <c r="W101" s="262">
        <f>VLOOKUP($B101,update_Allocation!$D$8:$Q$235,update_Allocation!M$239,0)</f>
        <v>0</v>
      </c>
      <c r="X101" s="262">
        <f>VLOOKUP($B101,update_Allocation!$D$8:$Q$235,update_Allocation!N$239,0)</f>
        <v>0</v>
      </c>
      <c r="Y101" s="263">
        <f>VLOOKUP($B101,update_Allocation!$D$8:$Q$235,update_Allocation!O$239,0)</f>
        <v>0</v>
      </c>
      <c r="Z101" s="262" t="str">
        <f t="shared" si="202"/>
        <v/>
      </c>
      <c r="AA101" s="262" t="str">
        <f t="shared" si="202"/>
        <v/>
      </c>
      <c r="AB101" s="262" t="str">
        <f t="shared" si="202"/>
        <v/>
      </c>
      <c r="AC101" s="263" t="str">
        <f t="shared" si="202"/>
        <v/>
      </c>
      <c r="AD101" s="262" t="str">
        <f t="shared" si="203"/>
        <v/>
      </c>
      <c r="AE101" s="262" t="str">
        <f t="shared" si="203"/>
        <v/>
      </c>
      <c r="AF101" s="262" t="str">
        <f t="shared" si="203"/>
        <v/>
      </c>
      <c r="AG101" s="263" t="str">
        <f t="shared" si="203"/>
        <v/>
      </c>
      <c r="AH101" s="262"/>
      <c r="AI101" s="262"/>
      <c r="AJ101" s="262"/>
      <c r="AK101" s="262"/>
      <c r="AL101" s="263"/>
      <c r="AM101" s="346"/>
      <c r="AN101" s="261">
        <f>IFERROR(VLOOKUP($A101,'HH &amp; SI'!$B$4:$Z$494,'HH &amp; SI'!V$503,0),0)</f>
        <v>0</v>
      </c>
      <c r="AO101" s="262">
        <f>IFERROR(VLOOKUP($A101,'HH &amp; SI'!$B$4:$Z$494,'HH &amp; SI'!W$503,0),0)</f>
        <v>0</v>
      </c>
      <c r="AP101" s="262">
        <f>IFERROR(VLOOKUP($A101,'HH &amp; SI'!$B$4:$Z$494,'HH &amp; SI'!X$503,0),0)</f>
        <v>0</v>
      </c>
      <c r="AQ101" s="262">
        <f>IFERROR(VLOOKUP($A101,'HH &amp; SI'!$B$4:$Z$494,'HH &amp; SI'!Y$503,0),0)</f>
        <v>0</v>
      </c>
      <c r="AR101" s="263">
        <f t="shared" si="205"/>
        <v>0</v>
      </c>
      <c r="AS101" s="346"/>
      <c r="AT101" s="323">
        <f>IFERROR(VLOOKUP(A101,'Afton FY16 Final'!$A$5:$BV$572,'Afton FY16 Final'!$BV$587,0),0)</f>
        <v>0</v>
      </c>
      <c r="AU101" s="346"/>
      <c r="AV101" s="444">
        <v>0</v>
      </c>
      <c r="AW101" s="262">
        <f>IFERROR(VLOOKUP($A101,'HH &amp; SI'!$B$4:$EY$503,'HH &amp; SI'!EX$503,0),0)</f>
        <v>0</v>
      </c>
      <c r="AX101" s="262">
        <f>IFERROR(VLOOKUP($A101,'HH &amp; SI'!$B$4:$EY$503,'HH &amp; SI'!EY$503,0),0)</f>
        <v>0</v>
      </c>
      <c r="AY101" s="262">
        <f>AX101/$AX$582*'update_State Admin 1004(b)'!$B$30*0.01</f>
        <v>0</v>
      </c>
      <c r="AZ101" s="263">
        <f t="shared" si="206"/>
        <v>0</v>
      </c>
      <c r="BA101" s="261">
        <f t="shared" si="207"/>
        <v>0</v>
      </c>
      <c r="BB101" s="262">
        <f t="shared" si="208"/>
        <v>0</v>
      </c>
      <c r="BC101" s="341" t="str">
        <f t="shared" si="157"/>
        <v/>
      </c>
      <c r="BD101" s="346"/>
      <c r="BE101" s="376">
        <f>'Original Title I &amp; II'!AZ101</f>
        <v>0</v>
      </c>
      <c r="BF101" s="243"/>
      <c r="BG101" s="263">
        <f t="shared" si="200"/>
        <v>0</v>
      </c>
      <c r="BJ101" s="31"/>
      <c r="BK101" s="31"/>
      <c r="BM101" s="31"/>
      <c r="BN101" s="200"/>
      <c r="BP101" s="295" t="s">
        <v>1447</v>
      </c>
      <c r="BQ101" s="296" t="str">
        <f t="shared" si="145"/>
        <v>Y</v>
      </c>
      <c r="BR101" s="297" t="s">
        <v>1448</v>
      </c>
      <c r="BT101" s="295" t="str">
        <f t="shared" si="146"/>
        <v>N</v>
      </c>
      <c r="BU101" s="296" t="str">
        <f>IF(AND(BT101="Y",(OR(T101&gt;0.15,S101&gt;6500))),"Y","N")</f>
        <v>N</v>
      </c>
      <c r="BV101" s="296" t="str">
        <f>IF(AND(BT101="Y",T101&gt;=0.05),"Y","N")</f>
        <v>N</v>
      </c>
      <c r="BW101" s="297" t="str">
        <f t="shared" si="149"/>
        <v>N</v>
      </c>
      <c r="BY101" s="352">
        <f t="shared" si="150"/>
        <v>0.85</v>
      </c>
      <c r="BZ101" s="353">
        <f t="shared" si="151"/>
        <v>0</v>
      </c>
      <c r="CA101" s="353">
        <f t="shared" si="152"/>
        <v>0</v>
      </c>
      <c r="CB101" s="354">
        <f t="shared" si="153"/>
        <v>0.85</v>
      </c>
      <c r="CD101" s="311">
        <f t="shared" si="154"/>
        <v>96</v>
      </c>
    </row>
    <row r="102" spans="1:82" outlineLevel="1" x14ac:dyDescent="0.3">
      <c r="A102" s="1">
        <v>60218000</v>
      </c>
      <c r="B102" s="47">
        <f>VLOOKUP(C102,'NCES ID'!$A$2:$B$3136,2,FALSE)</f>
        <v>405320</v>
      </c>
      <c r="C102" s="47">
        <f>VLOOKUP(A102,'State ID'!$A$2:$B$713,2,FALSE)</f>
        <v>4230</v>
      </c>
      <c r="D102" s="147" t="s">
        <v>295</v>
      </c>
      <c r="E102" s="47" t="s">
        <v>107</v>
      </c>
      <c r="F102" s="382">
        <f>IFERROR(VLOOKUP($B102,'update_Formula counts'!$D$7:$R$234,'update_Formula counts'!F$5,0),0)</f>
        <v>57</v>
      </c>
      <c r="G102" s="382">
        <f>IFERROR(VLOOKUP($B102,'update_Formula counts'!$D$7:$R$234,'update_Formula counts'!G$5,0),0)</f>
        <v>0</v>
      </c>
      <c r="H102" s="382">
        <f>IFERROR(VLOOKUP($B102,'update_Formula counts'!$D$7:$R$234,'update_Formula counts'!H$5,0),0)</f>
        <v>0</v>
      </c>
      <c r="I102" s="382">
        <f>IFERROR(VLOOKUP($B102,'update_Formula counts'!$D$7:$R$234,'update_Formula counts'!I$5,0),0)</f>
        <v>0</v>
      </c>
      <c r="J102" s="382">
        <f>IFERROR(VLOOKUP($B102,'update_Formula counts'!$D$7:$R$234,'update_Formula counts'!J$5,0),0)</f>
        <v>0</v>
      </c>
      <c r="K102" s="382">
        <f>M102-I102</f>
        <v>57</v>
      </c>
      <c r="L102" s="444">
        <f>IFERROR(VLOOKUP($B102,'update_Formula counts'!$D$7:$R$234,'update_Formula counts'!L$5,0),0)</f>
        <v>789</v>
      </c>
      <c r="M102" s="445">
        <f>IFERROR(VLOOKUP($B102,'update_Formula counts'!$D$7:$R$234,'update_Formula counts'!K$5,0),0)</f>
        <v>57</v>
      </c>
      <c r="N102" s="446">
        <f>IFERROR(VLOOKUP($B102,'update_Formula counts'!$D$7:$R$234,'update_Formula counts'!M$5,0),0)</f>
        <v>7.2243346007604556E-2</v>
      </c>
      <c r="O102" s="137">
        <f>VLOOKUP($C102,'Final SEA Counts'!$A$2:$F$709,5,FALSE)</f>
        <v>1387</v>
      </c>
      <c r="P102" s="208">
        <f>VLOOKUP($C102,'Final SEA Counts'!$A$2:$F$709,6,FALSE)</f>
        <v>512</v>
      </c>
      <c r="Q102" s="748">
        <f>-F102/($F$106-$F$107)*$S$105+(M102/($M$106-$M$107)*$M$107)</f>
        <v>-0.52393815078060635</v>
      </c>
      <c r="R102" s="444">
        <f>L102-(L102/L$106)*R$105</f>
        <v>783.92477207202705</v>
      </c>
      <c r="S102" s="445">
        <f t="shared" si="201"/>
        <v>56.476061849219391</v>
      </c>
      <c r="T102" s="229">
        <f>S102/R102</f>
        <v>7.2042705960094808E-2</v>
      </c>
      <c r="U102" s="261">
        <f>VLOOKUP($B102,update_Allocation!$D$8:$Q$235,update_Allocation!K$239,0)</f>
        <v>30186.278402475578</v>
      </c>
      <c r="V102" s="262">
        <f>VLOOKUP($B102,update_Allocation!$D$8:$Q$235,update_Allocation!L$239,0)</f>
        <v>6898.8400379449413</v>
      </c>
      <c r="W102" s="262">
        <f>VLOOKUP($B102,update_Allocation!$D$8:$Q$235,update_Allocation!M$239,0)</f>
        <v>8390.425544143869</v>
      </c>
      <c r="X102" s="262">
        <f>VLOOKUP($B102,update_Allocation!$D$8:$Q$235,update_Allocation!N$239,0)</f>
        <v>6369.5448944853815</v>
      </c>
      <c r="Y102" s="263">
        <f>VLOOKUP($B102,update_Allocation!$D$8:$Q$235,update_Allocation!O$239,0)</f>
        <v>51845.08887904977</v>
      </c>
      <c r="Z102" s="262">
        <f t="shared" si="202"/>
        <v>29908.80922905204</v>
      </c>
      <c r="AA102" s="262">
        <f t="shared" si="202"/>
        <v>6835.4266082605191</v>
      </c>
      <c r="AB102" s="262">
        <f t="shared" si="202"/>
        <v>8313.3016135498146</v>
      </c>
      <c r="AC102" s="263">
        <f t="shared" si="202"/>
        <v>6310.9966914444913</v>
      </c>
      <c r="AD102" s="262">
        <f t="shared" si="203"/>
        <v>29908.80922905204</v>
      </c>
      <c r="AE102" s="262" t="str">
        <f t="shared" si="203"/>
        <v/>
      </c>
      <c r="AF102" s="262">
        <f t="shared" si="203"/>
        <v>8313.3016135498146</v>
      </c>
      <c r="AG102" s="263">
        <f t="shared" si="203"/>
        <v>6310.9966914444913</v>
      </c>
      <c r="AH102" s="262">
        <f t="shared" ref="AH102:AK104" si="211">IF(AD102="","",AD102+AD$107)</f>
        <v>30227.044637382158</v>
      </c>
      <c r="AI102" s="262" t="str">
        <f t="shared" si="211"/>
        <v/>
      </c>
      <c r="AJ102" s="262">
        <f t="shared" si="211"/>
        <v>8411.3579746831783</v>
      </c>
      <c r="AK102" s="262">
        <f t="shared" si="211"/>
        <v>6382.1612850202564</v>
      </c>
      <c r="AL102" s="263">
        <f t="shared" si="204"/>
        <v>45020.563897085594</v>
      </c>
      <c r="AM102" s="346"/>
      <c r="AN102" s="261">
        <f>IFERROR(VLOOKUP($A102,'HH &amp; SI'!$B$4:$Z$494,'HH &amp; SI'!V$503,0),0)</f>
        <v>29849.291519326795</v>
      </c>
      <c r="AO102" s="262">
        <f>IFERROR(VLOOKUP($A102,'HH &amp; SI'!$B$4:$Z$494,'HH &amp; SI'!W$503,0),0)</f>
        <v>9338.8926839091109</v>
      </c>
      <c r="AP102" s="262">
        <f>IFERROR(VLOOKUP($A102,'HH &amp; SI'!$B$4:$Z$494,'HH &amp; SI'!X$503,0),0)</f>
        <v>8388.0818333289044</v>
      </c>
      <c r="AQ102" s="262">
        <f>IFERROR(VLOOKUP($A102,'HH &amp; SI'!$B$4:$Z$494,'HH &amp; SI'!Y$503,0),0)</f>
        <v>6321.8702061805016</v>
      </c>
      <c r="AR102" s="263">
        <f t="shared" si="205"/>
        <v>53898.136242745313</v>
      </c>
      <c r="AS102" s="346"/>
      <c r="AT102" s="323">
        <f>IFERROR(VLOOKUP(A102,'Afton FY16 Final'!$A$5:$BV$572,'Afton FY16 Final'!$BV$587,0),0)</f>
        <v>62161.037587119601</v>
      </c>
      <c r="AU102" s="346"/>
      <c r="AV102" s="444">
        <v>0</v>
      </c>
      <c r="AW102" s="262">
        <f>IFERROR(VLOOKUP($A102,'HH &amp; SI'!$B$4:$EY$503,'HH &amp; SI'!EX$503,0),0)</f>
        <v>0</v>
      </c>
      <c r="AX102" s="262">
        <f>IFERROR(VLOOKUP($A102,'HH &amp; SI'!$B$4:$EY$503,'HH &amp; SI'!EY$503,0),0)</f>
        <v>53898.136242745313</v>
      </c>
      <c r="AY102" s="262">
        <f>AX102/$AX$582*'update_State Admin 1004(b)'!$B$30*0.01</f>
        <v>515.84388256684417</v>
      </c>
      <c r="AZ102" s="263">
        <f t="shared" si="206"/>
        <v>53382.292360178471</v>
      </c>
      <c r="BA102" s="261">
        <f t="shared" si="207"/>
        <v>533.82292360178474</v>
      </c>
      <c r="BB102" s="262">
        <f t="shared" si="208"/>
        <v>52848.469436576685</v>
      </c>
      <c r="BC102" s="341">
        <f t="shared" si="157"/>
        <v>0.85018641078036683</v>
      </c>
      <c r="BD102" s="346"/>
      <c r="BE102" s="376" t="str">
        <f>'Original Title I &amp; II'!AZ102</f>
        <v/>
      </c>
      <c r="BF102" s="243" t="str">
        <f>IF(BE102&lt;0,BB102*BE102/100,"")</f>
        <v/>
      </c>
      <c r="BG102" s="263">
        <f t="shared" si="200"/>
        <v>52848.469436576685</v>
      </c>
      <c r="BI102" s="31">
        <f>IFERROR(VLOOKUP(A102,'Title II Hold Harmless'!A$1:B$439,2, FALSE),"")</f>
        <v>13813</v>
      </c>
      <c r="BJ102" s="31">
        <f>IFERROR($BI$587*(0.8*($S102/$S$584)+0.2*($R102/$R$584))+$BI102,$BI$587*(0.8*($S102/$S$584)+0.2*($R102/$R$584)))</f>
        <v>15183.224464406961</v>
      </c>
      <c r="BK102" s="31">
        <f>$BI$588*BJ102</f>
        <v>15197.912592151566</v>
      </c>
      <c r="BL102" s="31" t="str">
        <f t="shared" si="209"/>
        <v/>
      </c>
      <c r="BM102" s="31">
        <f t="shared" si="210"/>
        <v>15197.912592151566</v>
      </c>
      <c r="BN102" s="200"/>
      <c r="BP102" s="295" t="s">
        <v>1447</v>
      </c>
      <c r="BQ102" s="296" t="str">
        <f t="shared" si="145"/>
        <v>Y</v>
      </c>
      <c r="BR102" s="297" t="s">
        <v>1448</v>
      </c>
      <c r="BT102" s="295" t="str">
        <f t="shared" si="146"/>
        <v>Y</v>
      </c>
      <c r="BU102" s="296" t="str">
        <f>IF(AND(BT102="Y",(OR(T102&gt;0.15,S102&gt;6500))),"Y","N")</f>
        <v>N</v>
      </c>
      <c r="BV102" s="296" t="str">
        <f>IF(AND(BT102="Y",T102&gt;=0.05),"Y","N")</f>
        <v>Y</v>
      </c>
      <c r="BW102" s="297" t="str">
        <f t="shared" si="149"/>
        <v>Y</v>
      </c>
      <c r="BY102" s="352">
        <f t="shared" si="150"/>
        <v>0.85</v>
      </c>
      <c r="BZ102" s="353">
        <f t="shared" si="151"/>
        <v>0</v>
      </c>
      <c r="CA102" s="353">
        <f t="shared" si="152"/>
        <v>0</v>
      </c>
      <c r="CB102" s="354">
        <f t="shared" si="153"/>
        <v>0.85</v>
      </c>
      <c r="CD102" s="311">
        <f t="shared" si="154"/>
        <v>97</v>
      </c>
    </row>
    <row r="103" spans="1:82" outlineLevel="1" x14ac:dyDescent="0.3">
      <c r="A103" s="1">
        <v>60203000</v>
      </c>
      <c r="B103" s="47">
        <v>402110</v>
      </c>
      <c r="C103" s="47">
        <v>4229</v>
      </c>
      <c r="D103" s="147" t="s">
        <v>532</v>
      </c>
      <c r="E103" s="47" t="s">
        <v>107</v>
      </c>
      <c r="F103" s="382">
        <f>IFERROR(VLOOKUP($B103,'update_Formula counts'!$D$7:$R$234,'update_Formula counts'!F$5,0),0)</f>
        <v>32</v>
      </c>
      <c r="G103" s="382">
        <f>IFERROR(VLOOKUP($B103,'update_Formula counts'!$D$7:$R$234,'update_Formula counts'!G$5,0),0)</f>
        <v>0</v>
      </c>
      <c r="H103" s="382">
        <f>IFERROR(VLOOKUP($B103,'update_Formula counts'!$D$7:$R$234,'update_Formula counts'!H$5,0),0)</f>
        <v>0</v>
      </c>
      <c r="I103" s="382">
        <f>IFERROR(VLOOKUP($B103,'update_Formula counts'!$D$7:$R$234,'update_Formula counts'!I$5,0),0)</f>
        <v>0</v>
      </c>
      <c r="J103" s="382">
        <f>IFERROR(VLOOKUP($B103,'update_Formula counts'!$D$7:$R$234,'update_Formula counts'!J$5,0),0)</f>
        <v>0</v>
      </c>
      <c r="K103" s="382">
        <f>M103-I103</f>
        <v>32</v>
      </c>
      <c r="L103" s="444">
        <f>IFERROR(VLOOKUP($B103,'update_Formula counts'!$D$7:$R$234,'update_Formula counts'!L$5,0),0)</f>
        <v>616</v>
      </c>
      <c r="M103" s="445">
        <f>IFERROR(VLOOKUP($B103,'update_Formula counts'!$D$7:$R$234,'update_Formula counts'!K$5,0),0)</f>
        <v>32</v>
      </c>
      <c r="N103" s="446">
        <f>IFERROR(VLOOKUP($B103,'update_Formula counts'!$D$7:$R$234,'update_Formula counts'!M$5,0),0)</f>
        <v>5.1948051948051951E-2</v>
      </c>
      <c r="O103" s="137"/>
      <c r="P103" s="208"/>
      <c r="Q103" s="748">
        <f>-F103/($F$106-$F$107)*$S$105+(M103/($M$106-$M$107)*$M$107)</f>
        <v>-0.29414071622770882</v>
      </c>
      <c r="R103" s="444">
        <f>L103-(L103/L$106)*R$105</f>
        <v>612.03759137689303</v>
      </c>
      <c r="S103" s="445">
        <f t="shared" si="201"/>
        <v>31.705859283772291</v>
      </c>
      <c r="T103" s="229">
        <f>S103/R103</f>
        <v>5.1803777628174813E-2</v>
      </c>
      <c r="U103" s="261">
        <f>VLOOKUP($B103,update_Allocation!$D$8:$Q$235,update_Allocation!K$239,0)</f>
        <v>23551.267660256708</v>
      </c>
      <c r="V103" s="262">
        <f>VLOOKUP($B103,update_Allocation!$D$8:$Q$235,update_Allocation!L$239,0)</f>
        <v>5439.0854791913744</v>
      </c>
      <c r="W103" s="262">
        <f>VLOOKUP($B103,update_Allocation!$D$8:$Q$235,update_Allocation!M$239,0)</f>
        <v>6911.144668061288</v>
      </c>
      <c r="X103" s="262">
        <f>VLOOKUP($B103,update_Allocation!$D$8:$Q$235,update_Allocation!N$239,0)</f>
        <v>4307.0041173763811</v>
      </c>
      <c r="Y103" s="263">
        <f>VLOOKUP($B103,update_Allocation!$D$8:$Q$235,update_Allocation!O$239,0)</f>
        <v>40208.50192488575</v>
      </c>
      <c r="Z103" s="262">
        <f t="shared" si="202"/>
        <v>23334.786824704883</v>
      </c>
      <c r="AA103" s="262">
        <f t="shared" si="202"/>
        <v>5389.0899636140903</v>
      </c>
      <c r="AB103" s="262">
        <f t="shared" si="202"/>
        <v>6847.6181354795108</v>
      </c>
      <c r="AC103" s="263">
        <f t="shared" si="202"/>
        <v>4267.4145775051065</v>
      </c>
      <c r="AD103" s="262">
        <f t="shared" si="203"/>
        <v>23334.786824704883</v>
      </c>
      <c r="AE103" s="262" t="str">
        <f t="shared" si="203"/>
        <v/>
      </c>
      <c r="AF103" s="262">
        <f t="shared" si="203"/>
        <v>6847.6181354795108</v>
      </c>
      <c r="AG103" s="263">
        <f t="shared" si="203"/>
        <v>4267.4145775051065</v>
      </c>
      <c r="AH103" s="262">
        <f t="shared" si="211"/>
        <v>23653.022233035001</v>
      </c>
      <c r="AI103" s="262" t="str">
        <f t="shared" si="211"/>
        <v/>
      </c>
      <c r="AJ103" s="262">
        <f t="shared" si="211"/>
        <v>6945.6744966128745</v>
      </c>
      <c r="AK103" s="262">
        <f t="shared" si="211"/>
        <v>4338.5791710808717</v>
      </c>
      <c r="AL103" s="263">
        <f t="shared" si="204"/>
        <v>34937.275900728746</v>
      </c>
      <c r="AM103" s="346"/>
      <c r="AN103" s="261">
        <f>IFERROR(VLOOKUP($A103,'HH &amp; SI'!$B$4:$Z$494,'HH &amp; SI'!V$503,0),0)</f>
        <v>23526.460705280933</v>
      </c>
      <c r="AO103" s="262">
        <f>IFERROR(VLOOKUP($A103,'HH &amp; SI'!$B$4:$Z$494,'HH &amp; SI'!W$503,0),0)</f>
        <v>5437.5393744576459</v>
      </c>
      <c r="AP103" s="262">
        <f>IFERROR(VLOOKUP($A103,'HH &amp; SI'!$B$4:$Z$494,'HH &amp; SI'!X$503,0),0)</f>
        <v>6896.8121501584537</v>
      </c>
      <c r="AQ103" s="262">
        <f>IFERROR(VLOOKUP($A103,'HH &amp; SI'!$B$4:$Z$494,'HH &amp; SI'!Y$503,0),0)</f>
        <v>4311.7270160240978</v>
      </c>
      <c r="AR103" s="263">
        <f t="shared" si="205"/>
        <v>40172.539245921129</v>
      </c>
      <c r="AS103" s="346"/>
      <c r="AT103" s="323">
        <f>IFERROR(VLOOKUP(A103,'Afton FY16 Final'!$A$5:$BV$572,'Afton FY16 Final'!$BV$587,0),0)</f>
        <v>46331.225829202202</v>
      </c>
      <c r="AU103" s="346"/>
      <c r="AV103" s="444">
        <v>0</v>
      </c>
      <c r="AW103" s="262">
        <f>IFERROR(VLOOKUP($A103,'HH &amp; SI'!$B$4:$EY$503,'HH &amp; SI'!EX$503,0),0)</f>
        <v>0</v>
      </c>
      <c r="AX103" s="262">
        <f>IFERROR(VLOOKUP($A103,'HH &amp; SI'!$B$4:$EY$503,'HH &amp; SI'!EY$503,0),0)</f>
        <v>40172.539245921129</v>
      </c>
      <c r="AY103" s="262">
        <f>AX103/$AX$582*'update_State Admin 1004(b)'!$B$30*0.01</f>
        <v>384.48005927058671</v>
      </c>
      <c r="AZ103" s="263">
        <f t="shared" si="206"/>
        <v>39788.059186650542</v>
      </c>
      <c r="BA103" s="261">
        <f>AZ103*0.01</f>
        <v>397.88059186650543</v>
      </c>
      <c r="BB103" s="262">
        <f>AZ103-BA103</f>
        <v>39390.17859478404</v>
      </c>
      <c r="BC103" s="341">
        <f t="shared" si="157"/>
        <v>0.85018641078036672</v>
      </c>
      <c r="BD103" s="346"/>
      <c r="BE103" s="376" t="str">
        <f>'Original Title I &amp; II'!AZ103</f>
        <v/>
      </c>
      <c r="BF103" s="243" t="str">
        <f>IF(BE103&lt;0,BB103*BE103/100,"")</f>
        <v/>
      </c>
      <c r="BG103" s="263">
        <f t="shared" si="200"/>
        <v>39390.17859478404</v>
      </c>
      <c r="BJ103" s="31"/>
      <c r="BK103" s="31">
        <f>$BI$588*BJ103</f>
        <v>0</v>
      </c>
      <c r="BL103" s="31" t="str">
        <f t="shared" si="209"/>
        <v/>
      </c>
      <c r="BM103" s="31">
        <f t="shared" si="210"/>
        <v>0</v>
      </c>
      <c r="BN103" s="200"/>
      <c r="BP103" s="295" t="s">
        <v>1447</v>
      </c>
      <c r="BQ103" s="296" t="str">
        <f t="shared" si="145"/>
        <v>Y</v>
      </c>
      <c r="BR103" s="297" t="s">
        <v>1448</v>
      </c>
      <c r="BT103" s="295" t="str">
        <f t="shared" si="146"/>
        <v>Y</v>
      </c>
      <c r="BU103" s="296" t="str">
        <f>IF(AND(BT103="Y",(OR(T103&gt;0.15,S103&gt;6500))),"Y","N")</f>
        <v>N</v>
      </c>
      <c r="BV103" s="296" t="str">
        <f>IF(AND(BT103="Y",T103&gt;=0.05),"Y","N")</f>
        <v>Y</v>
      </c>
      <c r="BW103" s="297" t="str">
        <f t="shared" si="149"/>
        <v>Y</v>
      </c>
      <c r="BY103" s="352">
        <f t="shared" si="150"/>
        <v>0.85</v>
      </c>
      <c r="BZ103" s="353">
        <f t="shared" si="151"/>
        <v>0</v>
      </c>
      <c r="CA103" s="353">
        <f t="shared" si="152"/>
        <v>0</v>
      </c>
      <c r="CB103" s="354">
        <f t="shared" si="153"/>
        <v>0.85</v>
      </c>
      <c r="CD103" s="311">
        <f t="shared" si="154"/>
        <v>98</v>
      </c>
    </row>
    <row r="104" spans="1:82" s="48" customFormat="1" outlineLevel="1" x14ac:dyDescent="0.3">
      <c r="A104" s="202"/>
      <c r="D104" s="48" t="s">
        <v>1411</v>
      </c>
      <c r="E104" s="48" t="s">
        <v>107</v>
      </c>
      <c r="F104" s="755"/>
      <c r="G104" s="755"/>
      <c r="H104" s="755"/>
      <c r="I104" s="755"/>
      <c r="J104" s="755"/>
      <c r="K104" s="755"/>
      <c r="L104" s="454"/>
      <c r="M104" s="455"/>
      <c r="N104" s="456"/>
      <c r="O104" s="211">
        <f>'AVA Metrics'!C7</f>
        <v>12.819935691318328</v>
      </c>
      <c r="P104" s="212">
        <f>'AVA Metrics'!D7</f>
        <v>6.707395498392283</v>
      </c>
      <c r="Q104" s="749"/>
      <c r="R104" s="454">
        <f>O104</f>
        <v>12.819935691318328</v>
      </c>
      <c r="S104" s="455">
        <f>P104*$B$106</f>
        <v>1.7924199895126005</v>
      </c>
      <c r="T104" s="230">
        <f>S104/R104</f>
        <v>0.1398150531072031</v>
      </c>
      <c r="U104" s="264"/>
      <c r="V104" s="265"/>
      <c r="W104" s="265"/>
      <c r="X104" s="265"/>
      <c r="Y104" s="266"/>
      <c r="Z104" s="265">
        <f>$S104*U$107</f>
        <v>954.70622499035244</v>
      </c>
      <c r="AA104" s="265">
        <f>$S104*V$107</f>
        <v>223.16529010734277</v>
      </c>
      <c r="AB104" s="265">
        <f>$S104*W$107</f>
        <v>294.16908340009229</v>
      </c>
      <c r="AC104" s="266">
        <f>$S104*X$107</f>
        <v>213.4937807272949</v>
      </c>
      <c r="AD104" s="265" t="str">
        <f t="shared" si="203"/>
        <v/>
      </c>
      <c r="AE104" s="265" t="str">
        <f t="shared" si="203"/>
        <v/>
      </c>
      <c r="AF104" s="265" t="str">
        <f t="shared" si="203"/>
        <v/>
      </c>
      <c r="AG104" s="266" t="str">
        <f t="shared" si="203"/>
        <v/>
      </c>
      <c r="AH104" s="265" t="str">
        <f t="shared" si="211"/>
        <v/>
      </c>
      <c r="AI104" s="265" t="str">
        <f t="shared" si="211"/>
        <v/>
      </c>
      <c r="AJ104" s="265" t="str">
        <f t="shared" si="211"/>
        <v/>
      </c>
      <c r="AK104" s="265" t="str">
        <f t="shared" si="211"/>
        <v/>
      </c>
      <c r="AL104" s="266">
        <f t="shared" ref="AL104" si="212">SUM(AH104:AK104)</f>
        <v>0</v>
      </c>
      <c r="AM104" s="347"/>
      <c r="AN104" s="264">
        <f>IFERROR(VLOOKUP($A104,'HH &amp; SI'!$B$4:$Z$494,'HH &amp; SI'!V$503,0),0)</f>
        <v>0</v>
      </c>
      <c r="AO104" s="265">
        <f>IFERROR(VLOOKUP($A104,'HH &amp; SI'!$B$4:$Z$494,'HH &amp; SI'!W$503,0),0)</f>
        <v>0</v>
      </c>
      <c r="AP104" s="265">
        <f>IFERROR(VLOOKUP($A104,'HH &amp; SI'!$B$4:$Z$494,'HH &amp; SI'!X$503,0),0)</f>
        <v>0</v>
      </c>
      <c r="AQ104" s="265">
        <f>IFERROR(VLOOKUP($A104,'HH &amp; SI'!$B$4:$Z$494,'HH &amp; SI'!Y$503,0),0)</f>
        <v>0</v>
      </c>
      <c r="AR104" s="266">
        <f t="shared" si="205"/>
        <v>0</v>
      </c>
      <c r="AS104" s="347"/>
      <c r="AT104" s="324">
        <f>IFERROR(VLOOKUP(A104,'Afton FY16 Final'!$A$5:$BV$572,'Afton FY16 Final'!$BV$587,0),0)</f>
        <v>0</v>
      </c>
      <c r="AU104" s="347"/>
      <c r="AV104" s="454">
        <v>0</v>
      </c>
      <c r="AW104" s="265">
        <f>IFERROR(VLOOKUP($A104,'HH &amp; SI'!$B$4:$EY$503,'HH &amp; SI'!EX$503,0),0)</f>
        <v>0</v>
      </c>
      <c r="AX104" s="265">
        <f>IFERROR(VLOOKUP($A104,'HH &amp; SI'!$B$4:$EY$503,'HH &amp; SI'!EY$503,0),0)</f>
        <v>0</v>
      </c>
      <c r="AY104" s="265"/>
      <c r="AZ104" s="266"/>
      <c r="BA104" s="264"/>
      <c r="BB104" s="265"/>
      <c r="BC104" s="342" t="str">
        <f t="shared" si="157"/>
        <v/>
      </c>
      <c r="BD104" s="347"/>
      <c r="BE104" s="377">
        <f>'Original Title I &amp; II'!AZ104</f>
        <v>0</v>
      </c>
      <c r="BF104" s="244"/>
      <c r="BG104" s="266">
        <f t="shared" si="200"/>
        <v>0</v>
      </c>
      <c r="BI104" s="203"/>
      <c r="BJ104" s="203"/>
      <c r="BK104" s="203"/>
      <c r="BL104" s="203"/>
      <c r="BM104" s="203"/>
      <c r="BN104" s="200"/>
      <c r="BP104" s="298" t="s">
        <v>1448</v>
      </c>
      <c r="BQ104" s="299" t="str">
        <f t="shared" si="145"/>
        <v>Y</v>
      </c>
      <c r="BR104" s="300" t="s">
        <v>1448</v>
      </c>
      <c r="BT104" s="298" t="str">
        <f t="shared" si="146"/>
        <v>N</v>
      </c>
      <c r="BU104" s="299" t="str">
        <f>IF(AND(BT104="Y",(OR(T104&gt;0.15,S104&gt;6500))),"Y","N")</f>
        <v>N</v>
      </c>
      <c r="BV104" s="299" t="str">
        <f>IF(AND(BT104="Y",T104&gt;=0.05),"Y","N")</f>
        <v>N</v>
      </c>
      <c r="BW104" s="300" t="str">
        <f t="shared" si="149"/>
        <v>N</v>
      </c>
      <c r="BY104" s="355">
        <f t="shared" si="150"/>
        <v>0.85</v>
      </c>
      <c r="BZ104" s="356">
        <f t="shared" si="151"/>
        <v>0</v>
      </c>
      <c r="CA104" s="356">
        <f t="shared" si="152"/>
        <v>0</v>
      </c>
      <c r="CB104" s="357">
        <f t="shared" si="153"/>
        <v>0.85</v>
      </c>
      <c r="CD104" s="312">
        <f t="shared" si="154"/>
        <v>99</v>
      </c>
    </row>
    <row r="105" spans="1:82" s="197" customFormat="1" outlineLevel="1" x14ac:dyDescent="0.3">
      <c r="A105" s="196"/>
      <c r="D105" s="197" t="s">
        <v>878</v>
      </c>
      <c r="F105" s="756"/>
      <c r="G105" s="756"/>
      <c r="H105" s="756"/>
      <c r="I105" s="756"/>
      <c r="J105" s="756"/>
      <c r="K105" s="756"/>
      <c r="L105" s="757"/>
      <c r="M105" s="758"/>
      <c r="N105" s="768"/>
      <c r="O105" s="214"/>
      <c r="P105" s="216"/>
      <c r="Q105" s="750"/>
      <c r="R105" s="757">
        <f>SUM(R104)</f>
        <v>12.819935691318328</v>
      </c>
      <c r="S105" s="758">
        <f>SUM(S104)</f>
        <v>1.7924199895126005</v>
      </c>
      <c r="T105" s="231"/>
      <c r="U105" s="267"/>
      <c r="V105" s="268"/>
      <c r="W105" s="268"/>
      <c r="X105" s="268"/>
      <c r="Y105" s="269"/>
      <c r="Z105" s="268">
        <f>SUM(Z104)</f>
        <v>954.70622499035244</v>
      </c>
      <c r="AA105" s="268">
        <f t="shared" ref="AA105:AC105" si="213">SUM(AA104)</f>
        <v>223.16529010734277</v>
      </c>
      <c r="AB105" s="268">
        <f t="shared" si="213"/>
        <v>294.16908340009229</v>
      </c>
      <c r="AC105" s="269">
        <f t="shared" si="213"/>
        <v>213.4937807272949</v>
      </c>
      <c r="AD105" s="268"/>
      <c r="AE105" s="268"/>
      <c r="AF105" s="268"/>
      <c r="AG105" s="269"/>
      <c r="AH105" s="268"/>
      <c r="AI105" s="268"/>
      <c r="AJ105" s="268"/>
      <c r="AK105" s="268"/>
      <c r="AL105" s="269"/>
      <c r="AM105" s="348"/>
      <c r="AN105" s="267"/>
      <c r="AO105" s="268"/>
      <c r="AP105" s="268"/>
      <c r="AQ105" s="268"/>
      <c r="AR105" s="269"/>
      <c r="AS105" s="348"/>
      <c r="AT105" s="325"/>
      <c r="AU105" s="348"/>
      <c r="AV105" s="757"/>
      <c r="AW105" s="268"/>
      <c r="AX105" s="268"/>
      <c r="AY105" s="268"/>
      <c r="AZ105" s="269"/>
      <c r="BA105" s="267"/>
      <c r="BB105" s="268"/>
      <c r="BC105" s="343" t="str">
        <f t="shared" si="157"/>
        <v/>
      </c>
      <c r="BD105" s="348"/>
      <c r="BE105" s="371"/>
      <c r="BF105" s="369"/>
      <c r="BG105" s="269"/>
      <c r="BI105" s="198"/>
      <c r="BJ105" s="198"/>
      <c r="BL105" s="198"/>
      <c r="BN105" s="199"/>
      <c r="BP105" s="301" t="s">
        <v>1450</v>
      </c>
      <c r="BQ105" s="302" t="str">
        <f t="shared" si="145"/>
        <v>N</v>
      </c>
      <c r="BR105" s="303" t="s">
        <v>1448</v>
      </c>
      <c r="BT105" s="301" t="str">
        <f t="shared" si="146"/>
        <v>N</v>
      </c>
      <c r="BU105" s="302" t="s">
        <v>1450</v>
      </c>
      <c r="BV105" s="302" t="s">
        <v>1450</v>
      </c>
      <c r="BW105" s="303" t="s">
        <v>1450</v>
      </c>
      <c r="BY105" s="358">
        <f t="shared" si="150"/>
        <v>0.85</v>
      </c>
      <c r="BZ105" s="359">
        <f t="shared" si="151"/>
        <v>0</v>
      </c>
      <c r="CA105" s="359">
        <f t="shared" si="152"/>
        <v>0</v>
      </c>
      <c r="CB105" s="360">
        <f t="shared" si="153"/>
        <v>0.85</v>
      </c>
      <c r="CD105" s="313">
        <f t="shared" si="154"/>
        <v>100</v>
      </c>
    </row>
    <row r="106" spans="1:82" s="197" customFormat="1" outlineLevel="1" x14ac:dyDescent="0.3">
      <c r="A106" s="196" t="s">
        <v>880</v>
      </c>
      <c r="B106" s="197">
        <f>M106/P106</f>
        <v>0.2672304011210061</v>
      </c>
      <c r="D106" s="197" t="s">
        <v>879</v>
      </c>
      <c r="E106" s="197">
        <f t="shared" ref="E106:K106" si="214">SUM(E100:E104)</f>
        <v>0</v>
      </c>
      <c r="F106" s="756">
        <f t="shared" si="214"/>
        <v>195</v>
      </c>
      <c r="G106" s="756">
        <f t="shared" si="214"/>
        <v>0</v>
      </c>
      <c r="H106" s="756">
        <f t="shared" si="214"/>
        <v>0</v>
      </c>
      <c r="I106" s="756">
        <f t="shared" si="214"/>
        <v>0</v>
      </c>
      <c r="J106" s="756">
        <f t="shared" si="214"/>
        <v>0</v>
      </c>
      <c r="K106" s="756">
        <f t="shared" si="214"/>
        <v>195</v>
      </c>
      <c r="L106" s="757">
        <f>SUM(L100:L104)</f>
        <v>1993</v>
      </c>
      <c r="M106" s="758">
        <f>SUM(M100:M104)</f>
        <v>195</v>
      </c>
      <c r="N106" s="768"/>
      <c r="O106" s="217">
        <f>SUM(O100:O104)</f>
        <v>1728.8199356913183</v>
      </c>
      <c r="P106" s="218">
        <f>SUM(P100:P104)</f>
        <v>729.70739549839232</v>
      </c>
      <c r="Q106" s="750"/>
      <c r="R106" s="757">
        <f>SUM(R100:R104)</f>
        <v>1993</v>
      </c>
      <c r="S106" s="758">
        <f>SUM(S100:S104)</f>
        <v>195.00000000000003</v>
      </c>
      <c r="T106" s="231"/>
      <c r="U106" s="267">
        <f>SUM(U100:U104)</f>
        <v>103863.89069658946</v>
      </c>
      <c r="V106" s="268">
        <f t="shared" ref="V106:AL106" si="215">SUM(V100:V104)</f>
        <v>24278.479276927261</v>
      </c>
      <c r="W106" s="268">
        <f t="shared" si="215"/>
        <v>32003.086106296047</v>
      </c>
      <c r="X106" s="268">
        <f t="shared" si="215"/>
        <v>23226.301584118686</v>
      </c>
      <c r="Y106" s="269">
        <f t="shared" si="215"/>
        <v>183371.75766393146</v>
      </c>
      <c r="Z106" s="268">
        <f t="shared" si="215"/>
        <v>103863.89069658947</v>
      </c>
      <c r="AA106" s="268">
        <f t="shared" si="215"/>
        <v>24278.479276927261</v>
      </c>
      <c r="AB106" s="268">
        <f t="shared" si="215"/>
        <v>32003.086106296047</v>
      </c>
      <c r="AC106" s="269">
        <f t="shared" si="215"/>
        <v>23226.301584118686</v>
      </c>
      <c r="AD106" s="268">
        <f t="shared" si="215"/>
        <v>102909.18447159912</v>
      </c>
      <c r="AE106" s="268">
        <f t="shared" si="215"/>
        <v>11830.797414945309</v>
      </c>
      <c r="AF106" s="268">
        <f t="shared" si="215"/>
        <v>31708.917022895956</v>
      </c>
      <c r="AG106" s="269">
        <f t="shared" si="215"/>
        <v>23012.807803391392</v>
      </c>
      <c r="AH106" s="268">
        <f t="shared" si="215"/>
        <v>103863.89069658946</v>
      </c>
      <c r="AI106" s="268">
        <f t="shared" si="215"/>
        <v>24278.479276927261</v>
      </c>
      <c r="AJ106" s="268">
        <f t="shared" si="215"/>
        <v>32003.086106296047</v>
      </c>
      <c r="AK106" s="268">
        <f t="shared" si="215"/>
        <v>23226.301584118686</v>
      </c>
      <c r="AL106" s="269">
        <f t="shared" si="215"/>
        <v>183371.75766393144</v>
      </c>
      <c r="AM106" s="348"/>
      <c r="AN106" s="267">
        <f t="shared" ref="AN106:AR106" si="216">SUM(AN100:AN104)</f>
        <v>102677.76425110722</v>
      </c>
      <c r="AO106" s="268">
        <f t="shared" ref="AO106" si="217">SUM(AO100:AO104)</f>
        <v>38414.133498210474</v>
      </c>
      <c r="AP106" s="268">
        <f t="shared" si="216"/>
        <v>31779.558259882928</v>
      </c>
      <c r="AQ106" s="268">
        <f t="shared" si="216"/>
        <v>23001.369577751339</v>
      </c>
      <c r="AR106" s="269">
        <f t="shared" si="216"/>
        <v>195872.82558695198</v>
      </c>
      <c r="AS106" s="348"/>
      <c r="AT106" s="325">
        <f t="shared" ref="AT106:BB106" si="218">SUM(AT100:AT104)</f>
        <v>210042.23600335704</v>
      </c>
      <c r="AU106" s="348"/>
      <c r="AV106" s="757">
        <f t="shared" si="218"/>
        <v>0</v>
      </c>
      <c r="AW106" s="268">
        <f t="shared" si="218"/>
        <v>252.17751125032373</v>
      </c>
      <c r="AX106" s="268">
        <f t="shared" si="218"/>
        <v>195620.64807570167</v>
      </c>
      <c r="AY106" s="268">
        <f t="shared" si="218"/>
        <v>1872.2301297977558</v>
      </c>
      <c r="AZ106" s="269">
        <f t="shared" si="218"/>
        <v>193748.4179459039</v>
      </c>
      <c r="BA106" s="267">
        <f t="shared" si="218"/>
        <v>1937.4841794590391</v>
      </c>
      <c r="BB106" s="268">
        <f t="shared" si="218"/>
        <v>191810.93376644485</v>
      </c>
      <c r="BC106" s="343">
        <f t="shared" si="157"/>
        <v>0.91320173226197798</v>
      </c>
      <c r="BD106" s="348"/>
      <c r="BE106" s="371">
        <f t="shared" ref="BE106:BG106" si="219">SUM(BE100:BE104)</f>
        <v>0</v>
      </c>
      <c r="BF106" s="369">
        <f t="shared" si="219"/>
        <v>0</v>
      </c>
      <c r="BG106" s="269">
        <f t="shared" si="219"/>
        <v>191810.93376644485</v>
      </c>
      <c r="BI106" s="198"/>
      <c r="BL106" s="198"/>
      <c r="BN106" s="199"/>
      <c r="BP106" s="301" t="s">
        <v>1450</v>
      </c>
      <c r="BQ106" s="302" t="str">
        <f t="shared" si="145"/>
        <v>N</v>
      </c>
      <c r="BR106" s="303" t="s">
        <v>1448</v>
      </c>
      <c r="BT106" s="301" t="str">
        <f t="shared" si="146"/>
        <v>N</v>
      </c>
      <c r="BU106" s="302" t="s">
        <v>1450</v>
      </c>
      <c r="BV106" s="302" t="s">
        <v>1450</v>
      </c>
      <c r="BW106" s="303" t="s">
        <v>1450</v>
      </c>
      <c r="BY106" s="358">
        <f t="shared" si="150"/>
        <v>0.85</v>
      </c>
      <c r="BZ106" s="359">
        <f t="shared" si="151"/>
        <v>0</v>
      </c>
      <c r="CA106" s="359">
        <f t="shared" si="152"/>
        <v>0</v>
      </c>
      <c r="CB106" s="360">
        <f t="shared" si="153"/>
        <v>0.85</v>
      </c>
      <c r="CD106" s="313">
        <f t="shared" si="154"/>
        <v>101</v>
      </c>
    </row>
    <row r="107" spans="1:82" s="197" customFormat="1" outlineLevel="1" x14ac:dyDescent="0.3">
      <c r="A107" s="196"/>
      <c r="F107" s="756"/>
      <c r="G107" s="756"/>
      <c r="H107" s="756"/>
      <c r="I107" s="756"/>
      <c r="J107" s="756"/>
      <c r="K107" s="756"/>
      <c r="L107" s="757"/>
      <c r="M107" s="758"/>
      <c r="N107" s="768"/>
      <c r="O107" s="214"/>
      <c r="P107" s="216"/>
      <c r="Q107" s="750"/>
      <c r="R107" s="757"/>
      <c r="S107" s="758"/>
      <c r="T107" s="231"/>
      <c r="U107" s="267">
        <f>U106/$S106</f>
        <v>532.63533690558688</v>
      </c>
      <c r="V107" s="268">
        <f>V106/$S106</f>
        <v>124.50502193296029</v>
      </c>
      <c r="W107" s="268">
        <f>W106/$S106</f>
        <v>164.11839028869764</v>
      </c>
      <c r="X107" s="268">
        <f>X106/$S106</f>
        <v>119.10923889291632</v>
      </c>
      <c r="Y107" s="269" t="str">
        <f>IFERROR(VLOOKUP($B107,#REF!,12,FALSE),"")</f>
        <v/>
      </c>
      <c r="Z107" s="268"/>
      <c r="AA107" s="268"/>
      <c r="AB107" s="268"/>
      <c r="AC107" s="269"/>
      <c r="AD107" s="268">
        <f>(Z106-AD106)/COUNT(AD100:AD104)</f>
        <v>318.23540833011793</v>
      </c>
      <c r="AE107" s="268">
        <f>(AA106-AE106)/COUNT(AE100:AE104)</f>
        <v>12447.681861981951</v>
      </c>
      <c r="AF107" s="268">
        <f>(AB106-AF106)/COUNT(AF100:AF104)</f>
        <v>98.05636113336368</v>
      </c>
      <c r="AG107" s="269">
        <f>(AC106-AG106)/COUNT(AG100:AG104)</f>
        <v>71.16459357576484</v>
      </c>
      <c r="AH107" s="268"/>
      <c r="AI107" s="268"/>
      <c r="AJ107" s="268"/>
      <c r="AK107" s="268"/>
      <c r="AL107" s="280"/>
      <c r="AM107" s="348"/>
      <c r="AN107" s="267"/>
      <c r="AO107" s="268"/>
      <c r="AP107" s="268"/>
      <c r="AQ107" s="268"/>
      <c r="AR107" s="280"/>
      <c r="AS107" s="348"/>
      <c r="AT107" s="325"/>
      <c r="AU107" s="348"/>
      <c r="AV107" s="757"/>
      <c r="AW107" s="268"/>
      <c r="AX107" s="268"/>
      <c r="AY107" s="268"/>
      <c r="AZ107" s="269"/>
      <c r="BA107" s="267"/>
      <c r="BB107" s="268"/>
      <c r="BC107" s="343" t="str">
        <f t="shared" si="157"/>
        <v/>
      </c>
      <c r="BD107" s="348"/>
      <c r="BE107" s="371"/>
      <c r="BF107" s="369"/>
      <c r="BG107" s="269"/>
      <c r="BI107" s="198"/>
      <c r="BL107" s="198"/>
      <c r="BN107" s="199"/>
      <c r="BP107" s="301" t="s">
        <v>1450</v>
      </c>
      <c r="BQ107" s="302" t="str">
        <f t="shared" si="145"/>
        <v>N</v>
      </c>
      <c r="BR107" s="303" t="s">
        <v>1448</v>
      </c>
      <c r="BT107" s="301" t="str">
        <f t="shared" si="146"/>
        <v>N</v>
      </c>
      <c r="BU107" s="302" t="s">
        <v>1450</v>
      </c>
      <c r="BV107" s="302" t="s">
        <v>1450</v>
      </c>
      <c r="BW107" s="303" t="s">
        <v>1450</v>
      </c>
      <c r="BY107" s="358">
        <f t="shared" si="150"/>
        <v>0.85</v>
      </c>
      <c r="BZ107" s="359">
        <f t="shared" si="151"/>
        <v>0</v>
      </c>
      <c r="CA107" s="359">
        <f t="shared" si="152"/>
        <v>0</v>
      </c>
      <c r="CB107" s="360">
        <f t="shared" si="153"/>
        <v>0.85</v>
      </c>
      <c r="CD107" s="313">
        <f t="shared" si="154"/>
        <v>102</v>
      </c>
    </row>
    <row r="108" spans="1:82" s="199" customFormat="1" outlineLevel="1" x14ac:dyDescent="0.3">
      <c r="A108" s="201"/>
      <c r="F108" s="759"/>
      <c r="G108" s="759"/>
      <c r="H108" s="759"/>
      <c r="I108" s="759"/>
      <c r="J108" s="759"/>
      <c r="K108" s="759"/>
      <c r="L108" s="509"/>
      <c r="M108" s="510"/>
      <c r="N108" s="511"/>
      <c r="O108" s="220"/>
      <c r="P108" s="222"/>
      <c r="Q108" s="751"/>
      <c r="R108" s="509"/>
      <c r="S108" s="510"/>
      <c r="T108" s="232"/>
      <c r="U108" s="270" t="str">
        <f>IFERROR(VLOOKUP($B108,#REF!,8,FALSE),"")</f>
        <v/>
      </c>
      <c r="V108" s="271" t="str">
        <f>IFERROR(VLOOKUP($B108,#REF!,9,FALSE),"")</f>
        <v/>
      </c>
      <c r="W108" s="271" t="str">
        <f>IFERROR(VLOOKUP($B108,#REF!,10,FALSE),"")</f>
        <v/>
      </c>
      <c r="X108" s="271" t="str">
        <f>IFERROR(VLOOKUP($B108,#REF!,11,FALSE),"")</f>
        <v/>
      </c>
      <c r="Y108" s="272" t="str">
        <f>IFERROR(VLOOKUP($B108,#REF!,12,FALSE),"")</f>
        <v/>
      </c>
      <c r="Z108" s="271"/>
      <c r="AA108" s="271"/>
      <c r="AB108" s="271"/>
      <c r="AC108" s="272"/>
      <c r="AD108" s="271"/>
      <c r="AE108" s="271"/>
      <c r="AF108" s="271"/>
      <c r="AG108" s="272"/>
      <c r="AH108" s="271"/>
      <c r="AI108" s="271"/>
      <c r="AJ108" s="271"/>
      <c r="AK108" s="271"/>
      <c r="AL108" s="272"/>
      <c r="AM108" s="349"/>
      <c r="AN108" s="270"/>
      <c r="AO108" s="271"/>
      <c r="AP108" s="271"/>
      <c r="AQ108" s="271"/>
      <c r="AR108" s="272"/>
      <c r="AS108" s="349"/>
      <c r="AT108" s="326"/>
      <c r="AU108" s="349"/>
      <c r="AV108" s="509"/>
      <c r="AW108" s="271"/>
      <c r="AX108" s="271"/>
      <c r="AY108" s="271"/>
      <c r="AZ108" s="272"/>
      <c r="BA108" s="270"/>
      <c r="BB108" s="271"/>
      <c r="BC108" s="344" t="str">
        <f t="shared" si="157"/>
        <v/>
      </c>
      <c r="BD108" s="349"/>
      <c r="BE108" s="378">
        <f>'Original Title I &amp; II'!AZ108</f>
        <v>0</v>
      </c>
      <c r="BF108" s="245"/>
      <c r="BG108" s="272">
        <f t="shared" ref="BG108:BG115" si="220">IF(BF108&lt;0,BB108+BF108,BB108)</f>
        <v>0</v>
      </c>
      <c r="BI108" s="200"/>
      <c r="BL108" s="200"/>
      <c r="BP108" s="304" t="s">
        <v>1450</v>
      </c>
      <c r="BQ108" s="305" t="str">
        <f t="shared" si="145"/>
        <v>N</v>
      </c>
      <c r="BR108" s="306" t="s">
        <v>1448</v>
      </c>
      <c r="BT108" s="304" t="str">
        <f t="shared" si="146"/>
        <v>N</v>
      </c>
      <c r="BU108" s="305" t="s">
        <v>1450</v>
      </c>
      <c r="BV108" s="305" t="s">
        <v>1450</v>
      </c>
      <c r="BW108" s="306" t="s">
        <v>1450</v>
      </c>
      <c r="BY108" s="361">
        <f t="shared" si="150"/>
        <v>0.85</v>
      </c>
      <c r="BZ108" s="362">
        <f t="shared" si="151"/>
        <v>0</v>
      </c>
      <c r="CA108" s="362">
        <f t="shared" si="152"/>
        <v>0</v>
      </c>
      <c r="CB108" s="363">
        <f t="shared" si="153"/>
        <v>0.85</v>
      </c>
      <c r="CD108" s="314">
        <f t="shared" si="154"/>
        <v>103</v>
      </c>
    </row>
    <row r="109" spans="1:82" outlineLevel="1" x14ac:dyDescent="0.3">
      <c r="A109" s="1">
        <v>150426000</v>
      </c>
      <c r="B109" s="47">
        <f>VLOOKUP(C109,'NCES ID'!$A$2:$B$3136,2,FALSE)</f>
        <v>401290</v>
      </c>
      <c r="C109" s="47">
        <f>VLOOKUP(A109,'State ID'!$A$2:$B$713,2,FALSE)</f>
        <v>4513</v>
      </c>
      <c r="D109" s="147" t="s">
        <v>75</v>
      </c>
      <c r="E109" s="47" t="s">
        <v>70</v>
      </c>
      <c r="F109" s="382">
        <f>IFERROR(VLOOKUP($B109,'update_Formula counts'!$D$7:$R$234,'update_Formula counts'!F$5,0),0)</f>
        <v>9</v>
      </c>
      <c r="G109" s="382">
        <f>IFERROR(VLOOKUP($B109,'update_Formula counts'!$D$7:$R$234,'update_Formula counts'!G$5,0),0)</f>
        <v>0</v>
      </c>
      <c r="H109" s="382">
        <f>IFERROR(VLOOKUP($B109,'update_Formula counts'!$D$7:$R$234,'update_Formula counts'!H$5,0),0)</f>
        <v>0</v>
      </c>
      <c r="I109" s="382">
        <f>IFERROR(VLOOKUP($B109,'update_Formula counts'!$D$7:$R$234,'update_Formula counts'!I$5,0),0)</f>
        <v>0</v>
      </c>
      <c r="J109" s="382">
        <f>IFERROR(VLOOKUP($B109,'update_Formula counts'!$D$7:$R$234,'update_Formula counts'!J$5,0),0)</f>
        <v>0</v>
      </c>
      <c r="K109" s="382">
        <f t="shared" ref="K109:K114" si="221">M109-I109</f>
        <v>9</v>
      </c>
      <c r="L109" s="444">
        <f>IFERROR(VLOOKUP($B109,'update_Formula counts'!$D$7:$R$234,'update_Formula counts'!L$5,0),0)</f>
        <v>47</v>
      </c>
      <c r="M109" s="445">
        <f>IFERROR(VLOOKUP($B109,'update_Formula counts'!$D$7:$R$234,'update_Formula counts'!K$5,0),0)</f>
        <v>9</v>
      </c>
      <c r="N109" s="446">
        <f>IFERROR(VLOOKUP($B109,'update_Formula counts'!$D$7:$R$234,'update_Formula counts'!M$5,0),0)</f>
        <v>0.19148936170212766</v>
      </c>
      <c r="O109" s="137">
        <f>VLOOKUP($C109,'Final SEA Counts'!$A$2:$F$709,5,FALSE)</f>
        <v>29</v>
      </c>
      <c r="P109" s="208">
        <f>VLOOKUP($C109,'Final SEA Counts'!$A$2:$F$709,6,FALSE)</f>
        <v>25</v>
      </c>
      <c r="Q109" s="748">
        <f t="shared" ref="Q109:Q114" si="222">-F109/($F$117-$F$118)*$S$116+(M109/($M$117-$M$118)*$M$118)</f>
        <v>-3.3294448912323638E-2</v>
      </c>
      <c r="R109" s="444">
        <f t="shared" ref="R109:R114" si="223">L109-(L109/L$117)*R$116</f>
        <v>46.75217837503758</v>
      </c>
      <c r="S109" s="445">
        <f t="shared" ref="S109:S114" si="224">Q109+K109+I109</f>
        <v>8.9667055510876761</v>
      </c>
      <c r="T109" s="229">
        <f t="shared" ref="T109:T115" si="225">S109/R109</f>
        <v>0.19179225145742673</v>
      </c>
      <c r="U109" s="261">
        <f>VLOOKUP($B109,update_Allocation!$D$8:$Q$235,update_Allocation!K$239,0)</f>
        <v>0</v>
      </c>
      <c r="V109" s="262">
        <f>VLOOKUP($B109,update_Allocation!$D$8:$Q$235,update_Allocation!L$239,0)</f>
        <v>1446.7542194581808</v>
      </c>
      <c r="W109" s="262">
        <f>VLOOKUP($B109,update_Allocation!$D$8:$Q$235,update_Allocation!M$239,0)</f>
        <v>0</v>
      </c>
      <c r="X109" s="262">
        <f>VLOOKUP($B109,update_Allocation!$D$8:$Q$235,update_Allocation!N$239,0)</f>
        <v>0</v>
      </c>
      <c r="Y109" s="263">
        <f>VLOOKUP($B109,update_Allocation!$D$8:$Q$235,update_Allocation!O$239,0)</f>
        <v>1446.7542194581808</v>
      </c>
      <c r="Z109" s="262" t="str">
        <f t="shared" ref="Z109:AC114" si="226">IF(U109=0,"",U109-(U109/U$117)*Z$116)</f>
        <v/>
      </c>
      <c r="AA109" s="262">
        <f t="shared" si="226"/>
        <v>1441.5974086943481</v>
      </c>
      <c r="AB109" s="262" t="str">
        <f t="shared" si="226"/>
        <v/>
      </c>
      <c r="AC109" s="263" t="str">
        <f t="shared" si="226"/>
        <v/>
      </c>
      <c r="AD109" s="262" t="str">
        <f t="shared" ref="AD109:AG115" si="227">IF(BT109="Y",Z109,"")</f>
        <v/>
      </c>
      <c r="AE109" s="262" t="str">
        <f t="shared" si="227"/>
        <v/>
      </c>
      <c r="AF109" s="262" t="str">
        <f t="shared" si="227"/>
        <v/>
      </c>
      <c r="AG109" s="263" t="str">
        <f t="shared" si="227"/>
        <v/>
      </c>
      <c r="AH109" s="262" t="str">
        <f t="shared" ref="AH109:AK115" si="228">IF(AD109="","",AD109+AD$118)</f>
        <v/>
      </c>
      <c r="AI109" s="262" t="str">
        <f t="shared" si="228"/>
        <v/>
      </c>
      <c r="AJ109" s="262" t="str">
        <f t="shared" si="228"/>
        <v/>
      </c>
      <c r="AK109" s="262" t="str">
        <f t="shared" si="228"/>
        <v/>
      </c>
      <c r="AL109" s="263">
        <f t="shared" ref="AL109:AL115" si="229">SUM(AH109:AK109)</f>
        <v>0</v>
      </c>
      <c r="AM109" s="346"/>
      <c r="AN109" s="261">
        <f>IFERROR(VLOOKUP($A109,'HH &amp; SI'!$B$4:$Z$494,'HH &amp; SI'!V$503,0),0)</f>
        <v>0</v>
      </c>
      <c r="AO109" s="262">
        <f>IFERROR(VLOOKUP($A109,'HH &amp; SI'!$B$4:$Z$494,'HH &amp; SI'!W$503,0),0)</f>
        <v>1457.5305830203947</v>
      </c>
      <c r="AP109" s="262">
        <f>IFERROR(VLOOKUP($A109,'HH &amp; SI'!$B$4:$Z$494,'HH &amp; SI'!X$503,0),0)</f>
        <v>0</v>
      </c>
      <c r="AQ109" s="262">
        <f>IFERROR(VLOOKUP($A109,'HH &amp; SI'!$B$4:$Z$494,'HH &amp; SI'!Y$503,0),0)</f>
        <v>0</v>
      </c>
      <c r="AR109" s="263">
        <f t="shared" ref="AR109" si="230">SUM(AN109:AQ109)</f>
        <v>1457.5305830203947</v>
      </c>
      <c r="AS109" s="346"/>
      <c r="AT109" s="323">
        <f>IFERROR(VLOOKUP(A109,'Afton FY16 Final'!$A$5:$BV$572,'Afton FY16 Final'!$BV$587,0),0)</f>
        <v>17743.020574009326</v>
      </c>
      <c r="AU109" s="346"/>
      <c r="AV109" s="444">
        <v>0</v>
      </c>
      <c r="AW109" s="262">
        <f>IFERROR(VLOOKUP($A109,'HH &amp; SI'!$B$4:$EY$503,'HH &amp; SI'!EX$503,0),0)</f>
        <v>0</v>
      </c>
      <c r="AX109" s="262">
        <f>IFERROR(VLOOKUP($A109,'HH &amp; SI'!$B$4:$EY$503,'HH &amp; SI'!EY$503,0),0)</f>
        <v>1457.5305830203947</v>
      </c>
      <c r="AY109" s="262">
        <f>AX109/$AX$582*'update_State Admin 1004(b)'!$B$30*0.01</f>
        <v>13.949614723576946</v>
      </c>
      <c r="AZ109" s="263">
        <f t="shared" ref="AZ109:AZ114" si="231">AX109-AY109</f>
        <v>1443.5809682968177</v>
      </c>
      <c r="BA109" s="261">
        <f t="shared" ref="BA109:BA114" si="232">AZ109*0.01</f>
        <v>14.435809682968177</v>
      </c>
      <c r="BB109" s="262">
        <f t="shared" ref="BB109:BB114" si="233">AZ109-BA109</f>
        <v>1429.1451586138494</v>
      </c>
      <c r="BC109" s="341">
        <f t="shared" si="157"/>
        <v>8.0546891813185265E-2</v>
      </c>
      <c r="BD109" s="346"/>
      <c r="BE109" s="376" t="str">
        <f>'Original Title I &amp; II'!AZ109</f>
        <v/>
      </c>
      <c r="BF109" s="243" t="str">
        <f t="shared" ref="BF109:BF114" si="234">IF(BE109&lt;0,BB109*BE109/100,"")</f>
        <v/>
      </c>
      <c r="BG109" s="263">
        <f t="shared" si="220"/>
        <v>1429.1451586138494</v>
      </c>
      <c r="BI109" s="31">
        <f>IFERROR(VLOOKUP(A109,'Title II Hold Harmless'!A$1:B$439,2, FALSE),"")</f>
        <v>893</v>
      </c>
      <c r="BJ109" s="31">
        <f t="shared" ref="BJ109:BJ114" si="235">IFERROR($BI$587*(0.8*($S109/$S$584)+0.2*($R109/$R$584))+$BI109,$BI$587*(0.8*($S109/$S$584)+0.2*($R109/$R$584)))</f>
        <v>1048.0083165744352</v>
      </c>
      <c r="BK109" s="31">
        <f t="shared" ref="BK109:BK114" si="236">$BI$588*BJ109</f>
        <v>1049.022151288355</v>
      </c>
      <c r="BL109" s="31" t="str">
        <f t="shared" ref="BL109:BL114" si="237">IF(BE109&lt;0,BK109*BE109/100,"")</f>
        <v/>
      </c>
      <c r="BM109" s="31">
        <f t="shared" ref="BM109:BM114" si="238">IF(BL109&lt;0,BK109+BL109,BK109)</f>
        <v>1049.022151288355</v>
      </c>
      <c r="BN109" s="200"/>
      <c r="BP109" s="295" t="s">
        <v>1447</v>
      </c>
      <c r="BQ109" s="296" t="str">
        <f t="shared" si="145"/>
        <v>Y</v>
      </c>
      <c r="BR109" s="297" t="s">
        <v>1448</v>
      </c>
      <c r="BT109" s="295" t="str">
        <f t="shared" si="146"/>
        <v>N</v>
      </c>
      <c r="BU109" s="296" t="str">
        <f t="shared" ref="BU109:BU115" si="239">IF(AND(BT109="Y",(OR(T109&gt;0.15,S109&gt;6500))),"Y","N")</f>
        <v>N</v>
      </c>
      <c r="BV109" s="296" t="str">
        <f t="shared" ref="BV109:BV115" si="240">IF(AND(BT109="Y",T109&gt;=0.05),"Y","N")</f>
        <v>N</v>
      </c>
      <c r="BW109" s="297" t="str">
        <f t="shared" si="149"/>
        <v>N</v>
      </c>
      <c r="BY109" s="352">
        <f t="shared" si="150"/>
        <v>0</v>
      </c>
      <c r="BZ109" s="353">
        <f t="shared" si="151"/>
        <v>0.9</v>
      </c>
      <c r="CA109" s="353">
        <f t="shared" si="152"/>
        <v>0</v>
      </c>
      <c r="CB109" s="354">
        <f t="shared" si="153"/>
        <v>0.9</v>
      </c>
      <c r="CD109" s="311">
        <f t="shared" si="154"/>
        <v>104</v>
      </c>
    </row>
    <row r="110" spans="1:82" outlineLevel="1" x14ac:dyDescent="0.3">
      <c r="A110" s="1">
        <v>150419000</v>
      </c>
      <c r="B110" s="47">
        <f>VLOOKUP(C110,'NCES ID'!$A$2:$B$3136,2,FALSE)</f>
        <v>409120</v>
      </c>
      <c r="C110" s="47">
        <f>VLOOKUP(A110,'State ID'!$A$2:$B$713,2,FALSE)</f>
        <v>4512</v>
      </c>
      <c r="D110" s="147" t="s">
        <v>435</v>
      </c>
      <c r="E110" s="47" t="s">
        <v>70</v>
      </c>
      <c r="F110" s="382">
        <f>IFERROR(VLOOKUP($B110,'update_Formula counts'!$D$7:$R$234,'update_Formula counts'!F$5,0),0)</f>
        <v>42</v>
      </c>
      <c r="G110" s="382">
        <f>IFERROR(VLOOKUP($B110,'update_Formula counts'!$D$7:$R$234,'update_Formula counts'!G$5,0),0)</f>
        <v>0</v>
      </c>
      <c r="H110" s="382">
        <f>IFERROR(VLOOKUP($B110,'update_Formula counts'!$D$7:$R$234,'update_Formula counts'!H$5,0),0)</f>
        <v>0</v>
      </c>
      <c r="I110" s="382">
        <f>IFERROR(VLOOKUP($B110,'update_Formula counts'!$D$7:$R$234,'update_Formula counts'!I$5,0),0)</f>
        <v>2</v>
      </c>
      <c r="J110" s="382">
        <f>IFERROR(VLOOKUP($B110,'update_Formula counts'!$D$7:$R$234,'update_Formula counts'!J$5,0),0)</f>
        <v>0</v>
      </c>
      <c r="K110" s="382">
        <f t="shared" si="221"/>
        <v>42</v>
      </c>
      <c r="L110" s="444">
        <f>IFERROR(VLOOKUP($B110,'update_Formula counts'!$D$7:$R$234,'update_Formula counts'!L$5,0),0)</f>
        <v>104</v>
      </c>
      <c r="M110" s="445">
        <f>IFERROR(VLOOKUP($B110,'update_Formula counts'!$D$7:$R$234,'update_Formula counts'!K$5,0),0)</f>
        <v>44</v>
      </c>
      <c r="N110" s="446">
        <f>IFERROR(VLOOKUP($B110,'update_Formula counts'!$D$7:$R$234,'update_Formula counts'!M$5,0),0)</f>
        <v>0.42307692307692307</v>
      </c>
      <c r="O110" s="137">
        <f>VLOOKUP($C110,'Final SEA Counts'!$A$2:$F$709,5,FALSE)</f>
        <v>84</v>
      </c>
      <c r="P110" s="208">
        <f>VLOOKUP($C110,'Final SEA Counts'!$A$2:$F$709,6,FALSE)</f>
        <v>83</v>
      </c>
      <c r="Q110" s="748">
        <f t="shared" si="222"/>
        <v>-0.15537409492417698</v>
      </c>
      <c r="R110" s="444">
        <f t="shared" si="223"/>
        <v>103.45162874476401</v>
      </c>
      <c r="S110" s="445">
        <f t="shared" si="224"/>
        <v>43.844625905075823</v>
      </c>
      <c r="T110" s="229">
        <f t="shared" si="225"/>
        <v>0.42381764731079624</v>
      </c>
      <c r="U110" s="261">
        <f>VLOOKUP($B110,update_Allocation!$D$8:$Q$235,update_Allocation!K$239,0)</f>
        <v>23357.164891971326</v>
      </c>
      <c r="V110" s="262">
        <f>VLOOKUP($B110,update_Allocation!$D$8:$Q$235,update_Allocation!L$239,0)</f>
        <v>5577.2171190039235</v>
      </c>
      <c r="W110" s="262">
        <f>VLOOKUP($B110,update_Allocation!$D$8:$Q$235,update_Allocation!M$239,0)</f>
        <v>17633.946274283171</v>
      </c>
      <c r="X110" s="262">
        <f>VLOOKUP($B110,update_Allocation!$D$8:$Q$235,update_Allocation!N$239,0)</f>
        <v>21002.957621566387</v>
      </c>
      <c r="Y110" s="263">
        <f>VLOOKUP($B110,update_Allocation!$D$8:$Q$235,update_Allocation!O$239,0)</f>
        <v>67571.285906824807</v>
      </c>
      <c r="Z110" s="262">
        <f t="shared" si="226"/>
        <v>23273.910613042983</v>
      </c>
      <c r="AA110" s="262">
        <f t="shared" si="226"/>
        <v>5557.3376862124423</v>
      </c>
      <c r="AB110" s="262">
        <f t="shared" si="226"/>
        <v>17571.091835890638</v>
      </c>
      <c r="AC110" s="263">
        <f t="shared" si="226"/>
        <v>20928.094679071721</v>
      </c>
      <c r="AD110" s="262">
        <f t="shared" si="227"/>
        <v>23273.910613042983</v>
      </c>
      <c r="AE110" s="262">
        <f t="shared" si="227"/>
        <v>5557.3376862124423</v>
      </c>
      <c r="AF110" s="262">
        <f t="shared" si="227"/>
        <v>17571.091835890638</v>
      </c>
      <c r="AG110" s="263">
        <f t="shared" si="227"/>
        <v>20928.094679071721</v>
      </c>
      <c r="AH110" s="262">
        <f t="shared" si="228"/>
        <v>23568.871326664561</v>
      </c>
      <c r="AI110" s="262">
        <f t="shared" si="228"/>
        <v>5916.8747221903668</v>
      </c>
      <c r="AJ110" s="262">
        <f t="shared" si="228"/>
        <v>17735.592208262577</v>
      </c>
      <c r="AK110" s="262">
        <f t="shared" si="228"/>
        <v>21087.654709229217</v>
      </c>
      <c r="AL110" s="263">
        <f t="shared" si="229"/>
        <v>68308.992966346719</v>
      </c>
      <c r="AM110" s="346"/>
      <c r="AN110" s="261">
        <f>IFERROR(VLOOKUP($A110,'HH &amp; SI'!$B$4:$Z$494,'HH &amp; SI'!V$503,0),0)</f>
        <v>23256.649927401246</v>
      </c>
      <c r="AO110" s="262">
        <f>IFERROR(VLOOKUP($A110,'HH &amp; SI'!$B$4:$Z$494,'HH &amp; SI'!W$503,0),0)</f>
        <v>5721.9945014990435</v>
      </c>
      <c r="AP110" s="262">
        <f>IFERROR(VLOOKUP($A110,'HH &amp; SI'!$B$4:$Z$494,'HH &amp; SI'!X$503,0),0)</f>
        <v>17574.293921728582</v>
      </c>
      <c r="AQ110" s="262">
        <f>IFERROR(VLOOKUP($A110,'HH &amp; SI'!$B$4:$Z$494,'HH &amp; SI'!Y$503,0),0)</f>
        <v>20858.76606757913</v>
      </c>
      <c r="AR110" s="263">
        <f t="shared" ref="AR110:AR115" si="241">SUM(AN110:AQ110)</f>
        <v>67411.704418207999</v>
      </c>
      <c r="AS110" s="346"/>
      <c r="AT110" s="323">
        <f>IFERROR(VLOOKUP(A110,'Afton FY16 Final'!$A$5:$BV$572,'Afton FY16 Final'!$BV$587,0),0)</f>
        <v>69326.773348117786</v>
      </c>
      <c r="AU110" s="346"/>
      <c r="AV110" s="444">
        <v>0</v>
      </c>
      <c r="AW110" s="262">
        <f>IFERROR(VLOOKUP($A110,'HH &amp; SI'!$B$4:$EY$503,'HH &amp; SI'!EX$503,0),0)</f>
        <v>0</v>
      </c>
      <c r="AX110" s="262">
        <f>IFERROR(VLOOKUP($A110,'HH &amp; SI'!$B$4:$EY$503,'HH &amp; SI'!EY$503,0),0)</f>
        <v>67411.704418207999</v>
      </c>
      <c r="AY110" s="262">
        <f>AX110/$AX$582*'update_State Admin 1004(b)'!$B$30*0.01</f>
        <v>645.17843772784363</v>
      </c>
      <c r="AZ110" s="263">
        <f t="shared" si="231"/>
        <v>66766.525980480161</v>
      </c>
      <c r="BA110" s="261">
        <f t="shared" si="232"/>
        <v>667.66525980480162</v>
      </c>
      <c r="BB110" s="262">
        <f t="shared" si="233"/>
        <v>66098.860720675366</v>
      </c>
      <c r="BC110" s="341">
        <f t="shared" si="157"/>
        <v>0.95343916251180816</v>
      </c>
      <c r="BD110" s="346"/>
      <c r="BE110" s="376" t="str">
        <f>'Original Title I &amp; II'!AZ110</f>
        <v/>
      </c>
      <c r="BF110" s="243" t="str">
        <f t="shared" si="234"/>
        <v/>
      </c>
      <c r="BG110" s="263">
        <f t="shared" si="220"/>
        <v>66098.860720675366</v>
      </c>
      <c r="BI110" s="31">
        <f>IFERROR(VLOOKUP(A110,'Title II Hold Harmless'!A$1:B$439,2, FALSE),"")</f>
        <v>5876</v>
      </c>
      <c r="BJ110" s="31">
        <f t="shared" si="235"/>
        <v>6533.2231206073739</v>
      </c>
      <c r="BK110" s="31">
        <f t="shared" si="236"/>
        <v>6539.5433074691591</v>
      </c>
      <c r="BL110" s="31" t="str">
        <f t="shared" si="237"/>
        <v/>
      </c>
      <c r="BM110" s="31">
        <f t="shared" si="238"/>
        <v>6539.5433074691591</v>
      </c>
      <c r="BN110" s="200"/>
      <c r="BP110" s="295" t="s">
        <v>1447</v>
      </c>
      <c r="BQ110" s="296" t="str">
        <f t="shared" si="145"/>
        <v>Y</v>
      </c>
      <c r="BR110" s="297" t="s">
        <v>1448</v>
      </c>
      <c r="BT110" s="295" t="str">
        <f t="shared" si="146"/>
        <v>Y</v>
      </c>
      <c r="BU110" s="296" t="str">
        <f t="shared" si="239"/>
        <v>Y</v>
      </c>
      <c r="BV110" s="296" t="str">
        <f t="shared" si="240"/>
        <v>Y</v>
      </c>
      <c r="BW110" s="297" t="str">
        <f t="shared" si="149"/>
        <v>Y</v>
      </c>
      <c r="BY110" s="352">
        <f t="shared" si="150"/>
        <v>0</v>
      </c>
      <c r="BZ110" s="353">
        <f t="shared" si="151"/>
        <v>0</v>
      </c>
      <c r="CA110" s="353">
        <f t="shared" si="152"/>
        <v>0.95</v>
      </c>
      <c r="CB110" s="354">
        <f t="shared" si="153"/>
        <v>0.95</v>
      </c>
      <c r="CD110" s="311">
        <f t="shared" si="154"/>
        <v>105</v>
      </c>
    </row>
    <row r="111" spans="1:82" outlineLevel="1" x14ac:dyDescent="0.3">
      <c r="A111" s="1">
        <v>150430000</v>
      </c>
      <c r="B111" s="47">
        <f>VLOOKUP(C111,'NCES ID'!$A$2:$B$3136,2,FALSE)</f>
        <v>400005</v>
      </c>
      <c r="C111" s="47">
        <f>VLOOKUP(A111,'State ID'!$A$2:$B$713,2,FALSE)</f>
        <v>4514</v>
      </c>
      <c r="D111" s="147" t="s">
        <v>368</v>
      </c>
      <c r="E111" s="47" t="s">
        <v>70</v>
      </c>
      <c r="F111" s="382">
        <f>IFERROR(VLOOKUP($B111,'update_Formula counts'!$D$7:$R$234,'update_Formula counts'!F$5,0),0)</f>
        <v>60</v>
      </c>
      <c r="G111" s="382">
        <f>IFERROR(VLOOKUP($B111,'update_Formula counts'!$D$7:$R$234,'update_Formula counts'!G$5,0),0)</f>
        <v>0</v>
      </c>
      <c r="H111" s="382">
        <f>IFERROR(VLOOKUP($B111,'update_Formula counts'!$D$7:$R$234,'update_Formula counts'!H$5,0),0)</f>
        <v>0</v>
      </c>
      <c r="I111" s="382">
        <f>IFERROR(VLOOKUP($B111,'update_Formula counts'!$D$7:$R$234,'update_Formula counts'!I$5,0),0)</f>
        <v>2</v>
      </c>
      <c r="J111" s="382">
        <f>IFERROR(VLOOKUP($B111,'update_Formula counts'!$D$7:$R$234,'update_Formula counts'!J$5,0),0)</f>
        <v>0</v>
      </c>
      <c r="K111" s="382">
        <f t="shared" si="221"/>
        <v>60</v>
      </c>
      <c r="L111" s="444">
        <f>IFERROR(VLOOKUP($B111,'update_Formula counts'!$D$7:$R$234,'update_Formula counts'!L$5,0),0)</f>
        <v>133</v>
      </c>
      <c r="M111" s="445">
        <f>IFERROR(VLOOKUP($B111,'update_Formula counts'!$D$7:$R$234,'update_Formula counts'!K$5,0),0)</f>
        <v>62</v>
      </c>
      <c r="N111" s="446">
        <f>IFERROR(VLOOKUP($B111,'update_Formula counts'!$D$7:$R$234,'update_Formula counts'!M$5,0),0)</f>
        <v>0.46616541353383456</v>
      </c>
      <c r="O111" s="137">
        <f>VLOOKUP($C111,'Final SEA Counts'!$A$2:$F$709,5,FALSE)</f>
        <v>119</v>
      </c>
      <c r="P111" s="208">
        <f>VLOOKUP($C111,'Final SEA Counts'!$A$2:$F$709,6,FALSE)</f>
        <v>118</v>
      </c>
      <c r="Q111" s="748">
        <f t="shared" si="222"/>
        <v>-0.22196299274882428</v>
      </c>
      <c r="R111" s="444">
        <f t="shared" si="223"/>
        <v>132.29871752936165</v>
      </c>
      <c r="S111" s="445">
        <f t="shared" si="224"/>
        <v>61.778037007251179</v>
      </c>
      <c r="T111" s="229">
        <f t="shared" si="225"/>
        <v>0.46695869892722502</v>
      </c>
      <c r="U111" s="261">
        <f>VLOOKUP($B111,update_Allocation!$D$8:$Q$235,update_Allocation!K$239,0)</f>
        <v>29481.521585184084</v>
      </c>
      <c r="V111" s="262">
        <f>VLOOKUP($B111,update_Allocation!$D$8:$Q$235,update_Allocation!L$239,0)</f>
        <v>6984.0974821418713</v>
      </c>
      <c r="W111" s="262">
        <f>VLOOKUP($B111,update_Allocation!$D$8:$Q$235,update_Allocation!M$239,0)</f>
        <v>20290.737179405998</v>
      </c>
      <c r="X111" s="262">
        <f>VLOOKUP($B111,update_Allocation!$D$8:$Q$235,update_Allocation!N$239,0)</f>
        <v>21372.208535649301</v>
      </c>
      <c r="Y111" s="263">
        <f>VLOOKUP($B111,update_Allocation!$D$8:$Q$235,update_Allocation!O$239,0)</f>
        <v>78128.564782381261</v>
      </c>
      <c r="Z111" s="262">
        <f t="shared" si="226"/>
        <v>29376.437649156873</v>
      </c>
      <c r="AA111" s="262">
        <f t="shared" si="226"/>
        <v>6959.2033649606865</v>
      </c>
      <c r="AB111" s="262">
        <f t="shared" si="226"/>
        <v>20218.41287546718</v>
      </c>
      <c r="AC111" s="263">
        <f t="shared" si="226"/>
        <v>21296.029435190354</v>
      </c>
      <c r="AD111" s="262">
        <f t="shared" si="227"/>
        <v>29376.437649156873</v>
      </c>
      <c r="AE111" s="262">
        <f t="shared" si="227"/>
        <v>6959.2033649606865</v>
      </c>
      <c r="AF111" s="262">
        <f t="shared" si="227"/>
        <v>20218.41287546718</v>
      </c>
      <c r="AG111" s="263">
        <f t="shared" si="227"/>
        <v>21296.029435190354</v>
      </c>
      <c r="AH111" s="262">
        <f t="shared" si="228"/>
        <v>29671.398362778451</v>
      </c>
      <c r="AI111" s="262">
        <f t="shared" si="228"/>
        <v>7318.7404009386109</v>
      </c>
      <c r="AJ111" s="262">
        <f t="shared" si="228"/>
        <v>20382.913247839118</v>
      </c>
      <c r="AK111" s="262">
        <f t="shared" si="228"/>
        <v>21455.58946534785</v>
      </c>
      <c r="AL111" s="263">
        <f t="shared" si="229"/>
        <v>78828.641476904028</v>
      </c>
      <c r="AM111" s="346"/>
      <c r="AN111" s="261">
        <f>IFERROR(VLOOKUP($A111,'HH &amp; SI'!$B$4:$Z$494,'HH &amp; SI'!V$503,0),0)</f>
        <v>29297.152110667037</v>
      </c>
      <c r="AO111" s="262">
        <f>IFERROR(VLOOKUP($A111,'HH &amp; SI'!$B$4:$Z$494,'HH &amp; SI'!W$503,0),0)</f>
        <v>7077.6878501437841</v>
      </c>
      <c r="AP111" s="262">
        <f>IFERROR(VLOOKUP($A111,'HH &amp; SI'!$B$4:$Z$494,'HH &amp; SI'!X$503,0),0)</f>
        <v>20197.538610057596</v>
      </c>
      <c r="AQ111" s="262">
        <f>IFERROR(VLOOKUP($A111,'HH &amp; SI'!$B$4:$Z$494,'HH &amp; SI'!Y$503,0),0)</f>
        <v>21219.187491473625</v>
      </c>
      <c r="AR111" s="263">
        <f t="shared" si="241"/>
        <v>77791.566062342041</v>
      </c>
      <c r="AS111" s="346"/>
      <c r="AT111" s="323">
        <f>IFERROR(VLOOKUP(A111,'Afton FY16 Final'!$A$5:$BV$572,'Afton FY16 Final'!$BV$587,0),0)</f>
        <v>78607.970705747808</v>
      </c>
      <c r="AU111" s="346"/>
      <c r="AV111" s="444">
        <v>0</v>
      </c>
      <c r="AW111" s="262">
        <f>IFERROR(VLOOKUP($A111,'HH &amp; SI'!$B$4:$EY$503,'HH &amp; SI'!EX$503,0),0)</f>
        <v>0</v>
      </c>
      <c r="AX111" s="262">
        <f>IFERROR(VLOOKUP($A111,'HH &amp; SI'!$B$4:$EY$503,'HH &amp; SI'!EY$503,0),0)</f>
        <v>77791.566062342041</v>
      </c>
      <c r="AY111" s="262">
        <f>AX111/$AX$582*'update_State Admin 1004(b)'!$B$30*0.01</f>
        <v>744.52117022793959</v>
      </c>
      <c r="AZ111" s="263">
        <f t="shared" si="231"/>
        <v>77047.044892114107</v>
      </c>
      <c r="BA111" s="261">
        <f t="shared" si="232"/>
        <v>770.47044892114104</v>
      </c>
      <c r="BB111" s="262">
        <f t="shared" si="233"/>
        <v>76276.574443192963</v>
      </c>
      <c r="BC111" s="341">
        <f t="shared" si="157"/>
        <v>0.97034147756743483</v>
      </c>
      <c r="BD111" s="346"/>
      <c r="BE111" s="376" t="str">
        <f>'Original Title I &amp; II'!AZ111</f>
        <v/>
      </c>
      <c r="BF111" s="243" t="str">
        <f t="shared" si="234"/>
        <v/>
      </c>
      <c r="BG111" s="263">
        <f t="shared" si="220"/>
        <v>76276.574443192963</v>
      </c>
      <c r="BI111" s="31">
        <f>IFERROR(VLOOKUP(A111,'Title II Hold Harmless'!A$1:B$439,2, FALSE),"")</f>
        <v>5233</v>
      </c>
      <c r="BJ111" s="31">
        <f t="shared" si="235"/>
        <v>6148.2036045742425</v>
      </c>
      <c r="BK111" s="31">
        <f t="shared" si="236"/>
        <v>6154.1513266905504</v>
      </c>
      <c r="BL111" s="31" t="str">
        <f t="shared" si="237"/>
        <v/>
      </c>
      <c r="BM111" s="31">
        <f t="shared" si="238"/>
        <v>6154.1513266905504</v>
      </c>
      <c r="BN111" s="200"/>
      <c r="BP111" s="295" t="s">
        <v>1447</v>
      </c>
      <c r="BQ111" s="296" t="str">
        <f t="shared" si="145"/>
        <v>Y</v>
      </c>
      <c r="BR111" s="297" t="s">
        <v>1448</v>
      </c>
      <c r="BT111" s="295" t="str">
        <f t="shared" si="146"/>
        <v>Y</v>
      </c>
      <c r="BU111" s="296" t="str">
        <f t="shared" si="239"/>
        <v>Y</v>
      </c>
      <c r="BV111" s="296" t="str">
        <f t="shared" si="240"/>
        <v>Y</v>
      </c>
      <c r="BW111" s="297" t="str">
        <f t="shared" si="149"/>
        <v>Y</v>
      </c>
      <c r="BY111" s="352">
        <f t="shared" si="150"/>
        <v>0</v>
      </c>
      <c r="BZ111" s="353">
        <f t="shared" si="151"/>
        <v>0</v>
      </c>
      <c r="CA111" s="353">
        <f t="shared" si="152"/>
        <v>0.95</v>
      </c>
      <c r="CB111" s="354">
        <f t="shared" si="153"/>
        <v>0.95</v>
      </c>
      <c r="CD111" s="311">
        <f t="shared" si="154"/>
        <v>106</v>
      </c>
    </row>
    <row r="112" spans="1:82" outlineLevel="1" x14ac:dyDescent="0.3">
      <c r="A112" s="1">
        <v>150404000</v>
      </c>
      <c r="B112" s="47">
        <f>VLOOKUP(C112,'NCES ID'!$A$2:$B$3136,2,FALSE)</f>
        <v>406780</v>
      </c>
      <c r="C112" s="47">
        <f>VLOOKUP(A112,'State ID'!$A$2:$B$713,2,FALSE)</f>
        <v>4511</v>
      </c>
      <c r="D112" s="147" t="s">
        <v>355</v>
      </c>
      <c r="E112" s="47" t="s">
        <v>70</v>
      </c>
      <c r="F112" s="382">
        <f>IFERROR(VLOOKUP($B112,'update_Formula counts'!$D$7:$R$234,'update_Formula counts'!F$5,0),0)</f>
        <v>53</v>
      </c>
      <c r="G112" s="382">
        <f>IFERROR(VLOOKUP($B112,'update_Formula counts'!$D$7:$R$234,'update_Formula counts'!G$5,0),0)</f>
        <v>0</v>
      </c>
      <c r="H112" s="382">
        <f>IFERROR(VLOOKUP($B112,'update_Formula counts'!$D$7:$R$234,'update_Formula counts'!H$5,0),0)</f>
        <v>0</v>
      </c>
      <c r="I112" s="382">
        <f>IFERROR(VLOOKUP($B112,'update_Formula counts'!$D$7:$R$234,'update_Formula counts'!I$5,0),0)</f>
        <v>2</v>
      </c>
      <c r="J112" s="382">
        <f>IFERROR(VLOOKUP($B112,'update_Formula counts'!$D$7:$R$234,'update_Formula counts'!J$5,0),0)</f>
        <v>0</v>
      </c>
      <c r="K112" s="382">
        <f t="shared" si="221"/>
        <v>53</v>
      </c>
      <c r="L112" s="444">
        <f>IFERROR(VLOOKUP($B112,'update_Formula counts'!$D$7:$R$234,'update_Formula counts'!L$5,0),0)</f>
        <v>303</v>
      </c>
      <c r="M112" s="445">
        <f>IFERROR(VLOOKUP($B112,'update_Formula counts'!$D$7:$R$234,'update_Formula counts'!K$5,0),0)</f>
        <v>55</v>
      </c>
      <c r="N112" s="446">
        <f>IFERROR(VLOOKUP($B112,'update_Formula counts'!$D$7:$R$234,'update_Formula counts'!M$5,0),0)</f>
        <v>0.18151815181518152</v>
      </c>
      <c r="O112" s="137">
        <f>VLOOKUP($C112,'Final SEA Counts'!$A$2:$F$709,5,FALSE)</f>
        <v>226</v>
      </c>
      <c r="P112" s="208">
        <f>VLOOKUP($C112,'Final SEA Counts'!$A$2:$F$709,6,FALSE)</f>
        <v>222</v>
      </c>
      <c r="Q112" s="748">
        <f t="shared" si="222"/>
        <v>-0.19606731026146146</v>
      </c>
      <c r="R112" s="444">
        <f t="shared" si="223"/>
        <v>301.40234143907207</v>
      </c>
      <c r="S112" s="445">
        <f t="shared" si="224"/>
        <v>54.803932689738538</v>
      </c>
      <c r="T112" s="229">
        <f t="shared" si="225"/>
        <v>0.1818298173400788</v>
      </c>
      <c r="U112" s="261">
        <f>VLOOKUP($B112,update_Allocation!$D$8:$Q$235,update_Allocation!K$239,0)</f>
        <v>26008.952404359843</v>
      </c>
      <c r="V112" s="262">
        <f>VLOOKUP($B112,update_Allocation!$D$8:$Q$235,update_Allocation!L$239,0)</f>
        <v>6195.5703470613389</v>
      </c>
      <c r="W112" s="262">
        <f>VLOOKUP($B112,update_Allocation!$D$8:$Q$235,update_Allocation!M$239,0)</f>
        <v>9571.9792757118794</v>
      </c>
      <c r="X112" s="262">
        <f>VLOOKUP($B112,update_Allocation!$D$8:$Q$235,update_Allocation!N$239,0)</f>
        <v>8390.0699362423566</v>
      </c>
      <c r="Y112" s="263">
        <f>VLOOKUP($B112,update_Allocation!$D$8:$Q$235,update_Allocation!O$239,0)</f>
        <v>50166.571963375412</v>
      </c>
      <c r="Z112" s="262">
        <f t="shared" si="226"/>
        <v>25916.24609397836</v>
      </c>
      <c r="AA112" s="262">
        <f t="shared" si="226"/>
        <v>6173.4868560135137</v>
      </c>
      <c r="AB112" s="262">
        <f t="shared" si="226"/>
        <v>9537.8609126227711</v>
      </c>
      <c r="AC112" s="263">
        <f t="shared" si="226"/>
        <v>8360.1643708224565</v>
      </c>
      <c r="AD112" s="262">
        <f t="shared" si="227"/>
        <v>25916.24609397836</v>
      </c>
      <c r="AE112" s="262">
        <f t="shared" si="227"/>
        <v>6173.4868560135137</v>
      </c>
      <c r="AF112" s="262">
        <f t="shared" si="227"/>
        <v>9537.8609126227711</v>
      </c>
      <c r="AG112" s="263">
        <f t="shared" si="227"/>
        <v>8360.1643708224565</v>
      </c>
      <c r="AH112" s="262">
        <f t="shared" si="228"/>
        <v>26211.206807599938</v>
      </c>
      <c r="AI112" s="262">
        <f t="shared" si="228"/>
        <v>6533.0238919914382</v>
      </c>
      <c r="AJ112" s="262">
        <f t="shared" si="228"/>
        <v>9702.3612849947094</v>
      </c>
      <c r="AK112" s="262">
        <f t="shared" si="228"/>
        <v>8519.7244009799542</v>
      </c>
      <c r="AL112" s="263">
        <f t="shared" si="229"/>
        <v>50966.316385566039</v>
      </c>
      <c r="AM112" s="346"/>
      <c r="AN112" s="261">
        <f>IFERROR(VLOOKUP($A112,'HH &amp; SI'!$B$4:$Z$494,'HH &amp; SI'!V$503,0),0)</f>
        <v>25853.668934002355</v>
      </c>
      <c r="AO112" s="262">
        <f>IFERROR(VLOOKUP($A112,'HH &amp; SI'!$B$4:$Z$494,'HH &amp; SI'!W$503,0),0)</f>
        <v>6317.849970346927</v>
      </c>
      <c r="AP112" s="262">
        <f>IFERROR(VLOOKUP($A112,'HH &amp; SI'!$B$4:$Z$494,'HH &amp; SI'!X$503,0),0)</f>
        <v>9614.1220972514166</v>
      </c>
      <c r="AQ112" s="262">
        <f>IFERROR(VLOOKUP($A112,'HH &amp; SI'!$B$4:$Z$494,'HH &amp; SI'!Y$503,0),0)</f>
        <v>8425.8523743684764</v>
      </c>
      <c r="AR112" s="263">
        <f t="shared" si="241"/>
        <v>50211.493375969178</v>
      </c>
      <c r="AS112" s="346"/>
      <c r="AT112" s="323">
        <f>IFERROR(VLOOKUP(A112,'Afton FY16 Final'!$A$5:$BV$572,'Afton FY16 Final'!$BV$587,0),0)</f>
        <v>53786.944791663635</v>
      </c>
      <c r="AU112" s="346"/>
      <c r="AV112" s="444">
        <v>0</v>
      </c>
      <c r="AW112" s="262">
        <f>IFERROR(VLOOKUP($A112,'HH &amp; SI'!$B$4:$EY$503,'HH &amp; SI'!EX$503,0),0)</f>
        <v>0</v>
      </c>
      <c r="AX112" s="262">
        <f>IFERROR(VLOOKUP($A112,'HH &amp; SI'!$B$4:$EY$503,'HH &amp; SI'!EY$503,0),0)</f>
        <v>50211.493375969178</v>
      </c>
      <c r="AY112" s="262">
        <f>AX112/$AX$582*'update_State Admin 1004(b)'!$B$30*0.01</f>
        <v>480.56006196365701</v>
      </c>
      <c r="AZ112" s="263">
        <f t="shared" si="231"/>
        <v>49730.933314005524</v>
      </c>
      <c r="BA112" s="261">
        <f t="shared" si="232"/>
        <v>497.30933314005523</v>
      </c>
      <c r="BB112" s="262">
        <f t="shared" si="233"/>
        <v>49233.623980865472</v>
      </c>
      <c r="BC112" s="341">
        <f t="shared" si="157"/>
        <v>0.91534524170437959</v>
      </c>
      <c r="BD112" s="346"/>
      <c r="BE112" s="376" t="str">
        <f>'Original Title I &amp; II'!AZ112</f>
        <v/>
      </c>
      <c r="BF112" s="243" t="str">
        <f t="shared" si="234"/>
        <v/>
      </c>
      <c r="BG112" s="263">
        <f t="shared" si="220"/>
        <v>49233.623980865472</v>
      </c>
      <c r="BI112" s="31">
        <f>IFERROR(VLOOKUP(A112,'Title II Hold Harmless'!A$1:B$439,2, FALSE),"")</f>
        <v>12530</v>
      </c>
      <c r="BJ112" s="31">
        <f t="shared" si="235"/>
        <v>13490.000899083598</v>
      </c>
      <c r="BK112" s="31">
        <f t="shared" si="236"/>
        <v>13503.051016135154</v>
      </c>
      <c r="BL112" s="31" t="str">
        <f t="shared" si="237"/>
        <v/>
      </c>
      <c r="BM112" s="31">
        <f t="shared" si="238"/>
        <v>13503.051016135154</v>
      </c>
      <c r="BN112" s="200"/>
      <c r="BP112" s="295" t="s">
        <v>1447</v>
      </c>
      <c r="BQ112" s="296" t="str">
        <f t="shared" si="145"/>
        <v>Y</v>
      </c>
      <c r="BR112" s="297" t="s">
        <v>1448</v>
      </c>
      <c r="BT112" s="295" t="str">
        <f t="shared" si="146"/>
        <v>Y</v>
      </c>
      <c r="BU112" s="296" t="str">
        <f t="shared" si="239"/>
        <v>Y</v>
      </c>
      <c r="BV112" s="296" t="str">
        <f t="shared" si="240"/>
        <v>Y</v>
      </c>
      <c r="BW112" s="297" t="str">
        <f t="shared" si="149"/>
        <v>Y</v>
      </c>
      <c r="BY112" s="352">
        <f t="shared" si="150"/>
        <v>0</v>
      </c>
      <c r="BZ112" s="353">
        <f t="shared" si="151"/>
        <v>0.9</v>
      </c>
      <c r="CA112" s="353">
        <f t="shared" si="152"/>
        <v>0</v>
      </c>
      <c r="CB112" s="354">
        <f t="shared" si="153"/>
        <v>0.9</v>
      </c>
      <c r="CD112" s="311">
        <f t="shared" si="154"/>
        <v>107</v>
      </c>
    </row>
    <row r="113" spans="1:82" outlineLevel="1" x14ac:dyDescent="0.3">
      <c r="A113" s="1">
        <v>150576000</v>
      </c>
      <c r="B113" s="47">
        <f>VLOOKUP(C113,'NCES ID'!$A$2:$B$3136,2,FALSE)</f>
        <v>401160</v>
      </c>
      <c r="C113" s="47">
        <f>VLOOKUP(A113,'State ID'!$A$2:$B$713,2,FALSE)</f>
        <v>4515</v>
      </c>
      <c r="D113" s="147" t="s">
        <v>69</v>
      </c>
      <c r="E113" s="47" t="s">
        <v>70</v>
      </c>
      <c r="F113" s="382">
        <f>IFERROR(VLOOKUP($B113,'update_Formula counts'!$D$7:$R$234,'update_Formula counts'!F$5,0),0)</f>
        <v>116</v>
      </c>
      <c r="G113" s="382">
        <f>IFERROR(VLOOKUP($B113,'update_Formula counts'!$D$7:$R$234,'update_Formula counts'!G$5,0),0)</f>
        <v>0</v>
      </c>
      <c r="H113" s="382">
        <f>IFERROR(VLOOKUP($B113,'update_Formula counts'!$D$7:$R$234,'update_Formula counts'!H$5,0),0)</f>
        <v>0</v>
      </c>
      <c r="I113" s="382">
        <f>IFERROR(VLOOKUP($B113,'update_Formula counts'!$D$7:$R$234,'update_Formula counts'!I$5,0),0)</f>
        <v>4</v>
      </c>
      <c r="J113" s="382">
        <f>IFERROR(VLOOKUP($B113,'update_Formula counts'!$D$7:$R$234,'update_Formula counts'!J$5,0),0)</f>
        <v>0</v>
      </c>
      <c r="K113" s="382">
        <f t="shared" si="221"/>
        <v>116</v>
      </c>
      <c r="L113" s="444">
        <f>IFERROR(VLOOKUP($B113,'update_Formula counts'!$D$7:$R$234,'update_Formula counts'!L$5,0),0)</f>
        <v>319</v>
      </c>
      <c r="M113" s="445">
        <f>IFERROR(VLOOKUP($B113,'update_Formula counts'!$D$7:$R$234,'update_Formula counts'!K$5,0),0)</f>
        <v>120</v>
      </c>
      <c r="N113" s="446">
        <f>IFERROR(VLOOKUP($B113,'update_Formula counts'!$D$7:$R$234,'update_Formula counts'!M$5,0),0)</f>
        <v>0.37617554858934171</v>
      </c>
      <c r="O113" s="137">
        <f>VLOOKUP($C113,'Final SEA Counts'!$A$2:$F$709,5,FALSE)</f>
        <v>86</v>
      </c>
      <c r="P113" s="208">
        <f>VLOOKUP($C113,'Final SEA Counts'!$A$2:$F$709,6,FALSE)</f>
        <v>86</v>
      </c>
      <c r="Q113" s="748">
        <f t="shared" si="222"/>
        <v>-0.42912845264772687</v>
      </c>
      <c r="R113" s="444">
        <f t="shared" si="223"/>
        <v>317.31797663057421</v>
      </c>
      <c r="S113" s="445">
        <f t="shared" si="224"/>
        <v>119.57087154735227</v>
      </c>
      <c r="T113" s="229">
        <f t="shared" si="225"/>
        <v>0.376817200263943</v>
      </c>
      <c r="U113" s="261">
        <f>VLOOKUP($B113,update_Allocation!$D$8:$Q$235,update_Allocation!K$239,0)</f>
        <v>57325.180860080167</v>
      </c>
      <c r="V113" s="262">
        <f>VLOOKUP($B113,update_Allocation!$D$8:$Q$235,update_Allocation!L$239,0)</f>
        <v>13573.909214080148</v>
      </c>
      <c r="W113" s="262">
        <f>VLOOKUP($B113,update_Allocation!$D$8:$Q$235,update_Allocation!M$239,0)</f>
        <v>34380.312848336485</v>
      </c>
      <c r="X113" s="262">
        <f>VLOOKUP($B113,update_Allocation!$D$8:$Q$235,update_Allocation!N$239,0)</f>
        <v>36134.456260237515</v>
      </c>
      <c r="Y113" s="263">
        <f>VLOOKUP($B113,update_Allocation!$D$8:$Q$235,update_Allocation!O$239,0)</f>
        <v>141413.8591827343</v>
      </c>
      <c r="Z113" s="262">
        <f t="shared" si="226"/>
        <v>57120.850984471697</v>
      </c>
      <c r="AA113" s="262">
        <f t="shared" si="226"/>
        <v>13525.526371852344</v>
      </c>
      <c r="AB113" s="262">
        <f t="shared" si="226"/>
        <v>34257.767660649639</v>
      </c>
      <c r="AC113" s="263">
        <f t="shared" si="226"/>
        <v>36005.658603744196</v>
      </c>
      <c r="AD113" s="262">
        <f t="shared" si="227"/>
        <v>57120.850984471697</v>
      </c>
      <c r="AE113" s="262">
        <f t="shared" si="227"/>
        <v>13525.526371852344</v>
      </c>
      <c r="AF113" s="262">
        <f t="shared" si="227"/>
        <v>34257.767660649639</v>
      </c>
      <c r="AG113" s="263">
        <f t="shared" si="227"/>
        <v>36005.658603744196</v>
      </c>
      <c r="AH113" s="262">
        <f t="shared" si="228"/>
        <v>57415.811698093275</v>
      </c>
      <c r="AI113" s="262">
        <f t="shared" si="228"/>
        <v>13885.063407830268</v>
      </c>
      <c r="AJ113" s="262">
        <f t="shared" si="228"/>
        <v>34422.268033021581</v>
      </c>
      <c r="AK113" s="262">
        <f t="shared" si="228"/>
        <v>36165.218633901692</v>
      </c>
      <c r="AL113" s="263">
        <f t="shared" si="229"/>
        <v>141888.36177284681</v>
      </c>
      <c r="AM113" s="346"/>
      <c r="AN113" s="261">
        <f>IFERROR(VLOOKUP($A113,'HH &amp; SI'!$B$4:$Z$494,'HH &amp; SI'!V$503,0),0)</f>
        <v>56779.719141204259</v>
      </c>
      <c r="AO113" s="262">
        <f>IFERROR(VLOOKUP($A113,'HH &amp; SI'!$B$4:$Z$494,'HH &amp; SI'!W$503,0),0)</f>
        <v>13427.740184290855</v>
      </c>
      <c r="AP113" s="262">
        <f>IFERROR(VLOOKUP($A113,'HH &amp; SI'!$B$4:$Z$494,'HH &amp; SI'!X$503,0),0)</f>
        <v>34109.210944927647</v>
      </c>
      <c r="AQ113" s="262">
        <f>IFERROR(VLOOKUP($A113,'HH &amp; SI'!$B$4:$Z$494,'HH &amp; SI'!Y$503,0),0)</f>
        <v>35794.693453658198</v>
      </c>
      <c r="AR113" s="263">
        <f t="shared" si="241"/>
        <v>140111.36372408096</v>
      </c>
      <c r="AS113" s="346"/>
      <c r="AT113" s="323">
        <f>IFERROR(VLOOKUP(A113,'Afton FY16 Final'!$A$5:$BV$572,'Afton FY16 Final'!$BV$587,0),0)</f>
        <v>142140.17382515335</v>
      </c>
      <c r="AU113" s="346"/>
      <c r="AV113" s="444">
        <v>0</v>
      </c>
      <c r="AW113" s="262">
        <f>IFERROR(VLOOKUP($A113,'HH &amp; SI'!$B$4:$EY$503,'HH &amp; SI'!EX$503,0),0)</f>
        <v>0</v>
      </c>
      <c r="AX113" s="262">
        <f>IFERROR(VLOOKUP($A113,'HH &amp; SI'!$B$4:$EY$503,'HH &amp; SI'!EY$503,0),0)</f>
        <v>140111.36372408096</v>
      </c>
      <c r="AY113" s="262">
        <f>AX113/$AX$582*'update_State Admin 1004(b)'!$B$30*0.01</f>
        <v>1340.9664024309095</v>
      </c>
      <c r="AZ113" s="263">
        <f t="shared" si="231"/>
        <v>138770.39732165006</v>
      </c>
      <c r="BA113" s="261">
        <f t="shared" si="232"/>
        <v>1387.7039732165006</v>
      </c>
      <c r="BB113" s="262">
        <f t="shared" si="233"/>
        <v>137382.69334843356</v>
      </c>
      <c r="BC113" s="341">
        <f t="shared" si="157"/>
        <v>0.96652965626331677</v>
      </c>
      <c r="BD113" s="346"/>
      <c r="BE113" s="376" t="str">
        <f>'Original Title I &amp; II'!AZ113</f>
        <v/>
      </c>
      <c r="BF113" s="243" t="str">
        <f t="shared" si="234"/>
        <v/>
      </c>
      <c r="BG113" s="263">
        <f t="shared" si="220"/>
        <v>137382.69334843356</v>
      </c>
      <c r="BI113" s="31">
        <f>IFERROR(VLOOKUP(A113,'Title II Hold Harmless'!A$1:B$439,2, FALSE),"")</f>
        <v>6923</v>
      </c>
      <c r="BJ113" s="31">
        <f t="shared" si="235"/>
        <v>8743.6668277752851</v>
      </c>
      <c r="BK113" s="31">
        <f t="shared" si="236"/>
        <v>8752.1253798847974</v>
      </c>
      <c r="BL113" s="31" t="str">
        <f t="shared" si="237"/>
        <v/>
      </c>
      <c r="BM113" s="31">
        <f t="shared" si="238"/>
        <v>8752.1253798847974</v>
      </c>
      <c r="BN113" s="200"/>
      <c r="BP113" s="295" t="s">
        <v>1447</v>
      </c>
      <c r="BQ113" s="296" t="str">
        <f t="shared" si="145"/>
        <v>Y</v>
      </c>
      <c r="BR113" s="297" t="s">
        <v>1448</v>
      </c>
      <c r="BT113" s="295" t="str">
        <f t="shared" si="146"/>
        <v>Y</v>
      </c>
      <c r="BU113" s="296" t="str">
        <f t="shared" si="239"/>
        <v>Y</v>
      </c>
      <c r="BV113" s="296" t="str">
        <f t="shared" si="240"/>
        <v>Y</v>
      </c>
      <c r="BW113" s="297" t="str">
        <f t="shared" si="149"/>
        <v>Y</v>
      </c>
      <c r="BY113" s="352">
        <f t="shared" si="150"/>
        <v>0</v>
      </c>
      <c r="BZ113" s="353">
        <f t="shared" si="151"/>
        <v>0</v>
      </c>
      <c r="CA113" s="353">
        <f t="shared" si="152"/>
        <v>0.95</v>
      </c>
      <c r="CB113" s="354">
        <f t="shared" si="153"/>
        <v>0.95</v>
      </c>
      <c r="CD113" s="311">
        <f t="shared" si="154"/>
        <v>108</v>
      </c>
    </row>
    <row r="114" spans="1:82" outlineLevel="1" x14ac:dyDescent="0.3">
      <c r="A114" s="1">
        <v>150227000</v>
      </c>
      <c r="B114" s="47">
        <f>VLOOKUP(C114,'NCES ID'!$A$2:$B$3136,2,FALSE)</f>
        <v>405980</v>
      </c>
      <c r="C114" s="47">
        <f>VLOOKUP(A114,'State ID'!$A$2:$B$713,2,FALSE)</f>
        <v>4510</v>
      </c>
      <c r="D114" s="147" t="s">
        <v>325</v>
      </c>
      <c r="E114" s="47" t="s">
        <v>70</v>
      </c>
      <c r="F114" s="382">
        <f>IFERROR(VLOOKUP($B114,'update_Formula counts'!$D$7:$R$234,'update_Formula counts'!F$5,0),0)</f>
        <v>565</v>
      </c>
      <c r="G114" s="382">
        <f>IFERROR(VLOOKUP($B114,'update_Formula counts'!$D$7:$R$234,'update_Formula counts'!G$5,0),0)</f>
        <v>0</v>
      </c>
      <c r="H114" s="382">
        <f>IFERROR(VLOOKUP($B114,'update_Formula counts'!$D$7:$R$234,'update_Formula counts'!H$5,0),0)</f>
        <v>0</v>
      </c>
      <c r="I114" s="382">
        <f>IFERROR(VLOOKUP($B114,'update_Formula counts'!$D$7:$R$234,'update_Formula counts'!I$5,0),0)</f>
        <v>22</v>
      </c>
      <c r="J114" s="382">
        <f>IFERROR(VLOOKUP($B114,'update_Formula counts'!$D$7:$R$234,'update_Formula counts'!J$5,0),0)</f>
        <v>0</v>
      </c>
      <c r="K114" s="382">
        <f t="shared" si="221"/>
        <v>565</v>
      </c>
      <c r="L114" s="444">
        <f>IFERROR(VLOOKUP($B114,'update_Formula counts'!$D$7:$R$234,'update_Formula counts'!L$5,0),0)</f>
        <v>1699</v>
      </c>
      <c r="M114" s="445">
        <f>IFERROR(VLOOKUP($B114,'update_Formula counts'!$D$7:$R$234,'update_Formula counts'!K$5,0),0)</f>
        <v>587</v>
      </c>
      <c r="N114" s="446">
        <f>IFERROR(VLOOKUP($B114,'update_Formula counts'!$D$7:$R$234,'update_Formula counts'!M$5,0),0)</f>
        <v>0.34549735138316656</v>
      </c>
      <c r="O114" s="137">
        <f>VLOOKUP($C114,'Final SEA Counts'!$A$2:$F$709,5,FALSE)</f>
        <v>1858</v>
      </c>
      <c r="P114" s="208">
        <f>VLOOKUP($C114,'Final SEA Counts'!$A$2:$F$709,6,FALSE)</f>
        <v>1475</v>
      </c>
      <c r="Q114" s="748">
        <f t="shared" si="222"/>
        <v>-2.0901515150514283</v>
      </c>
      <c r="R114" s="444">
        <f t="shared" si="223"/>
        <v>1690.041511897635</v>
      </c>
      <c r="S114" s="445">
        <f t="shared" si="224"/>
        <v>584.90984848494861</v>
      </c>
      <c r="T114" s="229">
        <f t="shared" si="225"/>
        <v>0.34609200091670667</v>
      </c>
      <c r="U114" s="261">
        <f>VLOOKUP($B114,update_Allocation!$D$8:$Q$235,update_Allocation!K$239,0)</f>
        <v>277586.4556610767</v>
      </c>
      <c r="V114" s="262">
        <f>VLOOKUP($B114,update_Allocation!$D$8:$Q$235,update_Allocation!L$239,0)</f>
        <v>66123.632613181908</v>
      </c>
      <c r="W114" s="262">
        <f>VLOOKUP($B114,update_Allocation!$D$8:$Q$235,update_Allocation!M$239,0)</f>
        <v>148877.66981346137</v>
      </c>
      <c r="X114" s="262">
        <f>VLOOKUP($B114,update_Allocation!$D$8:$Q$235,update_Allocation!N$239,0)</f>
        <v>136924.83549815012</v>
      </c>
      <c r="Y114" s="263">
        <f>VLOOKUP($B114,update_Allocation!$D$8:$Q$235,update_Allocation!O$239,0)</f>
        <v>629512.59358587011</v>
      </c>
      <c r="Z114" s="262">
        <f t="shared" si="226"/>
        <v>276597.02649391431</v>
      </c>
      <c r="AA114" s="262">
        <f t="shared" si="226"/>
        <v>65887.941535998747</v>
      </c>
      <c r="AB114" s="262">
        <f t="shared" si="226"/>
        <v>148347.01024470897</v>
      </c>
      <c r="AC114" s="263">
        <f t="shared" si="226"/>
        <v>136436.78061222949</v>
      </c>
      <c r="AD114" s="262">
        <f t="shared" si="227"/>
        <v>276597.02649391431</v>
      </c>
      <c r="AE114" s="262">
        <f t="shared" si="227"/>
        <v>65887.941535998747</v>
      </c>
      <c r="AF114" s="262">
        <f t="shared" si="227"/>
        <v>148347.01024470897</v>
      </c>
      <c r="AG114" s="263">
        <f t="shared" si="227"/>
        <v>136436.78061222949</v>
      </c>
      <c r="AH114" s="262">
        <f t="shared" si="228"/>
        <v>276891.98720753589</v>
      </c>
      <c r="AI114" s="262">
        <f t="shared" si="228"/>
        <v>66247.478571976666</v>
      </c>
      <c r="AJ114" s="262">
        <f t="shared" si="228"/>
        <v>148511.5106170809</v>
      </c>
      <c r="AK114" s="262">
        <f t="shared" si="228"/>
        <v>136596.34064238699</v>
      </c>
      <c r="AL114" s="263">
        <f t="shared" si="229"/>
        <v>628247.31703898043</v>
      </c>
      <c r="AM114" s="346"/>
      <c r="AN114" s="261">
        <f>IFERROR(VLOOKUP($A114,'HH &amp; SI'!$B$4:$Z$494,'HH &amp; SI'!V$503,0),0)</f>
        <v>273115.00078149745</v>
      </c>
      <c r="AO114" s="262">
        <f>IFERROR(VLOOKUP($A114,'HH &amp; SI'!$B$4:$Z$494,'HH &amp; SI'!W$503,0),0)</f>
        <v>65018.273324248024</v>
      </c>
      <c r="AP114" s="262">
        <f>IFERROR(VLOOKUP($A114,'HH &amp; SI'!$B$4:$Z$494,'HH &amp; SI'!X$503,0),0)</f>
        <v>147160.85641214545</v>
      </c>
      <c r="AQ114" s="262">
        <f>IFERROR(VLOOKUP($A114,'HH &amp; SI'!$B$4:$Z$494,'HH &amp; SI'!Y$503,0),0)</f>
        <v>135984.80575730759</v>
      </c>
      <c r="AR114" s="263">
        <f t="shared" si="241"/>
        <v>621278.93627519847</v>
      </c>
      <c r="AS114" s="346"/>
      <c r="AT114" s="323">
        <f>IFERROR(VLOOKUP(A114,'Afton FY16 Final'!$A$5:$BV$572,'Afton FY16 Final'!$BV$587,0),0)</f>
        <v>621706.30275836005</v>
      </c>
      <c r="AU114" s="346"/>
      <c r="AV114" s="444">
        <v>0</v>
      </c>
      <c r="AW114" s="262">
        <f>IFERROR(VLOOKUP($A114,'HH &amp; SI'!$B$4:$EY$503,'HH &amp; SI'!EX$503,0),0)</f>
        <v>0</v>
      </c>
      <c r="AX114" s="262">
        <f>IFERROR(VLOOKUP($A114,'HH &amp; SI'!$B$4:$EY$503,'HH &amp; SI'!EY$503,0),0)</f>
        <v>621278.93627519847</v>
      </c>
      <c r="AY114" s="262">
        <f>AX114/$AX$582*'update_State Admin 1004(b)'!$B$30*0.01</f>
        <v>5946.0857273767842</v>
      </c>
      <c r="AZ114" s="263">
        <f t="shared" si="231"/>
        <v>615332.85054782173</v>
      </c>
      <c r="BA114" s="261">
        <f t="shared" si="232"/>
        <v>6153.3285054782173</v>
      </c>
      <c r="BB114" s="262">
        <f t="shared" si="233"/>
        <v>609179.52204234351</v>
      </c>
      <c r="BC114" s="341">
        <f t="shared" si="157"/>
        <v>0.97985096715211306</v>
      </c>
      <c r="BD114" s="346"/>
      <c r="BE114" s="376" t="str">
        <f>'Original Title I &amp; II'!AZ114</f>
        <v/>
      </c>
      <c r="BF114" s="243" t="str">
        <f t="shared" si="234"/>
        <v/>
      </c>
      <c r="BG114" s="263">
        <f t="shared" si="220"/>
        <v>609179.52204234351</v>
      </c>
      <c r="BI114" s="31">
        <f>IFERROR(VLOOKUP(A114,'Title II Hold Harmless'!A$1:B$439,2, FALSE),"")</f>
        <v>80769</v>
      </c>
      <c r="BJ114" s="31">
        <f t="shared" si="235"/>
        <v>89786.136799227897</v>
      </c>
      <c r="BK114" s="31">
        <f t="shared" si="236"/>
        <v>89872.995177044359</v>
      </c>
      <c r="BL114" s="31" t="str">
        <f t="shared" si="237"/>
        <v/>
      </c>
      <c r="BM114" s="31">
        <f t="shared" si="238"/>
        <v>89872.995177044359</v>
      </c>
      <c r="BN114" s="200"/>
      <c r="BP114" s="295" t="s">
        <v>1447</v>
      </c>
      <c r="BQ114" s="296" t="str">
        <f t="shared" si="145"/>
        <v>Y</v>
      </c>
      <c r="BR114" s="297" t="s">
        <v>1448</v>
      </c>
      <c r="BT114" s="295" t="str">
        <f t="shared" si="146"/>
        <v>Y</v>
      </c>
      <c r="BU114" s="296" t="str">
        <f t="shared" si="239"/>
        <v>Y</v>
      </c>
      <c r="BV114" s="296" t="str">
        <f t="shared" si="240"/>
        <v>Y</v>
      </c>
      <c r="BW114" s="297" t="str">
        <f t="shared" si="149"/>
        <v>Y</v>
      </c>
      <c r="BY114" s="352">
        <f t="shared" si="150"/>
        <v>0</v>
      </c>
      <c r="BZ114" s="353">
        <f t="shared" si="151"/>
        <v>0</v>
      </c>
      <c r="CA114" s="353">
        <f t="shared" si="152"/>
        <v>0.95</v>
      </c>
      <c r="CB114" s="354">
        <f t="shared" si="153"/>
        <v>0.95</v>
      </c>
      <c r="CD114" s="311">
        <f t="shared" si="154"/>
        <v>109</v>
      </c>
    </row>
    <row r="115" spans="1:82" s="48" customFormat="1" outlineLevel="1" x14ac:dyDescent="0.3">
      <c r="A115" s="202"/>
      <c r="D115" s="48" t="s">
        <v>1411</v>
      </c>
      <c r="E115" s="48" t="s">
        <v>70</v>
      </c>
      <c r="F115" s="755"/>
      <c r="G115" s="755"/>
      <c r="H115" s="755"/>
      <c r="I115" s="755"/>
      <c r="J115" s="755"/>
      <c r="K115" s="755"/>
      <c r="L115" s="454"/>
      <c r="M115" s="455"/>
      <c r="N115" s="456"/>
      <c r="O115" s="211">
        <f>'AVA Metrics'!C8</f>
        <v>13.735645383555353</v>
      </c>
      <c r="P115" s="212">
        <f>'AVA Metrics'!D8</f>
        <v>7.186495176848875</v>
      </c>
      <c r="Q115" s="749"/>
      <c r="R115" s="454">
        <f>O115</f>
        <v>13.735645383555353</v>
      </c>
      <c r="S115" s="455">
        <f>P115*$B$117</f>
        <v>3.1259788145459417</v>
      </c>
      <c r="T115" s="230">
        <f t="shared" si="225"/>
        <v>0.22758150252542478</v>
      </c>
      <c r="U115" s="264"/>
      <c r="V115" s="265"/>
      <c r="W115" s="265"/>
      <c r="X115" s="265"/>
      <c r="Y115" s="266"/>
      <c r="Z115" s="265">
        <f>$S115*U$118</f>
        <v>1474.8035681079052</v>
      </c>
      <c r="AA115" s="265">
        <f>$S115*V$118</f>
        <v>356.08777119528236</v>
      </c>
      <c r="AB115" s="265">
        <f>$S115*W$118</f>
        <v>822.50186185969108</v>
      </c>
      <c r="AC115" s="266">
        <f>$S115*X$118</f>
        <v>797.80015078747726</v>
      </c>
      <c r="AD115" s="265" t="str">
        <f t="shared" si="227"/>
        <v/>
      </c>
      <c r="AE115" s="265" t="str">
        <f t="shared" si="227"/>
        <v/>
      </c>
      <c r="AF115" s="265" t="str">
        <f t="shared" si="227"/>
        <v/>
      </c>
      <c r="AG115" s="266" t="str">
        <f t="shared" si="227"/>
        <v/>
      </c>
      <c r="AH115" s="265" t="str">
        <f t="shared" si="228"/>
        <v/>
      </c>
      <c r="AI115" s="265" t="str">
        <f t="shared" si="228"/>
        <v/>
      </c>
      <c r="AJ115" s="265" t="str">
        <f t="shared" si="228"/>
        <v/>
      </c>
      <c r="AK115" s="265" t="str">
        <f t="shared" si="228"/>
        <v/>
      </c>
      <c r="AL115" s="266">
        <f t="shared" si="229"/>
        <v>0</v>
      </c>
      <c r="AM115" s="347"/>
      <c r="AN115" s="264">
        <f>IFERROR(VLOOKUP($A115,'HH &amp; SI'!$B$4:$Z$494,'HH &amp; SI'!V$503,0),0)</f>
        <v>0</v>
      </c>
      <c r="AO115" s="265">
        <f>IFERROR(VLOOKUP($A115,'HH &amp; SI'!$B$4:$Z$494,'HH &amp; SI'!W$503,0),0)</f>
        <v>0</v>
      </c>
      <c r="AP115" s="265">
        <f>IFERROR(VLOOKUP($A115,'HH &amp; SI'!$B$4:$Z$494,'HH &amp; SI'!X$503,0),0)</f>
        <v>0</v>
      </c>
      <c r="AQ115" s="265">
        <f>IFERROR(VLOOKUP($A115,'HH &amp; SI'!$B$4:$Z$494,'HH &amp; SI'!Y$503,0),0)</f>
        <v>0</v>
      </c>
      <c r="AR115" s="266">
        <f t="shared" si="241"/>
        <v>0</v>
      </c>
      <c r="AS115" s="347"/>
      <c r="AT115" s="324">
        <f>IFERROR(VLOOKUP(A115,'Afton FY16 Final'!$A$5:$BV$572,'Afton FY16 Final'!$BV$587,0),0)</f>
        <v>0</v>
      </c>
      <c r="AU115" s="347"/>
      <c r="AV115" s="454">
        <v>0</v>
      </c>
      <c r="AW115" s="265">
        <f>IFERROR(VLOOKUP($A115,'HH &amp; SI'!$B$4:$EY$503,'HH &amp; SI'!EX$503,0),0)</f>
        <v>0</v>
      </c>
      <c r="AX115" s="265">
        <f>IFERROR(VLOOKUP($A115,'HH &amp; SI'!$B$4:$EY$503,'HH &amp; SI'!EY$503,0),0)</f>
        <v>0</v>
      </c>
      <c r="AY115" s="265"/>
      <c r="AZ115" s="266"/>
      <c r="BA115" s="264"/>
      <c r="BB115" s="265"/>
      <c r="BC115" s="342" t="str">
        <f t="shared" si="157"/>
        <v/>
      </c>
      <c r="BD115" s="347"/>
      <c r="BE115" s="377">
        <f>'Original Title I &amp; II'!AZ115</f>
        <v>0</v>
      </c>
      <c r="BF115" s="244"/>
      <c r="BG115" s="266">
        <f t="shared" si="220"/>
        <v>0</v>
      </c>
      <c r="BI115" s="203"/>
      <c r="BJ115" s="203"/>
      <c r="BK115" s="203"/>
      <c r="BL115" s="203"/>
      <c r="BM115" s="203"/>
      <c r="BN115" s="200"/>
      <c r="BP115" s="298" t="s">
        <v>1448</v>
      </c>
      <c r="BQ115" s="299" t="str">
        <f t="shared" si="145"/>
        <v>Y</v>
      </c>
      <c r="BR115" s="300" t="s">
        <v>1448</v>
      </c>
      <c r="BT115" s="298" t="str">
        <f t="shared" si="146"/>
        <v>N</v>
      </c>
      <c r="BU115" s="299" t="str">
        <f t="shared" si="239"/>
        <v>N</v>
      </c>
      <c r="BV115" s="299" t="str">
        <f t="shared" si="240"/>
        <v>N</v>
      </c>
      <c r="BW115" s="300" t="str">
        <f t="shared" si="149"/>
        <v>N</v>
      </c>
      <c r="BY115" s="355">
        <f t="shared" si="150"/>
        <v>0</v>
      </c>
      <c r="BZ115" s="356">
        <f t="shared" si="151"/>
        <v>0.9</v>
      </c>
      <c r="CA115" s="356">
        <f t="shared" si="152"/>
        <v>0</v>
      </c>
      <c r="CB115" s="357">
        <f t="shared" si="153"/>
        <v>0.9</v>
      </c>
      <c r="CD115" s="312">
        <f t="shared" si="154"/>
        <v>110</v>
      </c>
    </row>
    <row r="116" spans="1:82" s="197" customFormat="1" outlineLevel="1" x14ac:dyDescent="0.3">
      <c r="A116" s="196"/>
      <c r="D116" s="197" t="s">
        <v>878</v>
      </c>
      <c r="F116" s="756"/>
      <c r="G116" s="756"/>
      <c r="H116" s="756"/>
      <c r="I116" s="756"/>
      <c r="J116" s="756"/>
      <c r="K116" s="756"/>
      <c r="L116" s="757"/>
      <c r="M116" s="758"/>
      <c r="N116" s="768"/>
      <c r="O116" s="214"/>
      <c r="P116" s="216"/>
      <c r="Q116" s="750"/>
      <c r="R116" s="757">
        <f>SUM(R115)</f>
        <v>13.735645383555353</v>
      </c>
      <c r="S116" s="758">
        <f>SUM(S115)</f>
        <v>3.1259788145459417</v>
      </c>
      <c r="T116" s="231"/>
      <c r="U116" s="267"/>
      <c r="V116" s="268"/>
      <c r="W116" s="268"/>
      <c r="X116" s="268"/>
      <c r="Y116" s="269"/>
      <c r="Z116" s="268">
        <f t="shared" ref="Z116:AC116" si="242">SUM(Z115)</f>
        <v>1474.8035681079052</v>
      </c>
      <c r="AA116" s="268">
        <f t="shared" si="242"/>
        <v>356.08777119528236</v>
      </c>
      <c r="AB116" s="268">
        <f t="shared" si="242"/>
        <v>822.50186185969108</v>
      </c>
      <c r="AC116" s="269">
        <f t="shared" si="242"/>
        <v>797.80015078747726</v>
      </c>
      <c r="AD116" s="268"/>
      <c r="AE116" s="268"/>
      <c r="AF116" s="268"/>
      <c r="AG116" s="269"/>
      <c r="AH116" s="268"/>
      <c r="AI116" s="268"/>
      <c r="AJ116" s="268"/>
      <c r="AK116" s="268"/>
      <c r="AL116" s="269"/>
      <c r="AM116" s="348"/>
      <c r="AN116" s="267"/>
      <c r="AO116" s="268"/>
      <c r="AP116" s="268"/>
      <c r="AQ116" s="268"/>
      <c r="AR116" s="269"/>
      <c r="AS116" s="348"/>
      <c r="AT116" s="325"/>
      <c r="AU116" s="348"/>
      <c r="AV116" s="757"/>
      <c r="AW116" s="268"/>
      <c r="AX116" s="268"/>
      <c r="AY116" s="268"/>
      <c r="AZ116" s="269"/>
      <c r="BA116" s="267"/>
      <c r="BB116" s="268"/>
      <c r="BC116" s="343" t="str">
        <f t="shared" si="157"/>
        <v/>
      </c>
      <c r="BD116" s="348"/>
      <c r="BE116" s="371"/>
      <c r="BF116" s="369"/>
      <c r="BG116" s="269"/>
      <c r="BI116" s="198"/>
      <c r="BL116" s="198"/>
      <c r="BN116" s="199"/>
      <c r="BP116" s="301" t="s">
        <v>1450</v>
      </c>
      <c r="BQ116" s="302" t="str">
        <f t="shared" si="145"/>
        <v>N</v>
      </c>
      <c r="BR116" s="303" t="s">
        <v>1448</v>
      </c>
      <c r="BT116" s="301" t="str">
        <f t="shared" si="146"/>
        <v>N</v>
      </c>
      <c r="BU116" s="302" t="s">
        <v>1450</v>
      </c>
      <c r="BV116" s="302" t="s">
        <v>1450</v>
      </c>
      <c r="BW116" s="303" t="s">
        <v>1450</v>
      </c>
      <c r="BY116" s="358">
        <f t="shared" si="150"/>
        <v>0.85</v>
      </c>
      <c r="BZ116" s="359">
        <f t="shared" si="151"/>
        <v>0</v>
      </c>
      <c r="CA116" s="359">
        <f t="shared" si="152"/>
        <v>0</v>
      </c>
      <c r="CB116" s="360">
        <f t="shared" si="153"/>
        <v>0.85</v>
      </c>
      <c r="CD116" s="313">
        <f t="shared" si="154"/>
        <v>111</v>
      </c>
    </row>
    <row r="117" spans="1:82" s="197" customFormat="1" outlineLevel="1" x14ac:dyDescent="0.3">
      <c r="A117" s="196" t="s">
        <v>880</v>
      </c>
      <c r="B117" s="197">
        <f>M117/P117</f>
        <v>0.434979602382008</v>
      </c>
      <c r="D117" s="197" t="s">
        <v>879</v>
      </c>
      <c r="E117" s="197">
        <f t="shared" ref="E117:K117" si="243">SUM(E109:E115)</f>
        <v>0</v>
      </c>
      <c r="F117" s="756">
        <f t="shared" si="243"/>
        <v>845</v>
      </c>
      <c r="G117" s="756">
        <f t="shared" si="243"/>
        <v>0</v>
      </c>
      <c r="H117" s="756">
        <f t="shared" si="243"/>
        <v>0</v>
      </c>
      <c r="I117" s="756">
        <f t="shared" si="243"/>
        <v>32</v>
      </c>
      <c r="J117" s="756">
        <f t="shared" si="243"/>
        <v>0</v>
      </c>
      <c r="K117" s="756">
        <f t="shared" si="243"/>
        <v>845</v>
      </c>
      <c r="L117" s="757">
        <f>SUM(L109:L115)</f>
        <v>2605</v>
      </c>
      <c r="M117" s="758">
        <f>SUM(M109:M115)</f>
        <v>877</v>
      </c>
      <c r="N117" s="768"/>
      <c r="O117" s="217">
        <f>SUM(O109:O115)</f>
        <v>2415.7356453835555</v>
      </c>
      <c r="P117" s="218">
        <f>SUM(P109:P115)</f>
        <v>2016.1864951768489</v>
      </c>
      <c r="Q117" s="750"/>
      <c r="R117" s="757">
        <f>SUM(R109:R115)</f>
        <v>2605</v>
      </c>
      <c r="S117" s="758">
        <f>SUM(S109:S115)</f>
        <v>877</v>
      </c>
      <c r="T117" s="231"/>
      <c r="U117" s="267">
        <f>SUM(U109:U115)</f>
        <v>413759.27540267212</v>
      </c>
      <c r="V117" s="268">
        <f t="shared" ref="V117:AL117" si="244">SUM(V109:V115)</f>
        <v>99901.180994927374</v>
      </c>
      <c r="W117" s="268">
        <f t="shared" si="244"/>
        <v>230754.64539119889</v>
      </c>
      <c r="X117" s="268">
        <f t="shared" si="244"/>
        <v>223824.52785184566</v>
      </c>
      <c r="Y117" s="269">
        <f t="shared" si="244"/>
        <v>968239.62964064407</v>
      </c>
      <c r="Z117" s="268">
        <f t="shared" si="244"/>
        <v>413759.27540267212</v>
      </c>
      <c r="AA117" s="268">
        <f t="shared" si="244"/>
        <v>99901.180994927359</v>
      </c>
      <c r="AB117" s="268">
        <f t="shared" si="244"/>
        <v>230754.64539119889</v>
      </c>
      <c r="AC117" s="269">
        <f t="shared" si="244"/>
        <v>223824.52785184569</v>
      </c>
      <c r="AD117" s="268">
        <f t="shared" si="244"/>
        <v>412284.47183456423</v>
      </c>
      <c r="AE117" s="268">
        <f t="shared" si="244"/>
        <v>98103.495815037735</v>
      </c>
      <c r="AF117" s="268">
        <f t="shared" si="244"/>
        <v>229932.1435293392</v>
      </c>
      <c r="AG117" s="269">
        <f t="shared" si="244"/>
        <v>223026.7277010582</v>
      </c>
      <c r="AH117" s="268">
        <f t="shared" si="244"/>
        <v>413759.27540267212</v>
      </c>
      <c r="AI117" s="268">
        <f t="shared" si="244"/>
        <v>99901.180994927345</v>
      </c>
      <c r="AJ117" s="268">
        <f t="shared" si="244"/>
        <v>230754.64539119889</v>
      </c>
      <c r="AK117" s="268">
        <f t="shared" si="244"/>
        <v>223824.52785184569</v>
      </c>
      <c r="AL117" s="269">
        <f t="shared" si="244"/>
        <v>968239.62964064407</v>
      </c>
      <c r="AM117" s="348"/>
      <c r="AN117" s="267">
        <f t="shared" ref="AN117:AR117" si="245">SUM(AN109:AN115)</f>
        <v>408302.19089477236</v>
      </c>
      <c r="AO117" s="268">
        <f t="shared" ref="AO117" si="246">SUM(AO109:AO115)</f>
        <v>99021.076413549017</v>
      </c>
      <c r="AP117" s="268">
        <f t="shared" si="245"/>
        <v>228656.02198611069</v>
      </c>
      <c r="AQ117" s="268">
        <f t="shared" si="245"/>
        <v>222283.30514438701</v>
      </c>
      <c r="AR117" s="269">
        <f t="shared" si="245"/>
        <v>958262.59443881898</v>
      </c>
      <c r="AS117" s="348"/>
      <c r="AT117" s="325">
        <f t="shared" ref="AT117:BB117" si="247">SUM(AT109:AT115)</f>
        <v>983311.18600305193</v>
      </c>
      <c r="AU117" s="348"/>
      <c r="AV117" s="757">
        <f t="shared" si="247"/>
        <v>0</v>
      </c>
      <c r="AW117" s="268">
        <f t="shared" si="247"/>
        <v>0</v>
      </c>
      <c r="AX117" s="268">
        <f t="shared" si="247"/>
        <v>958262.59443881898</v>
      </c>
      <c r="AY117" s="268">
        <f t="shared" si="247"/>
        <v>9171.2614144507115</v>
      </c>
      <c r="AZ117" s="269">
        <f t="shared" si="247"/>
        <v>949091.33302436839</v>
      </c>
      <c r="BA117" s="267">
        <f t="shared" si="247"/>
        <v>9490.913330243684</v>
      </c>
      <c r="BB117" s="268">
        <f t="shared" si="247"/>
        <v>939600.41969412472</v>
      </c>
      <c r="BC117" s="343">
        <f t="shared" si="157"/>
        <v>0.95554737205156581</v>
      </c>
      <c r="BD117" s="348"/>
      <c r="BE117" s="371">
        <f t="shared" ref="BE117:BG117" si="248">SUM(BE109:BE115)</f>
        <v>0</v>
      </c>
      <c r="BF117" s="369">
        <f t="shared" si="248"/>
        <v>0</v>
      </c>
      <c r="BG117" s="269">
        <f t="shared" si="248"/>
        <v>939600.41969412472</v>
      </c>
      <c r="BI117" s="198"/>
      <c r="BL117" s="198"/>
      <c r="BN117" s="199"/>
      <c r="BP117" s="301" t="s">
        <v>1450</v>
      </c>
      <c r="BQ117" s="302" t="str">
        <f t="shared" si="145"/>
        <v>N</v>
      </c>
      <c r="BR117" s="303" t="s">
        <v>1448</v>
      </c>
      <c r="BT117" s="301" t="str">
        <f t="shared" si="146"/>
        <v>N</v>
      </c>
      <c r="BU117" s="302" t="s">
        <v>1450</v>
      </c>
      <c r="BV117" s="302" t="s">
        <v>1450</v>
      </c>
      <c r="BW117" s="303" t="s">
        <v>1450</v>
      </c>
      <c r="BY117" s="358">
        <f t="shared" si="150"/>
        <v>0.85</v>
      </c>
      <c r="BZ117" s="359">
        <f t="shared" si="151"/>
        <v>0</v>
      </c>
      <c r="CA117" s="359">
        <f t="shared" si="152"/>
        <v>0</v>
      </c>
      <c r="CB117" s="360">
        <f t="shared" si="153"/>
        <v>0.85</v>
      </c>
      <c r="CD117" s="313">
        <f t="shared" si="154"/>
        <v>112</v>
      </c>
    </row>
    <row r="118" spans="1:82" s="197" customFormat="1" outlineLevel="1" x14ac:dyDescent="0.3">
      <c r="A118" s="196"/>
      <c r="F118" s="756"/>
      <c r="G118" s="756"/>
      <c r="H118" s="756"/>
      <c r="I118" s="756"/>
      <c r="J118" s="756"/>
      <c r="K118" s="756"/>
      <c r="L118" s="757"/>
      <c r="M118" s="758"/>
      <c r="N118" s="768"/>
      <c r="O118" s="214"/>
      <c r="P118" s="216"/>
      <c r="Q118" s="750"/>
      <c r="R118" s="757"/>
      <c r="S118" s="758"/>
      <c r="T118" s="231"/>
      <c r="U118" s="267">
        <f>U117/$S117</f>
        <v>471.78936761992259</v>
      </c>
      <c r="V118" s="268">
        <f>V117/$S117</f>
        <v>113.91240706377124</v>
      </c>
      <c r="W118" s="268">
        <f>W117/$S117</f>
        <v>263.11818174595084</v>
      </c>
      <c r="X118" s="268">
        <f>X117/$S117</f>
        <v>255.21610929514898</v>
      </c>
      <c r="Y118" s="269" t="str">
        <f>IFERROR(VLOOKUP($B118,#REF!,12,FALSE),"")</f>
        <v/>
      </c>
      <c r="Z118" s="268"/>
      <c r="AA118" s="268"/>
      <c r="AB118" s="268"/>
      <c r="AC118" s="269"/>
      <c r="AD118" s="268">
        <f>(Z117-AD117)/COUNT(AD109:AD115)</f>
        <v>294.96071362157818</v>
      </c>
      <c r="AE118" s="268">
        <f t="shared" ref="AE118:AG118" si="249">(AA117-AE117)/COUNT(AE109:AE115)</f>
        <v>359.5370359779248</v>
      </c>
      <c r="AF118" s="268">
        <f t="shared" si="249"/>
        <v>164.50037237193902</v>
      </c>
      <c r="AG118" s="269">
        <f t="shared" si="249"/>
        <v>159.56003015749738</v>
      </c>
      <c r="AH118" s="268"/>
      <c r="AI118" s="268"/>
      <c r="AJ118" s="268"/>
      <c r="AK118" s="268"/>
      <c r="AL118" s="280"/>
      <c r="AM118" s="348"/>
      <c r="AN118" s="267"/>
      <c r="AO118" s="268"/>
      <c r="AP118" s="268"/>
      <c r="AQ118" s="268"/>
      <c r="AR118" s="280"/>
      <c r="AS118" s="348"/>
      <c r="AT118" s="325"/>
      <c r="AU118" s="348"/>
      <c r="AV118" s="757"/>
      <c r="AW118" s="268"/>
      <c r="AX118" s="268"/>
      <c r="AY118" s="268"/>
      <c r="AZ118" s="269"/>
      <c r="BA118" s="267"/>
      <c r="BB118" s="268"/>
      <c r="BC118" s="343" t="str">
        <f t="shared" si="157"/>
        <v/>
      </c>
      <c r="BD118" s="348"/>
      <c r="BE118" s="371"/>
      <c r="BF118" s="369"/>
      <c r="BG118" s="269"/>
      <c r="BI118" s="198"/>
      <c r="BL118" s="198"/>
      <c r="BN118" s="199"/>
      <c r="BP118" s="301" t="s">
        <v>1450</v>
      </c>
      <c r="BQ118" s="302" t="str">
        <f t="shared" si="145"/>
        <v>N</v>
      </c>
      <c r="BR118" s="303" t="s">
        <v>1448</v>
      </c>
      <c r="BT118" s="301" t="str">
        <f t="shared" si="146"/>
        <v>N</v>
      </c>
      <c r="BU118" s="302" t="s">
        <v>1450</v>
      </c>
      <c r="BV118" s="302" t="s">
        <v>1450</v>
      </c>
      <c r="BW118" s="303" t="s">
        <v>1450</v>
      </c>
      <c r="BY118" s="358">
        <f t="shared" si="150"/>
        <v>0.85</v>
      </c>
      <c r="BZ118" s="359">
        <f t="shared" si="151"/>
        <v>0</v>
      </c>
      <c r="CA118" s="359">
        <f t="shared" si="152"/>
        <v>0</v>
      </c>
      <c r="CB118" s="360">
        <f t="shared" si="153"/>
        <v>0.85</v>
      </c>
      <c r="CD118" s="313">
        <f t="shared" si="154"/>
        <v>113</v>
      </c>
    </row>
    <row r="119" spans="1:82" s="199" customFormat="1" outlineLevel="1" x14ac:dyDescent="0.3">
      <c r="A119" s="201"/>
      <c r="F119" s="759"/>
      <c r="G119" s="759"/>
      <c r="H119" s="759"/>
      <c r="I119" s="759"/>
      <c r="J119" s="759"/>
      <c r="K119" s="759"/>
      <c r="L119" s="509"/>
      <c r="M119" s="510"/>
      <c r="N119" s="511"/>
      <c r="O119" s="220"/>
      <c r="P119" s="222"/>
      <c r="Q119" s="751"/>
      <c r="R119" s="509"/>
      <c r="S119" s="510"/>
      <c r="T119" s="232"/>
      <c r="U119" s="270" t="str">
        <f>IFERROR(VLOOKUP($B119,#REF!,8,FALSE),"")</f>
        <v/>
      </c>
      <c r="V119" s="271" t="str">
        <f>IFERROR(VLOOKUP($B119,#REF!,9,FALSE),"")</f>
        <v/>
      </c>
      <c r="W119" s="271" t="str">
        <f>IFERROR(VLOOKUP($B119,#REF!,10,FALSE),"")</f>
        <v/>
      </c>
      <c r="X119" s="271" t="str">
        <f>IFERROR(VLOOKUP($B119,#REF!,11,FALSE),"")</f>
        <v/>
      </c>
      <c r="Y119" s="272" t="str">
        <f>IFERROR(VLOOKUP($B119,#REF!,12,FALSE),"")</f>
        <v/>
      </c>
      <c r="Z119" s="271"/>
      <c r="AA119" s="271"/>
      <c r="AB119" s="271"/>
      <c r="AC119" s="272"/>
      <c r="AD119" s="271"/>
      <c r="AE119" s="271"/>
      <c r="AF119" s="271"/>
      <c r="AG119" s="272"/>
      <c r="AH119" s="271"/>
      <c r="AI119" s="271"/>
      <c r="AJ119" s="271"/>
      <c r="AK119" s="271"/>
      <c r="AL119" s="272"/>
      <c r="AM119" s="349"/>
      <c r="AN119" s="270"/>
      <c r="AO119" s="271"/>
      <c r="AP119" s="271"/>
      <c r="AQ119" s="271"/>
      <c r="AR119" s="272"/>
      <c r="AS119" s="349"/>
      <c r="AT119" s="326"/>
      <c r="AU119" s="349"/>
      <c r="AV119" s="509"/>
      <c r="AW119" s="271"/>
      <c r="AX119" s="271"/>
      <c r="AY119" s="271"/>
      <c r="AZ119" s="272"/>
      <c r="BA119" s="270"/>
      <c r="BB119" s="271"/>
      <c r="BC119" s="344" t="str">
        <f t="shared" si="157"/>
        <v/>
      </c>
      <c r="BD119" s="349"/>
      <c r="BE119" s="378">
        <f>'Original Title I &amp; II'!AZ119</f>
        <v>0</v>
      </c>
      <c r="BF119" s="245"/>
      <c r="BG119" s="272">
        <f t="shared" ref="BG119:BG182" si="250">IF(BF119&lt;0,BB119+BF119,BB119)</f>
        <v>0</v>
      </c>
      <c r="BI119" s="200"/>
      <c r="BL119" s="200"/>
      <c r="BP119" s="304" t="s">
        <v>1450</v>
      </c>
      <c r="BQ119" s="305" t="str">
        <f t="shared" si="145"/>
        <v>N</v>
      </c>
      <c r="BR119" s="306" t="s">
        <v>1448</v>
      </c>
      <c r="BT119" s="304" t="str">
        <f t="shared" si="146"/>
        <v>N</v>
      </c>
      <c r="BU119" s="305" t="s">
        <v>1450</v>
      </c>
      <c r="BV119" s="305" t="s">
        <v>1450</v>
      </c>
      <c r="BW119" s="306" t="s">
        <v>1450</v>
      </c>
      <c r="BY119" s="361">
        <f t="shared" si="150"/>
        <v>0.85</v>
      </c>
      <c r="BZ119" s="362">
        <f t="shared" si="151"/>
        <v>0</v>
      </c>
      <c r="CA119" s="362">
        <f t="shared" si="152"/>
        <v>0</v>
      </c>
      <c r="CB119" s="363">
        <f t="shared" si="153"/>
        <v>0.85</v>
      </c>
      <c r="CD119" s="314">
        <f t="shared" si="154"/>
        <v>114</v>
      </c>
    </row>
    <row r="120" spans="1:82" outlineLevel="1" x14ac:dyDescent="0.3">
      <c r="A120" s="1">
        <v>70394000</v>
      </c>
      <c r="B120" s="47">
        <f>VLOOKUP(C120,'NCES ID'!$A$2:$B$3136,2,FALSE)</f>
        <v>408430</v>
      </c>
      <c r="C120" s="47">
        <f>VLOOKUP(A120,'State ID'!$A$2:$B$713,2,FALSE)</f>
        <v>4255</v>
      </c>
      <c r="D120" s="147" t="s">
        <v>318</v>
      </c>
      <c r="E120" s="47" t="s">
        <v>7</v>
      </c>
      <c r="F120" s="382">
        <f>IFERROR(VLOOKUP($B120,'update_Formula counts'!$D$7:$R$234,'update_Formula counts'!F$5,0),0)</f>
        <v>41</v>
      </c>
      <c r="G120" s="382">
        <f>IFERROR(VLOOKUP($B120,'update_Formula counts'!$D$7:$R$234,'update_Formula counts'!G$5,0),0)</f>
        <v>0</v>
      </c>
      <c r="H120" s="382">
        <f>IFERROR(VLOOKUP($B120,'update_Formula counts'!$D$7:$R$234,'update_Formula counts'!H$5,0),0)</f>
        <v>0</v>
      </c>
      <c r="I120" s="382">
        <f>IFERROR(VLOOKUP($B120,'update_Formula counts'!$D$7:$R$234,'update_Formula counts'!I$5,0),0)</f>
        <v>2</v>
      </c>
      <c r="J120" s="382">
        <f>IFERROR(VLOOKUP($B120,'update_Formula counts'!$D$7:$R$234,'update_Formula counts'!J$5,0),0)</f>
        <v>0</v>
      </c>
      <c r="K120" s="382">
        <f t="shared" ref="K120:K151" si="251">M120-I120</f>
        <v>41</v>
      </c>
      <c r="L120" s="444">
        <f>IFERROR(VLOOKUP($B120,'update_Formula counts'!$D$7:$R$234,'update_Formula counts'!L$5,0),0)</f>
        <v>84</v>
      </c>
      <c r="M120" s="445">
        <f>IFERROR(VLOOKUP($B120,'update_Formula counts'!$D$7:$R$234,'update_Formula counts'!K$5,0),0)</f>
        <v>43</v>
      </c>
      <c r="N120" s="446">
        <f>IFERROR(VLOOKUP($B120,'update_Formula counts'!$D$7:$R$234,'update_Formula counts'!M$5,0),0)</f>
        <v>0.51190476190476186</v>
      </c>
      <c r="O120" s="137">
        <f>VLOOKUP($C120,'Final SEA Counts'!$A$2:$F$709,5,FALSE)</f>
        <v>106</v>
      </c>
      <c r="P120" s="208">
        <f>VLOOKUP($C120,'Final SEA Counts'!$A$2:$F$709,6,FALSE)</f>
        <v>76</v>
      </c>
      <c r="Q120" s="748">
        <f t="shared" ref="Q120:Q151" si="252">-F120/($F$358-$F$175)*$S$357+(M120/($M$358-$M$175)*$M$175)</f>
        <v>-5.1768470904222204</v>
      </c>
      <c r="R120" s="444">
        <f t="shared" ref="R120:R151" si="253">L120-(L120/(L$358-L$175))*R$357+(L120/(L$358-L$175))*L$175</f>
        <v>76.233124656679806</v>
      </c>
      <c r="S120" s="445">
        <f t="shared" ref="S120:S174" si="254">Q120+K120+I120</f>
        <v>37.823152909577779</v>
      </c>
      <c r="T120" s="229">
        <f t="shared" ref="T120:T174" si="255">S120/R120</f>
        <v>0.49615115581207631</v>
      </c>
      <c r="U120" s="261">
        <f>VLOOKUP($B120,update_Allocation!$D$8:$Q$235,update_Allocation!K$239,0)</f>
        <v>22121.293232653486</v>
      </c>
      <c r="V120" s="262">
        <f>VLOOKUP($B120,update_Allocation!$D$8:$Q$235,update_Allocation!L$239,0)</f>
        <v>5108.8377296013678</v>
      </c>
      <c r="W120" s="262">
        <f>VLOOKUP($B120,update_Allocation!$D$8:$Q$235,update_Allocation!M$239,0)</f>
        <v>17763.160178343955</v>
      </c>
      <c r="X120" s="262">
        <f>VLOOKUP($B120,update_Allocation!$D$8:$Q$235,update_Allocation!N$239,0)</f>
        <v>15765.927985134334</v>
      </c>
      <c r="Y120" s="263">
        <f>VLOOKUP($B120,update_Allocation!$D$8:$Q$235,update_Allocation!O$239,0)</f>
        <v>60759.219125733143</v>
      </c>
      <c r="Z120" s="262">
        <f t="shared" ref="Z120:Z151" si="256">IF(U120=0,"",U120-(U120/(U$358-U$175)*Z$357-U120/(U$358-U$175)*U$175))</f>
        <v>19496.56917275902</v>
      </c>
      <c r="AA120" s="262">
        <f t="shared" ref="AA120:AA151" si="257">IF(V120=0,"",V120-(V120/(V$358-V$175)*AA$357-V120/(V$358-V$175)*V$175))</f>
        <v>4504.8504383425525</v>
      </c>
      <c r="AB120" s="262">
        <f t="shared" ref="AB120:AB151" si="258">IF(W120=0,"",W120-(W120/(W$358-W$175)*AB$357-W120/(W$358-W$175)*W$175))</f>
        <v>15659.260200158105</v>
      </c>
      <c r="AC120" s="263">
        <f t="shared" ref="AC120:AC151" si="259">IF(X120=0,"",X120-(X120/(X$358-X$175)*AC$357-X120/(X$358-X$175)*X$175))</f>
        <v>13906.7329447027</v>
      </c>
      <c r="AD120" s="262">
        <f t="shared" ref="AD120:AD183" si="260">IF(BT120="Y",Z120,"")</f>
        <v>19496.56917275902</v>
      </c>
      <c r="AE120" s="262">
        <f t="shared" ref="AE120:AE183" si="261">IF(BU120="Y",AA120,"")</f>
        <v>4504.8504383425525</v>
      </c>
      <c r="AF120" s="262">
        <f t="shared" ref="AF120:AF183" si="262">IF(BV120="Y",AB120,"")</f>
        <v>15659.260200158105</v>
      </c>
      <c r="AG120" s="263">
        <f t="shared" ref="AG120:AG183" si="263">IF(BW120="Y",AC120,"")</f>
        <v>13906.7329447027</v>
      </c>
      <c r="AH120" s="262">
        <f t="shared" ref="AH120:AH151" si="264">IF(AD120="","",AD120+AD$359)</f>
        <v>19496.56917275902</v>
      </c>
      <c r="AI120" s="262">
        <f t="shared" ref="AI120:AI151" si="265">IF(AE120="","",AE120+AE$359)</f>
        <v>6635.671821173265</v>
      </c>
      <c r="AJ120" s="262">
        <f t="shared" ref="AJ120:AJ151" si="266">IF(AF120="","",AF120+AF$359)</f>
        <v>15684.600845378365</v>
      </c>
      <c r="AK120" s="262">
        <f t="shared" ref="AK120:AK151" si="267">IF(AG120="","",AG120+AG$359)</f>
        <v>13930.321756668103</v>
      </c>
      <c r="AL120" s="263">
        <f t="shared" ref="AL120:AL174" si="268">SUM(AH120:AK120)</f>
        <v>55747.16359597876</v>
      </c>
      <c r="AM120" s="346"/>
      <c r="AN120" s="261">
        <f>IFERROR(VLOOKUP($A120,'HH &amp; SI'!$B$4:$Z$494,'HH &amp; SI'!V$503,0),0)</f>
        <v>19491.505320867946</v>
      </c>
      <c r="AO120" s="262">
        <f>IFERROR(VLOOKUP($A120,'HH &amp; SI'!$B$4:$Z$494,'HH &amp; SI'!W$503,0),0)</f>
        <v>6417.117052032113</v>
      </c>
      <c r="AP120" s="262">
        <f>IFERROR(VLOOKUP($A120,'HH &amp; SI'!$B$4:$Z$494,'HH &amp; SI'!X$503,0),0)</f>
        <v>15655.949119004654</v>
      </c>
      <c r="AQ120" s="262">
        <f>IFERROR(VLOOKUP($A120,'HH &amp; SI'!$B$4:$Z$494,'HH &amp; SI'!Y$503,0),0)</f>
        <v>13866.70842449275</v>
      </c>
      <c r="AR120" s="263">
        <f t="shared" ref="AR120:AR183" si="269">SUM(AN120:AQ120)</f>
        <v>55431.279916397471</v>
      </c>
      <c r="AS120" s="346"/>
      <c r="AT120" s="323">
        <f>IFERROR(VLOOKUP(A120,'Afton FY16 Final'!$A$5:$BV$572,'Afton FY16 Final'!$BV$587,0),0)</f>
        <v>56973.248055029821</v>
      </c>
      <c r="AU120" s="346"/>
      <c r="AV120" s="444">
        <v>0</v>
      </c>
      <c r="AW120" s="262">
        <f>IFERROR(VLOOKUP($A120,'HH &amp; SI'!$B$4:$EY$503,'HH &amp; SI'!EX$503,0),0)</f>
        <v>0</v>
      </c>
      <c r="AX120" s="262">
        <f>IFERROR(VLOOKUP($A120,'HH &amp; SI'!$B$4:$EY$503,'HH &amp; SI'!EY$503,0),0)</f>
        <v>55431.279916397471</v>
      </c>
      <c r="AY120" s="262">
        <f>AX120/$AX$582*'update_State Admin 1004(b)'!$B$30*0.01</f>
        <v>530.51716888583019</v>
      </c>
      <c r="AZ120" s="263">
        <f t="shared" ref="AZ120:AZ183" si="270">AX120-AY120</f>
        <v>54900.762747511639</v>
      </c>
      <c r="BA120" s="261">
        <f t="shared" ref="BA120:BA183" si="271">AZ120*0.01</f>
        <v>549.00762747511635</v>
      </c>
      <c r="BB120" s="262">
        <f t="shared" ref="BB120:BB183" si="272">AZ120-BA120</f>
        <v>54351.75512003652</v>
      </c>
      <c r="BC120" s="341">
        <f t="shared" si="157"/>
        <v>0.95398730062816095</v>
      </c>
      <c r="BD120" s="346"/>
      <c r="BE120" s="376" t="str">
        <f>'Original Title I &amp; II'!AZ120</f>
        <v/>
      </c>
      <c r="BF120" s="243" t="str">
        <f t="shared" ref="BF120:BF151" si="273">IF(BE120&lt;0,BB120*BE120/100,"")</f>
        <v/>
      </c>
      <c r="BG120" s="263">
        <f t="shared" si="250"/>
        <v>54351.75512003652</v>
      </c>
      <c r="BI120" s="31">
        <f>IFERROR(VLOOKUP(A120,'Title II Hold Harmless'!A$1:B$439,2, FALSE),"")</f>
        <v>5287</v>
      </c>
      <c r="BJ120" s="31">
        <f t="shared" ref="BJ120:BJ183" si="274">IFERROR($BI$587*(0.8*($S120/$S$584)+0.2*($R120/$R$584))+$BI120,$BI$587*(0.8*($S120/$S$584)+0.2*($R120/$R$584)))</f>
        <v>5843.4912216378361</v>
      </c>
      <c r="BK120" s="31">
        <f t="shared" ref="BK120:BK151" si="275">$BI$588*BJ120</f>
        <v>5849.1441674754669</v>
      </c>
      <c r="BL120" s="31" t="str">
        <f t="shared" ref="BL120:BL183" si="276">IF(BE120&lt;0,BK120*BE120/100,"")</f>
        <v/>
      </c>
      <c r="BM120" s="31">
        <f t="shared" ref="BM120:BM183" si="277">IF(BL120&lt;0,BK120+BL120,BK120)</f>
        <v>5849.1441674754669</v>
      </c>
      <c r="BN120" s="200"/>
      <c r="BP120" s="295" t="s">
        <v>1447</v>
      </c>
      <c r="BQ120" s="296" t="str">
        <f t="shared" si="145"/>
        <v>Y</v>
      </c>
      <c r="BR120" s="297" t="s">
        <v>1448</v>
      </c>
      <c r="BT120" s="295" t="str">
        <f t="shared" si="146"/>
        <v>Y</v>
      </c>
      <c r="BU120" s="296" t="str">
        <f t="shared" ref="BU120:BU183" si="278">IF(AND(BT120="Y",(OR(T120&gt;0.15,S120&gt;6500))),"Y","N")</f>
        <v>Y</v>
      </c>
      <c r="BV120" s="296" t="str">
        <f t="shared" ref="BV120:BV183" si="279">IF(AND(BT120="Y",T120&gt;=0.05),"Y","N")</f>
        <v>Y</v>
      </c>
      <c r="BW120" s="297" t="str">
        <f t="shared" si="149"/>
        <v>Y</v>
      </c>
      <c r="BY120" s="352">
        <f t="shared" si="150"/>
        <v>0</v>
      </c>
      <c r="BZ120" s="353">
        <f t="shared" si="151"/>
        <v>0</v>
      </c>
      <c r="CA120" s="353">
        <f t="shared" si="152"/>
        <v>0.95</v>
      </c>
      <c r="CB120" s="354">
        <f t="shared" si="153"/>
        <v>0.95</v>
      </c>
      <c r="CD120" s="311">
        <f t="shared" si="154"/>
        <v>115</v>
      </c>
    </row>
    <row r="121" spans="1:82" outlineLevel="1" x14ac:dyDescent="0.3">
      <c r="A121" s="1">
        <v>70363000</v>
      </c>
      <c r="B121" s="47">
        <f>VLOOKUP(C121,'NCES ID'!$A$2:$B$3136,2,FALSE)</f>
        <v>400480</v>
      </c>
      <c r="C121" s="47">
        <f>VLOOKUP(A121,'State ID'!$A$2:$B$713,2,FALSE)</f>
        <v>4249</v>
      </c>
      <c r="D121" s="147" t="s">
        <v>16</v>
      </c>
      <c r="E121" s="47" t="s">
        <v>7</v>
      </c>
      <c r="F121" s="382">
        <f>IFERROR(VLOOKUP($B121,'update_Formula counts'!$D$7:$R$234,'update_Formula counts'!F$5,0),0)</f>
        <v>86</v>
      </c>
      <c r="G121" s="382">
        <f>IFERROR(VLOOKUP($B121,'update_Formula counts'!$D$7:$R$234,'update_Formula counts'!G$5,0),0)</f>
        <v>0</v>
      </c>
      <c r="H121" s="382">
        <f>IFERROR(VLOOKUP($B121,'update_Formula counts'!$D$7:$R$234,'update_Formula counts'!H$5,0),0)</f>
        <v>0</v>
      </c>
      <c r="I121" s="382">
        <f>IFERROR(VLOOKUP($B121,'update_Formula counts'!$D$7:$R$234,'update_Formula counts'!I$5,0),0)</f>
        <v>4</v>
      </c>
      <c r="J121" s="382">
        <f>IFERROR(VLOOKUP($B121,'update_Formula counts'!$D$7:$R$234,'update_Formula counts'!J$5,0),0)</f>
        <v>0</v>
      </c>
      <c r="K121" s="382">
        <f t="shared" si="251"/>
        <v>86</v>
      </c>
      <c r="L121" s="444">
        <f>IFERROR(VLOOKUP($B121,'update_Formula counts'!$D$7:$R$234,'update_Formula counts'!L$5,0),0)</f>
        <v>207</v>
      </c>
      <c r="M121" s="445">
        <f>IFERROR(VLOOKUP($B121,'update_Formula counts'!$D$7:$R$234,'update_Formula counts'!K$5,0),0)</f>
        <v>90</v>
      </c>
      <c r="N121" s="446">
        <f>IFERROR(VLOOKUP($B121,'update_Formula counts'!$D$7:$R$234,'update_Formula counts'!M$5,0),0)</f>
        <v>0.43478260869565216</v>
      </c>
      <c r="O121" s="137">
        <f>VLOOKUP($C121,'Final SEA Counts'!$A$2:$F$709,5,FALSE)</f>
        <v>157</v>
      </c>
      <c r="P121" s="208">
        <f>VLOOKUP($C121,'Final SEA Counts'!$A$2:$F$709,6,FALSE)</f>
        <v>140</v>
      </c>
      <c r="Q121" s="748">
        <f t="shared" si="252"/>
        <v>-10.859147049281027</v>
      </c>
      <c r="R121" s="444">
        <f t="shared" si="253"/>
        <v>187.86020004681811</v>
      </c>
      <c r="S121" s="445">
        <f t="shared" si="254"/>
        <v>79.140852950718966</v>
      </c>
      <c r="T121" s="229">
        <f t="shared" si="255"/>
        <v>0.42127525112288633</v>
      </c>
      <c r="U121" s="261">
        <f>VLOOKUP($B121,update_Allocation!$D$8:$Q$235,update_Allocation!K$239,0)</f>
        <v>45530.442179681741</v>
      </c>
      <c r="V121" s="262">
        <f>VLOOKUP($B121,update_Allocation!$D$8:$Q$235,update_Allocation!L$239,0)</f>
        <v>11104.682078159465</v>
      </c>
      <c r="W121" s="262">
        <f>VLOOKUP($B121,update_Allocation!$D$8:$Q$235,update_Allocation!M$239,0)</f>
        <v>27871.839818820907</v>
      </c>
      <c r="X121" s="262">
        <f>VLOOKUP($B121,update_Allocation!$D$8:$Q$235,update_Allocation!N$239,0)</f>
        <v>26886.459770502581</v>
      </c>
      <c r="Y121" s="263">
        <f>VLOOKUP($B121,update_Allocation!$D$8:$Q$235,update_Allocation!O$239,0)</f>
        <v>111393.4238471647</v>
      </c>
      <c r="Z121" s="262">
        <f t="shared" si="256"/>
        <v>40128.188080439388</v>
      </c>
      <c r="AA121" s="262">
        <f t="shared" si="257"/>
        <v>9791.8420147892812</v>
      </c>
      <c r="AB121" s="262">
        <f t="shared" si="258"/>
        <v>24570.650019366894</v>
      </c>
      <c r="AC121" s="263">
        <f t="shared" si="259"/>
        <v>23715.877442128643</v>
      </c>
      <c r="AD121" s="262">
        <f t="shared" si="260"/>
        <v>40128.188080439388</v>
      </c>
      <c r="AE121" s="262">
        <f t="shared" si="261"/>
        <v>9791.8420147892812</v>
      </c>
      <c r="AF121" s="262">
        <f t="shared" si="262"/>
        <v>24570.650019366894</v>
      </c>
      <c r="AG121" s="263">
        <f t="shared" si="263"/>
        <v>23715.877442128643</v>
      </c>
      <c r="AH121" s="262">
        <f t="shared" si="264"/>
        <v>40128.188080439388</v>
      </c>
      <c r="AI121" s="262">
        <f t="shared" si="265"/>
        <v>11922.663397619994</v>
      </c>
      <c r="AJ121" s="262">
        <f t="shared" si="266"/>
        <v>24595.990664587152</v>
      </c>
      <c r="AK121" s="262">
        <f t="shared" si="267"/>
        <v>23739.466254094044</v>
      </c>
      <c r="AL121" s="263">
        <f t="shared" si="268"/>
        <v>100386.30839674058</v>
      </c>
      <c r="AM121" s="346"/>
      <c r="AN121" s="261">
        <f>IFERROR(VLOOKUP($A121,'HH &amp; SI'!$B$4:$Z$494,'HH &amp; SI'!V$503,0),0)</f>
        <v>40059.998030131253</v>
      </c>
      <c r="AO121" s="262">
        <f>IFERROR(VLOOKUP($A121,'HH &amp; SI'!$B$4:$Z$494,'HH &amp; SI'!W$503,0),0)</f>
        <v>11529.974455695532</v>
      </c>
      <c r="AP121" s="262">
        <f>IFERROR(VLOOKUP($A121,'HH &amp; SI'!$B$4:$Z$494,'HH &amp; SI'!X$503,0),0)</f>
        <v>24372.29973263419</v>
      </c>
      <c r="AQ121" s="262">
        <f>IFERROR(VLOOKUP($A121,'HH &amp; SI'!$B$4:$Z$494,'HH &amp; SI'!Y$503,0),0)</f>
        <v>23477.900069196061</v>
      </c>
      <c r="AR121" s="263">
        <f t="shared" si="269"/>
        <v>99440.172287657042</v>
      </c>
      <c r="AS121" s="346"/>
      <c r="AT121" s="323">
        <f>IFERROR(VLOOKUP(A121,'Afton FY16 Final'!$A$5:$BV$572,'Afton FY16 Final'!$BV$587,0),0)</f>
        <v>87232.701658183476</v>
      </c>
      <c r="AU121" s="346"/>
      <c r="AV121" s="444">
        <v>0</v>
      </c>
      <c r="AW121" s="262">
        <f>IFERROR(VLOOKUP($A121,'HH &amp; SI'!$B$4:$EY$503,'HH &amp; SI'!EX$503,0),0)</f>
        <v>5569.9524101281568</v>
      </c>
      <c r="AX121" s="262">
        <f>IFERROR(VLOOKUP($A121,'HH &amp; SI'!$B$4:$EY$503,'HH &amp; SI'!EY$503,0),0)</f>
        <v>93870.219877528885</v>
      </c>
      <c r="AY121" s="262">
        <f>AX121/$AX$582*'update_State Admin 1004(b)'!$B$30*0.01</f>
        <v>898.40543763784592</v>
      </c>
      <c r="AZ121" s="263">
        <f t="shared" si="270"/>
        <v>92971.814439891037</v>
      </c>
      <c r="BA121" s="261">
        <f t="shared" si="271"/>
        <v>929.71814439891034</v>
      </c>
      <c r="BB121" s="262">
        <f t="shared" si="272"/>
        <v>92042.096295492127</v>
      </c>
      <c r="BC121" s="341">
        <f t="shared" si="157"/>
        <v>1.0551329323279932</v>
      </c>
      <c r="BD121" s="346"/>
      <c r="BE121" s="376" t="str">
        <f>'Original Title I &amp; II'!AZ121</f>
        <v/>
      </c>
      <c r="BF121" s="243" t="str">
        <f t="shared" si="273"/>
        <v/>
      </c>
      <c r="BG121" s="263">
        <f t="shared" si="250"/>
        <v>92042.096295492127</v>
      </c>
      <c r="BI121" s="31">
        <f>IFERROR(VLOOKUP(A121,'Title II Hold Harmless'!A$1:B$439,2, FALSE),"")</f>
        <v>10600</v>
      </c>
      <c r="BJ121" s="31">
        <f t="shared" si="274"/>
        <v>11787.21422447128</v>
      </c>
      <c r="BK121" s="31">
        <f t="shared" si="275"/>
        <v>11798.617079555712</v>
      </c>
      <c r="BL121" s="31" t="str">
        <f t="shared" si="276"/>
        <v/>
      </c>
      <c r="BM121" s="31">
        <f t="shared" si="277"/>
        <v>11798.617079555712</v>
      </c>
      <c r="BN121" s="200"/>
      <c r="BP121" s="295" t="s">
        <v>1447</v>
      </c>
      <c r="BQ121" s="296" t="str">
        <f t="shared" si="145"/>
        <v>Y</v>
      </c>
      <c r="BR121" s="297" t="s">
        <v>1448</v>
      </c>
      <c r="BT121" s="295" t="str">
        <f t="shared" si="146"/>
        <v>Y</v>
      </c>
      <c r="BU121" s="296" t="str">
        <f t="shared" si="278"/>
        <v>Y</v>
      </c>
      <c r="BV121" s="296" t="str">
        <f t="shared" si="279"/>
        <v>Y</v>
      </c>
      <c r="BW121" s="297" t="str">
        <f t="shared" si="149"/>
        <v>Y</v>
      </c>
      <c r="BY121" s="352">
        <f t="shared" si="150"/>
        <v>0</v>
      </c>
      <c r="BZ121" s="353">
        <f t="shared" si="151"/>
        <v>0</v>
      </c>
      <c r="CA121" s="353">
        <f t="shared" si="152"/>
        <v>0.95</v>
      </c>
      <c r="CB121" s="354">
        <f t="shared" si="153"/>
        <v>0.95</v>
      </c>
      <c r="CD121" s="311">
        <f t="shared" si="154"/>
        <v>116</v>
      </c>
    </row>
    <row r="122" spans="1:82" outlineLevel="1" x14ac:dyDescent="0.3">
      <c r="A122" s="1">
        <v>70447000</v>
      </c>
      <c r="B122" s="47">
        <f>VLOOKUP(C122,'NCES ID'!$A$2:$B$3136,2,FALSE)</f>
        <v>400840</v>
      </c>
      <c r="C122" s="47">
        <f>VLOOKUP(A122,'State ID'!$A$2:$B$713,2,FALSE)</f>
        <v>4274</v>
      </c>
      <c r="D122" s="147" t="s">
        <v>52</v>
      </c>
      <c r="E122" s="47" t="s">
        <v>7</v>
      </c>
      <c r="F122" s="382">
        <f>IFERROR(VLOOKUP($B122,'update_Formula counts'!$D$7:$R$234,'update_Formula counts'!F$5,0),0)</f>
        <v>83</v>
      </c>
      <c r="G122" s="382">
        <f>IFERROR(VLOOKUP($B122,'update_Formula counts'!$D$7:$R$234,'update_Formula counts'!G$5,0),0)</f>
        <v>0</v>
      </c>
      <c r="H122" s="382">
        <f>IFERROR(VLOOKUP($B122,'update_Formula counts'!$D$7:$R$234,'update_Formula counts'!H$5,0),0)</f>
        <v>0</v>
      </c>
      <c r="I122" s="382">
        <f>IFERROR(VLOOKUP($B122,'update_Formula counts'!$D$7:$R$234,'update_Formula counts'!I$5,0),0)</f>
        <v>4</v>
      </c>
      <c r="J122" s="382">
        <f>IFERROR(VLOOKUP($B122,'update_Formula counts'!$D$7:$R$234,'update_Formula counts'!J$5,0),0)</f>
        <v>0</v>
      </c>
      <c r="K122" s="382">
        <f t="shared" si="251"/>
        <v>83</v>
      </c>
      <c r="L122" s="444">
        <f>IFERROR(VLOOKUP($B122,'update_Formula counts'!$D$7:$R$234,'update_Formula counts'!L$5,0),0)</f>
        <v>264</v>
      </c>
      <c r="M122" s="445">
        <f>IFERROR(VLOOKUP($B122,'update_Formula counts'!$D$7:$R$234,'update_Formula counts'!K$5,0),0)</f>
        <v>87</v>
      </c>
      <c r="N122" s="446">
        <f>IFERROR(VLOOKUP($B122,'update_Formula counts'!$D$7:$R$234,'update_Formula counts'!M$5,0),0)</f>
        <v>0.32954545454545453</v>
      </c>
      <c r="O122" s="137">
        <f>VLOOKUP($C122,'Final SEA Counts'!$A$2:$F$709,5,FALSE)</f>
        <v>240</v>
      </c>
      <c r="P122" s="208">
        <f>VLOOKUP($C122,'Final SEA Counts'!$A$2:$F$709,6,FALSE)</f>
        <v>192</v>
      </c>
      <c r="Q122" s="748">
        <f t="shared" si="252"/>
        <v>-10.480057397953589</v>
      </c>
      <c r="R122" s="444">
        <f t="shared" si="253"/>
        <v>239.58982034956514</v>
      </c>
      <c r="S122" s="445">
        <f t="shared" si="254"/>
        <v>76.519942602046413</v>
      </c>
      <c r="T122" s="229">
        <f t="shared" si="255"/>
        <v>0.31937893893155672</v>
      </c>
      <c r="U122" s="261">
        <f>VLOOKUP($B122,update_Allocation!$D$8:$Q$235,update_Allocation!K$239,0)</f>
        <v>68083.955546264289</v>
      </c>
      <c r="V122" s="262">
        <f>VLOOKUP($B122,update_Allocation!$D$8:$Q$235,update_Allocation!L$239,0)</f>
        <v>16579.386946745028</v>
      </c>
      <c r="W122" s="262">
        <f>VLOOKUP($B122,update_Allocation!$D$8:$Q$235,update_Allocation!M$239,0)</f>
        <v>43547.209966810078</v>
      </c>
      <c r="X122" s="262">
        <f>VLOOKUP($B122,update_Allocation!$D$8:$Q$235,update_Allocation!N$239,0)</f>
        <v>48509.933665124365</v>
      </c>
      <c r="Y122" s="263">
        <f>VLOOKUP($B122,update_Allocation!$D$8:$Q$235,update_Allocation!O$239,0)</f>
        <v>176720.48612494377</v>
      </c>
      <c r="Z122" s="262">
        <f t="shared" si="256"/>
        <v>60005.693830928329</v>
      </c>
      <c r="AA122" s="262">
        <f t="shared" si="257"/>
        <v>14619.305311214661</v>
      </c>
      <c r="AB122" s="262">
        <f t="shared" si="258"/>
        <v>38389.401717638058</v>
      </c>
      <c r="AC122" s="263">
        <f t="shared" si="259"/>
        <v>42789.405944402424</v>
      </c>
      <c r="AD122" s="262">
        <f t="shared" si="260"/>
        <v>60005.693830928329</v>
      </c>
      <c r="AE122" s="262">
        <f t="shared" si="261"/>
        <v>14619.305311214661</v>
      </c>
      <c r="AF122" s="262">
        <f t="shared" si="262"/>
        <v>38389.401717638058</v>
      </c>
      <c r="AG122" s="263">
        <f t="shared" si="263"/>
        <v>42789.405944402424</v>
      </c>
      <c r="AH122" s="262">
        <f t="shared" si="264"/>
        <v>60005.693830928329</v>
      </c>
      <c r="AI122" s="262">
        <f t="shared" si="265"/>
        <v>16750.126694045372</v>
      </c>
      <c r="AJ122" s="262">
        <f t="shared" si="266"/>
        <v>38414.74236285832</v>
      </c>
      <c r="AK122" s="262">
        <f t="shared" si="267"/>
        <v>42812.994756367829</v>
      </c>
      <c r="AL122" s="263">
        <f t="shared" si="268"/>
        <v>157983.55764419987</v>
      </c>
      <c r="AM122" s="346"/>
      <c r="AN122" s="261">
        <f>IFERROR(VLOOKUP($A122,'HH &amp; SI'!$B$4:$Z$494,'HH &amp; SI'!V$503,0),0)</f>
        <v>59752.972967782858</v>
      </c>
      <c r="AO122" s="262">
        <f>IFERROR(VLOOKUP($A122,'HH &amp; SI'!$B$4:$Z$494,'HH &amp; SI'!W$503,0),0)</f>
        <v>16198.438760802332</v>
      </c>
      <c r="AP122" s="262">
        <f>IFERROR(VLOOKUP($A122,'HH &amp; SI'!$B$4:$Z$494,'HH &amp; SI'!X$503,0),0)</f>
        <v>38206.934976435936</v>
      </c>
      <c r="AQ122" s="262">
        <f>IFERROR(VLOOKUP($A122,'HH &amp; SI'!$B$4:$Z$494,'HH &amp; SI'!Y$503,0),0)</f>
        <v>42652.434221846685</v>
      </c>
      <c r="AR122" s="263">
        <f t="shared" si="269"/>
        <v>156810.78092686782</v>
      </c>
      <c r="AS122" s="346"/>
      <c r="AT122" s="323">
        <f>IFERROR(VLOOKUP(A122,'Afton FY16 Final'!$A$5:$BV$572,'Afton FY16 Final'!$BV$587,0),0)</f>
        <v>161644.68238204671</v>
      </c>
      <c r="AU122" s="346"/>
      <c r="AV122" s="444">
        <v>0</v>
      </c>
      <c r="AW122" s="262">
        <f>IFERROR(VLOOKUP($A122,'HH &amp; SI'!$B$4:$EY$503,'HH &amp; SI'!EX$503,0),0)</f>
        <v>0</v>
      </c>
      <c r="AX122" s="262">
        <f>IFERROR(VLOOKUP($A122,'HH &amp; SI'!$B$4:$EY$503,'HH &amp; SI'!EY$503,0),0)</f>
        <v>156810.78092686782</v>
      </c>
      <c r="AY122" s="262">
        <f>AX122/$AX$582*'update_State Admin 1004(b)'!$B$30*0.01</f>
        <v>1500.791821397017</v>
      </c>
      <c r="AZ122" s="263">
        <f t="shared" si="270"/>
        <v>155309.9891054708</v>
      </c>
      <c r="BA122" s="261">
        <f t="shared" si="271"/>
        <v>1553.099891054708</v>
      </c>
      <c r="BB122" s="262">
        <f t="shared" si="272"/>
        <v>153756.88921441609</v>
      </c>
      <c r="BC122" s="341">
        <f t="shared" si="157"/>
        <v>0.95120289111034384</v>
      </c>
      <c r="BD122" s="346"/>
      <c r="BE122" s="376" t="str">
        <f>'Original Title I &amp; II'!AZ122</f>
        <v/>
      </c>
      <c r="BF122" s="243" t="str">
        <f t="shared" si="273"/>
        <v/>
      </c>
      <c r="BG122" s="263">
        <f t="shared" si="250"/>
        <v>153756.88921441609</v>
      </c>
      <c r="BI122" s="31">
        <f>IFERROR(VLOOKUP(A122,'Title II Hold Harmless'!A$1:B$439,2, FALSE),"")</f>
        <v>9370</v>
      </c>
      <c r="BJ122" s="31">
        <f t="shared" si="274"/>
        <v>10564.53615135188</v>
      </c>
      <c r="BK122" s="31">
        <f t="shared" si="275"/>
        <v>10574.756197621848</v>
      </c>
      <c r="BL122" s="31" t="str">
        <f t="shared" si="276"/>
        <v/>
      </c>
      <c r="BM122" s="31">
        <f t="shared" si="277"/>
        <v>10574.756197621848</v>
      </c>
      <c r="BN122" s="200"/>
      <c r="BP122" s="295" t="s">
        <v>1447</v>
      </c>
      <c r="BQ122" s="296" t="str">
        <f t="shared" si="145"/>
        <v>Y</v>
      </c>
      <c r="BR122" s="297" t="s">
        <v>1448</v>
      </c>
      <c r="BT122" s="295" t="str">
        <f t="shared" si="146"/>
        <v>Y</v>
      </c>
      <c r="BU122" s="296" t="str">
        <f t="shared" si="278"/>
        <v>Y</v>
      </c>
      <c r="BV122" s="296" t="str">
        <f t="shared" si="279"/>
        <v>Y</v>
      </c>
      <c r="BW122" s="297" t="str">
        <f t="shared" si="149"/>
        <v>Y</v>
      </c>
      <c r="BY122" s="352">
        <f t="shared" si="150"/>
        <v>0</v>
      </c>
      <c r="BZ122" s="353">
        <f t="shared" si="151"/>
        <v>0</v>
      </c>
      <c r="CA122" s="353">
        <f t="shared" si="152"/>
        <v>0.95</v>
      </c>
      <c r="CB122" s="354">
        <f t="shared" si="153"/>
        <v>0.95</v>
      </c>
      <c r="CD122" s="311">
        <f t="shared" si="154"/>
        <v>117</v>
      </c>
    </row>
    <row r="123" spans="1:82" outlineLevel="1" x14ac:dyDescent="0.3">
      <c r="A123" s="1">
        <v>70375000</v>
      </c>
      <c r="B123" s="47">
        <f>VLOOKUP(C123,'NCES ID'!$A$2:$B$3136,2,FALSE)</f>
        <v>405340</v>
      </c>
      <c r="C123" s="47">
        <f>VLOOKUP(A123,'State ID'!$A$2:$B$713,2,FALSE)</f>
        <v>4251</v>
      </c>
      <c r="D123" s="147" t="s">
        <v>297</v>
      </c>
      <c r="E123" s="47" t="s">
        <v>7</v>
      </c>
      <c r="F123" s="382">
        <f>IFERROR(VLOOKUP($B123,'update_Formula counts'!$D$7:$R$234,'update_Formula counts'!F$5,0),0)</f>
        <v>37</v>
      </c>
      <c r="G123" s="382">
        <f>IFERROR(VLOOKUP($B123,'update_Formula counts'!$D$7:$R$234,'update_Formula counts'!G$5,0),0)</f>
        <v>0</v>
      </c>
      <c r="H123" s="382">
        <f>IFERROR(VLOOKUP($B123,'update_Formula counts'!$D$7:$R$234,'update_Formula counts'!H$5,0),0)</f>
        <v>0</v>
      </c>
      <c r="I123" s="382">
        <f>IFERROR(VLOOKUP($B123,'update_Formula counts'!$D$7:$R$234,'update_Formula counts'!I$5,0),0)</f>
        <v>2</v>
      </c>
      <c r="J123" s="382">
        <f>IFERROR(VLOOKUP($B123,'update_Formula counts'!$D$7:$R$234,'update_Formula counts'!J$5,0),0)</f>
        <v>0</v>
      </c>
      <c r="K123" s="382">
        <f t="shared" si="251"/>
        <v>37</v>
      </c>
      <c r="L123" s="444">
        <f>IFERROR(VLOOKUP($B123,'update_Formula counts'!$D$7:$R$234,'update_Formula counts'!L$5,0),0)</f>
        <v>277</v>
      </c>
      <c r="M123" s="445">
        <f>IFERROR(VLOOKUP($B123,'update_Formula counts'!$D$7:$R$234,'update_Formula counts'!K$5,0),0)</f>
        <v>39</v>
      </c>
      <c r="N123" s="446">
        <f>IFERROR(VLOOKUP($B123,'update_Formula counts'!$D$7:$R$234,'update_Formula counts'!M$5,0),0)</f>
        <v>0.1407942238267148</v>
      </c>
      <c r="O123" s="137">
        <f>VLOOKUP($C123,'Final SEA Counts'!$A$2:$F$709,5,FALSE)</f>
        <v>110</v>
      </c>
      <c r="P123" s="208">
        <f>VLOOKUP($C123,'Final SEA Counts'!$A$2:$F$709,6,FALSE)</f>
        <v>75</v>
      </c>
      <c r="Q123" s="748">
        <f t="shared" si="252"/>
        <v>-4.6713942219856346</v>
      </c>
      <c r="R123" s="444">
        <f t="shared" si="253"/>
        <v>251.38780392738462</v>
      </c>
      <c r="S123" s="445">
        <f t="shared" si="254"/>
        <v>34.328605778014364</v>
      </c>
      <c r="T123" s="229">
        <f t="shared" si="255"/>
        <v>0.13655636924984021</v>
      </c>
      <c r="U123" s="261">
        <f>VLOOKUP($B123,update_Allocation!$D$8:$Q$235,update_Allocation!K$239,0)</f>
        <v>24305.834557837479</v>
      </c>
      <c r="V123" s="262">
        <f>VLOOKUP($B123,update_Allocation!$D$8:$Q$235,update_Allocation!L$239,0)</f>
        <v>5759.4932824315474</v>
      </c>
      <c r="W123" s="262">
        <f>VLOOKUP($B123,update_Allocation!$D$8:$Q$235,update_Allocation!M$239,0)</f>
        <v>8343.8098108177437</v>
      </c>
      <c r="X123" s="262">
        <f>VLOOKUP($B123,update_Allocation!$D$8:$Q$235,update_Allocation!N$239,0)</f>
        <v>5505.4052375095171</v>
      </c>
      <c r="Y123" s="263">
        <f>VLOOKUP($B123,update_Allocation!$D$8:$Q$235,update_Allocation!O$239,0)</f>
        <v>43914.54288859629</v>
      </c>
      <c r="Z123" s="262">
        <f t="shared" si="256"/>
        <v>21421.911448604413</v>
      </c>
      <c r="AA123" s="262">
        <f t="shared" si="257"/>
        <v>5078.5828815152499</v>
      </c>
      <c r="AB123" s="262">
        <f t="shared" si="258"/>
        <v>7355.5542806802614</v>
      </c>
      <c r="AC123" s="263">
        <f t="shared" si="259"/>
        <v>4856.1810292805321</v>
      </c>
      <c r="AD123" s="262">
        <f t="shared" si="260"/>
        <v>21421.911448604413</v>
      </c>
      <c r="AE123" s="262" t="str">
        <f t="shared" si="261"/>
        <v/>
      </c>
      <c r="AF123" s="262">
        <f t="shared" si="262"/>
        <v>7355.5542806802614</v>
      </c>
      <c r="AG123" s="263">
        <f t="shared" si="263"/>
        <v>4856.1810292805321</v>
      </c>
      <c r="AH123" s="262">
        <f t="shared" si="264"/>
        <v>21421.911448604413</v>
      </c>
      <c r="AI123" s="262" t="str">
        <f t="shared" si="265"/>
        <v/>
      </c>
      <c r="AJ123" s="262">
        <f t="shared" si="266"/>
        <v>7380.8949259005203</v>
      </c>
      <c r="AK123" s="262">
        <f t="shared" si="267"/>
        <v>4879.7698412459349</v>
      </c>
      <c r="AL123" s="263">
        <f t="shared" si="268"/>
        <v>33682.576215750865</v>
      </c>
      <c r="AM123" s="346"/>
      <c r="AN123" s="261">
        <f>IFERROR(VLOOKUP($A123,'HH &amp; SI'!$B$4:$Z$494,'HH &amp; SI'!V$503,0),0)</f>
        <v>21197.330027524742</v>
      </c>
      <c r="AO123" s="262">
        <f>IFERROR(VLOOKUP($A123,'HH &amp; SI'!$B$4:$Z$494,'HH &amp; SI'!W$503,0),0)</f>
        <v>6564.3433276483393</v>
      </c>
      <c r="AP123" s="262">
        <f>IFERROR(VLOOKUP($A123,'HH &amp; SI'!$B$4:$Z$494,'HH &amp; SI'!X$503,0),0)</f>
        <v>7313.7685683109185</v>
      </c>
      <c r="AQ123" s="262">
        <f>IFERROR(VLOOKUP($A123,'HH &amp; SI'!$B$4:$Z$494,'HH &amp; SI'!Y$503,0),0)</f>
        <v>4826.003561629821</v>
      </c>
      <c r="AR123" s="263">
        <f t="shared" si="269"/>
        <v>39901.445485113814</v>
      </c>
      <c r="AS123" s="346"/>
      <c r="AT123" s="323">
        <f>IFERROR(VLOOKUP(A123,'Afton FY16 Final'!$A$5:$BV$572,'Afton FY16 Final'!$BV$587,0),0)</f>
        <v>41512.053200844879</v>
      </c>
      <c r="AU123" s="346"/>
      <c r="AV123" s="444">
        <v>0</v>
      </c>
      <c r="AW123" s="262">
        <f>IFERROR(VLOOKUP($A123,'HH &amp; SI'!$B$4:$EY$503,'HH &amp; SI'!EX$503,0),0)</f>
        <v>0</v>
      </c>
      <c r="AX123" s="262">
        <f>IFERROR(VLOOKUP($A123,'HH &amp; SI'!$B$4:$EY$503,'HH &amp; SI'!EY$503,0),0)</f>
        <v>39901.445485113814</v>
      </c>
      <c r="AY123" s="262">
        <f>AX123/$AX$582*'update_State Admin 1004(b)'!$B$30*0.01</f>
        <v>381.88549723443992</v>
      </c>
      <c r="AZ123" s="263">
        <f t="shared" si="270"/>
        <v>39519.559987879373</v>
      </c>
      <c r="BA123" s="261">
        <f t="shared" si="271"/>
        <v>395.19559987879376</v>
      </c>
      <c r="BB123" s="262">
        <f t="shared" si="272"/>
        <v>39124.364388000577</v>
      </c>
      <c r="BC123" s="341">
        <f t="shared" si="157"/>
        <v>0.94248203524667606</v>
      </c>
      <c r="BD123" s="346"/>
      <c r="BE123" s="376" t="str">
        <f>'Original Title I &amp; II'!AZ123</f>
        <v/>
      </c>
      <c r="BF123" s="243" t="str">
        <f t="shared" si="273"/>
        <v/>
      </c>
      <c r="BG123" s="263">
        <f t="shared" si="250"/>
        <v>39124.364388000577</v>
      </c>
      <c r="BI123" s="31">
        <f>IFERROR(VLOOKUP(A123,'Title II Hold Harmless'!A$1:B$439,2, FALSE),"")</f>
        <v>2507</v>
      </c>
      <c r="BJ123" s="31">
        <f t="shared" si="274"/>
        <v>3158.7089124924919</v>
      </c>
      <c r="BK123" s="31">
        <f t="shared" si="275"/>
        <v>3161.7646217802962</v>
      </c>
      <c r="BL123" s="31" t="str">
        <f t="shared" si="276"/>
        <v/>
      </c>
      <c r="BM123" s="31">
        <f t="shared" si="277"/>
        <v>3161.7646217802962</v>
      </c>
      <c r="BN123" s="200"/>
      <c r="BP123" s="295" t="s">
        <v>1447</v>
      </c>
      <c r="BQ123" s="296" t="str">
        <f t="shared" si="145"/>
        <v>Y</v>
      </c>
      <c r="BR123" s="297" t="s">
        <v>1448</v>
      </c>
      <c r="BT123" s="295" t="str">
        <f t="shared" si="146"/>
        <v>Y</v>
      </c>
      <c r="BU123" s="296" t="str">
        <f t="shared" si="278"/>
        <v>N</v>
      </c>
      <c r="BV123" s="296" t="str">
        <f t="shared" si="279"/>
        <v>Y</v>
      </c>
      <c r="BW123" s="297" t="str">
        <f t="shared" si="149"/>
        <v>Y</v>
      </c>
      <c r="BY123" s="352">
        <f t="shared" si="150"/>
        <v>0.85</v>
      </c>
      <c r="BZ123" s="353">
        <f t="shared" si="151"/>
        <v>0</v>
      </c>
      <c r="CA123" s="353">
        <f t="shared" si="152"/>
        <v>0</v>
      </c>
      <c r="CB123" s="354">
        <f t="shared" si="153"/>
        <v>0.85</v>
      </c>
      <c r="CD123" s="311">
        <f t="shared" si="154"/>
        <v>118</v>
      </c>
    </row>
    <row r="124" spans="1:82" outlineLevel="1" x14ac:dyDescent="0.3">
      <c r="A124" s="1">
        <v>70449000</v>
      </c>
      <c r="B124" s="47">
        <f>VLOOKUP(C124,'NCES ID'!$A$2:$B$3136,2,FALSE)</f>
        <v>405850</v>
      </c>
      <c r="C124" s="47">
        <f>VLOOKUP(A124,'State ID'!$A$2:$B$713,2,FALSE)</f>
        <v>4275</v>
      </c>
      <c r="D124" s="147" t="s">
        <v>317</v>
      </c>
      <c r="E124" s="47" t="s">
        <v>7</v>
      </c>
      <c r="F124" s="382">
        <f>IFERROR(VLOOKUP($B124,'update_Formula counts'!$D$7:$R$234,'update_Formula counts'!F$5,0),0)</f>
        <v>115</v>
      </c>
      <c r="G124" s="382">
        <f>IFERROR(VLOOKUP($B124,'update_Formula counts'!$D$7:$R$234,'update_Formula counts'!G$5,0),0)</f>
        <v>0</v>
      </c>
      <c r="H124" s="382">
        <f>IFERROR(VLOOKUP($B124,'update_Formula counts'!$D$7:$R$234,'update_Formula counts'!H$5,0),0)</f>
        <v>0</v>
      </c>
      <c r="I124" s="382">
        <f>IFERROR(VLOOKUP($B124,'update_Formula counts'!$D$7:$R$234,'update_Formula counts'!I$5,0),0)</f>
        <v>5</v>
      </c>
      <c r="J124" s="382">
        <f>IFERROR(VLOOKUP($B124,'update_Formula counts'!$D$7:$R$234,'update_Formula counts'!J$5,0),0)</f>
        <v>0</v>
      </c>
      <c r="K124" s="382">
        <f t="shared" si="251"/>
        <v>115</v>
      </c>
      <c r="L124" s="444">
        <f>IFERROR(VLOOKUP($B124,'update_Formula counts'!$D$7:$R$234,'update_Formula counts'!L$5,0),0)</f>
        <v>454</v>
      </c>
      <c r="M124" s="445">
        <f>IFERROR(VLOOKUP($B124,'update_Formula counts'!$D$7:$R$234,'update_Formula counts'!K$5,0),0)</f>
        <v>120</v>
      </c>
      <c r="N124" s="446">
        <f>IFERROR(VLOOKUP($B124,'update_Formula counts'!$D$7:$R$234,'update_Formula counts'!M$5,0),0)</f>
        <v>0.26431718061674009</v>
      </c>
      <c r="O124" s="137">
        <f>VLOOKUP($C124,'Final SEA Counts'!$A$2:$F$709,5,FALSE)</f>
        <v>472</v>
      </c>
      <c r="P124" s="208">
        <f>VLOOKUP($C124,'Final SEA Counts'!$A$2:$F$709,6,FALSE)</f>
        <v>370</v>
      </c>
      <c r="Q124" s="748">
        <f t="shared" si="252"/>
        <v>-14.521657939919884</v>
      </c>
      <c r="R124" s="444">
        <f t="shared" si="253"/>
        <v>412.02188802538853</v>
      </c>
      <c r="S124" s="445">
        <f t="shared" si="254"/>
        <v>105.47834206008011</v>
      </c>
      <c r="T124" s="229">
        <f t="shared" si="255"/>
        <v>0.2560017929280024</v>
      </c>
      <c r="U124" s="261">
        <f>VLOOKUP($B124,update_Allocation!$D$8:$Q$235,update_Allocation!K$239,0)</f>
        <v>56746.805245876014</v>
      </c>
      <c r="V124" s="262">
        <f>VLOOKUP($B124,update_Allocation!$D$8:$Q$235,update_Allocation!L$239,0)</f>
        <v>13517.608029952009</v>
      </c>
      <c r="W124" s="262">
        <f>VLOOKUP($B124,update_Allocation!$D$8:$Q$235,update_Allocation!M$239,0)</f>
        <v>24499.490384546123</v>
      </c>
      <c r="X124" s="262">
        <f>VLOOKUP($B124,update_Allocation!$D$8:$Q$235,update_Allocation!N$239,0)</f>
        <v>19723.717325603582</v>
      </c>
      <c r="Y124" s="263">
        <f>VLOOKUP($B124,update_Allocation!$D$8:$Q$235,update_Allocation!O$239,0)</f>
        <v>114487.62098597773</v>
      </c>
      <c r="Z124" s="262">
        <f t="shared" si="256"/>
        <v>50013.713130305783</v>
      </c>
      <c r="AA124" s="262">
        <f t="shared" si="257"/>
        <v>11919.502180748186</v>
      </c>
      <c r="AB124" s="262">
        <f t="shared" si="258"/>
        <v>21597.727591884279</v>
      </c>
      <c r="AC124" s="263">
        <f t="shared" si="259"/>
        <v>17397.800483587434</v>
      </c>
      <c r="AD124" s="262">
        <f t="shared" si="260"/>
        <v>50013.713130305783</v>
      </c>
      <c r="AE124" s="262">
        <f t="shared" si="261"/>
        <v>11919.502180748186</v>
      </c>
      <c r="AF124" s="262">
        <f t="shared" si="262"/>
        <v>21597.727591884279</v>
      </c>
      <c r="AG124" s="263">
        <f t="shared" si="263"/>
        <v>17397.800483587434</v>
      </c>
      <c r="AH124" s="262">
        <f t="shared" si="264"/>
        <v>50013.713130305783</v>
      </c>
      <c r="AI124" s="262">
        <f t="shared" si="265"/>
        <v>14050.323563578899</v>
      </c>
      <c r="AJ124" s="262">
        <f t="shared" si="266"/>
        <v>21623.068237104537</v>
      </c>
      <c r="AK124" s="262">
        <f t="shared" si="267"/>
        <v>17421.389295552835</v>
      </c>
      <c r="AL124" s="263">
        <f t="shared" si="268"/>
        <v>103108.49422654207</v>
      </c>
      <c r="AM124" s="346"/>
      <c r="AN124" s="261">
        <f>IFERROR(VLOOKUP($A124,'HH &amp; SI'!$B$4:$Z$494,'HH &amp; SI'!V$503,0),0)</f>
        <v>49331.493621124537</v>
      </c>
      <c r="AO124" s="262">
        <f>IFERROR(VLOOKUP($A124,'HH &amp; SI'!$B$4:$Z$494,'HH &amp; SI'!W$503,0),0)</f>
        <v>13587.557274715997</v>
      </c>
      <c r="AP124" s="262">
        <f>IFERROR(VLOOKUP($A124,'HH &amp; SI'!$B$4:$Z$494,'HH &amp; SI'!X$503,0),0)</f>
        <v>21426.414873895854</v>
      </c>
      <c r="AQ124" s="262">
        <f>IFERROR(VLOOKUP($A124,'HH &amp; SI'!$B$4:$Z$494,'HH &amp; SI'!Y$503,0),0)</f>
        <v>17272.868945832557</v>
      </c>
      <c r="AR124" s="263">
        <f t="shared" si="269"/>
        <v>101618.33471556894</v>
      </c>
      <c r="AS124" s="346"/>
      <c r="AT124" s="323">
        <f>IFERROR(VLOOKUP(A124,'Afton FY16 Final'!$A$5:$BV$572,'Afton FY16 Final'!$BV$587,0),0)</f>
        <v>100112.89938925498</v>
      </c>
      <c r="AU124" s="346"/>
      <c r="AV124" s="444">
        <v>0</v>
      </c>
      <c r="AW124" s="262">
        <f>IFERROR(VLOOKUP($A124,'HH &amp; SI'!$B$4:$EY$503,'HH &amp; SI'!EX$503,0),0)</f>
        <v>1505.4353263139637</v>
      </c>
      <c r="AX124" s="262">
        <f>IFERROR(VLOOKUP($A124,'HH &amp; SI'!$B$4:$EY$503,'HH &amp; SI'!EY$503,0),0)</f>
        <v>100112.89938925498</v>
      </c>
      <c r="AY124" s="262">
        <f>AX124/$AX$582*'update_State Admin 1004(b)'!$B$30*0.01</f>
        <v>958.15236510943771</v>
      </c>
      <c r="AZ124" s="263">
        <f t="shared" si="270"/>
        <v>99154.747024145545</v>
      </c>
      <c r="BA124" s="261">
        <f t="shared" si="271"/>
        <v>991.54747024145547</v>
      </c>
      <c r="BB124" s="262">
        <f t="shared" si="272"/>
        <v>98163.199553904095</v>
      </c>
      <c r="BC124" s="341">
        <f t="shared" si="157"/>
        <v>0.98052498881517614</v>
      </c>
      <c r="BD124" s="346"/>
      <c r="BE124" s="376" t="str">
        <f>'Original Title I &amp; II'!AZ124</f>
        <v/>
      </c>
      <c r="BF124" s="243" t="str">
        <f t="shared" si="273"/>
        <v/>
      </c>
      <c r="BG124" s="263">
        <f t="shared" si="250"/>
        <v>98163.199553904095</v>
      </c>
      <c r="BI124" s="31">
        <f>IFERROR(VLOOKUP(A124,'Title II Hold Harmless'!A$1:B$439,2, FALSE),"")</f>
        <v>15250</v>
      </c>
      <c r="BJ124" s="31">
        <f t="shared" si="274"/>
        <v>16962.400718495253</v>
      </c>
      <c r="BK124" s="31">
        <f t="shared" si="275"/>
        <v>16978.8100068643</v>
      </c>
      <c r="BL124" s="31" t="str">
        <f t="shared" si="276"/>
        <v/>
      </c>
      <c r="BM124" s="31">
        <f t="shared" si="277"/>
        <v>16978.8100068643</v>
      </c>
      <c r="BN124" s="200"/>
      <c r="BP124" s="295" t="s">
        <v>1447</v>
      </c>
      <c r="BQ124" s="296" t="str">
        <f t="shared" si="145"/>
        <v>Y</v>
      </c>
      <c r="BR124" s="297" t="s">
        <v>1448</v>
      </c>
      <c r="BT124" s="295" t="str">
        <f t="shared" si="146"/>
        <v>Y</v>
      </c>
      <c r="BU124" s="296" t="str">
        <f t="shared" si="278"/>
        <v>Y</v>
      </c>
      <c r="BV124" s="296" t="str">
        <f t="shared" si="279"/>
        <v>Y</v>
      </c>
      <c r="BW124" s="297" t="str">
        <f t="shared" si="149"/>
        <v>Y</v>
      </c>
      <c r="BY124" s="352">
        <f t="shared" si="150"/>
        <v>0</v>
      </c>
      <c r="BZ124" s="353">
        <f t="shared" si="151"/>
        <v>0.9</v>
      </c>
      <c r="CA124" s="353">
        <f t="shared" si="152"/>
        <v>0</v>
      </c>
      <c r="CB124" s="354">
        <f t="shared" si="153"/>
        <v>0.9</v>
      </c>
      <c r="CD124" s="311">
        <f t="shared" si="154"/>
        <v>119</v>
      </c>
    </row>
    <row r="125" spans="1:82" outlineLevel="1" x14ac:dyDescent="0.3">
      <c r="A125" s="1">
        <v>70224000</v>
      </c>
      <c r="B125" s="47">
        <f>VLOOKUP(C125,'NCES ID'!$A$2:$B$3136,2,FALSE)</f>
        <v>403310</v>
      </c>
      <c r="C125" s="47">
        <f>VLOOKUP(A125,'State ID'!$A$2:$B$713,2,FALSE)</f>
        <v>4238</v>
      </c>
      <c r="D125" s="147" t="s">
        <v>180</v>
      </c>
      <c r="E125" s="47" t="s">
        <v>7</v>
      </c>
      <c r="F125" s="382">
        <f>IFERROR(VLOOKUP($B125,'update_Formula counts'!$D$7:$R$234,'update_Formula counts'!F$5,0),0)</f>
        <v>140</v>
      </c>
      <c r="G125" s="382">
        <f>IFERROR(VLOOKUP($B125,'update_Formula counts'!$D$7:$R$234,'update_Formula counts'!G$5,0),0)</f>
        <v>0</v>
      </c>
      <c r="H125" s="382">
        <f>IFERROR(VLOOKUP($B125,'update_Formula counts'!$D$7:$R$234,'update_Formula counts'!H$5,0),0)</f>
        <v>0</v>
      </c>
      <c r="I125" s="382">
        <f>IFERROR(VLOOKUP($B125,'update_Formula counts'!$D$7:$R$234,'update_Formula counts'!I$5,0),0)</f>
        <v>6</v>
      </c>
      <c r="J125" s="382">
        <f>IFERROR(VLOOKUP($B125,'update_Formula counts'!$D$7:$R$234,'update_Formula counts'!J$5,0),0)</f>
        <v>0</v>
      </c>
      <c r="K125" s="382">
        <f t="shared" si="251"/>
        <v>140</v>
      </c>
      <c r="L125" s="444">
        <f>IFERROR(VLOOKUP($B125,'update_Formula counts'!$D$7:$R$234,'update_Formula counts'!L$5,0),0)</f>
        <v>519</v>
      </c>
      <c r="M125" s="445">
        <f>IFERROR(VLOOKUP($B125,'update_Formula counts'!$D$7:$R$234,'update_Formula counts'!K$5,0),0)</f>
        <v>146</v>
      </c>
      <c r="N125" s="446">
        <f>IFERROR(VLOOKUP($B125,'update_Formula counts'!$D$7:$R$234,'update_Formula counts'!M$5,0),0)</f>
        <v>0.2813102119460501</v>
      </c>
      <c r="O125" s="137">
        <f>VLOOKUP($C125,'Final SEA Counts'!$A$2:$F$709,5,FALSE)</f>
        <v>377</v>
      </c>
      <c r="P125" s="208">
        <f>VLOOKUP($C125,'Final SEA Counts'!$A$2:$F$709,6,FALSE)</f>
        <v>305</v>
      </c>
      <c r="Q125" s="748">
        <f t="shared" si="252"/>
        <v>-17.678715962122151</v>
      </c>
      <c r="R125" s="444">
        <f t="shared" si="253"/>
        <v>471.01180591448605</v>
      </c>
      <c r="S125" s="445">
        <f t="shared" si="254"/>
        <v>128.32128403787783</v>
      </c>
      <c r="T125" s="229">
        <f t="shared" si="255"/>
        <v>0.27243751096373803</v>
      </c>
      <c r="U125" s="261">
        <f>VLOOKUP($B125,update_Allocation!$D$8:$Q$235,update_Allocation!K$239,0)</f>
        <v>109013.10750264223</v>
      </c>
      <c r="V125" s="262">
        <f>VLOOKUP($B125,update_Allocation!$D$8:$Q$235,update_Allocation!L$239,0)</f>
        <v>23852.921319365727</v>
      </c>
      <c r="W125" s="262">
        <f>VLOOKUP($B125,update_Allocation!$D$8:$Q$235,update_Allocation!M$239,0)</f>
        <v>43528.696170785086</v>
      </c>
      <c r="X125" s="262">
        <f>VLOOKUP($B125,update_Allocation!$D$8:$Q$235,update_Allocation!N$239,0)</f>
        <v>41675.134830841635</v>
      </c>
      <c r="Y125" s="263">
        <f>VLOOKUP($B125,update_Allocation!$D$8:$Q$235,update_Allocation!O$239,0)</f>
        <v>218069.85982363467</v>
      </c>
      <c r="Z125" s="262">
        <f t="shared" si="256"/>
        <v>96078.541557659948</v>
      </c>
      <c r="AA125" s="262">
        <f t="shared" si="257"/>
        <v>21032.933271435009</v>
      </c>
      <c r="AB125" s="262">
        <f t="shared" si="258"/>
        <v>38373.080728223045</v>
      </c>
      <c r="AC125" s="263">
        <f t="shared" si="259"/>
        <v>36760.599888155215</v>
      </c>
      <c r="AD125" s="262">
        <f t="shared" si="260"/>
        <v>96078.541557659948</v>
      </c>
      <c r="AE125" s="262">
        <f t="shared" si="261"/>
        <v>21032.933271435009</v>
      </c>
      <c r="AF125" s="262">
        <f t="shared" si="262"/>
        <v>38373.080728223045</v>
      </c>
      <c r="AG125" s="263">
        <f t="shared" si="263"/>
        <v>36760.599888155215</v>
      </c>
      <c r="AH125" s="262">
        <f t="shared" si="264"/>
        <v>96078.541557659948</v>
      </c>
      <c r="AI125" s="262">
        <f t="shared" si="265"/>
        <v>23163.754654265722</v>
      </c>
      <c r="AJ125" s="262">
        <f t="shared" si="266"/>
        <v>38398.421373443307</v>
      </c>
      <c r="AK125" s="262">
        <f t="shared" si="267"/>
        <v>36784.18870012062</v>
      </c>
      <c r="AL125" s="263">
        <f t="shared" si="268"/>
        <v>194424.90628548962</v>
      </c>
      <c r="AM125" s="346"/>
      <c r="AN125" s="261">
        <f>IFERROR(VLOOKUP($A125,'HH &amp; SI'!$B$4:$Z$494,'HH &amp; SI'!V$503,0),0)</f>
        <v>97799.541997903594</v>
      </c>
      <c r="AO125" s="262">
        <f>IFERROR(VLOOKUP($A125,'HH &amp; SI'!$B$4:$Z$494,'HH &amp; SI'!W$503,0),0)</f>
        <v>22400.825264847812</v>
      </c>
      <c r="AP125" s="262">
        <f>IFERROR(VLOOKUP($A125,'HH &amp; SI'!$B$4:$Z$494,'HH &amp; SI'!X$503,0),0)</f>
        <v>38918.525873795625</v>
      </c>
      <c r="AQ125" s="262">
        <f>IFERROR(VLOOKUP($A125,'HH &amp; SI'!$B$4:$Z$494,'HH &amp; SI'!Y$503,0),0)</f>
        <v>37324.133873768289</v>
      </c>
      <c r="AR125" s="263">
        <f t="shared" si="269"/>
        <v>196443.02701031533</v>
      </c>
      <c r="AS125" s="346"/>
      <c r="AT125" s="323">
        <f>IFERROR(VLOOKUP(A125,'Afton FY16 Final'!$A$5:$BV$572,'Afton FY16 Final'!$BV$587,0),0)</f>
        <v>213727.99698226058</v>
      </c>
      <c r="AU125" s="346"/>
      <c r="AV125" s="444">
        <v>0</v>
      </c>
      <c r="AW125" s="262">
        <f>IFERROR(VLOOKUP($A125,'HH &amp; SI'!$B$4:$EY$503,'HH &amp; SI'!EX$503,0),0)</f>
        <v>0</v>
      </c>
      <c r="AX125" s="262">
        <f>IFERROR(VLOOKUP($A125,'HH &amp; SI'!$B$4:$EY$503,'HH &amp; SI'!EY$503,0),0)</f>
        <v>196443.02701031533</v>
      </c>
      <c r="AY125" s="262">
        <f>AX125/$AX$582*'update_State Admin 1004(b)'!$B$30*0.01</f>
        <v>1880.1008869731377</v>
      </c>
      <c r="AZ125" s="263">
        <f t="shared" si="270"/>
        <v>194562.92612334219</v>
      </c>
      <c r="BA125" s="261">
        <f t="shared" si="271"/>
        <v>1945.6292612334219</v>
      </c>
      <c r="BB125" s="262">
        <f t="shared" si="272"/>
        <v>192617.29686210875</v>
      </c>
      <c r="BC125" s="341">
        <f t="shared" si="157"/>
        <v>0.90122632309185013</v>
      </c>
      <c r="BD125" s="346"/>
      <c r="BE125" s="376" t="str">
        <f>'Original Title I &amp; II'!AZ125</f>
        <v/>
      </c>
      <c r="BF125" s="243" t="str">
        <f t="shared" si="273"/>
        <v/>
      </c>
      <c r="BG125" s="263">
        <f t="shared" si="250"/>
        <v>192617.29686210875</v>
      </c>
      <c r="BI125" s="31">
        <f>IFERROR(VLOOKUP(A125,'Title II Hold Harmless'!A$1:B$439,2, FALSE),"")</f>
        <v>32922</v>
      </c>
      <c r="BJ125" s="31">
        <f t="shared" si="274"/>
        <v>34980.910282602985</v>
      </c>
      <c r="BK125" s="31">
        <f t="shared" si="275"/>
        <v>35014.750530440848</v>
      </c>
      <c r="BL125" s="31" t="str">
        <f t="shared" si="276"/>
        <v/>
      </c>
      <c r="BM125" s="31">
        <f t="shared" si="277"/>
        <v>35014.750530440848</v>
      </c>
      <c r="BN125" s="200"/>
      <c r="BP125" s="295" t="s">
        <v>1447</v>
      </c>
      <c r="BQ125" s="296" t="str">
        <f t="shared" si="145"/>
        <v>Y</v>
      </c>
      <c r="BR125" s="297" t="s">
        <v>1448</v>
      </c>
      <c r="BT125" s="295" t="str">
        <f t="shared" si="146"/>
        <v>Y</v>
      </c>
      <c r="BU125" s="296" t="str">
        <f t="shared" si="278"/>
        <v>Y</v>
      </c>
      <c r="BV125" s="296" t="str">
        <f t="shared" si="279"/>
        <v>Y</v>
      </c>
      <c r="BW125" s="297" t="str">
        <f t="shared" si="149"/>
        <v>Y</v>
      </c>
      <c r="BY125" s="352">
        <f t="shared" si="150"/>
        <v>0</v>
      </c>
      <c r="BZ125" s="353">
        <f t="shared" si="151"/>
        <v>0.9</v>
      </c>
      <c r="CA125" s="353">
        <f t="shared" si="152"/>
        <v>0</v>
      </c>
      <c r="CB125" s="354">
        <f t="shared" si="153"/>
        <v>0.9</v>
      </c>
      <c r="CD125" s="311">
        <f t="shared" si="154"/>
        <v>120</v>
      </c>
    </row>
    <row r="126" spans="1:82" outlineLevel="1" x14ac:dyDescent="0.3">
      <c r="A126" s="1">
        <v>70407000</v>
      </c>
      <c r="B126" s="47">
        <f>VLOOKUP(C126,'NCES ID'!$A$2:$B$3136,2,FALSE)</f>
        <v>409390</v>
      </c>
      <c r="C126" s="47">
        <f>VLOOKUP(A126,'State ID'!$A$2:$B$713,2,FALSE)</f>
        <v>4261</v>
      </c>
      <c r="D126" s="147" t="s">
        <v>445</v>
      </c>
      <c r="E126" s="47" t="s">
        <v>7</v>
      </c>
      <c r="F126" s="382">
        <f>IFERROR(VLOOKUP($B126,'update_Formula counts'!$D$7:$R$234,'update_Formula counts'!F$5,0),0)</f>
        <v>350</v>
      </c>
      <c r="G126" s="382">
        <f>IFERROR(VLOOKUP($B126,'update_Formula counts'!$D$7:$R$234,'update_Formula counts'!G$5,0),0)</f>
        <v>0</v>
      </c>
      <c r="H126" s="382">
        <f>IFERROR(VLOOKUP($B126,'update_Formula counts'!$D$7:$R$234,'update_Formula counts'!H$5,0),0)</f>
        <v>0</v>
      </c>
      <c r="I126" s="382">
        <f>IFERROR(VLOOKUP($B126,'update_Formula counts'!$D$7:$R$234,'update_Formula counts'!I$5,0),0)</f>
        <v>16</v>
      </c>
      <c r="J126" s="382">
        <f>IFERROR(VLOOKUP($B126,'update_Formula counts'!$D$7:$R$234,'update_Formula counts'!J$5,0),0)</f>
        <v>0</v>
      </c>
      <c r="K126" s="382">
        <f t="shared" si="251"/>
        <v>350</v>
      </c>
      <c r="L126" s="444">
        <f>IFERROR(VLOOKUP($B126,'update_Formula counts'!$D$7:$R$234,'update_Formula counts'!L$5,0),0)</f>
        <v>608</v>
      </c>
      <c r="M126" s="445">
        <f>IFERROR(VLOOKUP($B126,'update_Formula counts'!$D$7:$R$234,'update_Formula counts'!K$5,0),0)</f>
        <v>366</v>
      </c>
      <c r="N126" s="446">
        <f>IFERROR(VLOOKUP($B126,'update_Formula counts'!$D$7:$R$234,'update_Formula counts'!M$5,0),0)</f>
        <v>0.60197368421052633</v>
      </c>
      <c r="O126" s="137">
        <f>VLOOKUP($C126,'Final SEA Counts'!$A$2:$F$709,5,FALSE)</f>
        <v>1240</v>
      </c>
      <c r="P126" s="208">
        <f>VLOOKUP($C126,'Final SEA Counts'!$A$2:$F$709,6,FALSE)</f>
        <v>1052</v>
      </c>
      <c r="Q126" s="748">
        <f t="shared" si="252"/>
        <v>-44.194767499778983</v>
      </c>
      <c r="R126" s="444">
        <f t="shared" si="253"/>
        <v>551.78261656263487</v>
      </c>
      <c r="S126" s="445">
        <f t="shared" si="254"/>
        <v>321.805232500221</v>
      </c>
      <c r="T126" s="229">
        <f t="shared" si="255"/>
        <v>0.58321016799138636</v>
      </c>
      <c r="U126" s="261">
        <f>VLOOKUP($B126,update_Allocation!$D$8:$Q$235,update_Allocation!K$239,0)</f>
        <v>271650.46575663157</v>
      </c>
      <c r="V126" s="262">
        <f>VLOOKUP($B126,update_Allocation!$D$8:$Q$235,update_Allocation!L$239,0)</f>
        <v>66254.398468317828</v>
      </c>
      <c r="W126" s="262">
        <f>VLOOKUP($B126,update_Allocation!$D$8:$Q$235,update_Allocation!M$239,0)</f>
        <v>191133.95576214735</v>
      </c>
      <c r="X126" s="262">
        <f>VLOOKUP($B126,update_Allocation!$D$8:$Q$235,update_Allocation!N$239,0)</f>
        <v>220759.78345148161</v>
      </c>
      <c r="Y126" s="263">
        <f>VLOOKUP($B126,update_Allocation!$D$8:$Q$235,update_Allocation!O$239,0)</f>
        <v>749798.60343857831</v>
      </c>
      <c r="Z126" s="262">
        <f t="shared" si="256"/>
        <v>239418.73744607827</v>
      </c>
      <c r="AA126" s="262">
        <f t="shared" si="257"/>
        <v>58421.537691981539</v>
      </c>
      <c r="AB126" s="262">
        <f t="shared" si="258"/>
        <v>168495.71339304393</v>
      </c>
      <c r="AC126" s="263">
        <f t="shared" si="259"/>
        <v>194726.7142336877</v>
      </c>
      <c r="AD126" s="262">
        <f t="shared" si="260"/>
        <v>239418.73744607827</v>
      </c>
      <c r="AE126" s="262">
        <f t="shared" si="261"/>
        <v>58421.537691981539</v>
      </c>
      <c r="AF126" s="262">
        <f t="shared" si="262"/>
        <v>168495.71339304393</v>
      </c>
      <c r="AG126" s="263">
        <f t="shared" si="263"/>
        <v>194726.7142336877</v>
      </c>
      <c r="AH126" s="262">
        <f t="shared" si="264"/>
        <v>239418.73744607827</v>
      </c>
      <c r="AI126" s="262">
        <f t="shared" si="265"/>
        <v>60552.359074812251</v>
      </c>
      <c r="AJ126" s="262">
        <f t="shared" si="266"/>
        <v>168521.05403826418</v>
      </c>
      <c r="AK126" s="262">
        <f t="shared" si="267"/>
        <v>194750.3030456531</v>
      </c>
      <c r="AL126" s="263">
        <f t="shared" si="268"/>
        <v>663242.45360480784</v>
      </c>
      <c r="AM126" s="346"/>
      <c r="AN126" s="261">
        <f>IFERROR(VLOOKUP($A126,'HH &amp; SI'!$B$4:$Z$494,'HH &amp; SI'!V$503,0),0)</f>
        <v>239011.89187113143</v>
      </c>
      <c r="AO126" s="262">
        <f>IFERROR(VLOOKUP($A126,'HH &amp; SI'!$B$4:$Z$494,'HH &amp; SI'!W$503,0),0)</f>
        <v>58634.896255098771</v>
      </c>
      <c r="AP126" s="262">
        <f>IFERROR(VLOOKUP($A126,'HH &amp; SI'!$B$4:$Z$494,'HH &amp; SI'!X$503,0),0)</f>
        <v>167875.03692023442</v>
      </c>
      <c r="AQ126" s="262">
        <f>IFERROR(VLOOKUP($A126,'HH &amp; SI'!$B$4:$Z$494,'HH &amp; SI'!Y$503,0),0)</f>
        <v>194222.81040122989</v>
      </c>
      <c r="AR126" s="263">
        <f t="shared" si="269"/>
        <v>659744.63544769445</v>
      </c>
      <c r="AS126" s="346"/>
      <c r="AT126" s="323">
        <f>IFERROR(VLOOKUP(A126,'Afton FY16 Final'!$A$5:$BV$572,'Afton FY16 Final'!$BV$587,0),0)</f>
        <v>680793.96177367261</v>
      </c>
      <c r="AU126" s="346"/>
      <c r="AV126" s="444">
        <v>0</v>
      </c>
      <c r="AW126" s="262">
        <f>IFERROR(VLOOKUP($A126,'HH &amp; SI'!$B$4:$EY$503,'HH &amp; SI'!EX$503,0),0)</f>
        <v>0</v>
      </c>
      <c r="AX126" s="262">
        <f>IFERROR(VLOOKUP($A126,'HH &amp; SI'!$B$4:$EY$503,'HH &amp; SI'!EY$503,0),0)</f>
        <v>659744.63544769445</v>
      </c>
      <c r="AY126" s="262">
        <f>AX126/$AX$582*'update_State Admin 1004(b)'!$B$30*0.01</f>
        <v>6314.2301010045339</v>
      </c>
      <c r="AZ126" s="263">
        <f t="shared" si="270"/>
        <v>653430.40534668998</v>
      </c>
      <c r="BA126" s="261">
        <f t="shared" si="271"/>
        <v>6534.3040534668999</v>
      </c>
      <c r="BB126" s="262">
        <f t="shared" si="272"/>
        <v>646896.1012932231</v>
      </c>
      <c r="BC126" s="341">
        <f t="shared" si="157"/>
        <v>0.95020834146040978</v>
      </c>
      <c r="BD126" s="346"/>
      <c r="BE126" s="376" t="str">
        <f>'Original Title I &amp; II'!AZ126</f>
        <v/>
      </c>
      <c r="BF126" s="243" t="str">
        <f t="shared" si="273"/>
        <v/>
      </c>
      <c r="BG126" s="263">
        <f t="shared" si="250"/>
        <v>646896.1012932231</v>
      </c>
      <c r="BI126" s="31">
        <f>IFERROR(VLOOKUP(A126,'Title II Hold Harmless'!A$1:B$439,2, FALSE),"")</f>
        <v>82482</v>
      </c>
      <c r="BJ126" s="31">
        <f t="shared" si="274"/>
        <v>87138.792164652681</v>
      </c>
      <c r="BK126" s="31">
        <f t="shared" si="275"/>
        <v>87223.089522820927</v>
      </c>
      <c r="BL126" s="31" t="str">
        <f t="shared" si="276"/>
        <v/>
      </c>
      <c r="BM126" s="31">
        <f t="shared" si="277"/>
        <v>87223.089522820927</v>
      </c>
      <c r="BN126" s="200"/>
      <c r="BP126" s="295" t="s">
        <v>1447</v>
      </c>
      <c r="BQ126" s="296" t="str">
        <f t="shared" si="145"/>
        <v>Y</v>
      </c>
      <c r="BR126" s="297" t="s">
        <v>1448</v>
      </c>
      <c r="BT126" s="295" t="str">
        <f t="shared" si="146"/>
        <v>Y</v>
      </c>
      <c r="BU126" s="296" t="str">
        <f t="shared" si="278"/>
        <v>Y</v>
      </c>
      <c r="BV126" s="296" t="str">
        <f t="shared" si="279"/>
        <v>Y</v>
      </c>
      <c r="BW126" s="297" t="str">
        <f t="shared" si="149"/>
        <v>Y</v>
      </c>
      <c r="BY126" s="352">
        <f t="shared" si="150"/>
        <v>0</v>
      </c>
      <c r="BZ126" s="353">
        <f t="shared" si="151"/>
        <v>0</v>
      </c>
      <c r="CA126" s="353">
        <f t="shared" si="152"/>
        <v>0.95</v>
      </c>
      <c r="CB126" s="354">
        <f t="shared" si="153"/>
        <v>0.95</v>
      </c>
      <c r="CD126" s="311">
        <f t="shared" si="154"/>
        <v>121</v>
      </c>
    </row>
    <row r="127" spans="1:82" outlineLevel="1" x14ac:dyDescent="0.3">
      <c r="A127" s="1">
        <v>70402000</v>
      </c>
      <c r="B127" s="47">
        <f>VLOOKUP(C127,'NCES ID'!$A$2:$B$3136,2,FALSE)</f>
        <v>407020</v>
      </c>
      <c r="C127" s="47">
        <f>VLOOKUP(A127,'State ID'!$A$2:$B$713,2,FALSE)</f>
        <v>4257</v>
      </c>
      <c r="D127" s="147" t="s">
        <v>360</v>
      </c>
      <c r="E127" s="47" t="s">
        <v>7</v>
      </c>
      <c r="F127" s="382">
        <f>IFERROR(VLOOKUP($B127,'update_Formula counts'!$D$7:$R$234,'update_Formula counts'!F$5,0),0)</f>
        <v>368</v>
      </c>
      <c r="G127" s="382">
        <f>IFERROR(VLOOKUP($B127,'update_Formula counts'!$D$7:$R$234,'update_Formula counts'!G$5,0),0)</f>
        <v>0</v>
      </c>
      <c r="H127" s="382">
        <f>IFERROR(VLOOKUP($B127,'update_Formula counts'!$D$7:$R$234,'update_Formula counts'!H$5,0),0)</f>
        <v>0</v>
      </c>
      <c r="I127" s="382">
        <f>IFERROR(VLOOKUP($B127,'update_Formula counts'!$D$7:$R$234,'update_Formula counts'!I$5,0),0)</f>
        <v>17</v>
      </c>
      <c r="J127" s="382">
        <f>IFERROR(VLOOKUP($B127,'update_Formula counts'!$D$7:$R$234,'update_Formula counts'!J$5,0),0)</f>
        <v>0</v>
      </c>
      <c r="K127" s="382">
        <f t="shared" si="251"/>
        <v>368</v>
      </c>
      <c r="L127" s="444">
        <f>IFERROR(VLOOKUP($B127,'update_Formula counts'!$D$7:$R$234,'update_Formula counts'!L$5,0),0)</f>
        <v>1331</v>
      </c>
      <c r="M127" s="445">
        <f>IFERROR(VLOOKUP($B127,'update_Formula counts'!$D$7:$R$234,'update_Formula counts'!K$5,0),0)</f>
        <v>385</v>
      </c>
      <c r="N127" s="446">
        <f>IFERROR(VLOOKUP($B127,'update_Formula counts'!$D$7:$R$234,'update_Formula counts'!M$5,0),0)</f>
        <v>0.28925619834710742</v>
      </c>
      <c r="O127" s="137">
        <f>VLOOKUP($C127,'Final SEA Counts'!$A$2:$F$709,5,FALSE)</f>
        <v>894</v>
      </c>
      <c r="P127" s="208">
        <f>VLOOKUP($C127,'Final SEA Counts'!$A$2:$F$709,6,FALSE)</f>
        <v>797</v>
      </c>
      <c r="Q127" s="748">
        <f t="shared" si="252"/>
        <v>-46.467283002217236</v>
      </c>
      <c r="R127" s="444">
        <f t="shared" si="253"/>
        <v>1207.9320109290575</v>
      </c>
      <c r="S127" s="445">
        <f t="shared" si="254"/>
        <v>338.53271699778276</v>
      </c>
      <c r="T127" s="229">
        <f t="shared" si="255"/>
        <v>0.28025808897754673</v>
      </c>
      <c r="U127" s="261">
        <f>VLOOKUP($B127,update_Allocation!$D$8:$Q$235,update_Allocation!K$239,0)</f>
        <v>182062.66683051895</v>
      </c>
      <c r="V127" s="262">
        <f>VLOOKUP($B127,update_Allocation!$D$8:$Q$235,update_Allocation!L$239,0)</f>
        <v>43368.99242942936</v>
      </c>
      <c r="W127" s="262">
        <f>VLOOKUP($B127,update_Allocation!$D$8:$Q$235,update_Allocation!M$239,0)</f>
        <v>83668.859713323895</v>
      </c>
      <c r="X127" s="262">
        <f>VLOOKUP($B127,update_Allocation!$D$8:$Q$235,update_Allocation!N$239,0)</f>
        <v>67524.613182934845</v>
      </c>
      <c r="Y127" s="263">
        <f>VLOOKUP($B127,update_Allocation!$D$8:$Q$235,update_Allocation!O$239,0)</f>
        <v>376625.13215620699</v>
      </c>
      <c r="Z127" s="262">
        <f t="shared" si="256"/>
        <v>160460.66295973113</v>
      </c>
      <c r="AA127" s="262">
        <f t="shared" si="257"/>
        <v>38241.736163233756</v>
      </c>
      <c r="AB127" s="262">
        <f t="shared" si="258"/>
        <v>73758.9726009898</v>
      </c>
      <c r="AC127" s="263">
        <f t="shared" si="259"/>
        <v>59561.781812960951</v>
      </c>
      <c r="AD127" s="262">
        <f t="shared" si="260"/>
        <v>160460.66295973113</v>
      </c>
      <c r="AE127" s="262">
        <f t="shared" si="261"/>
        <v>38241.736163233756</v>
      </c>
      <c r="AF127" s="262">
        <f t="shared" si="262"/>
        <v>73758.9726009898</v>
      </c>
      <c r="AG127" s="263">
        <f t="shared" si="263"/>
        <v>59561.781812960951</v>
      </c>
      <c r="AH127" s="262">
        <f t="shared" si="264"/>
        <v>160460.66295973113</v>
      </c>
      <c r="AI127" s="262">
        <f t="shared" si="265"/>
        <v>40372.557546064469</v>
      </c>
      <c r="AJ127" s="262">
        <f t="shared" si="266"/>
        <v>73784.313246210062</v>
      </c>
      <c r="AK127" s="262">
        <f t="shared" si="267"/>
        <v>59585.370624926356</v>
      </c>
      <c r="AL127" s="263">
        <f t="shared" si="268"/>
        <v>334202.90437693201</v>
      </c>
      <c r="AM127" s="346"/>
      <c r="AN127" s="261">
        <f>IFERROR(VLOOKUP($A127,'HH &amp; SI'!$B$4:$Z$494,'HH &amp; SI'!V$503,0),0)</f>
        <v>158271.8753677746</v>
      </c>
      <c r="AO127" s="262">
        <f>IFERROR(VLOOKUP($A127,'HH &amp; SI'!$B$4:$Z$494,'HH &amp; SI'!W$503,0),0)</f>
        <v>39042.833106413396</v>
      </c>
      <c r="AP127" s="262">
        <f>IFERROR(VLOOKUP($A127,'HH &amp; SI'!$B$4:$Z$494,'HH &amp; SI'!X$503,0),0)</f>
        <v>73113.273725231644</v>
      </c>
      <c r="AQ127" s="262">
        <f>IFERROR(VLOOKUP($A127,'HH &amp; SI'!$B$4:$Z$494,'HH &amp; SI'!Y$503,0),0)</f>
        <v>58928.847099785744</v>
      </c>
      <c r="AR127" s="263">
        <f t="shared" si="269"/>
        <v>329356.82929920539</v>
      </c>
      <c r="AS127" s="346"/>
      <c r="AT127" s="323">
        <f>IFERROR(VLOOKUP(A127,'Afton FY16 Final'!$A$5:$BV$572,'Afton FY16 Final'!$BV$587,0),0)</f>
        <v>278749.83925887529</v>
      </c>
      <c r="AU127" s="346"/>
      <c r="AV127" s="444">
        <v>0</v>
      </c>
      <c r="AW127" s="262">
        <f>IFERROR(VLOOKUP($A127,'HH &amp; SI'!$B$4:$EY$503,'HH &amp; SI'!EX$503,0),0)</f>
        <v>18448.297332394985</v>
      </c>
      <c r="AX127" s="262">
        <f>IFERROR(VLOOKUP($A127,'HH &amp; SI'!$B$4:$EY$503,'HH &amp; SI'!EY$503,0),0)</f>
        <v>310908.53196681041</v>
      </c>
      <c r="AY127" s="262">
        <f>AX127/$AX$582*'update_State Admin 1004(b)'!$B$30*0.01</f>
        <v>2975.6179978209252</v>
      </c>
      <c r="AZ127" s="263">
        <f t="shared" si="270"/>
        <v>307932.91396898951</v>
      </c>
      <c r="BA127" s="261">
        <f t="shared" si="271"/>
        <v>3079.3291396898953</v>
      </c>
      <c r="BB127" s="262">
        <f t="shared" si="272"/>
        <v>304853.58482929959</v>
      </c>
      <c r="BC127" s="341">
        <f t="shared" si="157"/>
        <v>1.0936457780202762</v>
      </c>
      <c r="BD127" s="346"/>
      <c r="BE127" s="376" t="str">
        <f>'Original Title I &amp; II'!AZ127</f>
        <v/>
      </c>
      <c r="BF127" s="243" t="str">
        <f t="shared" si="273"/>
        <v/>
      </c>
      <c r="BG127" s="263">
        <f t="shared" si="250"/>
        <v>304853.58482929959</v>
      </c>
      <c r="BI127" s="31">
        <f>IFERROR(VLOOKUP(A127,'Title II Hold Harmless'!A$1:B$439,2, FALSE),"")</f>
        <v>12175</v>
      </c>
      <c r="BJ127" s="31">
        <f t="shared" si="274"/>
        <v>17578.838693894402</v>
      </c>
      <c r="BK127" s="31">
        <f t="shared" si="275"/>
        <v>17595.844319342606</v>
      </c>
      <c r="BL127" s="31" t="str">
        <f t="shared" si="276"/>
        <v/>
      </c>
      <c r="BM127" s="31">
        <f t="shared" si="277"/>
        <v>17595.844319342606</v>
      </c>
      <c r="BN127" s="200"/>
      <c r="BP127" s="295" t="s">
        <v>1447</v>
      </c>
      <c r="BQ127" s="296" t="str">
        <f t="shared" si="145"/>
        <v>Y</v>
      </c>
      <c r="BR127" s="297" t="s">
        <v>1448</v>
      </c>
      <c r="BT127" s="295" t="str">
        <f t="shared" si="146"/>
        <v>Y</v>
      </c>
      <c r="BU127" s="296" t="str">
        <f t="shared" si="278"/>
        <v>Y</v>
      </c>
      <c r="BV127" s="296" t="str">
        <f t="shared" si="279"/>
        <v>Y</v>
      </c>
      <c r="BW127" s="297" t="str">
        <f t="shared" si="149"/>
        <v>Y</v>
      </c>
      <c r="BY127" s="352">
        <f t="shared" si="150"/>
        <v>0</v>
      </c>
      <c r="BZ127" s="353">
        <f t="shared" si="151"/>
        <v>0.9</v>
      </c>
      <c r="CA127" s="353">
        <f t="shared" si="152"/>
        <v>0</v>
      </c>
      <c r="CB127" s="354">
        <f t="shared" si="153"/>
        <v>0.9</v>
      </c>
      <c r="CD127" s="311">
        <f t="shared" si="154"/>
        <v>122</v>
      </c>
    </row>
    <row r="128" spans="1:82" outlineLevel="1" x14ac:dyDescent="0.3">
      <c r="A128" s="1">
        <v>70209000</v>
      </c>
      <c r="B128" s="47">
        <f>VLOOKUP(C128,'NCES ID'!$A$2:$B$3136,2,FALSE)</f>
        <v>409190</v>
      </c>
      <c r="C128" s="47">
        <f>VLOOKUP(A128,'State ID'!$A$2:$B$713,2,FALSE)</f>
        <v>4236</v>
      </c>
      <c r="D128" s="147" t="s">
        <v>442</v>
      </c>
      <c r="E128" s="47" t="s">
        <v>7</v>
      </c>
      <c r="F128" s="382">
        <f>IFERROR(VLOOKUP($B128,'update_Formula counts'!$D$7:$R$234,'update_Formula counts'!F$5,0),0)</f>
        <v>370</v>
      </c>
      <c r="G128" s="382">
        <f>IFERROR(VLOOKUP($B128,'update_Formula counts'!$D$7:$R$234,'update_Formula counts'!G$5,0),0)</f>
        <v>0</v>
      </c>
      <c r="H128" s="382">
        <f>IFERROR(VLOOKUP($B128,'update_Formula counts'!$D$7:$R$234,'update_Formula counts'!H$5,0),0)</f>
        <v>0</v>
      </c>
      <c r="I128" s="382">
        <f>IFERROR(VLOOKUP($B128,'update_Formula counts'!$D$7:$R$234,'update_Formula counts'!I$5,0),0)</f>
        <v>16</v>
      </c>
      <c r="J128" s="382">
        <f>IFERROR(VLOOKUP($B128,'update_Formula counts'!$D$7:$R$234,'update_Formula counts'!J$5,0),0)</f>
        <v>0</v>
      </c>
      <c r="K128" s="382">
        <f t="shared" si="251"/>
        <v>370</v>
      </c>
      <c r="L128" s="444">
        <f>IFERROR(VLOOKUP($B128,'update_Formula counts'!$D$7:$R$234,'update_Formula counts'!L$5,0),0)</f>
        <v>1402</v>
      </c>
      <c r="M128" s="445">
        <f>IFERROR(VLOOKUP($B128,'update_Formula counts'!$D$7:$R$234,'update_Formula counts'!K$5,0),0)</f>
        <v>386</v>
      </c>
      <c r="N128" s="446">
        <f>IFERROR(VLOOKUP($B128,'update_Formula counts'!$D$7:$R$234,'update_Formula counts'!M$5,0),0)</f>
        <v>0.27532097004279599</v>
      </c>
      <c r="O128" s="137">
        <f>VLOOKUP($C128,'Final SEA Counts'!$A$2:$F$709,5,FALSE)</f>
        <v>1355</v>
      </c>
      <c r="P128" s="208">
        <f>VLOOKUP($C128,'Final SEA Counts'!$A$2:$F$709,6,FALSE)</f>
        <v>759</v>
      </c>
      <c r="Q128" s="748">
        <f t="shared" si="252"/>
        <v>-46.722031841961922</v>
      </c>
      <c r="R128" s="444">
        <f t="shared" si="253"/>
        <v>1272.3671520079179</v>
      </c>
      <c r="S128" s="445">
        <f t="shared" si="254"/>
        <v>339.27796815803811</v>
      </c>
      <c r="T128" s="229">
        <f t="shared" si="255"/>
        <v>0.26665099584080337</v>
      </c>
      <c r="U128" s="261">
        <f>VLOOKUP($B128,update_Allocation!$D$8:$Q$235,update_Allocation!K$239,0)</f>
        <v>183054.75779896966</v>
      </c>
      <c r="V128" s="262">
        <f>VLOOKUP($B128,update_Allocation!$D$8:$Q$235,update_Allocation!L$239,0)</f>
        <v>43481.639163012289</v>
      </c>
      <c r="W128" s="262">
        <f>VLOOKUP($B128,update_Allocation!$D$8:$Q$235,update_Allocation!M$239,0)</f>
        <v>82642.447111801099</v>
      </c>
      <c r="X128" s="262">
        <f>VLOOKUP($B128,update_Allocation!$D$8:$Q$235,update_Allocation!N$239,0)</f>
        <v>64637.349462522732</v>
      </c>
      <c r="Y128" s="263">
        <f>VLOOKUP($B128,update_Allocation!$D$8:$Q$235,update_Allocation!O$239,0)</f>
        <v>373816.19353630574</v>
      </c>
      <c r="Z128" s="262">
        <f t="shared" si="256"/>
        <v>161335.04087193732</v>
      </c>
      <c r="AA128" s="262">
        <f t="shared" si="257"/>
        <v>38341.065348073324</v>
      </c>
      <c r="AB128" s="262">
        <f t="shared" si="258"/>
        <v>72854.130115835491</v>
      </c>
      <c r="AC128" s="263">
        <f t="shared" si="259"/>
        <v>57014.998297359482</v>
      </c>
      <c r="AD128" s="262">
        <f t="shared" si="260"/>
        <v>161335.04087193732</v>
      </c>
      <c r="AE128" s="262">
        <f t="shared" si="261"/>
        <v>38341.065348073324</v>
      </c>
      <c r="AF128" s="262">
        <f t="shared" si="262"/>
        <v>72854.130115835491</v>
      </c>
      <c r="AG128" s="263">
        <f t="shared" si="263"/>
        <v>57014.998297359482</v>
      </c>
      <c r="AH128" s="262">
        <f t="shared" si="264"/>
        <v>161335.04087193732</v>
      </c>
      <c r="AI128" s="262">
        <f t="shared" si="265"/>
        <v>40471.886730904036</v>
      </c>
      <c r="AJ128" s="262">
        <f t="shared" si="266"/>
        <v>72879.470761055753</v>
      </c>
      <c r="AK128" s="262">
        <f t="shared" si="267"/>
        <v>57038.587109324886</v>
      </c>
      <c r="AL128" s="263">
        <f t="shared" si="268"/>
        <v>331724.98547322198</v>
      </c>
      <c r="AM128" s="346"/>
      <c r="AN128" s="261">
        <f>IFERROR(VLOOKUP($A128,'HH &amp; SI'!$B$4:$Z$494,'HH &amp; SI'!V$503,0),0)</f>
        <v>159592.14961597338</v>
      </c>
      <c r="AO128" s="262">
        <f>IFERROR(VLOOKUP($A128,'HH &amp; SI'!$B$4:$Z$494,'HH &amp; SI'!W$503,0),0)</f>
        <v>39138.890751061313</v>
      </c>
      <c r="AP128" s="262">
        <f>IFERROR(VLOOKUP($A128,'HH &amp; SI'!$B$4:$Z$494,'HH &amp; SI'!X$503,0),0)</f>
        <v>72216.660429197422</v>
      </c>
      <c r="AQ128" s="262">
        <f>IFERROR(VLOOKUP($A128,'HH &amp; SI'!$B$4:$Z$494,'HH &amp; SI'!Y$503,0),0)</f>
        <v>56410.124554081696</v>
      </c>
      <c r="AR128" s="263">
        <f t="shared" si="269"/>
        <v>327357.8253503138</v>
      </c>
      <c r="AS128" s="346"/>
      <c r="AT128" s="323">
        <f>IFERROR(VLOOKUP(A128,'Afton FY16 Final'!$A$5:$BV$572,'Afton FY16 Final'!$BV$587,0),0)</f>
        <v>319149.87357502588</v>
      </c>
      <c r="AU128" s="346"/>
      <c r="AV128" s="444">
        <v>0</v>
      </c>
      <c r="AW128" s="262">
        <f>IFERROR(VLOOKUP($A128,'HH &amp; SI'!$B$4:$EY$503,'HH &amp; SI'!EX$503,0),0)</f>
        <v>8207.9517752879183</v>
      </c>
      <c r="AX128" s="262">
        <f>IFERROR(VLOOKUP($A128,'HH &amp; SI'!$B$4:$EY$503,'HH &amp; SI'!EY$503,0),0)</f>
        <v>319149.87357502588</v>
      </c>
      <c r="AY128" s="262">
        <f>AX128/$AX$582*'update_State Admin 1004(b)'!$B$30*0.01</f>
        <v>3054.4935573318303</v>
      </c>
      <c r="AZ128" s="263">
        <f t="shared" si="270"/>
        <v>316095.38001769403</v>
      </c>
      <c r="BA128" s="261">
        <f t="shared" si="271"/>
        <v>3160.9538001769401</v>
      </c>
      <c r="BB128" s="262">
        <f t="shared" si="272"/>
        <v>312934.42621751706</v>
      </c>
      <c r="BC128" s="341">
        <f t="shared" si="157"/>
        <v>0.98052498881517591</v>
      </c>
      <c r="BD128" s="346"/>
      <c r="BE128" s="376" t="str">
        <f>'Original Title I &amp; II'!AZ128</f>
        <v/>
      </c>
      <c r="BF128" s="243" t="str">
        <f t="shared" si="273"/>
        <v/>
      </c>
      <c r="BG128" s="263">
        <f t="shared" si="250"/>
        <v>312934.42621751706</v>
      </c>
      <c r="BI128" s="31">
        <f>IFERROR(VLOOKUP(A128,'Title II Hold Harmless'!A$1:B$439,2, FALSE),"")</f>
        <v>42445</v>
      </c>
      <c r="BJ128" s="31">
        <f t="shared" si="274"/>
        <v>47910.452078208764</v>
      </c>
      <c r="BK128" s="31">
        <f t="shared" si="275"/>
        <v>47956.80025952401</v>
      </c>
      <c r="BL128" s="31" t="str">
        <f t="shared" si="276"/>
        <v/>
      </c>
      <c r="BM128" s="31">
        <f t="shared" si="277"/>
        <v>47956.80025952401</v>
      </c>
      <c r="BN128" s="200"/>
      <c r="BP128" s="295" t="s">
        <v>1447</v>
      </c>
      <c r="BQ128" s="296" t="str">
        <f t="shared" si="145"/>
        <v>Y</v>
      </c>
      <c r="BR128" s="297" t="s">
        <v>1448</v>
      </c>
      <c r="BT128" s="295" t="str">
        <f t="shared" si="146"/>
        <v>Y</v>
      </c>
      <c r="BU128" s="296" t="str">
        <f t="shared" si="278"/>
        <v>Y</v>
      </c>
      <c r="BV128" s="296" t="str">
        <f t="shared" si="279"/>
        <v>Y</v>
      </c>
      <c r="BW128" s="297" t="str">
        <f t="shared" si="149"/>
        <v>Y</v>
      </c>
      <c r="BY128" s="352">
        <f t="shared" si="150"/>
        <v>0</v>
      </c>
      <c r="BZ128" s="353">
        <f t="shared" si="151"/>
        <v>0.9</v>
      </c>
      <c r="CA128" s="353">
        <f t="shared" si="152"/>
        <v>0</v>
      </c>
      <c r="CB128" s="354">
        <f t="shared" si="153"/>
        <v>0.9</v>
      </c>
      <c r="CD128" s="311">
        <f t="shared" si="154"/>
        <v>123</v>
      </c>
    </row>
    <row r="129" spans="1:82" outlineLevel="1" x14ac:dyDescent="0.3">
      <c r="A129" s="1">
        <v>70381000</v>
      </c>
      <c r="B129" s="47">
        <f>VLOOKUP(C129,'NCES ID'!$A$2:$B$3136,2,FALSE)</f>
        <v>405460</v>
      </c>
      <c r="C129" s="47">
        <f>VLOOKUP(A129,'State ID'!$A$2:$B$713,2,FALSE)</f>
        <v>4252</v>
      </c>
      <c r="D129" s="147" t="s">
        <v>301</v>
      </c>
      <c r="E129" s="47" t="s">
        <v>7</v>
      </c>
      <c r="F129" s="382">
        <f>IFERROR(VLOOKUP($B129,'update_Formula counts'!$D$7:$R$234,'update_Formula counts'!F$5,0),0)</f>
        <v>259</v>
      </c>
      <c r="G129" s="382">
        <f>IFERROR(VLOOKUP($B129,'update_Formula counts'!$D$7:$R$234,'update_Formula counts'!G$5,0),0)</f>
        <v>0</v>
      </c>
      <c r="H129" s="382">
        <f>IFERROR(VLOOKUP($B129,'update_Formula counts'!$D$7:$R$234,'update_Formula counts'!H$5,0),0)</f>
        <v>0</v>
      </c>
      <c r="I129" s="382">
        <f>IFERROR(VLOOKUP($B129,'update_Formula counts'!$D$7:$R$234,'update_Formula counts'!I$5,0),0)</f>
        <v>12</v>
      </c>
      <c r="J129" s="382">
        <f>IFERROR(VLOOKUP($B129,'update_Formula counts'!$D$7:$R$234,'update_Formula counts'!J$5,0),0)</f>
        <v>0</v>
      </c>
      <c r="K129" s="382">
        <f t="shared" si="251"/>
        <v>259</v>
      </c>
      <c r="L129" s="444">
        <f>IFERROR(VLOOKUP($B129,'update_Formula counts'!$D$7:$R$234,'update_Formula counts'!L$5,0),0)</f>
        <v>1751</v>
      </c>
      <c r="M129" s="445">
        <f>IFERROR(VLOOKUP($B129,'update_Formula counts'!$D$7:$R$234,'update_Formula counts'!K$5,0),0)</f>
        <v>271</v>
      </c>
      <c r="N129" s="446">
        <f>IFERROR(VLOOKUP($B129,'update_Formula counts'!$D$7:$R$234,'update_Formula counts'!M$5,0),0)</f>
        <v>0.15476870359794404</v>
      </c>
      <c r="O129" s="137">
        <f>VLOOKUP($C129,'Final SEA Counts'!$A$2:$F$709,5,FALSE)</f>
        <v>900</v>
      </c>
      <c r="P129" s="208">
        <f>VLOOKUP($C129,'Final SEA Counts'!$A$2:$F$709,6,FALSE)</f>
        <v>611</v>
      </c>
      <c r="Q129" s="748">
        <f t="shared" si="252"/>
        <v>-32.703804364952227</v>
      </c>
      <c r="R129" s="444">
        <f t="shared" si="253"/>
        <v>1589.0976342124566</v>
      </c>
      <c r="S129" s="445">
        <f t="shared" si="254"/>
        <v>238.29619563504778</v>
      </c>
      <c r="T129" s="229">
        <f t="shared" si="255"/>
        <v>0.1499569255561477</v>
      </c>
      <c r="U129" s="261">
        <f>VLOOKUP($B129,update_Allocation!$D$8:$Q$235,update_Allocation!K$239,0)</f>
        <v>182224.57749149131</v>
      </c>
      <c r="V129" s="262">
        <f>VLOOKUP($B129,update_Allocation!$D$8:$Q$235,update_Allocation!L$239,0)</f>
        <v>43179.80637359972</v>
      </c>
      <c r="W129" s="262">
        <f>VLOOKUP($B129,update_Allocation!$D$8:$Q$235,update_Allocation!M$239,0)</f>
        <v>69159.765394376474</v>
      </c>
      <c r="X129" s="262">
        <f>VLOOKUP($B129,update_Allocation!$D$8:$Q$235,update_Allocation!N$239,0)</f>
        <v>54036.15821846122</v>
      </c>
      <c r="Y129" s="263">
        <f>VLOOKUP($B129,update_Allocation!$D$8:$Q$235,update_Allocation!O$239,0)</f>
        <v>348600.3074779287</v>
      </c>
      <c r="Z129" s="262">
        <f t="shared" si="256"/>
        <v>160603.36268204189</v>
      </c>
      <c r="AA129" s="262">
        <f t="shared" si="257"/>
        <v>38074.91644187241</v>
      </c>
      <c r="AB129" s="262">
        <f t="shared" si="258"/>
        <v>60968.360968380221</v>
      </c>
      <c r="AC129" s="263">
        <f t="shared" si="259"/>
        <v>47663.951174355141</v>
      </c>
      <c r="AD129" s="262">
        <f t="shared" si="260"/>
        <v>160603.36268204189</v>
      </c>
      <c r="AE129" s="262" t="str">
        <f t="shared" si="261"/>
        <v/>
      </c>
      <c r="AF129" s="262">
        <f t="shared" si="262"/>
        <v>60968.360968380221</v>
      </c>
      <c r="AG129" s="263">
        <f t="shared" si="263"/>
        <v>47663.951174355141</v>
      </c>
      <c r="AH129" s="262">
        <f t="shared" si="264"/>
        <v>160603.36268204189</v>
      </c>
      <c r="AI129" s="262" t="str">
        <f t="shared" si="265"/>
        <v/>
      </c>
      <c r="AJ129" s="262">
        <f t="shared" si="266"/>
        <v>60993.701613600482</v>
      </c>
      <c r="AK129" s="262">
        <f t="shared" si="267"/>
        <v>47687.539986320546</v>
      </c>
      <c r="AL129" s="263">
        <f t="shared" si="268"/>
        <v>269284.60428196291</v>
      </c>
      <c r="AM129" s="346"/>
      <c r="AN129" s="261">
        <f>IFERROR(VLOOKUP($A129,'HH &amp; SI'!$B$4:$Z$494,'HH &amp; SI'!V$503,0),0)</f>
        <v>158412.62857325186</v>
      </c>
      <c r="AO129" s="262">
        <f>IFERROR(VLOOKUP($A129,'HH &amp; SI'!$B$4:$Z$494,'HH &amp; SI'!W$503,0),0)</f>
        <v>36598.108594947713</v>
      </c>
      <c r="AP129" s="262">
        <f>IFERROR(VLOOKUP($A129,'HH &amp; SI'!$B$4:$Z$494,'HH &amp; SI'!X$503,0),0)</f>
        <v>60438.987711515161</v>
      </c>
      <c r="AQ129" s="262">
        <f>IFERROR(VLOOKUP($A129,'HH &amp; SI'!$B$4:$Z$494,'HH &amp; SI'!Y$503,0),0)</f>
        <v>47162.109137628198</v>
      </c>
      <c r="AR129" s="263">
        <f t="shared" si="269"/>
        <v>302611.83401734289</v>
      </c>
      <c r="AS129" s="346"/>
      <c r="AT129" s="323">
        <f>IFERROR(VLOOKUP(A129,'Afton FY16 Final'!$A$5:$BV$572,'Afton FY16 Final'!$BV$587,0),0)</f>
        <v>324541.22802128823</v>
      </c>
      <c r="AU129" s="346"/>
      <c r="AV129" s="444">
        <v>0</v>
      </c>
      <c r="AW129" s="262">
        <f>IFERROR(VLOOKUP($A129,'HH &amp; SI'!$B$4:$EY$503,'HH &amp; SI'!EX$503,0),0)</f>
        <v>0</v>
      </c>
      <c r="AX129" s="262">
        <f>IFERROR(VLOOKUP($A129,'HH &amp; SI'!$B$4:$EY$503,'HH &amp; SI'!EY$503,0),0)</f>
        <v>302611.83401734289</v>
      </c>
      <c r="AY129" s="262">
        <f>AX129/$AX$582*'update_State Admin 1004(b)'!$B$30*0.01</f>
        <v>2896.2126383579848</v>
      </c>
      <c r="AZ129" s="263">
        <f t="shared" si="270"/>
        <v>299715.62137898488</v>
      </c>
      <c r="BA129" s="261">
        <f t="shared" si="271"/>
        <v>2997.1562137898491</v>
      </c>
      <c r="BB129" s="262">
        <f t="shared" si="272"/>
        <v>296718.46516519506</v>
      </c>
      <c r="BC129" s="341">
        <f t="shared" si="157"/>
        <v>0.91427048259560983</v>
      </c>
      <c r="BD129" s="346"/>
      <c r="BE129" s="376" t="str">
        <f>'Original Title I &amp; II'!AZ129</f>
        <v/>
      </c>
      <c r="BF129" s="243" t="str">
        <f t="shared" si="273"/>
        <v/>
      </c>
      <c r="BG129" s="263">
        <f t="shared" si="250"/>
        <v>296718.46516519506</v>
      </c>
      <c r="BI129" s="31">
        <f>IFERROR(VLOOKUP(A129,'Title II Hold Harmless'!A$1:B$439,2, FALSE),"")</f>
        <v>19266</v>
      </c>
      <c r="BJ129" s="31">
        <f t="shared" si="274"/>
        <v>23664.415149162345</v>
      </c>
      <c r="BK129" s="31">
        <f t="shared" si="275"/>
        <v>23687.307911732449</v>
      </c>
      <c r="BL129" s="31" t="str">
        <f t="shared" si="276"/>
        <v/>
      </c>
      <c r="BM129" s="31">
        <f t="shared" si="277"/>
        <v>23687.307911732449</v>
      </c>
      <c r="BN129" s="200"/>
      <c r="BP129" s="295" t="s">
        <v>1447</v>
      </c>
      <c r="BQ129" s="296" t="str">
        <f t="shared" si="145"/>
        <v>Y</v>
      </c>
      <c r="BR129" s="297" t="s">
        <v>1448</v>
      </c>
      <c r="BT129" s="295" t="str">
        <f t="shared" si="146"/>
        <v>Y</v>
      </c>
      <c r="BU129" s="296" t="str">
        <f t="shared" si="278"/>
        <v>N</v>
      </c>
      <c r="BV129" s="296" t="str">
        <f t="shared" si="279"/>
        <v>Y</v>
      </c>
      <c r="BW129" s="297" t="str">
        <f t="shared" si="149"/>
        <v>Y</v>
      </c>
      <c r="BY129" s="352">
        <f t="shared" si="150"/>
        <v>0.85</v>
      </c>
      <c r="BZ129" s="353">
        <f t="shared" si="151"/>
        <v>0</v>
      </c>
      <c r="CA129" s="353">
        <f t="shared" si="152"/>
        <v>0</v>
      </c>
      <c r="CB129" s="354">
        <f t="shared" si="153"/>
        <v>0.85</v>
      </c>
      <c r="CD129" s="311">
        <f t="shared" si="154"/>
        <v>124</v>
      </c>
    </row>
    <row r="130" spans="1:82" outlineLevel="1" x14ac:dyDescent="0.3">
      <c r="A130" s="1">
        <v>70290000</v>
      </c>
      <c r="B130" s="47">
        <f>VLOOKUP(C130,'NCES ID'!$A$2:$B$3136,2,FALSE)</f>
        <v>407170</v>
      </c>
      <c r="C130" s="47">
        <f>VLOOKUP(A130,'State ID'!$A$2:$B$713,2,FALSE)</f>
        <v>4254</v>
      </c>
      <c r="D130" s="147" t="s">
        <v>365</v>
      </c>
      <c r="E130" s="47" t="s">
        <v>7</v>
      </c>
      <c r="F130" s="382">
        <f>IFERROR(VLOOKUP($B130,'update_Formula counts'!$D$7:$R$234,'update_Formula counts'!F$5,0),0)</f>
        <v>332</v>
      </c>
      <c r="G130" s="382">
        <f>IFERROR(VLOOKUP($B130,'update_Formula counts'!$D$7:$R$234,'update_Formula counts'!G$5,0),0)</f>
        <v>0</v>
      </c>
      <c r="H130" s="382">
        <f>IFERROR(VLOOKUP($B130,'update_Formula counts'!$D$7:$R$234,'update_Formula counts'!H$5,0),0)</f>
        <v>0</v>
      </c>
      <c r="I130" s="382">
        <f>IFERROR(VLOOKUP($B130,'update_Formula counts'!$D$7:$R$234,'update_Formula counts'!I$5,0),0)</f>
        <v>15</v>
      </c>
      <c r="J130" s="382">
        <f>IFERROR(VLOOKUP($B130,'update_Formula counts'!$D$7:$R$234,'update_Formula counts'!J$5,0),0)</f>
        <v>0</v>
      </c>
      <c r="K130" s="382">
        <f t="shared" si="251"/>
        <v>332</v>
      </c>
      <c r="L130" s="444">
        <f>IFERROR(VLOOKUP($B130,'update_Formula counts'!$D$7:$R$234,'update_Formula counts'!L$5,0),0)</f>
        <v>2072</v>
      </c>
      <c r="M130" s="445">
        <f>IFERROR(VLOOKUP($B130,'update_Formula counts'!$D$7:$R$234,'update_Formula counts'!K$5,0),0)</f>
        <v>347</v>
      </c>
      <c r="N130" s="446">
        <f>IFERROR(VLOOKUP($B130,'update_Formula counts'!$D$7:$R$234,'update_Formula counts'!M$5,0),0)</f>
        <v>0.16747104247104247</v>
      </c>
      <c r="O130" s="137">
        <f>VLOOKUP($C130,'Final SEA Counts'!$A$2:$F$709,5,FALSE)</f>
        <v>1372</v>
      </c>
      <c r="P130" s="208">
        <f>VLOOKUP($C130,'Final SEA Counts'!$A$2:$F$709,6,FALSE)</f>
        <v>994</v>
      </c>
      <c r="Q130" s="748">
        <f t="shared" si="252"/>
        <v>-41.922251997340751</v>
      </c>
      <c r="R130" s="444">
        <f t="shared" si="253"/>
        <v>1880.4170748647687</v>
      </c>
      <c r="S130" s="445">
        <f t="shared" si="254"/>
        <v>305.07774800265923</v>
      </c>
      <c r="T130" s="229">
        <f t="shared" si="255"/>
        <v>0.16223940533224476</v>
      </c>
      <c r="U130" s="261">
        <f>VLOOKUP($B130,update_Allocation!$D$8:$Q$235,update_Allocation!K$239,0)</f>
        <v>164092.84516932484</v>
      </c>
      <c r="V130" s="262">
        <f>VLOOKUP($B130,update_Allocation!$D$8:$Q$235,update_Allocation!L$239,0)</f>
        <v>39088.416553277893</v>
      </c>
      <c r="W130" s="262">
        <f>VLOOKUP($B130,update_Allocation!$D$8:$Q$235,update_Allocation!M$239,0)</f>
        <v>52111.011910333436</v>
      </c>
      <c r="X130" s="262">
        <f>VLOOKUP($B130,update_Allocation!$D$8:$Q$235,update_Allocation!N$239,0)</f>
        <v>39757.228553486479</v>
      </c>
      <c r="Y130" s="263">
        <f>VLOOKUP($B130,update_Allocation!$D$8:$Q$235,update_Allocation!O$239,0)</f>
        <v>295049.50218642264</v>
      </c>
      <c r="Z130" s="262">
        <f t="shared" si="256"/>
        <v>144622.98713513426</v>
      </c>
      <c r="AA130" s="262">
        <f t="shared" si="257"/>
        <v>34467.227139330171</v>
      </c>
      <c r="AB130" s="262">
        <f t="shared" si="258"/>
        <v>45938.89187534908</v>
      </c>
      <c r="AC130" s="263">
        <f t="shared" si="259"/>
        <v>35068.862463165337</v>
      </c>
      <c r="AD130" s="262">
        <f t="shared" si="260"/>
        <v>144622.98713513426</v>
      </c>
      <c r="AE130" s="262">
        <f t="shared" si="261"/>
        <v>34467.227139330171</v>
      </c>
      <c r="AF130" s="262">
        <f t="shared" si="262"/>
        <v>45938.89187534908</v>
      </c>
      <c r="AG130" s="263">
        <f t="shared" si="263"/>
        <v>35068.862463165337</v>
      </c>
      <c r="AH130" s="262">
        <f t="shared" si="264"/>
        <v>144622.98713513426</v>
      </c>
      <c r="AI130" s="262">
        <f t="shared" si="265"/>
        <v>36598.048522160883</v>
      </c>
      <c r="AJ130" s="262">
        <f t="shared" si="266"/>
        <v>45964.232520569341</v>
      </c>
      <c r="AK130" s="262">
        <f t="shared" si="267"/>
        <v>35092.451275130741</v>
      </c>
      <c r="AL130" s="263">
        <f t="shared" si="268"/>
        <v>262277.71945299522</v>
      </c>
      <c r="AM130" s="346"/>
      <c r="AN130" s="261">
        <f>IFERROR(VLOOKUP($A130,'HH &amp; SI'!$B$4:$Z$494,'HH &amp; SI'!V$503,0),0)</f>
        <v>142650.23572108516</v>
      </c>
      <c r="AO130" s="262">
        <f>IFERROR(VLOOKUP($A130,'HH &amp; SI'!$B$4:$Z$494,'HH &amp; SI'!W$503,0),0)</f>
        <v>35392.642609792645</v>
      </c>
      <c r="AP130" s="262">
        <f>IFERROR(VLOOKUP($A130,'HH &amp; SI'!$B$4:$Z$494,'HH &amp; SI'!X$503,0),0)</f>
        <v>45546.205771850808</v>
      </c>
      <c r="AQ130" s="262">
        <f>IFERROR(VLOOKUP($A130,'HH &amp; SI'!$B$4:$Z$494,'HH &amp; SI'!Y$503,0),0)</f>
        <v>34705.795631717891</v>
      </c>
      <c r="AR130" s="263">
        <f t="shared" si="269"/>
        <v>258294.8797344465</v>
      </c>
      <c r="AS130" s="346"/>
      <c r="AT130" s="323">
        <f>IFERROR(VLOOKUP(A130,'Afton FY16 Final'!$A$5:$BV$572,'Afton FY16 Final'!$BV$587,0),0)</f>
        <v>232951.86271449152</v>
      </c>
      <c r="AU130" s="346"/>
      <c r="AV130" s="444">
        <v>0</v>
      </c>
      <c r="AW130" s="262">
        <f>IFERROR(VLOOKUP($A130,'HH &amp; SI'!$B$4:$EY$503,'HH &amp; SI'!EX$503,0),0)</f>
        <v>14467.897176795464</v>
      </c>
      <c r="AX130" s="262">
        <f>IFERROR(VLOOKUP($A130,'HH &amp; SI'!$B$4:$EY$503,'HH &amp; SI'!EY$503,0),0)</f>
        <v>243826.98255765103</v>
      </c>
      <c r="AY130" s="262">
        <f>AX130/$AX$582*'update_State Admin 1004(b)'!$B$30*0.01</f>
        <v>2333.5993807026384</v>
      </c>
      <c r="AZ130" s="263">
        <f t="shared" si="270"/>
        <v>241493.38317694841</v>
      </c>
      <c r="BA130" s="261">
        <f t="shared" si="271"/>
        <v>2414.9338317694842</v>
      </c>
      <c r="BB130" s="262">
        <f t="shared" si="272"/>
        <v>239078.44934517893</v>
      </c>
      <c r="BC130" s="341">
        <f t="shared" si="157"/>
        <v>1.02629979670176</v>
      </c>
      <c r="BD130" s="346"/>
      <c r="BE130" s="376" t="str">
        <f>'Original Title I &amp; II'!AZ130</f>
        <v/>
      </c>
      <c r="BF130" s="243" t="str">
        <f t="shared" si="273"/>
        <v/>
      </c>
      <c r="BG130" s="263">
        <f t="shared" si="250"/>
        <v>239078.44934517893</v>
      </c>
      <c r="BI130" s="31">
        <f>IFERROR(VLOOKUP(A130,'Title II Hold Harmless'!A$1:B$439,2, FALSE),"")</f>
        <v>14871</v>
      </c>
      <c r="BJ130" s="31">
        <f t="shared" si="274"/>
        <v>20378.099063746842</v>
      </c>
      <c r="BK130" s="31">
        <f t="shared" si="275"/>
        <v>20397.812670888867</v>
      </c>
      <c r="BL130" s="31" t="str">
        <f t="shared" si="276"/>
        <v/>
      </c>
      <c r="BM130" s="31">
        <f t="shared" si="277"/>
        <v>20397.812670888867</v>
      </c>
      <c r="BN130" s="200"/>
      <c r="BP130" s="295" t="s">
        <v>1447</v>
      </c>
      <c r="BQ130" s="296" t="str">
        <f t="shared" si="145"/>
        <v>Y</v>
      </c>
      <c r="BR130" s="297" t="s">
        <v>1448</v>
      </c>
      <c r="BT130" s="295" t="str">
        <f t="shared" si="146"/>
        <v>Y</v>
      </c>
      <c r="BU130" s="296" t="str">
        <f t="shared" si="278"/>
        <v>Y</v>
      </c>
      <c r="BV130" s="296" t="str">
        <f t="shared" si="279"/>
        <v>Y</v>
      </c>
      <c r="BW130" s="297" t="str">
        <f t="shared" si="149"/>
        <v>Y</v>
      </c>
      <c r="BY130" s="352">
        <f t="shared" si="150"/>
        <v>0</v>
      </c>
      <c r="BZ130" s="353">
        <f t="shared" si="151"/>
        <v>0.9</v>
      </c>
      <c r="CA130" s="353">
        <f t="shared" si="152"/>
        <v>0</v>
      </c>
      <c r="CB130" s="354">
        <f t="shared" si="153"/>
        <v>0.9</v>
      </c>
      <c r="CD130" s="311">
        <f t="shared" si="154"/>
        <v>125</v>
      </c>
    </row>
    <row r="131" spans="1:82" outlineLevel="1" x14ac:dyDescent="0.3">
      <c r="A131" s="1">
        <v>70421000</v>
      </c>
      <c r="B131" s="47">
        <f>VLOOKUP(C131,'NCES ID'!$A$2:$B$3136,2,FALSE)</f>
        <v>405400</v>
      </c>
      <c r="C131" s="47">
        <f>VLOOKUP(A131,'State ID'!$A$2:$B$713,2,FALSE)</f>
        <v>4265</v>
      </c>
      <c r="D131" s="147" t="s">
        <v>299</v>
      </c>
      <c r="E131" s="47" t="s">
        <v>7</v>
      </c>
      <c r="F131" s="382">
        <f>IFERROR(VLOOKUP($B131,'update_Formula counts'!$D$7:$R$234,'update_Formula counts'!F$5,0),0)</f>
        <v>1066</v>
      </c>
      <c r="G131" s="382">
        <f>IFERROR(VLOOKUP($B131,'update_Formula counts'!$D$7:$R$234,'update_Formula counts'!G$5,0),0)</f>
        <v>0</v>
      </c>
      <c r="H131" s="382">
        <f>IFERROR(VLOOKUP($B131,'update_Formula counts'!$D$7:$R$234,'update_Formula counts'!H$5,0),0)</f>
        <v>0</v>
      </c>
      <c r="I131" s="382">
        <f>IFERROR(VLOOKUP($B131,'update_Formula counts'!$D$7:$R$234,'update_Formula counts'!I$5,0),0)</f>
        <v>48</v>
      </c>
      <c r="J131" s="382">
        <f>IFERROR(VLOOKUP($B131,'update_Formula counts'!$D$7:$R$234,'update_Formula counts'!J$5,0),0)</f>
        <v>0</v>
      </c>
      <c r="K131" s="382">
        <f t="shared" si="251"/>
        <v>1066</v>
      </c>
      <c r="L131" s="444">
        <f>IFERROR(VLOOKUP($B131,'update_Formula counts'!$D$7:$R$234,'update_Formula counts'!L$5,0),0)</f>
        <v>2138</v>
      </c>
      <c r="M131" s="445">
        <f>IFERROR(VLOOKUP($B131,'update_Formula counts'!$D$7:$R$234,'update_Formula counts'!K$5,0),0)</f>
        <v>1114</v>
      </c>
      <c r="N131" s="446">
        <f>IFERROR(VLOOKUP($B131,'update_Formula counts'!$D$7:$R$234,'update_Formula counts'!M$5,0),0)</f>
        <v>0.52104770813844714</v>
      </c>
      <c r="O131" s="137">
        <f>VLOOKUP($C131,'Final SEA Counts'!$A$2:$F$709,5,FALSE)</f>
        <v>1778</v>
      </c>
      <c r="P131" s="208">
        <f>VLOOKUP($C131,'Final SEA Counts'!$A$2:$F$709,6,FALSE)</f>
        <v>1646</v>
      </c>
      <c r="Q131" s="748">
        <f t="shared" si="252"/>
        <v>-134.6061139730833</v>
      </c>
      <c r="R131" s="444">
        <f t="shared" si="253"/>
        <v>1940.31452995216</v>
      </c>
      <c r="S131" s="445">
        <f t="shared" si="254"/>
        <v>979.39388602691668</v>
      </c>
      <c r="T131" s="229">
        <f t="shared" si="255"/>
        <v>0.50476037307779398</v>
      </c>
      <c r="U131" s="261">
        <f>VLOOKUP($B131,update_Allocation!$D$8:$Q$235,update_Allocation!K$239,0)</f>
        <v>752357.23874464689</v>
      </c>
      <c r="V131" s="262">
        <f>VLOOKUP($B131,update_Allocation!$D$8:$Q$235,update_Allocation!L$239,0)</f>
        <v>183496.74515547656</v>
      </c>
      <c r="W131" s="262">
        <f>VLOOKUP($B131,update_Allocation!$D$8:$Q$235,update_Allocation!M$239,0)</f>
        <v>517708.46939287521</v>
      </c>
      <c r="X131" s="262">
        <f>VLOOKUP($B131,update_Allocation!$D$8:$Q$235,update_Allocation!N$239,0)</f>
        <v>593157.33807184524</v>
      </c>
      <c r="Y131" s="263">
        <f>VLOOKUP($B131,update_Allocation!$D$8:$Q$235,update_Allocation!O$239,0)</f>
        <v>2046719.791364844</v>
      </c>
      <c r="Z131" s="262">
        <f t="shared" si="256"/>
        <v>663088.9430170753</v>
      </c>
      <c r="AA131" s="262">
        <f t="shared" si="257"/>
        <v>161803.02381860543</v>
      </c>
      <c r="AB131" s="262">
        <f t="shared" si="258"/>
        <v>456390.16642614233</v>
      </c>
      <c r="AC131" s="263">
        <f t="shared" si="259"/>
        <v>523209.33487288177</v>
      </c>
      <c r="AD131" s="262">
        <f t="shared" si="260"/>
        <v>663088.9430170753</v>
      </c>
      <c r="AE131" s="262">
        <f t="shared" si="261"/>
        <v>161803.02381860543</v>
      </c>
      <c r="AF131" s="262">
        <f t="shared" si="262"/>
        <v>456390.16642614233</v>
      </c>
      <c r="AG131" s="263">
        <f t="shared" si="263"/>
        <v>523209.33487288177</v>
      </c>
      <c r="AH131" s="262">
        <f t="shared" si="264"/>
        <v>663088.9430170753</v>
      </c>
      <c r="AI131" s="262">
        <f t="shared" si="265"/>
        <v>163933.84520143614</v>
      </c>
      <c r="AJ131" s="262">
        <f t="shared" si="266"/>
        <v>456415.50707136258</v>
      </c>
      <c r="AK131" s="262">
        <f t="shared" si="267"/>
        <v>523232.92368484719</v>
      </c>
      <c r="AL131" s="263">
        <f t="shared" si="268"/>
        <v>1806671.2189747212</v>
      </c>
      <c r="AM131" s="346"/>
      <c r="AN131" s="261">
        <f>IFERROR(VLOOKUP($A131,'HH &amp; SI'!$B$4:$Z$494,'HH &amp; SI'!V$503,0),0)</f>
        <v>661962.15233585972</v>
      </c>
      <c r="AO131" s="262">
        <f>IFERROR(VLOOKUP($A131,'HH &amp; SI'!$B$4:$Z$494,'HH &amp; SI'!W$503,0),0)</f>
        <v>161958.78759308005</v>
      </c>
      <c r="AP131" s="262">
        <f>IFERROR(VLOOKUP($A131,'HH &amp; SI'!$B$4:$Z$494,'HH &amp; SI'!X$503,0),0)</f>
        <v>454708.99227032566</v>
      </c>
      <c r="AQ131" s="262">
        <f>IFERROR(VLOOKUP($A131,'HH &amp; SI'!$B$4:$Z$494,'HH &amp; SI'!Y$503,0),0)</f>
        <v>521855.40051386115</v>
      </c>
      <c r="AR131" s="263">
        <f t="shared" si="269"/>
        <v>1800485.3327131264</v>
      </c>
      <c r="AS131" s="346"/>
      <c r="AT131" s="323">
        <f>IFERROR(VLOOKUP(A131,'Afton FY16 Final'!$A$5:$BV$572,'Afton FY16 Final'!$BV$587,0),0)</f>
        <v>1857930.2913791384</v>
      </c>
      <c r="AU131" s="346"/>
      <c r="AV131" s="444">
        <v>0</v>
      </c>
      <c r="AW131" s="262">
        <f>IFERROR(VLOOKUP($A131,'HH &amp; SI'!$B$4:$EY$503,'HH &amp; SI'!EX$503,0),0)</f>
        <v>0</v>
      </c>
      <c r="AX131" s="262">
        <f>IFERROR(VLOOKUP($A131,'HH &amp; SI'!$B$4:$EY$503,'HH &amp; SI'!EY$503,0),0)</f>
        <v>1800485.3327131264</v>
      </c>
      <c r="AY131" s="262">
        <f>AX131/$AX$582*'update_State Admin 1004(b)'!$B$30*0.01</f>
        <v>17231.938046028587</v>
      </c>
      <c r="AZ131" s="263">
        <f t="shared" si="270"/>
        <v>1783253.3946670978</v>
      </c>
      <c r="BA131" s="261">
        <f t="shared" si="271"/>
        <v>17832.533946670977</v>
      </c>
      <c r="BB131" s="262">
        <f t="shared" si="272"/>
        <v>1765420.8607204268</v>
      </c>
      <c r="BC131" s="341">
        <f t="shared" si="157"/>
        <v>0.95020834146040967</v>
      </c>
      <c r="BD131" s="346"/>
      <c r="BE131" s="376" t="str">
        <f>'Original Title I &amp; II'!AZ131</f>
        <v/>
      </c>
      <c r="BF131" s="243" t="str">
        <f t="shared" si="273"/>
        <v/>
      </c>
      <c r="BG131" s="263">
        <f t="shared" si="250"/>
        <v>1765420.8607204268</v>
      </c>
      <c r="BI131" s="31">
        <f>IFERROR(VLOOKUP(A131,'Title II Hold Harmless'!A$1:B$439,2, FALSE),"")</f>
        <v>164154</v>
      </c>
      <c r="BJ131" s="31">
        <f t="shared" si="274"/>
        <v>178536.70455229192</v>
      </c>
      <c r="BK131" s="31">
        <f t="shared" si="275"/>
        <v>178709.41950685985</v>
      </c>
      <c r="BL131" s="31" t="str">
        <f t="shared" si="276"/>
        <v/>
      </c>
      <c r="BM131" s="31">
        <f t="shared" si="277"/>
        <v>178709.41950685985</v>
      </c>
      <c r="BN131" s="200"/>
      <c r="BP131" s="295" t="s">
        <v>1447</v>
      </c>
      <c r="BQ131" s="296" t="str">
        <f t="shared" si="145"/>
        <v>Y</v>
      </c>
      <c r="BR131" s="297" t="s">
        <v>1448</v>
      </c>
      <c r="BT131" s="295" t="str">
        <f t="shared" si="146"/>
        <v>Y</v>
      </c>
      <c r="BU131" s="296" t="str">
        <f t="shared" si="278"/>
        <v>Y</v>
      </c>
      <c r="BV131" s="296" t="str">
        <f t="shared" si="279"/>
        <v>Y</v>
      </c>
      <c r="BW131" s="297" t="str">
        <f t="shared" si="149"/>
        <v>Y</v>
      </c>
      <c r="BY131" s="352">
        <f t="shared" si="150"/>
        <v>0</v>
      </c>
      <c r="BZ131" s="353">
        <f t="shared" si="151"/>
        <v>0</v>
      </c>
      <c r="CA131" s="353">
        <f t="shared" si="152"/>
        <v>0.95</v>
      </c>
      <c r="CB131" s="354">
        <f t="shared" si="153"/>
        <v>0.95</v>
      </c>
      <c r="CD131" s="311">
        <f t="shared" si="154"/>
        <v>126</v>
      </c>
    </row>
    <row r="132" spans="1:82" outlineLevel="1" x14ac:dyDescent="0.3">
      <c r="A132" s="1">
        <v>70298000</v>
      </c>
      <c r="B132" s="47">
        <f>VLOOKUP(C132,'NCES ID'!$A$2:$B$3136,2,FALSE)</f>
        <v>403040</v>
      </c>
      <c r="C132" s="47">
        <f>VLOOKUP(A132,'State ID'!$A$2:$B$713,2,FALSE)</f>
        <v>4247</v>
      </c>
      <c r="D132" s="147" t="s">
        <v>171</v>
      </c>
      <c r="E132" s="47" t="s">
        <v>7</v>
      </c>
      <c r="F132" s="382">
        <f>IFERROR(VLOOKUP($B132,'update_Formula counts'!$D$7:$R$234,'update_Formula counts'!F$5,0),0)</f>
        <v>218</v>
      </c>
      <c r="G132" s="382">
        <f>IFERROR(VLOOKUP($B132,'update_Formula counts'!$D$7:$R$234,'update_Formula counts'!G$5,0),0)</f>
        <v>0</v>
      </c>
      <c r="H132" s="382">
        <f>IFERROR(VLOOKUP($B132,'update_Formula counts'!$D$7:$R$234,'update_Formula counts'!H$5,0),0)</f>
        <v>0</v>
      </c>
      <c r="I132" s="382">
        <f>IFERROR(VLOOKUP($B132,'update_Formula counts'!$D$7:$R$234,'update_Formula counts'!I$5,0),0)</f>
        <v>10</v>
      </c>
      <c r="J132" s="382">
        <f>IFERROR(VLOOKUP($B132,'update_Formula counts'!$D$7:$R$234,'update_Formula counts'!J$5,0),0)</f>
        <v>0</v>
      </c>
      <c r="K132" s="382">
        <f t="shared" si="251"/>
        <v>218</v>
      </c>
      <c r="L132" s="444">
        <f>IFERROR(VLOOKUP($B132,'update_Formula counts'!$D$7:$R$234,'update_Formula counts'!L$5,0),0)</f>
        <v>2712</v>
      </c>
      <c r="M132" s="445">
        <f>IFERROR(VLOOKUP($B132,'update_Formula counts'!$D$7:$R$234,'update_Formula counts'!K$5,0),0)</f>
        <v>228</v>
      </c>
      <c r="N132" s="446">
        <f>IFERROR(VLOOKUP($B132,'update_Formula counts'!$D$7:$R$234,'update_Formula counts'!M$5,0),0)</f>
        <v>8.4070796460176997E-2</v>
      </c>
      <c r="O132" s="137">
        <f>VLOOKUP($C132,'Final SEA Counts'!$A$2:$F$709,5,FALSE)</f>
        <v>1392</v>
      </c>
      <c r="P132" s="208">
        <f>VLOOKUP($C132,'Final SEA Counts'!$A$2:$F$709,6,FALSE)</f>
        <v>477</v>
      </c>
      <c r="Q132" s="748">
        <f t="shared" si="252"/>
        <v>-27.526957274530012</v>
      </c>
      <c r="R132" s="444">
        <f t="shared" si="253"/>
        <v>2461.2408817728056</v>
      </c>
      <c r="S132" s="445">
        <f t="shared" si="254"/>
        <v>200.47304272546998</v>
      </c>
      <c r="T132" s="229">
        <f t="shared" si="255"/>
        <v>8.1452020486946969E-2</v>
      </c>
      <c r="U132" s="261">
        <f>VLOOKUP($B132,update_Allocation!$D$8:$Q$235,update_Allocation!K$239,0)</f>
        <v>107845.9739089292</v>
      </c>
      <c r="V132" s="262">
        <f>VLOOKUP($B132,update_Allocation!$D$8:$Q$235,update_Allocation!L$239,0)</f>
        <v>0</v>
      </c>
      <c r="W132" s="262">
        <f>VLOOKUP($B132,update_Allocation!$D$8:$Q$235,update_Allocation!M$239,0)</f>
        <v>32539.340640428512</v>
      </c>
      <c r="X132" s="262">
        <f>VLOOKUP($B132,update_Allocation!$D$8:$Q$235,update_Allocation!N$239,0)</f>
        <v>25243.303400904613</v>
      </c>
      <c r="Y132" s="263">
        <f>VLOOKUP($B132,update_Allocation!$D$8:$Q$235,update_Allocation!O$239,0)</f>
        <v>165628.61795026233</v>
      </c>
      <c r="Z132" s="262">
        <f t="shared" si="256"/>
        <v>95049.890085779087</v>
      </c>
      <c r="AA132" s="262" t="str">
        <f t="shared" si="257"/>
        <v/>
      </c>
      <c r="AB132" s="262">
        <f t="shared" si="258"/>
        <v>28685.323822686689</v>
      </c>
      <c r="AC132" s="263">
        <f t="shared" si="259"/>
        <v>22266.490077177325</v>
      </c>
      <c r="AD132" s="262">
        <f t="shared" si="260"/>
        <v>95049.890085779087</v>
      </c>
      <c r="AE132" s="262" t="str">
        <f t="shared" si="261"/>
        <v/>
      </c>
      <c r="AF132" s="262">
        <f t="shared" si="262"/>
        <v>28685.323822686689</v>
      </c>
      <c r="AG132" s="263">
        <f t="shared" si="263"/>
        <v>22266.490077177325</v>
      </c>
      <c r="AH132" s="262">
        <f t="shared" si="264"/>
        <v>95049.890085779087</v>
      </c>
      <c r="AI132" s="262" t="str">
        <f t="shared" si="265"/>
        <v/>
      </c>
      <c r="AJ132" s="262">
        <f t="shared" si="266"/>
        <v>28710.664467906947</v>
      </c>
      <c r="AK132" s="262">
        <f t="shared" si="267"/>
        <v>22290.078889142726</v>
      </c>
      <c r="AL132" s="263">
        <f t="shared" si="268"/>
        <v>146050.63344282875</v>
      </c>
      <c r="AM132" s="346"/>
      <c r="AN132" s="261">
        <f>IFERROR(VLOOKUP($A132,'HH &amp; SI'!$B$4:$Z$494,'HH &amp; SI'!V$503,0),0)</f>
        <v>94204.429249373032</v>
      </c>
      <c r="AO132" s="262">
        <f>IFERROR(VLOOKUP($A132,'HH &amp; SI'!$B$4:$Z$494,'HH &amp; SI'!W$503,0),0)</f>
        <v>0</v>
      </c>
      <c r="AP132" s="262">
        <f>IFERROR(VLOOKUP($A132,'HH &amp; SI'!$B$4:$Z$494,'HH &amp; SI'!X$503,0),0)</f>
        <v>28449.552184226432</v>
      </c>
      <c r="AQ132" s="262">
        <f>IFERROR(VLOOKUP($A132,'HH &amp; SI'!$B$4:$Z$494,'HH &amp; SI'!Y$503,0),0)</f>
        <v>22044.482343975975</v>
      </c>
      <c r="AR132" s="263">
        <f t="shared" si="269"/>
        <v>144698.46377757544</v>
      </c>
      <c r="AS132" s="346"/>
      <c r="AT132" s="323">
        <f>IFERROR(VLOOKUP(A132,'Afton FY16 Final'!$A$5:$BV$572,'Afton FY16 Final'!$BV$587,0),0)</f>
        <v>162476.92820596823</v>
      </c>
      <c r="AU132" s="346"/>
      <c r="AV132" s="444">
        <v>0</v>
      </c>
      <c r="AW132" s="262">
        <f>IFERROR(VLOOKUP($A132,'HH &amp; SI'!$B$4:$EY$503,'HH &amp; SI'!EX$503,0),0)</f>
        <v>0</v>
      </c>
      <c r="AX132" s="262">
        <f>IFERROR(VLOOKUP($A132,'HH &amp; SI'!$B$4:$EY$503,'HH &amp; SI'!EY$503,0),0)</f>
        <v>144698.46377757544</v>
      </c>
      <c r="AY132" s="262">
        <f>AX132/$AX$582*'update_State Admin 1004(b)'!$B$30*0.01</f>
        <v>1384.8682451710777</v>
      </c>
      <c r="AZ132" s="263">
        <f t="shared" si="270"/>
        <v>143313.59553240435</v>
      </c>
      <c r="BA132" s="261">
        <f t="shared" si="271"/>
        <v>1433.1359553240434</v>
      </c>
      <c r="BB132" s="262">
        <f t="shared" si="272"/>
        <v>141880.4595770803</v>
      </c>
      <c r="BC132" s="341">
        <f t="shared" si="157"/>
        <v>0.87323450254562751</v>
      </c>
      <c r="BD132" s="346"/>
      <c r="BE132" s="376" t="str">
        <f>'Original Title I &amp; II'!AZ132</f>
        <v/>
      </c>
      <c r="BF132" s="243" t="str">
        <f t="shared" si="273"/>
        <v/>
      </c>
      <c r="BG132" s="263">
        <f t="shared" si="250"/>
        <v>141880.4595770803</v>
      </c>
      <c r="BI132" s="31">
        <f>IFERROR(VLOOKUP(A132,'Title II Hold Harmless'!A$1:B$439,2, FALSE),"")</f>
        <v>29483</v>
      </c>
      <c r="BJ132" s="31">
        <f t="shared" si="274"/>
        <v>34088.17693740609</v>
      </c>
      <c r="BK132" s="31">
        <f t="shared" si="275"/>
        <v>34121.153562273292</v>
      </c>
      <c r="BL132" s="31" t="str">
        <f t="shared" si="276"/>
        <v/>
      </c>
      <c r="BM132" s="31">
        <f t="shared" si="277"/>
        <v>34121.153562273292</v>
      </c>
      <c r="BN132" s="200"/>
      <c r="BP132" s="295" t="s">
        <v>1447</v>
      </c>
      <c r="BQ132" s="296" t="str">
        <f t="shared" si="145"/>
        <v>Y</v>
      </c>
      <c r="BR132" s="297" t="s">
        <v>1448</v>
      </c>
      <c r="BT132" s="295" t="str">
        <f t="shared" si="146"/>
        <v>Y</v>
      </c>
      <c r="BU132" s="296" t="str">
        <f t="shared" si="278"/>
        <v>N</v>
      </c>
      <c r="BV132" s="296" t="str">
        <f t="shared" si="279"/>
        <v>Y</v>
      </c>
      <c r="BW132" s="297" t="str">
        <f t="shared" si="149"/>
        <v>Y</v>
      </c>
      <c r="BY132" s="352">
        <f t="shared" si="150"/>
        <v>0.85</v>
      </c>
      <c r="BZ132" s="353">
        <f t="shared" si="151"/>
        <v>0</v>
      </c>
      <c r="CA132" s="353">
        <f t="shared" si="152"/>
        <v>0</v>
      </c>
      <c r="CB132" s="354">
        <f t="shared" si="153"/>
        <v>0.85</v>
      </c>
      <c r="CD132" s="311">
        <f t="shared" si="154"/>
        <v>127</v>
      </c>
    </row>
    <row r="133" spans="1:82" outlineLevel="1" x14ac:dyDescent="0.3">
      <c r="A133" s="1">
        <v>70417000</v>
      </c>
      <c r="B133" s="47">
        <f>VLOOKUP(C133,'NCES ID'!$A$2:$B$3136,2,FALSE)</f>
        <v>408490</v>
      </c>
      <c r="C133" s="47">
        <f>VLOOKUP(A133,'State ID'!$A$2:$B$713,2,FALSE)</f>
        <v>4264</v>
      </c>
      <c r="D133" s="147" t="s">
        <v>414</v>
      </c>
      <c r="E133" s="47" t="s">
        <v>7</v>
      </c>
      <c r="F133" s="382">
        <f>IFERROR(VLOOKUP($B133,'update_Formula counts'!$D$7:$R$234,'update_Formula counts'!F$5,0),0)</f>
        <v>917</v>
      </c>
      <c r="G133" s="382">
        <f>IFERROR(VLOOKUP($B133,'update_Formula counts'!$D$7:$R$234,'update_Formula counts'!G$5,0),0)</f>
        <v>31</v>
      </c>
      <c r="H133" s="382">
        <f>IFERROR(VLOOKUP($B133,'update_Formula counts'!$D$7:$R$234,'update_Formula counts'!H$5,0),0)</f>
        <v>0</v>
      </c>
      <c r="I133" s="382">
        <f>IFERROR(VLOOKUP($B133,'update_Formula counts'!$D$7:$R$234,'update_Formula counts'!I$5,0),0)</f>
        <v>41</v>
      </c>
      <c r="J133" s="382">
        <f>IFERROR(VLOOKUP($B133,'update_Formula counts'!$D$7:$R$234,'update_Formula counts'!J$5,0),0)</f>
        <v>0</v>
      </c>
      <c r="K133" s="382">
        <f t="shared" si="251"/>
        <v>948</v>
      </c>
      <c r="L133" s="444">
        <f>IFERROR(VLOOKUP($B133,'update_Formula counts'!$D$7:$R$234,'update_Formula counts'!L$5,0),0)</f>
        <v>2742</v>
      </c>
      <c r="M133" s="445">
        <f>IFERROR(VLOOKUP($B133,'update_Formula counts'!$D$7:$R$234,'update_Formula counts'!K$5,0),0)</f>
        <v>989</v>
      </c>
      <c r="N133" s="446">
        <f>IFERROR(VLOOKUP($B133,'update_Formula counts'!$D$7:$R$234,'update_Formula counts'!M$5,0),0)</f>
        <v>0.36068563092633116</v>
      </c>
      <c r="O133" s="137">
        <f>VLOOKUP($C133,'Final SEA Counts'!$A$2:$F$709,5,FALSE)</f>
        <v>3090</v>
      </c>
      <c r="P133" s="208">
        <f>VLOOKUP($C133,'Final SEA Counts'!$A$2:$F$709,6,FALSE)</f>
        <v>2625</v>
      </c>
      <c r="Q133" s="748">
        <f t="shared" si="252"/>
        <v>-115.72945689118704</v>
      </c>
      <c r="R133" s="444">
        <f t="shared" si="253"/>
        <v>2488.4669977216195</v>
      </c>
      <c r="S133" s="445">
        <f t="shared" si="254"/>
        <v>873.27054310881294</v>
      </c>
      <c r="T133" s="229">
        <f t="shared" si="255"/>
        <v>0.35092711452808434</v>
      </c>
      <c r="U133" s="261">
        <f>VLOOKUP($B133,update_Allocation!$D$8:$Q$235,update_Allocation!K$239,0)</f>
        <v>467688.25323476159</v>
      </c>
      <c r="V133" s="262">
        <f>VLOOKUP($B133,update_Allocation!$D$8:$Q$235,update_Allocation!L$239,0)</f>
        <v>111407.61951352117</v>
      </c>
      <c r="W133" s="262">
        <f>VLOOKUP($B133,update_Allocation!$D$8:$Q$235,update_Allocation!M$239,0)</f>
        <v>259588.97651820126</v>
      </c>
      <c r="X133" s="262">
        <f>VLOOKUP($B133,update_Allocation!$D$8:$Q$235,update_Allocation!N$239,0)</f>
        <v>231068.4638203092</v>
      </c>
      <c r="Y133" s="263">
        <f>VLOOKUP($B133,update_Allocation!$D$8:$Q$235,update_Allocation!O$239,0)</f>
        <v>1069753.3130867933</v>
      </c>
      <c r="Z133" s="262">
        <f t="shared" si="256"/>
        <v>412196.35238227027</v>
      </c>
      <c r="AA133" s="262">
        <f t="shared" si="257"/>
        <v>98236.563806332997</v>
      </c>
      <c r="AB133" s="262">
        <f t="shared" si="258"/>
        <v>228842.80091934744</v>
      </c>
      <c r="AC133" s="263">
        <f t="shared" si="259"/>
        <v>203819.74478899399</v>
      </c>
      <c r="AD133" s="262">
        <f t="shared" si="260"/>
        <v>412196.35238227027</v>
      </c>
      <c r="AE133" s="262">
        <f t="shared" si="261"/>
        <v>98236.563806332997</v>
      </c>
      <c r="AF133" s="262">
        <f t="shared" si="262"/>
        <v>228842.80091934744</v>
      </c>
      <c r="AG133" s="263">
        <f t="shared" si="263"/>
        <v>203819.74478899399</v>
      </c>
      <c r="AH133" s="262">
        <f t="shared" si="264"/>
        <v>412196.35238227027</v>
      </c>
      <c r="AI133" s="262">
        <f t="shared" si="265"/>
        <v>100367.3851891637</v>
      </c>
      <c r="AJ133" s="262">
        <f t="shared" si="266"/>
        <v>228868.14156456769</v>
      </c>
      <c r="AK133" s="262">
        <f t="shared" si="267"/>
        <v>203843.33360095939</v>
      </c>
      <c r="AL133" s="263">
        <f t="shared" si="268"/>
        <v>945275.21273696108</v>
      </c>
      <c r="AM133" s="346"/>
      <c r="AN133" s="261">
        <f>IFERROR(VLOOKUP($A133,'HH &amp; SI'!$B$4:$Z$494,'HH &amp; SI'!V$503,0),0)</f>
        <v>406573.72659410146</v>
      </c>
      <c r="AO133" s="262">
        <f>IFERROR(VLOOKUP($A133,'HH &amp; SI'!$B$4:$Z$494,'HH &amp; SI'!W$503,0),0)</f>
        <v>97061.650473753922</v>
      </c>
      <c r="AP133" s="262">
        <f>IFERROR(VLOOKUP($A133,'HH &amp; SI'!$B$4:$Z$494,'HH &amp; SI'!X$503,0),0)</f>
        <v>226786.67517522516</v>
      </c>
      <c r="AQ133" s="262">
        <f>IFERROR(VLOOKUP($A133,'HH &amp; SI'!$B$4:$Z$494,'HH &amp; SI'!Y$503,0),0)</f>
        <v>201597.34700142095</v>
      </c>
      <c r="AR133" s="263">
        <f t="shared" si="269"/>
        <v>932019.39924450149</v>
      </c>
      <c r="AS133" s="346"/>
      <c r="AT133" s="323">
        <f>IFERROR(VLOOKUP(A133,'Afton FY16 Final'!$A$5:$BV$572,'Afton FY16 Final'!$BV$587,0),0)</f>
        <v>716530.98438911326</v>
      </c>
      <c r="AU133" s="346"/>
      <c r="AV133" s="444">
        <v>0</v>
      </c>
      <c r="AW133" s="262">
        <f>IFERROR(VLOOKUP($A133,'HH &amp; SI'!$B$4:$EY$503,'HH &amp; SI'!EX$503,0),0)</f>
        <v>52205.296709370916</v>
      </c>
      <c r="AX133" s="262">
        <f>IFERROR(VLOOKUP($A133,'HH &amp; SI'!$B$4:$EY$503,'HH &amp; SI'!EY$503,0),0)</f>
        <v>879814.10253513057</v>
      </c>
      <c r="AY133" s="262">
        <f>AX133/$AX$582*'update_State Admin 1004(b)'!$B$30*0.01</f>
        <v>8420.4529920062487</v>
      </c>
      <c r="AZ133" s="263">
        <f t="shared" si="270"/>
        <v>871393.64954312437</v>
      </c>
      <c r="BA133" s="261">
        <f t="shared" si="271"/>
        <v>8713.9364954312441</v>
      </c>
      <c r="BB133" s="262">
        <f t="shared" si="272"/>
        <v>862679.71304769313</v>
      </c>
      <c r="BC133" s="341">
        <f t="shared" si="157"/>
        <v>1.2039670744778479</v>
      </c>
      <c r="BD133" s="346"/>
      <c r="BE133" s="376" t="str">
        <f>'Original Title I &amp; II'!AZ133</f>
        <v/>
      </c>
      <c r="BF133" s="243" t="str">
        <f t="shared" si="273"/>
        <v/>
      </c>
      <c r="BG133" s="263">
        <f t="shared" si="250"/>
        <v>862679.71304769313</v>
      </c>
      <c r="BI133" s="31">
        <f>IFERROR(VLOOKUP(A133,'Title II Hold Harmless'!A$1:B$439,2, FALSE),"")</f>
        <v>64792</v>
      </c>
      <c r="BJ133" s="31">
        <f t="shared" si="274"/>
        <v>78226.608220340437</v>
      </c>
      <c r="BK133" s="31">
        <f t="shared" si="275"/>
        <v>78302.284004312474</v>
      </c>
      <c r="BL133" s="31" t="str">
        <f t="shared" si="276"/>
        <v/>
      </c>
      <c r="BM133" s="31">
        <f t="shared" si="277"/>
        <v>78302.284004312474</v>
      </c>
      <c r="BN133" s="200"/>
      <c r="BP133" s="295" t="s">
        <v>1447</v>
      </c>
      <c r="BQ133" s="296" t="str">
        <f t="shared" si="145"/>
        <v>Y</v>
      </c>
      <c r="BR133" s="297" t="s">
        <v>1448</v>
      </c>
      <c r="BT133" s="295" t="str">
        <f t="shared" si="146"/>
        <v>Y</v>
      </c>
      <c r="BU133" s="296" t="str">
        <f t="shared" si="278"/>
        <v>Y</v>
      </c>
      <c r="BV133" s="296" t="str">
        <f t="shared" si="279"/>
        <v>Y</v>
      </c>
      <c r="BW133" s="297" t="str">
        <f t="shared" si="149"/>
        <v>Y</v>
      </c>
      <c r="BY133" s="352">
        <f t="shared" si="150"/>
        <v>0</v>
      </c>
      <c r="BZ133" s="353">
        <f t="shared" si="151"/>
        <v>0</v>
      </c>
      <c r="CA133" s="353">
        <f t="shared" si="152"/>
        <v>0.95</v>
      </c>
      <c r="CB133" s="354">
        <f t="shared" si="153"/>
        <v>0.95</v>
      </c>
      <c r="CD133" s="311">
        <f t="shared" si="154"/>
        <v>128</v>
      </c>
    </row>
    <row r="134" spans="1:82" outlineLevel="1" x14ac:dyDescent="0.3">
      <c r="A134" s="1">
        <v>70462000</v>
      </c>
      <c r="B134" s="47">
        <f>VLOOKUP(C134,'NCES ID'!$A$2:$B$3136,2,FALSE)</f>
        <v>408820</v>
      </c>
      <c r="C134" s="47">
        <f>VLOOKUP(A134,'State ID'!$A$2:$B$713,2,FALSE)</f>
        <v>4277</v>
      </c>
      <c r="D134" s="147" t="s">
        <v>426</v>
      </c>
      <c r="E134" s="47" t="s">
        <v>7</v>
      </c>
      <c r="F134" s="382">
        <f>IFERROR(VLOOKUP($B134,'update_Formula counts'!$D$7:$R$234,'update_Formula counts'!F$5,0),0)</f>
        <v>705</v>
      </c>
      <c r="G134" s="382">
        <f>IFERROR(VLOOKUP($B134,'update_Formula counts'!$D$7:$R$234,'update_Formula counts'!G$5,0),0)</f>
        <v>0</v>
      </c>
      <c r="H134" s="382">
        <f>IFERROR(VLOOKUP($B134,'update_Formula counts'!$D$7:$R$234,'update_Formula counts'!H$5,0),0)</f>
        <v>0</v>
      </c>
      <c r="I134" s="382">
        <f>IFERROR(VLOOKUP($B134,'update_Formula counts'!$D$7:$R$234,'update_Formula counts'!I$5,0),0)</f>
        <v>32</v>
      </c>
      <c r="J134" s="382">
        <f>IFERROR(VLOOKUP($B134,'update_Formula counts'!$D$7:$R$234,'update_Formula counts'!J$5,0),0)</f>
        <v>0</v>
      </c>
      <c r="K134" s="382">
        <f t="shared" si="251"/>
        <v>705</v>
      </c>
      <c r="L134" s="444">
        <f>IFERROR(VLOOKUP($B134,'update_Formula counts'!$D$7:$R$234,'update_Formula counts'!L$5,0),0)</f>
        <v>2802</v>
      </c>
      <c r="M134" s="445">
        <f>IFERROR(VLOOKUP($B134,'update_Formula counts'!$D$7:$R$234,'update_Formula counts'!K$5,0),0)</f>
        <v>737</v>
      </c>
      <c r="N134" s="446">
        <f>IFERROR(VLOOKUP($B134,'update_Formula counts'!$D$7:$R$234,'update_Formula counts'!M$5,0),0)</f>
        <v>0.26302640970735192</v>
      </c>
      <c r="O134" s="137">
        <f>VLOOKUP($C134,'Final SEA Counts'!$A$2:$F$709,5,FALSE)</f>
        <v>2084</v>
      </c>
      <c r="P134" s="208">
        <f>VLOOKUP($C134,'Final SEA Counts'!$A$2:$F$709,6,FALSE)</f>
        <v>1866</v>
      </c>
      <c r="Q134" s="748">
        <f t="shared" si="252"/>
        <v>-89.021351085103717</v>
      </c>
      <c r="R134" s="444">
        <f t="shared" si="253"/>
        <v>2542.9192296192482</v>
      </c>
      <c r="S134" s="445">
        <f t="shared" si="254"/>
        <v>647.97864891489633</v>
      </c>
      <c r="T134" s="229">
        <f t="shared" si="255"/>
        <v>0.25481684253570192</v>
      </c>
      <c r="U134" s="261">
        <f>VLOOKUP($B134,update_Allocation!$D$8:$Q$235,update_Allocation!K$239,0)</f>
        <v>348519.96221842186</v>
      </c>
      <c r="V134" s="262">
        <f>VLOOKUP($B134,update_Allocation!$D$8:$Q$235,update_Allocation!L$239,0)</f>
        <v>83020.642650621929</v>
      </c>
      <c r="W134" s="262">
        <f>VLOOKUP($B134,update_Allocation!$D$8:$Q$235,update_Allocation!M$239,0)</f>
        <v>149915.68548362152</v>
      </c>
      <c r="X134" s="262">
        <f>VLOOKUP($B134,update_Allocation!$D$8:$Q$235,update_Allocation!N$239,0)</f>
        <v>117740.18108610118</v>
      </c>
      <c r="Y134" s="263">
        <f>VLOOKUP($B134,update_Allocation!$D$8:$Q$235,update_Allocation!O$239,0)</f>
        <v>699196.47143876657</v>
      </c>
      <c r="Z134" s="262">
        <f t="shared" si="256"/>
        <v>307167.55480862805</v>
      </c>
      <c r="AA134" s="262">
        <f t="shared" si="257"/>
        <v>73205.609226761779</v>
      </c>
      <c r="AB134" s="262">
        <f t="shared" si="258"/>
        <v>132159.40764499464</v>
      </c>
      <c r="AC134" s="263">
        <f t="shared" si="259"/>
        <v>103855.68529611634</v>
      </c>
      <c r="AD134" s="262">
        <f t="shared" si="260"/>
        <v>307167.55480862805</v>
      </c>
      <c r="AE134" s="262">
        <f t="shared" si="261"/>
        <v>73205.609226761779</v>
      </c>
      <c r="AF134" s="262">
        <f t="shared" si="262"/>
        <v>132159.40764499464</v>
      </c>
      <c r="AG134" s="263">
        <f t="shared" si="263"/>
        <v>103855.68529611634</v>
      </c>
      <c r="AH134" s="262">
        <f t="shared" si="264"/>
        <v>307167.55480862805</v>
      </c>
      <c r="AI134" s="262">
        <f t="shared" si="265"/>
        <v>75336.430609592499</v>
      </c>
      <c r="AJ134" s="262">
        <f t="shared" si="266"/>
        <v>132184.74829021489</v>
      </c>
      <c r="AK134" s="262">
        <f t="shared" si="267"/>
        <v>103879.27410808174</v>
      </c>
      <c r="AL134" s="263">
        <f t="shared" si="268"/>
        <v>618568.00781651714</v>
      </c>
      <c r="AM134" s="346"/>
      <c r="AN134" s="261">
        <f>IFERROR(VLOOKUP($A134,'HH &amp; SI'!$B$4:$Z$494,'HH &amp; SI'!V$503,0),0)</f>
        <v>302977.58998973994</v>
      </c>
      <c r="AO134" s="262">
        <f>IFERROR(VLOOKUP($A134,'HH &amp; SI'!$B$4:$Z$494,'HH &amp; SI'!W$503,0),0)</f>
        <v>72855.124022479402</v>
      </c>
      <c r="AP134" s="262">
        <f>IFERROR(VLOOKUP($A134,'HH &amp; SI'!$B$4:$Z$494,'HH &amp; SI'!X$503,0),0)</f>
        <v>130982.57961409897</v>
      </c>
      <c r="AQ134" s="262">
        <f>IFERROR(VLOOKUP($A134,'HH &amp; SI'!$B$4:$Z$494,'HH &amp; SI'!Y$503,0),0)</f>
        <v>102734.71149965591</v>
      </c>
      <c r="AR134" s="263">
        <f t="shared" si="269"/>
        <v>609550.0051259743</v>
      </c>
      <c r="AS134" s="346"/>
      <c r="AT134" s="323">
        <f>IFERROR(VLOOKUP(A134,'Afton FY16 Final'!$A$5:$BV$572,'Afton FY16 Final'!$BV$587,0),0)</f>
        <v>500329.72952317202</v>
      </c>
      <c r="AU134" s="346"/>
      <c r="AV134" s="444">
        <v>0</v>
      </c>
      <c r="AW134" s="262">
        <f>IFERROR(VLOOKUP($A134,'HH &amp; SI'!$B$4:$EY$503,'HH &amp; SI'!EX$503,0),0)</f>
        <v>34142.785979127511</v>
      </c>
      <c r="AX134" s="262">
        <f>IFERROR(VLOOKUP($A134,'HH &amp; SI'!$B$4:$EY$503,'HH &amp; SI'!EY$503,0),0)</f>
        <v>575407.21914684679</v>
      </c>
      <c r="AY134" s="262">
        <f>AX134/$AX$582*'update_State Admin 1004(b)'!$B$30*0.01</f>
        <v>5507.0604416614187</v>
      </c>
      <c r="AZ134" s="263">
        <f t="shared" si="270"/>
        <v>569900.1587051854</v>
      </c>
      <c r="BA134" s="261">
        <f t="shared" si="271"/>
        <v>5699.0015870518537</v>
      </c>
      <c r="BB134" s="262">
        <f t="shared" si="272"/>
        <v>564201.1571181335</v>
      </c>
      <c r="BC134" s="341">
        <f t="shared" si="157"/>
        <v>1.1276586695254602</v>
      </c>
      <c r="BD134" s="346"/>
      <c r="BE134" s="376" t="str">
        <f>'Original Title I &amp; II'!AZ134</f>
        <v/>
      </c>
      <c r="BF134" s="243" t="str">
        <f t="shared" si="273"/>
        <v/>
      </c>
      <c r="BG134" s="263">
        <f t="shared" si="250"/>
        <v>564201.1571181335</v>
      </c>
      <c r="BI134" s="31">
        <f>IFERROR(VLOOKUP(A134,'Title II Hold Harmless'!A$1:B$439,2, FALSE),"")</f>
        <v>4218</v>
      </c>
      <c r="BJ134" s="31">
        <f t="shared" si="274"/>
        <v>14747.159404546706</v>
      </c>
      <c r="BK134" s="31">
        <f t="shared" si="275"/>
        <v>14761.425686502282</v>
      </c>
      <c r="BL134" s="31" t="str">
        <f t="shared" si="276"/>
        <v/>
      </c>
      <c r="BM134" s="31">
        <f t="shared" si="277"/>
        <v>14761.425686502282</v>
      </c>
      <c r="BN134" s="200"/>
      <c r="BP134" s="295" t="s">
        <v>1447</v>
      </c>
      <c r="BQ134" s="296" t="str">
        <f t="shared" si="145"/>
        <v>Y</v>
      </c>
      <c r="BR134" s="297" t="s">
        <v>1448</v>
      </c>
      <c r="BT134" s="295" t="str">
        <f t="shared" si="146"/>
        <v>Y</v>
      </c>
      <c r="BU134" s="296" t="str">
        <f t="shared" si="278"/>
        <v>Y</v>
      </c>
      <c r="BV134" s="296" t="str">
        <f t="shared" si="279"/>
        <v>Y</v>
      </c>
      <c r="BW134" s="297" t="str">
        <f t="shared" si="149"/>
        <v>Y</v>
      </c>
      <c r="BY134" s="352">
        <f t="shared" si="150"/>
        <v>0</v>
      </c>
      <c r="BZ134" s="353">
        <f t="shared" si="151"/>
        <v>0.9</v>
      </c>
      <c r="CA134" s="353">
        <f t="shared" si="152"/>
        <v>0</v>
      </c>
      <c r="CB134" s="354">
        <f t="shared" si="153"/>
        <v>0.9</v>
      </c>
      <c r="CD134" s="311">
        <f t="shared" si="154"/>
        <v>129</v>
      </c>
    </row>
    <row r="135" spans="1:82" outlineLevel="1" x14ac:dyDescent="0.3">
      <c r="A135" s="1">
        <v>70431000</v>
      </c>
      <c r="B135" s="47">
        <f>VLOOKUP(C135,'NCES ID'!$A$2:$B$3136,2,FALSE)</f>
        <v>401050</v>
      </c>
      <c r="C135" s="47">
        <f>VLOOKUP(A135,'State ID'!$A$2:$B$713,2,FALSE)</f>
        <v>4268</v>
      </c>
      <c r="D135" s="147" t="s">
        <v>65</v>
      </c>
      <c r="E135" s="47" t="s">
        <v>7</v>
      </c>
      <c r="F135" s="382">
        <f>IFERROR(VLOOKUP($B135,'update_Formula counts'!$D$7:$R$234,'update_Formula counts'!F$5,0),0)</f>
        <v>1897</v>
      </c>
      <c r="G135" s="382">
        <f>IFERROR(VLOOKUP($B135,'update_Formula counts'!$D$7:$R$234,'update_Formula counts'!G$5,0),0)</f>
        <v>0</v>
      </c>
      <c r="H135" s="382">
        <f>IFERROR(VLOOKUP($B135,'update_Formula counts'!$D$7:$R$234,'update_Formula counts'!H$5,0),0)</f>
        <v>0</v>
      </c>
      <c r="I135" s="382">
        <f>IFERROR(VLOOKUP($B135,'update_Formula counts'!$D$7:$R$234,'update_Formula counts'!I$5,0),0)</f>
        <v>86</v>
      </c>
      <c r="J135" s="382">
        <f>IFERROR(VLOOKUP($B135,'update_Formula counts'!$D$7:$R$234,'update_Formula counts'!J$5,0),0)</f>
        <v>0</v>
      </c>
      <c r="K135" s="382">
        <f t="shared" si="251"/>
        <v>1897</v>
      </c>
      <c r="L135" s="444">
        <f>IFERROR(VLOOKUP($B135,'update_Formula counts'!$D$7:$R$234,'update_Formula counts'!L$5,0),0)</f>
        <v>3722</v>
      </c>
      <c r="M135" s="445">
        <f>IFERROR(VLOOKUP($B135,'update_Formula counts'!$D$7:$R$234,'update_Formula counts'!K$5,0),0)</f>
        <v>1983</v>
      </c>
      <c r="N135" s="446">
        <f>IFERROR(VLOOKUP($B135,'update_Formula counts'!$D$7:$R$234,'update_Formula counts'!M$5,0),0)</f>
        <v>0.53277807630306284</v>
      </c>
      <c r="O135" s="137">
        <f>VLOOKUP($C135,'Final SEA Counts'!$A$2:$F$709,5,FALSE)</f>
        <v>2497</v>
      </c>
      <c r="P135" s="208">
        <f>VLOOKUP($C135,'Final SEA Counts'!$A$2:$F$709,6,FALSE)</f>
        <v>2292</v>
      </c>
      <c r="Q135" s="748">
        <f t="shared" si="252"/>
        <v>-239.53709598078112</v>
      </c>
      <c r="R135" s="444">
        <f t="shared" si="253"/>
        <v>3377.8534520495505</v>
      </c>
      <c r="S135" s="445">
        <f t="shared" si="254"/>
        <v>1743.462904019219</v>
      </c>
      <c r="T135" s="229">
        <f t="shared" si="255"/>
        <v>0.51614521730105056</v>
      </c>
      <c r="U135" s="261">
        <f>VLOOKUP($B135,update_Allocation!$D$8:$Q$235,update_Allocation!K$239,0)</f>
        <v>998983.63666557847</v>
      </c>
      <c r="V135" s="262">
        <f>VLOOKUP($B135,update_Allocation!$D$8:$Q$235,update_Allocation!L$239,0)</f>
        <v>236718.45255686404</v>
      </c>
      <c r="W135" s="262">
        <f>VLOOKUP($B135,update_Allocation!$D$8:$Q$235,update_Allocation!M$239,0)</f>
        <v>743940.18789181765</v>
      </c>
      <c r="X135" s="262">
        <f>VLOOKUP($B135,update_Allocation!$D$8:$Q$235,update_Allocation!N$239,0)</f>
        <v>725732.0079039539</v>
      </c>
      <c r="Y135" s="263">
        <f>VLOOKUP($B135,update_Allocation!$D$8:$Q$235,update_Allocation!O$239,0)</f>
        <v>2705374.285018214</v>
      </c>
      <c r="Z135" s="262">
        <f t="shared" si="256"/>
        <v>880452.75517413975</v>
      </c>
      <c r="AA135" s="262">
        <f t="shared" si="257"/>
        <v>208732.64746417521</v>
      </c>
      <c r="AB135" s="262">
        <f t="shared" si="258"/>
        <v>655826.60171893809</v>
      </c>
      <c r="AC135" s="263">
        <f t="shared" si="259"/>
        <v>640150.15372767241</v>
      </c>
      <c r="AD135" s="262">
        <f t="shared" si="260"/>
        <v>880452.75517413975</v>
      </c>
      <c r="AE135" s="262">
        <f t="shared" si="261"/>
        <v>208732.64746417521</v>
      </c>
      <c r="AF135" s="262">
        <f t="shared" si="262"/>
        <v>655826.60171893809</v>
      </c>
      <c r="AG135" s="263">
        <f t="shared" si="263"/>
        <v>640150.15372767241</v>
      </c>
      <c r="AH135" s="262">
        <f t="shared" si="264"/>
        <v>880452.75517413975</v>
      </c>
      <c r="AI135" s="262">
        <f t="shared" si="265"/>
        <v>210863.46884700592</v>
      </c>
      <c r="AJ135" s="262">
        <f t="shared" si="266"/>
        <v>655851.94236415834</v>
      </c>
      <c r="AK135" s="262">
        <f t="shared" si="267"/>
        <v>640173.74253963784</v>
      </c>
      <c r="AL135" s="263">
        <f t="shared" si="268"/>
        <v>2387341.9089249419</v>
      </c>
      <c r="AM135" s="346"/>
      <c r="AN135" s="261">
        <f>IFERROR(VLOOKUP($A135,'HH &amp; SI'!$B$4:$Z$494,'HH &amp; SI'!V$503,0),0)</f>
        <v>870904.20199464157</v>
      </c>
      <c r="AO135" s="262">
        <f>IFERROR(VLOOKUP($A135,'HH &amp; SI'!$B$4:$Z$494,'HH &amp; SI'!W$503,0),0)</f>
        <v>204821.86412084184</v>
      </c>
      <c r="AP135" s="262">
        <f>IFERROR(VLOOKUP($A135,'HH &amp; SI'!$B$4:$Z$494,'HH &amp; SI'!X$503,0),0)</f>
        <v>649887.22501606517</v>
      </c>
      <c r="AQ135" s="262">
        <f>IFERROR(VLOOKUP($A135,'HH &amp; SI'!$B$4:$Z$494,'HH &amp; SI'!Y$503,0),0)</f>
        <v>633120.18026845239</v>
      </c>
      <c r="AR135" s="263">
        <f t="shared" si="269"/>
        <v>2358733.4714000011</v>
      </c>
      <c r="AS135" s="346"/>
      <c r="AT135" s="323">
        <f>IFERROR(VLOOKUP(A135,'Afton FY16 Final'!$A$5:$BV$572,'Afton FY16 Final'!$BV$587,0),0)</f>
        <v>2168943.9514097623</v>
      </c>
      <c r="AU135" s="346"/>
      <c r="AV135" s="444">
        <v>0</v>
      </c>
      <c r="AW135" s="262">
        <f>IFERROR(VLOOKUP($A135,'HH &amp; SI'!$B$4:$EY$503,'HH &amp; SI'!EX$503,0),0)</f>
        <v>132119.97607837245</v>
      </c>
      <c r="AX135" s="262">
        <f>IFERROR(VLOOKUP($A135,'HH &amp; SI'!$B$4:$EY$503,'HH &amp; SI'!EY$503,0),0)</f>
        <v>2226613.4953216286</v>
      </c>
      <c r="AY135" s="262">
        <f>AX135/$AX$582*'update_State Admin 1004(b)'!$B$30*0.01</f>
        <v>21310.290679244776</v>
      </c>
      <c r="AZ135" s="263">
        <f t="shared" si="270"/>
        <v>2205303.2046423838</v>
      </c>
      <c r="BA135" s="261">
        <f t="shared" si="271"/>
        <v>22053.032046423839</v>
      </c>
      <c r="BB135" s="262">
        <f t="shared" si="272"/>
        <v>2183250.1725959601</v>
      </c>
      <c r="BC135" s="341">
        <f t="shared" ref="BC135:BC198" si="280">IFERROR(BB135/AT135,"")</f>
        <v>1.0065959386257535</v>
      </c>
      <c r="BD135" s="346"/>
      <c r="BE135" s="376" t="str">
        <f>'Original Title I &amp; II'!AZ135</f>
        <v/>
      </c>
      <c r="BF135" s="243" t="str">
        <f t="shared" si="273"/>
        <v/>
      </c>
      <c r="BG135" s="263">
        <f t="shared" si="250"/>
        <v>2183250.1725959601</v>
      </c>
      <c r="BI135" s="31">
        <f>IFERROR(VLOOKUP(A135,'Title II Hold Harmless'!A$1:B$439,2, FALSE),"")</f>
        <v>178971</v>
      </c>
      <c r="BJ135" s="31">
        <f t="shared" si="274"/>
        <v>204512.98076380679</v>
      </c>
      <c r="BK135" s="31">
        <f t="shared" si="275"/>
        <v>204710.82495651633</v>
      </c>
      <c r="BL135" s="31" t="str">
        <f t="shared" si="276"/>
        <v/>
      </c>
      <c r="BM135" s="31">
        <f t="shared" si="277"/>
        <v>204710.82495651633</v>
      </c>
      <c r="BN135" s="200"/>
      <c r="BP135" s="295" t="s">
        <v>1447</v>
      </c>
      <c r="BQ135" s="296" t="str">
        <f t="shared" ref="BQ135:BQ198" si="281">IF(OR(BP135="y",BP135="n"),"Y","N")</f>
        <v>Y</v>
      </c>
      <c r="BR135" s="297" t="s">
        <v>1448</v>
      </c>
      <c r="BT135" s="295" t="str">
        <f t="shared" ref="BT135:BT198" si="282">IF(AND(S135&gt;=10,T135&gt;0.02),"Y","N")</f>
        <v>Y</v>
      </c>
      <c r="BU135" s="296" t="str">
        <f t="shared" si="278"/>
        <v>Y</v>
      </c>
      <c r="BV135" s="296" t="str">
        <f t="shared" si="279"/>
        <v>Y</v>
      </c>
      <c r="BW135" s="297" t="str">
        <f t="shared" ref="BW135:BW198" si="283">BV135</f>
        <v>Y</v>
      </c>
      <c r="BY135" s="352">
        <f t="shared" ref="BY135:BY198" si="284">IF(BT135="NA","NA",IF($T135&lt;0.15,0.85,0))</f>
        <v>0</v>
      </c>
      <c r="BZ135" s="353">
        <f t="shared" ref="BZ135:BZ198" si="285">IF(BT135="NA","NA",IF(AND($T135&gt;=0.15,$T135&lt;0.3),0.9,0))</f>
        <v>0</v>
      </c>
      <c r="CA135" s="353">
        <f t="shared" ref="CA135:CA198" si="286">IF(BT135="NA","NA",IF($T135&gt;=0.3,0.95,0))</f>
        <v>0.95</v>
      </c>
      <c r="CB135" s="354">
        <f t="shared" ref="CB135:CB198" si="287">IF(BY135="NA","NA",MAX(BY135:CA135))</f>
        <v>0.95</v>
      </c>
      <c r="CD135" s="311">
        <f t="shared" si="154"/>
        <v>130</v>
      </c>
    </row>
    <row r="136" spans="1:82" outlineLevel="1" x14ac:dyDescent="0.3">
      <c r="A136" s="1">
        <v>70408000</v>
      </c>
      <c r="B136" s="47">
        <f>VLOOKUP(C136,'NCES ID'!$A$2:$B$3136,2,FALSE)</f>
        <v>405670</v>
      </c>
      <c r="C136" s="47">
        <f>VLOOKUP(A136,'State ID'!$A$2:$B$713,2,FALSE)</f>
        <v>4262</v>
      </c>
      <c r="D136" s="147" t="s">
        <v>312</v>
      </c>
      <c r="E136" s="47" t="s">
        <v>7</v>
      </c>
      <c r="F136" s="382">
        <f>IFERROR(VLOOKUP($B136,'update_Formula counts'!$D$7:$R$234,'update_Formula counts'!F$5,0),0)</f>
        <v>1770</v>
      </c>
      <c r="G136" s="382">
        <f>IFERROR(VLOOKUP($B136,'update_Formula counts'!$D$7:$R$234,'update_Formula counts'!G$5,0),0)</f>
        <v>7</v>
      </c>
      <c r="H136" s="382">
        <f>IFERROR(VLOOKUP($B136,'update_Formula counts'!$D$7:$R$234,'update_Formula counts'!H$5,0),0)</f>
        <v>0</v>
      </c>
      <c r="I136" s="382">
        <f>IFERROR(VLOOKUP($B136,'update_Formula counts'!$D$7:$R$234,'update_Formula counts'!I$5,0),0)</f>
        <v>80</v>
      </c>
      <c r="J136" s="382">
        <f>IFERROR(VLOOKUP($B136,'update_Formula counts'!$D$7:$R$234,'update_Formula counts'!J$5,0),0)</f>
        <v>0</v>
      </c>
      <c r="K136" s="382">
        <f t="shared" si="251"/>
        <v>1777</v>
      </c>
      <c r="L136" s="444">
        <f>IFERROR(VLOOKUP($B136,'update_Formula counts'!$D$7:$R$234,'update_Formula counts'!L$5,0),0)</f>
        <v>3945</v>
      </c>
      <c r="M136" s="445">
        <f>IFERROR(VLOOKUP($B136,'update_Formula counts'!$D$7:$R$234,'update_Formula counts'!K$5,0),0)</f>
        <v>1857</v>
      </c>
      <c r="N136" s="446">
        <f>IFERROR(VLOOKUP($B136,'update_Formula counts'!$D$7:$R$234,'update_Formula counts'!M$5,0),0)</f>
        <v>0.47072243346007603</v>
      </c>
      <c r="O136" s="137">
        <f>VLOOKUP($C136,'Final SEA Counts'!$A$2:$F$709,5,FALSE)</f>
        <v>3071</v>
      </c>
      <c r="P136" s="208">
        <f>VLOOKUP($C136,'Final SEA Counts'!$A$2:$F$709,6,FALSE)</f>
        <v>1860</v>
      </c>
      <c r="Q136" s="748">
        <f t="shared" si="252"/>
        <v>-223.48694500239313</v>
      </c>
      <c r="R136" s="444">
        <f t="shared" si="253"/>
        <v>3580.2342472690698</v>
      </c>
      <c r="S136" s="445">
        <f t="shared" si="254"/>
        <v>1633.5130549976068</v>
      </c>
      <c r="T136" s="229">
        <f t="shared" si="255"/>
        <v>0.45625870883828828</v>
      </c>
      <c r="U136" s="261">
        <f>VLOOKUP($B136,update_Allocation!$D$8:$Q$235,update_Allocation!K$239,0)</f>
        <v>878156.81117993128</v>
      </c>
      <c r="V136" s="262">
        <f>VLOOKUP($B136,update_Allocation!$D$8:$Q$235,update_Allocation!L$239,0)</f>
        <v>209184.98426350745</v>
      </c>
      <c r="W136" s="262">
        <f>VLOOKUP($B136,update_Allocation!$D$8:$Q$235,update_Allocation!M$239,0)</f>
        <v>612119.53295322461</v>
      </c>
      <c r="X136" s="262">
        <f>VLOOKUP($B136,update_Allocation!$D$8:$Q$235,update_Allocation!N$239,0)</f>
        <v>606587.19752214476</v>
      </c>
      <c r="Y136" s="263">
        <f>VLOOKUP($B136,update_Allocation!$D$8:$Q$235,update_Allocation!O$239,0)</f>
        <v>2306048.5259188078</v>
      </c>
      <c r="Z136" s="262">
        <f t="shared" si="256"/>
        <v>773962.21069148206</v>
      </c>
      <c r="AA136" s="262">
        <f t="shared" si="257"/>
        <v>184454.29624707825</v>
      </c>
      <c r="AB136" s="262">
        <f t="shared" si="258"/>
        <v>539619.01733002509</v>
      </c>
      <c r="AC136" s="263">
        <f t="shared" si="259"/>
        <v>535055.47986582527</v>
      </c>
      <c r="AD136" s="262">
        <f t="shared" si="260"/>
        <v>773962.21069148206</v>
      </c>
      <c r="AE136" s="262">
        <f t="shared" si="261"/>
        <v>184454.29624707825</v>
      </c>
      <c r="AF136" s="262">
        <f t="shared" si="262"/>
        <v>539619.01733002509</v>
      </c>
      <c r="AG136" s="263">
        <f t="shared" si="263"/>
        <v>535055.47986582527</v>
      </c>
      <c r="AH136" s="262">
        <f t="shared" si="264"/>
        <v>773962.21069148206</v>
      </c>
      <c r="AI136" s="262">
        <f t="shared" si="265"/>
        <v>186585.11762990896</v>
      </c>
      <c r="AJ136" s="262">
        <f t="shared" si="266"/>
        <v>539644.35797524534</v>
      </c>
      <c r="AK136" s="262">
        <f t="shared" si="267"/>
        <v>535079.0686777907</v>
      </c>
      <c r="AL136" s="263">
        <f t="shared" si="268"/>
        <v>2035270.7549744269</v>
      </c>
      <c r="AM136" s="346"/>
      <c r="AN136" s="261">
        <f>IFERROR(VLOOKUP($A136,'HH &amp; SI'!$B$4:$Z$494,'HH &amp; SI'!V$503,0),0)</f>
        <v>763404.8637869024</v>
      </c>
      <c r="AO136" s="262">
        <f>IFERROR(VLOOKUP($A136,'HH &amp; SI'!$B$4:$Z$494,'HH &amp; SI'!W$503,0),0)</f>
        <v>180439.686028144</v>
      </c>
      <c r="AP136" s="262">
        <f>IFERROR(VLOOKUP($A136,'HH &amp; SI'!$B$4:$Z$494,'HH &amp; SI'!X$503,0),0)</f>
        <v>534736.50323563349</v>
      </c>
      <c r="AQ136" s="262">
        <f>IFERROR(VLOOKUP($A136,'HH &amp; SI'!$B$4:$Z$494,'HH &amp; SI'!Y$503,0),0)</f>
        <v>529183.46053248621</v>
      </c>
      <c r="AR136" s="263">
        <f t="shared" si="269"/>
        <v>2007764.5135831661</v>
      </c>
      <c r="AS136" s="346"/>
      <c r="AT136" s="323">
        <f>IFERROR(VLOOKUP(A136,'Afton FY16 Final'!$A$5:$BV$572,'Afton FY16 Final'!$BV$587,0),0)</f>
        <v>1791257.8752096859</v>
      </c>
      <c r="AU136" s="346"/>
      <c r="AV136" s="444">
        <v>0</v>
      </c>
      <c r="AW136" s="262">
        <f>IFERROR(VLOOKUP($A136,'HH &amp; SI'!$B$4:$EY$503,'HH &amp; SI'!EX$503,0),0)</f>
        <v>112461.11640929338</v>
      </c>
      <c r="AX136" s="262">
        <f>IFERROR(VLOOKUP($A136,'HH &amp; SI'!$B$4:$EY$503,'HH &amp; SI'!EY$503,0),0)</f>
        <v>1895303.3971738727</v>
      </c>
      <c r="AY136" s="262">
        <f>AX136/$AX$582*'update_State Admin 1004(b)'!$B$30*0.01</f>
        <v>18139.415037229523</v>
      </c>
      <c r="AZ136" s="263">
        <f t="shared" si="270"/>
        <v>1877163.9821366433</v>
      </c>
      <c r="BA136" s="261">
        <f t="shared" si="271"/>
        <v>18771.639821366432</v>
      </c>
      <c r="BB136" s="262">
        <f t="shared" si="272"/>
        <v>1858392.3423152769</v>
      </c>
      <c r="BC136" s="341">
        <f t="shared" si="280"/>
        <v>1.0374789515427711</v>
      </c>
      <c r="BD136" s="346"/>
      <c r="BE136" s="376" t="str">
        <f>'Original Title I &amp; II'!AZ136</f>
        <v/>
      </c>
      <c r="BF136" s="243" t="str">
        <f t="shared" si="273"/>
        <v/>
      </c>
      <c r="BG136" s="263">
        <f t="shared" si="250"/>
        <v>1858392.3423152769</v>
      </c>
      <c r="BI136" s="31">
        <f>IFERROR(VLOOKUP(A136,'Title II Hold Harmless'!A$1:B$439,2, FALSE),"")</f>
        <v>199127</v>
      </c>
      <c r="BJ136" s="31">
        <f t="shared" si="274"/>
        <v>223392.51511731948</v>
      </c>
      <c r="BK136" s="31">
        <f t="shared" si="275"/>
        <v>223608.62321786975</v>
      </c>
      <c r="BL136" s="31" t="str">
        <f t="shared" si="276"/>
        <v/>
      </c>
      <c r="BM136" s="31">
        <f t="shared" si="277"/>
        <v>223608.62321786975</v>
      </c>
      <c r="BN136" s="200"/>
      <c r="BP136" s="295" t="s">
        <v>1447</v>
      </c>
      <c r="BQ136" s="296" t="str">
        <f t="shared" si="281"/>
        <v>Y</v>
      </c>
      <c r="BR136" s="297" t="s">
        <v>1448</v>
      </c>
      <c r="BT136" s="295" t="str">
        <f t="shared" si="282"/>
        <v>Y</v>
      </c>
      <c r="BU136" s="296" t="str">
        <f t="shared" si="278"/>
        <v>Y</v>
      </c>
      <c r="BV136" s="296" t="str">
        <f t="shared" si="279"/>
        <v>Y</v>
      </c>
      <c r="BW136" s="297" t="str">
        <f t="shared" si="283"/>
        <v>Y</v>
      </c>
      <c r="BY136" s="352">
        <f t="shared" si="284"/>
        <v>0</v>
      </c>
      <c r="BZ136" s="353">
        <f t="shared" si="285"/>
        <v>0</v>
      </c>
      <c r="CA136" s="353">
        <f t="shared" si="286"/>
        <v>0.95</v>
      </c>
      <c r="CB136" s="354">
        <f t="shared" si="287"/>
        <v>0.95</v>
      </c>
      <c r="CD136" s="311">
        <f t="shared" ref="CD136:CD199" si="288">CD135+1</f>
        <v>131</v>
      </c>
    </row>
    <row r="137" spans="1:82" outlineLevel="1" x14ac:dyDescent="0.3">
      <c r="A137" s="1">
        <v>70425000</v>
      </c>
      <c r="B137" s="47">
        <f>VLOOKUP(C137,'NCES ID'!$A$2:$B$3136,2,FALSE)</f>
        <v>404320</v>
      </c>
      <c r="C137" s="47">
        <f>VLOOKUP(A137,'State ID'!$A$2:$B$713,2,FALSE)</f>
        <v>4266</v>
      </c>
      <c r="D137" s="147" t="s">
        <v>260</v>
      </c>
      <c r="E137" s="47" t="s">
        <v>7</v>
      </c>
      <c r="F137" s="382">
        <f>IFERROR(VLOOKUP($B137,'update_Formula counts'!$D$7:$R$234,'update_Formula counts'!F$5,0),0)</f>
        <v>627</v>
      </c>
      <c r="G137" s="382">
        <f>IFERROR(VLOOKUP($B137,'update_Formula counts'!$D$7:$R$234,'update_Formula counts'!G$5,0),0)</f>
        <v>0</v>
      </c>
      <c r="H137" s="382">
        <f>IFERROR(VLOOKUP($B137,'update_Formula counts'!$D$7:$R$234,'update_Formula counts'!H$5,0),0)</f>
        <v>0</v>
      </c>
      <c r="I137" s="382">
        <f>IFERROR(VLOOKUP($B137,'update_Formula counts'!$D$7:$R$234,'update_Formula counts'!I$5,0),0)</f>
        <v>28</v>
      </c>
      <c r="J137" s="382">
        <f>IFERROR(VLOOKUP($B137,'update_Formula counts'!$D$7:$R$234,'update_Formula counts'!J$5,0),0)</f>
        <v>0</v>
      </c>
      <c r="K137" s="382">
        <f t="shared" si="251"/>
        <v>627</v>
      </c>
      <c r="L137" s="444">
        <f>IFERROR(VLOOKUP($B137,'update_Formula counts'!$D$7:$R$234,'update_Formula counts'!L$5,0),0)</f>
        <v>4077</v>
      </c>
      <c r="M137" s="445">
        <f>IFERROR(VLOOKUP($B137,'update_Formula counts'!$D$7:$R$234,'update_Formula counts'!K$5,0),0)</f>
        <v>655</v>
      </c>
      <c r="N137" s="446">
        <f>IFERROR(VLOOKUP($B137,'update_Formula counts'!$D$7:$R$234,'update_Formula counts'!M$5,0),0)</f>
        <v>0.16065734608780965</v>
      </c>
      <c r="O137" s="137">
        <f>VLOOKUP($C137,'Final SEA Counts'!$A$2:$F$709,5,FALSE)</f>
        <v>3384</v>
      </c>
      <c r="P137" s="208">
        <f>VLOOKUP($C137,'Final SEA Counts'!$A$2:$F$709,6,FALSE)</f>
        <v>1898</v>
      </c>
      <c r="Q137" s="748">
        <f t="shared" si="252"/>
        <v>-79.173109772695867</v>
      </c>
      <c r="R137" s="444">
        <f t="shared" si="253"/>
        <v>3700.0291574438525</v>
      </c>
      <c r="S137" s="445">
        <f t="shared" si="254"/>
        <v>575.82689022730415</v>
      </c>
      <c r="T137" s="229">
        <f t="shared" si="255"/>
        <v>0.15562766284390889</v>
      </c>
      <c r="U137" s="261">
        <f>VLOOKUP($B137,update_Allocation!$D$8:$Q$235,update_Allocation!K$239,0)</f>
        <v>309742.9786337401</v>
      </c>
      <c r="V137" s="262">
        <f>VLOOKUP($B137,update_Allocation!$D$8:$Q$235,update_Allocation!L$239,0)</f>
        <v>73783.61049682142</v>
      </c>
      <c r="W137" s="262">
        <f>VLOOKUP($B137,update_Allocation!$D$8:$Q$235,update_Allocation!M$239,0)</f>
        <v>95598.948698726657</v>
      </c>
      <c r="X137" s="262">
        <f>VLOOKUP($B137,update_Allocation!$D$8:$Q$235,update_Allocation!N$239,0)</f>
        <v>73615.418179286236</v>
      </c>
      <c r="Y137" s="263">
        <f>VLOOKUP($B137,update_Allocation!$D$8:$Q$235,update_Allocation!O$239,0)</f>
        <v>552740.95600857446</v>
      </c>
      <c r="Z137" s="262">
        <f t="shared" si="256"/>
        <v>272991.51750291925</v>
      </c>
      <c r="AA137" s="262">
        <f t="shared" si="257"/>
        <v>65060.616069917211</v>
      </c>
      <c r="AB137" s="262">
        <f t="shared" si="258"/>
        <v>84276.040834221189</v>
      </c>
      <c r="AC137" s="263">
        <f t="shared" si="259"/>
        <v>64934.329409422528</v>
      </c>
      <c r="AD137" s="262">
        <f t="shared" si="260"/>
        <v>272991.51750291925</v>
      </c>
      <c r="AE137" s="262">
        <f t="shared" si="261"/>
        <v>65060.616069917211</v>
      </c>
      <c r="AF137" s="262">
        <f t="shared" si="262"/>
        <v>84276.040834221189</v>
      </c>
      <c r="AG137" s="263">
        <f t="shared" si="263"/>
        <v>64934.329409422528</v>
      </c>
      <c r="AH137" s="262">
        <f t="shared" si="264"/>
        <v>272991.51750291925</v>
      </c>
      <c r="AI137" s="262">
        <f t="shared" si="265"/>
        <v>67191.437452747923</v>
      </c>
      <c r="AJ137" s="262">
        <f t="shared" si="266"/>
        <v>84301.38147944145</v>
      </c>
      <c r="AK137" s="262">
        <f t="shared" si="267"/>
        <v>64957.918221387932</v>
      </c>
      <c r="AL137" s="263">
        <f t="shared" si="268"/>
        <v>489442.25465649652</v>
      </c>
      <c r="AM137" s="346"/>
      <c r="AN137" s="261">
        <f>IFERROR(VLOOKUP($A137,'HH &amp; SI'!$B$4:$Z$494,'HH &amp; SI'!V$503,0),0)</f>
        <v>269267.73601530492</v>
      </c>
      <c r="AO137" s="262">
        <f>IFERROR(VLOOKUP($A137,'HH &amp; SI'!$B$4:$Z$494,'HH &amp; SI'!W$503,0),0)</f>
        <v>64978.397161350418</v>
      </c>
      <c r="AP137" s="262">
        <f>IFERROR(VLOOKUP($A137,'HH &amp; SI'!$B$4:$Z$494,'HH &amp; SI'!X$503,0),0)</f>
        <v>83534.693329115835</v>
      </c>
      <c r="AQ137" s="262">
        <f>IFERROR(VLOOKUP($A137,'HH &amp; SI'!$B$4:$Z$494,'HH &amp; SI'!Y$503,0),0)</f>
        <v>64242.198892814005</v>
      </c>
      <c r="AR137" s="263">
        <f t="shared" si="269"/>
        <v>482023.02539858513</v>
      </c>
      <c r="AS137" s="346"/>
      <c r="AT137" s="323">
        <f>IFERROR(VLOOKUP(A137,'Afton FY16 Final'!$A$5:$BV$572,'Afton FY16 Final'!$BV$587,0),0)</f>
        <v>409776.43977889407</v>
      </c>
      <c r="AU137" s="346"/>
      <c r="AV137" s="444">
        <v>0</v>
      </c>
      <c r="AW137" s="262">
        <f>IFERROR(VLOOKUP($A137,'HH &amp; SI'!$B$4:$EY$503,'HH &amp; SI'!EX$503,0),0)</f>
        <v>26999.604388148931</v>
      </c>
      <c r="AX137" s="262">
        <f>IFERROR(VLOOKUP($A137,'HH &amp; SI'!$B$4:$EY$503,'HH &amp; SI'!EY$503,0),0)</f>
        <v>455023.4210104362</v>
      </c>
      <c r="AY137" s="262">
        <f>AX137/$AX$582*'update_State Admin 1004(b)'!$B$30*0.01</f>
        <v>4354.901013566393</v>
      </c>
      <c r="AZ137" s="263">
        <f t="shared" si="270"/>
        <v>450668.51999686979</v>
      </c>
      <c r="BA137" s="261">
        <f t="shared" si="271"/>
        <v>4506.6851999686978</v>
      </c>
      <c r="BB137" s="262">
        <f t="shared" si="272"/>
        <v>446161.83479690109</v>
      </c>
      <c r="BC137" s="341">
        <f t="shared" si="280"/>
        <v>1.0887932821067989</v>
      </c>
      <c r="BD137" s="346"/>
      <c r="BE137" s="376" t="str">
        <f>'Original Title I &amp; II'!AZ137</f>
        <v/>
      </c>
      <c r="BF137" s="243" t="str">
        <f t="shared" si="273"/>
        <v/>
      </c>
      <c r="BG137" s="263">
        <f t="shared" si="250"/>
        <v>446161.83479690109</v>
      </c>
      <c r="BI137" s="31">
        <f>IFERROR(VLOOKUP(A137,'Title II Hold Harmless'!A$1:B$439,2, FALSE),"")</f>
        <v>36493</v>
      </c>
      <c r="BJ137" s="31">
        <f t="shared" si="274"/>
        <v>47008.870202632897</v>
      </c>
      <c r="BK137" s="31">
        <f t="shared" si="275"/>
        <v>47054.346200981236</v>
      </c>
      <c r="BL137" s="31" t="str">
        <f t="shared" si="276"/>
        <v/>
      </c>
      <c r="BM137" s="31">
        <f t="shared" si="277"/>
        <v>47054.346200981236</v>
      </c>
      <c r="BN137" s="200"/>
      <c r="BP137" s="295" t="s">
        <v>1447</v>
      </c>
      <c r="BQ137" s="296" t="str">
        <f t="shared" si="281"/>
        <v>Y</v>
      </c>
      <c r="BR137" s="297" t="s">
        <v>1448</v>
      </c>
      <c r="BT137" s="295" t="str">
        <f t="shared" si="282"/>
        <v>Y</v>
      </c>
      <c r="BU137" s="296" t="str">
        <f t="shared" si="278"/>
        <v>Y</v>
      </c>
      <c r="BV137" s="296" t="str">
        <f t="shared" si="279"/>
        <v>Y</v>
      </c>
      <c r="BW137" s="297" t="str">
        <f t="shared" si="283"/>
        <v>Y</v>
      </c>
      <c r="BY137" s="352">
        <f t="shared" si="284"/>
        <v>0</v>
      </c>
      <c r="BZ137" s="353">
        <f t="shared" si="285"/>
        <v>0.9</v>
      </c>
      <c r="CA137" s="353">
        <f t="shared" si="286"/>
        <v>0</v>
      </c>
      <c r="CB137" s="354">
        <f t="shared" si="287"/>
        <v>0.9</v>
      </c>
      <c r="CD137" s="311">
        <f t="shared" si="288"/>
        <v>132</v>
      </c>
    </row>
    <row r="138" spans="1:82" outlineLevel="1" x14ac:dyDescent="0.3">
      <c r="A138" s="1">
        <v>70501000</v>
      </c>
      <c r="B138" s="47">
        <f>VLOOKUP(C138,'NCES ID'!$A$2:$B$3136,2,FALSE)</f>
        <v>401410</v>
      </c>
      <c r="C138" s="47">
        <f>VLOOKUP(A138,'State ID'!$A$2:$B$713,2,FALSE)</f>
        <v>4284</v>
      </c>
      <c r="D138" s="147" t="s">
        <v>80</v>
      </c>
      <c r="E138" s="47" t="s">
        <v>7</v>
      </c>
      <c r="F138" s="382">
        <f>IFERROR(VLOOKUP($B138,'update_Formula counts'!$D$7:$R$234,'update_Formula counts'!F$5,0),0)</f>
        <v>761</v>
      </c>
      <c r="G138" s="382">
        <f>IFERROR(VLOOKUP($B138,'update_Formula counts'!$D$7:$R$234,'update_Formula counts'!G$5,0),0)</f>
        <v>0</v>
      </c>
      <c r="H138" s="382">
        <f>IFERROR(VLOOKUP($B138,'update_Formula counts'!$D$7:$R$234,'update_Formula counts'!H$5,0),0)</f>
        <v>0</v>
      </c>
      <c r="I138" s="382">
        <f>IFERROR(VLOOKUP($B138,'update_Formula counts'!$D$7:$R$234,'update_Formula counts'!I$5,0),0)</f>
        <v>34</v>
      </c>
      <c r="J138" s="382">
        <f>IFERROR(VLOOKUP($B138,'update_Formula counts'!$D$7:$R$234,'update_Formula counts'!J$5,0),0)</f>
        <v>0</v>
      </c>
      <c r="K138" s="382">
        <f t="shared" si="251"/>
        <v>761</v>
      </c>
      <c r="L138" s="444">
        <f>IFERROR(VLOOKUP($B138,'update_Formula counts'!$D$7:$R$234,'update_Formula counts'!L$5,0),0)</f>
        <v>4369</v>
      </c>
      <c r="M138" s="445">
        <f>IFERROR(VLOOKUP($B138,'update_Formula counts'!$D$7:$R$234,'update_Formula counts'!K$5,0),0)</f>
        <v>795</v>
      </c>
      <c r="N138" s="446">
        <f>IFERROR(VLOOKUP($B138,'update_Formula counts'!$D$7:$R$234,'update_Formula counts'!M$5,0),0)</f>
        <v>0.18196383611810482</v>
      </c>
      <c r="O138" s="137">
        <f>VLOOKUP($C138,'Final SEA Counts'!$A$2:$F$709,5,FALSE)</f>
        <v>3010</v>
      </c>
      <c r="P138" s="208">
        <f>VLOOKUP($C138,'Final SEA Counts'!$A$2:$F$709,6,FALSE)</f>
        <v>1718</v>
      </c>
      <c r="Q138" s="748">
        <f t="shared" si="252"/>
        <v>-96.093646432163126</v>
      </c>
      <c r="R138" s="444">
        <f t="shared" si="253"/>
        <v>3965.0300193456442</v>
      </c>
      <c r="S138" s="445">
        <f t="shared" si="254"/>
        <v>698.90635356783685</v>
      </c>
      <c r="T138" s="229">
        <f t="shared" si="255"/>
        <v>0.17626760709448011</v>
      </c>
      <c r="U138" s="261">
        <f>VLOOKUP($B138,update_Allocation!$D$8:$Q$235,update_Allocation!K$239,0)</f>
        <v>375947.58475392859</v>
      </c>
      <c r="V138" s="262">
        <f>VLOOKUP($B138,update_Allocation!$D$8:$Q$235,update_Allocation!L$239,0)</f>
        <v>89554.15319843209</v>
      </c>
      <c r="W138" s="262">
        <f>VLOOKUP($B138,update_Allocation!$D$8:$Q$235,update_Allocation!M$239,0)</f>
        <v>125694.95591971546</v>
      </c>
      <c r="X138" s="262">
        <f>VLOOKUP($B138,update_Allocation!$D$8:$Q$235,update_Allocation!N$239,0)</f>
        <v>94347.388970471642</v>
      </c>
      <c r="Y138" s="263">
        <f>VLOOKUP($B138,update_Allocation!$D$8:$Q$235,update_Allocation!O$239,0)</f>
        <v>685544.0828425478</v>
      </c>
      <c r="Z138" s="262">
        <f t="shared" si="256"/>
        <v>331340.84948827582</v>
      </c>
      <c r="AA138" s="262">
        <f t="shared" si="257"/>
        <v>78966.70194745675</v>
      </c>
      <c r="AB138" s="262">
        <f t="shared" si="258"/>
        <v>110807.42395116598</v>
      </c>
      <c r="AC138" s="263">
        <f t="shared" si="259"/>
        <v>83221.485197666829</v>
      </c>
      <c r="AD138" s="262">
        <f t="shared" si="260"/>
        <v>331340.84948827582</v>
      </c>
      <c r="AE138" s="262">
        <f t="shared" si="261"/>
        <v>78966.70194745675</v>
      </c>
      <c r="AF138" s="262">
        <f t="shared" si="262"/>
        <v>110807.42395116598</v>
      </c>
      <c r="AG138" s="263">
        <f t="shared" si="263"/>
        <v>83221.485197666829</v>
      </c>
      <c r="AH138" s="262">
        <f t="shared" si="264"/>
        <v>331340.84948827582</v>
      </c>
      <c r="AI138" s="262">
        <f t="shared" si="265"/>
        <v>81097.523330287455</v>
      </c>
      <c r="AJ138" s="262">
        <f t="shared" si="266"/>
        <v>110832.76459638625</v>
      </c>
      <c r="AK138" s="262">
        <f t="shared" si="267"/>
        <v>83245.074009632226</v>
      </c>
      <c r="AL138" s="263">
        <f t="shared" si="268"/>
        <v>606516.21142458171</v>
      </c>
      <c r="AM138" s="346"/>
      <c r="AN138" s="261">
        <f>IFERROR(VLOOKUP($A138,'HH &amp; SI'!$B$4:$Z$494,'HH &amp; SI'!V$503,0),0)</f>
        <v>326821.1452399501</v>
      </c>
      <c r="AO138" s="262">
        <f>IFERROR(VLOOKUP($A138,'HH &amp; SI'!$B$4:$Z$494,'HH &amp; SI'!W$503,0),0)</f>
        <v>78426.467412058468</v>
      </c>
      <c r="AP138" s="262">
        <f>IFERROR(VLOOKUP($A138,'HH &amp; SI'!$B$4:$Z$494,'HH &amp; SI'!X$503,0),0)</f>
        <v>109824.78387539888</v>
      </c>
      <c r="AQ138" s="262">
        <f>IFERROR(VLOOKUP($A138,'HH &amp; SI'!$B$4:$Z$494,'HH &amp; SI'!Y$503,0),0)</f>
        <v>82327.863142833783</v>
      </c>
      <c r="AR138" s="263">
        <f t="shared" si="269"/>
        <v>597400.25967024115</v>
      </c>
      <c r="AS138" s="346"/>
      <c r="AT138" s="323">
        <f>IFERROR(VLOOKUP(A138,'Afton FY16 Final'!$A$5:$BV$572,'Afton FY16 Final'!$BV$587,0),0)</f>
        <v>507251.23954507179</v>
      </c>
      <c r="AU138" s="346"/>
      <c r="AV138" s="444">
        <v>0</v>
      </c>
      <c r="AW138" s="262">
        <f>IFERROR(VLOOKUP($A138,'HH &amp; SI'!$B$4:$EY$503,'HH &amp; SI'!EX$503,0),0)</f>
        <v>33462.241060240893</v>
      </c>
      <c r="AX138" s="262">
        <f>IFERROR(VLOOKUP($A138,'HH &amp; SI'!$B$4:$EY$503,'HH &amp; SI'!EY$503,0),0)</f>
        <v>563938.01861000026</v>
      </c>
      <c r="AY138" s="262">
        <f>AX138/$AX$582*'update_State Admin 1004(b)'!$B$30*0.01</f>
        <v>5397.2919534113089</v>
      </c>
      <c r="AZ138" s="263">
        <f t="shared" si="270"/>
        <v>558540.72665658896</v>
      </c>
      <c r="BA138" s="261">
        <f t="shared" si="271"/>
        <v>5585.4072665658896</v>
      </c>
      <c r="BB138" s="262">
        <f t="shared" si="272"/>
        <v>552955.31939002313</v>
      </c>
      <c r="BC138" s="341">
        <f t="shared" si="280"/>
        <v>1.0901014650766374</v>
      </c>
      <c r="BD138" s="346"/>
      <c r="BE138" s="376" t="str">
        <f>'Original Title I &amp; II'!AZ138</f>
        <v/>
      </c>
      <c r="BF138" s="243" t="str">
        <f t="shared" si="273"/>
        <v/>
      </c>
      <c r="BG138" s="263">
        <f t="shared" si="250"/>
        <v>552955.31939002313</v>
      </c>
      <c r="BI138" s="31">
        <f>IFERROR(VLOOKUP(A138,'Title II Hold Harmless'!A$1:B$439,2, FALSE),"")</f>
        <v>23527</v>
      </c>
      <c r="BJ138" s="31">
        <f t="shared" si="274"/>
        <v>35867.36283050941</v>
      </c>
      <c r="BK138" s="31">
        <f t="shared" si="275"/>
        <v>35902.060625325757</v>
      </c>
      <c r="BL138" s="31" t="str">
        <f t="shared" si="276"/>
        <v/>
      </c>
      <c r="BM138" s="31">
        <f t="shared" si="277"/>
        <v>35902.060625325757</v>
      </c>
      <c r="BN138" s="200"/>
      <c r="BP138" s="295" t="s">
        <v>1447</v>
      </c>
      <c r="BQ138" s="296" t="str">
        <f t="shared" si="281"/>
        <v>Y</v>
      </c>
      <c r="BR138" s="297" t="s">
        <v>1448</v>
      </c>
      <c r="BT138" s="295" t="str">
        <f t="shared" si="282"/>
        <v>Y</v>
      </c>
      <c r="BU138" s="296" t="str">
        <f t="shared" si="278"/>
        <v>Y</v>
      </c>
      <c r="BV138" s="296" t="str">
        <f t="shared" si="279"/>
        <v>Y</v>
      </c>
      <c r="BW138" s="297" t="str">
        <f t="shared" si="283"/>
        <v>Y</v>
      </c>
      <c r="BY138" s="352">
        <f t="shared" si="284"/>
        <v>0</v>
      </c>
      <c r="BZ138" s="353">
        <f t="shared" si="285"/>
        <v>0.9</v>
      </c>
      <c r="CA138" s="353">
        <f t="shared" si="286"/>
        <v>0</v>
      </c>
      <c r="CB138" s="354">
        <f t="shared" si="287"/>
        <v>0.9</v>
      </c>
      <c r="CD138" s="311">
        <f t="shared" si="288"/>
        <v>133</v>
      </c>
    </row>
    <row r="139" spans="1:82" outlineLevel="1" x14ac:dyDescent="0.3">
      <c r="A139" s="1">
        <v>70438000</v>
      </c>
      <c r="B139" s="47">
        <f>VLOOKUP(C139,'NCES ID'!$A$2:$B$3136,2,FALSE)</f>
        <v>404500</v>
      </c>
      <c r="C139" s="47">
        <f>VLOOKUP(A139,'State ID'!$A$2:$B$713,2,FALSE)</f>
        <v>4270</v>
      </c>
      <c r="D139" s="147" t="s">
        <v>265</v>
      </c>
      <c r="E139" s="47" t="s">
        <v>7</v>
      </c>
      <c r="F139" s="382">
        <f>IFERROR(VLOOKUP($B139,'update_Formula counts'!$D$7:$R$234,'update_Formula counts'!F$5,0),0)</f>
        <v>1024</v>
      </c>
      <c r="G139" s="382">
        <f>IFERROR(VLOOKUP($B139,'update_Formula counts'!$D$7:$R$234,'update_Formula counts'!G$5,0),0)</f>
        <v>25</v>
      </c>
      <c r="H139" s="382">
        <f>IFERROR(VLOOKUP($B139,'update_Formula counts'!$D$7:$R$234,'update_Formula counts'!H$5,0),0)</f>
        <v>0</v>
      </c>
      <c r="I139" s="382">
        <f>IFERROR(VLOOKUP($B139,'update_Formula counts'!$D$7:$R$234,'update_Formula counts'!I$5,0),0)</f>
        <v>46</v>
      </c>
      <c r="J139" s="382">
        <f>IFERROR(VLOOKUP($B139,'update_Formula counts'!$D$7:$R$234,'update_Formula counts'!J$5,0),0)</f>
        <v>0</v>
      </c>
      <c r="K139" s="382">
        <f t="shared" si="251"/>
        <v>1049</v>
      </c>
      <c r="L139" s="444">
        <f>IFERROR(VLOOKUP($B139,'update_Formula counts'!$D$7:$R$234,'update_Formula counts'!L$5,0),0)</f>
        <v>5307</v>
      </c>
      <c r="M139" s="445">
        <f>IFERROR(VLOOKUP($B139,'update_Formula counts'!$D$7:$R$234,'update_Formula counts'!K$5,0),0)</f>
        <v>1095</v>
      </c>
      <c r="N139" s="446">
        <f>IFERROR(VLOOKUP($B139,'update_Formula counts'!$D$7:$R$234,'update_Formula counts'!M$5,0),0)</f>
        <v>0.20633126059920859</v>
      </c>
      <c r="O139" s="137">
        <f>VLOOKUP($C139,'Final SEA Counts'!$A$2:$F$709,5,FALSE)</f>
        <v>5826</v>
      </c>
      <c r="P139" s="208">
        <f>VLOOKUP($C139,'Final SEA Counts'!$A$2:$F$709,6,FALSE)</f>
        <v>2271</v>
      </c>
      <c r="Q139" s="748">
        <f t="shared" si="252"/>
        <v>-129.25234352739213</v>
      </c>
      <c r="R139" s="444">
        <f t="shared" si="253"/>
        <v>4816.2999113452352</v>
      </c>
      <c r="S139" s="445">
        <f t="shared" si="254"/>
        <v>965.7476564726079</v>
      </c>
      <c r="T139" s="229">
        <f t="shared" si="255"/>
        <v>0.20051651148170838</v>
      </c>
      <c r="U139" s="261">
        <f>VLOOKUP($B139,update_Allocation!$D$8:$Q$235,update_Allocation!K$239,0)</f>
        <v>517814.59786861873</v>
      </c>
      <c r="V139" s="262">
        <f>VLOOKUP($B139,update_Allocation!$D$8:$Q$235,update_Allocation!L$239,0)</f>
        <v>123348.17327331213</v>
      </c>
      <c r="W139" s="262">
        <f>VLOOKUP($B139,update_Allocation!$D$8:$Q$235,update_Allocation!M$239,0)</f>
        <v>185103.17899401658</v>
      </c>
      <c r="X139" s="262">
        <f>VLOOKUP($B139,update_Allocation!$D$8:$Q$235,update_Allocation!N$239,0)</f>
        <v>143598.96715339163</v>
      </c>
      <c r="Y139" s="263">
        <f>VLOOKUP($B139,update_Allocation!$D$8:$Q$235,update_Allocation!O$239,0)</f>
        <v>969864.91728933901</v>
      </c>
      <c r="Z139" s="262">
        <f t="shared" si="256"/>
        <v>456375.13231404038</v>
      </c>
      <c r="AA139" s="262">
        <f t="shared" si="257"/>
        <v>108765.45739932724</v>
      </c>
      <c r="AB139" s="262">
        <f t="shared" si="258"/>
        <v>163179.23244747645</v>
      </c>
      <c r="AC139" s="263">
        <f t="shared" si="259"/>
        <v>126665.0773249956</v>
      </c>
      <c r="AD139" s="262">
        <f t="shared" si="260"/>
        <v>456375.13231404038</v>
      </c>
      <c r="AE139" s="262">
        <f t="shared" si="261"/>
        <v>108765.45739932724</v>
      </c>
      <c r="AF139" s="262">
        <f t="shared" si="262"/>
        <v>163179.23244747645</v>
      </c>
      <c r="AG139" s="263">
        <f t="shared" si="263"/>
        <v>126665.0773249956</v>
      </c>
      <c r="AH139" s="262">
        <f t="shared" si="264"/>
        <v>456375.13231404038</v>
      </c>
      <c r="AI139" s="262">
        <f t="shared" si="265"/>
        <v>110896.27878215795</v>
      </c>
      <c r="AJ139" s="262">
        <f t="shared" si="266"/>
        <v>163204.57309269669</v>
      </c>
      <c r="AK139" s="262">
        <f t="shared" si="267"/>
        <v>126688.66613696099</v>
      </c>
      <c r="AL139" s="263">
        <f t="shared" si="268"/>
        <v>857164.65032585606</v>
      </c>
      <c r="AM139" s="346"/>
      <c r="AN139" s="261">
        <f>IFERROR(VLOOKUP($A139,'HH &amp; SI'!$B$4:$Z$494,'HH &amp; SI'!V$503,0),0)</f>
        <v>450149.87929276156</v>
      </c>
      <c r="AO139" s="262">
        <f>IFERROR(VLOOKUP($A139,'HH &amp; SI'!$B$4:$Z$494,'HH &amp; SI'!W$503,0),0)</f>
        <v>107243.76080643293</v>
      </c>
      <c r="AP139" s="262">
        <f>IFERROR(VLOOKUP($A139,'HH &amp; SI'!$B$4:$Z$494,'HH &amp; SI'!X$503,0),0)</f>
        <v>161720.29122123486</v>
      </c>
      <c r="AQ139" s="262">
        <f>IFERROR(VLOOKUP($A139,'HH &amp; SI'!$B$4:$Z$494,'HH &amp; SI'!Y$503,0),0)</f>
        <v>125292.78508737992</v>
      </c>
      <c r="AR139" s="263">
        <f t="shared" si="269"/>
        <v>844406.71640780917</v>
      </c>
      <c r="AS139" s="346"/>
      <c r="AT139" s="323">
        <f>IFERROR(VLOOKUP(A139,'Afton FY16 Final'!$A$5:$BV$572,'Afton FY16 Final'!$BV$587,0),0)</f>
        <v>781402.67271560838</v>
      </c>
      <c r="AU139" s="346"/>
      <c r="AV139" s="444">
        <v>0</v>
      </c>
      <c r="AW139" s="262">
        <f>IFERROR(VLOOKUP($A139,'HH &amp; SI'!$B$4:$EY$503,'HH &amp; SI'!EX$503,0),0)</f>
        <v>47297.838659998844</v>
      </c>
      <c r="AX139" s="262">
        <f>IFERROR(VLOOKUP($A139,'HH &amp; SI'!$B$4:$EY$503,'HH &amp; SI'!EY$503,0),0)</f>
        <v>797108.87774781033</v>
      </c>
      <c r="AY139" s="262">
        <f>AX139/$AX$582*'update_State Admin 1004(b)'!$B$30*0.01</f>
        <v>7628.9045779625758</v>
      </c>
      <c r="AZ139" s="263">
        <f t="shared" si="270"/>
        <v>789479.97316984774</v>
      </c>
      <c r="BA139" s="261">
        <f t="shared" si="271"/>
        <v>7894.7997316984774</v>
      </c>
      <c r="BB139" s="262">
        <f t="shared" si="272"/>
        <v>781585.17343814927</v>
      </c>
      <c r="BC139" s="341">
        <f t="shared" si="280"/>
        <v>1.0002335552832275</v>
      </c>
      <c r="BD139" s="346"/>
      <c r="BE139" s="376" t="str">
        <f>'Original Title I &amp; II'!AZ139</f>
        <v/>
      </c>
      <c r="BF139" s="243" t="str">
        <f t="shared" si="273"/>
        <v/>
      </c>
      <c r="BG139" s="263">
        <f t="shared" si="250"/>
        <v>781585.17343814927</v>
      </c>
      <c r="BI139" s="31">
        <f>IFERROR(VLOOKUP(A139,'Title II Hold Harmless'!A$1:B$439,2, FALSE),"")</f>
        <v>125018</v>
      </c>
      <c r="BJ139" s="31">
        <f t="shared" si="274"/>
        <v>141536.65537087529</v>
      </c>
      <c r="BK139" s="31">
        <f t="shared" si="275"/>
        <v>141673.57677907188</v>
      </c>
      <c r="BL139" s="31" t="str">
        <f t="shared" si="276"/>
        <v/>
      </c>
      <c r="BM139" s="31">
        <f t="shared" si="277"/>
        <v>141673.57677907188</v>
      </c>
      <c r="BN139" s="200"/>
      <c r="BP139" s="295" t="s">
        <v>1447</v>
      </c>
      <c r="BQ139" s="296" t="str">
        <f t="shared" si="281"/>
        <v>Y</v>
      </c>
      <c r="BR139" s="297" t="s">
        <v>1448</v>
      </c>
      <c r="BT139" s="295" t="str">
        <f t="shared" si="282"/>
        <v>Y</v>
      </c>
      <c r="BU139" s="296" t="str">
        <f t="shared" si="278"/>
        <v>Y</v>
      </c>
      <c r="BV139" s="296" t="str">
        <f t="shared" si="279"/>
        <v>Y</v>
      </c>
      <c r="BW139" s="297" t="str">
        <f t="shared" si="283"/>
        <v>Y</v>
      </c>
      <c r="BY139" s="352">
        <f t="shared" si="284"/>
        <v>0</v>
      </c>
      <c r="BZ139" s="353">
        <f t="shared" si="285"/>
        <v>0.9</v>
      </c>
      <c r="CA139" s="353">
        <f t="shared" si="286"/>
        <v>0</v>
      </c>
      <c r="CB139" s="354">
        <f t="shared" si="287"/>
        <v>0.9</v>
      </c>
      <c r="CD139" s="311">
        <f t="shared" si="288"/>
        <v>134</v>
      </c>
    </row>
    <row r="140" spans="1:82" outlineLevel="1" x14ac:dyDescent="0.3">
      <c r="A140" s="1">
        <v>70445000</v>
      </c>
      <c r="B140" s="47">
        <f>VLOOKUP(C140,'NCES ID'!$A$2:$B$3136,2,FALSE)</f>
        <v>403060</v>
      </c>
      <c r="C140" s="47">
        <f>VLOOKUP(A140,'State ID'!$A$2:$B$713,2,FALSE)</f>
        <v>4273</v>
      </c>
      <c r="D140" s="147" t="s">
        <v>172</v>
      </c>
      <c r="E140" s="47" t="s">
        <v>7</v>
      </c>
      <c r="F140" s="382">
        <f>IFERROR(VLOOKUP($B140,'update_Formula counts'!$D$7:$R$234,'update_Formula counts'!F$5,0),0)</f>
        <v>2057</v>
      </c>
      <c r="G140" s="382">
        <f>IFERROR(VLOOKUP($B140,'update_Formula counts'!$D$7:$R$234,'update_Formula counts'!G$5,0),0)</f>
        <v>0</v>
      </c>
      <c r="H140" s="382">
        <f>IFERROR(VLOOKUP($B140,'update_Formula counts'!$D$7:$R$234,'update_Formula counts'!H$5,0),0)</f>
        <v>0</v>
      </c>
      <c r="I140" s="382">
        <f>IFERROR(VLOOKUP($B140,'update_Formula counts'!$D$7:$R$234,'update_Formula counts'!I$5,0),0)</f>
        <v>93</v>
      </c>
      <c r="J140" s="382">
        <f>IFERROR(VLOOKUP($B140,'update_Formula counts'!$D$7:$R$234,'update_Formula counts'!J$5,0),0)</f>
        <v>0</v>
      </c>
      <c r="K140" s="382">
        <f t="shared" si="251"/>
        <v>2057</v>
      </c>
      <c r="L140" s="444">
        <f>IFERROR(VLOOKUP($B140,'update_Formula counts'!$D$7:$R$234,'update_Formula counts'!L$5,0),0)</f>
        <v>5689</v>
      </c>
      <c r="M140" s="445">
        <f>IFERROR(VLOOKUP($B140,'update_Formula counts'!$D$7:$R$234,'update_Formula counts'!K$5,0),0)</f>
        <v>2150</v>
      </c>
      <c r="N140" s="446">
        <f>IFERROR(VLOOKUP($B140,'update_Formula counts'!$D$7:$R$234,'update_Formula counts'!M$5,0),0)</f>
        <v>0.37792230620495693</v>
      </c>
      <c r="O140" s="137">
        <f>VLOOKUP($C140,'Final SEA Counts'!$A$2:$F$709,5,FALSE)</f>
        <v>4625</v>
      </c>
      <c r="P140" s="208">
        <f>VLOOKUP($C140,'Final SEA Counts'!$A$2:$F$709,6,FALSE)</f>
        <v>4101</v>
      </c>
      <c r="Q140" s="748">
        <f t="shared" si="252"/>
        <v>-259.74105387955979</v>
      </c>
      <c r="R140" s="444">
        <f t="shared" si="253"/>
        <v>5162.97912109347</v>
      </c>
      <c r="S140" s="445">
        <f t="shared" si="254"/>
        <v>1890.2589461204402</v>
      </c>
      <c r="T140" s="229">
        <f t="shared" si="255"/>
        <v>0.36611787531693551</v>
      </c>
      <c r="U140" s="261">
        <f>VLOOKUP($B140,update_Allocation!$D$8:$Q$235,update_Allocation!K$239,0)</f>
        <v>1016713.5939886121</v>
      </c>
      <c r="V140" s="262">
        <f>VLOOKUP($B140,update_Allocation!$D$8:$Q$235,update_Allocation!L$239,0)</f>
        <v>242190.47720330686</v>
      </c>
      <c r="W140" s="262">
        <f>VLOOKUP($B140,update_Allocation!$D$8:$Q$235,update_Allocation!M$239,0)</f>
        <v>584068.337858674</v>
      </c>
      <c r="X140" s="262">
        <f>VLOOKUP($B140,update_Allocation!$D$8:$Q$235,update_Allocation!N$239,0)</f>
        <v>528267.76725546992</v>
      </c>
      <c r="Y140" s="263">
        <f>VLOOKUP($B140,update_Allocation!$D$8:$Q$235,update_Allocation!O$239,0)</f>
        <v>2371240.1763060633</v>
      </c>
      <c r="Z140" s="262">
        <f t="shared" si="256"/>
        <v>896079.02691797877</v>
      </c>
      <c r="AA140" s="262">
        <f t="shared" si="257"/>
        <v>213557.74740507168</v>
      </c>
      <c r="AB140" s="262">
        <f t="shared" si="258"/>
        <v>514890.25518968853</v>
      </c>
      <c r="AC140" s="263">
        <f t="shared" si="259"/>
        <v>465971.8583925516</v>
      </c>
      <c r="AD140" s="262">
        <f t="shared" si="260"/>
        <v>896079.02691797877</v>
      </c>
      <c r="AE140" s="262">
        <f t="shared" si="261"/>
        <v>213557.74740507168</v>
      </c>
      <c r="AF140" s="262">
        <f t="shared" si="262"/>
        <v>514890.25518968853</v>
      </c>
      <c r="AG140" s="263">
        <f t="shared" si="263"/>
        <v>465971.8583925516</v>
      </c>
      <c r="AH140" s="262">
        <f t="shared" si="264"/>
        <v>896079.02691797877</v>
      </c>
      <c r="AI140" s="262">
        <f t="shared" si="265"/>
        <v>215688.56878790239</v>
      </c>
      <c r="AJ140" s="262">
        <f t="shared" si="266"/>
        <v>514915.59583490877</v>
      </c>
      <c r="AK140" s="262">
        <f t="shared" si="267"/>
        <v>465995.44720451703</v>
      </c>
      <c r="AL140" s="263">
        <f t="shared" si="268"/>
        <v>2092678.638745307</v>
      </c>
      <c r="AM140" s="346"/>
      <c r="AN140" s="261">
        <f>IFERROR(VLOOKUP($A140,'HH &amp; SI'!$B$4:$Z$494,'HH &amp; SI'!V$503,0),0)</f>
        <v>883855.92737848149</v>
      </c>
      <c r="AO140" s="262">
        <f>IFERROR(VLOOKUP($A140,'HH &amp; SI'!$B$4:$Z$494,'HH &amp; SI'!W$503,0),0)</f>
        <v>208584.57590998293</v>
      </c>
      <c r="AP140" s="262">
        <f>IFERROR(VLOOKUP($A140,'HH &amp; SI'!$B$4:$Z$494,'HH &amp; SI'!X$503,0),0)</f>
        <v>510232.63953198324</v>
      </c>
      <c r="AQ140" s="262">
        <f>IFERROR(VLOOKUP($A140,'HH &amp; SI'!$B$4:$Z$494,'HH &amp; SI'!Y$503,0),0)</f>
        <v>460861.0162109771</v>
      </c>
      <c r="AR140" s="263">
        <f t="shared" si="269"/>
        <v>2063534.1590314247</v>
      </c>
      <c r="AS140" s="346"/>
      <c r="AT140" s="323">
        <f>IFERROR(VLOOKUP(A140,'Afton FY16 Final'!$A$5:$BV$572,'Afton FY16 Final'!$BV$587,0),0)</f>
        <v>1748382.8673968122</v>
      </c>
      <c r="AU140" s="346"/>
      <c r="AV140" s="444">
        <v>0</v>
      </c>
      <c r="AW140" s="262">
        <f>IFERROR(VLOOKUP($A140,'HH &amp; SI'!$B$4:$EY$503,'HH &amp; SI'!EX$503,0),0)</f>
        <v>115584.94719045772</v>
      </c>
      <c r="AX140" s="262">
        <f>IFERROR(VLOOKUP($A140,'HH &amp; SI'!$B$4:$EY$503,'HH &amp; SI'!EY$503,0),0)</f>
        <v>1947949.2118409669</v>
      </c>
      <c r="AY140" s="262">
        <f>AX140/$AX$582*'update_State Admin 1004(b)'!$B$30*0.01</f>
        <v>18643.273302689002</v>
      </c>
      <c r="AZ140" s="263">
        <f t="shared" si="270"/>
        <v>1929305.938538278</v>
      </c>
      <c r="BA140" s="261">
        <f t="shared" si="271"/>
        <v>19293.059385382781</v>
      </c>
      <c r="BB140" s="262">
        <f t="shared" si="272"/>
        <v>1910012.8791528952</v>
      </c>
      <c r="BC140" s="341">
        <f t="shared" si="280"/>
        <v>1.0924454333030247</v>
      </c>
      <c r="BD140" s="346"/>
      <c r="BE140" s="376" t="str">
        <f>'Original Title I &amp; II'!AZ140</f>
        <v/>
      </c>
      <c r="BF140" s="243" t="str">
        <f t="shared" si="273"/>
        <v/>
      </c>
      <c r="BG140" s="263">
        <f t="shared" si="250"/>
        <v>1910012.8791528952</v>
      </c>
      <c r="BI140" s="31">
        <f>IFERROR(VLOOKUP(A140,'Title II Hold Harmless'!A$1:B$439,2, FALSE),"")</f>
        <v>87850</v>
      </c>
      <c r="BJ140" s="31">
        <f t="shared" si="274"/>
        <v>116750.34054612629</v>
      </c>
      <c r="BK140" s="31">
        <f t="shared" si="275"/>
        <v>116863.28387513966</v>
      </c>
      <c r="BL140" s="31" t="str">
        <f t="shared" si="276"/>
        <v/>
      </c>
      <c r="BM140" s="31">
        <f t="shared" si="277"/>
        <v>116863.28387513966</v>
      </c>
      <c r="BN140" s="200"/>
      <c r="BP140" s="295" t="s">
        <v>1447</v>
      </c>
      <c r="BQ140" s="296" t="str">
        <f t="shared" si="281"/>
        <v>Y</v>
      </c>
      <c r="BR140" s="297" t="s">
        <v>1448</v>
      </c>
      <c r="BT140" s="295" t="str">
        <f t="shared" si="282"/>
        <v>Y</v>
      </c>
      <c r="BU140" s="296" t="str">
        <f t="shared" si="278"/>
        <v>Y</v>
      </c>
      <c r="BV140" s="296" t="str">
        <f t="shared" si="279"/>
        <v>Y</v>
      </c>
      <c r="BW140" s="297" t="str">
        <f t="shared" si="283"/>
        <v>Y</v>
      </c>
      <c r="BY140" s="352">
        <f t="shared" si="284"/>
        <v>0</v>
      </c>
      <c r="BZ140" s="353">
        <f t="shared" si="285"/>
        <v>0</v>
      </c>
      <c r="CA140" s="353">
        <f t="shared" si="286"/>
        <v>0.95</v>
      </c>
      <c r="CB140" s="354">
        <f t="shared" si="287"/>
        <v>0.95</v>
      </c>
      <c r="CD140" s="311">
        <f t="shared" si="288"/>
        <v>135</v>
      </c>
    </row>
    <row r="141" spans="1:82" outlineLevel="1" x14ac:dyDescent="0.3">
      <c r="A141" s="1">
        <v>70433000</v>
      </c>
      <c r="B141" s="47">
        <f>VLOOKUP(C141,'NCES ID'!$A$2:$B$3136,2,FALSE)</f>
        <v>401380</v>
      </c>
      <c r="C141" s="47">
        <f>VLOOKUP(A141,'State ID'!$A$2:$B$713,2,FALSE)</f>
        <v>4269</v>
      </c>
      <c r="D141" s="147" t="s">
        <v>79</v>
      </c>
      <c r="E141" s="47" t="s">
        <v>7</v>
      </c>
      <c r="F141" s="382">
        <f>IFERROR(VLOOKUP($B141,'update_Formula counts'!$D$7:$R$234,'update_Formula counts'!F$5,0),0)</f>
        <v>1430</v>
      </c>
      <c r="G141" s="382">
        <f>IFERROR(VLOOKUP($B141,'update_Formula counts'!$D$7:$R$234,'update_Formula counts'!G$5,0),0)</f>
        <v>0</v>
      </c>
      <c r="H141" s="382">
        <f>IFERROR(VLOOKUP($B141,'update_Formula counts'!$D$7:$R$234,'update_Formula counts'!H$5,0),0)</f>
        <v>0</v>
      </c>
      <c r="I141" s="382">
        <f>IFERROR(VLOOKUP($B141,'update_Formula counts'!$D$7:$R$234,'update_Formula counts'!I$5,0),0)</f>
        <v>65</v>
      </c>
      <c r="J141" s="382">
        <f>IFERROR(VLOOKUP($B141,'update_Formula counts'!$D$7:$R$234,'update_Formula counts'!J$5,0),0)</f>
        <v>0</v>
      </c>
      <c r="K141" s="382">
        <f t="shared" si="251"/>
        <v>1430</v>
      </c>
      <c r="L141" s="444">
        <f>IFERROR(VLOOKUP($B141,'update_Formula counts'!$D$7:$R$234,'update_Formula counts'!L$5,0),0)</f>
        <v>5951</v>
      </c>
      <c r="M141" s="445">
        <f>IFERROR(VLOOKUP($B141,'update_Formula counts'!$D$7:$R$234,'update_Formula counts'!K$5,0),0)</f>
        <v>1495</v>
      </c>
      <c r="N141" s="446">
        <f>IFERROR(VLOOKUP($B141,'update_Formula counts'!$D$7:$R$234,'update_Formula counts'!M$5,0),0)</f>
        <v>0.25121828264157287</v>
      </c>
      <c r="O141" s="137">
        <f>VLOOKUP($C141,'Final SEA Counts'!$A$2:$F$709,5,FALSE)</f>
        <v>5147</v>
      </c>
      <c r="P141" s="208">
        <f>VLOOKUP($C141,'Final SEA Counts'!$A$2:$F$709,6,FALSE)</f>
        <v>3268</v>
      </c>
      <c r="Q141" s="748">
        <f t="shared" si="252"/>
        <v>-180.56794410686396</v>
      </c>
      <c r="R141" s="444">
        <f t="shared" si="253"/>
        <v>5400.7538670464473</v>
      </c>
      <c r="S141" s="445">
        <f t="shared" si="254"/>
        <v>1314.4320558931361</v>
      </c>
      <c r="T141" s="229">
        <f t="shared" si="255"/>
        <v>0.24337936670533181</v>
      </c>
      <c r="U141" s="261">
        <f>VLOOKUP($B141,update_Allocation!$D$8:$Q$235,update_Allocation!K$239,0)</f>
        <v>706970.61535487208</v>
      </c>
      <c r="V141" s="262">
        <f>VLOOKUP($B141,update_Allocation!$D$8:$Q$235,update_Allocation!L$239,0)</f>
        <v>168406.86670648554</v>
      </c>
      <c r="W141" s="262">
        <f>VLOOKUP($B141,update_Allocation!$D$8:$Q$235,update_Allocation!M$239,0)</f>
        <v>293325.18332484178</v>
      </c>
      <c r="X141" s="262">
        <f>VLOOKUP($B141,update_Allocation!$D$8:$Q$235,update_Allocation!N$239,0)</f>
        <v>226721.17393201092</v>
      </c>
      <c r="Y141" s="263">
        <f>VLOOKUP($B141,update_Allocation!$D$8:$Q$235,update_Allocation!O$239,0)</f>
        <v>1395423.8393182105</v>
      </c>
      <c r="Z141" s="262">
        <f t="shared" si="256"/>
        <v>623087.50941505958</v>
      </c>
      <c r="AA141" s="262">
        <f t="shared" si="257"/>
        <v>148497.13133515455</v>
      </c>
      <c r="AB141" s="262">
        <f t="shared" si="258"/>
        <v>258583.23197145207</v>
      </c>
      <c r="AC141" s="263">
        <f t="shared" si="259"/>
        <v>199985.10850454721</v>
      </c>
      <c r="AD141" s="262">
        <f t="shared" si="260"/>
        <v>623087.50941505958</v>
      </c>
      <c r="AE141" s="262">
        <f t="shared" si="261"/>
        <v>148497.13133515455</v>
      </c>
      <c r="AF141" s="262">
        <f t="shared" si="262"/>
        <v>258583.23197145207</v>
      </c>
      <c r="AG141" s="263">
        <f t="shared" si="263"/>
        <v>199985.10850454721</v>
      </c>
      <c r="AH141" s="262">
        <f t="shared" si="264"/>
        <v>623087.50941505958</v>
      </c>
      <c r="AI141" s="262">
        <f t="shared" si="265"/>
        <v>150627.95271798526</v>
      </c>
      <c r="AJ141" s="262">
        <f t="shared" si="266"/>
        <v>258608.57261667232</v>
      </c>
      <c r="AK141" s="262">
        <f t="shared" si="267"/>
        <v>200008.69731651261</v>
      </c>
      <c r="AL141" s="263">
        <f t="shared" si="268"/>
        <v>1232332.7320662299</v>
      </c>
      <c r="AM141" s="346"/>
      <c r="AN141" s="261">
        <f>IFERROR(VLOOKUP($A141,'HH &amp; SI'!$B$4:$Z$494,'HH &amp; SI'!V$503,0),0)</f>
        <v>614588.19136317656</v>
      </c>
      <c r="AO141" s="262">
        <f>IFERROR(VLOOKUP($A141,'HH &amp; SI'!$B$4:$Z$494,'HH &amp; SI'!W$503,0),0)</f>
        <v>145666.81866559884</v>
      </c>
      <c r="AP141" s="262">
        <f>IFERROR(VLOOKUP($A141,'HH &amp; SI'!$B$4:$Z$494,'HH &amp; SI'!X$503,0),0)</f>
        <v>256256.62861862316</v>
      </c>
      <c r="AQ141" s="262">
        <f>IFERROR(VLOOKUP($A141,'HH &amp; SI'!$B$4:$Z$494,'HH &amp; SI'!Y$503,0),0)</f>
        <v>197804.96150613087</v>
      </c>
      <c r="AR141" s="263">
        <f t="shared" si="269"/>
        <v>1214316.6001535296</v>
      </c>
      <c r="AS141" s="346"/>
      <c r="AT141" s="323">
        <f>IFERROR(VLOOKUP(A141,'Afton FY16 Final'!$A$5:$BV$572,'Afton FY16 Final'!$BV$587,0),0)</f>
        <v>1029813.2740337856</v>
      </c>
      <c r="AU141" s="346"/>
      <c r="AV141" s="444">
        <v>0</v>
      </c>
      <c r="AW141" s="262">
        <f>IFERROR(VLOOKUP($A141,'HH &amp; SI'!$B$4:$EY$503,'HH &amp; SI'!EX$503,0),0)</f>
        <v>68017.638325464912</v>
      </c>
      <c r="AX141" s="262">
        <f>IFERROR(VLOOKUP($A141,'HH &amp; SI'!$B$4:$EY$503,'HH &amp; SI'!EY$503,0),0)</f>
        <v>1146298.9618280646</v>
      </c>
      <c r="AY141" s="262">
        <f>AX141/$AX$582*'update_State Admin 1004(b)'!$B$30*0.01</f>
        <v>10970.904529770674</v>
      </c>
      <c r="AZ141" s="263">
        <f t="shared" si="270"/>
        <v>1135328.057298294</v>
      </c>
      <c r="BA141" s="261">
        <f t="shared" si="271"/>
        <v>11353.28057298294</v>
      </c>
      <c r="BB141" s="262">
        <f t="shared" si="272"/>
        <v>1123974.7767253111</v>
      </c>
      <c r="BC141" s="341">
        <f t="shared" si="280"/>
        <v>1.0914355107530265</v>
      </c>
      <c r="BD141" s="346"/>
      <c r="BE141" s="376" t="str">
        <f>'Original Title I &amp; II'!AZ141</f>
        <v/>
      </c>
      <c r="BF141" s="243" t="str">
        <f t="shared" si="273"/>
        <v/>
      </c>
      <c r="BG141" s="263">
        <f t="shared" si="250"/>
        <v>1123974.7767253111</v>
      </c>
      <c r="BI141" s="31">
        <f>IFERROR(VLOOKUP(A141,'Title II Hold Harmless'!A$1:B$439,2, FALSE),"")</f>
        <v>51602</v>
      </c>
      <c r="BJ141" s="31">
        <f t="shared" si="274"/>
        <v>73155.613702226576</v>
      </c>
      <c r="BK141" s="31">
        <f t="shared" si="275"/>
        <v>73226.383847383302</v>
      </c>
      <c r="BL141" s="31" t="str">
        <f t="shared" si="276"/>
        <v/>
      </c>
      <c r="BM141" s="31">
        <f t="shared" si="277"/>
        <v>73226.383847383302</v>
      </c>
      <c r="BN141" s="200"/>
      <c r="BP141" s="295" t="s">
        <v>1447</v>
      </c>
      <c r="BQ141" s="296" t="str">
        <f t="shared" si="281"/>
        <v>Y</v>
      </c>
      <c r="BR141" s="297" t="s">
        <v>1448</v>
      </c>
      <c r="BT141" s="295" t="str">
        <f t="shared" si="282"/>
        <v>Y</v>
      </c>
      <c r="BU141" s="296" t="str">
        <f t="shared" si="278"/>
        <v>Y</v>
      </c>
      <c r="BV141" s="296" t="str">
        <f t="shared" si="279"/>
        <v>Y</v>
      </c>
      <c r="BW141" s="297" t="str">
        <f t="shared" si="283"/>
        <v>Y</v>
      </c>
      <c r="BY141" s="352">
        <f t="shared" si="284"/>
        <v>0</v>
      </c>
      <c r="BZ141" s="353">
        <f t="shared" si="285"/>
        <v>0.9</v>
      </c>
      <c r="CA141" s="353">
        <f t="shared" si="286"/>
        <v>0</v>
      </c>
      <c r="CB141" s="354">
        <f t="shared" si="287"/>
        <v>0.9</v>
      </c>
      <c r="CD141" s="311">
        <f t="shared" si="288"/>
        <v>136</v>
      </c>
    </row>
    <row r="142" spans="1:82" outlineLevel="1" x14ac:dyDescent="0.3">
      <c r="A142" s="1">
        <v>70465000</v>
      </c>
      <c r="B142" s="47">
        <f>VLOOKUP(C142,'NCES ID'!$A$2:$B$3136,2,FALSE)</f>
        <v>404440</v>
      </c>
      <c r="C142" s="47">
        <f>VLOOKUP(A142,'State ID'!$A$2:$B$713,2,FALSE)</f>
        <v>4278</v>
      </c>
      <c r="D142" s="147" t="s">
        <v>264</v>
      </c>
      <c r="E142" s="47" t="s">
        <v>7</v>
      </c>
      <c r="F142" s="382">
        <f>IFERROR(VLOOKUP($B142,'update_Formula counts'!$D$7:$R$234,'update_Formula counts'!F$5,0),0)</f>
        <v>1548</v>
      </c>
      <c r="G142" s="382">
        <f>IFERROR(VLOOKUP($B142,'update_Formula counts'!$D$7:$R$234,'update_Formula counts'!G$5,0),0)</f>
        <v>38</v>
      </c>
      <c r="H142" s="382">
        <f>IFERROR(VLOOKUP($B142,'update_Formula counts'!$D$7:$R$234,'update_Formula counts'!H$5,0),0)</f>
        <v>0</v>
      </c>
      <c r="I142" s="382">
        <f>IFERROR(VLOOKUP($B142,'update_Formula counts'!$D$7:$R$234,'update_Formula counts'!I$5,0),0)</f>
        <v>70</v>
      </c>
      <c r="J142" s="382">
        <f>IFERROR(VLOOKUP($B142,'update_Formula counts'!$D$7:$R$234,'update_Formula counts'!J$5,0),0)</f>
        <v>0</v>
      </c>
      <c r="K142" s="382">
        <f t="shared" si="251"/>
        <v>1586</v>
      </c>
      <c r="L142" s="444">
        <f>IFERROR(VLOOKUP($B142,'update_Formula counts'!$D$7:$R$234,'update_Formula counts'!L$5,0),0)</f>
        <v>6834</v>
      </c>
      <c r="M142" s="445">
        <f>IFERROR(VLOOKUP($B142,'update_Formula counts'!$D$7:$R$234,'update_Formula counts'!K$5,0),0)</f>
        <v>1656</v>
      </c>
      <c r="N142" s="446">
        <f>IFERROR(VLOOKUP($B142,'update_Formula counts'!$D$7:$R$234,'update_Formula counts'!M$5,0),0)</f>
        <v>0.24231782265144863</v>
      </c>
      <c r="O142" s="137">
        <f>VLOOKUP($C142,'Final SEA Counts'!$A$2:$F$709,5,FALSE)</f>
        <v>5644</v>
      </c>
      <c r="P142" s="208">
        <f>VLOOKUP($C142,'Final SEA Counts'!$A$2:$F$709,6,FALSE)</f>
        <v>4993</v>
      </c>
      <c r="Q142" s="748">
        <f t="shared" si="252"/>
        <v>-195.39184028810831</v>
      </c>
      <c r="R142" s="444">
        <f t="shared" si="253"/>
        <v>6202.1092131398791</v>
      </c>
      <c r="S142" s="445">
        <f t="shared" si="254"/>
        <v>1460.6081597118916</v>
      </c>
      <c r="T142" s="229">
        <f t="shared" si="255"/>
        <v>0.2355018445366015</v>
      </c>
      <c r="U142" s="261">
        <f>VLOOKUP($B142,update_Allocation!$D$8:$Q$235,update_Allocation!K$239,0)</f>
        <v>783105.91239308892</v>
      </c>
      <c r="V142" s="262">
        <f>VLOOKUP($B142,update_Allocation!$D$8:$Q$235,update_Allocation!L$239,0)</f>
        <v>186542.99081333776</v>
      </c>
      <c r="W142" s="262">
        <f>VLOOKUP($B142,update_Allocation!$D$8:$Q$235,update_Allocation!M$239,0)</f>
        <v>315146.23285009066</v>
      </c>
      <c r="X142" s="262">
        <f>VLOOKUP($B142,update_Allocation!$D$8:$Q$235,update_Allocation!N$239,0)</f>
        <v>240158.5109452293</v>
      </c>
      <c r="Y142" s="263">
        <f>VLOOKUP($B142,update_Allocation!$D$8:$Q$235,update_Allocation!O$239,0)</f>
        <v>1524953.6470017466</v>
      </c>
      <c r="Z142" s="262">
        <f t="shared" si="256"/>
        <v>690189.24119821982</v>
      </c>
      <c r="AA142" s="262">
        <f t="shared" si="257"/>
        <v>164489.130094325</v>
      </c>
      <c r="AB142" s="262">
        <f t="shared" si="258"/>
        <v>277819.75795701379</v>
      </c>
      <c r="AC142" s="263">
        <f t="shared" si="259"/>
        <v>211837.84926975914</v>
      </c>
      <c r="AD142" s="262">
        <f t="shared" si="260"/>
        <v>690189.24119821982</v>
      </c>
      <c r="AE142" s="262">
        <f t="shared" si="261"/>
        <v>164489.130094325</v>
      </c>
      <c r="AF142" s="262">
        <f t="shared" si="262"/>
        <v>277819.75795701379</v>
      </c>
      <c r="AG142" s="263">
        <f t="shared" si="263"/>
        <v>211837.84926975914</v>
      </c>
      <c r="AH142" s="262">
        <f t="shared" si="264"/>
        <v>690189.24119821982</v>
      </c>
      <c r="AI142" s="262">
        <f t="shared" si="265"/>
        <v>166619.9514771557</v>
      </c>
      <c r="AJ142" s="262">
        <f t="shared" si="266"/>
        <v>277845.09860223404</v>
      </c>
      <c r="AK142" s="262">
        <f t="shared" si="267"/>
        <v>211861.43808172454</v>
      </c>
      <c r="AL142" s="263">
        <f t="shared" si="268"/>
        <v>1346515.7293593341</v>
      </c>
      <c r="AM142" s="346"/>
      <c r="AN142" s="261">
        <f>IFERROR(VLOOKUP($A142,'HH &amp; SI'!$B$4:$Z$494,'HH &amp; SI'!V$503,0),0)</f>
        <v>680774.61197151872</v>
      </c>
      <c r="AO142" s="262">
        <f>IFERROR(VLOOKUP($A142,'HH &amp; SI'!$B$4:$Z$494,'HH &amp; SI'!W$503,0),0)</f>
        <v>161132.09945391308</v>
      </c>
      <c r="AP142" s="262">
        <f>IFERROR(VLOOKUP($A142,'HH &amp; SI'!$B$4:$Z$494,'HH &amp; SI'!X$503,0),0)</f>
        <v>275318.20591096376</v>
      </c>
      <c r="AQ142" s="262">
        <f>IFERROR(VLOOKUP($A142,'HH &amp; SI'!$B$4:$Z$494,'HH &amp; SI'!Y$503,0),0)</f>
        <v>209527.1064041334</v>
      </c>
      <c r="AR142" s="263">
        <f t="shared" si="269"/>
        <v>1326752.0237405288</v>
      </c>
      <c r="AS142" s="346"/>
      <c r="AT142" s="323">
        <f>IFERROR(VLOOKUP(A142,'Afton FY16 Final'!$A$5:$BV$572,'Afton FY16 Final'!$BV$587,0),0)</f>
        <v>1103670.028423111</v>
      </c>
      <c r="AU142" s="346"/>
      <c r="AV142" s="444">
        <v>0</v>
      </c>
      <c r="AW142" s="262">
        <f>IFERROR(VLOOKUP($A142,'HH &amp; SI'!$B$4:$EY$503,'HH &amp; SI'!EX$503,0),0)</f>
        <v>74315.495058663189</v>
      </c>
      <c r="AX142" s="262">
        <f>IFERROR(VLOOKUP($A142,'HH &amp; SI'!$B$4:$EY$503,'HH &amp; SI'!EY$503,0),0)</f>
        <v>1252436.5286818657</v>
      </c>
      <c r="AY142" s="262">
        <f>AX142/$AX$582*'update_State Admin 1004(b)'!$B$30*0.01</f>
        <v>11986.717290447201</v>
      </c>
      <c r="AZ142" s="263">
        <f t="shared" si="270"/>
        <v>1240449.8113914186</v>
      </c>
      <c r="BA142" s="261">
        <f t="shared" si="271"/>
        <v>12404.498113914186</v>
      </c>
      <c r="BB142" s="262">
        <f t="shared" si="272"/>
        <v>1228045.3132775044</v>
      </c>
      <c r="BC142" s="341">
        <f t="shared" si="280"/>
        <v>1.1126924548563641</v>
      </c>
      <c r="BD142" s="346"/>
      <c r="BE142" s="376" t="str">
        <f>'Original Title I &amp; II'!AZ142</f>
        <v/>
      </c>
      <c r="BF142" s="243" t="str">
        <f t="shared" si="273"/>
        <v/>
      </c>
      <c r="BG142" s="263">
        <f t="shared" si="250"/>
        <v>1228045.3132775044</v>
      </c>
      <c r="BI142" s="31">
        <f>IFERROR(VLOOKUP(A142,'Title II Hold Harmless'!A$1:B$439,2, FALSE),"")</f>
        <v>73111</v>
      </c>
      <c r="BJ142" s="31">
        <f t="shared" si="274"/>
        <v>97223.119888727408</v>
      </c>
      <c r="BK142" s="31">
        <f t="shared" si="275"/>
        <v>97317.172743442308</v>
      </c>
      <c r="BL142" s="31" t="str">
        <f t="shared" si="276"/>
        <v/>
      </c>
      <c r="BM142" s="31">
        <f t="shared" si="277"/>
        <v>97317.172743442308</v>
      </c>
      <c r="BN142" s="200"/>
      <c r="BP142" s="295" t="s">
        <v>1447</v>
      </c>
      <c r="BQ142" s="296" t="str">
        <f t="shared" si="281"/>
        <v>Y</v>
      </c>
      <c r="BR142" s="297" t="s">
        <v>1448</v>
      </c>
      <c r="BT142" s="295" t="str">
        <f t="shared" si="282"/>
        <v>Y</v>
      </c>
      <c r="BU142" s="296" t="str">
        <f t="shared" si="278"/>
        <v>Y</v>
      </c>
      <c r="BV142" s="296" t="str">
        <f t="shared" si="279"/>
        <v>Y</v>
      </c>
      <c r="BW142" s="297" t="str">
        <f t="shared" si="283"/>
        <v>Y</v>
      </c>
      <c r="BY142" s="352">
        <f t="shared" si="284"/>
        <v>0</v>
      </c>
      <c r="BZ142" s="353">
        <f t="shared" si="285"/>
        <v>0.9</v>
      </c>
      <c r="CA142" s="353">
        <f t="shared" si="286"/>
        <v>0</v>
      </c>
      <c r="CB142" s="354">
        <f t="shared" si="287"/>
        <v>0.9</v>
      </c>
      <c r="CD142" s="311">
        <f t="shared" si="288"/>
        <v>137</v>
      </c>
    </row>
    <row r="143" spans="1:82" outlineLevel="1" x14ac:dyDescent="0.3">
      <c r="A143" s="1">
        <v>70295000</v>
      </c>
      <c r="B143" s="47">
        <f>VLOOKUP(C143,'NCES ID'!$A$2:$B$3136,2,FALSE)</f>
        <v>406810</v>
      </c>
      <c r="C143" s="47">
        <f>VLOOKUP(A143,'State ID'!$A$2:$B$713,2,FALSE)</f>
        <v>4245</v>
      </c>
      <c r="D143" s="147" t="s">
        <v>356</v>
      </c>
      <c r="E143" s="47" t="s">
        <v>7</v>
      </c>
      <c r="F143" s="382">
        <f>IFERROR(VLOOKUP($B143,'update_Formula counts'!$D$7:$R$234,'update_Formula counts'!F$5,0),0)</f>
        <v>872</v>
      </c>
      <c r="G143" s="382">
        <f>IFERROR(VLOOKUP($B143,'update_Formula counts'!$D$7:$R$234,'update_Formula counts'!G$5,0),0)</f>
        <v>384</v>
      </c>
      <c r="H143" s="382">
        <f>IFERROR(VLOOKUP($B143,'update_Formula counts'!$D$7:$R$234,'update_Formula counts'!H$5,0),0)</f>
        <v>0</v>
      </c>
      <c r="I143" s="382">
        <f>IFERROR(VLOOKUP($B143,'update_Formula counts'!$D$7:$R$234,'update_Formula counts'!I$5,0),0)</f>
        <v>39</v>
      </c>
      <c r="J143" s="382">
        <f>IFERROR(VLOOKUP($B143,'update_Formula counts'!$D$7:$R$234,'update_Formula counts'!J$5,0),0)</f>
        <v>0</v>
      </c>
      <c r="K143" s="382">
        <f t="shared" si="251"/>
        <v>1256</v>
      </c>
      <c r="L143" s="444">
        <f>IFERROR(VLOOKUP($B143,'update_Formula counts'!$D$7:$R$234,'update_Formula counts'!L$5,0),0)</f>
        <v>6958</v>
      </c>
      <c r="M143" s="445">
        <f>IFERROR(VLOOKUP($B143,'update_Formula counts'!$D$7:$R$234,'update_Formula counts'!K$5,0),0)</f>
        <v>1295</v>
      </c>
      <c r="N143" s="446">
        <f>IFERROR(VLOOKUP($B143,'update_Formula counts'!$D$7:$R$234,'update_Formula counts'!M$5,0),0)</f>
        <v>0.18611670020120724</v>
      </c>
      <c r="O143" s="137">
        <f>VLOOKUP($C143,'Final SEA Counts'!$A$2:$F$709,5,FALSE)</f>
        <v>5499</v>
      </c>
      <c r="P143" s="208">
        <f>VLOOKUP($C143,'Final SEA Counts'!$A$2:$F$709,6,FALSE)</f>
        <v>1639</v>
      </c>
      <c r="Q143" s="748">
        <f t="shared" si="252"/>
        <v>-109.33324778151132</v>
      </c>
      <c r="R143" s="444">
        <f t="shared" si="253"/>
        <v>6314.6438257283107</v>
      </c>
      <c r="S143" s="445">
        <f t="shared" si="254"/>
        <v>1185.6667522184887</v>
      </c>
      <c r="T143" s="229">
        <f t="shared" si="255"/>
        <v>0.18776462852704723</v>
      </c>
      <c r="U143" s="261">
        <f>VLOOKUP($B143,update_Allocation!$D$8:$Q$235,update_Allocation!K$239,0)</f>
        <v>612392.60661174566</v>
      </c>
      <c r="V143" s="262">
        <f>VLOOKUP($B143,update_Allocation!$D$8:$Q$235,update_Allocation!L$239,0)</f>
        <v>145877.51998989884</v>
      </c>
      <c r="W143" s="262">
        <f>VLOOKUP($B143,update_Allocation!$D$8:$Q$235,update_Allocation!M$239,0)</f>
        <v>227918.1008893174</v>
      </c>
      <c r="X143" s="262">
        <f>VLOOKUP($B143,update_Allocation!$D$8:$Q$235,update_Allocation!N$239,0)</f>
        <v>176813.84004931877</v>
      </c>
      <c r="Y143" s="263">
        <f>VLOOKUP($B143,update_Allocation!$D$8:$Q$235,update_Allocation!O$239,0)</f>
        <v>1163002.0675402808</v>
      </c>
      <c r="Z143" s="262">
        <f t="shared" si="256"/>
        <v>539731.3208645503</v>
      </c>
      <c r="AA143" s="262">
        <f t="shared" si="257"/>
        <v>128631.2943672409</v>
      </c>
      <c r="AB143" s="262">
        <f t="shared" si="258"/>
        <v>200923.07958259067</v>
      </c>
      <c r="AC143" s="263">
        <f t="shared" si="259"/>
        <v>155963.09058443946</v>
      </c>
      <c r="AD143" s="262">
        <f t="shared" si="260"/>
        <v>539731.3208645503</v>
      </c>
      <c r="AE143" s="262">
        <f t="shared" si="261"/>
        <v>128631.2943672409</v>
      </c>
      <c r="AF143" s="262">
        <f t="shared" si="262"/>
        <v>200923.07958259067</v>
      </c>
      <c r="AG143" s="263">
        <f t="shared" si="263"/>
        <v>155963.09058443946</v>
      </c>
      <c r="AH143" s="262">
        <f t="shared" si="264"/>
        <v>539731.3208645503</v>
      </c>
      <c r="AI143" s="262">
        <f t="shared" si="265"/>
        <v>130762.11575007162</v>
      </c>
      <c r="AJ143" s="262">
        <f t="shared" si="266"/>
        <v>200948.42022781092</v>
      </c>
      <c r="AK143" s="262">
        <f t="shared" si="267"/>
        <v>155986.67939640486</v>
      </c>
      <c r="AL143" s="263">
        <f t="shared" si="268"/>
        <v>1027428.5362388378</v>
      </c>
      <c r="AM143" s="346"/>
      <c r="AN143" s="261">
        <f>IFERROR(VLOOKUP($A143,'HH &amp; SI'!$B$4:$Z$494,'HH &amp; SI'!V$503,0),0)</f>
        <v>532369.03532796935</v>
      </c>
      <c r="AO143" s="262">
        <f>IFERROR(VLOOKUP($A143,'HH &amp; SI'!$B$4:$Z$494,'HH &amp; SI'!W$503,0),0)</f>
        <v>126455.2897360159</v>
      </c>
      <c r="AP143" s="262">
        <f>IFERROR(VLOOKUP($A143,'HH &amp; SI'!$B$4:$Z$494,'HH &amp; SI'!X$503,0),0)</f>
        <v>199120.87280318316</v>
      </c>
      <c r="AQ143" s="262">
        <f>IFERROR(VLOOKUP($A143,'HH &amp; SI'!$B$4:$Z$494,'HH &amp; SI'!Y$503,0),0)</f>
        <v>154267.98697982254</v>
      </c>
      <c r="AR143" s="263">
        <f t="shared" si="269"/>
        <v>1012213.184846991</v>
      </c>
      <c r="AS143" s="346"/>
      <c r="AT143" s="323">
        <f>IFERROR(VLOOKUP(A143,'Afton FY16 Final'!$A$5:$BV$572,'Afton FY16 Final'!$BV$587,0),0)</f>
        <v>839262.57353694376</v>
      </c>
      <c r="AU143" s="346"/>
      <c r="AV143" s="444">
        <v>0</v>
      </c>
      <c r="AW143" s="262">
        <f>IFERROR(VLOOKUP($A143,'HH &amp; SI'!$B$4:$EY$503,'HH &amp; SI'!EX$503,0),0)</f>
        <v>56697.199318929575</v>
      </c>
      <c r="AX143" s="262">
        <f>IFERROR(VLOOKUP($A143,'HH &amp; SI'!$B$4:$EY$503,'HH &amp; SI'!EY$503,0),0)</f>
        <v>955515.9855280614</v>
      </c>
      <c r="AY143" s="262">
        <f>AX143/$AX$582*'update_State Admin 1004(b)'!$B$30*0.01</f>
        <v>9144.9743940974131</v>
      </c>
      <c r="AZ143" s="263">
        <f t="shared" si="270"/>
        <v>946371.01113396394</v>
      </c>
      <c r="BA143" s="261">
        <f t="shared" si="271"/>
        <v>9463.7101113396402</v>
      </c>
      <c r="BB143" s="262">
        <f t="shared" si="272"/>
        <v>936907.30102262425</v>
      </c>
      <c r="BC143" s="341">
        <f t="shared" si="280"/>
        <v>1.116345861908475</v>
      </c>
      <c r="BD143" s="346"/>
      <c r="BE143" s="376" t="str">
        <f>'Original Title I &amp; II'!AZ143</f>
        <v/>
      </c>
      <c r="BF143" s="243" t="str">
        <f t="shared" si="273"/>
        <v/>
      </c>
      <c r="BG143" s="263">
        <f t="shared" si="250"/>
        <v>936907.30102262425</v>
      </c>
      <c r="BI143" s="31">
        <f>IFERROR(VLOOKUP(A143,'Title II Hold Harmless'!A$1:B$439,2, FALSE),"")</f>
        <v>50367</v>
      </c>
      <c r="BJ143" s="31">
        <f t="shared" si="274"/>
        <v>70970.459316439883</v>
      </c>
      <c r="BK143" s="31">
        <f t="shared" si="275"/>
        <v>71039.115561032508</v>
      </c>
      <c r="BL143" s="31" t="str">
        <f t="shared" si="276"/>
        <v/>
      </c>
      <c r="BM143" s="31">
        <f t="shared" si="277"/>
        <v>71039.115561032508</v>
      </c>
      <c r="BN143" s="200"/>
      <c r="BP143" s="295" t="s">
        <v>1447</v>
      </c>
      <c r="BQ143" s="296" t="str">
        <f t="shared" si="281"/>
        <v>Y</v>
      </c>
      <c r="BR143" s="297" t="s">
        <v>1448</v>
      </c>
      <c r="BT143" s="295" t="str">
        <f t="shared" si="282"/>
        <v>Y</v>
      </c>
      <c r="BU143" s="296" t="str">
        <f t="shared" si="278"/>
        <v>Y</v>
      </c>
      <c r="BV143" s="296" t="str">
        <f t="shared" si="279"/>
        <v>Y</v>
      </c>
      <c r="BW143" s="297" t="str">
        <f t="shared" si="283"/>
        <v>Y</v>
      </c>
      <c r="BY143" s="352">
        <f t="shared" si="284"/>
        <v>0</v>
      </c>
      <c r="BZ143" s="353">
        <f t="shared" si="285"/>
        <v>0.9</v>
      </c>
      <c r="CA143" s="353">
        <f t="shared" si="286"/>
        <v>0</v>
      </c>
      <c r="CB143" s="354">
        <f t="shared" si="287"/>
        <v>0.9</v>
      </c>
      <c r="CD143" s="311">
        <f t="shared" si="288"/>
        <v>138</v>
      </c>
    </row>
    <row r="144" spans="1:82" outlineLevel="1" x14ac:dyDescent="0.3">
      <c r="A144" s="1">
        <v>70401000</v>
      </c>
      <c r="B144" s="47">
        <f>VLOOKUP(C144,'NCES ID'!$A$2:$B$3136,2,FALSE)</f>
        <v>406300</v>
      </c>
      <c r="C144" s="47">
        <f>VLOOKUP(A144,'State ID'!$A$2:$B$713,2,FALSE)</f>
        <v>4256</v>
      </c>
      <c r="D144" s="147" t="s">
        <v>337</v>
      </c>
      <c r="E144" s="47" t="s">
        <v>7</v>
      </c>
      <c r="F144" s="382">
        <f>IFERROR(VLOOKUP($B144,'update_Formula counts'!$D$7:$R$234,'update_Formula counts'!F$5,0),0)</f>
        <v>3709</v>
      </c>
      <c r="G144" s="382">
        <f>IFERROR(VLOOKUP($B144,'update_Formula counts'!$D$7:$R$234,'update_Formula counts'!G$5,0),0)</f>
        <v>0</v>
      </c>
      <c r="H144" s="382">
        <f>IFERROR(VLOOKUP($B144,'update_Formula counts'!$D$7:$R$234,'update_Formula counts'!H$5,0),0)</f>
        <v>0</v>
      </c>
      <c r="I144" s="382">
        <f>IFERROR(VLOOKUP($B144,'update_Formula counts'!$D$7:$R$234,'update_Formula counts'!I$5,0),0)</f>
        <v>168</v>
      </c>
      <c r="J144" s="382">
        <f>IFERROR(VLOOKUP($B144,'update_Formula counts'!$D$7:$R$234,'update_Formula counts'!J$5,0),0)</f>
        <v>0</v>
      </c>
      <c r="K144" s="382">
        <f t="shared" si="251"/>
        <v>3709</v>
      </c>
      <c r="L144" s="444">
        <f>IFERROR(VLOOKUP($B144,'update_Formula counts'!$D$7:$R$234,'update_Formula counts'!L$5,0),0)</f>
        <v>6996</v>
      </c>
      <c r="M144" s="445">
        <f>IFERROR(VLOOKUP($B144,'update_Formula counts'!$D$7:$R$234,'update_Formula counts'!K$5,0),0)</f>
        <v>3877</v>
      </c>
      <c r="N144" s="446">
        <f>IFERROR(VLOOKUP($B144,'update_Formula counts'!$D$7:$R$234,'update_Formula counts'!M$5,0),0)</f>
        <v>0.55417381360777584</v>
      </c>
      <c r="O144" s="137">
        <f>VLOOKUP($C144,'Final SEA Counts'!$A$2:$F$709,5,FALSE)</f>
        <v>7097</v>
      </c>
      <c r="P144" s="208">
        <f>VLOOKUP($C144,'Final SEA Counts'!$A$2:$F$709,6,FALSE)</f>
        <v>6463</v>
      </c>
      <c r="Q144" s="748">
        <f t="shared" si="252"/>
        <v>-468.34140812939035</v>
      </c>
      <c r="R144" s="444">
        <f t="shared" si="253"/>
        <v>6349.1302392634761</v>
      </c>
      <c r="S144" s="445">
        <f t="shared" si="254"/>
        <v>3408.6585918706096</v>
      </c>
      <c r="T144" s="229">
        <f t="shared" si="255"/>
        <v>0.53687016385192743</v>
      </c>
      <c r="U144" s="261">
        <f>VLOOKUP($B144,update_Allocation!$D$8:$Q$235,update_Allocation!K$239,0)</f>
        <v>2838829.1895862445</v>
      </c>
      <c r="V144" s="262">
        <f>VLOOKUP($B144,update_Allocation!$D$8:$Q$235,update_Allocation!L$239,0)</f>
        <v>694595.65084091167</v>
      </c>
      <c r="W144" s="262">
        <f>VLOOKUP($B144,update_Allocation!$D$8:$Q$235,update_Allocation!M$239,0)</f>
        <v>1929821.3543588731</v>
      </c>
      <c r="X144" s="262">
        <f>VLOOKUP($B144,update_Allocation!$D$8:$Q$235,update_Allocation!N$239,0)</f>
        <v>2201124.967790613</v>
      </c>
      <c r="Y144" s="263">
        <f>VLOOKUP($B144,update_Allocation!$D$8:$Q$235,update_Allocation!O$239,0)</f>
        <v>7664371.1625766419</v>
      </c>
      <c r="Z144" s="262">
        <f t="shared" si="256"/>
        <v>2501997.9203890618</v>
      </c>
      <c r="AA144" s="262">
        <f t="shared" si="257"/>
        <v>612477.76652433712</v>
      </c>
      <c r="AB144" s="262">
        <f t="shared" si="258"/>
        <v>1701249.9141098473</v>
      </c>
      <c r="AC144" s="263">
        <f t="shared" si="259"/>
        <v>1941557.5875929368</v>
      </c>
      <c r="AD144" s="262">
        <f t="shared" si="260"/>
        <v>2501997.9203890618</v>
      </c>
      <c r="AE144" s="262">
        <f t="shared" si="261"/>
        <v>612477.76652433712</v>
      </c>
      <c r="AF144" s="262">
        <f t="shared" si="262"/>
        <v>1701249.9141098473</v>
      </c>
      <c r="AG144" s="263">
        <f t="shared" si="263"/>
        <v>1941557.5875929368</v>
      </c>
      <c r="AH144" s="262">
        <f t="shared" si="264"/>
        <v>2501997.9203890618</v>
      </c>
      <c r="AI144" s="262">
        <f t="shared" si="265"/>
        <v>614608.58790716785</v>
      </c>
      <c r="AJ144" s="262">
        <f t="shared" si="266"/>
        <v>1701275.2547550676</v>
      </c>
      <c r="AK144" s="262">
        <f t="shared" si="267"/>
        <v>1941581.1764049022</v>
      </c>
      <c r="AL144" s="263">
        <f t="shared" si="268"/>
        <v>6759462.9394562002</v>
      </c>
      <c r="AM144" s="346"/>
      <c r="AN144" s="261">
        <f>IFERROR(VLOOKUP($A144,'HH &amp; SI'!$B$4:$Z$494,'HH &amp; SI'!V$503,0),0)</f>
        <v>2497746.2615870195</v>
      </c>
      <c r="AO144" s="262">
        <f>IFERROR(VLOOKUP($A144,'HH &amp; SI'!$B$4:$Z$494,'HH &amp; SI'!W$503,0),0)</f>
        <v>615144.42908227001</v>
      </c>
      <c r="AP144" s="262">
        <f>IFERROR(VLOOKUP($A144,'HH &amp; SI'!$B$4:$Z$494,'HH &amp; SI'!X$503,0),0)</f>
        <v>1694983.1327491018</v>
      </c>
      <c r="AQ144" s="262">
        <f>IFERROR(VLOOKUP($A144,'HH &amp; SI'!$B$4:$Z$494,'HH &amp; SI'!Y$503,0),0)</f>
        <v>1936533.3241621293</v>
      </c>
      <c r="AR144" s="263">
        <f t="shared" si="269"/>
        <v>6744407.1475805212</v>
      </c>
      <c r="AS144" s="346"/>
      <c r="AT144" s="323">
        <f>IFERROR(VLOOKUP(A144,'Afton FY16 Final'!$A$5:$BV$572,'Afton FY16 Final'!$BV$587,0),0)</f>
        <v>6959589.2336437833</v>
      </c>
      <c r="AU144" s="346"/>
      <c r="AV144" s="444">
        <v>0</v>
      </c>
      <c r="AW144" s="262">
        <f>IFERROR(VLOOKUP($A144,'HH &amp; SI'!$B$4:$EY$503,'HH &amp; SI'!EX$503,0),0)</f>
        <v>0</v>
      </c>
      <c r="AX144" s="262">
        <f>IFERROR(VLOOKUP($A144,'HH &amp; SI'!$B$4:$EY$503,'HH &amp; SI'!EY$503,0),0)</f>
        <v>6744407.1475805212</v>
      </c>
      <c r="AY144" s="262">
        <f>AX144/$AX$582*'update_State Admin 1004(b)'!$B$30*0.01</f>
        <v>64548.821372052393</v>
      </c>
      <c r="AZ144" s="263">
        <f t="shared" si="270"/>
        <v>6679858.3262084685</v>
      </c>
      <c r="BA144" s="261">
        <f t="shared" si="271"/>
        <v>66798.583262084692</v>
      </c>
      <c r="BB144" s="262">
        <f t="shared" si="272"/>
        <v>6613059.7429463835</v>
      </c>
      <c r="BC144" s="341">
        <f t="shared" si="280"/>
        <v>0.95020834146040978</v>
      </c>
      <c r="BD144" s="346"/>
      <c r="BE144" s="376" t="str">
        <f>'Original Title I &amp; II'!AZ144</f>
        <v/>
      </c>
      <c r="BF144" s="243" t="str">
        <f t="shared" si="273"/>
        <v/>
      </c>
      <c r="BG144" s="263">
        <f t="shared" si="250"/>
        <v>6613059.7429463835</v>
      </c>
      <c r="BI144" s="31">
        <f>IFERROR(VLOOKUP(A144,'Title II Hold Harmless'!A$1:B$439,2, FALSE),"")</f>
        <v>467189</v>
      </c>
      <c r="BJ144" s="31">
        <f t="shared" si="274"/>
        <v>516921.1610453524</v>
      </c>
      <c r="BK144" s="31">
        <f t="shared" si="275"/>
        <v>517421.22636844119</v>
      </c>
      <c r="BL144" s="31" t="str">
        <f t="shared" si="276"/>
        <v/>
      </c>
      <c r="BM144" s="31">
        <f t="shared" si="277"/>
        <v>517421.22636844119</v>
      </c>
      <c r="BN144" s="200"/>
      <c r="BP144" s="295" t="s">
        <v>1447</v>
      </c>
      <c r="BQ144" s="296" t="str">
        <f t="shared" si="281"/>
        <v>Y</v>
      </c>
      <c r="BR144" s="297" t="s">
        <v>1448</v>
      </c>
      <c r="BT144" s="295" t="str">
        <f t="shared" si="282"/>
        <v>Y</v>
      </c>
      <c r="BU144" s="296" t="str">
        <f t="shared" si="278"/>
        <v>Y</v>
      </c>
      <c r="BV144" s="296" t="str">
        <f t="shared" si="279"/>
        <v>Y</v>
      </c>
      <c r="BW144" s="297" t="str">
        <f t="shared" si="283"/>
        <v>Y</v>
      </c>
      <c r="BY144" s="352">
        <f t="shared" si="284"/>
        <v>0</v>
      </c>
      <c r="BZ144" s="353">
        <f t="shared" si="285"/>
        <v>0</v>
      </c>
      <c r="CA144" s="353">
        <f t="shared" si="286"/>
        <v>0.95</v>
      </c>
      <c r="CB144" s="354">
        <f t="shared" si="287"/>
        <v>0.95</v>
      </c>
      <c r="CD144" s="311">
        <f t="shared" si="288"/>
        <v>139</v>
      </c>
    </row>
    <row r="145" spans="1:82" outlineLevel="1" x14ac:dyDescent="0.3">
      <c r="A145" s="1">
        <v>70459000</v>
      </c>
      <c r="B145" s="47">
        <f>VLOOKUP(C145,'NCES ID'!$A$2:$B$3136,2,FALSE)</f>
        <v>404290</v>
      </c>
      <c r="C145" s="47">
        <f>VLOOKUP(A145,'State ID'!$A$2:$B$713,2,FALSE)</f>
        <v>4276</v>
      </c>
      <c r="D145" s="147" t="s">
        <v>247</v>
      </c>
      <c r="E145" s="47" t="s">
        <v>7</v>
      </c>
      <c r="F145" s="382">
        <f>IFERROR(VLOOKUP($B145,'update_Formula counts'!$D$7:$R$234,'update_Formula counts'!F$5,0),0)</f>
        <v>1717</v>
      </c>
      <c r="G145" s="382">
        <f>IFERROR(VLOOKUP($B145,'update_Formula counts'!$D$7:$R$234,'update_Formula counts'!G$5,0),0)</f>
        <v>0</v>
      </c>
      <c r="H145" s="382">
        <f>IFERROR(VLOOKUP($B145,'update_Formula counts'!$D$7:$R$234,'update_Formula counts'!H$5,0),0)</f>
        <v>0</v>
      </c>
      <c r="I145" s="382">
        <f>IFERROR(VLOOKUP($B145,'update_Formula counts'!$D$7:$R$234,'update_Formula counts'!I$5,0),0)</f>
        <v>78</v>
      </c>
      <c r="J145" s="382">
        <f>IFERROR(VLOOKUP($B145,'update_Formula counts'!$D$7:$R$234,'update_Formula counts'!J$5,0),0)</f>
        <v>0</v>
      </c>
      <c r="K145" s="382">
        <f t="shared" si="251"/>
        <v>1717</v>
      </c>
      <c r="L145" s="444">
        <f>IFERROR(VLOOKUP($B145,'update_Formula counts'!$D$7:$R$234,'update_Formula counts'!L$5,0),0)</f>
        <v>7020</v>
      </c>
      <c r="M145" s="445">
        <f>IFERROR(VLOOKUP($B145,'update_Formula counts'!$D$7:$R$234,'update_Formula counts'!K$5,0),0)</f>
        <v>1795</v>
      </c>
      <c r="N145" s="446">
        <f>IFERROR(VLOOKUP($B145,'update_Formula counts'!$D$7:$R$234,'update_Formula counts'!M$5,0),0)</f>
        <v>0.25569800569800571</v>
      </c>
      <c r="O145" s="137">
        <f>VLOOKUP($C145,'Final SEA Counts'!$A$2:$F$709,5,FALSE)</f>
        <v>6775</v>
      </c>
      <c r="P145" s="208">
        <f>VLOOKUP($C145,'Final SEA Counts'!$A$2:$F$709,6,FALSE)</f>
        <v>4675</v>
      </c>
      <c r="Q145" s="748">
        <f t="shared" si="252"/>
        <v>-216.80789614534592</v>
      </c>
      <c r="R145" s="444">
        <f t="shared" si="253"/>
        <v>6370.9111320225265</v>
      </c>
      <c r="S145" s="445">
        <f t="shared" si="254"/>
        <v>1578.1921038546541</v>
      </c>
      <c r="T145" s="229">
        <f t="shared" si="255"/>
        <v>0.24771843008797972</v>
      </c>
      <c r="U145" s="261">
        <f>VLOOKUP($B145,update_Allocation!$D$8:$Q$235,update_Allocation!K$239,0)</f>
        <v>848837.62846956204</v>
      </c>
      <c r="V145" s="262">
        <f>VLOOKUP($B145,update_Allocation!$D$8:$Q$235,update_Allocation!L$239,0)</f>
        <v>202200.88678136544</v>
      </c>
      <c r="W145" s="262">
        <f>VLOOKUP($B145,update_Allocation!$D$8:$Q$235,update_Allocation!M$239,0)</f>
        <v>357236.50505649304</v>
      </c>
      <c r="X145" s="262">
        <f>VLOOKUP($B145,update_Allocation!$D$8:$Q$235,update_Allocation!N$239,0)</f>
        <v>277893.23052996118</v>
      </c>
      <c r="Y145" s="263">
        <f>VLOOKUP($B145,update_Allocation!$D$8:$Q$235,update_Allocation!O$239,0)</f>
        <v>1686168.2508373817</v>
      </c>
      <c r="Z145" s="262">
        <f t="shared" si="256"/>
        <v>748121.79224082408</v>
      </c>
      <c r="AA145" s="262">
        <f t="shared" si="257"/>
        <v>178295.88678702491</v>
      </c>
      <c r="AB145" s="262">
        <f t="shared" si="258"/>
        <v>314924.78418872482</v>
      </c>
      <c r="AC145" s="263">
        <f t="shared" si="259"/>
        <v>245122.70687553473</v>
      </c>
      <c r="AD145" s="262">
        <f t="shared" si="260"/>
        <v>748121.79224082408</v>
      </c>
      <c r="AE145" s="262">
        <f t="shared" si="261"/>
        <v>178295.88678702491</v>
      </c>
      <c r="AF145" s="262">
        <f t="shared" si="262"/>
        <v>314924.78418872482</v>
      </c>
      <c r="AG145" s="263">
        <f t="shared" si="263"/>
        <v>245122.70687553473</v>
      </c>
      <c r="AH145" s="262">
        <f t="shared" si="264"/>
        <v>748121.79224082408</v>
      </c>
      <c r="AI145" s="262">
        <f t="shared" si="265"/>
        <v>180426.70816985561</v>
      </c>
      <c r="AJ145" s="262">
        <f t="shared" si="266"/>
        <v>314950.12483394507</v>
      </c>
      <c r="AK145" s="262">
        <f t="shared" si="267"/>
        <v>245146.29568750013</v>
      </c>
      <c r="AL145" s="263">
        <f t="shared" si="268"/>
        <v>1488644.9209321251</v>
      </c>
      <c r="AM145" s="346"/>
      <c r="AN145" s="261">
        <f>IFERROR(VLOOKUP($A145,'HH &amp; SI'!$B$4:$Z$494,'HH &amp; SI'!V$503,0),0)</f>
        <v>737916.92541598785</v>
      </c>
      <c r="AO145" s="262">
        <f>IFERROR(VLOOKUP($A145,'HH &amp; SI'!$B$4:$Z$494,'HH &amp; SI'!W$503,0),0)</f>
        <v>174484.11205997315</v>
      </c>
      <c r="AP145" s="262">
        <f>IFERROR(VLOOKUP($A145,'HH &amp; SI'!$B$4:$Z$494,'HH &amp; SI'!X$503,0),0)</f>
        <v>312085.77641620714</v>
      </c>
      <c r="AQ145" s="262">
        <f>IFERROR(VLOOKUP($A145,'HH &amp; SI'!$B$4:$Z$494,'HH &amp; SI'!Y$503,0),0)</f>
        <v>242445.22479489763</v>
      </c>
      <c r="AR145" s="263">
        <f t="shared" si="269"/>
        <v>1466932.0386870659</v>
      </c>
      <c r="AS145" s="346"/>
      <c r="AT145" s="323">
        <f>IFERROR(VLOOKUP(A145,'Afton FY16 Final'!$A$5:$BV$572,'Afton FY16 Final'!$BV$587,0),0)</f>
        <v>1224430.2000584304</v>
      </c>
      <c r="AU145" s="346"/>
      <c r="AV145" s="444">
        <v>0</v>
      </c>
      <c r="AW145" s="262">
        <f>IFERROR(VLOOKUP($A145,'HH &amp; SI'!$B$4:$EY$503,'HH &amp; SI'!EX$503,0),0)</f>
        <v>82167.412388860015</v>
      </c>
      <c r="AX145" s="262">
        <f>IFERROR(VLOOKUP($A145,'HH &amp; SI'!$B$4:$EY$503,'HH &amp; SI'!EY$503,0),0)</f>
        <v>1384764.6262982059</v>
      </c>
      <c r="AY145" s="262">
        <f>AX145/$AX$582*'update_State Admin 1004(b)'!$B$30*0.01</f>
        <v>13253.192244973761</v>
      </c>
      <c r="AZ145" s="263">
        <f t="shared" si="270"/>
        <v>1371511.4340532322</v>
      </c>
      <c r="BA145" s="261">
        <f t="shared" si="271"/>
        <v>13715.114340532322</v>
      </c>
      <c r="BB145" s="262">
        <f t="shared" si="272"/>
        <v>1357796.3197126999</v>
      </c>
      <c r="BC145" s="341">
        <f t="shared" si="280"/>
        <v>1.1089209655625165</v>
      </c>
      <c r="BD145" s="346"/>
      <c r="BE145" s="376" t="str">
        <f>'Original Title I &amp; II'!AZ145</f>
        <v/>
      </c>
      <c r="BF145" s="243" t="str">
        <f t="shared" si="273"/>
        <v/>
      </c>
      <c r="BG145" s="263">
        <f t="shared" si="250"/>
        <v>1357796.3197126999</v>
      </c>
      <c r="BI145" s="31">
        <f>IFERROR(VLOOKUP(A145,'Title II Hold Harmless'!A$1:B$439,2, FALSE),"")</f>
        <v>78130</v>
      </c>
      <c r="BJ145" s="31">
        <f t="shared" si="274"/>
        <v>103917.25038639759</v>
      </c>
      <c r="BK145" s="31">
        <f t="shared" si="275"/>
        <v>104017.77908846094</v>
      </c>
      <c r="BL145" s="31" t="str">
        <f t="shared" si="276"/>
        <v/>
      </c>
      <c r="BM145" s="31">
        <f t="shared" si="277"/>
        <v>104017.77908846094</v>
      </c>
      <c r="BN145" s="200"/>
      <c r="BP145" s="295" t="s">
        <v>1447</v>
      </c>
      <c r="BQ145" s="296" t="str">
        <f t="shared" si="281"/>
        <v>Y</v>
      </c>
      <c r="BR145" s="297" t="s">
        <v>1448</v>
      </c>
      <c r="BT145" s="295" t="str">
        <f t="shared" si="282"/>
        <v>Y</v>
      </c>
      <c r="BU145" s="296" t="str">
        <f t="shared" si="278"/>
        <v>Y</v>
      </c>
      <c r="BV145" s="296" t="str">
        <f t="shared" si="279"/>
        <v>Y</v>
      </c>
      <c r="BW145" s="297" t="str">
        <f t="shared" si="283"/>
        <v>Y</v>
      </c>
      <c r="BY145" s="352">
        <f t="shared" si="284"/>
        <v>0</v>
      </c>
      <c r="BZ145" s="353">
        <f t="shared" si="285"/>
        <v>0.9</v>
      </c>
      <c r="CA145" s="353">
        <f t="shared" si="286"/>
        <v>0</v>
      </c>
      <c r="CB145" s="354">
        <f t="shared" si="287"/>
        <v>0.9</v>
      </c>
      <c r="CD145" s="311">
        <f t="shared" si="288"/>
        <v>140</v>
      </c>
    </row>
    <row r="146" spans="1:82" outlineLevel="1" x14ac:dyDescent="0.3">
      <c r="A146" s="1">
        <v>70444000</v>
      </c>
      <c r="B146" s="47">
        <f>VLOOKUP(C146,'NCES ID'!$A$2:$B$3136,2,FALSE)</f>
        <v>400960</v>
      </c>
      <c r="C146" s="47">
        <f>VLOOKUP(A146,'State ID'!$A$2:$B$713,2,FALSE)</f>
        <v>4272</v>
      </c>
      <c r="D146" s="147" t="s">
        <v>58</v>
      </c>
      <c r="E146" s="47" t="s">
        <v>7</v>
      </c>
      <c r="F146" s="382">
        <f>IFERROR(VLOOKUP($B146,'update_Formula counts'!$D$7:$R$234,'update_Formula counts'!F$5,0),0)</f>
        <v>1906</v>
      </c>
      <c r="G146" s="382">
        <f>IFERROR(VLOOKUP($B146,'update_Formula counts'!$D$7:$R$234,'update_Formula counts'!G$5,0),0)</f>
        <v>0</v>
      </c>
      <c r="H146" s="382">
        <f>IFERROR(VLOOKUP($B146,'update_Formula counts'!$D$7:$R$234,'update_Formula counts'!H$5,0),0)</f>
        <v>0</v>
      </c>
      <c r="I146" s="382">
        <f>IFERROR(VLOOKUP($B146,'update_Formula counts'!$D$7:$R$234,'update_Formula counts'!I$5,0),0)</f>
        <v>86</v>
      </c>
      <c r="J146" s="382">
        <f>IFERROR(VLOOKUP($B146,'update_Formula counts'!$D$7:$R$234,'update_Formula counts'!J$5,0),0)</f>
        <v>0</v>
      </c>
      <c r="K146" s="382">
        <f t="shared" si="251"/>
        <v>1906</v>
      </c>
      <c r="L146" s="444">
        <f>IFERROR(VLOOKUP($B146,'update_Formula counts'!$D$7:$R$234,'update_Formula counts'!L$5,0),0)</f>
        <v>7557</v>
      </c>
      <c r="M146" s="445">
        <f>IFERROR(VLOOKUP($B146,'update_Formula counts'!$D$7:$R$234,'update_Formula counts'!K$5,0),0)</f>
        <v>1992</v>
      </c>
      <c r="N146" s="446">
        <f>IFERROR(VLOOKUP($B146,'update_Formula counts'!$D$7:$R$234,'update_Formula counts'!M$5,0),0)</f>
        <v>0.26359666534339021</v>
      </c>
      <c r="O146" s="137">
        <f>VLOOKUP($C146,'Final SEA Counts'!$A$2:$F$709,5,FALSE)</f>
        <v>5817</v>
      </c>
      <c r="P146" s="208">
        <f>VLOOKUP($C146,'Final SEA Counts'!$A$2:$F$709,6,FALSE)</f>
        <v>4245</v>
      </c>
      <c r="Q146" s="748">
        <f t="shared" si="252"/>
        <v>-240.67436493476342</v>
      </c>
      <c r="R146" s="444">
        <f t="shared" si="253"/>
        <v>6858.2586075063018</v>
      </c>
      <c r="S146" s="445">
        <f t="shared" si="254"/>
        <v>1751.3256350652366</v>
      </c>
      <c r="T146" s="229">
        <f t="shared" si="255"/>
        <v>0.25536010455313346</v>
      </c>
      <c r="U146" s="261">
        <f>VLOOKUP($B146,update_Allocation!$D$8:$Q$235,update_Allocation!K$239,0)</f>
        <v>941996.96708154178</v>
      </c>
      <c r="V146" s="262">
        <f>VLOOKUP($B146,update_Allocation!$D$8:$Q$235,update_Allocation!L$239,0)</f>
        <v>224392.29329720343</v>
      </c>
      <c r="W146" s="262">
        <f>VLOOKUP($B146,update_Allocation!$D$8:$Q$235,update_Allocation!M$239,0)</f>
        <v>405860.4877642552</v>
      </c>
      <c r="X146" s="262">
        <f>VLOOKUP($B146,update_Allocation!$D$8:$Q$235,update_Allocation!N$239,0)</f>
        <v>318976.88949673437</v>
      </c>
      <c r="Y146" s="263">
        <f>VLOOKUP($B146,update_Allocation!$D$8:$Q$235,update_Allocation!O$239,0)</f>
        <v>1891226.6376397347</v>
      </c>
      <c r="Z146" s="262">
        <f t="shared" si="256"/>
        <v>830227.63796307601</v>
      </c>
      <c r="AA146" s="262">
        <f t="shared" si="257"/>
        <v>197863.73620041995</v>
      </c>
      <c r="AB146" s="262">
        <f t="shared" si="258"/>
        <v>357789.65674203995</v>
      </c>
      <c r="AC146" s="263">
        <f t="shared" si="259"/>
        <v>281361.58061521378</v>
      </c>
      <c r="AD146" s="262">
        <f t="shared" si="260"/>
        <v>830227.63796307601</v>
      </c>
      <c r="AE146" s="262">
        <f t="shared" si="261"/>
        <v>197863.73620041995</v>
      </c>
      <c r="AF146" s="262">
        <f t="shared" si="262"/>
        <v>357789.65674203995</v>
      </c>
      <c r="AG146" s="263">
        <f t="shared" si="263"/>
        <v>281361.58061521378</v>
      </c>
      <c r="AH146" s="262">
        <f t="shared" si="264"/>
        <v>830227.63796307601</v>
      </c>
      <c r="AI146" s="262">
        <f t="shared" si="265"/>
        <v>199994.55758325066</v>
      </c>
      <c r="AJ146" s="262">
        <f t="shared" si="266"/>
        <v>357814.9973872602</v>
      </c>
      <c r="AK146" s="262">
        <f t="shared" si="267"/>
        <v>281385.16942717921</v>
      </c>
      <c r="AL146" s="263">
        <f t="shared" si="268"/>
        <v>1669422.3623607662</v>
      </c>
      <c r="AM146" s="346"/>
      <c r="AN146" s="261">
        <f>IFERROR(VLOOKUP($A146,'HH &amp; SI'!$B$4:$Z$494,'HH &amp; SI'!V$503,0),0)</f>
        <v>818902.79411066743</v>
      </c>
      <c r="AO146" s="262">
        <f>IFERROR(VLOOKUP($A146,'HH &amp; SI'!$B$4:$Z$494,'HH &amp; SI'!W$503,0),0)</f>
        <v>193407.46805561244</v>
      </c>
      <c r="AP146" s="262">
        <f>IFERROR(VLOOKUP($A146,'HH &amp; SI'!$B$4:$Z$494,'HH &amp; SI'!X$503,0),0)</f>
        <v>354560.80968960654</v>
      </c>
      <c r="AQ146" s="262">
        <f>IFERROR(VLOOKUP($A146,'HH &amp; SI'!$B$4:$Z$494,'HH &amp; SI'!Y$503,0),0)</f>
        <v>278284.8113792704</v>
      </c>
      <c r="AR146" s="263">
        <f t="shared" si="269"/>
        <v>1645155.8832351568</v>
      </c>
      <c r="AS146" s="346"/>
      <c r="AT146" s="323">
        <f>IFERROR(VLOOKUP(A146,'Afton FY16 Final'!$A$5:$BV$572,'Afton FY16 Final'!$BV$587,0),0)</f>
        <v>1350903.5553465039</v>
      </c>
      <c r="AU146" s="346"/>
      <c r="AV146" s="444">
        <v>0</v>
      </c>
      <c r="AW146" s="262">
        <f>IFERROR(VLOOKUP($A146,'HH &amp; SI'!$B$4:$EY$503,'HH &amp; SI'!EX$503,0),0)</f>
        <v>92150.282587549184</v>
      </c>
      <c r="AX146" s="262">
        <f>IFERROR(VLOOKUP($A146,'HH &amp; SI'!$B$4:$EY$503,'HH &amp; SI'!EY$503,0),0)</f>
        <v>1553005.6006476076</v>
      </c>
      <c r="AY146" s="262">
        <f>AX146/$AX$582*'update_State Admin 1004(b)'!$B$30*0.01</f>
        <v>14863.379228515436</v>
      </c>
      <c r="AZ146" s="263">
        <f t="shared" si="270"/>
        <v>1538142.221419092</v>
      </c>
      <c r="BA146" s="261">
        <f t="shared" si="271"/>
        <v>15381.422214190921</v>
      </c>
      <c r="BB146" s="262">
        <f t="shared" si="272"/>
        <v>1522760.7992049011</v>
      </c>
      <c r="BC146" s="341">
        <f t="shared" si="280"/>
        <v>1.1272165160704728</v>
      </c>
      <c r="BD146" s="346"/>
      <c r="BE146" s="376" t="str">
        <f>'Original Title I &amp; II'!AZ146</f>
        <v/>
      </c>
      <c r="BF146" s="243" t="str">
        <f t="shared" si="273"/>
        <v/>
      </c>
      <c r="BG146" s="263">
        <f t="shared" si="250"/>
        <v>1522760.7992049011</v>
      </c>
      <c r="BI146" s="31">
        <f>IFERROR(VLOOKUP(A146,'Title II Hold Harmless'!A$1:B$439,2, FALSE),"")</f>
        <v>145195</v>
      </c>
      <c r="BJ146" s="31">
        <f t="shared" si="274"/>
        <v>173640.9399186536</v>
      </c>
      <c r="BK146" s="31">
        <f t="shared" si="275"/>
        <v>173808.91875036995</v>
      </c>
      <c r="BL146" s="31" t="str">
        <f t="shared" si="276"/>
        <v/>
      </c>
      <c r="BM146" s="31">
        <f t="shared" si="277"/>
        <v>173808.91875036995</v>
      </c>
      <c r="BN146" s="200"/>
      <c r="BP146" s="295" t="s">
        <v>1447</v>
      </c>
      <c r="BQ146" s="296" t="str">
        <f t="shared" si="281"/>
        <v>Y</v>
      </c>
      <c r="BR146" s="297" t="s">
        <v>1448</v>
      </c>
      <c r="BT146" s="295" t="str">
        <f t="shared" si="282"/>
        <v>Y</v>
      </c>
      <c r="BU146" s="296" t="str">
        <f t="shared" si="278"/>
        <v>Y</v>
      </c>
      <c r="BV146" s="296" t="str">
        <f t="shared" si="279"/>
        <v>Y</v>
      </c>
      <c r="BW146" s="297" t="str">
        <f t="shared" si="283"/>
        <v>Y</v>
      </c>
      <c r="BY146" s="352">
        <f t="shared" si="284"/>
        <v>0</v>
      </c>
      <c r="BZ146" s="353">
        <f t="shared" si="285"/>
        <v>0.9</v>
      </c>
      <c r="CA146" s="353">
        <f t="shared" si="286"/>
        <v>0</v>
      </c>
      <c r="CB146" s="354">
        <f t="shared" si="287"/>
        <v>0.9</v>
      </c>
      <c r="CD146" s="311">
        <f t="shared" si="288"/>
        <v>141</v>
      </c>
    </row>
    <row r="147" spans="1:82" outlineLevel="1" x14ac:dyDescent="0.3">
      <c r="A147" s="1">
        <v>70516000</v>
      </c>
      <c r="B147" s="47">
        <f>VLOOKUP(C147,'NCES ID'!$A$2:$B$3136,2,FALSE)</f>
        <v>400450</v>
      </c>
      <c r="C147" s="47">
        <f>VLOOKUP(A147,'State ID'!$A$2:$B$713,2,FALSE)</f>
        <v>4289</v>
      </c>
      <c r="D147" s="147" t="s">
        <v>15</v>
      </c>
      <c r="E147" s="47" t="s">
        <v>7</v>
      </c>
      <c r="F147" s="382">
        <f>IFERROR(VLOOKUP($B147,'update_Formula counts'!$D$7:$R$234,'update_Formula counts'!F$5,0),0)</f>
        <v>1097</v>
      </c>
      <c r="G147" s="382">
        <f>IFERROR(VLOOKUP($B147,'update_Formula counts'!$D$7:$R$234,'update_Formula counts'!G$5,0),0)</f>
        <v>0</v>
      </c>
      <c r="H147" s="382">
        <f>IFERROR(VLOOKUP($B147,'update_Formula counts'!$D$7:$R$234,'update_Formula counts'!H$5,0),0)</f>
        <v>0</v>
      </c>
      <c r="I147" s="382">
        <f>IFERROR(VLOOKUP($B147,'update_Formula counts'!$D$7:$R$234,'update_Formula counts'!I$5,0),0)</f>
        <v>50</v>
      </c>
      <c r="J147" s="382">
        <f>IFERROR(VLOOKUP($B147,'update_Formula counts'!$D$7:$R$234,'update_Formula counts'!J$5,0),0)</f>
        <v>0</v>
      </c>
      <c r="K147" s="382">
        <f t="shared" si="251"/>
        <v>1097</v>
      </c>
      <c r="L147" s="444">
        <f>IFERROR(VLOOKUP($B147,'update_Formula counts'!$D$7:$R$234,'update_Formula counts'!L$5,0),0)</f>
        <v>7902</v>
      </c>
      <c r="M147" s="445">
        <f>IFERROR(VLOOKUP($B147,'update_Formula counts'!$D$7:$R$234,'update_Formula counts'!K$5,0),0)</f>
        <v>1147</v>
      </c>
      <c r="N147" s="446">
        <f>IFERROR(VLOOKUP($B147,'update_Formula counts'!$D$7:$R$234,'update_Formula counts'!M$5,0),0)</f>
        <v>0.145153125790939</v>
      </c>
      <c r="O147" s="137">
        <f>VLOOKUP($C147,'Final SEA Counts'!$A$2:$F$709,5,FALSE)</f>
        <v>5757</v>
      </c>
      <c r="P147" s="208">
        <f>VLOOKUP($C147,'Final SEA Counts'!$A$2:$F$709,6,FALSE)</f>
        <v>2295</v>
      </c>
      <c r="Q147" s="748">
        <f t="shared" si="252"/>
        <v>-138.51932889241405</v>
      </c>
      <c r="R147" s="444">
        <f t="shared" si="253"/>
        <v>7171.3589409176657</v>
      </c>
      <c r="S147" s="445">
        <f t="shared" si="254"/>
        <v>1008.480671107586</v>
      </c>
      <c r="T147" s="229">
        <f t="shared" si="255"/>
        <v>0.1406261601763498</v>
      </c>
      <c r="U147" s="261">
        <f>VLOOKUP($B147,update_Allocation!$D$8:$Q$235,update_Allocation!K$239,0)</f>
        <v>542404.88014183159</v>
      </c>
      <c r="V147" s="262">
        <f>VLOOKUP($B147,update_Allocation!$D$8:$Q$235,update_Allocation!L$239,0)</f>
        <v>110916.69321327854</v>
      </c>
      <c r="W147" s="262">
        <f>VLOOKUP($B147,update_Allocation!$D$8:$Q$235,update_Allocation!M$239,0)</f>
        <v>196235.05868679486</v>
      </c>
      <c r="X147" s="262">
        <f>VLOOKUP($B147,update_Allocation!$D$8:$Q$235,update_Allocation!N$239,0)</f>
        <v>152234.83410633265</v>
      </c>
      <c r="Y147" s="263">
        <f>VLOOKUP($B147,update_Allocation!$D$8:$Q$235,update_Allocation!O$239,0)</f>
        <v>1001791.4661482376</v>
      </c>
      <c r="Z147" s="262">
        <f t="shared" si="256"/>
        <v>478047.7413371728</v>
      </c>
      <c r="AA147" s="262">
        <f t="shared" si="257"/>
        <v>97803.676782729191</v>
      </c>
      <c r="AB147" s="262">
        <f t="shared" si="258"/>
        <v>172992.63270260621</v>
      </c>
      <c r="AC147" s="263">
        <f t="shared" si="259"/>
        <v>134282.56077245096</v>
      </c>
      <c r="AD147" s="262">
        <f t="shared" si="260"/>
        <v>478047.7413371728</v>
      </c>
      <c r="AE147" s="262" t="str">
        <f t="shared" si="261"/>
        <v/>
      </c>
      <c r="AF147" s="262">
        <f t="shared" si="262"/>
        <v>172992.63270260621</v>
      </c>
      <c r="AG147" s="263">
        <f t="shared" si="263"/>
        <v>134282.56077245096</v>
      </c>
      <c r="AH147" s="262">
        <f t="shared" si="264"/>
        <v>478047.7413371728</v>
      </c>
      <c r="AI147" s="262" t="str">
        <f t="shared" si="265"/>
        <v/>
      </c>
      <c r="AJ147" s="262">
        <f t="shared" si="266"/>
        <v>173017.97334782645</v>
      </c>
      <c r="AK147" s="262">
        <f t="shared" si="267"/>
        <v>134306.14958441636</v>
      </c>
      <c r="AL147" s="263">
        <f t="shared" si="268"/>
        <v>785371.86426941562</v>
      </c>
      <c r="AM147" s="346"/>
      <c r="AN147" s="261">
        <f>IFERROR(VLOOKUP($A147,'HH &amp; SI'!$B$4:$Z$494,'HH &amp; SI'!V$503,0),0)</f>
        <v>471526.85986191547</v>
      </c>
      <c r="AO147" s="262">
        <f>IFERROR(VLOOKUP($A147,'HH &amp; SI'!$B$4:$Z$494,'HH &amp; SI'!W$503,0),0)</f>
        <v>57602.386676862865</v>
      </c>
      <c r="AP147" s="262">
        <f>IFERROR(VLOOKUP($A147,'HH &amp; SI'!$B$4:$Z$494,'HH &amp; SI'!X$503,0),0)</f>
        <v>171444.44243254149</v>
      </c>
      <c r="AQ147" s="262">
        <f>IFERROR(VLOOKUP($A147,'HH &amp; SI'!$B$4:$Z$494,'HH &amp; SI'!Y$503,0),0)</f>
        <v>132826.33757941498</v>
      </c>
      <c r="AR147" s="263">
        <f t="shared" si="269"/>
        <v>833400.02655073476</v>
      </c>
      <c r="AS147" s="346"/>
      <c r="AT147" s="323">
        <f>IFERROR(VLOOKUP(A147,'Afton FY16 Final'!$A$5:$BV$572,'Afton FY16 Final'!$BV$587,0),0)</f>
        <v>757123.50437121256</v>
      </c>
      <c r="AU147" s="346"/>
      <c r="AV147" s="444">
        <v>0</v>
      </c>
      <c r="AW147" s="262">
        <f>IFERROR(VLOOKUP($A147,'HH &amp; SI'!$B$4:$EY$503,'HH &amp; SI'!EX$503,0),0)</f>
        <v>46681.319829765707</v>
      </c>
      <c r="AX147" s="262">
        <f>IFERROR(VLOOKUP($A147,'HH &amp; SI'!$B$4:$EY$503,'HH &amp; SI'!EY$503,0),0)</f>
        <v>786718.70672096906</v>
      </c>
      <c r="AY147" s="262">
        <f>AX147/$AX$582*'update_State Admin 1004(b)'!$B$30*0.01</f>
        <v>7529.4631772640359</v>
      </c>
      <c r="AZ147" s="263">
        <f t="shared" si="270"/>
        <v>779189.24354370497</v>
      </c>
      <c r="BA147" s="261">
        <f t="shared" si="271"/>
        <v>7791.8924354370502</v>
      </c>
      <c r="BB147" s="262">
        <f t="shared" si="272"/>
        <v>771397.3511082679</v>
      </c>
      <c r="BC147" s="341">
        <f t="shared" si="280"/>
        <v>1.0188527322882541</v>
      </c>
      <c r="BD147" s="346"/>
      <c r="BE147" s="376" t="str">
        <f>'Original Title I &amp; II'!AZ147</f>
        <v/>
      </c>
      <c r="BF147" s="243" t="str">
        <f t="shared" si="273"/>
        <v/>
      </c>
      <c r="BG147" s="263">
        <f t="shared" si="250"/>
        <v>771397.3511082679</v>
      </c>
      <c r="BI147" s="31">
        <f>IFERROR(VLOOKUP(A147,'Title II Hold Harmless'!A$1:B$439,2, FALSE),"")</f>
        <v>84461</v>
      </c>
      <c r="BJ147" s="31">
        <f t="shared" si="274"/>
        <v>103434.41944495108</v>
      </c>
      <c r="BK147" s="31">
        <f t="shared" si="275"/>
        <v>103534.48106029227</v>
      </c>
      <c r="BL147" s="31" t="str">
        <f t="shared" si="276"/>
        <v/>
      </c>
      <c r="BM147" s="31">
        <f t="shared" si="277"/>
        <v>103534.48106029227</v>
      </c>
      <c r="BN147" s="200"/>
      <c r="BP147" s="295" t="s">
        <v>1447</v>
      </c>
      <c r="BQ147" s="296" t="str">
        <f t="shared" si="281"/>
        <v>Y</v>
      </c>
      <c r="BR147" s="297" t="s">
        <v>1448</v>
      </c>
      <c r="BT147" s="295" t="str">
        <f t="shared" si="282"/>
        <v>Y</v>
      </c>
      <c r="BU147" s="296" t="str">
        <f t="shared" si="278"/>
        <v>N</v>
      </c>
      <c r="BV147" s="296" t="str">
        <f t="shared" si="279"/>
        <v>Y</v>
      </c>
      <c r="BW147" s="297" t="str">
        <f t="shared" si="283"/>
        <v>Y</v>
      </c>
      <c r="BY147" s="352">
        <f t="shared" si="284"/>
        <v>0.85</v>
      </c>
      <c r="BZ147" s="353">
        <f t="shared" si="285"/>
        <v>0</v>
      </c>
      <c r="CA147" s="353">
        <f t="shared" si="286"/>
        <v>0</v>
      </c>
      <c r="CB147" s="354">
        <f t="shared" si="287"/>
        <v>0.85</v>
      </c>
      <c r="CD147" s="311">
        <f t="shared" si="288"/>
        <v>142</v>
      </c>
    </row>
    <row r="148" spans="1:82" outlineLevel="1" x14ac:dyDescent="0.3">
      <c r="A148" s="1">
        <v>70405000</v>
      </c>
      <c r="B148" s="47">
        <f>VLOOKUP(C148,'NCES ID'!$A$2:$B$3136,2,FALSE)</f>
        <v>403960</v>
      </c>
      <c r="C148" s="47">
        <f>VLOOKUP(A148,'State ID'!$A$2:$B$713,2,FALSE)</f>
        <v>4259</v>
      </c>
      <c r="D148" s="147" t="s">
        <v>220</v>
      </c>
      <c r="E148" s="47" t="s">
        <v>7</v>
      </c>
      <c r="F148" s="382">
        <f>IFERROR(VLOOKUP($B148,'update_Formula counts'!$D$7:$R$234,'update_Formula counts'!F$5,0),0)</f>
        <v>4341</v>
      </c>
      <c r="G148" s="382">
        <f>IFERROR(VLOOKUP($B148,'update_Formula counts'!$D$7:$R$234,'update_Formula counts'!G$5,0),0)</f>
        <v>0</v>
      </c>
      <c r="H148" s="382">
        <f>IFERROR(VLOOKUP($B148,'update_Formula counts'!$D$7:$R$234,'update_Formula counts'!H$5,0),0)</f>
        <v>0</v>
      </c>
      <c r="I148" s="382">
        <f>IFERROR(VLOOKUP($B148,'update_Formula counts'!$D$7:$R$234,'update_Formula counts'!I$5,0),0)</f>
        <v>196</v>
      </c>
      <c r="J148" s="382">
        <f>IFERROR(VLOOKUP($B148,'update_Formula counts'!$D$7:$R$234,'update_Formula counts'!J$5,0),0)</f>
        <v>0</v>
      </c>
      <c r="K148" s="382">
        <f t="shared" si="251"/>
        <v>4341</v>
      </c>
      <c r="L148" s="444">
        <f>IFERROR(VLOOKUP($B148,'update_Formula counts'!$D$7:$R$234,'update_Formula counts'!L$5,0),0)</f>
        <v>8167</v>
      </c>
      <c r="M148" s="445">
        <f>IFERROR(VLOOKUP($B148,'update_Formula counts'!$D$7:$R$234,'update_Formula counts'!K$5,0),0)</f>
        <v>4537</v>
      </c>
      <c r="N148" s="446">
        <f>IFERROR(VLOOKUP($B148,'update_Formula counts'!$D$7:$R$234,'update_Formula counts'!M$5,0),0)</f>
        <v>0.55552834578180488</v>
      </c>
      <c r="O148" s="137">
        <f>VLOOKUP($C148,'Final SEA Counts'!$A$2:$F$709,5,FALSE)</f>
        <v>7489</v>
      </c>
      <c r="P148" s="208">
        <f>VLOOKUP($C148,'Final SEA Counts'!$A$2:$F$709,6,FALSE)</f>
        <v>7287</v>
      </c>
      <c r="Q148" s="748">
        <f t="shared" si="252"/>
        <v>-548.14633398763192</v>
      </c>
      <c r="R148" s="444">
        <f t="shared" si="253"/>
        <v>7411.8562984655246</v>
      </c>
      <c r="S148" s="445">
        <f t="shared" si="254"/>
        <v>3988.8536660123682</v>
      </c>
      <c r="T148" s="229">
        <f t="shared" si="255"/>
        <v>0.53817201863967334</v>
      </c>
      <c r="U148" s="261">
        <f>VLOOKUP($B148,update_Allocation!$D$8:$Q$235,update_Allocation!K$239,0)</f>
        <v>2145502.1283378284</v>
      </c>
      <c r="V148" s="262">
        <f>VLOOKUP($B148,update_Allocation!$D$8:$Q$235,update_Allocation!L$239,0)</f>
        <v>511078.23026576889</v>
      </c>
      <c r="W148" s="262">
        <f>VLOOKUP($B148,update_Allocation!$D$8:$Q$235,update_Allocation!M$239,0)</f>
        <v>1662606.4976868995</v>
      </c>
      <c r="X148" s="262">
        <f>VLOOKUP($B148,update_Allocation!$D$8:$Q$235,update_Allocation!N$239,0)</f>
        <v>1715865.1822857428</v>
      </c>
      <c r="Y148" s="263">
        <f>VLOOKUP($B148,update_Allocation!$D$8:$Q$235,update_Allocation!O$239,0)</f>
        <v>6035052.0385762397</v>
      </c>
      <c r="Z148" s="262">
        <f t="shared" si="256"/>
        <v>1890935.1372683109</v>
      </c>
      <c r="AA148" s="262">
        <f t="shared" si="257"/>
        <v>450656.511617121</v>
      </c>
      <c r="AB148" s="262">
        <f t="shared" si="258"/>
        <v>1465684.4557137785</v>
      </c>
      <c r="AC148" s="263">
        <f t="shared" si="259"/>
        <v>1513522.0002058209</v>
      </c>
      <c r="AD148" s="262">
        <f t="shared" si="260"/>
        <v>1890935.1372683109</v>
      </c>
      <c r="AE148" s="262">
        <f t="shared" si="261"/>
        <v>450656.511617121</v>
      </c>
      <c r="AF148" s="262">
        <f t="shared" si="262"/>
        <v>1465684.4557137785</v>
      </c>
      <c r="AG148" s="263">
        <f t="shared" si="263"/>
        <v>1513522.0002058209</v>
      </c>
      <c r="AH148" s="262">
        <f t="shared" si="264"/>
        <v>1890935.1372683109</v>
      </c>
      <c r="AI148" s="262">
        <f t="shared" si="265"/>
        <v>452787.33299995173</v>
      </c>
      <c r="AJ148" s="262">
        <f t="shared" si="266"/>
        <v>1465709.7963589989</v>
      </c>
      <c r="AK148" s="262">
        <f t="shared" si="267"/>
        <v>1513545.5890177863</v>
      </c>
      <c r="AL148" s="263">
        <f t="shared" si="268"/>
        <v>5322977.8556450475</v>
      </c>
      <c r="AM148" s="346"/>
      <c r="AN148" s="261">
        <f>IFERROR(VLOOKUP($A148,'HH &amp; SI'!$B$4:$Z$494,'HH &amp; SI'!V$503,0),0)</f>
        <v>1865141.5546586832</v>
      </c>
      <c r="AO148" s="262">
        <f>IFERROR(VLOOKUP($A148,'HH &amp; SI'!$B$4:$Z$494,'HH &amp; SI'!W$503,0),0)</f>
        <v>437874.17368455546</v>
      </c>
      <c r="AP148" s="262">
        <f>IFERROR(VLOOKUP($A148,'HH &amp; SI'!$B$4:$Z$494,'HH &amp; SI'!X$503,0),0)</f>
        <v>1452379.7380258662</v>
      </c>
      <c r="AQ148" s="262">
        <f>IFERROR(VLOOKUP($A148,'HH &amp; SI'!$B$4:$Z$494,'HH &amp; SI'!Y$503,0),0)</f>
        <v>1496869.041148043</v>
      </c>
      <c r="AR148" s="263">
        <f t="shared" si="269"/>
        <v>5252264.5075171478</v>
      </c>
      <c r="AS148" s="346"/>
      <c r="AT148" s="323">
        <f>IFERROR(VLOOKUP(A148,'Afton FY16 Final'!$A$5:$BV$572,'Afton FY16 Final'!$BV$587,0),0)</f>
        <v>3987886.3489956739</v>
      </c>
      <c r="AU148" s="346"/>
      <c r="AV148" s="444">
        <v>0</v>
      </c>
      <c r="AW148" s="262">
        <f>IFERROR(VLOOKUP($A148,'HH &amp; SI'!$B$4:$EY$503,'HH &amp; SI'!EX$503,0),0)</f>
        <v>294195.6221440183</v>
      </c>
      <c r="AX148" s="262">
        <f>IFERROR(VLOOKUP($A148,'HH &amp; SI'!$B$4:$EY$503,'HH &amp; SI'!EY$503,0),0)</f>
        <v>4958068.8853731295</v>
      </c>
      <c r="AY148" s="262">
        <f>AX148/$AX$582*'update_State Admin 1004(b)'!$B$30*0.01</f>
        <v>47452.280953573631</v>
      </c>
      <c r="AZ148" s="263">
        <f t="shared" si="270"/>
        <v>4910616.6044195555</v>
      </c>
      <c r="BA148" s="261">
        <f t="shared" si="271"/>
        <v>49106.166044195554</v>
      </c>
      <c r="BB148" s="262">
        <f t="shared" si="272"/>
        <v>4861510.4383753603</v>
      </c>
      <c r="BC148" s="341">
        <f t="shared" si="280"/>
        <v>1.2190694550760464</v>
      </c>
      <c r="BD148" s="346"/>
      <c r="BE148" s="376" t="str">
        <f>'Original Title I &amp; II'!AZ148</f>
        <v/>
      </c>
      <c r="BF148" s="243" t="str">
        <f t="shared" si="273"/>
        <v/>
      </c>
      <c r="BG148" s="263">
        <f t="shared" si="250"/>
        <v>4861510.4383753603</v>
      </c>
      <c r="BI148" s="31">
        <f>IFERROR(VLOOKUP(A148,'Title II Hold Harmless'!A$1:B$439,2, FALSE),"")</f>
        <v>465385</v>
      </c>
      <c r="BJ148" s="31">
        <f t="shared" si="274"/>
        <v>523567.71395921893</v>
      </c>
      <c r="BK148" s="31">
        <f t="shared" si="275"/>
        <v>524074.20910348889</v>
      </c>
      <c r="BL148" s="31" t="str">
        <f t="shared" si="276"/>
        <v/>
      </c>
      <c r="BM148" s="31">
        <f t="shared" si="277"/>
        <v>524074.20910348889</v>
      </c>
      <c r="BN148" s="200"/>
      <c r="BP148" s="295" t="s">
        <v>1447</v>
      </c>
      <c r="BQ148" s="296" t="str">
        <f t="shared" si="281"/>
        <v>Y</v>
      </c>
      <c r="BR148" s="297" t="s">
        <v>1448</v>
      </c>
      <c r="BT148" s="295" t="str">
        <f t="shared" si="282"/>
        <v>Y</v>
      </c>
      <c r="BU148" s="296" t="str">
        <f t="shared" si="278"/>
        <v>Y</v>
      </c>
      <c r="BV148" s="296" t="str">
        <f t="shared" si="279"/>
        <v>Y</v>
      </c>
      <c r="BW148" s="297" t="str">
        <f t="shared" si="283"/>
        <v>Y</v>
      </c>
      <c r="BY148" s="352">
        <f t="shared" si="284"/>
        <v>0</v>
      </c>
      <c r="BZ148" s="353">
        <f t="shared" si="285"/>
        <v>0</v>
      </c>
      <c r="CA148" s="353">
        <f t="shared" si="286"/>
        <v>0.95</v>
      </c>
      <c r="CB148" s="354">
        <f t="shared" si="287"/>
        <v>0.95</v>
      </c>
      <c r="CD148" s="311">
        <f t="shared" si="288"/>
        <v>143</v>
      </c>
    </row>
    <row r="149" spans="1:82" outlineLevel="1" x14ac:dyDescent="0.3">
      <c r="A149" s="1">
        <v>70293000</v>
      </c>
      <c r="B149" s="47">
        <f>VLOOKUP(C149,'NCES ID'!$A$2:$B$3136,2,FALSE)</f>
        <v>400001</v>
      </c>
      <c r="C149" s="47">
        <f>VLOOKUP(A149,'State ID'!$A$2:$B$713,2,FALSE)</f>
        <v>4244</v>
      </c>
      <c r="D149" s="147" t="s">
        <v>96</v>
      </c>
      <c r="E149" s="47" t="s">
        <v>7</v>
      </c>
      <c r="F149" s="382">
        <f>IFERROR(VLOOKUP($B149,'update_Formula counts'!$D$7:$R$234,'update_Formula counts'!F$5,0),0)</f>
        <v>580</v>
      </c>
      <c r="G149" s="382">
        <f>IFERROR(VLOOKUP($B149,'update_Formula counts'!$D$7:$R$234,'update_Formula counts'!G$5,0),0)</f>
        <v>0</v>
      </c>
      <c r="H149" s="382">
        <f>IFERROR(VLOOKUP($B149,'update_Formula counts'!$D$7:$R$234,'update_Formula counts'!H$5,0),0)</f>
        <v>0</v>
      </c>
      <c r="I149" s="382">
        <f>IFERROR(VLOOKUP($B149,'update_Formula counts'!$D$7:$R$234,'update_Formula counts'!I$5,0),0)</f>
        <v>26</v>
      </c>
      <c r="J149" s="382">
        <f>IFERROR(VLOOKUP($B149,'update_Formula counts'!$D$7:$R$234,'update_Formula counts'!J$5,0),0)</f>
        <v>0</v>
      </c>
      <c r="K149" s="382">
        <f t="shared" si="251"/>
        <v>580</v>
      </c>
      <c r="L149" s="444">
        <f>IFERROR(VLOOKUP($B149,'update_Formula counts'!$D$7:$R$234,'update_Formula counts'!L$5,0),0)</f>
        <v>8799</v>
      </c>
      <c r="M149" s="445">
        <f>IFERROR(VLOOKUP($B149,'update_Formula counts'!$D$7:$R$234,'update_Formula counts'!K$5,0),0)</f>
        <v>606</v>
      </c>
      <c r="N149" s="446">
        <f>IFERROR(VLOOKUP($B149,'update_Formula counts'!$D$7:$R$234,'update_Formula counts'!M$5,0),0)</f>
        <v>6.8871462666212066E-2</v>
      </c>
      <c r="O149" s="137">
        <f>VLOOKUP($C149,'Final SEA Counts'!$A$2:$F$709,5,FALSE)</f>
        <v>4895</v>
      </c>
      <c r="P149" s="208">
        <f>VLOOKUP($C149,'Final SEA Counts'!$A$2:$F$709,6,FALSE)</f>
        <v>492</v>
      </c>
      <c r="Q149" s="748">
        <f t="shared" si="252"/>
        <v>-73.238083379618757</v>
      </c>
      <c r="R149" s="444">
        <f t="shared" si="253"/>
        <v>7985.4198077872097</v>
      </c>
      <c r="S149" s="445">
        <f t="shared" si="254"/>
        <v>532.76191662038127</v>
      </c>
      <c r="T149" s="229">
        <f t="shared" si="255"/>
        <v>6.6716832607954218E-2</v>
      </c>
      <c r="U149" s="261">
        <f>VLOOKUP($B149,update_Allocation!$D$8:$Q$235,update_Allocation!K$239,0)</f>
        <v>286571.36649167386</v>
      </c>
      <c r="V149" s="262">
        <f>VLOOKUP($B149,update_Allocation!$D$8:$Q$235,update_Allocation!L$239,0)</f>
        <v>0</v>
      </c>
      <c r="W149" s="262">
        <f>VLOOKUP($B149,update_Allocation!$D$8:$Q$235,update_Allocation!M$239,0)</f>
        <v>86486.142228507408</v>
      </c>
      <c r="X149" s="262">
        <f>VLOOKUP($B149,update_Allocation!$D$8:$Q$235,update_Allocation!N$239,0)</f>
        <v>67094.043249772774</v>
      </c>
      <c r="Y149" s="263">
        <f>VLOOKUP($B149,update_Allocation!$D$8:$Q$235,update_Allocation!O$239,0)</f>
        <v>440151.55196995405</v>
      </c>
      <c r="Z149" s="262">
        <f t="shared" si="256"/>
        <v>252569.25130804421</v>
      </c>
      <c r="AA149" s="262" t="str">
        <f t="shared" si="257"/>
        <v/>
      </c>
      <c r="AB149" s="262">
        <f t="shared" si="258"/>
        <v>76242.571212930445</v>
      </c>
      <c r="AC149" s="263">
        <f t="shared" si="259"/>
        <v>59181.986784076558</v>
      </c>
      <c r="AD149" s="262">
        <f t="shared" si="260"/>
        <v>252569.25130804421</v>
      </c>
      <c r="AE149" s="262" t="str">
        <f t="shared" si="261"/>
        <v/>
      </c>
      <c r="AF149" s="262">
        <f t="shared" si="262"/>
        <v>76242.571212930445</v>
      </c>
      <c r="AG149" s="263">
        <f t="shared" si="263"/>
        <v>59181.986784076558</v>
      </c>
      <c r="AH149" s="262">
        <f t="shared" si="264"/>
        <v>252569.25130804421</v>
      </c>
      <c r="AI149" s="262" t="str">
        <f t="shared" si="265"/>
        <v/>
      </c>
      <c r="AJ149" s="262">
        <f t="shared" si="266"/>
        <v>76267.911858150706</v>
      </c>
      <c r="AK149" s="262">
        <f t="shared" si="267"/>
        <v>59205.575596041963</v>
      </c>
      <c r="AL149" s="263">
        <f t="shared" si="268"/>
        <v>388042.7387622369</v>
      </c>
      <c r="AM149" s="346"/>
      <c r="AN149" s="261">
        <f>IFERROR(VLOOKUP($A149,'HH &amp; SI'!$B$4:$Z$494,'HH &amp; SI'!V$503,0),0)</f>
        <v>249124.04278667891</v>
      </c>
      <c r="AO149" s="262">
        <f>IFERROR(VLOOKUP($A149,'HH &amp; SI'!$B$4:$Z$494,'HH &amp; SI'!W$503,0),0)</f>
        <v>0</v>
      </c>
      <c r="AP149" s="262">
        <f>IFERROR(VLOOKUP($A149,'HH &amp; SI'!$B$4:$Z$494,'HH &amp; SI'!X$503,0),0)</f>
        <v>75574.284977481104</v>
      </c>
      <c r="AQ149" s="262">
        <f>IFERROR(VLOOKUP($A149,'HH &amp; SI'!$B$4:$Z$494,'HH &amp; SI'!Y$503,0),0)</f>
        <v>58553.236728453681</v>
      </c>
      <c r="AR149" s="263">
        <f t="shared" si="269"/>
        <v>383251.56449261366</v>
      </c>
      <c r="AS149" s="346"/>
      <c r="AT149" s="323">
        <f>IFERROR(VLOOKUP(A149,'Afton FY16 Final'!$A$5:$BV$572,'Afton FY16 Final'!$BV$587,0),0)</f>
        <v>364910.9193514199</v>
      </c>
      <c r="AU149" s="346"/>
      <c r="AV149" s="444">
        <v>0</v>
      </c>
      <c r="AW149" s="262">
        <f>IFERROR(VLOOKUP($A149,'HH &amp; SI'!$B$4:$EY$503,'HH &amp; SI'!EX$503,0),0)</f>
        <v>18340.64514119376</v>
      </c>
      <c r="AX149" s="262">
        <f>IFERROR(VLOOKUP($A149,'HH &amp; SI'!$B$4:$EY$503,'HH &amp; SI'!EY$503,0),0)</f>
        <v>364910.9193514199</v>
      </c>
      <c r="AY149" s="262">
        <f>AX149/$AX$582*'update_State Admin 1004(b)'!$B$30*0.01</f>
        <v>3492.4596387061465</v>
      </c>
      <c r="AZ149" s="263">
        <f t="shared" si="270"/>
        <v>361418.45971271372</v>
      </c>
      <c r="BA149" s="261">
        <f t="shared" si="271"/>
        <v>3614.1845971271373</v>
      </c>
      <c r="BB149" s="262">
        <f t="shared" si="272"/>
        <v>357804.27511558658</v>
      </c>
      <c r="BC149" s="341">
        <f t="shared" si="280"/>
        <v>0.98052498881517602</v>
      </c>
      <c r="BD149" s="346"/>
      <c r="BE149" s="376" t="str">
        <f>'Original Title I &amp; II'!AZ149</f>
        <v/>
      </c>
      <c r="BF149" s="243" t="str">
        <f t="shared" si="273"/>
        <v/>
      </c>
      <c r="BG149" s="263">
        <f t="shared" si="250"/>
        <v>357804.27511558658</v>
      </c>
      <c r="BI149" s="31">
        <f>IFERROR(VLOOKUP(A149,'Title II Hold Harmless'!A$1:B$439,2, FALSE),"")</f>
        <v>47320</v>
      </c>
      <c r="BJ149" s="31">
        <f t="shared" si="274"/>
        <v>60720.992329841771</v>
      </c>
      <c r="BK149" s="31">
        <f t="shared" si="275"/>
        <v>60779.733323509528</v>
      </c>
      <c r="BL149" s="31" t="str">
        <f t="shared" si="276"/>
        <v/>
      </c>
      <c r="BM149" s="31">
        <f t="shared" si="277"/>
        <v>60779.733323509528</v>
      </c>
      <c r="BN149" s="200"/>
      <c r="BP149" s="295" t="s">
        <v>1447</v>
      </c>
      <c r="BQ149" s="296" t="str">
        <f t="shared" si="281"/>
        <v>Y</v>
      </c>
      <c r="BR149" s="297" t="s">
        <v>1448</v>
      </c>
      <c r="BT149" s="295" t="str">
        <f t="shared" si="282"/>
        <v>Y</v>
      </c>
      <c r="BU149" s="296" t="str">
        <f t="shared" si="278"/>
        <v>N</v>
      </c>
      <c r="BV149" s="296" t="str">
        <f t="shared" si="279"/>
        <v>Y</v>
      </c>
      <c r="BW149" s="297" t="str">
        <f t="shared" si="283"/>
        <v>Y</v>
      </c>
      <c r="BY149" s="352">
        <f t="shared" si="284"/>
        <v>0.85</v>
      </c>
      <c r="BZ149" s="353">
        <f t="shared" si="285"/>
        <v>0</v>
      </c>
      <c r="CA149" s="353">
        <f t="shared" si="286"/>
        <v>0</v>
      </c>
      <c r="CB149" s="354">
        <f t="shared" si="287"/>
        <v>0.85</v>
      </c>
      <c r="CD149" s="311">
        <f t="shared" si="288"/>
        <v>144</v>
      </c>
    </row>
    <row r="150" spans="1:82" outlineLevel="1" x14ac:dyDescent="0.3">
      <c r="A150" s="1">
        <v>70414000</v>
      </c>
      <c r="B150" s="47">
        <f>VLOOKUP(C150,'NCES ID'!$A$2:$B$3136,2,FALSE)</f>
        <v>402430</v>
      </c>
      <c r="C150" s="47">
        <f>VLOOKUP(A150,'State ID'!$A$2:$B$713,2,FALSE)</f>
        <v>4263</v>
      </c>
      <c r="D150" s="147" t="s">
        <v>122</v>
      </c>
      <c r="E150" s="47" t="s">
        <v>7</v>
      </c>
      <c r="F150" s="382">
        <f>IFERROR(VLOOKUP($B150,'update_Formula counts'!$D$7:$R$234,'update_Formula counts'!F$5,0),0)</f>
        <v>4168</v>
      </c>
      <c r="G150" s="382">
        <f>IFERROR(VLOOKUP($B150,'update_Formula counts'!$D$7:$R$234,'update_Formula counts'!G$5,0),0)</f>
        <v>9</v>
      </c>
      <c r="H150" s="382">
        <f>IFERROR(VLOOKUP($B150,'update_Formula counts'!$D$7:$R$234,'update_Formula counts'!H$5,0),0)</f>
        <v>0</v>
      </c>
      <c r="I150" s="382">
        <f>IFERROR(VLOOKUP($B150,'update_Formula counts'!$D$7:$R$234,'update_Formula counts'!I$5,0),0)</f>
        <v>189</v>
      </c>
      <c r="J150" s="382">
        <f>IFERROR(VLOOKUP($B150,'update_Formula counts'!$D$7:$R$234,'update_Formula counts'!J$5,0),0)</f>
        <v>0</v>
      </c>
      <c r="K150" s="382">
        <f t="shared" si="251"/>
        <v>4177</v>
      </c>
      <c r="L150" s="444">
        <f>IFERROR(VLOOKUP($B150,'update_Formula counts'!$D$7:$R$234,'update_Formula counts'!L$5,0),0)</f>
        <v>9584</v>
      </c>
      <c r="M150" s="445">
        <f>IFERROR(VLOOKUP($B150,'update_Formula counts'!$D$7:$R$234,'update_Formula counts'!K$5,0),0)</f>
        <v>4366</v>
      </c>
      <c r="N150" s="446">
        <f>IFERROR(VLOOKUP($B150,'update_Formula counts'!$D$7:$R$234,'update_Formula counts'!M$5,0),0)</f>
        <v>0.455550918196995</v>
      </c>
      <c r="O150" s="137">
        <f>VLOOKUP($C150,'Final SEA Counts'!$A$2:$F$709,5,FALSE)</f>
        <v>6598</v>
      </c>
      <c r="P150" s="208">
        <f>VLOOKUP($C150,'Final SEA Counts'!$A$2:$F$709,6,FALSE)</f>
        <v>6159</v>
      </c>
      <c r="Q150" s="748">
        <f t="shared" si="252"/>
        <v>-526.28145261669681</v>
      </c>
      <c r="R150" s="444">
        <f t="shared" si="253"/>
        <v>8697.8365084478482</v>
      </c>
      <c r="S150" s="445">
        <f t="shared" si="254"/>
        <v>3839.7185473833033</v>
      </c>
      <c r="T150" s="229">
        <f t="shared" si="255"/>
        <v>0.44145673969083504</v>
      </c>
      <c r="U150" s="261">
        <f>VLOOKUP($B150,update_Allocation!$D$8:$Q$235,update_Allocation!K$239,0)</f>
        <v>2099180.0891512232</v>
      </c>
      <c r="V150" s="262">
        <f>VLOOKUP($B150,update_Allocation!$D$8:$Q$235,update_Allocation!L$239,0)</f>
        <v>516264.97986119654</v>
      </c>
      <c r="W150" s="262">
        <f>VLOOKUP($B150,update_Allocation!$D$8:$Q$235,update_Allocation!M$239,0)</f>
        <v>1404079.7986279321</v>
      </c>
      <c r="X150" s="262">
        <f>VLOOKUP($B150,update_Allocation!$D$8:$Q$235,update_Allocation!N$239,0)</f>
        <v>1416870.263918943</v>
      </c>
      <c r="Y150" s="263">
        <f>VLOOKUP($B150,update_Allocation!$D$8:$Q$235,update_Allocation!O$239,0)</f>
        <v>5436395.1315592946</v>
      </c>
      <c r="Z150" s="262">
        <f t="shared" si="256"/>
        <v>1850109.2763330289</v>
      </c>
      <c r="AA150" s="262">
        <f t="shared" si="257"/>
        <v>455230.06286795676</v>
      </c>
      <c r="AB150" s="262">
        <f t="shared" si="258"/>
        <v>1237778.1142403795</v>
      </c>
      <c r="AC150" s="263">
        <f t="shared" si="259"/>
        <v>1249786.0193316927</v>
      </c>
      <c r="AD150" s="262">
        <f t="shared" si="260"/>
        <v>1850109.2763330289</v>
      </c>
      <c r="AE150" s="262">
        <f t="shared" si="261"/>
        <v>455230.06286795676</v>
      </c>
      <c r="AF150" s="262">
        <f t="shared" si="262"/>
        <v>1237778.1142403795</v>
      </c>
      <c r="AG150" s="263">
        <f t="shared" si="263"/>
        <v>1249786.0193316927</v>
      </c>
      <c r="AH150" s="262">
        <f t="shared" si="264"/>
        <v>1850109.2763330289</v>
      </c>
      <c r="AI150" s="262">
        <f t="shared" si="265"/>
        <v>457360.88425078749</v>
      </c>
      <c r="AJ150" s="262">
        <f t="shared" si="266"/>
        <v>1237803.4548855999</v>
      </c>
      <c r="AK150" s="262">
        <f t="shared" si="267"/>
        <v>1249809.6081436581</v>
      </c>
      <c r="AL150" s="263">
        <f t="shared" si="268"/>
        <v>4795083.223613075</v>
      </c>
      <c r="AM150" s="346"/>
      <c r="AN150" s="261">
        <f>IFERROR(VLOOKUP($A150,'HH &amp; SI'!$B$4:$Z$494,'HH &amp; SI'!V$503,0),0)</f>
        <v>1830034.9571068815</v>
      </c>
      <c r="AO150" s="262">
        <f>IFERROR(VLOOKUP($A150,'HH &amp; SI'!$B$4:$Z$494,'HH &amp; SI'!W$503,0),0)</f>
        <v>457603.89552831708</v>
      </c>
      <c r="AP150" s="262">
        <f>IFERROR(VLOOKUP($A150,'HH &amp; SI'!$B$4:$Z$494,'HH &amp; SI'!X$503,0),0)</f>
        <v>1226546.1157455011</v>
      </c>
      <c r="AQ150" s="262">
        <f>IFERROR(VLOOKUP($A150,'HH &amp; SI'!$B$4:$Z$494,'HH &amp; SI'!Y$503,0),0)</f>
        <v>1239924.5587433318</v>
      </c>
      <c r="AR150" s="263">
        <f t="shared" si="269"/>
        <v>4754109.5271240314</v>
      </c>
      <c r="AS150" s="346"/>
      <c r="AT150" s="323">
        <f>IFERROR(VLOOKUP(A150,'Afton FY16 Final'!$A$5:$BV$572,'Afton FY16 Final'!$BV$587,0),0)</f>
        <v>4867102.2575112274</v>
      </c>
      <c r="AU150" s="346"/>
      <c r="AV150" s="444">
        <v>0</v>
      </c>
      <c r="AW150" s="262">
        <f>IFERROR(VLOOKUP($A150,'HH &amp; SI'!$B$4:$EY$503,'HH &amp; SI'!EX$503,0),0)</f>
        <v>0</v>
      </c>
      <c r="AX150" s="262">
        <f>IFERROR(VLOOKUP($A150,'HH &amp; SI'!$B$4:$EY$503,'HH &amp; SI'!EY$503,0),0)</f>
        <v>4754109.5271240314</v>
      </c>
      <c r="AY150" s="262">
        <f>AX150/$AX$582*'update_State Admin 1004(b)'!$B$30*0.01</f>
        <v>45500.243377149673</v>
      </c>
      <c r="AZ150" s="263">
        <f t="shared" si="270"/>
        <v>4708609.2837468814</v>
      </c>
      <c r="BA150" s="261">
        <f t="shared" si="271"/>
        <v>47086.092837468816</v>
      </c>
      <c r="BB150" s="262">
        <f t="shared" si="272"/>
        <v>4661523.1909094127</v>
      </c>
      <c r="BC150" s="341">
        <f t="shared" si="280"/>
        <v>0.95776150659572612</v>
      </c>
      <c r="BD150" s="346"/>
      <c r="BE150" s="376" t="str">
        <f>'Original Title I &amp; II'!AZ150</f>
        <v/>
      </c>
      <c r="BF150" s="243" t="str">
        <f t="shared" si="273"/>
        <v/>
      </c>
      <c r="BG150" s="263">
        <f t="shared" si="250"/>
        <v>4661523.1909094127</v>
      </c>
      <c r="BI150" s="31">
        <f>IFERROR(VLOOKUP(A150,'Title II Hold Harmless'!A$1:B$439,2, FALSE),"")</f>
        <v>465459</v>
      </c>
      <c r="BJ150" s="31">
        <f t="shared" si="274"/>
        <v>522724.35863549466</v>
      </c>
      <c r="BK150" s="31">
        <f t="shared" si="275"/>
        <v>523230.03792469</v>
      </c>
      <c r="BL150" s="31" t="str">
        <f t="shared" si="276"/>
        <v/>
      </c>
      <c r="BM150" s="31">
        <f t="shared" si="277"/>
        <v>523230.03792469</v>
      </c>
      <c r="BN150" s="200"/>
      <c r="BP150" s="295" t="s">
        <v>1447</v>
      </c>
      <c r="BQ150" s="296" t="str">
        <f t="shared" si="281"/>
        <v>Y</v>
      </c>
      <c r="BR150" s="297" t="s">
        <v>1448</v>
      </c>
      <c r="BT150" s="295" t="str">
        <f t="shared" si="282"/>
        <v>Y</v>
      </c>
      <c r="BU150" s="296" t="str">
        <f t="shared" si="278"/>
        <v>Y</v>
      </c>
      <c r="BV150" s="296" t="str">
        <f t="shared" si="279"/>
        <v>Y</v>
      </c>
      <c r="BW150" s="297" t="str">
        <f t="shared" si="283"/>
        <v>Y</v>
      </c>
      <c r="BY150" s="352">
        <f t="shared" si="284"/>
        <v>0</v>
      </c>
      <c r="BZ150" s="353">
        <f t="shared" si="285"/>
        <v>0</v>
      </c>
      <c r="CA150" s="353">
        <f t="shared" si="286"/>
        <v>0.95</v>
      </c>
      <c r="CB150" s="354">
        <f t="shared" si="287"/>
        <v>0.95</v>
      </c>
      <c r="CD150" s="311">
        <f t="shared" si="288"/>
        <v>145</v>
      </c>
    </row>
    <row r="151" spans="1:82" outlineLevel="1" x14ac:dyDescent="0.3">
      <c r="A151" s="1">
        <v>70492000</v>
      </c>
      <c r="B151" s="47">
        <f>VLOOKUP(C151,'NCES ID'!$A$2:$B$3136,2,FALSE)</f>
        <v>406210</v>
      </c>
      <c r="C151" s="47">
        <f>VLOOKUP(A151,'State ID'!$A$2:$B$713,2,FALSE)</f>
        <v>4283</v>
      </c>
      <c r="D151" s="147" t="s">
        <v>334</v>
      </c>
      <c r="E151" s="47" t="s">
        <v>7</v>
      </c>
      <c r="F151" s="382">
        <f>IFERROR(VLOOKUP($B151,'update_Formula counts'!$D$7:$R$234,'update_Formula counts'!F$5,0),0)</f>
        <v>3086</v>
      </c>
      <c r="G151" s="382">
        <f>IFERROR(VLOOKUP($B151,'update_Formula counts'!$D$7:$R$234,'update_Formula counts'!G$5,0),0)</f>
        <v>38</v>
      </c>
      <c r="H151" s="382">
        <f>IFERROR(VLOOKUP($B151,'update_Formula counts'!$D$7:$R$234,'update_Formula counts'!H$5,0),0)</f>
        <v>0</v>
      </c>
      <c r="I151" s="382">
        <f>IFERROR(VLOOKUP($B151,'update_Formula counts'!$D$7:$R$234,'update_Formula counts'!I$5,0),0)</f>
        <v>140</v>
      </c>
      <c r="J151" s="382">
        <f>IFERROR(VLOOKUP($B151,'update_Formula counts'!$D$7:$R$234,'update_Formula counts'!J$5,0),0)</f>
        <v>0</v>
      </c>
      <c r="K151" s="382">
        <f t="shared" si="251"/>
        <v>3124</v>
      </c>
      <c r="L151" s="444">
        <f>IFERROR(VLOOKUP($B151,'update_Formula counts'!$D$7:$R$234,'update_Formula counts'!L$5,0),0)</f>
        <v>11337</v>
      </c>
      <c r="M151" s="445">
        <f>IFERROR(VLOOKUP($B151,'update_Formula counts'!$D$7:$R$234,'update_Formula counts'!K$5,0),0)</f>
        <v>3264</v>
      </c>
      <c r="N151" s="446">
        <f>IFERROR(VLOOKUP($B151,'update_Formula counts'!$D$7:$R$234,'update_Formula counts'!M$5,0),0)</f>
        <v>0.28790685366499075</v>
      </c>
      <c r="O151" s="137">
        <f>VLOOKUP($C151,'Final SEA Counts'!$A$2:$F$709,5,FALSE)</f>
        <v>10221</v>
      </c>
      <c r="P151" s="208">
        <f>VLOOKUP($C151,'Final SEA Counts'!$A$2:$F$709,6,FALSE)</f>
        <v>8114</v>
      </c>
      <c r="Q151" s="748">
        <f t="shared" si="252"/>
        <v>-389.59689981512815</v>
      </c>
      <c r="R151" s="444">
        <f t="shared" si="253"/>
        <v>10288.749217056893</v>
      </c>
      <c r="S151" s="445">
        <f t="shared" si="254"/>
        <v>2874.4031001848716</v>
      </c>
      <c r="T151" s="229">
        <f t="shared" si="255"/>
        <v>0.27937342426615169</v>
      </c>
      <c r="U151" s="261">
        <f>VLOOKUP($B151,update_Allocation!$D$8:$Q$235,update_Allocation!K$239,0)</f>
        <v>1543513.1026878285</v>
      </c>
      <c r="V151" s="262">
        <f>VLOOKUP($B151,update_Allocation!$D$8:$Q$235,update_Allocation!L$239,0)</f>
        <v>367678.93841469457</v>
      </c>
      <c r="W151" s="262">
        <f>VLOOKUP($B151,update_Allocation!$D$8:$Q$235,update_Allocation!M$239,0)</f>
        <v>720931.92651370482</v>
      </c>
      <c r="X151" s="262">
        <f>VLOOKUP($B151,update_Allocation!$D$8:$Q$235,update_Allocation!N$239,0)</f>
        <v>587017.52031401871</v>
      </c>
      <c r="Y151" s="263">
        <f>VLOOKUP($B151,update_Allocation!$D$8:$Q$235,update_Allocation!O$239,0)</f>
        <v>3219141.4879302466</v>
      </c>
      <c r="Z151" s="262">
        <f t="shared" si="256"/>
        <v>1360372.9971443182</v>
      </c>
      <c r="AA151" s="262">
        <f t="shared" si="257"/>
        <v>324210.45931635058</v>
      </c>
      <c r="AB151" s="262">
        <f t="shared" si="258"/>
        <v>635543.47934342921</v>
      </c>
      <c r="AC151" s="263">
        <f t="shared" si="259"/>
        <v>517793.55433857092</v>
      </c>
      <c r="AD151" s="262">
        <f t="shared" si="260"/>
        <v>1360372.9971443182</v>
      </c>
      <c r="AE151" s="262">
        <f t="shared" si="261"/>
        <v>324210.45931635058</v>
      </c>
      <c r="AF151" s="262">
        <f t="shared" si="262"/>
        <v>635543.47934342921</v>
      </c>
      <c r="AG151" s="263">
        <f t="shared" si="263"/>
        <v>517793.55433857092</v>
      </c>
      <c r="AH151" s="262">
        <f t="shared" si="264"/>
        <v>1360372.9971443182</v>
      </c>
      <c r="AI151" s="262">
        <f t="shared" si="265"/>
        <v>326341.28069918131</v>
      </c>
      <c r="AJ151" s="262">
        <f t="shared" si="266"/>
        <v>635568.81998864945</v>
      </c>
      <c r="AK151" s="262">
        <f t="shared" si="267"/>
        <v>517817.14315053634</v>
      </c>
      <c r="AL151" s="263">
        <f t="shared" si="268"/>
        <v>2840100.2409826852</v>
      </c>
      <c r="AM151" s="346"/>
      <c r="AN151" s="261">
        <f>IFERROR(VLOOKUP($A151,'HH &amp; SI'!$B$4:$Z$494,'HH &amp; SI'!V$503,0),0)</f>
        <v>1341816.6264945883</v>
      </c>
      <c r="AO151" s="262">
        <f>IFERROR(VLOOKUP($A151,'HH &amp; SI'!$B$4:$Z$494,'HH &amp; SI'!W$503,0),0)</f>
        <v>315592.79204775987</v>
      </c>
      <c r="AP151" s="262">
        <f>IFERROR(VLOOKUP($A151,'HH &amp; SI'!$B$4:$Z$494,'HH &amp; SI'!X$503,0),0)</f>
        <v>629788.56971931586</v>
      </c>
      <c r="AQ151" s="262">
        <f>IFERROR(VLOOKUP($A151,'HH &amp; SI'!$B$4:$Z$494,'HH &amp; SI'!Y$503,0),0)</f>
        <v>512111.73035148904</v>
      </c>
      <c r="AR151" s="263">
        <f t="shared" si="269"/>
        <v>2799309.7186131533</v>
      </c>
      <c r="AS151" s="346"/>
      <c r="AT151" s="323">
        <f>IFERROR(VLOOKUP(A151,'Afton FY16 Final'!$A$5:$BV$572,'Afton FY16 Final'!$BV$587,0),0)</f>
        <v>2246757.8913828856</v>
      </c>
      <c r="AU151" s="346"/>
      <c r="AV151" s="444">
        <v>0</v>
      </c>
      <c r="AW151" s="262">
        <f>IFERROR(VLOOKUP($A151,'HH &amp; SI'!$B$4:$EY$503,'HH &amp; SI'!EX$503,0),0)</f>
        <v>156798.01789542846</v>
      </c>
      <c r="AX151" s="262">
        <f>IFERROR(VLOOKUP($A151,'HH &amp; SI'!$B$4:$EY$503,'HH &amp; SI'!EY$503,0),0)</f>
        <v>2642511.7007177249</v>
      </c>
      <c r="AY151" s="262">
        <f>AX151/$AX$582*'update_State Admin 1004(b)'!$B$30*0.01</f>
        <v>25290.735273059134</v>
      </c>
      <c r="AZ151" s="263">
        <f t="shared" si="270"/>
        <v>2617220.9654446659</v>
      </c>
      <c r="BA151" s="261">
        <f t="shared" si="271"/>
        <v>26172.209654446659</v>
      </c>
      <c r="BB151" s="262">
        <f t="shared" si="272"/>
        <v>2591048.7557902192</v>
      </c>
      <c r="BC151" s="341">
        <f t="shared" si="280"/>
        <v>1.1532389696850789</v>
      </c>
      <c r="BD151" s="346"/>
      <c r="BE151" s="376" t="str">
        <f>'Original Title I &amp; II'!AZ151</f>
        <v/>
      </c>
      <c r="BF151" s="243" t="str">
        <f t="shared" si="273"/>
        <v/>
      </c>
      <c r="BG151" s="263">
        <f t="shared" si="250"/>
        <v>2591048.7557902192</v>
      </c>
      <c r="BI151" s="31">
        <f>IFERROR(VLOOKUP(A151,'Title II Hold Harmless'!A$1:B$439,2, FALSE),"")</f>
        <v>211108</v>
      </c>
      <c r="BJ151" s="31">
        <f t="shared" si="274"/>
        <v>257016.88399678722</v>
      </c>
      <c r="BK151" s="31">
        <f t="shared" si="275"/>
        <v>257265.52003806518</v>
      </c>
      <c r="BL151" s="31" t="str">
        <f t="shared" si="276"/>
        <v/>
      </c>
      <c r="BM151" s="31">
        <f t="shared" si="277"/>
        <v>257265.52003806518</v>
      </c>
      <c r="BN151" s="200"/>
      <c r="BP151" s="295" t="s">
        <v>1447</v>
      </c>
      <c r="BQ151" s="296" t="str">
        <f t="shared" si="281"/>
        <v>Y</v>
      </c>
      <c r="BR151" s="297" t="s">
        <v>1448</v>
      </c>
      <c r="BT151" s="295" t="str">
        <f t="shared" si="282"/>
        <v>Y</v>
      </c>
      <c r="BU151" s="296" t="str">
        <f t="shared" si="278"/>
        <v>Y</v>
      </c>
      <c r="BV151" s="296" t="str">
        <f t="shared" si="279"/>
        <v>Y</v>
      </c>
      <c r="BW151" s="297" t="str">
        <f t="shared" si="283"/>
        <v>Y</v>
      </c>
      <c r="BY151" s="352">
        <f t="shared" si="284"/>
        <v>0</v>
      </c>
      <c r="BZ151" s="353">
        <f t="shared" si="285"/>
        <v>0.9</v>
      </c>
      <c r="CA151" s="353">
        <f t="shared" si="286"/>
        <v>0</v>
      </c>
      <c r="CB151" s="354">
        <f t="shared" si="287"/>
        <v>0.9</v>
      </c>
      <c r="CD151" s="311">
        <f t="shared" si="288"/>
        <v>146</v>
      </c>
    </row>
    <row r="152" spans="1:82" outlineLevel="1" x14ac:dyDescent="0.3">
      <c r="A152" s="1">
        <v>70479000</v>
      </c>
      <c r="B152" s="47">
        <f>VLOOKUP(C152,'NCES ID'!$A$2:$B$3136,2,FALSE)</f>
        <v>404380</v>
      </c>
      <c r="C152" s="47">
        <f>VLOOKUP(A152,'State ID'!$A$2:$B$713,2,FALSE)</f>
        <v>4281</v>
      </c>
      <c r="D152" s="147" t="s">
        <v>262</v>
      </c>
      <c r="E152" s="47" t="s">
        <v>7</v>
      </c>
      <c r="F152" s="382">
        <f>IFERROR(VLOOKUP($B152,'update_Formula counts'!$D$7:$R$234,'update_Formula counts'!F$5,0),0)</f>
        <v>1699</v>
      </c>
      <c r="G152" s="382">
        <f>IFERROR(VLOOKUP($B152,'update_Formula counts'!$D$7:$R$234,'update_Formula counts'!G$5,0),0)</f>
        <v>0</v>
      </c>
      <c r="H152" s="382">
        <f>IFERROR(VLOOKUP($B152,'update_Formula counts'!$D$7:$R$234,'update_Formula counts'!H$5,0),0)</f>
        <v>0</v>
      </c>
      <c r="I152" s="382">
        <f>IFERROR(VLOOKUP($B152,'update_Formula counts'!$D$7:$R$234,'update_Formula counts'!I$5,0),0)</f>
        <v>77</v>
      </c>
      <c r="J152" s="382">
        <f>IFERROR(VLOOKUP($B152,'update_Formula counts'!$D$7:$R$234,'update_Formula counts'!J$5,0),0)</f>
        <v>0</v>
      </c>
      <c r="K152" s="382">
        <f t="shared" ref="K152:K175" si="289">M152-I152</f>
        <v>1699</v>
      </c>
      <c r="L152" s="444">
        <f>IFERROR(VLOOKUP($B152,'update_Formula counts'!$D$7:$R$234,'update_Formula counts'!L$5,0),0)</f>
        <v>11452</v>
      </c>
      <c r="M152" s="445">
        <f>IFERROR(VLOOKUP($B152,'update_Formula counts'!$D$7:$R$234,'update_Formula counts'!K$5,0),0)</f>
        <v>1776</v>
      </c>
      <c r="N152" s="446">
        <f>IFERROR(VLOOKUP($B152,'update_Formula counts'!$D$7:$R$234,'update_Formula counts'!M$5,0),0)</f>
        <v>0.15508208173244847</v>
      </c>
      <c r="O152" s="137">
        <f>VLOOKUP($C152,'Final SEA Counts'!$A$2:$F$709,5,FALSE)</f>
        <v>11400</v>
      </c>
      <c r="P152" s="208">
        <f>VLOOKUP($C152,'Final SEA Counts'!$A$2:$F$709,6,FALSE)</f>
        <v>4124</v>
      </c>
      <c r="Q152" s="748">
        <f t="shared" ref="Q152:Q174" si="290">-F152/($F$358-$F$175)*$S$357+(M152/($M$358-$M$175)*$M$175)</f>
        <v>-214.53538064290765</v>
      </c>
      <c r="R152" s="444">
        <f t="shared" ref="R152:R174" si="291">L152-(L152/(L$358-L$175))*R$357+(L152/(L$358-L$175))*L$175</f>
        <v>10393.11599486068</v>
      </c>
      <c r="S152" s="445">
        <f t="shared" si="254"/>
        <v>1561.4646193570923</v>
      </c>
      <c r="T152" s="229">
        <f t="shared" si="255"/>
        <v>0.15024027636458837</v>
      </c>
      <c r="U152" s="261">
        <f>VLOOKUP($B152,update_Allocation!$D$8:$Q$235,update_Allocation!K$239,0)</f>
        <v>839852.717638965</v>
      </c>
      <c r="V152" s="262">
        <f>VLOOKUP($B152,update_Allocation!$D$8:$Q$235,update_Allocation!L$239,0)</f>
        <v>200060.59884328977</v>
      </c>
      <c r="W152" s="262">
        <f>VLOOKUP($B152,update_Allocation!$D$8:$Q$235,update_Allocation!M$239,0)</f>
        <v>330887.98804751545</v>
      </c>
      <c r="X152" s="262">
        <f>VLOOKUP($B152,update_Allocation!$D$8:$Q$235,update_Allocation!N$239,0)</f>
        <v>256695.6093640234</v>
      </c>
      <c r="Y152" s="263">
        <f>VLOOKUP($B152,update_Allocation!$D$8:$Q$235,update_Allocation!O$239,0)</f>
        <v>1627496.9138937937</v>
      </c>
      <c r="Z152" s="262">
        <f t="shared" ref="Z152:Z174" si="292">IF(U152=0,"",U152-(U152/(U$358-U$175)*Z$357-U152/(U$358-U$175)*U$175))</f>
        <v>740202.95432852558</v>
      </c>
      <c r="AA152" s="262">
        <f t="shared" ref="AA152:AA174" si="293">IF(V152=0,"",V152-(V152/(V$358-V$175)*AA$357-V152/(V$358-V$175)*V$175))</f>
        <v>176408.63227507318</v>
      </c>
      <c r="AB152" s="262">
        <f t="shared" ref="AB152:AB174" si="294">IF(W152=0,"",W152-(W152/(W$358-W$175)*AB$357-W152/(W$358-W$175)*W$175))</f>
        <v>291697.03194253991</v>
      </c>
      <c r="AC152" s="263">
        <f t="shared" ref="AC152:AC174" si="295">IF(X152=0,"",X152-(X152/(X$358-X$175)*AC$357-X152/(X$358-X$175)*X$175))</f>
        <v>226424.81247340183</v>
      </c>
      <c r="AD152" s="262">
        <f t="shared" si="260"/>
        <v>740202.95432852558</v>
      </c>
      <c r="AE152" s="262">
        <f t="shared" si="261"/>
        <v>176408.63227507318</v>
      </c>
      <c r="AF152" s="262">
        <f t="shared" si="262"/>
        <v>291697.03194253991</v>
      </c>
      <c r="AG152" s="263">
        <f t="shared" si="263"/>
        <v>226424.81247340183</v>
      </c>
      <c r="AH152" s="262">
        <f t="shared" ref="AH152:AH174" si="296">IF(AD152="","",AD152+AD$359)</f>
        <v>740202.95432852558</v>
      </c>
      <c r="AI152" s="262">
        <f t="shared" ref="AI152:AI174" si="297">IF(AE152="","",AE152+AE$359)</f>
        <v>178539.45365790388</v>
      </c>
      <c r="AJ152" s="262">
        <f t="shared" ref="AJ152:AJ174" si="298">IF(AF152="","",AF152+AF$359)</f>
        <v>291722.37258776015</v>
      </c>
      <c r="AK152" s="262">
        <f t="shared" ref="AK152:AK174" si="299">IF(AG152="","",AG152+AG$359)</f>
        <v>226448.40128536723</v>
      </c>
      <c r="AL152" s="263">
        <f t="shared" si="268"/>
        <v>1436913.1818595571</v>
      </c>
      <c r="AM152" s="346"/>
      <c r="AN152" s="261">
        <f>IFERROR(VLOOKUP($A152,'HH &amp; SI'!$B$4:$Z$494,'HH &amp; SI'!V$503,0),0)</f>
        <v>730106.10559264314</v>
      </c>
      <c r="AO152" s="262">
        <f>IFERROR(VLOOKUP($A152,'HH &amp; SI'!$B$4:$Z$494,'HH &amp; SI'!W$503,0),0)</f>
        <v>172659.01681166285</v>
      </c>
      <c r="AP152" s="262">
        <f>IFERROR(VLOOKUP($A152,'HH &amp; SI'!$B$4:$Z$494,'HH &amp; SI'!X$503,0),0)</f>
        <v>289069.27150776831</v>
      </c>
      <c r="AQ152" s="262">
        <f>IFERROR(VLOOKUP($A152,'HH &amp; SI'!$B$4:$Z$494,'HH &amp; SI'!Y$503,0),0)</f>
        <v>223953.34753114701</v>
      </c>
      <c r="AR152" s="263">
        <f t="shared" si="269"/>
        <v>1415787.7414432212</v>
      </c>
      <c r="AS152" s="346"/>
      <c r="AT152" s="323">
        <f>IFERROR(VLOOKUP(A152,'Afton FY16 Final'!$A$5:$BV$572,'Afton FY16 Final'!$BV$587,0),0)</f>
        <v>1308435.2244138566</v>
      </c>
      <c r="AU152" s="346"/>
      <c r="AV152" s="444">
        <v>0</v>
      </c>
      <c r="AW152" s="262">
        <f>IFERROR(VLOOKUP($A152,'HH &amp; SI'!$B$4:$EY$503,'HH &amp; SI'!EX$503,0),0)</f>
        <v>79302.661703658523</v>
      </c>
      <c r="AX152" s="262">
        <f>IFERROR(VLOOKUP($A152,'HH &amp; SI'!$B$4:$EY$503,'HH &amp; SI'!EY$503,0),0)</f>
        <v>1336485.0797395627</v>
      </c>
      <c r="AY152" s="262">
        <f>AX152/$AX$582*'update_State Admin 1004(b)'!$B$30*0.01</f>
        <v>12791.122301901671</v>
      </c>
      <c r="AZ152" s="263">
        <f t="shared" si="270"/>
        <v>1323693.957437661</v>
      </c>
      <c r="BA152" s="261">
        <f t="shared" si="271"/>
        <v>13236.939574376611</v>
      </c>
      <c r="BB152" s="262">
        <f t="shared" si="272"/>
        <v>1310457.0178632843</v>
      </c>
      <c r="BC152" s="341">
        <f t="shared" si="280"/>
        <v>1.0015451994960878</v>
      </c>
      <c r="BD152" s="346"/>
      <c r="BE152" s="376" t="str">
        <f>'Original Title I &amp; II'!AZ152</f>
        <v/>
      </c>
      <c r="BF152" s="243" t="str">
        <f t="shared" ref="BF152:BF183" si="300">IF(BE152&lt;0,BB152*BE152/100,"")</f>
        <v/>
      </c>
      <c r="BG152" s="263">
        <f t="shared" si="250"/>
        <v>1310457.0178632843</v>
      </c>
      <c r="BI152" s="31">
        <f>IFERROR(VLOOKUP(A152,'Title II Hold Harmless'!A$1:B$439,2, FALSE),"")</f>
        <v>60736</v>
      </c>
      <c r="BJ152" s="31">
        <f t="shared" si="274"/>
        <v>89541.341910686519</v>
      </c>
      <c r="BK152" s="31">
        <f t="shared" ref="BK152:BK183" si="301">$BI$588*BJ152</f>
        <v>89627.963475920609</v>
      </c>
      <c r="BL152" s="31" t="str">
        <f t="shared" si="276"/>
        <v/>
      </c>
      <c r="BM152" s="31">
        <f t="shared" si="277"/>
        <v>89627.963475920609</v>
      </c>
      <c r="BN152" s="200"/>
      <c r="BP152" s="295" t="s">
        <v>1447</v>
      </c>
      <c r="BQ152" s="296" t="str">
        <f t="shared" si="281"/>
        <v>Y</v>
      </c>
      <c r="BR152" s="297" t="s">
        <v>1448</v>
      </c>
      <c r="BT152" s="295" t="str">
        <f t="shared" si="282"/>
        <v>Y</v>
      </c>
      <c r="BU152" s="296" t="str">
        <f t="shared" si="278"/>
        <v>Y</v>
      </c>
      <c r="BV152" s="296" t="str">
        <f t="shared" si="279"/>
        <v>Y</v>
      </c>
      <c r="BW152" s="297" t="str">
        <f t="shared" si="283"/>
        <v>Y</v>
      </c>
      <c r="BY152" s="352">
        <f t="shared" si="284"/>
        <v>0</v>
      </c>
      <c r="BZ152" s="353">
        <f t="shared" si="285"/>
        <v>0.9</v>
      </c>
      <c r="CA152" s="353">
        <f t="shared" si="286"/>
        <v>0</v>
      </c>
      <c r="CB152" s="354">
        <f t="shared" si="287"/>
        <v>0.9</v>
      </c>
      <c r="CD152" s="311">
        <f t="shared" si="288"/>
        <v>147</v>
      </c>
    </row>
    <row r="153" spans="1:82" outlineLevel="1" x14ac:dyDescent="0.3">
      <c r="A153" s="1">
        <v>70514000</v>
      </c>
      <c r="B153" s="47">
        <f>VLOOKUP(C153,'NCES ID'!$A$2:$B$3136,2,FALSE)</f>
        <v>408520</v>
      </c>
      <c r="C153" s="47">
        <f>VLOOKUP(A153,'State ID'!$A$2:$B$713,2,FALSE)</f>
        <v>4288</v>
      </c>
      <c r="D153" s="147" t="s">
        <v>415</v>
      </c>
      <c r="E153" s="47" t="s">
        <v>7</v>
      </c>
      <c r="F153" s="382">
        <f>IFERROR(VLOOKUP($B153,'update_Formula counts'!$D$7:$R$234,'update_Formula counts'!F$5,0),0)</f>
        <v>2767</v>
      </c>
      <c r="G153" s="382">
        <f>IFERROR(VLOOKUP($B153,'update_Formula counts'!$D$7:$R$234,'update_Formula counts'!G$5,0),0)</f>
        <v>106</v>
      </c>
      <c r="H153" s="382">
        <f>IFERROR(VLOOKUP($B153,'update_Formula counts'!$D$7:$R$234,'update_Formula counts'!H$5,0),0)</f>
        <v>0</v>
      </c>
      <c r="I153" s="382">
        <f>IFERROR(VLOOKUP($B153,'update_Formula counts'!$D$7:$R$234,'update_Formula counts'!I$5,0),0)</f>
        <v>125</v>
      </c>
      <c r="J153" s="382">
        <f>IFERROR(VLOOKUP($B153,'update_Formula counts'!$D$7:$R$234,'update_Formula counts'!J$5,0),0)</f>
        <v>0</v>
      </c>
      <c r="K153" s="382">
        <f t="shared" si="289"/>
        <v>2873</v>
      </c>
      <c r="L153" s="444">
        <f>IFERROR(VLOOKUP($B153,'update_Formula counts'!$D$7:$R$234,'update_Formula counts'!L$5,0),0)</f>
        <v>12367</v>
      </c>
      <c r="M153" s="445">
        <f>IFERROR(VLOOKUP($B153,'update_Formula counts'!$D$7:$R$234,'update_Formula counts'!K$5,0),0)</f>
        <v>2998</v>
      </c>
      <c r="N153" s="446">
        <f>IFERROR(VLOOKUP($B153,'update_Formula counts'!$D$7:$R$234,'update_Formula counts'!M$5,0),0)</f>
        <v>0.24241934179671706</v>
      </c>
      <c r="O153" s="137">
        <f>VLOOKUP($C153,'Final SEA Counts'!$A$2:$F$709,5,FALSE)</f>
        <v>8904</v>
      </c>
      <c r="P153" s="208">
        <f>VLOOKUP($C153,'Final SEA Counts'!$A$2:$F$709,6,FALSE)</f>
        <v>6022</v>
      </c>
      <c r="Q153" s="748">
        <f t="shared" si="290"/>
        <v>-349.17984606441149</v>
      </c>
      <c r="R153" s="444">
        <f t="shared" si="291"/>
        <v>11223.512531299515</v>
      </c>
      <c r="S153" s="445">
        <f t="shared" si="254"/>
        <v>2648.8201539355887</v>
      </c>
      <c r="T153" s="229">
        <f t="shared" si="255"/>
        <v>0.23600634351756677</v>
      </c>
      <c r="U153" s="261">
        <f>VLOOKUP($B153,update_Allocation!$D$8:$Q$235,update_Allocation!K$239,0)</f>
        <v>1417724.3510594692</v>
      </c>
      <c r="V153" s="262">
        <f>VLOOKUP($B153,update_Allocation!$D$8:$Q$235,update_Allocation!L$239,0)</f>
        <v>337714.90728163446</v>
      </c>
      <c r="W153" s="262">
        <f>VLOOKUP($B153,update_Allocation!$D$8:$Q$235,update_Allocation!M$239,0)</f>
        <v>645006.79835270485</v>
      </c>
      <c r="X153" s="262">
        <f>VLOOKUP($B153,update_Allocation!$D$8:$Q$235,update_Allocation!N$239,0)</f>
        <v>520753.84888664412</v>
      </c>
      <c r="Y153" s="263">
        <f>VLOOKUP($B153,update_Allocation!$D$8:$Q$235,update_Allocation!O$239,0)</f>
        <v>2921199.9055804522</v>
      </c>
      <c r="Z153" s="262">
        <f t="shared" si="292"/>
        <v>1249509.2663721396</v>
      </c>
      <c r="AA153" s="262">
        <f t="shared" si="293"/>
        <v>297788.89614902559</v>
      </c>
      <c r="AB153" s="262">
        <f t="shared" si="294"/>
        <v>568611.0570904935</v>
      </c>
      <c r="AC153" s="263">
        <f t="shared" si="295"/>
        <v>459344.01788598049</v>
      </c>
      <c r="AD153" s="262">
        <f t="shared" si="260"/>
        <v>1249509.2663721396</v>
      </c>
      <c r="AE153" s="262">
        <f t="shared" si="261"/>
        <v>297788.89614902559</v>
      </c>
      <c r="AF153" s="262">
        <f t="shared" si="262"/>
        <v>568611.0570904935</v>
      </c>
      <c r="AG153" s="263">
        <f t="shared" si="263"/>
        <v>459344.01788598049</v>
      </c>
      <c r="AH153" s="262">
        <f t="shared" si="296"/>
        <v>1249509.2663721396</v>
      </c>
      <c r="AI153" s="262">
        <f t="shared" si="297"/>
        <v>299919.71753185632</v>
      </c>
      <c r="AJ153" s="262">
        <f t="shared" si="298"/>
        <v>568636.39773571375</v>
      </c>
      <c r="AK153" s="262">
        <f t="shared" si="299"/>
        <v>459367.60669794591</v>
      </c>
      <c r="AL153" s="263">
        <f t="shared" si="268"/>
        <v>2577432.9883376556</v>
      </c>
      <c r="AM153" s="346"/>
      <c r="AN153" s="261">
        <f>IFERROR(VLOOKUP($A153,'HH &amp; SI'!$B$4:$Z$494,'HH &amp; SI'!V$503,0),0)</f>
        <v>1232465.1489677615</v>
      </c>
      <c r="AO153" s="262">
        <f>IFERROR(VLOOKUP($A153,'HH &amp; SI'!$B$4:$Z$494,'HH &amp; SI'!W$503,0),0)</f>
        <v>290041.45857141475</v>
      </c>
      <c r="AP153" s="262">
        <f>IFERROR(VLOOKUP($A153,'HH &amp; SI'!$B$4:$Z$494,'HH &amp; SI'!X$503,0),0)</f>
        <v>563464.87171399442</v>
      </c>
      <c r="AQ153" s="262">
        <f>IFERROR(VLOOKUP($A153,'HH &amp; SI'!$B$4:$Z$494,'HH &amp; SI'!Y$503,0),0)</f>
        <v>454306.20257606608</v>
      </c>
      <c r="AR153" s="263">
        <f t="shared" si="269"/>
        <v>2540277.6818292364</v>
      </c>
      <c r="AS153" s="346"/>
      <c r="AT153" s="323">
        <f>IFERROR(VLOOKUP(A153,'Afton FY16 Final'!$A$5:$BV$572,'Afton FY16 Final'!$BV$587,0),0)</f>
        <v>2147471.2681815885</v>
      </c>
      <c r="AU153" s="346"/>
      <c r="AV153" s="444">
        <v>0</v>
      </c>
      <c r="AW153" s="262">
        <f>IFERROR(VLOOKUP($A153,'HH &amp; SI'!$B$4:$EY$503,'HH &amp; SI'!EX$503,0),0)</f>
        <v>142288.83026639512</v>
      </c>
      <c r="AX153" s="262">
        <f>IFERROR(VLOOKUP($A153,'HH &amp; SI'!$B$4:$EY$503,'HH &amp; SI'!EY$503,0),0)</f>
        <v>2397988.8515628413</v>
      </c>
      <c r="AY153" s="262">
        <f>AX153/$AX$582*'update_State Admin 1004(b)'!$B$30*0.01</f>
        <v>22950.475949132328</v>
      </c>
      <c r="AZ153" s="263">
        <f t="shared" si="270"/>
        <v>2375038.375613709</v>
      </c>
      <c r="BA153" s="261">
        <f t="shared" si="271"/>
        <v>23750.383756137089</v>
      </c>
      <c r="BB153" s="262">
        <f t="shared" si="272"/>
        <v>2351287.991857572</v>
      </c>
      <c r="BC153" s="341">
        <f t="shared" si="280"/>
        <v>1.0949101050597847</v>
      </c>
      <c r="BD153" s="346"/>
      <c r="BE153" s="376" t="str">
        <f>'Original Title I &amp; II'!AZ153</f>
        <v/>
      </c>
      <c r="BF153" s="243" t="str">
        <f t="shared" si="300"/>
        <v/>
      </c>
      <c r="BG153" s="263">
        <f t="shared" si="250"/>
        <v>2351287.991857572</v>
      </c>
      <c r="BI153" s="31">
        <f>IFERROR(VLOOKUP(A153,'Title II Hold Harmless'!A$1:B$439,2, FALSE),"")</f>
        <v>119776</v>
      </c>
      <c r="BJ153" s="31">
        <f t="shared" si="274"/>
        <v>163484.09913556883</v>
      </c>
      <c r="BK153" s="31">
        <f t="shared" si="301"/>
        <v>163642.25232219556</v>
      </c>
      <c r="BL153" s="31" t="str">
        <f t="shared" si="276"/>
        <v/>
      </c>
      <c r="BM153" s="31">
        <f t="shared" si="277"/>
        <v>163642.25232219556</v>
      </c>
      <c r="BN153" s="200"/>
      <c r="BP153" s="295" t="s">
        <v>1447</v>
      </c>
      <c r="BQ153" s="296" t="str">
        <f t="shared" si="281"/>
        <v>Y</v>
      </c>
      <c r="BR153" s="297" t="s">
        <v>1448</v>
      </c>
      <c r="BT153" s="295" t="str">
        <f t="shared" si="282"/>
        <v>Y</v>
      </c>
      <c r="BU153" s="296" t="str">
        <f t="shared" si="278"/>
        <v>Y</v>
      </c>
      <c r="BV153" s="296" t="str">
        <f t="shared" si="279"/>
        <v>Y</v>
      </c>
      <c r="BW153" s="297" t="str">
        <f t="shared" si="283"/>
        <v>Y</v>
      </c>
      <c r="BY153" s="352">
        <f t="shared" si="284"/>
        <v>0</v>
      </c>
      <c r="BZ153" s="353">
        <f t="shared" si="285"/>
        <v>0.9</v>
      </c>
      <c r="CA153" s="353">
        <f t="shared" si="286"/>
        <v>0</v>
      </c>
      <c r="CB153" s="354">
        <f t="shared" si="287"/>
        <v>0.9</v>
      </c>
      <c r="CD153" s="311">
        <f t="shared" si="288"/>
        <v>148</v>
      </c>
    </row>
    <row r="154" spans="1:82" outlineLevel="1" x14ac:dyDescent="0.3">
      <c r="A154" s="1">
        <v>70403000</v>
      </c>
      <c r="B154" s="47">
        <f>VLOOKUP(C154,'NCES ID'!$A$2:$B$3136,2,FALSE)</f>
        <v>408310</v>
      </c>
      <c r="C154" s="47">
        <f>VLOOKUP(A154,'State ID'!$A$2:$B$713,2,FALSE)</f>
        <v>4258</v>
      </c>
      <c r="D154" s="147" t="s">
        <v>409</v>
      </c>
      <c r="E154" s="47" t="s">
        <v>7</v>
      </c>
      <c r="F154" s="382">
        <f>IFERROR(VLOOKUP($B154,'update_Formula counts'!$D$7:$R$234,'update_Formula counts'!F$5,0),0)</f>
        <v>4400</v>
      </c>
      <c r="G154" s="382">
        <f>IFERROR(VLOOKUP($B154,'update_Formula counts'!$D$7:$R$234,'update_Formula counts'!G$5,0),0)</f>
        <v>0</v>
      </c>
      <c r="H154" s="382">
        <f>IFERROR(VLOOKUP($B154,'update_Formula counts'!$D$7:$R$234,'update_Formula counts'!H$5,0),0)</f>
        <v>0</v>
      </c>
      <c r="I154" s="382">
        <f>IFERROR(VLOOKUP($B154,'update_Formula counts'!$D$7:$R$234,'update_Formula counts'!I$5,0),0)</f>
        <v>199</v>
      </c>
      <c r="J154" s="382">
        <f>IFERROR(VLOOKUP($B154,'update_Formula counts'!$D$7:$R$234,'update_Formula counts'!J$5,0),0)</f>
        <v>0</v>
      </c>
      <c r="K154" s="382">
        <f t="shared" si="289"/>
        <v>4400</v>
      </c>
      <c r="L154" s="444">
        <f>IFERROR(VLOOKUP($B154,'update_Formula counts'!$D$7:$R$234,'update_Formula counts'!L$5,0),0)</f>
        <v>12777</v>
      </c>
      <c r="M154" s="445">
        <f>IFERROR(VLOOKUP($B154,'update_Formula counts'!$D$7:$R$234,'update_Formula counts'!K$5,0),0)</f>
        <v>4599</v>
      </c>
      <c r="N154" s="446">
        <f>IFERROR(VLOOKUP($B154,'update_Formula counts'!$D$7:$R$234,'update_Formula counts'!M$5,0),0)</f>
        <v>0.35994364874383661</v>
      </c>
      <c r="O154" s="137">
        <f>VLOOKUP($C154,'Final SEA Counts'!$A$2:$F$709,5,FALSE)</f>
        <v>11506</v>
      </c>
      <c r="P154" s="208">
        <f>VLOOKUP($C154,'Final SEA Counts'!$A$2:$F$709,6,FALSE)</f>
        <v>8262</v>
      </c>
      <c r="Q154" s="748">
        <f t="shared" si="290"/>
        <v>-555.59569658049247</v>
      </c>
      <c r="R154" s="444">
        <f t="shared" si="291"/>
        <v>11595.602782599975</v>
      </c>
      <c r="S154" s="445">
        <f t="shared" si="254"/>
        <v>4043.4043034195074</v>
      </c>
      <c r="T154" s="229">
        <f t="shared" si="255"/>
        <v>0.34870151894879692</v>
      </c>
      <c r="U154" s="261">
        <f>VLOOKUP($B154,update_Allocation!$D$8:$Q$235,update_Allocation!K$239,0)</f>
        <v>2174821.311048198</v>
      </c>
      <c r="V154" s="262">
        <f>VLOOKUP($B154,update_Allocation!$D$8:$Q$235,update_Allocation!L$239,0)</f>
        <v>518062.32774791087</v>
      </c>
      <c r="W154" s="262">
        <f>VLOOKUP($B154,update_Allocation!$D$8:$Q$235,update_Allocation!M$239,0)</f>
        <v>1205219.2325969427</v>
      </c>
      <c r="X154" s="262">
        <f>VLOOKUP($B154,update_Allocation!$D$8:$Q$235,update_Allocation!N$239,0)</f>
        <v>1071995.0594158089</v>
      </c>
      <c r="Y154" s="263">
        <f>VLOOKUP($B154,update_Allocation!$D$8:$Q$235,update_Allocation!O$239,0)</f>
        <v>4970097.9308088608</v>
      </c>
      <c r="Z154" s="262">
        <f t="shared" si="292"/>
        <v>1916775.5557189691</v>
      </c>
      <c r="AA154" s="262">
        <f t="shared" si="293"/>
        <v>456814.92107717431</v>
      </c>
      <c r="AB154" s="262">
        <f t="shared" si="294"/>
        <v>1062470.9439077917</v>
      </c>
      <c r="AC154" s="263">
        <f t="shared" si="295"/>
        <v>945580.17919357726</v>
      </c>
      <c r="AD154" s="262">
        <f t="shared" si="260"/>
        <v>1916775.5557189691</v>
      </c>
      <c r="AE154" s="262">
        <f t="shared" si="261"/>
        <v>456814.92107717431</v>
      </c>
      <c r="AF154" s="262">
        <f t="shared" si="262"/>
        <v>1062470.9439077917</v>
      </c>
      <c r="AG154" s="263">
        <f t="shared" si="263"/>
        <v>945580.17919357726</v>
      </c>
      <c r="AH154" s="262">
        <f t="shared" si="296"/>
        <v>1916775.5557189691</v>
      </c>
      <c r="AI154" s="262">
        <f t="shared" si="297"/>
        <v>458945.74246000504</v>
      </c>
      <c r="AJ154" s="262">
        <f t="shared" si="298"/>
        <v>1062496.2845530121</v>
      </c>
      <c r="AK154" s="262">
        <f t="shared" si="299"/>
        <v>945603.76800554269</v>
      </c>
      <c r="AL154" s="263">
        <f t="shared" si="268"/>
        <v>4383821.3507375289</v>
      </c>
      <c r="AM154" s="346"/>
      <c r="AN154" s="261">
        <f>IFERROR(VLOOKUP($A154,'HH &amp; SI'!$B$4:$Z$494,'HH &amp; SI'!V$503,0),0)</f>
        <v>1890629.4930295979</v>
      </c>
      <c r="AO154" s="262">
        <f>IFERROR(VLOOKUP($A154,'HH &amp; SI'!$B$4:$Z$494,'HH &amp; SI'!W$503,0),0)</f>
        <v>443829.74765272625</v>
      </c>
      <c r="AP154" s="262">
        <f>IFERROR(VLOOKUP($A154,'HH &amp; SI'!$B$4:$Z$494,'HH &amp; SI'!X$503,0),0)</f>
        <v>1052833.2956809918</v>
      </c>
      <c r="AQ154" s="262">
        <f>IFERROR(VLOOKUP($A154,'HH &amp; SI'!$B$4:$Z$494,'HH &amp; SI'!Y$503,0),0)</f>
        <v>935184.91665585339</v>
      </c>
      <c r="AR154" s="263">
        <f t="shared" si="269"/>
        <v>4322477.4530191701</v>
      </c>
      <c r="AS154" s="346"/>
      <c r="AT154" s="323">
        <f>IFERROR(VLOOKUP(A154,'Afton FY16 Final'!$A$5:$BV$572,'Afton FY16 Final'!$BV$587,0),0)</f>
        <v>3959947.2847272772</v>
      </c>
      <c r="AU154" s="346"/>
      <c r="AV154" s="444">
        <v>0</v>
      </c>
      <c r="AW154" s="262">
        <f>IFERROR(VLOOKUP($A154,'HH &amp; SI'!$B$4:$EY$503,'HH &amp; SI'!EX$503,0),0)</f>
        <v>242115.36598631972</v>
      </c>
      <c r="AX154" s="262">
        <f>IFERROR(VLOOKUP($A154,'HH &amp; SI'!$B$4:$EY$503,'HH &amp; SI'!EY$503,0),0)</f>
        <v>4080362.0870328504</v>
      </c>
      <c r="AY154" s="262">
        <f>AX154/$AX$582*'update_State Admin 1004(b)'!$B$30*0.01</f>
        <v>39051.996376533083</v>
      </c>
      <c r="AZ154" s="263">
        <f t="shared" si="270"/>
        <v>4041310.0906563173</v>
      </c>
      <c r="BA154" s="261">
        <f t="shared" si="271"/>
        <v>40413.100906563173</v>
      </c>
      <c r="BB154" s="262">
        <f t="shared" si="272"/>
        <v>4000896.9897497543</v>
      </c>
      <c r="BC154" s="341">
        <f t="shared" si="280"/>
        <v>1.0103409722600125</v>
      </c>
      <c r="BD154" s="346"/>
      <c r="BE154" s="376" t="str">
        <f>'Original Title I &amp; II'!AZ154</f>
        <v/>
      </c>
      <c r="BF154" s="243" t="str">
        <f t="shared" si="300"/>
        <v/>
      </c>
      <c r="BG154" s="263">
        <f t="shared" si="250"/>
        <v>4000896.9897497543</v>
      </c>
      <c r="BI154" s="31">
        <f>IFERROR(VLOOKUP(A154,'Title II Hold Harmless'!A$1:B$439,2, FALSE),"")</f>
        <v>472862</v>
      </c>
      <c r="BJ154" s="31">
        <f t="shared" si="274"/>
        <v>535125.90835754317</v>
      </c>
      <c r="BK154" s="31">
        <f t="shared" si="301"/>
        <v>535643.58480498218</v>
      </c>
      <c r="BL154" s="31" t="str">
        <f t="shared" si="276"/>
        <v/>
      </c>
      <c r="BM154" s="31">
        <f t="shared" si="277"/>
        <v>535643.58480498218</v>
      </c>
      <c r="BN154" s="200"/>
      <c r="BP154" s="295" t="s">
        <v>1447</v>
      </c>
      <c r="BQ154" s="296" t="str">
        <f t="shared" si="281"/>
        <v>Y</v>
      </c>
      <c r="BR154" s="297" t="s">
        <v>1448</v>
      </c>
      <c r="BT154" s="295" t="str">
        <f t="shared" si="282"/>
        <v>Y</v>
      </c>
      <c r="BU154" s="296" t="str">
        <f t="shared" si="278"/>
        <v>Y</v>
      </c>
      <c r="BV154" s="296" t="str">
        <f t="shared" si="279"/>
        <v>Y</v>
      </c>
      <c r="BW154" s="297" t="str">
        <f t="shared" si="283"/>
        <v>Y</v>
      </c>
      <c r="BY154" s="352">
        <f t="shared" si="284"/>
        <v>0</v>
      </c>
      <c r="BZ154" s="353">
        <f t="shared" si="285"/>
        <v>0</v>
      </c>
      <c r="CA154" s="353">
        <f t="shared" si="286"/>
        <v>0.95</v>
      </c>
      <c r="CB154" s="354">
        <f t="shared" si="287"/>
        <v>0.95</v>
      </c>
      <c r="CD154" s="311">
        <f t="shared" si="288"/>
        <v>149</v>
      </c>
    </row>
    <row r="155" spans="1:82" outlineLevel="1" x14ac:dyDescent="0.3">
      <c r="A155" s="1">
        <v>70468000</v>
      </c>
      <c r="B155" s="47">
        <f>VLOOKUP(C155,'NCES ID'!$A$2:$B$3136,2,FALSE)</f>
        <v>400600</v>
      </c>
      <c r="C155" s="47">
        <f>VLOOKUP(A155,'State ID'!$A$2:$B$713,2,FALSE)</f>
        <v>4280</v>
      </c>
      <c r="D155" s="147" t="s">
        <v>22</v>
      </c>
      <c r="E155" s="47" t="s">
        <v>7</v>
      </c>
      <c r="F155" s="382">
        <f>IFERROR(VLOOKUP($B155,'update_Formula counts'!$D$7:$R$234,'update_Formula counts'!F$5,0),0)</f>
        <v>7714</v>
      </c>
      <c r="G155" s="382">
        <f>IFERROR(VLOOKUP($B155,'update_Formula counts'!$D$7:$R$234,'update_Formula counts'!G$5,0),0)</f>
        <v>10</v>
      </c>
      <c r="H155" s="382">
        <f>IFERROR(VLOOKUP($B155,'update_Formula counts'!$D$7:$R$234,'update_Formula counts'!H$5,0),0)</f>
        <v>0</v>
      </c>
      <c r="I155" s="382">
        <f>IFERROR(VLOOKUP($B155,'update_Formula counts'!$D$7:$R$234,'update_Formula counts'!I$5,0),0)</f>
        <v>349</v>
      </c>
      <c r="J155" s="382">
        <f>IFERROR(VLOOKUP($B155,'update_Formula counts'!$D$7:$R$234,'update_Formula counts'!J$5,0),0)</f>
        <v>0</v>
      </c>
      <c r="K155" s="382">
        <f t="shared" si="289"/>
        <v>7724</v>
      </c>
      <c r="L155" s="444">
        <f>IFERROR(VLOOKUP($B155,'update_Formula counts'!$D$7:$R$234,'update_Formula counts'!L$5,0),0)</f>
        <v>15357</v>
      </c>
      <c r="M155" s="445">
        <f>IFERROR(VLOOKUP($B155,'update_Formula counts'!$D$7:$R$234,'update_Formula counts'!K$5,0),0)</f>
        <v>8073</v>
      </c>
      <c r="N155" s="446">
        <f>IFERROR(VLOOKUP($B155,'update_Formula counts'!$D$7:$R$234,'update_Formula counts'!M$5,0),0)</f>
        <v>0.52568861105684705</v>
      </c>
      <c r="O155" s="137">
        <f>VLOOKUP($C155,'Final SEA Counts'!$A$2:$F$709,5,FALSE)</f>
        <v>13942</v>
      </c>
      <c r="P155" s="208">
        <f>VLOOKUP($C155,'Final SEA Counts'!$A$2:$F$709,6,FALSE)</f>
        <v>12995</v>
      </c>
      <c r="Q155" s="748">
        <f t="shared" si="290"/>
        <v>-974.03981319598108</v>
      </c>
      <c r="R155" s="444">
        <f t="shared" si="291"/>
        <v>13937.048754197998</v>
      </c>
      <c r="S155" s="445">
        <f t="shared" si="254"/>
        <v>7098.960186804019</v>
      </c>
      <c r="T155" s="229">
        <f t="shared" si="255"/>
        <v>0.50935892612600142</v>
      </c>
      <c r="U155" s="261">
        <f>VLOOKUP($B155,update_Allocation!$D$8:$Q$235,update_Allocation!K$239,0)</f>
        <v>3817641.3229163098</v>
      </c>
      <c r="V155" s="262">
        <f>VLOOKUP($B155,update_Allocation!$D$8:$Q$235,update_Allocation!L$239,0)</f>
        <v>909397.08021502174</v>
      </c>
      <c r="W155" s="262">
        <f>VLOOKUP($B155,update_Allocation!$D$8:$Q$235,update_Allocation!M$239,0)</f>
        <v>2864720.5959129366</v>
      </c>
      <c r="X155" s="262">
        <f>VLOOKUP($B155,update_Allocation!$D$8:$Q$235,update_Allocation!N$239,0)</f>
        <v>2922051.7216539448</v>
      </c>
      <c r="Y155" s="263">
        <f>VLOOKUP($B155,update_Allocation!$D$8:$Q$235,update_Allocation!O$239,0)</f>
        <v>10513810.720698211</v>
      </c>
      <c r="Z155" s="262">
        <f t="shared" si="292"/>
        <v>3364672.5508413226</v>
      </c>
      <c r="AA155" s="262">
        <f t="shared" si="293"/>
        <v>801884.5092098345</v>
      </c>
      <c r="AB155" s="262">
        <f t="shared" si="294"/>
        <v>2525418.0428346992</v>
      </c>
      <c r="AC155" s="263">
        <f t="shared" si="295"/>
        <v>2577469.1462479061</v>
      </c>
      <c r="AD155" s="262">
        <f t="shared" si="260"/>
        <v>3364672.5508413226</v>
      </c>
      <c r="AE155" s="262">
        <f t="shared" si="261"/>
        <v>801884.5092098345</v>
      </c>
      <c r="AF155" s="262">
        <f t="shared" si="262"/>
        <v>2525418.0428346992</v>
      </c>
      <c r="AG155" s="263">
        <f t="shared" si="263"/>
        <v>2577469.1462479061</v>
      </c>
      <c r="AH155" s="262">
        <f t="shared" si="296"/>
        <v>3364672.5508413226</v>
      </c>
      <c r="AI155" s="262">
        <f t="shared" si="297"/>
        <v>804015.33059266524</v>
      </c>
      <c r="AJ155" s="262">
        <f t="shared" si="298"/>
        <v>2525443.3834799193</v>
      </c>
      <c r="AK155" s="262">
        <f t="shared" si="299"/>
        <v>2577492.7350598713</v>
      </c>
      <c r="AL155" s="263">
        <f t="shared" si="268"/>
        <v>9271623.9999737777</v>
      </c>
      <c r="AM155" s="346"/>
      <c r="AN155" s="261">
        <f>IFERROR(VLOOKUP($A155,'HH &amp; SI'!$B$4:$Z$494,'HH &amp; SI'!V$503,0),0)</f>
        <v>3318776.2333611543</v>
      </c>
      <c r="AO155" s="262">
        <f>IFERROR(VLOOKUP($A155,'HH &amp; SI'!$B$4:$Z$494,'HH &amp; SI'!W$503,0),0)</f>
        <v>777534.00515958224</v>
      </c>
      <c r="AP155" s="262">
        <f>IFERROR(VLOOKUP($A155,'HH &amp; SI'!$B$4:$Z$494,'HH &amp; SI'!X$503,0),0)</f>
        <v>2502475.461929257</v>
      </c>
      <c r="AQ155" s="262">
        <f>IFERROR(VLOOKUP($A155,'HH &amp; SI'!$B$4:$Z$494,'HH &amp; SI'!Y$503,0),0)</f>
        <v>2549093.404843438</v>
      </c>
      <c r="AR155" s="263">
        <f t="shared" si="269"/>
        <v>9147879.1052934323</v>
      </c>
      <c r="AS155" s="346"/>
      <c r="AT155" s="323">
        <f>IFERROR(VLOOKUP(A155,'Afton FY16 Final'!$A$5:$BV$572,'Afton FY16 Final'!$BV$587,0),0)</f>
        <v>6851930.9881897531</v>
      </c>
      <c r="AU155" s="346"/>
      <c r="AV155" s="444">
        <v>0</v>
      </c>
      <c r="AW155" s="262">
        <f>IFERROR(VLOOKUP($A155,'HH &amp; SI'!$B$4:$EY$503,'HH &amp; SI'!EX$503,0),0)</f>
        <v>512401.07592226006</v>
      </c>
      <c r="AX155" s="262">
        <f>IFERROR(VLOOKUP($A155,'HH &amp; SI'!$B$4:$EY$503,'HH &amp; SI'!EY$503,0),0)</f>
        <v>8635478.0293711722</v>
      </c>
      <c r="AY155" s="262">
        <f>AX155/$AX$582*'update_State Admin 1004(b)'!$B$30*0.01</f>
        <v>82647.728196558717</v>
      </c>
      <c r="AZ155" s="263">
        <f t="shared" si="270"/>
        <v>8552830.3011746127</v>
      </c>
      <c r="BA155" s="261">
        <f t="shared" si="271"/>
        <v>85528.303011746131</v>
      </c>
      <c r="BB155" s="262">
        <f t="shared" si="272"/>
        <v>8467301.9981628675</v>
      </c>
      <c r="BC155" s="341">
        <f t="shared" si="280"/>
        <v>1.2357541272317876</v>
      </c>
      <c r="BD155" s="346"/>
      <c r="BE155" s="376" t="str">
        <f>'Original Title I &amp; II'!AZ155</f>
        <v/>
      </c>
      <c r="BF155" s="243" t="str">
        <f t="shared" si="300"/>
        <v/>
      </c>
      <c r="BG155" s="263">
        <f t="shared" si="250"/>
        <v>8467301.9981628675</v>
      </c>
      <c r="BI155" s="31">
        <f>IFERROR(VLOOKUP(A155,'Title II Hold Harmless'!A$1:B$439,2, FALSE),"")</f>
        <v>726473</v>
      </c>
      <c r="BJ155" s="31">
        <f t="shared" si="274"/>
        <v>830621.2567706604</v>
      </c>
      <c r="BK155" s="31">
        <f t="shared" si="301"/>
        <v>831424.79301261157</v>
      </c>
      <c r="BL155" s="31" t="str">
        <f t="shared" si="276"/>
        <v/>
      </c>
      <c r="BM155" s="31">
        <f t="shared" si="277"/>
        <v>831424.79301261157</v>
      </c>
      <c r="BN155" s="200"/>
      <c r="BP155" s="295" t="s">
        <v>1447</v>
      </c>
      <c r="BQ155" s="296" t="str">
        <f t="shared" si="281"/>
        <v>Y</v>
      </c>
      <c r="BR155" s="297" t="s">
        <v>1448</v>
      </c>
      <c r="BT155" s="295" t="str">
        <f t="shared" si="282"/>
        <v>Y</v>
      </c>
      <c r="BU155" s="296" t="str">
        <f t="shared" si="278"/>
        <v>Y</v>
      </c>
      <c r="BV155" s="296" t="str">
        <f t="shared" si="279"/>
        <v>Y</v>
      </c>
      <c r="BW155" s="297" t="str">
        <f t="shared" si="283"/>
        <v>Y</v>
      </c>
      <c r="BY155" s="352">
        <f t="shared" si="284"/>
        <v>0</v>
      </c>
      <c r="BZ155" s="353">
        <f t="shared" si="285"/>
        <v>0</v>
      </c>
      <c r="CA155" s="353">
        <f t="shared" si="286"/>
        <v>0.95</v>
      </c>
      <c r="CB155" s="354">
        <f t="shared" si="287"/>
        <v>0.95</v>
      </c>
      <c r="CD155" s="311">
        <f t="shared" si="288"/>
        <v>150</v>
      </c>
    </row>
    <row r="156" spans="1:82" outlineLevel="1" x14ac:dyDescent="0.3">
      <c r="A156" s="1">
        <v>70513000</v>
      </c>
      <c r="B156" s="47">
        <f>VLOOKUP(C156,'NCES ID'!$A$2:$B$3136,2,FALSE)</f>
        <v>408340</v>
      </c>
      <c r="C156" s="47">
        <f>VLOOKUP(A156,'State ID'!$A$2:$B$713,2,FALSE)</f>
        <v>4287</v>
      </c>
      <c r="D156" s="147" t="s">
        <v>410</v>
      </c>
      <c r="E156" s="47" t="s">
        <v>7</v>
      </c>
      <c r="F156" s="382">
        <f>IFERROR(VLOOKUP($B156,'update_Formula counts'!$D$7:$R$234,'update_Formula counts'!F$5,0),0)</f>
        <v>2218</v>
      </c>
      <c r="G156" s="382">
        <f>IFERROR(VLOOKUP($B156,'update_Formula counts'!$D$7:$R$234,'update_Formula counts'!G$5,0),0)</f>
        <v>0</v>
      </c>
      <c r="H156" s="382">
        <f>IFERROR(VLOOKUP($B156,'update_Formula counts'!$D$7:$R$234,'update_Formula counts'!H$5,0),0)</f>
        <v>0</v>
      </c>
      <c r="I156" s="382">
        <f>IFERROR(VLOOKUP($B156,'update_Formula counts'!$D$7:$R$234,'update_Formula counts'!I$5,0),0)</f>
        <v>100</v>
      </c>
      <c r="J156" s="382">
        <f>IFERROR(VLOOKUP($B156,'update_Formula counts'!$D$7:$R$234,'update_Formula counts'!J$5,0),0)</f>
        <v>0</v>
      </c>
      <c r="K156" s="382">
        <f t="shared" si="289"/>
        <v>2218</v>
      </c>
      <c r="L156" s="444">
        <f>IFERROR(VLOOKUP($B156,'update_Formula counts'!$D$7:$R$234,'update_Formula counts'!L$5,0),0)</f>
        <v>15656</v>
      </c>
      <c r="M156" s="445">
        <f>IFERROR(VLOOKUP($B156,'update_Formula counts'!$D$7:$R$234,'update_Formula counts'!K$5,0),0)</f>
        <v>2318</v>
      </c>
      <c r="N156" s="446">
        <f>IFERROR(VLOOKUP($B156,'update_Formula counts'!$D$7:$R$234,'update_Formula counts'!M$5,0),0)</f>
        <v>0.14805825242718446</v>
      </c>
      <c r="O156" s="137">
        <f>VLOOKUP($C156,'Final SEA Counts'!$A$2:$F$709,5,FALSE)</f>
        <v>10681</v>
      </c>
      <c r="P156" s="208">
        <f>VLOOKUP($C156,'Final SEA Counts'!$A$2:$F$709,6,FALSE)</f>
        <v>3005</v>
      </c>
      <c r="Q156" s="748">
        <f t="shared" si="290"/>
        <v>-280.07137499544768</v>
      </c>
      <c r="R156" s="444">
        <f t="shared" si="291"/>
        <v>14208.402376487848</v>
      </c>
      <c r="S156" s="445">
        <f t="shared" si="254"/>
        <v>2037.9286250045523</v>
      </c>
      <c r="T156" s="229">
        <f t="shared" si="255"/>
        <v>0.14343122970510247</v>
      </c>
      <c r="U156" s="261">
        <f>VLOOKUP($B156,update_Allocation!$D$8:$Q$235,update_Allocation!K$239,0)</f>
        <v>1096159.1213328384</v>
      </c>
      <c r="V156" s="262">
        <f>VLOOKUP($B156,update_Allocation!$D$8:$Q$235,update_Allocation!L$239,0)</f>
        <v>189002.04832976681</v>
      </c>
      <c r="W156" s="262">
        <f>VLOOKUP($B156,update_Allocation!$D$8:$Q$235,update_Allocation!M$239,0)</f>
        <v>450912.48576067516</v>
      </c>
      <c r="X156" s="262">
        <f>VLOOKUP($B156,update_Allocation!$D$8:$Q$235,update_Allocation!N$239,0)</f>
        <v>351357.99711741577</v>
      </c>
      <c r="Y156" s="263">
        <f>VLOOKUP($B156,update_Allocation!$D$8:$Q$235,update_Allocation!O$239,0)</f>
        <v>2087431.6525406961</v>
      </c>
      <c r="Z156" s="262">
        <f t="shared" si="292"/>
        <v>966098.2253004068</v>
      </c>
      <c r="AA156" s="262">
        <f t="shared" si="293"/>
        <v>166657.46796628542</v>
      </c>
      <c r="AB156" s="262">
        <f t="shared" si="294"/>
        <v>397505.61674464314</v>
      </c>
      <c r="AC156" s="263">
        <f t="shared" si="295"/>
        <v>309924.15026281687</v>
      </c>
      <c r="AD156" s="262">
        <f t="shared" si="260"/>
        <v>966098.2253004068</v>
      </c>
      <c r="AE156" s="262" t="str">
        <f t="shared" si="261"/>
        <v/>
      </c>
      <c r="AF156" s="262">
        <f t="shared" si="262"/>
        <v>397505.61674464314</v>
      </c>
      <c r="AG156" s="263">
        <f t="shared" si="263"/>
        <v>309924.15026281687</v>
      </c>
      <c r="AH156" s="262">
        <f t="shared" si="296"/>
        <v>966098.2253004068</v>
      </c>
      <c r="AI156" s="262" t="str">
        <f t="shared" si="297"/>
        <v/>
      </c>
      <c r="AJ156" s="262">
        <f t="shared" si="298"/>
        <v>397530.95738986338</v>
      </c>
      <c r="AK156" s="262">
        <f t="shared" si="299"/>
        <v>309947.73907478229</v>
      </c>
      <c r="AL156" s="263">
        <f t="shared" si="268"/>
        <v>1673576.9217650525</v>
      </c>
      <c r="AM156" s="346"/>
      <c r="AN156" s="261">
        <f>IFERROR(VLOOKUP($A156,'HH &amp; SI'!$B$4:$Z$494,'HH &amp; SI'!V$503,0),0)</f>
        <v>952920.01844805584</v>
      </c>
      <c r="AO156" s="262">
        <f>IFERROR(VLOOKUP($A156,'HH &amp; SI'!$B$4:$Z$494,'HH &amp; SI'!W$503,0),0)</f>
        <v>164119.17708419132</v>
      </c>
      <c r="AP156" s="262">
        <f>IFERROR(VLOOKUP($A156,'HH &amp; SI'!$B$4:$Z$494,'HH &amp; SI'!X$503,0),0)</f>
        <v>393915.56854249636</v>
      </c>
      <c r="AQ156" s="262">
        <f>IFERROR(VLOOKUP($A156,'HH &amp; SI'!$B$4:$Z$494,'HH &amp; SI'!Y$503,0),0)</f>
        <v>306532.67292460857</v>
      </c>
      <c r="AR156" s="263">
        <f t="shared" si="269"/>
        <v>1817487.4369993522</v>
      </c>
      <c r="AS156" s="346"/>
      <c r="AT156" s="323">
        <f>IFERROR(VLOOKUP(A156,'Afton FY16 Final'!$A$5:$BV$572,'Afton FY16 Final'!$BV$587,0),0)</f>
        <v>1657413.5406288628</v>
      </c>
      <c r="AU156" s="346"/>
      <c r="AV156" s="444">
        <v>0</v>
      </c>
      <c r="AW156" s="262">
        <f>IFERROR(VLOOKUP($A156,'HH &amp; SI'!$B$4:$EY$503,'HH &amp; SI'!EX$503,0),0)</f>
        <v>101803.10730765667</v>
      </c>
      <c r="AX156" s="262">
        <f>IFERROR(VLOOKUP($A156,'HH &amp; SI'!$B$4:$EY$503,'HH &amp; SI'!EY$503,0),0)</f>
        <v>1715684.3296916955</v>
      </c>
      <c r="AY156" s="262">
        <f>AX156/$AX$582*'update_State Admin 1004(b)'!$B$30*0.01</f>
        <v>16420.331528743391</v>
      </c>
      <c r="AZ156" s="263">
        <f t="shared" si="270"/>
        <v>1699263.998162952</v>
      </c>
      <c r="BA156" s="261">
        <f t="shared" si="271"/>
        <v>16992.63998162952</v>
      </c>
      <c r="BB156" s="262">
        <f t="shared" si="272"/>
        <v>1682271.3581813225</v>
      </c>
      <c r="BC156" s="341">
        <f t="shared" si="280"/>
        <v>1.0149979573251393</v>
      </c>
      <c r="BD156" s="346"/>
      <c r="BE156" s="376" t="str">
        <f>'Original Title I &amp; II'!AZ156</f>
        <v/>
      </c>
      <c r="BF156" s="243" t="str">
        <f t="shared" si="300"/>
        <v/>
      </c>
      <c r="BG156" s="263">
        <f t="shared" si="250"/>
        <v>1682271.3581813225</v>
      </c>
      <c r="BI156" s="31">
        <f>IFERROR(VLOOKUP(A156,'Title II Hold Harmless'!A$1:B$439,2, FALSE),"")</f>
        <v>274770</v>
      </c>
      <c r="BJ156" s="31">
        <f t="shared" si="274"/>
        <v>312883.22225671721</v>
      </c>
      <c r="BK156" s="31">
        <f t="shared" si="301"/>
        <v>313185.90293883602</v>
      </c>
      <c r="BL156" s="31" t="str">
        <f t="shared" si="276"/>
        <v/>
      </c>
      <c r="BM156" s="31">
        <f t="shared" si="277"/>
        <v>313185.90293883602</v>
      </c>
      <c r="BN156" s="200"/>
      <c r="BP156" s="295" t="s">
        <v>1447</v>
      </c>
      <c r="BQ156" s="296" t="str">
        <f t="shared" si="281"/>
        <v>Y</v>
      </c>
      <c r="BR156" s="297" t="s">
        <v>1448</v>
      </c>
      <c r="BT156" s="295" t="str">
        <f t="shared" si="282"/>
        <v>Y</v>
      </c>
      <c r="BU156" s="296" t="str">
        <f t="shared" si="278"/>
        <v>N</v>
      </c>
      <c r="BV156" s="296" t="str">
        <f t="shared" si="279"/>
        <v>Y</v>
      </c>
      <c r="BW156" s="297" t="str">
        <f t="shared" si="283"/>
        <v>Y</v>
      </c>
      <c r="BY156" s="352">
        <f t="shared" si="284"/>
        <v>0.85</v>
      </c>
      <c r="BZ156" s="353">
        <f t="shared" si="285"/>
        <v>0</v>
      </c>
      <c r="CA156" s="353">
        <f t="shared" si="286"/>
        <v>0</v>
      </c>
      <c r="CB156" s="354">
        <f t="shared" si="287"/>
        <v>0.85</v>
      </c>
      <c r="CD156" s="311">
        <f t="shared" si="288"/>
        <v>151</v>
      </c>
    </row>
    <row r="157" spans="1:82" outlineLevel="1" x14ac:dyDescent="0.3">
      <c r="A157" s="1">
        <v>70260000</v>
      </c>
      <c r="B157" s="47">
        <f>VLOOKUP(C157,'NCES ID'!$A$2:$B$3136,2,FALSE)</f>
        <v>403780</v>
      </c>
      <c r="C157" s="47">
        <f>VLOOKUP(A157,'State ID'!$A$2:$B$713,2,FALSE)</f>
        <v>4248</v>
      </c>
      <c r="D157" s="147" t="s">
        <v>197</v>
      </c>
      <c r="E157" s="47" t="s">
        <v>7</v>
      </c>
      <c r="F157" s="382">
        <f>IFERROR(VLOOKUP($B157,'update_Formula counts'!$D$7:$R$234,'update_Formula counts'!F$5,0),0)</f>
        <v>1244</v>
      </c>
      <c r="G157" s="382">
        <f>IFERROR(VLOOKUP($B157,'update_Formula counts'!$D$7:$R$234,'update_Formula counts'!G$5,0),0)</f>
        <v>0</v>
      </c>
      <c r="H157" s="382">
        <f>IFERROR(VLOOKUP($B157,'update_Formula counts'!$D$7:$R$234,'update_Formula counts'!H$5,0),0)</f>
        <v>0</v>
      </c>
      <c r="I157" s="382">
        <f>IFERROR(VLOOKUP($B157,'update_Formula counts'!$D$7:$R$234,'update_Formula counts'!I$5,0),0)</f>
        <v>56</v>
      </c>
      <c r="J157" s="382">
        <f>IFERROR(VLOOKUP($B157,'update_Formula counts'!$D$7:$R$234,'update_Formula counts'!J$5,0),0)</f>
        <v>0</v>
      </c>
      <c r="K157" s="382">
        <f t="shared" si="289"/>
        <v>1244</v>
      </c>
      <c r="L157" s="444">
        <f>IFERROR(VLOOKUP($B157,'update_Formula counts'!$D$7:$R$234,'update_Formula counts'!L$5,0),0)</f>
        <v>15704</v>
      </c>
      <c r="M157" s="445">
        <f>IFERROR(VLOOKUP($B157,'update_Formula counts'!$D$7:$R$234,'update_Formula counts'!K$5,0),0)</f>
        <v>1300</v>
      </c>
      <c r="N157" s="446">
        <f>IFERROR(VLOOKUP($B157,'update_Formula counts'!$D$7:$R$234,'update_Formula counts'!M$5,0),0)</f>
        <v>8.2781456953642391E-2</v>
      </c>
      <c r="O157" s="137">
        <f>VLOOKUP($C157,'Final SEA Counts'!$A$2:$F$709,5,FALSE)</f>
        <v>11083</v>
      </c>
      <c r="P157" s="208">
        <f>VLOOKUP($C157,'Final SEA Counts'!$A$2:$F$709,6,FALSE)</f>
        <v>2272</v>
      </c>
      <c r="Q157" s="748">
        <f t="shared" si="290"/>
        <v>-157.08258737430026</v>
      </c>
      <c r="R157" s="444">
        <f t="shared" si="291"/>
        <v>14251.96416200595</v>
      </c>
      <c r="S157" s="445">
        <f t="shared" si="254"/>
        <v>1142.9174126256999</v>
      </c>
      <c r="T157" s="229">
        <f t="shared" si="255"/>
        <v>8.0193677140487238E-2</v>
      </c>
      <c r="U157" s="261">
        <f>VLOOKUP($B157,update_Allocation!$D$8:$Q$235,update_Allocation!K$239,0)</f>
        <v>614757.05683032388</v>
      </c>
      <c r="V157" s="262">
        <f>VLOOKUP($B157,update_Allocation!$D$8:$Q$235,update_Allocation!L$239,0)</f>
        <v>0</v>
      </c>
      <c r="W157" s="262">
        <f>VLOOKUP($B157,update_Allocation!$D$8:$Q$235,update_Allocation!M$239,0)</f>
        <v>228988.47393669985</v>
      </c>
      <c r="X157" s="262">
        <f>VLOOKUP($B157,update_Allocation!$D$8:$Q$235,update_Allocation!N$239,0)</f>
        <v>177644.21187171692</v>
      </c>
      <c r="Y157" s="263">
        <f>VLOOKUP($B157,update_Allocation!$D$8:$Q$235,update_Allocation!O$239,0)</f>
        <v>1021389.7426387407</v>
      </c>
      <c r="Z157" s="262">
        <f t="shared" si="292"/>
        <v>541815.22557831299</v>
      </c>
      <c r="AA157" s="262" t="str">
        <f t="shared" si="293"/>
        <v/>
      </c>
      <c r="AB157" s="262">
        <f t="shared" si="294"/>
        <v>201866.67576096844</v>
      </c>
      <c r="AC157" s="263">
        <f t="shared" si="295"/>
        <v>156695.54091592552</v>
      </c>
      <c r="AD157" s="262">
        <f t="shared" si="260"/>
        <v>541815.22557831299</v>
      </c>
      <c r="AE157" s="262" t="str">
        <f t="shared" si="261"/>
        <v/>
      </c>
      <c r="AF157" s="262">
        <f t="shared" si="262"/>
        <v>201866.67576096844</v>
      </c>
      <c r="AG157" s="263">
        <f t="shared" si="263"/>
        <v>156695.54091592552</v>
      </c>
      <c r="AH157" s="262">
        <f t="shared" si="296"/>
        <v>541815.22557831299</v>
      </c>
      <c r="AI157" s="262" t="str">
        <f t="shared" si="297"/>
        <v/>
      </c>
      <c r="AJ157" s="262">
        <f t="shared" si="298"/>
        <v>201892.01640618869</v>
      </c>
      <c r="AK157" s="262">
        <f t="shared" si="299"/>
        <v>156719.12972789092</v>
      </c>
      <c r="AL157" s="263">
        <f t="shared" si="268"/>
        <v>900426.37171239266</v>
      </c>
      <c r="AM157" s="346"/>
      <c r="AN157" s="261">
        <f>IFERROR(VLOOKUP($A157,'HH &amp; SI'!$B$4:$Z$494,'HH &amp; SI'!V$503,0),0)</f>
        <v>534424.51422884956</v>
      </c>
      <c r="AO157" s="262">
        <f>IFERROR(VLOOKUP($A157,'HH &amp; SI'!$B$4:$Z$494,'HH &amp; SI'!W$503,0),0)</f>
        <v>0</v>
      </c>
      <c r="AP157" s="262">
        <f>IFERROR(VLOOKUP($A157,'HH &amp; SI'!$B$4:$Z$494,'HH &amp; SI'!X$503,0),0)</f>
        <v>200055.88734273176</v>
      </c>
      <c r="AQ157" s="262">
        <f>IFERROR(VLOOKUP($A157,'HH &amp; SI'!$B$4:$Z$494,'HH &amp; SI'!Y$503,0),0)</f>
        <v>154992.36702713359</v>
      </c>
      <c r="AR157" s="263">
        <f t="shared" si="269"/>
        <v>889472.76859871496</v>
      </c>
      <c r="AS157" s="346"/>
      <c r="AT157" s="323">
        <f>IFERROR(VLOOKUP(A157,'Afton FY16 Final'!$A$5:$BV$572,'Afton FY16 Final'!$BV$587,0),0)</f>
        <v>845444.03010011872</v>
      </c>
      <c r="AU157" s="346"/>
      <c r="AV157" s="444">
        <v>0</v>
      </c>
      <c r="AW157" s="262">
        <f>IFERROR(VLOOKUP($A157,'HH &amp; SI'!$B$4:$EY$503,'HH &amp; SI'!EX$503,0),0)</f>
        <v>44028.738498596242</v>
      </c>
      <c r="AX157" s="262">
        <f>IFERROR(VLOOKUP($A157,'HH &amp; SI'!$B$4:$EY$503,'HH &amp; SI'!EY$503,0),0)</f>
        <v>845444.03010011872</v>
      </c>
      <c r="AY157" s="262">
        <f>AX157/$AX$582*'update_State Admin 1004(b)'!$B$30*0.01</f>
        <v>8091.5067084254952</v>
      </c>
      <c r="AZ157" s="263">
        <f t="shared" si="270"/>
        <v>837352.52339169325</v>
      </c>
      <c r="BA157" s="261">
        <f t="shared" si="271"/>
        <v>8373.5252339169328</v>
      </c>
      <c r="BB157" s="262">
        <f t="shared" si="272"/>
        <v>828978.99815777631</v>
      </c>
      <c r="BC157" s="341">
        <f t="shared" si="280"/>
        <v>0.98052498881517614</v>
      </c>
      <c r="BD157" s="346"/>
      <c r="BE157" s="376" t="str">
        <f>'Original Title I &amp; II'!AZ157</f>
        <v/>
      </c>
      <c r="BF157" s="243" t="str">
        <f t="shared" si="300"/>
        <v/>
      </c>
      <c r="BG157" s="263">
        <f t="shared" si="250"/>
        <v>828978.99815777631</v>
      </c>
      <c r="BI157" s="31">
        <f>IFERROR(VLOOKUP(A157,'Title II Hold Harmless'!A$1:B$439,2, FALSE),"")</f>
        <v>12942</v>
      </c>
      <c r="BJ157" s="31">
        <f t="shared" si="274"/>
        <v>39373.785251864683</v>
      </c>
      <c r="BK157" s="31">
        <f t="shared" si="301"/>
        <v>39411.875131186673</v>
      </c>
      <c r="BL157" s="31" t="str">
        <f t="shared" si="276"/>
        <v/>
      </c>
      <c r="BM157" s="31">
        <f t="shared" si="277"/>
        <v>39411.875131186673</v>
      </c>
      <c r="BN157" s="200"/>
      <c r="BP157" s="295" t="s">
        <v>1447</v>
      </c>
      <c r="BQ157" s="296" t="str">
        <f t="shared" si="281"/>
        <v>Y</v>
      </c>
      <c r="BR157" s="297" t="s">
        <v>1448</v>
      </c>
      <c r="BT157" s="295" t="str">
        <f t="shared" si="282"/>
        <v>Y</v>
      </c>
      <c r="BU157" s="296" t="str">
        <f t="shared" si="278"/>
        <v>N</v>
      </c>
      <c r="BV157" s="296" t="str">
        <f t="shared" si="279"/>
        <v>Y</v>
      </c>
      <c r="BW157" s="297" t="str">
        <f t="shared" si="283"/>
        <v>Y</v>
      </c>
      <c r="BY157" s="352">
        <f t="shared" si="284"/>
        <v>0.85</v>
      </c>
      <c r="BZ157" s="353">
        <f t="shared" si="285"/>
        <v>0</v>
      </c>
      <c r="CA157" s="353">
        <f t="shared" si="286"/>
        <v>0</v>
      </c>
      <c r="CB157" s="354">
        <f t="shared" si="287"/>
        <v>0.85</v>
      </c>
      <c r="CD157" s="311">
        <f t="shared" si="288"/>
        <v>152</v>
      </c>
    </row>
    <row r="158" spans="1:82" outlineLevel="1" x14ac:dyDescent="0.3">
      <c r="A158" s="1">
        <v>70440000</v>
      </c>
      <c r="B158" s="47">
        <f>VLOOKUP(C158,'NCES ID'!$A$2:$B$3136,2,FALSE)</f>
        <v>403420</v>
      </c>
      <c r="C158" s="47">
        <f>VLOOKUP(A158,'State ID'!$A$2:$B$713,2,FALSE)</f>
        <v>4271</v>
      </c>
      <c r="D158" s="147" t="s">
        <v>183</v>
      </c>
      <c r="E158" s="47" t="s">
        <v>7</v>
      </c>
      <c r="F158" s="382">
        <f>IFERROR(VLOOKUP($B158,'update_Formula counts'!$D$7:$R$234,'update_Formula counts'!F$5,0),0)</f>
        <v>6255</v>
      </c>
      <c r="G158" s="382">
        <f>IFERROR(VLOOKUP($B158,'update_Formula counts'!$D$7:$R$234,'update_Formula counts'!G$5,0),0)</f>
        <v>103</v>
      </c>
      <c r="H158" s="382">
        <f>IFERROR(VLOOKUP($B158,'update_Formula counts'!$D$7:$R$234,'update_Formula counts'!H$5,0),0)</f>
        <v>0</v>
      </c>
      <c r="I158" s="382">
        <f>IFERROR(VLOOKUP($B158,'update_Formula counts'!$D$7:$R$234,'update_Formula counts'!I$5,0),0)</f>
        <v>283</v>
      </c>
      <c r="J158" s="382">
        <f>IFERROR(VLOOKUP($B158,'update_Formula counts'!$D$7:$R$234,'update_Formula counts'!J$5,0),0)</f>
        <v>0</v>
      </c>
      <c r="K158" s="382">
        <f t="shared" si="289"/>
        <v>6358</v>
      </c>
      <c r="L158" s="444">
        <f>IFERROR(VLOOKUP($B158,'update_Formula counts'!$D$7:$R$234,'update_Formula counts'!L$5,0),0)</f>
        <v>16073</v>
      </c>
      <c r="M158" s="445">
        <f>IFERROR(VLOOKUP($B158,'update_Formula counts'!$D$7:$R$234,'update_Formula counts'!K$5,0),0)</f>
        <v>6641</v>
      </c>
      <c r="N158" s="446">
        <f>IFERROR(VLOOKUP($B158,'update_Formula counts'!$D$7:$R$234,'update_Formula counts'!M$5,0),0)</f>
        <v>0.41317737821190814</v>
      </c>
      <c r="O158" s="137">
        <f>VLOOKUP($C158,'Final SEA Counts'!$A$2:$F$709,5,FALSE)</f>
        <v>14156</v>
      </c>
      <c r="P158" s="208">
        <f>VLOOKUP($C158,'Final SEA Counts'!$A$2:$F$709,6,FALSE)</f>
        <v>12720</v>
      </c>
      <c r="Q158" s="748">
        <f t="shared" si="290"/>
        <v>-789.62127448452361</v>
      </c>
      <c r="R158" s="444">
        <f t="shared" si="291"/>
        <v>14586.845388176365</v>
      </c>
      <c r="S158" s="445">
        <f t="shared" si="254"/>
        <v>5851.3787255154766</v>
      </c>
      <c r="T158" s="229">
        <f t="shared" si="255"/>
        <v>0.4011407929406326</v>
      </c>
      <c r="U158" s="261">
        <f>VLOOKUP($B158,update_Allocation!$D$8:$Q$235,update_Allocation!K$239,0)</f>
        <v>3140462.7803155221</v>
      </c>
      <c r="V158" s="262">
        <f>VLOOKUP($B158,update_Allocation!$D$8:$Q$235,update_Allocation!L$239,0)</f>
        <v>748086.9577242611</v>
      </c>
      <c r="W158" s="262">
        <f>VLOOKUP($B158,update_Allocation!$D$8:$Q$235,update_Allocation!M$239,0)</f>
        <v>1965935.0128820119</v>
      </c>
      <c r="X158" s="262">
        <f>VLOOKUP($B158,update_Allocation!$D$8:$Q$235,update_Allocation!N$239,0)</f>
        <v>1856977.6508392724</v>
      </c>
      <c r="Y158" s="263">
        <f>VLOOKUP($B158,update_Allocation!$D$8:$Q$235,update_Allocation!O$239,0)</f>
        <v>7711462.401761068</v>
      </c>
      <c r="Z158" s="262">
        <f t="shared" si="292"/>
        <v>2767842.2408196731</v>
      </c>
      <c r="AA158" s="262">
        <f t="shared" si="293"/>
        <v>659645.1165195728</v>
      </c>
      <c r="AB158" s="262">
        <f t="shared" si="294"/>
        <v>1733086.2073096877</v>
      </c>
      <c r="AC158" s="263">
        <f t="shared" si="295"/>
        <v>1637993.7989602012</v>
      </c>
      <c r="AD158" s="262">
        <f t="shared" si="260"/>
        <v>2767842.2408196731</v>
      </c>
      <c r="AE158" s="262">
        <f t="shared" si="261"/>
        <v>659645.1165195728</v>
      </c>
      <c r="AF158" s="262">
        <f t="shared" si="262"/>
        <v>1733086.2073096877</v>
      </c>
      <c r="AG158" s="263">
        <f t="shared" si="263"/>
        <v>1637993.7989602012</v>
      </c>
      <c r="AH158" s="262">
        <f t="shared" si="296"/>
        <v>2767842.2408196731</v>
      </c>
      <c r="AI158" s="262">
        <f t="shared" si="297"/>
        <v>661775.93790240353</v>
      </c>
      <c r="AJ158" s="262">
        <f t="shared" si="298"/>
        <v>1733111.5479549081</v>
      </c>
      <c r="AK158" s="262">
        <f t="shared" si="299"/>
        <v>1638017.3877721666</v>
      </c>
      <c r="AL158" s="263">
        <f t="shared" si="268"/>
        <v>6800747.1144491509</v>
      </c>
      <c r="AM158" s="346"/>
      <c r="AN158" s="261">
        <f>IFERROR(VLOOKUP($A158,'HH &amp; SI'!$B$4:$Z$494,'HH &amp; SI'!V$503,0),0)</f>
        <v>2730087.0761490678</v>
      </c>
      <c r="AO158" s="262">
        <f>IFERROR(VLOOKUP($A158,'HH &amp; SI'!$B$4:$Z$494,'HH &amp; SI'!W$503,0),0)</f>
        <v>639979.45802376838</v>
      </c>
      <c r="AP158" s="262">
        <f>IFERROR(VLOOKUP($A158,'HH &amp; SI'!$B$4:$Z$494,'HH &amp; SI'!X$503,0),0)</f>
        <v>1717349.575094077</v>
      </c>
      <c r="AQ158" s="262">
        <f>IFERROR(VLOOKUP($A158,'HH &amp; SI'!$B$4:$Z$494,'HH &amp; SI'!Y$503,0),0)</f>
        <v>1619969.3847408332</v>
      </c>
      <c r="AR158" s="263">
        <f t="shared" si="269"/>
        <v>6707385.4940077467</v>
      </c>
      <c r="AS158" s="346"/>
      <c r="AT158" s="323">
        <f>IFERROR(VLOOKUP(A158,'Afton FY16 Final'!$A$5:$BV$572,'Afton FY16 Final'!$BV$587,0),0)</f>
        <v>5482037.2280230476</v>
      </c>
      <c r="AU158" s="346"/>
      <c r="AV158" s="444">
        <v>0</v>
      </c>
      <c r="AW158" s="262">
        <f>IFERROR(VLOOKUP($A158,'HH &amp; SI'!$B$4:$EY$503,'HH &amp; SI'!EX$503,0),0)</f>
        <v>375701.46087372024</v>
      </c>
      <c r="AX158" s="262">
        <f>IFERROR(VLOOKUP($A158,'HH &amp; SI'!$B$4:$EY$503,'HH &amp; SI'!EY$503,0),0)</f>
        <v>6331684.0331340265</v>
      </c>
      <c r="AY158" s="262">
        <f>AX158/$AX$582*'update_State Admin 1004(b)'!$B$30*0.01</f>
        <v>60598.76467951107</v>
      </c>
      <c r="AZ158" s="263">
        <f t="shared" si="270"/>
        <v>6271085.2684545154</v>
      </c>
      <c r="BA158" s="261">
        <f t="shared" si="271"/>
        <v>62710.852684545156</v>
      </c>
      <c r="BB158" s="262">
        <f t="shared" si="272"/>
        <v>6208374.41576997</v>
      </c>
      <c r="BC158" s="341">
        <f t="shared" si="280"/>
        <v>1.1324940268617725</v>
      </c>
      <c r="BD158" s="346"/>
      <c r="BE158" s="376" t="str">
        <f>'Original Title I &amp; II'!AZ158</f>
        <v/>
      </c>
      <c r="BF158" s="243" t="str">
        <f t="shared" si="300"/>
        <v/>
      </c>
      <c r="BG158" s="263">
        <f t="shared" si="250"/>
        <v>6208374.41576997</v>
      </c>
      <c r="BI158" s="31">
        <f>IFERROR(VLOOKUP(A158,'Title II Hold Harmless'!A$1:B$439,2, FALSE),"")</f>
        <v>465029</v>
      </c>
      <c r="BJ158" s="31">
        <f t="shared" si="274"/>
        <v>553368.25817661569</v>
      </c>
      <c r="BK158" s="31">
        <f t="shared" si="301"/>
        <v>553903.58212476398</v>
      </c>
      <c r="BL158" s="31" t="str">
        <f t="shared" si="276"/>
        <v/>
      </c>
      <c r="BM158" s="31">
        <f t="shared" si="277"/>
        <v>553903.58212476398</v>
      </c>
      <c r="BN158" s="200"/>
      <c r="BP158" s="295" t="s">
        <v>1447</v>
      </c>
      <c r="BQ158" s="296" t="str">
        <f t="shared" si="281"/>
        <v>Y</v>
      </c>
      <c r="BR158" s="297" t="s">
        <v>1448</v>
      </c>
      <c r="BT158" s="295" t="str">
        <f t="shared" si="282"/>
        <v>Y</v>
      </c>
      <c r="BU158" s="296" t="str">
        <f t="shared" si="278"/>
        <v>Y</v>
      </c>
      <c r="BV158" s="296" t="str">
        <f t="shared" si="279"/>
        <v>Y</v>
      </c>
      <c r="BW158" s="297" t="str">
        <f t="shared" si="283"/>
        <v>Y</v>
      </c>
      <c r="BY158" s="352">
        <f t="shared" si="284"/>
        <v>0</v>
      </c>
      <c r="BZ158" s="353">
        <f t="shared" si="285"/>
        <v>0</v>
      </c>
      <c r="CA158" s="353">
        <f t="shared" si="286"/>
        <v>0.95</v>
      </c>
      <c r="CB158" s="354">
        <f t="shared" si="287"/>
        <v>0.95</v>
      </c>
      <c r="CD158" s="311">
        <f t="shared" si="288"/>
        <v>153</v>
      </c>
    </row>
    <row r="159" spans="1:82" outlineLevel="1" x14ac:dyDescent="0.3">
      <c r="A159" s="1">
        <v>70466000</v>
      </c>
      <c r="B159" s="47">
        <f>VLOOKUP(C159,'NCES ID'!$A$2:$B$3136,2,FALSE)</f>
        <v>407080</v>
      </c>
      <c r="C159" s="47">
        <f>VLOOKUP(A159,'State ID'!$A$2:$B$713,2,FALSE)</f>
        <v>4279</v>
      </c>
      <c r="D159" s="147" t="s">
        <v>361</v>
      </c>
      <c r="E159" s="47" t="s">
        <v>7</v>
      </c>
      <c r="F159" s="382">
        <f>IFERROR(VLOOKUP($B159,'update_Formula counts'!$D$7:$R$234,'update_Formula counts'!F$5,0),0)</f>
        <v>6380</v>
      </c>
      <c r="G159" s="382">
        <f>IFERROR(VLOOKUP($B159,'update_Formula counts'!$D$7:$R$234,'update_Formula counts'!G$5,0),0)</f>
        <v>0</v>
      </c>
      <c r="H159" s="382">
        <f>IFERROR(VLOOKUP($B159,'update_Formula counts'!$D$7:$R$234,'update_Formula counts'!H$5,0),0)</f>
        <v>0</v>
      </c>
      <c r="I159" s="382">
        <f>IFERROR(VLOOKUP($B159,'update_Formula counts'!$D$7:$R$234,'update_Formula counts'!I$5,0),0)</f>
        <v>289</v>
      </c>
      <c r="J159" s="382">
        <f>IFERROR(VLOOKUP($B159,'update_Formula counts'!$D$7:$R$234,'update_Formula counts'!J$5,0),0)</f>
        <v>0</v>
      </c>
      <c r="K159" s="382">
        <f t="shared" si="289"/>
        <v>6380</v>
      </c>
      <c r="L159" s="444">
        <f>IFERROR(VLOOKUP($B159,'update_Formula counts'!$D$7:$R$234,'update_Formula counts'!L$5,0),0)</f>
        <v>16974</v>
      </c>
      <c r="M159" s="445">
        <f>IFERROR(VLOOKUP($B159,'update_Formula counts'!$D$7:$R$234,'update_Formula counts'!K$5,0),0)</f>
        <v>6669</v>
      </c>
      <c r="N159" s="446">
        <f>IFERROR(VLOOKUP($B159,'update_Formula counts'!$D$7:$R$234,'update_Formula counts'!M$5,0),0)</f>
        <v>0.3928950159066808</v>
      </c>
      <c r="O159" s="137">
        <f>VLOOKUP($C159,'Final SEA Counts'!$A$2:$F$709,5,FALSE)</f>
        <v>9706</v>
      </c>
      <c r="P159" s="208">
        <f>VLOOKUP($C159,'Final SEA Counts'!$A$2:$F$709,6,FALSE)</f>
        <v>8456</v>
      </c>
      <c r="Q159" s="748">
        <f t="shared" si="290"/>
        <v>-805.61284995922722</v>
      </c>
      <c r="R159" s="444">
        <f t="shared" si="291"/>
        <v>15404.536403839085</v>
      </c>
      <c r="S159" s="445">
        <f t="shared" si="254"/>
        <v>5863.3871500407731</v>
      </c>
      <c r="T159" s="229">
        <f t="shared" si="255"/>
        <v>0.38062730330394834</v>
      </c>
      <c r="U159" s="261">
        <f>VLOOKUP($B159,update_Allocation!$D$8:$Q$235,update_Allocation!K$239,0)</f>
        <v>3153703.7015395607</v>
      </c>
      <c r="V159" s="262">
        <f>VLOOKUP($B159,update_Allocation!$D$8:$Q$235,update_Allocation!L$239,0)</f>
        <v>751241.06626458291</v>
      </c>
      <c r="W159" s="262">
        <f>VLOOKUP($B159,update_Allocation!$D$8:$Q$235,update_Allocation!M$239,0)</f>
        <v>1879605.4055758638</v>
      </c>
      <c r="X159" s="262">
        <f>VLOOKUP($B159,update_Allocation!$D$8:$Q$235,update_Allocation!N$239,0)</f>
        <v>1732374.2086011278</v>
      </c>
      <c r="Y159" s="263">
        <f>VLOOKUP($B159,update_Allocation!$D$8:$Q$235,update_Allocation!O$239,0)</f>
        <v>7516924.3819811344</v>
      </c>
      <c r="Z159" s="262">
        <f t="shared" si="292"/>
        <v>2779512.1072167451</v>
      </c>
      <c r="AA159" s="262">
        <f t="shared" si="293"/>
        <v>662426.33369508036</v>
      </c>
      <c r="AB159" s="262">
        <f t="shared" si="294"/>
        <v>1656981.6307472037</v>
      </c>
      <c r="AC159" s="263">
        <f t="shared" si="295"/>
        <v>1528084.2017052572</v>
      </c>
      <c r="AD159" s="262">
        <f t="shared" si="260"/>
        <v>2779512.1072167451</v>
      </c>
      <c r="AE159" s="262">
        <f t="shared" si="261"/>
        <v>662426.33369508036</v>
      </c>
      <c r="AF159" s="262">
        <f t="shared" si="262"/>
        <v>1656981.6307472037</v>
      </c>
      <c r="AG159" s="263">
        <f t="shared" si="263"/>
        <v>1528084.2017052572</v>
      </c>
      <c r="AH159" s="262">
        <f t="shared" si="296"/>
        <v>2779512.1072167451</v>
      </c>
      <c r="AI159" s="262">
        <f t="shared" si="297"/>
        <v>664557.1550779111</v>
      </c>
      <c r="AJ159" s="262">
        <f t="shared" si="298"/>
        <v>1657006.9713924241</v>
      </c>
      <c r="AK159" s="262">
        <f t="shared" si="299"/>
        <v>1528107.7905172226</v>
      </c>
      <c r="AL159" s="263">
        <f t="shared" si="268"/>
        <v>6629184.0242043026</v>
      </c>
      <c r="AM159" s="346"/>
      <c r="AN159" s="261">
        <f>IFERROR(VLOOKUP($A159,'HH &amp; SI'!$B$4:$Z$494,'HH &amp; SI'!V$503,0),0)</f>
        <v>2741597.7579939975</v>
      </c>
      <c r="AO159" s="262">
        <f>IFERROR(VLOOKUP($A159,'HH &amp; SI'!$B$4:$Z$494,'HH &amp; SI'!W$503,0),0)</f>
        <v>651692.2407069687</v>
      </c>
      <c r="AP159" s="262">
        <f>IFERROR(VLOOKUP($A159,'HH &amp; SI'!$B$4:$Z$494,'HH &amp; SI'!X$503,0),0)</f>
        <v>1641937.1399415205</v>
      </c>
      <c r="AQ159" s="262">
        <f>IFERROR(VLOOKUP($A159,'HH &amp; SI'!$B$4:$Z$494,'HH &amp; SI'!Y$503,0),0)</f>
        <v>1511270.7934002574</v>
      </c>
      <c r="AR159" s="263">
        <f t="shared" si="269"/>
        <v>6546497.932042744</v>
      </c>
      <c r="AS159" s="346"/>
      <c r="AT159" s="323">
        <f>IFERROR(VLOOKUP(A159,'Afton FY16 Final'!$A$5:$BV$572,'Afton FY16 Final'!$BV$587,0),0)</f>
        <v>6046572.07234345</v>
      </c>
      <c r="AU159" s="346"/>
      <c r="AV159" s="444">
        <v>0</v>
      </c>
      <c r="AW159" s="262">
        <f>IFERROR(VLOOKUP($A159,'HH &amp; SI'!$B$4:$EY$503,'HH &amp; SI'!EX$503,0),0)</f>
        <v>366689.64962168038</v>
      </c>
      <c r="AX159" s="262">
        <f>IFERROR(VLOOKUP($A159,'HH &amp; SI'!$B$4:$EY$503,'HH &amp; SI'!EY$503,0),0)</f>
        <v>6179808.2824210636</v>
      </c>
      <c r="AY159" s="262">
        <f>AX159/$AX$582*'update_State Admin 1004(b)'!$B$30*0.01</f>
        <v>59145.204642431432</v>
      </c>
      <c r="AZ159" s="263">
        <f t="shared" si="270"/>
        <v>6120663.0777786318</v>
      </c>
      <c r="BA159" s="261">
        <f t="shared" si="271"/>
        <v>61206.630777786319</v>
      </c>
      <c r="BB159" s="262">
        <f t="shared" si="272"/>
        <v>6059456.4470008453</v>
      </c>
      <c r="BC159" s="341">
        <f t="shared" si="280"/>
        <v>1.0021308560459119</v>
      </c>
      <c r="BD159" s="346"/>
      <c r="BE159" s="376" t="str">
        <f>'Original Title I &amp; II'!AZ159</f>
        <v/>
      </c>
      <c r="BF159" s="243" t="str">
        <f t="shared" si="300"/>
        <v/>
      </c>
      <c r="BG159" s="263">
        <f t="shared" si="250"/>
        <v>6059456.4470008453</v>
      </c>
      <c r="BI159" s="31">
        <f>IFERROR(VLOOKUP(A159,'Title II Hold Harmless'!A$1:B$439,2, FALSE),"")</f>
        <v>825234</v>
      </c>
      <c r="BJ159" s="31">
        <f t="shared" si="274"/>
        <v>914388.53664598893</v>
      </c>
      <c r="BK159" s="31">
        <f t="shared" si="301"/>
        <v>915273.10867256613</v>
      </c>
      <c r="BL159" s="31" t="str">
        <f t="shared" si="276"/>
        <v/>
      </c>
      <c r="BM159" s="31">
        <f t="shared" si="277"/>
        <v>915273.10867256613</v>
      </c>
      <c r="BN159" s="200"/>
      <c r="BP159" s="295" t="s">
        <v>1447</v>
      </c>
      <c r="BQ159" s="296" t="str">
        <f t="shared" si="281"/>
        <v>Y</v>
      </c>
      <c r="BR159" s="297" t="s">
        <v>1448</v>
      </c>
      <c r="BT159" s="295" t="str">
        <f t="shared" si="282"/>
        <v>Y</v>
      </c>
      <c r="BU159" s="296" t="str">
        <f t="shared" si="278"/>
        <v>Y</v>
      </c>
      <c r="BV159" s="296" t="str">
        <f t="shared" si="279"/>
        <v>Y</v>
      </c>
      <c r="BW159" s="297" t="str">
        <f t="shared" si="283"/>
        <v>Y</v>
      </c>
      <c r="BY159" s="352">
        <f t="shared" si="284"/>
        <v>0</v>
      </c>
      <c r="BZ159" s="353">
        <f t="shared" si="285"/>
        <v>0</v>
      </c>
      <c r="CA159" s="353">
        <f t="shared" si="286"/>
        <v>0.95</v>
      </c>
      <c r="CB159" s="354">
        <f t="shared" si="287"/>
        <v>0.95</v>
      </c>
      <c r="CD159" s="311">
        <f t="shared" si="288"/>
        <v>154</v>
      </c>
    </row>
    <row r="160" spans="1:82" outlineLevel="1" x14ac:dyDescent="0.3">
      <c r="A160" s="1">
        <v>70428000</v>
      </c>
      <c r="B160" s="47">
        <f>VLOOKUP(C160,'NCES ID'!$A$2:$B$3136,2,FALSE)</f>
        <v>404230</v>
      </c>
      <c r="C160" s="47">
        <f>VLOOKUP(A160,'State ID'!$A$2:$B$713,2,FALSE)</f>
        <v>4267</v>
      </c>
      <c r="D160" s="147" t="s">
        <v>244</v>
      </c>
      <c r="E160" s="47" t="s">
        <v>7</v>
      </c>
      <c r="F160" s="382">
        <f>IFERROR(VLOOKUP($B160,'update_Formula counts'!$D$7:$R$234,'update_Formula counts'!F$5,0),0)</f>
        <v>1674</v>
      </c>
      <c r="G160" s="382">
        <f>IFERROR(VLOOKUP($B160,'update_Formula counts'!$D$7:$R$234,'update_Formula counts'!G$5,0),0)</f>
        <v>0</v>
      </c>
      <c r="H160" s="382">
        <f>IFERROR(VLOOKUP($B160,'update_Formula counts'!$D$7:$R$234,'update_Formula counts'!H$5,0),0)</f>
        <v>0</v>
      </c>
      <c r="I160" s="382">
        <f>IFERROR(VLOOKUP($B160,'update_Formula counts'!$D$7:$R$234,'update_Formula counts'!I$5,0),0)</f>
        <v>76</v>
      </c>
      <c r="J160" s="382">
        <f>IFERROR(VLOOKUP($B160,'update_Formula counts'!$D$7:$R$234,'update_Formula counts'!J$5,0),0)</f>
        <v>0</v>
      </c>
      <c r="K160" s="382">
        <f t="shared" si="289"/>
        <v>1674</v>
      </c>
      <c r="L160" s="444">
        <f>IFERROR(VLOOKUP($B160,'update_Formula counts'!$D$7:$R$234,'update_Formula counts'!L$5,0),0)</f>
        <v>18861</v>
      </c>
      <c r="M160" s="445">
        <f>IFERROR(VLOOKUP($B160,'update_Formula counts'!$D$7:$R$234,'update_Formula counts'!K$5,0),0)</f>
        <v>1750</v>
      </c>
      <c r="N160" s="446">
        <f>IFERROR(VLOOKUP($B160,'update_Formula counts'!$D$7:$R$234,'update_Formula counts'!M$5,0),0)</f>
        <v>9.2784051746991142E-2</v>
      </c>
      <c r="O160" s="137">
        <f>VLOOKUP($C160,'Final SEA Counts'!$A$2:$F$709,5,FALSE)</f>
        <v>17120</v>
      </c>
      <c r="P160" s="208">
        <f>VLOOKUP($C160,'Final SEA Counts'!$A$2:$F$709,6,FALSE)</f>
        <v>5311</v>
      </c>
      <c r="Q160" s="748">
        <f t="shared" si="290"/>
        <v>-211.37832262070538</v>
      </c>
      <c r="R160" s="444">
        <f t="shared" si="291"/>
        <v>17117.059097019497</v>
      </c>
      <c r="S160" s="445">
        <f t="shared" si="254"/>
        <v>1538.6216773792946</v>
      </c>
      <c r="T160" s="229">
        <f t="shared" si="255"/>
        <v>8.9888202678882298E-2</v>
      </c>
      <c r="U160" s="261">
        <f>VLOOKUP($B160,update_Allocation!$D$8:$Q$235,update_Allocation!K$239,0)</f>
        <v>827557.57650235877</v>
      </c>
      <c r="V160" s="262">
        <f>VLOOKUP($B160,update_Allocation!$D$8:$Q$235,update_Allocation!L$239,0)</f>
        <v>0</v>
      </c>
      <c r="W160" s="262">
        <f>VLOOKUP($B160,update_Allocation!$D$8:$Q$235,update_Allocation!M$239,0)</f>
        <v>325322.04820112628</v>
      </c>
      <c r="X160" s="262">
        <f>VLOOKUP($B160,update_Allocation!$D$8:$Q$235,update_Allocation!N$239,0)</f>
        <v>252377.67588755296</v>
      </c>
      <c r="Y160" s="263">
        <f>VLOOKUP($B160,update_Allocation!$D$8:$Q$235,update_Allocation!O$239,0)</f>
        <v>1405257.3005910381</v>
      </c>
      <c r="Z160" s="262">
        <f t="shared" si="292"/>
        <v>729366.64981695963</v>
      </c>
      <c r="AA160" s="262" t="str">
        <f t="shared" si="293"/>
        <v/>
      </c>
      <c r="AB160" s="262">
        <f t="shared" si="294"/>
        <v>286790.33181497501</v>
      </c>
      <c r="AC160" s="263">
        <f t="shared" si="295"/>
        <v>222616.0707496742</v>
      </c>
      <c r="AD160" s="262">
        <f t="shared" si="260"/>
        <v>729366.64981695963</v>
      </c>
      <c r="AE160" s="262" t="str">
        <f t="shared" si="261"/>
        <v/>
      </c>
      <c r="AF160" s="262">
        <f t="shared" si="262"/>
        <v>286790.33181497501</v>
      </c>
      <c r="AG160" s="263">
        <f t="shared" si="263"/>
        <v>222616.0707496742</v>
      </c>
      <c r="AH160" s="262">
        <f t="shared" si="296"/>
        <v>729366.64981695963</v>
      </c>
      <c r="AI160" s="262" t="str">
        <f t="shared" si="297"/>
        <v/>
      </c>
      <c r="AJ160" s="262">
        <f t="shared" si="298"/>
        <v>286815.67246019526</v>
      </c>
      <c r="AK160" s="262">
        <f t="shared" si="299"/>
        <v>222639.65956163959</v>
      </c>
      <c r="AL160" s="263">
        <f t="shared" si="268"/>
        <v>1238821.9818387944</v>
      </c>
      <c r="AM160" s="346"/>
      <c r="AN160" s="261">
        <f>IFERROR(VLOOKUP($A160,'HH &amp; SI'!$B$4:$Z$494,'HH &amp; SI'!V$503,0),0)</f>
        <v>719417.61530806648</v>
      </c>
      <c r="AO160" s="262">
        <f>IFERROR(VLOOKUP($A160,'HH &amp; SI'!$B$4:$Z$494,'HH &amp; SI'!W$503,0),0)</f>
        <v>0</v>
      </c>
      <c r="AP160" s="262">
        <f>IFERROR(VLOOKUP($A160,'HH &amp; SI'!$B$4:$Z$494,'HH &amp; SI'!X$503,0),0)</f>
        <v>284207.19590211497</v>
      </c>
      <c r="AQ160" s="262">
        <f>IFERROR(VLOOKUP($A160,'HH &amp; SI'!$B$4:$Z$494,'HH &amp; SI'!Y$503,0),0)</f>
        <v>220186.57128512952</v>
      </c>
      <c r="AR160" s="263">
        <f t="shared" si="269"/>
        <v>1223811.3824953111</v>
      </c>
      <c r="AS160" s="346"/>
      <c r="AT160" s="323">
        <f>IFERROR(VLOOKUP(A160,'Afton FY16 Final'!$A$5:$BV$572,'Afton FY16 Final'!$BV$587,0),0)</f>
        <v>1116309.4416933819</v>
      </c>
      <c r="AU160" s="346"/>
      <c r="AV160" s="444">
        <v>0</v>
      </c>
      <c r="AW160" s="262">
        <f>IFERROR(VLOOKUP($A160,'HH &amp; SI'!$B$4:$EY$503,'HH &amp; SI'!EX$503,0),0)</f>
        <v>68549.470527397236</v>
      </c>
      <c r="AX160" s="262">
        <f>IFERROR(VLOOKUP($A160,'HH &amp; SI'!$B$4:$EY$503,'HH &amp; SI'!EY$503,0),0)</f>
        <v>1155261.9119679139</v>
      </c>
      <c r="AY160" s="262">
        <f>AX160/$AX$582*'update_State Admin 1004(b)'!$B$30*0.01</f>
        <v>11056.68640131016</v>
      </c>
      <c r="AZ160" s="263">
        <f t="shared" si="270"/>
        <v>1144205.2255666037</v>
      </c>
      <c r="BA160" s="261">
        <f t="shared" si="271"/>
        <v>11442.052255666038</v>
      </c>
      <c r="BB160" s="262">
        <f t="shared" si="272"/>
        <v>1132763.1733109376</v>
      </c>
      <c r="BC160" s="341">
        <f t="shared" si="280"/>
        <v>1.0147394002084191</v>
      </c>
      <c r="BD160" s="346"/>
      <c r="BE160" s="376" t="str">
        <f>'Original Title I &amp; II'!AZ160</f>
        <v/>
      </c>
      <c r="BF160" s="243" t="str">
        <f t="shared" si="300"/>
        <v/>
      </c>
      <c r="BG160" s="263">
        <f t="shared" si="250"/>
        <v>1132763.1733109376</v>
      </c>
      <c r="BI160" s="31">
        <f>IFERROR(VLOOKUP(A160,'Title II Hold Harmless'!A$1:B$439,2, FALSE),"")</f>
        <v>228337</v>
      </c>
      <c r="BJ160" s="31">
        <f t="shared" si="274"/>
        <v>262254.7347349567</v>
      </c>
      <c r="BK160" s="31">
        <f t="shared" si="301"/>
        <v>262508.43783039891</v>
      </c>
      <c r="BL160" s="31" t="str">
        <f t="shared" si="276"/>
        <v/>
      </c>
      <c r="BM160" s="31">
        <f t="shared" si="277"/>
        <v>262508.43783039891</v>
      </c>
      <c r="BN160" s="200"/>
      <c r="BP160" s="295" t="s">
        <v>1447</v>
      </c>
      <c r="BQ160" s="296" t="str">
        <f t="shared" si="281"/>
        <v>Y</v>
      </c>
      <c r="BR160" s="297" t="s">
        <v>1448</v>
      </c>
      <c r="BT160" s="295" t="str">
        <f t="shared" si="282"/>
        <v>Y</v>
      </c>
      <c r="BU160" s="296" t="str">
        <f t="shared" si="278"/>
        <v>N</v>
      </c>
      <c r="BV160" s="296" t="str">
        <f t="shared" si="279"/>
        <v>Y</v>
      </c>
      <c r="BW160" s="297" t="str">
        <f t="shared" si="283"/>
        <v>Y</v>
      </c>
      <c r="BY160" s="352">
        <f t="shared" si="284"/>
        <v>0.85</v>
      </c>
      <c r="BZ160" s="353">
        <f t="shared" si="285"/>
        <v>0</v>
      </c>
      <c r="CA160" s="353">
        <f t="shared" si="286"/>
        <v>0</v>
      </c>
      <c r="CB160" s="354">
        <f t="shared" si="287"/>
        <v>0.85</v>
      </c>
      <c r="CD160" s="311">
        <f t="shared" si="288"/>
        <v>155</v>
      </c>
    </row>
    <row r="161" spans="1:82" outlineLevel="1" x14ac:dyDescent="0.3">
      <c r="A161" s="1">
        <v>70505000</v>
      </c>
      <c r="B161" s="47">
        <f>VLOOKUP(C161,'NCES ID'!$A$2:$B$3136,2,FALSE)</f>
        <v>403450</v>
      </c>
      <c r="C161" s="47">
        <f>VLOOKUP(A161,'State ID'!$A$2:$B$713,2,FALSE)</f>
        <v>4285</v>
      </c>
      <c r="D161" s="147" t="s">
        <v>184</v>
      </c>
      <c r="E161" s="47" t="s">
        <v>7</v>
      </c>
      <c r="F161" s="382">
        <f>IFERROR(VLOOKUP($B161,'update_Formula counts'!$D$7:$R$234,'update_Formula counts'!F$5,0),0)</f>
        <v>5665</v>
      </c>
      <c r="G161" s="382">
        <f>IFERROR(VLOOKUP($B161,'update_Formula counts'!$D$7:$R$234,'update_Formula counts'!G$5,0),0)</f>
        <v>0</v>
      </c>
      <c r="H161" s="382">
        <f>IFERROR(VLOOKUP($B161,'update_Formula counts'!$D$7:$R$234,'update_Formula counts'!H$5,0),0)</f>
        <v>0</v>
      </c>
      <c r="I161" s="382">
        <f>IFERROR(VLOOKUP($B161,'update_Formula counts'!$D$7:$R$234,'update_Formula counts'!I$5,0),0)</f>
        <v>256</v>
      </c>
      <c r="J161" s="382">
        <f>IFERROR(VLOOKUP($B161,'update_Formula counts'!$D$7:$R$234,'update_Formula counts'!J$5,0),0)</f>
        <v>0</v>
      </c>
      <c r="K161" s="382">
        <f t="shared" si="289"/>
        <v>5665</v>
      </c>
      <c r="L161" s="444">
        <f>IFERROR(VLOOKUP($B161,'update_Formula counts'!$D$7:$R$234,'update_Formula counts'!L$5,0),0)</f>
        <v>20037</v>
      </c>
      <c r="M161" s="445">
        <f>IFERROR(VLOOKUP($B161,'update_Formula counts'!$D$7:$R$234,'update_Formula counts'!K$5,0),0)</f>
        <v>5921</v>
      </c>
      <c r="N161" s="446">
        <f>IFERROR(VLOOKUP($B161,'update_Formula counts'!$D$7:$R$234,'update_Formula counts'!M$5,0),0)</f>
        <v>0.29550331886010878</v>
      </c>
      <c r="O161" s="137">
        <f>VLOOKUP($C161,'Final SEA Counts'!$A$2:$F$709,5,FALSE)</f>
        <v>11806</v>
      </c>
      <c r="P161" s="208">
        <f>VLOOKUP($C161,'Final SEA Counts'!$A$2:$F$709,6,FALSE)</f>
        <v>7699</v>
      </c>
      <c r="Q161" s="748">
        <f t="shared" si="290"/>
        <v>-715.3298891085584</v>
      </c>
      <c r="R161" s="444">
        <f t="shared" si="291"/>
        <v>18184.32284221302</v>
      </c>
      <c r="S161" s="445">
        <f t="shared" si="254"/>
        <v>5205.6701108914413</v>
      </c>
      <c r="T161" s="229">
        <f t="shared" si="255"/>
        <v>0.28627242026340505</v>
      </c>
      <c r="U161" s="261">
        <f>VLOOKUP($B161,update_Allocation!$D$8:$Q$235,update_Allocation!K$239,0)</f>
        <v>2799981.9488402666</v>
      </c>
      <c r="V161" s="262">
        <f>VLOOKUP($B161,update_Allocation!$D$8:$Q$235,update_Allocation!L$239,0)</f>
        <v>666981.30954454874</v>
      </c>
      <c r="W161" s="262">
        <f>VLOOKUP($B161,update_Allocation!$D$8:$Q$235,update_Allocation!M$239,0)</f>
        <v>1479326.9096857975</v>
      </c>
      <c r="X161" s="262">
        <f>VLOOKUP($B161,update_Allocation!$D$8:$Q$235,update_Allocation!N$239,0)</f>
        <v>1248906.8999476065</v>
      </c>
      <c r="Y161" s="263">
        <f>VLOOKUP($B161,update_Allocation!$D$8:$Q$235,update_Allocation!O$239,0)</f>
        <v>6195197.0680182185</v>
      </c>
      <c r="Z161" s="262">
        <f t="shared" si="292"/>
        <v>2467759.962037839</v>
      </c>
      <c r="AA161" s="262">
        <f t="shared" si="293"/>
        <v>588128.10343508341</v>
      </c>
      <c r="AB161" s="262">
        <f t="shared" si="294"/>
        <v>1304112.824930083</v>
      </c>
      <c r="AC161" s="263">
        <f t="shared" si="295"/>
        <v>1101629.7135661382</v>
      </c>
      <c r="AD161" s="262">
        <f t="shared" si="260"/>
        <v>2467759.962037839</v>
      </c>
      <c r="AE161" s="262">
        <f t="shared" si="261"/>
        <v>588128.10343508341</v>
      </c>
      <c r="AF161" s="262">
        <f t="shared" si="262"/>
        <v>1304112.824930083</v>
      </c>
      <c r="AG161" s="263">
        <f t="shared" si="263"/>
        <v>1101629.7135661382</v>
      </c>
      <c r="AH161" s="262">
        <f t="shared" si="296"/>
        <v>2467759.962037839</v>
      </c>
      <c r="AI161" s="262">
        <f t="shared" si="297"/>
        <v>590258.92481791414</v>
      </c>
      <c r="AJ161" s="262">
        <f t="shared" si="298"/>
        <v>1304138.1655753034</v>
      </c>
      <c r="AK161" s="262">
        <f t="shared" si="299"/>
        <v>1101653.3023781036</v>
      </c>
      <c r="AL161" s="263">
        <f t="shared" si="268"/>
        <v>5463810.3548091594</v>
      </c>
      <c r="AM161" s="346"/>
      <c r="AN161" s="261">
        <f>IFERROR(VLOOKUP($A161,'HH &amp; SI'!$B$4:$Z$494,'HH &amp; SI'!V$503,0),0)</f>
        <v>2434098.1144223209</v>
      </c>
      <c r="AO161" s="262">
        <f>IFERROR(VLOOKUP($A161,'HH &amp; SI'!$B$4:$Z$494,'HH &amp; SI'!W$503,0),0)</f>
        <v>570817.95387726952</v>
      </c>
      <c r="AP161" s="262">
        <f>IFERROR(VLOOKUP($A161,'HH &amp; SI'!$B$4:$Z$494,'HH &amp; SI'!X$503,0),0)</f>
        <v>1292277.5381408902</v>
      </c>
      <c r="AQ161" s="262">
        <f>IFERROR(VLOOKUP($A161,'HH &amp; SI'!$B$4:$Z$494,'HH &amp; SI'!Y$503,0),0)</f>
        <v>1089515.0660631394</v>
      </c>
      <c r="AR161" s="263">
        <f t="shared" si="269"/>
        <v>5386708.6725036204</v>
      </c>
      <c r="AS161" s="346"/>
      <c r="AT161" s="323">
        <f>IFERROR(VLOOKUP(A161,'Afton FY16 Final'!$A$5:$BV$572,'Afton FY16 Final'!$BV$587,0),0)</f>
        <v>4579303.6826665225</v>
      </c>
      <c r="AU161" s="346"/>
      <c r="AV161" s="444">
        <v>0</v>
      </c>
      <c r="AW161" s="262">
        <f>IFERROR(VLOOKUP($A161,'HH &amp; SI'!$B$4:$EY$503,'HH &amp; SI'!EX$503,0),0)</f>
        <v>301726.2567312941</v>
      </c>
      <c r="AX161" s="262">
        <f>IFERROR(VLOOKUP($A161,'HH &amp; SI'!$B$4:$EY$503,'HH &amp; SI'!EY$503,0),0)</f>
        <v>5084982.4157723263</v>
      </c>
      <c r="AY161" s="262">
        <f>AX161/$AX$582*'update_State Admin 1004(b)'!$B$30*0.01</f>
        <v>48666.934610177559</v>
      </c>
      <c r="AZ161" s="263">
        <f t="shared" si="270"/>
        <v>5036315.4811621485</v>
      </c>
      <c r="BA161" s="261">
        <f t="shared" si="271"/>
        <v>50363.154811621484</v>
      </c>
      <c r="BB161" s="262">
        <f t="shared" si="272"/>
        <v>4985952.3263505269</v>
      </c>
      <c r="BC161" s="341">
        <f t="shared" si="280"/>
        <v>1.0888014143336338</v>
      </c>
      <c r="BD161" s="346"/>
      <c r="BE161" s="376" t="str">
        <f>'Original Title I &amp; II'!AZ161</f>
        <v/>
      </c>
      <c r="BF161" s="243" t="str">
        <f t="shared" si="300"/>
        <v/>
      </c>
      <c r="BG161" s="263">
        <f t="shared" si="250"/>
        <v>4985952.3263505269</v>
      </c>
      <c r="BI161" s="31">
        <f>IFERROR(VLOOKUP(A161,'Title II Hold Harmless'!A$1:B$439,2, FALSE),"")</f>
        <v>604442</v>
      </c>
      <c r="BJ161" s="31">
        <f t="shared" si="274"/>
        <v>687223.60489117447</v>
      </c>
      <c r="BK161" s="31">
        <f t="shared" si="301"/>
        <v>687888.41941205645</v>
      </c>
      <c r="BL161" s="31" t="str">
        <f t="shared" si="276"/>
        <v/>
      </c>
      <c r="BM161" s="31">
        <f t="shared" si="277"/>
        <v>687888.41941205645</v>
      </c>
      <c r="BN161" s="200"/>
      <c r="BP161" s="295" t="s">
        <v>1447</v>
      </c>
      <c r="BQ161" s="296" t="str">
        <f t="shared" si="281"/>
        <v>Y</v>
      </c>
      <c r="BR161" s="297" t="s">
        <v>1448</v>
      </c>
      <c r="BT161" s="295" t="str">
        <f t="shared" si="282"/>
        <v>Y</v>
      </c>
      <c r="BU161" s="296" t="str">
        <f t="shared" si="278"/>
        <v>Y</v>
      </c>
      <c r="BV161" s="296" t="str">
        <f t="shared" si="279"/>
        <v>Y</v>
      </c>
      <c r="BW161" s="297" t="str">
        <f t="shared" si="283"/>
        <v>Y</v>
      </c>
      <c r="BY161" s="352">
        <f t="shared" si="284"/>
        <v>0</v>
      </c>
      <c r="BZ161" s="353">
        <f t="shared" si="285"/>
        <v>0.9</v>
      </c>
      <c r="CA161" s="353">
        <f t="shared" si="286"/>
        <v>0</v>
      </c>
      <c r="CB161" s="354">
        <f t="shared" si="287"/>
        <v>0.9</v>
      </c>
      <c r="CD161" s="311">
        <f t="shared" si="288"/>
        <v>156</v>
      </c>
    </row>
    <row r="162" spans="1:82" outlineLevel="1" x14ac:dyDescent="0.3">
      <c r="A162" s="1">
        <v>70483000</v>
      </c>
      <c r="B162" s="47">
        <f>VLOOKUP(C162,'NCES ID'!$A$2:$B$3136,2,FALSE)</f>
        <v>401680</v>
      </c>
      <c r="C162" s="47">
        <f>VLOOKUP(A162,'State ID'!$A$2:$B$713,2,FALSE)</f>
        <v>4282</v>
      </c>
      <c r="D162" s="147" t="s">
        <v>91</v>
      </c>
      <c r="E162" s="47" t="s">
        <v>7</v>
      </c>
      <c r="F162" s="382">
        <f>IFERROR(VLOOKUP($B162,'update_Formula counts'!$D$7:$R$234,'update_Formula counts'!F$5,0),0)</f>
        <v>9625</v>
      </c>
      <c r="G162" s="382">
        <f>IFERROR(VLOOKUP($B162,'update_Formula counts'!$D$7:$R$234,'update_Formula counts'!G$5,0),0)</f>
        <v>5</v>
      </c>
      <c r="H162" s="382">
        <f>IFERROR(VLOOKUP($B162,'update_Formula counts'!$D$7:$R$234,'update_Formula counts'!H$5,0),0)</f>
        <v>0</v>
      </c>
      <c r="I162" s="382">
        <f>IFERROR(VLOOKUP($B162,'update_Formula counts'!$D$7:$R$234,'update_Formula counts'!I$5,0),0)</f>
        <v>435</v>
      </c>
      <c r="J162" s="382">
        <f>IFERROR(VLOOKUP($B162,'update_Formula counts'!$D$7:$R$234,'update_Formula counts'!J$5,0),0)</f>
        <v>0</v>
      </c>
      <c r="K162" s="382">
        <f t="shared" si="289"/>
        <v>9630</v>
      </c>
      <c r="L162" s="444">
        <f>IFERROR(VLOOKUP($B162,'update_Formula counts'!$D$7:$R$234,'update_Formula counts'!L$5,0),0)</f>
        <v>21561</v>
      </c>
      <c r="M162" s="445">
        <f>IFERROR(VLOOKUP($B162,'update_Formula counts'!$D$7:$R$234,'update_Formula counts'!K$5,0),0)</f>
        <v>10065</v>
      </c>
      <c r="N162" s="446">
        <f>IFERROR(VLOOKUP($B162,'update_Formula counts'!$D$7:$R$234,'update_Formula counts'!M$5,0),0)</f>
        <v>0.46681508278836786</v>
      </c>
      <c r="O162" s="137">
        <f>VLOOKUP($C162,'Final SEA Counts'!$A$2:$F$709,5,FALSE)</f>
        <v>18592</v>
      </c>
      <c r="P162" s="208">
        <f>VLOOKUP($C162,'Final SEA Counts'!$A$2:$F$709,6,FALSE)</f>
        <v>18558</v>
      </c>
      <c r="Q162" s="748">
        <f t="shared" si="290"/>
        <v>-1215.3561062439221</v>
      </c>
      <c r="R162" s="444">
        <f t="shared" si="291"/>
        <v>19567.409532412781</v>
      </c>
      <c r="S162" s="445">
        <f t="shared" si="254"/>
        <v>8849.6438937560779</v>
      </c>
      <c r="T162" s="229">
        <f t="shared" si="255"/>
        <v>0.45226445938574183</v>
      </c>
      <c r="U162" s="261">
        <f>VLOOKUP($B162,update_Allocation!$D$8:$Q$235,update_Allocation!K$239,0)</f>
        <v>4759638.2899978515</v>
      </c>
      <c r="V162" s="262">
        <f>VLOOKUP($B162,update_Allocation!$D$8:$Q$235,update_Allocation!L$239,0)</f>
        <v>1133789.3735122252</v>
      </c>
      <c r="W162" s="262">
        <f>VLOOKUP($B162,update_Allocation!$D$8:$Q$235,update_Allocation!M$239,0)</f>
        <v>3297384.2630455056</v>
      </c>
      <c r="X162" s="262">
        <f>VLOOKUP($B162,update_Allocation!$D$8:$Q$235,update_Allocation!N$239,0)</f>
        <v>3259276.5467784079</v>
      </c>
      <c r="Y162" s="263">
        <f>VLOOKUP($B162,update_Allocation!$D$8:$Q$235,update_Allocation!O$239,0)</f>
        <v>12450088.473333988</v>
      </c>
      <c r="Z162" s="262">
        <f t="shared" si="292"/>
        <v>4194900.1888043983</v>
      </c>
      <c r="AA162" s="262">
        <f t="shared" si="293"/>
        <v>999748.24541025446</v>
      </c>
      <c r="AB162" s="262">
        <f t="shared" si="294"/>
        <v>2906836.2631716132</v>
      </c>
      <c r="AC162" s="263">
        <f t="shared" si="295"/>
        <v>2874926.777016731</v>
      </c>
      <c r="AD162" s="262">
        <f t="shared" si="260"/>
        <v>4194900.1888043983</v>
      </c>
      <c r="AE162" s="262">
        <f t="shared" si="261"/>
        <v>999748.24541025446</v>
      </c>
      <c r="AF162" s="262">
        <f t="shared" si="262"/>
        <v>2906836.2631716132</v>
      </c>
      <c r="AG162" s="263">
        <f t="shared" si="263"/>
        <v>2874926.777016731</v>
      </c>
      <c r="AH162" s="262">
        <f t="shared" si="296"/>
        <v>4194900.1888043983</v>
      </c>
      <c r="AI162" s="262">
        <f t="shared" si="297"/>
        <v>1001879.0667930852</v>
      </c>
      <c r="AJ162" s="262">
        <f t="shared" si="298"/>
        <v>2906861.6038168333</v>
      </c>
      <c r="AK162" s="262">
        <f t="shared" si="299"/>
        <v>2874950.3658286962</v>
      </c>
      <c r="AL162" s="263">
        <f t="shared" si="268"/>
        <v>10978591.225243013</v>
      </c>
      <c r="AM162" s="346"/>
      <c r="AN162" s="261">
        <f>IFERROR(VLOOKUP($A162,'HH &amp; SI'!$B$4:$Z$494,'HH &amp; SI'!V$503,0),0)</f>
        <v>4137679.0274718213</v>
      </c>
      <c r="AO162" s="262">
        <f>IFERROR(VLOOKUP($A162,'HH &amp; SI'!$B$4:$Z$494,'HH &amp; SI'!W$503,0),0)</f>
        <v>968880.83329822845</v>
      </c>
      <c r="AP162" s="262">
        <f>IFERROR(VLOOKUP($A162,'HH &amp; SI'!$B$4:$Z$494,'HH &amp; SI'!X$503,0),0)</f>
        <v>2880424.8324713199</v>
      </c>
      <c r="AQ162" s="262">
        <f>IFERROR(VLOOKUP($A162,'HH &amp; SI'!$B$4:$Z$494,'HH &amp; SI'!Y$503,0),0)</f>
        <v>2843273.5879722782</v>
      </c>
      <c r="AR162" s="263">
        <f t="shared" si="269"/>
        <v>10830258.281213647</v>
      </c>
      <c r="AS162" s="346"/>
      <c r="AT162" s="323">
        <f>IFERROR(VLOOKUP(A162,'Afton FY16 Final'!$A$5:$BV$572,'Afton FY16 Final'!$BV$587,0),0)</f>
        <v>8690372.6645266488</v>
      </c>
      <c r="AU162" s="346"/>
      <c r="AV162" s="444">
        <v>0</v>
      </c>
      <c r="AW162" s="262">
        <f>IFERROR(VLOOKUP($A162,'HH &amp; SI'!$B$4:$EY$503,'HH &amp; SI'!EX$503,0),0)</f>
        <v>606636.35056115128</v>
      </c>
      <c r="AX162" s="262">
        <f>IFERROR(VLOOKUP($A162,'HH &amp; SI'!$B$4:$EY$503,'HH &amp; SI'!EY$503,0),0)</f>
        <v>10223621.930652495</v>
      </c>
      <c r="AY162" s="262">
        <f>AX162/$AX$582*'update_State Admin 1004(b)'!$B$30*0.01</f>
        <v>97847.406204387458</v>
      </c>
      <c r="AZ162" s="263">
        <f t="shared" si="270"/>
        <v>10125774.524448108</v>
      </c>
      <c r="BA162" s="261">
        <f t="shared" si="271"/>
        <v>101257.74524448108</v>
      </c>
      <c r="BB162" s="262">
        <f t="shared" si="272"/>
        <v>10024516.779203627</v>
      </c>
      <c r="BC162" s="341">
        <f t="shared" si="280"/>
        <v>1.1535197817376508</v>
      </c>
      <c r="BD162" s="346"/>
      <c r="BE162" s="376" t="str">
        <f>'Original Title I &amp; II'!AZ162</f>
        <v/>
      </c>
      <c r="BF162" s="243" t="str">
        <f t="shared" si="300"/>
        <v/>
      </c>
      <c r="BG162" s="263">
        <f t="shared" si="250"/>
        <v>10024516.779203627</v>
      </c>
      <c r="BI162" s="31">
        <f>IFERROR(VLOOKUP(A162,'Title II Hold Harmless'!A$1:B$439,2, FALSE),"")</f>
        <v>830869</v>
      </c>
      <c r="BJ162" s="31">
        <f t="shared" si="274"/>
        <v>962466.58148568706</v>
      </c>
      <c r="BK162" s="31">
        <f t="shared" si="301"/>
        <v>963397.66382145265</v>
      </c>
      <c r="BL162" s="31" t="str">
        <f t="shared" si="276"/>
        <v/>
      </c>
      <c r="BM162" s="31">
        <f t="shared" si="277"/>
        <v>963397.66382145265</v>
      </c>
      <c r="BN162" s="200"/>
      <c r="BP162" s="295" t="s">
        <v>1447</v>
      </c>
      <c r="BQ162" s="296" t="str">
        <f t="shared" si="281"/>
        <v>Y</v>
      </c>
      <c r="BR162" s="297" t="s">
        <v>1448</v>
      </c>
      <c r="BT162" s="295" t="str">
        <f t="shared" si="282"/>
        <v>Y</v>
      </c>
      <c r="BU162" s="296" t="str">
        <f t="shared" si="278"/>
        <v>Y</v>
      </c>
      <c r="BV162" s="296" t="str">
        <f t="shared" si="279"/>
        <v>Y</v>
      </c>
      <c r="BW162" s="297" t="str">
        <f t="shared" si="283"/>
        <v>Y</v>
      </c>
      <c r="BY162" s="352">
        <f t="shared" si="284"/>
        <v>0</v>
      </c>
      <c r="BZ162" s="353">
        <f t="shared" si="285"/>
        <v>0</v>
      </c>
      <c r="CA162" s="353">
        <f t="shared" si="286"/>
        <v>0.95</v>
      </c>
      <c r="CB162" s="354">
        <f t="shared" si="287"/>
        <v>0.95</v>
      </c>
      <c r="CD162" s="311">
        <f t="shared" si="288"/>
        <v>157</v>
      </c>
    </row>
    <row r="163" spans="1:82" outlineLevel="1" x14ac:dyDescent="0.3">
      <c r="A163" s="1">
        <v>70406000</v>
      </c>
      <c r="B163" s="47">
        <f>VLOOKUP(C163,'NCES ID'!$A$2:$B$3136,2,FALSE)</f>
        <v>409060</v>
      </c>
      <c r="C163" s="47">
        <f>VLOOKUP(A163,'State ID'!$A$2:$B$713,2,FALSE)</f>
        <v>4260</v>
      </c>
      <c r="D163" s="147" t="s">
        <v>433</v>
      </c>
      <c r="E163" s="47" t="s">
        <v>7</v>
      </c>
      <c r="F163" s="382">
        <f>IFERROR(VLOOKUP($B163,'update_Formula counts'!$D$7:$R$234,'update_Formula counts'!F$5,0),0)</f>
        <v>9485</v>
      </c>
      <c r="G163" s="382">
        <f>IFERROR(VLOOKUP($B163,'update_Formula counts'!$D$7:$R$234,'update_Formula counts'!G$5,0),0)</f>
        <v>70</v>
      </c>
      <c r="H163" s="382">
        <f>IFERROR(VLOOKUP($B163,'update_Formula counts'!$D$7:$R$234,'update_Formula counts'!H$5,0),0)</f>
        <v>0</v>
      </c>
      <c r="I163" s="382">
        <f>IFERROR(VLOOKUP($B163,'update_Formula counts'!$D$7:$R$234,'update_Formula counts'!I$5,0),0)</f>
        <v>429</v>
      </c>
      <c r="J163" s="382">
        <f>IFERROR(VLOOKUP($B163,'update_Formula counts'!$D$7:$R$234,'update_Formula counts'!J$5,0),0)</f>
        <v>0</v>
      </c>
      <c r="K163" s="382">
        <f t="shared" si="289"/>
        <v>9555</v>
      </c>
      <c r="L163" s="444">
        <f>IFERROR(VLOOKUP($B163,'update_Formula counts'!$D$7:$R$234,'update_Formula counts'!L$5,0),0)</f>
        <v>28672</v>
      </c>
      <c r="M163" s="445">
        <f>IFERROR(VLOOKUP($B163,'update_Formula counts'!$D$7:$R$234,'update_Formula counts'!K$5,0),0)</f>
        <v>9984</v>
      </c>
      <c r="N163" s="446">
        <f>IFERROR(VLOOKUP($B163,'update_Formula counts'!$D$7:$R$234,'update_Formula counts'!M$5,0),0)</f>
        <v>0.3482142857142857</v>
      </c>
      <c r="O163" s="137">
        <f>VLOOKUP($C163,'Final SEA Counts'!$A$2:$F$709,5,FALSE)</f>
        <v>23943</v>
      </c>
      <c r="P163" s="208">
        <f>VLOOKUP($C163,'Final SEA Counts'!$A$2:$F$709,6,FALSE)</f>
        <v>22388</v>
      </c>
      <c r="Q163" s="748">
        <f t="shared" si="290"/>
        <v>-1197.5459339225845</v>
      </c>
      <c r="R163" s="444">
        <f t="shared" si="291"/>
        <v>26020.906549480042</v>
      </c>
      <c r="S163" s="445">
        <f t="shared" si="254"/>
        <v>8786.4540660774146</v>
      </c>
      <c r="T163" s="229">
        <f t="shared" si="255"/>
        <v>0.33766902199850485</v>
      </c>
      <c r="U163" s="261">
        <f>VLOOKUP($B163,update_Allocation!$D$8:$Q$235,update_Allocation!K$239,0)</f>
        <v>4721334.196456884</v>
      </c>
      <c r="V163" s="262">
        <f>VLOOKUP($B163,update_Allocation!$D$8:$Q$235,update_Allocation!L$239,0)</f>
        <v>1124664.9880920076</v>
      </c>
      <c r="W163" s="262">
        <f>VLOOKUP($B163,update_Allocation!$D$8:$Q$235,update_Allocation!M$239,0)</f>
        <v>2791247.4747609692</v>
      </c>
      <c r="X163" s="262">
        <f>VLOOKUP($B163,update_Allocation!$D$8:$Q$235,update_Allocation!N$239,0)</f>
        <v>2526724.5788450432</v>
      </c>
      <c r="Y163" s="263">
        <f>VLOOKUP($B163,update_Allocation!$D$8:$Q$235,update_Allocation!O$239,0)</f>
        <v>11163971.238154903</v>
      </c>
      <c r="Z163" s="262">
        <f t="shared" si="292"/>
        <v>4161140.9324414413</v>
      </c>
      <c r="AA163" s="262">
        <f t="shared" si="293"/>
        <v>991702.58143824944</v>
      </c>
      <c r="AB163" s="262">
        <f t="shared" si="294"/>
        <v>2460647.2075618701</v>
      </c>
      <c r="AC163" s="263">
        <f t="shared" si="295"/>
        <v>2228760.9061735175</v>
      </c>
      <c r="AD163" s="262">
        <f t="shared" si="260"/>
        <v>4161140.9324414413</v>
      </c>
      <c r="AE163" s="262">
        <f t="shared" si="261"/>
        <v>991702.58143824944</v>
      </c>
      <c r="AF163" s="262">
        <f t="shared" si="262"/>
        <v>2460647.2075618701</v>
      </c>
      <c r="AG163" s="263">
        <f t="shared" si="263"/>
        <v>2228760.9061735175</v>
      </c>
      <c r="AH163" s="262">
        <f t="shared" si="296"/>
        <v>4161140.9324414413</v>
      </c>
      <c r="AI163" s="262">
        <f t="shared" si="297"/>
        <v>993833.40282108018</v>
      </c>
      <c r="AJ163" s="262">
        <f t="shared" si="298"/>
        <v>2460672.5482070902</v>
      </c>
      <c r="AK163" s="262">
        <f t="shared" si="299"/>
        <v>2228784.4949854827</v>
      </c>
      <c r="AL163" s="263">
        <f t="shared" si="268"/>
        <v>9844431.378455095</v>
      </c>
      <c r="AM163" s="346"/>
      <c r="AN163" s="261">
        <f>IFERROR(VLOOKUP($A163,'HH &amp; SI'!$B$4:$Z$494,'HH &amp; SI'!V$503,0),0)</f>
        <v>4104380.2692775615</v>
      </c>
      <c r="AO163" s="262">
        <f>IFERROR(VLOOKUP($A163,'HH &amp; SI'!$B$4:$Z$494,'HH &amp; SI'!W$503,0),0)</f>
        <v>961100.16408174741</v>
      </c>
      <c r="AP163" s="262">
        <f>IFERROR(VLOOKUP($A163,'HH &amp; SI'!$B$4:$Z$494,'HH &amp; SI'!X$503,0),0)</f>
        <v>2438293.6921144174</v>
      </c>
      <c r="AQ163" s="262">
        <f>IFERROR(VLOOKUP($A163,'HH &amp; SI'!$B$4:$Z$494,'HH &amp; SI'!Y$503,0),0)</f>
        <v>2204227.3018677733</v>
      </c>
      <c r="AR163" s="263">
        <f t="shared" si="269"/>
        <v>9708001.4273415003</v>
      </c>
      <c r="AS163" s="346"/>
      <c r="AT163" s="323">
        <f>IFERROR(VLOOKUP(A163,'Afton FY16 Final'!$A$5:$BV$572,'Afton FY16 Final'!$BV$587,0),0)</f>
        <v>8227669.9551735669</v>
      </c>
      <c r="AU163" s="346"/>
      <c r="AV163" s="444">
        <v>0</v>
      </c>
      <c r="AW163" s="262">
        <f>IFERROR(VLOOKUP($A163,'HH &amp; SI'!$B$4:$EY$503,'HH &amp; SI'!EX$503,0),0)</f>
        <v>543775.2640987765</v>
      </c>
      <c r="AX163" s="262">
        <f>IFERROR(VLOOKUP($A163,'HH &amp; SI'!$B$4:$EY$503,'HH &amp; SI'!EY$503,0),0)</f>
        <v>9164226.1632427238</v>
      </c>
      <c r="AY163" s="262">
        <f>AX163/$AX$582*'update_State Admin 1004(b)'!$B$30*0.01</f>
        <v>87708.227673718036</v>
      </c>
      <c r="AZ163" s="263">
        <f t="shared" si="270"/>
        <v>9076517.9355690051</v>
      </c>
      <c r="BA163" s="261">
        <f t="shared" si="271"/>
        <v>90765.179355690052</v>
      </c>
      <c r="BB163" s="262">
        <f t="shared" si="272"/>
        <v>8985752.7562133148</v>
      </c>
      <c r="BC163" s="341">
        <f t="shared" si="280"/>
        <v>1.0921382122970387</v>
      </c>
      <c r="BD163" s="346"/>
      <c r="BE163" s="376" t="str">
        <f>'Original Title I &amp; II'!AZ163</f>
        <v/>
      </c>
      <c r="BF163" s="243" t="str">
        <f t="shared" si="300"/>
        <v/>
      </c>
      <c r="BG163" s="263">
        <f t="shared" si="250"/>
        <v>8985752.7562133148</v>
      </c>
      <c r="BI163" s="31">
        <f>IFERROR(VLOOKUP(A163,'Title II Hold Harmless'!A$1:B$439,2, FALSE),"")</f>
        <v>835453</v>
      </c>
      <c r="BJ163" s="31">
        <f t="shared" si="274"/>
        <v>971417.1426435411</v>
      </c>
      <c r="BK163" s="31">
        <f t="shared" si="301"/>
        <v>972356.88367930695</v>
      </c>
      <c r="BL163" s="31" t="str">
        <f t="shared" si="276"/>
        <v/>
      </c>
      <c r="BM163" s="31">
        <f t="shared" si="277"/>
        <v>972356.88367930695</v>
      </c>
      <c r="BN163" s="200"/>
      <c r="BP163" s="295" t="s">
        <v>1447</v>
      </c>
      <c r="BQ163" s="296" t="str">
        <f t="shared" si="281"/>
        <v>Y</v>
      </c>
      <c r="BR163" s="297" t="s">
        <v>1448</v>
      </c>
      <c r="BT163" s="295" t="str">
        <f t="shared" si="282"/>
        <v>Y</v>
      </c>
      <c r="BU163" s="296" t="str">
        <f t="shared" si="278"/>
        <v>Y</v>
      </c>
      <c r="BV163" s="296" t="str">
        <f t="shared" si="279"/>
        <v>Y</v>
      </c>
      <c r="BW163" s="297" t="str">
        <f t="shared" si="283"/>
        <v>Y</v>
      </c>
      <c r="BY163" s="352">
        <f t="shared" si="284"/>
        <v>0</v>
      </c>
      <c r="BZ163" s="353">
        <f t="shared" si="285"/>
        <v>0</v>
      </c>
      <c r="CA163" s="353">
        <f t="shared" si="286"/>
        <v>0.95</v>
      </c>
      <c r="CB163" s="354">
        <f t="shared" si="287"/>
        <v>0.95</v>
      </c>
      <c r="CD163" s="311">
        <f t="shared" si="288"/>
        <v>158</v>
      </c>
    </row>
    <row r="164" spans="1:82" outlineLevel="1" x14ac:dyDescent="0.3">
      <c r="A164" s="1">
        <v>70248000</v>
      </c>
      <c r="B164" s="47">
        <f>VLOOKUP(C164,'NCES ID'!$A$2:$B$3136,2,FALSE)</f>
        <v>407570</v>
      </c>
      <c r="C164" s="47">
        <f>VLOOKUP(A164,'State ID'!$A$2:$B$713,2,FALSE)</f>
        <v>4240</v>
      </c>
      <c r="D164" s="147" t="s">
        <v>379</v>
      </c>
      <c r="E164" s="47" t="s">
        <v>7</v>
      </c>
      <c r="F164" s="382">
        <f>IFERROR(VLOOKUP($B164,'update_Formula counts'!$D$7:$R$234,'update_Formula counts'!F$5,0),0)</f>
        <v>3418</v>
      </c>
      <c r="G164" s="382">
        <f>IFERROR(VLOOKUP($B164,'update_Formula counts'!$D$7:$R$234,'update_Formula counts'!G$5,0),0)</f>
        <v>54</v>
      </c>
      <c r="H164" s="382">
        <f>IFERROR(VLOOKUP($B164,'update_Formula counts'!$D$7:$R$234,'update_Formula counts'!H$5,0),0)</f>
        <v>0</v>
      </c>
      <c r="I164" s="382">
        <f>IFERROR(VLOOKUP($B164,'update_Formula counts'!$D$7:$R$234,'update_Formula counts'!I$5,0),0)</f>
        <v>155</v>
      </c>
      <c r="J164" s="382">
        <f>IFERROR(VLOOKUP($B164,'update_Formula counts'!$D$7:$R$234,'update_Formula counts'!J$5,0),0)</f>
        <v>0</v>
      </c>
      <c r="K164" s="382">
        <f t="shared" si="289"/>
        <v>3472</v>
      </c>
      <c r="L164" s="444">
        <f>IFERROR(VLOOKUP($B164,'update_Formula counts'!$D$7:$R$234,'update_Formula counts'!L$5,0),0)</f>
        <v>32138</v>
      </c>
      <c r="M164" s="445">
        <f>IFERROR(VLOOKUP($B164,'update_Formula counts'!$D$7:$R$234,'update_Formula counts'!K$5,0),0)</f>
        <v>3627</v>
      </c>
      <c r="N164" s="446">
        <f>IFERROR(VLOOKUP($B164,'update_Formula counts'!$D$7:$R$234,'update_Formula counts'!M$5,0),0)</f>
        <v>0.11285705395481983</v>
      </c>
      <c r="O164" s="137">
        <f>VLOOKUP($C164,'Final SEA Counts'!$A$2:$F$709,5,FALSE)</f>
        <v>21521</v>
      </c>
      <c r="P164" s="208">
        <f>VLOOKUP($C164,'Final SEA Counts'!$A$2:$F$709,6,FALSE)</f>
        <v>5505</v>
      </c>
      <c r="Q164" s="748">
        <f t="shared" si="290"/>
        <v>-431.48679332404657</v>
      </c>
      <c r="R164" s="444">
        <f t="shared" si="291"/>
        <v>29166.430478766379</v>
      </c>
      <c r="S164" s="445">
        <f t="shared" si="254"/>
        <v>3195.5132066759534</v>
      </c>
      <c r="T164" s="229">
        <f t="shared" si="255"/>
        <v>0.10956134001390185</v>
      </c>
      <c r="U164" s="261">
        <f>VLOOKUP($B164,update_Allocation!$D$8:$Q$235,update_Allocation!K$239,0)</f>
        <v>1715172.1885566027</v>
      </c>
      <c r="V164" s="262">
        <f>VLOOKUP($B164,update_Allocation!$D$8:$Q$235,update_Allocation!L$239,0)</f>
        <v>0</v>
      </c>
      <c r="W164" s="262">
        <f>VLOOKUP($B164,update_Allocation!$D$8:$Q$235,update_Allocation!M$239,0)</f>
        <v>824544.03750033269</v>
      </c>
      <c r="X164" s="262">
        <f>VLOOKUP($B164,update_Allocation!$D$8:$Q$235,update_Allocation!N$239,0)</f>
        <v>677445.01177318033</v>
      </c>
      <c r="Y164" s="263">
        <f>VLOOKUP($B164,update_Allocation!$D$8:$Q$235,update_Allocation!O$239,0)</f>
        <v>3217161.2378301155</v>
      </c>
      <c r="Z164" s="262">
        <f t="shared" si="292"/>
        <v>1511664.4793634925</v>
      </c>
      <c r="AA164" s="262" t="str">
        <f t="shared" si="293"/>
        <v/>
      </c>
      <c r="AB164" s="262">
        <f t="shared" si="294"/>
        <v>726883.58941040549</v>
      </c>
      <c r="AC164" s="263">
        <f t="shared" si="295"/>
        <v>597557.39543740684</v>
      </c>
      <c r="AD164" s="262">
        <f t="shared" si="260"/>
        <v>1511664.4793634925</v>
      </c>
      <c r="AE164" s="262" t="str">
        <f t="shared" si="261"/>
        <v/>
      </c>
      <c r="AF164" s="262">
        <f t="shared" si="262"/>
        <v>726883.58941040549</v>
      </c>
      <c r="AG164" s="263">
        <f t="shared" si="263"/>
        <v>597557.39543740684</v>
      </c>
      <c r="AH164" s="262">
        <f t="shared" si="296"/>
        <v>1511664.4793634925</v>
      </c>
      <c r="AI164" s="262" t="str">
        <f t="shared" si="297"/>
        <v/>
      </c>
      <c r="AJ164" s="262">
        <f t="shared" si="298"/>
        <v>726908.93005562574</v>
      </c>
      <c r="AK164" s="262">
        <f t="shared" si="299"/>
        <v>597580.98424937227</v>
      </c>
      <c r="AL164" s="263">
        <f t="shared" si="268"/>
        <v>2836154.3936684905</v>
      </c>
      <c r="AM164" s="346"/>
      <c r="AN164" s="261">
        <f>IFERROR(VLOOKUP($A164,'HH &amp; SI'!$B$4:$Z$494,'HH &amp; SI'!V$503,0),0)</f>
        <v>1491044.3946984895</v>
      </c>
      <c r="AO164" s="262">
        <f>IFERROR(VLOOKUP($A164,'HH &amp; SI'!$B$4:$Z$494,'HH &amp; SI'!W$503,0),0)</f>
        <v>0</v>
      </c>
      <c r="AP164" s="262">
        <f>IFERROR(VLOOKUP($A164,'HH &amp; SI'!$B$4:$Z$494,'HH &amp; SI'!X$503,0),0)</f>
        <v>720297.97714763053</v>
      </c>
      <c r="AQ164" s="262">
        <f>IFERROR(VLOOKUP($A164,'HH &amp; SI'!$B$4:$Z$494,'HH &amp; SI'!Y$503,0),0)</f>
        <v>590996.7175036642</v>
      </c>
      <c r="AR164" s="263">
        <f t="shared" si="269"/>
        <v>2802339.089349784</v>
      </c>
      <c r="AS164" s="346"/>
      <c r="AT164" s="323">
        <f>IFERROR(VLOOKUP(A164,'Afton FY16 Final'!$A$5:$BV$572,'Afton FY16 Final'!$BV$587,0),0)</f>
        <v>2767480.389898241</v>
      </c>
      <c r="AU164" s="346"/>
      <c r="AV164" s="444">
        <v>0</v>
      </c>
      <c r="AW164" s="262">
        <f>IFERROR(VLOOKUP($A164,'HH &amp; SI'!$B$4:$EY$503,'HH &amp; SI'!EX$503,0),0)</f>
        <v>34858.699451542925</v>
      </c>
      <c r="AX164" s="262">
        <f>IFERROR(VLOOKUP($A164,'HH &amp; SI'!$B$4:$EY$503,'HH &amp; SI'!EY$503,0),0)</f>
        <v>2767480.389898241</v>
      </c>
      <c r="AY164" s="262">
        <f>AX164/$AX$582*'update_State Admin 1004(b)'!$B$30*0.01</f>
        <v>26486.775402087587</v>
      </c>
      <c r="AZ164" s="263">
        <f t="shared" si="270"/>
        <v>2740993.6144961533</v>
      </c>
      <c r="BA164" s="261">
        <f t="shared" si="271"/>
        <v>27409.936144961535</v>
      </c>
      <c r="BB164" s="262">
        <f t="shared" si="272"/>
        <v>2713583.6783511918</v>
      </c>
      <c r="BC164" s="341">
        <f t="shared" si="280"/>
        <v>0.98052498881517602</v>
      </c>
      <c r="BD164" s="346"/>
      <c r="BE164" s="376" t="str">
        <f>'Original Title I &amp; II'!AZ164</f>
        <v/>
      </c>
      <c r="BF164" s="243" t="str">
        <f t="shared" si="300"/>
        <v/>
      </c>
      <c r="BG164" s="263">
        <f t="shared" si="250"/>
        <v>2713583.6783511918</v>
      </c>
      <c r="BI164" s="31">
        <f>IFERROR(VLOOKUP(A164,'Title II Hold Harmless'!A$1:B$439,2, FALSE),"")</f>
        <v>407972</v>
      </c>
      <c r="BJ164" s="31">
        <f t="shared" si="274"/>
        <v>473277.25388089154</v>
      </c>
      <c r="BK164" s="31">
        <f t="shared" si="301"/>
        <v>473735.0984434819</v>
      </c>
      <c r="BL164" s="31" t="str">
        <f t="shared" si="276"/>
        <v/>
      </c>
      <c r="BM164" s="31">
        <f t="shared" si="277"/>
        <v>473735.0984434819</v>
      </c>
      <c r="BN164" s="200"/>
      <c r="BP164" s="295" t="s">
        <v>1447</v>
      </c>
      <c r="BQ164" s="296" t="str">
        <f t="shared" si="281"/>
        <v>Y</v>
      </c>
      <c r="BR164" s="297" t="s">
        <v>1448</v>
      </c>
      <c r="BT164" s="295" t="str">
        <f t="shared" si="282"/>
        <v>Y</v>
      </c>
      <c r="BU164" s="296" t="str">
        <f t="shared" si="278"/>
        <v>N</v>
      </c>
      <c r="BV164" s="296" t="str">
        <f t="shared" si="279"/>
        <v>Y</v>
      </c>
      <c r="BW164" s="297" t="str">
        <f t="shared" si="283"/>
        <v>Y</v>
      </c>
      <c r="BY164" s="352">
        <f t="shared" si="284"/>
        <v>0.85</v>
      </c>
      <c r="BZ164" s="353">
        <f t="shared" si="285"/>
        <v>0</v>
      </c>
      <c r="CA164" s="353">
        <f t="shared" si="286"/>
        <v>0</v>
      </c>
      <c r="CB164" s="354">
        <f t="shared" si="287"/>
        <v>0.85</v>
      </c>
      <c r="CD164" s="311">
        <f t="shared" si="288"/>
        <v>159</v>
      </c>
    </row>
    <row r="165" spans="1:82" outlineLevel="1" x14ac:dyDescent="0.3">
      <c r="A165" s="1">
        <v>70289000</v>
      </c>
      <c r="B165" s="47">
        <f>VLOOKUP(C165,'NCES ID'!$A$2:$B$3136,2,FALSE)</f>
        <v>402690</v>
      </c>
      <c r="C165" s="47">
        <f>VLOOKUP(A165,'State ID'!$A$2:$B$713,2,FALSE)</f>
        <v>4243</v>
      </c>
      <c r="D165" s="147" t="s">
        <v>137</v>
      </c>
      <c r="E165" s="47" t="s">
        <v>7</v>
      </c>
      <c r="F165" s="382">
        <f>IFERROR(VLOOKUP($B165,'update_Formula counts'!$D$7:$R$234,'update_Formula counts'!F$5,0),0)</f>
        <v>5616</v>
      </c>
      <c r="G165" s="382">
        <f>IFERROR(VLOOKUP($B165,'update_Formula counts'!$D$7:$R$234,'update_Formula counts'!G$5,0),0)</f>
        <v>0</v>
      </c>
      <c r="H165" s="382">
        <f>IFERROR(VLOOKUP($B165,'update_Formula counts'!$D$7:$R$234,'update_Formula counts'!H$5,0),0)</f>
        <v>0</v>
      </c>
      <c r="I165" s="382">
        <f>IFERROR(VLOOKUP($B165,'update_Formula counts'!$D$7:$R$234,'update_Formula counts'!I$5,0),0)</f>
        <v>254</v>
      </c>
      <c r="J165" s="382">
        <f>IFERROR(VLOOKUP($B165,'update_Formula counts'!$D$7:$R$234,'update_Formula counts'!J$5,0),0)</f>
        <v>0</v>
      </c>
      <c r="K165" s="382">
        <f t="shared" si="289"/>
        <v>5616</v>
      </c>
      <c r="L165" s="444">
        <f>IFERROR(VLOOKUP($B165,'update_Formula counts'!$D$7:$R$234,'update_Formula counts'!L$5,0),0)</f>
        <v>33811</v>
      </c>
      <c r="M165" s="445">
        <f>IFERROR(VLOOKUP($B165,'update_Formula counts'!$D$7:$R$234,'update_Formula counts'!K$5,0),0)</f>
        <v>5870</v>
      </c>
      <c r="N165" s="446">
        <f>IFERROR(VLOOKUP($B165,'update_Formula counts'!$D$7:$R$234,'update_Formula counts'!M$5,0),0)</f>
        <v>0.1736121380615776</v>
      </c>
      <c r="O165" s="137">
        <f>VLOOKUP($C165,'Final SEA Counts'!$A$2:$F$709,5,FALSE)</f>
        <v>23613</v>
      </c>
      <c r="P165" s="208">
        <f>VLOOKUP($C165,'Final SEA Counts'!$A$2:$F$709,6,FALSE)</f>
        <v>12417</v>
      </c>
      <c r="Q165" s="748">
        <f t="shared" si="290"/>
        <v>-709.14213628126288</v>
      </c>
      <c r="R165" s="444">
        <f t="shared" si="291"/>
        <v>30684.740211511918</v>
      </c>
      <c r="S165" s="445">
        <f t="shared" si="254"/>
        <v>5160.8578637187375</v>
      </c>
      <c r="T165" s="229">
        <f t="shared" si="255"/>
        <v>0.16818971997626855</v>
      </c>
      <c r="U165" s="261">
        <f>VLOOKUP($B165,update_Allocation!$D$8:$Q$235,update_Allocation!K$239,0)</f>
        <v>2775864.5566107687</v>
      </c>
      <c r="V165" s="262">
        <f>VLOOKUP($B165,update_Allocation!$D$8:$Q$235,update_Allocation!L$239,0)</f>
        <v>661236.32613181917</v>
      </c>
      <c r="W165" s="262">
        <f>VLOOKUP($B165,update_Allocation!$D$8:$Q$235,update_Allocation!M$239,0)</f>
        <v>1464769.8362413952</v>
      </c>
      <c r="X165" s="262">
        <f>VLOOKUP($B165,update_Allocation!$D$8:$Q$235,update_Allocation!N$239,0)</f>
        <v>1236202.2110649142</v>
      </c>
      <c r="Y165" s="263">
        <f>VLOOKUP($B165,update_Allocation!$D$8:$Q$235,update_Allocation!O$239,0)</f>
        <v>6138072.9300488979</v>
      </c>
      <c r="Z165" s="262">
        <f t="shared" si="292"/>
        <v>2446504.1339574582</v>
      </c>
      <c r="AA165" s="262">
        <f t="shared" si="293"/>
        <v>583062.31500826543</v>
      </c>
      <c r="AB165" s="262">
        <f t="shared" si="294"/>
        <v>1291279.9169041442</v>
      </c>
      <c r="AC165" s="263">
        <f t="shared" si="295"/>
        <v>1090423.2234944007</v>
      </c>
      <c r="AD165" s="262">
        <f t="shared" si="260"/>
        <v>2446504.1339574582</v>
      </c>
      <c r="AE165" s="262">
        <f t="shared" si="261"/>
        <v>583062.31500826543</v>
      </c>
      <c r="AF165" s="262">
        <f t="shared" si="262"/>
        <v>1291279.9169041442</v>
      </c>
      <c r="AG165" s="263">
        <f t="shared" si="263"/>
        <v>1090423.2234944007</v>
      </c>
      <c r="AH165" s="262">
        <f t="shared" si="296"/>
        <v>2446504.1339574582</v>
      </c>
      <c r="AI165" s="262">
        <f t="shared" si="297"/>
        <v>585193.13639109617</v>
      </c>
      <c r="AJ165" s="262">
        <f t="shared" si="298"/>
        <v>1291305.2575493646</v>
      </c>
      <c r="AK165" s="262">
        <f t="shared" si="299"/>
        <v>1090446.8123063662</v>
      </c>
      <c r="AL165" s="263">
        <f t="shared" si="268"/>
        <v>5413449.3402042845</v>
      </c>
      <c r="AM165" s="346"/>
      <c r="AN165" s="261">
        <f>IFERROR(VLOOKUP($A165,'HH &amp; SI'!$B$4:$Z$494,'HH &amp; SI'!V$503,0),0)</f>
        <v>2413132.2296333425</v>
      </c>
      <c r="AO165" s="262">
        <f>IFERROR(VLOOKUP($A165,'HH &amp; SI'!$B$4:$Z$494,'HH &amp; SI'!W$503,0),0)</f>
        <v>565919.0140002257</v>
      </c>
      <c r="AP165" s="262">
        <f>IFERROR(VLOOKUP($A165,'HH &amp; SI'!$B$4:$Z$494,'HH &amp; SI'!X$503,0),0)</f>
        <v>1279561.3404030278</v>
      </c>
      <c r="AQ165" s="262">
        <f>IFERROR(VLOOKUP($A165,'HH &amp; SI'!$B$4:$Z$494,'HH &amp; SI'!Y$503,0),0)</f>
        <v>1078432.0513392801</v>
      </c>
      <c r="AR165" s="263">
        <f t="shared" si="269"/>
        <v>5337044.635375876</v>
      </c>
      <c r="AS165" s="346"/>
      <c r="AT165" s="323">
        <f>IFERROR(VLOOKUP(A165,'Afton FY16 Final'!$A$5:$BV$572,'Afton FY16 Final'!$BV$587,0),0)</f>
        <v>4466529.1661940422</v>
      </c>
      <c r="AU165" s="346"/>
      <c r="AV165" s="444">
        <v>0</v>
      </c>
      <c r="AW165" s="262">
        <f>IFERROR(VLOOKUP($A165,'HH &amp; SI'!$B$4:$EY$503,'HH &amp; SI'!EX$503,0),0)</f>
        <v>298944.4200054286</v>
      </c>
      <c r="AX165" s="262">
        <f>IFERROR(VLOOKUP($A165,'HH &amp; SI'!$B$4:$EY$503,'HH &amp; SI'!EY$503,0),0)</f>
        <v>5038100.2153704474</v>
      </c>
      <c r="AY165" s="262">
        <f>AX165/$AX$582*'update_State Admin 1004(b)'!$B$30*0.01</f>
        <v>48218.238273635165</v>
      </c>
      <c r="AZ165" s="263">
        <f t="shared" si="270"/>
        <v>4989881.9770968119</v>
      </c>
      <c r="BA165" s="261">
        <f t="shared" si="271"/>
        <v>49898.819770968119</v>
      </c>
      <c r="BB165" s="262">
        <f t="shared" si="272"/>
        <v>4939983.1573258433</v>
      </c>
      <c r="BC165" s="341">
        <f t="shared" si="280"/>
        <v>1.106000425277696</v>
      </c>
      <c r="BD165" s="346"/>
      <c r="BE165" s="376" t="str">
        <f>'Original Title I &amp; II'!AZ165</f>
        <v/>
      </c>
      <c r="BF165" s="243" t="str">
        <f t="shared" si="300"/>
        <v/>
      </c>
      <c r="BG165" s="263">
        <f t="shared" si="250"/>
        <v>4939983.1573258433</v>
      </c>
      <c r="BI165" s="31">
        <f>IFERROR(VLOOKUP(A165,'Title II Hold Harmless'!A$1:B$439,2, FALSE),"")</f>
        <v>199393</v>
      </c>
      <c r="BJ165" s="31">
        <f t="shared" si="274"/>
        <v>291648.30460064753</v>
      </c>
      <c r="BK165" s="31">
        <f t="shared" si="301"/>
        <v>291930.44279629324</v>
      </c>
      <c r="BL165" s="31" t="str">
        <f t="shared" si="276"/>
        <v/>
      </c>
      <c r="BM165" s="31">
        <f t="shared" si="277"/>
        <v>291930.44279629324</v>
      </c>
      <c r="BN165" s="200"/>
      <c r="BP165" s="295" t="s">
        <v>1447</v>
      </c>
      <c r="BQ165" s="296" t="str">
        <f t="shared" si="281"/>
        <v>Y</v>
      </c>
      <c r="BR165" s="297" t="s">
        <v>1448</v>
      </c>
      <c r="BT165" s="295" t="str">
        <f t="shared" si="282"/>
        <v>Y</v>
      </c>
      <c r="BU165" s="296" t="str">
        <f t="shared" si="278"/>
        <v>Y</v>
      </c>
      <c r="BV165" s="296" t="str">
        <f t="shared" si="279"/>
        <v>Y</v>
      </c>
      <c r="BW165" s="297" t="str">
        <f t="shared" si="283"/>
        <v>Y</v>
      </c>
      <c r="BY165" s="352">
        <f t="shared" si="284"/>
        <v>0</v>
      </c>
      <c r="BZ165" s="353">
        <f t="shared" si="285"/>
        <v>0.9</v>
      </c>
      <c r="CA165" s="353">
        <f t="shared" si="286"/>
        <v>0</v>
      </c>
      <c r="CB165" s="354">
        <f t="shared" si="287"/>
        <v>0.9</v>
      </c>
      <c r="CD165" s="311">
        <f t="shared" si="288"/>
        <v>160</v>
      </c>
    </row>
    <row r="166" spans="1:82" outlineLevel="1" x14ac:dyDescent="0.3">
      <c r="A166" s="1">
        <v>70211000</v>
      </c>
      <c r="B166" s="47">
        <f>VLOOKUP(C166,'NCES ID'!$A$2:$B$3136,2,FALSE)</f>
        <v>406250</v>
      </c>
      <c r="C166" s="47">
        <f>VLOOKUP(A166,'State ID'!$A$2:$B$713,2,FALSE)</f>
        <v>4237</v>
      </c>
      <c r="D166" s="147" t="s">
        <v>335</v>
      </c>
      <c r="E166" s="47" t="s">
        <v>7</v>
      </c>
      <c r="F166" s="382">
        <f>IFERROR(VLOOKUP($B166,'update_Formula counts'!$D$7:$R$234,'update_Formula counts'!F$5,0),0)</f>
        <v>5852</v>
      </c>
      <c r="G166" s="382">
        <f>IFERROR(VLOOKUP($B166,'update_Formula counts'!$D$7:$R$234,'update_Formula counts'!G$5,0),0)</f>
        <v>57</v>
      </c>
      <c r="H166" s="382">
        <f>IFERROR(VLOOKUP($B166,'update_Formula counts'!$D$7:$R$234,'update_Formula counts'!H$5,0),0)</f>
        <v>0</v>
      </c>
      <c r="I166" s="382">
        <f>IFERROR(VLOOKUP($B166,'update_Formula counts'!$D$7:$R$234,'update_Formula counts'!I$5,0),0)</f>
        <v>265</v>
      </c>
      <c r="J166" s="382">
        <f>IFERROR(VLOOKUP($B166,'update_Formula counts'!$D$7:$R$234,'update_Formula counts'!J$5,0),0)</f>
        <v>0</v>
      </c>
      <c r="K166" s="382">
        <f t="shared" si="289"/>
        <v>5909</v>
      </c>
      <c r="L166" s="444">
        <f>IFERROR(VLOOKUP($B166,'update_Formula counts'!$D$7:$R$234,'update_Formula counts'!L$5,0),0)</f>
        <v>39820</v>
      </c>
      <c r="M166" s="445">
        <f>IFERROR(VLOOKUP($B166,'update_Formula counts'!$D$7:$R$234,'update_Formula counts'!K$5,0),0)</f>
        <v>6174</v>
      </c>
      <c r="N166" s="446">
        <f>IFERROR(VLOOKUP($B166,'update_Formula counts'!$D$7:$R$234,'update_Formula counts'!M$5,0),0)</f>
        <v>0.155047714716223</v>
      </c>
      <c r="O166" s="137">
        <f>VLOOKUP($C166,'Final SEA Counts'!$A$2:$F$709,5,FALSE)</f>
        <v>33724</v>
      </c>
      <c r="P166" s="208">
        <f>VLOOKUP($C166,'Final SEA Counts'!$A$2:$F$709,6,FALSE)</f>
        <v>14583</v>
      </c>
      <c r="Q166" s="748">
        <f t="shared" si="290"/>
        <v>-738.82633194322671</v>
      </c>
      <c r="R166" s="444">
        <f t="shared" si="291"/>
        <v>36138.131236059409</v>
      </c>
      <c r="S166" s="445">
        <f t="shared" si="254"/>
        <v>5435.1736680567737</v>
      </c>
      <c r="T166" s="229">
        <f t="shared" si="255"/>
        <v>0.1503999648613108</v>
      </c>
      <c r="U166" s="261">
        <f>VLOOKUP($B166,update_Allocation!$D$8:$Q$235,update_Allocation!K$239,0)</f>
        <v>2919623.1299003218</v>
      </c>
      <c r="V166" s="262">
        <f>VLOOKUP($B166,update_Allocation!$D$8:$Q$235,update_Allocation!L$239,0)</f>
        <v>695480.93314103084</v>
      </c>
      <c r="W166" s="262">
        <f>VLOOKUP($B166,update_Allocation!$D$8:$Q$235,update_Allocation!M$239,0)</f>
        <v>1551541.4112825375</v>
      </c>
      <c r="X166" s="262">
        <f>VLOOKUP($B166,update_Allocation!$D$8:$Q$235,update_Allocation!N$239,0)</f>
        <v>1311932.1212676284</v>
      </c>
      <c r="Y166" s="263">
        <f>VLOOKUP($B166,update_Allocation!$D$8:$Q$235,update_Allocation!O$239,0)</f>
        <v>6478577.595591519</v>
      </c>
      <c r="Z166" s="262">
        <f t="shared" si="292"/>
        <v>2573205.5405542334</v>
      </c>
      <c r="AA166" s="262">
        <f t="shared" si="293"/>
        <v>613258.38719949406</v>
      </c>
      <c r="AB166" s="262">
        <f t="shared" si="294"/>
        <v>1367774.1137646418</v>
      </c>
      <c r="AC166" s="263">
        <f t="shared" si="295"/>
        <v>1157222.6937259331</v>
      </c>
      <c r="AD166" s="262">
        <f t="shared" si="260"/>
        <v>2573205.5405542334</v>
      </c>
      <c r="AE166" s="262">
        <f t="shared" si="261"/>
        <v>613258.38719949406</v>
      </c>
      <c r="AF166" s="262">
        <f t="shared" si="262"/>
        <v>1367774.1137646418</v>
      </c>
      <c r="AG166" s="263">
        <f t="shared" si="263"/>
        <v>1157222.6937259331</v>
      </c>
      <c r="AH166" s="262">
        <f t="shared" si="296"/>
        <v>2573205.5405542334</v>
      </c>
      <c r="AI166" s="262">
        <f t="shared" si="297"/>
        <v>615389.20858232479</v>
      </c>
      <c r="AJ166" s="262">
        <f t="shared" si="298"/>
        <v>1367799.4544098622</v>
      </c>
      <c r="AK166" s="262">
        <f t="shared" si="299"/>
        <v>1157246.2825378985</v>
      </c>
      <c r="AL166" s="263">
        <f t="shared" si="268"/>
        <v>5713640.4860843197</v>
      </c>
      <c r="AM166" s="346"/>
      <c r="AN166" s="261">
        <f>IFERROR(VLOOKUP($A166,'HH &amp; SI'!$B$4:$Z$494,'HH &amp; SI'!V$503,0),0)</f>
        <v>2538105.3468068582</v>
      </c>
      <c r="AO166" s="262">
        <f>IFERROR(VLOOKUP($A166,'HH &amp; SI'!$B$4:$Z$494,'HH &amp; SI'!W$503,0),0)</f>
        <v>595120.53797319182</v>
      </c>
      <c r="AP166" s="262">
        <f>IFERROR(VLOOKUP($A166,'HH &amp; SI'!$B$4:$Z$494,'HH &amp; SI'!X$503,0),0)</f>
        <v>1355359.8524091092</v>
      </c>
      <c r="AQ166" s="262">
        <f>IFERROR(VLOOKUP($A166,'HH &amp; SI'!$B$4:$Z$494,'HH &amp; SI'!Y$503,0),0)</f>
        <v>1144495.5116540499</v>
      </c>
      <c r="AR166" s="263">
        <f t="shared" si="269"/>
        <v>5633081.2488432098</v>
      </c>
      <c r="AS166" s="346"/>
      <c r="AT166" s="323">
        <f>IFERROR(VLOOKUP(A166,'Afton FY16 Final'!$A$5:$BV$572,'Afton FY16 Final'!$BV$587,0),0)</f>
        <v>4808794.8631151207</v>
      </c>
      <c r="AU166" s="346"/>
      <c r="AV166" s="444">
        <v>0</v>
      </c>
      <c r="AW166" s="262">
        <f>IFERROR(VLOOKUP($A166,'HH &amp; SI'!$B$4:$EY$503,'HH &amp; SI'!EX$503,0),0)</f>
        <v>315526.34872432332</v>
      </c>
      <c r="AX166" s="262">
        <f>IFERROR(VLOOKUP($A166,'HH &amp; SI'!$B$4:$EY$503,'HH &amp; SI'!EY$503,0),0)</f>
        <v>5317554.9001188865</v>
      </c>
      <c r="AY166" s="262">
        <f>AX166/$AX$582*'update_State Admin 1004(b)'!$B$30*0.01</f>
        <v>50892.820358122954</v>
      </c>
      <c r="AZ166" s="263">
        <f t="shared" si="270"/>
        <v>5266662.0797607638</v>
      </c>
      <c r="BA166" s="261">
        <f t="shared" si="271"/>
        <v>52666.62079760764</v>
      </c>
      <c r="BB166" s="262">
        <f t="shared" si="272"/>
        <v>5213995.4589631557</v>
      </c>
      <c r="BC166" s="341">
        <f t="shared" si="280"/>
        <v>1.0842623999114713</v>
      </c>
      <c r="BD166" s="346"/>
      <c r="BE166" s="376" t="str">
        <f>'Original Title I &amp; II'!AZ166</f>
        <v/>
      </c>
      <c r="BF166" s="243" t="str">
        <f t="shared" si="300"/>
        <v/>
      </c>
      <c r="BG166" s="263">
        <f t="shared" si="250"/>
        <v>5213995.4589631557</v>
      </c>
      <c r="BI166" s="31">
        <f>IFERROR(VLOOKUP(A166,'Title II Hold Harmless'!A$1:B$439,2, FALSE),"")</f>
        <v>521457</v>
      </c>
      <c r="BJ166" s="31">
        <f t="shared" si="274"/>
        <v>621692.23069381749</v>
      </c>
      <c r="BK166" s="31">
        <f t="shared" si="301"/>
        <v>622293.65069677308</v>
      </c>
      <c r="BL166" s="31" t="str">
        <f t="shared" si="276"/>
        <v/>
      </c>
      <c r="BM166" s="31">
        <f t="shared" si="277"/>
        <v>622293.65069677308</v>
      </c>
      <c r="BN166" s="200"/>
      <c r="BP166" s="295" t="s">
        <v>1447</v>
      </c>
      <c r="BQ166" s="296" t="str">
        <f t="shared" si="281"/>
        <v>Y</v>
      </c>
      <c r="BR166" s="297" t="s">
        <v>1448</v>
      </c>
      <c r="BT166" s="295" t="str">
        <f t="shared" si="282"/>
        <v>Y</v>
      </c>
      <c r="BU166" s="296" t="str">
        <f t="shared" si="278"/>
        <v>Y</v>
      </c>
      <c r="BV166" s="296" t="str">
        <f t="shared" si="279"/>
        <v>Y</v>
      </c>
      <c r="BW166" s="297" t="str">
        <f t="shared" si="283"/>
        <v>Y</v>
      </c>
      <c r="BY166" s="352">
        <f t="shared" si="284"/>
        <v>0</v>
      </c>
      <c r="BZ166" s="353">
        <f t="shared" si="285"/>
        <v>0.9</v>
      </c>
      <c r="CA166" s="353">
        <f t="shared" si="286"/>
        <v>0</v>
      </c>
      <c r="CB166" s="354">
        <f t="shared" si="287"/>
        <v>0.9</v>
      </c>
      <c r="CD166" s="311">
        <f t="shared" si="288"/>
        <v>161</v>
      </c>
    </row>
    <row r="167" spans="1:82" outlineLevel="1" x14ac:dyDescent="0.3">
      <c r="A167" s="1">
        <v>70269000</v>
      </c>
      <c r="B167" s="47">
        <f>VLOOKUP(C167,'NCES ID'!$A$2:$B$3136,2,FALSE)</f>
        <v>405930</v>
      </c>
      <c r="C167" s="47">
        <f>VLOOKUP(A167,'State ID'!$A$2:$B$713,2,FALSE)</f>
        <v>4241</v>
      </c>
      <c r="D167" s="147" t="s">
        <v>321</v>
      </c>
      <c r="E167" s="47" t="s">
        <v>7</v>
      </c>
      <c r="F167" s="382">
        <f>IFERROR(VLOOKUP($B167,'update_Formula counts'!$D$7:$R$234,'update_Formula counts'!F$5,0),0)</f>
        <v>6348</v>
      </c>
      <c r="G167" s="382">
        <f>IFERROR(VLOOKUP($B167,'update_Formula counts'!$D$7:$R$234,'update_Formula counts'!G$5,0),0)</f>
        <v>58</v>
      </c>
      <c r="H167" s="382">
        <f>IFERROR(VLOOKUP($B167,'update_Formula counts'!$D$7:$R$234,'update_Formula counts'!H$5,0),0)</f>
        <v>0</v>
      </c>
      <c r="I167" s="382">
        <f>IFERROR(VLOOKUP($B167,'update_Formula counts'!$D$7:$R$234,'update_Formula counts'!I$5,0),0)</f>
        <v>287</v>
      </c>
      <c r="J167" s="382">
        <f>IFERROR(VLOOKUP($B167,'update_Formula counts'!$D$7:$R$234,'update_Formula counts'!J$5,0),0)</f>
        <v>0</v>
      </c>
      <c r="K167" s="382">
        <f t="shared" si="289"/>
        <v>6406</v>
      </c>
      <c r="L167" s="444">
        <f>IFERROR(VLOOKUP($B167,'update_Formula counts'!$D$7:$R$234,'update_Formula counts'!L$5,0),0)</f>
        <v>40856</v>
      </c>
      <c r="M167" s="445">
        <f>IFERROR(VLOOKUP($B167,'update_Formula counts'!$D$7:$R$234,'update_Formula counts'!K$5,0),0)</f>
        <v>6693</v>
      </c>
      <c r="N167" s="446">
        <f>IFERROR(VLOOKUP($B167,'update_Formula counts'!$D$7:$R$234,'update_Formula counts'!M$5,0),0)</f>
        <v>0.16381926767182298</v>
      </c>
      <c r="O167" s="137">
        <f>VLOOKUP($C167,'Final SEA Counts'!$A$2:$F$709,5,FALSE)</f>
        <v>29907</v>
      </c>
      <c r="P167" s="208">
        <f>VLOOKUP($C167,'Final SEA Counts'!$A$2:$F$709,6,FALSE)</f>
        <v>10466</v>
      </c>
      <c r="Q167" s="748">
        <f t="shared" si="290"/>
        <v>-801.45597230225644</v>
      </c>
      <c r="R167" s="444">
        <f t="shared" si="291"/>
        <v>37078.339773491789</v>
      </c>
      <c r="S167" s="445">
        <f t="shared" si="254"/>
        <v>5891.5440276977433</v>
      </c>
      <c r="T167" s="229">
        <f t="shared" si="255"/>
        <v>0.15889449375804449</v>
      </c>
      <c r="U167" s="261">
        <f>VLOOKUP($B167,update_Allocation!$D$8:$Q$235,update_Allocation!K$239,0)</f>
        <v>3165053.0625887355</v>
      </c>
      <c r="V167" s="262">
        <f>VLOOKUP($B167,update_Allocation!$D$8:$Q$235,update_Allocation!L$239,0)</f>
        <v>753944.58787057339</v>
      </c>
      <c r="W167" s="262">
        <f>VLOOKUP($B167,update_Allocation!$D$8:$Q$235,update_Allocation!M$239,0)</f>
        <v>1699681.0410402787</v>
      </c>
      <c r="X167" s="262">
        <f>VLOOKUP($B167,update_Allocation!$D$8:$Q$235,update_Allocation!N$239,0)</f>
        <v>1441221.0140150243</v>
      </c>
      <c r="Y167" s="263">
        <f>VLOOKUP($B167,update_Allocation!$D$8:$Q$235,update_Allocation!O$239,0)</f>
        <v>7059899.7055146126</v>
      </c>
      <c r="Z167" s="262">
        <f t="shared" si="292"/>
        <v>2789514.8498428059</v>
      </c>
      <c r="AA167" s="262">
        <f t="shared" si="293"/>
        <v>664810.23413123016</v>
      </c>
      <c r="AB167" s="262">
        <f t="shared" si="294"/>
        <v>1498367.8248521371</v>
      </c>
      <c r="AC167" s="263">
        <f t="shared" si="295"/>
        <v>1271265.2103383178</v>
      </c>
      <c r="AD167" s="262">
        <f t="shared" si="260"/>
        <v>2789514.8498428059</v>
      </c>
      <c r="AE167" s="262">
        <f t="shared" si="261"/>
        <v>664810.23413123016</v>
      </c>
      <c r="AF167" s="262">
        <f t="shared" si="262"/>
        <v>1498367.8248521371</v>
      </c>
      <c r="AG167" s="263">
        <f t="shared" si="263"/>
        <v>1271265.2103383178</v>
      </c>
      <c r="AH167" s="262">
        <f t="shared" si="296"/>
        <v>2789514.8498428059</v>
      </c>
      <c r="AI167" s="262">
        <f t="shared" si="297"/>
        <v>666941.05551406089</v>
      </c>
      <c r="AJ167" s="262">
        <f t="shared" si="298"/>
        <v>1498393.1654973575</v>
      </c>
      <c r="AK167" s="262">
        <f t="shared" si="299"/>
        <v>1271288.7991502832</v>
      </c>
      <c r="AL167" s="263">
        <f t="shared" si="268"/>
        <v>6226137.8700045077</v>
      </c>
      <c r="AM167" s="346"/>
      <c r="AN167" s="261">
        <f>IFERROR(VLOOKUP($A167,'HH &amp; SI'!$B$4:$Z$494,'HH &amp; SI'!V$503,0),0)</f>
        <v>2751464.0567182219</v>
      </c>
      <c r="AO167" s="262">
        <f>IFERROR(VLOOKUP($A167,'HH &amp; SI'!$B$4:$Z$494,'HH &amp; SI'!W$503,0),0)</f>
        <v>644974.45554545976</v>
      </c>
      <c r="AP167" s="262">
        <f>IFERROR(VLOOKUP($A167,'HH &amp; SI'!$B$4:$Z$494,'HH &amp; SI'!X$503,0),0)</f>
        <v>1484765.8646826504</v>
      </c>
      <c r="AQ167" s="262">
        <f>IFERROR(VLOOKUP($A167,'HH &amp; SI'!$B$4:$Z$494,'HH &amp; SI'!Y$503,0),0)</f>
        <v>1257281.4850203821</v>
      </c>
      <c r="AR167" s="263">
        <f t="shared" si="269"/>
        <v>6138485.8619667143</v>
      </c>
      <c r="AS167" s="346"/>
      <c r="AT167" s="323">
        <f>IFERROR(VLOOKUP(A167,'Afton FY16 Final'!$A$5:$BV$572,'Afton FY16 Final'!$BV$587,0),0)</f>
        <v>5931511.7633807175</v>
      </c>
      <c r="AU167" s="346"/>
      <c r="AV167" s="444">
        <v>0</v>
      </c>
      <c r="AW167" s="262">
        <f>IFERROR(VLOOKUP($A167,'HH &amp; SI'!$B$4:$EY$503,'HH &amp; SI'!EX$503,0),0)</f>
        <v>206974.09858599678</v>
      </c>
      <c r="AX167" s="262">
        <f>IFERROR(VLOOKUP($A167,'HH &amp; SI'!$B$4:$EY$503,'HH &amp; SI'!EY$503,0),0)</f>
        <v>5931511.7633807175</v>
      </c>
      <c r="AY167" s="262">
        <f>AX167/$AX$582*'update_State Admin 1004(b)'!$B$30*0.01</f>
        <v>56768.828586815143</v>
      </c>
      <c r="AZ167" s="263">
        <f t="shared" si="270"/>
        <v>5874742.9347939026</v>
      </c>
      <c r="BA167" s="261">
        <f t="shared" si="271"/>
        <v>58747.429347939025</v>
      </c>
      <c r="BB167" s="262">
        <f t="shared" si="272"/>
        <v>5815995.5054459637</v>
      </c>
      <c r="BC167" s="341">
        <f t="shared" si="280"/>
        <v>0.98052498881517614</v>
      </c>
      <c r="BD167" s="346"/>
      <c r="BE167" s="376" t="str">
        <f>'Original Title I &amp; II'!AZ167</f>
        <v/>
      </c>
      <c r="BF167" s="243" t="str">
        <f t="shared" si="300"/>
        <v/>
      </c>
      <c r="BG167" s="263">
        <f t="shared" si="250"/>
        <v>5815995.5054459637</v>
      </c>
      <c r="BI167" s="31">
        <f>IFERROR(VLOOKUP(A167,'Title II Hold Harmless'!A$1:B$439,2, FALSE),"")</f>
        <v>594744</v>
      </c>
      <c r="BJ167" s="31">
        <f t="shared" si="274"/>
        <v>701710.20552492188</v>
      </c>
      <c r="BK167" s="31">
        <f t="shared" si="301"/>
        <v>702389.03426532575</v>
      </c>
      <c r="BL167" s="31" t="str">
        <f t="shared" si="276"/>
        <v/>
      </c>
      <c r="BM167" s="31">
        <f t="shared" si="277"/>
        <v>702389.03426532575</v>
      </c>
      <c r="BN167" s="200"/>
      <c r="BP167" s="295" t="s">
        <v>1447</v>
      </c>
      <c r="BQ167" s="296" t="str">
        <f t="shared" si="281"/>
        <v>Y</v>
      </c>
      <c r="BR167" s="297" t="s">
        <v>1448</v>
      </c>
      <c r="BT167" s="295" t="str">
        <f t="shared" si="282"/>
        <v>Y</v>
      </c>
      <c r="BU167" s="296" t="str">
        <f t="shared" si="278"/>
        <v>Y</v>
      </c>
      <c r="BV167" s="296" t="str">
        <f t="shared" si="279"/>
        <v>Y</v>
      </c>
      <c r="BW167" s="297" t="str">
        <f t="shared" si="283"/>
        <v>Y</v>
      </c>
      <c r="BY167" s="352">
        <f t="shared" si="284"/>
        <v>0</v>
      </c>
      <c r="BZ167" s="353">
        <f t="shared" si="285"/>
        <v>0.9</v>
      </c>
      <c r="CA167" s="353">
        <f t="shared" si="286"/>
        <v>0</v>
      </c>
      <c r="CB167" s="354">
        <f t="shared" si="287"/>
        <v>0.9</v>
      </c>
      <c r="CD167" s="311">
        <f t="shared" si="288"/>
        <v>162</v>
      </c>
    </row>
    <row r="168" spans="1:82" outlineLevel="1" x14ac:dyDescent="0.3">
      <c r="A168" s="1">
        <v>70510000</v>
      </c>
      <c r="B168" s="47">
        <f>VLOOKUP(C168,'NCES ID'!$A$2:$B$3136,2,FALSE)</f>
        <v>406330</v>
      </c>
      <c r="C168" s="47">
        <f>VLOOKUP(A168,'State ID'!$A$2:$B$713,2,FALSE)</f>
        <v>4286</v>
      </c>
      <c r="D168" s="147" t="s">
        <v>339</v>
      </c>
      <c r="E168" s="47" t="s">
        <v>7</v>
      </c>
      <c r="F168" s="382">
        <f>IFERROR(VLOOKUP($B168,'update_Formula counts'!$D$7:$R$234,'update_Formula counts'!F$5,0),0)</f>
        <v>14344</v>
      </c>
      <c r="G168" s="382">
        <f>IFERROR(VLOOKUP($B168,'update_Formula counts'!$D$7:$R$234,'update_Formula counts'!G$5,0),0)</f>
        <v>38</v>
      </c>
      <c r="H168" s="382">
        <f>IFERROR(VLOOKUP($B168,'update_Formula counts'!$D$7:$R$234,'update_Formula counts'!H$5,0),0)</f>
        <v>0</v>
      </c>
      <c r="I168" s="382">
        <f>IFERROR(VLOOKUP($B168,'update_Formula counts'!$D$7:$R$234,'update_Formula counts'!I$5,0),0)</f>
        <v>649</v>
      </c>
      <c r="J168" s="382">
        <f>IFERROR(VLOOKUP($B168,'update_Formula counts'!$D$7:$R$234,'update_Formula counts'!J$5,0),0)</f>
        <v>0</v>
      </c>
      <c r="K168" s="382">
        <f t="shared" si="289"/>
        <v>14382</v>
      </c>
      <c r="L168" s="444">
        <f>IFERROR(VLOOKUP($B168,'update_Formula counts'!$D$7:$R$234,'update_Formula counts'!L$5,0),0)</f>
        <v>42512</v>
      </c>
      <c r="M168" s="445">
        <f>IFERROR(VLOOKUP($B168,'update_Formula counts'!$D$7:$R$234,'update_Formula counts'!K$5,0),0)</f>
        <v>15031</v>
      </c>
      <c r="N168" s="446">
        <f>IFERROR(VLOOKUP($B168,'update_Formula counts'!$D$7:$R$234,'update_Formula counts'!M$5,0),0)</f>
        <v>0.35357075649228453</v>
      </c>
      <c r="O168" s="137">
        <f>VLOOKUP($C168,'Final SEA Counts'!$A$2:$F$709,5,FALSE)</f>
        <v>20727</v>
      </c>
      <c r="P168" s="208">
        <f>VLOOKUP($C168,'Final SEA Counts'!$A$2:$F$709,6,FALSE)</f>
        <v>17580</v>
      </c>
      <c r="Q168" s="748">
        <f t="shared" si="290"/>
        <v>-1811.1645936169655</v>
      </c>
      <c r="R168" s="444">
        <f t="shared" si="291"/>
        <v>38581.221373866334</v>
      </c>
      <c r="S168" s="445">
        <f t="shared" si="254"/>
        <v>13219.835406383034</v>
      </c>
      <c r="T168" s="229">
        <f t="shared" si="255"/>
        <v>0.34264947908926807</v>
      </c>
      <c r="U168" s="261">
        <f>VLOOKUP($B168,update_Allocation!$D$8:$Q$235,update_Allocation!K$239,0)</f>
        <v>7232553.8993152212</v>
      </c>
      <c r="V168" s="262">
        <f>VLOOKUP($B168,update_Allocation!$D$8:$Q$235,update_Allocation!L$239,0)</f>
        <v>1713820.8317351548</v>
      </c>
      <c r="W168" s="262">
        <f>VLOOKUP($B168,update_Allocation!$D$8:$Q$235,update_Allocation!M$239,0)</f>
        <v>4591971.7314741584</v>
      </c>
      <c r="X168" s="262">
        <f>VLOOKUP($B168,update_Allocation!$D$8:$Q$235,update_Allocation!N$239,0)</f>
        <v>4412623.5432846649</v>
      </c>
      <c r="Y168" s="263">
        <f>VLOOKUP($B168,update_Allocation!$D$8:$Q$235,update_Allocation!O$239,0)</f>
        <v>17950970.005809199</v>
      </c>
      <c r="Z168" s="262">
        <f t="shared" si="292"/>
        <v>6374400.7147629503</v>
      </c>
      <c r="AA168" s="262">
        <f t="shared" si="293"/>
        <v>1511206.0577592715</v>
      </c>
      <c r="AB168" s="262">
        <f t="shared" si="294"/>
        <v>4048090.5116528771</v>
      </c>
      <c r="AC168" s="263">
        <f t="shared" si="295"/>
        <v>3892265.4765281645</v>
      </c>
      <c r="AD168" s="262">
        <f t="shared" si="260"/>
        <v>6374400.7147629503</v>
      </c>
      <c r="AE168" s="262">
        <f t="shared" si="261"/>
        <v>1511206.0577592715</v>
      </c>
      <c r="AF168" s="262">
        <f t="shared" si="262"/>
        <v>4048090.5116528771</v>
      </c>
      <c r="AG168" s="263">
        <f t="shared" si="263"/>
        <v>3892265.4765281645</v>
      </c>
      <c r="AH168" s="262">
        <f t="shared" si="296"/>
        <v>6374400.7147629503</v>
      </c>
      <c r="AI168" s="262">
        <f t="shared" si="297"/>
        <v>1513336.8791421021</v>
      </c>
      <c r="AJ168" s="262">
        <f t="shared" si="298"/>
        <v>4048115.8522980972</v>
      </c>
      <c r="AK168" s="262">
        <f t="shared" si="299"/>
        <v>3892289.0653401297</v>
      </c>
      <c r="AL168" s="263">
        <f t="shared" si="268"/>
        <v>15828142.51154328</v>
      </c>
      <c r="AM168" s="346"/>
      <c r="AN168" s="261">
        <f>IFERROR(VLOOKUP($A168,'HH &amp; SI'!$B$4:$Z$494,'HH &amp; SI'!V$503,0),0)</f>
        <v>6305214.5377102224</v>
      </c>
      <c r="AO168" s="262">
        <f>IFERROR(VLOOKUP($A168,'HH &amp; SI'!$B$4:$Z$494,'HH &amp; SI'!W$503,0),0)</f>
        <v>1471558.8263145527</v>
      </c>
      <c r="AP168" s="262">
        <f>IFERROR(VLOOKUP($A168,'HH &amp; SI'!$B$4:$Z$494,'HH &amp; SI'!X$503,0),0)</f>
        <v>4011299.8191485205</v>
      </c>
      <c r="AQ168" s="262">
        <f>IFERROR(VLOOKUP($A168,'HH &amp; SI'!$B$4:$Z$494,'HH &amp; SI'!Y$503,0),0)</f>
        <v>3849403.0463183001</v>
      </c>
      <c r="AR168" s="263">
        <f t="shared" si="269"/>
        <v>15637476.229491595</v>
      </c>
      <c r="AS168" s="346"/>
      <c r="AT168" s="323">
        <f>IFERROR(VLOOKUP(A168,'Afton FY16 Final'!$A$5:$BV$572,'Afton FY16 Final'!$BV$587,0),0)</f>
        <v>13955896.158369431</v>
      </c>
      <c r="AU168" s="346"/>
      <c r="AV168" s="444">
        <v>0</v>
      </c>
      <c r="AW168" s="262">
        <f>IFERROR(VLOOKUP($A168,'HH &amp; SI'!$B$4:$EY$503,'HH &amp; SI'!EX$503,0),0)</f>
        <v>875903.53484926373</v>
      </c>
      <c r="AX168" s="262">
        <f>IFERROR(VLOOKUP($A168,'HH &amp; SI'!$B$4:$EY$503,'HH &amp; SI'!EY$503,0),0)</f>
        <v>14761572.694642331</v>
      </c>
      <c r="AY168" s="262">
        <f>AX168/$AX$582*'update_State Admin 1004(b)'!$B$30*0.01</f>
        <v>141278.85493669449</v>
      </c>
      <c r="AZ168" s="263">
        <f t="shared" si="270"/>
        <v>14620293.839705637</v>
      </c>
      <c r="BA168" s="261">
        <f t="shared" si="271"/>
        <v>146202.93839705636</v>
      </c>
      <c r="BB168" s="262">
        <f t="shared" si="272"/>
        <v>14474090.901308581</v>
      </c>
      <c r="BC168" s="341">
        <f t="shared" si="280"/>
        <v>1.0371308826791739</v>
      </c>
      <c r="BD168" s="346"/>
      <c r="BE168" s="376" t="str">
        <f>'Original Title I &amp; II'!AZ168</f>
        <v/>
      </c>
      <c r="BF168" s="243" t="str">
        <f t="shared" si="300"/>
        <v/>
      </c>
      <c r="BG168" s="263">
        <f t="shared" si="250"/>
        <v>14474090.901308581</v>
      </c>
      <c r="BI168" s="31">
        <f>IFERROR(VLOOKUP(A168,'Title II Hold Harmless'!A$1:B$439,2, FALSE),"")</f>
        <v>941007</v>
      </c>
      <c r="BJ168" s="31">
        <f t="shared" si="274"/>
        <v>1145116.5983977832</v>
      </c>
      <c r="BK168" s="31">
        <f t="shared" si="301"/>
        <v>1146224.3748730083</v>
      </c>
      <c r="BL168" s="31" t="str">
        <f t="shared" si="276"/>
        <v/>
      </c>
      <c r="BM168" s="31">
        <f t="shared" si="277"/>
        <v>1146224.3748730083</v>
      </c>
      <c r="BN168" s="200"/>
      <c r="BP168" s="295" t="s">
        <v>1447</v>
      </c>
      <c r="BQ168" s="296" t="str">
        <f t="shared" si="281"/>
        <v>Y</v>
      </c>
      <c r="BR168" s="297" t="s">
        <v>1448</v>
      </c>
      <c r="BT168" s="295" t="str">
        <f t="shared" si="282"/>
        <v>Y</v>
      </c>
      <c r="BU168" s="296" t="str">
        <f t="shared" si="278"/>
        <v>Y</v>
      </c>
      <c r="BV168" s="296" t="str">
        <f t="shared" si="279"/>
        <v>Y</v>
      </c>
      <c r="BW168" s="297" t="str">
        <f t="shared" si="283"/>
        <v>Y</v>
      </c>
      <c r="BY168" s="352">
        <f t="shared" si="284"/>
        <v>0</v>
      </c>
      <c r="BZ168" s="353">
        <f t="shared" si="285"/>
        <v>0</v>
      </c>
      <c r="CA168" s="353">
        <f t="shared" si="286"/>
        <v>0.95</v>
      </c>
      <c r="CB168" s="354">
        <f t="shared" si="287"/>
        <v>0.95</v>
      </c>
      <c r="CD168" s="311">
        <f t="shared" si="288"/>
        <v>163</v>
      </c>
    </row>
    <row r="169" spans="1:82" outlineLevel="1" x14ac:dyDescent="0.3">
      <c r="A169" s="1">
        <v>70241000</v>
      </c>
      <c r="B169" s="47">
        <f>VLOOKUP(C169,'NCES ID'!$A$2:$B$3136,2,FALSE)</f>
        <v>403400</v>
      </c>
      <c r="C169" s="47">
        <f>VLOOKUP(A169,'State ID'!$A$2:$B$713,2,FALSE)</f>
        <v>4239</v>
      </c>
      <c r="D169" s="147" t="s">
        <v>182</v>
      </c>
      <c r="E169" s="47" t="s">
        <v>7</v>
      </c>
      <c r="F169" s="382">
        <f>IFERROR(VLOOKUP($B169,'update_Formula counts'!$D$7:$R$234,'update_Formula counts'!F$5,0),0)</f>
        <v>3980</v>
      </c>
      <c r="G169" s="382">
        <f>IFERROR(VLOOKUP($B169,'update_Formula counts'!$D$7:$R$234,'update_Formula counts'!G$5,0),0)</f>
        <v>0</v>
      </c>
      <c r="H169" s="382">
        <f>IFERROR(VLOOKUP($B169,'update_Formula counts'!$D$7:$R$234,'update_Formula counts'!H$5,0),0)</f>
        <v>0</v>
      </c>
      <c r="I169" s="382">
        <f>IFERROR(VLOOKUP($B169,'update_Formula counts'!$D$7:$R$234,'update_Formula counts'!I$5,0),0)</f>
        <v>180</v>
      </c>
      <c r="J169" s="382">
        <f>IFERROR(VLOOKUP($B169,'update_Formula counts'!$D$7:$R$234,'update_Formula counts'!J$5,0),0)</f>
        <v>0</v>
      </c>
      <c r="K169" s="382">
        <f t="shared" si="289"/>
        <v>3980</v>
      </c>
      <c r="L169" s="444">
        <f>IFERROR(VLOOKUP($B169,'update_Formula counts'!$D$7:$R$234,'update_Formula counts'!L$5,0),0)</f>
        <v>43787</v>
      </c>
      <c r="M169" s="445">
        <f>IFERROR(VLOOKUP($B169,'update_Formula counts'!$D$7:$R$234,'update_Formula counts'!K$5,0),0)</f>
        <v>4160</v>
      </c>
      <c r="N169" s="446">
        <f>IFERROR(VLOOKUP($B169,'update_Formula counts'!$D$7:$R$234,'update_Formula counts'!M$5,0),0)</f>
        <v>9.5005366889716128E-2</v>
      </c>
      <c r="O169" s="137">
        <f>VLOOKUP($C169,'Final SEA Counts'!$A$2:$F$709,5,FALSE)</f>
        <v>32427</v>
      </c>
      <c r="P169" s="208">
        <f>VLOOKUP($C169,'Final SEA Counts'!$A$2:$F$709,6,FALSE)</f>
        <v>8736</v>
      </c>
      <c r="Q169" s="748">
        <f t="shared" si="290"/>
        <v>-502.56157109965238</v>
      </c>
      <c r="R169" s="444">
        <f t="shared" si="291"/>
        <v>39738.331301690945</v>
      </c>
      <c r="S169" s="445">
        <f t="shared" si="254"/>
        <v>3657.4384289003474</v>
      </c>
      <c r="T169" s="229">
        <f t="shared" si="255"/>
        <v>9.2038047625435049E-2</v>
      </c>
      <c r="U169" s="261">
        <f>VLOOKUP($B169,update_Allocation!$D$8:$Q$235,update_Allocation!K$239,0)</f>
        <v>1967222.5818570354</v>
      </c>
      <c r="V169" s="262">
        <f>VLOOKUP($B169,update_Allocation!$D$8:$Q$235,update_Allocation!L$239,0)</f>
        <v>0</v>
      </c>
      <c r="W169" s="262">
        <f>VLOOKUP($B169,update_Allocation!$D$8:$Q$235,update_Allocation!M$239,0)</f>
        <v>976679.72663496761</v>
      </c>
      <c r="X169" s="262">
        <f>VLOOKUP($B169,update_Allocation!$D$8:$Q$235,update_Allocation!N$239,0)</f>
        <v>810221.46617464907</v>
      </c>
      <c r="Y169" s="263">
        <f>VLOOKUP($B169,update_Allocation!$D$8:$Q$235,update_Allocation!O$239,0)</f>
        <v>3754123.7746666521</v>
      </c>
      <c r="Z169" s="262">
        <f t="shared" si="292"/>
        <v>1733808.7218506008</v>
      </c>
      <c r="AA169" s="262" t="str">
        <f t="shared" si="293"/>
        <v/>
      </c>
      <c r="AB169" s="262">
        <f t="shared" si="294"/>
        <v>861000.059563844</v>
      </c>
      <c r="AC169" s="263">
        <f t="shared" si="295"/>
        <v>714676.20344203361</v>
      </c>
      <c r="AD169" s="262">
        <f t="shared" si="260"/>
        <v>1733808.7218506008</v>
      </c>
      <c r="AE169" s="262" t="str">
        <f t="shared" si="261"/>
        <v/>
      </c>
      <c r="AF169" s="262">
        <f t="shared" si="262"/>
        <v>861000.059563844</v>
      </c>
      <c r="AG169" s="263">
        <f t="shared" si="263"/>
        <v>714676.20344203361</v>
      </c>
      <c r="AH169" s="262">
        <f t="shared" si="296"/>
        <v>1733808.7218506008</v>
      </c>
      <c r="AI169" s="262" t="str">
        <f t="shared" si="297"/>
        <v/>
      </c>
      <c r="AJ169" s="262">
        <f t="shared" si="298"/>
        <v>861025.40020906425</v>
      </c>
      <c r="AK169" s="262">
        <f t="shared" si="299"/>
        <v>714699.79225399904</v>
      </c>
      <c r="AL169" s="263">
        <f t="shared" si="268"/>
        <v>3309533.9143136642</v>
      </c>
      <c r="AM169" s="346"/>
      <c r="AN169" s="261">
        <f>IFERROR(VLOOKUP($A169,'HH &amp; SI'!$B$4:$Z$494,'HH &amp; SI'!V$503,0),0)</f>
        <v>1710158.4455323177</v>
      </c>
      <c r="AO169" s="262">
        <f>IFERROR(VLOOKUP($A169,'HH &amp; SI'!$B$4:$Z$494,'HH &amp; SI'!W$503,0),0)</f>
        <v>0</v>
      </c>
      <c r="AP169" s="262">
        <f>IFERROR(VLOOKUP($A169,'HH &amp; SI'!$B$4:$Z$494,'HH &amp; SI'!X$503,0),0)</f>
        <v>853194.71036881942</v>
      </c>
      <c r="AQ169" s="262">
        <f>IFERROR(VLOOKUP($A169,'HH &amp; SI'!$B$4:$Z$494,'HH &amp; SI'!Y$503,0),0)</f>
        <v>706825.08706870361</v>
      </c>
      <c r="AR169" s="263">
        <f t="shared" si="269"/>
        <v>3270178.2429698408</v>
      </c>
      <c r="AS169" s="346"/>
      <c r="AT169" s="323">
        <f>IFERROR(VLOOKUP(A169,'Afton FY16 Final'!$A$5:$BV$572,'Afton FY16 Final'!$BV$587,0),0)</f>
        <v>2994046.7233924908</v>
      </c>
      <c r="AU169" s="346"/>
      <c r="AV169" s="444">
        <v>0</v>
      </c>
      <c r="AW169" s="262">
        <f>IFERROR(VLOOKUP($A169,'HH &amp; SI'!$B$4:$EY$503,'HH &amp; SI'!EX$503,0),0)</f>
        <v>183172.82409052551</v>
      </c>
      <c r="AX169" s="262">
        <f>IFERROR(VLOOKUP($A169,'HH &amp; SI'!$B$4:$EY$503,'HH &amp; SI'!EY$503,0),0)</f>
        <v>3087005.4188793153</v>
      </c>
      <c r="AY169" s="262">
        <f>AX169/$AX$582*'update_State Admin 1004(b)'!$B$30*0.01</f>
        <v>29544.859466155136</v>
      </c>
      <c r="AZ169" s="263">
        <f t="shared" si="270"/>
        <v>3057460.5594131602</v>
      </c>
      <c r="BA169" s="261">
        <f t="shared" si="271"/>
        <v>30574.605594131601</v>
      </c>
      <c r="BB169" s="262">
        <f t="shared" si="272"/>
        <v>3026885.9538190286</v>
      </c>
      <c r="BC169" s="341">
        <f t="shared" si="280"/>
        <v>1.0109681756700604</v>
      </c>
      <c r="BD169" s="346"/>
      <c r="BE169" s="376" t="str">
        <f>'Original Title I &amp; II'!AZ169</f>
        <v/>
      </c>
      <c r="BF169" s="243" t="str">
        <f t="shared" si="300"/>
        <v/>
      </c>
      <c r="BG169" s="263">
        <f t="shared" si="250"/>
        <v>3026885.9538190286</v>
      </c>
      <c r="BI169" s="31">
        <f>IFERROR(VLOOKUP(A169,'Title II Hold Harmless'!A$1:B$439,2, FALSE),"")</f>
        <v>342655</v>
      </c>
      <c r="BJ169" s="31">
        <f t="shared" si="274"/>
        <v>422515.52978125401</v>
      </c>
      <c r="BK169" s="31">
        <f t="shared" si="301"/>
        <v>422924.26786518696</v>
      </c>
      <c r="BL169" s="31" t="str">
        <f t="shared" si="276"/>
        <v/>
      </c>
      <c r="BM169" s="31">
        <f t="shared" si="277"/>
        <v>422924.26786518696</v>
      </c>
      <c r="BN169" s="200"/>
      <c r="BP169" s="295" t="s">
        <v>1447</v>
      </c>
      <c r="BQ169" s="296" t="str">
        <f t="shared" si="281"/>
        <v>Y</v>
      </c>
      <c r="BR169" s="297" t="s">
        <v>1448</v>
      </c>
      <c r="BT169" s="295" t="str">
        <f t="shared" si="282"/>
        <v>Y</v>
      </c>
      <c r="BU169" s="296" t="str">
        <f t="shared" si="278"/>
        <v>N</v>
      </c>
      <c r="BV169" s="296" t="str">
        <f t="shared" si="279"/>
        <v>Y</v>
      </c>
      <c r="BW169" s="297" t="str">
        <f t="shared" si="283"/>
        <v>Y</v>
      </c>
      <c r="BY169" s="352">
        <f t="shared" si="284"/>
        <v>0.85</v>
      </c>
      <c r="BZ169" s="353">
        <f t="shared" si="285"/>
        <v>0</v>
      </c>
      <c r="CA169" s="353">
        <f t="shared" si="286"/>
        <v>0</v>
      </c>
      <c r="CB169" s="354">
        <f t="shared" si="287"/>
        <v>0.85</v>
      </c>
      <c r="CD169" s="311">
        <f t="shared" si="288"/>
        <v>164</v>
      </c>
    </row>
    <row r="170" spans="1:82" outlineLevel="1" x14ac:dyDescent="0.3">
      <c r="A170" s="1">
        <v>70280000</v>
      </c>
      <c r="B170" s="47">
        <f>VLOOKUP(C170,'NCES ID'!$A$2:$B$3136,2,FALSE)</f>
        <v>401870</v>
      </c>
      <c r="C170" s="47">
        <f>VLOOKUP(A170,'State ID'!$A$2:$B$713,2,FALSE)</f>
        <v>4242</v>
      </c>
      <c r="D170" s="147" t="s">
        <v>101</v>
      </c>
      <c r="E170" s="47" t="s">
        <v>7</v>
      </c>
      <c r="F170" s="382">
        <f>IFERROR(VLOOKUP($B170,'update_Formula counts'!$D$7:$R$234,'update_Formula counts'!F$5,0),0)</f>
        <v>5344</v>
      </c>
      <c r="G170" s="382">
        <f>IFERROR(VLOOKUP($B170,'update_Formula counts'!$D$7:$R$234,'update_Formula counts'!G$5,0),0)</f>
        <v>22</v>
      </c>
      <c r="H170" s="382">
        <f>IFERROR(VLOOKUP($B170,'update_Formula counts'!$D$7:$R$234,'update_Formula counts'!H$5,0),0)</f>
        <v>0</v>
      </c>
      <c r="I170" s="382">
        <f>IFERROR(VLOOKUP($B170,'update_Formula counts'!$D$7:$R$234,'update_Formula counts'!I$5,0),0)</f>
        <v>242</v>
      </c>
      <c r="J170" s="382">
        <f>IFERROR(VLOOKUP($B170,'update_Formula counts'!$D$7:$R$234,'update_Formula counts'!J$5,0),0)</f>
        <v>0</v>
      </c>
      <c r="K170" s="382">
        <f t="shared" si="289"/>
        <v>5366</v>
      </c>
      <c r="L170" s="444">
        <f>IFERROR(VLOOKUP($B170,'update_Formula counts'!$D$7:$R$234,'update_Formula counts'!L$5,0),0)</f>
        <v>46137</v>
      </c>
      <c r="M170" s="445">
        <f>IFERROR(VLOOKUP($B170,'update_Formula counts'!$D$7:$R$234,'update_Formula counts'!K$5,0),0)</f>
        <v>5608</v>
      </c>
      <c r="N170" s="446">
        <f>IFERROR(VLOOKUP($B170,'update_Formula counts'!$D$7:$R$234,'update_Formula counts'!M$5,0),0)</f>
        <v>0.12155103279363634</v>
      </c>
      <c r="O170" s="137">
        <f>VLOOKUP($C170,'Final SEA Counts'!$A$2:$F$709,5,FALSE)</f>
        <v>39390</v>
      </c>
      <c r="P170" s="208">
        <f>VLOOKUP($C170,'Final SEA Counts'!$A$2:$F$709,6,FALSE)</f>
        <v>10776</v>
      </c>
      <c r="Q170" s="748">
        <f t="shared" si="290"/>
        <v>-674.75111717231118</v>
      </c>
      <c r="R170" s="444">
        <f t="shared" si="291"/>
        <v>41871.043717681387</v>
      </c>
      <c r="S170" s="445">
        <f t="shared" si="254"/>
        <v>4933.2488828276892</v>
      </c>
      <c r="T170" s="229">
        <f t="shared" si="255"/>
        <v>0.11782005999397782</v>
      </c>
      <c r="U170" s="261">
        <f>VLOOKUP($B170,update_Allocation!$D$8:$Q$235,update_Allocation!K$239,0)</f>
        <v>2651967.3651572727</v>
      </c>
      <c r="V170" s="262">
        <f>VLOOKUP($B170,update_Allocation!$D$8:$Q$235,update_Allocation!L$239,0)</f>
        <v>0</v>
      </c>
      <c r="W170" s="262">
        <f>VLOOKUP($B170,update_Allocation!$D$8:$Q$235,update_Allocation!M$239,0)</f>
        <v>1389986.4393309371</v>
      </c>
      <c r="X170" s="262">
        <f>VLOOKUP($B170,update_Allocation!$D$8:$Q$235,update_Allocation!N$239,0)</f>
        <v>1170934.9858244176</v>
      </c>
      <c r="Y170" s="263">
        <f>VLOOKUP($B170,update_Allocation!$D$8:$Q$235,update_Allocation!O$239,0)</f>
        <v>5212888.7903126273</v>
      </c>
      <c r="Z170" s="262">
        <f t="shared" si="292"/>
        <v>2337307.5269562905</v>
      </c>
      <c r="AA170" s="262" t="str">
        <f t="shared" si="293"/>
        <v/>
      </c>
      <c r="AB170" s="262">
        <f t="shared" si="294"/>
        <v>1225353.9972414786</v>
      </c>
      <c r="AC170" s="263">
        <f t="shared" si="295"/>
        <v>1032852.6274395938</v>
      </c>
      <c r="AD170" s="262">
        <f t="shared" si="260"/>
        <v>2337307.5269562905</v>
      </c>
      <c r="AE170" s="262" t="str">
        <f t="shared" si="261"/>
        <v/>
      </c>
      <c r="AF170" s="262">
        <f t="shared" si="262"/>
        <v>1225353.9972414786</v>
      </c>
      <c r="AG170" s="263">
        <f t="shared" si="263"/>
        <v>1032852.6274395938</v>
      </c>
      <c r="AH170" s="262">
        <f t="shared" si="296"/>
        <v>2337307.5269562905</v>
      </c>
      <c r="AI170" s="262" t="str">
        <f t="shared" si="297"/>
        <v/>
      </c>
      <c r="AJ170" s="262">
        <f t="shared" si="298"/>
        <v>1225379.337886699</v>
      </c>
      <c r="AK170" s="262">
        <f t="shared" si="299"/>
        <v>1032876.2162515592</v>
      </c>
      <c r="AL170" s="263">
        <f t="shared" si="268"/>
        <v>4595563.081094549</v>
      </c>
      <c r="AM170" s="346"/>
      <c r="AN170" s="261">
        <f>IFERROR(VLOOKUP($A170,'HH &amp; SI'!$B$4:$Z$494,'HH &amp; SI'!V$503,0),0)</f>
        <v>2305425.1352272206</v>
      </c>
      <c r="AO170" s="262">
        <f>IFERROR(VLOOKUP($A170,'HH &amp; SI'!$B$4:$Z$494,'HH &amp; SI'!W$503,0),0)</f>
        <v>0</v>
      </c>
      <c r="AP170" s="262">
        <f>IFERROR(VLOOKUP($A170,'HH &amp; SI'!$B$4:$Z$494,'HH &amp; SI'!X$503,0),0)</f>
        <v>1214234.9912398923</v>
      </c>
      <c r="AQ170" s="262">
        <f>IFERROR(VLOOKUP($A170,'HH &amp; SI'!$B$4:$Z$494,'HH &amp; SI'!Y$503,0),0)</f>
        <v>1021495.7796206306</v>
      </c>
      <c r="AR170" s="263">
        <f t="shared" si="269"/>
        <v>4541155.9060877431</v>
      </c>
      <c r="AS170" s="346"/>
      <c r="AT170" s="323">
        <f>IFERROR(VLOOKUP(A170,'Afton FY16 Final'!$A$5:$BV$572,'Afton FY16 Final'!$BV$587,0),0)</f>
        <v>4152134.965745064</v>
      </c>
      <c r="AU170" s="346"/>
      <c r="AV170" s="444">
        <v>0</v>
      </c>
      <c r="AW170" s="262">
        <f>IFERROR(VLOOKUP($A170,'HH &amp; SI'!$B$4:$EY$503,'HH &amp; SI'!EX$503,0),0)</f>
        <v>254364.22425648477</v>
      </c>
      <c r="AX170" s="262">
        <f>IFERROR(VLOOKUP($A170,'HH &amp; SI'!$B$4:$EY$503,'HH &amp; SI'!EY$503,0),0)</f>
        <v>4286791.6818312583</v>
      </c>
      <c r="AY170" s="262">
        <f>AX170/$AX$582*'update_State Admin 1004(b)'!$B$30*0.01</f>
        <v>41027.675891274077</v>
      </c>
      <c r="AZ170" s="263">
        <f t="shared" si="270"/>
        <v>4245764.0059399847</v>
      </c>
      <c r="BA170" s="261">
        <f t="shared" si="271"/>
        <v>42457.640059399848</v>
      </c>
      <c r="BB170" s="262">
        <f t="shared" si="272"/>
        <v>4203306.3658805853</v>
      </c>
      <c r="BC170" s="341">
        <f t="shared" si="280"/>
        <v>1.0123241177268281</v>
      </c>
      <c r="BD170" s="346"/>
      <c r="BE170" s="376" t="str">
        <f>'Original Title I &amp; II'!AZ170</f>
        <v/>
      </c>
      <c r="BF170" s="243" t="str">
        <f t="shared" si="300"/>
        <v/>
      </c>
      <c r="BG170" s="263">
        <f t="shared" si="250"/>
        <v>4203306.3658805853</v>
      </c>
      <c r="BI170" s="31">
        <f>IFERROR(VLOOKUP(A170,'Title II Hold Harmless'!A$1:B$439,2, FALSE),"")</f>
        <v>503936</v>
      </c>
      <c r="BJ170" s="31">
        <f t="shared" si="274"/>
        <v>602214.43350112345</v>
      </c>
      <c r="BK170" s="31">
        <f t="shared" si="301"/>
        <v>602797.01084163797</v>
      </c>
      <c r="BL170" s="31" t="str">
        <f t="shared" si="276"/>
        <v/>
      </c>
      <c r="BM170" s="31">
        <f t="shared" si="277"/>
        <v>602797.01084163797</v>
      </c>
      <c r="BN170" s="200"/>
      <c r="BP170" s="295" t="s">
        <v>1447</v>
      </c>
      <c r="BQ170" s="296" t="str">
        <f t="shared" si="281"/>
        <v>Y</v>
      </c>
      <c r="BR170" s="297" t="s">
        <v>1448</v>
      </c>
      <c r="BT170" s="295" t="str">
        <f t="shared" si="282"/>
        <v>Y</v>
      </c>
      <c r="BU170" s="296" t="str">
        <f t="shared" si="278"/>
        <v>N</v>
      </c>
      <c r="BV170" s="296" t="str">
        <f t="shared" si="279"/>
        <v>Y</v>
      </c>
      <c r="BW170" s="297" t="str">
        <f t="shared" si="283"/>
        <v>Y</v>
      </c>
      <c r="BY170" s="352">
        <f t="shared" si="284"/>
        <v>0.85</v>
      </c>
      <c r="BZ170" s="353">
        <f t="shared" si="285"/>
        <v>0</v>
      </c>
      <c r="CA170" s="353">
        <f t="shared" si="286"/>
        <v>0</v>
      </c>
      <c r="CB170" s="354">
        <f t="shared" si="287"/>
        <v>0.85</v>
      </c>
      <c r="CD170" s="311">
        <f t="shared" si="288"/>
        <v>165</v>
      </c>
    </row>
    <row r="171" spans="1:82" outlineLevel="1" x14ac:dyDescent="0.3">
      <c r="A171" s="1">
        <v>70297000</v>
      </c>
      <c r="B171" s="47">
        <f>VLOOKUP(C171,'NCES ID'!$A$2:$B$3136,2,FALSE)</f>
        <v>407750</v>
      </c>
      <c r="C171" s="47">
        <f>VLOOKUP(A171,'State ID'!$A$2:$B$713,2,FALSE)</f>
        <v>4246</v>
      </c>
      <c r="D171" s="147" t="s">
        <v>127</v>
      </c>
      <c r="E171" s="47" t="s">
        <v>7</v>
      </c>
      <c r="F171" s="382">
        <f>IFERROR(VLOOKUP($B171,'update_Formula counts'!$D$7:$R$234,'update_Formula counts'!F$5,0),0)</f>
        <v>5514</v>
      </c>
      <c r="G171" s="382">
        <f>IFERROR(VLOOKUP($B171,'update_Formula counts'!$D$7:$R$234,'update_Formula counts'!G$5,0),0)</f>
        <v>169</v>
      </c>
      <c r="H171" s="382">
        <f>IFERROR(VLOOKUP($B171,'update_Formula counts'!$D$7:$R$234,'update_Formula counts'!H$5,0),0)</f>
        <v>0</v>
      </c>
      <c r="I171" s="382">
        <f>IFERROR(VLOOKUP($B171,'update_Formula counts'!$D$7:$R$234,'update_Formula counts'!I$5,0),0)</f>
        <v>249</v>
      </c>
      <c r="J171" s="382">
        <f>IFERROR(VLOOKUP($B171,'update_Formula counts'!$D$7:$R$234,'update_Formula counts'!J$5,0),0)</f>
        <v>0</v>
      </c>
      <c r="K171" s="382">
        <f t="shared" si="289"/>
        <v>5683</v>
      </c>
      <c r="L171" s="444">
        <f>IFERROR(VLOOKUP($B171,'update_Formula counts'!$D$7:$R$234,'update_Formula counts'!L$5,0),0)</f>
        <v>48660</v>
      </c>
      <c r="M171" s="445">
        <f>IFERROR(VLOOKUP($B171,'update_Formula counts'!$D$7:$R$234,'update_Formula counts'!K$5,0),0)</f>
        <v>5932</v>
      </c>
      <c r="N171" s="446">
        <f>IFERROR(VLOOKUP($B171,'update_Formula counts'!$D$7:$R$234,'update_Formula counts'!M$5,0),0)</f>
        <v>0.12190711056309084</v>
      </c>
      <c r="O171" s="137">
        <f>VLOOKUP($C171,'Final SEA Counts'!$A$2:$F$709,5,FALSE)</f>
        <v>30855</v>
      </c>
      <c r="P171" s="208">
        <f>VLOOKUP($C171,'Final SEA Counts'!$A$2:$F$709,6,FALSE)</f>
        <v>9054</v>
      </c>
      <c r="Q171" s="748">
        <f t="shared" si="290"/>
        <v>-695.92141362980146</v>
      </c>
      <c r="R171" s="444">
        <f t="shared" si="291"/>
        <v>44160.760068976662</v>
      </c>
      <c r="S171" s="445">
        <f t="shared" si="254"/>
        <v>5236.0785863701985</v>
      </c>
      <c r="T171" s="229">
        <f t="shared" si="255"/>
        <v>0.11856857939473264</v>
      </c>
      <c r="U171" s="261">
        <f>VLOOKUP($B171,update_Allocation!$D$8:$Q$235,update_Allocation!K$239,0)</f>
        <v>2805183.7393211382</v>
      </c>
      <c r="V171" s="262">
        <f>VLOOKUP($B171,update_Allocation!$D$8:$Q$235,update_Allocation!L$239,0)</f>
        <v>0</v>
      </c>
      <c r="W171" s="262">
        <f>VLOOKUP($B171,update_Allocation!$D$8:$Q$235,update_Allocation!M$239,0)</f>
        <v>1482466.6706247865</v>
      </c>
      <c r="X171" s="262">
        <f>VLOOKUP($B171,update_Allocation!$D$8:$Q$235,update_Allocation!N$239,0)</f>
        <v>1251647.1269615202</v>
      </c>
      <c r="Y171" s="263">
        <f>VLOOKUP($B171,update_Allocation!$D$8:$Q$235,update_Allocation!O$239,0)</f>
        <v>5539297.5369074447</v>
      </c>
      <c r="Z171" s="262">
        <f t="shared" si="292"/>
        <v>2472344.5524081164</v>
      </c>
      <c r="AA171" s="262" t="str">
        <f t="shared" si="293"/>
        <v/>
      </c>
      <c r="AB171" s="262">
        <f t="shared" si="294"/>
        <v>1306880.7070533251</v>
      </c>
      <c r="AC171" s="263">
        <f t="shared" si="295"/>
        <v>1104046.7996600419</v>
      </c>
      <c r="AD171" s="262">
        <f t="shared" si="260"/>
        <v>2472344.5524081164</v>
      </c>
      <c r="AE171" s="262" t="str">
        <f t="shared" si="261"/>
        <v/>
      </c>
      <c r="AF171" s="262">
        <f t="shared" si="262"/>
        <v>1306880.7070533251</v>
      </c>
      <c r="AG171" s="263">
        <f t="shared" si="263"/>
        <v>1104046.7996600419</v>
      </c>
      <c r="AH171" s="262">
        <f t="shared" si="296"/>
        <v>2472344.5524081164</v>
      </c>
      <c r="AI171" s="262" t="str">
        <f t="shared" si="297"/>
        <v/>
      </c>
      <c r="AJ171" s="262">
        <f t="shared" si="298"/>
        <v>1306906.0476985455</v>
      </c>
      <c r="AK171" s="262">
        <f t="shared" si="299"/>
        <v>1104070.3884720074</v>
      </c>
      <c r="AL171" s="263">
        <f t="shared" si="268"/>
        <v>4883320.9885786697</v>
      </c>
      <c r="AM171" s="346"/>
      <c r="AN171" s="261">
        <f>IFERROR(VLOOKUP($A171,'HH &amp; SI'!$B$4:$Z$494,'HH &amp; SI'!V$503,0),0)</f>
        <v>2438620.1680042571</v>
      </c>
      <c r="AO171" s="262">
        <f>IFERROR(VLOOKUP($A171,'HH &amp; SI'!$B$4:$Z$494,'HH &amp; SI'!W$503,0),0)</f>
        <v>0</v>
      </c>
      <c r="AP171" s="262">
        <f>IFERROR(VLOOKUP($A171,'HH &amp; SI'!$B$4:$Z$494,'HH &amp; SI'!X$503,0),0)</f>
        <v>1295020.2474569003</v>
      </c>
      <c r="AQ171" s="262">
        <f>IFERROR(VLOOKUP($A171,'HH &amp; SI'!$B$4:$Z$494,'HH &amp; SI'!Y$503,0),0)</f>
        <v>1091905.5202192657</v>
      </c>
      <c r="AR171" s="263">
        <f t="shared" si="269"/>
        <v>4825545.9356804229</v>
      </c>
      <c r="AS171" s="346"/>
      <c r="AT171" s="323">
        <f>IFERROR(VLOOKUP(A171,'Afton FY16 Final'!$A$5:$BV$572,'Afton FY16 Final'!$BV$587,0),0)</f>
        <v>4257618.3078964883</v>
      </c>
      <c r="AU171" s="346"/>
      <c r="AV171" s="444">
        <v>0</v>
      </c>
      <c r="AW171" s="262">
        <f>IFERROR(VLOOKUP($A171,'HH &amp; SI'!$B$4:$EY$503,'HH &amp; SI'!EX$503,0),0)</f>
        <v>270293.79169693589</v>
      </c>
      <c r="AX171" s="262">
        <f>IFERROR(VLOOKUP($A171,'HH &amp; SI'!$B$4:$EY$503,'HH &amp; SI'!EY$503,0),0)</f>
        <v>4555252.143983487</v>
      </c>
      <c r="AY171" s="262">
        <f>AX171/$AX$582*'update_State Admin 1004(b)'!$B$30*0.01</f>
        <v>43597.035367612829</v>
      </c>
      <c r="AZ171" s="263">
        <f t="shared" si="270"/>
        <v>4511655.1086158743</v>
      </c>
      <c r="BA171" s="261">
        <f t="shared" si="271"/>
        <v>45116.551086158746</v>
      </c>
      <c r="BB171" s="262">
        <f t="shared" si="272"/>
        <v>4466538.5575297158</v>
      </c>
      <c r="BC171" s="341">
        <f t="shared" si="280"/>
        <v>1.0490697461643634</v>
      </c>
      <c r="BD171" s="346"/>
      <c r="BE171" s="376" t="str">
        <f>'Original Title I &amp; II'!AZ171</f>
        <v/>
      </c>
      <c r="BF171" s="243" t="str">
        <f t="shared" si="300"/>
        <v/>
      </c>
      <c r="BG171" s="263">
        <f t="shared" si="250"/>
        <v>4466538.5575297158</v>
      </c>
      <c r="BI171" s="31">
        <f>IFERROR(VLOOKUP(A171,'Title II Hold Harmless'!A$1:B$439,2, FALSE),"")</f>
        <v>468680</v>
      </c>
      <c r="BJ171" s="31">
        <f t="shared" si="274"/>
        <v>572765.50758721645</v>
      </c>
      <c r="BK171" s="31">
        <f t="shared" si="301"/>
        <v>573319.59627653705</v>
      </c>
      <c r="BL171" s="31" t="str">
        <f t="shared" si="276"/>
        <v/>
      </c>
      <c r="BM171" s="31">
        <f t="shared" si="277"/>
        <v>573319.59627653705</v>
      </c>
      <c r="BN171" s="200"/>
      <c r="BP171" s="295" t="s">
        <v>1447</v>
      </c>
      <c r="BQ171" s="296" t="str">
        <f t="shared" si="281"/>
        <v>Y</v>
      </c>
      <c r="BR171" s="297" t="s">
        <v>1448</v>
      </c>
      <c r="BT171" s="295" t="str">
        <f t="shared" si="282"/>
        <v>Y</v>
      </c>
      <c r="BU171" s="296" t="str">
        <f t="shared" si="278"/>
        <v>N</v>
      </c>
      <c r="BV171" s="296" t="str">
        <f t="shared" si="279"/>
        <v>Y</v>
      </c>
      <c r="BW171" s="297" t="str">
        <f t="shared" si="283"/>
        <v>Y</v>
      </c>
      <c r="BY171" s="352">
        <f t="shared" si="284"/>
        <v>0.85</v>
      </c>
      <c r="BZ171" s="353">
        <f t="shared" si="285"/>
        <v>0</v>
      </c>
      <c r="CA171" s="353">
        <f t="shared" si="286"/>
        <v>0</v>
      </c>
      <c r="CB171" s="354">
        <f t="shared" si="287"/>
        <v>0.85</v>
      </c>
      <c r="CD171" s="311">
        <f t="shared" si="288"/>
        <v>166</v>
      </c>
    </row>
    <row r="172" spans="1:82" outlineLevel="1" x14ac:dyDescent="0.3">
      <c r="A172" s="1">
        <v>70204000</v>
      </c>
      <c r="B172" s="47">
        <f>VLOOKUP(C172,'NCES ID'!$A$2:$B$3136,2,FALSE)</f>
        <v>404970</v>
      </c>
      <c r="C172" s="47">
        <f>VLOOKUP(A172,'State ID'!$A$2:$B$713,2,FALSE)</f>
        <v>4235</v>
      </c>
      <c r="D172" s="147" t="s">
        <v>282</v>
      </c>
      <c r="E172" s="47" t="s">
        <v>7</v>
      </c>
      <c r="F172" s="382">
        <f>IFERROR(VLOOKUP($B172,'update_Formula counts'!$D$7:$R$234,'update_Formula counts'!F$5,0),0)</f>
        <v>19794</v>
      </c>
      <c r="G172" s="382">
        <f>IFERROR(VLOOKUP($B172,'update_Formula counts'!$D$7:$R$234,'update_Formula counts'!G$5,0),0)</f>
        <v>228</v>
      </c>
      <c r="H172" s="382">
        <f>IFERROR(VLOOKUP($B172,'update_Formula counts'!$D$7:$R$234,'update_Formula counts'!H$5,0),0)</f>
        <v>0</v>
      </c>
      <c r="I172" s="382">
        <f>IFERROR(VLOOKUP($B172,'update_Formula counts'!$D$7:$R$234,'update_Formula counts'!I$5,0),0)</f>
        <v>895</v>
      </c>
      <c r="J172" s="382">
        <f>IFERROR(VLOOKUP($B172,'update_Formula counts'!$D$7:$R$234,'update_Formula counts'!J$5,0),0)</f>
        <v>0</v>
      </c>
      <c r="K172" s="382">
        <f t="shared" si="289"/>
        <v>20022</v>
      </c>
      <c r="L172" s="444">
        <f>IFERROR(VLOOKUP($B172,'update_Formula counts'!$D$7:$R$234,'update_Formula counts'!L$5,0),0)</f>
        <v>82498</v>
      </c>
      <c r="M172" s="445">
        <f>IFERROR(VLOOKUP($B172,'update_Formula counts'!$D$7:$R$234,'update_Formula counts'!K$5,0),0)</f>
        <v>20917</v>
      </c>
      <c r="N172" s="446">
        <f>IFERROR(VLOOKUP($B172,'update_Formula counts'!$D$7:$R$234,'update_Formula counts'!M$5,0),0)</f>
        <v>0.25354554049795147</v>
      </c>
      <c r="O172" s="137">
        <f>VLOOKUP($C172,'Final SEA Counts'!$A$2:$F$709,5,FALSE)</f>
        <v>59855</v>
      </c>
      <c r="P172" s="208">
        <f>VLOOKUP($C172,'Final SEA Counts'!$A$2:$F$709,6,FALSE)</f>
        <v>36204</v>
      </c>
      <c r="Q172" s="748">
        <f t="shared" si="290"/>
        <v>-2498.9623580523062</v>
      </c>
      <c r="R172" s="444">
        <f t="shared" si="291"/>
        <v>74870.003784842513</v>
      </c>
      <c r="S172" s="445">
        <f t="shared" si="254"/>
        <v>18418.037641947692</v>
      </c>
      <c r="T172" s="229">
        <f t="shared" si="255"/>
        <v>0.24600022319855203</v>
      </c>
      <c r="U172" s="261">
        <f>VLOOKUP($B172,update_Allocation!$D$8:$Q$235,update_Allocation!K$239,0)</f>
        <v>9891441.0443999078</v>
      </c>
      <c r="V172" s="262">
        <f>VLOOKUP($B172,update_Allocation!$D$8:$Q$235,update_Allocation!L$239,0)</f>
        <v>2356231.7263542181</v>
      </c>
      <c r="W172" s="262">
        <f>VLOOKUP($B172,update_Allocation!$D$8:$Q$235,update_Allocation!M$239,0)</f>
        <v>6692043.650438658</v>
      </c>
      <c r="X172" s="262">
        <f>VLOOKUP($B172,update_Allocation!$D$8:$Q$235,update_Allocation!N$239,0)</f>
        <v>6612029.3892707201</v>
      </c>
      <c r="Y172" s="263">
        <f>VLOOKUP($B172,update_Allocation!$D$8:$Q$235,update_Allocation!O$239,0)</f>
        <v>25551745.810463503</v>
      </c>
      <c r="Z172" s="262">
        <f t="shared" si="292"/>
        <v>8717806.9795550536</v>
      </c>
      <c r="AA172" s="262">
        <f t="shared" si="293"/>
        <v>2077668.5592892482</v>
      </c>
      <c r="AB172" s="262">
        <f t="shared" si="294"/>
        <v>5899426.2136302236</v>
      </c>
      <c r="AC172" s="263">
        <f t="shared" si="295"/>
        <v>5832306.6695353882</v>
      </c>
      <c r="AD172" s="262">
        <f t="shared" si="260"/>
        <v>8717806.9795550536</v>
      </c>
      <c r="AE172" s="262">
        <f t="shared" si="261"/>
        <v>2077668.5592892482</v>
      </c>
      <c r="AF172" s="262">
        <f t="shared" si="262"/>
        <v>5899426.2136302236</v>
      </c>
      <c r="AG172" s="263">
        <f t="shared" si="263"/>
        <v>5832306.6695353882</v>
      </c>
      <c r="AH172" s="262">
        <f t="shared" si="296"/>
        <v>8717806.9795550536</v>
      </c>
      <c r="AI172" s="262">
        <f t="shared" si="297"/>
        <v>2079799.3806720788</v>
      </c>
      <c r="AJ172" s="262">
        <f t="shared" si="298"/>
        <v>5899451.5542754438</v>
      </c>
      <c r="AK172" s="262">
        <f t="shared" si="299"/>
        <v>5832330.2583473539</v>
      </c>
      <c r="AL172" s="263">
        <f t="shared" si="268"/>
        <v>22529388.172849931</v>
      </c>
      <c r="AM172" s="346"/>
      <c r="AN172" s="261">
        <f>IFERROR(VLOOKUP($A172,'HH &amp; SI'!$B$4:$Z$494,'HH &amp; SI'!V$503,0),0)</f>
        <v>8598890.4339421857</v>
      </c>
      <c r="AO172" s="262">
        <f>IFERROR(VLOOKUP($A172,'HH &amp; SI'!$B$4:$Z$494,'HH &amp; SI'!W$503,0),0)</f>
        <v>2011298.3930173989</v>
      </c>
      <c r="AP172" s="262">
        <f>IFERROR(VLOOKUP($A172,'HH &amp; SI'!$B$4:$Z$494,'HH &amp; SI'!X$503,0),0)</f>
        <v>5845798.3457430778</v>
      </c>
      <c r="AQ172" s="262">
        <f>IFERROR(VLOOKUP($A172,'HH &amp; SI'!$B$4:$Z$494,'HH &amp; SI'!Y$503,0),0)</f>
        <v>5768068.4776311219</v>
      </c>
      <c r="AR172" s="263">
        <f t="shared" si="269"/>
        <v>22224055.650333785</v>
      </c>
      <c r="AS172" s="346"/>
      <c r="AT172" s="323">
        <f>IFERROR(VLOOKUP(A172,'Afton FY16 Final'!$A$5:$BV$572,'Afton FY16 Final'!$BV$587,0),0)</f>
        <v>19703990.822814971</v>
      </c>
      <c r="AU172" s="346"/>
      <c r="AV172" s="444">
        <v>0</v>
      </c>
      <c r="AW172" s="262">
        <f>IFERROR(VLOOKUP($A172,'HH &amp; SI'!$B$4:$EY$503,'HH &amp; SI'!EX$503,0),0)</f>
        <v>1244838.2729498111</v>
      </c>
      <c r="AX172" s="262">
        <f>IFERROR(VLOOKUP($A172,'HH &amp; SI'!$B$4:$EY$503,'HH &amp; SI'!EY$503,0),0)</f>
        <v>20979217.377383973</v>
      </c>
      <c r="AY172" s="262">
        <f>AX172/$AX$582*'update_State Admin 1004(b)'!$B$30*0.01</f>
        <v>200786.18111067236</v>
      </c>
      <c r="AZ172" s="263">
        <f t="shared" si="270"/>
        <v>20778431.196273301</v>
      </c>
      <c r="BA172" s="261">
        <f t="shared" si="271"/>
        <v>207784.31196273302</v>
      </c>
      <c r="BB172" s="262">
        <f t="shared" si="272"/>
        <v>20570646.88431057</v>
      </c>
      <c r="BC172" s="341">
        <f t="shared" si="280"/>
        <v>1.0439837832492345</v>
      </c>
      <c r="BD172" s="346"/>
      <c r="BE172" s="376" t="str">
        <f>'Original Title I &amp; II'!AZ172</f>
        <v/>
      </c>
      <c r="BF172" s="243" t="str">
        <f t="shared" si="300"/>
        <v/>
      </c>
      <c r="BG172" s="263">
        <f t="shared" si="250"/>
        <v>20570646.88431057</v>
      </c>
      <c r="BI172" s="31">
        <f>IFERROR(VLOOKUP(A172,'Title II Hold Harmless'!A$1:B$439,2, FALSE),"")</f>
        <v>1953065</v>
      </c>
      <c r="BJ172" s="31">
        <f t="shared" si="274"/>
        <v>2254428.9055756354</v>
      </c>
      <c r="BK172" s="31">
        <f t="shared" si="301"/>
        <v>2256609.821746232</v>
      </c>
      <c r="BL172" s="31" t="str">
        <f t="shared" si="276"/>
        <v/>
      </c>
      <c r="BM172" s="31">
        <f t="shared" si="277"/>
        <v>2256609.821746232</v>
      </c>
      <c r="BN172" s="200"/>
      <c r="BP172" s="295" t="s">
        <v>1447</v>
      </c>
      <c r="BQ172" s="296" t="str">
        <f t="shared" si="281"/>
        <v>Y</v>
      </c>
      <c r="BR172" s="297" t="s">
        <v>1448</v>
      </c>
      <c r="BT172" s="295" t="str">
        <f t="shared" si="282"/>
        <v>Y</v>
      </c>
      <c r="BU172" s="296" t="str">
        <f t="shared" si="278"/>
        <v>Y</v>
      </c>
      <c r="BV172" s="296" t="str">
        <f t="shared" si="279"/>
        <v>Y</v>
      </c>
      <c r="BW172" s="297" t="str">
        <f t="shared" si="283"/>
        <v>Y</v>
      </c>
      <c r="BY172" s="352">
        <f t="shared" si="284"/>
        <v>0</v>
      </c>
      <c r="BZ172" s="353">
        <f t="shared" si="285"/>
        <v>0.9</v>
      </c>
      <c r="CA172" s="353">
        <f t="shared" si="286"/>
        <v>0</v>
      </c>
      <c r="CB172" s="354">
        <f t="shared" si="287"/>
        <v>0.9</v>
      </c>
      <c r="CD172" s="311">
        <f t="shared" si="288"/>
        <v>167</v>
      </c>
    </row>
    <row r="173" spans="1:82" outlineLevel="1" x14ac:dyDescent="0.3">
      <c r="A173" s="1">
        <v>70386000</v>
      </c>
      <c r="B173" s="47">
        <f>VLOOKUP(C173,'NCES ID'!$A$2:$B$3136,2,FALSE)</f>
        <v>405100</v>
      </c>
      <c r="C173" s="47">
        <f>VLOOKUP(A173,'State ID'!$A$2:$B$713,2,FALSE)</f>
        <v>4253</v>
      </c>
      <c r="D173" s="147" t="s">
        <v>499</v>
      </c>
      <c r="E173" s="47" t="s">
        <v>7</v>
      </c>
      <c r="F173" s="382">
        <f>IFERROR(VLOOKUP($B173,'update_Formula counts'!$D$7:$R$234,'update_Formula counts'!F$5,0),0)</f>
        <v>2</v>
      </c>
      <c r="G173" s="382">
        <f>IFERROR(VLOOKUP($B173,'update_Formula counts'!$D$7:$R$234,'update_Formula counts'!G$5,0),0)</f>
        <v>0</v>
      </c>
      <c r="H173" s="382">
        <f>IFERROR(VLOOKUP($B173,'update_Formula counts'!$D$7:$R$234,'update_Formula counts'!H$5,0),0)</f>
        <v>0</v>
      </c>
      <c r="I173" s="382">
        <f>IFERROR(VLOOKUP($B173,'update_Formula counts'!$D$7:$R$234,'update_Formula counts'!I$5,0),0)</f>
        <v>0</v>
      </c>
      <c r="J173" s="382">
        <f>IFERROR(VLOOKUP($B173,'update_Formula counts'!$D$7:$R$234,'update_Formula counts'!J$5,0),0)</f>
        <v>0</v>
      </c>
      <c r="K173" s="382">
        <f t="shared" si="289"/>
        <v>2</v>
      </c>
      <c r="L173" s="444">
        <f>IFERROR(VLOOKUP($B173,'update_Formula counts'!$D$7:$R$234,'update_Formula counts'!L$5,0),0)</f>
        <v>25</v>
      </c>
      <c r="M173" s="445">
        <f>IFERROR(VLOOKUP($B173,'update_Formula counts'!$D$7:$R$234,'update_Formula counts'!K$5,0),0)</f>
        <v>2</v>
      </c>
      <c r="N173" s="446">
        <f>IFERROR(VLOOKUP($B173,'update_Formula counts'!$D$7:$R$234,'update_Formula counts'!M$5,0),0)</f>
        <v>0.08</v>
      </c>
      <c r="O173" s="137">
        <f>VLOOKUP($C173,'Final SEA Counts'!$A$2:$F$709,5,FALSE)</f>
        <v>15</v>
      </c>
      <c r="P173" s="208">
        <f>VLOOKUP($C173,'Final SEA Counts'!$A$2:$F$709,6,FALSE)</f>
        <v>14</v>
      </c>
      <c r="Q173" s="748">
        <f t="shared" si="290"/>
        <v>-0.25272643421829311</v>
      </c>
      <c r="R173" s="444">
        <f t="shared" si="291"/>
        <v>22.688429957345186</v>
      </c>
      <c r="S173" s="445">
        <f t="shared" si="254"/>
        <v>1.7472735657817069</v>
      </c>
      <c r="T173" s="229">
        <f t="shared" si="255"/>
        <v>7.7011656120173355E-2</v>
      </c>
      <c r="U173" s="261">
        <f>VLOOKUP($B173,update_Allocation!$D$8:$Q$235,update_Allocation!K$239,0)</f>
        <v>0</v>
      </c>
      <c r="V173" s="262">
        <f>VLOOKUP($B173,update_Allocation!$D$8:$Q$235,update_Allocation!L$239,0)</f>
        <v>1068.4014810765896</v>
      </c>
      <c r="W173" s="262">
        <f>VLOOKUP($B173,update_Allocation!$D$8:$Q$235,update_Allocation!M$239,0)</f>
        <v>0</v>
      </c>
      <c r="X173" s="262">
        <f>VLOOKUP($B173,update_Allocation!$D$8:$Q$235,update_Allocation!N$239,0)</f>
        <v>0</v>
      </c>
      <c r="Y173" s="263">
        <f>VLOOKUP($B173,update_Allocation!$D$8:$Q$235,update_Allocation!O$239,0)</f>
        <v>1068.4014810765896</v>
      </c>
      <c r="Z173" s="262" t="str">
        <f t="shared" si="292"/>
        <v/>
      </c>
      <c r="AA173" s="262">
        <f t="shared" si="293"/>
        <v>942.09077193165308</v>
      </c>
      <c r="AB173" s="262" t="str">
        <f t="shared" si="294"/>
        <v/>
      </c>
      <c r="AC173" s="263" t="str">
        <f t="shared" si="295"/>
        <v/>
      </c>
      <c r="AD173" s="262" t="str">
        <f t="shared" si="260"/>
        <v/>
      </c>
      <c r="AE173" s="262" t="str">
        <f t="shared" si="261"/>
        <v/>
      </c>
      <c r="AF173" s="262" t="str">
        <f t="shared" si="262"/>
        <v/>
      </c>
      <c r="AG173" s="263" t="str">
        <f t="shared" si="263"/>
        <v/>
      </c>
      <c r="AH173" s="262" t="str">
        <f t="shared" si="296"/>
        <v/>
      </c>
      <c r="AI173" s="262" t="str">
        <f t="shared" si="297"/>
        <v/>
      </c>
      <c r="AJ173" s="262" t="str">
        <f t="shared" si="298"/>
        <v/>
      </c>
      <c r="AK173" s="262" t="str">
        <f t="shared" si="299"/>
        <v/>
      </c>
      <c r="AL173" s="263">
        <f t="shared" si="268"/>
        <v>0</v>
      </c>
      <c r="AM173" s="346"/>
      <c r="AN173" s="261">
        <f>IFERROR(VLOOKUP($A173,'HH &amp; SI'!$B$4:$Z$494,'HH &amp; SI'!V$503,0),0)</f>
        <v>0</v>
      </c>
      <c r="AO173" s="262">
        <f>IFERROR(VLOOKUP($A173,'HH &amp; SI'!$B$4:$Z$494,'HH &amp; SI'!W$503,0),0)</f>
        <v>1505.7744984069811</v>
      </c>
      <c r="AP173" s="262">
        <f>IFERROR(VLOOKUP($A173,'HH &amp; SI'!$B$4:$Z$494,'HH &amp; SI'!X$503,0),0)</f>
        <v>0</v>
      </c>
      <c r="AQ173" s="262">
        <f>IFERROR(VLOOKUP($A173,'HH &amp; SI'!$B$4:$Z$494,'HH &amp; SI'!Y$503,0),0)</f>
        <v>0</v>
      </c>
      <c r="AR173" s="263">
        <f t="shared" si="269"/>
        <v>1505.7744984069811</v>
      </c>
      <c r="AS173" s="346"/>
      <c r="AT173" s="323">
        <f>IFERROR(VLOOKUP(A173,'Afton FY16 Final'!$A$5:$BV$572,'Afton FY16 Final'!$BV$587,0),0)</f>
        <v>1736.6185868031966</v>
      </c>
      <c r="AU173" s="346"/>
      <c r="AV173" s="444">
        <v>0</v>
      </c>
      <c r="AW173" s="262">
        <f>IFERROR(VLOOKUP($A173,'HH &amp; SI'!$B$4:$EY$503,'HH &amp; SI'!EX$503,0),0)</f>
        <v>0</v>
      </c>
      <c r="AX173" s="262">
        <f>IFERROR(VLOOKUP($A173,'HH &amp; SI'!$B$4:$EY$503,'HH &amp; SI'!EY$503,0),0)</f>
        <v>1505.7744984069811</v>
      </c>
      <c r="AY173" s="262">
        <f>AX173/$AX$582*'update_State Admin 1004(b)'!$B$30*0.01</f>
        <v>14.411343650736145</v>
      </c>
      <c r="AZ173" s="263">
        <f t="shared" si="270"/>
        <v>1491.363154756245</v>
      </c>
      <c r="BA173" s="261">
        <f t="shared" si="271"/>
        <v>14.913631547562449</v>
      </c>
      <c r="BB173" s="262">
        <f t="shared" si="272"/>
        <v>1476.4495232086824</v>
      </c>
      <c r="BC173" s="341">
        <f t="shared" si="280"/>
        <v>0.85018641078036672</v>
      </c>
      <c r="BD173" s="346"/>
      <c r="BE173" s="376" t="str">
        <f>'Original Title I &amp; II'!AZ173</f>
        <v/>
      </c>
      <c r="BF173" s="243" t="str">
        <f t="shared" si="300"/>
        <v/>
      </c>
      <c r="BG173" s="263">
        <f t="shared" si="250"/>
        <v>1476.4495232086824</v>
      </c>
      <c r="BI173" s="31">
        <f>IFERROR(VLOOKUP(A173,'Title II Hold Harmless'!A$1:B$439,2, FALSE),"")</f>
        <v>1120</v>
      </c>
      <c r="BJ173" s="31">
        <f t="shared" si="274"/>
        <v>1161.1330117024438</v>
      </c>
      <c r="BK173" s="31">
        <f t="shared" si="301"/>
        <v>1162.2562823255148</v>
      </c>
      <c r="BL173" s="31" t="str">
        <f t="shared" si="276"/>
        <v/>
      </c>
      <c r="BM173" s="31">
        <f t="shared" si="277"/>
        <v>1162.2562823255148</v>
      </c>
      <c r="BN173" s="200"/>
      <c r="BP173" s="295" t="s">
        <v>1447</v>
      </c>
      <c r="BQ173" s="296" t="str">
        <f t="shared" si="281"/>
        <v>Y</v>
      </c>
      <c r="BR173" s="297" t="s">
        <v>1448</v>
      </c>
      <c r="BT173" s="295" t="str">
        <f t="shared" si="282"/>
        <v>N</v>
      </c>
      <c r="BU173" s="296" t="str">
        <f t="shared" si="278"/>
        <v>N</v>
      </c>
      <c r="BV173" s="296" t="str">
        <f t="shared" si="279"/>
        <v>N</v>
      </c>
      <c r="BW173" s="297" t="str">
        <f t="shared" si="283"/>
        <v>N</v>
      </c>
      <c r="BY173" s="352">
        <f t="shared" si="284"/>
        <v>0.85</v>
      </c>
      <c r="BZ173" s="353">
        <f t="shared" si="285"/>
        <v>0</v>
      </c>
      <c r="CA173" s="353">
        <f t="shared" si="286"/>
        <v>0</v>
      </c>
      <c r="CB173" s="354">
        <f t="shared" si="287"/>
        <v>0.85</v>
      </c>
      <c r="CD173" s="311">
        <f t="shared" si="288"/>
        <v>168</v>
      </c>
    </row>
    <row r="174" spans="1:82" outlineLevel="1" x14ac:dyDescent="0.3">
      <c r="A174" s="1">
        <v>70371000</v>
      </c>
      <c r="B174" s="47">
        <f>VLOOKUP(C174,'NCES ID'!$A$2:$B$3136,2,FALSE)</f>
        <v>407680</v>
      </c>
      <c r="C174" s="47">
        <f>VLOOKUP(A174,'State ID'!$A$2:$B$713,2,FALSE)</f>
        <v>4250</v>
      </c>
      <c r="D174" s="147" t="s">
        <v>476</v>
      </c>
      <c r="E174" s="47" t="s">
        <v>7</v>
      </c>
      <c r="F174" s="382">
        <f>IFERROR(VLOOKUP($B174,'update_Formula counts'!$D$7:$R$234,'update_Formula counts'!F$5,0),0)</f>
        <v>7</v>
      </c>
      <c r="G174" s="382">
        <f>IFERROR(VLOOKUP($B174,'update_Formula counts'!$D$7:$R$234,'update_Formula counts'!G$5,0),0)</f>
        <v>0</v>
      </c>
      <c r="H174" s="382">
        <f>IFERROR(VLOOKUP($B174,'update_Formula counts'!$D$7:$R$234,'update_Formula counts'!H$5,0),0)</f>
        <v>0</v>
      </c>
      <c r="I174" s="382">
        <f>IFERROR(VLOOKUP($B174,'update_Formula counts'!$D$7:$R$234,'update_Formula counts'!I$5,0),0)</f>
        <v>0</v>
      </c>
      <c r="J174" s="382">
        <f>IFERROR(VLOOKUP($B174,'update_Formula counts'!$D$7:$R$234,'update_Formula counts'!J$5,0),0)</f>
        <v>0</v>
      </c>
      <c r="K174" s="382">
        <f t="shared" si="289"/>
        <v>7</v>
      </c>
      <c r="L174" s="444">
        <f>IFERROR(VLOOKUP($B174,'update_Formula counts'!$D$7:$R$234,'update_Formula counts'!L$5,0),0)</f>
        <v>26</v>
      </c>
      <c r="M174" s="445">
        <f>IFERROR(VLOOKUP($B174,'update_Formula counts'!$D$7:$R$234,'update_Formula counts'!K$5,0),0)</f>
        <v>7</v>
      </c>
      <c r="N174" s="446">
        <f>IFERROR(VLOOKUP($B174,'update_Formula counts'!$D$7:$R$234,'update_Formula counts'!M$5,0),0)</f>
        <v>0.26923076923076922</v>
      </c>
      <c r="O174" s="137">
        <f>VLOOKUP($C174,'Final SEA Counts'!$A$2:$F$709,5,FALSE)</f>
        <v>39</v>
      </c>
      <c r="P174" s="208">
        <f>VLOOKUP($C174,'Final SEA Counts'!$A$2:$F$709,6,FALSE)</f>
        <v>30</v>
      </c>
      <c r="Q174" s="748">
        <f t="shared" si="290"/>
        <v>-0.88454251976402576</v>
      </c>
      <c r="R174" s="444">
        <f t="shared" si="291"/>
        <v>23.595967155638991</v>
      </c>
      <c r="S174" s="445">
        <f t="shared" si="254"/>
        <v>6.1154574802359747</v>
      </c>
      <c r="T174" s="229">
        <f t="shared" si="255"/>
        <v>0.2591738427121219</v>
      </c>
      <c r="U174" s="261">
        <f>VLOOKUP($B174,update_Allocation!$D$8:$Q$235,update_Allocation!K$239,0)</f>
        <v>0</v>
      </c>
      <c r="V174" s="262">
        <f>VLOOKUP($B174,update_Allocation!$D$8:$Q$235,update_Allocation!L$239,0)</f>
        <v>0</v>
      </c>
      <c r="W174" s="262">
        <f>VLOOKUP($B174,update_Allocation!$D$8:$Q$235,update_Allocation!M$239,0)</f>
        <v>0</v>
      </c>
      <c r="X174" s="262">
        <f>VLOOKUP($B174,update_Allocation!$D$8:$Q$235,update_Allocation!N$239,0)</f>
        <v>0</v>
      </c>
      <c r="Y174" s="263">
        <f>VLOOKUP($B174,update_Allocation!$D$8:$Q$235,update_Allocation!O$239,0)</f>
        <v>0</v>
      </c>
      <c r="Z174" s="262" t="str">
        <f t="shared" si="292"/>
        <v/>
      </c>
      <c r="AA174" s="262" t="str">
        <f t="shared" si="293"/>
        <v/>
      </c>
      <c r="AB174" s="262" t="str">
        <f t="shared" si="294"/>
        <v/>
      </c>
      <c r="AC174" s="263" t="str">
        <f t="shared" si="295"/>
        <v/>
      </c>
      <c r="AD174" s="262" t="str">
        <f t="shared" si="260"/>
        <v/>
      </c>
      <c r="AE174" s="262" t="str">
        <f t="shared" si="261"/>
        <v/>
      </c>
      <c r="AF174" s="262" t="str">
        <f t="shared" si="262"/>
        <v/>
      </c>
      <c r="AG174" s="263" t="str">
        <f t="shared" si="263"/>
        <v/>
      </c>
      <c r="AH174" s="262" t="str">
        <f t="shared" si="296"/>
        <v/>
      </c>
      <c r="AI174" s="262" t="str">
        <f t="shared" si="297"/>
        <v/>
      </c>
      <c r="AJ174" s="262" t="str">
        <f t="shared" si="298"/>
        <v/>
      </c>
      <c r="AK174" s="262" t="str">
        <f t="shared" si="299"/>
        <v/>
      </c>
      <c r="AL174" s="263">
        <f t="shared" si="268"/>
        <v>0</v>
      </c>
      <c r="AM174" s="346"/>
      <c r="AN174" s="261">
        <f>IFERROR(VLOOKUP($A174,'HH &amp; SI'!$B$4:$Z$494,'HH &amp; SI'!V$503,0),0)</f>
        <v>0</v>
      </c>
      <c r="AO174" s="262">
        <f>IFERROR(VLOOKUP($A174,'HH &amp; SI'!$B$4:$Z$494,'HH &amp; SI'!W$503,0),0)</f>
        <v>0</v>
      </c>
      <c r="AP174" s="262">
        <f>IFERROR(VLOOKUP($A174,'HH &amp; SI'!$B$4:$Z$494,'HH &amp; SI'!X$503,0),0)</f>
        <v>0</v>
      </c>
      <c r="AQ174" s="262">
        <f>IFERROR(VLOOKUP($A174,'HH &amp; SI'!$B$4:$Z$494,'HH &amp; SI'!Y$503,0),0)</f>
        <v>0</v>
      </c>
      <c r="AR174" s="263">
        <f t="shared" si="269"/>
        <v>0</v>
      </c>
      <c r="AS174" s="346"/>
      <c r="AT174" s="323">
        <f>IFERROR(VLOOKUP(A174,'Afton FY16 Final'!$A$5:$BV$572,'Afton FY16 Final'!$BV$587,0),0)</f>
        <v>1648.1437059272503</v>
      </c>
      <c r="AU174" s="346"/>
      <c r="AV174" s="444">
        <v>0</v>
      </c>
      <c r="AW174" s="262">
        <f>IFERROR(VLOOKUP($A174,'HH &amp; SI'!$B$4:$EY$503,'HH &amp; SI'!EX$503,0),0)</f>
        <v>0</v>
      </c>
      <c r="AX174" s="262">
        <f>IFERROR(VLOOKUP($A174,'HH &amp; SI'!$B$4:$EY$503,'HH &amp; SI'!EY$503,0),0)</f>
        <v>0</v>
      </c>
      <c r="AY174" s="262">
        <f>AX174/$AX$582*'update_State Admin 1004(b)'!$B$30*0.01</f>
        <v>0</v>
      </c>
      <c r="AZ174" s="263">
        <f t="shared" si="270"/>
        <v>0</v>
      </c>
      <c r="BA174" s="261">
        <f t="shared" si="271"/>
        <v>0</v>
      </c>
      <c r="BB174" s="262">
        <f t="shared" si="272"/>
        <v>0</v>
      </c>
      <c r="BC174" s="341">
        <f t="shared" si="280"/>
        <v>0</v>
      </c>
      <c r="BD174" s="346"/>
      <c r="BE174" s="376" t="str">
        <f>'Original Title I &amp; II'!AZ174</f>
        <v/>
      </c>
      <c r="BF174" s="243" t="str">
        <f t="shared" si="300"/>
        <v/>
      </c>
      <c r="BG174" s="263">
        <f t="shared" si="250"/>
        <v>0</v>
      </c>
      <c r="BI174" s="31">
        <f>IFERROR(VLOOKUP(A174,'Title II Hold Harmless'!A$1:B$439,2, FALSE),"")</f>
        <v>2051</v>
      </c>
      <c r="BJ174" s="31">
        <f t="shared" si="274"/>
        <v>2150.0468231521259</v>
      </c>
      <c r="BK174" s="31">
        <f t="shared" si="301"/>
        <v>2152.1267609459305</v>
      </c>
      <c r="BL174" s="31" t="str">
        <f t="shared" si="276"/>
        <v/>
      </c>
      <c r="BM174" s="31">
        <f t="shared" si="277"/>
        <v>2152.1267609459305</v>
      </c>
      <c r="BN174" s="200"/>
      <c r="BP174" s="295" t="s">
        <v>1447</v>
      </c>
      <c r="BQ174" s="296" t="str">
        <f t="shared" si="281"/>
        <v>Y</v>
      </c>
      <c r="BR174" s="297" t="s">
        <v>1448</v>
      </c>
      <c r="BT174" s="295" t="str">
        <f t="shared" si="282"/>
        <v>N</v>
      </c>
      <c r="BU174" s="296" t="str">
        <f t="shared" si="278"/>
        <v>N</v>
      </c>
      <c r="BV174" s="296" t="str">
        <f t="shared" si="279"/>
        <v>N</v>
      </c>
      <c r="BW174" s="297" t="str">
        <f t="shared" si="283"/>
        <v>N</v>
      </c>
      <c r="BY174" s="352">
        <f t="shared" si="284"/>
        <v>0</v>
      </c>
      <c r="BZ174" s="353">
        <f t="shared" si="285"/>
        <v>0.9</v>
      </c>
      <c r="CA174" s="353">
        <f t="shared" si="286"/>
        <v>0</v>
      </c>
      <c r="CB174" s="354">
        <f t="shared" si="287"/>
        <v>0.9</v>
      </c>
      <c r="CD174" s="311">
        <f t="shared" si="288"/>
        <v>169</v>
      </c>
    </row>
    <row r="175" spans="1:82" s="237" customFormat="1" outlineLevel="1" x14ac:dyDescent="0.3">
      <c r="A175" s="236"/>
      <c r="B175" s="237">
        <v>481013</v>
      </c>
      <c r="D175" s="237" t="s">
        <v>883</v>
      </c>
      <c r="E175" s="237" t="s">
        <v>7</v>
      </c>
      <c r="F175" s="760">
        <f>IFERROR(VLOOKUP($B175,'update_Formula counts'!$D$7:$R$234,'update_Formula counts'!F$5,0),0)</f>
        <v>341</v>
      </c>
      <c r="G175" s="760">
        <f>IFERROR(VLOOKUP($B175,'update_Formula counts'!$D$7:$R$234,'update_Formula counts'!G$5,0),0)</f>
        <v>0</v>
      </c>
      <c r="H175" s="760">
        <f>IFERROR(VLOOKUP($B175,'update_Formula counts'!$D$7:$R$234,'update_Formula counts'!H$5,0),0)</f>
        <v>0</v>
      </c>
      <c r="I175" s="760">
        <f>IFERROR(VLOOKUP($B175,'update_Formula counts'!$D$7:$R$234,'update_Formula counts'!I$5,0),0)</f>
        <v>15</v>
      </c>
      <c r="J175" s="760">
        <f>IFERROR(VLOOKUP($B175,'update_Formula counts'!$D$7:$R$234,'update_Formula counts'!J$5,0),0)</f>
        <v>0</v>
      </c>
      <c r="K175" s="760">
        <f t="shared" si="289"/>
        <v>341</v>
      </c>
      <c r="L175" s="525">
        <f>IFERROR(VLOOKUP($B175,'update_Formula counts'!$D$7:$R$234,'update_Formula counts'!L$5,0),0)</f>
        <v>1497</v>
      </c>
      <c r="M175" s="526">
        <f>IFERROR(VLOOKUP($B175,'update_Formula counts'!$D$7:$R$234,'update_Formula counts'!K$5,0),0)</f>
        <v>356</v>
      </c>
      <c r="N175" s="527">
        <f>IFERROR(VLOOKUP($B175,'update_Formula counts'!$D$7:$R$234,'update_Formula counts'!M$5,0),0)</f>
        <v>0.23780895123580495</v>
      </c>
      <c r="O175" s="238"/>
      <c r="P175" s="240"/>
      <c r="Q175" s="752"/>
      <c r="R175" s="525"/>
      <c r="S175" s="526"/>
      <c r="T175" s="241"/>
      <c r="U175" s="273">
        <f>VLOOKUP($B175,update_Allocation!$D$8:$Q$235,update_Allocation!K$239,0)</f>
        <v>282261.30454262882</v>
      </c>
      <c r="V175" s="274">
        <f>VLOOKUP($B175,update_Allocation!$D$8:$Q$235,update_Allocation!L$239,0)</f>
        <v>66884.43811855992</v>
      </c>
      <c r="W175" s="274">
        <f>VLOOKUP($B175,update_Allocation!$D$8:$Q$235,update_Allocation!M$239,0)</f>
        <v>177019.96705935581</v>
      </c>
      <c r="X175" s="274">
        <f>VLOOKUP($B175,update_Allocation!$D$8:$Q$235,update_Allocation!N$239,0)</f>
        <v>191886.47853914564</v>
      </c>
      <c r="Y175" s="275">
        <f>VLOOKUP($B175,update_Allocation!$D$8:$Q$235,update_Allocation!O$239,0)</f>
        <v>718052.18825969019</v>
      </c>
      <c r="Z175" s="274"/>
      <c r="AA175" s="274"/>
      <c r="AB175" s="274"/>
      <c r="AC175" s="275"/>
      <c r="AD175" s="274" t="str">
        <f t="shared" si="260"/>
        <v/>
      </c>
      <c r="AE175" s="274" t="str">
        <f t="shared" si="261"/>
        <v/>
      </c>
      <c r="AF175" s="274" t="str">
        <f t="shared" si="262"/>
        <v/>
      </c>
      <c r="AG175" s="275" t="str">
        <f t="shared" si="263"/>
        <v/>
      </c>
      <c r="AH175" s="274"/>
      <c r="AI175" s="274"/>
      <c r="AJ175" s="274"/>
      <c r="AK175" s="274"/>
      <c r="AL175" s="275"/>
      <c r="AM175" s="350"/>
      <c r="AN175" s="273">
        <f>IFERROR(VLOOKUP($A175,'HH &amp; SI'!$B$4:$Z$494,'HH &amp; SI'!V$503,0),0)</f>
        <v>0</v>
      </c>
      <c r="AO175" s="274">
        <f>IFERROR(VLOOKUP($A175,'HH &amp; SI'!$B$4:$Z$494,'HH &amp; SI'!W$503,0),0)</f>
        <v>0</v>
      </c>
      <c r="AP175" s="274">
        <f>IFERROR(VLOOKUP($A175,'HH &amp; SI'!$B$4:$Z$494,'HH &amp; SI'!X$503,0),0)</f>
        <v>0</v>
      </c>
      <c r="AQ175" s="274">
        <f>IFERROR(VLOOKUP($A175,'HH &amp; SI'!$B$4:$Z$494,'HH &amp; SI'!Y$503,0),0)</f>
        <v>0</v>
      </c>
      <c r="AR175" s="275">
        <f t="shared" si="269"/>
        <v>0</v>
      </c>
      <c r="AS175" s="350"/>
      <c r="AT175" s="327">
        <f>IFERROR(VLOOKUP(A175,'Afton FY16 Final'!$A$5:$BV$572,'Afton FY16 Final'!$BV$587,0),0)</f>
        <v>0</v>
      </c>
      <c r="AU175" s="350"/>
      <c r="AV175" s="525">
        <v>0</v>
      </c>
      <c r="AW175" s="274">
        <f>IFERROR(VLOOKUP($A175,'HH &amp; SI'!$B$4:$EY$503,'HH &amp; SI'!EX$503,0),0)</f>
        <v>0</v>
      </c>
      <c r="AX175" s="274">
        <f>IFERROR(VLOOKUP($A175,'HH &amp; SI'!$B$4:$EY$503,'HH &amp; SI'!EY$503,0),0)</f>
        <v>0</v>
      </c>
      <c r="AY175" s="274">
        <f>AX175/$AX$582*'update_State Admin 1004(b)'!$B$30*0.01</f>
        <v>0</v>
      </c>
      <c r="AZ175" s="275">
        <f t="shared" si="270"/>
        <v>0</v>
      </c>
      <c r="BA175" s="273">
        <f t="shared" si="271"/>
        <v>0</v>
      </c>
      <c r="BB175" s="274">
        <f t="shared" si="272"/>
        <v>0</v>
      </c>
      <c r="BC175" s="345" t="str">
        <f t="shared" si="280"/>
        <v/>
      </c>
      <c r="BD175" s="350"/>
      <c r="BE175" s="379" t="str">
        <f>'Original Title I &amp; II'!AZ175</f>
        <v/>
      </c>
      <c r="BF175" s="246" t="str">
        <f t="shared" si="300"/>
        <v/>
      </c>
      <c r="BG175" s="275">
        <f t="shared" si="250"/>
        <v>0</v>
      </c>
      <c r="BI175" s="242" t="str">
        <f>IFERROR(VLOOKUP(A175,'Title II Hold Harmless'!A$1:B$439,2, FALSE),"")</f>
        <v/>
      </c>
      <c r="BJ175" s="242">
        <f t="shared" si="274"/>
        <v>0</v>
      </c>
      <c r="BK175" s="242">
        <f t="shared" si="301"/>
        <v>0</v>
      </c>
      <c r="BL175" s="242" t="str">
        <f t="shared" si="276"/>
        <v/>
      </c>
      <c r="BM175" s="242">
        <f t="shared" si="277"/>
        <v>0</v>
      </c>
      <c r="BN175" s="200"/>
      <c r="BP175" s="307" t="s">
        <v>1447</v>
      </c>
      <c r="BQ175" s="308" t="str">
        <f t="shared" si="281"/>
        <v>Y</v>
      </c>
      <c r="BR175" s="309" t="s">
        <v>1447</v>
      </c>
      <c r="BT175" s="307" t="str">
        <f t="shared" si="282"/>
        <v>N</v>
      </c>
      <c r="BU175" s="308" t="str">
        <f t="shared" si="278"/>
        <v>N</v>
      </c>
      <c r="BV175" s="308" t="str">
        <f t="shared" si="279"/>
        <v>N</v>
      </c>
      <c r="BW175" s="309" t="str">
        <f t="shared" si="283"/>
        <v>N</v>
      </c>
      <c r="BY175" s="364">
        <f t="shared" si="284"/>
        <v>0.85</v>
      </c>
      <c r="BZ175" s="365">
        <f t="shared" si="285"/>
        <v>0</v>
      </c>
      <c r="CA175" s="365">
        <f t="shared" si="286"/>
        <v>0</v>
      </c>
      <c r="CB175" s="366">
        <f t="shared" si="287"/>
        <v>0.85</v>
      </c>
      <c r="CD175" s="315">
        <f t="shared" si="288"/>
        <v>170</v>
      </c>
    </row>
    <row r="176" spans="1:82" s="48" customFormat="1" outlineLevel="1" x14ac:dyDescent="0.3">
      <c r="A176" s="202">
        <v>78604000</v>
      </c>
      <c r="B176" s="48">
        <f>VLOOKUP(C176,'NCES ID'!$A$2:$B$3136,2,FALSE)</f>
        <v>400128</v>
      </c>
      <c r="C176" s="48">
        <f>VLOOKUP(A176,'State ID'!$A$2:$B$713,2,FALSE)</f>
        <v>4296</v>
      </c>
      <c r="D176" s="48" t="s">
        <v>6</v>
      </c>
      <c r="E176" s="48" t="s">
        <v>7</v>
      </c>
      <c r="F176" s="755"/>
      <c r="G176" s="755"/>
      <c r="H176" s="755"/>
      <c r="I176" s="755"/>
      <c r="J176" s="755"/>
      <c r="K176" s="755"/>
      <c r="L176" s="454"/>
      <c r="M176" s="455"/>
      <c r="N176" s="456"/>
      <c r="O176" s="209">
        <f>VLOOKUP($C176,'Final SEA Counts'!$A$2:$F$709,5,FALSE)</f>
        <v>115</v>
      </c>
      <c r="P176" s="223">
        <f>VLOOKUP($C176,'Final SEA Counts'!$A$2:$F$709,6,FALSE)</f>
        <v>115</v>
      </c>
      <c r="Q176" s="749"/>
      <c r="R176" s="454">
        <f t="shared" ref="R176:R239" si="302">O176</f>
        <v>115</v>
      </c>
      <c r="S176" s="455">
        <f t="shared" ref="S176:S207" si="303">P176*$B$358</f>
        <v>56.939492610724322</v>
      </c>
      <c r="T176" s="230">
        <f t="shared" ref="T176:T239" si="304">S176/R176</f>
        <v>0.49512602270195061</v>
      </c>
      <c r="U176" s="264" t="str">
        <f>IFERROR(VLOOKUP($B176,#REF!,8,FALSE),"")</f>
        <v/>
      </c>
      <c r="V176" s="265" t="str">
        <f>IFERROR(VLOOKUP($B176,#REF!,9,FALSE),"")</f>
        <v/>
      </c>
      <c r="W176" s="265" t="str">
        <f>IFERROR(VLOOKUP($B176,#REF!,10,FALSE),"")</f>
        <v/>
      </c>
      <c r="X176" s="265" t="str">
        <f>IFERROR(VLOOKUP($B176,#REF!,11,FALSE),"")</f>
        <v/>
      </c>
      <c r="Y176" s="266" t="str">
        <f>IFERROR(VLOOKUP($B176,#REF!,12,FALSE),"")</f>
        <v/>
      </c>
      <c r="Z176" s="265">
        <f t="shared" ref="Z176:Z207" si="305">$S176*U$359</f>
        <v>27504.508247284015</v>
      </c>
      <c r="AA176" s="265">
        <f t="shared" ref="AA176:AA207" si="306">$S176*V$359</f>
        <v>5687.8880746996974</v>
      </c>
      <c r="AB176" s="265">
        <f t="shared" ref="AB176:AB207" si="307">$S176*W$359</f>
        <v>16097.343201828289</v>
      </c>
      <c r="AC176" s="266">
        <f t="shared" ref="AC176:AC207" si="308">$S176*X$359</f>
        <v>14984.511981816737</v>
      </c>
      <c r="AD176" s="265">
        <f t="shared" si="260"/>
        <v>27504.508247284015</v>
      </c>
      <c r="AE176" s="265">
        <f t="shared" si="261"/>
        <v>5687.8880746996974</v>
      </c>
      <c r="AF176" s="265">
        <f t="shared" si="262"/>
        <v>16097.343201828289</v>
      </c>
      <c r="AG176" s="266">
        <f t="shared" si="263"/>
        <v>14984.511981816737</v>
      </c>
      <c r="AH176" s="265">
        <f t="shared" ref="AH176:AH207" si="309">IF(AD176="","",AD176+AD$359)</f>
        <v>27504.508247284015</v>
      </c>
      <c r="AI176" s="265">
        <f t="shared" ref="AI176:AI207" si="310">IF(AE176="","",AE176+AE$359)</f>
        <v>7818.70945753041</v>
      </c>
      <c r="AJ176" s="265">
        <f t="shared" ref="AJ176:AJ207" si="311">IF(AF176="","",AF176+AF$359)</f>
        <v>16122.683847048549</v>
      </c>
      <c r="AK176" s="265">
        <f t="shared" ref="AK176:AK207" si="312">IF(AG176="","",AG176+AG$359)</f>
        <v>15008.10079378214</v>
      </c>
      <c r="AL176" s="266">
        <f t="shared" ref="AL176:AL207" si="313">SUM(AH176:AK176)</f>
        <v>66454.002345645116</v>
      </c>
      <c r="AM176" s="347"/>
      <c r="AN176" s="264">
        <f>IFERROR(VLOOKUP($A176,'HH &amp; SI'!$B$4:$Z$494,'HH &amp; SI'!V$503,0),0)</f>
        <v>33687.052622765448</v>
      </c>
      <c r="AO176" s="265">
        <f>IFERROR(VLOOKUP($A176,'HH &amp; SI'!$B$4:$Z$494,'HH &amp; SI'!W$503,0),0)</f>
        <v>7853.4953752308729</v>
      </c>
      <c r="AP176" s="265">
        <f>IFERROR(VLOOKUP($A176,'HH &amp; SI'!$B$4:$Z$494,'HH &amp; SI'!X$503,0),0)</f>
        <v>16900.171783094589</v>
      </c>
      <c r="AQ176" s="265">
        <f>IFERROR(VLOOKUP($A176,'HH &amp; SI'!$B$4:$Z$494,'HH &amp; SI'!Y$503,0),0)</f>
        <v>15859.536314509716</v>
      </c>
      <c r="AR176" s="266">
        <f t="shared" si="269"/>
        <v>74300.256095600635</v>
      </c>
      <c r="AS176" s="347"/>
      <c r="AT176" s="324">
        <f>IFERROR(VLOOKUP(A176,'Afton FY16 Final'!$A$5:$BV$572,'Afton FY16 Final'!$BV$587,0),0)</f>
        <v>76670.825331982138</v>
      </c>
      <c r="AU176" s="347"/>
      <c r="AV176" s="454">
        <v>0</v>
      </c>
      <c r="AW176" s="265">
        <f>IFERROR(VLOOKUP($A176,'HH &amp; SI'!$B$4:$EY$503,'HH &amp; SI'!EX$503,0),0)</f>
        <v>0</v>
      </c>
      <c r="AX176" s="265">
        <f>IFERROR(VLOOKUP($A176,'HH &amp; SI'!$B$4:$EY$503,'HH &amp; SI'!EY$503,0),0)</f>
        <v>74300.256095600635</v>
      </c>
      <c r="AY176" s="265">
        <f>AX176/$AX$582*'update_State Admin 1004(b)'!$B$30*0.01</f>
        <v>711.10682579908905</v>
      </c>
      <c r="AZ176" s="266">
        <f t="shared" si="270"/>
        <v>73589.14926980155</v>
      </c>
      <c r="BA176" s="264">
        <f t="shared" si="271"/>
        <v>735.89149269801555</v>
      </c>
      <c r="BB176" s="265">
        <f t="shared" si="272"/>
        <v>72853.257777103528</v>
      </c>
      <c r="BC176" s="342">
        <f t="shared" si="280"/>
        <v>0.95020834146040989</v>
      </c>
      <c r="BD176" s="347"/>
      <c r="BE176" s="377" t="str">
        <f>'Original Title I &amp; II'!AZ176</f>
        <v/>
      </c>
      <c r="BF176" s="244" t="str">
        <f t="shared" si="300"/>
        <v/>
      </c>
      <c r="BG176" s="266">
        <f t="shared" si="250"/>
        <v>72853.257777103528</v>
      </c>
      <c r="BI176" s="203">
        <f>IFERROR(VLOOKUP(A176,'Title II Hold Harmless'!A$1:B$439,2, FALSE),"")</f>
        <v>12874</v>
      </c>
      <c r="BJ176" s="203">
        <f t="shared" si="274"/>
        <v>13711.940737803579</v>
      </c>
      <c r="BK176" s="203">
        <f t="shared" si="301"/>
        <v>13725.205557648365</v>
      </c>
      <c r="BL176" s="203" t="str">
        <f t="shared" si="276"/>
        <v/>
      </c>
      <c r="BM176" s="203">
        <f t="shared" si="277"/>
        <v>13725.205557648365</v>
      </c>
      <c r="BN176" s="200"/>
      <c r="BP176" s="298" t="s">
        <v>1448</v>
      </c>
      <c r="BQ176" s="299" t="str">
        <f t="shared" si="281"/>
        <v>Y</v>
      </c>
      <c r="BR176" s="300" t="s">
        <v>1448</v>
      </c>
      <c r="BT176" s="298" t="str">
        <f t="shared" si="282"/>
        <v>Y</v>
      </c>
      <c r="BU176" s="299" t="str">
        <f t="shared" si="278"/>
        <v>Y</v>
      </c>
      <c r="BV176" s="299" t="str">
        <f t="shared" si="279"/>
        <v>Y</v>
      </c>
      <c r="BW176" s="300" t="str">
        <f t="shared" si="283"/>
        <v>Y</v>
      </c>
      <c r="BY176" s="355">
        <f t="shared" si="284"/>
        <v>0</v>
      </c>
      <c r="BZ176" s="356">
        <f t="shared" si="285"/>
        <v>0</v>
      </c>
      <c r="CA176" s="356">
        <f t="shared" si="286"/>
        <v>0.95</v>
      </c>
      <c r="CB176" s="357">
        <f t="shared" si="287"/>
        <v>0.95</v>
      </c>
      <c r="CD176" s="312">
        <f t="shared" si="288"/>
        <v>171</v>
      </c>
    </row>
    <row r="177" spans="1:82" s="48" customFormat="1" outlineLevel="1" x14ac:dyDescent="0.3">
      <c r="A177" s="202">
        <v>78794000</v>
      </c>
      <c r="B177" s="48">
        <f>VLOOKUP(C177,'NCES ID'!$A$2:$B$3136,2,FALSE)</f>
        <v>400276</v>
      </c>
      <c r="C177" s="48">
        <f>VLOOKUP(A177,'State ID'!$A$2:$B$713,2,FALSE)</f>
        <v>79213</v>
      </c>
      <c r="D177" s="48" t="s">
        <v>11</v>
      </c>
      <c r="E177" s="48" t="s">
        <v>7</v>
      </c>
      <c r="F177" s="755"/>
      <c r="G177" s="755"/>
      <c r="H177" s="755"/>
      <c r="I177" s="755"/>
      <c r="J177" s="755"/>
      <c r="K177" s="755"/>
      <c r="L177" s="454"/>
      <c r="M177" s="455"/>
      <c r="N177" s="456"/>
      <c r="O177" s="209">
        <f>VLOOKUP($C177,'Final SEA Counts'!$A$2:$F$709,5,FALSE)</f>
        <v>52</v>
      </c>
      <c r="P177" s="223">
        <f>VLOOKUP($C177,'Final SEA Counts'!$A$2:$F$709,6,FALSE)</f>
        <v>41</v>
      </c>
      <c r="Q177" s="749"/>
      <c r="R177" s="454">
        <f t="shared" si="302"/>
        <v>52</v>
      </c>
      <c r="S177" s="455">
        <f t="shared" si="303"/>
        <v>20.300166930779977</v>
      </c>
      <c r="T177" s="230">
        <f t="shared" si="304"/>
        <v>0.39038782559192264</v>
      </c>
      <c r="U177" s="264" t="str">
        <f>IFERROR(VLOOKUP($B177,#REF!,8,FALSE),"")</f>
        <v/>
      </c>
      <c r="V177" s="265" t="str">
        <f>IFERROR(VLOOKUP($B177,#REF!,9,FALSE),"")</f>
        <v/>
      </c>
      <c r="W177" s="265" t="str">
        <f>IFERROR(VLOOKUP($B177,#REF!,10,FALSE),"")</f>
        <v/>
      </c>
      <c r="X177" s="265" t="str">
        <f>IFERROR(VLOOKUP($B177,#REF!,11,FALSE),"")</f>
        <v/>
      </c>
      <c r="Y177" s="266" t="str">
        <f>IFERROR(VLOOKUP($B177,#REF!,12,FALSE),"")</f>
        <v/>
      </c>
      <c r="Z177" s="265">
        <f t="shared" si="305"/>
        <v>9805.9551142490836</v>
      </c>
      <c r="AA177" s="265">
        <f t="shared" si="306"/>
        <v>2027.8557483711963</v>
      </c>
      <c r="AB177" s="265">
        <f t="shared" si="307"/>
        <v>5739.0527936953031</v>
      </c>
      <c r="AC177" s="266">
        <f t="shared" si="308"/>
        <v>5342.3042717781409</v>
      </c>
      <c r="AD177" s="265">
        <f t="shared" si="260"/>
        <v>9805.9551142490836</v>
      </c>
      <c r="AE177" s="265">
        <f t="shared" si="261"/>
        <v>2027.8557483711963</v>
      </c>
      <c r="AF177" s="265">
        <f t="shared" si="262"/>
        <v>5739.0527936953031</v>
      </c>
      <c r="AG177" s="266">
        <f t="shared" si="263"/>
        <v>5342.3042717781409</v>
      </c>
      <c r="AH177" s="265">
        <f t="shared" si="309"/>
        <v>9805.9551142490836</v>
      </c>
      <c r="AI177" s="265">
        <f t="shared" si="310"/>
        <v>4158.6771312019091</v>
      </c>
      <c r="AJ177" s="265">
        <f t="shared" si="311"/>
        <v>5764.393438915562</v>
      </c>
      <c r="AK177" s="265">
        <f t="shared" si="312"/>
        <v>5365.8930837435437</v>
      </c>
      <c r="AL177" s="266">
        <f t="shared" si="313"/>
        <v>25094.918768110099</v>
      </c>
      <c r="AM177" s="347"/>
      <c r="AN177" s="264">
        <f>IFERROR(VLOOKUP($A177,'HH &amp; SI'!$B$4:$Z$494,'HH &amp; SI'!V$503,0),0)</f>
        <v>22761.52204240908</v>
      </c>
      <c r="AO177" s="265">
        <f>IFERROR(VLOOKUP($A177,'HH &amp; SI'!$B$4:$Z$494,'HH &amp; SI'!W$503,0),0)</f>
        <v>4954.314174069963</v>
      </c>
      <c r="AP177" s="265">
        <f>IFERROR(VLOOKUP($A177,'HH &amp; SI'!$B$4:$Z$494,'HH &amp; SI'!X$503,0),0)</f>
        <v>11419.034988577425</v>
      </c>
      <c r="AQ177" s="265">
        <f>IFERROR(VLOOKUP($A177,'HH &amp; SI'!$B$4:$Z$494,'HH &amp; SI'!Y$503,0),0)</f>
        <v>10715.902915209266</v>
      </c>
      <c r="AR177" s="266">
        <f t="shared" si="269"/>
        <v>49850.774120265734</v>
      </c>
      <c r="AS177" s="347"/>
      <c r="AT177" s="324">
        <f>IFERROR(VLOOKUP(A177,'Afton FY16 Final'!$A$5:$BV$572,'Afton FY16 Final'!$BV$587,0),0)</f>
        <v>49782.264020899733</v>
      </c>
      <c r="AU177" s="347"/>
      <c r="AV177" s="454">
        <v>0</v>
      </c>
      <c r="AW177" s="265">
        <f>IFERROR(VLOOKUP($A177,'HH &amp; SI'!$B$4:$EY$503,'HH &amp; SI'!EX$503,0),0)</f>
        <v>68.510099366001668</v>
      </c>
      <c r="AX177" s="265">
        <f>IFERROR(VLOOKUP($A177,'HH &amp; SI'!$B$4:$EY$503,'HH &amp; SI'!EY$503,0),0)</f>
        <v>49782.264020899733</v>
      </c>
      <c r="AY177" s="265">
        <f>AX177/$AX$582*'update_State Admin 1004(b)'!$B$30*0.01</f>
        <v>476.45202869079054</v>
      </c>
      <c r="AZ177" s="266">
        <f t="shared" si="270"/>
        <v>49305.811992208939</v>
      </c>
      <c r="BA177" s="264">
        <f t="shared" si="271"/>
        <v>493.05811992208942</v>
      </c>
      <c r="BB177" s="265">
        <f t="shared" si="272"/>
        <v>48812.753872286848</v>
      </c>
      <c r="BC177" s="342">
        <f t="shared" si="280"/>
        <v>0.98052498881517602</v>
      </c>
      <c r="BD177" s="347"/>
      <c r="BE177" s="377" t="str">
        <f>'Original Title I &amp; II'!AZ177</f>
        <v/>
      </c>
      <c r="BF177" s="244" t="str">
        <f t="shared" si="300"/>
        <v/>
      </c>
      <c r="BG177" s="266">
        <f t="shared" si="250"/>
        <v>48812.753872286848</v>
      </c>
      <c r="BI177" s="203">
        <f>IFERROR(VLOOKUP(A177,'Title II Hold Harmless'!A$1:B$439,2, FALSE),"")</f>
        <v>2822</v>
      </c>
      <c r="BJ177" s="203">
        <f t="shared" si="274"/>
        <v>3129.5968857143812</v>
      </c>
      <c r="BK177" s="203">
        <f t="shared" si="301"/>
        <v>3132.6244322644734</v>
      </c>
      <c r="BL177" s="203" t="str">
        <f t="shared" si="276"/>
        <v/>
      </c>
      <c r="BM177" s="203">
        <f t="shared" si="277"/>
        <v>3132.6244322644734</v>
      </c>
      <c r="BN177" s="200"/>
      <c r="BP177" s="298" t="s">
        <v>1448</v>
      </c>
      <c r="BQ177" s="299" t="str">
        <f t="shared" si="281"/>
        <v>Y</v>
      </c>
      <c r="BR177" s="300" t="s">
        <v>1448</v>
      </c>
      <c r="BT177" s="298" t="str">
        <f t="shared" si="282"/>
        <v>Y</v>
      </c>
      <c r="BU177" s="299" t="str">
        <f t="shared" si="278"/>
        <v>Y</v>
      </c>
      <c r="BV177" s="299" t="str">
        <f t="shared" si="279"/>
        <v>Y</v>
      </c>
      <c r="BW177" s="300" t="str">
        <f t="shared" si="283"/>
        <v>Y</v>
      </c>
      <c r="BY177" s="355">
        <f t="shared" si="284"/>
        <v>0</v>
      </c>
      <c r="BZ177" s="356">
        <f t="shared" si="285"/>
        <v>0</v>
      </c>
      <c r="CA177" s="356">
        <f t="shared" si="286"/>
        <v>0.95</v>
      </c>
      <c r="CB177" s="357">
        <f t="shared" si="287"/>
        <v>0.95</v>
      </c>
      <c r="CD177" s="312">
        <f t="shared" si="288"/>
        <v>172</v>
      </c>
    </row>
    <row r="178" spans="1:82" s="48" customFormat="1" outlineLevel="1" x14ac:dyDescent="0.3">
      <c r="A178" s="202">
        <v>78701000</v>
      </c>
      <c r="B178" s="48">
        <f>VLOOKUP(C178,'NCES ID'!$A$2:$B$3136,2,FALSE)</f>
        <v>400122</v>
      </c>
      <c r="C178" s="48">
        <f>VLOOKUP(A178,'State ID'!$A$2:$B$713,2,FALSE)</f>
        <v>4325</v>
      </c>
      <c r="D178" s="48" t="s">
        <v>13</v>
      </c>
      <c r="E178" s="48" t="s">
        <v>7</v>
      </c>
      <c r="F178" s="755"/>
      <c r="G178" s="755"/>
      <c r="H178" s="755"/>
      <c r="I178" s="755"/>
      <c r="J178" s="755"/>
      <c r="K178" s="755"/>
      <c r="L178" s="454"/>
      <c r="M178" s="455"/>
      <c r="N178" s="456"/>
      <c r="O178" s="209">
        <f>VLOOKUP($C178,'Final SEA Counts'!$A$2:$F$709,5,FALSE)</f>
        <v>404</v>
      </c>
      <c r="P178" s="223">
        <f>VLOOKUP($C178,'Final SEA Counts'!$A$2:$F$709,6,FALSE)</f>
        <v>388</v>
      </c>
      <c r="Q178" s="749"/>
      <c r="R178" s="454">
        <f t="shared" si="302"/>
        <v>404</v>
      </c>
      <c r="S178" s="455">
        <f t="shared" si="303"/>
        <v>192.10889680835683</v>
      </c>
      <c r="T178" s="230">
        <f t="shared" si="304"/>
        <v>0.47551707130781395</v>
      </c>
      <c r="U178" s="264" t="str">
        <f>IFERROR(VLOOKUP($B178,#REF!,8,FALSE),"")</f>
        <v/>
      </c>
      <c r="V178" s="265" t="str">
        <f>IFERROR(VLOOKUP($B178,#REF!,9,FALSE),"")</f>
        <v/>
      </c>
      <c r="W178" s="265" t="str">
        <f>IFERROR(VLOOKUP($B178,#REF!,10,FALSE),"")</f>
        <v/>
      </c>
      <c r="X178" s="265" t="str">
        <f>IFERROR(VLOOKUP($B178,#REF!,11,FALSE),"")</f>
        <v/>
      </c>
      <c r="Y178" s="266" t="str">
        <f>IFERROR(VLOOKUP($B178,#REF!,12,FALSE),"")</f>
        <v/>
      </c>
      <c r="Z178" s="265">
        <f t="shared" si="305"/>
        <v>92797.819129966942</v>
      </c>
      <c r="AA178" s="265">
        <f t="shared" si="306"/>
        <v>19190.439765073759</v>
      </c>
      <c r="AB178" s="265">
        <f t="shared" si="307"/>
        <v>54311.036193994572</v>
      </c>
      <c r="AC178" s="266">
        <f t="shared" si="308"/>
        <v>50556.440425607769</v>
      </c>
      <c r="AD178" s="265">
        <f t="shared" si="260"/>
        <v>92797.819129966942</v>
      </c>
      <c r="AE178" s="265">
        <f t="shared" si="261"/>
        <v>19190.439765073759</v>
      </c>
      <c r="AF178" s="265">
        <f t="shared" si="262"/>
        <v>54311.036193994572</v>
      </c>
      <c r="AG178" s="266">
        <f t="shared" si="263"/>
        <v>50556.440425607769</v>
      </c>
      <c r="AH178" s="265">
        <f t="shared" si="309"/>
        <v>92797.819129966942</v>
      </c>
      <c r="AI178" s="265">
        <f t="shared" si="310"/>
        <v>21321.261147904472</v>
      </c>
      <c r="AJ178" s="265">
        <f t="shared" si="311"/>
        <v>54336.376839214834</v>
      </c>
      <c r="AK178" s="265">
        <f t="shared" si="312"/>
        <v>50580.029237573173</v>
      </c>
      <c r="AL178" s="266">
        <f t="shared" si="313"/>
        <v>219035.48635465943</v>
      </c>
      <c r="AM178" s="347"/>
      <c r="AN178" s="264">
        <f>IFERROR(VLOOKUP($A178,'HH &amp; SI'!$B$4:$Z$494,'HH &amp; SI'!V$503,0),0)</f>
        <v>92184.164271756774</v>
      </c>
      <c r="AO178" s="265">
        <f>IFERROR(VLOOKUP($A178,'HH &amp; SI'!$B$4:$Z$494,'HH &amp; SI'!W$503,0),0)</f>
        <v>20619.016758254322</v>
      </c>
      <c r="AP178" s="265">
        <f>IFERROR(VLOOKUP($A178,'HH &amp; SI'!$B$4:$Z$494,'HH &amp; SI'!X$503,0),0)</f>
        <v>53842.208706698366</v>
      </c>
      <c r="AQ178" s="265">
        <f>IFERROR(VLOOKUP($A178,'HH &amp; SI'!$B$4:$Z$494,'HH &amp; SI'!Y$503,0),0)</f>
        <v>50022.728364078641</v>
      </c>
      <c r="AR178" s="266">
        <f t="shared" si="269"/>
        <v>216668.11810078812</v>
      </c>
      <c r="AS178" s="347"/>
      <c r="AT178" s="324">
        <f>IFERROR(VLOOKUP(A178,'Afton FY16 Final'!$A$5:$BV$572,'Afton FY16 Final'!$BV$587,0),0)</f>
        <v>210567.25196744999</v>
      </c>
      <c r="AU178" s="347"/>
      <c r="AV178" s="454">
        <v>0</v>
      </c>
      <c r="AW178" s="265">
        <f>IFERROR(VLOOKUP($A178,'HH &amp; SI'!$B$4:$EY$503,'HH &amp; SI'!EX$503,0),0)</f>
        <v>6100.8661333381315</v>
      </c>
      <c r="AX178" s="265">
        <f>IFERROR(VLOOKUP($A178,'HH &amp; SI'!$B$4:$EY$503,'HH &amp; SI'!EY$503,0),0)</f>
        <v>210567.25196744999</v>
      </c>
      <c r="AY178" s="265">
        <f>AX178/$AX$582*'update_State Admin 1004(b)'!$B$30*0.01</f>
        <v>2015.2798662113398</v>
      </c>
      <c r="AZ178" s="266">
        <f t="shared" si="270"/>
        <v>208551.97210123864</v>
      </c>
      <c r="BA178" s="264">
        <f t="shared" si="271"/>
        <v>2085.5197210123865</v>
      </c>
      <c r="BB178" s="265">
        <f t="shared" si="272"/>
        <v>206466.45238022626</v>
      </c>
      <c r="BC178" s="342">
        <f t="shared" si="280"/>
        <v>0.98052498881517602</v>
      </c>
      <c r="BD178" s="347"/>
      <c r="BE178" s="377" t="str">
        <f>'Original Title I &amp; II'!AZ178</f>
        <v/>
      </c>
      <c r="BF178" s="244" t="str">
        <f t="shared" si="300"/>
        <v/>
      </c>
      <c r="BG178" s="266">
        <f t="shared" si="250"/>
        <v>206466.45238022626</v>
      </c>
      <c r="BI178" s="203">
        <f>IFERROR(VLOOKUP(A178,'Title II Hold Harmless'!A$1:B$439,2, FALSE),"")</f>
        <v>11857</v>
      </c>
      <c r="BJ178" s="203">
        <f t="shared" si="274"/>
        <v>14697.015979969163</v>
      </c>
      <c r="BK178" s="203">
        <f t="shared" si="301"/>
        <v>14711.233753584005</v>
      </c>
      <c r="BL178" s="203" t="str">
        <f t="shared" si="276"/>
        <v/>
      </c>
      <c r="BM178" s="203">
        <f t="shared" si="277"/>
        <v>14711.233753584005</v>
      </c>
      <c r="BN178" s="200"/>
      <c r="BP178" s="298" t="s">
        <v>1448</v>
      </c>
      <c r="BQ178" s="299" t="str">
        <f t="shared" si="281"/>
        <v>Y</v>
      </c>
      <c r="BR178" s="300" t="s">
        <v>1448</v>
      </c>
      <c r="BT178" s="298" t="str">
        <f t="shared" si="282"/>
        <v>Y</v>
      </c>
      <c r="BU178" s="299" t="str">
        <f t="shared" si="278"/>
        <v>Y</v>
      </c>
      <c r="BV178" s="299" t="str">
        <f t="shared" si="279"/>
        <v>Y</v>
      </c>
      <c r="BW178" s="300" t="str">
        <f t="shared" si="283"/>
        <v>Y</v>
      </c>
      <c r="BY178" s="355">
        <f t="shared" si="284"/>
        <v>0</v>
      </c>
      <c r="BZ178" s="356">
        <f t="shared" si="285"/>
        <v>0</v>
      </c>
      <c r="CA178" s="356">
        <f t="shared" si="286"/>
        <v>0.95</v>
      </c>
      <c r="CB178" s="357">
        <f t="shared" si="287"/>
        <v>0.95</v>
      </c>
      <c r="CD178" s="312">
        <f t="shared" si="288"/>
        <v>173</v>
      </c>
    </row>
    <row r="179" spans="1:82" s="48" customFormat="1" outlineLevel="1" x14ac:dyDescent="0.3">
      <c r="A179" s="202">
        <v>78793000</v>
      </c>
      <c r="B179" s="48">
        <f>VLOOKUP(C179,'NCES ID'!$A$2:$B$3136,2,FALSE)</f>
        <v>400274</v>
      </c>
      <c r="C179" s="48">
        <f>VLOOKUP(A179,'State ID'!$A$2:$B$713,2,FALSE)</f>
        <v>79053</v>
      </c>
      <c r="D179" s="48" t="s">
        <v>17</v>
      </c>
      <c r="E179" s="48" t="s">
        <v>7</v>
      </c>
      <c r="F179" s="755"/>
      <c r="G179" s="755"/>
      <c r="H179" s="755"/>
      <c r="I179" s="755"/>
      <c r="J179" s="755"/>
      <c r="K179" s="755"/>
      <c r="L179" s="454"/>
      <c r="M179" s="455"/>
      <c r="N179" s="456"/>
      <c r="O179" s="209">
        <f>VLOOKUP($C179,'AzEDS FY17 12-04-16'!$A$1:$D$712,3,FALSE)</f>
        <v>159</v>
      </c>
      <c r="P179" s="223">
        <f>VLOOKUP($C179,'AzEDS FY17 12-04-16'!$A$1:$D$712,4,FALSE)</f>
        <v>156</v>
      </c>
      <c r="Q179" s="749"/>
      <c r="R179" s="454">
        <f t="shared" si="302"/>
        <v>159</v>
      </c>
      <c r="S179" s="455">
        <f t="shared" si="303"/>
        <v>77.239659541504295</v>
      </c>
      <c r="T179" s="230">
        <f t="shared" si="304"/>
        <v>0.48578402227361189</v>
      </c>
      <c r="U179" s="264" t="str">
        <f>IFERROR(VLOOKUP($B179,#REF!,8,FALSE),"")</f>
        <v/>
      </c>
      <c r="V179" s="265" t="str">
        <f>IFERROR(VLOOKUP($B179,#REF!,9,FALSE),"")</f>
        <v/>
      </c>
      <c r="W179" s="265" t="str">
        <f>IFERROR(VLOOKUP($B179,#REF!,10,FALSE),"")</f>
        <v/>
      </c>
      <c r="X179" s="265" t="str">
        <f>IFERROR(VLOOKUP($B179,#REF!,11,FALSE),"")</f>
        <v/>
      </c>
      <c r="Y179" s="266" t="str">
        <f>IFERROR(VLOOKUP($B179,#REF!,12,FALSE),"")</f>
        <v/>
      </c>
      <c r="Z179" s="265">
        <f t="shared" si="305"/>
        <v>37310.463361533097</v>
      </c>
      <c r="AA179" s="265">
        <f t="shared" si="306"/>
        <v>7715.7438230708931</v>
      </c>
      <c r="AB179" s="265">
        <f t="shared" si="307"/>
        <v>21836.395995523591</v>
      </c>
      <c r="AC179" s="266">
        <f t="shared" si="308"/>
        <v>20326.816253594876</v>
      </c>
      <c r="AD179" s="265">
        <f t="shared" si="260"/>
        <v>37310.463361533097</v>
      </c>
      <c r="AE179" s="265">
        <f t="shared" si="261"/>
        <v>7715.7438230708931</v>
      </c>
      <c r="AF179" s="265">
        <f t="shared" si="262"/>
        <v>21836.395995523591</v>
      </c>
      <c r="AG179" s="266">
        <f t="shared" si="263"/>
        <v>20326.816253594876</v>
      </c>
      <c r="AH179" s="265">
        <f t="shared" si="309"/>
        <v>37310.463361533097</v>
      </c>
      <c r="AI179" s="265">
        <f t="shared" si="310"/>
        <v>9846.5652059016065</v>
      </c>
      <c r="AJ179" s="265">
        <f t="shared" si="311"/>
        <v>21861.736640743849</v>
      </c>
      <c r="AK179" s="265">
        <f t="shared" si="312"/>
        <v>20350.405065560277</v>
      </c>
      <c r="AL179" s="266">
        <f t="shared" si="313"/>
        <v>89369.170273738826</v>
      </c>
      <c r="AM179" s="347"/>
      <c r="AN179" s="264">
        <f>IFERROR(VLOOKUP($A179,'HH &amp; SI'!$B$4:$Z$494,'HH &amp; SI'!V$503,0),0)</f>
        <v>60045.771040209613</v>
      </c>
      <c r="AO179" s="265">
        <f>IFERROR(VLOOKUP($A179,'HH &amp; SI'!$B$4:$Z$494,'HH &amp; SI'!W$503,0),0)</f>
        <v>12928.858998855349</v>
      </c>
      <c r="AP179" s="265">
        <f>IFERROR(VLOOKUP($A179,'HH &amp; SI'!$B$4:$Z$494,'HH &amp; SI'!X$503,0),0)</f>
        <v>31837.145109774014</v>
      </c>
      <c r="AQ179" s="265">
        <f>IFERROR(VLOOKUP($A179,'HH &amp; SI'!$B$4:$Z$494,'HH &amp; SI'!Y$503,0),0)</f>
        <v>30674.870160659291</v>
      </c>
      <c r="AR179" s="266">
        <f t="shared" si="269"/>
        <v>135486.64530949824</v>
      </c>
      <c r="AS179" s="347"/>
      <c r="AT179" s="324">
        <f>IFERROR(VLOOKUP(A179,'Afton FY16 Final'!$A$5:$BV$572,'Afton FY16 Final'!$BV$587,0),0)</f>
        <v>134687.62778499461</v>
      </c>
      <c r="AU179" s="347"/>
      <c r="AV179" s="454">
        <v>0</v>
      </c>
      <c r="AW179" s="265">
        <f>IFERROR(VLOOKUP($A179,'HH &amp; SI'!$B$4:$EY$503,'HH &amp; SI'!EX$503,0),0)</f>
        <v>799.01752450363711</v>
      </c>
      <c r="AX179" s="265">
        <f>IFERROR(VLOOKUP($A179,'HH &amp; SI'!$B$4:$EY$503,'HH &amp; SI'!EY$503,0),0)</f>
        <v>134687.62778499461</v>
      </c>
      <c r="AY179" s="265">
        <f>AX179/$AX$582*'update_State Admin 1004(b)'!$B$30*0.01</f>
        <v>1289.0573532527533</v>
      </c>
      <c r="AZ179" s="266">
        <f t="shared" si="270"/>
        <v>133398.57043174186</v>
      </c>
      <c r="BA179" s="264">
        <f t="shared" si="271"/>
        <v>1333.9857043174186</v>
      </c>
      <c r="BB179" s="265">
        <f t="shared" si="272"/>
        <v>132064.58472742443</v>
      </c>
      <c r="BC179" s="342">
        <f t="shared" si="280"/>
        <v>0.98052498881517602</v>
      </c>
      <c r="BD179" s="347"/>
      <c r="BE179" s="377" t="str">
        <f>'Original Title I &amp; II'!AZ179</f>
        <v/>
      </c>
      <c r="BF179" s="244" t="str">
        <f t="shared" si="300"/>
        <v/>
      </c>
      <c r="BG179" s="266">
        <f t="shared" si="250"/>
        <v>132064.58472742443</v>
      </c>
      <c r="BI179" s="203">
        <f>IFERROR(VLOOKUP(A179,'Title II Hold Harmless'!A$1:B$439,2, FALSE),"")</f>
        <v>3635</v>
      </c>
      <c r="BJ179" s="203">
        <f t="shared" si="274"/>
        <v>4774.0992260020266</v>
      </c>
      <c r="BK179" s="203">
        <f t="shared" si="301"/>
        <v>4778.7176507286922</v>
      </c>
      <c r="BL179" s="203" t="str">
        <f t="shared" si="276"/>
        <v/>
      </c>
      <c r="BM179" s="203">
        <f t="shared" si="277"/>
        <v>4778.7176507286922</v>
      </c>
      <c r="BN179" s="200"/>
      <c r="BP179" s="298" t="s">
        <v>1448</v>
      </c>
      <c r="BQ179" s="299" t="str">
        <f t="shared" si="281"/>
        <v>Y</v>
      </c>
      <c r="BR179" s="300" t="s">
        <v>1448</v>
      </c>
      <c r="BT179" s="298" t="str">
        <f t="shared" si="282"/>
        <v>Y</v>
      </c>
      <c r="BU179" s="299" t="str">
        <f t="shared" si="278"/>
        <v>Y</v>
      </c>
      <c r="BV179" s="299" t="str">
        <f t="shared" si="279"/>
        <v>Y</v>
      </c>
      <c r="BW179" s="300" t="str">
        <f t="shared" si="283"/>
        <v>Y</v>
      </c>
      <c r="BY179" s="355">
        <f t="shared" si="284"/>
        <v>0</v>
      </c>
      <c r="BZ179" s="356">
        <f t="shared" si="285"/>
        <v>0</v>
      </c>
      <c r="CA179" s="356">
        <f t="shared" si="286"/>
        <v>0.95</v>
      </c>
      <c r="CB179" s="357">
        <f t="shared" si="287"/>
        <v>0.95</v>
      </c>
      <c r="CD179" s="312">
        <f t="shared" si="288"/>
        <v>174</v>
      </c>
    </row>
    <row r="180" spans="1:82" s="48" customFormat="1" outlineLevel="1" x14ac:dyDescent="0.3">
      <c r="A180" s="202">
        <v>78967000</v>
      </c>
      <c r="B180" s="48">
        <f>VLOOKUP(C180,'NCES ID'!$A$2:$B$3136,2,FALSE)</f>
        <v>400396</v>
      </c>
      <c r="C180" s="48">
        <f>VLOOKUP(A180,'State ID'!$A$2:$B$713,2,FALSE)</f>
        <v>79969</v>
      </c>
      <c r="D180" s="48" t="s">
        <v>23</v>
      </c>
      <c r="E180" s="48" t="s">
        <v>7</v>
      </c>
      <c r="F180" s="755"/>
      <c r="G180" s="755"/>
      <c r="H180" s="755"/>
      <c r="I180" s="755"/>
      <c r="J180" s="755"/>
      <c r="K180" s="755"/>
      <c r="L180" s="454"/>
      <c r="M180" s="455"/>
      <c r="N180" s="456"/>
      <c r="O180" s="209">
        <f>VLOOKUP($C180,'Final SEA Counts'!$A$2:$F$709,5,FALSE)</f>
        <v>118</v>
      </c>
      <c r="P180" s="223">
        <f>VLOOKUP($C180,'Final SEA Counts'!$A$2:$F$709,6,FALSE)</f>
        <v>101</v>
      </c>
      <c r="Q180" s="749"/>
      <c r="R180" s="454">
        <f t="shared" si="302"/>
        <v>118</v>
      </c>
      <c r="S180" s="455">
        <f t="shared" si="303"/>
        <v>50.007728292897013</v>
      </c>
      <c r="T180" s="230">
        <f t="shared" si="304"/>
        <v>0.42379430756692382</v>
      </c>
      <c r="U180" s="264" t="str">
        <f>IFERROR(VLOOKUP($B180,#REF!,8,FALSE),"")</f>
        <v/>
      </c>
      <c r="V180" s="265" t="str">
        <f>IFERROR(VLOOKUP($B180,#REF!,9,FALSE),"")</f>
        <v/>
      </c>
      <c r="W180" s="265" t="str">
        <f>IFERROR(VLOOKUP($B180,#REF!,10,FALSE),"")</f>
        <v/>
      </c>
      <c r="X180" s="265" t="str">
        <f>IFERROR(VLOOKUP($B180,#REF!,11,FALSE),"")</f>
        <v/>
      </c>
      <c r="Y180" s="266" t="str">
        <f>IFERROR(VLOOKUP($B180,#REF!,12,FALSE),"")</f>
        <v/>
      </c>
      <c r="Z180" s="265">
        <f t="shared" si="305"/>
        <v>24156.133330223354</v>
      </c>
      <c r="AA180" s="265">
        <f t="shared" si="306"/>
        <v>4995.4495264753859</v>
      </c>
      <c r="AB180" s="265">
        <f t="shared" si="307"/>
        <v>14137.666638127454</v>
      </c>
      <c r="AC180" s="266">
        <f t="shared" si="308"/>
        <v>13160.310523160786</v>
      </c>
      <c r="AD180" s="265">
        <f t="shared" si="260"/>
        <v>24156.133330223354</v>
      </c>
      <c r="AE180" s="265">
        <f t="shared" si="261"/>
        <v>4995.4495264753859</v>
      </c>
      <c r="AF180" s="265">
        <f t="shared" si="262"/>
        <v>14137.666638127454</v>
      </c>
      <c r="AG180" s="266">
        <f t="shared" si="263"/>
        <v>13160.310523160786</v>
      </c>
      <c r="AH180" s="265">
        <f t="shared" si="309"/>
        <v>24156.133330223354</v>
      </c>
      <c r="AI180" s="265">
        <f t="shared" si="310"/>
        <v>7126.2709093060985</v>
      </c>
      <c r="AJ180" s="265">
        <f t="shared" si="311"/>
        <v>14163.007283347713</v>
      </c>
      <c r="AK180" s="265">
        <f t="shared" si="312"/>
        <v>13183.899335126189</v>
      </c>
      <c r="AL180" s="266">
        <f t="shared" si="313"/>
        <v>58629.310858003359</v>
      </c>
      <c r="AM180" s="347"/>
      <c r="AN180" s="264">
        <f>IFERROR(VLOOKUP($A180,'HH &amp; SI'!$B$4:$Z$494,'HH &amp; SI'!V$503,0),0)</f>
        <v>23826.627992730708</v>
      </c>
      <c r="AO180" s="265">
        <f>IFERROR(VLOOKUP($A180,'HH &amp; SI'!$B$4:$Z$494,'HH &amp; SI'!W$503,0),0)</f>
        <v>6891.5575998788509</v>
      </c>
      <c r="AP180" s="265">
        <f>IFERROR(VLOOKUP($A180,'HH &amp; SI'!$B$4:$Z$494,'HH &amp; SI'!X$503,0),0)</f>
        <v>14034.200261842778</v>
      </c>
      <c r="AQ180" s="265">
        <f>IFERROR(VLOOKUP($A180,'HH &amp; SI'!$B$4:$Z$494,'HH &amp; SI'!Y$503,0),0)</f>
        <v>13038.636496684177</v>
      </c>
      <c r="AR180" s="266">
        <f t="shared" si="269"/>
        <v>57791.022351136518</v>
      </c>
      <c r="AS180" s="347"/>
      <c r="AT180" s="324">
        <f>IFERROR(VLOOKUP(A180,'Afton FY16 Final'!$A$5:$BV$572,'Afton FY16 Final'!$BV$587,0),0)</f>
        <v>48857.710410918939</v>
      </c>
      <c r="AU180" s="347"/>
      <c r="AV180" s="454">
        <v>0</v>
      </c>
      <c r="AW180" s="265">
        <f>IFERROR(VLOOKUP($A180,'HH &amp; SI'!$B$4:$EY$503,'HH &amp; SI'!EX$503,0),0)</f>
        <v>3237.0543697100802</v>
      </c>
      <c r="AX180" s="265">
        <f>IFERROR(VLOOKUP($A180,'HH &amp; SI'!$B$4:$EY$503,'HH &amp; SI'!EY$503,0),0)</f>
        <v>54553.967981426438</v>
      </c>
      <c r="AY180" s="265">
        <f>AX180/$AX$582*'update_State Admin 1004(b)'!$B$30*0.01</f>
        <v>522.12066343489073</v>
      </c>
      <c r="AZ180" s="266">
        <f t="shared" si="270"/>
        <v>54031.847317991545</v>
      </c>
      <c r="BA180" s="264">
        <f t="shared" si="271"/>
        <v>540.31847317991549</v>
      </c>
      <c r="BB180" s="265">
        <f t="shared" si="272"/>
        <v>53491.528844811633</v>
      </c>
      <c r="BC180" s="342">
        <f t="shared" si="280"/>
        <v>1.0948431351964685</v>
      </c>
      <c r="BD180" s="347"/>
      <c r="BE180" s="377" t="str">
        <f>'Original Title I &amp; II'!AZ180</f>
        <v/>
      </c>
      <c r="BF180" s="244" t="str">
        <f t="shared" si="300"/>
        <v/>
      </c>
      <c r="BG180" s="266">
        <f t="shared" si="250"/>
        <v>53491.528844811633</v>
      </c>
      <c r="BI180" s="203" t="str">
        <f>IFERROR(VLOOKUP(A180,'Title II Hold Harmless'!A$1:B$439,2, FALSE),"")</f>
        <v/>
      </c>
      <c r="BJ180" s="203">
        <f t="shared" si="274"/>
        <v>749.61215574885148</v>
      </c>
      <c r="BK180" s="203">
        <f t="shared" si="301"/>
        <v>750.33732444594591</v>
      </c>
      <c r="BL180" s="203" t="str">
        <f t="shared" si="276"/>
        <v/>
      </c>
      <c r="BM180" s="203">
        <f t="shared" si="277"/>
        <v>750.33732444594591</v>
      </c>
      <c r="BN180" s="200"/>
      <c r="BP180" s="298" t="s">
        <v>1448</v>
      </c>
      <c r="BQ180" s="299" t="str">
        <f t="shared" si="281"/>
        <v>Y</v>
      </c>
      <c r="BR180" s="300" t="s">
        <v>1448</v>
      </c>
      <c r="BT180" s="298" t="str">
        <f t="shared" si="282"/>
        <v>Y</v>
      </c>
      <c r="BU180" s="299" t="str">
        <f t="shared" si="278"/>
        <v>Y</v>
      </c>
      <c r="BV180" s="299" t="str">
        <f t="shared" si="279"/>
        <v>Y</v>
      </c>
      <c r="BW180" s="300" t="str">
        <f t="shared" si="283"/>
        <v>Y</v>
      </c>
      <c r="BY180" s="355">
        <f t="shared" si="284"/>
        <v>0</v>
      </c>
      <c r="BZ180" s="356">
        <f t="shared" si="285"/>
        <v>0</v>
      </c>
      <c r="CA180" s="356">
        <f t="shared" si="286"/>
        <v>0.95</v>
      </c>
      <c r="CB180" s="357">
        <f t="shared" si="287"/>
        <v>0.95</v>
      </c>
      <c r="CD180" s="312">
        <f t="shared" si="288"/>
        <v>175</v>
      </c>
    </row>
    <row r="181" spans="1:82" s="48" customFormat="1" outlineLevel="1" x14ac:dyDescent="0.3">
      <c r="A181" s="202">
        <v>78950000</v>
      </c>
      <c r="B181" s="48">
        <f>VLOOKUP(C181,'NCES ID'!$A$2:$B$3136,2,FALSE)</f>
        <v>400385</v>
      </c>
      <c r="C181" s="48">
        <f>VLOOKUP(A181,'State ID'!$A$2:$B$713,2,FALSE)</f>
        <v>79874</v>
      </c>
      <c r="D181" s="48" t="s">
        <v>27</v>
      </c>
      <c r="E181" s="48" t="s">
        <v>7</v>
      </c>
      <c r="F181" s="755"/>
      <c r="G181" s="755"/>
      <c r="H181" s="755"/>
      <c r="I181" s="755"/>
      <c r="J181" s="755"/>
      <c r="K181" s="755"/>
      <c r="L181" s="454"/>
      <c r="M181" s="455"/>
      <c r="N181" s="456"/>
      <c r="O181" s="209">
        <f>VLOOKUP($C181,'Final SEA Counts'!$A$2:$F$709,5,FALSE)</f>
        <v>150</v>
      </c>
      <c r="P181" s="223">
        <f>VLOOKUP($C181,'Final SEA Counts'!$A$2:$F$709,6,FALSE)</f>
        <v>139</v>
      </c>
      <c r="Q181" s="749"/>
      <c r="R181" s="454">
        <f t="shared" si="302"/>
        <v>150</v>
      </c>
      <c r="S181" s="455">
        <f t="shared" si="303"/>
        <v>68.822517155571134</v>
      </c>
      <c r="T181" s="230">
        <f t="shared" si="304"/>
        <v>0.45881678103714091</v>
      </c>
      <c r="U181" s="264" t="str">
        <f>IFERROR(VLOOKUP($B181,#REF!,8,FALSE),"")</f>
        <v/>
      </c>
      <c r="V181" s="265" t="str">
        <f>IFERROR(VLOOKUP($B181,#REF!,9,FALSE),"")</f>
        <v/>
      </c>
      <c r="W181" s="265" t="str">
        <f>IFERROR(VLOOKUP($B181,#REF!,10,FALSE),"")</f>
        <v/>
      </c>
      <c r="X181" s="265" t="str">
        <f>IFERROR(VLOOKUP($B181,#REF!,11,FALSE),"")</f>
        <v/>
      </c>
      <c r="Y181" s="266" t="str">
        <f>IFERROR(VLOOKUP($B181,#REF!,12,FALSE),"")</f>
        <v/>
      </c>
      <c r="Z181" s="265">
        <f t="shared" si="305"/>
        <v>33244.579533673721</v>
      </c>
      <c r="AA181" s="265">
        <f t="shared" si="306"/>
        <v>6874.9255859413724</v>
      </c>
      <c r="AB181" s="265">
        <f t="shared" si="307"/>
        <v>19456.788739601147</v>
      </c>
      <c r="AC181" s="266">
        <f t="shared" si="308"/>
        <v>18111.714482369793</v>
      </c>
      <c r="AD181" s="265">
        <f t="shared" si="260"/>
        <v>33244.579533673721</v>
      </c>
      <c r="AE181" s="265">
        <f t="shared" si="261"/>
        <v>6874.9255859413724</v>
      </c>
      <c r="AF181" s="265">
        <f t="shared" si="262"/>
        <v>19456.788739601147</v>
      </c>
      <c r="AG181" s="266">
        <f t="shared" si="263"/>
        <v>18111.714482369793</v>
      </c>
      <c r="AH181" s="265">
        <f t="shared" si="309"/>
        <v>33244.579533673721</v>
      </c>
      <c r="AI181" s="265">
        <f t="shared" si="310"/>
        <v>9005.7469687720841</v>
      </c>
      <c r="AJ181" s="265">
        <f t="shared" si="311"/>
        <v>19482.129384821405</v>
      </c>
      <c r="AK181" s="265">
        <f t="shared" si="312"/>
        <v>18135.303294335194</v>
      </c>
      <c r="AL181" s="266">
        <f t="shared" si="313"/>
        <v>79867.759181602407</v>
      </c>
      <c r="AM181" s="347"/>
      <c r="AN181" s="264">
        <f>IFERROR(VLOOKUP($A181,'HH &amp; SI'!$B$4:$Z$494,'HH &amp; SI'!V$503,0),0)</f>
        <v>39605.048353791812</v>
      </c>
      <c r="AO181" s="265">
        <f>IFERROR(VLOOKUP($A181,'HH &amp; SI'!$B$4:$Z$494,'HH &amp; SI'!W$503,0),0)</f>
        <v>8709.1305894895413</v>
      </c>
      <c r="AP181" s="265">
        <f>IFERROR(VLOOKUP($A181,'HH &amp; SI'!$B$4:$Z$494,'HH &amp; SI'!X$503,0),0)</f>
        <v>19869.120880124716</v>
      </c>
      <c r="AQ181" s="265">
        <f>IFERROR(VLOOKUP($A181,'HH &amp; SI'!$B$4:$Z$494,'HH &amp; SI'!Y$503,0),0)</f>
        <v>18645.67107246412</v>
      </c>
      <c r="AR181" s="266">
        <f t="shared" si="269"/>
        <v>86828.970895870181</v>
      </c>
      <c r="AS181" s="347"/>
      <c r="AT181" s="324">
        <f>IFERROR(VLOOKUP(A181,'Afton FY16 Final'!$A$5:$BV$572,'Afton FY16 Final'!$BV$587,0),0)</f>
        <v>88774.218496278001</v>
      </c>
      <c r="AU181" s="347"/>
      <c r="AV181" s="454">
        <v>0</v>
      </c>
      <c r="AW181" s="265">
        <f>IFERROR(VLOOKUP($A181,'HH &amp; SI'!$B$4:$EY$503,'HH &amp; SI'!EX$503,0),0)</f>
        <v>0</v>
      </c>
      <c r="AX181" s="265">
        <f>IFERROR(VLOOKUP($A181,'HH &amp; SI'!$B$4:$EY$503,'HH &amp; SI'!EY$503,0),0)</f>
        <v>86828.970895870181</v>
      </c>
      <c r="AY181" s="265">
        <f>AX181/$AX$582*'update_State Admin 1004(b)'!$B$30*0.01</f>
        <v>831.01562667183953</v>
      </c>
      <c r="AZ181" s="266">
        <f t="shared" si="270"/>
        <v>85997.955269198341</v>
      </c>
      <c r="BA181" s="264">
        <f t="shared" si="271"/>
        <v>859.97955269198337</v>
      </c>
      <c r="BB181" s="265">
        <f t="shared" si="272"/>
        <v>85137.975716506364</v>
      </c>
      <c r="BC181" s="342">
        <f t="shared" si="280"/>
        <v>0.95903942787258567</v>
      </c>
      <c r="BD181" s="347"/>
      <c r="BE181" s="377" t="str">
        <f>'Original Title I &amp; II'!AZ181</f>
        <v/>
      </c>
      <c r="BF181" s="244" t="str">
        <f t="shared" si="300"/>
        <v/>
      </c>
      <c r="BG181" s="266">
        <f t="shared" si="250"/>
        <v>85137.975716506364</v>
      </c>
      <c r="BI181" s="203" t="str">
        <f>IFERROR(VLOOKUP(A181,'Title II Hold Harmless'!A$1:B$439,2, FALSE),"")</f>
        <v/>
      </c>
      <c r="BJ181" s="203">
        <f t="shared" si="274"/>
        <v>1021.6681231469969</v>
      </c>
      <c r="BK181" s="203">
        <f t="shared" si="301"/>
        <v>1022.6564765722229</v>
      </c>
      <c r="BL181" s="203" t="str">
        <f t="shared" si="276"/>
        <v/>
      </c>
      <c r="BM181" s="203">
        <f t="shared" si="277"/>
        <v>1022.6564765722229</v>
      </c>
      <c r="BN181" s="200"/>
      <c r="BP181" s="298" t="s">
        <v>1448</v>
      </c>
      <c r="BQ181" s="299" t="str">
        <f t="shared" si="281"/>
        <v>Y</v>
      </c>
      <c r="BR181" s="300" t="s">
        <v>1448</v>
      </c>
      <c r="BT181" s="298" t="str">
        <f t="shared" si="282"/>
        <v>Y</v>
      </c>
      <c r="BU181" s="299" t="str">
        <f t="shared" si="278"/>
        <v>Y</v>
      </c>
      <c r="BV181" s="299" t="str">
        <f t="shared" si="279"/>
        <v>Y</v>
      </c>
      <c r="BW181" s="300" t="str">
        <f t="shared" si="283"/>
        <v>Y</v>
      </c>
      <c r="BY181" s="355">
        <f t="shared" si="284"/>
        <v>0</v>
      </c>
      <c r="BZ181" s="356">
        <f t="shared" si="285"/>
        <v>0</v>
      </c>
      <c r="CA181" s="356">
        <f t="shared" si="286"/>
        <v>0.95</v>
      </c>
      <c r="CB181" s="357">
        <f t="shared" si="287"/>
        <v>0.95</v>
      </c>
      <c r="CD181" s="312">
        <f t="shared" si="288"/>
        <v>176</v>
      </c>
    </row>
    <row r="182" spans="1:82" s="48" customFormat="1" outlineLevel="1" x14ac:dyDescent="0.3">
      <c r="A182" s="202">
        <v>78947000</v>
      </c>
      <c r="B182" s="48">
        <f>VLOOKUP(C182,'NCES ID'!$A$2:$B$3136,2,FALSE)</f>
        <v>400384</v>
      </c>
      <c r="C182" s="48">
        <f>VLOOKUP(A182,'State ID'!$A$2:$B$713,2,FALSE)</f>
        <v>79872</v>
      </c>
      <c r="D182" s="48" t="s">
        <v>28</v>
      </c>
      <c r="E182" s="48" t="s">
        <v>7</v>
      </c>
      <c r="F182" s="755"/>
      <c r="G182" s="755"/>
      <c r="H182" s="755"/>
      <c r="I182" s="755"/>
      <c r="J182" s="755"/>
      <c r="K182" s="755"/>
      <c r="L182" s="454"/>
      <c r="M182" s="455"/>
      <c r="N182" s="456"/>
      <c r="O182" s="209">
        <f>VLOOKUP($C182,'Final SEA Counts'!$A$2:$F$709,5,FALSE)</f>
        <v>109</v>
      </c>
      <c r="P182" s="223">
        <f>VLOOKUP($C182,'Final SEA Counts'!$A$2:$F$709,6,FALSE)</f>
        <v>65</v>
      </c>
      <c r="Q182" s="749"/>
      <c r="R182" s="454">
        <f t="shared" si="302"/>
        <v>109</v>
      </c>
      <c r="S182" s="455">
        <f t="shared" si="303"/>
        <v>32.183191475626792</v>
      </c>
      <c r="T182" s="230">
        <f t="shared" si="304"/>
        <v>0.2952586373910715</v>
      </c>
      <c r="U182" s="264" t="str">
        <f>IFERROR(VLOOKUP($B182,#REF!,8,FALSE),"")</f>
        <v/>
      </c>
      <c r="V182" s="265" t="str">
        <f>IFERROR(VLOOKUP($B182,#REF!,9,FALSE),"")</f>
        <v/>
      </c>
      <c r="W182" s="265" t="str">
        <f>IFERROR(VLOOKUP($B182,#REF!,10,FALSE),"")</f>
        <v/>
      </c>
      <c r="X182" s="265" t="str">
        <f>IFERROR(VLOOKUP($B182,#REF!,11,FALSE),"")</f>
        <v/>
      </c>
      <c r="Y182" s="266" t="str">
        <f>IFERROR(VLOOKUP($B182,#REF!,12,FALSE),"")</f>
        <v/>
      </c>
      <c r="Z182" s="265">
        <f t="shared" si="305"/>
        <v>15546.026400638792</v>
      </c>
      <c r="AA182" s="265">
        <f t="shared" si="306"/>
        <v>3214.8932596128725</v>
      </c>
      <c r="AB182" s="265">
        <f t="shared" si="307"/>
        <v>9098.4983314681631</v>
      </c>
      <c r="AC182" s="266">
        <f t="shared" si="308"/>
        <v>8469.5067723311986</v>
      </c>
      <c r="AD182" s="265">
        <f t="shared" si="260"/>
        <v>15546.026400638792</v>
      </c>
      <c r="AE182" s="265">
        <f t="shared" si="261"/>
        <v>3214.8932596128725</v>
      </c>
      <c r="AF182" s="265">
        <f t="shared" si="262"/>
        <v>9098.4983314681631</v>
      </c>
      <c r="AG182" s="266">
        <f t="shared" si="263"/>
        <v>8469.5067723311986</v>
      </c>
      <c r="AH182" s="265">
        <f t="shared" si="309"/>
        <v>15546.026400638792</v>
      </c>
      <c r="AI182" s="265">
        <f t="shared" si="310"/>
        <v>5345.714642443585</v>
      </c>
      <c r="AJ182" s="265">
        <f t="shared" si="311"/>
        <v>9123.8389766884229</v>
      </c>
      <c r="AK182" s="265">
        <f t="shared" si="312"/>
        <v>8493.0955842966014</v>
      </c>
      <c r="AL182" s="266">
        <f t="shared" si="313"/>
        <v>38508.675604067401</v>
      </c>
      <c r="AM182" s="347"/>
      <c r="AN182" s="264">
        <f>IFERROR(VLOOKUP($A182,'HH &amp; SI'!$B$4:$Z$494,'HH &amp; SI'!V$503,0),0)</f>
        <v>26402.156940251138</v>
      </c>
      <c r="AO182" s="265">
        <f>IFERROR(VLOOKUP($A182,'HH &amp; SI'!$B$4:$Z$494,'HH &amp; SI'!W$503,0),0)</f>
        <v>5372.7583545517991</v>
      </c>
      <c r="AP182" s="265">
        <f>IFERROR(VLOOKUP($A182,'HH &amp; SI'!$B$4:$Z$494,'HH &amp; SI'!X$503,0),0)</f>
        <v>13245.474239943693</v>
      </c>
      <c r="AQ182" s="265">
        <f>IFERROR(VLOOKUP($A182,'HH &amp; SI'!$B$4:$Z$494,'HH &amp; SI'!Y$503,0),0)</f>
        <v>12429.878370906392</v>
      </c>
      <c r="AR182" s="266">
        <f t="shared" si="269"/>
        <v>57450.267905653025</v>
      </c>
      <c r="AS182" s="347"/>
      <c r="AT182" s="324">
        <f>IFERROR(VLOOKUP(A182,'Afton FY16 Final'!$A$5:$BV$572,'Afton FY16 Final'!$BV$587,0),0)</f>
        <v>62576.746822338864</v>
      </c>
      <c r="AU182" s="347"/>
      <c r="AV182" s="454">
        <v>0</v>
      </c>
      <c r="AW182" s="265">
        <f>IFERROR(VLOOKUP($A182,'HH &amp; SI'!$B$4:$EY$503,'HH &amp; SI'!EX$503,0),0)</f>
        <v>0</v>
      </c>
      <c r="AX182" s="265">
        <f>IFERROR(VLOOKUP($A182,'HH &amp; SI'!$B$4:$EY$503,'HH &amp; SI'!EY$503,0),0)</f>
        <v>57450.267905653025</v>
      </c>
      <c r="AY182" s="265">
        <f>AX182/$AX$582*'update_State Admin 1004(b)'!$B$30*0.01</f>
        <v>549.84033432039735</v>
      </c>
      <c r="AZ182" s="266">
        <f t="shared" si="270"/>
        <v>56900.427571332628</v>
      </c>
      <c r="BA182" s="264">
        <f t="shared" si="271"/>
        <v>569.00427571332625</v>
      </c>
      <c r="BB182" s="265">
        <f t="shared" si="272"/>
        <v>56331.423295619301</v>
      </c>
      <c r="BC182" s="342">
        <f t="shared" si="280"/>
        <v>0.90019737612038842</v>
      </c>
      <c r="BD182" s="347"/>
      <c r="BE182" s="377" t="str">
        <f>'Original Title I &amp; II'!AZ182</f>
        <v/>
      </c>
      <c r="BF182" s="244" t="str">
        <f t="shared" si="300"/>
        <v/>
      </c>
      <c r="BG182" s="266">
        <f t="shared" si="250"/>
        <v>56331.423295619301</v>
      </c>
      <c r="BI182" s="203" t="str">
        <f>IFERROR(VLOOKUP(A182,'Title II Hold Harmless'!A$1:B$439,2, FALSE),"")</f>
        <v/>
      </c>
      <c r="BJ182" s="203">
        <f t="shared" si="274"/>
        <v>509.02986422661689</v>
      </c>
      <c r="BK182" s="203">
        <f t="shared" si="301"/>
        <v>509.52229557340399</v>
      </c>
      <c r="BL182" s="203" t="str">
        <f t="shared" si="276"/>
        <v/>
      </c>
      <c r="BM182" s="203">
        <f t="shared" si="277"/>
        <v>509.52229557340399</v>
      </c>
      <c r="BN182" s="200"/>
      <c r="BP182" s="298" t="s">
        <v>1448</v>
      </c>
      <c r="BQ182" s="299" t="str">
        <f t="shared" si="281"/>
        <v>Y</v>
      </c>
      <c r="BR182" s="300" t="s">
        <v>1448</v>
      </c>
      <c r="BT182" s="298" t="str">
        <f t="shared" si="282"/>
        <v>Y</v>
      </c>
      <c r="BU182" s="299" t="str">
        <f t="shared" si="278"/>
        <v>Y</v>
      </c>
      <c r="BV182" s="299" t="str">
        <f t="shared" si="279"/>
        <v>Y</v>
      </c>
      <c r="BW182" s="300" t="str">
        <f t="shared" si="283"/>
        <v>Y</v>
      </c>
      <c r="BY182" s="355">
        <f t="shared" si="284"/>
        <v>0</v>
      </c>
      <c r="BZ182" s="356">
        <f t="shared" si="285"/>
        <v>0.9</v>
      </c>
      <c r="CA182" s="356">
        <f t="shared" si="286"/>
        <v>0</v>
      </c>
      <c r="CB182" s="357">
        <f t="shared" si="287"/>
        <v>0.9</v>
      </c>
      <c r="CD182" s="312">
        <f t="shared" si="288"/>
        <v>177</v>
      </c>
    </row>
    <row r="183" spans="1:82" s="48" customFormat="1" outlineLevel="1" x14ac:dyDescent="0.3">
      <c r="A183" s="202">
        <v>78948000</v>
      </c>
      <c r="B183" s="48">
        <f>VLOOKUP(C183,'NCES ID'!$A$2:$B$3136,2,FALSE)</f>
        <v>400352</v>
      </c>
      <c r="C183" s="48">
        <f>VLOOKUP(A183,'State ID'!$A$2:$B$713,2,FALSE)</f>
        <v>79873</v>
      </c>
      <c r="D183" s="48" t="s">
        <v>29</v>
      </c>
      <c r="E183" s="48" t="s">
        <v>7</v>
      </c>
      <c r="F183" s="755"/>
      <c r="G183" s="755"/>
      <c r="H183" s="755"/>
      <c r="I183" s="755"/>
      <c r="J183" s="755"/>
      <c r="K183" s="755"/>
      <c r="L183" s="454"/>
      <c r="M183" s="455"/>
      <c r="N183" s="456"/>
      <c r="O183" s="209">
        <f>VLOOKUP($C183,'Final SEA Counts'!$A$2:$F$709,5,FALSE)</f>
        <v>106</v>
      </c>
      <c r="P183" s="223">
        <f>VLOOKUP($C183,'Final SEA Counts'!$A$2:$F$709,6,FALSE)</f>
        <v>80</v>
      </c>
      <c r="Q183" s="749"/>
      <c r="R183" s="454">
        <f t="shared" si="302"/>
        <v>106</v>
      </c>
      <c r="S183" s="455">
        <f t="shared" si="303"/>
        <v>39.610081816156047</v>
      </c>
      <c r="T183" s="230">
        <f t="shared" si="304"/>
        <v>0.37368001713354759</v>
      </c>
      <c r="U183" s="264" t="str">
        <f>IFERROR(VLOOKUP($B183,#REF!,8,FALSE),"")</f>
        <v/>
      </c>
      <c r="V183" s="265" t="str">
        <f>IFERROR(VLOOKUP($B183,#REF!,9,FALSE),"")</f>
        <v/>
      </c>
      <c r="W183" s="265" t="str">
        <f>IFERROR(VLOOKUP($B183,#REF!,10,FALSE),"")</f>
        <v/>
      </c>
      <c r="X183" s="265" t="str">
        <f>IFERROR(VLOOKUP($B183,#REF!,11,FALSE),"")</f>
        <v/>
      </c>
      <c r="Y183" s="266" t="str">
        <f>IFERROR(VLOOKUP($B183,#REF!,12,FALSE),"")</f>
        <v/>
      </c>
      <c r="Z183" s="265">
        <f t="shared" si="305"/>
        <v>19133.570954632356</v>
      </c>
      <c r="AA183" s="265">
        <f t="shared" si="306"/>
        <v>3956.7917041389192</v>
      </c>
      <c r="AB183" s="265">
        <f t="shared" si="307"/>
        <v>11198.1517925762</v>
      </c>
      <c r="AC183" s="266">
        <f t="shared" si="308"/>
        <v>10424.008335176859</v>
      </c>
      <c r="AD183" s="265">
        <f t="shared" si="260"/>
        <v>19133.570954632356</v>
      </c>
      <c r="AE183" s="265">
        <f t="shared" si="261"/>
        <v>3956.7917041389192</v>
      </c>
      <c r="AF183" s="265">
        <f t="shared" si="262"/>
        <v>11198.1517925762</v>
      </c>
      <c r="AG183" s="266">
        <f t="shared" si="263"/>
        <v>10424.008335176859</v>
      </c>
      <c r="AH183" s="265">
        <f t="shared" si="309"/>
        <v>19133.570954632356</v>
      </c>
      <c r="AI183" s="265">
        <f t="shared" si="310"/>
        <v>6087.6130869696317</v>
      </c>
      <c r="AJ183" s="265">
        <f t="shared" si="311"/>
        <v>11223.49243779646</v>
      </c>
      <c r="AK183" s="265">
        <f t="shared" si="312"/>
        <v>10447.597147142262</v>
      </c>
      <c r="AL183" s="266">
        <f t="shared" si="313"/>
        <v>46892.273626540707</v>
      </c>
      <c r="AM183" s="347"/>
      <c r="AN183" s="264">
        <f>IFERROR(VLOOKUP($A183,'HH &amp; SI'!$B$4:$Z$494,'HH &amp; SI'!V$503,0),0)</f>
        <v>55765.729003902248</v>
      </c>
      <c r="AO183" s="265">
        <f>IFERROR(VLOOKUP($A183,'HH &amp; SI'!$B$4:$Z$494,'HH &amp; SI'!W$503,0),0)</f>
        <v>10667.343610641114</v>
      </c>
      <c r="AP183" s="265">
        <f>IFERROR(VLOOKUP($A183,'HH &amp; SI'!$B$4:$Z$494,'HH &amp; SI'!X$503,0),0)</f>
        <v>27976.635722014697</v>
      </c>
      <c r="AQ183" s="265">
        <f>IFERROR(VLOOKUP($A183,'HH &amp; SI'!$B$4:$Z$494,'HH &amp; SI'!Y$503,0),0)</f>
        <v>26253.962142262702</v>
      </c>
      <c r="AR183" s="266">
        <f t="shared" si="269"/>
        <v>120663.67047882074</v>
      </c>
      <c r="AS183" s="347"/>
      <c r="AT183" s="324">
        <f>IFERROR(VLOOKUP(A183,'Afton FY16 Final'!$A$5:$BV$572,'Afton FY16 Final'!$BV$587,0),0)</f>
        <v>124513.47666007973</v>
      </c>
      <c r="AU183" s="347"/>
      <c r="AV183" s="454">
        <v>0</v>
      </c>
      <c r="AW183" s="265">
        <f>IFERROR(VLOOKUP($A183,'HH &amp; SI'!$B$4:$EY$503,'HH &amp; SI'!EX$503,0),0)</f>
        <v>0</v>
      </c>
      <c r="AX183" s="265">
        <f>IFERROR(VLOOKUP($A183,'HH &amp; SI'!$B$4:$EY$503,'HH &amp; SI'!EY$503,0),0)</f>
        <v>120663.67047882074</v>
      </c>
      <c r="AY183" s="265">
        <f>AX183/$AX$582*'update_State Admin 1004(b)'!$B$30*0.01</f>
        <v>1154.8380074633687</v>
      </c>
      <c r="AZ183" s="266">
        <f t="shared" si="270"/>
        <v>119508.83247135737</v>
      </c>
      <c r="BA183" s="264">
        <f t="shared" si="271"/>
        <v>1195.0883247135737</v>
      </c>
      <c r="BB183" s="265">
        <f t="shared" si="272"/>
        <v>118313.74414664379</v>
      </c>
      <c r="BC183" s="342">
        <f t="shared" si="280"/>
        <v>0.95020834146040967</v>
      </c>
      <c r="BD183" s="347"/>
      <c r="BE183" s="377" t="str">
        <f>'Original Title I &amp; II'!AZ183</f>
        <v/>
      </c>
      <c r="BF183" s="244" t="str">
        <f t="shared" si="300"/>
        <v/>
      </c>
      <c r="BG183" s="266">
        <f t="shared" ref="BG183:BG246" si="314">IF(BF183&lt;0,BB183+BF183,BB183)</f>
        <v>118313.74414664379</v>
      </c>
      <c r="BI183" s="203" t="str">
        <f>IFERROR(VLOOKUP(A183,'Title II Hold Harmless'!A$1:B$439,2, FALSE),"")</f>
        <v/>
      </c>
      <c r="BJ183" s="203">
        <f t="shared" si="274"/>
        <v>603.84008779014528</v>
      </c>
      <c r="BK183" s="203">
        <f t="shared" si="301"/>
        <v>604.424237775385</v>
      </c>
      <c r="BL183" s="203" t="str">
        <f t="shared" si="276"/>
        <v/>
      </c>
      <c r="BM183" s="203">
        <f t="shared" si="277"/>
        <v>604.424237775385</v>
      </c>
      <c r="BN183" s="200"/>
      <c r="BP183" s="298" t="s">
        <v>1448</v>
      </c>
      <c r="BQ183" s="299" t="str">
        <f t="shared" si="281"/>
        <v>Y</v>
      </c>
      <c r="BR183" s="300" t="s">
        <v>1448</v>
      </c>
      <c r="BT183" s="298" t="str">
        <f t="shared" si="282"/>
        <v>Y</v>
      </c>
      <c r="BU183" s="299" t="str">
        <f t="shared" si="278"/>
        <v>Y</v>
      </c>
      <c r="BV183" s="299" t="str">
        <f t="shared" si="279"/>
        <v>Y</v>
      </c>
      <c r="BW183" s="300" t="str">
        <f t="shared" si="283"/>
        <v>Y</v>
      </c>
      <c r="BY183" s="355">
        <f t="shared" si="284"/>
        <v>0</v>
      </c>
      <c r="BZ183" s="356">
        <f t="shared" si="285"/>
        <v>0</v>
      </c>
      <c r="CA183" s="356">
        <f t="shared" si="286"/>
        <v>0.95</v>
      </c>
      <c r="CB183" s="357">
        <f t="shared" si="287"/>
        <v>0.95</v>
      </c>
      <c r="CD183" s="312">
        <f t="shared" si="288"/>
        <v>178</v>
      </c>
    </row>
    <row r="184" spans="1:82" s="48" customFormat="1" outlineLevel="1" x14ac:dyDescent="0.3">
      <c r="A184" s="202">
        <v>78951000</v>
      </c>
      <c r="B184" s="48">
        <f>VLOOKUP(C184,'NCES ID'!$A$2:$B$3136,2,FALSE)</f>
        <v>400353</v>
      </c>
      <c r="C184" s="48">
        <f>VLOOKUP(A184,'State ID'!$A$2:$B$713,2,FALSE)</f>
        <v>79875</v>
      </c>
      <c r="D184" s="48" t="s">
        <v>30</v>
      </c>
      <c r="E184" s="48" t="s">
        <v>7</v>
      </c>
      <c r="F184" s="755"/>
      <c r="G184" s="755"/>
      <c r="H184" s="755"/>
      <c r="I184" s="755"/>
      <c r="J184" s="755"/>
      <c r="K184" s="755"/>
      <c r="L184" s="454"/>
      <c r="M184" s="455"/>
      <c r="N184" s="456"/>
      <c r="O184" s="209">
        <f>VLOOKUP($C184,'Final SEA Counts'!$A$2:$F$709,5,FALSE)</f>
        <v>231</v>
      </c>
      <c r="P184" s="223">
        <f>VLOOKUP($C184,'Final SEA Counts'!$A$2:$F$709,6,FALSE)</f>
        <v>211</v>
      </c>
      <c r="Q184" s="749"/>
      <c r="R184" s="454">
        <f t="shared" si="302"/>
        <v>231</v>
      </c>
      <c r="S184" s="455">
        <f t="shared" si="303"/>
        <v>104.47159079011158</v>
      </c>
      <c r="T184" s="230">
        <f t="shared" si="304"/>
        <v>0.45225796878836183</v>
      </c>
      <c r="U184" s="264" t="str">
        <f>IFERROR(VLOOKUP($B184,#REF!,8,FALSE),"")</f>
        <v/>
      </c>
      <c r="V184" s="265" t="str">
        <f>IFERROR(VLOOKUP($B184,#REF!,9,FALSE),"")</f>
        <v/>
      </c>
      <c r="W184" s="265" t="str">
        <f>IFERROR(VLOOKUP($B184,#REF!,10,FALSE),"")</f>
        <v/>
      </c>
      <c r="X184" s="265" t="str">
        <f>IFERROR(VLOOKUP($B184,#REF!,11,FALSE),"")</f>
        <v/>
      </c>
      <c r="Y184" s="266" t="str">
        <f>IFERROR(VLOOKUP($B184,#REF!,12,FALSE),"")</f>
        <v/>
      </c>
      <c r="Z184" s="265">
        <f t="shared" si="305"/>
        <v>50464.793392842847</v>
      </c>
      <c r="AA184" s="265">
        <f t="shared" si="306"/>
        <v>10436.0381196664</v>
      </c>
      <c r="AB184" s="265">
        <f t="shared" si="307"/>
        <v>29535.125352919727</v>
      </c>
      <c r="AC184" s="266">
        <f t="shared" si="308"/>
        <v>27493.321984028968</v>
      </c>
      <c r="AD184" s="265">
        <f t="shared" ref="AD184:AD247" si="315">IF(BT184="Y",Z184,"")</f>
        <v>50464.793392842847</v>
      </c>
      <c r="AE184" s="265">
        <f t="shared" ref="AE184:AE247" si="316">IF(BU184="Y",AA184,"")</f>
        <v>10436.0381196664</v>
      </c>
      <c r="AF184" s="265">
        <f t="shared" ref="AF184:AF247" si="317">IF(BV184="Y",AB184,"")</f>
        <v>29535.125352919727</v>
      </c>
      <c r="AG184" s="266">
        <f t="shared" ref="AG184:AG247" si="318">IF(BW184="Y",AC184,"")</f>
        <v>27493.321984028968</v>
      </c>
      <c r="AH184" s="265">
        <f t="shared" si="309"/>
        <v>50464.793392842847</v>
      </c>
      <c r="AI184" s="265">
        <f t="shared" si="310"/>
        <v>12566.859502497113</v>
      </c>
      <c r="AJ184" s="265">
        <f t="shared" si="311"/>
        <v>29560.465998139985</v>
      </c>
      <c r="AK184" s="265">
        <f t="shared" si="312"/>
        <v>27516.910795994369</v>
      </c>
      <c r="AL184" s="266">
        <f t="shared" si="313"/>
        <v>120109.02968947431</v>
      </c>
      <c r="AM184" s="347"/>
      <c r="AN184" s="264">
        <f>IFERROR(VLOOKUP($A184,'HH &amp; SI'!$B$4:$Z$494,'HH &amp; SI'!V$503,0),0)</f>
        <v>68784.084988869203</v>
      </c>
      <c r="AO184" s="265">
        <f>IFERROR(VLOOKUP($A184,'HH &amp; SI'!$B$4:$Z$494,'HH &amp; SI'!W$503,0),0)</f>
        <v>14851.162861749128</v>
      </c>
      <c r="AP184" s="265">
        <f>IFERROR(VLOOKUP($A184,'HH &amp; SI'!$B$4:$Z$494,'HH &amp; SI'!X$503,0),0)</f>
        <v>36470.326837292167</v>
      </c>
      <c r="AQ184" s="265">
        <f>IFERROR(VLOOKUP($A184,'HH &amp; SI'!$B$4:$Z$494,'HH &amp; SI'!Y$503,0),0)</f>
        <v>35138.908862380915</v>
      </c>
      <c r="AR184" s="266">
        <f t="shared" ref="AR184:AR247" si="319">SUM(AN184:AQ184)</f>
        <v>155244.48355029142</v>
      </c>
      <c r="AS184" s="347"/>
      <c r="AT184" s="324">
        <f>IFERROR(VLOOKUP(A184,'Afton FY16 Final'!$A$5:$BV$572,'Afton FY16 Final'!$BV$587,0),0)</f>
        <v>160197.59967883793</v>
      </c>
      <c r="AU184" s="347"/>
      <c r="AV184" s="454">
        <v>0</v>
      </c>
      <c r="AW184" s="265">
        <f>IFERROR(VLOOKUP($A184,'HH &amp; SI'!$B$4:$EY$503,'HH &amp; SI'!EX$503,0),0)</f>
        <v>0</v>
      </c>
      <c r="AX184" s="265">
        <f>IFERROR(VLOOKUP($A184,'HH &amp; SI'!$B$4:$EY$503,'HH &amp; SI'!EY$503,0),0)</f>
        <v>155244.48355029142</v>
      </c>
      <c r="AY184" s="265">
        <f>AX184/$AX$582*'update_State Admin 1004(b)'!$B$30*0.01</f>
        <v>1485.8012303244698</v>
      </c>
      <c r="AZ184" s="266">
        <f t="shared" ref="AZ184:AZ247" si="320">AX184-AY184</f>
        <v>153758.68231996696</v>
      </c>
      <c r="BA184" s="264">
        <f t="shared" ref="BA184:BA247" si="321">AZ184*0.01</f>
        <v>1537.5868231996697</v>
      </c>
      <c r="BB184" s="265">
        <f t="shared" ref="BB184:BB247" si="322">AZ184-BA184</f>
        <v>152221.09549676729</v>
      </c>
      <c r="BC184" s="342">
        <f t="shared" si="280"/>
        <v>0.95020834146041</v>
      </c>
      <c r="BD184" s="347"/>
      <c r="BE184" s="377" t="str">
        <f>'Original Title I &amp; II'!AZ184</f>
        <v/>
      </c>
      <c r="BF184" s="244" t="str">
        <f t="shared" ref="BF184:BF197" si="323">IF(BE184&lt;0,BB184*BE184/100,"")</f>
        <v/>
      </c>
      <c r="BG184" s="266">
        <f t="shared" si="314"/>
        <v>152221.09549676729</v>
      </c>
      <c r="BI184" s="203" t="str">
        <f>IFERROR(VLOOKUP(A184,'Title II Hold Harmless'!A$1:B$439,2, FALSE),"")</f>
        <v/>
      </c>
      <c r="BJ184" s="203">
        <f t="shared" ref="BJ184:BJ247" si="324">IFERROR($BI$587*(0.8*($S184/$S$584)+0.2*($R184/$R$584))+$BI184,$BI$587*(0.8*($S184/$S$584)+0.2*($R184/$R$584)))</f>
        <v>1553.5350866294466</v>
      </c>
      <c r="BK184" s="203">
        <f t="shared" ref="BK184:BK215" si="325">$BI$588*BJ184</f>
        <v>1555.0379638253696</v>
      </c>
      <c r="BL184" s="203" t="str">
        <f t="shared" ref="BL184:BL248" si="326">IF(BE184&lt;0,BK184*BE184/100,"")</f>
        <v/>
      </c>
      <c r="BM184" s="203">
        <f t="shared" ref="BM184:BM248" si="327">IF(BL184&lt;0,BK184+BL184,BK184)</f>
        <v>1555.0379638253696</v>
      </c>
      <c r="BN184" s="200"/>
      <c r="BP184" s="298" t="s">
        <v>1448</v>
      </c>
      <c r="BQ184" s="299" t="str">
        <f t="shared" si="281"/>
        <v>Y</v>
      </c>
      <c r="BR184" s="300" t="s">
        <v>1448</v>
      </c>
      <c r="BT184" s="298" t="str">
        <f t="shared" si="282"/>
        <v>Y</v>
      </c>
      <c r="BU184" s="299" t="str">
        <f t="shared" ref="BU184:BU247" si="328">IF(AND(BT184="Y",(OR(T184&gt;0.15,S184&gt;6500))),"Y","N")</f>
        <v>Y</v>
      </c>
      <c r="BV184" s="299" t="str">
        <f t="shared" ref="BV184:BV247" si="329">IF(AND(BT184="Y",T184&gt;=0.05),"Y","N")</f>
        <v>Y</v>
      </c>
      <c r="BW184" s="300" t="str">
        <f t="shared" si="283"/>
        <v>Y</v>
      </c>
      <c r="BY184" s="355">
        <f t="shared" si="284"/>
        <v>0</v>
      </c>
      <c r="BZ184" s="356">
        <f t="shared" si="285"/>
        <v>0</v>
      </c>
      <c r="CA184" s="356">
        <f t="shared" si="286"/>
        <v>0.95</v>
      </c>
      <c r="CB184" s="357">
        <f t="shared" si="287"/>
        <v>0.95</v>
      </c>
      <c r="CD184" s="312">
        <f t="shared" si="288"/>
        <v>179</v>
      </c>
    </row>
    <row r="185" spans="1:82" s="48" customFormat="1" outlineLevel="1" x14ac:dyDescent="0.3">
      <c r="A185" s="202">
        <v>78983000</v>
      </c>
      <c r="B185" s="48">
        <f>VLOOKUP(C185,'NCES ID'!$A$2:$B$3136,2,FALSE)</f>
        <v>400618</v>
      </c>
      <c r="C185" s="48">
        <f>VLOOKUP(A185,'State ID'!$A$2:$B$713,2,FALSE)</f>
        <v>80989</v>
      </c>
      <c r="D185" s="48" t="s">
        <v>31</v>
      </c>
      <c r="E185" s="48" t="s">
        <v>7</v>
      </c>
      <c r="F185" s="755"/>
      <c r="G185" s="755"/>
      <c r="H185" s="755"/>
      <c r="I185" s="755"/>
      <c r="J185" s="755"/>
      <c r="K185" s="755"/>
      <c r="L185" s="454"/>
      <c r="M185" s="455"/>
      <c r="N185" s="456"/>
      <c r="O185" s="209">
        <f>VLOOKUP($C185,'Final SEA Counts'!$A$2:$F$709,5,FALSE)</f>
        <v>351</v>
      </c>
      <c r="P185" s="223">
        <f>VLOOKUP($C185,'Final SEA Counts'!$A$2:$F$709,6,FALSE)</f>
        <v>345</v>
      </c>
      <c r="Q185" s="749"/>
      <c r="R185" s="454">
        <f t="shared" si="302"/>
        <v>351</v>
      </c>
      <c r="S185" s="455">
        <f t="shared" si="303"/>
        <v>170.81847783217296</v>
      </c>
      <c r="T185" s="230">
        <f t="shared" si="304"/>
        <v>0.48666233000619075</v>
      </c>
      <c r="U185" s="264" t="str">
        <f>IFERROR(VLOOKUP($B185,#REF!,8,FALSE),"")</f>
        <v/>
      </c>
      <c r="V185" s="265" t="str">
        <f>IFERROR(VLOOKUP($B185,#REF!,9,FALSE),"")</f>
        <v/>
      </c>
      <c r="W185" s="265" t="str">
        <f>IFERROR(VLOOKUP($B185,#REF!,10,FALSE),"")</f>
        <v/>
      </c>
      <c r="X185" s="265" t="str">
        <f>IFERROR(VLOOKUP($B185,#REF!,11,FALSE),"")</f>
        <v/>
      </c>
      <c r="Y185" s="266" t="str">
        <f>IFERROR(VLOOKUP($B185,#REF!,12,FALSE),"")</f>
        <v/>
      </c>
      <c r="Z185" s="265">
        <f t="shared" si="305"/>
        <v>82513.524741852045</v>
      </c>
      <c r="AA185" s="265">
        <f t="shared" si="306"/>
        <v>17063.664224099091</v>
      </c>
      <c r="AB185" s="265">
        <f t="shared" si="307"/>
        <v>48292.029605484866</v>
      </c>
      <c r="AC185" s="266">
        <f t="shared" si="308"/>
        <v>44953.53594545021</v>
      </c>
      <c r="AD185" s="265">
        <f t="shared" si="315"/>
        <v>82513.524741852045</v>
      </c>
      <c r="AE185" s="265">
        <f t="shared" si="316"/>
        <v>17063.664224099091</v>
      </c>
      <c r="AF185" s="265">
        <f t="shared" si="317"/>
        <v>48292.029605484866</v>
      </c>
      <c r="AG185" s="266">
        <f t="shared" si="318"/>
        <v>44953.53594545021</v>
      </c>
      <c r="AH185" s="265">
        <f t="shared" si="309"/>
        <v>82513.524741852045</v>
      </c>
      <c r="AI185" s="265">
        <f t="shared" si="310"/>
        <v>19194.485606929804</v>
      </c>
      <c r="AJ185" s="265">
        <f t="shared" si="311"/>
        <v>48317.370250705128</v>
      </c>
      <c r="AK185" s="265">
        <f t="shared" si="312"/>
        <v>44977.124757415615</v>
      </c>
      <c r="AL185" s="266">
        <f t="shared" si="313"/>
        <v>195002.50535690261</v>
      </c>
      <c r="AM185" s="347"/>
      <c r="AN185" s="264">
        <f>IFERROR(VLOOKUP($A185,'HH &amp; SI'!$B$4:$Z$494,'HH &amp; SI'!V$503,0),0)</f>
        <v>97874.544782359037</v>
      </c>
      <c r="AO185" s="265">
        <f>IFERROR(VLOOKUP($A185,'HH &amp; SI'!$B$4:$Z$494,'HH &amp; SI'!W$503,0),0)</f>
        <v>18722.276541125219</v>
      </c>
      <c r="AP185" s="265">
        <f>IFERROR(VLOOKUP($A185,'HH &amp; SI'!$B$4:$Z$494,'HH &amp; SI'!X$503,0),0)</f>
        <v>49101.850450882928</v>
      </c>
      <c r="AQ185" s="265">
        <f>IFERROR(VLOOKUP($A185,'HH &amp; SI'!$B$4:$Z$494,'HH &amp; SI'!Y$503,0),0)</f>
        <v>46078.38253539984</v>
      </c>
      <c r="AR185" s="266">
        <f t="shared" si="319"/>
        <v>211777.05430976703</v>
      </c>
      <c r="AS185" s="347"/>
      <c r="AT185" s="324">
        <f>IFERROR(VLOOKUP(A185,'Afton FY16 Final'!$A$5:$BV$572,'Afton FY16 Final'!$BV$587,0),0)</f>
        <v>218533.85699524195</v>
      </c>
      <c r="AU185" s="347"/>
      <c r="AV185" s="454">
        <v>0</v>
      </c>
      <c r="AW185" s="265">
        <f>IFERROR(VLOOKUP($A185,'HH &amp; SI'!$B$4:$EY$503,'HH &amp; SI'!EX$503,0),0)</f>
        <v>0</v>
      </c>
      <c r="AX185" s="265">
        <f>IFERROR(VLOOKUP($A185,'HH &amp; SI'!$B$4:$EY$503,'HH &amp; SI'!EY$503,0),0)</f>
        <v>211777.05430976703</v>
      </c>
      <c r="AY185" s="265">
        <f>AX185/$AX$582*'update_State Admin 1004(b)'!$B$30*0.01</f>
        <v>2026.8585437112188</v>
      </c>
      <c r="AZ185" s="266">
        <f t="shared" si="320"/>
        <v>209750.19576605581</v>
      </c>
      <c r="BA185" s="264">
        <f t="shared" si="321"/>
        <v>2097.5019576605582</v>
      </c>
      <c r="BB185" s="265">
        <f t="shared" si="322"/>
        <v>207652.69380839524</v>
      </c>
      <c r="BC185" s="342">
        <f t="shared" si="280"/>
        <v>0.95020834146040989</v>
      </c>
      <c r="BD185" s="347"/>
      <c r="BE185" s="377" t="str">
        <f>'Original Title I &amp; II'!AZ185</f>
        <v/>
      </c>
      <c r="BF185" s="244" t="str">
        <f t="shared" si="323"/>
        <v/>
      </c>
      <c r="BG185" s="266">
        <f t="shared" si="314"/>
        <v>207652.69380839524</v>
      </c>
      <c r="BI185" s="203" t="str">
        <f>IFERROR(VLOOKUP(A185,'Title II Hold Harmless'!A$1:B$439,2, FALSE),"")</f>
        <v/>
      </c>
      <c r="BJ185" s="203">
        <f t="shared" si="324"/>
        <v>2518.6510115476894</v>
      </c>
      <c r="BK185" s="203">
        <f t="shared" si="325"/>
        <v>2521.0875340326475</v>
      </c>
      <c r="BL185" s="203" t="str">
        <f t="shared" si="326"/>
        <v/>
      </c>
      <c r="BM185" s="203">
        <f t="shared" si="327"/>
        <v>2521.0875340326475</v>
      </c>
      <c r="BN185" s="200"/>
      <c r="BP185" s="298" t="s">
        <v>1448</v>
      </c>
      <c r="BQ185" s="299" t="str">
        <f t="shared" si="281"/>
        <v>Y</v>
      </c>
      <c r="BR185" s="300" t="s">
        <v>1448</v>
      </c>
      <c r="BT185" s="298" t="str">
        <f t="shared" si="282"/>
        <v>Y</v>
      </c>
      <c r="BU185" s="299" t="str">
        <f t="shared" si="328"/>
        <v>Y</v>
      </c>
      <c r="BV185" s="299" t="str">
        <f t="shared" si="329"/>
        <v>Y</v>
      </c>
      <c r="BW185" s="300" t="str">
        <f t="shared" si="283"/>
        <v>Y</v>
      </c>
      <c r="BY185" s="355">
        <f t="shared" si="284"/>
        <v>0</v>
      </c>
      <c r="BZ185" s="356">
        <f t="shared" si="285"/>
        <v>0</v>
      </c>
      <c r="CA185" s="356">
        <f t="shared" si="286"/>
        <v>0.95</v>
      </c>
      <c r="CB185" s="357">
        <f t="shared" si="287"/>
        <v>0.95</v>
      </c>
      <c r="CD185" s="312">
        <f t="shared" si="288"/>
        <v>180</v>
      </c>
    </row>
    <row r="186" spans="1:82" s="48" customFormat="1" outlineLevel="1" x14ac:dyDescent="0.3">
      <c r="A186" s="202">
        <v>78517000</v>
      </c>
      <c r="B186" s="48">
        <f>VLOOKUP(C186,'NCES ID'!$A$2:$B$3136,2,FALSE)</f>
        <v>400447</v>
      </c>
      <c r="C186" s="48">
        <f>VLOOKUP(A186,'State ID'!$A$2:$B$713,2,FALSE)</f>
        <v>88334</v>
      </c>
      <c r="D186" s="48" t="s">
        <v>32</v>
      </c>
      <c r="E186" s="48" t="s">
        <v>7</v>
      </c>
      <c r="F186" s="755"/>
      <c r="G186" s="755"/>
      <c r="H186" s="755"/>
      <c r="I186" s="755"/>
      <c r="J186" s="755"/>
      <c r="K186" s="755"/>
      <c r="L186" s="454"/>
      <c r="M186" s="455"/>
      <c r="N186" s="456"/>
      <c r="O186" s="209">
        <f>VLOOKUP($C186,'Final SEA Counts'!$A$2:$F$709,5,FALSE)</f>
        <v>337</v>
      </c>
      <c r="P186" s="223">
        <f>VLOOKUP($C186,'Final SEA Counts'!$A$2:$F$709,6,FALSE)</f>
        <v>271</v>
      </c>
      <c r="Q186" s="749"/>
      <c r="R186" s="454">
        <f t="shared" si="302"/>
        <v>337</v>
      </c>
      <c r="S186" s="455">
        <f t="shared" si="303"/>
        <v>134.17915215222862</v>
      </c>
      <c r="T186" s="230">
        <f t="shared" si="304"/>
        <v>0.39815772151996626</v>
      </c>
      <c r="U186" s="264" t="str">
        <f>IFERROR(VLOOKUP($B186,#REF!,8,FALSE),"")</f>
        <v/>
      </c>
      <c r="V186" s="265" t="str">
        <f>IFERROR(VLOOKUP($B186,#REF!,9,FALSE),"")</f>
        <v/>
      </c>
      <c r="W186" s="265" t="str">
        <f>IFERROR(VLOOKUP($B186,#REF!,10,FALSE),"")</f>
        <v/>
      </c>
      <c r="X186" s="265" t="str">
        <f>IFERROR(VLOOKUP($B186,#REF!,11,FALSE),"")</f>
        <v/>
      </c>
      <c r="Y186" s="266" t="str">
        <f>IFERROR(VLOOKUP($B186,#REF!,12,FALSE),"")</f>
        <v/>
      </c>
      <c r="Z186" s="265">
        <f t="shared" si="305"/>
        <v>64814.971608817119</v>
      </c>
      <c r="AA186" s="265">
        <f t="shared" si="306"/>
        <v>13403.631897770591</v>
      </c>
      <c r="AB186" s="265">
        <f t="shared" si="307"/>
        <v>37933.739197351882</v>
      </c>
      <c r="AC186" s="266">
        <f t="shared" si="308"/>
        <v>35311.328235411616</v>
      </c>
      <c r="AD186" s="265">
        <f t="shared" si="315"/>
        <v>64814.971608817119</v>
      </c>
      <c r="AE186" s="265">
        <f t="shared" si="316"/>
        <v>13403.631897770591</v>
      </c>
      <c r="AF186" s="265">
        <f t="shared" si="317"/>
        <v>37933.739197351882</v>
      </c>
      <c r="AG186" s="266">
        <f t="shared" si="318"/>
        <v>35311.328235411616</v>
      </c>
      <c r="AH186" s="265">
        <f t="shared" si="309"/>
        <v>64814.971608817119</v>
      </c>
      <c r="AI186" s="265">
        <f t="shared" si="310"/>
        <v>15534.453280601303</v>
      </c>
      <c r="AJ186" s="265">
        <f t="shared" si="311"/>
        <v>37959.079842572144</v>
      </c>
      <c r="AK186" s="265">
        <f t="shared" si="312"/>
        <v>35334.917047377021</v>
      </c>
      <c r="AL186" s="266">
        <f t="shared" si="313"/>
        <v>153643.42177936761</v>
      </c>
      <c r="AM186" s="347"/>
      <c r="AN186" s="264">
        <f>IFERROR(VLOOKUP($A186,'HH &amp; SI'!$B$4:$Z$494,'HH &amp; SI'!V$503,0),0)</f>
        <v>83079.555454793168</v>
      </c>
      <c r="AO186" s="265">
        <f>IFERROR(VLOOKUP($A186,'HH &amp; SI'!$B$4:$Z$494,'HH &amp; SI'!W$503,0),0)</f>
        <v>18601.546743412506</v>
      </c>
      <c r="AP186" s="265">
        <f>IFERROR(VLOOKUP($A186,'HH &amp; SI'!$B$4:$Z$494,'HH &amp; SI'!X$503,0),0)</f>
        <v>44875.328654522891</v>
      </c>
      <c r="AQ186" s="265">
        <f>IFERROR(VLOOKUP($A186,'HH &amp; SI'!$B$4:$Z$494,'HH &amp; SI'!Y$503,0),0)</f>
        <v>41365.068104255799</v>
      </c>
      <c r="AR186" s="266">
        <f t="shared" si="319"/>
        <v>187921.49895698435</v>
      </c>
      <c r="AS186" s="347"/>
      <c r="AT186" s="324">
        <f>IFERROR(VLOOKUP(A186,'Afton FY16 Final'!$A$5:$BV$572,'Afton FY16 Final'!$BV$587,0),0)</f>
        <v>193917.18386699245</v>
      </c>
      <c r="AU186" s="347"/>
      <c r="AV186" s="454">
        <v>0</v>
      </c>
      <c r="AW186" s="265">
        <f>IFERROR(VLOOKUP($A186,'HH &amp; SI'!$B$4:$EY$503,'HH &amp; SI'!EX$503,0),0)</f>
        <v>0</v>
      </c>
      <c r="AX186" s="265">
        <f>IFERROR(VLOOKUP($A186,'HH &amp; SI'!$B$4:$EY$503,'HH &amp; SI'!EY$503,0),0)</f>
        <v>187921.49895698435</v>
      </c>
      <c r="AY186" s="265">
        <f>AX186/$AX$582*'update_State Admin 1004(b)'!$B$30*0.01</f>
        <v>1798.5437419053578</v>
      </c>
      <c r="AZ186" s="266">
        <f t="shared" si="320"/>
        <v>186122.95521507898</v>
      </c>
      <c r="BA186" s="264">
        <f t="shared" si="321"/>
        <v>1861.2295521507899</v>
      </c>
      <c r="BB186" s="265">
        <f t="shared" si="322"/>
        <v>184261.72566292819</v>
      </c>
      <c r="BC186" s="342">
        <f t="shared" si="280"/>
        <v>0.95020834146040956</v>
      </c>
      <c r="BD186" s="347"/>
      <c r="BE186" s="377" t="str">
        <f>'Original Title I &amp; II'!AZ186</f>
        <v/>
      </c>
      <c r="BF186" s="244" t="str">
        <f t="shared" si="323"/>
        <v/>
      </c>
      <c r="BG186" s="266">
        <f t="shared" si="314"/>
        <v>184261.72566292819</v>
      </c>
      <c r="BI186" s="203" t="str">
        <f>IFERROR(VLOOKUP(A186,'Title II Hold Harmless'!A$1:B$439,2, FALSE),"")</f>
        <v/>
      </c>
      <c r="BJ186" s="203">
        <f t="shared" si="324"/>
        <v>2027.742344243587</v>
      </c>
      <c r="BK186" s="203">
        <f t="shared" si="325"/>
        <v>2029.703965680141</v>
      </c>
      <c r="BL186" s="203" t="str">
        <f t="shared" si="326"/>
        <v/>
      </c>
      <c r="BM186" s="203">
        <f t="shared" si="327"/>
        <v>2029.703965680141</v>
      </c>
      <c r="BN186" s="200"/>
      <c r="BP186" s="298" t="s">
        <v>1448</v>
      </c>
      <c r="BQ186" s="299" t="str">
        <f t="shared" si="281"/>
        <v>Y</v>
      </c>
      <c r="BR186" s="300" t="s">
        <v>1448</v>
      </c>
      <c r="BT186" s="298" t="str">
        <f t="shared" si="282"/>
        <v>Y</v>
      </c>
      <c r="BU186" s="299" t="str">
        <f t="shared" si="328"/>
        <v>Y</v>
      </c>
      <c r="BV186" s="299" t="str">
        <f t="shared" si="329"/>
        <v>Y</v>
      </c>
      <c r="BW186" s="300" t="str">
        <f t="shared" si="283"/>
        <v>Y</v>
      </c>
      <c r="BY186" s="355">
        <f t="shared" si="284"/>
        <v>0</v>
      </c>
      <c r="BZ186" s="356">
        <f t="shared" si="285"/>
        <v>0</v>
      </c>
      <c r="CA186" s="356">
        <f t="shared" si="286"/>
        <v>0.95</v>
      </c>
      <c r="CB186" s="357">
        <f t="shared" si="287"/>
        <v>0.95</v>
      </c>
      <c r="CD186" s="312">
        <f t="shared" si="288"/>
        <v>181</v>
      </c>
    </row>
    <row r="187" spans="1:82" s="48" customFormat="1" outlineLevel="1" x14ac:dyDescent="0.3">
      <c r="A187" s="202">
        <v>78953000</v>
      </c>
      <c r="B187" s="48">
        <f>VLOOKUP(C187,'NCES ID'!$A$2:$B$3136,2,FALSE)</f>
        <v>400354</v>
      </c>
      <c r="C187" s="48">
        <f>VLOOKUP(A187,'State ID'!$A$2:$B$713,2,FALSE)</f>
        <v>79877</v>
      </c>
      <c r="D187" s="48" t="s">
        <v>33</v>
      </c>
      <c r="E187" s="48" t="s">
        <v>7</v>
      </c>
      <c r="F187" s="755"/>
      <c r="G187" s="755"/>
      <c r="H187" s="755"/>
      <c r="I187" s="755"/>
      <c r="J187" s="755"/>
      <c r="K187" s="755"/>
      <c r="L187" s="454"/>
      <c r="M187" s="455"/>
      <c r="N187" s="456"/>
      <c r="O187" s="209">
        <f>VLOOKUP($C187,'Final SEA Counts'!$A$2:$F$709,5,FALSE)</f>
        <v>218</v>
      </c>
      <c r="P187" s="223">
        <f>VLOOKUP($C187,'Final SEA Counts'!$A$2:$F$709,6,FALSE)</f>
        <v>217</v>
      </c>
      <c r="Q187" s="749"/>
      <c r="R187" s="454">
        <f t="shared" si="302"/>
        <v>218</v>
      </c>
      <c r="S187" s="455">
        <f t="shared" si="303"/>
        <v>107.44234692632328</v>
      </c>
      <c r="T187" s="230">
        <f t="shared" si="304"/>
        <v>0.492854802414327</v>
      </c>
      <c r="U187" s="264" t="str">
        <f>IFERROR(VLOOKUP($B187,#REF!,8,FALSE),"")</f>
        <v/>
      </c>
      <c r="V187" s="265" t="str">
        <f>IFERROR(VLOOKUP($B187,#REF!,9,FALSE),"")</f>
        <v/>
      </c>
      <c r="W187" s="265" t="str">
        <f>IFERROR(VLOOKUP($B187,#REF!,10,FALSE),"")</f>
        <v/>
      </c>
      <c r="X187" s="265" t="str">
        <f>IFERROR(VLOOKUP($B187,#REF!,11,FALSE),"")</f>
        <v/>
      </c>
      <c r="Y187" s="266" t="str">
        <f>IFERROR(VLOOKUP($B187,#REF!,12,FALSE),"")</f>
        <v/>
      </c>
      <c r="Z187" s="265">
        <f t="shared" si="305"/>
        <v>51899.811214440269</v>
      </c>
      <c r="AA187" s="265">
        <f t="shared" si="306"/>
        <v>10732.797497476819</v>
      </c>
      <c r="AB187" s="265">
        <f t="shared" si="307"/>
        <v>30374.986737362942</v>
      </c>
      <c r="AC187" s="266">
        <f t="shared" si="308"/>
        <v>28275.122609167232</v>
      </c>
      <c r="AD187" s="265">
        <f t="shared" si="315"/>
        <v>51899.811214440269</v>
      </c>
      <c r="AE187" s="265">
        <f t="shared" si="316"/>
        <v>10732.797497476819</v>
      </c>
      <c r="AF187" s="265">
        <f t="shared" si="317"/>
        <v>30374.986737362942</v>
      </c>
      <c r="AG187" s="266">
        <f t="shared" si="318"/>
        <v>28275.122609167232</v>
      </c>
      <c r="AH187" s="265">
        <f t="shared" si="309"/>
        <v>51899.811214440269</v>
      </c>
      <c r="AI187" s="265">
        <f t="shared" si="310"/>
        <v>12863.618880307531</v>
      </c>
      <c r="AJ187" s="265">
        <f t="shared" si="311"/>
        <v>30400.3273825832</v>
      </c>
      <c r="AK187" s="265">
        <f t="shared" si="312"/>
        <v>28298.711421132633</v>
      </c>
      <c r="AL187" s="266">
        <f t="shared" si="313"/>
        <v>123462.46889846365</v>
      </c>
      <c r="AM187" s="347"/>
      <c r="AN187" s="264">
        <f>IFERROR(VLOOKUP($A187,'HH &amp; SI'!$B$4:$Z$494,'HH &amp; SI'!V$503,0),0)</f>
        <v>64644.883644767295</v>
      </c>
      <c r="AO187" s="265">
        <f>IFERROR(VLOOKUP($A187,'HH &amp; SI'!$B$4:$Z$494,'HH &amp; SI'!W$503,0),0)</f>
        <v>13867.040742947745</v>
      </c>
      <c r="AP187" s="265">
        <f>IFERROR(VLOOKUP($A187,'HH &amp; SI'!$B$4:$Z$494,'HH &amp; SI'!X$503,0),0)</f>
        <v>34275.661808467783</v>
      </c>
      <c r="AQ187" s="265">
        <f>IFERROR(VLOOKUP($A187,'HH &amp; SI'!$B$4:$Z$494,'HH &amp; SI'!Y$503,0),0)</f>
        <v>33024.364214196983</v>
      </c>
      <c r="AR187" s="266">
        <f t="shared" si="319"/>
        <v>145811.9504103798</v>
      </c>
      <c r="AS187" s="347"/>
      <c r="AT187" s="324">
        <f>IFERROR(VLOOKUP(A187,'Afton FY16 Final'!$A$5:$BV$572,'Afton FY16 Final'!$BV$587,0),0)</f>
        <v>150464.11908520758</v>
      </c>
      <c r="AU187" s="347"/>
      <c r="AV187" s="454">
        <v>0</v>
      </c>
      <c r="AW187" s="265">
        <f>IFERROR(VLOOKUP($A187,'HH &amp; SI'!$B$4:$EY$503,'HH &amp; SI'!EX$503,0),0)</f>
        <v>0</v>
      </c>
      <c r="AX187" s="265">
        <f>IFERROR(VLOOKUP($A187,'HH &amp; SI'!$B$4:$EY$503,'HH &amp; SI'!EY$503,0),0)</f>
        <v>145811.9504103798</v>
      </c>
      <c r="AY187" s="265">
        <f>AX187/$AX$582*'update_State Admin 1004(b)'!$B$30*0.01</f>
        <v>1395.5251121407478</v>
      </c>
      <c r="AZ187" s="266">
        <f t="shared" si="320"/>
        <v>144416.42529823905</v>
      </c>
      <c r="BA187" s="264">
        <f t="shared" si="321"/>
        <v>1444.1642529823905</v>
      </c>
      <c r="BB187" s="265">
        <f t="shared" si="322"/>
        <v>142972.26104525666</v>
      </c>
      <c r="BC187" s="342">
        <f t="shared" si="280"/>
        <v>0.95020834146040956</v>
      </c>
      <c r="BD187" s="347"/>
      <c r="BE187" s="377" t="str">
        <f>'Original Title I &amp; II'!AZ187</f>
        <v/>
      </c>
      <c r="BF187" s="244" t="str">
        <f t="shared" si="323"/>
        <v/>
      </c>
      <c r="BG187" s="266">
        <f t="shared" si="314"/>
        <v>142972.26104525666</v>
      </c>
      <c r="BI187" s="203" t="str">
        <f>IFERROR(VLOOKUP(A187,'Title II Hold Harmless'!A$1:B$439,2, FALSE),"")</f>
        <v/>
      </c>
      <c r="BJ187" s="203">
        <f t="shared" si="324"/>
        <v>1581.9625397188554</v>
      </c>
      <c r="BK187" s="203">
        <f t="shared" si="325"/>
        <v>1583.4929174014774</v>
      </c>
      <c r="BL187" s="203" t="str">
        <f t="shared" si="326"/>
        <v/>
      </c>
      <c r="BM187" s="203">
        <f t="shared" si="327"/>
        <v>1583.4929174014774</v>
      </c>
      <c r="BN187" s="200"/>
      <c r="BP187" s="298" t="s">
        <v>1448</v>
      </c>
      <c r="BQ187" s="299" t="str">
        <f t="shared" si="281"/>
        <v>Y</v>
      </c>
      <c r="BR187" s="300" t="s">
        <v>1448</v>
      </c>
      <c r="BT187" s="298" t="str">
        <f t="shared" si="282"/>
        <v>Y</v>
      </c>
      <c r="BU187" s="299" t="str">
        <f t="shared" si="328"/>
        <v>Y</v>
      </c>
      <c r="BV187" s="299" t="str">
        <f t="shared" si="329"/>
        <v>Y</v>
      </c>
      <c r="BW187" s="300" t="str">
        <f t="shared" si="283"/>
        <v>Y</v>
      </c>
      <c r="BY187" s="355">
        <f t="shared" si="284"/>
        <v>0</v>
      </c>
      <c r="BZ187" s="356">
        <f t="shared" si="285"/>
        <v>0</v>
      </c>
      <c r="CA187" s="356">
        <f t="shared" si="286"/>
        <v>0.95</v>
      </c>
      <c r="CB187" s="357">
        <f t="shared" si="287"/>
        <v>0.95</v>
      </c>
      <c r="CD187" s="312">
        <f t="shared" si="288"/>
        <v>182</v>
      </c>
    </row>
    <row r="188" spans="1:82" s="48" customFormat="1" outlineLevel="1" x14ac:dyDescent="0.3">
      <c r="A188" s="202">
        <v>78956000</v>
      </c>
      <c r="B188" s="48">
        <f>VLOOKUP(C188,'NCES ID'!$A$2:$B$3136,2,FALSE)</f>
        <v>400355</v>
      </c>
      <c r="C188" s="48">
        <f>VLOOKUP(A188,'State ID'!$A$2:$B$713,2,FALSE)</f>
        <v>79879</v>
      </c>
      <c r="D188" s="48" t="s">
        <v>34</v>
      </c>
      <c r="E188" s="48" t="s">
        <v>7</v>
      </c>
      <c r="F188" s="755"/>
      <c r="G188" s="755"/>
      <c r="H188" s="755"/>
      <c r="I188" s="755"/>
      <c r="J188" s="755"/>
      <c r="K188" s="755"/>
      <c r="L188" s="454"/>
      <c r="M188" s="455"/>
      <c r="N188" s="456"/>
      <c r="O188" s="209">
        <f>VLOOKUP($C188,'Final SEA Counts'!$A$2:$F$709,5,FALSE)</f>
        <v>221</v>
      </c>
      <c r="P188" s="223">
        <f>VLOOKUP($C188,'Final SEA Counts'!$A$2:$F$709,6,FALSE)</f>
        <v>212</v>
      </c>
      <c r="Q188" s="749"/>
      <c r="R188" s="454">
        <f t="shared" si="302"/>
        <v>221</v>
      </c>
      <c r="S188" s="455">
        <f t="shared" si="303"/>
        <v>104.96671681281353</v>
      </c>
      <c r="T188" s="230">
        <f t="shared" si="304"/>
        <v>0.47496251951499335</v>
      </c>
      <c r="U188" s="264" t="str">
        <f>IFERROR(VLOOKUP($B188,#REF!,8,FALSE),"")</f>
        <v/>
      </c>
      <c r="V188" s="265" t="str">
        <f>IFERROR(VLOOKUP($B188,#REF!,9,FALSE),"")</f>
        <v/>
      </c>
      <c r="W188" s="265" t="str">
        <f>IFERROR(VLOOKUP($B188,#REF!,10,FALSE),"")</f>
        <v/>
      </c>
      <c r="X188" s="265" t="str">
        <f>IFERROR(VLOOKUP($B188,#REF!,11,FALSE),"")</f>
        <v/>
      </c>
      <c r="Y188" s="266" t="str">
        <f>IFERROR(VLOOKUP($B188,#REF!,12,FALSE),"")</f>
        <v/>
      </c>
      <c r="Z188" s="265">
        <f t="shared" si="305"/>
        <v>50703.963029775747</v>
      </c>
      <c r="AA188" s="265">
        <f t="shared" si="306"/>
        <v>10485.498015968136</v>
      </c>
      <c r="AB188" s="265">
        <f t="shared" si="307"/>
        <v>29675.102250326931</v>
      </c>
      <c r="AC188" s="266">
        <f t="shared" si="308"/>
        <v>27623.622088218679</v>
      </c>
      <c r="AD188" s="265">
        <f t="shared" si="315"/>
        <v>50703.963029775747</v>
      </c>
      <c r="AE188" s="265">
        <f t="shared" si="316"/>
        <v>10485.498015968136</v>
      </c>
      <c r="AF188" s="265">
        <f t="shared" si="317"/>
        <v>29675.102250326931</v>
      </c>
      <c r="AG188" s="266">
        <f t="shared" si="318"/>
        <v>27623.622088218679</v>
      </c>
      <c r="AH188" s="265">
        <f t="shared" si="309"/>
        <v>50703.963029775747</v>
      </c>
      <c r="AI188" s="265">
        <f t="shared" si="310"/>
        <v>12616.319398798849</v>
      </c>
      <c r="AJ188" s="265">
        <f t="shared" si="311"/>
        <v>29700.442895547189</v>
      </c>
      <c r="AK188" s="265">
        <f t="shared" si="312"/>
        <v>27647.21090018408</v>
      </c>
      <c r="AL188" s="266">
        <f t="shared" si="313"/>
        <v>120667.93622430586</v>
      </c>
      <c r="AM188" s="347"/>
      <c r="AN188" s="264">
        <f>IFERROR(VLOOKUP($A188,'HH &amp; SI'!$B$4:$Z$494,'HH &amp; SI'!V$503,0),0)</f>
        <v>79327.237767858052</v>
      </c>
      <c r="AO188" s="265">
        <f>IFERROR(VLOOKUP($A188,'HH &amp; SI'!$B$4:$Z$494,'HH &amp; SI'!W$503,0),0)</f>
        <v>16587.767800815705</v>
      </c>
      <c r="AP188" s="265">
        <f>IFERROR(VLOOKUP($A188,'HH &amp; SI'!$B$4:$Z$494,'HH &amp; SI'!X$503,0),0)</f>
        <v>41347.360234679691</v>
      </c>
      <c r="AQ188" s="265">
        <f>IFERROR(VLOOKUP($A188,'HH &amp; SI'!$B$4:$Z$494,'HH &amp; SI'!Y$503,0),0)</f>
        <v>40607.298997453887</v>
      </c>
      <c r="AR188" s="266">
        <f t="shared" si="319"/>
        <v>177869.66480080734</v>
      </c>
      <c r="AS188" s="347"/>
      <c r="AT188" s="324">
        <f>IFERROR(VLOOKUP(A188,'Afton FY16 Final'!$A$5:$BV$572,'Afton FY16 Final'!$BV$587,0),0)</f>
        <v>183544.64329509076</v>
      </c>
      <c r="AU188" s="347"/>
      <c r="AV188" s="454">
        <v>0</v>
      </c>
      <c r="AW188" s="265">
        <f>IFERROR(VLOOKUP($A188,'HH &amp; SI'!$B$4:$EY$503,'HH &amp; SI'!EX$503,0),0)</f>
        <v>0</v>
      </c>
      <c r="AX188" s="265">
        <f>IFERROR(VLOOKUP($A188,'HH &amp; SI'!$B$4:$EY$503,'HH &amp; SI'!EY$503,0),0)</f>
        <v>177869.66480080734</v>
      </c>
      <c r="AY188" s="265">
        <f>AX188/$AX$582*'update_State Admin 1004(b)'!$B$30*0.01</f>
        <v>1702.3404681096285</v>
      </c>
      <c r="AZ188" s="266">
        <f t="shared" si="320"/>
        <v>176167.32433269772</v>
      </c>
      <c r="BA188" s="264">
        <f t="shared" si="321"/>
        <v>1761.6732433269772</v>
      </c>
      <c r="BB188" s="265">
        <f t="shared" si="322"/>
        <v>174405.65108937075</v>
      </c>
      <c r="BC188" s="342">
        <f t="shared" si="280"/>
        <v>0.95020834146041</v>
      </c>
      <c r="BD188" s="347"/>
      <c r="BE188" s="377" t="str">
        <f>'Original Title I &amp; II'!AZ188</f>
        <v/>
      </c>
      <c r="BF188" s="244" t="str">
        <f t="shared" si="323"/>
        <v/>
      </c>
      <c r="BG188" s="266">
        <f t="shared" si="314"/>
        <v>174405.65108937075</v>
      </c>
      <c r="BI188" s="203" t="str">
        <f>IFERROR(VLOOKUP(A188,'Title II Hold Harmless'!A$1:B$439,2, FALSE),"")</f>
        <v/>
      </c>
      <c r="BJ188" s="203">
        <f t="shared" si="324"/>
        <v>1551.9687312433293</v>
      </c>
      <c r="BK188" s="203">
        <f t="shared" si="325"/>
        <v>1553.4700931598031</v>
      </c>
      <c r="BL188" s="203" t="str">
        <f t="shared" si="326"/>
        <v/>
      </c>
      <c r="BM188" s="203">
        <f t="shared" si="327"/>
        <v>1553.4700931598031</v>
      </c>
      <c r="BN188" s="200"/>
      <c r="BP188" s="298" t="s">
        <v>1448</v>
      </c>
      <c r="BQ188" s="299" t="str">
        <f t="shared" si="281"/>
        <v>Y</v>
      </c>
      <c r="BR188" s="300" t="s">
        <v>1448</v>
      </c>
      <c r="BT188" s="298" t="str">
        <f t="shared" si="282"/>
        <v>Y</v>
      </c>
      <c r="BU188" s="299" t="str">
        <f t="shared" si="328"/>
        <v>Y</v>
      </c>
      <c r="BV188" s="299" t="str">
        <f t="shared" si="329"/>
        <v>Y</v>
      </c>
      <c r="BW188" s="300" t="str">
        <f t="shared" si="283"/>
        <v>Y</v>
      </c>
      <c r="BY188" s="355">
        <f t="shared" si="284"/>
        <v>0</v>
      </c>
      <c r="BZ188" s="356">
        <f t="shared" si="285"/>
        <v>0</v>
      </c>
      <c r="CA188" s="356">
        <f t="shared" si="286"/>
        <v>0.95</v>
      </c>
      <c r="CB188" s="357">
        <f t="shared" si="287"/>
        <v>0.95</v>
      </c>
      <c r="CD188" s="312">
        <f t="shared" si="288"/>
        <v>183</v>
      </c>
    </row>
    <row r="189" spans="1:82" s="48" customFormat="1" outlineLevel="1" x14ac:dyDescent="0.3">
      <c r="A189" s="202">
        <v>78665000</v>
      </c>
      <c r="B189" s="48">
        <f>VLOOKUP(C189,'NCES ID'!$A$2:$B$3136,2,FALSE)</f>
        <v>400164</v>
      </c>
      <c r="C189" s="48">
        <f>VLOOKUP(A189,'State ID'!$A$2:$B$713,2,FALSE)</f>
        <v>6378</v>
      </c>
      <c r="D189" s="48" t="s">
        <v>41</v>
      </c>
      <c r="E189" s="48" t="s">
        <v>7</v>
      </c>
      <c r="F189" s="755"/>
      <c r="G189" s="755"/>
      <c r="H189" s="755"/>
      <c r="I189" s="755"/>
      <c r="J189" s="755"/>
      <c r="K189" s="755"/>
      <c r="L189" s="454"/>
      <c r="M189" s="455"/>
      <c r="N189" s="456"/>
      <c r="O189" s="209">
        <f>VLOOKUP($C189,'Final SEA Counts'!$A$2:$F$709,5,FALSE)</f>
        <v>73</v>
      </c>
      <c r="P189" s="223">
        <f>VLOOKUP($C189,'Final SEA Counts'!$A$2:$F$709,6,FALSE)</f>
        <v>54</v>
      </c>
      <c r="Q189" s="749"/>
      <c r="R189" s="454">
        <f t="shared" si="302"/>
        <v>73</v>
      </c>
      <c r="S189" s="455">
        <f t="shared" si="303"/>
        <v>26.736805225905332</v>
      </c>
      <c r="T189" s="230">
        <f t="shared" si="304"/>
        <v>0.3662576058343196</v>
      </c>
      <c r="U189" s="264" t="str">
        <f>IFERROR(VLOOKUP($B189,#REF!,8,FALSE),"")</f>
        <v/>
      </c>
      <c r="V189" s="265" t="str">
        <f>IFERROR(VLOOKUP($B189,#REF!,9,FALSE),"")</f>
        <v/>
      </c>
      <c r="W189" s="265" t="str">
        <f>IFERROR(VLOOKUP($B189,#REF!,10,FALSE),"")</f>
        <v/>
      </c>
      <c r="X189" s="265" t="str">
        <f>IFERROR(VLOOKUP($B189,#REF!,11,FALSE),"")</f>
        <v/>
      </c>
      <c r="Y189" s="266" t="str">
        <f>IFERROR(VLOOKUP($B189,#REF!,12,FALSE),"")</f>
        <v/>
      </c>
      <c r="Z189" s="265">
        <f t="shared" si="305"/>
        <v>12915.160394376842</v>
      </c>
      <c r="AA189" s="265">
        <f t="shared" si="306"/>
        <v>2670.8344002937706</v>
      </c>
      <c r="AB189" s="265">
        <f t="shared" si="307"/>
        <v>7558.7524599889348</v>
      </c>
      <c r="AC189" s="266">
        <f t="shared" si="308"/>
        <v>7036.2056262443803</v>
      </c>
      <c r="AD189" s="265">
        <f t="shared" si="315"/>
        <v>12915.160394376842</v>
      </c>
      <c r="AE189" s="265">
        <f t="shared" si="316"/>
        <v>2670.8344002937706</v>
      </c>
      <c r="AF189" s="265">
        <f t="shared" si="317"/>
        <v>7558.7524599889348</v>
      </c>
      <c r="AG189" s="266">
        <f t="shared" si="318"/>
        <v>7036.2056262443803</v>
      </c>
      <c r="AH189" s="265">
        <f t="shared" si="309"/>
        <v>12915.160394376842</v>
      </c>
      <c r="AI189" s="265">
        <f t="shared" si="310"/>
        <v>4801.6557831244827</v>
      </c>
      <c r="AJ189" s="265">
        <f t="shared" si="311"/>
        <v>7584.0931052091937</v>
      </c>
      <c r="AK189" s="265">
        <f t="shared" si="312"/>
        <v>7059.794438209783</v>
      </c>
      <c r="AL189" s="266">
        <f t="shared" si="313"/>
        <v>32360.703720920304</v>
      </c>
      <c r="AM189" s="347"/>
      <c r="AN189" s="264">
        <f>IFERROR(VLOOKUP($A189,'HH &amp; SI'!$B$4:$Z$494,'HH &amp; SI'!V$503,0),0)</f>
        <v>24127.213364953626</v>
      </c>
      <c r="AO189" s="265">
        <f>IFERROR(VLOOKUP($A189,'HH &amp; SI'!$B$4:$Z$494,'HH &amp; SI'!W$503,0),0)</f>
        <v>4926.3664919814073</v>
      </c>
      <c r="AP189" s="265">
        <f>IFERROR(VLOOKUP($A189,'HH &amp; SI'!$B$4:$Z$494,'HH &amp; SI'!X$503,0),0)</f>
        <v>12104.177087892071</v>
      </c>
      <c r="AQ189" s="265">
        <f>IFERROR(VLOOKUP($A189,'HH &amp; SI'!$B$4:$Z$494,'HH &amp; SI'!Y$503,0),0)</f>
        <v>11358.857090121823</v>
      </c>
      <c r="AR189" s="266">
        <f t="shared" si="319"/>
        <v>52516.614034948929</v>
      </c>
      <c r="AS189" s="347"/>
      <c r="AT189" s="324">
        <f>IFERROR(VLOOKUP(A189,'Afton FY16 Final'!$A$5:$BV$572,'Afton FY16 Final'!$BV$587,0),0)</f>
        <v>50511.816892349569</v>
      </c>
      <c r="AU189" s="347"/>
      <c r="AV189" s="454">
        <v>0</v>
      </c>
      <c r="AW189" s="265">
        <f>IFERROR(VLOOKUP($A189,'HH &amp; SI'!$B$4:$EY$503,'HH &amp; SI'!EX$503,0),0)</f>
        <v>2004.7971425993601</v>
      </c>
      <c r="AX189" s="265">
        <f>IFERROR(VLOOKUP($A189,'HH &amp; SI'!$B$4:$EY$503,'HH &amp; SI'!EY$503,0),0)</f>
        <v>50511.816892349569</v>
      </c>
      <c r="AY189" s="265">
        <f>AX189/$AX$582*'update_State Admin 1004(b)'!$B$30*0.01</f>
        <v>483.43437375837402</v>
      </c>
      <c r="AZ189" s="266">
        <f t="shared" si="320"/>
        <v>50028.382518591192</v>
      </c>
      <c r="BA189" s="264">
        <f t="shared" si="321"/>
        <v>500.28382518591195</v>
      </c>
      <c r="BB189" s="265">
        <f t="shared" si="322"/>
        <v>49528.098693405278</v>
      </c>
      <c r="BC189" s="342">
        <f t="shared" si="280"/>
        <v>0.98052498881517602</v>
      </c>
      <c r="BD189" s="347"/>
      <c r="BE189" s="377" t="str">
        <f>'Original Title I &amp; II'!AZ189</f>
        <v/>
      </c>
      <c r="BF189" s="244" t="str">
        <f t="shared" si="323"/>
        <v/>
      </c>
      <c r="BG189" s="266">
        <f t="shared" si="314"/>
        <v>49528.098693405278</v>
      </c>
      <c r="BI189" s="203">
        <f>IFERROR(VLOOKUP(A189,'Title II Hold Harmless'!A$1:B$439,2, FALSE),"")</f>
        <v>1363</v>
      </c>
      <c r="BJ189" s="203">
        <f t="shared" si="324"/>
        <v>1771.759018808111</v>
      </c>
      <c r="BK189" s="203">
        <f t="shared" si="325"/>
        <v>1773.4730040595255</v>
      </c>
      <c r="BL189" s="203" t="str">
        <f t="shared" si="326"/>
        <v/>
      </c>
      <c r="BM189" s="203">
        <f t="shared" si="327"/>
        <v>1773.4730040595255</v>
      </c>
      <c r="BN189" s="200"/>
      <c r="BP189" s="298" t="s">
        <v>1448</v>
      </c>
      <c r="BQ189" s="299" t="str">
        <f t="shared" si="281"/>
        <v>Y</v>
      </c>
      <c r="BR189" s="300" t="s">
        <v>1448</v>
      </c>
      <c r="BT189" s="298" t="str">
        <f t="shared" si="282"/>
        <v>Y</v>
      </c>
      <c r="BU189" s="299" t="str">
        <f t="shared" si="328"/>
        <v>Y</v>
      </c>
      <c r="BV189" s="299" t="str">
        <f t="shared" si="329"/>
        <v>Y</v>
      </c>
      <c r="BW189" s="300" t="str">
        <f t="shared" si="283"/>
        <v>Y</v>
      </c>
      <c r="BY189" s="355">
        <f t="shared" si="284"/>
        <v>0</v>
      </c>
      <c r="BZ189" s="356">
        <f t="shared" si="285"/>
        <v>0</v>
      </c>
      <c r="CA189" s="356">
        <f t="shared" si="286"/>
        <v>0.95</v>
      </c>
      <c r="CB189" s="357">
        <f t="shared" si="287"/>
        <v>0.95</v>
      </c>
      <c r="CD189" s="312">
        <f t="shared" si="288"/>
        <v>184</v>
      </c>
    </row>
    <row r="190" spans="1:82" s="48" customFormat="1" outlineLevel="1" x14ac:dyDescent="0.3">
      <c r="A190" s="202">
        <v>78510000</v>
      </c>
      <c r="B190" s="48">
        <f>VLOOKUP(C190,'NCES ID'!$A$2:$B$3136,2,FALSE)</f>
        <v>400426</v>
      </c>
      <c r="C190" s="48">
        <f>VLOOKUP(A190,'State ID'!$A$2:$B$713,2,FALSE)</f>
        <v>87403</v>
      </c>
      <c r="D190" s="48" t="s">
        <v>42</v>
      </c>
      <c r="E190" s="48" t="s">
        <v>7</v>
      </c>
      <c r="F190" s="755"/>
      <c r="G190" s="755"/>
      <c r="H190" s="755"/>
      <c r="I190" s="755"/>
      <c r="J190" s="755"/>
      <c r="K190" s="755"/>
      <c r="L190" s="454"/>
      <c r="M190" s="455"/>
      <c r="N190" s="456"/>
      <c r="O190" s="209">
        <f>VLOOKUP($C190,'Final SEA Counts'!$A$2:$F$709,5,FALSE)</f>
        <v>121</v>
      </c>
      <c r="P190" s="223">
        <f>VLOOKUP($C190,'Final SEA Counts'!$A$2:$F$709,6,FALSE)</f>
        <v>33</v>
      </c>
      <c r="Q190" s="749"/>
      <c r="R190" s="454">
        <f t="shared" si="302"/>
        <v>121</v>
      </c>
      <c r="S190" s="455">
        <f t="shared" si="303"/>
        <v>16.339158749164369</v>
      </c>
      <c r="T190" s="230">
        <f t="shared" si="304"/>
        <v>0.1350343698278047</v>
      </c>
      <c r="U190" s="264" t="str">
        <f>IFERROR(VLOOKUP($B190,#REF!,8,FALSE),"")</f>
        <v/>
      </c>
      <c r="V190" s="265" t="str">
        <f>IFERROR(VLOOKUP($B190,#REF!,9,FALSE),"")</f>
        <v/>
      </c>
      <c r="W190" s="265" t="str">
        <f>IFERROR(VLOOKUP($B190,#REF!,10,FALSE),"")</f>
        <v/>
      </c>
      <c r="X190" s="265" t="str">
        <f>IFERROR(VLOOKUP($B190,#REF!,11,FALSE),"")</f>
        <v/>
      </c>
      <c r="Y190" s="266" t="str">
        <f>IFERROR(VLOOKUP($B190,#REF!,12,FALSE),"")</f>
        <v/>
      </c>
      <c r="Z190" s="265">
        <f t="shared" si="305"/>
        <v>7892.5980187858477</v>
      </c>
      <c r="AA190" s="265">
        <f t="shared" si="306"/>
        <v>1632.1765779573043</v>
      </c>
      <c r="AB190" s="265">
        <f t="shared" si="307"/>
        <v>4619.2376144376822</v>
      </c>
      <c r="AC190" s="266">
        <f t="shared" si="308"/>
        <v>4299.9034382604541</v>
      </c>
      <c r="AD190" s="265">
        <f t="shared" si="315"/>
        <v>7892.5980187858477</v>
      </c>
      <c r="AE190" s="265" t="str">
        <f t="shared" si="316"/>
        <v/>
      </c>
      <c r="AF190" s="265">
        <f t="shared" si="317"/>
        <v>4619.2376144376822</v>
      </c>
      <c r="AG190" s="266">
        <f t="shared" si="318"/>
        <v>4299.9034382604541</v>
      </c>
      <c r="AH190" s="265">
        <f t="shared" si="309"/>
        <v>7892.5980187858477</v>
      </c>
      <c r="AI190" s="265" t="str">
        <f t="shared" si="310"/>
        <v/>
      </c>
      <c r="AJ190" s="265">
        <f t="shared" si="311"/>
        <v>4644.5782596579411</v>
      </c>
      <c r="AK190" s="265">
        <f t="shared" si="312"/>
        <v>4323.4922502258569</v>
      </c>
      <c r="AL190" s="266">
        <f t="shared" si="313"/>
        <v>16860.668528669645</v>
      </c>
      <c r="AM190" s="347"/>
      <c r="AN190" s="264">
        <f>IFERROR(VLOOKUP($A190,'HH &amp; SI'!$B$4:$Z$494,'HH &amp; SI'!V$503,0),0)</f>
        <v>12303.197268856276</v>
      </c>
      <c r="AO190" s="265">
        <f>IFERROR(VLOOKUP($A190,'HH &amp; SI'!$B$4:$Z$494,'HH &amp; SI'!W$503,0),0)</f>
        <v>3712.1270526452922</v>
      </c>
      <c r="AP190" s="265">
        <f>IFERROR(VLOOKUP($A190,'HH &amp; SI'!$B$4:$Z$494,'HH &amp; SI'!X$503,0),0)</f>
        <v>6523.3349489417415</v>
      </c>
      <c r="AQ190" s="265">
        <f>IFERROR(VLOOKUP($A190,'HH &amp; SI'!$B$4:$Z$494,'HH &amp; SI'!Y$503,0),0)</f>
        <v>6285.1883195973869</v>
      </c>
      <c r="AR190" s="266">
        <f t="shared" si="319"/>
        <v>28823.847590040696</v>
      </c>
      <c r="AS190" s="347"/>
      <c r="AT190" s="324">
        <f>IFERROR(VLOOKUP(A190,'Afton FY16 Final'!$A$5:$BV$572,'Afton FY16 Final'!$BV$587,0),0)</f>
        <v>33242.712983254438</v>
      </c>
      <c r="AU190" s="347"/>
      <c r="AV190" s="454">
        <v>0</v>
      </c>
      <c r="AW190" s="265">
        <f>IFERROR(VLOOKUP($A190,'HH &amp; SI'!$B$4:$EY$503,'HH &amp; SI'!EX$503,0),0)</f>
        <v>0</v>
      </c>
      <c r="AX190" s="265">
        <f>IFERROR(VLOOKUP($A190,'HH &amp; SI'!$B$4:$EY$503,'HH &amp; SI'!EY$503,0),0)</f>
        <v>28823.847590040696</v>
      </c>
      <c r="AY190" s="265">
        <f>AX190/$AX$582*'update_State Admin 1004(b)'!$B$30*0.01</f>
        <v>275.86492758110677</v>
      </c>
      <c r="AZ190" s="266">
        <f t="shared" si="320"/>
        <v>28547.982662459588</v>
      </c>
      <c r="BA190" s="264">
        <f t="shared" si="321"/>
        <v>285.47982662459589</v>
      </c>
      <c r="BB190" s="265">
        <f t="shared" si="322"/>
        <v>28262.502835834992</v>
      </c>
      <c r="BC190" s="342">
        <f t="shared" si="280"/>
        <v>0.85018641078036683</v>
      </c>
      <c r="BD190" s="347"/>
      <c r="BE190" s="377" t="str">
        <f>'Original Title I &amp; II'!AZ190</f>
        <v/>
      </c>
      <c r="BF190" s="244" t="str">
        <f t="shared" si="323"/>
        <v/>
      </c>
      <c r="BG190" s="266">
        <f t="shared" si="314"/>
        <v>28262.502835834992</v>
      </c>
      <c r="BI190" s="203" t="str">
        <f>IFERROR(VLOOKUP(A190,'Title II Hold Harmless'!A$1:B$439,2, FALSE),"")</f>
        <v/>
      </c>
      <c r="BJ190" s="203">
        <f t="shared" si="324"/>
        <v>311.27493221890995</v>
      </c>
      <c r="BK190" s="203">
        <f t="shared" si="325"/>
        <v>311.57605705433883</v>
      </c>
      <c r="BL190" s="203" t="str">
        <f t="shared" si="326"/>
        <v/>
      </c>
      <c r="BM190" s="203">
        <f t="shared" si="327"/>
        <v>311.57605705433883</v>
      </c>
      <c r="BN190" s="200"/>
      <c r="BP190" s="298" t="s">
        <v>1448</v>
      </c>
      <c r="BQ190" s="299" t="str">
        <f t="shared" si="281"/>
        <v>Y</v>
      </c>
      <c r="BR190" s="300" t="s">
        <v>1448</v>
      </c>
      <c r="BT190" s="298" t="str">
        <f t="shared" si="282"/>
        <v>Y</v>
      </c>
      <c r="BU190" s="299" t="str">
        <f t="shared" si="328"/>
        <v>N</v>
      </c>
      <c r="BV190" s="299" t="str">
        <f t="shared" si="329"/>
        <v>Y</v>
      </c>
      <c r="BW190" s="300" t="str">
        <f t="shared" si="283"/>
        <v>Y</v>
      </c>
      <c r="BY190" s="355">
        <f t="shared" si="284"/>
        <v>0.85</v>
      </c>
      <c r="BZ190" s="356">
        <f t="shared" si="285"/>
        <v>0</v>
      </c>
      <c r="CA190" s="356">
        <f t="shared" si="286"/>
        <v>0</v>
      </c>
      <c r="CB190" s="357">
        <f t="shared" si="287"/>
        <v>0.85</v>
      </c>
      <c r="CD190" s="312">
        <f t="shared" si="288"/>
        <v>185</v>
      </c>
    </row>
    <row r="191" spans="1:82" s="48" customFormat="1" outlineLevel="1" x14ac:dyDescent="0.3">
      <c r="A191" s="202">
        <v>78707000</v>
      </c>
      <c r="B191" s="48">
        <f>VLOOKUP(C191,'NCES ID'!$A$2:$B$3136,2,FALSE)</f>
        <v>400106</v>
      </c>
      <c r="C191" s="48">
        <f>VLOOKUP(A191,'State ID'!$A$2:$B$713,2,FALSE)</f>
        <v>4331</v>
      </c>
      <c r="D191" s="48" t="s">
        <v>42</v>
      </c>
      <c r="E191" s="48" t="s">
        <v>7</v>
      </c>
      <c r="F191" s="755"/>
      <c r="G191" s="755"/>
      <c r="H191" s="755"/>
      <c r="I191" s="755"/>
      <c r="J191" s="755"/>
      <c r="K191" s="755"/>
      <c r="L191" s="454"/>
      <c r="M191" s="455"/>
      <c r="N191" s="456"/>
      <c r="O191" s="209">
        <f>VLOOKUP($C191,'Final SEA Counts'!$A$2:$F$709,5,FALSE)</f>
        <v>315</v>
      </c>
      <c r="P191" s="223">
        <f>VLOOKUP($C191,'Final SEA Counts'!$A$2:$F$709,6,FALSE)</f>
        <v>63</v>
      </c>
      <c r="Q191" s="749"/>
      <c r="R191" s="454">
        <f t="shared" si="302"/>
        <v>315</v>
      </c>
      <c r="S191" s="455">
        <f t="shared" si="303"/>
        <v>31.192939430222889</v>
      </c>
      <c r="T191" s="230">
        <f t="shared" si="304"/>
        <v>9.9025204540390127E-2</v>
      </c>
      <c r="U191" s="264" t="str">
        <f>IFERROR(VLOOKUP($B191,#REF!,8,FALSE),"")</f>
        <v/>
      </c>
      <c r="V191" s="265" t="str">
        <f>IFERROR(VLOOKUP($B191,#REF!,9,FALSE),"")</f>
        <v/>
      </c>
      <c r="W191" s="265" t="str">
        <f>IFERROR(VLOOKUP($B191,#REF!,10,FALSE),"")</f>
        <v/>
      </c>
      <c r="X191" s="265" t="str">
        <f>IFERROR(VLOOKUP($B191,#REF!,11,FALSE),"")</f>
        <v/>
      </c>
      <c r="Y191" s="266" t="str">
        <f>IFERROR(VLOOKUP($B191,#REF!,12,FALSE),"")</f>
        <v/>
      </c>
      <c r="Z191" s="265">
        <f t="shared" si="305"/>
        <v>15067.687126772982</v>
      </c>
      <c r="AA191" s="265">
        <f t="shared" si="306"/>
        <v>3115.973467009399</v>
      </c>
      <c r="AB191" s="265">
        <f t="shared" si="307"/>
        <v>8818.5445366537588</v>
      </c>
      <c r="AC191" s="266">
        <f t="shared" si="308"/>
        <v>8208.9065639517776</v>
      </c>
      <c r="AD191" s="265">
        <f t="shared" si="315"/>
        <v>15067.687126772982</v>
      </c>
      <c r="AE191" s="265" t="str">
        <f t="shared" si="316"/>
        <v/>
      </c>
      <c r="AF191" s="265">
        <f t="shared" si="317"/>
        <v>8818.5445366537588</v>
      </c>
      <c r="AG191" s="266">
        <f t="shared" si="318"/>
        <v>8208.9065639517776</v>
      </c>
      <c r="AH191" s="265">
        <f t="shared" si="309"/>
        <v>15067.687126772982</v>
      </c>
      <c r="AI191" s="265" t="str">
        <f t="shared" si="310"/>
        <v/>
      </c>
      <c r="AJ191" s="265">
        <f t="shared" si="311"/>
        <v>8843.8851818740186</v>
      </c>
      <c r="AK191" s="265">
        <f t="shared" si="312"/>
        <v>8232.4953759171804</v>
      </c>
      <c r="AL191" s="266">
        <f t="shared" si="313"/>
        <v>32144.067684564183</v>
      </c>
      <c r="AM191" s="347"/>
      <c r="AN191" s="264">
        <f>IFERROR(VLOOKUP($A191,'HH &amp; SI'!$B$4:$Z$494,'HH &amp; SI'!V$503,0),0)</f>
        <v>18149.050760107944</v>
      </c>
      <c r="AO191" s="265">
        <f>IFERROR(VLOOKUP($A191,'HH &amp; SI'!$B$4:$Z$494,'HH &amp; SI'!W$503,0),0)</f>
        <v>3966.1961116515777</v>
      </c>
      <c r="AP191" s="265">
        <f>IFERROR(VLOOKUP($A191,'HH &amp; SI'!$B$4:$Z$494,'HH &amp; SI'!X$503,0),0)</f>
        <v>9849.7030362153273</v>
      </c>
      <c r="AQ191" s="265">
        <f>IFERROR(VLOOKUP($A191,'HH &amp; SI'!$B$4:$Z$494,'HH &amp; SI'!Y$503,0),0)</f>
        <v>8569.2668529506718</v>
      </c>
      <c r="AR191" s="266">
        <f t="shared" si="319"/>
        <v>40534.216760925519</v>
      </c>
      <c r="AS191" s="347"/>
      <c r="AT191" s="324">
        <f>IFERROR(VLOOKUP(A191,'Afton FY16 Final'!$A$5:$BV$572,'Afton FY16 Final'!$BV$587,0),0)</f>
        <v>46748.350634842027</v>
      </c>
      <c r="AU191" s="347"/>
      <c r="AV191" s="454">
        <v>0</v>
      </c>
      <c r="AW191" s="265">
        <f>IFERROR(VLOOKUP($A191,'HH &amp; SI'!$B$4:$EY$503,'HH &amp; SI'!EX$503,0),0)</f>
        <v>0</v>
      </c>
      <c r="AX191" s="265">
        <f>IFERROR(VLOOKUP($A191,'HH &amp; SI'!$B$4:$EY$503,'HH &amp; SI'!EY$503,0),0)</f>
        <v>40534.216760925519</v>
      </c>
      <c r="AY191" s="265">
        <f>AX191/$AX$582*'update_State Admin 1004(b)'!$B$30*0.01</f>
        <v>387.94157290691589</v>
      </c>
      <c r="AZ191" s="266">
        <f t="shared" si="320"/>
        <v>40146.275188018604</v>
      </c>
      <c r="BA191" s="264">
        <f t="shared" si="321"/>
        <v>401.46275188018603</v>
      </c>
      <c r="BB191" s="265">
        <f t="shared" si="322"/>
        <v>39744.812436138418</v>
      </c>
      <c r="BC191" s="342">
        <f t="shared" si="280"/>
        <v>0.85018641078036661</v>
      </c>
      <c r="BD191" s="347"/>
      <c r="BE191" s="377" t="str">
        <f>'Original Title I &amp; II'!AZ191</f>
        <v/>
      </c>
      <c r="BF191" s="244" t="str">
        <f t="shared" si="323"/>
        <v/>
      </c>
      <c r="BG191" s="266">
        <f t="shared" si="314"/>
        <v>39744.812436138418</v>
      </c>
      <c r="BI191" s="203">
        <f>IFERROR(VLOOKUP(A191,'Title II Hold Harmless'!A$1:B$439,2, FALSE),"")</f>
        <v>1503</v>
      </c>
      <c r="BJ191" s="203">
        <f t="shared" si="324"/>
        <v>2164.8553172443171</v>
      </c>
      <c r="BK191" s="203">
        <f t="shared" si="325"/>
        <v>2166.9495806547548</v>
      </c>
      <c r="BL191" s="203" t="str">
        <f t="shared" si="326"/>
        <v/>
      </c>
      <c r="BM191" s="203">
        <f t="shared" si="327"/>
        <v>2166.9495806547548</v>
      </c>
      <c r="BN191" s="200"/>
      <c r="BP191" s="298" t="s">
        <v>1448</v>
      </c>
      <c r="BQ191" s="299" t="str">
        <f t="shared" si="281"/>
        <v>Y</v>
      </c>
      <c r="BR191" s="300" t="s">
        <v>1448</v>
      </c>
      <c r="BT191" s="298" t="str">
        <f t="shared" si="282"/>
        <v>Y</v>
      </c>
      <c r="BU191" s="299" t="str">
        <f t="shared" si="328"/>
        <v>N</v>
      </c>
      <c r="BV191" s="299" t="str">
        <f t="shared" si="329"/>
        <v>Y</v>
      </c>
      <c r="BW191" s="300" t="str">
        <f t="shared" si="283"/>
        <v>Y</v>
      </c>
      <c r="BY191" s="355">
        <f t="shared" si="284"/>
        <v>0.85</v>
      </c>
      <c r="BZ191" s="356">
        <f t="shared" si="285"/>
        <v>0</v>
      </c>
      <c r="CA191" s="356">
        <f t="shared" si="286"/>
        <v>0</v>
      </c>
      <c r="CB191" s="357">
        <f t="shared" si="287"/>
        <v>0.85</v>
      </c>
      <c r="CD191" s="312">
        <f t="shared" si="288"/>
        <v>186</v>
      </c>
    </row>
    <row r="192" spans="1:82" s="48" customFormat="1" outlineLevel="1" x14ac:dyDescent="0.3">
      <c r="A192" s="202">
        <v>78993000</v>
      </c>
      <c r="B192" s="48">
        <f>VLOOKUP(C192,'NCES ID'!$A$2:$B$3136,2,FALSE)</f>
        <v>400417</v>
      </c>
      <c r="C192" s="48">
        <f>VLOOKUP(A192,'State ID'!$A$2:$B$713,2,FALSE)</f>
        <v>85816</v>
      </c>
      <c r="D192" s="48" t="s">
        <v>43</v>
      </c>
      <c r="E192" s="48" t="s">
        <v>7</v>
      </c>
      <c r="F192" s="755"/>
      <c r="G192" s="755"/>
      <c r="H192" s="755"/>
      <c r="I192" s="755"/>
      <c r="J192" s="755"/>
      <c r="K192" s="755"/>
      <c r="L192" s="454"/>
      <c r="M192" s="455"/>
      <c r="N192" s="456"/>
      <c r="O192" s="209">
        <f>VLOOKUP($C192,'Final SEA Counts'!$A$2:$F$709,5,FALSE)</f>
        <v>353</v>
      </c>
      <c r="P192" s="223">
        <f>VLOOKUP($C192,'Final SEA Counts'!$A$2:$F$709,6,FALSE)</f>
        <v>265</v>
      </c>
      <c r="Q192" s="749"/>
      <c r="R192" s="454">
        <f t="shared" si="302"/>
        <v>353</v>
      </c>
      <c r="S192" s="455">
        <f t="shared" si="303"/>
        <v>131.20839601601691</v>
      </c>
      <c r="T192" s="230">
        <f t="shared" si="304"/>
        <v>0.37169517284990627</v>
      </c>
      <c r="U192" s="264" t="str">
        <f>IFERROR(VLOOKUP($B192,#REF!,8,FALSE),"")</f>
        <v/>
      </c>
      <c r="V192" s="265" t="str">
        <f>IFERROR(VLOOKUP($B192,#REF!,9,FALSE),"")</f>
        <v/>
      </c>
      <c r="W192" s="265" t="str">
        <f>IFERROR(VLOOKUP($B192,#REF!,10,FALSE),"")</f>
        <v/>
      </c>
      <c r="X192" s="265" t="str">
        <f>IFERROR(VLOOKUP($B192,#REF!,11,FALSE),"")</f>
        <v/>
      </c>
      <c r="Y192" s="266" t="str">
        <f>IFERROR(VLOOKUP($B192,#REF!,12,FALSE),"")</f>
        <v/>
      </c>
      <c r="Z192" s="265">
        <f t="shared" si="305"/>
        <v>63379.953787219682</v>
      </c>
      <c r="AA192" s="265">
        <f t="shared" si="306"/>
        <v>13106.87251996017</v>
      </c>
      <c r="AB192" s="265">
        <f t="shared" si="307"/>
        <v>37093.877812908664</v>
      </c>
      <c r="AC192" s="266">
        <f t="shared" si="308"/>
        <v>34529.527610273348</v>
      </c>
      <c r="AD192" s="265">
        <f t="shared" si="315"/>
        <v>63379.953787219682</v>
      </c>
      <c r="AE192" s="265">
        <f t="shared" si="316"/>
        <v>13106.87251996017</v>
      </c>
      <c r="AF192" s="265">
        <f t="shared" si="317"/>
        <v>37093.877812908664</v>
      </c>
      <c r="AG192" s="266">
        <f t="shared" si="318"/>
        <v>34529.527610273348</v>
      </c>
      <c r="AH192" s="265">
        <f t="shared" si="309"/>
        <v>63379.953787219682</v>
      </c>
      <c r="AI192" s="265">
        <f t="shared" si="310"/>
        <v>15237.693902790883</v>
      </c>
      <c r="AJ192" s="265">
        <f t="shared" si="311"/>
        <v>37119.218458128926</v>
      </c>
      <c r="AK192" s="265">
        <f t="shared" si="312"/>
        <v>34553.116422238752</v>
      </c>
      <c r="AL192" s="266">
        <f t="shared" si="313"/>
        <v>150289.98257037826</v>
      </c>
      <c r="AM192" s="347"/>
      <c r="AN192" s="264">
        <f>IFERROR(VLOOKUP($A192,'HH &amp; SI'!$B$4:$Z$494,'HH &amp; SI'!V$503,0),0)</f>
        <v>62515.410079936999</v>
      </c>
      <c r="AO192" s="265">
        <f>IFERROR(VLOOKUP($A192,'HH &amp; SI'!$B$4:$Z$494,'HH &amp; SI'!W$503,0),0)</f>
        <v>14735.819976093408</v>
      </c>
      <c r="AP192" s="265">
        <f>IFERROR(VLOOKUP($A192,'HH &amp; SI'!$B$4:$Z$494,'HH &amp; SI'!X$503,0),0)</f>
        <v>36781.63365890312</v>
      </c>
      <c r="AQ192" s="265">
        <f>IFERROR(VLOOKUP($A192,'HH &amp; SI'!$B$4:$Z$494,'HH &amp; SI'!Y$503,0),0)</f>
        <v>34172.403278052443</v>
      </c>
      <c r="AR192" s="266">
        <f t="shared" si="319"/>
        <v>148205.26699298597</v>
      </c>
      <c r="AS192" s="347"/>
      <c r="AT192" s="324">
        <f>IFERROR(VLOOKUP(A192,'Afton FY16 Final'!$A$5:$BV$572,'Afton FY16 Final'!$BV$587,0),0)</f>
        <v>139666.81919216871</v>
      </c>
      <c r="AU192" s="347"/>
      <c r="AV192" s="454">
        <v>0</v>
      </c>
      <c r="AW192" s="265">
        <f>IFERROR(VLOOKUP($A192,'HH &amp; SI'!$B$4:$EY$503,'HH &amp; SI'!EX$503,0),0)</f>
        <v>8301.4365833287884</v>
      </c>
      <c r="AX192" s="265">
        <f>IFERROR(VLOOKUP($A192,'HH &amp; SI'!$B$4:$EY$503,'HH &amp; SI'!EY$503,0),0)</f>
        <v>139903.83040965718</v>
      </c>
      <c r="AY192" s="265">
        <f>AX192/$AX$582*'update_State Admin 1004(b)'!$B$30*0.01</f>
        <v>1338.9801595264764</v>
      </c>
      <c r="AZ192" s="266">
        <f t="shared" si="320"/>
        <v>138564.85025013069</v>
      </c>
      <c r="BA192" s="264">
        <f t="shared" si="321"/>
        <v>1385.6485025013069</v>
      </c>
      <c r="BB192" s="265">
        <f t="shared" si="322"/>
        <v>137179.20174762938</v>
      </c>
      <c r="BC192" s="342">
        <f t="shared" si="280"/>
        <v>0.98218891602939284</v>
      </c>
      <c r="BD192" s="347"/>
      <c r="BE192" s="377" t="str">
        <f>'Original Title I &amp; II'!AZ192</f>
        <v/>
      </c>
      <c r="BF192" s="244" t="str">
        <f t="shared" si="323"/>
        <v/>
      </c>
      <c r="BG192" s="266">
        <f t="shared" si="314"/>
        <v>137179.20174762938</v>
      </c>
      <c r="BI192" s="203" t="str">
        <f>IFERROR(VLOOKUP(A192,'Title II Hold Harmless'!A$1:B$439,2, FALSE),"")</f>
        <v/>
      </c>
      <c r="BJ192" s="203">
        <f t="shared" si="324"/>
        <v>2001.7292902226532</v>
      </c>
      <c r="BK192" s="203">
        <f t="shared" si="325"/>
        <v>2003.6657468425121</v>
      </c>
      <c r="BL192" s="203" t="str">
        <f t="shared" si="326"/>
        <v/>
      </c>
      <c r="BM192" s="203">
        <f t="shared" si="327"/>
        <v>2003.6657468425121</v>
      </c>
      <c r="BN192" s="200"/>
      <c r="BP192" s="298" t="s">
        <v>1448</v>
      </c>
      <c r="BQ192" s="299" t="str">
        <f t="shared" si="281"/>
        <v>Y</v>
      </c>
      <c r="BR192" s="300" t="s">
        <v>1448</v>
      </c>
      <c r="BT192" s="298" t="str">
        <f t="shared" si="282"/>
        <v>Y</v>
      </c>
      <c r="BU192" s="299" t="str">
        <f t="shared" si="328"/>
        <v>Y</v>
      </c>
      <c r="BV192" s="299" t="str">
        <f t="shared" si="329"/>
        <v>Y</v>
      </c>
      <c r="BW192" s="300" t="str">
        <f t="shared" si="283"/>
        <v>Y</v>
      </c>
      <c r="BY192" s="355">
        <f t="shared" si="284"/>
        <v>0</v>
      </c>
      <c r="BZ192" s="356">
        <f t="shared" si="285"/>
        <v>0</v>
      </c>
      <c r="CA192" s="356">
        <f t="shared" si="286"/>
        <v>0.95</v>
      </c>
      <c r="CB192" s="357">
        <f t="shared" si="287"/>
        <v>0.95</v>
      </c>
      <c r="CD192" s="312">
        <f t="shared" si="288"/>
        <v>187</v>
      </c>
    </row>
    <row r="193" spans="1:82" s="48" customFormat="1" outlineLevel="1" x14ac:dyDescent="0.3">
      <c r="A193" s="202">
        <v>78587000</v>
      </c>
      <c r="B193" s="48">
        <f>VLOOKUP(C193,'NCES ID'!$A$2:$B$3136,2,FALSE)</f>
        <v>400828</v>
      </c>
      <c r="C193" s="48">
        <f>VLOOKUP(A193,'State ID'!$A$2:$B$713,2,FALSE)</f>
        <v>90779</v>
      </c>
      <c r="D193" s="48" t="s">
        <v>43</v>
      </c>
      <c r="E193" s="48" t="s">
        <v>7</v>
      </c>
      <c r="F193" s="755"/>
      <c r="G193" s="755"/>
      <c r="H193" s="755"/>
      <c r="I193" s="755"/>
      <c r="J193" s="755"/>
      <c r="K193" s="755"/>
      <c r="L193" s="454"/>
      <c r="M193" s="455"/>
      <c r="N193" s="456"/>
      <c r="O193" s="209">
        <f>VLOOKUP($C193,'Final SEA Counts'!$A$2:$F$709,5,FALSE)</f>
        <v>402</v>
      </c>
      <c r="P193" s="223">
        <f>VLOOKUP($C193,'Final SEA Counts'!$A$2:$F$709,6,FALSE)</f>
        <v>160</v>
      </c>
      <c r="Q193" s="749"/>
      <c r="R193" s="454">
        <f t="shared" si="302"/>
        <v>402</v>
      </c>
      <c r="S193" s="455">
        <f t="shared" si="303"/>
        <v>79.220163632312094</v>
      </c>
      <c r="T193" s="230">
        <f t="shared" si="304"/>
        <v>0.19706508366246789</v>
      </c>
      <c r="U193" s="264" t="str">
        <f>IFERROR(VLOOKUP($B193,#REF!,8,FALSE),"")</f>
        <v/>
      </c>
      <c r="V193" s="265" t="str">
        <f>IFERROR(VLOOKUP($B193,#REF!,9,FALSE),"")</f>
        <v/>
      </c>
      <c r="W193" s="265" t="str">
        <f>IFERROR(VLOOKUP($B193,#REF!,10,FALSE),"")</f>
        <v/>
      </c>
      <c r="X193" s="265" t="str">
        <f>IFERROR(VLOOKUP($B193,#REF!,11,FALSE),"")</f>
        <v/>
      </c>
      <c r="Y193" s="266" t="str">
        <f>IFERROR(VLOOKUP($B193,#REF!,12,FALSE),"")</f>
        <v/>
      </c>
      <c r="Z193" s="265">
        <f t="shared" si="305"/>
        <v>38267.141909264712</v>
      </c>
      <c r="AA193" s="265">
        <f t="shared" si="306"/>
        <v>7913.5834082778383</v>
      </c>
      <c r="AB193" s="265">
        <f t="shared" si="307"/>
        <v>22396.3035851524</v>
      </c>
      <c r="AC193" s="266">
        <f t="shared" si="308"/>
        <v>20848.016670353718</v>
      </c>
      <c r="AD193" s="265">
        <f t="shared" si="315"/>
        <v>38267.141909264712</v>
      </c>
      <c r="AE193" s="265">
        <f t="shared" si="316"/>
        <v>7913.5834082778383</v>
      </c>
      <c r="AF193" s="265">
        <f t="shared" si="317"/>
        <v>22396.3035851524</v>
      </c>
      <c r="AG193" s="266">
        <f t="shared" si="318"/>
        <v>20848.016670353718</v>
      </c>
      <c r="AH193" s="265">
        <f t="shared" si="309"/>
        <v>38267.141909264712</v>
      </c>
      <c r="AI193" s="265">
        <f t="shared" si="310"/>
        <v>10044.404791108551</v>
      </c>
      <c r="AJ193" s="265">
        <f t="shared" si="311"/>
        <v>22421.644230372658</v>
      </c>
      <c r="AK193" s="265">
        <f t="shared" si="312"/>
        <v>20871.605482319119</v>
      </c>
      <c r="AL193" s="266">
        <f t="shared" si="313"/>
        <v>91604.796413065036</v>
      </c>
      <c r="AM193" s="347"/>
      <c r="AN193" s="264">
        <f>IFERROR(VLOOKUP($A193,'HH &amp; SI'!$B$4:$Z$494,'HH &amp; SI'!V$503,0),0)</f>
        <v>37745.153255811012</v>
      </c>
      <c r="AO193" s="265">
        <f>IFERROR(VLOOKUP($A193,'HH &amp; SI'!$B$4:$Z$494,'HH &amp; SI'!W$503,0),0)</f>
        <v>9713.5788205901845</v>
      </c>
      <c r="AP193" s="265">
        <f>IFERROR(VLOOKUP($A193,'HH &amp; SI'!$B$4:$Z$494,'HH &amp; SI'!X$503,0),0)</f>
        <v>22217.728130297408</v>
      </c>
      <c r="AQ193" s="265">
        <f>IFERROR(VLOOKUP($A193,'HH &amp; SI'!$B$4:$Z$494,'HH &amp; SI'!Y$503,0),0)</f>
        <v>20641.637960713004</v>
      </c>
      <c r="AR193" s="266">
        <f t="shared" si="319"/>
        <v>90318.098167411605</v>
      </c>
      <c r="AS193" s="347"/>
      <c r="AT193" s="324">
        <f>IFERROR(VLOOKUP(A193,'Afton FY16 Final'!$A$5:$BV$572,'Afton FY16 Final'!$BV$587,0),0)</f>
        <v>75871.614558605521</v>
      </c>
      <c r="AU193" s="347"/>
      <c r="AV193" s="454">
        <v>0</v>
      </c>
      <c r="AW193" s="265">
        <f>IFERROR(VLOOKUP($A193,'HH &amp; SI'!$B$4:$EY$503,'HH &amp; SI'!EX$503,0),0)</f>
        <v>5058.996751438739</v>
      </c>
      <c r="AX193" s="265">
        <f>IFERROR(VLOOKUP($A193,'HH &amp; SI'!$B$4:$EY$503,'HH &amp; SI'!EY$503,0),0)</f>
        <v>85259.101415972866</v>
      </c>
      <c r="AY193" s="265">
        <f>AX193/$AX$582*'update_State Admin 1004(b)'!$B$30*0.01</f>
        <v>815.99084800442449</v>
      </c>
      <c r="AZ193" s="266">
        <f t="shared" si="320"/>
        <v>84443.110567968441</v>
      </c>
      <c r="BA193" s="264">
        <f t="shared" si="321"/>
        <v>844.43110567968438</v>
      </c>
      <c r="BB193" s="265">
        <f t="shared" si="322"/>
        <v>83598.679462288754</v>
      </c>
      <c r="BC193" s="342">
        <f t="shared" si="280"/>
        <v>1.1018439497911912</v>
      </c>
      <c r="BD193" s="347"/>
      <c r="BE193" s="377" t="str">
        <f>'Original Title I &amp; II'!AZ193</f>
        <v/>
      </c>
      <c r="BF193" s="244" t="str">
        <f t="shared" si="323"/>
        <v/>
      </c>
      <c r="BG193" s="266">
        <f t="shared" si="314"/>
        <v>83598.679462288754</v>
      </c>
      <c r="BI193" s="203" t="str">
        <f>IFERROR(VLOOKUP(A193,'Title II Hold Harmless'!A$1:B$439,2, FALSE),"")</f>
        <v/>
      </c>
      <c r="BJ193" s="203">
        <f t="shared" si="324"/>
        <v>1360.5921165837233</v>
      </c>
      <c r="BK193" s="203">
        <f t="shared" si="325"/>
        <v>1361.9083423211173</v>
      </c>
      <c r="BL193" s="203" t="str">
        <f t="shared" si="326"/>
        <v/>
      </c>
      <c r="BM193" s="203">
        <f t="shared" si="327"/>
        <v>1361.9083423211173</v>
      </c>
      <c r="BN193" s="200"/>
      <c r="BP193" s="298" t="s">
        <v>1448</v>
      </c>
      <c r="BQ193" s="299" t="str">
        <f t="shared" si="281"/>
        <v>Y</v>
      </c>
      <c r="BR193" s="300" t="s">
        <v>1448</v>
      </c>
      <c r="BT193" s="298" t="str">
        <f t="shared" si="282"/>
        <v>Y</v>
      </c>
      <c r="BU193" s="299" t="str">
        <f t="shared" si="328"/>
        <v>Y</v>
      </c>
      <c r="BV193" s="299" t="str">
        <f t="shared" si="329"/>
        <v>Y</v>
      </c>
      <c r="BW193" s="300" t="str">
        <f t="shared" si="283"/>
        <v>Y</v>
      </c>
      <c r="BY193" s="355">
        <f t="shared" si="284"/>
        <v>0</v>
      </c>
      <c r="BZ193" s="356">
        <f t="shared" si="285"/>
        <v>0.9</v>
      </c>
      <c r="CA193" s="356">
        <f t="shared" si="286"/>
        <v>0</v>
      </c>
      <c r="CB193" s="357">
        <f t="shared" si="287"/>
        <v>0.9</v>
      </c>
      <c r="CD193" s="312">
        <f t="shared" si="288"/>
        <v>188</v>
      </c>
    </row>
    <row r="194" spans="1:82" s="48" customFormat="1" outlineLevel="1" x14ac:dyDescent="0.3">
      <c r="A194" s="202">
        <v>78226000</v>
      </c>
      <c r="B194" s="48" t="e">
        <f>VLOOKUP(C194,'NCES ID'!$A$2:$B$3136,2,FALSE)</f>
        <v>#N/A</v>
      </c>
      <c r="C194" s="48">
        <f>VLOOKUP(A194,'State ID'!$A$2:$B$713,2,FALSE)</f>
        <v>91958</v>
      </c>
      <c r="D194" s="48" t="s">
        <v>44</v>
      </c>
      <c r="E194" s="48" t="s">
        <v>7</v>
      </c>
      <c r="F194" s="755"/>
      <c r="G194" s="755"/>
      <c r="H194" s="755"/>
      <c r="I194" s="755"/>
      <c r="J194" s="755"/>
      <c r="K194" s="755"/>
      <c r="L194" s="454"/>
      <c r="M194" s="455"/>
      <c r="N194" s="456"/>
      <c r="O194" s="209">
        <f>VLOOKUP($C194,'Final SEA Counts'!$A$2:$F$709,5,FALSE)</f>
        <v>107</v>
      </c>
      <c r="P194" s="223">
        <f>VLOOKUP($C194,'Final SEA Counts'!$A$2:$F$709,6,FALSE)</f>
        <v>86</v>
      </c>
      <c r="Q194" s="749"/>
      <c r="R194" s="454">
        <f t="shared" si="302"/>
        <v>107</v>
      </c>
      <c r="S194" s="455">
        <f t="shared" si="303"/>
        <v>42.580837952367752</v>
      </c>
      <c r="T194" s="230">
        <f t="shared" si="304"/>
        <v>0.39795175656418458</v>
      </c>
      <c r="U194" s="264" t="str">
        <f>IFERROR(VLOOKUP($B194,#REF!,8,FALSE),"")</f>
        <v/>
      </c>
      <c r="V194" s="265" t="str">
        <f>IFERROR(VLOOKUP($B194,#REF!,9,FALSE),"")</f>
        <v/>
      </c>
      <c r="W194" s="265" t="str">
        <f>IFERROR(VLOOKUP($B194,#REF!,10,FALSE),"")</f>
        <v/>
      </c>
      <c r="X194" s="265" t="str">
        <f>IFERROR(VLOOKUP($B194,#REF!,11,FALSE),"")</f>
        <v/>
      </c>
      <c r="Y194" s="266" t="str">
        <f>IFERROR(VLOOKUP($B194,#REF!,12,FALSE),"")</f>
        <v/>
      </c>
      <c r="Z194" s="265">
        <f t="shared" si="305"/>
        <v>20568.588776229786</v>
      </c>
      <c r="AA194" s="265">
        <f t="shared" si="306"/>
        <v>4253.5510819493384</v>
      </c>
      <c r="AB194" s="265">
        <f t="shared" si="307"/>
        <v>12038.013177019415</v>
      </c>
      <c r="AC194" s="266">
        <f t="shared" si="308"/>
        <v>11205.808960315124</v>
      </c>
      <c r="AD194" s="265">
        <f t="shared" si="315"/>
        <v>20568.588776229786</v>
      </c>
      <c r="AE194" s="265">
        <f t="shared" si="316"/>
        <v>4253.5510819493384</v>
      </c>
      <c r="AF194" s="265">
        <f t="shared" si="317"/>
        <v>12038.013177019415</v>
      </c>
      <c r="AG194" s="266">
        <f t="shared" si="318"/>
        <v>11205.808960315124</v>
      </c>
      <c r="AH194" s="265">
        <f t="shared" si="309"/>
        <v>20568.588776229786</v>
      </c>
      <c r="AI194" s="265">
        <f t="shared" si="310"/>
        <v>6384.3724647800509</v>
      </c>
      <c r="AJ194" s="265">
        <f t="shared" si="311"/>
        <v>12063.353822239675</v>
      </c>
      <c r="AK194" s="265">
        <f t="shared" si="312"/>
        <v>11229.397772280527</v>
      </c>
      <c r="AL194" s="266">
        <f t="shared" si="313"/>
        <v>50245.712835530037</v>
      </c>
      <c r="AM194" s="347"/>
      <c r="AN194" s="264">
        <f>IFERROR(VLOOKUP($A194,'HH &amp; SI'!$B$4:$Z$494,'HH &amp; SI'!V$503,0),0)</f>
        <v>20288.019874998427</v>
      </c>
      <c r="AO194" s="265">
        <f>IFERROR(VLOOKUP($A194,'HH &amp; SI'!$B$4:$Z$494,'HH &amp; SI'!W$503,0),0)</f>
        <v>6174.0945776641047</v>
      </c>
      <c r="AP194" s="265">
        <f>IFERROR(VLOOKUP($A194,'HH &amp; SI'!$B$4:$Z$494,'HH &amp; SI'!X$503,0),0)</f>
        <v>11953.642329184819</v>
      </c>
      <c r="AQ194" s="265">
        <f>IFERROR(VLOOKUP($A194,'HH &amp; SI'!$B$4:$Z$494,'HH &amp; SI'!Y$503,0),0)</f>
        <v>11105.670022778544</v>
      </c>
      <c r="AR194" s="266">
        <f t="shared" si="319"/>
        <v>49521.426804625895</v>
      </c>
      <c r="AS194" s="347"/>
      <c r="AT194" s="324">
        <f>IFERROR(VLOOKUP(A194,'Afton FY16 Final'!$A$5:$BV$572,'Afton FY16 Final'!$BV$587,0),0)</f>
        <v>41116.506327120194</v>
      </c>
      <c r="AU194" s="347"/>
      <c r="AV194" s="454">
        <v>0</v>
      </c>
      <c r="AW194" s="265">
        <f>IFERROR(VLOOKUP($A194,'HH &amp; SI'!$B$4:$EY$503,'HH &amp; SI'!EX$503,0),0)</f>
        <v>2773.8486794400742</v>
      </c>
      <c r="AX194" s="265">
        <f>IFERROR(VLOOKUP($A194,'HH &amp; SI'!$B$4:$EY$503,'HH &amp; SI'!EY$503,0),0)</f>
        <v>46747.578125185821</v>
      </c>
      <c r="AY194" s="265">
        <f>AX194/$AX$582*'update_State Admin 1004(b)'!$B$30*0.01</f>
        <v>447.40790464602622</v>
      </c>
      <c r="AZ194" s="266">
        <f t="shared" si="320"/>
        <v>46300.170220539796</v>
      </c>
      <c r="BA194" s="264">
        <f t="shared" si="321"/>
        <v>463.00170220539798</v>
      </c>
      <c r="BB194" s="265">
        <f t="shared" si="322"/>
        <v>45837.168518334402</v>
      </c>
      <c r="BC194" s="342">
        <f t="shared" si="280"/>
        <v>1.1148118508332623</v>
      </c>
      <c r="BD194" s="347"/>
      <c r="BE194" s="377" t="str">
        <f>'Original Title I &amp; II'!AZ194</f>
        <v/>
      </c>
      <c r="BF194" s="244" t="str">
        <f t="shared" si="323"/>
        <v/>
      </c>
      <c r="BG194" s="266">
        <f t="shared" si="314"/>
        <v>45837.168518334402</v>
      </c>
      <c r="BI194" s="203" t="str">
        <f>IFERROR(VLOOKUP(A194,'Title II Hold Harmless'!A$1:B$439,2, FALSE),"")</f>
        <v/>
      </c>
      <c r="BJ194" s="203">
        <f t="shared" si="324"/>
        <v>643.5347365324385</v>
      </c>
      <c r="BK194" s="203">
        <f t="shared" si="325"/>
        <v>644.15728679772883</v>
      </c>
      <c r="BL194" s="203" t="str">
        <f t="shared" si="326"/>
        <v/>
      </c>
      <c r="BM194" s="203">
        <f t="shared" si="327"/>
        <v>644.15728679772883</v>
      </c>
      <c r="BN194" s="200"/>
      <c r="BP194" s="298" t="s">
        <v>1448</v>
      </c>
      <c r="BQ194" s="299" t="str">
        <f t="shared" si="281"/>
        <v>Y</v>
      </c>
      <c r="BR194" s="300" t="s">
        <v>1448</v>
      </c>
      <c r="BT194" s="298" t="str">
        <f t="shared" si="282"/>
        <v>Y</v>
      </c>
      <c r="BU194" s="299" t="str">
        <f t="shared" si="328"/>
        <v>Y</v>
      </c>
      <c r="BV194" s="299" t="str">
        <f t="shared" si="329"/>
        <v>Y</v>
      </c>
      <c r="BW194" s="300" t="str">
        <f t="shared" si="283"/>
        <v>Y</v>
      </c>
      <c r="BY194" s="355">
        <f t="shared" si="284"/>
        <v>0</v>
      </c>
      <c r="BZ194" s="356">
        <f t="shared" si="285"/>
        <v>0</v>
      </c>
      <c r="CA194" s="356">
        <f t="shared" si="286"/>
        <v>0.95</v>
      </c>
      <c r="CB194" s="357">
        <f t="shared" si="287"/>
        <v>0.95</v>
      </c>
      <c r="CD194" s="312">
        <f t="shared" si="288"/>
        <v>189</v>
      </c>
    </row>
    <row r="195" spans="1:82" s="48" customFormat="1" outlineLevel="1" x14ac:dyDescent="0.3">
      <c r="A195" s="202">
        <v>78723000</v>
      </c>
      <c r="B195" s="48">
        <f>VLOOKUP(C195,'NCES ID'!$A$2:$B$3136,2,FALSE)</f>
        <v>400057</v>
      </c>
      <c r="C195" s="48">
        <f>VLOOKUP(A195,'State ID'!$A$2:$B$713,2,FALSE)</f>
        <v>4346</v>
      </c>
      <c r="D195" s="48" t="s">
        <v>45</v>
      </c>
      <c r="E195" s="48" t="s">
        <v>7</v>
      </c>
      <c r="F195" s="755"/>
      <c r="G195" s="755"/>
      <c r="H195" s="755"/>
      <c r="I195" s="755"/>
      <c r="J195" s="755"/>
      <c r="K195" s="755"/>
      <c r="L195" s="454"/>
      <c r="M195" s="455"/>
      <c r="N195" s="456"/>
      <c r="O195" s="209">
        <f>VLOOKUP($C195,'Final SEA Counts'!$A$2:$F$709,5,FALSE)</f>
        <v>66</v>
      </c>
      <c r="P195" s="223">
        <f>VLOOKUP($C195,'Final SEA Counts'!$A$2:$F$709,6,FALSE)</f>
        <v>52</v>
      </c>
      <c r="Q195" s="749"/>
      <c r="R195" s="454">
        <f t="shared" si="302"/>
        <v>66</v>
      </c>
      <c r="S195" s="455">
        <f t="shared" si="303"/>
        <v>25.746553180501433</v>
      </c>
      <c r="T195" s="230">
        <f t="shared" si="304"/>
        <v>0.39009929061365806</v>
      </c>
      <c r="U195" s="264" t="str">
        <f>IFERROR(VLOOKUP($B195,#REF!,8,FALSE),"")</f>
        <v/>
      </c>
      <c r="V195" s="265" t="str">
        <f>IFERROR(VLOOKUP($B195,#REF!,9,FALSE),"")</f>
        <v/>
      </c>
      <c r="W195" s="265" t="str">
        <f>IFERROR(VLOOKUP($B195,#REF!,10,FALSE),"")</f>
        <v/>
      </c>
      <c r="X195" s="265" t="str">
        <f>IFERROR(VLOOKUP($B195,#REF!,11,FALSE),"")</f>
        <v/>
      </c>
      <c r="Y195" s="266" t="str">
        <f>IFERROR(VLOOKUP($B195,#REF!,12,FALSE),"")</f>
        <v/>
      </c>
      <c r="Z195" s="265">
        <f t="shared" si="305"/>
        <v>12436.821120511033</v>
      </c>
      <c r="AA195" s="265">
        <f t="shared" si="306"/>
        <v>2571.914607690298</v>
      </c>
      <c r="AB195" s="265">
        <f t="shared" si="307"/>
        <v>7278.7986651745305</v>
      </c>
      <c r="AC195" s="266">
        <f t="shared" si="308"/>
        <v>6775.6054178649592</v>
      </c>
      <c r="AD195" s="265">
        <f t="shared" si="315"/>
        <v>12436.821120511033</v>
      </c>
      <c r="AE195" s="265">
        <f t="shared" si="316"/>
        <v>2571.914607690298</v>
      </c>
      <c r="AF195" s="265">
        <f t="shared" si="317"/>
        <v>7278.7986651745305</v>
      </c>
      <c r="AG195" s="266">
        <f t="shared" si="318"/>
        <v>6775.6054178649592</v>
      </c>
      <c r="AH195" s="265">
        <f t="shared" si="309"/>
        <v>12436.821120511033</v>
      </c>
      <c r="AI195" s="265">
        <f t="shared" si="310"/>
        <v>4702.7359905210105</v>
      </c>
      <c r="AJ195" s="265">
        <f t="shared" si="311"/>
        <v>7304.1393103947894</v>
      </c>
      <c r="AK195" s="265">
        <f t="shared" si="312"/>
        <v>6799.194229830362</v>
      </c>
      <c r="AL195" s="266">
        <f t="shared" si="313"/>
        <v>31242.890651257196</v>
      </c>
      <c r="AM195" s="347"/>
      <c r="AN195" s="264">
        <f>IFERROR(VLOOKUP($A195,'HH &amp; SI'!$B$4:$Z$494,'HH &amp; SI'!V$503,0),0)</f>
        <v>13941.172974054261</v>
      </c>
      <c r="AO195" s="265">
        <f>IFERROR(VLOOKUP($A195,'HH &amp; SI'!$B$4:$Z$494,'HH &amp; SI'!W$503,0),0)</f>
        <v>4547.8450606440128</v>
      </c>
      <c r="AP195" s="265">
        <f>IFERROR(VLOOKUP($A195,'HH &amp; SI'!$B$4:$Z$494,'HH &amp; SI'!X$503,0),0)</f>
        <v>7237.7110151601146</v>
      </c>
      <c r="AQ195" s="265">
        <f>IFERROR(VLOOKUP($A195,'HH &amp; SI'!$B$4:$Z$494,'HH &amp; SI'!Y$503,0),0)</f>
        <v>7136.4312594535304</v>
      </c>
      <c r="AR195" s="266">
        <f t="shared" si="319"/>
        <v>32863.160309311919</v>
      </c>
      <c r="AS195" s="347"/>
      <c r="AT195" s="324">
        <f>IFERROR(VLOOKUP(A195,'Afton FY16 Final'!$A$5:$BV$572,'Afton FY16 Final'!$BV$587,0),0)</f>
        <v>31868.503153103189</v>
      </c>
      <c r="AU195" s="347"/>
      <c r="AV195" s="454">
        <v>0</v>
      </c>
      <c r="AW195" s="265">
        <f>IFERROR(VLOOKUP($A195,'HH &amp; SI'!$B$4:$EY$503,'HH &amp; SI'!EX$503,0),0)</f>
        <v>994.65715620873016</v>
      </c>
      <c r="AX195" s="265">
        <f>IFERROR(VLOOKUP($A195,'HH &amp; SI'!$B$4:$EY$503,'HH &amp; SI'!EY$503,0),0)</f>
        <v>31868.503153103189</v>
      </c>
      <c r="AY195" s="265">
        <f>AX195/$AX$582*'update_State Admin 1004(b)'!$B$30*0.01</f>
        <v>305.00446850429216</v>
      </c>
      <c r="AZ195" s="266">
        <f t="shared" si="320"/>
        <v>31563.498684598897</v>
      </c>
      <c r="BA195" s="264">
        <f t="shared" si="321"/>
        <v>315.63498684598898</v>
      </c>
      <c r="BB195" s="265">
        <f t="shared" si="322"/>
        <v>31247.86369775291</v>
      </c>
      <c r="BC195" s="342">
        <f t="shared" si="280"/>
        <v>0.98052498881517614</v>
      </c>
      <c r="BD195" s="347"/>
      <c r="BE195" s="377" t="str">
        <f>'Original Title I &amp; II'!AZ195</f>
        <v/>
      </c>
      <c r="BF195" s="244" t="str">
        <f t="shared" si="323"/>
        <v/>
      </c>
      <c r="BG195" s="266">
        <f t="shared" si="314"/>
        <v>31247.86369775291</v>
      </c>
      <c r="BI195" s="203">
        <f>IFERROR(VLOOKUP(A195,'Title II Hold Harmless'!A$1:B$439,2, FALSE),"")</f>
        <v>9239</v>
      </c>
      <c r="BJ195" s="203">
        <f t="shared" si="324"/>
        <v>9629.1621379640692</v>
      </c>
      <c r="BK195" s="203">
        <f t="shared" si="325"/>
        <v>9638.4773110280967</v>
      </c>
      <c r="BL195" s="203" t="str">
        <f t="shared" si="326"/>
        <v/>
      </c>
      <c r="BM195" s="203">
        <f t="shared" si="327"/>
        <v>9638.4773110280967</v>
      </c>
      <c r="BN195" s="200"/>
      <c r="BP195" s="298" t="s">
        <v>1448</v>
      </c>
      <c r="BQ195" s="299" t="str">
        <f t="shared" si="281"/>
        <v>Y</v>
      </c>
      <c r="BR195" s="300" t="s">
        <v>1448</v>
      </c>
      <c r="BT195" s="298" t="str">
        <f t="shared" si="282"/>
        <v>Y</v>
      </c>
      <c r="BU195" s="299" t="str">
        <f t="shared" si="328"/>
        <v>Y</v>
      </c>
      <c r="BV195" s="299" t="str">
        <f t="shared" si="329"/>
        <v>Y</v>
      </c>
      <c r="BW195" s="300" t="str">
        <f t="shared" si="283"/>
        <v>Y</v>
      </c>
      <c r="BY195" s="355">
        <f t="shared" si="284"/>
        <v>0</v>
      </c>
      <c r="BZ195" s="356">
        <f t="shared" si="285"/>
        <v>0</v>
      </c>
      <c r="CA195" s="356">
        <f t="shared" si="286"/>
        <v>0.95</v>
      </c>
      <c r="CB195" s="357">
        <f t="shared" si="287"/>
        <v>0.95</v>
      </c>
      <c r="CD195" s="312">
        <f t="shared" si="288"/>
        <v>190</v>
      </c>
    </row>
    <row r="196" spans="1:82" s="48" customFormat="1" outlineLevel="1" x14ac:dyDescent="0.3">
      <c r="A196" s="202">
        <v>78511000</v>
      </c>
      <c r="B196" s="48">
        <f>VLOOKUP(C196,'NCES ID'!$A$2:$B$3136,2,FALSE)</f>
        <v>400427</v>
      </c>
      <c r="C196" s="48">
        <f>VLOOKUP(A196,'State ID'!$A$2:$B$713,2,FALSE)</f>
        <v>87407</v>
      </c>
      <c r="D196" s="48" t="s">
        <v>47</v>
      </c>
      <c r="E196" s="48" t="s">
        <v>7</v>
      </c>
      <c r="F196" s="755"/>
      <c r="G196" s="755"/>
      <c r="H196" s="755"/>
      <c r="I196" s="755"/>
      <c r="J196" s="755"/>
      <c r="K196" s="755"/>
      <c r="L196" s="454"/>
      <c r="M196" s="455"/>
      <c r="N196" s="456"/>
      <c r="O196" s="209">
        <f>VLOOKUP($C196,'Final SEA Counts'!$A$2:$F$709,5,FALSE)</f>
        <v>1889</v>
      </c>
      <c r="P196" s="223">
        <f>VLOOKUP($C196,'Final SEA Counts'!$A$2:$F$709,6,FALSE)</f>
        <v>898</v>
      </c>
      <c r="Q196" s="749"/>
      <c r="R196" s="454">
        <f t="shared" si="302"/>
        <v>1889</v>
      </c>
      <c r="S196" s="455">
        <f t="shared" si="303"/>
        <v>444.62316838635167</v>
      </c>
      <c r="T196" s="230">
        <f t="shared" si="304"/>
        <v>0.23537489062273778</v>
      </c>
      <c r="U196" s="264" t="str">
        <f>IFERROR(VLOOKUP($B196,#REF!,8,FALSE),"")</f>
        <v/>
      </c>
      <c r="V196" s="265" t="str">
        <f>IFERROR(VLOOKUP($B196,#REF!,9,FALSE),"")</f>
        <v/>
      </c>
      <c r="W196" s="265" t="str">
        <f>IFERROR(VLOOKUP($B196,#REF!,10,FALSE),"")</f>
        <v/>
      </c>
      <c r="X196" s="265" t="str">
        <f>IFERROR(VLOOKUP($B196,#REF!,11,FALSE),"")</f>
        <v/>
      </c>
      <c r="Y196" s="266" t="str">
        <f>IFERROR(VLOOKUP($B196,#REF!,12,FALSE),"")</f>
        <v/>
      </c>
      <c r="Z196" s="265">
        <f t="shared" si="305"/>
        <v>214774.33396574823</v>
      </c>
      <c r="AA196" s="265">
        <f t="shared" si="306"/>
        <v>44414.986878959375</v>
      </c>
      <c r="AB196" s="265">
        <f t="shared" si="307"/>
        <v>125699.25387166785</v>
      </c>
      <c r="AC196" s="266">
        <f t="shared" si="308"/>
        <v>117009.49356236025</v>
      </c>
      <c r="AD196" s="265">
        <f t="shared" si="315"/>
        <v>214774.33396574823</v>
      </c>
      <c r="AE196" s="265">
        <f t="shared" si="316"/>
        <v>44414.986878959375</v>
      </c>
      <c r="AF196" s="265">
        <f t="shared" si="317"/>
        <v>125699.25387166785</v>
      </c>
      <c r="AG196" s="266">
        <f t="shared" si="318"/>
        <v>117009.49356236025</v>
      </c>
      <c r="AH196" s="265">
        <f t="shared" si="309"/>
        <v>214774.33396574823</v>
      </c>
      <c r="AI196" s="265">
        <f t="shared" si="310"/>
        <v>46545.808261790087</v>
      </c>
      <c r="AJ196" s="265">
        <f t="shared" si="311"/>
        <v>125724.59451688812</v>
      </c>
      <c r="AK196" s="265">
        <f t="shared" si="312"/>
        <v>117033.08237432565</v>
      </c>
      <c r="AL196" s="266">
        <f t="shared" si="313"/>
        <v>504077.81911875209</v>
      </c>
      <c r="AM196" s="347"/>
      <c r="AN196" s="264">
        <f>IFERROR(VLOOKUP($A196,'HH &amp; SI'!$B$4:$Z$494,'HH &amp; SI'!V$503,0),0)</f>
        <v>211844.67264823936</v>
      </c>
      <c r="AO196" s="265">
        <f>IFERROR(VLOOKUP($A196,'HH &amp; SI'!$B$4:$Z$494,'HH &amp; SI'!W$503,0),0)</f>
        <v>45012.759513555691</v>
      </c>
      <c r="AP196" s="265">
        <f>IFERROR(VLOOKUP($A196,'HH &amp; SI'!$B$4:$Z$494,'HH &amp; SI'!X$503,0),0)</f>
        <v>124581.17841706894</v>
      </c>
      <c r="AQ196" s="265">
        <f>IFERROR(VLOOKUP($A196,'HH &amp; SI'!$B$4:$Z$494,'HH &amp; SI'!Y$503,0),0)</f>
        <v>115743.58847687019</v>
      </c>
      <c r="AR196" s="266">
        <f t="shared" si="319"/>
        <v>497182.19905573421</v>
      </c>
      <c r="AS196" s="347"/>
      <c r="AT196" s="324">
        <f>IFERROR(VLOOKUP(A196,'Afton FY16 Final'!$A$5:$BV$572,'Afton FY16 Final'!$BV$587,0),0)</f>
        <v>446877.8810151103</v>
      </c>
      <c r="AU196" s="347"/>
      <c r="AV196" s="454">
        <v>0</v>
      </c>
      <c r="AW196" s="265">
        <f>IFERROR(VLOOKUP($A196,'HH &amp; SI'!$B$4:$EY$503,'HH &amp; SI'!EX$503,0),0)</f>
        <v>27848.716712722788</v>
      </c>
      <c r="AX196" s="265">
        <f>IFERROR(VLOOKUP($A196,'HH &amp; SI'!$B$4:$EY$503,'HH &amp; SI'!EY$503,0),0)</f>
        <v>469333.48234301142</v>
      </c>
      <c r="AY196" s="265">
        <f>AX196/$AX$582*'update_State Admin 1004(b)'!$B$30*0.01</f>
        <v>4491.8585804165614</v>
      </c>
      <c r="AZ196" s="266">
        <f t="shared" si="320"/>
        <v>464841.62376259489</v>
      </c>
      <c r="BA196" s="264">
        <f t="shared" si="321"/>
        <v>4648.4162376259492</v>
      </c>
      <c r="BB196" s="265">
        <f t="shared" si="322"/>
        <v>460193.20752496895</v>
      </c>
      <c r="BC196" s="342">
        <f t="shared" si="280"/>
        <v>1.0297963427494152</v>
      </c>
      <c r="BD196" s="347"/>
      <c r="BE196" s="377" t="str">
        <f>'Original Title I &amp; II'!AZ196</f>
        <v/>
      </c>
      <c r="BF196" s="244" t="str">
        <f t="shared" si="323"/>
        <v/>
      </c>
      <c r="BG196" s="266">
        <f t="shared" si="314"/>
        <v>460193.20752496895</v>
      </c>
      <c r="BI196" s="203" t="str">
        <f>IFERROR(VLOOKUP(A196,'Title II Hold Harmless'!A$1:B$439,2, FALSE),"")</f>
        <v/>
      </c>
      <c r="BJ196" s="203">
        <f t="shared" si="324"/>
        <v>7340.7806883525391</v>
      </c>
      <c r="BK196" s="203">
        <f t="shared" si="325"/>
        <v>7347.8820998312667</v>
      </c>
      <c r="BL196" s="203" t="str">
        <f t="shared" si="326"/>
        <v/>
      </c>
      <c r="BM196" s="203">
        <f t="shared" si="327"/>
        <v>7347.8820998312667</v>
      </c>
      <c r="BN196" s="200"/>
      <c r="BP196" s="298" t="s">
        <v>1448</v>
      </c>
      <c r="BQ196" s="299" t="str">
        <f t="shared" si="281"/>
        <v>Y</v>
      </c>
      <c r="BR196" s="300" t="s">
        <v>1448</v>
      </c>
      <c r="BT196" s="298" t="str">
        <f t="shared" si="282"/>
        <v>Y</v>
      </c>
      <c r="BU196" s="299" t="str">
        <f t="shared" si="328"/>
        <v>Y</v>
      </c>
      <c r="BV196" s="299" t="str">
        <f t="shared" si="329"/>
        <v>Y</v>
      </c>
      <c r="BW196" s="300" t="str">
        <f t="shared" si="283"/>
        <v>Y</v>
      </c>
      <c r="BY196" s="355">
        <f t="shared" si="284"/>
        <v>0</v>
      </c>
      <c r="BZ196" s="356">
        <f t="shared" si="285"/>
        <v>0.9</v>
      </c>
      <c r="CA196" s="356">
        <f t="shared" si="286"/>
        <v>0</v>
      </c>
      <c r="CB196" s="357">
        <f t="shared" si="287"/>
        <v>0.9</v>
      </c>
      <c r="CD196" s="312">
        <f t="shared" si="288"/>
        <v>191</v>
      </c>
    </row>
    <row r="197" spans="1:82" s="48" customFormat="1" outlineLevel="1" x14ac:dyDescent="0.3">
      <c r="A197" s="202">
        <v>78991000</v>
      </c>
      <c r="B197" s="48">
        <f>VLOOKUP(C197,'NCES ID'!$A$2:$B$3136,2,FALSE)</f>
        <v>400415</v>
      </c>
      <c r="C197" s="48">
        <f>VLOOKUP(A197,'State ID'!$A$2:$B$713,2,FALSE)</f>
        <v>85749</v>
      </c>
      <c r="D197" s="48" t="s">
        <v>49</v>
      </c>
      <c r="E197" s="48" t="s">
        <v>7</v>
      </c>
      <c r="F197" s="755"/>
      <c r="G197" s="755"/>
      <c r="H197" s="755"/>
      <c r="I197" s="755"/>
      <c r="J197" s="755"/>
      <c r="K197" s="755"/>
      <c r="L197" s="454"/>
      <c r="M197" s="455"/>
      <c r="N197" s="456"/>
      <c r="O197" s="209">
        <f>VLOOKUP($C197,'Final SEA Counts'!$A$2:$F$709,5,FALSE)</f>
        <v>235</v>
      </c>
      <c r="P197" s="223">
        <f>VLOOKUP($C197,'Final SEA Counts'!$A$2:$F$709,6,FALSE)</f>
        <v>65</v>
      </c>
      <c r="Q197" s="749"/>
      <c r="R197" s="454">
        <f t="shared" si="302"/>
        <v>235</v>
      </c>
      <c r="S197" s="455">
        <f t="shared" si="303"/>
        <v>32.183191475626792</v>
      </c>
      <c r="T197" s="230">
        <f t="shared" si="304"/>
        <v>0.136949750960114</v>
      </c>
      <c r="U197" s="264" t="str">
        <f>IFERROR(VLOOKUP($B197,#REF!,8,FALSE),"")</f>
        <v/>
      </c>
      <c r="V197" s="265" t="str">
        <f>IFERROR(VLOOKUP($B197,#REF!,9,FALSE),"")</f>
        <v/>
      </c>
      <c r="W197" s="265" t="str">
        <f>IFERROR(VLOOKUP($B197,#REF!,10,FALSE),"")</f>
        <v/>
      </c>
      <c r="X197" s="265" t="str">
        <f>IFERROR(VLOOKUP($B197,#REF!,11,FALSE),"")</f>
        <v/>
      </c>
      <c r="Y197" s="266" t="str">
        <f>IFERROR(VLOOKUP($B197,#REF!,12,FALSE),"")</f>
        <v/>
      </c>
      <c r="Z197" s="265">
        <f t="shared" si="305"/>
        <v>15546.026400638792</v>
      </c>
      <c r="AA197" s="265">
        <f t="shared" si="306"/>
        <v>3214.8932596128725</v>
      </c>
      <c r="AB197" s="265">
        <f t="shared" si="307"/>
        <v>9098.4983314681631</v>
      </c>
      <c r="AC197" s="266">
        <f t="shared" si="308"/>
        <v>8469.5067723311986</v>
      </c>
      <c r="AD197" s="265">
        <f t="shared" si="315"/>
        <v>15546.026400638792</v>
      </c>
      <c r="AE197" s="265" t="str">
        <f t="shared" si="316"/>
        <v/>
      </c>
      <c r="AF197" s="265">
        <f t="shared" si="317"/>
        <v>9098.4983314681631</v>
      </c>
      <c r="AG197" s="266">
        <f t="shared" si="318"/>
        <v>8469.5067723311986</v>
      </c>
      <c r="AH197" s="265">
        <f t="shared" si="309"/>
        <v>15546.026400638792</v>
      </c>
      <c r="AI197" s="265" t="str">
        <f t="shared" si="310"/>
        <v/>
      </c>
      <c r="AJ197" s="265">
        <f t="shared" si="311"/>
        <v>9123.8389766884229</v>
      </c>
      <c r="AK197" s="265">
        <f t="shared" si="312"/>
        <v>8493.0955842966014</v>
      </c>
      <c r="AL197" s="266">
        <f t="shared" si="313"/>
        <v>33162.960961623816</v>
      </c>
      <c r="AM197" s="347"/>
      <c r="AN197" s="264">
        <f>IFERROR(VLOOKUP($A197,'HH &amp; SI'!$B$4:$Z$494,'HH &amp; SI'!V$503,0),0)</f>
        <v>16037.891991637704</v>
      </c>
      <c r="AO197" s="265">
        <f>IFERROR(VLOOKUP($A197,'HH &amp; SI'!$B$4:$Z$494,'HH &amp; SI'!W$503,0),0)</f>
        <v>3815.9830789409393</v>
      </c>
      <c r="AP197" s="265">
        <f>IFERROR(VLOOKUP($A197,'HH &amp; SI'!$B$4:$Z$494,'HH &amp; SI'!X$503,0),0)</f>
        <v>9040.8612234636803</v>
      </c>
      <c r="AQ197" s="265">
        <f>IFERROR(VLOOKUP($A197,'HH &amp; SI'!$B$4:$Z$494,'HH &amp; SI'!Y$503,0),0)</f>
        <v>8399.5169593106566</v>
      </c>
      <c r="AR197" s="266">
        <f t="shared" si="319"/>
        <v>37294.253253352981</v>
      </c>
      <c r="AS197" s="347"/>
      <c r="AT197" s="324">
        <f>IFERROR(VLOOKUP(A197,'Afton FY16 Final'!$A$5:$BV$572,'Afton FY16 Final'!$BV$587,0),0)</f>
        <v>42153.891898062058</v>
      </c>
      <c r="AU197" s="347"/>
      <c r="AV197" s="454">
        <v>0</v>
      </c>
      <c r="AW197" s="265">
        <f>IFERROR(VLOOKUP($A197,'HH &amp; SI'!$B$4:$EY$503,'HH &amp; SI'!EX$503,0),0)</f>
        <v>0</v>
      </c>
      <c r="AX197" s="265">
        <f>IFERROR(VLOOKUP($A197,'HH &amp; SI'!$B$4:$EY$503,'HH &amp; SI'!EY$503,0),0)</f>
        <v>37294.253253352981</v>
      </c>
      <c r="AY197" s="265">
        <f>AX197/$AX$582*'update_State Admin 1004(b)'!$B$30*0.01</f>
        <v>356.93279465169252</v>
      </c>
      <c r="AZ197" s="266">
        <f t="shared" si="320"/>
        <v>36937.320458701288</v>
      </c>
      <c r="BA197" s="264">
        <f t="shared" si="321"/>
        <v>369.37320458701288</v>
      </c>
      <c r="BB197" s="265">
        <f t="shared" si="322"/>
        <v>36567.947254114275</v>
      </c>
      <c r="BC197" s="342">
        <f t="shared" si="280"/>
        <v>0.86748685845055773</v>
      </c>
      <c r="BD197" s="347"/>
      <c r="BE197" s="377" t="str">
        <f>'Original Title I &amp; II'!AZ197</f>
        <v/>
      </c>
      <c r="BF197" s="244" t="str">
        <f t="shared" si="323"/>
        <v/>
      </c>
      <c r="BG197" s="266">
        <f t="shared" si="314"/>
        <v>36567.947254114275</v>
      </c>
      <c r="BI197" s="203" t="str">
        <f>IFERROR(VLOOKUP(A197,'Title II Hold Harmless'!A$1:B$439,2, FALSE),"")</f>
        <v/>
      </c>
      <c r="BJ197" s="203">
        <f t="shared" si="324"/>
        <v>610.43462510257746</v>
      </c>
      <c r="BK197" s="203">
        <f t="shared" si="325"/>
        <v>611.02515458952894</v>
      </c>
      <c r="BL197" s="203" t="str">
        <f t="shared" si="326"/>
        <v/>
      </c>
      <c r="BM197" s="203">
        <f t="shared" si="327"/>
        <v>611.02515458952894</v>
      </c>
      <c r="BN197" s="200"/>
      <c r="BP197" s="298" t="s">
        <v>1448</v>
      </c>
      <c r="BQ197" s="299" t="str">
        <f t="shared" si="281"/>
        <v>Y</v>
      </c>
      <c r="BR197" s="300" t="s">
        <v>1448</v>
      </c>
      <c r="BT197" s="298" t="str">
        <f t="shared" si="282"/>
        <v>Y</v>
      </c>
      <c r="BU197" s="299" t="str">
        <f t="shared" si="328"/>
        <v>N</v>
      </c>
      <c r="BV197" s="299" t="str">
        <f t="shared" si="329"/>
        <v>Y</v>
      </c>
      <c r="BW197" s="300" t="str">
        <f t="shared" si="283"/>
        <v>Y</v>
      </c>
      <c r="BY197" s="355">
        <f t="shared" si="284"/>
        <v>0.85</v>
      </c>
      <c r="BZ197" s="356">
        <f t="shared" si="285"/>
        <v>0</v>
      </c>
      <c r="CA197" s="356">
        <f t="shared" si="286"/>
        <v>0</v>
      </c>
      <c r="CB197" s="357">
        <f t="shared" si="287"/>
        <v>0.85</v>
      </c>
      <c r="CD197" s="312">
        <f t="shared" si="288"/>
        <v>192</v>
      </c>
    </row>
    <row r="198" spans="1:82" s="48" customFormat="1" outlineLevel="1" x14ac:dyDescent="0.3">
      <c r="A198" s="202">
        <v>1202000</v>
      </c>
      <c r="B198" s="48">
        <f>VLOOKUP(C198,'NCES ID'!$A$2:$B$3136,2,FALSE)</f>
        <v>400463</v>
      </c>
      <c r="C198" s="48">
        <v>6393</v>
      </c>
      <c r="D198" s="48" t="s">
        <v>50</v>
      </c>
      <c r="E198" s="48" t="s">
        <v>7</v>
      </c>
      <c r="F198" s="755"/>
      <c r="G198" s="755"/>
      <c r="H198" s="755"/>
      <c r="I198" s="755"/>
      <c r="J198" s="755"/>
      <c r="K198" s="755"/>
      <c r="L198" s="454"/>
      <c r="M198" s="455"/>
      <c r="N198" s="456"/>
      <c r="O198" s="209">
        <f>VLOOKUP($C198,'Final SEA Counts'!$A$2:$F$709,5,FALSE)</f>
        <v>832</v>
      </c>
      <c r="P198" s="223">
        <f>VLOOKUP($C198,'Final SEA Counts'!$A$2:$F$709,6,FALSE)</f>
        <v>197</v>
      </c>
      <c r="Q198" s="749"/>
      <c r="R198" s="454">
        <f t="shared" si="302"/>
        <v>832</v>
      </c>
      <c r="S198" s="455">
        <f t="shared" si="303"/>
        <v>97.539826472284275</v>
      </c>
      <c r="T198" s="230">
        <f t="shared" si="304"/>
        <v>0.11723536835611091</v>
      </c>
      <c r="U198" s="264"/>
      <c r="V198" s="265"/>
      <c r="W198" s="265"/>
      <c r="X198" s="265"/>
      <c r="Y198" s="266"/>
      <c r="Z198" s="265">
        <f t="shared" si="305"/>
        <v>47116.418475782186</v>
      </c>
      <c r="AA198" s="265">
        <f t="shared" si="306"/>
        <v>9743.5995714420897</v>
      </c>
      <c r="AB198" s="265">
        <f t="shared" si="307"/>
        <v>27575.448789218895</v>
      </c>
      <c r="AC198" s="266">
        <f t="shared" si="308"/>
        <v>25669.120525373019</v>
      </c>
      <c r="AD198" s="265">
        <f t="shared" si="315"/>
        <v>47116.418475782186</v>
      </c>
      <c r="AE198" s="265" t="str">
        <f t="shared" si="316"/>
        <v/>
      </c>
      <c r="AF198" s="265">
        <f t="shared" si="317"/>
        <v>27575.448789218895</v>
      </c>
      <c r="AG198" s="266">
        <f t="shared" si="318"/>
        <v>25669.120525373019</v>
      </c>
      <c r="AH198" s="265">
        <f t="shared" si="309"/>
        <v>47116.418475782186</v>
      </c>
      <c r="AI198" s="265" t="str">
        <f t="shared" si="310"/>
        <v/>
      </c>
      <c r="AJ198" s="265">
        <f t="shared" si="311"/>
        <v>27600.789434439153</v>
      </c>
      <c r="AK198" s="265">
        <f t="shared" si="312"/>
        <v>25692.70933733842</v>
      </c>
      <c r="AL198" s="266">
        <f t="shared" si="313"/>
        <v>100409.91724755976</v>
      </c>
      <c r="AM198" s="347"/>
      <c r="AN198" s="264">
        <f>IFERROR(VLOOKUP($A198,'HH &amp; SI'!$B$4:$Z$494,'HH &amp; SI'!V$503,0),0)</f>
        <v>55237.509890511159</v>
      </c>
      <c r="AO198" s="265">
        <f>IFERROR(VLOOKUP($A198,'HH &amp; SI'!$B$4:$Z$494,'HH &amp; SI'!W$503,0),0)</f>
        <v>9486.5250637675563</v>
      </c>
      <c r="AP198" s="265">
        <f>IFERROR(VLOOKUP($A198,'HH &amp; SI'!$B$4:$Z$494,'HH &amp; SI'!X$503,0),0)</f>
        <v>29978.04546766865</v>
      </c>
      <c r="AQ198" s="265">
        <f>IFERROR(VLOOKUP($A198,'HH &amp; SI'!$B$4:$Z$494,'HH &amp; SI'!Y$503,0),0)</f>
        <v>25409.621929680237</v>
      </c>
      <c r="AR198" s="266">
        <f t="shared" si="319"/>
        <v>120111.70235162761</v>
      </c>
      <c r="AS198" s="347"/>
      <c r="AT198" s="324">
        <f>IFERROR(VLOOKUP(A198,'Afton FY16 Final'!$A$5:$BV$572,'Afton FY16 Final'!$BV$587,0),0)</f>
        <v>125513.31681261383</v>
      </c>
      <c r="AU198" s="347"/>
      <c r="AV198" s="454">
        <v>0</v>
      </c>
      <c r="AW198" s="265">
        <f>IFERROR(VLOOKUP($A198,'HH &amp; SI'!$B$4:$EY$503,'HH &amp; SI'!EX$503,0),0)</f>
        <v>0</v>
      </c>
      <c r="AX198" s="265">
        <f>IFERROR(VLOOKUP($A198,'HH &amp; SI'!$B$4:$EY$503,'HH &amp; SI'!EY$503,0),0)</f>
        <v>120111.70235162761</v>
      </c>
      <c r="AY198" s="265">
        <f>AX198/$AX$582*'update_State Admin 1004(b)'!$B$30*0.01</f>
        <v>1149.55527596961</v>
      </c>
      <c r="AZ198" s="266">
        <f t="shared" si="320"/>
        <v>118962.14707565799</v>
      </c>
      <c r="BA198" s="264">
        <f t="shared" si="321"/>
        <v>1189.62147075658</v>
      </c>
      <c r="BB198" s="265">
        <f t="shared" si="322"/>
        <v>117772.52560490141</v>
      </c>
      <c r="BC198" s="342">
        <f t="shared" si="280"/>
        <v>0.93832693291605784</v>
      </c>
      <c r="BD198" s="347"/>
      <c r="BE198" s="377">
        <f>'Original Title I &amp; II'!AZ198</f>
        <v>0</v>
      </c>
      <c r="BF198" s="244"/>
      <c r="BG198" s="266">
        <f t="shared" si="314"/>
        <v>117772.52560490141</v>
      </c>
      <c r="BI198" s="203">
        <f>IFERROR(VLOOKUP(A198,'Title II Hold Harmless'!A$1:B$439,2, FALSE),"")</f>
        <v>19025</v>
      </c>
      <c r="BJ198" s="203">
        <f t="shared" si="324"/>
        <v>20971.476718890786</v>
      </c>
      <c r="BK198" s="203">
        <f t="shared" si="325"/>
        <v>20991.764354745883</v>
      </c>
      <c r="BL198" s="203"/>
      <c r="BM198" s="203">
        <f t="shared" si="327"/>
        <v>20991.764354745883</v>
      </c>
      <c r="BN198" s="200"/>
      <c r="BP198" s="298" t="s">
        <v>1448</v>
      </c>
      <c r="BQ198" s="299" t="str">
        <f t="shared" si="281"/>
        <v>Y</v>
      </c>
      <c r="BR198" s="300" t="s">
        <v>1448</v>
      </c>
      <c r="BT198" s="298" t="str">
        <f t="shared" si="282"/>
        <v>Y</v>
      </c>
      <c r="BU198" s="299" t="str">
        <f t="shared" si="328"/>
        <v>N</v>
      </c>
      <c r="BV198" s="299" t="str">
        <f t="shared" si="329"/>
        <v>Y</v>
      </c>
      <c r="BW198" s="300" t="str">
        <f t="shared" si="283"/>
        <v>Y</v>
      </c>
      <c r="BY198" s="355">
        <f t="shared" si="284"/>
        <v>0.85</v>
      </c>
      <c r="BZ198" s="356">
        <f t="shared" si="285"/>
        <v>0</v>
      </c>
      <c r="CA198" s="356">
        <f t="shared" si="286"/>
        <v>0</v>
      </c>
      <c r="CB198" s="357">
        <f t="shared" si="287"/>
        <v>0.85</v>
      </c>
      <c r="CD198" s="312">
        <f t="shared" si="288"/>
        <v>193</v>
      </c>
    </row>
    <row r="199" spans="1:82" s="48" customFormat="1" outlineLevel="1" x14ac:dyDescent="0.3">
      <c r="A199" s="202">
        <v>78546000</v>
      </c>
      <c r="B199" s="48">
        <f>VLOOKUP(C199,'NCES ID'!$A$2:$B$3136,2,FALSE)</f>
        <v>400764</v>
      </c>
      <c r="C199" s="48">
        <f>VLOOKUP(A199,'State ID'!$A$2:$B$713,2,FALSE)</f>
        <v>89949</v>
      </c>
      <c r="D199" s="48" t="s">
        <v>56</v>
      </c>
      <c r="E199" s="48" t="s">
        <v>7</v>
      </c>
      <c r="F199" s="755"/>
      <c r="G199" s="755"/>
      <c r="H199" s="755"/>
      <c r="I199" s="755"/>
      <c r="J199" s="755"/>
      <c r="K199" s="755"/>
      <c r="L199" s="454"/>
      <c r="M199" s="455"/>
      <c r="N199" s="456"/>
      <c r="O199" s="209">
        <f>VLOOKUP($C199,'Final SEA Counts'!$A$2:$F$709,5,FALSE)</f>
        <v>389</v>
      </c>
      <c r="P199" s="223">
        <f>VLOOKUP($C199,'Final SEA Counts'!$A$2:$F$709,6,FALSE)</f>
        <v>283</v>
      </c>
      <c r="Q199" s="749"/>
      <c r="R199" s="454">
        <f t="shared" si="302"/>
        <v>389</v>
      </c>
      <c r="S199" s="455">
        <f t="shared" si="303"/>
        <v>140.12066442465203</v>
      </c>
      <c r="T199" s="230">
        <f t="shared" si="304"/>
        <v>0.36020736355951682</v>
      </c>
      <c r="U199" s="264" t="str">
        <f>IFERROR(VLOOKUP($B199,#REF!,8,FALSE),"")</f>
        <v/>
      </c>
      <c r="V199" s="265" t="str">
        <f>IFERROR(VLOOKUP($B199,#REF!,9,FALSE),"")</f>
        <v/>
      </c>
      <c r="W199" s="265" t="str">
        <f>IFERROR(VLOOKUP($B199,#REF!,10,FALSE),"")</f>
        <v/>
      </c>
      <c r="X199" s="265" t="str">
        <f>IFERROR(VLOOKUP($B199,#REF!,11,FALSE),"")</f>
        <v/>
      </c>
      <c r="Y199" s="266" t="str">
        <f>IFERROR(VLOOKUP($B199,#REF!,12,FALSE),"")</f>
        <v/>
      </c>
      <c r="Z199" s="265">
        <f t="shared" si="305"/>
        <v>67685.007252011972</v>
      </c>
      <c r="AA199" s="265">
        <f t="shared" si="306"/>
        <v>13997.150653391429</v>
      </c>
      <c r="AB199" s="265">
        <f t="shared" si="307"/>
        <v>39613.461966238312</v>
      </c>
      <c r="AC199" s="266">
        <f t="shared" si="308"/>
        <v>36874.929485688146</v>
      </c>
      <c r="AD199" s="265">
        <f t="shared" si="315"/>
        <v>67685.007252011972</v>
      </c>
      <c r="AE199" s="265">
        <f t="shared" si="316"/>
        <v>13997.150653391429</v>
      </c>
      <c r="AF199" s="265">
        <f t="shared" si="317"/>
        <v>39613.461966238312</v>
      </c>
      <c r="AG199" s="266">
        <f t="shared" si="318"/>
        <v>36874.929485688146</v>
      </c>
      <c r="AH199" s="265">
        <f t="shared" si="309"/>
        <v>67685.007252011972</v>
      </c>
      <c r="AI199" s="265">
        <f t="shared" si="310"/>
        <v>16127.972036222141</v>
      </c>
      <c r="AJ199" s="265">
        <f t="shared" si="311"/>
        <v>39638.802611458574</v>
      </c>
      <c r="AK199" s="265">
        <f t="shared" si="312"/>
        <v>36898.518297653551</v>
      </c>
      <c r="AL199" s="266">
        <f t="shared" si="313"/>
        <v>160350.30019734625</v>
      </c>
      <c r="AM199" s="347"/>
      <c r="AN199" s="264">
        <f>IFERROR(VLOOKUP($A199,'HH &amp; SI'!$B$4:$Z$494,'HH &amp; SI'!V$503,0),0)</f>
        <v>111076.22756695632</v>
      </c>
      <c r="AO199" s="265">
        <f>IFERROR(VLOOKUP($A199,'HH &amp; SI'!$B$4:$Z$494,'HH &amp; SI'!W$503,0),0)</f>
        <v>21247.60686527699</v>
      </c>
      <c r="AP199" s="265">
        <f>IFERROR(VLOOKUP($A199,'HH &amp; SI'!$B$4:$Z$494,'HH &amp; SI'!X$503,0),0)</f>
        <v>55724.890744257827</v>
      </c>
      <c r="AQ199" s="265">
        <f>IFERROR(VLOOKUP($A199,'HH &amp; SI'!$B$4:$Z$494,'HH &amp; SI'!Y$503,0),0)</f>
        <v>52293.606226221207</v>
      </c>
      <c r="AR199" s="266">
        <f t="shared" si="319"/>
        <v>240342.33140271233</v>
      </c>
      <c r="AS199" s="347"/>
      <c r="AT199" s="324">
        <f>IFERROR(VLOOKUP(A199,'Afton FY16 Final'!$A$5:$BV$572,'Afton FY16 Final'!$BV$587,0),0)</f>
        <v>235556.18771308233</v>
      </c>
      <c r="AU199" s="347"/>
      <c r="AV199" s="454">
        <v>0</v>
      </c>
      <c r="AW199" s="265">
        <f>IFERROR(VLOOKUP($A199,'HH &amp; SI'!$B$4:$EY$503,'HH &amp; SI'!EX$503,0),0)</f>
        <v>4786.1436896300002</v>
      </c>
      <c r="AX199" s="265">
        <f>IFERROR(VLOOKUP($A199,'HH &amp; SI'!$B$4:$EY$503,'HH &amp; SI'!EY$503,0),0)</f>
        <v>235556.18771308233</v>
      </c>
      <c r="AY199" s="265">
        <f>AX199/$AX$582*'update_State Admin 1004(b)'!$B$30*0.01</f>
        <v>2254.4419325615549</v>
      </c>
      <c r="AZ199" s="266">
        <f t="shared" si="320"/>
        <v>233301.74578052078</v>
      </c>
      <c r="BA199" s="264">
        <f t="shared" si="321"/>
        <v>2333.0174578052079</v>
      </c>
      <c r="BB199" s="265">
        <f t="shared" si="322"/>
        <v>230968.72832271559</v>
      </c>
      <c r="BC199" s="342">
        <f t="shared" ref="BC199:BC262" si="330">IFERROR(BB199/AT199,"")</f>
        <v>0.98052498881517614</v>
      </c>
      <c r="BD199" s="347"/>
      <c r="BE199" s="377" t="str">
        <f>'Original Title I &amp; II'!AZ199</f>
        <v/>
      </c>
      <c r="BF199" s="244" t="str">
        <f t="shared" ref="BF199:BF212" si="331">IF(BE199&lt;0,BB199*BE199/100,"")</f>
        <v/>
      </c>
      <c r="BG199" s="266">
        <f t="shared" si="314"/>
        <v>230968.72832271559</v>
      </c>
      <c r="BI199" s="203" t="str">
        <f>IFERROR(VLOOKUP(A199,'Title II Hold Harmless'!A$1:B$439,2, FALSE),"")</f>
        <v/>
      </c>
      <c r="BJ199" s="203">
        <f t="shared" si="324"/>
        <v>2147.371626202761</v>
      </c>
      <c r="BK199" s="203">
        <f t="shared" si="325"/>
        <v>2149.4489760328147</v>
      </c>
      <c r="BL199" s="203" t="str">
        <f t="shared" si="326"/>
        <v/>
      </c>
      <c r="BM199" s="203">
        <f t="shared" si="327"/>
        <v>2149.4489760328147</v>
      </c>
      <c r="BN199" s="200"/>
      <c r="BP199" s="298" t="s">
        <v>1448</v>
      </c>
      <c r="BQ199" s="299" t="str">
        <f t="shared" ref="BQ199:BQ262" si="332">IF(OR(BP199="y",BP199="n"),"Y","N")</f>
        <v>Y</v>
      </c>
      <c r="BR199" s="300" t="s">
        <v>1448</v>
      </c>
      <c r="BT199" s="298" t="str">
        <f t="shared" ref="BT199:BT262" si="333">IF(AND(S199&gt;=10,T199&gt;0.02),"Y","N")</f>
        <v>Y</v>
      </c>
      <c r="BU199" s="299" t="str">
        <f t="shared" si="328"/>
        <v>Y</v>
      </c>
      <c r="BV199" s="299" t="str">
        <f t="shared" si="329"/>
        <v>Y</v>
      </c>
      <c r="BW199" s="300" t="str">
        <f t="shared" ref="BW199:BW262" si="334">BV199</f>
        <v>Y</v>
      </c>
      <c r="BY199" s="355">
        <f t="shared" ref="BY199:BY262" si="335">IF(BT199="NA","NA",IF($T199&lt;0.15,0.85,0))</f>
        <v>0</v>
      </c>
      <c r="BZ199" s="356">
        <f t="shared" ref="BZ199:BZ262" si="336">IF(BT199="NA","NA",IF(AND($T199&gt;=0.15,$T199&lt;0.3),0.9,0))</f>
        <v>0</v>
      </c>
      <c r="CA199" s="356">
        <f t="shared" ref="CA199:CA262" si="337">IF(BT199="NA","NA",IF($T199&gt;=0.3,0.95,0))</f>
        <v>0.95</v>
      </c>
      <c r="CB199" s="357">
        <f t="shared" ref="CB199:CB262" si="338">IF(BY199="NA","NA",MAX(BY199:CA199))</f>
        <v>0.95</v>
      </c>
      <c r="CD199" s="312">
        <f t="shared" si="288"/>
        <v>194</v>
      </c>
    </row>
    <row r="200" spans="1:82" s="48" customFormat="1" outlineLevel="1" x14ac:dyDescent="0.3">
      <c r="A200" s="202">
        <v>78250000</v>
      </c>
      <c r="B200" s="48">
        <f>VLOOKUP(C200,'NCES ID'!$A$2:$B$3136,2,FALSE)</f>
        <v>400890</v>
      </c>
      <c r="C200" s="48">
        <f>VLOOKUP(A200,'State ID'!$A$2:$B$713,2,FALSE)</f>
        <v>92325</v>
      </c>
      <c r="D200" s="48" t="s">
        <v>56</v>
      </c>
      <c r="E200" s="48" t="s">
        <v>7</v>
      </c>
      <c r="F200" s="755"/>
      <c r="G200" s="755"/>
      <c r="H200" s="755"/>
      <c r="I200" s="755"/>
      <c r="J200" s="755"/>
      <c r="K200" s="755"/>
      <c r="L200" s="454"/>
      <c r="M200" s="455"/>
      <c r="N200" s="456"/>
      <c r="O200" s="209">
        <f>VLOOKUP($C200,'Final SEA Counts'!$A$2:$F$709,5,FALSE)</f>
        <v>359</v>
      </c>
      <c r="P200" s="223">
        <f>VLOOKUP($C200,'Final SEA Counts'!$A$2:$F$709,6,FALSE)</f>
        <v>259</v>
      </c>
      <c r="Q200" s="749"/>
      <c r="R200" s="454">
        <f t="shared" si="302"/>
        <v>359</v>
      </c>
      <c r="S200" s="455">
        <f t="shared" si="303"/>
        <v>128.23763987980522</v>
      </c>
      <c r="T200" s="230">
        <f t="shared" si="304"/>
        <v>0.35720791052870532</v>
      </c>
      <c r="U200" s="264" t="str">
        <f>IFERROR(VLOOKUP($B200,#REF!,8,FALSE),"")</f>
        <v/>
      </c>
      <c r="V200" s="265" t="str">
        <f>IFERROR(VLOOKUP($B200,#REF!,9,FALSE),"")</f>
        <v/>
      </c>
      <c r="W200" s="265" t="str">
        <f>IFERROR(VLOOKUP($B200,#REF!,10,FALSE),"")</f>
        <v/>
      </c>
      <c r="X200" s="265" t="str">
        <f>IFERROR(VLOOKUP($B200,#REF!,11,FALSE),"")</f>
        <v/>
      </c>
      <c r="Y200" s="266" t="str">
        <f>IFERROR(VLOOKUP($B200,#REF!,12,FALSE),"")</f>
        <v/>
      </c>
      <c r="Z200" s="265">
        <f t="shared" si="305"/>
        <v>61944.935965622266</v>
      </c>
      <c r="AA200" s="265">
        <f t="shared" si="306"/>
        <v>12810.113142149752</v>
      </c>
      <c r="AB200" s="265">
        <f t="shared" si="307"/>
        <v>36254.016428465453</v>
      </c>
      <c r="AC200" s="266">
        <f t="shared" si="308"/>
        <v>33747.726985135087</v>
      </c>
      <c r="AD200" s="265">
        <f t="shared" si="315"/>
        <v>61944.935965622266</v>
      </c>
      <c r="AE200" s="265">
        <f t="shared" si="316"/>
        <v>12810.113142149752</v>
      </c>
      <c r="AF200" s="265">
        <f t="shared" si="317"/>
        <v>36254.016428465453</v>
      </c>
      <c r="AG200" s="266">
        <f t="shared" si="318"/>
        <v>33747.726985135087</v>
      </c>
      <c r="AH200" s="265">
        <f t="shared" si="309"/>
        <v>61944.935965622266</v>
      </c>
      <c r="AI200" s="265">
        <f t="shared" si="310"/>
        <v>14940.934524980465</v>
      </c>
      <c r="AJ200" s="265">
        <f t="shared" si="311"/>
        <v>36279.357073685715</v>
      </c>
      <c r="AK200" s="265">
        <f t="shared" si="312"/>
        <v>33771.315797100491</v>
      </c>
      <c r="AL200" s="266">
        <f t="shared" si="313"/>
        <v>146936.54336138893</v>
      </c>
      <c r="AM200" s="347"/>
      <c r="AN200" s="264">
        <f>IFERROR(VLOOKUP($A200,'HH &amp; SI'!$B$4:$Z$494,'HH &amp; SI'!V$503,0),0)</f>
        <v>61099.966832844097</v>
      </c>
      <c r="AO200" s="265">
        <f>IFERROR(VLOOKUP($A200,'HH &amp; SI'!$B$4:$Z$494,'HH &amp; SI'!W$503,0),0)</f>
        <v>14448.834767207509</v>
      </c>
      <c r="AP200" s="265">
        <f>IFERROR(VLOOKUP($A200,'HH &amp; SI'!$B$4:$Z$494,'HH &amp; SI'!X$503,0),0)</f>
        <v>35949.410485839937</v>
      </c>
      <c r="AQ200" s="265">
        <f>IFERROR(VLOOKUP($A200,'HH &amp; SI'!$B$4:$Z$494,'HH &amp; SI'!Y$503,0),0)</f>
        <v>33399.216688490189</v>
      </c>
      <c r="AR200" s="266">
        <f t="shared" si="319"/>
        <v>144897.42877438173</v>
      </c>
      <c r="AS200" s="347"/>
      <c r="AT200" s="324">
        <f>IFERROR(VLOOKUP(A200,'Afton FY16 Final'!$A$5:$BV$572,'Afton FY16 Final'!$BV$587,0),0)</f>
        <v>129706.94714729668</v>
      </c>
      <c r="AU200" s="347"/>
      <c r="AV200" s="454">
        <v>0</v>
      </c>
      <c r="AW200" s="265">
        <f>IFERROR(VLOOKUP($A200,'HH &amp; SI'!$B$4:$EY$503,'HH &amp; SI'!EX$503,0),0)</f>
        <v>8116.1543072207423</v>
      </c>
      <c r="AX200" s="265">
        <f>IFERROR(VLOOKUP($A200,'HH &amp; SI'!$B$4:$EY$503,'HH &amp; SI'!EY$503,0),0)</f>
        <v>136781.27446716098</v>
      </c>
      <c r="AY200" s="265">
        <f>AX200/$AX$582*'update_State Admin 1004(b)'!$B$30*0.01</f>
        <v>1309.0950560109309</v>
      </c>
      <c r="AZ200" s="266">
        <f t="shared" si="320"/>
        <v>135472.17941115005</v>
      </c>
      <c r="BA200" s="264">
        <f t="shared" si="321"/>
        <v>1354.7217941115005</v>
      </c>
      <c r="BB200" s="265">
        <f t="shared" si="322"/>
        <v>134117.45761703854</v>
      </c>
      <c r="BC200" s="342">
        <f t="shared" si="330"/>
        <v>1.0340036564482027</v>
      </c>
      <c r="BD200" s="347"/>
      <c r="BE200" s="377" t="str">
        <f>'Original Title I &amp; II'!AZ200</f>
        <v/>
      </c>
      <c r="BF200" s="244" t="str">
        <f t="shared" si="331"/>
        <v/>
      </c>
      <c r="BG200" s="266">
        <f t="shared" si="314"/>
        <v>134117.45761703854</v>
      </c>
      <c r="BI200" s="203" t="str">
        <f>IFERROR(VLOOKUP(A200,'Title II Hold Harmless'!A$1:B$439,2, FALSE),"")</f>
        <v/>
      </c>
      <c r="BJ200" s="203">
        <f t="shared" si="324"/>
        <v>1967.6682393068024</v>
      </c>
      <c r="BK200" s="203">
        <f t="shared" si="325"/>
        <v>1969.5717455432866</v>
      </c>
      <c r="BL200" s="203" t="str">
        <f t="shared" si="326"/>
        <v/>
      </c>
      <c r="BM200" s="203">
        <f t="shared" si="327"/>
        <v>1969.5717455432866</v>
      </c>
      <c r="BN200" s="200"/>
      <c r="BP200" s="298" t="s">
        <v>1448</v>
      </c>
      <c r="BQ200" s="299" t="str">
        <f t="shared" si="332"/>
        <v>Y</v>
      </c>
      <c r="BR200" s="300" t="s">
        <v>1448</v>
      </c>
      <c r="BT200" s="298" t="str">
        <f t="shared" si="333"/>
        <v>Y</v>
      </c>
      <c r="BU200" s="299" t="str">
        <f t="shared" si="328"/>
        <v>Y</v>
      </c>
      <c r="BV200" s="299" t="str">
        <f t="shared" si="329"/>
        <v>Y</v>
      </c>
      <c r="BW200" s="300" t="str">
        <f t="shared" si="334"/>
        <v>Y</v>
      </c>
      <c r="BY200" s="355">
        <f t="shared" si="335"/>
        <v>0</v>
      </c>
      <c r="BZ200" s="356">
        <f t="shared" si="336"/>
        <v>0</v>
      </c>
      <c r="CA200" s="356">
        <f t="shared" si="337"/>
        <v>0.95</v>
      </c>
      <c r="CB200" s="357">
        <f t="shared" si="338"/>
        <v>0.95</v>
      </c>
      <c r="CD200" s="312">
        <f t="shared" ref="CD200:CD263" si="339">CD199+1</f>
        <v>195</v>
      </c>
    </row>
    <row r="201" spans="1:82" s="48" customFormat="1" outlineLevel="1" x14ac:dyDescent="0.3">
      <c r="A201" s="202">
        <v>78207000</v>
      </c>
      <c r="B201" s="48">
        <f>VLOOKUP(C201,'NCES ID'!$A$2:$B$3136,2,FALSE)</f>
        <v>400858</v>
      </c>
      <c r="C201" s="48">
        <f>VLOOKUP(A201,'State ID'!$A$2:$B$713,2,FALSE)</f>
        <v>91303</v>
      </c>
      <c r="D201" s="48" t="s">
        <v>56</v>
      </c>
      <c r="E201" s="48" t="s">
        <v>7</v>
      </c>
      <c r="F201" s="755"/>
      <c r="G201" s="755"/>
      <c r="H201" s="755"/>
      <c r="I201" s="755"/>
      <c r="J201" s="755"/>
      <c r="K201" s="755"/>
      <c r="L201" s="454"/>
      <c r="M201" s="455"/>
      <c r="N201" s="456"/>
      <c r="O201" s="209">
        <f>VLOOKUP($C201,'Final SEA Counts'!$A$2:$F$709,5,FALSE)</f>
        <v>310</v>
      </c>
      <c r="P201" s="223">
        <f>VLOOKUP($C201,'Final SEA Counts'!$A$2:$F$709,6,FALSE)</f>
        <v>216</v>
      </c>
      <c r="Q201" s="749"/>
      <c r="R201" s="454">
        <f t="shared" si="302"/>
        <v>310</v>
      </c>
      <c r="S201" s="455">
        <f t="shared" si="303"/>
        <v>106.94722090362133</v>
      </c>
      <c r="T201" s="230">
        <f t="shared" si="304"/>
        <v>0.34499103517297203</v>
      </c>
      <c r="U201" s="264" t="str">
        <f>IFERROR(VLOOKUP($B201,#REF!,8,FALSE),"")</f>
        <v/>
      </c>
      <c r="V201" s="265" t="str">
        <f>IFERROR(VLOOKUP($B201,#REF!,9,FALSE),"")</f>
        <v/>
      </c>
      <c r="W201" s="265" t="str">
        <f>IFERROR(VLOOKUP($B201,#REF!,10,FALSE),"")</f>
        <v/>
      </c>
      <c r="X201" s="265" t="str">
        <f>IFERROR(VLOOKUP($B201,#REF!,11,FALSE),"")</f>
        <v/>
      </c>
      <c r="Y201" s="266" t="str">
        <f>IFERROR(VLOOKUP($B201,#REF!,12,FALSE),"")</f>
        <v/>
      </c>
      <c r="Z201" s="265">
        <f t="shared" si="305"/>
        <v>51660.641577507369</v>
      </c>
      <c r="AA201" s="265">
        <f t="shared" si="306"/>
        <v>10683.337601175082</v>
      </c>
      <c r="AB201" s="265">
        <f t="shared" si="307"/>
        <v>30235.009839955739</v>
      </c>
      <c r="AC201" s="266">
        <f t="shared" si="308"/>
        <v>28144.822504977521</v>
      </c>
      <c r="AD201" s="265">
        <f t="shared" si="315"/>
        <v>51660.641577507369</v>
      </c>
      <c r="AE201" s="265">
        <f t="shared" si="316"/>
        <v>10683.337601175082</v>
      </c>
      <c r="AF201" s="265">
        <f t="shared" si="317"/>
        <v>30235.009839955739</v>
      </c>
      <c r="AG201" s="266">
        <f t="shared" si="318"/>
        <v>28144.822504977521</v>
      </c>
      <c r="AH201" s="265">
        <f t="shared" si="309"/>
        <v>51660.641577507369</v>
      </c>
      <c r="AI201" s="265">
        <f t="shared" si="310"/>
        <v>12814.158984005795</v>
      </c>
      <c r="AJ201" s="265">
        <f t="shared" si="311"/>
        <v>30260.350485175997</v>
      </c>
      <c r="AK201" s="265">
        <f t="shared" si="312"/>
        <v>28168.411316942922</v>
      </c>
      <c r="AL201" s="266">
        <f t="shared" si="313"/>
        <v>122903.56236363208</v>
      </c>
      <c r="AM201" s="347"/>
      <c r="AN201" s="264">
        <f>IFERROR(VLOOKUP($A201,'HH &amp; SI'!$B$4:$Z$494,'HH &amp; SI'!V$503,0),0)</f>
        <v>70163.81877023651</v>
      </c>
      <c r="AO201" s="265">
        <f>IFERROR(VLOOKUP($A201,'HH &amp; SI'!$B$4:$Z$494,'HH &amp; SI'!W$503,0),0)</f>
        <v>14992.858835858626</v>
      </c>
      <c r="AP201" s="265">
        <f>IFERROR(VLOOKUP($A201,'HH &amp; SI'!$B$4:$Z$494,'HH &amp; SI'!X$503,0),0)</f>
        <v>37201.881846900294</v>
      </c>
      <c r="AQ201" s="265">
        <f>IFERROR(VLOOKUP($A201,'HH &amp; SI'!$B$4:$Z$494,'HH &amp; SI'!Y$503,0),0)</f>
        <v>35843.757078442213</v>
      </c>
      <c r="AR201" s="266">
        <f t="shared" si="319"/>
        <v>158202.31653143762</v>
      </c>
      <c r="AS201" s="347"/>
      <c r="AT201" s="324">
        <f>IFERROR(VLOOKUP(A201,'Afton FY16 Final'!$A$5:$BV$572,'Afton FY16 Final'!$BV$587,0),0)</f>
        <v>160634.97086558319</v>
      </c>
      <c r="AU201" s="347"/>
      <c r="AV201" s="454">
        <v>0</v>
      </c>
      <c r="AW201" s="265">
        <f>IFERROR(VLOOKUP($A201,'HH &amp; SI'!$B$4:$EY$503,'HH &amp; SI'!EX$503,0),0)</f>
        <v>0</v>
      </c>
      <c r="AX201" s="265">
        <f>IFERROR(VLOOKUP($A201,'HH &amp; SI'!$B$4:$EY$503,'HH &amp; SI'!EY$503,0),0)</f>
        <v>158202.31653143762</v>
      </c>
      <c r="AY201" s="265">
        <f>AX201/$AX$582*'update_State Admin 1004(b)'!$B$30*0.01</f>
        <v>1514.1098167681075</v>
      </c>
      <c r="AZ201" s="266">
        <f t="shared" si="320"/>
        <v>156688.2067146695</v>
      </c>
      <c r="BA201" s="264">
        <f t="shared" si="321"/>
        <v>1566.8820671466951</v>
      </c>
      <c r="BB201" s="265">
        <f t="shared" si="322"/>
        <v>155121.32464752282</v>
      </c>
      <c r="BC201" s="342">
        <f t="shared" si="330"/>
        <v>0.96567592854563344</v>
      </c>
      <c r="BD201" s="347"/>
      <c r="BE201" s="377" t="str">
        <f>'Original Title I &amp; II'!AZ201</f>
        <v/>
      </c>
      <c r="BF201" s="244" t="str">
        <f t="shared" si="331"/>
        <v/>
      </c>
      <c r="BG201" s="266">
        <f t="shared" si="314"/>
        <v>155121.32464752282</v>
      </c>
      <c r="BI201" s="203" t="str">
        <f>IFERROR(VLOOKUP(A201,'Title II Hold Harmless'!A$1:B$439,2, FALSE),"")</f>
        <v/>
      </c>
      <c r="BJ201" s="203">
        <f t="shared" si="324"/>
        <v>1649.5224696432958</v>
      </c>
      <c r="BK201" s="203">
        <f t="shared" si="325"/>
        <v>1651.1182042521407</v>
      </c>
      <c r="BL201" s="203" t="str">
        <f t="shared" si="326"/>
        <v/>
      </c>
      <c r="BM201" s="203">
        <f t="shared" si="327"/>
        <v>1651.1182042521407</v>
      </c>
      <c r="BN201" s="200"/>
      <c r="BP201" s="298" t="s">
        <v>1448</v>
      </c>
      <c r="BQ201" s="299" t="str">
        <f t="shared" si="332"/>
        <v>Y</v>
      </c>
      <c r="BR201" s="300" t="s">
        <v>1448</v>
      </c>
      <c r="BT201" s="298" t="str">
        <f t="shared" si="333"/>
        <v>Y</v>
      </c>
      <c r="BU201" s="299" t="str">
        <f t="shared" si="328"/>
        <v>Y</v>
      </c>
      <c r="BV201" s="299" t="str">
        <f t="shared" si="329"/>
        <v>Y</v>
      </c>
      <c r="BW201" s="300" t="str">
        <f t="shared" si="334"/>
        <v>Y</v>
      </c>
      <c r="BY201" s="355">
        <f t="shared" si="335"/>
        <v>0</v>
      </c>
      <c r="BZ201" s="356">
        <f t="shared" si="336"/>
        <v>0</v>
      </c>
      <c r="CA201" s="356">
        <f t="shared" si="337"/>
        <v>0.95</v>
      </c>
      <c r="CB201" s="357">
        <f t="shared" si="338"/>
        <v>0.95</v>
      </c>
      <c r="CD201" s="312">
        <f t="shared" si="339"/>
        <v>196</v>
      </c>
    </row>
    <row r="202" spans="1:82" s="48" customFormat="1" outlineLevel="1" x14ac:dyDescent="0.3">
      <c r="A202" s="202">
        <v>78542000</v>
      </c>
      <c r="B202" s="48">
        <f>VLOOKUP(C202,'NCES ID'!$A$2:$B$3136,2,FALSE)</f>
        <v>400785</v>
      </c>
      <c r="C202" s="48">
        <f>VLOOKUP(A202,'State ID'!$A$2:$B$713,2,FALSE)</f>
        <v>89869</v>
      </c>
      <c r="D202" s="48" t="s">
        <v>59</v>
      </c>
      <c r="E202" s="48" t="s">
        <v>7</v>
      </c>
      <c r="F202" s="755"/>
      <c r="G202" s="755"/>
      <c r="H202" s="755"/>
      <c r="I202" s="755"/>
      <c r="J202" s="755"/>
      <c r="K202" s="755"/>
      <c r="L202" s="454"/>
      <c r="M202" s="455"/>
      <c r="N202" s="456"/>
      <c r="O202" s="209">
        <f>VLOOKUP($C202,'Final SEA Counts'!$A$2:$F$709,5,FALSE)</f>
        <v>125</v>
      </c>
      <c r="P202" s="223">
        <f>VLOOKUP($C202,'Final SEA Counts'!$A$2:$F$709,6,FALSE)</f>
        <v>106</v>
      </c>
      <c r="Q202" s="749"/>
      <c r="R202" s="454">
        <f t="shared" si="302"/>
        <v>125</v>
      </c>
      <c r="S202" s="455">
        <f t="shared" si="303"/>
        <v>52.483358406406765</v>
      </c>
      <c r="T202" s="230">
        <f t="shared" si="304"/>
        <v>0.41986686725125411</v>
      </c>
      <c r="U202" s="264" t="str">
        <f>IFERROR(VLOOKUP($B202,#REF!,8,FALSE),"")</f>
        <v/>
      </c>
      <c r="V202" s="265" t="str">
        <f>IFERROR(VLOOKUP($B202,#REF!,9,FALSE),"")</f>
        <v/>
      </c>
      <c r="W202" s="265" t="str">
        <f>IFERROR(VLOOKUP($B202,#REF!,10,FALSE),"")</f>
        <v/>
      </c>
      <c r="X202" s="265" t="str">
        <f>IFERROR(VLOOKUP($B202,#REF!,11,FALSE),"")</f>
        <v/>
      </c>
      <c r="Y202" s="266" t="str">
        <f>IFERROR(VLOOKUP($B202,#REF!,12,FALSE),"")</f>
        <v/>
      </c>
      <c r="Z202" s="265">
        <f t="shared" si="305"/>
        <v>25351.981514887873</v>
      </c>
      <c r="AA202" s="265">
        <f t="shared" si="306"/>
        <v>5242.7490079840682</v>
      </c>
      <c r="AB202" s="265">
        <f t="shared" si="307"/>
        <v>14837.551125163465</v>
      </c>
      <c r="AC202" s="266">
        <f t="shared" si="308"/>
        <v>13811.811044109339</v>
      </c>
      <c r="AD202" s="265">
        <f t="shared" si="315"/>
        <v>25351.981514887873</v>
      </c>
      <c r="AE202" s="265">
        <f t="shared" si="316"/>
        <v>5242.7490079840682</v>
      </c>
      <c r="AF202" s="265">
        <f t="shared" si="317"/>
        <v>14837.551125163465</v>
      </c>
      <c r="AG202" s="266">
        <f t="shared" si="318"/>
        <v>13811.811044109339</v>
      </c>
      <c r="AH202" s="265">
        <f t="shared" si="309"/>
        <v>25351.981514887873</v>
      </c>
      <c r="AI202" s="265">
        <f t="shared" si="310"/>
        <v>7373.5703908147807</v>
      </c>
      <c r="AJ202" s="265">
        <f t="shared" si="311"/>
        <v>14862.891770383725</v>
      </c>
      <c r="AK202" s="265">
        <f t="shared" si="312"/>
        <v>13835.399856074742</v>
      </c>
      <c r="AL202" s="266">
        <f t="shared" si="313"/>
        <v>61423.843532161118</v>
      </c>
      <c r="AM202" s="347"/>
      <c r="AN202" s="264">
        <f>IFERROR(VLOOKUP($A202,'HH &amp; SI'!$B$4:$Z$494,'HH &amp; SI'!V$503,0),0)</f>
        <v>26141.553794039821</v>
      </c>
      <c r="AO202" s="265">
        <f>IFERROR(VLOOKUP($A202,'HH &amp; SI'!$B$4:$Z$494,'HH &amp; SI'!W$503,0),0)</f>
        <v>7130.7119406170996</v>
      </c>
      <c r="AP202" s="265">
        <f>IFERROR(VLOOKUP($A202,'HH &amp; SI'!$B$4:$Z$494,'HH &amp; SI'!X$503,0),0)</f>
        <v>14727.719572728764</v>
      </c>
      <c r="AQ202" s="265">
        <f>IFERROR(VLOOKUP($A202,'HH &amp; SI'!$B$4:$Z$494,'HH &amp; SI'!Y$503,0),0)</f>
        <v>13682.958654652721</v>
      </c>
      <c r="AR202" s="266">
        <f t="shared" si="319"/>
        <v>61682.9439620384</v>
      </c>
      <c r="AS202" s="347"/>
      <c r="AT202" s="324">
        <f>IFERROR(VLOOKUP(A202,'Afton FY16 Final'!$A$5:$BV$572,'Afton FY16 Final'!$BV$587,0),0)</f>
        <v>55478.281285781937</v>
      </c>
      <c r="AU202" s="347"/>
      <c r="AV202" s="454">
        <v>0</v>
      </c>
      <c r="AW202" s="265">
        <f>IFERROR(VLOOKUP($A202,'HH &amp; SI'!$B$4:$EY$503,'HH &amp; SI'!EX$503,0),0)</f>
        <v>3455.0529678416569</v>
      </c>
      <c r="AX202" s="265">
        <f>IFERROR(VLOOKUP($A202,'HH &amp; SI'!$B$4:$EY$503,'HH &amp; SI'!EY$503,0),0)</f>
        <v>58227.890994196743</v>
      </c>
      <c r="AY202" s="265">
        <f>AX202/$AX$582*'update_State Admin 1004(b)'!$B$30*0.01</f>
        <v>557.28274589769956</v>
      </c>
      <c r="AZ202" s="266">
        <f t="shared" si="320"/>
        <v>57670.608248299046</v>
      </c>
      <c r="BA202" s="264">
        <f t="shared" si="321"/>
        <v>576.7060824829905</v>
      </c>
      <c r="BB202" s="265">
        <f t="shared" si="322"/>
        <v>57093.902165816056</v>
      </c>
      <c r="BC202" s="342">
        <f t="shared" si="330"/>
        <v>1.0291216822617786</v>
      </c>
      <c r="BD202" s="347"/>
      <c r="BE202" s="377" t="str">
        <f>'Original Title I &amp; II'!AZ202</f>
        <v/>
      </c>
      <c r="BF202" s="244" t="str">
        <f t="shared" si="331"/>
        <v/>
      </c>
      <c r="BG202" s="266">
        <f t="shared" si="314"/>
        <v>57093.902165816056</v>
      </c>
      <c r="BI202" s="203" t="str">
        <f>IFERROR(VLOOKUP(A202,'Title II Hold Harmless'!A$1:B$439,2, FALSE),"")</f>
        <v/>
      </c>
      <c r="BJ202" s="203">
        <f t="shared" si="324"/>
        <v>787.65396111929499</v>
      </c>
      <c r="BK202" s="203">
        <f t="shared" si="325"/>
        <v>788.4159311492175</v>
      </c>
      <c r="BL202" s="203" t="str">
        <f t="shared" si="326"/>
        <v/>
      </c>
      <c r="BM202" s="203">
        <f t="shared" si="327"/>
        <v>788.4159311492175</v>
      </c>
      <c r="BN202" s="200"/>
      <c r="BP202" s="298" t="s">
        <v>1448</v>
      </c>
      <c r="BQ202" s="299" t="str">
        <f t="shared" si="332"/>
        <v>Y</v>
      </c>
      <c r="BR202" s="300" t="s">
        <v>1448</v>
      </c>
      <c r="BT202" s="298" t="str">
        <f t="shared" si="333"/>
        <v>Y</v>
      </c>
      <c r="BU202" s="299" t="str">
        <f t="shared" si="328"/>
        <v>Y</v>
      </c>
      <c r="BV202" s="299" t="str">
        <f t="shared" si="329"/>
        <v>Y</v>
      </c>
      <c r="BW202" s="300" t="str">
        <f t="shared" si="334"/>
        <v>Y</v>
      </c>
      <c r="BY202" s="355">
        <f t="shared" si="335"/>
        <v>0</v>
      </c>
      <c r="BZ202" s="356">
        <f t="shared" si="336"/>
        <v>0</v>
      </c>
      <c r="CA202" s="356">
        <f t="shared" si="337"/>
        <v>0.95</v>
      </c>
      <c r="CB202" s="357">
        <f t="shared" si="338"/>
        <v>0.95</v>
      </c>
      <c r="CD202" s="312">
        <f t="shared" si="339"/>
        <v>197</v>
      </c>
    </row>
    <row r="203" spans="1:82" s="48" customFormat="1" outlineLevel="1" x14ac:dyDescent="0.3">
      <c r="A203" s="202">
        <v>78988000</v>
      </c>
      <c r="B203" s="48">
        <f>VLOOKUP(C203,'NCES ID'!$A$2:$B$3136,2,FALSE)</f>
        <v>400184</v>
      </c>
      <c r="C203" s="48">
        <f>VLOOKUP(A203,'State ID'!$A$2:$B$713,2,FALSE)</f>
        <v>79204</v>
      </c>
      <c r="D203" s="48" t="s">
        <v>63</v>
      </c>
      <c r="E203" s="48" t="s">
        <v>7</v>
      </c>
      <c r="F203" s="755"/>
      <c r="G203" s="755"/>
      <c r="H203" s="755"/>
      <c r="I203" s="755"/>
      <c r="J203" s="755"/>
      <c r="K203" s="755"/>
      <c r="L203" s="454"/>
      <c r="M203" s="455"/>
      <c r="N203" s="456"/>
      <c r="O203" s="209">
        <f>VLOOKUP($C203,'Final SEA Counts'!$A$2:$F$709,5,FALSE)</f>
        <v>543</v>
      </c>
      <c r="P203" s="223">
        <f>VLOOKUP($C203,'Final SEA Counts'!$A$2:$F$709,6,FALSE)</f>
        <v>190</v>
      </c>
      <c r="Q203" s="749"/>
      <c r="R203" s="454">
        <f t="shared" si="302"/>
        <v>543</v>
      </c>
      <c r="S203" s="455">
        <f t="shared" si="303"/>
        <v>94.073944313370617</v>
      </c>
      <c r="T203" s="230">
        <f t="shared" si="304"/>
        <v>0.17324851623088511</v>
      </c>
      <c r="U203" s="264" t="str">
        <f>IFERROR(VLOOKUP($B203,#REF!,8,FALSE),"")</f>
        <v/>
      </c>
      <c r="V203" s="265" t="str">
        <f>IFERROR(VLOOKUP($B203,#REF!,9,FALSE),"")</f>
        <v/>
      </c>
      <c r="W203" s="265" t="str">
        <f>IFERROR(VLOOKUP($B203,#REF!,10,FALSE),"")</f>
        <v/>
      </c>
      <c r="X203" s="265" t="str">
        <f>IFERROR(VLOOKUP($B203,#REF!,11,FALSE),"")</f>
        <v/>
      </c>
      <c r="Y203" s="266" t="str">
        <f>IFERROR(VLOOKUP($B203,#REF!,12,FALSE),"")</f>
        <v/>
      </c>
      <c r="Z203" s="265">
        <f t="shared" si="305"/>
        <v>45442.231017251848</v>
      </c>
      <c r="AA203" s="265">
        <f t="shared" si="306"/>
        <v>9397.3802973299335</v>
      </c>
      <c r="AB203" s="265">
        <f t="shared" si="307"/>
        <v>26595.610507368478</v>
      </c>
      <c r="AC203" s="266">
        <f t="shared" si="308"/>
        <v>24757.019796045042</v>
      </c>
      <c r="AD203" s="265">
        <f t="shared" si="315"/>
        <v>45442.231017251848</v>
      </c>
      <c r="AE203" s="265">
        <f t="shared" si="316"/>
        <v>9397.3802973299335</v>
      </c>
      <c r="AF203" s="265">
        <f t="shared" si="317"/>
        <v>26595.610507368478</v>
      </c>
      <c r="AG203" s="266">
        <f t="shared" si="318"/>
        <v>24757.019796045042</v>
      </c>
      <c r="AH203" s="265">
        <f t="shared" si="309"/>
        <v>45442.231017251848</v>
      </c>
      <c r="AI203" s="265">
        <f t="shared" si="310"/>
        <v>11528.201680160646</v>
      </c>
      <c r="AJ203" s="265">
        <f t="shared" si="311"/>
        <v>26620.951152588736</v>
      </c>
      <c r="AK203" s="265">
        <f t="shared" si="312"/>
        <v>24780.608608010443</v>
      </c>
      <c r="AL203" s="266">
        <f t="shared" si="313"/>
        <v>108371.99245801168</v>
      </c>
      <c r="AM203" s="347"/>
      <c r="AN203" s="264">
        <f>IFERROR(VLOOKUP($A203,'HH &amp; SI'!$B$4:$Z$494,'HH &amp; SI'!V$503,0),0)</f>
        <v>44822.369491275589</v>
      </c>
      <c r="AO203" s="265">
        <f>IFERROR(VLOOKUP($A203,'HH &amp; SI'!$B$4:$Z$494,'HH &amp; SI'!W$503,0),0)</f>
        <v>11148.50486501968</v>
      </c>
      <c r="AP203" s="265">
        <f>IFERROR(VLOOKUP($A203,'HH &amp; SI'!$B$4:$Z$494,'HH &amp; SI'!X$503,0),0)</f>
        <v>26378.843995613326</v>
      </c>
      <c r="AQ203" s="265">
        <f>IFERROR(VLOOKUP($A203,'HH &amp; SI'!$B$4:$Z$494,'HH &amp; SI'!Y$503,0),0)</f>
        <v>24507.570908524274</v>
      </c>
      <c r="AR203" s="266">
        <f t="shared" si="319"/>
        <v>106857.28926043287</v>
      </c>
      <c r="AS203" s="347"/>
      <c r="AT203" s="324">
        <f>IFERROR(VLOOKUP(A203,'Afton FY16 Final'!$A$5:$BV$572,'Afton FY16 Final'!$BV$587,0),0)</f>
        <v>88849.190277675036</v>
      </c>
      <c r="AU203" s="347"/>
      <c r="AV203" s="454">
        <v>0</v>
      </c>
      <c r="AW203" s="265">
        <f>IFERROR(VLOOKUP($A203,'HH &amp; SI'!$B$4:$EY$503,'HH &amp; SI'!EX$503,0),0)</f>
        <v>5985.4081319787365</v>
      </c>
      <c r="AX203" s="265">
        <f>IFERROR(VLOOKUP($A203,'HH &amp; SI'!$B$4:$EY$503,'HH &amp; SI'!EY$503,0),0)</f>
        <v>100871.88112845413</v>
      </c>
      <c r="AY203" s="265">
        <f>AX203/$AX$582*'update_State Admin 1004(b)'!$B$30*0.01</f>
        <v>965.41636558215396</v>
      </c>
      <c r="AZ203" s="266">
        <f t="shared" si="320"/>
        <v>99906.464762871969</v>
      </c>
      <c r="BA203" s="264">
        <f t="shared" si="321"/>
        <v>999.06464762871974</v>
      </c>
      <c r="BB203" s="265">
        <f t="shared" si="322"/>
        <v>98907.400115243247</v>
      </c>
      <c r="BC203" s="342">
        <f t="shared" si="330"/>
        <v>1.1132054192743219</v>
      </c>
      <c r="BD203" s="347"/>
      <c r="BE203" s="377" t="str">
        <f>'Original Title I &amp; II'!AZ203</f>
        <v/>
      </c>
      <c r="BF203" s="244" t="str">
        <f t="shared" si="331"/>
        <v/>
      </c>
      <c r="BG203" s="266">
        <f t="shared" si="314"/>
        <v>98907.400115243247</v>
      </c>
      <c r="BI203" s="203" t="str">
        <f>IFERROR(VLOOKUP(A203,'Title II Hold Harmless'!A$1:B$439,2, FALSE),"")</f>
        <v/>
      </c>
      <c r="BJ203" s="203">
        <f t="shared" si="324"/>
        <v>1668.5181180660675</v>
      </c>
      <c r="BK203" s="203">
        <f t="shared" si="325"/>
        <v>1670.1322289105585</v>
      </c>
      <c r="BL203" s="203" t="str">
        <f t="shared" si="326"/>
        <v/>
      </c>
      <c r="BM203" s="203">
        <f t="shared" si="327"/>
        <v>1670.1322289105585</v>
      </c>
      <c r="BN203" s="200"/>
      <c r="BP203" s="298" t="s">
        <v>1448</v>
      </c>
      <c r="BQ203" s="299" t="str">
        <f t="shared" si="332"/>
        <v>Y</v>
      </c>
      <c r="BR203" s="300" t="s">
        <v>1448</v>
      </c>
      <c r="BT203" s="298" t="str">
        <f t="shared" si="333"/>
        <v>Y</v>
      </c>
      <c r="BU203" s="299" t="str">
        <f t="shared" si="328"/>
        <v>Y</v>
      </c>
      <c r="BV203" s="299" t="str">
        <f t="shared" si="329"/>
        <v>Y</v>
      </c>
      <c r="BW203" s="300" t="str">
        <f t="shared" si="334"/>
        <v>Y</v>
      </c>
      <c r="BY203" s="355">
        <f t="shared" si="335"/>
        <v>0</v>
      </c>
      <c r="BZ203" s="356">
        <f t="shared" si="336"/>
        <v>0.9</v>
      </c>
      <c r="CA203" s="356">
        <f t="shared" si="337"/>
        <v>0</v>
      </c>
      <c r="CB203" s="357">
        <f t="shared" si="338"/>
        <v>0.9</v>
      </c>
      <c r="CD203" s="312">
        <f t="shared" si="339"/>
        <v>198</v>
      </c>
    </row>
    <row r="204" spans="1:82" s="48" customFormat="1" outlineLevel="1" x14ac:dyDescent="0.3">
      <c r="A204" s="202">
        <v>78987000</v>
      </c>
      <c r="B204" s="48">
        <f>VLOOKUP(C204,'NCES ID'!$A$2:$B$3136,2,FALSE)</f>
        <v>400100</v>
      </c>
      <c r="C204" s="48">
        <f>VLOOKUP(A204,'State ID'!$A$2:$B$713,2,FALSE)</f>
        <v>4294</v>
      </c>
      <c r="D204" s="48" t="s">
        <v>64</v>
      </c>
      <c r="E204" s="48" t="s">
        <v>7</v>
      </c>
      <c r="F204" s="755"/>
      <c r="G204" s="755"/>
      <c r="H204" s="755"/>
      <c r="I204" s="755"/>
      <c r="J204" s="755"/>
      <c r="K204" s="755"/>
      <c r="L204" s="454"/>
      <c r="M204" s="455"/>
      <c r="N204" s="456"/>
      <c r="O204" s="209">
        <f>VLOOKUP($C204,'Final SEA Counts'!$A$2:$F$709,5,FALSE)</f>
        <v>625</v>
      </c>
      <c r="P204" s="223">
        <f>VLOOKUP($C204,'Final SEA Counts'!$A$2:$F$709,6,FALSE)</f>
        <v>544</v>
      </c>
      <c r="Q204" s="749"/>
      <c r="R204" s="454">
        <f t="shared" si="302"/>
        <v>625</v>
      </c>
      <c r="S204" s="455">
        <f t="shared" si="303"/>
        <v>269.34855634986116</v>
      </c>
      <c r="T204" s="230">
        <f t="shared" si="304"/>
        <v>0.43095769015977786</v>
      </c>
      <c r="U204" s="264" t="str">
        <f>IFERROR(VLOOKUP($B204,#REF!,8,FALSE),"")</f>
        <v/>
      </c>
      <c r="V204" s="265" t="str">
        <f>IFERROR(VLOOKUP($B204,#REF!,9,FALSE),"")</f>
        <v/>
      </c>
      <c r="W204" s="265" t="str">
        <f>IFERROR(VLOOKUP($B204,#REF!,10,FALSE),"")</f>
        <v/>
      </c>
      <c r="X204" s="265" t="str">
        <f>IFERROR(VLOOKUP($B204,#REF!,11,FALSE),"")</f>
        <v/>
      </c>
      <c r="Y204" s="266" t="str">
        <f>IFERROR(VLOOKUP($B204,#REF!,12,FALSE),"")</f>
        <v/>
      </c>
      <c r="Z204" s="265">
        <f t="shared" si="305"/>
        <v>130108.28249150005</v>
      </c>
      <c r="AA204" s="265">
        <f t="shared" si="306"/>
        <v>26906.183588144653</v>
      </c>
      <c r="AB204" s="265">
        <f t="shared" si="307"/>
        <v>76147.432189518164</v>
      </c>
      <c r="AC204" s="266">
        <f t="shared" si="308"/>
        <v>70883.256679202648</v>
      </c>
      <c r="AD204" s="265">
        <f t="shared" si="315"/>
        <v>130108.28249150005</v>
      </c>
      <c r="AE204" s="265">
        <f t="shared" si="316"/>
        <v>26906.183588144653</v>
      </c>
      <c r="AF204" s="265">
        <f t="shared" si="317"/>
        <v>76147.432189518164</v>
      </c>
      <c r="AG204" s="266">
        <f t="shared" si="318"/>
        <v>70883.256679202648</v>
      </c>
      <c r="AH204" s="265">
        <f t="shared" si="309"/>
        <v>130108.28249150005</v>
      </c>
      <c r="AI204" s="265">
        <f t="shared" si="310"/>
        <v>29037.004970975366</v>
      </c>
      <c r="AJ204" s="265">
        <f t="shared" si="311"/>
        <v>76172.772834738425</v>
      </c>
      <c r="AK204" s="265">
        <f t="shared" si="312"/>
        <v>70906.845491168046</v>
      </c>
      <c r="AL204" s="266">
        <f t="shared" si="313"/>
        <v>306224.90578838188</v>
      </c>
      <c r="AM204" s="347"/>
      <c r="AN204" s="264">
        <f>IFERROR(VLOOKUP($A204,'HH &amp; SI'!$B$4:$Z$494,'HH &amp; SI'!V$503,0),0)</f>
        <v>128333.52106975749</v>
      </c>
      <c r="AO204" s="265">
        <f>IFERROR(VLOOKUP($A204,'HH &amp; SI'!$B$4:$Z$494,'HH &amp; SI'!W$503,0),0)</f>
        <v>28080.632189287688</v>
      </c>
      <c r="AP204" s="265">
        <f>IFERROR(VLOOKUP($A204,'HH &amp; SI'!$B$4:$Z$494,'HH &amp; SI'!X$503,0),0)</f>
        <v>75480.011206341122</v>
      </c>
      <c r="AQ204" s="265">
        <f>IFERROR(VLOOKUP($A204,'HH &amp; SI'!$B$4:$Z$494,'HH &amp; SI'!Y$503,0),0)</f>
        <v>70125.579692697225</v>
      </c>
      <c r="AR204" s="266">
        <f t="shared" si="319"/>
        <v>302019.74415808351</v>
      </c>
      <c r="AS204" s="347"/>
      <c r="AT204" s="324">
        <f>IFERROR(VLOOKUP(A204,'Afton FY16 Final'!$A$5:$BV$572,'Afton FY16 Final'!$BV$587,0),0)</f>
        <v>158695.29262590126</v>
      </c>
      <c r="AU204" s="347"/>
      <c r="AV204" s="454">
        <v>0</v>
      </c>
      <c r="AW204" s="265">
        <f>IFERROR(VLOOKUP($A204,'HH &amp; SI'!$B$4:$EY$503,'HH &amp; SI'!EX$503,0),0)</f>
        <v>16917.062422350806</v>
      </c>
      <c r="AX204" s="265">
        <f>IFERROR(VLOOKUP($A204,'HH &amp; SI'!$B$4:$EY$503,'HH &amp; SI'!EY$503,0),0)</f>
        <v>285102.68173573271</v>
      </c>
      <c r="AY204" s="265">
        <f>AX204/$AX$582*'update_State Admin 1004(b)'!$B$30*0.01</f>
        <v>2728.6374729993568</v>
      </c>
      <c r="AZ204" s="266">
        <f t="shared" si="320"/>
        <v>282374.04426273337</v>
      </c>
      <c r="BA204" s="264">
        <f t="shared" si="321"/>
        <v>2823.7404426273338</v>
      </c>
      <c r="BB204" s="265">
        <f t="shared" si="322"/>
        <v>279550.30382010603</v>
      </c>
      <c r="BC204" s="342">
        <f t="shared" si="330"/>
        <v>1.7615538507440236</v>
      </c>
      <c r="BD204" s="347"/>
      <c r="BE204" s="377" t="str">
        <f>'Original Title I &amp; II'!AZ204</f>
        <v/>
      </c>
      <c r="BF204" s="244" t="str">
        <f t="shared" si="331"/>
        <v/>
      </c>
      <c r="BG204" s="266">
        <f t="shared" si="314"/>
        <v>279550.30382010603</v>
      </c>
      <c r="BI204" s="203" t="str">
        <f>IFERROR(VLOOKUP(A204,'Title II Hold Harmless'!A$1:B$439,2, FALSE),"")</f>
        <v/>
      </c>
      <c r="BJ204" s="203">
        <f t="shared" si="324"/>
        <v>4029.0127867196788</v>
      </c>
      <c r="BK204" s="203">
        <f t="shared" si="325"/>
        <v>4032.9104208905173</v>
      </c>
      <c r="BL204" s="203" t="str">
        <f t="shared" si="326"/>
        <v/>
      </c>
      <c r="BM204" s="203">
        <f t="shared" si="327"/>
        <v>4032.9104208905173</v>
      </c>
      <c r="BN204" s="200"/>
      <c r="BP204" s="298" t="s">
        <v>1448</v>
      </c>
      <c r="BQ204" s="299" t="str">
        <f t="shared" si="332"/>
        <v>Y</v>
      </c>
      <c r="BR204" s="300" t="s">
        <v>1448</v>
      </c>
      <c r="BT204" s="298" t="str">
        <f t="shared" si="333"/>
        <v>Y</v>
      </c>
      <c r="BU204" s="299" t="str">
        <f t="shared" si="328"/>
        <v>Y</v>
      </c>
      <c r="BV204" s="299" t="str">
        <f t="shared" si="329"/>
        <v>Y</v>
      </c>
      <c r="BW204" s="300" t="str">
        <f t="shared" si="334"/>
        <v>Y</v>
      </c>
      <c r="BY204" s="355">
        <f t="shared" si="335"/>
        <v>0</v>
      </c>
      <c r="BZ204" s="356">
        <f t="shared" si="336"/>
        <v>0</v>
      </c>
      <c r="CA204" s="356">
        <f t="shared" si="337"/>
        <v>0.95</v>
      </c>
      <c r="CB204" s="357">
        <f t="shared" si="338"/>
        <v>0.95</v>
      </c>
      <c r="CD204" s="312">
        <f t="shared" si="339"/>
        <v>199</v>
      </c>
    </row>
    <row r="205" spans="1:82" s="48" customFormat="1" outlineLevel="1" x14ac:dyDescent="0.3">
      <c r="A205" s="202">
        <v>78972000</v>
      </c>
      <c r="B205" s="48">
        <f>VLOOKUP(C205,'NCES ID'!$A$2:$B$3136,2,FALSE)</f>
        <v>400374</v>
      </c>
      <c r="C205" s="48">
        <f>VLOOKUP(A205,'State ID'!$A$2:$B$713,2,FALSE)</f>
        <v>79983</v>
      </c>
      <c r="D205" s="48" t="s">
        <v>67</v>
      </c>
      <c r="E205" s="48" t="s">
        <v>7</v>
      </c>
      <c r="F205" s="755"/>
      <c r="G205" s="755"/>
      <c r="H205" s="755"/>
      <c r="I205" s="755"/>
      <c r="J205" s="755"/>
      <c r="K205" s="755"/>
      <c r="L205" s="454"/>
      <c r="M205" s="455"/>
      <c r="N205" s="456"/>
      <c r="O205" s="209">
        <f>VLOOKUP($C205,'Final SEA Counts'!$A$2:$F$709,5,FALSE)</f>
        <v>371</v>
      </c>
      <c r="P205" s="223">
        <f>VLOOKUP($C205,'Final SEA Counts'!$A$2:$F$709,6,FALSE)</f>
        <v>248</v>
      </c>
      <c r="Q205" s="749"/>
      <c r="R205" s="454">
        <f t="shared" si="302"/>
        <v>371</v>
      </c>
      <c r="S205" s="455">
        <f t="shared" si="303"/>
        <v>122.79125363008374</v>
      </c>
      <c r="T205" s="230">
        <f t="shared" si="304"/>
        <v>0.33097372946114217</v>
      </c>
      <c r="U205" s="264" t="str">
        <f>IFERROR(VLOOKUP($B205,#REF!,8,FALSE),"")</f>
        <v/>
      </c>
      <c r="V205" s="265" t="str">
        <f>IFERROR(VLOOKUP($B205,#REF!,9,FALSE),"")</f>
        <v/>
      </c>
      <c r="W205" s="265" t="str">
        <f>IFERROR(VLOOKUP($B205,#REF!,10,FALSE),"")</f>
        <v/>
      </c>
      <c r="X205" s="265" t="str">
        <f>IFERROR(VLOOKUP($B205,#REF!,11,FALSE),"")</f>
        <v/>
      </c>
      <c r="Y205" s="266" t="str">
        <f>IFERROR(VLOOKUP($B205,#REF!,12,FALSE),"")</f>
        <v/>
      </c>
      <c r="Z205" s="265">
        <f t="shared" si="305"/>
        <v>59314.069959360306</v>
      </c>
      <c r="AA205" s="265">
        <f t="shared" si="306"/>
        <v>12266.05428283065</v>
      </c>
      <c r="AB205" s="265">
        <f t="shared" si="307"/>
        <v>34714.270556986216</v>
      </c>
      <c r="AC205" s="266">
        <f t="shared" si="308"/>
        <v>32314.425839048265</v>
      </c>
      <c r="AD205" s="265">
        <f t="shared" si="315"/>
        <v>59314.069959360306</v>
      </c>
      <c r="AE205" s="265">
        <f t="shared" si="316"/>
        <v>12266.05428283065</v>
      </c>
      <c r="AF205" s="265">
        <f t="shared" si="317"/>
        <v>34714.270556986216</v>
      </c>
      <c r="AG205" s="266">
        <f t="shared" si="318"/>
        <v>32314.425839048265</v>
      </c>
      <c r="AH205" s="265">
        <f t="shared" si="309"/>
        <v>59314.069959360306</v>
      </c>
      <c r="AI205" s="265">
        <f t="shared" si="310"/>
        <v>14396.875665661362</v>
      </c>
      <c r="AJ205" s="265">
        <f t="shared" si="311"/>
        <v>34739.611202206477</v>
      </c>
      <c r="AK205" s="265">
        <f t="shared" si="312"/>
        <v>32338.014651013666</v>
      </c>
      <c r="AL205" s="266">
        <f t="shared" si="313"/>
        <v>140788.57147824182</v>
      </c>
      <c r="AM205" s="347"/>
      <c r="AN205" s="264">
        <f>IFERROR(VLOOKUP($A205,'HH &amp; SI'!$B$4:$Z$494,'HH &amp; SI'!V$503,0),0)</f>
        <v>63035.1942331721</v>
      </c>
      <c r="AO205" s="265">
        <f>IFERROR(VLOOKUP($A205,'HH &amp; SI'!$B$4:$Z$494,'HH &amp; SI'!W$503,0),0)</f>
        <v>14027.907863335216</v>
      </c>
      <c r="AP205" s="265">
        <f>IFERROR(VLOOKUP($A205,'HH &amp; SI'!$B$4:$Z$494,'HH &amp; SI'!X$503,0),0)</f>
        <v>34423.668001890757</v>
      </c>
      <c r="AQ205" s="265">
        <f>IFERROR(VLOOKUP($A205,'HH &amp; SI'!$B$4:$Z$494,'HH &amp; SI'!Y$503,0),0)</f>
        <v>32202.041295458777</v>
      </c>
      <c r="AR205" s="266">
        <f t="shared" si="319"/>
        <v>143688.81139385683</v>
      </c>
      <c r="AS205" s="347"/>
      <c r="AT205" s="324">
        <f>IFERROR(VLOOKUP(A205,'Afton FY16 Final'!$A$5:$BV$572,'Afton FY16 Final'!$BV$587,0),0)</f>
        <v>144384.65331868688</v>
      </c>
      <c r="AU205" s="347"/>
      <c r="AV205" s="454">
        <v>0</v>
      </c>
      <c r="AW205" s="265">
        <f>IFERROR(VLOOKUP($A205,'HH &amp; SI'!$B$4:$EY$503,'HH &amp; SI'!EX$503,0),0)</f>
        <v>0</v>
      </c>
      <c r="AX205" s="265">
        <f>IFERROR(VLOOKUP($A205,'HH &amp; SI'!$B$4:$EY$503,'HH &amp; SI'!EY$503,0),0)</f>
        <v>143688.81139385683</v>
      </c>
      <c r="AY205" s="265">
        <f>AX205/$AX$582*'update_State Admin 1004(b)'!$B$30*0.01</f>
        <v>1375.2051465564132</v>
      </c>
      <c r="AZ205" s="266">
        <f t="shared" si="320"/>
        <v>142313.60624730043</v>
      </c>
      <c r="BA205" s="264">
        <f t="shared" si="321"/>
        <v>1423.1360624730044</v>
      </c>
      <c r="BB205" s="265">
        <f t="shared" si="322"/>
        <v>140890.47018482743</v>
      </c>
      <c r="BC205" s="342">
        <f t="shared" si="330"/>
        <v>0.97579948385409732</v>
      </c>
      <c r="BD205" s="347"/>
      <c r="BE205" s="377" t="str">
        <f>'Original Title I &amp; II'!AZ205</f>
        <v/>
      </c>
      <c r="BF205" s="244" t="str">
        <f t="shared" si="331"/>
        <v/>
      </c>
      <c r="BG205" s="266">
        <f t="shared" si="314"/>
        <v>140890.47018482743</v>
      </c>
      <c r="BI205" s="203" t="str">
        <f>IFERROR(VLOOKUP(A205,'Title II Hold Harmless'!A$1:B$439,2, FALSE),"")</f>
        <v/>
      </c>
      <c r="BJ205" s="203">
        <f t="shared" si="324"/>
        <v>1906.0277789839006</v>
      </c>
      <c r="BK205" s="203">
        <f t="shared" si="325"/>
        <v>1907.8716547408658</v>
      </c>
      <c r="BL205" s="203" t="str">
        <f t="shared" si="326"/>
        <v/>
      </c>
      <c r="BM205" s="203">
        <f t="shared" si="327"/>
        <v>1907.8716547408658</v>
      </c>
      <c r="BN205" s="200"/>
      <c r="BP205" s="298" t="s">
        <v>1448</v>
      </c>
      <c r="BQ205" s="299" t="str">
        <f t="shared" si="332"/>
        <v>Y</v>
      </c>
      <c r="BR205" s="300" t="s">
        <v>1448</v>
      </c>
      <c r="BT205" s="298" t="str">
        <f t="shared" si="333"/>
        <v>Y</v>
      </c>
      <c r="BU205" s="299" t="str">
        <f t="shared" si="328"/>
        <v>Y</v>
      </c>
      <c r="BV205" s="299" t="str">
        <f t="shared" si="329"/>
        <v>Y</v>
      </c>
      <c r="BW205" s="300" t="str">
        <f t="shared" si="334"/>
        <v>Y</v>
      </c>
      <c r="BY205" s="355">
        <f t="shared" si="335"/>
        <v>0</v>
      </c>
      <c r="BZ205" s="356">
        <f t="shared" si="336"/>
        <v>0</v>
      </c>
      <c r="CA205" s="356">
        <f t="shared" si="337"/>
        <v>0.95</v>
      </c>
      <c r="CB205" s="357">
        <f t="shared" si="338"/>
        <v>0.95</v>
      </c>
      <c r="CD205" s="312">
        <f t="shared" si="339"/>
        <v>200</v>
      </c>
    </row>
    <row r="206" spans="1:82" s="48" customFormat="1" outlineLevel="1" x14ac:dyDescent="0.3">
      <c r="A206" s="202">
        <v>78745000</v>
      </c>
      <c r="B206" s="48">
        <f>VLOOKUP(C206,'NCES ID'!$A$2:$B$3136,2,FALSE)</f>
        <v>400636</v>
      </c>
      <c r="C206" s="48">
        <f>VLOOKUP(A206,'State ID'!$A$2:$B$713,2,FALSE)</f>
        <v>81041</v>
      </c>
      <c r="D206" s="48" t="s">
        <v>74</v>
      </c>
      <c r="E206" s="48" t="s">
        <v>7</v>
      </c>
      <c r="F206" s="755"/>
      <c r="G206" s="755"/>
      <c r="H206" s="755"/>
      <c r="I206" s="755"/>
      <c r="J206" s="755"/>
      <c r="K206" s="755"/>
      <c r="L206" s="454"/>
      <c r="M206" s="455"/>
      <c r="N206" s="456"/>
      <c r="O206" s="209">
        <f>VLOOKUP($C206,'Final SEA Counts'!$A$2:$F$709,5,FALSE)</f>
        <v>147</v>
      </c>
      <c r="P206" s="223">
        <f>VLOOKUP($C206,'Final SEA Counts'!$A$2:$F$709,6,FALSE)</f>
        <v>93</v>
      </c>
      <c r="Q206" s="749"/>
      <c r="R206" s="454">
        <f t="shared" si="302"/>
        <v>147</v>
      </c>
      <c r="S206" s="455">
        <f t="shared" si="303"/>
        <v>46.04672011128141</v>
      </c>
      <c r="T206" s="230">
        <f t="shared" si="304"/>
        <v>0.31324299395429528</v>
      </c>
      <c r="U206" s="264" t="str">
        <f>IFERROR(VLOOKUP($B206,#REF!,8,FALSE),"")</f>
        <v/>
      </c>
      <c r="V206" s="265" t="str">
        <f>IFERROR(VLOOKUP($B206,#REF!,9,FALSE),"")</f>
        <v/>
      </c>
      <c r="W206" s="265" t="str">
        <f>IFERROR(VLOOKUP($B206,#REF!,10,FALSE),"")</f>
        <v/>
      </c>
      <c r="X206" s="265" t="str">
        <f>IFERROR(VLOOKUP($B206,#REF!,11,FALSE),"")</f>
        <v/>
      </c>
      <c r="Y206" s="266" t="str">
        <f>IFERROR(VLOOKUP($B206,#REF!,12,FALSE),"")</f>
        <v/>
      </c>
      <c r="Z206" s="265">
        <f t="shared" si="305"/>
        <v>22242.776234760116</v>
      </c>
      <c r="AA206" s="265">
        <f t="shared" si="306"/>
        <v>4599.7703560614946</v>
      </c>
      <c r="AB206" s="265">
        <f t="shared" si="307"/>
        <v>13017.851458869834</v>
      </c>
      <c r="AC206" s="266">
        <f t="shared" si="308"/>
        <v>12117.9096896431</v>
      </c>
      <c r="AD206" s="265">
        <f t="shared" si="315"/>
        <v>22242.776234760116</v>
      </c>
      <c r="AE206" s="265">
        <f t="shared" si="316"/>
        <v>4599.7703560614946</v>
      </c>
      <c r="AF206" s="265">
        <f t="shared" si="317"/>
        <v>13017.851458869834</v>
      </c>
      <c r="AG206" s="266">
        <f t="shared" si="318"/>
        <v>12117.9096896431</v>
      </c>
      <c r="AH206" s="265">
        <f t="shared" si="309"/>
        <v>22242.776234760116</v>
      </c>
      <c r="AI206" s="265">
        <f t="shared" si="310"/>
        <v>6730.5917388922071</v>
      </c>
      <c r="AJ206" s="265">
        <f t="shared" si="311"/>
        <v>13043.192104090094</v>
      </c>
      <c r="AK206" s="265">
        <f t="shared" si="312"/>
        <v>12141.498501608503</v>
      </c>
      <c r="AL206" s="266">
        <f t="shared" si="313"/>
        <v>54158.058579350924</v>
      </c>
      <c r="AM206" s="347"/>
      <c r="AN206" s="264">
        <f>IFERROR(VLOOKUP($A206,'HH &amp; SI'!$B$4:$Z$494,'HH &amp; SI'!V$503,0),0)</f>
        <v>22987.61193704262</v>
      </c>
      <c r="AO206" s="265">
        <f>IFERROR(VLOOKUP($A206,'HH &amp; SI'!$B$4:$Z$494,'HH &amp; SI'!W$503,0),0)</f>
        <v>6508.9106546976536</v>
      </c>
      <c r="AP206" s="265">
        <f>IFERROR(VLOOKUP($A206,'HH &amp; SI'!$B$4:$Z$494,'HH &amp; SI'!X$503,0),0)</f>
        <v>12924.569364425201</v>
      </c>
      <c r="AQ206" s="265">
        <f>IFERROR(VLOOKUP($A206,'HH &amp; SI'!$B$4:$Z$494,'HH &amp; SI'!Y$503,0),0)</f>
        <v>12007.721043934507</v>
      </c>
      <c r="AR206" s="266">
        <f t="shared" si="319"/>
        <v>54428.813000099981</v>
      </c>
      <c r="AS206" s="347"/>
      <c r="AT206" s="324">
        <f>IFERROR(VLOOKUP(A206,'Afton FY16 Final'!$A$5:$BV$572,'Afton FY16 Final'!$BV$587,0),0)</f>
        <v>51381.375145179729</v>
      </c>
      <c r="AU206" s="347"/>
      <c r="AV206" s="454">
        <v>0</v>
      </c>
      <c r="AW206" s="265">
        <f>IFERROR(VLOOKUP($A206,'HH &amp; SI'!$B$4:$EY$503,'HH &amp; SI'!EX$503,0),0)</f>
        <v>3047.437854920252</v>
      </c>
      <c r="AX206" s="265">
        <f>IFERROR(VLOOKUP($A206,'HH &amp; SI'!$B$4:$EY$503,'HH &amp; SI'!EY$503,0),0)</f>
        <v>51381.375145179729</v>
      </c>
      <c r="AY206" s="265">
        <f>AX206/$AX$582*'update_State Admin 1004(b)'!$B$30*0.01</f>
        <v>491.7566709012242</v>
      </c>
      <c r="AZ206" s="266">
        <f t="shared" si="320"/>
        <v>50889.618474278504</v>
      </c>
      <c r="BA206" s="264">
        <f t="shared" si="321"/>
        <v>508.89618474278507</v>
      </c>
      <c r="BB206" s="265">
        <f t="shared" si="322"/>
        <v>50380.722289535719</v>
      </c>
      <c r="BC206" s="342">
        <f t="shared" si="330"/>
        <v>0.98052498881517602</v>
      </c>
      <c r="BD206" s="347"/>
      <c r="BE206" s="377" t="str">
        <f>'Original Title I &amp; II'!AZ206</f>
        <v/>
      </c>
      <c r="BF206" s="244" t="str">
        <f t="shared" si="331"/>
        <v/>
      </c>
      <c r="BG206" s="266">
        <f t="shared" si="314"/>
        <v>50380.722289535719</v>
      </c>
      <c r="BI206" s="203" t="str">
        <f>IFERROR(VLOOKUP(A206,'Title II Hold Harmless'!A$1:B$439,2, FALSE),"")</f>
        <v/>
      </c>
      <c r="BJ206" s="203">
        <f t="shared" si="324"/>
        <v>721.09821467371034</v>
      </c>
      <c r="BK206" s="203">
        <f t="shared" si="325"/>
        <v>721.79579921633251</v>
      </c>
      <c r="BL206" s="203" t="str">
        <f t="shared" si="326"/>
        <v/>
      </c>
      <c r="BM206" s="203">
        <f t="shared" si="327"/>
        <v>721.79579921633251</v>
      </c>
      <c r="BN206" s="200"/>
      <c r="BP206" s="298" t="s">
        <v>1448</v>
      </c>
      <c r="BQ206" s="299" t="str">
        <f t="shared" si="332"/>
        <v>Y</v>
      </c>
      <c r="BR206" s="300" t="s">
        <v>1448</v>
      </c>
      <c r="BT206" s="298" t="str">
        <f t="shared" si="333"/>
        <v>Y</v>
      </c>
      <c r="BU206" s="299" t="str">
        <f t="shared" si="328"/>
        <v>Y</v>
      </c>
      <c r="BV206" s="299" t="str">
        <f t="shared" si="329"/>
        <v>Y</v>
      </c>
      <c r="BW206" s="300" t="str">
        <f t="shared" si="334"/>
        <v>Y</v>
      </c>
      <c r="BY206" s="355">
        <f t="shared" si="335"/>
        <v>0</v>
      </c>
      <c r="BZ206" s="356">
        <f t="shared" si="336"/>
        <v>0</v>
      </c>
      <c r="CA206" s="356">
        <f t="shared" si="337"/>
        <v>0.95</v>
      </c>
      <c r="CB206" s="357">
        <f t="shared" si="338"/>
        <v>0.95</v>
      </c>
      <c r="CD206" s="312">
        <f t="shared" si="339"/>
        <v>201</v>
      </c>
    </row>
    <row r="207" spans="1:82" s="48" customFormat="1" outlineLevel="1" x14ac:dyDescent="0.3">
      <c r="A207" s="202">
        <v>78613000</v>
      </c>
      <c r="B207" s="48">
        <f>VLOOKUP(C207,'NCES ID'!$A$2:$B$3136,2,FALSE)</f>
        <v>400033</v>
      </c>
      <c r="C207" s="48">
        <f>VLOOKUP(A207,'State ID'!$A$2:$B$713,2,FALSE)</f>
        <v>4305</v>
      </c>
      <c r="D207" s="48" t="s">
        <v>77</v>
      </c>
      <c r="E207" s="48" t="s">
        <v>7</v>
      </c>
      <c r="F207" s="755"/>
      <c r="G207" s="755"/>
      <c r="H207" s="755"/>
      <c r="I207" s="755"/>
      <c r="J207" s="755"/>
      <c r="K207" s="755"/>
      <c r="L207" s="454"/>
      <c r="M207" s="455"/>
      <c r="N207" s="456"/>
      <c r="O207" s="209">
        <f>VLOOKUP($C207,'Final SEA Counts'!$A$2:$F$709,5,FALSE)</f>
        <v>265</v>
      </c>
      <c r="P207" s="223">
        <f>VLOOKUP($C207,'Final SEA Counts'!$A$2:$F$709,6,FALSE)</f>
        <v>220</v>
      </c>
      <c r="Q207" s="749"/>
      <c r="R207" s="454">
        <f t="shared" si="302"/>
        <v>265</v>
      </c>
      <c r="S207" s="455">
        <f t="shared" si="303"/>
        <v>108.92772499442913</v>
      </c>
      <c r="T207" s="230">
        <f t="shared" si="304"/>
        <v>0.41104801884690234</v>
      </c>
      <c r="U207" s="264" t="str">
        <f>IFERROR(VLOOKUP($B207,#REF!,8,FALSE),"")</f>
        <v/>
      </c>
      <c r="V207" s="265" t="str">
        <f>IFERROR(VLOOKUP($B207,#REF!,9,FALSE),"")</f>
        <v/>
      </c>
      <c r="W207" s="265" t="str">
        <f>IFERROR(VLOOKUP($B207,#REF!,10,FALSE),"")</f>
        <v/>
      </c>
      <c r="X207" s="265" t="str">
        <f>IFERROR(VLOOKUP($B207,#REF!,11,FALSE),"")</f>
        <v/>
      </c>
      <c r="Y207" s="266" t="str">
        <f>IFERROR(VLOOKUP($B207,#REF!,12,FALSE),"")</f>
        <v/>
      </c>
      <c r="Z207" s="265">
        <f t="shared" si="305"/>
        <v>52617.320125238984</v>
      </c>
      <c r="AA207" s="265">
        <f t="shared" si="306"/>
        <v>10881.177186382029</v>
      </c>
      <c r="AB207" s="265">
        <f t="shared" si="307"/>
        <v>30794.917429584548</v>
      </c>
      <c r="AC207" s="266">
        <f t="shared" si="308"/>
        <v>28666.022921736363</v>
      </c>
      <c r="AD207" s="265">
        <f t="shared" si="315"/>
        <v>52617.320125238984</v>
      </c>
      <c r="AE207" s="265">
        <f t="shared" si="316"/>
        <v>10881.177186382029</v>
      </c>
      <c r="AF207" s="265">
        <f t="shared" si="317"/>
        <v>30794.917429584548</v>
      </c>
      <c r="AG207" s="266">
        <f t="shared" si="318"/>
        <v>28666.022921736363</v>
      </c>
      <c r="AH207" s="265">
        <f t="shared" si="309"/>
        <v>52617.320125238984</v>
      </c>
      <c r="AI207" s="265">
        <f t="shared" si="310"/>
        <v>13011.998569212741</v>
      </c>
      <c r="AJ207" s="265">
        <f t="shared" si="311"/>
        <v>30820.258074804806</v>
      </c>
      <c r="AK207" s="265">
        <f t="shared" si="312"/>
        <v>28689.611733701764</v>
      </c>
      <c r="AL207" s="266">
        <f t="shared" si="313"/>
        <v>125139.18850295829</v>
      </c>
      <c r="AM207" s="347"/>
      <c r="AN207" s="264">
        <f>IFERROR(VLOOKUP($A207,'HH &amp; SI'!$B$4:$Z$494,'HH &amp; SI'!V$503,0),0)</f>
        <v>51899.585726740152</v>
      </c>
      <c r="AO207" s="265">
        <f>IFERROR(VLOOKUP($A207,'HH &amp; SI'!$B$4:$Z$494,'HH &amp; SI'!W$503,0),0)</f>
        <v>12583.430909449169</v>
      </c>
      <c r="AP207" s="265">
        <f>IFERROR(VLOOKUP($A207,'HH &amp; SI'!$B$4:$Z$494,'HH &amp; SI'!X$503,0),0)</f>
        <v>30539.959860929237</v>
      </c>
      <c r="AQ207" s="265">
        <f>IFERROR(VLOOKUP($A207,'HH &amp; SI'!$B$4:$Z$494,'HH &amp; SI'!Y$503,0),0)</f>
        <v>28373.503856335537</v>
      </c>
      <c r="AR207" s="266">
        <f t="shared" si="319"/>
        <v>123396.4803534541</v>
      </c>
      <c r="AS207" s="347"/>
      <c r="AT207" s="324">
        <f>IFERROR(VLOOKUP(A207,'Afton FY16 Final'!$A$5:$BV$572,'Afton FY16 Final'!$BV$587,0),0)</f>
        <v>92093.584207442414</v>
      </c>
      <c r="AU207" s="347"/>
      <c r="AV207" s="454">
        <v>0</v>
      </c>
      <c r="AW207" s="265">
        <f>IFERROR(VLOOKUP($A207,'HH &amp; SI'!$B$4:$EY$503,'HH &amp; SI'!EX$503,0),0)</f>
        <v>6911.8195125187631</v>
      </c>
      <c r="AX207" s="265">
        <f>IFERROR(VLOOKUP($A207,'HH &amp; SI'!$B$4:$EY$503,'HH &amp; SI'!EY$503,0),0)</f>
        <v>116484.66084093534</v>
      </c>
      <c r="AY207" s="265">
        <f>AX207/$AX$582*'update_State Admin 1004(b)'!$B$30*0.01</f>
        <v>1114.8418831598826</v>
      </c>
      <c r="AZ207" s="266">
        <f t="shared" si="320"/>
        <v>115369.81895777545</v>
      </c>
      <c r="BA207" s="264">
        <f t="shared" si="321"/>
        <v>1153.6981895777546</v>
      </c>
      <c r="BB207" s="265">
        <f t="shared" si="322"/>
        <v>114216.1207681977</v>
      </c>
      <c r="BC207" s="342">
        <f t="shared" si="330"/>
        <v>1.2402179994528595</v>
      </c>
      <c r="BD207" s="347"/>
      <c r="BE207" s="377" t="str">
        <f>'Original Title I &amp; II'!AZ207</f>
        <v/>
      </c>
      <c r="BF207" s="244" t="str">
        <f t="shared" si="331"/>
        <v/>
      </c>
      <c r="BG207" s="266">
        <f t="shared" si="314"/>
        <v>114216.1207681977</v>
      </c>
      <c r="BI207" s="203">
        <f>IFERROR(VLOOKUP(A207,'Title II Hold Harmless'!A$1:B$439,2, FALSE),"")</f>
        <v>6981</v>
      </c>
      <c r="BJ207" s="203">
        <f t="shared" si="324"/>
        <v>8620.2330496513678</v>
      </c>
      <c r="BK207" s="203">
        <f t="shared" si="325"/>
        <v>8628.5721929287629</v>
      </c>
      <c r="BL207" s="203" t="str">
        <f t="shared" si="326"/>
        <v/>
      </c>
      <c r="BM207" s="203">
        <f t="shared" si="327"/>
        <v>8628.5721929287629</v>
      </c>
      <c r="BN207" s="200"/>
      <c r="BP207" s="298" t="s">
        <v>1448</v>
      </c>
      <c r="BQ207" s="299" t="str">
        <f t="shared" si="332"/>
        <v>Y</v>
      </c>
      <c r="BR207" s="300" t="s">
        <v>1448</v>
      </c>
      <c r="BT207" s="298" t="str">
        <f t="shared" si="333"/>
        <v>Y</v>
      </c>
      <c r="BU207" s="299" t="str">
        <f t="shared" si="328"/>
        <v>Y</v>
      </c>
      <c r="BV207" s="299" t="str">
        <f t="shared" si="329"/>
        <v>Y</v>
      </c>
      <c r="BW207" s="300" t="str">
        <f t="shared" si="334"/>
        <v>Y</v>
      </c>
      <c r="BY207" s="355">
        <f t="shared" si="335"/>
        <v>0</v>
      </c>
      <c r="BZ207" s="356">
        <f t="shared" si="336"/>
        <v>0</v>
      </c>
      <c r="CA207" s="356">
        <f t="shared" si="337"/>
        <v>0.95</v>
      </c>
      <c r="CB207" s="357">
        <f t="shared" si="338"/>
        <v>0.95</v>
      </c>
      <c r="CD207" s="312">
        <f t="shared" si="339"/>
        <v>202</v>
      </c>
    </row>
    <row r="208" spans="1:82" s="48" customFormat="1" outlineLevel="1" x14ac:dyDescent="0.3">
      <c r="A208" s="202">
        <v>78746000</v>
      </c>
      <c r="B208" s="48">
        <f>VLOOKUP(C208,'NCES ID'!$A$2:$B$3136,2,FALSE)</f>
        <v>400609</v>
      </c>
      <c r="C208" s="48">
        <f>VLOOKUP(A208,'State ID'!$A$2:$B$713,2,FALSE)</f>
        <v>81097</v>
      </c>
      <c r="D208" s="48" t="s">
        <v>78</v>
      </c>
      <c r="E208" s="48" t="s">
        <v>7</v>
      </c>
      <c r="F208" s="755"/>
      <c r="G208" s="755"/>
      <c r="H208" s="755"/>
      <c r="I208" s="755"/>
      <c r="J208" s="755"/>
      <c r="K208" s="755"/>
      <c r="L208" s="454"/>
      <c r="M208" s="455"/>
      <c r="N208" s="456"/>
      <c r="O208" s="209">
        <f>VLOOKUP($C208,'Final SEA Counts'!$A$2:$F$709,5,FALSE)</f>
        <v>464</v>
      </c>
      <c r="P208" s="223">
        <f>VLOOKUP($C208,'Final SEA Counts'!$A$2:$F$709,6,FALSE)</f>
        <v>436</v>
      </c>
      <c r="Q208" s="749"/>
      <c r="R208" s="454">
        <f t="shared" si="302"/>
        <v>464</v>
      </c>
      <c r="S208" s="455">
        <f t="shared" ref="S208:S239" si="340">P208*$B$358</f>
        <v>215.87494589805047</v>
      </c>
      <c r="T208" s="230">
        <f t="shared" si="304"/>
        <v>0.46524772822855703</v>
      </c>
      <c r="U208" s="264" t="str">
        <f>IFERROR(VLOOKUP($B208,#REF!,8,FALSE),"")</f>
        <v/>
      </c>
      <c r="V208" s="265" t="str">
        <f>IFERROR(VLOOKUP($B208,#REF!,9,FALSE),"")</f>
        <v/>
      </c>
      <c r="W208" s="265" t="str">
        <f>IFERROR(VLOOKUP($B208,#REF!,10,FALSE),"")</f>
        <v/>
      </c>
      <c r="X208" s="265" t="str">
        <f>IFERROR(VLOOKUP($B208,#REF!,11,FALSE),"")</f>
        <v/>
      </c>
      <c r="Y208" s="266" t="str">
        <f>IFERROR(VLOOKUP($B208,#REF!,12,FALSE),"")</f>
        <v/>
      </c>
      <c r="Z208" s="265">
        <f t="shared" ref="Z208:Z239" si="341">$S208*U$359</f>
        <v>104277.96170274635</v>
      </c>
      <c r="AA208" s="265">
        <f t="shared" ref="AA208:AA239" si="342">$S208*V$359</f>
        <v>21564.514787557113</v>
      </c>
      <c r="AB208" s="265">
        <f t="shared" ref="AB208:AB239" si="343">$S208*W$359</f>
        <v>61029.927269540291</v>
      </c>
      <c r="AC208" s="266">
        <f t="shared" ref="AC208:AC239" si="344">$S208*X$359</f>
        <v>56810.845426713888</v>
      </c>
      <c r="AD208" s="265">
        <f t="shared" si="315"/>
        <v>104277.96170274635</v>
      </c>
      <c r="AE208" s="265">
        <f t="shared" si="316"/>
        <v>21564.514787557113</v>
      </c>
      <c r="AF208" s="265">
        <f t="shared" si="317"/>
        <v>61029.927269540291</v>
      </c>
      <c r="AG208" s="266">
        <f t="shared" si="318"/>
        <v>56810.845426713888</v>
      </c>
      <c r="AH208" s="265">
        <f t="shared" ref="AH208:AH239" si="345">IF(AD208="","",AD208+AD$359)</f>
        <v>104277.96170274635</v>
      </c>
      <c r="AI208" s="265">
        <f t="shared" ref="AI208:AI239" si="346">IF(AE208="","",AE208+AE$359)</f>
        <v>23695.336170387825</v>
      </c>
      <c r="AJ208" s="265">
        <f t="shared" ref="AJ208:AJ239" si="347">IF(AF208="","",AF208+AF$359)</f>
        <v>61055.267914760552</v>
      </c>
      <c r="AK208" s="265">
        <f t="shared" ref="AK208:AK239" si="348">IF(AG208="","",AG208+AG$359)</f>
        <v>56834.434238679292</v>
      </c>
      <c r="AL208" s="266">
        <f t="shared" ref="AL208:AL271" si="349">SUM(AH208:AK208)</f>
        <v>245863.00002657401</v>
      </c>
      <c r="AM208" s="347"/>
      <c r="AN208" s="264">
        <f>IFERROR(VLOOKUP($A208,'HH &amp; SI'!$B$4:$Z$494,'HH &amp; SI'!V$503,0),0)</f>
        <v>102855.54262208503</v>
      </c>
      <c r="AO208" s="265">
        <f>IFERROR(VLOOKUP($A208,'HH &amp; SI'!$B$4:$Z$494,'HH &amp; SI'!W$503,0),0)</f>
        <v>22914.898429341516</v>
      </c>
      <c r="AP208" s="265">
        <f>IFERROR(VLOOKUP($A208,'HH &amp; SI'!$B$4:$Z$494,'HH &amp; SI'!X$503,0),0)</f>
        <v>60499.994091203836</v>
      </c>
      <c r="AQ208" s="265">
        <f>IFERROR(VLOOKUP($A208,'HH &amp; SI'!$B$4:$Z$494,'HH &amp; SI'!Y$503,0),0)</f>
        <v>56208.221080576681</v>
      </c>
      <c r="AR208" s="266">
        <f t="shared" si="319"/>
        <v>242478.65622320707</v>
      </c>
      <c r="AS208" s="347"/>
      <c r="AT208" s="324">
        <f>IFERROR(VLOOKUP(A208,'Afton FY16 Final'!$A$5:$BV$572,'Afton FY16 Final'!$BV$587,0),0)</f>
        <v>178635.83086169828</v>
      </c>
      <c r="AU208" s="347"/>
      <c r="AV208" s="454">
        <v>0</v>
      </c>
      <c r="AW208" s="265">
        <f>IFERROR(VLOOKUP($A208,'HH &amp; SI'!$B$4:$EY$503,'HH &amp; SI'!EX$503,0),0)</f>
        <v>13581.981452406704</v>
      </c>
      <c r="AX208" s="265">
        <f>IFERROR(VLOOKUP($A208,'HH &amp; SI'!$B$4:$EY$503,'HH &amp; SI'!EY$503,0),0)</f>
        <v>228896.67477080037</v>
      </c>
      <c r="AY208" s="265">
        <f>AX208/$AX$582*'update_State Admin 1004(b)'!$B$30*0.01</f>
        <v>2190.7056097195332</v>
      </c>
      <c r="AZ208" s="266">
        <f t="shared" si="320"/>
        <v>226705.96916108084</v>
      </c>
      <c r="BA208" s="264">
        <f t="shared" si="321"/>
        <v>2267.0596916108084</v>
      </c>
      <c r="BB208" s="265">
        <f t="shared" si="322"/>
        <v>224438.90946947003</v>
      </c>
      <c r="BC208" s="342">
        <f t="shared" si="330"/>
        <v>1.2564047670997929</v>
      </c>
      <c r="BD208" s="347"/>
      <c r="BE208" s="377" t="str">
        <f>'Original Title I &amp; II'!AZ208</f>
        <v/>
      </c>
      <c r="BF208" s="244" t="str">
        <f t="shared" si="331"/>
        <v/>
      </c>
      <c r="BG208" s="266">
        <f t="shared" si="314"/>
        <v>224438.90946947003</v>
      </c>
      <c r="BI208" s="203" t="str">
        <f>IFERROR(VLOOKUP(A208,'Title II Hold Harmless'!A$1:B$439,2, FALSE),"")</f>
        <v/>
      </c>
      <c r="BJ208" s="203">
        <f t="shared" si="324"/>
        <v>3199.42275376108</v>
      </c>
      <c r="BK208" s="203">
        <f t="shared" si="325"/>
        <v>3202.5178492874879</v>
      </c>
      <c r="BL208" s="203" t="str">
        <f t="shared" si="326"/>
        <v/>
      </c>
      <c r="BM208" s="203">
        <f t="shared" si="327"/>
        <v>3202.5178492874879</v>
      </c>
      <c r="BN208" s="200"/>
      <c r="BP208" s="298" t="s">
        <v>1448</v>
      </c>
      <c r="BQ208" s="299" t="str">
        <f t="shared" si="332"/>
        <v>Y</v>
      </c>
      <c r="BR208" s="300" t="s">
        <v>1448</v>
      </c>
      <c r="BT208" s="298" t="str">
        <f t="shared" si="333"/>
        <v>Y</v>
      </c>
      <c r="BU208" s="299" t="str">
        <f t="shared" si="328"/>
        <v>Y</v>
      </c>
      <c r="BV208" s="299" t="str">
        <f t="shared" si="329"/>
        <v>Y</v>
      </c>
      <c r="BW208" s="300" t="str">
        <f t="shared" si="334"/>
        <v>Y</v>
      </c>
      <c r="BY208" s="355">
        <f t="shared" si="335"/>
        <v>0</v>
      </c>
      <c r="BZ208" s="356">
        <f t="shared" si="336"/>
        <v>0</v>
      </c>
      <c r="CA208" s="356">
        <f t="shared" si="337"/>
        <v>0.95</v>
      </c>
      <c r="CB208" s="357">
        <f t="shared" si="338"/>
        <v>0.95</v>
      </c>
      <c r="CD208" s="312">
        <f t="shared" si="339"/>
        <v>203</v>
      </c>
    </row>
    <row r="209" spans="1:82" s="48" customFormat="1" outlineLevel="1" x14ac:dyDescent="0.3">
      <c r="A209" s="202">
        <v>78565000</v>
      </c>
      <c r="B209" s="48">
        <f>VLOOKUP(C209,'NCES ID'!$A$2:$B$3136,2,FALSE)</f>
        <v>400796</v>
      </c>
      <c r="C209" s="48">
        <f>VLOOKUP(A209,'State ID'!$A$2:$B$713,2,FALSE)</f>
        <v>90328</v>
      </c>
      <c r="D209" s="48" t="s">
        <v>82</v>
      </c>
      <c r="E209" s="48" t="s">
        <v>7</v>
      </c>
      <c r="F209" s="755"/>
      <c r="G209" s="755"/>
      <c r="H209" s="755"/>
      <c r="I209" s="755"/>
      <c r="J209" s="755"/>
      <c r="K209" s="755"/>
      <c r="L209" s="454"/>
      <c r="M209" s="455"/>
      <c r="N209" s="456"/>
      <c r="O209" s="209">
        <f>VLOOKUP($C209,'Final SEA Counts'!$A$2:$F$709,5,FALSE)</f>
        <v>214</v>
      </c>
      <c r="P209" s="223">
        <f>VLOOKUP($C209,'Final SEA Counts'!$A$2:$F$709,6,FALSE)</f>
        <v>165</v>
      </c>
      <c r="Q209" s="749"/>
      <c r="R209" s="454">
        <f t="shared" si="302"/>
        <v>214</v>
      </c>
      <c r="S209" s="455">
        <f t="shared" si="340"/>
        <v>81.695793745821845</v>
      </c>
      <c r="T209" s="230">
        <f t="shared" si="304"/>
        <v>0.38175604554122355</v>
      </c>
      <c r="U209" s="264" t="str">
        <f>IFERROR(VLOOKUP($B209,#REF!,8,FALSE),"")</f>
        <v/>
      </c>
      <c r="V209" s="265" t="str">
        <f>IFERROR(VLOOKUP($B209,#REF!,9,FALSE),"")</f>
        <v/>
      </c>
      <c r="W209" s="265" t="str">
        <f>IFERROR(VLOOKUP($B209,#REF!,10,FALSE),"")</f>
        <v/>
      </c>
      <c r="X209" s="265" t="str">
        <f>IFERROR(VLOOKUP($B209,#REF!,11,FALSE),"")</f>
        <v/>
      </c>
      <c r="Y209" s="266" t="str">
        <f>IFERROR(VLOOKUP($B209,#REF!,12,FALSE),"")</f>
        <v/>
      </c>
      <c r="Z209" s="265">
        <f t="shared" si="341"/>
        <v>39462.990093929235</v>
      </c>
      <c r="AA209" s="265">
        <f t="shared" si="342"/>
        <v>8160.8828897865205</v>
      </c>
      <c r="AB209" s="265">
        <f t="shared" si="343"/>
        <v>23096.188072188412</v>
      </c>
      <c r="AC209" s="266">
        <f t="shared" si="344"/>
        <v>21499.517191302271</v>
      </c>
      <c r="AD209" s="265">
        <f t="shared" si="315"/>
        <v>39462.990093929235</v>
      </c>
      <c r="AE209" s="265">
        <f t="shared" si="316"/>
        <v>8160.8828897865205</v>
      </c>
      <c r="AF209" s="265">
        <f t="shared" si="317"/>
        <v>23096.188072188412</v>
      </c>
      <c r="AG209" s="266">
        <f t="shared" si="318"/>
        <v>21499.517191302271</v>
      </c>
      <c r="AH209" s="265">
        <f t="shared" si="345"/>
        <v>39462.990093929235</v>
      </c>
      <c r="AI209" s="265">
        <f t="shared" si="346"/>
        <v>10291.704272617233</v>
      </c>
      <c r="AJ209" s="265">
        <f t="shared" si="347"/>
        <v>23121.52871740867</v>
      </c>
      <c r="AK209" s="265">
        <f t="shared" si="348"/>
        <v>21523.106003267672</v>
      </c>
      <c r="AL209" s="266">
        <f t="shared" si="349"/>
        <v>94399.32908722281</v>
      </c>
      <c r="AM209" s="347"/>
      <c r="AN209" s="264">
        <f>IFERROR(VLOOKUP($A209,'HH &amp; SI'!$B$4:$Z$494,'HH &amp; SI'!V$503,0),0)</f>
        <v>39207.884344456812</v>
      </c>
      <c r="AO209" s="265">
        <f>IFERROR(VLOOKUP($A209,'HH &amp; SI'!$B$4:$Z$494,'HH &amp; SI'!W$503,0),0)</f>
        <v>9952.7331613284332</v>
      </c>
      <c r="AP209" s="265">
        <f>IFERROR(VLOOKUP($A209,'HH &amp; SI'!$B$4:$Z$494,'HH &amp; SI'!X$503,0),0)</f>
        <v>22911.247441183394</v>
      </c>
      <c r="AQ209" s="265">
        <f>IFERROR(VLOOKUP($A209,'HH &amp; SI'!$B$4:$Z$494,'HH &amp; SI'!Y$503,0),0)</f>
        <v>21285.960118681545</v>
      </c>
      <c r="AR209" s="266">
        <f t="shared" si="319"/>
        <v>93357.825065650177</v>
      </c>
      <c r="AS209" s="347"/>
      <c r="AT209" s="324">
        <f>IFERROR(VLOOKUP(A209,'Afton FY16 Final'!$A$5:$BV$572,'Afton FY16 Final'!$BV$587,0),0)</f>
        <v>89867.458967809041</v>
      </c>
      <c r="AU209" s="347"/>
      <c r="AV209" s="454">
        <v>0</v>
      </c>
      <c r="AW209" s="265">
        <f>IFERROR(VLOOKUP($A209,'HH &amp; SI'!$B$4:$EY$503,'HH &amp; SI'!EX$503,0),0)</f>
        <v>3490.3660978411353</v>
      </c>
      <c r="AX209" s="265">
        <f>IFERROR(VLOOKUP($A209,'HH &amp; SI'!$B$4:$EY$503,'HH &amp; SI'!EY$503,0),0)</f>
        <v>89867.458967809041</v>
      </c>
      <c r="AY209" s="265">
        <f>AX209/$AX$582*'update_State Admin 1004(b)'!$B$30*0.01</f>
        <v>860.09614027444024</v>
      </c>
      <c r="AZ209" s="266">
        <f t="shared" si="320"/>
        <v>89007.362827534598</v>
      </c>
      <c r="BA209" s="264">
        <f t="shared" si="321"/>
        <v>890.07362827534598</v>
      </c>
      <c r="BB209" s="265">
        <f t="shared" si="322"/>
        <v>88117.289199259249</v>
      </c>
      <c r="BC209" s="342">
        <f t="shared" si="330"/>
        <v>0.98052498881517602</v>
      </c>
      <c r="BD209" s="347"/>
      <c r="BE209" s="377" t="str">
        <f>'Original Title I &amp; II'!AZ209</f>
        <v/>
      </c>
      <c r="BF209" s="244" t="str">
        <f t="shared" si="331"/>
        <v/>
      </c>
      <c r="BG209" s="266">
        <f t="shared" si="314"/>
        <v>88117.289199259249</v>
      </c>
      <c r="BI209" s="203" t="str">
        <f>IFERROR(VLOOKUP(A209,'Title II Hold Harmless'!A$1:B$439,2, FALSE),"")</f>
        <v/>
      </c>
      <c r="BJ209" s="203">
        <f t="shared" si="324"/>
        <v>1241.6979825032754</v>
      </c>
      <c r="BK209" s="203">
        <f t="shared" si="325"/>
        <v>1242.899191023243</v>
      </c>
      <c r="BL209" s="203" t="str">
        <f t="shared" si="326"/>
        <v/>
      </c>
      <c r="BM209" s="203">
        <f t="shared" si="327"/>
        <v>1242.899191023243</v>
      </c>
      <c r="BN209" s="200"/>
      <c r="BP209" s="298" t="s">
        <v>1448</v>
      </c>
      <c r="BQ209" s="299" t="str">
        <f t="shared" si="332"/>
        <v>Y</v>
      </c>
      <c r="BR209" s="300" t="s">
        <v>1448</v>
      </c>
      <c r="BT209" s="298" t="str">
        <f t="shared" si="333"/>
        <v>Y</v>
      </c>
      <c r="BU209" s="299" t="str">
        <f t="shared" si="328"/>
        <v>Y</v>
      </c>
      <c r="BV209" s="299" t="str">
        <f t="shared" si="329"/>
        <v>Y</v>
      </c>
      <c r="BW209" s="300" t="str">
        <f t="shared" si="334"/>
        <v>Y</v>
      </c>
      <c r="BY209" s="355">
        <f t="shared" si="335"/>
        <v>0</v>
      </c>
      <c r="BZ209" s="356">
        <f t="shared" si="336"/>
        <v>0</v>
      </c>
      <c r="CA209" s="356">
        <f t="shared" si="337"/>
        <v>0.95</v>
      </c>
      <c r="CB209" s="357">
        <f t="shared" si="338"/>
        <v>0.95</v>
      </c>
      <c r="CD209" s="312">
        <f t="shared" si="339"/>
        <v>204</v>
      </c>
    </row>
    <row r="210" spans="1:82" s="48" customFormat="1" outlineLevel="1" x14ac:dyDescent="0.3">
      <c r="A210" s="202">
        <v>78564000</v>
      </c>
      <c r="B210" s="48">
        <f>VLOOKUP(C210,'NCES ID'!$A$2:$B$3136,2,FALSE)</f>
        <v>400803</v>
      </c>
      <c r="C210" s="48">
        <f>VLOOKUP(A210,'State ID'!$A$2:$B$713,2,FALSE)</f>
        <v>90327</v>
      </c>
      <c r="D210" s="48" t="s">
        <v>83</v>
      </c>
      <c r="E210" s="48" t="s">
        <v>7</v>
      </c>
      <c r="F210" s="755"/>
      <c r="G210" s="755"/>
      <c r="H210" s="755"/>
      <c r="I210" s="755"/>
      <c r="J210" s="755"/>
      <c r="K210" s="755"/>
      <c r="L210" s="454"/>
      <c r="M210" s="455"/>
      <c r="N210" s="456"/>
      <c r="O210" s="209">
        <f>VLOOKUP($C210,'Final SEA Counts'!$A$2:$F$709,5,FALSE)</f>
        <v>867</v>
      </c>
      <c r="P210" s="223">
        <f>VLOOKUP($C210,'Final SEA Counts'!$A$2:$F$709,6,FALSE)</f>
        <v>332</v>
      </c>
      <c r="Q210" s="749"/>
      <c r="R210" s="454">
        <f t="shared" si="302"/>
        <v>867</v>
      </c>
      <c r="S210" s="455">
        <f t="shared" si="340"/>
        <v>164.3818395370476</v>
      </c>
      <c r="T210" s="230">
        <f t="shared" si="304"/>
        <v>0.18959843083857855</v>
      </c>
      <c r="U210" s="264" t="str">
        <f>IFERROR(VLOOKUP($B210,#REF!,8,FALSE),"")</f>
        <v/>
      </c>
      <c r="V210" s="265" t="str">
        <f>IFERROR(VLOOKUP($B210,#REF!,9,FALSE),"")</f>
        <v/>
      </c>
      <c r="W210" s="265" t="str">
        <f>IFERROR(VLOOKUP($B210,#REF!,10,FALSE),"")</f>
        <v/>
      </c>
      <c r="X210" s="265" t="str">
        <f>IFERROR(VLOOKUP($B210,#REF!,11,FALSE),"")</f>
        <v/>
      </c>
      <c r="Y210" s="266" t="str">
        <f>IFERROR(VLOOKUP($B210,#REF!,12,FALSE),"")</f>
        <v/>
      </c>
      <c r="Z210" s="265">
        <f t="shared" si="341"/>
        <v>79404.319461724284</v>
      </c>
      <c r="AA210" s="265">
        <f t="shared" si="342"/>
        <v>16420.685572176517</v>
      </c>
      <c r="AB210" s="265">
        <f t="shared" si="343"/>
        <v>46472.32993919123</v>
      </c>
      <c r="AC210" s="266">
        <f t="shared" si="344"/>
        <v>43259.634590983966</v>
      </c>
      <c r="AD210" s="265">
        <f t="shared" si="315"/>
        <v>79404.319461724284</v>
      </c>
      <c r="AE210" s="265">
        <f t="shared" si="316"/>
        <v>16420.685572176517</v>
      </c>
      <c r="AF210" s="265">
        <f t="shared" si="317"/>
        <v>46472.32993919123</v>
      </c>
      <c r="AG210" s="266">
        <f t="shared" si="318"/>
        <v>43259.634590983966</v>
      </c>
      <c r="AH210" s="265">
        <f t="shared" si="345"/>
        <v>79404.319461724284</v>
      </c>
      <c r="AI210" s="265">
        <f t="shared" si="346"/>
        <v>18551.506955007229</v>
      </c>
      <c r="AJ210" s="265">
        <f t="shared" si="347"/>
        <v>46497.670584411491</v>
      </c>
      <c r="AK210" s="265">
        <f t="shared" si="348"/>
        <v>43283.22340294937</v>
      </c>
      <c r="AL210" s="266">
        <f t="shared" si="349"/>
        <v>187736.72040409237</v>
      </c>
      <c r="AM210" s="347"/>
      <c r="AN210" s="264">
        <f>IFERROR(VLOOKUP($A210,'HH &amp; SI'!$B$4:$Z$494,'HH &amp; SI'!V$503,0),0)</f>
        <v>78321.193005807872</v>
      </c>
      <c r="AO210" s="265">
        <f>IFERROR(VLOOKUP($A210,'HH &amp; SI'!$B$4:$Z$494,'HH &amp; SI'!W$503,0),0)</f>
        <v>17940.488141985945</v>
      </c>
      <c r="AP210" s="265">
        <f>IFERROR(VLOOKUP($A210,'HH &amp; SI'!$B$4:$Z$494,'HH &amp; SI'!X$503,0),0)</f>
        <v>46074.792424775333</v>
      </c>
      <c r="AQ210" s="265">
        <f>IFERROR(VLOOKUP($A210,'HH &amp; SI'!$B$4:$Z$494,'HH &amp; SI'!Y$503,0),0)</f>
        <v>42806.320194830936</v>
      </c>
      <c r="AR210" s="266">
        <f t="shared" si="319"/>
        <v>185142.79376740009</v>
      </c>
      <c r="AS210" s="347"/>
      <c r="AT210" s="324">
        <f>IFERROR(VLOOKUP(A210,'Afton FY16 Final'!$A$5:$BV$572,'Afton FY16 Final'!$BV$587,0),0)</f>
        <v>158371.91734411914</v>
      </c>
      <c r="AU210" s="347"/>
      <c r="AV210" s="454">
        <v>0</v>
      </c>
      <c r="AW210" s="265">
        <f>IFERROR(VLOOKUP($A210,'HH &amp; SI'!$B$4:$EY$503,'HH &amp; SI'!EX$503,0),0)</f>
        <v>10370.421999868035</v>
      </c>
      <c r="AX210" s="265">
        <f>IFERROR(VLOOKUP($A210,'HH &amp; SI'!$B$4:$EY$503,'HH &amp; SI'!EY$503,0),0)</f>
        <v>174772.37176753205</v>
      </c>
      <c r="AY210" s="265">
        <f>AX210/$AX$582*'update_State Admin 1004(b)'!$B$30*0.01</f>
        <v>1672.6971487834055</v>
      </c>
      <c r="AZ210" s="266">
        <f t="shared" si="320"/>
        <v>173099.67461874866</v>
      </c>
      <c r="BA210" s="264">
        <f t="shared" si="321"/>
        <v>1730.9967461874867</v>
      </c>
      <c r="BB210" s="265">
        <f t="shared" si="322"/>
        <v>171368.67787256118</v>
      </c>
      <c r="BC210" s="342">
        <f t="shared" si="330"/>
        <v>1.0820648050891621</v>
      </c>
      <c r="BD210" s="347"/>
      <c r="BE210" s="377" t="str">
        <f>'Original Title I &amp; II'!AZ210</f>
        <v/>
      </c>
      <c r="BF210" s="244" t="str">
        <f t="shared" si="331"/>
        <v/>
      </c>
      <c r="BG210" s="266">
        <f t="shared" si="314"/>
        <v>171368.67787256118</v>
      </c>
      <c r="BI210" s="203" t="str">
        <f>IFERROR(VLOOKUP(A210,'Title II Hold Harmless'!A$1:B$439,2, FALSE),"")</f>
        <v/>
      </c>
      <c r="BJ210" s="203">
        <f t="shared" si="324"/>
        <v>2849.6663117110293</v>
      </c>
      <c r="BK210" s="203">
        <f t="shared" si="325"/>
        <v>2852.4230557026649</v>
      </c>
      <c r="BL210" s="203" t="str">
        <f t="shared" si="326"/>
        <v/>
      </c>
      <c r="BM210" s="203">
        <f t="shared" si="327"/>
        <v>2852.4230557026649</v>
      </c>
      <c r="BN210" s="200"/>
      <c r="BP210" s="298" t="s">
        <v>1448</v>
      </c>
      <c r="BQ210" s="299" t="str">
        <f t="shared" si="332"/>
        <v>Y</v>
      </c>
      <c r="BR210" s="300" t="s">
        <v>1448</v>
      </c>
      <c r="BT210" s="298" t="str">
        <f t="shared" si="333"/>
        <v>Y</v>
      </c>
      <c r="BU210" s="299" t="str">
        <f t="shared" si="328"/>
        <v>Y</v>
      </c>
      <c r="BV210" s="299" t="str">
        <f t="shared" si="329"/>
        <v>Y</v>
      </c>
      <c r="BW210" s="300" t="str">
        <f t="shared" si="334"/>
        <v>Y</v>
      </c>
      <c r="BY210" s="355">
        <f t="shared" si="335"/>
        <v>0</v>
      </c>
      <c r="BZ210" s="356">
        <f t="shared" si="336"/>
        <v>0.9</v>
      </c>
      <c r="CA210" s="356">
        <f t="shared" si="337"/>
        <v>0</v>
      </c>
      <c r="CB210" s="357">
        <f t="shared" si="338"/>
        <v>0.9</v>
      </c>
      <c r="CD210" s="312">
        <f t="shared" si="339"/>
        <v>205</v>
      </c>
    </row>
    <row r="211" spans="1:82" s="48" customFormat="1" outlineLevel="1" x14ac:dyDescent="0.3">
      <c r="A211" s="202">
        <v>98749000</v>
      </c>
      <c r="B211" s="48">
        <f>VLOOKUP(C211,'NCES ID'!$A$2:$B$3136,2,FALSE)</f>
        <v>400397</v>
      </c>
      <c r="C211" s="48">
        <f>VLOOKUP(A211,'State ID'!$A$2:$B$713,2,FALSE)</f>
        <v>79971</v>
      </c>
      <c r="D211" s="48" t="s">
        <v>84</v>
      </c>
      <c r="E211" s="48" t="s">
        <v>7</v>
      </c>
      <c r="F211" s="755"/>
      <c r="G211" s="755"/>
      <c r="H211" s="755"/>
      <c r="I211" s="755"/>
      <c r="J211" s="755"/>
      <c r="K211" s="755"/>
      <c r="L211" s="454"/>
      <c r="M211" s="455"/>
      <c r="N211" s="456"/>
      <c r="O211" s="209">
        <f>VLOOKUP($C211,'Final SEA Counts'!$A$2:$F$709,5,FALSE)</f>
        <v>222</v>
      </c>
      <c r="P211" s="223">
        <f>VLOOKUP($C211,'Final SEA Counts'!$A$2:$F$709,6,FALSE)</f>
        <v>186</v>
      </c>
      <c r="Q211" s="749"/>
      <c r="R211" s="454">
        <f t="shared" si="302"/>
        <v>222</v>
      </c>
      <c r="S211" s="455">
        <f t="shared" si="340"/>
        <v>92.093440222562819</v>
      </c>
      <c r="T211" s="230">
        <f t="shared" si="304"/>
        <v>0.41483531631785053</v>
      </c>
      <c r="U211" s="264" t="str">
        <f>IFERROR(VLOOKUP($B211,#REF!,8,FALSE),"")</f>
        <v/>
      </c>
      <c r="V211" s="265" t="str">
        <f>IFERROR(VLOOKUP($B211,#REF!,9,FALSE),"")</f>
        <v/>
      </c>
      <c r="W211" s="265" t="str">
        <f>IFERROR(VLOOKUP($B211,#REF!,10,FALSE),"")</f>
        <v/>
      </c>
      <c r="X211" s="265" t="str">
        <f>IFERROR(VLOOKUP($B211,#REF!,11,FALSE),"")</f>
        <v/>
      </c>
      <c r="Y211" s="266" t="str">
        <f>IFERROR(VLOOKUP($B211,#REF!,12,FALSE),"")</f>
        <v/>
      </c>
      <c r="Z211" s="265">
        <f t="shared" si="341"/>
        <v>44485.552469520233</v>
      </c>
      <c r="AA211" s="265">
        <f t="shared" si="342"/>
        <v>9199.5407121229891</v>
      </c>
      <c r="AB211" s="265">
        <f t="shared" si="343"/>
        <v>26035.702917739669</v>
      </c>
      <c r="AC211" s="266">
        <f t="shared" si="344"/>
        <v>24235.8193792862</v>
      </c>
      <c r="AD211" s="265">
        <f t="shared" si="315"/>
        <v>44485.552469520233</v>
      </c>
      <c r="AE211" s="265">
        <f t="shared" si="316"/>
        <v>9199.5407121229891</v>
      </c>
      <c r="AF211" s="265">
        <f t="shared" si="317"/>
        <v>26035.702917739669</v>
      </c>
      <c r="AG211" s="266">
        <f t="shared" si="318"/>
        <v>24235.8193792862</v>
      </c>
      <c r="AH211" s="265">
        <f t="shared" si="345"/>
        <v>44485.552469520233</v>
      </c>
      <c r="AI211" s="265">
        <f t="shared" si="346"/>
        <v>11330.362094953702</v>
      </c>
      <c r="AJ211" s="265">
        <f t="shared" si="347"/>
        <v>26061.043562959927</v>
      </c>
      <c r="AK211" s="265">
        <f t="shared" si="348"/>
        <v>24259.408191251601</v>
      </c>
      <c r="AL211" s="266">
        <f t="shared" si="349"/>
        <v>106136.36631868545</v>
      </c>
      <c r="AM211" s="347"/>
      <c r="AN211" s="264">
        <f>IFERROR(VLOOKUP($A211,'HH &amp; SI'!$B$4:$Z$494,'HH &amp; SI'!V$503,0),0)</f>
        <v>43878.740659880321</v>
      </c>
      <c r="AO211" s="265">
        <f>IFERROR(VLOOKUP($A211,'HH &amp; SI'!$B$4:$Z$494,'HH &amp; SI'!W$503,0),0)</f>
        <v>10957.18139242908</v>
      </c>
      <c r="AP211" s="265">
        <f>IFERROR(VLOOKUP($A211,'HH &amp; SI'!$B$4:$Z$494,'HH &amp; SI'!X$503,0),0)</f>
        <v>25824.028546904538</v>
      </c>
      <c r="AQ211" s="265">
        <f>IFERROR(VLOOKUP($A211,'HH &amp; SI'!$B$4:$Z$494,'HH &amp; SI'!Y$503,0),0)</f>
        <v>23992.113182149438</v>
      </c>
      <c r="AR211" s="266">
        <f t="shared" si="319"/>
        <v>104652.06378136337</v>
      </c>
      <c r="AS211" s="347"/>
      <c r="AT211" s="324">
        <f>IFERROR(VLOOKUP(A211,'Afton FY16 Final'!$A$5:$BV$572,'Afton FY16 Final'!$BV$587,0),0)</f>
        <v>81041.365340262739</v>
      </c>
      <c r="AU211" s="347"/>
      <c r="AV211" s="454">
        <v>0</v>
      </c>
      <c r="AW211" s="265">
        <f>IFERROR(VLOOKUP($A211,'HH &amp; SI'!$B$4:$EY$503,'HH &amp; SI'!EX$503,0),0)</f>
        <v>5861.8866145734355</v>
      </c>
      <c r="AX211" s="265">
        <f>IFERROR(VLOOKUP($A211,'HH &amp; SI'!$B$4:$EY$503,'HH &amp; SI'!EY$503,0),0)</f>
        <v>98790.17716678993</v>
      </c>
      <c r="AY211" s="265">
        <f>AX211/$AX$582*'update_State Admin 1004(b)'!$B$30*0.01</f>
        <v>945.49296323845647</v>
      </c>
      <c r="AZ211" s="266">
        <f t="shared" si="320"/>
        <v>97844.684203551471</v>
      </c>
      <c r="BA211" s="264">
        <f t="shared" si="321"/>
        <v>978.44684203551469</v>
      </c>
      <c r="BB211" s="265">
        <f t="shared" si="322"/>
        <v>96866.237361515959</v>
      </c>
      <c r="BC211" s="342">
        <f t="shared" si="330"/>
        <v>1.1952690697498793</v>
      </c>
      <c r="BD211" s="347"/>
      <c r="BE211" s="377" t="str">
        <f>'Original Title I &amp; II'!AZ211</f>
        <v/>
      </c>
      <c r="BF211" s="244" t="str">
        <f t="shared" si="331"/>
        <v/>
      </c>
      <c r="BG211" s="266">
        <f t="shared" si="314"/>
        <v>96866.237361515959</v>
      </c>
      <c r="BI211" s="203" t="str">
        <f>IFERROR(VLOOKUP(A211,'Title II Hold Harmless'!A$1:B$439,2, FALSE),"")</f>
        <v/>
      </c>
      <c r="BJ211" s="203">
        <f t="shared" si="324"/>
        <v>1384.2508517040148</v>
      </c>
      <c r="BK211" s="203">
        <f t="shared" si="325"/>
        <v>1385.5899647091653</v>
      </c>
      <c r="BL211" s="203" t="str">
        <f t="shared" si="326"/>
        <v/>
      </c>
      <c r="BM211" s="203">
        <f t="shared" si="327"/>
        <v>1385.5899647091653</v>
      </c>
      <c r="BN211" s="200"/>
      <c r="BP211" s="298" t="s">
        <v>1448</v>
      </c>
      <c r="BQ211" s="299" t="str">
        <f t="shared" si="332"/>
        <v>Y</v>
      </c>
      <c r="BR211" s="300" t="s">
        <v>1448</v>
      </c>
      <c r="BT211" s="298" t="str">
        <f t="shared" si="333"/>
        <v>Y</v>
      </c>
      <c r="BU211" s="299" t="str">
        <f t="shared" si="328"/>
        <v>Y</v>
      </c>
      <c r="BV211" s="299" t="str">
        <f t="shared" si="329"/>
        <v>Y</v>
      </c>
      <c r="BW211" s="300" t="str">
        <f t="shared" si="334"/>
        <v>Y</v>
      </c>
      <c r="BY211" s="355">
        <f t="shared" si="335"/>
        <v>0</v>
      </c>
      <c r="BZ211" s="356">
        <f t="shared" si="336"/>
        <v>0</v>
      </c>
      <c r="CA211" s="356">
        <f t="shared" si="337"/>
        <v>0.95</v>
      </c>
      <c r="CB211" s="357">
        <f t="shared" si="338"/>
        <v>0.95</v>
      </c>
      <c r="CD211" s="312">
        <f t="shared" si="339"/>
        <v>206</v>
      </c>
    </row>
    <row r="212" spans="1:82" s="48" customFormat="1" outlineLevel="1" x14ac:dyDescent="0.3">
      <c r="A212" s="202">
        <v>78909000</v>
      </c>
      <c r="B212" s="48">
        <f>VLOOKUP(C212,'NCES ID'!$A$2:$B$3136,2,FALSE)</f>
        <v>400310</v>
      </c>
      <c r="C212" s="48">
        <f>VLOOKUP(A212,'State ID'!$A$2:$B$713,2,FALSE)</f>
        <v>79055</v>
      </c>
      <c r="D212" s="48" t="s">
        <v>85</v>
      </c>
      <c r="E212" s="48" t="s">
        <v>7</v>
      </c>
      <c r="F212" s="755"/>
      <c r="G212" s="755"/>
      <c r="H212" s="755"/>
      <c r="I212" s="755"/>
      <c r="J212" s="755"/>
      <c r="K212" s="755"/>
      <c r="L212" s="454"/>
      <c r="M212" s="455"/>
      <c r="N212" s="456"/>
      <c r="O212" s="209">
        <f>VLOOKUP($C212,'Final SEA Counts'!$A$2:$F$709,5,FALSE)</f>
        <v>710</v>
      </c>
      <c r="P212" s="223">
        <f>VLOOKUP($C212,'Final SEA Counts'!$A$2:$F$709,6,FALSE)</f>
        <v>319</v>
      </c>
      <c r="Q212" s="749"/>
      <c r="R212" s="454">
        <f t="shared" si="302"/>
        <v>710</v>
      </c>
      <c r="S212" s="455">
        <f t="shared" si="340"/>
        <v>157.94520124192223</v>
      </c>
      <c r="T212" s="230">
        <f t="shared" si="304"/>
        <v>0.22245802991820032</v>
      </c>
      <c r="U212" s="264" t="str">
        <f>IFERROR(VLOOKUP($B212,#REF!,8,FALSE),"")</f>
        <v/>
      </c>
      <c r="V212" s="265" t="str">
        <f>IFERROR(VLOOKUP($B212,#REF!,9,FALSE),"")</f>
        <v/>
      </c>
      <c r="W212" s="265" t="str">
        <f>IFERROR(VLOOKUP($B212,#REF!,10,FALSE),"")</f>
        <v/>
      </c>
      <c r="X212" s="265" t="str">
        <f>IFERROR(VLOOKUP($B212,#REF!,11,FALSE),"")</f>
        <v/>
      </c>
      <c r="Y212" s="266" t="str">
        <f>IFERROR(VLOOKUP($B212,#REF!,12,FALSE),"")</f>
        <v/>
      </c>
      <c r="Z212" s="265">
        <f t="shared" si="341"/>
        <v>76295.114181596524</v>
      </c>
      <c r="AA212" s="265">
        <f t="shared" si="342"/>
        <v>15777.706920253941</v>
      </c>
      <c r="AB212" s="265">
        <f t="shared" si="343"/>
        <v>44652.630272897593</v>
      </c>
      <c r="AC212" s="266">
        <f t="shared" si="344"/>
        <v>41565.733236517728</v>
      </c>
      <c r="AD212" s="265">
        <f t="shared" si="315"/>
        <v>76295.114181596524</v>
      </c>
      <c r="AE212" s="265">
        <f t="shared" si="316"/>
        <v>15777.706920253941</v>
      </c>
      <c r="AF212" s="265">
        <f t="shared" si="317"/>
        <v>44652.630272897593</v>
      </c>
      <c r="AG212" s="266">
        <f t="shared" si="318"/>
        <v>41565.733236517728</v>
      </c>
      <c r="AH212" s="265">
        <f t="shared" si="345"/>
        <v>76295.114181596524</v>
      </c>
      <c r="AI212" s="265">
        <f t="shared" si="346"/>
        <v>17908.528303084655</v>
      </c>
      <c r="AJ212" s="265">
        <f t="shared" si="347"/>
        <v>44677.970918117855</v>
      </c>
      <c r="AK212" s="265">
        <f t="shared" si="348"/>
        <v>41589.322048483133</v>
      </c>
      <c r="AL212" s="266">
        <f t="shared" si="349"/>
        <v>180470.93545128216</v>
      </c>
      <c r="AM212" s="347"/>
      <c r="AN212" s="264">
        <f>IFERROR(VLOOKUP($A212,'HH &amp; SI'!$B$4:$Z$494,'HH &amp; SI'!V$503,0),0)</f>
        <v>106932.89538737774</v>
      </c>
      <c r="AO212" s="265">
        <f>IFERROR(VLOOKUP($A212,'HH &amp; SI'!$B$4:$Z$494,'HH &amp; SI'!W$503,0),0)</f>
        <v>22423.756756186769</v>
      </c>
      <c r="AP212" s="265">
        <f>IFERROR(VLOOKUP($A212,'HH &amp; SI'!$B$4:$Z$494,'HH &amp; SI'!X$503,0),0)</f>
        <v>56697.383487280851</v>
      </c>
      <c r="AQ212" s="265">
        <f>IFERROR(VLOOKUP($A212,'HH &amp; SI'!$B$4:$Z$494,'HH &amp; SI'!Y$503,0),0)</f>
        <v>54627.538710671593</v>
      </c>
      <c r="AR212" s="266">
        <f t="shared" si="319"/>
        <v>240681.57434151694</v>
      </c>
      <c r="AS212" s="347"/>
      <c r="AT212" s="324">
        <f>IFERROR(VLOOKUP(A212,'Afton FY16 Final'!$A$5:$BV$572,'Afton FY16 Final'!$BV$587,0),0)</f>
        <v>249744.73518452025</v>
      </c>
      <c r="AU212" s="347"/>
      <c r="AV212" s="454">
        <v>0</v>
      </c>
      <c r="AW212" s="265">
        <f>IFERROR(VLOOKUP($A212,'HH &amp; SI'!$B$4:$EY$503,'HH &amp; SI'!EX$503,0),0)</f>
        <v>0</v>
      </c>
      <c r="AX212" s="265">
        <f>IFERROR(VLOOKUP($A212,'HH &amp; SI'!$B$4:$EY$503,'HH &amp; SI'!EY$503,0),0)</f>
        <v>240681.57434151694</v>
      </c>
      <c r="AY212" s="265">
        <f>AX212/$AX$582*'update_State Admin 1004(b)'!$B$30*0.01</f>
        <v>2303.4955645120244</v>
      </c>
      <c r="AZ212" s="266">
        <f t="shared" si="320"/>
        <v>238378.07877700491</v>
      </c>
      <c r="BA212" s="264">
        <f t="shared" si="321"/>
        <v>2383.7807877700493</v>
      </c>
      <c r="BB212" s="265">
        <f t="shared" si="322"/>
        <v>235994.29798923485</v>
      </c>
      <c r="BC212" s="342">
        <f t="shared" si="330"/>
        <v>0.94494203377249941</v>
      </c>
      <c r="BD212" s="347"/>
      <c r="BE212" s="377" t="str">
        <f>'Original Title I &amp; II'!AZ212</f>
        <v/>
      </c>
      <c r="BF212" s="244" t="str">
        <f t="shared" si="331"/>
        <v/>
      </c>
      <c r="BG212" s="266">
        <f t="shared" si="314"/>
        <v>235994.29798923485</v>
      </c>
      <c r="BI212" s="203" t="str">
        <f>IFERROR(VLOOKUP(A212,'Title II Hold Harmless'!A$1:B$439,2, FALSE),"")</f>
        <v/>
      </c>
      <c r="BJ212" s="203">
        <f t="shared" si="324"/>
        <v>2639.0514208464215</v>
      </c>
      <c r="BK212" s="203">
        <f t="shared" si="325"/>
        <v>2641.6044177071899</v>
      </c>
      <c r="BL212" s="203" t="str">
        <f t="shared" si="326"/>
        <v/>
      </c>
      <c r="BM212" s="203">
        <f t="shared" si="327"/>
        <v>2641.6044177071899</v>
      </c>
      <c r="BN212" s="200"/>
      <c r="BP212" s="298" t="s">
        <v>1448</v>
      </c>
      <c r="BQ212" s="299" t="str">
        <f t="shared" si="332"/>
        <v>Y</v>
      </c>
      <c r="BR212" s="300" t="s">
        <v>1448</v>
      </c>
      <c r="BT212" s="298" t="str">
        <f t="shared" si="333"/>
        <v>Y</v>
      </c>
      <c r="BU212" s="299" t="str">
        <f t="shared" si="328"/>
        <v>Y</v>
      </c>
      <c r="BV212" s="299" t="str">
        <f t="shared" si="329"/>
        <v>Y</v>
      </c>
      <c r="BW212" s="300" t="str">
        <f t="shared" si="334"/>
        <v>Y</v>
      </c>
      <c r="BY212" s="355">
        <f t="shared" si="335"/>
        <v>0</v>
      </c>
      <c r="BZ212" s="356">
        <f t="shared" si="336"/>
        <v>0.9</v>
      </c>
      <c r="CA212" s="356">
        <f t="shared" si="337"/>
        <v>0</v>
      </c>
      <c r="CB212" s="357">
        <f t="shared" si="338"/>
        <v>0.9</v>
      </c>
      <c r="CD212" s="312">
        <f t="shared" si="339"/>
        <v>207</v>
      </c>
    </row>
    <row r="213" spans="1:82" s="48" customFormat="1" outlineLevel="1" x14ac:dyDescent="0.3">
      <c r="A213" s="202">
        <v>78959000</v>
      </c>
      <c r="B213" s="48">
        <f>VLOOKUP(C213,'NCES ID'!$A$2:$B$3136,2,FALSE)</f>
        <v>400390</v>
      </c>
      <c r="C213" s="48">
        <f>VLOOKUP(A213,'State ID'!$A$2:$B$713,2,FALSE)</f>
        <v>79905</v>
      </c>
      <c r="D213" s="48" t="s">
        <v>786</v>
      </c>
      <c r="E213" s="48" t="s">
        <v>7</v>
      </c>
      <c r="F213" s="755"/>
      <c r="G213" s="755"/>
      <c r="H213" s="755"/>
      <c r="I213" s="755"/>
      <c r="J213" s="755"/>
      <c r="K213" s="755"/>
      <c r="L213" s="454"/>
      <c r="M213" s="455"/>
      <c r="N213" s="456"/>
      <c r="O213" s="209">
        <f>VLOOKUP($C213,'Final SEA Counts'!$A$2:$F$709,5,FALSE)</f>
        <v>535</v>
      </c>
      <c r="P213" s="223">
        <f>VLOOKUP($C213,'Final SEA Counts'!$A$2:$F$709,6,FALSE)</f>
        <v>465</v>
      </c>
      <c r="Q213" s="749"/>
      <c r="R213" s="454">
        <f t="shared" si="302"/>
        <v>535</v>
      </c>
      <c r="S213" s="455">
        <f t="shared" si="340"/>
        <v>230.23360055640703</v>
      </c>
      <c r="T213" s="230">
        <f t="shared" si="304"/>
        <v>0.43034317861010657</v>
      </c>
      <c r="U213" s="264"/>
      <c r="V213" s="265"/>
      <c r="W213" s="265"/>
      <c r="X213" s="265"/>
      <c r="Y213" s="266"/>
      <c r="Z213" s="265">
        <f t="shared" si="341"/>
        <v>111213.88117380058</v>
      </c>
      <c r="AA213" s="265">
        <f t="shared" si="342"/>
        <v>22998.851780307468</v>
      </c>
      <c r="AB213" s="265">
        <f t="shared" si="343"/>
        <v>65089.257294349161</v>
      </c>
      <c r="AC213" s="266">
        <f t="shared" si="344"/>
        <v>60589.548448215493</v>
      </c>
      <c r="AD213" s="265">
        <f t="shared" si="315"/>
        <v>111213.88117380058</v>
      </c>
      <c r="AE213" s="265">
        <f t="shared" si="316"/>
        <v>22998.851780307468</v>
      </c>
      <c r="AF213" s="265">
        <f t="shared" si="317"/>
        <v>65089.257294349161</v>
      </c>
      <c r="AG213" s="266">
        <f t="shared" si="318"/>
        <v>60589.548448215493</v>
      </c>
      <c r="AH213" s="265">
        <f t="shared" si="345"/>
        <v>111213.88117380058</v>
      </c>
      <c r="AI213" s="265">
        <f t="shared" si="346"/>
        <v>25129.673163138181</v>
      </c>
      <c r="AJ213" s="265">
        <f t="shared" si="347"/>
        <v>65114.597939569423</v>
      </c>
      <c r="AK213" s="265">
        <f t="shared" si="348"/>
        <v>60613.137260180898</v>
      </c>
      <c r="AL213" s="266">
        <f t="shared" si="349"/>
        <v>262071.28953668906</v>
      </c>
      <c r="AM213" s="347"/>
      <c r="AN213" s="264">
        <f>IFERROR(VLOOKUP($A213,'HH &amp; SI'!$B$4:$Z$494,'HH &amp; SI'!V$503,0),0)</f>
        <v>109696.85164970078</v>
      </c>
      <c r="AO213" s="265">
        <f>IFERROR(VLOOKUP($A213,'HH &amp; SI'!$B$4:$Z$494,'HH &amp; SI'!W$503,0),0)</f>
        <v>24301.993605623353</v>
      </c>
      <c r="AP213" s="265">
        <f>IFERROR(VLOOKUP($A213,'HH &amp; SI'!$B$4:$Z$494,'HH &amp; SI'!X$503,0),0)</f>
        <v>64522.40609434255</v>
      </c>
      <c r="AQ213" s="265">
        <f>IFERROR(VLOOKUP($A213,'HH &amp; SI'!$B$4:$Z$494,'HH &amp; SI'!Y$503,0),0)</f>
        <v>59945.289596794231</v>
      </c>
      <c r="AR213" s="266">
        <f t="shared" si="319"/>
        <v>258466.54094646091</v>
      </c>
      <c r="AS213" s="347"/>
      <c r="AT213" s="324">
        <f>IFERROR(VLOOKUP(A213,'Afton FY16 Final'!$A$5:$BV$572,'Afton FY16 Final'!$BV$587,0),0)</f>
        <v>236144.3061177601</v>
      </c>
      <c r="AU213" s="347"/>
      <c r="AV213" s="454">
        <v>0</v>
      </c>
      <c r="AW213" s="265">
        <f>IFERROR(VLOOKUP($A213,'HH &amp; SI'!$B$4:$EY$503,'HH &amp; SI'!EX$503,0),0)</f>
        <v>14477.512453595496</v>
      </c>
      <c r="AX213" s="265">
        <f>IFERROR(VLOOKUP($A213,'HH &amp; SI'!$B$4:$EY$503,'HH &amp; SI'!EY$503,0),0)</f>
        <v>243989.02849286541</v>
      </c>
      <c r="AY213" s="265">
        <f>AX213/$AX$582*'update_State Admin 1004(b)'!$B$30*0.01</f>
        <v>2335.1502767113366</v>
      </c>
      <c r="AZ213" s="266">
        <f t="shared" si="320"/>
        <v>241653.87821615409</v>
      </c>
      <c r="BA213" s="264">
        <f t="shared" si="321"/>
        <v>2416.5387821615409</v>
      </c>
      <c r="BB213" s="265">
        <f t="shared" si="322"/>
        <v>239237.33943399254</v>
      </c>
      <c r="BC213" s="342">
        <f t="shared" si="330"/>
        <v>1.0130980643449858</v>
      </c>
      <c r="BD213" s="347"/>
      <c r="BE213" s="377">
        <f>'Original Title I &amp; II'!AZ213</f>
        <v>0</v>
      </c>
      <c r="BF213" s="244"/>
      <c r="BG213" s="266">
        <f t="shared" si="314"/>
        <v>239237.33943399254</v>
      </c>
      <c r="BI213" s="203"/>
      <c r="BJ213" s="203">
        <f t="shared" si="324"/>
        <v>3444.5311354702012</v>
      </c>
      <c r="BK213" s="203">
        <f t="shared" si="325"/>
        <v>3447.8633468497178</v>
      </c>
      <c r="BL213" s="203"/>
      <c r="BM213" s="203">
        <f t="shared" si="327"/>
        <v>3447.8633468497178</v>
      </c>
      <c r="BN213" s="200"/>
      <c r="BP213" s="298" t="s">
        <v>1448</v>
      </c>
      <c r="BQ213" s="299" t="str">
        <f t="shared" si="332"/>
        <v>Y</v>
      </c>
      <c r="BR213" s="300" t="s">
        <v>1448</v>
      </c>
      <c r="BT213" s="298" t="str">
        <f t="shared" si="333"/>
        <v>Y</v>
      </c>
      <c r="BU213" s="299" t="str">
        <f t="shared" si="328"/>
        <v>Y</v>
      </c>
      <c r="BV213" s="299" t="str">
        <f t="shared" si="329"/>
        <v>Y</v>
      </c>
      <c r="BW213" s="300" t="str">
        <f t="shared" si="334"/>
        <v>Y</v>
      </c>
      <c r="BY213" s="355">
        <f t="shared" si="335"/>
        <v>0</v>
      </c>
      <c r="BZ213" s="356">
        <f t="shared" si="336"/>
        <v>0</v>
      </c>
      <c r="CA213" s="356">
        <f t="shared" si="337"/>
        <v>0.95</v>
      </c>
      <c r="CB213" s="357">
        <f t="shared" si="338"/>
        <v>0.95</v>
      </c>
      <c r="CD213" s="312">
        <f t="shared" si="339"/>
        <v>208</v>
      </c>
    </row>
    <row r="214" spans="1:82" s="48" customFormat="1" outlineLevel="1" x14ac:dyDescent="0.3">
      <c r="A214" s="202">
        <v>78524000</v>
      </c>
      <c r="B214" s="48">
        <f>VLOOKUP(C214,'NCES ID'!$A$2:$B$3136,2,FALSE)</f>
        <v>400219</v>
      </c>
      <c r="C214" s="48">
        <f>VLOOKUP(A214,'State ID'!$A$2:$B$713,2,FALSE)</f>
        <v>79047</v>
      </c>
      <c r="D214" s="48" t="s">
        <v>89</v>
      </c>
      <c r="E214" s="48" t="s">
        <v>7</v>
      </c>
      <c r="F214" s="755"/>
      <c r="G214" s="755"/>
      <c r="H214" s="755"/>
      <c r="I214" s="755"/>
      <c r="J214" s="755"/>
      <c r="K214" s="755"/>
      <c r="L214" s="454"/>
      <c r="M214" s="455"/>
      <c r="N214" s="456"/>
      <c r="O214" s="209">
        <f>VLOOKUP($C214,'AzEDS FY17 12-04-16'!$A$1:$D$712,3,FALSE)</f>
        <v>459</v>
      </c>
      <c r="P214" s="223">
        <f>VLOOKUP($C214,'AzEDS FY17 12-04-16'!$A$1:$D$712,4,FALSE)</f>
        <v>327</v>
      </c>
      <c r="Q214" s="749"/>
      <c r="R214" s="454">
        <f t="shared" si="302"/>
        <v>459</v>
      </c>
      <c r="S214" s="455">
        <f t="shared" si="340"/>
        <v>161.90620942353786</v>
      </c>
      <c r="T214" s="230">
        <f t="shared" si="304"/>
        <v>0.35273683970269687</v>
      </c>
      <c r="U214" s="264" t="str">
        <f>IFERROR(VLOOKUP($B214,#REF!,8,FALSE),"")</f>
        <v/>
      </c>
      <c r="V214" s="265" t="str">
        <f>IFERROR(VLOOKUP($B214,#REF!,9,FALSE),"")</f>
        <v/>
      </c>
      <c r="W214" s="265" t="str">
        <f>IFERROR(VLOOKUP($B214,#REF!,10,FALSE),"")</f>
        <v/>
      </c>
      <c r="X214" s="265" t="str">
        <f>IFERROR(VLOOKUP($B214,#REF!,11,FALSE),"")</f>
        <v/>
      </c>
      <c r="Y214" s="266" t="str">
        <f>IFERROR(VLOOKUP($B214,#REF!,12,FALSE),"")</f>
        <v/>
      </c>
      <c r="Z214" s="265">
        <f t="shared" si="341"/>
        <v>78208.471277059769</v>
      </c>
      <c r="AA214" s="265">
        <f t="shared" si="342"/>
        <v>16173.386090667835</v>
      </c>
      <c r="AB214" s="265">
        <f t="shared" si="343"/>
        <v>45772.445452155218</v>
      </c>
      <c r="AC214" s="266">
        <f t="shared" si="344"/>
        <v>42608.134070035419</v>
      </c>
      <c r="AD214" s="265">
        <f t="shared" si="315"/>
        <v>78208.471277059769</v>
      </c>
      <c r="AE214" s="265">
        <f t="shared" si="316"/>
        <v>16173.386090667835</v>
      </c>
      <c r="AF214" s="265">
        <f t="shared" si="317"/>
        <v>45772.445452155218</v>
      </c>
      <c r="AG214" s="266">
        <f t="shared" si="318"/>
        <v>42608.134070035419</v>
      </c>
      <c r="AH214" s="265">
        <f t="shared" si="345"/>
        <v>78208.471277059769</v>
      </c>
      <c r="AI214" s="265">
        <f t="shared" si="346"/>
        <v>18304.207473498547</v>
      </c>
      <c r="AJ214" s="265">
        <f t="shared" si="347"/>
        <v>45797.78609737548</v>
      </c>
      <c r="AK214" s="265">
        <f t="shared" si="348"/>
        <v>42631.722882000824</v>
      </c>
      <c r="AL214" s="266">
        <f t="shared" si="349"/>
        <v>184942.18772993461</v>
      </c>
      <c r="AM214" s="347"/>
      <c r="AN214" s="264">
        <f>IFERROR(VLOOKUP($A214,'HH &amp; SI'!$B$4:$Z$494,'HH &amp; SI'!V$503,0),0)</f>
        <v>130651.13652342813</v>
      </c>
      <c r="AO214" s="265">
        <f>IFERROR(VLOOKUP($A214,'HH &amp; SI'!$B$4:$Z$494,'HH &amp; SI'!W$503,0),0)</f>
        <v>24992.062173502036</v>
      </c>
      <c r="AP214" s="265">
        <f>IFERROR(VLOOKUP($A214,'HH &amp; SI'!$B$4:$Z$494,'HH &amp; SI'!X$503,0),0)</f>
        <v>65545.260834434419</v>
      </c>
      <c r="AQ214" s="265">
        <f>IFERROR(VLOOKUP($A214,'HH &amp; SI'!$B$4:$Z$494,'HH &amp; SI'!Y$503,0),0)</f>
        <v>61509.282733301181</v>
      </c>
      <c r="AR214" s="266">
        <f t="shared" si="319"/>
        <v>282697.74226466578</v>
      </c>
      <c r="AS214" s="347"/>
      <c r="AT214" s="324">
        <f>IFERROR(VLOOKUP(A214,'Afton FY16 Final'!$A$5:$BV$572,'Afton FY16 Final'!$BV$587,0),0)</f>
        <v>291717.28817504388</v>
      </c>
      <c r="AU214" s="347"/>
      <c r="AV214" s="454">
        <v>0</v>
      </c>
      <c r="AW214" s="265">
        <f>IFERROR(VLOOKUP($A214,'HH &amp; SI'!$B$4:$EY$503,'HH &amp; SI'!EX$503,0),0)</f>
        <v>0</v>
      </c>
      <c r="AX214" s="265">
        <f>IFERROR(VLOOKUP($A214,'HH &amp; SI'!$B$4:$EY$503,'HH &amp; SI'!EY$503,0),0)</f>
        <v>282697.74226466578</v>
      </c>
      <c r="AY214" s="265">
        <f>AX214/$AX$582*'update_State Admin 1004(b)'!$B$30*0.01</f>
        <v>2705.6204746284643</v>
      </c>
      <c r="AZ214" s="266">
        <f t="shared" si="320"/>
        <v>279992.12179003732</v>
      </c>
      <c r="BA214" s="264">
        <f t="shared" si="321"/>
        <v>2799.921217900373</v>
      </c>
      <c r="BB214" s="265">
        <f t="shared" si="322"/>
        <v>277192.20057213696</v>
      </c>
      <c r="BC214" s="342">
        <f t="shared" si="330"/>
        <v>0.95020834146041011</v>
      </c>
      <c r="BD214" s="347"/>
      <c r="BE214" s="377" t="str">
        <f>'Original Title I &amp; II'!AZ214</f>
        <v/>
      </c>
      <c r="BF214" s="244" t="str">
        <f t="shared" ref="BF214:BF220" si="350">IF(BE214&lt;0,BB214*BE214/100,"")</f>
        <v/>
      </c>
      <c r="BG214" s="266">
        <f t="shared" si="314"/>
        <v>277192.20057213696</v>
      </c>
      <c r="BI214" s="203" t="str">
        <f>IFERROR(VLOOKUP(A214,'Title II Hold Harmless'!A$1:B$439,2, FALSE),"")</f>
        <v/>
      </c>
      <c r="BJ214" s="203">
        <f t="shared" si="324"/>
        <v>2488.8998308543942</v>
      </c>
      <c r="BK214" s="203">
        <f t="shared" si="325"/>
        <v>2491.307572289345</v>
      </c>
      <c r="BL214" s="203" t="str">
        <f t="shared" si="326"/>
        <v/>
      </c>
      <c r="BM214" s="203">
        <f t="shared" si="327"/>
        <v>2491.307572289345</v>
      </c>
      <c r="BN214" s="200"/>
      <c r="BP214" s="298" t="s">
        <v>1448</v>
      </c>
      <c r="BQ214" s="299" t="str">
        <f t="shared" si="332"/>
        <v>Y</v>
      </c>
      <c r="BR214" s="300" t="s">
        <v>1448</v>
      </c>
      <c r="BT214" s="298" t="str">
        <f t="shared" si="333"/>
        <v>Y</v>
      </c>
      <c r="BU214" s="299" t="str">
        <f t="shared" si="328"/>
        <v>Y</v>
      </c>
      <c r="BV214" s="299" t="str">
        <f t="shared" si="329"/>
        <v>Y</v>
      </c>
      <c r="BW214" s="300" t="str">
        <f t="shared" si="334"/>
        <v>Y</v>
      </c>
      <c r="BY214" s="355">
        <f t="shared" si="335"/>
        <v>0</v>
      </c>
      <c r="BZ214" s="356">
        <f t="shared" si="336"/>
        <v>0</v>
      </c>
      <c r="CA214" s="356">
        <f t="shared" si="337"/>
        <v>0.95</v>
      </c>
      <c r="CB214" s="357">
        <f t="shared" si="338"/>
        <v>0.95</v>
      </c>
      <c r="CD214" s="312">
        <f t="shared" si="339"/>
        <v>209</v>
      </c>
    </row>
    <row r="215" spans="1:82" s="48" customFormat="1" outlineLevel="1" x14ac:dyDescent="0.3">
      <c r="A215" s="202">
        <v>78218000</v>
      </c>
      <c r="B215" s="48" t="e">
        <f>VLOOKUP(C215,'NCES ID'!$A$2:$B$3136,2,FALSE)</f>
        <v>#N/A</v>
      </c>
      <c r="C215" s="48">
        <f>VLOOKUP(A215,'State ID'!$A$2:$B$713,2,FALSE)</f>
        <v>91934</v>
      </c>
      <c r="D215" s="48" t="s">
        <v>92</v>
      </c>
      <c r="E215" s="48" t="s">
        <v>7</v>
      </c>
      <c r="F215" s="755"/>
      <c r="G215" s="755"/>
      <c r="H215" s="755"/>
      <c r="I215" s="755"/>
      <c r="J215" s="755"/>
      <c r="K215" s="755"/>
      <c r="L215" s="454"/>
      <c r="M215" s="455"/>
      <c r="N215" s="456"/>
      <c r="O215" s="209">
        <f>VLOOKUP($C215,'Final SEA Counts'!$A$2:$F$709,5,FALSE)</f>
        <v>192</v>
      </c>
      <c r="P215" s="223">
        <f>VLOOKUP($C215,'Final SEA Counts'!$A$2:$F$709,6,FALSE)</f>
        <v>186</v>
      </c>
      <c r="Q215" s="749"/>
      <c r="R215" s="454">
        <f t="shared" si="302"/>
        <v>192</v>
      </c>
      <c r="S215" s="455">
        <f t="shared" si="340"/>
        <v>92.093440222562819</v>
      </c>
      <c r="T215" s="230">
        <f t="shared" si="304"/>
        <v>0.47965333449251468</v>
      </c>
      <c r="U215" s="264" t="str">
        <f>IFERROR(VLOOKUP($B215,#REF!,8,FALSE),"")</f>
        <v/>
      </c>
      <c r="V215" s="265" t="str">
        <f>IFERROR(VLOOKUP($B215,#REF!,9,FALSE),"")</f>
        <v/>
      </c>
      <c r="W215" s="265" t="str">
        <f>IFERROR(VLOOKUP($B215,#REF!,10,FALSE),"")</f>
        <v/>
      </c>
      <c r="X215" s="265" t="str">
        <f>IFERROR(VLOOKUP($B215,#REF!,11,FALSE),"")</f>
        <v/>
      </c>
      <c r="Y215" s="266" t="str">
        <f>IFERROR(VLOOKUP($B215,#REF!,12,FALSE),"")</f>
        <v/>
      </c>
      <c r="Z215" s="265">
        <f t="shared" si="341"/>
        <v>44485.552469520233</v>
      </c>
      <c r="AA215" s="265">
        <f t="shared" si="342"/>
        <v>9199.5407121229891</v>
      </c>
      <c r="AB215" s="265">
        <f t="shared" si="343"/>
        <v>26035.702917739669</v>
      </c>
      <c r="AC215" s="266">
        <f t="shared" si="344"/>
        <v>24235.8193792862</v>
      </c>
      <c r="AD215" s="265">
        <f t="shared" si="315"/>
        <v>44485.552469520233</v>
      </c>
      <c r="AE215" s="265">
        <f t="shared" si="316"/>
        <v>9199.5407121229891</v>
      </c>
      <c r="AF215" s="265">
        <f t="shared" si="317"/>
        <v>26035.702917739669</v>
      </c>
      <c r="AG215" s="266">
        <f t="shared" si="318"/>
        <v>24235.8193792862</v>
      </c>
      <c r="AH215" s="265">
        <f t="shared" si="345"/>
        <v>44485.552469520233</v>
      </c>
      <c r="AI215" s="265">
        <f t="shared" si="346"/>
        <v>11330.362094953702</v>
      </c>
      <c r="AJ215" s="265">
        <f t="shared" si="347"/>
        <v>26061.043562959927</v>
      </c>
      <c r="AK215" s="265">
        <f t="shared" si="348"/>
        <v>24259.408191251601</v>
      </c>
      <c r="AL215" s="266">
        <f t="shared" si="349"/>
        <v>106136.36631868545</v>
      </c>
      <c r="AM215" s="347"/>
      <c r="AN215" s="264">
        <f>IFERROR(VLOOKUP($A215,'HH &amp; SI'!$B$4:$Z$494,'HH &amp; SI'!V$503,0),0)</f>
        <v>43878.740659880321</v>
      </c>
      <c r="AO215" s="265">
        <f>IFERROR(VLOOKUP($A215,'HH &amp; SI'!$B$4:$Z$494,'HH &amp; SI'!W$503,0),0)</f>
        <v>10957.18139242908</v>
      </c>
      <c r="AP215" s="265">
        <f>IFERROR(VLOOKUP($A215,'HH &amp; SI'!$B$4:$Z$494,'HH &amp; SI'!X$503,0),0)</f>
        <v>25824.028546904538</v>
      </c>
      <c r="AQ215" s="265">
        <f>IFERROR(VLOOKUP($A215,'HH &amp; SI'!$B$4:$Z$494,'HH &amp; SI'!Y$503,0),0)</f>
        <v>23992.113182149438</v>
      </c>
      <c r="AR215" s="266">
        <f t="shared" si="319"/>
        <v>104652.06378136337</v>
      </c>
      <c r="AS215" s="347"/>
      <c r="AT215" s="324">
        <f>IFERROR(VLOOKUP(A215,'Afton FY16 Final'!$A$5:$BV$572,'Afton FY16 Final'!$BV$587,0),0)</f>
        <v>76798.584252824701</v>
      </c>
      <c r="AU215" s="347"/>
      <c r="AV215" s="454">
        <v>0</v>
      </c>
      <c r="AW215" s="265">
        <f>IFERROR(VLOOKUP($A215,'HH &amp; SI'!$B$4:$EY$503,'HH &amp; SI'!EX$503,0),0)</f>
        <v>5861.8866145734355</v>
      </c>
      <c r="AX215" s="265">
        <f>IFERROR(VLOOKUP($A215,'HH &amp; SI'!$B$4:$EY$503,'HH &amp; SI'!EY$503,0),0)</f>
        <v>98790.17716678993</v>
      </c>
      <c r="AY215" s="265">
        <f>AX215/$AX$582*'update_State Admin 1004(b)'!$B$30*0.01</f>
        <v>945.49296323845647</v>
      </c>
      <c r="AZ215" s="266">
        <f t="shared" si="320"/>
        <v>97844.684203551471</v>
      </c>
      <c r="BA215" s="264">
        <f t="shared" si="321"/>
        <v>978.44684203551469</v>
      </c>
      <c r="BB215" s="265">
        <f t="shared" si="322"/>
        <v>96866.237361515959</v>
      </c>
      <c r="BC215" s="342">
        <f t="shared" si="330"/>
        <v>1.2613023834219075</v>
      </c>
      <c r="BD215" s="347"/>
      <c r="BE215" s="377" t="str">
        <f>'Original Title I &amp; II'!AZ215</f>
        <v/>
      </c>
      <c r="BF215" s="244" t="str">
        <f t="shared" si="350"/>
        <v/>
      </c>
      <c r="BG215" s="266">
        <f t="shared" si="314"/>
        <v>96866.237361515959</v>
      </c>
      <c r="BI215" s="203" t="str">
        <f>IFERROR(VLOOKUP(A215,'Title II Hold Harmless'!A$1:B$439,2, FALSE),"")</f>
        <v/>
      </c>
      <c r="BJ215" s="203">
        <f t="shared" si="324"/>
        <v>1360.1068610192619</v>
      </c>
      <c r="BK215" s="203">
        <f t="shared" si="325"/>
        <v>1361.4226173243733</v>
      </c>
      <c r="BL215" s="203" t="str">
        <f t="shared" si="326"/>
        <v/>
      </c>
      <c r="BM215" s="203">
        <f t="shared" si="327"/>
        <v>1361.4226173243733</v>
      </c>
      <c r="BN215" s="200"/>
      <c r="BP215" s="298" t="s">
        <v>1448</v>
      </c>
      <c r="BQ215" s="299" t="str">
        <f t="shared" si="332"/>
        <v>Y</v>
      </c>
      <c r="BR215" s="300" t="s">
        <v>1448</v>
      </c>
      <c r="BT215" s="298" t="str">
        <f t="shared" si="333"/>
        <v>Y</v>
      </c>
      <c r="BU215" s="299" t="str">
        <f t="shared" si="328"/>
        <v>Y</v>
      </c>
      <c r="BV215" s="299" t="str">
        <f t="shared" si="329"/>
        <v>Y</v>
      </c>
      <c r="BW215" s="300" t="str">
        <f t="shared" si="334"/>
        <v>Y</v>
      </c>
      <c r="BY215" s="355">
        <f t="shared" si="335"/>
        <v>0</v>
      </c>
      <c r="BZ215" s="356">
        <f t="shared" si="336"/>
        <v>0</v>
      </c>
      <c r="CA215" s="356">
        <f t="shared" si="337"/>
        <v>0.95</v>
      </c>
      <c r="CB215" s="357">
        <f t="shared" si="338"/>
        <v>0.95</v>
      </c>
      <c r="CD215" s="312">
        <f t="shared" si="339"/>
        <v>210</v>
      </c>
    </row>
    <row r="216" spans="1:82" s="193" customFormat="1" outlineLevel="1" x14ac:dyDescent="0.3">
      <c r="A216" s="703">
        <v>78550000</v>
      </c>
      <c r="B216" s="193">
        <f>VLOOKUP(C216,'NCES ID'!$A$2:$B$3136,2,FALSE)</f>
        <v>400798</v>
      </c>
      <c r="C216" s="193">
        <f>VLOOKUP(A216,'State ID'!$A$2:$B$713,2,FALSE)</f>
        <v>90140</v>
      </c>
      <c r="D216" s="193" t="s">
        <v>99</v>
      </c>
      <c r="E216" s="193" t="s">
        <v>7</v>
      </c>
      <c r="F216" s="761"/>
      <c r="G216" s="761"/>
      <c r="H216" s="761"/>
      <c r="I216" s="761"/>
      <c r="J216" s="761"/>
      <c r="K216" s="761"/>
      <c r="L216" s="762"/>
      <c r="M216" s="763"/>
      <c r="N216" s="769"/>
      <c r="O216" s="704">
        <f>VLOOKUP($C216,'Final SEA Counts'!$A$2:$F$709,5,FALSE)</f>
        <v>636</v>
      </c>
      <c r="P216" s="705">
        <f>VLOOKUP($C216,'Final SEA Counts'!$A$2:$F$709,6,FALSE)</f>
        <v>622</v>
      </c>
      <c r="Q216" s="753"/>
      <c r="R216" s="762">
        <f t="shared" si="302"/>
        <v>636</v>
      </c>
      <c r="S216" s="763">
        <f t="shared" si="340"/>
        <v>307.96838612061327</v>
      </c>
      <c r="T216" s="706">
        <f t="shared" si="304"/>
        <v>0.48422702220222213</v>
      </c>
      <c r="U216" s="707" t="str">
        <f>IFERROR(VLOOKUP($B216,#REF!,8,FALSE),"")</f>
        <v/>
      </c>
      <c r="V216" s="708" t="str">
        <f>IFERROR(VLOOKUP($B216,#REF!,9,FALSE),"")</f>
        <v/>
      </c>
      <c r="W216" s="708" t="str">
        <f>IFERROR(VLOOKUP($B216,#REF!,10,FALSE),"")</f>
        <v/>
      </c>
      <c r="X216" s="708" t="str">
        <f>IFERROR(VLOOKUP($B216,#REF!,11,FALSE),"")</f>
        <v/>
      </c>
      <c r="Y216" s="709" t="str">
        <f>IFERROR(VLOOKUP($B216,#REF!,12,FALSE),"")</f>
        <v/>
      </c>
      <c r="Z216" s="708">
        <f t="shared" si="341"/>
        <v>148763.51417226659</v>
      </c>
      <c r="AA216" s="708">
        <f t="shared" si="342"/>
        <v>30764.0554996801</v>
      </c>
      <c r="AB216" s="708">
        <f t="shared" si="343"/>
        <v>87065.630187279952</v>
      </c>
      <c r="AC216" s="709">
        <f t="shared" si="344"/>
        <v>81046.664806000088</v>
      </c>
      <c r="AD216" s="708">
        <f t="shared" si="315"/>
        <v>148763.51417226659</v>
      </c>
      <c r="AE216" s="708">
        <f t="shared" si="316"/>
        <v>30764.0554996801</v>
      </c>
      <c r="AF216" s="708">
        <f t="shared" si="317"/>
        <v>87065.630187279952</v>
      </c>
      <c r="AG216" s="709">
        <f t="shared" si="318"/>
        <v>81046.664806000088</v>
      </c>
      <c r="AH216" s="708">
        <f t="shared" si="345"/>
        <v>148763.51417226659</v>
      </c>
      <c r="AI216" s="708">
        <f t="shared" si="346"/>
        <v>32894.876882510813</v>
      </c>
      <c r="AJ216" s="708">
        <f t="shared" si="347"/>
        <v>87090.970832500214</v>
      </c>
      <c r="AK216" s="708">
        <f t="shared" si="348"/>
        <v>81070.253617965485</v>
      </c>
      <c r="AL216" s="709">
        <f t="shared" si="349"/>
        <v>349819.61550524313</v>
      </c>
      <c r="AM216" s="710"/>
      <c r="AN216" s="707">
        <f>IFERROR(VLOOKUP($A216,'HH &amp; SI'!$B$4:$Z$494,'HH &amp; SI'!V$503,0),0)</f>
        <v>146734.28328196536</v>
      </c>
      <c r="AO216" s="708">
        <f>IFERROR(VLOOKUP($A216,'HH &amp; SI'!$B$4:$Z$494,'HH &amp; SI'!W$503,0),0)</f>
        <v>31811.439904804367</v>
      </c>
      <c r="AP216" s="708">
        <f>IFERROR(VLOOKUP($A216,'HH &amp; SI'!$B$4:$Z$494,'HH &amp; SI'!X$503,0),0)</f>
        <v>86298.912456162507</v>
      </c>
      <c r="AQ216" s="708">
        <f>IFERROR(VLOOKUP($A216,'HH &amp; SI'!$B$4:$Z$494,'HH &amp; SI'!Y$503,0),0)</f>
        <v>80177.005357006536</v>
      </c>
      <c r="AR216" s="709">
        <f t="shared" si="319"/>
        <v>345021.64099993883</v>
      </c>
      <c r="AS216" s="710"/>
      <c r="AT216" s="711">
        <f>IFERROR(VLOOKUP(A216,'Afton FY16 Final'!$A$5:$BV$572,'Afton FY16 Final'!$BV$587,0),0)</f>
        <v>301121.58707746072</v>
      </c>
      <c r="AU216" s="710"/>
      <c r="AV216" s="762">
        <v>0</v>
      </c>
      <c r="AW216" s="708">
        <f>IFERROR(VLOOKUP($A216,'HH &amp; SI'!$B$4:$EY$503,'HH &amp; SI'!EX$503,0),0)</f>
        <v>19325.732011754764</v>
      </c>
      <c r="AX216" s="708">
        <f>IFERROR(VLOOKUP($A216,'HH &amp; SI'!$B$4:$EY$503,'HH &amp; SI'!EY$503,0),0)</f>
        <v>325695.90898818406</v>
      </c>
      <c r="AY216" s="708">
        <f>AX216/$AX$582*'update_State Admin 1004(b)'!$B$30*0.01</f>
        <v>3117.1438187014537</v>
      </c>
      <c r="AZ216" s="709">
        <f t="shared" si="320"/>
        <v>322578.76516948262</v>
      </c>
      <c r="BA216" s="707">
        <f t="shared" si="321"/>
        <v>3225.7876516948263</v>
      </c>
      <c r="BB216" s="708">
        <f t="shared" si="322"/>
        <v>319352.97751778777</v>
      </c>
      <c r="BC216" s="712">
        <f t="shared" si="330"/>
        <v>1.0605449467016697</v>
      </c>
      <c r="BD216" s="710"/>
      <c r="BE216" s="713" t="str">
        <f>'Original Title I &amp; II'!AZ216</f>
        <v/>
      </c>
      <c r="BF216" s="714" t="str">
        <f t="shared" si="350"/>
        <v/>
      </c>
      <c r="BG216" s="709">
        <f t="shared" si="314"/>
        <v>319352.97751778777</v>
      </c>
      <c r="BI216" s="715" t="str">
        <f>IFERROR(VLOOKUP(A216,'Title II Hold Harmless'!A$1:B$439,2, FALSE),"")</f>
        <v/>
      </c>
      <c r="BJ216" s="715">
        <f t="shared" si="324"/>
        <v>4543.4336209905077</v>
      </c>
      <c r="BK216" s="715">
        <f t="shared" ref="BK216:BK247" si="351">$BI$588*BJ216</f>
        <v>4547.8289016886674</v>
      </c>
      <c r="BL216" s="715" t="str">
        <f t="shared" si="326"/>
        <v/>
      </c>
      <c r="BM216" s="715">
        <f t="shared" si="327"/>
        <v>4547.8289016886674</v>
      </c>
      <c r="BN216" s="715"/>
      <c r="BP216" s="716" t="s">
        <v>1448</v>
      </c>
      <c r="BQ216" s="717" t="str">
        <f t="shared" si="332"/>
        <v>Y</v>
      </c>
      <c r="BR216" s="718" t="s">
        <v>1448</v>
      </c>
      <c r="BT216" s="716" t="str">
        <f t="shared" si="333"/>
        <v>Y</v>
      </c>
      <c r="BU216" s="717" t="str">
        <f t="shared" si="328"/>
        <v>Y</v>
      </c>
      <c r="BV216" s="717" t="str">
        <f t="shared" si="329"/>
        <v>Y</v>
      </c>
      <c r="BW216" s="718" t="str">
        <f t="shared" si="334"/>
        <v>Y</v>
      </c>
      <c r="BY216" s="719">
        <f t="shared" si="335"/>
        <v>0</v>
      </c>
      <c r="BZ216" s="720">
        <f t="shared" si="336"/>
        <v>0</v>
      </c>
      <c r="CA216" s="720">
        <f t="shared" si="337"/>
        <v>0.95</v>
      </c>
      <c r="CB216" s="721">
        <f t="shared" si="338"/>
        <v>0.95</v>
      </c>
      <c r="CD216" s="722">
        <f t="shared" si="339"/>
        <v>211</v>
      </c>
    </row>
    <row r="217" spans="1:82" s="48" customFormat="1" outlineLevel="1" x14ac:dyDescent="0.3">
      <c r="A217" s="202">
        <v>78772000</v>
      </c>
      <c r="B217" s="48">
        <f>VLOOKUP(C217,'NCES ID'!$A$2:$B$3136,2,FALSE)</f>
        <v>400135</v>
      </c>
      <c r="C217" s="48">
        <f>VLOOKUP(A217,'State ID'!$A$2:$B$713,2,FALSE)</f>
        <v>6362</v>
      </c>
      <c r="D217" s="48" t="s">
        <v>100</v>
      </c>
      <c r="E217" s="48" t="s">
        <v>7</v>
      </c>
      <c r="F217" s="755"/>
      <c r="G217" s="755"/>
      <c r="H217" s="755"/>
      <c r="I217" s="755"/>
      <c r="J217" s="755"/>
      <c r="K217" s="755"/>
      <c r="L217" s="454"/>
      <c r="M217" s="455"/>
      <c r="N217" s="456"/>
      <c r="O217" s="209">
        <f>VLOOKUP($C217,'Final SEA Counts'!$A$2:$F$709,5,FALSE)</f>
        <v>578</v>
      </c>
      <c r="P217" s="223">
        <f>VLOOKUP($C217,'Final SEA Counts'!$A$2:$F$709,6,FALSE)</f>
        <v>99</v>
      </c>
      <c r="Q217" s="749"/>
      <c r="R217" s="454">
        <f t="shared" si="302"/>
        <v>578</v>
      </c>
      <c r="S217" s="455">
        <f t="shared" si="340"/>
        <v>49.017476247493107</v>
      </c>
      <c r="T217" s="230">
        <f t="shared" si="304"/>
        <v>8.4805322227496718E-2</v>
      </c>
      <c r="U217" s="264" t="str">
        <f>IFERROR(VLOOKUP($B217,#REF!,8,FALSE),"")</f>
        <v/>
      </c>
      <c r="V217" s="265" t="str">
        <f>IFERROR(VLOOKUP($B217,#REF!,9,FALSE),"")</f>
        <v/>
      </c>
      <c r="W217" s="265" t="str">
        <f>IFERROR(VLOOKUP($B217,#REF!,10,FALSE),"")</f>
        <v/>
      </c>
      <c r="X217" s="265" t="str">
        <f>IFERROR(VLOOKUP($B217,#REF!,11,FALSE),"")</f>
        <v/>
      </c>
      <c r="Y217" s="266" t="str">
        <f>IFERROR(VLOOKUP($B217,#REF!,12,FALSE),"")</f>
        <v/>
      </c>
      <c r="Z217" s="265">
        <f t="shared" si="341"/>
        <v>23677.794056357543</v>
      </c>
      <c r="AA217" s="265">
        <f t="shared" si="342"/>
        <v>4896.5297338719129</v>
      </c>
      <c r="AB217" s="265">
        <f t="shared" si="343"/>
        <v>13857.712843313047</v>
      </c>
      <c r="AC217" s="266">
        <f t="shared" si="344"/>
        <v>12899.710314781363</v>
      </c>
      <c r="AD217" s="265">
        <f t="shared" si="315"/>
        <v>23677.794056357543</v>
      </c>
      <c r="AE217" s="265" t="str">
        <f t="shared" si="316"/>
        <v/>
      </c>
      <c r="AF217" s="265">
        <f t="shared" si="317"/>
        <v>13857.712843313047</v>
      </c>
      <c r="AG217" s="266">
        <f t="shared" si="318"/>
        <v>12899.710314781363</v>
      </c>
      <c r="AH217" s="265">
        <f t="shared" si="345"/>
        <v>23677.794056357543</v>
      </c>
      <c r="AI217" s="265" t="str">
        <f t="shared" si="346"/>
        <v/>
      </c>
      <c r="AJ217" s="265">
        <f t="shared" si="347"/>
        <v>13883.053488533307</v>
      </c>
      <c r="AK217" s="265">
        <f t="shared" si="348"/>
        <v>12923.299126746766</v>
      </c>
      <c r="AL217" s="266">
        <f t="shared" si="349"/>
        <v>50484.146671637616</v>
      </c>
      <c r="AM217" s="347"/>
      <c r="AN217" s="264">
        <f>IFERROR(VLOOKUP($A217,'HH &amp; SI'!$B$4:$Z$494,'HH &amp; SI'!V$503,0),0)</f>
        <v>25808.62384138687</v>
      </c>
      <c r="AO217" s="265">
        <f>IFERROR(VLOOKUP($A217,'HH &amp; SI'!$B$4:$Z$494,'HH &amp; SI'!W$503,0),0)</f>
        <v>0</v>
      </c>
      <c r="AP217" s="265">
        <f>IFERROR(VLOOKUP($A217,'HH &amp; SI'!$B$4:$Z$494,'HH &amp; SI'!X$503,0),0)</f>
        <v>14006.643320971993</v>
      </c>
      <c r="AQ217" s="265">
        <f>IFERROR(VLOOKUP($A217,'HH &amp; SI'!$B$4:$Z$494,'HH &amp; SI'!Y$503,0),0)</f>
        <v>12780.907633496759</v>
      </c>
      <c r="AR217" s="266">
        <f t="shared" si="319"/>
        <v>52596.174795855623</v>
      </c>
      <c r="AS217" s="347"/>
      <c r="AT217" s="324">
        <f>IFERROR(VLOOKUP(A217,'Afton FY16 Final'!$A$5:$BV$572,'Afton FY16 Final'!$BV$587,0),0)</f>
        <v>57767.98698879459</v>
      </c>
      <c r="AU217" s="347"/>
      <c r="AV217" s="454">
        <v>0</v>
      </c>
      <c r="AW217" s="265">
        <f>IFERROR(VLOOKUP($A217,'HH &amp; SI'!$B$4:$EY$503,'HH &amp; SI'!EX$503,0),0)</f>
        <v>0</v>
      </c>
      <c r="AX217" s="265">
        <f>IFERROR(VLOOKUP($A217,'HH &amp; SI'!$B$4:$EY$503,'HH &amp; SI'!EY$503,0),0)</f>
        <v>52596.174795855623</v>
      </c>
      <c r="AY217" s="265">
        <f>AX217/$AX$582*'update_State Admin 1004(b)'!$B$30*0.01</f>
        <v>503.38317623200641</v>
      </c>
      <c r="AZ217" s="266">
        <f t="shared" si="320"/>
        <v>52092.791619623618</v>
      </c>
      <c r="BA217" s="264">
        <f t="shared" si="321"/>
        <v>520.9279161962362</v>
      </c>
      <c r="BB217" s="265">
        <f t="shared" si="322"/>
        <v>51571.863703427385</v>
      </c>
      <c r="BC217" s="342">
        <f t="shared" si="330"/>
        <v>0.89274122903799502</v>
      </c>
      <c r="BD217" s="347"/>
      <c r="BE217" s="377" t="str">
        <f>'Original Title I &amp; II'!AZ217</f>
        <v/>
      </c>
      <c r="BF217" s="244" t="str">
        <f t="shared" si="350"/>
        <v/>
      </c>
      <c r="BG217" s="266">
        <f t="shared" si="314"/>
        <v>51571.863703427385</v>
      </c>
      <c r="BI217" s="203">
        <f>IFERROR(VLOOKUP(A217,'Title II Hold Harmless'!A$1:B$439,2, FALSE),"")</f>
        <v>10461</v>
      </c>
      <c r="BJ217" s="203">
        <f t="shared" si="324"/>
        <v>11567.856729897456</v>
      </c>
      <c r="BK217" s="203">
        <f t="shared" si="351"/>
        <v>11579.047380327363</v>
      </c>
      <c r="BL217" s="203" t="str">
        <f t="shared" si="326"/>
        <v/>
      </c>
      <c r="BM217" s="203">
        <f t="shared" si="327"/>
        <v>11579.047380327363</v>
      </c>
      <c r="BN217" s="200"/>
      <c r="BP217" s="298" t="s">
        <v>1448</v>
      </c>
      <c r="BQ217" s="299" t="str">
        <f t="shared" si="332"/>
        <v>Y</v>
      </c>
      <c r="BR217" s="300" t="s">
        <v>1448</v>
      </c>
      <c r="BT217" s="298" t="str">
        <f t="shared" si="333"/>
        <v>Y</v>
      </c>
      <c r="BU217" s="299" t="str">
        <f t="shared" si="328"/>
        <v>N</v>
      </c>
      <c r="BV217" s="299" t="str">
        <f t="shared" si="329"/>
        <v>Y</v>
      </c>
      <c r="BW217" s="300" t="str">
        <f t="shared" si="334"/>
        <v>Y</v>
      </c>
      <c r="BY217" s="355">
        <f t="shared" si="335"/>
        <v>0.85</v>
      </c>
      <c r="BZ217" s="356">
        <f t="shared" si="336"/>
        <v>0</v>
      </c>
      <c r="CA217" s="356">
        <f t="shared" si="337"/>
        <v>0</v>
      </c>
      <c r="CB217" s="357">
        <f t="shared" si="338"/>
        <v>0.85</v>
      </c>
      <c r="CD217" s="312">
        <f t="shared" si="339"/>
        <v>212</v>
      </c>
    </row>
    <row r="218" spans="1:82" s="48" customFormat="1" outlineLevel="1" x14ac:dyDescent="0.3">
      <c r="A218" s="202">
        <v>78995000</v>
      </c>
      <c r="B218" s="48">
        <f>VLOOKUP(C218,'NCES ID'!$A$2:$B$3136,2,FALSE)</f>
        <v>400402</v>
      </c>
      <c r="C218" s="48">
        <f>VLOOKUP(A218,'State ID'!$A$2:$B$713,2,FALSE)</f>
        <v>5186</v>
      </c>
      <c r="D218" s="48" t="s">
        <v>105</v>
      </c>
      <c r="E218" s="48" t="s">
        <v>7</v>
      </c>
      <c r="F218" s="755"/>
      <c r="G218" s="755"/>
      <c r="H218" s="755"/>
      <c r="I218" s="755"/>
      <c r="J218" s="755"/>
      <c r="K218" s="755"/>
      <c r="L218" s="454"/>
      <c r="M218" s="455"/>
      <c r="N218" s="456"/>
      <c r="O218" s="209">
        <f>VLOOKUP($C218,'Final SEA Counts'!$A$2:$F$709,5,FALSE)</f>
        <v>434</v>
      </c>
      <c r="P218" s="223">
        <f>VLOOKUP($C218,'Final SEA Counts'!$A$2:$F$709,6,FALSE)</f>
        <v>373</v>
      </c>
      <c r="Q218" s="749"/>
      <c r="R218" s="454">
        <f t="shared" si="302"/>
        <v>434</v>
      </c>
      <c r="S218" s="455">
        <f t="shared" si="340"/>
        <v>184.68200646782756</v>
      </c>
      <c r="T218" s="230">
        <f t="shared" si="304"/>
        <v>0.42553457711481008</v>
      </c>
      <c r="U218" s="264" t="str">
        <f>IFERROR(VLOOKUP($B218,#REF!,8,FALSE),"")</f>
        <v/>
      </c>
      <c r="V218" s="265" t="str">
        <f>IFERROR(VLOOKUP($B218,#REF!,9,FALSE),"")</f>
        <v/>
      </c>
      <c r="W218" s="265" t="str">
        <f>IFERROR(VLOOKUP($B218,#REF!,10,FALSE),"")</f>
        <v/>
      </c>
      <c r="X218" s="265" t="str">
        <f>IFERROR(VLOOKUP($B218,#REF!,11,FALSE),"")</f>
        <v/>
      </c>
      <c r="Y218" s="266" t="str">
        <f>IFERROR(VLOOKUP($B218,#REF!,12,FALSE),"")</f>
        <v/>
      </c>
      <c r="Z218" s="265">
        <f t="shared" si="341"/>
        <v>89210.274575973366</v>
      </c>
      <c r="AA218" s="265">
        <f t="shared" si="342"/>
        <v>18448.541320547709</v>
      </c>
      <c r="AB218" s="265">
        <f t="shared" si="343"/>
        <v>52211.38273288653</v>
      </c>
      <c r="AC218" s="266">
        <f t="shared" si="344"/>
        <v>48601.938862762108</v>
      </c>
      <c r="AD218" s="265">
        <f t="shared" si="315"/>
        <v>89210.274575973366</v>
      </c>
      <c r="AE218" s="265">
        <f t="shared" si="316"/>
        <v>18448.541320547709</v>
      </c>
      <c r="AF218" s="265">
        <f t="shared" si="317"/>
        <v>52211.38273288653</v>
      </c>
      <c r="AG218" s="266">
        <f t="shared" si="318"/>
        <v>48601.938862762108</v>
      </c>
      <c r="AH218" s="265">
        <f t="shared" si="345"/>
        <v>89210.274575973366</v>
      </c>
      <c r="AI218" s="265">
        <f t="shared" si="346"/>
        <v>20579.362703378421</v>
      </c>
      <c r="AJ218" s="265">
        <f t="shared" si="347"/>
        <v>52236.723378106792</v>
      </c>
      <c r="AK218" s="265">
        <f t="shared" si="348"/>
        <v>48625.527674727513</v>
      </c>
      <c r="AL218" s="266">
        <f t="shared" si="349"/>
        <v>210651.88833218612</v>
      </c>
      <c r="AM218" s="347"/>
      <c r="AN218" s="264">
        <f>IFERROR(VLOOKUP($A218,'HH &amp; SI'!$B$4:$Z$494,'HH &amp; SI'!V$503,0),0)</f>
        <v>87993.388527609452</v>
      </c>
      <c r="AO218" s="265">
        <f>IFERROR(VLOOKUP($A218,'HH &amp; SI'!$B$4:$Z$494,'HH &amp; SI'!W$503,0),0)</f>
        <v>19901.553736039576</v>
      </c>
      <c r="AP218" s="265">
        <f>IFERROR(VLOOKUP($A218,'HH &amp; SI'!$B$4:$Z$494,'HH &amp; SI'!X$503,0),0)</f>
        <v>51761.650774040405</v>
      </c>
      <c r="AQ218" s="265">
        <f>IFERROR(VLOOKUP($A218,'HH &amp; SI'!$B$4:$Z$494,'HH &amp; SI'!Y$503,0),0)</f>
        <v>48089.761890173017</v>
      </c>
      <c r="AR218" s="266">
        <f t="shared" si="319"/>
        <v>207746.35492786244</v>
      </c>
      <c r="AS218" s="347"/>
      <c r="AT218" s="324">
        <f>IFERROR(VLOOKUP(A218,'Afton FY16 Final'!$A$5:$BV$572,'Afton FY16 Final'!$BV$587,0),0)</f>
        <v>160110.76707374776</v>
      </c>
      <c r="AU218" s="347"/>
      <c r="AV218" s="454">
        <v>0</v>
      </c>
      <c r="AW218" s="265">
        <f>IFERROR(VLOOKUP($A218,'HH &amp; SI'!$B$4:$EY$503,'HH &amp; SI'!EX$503,0),0)</f>
        <v>11636.517553272774</v>
      </c>
      <c r="AX218" s="265">
        <f>IFERROR(VLOOKUP($A218,'HH &amp; SI'!$B$4:$EY$503,'HH &amp; SI'!EY$503,0),0)</f>
        <v>196109.83737458967</v>
      </c>
      <c r="AY218" s="265">
        <f>AX218/$AX$582*'update_State Admin 1004(b)'!$B$30*0.01</f>
        <v>1876.9120228063014</v>
      </c>
      <c r="AZ218" s="266">
        <f t="shared" si="320"/>
        <v>194232.92535178337</v>
      </c>
      <c r="BA218" s="264">
        <f t="shared" si="321"/>
        <v>1942.3292535178336</v>
      </c>
      <c r="BB218" s="265">
        <f t="shared" si="322"/>
        <v>192290.59609826552</v>
      </c>
      <c r="BC218" s="342">
        <f t="shared" si="330"/>
        <v>1.2009847907960842</v>
      </c>
      <c r="BD218" s="347"/>
      <c r="BE218" s="377" t="str">
        <f>'Original Title I &amp; II'!AZ218</f>
        <v/>
      </c>
      <c r="BF218" s="244" t="str">
        <f t="shared" si="350"/>
        <v/>
      </c>
      <c r="BG218" s="266">
        <f t="shared" si="314"/>
        <v>192290.59609826552</v>
      </c>
      <c r="BI218" s="203" t="str">
        <f>IFERROR(VLOOKUP(A218,'Title II Hold Harmless'!A$1:B$439,2, FALSE),"")</f>
        <v/>
      </c>
      <c r="BJ218" s="203">
        <f t="shared" si="324"/>
        <v>2766.9353480219115</v>
      </c>
      <c r="BK218" s="203">
        <f t="shared" si="351"/>
        <v>2769.612058752763</v>
      </c>
      <c r="BL218" s="203" t="str">
        <f t="shared" si="326"/>
        <v/>
      </c>
      <c r="BM218" s="203">
        <f t="shared" si="327"/>
        <v>2769.612058752763</v>
      </c>
      <c r="BN218" s="200"/>
      <c r="BP218" s="298" t="s">
        <v>1448</v>
      </c>
      <c r="BQ218" s="299" t="str">
        <f t="shared" si="332"/>
        <v>Y</v>
      </c>
      <c r="BR218" s="300" t="s">
        <v>1448</v>
      </c>
      <c r="BT218" s="298" t="str">
        <f t="shared" si="333"/>
        <v>Y</v>
      </c>
      <c r="BU218" s="299" t="str">
        <f t="shared" si="328"/>
        <v>Y</v>
      </c>
      <c r="BV218" s="299" t="str">
        <f t="shared" si="329"/>
        <v>Y</v>
      </c>
      <c r="BW218" s="300" t="str">
        <f t="shared" si="334"/>
        <v>Y</v>
      </c>
      <c r="BY218" s="355">
        <f t="shared" si="335"/>
        <v>0</v>
      </c>
      <c r="BZ218" s="356">
        <f t="shared" si="336"/>
        <v>0</v>
      </c>
      <c r="CA218" s="356">
        <f t="shared" si="337"/>
        <v>0.95</v>
      </c>
      <c r="CB218" s="357">
        <f t="shared" si="338"/>
        <v>0.95</v>
      </c>
      <c r="CD218" s="312">
        <f t="shared" si="339"/>
        <v>213</v>
      </c>
    </row>
    <row r="219" spans="1:82" s="48" customFormat="1" outlineLevel="1" x14ac:dyDescent="0.3">
      <c r="A219" s="202">
        <v>78975000</v>
      </c>
      <c r="B219" s="48">
        <f>VLOOKUP(C219,'NCES ID'!$A$2:$B$3136,2,FALSE)</f>
        <v>400376</v>
      </c>
      <c r="C219" s="48">
        <f>VLOOKUP(A219,'State ID'!$A$2:$B$713,2,FALSE)</f>
        <v>79988</v>
      </c>
      <c r="D219" s="48" t="s">
        <v>116</v>
      </c>
      <c r="E219" s="48" t="s">
        <v>7</v>
      </c>
      <c r="F219" s="755"/>
      <c r="G219" s="755"/>
      <c r="H219" s="755"/>
      <c r="I219" s="755"/>
      <c r="J219" s="755"/>
      <c r="K219" s="755"/>
      <c r="L219" s="454"/>
      <c r="M219" s="455"/>
      <c r="N219" s="456"/>
      <c r="O219" s="209">
        <f>VLOOKUP($C219,'Final SEA Counts'!$A$2:$F$709,5,FALSE)</f>
        <v>235</v>
      </c>
      <c r="P219" s="223">
        <f>VLOOKUP($C219,'Final SEA Counts'!$A$2:$F$709,6,FALSE)</f>
        <v>216</v>
      </c>
      <c r="Q219" s="749"/>
      <c r="R219" s="454">
        <f t="shared" si="302"/>
        <v>235</v>
      </c>
      <c r="S219" s="455">
        <f t="shared" si="340"/>
        <v>106.94722090362133</v>
      </c>
      <c r="T219" s="230">
        <f t="shared" si="304"/>
        <v>0.4550945570366865</v>
      </c>
      <c r="U219" s="264" t="str">
        <f>IFERROR(VLOOKUP($B219,#REF!,8,FALSE),"")</f>
        <v/>
      </c>
      <c r="V219" s="265" t="str">
        <f>IFERROR(VLOOKUP($B219,#REF!,9,FALSE),"")</f>
        <v/>
      </c>
      <c r="W219" s="265" t="str">
        <f>IFERROR(VLOOKUP($B219,#REF!,10,FALSE),"")</f>
        <v/>
      </c>
      <c r="X219" s="265" t="str">
        <f>IFERROR(VLOOKUP($B219,#REF!,11,FALSE),"")</f>
        <v/>
      </c>
      <c r="Y219" s="266" t="str">
        <f>IFERROR(VLOOKUP($B219,#REF!,12,FALSE),"")</f>
        <v/>
      </c>
      <c r="Z219" s="265">
        <f t="shared" si="341"/>
        <v>51660.641577507369</v>
      </c>
      <c r="AA219" s="265">
        <f t="shared" si="342"/>
        <v>10683.337601175082</v>
      </c>
      <c r="AB219" s="265">
        <f t="shared" si="343"/>
        <v>30235.009839955739</v>
      </c>
      <c r="AC219" s="266">
        <f t="shared" si="344"/>
        <v>28144.822504977521</v>
      </c>
      <c r="AD219" s="265">
        <f t="shared" si="315"/>
        <v>51660.641577507369</v>
      </c>
      <c r="AE219" s="265">
        <f t="shared" si="316"/>
        <v>10683.337601175082</v>
      </c>
      <c r="AF219" s="265">
        <f t="shared" si="317"/>
        <v>30235.009839955739</v>
      </c>
      <c r="AG219" s="266">
        <f t="shared" si="318"/>
        <v>28144.822504977521</v>
      </c>
      <c r="AH219" s="265">
        <f t="shared" si="345"/>
        <v>51660.641577507369</v>
      </c>
      <c r="AI219" s="265">
        <f t="shared" si="346"/>
        <v>12814.158984005795</v>
      </c>
      <c r="AJ219" s="265">
        <f t="shared" si="347"/>
        <v>30260.350485175997</v>
      </c>
      <c r="AK219" s="265">
        <f t="shared" si="348"/>
        <v>28168.411316942922</v>
      </c>
      <c r="AL219" s="266">
        <f t="shared" si="349"/>
        <v>122903.56236363208</v>
      </c>
      <c r="AM219" s="347"/>
      <c r="AN219" s="264">
        <f>IFERROR(VLOOKUP($A219,'HH &amp; SI'!$B$4:$Z$494,'HH &amp; SI'!V$503,0),0)</f>
        <v>53147.102133373104</v>
      </c>
      <c r="AO219" s="265">
        <f>IFERROR(VLOOKUP($A219,'HH &amp; SI'!$B$4:$Z$494,'HH &amp; SI'!W$503,0),0)</f>
        <v>12392.107436858571</v>
      </c>
      <c r="AP219" s="265">
        <f>IFERROR(VLOOKUP($A219,'HH &amp; SI'!$B$4:$Z$494,'HH &amp; SI'!X$503,0),0)</f>
        <v>29985.144412220448</v>
      </c>
      <c r="AQ219" s="265">
        <f>IFERROR(VLOOKUP($A219,'HH &amp; SI'!$B$4:$Z$494,'HH &amp; SI'!Y$503,0),0)</f>
        <v>27858.046129960701</v>
      </c>
      <c r="AR219" s="266">
        <f t="shared" si="319"/>
        <v>123382.40011241283</v>
      </c>
      <c r="AS219" s="347"/>
      <c r="AT219" s="324">
        <f>IFERROR(VLOOKUP(A219,'Afton FY16 Final'!$A$5:$BV$572,'Afton FY16 Final'!$BV$587,0),0)</f>
        <v>121843.89026976624</v>
      </c>
      <c r="AU219" s="347"/>
      <c r="AV219" s="454">
        <v>0</v>
      </c>
      <c r="AW219" s="265">
        <f>IFERROR(VLOOKUP($A219,'HH &amp; SI'!$B$4:$EY$503,'HH &amp; SI'!EX$503,0),0)</f>
        <v>1538.5098426465847</v>
      </c>
      <c r="AX219" s="265">
        <f>IFERROR(VLOOKUP($A219,'HH &amp; SI'!$B$4:$EY$503,'HH &amp; SI'!EY$503,0),0)</f>
        <v>121843.89026976624</v>
      </c>
      <c r="AY219" s="265">
        <f>AX219/$AX$582*'update_State Admin 1004(b)'!$B$30*0.01</f>
        <v>1166.1335586954488</v>
      </c>
      <c r="AZ219" s="266">
        <f t="shared" si="320"/>
        <v>120677.75671107079</v>
      </c>
      <c r="BA219" s="264">
        <f t="shared" si="321"/>
        <v>1206.7775671107079</v>
      </c>
      <c r="BB219" s="265">
        <f t="shared" si="322"/>
        <v>119470.97914396008</v>
      </c>
      <c r="BC219" s="342">
        <f t="shared" si="330"/>
        <v>0.98052498881517602</v>
      </c>
      <c r="BD219" s="347"/>
      <c r="BE219" s="377" t="str">
        <f>'Original Title I &amp; II'!AZ219</f>
        <v/>
      </c>
      <c r="BF219" s="244" t="str">
        <f t="shared" si="350"/>
        <v/>
      </c>
      <c r="BG219" s="266">
        <f t="shared" si="314"/>
        <v>119470.97914396008</v>
      </c>
      <c r="BI219" s="203" t="str">
        <f>IFERROR(VLOOKUP(A219,'Title II Hold Harmless'!A$1:B$439,2, FALSE),"")</f>
        <v/>
      </c>
      <c r="BJ219" s="203">
        <f t="shared" si="324"/>
        <v>1589.1624929314146</v>
      </c>
      <c r="BK219" s="203">
        <f t="shared" si="351"/>
        <v>1590.6998357901616</v>
      </c>
      <c r="BL219" s="203" t="str">
        <f t="shared" si="326"/>
        <v/>
      </c>
      <c r="BM219" s="203">
        <f t="shared" si="327"/>
        <v>1590.6998357901616</v>
      </c>
      <c r="BN219" s="200"/>
      <c r="BP219" s="298" t="s">
        <v>1448</v>
      </c>
      <c r="BQ219" s="299" t="str">
        <f t="shared" si="332"/>
        <v>Y</v>
      </c>
      <c r="BR219" s="300" t="s">
        <v>1448</v>
      </c>
      <c r="BT219" s="298" t="str">
        <f t="shared" si="333"/>
        <v>Y</v>
      </c>
      <c r="BU219" s="299" t="str">
        <f t="shared" si="328"/>
        <v>Y</v>
      </c>
      <c r="BV219" s="299" t="str">
        <f t="shared" si="329"/>
        <v>Y</v>
      </c>
      <c r="BW219" s="300" t="str">
        <f t="shared" si="334"/>
        <v>Y</v>
      </c>
      <c r="BY219" s="355">
        <f t="shared" si="335"/>
        <v>0</v>
      </c>
      <c r="BZ219" s="356">
        <f t="shared" si="336"/>
        <v>0</v>
      </c>
      <c r="CA219" s="356">
        <f t="shared" si="337"/>
        <v>0.95</v>
      </c>
      <c r="CB219" s="357">
        <f t="shared" si="338"/>
        <v>0.95</v>
      </c>
      <c r="CD219" s="312">
        <f t="shared" si="339"/>
        <v>214</v>
      </c>
    </row>
    <row r="220" spans="1:82" s="48" customFormat="1" outlineLevel="1" x14ac:dyDescent="0.3">
      <c r="A220" s="202">
        <v>78513000</v>
      </c>
      <c r="B220" s="48">
        <f>VLOOKUP(C220,'NCES ID'!$A$2:$B$3136,2,FALSE)</f>
        <v>400429</v>
      </c>
      <c r="C220" s="48">
        <f>VLOOKUP(A220,'State ID'!$A$2:$B$713,2,FALSE)</f>
        <v>79074</v>
      </c>
      <c r="D220" s="48" t="s">
        <v>118</v>
      </c>
      <c r="E220" s="48" t="s">
        <v>7</v>
      </c>
      <c r="F220" s="755"/>
      <c r="G220" s="755"/>
      <c r="H220" s="755"/>
      <c r="I220" s="755"/>
      <c r="J220" s="755"/>
      <c r="K220" s="755"/>
      <c r="L220" s="454"/>
      <c r="M220" s="455"/>
      <c r="N220" s="456"/>
      <c r="O220" s="209">
        <f>VLOOKUP($C220,'Final SEA Counts'!$A$2:$F$709,5,FALSE)</f>
        <v>409</v>
      </c>
      <c r="P220" s="223">
        <f>VLOOKUP($C220,'Final SEA Counts'!$A$2:$F$709,6,FALSE)</f>
        <v>281</v>
      </c>
      <c r="Q220" s="749"/>
      <c r="R220" s="454">
        <f t="shared" si="302"/>
        <v>409</v>
      </c>
      <c r="S220" s="455">
        <f t="shared" si="340"/>
        <v>139.13041237924813</v>
      </c>
      <c r="T220" s="230">
        <f t="shared" si="304"/>
        <v>0.34017215740647466</v>
      </c>
      <c r="U220" s="264" t="str">
        <f>IFERROR(VLOOKUP($B220,#REF!,8,FALSE),"")</f>
        <v/>
      </c>
      <c r="V220" s="265" t="str">
        <f>IFERROR(VLOOKUP($B220,#REF!,9,FALSE),"")</f>
        <v/>
      </c>
      <c r="W220" s="265" t="str">
        <f>IFERROR(VLOOKUP($B220,#REF!,10,FALSE),"")</f>
        <v/>
      </c>
      <c r="X220" s="265" t="str">
        <f>IFERROR(VLOOKUP($B220,#REF!,11,FALSE),"")</f>
        <v/>
      </c>
      <c r="Y220" s="266" t="str">
        <f>IFERROR(VLOOKUP($B220,#REF!,12,FALSE),"")</f>
        <v/>
      </c>
      <c r="Z220" s="265">
        <f t="shared" si="341"/>
        <v>67206.667978146157</v>
      </c>
      <c r="AA220" s="265">
        <f t="shared" si="342"/>
        <v>13898.230860787955</v>
      </c>
      <c r="AB220" s="265">
        <f t="shared" si="343"/>
        <v>39333.508171423906</v>
      </c>
      <c r="AC220" s="266">
        <f t="shared" si="344"/>
        <v>36614.329277308723</v>
      </c>
      <c r="AD220" s="265">
        <f t="shared" si="315"/>
        <v>67206.667978146157</v>
      </c>
      <c r="AE220" s="265">
        <f t="shared" si="316"/>
        <v>13898.230860787955</v>
      </c>
      <c r="AF220" s="265">
        <f t="shared" si="317"/>
        <v>39333.508171423906</v>
      </c>
      <c r="AG220" s="266">
        <f t="shared" si="318"/>
        <v>36614.329277308723</v>
      </c>
      <c r="AH220" s="265">
        <f t="shared" si="345"/>
        <v>67206.667978146157</v>
      </c>
      <c r="AI220" s="265">
        <f t="shared" si="346"/>
        <v>16029.052243618667</v>
      </c>
      <c r="AJ220" s="265">
        <f t="shared" si="347"/>
        <v>39358.848816644168</v>
      </c>
      <c r="AK220" s="265">
        <f t="shared" si="348"/>
        <v>36637.918089274128</v>
      </c>
      <c r="AL220" s="266">
        <f t="shared" si="349"/>
        <v>159232.48712768313</v>
      </c>
      <c r="AM220" s="347"/>
      <c r="AN220" s="264">
        <f>IFERROR(VLOOKUP($A220,'HH &amp; SI'!$B$4:$Z$494,'HH &amp; SI'!V$503,0),0)</f>
        <v>66289.925405518108</v>
      </c>
      <c r="AO220" s="265">
        <f>IFERROR(VLOOKUP($A220,'HH &amp; SI'!$B$4:$Z$494,'HH &amp; SI'!W$503,0),0)</f>
        <v>15501.113866455804</v>
      </c>
      <c r="AP220" s="265">
        <f>IFERROR(VLOOKUP($A220,'HH &amp; SI'!$B$4:$Z$494,'HH &amp; SI'!X$503,0),0)</f>
        <v>39000.895453738274</v>
      </c>
      <c r="AQ220" s="265">
        <f>IFERROR(VLOOKUP($A220,'HH &amp; SI'!$B$4:$Z$494,'HH &amp; SI'!Y$503,0),0)</f>
        <v>36234.234183551795</v>
      </c>
      <c r="AR220" s="266">
        <f t="shared" si="319"/>
        <v>157026.168909264</v>
      </c>
      <c r="AS220" s="347"/>
      <c r="AT220" s="324">
        <f>IFERROR(VLOOKUP(A220,'Afton FY16 Final'!$A$5:$BV$572,'Afton FY16 Final'!$BV$587,0),0)</f>
        <v>122874.57430436644</v>
      </c>
      <c r="AU220" s="347"/>
      <c r="AV220" s="454">
        <v>0</v>
      </c>
      <c r="AW220" s="265">
        <f>IFERROR(VLOOKUP($A220,'HH &amp; SI'!$B$4:$EY$503,'HH &amp; SI'!EX$503,0),0)</f>
        <v>8795.5226529501087</v>
      </c>
      <c r="AX220" s="265">
        <f>IFERROR(VLOOKUP($A220,'HH &amp; SI'!$B$4:$EY$503,'HH &amp; SI'!EY$503,0),0)</f>
        <v>148230.64625631389</v>
      </c>
      <c r="AY220" s="265">
        <f>AX220/$AX$582*'update_State Admin 1004(b)'!$B$30*0.01</f>
        <v>1418.6737689012657</v>
      </c>
      <c r="AZ220" s="266">
        <f t="shared" si="320"/>
        <v>146811.97248741263</v>
      </c>
      <c r="BA220" s="264">
        <f t="shared" si="321"/>
        <v>1468.1197248741262</v>
      </c>
      <c r="BB220" s="265">
        <f t="shared" si="322"/>
        <v>145343.8527625385</v>
      </c>
      <c r="BC220" s="342">
        <f t="shared" si="330"/>
        <v>1.1828635304364477</v>
      </c>
      <c r="BD220" s="347"/>
      <c r="BE220" s="377" t="str">
        <f>'Original Title I &amp; II'!AZ220</f>
        <v/>
      </c>
      <c r="BF220" s="244" t="str">
        <f t="shared" si="350"/>
        <v/>
      </c>
      <c r="BG220" s="266">
        <f t="shared" si="314"/>
        <v>145343.8527625385</v>
      </c>
      <c r="BI220" s="203" t="str">
        <f>IFERROR(VLOOKUP(A220,'Title II Hold Harmless'!A$1:B$439,2, FALSE),"")</f>
        <v/>
      </c>
      <c r="BJ220" s="203">
        <f t="shared" si="324"/>
        <v>2150.5043369749956</v>
      </c>
      <c r="BK220" s="203">
        <f t="shared" si="351"/>
        <v>2152.5847173639481</v>
      </c>
      <c r="BL220" s="203" t="str">
        <f t="shared" si="326"/>
        <v/>
      </c>
      <c r="BM220" s="203">
        <f t="shared" si="327"/>
        <v>2152.5847173639481</v>
      </c>
      <c r="BN220" s="200"/>
      <c r="BP220" s="298" t="s">
        <v>1448</v>
      </c>
      <c r="BQ220" s="299" t="str">
        <f t="shared" si="332"/>
        <v>Y</v>
      </c>
      <c r="BR220" s="300" t="s">
        <v>1448</v>
      </c>
      <c r="BT220" s="298" t="str">
        <f t="shared" si="333"/>
        <v>Y</v>
      </c>
      <c r="BU220" s="299" t="str">
        <f t="shared" si="328"/>
        <v>Y</v>
      </c>
      <c r="BV220" s="299" t="str">
        <f t="shared" si="329"/>
        <v>Y</v>
      </c>
      <c r="BW220" s="300" t="str">
        <f t="shared" si="334"/>
        <v>Y</v>
      </c>
      <c r="BY220" s="355">
        <f t="shared" si="335"/>
        <v>0</v>
      </c>
      <c r="BZ220" s="356">
        <f t="shared" si="336"/>
        <v>0</v>
      </c>
      <c r="CA220" s="356">
        <f t="shared" si="337"/>
        <v>0.95</v>
      </c>
      <c r="CB220" s="357">
        <f t="shared" si="338"/>
        <v>0.95</v>
      </c>
      <c r="CD220" s="312">
        <f t="shared" si="339"/>
        <v>215</v>
      </c>
    </row>
    <row r="221" spans="1:82" s="48" customFormat="1" outlineLevel="1" x14ac:dyDescent="0.3">
      <c r="A221" s="202">
        <v>78253000</v>
      </c>
      <c r="B221" s="48" t="e">
        <f>VLOOKUP(C221,'NCES ID'!$A$2:$B$3136,2,FALSE)</f>
        <v>#N/A</v>
      </c>
      <c r="C221" s="48">
        <v>92369</v>
      </c>
      <c r="D221" s="48" t="s">
        <v>1264</v>
      </c>
      <c r="E221" s="48" t="s">
        <v>7</v>
      </c>
      <c r="F221" s="755"/>
      <c r="G221" s="755"/>
      <c r="H221" s="755"/>
      <c r="I221" s="755"/>
      <c r="J221" s="755"/>
      <c r="K221" s="755"/>
      <c r="L221" s="454"/>
      <c r="M221" s="455"/>
      <c r="N221" s="456"/>
      <c r="O221" s="209">
        <f>VLOOKUP($C221,'Final SEA Counts'!$A$2:$F$709,5,FALSE)</f>
        <v>86</v>
      </c>
      <c r="P221" s="223">
        <f>VLOOKUP($C221,'Final SEA Counts'!$A$2:$F$709,6,FALSE)</f>
        <v>86</v>
      </c>
      <c r="Q221" s="749"/>
      <c r="R221" s="454">
        <f t="shared" si="302"/>
        <v>86</v>
      </c>
      <c r="S221" s="455">
        <f t="shared" si="340"/>
        <v>42.580837952367752</v>
      </c>
      <c r="T221" s="230">
        <f t="shared" si="304"/>
        <v>0.49512602270195061</v>
      </c>
      <c r="U221" s="264"/>
      <c r="V221" s="265"/>
      <c r="W221" s="265"/>
      <c r="X221" s="265"/>
      <c r="Y221" s="266"/>
      <c r="Z221" s="265">
        <f t="shared" si="341"/>
        <v>20568.588776229786</v>
      </c>
      <c r="AA221" s="265">
        <f t="shared" si="342"/>
        <v>4253.5510819493384</v>
      </c>
      <c r="AB221" s="265">
        <f t="shared" si="343"/>
        <v>12038.013177019415</v>
      </c>
      <c r="AC221" s="266">
        <f t="shared" si="344"/>
        <v>11205.808960315124</v>
      </c>
      <c r="AD221" s="265">
        <f t="shared" si="315"/>
        <v>20568.588776229786</v>
      </c>
      <c r="AE221" s="265">
        <f t="shared" si="316"/>
        <v>4253.5510819493384</v>
      </c>
      <c r="AF221" s="265">
        <f t="shared" si="317"/>
        <v>12038.013177019415</v>
      </c>
      <c r="AG221" s="266">
        <f t="shared" si="318"/>
        <v>11205.808960315124</v>
      </c>
      <c r="AH221" s="265">
        <f t="shared" si="345"/>
        <v>20568.588776229786</v>
      </c>
      <c r="AI221" s="265">
        <f t="shared" si="346"/>
        <v>6384.3724647800509</v>
      </c>
      <c r="AJ221" s="265">
        <f t="shared" si="347"/>
        <v>12063.353822239675</v>
      </c>
      <c r="AK221" s="265">
        <f t="shared" si="348"/>
        <v>11229.397772280527</v>
      </c>
      <c r="AL221" s="266">
        <f t="shared" si="349"/>
        <v>50245.712835530037</v>
      </c>
      <c r="AM221" s="347"/>
      <c r="AN221" s="264">
        <f>IFERROR(VLOOKUP($A221,'HH &amp; SI'!$B$4:$Z$494,'HH &amp; SI'!V$503,0),0)</f>
        <v>20288.019874998427</v>
      </c>
      <c r="AO221" s="265">
        <f>IFERROR(VLOOKUP($A221,'HH &amp; SI'!$B$4:$Z$494,'HH &amp; SI'!W$503,0),0)</f>
        <v>6174.0945776641047</v>
      </c>
      <c r="AP221" s="265">
        <f>IFERROR(VLOOKUP($A221,'HH &amp; SI'!$B$4:$Z$494,'HH &amp; SI'!X$503,0),0)</f>
        <v>11953.642329184819</v>
      </c>
      <c r="AQ221" s="265">
        <f>IFERROR(VLOOKUP($A221,'HH &amp; SI'!$B$4:$Z$494,'HH &amp; SI'!Y$503,0),0)</f>
        <v>11105.670022778544</v>
      </c>
      <c r="AR221" s="266">
        <f t="shared" si="319"/>
        <v>49521.426804625895</v>
      </c>
      <c r="AS221" s="347"/>
      <c r="AT221" s="324">
        <f>IFERROR(VLOOKUP(A221,'Afton FY16 Final'!$A$5:$BV$572,'Afton FY16 Final'!$BV$587,0),0)</f>
        <v>0</v>
      </c>
      <c r="AU221" s="347"/>
      <c r="AV221" s="454">
        <v>0</v>
      </c>
      <c r="AW221" s="265">
        <f>IFERROR(VLOOKUP($A221,'HH &amp; SI'!$B$4:$EY$503,'HH &amp; SI'!EX$503,0),0)</f>
        <v>2773.8486794400742</v>
      </c>
      <c r="AX221" s="265">
        <f>IFERROR(VLOOKUP($A221,'HH &amp; SI'!$B$4:$EY$503,'HH &amp; SI'!EY$503,0),0)</f>
        <v>46747.578125185821</v>
      </c>
      <c r="AY221" s="265">
        <f>AX221/$AX$582*'update_State Admin 1004(b)'!$B$30*0.01</f>
        <v>447.40790464602622</v>
      </c>
      <c r="AZ221" s="266">
        <f t="shared" si="320"/>
        <v>46300.170220539796</v>
      </c>
      <c r="BA221" s="264">
        <f t="shared" si="321"/>
        <v>463.00170220539798</v>
      </c>
      <c r="BB221" s="265">
        <f t="shared" si="322"/>
        <v>45837.168518334402</v>
      </c>
      <c r="BC221" s="342" t="str">
        <f t="shared" si="330"/>
        <v/>
      </c>
      <c r="BD221" s="347"/>
      <c r="BE221" s="377">
        <f>'Original Title I &amp; II'!AZ221</f>
        <v>0</v>
      </c>
      <c r="BF221" s="244"/>
      <c r="BG221" s="266">
        <f t="shared" si="314"/>
        <v>45837.168518334402</v>
      </c>
      <c r="BI221" s="203" t="str">
        <f>IFERROR(VLOOKUP(A221,'Title II Hold Harmless'!A$1:B$439,2, FALSE),"")</f>
        <v/>
      </c>
      <c r="BJ221" s="203">
        <f t="shared" si="324"/>
        <v>626.63394305311169</v>
      </c>
      <c r="BK221" s="203">
        <f t="shared" si="351"/>
        <v>627.24014362837454</v>
      </c>
      <c r="BL221" s="203"/>
      <c r="BM221" s="203">
        <f t="shared" si="327"/>
        <v>627.24014362837454</v>
      </c>
      <c r="BN221" s="200"/>
      <c r="BP221" s="298" t="s">
        <v>1448</v>
      </c>
      <c r="BQ221" s="299" t="str">
        <f t="shared" si="332"/>
        <v>Y</v>
      </c>
      <c r="BR221" s="300" t="s">
        <v>1448</v>
      </c>
      <c r="BT221" s="298" t="str">
        <f t="shared" si="333"/>
        <v>Y</v>
      </c>
      <c r="BU221" s="299" t="str">
        <f t="shared" si="328"/>
        <v>Y</v>
      </c>
      <c r="BV221" s="299" t="str">
        <f t="shared" si="329"/>
        <v>Y</v>
      </c>
      <c r="BW221" s="300" t="str">
        <f t="shared" si="334"/>
        <v>Y</v>
      </c>
      <c r="BY221" s="355">
        <f t="shared" si="335"/>
        <v>0</v>
      </c>
      <c r="BZ221" s="356">
        <f t="shared" si="336"/>
        <v>0</v>
      </c>
      <c r="CA221" s="356">
        <f t="shared" si="337"/>
        <v>0.95</v>
      </c>
      <c r="CB221" s="357">
        <f t="shared" si="338"/>
        <v>0.95</v>
      </c>
      <c r="CD221" s="312">
        <f t="shared" si="339"/>
        <v>216</v>
      </c>
    </row>
    <row r="222" spans="1:82" s="48" customFormat="1" outlineLevel="1" x14ac:dyDescent="0.3">
      <c r="A222" s="202">
        <v>78544000</v>
      </c>
      <c r="B222" s="48">
        <f>VLOOKUP(C222,'NCES ID'!$A$2:$B$3136,2,FALSE)</f>
        <v>400778</v>
      </c>
      <c r="C222" s="48">
        <f>VLOOKUP(A222,'State ID'!$A$2:$B$713,2,FALSE)</f>
        <v>89917</v>
      </c>
      <c r="D222" s="48" t="s">
        <v>123</v>
      </c>
      <c r="E222" s="48" t="s">
        <v>7</v>
      </c>
      <c r="F222" s="755"/>
      <c r="G222" s="755"/>
      <c r="H222" s="755"/>
      <c r="I222" s="755"/>
      <c r="J222" s="755"/>
      <c r="K222" s="755"/>
      <c r="L222" s="454"/>
      <c r="M222" s="455"/>
      <c r="N222" s="456"/>
      <c r="O222" s="209">
        <f>VLOOKUP($C222,'Final SEA Counts'!$A$2:$F$709,5,FALSE)</f>
        <v>440</v>
      </c>
      <c r="P222" s="223">
        <f>VLOOKUP($C222,'Final SEA Counts'!$A$2:$F$709,6,FALSE)</f>
        <v>147</v>
      </c>
      <c r="Q222" s="749"/>
      <c r="R222" s="454">
        <f t="shared" si="302"/>
        <v>440</v>
      </c>
      <c r="S222" s="455">
        <f t="shared" si="340"/>
        <v>72.783525337186745</v>
      </c>
      <c r="T222" s="230">
        <f t="shared" si="304"/>
        <v>0.16541710303906079</v>
      </c>
      <c r="U222" s="264" t="str">
        <f>IFERROR(VLOOKUP($B222,#REF!,8,FALSE),"")</f>
        <v/>
      </c>
      <c r="V222" s="265" t="str">
        <f>IFERROR(VLOOKUP($B222,#REF!,9,FALSE),"")</f>
        <v/>
      </c>
      <c r="W222" s="265" t="str">
        <f>IFERROR(VLOOKUP($B222,#REF!,10,FALSE),"")</f>
        <v/>
      </c>
      <c r="X222" s="265" t="str">
        <f>IFERROR(VLOOKUP($B222,#REF!,11,FALSE),"")</f>
        <v/>
      </c>
      <c r="Y222" s="266" t="str">
        <f>IFERROR(VLOOKUP($B222,#REF!,12,FALSE),"")</f>
        <v/>
      </c>
      <c r="Z222" s="265">
        <f t="shared" si="341"/>
        <v>35157.936629136959</v>
      </c>
      <c r="AA222" s="265">
        <f t="shared" si="342"/>
        <v>7270.6047563552647</v>
      </c>
      <c r="AB222" s="265">
        <f t="shared" si="343"/>
        <v>20576.603918858771</v>
      </c>
      <c r="AC222" s="266">
        <f t="shared" si="344"/>
        <v>19154.11531588748</v>
      </c>
      <c r="AD222" s="265">
        <f t="shared" si="315"/>
        <v>35157.936629136959</v>
      </c>
      <c r="AE222" s="265">
        <f t="shared" si="316"/>
        <v>7270.6047563552647</v>
      </c>
      <c r="AF222" s="265">
        <f t="shared" si="317"/>
        <v>20576.603918858771</v>
      </c>
      <c r="AG222" s="266">
        <f t="shared" si="318"/>
        <v>19154.11531588748</v>
      </c>
      <c r="AH222" s="265">
        <f t="shared" si="345"/>
        <v>35157.936629136959</v>
      </c>
      <c r="AI222" s="265">
        <f t="shared" si="346"/>
        <v>9401.4261391859764</v>
      </c>
      <c r="AJ222" s="265">
        <f t="shared" si="347"/>
        <v>20601.944564079029</v>
      </c>
      <c r="AK222" s="265">
        <f t="shared" si="348"/>
        <v>19177.704127852881</v>
      </c>
      <c r="AL222" s="266">
        <f t="shared" si="349"/>
        <v>84339.011460254842</v>
      </c>
      <c r="AM222" s="347"/>
      <c r="AN222" s="264">
        <f>IFERROR(VLOOKUP($A222,'HH &amp; SI'!$B$4:$Z$494,'HH &amp; SI'!V$503,0),0)</f>
        <v>34678.359553776376</v>
      </c>
      <c r="AO222" s="265">
        <f>IFERROR(VLOOKUP($A222,'HH &amp; SI'!$B$4:$Z$494,'HH &amp; SI'!W$503,0),0)</f>
        <v>9091.7775346707385</v>
      </c>
      <c r="AP222" s="265">
        <f>IFERROR(VLOOKUP($A222,'HH &amp; SI'!$B$4:$Z$494,'HH &amp; SI'!X$503,0),0)</f>
        <v>20414.577921993849</v>
      </c>
      <c r="AQ222" s="265">
        <f>IFERROR(VLOOKUP($A222,'HH &amp; SI'!$B$4:$Z$494,'HH &amp; SI'!Y$503,0),0)</f>
        <v>18966.400349994787</v>
      </c>
      <c r="AR222" s="266">
        <f t="shared" si="319"/>
        <v>83151.115360435739</v>
      </c>
      <c r="AS222" s="347"/>
      <c r="AT222" s="324">
        <f>IFERROR(VLOOKUP(A222,'Afton FY16 Final'!$A$5:$BV$572,'Afton FY16 Final'!$BV$587,0),0)</f>
        <v>75189.752796418863</v>
      </c>
      <c r="AU222" s="347"/>
      <c r="AV222" s="454">
        <v>0</v>
      </c>
      <c r="AW222" s="265">
        <f>IFERROR(VLOOKUP($A222,'HH &amp; SI'!$B$4:$EY$503,'HH &amp; SI'!EX$503,0),0)</f>
        <v>4657.5518198714417</v>
      </c>
      <c r="AX222" s="265">
        <f>IFERROR(VLOOKUP($A222,'HH &amp; SI'!$B$4:$EY$503,'HH &amp; SI'!EY$503,0),0)</f>
        <v>78493.563540564297</v>
      </c>
      <c r="AY222" s="265">
        <f>AX222/$AX$582*'update_State Admin 1004(b)'!$B$30*0.01</f>
        <v>751.23979038740833</v>
      </c>
      <c r="AZ222" s="266">
        <f t="shared" si="320"/>
        <v>77742.323750176889</v>
      </c>
      <c r="BA222" s="264">
        <f t="shared" si="321"/>
        <v>777.42323750176888</v>
      </c>
      <c r="BB222" s="265">
        <f t="shared" si="322"/>
        <v>76964.900512675114</v>
      </c>
      <c r="BC222" s="342">
        <f t="shared" si="330"/>
        <v>1.0236089048073156</v>
      </c>
      <c r="BD222" s="347"/>
      <c r="BE222" s="377" t="str">
        <f>'Original Title I &amp; II'!AZ222</f>
        <v/>
      </c>
      <c r="BF222" s="244" t="str">
        <f t="shared" ref="BF222:BF250" si="352">IF(BE222&lt;0,BB222*BE222/100,"")</f>
        <v/>
      </c>
      <c r="BG222" s="266">
        <f t="shared" si="314"/>
        <v>76964.900512675114</v>
      </c>
      <c r="BI222" s="203" t="str">
        <f>IFERROR(VLOOKUP(A222,'Title II Hold Harmless'!A$1:B$439,2, FALSE),"")</f>
        <v/>
      </c>
      <c r="BJ222" s="203">
        <f t="shared" si="324"/>
        <v>1306.9131651700063</v>
      </c>
      <c r="BK222" s="203">
        <f t="shared" si="351"/>
        <v>1308.1774623267877</v>
      </c>
      <c r="BL222" s="203" t="str">
        <f t="shared" si="326"/>
        <v/>
      </c>
      <c r="BM222" s="203">
        <f t="shared" si="327"/>
        <v>1308.1774623267877</v>
      </c>
      <c r="BN222" s="200"/>
      <c r="BP222" s="298" t="s">
        <v>1448</v>
      </c>
      <c r="BQ222" s="299" t="str">
        <f t="shared" si="332"/>
        <v>Y</v>
      </c>
      <c r="BR222" s="300" t="s">
        <v>1448</v>
      </c>
      <c r="BT222" s="298" t="str">
        <f t="shared" si="333"/>
        <v>Y</v>
      </c>
      <c r="BU222" s="299" t="str">
        <f t="shared" si="328"/>
        <v>Y</v>
      </c>
      <c r="BV222" s="299" t="str">
        <f t="shared" si="329"/>
        <v>Y</v>
      </c>
      <c r="BW222" s="300" t="str">
        <f t="shared" si="334"/>
        <v>Y</v>
      </c>
      <c r="BY222" s="355">
        <f t="shared" si="335"/>
        <v>0</v>
      </c>
      <c r="BZ222" s="356">
        <f t="shared" si="336"/>
        <v>0.9</v>
      </c>
      <c r="CA222" s="356">
        <f t="shared" si="337"/>
        <v>0</v>
      </c>
      <c r="CB222" s="357">
        <f t="shared" si="338"/>
        <v>0.9</v>
      </c>
      <c r="CD222" s="312">
        <f t="shared" si="339"/>
        <v>217</v>
      </c>
    </row>
    <row r="223" spans="1:82" s="48" customFormat="1" outlineLevel="1" x14ac:dyDescent="0.3">
      <c r="A223" s="202">
        <v>78577000</v>
      </c>
      <c r="B223" s="48">
        <f>VLOOKUP(C223,'NCES ID'!$A$2:$B$3136,2,FALSE)</f>
        <v>400822</v>
      </c>
      <c r="C223" s="48">
        <f>VLOOKUP(A223,'State ID'!$A$2:$B$713,2,FALSE)</f>
        <v>90541</v>
      </c>
      <c r="D223" s="48" t="s">
        <v>126</v>
      </c>
      <c r="E223" s="48" t="s">
        <v>7</v>
      </c>
      <c r="F223" s="755"/>
      <c r="G223" s="755"/>
      <c r="H223" s="755"/>
      <c r="I223" s="755"/>
      <c r="J223" s="755"/>
      <c r="K223" s="755"/>
      <c r="L223" s="454"/>
      <c r="M223" s="455"/>
      <c r="N223" s="456"/>
      <c r="O223" s="209">
        <f>VLOOKUP($C223,'Final SEA Counts'!$A$2:$F$709,5,FALSE)</f>
        <v>300</v>
      </c>
      <c r="P223" s="223">
        <f>VLOOKUP($C223,'Final SEA Counts'!$A$2:$F$709,6,FALSE)</f>
        <v>243</v>
      </c>
      <c r="Q223" s="749"/>
      <c r="R223" s="454">
        <f t="shared" si="302"/>
        <v>300</v>
      </c>
      <c r="S223" s="455">
        <f t="shared" si="340"/>
        <v>120.31562351657399</v>
      </c>
      <c r="T223" s="230">
        <f t="shared" si="304"/>
        <v>0.40105207838857998</v>
      </c>
      <c r="U223" s="264" t="str">
        <f>IFERROR(VLOOKUP($B223,#REF!,8,FALSE),"")</f>
        <v/>
      </c>
      <c r="V223" s="265" t="str">
        <f>IFERROR(VLOOKUP($B223,#REF!,9,FALSE),"")</f>
        <v/>
      </c>
      <c r="W223" s="265" t="str">
        <f>IFERROR(VLOOKUP($B223,#REF!,10,FALSE),"")</f>
        <v/>
      </c>
      <c r="X223" s="265" t="str">
        <f>IFERROR(VLOOKUP($B223,#REF!,11,FALSE),"")</f>
        <v/>
      </c>
      <c r="Y223" s="266" t="str">
        <f>IFERROR(VLOOKUP($B223,#REF!,12,FALSE),"")</f>
        <v/>
      </c>
      <c r="Z223" s="265">
        <f t="shared" si="341"/>
        <v>58118.221774695783</v>
      </c>
      <c r="AA223" s="265">
        <f t="shared" si="342"/>
        <v>12018.754801321968</v>
      </c>
      <c r="AB223" s="265">
        <f t="shared" si="343"/>
        <v>34014.386069950204</v>
      </c>
      <c r="AC223" s="266">
        <f t="shared" si="344"/>
        <v>31662.925318099711</v>
      </c>
      <c r="AD223" s="265">
        <f t="shared" si="315"/>
        <v>58118.221774695783</v>
      </c>
      <c r="AE223" s="265">
        <f t="shared" si="316"/>
        <v>12018.754801321968</v>
      </c>
      <c r="AF223" s="265">
        <f t="shared" si="317"/>
        <v>34014.386069950204</v>
      </c>
      <c r="AG223" s="266">
        <f t="shared" si="318"/>
        <v>31662.925318099711</v>
      </c>
      <c r="AH223" s="265">
        <f t="shared" si="345"/>
        <v>58118.221774695783</v>
      </c>
      <c r="AI223" s="265">
        <f t="shared" si="346"/>
        <v>14149.57618415268</v>
      </c>
      <c r="AJ223" s="265">
        <f t="shared" si="347"/>
        <v>34039.726715170465</v>
      </c>
      <c r="AK223" s="265">
        <f t="shared" si="348"/>
        <v>31686.514130065112</v>
      </c>
      <c r="AL223" s="266">
        <f t="shared" si="349"/>
        <v>137994.03880408403</v>
      </c>
      <c r="AM223" s="347"/>
      <c r="AN223" s="264">
        <f>IFERROR(VLOOKUP($A223,'HH &amp; SI'!$B$4:$Z$494,'HH &amp; SI'!V$503,0),0)</f>
        <v>57325.45150726298</v>
      </c>
      <c r="AO223" s="265">
        <f>IFERROR(VLOOKUP($A223,'HH &amp; SI'!$B$4:$Z$494,'HH &amp; SI'!W$503,0),0)</f>
        <v>13683.540876845114</v>
      </c>
      <c r="AP223" s="265">
        <f>IFERROR(VLOOKUP($A223,'HH &amp; SI'!$B$4:$Z$494,'HH &amp; SI'!X$503,0),0)</f>
        <v>33730.148691004775</v>
      </c>
      <c r="AQ223" s="265">
        <f>IFERROR(VLOOKUP($A223,'HH &amp; SI'!$B$4:$Z$494,'HH &amp; SI'!Y$503,0),0)</f>
        <v>31337.385782990845</v>
      </c>
      <c r="AR223" s="266">
        <f t="shared" si="319"/>
        <v>136076.52685810369</v>
      </c>
      <c r="AS223" s="347"/>
      <c r="AT223" s="324">
        <f>IFERROR(VLOOKUP(A223,'Afton FY16 Final'!$A$5:$BV$572,'Afton FY16 Final'!$BV$587,0),0)</f>
        <v>85141.311500797994</v>
      </c>
      <c r="AU223" s="347"/>
      <c r="AV223" s="454">
        <v>0</v>
      </c>
      <c r="AW223" s="265">
        <f>IFERROR(VLOOKUP($A223,'HH &amp; SI'!$B$4:$EY$503,'HH &amp; SI'!EX$503,0),0)</f>
        <v>7622.0682375994365</v>
      </c>
      <c r="AX223" s="265">
        <f>IFERROR(VLOOKUP($A223,'HH &amp; SI'!$B$4:$EY$503,'HH &amp; SI'!EY$503,0),0)</f>
        <v>128454.45862050426</v>
      </c>
      <c r="AY223" s="265">
        <f>AX223/$AX$582*'update_State Admin 1004(b)'!$B$30*0.01</f>
        <v>1229.4014466361414</v>
      </c>
      <c r="AZ223" s="266">
        <f t="shared" si="320"/>
        <v>127225.05717386812</v>
      </c>
      <c r="BA223" s="264">
        <f t="shared" si="321"/>
        <v>1272.2505717386812</v>
      </c>
      <c r="BB223" s="265">
        <f t="shared" si="322"/>
        <v>125952.80660212944</v>
      </c>
      <c r="BC223" s="342">
        <f t="shared" si="330"/>
        <v>1.4793383421272401</v>
      </c>
      <c r="BD223" s="347"/>
      <c r="BE223" s="377" t="str">
        <f>'Original Title I &amp; II'!AZ223</f>
        <v/>
      </c>
      <c r="BF223" s="244" t="str">
        <f t="shared" si="352"/>
        <v/>
      </c>
      <c r="BG223" s="266">
        <f t="shared" si="314"/>
        <v>125952.80660212944</v>
      </c>
      <c r="BI223" s="203" t="str">
        <f>IFERROR(VLOOKUP(A223,'Title II Hold Harmless'!A$1:B$439,2, FALSE),"")</f>
        <v/>
      </c>
      <c r="BJ223" s="203">
        <f t="shared" si="324"/>
        <v>1816.4787934859851</v>
      </c>
      <c r="BK223" s="203">
        <f t="shared" si="351"/>
        <v>1818.2360402833719</v>
      </c>
      <c r="BL223" s="203" t="str">
        <f t="shared" si="326"/>
        <v/>
      </c>
      <c r="BM223" s="203">
        <f t="shared" si="327"/>
        <v>1818.2360402833719</v>
      </c>
      <c r="BN223" s="200"/>
      <c r="BP223" s="298" t="s">
        <v>1448</v>
      </c>
      <c r="BQ223" s="299" t="str">
        <f t="shared" si="332"/>
        <v>Y</v>
      </c>
      <c r="BR223" s="300" t="s">
        <v>1448</v>
      </c>
      <c r="BT223" s="298" t="str">
        <f t="shared" si="333"/>
        <v>Y</v>
      </c>
      <c r="BU223" s="299" t="str">
        <f t="shared" si="328"/>
        <v>Y</v>
      </c>
      <c r="BV223" s="299" t="str">
        <f t="shared" si="329"/>
        <v>Y</v>
      </c>
      <c r="BW223" s="300" t="str">
        <f t="shared" si="334"/>
        <v>Y</v>
      </c>
      <c r="BY223" s="355">
        <f t="shared" si="335"/>
        <v>0</v>
      </c>
      <c r="BZ223" s="356">
        <f t="shared" si="336"/>
        <v>0</v>
      </c>
      <c r="CA223" s="356">
        <f t="shared" si="337"/>
        <v>0.95</v>
      </c>
      <c r="CB223" s="357">
        <f t="shared" si="338"/>
        <v>0.95</v>
      </c>
      <c r="CD223" s="312">
        <f t="shared" si="339"/>
        <v>218</v>
      </c>
    </row>
    <row r="224" spans="1:82" s="48" customFormat="1" outlineLevel="1" x14ac:dyDescent="0.3">
      <c r="A224" s="202">
        <v>78621000</v>
      </c>
      <c r="B224" s="48">
        <f>VLOOKUP(C224,'NCES ID'!$A$2:$B$3136,2,FALSE)</f>
        <v>400610</v>
      </c>
      <c r="C224" s="48">
        <f>VLOOKUP(A224,'State ID'!$A$2:$B$713,2,FALSE)</f>
        <v>81099</v>
      </c>
      <c r="D224" s="48" t="s">
        <v>128</v>
      </c>
      <c r="E224" s="48" t="s">
        <v>7</v>
      </c>
      <c r="F224" s="755"/>
      <c r="G224" s="755"/>
      <c r="H224" s="755"/>
      <c r="I224" s="755"/>
      <c r="J224" s="755"/>
      <c r="K224" s="755"/>
      <c r="L224" s="454"/>
      <c r="M224" s="455"/>
      <c r="N224" s="456"/>
      <c r="O224" s="209">
        <f>VLOOKUP($C224,'Final SEA Counts'!$A$2:$F$709,5,FALSE)</f>
        <v>846</v>
      </c>
      <c r="P224" s="223">
        <f>VLOOKUP($C224,'Final SEA Counts'!$A$2:$F$709,6,FALSE)</f>
        <v>256</v>
      </c>
      <c r="Q224" s="749"/>
      <c r="R224" s="454">
        <f t="shared" si="302"/>
        <v>846</v>
      </c>
      <c r="S224" s="455">
        <f t="shared" si="340"/>
        <v>126.75226181169936</v>
      </c>
      <c r="T224" s="230">
        <f t="shared" si="304"/>
        <v>0.14982536857174863</v>
      </c>
      <c r="U224" s="264" t="str">
        <f>IFERROR(VLOOKUP($B224,#REF!,8,FALSE),"")</f>
        <v/>
      </c>
      <c r="V224" s="265" t="str">
        <f>IFERROR(VLOOKUP($B224,#REF!,9,FALSE),"")</f>
        <v/>
      </c>
      <c r="W224" s="265" t="str">
        <f>IFERROR(VLOOKUP($B224,#REF!,10,FALSE),"")</f>
        <v/>
      </c>
      <c r="X224" s="265" t="str">
        <f>IFERROR(VLOOKUP($B224,#REF!,11,FALSE),"")</f>
        <v/>
      </c>
      <c r="Y224" s="266" t="str">
        <f>IFERROR(VLOOKUP($B224,#REF!,12,FALSE),"")</f>
        <v/>
      </c>
      <c r="Z224" s="265">
        <f t="shared" si="341"/>
        <v>61227.427054823544</v>
      </c>
      <c r="AA224" s="265">
        <f t="shared" si="342"/>
        <v>12661.733453244542</v>
      </c>
      <c r="AB224" s="265">
        <f t="shared" si="343"/>
        <v>35834.08573624384</v>
      </c>
      <c r="AC224" s="266">
        <f t="shared" si="344"/>
        <v>33356.826672565949</v>
      </c>
      <c r="AD224" s="265">
        <f t="shared" si="315"/>
        <v>61227.427054823544</v>
      </c>
      <c r="AE224" s="265" t="str">
        <f t="shared" si="316"/>
        <v/>
      </c>
      <c r="AF224" s="265">
        <f t="shared" si="317"/>
        <v>35834.08573624384</v>
      </c>
      <c r="AG224" s="266">
        <f t="shared" si="318"/>
        <v>33356.826672565949</v>
      </c>
      <c r="AH224" s="265">
        <f t="shared" si="345"/>
        <v>61227.427054823544</v>
      </c>
      <c r="AI224" s="265" t="str">
        <f t="shared" si="346"/>
        <v/>
      </c>
      <c r="AJ224" s="265">
        <f t="shared" si="347"/>
        <v>35859.426381464102</v>
      </c>
      <c r="AK224" s="265">
        <f t="shared" si="348"/>
        <v>33380.415484531353</v>
      </c>
      <c r="AL224" s="266">
        <f t="shared" si="349"/>
        <v>130467.26892081898</v>
      </c>
      <c r="AM224" s="347"/>
      <c r="AN224" s="264">
        <f>IFERROR(VLOOKUP($A224,'HH &amp; SI'!$B$4:$Z$494,'HH &amp; SI'!V$503,0),0)</f>
        <v>66686.111327236766</v>
      </c>
      <c r="AO224" s="265">
        <f>IFERROR(VLOOKUP($A224,'HH &amp; SI'!$B$4:$Z$494,'HH &amp; SI'!W$503,0),0)</f>
        <v>14179.83237978794</v>
      </c>
      <c r="AP224" s="265">
        <f>IFERROR(VLOOKUP($A224,'HH &amp; SI'!$B$4:$Z$494,'HH &amp; SI'!X$503,0),0)</f>
        <v>35533.298899308342</v>
      </c>
      <c r="AQ224" s="265">
        <f>IFERROR(VLOOKUP($A224,'HH &amp; SI'!$B$4:$Z$494,'HH &amp; SI'!Y$503,0),0)</f>
        <v>34067.141965958464</v>
      </c>
      <c r="AR224" s="266">
        <f t="shared" si="319"/>
        <v>150466.38457229151</v>
      </c>
      <c r="AS224" s="347"/>
      <c r="AT224" s="324">
        <f>IFERROR(VLOOKUP(A224,'Afton FY16 Final'!$A$5:$BV$572,'Afton FY16 Final'!$BV$587,0),0)</f>
        <v>173331.53616931109</v>
      </c>
      <c r="AU224" s="347"/>
      <c r="AV224" s="454">
        <v>0</v>
      </c>
      <c r="AW224" s="265">
        <f>IFERROR(VLOOKUP($A224,'HH &amp; SI'!$B$4:$EY$503,'HH &amp; SI'!EX$503,0),0)</f>
        <v>0</v>
      </c>
      <c r="AX224" s="265">
        <f>IFERROR(VLOOKUP($A224,'HH &amp; SI'!$B$4:$EY$503,'HH &amp; SI'!EY$503,0),0)</f>
        <v>150466.38457229151</v>
      </c>
      <c r="AY224" s="265">
        <f>AX224/$AX$582*'update_State Admin 1004(b)'!$B$30*0.01</f>
        <v>1440.0713906691722</v>
      </c>
      <c r="AZ224" s="266">
        <f t="shared" si="320"/>
        <v>149026.31318162233</v>
      </c>
      <c r="BA224" s="264">
        <f t="shared" si="321"/>
        <v>1490.2631318162234</v>
      </c>
      <c r="BB224" s="265">
        <f t="shared" si="322"/>
        <v>147536.0500498061</v>
      </c>
      <c r="BC224" s="342">
        <f t="shared" si="330"/>
        <v>0.85117834475136811</v>
      </c>
      <c r="BD224" s="347"/>
      <c r="BE224" s="377" t="str">
        <f>'Original Title I &amp; II'!AZ224</f>
        <v/>
      </c>
      <c r="BF224" s="244" t="str">
        <f t="shared" si="352"/>
        <v/>
      </c>
      <c r="BG224" s="266">
        <f t="shared" si="314"/>
        <v>147536.0500498061</v>
      </c>
      <c r="BI224" s="203" t="str">
        <f>IFERROR(VLOOKUP(A224,'Title II Hold Harmless'!A$1:B$439,2, FALSE),"")</f>
        <v/>
      </c>
      <c r="BJ224" s="203">
        <f t="shared" si="324"/>
        <v>2340.1607635628839</v>
      </c>
      <c r="BK224" s="203">
        <f t="shared" si="351"/>
        <v>2342.424616034979</v>
      </c>
      <c r="BL224" s="203" t="str">
        <f t="shared" si="326"/>
        <v/>
      </c>
      <c r="BM224" s="203">
        <f t="shared" si="327"/>
        <v>2342.424616034979</v>
      </c>
      <c r="BN224" s="200"/>
      <c r="BP224" s="298" t="s">
        <v>1448</v>
      </c>
      <c r="BQ224" s="299" t="str">
        <f t="shared" si="332"/>
        <v>Y</v>
      </c>
      <c r="BR224" s="300" t="s">
        <v>1448</v>
      </c>
      <c r="BT224" s="298" t="str">
        <f t="shared" si="333"/>
        <v>Y</v>
      </c>
      <c r="BU224" s="299" t="str">
        <f t="shared" si="328"/>
        <v>N</v>
      </c>
      <c r="BV224" s="299" t="str">
        <f t="shared" si="329"/>
        <v>Y</v>
      </c>
      <c r="BW224" s="300" t="str">
        <f t="shared" si="334"/>
        <v>Y</v>
      </c>
      <c r="BY224" s="355">
        <f t="shared" si="335"/>
        <v>0.85</v>
      </c>
      <c r="BZ224" s="356">
        <f t="shared" si="336"/>
        <v>0</v>
      </c>
      <c r="CA224" s="356">
        <f t="shared" si="337"/>
        <v>0</v>
      </c>
      <c r="CB224" s="357">
        <f t="shared" si="338"/>
        <v>0.85</v>
      </c>
      <c r="CD224" s="312">
        <f t="shared" si="339"/>
        <v>219</v>
      </c>
    </row>
    <row r="225" spans="1:82" s="48" customFormat="1" outlineLevel="1" x14ac:dyDescent="0.3">
      <c r="A225" s="202">
        <v>78202000</v>
      </c>
      <c r="B225" s="48">
        <f>VLOOKUP(C225,'NCES ID'!$A$2:$B$3136,2,FALSE)</f>
        <v>400849</v>
      </c>
      <c r="C225" s="48">
        <f>VLOOKUP(A225,'State ID'!$A$2:$B$713,2,FALSE)</f>
        <v>91170</v>
      </c>
      <c r="D225" s="48" t="s">
        <v>138</v>
      </c>
      <c r="E225" s="48" t="s">
        <v>7</v>
      </c>
      <c r="F225" s="755"/>
      <c r="G225" s="755"/>
      <c r="H225" s="755"/>
      <c r="I225" s="755"/>
      <c r="J225" s="755"/>
      <c r="K225" s="755"/>
      <c r="L225" s="454"/>
      <c r="M225" s="455"/>
      <c r="N225" s="456"/>
      <c r="O225" s="209">
        <f>VLOOKUP($C225,'Final SEA Counts'!$A$2:$F$709,5,FALSE)</f>
        <v>321</v>
      </c>
      <c r="P225" s="223">
        <f>VLOOKUP($C225,'Final SEA Counts'!$A$2:$F$709,6,FALSE)</f>
        <v>244</v>
      </c>
      <c r="Q225" s="749"/>
      <c r="R225" s="454">
        <f t="shared" si="302"/>
        <v>321</v>
      </c>
      <c r="S225" s="455">
        <f t="shared" si="340"/>
        <v>120.81074953927595</v>
      </c>
      <c r="T225" s="230">
        <f t="shared" si="304"/>
        <v>0.3763574752002366</v>
      </c>
      <c r="U225" s="264" t="str">
        <f>IFERROR(VLOOKUP($B225,#REF!,8,FALSE),"")</f>
        <v/>
      </c>
      <c r="V225" s="265" t="str">
        <f>IFERROR(VLOOKUP($B225,#REF!,9,FALSE),"")</f>
        <v/>
      </c>
      <c r="W225" s="265" t="str">
        <f>IFERROR(VLOOKUP($B225,#REF!,10,FALSE),"")</f>
        <v/>
      </c>
      <c r="X225" s="265" t="str">
        <f>IFERROR(VLOOKUP($B225,#REF!,11,FALSE),"")</f>
        <v/>
      </c>
      <c r="Y225" s="266" t="str">
        <f>IFERROR(VLOOKUP($B225,#REF!,12,FALSE),"")</f>
        <v/>
      </c>
      <c r="Z225" s="265">
        <f t="shared" si="341"/>
        <v>58357.391411628691</v>
      </c>
      <c r="AA225" s="265">
        <f t="shared" si="342"/>
        <v>12068.214697623704</v>
      </c>
      <c r="AB225" s="265">
        <f t="shared" si="343"/>
        <v>34154.362967357411</v>
      </c>
      <c r="AC225" s="266">
        <f t="shared" si="344"/>
        <v>31793.225422289423</v>
      </c>
      <c r="AD225" s="265">
        <f t="shared" si="315"/>
        <v>58357.391411628691</v>
      </c>
      <c r="AE225" s="265">
        <f t="shared" si="316"/>
        <v>12068.214697623704</v>
      </c>
      <c r="AF225" s="265">
        <f t="shared" si="317"/>
        <v>34154.362967357411</v>
      </c>
      <c r="AG225" s="266">
        <f t="shared" si="318"/>
        <v>31793.225422289423</v>
      </c>
      <c r="AH225" s="265">
        <f t="shared" si="345"/>
        <v>58357.391411628691</v>
      </c>
      <c r="AI225" s="265">
        <f t="shared" si="346"/>
        <v>14199.036080454416</v>
      </c>
      <c r="AJ225" s="265">
        <f t="shared" si="347"/>
        <v>34179.703612577672</v>
      </c>
      <c r="AK225" s="265">
        <f t="shared" si="348"/>
        <v>31816.814234254824</v>
      </c>
      <c r="AL225" s="266">
        <f t="shared" si="349"/>
        <v>138552.9453389156</v>
      </c>
      <c r="AM225" s="347"/>
      <c r="AN225" s="264">
        <f>IFERROR(VLOOKUP($A225,'HH &amp; SI'!$B$4:$Z$494,'HH &amp; SI'!V$503,0),0)</f>
        <v>57561.358715111804</v>
      </c>
      <c r="AO225" s="265">
        <f>IFERROR(VLOOKUP($A225,'HH &amp; SI'!$B$4:$Z$494,'HH &amp; SI'!W$503,0),0)</f>
        <v>13731.371744992764</v>
      </c>
      <c r="AP225" s="265">
        <f>IFERROR(VLOOKUP($A225,'HH &amp; SI'!$B$4:$Z$494,'HH &amp; SI'!X$503,0),0)</f>
        <v>33868.852553181976</v>
      </c>
      <c r="AQ225" s="265">
        <f>IFERROR(VLOOKUP($A225,'HH &amp; SI'!$B$4:$Z$494,'HH &amp; SI'!Y$503,0),0)</f>
        <v>31466.250214584554</v>
      </c>
      <c r="AR225" s="266">
        <f t="shared" si="319"/>
        <v>136627.8332278711</v>
      </c>
      <c r="AS225" s="347"/>
      <c r="AT225" s="324">
        <f>IFERROR(VLOOKUP(A225,'Afton FY16 Final'!$A$5:$BV$572,'Afton FY16 Final'!$BV$587,0),0)</f>
        <v>79383.383131101771</v>
      </c>
      <c r="AU225" s="347"/>
      <c r="AV225" s="454">
        <v>0</v>
      </c>
      <c r="AW225" s="265">
        <f>IFERROR(VLOOKUP($A225,'HH &amp; SI'!$B$4:$EY$503,'HH &amp; SI'!EX$503,0),0)</f>
        <v>7652.9486169507727</v>
      </c>
      <c r="AX225" s="265">
        <f>IFERROR(VLOOKUP($A225,'HH &amp; SI'!$B$4:$EY$503,'HH &amp; SI'!EY$503,0),0)</f>
        <v>128974.88461092033</v>
      </c>
      <c r="AY225" s="265">
        <f>AX225/$AX$582*'update_State Admin 1004(b)'!$B$30*0.01</f>
        <v>1234.382297222066</v>
      </c>
      <c r="AZ225" s="266">
        <f t="shared" si="320"/>
        <v>127740.50231369826</v>
      </c>
      <c r="BA225" s="264">
        <f t="shared" si="321"/>
        <v>1277.4050231369827</v>
      </c>
      <c r="BB225" s="265">
        <f t="shared" si="322"/>
        <v>126463.09729056129</v>
      </c>
      <c r="BC225" s="342">
        <f t="shared" si="330"/>
        <v>1.5930676207350258</v>
      </c>
      <c r="BD225" s="347"/>
      <c r="BE225" s="377" t="str">
        <f>'Original Title I &amp; II'!AZ225</f>
        <v/>
      </c>
      <c r="BF225" s="244" t="str">
        <f t="shared" si="352"/>
        <v/>
      </c>
      <c r="BG225" s="266">
        <f t="shared" si="314"/>
        <v>126463.09729056129</v>
      </c>
      <c r="BI225" s="203" t="str">
        <f>IFERROR(VLOOKUP(A225,'Title II Hold Harmless'!A$1:B$439,2, FALSE),"")</f>
        <v/>
      </c>
      <c r="BJ225" s="203">
        <f t="shared" si="324"/>
        <v>1839.8612284741121</v>
      </c>
      <c r="BK225" s="203">
        <f t="shared" si="351"/>
        <v>1841.6410952487568</v>
      </c>
      <c r="BL225" s="203" t="str">
        <f t="shared" si="326"/>
        <v/>
      </c>
      <c r="BM225" s="203">
        <f t="shared" si="327"/>
        <v>1841.6410952487568</v>
      </c>
      <c r="BN225" s="200"/>
      <c r="BP225" s="298" t="s">
        <v>1448</v>
      </c>
      <c r="BQ225" s="299" t="str">
        <f t="shared" si="332"/>
        <v>Y</v>
      </c>
      <c r="BR225" s="300" t="s">
        <v>1448</v>
      </c>
      <c r="BT225" s="298" t="str">
        <f t="shared" si="333"/>
        <v>Y</v>
      </c>
      <c r="BU225" s="299" t="str">
        <f t="shared" si="328"/>
        <v>Y</v>
      </c>
      <c r="BV225" s="299" t="str">
        <f t="shared" si="329"/>
        <v>Y</v>
      </c>
      <c r="BW225" s="300" t="str">
        <f t="shared" si="334"/>
        <v>Y</v>
      </c>
      <c r="BY225" s="355">
        <f t="shared" si="335"/>
        <v>0</v>
      </c>
      <c r="BZ225" s="356">
        <f t="shared" si="336"/>
        <v>0</v>
      </c>
      <c r="CA225" s="356">
        <f t="shared" si="337"/>
        <v>0.95</v>
      </c>
      <c r="CB225" s="357">
        <f t="shared" si="338"/>
        <v>0.95</v>
      </c>
      <c r="CD225" s="312">
        <f t="shared" si="339"/>
        <v>220</v>
      </c>
    </row>
    <row r="226" spans="1:82" s="48" customFormat="1" outlineLevel="1" x14ac:dyDescent="0.3">
      <c r="A226" s="202">
        <v>78541000</v>
      </c>
      <c r="B226" s="48">
        <f>VLOOKUP(C226,'NCES ID'!$A$2:$B$3136,2,FALSE)</f>
        <v>400763</v>
      </c>
      <c r="C226" s="48">
        <f>VLOOKUP(A226,'State ID'!$A$2:$B$713,2,FALSE)</f>
        <v>89850</v>
      </c>
      <c r="D226" s="48" t="s">
        <v>139</v>
      </c>
      <c r="E226" s="48" t="s">
        <v>7</v>
      </c>
      <c r="F226" s="755"/>
      <c r="G226" s="755"/>
      <c r="H226" s="755"/>
      <c r="I226" s="755"/>
      <c r="J226" s="755"/>
      <c r="K226" s="755"/>
      <c r="L226" s="454"/>
      <c r="M226" s="455"/>
      <c r="N226" s="456"/>
      <c r="O226" s="209">
        <f>VLOOKUP($C226,'Final SEA Counts'!$A$2:$F$709,5,FALSE)</f>
        <v>712</v>
      </c>
      <c r="P226" s="223">
        <f>VLOOKUP($C226,'Final SEA Counts'!$A$2:$F$709,6,FALSE)</f>
        <v>292</v>
      </c>
      <c r="Q226" s="749"/>
      <c r="R226" s="454">
        <f t="shared" si="302"/>
        <v>712</v>
      </c>
      <c r="S226" s="455">
        <f t="shared" si="340"/>
        <v>144.57679862896958</v>
      </c>
      <c r="T226" s="230">
        <f t="shared" si="304"/>
        <v>0.203057301445182</v>
      </c>
      <c r="U226" s="264" t="str">
        <f>IFERROR(VLOOKUP($B226,#REF!,8,FALSE),"")</f>
        <v/>
      </c>
      <c r="V226" s="265" t="str">
        <f>IFERROR(VLOOKUP($B226,#REF!,9,FALSE),"")</f>
        <v/>
      </c>
      <c r="W226" s="265" t="str">
        <f>IFERROR(VLOOKUP($B226,#REF!,10,FALSE),"")</f>
        <v/>
      </c>
      <c r="X226" s="265" t="str">
        <f>IFERROR(VLOOKUP($B226,#REF!,11,FALSE),"")</f>
        <v/>
      </c>
      <c r="Y226" s="266" t="str">
        <f>IFERROR(VLOOKUP($B226,#REF!,12,FALSE),"")</f>
        <v/>
      </c>
      <c r="Z226" s="265">
        <f t="shared" si="341"/>
        <v>69837.533984408117</v>
      </c>
      <c r="AA226" s="265">
        <f t="shared" si="342"/>
        <v>14442.289720107057</v>
      </c>
      <c r="AB226" s="265">
        <f t="shared" si="343"/>
        <v>40873.254042903136</v>
      </c>
      <c r="AC226" s="266">
        <f t="shared" si="344"/>
        <v>38047.630423395538</v>
      </c>
      <c r="AD226" s="265">
        <f t="shared" si="315"/>
        <v>69837.533984408117</v>
      </c>
      <c r="AE226" s="265">
        <f t="shared" si="316"/>
        <v>14442.289720107057</v>
      </c>
      <c r="AF226" s="265">
        <f t="shared" si="317"/>
        <v>40873.254042903136</v>
      </c>
      <c r="AG226" s="266">
        <f t="shared" si="318"/>
        <v>38047.630423395538</v>
      </c>
      <c r="AH226" s="265">
        <f t="shared" si="345"/>
        <v>69837.533984408117</v>
      </c>
      <c r="AI226" s="265">
        <f t="shared" si="346"/>
        <v>16573.111102937772</v>
      </c>
      <c r="AJ226" s="265">
        <f t="shared" si="347"/>
        <v>40898.594688123398</v>
      </c>
      <c r="AK226" s="265">
        <f t="shared" si="348"/>
        <v>38071.219235360943</v>
      </c>
      <c r="AL226" s="266">
        <f t="shared" si="349"/>
        <v>165380.45901083021</v>
      </c>
      <c r="AM226" s="347"/>
      <c r="AN226" s="264">
        <f>IFERROR(VLOOKUP($A226,'HH &amp; SI'!$B$4:$Z$494,'HH &amp; SI'!V$503,0),0)</f>
        <v>68884.904691855132</v>
      </c>
      <c r="AO226" s="265">
        <f>IFERROR(VLOOKUP($A226,'HH &amp; SI'!$B$4:$Z$494,'HH &amp; SI'!W$503,0),0)</f>
        <v>16027.253416079951</v>
      </c>
      <c r="AP226" s="265">
        <f>IFERROR(VLOOKUP($A226,'HH &amp; SI'!$B$4:$Z$494,'HH &amp; SI'!X$503,0),0)</f>
        <v>40526.637937687447</v>
      </c>
      <c r="AQ226" s="265">
        <f>IFERROR(VLOOKUP($A226,'HH &amp; SI'!$B$4:$Z$494,'HH &amp; SI'!Y$503,0),0)</f>
        <v>37651.74293108259</v>
      </c>
      <c r="AR226" s="266">
        <f t="shared" si="319"/>
        <v>163090.53897670511</v>
      </c>
      <c r="AS226" s="347"/>
      <c r="AT226" s="324">
        <f>IFERROR(VLOOKUP(A226,'Afton FY16 Final'!$A$5:$BV$572,'Afton FY16 Final'!$BV$587,0),0)</f>
        <v>139994.78112999036</v>
      </c>
      <c r="AU226" s="347"/>
      <c r="AV226" s="454">
        <v>0</v>
      </c>
      <c r="AW226" s="265">
        <f>IFERROR(VLOOKUP($A226,'HH &amp; SI'!$B$4:$EY$503,'HH &amp; SI'!EX$503,0),0)</f>
        <v>9135.2068258147629</v>
      </c>
      <c r="AX226" s="265">
        <f>IFERROR(VLOOKUP($A226,'HH &amp; SI'!$B$4:$EY$503,'HH &amp; SI'!EY$503,0),0)</f>
        <v>153955.33215089035</v>
      </c>
      <c r="AY226" s="265">
        <f>AX226/$AX$582*'update_State Admin 1004(b)'!$B$30*0.01</f>
        <v>1473.4631253464329</v>
      </c>
      <c r="AZ226" s="266">
        <f t="shared" si="320"/>
        <v>152481.86902554391</v>
      </c>
      <c r="BA226" s="264">
        <f t="shared" si="321"/>
        <v>1524.8186902554392</v>
      </c>
      <c r="BB226" s="265">
        <f t="shared" si="322"/>
        <v>150957.05033528848</v>
      </c>
      <c r="BC226" s="342">
        <f t="shared" si="330"/>
        <v>1.0783048419149228</v>
      </c>
      <c r="BD226" s="347"/>
      <c r="BE226" s="377" t="str">
        <f>'Original Title I &amp; II'!AZ226</f>
        <v/>
      </c>
      <c r="BF226" s="244" t="str">
        <f t="shared" si="352"/>
        <v/>
      </c>
      <c r="BG226" s="266">
        <f t="shared" si="314"/>
        <v>150957.05033528848</v>
      </c>
      <c r="BI226" s="203" t="str">
        <f>IFERROR(VLOOKUP(A226,'Title II Hold Harmless'!A$1:B$439,2, FALSE),"")</f>
        <v/>
      </c>
      <c r="BJ226" s="203">
        <f t="shared" si="324"/>
        <v>2465.6566994877985</v>
      </c>
      <c r="BK226" s="203">
        <f t="shared" si="351"/>
        <v>2468.0419557066812</v>
      </c>
      <c r="BL226" s="203" t="str">
        <f t="shared" si="326"/>
        <v/>
      </c>
      <c r="BM226" s="203">
        <f t="shared" si="327"/>
        <v>2468.0419557066812</v>
      </c>
      <c r="BN226" s="200"/>
      <c r="BP226" s="298" t="s">
        <v>1448</v>
      </c>
      <c r="BQ226" s="299" t="str">
        <f t="shared" si="332"/>
        <v>Y</v>
      </c>
      <c r="BR226" s="300" t="s">
        <v>1448</v>
      </c>
      <c r="BT226" s="298" t="str">
        <f t="shared" si="333"/>
        <v>Y</v>
      </c>
      <c r="BU226" s="299" t="str">
        <f t="shared" si="328"/>
        <v>Y</v>
      </c>
      <c r="BV226" s="299" t="str">
        <f t="shared" si="329"/>
        <v>Y</v>
      </c>
      <c r="BW226" s="300" t="str">
        <f t="shared" si="334"/>
        <v>Y</v>
      </c>
      <c r="BY226" s="355">
        <f t="shared" si="335"/>
        <v>0</v>
      </c>
      <c r="BZ226" s="356">
        <f t="shared" si="336"/>
        <v>0.9</v>
      </c>
      <c r="CA226" s="356">
        <f t="shared" si="337"/>
        <v>0</v>
      </c>
      <c r="CB226" s="357">
        <f t="shared" si="338"/>
        <v>0.9</v>
      </c>
      <c r="CD226" s="312">
        <f t="shared" si="339"/>
        <v>221</v>
      </c>
    </row>
    <row r="227" spans="1:82" s="48" customFormat="1" outlineLevel="1" x14ac:dyDescent="0.3">
      <c r="A227" s="202">
        <v>78223000</v>
      </c>
      <c r="B227" s="48" t="e">
        <f>VLOOKUP(C227,'NCES ID'!$A$2:$B$3136,2,FALSE)</f>
        <v>#N/A</v>
      </c>
      <c r="C227" s="48">
        <f>VLOOKUP(A227,'State ID'!$A$2:$B$713,2,FALSE)</f>
        <v>91939</v>
      </c>
      <c r="D227" s="48" t="s">
        <v>140</v>
      </c>
      <c r="E227" s="48" t="s">
        <v>7</v>
      </c>
      <c r="F227" s="755"/>
      <c r="G227" s="755"/>
      <c r="H227" s="755"/>
      <c r="I227" s="755"/>
      <c r="J227" s="755"/>
      <c r="K227" s="755"/>
      <c r="L227" s="454"/>
      <c r="M227" s="455"/>
      <c r="N227" s="456"/>
      <c r="O227" s="209">
        <f>VLOOKUP($C227,'Final SEA Counts'!$A$2:$F$709,5,FALSE)</f>
        <v>169</v>
      </c>
      <c r="P227" s="223">
        <f>VLOOKUP($C227,'Final SEA Counts'!$A$2:$F$709,6,FALSE)</f>
        <v>157</v>
      </c>
      <c r="Q227" s="749"/>
      <c r="R227" s="454">
        <f t="shared" si="302"/>
        <v>169</v>
      </c>
      <c r="S227" s="455">
        <f t="shared" si="340"/>
        <v>77.734785564206248</v>
      </c>
      <c r="T227" s="230">
        <f t="shared" si="304"/>
        <v>0.45996914535033284</v>
      </c>
      <c r="U227" s="264" t="str">
        <f>IFERROR(VLOOKUP($B227,#REF!,8,FALSE),"")</f>
        <v/>
      </c>
      <c r="V227" s="265" t="str">
        <f>IFERROR(VLOOKUP($B227,#REF!,9,FALSE),"")</f>
        <v/>
      </c>
      <c r="W227" s="265" t="str">
        <f>IFERROR(VLOOKUP($B227,#REF!,10,FALSE),"")</f>
        <v/>
      </c>
      <c r="X227" s="265" t="str">
        <f>IFERROR(VLOOKUP($B227,#REF!,11,FALSE),"")</f>
        <v/>
      </c>
      <c r="Y227" s="266" t="str">
        <f>IFERROR(VLOOKUP($B227,#REF!,12,FALSE),"")</f>
        <v/>
      </c>
      <c r="Z227" s="265">
        <f t="shared" si="341"/>
        <v>37549.632998466004</v>
      </c>
      <c r="AA227" s="265">
        <f t="shared" si="342"/>
        <v>7765.2037193726301</v>
      </c>
      <c r="AB227" s="265">
        <f t="shared" si="343"/>
        <v>21976.372892930794</v>
      </c>
      <c r="AC227" s="266">
        <f t="shared" si="344"/>
        <v>20457.116357784587</v>
      </c>
      <c r="AD227" s="265">
        <f t="shared" si="315"/>
        <v>37549.632998466004</v>
      </c>
      <c r="AE227" s="265">
        <f t="shared" si="316"/>
        <v>7765.2037193726301</v>
      </c>
      <c r="AF227" s="265">
        <f t="shared" si="317"/>
        <v>21976.372892930794</v>
      </c>
      <c r="AG227" s="266">
        <f t="shared" si="318"/>
        <v>20457.116357784587</v>
      </c>
      <c r="AH227" s="265">
        <f t="shared" si="345"/>
        <v>37549.632998466004</v>
      </c>
      <c r="AI227" s="265">
        <f t="shared" si="346"/>
        <v>9896.0251022033426</v>
      </c>
      <c r="AJ227" s="265">
        <f t="shared" si="347"/>
        <v>22001.713538151052</v>
      </c>
      <c r="AK227" s="265">
        <f t="shared" si="348"/>
        <v>20480.705169749988</v>
      </c>
      <c r="AL227" s="266">
        <f t="shared" si="349"/>
        <v>89928.076808570375</v>
      </c>
      <c r="AM227" s="347"/>
      <c r="AN227" s="264">
        <f>IFERROR(VLOOKUP($A227,'HH &amp; SI'!$B$4:$Z$494,'HH &amp; SI'!V$503,0),0)</f>
        <v>37037.431632264568</v>
      </c>
      <c r="AO227" s="265">
        <f>IFERROR(VLOOKUP($A227,'HH &amp; SI'!$B$4:$Z$494,'HH &amp; SI'!W$503,0),0)</f>
        <v>9570.0862161472378</v>
      </c>
      <c r="AP227" s="265">
        <f>IFERROR(VLOOKUP($A227,'HH &amp; SI'!$B$4:$Z$494,'HH &amp; SI'!X$503,0),0)</f>
        <v>21801.61654376582</v>
      </c>
      <c r="AQ227" s="265">
        <f>IFERROR(VLOOKUP($A227,'HH &amp; SI'!$B$4:$Z$494,'HH &amp; SI'!Y$503,0),0)</f>
        <v>20255.044665931877</v>
      </c>
      <c r="AR227" s="266">
        <f t="shared" si="319"/>
        <v>88664.179058109497</v>
      </c>
      <c r="AS227" s="347"/>
      <c r="AT227" s="324">
        <f>IFERROR(VLOOKUP(A227,'Afton FY16 Final'!$A$5:$BV$572,'Afton FY16 Final'!$BV$587,0),0)</f>
        <v>47771.411249124474</v>
      </c>
      <c r="AU227" s="347"/>
      <c r="AV227" s="454">
        <v>0</v>
      </c>
      <c r="AW227" s="265">
        <f>IFERROR(VLOOKUP($A227,'HH &amp; SI'!$B$4:$EY$503,'HH &amp; SI'!EX$503,0),0)</f>
        <v>4966.3556133847451</v>
      </c>
      <c r="AX227" s="265">
        <f>IFERROR(VLOOKUP($A227,'HH &amp; SI'!$B$4:$EY$503,'HH &amp; SI'!EY$503,0),0)</f>
        <v>83697.823444724752</v>
      </c>
      <c r="AY227" s="265">
        <f>AX227/$AX$582*'update_State Admin 1004(b)'!$B$30*0.01</f>
        <v>801.04829624665172</v>
      </c>
      <c r="AZ227" s="266">
        <f t="shared" si="320"/>
        <v>82896.775148478104</v>
      </c>
      <c r="BA227" s="264">
        <f t="shared" si="321"/>
        <v>828.96775148478105</v>
      </c>
      <c r="BB227" s="265">
        <f t="shared" si="322"/>
        <v>82067.807396993318</v>
      </c>
      <c r="BC227" s="342">
        <f t="shared" si="330"/>
        <v>1.717927213182286</v>
      </c>
      <c r="BD227" s="347"/>
      <c r="BE227" s="377" t="str">
        <f>'Original Title I &amp; II'!AZ227</f>
        <v/>
      </c>
      <c r="BF227" s="244" t="str">
        <f t="shared" si="352"/>
        <v/>
      </c>
      <c r="BG227" s="266">
        <f t="shared" si="314"/>
        <v>82067.807396993318</v>
      </c>
      <c r="BI227" s="203" t="str">
        <f>IFERROR(VLOOKUP(A227,'Title II Hold Harmless'!A$1:B$439,2, FALSE),"")</f>
        <v/>
      </c>
      <c r="BJ227" s="203">
        <f t="shared" si="324"/>
        <v>1153.6288644057447</v>
      </c>
      <c r="BK227" s="203">
        <f t="shared" si="351"/>
        <v>1154.74487557781</v>
      </c>
      <c r="BL227" s="203" t="str">
        <f t="shared" si="326"/>
        <v/>
      </c>
      <c r="BM227" s="203">
        <f t="shared" si="327"/>
        <v>1154.74487557781</v>
      </c>
      <c r="BN227" s="200"/>
      <c r="BP227" s="298" t="s">
        <v>1448</v>
      </c>
      <c r="BQ227" s="299" t="str">
        <f t="shared" si="332"/>
        <v>Y</v>
      </c>
      <c r="BR227" s="300" t="s">
        <v>1448</v>
      </c>
      <c r="BT227" s="298" t="str">
        <f t="shared" si="333"/>
        <v>Y</v>
      </c>
      <c r="BU227" s="299" t="str">
        <f t="shared" si="328"/>
        <v>Y</v>
      </c>
      <c r="BV227" s="299" t="str">
        <f t="shared" si="329"/>
        <v>Y</v>
      </c>
      <c r="BW227" s="300" t="str">
        <f t="shared" si="334"/>
        <v>Y</v>
      </c>
      <c r="BY227" s="355">
        <f t="shared" si="335"/>
        <v>0</v>
      </c>
      <c r="BZ227" s="356">
        <f t="shared" si="336"/>
        <v>0</v>
      </c>
      <c r="CA227" s="356">
        <f t="shared" si="337"/>
        <v>0.95</v>
      </c>
      <c r="CB227" s="357">
        <f t="shared" si="338"/>
        <v>0.95</v>
      </c>
      <c r="CD227" s="312">
        <f t="shared" si="339"/>
        <v>222</v>
      </c>
    </row>
    <row r="228" spans="1:82" s="48" customFormat="1" outlineLevel="1" x14ac:dyDescent="0.3">
      <c r="A228" s="202">
        <v>78222000</v>
      </c>
      <c r="B228" s="48" t="e">
        <f>VLOOKUP(C228,'NCES ID'!$A$2:$B$3136,2,FALSE)</f>
        <v>#N/A</v>
      </c>
      <c r="C228" s="48">
        <f>VLOOKUP(A228,'State ID'!$A$2:$B$713,2,FALSE)</f>
        <v>91938</v>
      </c>
      <c r="D228" s="48" t="s">
        <v>140</v>
      </c>
      <c r="E228" s="48" t="s">
        <v>7</v>
      </c>
      <c r="F228" s="755"/>
      <c r="G228" s="755"/>
      <c r="H228" s="755"/>
      <c r="I228" s="755"/>
      <c r="J228" s="755"/>
      <c r="K228" s="755"/>
      <c r="L228" s="454"/>
      <c r="M228" s="455"/>
      <c r="N228" s="456"/>
      <c r="O228" s="209">
        <f>VLOOKUP($C228,'Final SEA Counts'!$A$2:$F$709,5,FALSE)</f>
        <v>219</v>
      </c>
      <c r="P228" s="223">
        <f>VLOOKUP($C228,'Final SEA Counts'!$A$2:$F$709,6,FALSE)</f>
        <v>204</v>
      </c>
      <c r="Q228" s="749"/>
      <c r="R228" s="454">
        <f t="shared" si="302"/>
        <v>219</v>
      </c>
      <c r="S228" s="455">
        <f t="shared" si="340"/>
        <v>101.00570863119792</v>
      </c>
      <c r="T228" s="230">
        <f t="shared" si="304"/>
        <v>0.46121328142099505</v>
      </c>
      <c r="U228" s="264" t="str">
        <f>IFERROR(VLOOKUP($B228,#REF!,8,FALSE),"")</f>
        <v/>
      </c>
      <c r="V228" s="265" t="str">
        <f>IFERROR(VLOOKUP($B228,#REF!,9,FALSE),"")</f>
        <v/>
      </c>
      <c r="W228" s="265" t="str">
        <f>IFERROR(VLOOKUP($B228,#REF!,10,FALSE),"")</f>
        <v/>
      </c>
      <c r="X228" s="265" t="str">
        <f>IFERROR(VLOOKUP($B228,#REF!,11,FALSE),"")</f>
        <v/>
      </c>
      <c r="Y228" s="266" t="str">
        <f>IFERROR(VLOOKUP($B228,#REF!,12,FALSE),"")</f>
        <v/>
      </c>
      <c r="Z228" s="265">
        <f t="shared" si="341"/>
        <v>48790.605934312509</v>
      </c>
      <c r="AA228" s="265">
        <f t="shared" si="342"/>
        <v>10089.818845554244</v>
      </c>
      <c r="AB228" s="265">
        <f t="shared" si="343"/>
        <v>28555.28707106931</v>
      </c>
      <c r="AC228" s="266">
        <f t="shared" si="344"/>
        <v>26581.221254700991</v>
      </c>
      <c r="AD228" s="265">
        <f t="shared" si="315"/>
        <v>48790.605934312509</v>
      </c>
      <c r="AE228" s="265">
        <f t="shared" si="316"/>
        <v>10089.818845554244</v>
      </c>
      <c r="AF228" s="265">
        <f t="shared" si="317"/>
        <v>28555.28707106931</v>
      </c>
      <c r="AG228" s="266">
        <f t="shared" si="318"/>
        <v>26581.221254700991</v>
      </c>
      <c r="AH228" s="265">
        <f t="shared" si="345"/>
        <v>48790.605934312509</v>
      </c>
      <c r="AI228" s="265">
        <f t="shared" si="346"/>
        <v>12220.640228384957</v>
      </c>
      <c r="AJ228" s="265">
        <f t="shared" si="347"/>
        <v>28580.627716289568</v>
      </c>
      <c r="AK228" s="265">
        <f t="shared" si="348"/>
        <v>26604.810066666392</v>
      </c>
      <c r="AL228" s="266">
        <f t="shared" si="349"/>
        <v>116196.68394565344</v>
      </c>
      <c r="AM228" s="347"/>
      <c r="AN228" s="264">
        <f>IFERROR(VLOOKUP($A228,'HH &amp; SI'!$B$4:$Z$494,'HH &amp; SI'!V$503,0),0)</f>
        <v>48125.070401159042</v>
      </c>
      <c r="AO228" s="265">
        <f>IFERROR(VLOOKUP($A228,'HH &amp; SI'!$B$4:$Z$494,'HH &amp; SI'!W$503,0),0)</f>
        <v>11818.137019086773</v>
      </c>
      <c r="AP228" s="265">
        <f>IFERROR(VLOOKUP($A228,'HH &amp; SI'!$B$4:$Z$494,'HH &amp; SI'!X$503,0),0)</f>
        <v>28320.698066094083</v>
      </c>
      <c r="AQ228" s="265">
        <f>IFERROR(VLOOKUP($A228,'HH &amp; SI'!$B$4:$Z$494,'HH &amp; SI'!Y$503,0),0)</f>
        <v>26311.672950836193</v>
      </c>
      <c r="AR228" s="266">
        <f t="shared" si="319"/>
        <v>114575.5784371761</v>
      </c>
      <c r="AS228" s="347"/>
      <c r="AT228" s="324">
        <f>IFERROR(VLOOKUP(A228,'Afton FY16 Final'!$A$5:$BV$572,'Afton FY16 Final'!$BV$587,0),0)</f>
        <v>57208.241977056961</v>
      </c>
      <c r="AU228" s="347"/>
      <c r="AV228" s="454">
        <v>0</v>
      </c>
      <c r="AW228" s="265">
        <f>IFERROR(VLOOKUP($A228,'HH &amp; SI'!$B$4:$EY$503,'HH &amp; SI'!EX$503,0),0)</f>
        <v>6417.7334428974427</v>
      </c>
      <c r="AX228" s="265">
        <f>IFERROR(VLOOKUP($A228,'HH &amp; SI'!$B$4:$EY$503,'HH &amp; SI'!EY$503,0),0)</f>
        <v>108157.84499427865</v>
      </c>
      <c r="AY228" s="265">
        <f>AX228/$AX$582*'update_State Admin 1004(b)'!$B$30*0.01</f>
        <v>1035.1482737850936</v>
      </c>
      <c r="AZ228" s="266">
        <f t="shared" si="320"/>
        <v>107122.69672049356</v>
      </c>
      <c r="BA228" s="264">
        <f t="shared" si="321"/>
        <v>1071.2269672049356</v>
      </c>
      <c r="BB228" s="265">
        <f t="shared" si="322"/>
        <v>106051.46975328863</v>
      </c>
      <c r="BC228" s="342">
        <f t="shared" si="330"/>
        <v>1.853779561969759</v>
      </c>
      <c r="BD228" s="347"/>
      <c r="BE228" s="377" t="str">
        <f>'Original Title I &amp; II'!AZ228</f>
        <v/>
      </c>
      <c r="BF228" s="244" t="str">
        <f t="shared" si="352"/>
        <v/>
      </c>
      <c r="BG228" s="266">
        <f t="shared" si="314"/>
        <v>106051.46975328863</v>
      </c>
      <c r="BI228" s="203" t="str">
        <f>IFERROR(VLOOKUP(A228,'Title II Hold Harmless'!A$1:B$439,2, FALSE),"")</f>
        <v/>
      </c>
      <c r="BJ228" s="203">
        <f t="shared" si="324"/>
        <v>1498.5059997939436</v>
      </c>
      <c r="BK228" s="203">
        <f t="shared" si="351"/>
        <v>1499.955642299238</v>
      </c>
      <c r="BL228" s="203" t="str">
        <f t="shared" si="326"/>
        <v/>
      </c>
      <c r="BM228" s="203">
        <f t="shared" si="327"/>
        <v>1499.955642299238</v>
      </c>
      <c r="BN228" s="200"/>
      <c r="BP228" s="298" t="s">
        <v>1448</v>
      </c>
      <c r="BQ228" s="299" t="str">
        <f t="shared" si="332"/>
        <v>Y</v>
      </c>
      <c r="BR228" s="300" t="s">
        <v>1448</v>
      </c>
      <c r="BT228" s="298" t="str">
        <f t="shared" si="333"/>
        <v>Y</v>
      </c>
      <c r="BU228" s="299" t="str">
        <f t="shared" si="328"/>
        <v>Y</v>
      </c>
      <c r="BV228" s="299" t="str">
        <f t="shared" si="329"/>
        <v>Y</v>
      </c>
      <c r="BW228" s="300" t="str">
        <f t="shared" si="334"/>
        <v>Y</v>
      </c>
      <c r="BY228" s="355">
        <f t="shared" si="335"/>
        <v>0</v>
      </c>
      <c r="BZ228" s="356">
        <f t="shared" si="336"/>
        <v>0</v>
      </c>
      <c r="CA228" s="356">
        <f t="shared" si="337"/>
        <v>0.95</v>
      </c>
      <c r="CB228" s="357">
        <f t="shared" si="338"/>
        <v>0.95</v>
      </c>
      <c r="CD228" s="312">
        <f t="shared" si="339"/>
        <v>223</v>
      </c>
    </row>
    <row r="229" spans="1:82" s="48" customFormat="1" outlineLevel="1" x14ac:dyDescent="0.3">
      <c r="A229" s="202">
        <v>78509000</v>
      </c>
      <c r="B229" s="48">
        <f>VLOOKUP(C229,'NCES ID'!$A$2:$B$3136,2,FALSE)</f>
        <v>400425</v>
      </c>
      <c r="C229" s="48">
        <f>VLOOKUP(A229,'State ID'!$A$2:$B$713,2,FALSE)</f>
        <v>87401</v>
      </c>
      <c r="D229" s="48" t="s">
        <v>141</v>
      </c>
      <c r="E229" s="48" t="s">
        <v>7</v>
      </c>
      <c r="F229" s="755"/>
      <c r="G229" s="755"/>
      <c r="H229" s="755"/>
      <c r="I229" s="755"/>
      <c r="J229" s="755"/>
      <c r="K229" s="755"/>
      <c r="L229" s="454"/>
      <c r="M229" s="455"/>
      <c r="N229" s="456"/>
      <c r="O229" s="209">
        <f>VLOOKUP($C229,'Final SEA Counts'!$A$2:$F$709,5,FALSE)</f>
        <v>643</v>
      </c>
      <c r="P229" s="223">
        <f>VLOOKUP($C229,'Final SEA Counts'!$A$2:$F$709,6,FALSE)</f>
        <v>371</v>
      </c>
      <c r="Q229" s="749"/>
      <c r="R229" s="454">
        <f t="shared" si="302"/>
        <v>643</v>
      </c>
      <c r="S229" s="455">
        <f t="shared" si="340"/>
        <v>183.69175442242368</v>
      </c>
      <c r="T229" s="230">
        <f t="shared" si="304"/>
        <v>0.28567924482492019</v>
      </c>
      <c r="U229" s="264" t="str">
        <f>IFERROR(VLOOKUP($B229,#REF!,8,FALSE),"")</f>
        <v/>
      </c>
      <c r="V229" s="265" t="str">
        <f>IFERROR(VLOOKUP($B229,#REF!,9,FALSE),"")</f>
        <v/>
      </c>
      <c r="W229" s="265" t="str">
        <f>IFERROR(VLOOKUP($B229,#REF!,10,FALSE),"")</f>
        <v/>
      </c>
      <c r="X229" s="265" t="str">
        <f>IFERROR(VLOOKUP($B229,#REF!,11,FALSE),"")</f>
        <v/>
      </c>
      <c r="Y229" s="266" t="str">
        <f>IFERROR(VLOOKUP($B229,#REF!,12,FALSE),"")</f>
        <v/>
      </c>
      <c r="Z229" s="265">
        <f t="shared" si="341"/>
        <v>88731.935302107566</v>
      </c>
      <c r="AA229" s="265">
        <f t="shared" si="342"/>
        <v>18349.62152794424</v>
      </c>
      <c r="AB229" s="265">
        <f t="shared" si="343"/>
        <v>51931.428938072131</v>
      </c>
      <c r="AC229" s="266">
        <f t="shared" si="344"/>
        <v>48341.338654382693</v>
      </c>
      <c r="AD229" s="265">
        <f t="shared" si="315"/>
        <v>88731.935302107566</v>
      </c>
      <c r="AE229" s="265">
        <f t="shared" si="316"/>
        <v>18349.62152794424</v>
      </c>
      <c r="AF229" s="265">
        <f t="shared" si="317"/>
        <v>51931.428938072131</v>
      </c>
      <c r="AG229" s="266">
        <f t="shared" si="318"/>
        <v>48341.338654382693</v>
      </c>
      <c r="AH229" s="265">
        <f t="shared" si="345"/>
        <v>88731.935302107566</v>
      </c>
      <c r="AI229" s="265">
        <f t="shared" si="346"/>
        <v>20480.442910774953</v>
      </c>
      <c r="AJ229" s="265">
        <f t="shared" si="347"/>
        <v>51956.769583292393</v>
      </c>
      <c r="AK229" s="265">
        <f t="shared" si="348"/>
        <v>48364.927466348097</v>
      </c>
      <c r="AL229" s="266">
        <f t="shared" si="349"/>
        <v>209534.07526252302</v>
      </c>
      <c r="AM229" s="347"/>
      <c r="AN229" s="264">
        <f>IFERROR(VLOOKUP($A229,'HH &amp; SI'!$B$4:$Z$494,'HH &amp; SI'!V$503,0),0)</f>
        <v>87521.574111911817</v>
      </c>
      <c r="AO229" s="265">
        <f>IFERROR(VLOOKUP($A229,'HH &amp; SI'!$B$4:$Z$494,'HH &amp; SI'!W$503,0),0)</f>
        <v>19805.891999744283</v>
      </c>
      <c r="AP229" s="265">
        <f>IFERROR(VLOOKUP($A229,'HH &amp; SI'!$B$4:$Z$494,'HH &amp; SI'!X$503,0),0)</f>
        <v>51484.243049686025</v>
      </c>
      <c r="AQ229" s="265">
        <f>IFERROR(VLOOKUP($A229,'HH &amp; SI'!$B$4:$Z$494,'HH &amp; SI'!Y$503,0),0)</f>
        <v>47832.033026985599</v>
      </c>
      <c r="AR229" s="266">
        <f t="shared" si="319"/>
        <v>206643.74218832771</v>
      </c>
      <c r="AS229" s="347"/>
      <c r="AT229" s="324">
        <f>IFERROR(VLOOKUP(A229,'Afton FY16 Final'!$A$5:$BV$572,'Afton FY16 Final'!$BV$587,0),0)</f>
        <v>191241.17766650865</v>
      </c>
      <c r="AU229" s="347"/>
      <c r="AV229" s="454">
        <v>0</v>
      </c>
      <c r="AW229" s="265">
        <f>IFERROR(VLOOKUP($A229,'HH &amp; SI'!$B$4:$EY$503,'HH &amp; SI'!EX$503,0),0)</f>
        <v>11574.756794570101</v>
      </c>
      <c r="AX229" s="265">
        <f>IFERROR(VLOOKUP($A229,'HH &amp; SI'!$B$4:$EY$503,'HH &amp; SI'!EY$503,0),0)</f>
        <v>195068.98539375761</v>
      </c>
      <c r="AY229" s="265">
        <f>AX229/$AX$582*'update_State Admin 1004(b)'!$B$30*0.01</f>
        <v>1866.9503216344528</v>
      </c>
      <c r="AZ229" s="266">
        <f t="shared" si="320"/>
        <v>193202.03507212317</v>
      </c>
      <c r="BA229" s="264">
        <f t="shared" si="321"/>
        <v>1932.0203507212318</v>
      </c>
      <c r="BB229" s="265">
        <f t="shared" si="322"/>
        <v>191270.01472140194</v>
      </c>
      <c r="BC229" s="342">
        <f t="shared" si="330"/>
        <v>1.0001507889422412</v>
      </c>
      <c r="BD229" s="347"/>
      <c r="BE229" s="377" t="str">
        <f>'Original Title I &amp; II'!AZ229</f>
        <v/>
      </c>
      <c r="BF229" s="244" t="str">
        <f t="shared" si="352"/>
        <v/>
      </c>
      <c r="BG229" s="266">
        <f t="shared" si="314"/>
        <v>191270.01472140194</v>
      </c>
      <c r="BI229" s="203" t="str">
        <f>IFERROR(VLOOKUP(A229,'Title II Hold Harmless'!A$1:B$439,2, FALSE),"")</f>
        <v/>
      </c>
      <c r="BJ229" s="203">
        <f t="shared" si="324"/>
        <v>2922.1752001080877</v>
      </c>
      <c r="BK229" s="203">
        <f t="shared" si="351"/>
        <v>2925.0020886080843</v>
      </c>
      <c r="BL229" s="203" t="str">
        <f t="shared" si="326"/>
        <v/>
      </c>
      <c r="BM229" s="203">
        <f t="shared" si="327"/>
        <v>2925.0020886080843</v>
      </c>
      <c r="BN229" s="200"/>
      <c r="BP229" s="298" t="s">
        <v>1448</v>
      </c>
      <c r="BQ229" s="299" t="str">
        <f t="shared" si="332"/>
        <v>Y</v>
      </c>
      <c r="BR229" s="300" t="s">
        <v>1448</v>
      </c>
      <c r="BT229" s="298" t="str">
        <f t="shared" si="333"/>
        <v>Y</v>
      </c>
      <c r="BU229" s="299" t="str">
        <f t="shared" si="328"/>
        <v>Y</v>
      </c>
      <c r="BV229" s="299" t="str">
        <f t="shared" si="329"/>
        <v>Y</v>
      </c>
      <c r="BW229" s="300" t="str">
        <f t="shared" si="334"/>
        <v>Y</v>
      </c>
      <c r="BY229" s="355">
        <f t="shared" si="335"/>
        <v>0</v>
      </c>
      <c r="BZ229" s="356">
        <f t="shared" si="336"/>
        <v>0.9</v>
      </c>
      <c r="CA229" s="356">
        <f t="shared" si="337"/>
        <v>0</v>
      </c>
      <c r="CB229" s="357">
        <f t="shared" si="338"/>
        <v>0.9</v>
      </c>
      <c r="CD229" s="312">
        <f t="shared" si="339"/>
        <v>224</v>
      </c>
    </row>
    <row r="230" spans="1:82" s="48" customFormat="1" outlineLevel="1" x14ac:dyDescent="0.3">
      <c r="A230" s="202">
        <v>78971000</v>
      </c>
      <c r="B230" s="48">
        <f>VLOOKUP(C230,'NCES ID'!$A$2:$B$3136,2,FALSE)</f>
        <v>400653</v>
      </c>
      <c r="C230" s="48">
        <f>VLOOKUP(A230,'State ID'!$A$2:$B$713,2,FALSE)</f>
        <v>79981</v>
      </c>
      <c r="D230" s="48" t="s">
        <v>144</v>
      </c>
      <c r="E230" s="48" t="s">
        <v>7</v>
      </c>
      <c r="F230" s="755"/>
      <c r="G230" s="755"/>
      <c r="H230" s="755"/>
      <c r="I230" s="755"/>
      <c r="J230" s="755"/>
      <c r="K230" s="755"/>
      <c r="L230" s="454"/>
      <c r="M230" s="455"/>
      <c r="N230" s="456"/>
      <c r="O230" s="209">
        <f>VLOOKUP($C230,'Final SEA Counts'!$A$2:$F$709,5,FALSE)</f>
        <v>418</v>
      </c>
      <c r="P230" s="223">
        <f>VLOOKUP($C230,'Final SEA Counts'!$A$2:$F$709,6,FALSE)</f>
        <v>202</v>
      </c>
      <c r="Q230" s="749"/>
      <c r="R230" s="454">
        <f t="shared" si="302"/>
        <v>418</v>
      </c>
      <c r="S230" s="455">
        <f t="shared" si="340"/>
        <v>100.01545658579403</v>
      </c>
      <c r="T230" s="230">
        <f t="shared" si="304"/>
        <v>0.2392714272387417</v>
      </c>
      <c r="U230" s="264" t="str">
        <f>IFERROR(VLOOKUP($B230,#REF!,8,FALSE),"")</f>
        <v/>
      </c>
      <c r="V230" s="265" t="str">
        <f>IFERROR(VLOOKUP($B230,#REF!,9,FALSE),"")</f>
        <v/>
      </c>
      <c r="W230" s="265" t="str">
        <f>IFERROR(VLOOKUP($B230,#REF!,10,FALSE),"")</f>
        <v/>
      </c>
      <c r="X230" s="265" t="str">
        <f>IFERROR(VLOOKUP($B230,#REF!,11,FALSE),"")</f>
        <v/>
      </c>
      <c r="Y230" s="266" t="str">
        <f>IFERROR(VLOOKUP($B230,#REF!,12,FALSE),"")</f>
        <v/>
      </c>
      <c r="Z230" s="265">
        <f t="shared" si="341"/>
        <v>48312.266660446709</v>
      </c>
      <c r="AA230" s="265">
        <f t="shared" si="342"/>
        <v>9990.8990529507719</v>
      </c>
      <c r="AB230" s="265">
        <f t="shared" si="343"/>
        <v>28275.333276254907</v>
      </c>
      <c r="AC230" s="266">
        <f t="shared" si="344"/>
        <v>26320.621046321572</v>
      </c>
      <c r="AD230" s="265">
        <f t="shared" si="315"/>
        <v>48312.266660446709</v>
      </c>
      <c r="AE230" s="265">
        <f t="shared" si="316"/>
        <v>9990.8990529507719</v>
      </c>
      <c r="AF230" s="265">
        <f t="shared" si="317"/>
        <v>28275.333276254907</v>
      </c>
      <c r="AG230" s="266">
        <f t="shared" si="318"/>
        <v>26320.621046321572</v>
      </c>
      <c r="AH230" s="265">
        <f t="shared" si="345"/>
        <v>48312.266660446709</v>
      </c>
      <c r="AI230" s="265">
        <f t="shared" si="346"/>
        <v>12121.720435781484</v>
      </c>
      <c r="AJ230" s="265">
        <f t="shared" si="347"/>
        <v>28300.673921475165</v>
      </c>
      <c r="AK230" s="265">
        <f t="shared" si="348"/>
        <v>26344.209858286973</v>
      </c>
      <c r="AL230" s="266">
        <f t="shared" si="349"/>
        <v>115078.87087599034</v>
      </c>
      <c r="AM230" s="347"/>
      <c r="AN230" s="264">
        <f>IFERROR(VLOOKUP($A230,'HH &amp; SI'!$B$4:$Z$494,'HH &amp; SI'!V$503,0),0)</f>
        <v>53364.583891636445</v>
      </c>
      <c r="AO230" s="265">
        <f>IFERROR(VLOOKUP($A230,'HH &amp; SI'!$B$4:$Z$494,'HH &amp; SI'!W$503,0),0)</f>
        <v>12553.000345631444</v>
      </c>
      <c r="AP230" s="265">
        <f>IFERROR(VLOOKUP($A230,'HH &amp; SI'!$B$4:$Z$494,'HH &amp; SI'!X$503,0),0)</f>
        <v>28961.586527663283</v>
      </c>
      <c r="AQ230" s="265">
        <f>IFERROR(VLOOKUP($A230,'HH &amp; SI'!$B$4:$Z$494,'HH &amp; SI'!Y$503,0),0)</f>
        <v>26053.944087648779</v>
      </c>
      <c r="AR230" s="266">
        <f t="shared" si="319"/>
        <v>120933.11485257995</v>
      </c>
      <c r="AS230" s="347"/>
      <c r="AT230" s="324">
        <f>IFERROR(VLOOKUP(A230,'Afton FY16 Final'!$A$5:$BV$572,'Afton FY16 Final'!$BV$587,0),0)</f>
        <v>117585.25079847188</v>
      </c>
      <c r="AU230" s="347"/>
      <c r="AV230" s="454">
        <v>0</v>
      </c>
      <c r="AW230" s="265">
        <f>IFERROR(VLOOKUP($A230,'HH &amp; SI'!$B$4:$EY$503,'HH &amp; SI'!EX$503,0),0)</f>
        <v>3347.8640541080676</v>
      </c>
      <c r="AX230" s="265">
        <f>IFERROR(VLOOKUP($A230,'HH &amp; SI'!$B$4:$EY$503,'HH &amp; SI'!EY$503,0),0)</f>
        <v>117585.25079847188</v>
      </c>
      <c r="AY230" s="265">
        <f>AX230/$AX$582*'update_State Admin 1004(b)'!$B$30*0.01</f>
        <v>1125.3753196826744</v>
      </c>
      <c r="AZ230" s="266">
        <f t="shared" si="320"/>
        <v>116459.87547878921</v>
      </c>
      <c r="BA230" s="264">
        <f t="shared" si="321"/>
        <v>1164.5987547878922</v>
      </c>
      <c r="BB230" s="265">
        <f t="shared" si="322"/>
        <v>115295.27672400132</v>
      </c>
      <c r="BC230" s="342">
        <f t="shared" si="330"/>
        <v>0.98052498881517614</v>
      </c>
      <c r="BD230" s="347"/>
      <c r="BE230" s="377" t="str">
        <f>'Original Title I &amp; II'!AZ230</f>
        <v/>
      </c>
      <c r="BF230" s="244" t="str">
        <f t="shared" si="352"/>
        <v/>
      </c>
      <c r="BG230" s="266">
        <f t="shared" si="314"/>
        <v>115295.27672400132</v>
      </c>
      <c r="BI230" s="203" t="str">
        <f>IFERROR(VLOOKUP(A230,'Title II Hold Harmless'!A$1:B$439,2, FALSE),"")</f>
        <v/>
      </c>
      <c r="BJ230" s="203">
        <f t="shared" si="324"/>
        <v>1645.6978549852015</v>
      </c>
      <c r="BK230" s="203">
        <f t="shared" si="351"/>
        <v>1647.2898896929612</v>
      </c>
      <c r="BL230" s="203" t="str">
        <f t="shared" si="326"/>
        <v/>
      </c>
      <c r="BM230" s="203">
        <f t="shared" si="327"/>
        <v>1647.2898896929612</v>
      </c>
      <c r="BN230" s="200"/>
      <c r="BP230" s="298" t="s">
        <v>1448</v>
      </c>
      <c r="BQ230" s="299" t="str">
        <f t="shared" si="332"/>
        <v>Y</v>
      </c>
      <c r="BR230" s="300" t="s">
        <v>1448</v>
      </c>
      <c r="BT230" s="298" t="str">
        <f t="shared" si="333"/>
        <v>Y</v>
      </c>
      <c r="BU230" s="299" t="str">
        <f t="shared" si="328"/>
        <v>Y</v>
      </c>
      <c r="BV230" s="299" t="str">
        <f t="shared" si="329"/>
        <v>Y</v>
      </c>
      <c r="BW230" s="300" t="str">
        <f t="shared" si="334"/>
        <v>Y</v>
      </c>
      <c r="BY230" s="355">
        <f t="shared" si="335"/>
        <v>0</v>
      </c>
      <c r="BZ230" s="356">
        <f t="shared" si="336"/>
        <v>0.9</v>
      </c>
      <c r="CA230" s="356">
        <f t="shared" si="337"/>
        <v>0</v>
      </c>
      <c r="CB230" s="357">
        <f t="shared" si="338"/>
        <v>0.9</v>
      </c>
      <c r="CD230" s="312">
        <f t="shared" si="339"/>
        <v>225</v>
      </c>
    </row>
    <row r="231" spans="1:82" s="48" customFormat="1" outlineLevel="1" x14ac:dyDescent="0.3">
      <c r="A231" s="202">
        <v>78742000</v>
      </c>
      <c r="B231" s="48">
        <f>VLOOKUP(C231,'NCES ID'!$A$2:$B$3136,2,FALSE)</f>
        <v>400638</v>
      </c>
      <c r="C231" s="48">
        <f>VLOOKUP(A231,'State ID'!$A$2:$B$713,2,FALSE)</f>
        <v>81045</v>
      </c>
      <c r="D231" s="48" t="s">
        <v>145</v>
      </c>
      <c r="E231" s="48" t="s">
        <v>7</v>
      </c>
      <c r="F231" s="755"/>
      <c r="G231" s="755"/>
      <c r="H231" s="755"/>
      <c r="I231" s="755"/>
      <c r="J231" s="755"/>
      <c r="K231" s="755"/>
      <c r="L231" s="454"/>
      <c r="M231" s="455"/>
      <c r="N231" s="456"/>
      <c r="O231" s="209">
        <f>VLOOKUP($C231,'Final SEA Counts'!$A$2:$F$709,5,FALSE)</f>
        <v>678</v>
      </c>
      <c r="P231" s="223">
        <f>VLOOKUP($C231,'Final SEA Counts'!$A$2:$F$709,6,FALSE)</f>
        <v>191</v>
      </c>
      <c r="Q231" s="749"/>
      <c r="R231" s="454">
        <f t="shared" si="302"/>
        <v>678</v>
      </c>
      <c r="S231" s="455">
        <f t="shared" si="340"/>
        <v>94.569070336072571</v>
      </c>
      <c r="T231" s="230">
        <f t="shared" si="304"/>
        <v>0.13948240462547576</v>
      </c>
      <c r="U231" s="264" t="str">
        <f>IFERROR(VLOOKUP($B231,#REF!,8,FALSE),"")</f>
        <v/>
      </c>
      <c r="V231" s="265" t="str">
        <f>IFERROR(VLOOKUP($B231,#REF!,9,FALSE),"")</f>
        <v/>
      </c>
      <c r="W231" s="265" t="str">
        <f>IFERROR(VLOOKUP($B231,#REF!,10,FALSE),"")</f>
        <v/>
      </c>
      <c r="X231" s="265" t="str">
        <f>IFERROR(VLOOKUP($B231,#REF!,11,FALSE),"")</f>
        <v/>
      </c>
      <c r="Y231" s="266" t="str">
        <f>IFERROR(VLOOKUP($B231,#REF!,12,FALSE),"")</f>
        <v/>
      </c>
      <c r="Z231" s="265">
        <f t="shared" si="341"/>
        <v>45681.400654184756</v>
      </c>
      <c r="AA231" s="265">
        <f t="shared" si="342"/>
        <v>9446.8401936316714</v>
      </c>
      <c r="AB231" s="265">
        <f t="shared" si="343"/>
        <v>26735.587404775681</v>
      </c>
      <c r="AC231" s="266">
        <f t="shared" si="344"/>
        <v>24887.319900234754</v>
      </c>
      <c r="AD231" s="265">
        <f t="shared" si="315"/>
        <v>45681.400654184756</v>
      </c>
      <c r="AE231" s="265" t="str">
        <f t="shared" si="316"/>
        <v/>
      </c>
      <c r="AF231" s="265">
        <f t="shared" si="317"/>
        <v>26735.587404775681</v>
      </c>
      <c r="AG231" s="266">
        <f t="shared" si="318"/>
        <v>24887.319900234754</v>
      </c>
      <c r="AH231" s="265">
        <f t="shared" si="345"/>
        <v>45681.400654184756</v>
      </c>
      <c r="AI231" s="265" t="str">
        <f t="shared" si="346"/>
        <v/>
      </c>
      <c r="AJ231" s="265">
        <f t="shared" si="347"/>
        <v>26760.928049995939</v>
      </c>
      <c r="AK231" s="265">
        <f t="shared" si="348"/>
        <v>24910.908712200155</v>
      </c>
      <c r="AL231" s="266">
        <f t="shared" si="349"/>
        <v>97353.237416380842</v>
      </c>
      <c r="AM231" s="347"/>
      <c r="AN231" s="264">
        <f>IFERROR(VLOOKUP($A231,'HH &amp; SI'!$B$4:$Z$494,'HH &amp; SI'!V$503,0),0)</f>
        <v>45058.276699124406</v>
      </c>
      <c r="AO231" s="265">
        <f>IFERROR(VLOOKUP($A231,'HH &amp; SI'!$B$4:$Z$494,'HH &amp; SI'!W$503,0),0)</f>
        <v>7845.2522932204029</v>
      </c>
      <c r="AP231" s="265">
        <f>IFERROR(VLOOKUP($A231,'HH &amp; SI'!$B$4:$Z$494,'HH &amp; SI'!X$503,0),0)</f>
        <v>26517.547857790523</v>
      </c>
      <c r="AQ231" s="265">
        <f>IFERROR(VLOOKUP($A231,'HH &amp; SI'!$B$4:$Z$494,'HH &amp; SI'!Y$503,0),0)</f>
        <v>24636.435340117983</v>
      </c>
      <c r="AR231" s="266">
        <f t="shared" si="319"/>
        <v>104057.51219025331</v>
      </c>
      <c r="AS231" s="347"/>
      <c r="AT231" s="324">
        <f>IFERROR(VLOOKUP(A231,'Afton FY16 Final'!$A$5:$BV$572,'Afton FY16 Final'!$BV$587,0),0)</f>
        <v>72163.735781728508</v>
      </c>
      <c r="AU231" s="347"/>
      <c r="AV231" s="454">
        <v>0</v>
      </c>
      <c r="AW231" s="265">
        <f>IFERROR(VLOOKUP($A231,'HH &amp; SI'!$B$4:$EY$503,'HH &amp; SI'!EX$503,0),0)</f>
        <v>5828.5839362728439</v>
      </c>
      <c r="AX231" s="265">
        <f>IFERROR(VLOOKUP($A231,'HH &amp; SI'!$B$4:$EY$503,'HH &amp; SI'!EY$503,0),0)</f>
        <v>98228.92825398047</v>
      </c>
      <c r="AY231" s="265">
        <f>AX231/$AX$582*'update_State Admin 1004(b)'!$B$30*0.01</f>
        <v>940.12140795932521</v>
      </c>
      <c r="AZ231" s="266">
        <f t="shared" si="320"/>
        <v>97288.806846021151</v>
      </c>
      <c r="BA231" s="264">
        <f t="shared" si="321"/>
        <v>972.88806846021157</v>
      </c>
      <c r="BB231" s="265">
        <f t="shared" si="322"/>
        <v>96315.918777560946</v>
      </c>
      <c r="BC231" s="342">
        <f t="shared" si="330"/>
        <v>1.3346858742025887</v>
      </c>
      <c r="BD231" s="347"/>
      <c r="BE231" s="377" t="str">
        <f>'Original Title I &amp; II'!AZ231</f>
        <v/>
      </c>
      <c r="BF231" s="244" t="str">
        <f t="shared" si="352"/>
        <v/>
      </c>
      <c r="BG231" s="266">
        <f t="shared" si="314"/>
        <v>96315.918777560946</v>
      </c>
      <c r="BI231" s="203" t="str">
        <f>IFERROR(VLOOKUP(A231,'Title II Hold Harmless'!A$1:B$439,2, FALSE),"")</f>
        <v/>
      </c>
      <c r="BJ231" s="203">
        <f t="shared" si="324"/>
        <v>1783.6477176562539</v>
      </c>
      <c r="BK231" s="203">
        <f t="shared" si="351"/>
        <v>1785.3732039381516</v>
      </c>
      <c r="BL231" s="203" t="str">
        <f t="shared" si="326"/>
        <v/>
      </c>
      <c r="BM231" s="203">
        <f t="shared" si="327"/>
        <v>1785.3732039381516</v>
      </c>
      <c r="BN231" s="200"/>
      <c r="BP231" s="298" t="s">
        <v>1448</v>
      </c>
      <c r="BQ231" s="299" t="str">
        <f t="shared" si="332"/>
        <v>Y</v>
      </c>
      <c r="BR231" s="300" t="s">
        <v>1448</v>
      </c>
      <c r="BT231" s="298" t="str">
        <f t="shared" si="333"/>
        <v>Y</v>
      </c>
      <c r="BU231" s="299" t="str">
        <f t="shared" si="328"/>
        <v>N</v>
      </c>
      <c r="BV231" s="299" t="str">
        <f t="shared" si="329"/>
        <v>Y</v>
      </c>
      <c r="BW231" s="300" t="str">
        <f t="shared" si="334"/>
        <v>Y</v>
      </c>
      <c r="BY231" s="355">
        <f t="shared" si="335"/>
        <v>0.85</v>
      </c>
      <c r="BZ231" s="356">
        <f t="shared" si="336"/>
        <v>0</v>
      </c>
      <c r="CA231" s="356">
        <f t="shared" si="337"/>
        <v>0</v>
      </c>
      <c r="CB231" s="357">
        <f t="shared" si="338"/>
        <v>0.85</v>
      </c>
      <c r="CD231" s="312">
        <f t="shared" si="339"/>
        <v>226</v>
      </c>
    </row>
    <row r="232" spans="1:82" s="48" customFormat="1" outlineLevel="1" x14ac:dyDescent="0.3">
      <c r="A232" s="202">
        <v>78740000</v>
      </c>
      <c r="B232" s="48">
        <f>VLOOKUP(C232,'NCES ID'!$A$2:$B$3136,2,FALSE)</f>
        <v>400637</v>
      </c>
      <c r="C232" s="48">
        <f>VLOOKUP(A232,'State ID'!$A$2:$B$713,2,FALSE)</f>
        <v>81043</v>
      </c>
      <c r="D232" s="48" t="s">
        <v>146</v>
      </c>
      <c r="E232" s="48" t="s">
        <v>7</v>
      </c>
      <c r="F232" s="755"/>
      <c r="G232" s="755"/>
      <c r="H232" s="755"/>
      <c r="I232" s="755"/>
      <c r="J232" s="755"/>
      <c r="K232" s="755"/>
      <c r="L232" s="454"/>
      <c r="M232" s="455"/>
      <c r="N232" s="456"/>
      <c r="O232" s="209">
        <f>VLOOKUP($C232,'Final SEA Counts'!$A$2:$F$709,5,FALSE)</f>
        <v>341</v>
      </c>
      <c r="P232" s="223">
        <f>VLOOKUP($C232,'Final SEA Counts'!$A$2:$F$709,6,FALSE)</f>
        <v>237</v>
      </c>
      <c r="Q232" s="749"/>
      <c r="R232" s="454">
        <f t="shared" si="302"/>
        <v>341</v>
      </c>
      <c r="S232" s="455">
        <f t="shared" si="340"/>
        <v>117.34486738036229</v>
      </c>
      <c r="T232" s="230">
        <f t="shared" si="304"/>
        <v>0.34411984569021198</v>
      </c>
      <c r="U232" s="264" t="str">
        <f>IFERROR(VLOOKUP($B232,#REF!,8,FALSE),"")</f>
        <v/>
      </c>
      <c r="V232" s="265" t="str">
        <f>IFERROR(VLOOKUP($B232,#REF!,9,FALSE),"")</f>
        <v/>
      </c>
      <c r="W232" s="265" t="str">
        <f>IFERROR(VLOOKUP($B232,#REF!,10,FALSE),"")</f>
        <v/>
      </c>
      <c r="X232" s="265" t="str">
        <f>IFERROR(VLOOKUP($B232,#REF!,11,FALSE),"")</f>
        <v/>
      </c>
      <c r="Y232" s="266" t="str">
        <f>IFERROR(VLOOKUP($B232,#REF!,12,FALSE),"")</f>
        <v/>
      </c>
      <c r="Z232" s="265">
        <f t="shared" si="341"/>
        <v>56683.20395309836</v>
      </c>
      <c r="AA232" s="265">
        <f t="shared" si="342"/>
        <v>11721.995423511549</v>
      </c>
      <c r="AB232" s="265">
        <f t="shared" si="343"/>
        <v>33174.524685506993</v>
      </c>
      <c r="AC232" s="266">
        <f t="shared" si="344"/>
        <v>30881.124692961446</v>
      </c>
      <c r="AD232" s="265">
        <f t="shared" si="315"/>
        <v>56683.20395309836</v>
      </c>
      <c r="AE232" s="265">
        <f t="shared" si="316"/>
        <v>11721.995423511549</v>
      </c>
      <c r="AF232" s="265">
        <f t="shared" si="317"/>
        <v>33174.524685506993</v>
      </c>
      <c r="AG232" s="266">
        <f t="shared" si="318"/>
        <v>30881.124692961446</v>
      </c>
      <c r="AH232" s="265">
        <f t="shared" si="345"/>
        <v>56683.20395309836</v>
      </c>
      <c r="AI232" s="265">
        <f t="shared" si="346"/>
        <v>13852.816806342262</v>
      </c>
      <c r="AJ232" s="265">
        <f t="shared" si="347"/>
        <v>33199.865330727254</v>
      </c>
      <c r="AK232" s="265">
        <f t="shared" si="348"/>
        <v>30904.713504926847</v>
      </c>
      <c r="AL232" s="266">
        <f t="shared" si="349"/>
        <v>134640.59959509474</v>
      </c>
      <c r="AM232" s="347"/>
      <c r="AN232" s="264">
        <f>IFERROR(VLOOKUP($A232,'HH &amp; SI'!$B$4:$Z$494,'HH &amp; SI'!V$503,0),0)</f>
        <v>55910.008260170078</v>
      </c>
      <c r="AO232" s="265">
        <f>IFERROR(VLOOKUP($A232,'HH &amp; SI'!$B$4:$Z$494,'HH &amp; SI'!W$503,0),0)</f>
        <v>13396.555667959215</v>
      </c>
      <c r="AP232" s="265">
        <f>IFERROR(VLOOKUP($A232,'HH &amp; SI'!$B$4:$Z$494,'HH &amp; SI'!X$503,0),0)</f>
        <v>32897.9255179416</v>
      </c>
      <c r="AQ232" s="265">
        <f>IFERROR(VLOOKUP($A232,'HH &amp; SI'!$B$4:$Z$494,'HH &amp; SI'!Y$503,0),0)</f>
        <v>30564.199193428594</v>
      </c>
      <c r="AR232" s="266">
        <f t="shared" si="319"/>
        <v>132768.68863949948</v>
      </c>
      <c r="AS232" s="347"/>
      <c r="AT232" s="324">
        <f>IFERROR(VLOOKUP(A232,'Afton FY16 Final'!$A$5:$BV$572,'Afton FY16 Final'!$BV$587,0),0)</f>
        <v>103680.70538518309</v>
      </c>
      <c r="AU232" s="347"/>
      <c r="AV232" s="454">
        <v>0</v>
      </c>
      <c r="AW232" s="265">
        <f>IFERROR(VLOOKUP($A232,'HH &amp; SI'!$B$4:$EY$503,'HH &amp; SI'!EX$503,0),0)</f>
        <v>7436.7859614914196</v>
      </c>
      <c r="AX232" s="265">
        <f>IFERROR(VLOOKUP($A232,'HH &amp; SI'!$B$4:$EY$503,'HH &amp; SI'!EY$503,0),0)</f>
        <v>125331.90267800806</v>
      </c>
      <c r="AY232" s="265">
        <f>AX232/$AX$582*'update_State Admin 1004(b)'!$B$30*0.01</f>
        <v>1199.5163431205963</v>
      </c>
      <c r="AZ232" s="266">
        <f t="shared" si="320"/>
        <v>124132.38633488746</v>
      </c>
      <c r="BA232" s="264">
        <f t="shared" si="321"/>
        <v>1241.3238633488745</v>
      </c>
      <c r="BB232" s="265">
        <f t="shared" si="322"/>
        <v>122891.06247153858</v>
      </c>
      <c r="BC232" s="342">
        <f t="shared" si="330"/>
        <v>1.1852838193469779</v>
      </c>
      <c r="BD232" s="347"/>
      <c r="BE232" s="377" t="str">
        <f>'Original Title I &amp; II'!AZ232</f>
        <v/>
      </c>
      <c r="BF232" s="244" t="str">
        <f t="shared" si="352"/>
        <v/>
      </c>
      <c r="BG232" s="266">
        <f t="shared" si="314"/>
        <v>122891.06247153858</v>
      </c>
      <c r="BI232" s="203" t="str">
        <f>IFERROR(VLOOKUP(A232,'Title II Hold Harmless'!A$1:B$439,2, FALSE),"")</f>
        <v/>
      </c>
      <c r="BJ232" s="203">
        <f t="shared" si="324"/>
        <v>1810.5857317023456</v>
      </c>
      <c r="BK232" s="203">
        <f t="shared" si="351"/>
        <v>1812.3372775997368</v>
      </c>
      <c r="BL232" s="203" t="str">
        <f t="shared" si="326"/>
        <v/>
      </c>
      <c r="BM232" s="203">
        <f t="shared" si="327"/>
        <v>1812.3372775997368</v>
      </c>
      <c r="BN232" s="200"/>
      <c r="BP232" s="298" t="s">
        <v>1448</v>
      </c>
      <c r="BQ232" s="299" t="str">
        <f t="shared" si="332"/>
        <v>Y</v>
      </c>
      <c r="BR232" s="300" t="s">
        <v>1448</v>
      </c>
      <c r="BT232" s="298" t="str">
        <f t="shared" si="333"/>
        <v>Y</v>
      </c>
      <c r="BU232" s="299" t="str">
        <f t="shared" si="328"/>
        <v>Y</v>
      </c>
      <c r="BV232" s="299" t="str">
        <f t="shared" si="329"/>
        <v>Y</v>
      </c>
      <c r="BW232" s="300" t="str">
        <f t="shared" si="334"/>
        <v>Y</v>
      </c>
      <c r="BY232" s="355">
        <f t="shared" si="335"/>
        <v>0</v>
      </c>
      <c r="BZ232" s="356">
        <f t="shared" si="336"/>
        <v>0</v>
      </c>
      <c r="CA232" s="356">
        <f t="shared" si="337"/>
        <v>0.95</v>
      </c>
      <c r="CB232" s="357">
        <f t="shared" si="338"/>
        <v>0.95</v>
      </c>
      <c r="CD232" s="312">
        <f t="shared" si="339"/>
        <v>227</v>
      </c>
    </row>
    <row r="233" spans="1:82" s="48" customFormat="1" outlineLevel="1" x14ac:dyDescent="0.3">
      <c r="A233" s="202">
        <v>78915000</v>
      </c>
      <c r="B233" s="48">
        <f>VLOOKUP(C233,'NCES ID'!$A$2:$B$3136,2,FALSE)</f>
        <v>400244</v>
      </c>
      <c r="C233" s="48">
        <f>VLOOKUP(A233,'State ID'!$A$2:$B$713,2,FALSE)</f>
        <v>6446</v>
      </c>
      <c r="D233" s="48" t="s">
        <v>147</v>
      </c>
      <c r="E233" s="48" t="s">
        <v>7</v>
      </c>
      <c r="F233" s="755"/>
      <c r="G233" s="755"/>
      <c r="H233" s="755"/>
      <c r="I233" s="755"/>
      <c r="J233" s="755"/>
      <c r="K233" s="755"/>
      <c r="L233" s="454"/>
      <c r="M233" s="455"/>
      <c r="N233" s="456"/>
      <c r="O233" s="209">
        <f>VLOOKUP($C233,'Final SEA Counts'!$A$2:$F$709,5,FALSE)</f>
        <v>877</v>
      </c>
      <c r="P233" s="223">
        <f>VLOOKUP($C233,'Final SEA Counts'!$A$2:$F$709,6,FALSE)</f>
        <v>823</v>
      </c>
      <c r="Q233" s="749"/>
      <c r="R233" s="454">
        <f t="shared" si="302"/>
        <v>877</v>
      </c>
      <c r="S233" s="455">
        <f t="shared" si="340"/>
        <v>407.48871668370538</v>
      </c>
      <c r="T233" s="230">
        <f t="shared" si="304"/>
        <v>0.46463935767811332</v>
      </c>
      <c r="U233" s="264" t="str">
        <f>IFERROR(VLOOKUP($B233,#REF!,8,FALSE),"")</f>
        <v/>
      </c>
      <c r="V233" s="265" t="str">
        <f>IFERROR(VLOOKUP($B233,#REF!,9,FALSE),"")</f>
        <v/>
      </c>
      <c r="W233" s="265" t="str">
        <f>IFERROR(VLOOKUP($B233,#REF!,10,FALSE),"")</f>
        <v/>
      </c>
      <c r="X233" s="265" t="str">
        <f>IFERROR(VLOOKUP($B233,#REF!,11,FALSE),"")</f>
        <v/>
      </c>
      <c r="Y233" s="266" t="str">
        <f>IFERROR(VLOOKUP($B233,#REF!,12,FALSE),"")</f>
        <v/>
      </c>
      <c r="Z233" s="265">
        <f t="shared" si="341"/>
        <v>196836.6111957804</v>
      </c>
      <c r="AA233" s="265">
        <f t="shared" si="342"/>
        <v>40705.494656329138</v>
      </c>
      <c r="AB233" s="265">
        <f t="shared" si="343"/>
        <v>115200.98656612767</v>
      </c>
      <c r="AC233" s="266">
        <f t="shared" si="344"/>
        <v>107236.98574813195</v>
      </c>
      <c r="AD233" s="265">
        <f t="shared" si="315"/>
        <v>196836.6111957804</v>
      </c>
      <c r="AE233" s="265">
        <f t="shared" si="316"/>
        <v>40705.494656329138</v>
      </c>
      <c r="AF233" s="265">
        <f t="shared" si="317"/>
        <v>115200.98656612767</v>
      </c>
      <c r="AG233" s="266">
        <f t="shared" si="318"/>
        <v>107236.98574813195</v>
      </c>
      <c r="AH233" s="265">
        <f t="shared" si="345"/>
        <v>196836.6111957804</v>
      </c>
      <c r="AI233" s="265">
        <f t="shared" si="346"/>
        <v>42836.31603915985</v>
      </c>
      <c r="AJ233" s="265">
        <f t="shared" si="347"/>
        <v>115226.32721134793</v>
      </c>
      <c r="AK233" s="265">
        <f t="shared" si="348"/>
        <v>107260.57456009735</v>
      </c>
      <c r="AL233" s="266">
        <f t="shared" si="349"/>
        <v>462159.82900638552</v>
      </c>
      <c r="AM233" s="347"/>
      <c r="AN233" s="264">
        <f>IFERROR(VLOOKUP($A233,'HH &amp; SI'!$B$4:$Z$494,'HH &amp; SI'!V$503,0),0)</f>
        <v>213426.17640220816</v>
      </c>
      <c r="AO233" s="265">
        <f>IFERROR(VLOOKUP($A233,'HH &amp; SI'!$B$4:$Z$494,'HH &amp; SI'!W$503,0),0)</f>
        <v>44217.220164336839</v>
      </c>
      <c r="AP233" s="265">
        <f>IFERROR(VLOOKUP($A233,'HH &amp; SI'!$B$4:$Z$494,'HH &amp; SI'!X$503,0),0)</f>
        <v>114178.38875377916</v>
      </c>
      <c r="AQ233" s="265">
        <f>IFERROR(VLOOKUP($A233,'HH &amp; SI'!$B$4:$Z$494,'HH &amp; SI'!Y$503,0),0)</f>
        <v>109030.49684614137</v>
      </c>
      <c r="AR233" s="266">
        <f t="shared" si="319"/>
        <v>480852.28216646553</v>
      </c>
      <c r="AS233" s="347"/>
      <c r="AT233" s="324">
        <f>IFERROR(VLOOKUP(A233,'Afton FY16 Final'!$A$5:$BV$572,'Afton FY16 Final'!$BV$587,0),0)</f>
        <v>487213.93317901494</v>
      </c>
      <c r="AU233" s="347"/>
      <c r="AV233" s="454">
        <v>0</v>
      </c>
      <c r="AW233" s="265">
        <f>IFERROR(VLOOKUP($A233,'HH &amp; SI'!$B$4:$EY$503,'HH &amp; SI'!EX$503,0),0)</f>
        <v>0</v>
      </c>
      <c r="AX233" s="265">
        <f>IFERROR(VLOOKUP($A233,'HH &amp; SI'!$B$4:$EY$503,'HH &amp; SI'!EY$503,0),0)</f>
        <v>480852.28216646553</v>
      </c>
      <c r="AY233" s="265">
        <f>AX233/$AX$582*'update_State Admin 1004(b)'!$B$30*0.01</f>
        <v>4602.1017694700722</v>
      </c>
      <c r="AZ233" s="266">
        <f t="shared" si="320"/>
        <v>476250.18039699545</v>
      </c>
      <c r="BA233" s="264">
        <f t="shared" si="321"/>
        <v>4762.5018039699544</v>
      </c>
      <c r="BB233" s="265">
        <f t="shared" si="322"/>
        <v>471487.67859302548</v>
      </c>
      <c r="BC233" s="342">
        <f t="shared" si="330"/>
        <v>0.96772207542715893</v>
      </c>
      <c r="BD233" s="347"/>
      <c r="BE233" s="377" t="str">
        <f>'Original Title I &amp; II'!AZ233</f>
        <v/>
      </c>
      <c r="BF233" s="244" t="str">
        <f t="shared" si="352"/>
        <v/>
      </c>
      <c r="BG233" s="266">
        <f t="shared" si="314"/>
        <v>471487.67859302548</v>
      </c>
      <c r="BI233" s="203">
        <f>IFERROR(VLOOKUP(A233,'Title II Hold Harmless'!A$1:B$439,2, FALSE),"")</f>
        <v>18542</v>
      </c>
      <c r="BJ233" s="203">
        <f t="shared" si="324"/>
        <v>24582.200289426866</v>
      </c>
      <c r="BK233" s="203">
        <f t="shared" si="351"/>
        <v>24605.980909870235</v>
      </c>
      <c r="BL233" s="203" t="str">
        <f t="shared" si="326"/>
        <v/>
      </c>
      <c r="BM233" s="203">
        <f t="shared" si="327"/>
        <v>24605.980909870235</v>
      </c>
      <c r="BN233" s="200"/>
      <c r="BP233" s="298" t="s">
        <v>1448</v>
      </c>
      <c r="BQ233" s="299" t="str">
        <f t="shared" si="332"/>
        <v>Y</v>
      </c>
      <c r="BR233" s="300" t="s">
        <v>1448</v>
      </c>
      <c r="BT233" s="298" t="str">
        <f t="shared" si="333"/>
        <v>Y</v>
      </c>
      <c r="BU233" s="299" t="str">
        <f t="shared" si="328"/>
        <v>Y</v>
      </c>
      <c r="BV233" s="299" t="str">
        <f t="shared" si="329"/>
        <v>Y</v>
      </c>
      <c r="BW233" s="300" t="str">
        <f t="shared" si="334"/>
        <v>Y</v>
      </c>
      <c r="BY233" s="355">
        <f t="shared" si="335"/>
        <v>0</v>
      </c>
      <c r="BZ233" s="356">
        <f t="shared" si="336"/>
        <v>0</v>
      </c>
      <c r="CA233" s="356">
        <f t="shared" si="337"/>
        <v>0.95</v>
      </c>
      <c r="CB233" s="357">
        <f t="shared" si="338"/>
        <v>0.95</v>
      </c>
      <c r="CD233" s="312">
        <f t="shared" si="339"/>
        <v>228</v>
      </c>
    </row>
    <row r="234" spans="1:82" s="48" customFormat="1" outlineLevel="1" x14ac:dyDescent="0.3">
      <c r="A234" s="202">
        <v>78917000</v>
      </c>
      <c r="B234" s="48">
        <f>VLOOKUP(C234,'NCES ID'!$A$2:$B$3136,2,FALSE)</f>
        <v>400246</v>
      </c>
      <c r="C234" s="48">
        <f>VLOOKUP(A234,'State ID'!$A$2:$B$713,2,FALSE)</f>
        <v>79211</v>
      </c>
      <c r="D234" s="48" t="s">
        <v>149</v>
      </c>
      <c r="E234" s="48" t="s">
        <v>7</v>
      </c>
      <c r="F234" s="755"/>
      <c r="G234" s="755"/>
      <c r="H234" s="755"/>
      <c r="I234" s="755"/>
      <c r="J234" s="755"/>
      <c r="K234" s="755"/>
      <c r="L234" s="454"/>
      <c r="M234" s="455"/>
      <c r="N234" s="456"/>
      <c r="O234" s="209">
        <f>VLOOKUP($C234,'Final SEA Counts'!$A$2:$F$709,5,FALSE)</f>
        <v>540</v>
      </c>
      <c r="P234" s="223">
        <f>VLOOKUP($C234,'Final SEA Counts'!$A$2:$F$709,6,FALSE)</f>
        <v>265</v>
      </c>
      <c r="Q234" s="749"/>
      <c r="R234" s="454">
        <f t="shared" si="302"/>
        <v>540</v>
      </c>
      <c r="S234" s="455">
        <f t="shared" si="340"/>
        <v>131.20839601601691</v>
      </c>
      <c r="T234" s="230">
        <f t="shared" si="304"/>
        <v>0.24297851114077204</v>
      </c>
      <c r="U234" s="264" t="str">
        <f>IFERROR(VLOOKUP($B234,#REF!,8,FALSE),"")</f>
        <v/>
      </c>
      <c r="V234" s="265" t="str">
        <f>IFERROR(VLOOKUP($B234,#REF!,9,FALSE),"")</f>
        <v/>
      </c>
      <c r="W234" s="265" t="str">
        <f>IFERROR(VLOOKUP($B234,#REF!,10,FALSE),"")</f>
        <v/>
      </c>
      <c r="X234" s="265" t="str">
        <f>IFERROR(VLOOKUP($B234,#REF!,11,FALSE),"")</f>
        <v/>
      </c>
      <c r="Y234" s="266" t="str">
        <f>IFERROR(VLOOKUP($B234,#REF!,12,FALSE),"")</f>
        <v/>
      </c>
      <c r="Z234" s="265">
        <f t="shared" si="341"/>
        <v>63379.953787219682</v>
      </c>
      <c r="AA234" s="265">
        <f t="shared" si="342"/>
        <v>13106.87251996017</v>
      </c>
      <c r="AB234" s="265">
        <f t="shared" si="343"/>
        <v>37093.877812908664</v>
      </c>
      <c r="AC234" s="266">
        <f t="shared" si="344"/>
        <v>34529.527610273348</v>
      </c>
      <c r="AD234" s="265">
        <f t="shared" si="315"/>
        <v>63379.953787219682</v>
      </c>
      <c r="AE234" s="265">
        <f t="shared" si="316"/>
        <v>13106.87251996017</v>
      </c>
      <c r="AF234" s="265">
        <f t="shared" si="317"/>
        <v>37093.877812908664</v>
      </c>
      <c r="AG234" s="266">
        <f t="shared" si="318"/>
        <v>34529.527610273348</v>
      </c>
      <c r="AH234" s="265">
        <f t="shared" si="345"/>
        <v>63379.953787219682</v>
      </c>
      <c r="AI234" s="265">
        <f t="shared" si="346"/>
        <v>15237.693902790883</v>
      </c>
      <c r="AJ234" s="265">
        <f t="shared" si="347"/>
        <v>37119.218458128926</v>
      </c>
      <c r="AK234" s="265">
        <f t="shared" si="348"/>
        <v>34553.116422238752</v>
      </c>
      <c r="AL234" s="266">
        <f t="shared" si="349"/>
        <v>150289.98257037826</v>
      </c>
      <c r="AM234" s="347"/>
      <c r="AN234" s="264">
        <f>IFERROR(VLOOKUP($A234,'HH &amp; SI'!$B$4:$Z$494,'HH &amp; SI'!V$503,0),0)</f>
        <v>62515.410079936999</v>
      </c>
      <c r="AO234" s="265">
        <f>IFERROR(VLOOKUP($A234,'HH &amp; SI'!$B$4:$Z$494,'HH &amp; SI'!W$503,0),0)</f>
        <v>14735.819976093408</v>
      </c>
      <c r="AP234" s="265">
        <f>IFERROR(VLOOKUP($A234,'HH &amp; SI'!$B$4:$Z$494,'HH &amp; SI'!X$503,0),0)</f>
        <v>36781.63365890312</v>
      </c>
      <c r="AQ234" s="265">
        <f>IFERROR(VLOOKUP($A234,'HH &amp; SI'!$B$4:$Z$494,'HH &amp; SI'!Y$503,0),0)</f>
        <v>34172.403278052443</v>
      </c>
      <c r="AR234" s="266">
        <f t="shared" si="319"/>
        <v>148205.26699298597</v>
      </c>
      <c r="AS234" s="347"/>
      <c r="AT234" s="324">
        <f>IFERROR(VLOOKUP(A234,'Afton FY16 Final'!$A$5:$BV$572,'Afton FY16 Final'!$BV$587,0),0)</f>
        <v>116013.29927778448</v>
      </c>
      <c r="AU234" s="347"/>
      <c r="AV234" s="454">
        <v>0</v>
      </c>
      <c r="AW234" s="265">
        <f>IFERROR(VLOOKUP($A234,'HH &amp; SI'!$B$4:$EY$503,'HH &amp; SI'!EX$503,0),0)</f>
        <v>8301.4365833287884</v>
      </c>
      <c r="AX234" s="265">
        <f>IFERROR(VLOOKUP($A234,'HH &amp; SI'!$B$4:$EY$503,'HH &amp; SI'!EY$503,0),0)</f>
        <v>139903.83040965718</v>
      </c>
      <c r="AY234" s="265">
        <f>AX234/$AX$582*'update_State Admin 1004(b)'!$B$30*0.01</f>
        <v>1338.9801595264764</v>
      </c>
      <c r="AZ234" s="266">
        <f t="shared" si="320"/>
        <v>138564.85025013069</v>
      </c>
      <c r="BA234" s="264">
        <f t="shared" si="321"/>
        <v>1385.6485025013069</v>
      </c>
      <c r="BB234" s="265">
        <f t="shared" si="322"/>
        <v>137179.20174762938</v>
      </c>
      <c r="BC234" s="342">
        <f t="shared" si="330"/>
        <v>1.1824437594793753</v>
      </c>
      <c r="BD234" s="347"/>
      <c r="BE234" s="377" t="str">
        <f>'Original Title I &amp; II'!AZ234</f>
        <v/>
      </c>
      <c r="BF234" s="244" t="str">
        <f t="shared" si="352"/>
        <v/>
      </c>
      <c r="BG234" s="266">
        <f t="shared" si="314"/>
        <v>137179.20174762938</v>
      </c>
      <c r="BI234" s="203">
        <f>IFERROR(VLOOKUP(A234,'Title II Hold Harmless'!A$1:B$439,2, FALSE),"")</f>
        <v>5031</v>
      </c>
      <c r="BJ234" s="203">
        <f t="shared" si="324"/>
        <v>7183.2268321576103</v>
      </c>
      <c r="BK234" s="203">
        <f t="shared" si="351"/>
        <v>7190.175827318456</v>
      </c>
      <c r="BL234" s="203" t="str">
        <f t="shared" si="326"/>
        <v/>
      </c>
      <c r="BM234" s="203">
        <f t="shared" si="327"/>
        <v>7190.175827318456</v>
      </c>
      <c r="BN234" s="200"/>
      <c r="BP234" s="298" t="s">
        <v>1448</v>
      </c>
      <c r="BQ234" s="299" t="str">
        <f t="shared" si="332"/>
        <v>Y</v>
      </c>
      <c r="BR234" s="300" t="s">
        <v>1448</v>
      </c>
      <c r="BT234" s="298" t="str">
        <f t="shared" si="333"/>
        <v>Y</v>
      </c>
      <c r="BU234" s="299" t="str">
        <f t="shared" si="328"/>
        <v>Y</v>
      </c>
      <c r="BV234" s="299" t="str">
        <f t="shared" si="329"/>
        <v>Y</v>
      </c>
      <c r="BW234" s="300" t="str">
        <f t="shared" si="334"/>
        <v>Y</v>
      </c>
      <c r="BY234" s="355">
        <f t="shared" si="335"/>
        <v>0</v>
      </c>
      <c r="BZ234" s="356">
        <f t="shared" si="336"/>
        <v>0.9</v>
      </c>
      <c r="CA234" s="356">
        <f t="shared" si="337"/>
        <v>0</v>
      </c>
      <c r="CB234" s="357">
        <f t="shared" si="338"/>
        <v>0.9</v>
      </c>
      <c r="CD234" s="312">
        <f t="shared" si="339"/>
        <v>229</v>
      </c>
    </row>
    <row r="235" spans="1:82" s="48" customFormat="1" outlineLevel="1" x14ac:dyDescent="0.3">
      <c r="A235" s="202">
        <v>78246000</v>
      </c>
      <c r="B235" s="48">
        <f>VLOOKUP(C235,'NCES ID'!$A$2:$B$3136,2,FALSE)</f>
        <v>400904</v>
      </c>
      <c r="C235" s="48">
        <f>VLOOKUP(A235,'State ID'!$A$2:$B$713,2,FALSE)</f>
        <v>92226</v>
      </c>
      <c r="D235" s="48" t="s">
        <v>150</v>
      </c>
      <c r="E235" s="48" t="s">
        <v>7</v>
      </c>
      <c r="F235" s="755"/>
      <c r="G235" s="755"/>
      <c r="H235" s="755"/>
      <c r="I235" s="755"/>
      <c r="J235" s="755"/>
      <c r="K235" s="755"/>
      <c r="L235" s="454"/>
      <c r="M235" s="455"/>
      <c r="N235" s="456"/>
      <c r="O235" s="209">
        <f>VLOOKUP($C235,'Final SEA Counts'!$A$2:$F$709,5,FALSE)</f>
        <v>1056</v>
      </c>
      <c r="P235" s="223">
        <f>VLOOKUP($C235,'Final SEA Counts'!$A$2:$F$709,6,FALSE)</f>
        <v>521</v>
      </c>
      <c r="Q235" s="749"/>
      <c r="R235" s="454">
        <f t="shared" si="302"/>
        <v>1056</v>
      </c>
      <c r="S235" s="455">
        <f t="shared" si="340"/>
        <v>257.96065782771626</v>
      </c>
      <c r="T235" s="230">
        <f t="shared" si="304"/>
        <v>0.24428092597321616</v>
      </c>
      <c r="U235" s="264" t="str">
        <f>IFERROR(VLOOKUP($B235,#REF!,8,FALSE),"")</f>
        <v/>
      </c>
      <c r="V235" s="265" t="str">
        <f>IFERROR(VLOOKUP($B235,#REF!,9,FALSE),"")</f>
        <v/>
      </c>
      <c r="W235" s="265" t="str">
        <f>IFERROR(VLOOKUP($B235,#REF!,10,FALSE),"")</f>
        <v/>
      </c>
      <c r="X235" s="265" t="str">
        <f>IFERROR(VLOOKUP($B235,#REF!,11,FALSE),"")</f>
        <v/>
      </c>
      <c r="Y235" s="266" t="str">
        <f>IFERROR(VLOOKUP($B235,#REF!,12,FALSE),"")</f>
        <v/>
      </c>
      <c r="Z235" s="265">
        <f t="shared" si="341"/>
        <v>124607.38084204323</v>
      </c>
      <c r="AA235" s="265">
        <f t="shared" si="342"/>
        <v>25768.605973204714</v>
      </c>
      <c r="AB235" s="265">
        <f t="shared" si="343"/>
        <v>72927.963549152497</v>
      </c>
      <c r="AC235" s="266">
        <f t="shared" si="344"/>
        <v>67886.354282839297</v>
      </c>
      <c r="AD235" s="265">
        <f t="shared" si="315"/>
        <v>124607.38084204323</v>
      </c>
      <c r="AE235" s="265">
        <f t="shared" si="316"/>
        <v>25768.605973204714</v>
      </c>
      <c r="AF235" s="265">
        <f t="shared" si="317"/>
        <v>72927.963549152497</v>
      </c>
      <c r="AG235" s="266">
        <f t="shared" si="318"/>
        <v>67886.354282839297</v>
      </c>
      <c r="AH235" s="265">
        <f t="shared" si="345"/>
        <v>124607.38084204323</v>
      </c>
      <c r="AI235" s="265">
        <f t="shared" si="346"/>
        <v>27899.427356035427</v>
      </c>
      <c r="AJ235" s="265">
        <f t="shared" si="347"/>
        <v>72953.304194372759</v>
      </c>
      <c r="AK235" s="265">
        <f t="shared" si="348"/>
        <v>67909.943094804694</v>
      </c>
      <c r="AL235" s="266">
        <f t="shared" si="349"/>
        <v>293370.05548725609</v>
      </c>
      <c r="AM235" s="347"/>
      <c r="AN235" s="264">
        <f>IFERROR(VLOOKUP($A235,'HH &amp; SI'!$B$4:$Z$494,'HH &amp; SI'!V$503,0),0)</f>
        <v>122907.65528923465</v>
      </c>
      <c r="AO235" s="265">
        <f>IFERROR(VLOOKUP($A235,'HH &amp; SI'!$B$4:$Z$494,'HH &amp; SI'!W$503,0),0)</f>
        <v>26980.522221891741</v>
      </c>
      <c r="AP235" s="265">
        <f>IFERROR(VLOOKUP($A235,'HH &amp; SI'!$B$4:$Z$494,'HH &amp; SI'!X$503,0),0)</f>
        <v>72289.822376265583</v>
      </c>
      <c r="AQ235" s="265">
        <f>IFERROR(VLOOKUP($A235,'HH &amp; SI'!$B$4:$Z$494,'HH &amp; SI'!Y$503,0),0)</f>
        <v>67161.697766041922</v>
      </c>
      <c r="AR235" s="266">
        <f t="shared" si="319"/>
        <v>289339.69765343389</v>
      </c>
      <c r="AS235" s="347"/>
      <c r="AT235" s="324">
        <f>IFERROR(VLOOKUP(A235,'Afton FY16 Final'!$A$5:$BV$572,'Afton FY16 Final'!$BV$587,0),0)</f>
        <v>236700.85650564585</v>
      </c>
      <c r="AU235" s="347"/>
      <c r="AV235" s="454">
        <v>0</v>
      </c>
      <c r="AW235" s="265">
        <f>IFERROR(VLOOKUP($A235,'HH &amp; SI'!$B$4:$EY$503,'HH &amp; SI'!EX$503,0),0)</f>
        <v>16206.813697270118</v>
      </c>
      <c r="AX235" s="265">
        <f>IFERROR(VLOOKUP($A235,'HH &amp; SI'!$B$4:$EY$503,'HH &amp; SI'!EY$503,0),0)</f>
        <v>273132.88395616377</v>
      </c>
      <c r="AY235" s="265">
        <f>AX235/$AX$582*'update_State Admin 1004(b)'!$B$30*0.01</f>
        <v>2614.0779095230982</v>
      </c>
      <c r="AZ235" s="266">
        <f t="shared" si="320"/>
        <v>270518.80604664068</v>
      </c>
      <c r="BA235" s="264">
        <f t="shared" si="321"/>
        <v>2705.188060466407</v>
      </c>
      <c r="BB235" s="265">
        <f t="shared" si="322"/>
        <v>267813.61798617424</v>
      </c>
      <c r="BC235" s="342">
        <f t="shared" si="330"/>
        <v>1.1314433836017246</v>
      </c>
      <c r="BD235" s="347"/>
      <c r="BE235" s="377" t="str">
        <f>'Original Title I &amp; II'!AZ235</f>
        <v/>
      </c>
      <c r="BF235" s="244" t="str">
        <f t="shared" si="352"/>
        <v/>
      </c>
      <c r="BG235" s="266">
        <f t="shared" si="314"/>
        <v>267813.61798617424</v>
      </c>
      <c r="BI235" s="203" t="str">
        <f>IFERROR(VLOOKUP(A235,'Title II Hold Harmless'!A$1:B$439,2, FALSE),"")</f>
        <v/>
      </c>
      <c r="BJ235" s="203">
        <f t="shared" si="324"/>
        <v>4226.8036981882169</v>
      </c>
      <c r="BK235" s="203">
        <f t="shared" si="351"/>
        <v>4230.8926736766507</v>
      </c>
      <c r="BL235" s="203" t="str">
        <f t="shared" si="326"/>
        <v/>
      </c>
      <c r="BM235" s="203">
        <f t="shared" si="327"/>
        <v>4230.8926736766507</v>
      </c>
      <c r="BN235" s="200"/>
      <c r="BP235" s="298" t="s">
        <v>1448</v>
      </c>
      <c r="BQ235" s="299" t="str">
        <f t="shared" si="332"/>
        <v>Y</v>
      </c>
      <c r="BR235" s="300" t="s">
        <v>1448</v>
      </c>
      <c r="BT235" s="298" t="str">
        <f t="shared" si="333"/>
        <v>Y</v>
      </c>
      <c r="BU235" s="299" t="str">
        <f t="shared" si="328"/>
        <v>Y</v>
      </c>
      <c r="BV235" s="299" t="str">
        <f t="shared" si="329"/>
        <v>Y</v>
      </c>
      <c r="BW235" s="300" t="str">
        <f t="shared" si="334"/>
        <v>Y</v>
      </c>
      <c r="BY235" s="355">
        <f t="shared" si="335"/>
        <v>0</v>
      </c>
      <c r="BZ235" s="356">
        <f t="shared" si="336"/>
        <v>0.9</v>
      </c>
      <c r="CA235" s="356">
        <f t="shared" si="337"/>
        <v>0</v>
      </c>
      <c r="CB235" s="357">
        <f t="shared" si="338"/>
        <v>0.9</v>
      </c>
      <c r="CD235" s="312">
        <f t="shared" si="339"/>
        <v>230</v>
      </c>
    </row>
    <row r="236" spans="1:82" s="48" customFormat="1" outlineLevel="1" x14ac:dyDescent="0.3">
      <c r="A236" s="202">
        <v>78705000</v>
      </c>
      <c r="B236" s="48">
        <f>VLOOKUP(C236,'NCES ID'!$A$2:$B$3136,2,FALSE)</f>
        <v>400157</v>
      </c>
      <c r="C236" s="48">
        <f>VLOOKUP(A236,'State ID'!$A$2:$B$713,2,FALSE)</f>
        <v>4329</v>
      </c>
      <c r="D236" s="48" t="s">
        <v>151</v>
      </c>
      <c r="E236" s="48" t="s">
        <v>7</v>
      </c>
      <c r="F236" s="755"/>
      <c r="G236" s="755"/>
      <c r="H236" s="755"/>
      <c r="I236" s="755"/>
      <c r="J236" s="755"/>
      <c r="K236" s="755"/>
      <c r="L236" s="454"/>
      <c r="M236" s="455"/>
      <c r="N236" s="456"/>
      <c r="O236" s="209">
        <f>VLOOKUP($C236,'Final SEA Counts'!$A$2:$F$709,5,FALSE)</f>
        <v>634</v>
      </c>
      <c r="P236" s="223">
        <f>VLOOKUP($C236,'Final SEA Counts'!$A$2:$F$709,6,FALSE)</f>
        <v>256</v>
      </c>
      <c r="Q236" s="749"/>
      <c r="R236" s="454">
        <f t="shared" si="302"/>
        <v>634</v>
      </c>
      <c r="S236" s="455">
        <f t="shared" si="340"/>
        <v>126.75226181169936</v>
      </c>
      <c r="T236" s="230">
        <f t="shared" si="304"/>
        <v>0.19992470317302738</v>
      </c>
      <c r="U236" s="264" t="str">
        <f>IFERROR(VLOOKUP($B236,#REF!,8,FALSE),"")</f>
        <v/>
      </c>
      <c r="V236" s="265" t="str">
        <f>IFERROR(VLOOKUP($B236,#REF!,9,FALSE),"")</f>
        <v/>
      </c>
      <c r="W236" s="265" t="str">
        <f>IFERROR(VLOOKUP($B236,#REF!,10,FALSE),"")</f>
        <v/>
      </c>
      <c r="X236" s="265" t="str">
        <f>IFERROR(VLOOKUP($B236,#REF!,11,FALSE),"")</f>
        <v/>
      </c>
      <c r="Y236" s="266" t="str">
        <f>IFERROR(VLOOKUP($B236,#REF!,12,FALSE),"")</f>
        <v/>
      </c>
      <c r="Z236" s="265">
        <f t="shared" si="341"/>
        <v>61227.427054823544</v>
      </c>
      <c r="AA236" s="265">
        <f t="shared" si="342"/>
        <v>12661.733453244542</v>
      </c>
      <c r="AB236" s="265">
        <f t="shared" si="343"/>
        <v>35834.08573624384</v>
      </c>
      <c r="AC236" s="266">
        <f t="shared" si="344"/>
        <v>33356.826672565949</v>
      </c>
      <c r="AD236" s="265">
        <f t="shared" si="315"/>
        <v>61227.427054823544</v>
      </c>
      <c r="AE236" s="265">
        <f t="shared" si="316"/>
        <v>12661.733453244542</v>
      </c>
      <c r="AF236" s="265">
        <f t="shared" si="317"/>
        <v>35834.08573624384</v>
      </c>
      <c r="AG236" s="266">
        <f t="shared" si="318"/>
        <v>33356.826672565949</v>
      </c>
      <c r="AH236" s="265">
        <f t="shared" si="345"/>
        <v>61227.427054823544</v>
      </c>
      <c r="AI236" s="265">
        <f t="shared" si="346"/>
        <v>14792.554836075255</v>
      </c>
      <c r="AJ236" s="265">
        <f t="shared" si="347"/>
        <v>35859.426381464102</v>
      </c>
      <c r="AK236" s="265">
        <f t="shared" si="348"/>
        <v>33380.415484531353</v>
      </c>
      <c r="AL236" s="266">
        <f t="shared" si="349"/>
        <v>145259.82375689424</v>
      </c>
      <c r="AM236" s="347"/>
      <c r="AN236" s="264">
        <f>IFERROR(VLOOKUP($A236,'HH &amp; SI'!$B$4:$Z$494,'HH &amp; SI'!V$503,0),0)</f>
        <v>60392.245209297631</v>
      </c>
      <c r="AO236" s="265">
        <f>IFERROR(VLOOKUP($A236,'HH &amp; SI'!$B$4:$Z$494,'HH &amp; SI'!W$503,0),0)</f>
        <v>14305.34216276456</v>
      </c>
      <c r="AP236" s="265">
        <f>IFERROR(VLOOKUP($A236,'HH &amp; SI'!$B$4:$Z$494,'HH &amp; SI'!X$503,0),0)</f>
        <v>35533.298899308342</v>
      </c>
      <c r="AQ236" s="265">
        <f>IFERROR(VLOOKUP($A236,'HH &amp; SI'!$B$4:$Z$494,'HH &amp; SI'!Y$503,0),0)</f>
        <v>33012.623393709066</v>
      </c>
      <c r="AR236" s="266">
        <f t="shared" si="319"/>
        <v>143243.50966507959</v>
      </c>
      <c r="AS236" s="347"/>
      <c r="AT236" s="324">
        <f>IFERROR(VLOOKUP(A236,'Afton FY16 Final'!$A$5:$BV$572,'Afton FY16 Final'!$BV$587,0),0)</f>
        <v>129635.8568233222</v>
      </c>
      <c r="AU236" s="347"/>
      <c r="AV236" s="454">
        <v>0</v>
      </c>
      <c r="AW236" s="265">
        <f>IFERROR(VLOOKUP($A236,'HH &amp; SI'!$B$4:$EY$503,'HH &amp; SI'!EX$503,0),0)</f>
        <v>8023.5131691667775</v>
      </c>
      <c r="AX236" s="265">
        <f>IFERROR(VLOOKUP($A236,'HH &amp; SI'!$B$4:$EY$503,'HH &amp; SI'!EY$503,0),0)</f>
        <v>135219.99649591281</v>
      </c>
      <c r="AY236" s="265">
        <f>AX236/$AX$582*'update_State Admin 1004(b)'!$B$30*0.01</f>
        <v>1294.1525042531575</v>
      </c>
      <c r="AZ236" s="266">
        <f t="shared" si="320"/>
        <v>133925.84399165964</v>
      </c>
      <c r="BA236" s="264">
        <f t="shared" si="321"/>
        <v>1339.2584399165964</v>
      </c>
      <c r="BB236" s="265">
        <f t="shared" si="322"/>
        <v>132586.58555174305</v>
      </c>
      <c r="BC236" s="342">
        <f t="shared" si="330"/>
        <v>1.0227616710432386</v>
      </c>
      <c r="BD236" s="347"/>
      <c r="BE236" s="377" t="str">
        <f>'Original Title I &amp; II'!AZ236</f>
        <v/>
      </c>
      <c r="BF236" s="244" t="str">
        <f t="shared" si="352"/>
        <v/>
      </c>
      <c r="BG236" s="266">
        <f t="shared" si="314"/>
        <v>132586.58555174305</v>
      </c>
      <c r="BI236" s="203">
        <f>IFERROR(VLOOKUP(A236,'Title II Hold Harmless'!A$1:B$439,2, FALSE),"")</f>
        <v>660</v>
      </c>
      <c r="BJ236" s="203">
        <f t="shared" si="324"/>
        <v>2829.5432293906329</v>
      </c>
      <c r="BK236" s="203">
        <f t="shared" si="351"/>
        <v>2832.2805064762479</v>
      </c>
      <c r="BL236" s="203" t="str">
        <f t="shared" si="326"/>
        <v/>
      </c>
      <c r="BM236" s="203">
        <f t="shared" si="327"/>
        <v>2832.2805064762479</v>
      </c>
      <c r="BN236" s="200"/>
      <c r="BP236" s="298" t="s">
        <v>1448</v>
      </c>
      <c r="BQ236" s="299" t="str">
        <f t="shared" si="332"/>
        <v>Y</v>
      </c>
      <c r="BR236" s="300" t="s">
        <v>1448</v>
      </c>
      <c r="BT236" s="298" t="str">
        <f t="shared" si="333"/>
        <v>Y</v>
      </c>
      <c r="BU236" s="299" t="str">
        <f t="shared" si="328"/>
        <v>Y</v>
      </c>
      <c r="BV236" s="299" t="str">
        <f t="shared" si="329"/>
        <v>Y</v>
      </c>
      <c r="BW236" s="300" t="str">
        <f t="shared" si="334"/>
        <v>Y</v>
      </c>
      <c r="BY236" s="355">
        <f t="shared" si="335"/>
        <v>0</v>
      </c>
      <c r="BZ236" s="356">
        <f t="shared" si="336"/>
        <v>0.9</v>
      </c>
      <c r="CA236" s="356">
        <f t="shared" si="337"/>
        <v>0</v>
      </c>
      <c r="CB236" s="357">
        <f t="shared" si="338"/>
        <v>0.9</v>
      </c>
      <c r="CD236" s="312">
        <f t="shared" si="339"/>
        <v>231</v>
      </c>
    </row>
    <row r="237" spans="1:82" s="48" customFormat="1" outlineLevel="1" x14ac:dyDescent="0.3">
      <c r="A237" s="202">
        <v>78558000</v>
      </c>
      <c r="B237" s="48">
        <f>VLOOKUP(C237,'NCES ID'!$A$2:$B$3136,2,FALSE)</f>
        <v>400816</v>
      </c>
      <c r="C237" s="48">
        <f>VLOOKUP(A237,'State ID'!$A$2:$B$713,2,FALSE)</f>
        <v>90201</v>
      </c>
      <c r="D237" s="48" t="s">
        <v>152</v>
      </c>
      <c r="E237" s="48" t="s">
        <v>7</v>
      </c>
      <c r="F237" s="755"/>
      <c r="G237" s="755"/>
      <c r="H237" s="755"/>
      <c r="I237" s="755"/>
      <c r="J237" s="755"/>
      <c r="K237" s="755"/>
      <c r="L237" s="454"/>
      <c r="M237" s="455"/>
      <c r="N237" s="456"/>
      <c r="O237" s="209">
        <f>VLOOKUP($C237,'Final SEA Counts'!$A$2:$F$709,5,FALSE)</f>
        <v>306</v>
      </c>
      <c r="P237" s="223">
        <f>VLOOKUP($C237,'Final SEA Counts'!$A$2:$F$709,6,FALSE)</f>
        <v>116</v>
      </c>
      <c r="Q237" s="749"/>
      <c r="R237" s="454">
        <f t="shared" si="302"/>
        <v>306</v>
      </c>
      <c r="S237" s="455">
        <f t="shared" si="340"/>
        <v>57.434618633426268</v>
      </c>
      <c r="T237" s="230">
        <f t="shared" si="304"/>
        <v>0.18769483213537996</v>
      </c>
      <c r="U237" s="264" t="str">
        <f>IFERROR(VLOOKUP($B237,#REF!,8,FALSE),"")</f>
        <v/>
      </c>
      <c r="V237" s="265" t="str">
        <f>IFERROR(VLOOKUP($B237,#REF!,9,FALSE),"")</f>
        <v/>
      </c>
      <c r="W237" s="265" t="str">
        <f>IFERROR(VLOOKUP($B237,#REF!,10,FALSE),"")</f>
        <v/>
      </c>
      <c r="X237" s="265" t="str">
        <f>IFERROR(VLOOKUP($B237,#REF!,11,FALSE),"")</f>
        <v/>
      </c>
      <c r="Y237" s="266" t="str">
        <f>IFERROR(VLOOKUP($B237,#REF!,12,FALSE),"")</f>
        <v/>
      </c>
      <c r="Z237" s="265">
        <f t="shared" si="341"/>
        <v>27743.677884216919</v>
      </c>
      <c r="AA237" s="265">
        <f t="shared" si="342"/>
        <v>5737.3479710014326</v>
      </c>
      <c r="AB237" s="265">
        <f t="shared" si="343"/>
        <v>16237.32009923549</v>
      </c>
      <c r="AC237" s="266">
        <f t="shared" si="344"/>
        <v>15114.812086006446</v>
      </c>
      <c r="AD237" s="265">
        <f t="shared" si="315"/>
        <v>27743.677884216919</v>
      </c>
      <c r="AE237" s="265">
        <f t="shared" si="316"/>
        <v>5737.3479710014326</v>
      </c>
      <c r="AF237" s="265">
        <f t="shared" si="317"/>
        <v>16237.32009923549</v>
      </c>
      <c r="AG237" s="266">
        <f t="shared" si="318"/>
        <v>15114.812086006446</v>
      </c>
      <c r="AH237" s="265">
        <f t="shared" si="345"/>
        <v>27743.677884216919</v>
      </c>
      <c r="AI237" s="265">
        <f t="shared" si="346"/>
        <v>7868.1693538321451</v>
      </c>
      <c r="AJ237" s="265">
        <f t="shared" si="347"/>
        <v>16262.66074445575</v>
      </c>
      <c r="AK237" s="265">
        <f t="shared" si="348"/>
        <v>15138.400897971849</v>
      </c>
      <c r="AL237" s="266">
        <f t="shared" si="349"/>
        <v>67012.908880476665</v>
      </c>
      <c r="AM237" s="347"/>
      <c r="AN237" s="264">
        <f>IFERROR(VLOOKUP($A237,'HH &amp; SI'!$B$4:$Z$494,'HH &amp; SI'!V$503,0),0)</f>
        <v>35863.763662584286</v>
      </c>
      <c r="AO237" s="265">
        <f>IFERROR(VLOOKUP($A237,'HH &amp; SI'!$B$4:$Z$494,'HH &amp; SI'!W$503,0),0)</f>
        <v>9000.005089318769</v>
      </c>
      <c r="AP237" s="265">
        <f>IFERROR(VLOOKUP($A237,'HH &amp; SI'!$B$4:$Z$494,'HH &amp; SI'!X$503,0),0)</f>
        <v>19463.685815123285</v>
      </c>
      <c r="AQ237" s="265">
        <f>IFERROR(VLOOKUP($A237,'HH &amp; SI'!$B$4:$Z$494,'HH &amp; SI'!Y$503,0),0)</f>
        <v>16342.846508420958</v>
      </c>
      <c r="AR237" s="266">
        <f t="shared" si="319"/>
        <v>80670.301075447307</v>
      </c>
      <c r="AS237" s="347"/>
      <c r="AT237" s="324">
        <f>IFERROR(VLOOKUP(A237,'Afton FY16 Final'!$A$5:$BV$572,'Afton FY16 Final'!$BV$587,0),0)</f>
        <v>84425.153194574348</v>
      </c>
      <c r="AU237" s="347"/>
      <c r="AV237" s="454">
        <v>0</v>
      </c>
      <c r="AW237" s="265">
        <f>IFERROR(VLOOKUP($A237,'HH &amp; SI'!$B$4:$EY$503,'HH &amp; SI'!EX$503,0),0)</f>
        <v>0</v>
      </c>
      <c r="AX237" s="265">
        <f>IFERROR(VLOOKUP($A237,'HH &amp; SI'!$B$4:$EY$503,'HH &amp; SI'!EY$503,0),0)</f>
        <v>80670.301075447307</v>
      </c>
      <c r="AY237" s="265">
        <f>AX237/$AX$582*'update_State Admin 1004(b)'!$B$30*0.01</f>
        <v>772.07273229593613</v>
      </c>
      <c r="AZ237" s="266">
        <f t="shared" si="320"/>
        <v>79898.228343151364</v>
      </c>
      <c r="BA237" s="264">
        <f t="shared" si="321"/>
        <v>798.98228343151368</v>
      </c>
      <c r="BB237" s="265">
        <f t="shared" si="322"/>
        <v>79099.246059719851</v>
      </c>
      <c r="BC237" s="342">
        <f t="shared" si="330"/>
        <v>0.93691563552653678</v>
      </c>
      <c r="BD237" s="347"/>
      <c r="BE237" s="377" t="str">
        <f>'Original Title I &amp; II'!AZ237</f>
        <v/>
      </c>
      <c r="BF237" s="244" t="str">
        <f t="shared" si="352"/>
        <v/>
      </c>
      <c r="BG237" s="266">
        <f t="shared" si="314"/>
        <v>79099.246059719851</v>
      </c>
      <c r="BI237" s="203" t="str">
        <f>IFERROR(VLOOKUP(A237,'Title II Hold Harmless'!A$1:B$439,2, FALSE),"")</f>
        <v/>
      </c>
      <c r="BJ237" s="203">
        <f t="shared" si="324"/>
        <v>998.13912000530422</v>
      </c>
      <c r="BK237" s="203">
        <f t="shared" si="351"/>
        <v>999.10471166443392</v>
      </c>
      <c r="BL237" s="203" t="str">
        <f t="shared" si="326"/>
        <v/>
      </c>
      <c r="BM237" s="203">
        <f t="shared" si="327"/>
        <v>999.10471166443392</v>
      </c>
      <c r="BN237" s="200"/>
      <c r="BP237" s="298" t="s">
        <v>1448</v>
      </c>
      <c r="BQ237" s="299" t="str">
        <f t="shared" si="332"/>
        <v>Y</v>
      </c>
      <c r="BR237" s="300" t="s">
        <v>1448</v>
      </c>
      <c r="BT237" s="298" t="str">
        <f t="shared" si="333"/>
        <v>Y</v>
      </c>
      <c r="BU237" s="299" t="str">
        <f t="shared" si="328"/>
        <v>Y</v>
      </c>
      <c r="BV237" s="299" t="str">
        <f t="shared" si="329"/>
        <v>Y</v>
      </c>
      <c r="BW237" s="300" t="str">
        <f t="shared" si="334"/>
        <v>Y</v>
      </c>
      <c r="BY237" s="355">
        <f t="shared" si="335"/>
        <v>0</v>
      </c>
      <c r="BZ237" s="356">
        <f t="shared" si="336"/>
        <v>0.9</v>
      </c>
      <c r="CA237" s="356">
        <f t="shared" si="337"/>
        <v>0</v>
      </c>
      <c r="CB237" s="357">
        <f t="shared" si="338"/>
        <v>0.9</v>
      </c>
      <c r="CD237" s="312">
        <f t="shared" si="339"/>
        <v>232</v>
      </c>
    </row>
    <row r="238" spans="1:82" s="48" customFormat="1" outlineLevel="1" x14ac:dyDescent="0.3">
      <c r="A238" s="202">
        <v>78717000</v>
      </c>
      <c r="B238" s="48">
        <f>VLOOKUP(C238,'NCES ID'!$A$2:$B$3136,2,FALSE)</f>
        <v>400055</v>
      </c>
      <c r="C238" s="48">
        <f>VLOOKUP(A238,'State ID'!$A$2:$B$713,2,FALSE)</f>
        <v>4341</v>
      </c>
      <c r="D238" s="48" t="s">
        <v>153</v>
      </c>
      <c r="E238" s="48" t="s">
        <v>7</v>
      </c>
      <c r="F238" s="755"/>
      <c r="G238" s="755"/>
      <c r="H238" s="755"/>
      <c r="I238" s="755"/>
      <c r="J238" s="755"/>
      <c r="K238" s="755"/>
      <c r="L238" s="454"/>
      <c r="M238" s="455"/>
      <c r="N238" s="456"/>
      <c r="O238" s="209">
        <f>VLOOKUP($C238,'Final SEA Counts'!$A$2:$F$709,5,FALSE)</f>
        <v>71</v>
      </c>
      <c r="P238" s="223">
        <f>VLOOKUP($C238,'Final SEA Counts'!$A$2:$F$709,6,FALSE)</f>
        <v>69</v>
      </c>
      <c r="Q238" s="749"/>
      <c r="R238" s="454">
        <f t="shared" si="302"/>
        <v>71</v>
      </c>
      <c r="S238" s="455">
        <f t="shared" si="340"/>
        <v>34.16369556643459</v>
      </c>
      <c r="T238" s="230">
        <f t="shared" si="304"/>
        <v>0.48117881079485336</v>
      </c>
      <c r="U238" s="264" t="str">
        <f>IFERROR(VLOOKUP($B238,#REF!,8,FALSE),"")</f>
        <v/>
      </c>
      <c r="V238" s="265" t="str">
        <f>IFERROR(VLOOKUP($B238,#REF!,9,FALSE),"")</f>
        <v/>
      </c>
      <c r="W238" s="265" t="str">
        <f>IFERROR(VLOOKUP($B238,#REF!,10,FALSE),"")</f>
        <v/>
      </c>
      <c r="X238" s="265" t="str">
        <f>IFERROR(VLOOKUP($B238,#REF!,11,FALSE),"")</f>
        <v/>
      </c>
      <c r="Y238" s="266" t="str">
        <f>IFERROR(VLOOKUP($B238,#REF!,12,FALSE),"")</f>
        <v/>
      </c>
      <c r="Z238" s="265">
        <f t="shared" si="341"/>
        <v>16502.704948370407</v>
      </c>
      <c r="AA238" s="265">
        <f t="shared" si="342"/>
        <v>3412.7328448198177</v>
      </c>
      <c r="AB238" s="265">
        <f t="shared" si="343"/>
        <v>9658.4059210969717</v>
      </c>
      <c r="AC238" s="266">
        <f t="shared" si="344"/>
        <v>8990.7071890900406</v>
      </c>
      <c r="AD238" s="265">
        <f t="shared" si="315"/>
        <v>16502.704948370407</v>
      </c>
      <c r="AE238" s="265">
        <f t="shared" si="316"/>
        <v>3412.7328448198177</v>
      </c>
      <c r="AF238" s="265">
        <f t="shared" si="317"/>
        <v>9658.4059210969717</v>
      </c>
      <c r="AG238" s="266">
        <f t="shared" si="318"/>
        <v>8990.7071890900406</v>
      </c>
      <c r="AH238" s="265">
        <f t="shared" si="345"/>
        <v>16502.704948370407</v>
      </c>
      <c r="AI238" s="265">
        <f t="shared" si="346"/>
        <v>5543.5542276505303</v>
      </c>
      <c r="AJ238" s="265">
        <f t="shared" si="347"/>
        <v>9683.7465663172316</v>
      </c>
      <c r="AK238" s="265">
        <f t="shared" si="348"/>
        <v>9014.2960010554434</v>
      </c>
      <c r="AL238" s="266">
        <f t="shared" si="349"/>
        <v>40744.301743393611</v>
      </c>
      <c r="AM238" s="347"/>
      <c r="AN238" s="264">
        <f>IFERROR(VLOOKUP($A238,'HH &amp; SI'!$B$4:$Z$494,'HH &amp; SI'!V$503,0),0)</f>
        <v>16277.597341568502</v>
      </c>
      <c r="AO238" s="265">
        <f>IFERROR(VLOOKUP($A238,'HH &amp; SI'!$B$4:$Z$494,'HH &amp; SI'!W$503,0),0)</f>
        <v>5360.9698191540592</v>
      </c>
      <c r="AP238" s="265">
        <f>IFERROR(VLOOKUP($A238,'HH &amp; SI'!$B$4:$Z$494,'HH &amp; SI'!X$503,0),0)</f>
        <v>9595.6766721724671</v>
      </c>
      <c r="AQ238" s="265">
        <f>IFERROR(VLOOKUP($A238,'HH &amp; SI'!$B$4:$Z$494,'HH &amp; SI'!Y$503,0),0)</f>
        <v>8914.974685685489</v>
      </c>
      <c r="AR238" s="266">
        <f t="shared" si="319"/>
        <v>40149.218518580514</v>
      </c>
      <c r="AS238" s="347"/>
      <c r="AT238" s="324">
        <f>IFERROR(VLOOKUP(A238,'Afton FY16 Final'!$A$5:$BV$572,'Afton FY16 Final'!$BV$587,0),0)</f>
        <v>35084.948012958368</v>
      </c>
      <c r="AU238" s="347"/>
      <c r="AV238" s="454">
        <v>0</v>
      </c>
      <c r="AW238" s="265">
        <f>IFERROR(VLOOKUP($A238,'HH &amp; SI'!$B$4:$EY$503,'HH &amp; SI'!EX$503,0),0)</f>
        <v>2248.8822304674104</v>
      </c>
      <c r="AX238" s="265">
        <f>IFERROR(VLOOKUP($A238,'HH &amp; SI'!$B$4:$EY$503,'HH &amp; SI'!EY$503,0),0)</f>
        <v>37900.336288113103</v>
      </c>
      <c r="AY238" s="265">
        <f>AX238/$AX$582*'update_State Admin 1004(b)'!$B$30*0.01</f>
        <v>362.73344468531286</v>
      </c>
      <c r="AZ238" s="266">
        <f t="shared" si="320"/>
        <v>37537.602843427791</v>
      </c>
      <c r="BA238" s="264">
        <f t="shared" si="321"/>
        <v>375.37602843427788</v>
      </c>
      <c r="BB238" s="265">
        <f t="shared" si="322"/>
        <v>37162.226814993512</v>
      </c>
      <c r="BC238" s="342">
        <f t="shared" si="330"/>
        <v>1.0592071221330559</v>
      </c>
      <c r="BD238" s="347"/>
      <c r="BE238" s="377" t="str">
        <f>'Original Title I &amp; II'!AZ238</f>
        <v/>
      </c>
      <c r="BF238" s="244" t="str">
        <f t="shared" si="352"/>
        <v/>
      </c>
      <c r="BG238" s="266">
        <f t="shared" si="314"/>
        <v>37162.226814993512</v>
      </c>
      <c r="BI238" s="203">
        <f>IFERROR(VLOOKUP(A238,'Title II Hold Harmless'!A$1:B$439,2, FALSE),"")</f>
        <v>2932</v>
      </c>
      <c r="BJ238" s="203">
        <f t="shared" si="324"/>
        <v>3436.3740420611311</v>
      </c>
      <c r="BK238" s="203">
        <f t="shared" si="351"/>
        <v>3439.6983623348883</v>
      </c>
      <c r="BL238" s="203" t="str">
        <f t="shared" si="326"/>
        <v/>
      </c>
      <c r="BM238" s="203">
        <f t="shared" si="327"/>
        <v>3439.6983623348883</v>
      </c>
      <c r="BN238" s="200"/>
      <c r="BP238" s="298" t="s">
        <v>1448</v>
      </c>
      <c r="BQ238" s="299" t="str">
        <f t="shared" si="332"/>
        <v>Y</v>
      </c>
      <c r="BR238" s="300" t="s">
        <v>1448</v>
      </c>
      <c r="BT238" s="298" t="str">
        <f t="shared" si="333"/>
        <v>Y</v>
      </c>
      <c r="BU238" s="299" t="str">
        <f t="shared" si="328"/>
        <v>Y</v>
      </c>
      <c r="BV238" s="299" t="str">
        <f t="shared" si="329"/>
        <v>Y</v>
      </c>
      <c r="BW238" s="300" t="str">
        <f t="shared" si="334"/>
        <v>Y</v>
      </c>
      <c r="BY238" s="355">
        <f t="shared" si="335"/>
        <v>0</v>
      </c>
      <c r="BZ238" s="356">
        <f t="shared" si="336"/>
        <v>0</v>
      </c>
      <c r="CA238" s="356">
        <f t="shared" si="337"/>
        <v>0.95</v>
      </c>
      <c r="CB238" s="357">
        <f t="shared" si="338"/>
        <v>0.95</v>
      </c>
      <c r="CD238" s="312">
        <f t="shared" si="339"/>
        <v>233</v>
      </c>
    </row>
    <row r="239" spans="1:82" s="48" customFormat="1" outlineLevel="1" x14ac:dyDescent="0.3">
      <c r="A239" s="202">
        <v>78911000</v>
      </c>
      <c r="B239" s="48">
        <f>VLOOKUP(C239,'NCES ID'!$A$2:$B$3136,2,FALSE)</f>
        <v>400311</v>
      </c>
      <c r="C239" s="48">
        <f>VLOOKUP(A239,'State ID'!$A$2:$B$713,2,FALSE)</f>
        <v>79059</v>
      </c>
      <c r="D239" s="48" t="s">
        <v>154</v>
      </c>
      <c r="E239" s="48" t="s">
        <v>7</v>
      </c>
      <c r="F239" s="755"/>
      <c r="G239" s="755"/>
      <c r="H239" s="755"/>
      <c r="I239" s="755"/>
      <c r="J239" s="755"/>
      <c r="K239" s="755"/>
      <c r="L239" s="454"/>
      <c r="M239" s="455"/>
      <c r="N239" s="456"/>
      <c r="O239" s="209">
        <f>VLOOKUP($C239,'Final SEA Counts'!$A$2:$F$709,5,FALSE)</f>
        <v>287</v>
      </c>
      <c r="P239" s="223">
        <f>VLOOKUP($C239,'Final SEA Counts'!$A$2:$F$709,6,FALSE)</f>
        <v>206</v>
      </c>
      <c r="Q239" s="749"/>
      <c r="R239" s="454">
        <f t="shared" si="302"/>
        <v>287</v>
      </c>
      <c r="S239" s="455">
        <f t="shared" si="340"/>
        <v>101.99596067660183</v>
      </c>
      <c r="T239" s="230">
        <f t="shared" si="304"/>
        <v>0.3553866225665569</v>
      </c>
      <c r="U239" s="264" t="str">
        <f>IFERROR(VLOOKUP($B239,#REF!,8,FALSE),"")</f>
        <v/>
      </c>
      <c r="V239" s="265" t="str">
        <f>IFERROR(VLOOKUP($B239,#REF!,9,FALSE),"")</f>
        <v/>
      </c>
      <c r="W239" s="265" t="str">
        <f>IFERROR(VLOOKUP($B239,#REF!,10,FALSE),"")</f>
        <v/>
      </c>
      <c r="X239" s="265" t="str">
        <f>IFERROR(VLOOKUP($B239,#REF!,11,FALSE),"")</f>
        <v/>
      </c>
      <c r="Y239" s="266" t="str">
        <f>IFERROR(VLOOKUP($B239,#REF!,12,FALSE),"")</f>
        <v/>
      </c>
      <c r="Z239" s="265">
        <f t="shared" si="341"/>
        <v>49268.945208178324</v>
      </c>
      <c r="AA239" s="265">
        <f t="shared" si="342"/>
        <v>10188.738638157718</v>
      </c>
      <c r="AB239" s="265">
        <f t="shared" si="343"/>
        <v>28835.240865883716</v>
      </c>
      <c r="AC239" s="266">
        <f t="shared" si="344"/>
        <v>26841.821463080414</v>
      </c>
      <c r="AD239" s="265">
        <f t="shared" si="315"/>
        <v>49268.945208178324</v>
      </c>
      <c r="AE239" s="265">
        <f t="shared" si="316"/>
        <v>10188.738638157718</v>
      </c>
      <c r="AF239" s="265">
        <f t="shared" si="317"/>
        <v>28835.240865883716</v>
      </c>
      <c r="AG239" s="266">
        <f t="shared" si="318"/>
        <v>26841.821463080414</v>
      </c>
      <c r="AH239" s="265">
        <f t="shared" si="345"/>
        <v>49268.945208178324</v>
      </c>
      <c r="AI239" s="265">
        <f t="shared" si="346"/>
        <v>12319.560020988431</v>
      </c>
      <c r="AJ239" s="265">
        <f t="shared" si="347"/>
        <v>28860.581511103974</v>
      </c>
      <c r="AK239" s="265">
        <f t="shared" si="348"/>
        <v>26865.410275045815</v>
      </c>
      <c r="AL239" s="266">
        <f t="shared" si="349"/>
        <v>117314.49701531653</v>
      </c>
      <c r="AM239" s="347"/>
      <c r="AN239" s="264">
        <f>IFERROR(VLOOKUP($A239,'HH &amp; SI'!$B$4:$Z$494,'HH &amp; SI'!V$503,0),0)</f>
        <v>65791.108567718955</v>
      </c>
      <c r="AO239" s="265">
        <f>IFERROR(VLOOKUP($A239,'HH &amp; SI'!$B$4:$Z$494,'HH &amp; SI'!W$503,0),0)</f>
        <v>15171.317583354541</v>
      </c>
      <c r="AP239" s="265">
        <f>IFERROR(VLOOKUP($A239,'HH &amp; SI'!$B$4:$Z$494,'HH &amp; SI'!X$503,0),0)</f>
        <v>35705.607438147905</v>
      </c>
      <c r="AQ239" s="265">
        <f>IFERROR(VLOOKUP($A239,'HH &amp; SI'!$B$4:$Z$494,'HH &amp; SI'!Y$503,0),0)</f>
        <v>29980.511779438049</v>
      </c>
      <c r="AR239" s="266">
        <f t="shared" si="319"/>
        <v>146648.54536865943</v>
      </c>
      <c r="AS239" s="347"/>
      <c r="AT239" s="324">
        <f>IFERROR(VLOOKUP(A239,'Afton FY16 Final'!$A$5:$BV$572,'Afton FY16 Final'!$BV$587,0),0)</f>
        <v>137051.61437707621</v>
      </c>
      <c r="AU239" s="347"/>
      <c r="AV239" s="454">
        <v>0</v>
      </c>
      <c r="AW239" s="265">
        <f>IFERROR(VLOOKUP($A239,'HH &amp; SI'!$B$4:$EY$503,'HH &amp; SI'!EX$503,0),0)</f>
        <v>8214.2397778140148</v>
      </c>
      <c r="AX239" s="265">
        <f>IFERROR(VLOOKUP($A239,'HH &amp; SI'!$B$4:$EY$503,'HH &amp; SI'!EY$503,0),0)</f>
        <v>138434.30559084541</v>
      </c>
      <c r="AY239" s="265">
        <f>AX239/$AX$582*'update_State Admin 1004(b)'!$B$30*0.01</f>
        <v>1324.9157513500945</v>
      </c>
      <c r="AZ239" s="266">
        <f t="shared" si="320"/>
        <v>137109.38983949533</v>
      </c>
      <c r="BA239" s="264">
        <f t="shared" si="321"/>
        <v>1371.0938983949534</v>
      </c>
      <c r="BB239" s="265">
        <f t="shared" si="322"/>
        <v>135738.29594110037</v>
      </c>
      <c r="BC239" s="342">
        <f t="shared" si="330"/>
        <v>0.99041734428342842</v>
      </c>
      <c r="BD239" s="347"/>
      <c r="BE239" s="377" t="str">
        <f>'Original Title I &amp; II'!AZ239</f>
        <v/>
      </c>
      <c r="BF239" s="244" t="str">
        <f t="shared" si="352"/>
        <v/>
      </c>
      <c r="BG239" s="266">
        <f t="shared" si="314"/>
        <v>135738.29594110037</v>
      </c>
      <c r="BI239" s="203" t="str">
        <f>IFERROR(VLOOKUP(A239,'Title II Hold Harmless'!A$1:B$439,2, FALSE),"")</f>
        <v/>
      </c>
      <c r="BJ239" s="203">
        <f t="shared" si="324"/>
        <v>1566.1956616969833</v>
      </c>
      <c r="BK239" s="203">
        <f t="shared" si="351"/>
        <v>1567.7107866301606</v>
      </c>
      <c r="BL239" s="203" t="str">
        <f t="shared" si="326"/>
        <v/>
      </c>
      <c r="BM239" s="203">
        <f t="shared" si="327"/>
        <v>1567.7107866301606</v>
      </c>
      <c r="BN239" s="200"/>
      <c r="BP239" s="298" t="s">
        <v>1448</v>
      </c>
      <c r="BQ239" s="299" t="str">
        <f t="shared" si="332"/>
        <v>Y</v>
      </c>
      <c r="BR239" s="300" t="s">
        <v>1448</v>
      </c>
      <c r="BT239" s="298" t="str">
        <f t="shared" si="333"/>
        <v>Y</v>
      </c>
      <c r="BU239" s="299" t="str">
        <f t="shared" si="328"/>
        <v>Y</v>
      </c>
      <c r="BV239" s="299" t="str">
        <f t="shared" si="329"/>
        <v>Y</v>
      </c>
      <c r="BW239" s="300" t="str">
        <f t="shared" si="334"/>
        <v>Y</v>
      </c>
      <c r="BY239" s="355">
        <f t="shared" si="335"/>
        <v>0</v>
      </c>
      <c r="BZ239" s="356">
        <f t="shared" si="336"/>
        <v>0</v>
      </c>
      <c r="CA239" s="356">
        <f t="shared" si="337"/>
        <v>0.95</v>
      </c>
      <c r="CB239" s="357">
        <f t="shared" si="338"/>
        <v>0.95</v>
      </c>
      <c r="CD239" s="312">
        <f t="shared" si="339"/>
        <v>234</v>
      </c>
    </row>
    <row r="240" spans="1:82" s="48" customFormat="1" outlineLevel="1" x14ac:dyDescent="0.3">
      <c r="A240" s="202">
        <v>78664000</v>
      </c>
      <c r="B240" s="48">
        <f>VLOOKUP(C240,'NCES ID'!$A$2:$B$3136,2,FALSE)</f>
        <v>400133</v>
      </c>
      <c r="C240" s="48">
        <f>VLOOKUP(A240,'State ID'!$A$2:$B$713,2,FALSE)</f>
        <v>6375</v>
      </c>
      <c r="D240" s="48" t="s">
        <v>157</v>
      </c>
      <c r="E240" s="48" t="s">
        <v>7</v>
      </c>
      <c r="F240" s="755"/>
      <c r="G240" s="755"/>
      <c r="H240" s="755"/>
      <c r="I240" s="755"/>
      <c r="J240" s="755"/>
      <c r="K240" s="755"/>
      <c r="L240" s="454"/>
      <c r="M240" s="455"/>
      <c r="N240" s="456"/>
      <c r="O240" s="209">
        <f>VLOOKUP($C240,'Final SEA Counts'!$A$2:$F$709,5,FALSE)</f>
        <v>219</v>
      </c>
      <c r="P240" s="223">
        <f>VLOOKUP($C240,'Final SEA Counts'!$A$2:$F$709,6,FALSE)</f>
        <v>172</v>
      </c>
      <c r="Q240" s="749"/>
      <c r="R240" s="454">
        <f t="shared" ref="R240:R309" si="353">O240</f>
        <v>219</v>
      </c>
      <c r="S240" s="455">
        <f t="shared" ref="S240:S271" si="354">P240*$B$358</f>
        <v>85.161675904735503</v>
      </c>
      <c r="T240" s="230">
        <f t="shared" ref="T240:T303" si="355">S240/R240</f>
        <v>0.38886610002162331</v>
      </c>
      <c r="U240" s="264" t="str">
        <f>IFERROR(VLOOKUP($B240,#REF!,8,FALSE),"")</f>
        <v/>
      </c>
      <c r="V240" s="265" t="str">
        <f>IFERROR(VLOOKUP($B240,#REF!,9,FALSE),"")</f>
        <v/>
      </c>
      <c r="W240" s="265" t="str">
        <f>IFERROR(VLOOKUP($B240,#REF!,10,FALSE),"")</f>
        <v/>
      </c>
      <c r="X240" s="265" t="str">
        <f>IFERROR(VLOOKUP($B240,#REF!,11,FALSE),"")</f>
        <v/>
      </c>
      <c r="Y240" s="266" t="str">
        <f>IFERROR(VLOOKUP($B240,#REF!,12,FALSE),"")</f>
        <v/>
      </c>
      <c r="Z240" s="265">
        <f t="shared" ref="Z240:Z271" si="356">$S240*U$359</f>
        <v>41137.177552459572</v>
      </c>
      <c r="AA240" s="265">
        <f t="shared" ref="AA240:AA271" si="357">$S240*V$359</f>
        <v>8507.1021638986767</v>
      </c>
      <c r="AB240" s="265">
        <f t="shared" ref="AB240:AB271" si="358">$S240*W$359</f>
        <v>24076.02635403883</v>
      </c>
      <c r="AC240" s="266">
        <f t="shared" ref="AC240:AC271" si="359">$S240*X$359</f>
        <v>22411.617920630248</v>
      </c>
      <c r="AD240" s="265">
        <f t="shared" si="315"/>
        <v>41137.177552459572</v>
      </c>
      <c r="AE240" s="265">
        <f t="shared" si="316"/>
        <v>8507.1021638986767</v>
      </c>
      <c r="AF240" s="265">
        <f t="shared" si="317"/>
        <v>24076.02635403883</v>
      </c>
      <c r="AG240" s="266">
        <f t="shared" si="318"/>
        <v>22411.617920630248</v>
      </c>
      <c r="AH240" s="265">
        <f t="shared" ref="AH240:AH271" si="360">IF(AD240="","",AD240+AD$359)</f>
        <v>41137.177552459572</v>
      </c>
      <c r="AI240" s="265">
        <f t="shared" ref="AI240:AI271" si="361">IF(AE240="","",AE240+AE$359)</f>
        <v>10637.923546729389</v>
      </c>
      <c r="AJ240" s="265">
        <f t="shared" ref="AJ240:AJ271" si="362">IF(AF240="","",AF240+AF$359)</f>
        <v>24101.366999259088</v>
      </c>
      <c r="AK240" s="265">
        <f t="shared" ref="AK240:AK271" si="363">IF(AG240="","",AG240+AG$359)</f>
        <v>22435.206732595649</v>
      </c>
      <c r="AL240" s="266">
        <f t="shared" si="349"/>
        <v>98311.674831043696</v>
      </c>
      <c r="AM240" s="347"/>
      <c r="AN240" s="264">
        <f>IFERROR(VLOOKUP($A240,'HH &amp; SI'!$B$4:$Z$494,'HH &amp; SI'!V$503,0),0)</f>
        <v>46018.477596308716</v>
      </c>
      <c r="AO240" s="265">
        <f>IFERROR(VLOOKUP($A240,'HH &amp; SI'!$B$4:$Z$494,'HH &amp; SI'!W$503,0),0)</f>
        <v>10287.549238361982</v>
      </c>
      <c r="AP240" s="265">
        <f>IFERROR(VLOOKUP($A240,'HH &amp; SI'!$B$4:$Z$494,'HH &amp; SI'!X$503,0),0)</f>
        <v>24399.669178758042</v>
      </c>
      <c r="AQ240" s="265">
        <f>IFERROR(VLOOKUP($A240,'HH &amp; SI'!$B$4:$Z$494,'HH &amp; SI'!Y$503,0),0)</f>
        <v>23508.91329736933</v>
      </c>
      <c r="AR240" s="266">
        <f t="shared" si="319"/>
        <v>104214.60931079807</v>
      </c>
      <c r="AS240" s="347"/>
      <c r="AT240" s="324">
        <f>IFERROR(VLOOKUP(A240,'Afton FY16 Final'!$A$5:$BV$572,'Afton FY16 Final'!$BV$587,0),0)</f>
        <v>105593.57272286998</v>
      </c>
      <c r="AU240" s="347"/>
      <c r="AV240" s="454">
        <v>0</v>
      </c>
      <c r="AW240" s="265">
        <f>IFERROR(VLOOKUP($A240,'HH &amp; SI'!$B$4:$EY$503,'HH &amp; SI'!EX$503,0),0)</f>
        <v>0</v>
      </c>
      <c r="AX240" s="265">
        <f>IFERROR(VLOOKUP($A240,'HH &amp; SI'!$B$4:$EY$503,'HH &amp; SI'!EY$503,0),0)</f>
        <v>104214.60931079807</v>
      </c>
      <c r="AY240" s="265">
        <f>AX240/$AX$582*'update_State Admin 1004(b)'!$B$30*0.01</f>
        <v>997.4086755978459</v>
      </c>
      <c r="AZ240" s="266">
        <f t="shared" si="320"/>
        <v>103217.20063520022</v>
      </c>
      <c r="BA240" s="264">
        <f t="shared" si="321"/>
        <v>1032.1720063520022</v>
      </c>
      <c r="BB240" s="265">
        <f t="shared" si="322"/>
        <v>102185.02862884822</v>
      </c>
      <c r="BC240" s="342">
        <f t="shared" si="330"/>
        <v>0.96772015562947677</v>
      </c>
      <c r="BD240" s="347"/>
      <c r="BE240" s="377" t="str">
        <f>'Original Title I &amp; II'!AZ240</f>
        <v/>
      </c>
      <c r="BF240" s="244" t="str">
        <f t="shared" si="352"/>
        <v/>
      </c>
      <c r="BG240" s="266">
        <f t="shared" si="314"/>
        <v>102185.02862884822</v>
      </c>
      <c r="BI240" s="203">
        <f>IFERROR(VLOOKUP(A240,'Title II Hold Harmless'!A$1:B$439,2, FALSE),"")</f>
        <v>11596</v>
      </c>
      <c r="BJ240" s="203">
        <f t="shared" si="324"/>
        <v>12887.093471512337</v>
      </c>
      <c r="BK240" s="203">
        <f t="shared" si="351"/>
        <v>12899.560340826556</v>
      </c>
      <c r="BL240" s="203" t="str">
        <f t="shared" si="326"/>
        <v/>
      </c>
      <c r="BM240" s="203">
        <f t="shared" si="327"/>
        <v>12899.560340826556</v>
      </c>
      <c r="BN240" s="200"/>
      <c r="BP240" s="298" t="s">
        <v>1448</v>
      </c>
      <c r="BQ240" s="299" t="str">
        <f t="shared" si="332"/>
        <v>Y</v>
      </c>
      <c r="BR240" s="300" t="s">
        <v>1448</v>
      </c>
      <c r="BT240" s="298" t="str">
        <f t="shared" si="333"/>
        <v>Y</v>
      </c>
      <c r="BU240" s="299" t="str">
        <f t="shared" si="328"/>
        <v>Y</v>
      </c>
      <c r="BV240" s="299" t="str">
        <f t="shared" si="329"/>
        <v>Y</v>
      </c>
      <c r="BW240" s="300" t="str">
        <f t="shared" si="334"/>
        <v>Y</v>
      </c>
      <c r="BY240" s="355">
        <f t="shared" si="335"/>
        <v>0</v>
      </c>
      <c r="BZ240" s="356">
        <f t="shared" si="336"/>
        <v>0</v>
      </c>
      <c r="CA240" s="356">
        <f t="shared" si="337"/>
        <v>0.95</v>
      </c>
      <c r="CB240" s="357">
        <f t="shared" si="338"/>
        <v>0.95</v>
      </c>
      <c r="CD240" s="312">
        <f t="shared" si="339"/>
        <v>235</v>
      </c>
    </row>
    <row r="241" spans="1:82" s="48" customFormat="1" outlineLevel="1" x14ac:dyDescent="0.3">
      <c r="A241" s="202">
        <v>78401000</v>
      </c>
      <c r="B241" s="48">
        <f>VLOOKUP(C241,'NCES ID'!$A$2:$B$3136,2,FALSE)</f>
        <v>400877</v>
      </c>
      <c r="C241" s="48">
        <f>VLOOKUP(A241,'State ID'!$A$2:$B$713,2,FALSE)</f>
        <v>91277</v>
      </c>
      <c r="D241" s="48" t="s">
        <v>158</v>
      </c>
      <c r="E241" s="48" t="s">
        <v>7</v>
      </c>
      <c r="F241" s="755"/>
      <c r="G241" s="755"/>
      <c r="H241" s="755"/>
      <c r="I241" s="755"/>
      <c r="J241" s="755"/>
      <c r="K241" s="755"/>
      <c r="L241" s="454"/>
      <c r="M241" s="455"/>
      <c r="N241" s="456"/>
      <c r="O241" s="209">
        <f>VLOOKUP($C241,'AzEDS FY17 12-04-16'!$A$1:$D$712,3,FALSE)</f>
        <v>631</v>
      </c>
      <c r="P241" s="223">
        <f>VLOOKUP($C241,'AzEDS FY17 12-04-16'!$A$1:$D$712,4,FALSE)</f>
        <v>610</v>
      </c>
      <c r="Q241" s="749"/>
      <c r="R241" s="454">
        <f t="shared" si="353"/>
        <v>631</v>
      </c>
      <c r="S241" s="455">
        <f t="shared" si="354"/>
        <v>302.02687384818989</v>
      </c>
      <c r="T241" s="230">
        <f t="shared" si="355"/>
        <v>0.47864797757240873</v>
      </c>
      <c r="U241" s="264" t="str">
        <f>IFERROR(VLOOKUP($B241,#REF!,8,FALSE),"")</f>
        <v/>
      </c>
      <c r="V241" s="265" t="str">
        <f>IFERROR(VLOOKUP($B241,#REF!,9,FALSE),"")</f>
        <v/>
      </c>
      <c r="W241" s="265" t="str">
        <f>IFERROR(VLOOKUP($B241,#REF!,10,FALSE),"")</f>
        <v/>
      </c>
      <c r="X241" s="265" t="str">
        <f>IFERROR(VLOOKUP($B241,#REF!,11,FALSE),"")</f>
        <v/>
      </c>
      <c r="Y241" s="266" t="str">
        <f>IFERROR(VLOOKUP($B241,#REF!,12,FALSE),"")</f>
        <v/>
      </c>
      <c r="Z241" s="265">
        <f t="shared" si="356"/>
        <v>145893.47852907176</v>
      </c>
      <c r="AA241" s="265">
        <f t="shared" si="357"/>
        <v>30170.536744059264</v>
      </c>
      <c r="AB241" s="265">
        <f t="shared" si="358"/>
        <v>85385.90741839353</v>
      </c>
      <c r="AC241" s="266">
        <f t="shared" si="359"/>
        <v>79483.063555723566</v>
      </c>
      <c r="AD241" s="265">
        <f t="shared" si="315"/>
        <v>145893.47852907176</v>
      </c>
      <c r="AE241" s="265">
        <f t="shared" si="316"/>
        <v>30170.536744059264</v>
      </c>
      <c r="AF241" s="265">
        <f t="shared" si="317"/>
        <v>85385.90741839353</v>
      </c>
      <c r="AG241" s="266">
        <f t="shared" si="318"/>
        <v>79483.063555723566</v>
      </c>
      <c r="AH241" s="265">
        <f t="shared" si="360"/>
        <v>145893.47852907176</v>
      </c>
      <c r="AI241" s="265">
        <f t="shared" si="361"/>
        <v>32301.358126889976</v>
      </c>
      <c r="AJ241" s="265">
        <f t="shared" si="362"/>
        <v>85411.248063613792</v>
      </c>
      <c r="AK241" s="265">
        <f t="shared" si="363"/>
        <v>79506.652367688963</v>
      </c>
      <c r="AL241" s="266">
        <f t="shared" si="349"/>
        <v>343112.73708726448</v>
      </c>
      <c r="AM241" s="347"/>
      <c r="AN241" s="264">
        <f>IFERROR(VLOOKUP($A241,'HH &amp; SI'!$B$4:$Z$494,'HH &amp; SI'!V$503,0),0)</f>
        <v>143903.39678777955</v>
      </c>
      <c r="AO241" s="265">
        <f>IFERROR(VLOOKUP($A241,'HH &amp; SI'!$B$4:$Z$494,'HH &amp; SI'!W$503,0),0)</f>
        <v>31237.469487032573</v>
      </c>
      <c r="AP241" s="265">
        <f>IFERROR(VLOOKUP($A241,'HH &amp; SI'!$B$4:$Z$494,'HH &amp; SI'!X$503,0),0)</f>
        <v>84634.466110036141</v>
      </c>
      <c r="AQ241" s="265">
        <f>IFERROR(VLOOKUP($A241,'HH &amp; SI'!$B$4:$Z$494,'HH &amp; SI'!Y$503,0),0)</f>
        <v>78630.632177882042</v>
      </c>
      <c r="AR241" s="266">
        <f t="shared" si="319"/>
        <v>338405.96456273028</v>
      </c>
      <c r="AS241" s="347"/>
      <c r="AT241" s="324">
        <f>IFERROR(VLOOKUP(A241,'Afton FY16 Final'!$A$5:$BV$572,'Afton FY16 Final'!$BV$587,0),0)</f>
        <v>224186.76563368592</v>
      </c>
      <c r="AU241" s="347"/>
      <c r="AV241" s="454">
        <v>0</v>
      </c>
      <c r="AW241" s="265">
        <f>IFERROR(VLOOKUP($A241,'HH &amp; SI'!$B$4:$EY$503,'HH &amp; SI'!EX$503,0),0)</f>
        <v>18955.16745953873</v>
      </c>
      <c r="AX241" s="265">
        <f>IFERROR(VLOOKUP($A241,'HH &amp; SI'!$B$4:$EY$503,'HH &amp; SI'!EY$503,0),0)</f>
        <v>319450.79710319155</v>
      </c>
      <c r="AY241" s="265">
        <f>AX241/$AX$582*'update_State Admin 1004(b)'!$B$30*0.01</f>
        <v>3057.3736116703622</v>
      </c>
      <c r="AZ241" s="266">
        <f t="shared" si="320"/>
        <v>316393.42349152121</v>
      </c>
      <c r="BA241" s="264">
        <f t="shared" si="321"/>
        <v>3163.9342349152121</v>
      </c>
      <c r="BB241" s="265">
        <f t="shared" si="322"/>
        <v>313229.48925660603</v>
      </c>
      <c r="BC241" s="342">
        <f t="shared" si="330"/>
        <v>1.397180999383403</v>
      </c>
      <c r="BD241" s="347"/>
      <c r="BE241" s="377" t="str">
        <f>'Original Title I &amp; II'!AZ241</f>
        <v/>
      </c>
      <c r="BF241" s="244" t="str">
        <f t="shared" si="352"/>
        <v/>
      </c>
      <c r="BG241" s="266">
        <f t="shared" si="314"/>
        <v>313229.48925660603</v>
      </c>
      <c r="BI241" s="203" t="str">
        <f>IFERROR(VLOOKUP(A241,'Title II Hold Harmless'!A$1:B$439,2, FALSE),"")</f>
        <v/>
      </c>
      <c r="BJ241" s="203">
        <f t="shared" si="324"/>
        <v>4461.6299244374459</v>
      </c>
      <c r="BK241" s="203">
        <f t="shared" si="351"/>
        <v>4465.9460689055004</v>
      </c>
      <c r="BL241" s="203" t="str">
        <f t="shared" si="326"/>
        <v/>
      </c>
      <c r="BM241" s="203">
        <f t="shared" si="327"/>
        <v>4465.9460689055004</v>
      </c>
      <c r="BN241" s="200"/>
      <c r="BP241" s="298" t="s">
        <v>1448</v>
      </c>
      <c r="BQ241" s="299" t="str">
        <f t="shared" si="332"/>
        <v>Y</v>
      </c>
      <c r="BR241" s="300" t="s">
        <v>1448</v>
      </c>
      <c r="BT241" s="298" t="str">
        <f t="shared" si="333"/>
        <v>Y</v>
      </c>
      <c r="BU241" s="299" t="str">
        <f t="shared" si="328"/>
        <v>Y</v>
      </c>
      <c r="BV241" s="299" t="str">
        <f t="shared" si="329"/>
        <v>Y</v>
      </c>
      <c r="BW241" s="300" t="str">
        <f t="shared" si="334"/>
        <v>Y</v>
      </c>
      <c r="BY241" s="355">
        <f t="shared" si="335"/>
        <v>0</v>
      </c>
      <c r="BZ241" s="356">
        <f t="shared" si="336"/>
        <v>0</v>
      </c>
      <c r="CA241" s="356">
        <f t="shared" si="337"/>
        <v>0.95</v>
      </c>
      <c r="CB241" s="357">
        <f t="shared" si="338"/>
        <v>0.95</v>
      </c>
      <c r="CD241" s="312">
        <f t="shared" si="339"/>
        <v>236</v>
      </c>
    </row>
    <row r="242" spans="1:82" s="48" customFormat="1" outlineLevel="1" x14ac:dyDescent="0.3">
      <c r="A242" s="202">
        <v>78103000</v>
      </c>
      <c r="B242" s="48">
        <f>VLOOKUP(C242,'NCES ID'!$A$2:$B$3136,2,FALSE)</f>
        <v>400895</v>
      </c>
      <c r="C242" s="48">
        <f>VLOOKUP(A242,'State ID'!$A$2:$B$713,2,FALSE)</f>
        <v>92250</v>
      </c>
      <c r="D242" s="48" t="s">
        <v>159</v>
      </c>
      <c r="E242" s="48" t="s">
        <v>7</v>
      </c>
      <c r="F242" s="755"/>
      <c r="G242" s="755"/>
      <c r="H242" s="755"/>
      <c r="I242" s="755"/>
      <c r="J242" s="755"/>
      <c r="K242" s="755"/>
      <c r="L242" s="454"/>
      <c r="M242" s="455"/>
      <c r="N242" s="456"/>
      <c r="O242" s="209">
        <f>VLOOKUP($C242,'Final SEA Counts'!$A$2:$F$709,5,FALSE)</f>
        <v>540</v>
      </c>
      <c r="P242" s="223">
        <f>VLOOKUP($C242,'Final SEA Counts'!$A$2:$F$709,6,FALSE)</f>
        <v>540</v>
      </c>
      <c r="Q242" s="749"/>
      <c r="R242" s="454">
        <f t="shared" si="353"/>
        <v>540</v>
      </c>
      <c r="S242" s="455">
        <f t="shared" si="354"/>
        <v>267.36805225905334</v>
      </c>
      <c r="T242" s="230">
        <f t="shared" si="355"/>
        <v>0.49512602270195061</v>
      </c>
      <c r="U242" s="264" t="str">
        <f>IFERROR(VLOOKUP($B242,#REF!,8,FALSE),"")</f>
        <v/>
      </c>
      <c r="V242" s="265" t="str">
        <f>IFERROR(VLOOKUP($B242,#REF!,9,FALSE),"")</f>
        <v/>
      </c>
      <c r="W242" s="265" t="str">
        <f>IFERROR(VLOOKUP($B242,#REF!,10,FALSE),"")</f>
        <v/>
      </c>
      <c r="X242" s="265" t="str">
        <f>IFERROR(VLOOKUP($B242,#REF!,11,FALSE),"")</f>
        <v/>
      </c>
      <c r="Y242" s="266" t="str">
        <f>IFERROR(VLOOKUP($B242,#REF!,12,FALSE),"")</f>
        <v/>
      </c>
      <c r="Z242" s="265">
        <f t="shared" si="356"/>
        <v>129151.60394376842</v>
      </c>
      <c r="AA242" s="265">
        <f t="shared" si="357"/>
        <v>26708.344002937709</v>
      </c>
      <c r="AB242" s="265">
        <f t="shared" si="358"/>
        <v>75587.524599889352</v>
      </c>
      <c r="AC242" s="266">
        <f t="shared" si="359"/>
        <v>70362.056262443803</v>
      </c>
      <c r="AD242" s="265">
        <f t="shared" si="315"/>
        <v>129151.60394376842</v>
      </c>
      <c r="AE242" s="265">
        <f t="shared" si="316"/>
        <v>26708.344002937709</v>
      </c>
      <c r="AF242" s="265">
        <f t="shared" si="317"/>
        <v>75587.524599889352</v>
      </c>
      <c r="AG242" s="266">
        <f t="shared" si="318"/>
        <v>70362.056262443803</v>
      </c>
      <c r="AH242" s="265">
        <f t="shared" si="360"/>
        <v>129151.60394376842</v>
      </c>
      <c r="AI242" s="265">
        <f t="shared" si="361"/>
        <v>28839.165385768421</v>
      </c>
      <c r="AJ242" s="265">
        <f t="shared" si="362"/>
        <v>75612.865245109613</v>
      </c>
      <c r="AK242" s="265">
        <f t="shared" si="363"/>
        <v>70385.6450744092</v>
      </c>
      <c r="AL242" s="266">
        <f t="shared" si="349"/>
        <v>303989.27964905568</v>
      </c>
      <c r="AM242" s="347"/>
      <c r="AN242" s="264">
        <f>IFERROR(VLOOKUP($A242,'HH &amp; SI'!$B$4:$Z$494,'HH &amp; SI'!V$503,0),0)</f>
        <v>127389.89223836223</v>
      </c>
      <c r="AO242" s="265">
        <f>IFERROR(VLOOKUP($A242,'HH &amp; SI'!$B$4:$Z$494,'HH &amp; SI'!W$503,0),0)</f>
        <v>27889.308716697091</v>
      </c>
      <c r="AP242" s="265">
        <f>IFERROR(VLOOKUP($A242,'HH &amp; SI'!$B$4:$Z$494,'HH &amp; SI'!X$503,0),0)</f>
        <v>74925.195757632333</v>
      </c>
      <c r="AQ242" s="265">
        <f>IFERROR(VLOOKUP($A242,'HH &amp; SI'!$B$4:$Z$494,'HH &amp; SI'!Y$503,0),0)</f>
        <v>69610.121966322389</v>
      </c>
      <c r="AR242" s="266">
        <f t="shared" si="319"/>
        <v>299814.51867901406</v>
      </c>
      <c r="AS242" s="347"/>
      <c r="AT242" s="324">
        <f>IFERROR(VLOOKUP(A242,'Afton FY16 Final'!$A$5:$BV$572,'Afton FY16 Final'!$BV$587,0),0)</f>
        <v>234023.50172253425</v>
      </c>
      <c r="AU242" s="347"/>
      <c r="AV242" s="454">
        <v>0</v>
      </c>
      <c r="AW242" s="265">
        <f>IFERROR(VLOOKUP($A242,'HH &amp; SI'!$B$4:$EY$503,'HH &amp; SI'!EX$503,0),0)</f>
        <v>16793.540904945345</v>
      </c>
      <c r="AX242" s="265">
        <f>IFERROR(VLOOKUP($A242,'HH &amp; SI'!$B$4:$EY$503,'HH &amp; SI'!EY$503,0),0)</f>
        <v>283020.97777406871</v>
      </c>
      <c r="AY242" s="265">
        <f>AX242/$AX$582*'update_State Admin 1004(b)'!$B$30*0.01</f>
        <v>2708.7140706556615</v>
      </c>
      <c r="AZ242" s="266">
        <f t="shared" si="320"/>
        <v>280312.26370341307</v>
      </c>
      <c r="BA242" s="264">
        <f t="shared" si="321"/>
        <v>2803.122637034131</v>
      </c>
      <c r="BB242" s="265">
        <f t="shared" si="322"/>
        <v>277509.14106637897</v>
      </c>
      <c r="BC242" s="342">
        <f t="shared" si="330"/>
        <v>1.1858174030546842</v>
      </c>
      <c r="BD242" s="347"/>
      <c r="BE242" s="377" t="str">
        <f>'Original Title I &amp; II'!AZ242</f>
        <v/>
      </c>
      <c r="BF242" s="244" t="str">
        <f t="shared" si="352"/>
        <v/>
      </c>
      <c r="BG242" s="266">
        <f t="shared" si="314"/>
        <v>277509.14106637897</v>
      </c>
      <c r="BI242" s="203" t="str">
        <f>IFERROR(VLOOKUP(A242,'Title II Hold Harmless'!A$1:B$439,2, FALSE),"")</f>
        <v/>
      </c>
      <c r="BJ242" s="203">
        <f t="shared" si="324"/>
        <v>3934.6782470776789</v>
      </c>
      <c r="BK242" s="203">
        <f t="shared" si="351"/>
        <v>3938.484622782818</v>
      </c>
      <c r="BL242" s="203" t="str">
        <f t="shared" si="326"/>
        <v/>
      </c>
      <c r="BM242" s="203">
        <f t="shared" si="327"/>
        <v>3938.484622782818</v>
      </c>
      <c r="BN242" s="200"/>
      <c r="BP242" s="298" t="s">
        <v>1448</v>
      </c>
      <c r="BQ242" s="299" t="str">
        <f t="shared" si="332"/>
        <v>Y</v>
      </c>
      <c r="BR242" s="300" t="s">
        <v>1448</v>
      </c>
      <c r="BT242" s="298" t="str">
        <f t="shared" si="333"/>
        <v>Y</v>
      </c>
      <c r="BU242" s="299" t="str">
        <f t="shared" si="328"/>
        <v>Y</v>
      </c>
      <c r="BV242" s="299" t="str">
        <f t="shared" si="329"/>
        <v>Y</v>
      </c>
      <c r="BW242" s="300" t="str">
        <f t="shared" si="334"/>
        <v>Y</v>
      </c>
      <c r="BY242" s="355">
        <f t="shared" si="335"/>
        <v>0</v>
      </c>
      <c r="BZ242" s="356">
        <f t="shared" si="336"/>
        <v>0</v>
      </c>
      <c r="CA242" s="356">
        <f t="shared" si="337"/>
        <v>0.95</v>
      </c>
      <c r="CB242" s="357">
        <f t="shared" si="338"/>
        <v>0.95</v>
      </c>
      <c r="CD242" s="312">
        <f t="shared" si="339"/>
        <v>237</v>
      </c>
    </row>
    <row r="243" spans="1:82" s="48" customFormat="1" outlineLevel="1" x14ac:dyDescent="0.3">
      <c r="A243" s="202">
        <v>78711000</v>
      </c>
      <c r="B243" s="48">
        <f>VLOOKUP(C243,'NCES ID'!$A$2:$B$3136,2,FALSE)</f>
        <v>400052</v>
      </c>
      <c r="C243" s="48">
        <f>VLOOKUP(A243,'State ID'!$A$2:$B$713,2,FALSE)</f>
        <v>4335</v>
      </c>
      <c r="D243" s="48" t="s">
        <v>159</v>
      </c>
      <c r="E243" s="48" t="s">
        <v>7</v>
      </c>
      <c r="F243" s="755"/>
      <c r="G243" s="755"/>
      <c r="H243" s="755"/>
      <c r="I243" s="755"/>
      <c r="J243" s="755"/>
      <c r="K243" s="755"/>
      <c r="L243" s="454"/>
      <c r="M243" s="455"/>
      <c r="N243" s="456"/>
      <c r="O243" s="209">
        <f>VLOOKUP($C243,'Final SEA Counts'!$A$2:$F$709,5,FALSE)</f>
        <v>251</v>
      </c>
      <c r="P243" s="223">
        <f>VLOOKUP($C243,'Final SEA Counts'!$A$2:$F$709,6,FALSE)</f>
        <v>251</v>
      </c>
      <c r="Q243" s="749"/>
      <c r="R243" s="454">
        <f t="shared" si="353"/>
        <v>251</v>
      </c>
      <c r="S243" s="455">
        <f t="shared" si="354"/>
        <v>124.2766316981896</v>
      </c>
      <c r="T243" s="230">
        <f t="shared" si="355"/>
        <v>0.49512602270195061</v>
      </c>
      <c r="U243" s="264" t="str">
        <f>IFERROR(VLOOKUP($B243,#REF!,8,FALSE),"")</f>
        <v/>
      </c>
      <c r="V243" s="265" t="str">
        <f>IFERROR(VLOOKUP($B243,#REF!,9,FALSE),"")</f>
        <v/>
      </c>
      <c r="W243" s="265" t="str">
        <f>IFERROR(VLOOKUP($B243,#REF!,10,FALSE),"")</f>
        <v/>
      </c>
      <c r="X243" s="265" t="str">
        <f>IFERROR(VLOOKUP($B243,#REF!,11,FALSE),"")</f>
        <v/>
      </c>
      <c r="Y243" s="266" t="str">
        <f>IFERROR(VLOOKUP($B243,#REF!,12,FALSE),"")</f>
        <v/>
      </c>
      <c r="Z243" s="265">
        <f t="shared" si="356"/>
        <v>60031.578870159021</v>
      </c>
      <c r="AA243" s="265">
        <f t="shared" si="357"/>
        <v>12414.43397173586</v>
      </c>
      <c r="AB243" s="265">
        <f t="shared" si="358"/>
        <v>35134.201249207828</v>
      </c>
      <c r="AC243" s="266">
        <f t="shared" si="359"/>
        <v>32705.326151617399</v>
      </c>
      <c r="AD243" s="265">
        <f t="shared" si="315"/>
        <v>60031.578870159021</v>
      </c>
      <c r="AE243" s="265">
        <f t="shared" si="316"/>
        <v>12414.43397173586</v>
      </c>
      <c r="AF243" s="265">
        <f t="shared" si="317"/>
        <v>35134.201249207828</v>
      </c>
      <c r="AG243" s="266">
        <f t="shared" si="318"/>
        <v>32705.326151617399</v>
      </c>
      <c r="AH243" s="265">
        <f t="shared" si="360"/>
        <v>60031.578870159021</v>
      </c>
      <c r="AI243" s="265">
        <f t="shared" si="361"/>
        <v>14545.255354566572</v>
      </c>
      <c r="AJ243" s="265">
        <f t="shared" si="362"/>
        <v>35159.54189442809</v>
      </c>
      <c r="AK243" s="265">
        <f t="shared" si="363"/>
        <v>32728.9149635828</v>
      </c>
      <c r="AL243" s="266">
        <f t="shared" si="349"/>
        <v>142465.29108273648</v>
      </c>
      <c r="AM243" s="347"/>
      <c r="AN243" s="264">
        <f>IFERROR(VLOOKUP($A243,'HH &amp; SI'!$B$4:$Z$494,'HH &amp; SI'!V$503,0),0)</f>
        <v>154550.7346679577</v>
      </c>
      <c r="AO243" s="265">
        <f>IFERROR(VLOOKUP($A243,'HH &amp; SI'!$B$4:$Z$494,'HH &amp; SI'!W$503,0),0)</f>
        <v>29563.780863776796</v>
      </c>
      <c r="AP243" s="265">
        <f>IFERROR(VLOOKUP($A243,'HH &amp; SI'!$B$4:$Z$494,'HH &amp; SI'!X$503,0),0)</f>
        <v>77535.247572440712</v>
      </c>
      <c r="AQ243" s="265">
        <f>IFERROR(VLOOKUP($A243,'HH &amp; SI'!$B$4:$Z$494,'HH &amp; SI'!Y$503,0),0)</f>
        <v>72760.980794270901</v>
      </c>
      <c r="AR243" s="266">
        <f t="shared" si="319"/>
        <v>334410.74389844609</v>
      </c>
      <c r="AS243" s="347"/>
      <c r="AT243" s="324">
        <f>IFERROR(VLOOKUP(A243,'Afton FY16 Final'!$A$5:$BV$572,'Afton FY16 Final'!$BV$587,0),0)</f>
        <v>345080.20674364956</v>
      </c>
      <c r="AU243" s="347"/>
      <c r="AV243" s="454">
        <v>0</v>
      </c>
      <c r="AW243" s="265">
        <f>IFERROR(VLOOKUP($A243,'HH &amp; SI'!$B$4:$EY$503,'HH &amp; SI'!EX$503,0),0)</f>
        <v>0</v>
      </c>
      <c r="AX243" s="265">
        <f>IFERROR(VLOOKUP($A243,'HH &amp; SI'!$B$4:$EY$503,'HH &amp; SI'!EY$503,0),0)</f>
        <v>334410.74389844609</v>
      </c>
      <c r="AY243" s="265">
        <f>AX243/$AX$582*'update_State Admin 1004(b)'!$B$30*0.01</f>
        <v>3200.5510492556223</v>
      </c>
      <c r="AZ243" s="266">
        <f t="shared" si="320"/>
        <v>331210.19284919044</v>
      </c>
      <c r="BA243" s="264">
        <f t="shared" si="321"/>
        <v>3312.1019284919043</v>
      </c>
      <c r="BB243" s="265">
        <f t="shared" si="322"/>
        <v>327898.09092069854</v>
      </c>
      <c r="BC243" s="342">
        <f t="shared" si="330"/>
        <v>0.95020834146040967</v>
      </c>
      <c r="BD243" s="347"/>
      <c r="BE243" s="377" t="str">
        <f>'Original Title I &amp; II'!AZ243</f>
        <v/>
      </c>
      <c r="BF243" s="244" t="str">
        <f t="shared" si="352"/>
        <v/>
      </c>
      <c r="BG243" s="266">
        <f t="shared" si="314"/>
        <v>327898.09092069854</v>
      </c>
      <c r="BI243" s="203">
        <f>IFERROR(VLOOKUP(A243,'Title II Hold Harmless'!A$1:B$439,2, FALSE),"")</f>
        <v>41087</v>
      </c>
      <c r="BJ243" s="203">
        <f t="shared" si="324"/>
        <v>42915.896740771292</v>
      </c>
      <c r="BK243" s="203">
        <f t="shared" si="351"/>
        <v>42957.413229912345</v>
      </c>
      <c r="BL243" s="203" t="str">
        <f t="shared" si="326"/>
        <v/>
      </c>
      <c r="BM243" s="203">
        <f t="shared" si="327"/>
        <v>42957.413229912345</v>
      </c>
      <c r="BN243" s="200"/>
      <c r="BP243" s="298" t="s">
        <v>1448</v>
      </c>
      <c r="BQ243" s="299" t="str">
        <f t="shared" si="332"/>
        <v>Y</v>
      </c>
      <c r="BR243" s="300" t="s">
        <v>1448</v>
      </c>
      <c r="BT243" s="298" t="str">
        <f t="shared" si="333"/>
        <v>Y</v>
      </c>
      <c r="BU243" s="299" t="str">
        <f t="shared" si="328"/>
        <v>Y</v>
      </c>
      <c r="BV243" s="299" t="str">
        <f t="shared" si="329"/>
        <v>Y</v>
      </c>
      <c r="BW243" s="300" t="str">
        <f t="shared" si="334"/>
        <v>Y</v>
      </c>
      <c r="BY243" s="355">
        <f t="shared" si="335"/>
        <v>0</v>
      </c>
      <c r="BZ243" s="356">
        <f t="shared" si="336"/>
        <v>0</v>
      </c>
      <c r="CA243" s="356">
        <f t="shared" si="337"/>
        <v>0.95</v>
      </c>
      <c r="CB243" s="357">
        <f t="shared" si="338"/>
        <v>0.95</v>
      </c>
      <c r="CD243" s="312">
        <f t="shared" si="339"/>
        <v>238</v>
      </c>
    </row>
    <row r="244" spans="1:82" s="48" customFormat="1" outlineLevel="1" x14ac:dyDescent="0.3">
      <c r="A244" s="202">
        <v>78901000</v>
      </c>
      <c r="B244" s="48">
        <f>VLOOKUP(C244,'NCES ID'!$A$2:$B$3136,2,FALSE)</f>
        <v>400235</v>
      </c>
      <c r="C244" s="48">
        <f>VLOOKUP(A244,'State ID'!$A$2:$B$713,2,FALSE)</f>
        <v>79214</v>
      </c>
      <c r="D244" s="48" t="s">
        <v>160</v>
      </c>
      <c r="E244" s="48" t="s">
        <v>7</v>
      </c>
      <c r="F244" s="755"/>
      <c r="G244" s="755"/>
      <c r="H244" s="755"/>
      <c r="I244" s="755"/>
      <c r="J244" s="755"/>
      <c r="K244" s="755"/>
      <c r="L244" s="454"/>
      <c r="M244" s="455"/>
      <c r="N244" s="456"/>
      <c r="O244" s="209">
        <f>VLOOKUP($C244,'Final SEA Counts'!$A$2:$F$709,5,FALSE)</f>
        <v>327</v>
      </c>
      <c r="P244" s="223">
        <f>VLOOKUP($C244,'Final SEA Counts'!$A$2:$F$709,6,FALSE)</f>
        <v>291</v>
      </c>
      <c r="Q244" s="749"/>
      <c r="R244" s="454">
        <f t="shared" si="353"/>
        <v>327</v>
      </c>
      <c r="S244" s="455">
        <f t="shared" si="354"/>
        <v>144.08167260626763</v>
      </c>
      <c r="T244" s="230">
        <f t="shared" si="355"/>
        <v>0.44061673579898358</v>
      </c>
      <c r="U244" s="264" t="str">
        <f>IFERROR(VLOOKUP($B244,#REF!,8,FALSE),"")</f>
        <v/>
      </c>
      <c r="V244" s="265" t="str">
        <f>IFERROR(VLOOKUP($B244,#REF!,9,FALSE),"")</f>
        <v/>
      </c>
      <c r="W244" s="265" t="str">
        <f>IFERROR(VLOOKUP($B244,#REF!,10,FALSE),"")</f>
        <v/>
      </c>
      <c r="X244" s="265" t="str">
        <f>IFERROR(VLOOKUP($B244,#REF!,11,FALSE),"")</f>
        <v/>
      </c>
      <c r="Y244" s="266" t="str">
        <f>IFERROR(VLOOKUP($B244,#REF!,12,FALSE),"")</f>
        <v/>
      </c>
      <c r="Z244" s="265">
        <f t="shared" si="356"/>
        <v>69598.364347475203</v>
      </c>
      <c r="AA244" s="265">
        <f t="shared" si="357"/>
        <v>14392.829823805319</v>
      </c>
      <c r="AB244" s="265">
        <f t="shared" si="358"/>
        <v>40733.277145495929</v>
      </c>
      <c r="AC244" s="266">
        <f t="shared" si="359"/>
        <v>37917.33031920583</v>
      </c>
      <c r="AD244" s="265">
        <f t="shared" si="315"/>
        <v>69598.364347475203</v>
      </c>
      <c r="AE244" s="265">
        <f t="shared" si="316"/>
        <v>14392.829823805319</v>
      </c>
      <c r="AF244" s="265">
        <f t="shared" si="317"/>
        <v>40733.277145495929</v>
      </c>
      <c r="AG244" s="266">
        <f t="shared" si="318"/>
        <v>37917.33031920583</v>
      </c>
      <c r="AH244" s="265">
        <f t="shared" si="360"/>
        <v>69598.364347475203</v>
      </c>
      <c r="AI244" s="265">
        <f t="shared" si="361"/>
        <v>16523.65120663603</v>
      </c>
      <c r="AJ244" s="265">
        <f t="shared" si="362"/>
        <v>40758.617790716191</v>
      </c>
      <c r="AK244" s="265">
        <f t="shared" si="363"/>
        <v>37940.919131171235</v>
      </c>
      <c r="AL244" s="266">
        <f t="shared" si="349"/>
        <v>164821.55247599864</v>
      </c>
      <c r="AM244" s="347"/>
      <c r="AN244" s="264">
        <f>IFERROR(VLOOKUP($A244,'HH &amp; SI'!$B$4:$Z$494,'HH &amp; SI'!V$503,0),0)</f>
        <v>68648.997484006308</v>
      </c>
      <c r="AO244" s="265">
        <f>IFERROR(VLOOKUP($A244,'HH &amp; SI'!$B$4:$Z$494,'HH &amp; SI'!W$503,0),0)</f>
        <v>15979.422547932301</v>
      </c>
      <c r="AP244" s="265">
        <f>IFERROR(VLOOKUP($A244,'HH &amp; SI'!$B$4:$Z$494,'HH &amp; SI'!X$503,0),0)</f>
        <v>40387.934075510246</v>
      </c>
      <c r="AQ244" s="265">
        <f>IFERROR(VLOOKUP($A244,'HH &amp; SI'!$B$4:$Z$494,'HH &amp; SI'!Y$503,0),0)</f>
        <v>37522.878499488877</v>
      </c>
      <c r="AR244" s="266">
        <f t="shared" si="319"/>
        <v>162539.23260693773</v>
      </c>
      <c r="AS244" s="347"/>
      <c r="AT244" s="324">
        <f>IFERROR(VLOOKUP(A244,'Afton FY16 Final'!$A$5:$BV$572,'Afton FY16 Final'!$BV$587,0),0)</f>
        <v>125601.76925544192</v>
      </c>
      <c r="AU244" s="347"/>
      <c r="AV244" s="454">
        <v>0</v>
      </c>
      <c r="AW244" s="265">
        <f>IFERROR(VLOOKUP($A244,'HH &amp; SI'!$B$4:$EY$503,'HH &amp; SI'!EX$503,0),0)</f>
        <v>9104.3264464634121</v>
      </c>
      <c r="AX244" s="265">
        <f>IFERROR(VLOOKUP($A244,'HH &amp; SI'!$B$4:$EY$503,'HH &amp; SI'!EY$503,0),0)</f>
        <v>153434.90616047432</v>
      </c>
      <c r="AY244" s="265">
        <f>AX244/$AX$582*'update_State Admin 1004(b)'!$B$30*0.01</f>
        <v>1468.4822747605087</v>
      </c>
      <c r="AZ244" s="266">
        <f t="shared" si="320"/>
        <v>151966.4238857138</v>
      </c>
      <c r="BA244" s="264">
        <f t="shared" si="321"/>
        <v>1519.6642388571379</v>
      </c>
      <c r="BB244" s="265">
        <f t="shared" si="322"/>
        <v>150446.75964685666</v>
      </c>
      <c r="BC244" s="342">
        <f t="shared" si="330"/>
        <v>1.1978076466493588</v>
      </c>
      <c r="BD244" s="347"/>
      <c r="BE244" s="377" t="str">
        <f>'Original Title I &amp; II'!AZ244</f>
        <v/>
      </c>
      <c r="BF244" s="244" t="str">
        <f t="shared" si="352"/>
        <v/>
      </c>
      <c r="BG244" s="266">
        <f t="shared" si="314"/>
        <v>150446.75964685666</v>
      </c>
      <c r="BI244" s="203">
        <f>IFERROR(VLOOKUP(A244,'Title II Hold Harmless'!A$1:B$439,2, FALSE),"")</f>
        <v>6472</v>
      </c>
      <c r="BJ244" s="203">
        <f t="shared" si="324"/>
        <v>8621.327177524674</v>
      </c>
      <c r="BK244" s="203">
        <f t="shared" si="351"/>
        <v>8629.6673792524671</v>
      </c>
      <c r="BL244" s="203" t="str">
        <f t="shared" si="326"/>
        <v/>
      </c>
      <c r="BM244" s="203">
        <f t="shared" si="327"/>
        <v>8629.6673792524671</v>
      </c>
      <c r="BN244" s="200"/>
      <c r="BP244" s="298" t="s">
        <v>1448</v>
      </c>
      <c r="BQ244" s="299" t="str">
        <f t="shared" si="332"/>
        <v>Y</v>
      </c>
      <c r="BR244" s="300" t="s">
        <v>1448</v>
      </c>
      <c r="BT244" s="298" t="str">
        <f t="shared" si="333"/>
        <v>Y</v>
      </c>
      <c r="BU244" s="299" t="str">
        <f t="shared" si="328"/>
        <v>Y</v>
      </c>
      <c r="BV244" s="299" t="str">
        <f t="shared" si="329"/>
        <v>Y</v>
      </c>
      <c r="BW244" s="300" t="str">
        <f t="shared" si="334"/>
        <v>Y</v>
      </c>
      <c r="BY244" s="355">
        <f t="shared" si="335"/>
        <v>0</v>
      </c>
      <c r="BZ244" s="356">
        <f t="shared" si="336"/>
        <v>0</v>
      </c>
      <c r="CA244" s="356">
        <f t="shared" si="337"/>
        <v>0.95</v>
      </c>
      <c r="CB244" s="357">
        <f t="shared" si="338"/>
        <v>0.95</v>
      </c>
      <c r="CD244" s="312">
        <f t="shared" si="339"/>
        <v>239</v>
      </c>
    </row>
    <row r="245" spans="1:82" s="48" customFormat="1" outlineLevel="1" x14ac:dyDescent="0.3">
      <c r="A245" s="202">
        <v>78785000</v>
      </c>
      <c r="B245" s="48">
        <f>VLOOKUP(C245,'NCES ID'!$A$2:$B$3136,2,FALSE)</f>
        <v>400191</v>
      </c>
      <c r="C245" s="48">
        <f>VLOOKUP(A245,'State ID'!$A$2:$B$713,2,FALSE)</f>
        <v>78783</v>
      </c>
      <c r="D245" s="48" t="s">
        <v>161</v>
      </c>
      <c r="E245" s="48" t="s">
        <v>7</v>
      </c>
      <c r="F245" s="755"/>
      <c r="G245" s="755"/>
      <c r="H245" s="755"/>
      <c r="I245" s="755"/>
      <c r="J245" s="755"/>
      <c r="K245" s="755"/>
      <c r="L245" s="454"/>
      <c r="M245" s="455"/>
      <c r="N245" s="456"/>
      <c r="O245" s="209">
        <f>VLOOKUP($C245,'Final SEA Counts'!$A$2:$F$709,5,FALSE)</f>
        <v>1076</v>
      </c>
      <c r="P245" s="223">
        <f>VLOOKUP($C245,'Final SEA Counts'!$A$2:$F$709,6,FALSE)</f>
        <v>941</v>
      </c>
      <c r="Q245" s="749"/>
      <c r="R245" s="454">
        <f t="shared" si="353"/>
        <v>1076</v>
      </c>
      <c r="S245" s="455">
        <f t="shared" si="354"/>
        <v>465.91358736253551</v>
      </c>
      <c r="T245" s="230">
        <f t="shared" si="355"/>
        <v>0.43300519271611104</v>
      </c>
      <c r="U245" s="264" t="str">
        <f>IFERROR(VLOOKUP($B245,#REF!,8,FALSE),"")</f>
        <v/>
      </c>
      <c r="V245" s="265" t="str">
        <f>IFERROR(VLOOKUP($B245,#REF!,9,FALSE),"")</f>
        <v/>
      </c>
      <c r="W245" s="265" t="str">
        <f>IFERROR(VLOOKUP($B245,#REF!,10,FALSE),"")</f>
        <v/>
      </c>
      <c r="X245" s="265" t="str">
        <f>IFERROR(VLOOKUP($B245,#REF!,11,FALSE),"")</f>
        <v/>
      </c>
      <c r="Y245" s="266" t="str">
        <f>IFERROR(VLOOKUP($B245,#REF!,12,FALSE),"")</f>
        <v/>
      </c>
      <c r="Z245" s="265">
        <f t="shared" si="356"/>
        <v>225058.62835386311</v>
      </c>
      <c r="AA245" s="265">
        <f t="shared" si="357"/>
        <v>46541.762419934043</v>
      </c>
      <c r="AB245" s="265">
        <f t="shared" si="358"/>
        <v>131718.26046017755</v>
      </c>
      <c r="AC245" s="266">
        <f t="shared" si="359"/>
        <v>122612.39804251782</v>
      </c>
      <c r="AD245" s="265">
        <f t="shared" si="315"/>
        <v>225058.62835386311</v>
      </c>
      <c r="AE245" s="265">
        <f t="shared" si="316"/>
        <v>46541.762419934043</v>
      </c>
      <c r="AF245" s="265">
        <f t="shared" si="317"/>
        <v>131718.26046017755</v>
      </c>
      <c r="AG245" s="266">
        <f t="shared" si="318"/>
        <v>122612.39804251782</v>
      </c>
      <c r="AH245" s="265">
        <f t="shared" si="360"/>
        <v>225058.62835386311</v>
      </c>
      <c r="AI245" s="265">
        <f t="shared" si="361"/>
        <v>48672.583802764755</v>
      </c>
      <c r="AJ245" s="265">
        <f t="shared" si="362"/>
        <v>131743.6011053978</v>
      </c>
      <c r="AK245" s="265">
        <f t="shared" si="363"/>
        <v>122635.98685448321</v>
      </c>
      <c r="AL245" s="266">
        <f t="shared" si="349"/>
        <v>528110.80011650885</v>
      </c>
      <c r="AM245" s="347"/>
      <c r="AN245" s="264">
        <f>IFERROR(VLOOKUP($A245,'HH &amp; SI'!$B$4:$Z$494,'HH &amp; SI'!V$503,0),0)</f>
        <v>221988.6825857386</v>
      </c>
      <c r="AO245" s="265">
        <f>IFERROR(VLOOKUP($A245,'HH &amp; SI'!$B$4:$Z$494,'HH &amp; SI'!W$503,0),0)</f>
        <v>47069.48684390464</v>
      </c>
      <c r="AP245" s="265">
        <f>IFERROR(VLOOKUP($A245,'HH &amp; SI'!$B$4:$Z$494,'HH &amp; SI'!X$503,0),0)</f>
        <v>130545.4444906884</v>
      </c>
      <c r="AQ245" s="265">
        <f>IFERROR(VLOOKUP($A245,'HH &amp; SI'!$B$4:$Z$494,'HH &amp; SI'!Y$503,0),0)</f>
        <v>121284.75903539968</v>
      </c>
      <c r="AR245" s="266">
        <f t="shared" si="319"/>
        <v>520888.37295573135</v>
      </c>
      <c r="AS245" s="347"/>
      <c r="AT245" s="324">
        <f>IFERROR(VLOOKUP(A245,'Afton FY16 Final'!$A$5:$BV$572,'Afton FY16 Final'!$BV$587,0),0)</f>
        <v>447122.97709341627</v>
      </c>
      <c r="AU245" s="347"/>
      <c r="AV245" s="454">
        <v>0</v>
      </c>
      <c r="AW245" s="265">
        <f>IFERROR(VLOOKUP($A245,'HH &amp; SI'!$B$4:$EY$503,'HH &amp; SI'!EX$503,0),0)</f>
        <v>29176.573024830199</v>
      </c>
      <c r="AX245" s="265">
        <f>IFERROR(VLOOKUP($A245,'HH &amp; SI'!$B$4:$EY$503,'HH &amp; SI'!EY$503,0),0)</f>
        <v>491711.79993090115</v>
      </c>
      <c r="AY245" s="265">
        <f>AX245/$AX$582*'update_State Admin 1004(b)'!$B$30*0.01</f>
        <v>4706.0351556113064</v>
      </c>
      <c r="AZ245" s="266">
        <f t="shared" si="320"/>
        <v>487005.76477528986</v>
      </c>
      <c r="BA245" s="264">
        <f t="shared" si="321"/>
        <v>4870.0576477528984</v>
      </c>
      <c r="BB245" s="265">
        <f t="shared" si="322"/>
        <v>482135.70712753694</v>
      </c>
      <c r="BC245" s="342">
        <f t="shared" si="330"/>
        <v>1.0783067116383185</v>
      </c>
      <c r="BD245" s="347"/>
      <c r="BE245" s="377" t="str">
        <f>'Original Title I &amp; II'!AZ245</f>
        <v/>
      </c>
      <c r="BF245" s="244" t="str">
        <f t="shared" si="352"/>
        <v/>
      </c>
      <c r="BG245" s="266">
        <f t="shared" si="314"/>
        <v>482135.70712753694</v>
      </c>
      <c r="BI245" s="203">
        <f>IFERROR(VLOOKUP(A245,'Title II Hold Harmless'!A$1:B$439,2, FALSE),"")</f>
        <v>849</v>
      </c>
      <c r="BJ245" s="203">
        <f t="shared" si="324"/>
        <v>7814.1891256741565</v>
      </c>
      <c r="BK245" s="203">
        <f t="shared" si="351"/>
        <v>7821.7485086212673</v>
      </c>
      <c r="BL245" s="203" t="str">
        <f t="shared" si="326"/>
        <v/>
      </c>
      <c r="BM245" s="203">
        <f t="shared" si="327"/>
        <v>7821.7485086212673</v>
      </c>
      <c r="BN245" s="200"/>
      <c r="BP245" s="298" t="s">
        <v>1448</v>
      </c>
      <c r="BQ245" s="299" t="str">
        <f t="shared" si="332"/>
        <v>Y</v>
      </c>
      <c r="BR245" s="300" t="s">
        <v>1448</v>
      </c>
      <c r="BT245" s="298" t="str">
        <f t="shared" si="333"/>
        <v>Y</v>
      </c>
      <c r="BU245" s="299" t="str">
        <f t="shared" si="328"/>
        <v>Y</v>
      </c>
      <c r="BV245" s="299" t="str">
        <f t="shared" si="329"/>
        <v>Y</v>
      </c>
      <c r="BW245" s="300" t="str">
        <f t="shared" si="334"/>
        <v>Y</v>
      </c>
      <c r="BY245" s="355">
        <f t="shared" si="335"/>
        <v>0</v>
      </c>
      <c r="BZ245" s="356">
        <f t="shared" si="336"/>
        <v>0</v>
      </c>
      <c r="CA245" s="356">
        <f t="shared" si="337"/>
        <v>0.95</v>
      </c>
      <c r="CB245" s="357">
        <f t="shared" si="338"/>
        <v>0.95</v>
      </c>
      <c r="CD245" s="312">
        <f t="shared" si="339"/>
        <v>240</v>
      </c>
    </row>
    <row r="246" spans="1:82" s="48" customFormat="1" outlineLevel="1" x14ac:dyDescent="0.3">
      <c r="A246" s="202">
        <v>78608000</v>
      </c>
      <c r="B246" s="48">
        <f>VLOOKUP(C246,'NCES ID'!$A$2:$B$3136,2,FALSE)</f>
        <v>400144</v>
      </c>
      <c r="C246" s="48">
        <f>VLOOKUP(A246,'State ID'!$A$2:$B$713,2,FALSE)</f>
        <v>4300</v>
      </c>
      <c r="D246" s="48" t="s">
        <v>165</v>
      </c>
      <c r="E246" s="48" t="s">
        <v>7</v>
      </c>
      <c r="F246" s="755"/>
      <c r="G246" s="755"/>
      <c r="H246" s="755"/>
      <c r="I246" s="755"/>
      <c r="J246" s="755"/>
      <c r="K246" s="755"/>
      <c r="L246" s="454"/>
      <c r="M246" s="455"/>
      <c r="N246" s="456"/>
      <c r="O246" s="209">
        <f>VLOOKUP($C246,'Final SEA Counts'!$A$2:$F$709,5,FALSE)</f>
        <v>94</v>
      </c>
      <c r="P246" s="223">
        <f>VLOOKUP($C246,'Final SEA Counts'!$A$2:$F$709,6,FALSE)</f>
        <v>85</v>
      </c>
      <c r="Q246" s="749"/>
      <c r="R246" s="454">
        <f t="shared" si="353"/>
        <v>94</v>
      </c>
      <c r="S246" s="455">
        <f t="shared" si="354"/>
        <v>42.085711929665798</v>
      </c>
      <c r="T246" s="230">
        <f t="shared" si="355"/>
        <v>0.44772033967729574</v>
      </c>
      <c r="U246" s="264" t="str">
        <f>IFERROR(VLOOKUP($B246,#REF!,8,FALSE),"")</f>
        <v/>
      </c>
      <c r="V246" s="265" t="str">
        <f>IFERROR(VLOOKUP($B246,#REF!,9,FALSE),"")</f>
        <v/>
      </c>
      <c r="W246" s="265" t="str">
        <f>IFERROR(VLOOKUP($B246,#REF!,10,FALSE),"")</f>
        <v/>
      </c>
      <c r="X246" s="265" t="str">
        <f>IFERROR(VLOOKUP($B246,#REF!,11,FALSE),"")</f>
        <v/>
      </c>
      <c r="Y246" s="266" t="str">
        <f>IFERROR(VLOOKUP($B246,#REF!,12,FALSE),"")</f>
        <v/>
      </c>
      <c r="Z246" s="265">
        <f t="shared" si="356"/>
        <v>20329.419139296879</v>
      </c>
      <c r="AA246" s="265">
        <f t="shared" si="357"/>
        <v>4204.0911856476014</v>
      </c>
      <c r="AB246" s="265">
        <f t="shared" si="358"/>
        <v>11898.036279612212</v>
      </c>
      <c r="AC246" s="266">
        <f t="shared" si="359"/>
        <v>11075.508856125412</v>
      </c>
      <c r="AD246" s="265">
        <f t="shared" si="315"/>
        <v>20329.419139296879</v>
      </c>
      <c r="AE246" s="265">
        <f t="shared" si="316"/>
        <v>4204.0911856476014</v>
      </c>
      <c r="AF246" s="265">
        <f t="shared" si="317"/>
        <v>11898.036279612212</v>
      </c>
      <c r="AG246" s="266">
        <f t="shared" si="318"/>
        <v>11075.508856125412</v>
      </c>
      <c r="AH246" s="265">
        <f t="shared" si="360"/>
        <v>20329.419139296879</v>
      </c>
      <c r="AI246" s="265">
        <f t="shared" si="361"/>
        <v>6334.9125684783139</v>
      </c>
      <c r="AJ246" s="265">
        <f t="shared" si="362"/>
        <v>11923.376924832472</v>
      </c>
      <c r="AK246" s="265">
        <f t="shared" si="363"/>
        <v>11099.097668090815</v>
      </c>
      <c r="AL246" s="266">
        <f t="shared" si="349"/>
        <v>49686.806300698481</v>
      </c>
      <c r="AM246" s="347"/>
      <c r="AN246" s="264">
        <f>IFERROR(VLOOKUP($A246,'HH &amp; SI'!$B$4:$Z$494,'HH &amp; SI'!V$503,0),0)</f>
        <v>23212.893498256701</v>
      </c>
      <c r="AO246" s="265">
        <f>IFERROR(VLOOKUP($A246,'HH &amp; SI'!$B$4:$Z$494,'HH &amp; SI'!W$503,0),0)</f>
        <v>6527.1401000084606</v>
      </c>
      <c r="AP246" s="265">
        <f>IFERROR(VLOOKUP($A246,'HH &amp; SI'!$B$4:$Z$494,'HH &amp; SI'!X$503,0),0)</f>
        <v>12597.909972882913</v>
      </c>
      <c r="AQ246" s="265">
        <f>IFERROR(VLOOKUP($A246,'HH &amp; SI'!$B$4:$Z$494,'HH &amp; SI'!Y$503,0),0)</f>
        <v>11409.018921650211</v>
      </c>
      <c r="AR246" s="266">
        <f t="shared" si="319"/>
        <v>53746.962492798288</v>
      </c>
      <c r="AS246" s="347"/>
      <c r="AT246" s="324">
        <f>IFERROR(VLOOKUP(A246,'Afton FY16 Final'!$A$5:$BV$572,'Afton FY16 Final'!$BV$587,0),0)</f>
        <v>51600.582163827494</v>
      </c>
      <c r="AU246" s="347"/>
      <c r="AV246" s="454">
        <v>0</v>
      </c>
      <c r="AW246" s="265">
        <f>IFERROR(VLOOKUP($A246,'HH &amp; SI'!$B$4:$EY$503,'HH &amp; SI'!EX$503,0),0)</f>
        <v>2146.3803289707939</v>
      </c>
      <c r="AX246" s="265">
        <f>IFERROR(VLOOKUP($A246,'HH &amp; SI'!$B$4:$EY$503,'HH &amp; SI'!EY$503,0),0)</f>
        <v>51600.582163827494</v>
      </c>
      <c r="AY246" s="265">
        <f>AX246/$AX$582*'update_State Admin 1004(b)'!$B$30*0.01</f>
        <v>493.85463954110253</v>
      </c>
      <c r="AZ246" s="266">
        <f t="shared" si="320"/>
        <v>51106.727524286391</v>
      </c>
      <c r="BA246" s="264">
        <f t="shared" si="321"/>
        <v>511.0672752428639</v>
      </c>
      <c r="BB246" s="265">
        <f t="shared" si="322"/>
        <v>50595.660249043525</v>
      </c>
      <c r="BC246" s="342">
        <f t="shared" si="330"/>
        <v>0.98052498881517602</v>
      </c>
      <c r="BD246" s="347"/>
      <c r="BE246" s="377" t="str">
        <f>'Original Title I &amp; II'!AZ246</f>
        <v/>
      </c>
      <c r="BF246" s="244" t="str">
        <f t="shared" si="352"/>
        <v/>
      </c>
      <c r="BG246" s="266">
        <f t="shared" si="314"/>
        <v>50595.660249043525</v>
      </c>
      <c r="BI246" s="203">
        <f>IFERROR(VLOOKUP(A246,'Title II Hold Harmless'!A$1:B$439,2, FALSE),"")</f>
        <v>3338</v>
      </c>
      <c r="BJ246" s="203">
        <f t="shared" si="324"/>
        <v>3964.5906990602452</v>
      </c>
      <c r="BK246" s="203">
        <f t="shared" si="351"/>
        <v>3968.4260118279235</v>
      </c>
      <c r="BL246" s="203" t="str">
        <f t="shared" si="326"/>
        <v/>
      </c>
      <c r="BM246" s="203">
        <f t="shared" si="327"/>
        <v>3968.4260118279235</v>
      </c>
      <c r="BN246" s="200"/>
      <c r="BP246" s="298" t="s">
        <v>1448</v>
      </c>
      <c r="BQ246" s="299" t="str">
        <f t="shared" si="332"/>
        <v>Y</v>
      </c>
      <c r="BR246" s="300" t="s">
        <v>1448</v>
      </c>
      <c r="BT246" s="298" t="str">
        <f t="shared" si="333"/>
        <v>Y</v>
      </c>
      <c r="BU246" s="299" t="str">
        <f t="shared" si="328"/>
        <v>Y</v>
      </c>
      <c r="BV246" s="299" t="str">
        <f t="shared" si="329"/>
        <v>Y</v>
      </c>
      <c r="BW246" s="300" t="str">
        <f t="shared" si="334"/>
        <v>Y</v>
      </c>
      <c r="BY246" s="355">
        <f t="shared" si="335"/>
        <v>0</v>
      </c>
      <c r="BZ246" s="356">
        <f t="shared" si="336"/>
        <v>0</v>
      </c>
      <c r="CA246" s="356">
        <f t="shared" si="337"/>
        <v>0.95</v>
      </c>
      <c r="CB246" s="357">
        <f t="shared" si="338"/>
        <v>0.95</v>
      </c>
      <c r="CD246" s="312">
        <f t="shared" si="339"/>
        <v>241</v>
      </c>
    </row>
    <row r="247" spans="1:82" s="48" customFormat="1" outlineLevel="1" x14ac:dyDescent="0.3">
      <c r="A247" s="202">
        <v>78611000</v>
      </c>
      <c r="B247" s="48">
        <f>VLOOKUP(C247,'NCES ID'!$A$2:$B$3136,2,FALSE)</f>
        <v>400102</v>
      </c>
      <c r="C247" s="48">
        <f>VLOOKUP(A247,'State ID'!$A$2:$B$713,2,FALSE)</f>
        <v>4303</v>
      </c>
      <c r="D247" s="48" t="s">
        <v>175</v>
      </c>
      <c r="E247" s="48" t="s">
        <v>7</v>
      </c>
      <c r="F247" s="755"/>
      <c r="G247" s="755"/>
      <c r="H247" s="755"/>
      <c r="I247" s="755"/>
      <c r="J247" s="755"/>
      <c r="K247" s="755"/>
      <c r="L247" s="454"/>
      <c r="M247" s="455"/>
      <c r="N247" s="456"/>
      <c r="O247" s="209">
        <f>VLOOKUP($C247,'Final SEA Counts'!$A$2:$F$709,5,FALSE)</f>
        <v>372</v>
      </c>
      <c r="P247" s="223">
        <f>VLOOKUP($C247,'Final SEA Counts'!$A$2:$F$709,6,FALSE)</f>
        <v>372</v>
      </c>
      <c r="Q247" s="749"/>
      <c r="R247" s="454">
        <f t="shared" si="353"/>
        <v>372</v>
      </c>
      <c r="S247" s="455">
        <f t="shared" si="354"/>
        <v>184.18688044512564</v>
      </c>
      <c r="T247" s="230">
        <f t="shared" si="355"/>
        <v>0.49512602270195066</v>
      </c>
      <c r="U247" s="264" t="str">
        <f>IFERROR(VLOOKUP($B247,#REF!,8,FALSE),"")</f>
        <v/>
      </c>
      <c r="V247" s="265" t="str">
        <f>IFERROR(VLOOKUP($B247,#REF!,9,FALSE),"")</f>
        <v/>
      </c>
      <c r="W247" s="265" t="str">
        <f>IFERROR(VLOOKUP($B247,#REF!,10,FALSE),"")</f>
        <v/>
      </c>
      <c r="X247" s="265" t="str">
        <f>IFERROR(VLOOKUP($B247,#REF!,11,FALSE),"")</f>
        <v/>
      </c>
      <c r="Y247" s="266" t="str">
        <f>IFERROR(VLOOKUP($B247,#REF!,12,FALSE),"")</f>
        <v/>
      </c>
      <c r="Z247" s="265">
        <f t="shared" si="356"/>
        <v>88971.104939040466</v>
      </c>
      <c r="AA247" s="265">
        <f t="shared" si="357"/>
        <v>18399.081424245978</v>
      </c>
      <c r="AB247" s="265">
        <f t="shared" si="358"/>
        <v>52071.405835479338</v>
      </c>
      <c r="AC247" s="266">
        <f t="shared" si="359"/>
        <v>48471.638758572401</v>
      </c>
      <c r="AD247" s="265">
        <f t="shared" si="315"/>
        <v>88971.104939040466</v>
      </c>
      <c r="AE247" s="265">
        <f t="shared" si="316"/>
        <v>18399.081424245978</v>
      </c>
      <c r="AF247" s="265">
        <f t="shared" si="317"/>
        <v>52071.405835479338</v>
      </c>
      <c r="AG247" s="266">
        <f t="shared" si="318"/>
        <v>48471.638758572401</v>
      </c>
      <c r="AH247" s="265">
        <f t="shared" si="360"/>
        <v>88971.104939040466</v>
      </c>
      <c r="AI247" s="265">
        <f t="shared" si="361"/>
        <v>20529.902807076691</v>
      </c>
      <c r="AJ247" s="265">
        <f t="shared" si="362"/>
        <v>52096.746480699599</v>
      </c>
      <c r="AK247" s="265">
        <f t="shared" si="363"/>
        <v>48495.227570537805</v>
      </c>
      <c r="AL247" s="266">
        <f t="shared" si="349"/>
        <v>210092.98179735456</v>
      </c>
      <c r="AM247" s="347"/>
      <c r="AN247" s="264">
        <f>IFERROR(VLOOKUP($A247,'HH &amp; SI'!$B$4:$Z$494,'HH &amp; SI'!V$503,0),0)</f>
        <v>87757.481319760642</v>
      </c>
      <c r="AO247" s="265">
        <f>IFERROR(VLOOKUP($A247,'HH &amp; SI'!$B$4:$Z$494,'HH &amp; SI'!W$503,0),0)</f>
        <v>19853.722867891931</v>
      </c>
      <c r="AP247" s="265">
        <f>IFERROR(VLOOKUP($A247,'HH &amp; SI'!$B$4:$Z$494,'HH &amp; SI'!X$503,0),0)</f>
        <v>51622.946911863219</v>
      </c>
      <c r="AQ247" s="265">
        <f>IFERROR(VLOOKUP($A247,'HH &amp; SI'!$B$4:$Z$494,'HH &amp; SI'!Y$503,0),0)</f>
        <v>47960.897458579304</v>
      </c>
      <c r="AR247" s="266">
        <f t="shared" si="319"/>
        <v>207195.04855809509</v>
      </c>
      <c r="AS247" s="347"/>
      <c r="AT247" s="324">
        <f>IFERROR(VLOOKUP(A247,'Afton FY16 Final'!$A$5:$BV$572,'Afton FY16 Final'!$BV$587,0),0)</f>
        <v>189990.38320836355</v>
      </c>
      <c r="AU247" s="347"/>
      <c r="AV247" s="454">
        <v>0</v>
      </c>
      <c r="AW247" s="265">
        <f>IFERROR(VLOOKUP($A247,'HH &amp; SI'!$B$4:$EY$503,'HH &amp; SI'!EX$503,0),0)</f>
        <v>11605.637173921423</v>
      </c>
      <c r="AX247" s="265">
        <f>IFERROR(VLOOKUP($A247,'HH &amp; SI'!$B$4:$EY$503,'HH &amp; SI'!EY$503,0),0)</f>
        <v>195589.41138417367</v>
      </c>
      <c r="AY247" s="265">
        <f>AX247/$AX$582*'update_State Admin 1004(b)'!$B$30*0.01</f>
        <v>1871.9311722203774</v>
      </c>
      <c r="AZ247" s="266">
        <f t="shared" si="320"/>
        <v>193717.48021195328</v>
      </c>
      <c r="BA247" s="264">
        <f t="shared" si="321"/>
        <v>1937.1748021195328</v>
      </c>
      <c r="BB247" s="265">
        <f t="shared" si="322"/>
        <v>191780.30540983376</v>
      </c>
      <c r="BC247" s="342">
        <f t="shared" si="330"/>
        <v>1.0094211200127281</v>
      </c>
      <c r="BD247" s="347"/>
      <c r="BE247" s="377" t="str">
        <f>'Original Title I &amp; II'!AZ247</f>
        <v/>
      </c>
      <c r="BF247" s="244" t="str">
        <f t="shared" si="352"/>
        <v/>
      </c>
      <c r="BG247" s="266">
        <f t="shared" ref="BG247:BG310" si="364">IF(BF247&lt;0,BB247+BF247,BB247)</f>
        <v>191780.30540983376</v>
      </c>
      <c r="BI247" s="203">
        <f>IFERROR(VLOOKUP(A247,'Title II Hold Harmless'!A$1:B$439,2, FALSE),"")</f>
        <v>14243</v>
      </c>
      <c r="BJ247" s="203">
        <f t="shared" si="324"/>
        <v>16953.556125764622</v>
      </c>
      <c r="BK247" s="203">
        <f t="shared" si="351"/>
        <v>16969.956857946661</v>
      </c>
      <c r="BL247" s="203" t="str">
        <f t="shared" si="326"/>
        <v/>
      </c>
      <c r="BM247" s="203">
        <f t="shared" si="327"/>
        <v>16969.956857946661</v>
      </c>
      <c r="BN247" s="200"/>
      <c r="BP247" s="298" t="s">
        <v>1448</v>
      </c>
      <c r="BQ247" s="299" t="str">
        <f t="shared" si="332"/>
        <v>Y</v>
      </c>
      <c r="BR247" s="300" t="s">
        <v>1448</v>
      </c>
      <c r="BT247" s="298" t="str">
        <f t="shared" si="333"/>
        <v>Y</v>
      </c>
      <c r="BU247" s="299" t="str">
        <f t="shared" si="328"/>
        <v>Y</v>
      </c>
      <c r="BV247" s="299" t="str">
        <f t="shared" si="329"/>
        <v>Y</v>
      </c>
      <c r="BW247" s="300" t="str">
        <f t="shared" si="334"/>
        <v>Y</v>
      </c>
      <c r="BY247" s="355">
        <f t="shared" si="335"/>
        <v>0</v>
      </c>
      <c r="BZ247" s="356">
        <f t="shared" si="336"/>
        <v>0</v>
      </c>
      <c r="CA247" s="356">
        <f t="shared" si="337"/>
        <v>0.95</v>
      </c>
      <c r="CB247" s="357">
        <f t="shared" si="338"/>
        <v>0.95</v>
      </c>
      <c r="CD247" s="312">
        <f t="shared" si="339"/>
        <v>242</v>
      </c>
    </row>
    <row r="248" spans="1:82" s="48" customFormat="1" outlineLevel="1" x14ac:dyDescent="0.3">
      <c r="A248" s="202">
        <v>78774000</v>
      </c>
      <c r="B248" s="48">
        <f>VLOOKUP(C248,'NCES ID'!$A$2:$B$3136,2,FALSE)</f>
        <v>400145</v>
      </c>
      <c r="C248" s="48">
        <f>VLOOKUP(A248,'State ID'!$A$2:$B$713,2,FALSE)</f>
        <v>6372</v>
      </c>
      <c r="D248" s="48" t="s">
        <v>178</v>
      </c>
      <c r="E248" s="48" t="s">
        <v>7</v>
      </c>
      <c r="F248" s="755"/>
      <c r="G248" s="755"/>
      <c r="H248" s="755"/>
      <c r="I248" s="755"/>
      <c r="J248" s="755"/>
      <c r="K248" s="755"/>
      <c r="L248" s="454"/>
      <c r="M248" s="455"/>
      <c r="N248" s="456"/>
      <c r="O248" s="209">
        <f>VLOOKUP($C248,'Final SEA Counts'!$A$2:$F$709,5,FALSE)</f>
        <v>30</v>
      </c>
      <c r="P248" s="223">
        <f>VLOOKUP($C248,'Final SEA Counts'!$A$2:$F$709,6,FALSE)</f>
        <v>23</v>
      </c>
      <c r="Q248" s="749"/>
      <c r="R248" s="454">
        <f t="shared" si="353"/>
        <v>30</v>
      </c>
      <c r="S248" s="455">
        <f t="shared" si="354"/>
        <v>11.387898522144864</v>
      </c>
      <c r="T248" s="230">
        <f t="shared" si="355"/>
        <v>0.37959661740482881</v>
      </c>
      <c r="U248" s="264" t="str">
        <f>IFERROR(VLOOKUP($B248,#REF!,8,FALSE),"")</f>
        <v/>
      </c>
      <c r="V248" s="265" t="str">
        <f>IFERROR(VLOOKUP($B248,#REF!,9,FALSE),"")</f>
        <v/>
      </c>
      <c r="W248" s="265" t="str">
        <f>IFERROR(VLOOKUP($B248,#REF!,10,FALSE),"")</f>
        <v/>
      </c>
      <c r="X248" s="265" t="str">
        <f>IFERROR(VLOOKUP($B248,#REF!,11,FALSE),"")</f>
        <v/>
      </c>
      <c r="Y248" s="266" t="str">
        <f>IFERROR(VLOOKUP($B248,#REF!,12,FALSE),"")</f>
        <v/>
      </c>
      <c r="Z248" s="265">
        <f t="shared" si="356"/>
        <v>5500.9016494568032</v>
      </c>
      <c r="AA248" s="265">
        <f t="shared" si="357"/>
        <v>1137.5776149399394</v>
      </c>
      <c r="AB248" s="265">
        <f t="shared" si="358"/>
        <v>3219.4686403656574</v>
      </c>
      <c r="AC248" s="266">
        <f t="shared" si="359"/>
        <v>2996.9023963633472</v>
      </c>
      <c r="AD248" s="265">
        <f t="shared" ref="AD248:AD311" si="365">IF(BT248="Y",Z248,"")</f>
        <v>5500.9016494568032</v>
      </c>
      <c r="AE248" s="265">
        <f t="shared" ref="AE248:AE311" si="366">IF(BU248="Y",AA248,"")</f>
        <v>1137.5776149399394</v>
      </c>
      <c r="AF248" s="265">
        <f t="shared" ref="AF248:AF311" si="367">IF(BV248="Y",AB248,"")</f>
        <v>3219.4686403656574</v>
      </c>
      <c r="AG248" s="266">
        <f t="shared" ref="AG248:AG311" si="368">IF(BW248="Y",AC248,"")</f>
        <v>2996.9023963633472</v>
      </c>
      <c r="AH248" s="265">
        <f t="shared" si="360"/>
        <v>5500.9016494568032</v>
      </c>
      <c r="AI248" s="265">
        <f t="shared" si="361"/>
        <v>3268.3989977706519</v>
      </c>
      <c r="AJ248" s="265">
        <f t="shared" si="362"/>
        <v>3244.8092855859163</v>
      </c>
      <c r="AK248" s="265">
        <f t="shared" si="363"/>
        <v>3020.4912083287495</v>
      </c>
      <c r="AL248" s="266">
        <f t="shared" si="349"/>
        <v>15034.60114114212</v>
      </c>
      <c r="AM248" s="347"/>
      <c r="AN248" s="264">
        <f>IFERROR(VLOOKUP($A248,'HH &amp; SI'!$B$4:$Z$494,'HH &amp; SI'!V$503,0),0)</f>
        <v>6696.0648273405623</v>
      </c>
      <c r="AO248" s="265">
        <f>IFERROR(VLOOKUP($A248,'HH &amp; SI'!$B$4:$Z$494,'HH &amp; SI'!W$503,0),0)</f>
        <v>3160.7498843621706</v>
      </c>
      <c r="AP248" s="265">
        <f>IFERROR(VLOOKUP($A248,'HH &amp; SI'!$B$4:$Z$494,'HH &amp; SI'!X$503,0),0)</f>
        <v>3550.3514049263872</v>
      </c>
      <c r="AQ248" s="265">
        <f>IFERROR(VLOOKUP($A248,'HH &amp; SI'!$B$4:$Z$494,'HH &amp; SI'!Y$503,0),0)</f>
        <v>3420.7391396220537</v>
      </c>
      <c r="AR248" s="266">
        <f t="shared" ref="AR248:AR311" si="369">SUM(AN248:AQ248)</f>
        <v>16827.905256251172</v>
      </c>
      <c r="AS248" s="347"/>
      <c r="AT248" s="324">
        <f>IFERROR(VLOOKUP(A248,'Afton FY16 Final'!$A$5:$BV$572,'Afton FY16 Final'!$BV$587,0),0)</f>
        <v>14241.385272485652</v>
      </c>
      <c r="AU248" s="347"/>
      <c r="AV248" s="454">
        <v>0</v>
      </c>
      <c r="AW248" s="265">
        <f>IFERROR(VLOOKUP($A248,'HH &amp; SI'!$B$4:$EY$503,'HH &amp; SI'!EX$503,0),0)</f>
        <v>942.58315611445323</v>
      </c>
      <c r="AX248" s="265">
        <f>IFERROR(VLOOKUP($A248,'HH &amp; SI'!$B$4:$EY$503,'HH &amp; SI'!EY$503,0),0)</f>
        <v>15885.322100136718</v>
      </c>
      <c r="AY248" s="265">
        <f>AX248/$AX$582*'update_State Admin 1004(b)'!$B$30*0.01</f>
        <v>152.03394401346071</v>
      </c>
      <c r="AZ248" s="266">
        <f t="shared" ref="AZ248:AZ311" si="370">AX248-AY248</f>
        <v>15733.288156123257</v>
      </c>
      <c r="BA248" s="264">
        <f t="shared" ref="BA248:BA311" si="371">AZ248*0.01</f>
        <v>157.33288156123257</v>
      </c>
      <c r="BB248" s="265">
        <f t="shared" ref="BB248:BB311" si="372">AZ248-BA248</f>
        <v>15575.955274562024</v>
      </c>
      <c r="BC248" s="342">
        <f t="shared" si="330"/>
        <v>1.0937106873061542</v>
      </c>
      <c r="BD248" s="347"/>
      <c r="BE248" s="377" t="str">
        <f>'Original Title I &amp; II'!AZ248</f>
        <v/>
      </c>
      <c r="BF248" s="244" t="str">
        <f t="shared" si="352"/>
        <v/>
      </c>
      <c r="BG248" s="266">
        <f t="shared" si="364"/>
        <v>15575.955274562024</v>
      </c>
      <c r="BI248" s="203">
        <f>IFERROR(VLOOKUP(A248,'Title II Hold Harmless'!A$1:B$439,2, FALSE),"")</f>
        <v>974</v>
      </c>
      <c r="BJ248" s="203">
        <f t="shared" ref="BJ248:BJ311" si="373">IFERROR($BI$587*(0.8*($S248/$S$584)+0.2*($R248/$R$584))+$BI248,$BI$587*(0.8*($S248/$S$584)+0.2*($R248/$R$584)))</f>
        <v>1147.2217453871583</v>
      </c>
      <c r="BK248" s="203">
        <f t="shared" ref="BK248:BK279" si="374">$BI$588*BJ248</f>
        <v>1148.3315583644435</v>
      </c>
      <c r="BL248" s="203" t="str">
        <f t="shared" si="326"/>
        <v/>
      </c>
      <c r="BM248" s="203">
        <f t="shared" si="327"/>
        <v>1148.3315583644435</v>
      </c>
      <c r="BN248" s="200"/>
      <c r="BP248" s="298" t="s">
        <v>1448</v>
      </c>
      <c r="BQ248" s="299" t="str">
        <f t="shared" si="332"/>
        <v>Y</v>
      </c>
      <c r="BR248" s="300" t="s">
        <v>1448</v>
      </c>
      <c r="BT248" s="298" t="str">
        <f t="shared" si="333"/>
        <v>Y</v>
      </c>
      <c r="BU248" s="299" t="str">
        <f t="shared" ref="BU248:BU311" si="375">IF(AND(BT248="Y",(OR(T248&gt;0.15,S248&gt;6500))),"Y","N")</f>
        <v>Y</v>
      </c>
      <c r="BV248" s="299" t="str">
        <f t="shared" ref="BV248:BV311" si="376">IF(AND(BT248="Y",T248&gt;=0.05),"Y","N")</f>
        <v>Y</v>
      </c>
      <c r="BW248" s="300" t="str">
        <f t="shared" si="334"/>
        <v>Y</v>
      </c>
      <c r="BY248" s="355">
        <f t="shared" si="335"/>
        <v>0</v>
      </c>
      <c r="BZ248" s="356">
        <f t="shared" si="336"/>
        <v>0</v>
      </c>
      <c r="CA248" s="356">
        <f t="shared" si="337"/>
        <v>0.95</v>
      </c>
      <c r="CB248" s="357">
        <f t="shared" si="338"/>
        <v>0.95</v>
      </c>
      <c r="CD248" s="312">
        <f t="shared" si="339"/>
        <v>243</v>
      </c>
    </row>
    <row r="249" spans="1:82" s="48" customFormat="1" outlineLevel="1" x14ac:dyDescent="0.3">
      <c r="A249" s="202">
        <v>78708000</v>
      </c>
      <c r="B249" s="48">
        <f>VLOOKUP(C249,'NCES ID'!$A$2:$B$3136,2,FALSE)</f>
        <v>400124</v>
      </c>
      <c r="C249" s="48">
        <f>VLOOKUP(A249,'State ID'!$A$2:$B$713,2,FALSE)</f>
        <v>4332</v>
      </c>
      <c r="D249" s="48" t="s">
        <v>179</v>
      </c>
      <c r="E249" s="48" t="s">
        <v>7</v>
      </c>
      <c r="F249" s="755"/>
      <c r="G249" s="755"/>
      <c r="H249" s="755"/>
      <c r="I249" s="755"/>
      <c r="J249" s="755"/>
      <c r="K249" s="755"/>
      <c r="L249" s="454"/>
      <c r="M249" s="455"/>
      <c r="N249" s="456"/>
      <c r="O249" s="209">
        <f>VLOOKUP($C249,'Final SEA Counts'!$A$2:$F$709,5,FALSE)</f>
        <v>59</v>
      </c>
      <c r="P249" s="223">
        <f>VLOOKUP($C249,'Final SEA Counts'!$A$2:$F$709,6,FALSE)</f>
        <v>49</v>
      </c>
      <c r="Q249" s="749"/>
      <c r="R249" s="454">
        <f t="shared" si="353"/>
        <v>59</v>
      </c>
      <c r="S249" s="455">
        <f t="shared" si="354"/>
        <v>24.261175112395581</v>
      </c>
      <c r="T249" s="230">
        <f t="shared" si="355"/>
        <v>0.41120635783721321</v>
      </c>
      <c r="U249" s="264" t="str">
        <f>IFERROR(VLOOKUP($B249,#REF!,8,FALSE),"")</f>
        <v/>
      </c>
      <c r="V249" s="265" t="str">
        <f>IFERROR(VLOOKUP($B249,#REF!,9,FALSE),"")</f>
        <v/>
      </c>
      <c r="W249" s="265" t="str">
        <f>IFERROR(VLOOKUP($B249,#REF!,10,FALSE),"")</f>
        <v/>
      </c>
      <c r="X249" s="265" t="str">
        <f>IFERROR(VLOOKUP($B249,#REF!,11,FALSE),"")</f>
        <v/>
      </c>
      <c r="Y249" s="266" t="str">
        <f>IFERROR(VLOOKUP($B249,#REF!,12,FALSE),"")</f>
        <v/>
      </c>
      <c r="Z249" s="265">
        <f t="shared" si="356"/>
        <v>11719.31220971232</v>
      </c>
      <c r="AA249" s="265">
        <f t="shared" si="357"/>
        <v>2423.5349187850884</v>
      </c>
      <c r="AB249" s="265">
        <f t="shared" si="358"/>
        <v>6858.8679729529231</v>
      </c>
      <c r="AC249" s="266">
        <f t="shared" si="359"/>
        <v>6384.7051052958268</v>
      </c>
      <c r="AD249" s="265">
        <f t="shared" si="365"/>
        <v>11719.31220971232</v>
      </c>
      <c r="AE249" s="265">
        <f t="shared" si="366"/>
        <v>2423.5349187850884</v>
      </c>
      <c r="AF249" s="265">
        <f t="shared" si="367"/>
        <v>6858.8679729529231</v>
      </c>
      <c r="AG249" s="266">
        <f t="shared" si="368"/>
        <v>6384.7051052958268</v>
      </c>
      <c r="AH249" s="265">
        <f t="shared" si="360"/>
        <v>11719.31220971232</v>
      </c>
      <c r="AI249" s="265">
        <f t="shared" si="361"/>
        <v>4554.3563016158005</v>
      </c>
      <c r="AJ249" s="265">
        <f t="shared" si="362"/>
        <v>6884.208618173182</v>
      </c>
      <c r="AK249" s="265">
        <f t="shared" si="363"/>
        <v>6408.2939172612296</v>
      </c>
      <c r="AL249" s="266">
        <f t="shared" si="349"/>
        <v>29566.171046762531</v>
      </c>
      <c r="AM249" s="347"/>
      <c r="AN249" s="264">
        <f>IFERROR(VLOOKUP($A249,'HH &amp; SI'!$B$4:$Z$494,'HH &amp; SI'!V$503,0),0)</f>
        <v>22086.485692186274</v>
      </c>
      <c r="AO249" s="265">
        <f>IFERROR(VLOOKUP($A249,'HH &amp; SI'!$B$4:$Z$494,'HH &amp; SI'!W$503,0),0)</f>
        <v>6298.4581560045945</v>
      </c>
      <c r="AP249" s="265">
        <f>IFERROR(VLOOKUP($A249,'HH &amp; SI'!$B$4:$Z$494,'HH &amp; SI'!X$503,0),0)</f>
        <v>11986.595225124576</v>
      </c>
      <c r="AQ249" s="265">
        <f>IFERROR(VLOOKUP($A249,'HH &amp; SI'!$B$4:$Z$494,'HH &amp; SI'!Y$503,0),0)</f>
        <v>10064.644887073347</v>
      </c>
      <c r="AR249" s="266">
        <f t="shared" si="369"/>
        <v>50436.183960388793</v>
      </c>
      <c r="AS249" s="347"/>
      <c r="AT249" s="324">
        <f>IFERROR(VLOOKUP(A249,'Afton FY16 Final'!$A$5:$BV$572,'Afton FY16 Final'!$BV$587,0),0)</f>
        <v>47135.554037808659</v>
      </c>
      <c r="AU249" s="347"/>
      <c r="AV249" s="454">
        <v>0</v>
      </c>
      <c r="AW249" s="265">
        <f>IFERROR(VLOOKUP($A249,'HH &amp; SI'!$B$4:$EY$503,'HH &amp; SI'!EX$503,0),0)</f>
        <v>2825.0870643624658</v>
      </c>
      <c r="AX249" s="265">
        <f>IFERROR(VLOOKUP($A249,'HH &amp; SI'!$B$4:$EY$503,'HH &amp; SI'!EY$503,0),0)</f>
        <v>47611.096896026327</v>
      </c>
      <c r="AY249" s="265">
        <f>AX249/$AX$582*'update_State Admin 1004(b)'!$B$30*0.01</f>
        <v>455.67239960766182</v>
      </c>
      <c r="AZ249" s="266">
        <f t="shared" si="370"/>
        <v>47155.424496418666</v>
      </c>
      <c r="BA249" s="264">
        <f t="shared" si="371"/>
        <v>471.55424496418664</v>
      </c>
      <c r="BB249" s="265">
        <f t="shared" si="372"/>
        <v>46683.870251454478</v>
      </c>
      <c r="BC249" s="342">
        <f t="shared" si="330"/>
        <v>0.99041734428342831</v>
      </c>
      <c r="BD249" s="347"/>
      <c r="BE249" s="377" t="str">
        <f>'Original Title I &amp; II'!AZ249</f>
        <v/>
      </c>
      <c r="BF249" s="244" t="str">
        <f t="shared" si="352"/>
        <v/>
      </c>
      <c r="BG249" s="266">
        <f t="shared" si="364"/>
        <v>46683.870251454478</v>
      </c>
      <c r="BI249" s="203" t="str">
        <f>IFERROR(VLOOKUP(A249,'Title II Hold Harmless'!A$1:B$439,2, FALSE),"")</f>
        <v/>
      </c>
      <c r="BJ249" s="203">
        <f t="shared" si="373"/>
        <v>365.08361561122535</v>
      </c>
      <c r="BK249" s="203">
        <f t="shared" si="374"/>
        <v>365.43679452892695</v>
      </c>
      <c r="BL249" s="203" t="str">
        <f t="shared" ref="BL249:BL318" si="377">IF(BE249&lt;0,BK249*BE249/100,"")</f>
        <v/>
      </c>
      <c r="BM249" s="203">
        <f t="shared" ref="BM249:BM322" si="378">IF(BL249&lt;0,BK249+BL249,BK249)</f>
        <v>365.43679452892695</v>
      </c>
      <c r="BN249" s="200"/>
      <c r="BP249" s="298" t="s">
        <v>1448</v>
      </c>
      <c r="BQ249" s="299" t="str">
        <f t="shared" si="332"/>
        <v>Y</v>
      </c>
      <c r="BR249" s="300" t="s">
        <v>1448</v>
      </c>
      <c r="BT249" s="298" t="str">
        <f t="shared" si="333"/>
        <v>Y</v>
      </c>
      <c r="BU249" s="299" t="str">
        <f t="shared" si="375"/>
        <v>Y</v>
      </c>
      <c r="BV249" s="299" t="str">
        <f t="shared" si="376"/>
        <v>Y</v>
      </c>
      <c r="BW249" s="300" t="str">
        <f t="shared" si="334"/>
        <v>Y</v>
      </c>
      <c r="BY249" s="355">
        <f t="shared" si="335"/>
        <v>0</v>
      </c>
      <c r="BZ249" s="356">
        <f t="shared" si="336"/>
        <v>0</v>
      </c>
      <c r="CA249" s="356">
        <f t="shared" si="337"/>
        <v>0.95</v>
      </c>
      <c r="CB249" s="357">
        <f t="shared" si="338"/>
        <v>0.95</v>
      </c>
      <c r="CD249" s="312">
        <f t="shared" si="339"/>
        <v>244</v>
      </c>
    </row>
    <row r="250" spans="1:82" s="48" customFormat="1" outlineLevel="1" x14ac:dyDescent="0.3">
      <c r="A250" s="202">
        <v>78985000</v>
      </c>
      <c r="B250" s="48">
        <f>VLOOKUP(C250,'NCES ID'!$A$2:$B$3136,2,FALSE)</f>
        <v>400649</v>
      </c>
      <c r="C250" s="48">
        <f>VLOOKUP(A250,'State ID'!$A$2:$B$713,2,FALSE)</f>
        <v>81076</v>
      </c>
      <c r="D250" s="48" t="s">
        <v>195</v>
      </c>
      <c r="E250" s="48" t="s">
        <v>7</v>
      </c>
      <c r="F250" s="755"/>
      <c r="G250" s="755"/>
      <c r="H250" s="755"/>
      <c r="I250" s="755"/>
      <c r="J250" s="755"/>
      <c r="K250" s="755"/>
      <c r="L250" s="454"/>
      <c r="M250" s="455"/>
      <c r="N250" s="456"/>
      <c r="O250" s="209">
        <f>VLOOKUP($C250,'Final SEA Counts'!$A$2:$F$709,5,FALSE)</f>
        <v>835</v>
      </c>
      <c r="P250" s="223">
        <f>VLOOKUP($C250,'Final SEA Counts'!$A$2:$F$709,6,FALSE)</f>
        <v>602</v>
      </c>
      <c r="Q250" s="749"/>
      <c r="R250" s="454">
        <f t="shared" si="353"/>
        <v>835</v>
      </c>
      <c r="S250" s="455">
        <f t="shared" si="354"/>
        <v>298.06586566657427</v>
      </c>
      <c r="T250" s="230">
        <f t="shared" si="355"/>
        <v>0.35696510858272368</v>
      </c>
      <c r="U250" s="264" t="str">
        <f>IFERROR(VLOOKUP($B250,#REF!,8,FALSE),"")</f>
        <v/>
      </c>
      <c r="V250" s="265" t="str">
        <f>IFERROR(VLOOKUP($B250,#REF!,9,FALSE),"")</f>
        <v/>
      </c>
      <c r="W250" s="265" t="str">
        <f>IFERROR(VLOOKUP($B250,#REF!,10,FALSE),"")</f>
        <v/>
      </c>
      <c r="X250" s="265" t="str">
        <f>IFERROR(VLOOKUP($B250,#REF!,11,FALSE),"")</f>
        <v/>
      </c>
      <c r="Y250" s="266" t="str">
        <f>IFERROR(VLOOKUP($B250,#REF!,12,FALSE),"")</f>
        <v/>
      </c>
      <c r="Z250" s="265">
        <f t="shared" si="356"/>
        <v>143980.1214336085</v>
      </c>
      <c r="AA250" s="265">
        <f t="shared" si="357"/>
        <v>29774.857573645368</v>
      </c>
      <c r="AB250" s="265">
        <f t="shared" si="358"/>
        <v>84266.092239135905</v>
      </c>
      <c r="AC250" s="266">
        <f t="shared" si="359"/>
        <v>78440.662722205874</v>
      </c>
      <c r="AD250" s="265">
        <f t="shared" si="365"/>
        <v>143980.1214336085</v>
      </c>
      <c r="AE250" s="265">
        <f t="shared" si="366"/>
        <v>29774.857573645368</v>
      </c>
      <c r="AF250" s="265">
        <f t="shared" si="367"/>
        <v>84266.092239135905</v>
      </c>
      <c r="AG250" s="266">
        <f t="shared" si="368"/>
        <v>78440.662722205874</v>
      </c>
      <c r="AH250" s="265">
        <f t="shared" si="360"/>
        <v>143980.1214336085</v>
      </c>
      <c r="AI250" s="265">
        <f t="shared" si="361"/>
        <v>31905.67895647608</v>
      </c>
      <c r="AJ250" s="265">
        <f t="shared" si="362"/>
        <v>84291.432884356167</v>
      </c>
      <c r="AK250" s="265">
        <f t="shared" si="363"/>
        <v>78464.251534171271</v>
      </c>
      <c r="AL250" s="266">
        <f t="shared" si="349"/>
        <v>338641.48480861203</v>
      </c>
      <c r="AM250" s="347"/>
      <c r="AN250" s="264">
        <f>IFERROR(VLOOKUP($A250,'HH &amp; SI'!$B$4:$Z$494,'HH &amp; SI'!V$503,0),0)</f>
        <v>142016.13912498899</v>
      </c>
      <c r="AO250" s="265">
        <f>IFERROR(VLOOKUP($A250,'HH &amp; SI'!$B$4:$Z$494,'HH &amp; SI'!W$503,0),0)</f>
        <v>30854.822541851368</v>
      </c>
      <c r="AP250" s="265">
        <f>IFERROR(VLOOKUP($A250,'HH &amp; SI'!$B$4:$Z$494,'HH &amp; SI'!X$503,0),0)</f>
        <v>83524.835212618564</v>
      </c>
      <c r="AQ250" s="265">
        <f>IFERROR(VLOOKUP($A250,'HH &amp; SI'!$B$4:$Z$494,'HH &amp; SI'!Y$503,0),0)</f>
        <v>77599.716725132355</v>
      </c>
      <c r="AR250" s="266">
        <f t="shared" si="369"/>
        <v>333995.51360459131</v>
      </c>
      <c r="AS250" s="347"/>
      <c r="AT250" s="324">
        <f>IFERROR(VLOOKUP(A250,'Afton FY16 Final'!$A$5:$BV$572,'Afton FY16 Final'!$BV$587,0),0)</f>
        <v>279181.92110647389</v>
      </c>
      <c r="AU250" s="347"/>
      <c r="AV250" s="454">
        <v>0</v>
      </c>
      <c r="AW250" s="265">
        <f>IFERROR(VLOOKUP($A250,'HH &amp; SI'!$B$4:$EY$503,'HH &amp; SI'!EX$503,0),0)</f>
        <v>18708.124424728216</v>
      </c>
      <c r="AX250" s="265">
        <f>IFERROR(VLOOKUP($A250,'HH &amp; SI'!$B$4:$EY$503,'HH &amp; SI'!EY$503,0),0)</f>
        <v>315287.38917986309</v>
      </c>
      <c r="AY250" s="265">
        <f>AX250/$AX$582*'update_State Admin 1004(b)'!$B$30*0.01</f>
        <v>3017.5268069829663</v>
      </c>
      <c r="AZ250" s="266">
        <f t="shared" si="370"/>
        <v>312269.8623728801</v>
      </c>
      <c r="BA250" s="264">
        <f t="shared" si="371"/>
        <v>3122.6986237288011</v>
      </c>
      <c r="BB250" s="265">
        <f t="shared" si="372"/>
        <v>309147.16374915128</v>
      </c>
      <c r="BC250" s="342">
        <f t="shared" si="330"/>
        <v>1.1073323176655459</v>
      </c>
      <c r="BD250" s="347"/>
      <c r="BE250" s="377" t="str">
        <f>'Original Title I &amp; II'!AZ250</f>
        <v/>
      </c>
      <c r="BF250" s="244" t="str">
        <f t="shared" si="352"/>
        <v/>
      </c>
      <c r="BG250" s="266">
        <f t="shared" si="364"/>
        <v>309147.16374915128</v>
      </c>
      <c r="BI250" s="203" t="str">
        <f>IFERROR(VLOOKUP(A250,'Title II Hold Harmless'!A$1:B$439,2, FALSE),"")</f>
        <v/>
      </c>
      <c r="BJ250" s="203">
        <f t="shared" si="373"/>
        <v>4573.9559290233601</v>
      </c>
      <c r="BK250" s="203">
        <f t="shared" si="374"/>
        <v>4578.3807367538375</v>
      </c>
      <c r="BL250" s="203" t="str">
        <f t="shared" si="377"/>
        <v/>
      </c>
      <c r="BM250" s="203">
        <f t="shared" si="378"/>
        <v>4578.3807367538375</v>
      </c>
      <c r="BN250" s="200"/>
      <c r="BP250" s="298" t="s">
        <v>1448</v>
      </c>
      <c r="BQ250" s="299" t="str">
        <f t="shared" si="332"/>
        <v>Y</v>
      </c>
      <c r="BR250" s="300" t="s">
        <v>1448</v>
      </c>
      <c r="BT250" s="298" t="str">
        <f t="shared" si="333"/>
        <v>Y</v>
      </c>
      <c r="BU250" s="299" t="str">
        <f t="shared" si="375"/>
        <v>Y</v>
      </c>
      <c r="BV250" s="299" t="str">
        <f t="shared" si="376"/>
        <v>Y</v>
      </c>
      <c r="BW250" s="300" t="str">
        <f t="shared" si="334"/>
        <v>Y</v>
      </c>
      <c r="BY250" s="355">
        <f t="shared" si="335"/>
        <v>0</v>
      </c>
      <c r="BZ250" s="356">
        <f t="shared" si="336"/>
        <v>0</v>
      </c>
      <c r="CA250" s="356">
        <f t="shared" si="337"/>
        <v>0.95</v>
      </c>
      <c r="CB250" s="357">
        <f t="shared" si="338"/>
        <v>0.95</v>
      </c>
      <c r="CD250" s="312">
        <f t="shared" si="339"/>
        <v>245</v>
      </c>
    </row>
    <row r="251" spans="1:82" s="48" customFormat="1" outlineLevel="1" x14ac:dyDescent="0.3">
      <c r="A251" s="202">
        <v>78204000</v>
      </c>
      <c r="B251" s="48">
        <f>VLOOKUP(C251,'NCES ID'!$A$2:$B$3136,2,FALSE)</f>
        <v>400893</v>
      </c>
      <c r="C251" s="48">
        <f>VLOOKUP(A251,'State ID'!$A$2:$B$713,2,FALSE)</f>
        <v>91275</v>
      </c>
      <c r="D251" s="48" t="s">
        <v>513</v>
      </c>
      <c r="E251" s="48" t="s">
        <v>7</v>
      </c>
      <c r="F251" s="755"/>
      <c r="G251" s="755"/>
      <c r="H251" s="755"/>
      <c r="I251" s="755"/>
      <c r="J251" s="755"/>
      <c r="K251" s="755"/>
      <c r="L251" s="454"/>
      <c r="M251" s="455"/>
      <c r="N251" s="456"/>
      <c r="O251" s="209">
        <f>VLOOKUP($C251,'Final SEA Counts'!$A$2:$F$709,5,FALSE)</f>
        <v>173</v>
      </c>
      <c r="P251" s="223">
        <f>VLOOKUP($C251,'Final SEA Counts'!$A$2:$F$709,6,FALSE)</f>
        <v>171</v>
      </c>
      <c r="Q251" s="749"/>
      <c r="R251" s="454">
        <f t="shared" si="353"/>
        <v>173</v>
      </c>
      <c r="S251" s="455">
        <f t="shared" si="354"/>
        <v>84.66654988203355</v>
      </c>
      <c r="T251" s="230">
        <f t="shared" si="355"/>
        <v>0.48940202243950026</v>
      </c>
      <c r="U251" s="264"/>
      <c r="V251" s="265"/>
      <c r="W251" s="265"/>
      <c r="X251" s="265"/>
      <c r="Y251" s="266"/>
      <c r="Z251" s="265">
        <f t="shared" si="356"/>
        <v>40898.007915526665</v>
      </c>
      <c r="AA251" s="265">
        <f t="shared" si="357"/>
        <v>8457.6422675969407</v>
      </c>
      <c r="AB251" s="265">
        <f t="shared" si="358"/>
        <v>23936.049456631627</v>
      </c>
      <c r="AC251" s="266">
        <f t="shared" si="359"/>
        <v>22281.317816440536</v>
      </c>
      <c r="AD251" s="265">
        <f t="shared" si="365"/>
        <v>40898.007915526665</v>
      </c>
      <c r="AE251" s="265">
        <f t="shared" si="366"/>
        <v>8457.6422675969407</v>
      </c>
      <c r="AF251" s="265">
        <f t="shared" si="367"/>
        <v>23936.049456631627</v>
      </c>
      <c r="AG251" s="266">
        <f t="shared" si="368"/>
        <v>22281.317816440536</v>
      </c>
      <c r="AH251" s="265">
        <f t="shared" si="360"/>
        <v>40898.007915526665</v>
      </c>
      <c r="AI251" s="265">
        <f t="shared" si="361"/>
        <v>10588.463650427653</v>
      </c>
      <c r="AJ251" s="265">
        <f t="shared" si="362"/>
        <v>23961.390101851885</v>
      </c>
      <c r="AK251" s="265">
        <f t="shared" si="363"/>
        <v>22304.906628405937</v>
      </c>
      <c r="AL251" s="266">
        <f t="shared" ref="AL251:AL252" si="379">SUM(AH251:AK251)</f>
        <v>97752.768296212133</v>
      </c>
      <c r="AM251" s="347"/>
      <c r="AN251" s="264">
        <f>IFERROR(VLOOKUP($A251,'HH &amp; SI'!$B$4:$Z$494,'HH &amp; SI'!V$503,0),0)</f>
        <v>40340.132542148029</v>
      </c>
      <c r="AO251" s="265">
        <f>IFERROR(VLOOKUP($A251,'HH &amp; SI'!$B$4:$Z$494,'HH &amp; SI'!W$503,0),0)</f>
        <v>10239.718370214332</v>
      </c>
      <c r="AP251" s="265">
        <f>IFERROR(VLOOKUP($A251,'HH &amp; SI'!$B$4:$Z$494,'HH &amp; SI'!X$503,0),0)</f>
        <v>23743.470614246577</v>
      </c>
      <c r="AQ251" s="265">
        <f>IFERROR(VLOOKUP($A251,'HH &amp; SI'!$B$4:$Z$494,'HH &amp; SI'!Y$503,0),0)</f>
        <v>22059.146708243799</v>
      </c>
      <c r="AR251" s="266">
        <f t="shared" si="369"/>
        <v>96382.468234852742</v>
      </c>
      <c r="AS251" s="347"/>
      <c r="AT251" s="324">
        <f>IFERROR(VLOOKUP(A251,'Afton FY16 Final'!$A$5:$BV$572,'Afton FY16 Final'!$BV$587,0),0)</f>
        <v>75871.614558605521</v>
      </c>
      <c r="AU251" s="347"/>
      <c r="AV251" s="454">
        <v>0</v>
      </c>
      <c r="AW251" s="265">
        <f>IFERROR(VLOOKUP($A251,'HH &amp; SI'!$B$4:$EY$503,'HH &amp; SI'!EX$503,0),0)</f>
        <v>5398.6809243034077</v>
      </c>
      <c r="AX251" s="265">
        <f>IFERROR(VLOOKUP($A251,'HH &amp; SI'!$B$4:$EY$503,'HH &amp; SI'!EY$503,0),0)</f>
        <v>90983.787310549335</v>
      </c>
      <c r="AY251" s="265">
        <f>AX251/$AX$582*'update_State Admin 1004(b)'!$B$30*0.01</f>
        <v>870.78020444959213</v>
      </c>
      <c r="AZ251" s="266">
        <f t="shared" si="370"/>
        <v>90113.007106099743</v>
      </c>
      <c r="BA251" s="264">
        <f t="shared" si="371"/>
        <v>901.13007106099747</v>
      </c>
      <c r="BB251" s="265">
        <f t="shared" si="372"/>
        <v>89211.877035038749</v>
      </c>
      <c r="BC251" s="342">
        <f t="shared" si="330"/>
        <v>1.1758267904807642</v>
      </c>
      <c r="BD251" s="347"/>
      <c r="BE251" s="377">
        <f>'Original Title I &amp; II'!AZ251</f>
        <v>0</v>
      </c>
      <c r="BF251" s="244"/>
      <c r="BG251" s="266">
        <f t="shared" si="364"/>
        <v>89211.877035038749</v>
      </c>
      <c r="BI251" s="203" t="str">
        <f>IFERROR(VLOOKUP(A251,'Title II Hold Harmless'!A$1:B$439,2, FALSE),"")</f>
        <v/>
      </c>
      <c r="BJ251" s="203">
        <f t="shared" si="373"/>
        <v>1247.5910442869149</v>
      </c>
      <c r="BK251" s="203">
        <f t="shared" si="374"/>
        <v>1248.7979537068782</v>
      </c>
      <c r="BL251" s="203"/>
      <c r="BM251" s="203">
        <f t="shared" si="378"/>
        <v>1248.7979537068782</v>
      </c>
      <c r="BN251" s="200"/>
      <c r="BP251" s="298" t="s">
        <v>1448</v>
      </c>
      <c r="BQ251" s="299" t="str">
        <f t="shared" si="332"/>
        <v>Y</v>
      </c>
      <c r="BR251" s="300" t="s">
        <v>1448</v>
      </c>
      <c r="BT251" s="298" t="str">
        <f t="shared" si="333"/>
        <v>Y</v>
      </c>
      <c r="BU251" s="299" t="str">
        <f t="shared" si="375"/>
        <v>Y</v>
      </c>
      <c r="BV251" s="299" t="str">
        <f t="shared" si="376"/>
        <v>Y</v>
      </c>
      <c r="BW251" s="300" t="str">
        <f t="shared" si="334"/>
        <v>Y</v>
      </c>
      <c r="BY251" s="355">
        <f t="shared" si="335"/>
        <v>0</v>
      </c>
      <c r="BZ251" s="356">
        <f t="shared" si="336"/>
        <v>0</v>
      </c>
      <c r="CA251" s="356">
        <f t="shared" si="337"/>
        <v>0.95</v>
      </c>
      <c r="CB251" s="357">
        <f t="shared" si="338"/>
        <v>0.95</v>
      </c>
      <c r="CD251" s="312">
        <f t="shared" si="339"/>
        <v>246</v>
      </c>
    </row>
    <row r="252" spans="1:82" s="48" customFormat="1" outlineLevel="1" x14ac:dyDescent="0.3">
      <c r="A252" s="202">
        <v>78281000</v>
      </c>
      <c r="B252" s="48" t="e">
        <f>VLOOKUP(C252,'NCES ID'!$A$2:$B$3136,2,FALSE)</f>
        <v>#N/A</v>
      </c>
      <c r="C252" s="48">
        <v>92991</v>
      </c>
      <c r="D252" s="48" t="s">
        <v>1402</v>
      </c>
      <c r="F252" s="755"/>
      <c r="G252" s="755"/>
      <c r="H252" s="755"/>
      <c r="I252" s="755"/>
      <c r="J252" s="755"/>
      <c r="K252" s="755"/>
      <c r="L252" s="454"/>
      <c r="M252" s="455"/>
      <c r="N252" s="456"/>
      <c r="O252" s="209">
        <f>VLOOKUP($C252,'AzEDS FY17 12-04-16'!$A$1:$D$712,3,FALSE)</f>
        <v>111</v>
      </c>
      <c r="P252" s="223">
        <f>VLOOKUP($C252,'AzEDS FY17 12-04-16'!$A$1:$D$712,4,FALSE)</f>
        <v>47</v>
      </c>
      <c r="Q252" s="749"/>
      <c r="R252" s="454">
        <f t="shared" si="353"/>
        <v>111</v>
      </c>
      <c r="S252" s="455">
        <f t="shared" si="354"/>
        <v>23.270923066991678</v>
      </c>
      <c r="T252" s="230">
        <f t="shared" si="355"/>
        <v>0.20964795555848359</v>
      </c>
      <c r="U252" s="264"/>
      <c r="V252" s="265"/>
      <c r="W252" s="265"/>
      <c r="X252" s="265"/>
      <c r="Y252" s="266"/>
      <c r="Z252" s="265">
        <f t="shared" si="356"/>
        <v>11240.97293584651</v>
      </c>
      <c r="AA252" s="265">
        <f t="shared" si="357"/>
        <v>2324.6151261816153</v>
      </c>
      <c r="AB252" s="265">
        <f t="shared" si="358"/>
        <v>6578.9141781385169</v>
      </c>
      <c r="AC252" s="266">
        <f t="shared" si="359"/>
        <v>6124.1048969164049</v>
      </c>
      <c r="AD252" s="265">
        <f t="shared" si="365"/>
        <v>11240.97293584651</v>
      </c>
      <c r="AE252" s="265">
        <f t="shared" si="366"/>
        <v>2324.6151261816153</v>
      </c>
      <c r="AF252" s="265">
        <f t="shared" si="367"/>
        <v>6578.9141781385169</v>
      </c>
      <c r="AG252" s="266">
        <f t="shared" si="368"/>
        <v>6124.1048969164049</v>
      </c>
      <c r="AH252" s="265">
        <f t="shared" si="360"/>
        <v>11240.97293584651</v>
      </c>
      <c r="AI252" s="265">
        <f t="shared" si="361"/>
        <v>4455.4365090123283</v>
      </c>
      <c r="AJ252" s="265">
        <f t="shared" si="362"/>
        <v>6604.2548233587759</v>
      </c>
      <c r="AK252" s="265">
        <f t="shared" si="363"/>
        <v>6147.6937088818077</v>
      </c>
      <c r="AL252" s="266">
        <f t="shared" si="379"/>
        <v>28448.357977099422</v>
      </c>
      <c r="AM252" s="347"/>
      <c r="AN252" s="264">
        <f>IFERROR(VLOOKUP($A252,'HH &amp; SI'!$B$4:$Z$494,'HH &amp; SI'!V$503,0),0)</f>
        <v>11087.638768894489</v>
      </c>
      <c r="AO252" s="265">
        <f>IFERROR(VLOOKUP($A252,'HH &amp; SI'!$B$4:$Z$494,'HH &amp; SI'!W$503,0),0)</f>
        <v>4308.6907199057659</v>
      </c>
      <c r="AP252" s="265">
        <f>IFERROR(VLOOKUP($A252,'HH &amp; SI'!$B$4:$Z$494,'HH &amp; SI'!X$503,0),0)</f>
        <v>6544.1917042741279</v>
      </c>
      <c r="AQ252" s="265">
        <f>IFERROR(VLOOKUP($A252,'HH &amp; SI'!$B$4:$Z$494,'HH &amp; SI'!Y$503,0),0)</f>
        <v>6079.9571906238953</v>
      </c>
      <c r="AR252" s="266">
        <f t="shared" si="369"/>
        <v>28020.478383698279</v>
      </c>
      <c r="AS252" s="347"/>
      <c r="AT252" s="324">
        <f>IFERROR(VLOOKUP(A252,'Afton FY16 Final'!$A$5:$BV$572,'Afton FY16 Final'!$BV$587,0),0)</f>
        <v>0</v>
      </c>
      <c r="AU252" s="347"/>
      <c r="AV252" s="454">
        <v>0</v>
      </c>
      <c r="AW252" s="265">
        <f>IFERROR(VLOOKUP($A252,'HH &amp; SI'!$B$4:$EY$503,'HH &amp; SI'!EX$503,0),0)</f>
        <v>1569.513884738084</v>
      </c>
      <c r="AX252" s="265">
        <f>IFERROR(VLOOKUP($A252,'HH &amp; SI'!$B$4:$EY$503,'HH &amp; SI'!EY$503,0),0)</f>
        <v>26450.964498960195</v>
      </c>
      <c r="AY252" s="265">
        <f>AX252/$AX$582*'update_State Admin 1004(b)'!$B$30*0.01</f>
        <v>253.15473179497818</v>
      </c>
      <c r="AZ252" s="266">
        <f t="shared" si="370"/>
        <v>26197.809767165218</v>
      </c>
      <c r="BA252" s="264">
        <f t="shared" si="371"/>
        <v>261.97809767165216</v>
      </c>
      <c r="BB252" s="265">
        <f t="shared" si="372"/>
        <v>25935.831669493564</v>
      </c>
      <c r="BC252" s="342" t="str">
        <f t="shared" si="330"/>
        <v/>
      </c>
      <c r="BD252" s="347"/>
      <c r="BE252" s="377">
        <f>'Original Title I &amp; II'!AZ252</f>
        <v>0</v>
      </c>
      <c r="BF252" s="244"/>
      <c r="BG252" s="266">
        <f t="shared" si="364"/>
        <v>25935.831669493564</v>
      </c>
      <c r="BI252" s="203" t="str">
        <f>IFERROR(VLOOKUP(A252,'Title II Hold Harmless'!A$1:B$439,2, FALSE),"")</f>
        <v/>
      </c>
      <c r="BJ252" s="203">
        <f t="shared" si="373"/>
        <v>393.96991644719589</v>
      </c>
      <c r="BK252" s="203">
        <f t="shared" si="374"/>
        <v>394.35103973717111</v>
      </c>
      <c r="BL252" s="203"/>
      <c r="BM252" s="203">
        <f t="shared" si="378"/>
        <v>394.35103973717111</v>
      </c>
      <c r="BN252" s="200"/>
      <c r="BP252" s="298" t="s">
        <v>1448</v>
      </c>
      <c r="BQ252" s="299" t="str">
        <f t="shared" si="332"/>
        <v>Y</v>
      </c>
      <c r="BR252" s="300" t="s">
        <v>1448</v>
      </c>
      <c r="BT252" s="298" t="str">
        <f t="shared" si="333"/>
        <v>Y</v>
      </c>
      <c r="BU252" s="299" t="str">
        <f t="shared" si="375"/>
        <v>Y</v>
      </c>
      <c r="BV252" s="299" t="str">
        <f t="shared" si="376"/>
        <v>Y</v>
      </c>
      <c r="BW252" s="300" t="str">
        <f t="shared" si="334"/>
        <v>Y</v>
      </c>
      <c r="BY252" s="355">
        <f t="shared" si="335"/>
        <v>0</v>
      </c>
      <c r="BZ252" s="356">
        <f t="shared" si="336"/>
        <v>0.9</v>
      </c>
      <c r="CA252" s="356">
        <f t="shared" si="337"/>
        <v>0</v>
      </c>
      <c r="CB252" s="357">
        <f t="shared" si="338"/>
        <v>0.9</v>
      </c>
      <c r="CD252" s="312">
        <f t="shared" si="339"/>
        <v>247</v>
      </c>
    </row>
    <row r="253" spans="1:82" s="48" customFormat="1" outlineLevel="1" x14ac:dyDescent="0.3">
      <c r="A253" s="202">
        <v>78535000</v>
      </c>
      <c r="B253" s="48">
        <f>VLOOKUP(C253,'NCES ID'!$A$2:$B$3136,2,FALSE)</f>
        <v>400780</v>
      </c>
      <c r="C253" s="48">
        <f>VLOOKUP(A253,'State ID'!$A$2:$B$713,2,FALSE)</f>
        <v>89784</v>
      </c>
      <c r="D253" s="48" t="s">
        <v>202</v>
      </c>
      <c r="E253" s="48" t="s">
        <v>7</v>
      </c>
      <c r="F253" s="755"/>
      <c r="G253" s="755"/>
      <c r="H253" s="755"/>
      <c r="I253" s="755"/>
      <c r="J253" s="755"/>
      <c r="K253" s="755"/>
      <c r="L253" s="454"/>
      <c r="M253" s="455"/>
      <c r="N253" s="456"/>
      <c r="O253" s="209">
        <f>VLOOKUP($C253,'Final SEA Counts'!$A$2:$F$709,5,FALSE)</f>
        <v>556</v>
      </c>
      <c r="P253" s="223">
        <f>VLOOKUP($C253,'Final SEA Counts'!$A$2:$F$709,6,FALSE)</f>
        <v>437</v>
      </c>
      <c r="Q253" s="749"/>
      <c r="R253" s="454">
        <f t="shared" si="353"/>
        <v>556</v>
      </c>
      <c r="S253" s="455">
        <f t="shared" si="354"/>
        <v>216.37007192075242</v>
      </c>
      <c r="T253" s="230">
        <f t="shared" si="355"/>
        <v>0.38915480561286409</v>
      </c>
      <c r="U253" s="264" t="str">
        <f>IFERROR(VLOOKUP($B253,#REF!,8,FALSE),"")</f>
        <v/>
      </c>
      <c r="V253" s="265" t="str">
        <f>IFERROR(VLOOKUP($B253,#REF!,9,FALSE),"")</f>
        <v/>
      </c>
      <c r="W253" s="265" t="str">
        <f>IFERROR(VLOOKUP($B253,#REF!,10,FALSE),"")</f>
        <v/>
      </c>
      <c r="X253" s="265" t="str">
        <f>IFERROR(VLOOKUP($B253,#REF!,11,FALSE),"")</f>
        <v/>
      </c>
      <c r="Y253" s="266" t="str">
        <f>IFERROR(VLOOKUP($B253,#REF!,12,FALSE),"")</f>
        <v/>
      </c>
      <c r="Z253" s="265">
        <f t="shared" si="356"/>
        <v>104517.13133967925</v>
      </c>
      <c r="AA253" s="265">
        <f t="shared" si="357"/>
        <v>21613.974683858847</v>
      </c>
      <c r="AB253" s="265">
        <f t="shared" si="358"/>
        <v>61169.904166947497</v>
      </c>
      <c r="AC253" s="266">
        <f t="shared" si="359"/>
        <v>56941.145530903595</v>
      </c>
      <c r="AD253" s="265">
        <f t="shared" si="365"/>
        <v>104517.13133967925</v>
      </c>
      <c r="AE253" s="265">
        <f t="shared" si="366"/>
        <v>21613.974683858847</v>
      </c>
      <c r="AF253" s="265">
        <f t="shared" si="367"/>
        <v>61169.904166947497</v>
      </c>
      <c r="AG253" s="266">
        <f t="shared" si="368"/>
        <v>56941.145530903595</v>
      </c>
      <c r="AH253" s="265">
        <f t="shared" si="360"/>
        <v>104517.13133967925</v>
      </c>
      <c r="AI253" s="265">
        <f t="shared" si="361"/>
        <v>23744.79606668956</v>
      </c>
      <c r="AJ253" s="265">
        <f t="shared" si="362"/>
        <v>61195.244812167759</v>
      </c>
      <c r="AK253" s="265">
        <f t="shared" si="363"/>
        <v>56964.734342869</v>
      </c>
      <c r="AL253" s="266">
        <f t="shared" si="349"/>
        <v>246421.90656140554</v>
      </c>
      <c r="AM253" s="347"/>
      <c r="AN253" s="264">
        <f>IFERROR(VLOOKUP($A253,'HH &amp; SI'!$B$4:$Z$494,'HH &amp; SI'!V$503,0),0)</f>
        <v>103091.44982993386</v>
      </c>
      <c r="AO253" s="265">
        <f>IFERROR(VLOOKUP($A253,'HH &amp; SI'!$B$4:$Z$494,'HH &amp; SI'!W$503,0),0)</f>
        <v>22962.729297489161</v>
      </c>
      <c r="AP253" s="265">
        <f>IFERROR(VLOOKUP($A253,'HH &amp; SI'!$B$4:$Z$494,'HH &amp; SI'!X$503,0),0)</f>
        <v>60638.697953381037</v>
      </c>
      <c r="AQ253" s="265">
        <f>IFERROR(VLOOKUP($A253,'HH &amp; SI'!$B$4:$Z$494,'HH &amp; SI'!Y$503,0),0)</f>
        <v>56337.085512170379</v>
      </c>
      <c r="AR253" s="266">
        <f t="shared" si="369"/>
        <v>243029.96259297442</v>
      </c>
      <c r="AS253" s="347"/>
      <c r="AT253" s="324">
        <f>IFERROR(VLOOKUP(A253,'Afton FY16 Final'!$A$5:$BV$572,'Afton FY16 Final'!$BV$587,0),0)</f>
        <v>235596.11309804019</v>
      </c>
      <c r="AU253" s="347"/>
      <c r="AV253" s="454">
        <v>0</v>
      </c>
      <c r="AW253" s="265">
        <f>IFERROR(VLOOKUP($A253,'HH &amp; SI'!$B$4:$EY$503,'HH &amp; SI'!EX$503,0),0)</f>
        <v>7433.8494949342276</v>
      </c>
      <c r="AX253" s="265">
        <f>IFERROR(VLOOKUP($A253,'HH &amp; SI'!$B$4:$EY$503,'HH &amp; SI'!EY$503,0),0)</f>
        <v>235596.11309804019</v>
      </c>
      <c r="AY253" s="265">
        <f>AX253/$AX$582*'update_State Admin 1004(b)'!$B$30*0.01</f>
        <v>2254.8240471767413</v>
      </c>
      <c r="AZ253" s="266">
        <f t="shared" si="370"/>
        <v>233341.28905086344</v>
      </c>
      <c r="BA253" s="264">
        <f t="shared" si="371"/>
        <v>2333.4128905086345</v>
      </c>
      <c r="BB253" s="265">
        <f t="shared" si="372"/>
        <v>231007.87616035482</v>
      </c>
      <c r="BC253" s="342">
        <f t="shared" si="330"/>
        <v>0.98052498881517602</v>
      </c>
      <c r="BD253" s="347"/>
      <c r="BE253" s="377" t="str">
        <f>'Original Title I &amp; II'!AZ253</f>
        <v/>
      </c>
      <c r="BF253" s="244" t="str">
        <f t="shared" ref="BF253:BF267" si="380">IF(BE253&lt;0,BB253*BE253/100,"")</f>
        <v/>
      </c>
      <c r="BG253" s="266">
        <f t="shared" si="364"/>
        <v>231007.87616035482</v>
      </c>
      <c r="BI253" s="203" t="str">
        <f>IFERROR(VLOOKUP(A253,'Title II Hold Harmless'!A$1:B$439,2, FALSE),"")</f>
        <v/>
      </c>
      <c r="BJ253" s="203">
        <f t="shared" si="373"/>
        <v>3279.9459667031215</v>
      </c>
      <c r="BK253" s="203">
        <f t="shared" si="374"/>
        <v>3283.1189597302132</v>
      </c>
      <c r="BL253" s="203" t="str">
        <f t="shared" si="377"/>
        <v/>
      </c>
      <c r="BM253" s="203">
        <f t="shared" si="378"/>
        <v>3283.1189597302132</v>
      </c>
      <c r="BN253" s="200"/>
      <c r="BP253" s="298" t="s">
        <v>1448</v>
      </c>
      <c r="BQ253" s="299" t="str">
        <f t="shared" si="332"/>
        <v>Y</v>
      </c>
      <c r="BR253" s="300" t="s">
        <v>1448</v>
      </c>
      <c r="BT253" s="298" t="str">
        <f t="shared" si="333"/>
        <v>Y</v>
      </c>
      <c r="BU253" s="299" t="str">
        <f t="shared" si="375"/>
        <v>Y</v>
      </c>
      <c r="BV253" s="299" t="str">
        <f t="shared" si="376"/>
        <v>Y</v>
      </c>
      <c r="BW253" s="300" t="str">
        <f t="shared" si="334"/>
        <v>Y</v>
      </c>
      <c r="BY253" s="355">
        <f t="shared" si="335"/>
        <v>0</v>
      </c>
      <c r="BZ253" s="356">
        <f t="shared" si="336"/>
        <v>0</v>
      </c>
      <c r="CA253" s="356">
        <f t="shared" si="337"/>
        <v>0.95</v>
      </c>
      <c r="CB253" s="357">
        <f t="shared" si="338"/>
        <v>0.95</v>
      </c>
      <c r="CD253" s="312">
        <f t="shared" si="339"/>
        <v>248</v>
      </c>
    </row>
    <row r="254" spans="1:82" s="48" customFormat="1" outlineLevel="1" x14ac:dyDescent="0.3">
      <c r="A254" s="202">
        <v>78553000</v>
      </c>
      <c r="B254" s="48">
        <f>VLOOKUP(C254,'NCES ID'!$A$2:$B$3136,2,FALSE)</f>
        <v>400802</v>
      </c>
      <c r="C254" s="48">
        <f>VLOOKUP(A254,'State ID'!$A$2:$B$713,2,FALSE)</f>
        <v>90162</v>
      </c>
      <c r="D254" s="48" t="s">
        <v>203</v>
      </c>
      <c r="E254" s="48" t="s">
        <v>7</v>
      </c>
      <c r="F254" s="755"/>
      <c r="G254" s="755"/>
      <c r="H254" s="755"/>
      <c r="I254" s="755"/>
      <c r="J254" s="755"/>
      <c r="K254" s="755"/>
      <c r="L254" s="454"/>
      <c r="M254" s="455"/>
      <c r="N254" s="456"/>
      <c r="O254" s="209">
        <f>VLOOKUP($C254,'Final SEA Counts'!$A$2:$F$709,5,FALSE)</f>
        <v>203</v>
      </c>
      <c r="P254" s="223">
        <f>VLOOKUP($C254,'Final SEA Counts'!$A$2:$F$709,6,FALSE)</f>
        <v>139</v>
      </c>
      <c r="Q254" s="749"/>
      <c r="R254" s="454">
        <f t="shared" si="353"/>
        <v>203</v>
      </c>
      <c r="S254" s="455">
        <f t="shared" si="354"/>
        <v>68.822517155571134</v>
      </c>
      <c r="T254" s="230">
        <f t="shared" si="355"/>
        <v>0.33902717810626176</v>
      </c>
      <c r="U254" s="264" t="str">
        <f>IFERROR(VLOOKUP($B254,#REF!,8,FALSE),"")</f>
        <v/>
      </c>
      <c r="V254" s="265" t="str">
        <f>IFERROR(VLOOKUP($B254,#REF!,9,FALSE),"")</f>
        <v/>
      </c>
      <c r="W254" s="265" t="str">
        <f>IFERROR(VLOOKUP($B254,#REF!,10,FALSE),"")</f>
        <v/>
      </c>
      <c r="X254" s="265" t="str">
        <f>IFERROR(VLOOKUP($B254,#REF!,11,FALSE),"")</f>
        <v/>
      </c>
      <c r="Y254" s="266" t="str">
        <f>IFERROR(VLOOKUP($B254,#REF!,12,FALSE),"")</f>
        <v/>
      </c>
      <c r="Z254" s="265">
        <f t="shared" si="356"/>
        <v>33244.579533673721</v>
      </c>
      <c r="AA254" s="265">
        <f t="shared" si="357"/>
        <v>6874.9255859413724</v>
      </c>
      <c r="AB254" s="265">
        <f t="shared" si="358"/>
        <v>19456.788739601147</v>
      </c>
      <c r="AC254" s="266">
        <f t="shared" si="359"/>
        <v>18111.714482369793</v>
      </c>
      <c r="AD254" s="265">
        <f t="shared" si="365"/>
        <v>33244.579533673721</v>
      </c>
      <c r="AE254" s="265">
        <f t="shared" si="366"/>
        <v>6874.9255859413724</v>
      </c>
      <c r="AF254" s="265">
        <f t="shared" si="367"/>
        <v>19456.788739601147</v>
      </c>
      <c r="AG254" s="266">
        <f t="shared" si="368"/>
        <v>18111.714482369793</v>
      </c>
      <c r="AH254" s="265">
        <f t="shared" si="360"/>
        <v>33244.579533673721</v>
      </c>
      <c r="AI254" s="265">
        <f t="shared" si="361"/>
        <v>9005.7469687720841</v>
      </c>
      <c r="AJ254" s="265">
        <f t="shared" si="362"/>
        <v>19482.129384821405</v>
      </c>
      <c r="AK254" s="265">
        <f t="shared" si="363"/>
        <v>18135.303294335194</v>
      </c>
      <c r="AL254" s="266">
        <f t="shared" si="349"/>
        <v>79867.759181602407</v>
      </c>
      <c r="AM254" s="347"/>
      <c r="AN254" s="264">
        <f>IFERROR(VLOOKUP($A254,'HH &amp; SI'!$B$4:$Z$494,'HH &amp; SI'!V$503,0),0)</f>
        <v>32791.101890985825</v>
      </c>
      <c r="AO254" s="265">
        <f>IFERROR(VLOOKUP($A254,'HH &amp; SI'!$B$4:$Z$494,'HH &amp; SI'!W$503,0),0)</f>
        <v>8709.1305894895413</v>
      </c>
      <c r="AP254" s="265">
        <f>IFERROR(VLOOKUP($A254,'HH &amp; SI'!$B$4:$Z$494,'HH &amp; SI'!X$503,0),0)</f>
        <v>19304.947024576268</v>
      </c>
      <c r="AQ254" s="265">
        <f>IFERROR(VLOOKUP($A254,'HH &amp; SI'!$B$4:$Z$494,'HH &amp; SI'!Y$503,0),0)</f>
        <v>17935.484897245115</v>
      </c>
      <c r="AR254" s="266">
        <f t="shared" si="369"/>
        <v>78740.664402296752</v>
      </c>
      <c r="AS254" s="347"/>
      <c r="AT254" s="324">
        <f>IFERROR(VLOOKUP(A254,'Afton FY16 Final'!$A$5:$BV$572,'Afton FY16 Final'!$BV$587,0),0)</f>
        <v>63357.52368664556</v>
      </c>
      <c r="AU254" s="347"/>
      <c r="AV254" s="454">
        <v>0</v>
      </c>
      <c r="AW254" s="265">
        <f>IFERROR(VLOOKUP($A254,'HH &amp; SI'!$B$4:$EY$503,'HH &amp; SI'!EX$503,0),0)</f>
        <v>4410.5087850607379</v>
      </c>
      <c r="AX254" s="265">
        <f>IFERROR(VLOOKUP($A254,'HH &amp; SI'!$B$4:$EY$503,'HH &amp; SI'!EY$503,0),0)</f>
        <v>74330.155617236014</v>
      </c>
      <c r="AY254" s="265">
        <f>AX254/$AX$582*'update_State Admin 1004(b)'!$B$30*0.01</f>
        <v>711.39298570001438</v>
      </c>
      <c r="AZ254" s="266">
        <f t="shared" si="370"/>
        <v>73618.762631535996</v>
      </c>
      <c r="BA254" s="264">
        <f t="shared" si="371"/>
        <v>736.18762631535992</v>
      </c>
      <c r="BB254" s="265">
        <f t="shared" si="372"/>
        <v>72882.575005220642</v>
      </c>
      <c r="BC254" s="342">
        <f t="shared" si="330"/>
        <v>1.1503381250454832</v>
      </c>
      <c r="BD254" s="347"/>
      <c r="BE254" s="377" t="str">
        <f>'Original Title I &amp; II'!AZ254</f>
        <v/>
      </c>
      <c r="BF254" s="244" t="str">
        <f t="shared" si="380"/>
        <v/>
      </c>
      <c r="BG254" s="266">
        <f t="shared" si="364"/>
        <v>72882.575005220642</v>
      </c>
      <c r="BI254" s="203" t="str">
        <f>IFERROR(VLOOKUP(A254,'Title II Hold Harmless'!A$1:B$439,2, FALSE),"")</f>
        <v/>
      </c>
      <c r="BJ254" s="203">
        <f t="shared" si="373"/>
        <v>1064.3225066900598</v>
      </c>
      <c r="BK254" s="203">
        <f t="shared" si="374"/>
        <v>1065.3521236186882</v>
      </c>
      <c r="BL254" s="203" t="str">
        <f t="shared" si="377"/>
        <v/>
      </c>
      <c r="BM254" s="203">
        <f t="shared" si="378"/>
        <v>1065.3521236186882</v>
      </c>
      <c r="BN254" s="200"/>
      <c r="BP254" s="298" t="s">
        <v>1448</v>
      </c>
      <c r="BQ254" s="299" t="str">
        <f t="shared" si="332"/>
        <v>Y</v>
      </c>
      <c r="BR254" s="300" t="s">
        <v>1448</v>
      </c>
      <c r="BT254" s="298" t="str">
        <f t="shared" si="333"/>
        <v>Y</v>
      </c>
      <c r="BU254" s="299" t="str">
        <f t="shared" si="375"/>
        <v>Y</v>
      </c>
      <c r="BV254" s="299" t="str">
        <f t="shared" si="376"/>
        <v>Y</v>
      </c>
      <c r="BW254" s="300" t="str">
        <f t="shared" si="334"/>
        <v>Y</v>
      </c>
      <c r="BY254" s="355">
        <f t="shared" si="335"/>
        <v>0</v>
      </c>
      <c r="BZ254" s="356">
        <f t="shared" si="336"/>
        <v>0</v>
      </c>
      <c r="CA254" s="356">
        <f t="shared" si="337"/>
        <v>0.95</v>
      </c>
      <c r="CB254" s="357">
        <f t="shared" si="338"/>
        <v>0.95</v>
      </c>
      <c r="CD254" s="312">
        <f t="shared" si="339"/>
        <v>249</v>
      </c>
    </row>
    <row r="255" spans="1:82" s="48" customFormat="1" outlineLevel="1" x14ac:dyDescent="0.3">
      <c r="A255" s="202">
        <v>78531000</v>
      </c>
      <c r="B255" s="48">
        <f>VLOOKUP(C255,'NCES ID'!$A$2:$B$3136,2,FALSE)</f>
        <v>400756</v>
      </c>
      <c r="C255" s="48">
        <f>VLOOKUP(A255,'State ID'!$A$2:$B$713,2,FALSE)</f>
        <v>89561</v>
      </c>
      <c r="D255" s="48" t="s">
        <v>204</v>
      </c>
      <c r="E255" s="48" t="s">
        <v>7</v>
      </c>
      <c r="F255" s="755"/>
      <c r="G255" s="755"/>
      <c r="H255" s="755"/>
      <c r="I255" s="755"/>
      <c r="J255" s="755"/>
      <c r="K255" s="755"/>
      <c r="L255" s="454"/>
      <c r="M255" s="455"/>
      <c r="N255" s="456"/>
      <c r="O255" s="209">
        <f>VLOOKUP($C255,'Final SEA Counts'!$A$2:$F$709,5,FALSE)</f>
        <v>174</v>
      </c>
      <c r="P255" s="223">
        <f>VLOOKUP($C255,'Final SEA Counts'!$A$2:$F$709,6,FALSE)</f>
        <v>153</v>
      </c>
      <c r="Q255" s="749"/>
      <c r="R255" s="454">
        <f t="shared" si="353"/>
        <v>174</v>
      </c>
      <c r="S255" s="455">
        <f t="shared" si="354"/>
        <v>75.75428147339845</v>
      </c>
      <c r="T255" s="230">
        <f t="shared" si="355"/>
        <v>0.43536943375516352</v>
      </c>
      <c r="U255" s="264" t="str">
        <f>IFERROR(VLOOKUP($B255,#REF!,8,FALSE),"")</f>
        <v/>
      </c>
      <c r="V255" s="265" t="str">
        <f>IFERROR(VLOOKUP($B255,#REF!,9,FALSE),"")</f>
        <v/>
      </c>
      <c r="W255" s="265" t="str">
        <f>IFERROR(VLOOKUP($B255,#REF!,10,FALSE),"")</f>
        <v/>
      </c>
      <c r="X255" s="265" t="str">
        <f>IFERROR(VLOOKUP($B255,#REF!,11,FALSE),"")</f>
        <v/>
      </c>
      <c r="Y255" s="266" t="str">
        <f>IFERROR(VLOOKUP($B255,#REF!,12,FALSE),"")</f>
        <v/>
      </c>
      <c r="Z255" s="265">
        <f t="shared" si="356"/>
        <v>36592.954450734389</v>
      </c>
      <c r="AA255" s="265">
        <f t="shared" si="357"/>
        <v>7567.3641341656839</v>
      </c>
      <c r="AB255" s="265">
        <f t="shared" si="358"/>
        <v>21416.465303301986</v>
      </c>
      <c r="AC255" s="266">
        <f t="shared" si="359"/>
        <v>19935.915941025745</v>
      </c>
      <c r="AD255" s="265">
        <f t="shared" si="365"/>
        <v>36592.954450734389</v>
      </c>
      <c r="AE255" s="265">
        <f t="shared" si="366"/>
        <v>7567.3641341656839</v>
      </c>
      <c r="AF255" s="265">
        <f t="shared" si="367"/>
        <v>21416.465303301986</v>
      </c>
      <c r="AG255" s="266">
        <f t="shared" si="368"/>
        <v>19935.915941025745</v>
      </c>
      <c r="AH255" s="265">
        <f t="shared" si="360"/>
        <v>36592.954450734389</v>
      </c>
      <c r="AI255" s="265">
        <f t="shared" si="361"/>
        <v>9698.1855169963965</v>
      </c>
      <c r="AJ255" s="265">
        <f t="shared" si="362"/>
        <v>21441.805948522244</v>
      </c>
      <c r="AK255" s="265">
        <f t="shared" si="363"/>
        <v>19959.504752991146</v>
      </c>
      <c r="AL255" s="266">
        <f t="shared" si="349"/>
        <v>87692.450669244165</v>
      </c>
      <c r="AM255" s="347"/>
      <c r="AN255" s="264">
        <f>IFERROR(VLOOKUP($A255,'HH &amp; SI'!$B$4:$Z$494,'HH &amp; SI'!V$503,0),0)</f>
        <v>36093.802800869293</v>
      </c>
      <c r="AO255" s="265">
        <f>IFERROR(VLOOKUP($A255,'HH &amp; SI'!$B$4:$Z$494,'HH &amp; SI'!W$503,0),0)</f>
        <v>9378.7627435566355</v>
      </c>
      <c r="AP255" s="265">
        <f>IFERROR(VLOOKUP($A255,'HH &amp; SI'!$B$4:$Z$494,'HH &amp; SI'!X$503,0),0)</f>
        <v>21246.801095057031</v>
      </c>
      <c r="AQ255" s="265">
        <f>IFERROR(VLOOKUP($A255,'HH &amp; SI'!$B$4:$Z$494,'HH &amp; SI'!Y$503,0),0)</f>
        <v>19739.586939557041</v>
      </c>
      <c r="AR255" s="266">
        <f t="shared" si="369"/>
        <v>86458.953579040011</v>
      </c>
      <c r="AS255" s="347"/>
      <c r="AT255" s="324">
        <f>IFERROR(VLOOKUP(A255,'Afton FY16 Final'!$A$5:$BV$572,'Afton FY16 Final'!$BV$587,0),0)</f>
        <v>74141.345212748158</v>
      </c>
      <c r="AU255" s="347"/>
      <c r="AV255" s="454">
        <v>0</v>
      </c>
      <c r="AW255" s="265">
        <f>IFERROR(VLOOKUP($A255,'HH &amp; SI'!$B$4:$EY$503,'HH &amp; SI'!EX$503,0),0)</f>
        <v>4842.8340959794295</v>
      </c>
      <c r="AX255" s="265">
        <f>IFERROR(VLOOKUP($A255,'HH &amp; SI'!$B$4:$EY$503,'HH &amp; SI'!EY$503,0),0)</f>
        <v>81616.119483060582</v>
      </c>
      <c r="AY255" s="265">
        <f>AX255/$AX$582*'update_State Admin 1004(b)'!$B$30*0.01</f>
        <v>781.12489390295434</v>
      </c>
      <c r="AZ255" s="266">
        <f t="shared" si="370"/>
        <v>80834.994589157621</v>
      </c>
      <c r="BA255" s="264">
        <f t="shared" si="371"/>
        <v>808.34994589157623</v>
      </c>
      <c r="BB255" s="265">
        <f t="shared" si="372"/>
        <v>80026.644643266045</v>
      </c>
      <c r="BC255" s="342">
        <f t="shared" si="330"/>
        <v>1.0793794530383831</v>
      </c>
      <c r="BD255" s="347"/>
      <c r="BE255" s="377" t="str">
        <f>'Original Title I &amp; II'!AZ255</f>
        <v/>
      </c>
      <c r="BF255" s="244" t="str">
        <f t="shared" si="380"/>
        <v/>
      </c>
      <c r="BG255" s="266">
        <f t="shared" si="364"/>
        <v>80026.644643266045</v>
      </c>
      <c r="BI255" s="203" t="str">
        <f>IFERROR(VLOOKUP(A255,'Title II Hold Harmless'!A$1:B$439,2, FALSE),"")</f>
        <v/>
      </c>
      <c r="BJ255" s="203">
        <f t="shared" si="373"/>
        <v>1131.7262968180025</v>
      </c>
      <c r="BK255" s="203">
        <f t="shared" si="374"/>
        <v>1132.8211196244861</v>
      </c>
      <c r="BL255" s="203" t="str">
        <f t="shared" si="377"/>
        <v/>
      </c>
      <c r="BM255" s="203">
        <f t="shared" si="378"/>
        <v>1132.8211196244861</v>
      </c>
      <c r="BN255" s="200"/>
      <c r="BP255" s="298" t="s">
        <v>1448</v>
      </c>
      <c r="BQ255" s="299" t="str">
        <f t="shared" si="332"/>
        <v>Y</v>
      </c>
      <c r="BR255" s="300" t="s">
        <v>1448</v>
      </c>
      <c r="BT255" s="298" t="str">
        <f t="shared" si="333"/>
        <v>Y</v>
      </c>
      <c r="BU255" s="299" t="str">
        <f t="shared" si="375"/>
        <v>Y</v>
      </c>
      <c r="BV255" s="299" t="str">
        <f t="shared" si="376"/>
        <v>Y</v>
      </c>
      <c r="BW255" s="300" t="str">
        <f t="shared" si="334"/>
        <v>Y</v>
      </c>
      <c r="BY255" s="355">
        <f t="shared" si="335"/>
        <v>0</v>
      </c>
      <c r="BZ255" s="356">
        <f t="shared" si="336"/>
        <v>0</v>
      </c>
      <c r="CA255" s="356">
        <f t="shared" si="337"/>
        <v>0.95</v>
      </c>
      <c r="CB255" s="357">
        <f t="shared" si="338"/>
        <v>0.95</v>
      </c>
      <c r="CD255" s="312">
        <f t="shared" si="339"/>
        <v>250</v>
      </c>
    </row>
    <row r="256" spans="1:82" s="48" customFormat="1" outlineLevel="1" x14ac:dyDescent="0.3">
      <c r="A256" s="202">
        <v>78519000</v>
      </c>
      <c r="B256" s="48">
        <f>VLOOKUP(C256,'NCES ID'!$A$2:$B$3136,2,FALSE)</f>
        <v>400445</v>
      </c>
      <c r="C256" s="48">
        <f>VLOOKUP(A256,'State ID'!$A$2:$B$713,2,FALSE)</f>
        <v>88365</v>
      </c>
      <c r="D256" s="48" t="s">
        <v>205</v>
      </c>
      <c r="E256" s="48" t="s">
        <v>7</v>
      </c>
      <c r="F256" s="755"/>
      <c r="G256" s="755"/>
      <c r="H256" s="755"/>
      <c r="I256" s="755"/>
      <c r="J256" s="755"/>
      <c r="K256" s="755"/>
      <c r="L256" s="454"/>
      <c r="M256" s="455"/>
      <c r="N256" s="456"/>
      <c r="O256" s="209">
        <f>VLOOKUP($C256,'Final SEA Counts'!$A$2:$F$709,5,FALSE)</f>
        <v>449</v>
      </c>
      <c r="P256" s="223">
        <f>VLOOKUP($C256,'Final SEA Counts'!$A$2:$F$709,6,FALSE)</f>
        <v>382</v>
      </c>
      <c r="Q256" s="749"/>
      <c r="R256" s="454">
        <f t="shared" si="353"/>
        <v>449</v>
      </c>
      <c r="S256" s="455">
        <f t="shared" si="354"/>
        <v>189.13814067214514</v>
      </c>
      <c r="T256" s="230">
        <f t="shared" si="355"/>
        <v>0.42124307499364172</v>
      </c>
      <c r="U256" s="264" t="str">
        <f>IFERROR(VLOOKUP($B256,#REF!,8,FALSE),"")</f>
        <v/>
      </c>
      <c r="V256" s="265" t="str">
        <f>IFERROR(VLOOKUP($B256,#REF!,9,FALSE),"")</f>
        <v/>
      </c>
      <c r="W256" s="265" t="str">
        <f>IFERROR(VLOOKUP($B256,#REF!,10,FALSE),"")</f>
        <v/>
      </c>
      <c r="X256" s="265" t="str">
        <f>IFERROR(VLOOKUP($B256,#REF!,11,FALSE),"")</f>
        <v/>
      </c>
      <c r="Y256" s="266" t="str">
        <f>IFERROR(VLOOKUP($B256,#REF!,12,FALSE),"")</f>
        <v/>
      </c>
      <c r="Z256" s="265">
        <f t="shared" si="356"/>
        <v>91362.801308369511</v>
      </c>
      <c r="AA256" s="265">
        <f t="shared" si="357"/>
        <v>18893.680387263343</v>
      </c>
      <c r="AB256" s="265">
        <f t="shared" si="358"/>
        <v>53471.174809551361</v>
      </c>
      <c r="AC256" s="266">
        <f t="shared" si="359"/>
        <v>49774.639800469507</v>
      </c>
      <c r="AD256" s="265">
        <f t="shared" si="365"/>
        <v>91362.801308369511</v>
      </c>
      <c r="AE256" s="265">
        <f t="shared" si="366"/>
        <v>18893.680387263343</v>
      </c>
      <c r="AF256" s="265">
        <f t="shared" si="367"/>
        <v>53471.174809551361</v>
      </c>
      <c r="AG256" s="266">
        <f t="shared" si="368"/>
        <v>49774.639800469507</v>
      </c>
      <c r="AH256" s="265">
        <f t="shared" si="360"/>
        <v>91362.801308369511</v>
      </c>
      <c r="AI256" s="265">
        <f t="shared" si="361"/>
        <v>21024.501770094055</v>
      </c>
      <c r="AJ256" s="265">
        <f t="shared" si="362"/>
        <v>53496.515454771623</v>
      </c>
      <c r="AK256" s="265">
        <f t="shared" si="363"/>
        <v>49798.228612434912</v>
      </c>
      <c r="AL256" s="266">
        <f t="shared" si="349"/>
        <v>215682.04714567008</v>
      </c>
      <c r="AM256" s="347"/>
      <c r="AN256" s="264">
        <f>IFERROR(VLOOKUP($A256,'HH &amp; SI'!$B$4:$Z$494,'HH &amp; SI'!V$503,0),0)</f>
        <v>112935.5659926229</v>
      </c>
      <c r="AO256" s="265">
        <f>IFERROR(VLOOKUP($A256,'HH &amp; SI'!$B$4:$Z$494,'HH &amp; SI'!W$503,0),0)</f>
        <v>23717.949055917928</v>
      </c>
      <c r="AP256" s="265">
        <f>IFERROR(VLOOKUP($A256,'HH &amp; SI'!$B$4:$Z$494,'HH &amp; SI'!X$503,0),0)</f>
        <v>59880.087144752266</v>
      </c>
      <c r="AQ256" s="265">
        <f>IFERROR(VLOOKUP($A256,'HH &amp; SI'!$B$4:$Z$494,'HH &amp; SI'!Y$503,0),0)</f>
        <v>57694.051776342756</v>
      </c>
      <c r="AR256" s="266">
        <f t="shared" si="369"/>
        <v>254227.65396963587</v>
      </c>
      <c r="AS256" s="347"/>
      <c r="AT256" s="324">
        <f>IFERROR(VLOOKUP(A256,'Afton FY16 Final'!$A$5:$BV$572,'Afton FY16 Final'!$BV$587,0),0)</f>
        <v>258136.87614696083</v>
      </c>
      <c r="AU256" s="347"/>
      <c r="AV256" s="454">
        <v>0</v>
      </c>
      <c r="AW256" s="265">
        <f>IFERROR(VLOOKUP($A256,'HH &amp; SI'!$B$4:$EY$503,'HH &amp; SI'!EX$503,0),0)</f>
        <v>0</v>
      </c>
      <c r="AX256" s="265">
        <f>IFERROR(VLOOKUP($A256,'HH &amp; SI'!$B$4:$EY$503,'HH &amp; SI'!EY$503,0),0)</f>
        <v>254227.65396963587</v>
      </c>
      <c r="AY256" s="265">
        <f>AX256/$AX$582*'update_State Admin 1004(b)'!$B$30*0.01</f>
        <v>2433.1412776301481</v>
      </c>
      <c r="AZ256" s="266">
        <f t="shared" si="370"/>
        <v>251794.51269200572</v>
      </c>
      <c r="BA256" s="264">
        <f t="shared" si="371"/>
        <v>2517.9451269200572</v>
      </c>
      <c r="BB256" s="265">
        <f t="shared" si="372"/>
        <v>249276.56756508566</v>
      </c>
      <c r="BC256" s="342">
        <f t="shared" si="330"/>
        <v>0.96567592854563378</v>
      </c>
      <c r="BD256" s="347"/>
      <c r="BE256" s="377" t="str">
        <f>'Original Title I &amp; II'!AZ256</f>
        <v/>
      </c>
      <c r="BF256" s="244" t="str">
        <f t="shared" si="380"/>
        <v/>
      </c>
      <c r="BG256" s="266">
        <f t="shared" si="364"/>
        <v>249276.56756508566</v>
      </c>
      <c r="BI256" s="203" t="str">
        <f>IFERROR(VLOOKUP(A256,'Title II Hold Harmless'!A$1:B$439,2, FALSE),"")</f>
        <v/>
      </c>
      <c r="BJ256" s="203">
        <f t="shared" si="373"/>
        <v>2837.3421169434905</v>
      </c>
      <c r="BK256" s="203">
        <f t="shared" si="374"/>
        <v>2840.0869386094355</v>
      </c>
      <c r="BL256" s="203" t="str">
        <f t="shared" si="377"/>
        <v/>
      </c>
      <c r="BM256" s="203">
        <f t="shared" si="378"/>
        <v>2840.0869386094355</v>
      </c>
      <c r="BN256" s="200"/>
      <c r="BP256" s="298" t="s">
        <v>1448</v>
      </c>
      <c r="BQ256" s="299" t="str">
        <f t="shared" si="332"/>
        <v>Y</v>
      </c>
      <c r="BR256" s="300" t="s">
        <v>1448</v>
      </c>
      <c r="BT256" s="298" t="str">
        <f t="shared" si="333"/>
        <v>Y</v>
      </c>
      <c r="BU256" s="299" t="str">
        <f t="shared" si="375"/>
        <v>Y</v>
      </c>
      <c r="BV256" s="299" t="str">
        <f t="shared" si="376"/>
        <v>Y</v>
      </c>
      <c r="BW256" s="300" t="str">
        <f t="shared" si="334"/>
        <v>Y</v>
      </c>
      <c r="BY256" s="355">
        <f t="shared" si="335"/>
        <v>0</v>
      </c>
      <c r="BZ256" s="356">
        <f t="shared" si="336"/>
        <v>0</v>
      </c>
      <c r="CA256" s="356">
        <f t="shared" si="337"/>
        <v>0.95</v>
      </c>
      <c r="CB256" s="357">
        <f t="shared" si="338"/>
        <v>0.95</v>
      </c>
      <c r="CD256" s="312">
        <f t="shared" si="339"/>
        <v>251</v>
      </c>
    </row>
    <row r="257" spans="1:82" s="48" customFormat="1" outlineLevel="1" x14ac:dyDescent="0.3">
      <c r="A257" s="202">
        <v>78520000</v>
      </c>
      <c r="B257" s="48">
        <f>VLOOKUP(C257,'NCES ID'!$A$2:$B$3136,2,FALSE)</f>
        <v>400438</v>
      </c>
      <c r="C257" s="48">
        <f>VLOOKUP(A257,'State ID'!$A$2:$B$713,2,FALSE)</f>
        <v>88367</v>
      </c>
      <c r="D257" s="48" t="s">
        <v>206</v>
      </c>
      <c r="E257" s="48" t="s">
        <v>7</v>
      </c>
      <c r="F257" s="755"/>
      <c r="G257" s="755"/>
      <c r="H257" s="755"/>
      <c r="I257" s="755"/>
      <c r="J257" s="755"/>
      <c r="K257" s="755"/>
      <c r="L257" s="454"/>
      <c r="M257" s="455"/>
      <c r="N257" s="456"/>
      <c r="O257" s="209">
        <f>VLOOKUP($C257,'Final SEA Counts'!$A$2:$F$709,5,FALSE)</f>
        <v>802</v>
      </c>
      <c r="P257" s="223">
        <f>VLOOKUP($C257,'Final SEA Counts'!$A$2:$F$709,6,FALSE)</f>
        <v>738</v>
      </c>
      <c r="Q257" s="749"/>
      <c r="R257" s="454">
        <f t="shared" si="353"/>
        <v>802</v>
      </c>
      <c r="S257" s="455">
        <f t="shared" si="354"/>
        <v>365.40300475403956</v>
      </c>
      <c r="T257" s="230">
        <f t="shared" si="355"/>
        <v>0.45561471914468771</v>
      </c>
      <c r="U257" s="264" t="str">
        <f>IFERROR(VLOOKUP($B257,#REF!,8,FALSE),"")</f>
        <v/>
      </c>
      <c r="V257" s="265" t="str">
        <f>IFERROR(VLOOKUP($B257,#REF!,9,FALSE),"")</f>
        <v/>
      </c>
      <c r="W257" s="265" t="str">
        <f>IFERROR(VLOOKUP($B257,#REF!,10,FALSE),"")</f>
        <v/>
      </c>
      <c r="X257" s="265" t="str">
        <f>IFERROR(VLOOKUP($B257,#REF!,11,FALSE),"")</f>
        <v/>
      </c>
      <c r="Y257" s="266" t="str">
        <f>IFERROR(VLOOKUP($B257,#REF!,12,FALSE),"")</f>
        <v/>
      </c>
      <c r="Z257" s="265">
        <f t="shared" si="356"/>
        <v>176507.1920564835</v>
      </c>
      <c r="AA257" s="265">
        <f t="shared" si="357"/>
        <v>36501.403470681536</v>
      </c>
      <c r="AB257" s="265">
        <f t="shared" si="358"/>
        <v>103302.95028651545</v>
      </c>
      <c r="AC257" s="266">
        <f t="shared" si="359"/>
        <v>96161.47689200654</v>
      </c>
      <c r="AD257" s="265">
        <f t="shared" si="365"/>
        <v>176507.1920564835</v>
      </c>
      <c r="AE257" s="265">
        <f t="shared" si="366"/>
        <v>36501.403470681536</v>
      </c>
      <c r="AF257" s="265">
        <f t="shared" si="367"/>
        <v>103302.95028651545</v>
      </c>
      <c r="AG257" s="266">
        <f t="shared" si="368"/>
        <v>96161.47689200654</v>
      </c>
      <c r="AH257" s="265">
        <f t="shared" si="360"/>
        <v>176507.1920564835</v>
      </c>
      <c r="AI257" s="265">
        <f t="shared" si="361"/>
        <v>38632.224853512249</v>
      </c>
      <c r="AJ257" s="265">
        <f t="shared" si="362"/>
        <v>103328.29093173571</v>
      </c>
      <c r="AK257" s="265">
        <f t="shared" si="363"/>
        <v>96185.065703971937</v>
      </c>
      <c r="AL257" s="266">
        <f t="shared" si="349"/>
        <v>414652.77354570344</v>
      </c>
      <c r="AM257" s="347"/>
      <c r="AN257" s="264">
        <f>IFERROR(VLOOKUP($A257,'HH &amp; SI'!$B$4:$Z$494,'HH &amp; SI'!V$503,0),0)</f>
        <v>181462.34380053231</v>
      </c>
      <c r="AO257" s="265">
        <f>IFERROR(VLOOKUP($A257,'HH &amp; SI'!$B$4:$Z$494,'HH &amp; SI'!W$503,0),0)</f>
        <v>37696.857042894662</v>
      </c>
      <c r="AP257" s="265">
        <f>IFERROR(VLOOKUP($A257,'HH &amp; SI'!$B$4:$Z$494,'HH &amp; SI'!X$503,0),0)</f>
        <v>102388.56046871739</v>
      </c>
      <c r="AQ257" s="265">
        <f>IFERROR(VLOOKUP($A257,'HH &amp; SI'!$B$4:$Z$494,'HH &amp; SI'!Y$503,0),0)</f>
        <v>95125.279421876767</v>
      </c>
      <c r="AR257" s="266">
        <f t="shared" si="369"/>
        <v>416673.04073402111</v>
      </c>
      <c r="AS257" s="347"/>
      <c r="AT257" s="324">
        <f>IFERROR(VLOOKUP(A257,'Afton FY16 Final'!$A$5:$BV$572,'Afton FY16 Final'!$BV$587,0),0)</f>
        <v>414349.60611389932</v>
      </c>
      <c r="AU257" s="347"/>
      <c r="AV257" s="454">
        <v>0</v>
      </c>
      <c r="AW257" s="265">
        <f>IFERROR(VLOOKUP($A257,'HH &amp; SI'!$B$4:$EY$503,'HH &amp; SI'!EX$503,0),0)</f>
        <v>2323.434620121785</v>
      </c>
      <c r="AX257" s="265">
        <f>IFERROR(VLOOKUP($A257,'HH &amp; SI'!$B$4:$EY$503,'HH &amp; SI'!EY$503,0),0)</f>
        <v>414349.60611389932</v>
      </c>
      <c r="AY257" s="265">
        <f>AX257/$AX$582*'update_State Admin 1004(b)'!$B$30*0.01</f>
        <v>3965.6233862187714</v>
      </c>
      <c r="AZ257" s="266">
        <f t="shared" si="370"/>
        <v>410383.98272768053</v>
      </c>
      <c r="BA257" s="264">
        <f t="shared" si="371"/>
        <v>4103.8398272768054</v>
      </c>
      <c r="BB257" s="265">
        <f t="shared" si="372"/>
        <v>406280.14290040371</v>
      </c>
      <c r="BC257" s="342">
        <f t="shared" si="330"/>
        <v>0.98052498881517602</v>
      </c>
      <c r="BD257" s="347"/>
      <c r="BE257" s="377" t="str">
        <f>'Original Title I &amp; II'!AZ257</f>
        <v/>
      </c>
      <c r="BF257" s="244" t="str">
        <f t="shared" si="380"/>
        <v/>
      </c>
      <c r="BG257" s="266">
        <f t="shared" si="364"/>
        <v>406280.14290040371</v>
      </c>
      <c r="BI257" s="203" t="str">
        <f>IFERROR(VLOOKUP(A257,'Title II Hold Harmless'!A$1:B$439,2, FALSE),"")</f>
        <v/>
      </c>
      <c r="BJ257" s="203">
        <f t="shared" si="373"/>
        <v>5428.9007844669668</v>
      </c>
      <c r="BK257" s="203">
        <f t="shared" si="374"/>
        <v>5434.15265889074</v>
      </c>
      <c r="BL257" s="203" t="str">
        <f t="shared" si="377"/>
        <v/>
      </c>
      <c r="BM257" s="203">
        <f t="shared" si="378"/>
        <v>5434.15265889074</v>
      </c>
      <c r="BN257" s="200"/>
      <c r="BP257" s="298" t="s">
        <v>1448</v>
      </c>
      <c r="BQ257" s="299" t="str">
        <f t="shared" si="332"/>
        <v>Y</v>
      </c>
      <c r="BR257" s="300" t="s">
        <v>1448</v>
      </c>
      <c r="BT257" s="298" t="str">
        <f t="shared" si="333"/>
        <v>Y</v>
      </c>
      <c r="BU257" s="299" t="str">
        <f t="shared" si="375"/>
        <v>Y</v>
      </c>
      <c r="BV257" s="299" t="str">
        <f t="shared" si="376"/>
        <v>Y</v>
      </c>
      <c r="BW257" s="300" t="str">
        <f t="shared" si="334"/>
        <v>Y</v>
      </c>
      <c r="BY257" s="355">
        <f t="shared" si="335"/>
        <v>0</v>
      </c>
      <c r="BZ257" s="356">
        <f t="shared" si="336"/>
        <v>0</v>
      </c>
      <c r="CA257" s="356">
        <f t="shared" si="337"/>
        <v>0.95</v>
      </c>
      <c r="CB257" s="357">
        <f t="shared" si="338"/>
        <v>0.95</v>
      </c>
      <c r="CD257" s="312">
        <f t="shared" si="339"/>
        <v>252</v>
      </c>
    </row>
    <row r="258" spans="1:82" s="48" customFormat="1" outlineLevel="1" x14ac:dyDescent="0.3">
      <c r="A258" s="202">
        <v>78536000</v>
      </c>
      <c r="B258" s="48">
        <f>VLOOKUP(C258,'NCES ID'!$A$2:$B$3136,2,FALSE)</f>
        <v>400766</v>
      </c>
      <c r="C258" s="48">
        <f>VLOOKUP(A258,'State ID'!$A$2:$B$713,2,FALSE)</f>
        <v>89786</v>
      </c>
      <c r="D258" s="48" t="s">
        <v>207</v>
      </c>
      <c r="E258" s="48" t="s">
        <v>7</v>
      </c>
      <c r="F258" s="755"/>
      <c r="G258" s="755"/>
      <c r="H258" s="755"/>
      <c r="I258" s="755"/>
      <c r="J258" s="755"/>
      <c r="K258" s="755"/>
      <c r="L258" s="454"/>
      <c r="M258" s="455"/>
      <c r="N258" s="456"/>
      <c r="O258" s="209">
        <f>VLOOKUP($C258,'Final SEA Counts'!$A$2:$F$709,5,FALSE)</f>
        <v>728</v>
      </c>
      <c r="P258" s="223">
        <f>VLOOKUP($C258,'Final SEA Counts'!$A$2:$F$709,6,FALSE)</f>
        <v>582</v>
      </c>
      <c r="Q258" s="749"/>
      <c r="R258" s="454">
        <f t="shared" si="353"/>
        <v>728</v>
      </c>
      <c r="S258" s="455">
        <f t="shared" si="354"/>
        <v>288.16334521253526</v>
      </c>
      <c r="T258" s="230">
        <f t="shared" si="355"/>
        <v>0.39582877089633967</v>
      </c>
      <c r="U258" s="264" t="str">
        <f>IFERROR(VLOOKUP($B258,#REF!,8,FALSE),"")</f>
        <v/>
      </c>
      <c r="V258" s="265" t="str">
        <f>IFERROR(VLOOKUP($B258,#REF!,9,FALSE),"")</f>
        <v/>
      </c>
      <c r="W258" s="265" t="str">
        <f>IFERROR(VLOOKUP($B258,#REF!,10,FALSE),"")</f>
        <v/>
      </c>
      <c r="X258" s="265" t="str">
        <f>IFERROR(VLOOKUP($B258,#REF!,11,FALSE),"")</f>
        <v/>
      </c>
      <c r="Y258" s="266" t="str">
        <f>IFERROR(VLOOKUP($B258,#REF!,12,FALSE),"")</f>
        <v/>
      </c>
      <c r="Z258" s="265">
        <f t="shared" si="356"/>
        <v>139196.72869495041</v>
      </c>
      <c r="AA258" s="265">
        <f t="shared" si="357"/>
        <v>28785.659647610639</v>
      </c>
      <c r="AB258" s="265">
        <f t="shared" si="358"/>
        <v>81466.554290991859</v>
      </c>
      <c r="AC258" s="266">
        <f t="shared" si="359"/>
        <v>75834.66063841166</v>
      </c>
      <c r="AD258" s="265">
        <f t="shared" si="365"/>
        <v>139196.72869495041</v>
      </c>
      <c r="AE258" s="265">
        <f t="shared" si="366"/>
        <v>28785.659647610639</v>
      </c>
      <c r="AF258" s="265">
        <f t="shared" si="367"/>
        <v>81466.554290991859</v>
      </c>
      <c r="AG258" s="266">
        <f t="shared" si="368"/>
        <v>75834.66063841166</v>
      </c>
      <c r="AH258" s="265">
        <f t="shared" si="360"/>
        <v>139196.72869495041</v>
      </c>
      <c r="AI258" s="265">
        <f t="shared" si="361"/>
        <v>30916.481030441351</v>
      </c>
      <c r="AJ258" s="265">
        <f t="shared" si="362"/>
        <v>81491.89493621212</v>
      </c>
      <c r="AK258" s="265">
        <f t="shared" si="363"/>
        <v>75858.249450377058</v>
      </c>
      <c r="AL258" s="266">
        <f t="shared" si="349"/>
        <v>327463.35411198094</v>
      </c>
      <c r="AM258" s="347"/>
      <c r="AN258" s="264">
        <f>IFERROR(VLOOKUP($A258,'HH &amp; SI'!$B$4:$Z$494,'HH &amp; SI'!V$503,0),0)</f>
        <v>137297.99496801262</v>
      </c>
      <c r="AO258" s="265">
        <f>IFERROR(VLOOKUP($A258,'HH &amp; SI'!$B$4:$Z$494,'HH &amp; SI'!W$503,0),0)</f>
        <v>29898.205178898374</v>
      </c>
      <c r="AP258" s="265">
        <f>IFERROR(VLOOKUP($A258,'HH &amp; SI'!$B$4:$Z$494,'HH &amp; SI'!X$503,0),0)</f>
        <v>80750.757969074621</v>
      </c>
      <c r="AQ258" s="265">
        <f>IFERROR(VLOOKUP($A258,'HH &amp; SI'!$B$4:$Z$494,'HH &amp; SI'!Y$503,0),0)</f>
        <v>75022.428093258175</v>
      </c>
      <c r="AR258" s="266">
        <f t="shared" si="369"/>
        <v>322969.38620924379</v>
      </c>
      <c r="AS258" s="347"/>
      <c r="AT258" s="324">
        <f>IFERROR(VLOOKUP(A258,'Afton FY16 Final'!$A$5:$BV$572,'Afton FY16 Final'!$BV$587,0),0)</f>
        <v>282250.25057138765</v>
      </c>
      <c r="AU258" s="347"/>
      <c r="AV258" s="454">
        <v>0</v>
      </c>
      <c r="AW258" s="265">
        <f>IFERROR(VLOOKUP($A258,'HH &amp; SI'!$B$4:$EY$503,'HH &amp; SI'!EX$503,0),0)</f>
        <v>18090.516837701376</v>
      </c>
      <c r="AX258" s="265">
        <f>IFERROR(VLOOKUP($A258,'HH &amp; SI'!$B$4:$EY$503,'HH &amp; SI'!EY$503,0),0)</f>
        <v>304878.86937154242</v>
      </c>
      <c r="AY258" s="265">
        <f>AX258/$AX$582*'update_State Admin 1004(b)'!$B$30*0.01</f>
        <v>2917.909795264482</v>
      </c>
      <c r="AZ258" s="266">
        <f t="shared" si="370"/>
        <v>301960.95957627794</v>
      </c>
      <c r="BA258" s="264">
        <f t="shared" si="371"/>
        <v>3019.6095957627795</v>
      </c>
      <c r="BB258" s="265">
        <f t="shared" si="372"/>
        <v>298941.34998051514</v>
      </c>
      <c r="BC258" s="342">
        <f t="shared" si="330"/>
        <v>1.0591358178614121</v>
      </c>
      <c r="BD258" s="347"/>
      <c r="BE258" s="377" t="str">
        <f>'Original Title I &amp; II'!AZ258</f>
        <v/>
      </c>
      <c r="BF258" s="244" t="str">
        <f t="shared" si="380"/>
        <v/>
      </c>
      <c r="BG258" s="266">
        <f t="shared" si="364"/>
        <v>298941.34998051514</v>
      </c>
      <c r="BI258" s="203" t="str">
        <f>IFERROR(VLOOKUP(A258,'Title II Hold Harmless'!A$1:B$439,2, FALSE),"")</f>
        <v/>
      </c>
      <c r="BJ258" s="203">
        <f t="shared" si="373"/>
        <v>4358.2095320717381</v>
      </c>
      <c r="BK258" s="203">
        <f t="shared" si="374"/>
        <v>4362.4256284941339</v>
      </c>
      <c r="BL258" s="203" t="str">
        <f t="shared" si="377"/>
        <v/>
      </c>
      <c r="BM258" s="203">
        <f t="shared" si="378"/>
        <v>4362.4256284941339</v>
      </c>
      <c r="BN258" s="200"/>
      <c r="BP258" s="298" t="s">
        <v>1448</v>
      </c>
      <c r="BQ258" s="299" t="str">
        <f t="shared" si="332"/>
        <v>Y</v>
      </c>
      <c r="BR258" s="300" t="s">
        <v>1448</v>
      </c>
      <c r="BT258" s="298" t="str">
        <f t="shared" si="333"/>
        <v>Y</v>
      </c>
      <c r="BU258" s="299" t="str">
        <f t="shared" si="375"/>
        <v>Y</v>
      </c>
      <c r="BV258" s="299" t="str">
        <f t="shared" si="376"/>
        <v>Y</v>
      </c>
      <c r="BW258" s="300" t="str">
        <f t="shared" si="334"/>
        <v>Y</v>
      </c>
      <c r="BY258" s="355">
        <f t="shared" si="335"/>
        <v>0</v>
      </c>
      <c r="BZ258" s="356">
        <f t="shared" si="336"/>
        <v>0</v>
      </c>
      <c r="CA258" s="356">
        <f t="shared" si="337"/>
        <v>0.95</v>
      </c>
      <c r="CB258" s="357">
        <f t="shared" si="338"/>
        <v>0.95</v>
      </c>
      <c r="CD258" s="312">
        <f t="shared" si="339"/>
        <v>253</v>
      </c>
    </row>
    <row r="259" spans="1:82" s="48" customFormat="1" outlineLevel="1" x14ac:dyDescent="0.3">
      <c r="A259" s="202">
        <v>78532000</v>
      </c>
      <c r="B259" s="48">
        <f>VLOOKUP(C259,'NCES ID'!$A$2:$B$3136,2,FALSE)</f>
        <v>400754</v>
      </c>
      <c r="C259" s="48">
        <f>VLOOKUP(A259,'State ID'!$A$2:$B$713,2,FALSE)</f>
        <v>89563</v>
      </c>
      <c r="D259" s="48" t="s">
        <v>208</v>
      </c>
      <c r="E259" s="48" t="s">
        <v>7</v>
      </c>
      <c r="F259" s="755"/>
      <c r="G259" s="755"/>
      <c r="H259" s="755"/>
      <c r="I259" s="755"/>
      <c r="J259" s="755"/>
      <c r="K259" s="755"/>
      <c r="L259" s="454"/>
      <c r="M259" s="455"/>
      <c r="N259" s="456"/>
      <c r="O259" s="209">
        <f>VLOOKUP($C259,'Final SEA Counts'!$A$2:$F$709,5,FALSE)</f>
        <v>343</v>
      </c>
      <c r="P259" s="223">
        <f>VLOOKUP($C259,'Final SEA Counts'!$A$2:$F$709,6,FALSE)</f>
        <v>316</v>
      </c>
      <c r="Q259" s="749"/>
      <c r="R259" s="454">
        <f t="shared" si="353"/>
        <v>343</v>
      </c>
      <c r="S259" s="455">
        <f t="shared" si="354"/>
        <v>156.4598231738164</v>
      </c>
      <c r="T259" s="230">
        <f t="shared" si="355"/>
        <v>0.45615108797031023</v>
      </c>
      <c r="U259" s="264" t="str">
        <f>IFERROR(VLOOKUP($B259,#REF!,8,FALSE),"")</f>
        <v/>
      </c>
      <c r="V259" s="265" t="str">
        <f>IFERROR(VLOOKUP($B259,#REF!,9,FALSE),"")</f>
        <v/>
      </c>
      <c r="W259" s="265" t="str">
        <f>IFERROR(VLOOKUP($B259,#REF!,10,FALSE),"")</f>
        <v/>
      </c>
      <c r="X259" s="265" t="str">
        <f>IFERROR(VLOOKUP($B259,#REF!,11,FALSE),"")</f>
        <v/>
      </c>
      <c r="Y259" s="266" t="str">
        <f>IFERROR(VLOOKUP($B259,#REF!,12,FALSE),"")</f>
        <v/>
      </c>
      <c r="Z259" s="265">
        <f t="shared" si="356"/>
        <v>75577.605270797823</v>
      </c>
      <c r="AA259" s="265">
        <f t="shared" si="357"/>
        <v>15629.327231348732</v>
      </c>
      <c r="AB259" s="265">
        <f t="shared" si="358"/>
        <v>44232.699580675995</v>
      </c>
      <c r="AC259" s="266">
        <f t="shared" si="359"/>
        <v>41174.832923948597</v>
      </c>
      <c r="AD259" s="265">
        <f t="shared" si="365"/>
        <v>75577.605270797823</v>
      </c>
      <c r="AE259" s="265">
        <f t="shared" si="366"/>
        <v>15629.327231348732</v>
      </c>
      <c r="AF259" s="265">
        <f t="shared" si="367"/>
        <v>44232.699580675995</v>
      </c>
      <c r="AG259" s="266">
        <f t="shared" si="368"/>
        <v>41174.832923948597</v>
      </c>
      <c r="AH259" s="265">
        <f t="shared" si="360"/>
        <v>75577.605270797823</v>
      </c>
      <c r="AI259" s="265">
        <f t="shared" si="361"/>
        <v>17760.148614179445</v>
      </c>
      <c r="AJ259" s="265">
        <f t="shared" si="362"/>
        <v>44258.040225896257</v>
      </c>
      <c r="AK259" s="265">
        <f t="shared" si="363"/>
        <v>41198.421735914002</v>
      </c>
      <c r="AL259" s="266">
        <f t="shared" si="349"/>
        <v>178794.21584678756</v>
      </c>
      <c r="AM259" s="347"/>
      <c r="AN259" s="264">
        <f>IFERROR(VLOOKUP($A259,'HH &amp; SI'!$B$4:$Z$494,'HH &amp; SI'!V$503,0),0)</f>
        <v>74546.67768022677</v>
      </c>
      <c r="AO259" s="265">
        <f>IFERROR(VLOOKUP($A259,'HH &amp; SI'!$B$4:$Z$494,'HH &amp; SI'!W$503,0),0)</f>
        <v>17175.194251623543</v>
      </c>
      <c r="AP259" s="265">
        <f>IFERROR(VLOOKUP($A259,'HH &amp; SI'!$B$4:$Z$494,'HH &amp; SI'!X$503,0),0)</f>
        <v>43855.530629940178</v>
      </c>
      <c r="AQ259" s="265">
        <f>IFERROR(VLOOKUP($A259,'HH &amp; SI'!$B$4:$Z$494,'HH &amp; SI'!Y$503,0),0)</f>
        <v>40744.489289331599</v>
      </c>
      <c r="AR259" s="266">
        <f t="shared" si="369"/>
        <v>176321.89185112208</v>
      </c>
      <c r="AS259" s="347"/>
      <c r="AT259" s="324">
        <f>IFERROR(VLOOKUP(A259,'Afton FY16 Final'!$A$5:$BV$572,'Afton FY16 Final'!$BV$587,0),0)</f>
        <v>150150.89502887585</v>
      </c>
      <c r="AU259" s="347"/>
      <c r="AV259" s="454">
        <v>0</v>
      </c>
      <c r="AW259" s="265">
        <f>IFERROR(VLOOKUP($A259,'HH &amp; SI'!$B$4:$EY$503,'HH &amp; SI'!EX$503,0),0)</f>
        <v>9876.3359302467143</v>
      </c>
      <c r="AX259" s="265">
        <f>IFERROR(VLOOKUP($A259,'HH &amp; SI'!$B$4:$EY$503,'HH &amp; SI'!EY$503,0),0)</f>
        <v>166445.55592087537</v>
      </c>
      <c r="AY259" s="265">
        <f>AX259/$AX$582*'update_State Admin 1004(b)'!$B$30*0.01</f>
        <v>1593.0035394086165</v>
      </c>
      <c r="AZ259" s="266">
        <f t="shared" si="370"/>
        <v>164852.55238146675</v>
      </c>
      <c r="BA259" s="264">
        <f t="shared" si="371"/>
        <v>1648.5255238146676</v>
      </c>
      <c r="BB259" s="265">
        <f t="shared" si="372"/>
        <v>163204.02685765209</v>
      </c>
      <c r="BC259" s="342">
        <f t="shared" si="330"/>
        <v>1.0869334267122814</v>
      </c>
      <c r="BD259" s="347"/>
      <c r="BE259" s="377" t="str">
        <f>'Original Title I &amp; II'!AZ259</f>
        <v/>
      </c>
      <c r="BF259" s="244" t="str">
        <f t="shared" si="380"/>
        <v/>
      </c>
      <c r="BG259" s="266">
        <f t="shared" si="364"/>
        <v>163204.02685765209</v>
      </c>
      <c r="BI259" s="203" t="str">
        <f>IFERROR(VLOOKUP(A259,'Title II Hold Harmless'!A$1:B$439,2, FALSE),"")</f>
        <v/>
      </c>
      <c r="BJ259" s="203">
        <f t="shared" si="373"/>
        <v>2324.2450102765483</v>
      </c>
      <c r="BK259" s="203">
        <f t="shared" si="374"/>
        <v>2326.4934659784799</v>
      </c>
      <c r="BL259" s="203" t="str">
        <f t="shared" si="377"/>
        <v/>
      </c>
      <c r="BM259" s="203">
        <f t="shared" si="378"/>
        <v>2326.4934659784799</v>
      </c>
      <c r="BN259" s="200"/>
      <c r="BP259" s="298" t="s">
        <v>1448</v>
      </c>
      <c r="BQ259" s="299" t="str">
        <f t="shared" si="332"/>
        <v>Y</v>
      </c>
      <c r="BR259" s="300" t="s">
        <v>1448</v>
      </c>
      <c r="BT259" s="298" t="str">
        <f t="shared" si="333"/>
        <v>Y</v>
      </c>
      <c r="BU259" s="299" t="str">
        <f t="shared" si="375"/>
        <v>Y</v>
      </c>
      <c r="BV259" s="299" t="str">
        <f t="shared" si="376"/>
        <v>Y</v>
      </c>
      <c r="BW259" s="300" t="str">
        <f t="shared" si="334"/>
        <v>Y</v>
      </c>
      <c r="BY259" s="355">
        <f t="shared" si="335"/>
        <v>0</v>
      </c>
      <c r="BZ259" s="356">
        <f t="shared" si="336"/>
        <v>0</v>
      </c>
      <c r="CA259" s="356">
        <f t="shared" si="337"/>
        <v>0.95</v>
      </c>
      <c r="CB259" s="357">
        <f t="shared" si="338"/>
        <v>0.95</v>
      </c>
      <c r="CD259" s="312">
        <f t="shared" si="339"/>
        <v>254</v>
      </c>
    </row>
    <row r="260" spans="1:82" s="48" customFormat="1" outlineLevel="1" x14ac:dyDescent="0.3">
      <c r="A260" s="202">
        <v>78523000</v>
      </c>
      <c r="B260" s="48">
        <f>VLOOKUP(C260,'NCES ID'!$A$2:$B$3136,2,FALSE)</f>
        <v>400446</v>
      </c>
      <c r="C260" s="48">
        <f>VLOOKUP(A260,'State ID'!$A$2:$B$713,2,FALSE)</f>
        <v>88374</v>
      </c>
      <c r="D260" s="48" t="s">
        <v>209</v>
      </c>
      <c r="E260" s="48" t="s">
        <v>7</v>
      </c>
      <c r="F260" s="755"/>
      <c r="G260" s="755"/>
      <c r="H260" s="755"/>
      <c r="I260" s="755"/>
      <c r="J260" s="755"/>
      <c r="K260" s="755"/>
      <c r="L260" s="454"/>
      <c r="M260" s="455"/>
      <c r="N260" s="456"/>
      <c r="O260" s="209">
        <f>VLOOKUP($C260,'Final SEA Counts'!$A$2:$F$709,5,FALSE)</f>
        <v>243</v>
      </c>
      <c r="P260" s="223">
        <f>VLOOKUP($C260,'Final SEA Counts'!$A$2:$F$709,6,FALSE)</f>
        <v>179</v>
      </c>
      <c r="Q260" s="749"/>
      <c r="R260" s="454">
        <f t="shared" si="353"/>
        <v>243</v>
      </c>
      <c r="S260" s="455">
        <f t="shared" si="354"/>
        <v>88.627558063649161</v>
      </c>
      <c r="T260" s="230">
        <f t="shared" si="355"/>
        <v>0.36472246116728052</v>
      </c>
      <c r="U260" s="264" t="str">
        <f>IFERROR(VLOOKUP($B260,#REF!,8,FALSE),"")</f>
        <v/>
      </c>
      <c r="V260" s="265" t="str">
        <f>IFERROR(VLOOKUP($B260,#REF!,9,FALSE),"")</f>
        <v/>
      </c>
      <c r="W260" s="265" t="str">
        <f>IFERROR(VLOOKUP($B260,#REF!,10,FALSE),"")</f>
        <v/>
      </c>
      <c r="X260" s="265" t="str">
        <f>IFERROR(VLOOKUP($B260,#REF!,11,FALSE),"")</f>
        <v/>
      </c>
      <c r="Y260" s="266" t="str">
        <f>IFERROR(VLOOKUP($B260,#REF!,12,FALSE),"")</f>
        <v/>
      </c>
      <c r="Z260" s="265">
        <f t="shared" si="356"/>
        <v>42811.365010989903</v>
      </c>
      <c r="AA260" s="265">
        <f t="shared" si="357"/>
        <v>8853.3214380108329</v>
      </c>
      <c r="AB260" s="265">
        <f t="shared" si="358"/>
        <v>25055.864635889247</v>
      </c>
      <c r="AC260" s="266">
        <f t="shared" si="359"/>
        <v>23323.718649958224</v>
      </c>
      <c r="AD260" s="265">
        <f t="shared" si="365"/>
        <v>42811.365010989903</v>
      </c>
      <c r="AE260" s="265">
        <f t="shared" si="366"/>
        <v>8853.3214380108329</v>
      </c>
      <c r="AF260" s="265">
        <f t="shared" si="367"/>
        <v>25055.864635889247</v>
      </c>
      <c r="AG260" s="266">
        <f t="shared" si="368"/>
        <v>23323.718649958224</v>
      </c>
      <c r="AH260" s="265">
        <f t="shared" si="360"/>
        <v>42811.365010989903</v>
      </c>
      <c r="AI260" s="265">
        <f t="shared" si="361"/>
        <v>10984.142820841545</v>
      </c>
      <c r="AJ260" s="265">
        <f t="shared" si="362"/>
        <v>25081.205281109505</v>
      </c>
      <c r="AK260" s="265">
        <f t="shared" si="363"/>
        <v>23347.307461923625</v>
      </c>
      <c r="AL260" s="266">
        <f t="shared" si="349"/>
        <v>102224.02057486458</v>
      </c>
      <c r="AM260" s="347"/>
      <c r="AN260" s="264">
        <f>IFERROR(VLOOKUP($A260,'HH &amp; SI'!$B$4:$Z$494,'HH &amp; SI'!V$503,0),0)</f>
        <v>62862.448271935842</v>
      </c>
      <c r="AO260" s="265">
        <f>IFERROR(VLOOKUP($A260,'HH &amp; SI'!$B$4:$Z$494,'HH &amp; SI'!W$503,0),0)</f>
        <v>14576.744528944491</v>
      </c>
      <c r="AP260" s="265">
        <f>IFERROR(VLOOKUP($A260,'HH &amp; SI'!$B$4:$Z$494,'HH &amp; SI'!X$503,0),0)</f>
        <v>34116.189093976245</v>
      </c>
      <c r="AQ260" s="265">
        <f>IFERROR(VLOOKUP($A260,'HH &amp; SI'!$B$4:$Z$494,'HH &amp; SI'!Y$503,0),0)</f>
        <v>28645.943379434229</v>
      </c>
      <c r="AR260" s="266">
        <f t="shared" si="369"/>
        <v>140201.32527429081</v>
      </c>
      <c r="AS260" s="347"/>
      <c r="AT260" s="324">
        <f>IFERROR(VLOOKUP(A260,'Afton FY16 Final'!$A$5:$BV$572,'Afton FY16 Final'!$BV$587,0),0)</f>
        <v>131026.31136465109</v>
      </c>
      <c r="AU260" s="347"/>
      <c r="AV260" s="454">
        <v>0</v>
      </c>
      <c r="AW260" s="265">
        <f>IFERROR(VLOOKUP($A260,'HH &amp; SI'!$B$4:$EY$503,'HH &amp; SI'!EX$503,0),0)</f>
        <v>7853.1109877373674</v>
      </c>
      <c r="AX260" s="265">
        <f>IFERROR(VLOOKUP($A260,'HH &amp; SI'!$B$4:$EY$503,'HH &amp; SI'!EY$503,0),0)</f>
        <v>132348.21428655344</v>
      </c>
      <c r="AY260" s="265">
        <f>AX260/$AX$582*'update_State Admin 1004(b)'!$B$30*0.01</f>
        <v>1266.6674855116844</v>
      </c>
      <c r="AZ260" s="266">
        <f t="shared" si="370"/>
        <v>131081.54680104175</v>
      </c>
      <c r="BA260" s="264">
        <f t="shared" si="371"/>
        <v>1310.8154680104176</v>
      </c>
      <c r="BB260" s="265">
        <f t="shared" si="372"/>
        <v>129770.73133303133</v>
      </c>
      <c r="BC260" s="342">
        <f t="shared" si="330"/>
        <v>0.99041734428342842</v>
      </c>
      <c r="BD260" s="347"/>
      <c r="BE260" s="377" t="str">
        <f>'Original Title I &amp; II'!AZ260</f>
        <v/>
      </c>
      <c r="BF260" s="244" t="str">
        <f t="shared" si="380"/>
        <v/>
      </c>
      <c r="BG260" s="266">
        <f t="shared" si="364"/>
        <v>129770.73133303133</v>
      </c>
      <c r="BI260" s="203" t="str">
        <f>IFERROR(VLOOKUP(A260,'Title II Hold Harmless'!A$1:B$439,2, FALSE),"")</f>
        <v/>
      </c>
      <c r="BJ260" s="203">
        <f t="shared" si="373"/>
        <v>1355.7801546217395</v>
      </c>
      <c r="BK260" s="203">
        <f t="shared" si="374"/>
        <v>1357.0917253063042</v>
      </c>
      <c r="BL260" s="203" t="str">
        <f t="shared" si="377"/>
        <v/>
      </c>
      <c r="BM260" s="203">
        <f t="shared" si="378"/>
        <v>1357.0917253063042</v>
      </c>
      <c r="BN260" s="200"/>
      <c r="BP260" s="298" t="s">
        <v>1448</v>
      </c>
      <c r="BQ260" s="299" t="str">
        <f t="shared" si="332"/>
        <v>Y</v>
      </c>
      <c r="BR260" s="300" t="s">
        <v>1448</v>
      </c>
      <c r="BT260" s="298" t="str">
        <f t="shared" si="333"/>
        <v>Y</v>
      </c>
      <c r="BU260" s="299" t="str">
        <f t="shared" si="375"/>
        <v>Y</v>
      </c>
      <c r="BV260" s="299" t="str">
        <f t="shared" si="376"/>
        <v>Y</v>
      </c>
      <c r="BW260" s="300" t="str">
        <f t="shared" si="334"/>
        <v>Y</v>
      </c>
      <c r="BY260" s="355">
        <f t="shared" si="335"/>
        <v>0</v>
      </c>
      <c r="BZ260" s="356">
        <f t="shared" si="336"/>
        <v>0</v>
      </c>
      <c r="CA260" s="356">
        <f t="shared" si="337"/>
        <v>0.95</v>
      </c>
      <c r="CB260" s="357">
        <f t="shared" si="338"/>
        <v>0.95</v>
      </c>
      <c r="CD260" s="312">
        <f t="shared" si="339"/>
        <v>255</v>
      </c>
    </row>
    <row r="261" spans="1:82" s="48" customFormat="1" outlineLevel="1" x14ac:dyDescent="0.3">
      <c r="A261" s="202">
        <v>78521000</v>
      </c>
      <c r="B261" s="48">
        <f>VLOOKUP(C261,'NCES ID'!$A$2:$B$3136,2,FALSE)</f>
        <v>400442</v>
      </c>
      <c r="C261" s="48">
        <f>VLOOKUP(A261,'State ID'!$A$2:$B$713,2,FALSE)</f>
        <v>88369</v>
      </c>
      <c r="D261" s="48" t="s">
        <v>210</v>
      </c>
      <c r="E261" s="48" t="s">
        <v>7</v>
      </c>
      <c r="F261" s="755"/>
      <c r="G261" s="755"/>
      <c r="H261" s="755"/>
      <c r="I261" s="755"/>
      <c r="J261" s="755"/>
      <c r="K261" s="755"/>
      <c r="L261" s="454"/>
      <c r="M261" s="455"/>
      <c r="N261" s="456"/>
      <c r="O261" s="209">
        <f>VLOOKUP($C261,'Final SEA Counts'!$A$2:$F$709,5,FALSE)</f>
        <v>134</v>
      </c>
      <c r="P261" s="223">
        <f>VLOOKUP($C261,'Final SEA Counts'!$A$2:$F$709,6,FALSE)</f>
        <v>67</v>
      </c>
      <c r="Q261" s="749"/>
      <c r="R261" s="454">
        <f t="shared" si="353"/>
        <v>134</v>
      </c>
      <c r="S261" s="455">
        <f t="shared" si="354"/>
        <v>33.173443521030691</v>
      </c>
      <c r="T261" s="230">
        <f t="shared" si="355"/>
        <v>0.2475630113509753</v>
      </c>
      <c r="U261" s="264" t="str">
        <f>IFERROR(VLOOKUP($B261,#REF!,8,FALSE),"")</f>
        <v/>
      </c>
      <c r="V261" s="265" t="str">
        <f>IFERROR(VLOOKUP($B261,#REF!,9,FALSE),"")</f>
        <v/>
      </c>
      <c r="W261" s="265" t="str">
        <f>IFERROR(VLOOKUP($B261,#REF!,10,FALSE),"")</f>
        <v/>
      </c>
      <c r="X261" s="265" t="str">
        <f>IFERROR(VLOOKUP($B261,#REF!,11,FALSE),"")</f>
        <v/>
      </c>
      <c r="Y261" s="266" t="str">
        <f>IFERROR(VLOOKUP($B261,#REF!,12,FALSE),"")</f>
        <v/>
      </c>
      <c r="Z261" s="265">
        <f t="shared" si="356"/>
        <v>16024.365674504601</v>
      </c>
      <c r="AA261" s="265">
        <f t="shared" si="357"/>
        <v>3313.8130522163451</v>
      </c>
      <c r="AB261" s="265">
        <f t="shared" si="358"/>
        <v>9378.4521262825674</v>
      </c>
      <c r="AC261" s="266">
        <f t="shared" si="359"/>
        <v>8730.1069807106196</v>
      </c>
      <c r="AD261" s="265">
        <f t="shared" si="365"/>
        <v>16024.365674504601</v>
      </c>
      <c r="AE261" s="265">
        <f t="shared" si="366"/>
        <v>3313.8130522163451</v>
      </c>
      <c r="AF261" s="265">
        <f t="shared" si="367"/>
        <v>9378.4521262825674</v>
      </c>
      <c r="AG261" s="266">
        <f t="shared" si="368"/>
        <v>8730.1069807106196</v>
      </c>
      <c r="AH261" s="265">
        <f t="shared" si="360"/>
        <v>16024.365674504601</v>
      </c>
      <c r="AI261" s="265">
        <f t="shared" si="361"/>
        <v>5444.6344350470572</v>
      </c>
      <c r="AJ261" s="265">
        <f t="shared" si="362"/>
        <v>9403.7927715028272</v>
      </c>
      <c r="AK261" s="265">
        <f t="shared" si="363"/>
        <v>8753.6957926760224</v>
      </c>
      <c r="AL261" s="266">
        <f t="shared" si="349"/>
        <v>39626.488673730506</v>
      </c>
      <c r="AM261" s="347"/>
      <c r="AN261" s="264">
        <f>IFERROR(VLOOKUP($A261,'HH &amp; SI'!$B$4:$Z$494,'HH &amp; SI'!V$503,0),0)</f>
        <v>16015.272427195858</v>
      </c>
      <c r="AO261" s="265">
        <f>IFERROR(VLOOKUP($A261,'HH &amp; SI'!$B$4:$Z$494,'HH &amp; SI'!W$503,0),0)</f>
        <v>5265.3080828587599</v>
      </c>
      <c r="AP261" s="265">
        <f>IFERROR(VLOOKUP($A261,'HH &amp; SI'!$B$4:$Z$494,'HH &amp; SI'!X$503,0),0)</f>
        <v>9318.2689478180728</v>
      </c>
      <c r="AQ261" s="265">
        <f>IFERROR(VLOOKUP($A261,'HH &amp; SI'!$B$4:$Z$494,'HH &amp; SI'!Y$503,0),0)</f>
        <v>8657.2458224980728</v>
      </c>
      <c r="AR261" s="266">
        <f t="shared" si="369"/>
        <v>39256.095280370762</v>
      </c>
      <c r="AS261" s="347"/>
      <c r="AT261" s="324">
        <f>IFERROR(VLOOKUP(A261,'Afton FY16 Final'!$A$5:$BV$572,'Afton FY16 Final'!$BV$587,0),0)</f>
        <v>36475.40255428724</v>
      </c>
      <c r="AU261" s="347"/>
      <c r="AV261" s="454">
        <v>0</v>
      </c>
      <c r="AW261" s="265">
        <f>IFERROR(VLOOKUP($A261,'HH &amp; SI'!$B$4:$EY$503,'HH &amp; SI'!EX$503,0),0)</f>
        <v>2198.8556283531507</v>
      </c>
      <c r="AX261" s="265">
        <f>IFERROR(VLOOKUP($A261,'HH &amp; SI'!$B$4:$EY$503,'HH &amp; SI'!EY$503,0),0)</f>
        <v>37057.239652017612</v>
      </c>
      <c r="AY261" s="265">
        <f>AX261/$AX$582*'update_State Admin 1004(b)'!$B$30*0.01</f>
        <v>354.6644042238056</v>
      </c>
      <c r="AZ261" s="266">
        <f t="shared" si="370"/>
        <v>36702.575247793808</v>
      </c>
      <c r="BA261" s="264">
        <f t="shared" si="371"/>
        <v>367.02575247793806</v>
      </c>
      <c r="BB261" s="265">
        <f t="shared" si="372"/>
        <v>36335.54949531587</v>
      </c>
      <c r="BC261" s="342">
        <f t="shared" si="330"/>
        <v>0.99616582548298893</v>
      </c>
      <c r="BD261" s="347"/>
      <c r="BE261" s="377" t="str">
        <f>'Original Title I &amp; II'!AZ261</f>
        <v/>
      </c>
      <c r="BF261" s="244" t="str">
        <f t="shared" si="380"/>
        <v/>
      </c>
      <c r="BG261" s="266">
        <f t="shared" si="364"/>
        <v>36335.54949531587</v>
      </c>
      <c r="BI261" s="203" t="str">
        <f>IFERROR(VLOOKUP(A261,'Title II Hold Harmless'!A$1:B$439,2, FALSE),"")</f>
        <v/>
      </c>
      <c r="BJ261" s="203">
        <f t="shared" si="373"/>
        <v>542.1131394815111</v>
      </c>
      <c r="BK261" s="203">
        <f t="shared" si="374"/>
        <v>542.63757531945839</v>
      </c>
      <c r="BL261" s="203" t="str">
        <f t="shared" si="377"/>
        <v/>
      </c>
      <c r="BM261" s="203">
        <f t="shared" si="378"/>
        <v>542.63757531945839</v>
      </c>
      <c r="BN261" s="200"/>
      <c r="BP261" s="298" t="s">
        <v>1448</v>
      </c>
      <c r="BQ261" s="299" t="str">
        <f t="shared" si="332"/>
        <v>Y</v>
      </c>
      <c r="BR261" s="300" t="s">
        <v>1448</v>
      </c>
      <c r="BT261" s="298" t="str">
        <f t="shared" si="333"/>
        <v>Y</v>
      </c>
      <c r="BU261" s="299" t="str">
        <f t="shared" si="375"/>
        <v>Y</v>
      </c>
      <c r="BV261" s="299" t="str">
        <f t="shared" si="376"/>
        <v>Y</v>
      </c>
      <c r="BW261" s="300" t="str">
        <f t="shared" si="334"/>
        <v>Y</v>
      </c>
      <c r="BY261" s="355">
        <f t="shared" si="335"/>
        <v>0</v>
      </c>
      <c r="BZ261" s="356">
        <f t="shared" si="336"/>
        <v>0.9</v>
      </c>
      <c r="CA261" s="356">
        <f t="shared" si="337"/>
        <v>0</v>
      </c>
      <c r="CB261" s="357">
        <f t="shared" si="338"/>
        <v>0.9</v>
      </c>
      <c r="CD261" s="312">
        <f t="shared" si="339"/>
        <v>256</v>
      </c>
    </row>
    <row r="262" spans="1:82" s="48" customFormat="1" outlineLevel="1" x14ac:dyDescent="0.3">
      <c r="A262" s="202">
        <v>78522000</v>
      </c>
      <c r="B262" s="48">
        <f>VLOOKUP(C262,'NCES ID'!$A$2:$B$3136,2,FALSE)</f>
        <v>400441</v>
      </c>
      <c r="C262" s="48">
        <f>VLOOKUP(A262,'State ID'!$A$2:$B$713,2,FALSE)</f>
        <v>88372</v>
      </c>
      <c r="D262" s="48" t="s">
        <v>211</v>
      </c>
      <c r="E262" s="48" t="s">
        <v>7</v>
      </c>
      <c r="F262" s="755"/>
      <c r="G262" s="755"/>
      <c r="H262" s="755"/>
      <c r="I262" s="755"/>
      <c r="J262" s="755"/>
      <c r="K262" s="755"/>
      <c r="L262" s="454"/>
      <c r="M262" s="455"/>
      <c r="N262" s="456"/>
      <c r="O262" s="209">
        <f>VLOOKUP($C262,'Final SEA Counts'!$A$2:$F$709,5,FALSE)</f>
        <v>363</v>
      </c>
      <c r="P262" s="223">
        <f>VLOOKUP($C262,'Final SEA Counts'!$A$2:$F$709,6,FALSE)</f>
        <v>105</v>
      </c>
      <c r="Q262" s="749"/>
      <c r="R262" s="454">
        <f t="shared" si="353"/>
        <v>363</v>
      </c>
      <c r="S262" s="455">
        <f t="shared" si="354"/>
        <v>51.988232383704812</v>
      </c>
      <c r="T262" s="230">
        <f t="shared" si="355"/>
        <v>0.14321827102948984</v>
      </c>
      <c r="U262" s="264" t="str">
        <f>IFERROR(VLOOKUP($B262,#REF!,8,FALSE),"")</f>
        <v/>
      </c>
      <c r="V262" s="265" t="str">
        <f>IFERROR(VLOOKUP($B262,#REF!,9,FALSE),"")</f>
        <v/>
      </c>
      <c r="W262" s="265" t="str">
        <f>IFERROR(VLOOKUP($B262,#REF!,10,FALSE),"")</f>
        <v/>
      </c>
      <c r="X262" s="265" t="str">
        <f>IFERROR(VLOOKUP($B262,#REF!,11,FALSE),"")</f>
        <v/>
      </c>
      <c r="Y262" s="266" t="str">
        <f>IFERROR(VLOOKUP($B262,#REF!,12,FALSE),"")</f>
        <v/>
      </c>
      <c r="Z262" s="265">
        <f t="shared" si="356"/>
        <v>25112.81187795497</v>
      </c>
      <c r="AA262" s="265">
        <f t="shared" si="357"/>
        <v>5193.2891116823321</v>
      </c>
      <c r="AB262" s="265">
        <f t="shared" si="358"/>
        <v>14697.574227756262</v>
      </c>
      <c r="AC262" s="266">
        <f t="shared" si="359"/>
        <v>13681.510939919628</v>
      </c>
      <c r="AD262" s="265">
        <f t="shared" si="365"/>
        <v>25112.81187795497</v>
      </c>
      <c r="AE262" s="265" t="str">
        <f t="shared" si="366"/>
        <v/>
      </c>
      <c r="AF262" s="265">
        <f t="shared" si="367"/>
        <v>14697.574227756262</v>
      </c>
      <c r="AG262" s="266">
        <f t="shared" si="368"/>
        <v>13681.510939919628</v>
      </c>
      <c r="AH262" s="265">
        <f t="shared" si="360"/>
        <v>25112.81187795497</v>
      </c>
      <c r="AI262" s="265" t="str">
        <f t="shared" si="361"/>
        <v/>
      </c>
      <c r="AJ262" s="265">
        <f t="shared" si="362"/>
        <v>14722.914872976522</v>
      </c>
      <c r="AK262" s="265">
        <f t="shared" si="363"/>
        <v>13705.099751885031</v>
      </c>
      <c r="AL262" s="266">
        <f t="shared" si="349"/>
        <v>53540.826502816519</v>
      </c>
      <c r="AM262" s="347"/>
      <c r="AN262" s="264">
        <f>IFERROR(VLOOKUP($A262,'HH &amp; SI'!$B$4:$Z$494,'HH &amp; SI'!V$503,0),0)</f>
        <v>24770.256824125983</v>
      </c>
      <c r="AO262" s="265">
        <f>IFERROR(VLOOKUP($A262,'HH &amp; SI'!$B$4:$Z$494,'HH &amp; SI'!W$503,0),0)</f>
        <v>6044.6828814847122</v>
      </c>
      <c r="AP262" s="265">
        <f>IFERROR(VLOOKUP($A262,'HH &amp; SI'!$B$4:$Z$494,'HH &amp; SI'!X$503,0),0)</f>
        <v>14589.015710551565</v>
      </c>
      <c r="AQ262" s="265">
        <f>IFERROR(VLOOKUP($A262,'HH &amp; SI'!$B$4:$Z$494,'HH &amp; SI'!Y$503,0),0)</f>
        <v>13554.094223059012</v>
      </c>
      <c r="AR262" s="266">
        <f t="shared" si="369"/>
        <v>58958.049639221281</v>
      </c>
      <c r="AS262" s="347"/>
      <c r="AT262" s="324">
        <f>IFERROR(VLOOKUP(A262,'Afton FY16 Final'!$A$5:$BV$572,'Afton FY16 Final'!$BV$587,0),0)</f>
        <v>59792.542793227818</v>
      </c>
      <c r="AU262" s="347"/>
      <c r="AV262" s="454">
        <v>0</v>
      </c>
      <c r="AW262" s="265">
        <f>IFERROR(VLOOKUP($A262,'HH &amp; SI'!$B$4:$EY$503,'HH &amp; SI'!EX$503,0),0)</f>
        <v>0</v>
      </c>
      <c r="AX262" s="265">
        <f>IFERROR(VLOOKUP($A262,'HH &amp; SI'!$B$4:$EY$503,'HH &amp; SI'!EY$503,0),0)</f>
        <v>58958.049639221281</v>
      </c>
      <c r="AY262" s="265">
        <f>AX262/$AX$582*'update_State Admin 1004(b)'!$B$30*0.01</f>
        <v>564.27088865356143</v>
      </c>
      <c r="AZ262" s="266">
        <f t="shared" si="370"/>
        <v>58393.778750567719</v>
      </c>
      <c r="BA262" s="264">
        <f t="shared" si="371"/>
        <v>583.93778750567719</v>
      </c>
      <c r="BB262" s="265">
        <f t="shared" si="372"/>
        <v>57809.840963062044</v>
      </c>
      <c r="BC262" s="342">
        <f t="shared" si="330"/>
        <v>0.96684031590657926</v>
      </c>
      <c r="BD262" s="347"/>
      <c r="BE262" s="377" t="str">
        <f>'Original Title I &amp; II'!AZ262</f>
        <v/>
      </c>
      <c r="BF262" s="244" t="str">
        <f t="shared" si="380"/>
        <v/>
      </c>
      <c r="BG262" s="266">
        <f t="shared" si="364"/>
        <v>57809.840963062044</v>
      </c>
      <c r="BI262" s="203" t="str">
        <f>IFERROR(VLOOKUP(A262,'Title II Hold Harmless'!A$1:B$439,2, FALSE),"")</f>
        <v/>
      </c>
      <c r="BJ262" s="203">
        <f t="shared" si="373"/>
        <v>972.71464570953128</v>
      </c>
      <c r="BK262" s="203">
        <f t="shared" si="374"/>
        <v>973.65564193920056</v>
      </c>
      <c r="BL262" s="203" t="str">
        <f t="shared" si="377"/>
        <v/>
      </c>
      <c r="BM262" s="203">
        <f t="shared" si="378"/>
        <v>973.65564193920056</v>
      </c>
      <c r="BN262" s="200"/>
      <c r="BP262" s="298" t="s">
        <v>1448</v>
      </c>
      <c r="BQ262" s="299" t="str">
        <f t="shared" si="332"/>
        <v>Y</v>
      </c>
      <c r="BR262" s="300" t="s">
        <v>1448</v>
      </c>
      <c r="BT262" s="298" t="str">
        <f t="shared" si="333"/>
        <v>Y</v>
      </c>
      <c r="BU262" s="299" t="str">
        <f t="shared" si="375"/>
        <v>N</v>
      </c>
      <c r="BV262" s="299" t="str">
        <f t="shared" si="376"/>
        <v>Y</v>
      </c>
      <c r="BW262" s="300" t="str">
        <f t="shared" si="334"/>
        <v>Y</v>
      </c>
      <c r="BY262" s="355">
        <f t="shared" si="335"/>
        <v>0.85</v>
      </c>
      <c r="BZ262" s="356">
        <f t="shared" si="336"/>
        <v>0</v>
      </c>
      <c r="CA262" s="356">
        <f t="shared" si="337"/>
        <v>0</v>
      </c>
      <c r="CB262" s="357">
        <f t="shared" si="338"/>
        <v>0.85</v>
      </c>
      <c r="CD262" s="312">
        <f t="shared" si="339"/>
        <v>257</v>
      </c>
    </row>
    <row r="263" spans="1:82" s="48" customFormat="1" outlineLevel="1" x14ac:dyDescent="0.3">
      <c r="A263" s="202">
        <v>78547000</v>
      </c>
      <c r="B263" s="48">
        <f>VLOOKUP(C263,'NCES ID'!$A$2:$B$3136,2,FALSE)</f>
        <v>400769</v>
      </c>
      <c r="C263" s="48">
        <f>VLOOKUP(A263,'State ID'!$A$2:$B$713,2,FALSE)</f>
        <v>90034</v>
      </c>
      <c r="D263" s="48" t="s">
        <v>212</v>
      </c>
      <c r="E263" s="48" t="s">
        <v>7</v>
      </c>
      <c r="F263" s="755"/>
      <c r="G263" s="755"/>
      <c r="H263" s="755"/>
      <c r="I263" s="755"/>
      <c r="J263" s="755"/>
      <c r="K263" s="755"/>
      <c r="L263" s="454"/>
      <c r="M263" s="455"/>
      <c r="N263" s="456"/>
      <c r="O263" s="209">
        <f>VLOOKUP($C263,'Final SEA Counts'!$A$2:$F$709,5,FALSE)</f>
        <v>535</v>
      </c>
      <c r="P263" s="223">
        <f>VLOOKUP($C263,'Final SEA Counts'!$A$2:$F$709,6,FALSE)</f>
        <v>375</v>
      </c>
      <c r="Q263" s="749"/>
      <c r="R263" s="454">
        <f t="shared" si="353"/>
        <v>535</v>
      </c>
      <c r="S263" s="455">
        <f t="shared" si="354"/>
        <v>185.67225851323147</v>
      </c>
      <c r="T263" s="230">
        <f t="shared" si="355"/>
        <v>0.34705095049202145</v>
      </c>
      <c r="U263" s="264" t="str">
        <f>IFERROR(VLOOKUP($B263,#REF!,8,FALSE),"")</f>
        <v/>
      </c>
      <c r="V263" s="265" t="str">
        <f>IFERROR(VLOOKUP($B263,#REF!,9,FALSE),"")</f>
        <v/>
      </c>
      <c r="W263" s="265" t="str">
        <f>IFERROR(VLOOKUP($B263,#REF!,10,FALSE),"")</f>
        <v/>
      </c>
      <c r="X263" s="265" t="str">
        <f>IFERROR(VLOOKUP($B263,#REF!,11,FALSE),"")</f>
        <v/>
      </c>
      <c r="Y263" s="266" t="str">
        <f>IFERROR(VLOOKUP($B263,#REF!,12,FALSE),"")</f>
        <v/>
      </c>
      <c r="Z263" s="265">
        <f t="shared" si="356"/>
        <v>89688.613849839181</v>
      </c>
      <c r="AA263" s="265">
        <f t="shared" si="357"/>
        <v>18547.461113151185</v>
      </c>
      <c r="AB263" s="265">
        <f t="shared" si="358"/>
        <v>52491.336527700936</v>
      </c>
      <c r="AC263" s="266">
        <f t="shared" si="359"/>
        <v>48862.539071141531</v>
      </c>
      <c r="AD263" s="265">
        <f t="shared" si="365"/>
        <v>89688.613849839181</v>
      </c>
      <c r="AE263" s="265">
        <f t="shared" si="366"/>
        <v>18547.461113151185</v>
      </c>
      <c r="AF263" s="265">
        <f t="shared" si="367"/>
        <v>52491.336527700936</v>
      </c>
      <c r="AG263" s="266">
        <f t="shared" si="368"/>
        <v>48862.539071141531</v>
      </c>
      <c r="AH263" s="265">
        <f t="shared" si="360"/>
        <v>89688.613849839181</v>
      </c>
      <c r="AI263" s="265">
        <f t="shared" si="361"/>
        <v>20678.282495981897</v>
      </c>
      <c r="AJ263" s="265">
        <f t="shared" si="362"/>
        <v>52516.677172921198</v>
      </c>
      <c r="AK263" s="265">
        <f t="shared" si="363"/>
        <v>48886.127883106936</v>
      </c>
      <c r="AL263" s="266">
        <f t="shared" si="349"/>
        <v>211769.70140184922</v>
      </c>
      <c r="AM263" s="347"/>
      <c r="AN263" s="264">
        <f>IFERROR(VLOOKUP($A263,'HH &amp; SI'!$B$4:$Z$494,'HH &amp; SI'!V$503,0),0)</f>
        <v>88465.202943307086</v>
      </c>
      <c r="AO263" s="265">
        <f>IFERROR(VLOOKUP($A263,'HH &amp; SI'!$B$4:$Z$494,'HH &amp; SI'!W$503,0),0)</f>
        <v>19997.215472334879</v>
      </c>
      <c r="AP263" s="265">
        <f>IFERROR(VLOOKUP($A263,'HH &amp; SI'!$B$4:$Z$494,'HH &amp; SI'!X$503,0),0)</f>
        <v>52039.058498394799</v>
      </c>
      <c r="AQ263" s="265">
        <f>IFERROR(VLOOKUP($A263,'HH &amp; SI'!$B$4:$Z$494,'HH &amp; SI'!Y$503,0),0)</f>
        <v>48347.490753360427</v>
      </c>
      <c r="AR263" s="266">
        <f t="shared" si="369"/>
        <v>208848.96766739717</v>
      </c>
      <c r="AS263" s="347"/>
      <c r="AT263" s="324">
        <f>IFERROR(VLOOKUP(A263,'Afton FY16 Final'!$A$5:$BV$572,'Afton FY16 Final'!$BV$587,0),0)</f>
        <v>198377.64387772942</v>
      </c>
      <c r="AU263" s="347"/>
      <c r="AV263" s="454">
        <v>0</v>
      </c>
      <c r="AW263" s="265">
        <f>IFERROR(VLOOKUP($A263,'HH &amp; SI'!$B$4:$EY$503,'HH &amp; SI'!EX$503,0),0)</f>
        <v>10471.323789667746</v>
      </c>
      <c r="AX263" s="265">
        <f>IFERROR(VLOOKUP($A263,'HH &amp; SI'!$B$4:$EY$503,'HH &amp; SI'!EY$503,0),0)</f>
        <v>198377.64387772942</v>
      </c>
      <c r="AY263" s="265">
        <f>AX263/$AX$582*'update_State Admin 1004(b)'!$B$30*0.01</f>
        <v>1898.6165601621251</v>
      </c>
      <c r="AZ263" s="266">
        <f t="shared" si="370"/>
        <v>196479.02731756729</v>
      </c>
      <c r="BA263" s="264">
        <f t="shared" si="371"/>
        <v>1964.7902731756731</v>
      </c>
      <c r="BB263" s="265">
        <f t="shared" si="372"/>
        <v>194514.23704439163</v>
      </c>
      <c r="BC263" s="342">
        <f t="shared" ref="BC263:BC328" si="381">IFERROR(BB263/AT263,"")</f>
        <v>0.98052498881517614</v>
      </c>
      <c r="BD263" s="347"/>
      <c r="BE263" s="377" t="str">
        <f>'Original Title I &amp; II'!AZ263</f>
        <v/>
      </c>
      <c r="BF263" s="244" t="str">
        <f t="shared" si="380"/>
        <v/>
      </c>
      <c r="BG263" s="266">
        <f t="shared" si="364"/>
        <v>194514.23704439163</v>
      </c>
      <c r="BI263" s="203" t="str">
        <f>IFERROR(VLOOKUP(A263,'Title II Hold Harmless'!A$1:B$439,2, FALSE),"")</f>
        <v/>
      </c>
      <c r="BJ263" s="203">
        <f t="shared" si="373"/>
        <v>2861.1833996781793</v>
      </c>
      <c r="BK263" s="203">
        <f t="shared" si="374"/>
        <v>2863.951285206957</v>
      </c>
      <c r="BL263" s="203" t="str">
        <f t="shared" si="377"/>
        <v/>
      </c>
      <c r="BM263" s="203">
        <f t="shared" si="378"/>
        <v>2863.951285206957</v>
      </c>
      <c r="BN263" s="200"/>
      <c r="BP263" s="298" t="s">
        <v>1448</v>
      </c>
      <c r="BQ263" s="299" t="str">
        <f t="shared" ref="BQ263:BQ328" si="382">IF(OR(BP263="y",BP263="n"),"Y","N")</f>
        <v>Y</v>
      </c>
      <c r="BR263" s="300" t="s">
        <v>1448</v>
      </c>
      <c r="BT263" s="298" t="str">
        <f t="shared" ref="BT263:BT328" si="383">IF(AND(S263&gt;=10,T263&gt;0.02),"Y","N")</f>
        <v>Y</v>
      </c>
      <c r="BU263" s="299" t="str">
        <f t="shared" si="375"/>
        <v>Y</v>
      </c>
      <c r="BV263" s="299" t="str">
        <f t="shared" si="376"/>
        <v>Y</v>
      </c>
      <c r="BW263" s="300" t="str">
        <f t="shared" ref="BW263:BW328" si="384">BV263</f>
        <v>Y</v>
      </c>
      <c r="BY263" s="355">
        <f t="shared" ref="BY263:BY328" si="385">IF(BT263="NA","NA",IF($T263&lt;0.15,0.85,0))</f>
        <v>0</v>
      </c>
      <c r="BZ263" s="356">
        <f t="shared" ref="BZ263:BZ328" si="386">IF(BT263="NA","NA",IF(AND($T263&gt;=0.15,$T263&lt;0.3),0.9,0))</f>
        <v>0</v>
      </c>
      <c r="CA263" s="356">
        <f t="shared" ref="CA263:CA328" si="387">IF(BT263="NA","NA",IF($T263&gt;=0.3,0.95,0))</f>
        <v>0.95</v>
      </c>
      <c r="CB263" s="357">
        <f t="shared" ref="CB263:CB328" si="388">IF(BY263="NA","NA",MAX(BY263:CA263))</f>
        <v>0.95</v>
      </c>
      <c r="CD263" s="312">
        <f t="shared" si="339"/>
        <v>258</v>
      </c>
    </row>
    <row r="264" spans="1:82" s="48" customFormat="1" outlineLevel="1" x14ac:dyDescent="0.3">
      <c r="A264" s="202">
        <v>78537000</v>
      </c>
      <c r="B264" s="48">
        <f>VLOOKUP(C264,'NCES ID'!$A$2:$B$3136,2,FALSE)</f>
        <v>400783</v>
      </c>
      <c r="C264" s="48">
        <f>VLOOKUP(A264,'State ID'!$A$2:$B$713,2,FALSE)</f>
        <v>89788</v>
      </c>
      <c r="D264" s="48" t="s">
        <v>213</v>
      </c>
      <c r="E264" s="48" t="s">
        <v>7</v>
      </c>
      <c r="F264" s="755"/>
      <c r="G264" s="755"/>
      <c r="H264" s="755"/>
      <c r="I264" s="755"/>
      <c r="J264" s="755"/>
      <c r="K264" s="755"/>
      <c r="L264" s="454"/>
      <c r="M264" s="455"/>
      <c r="N264" s="456"/>
      <c r="O264" s="209">
        <f>VLOOKUP($C264,'Final SEA Counts'!$A$2:$F$709,5,FALSE)</f>
        <v>224</v>
      </c>
      <c r="P264" s="223">
        <f>VLOOKUP($C264,'Final SEA Counts'!$A$2:$F$709,6,FALSE)</f>
        <v>116</v>
      </c>
      <c r="Q264" s="749"/>
      <c r="R264" s="454">
        <f t="shared" si="353"/>
        <v>224</v>
      </c>
      <c r="S264" s="455">
        <f t="shared" si="354"/>
        <v>57.434618633426268</v>
      </c>
      <c r="T264" s="230">
        <f t="shared" si="355"/>
        <v>0.256404547470653</v>
      </c>
      <c r="U264" s="264" t="str">
        <f>IFERROR(VLOOKUP($B264,#REF!,8,FALSE),"")</f>
        <v/>
      </c>
      <c r="V264" s="265" t="str">
        <f>IFERROR(VLOOKUP($B264,#REF!,9,FALSE),"")</f>
        <v/>
      </c>
      <c r="W264" s="265" t="str">
        <f>IFERROR(VLOOKUP($B264,#REF!,10,FALSE),"")</f>
        <v/>
      </c>
      <c r="X264" s="265" t="str">
        <f>IFERROR(VLOOKUP($B264,#REF!,11,FALSE),"")</f>
        <v/>
      </c>
      <c r="Y264" s="266" t="str">
        <f>IFERROR(VLOOKUP($B264,#REF!,12,FALSE),"")</f>
        <v/>
      </c>
      <c r="Z264" s="265">
        <f t="shared" si="356"/>
        <v>27743.677884216919</v>
      </c>
      <c r="AA264" s="265">
        <f t="shared" si="357"/>
        <v>5737.3479710014326</v>
      </c>
      <c r="AB264" s="265">
        <f t="shared" si="358"/>
        <v>16237.32009923549</v>
      </c>
      <c r="AC264" s="266">
        <f t="shared" si="359"/>
        <v>15114.812086006446</v>
      </c>
      <c r="AD264" s="265">
        <f t="shared" si="365"/>
        <v>27743.677884216919</v>
      </c>
      <c r="AE264" s="265">
        <f t="shared" si="366"/>
        <v>5737.3479710014326</v>
      </c>
      <c r="AF264" s="265">
        <f t="shared" si="367"/>
        <v>16237.32009923549</v>
      </c>
      <c r="AG264" s="266">
        <f t="shared" si="368"/>
        <v>15114.812086006446</v>
      </c>
      <c r="AH264" s="265">
        <f t="shared" si="360"/>
        <v>27743.677884216919</v>
      </c>
      <c r="AI264" s="265">
        <f t="shared" si="361"/>
        <v>7868.1693538321451</v>
      </c>
      <c r="AJ264" s="265">
        <f t="shared" si="362"/>
        <v>16262.66074445575</v>
      </c>
      <c r="AK264" s="265">
        <f t="shared" si="363"/>
        <v>15138.400897971849</v>
      </c>
      <c r="AL264" s="266">
        <f t="shared" si="349"/>
        <v>67012.908880476665</v>
      </c>
      <c r="AM264" s="347"/>
      <c r="AN264" s="264">
        <f>IFERROR(VLOOKUP($A264,'HH &amp; SI'!$B$4:$Z$494,'HH &amp; SI'!V$503,0),0)</f>
        <v>27365.236110462993</v>
      </c>
      <c r="AO264" s="265">
        <f>IFERROR(VLOOKUP($A264,'HH &amp; SI'!$B$4:$Z$494,'HH &amp; SI'!W$503,0),0)</f>
        <v>7609.0206220935961</v>
      </c>
      <c r="AP264" s="265">
        <f>IFERROR(VLOOKUP($A264,'HH &amp; SI'!$B$4:$Z$494,'HH &amp; SI'!X$503,0),0)</f>
        <v>16114.758194500735</v>
      </c>
      <c r="AQ264" s="265">
        <f>IFERROR(VLOOKUP($A264,'HH &amp; SI'!$B$4:$Z$494,'HH &amp; SI'!Y$503,0),0)</f>
        <v>14971.602970589811</v>
      </c>
      <c r="AR264" s="266">
        <f t="shared" si="369"/>
        <v>66060.617897647142</v>
      </c>
      <c r="AS264" s="347"/>
      <c r="AT264" s="324">
        <f>IFERROR(VLOOKUP(A264,'Afton FY16 Final'!$A$5:$BV$572,'Afton FY16 Final'!$BV$587,0),0)</f>
        <v>48526.008579137553</v>
      </c>
      <c r="AU264" s="347"/>
      <c r="AV264" s="454">
        <v>0</v>
      </c>
      <c r="AW264" s="265">
        <f>IFERROR(VLOOKUP($A264,'HH &amp; SI'!$B$4:$EY$503,'HH &amp; SI'!EX$503,0),0)</f>
        <v>3700.2600599800789</v>
      </c>
      <c r="AX264" s="265">
        <f>IFERROR(VLOOKUP($A264,'HH &amp; SI'!$B$4:$EY$503,'HH &amp; SI'!EY$503,0),0)</f>
        <v>62360.357837667063</v>
      </c>
      <c r="AY264" s="265">
        <f>AX264/$AX$582*'update_State Admin 1004(b)'!$B$30*0.01</f>
        <v>596.83342222375529</v>
      </c>
      <c r="AZ264" s="266">
        <f t="shared" si="370"/>
        <v>61763.524415443309</v>
      </c>
      <c r="BA264" s="264">
        <f t="shared" si="371"/>
        <v>617.63524415443305</v>
      </c>
      <c r="BB264" s="265">
        <f t="shared" si="372"/>
        <v>61145.88917128888</v>
      </c>
      <c r="BC264" s="342">
        <f t="shared" si="381"/>
        <v>1.2600642616540463</v>
      </c>
      <c r="BD264" s="347"/>
      <c r="BE264" s="377" t="str">
        <f>'Original Title I &amp; II'!AZ264</f>
        <v/>
      </c>
      <c r="BF264" s="244" t="str">
        <f t="shared" si="380"/>
        <v/>
      </c>
      <c r="BG264" s="266">
        <f t="shared" si="364"/>
        <v>61145.88917128888</v>
      </c>
      <c r="BI264" s="203" t="str">
        <f>IFERROR(VLOOKUP(A264,'Title II Hold Harmless'!A$1:B$439,2, FALSE),"")</f>
        <v/>
      </c>
      <c r="BJ264" s="203">
        <f t="shared" si="373"/>
        <v>932.14554546698071</v>
      </c>
      <c r="BK264" s="203">
        <f t="shared" si="374"/>
        <v>933.04729547933664</v>
      </c>
      <c r="BL264" s="203" t="str">
        <f t="shared" si="377"/>
        <v/>
      </c>
      <c r="BM264" s="203">
        <f t="shared" si="378"/>
        <v>933.04729547933664</v>
      </c>
      <c r="BN264" s="200"/>
      <c r="BP264" s="298" t="s">
        <v>1448</v>
      </c>
      <c r="BQ264" s="299" t="str">
        <f t="shared" si="382"/>
        <v>Y</v>
      </c>
      <c r="BR264" s="300" t="s">
        <v>1448</v>
      </c>
      <c r="BT264" s="298" t="str">
        <f t="shared" si="383"/>
        <v>Y</v>
      </c>
      <c r="BU264" s="299" t="str">
        <f t="shared" si="375"/>
        <v>Y</v>
      </c>
      <c r="BV264" s="299" t="str">
        <f t="shared" si="376"/>
        <v>Y</v>
      </c>
      <c r="BW264" s="300" t="str">
        <f t="shared" si="384"/>
        <v>Y</v>
      </c>
      <c r="BY264" s="355">
        <f t="shared" si="385"/>
        <v>0</v>
      </c>
      <c r="BZ264" s="356">
        <f t="shared" si="386"/>
        <v>0.9</v>
      </c>
      <c r="CA264" s="356">
        <f t="shared" si="387"/>
        <v>0</v>
      </c>
      <c r="CB264" s="357">
        <f t="shared" si="388"/>
        <v>0.9</v>
      </c>
      <c r="CD264" s="312">
        <f t="shared" ref="CD264:CD329" si="389">CD263+1</f>
        <v>259</v>
      </c>
    </row>
    <row r="265" spans="1:82" s="48" customFormat="1" outlineLevel="1" x14ac:dyDescent="0.3">
      <c r="A265" s="202">
        <v>78538000</v>
      </c>
      <c r="B265" s="48">
        <f>VLOOKUP(C265,'NCES ID'!$A$2:$B$3136,2,FALSE)</f>
        <v>400770</v>
      </c>
      <c r="C265" s="48">
        <f>VLOOKUP(A265,'State ID'!$A$2:$B$713,2,FALSE)</f>
        <v>89790</v>
      </c>
      <c r="D265" s="48" t="s">
        <v>214</v>
      </c>
      <c r="E265" s="48" t="s">
        <v>7</v>
      </c>
      <c r="F265" s="755"/>
      <c r="G265" s="755"/>
      <c r="H265" s="755"/>
      <c r="I265" s="755"/>
      <c r="J265" s="755"/>
      <c r="K265" s="755"/>
      <c r="L265" s="454"/>
      <c r="M265" s="455"/>
      <c r="N265" s="456"/>
      <c r="O265" s="209">
        <f>VLOOKUP($C265,'Final SEA Counts'!$A$2:$F$709,5,FALSE)</f>
        <v>236</v>
      </c>
      <c r="P265" s="223">
        <f>VLOOKUP($C265,'Final SEA Counts'!$A$2:$F$709,6,FALSE)</f>
        <v>64</v>
      </c>
      <c r="Q265" s="749"/>
      <c r="R265" s="454">
        <f t="shared" si="353"/>
        <v>236</v>
      </c>
      <c r="S265" s="455">
        <f t="shared" si="354"/>
        <v>31.688065452924839</v>
      </c>
      <c r="T265" s="230">
        <f t="shared" si="355"/>
        <v>0.13427146378357982</v>
      </c>
      <c r="U265" s="264" t="str">
        <f>IFERROR(VLOOKUP($B265,#REF!,8,FALSE),"")</f>
        <v/>
      </c>
      <c r="V265" s="265" t="str">
        <f>IFERROR(VLOOKUP($B265,#REF!,9,FALSE),"")</f>
        <v/>
      </c>
      <c r="W265" s="265" t="str">
        <f>IFERROR(VLOOKUP($B265,#REF!,10,FALSE),"")</f>
        <v/>
      </c>
      <c r="X265" s="265" t="str">
        <f>IFERROR(VLOOKUP($B265,#REF!,11,FALSE),"")</f>
        <v/>
      </c>
      <c r="Y265" s="266" t="str">
        <f>IFERROR(VLOOKUP($B265,#REF!,12,FALSE),"")</f>
        <v/>
      </c>
      <c r="Z265" s="265">
        <f t="shared" si="356"/>
        <v>15306.856763705886</v>
      </c>
      <c r="AA265" s="265">
        <f t="shared" si="357"/>
        <v>3165.4333633111355</v>
      </c>
      <c r="AB265" s="265">
        <f t="shared" si="358"/>
        <v>8958.52143406096</v>
      </c>
      <c r="AC265" s="266">
        <f t="shared" si="359"/>
        <v>8339.2066681414872</v>
      </c>
      <c r="AD265" s="265">
        <f t="shared" si="365"/>
        <v>15306.856763705886</v>
      </c>
      <c r="AE265" s="265" t="str">
        <f t="shared" si="366"/>
        <v/>
      </c>
      <c r="AF265" s="265">
        <f t="shared" si="367"/>
        <v>8958.52143406096</v>
      </c>
      <c r="AG265" s="266">
        <f t="shared" si="368"/>
        <v>8339.2066681414872</v>
      </c>
      <c r="AH265" s="265">
        <f t="shared" si="360"/>
        <v>15306.856763705886</v>
      </c>
      <c r="AI265" s="265" t="str">
        <f t="shared" si="361"/>
        <v/>
      </c>
      <c r="AJ265" s="265">
        <f t="shared" si="362"/>
        <v>8983.8620792812198</v>
      </c>
      <c r="AK265" s="265">
        <f t="shared" si="363"/>
        <v>8362.79548010689</v>
      </c>
      <c r="AL265" s="266">
        <f t="shared" si="349"/>
        <v>32653.514323093994</v>
      </c>
      <c r="AM265" s="347"/>
      <c r="AN265" s="264">
        <f>IFERROR(VLOOKUP($A265,'HH &amp; SI'!$B$4:$Z$494,'HH &amp; SI'!V$503,0),0)</f>
        <v>16133.373633455596</v>
      </c>
      <c r="AO265" s="265">
        <f>IFERROR(VLOOKUP($A265,'HH &amp; SI'!$B$4:$Z$494,'HH &amp; SI'!W$503,0),0)</f>
        <v>4898.8659831074528</v>
      </c>
      <c r="AP265" s="265">
        <f>IFERROR(VLOOKUP($A265,'HH &amp; SI'!$B$4:$Z$494,'HH &amp; SI'!X$503,0),0)</f>
        <v>8902.1573612864813</v>
      </c>
      <c r="AQ265" s="265">
        <f>IFERROR(VLOOKUP($A265,'HH &amp; SI'!$B$4:$Z$494,'HH &amp; SI'!Y$503,0),0)</f>
        <v>8270.6525277169458</v>
      </c>
      <c r="AR265" s="266">
        <f t="shared" si="369"/>
        <v>38205.04950556648</v>
      </c>
      <c r="AS265" s="347"/>
      <c r="AT265" s="324">
        <f>IFERROR(VLOOKUP(A265,'Afton FY16 Final'!$A$5:$BV$572,'Afton FY16 Final'!$BV$587,0),0)</f>
        <v>38792.826789835373</v>
      </c>
      <c r="AU265" s="347"/>
      <c r="AV265" s="454">
        <v>0</v>
      </c>
      <c r="AW265" s="265">
        <f>IFERROR(VLOOKUP($A265,'HH &amp; SI'!$B$4:$EY$503,'HH &amp; SI'!EX$503,0),0)</f>
        <v>0</v>
      </c>
      <c r="AX265" s="265">
        <f>IFERROR(VLOOKUP($A265,'HH &amp; SI'!$B$4:$EY$503,'HH &amp; SI'!EY$503,0),0)</f>
        <v>38205.04950556648</v>
      </c>
      <c r="AY265" s="265">
        <f>AX265/$AX$582*'update_State Admin 1004(b)'!$B$30*0.01</f>
        <v>365.64976907272143</v>
      </c>
      <c r="AZ265" s="266">
        <f t="shared" si="370"/>
        <v>37839.39973649376</v>
      </c>
      <c r="BA265" s="264">
        <f t="shared" si="371"/>
        <v>378.3939973649376</v>
      </c>
      <c r="BB265" s="265">
        <f t="shared" si="372"/>
        <v>37461.005739128821</v>
      </c>
      <c r="BC265" s="342">
        <f t="shared" si="381"/>
        <v>0.96566836807428735</v>
      </c>
      <c r="BD265" s="347"/>
      <c r="BE265" s="377" t="str">
        <f>'Original Title I &amp; II'!AZ265</f>
        <v/>
      </c>
      <c r="BF265" s="244" t="str">
        <f t="shared" si="380"/>
        <v/>
      </c>
      <c r="BG265" s="266">
        <f t="shared" si="364"/>
        <v>37461.005739128821</v>
      </c>
      <c r="BI265" s="203" t="str">
        <f>IFERROR(VLOOKUP(A265,'Title II Hold Harmless'!A$1:B$439,2, FALSE),"")</f>
        <v/>
      </c>
      <c r="BJ265" s="203">
        <f t="shared" si="373"/>
        <v>604.75778328326885</v>
      </c>
      <c r="BK265" s="203">
        <f t="shared" si="374"/>
        <v>605.34282103965791</v>
      </c>
      <c r="BL265" s="203" t="str">
        <f t="shared" si="377"/>
        <v/>
      </c>
      <c r="BM265" s="203">
        <f t="shared" si="378"/>
        <v>605.34282103965791</v>
      </c>
      <c r="BN265" s="200"/>
      <c r="BP265" s="298" t="s">
        <v>1448</v>
      </c>
      <c r="BQ265" s="299" t="str">
        <f t="shared" si="382"/>
        <v>Y</v>
      </c>
      <c r="BR265" s="300" t="s">
        <v>1448</v>
      </c>
      <c r="BT265" s="298" t="str">
        <f t="shared" si="383"/>
        <v>Y</v>
      </c>
      <c r="BU265" s="299" t="str">
        <f t="shared" si="375"/>
        <v>N</v>
      </c>
      <c r="BV265" s="299" t="str">
        <f t="shared" si="376"/>
        <v>Y</v>
      </c>
      <c r="BW265" s="300" t="str">
        <f t="shared" si="384"/>
        <v>Y</v>
      </c>
      <c r="BY265" s="355">
        <f t="shared" si="385"/>
        <v>0.85</v>
      </c>
      <c r="BZ265" s="356">
        <f t="shared" si="386"/>
        <v>0</v>
      </c>
      <c r="CA265" s="356">
        <f t="shared" si="387"/>
        <v>0</v>
      </c>
      <c r="CB265" s="357">
        <f t="shared" si="388"/>
        <v>0.85</v>
      </c>
      <c r="CD265" s="312">
        <f t="shared" si="389"/>
        <v>260</v>
      </c>
    </row>
    <row r="266" spans="1:82" s="48" customFormat="1" outlineLevel="1" x14ac:dyDescent="0.3">
      <c r="A266" s="202">
        <v>78552000</v>
      </c>
      <c r="B266" s="48">
        <f>VLOOKUP(C266,'NCES ID'!$A$2:$B$3136,2,FALSE)</f>
        <v>400810</v>
      </c>
      <c r="C266" s="48">
        <f>VLOOKUP(A266,'State ID'!$A$2:$B$713,2,FALSE)</f>
        <v>90160</v>
      </c>
      <c r="D266" s="48" t="s">
        <v>215</v>
      </c>
      <c r="E266" s="48" t="s">
        <v>7</v>
      </c>
      <c r="F266" s="755"/>
      <c r="G266" s="755"/>
      <c r="H266" s="755"/>
      <c r="I266" s="755"/>
      <c r="J266" s="755"/>
      <c r="K266" s="755"/>
      <c r="L266" s="454"/>
      <c r="M266" s="455"/>
      <c r="N266" s="456"/>
      <c r="O266" s="209">
        <f>VLOOKUP($C266,'Final SEA Counts'!$A$2:$F$709,5,FALSE)</f>
        <v>164</v>
      </c>
      <c r="P266" s="223">
        <f>VLOOKUP($C266,'Final SEA Counts'!$A$2:$F$709,6,FALSE)</f>
        <v>102</v>
      </c>
      <c r="Q266" s="749"/>
      <c r="R266" s="454">
        <f t="shared" si="353"/>
        <v>164</v>
      </c>
      <c r="S266" s="455">
        <f t="shared" si="354"/>
        <v>50.50285431559896</v>
      </c>
      <c r="T266" s="230">
        <f t="shared" si="355"/>
        <v>0.30794423363170098</v>
      </c>
      <c r="U266" s="264" t="str">
        <f>IFERROR(VLOOKUP($B266,#REF!,8,FALSE),"")</f>
        <v/>
      </c>
      <c r="V266" s="265" t="str">
        <f>IFERROR(VLOOKUP($B266,#REF!,9,FALSE),"")</f>
        <v/>
      </c>
      <c r="W266" s="265" t="str">
        <f>IFERROR(VLOOKUP($B266,#REF!,10,FALSE),"")</f>
        <v/>
      </c>
      <c r="X266" s="265" t="str">
        <f>IFERROR(VLOOKUP($B266,#REF!,11,FALSE),"")</f>
        <v/>
      </c>
      <c r="Y266" s="266" t="str">
        <f>IFERROR(VLOOKUP($B266,#REF!,12,FALSE),"")</f>
        <v/>
      </c>
      <c r="Z266" s="265">
        <f t="shared" si="356"/>
        <v>24395.302967156254</v>
      </c>
      <c r="AA266" s="265">
        <f t="shared" si="357"/>
        <v>5044.909422777122</v>
      </c>
      <c r="AB266" s="265">
        <f t="shared" si="358"/>
        <v>14277.643535534655</v>
      </c>
      <c r="AC266" s="266">
        <f t="shared" si="359"/>
        <v>13290.610627350496</v>
      </c>
      <c r="AD266" s="265">
        <f t="shared" si="365"/>
        <v>24395.302967156254</v>
      </c>
      <c r="AE266" s="265">
        <f t="shared" si="366"/>
        <v>5044.909422777122</v>
      </c>
      <c r="AF266" s="265">
        <f t="shared" si="367"/>
        <v>14277.643535534655</v>
      </c>
      <c r="AG266" s="266">
        <f t="shared" si="368"/>
        <v>13290.610627350496</v>
      </c>
      <c r="AH266" s="265">
        <f t="shared" si="360"/>
        <v>24395.302967156254</v>
      </c>
      <c r="AI266" s="265">
        <f t="shared" si="361"/>
        <v>7175.7308056078346</v>
      </c>
      <c r="AJ266" s="265">
        <f t="shared" si="362"/>
        <v>14302.984180754915</v>
      </c>
      <c r="AK266" s="265">
        <f t="shared" si="363"/>
        <v>13314.199439315898</v>
      </c>
      <c r="AL266" s="266">
        <f t="shared" si="349"/>
        <v>59188.2173928349</v>
      </c>
      <c r="AM266" s="347"/>
      <c r="AN266" s="264">
        <f>IFERROR(VLOOKUP($A266,'HH &amp; SI'!$B$4:$Z$494,'HH &amp; SI'!V$503,0),0)</f>
        <v>24062.535200579521</v>
      </c>
      <c r="AO266" s="265">
        <f>IFERROR(VLOOKUP($A266,'HH &amp; SI'!$B$4:$Z$494,'HH &amp; SI'!W$503,0),0)</f>
        <v>6939.388468026501</v>
      </c>
      <c r="AP266" s="265">
        <f>IFERROR(VLOOKUP($A266,'HH &amp; SI'!$B$4:$Z$494,'HH &amp; SI'!X$503,0),0)</f>
        <v>14172.904124019975</v>
      </c>
      <c r="AQ266" s="265">
        <f>IFERROR(VLOOKUP($A266,'HH &amp; SI'!$B$4:$Z$494,'HH &amp; SI'!Y$503,0),0)</f>
        <v>13167.500928277886</v>
      </c>
      <c r="AR266" s="266">
        <f t="shared" si="369"/>
        <v>58342.328720903883</v>
      </c>
      <c r="AS266" s="347"/>
      <c r="AT266" s="324">
        <f>IFERROR(VLOOKUP(A266,'Afton FY16 Final'!$A$5:$BV$572,'Afton FY16 Final'!$BV$587,0),0)</f>
        <v>33337.104223913098</v>
      </c>
      <c r="AU266" s="347"/>
      <c r="AV266" s="454">
        <v>0</v>
      </c>
      <c r="AW266" s="265">
        <f>IFERROR(VLOOKUP($A266,'HH &amp; SI'!$B$4:$EY$503,'HH &amp; SI'!EX$503,0),0)</f>
        <v>3267.9347490614164</v>
      </c>
      <c r="AX266" s="265">
        <f>IFERROR(VLOOKUP($A266,'HH &amp; SI'!$B$4:$EY$503,'HH &amp; SI'!EY$503,0),0)</f>
        <v>55074.393971842466</v>
      </c>
      <c r="AY266" s="265">
        <f>AX266/$AX$582*'update_State Admin 1004(b)'!$B$30*0.01</f>
        <v>527.10151402081488</v>
      </c>
      <c r="AZ266" s="266">
        <f t="shared" si="370"/>
        <v>54547.292457821648</v>
      </c>
      <c r="BA266" s="264">
        <f t="shared" si="371"/>
        <v>545.47292457821652</v>
      </c>
      <c r="BB266" s="265">
        <f t="shared" si="372"/>
        <v>54001.819533243433</v>
      </c>
      <c r="BC266" s="342">
        <f t="shared" si="381"/>
        <v>1.6198713352705449</v>
      </c>
      <c r="BD266" s="347"/>
      <c r="BE266" s="377" t="str">
        <f>'Original Title I &amp; II'!AZ266</f>
        <v/>
      </c>
      <c r="BF266" s="244" t="str">
        <f t="shared" si="380"/>
        <v/>
      </c>
      <c r="BG266" s="266">
        <f t="shared" si="364"/>
        <v>54001.819533243433</v>
      </c>
      <c r="BI266" s="203" t="str">
        <f>IFERROR(VLOOKUP(A266,'Title II Hold Harmless'!A$1:B$439,2, FALSE),"")</f>
        <v/>
      </c>
      <c r="BJ266" s="203">
        <f t="shared" si="373"/>
        <v>793.11458297427225</v>
      </c>
      <c r="BK266" s="203">
        <f t="shared" si="374"/>
        <v>793.88183556532385</v>
      </c>
      <c r="BL266" s="203" t="str">
        <f t="shared" si="377"/>
        <v/>
      </c>
      <c r="BM266" s="203">
        <f t="shared" si="378"/>
        <v>793.88183556532385</v>
      </c>
      <c r="BN266" s="200"/>
      <c r="BP266" s="298" t="s">
        <v>1448</v>
      </c>
      <c r="BQ266" s="299" t="str">
        <f t="shared" si="382"/>
        <v>Y</v>
      </c>
      <c r="BR266" s="300" t="s">
        <v>1448</v>
      </c>
      <c r="BT266" s="298" t="str">
        <f t="shared" si="383"/>
        <v>Y</v>
      </c>
      <c r="BU266" s="299" t="str">
        <f t="shared" si="375"/>
        <v>Y</v>
      </c>
      <c r="BV266" s="299" t="str">
        <f t="shared" si="376"/>
        <v>Y</v>
      </c>
      <c r="BW266" s="300" t="str">
        <f t="shared" si="384"/>
        <v>Y</v>
      </c>
      <c r="BY266" s="355">
        <f t="shared" si="385"/>
        <v>0</v>
      </c>
      <c r="BZ266" s="356">
        <f t="shared" si="386"/>
        <v>0</v>
      </c>
      <c r="CA266" s="356">
        <f t="shared" si="387"/>
        <v>0.95</v>
      </c>
      <c r="CB266" s="357">
        <f t="shared" si="388"/>
        <v>0.95</v>
      </c>
      <c r="CD266" s="312">
        <f t="shared" si="389"/>
        <v>261</v>
      </c>
    </row>
    <row r="267" spans="1:82" s="48" customFormat="1" outlineLevel="1" x14ac:dyDescent="0.3">
      <c r="A267" s="202">
        <v>78751000</v>
      </c>
      <c r="B267" s="48">
        <f>VLOOKUP(C267,'NCES ID'!$A$2:$B$3136,2,FALSE)</f>
        <v>400650</v>
      </c>
      <c r="C267" s="48">
        <f>VLOOKUP(A267,'State ID'!$A$2:$B$713,2,FALSE)</f>
        <v>5174</v>
      </c>
      <c r="D267" s="48" t="s">
        <v>218</v>
      </c>
      <c r="E267" s="48" t="s">
        <v>7</v>
      </c>
      <c r="F267" s="755"/>
      <c r="G267" s="755"/>
      <c r="H267" s="755"/>
      <c r="I267" s="755"/>
      <c r="J267" s="755"/>
      <c r="K267" s="755"/>
      <c r="L267" s="454"/>
      <c r="M267" s="455"/>
      <c r="N267" s="456"/>
      <c r="O267" s="209">
        <f>VLOOKUP($C267,'Final SEA Counts'!$A$2:$F$709,5,FALSE)</f>
        <v>36</v>
      </c>
      <c r="P267" s="223">
        <f>VLOOKUP($C267,'Final SEA Counts'!$A$2:$F$709,6,FALSE)</f>
        <v>30</v>
      </c>
      <c r="Q267" s="749"/>
      <c r="R267" s="454">
        <f t="shared" si="353"/>
        <v>36</v>
      </c>
      <c r="S267" s="455">
        <f t="shared" si="354"/>
        <v>14.853780681058518</v>
      </c>
      <c r="T267" s="230">
        <f t="shared" si="355"/>
        <v>0.41260501891829215</v>
      </c>
      <c r="U267" s="264" t="str">
        <f>IFERROR(VLOOKUP($B267,#REF!,8,FALSE),"")</f>
        <v/>
      </c>
      <c r="V267" s="265" t="str">
        <f>IFERROR(VLOOKUP($B267,#REF!,9,FALSE),"")</f>
        <v/>
      </c>
      <c r="W267" s="265" t="str">
        <f>IFERROR(VLOOKUP($B267,#REF!,10,FALSE),"")</f>
        <v/>
      </c>
      <c r="X267" s="265" t="str">
        <f>IFERROR(VLOOKUP($B267,#REF!,11,FALSE),"")</f>
        <v/>
      </c>
      <c r="Y267" s="266" t="str">
        <f>IFERROR(VLOOKUP($B267,#REF!,12,FALSE),"")</f>
        <v/>
      </c>
      <c r="Z267" s="265">
        <f t="shared" si="356"/>
        <v>7175.0891079871344</v>
      </c>
      <c r="AA267" s="265">
        <f t="shared" si="357"/>
        <v>1483.7968890520949</v>
      </c>
      <c r="AB267" s="265">
        <f t="shared" si="358"/>
        <v>4199.3069222160748</v>
      </c>
      <c r="AC267" s="266">
        <f t="shared" si="359"/>
        <v>3909.0031256913226</v>
      </c>
      <c r="AD267" s="265">
        <f t="shared" si="365"/>
        <v>7175.0891079871344</v>
      </c>
      <c r="AE267" s="265">
        <f t="shared" si="366"/>
        <v>1483.7968890520949</v>
      </c>
      <c r="AF267" s="265">
        <f t="shared" si="367"/>
        <v>4199.3069222160748</v>
      </c>
      <c r="AG267" s="266">
        <f t="shared" si="368"/>
        <v>3909.0031256913226</v>
      </c>
      <c r="AH267" s="265">
        <f t="shared" si="360"/>
        <v>7175.0891079871344</v>
      </c>
      <c r="AI267" s="265">
        <f t="shared" si="361"/>
        <v>3614.6182718828077</v>
      </c>
      <c r="AJ267" s="265">
        <f t="shared" si="362"/>
        <v>4224.6475674363337</v>
      </c>
      <c r="AK267" s="265">
        <f t="shared" si="363"/>
        <v>3932.5919376567249</v>
      </c>
      <c r="AL267" s="266">
        <f t="shared" si="349"/>
        <v>18946.946884962999</v>
      </c>
      <c r="AM267" s="347"/>
      <c r="AN267" s="264">
        <f>IFERROR(VLOOKUP($A267,'HH &amp; SI'!$B$4:$Z$494,'HH &amp; SI'!V$503,0),0)</f>
        <v>9915.443650530935</v>
      </c>
      <c r="AO267" s="265">
        <f>IFERROR(VLOOKUP($A267,'HH &amp; SI'!$B$4:$Z$494,'HH &amp; SI'!W$503,0),0)</f>
        <v>3495.5659613957196</v>
      </c>
      <c r="AP267" s="265">
        <f>IFERROR(VLOOKUP($A267,'HH &amp; SI'!$B$4:$Z$494,'HH &amp; SI'!X$503,0),0)</f>
        <v>5257.3130940120191</v>
      </c>
      <c r="AQ267" s="265">
        <f>IFERROR(VLOOKUP($A267,'HH &amp; SI'!$B$4:$Z$494,'HH &amp; SI'!Y$503,0),0)</f>
        <v>5065.384977098438</v>
      </c>
      <c r="AR267" s="266">
        <f t="shared" si="369"/>
        <v>23733.707683037112</v>
      </c>
      <c r="AS267" s="347"/>
      <c r="AT267" s="324">
        <f>IFERROR(VLOOKUP(A267,'Afton FY16 Final'!$A$5:$BV$572,'Afton FY16 Final'!$BV$587,0),0)</f>
        <v>23286.589331496409</v>
      </c>
      <c r="AU267" s="347"/>
      <c r="AV267" s="454">
        <v>0</v>
      </c>
      <c r="AW267" s="265">
        <f>IFERROR(VLOOKUP($A267,'HH &amp; SI'!$B$4:$EY$503,'HH &amp; SI'!EX$503,0),0)</f>
        <v>447.11835154070286</v>
      </c>
      <c r="AX267" s="265">
        <f>IFERROR(VLOOKUP($A267,'HH &amp; SI'!$B$4:$EY$503,'HH &amp; SI'!EY$503,0),0)</f>
        <v>23286.589331496409</v>
      </c>
      <c r="AY267" s="265">
        <f>AX267/$AX$582*'update_State Admin 1004(b)'!$B$30*0.01</f>
        <v>222.86938825487877</v>
      </c>
      <c r="AZ267" s="266">
        <f t="shared" si="370"/>
        <v>23063.719943241529</v>
      </c>
      <c r="BA267" s="264">
        <f t="shared" si="371"/>
        <v>230.63719943241529</v>
      </c>
      <c r="BB267" s="265">
        <f t="shared" si="372"/>
        <v>22833.082743809115</v>
      </c>
      <c r="BC267" s="342">
        <f t="shared" si="381"/>
        <v>0.98052498881517602</v>
      </c>
      <c r="BD267" s="347"/>
      <c r="BE267" s="377" t="str">
        <f>'Original Title I &amp; II'!AZ267</f>
        <v/>
      </c>
      <c r="BF267" s="244" t="str">
        <f t="shared" si="380"/>
        <v/>
      </c>
      <c r="BG267" s="266">
        <f t="shared" si="364"/>
        <v>22833.082743809115</v>
      </c>
      <c r="BI267" s="203" t="str">
        <f>IFERROR(VLOOKUP(A267,'Title II Hold Harmless'!A$1:B$439,2, FALSE),"")</f>
        <v/>
      </c>
      <c r="BJ267" s="203">
        <f t="shared" si="373"/>
        <v>223.42203408571046</v>
      </c>
      <c r="BK267" s="203">
        <f t="shared" si="374"/>
        <v>223.63817074267047</v>
      </c>
      <c r="BL267" s="203" t="str">
        <f t="shared" si="377"/>
        <v/>
      </c>
      <c r="BM267" s="203">
        <f t="shared" si="378"/>
        <v>223.63817074267047</v>
      </c>
      <c r="BN267" s="200"/>
      <c r="BP267" s="298" t="s">
        <v>1448</v>
      </c>
      <c r="BQ267" s="299" t="str">
        <f t="shared" si="382"/>
        <v>Y</v>
      </c>
      <c r="BR267" s="300" t="s">
        <v>1448</v>
      </c>
      <c r="BT267" s="298" t="str">
        <f t="shared" si="383"/>
        <v>Y</v>
      </c>
      <c r="BU267" s="299" t="str">
        <f t="shared" si="375"/>
        <v>Y</v>
      </c>
      <c r="BV267" s="299" t="str">
        <f t="shared" si="376"/>
        <v>Y</v>
      </c>
      <c r="BW267" s="300" t="str">
        <f t="shared" si="384"/>
        <v>Y</v>
      </c>
      <c r="BY267" s="355">
        <f t="shared" si="385"/>
        <v>0</v>
      </c>
      <c r="BZ267" s="356">
        <f t="shared" si="386"/>
        <v>0</v>
      </c>
      <c r="CA267" s="356">
        <f t="shared" si="387"/>
        <v>0.95</v>
      </c>
      <c r="CB267" s="357">
        <f t="shared" si="388"/>
        <v>0.95</v>
      </c>
      <c r="CD267" s="312">
        <f t="shared" si="389"/>
        <v>262</v>
      </c>
    </row>
    <row r="268" spans="1:82" s="48" customFormat="1" outlineLevel="1" x14ac:dyDescent="0.3">
      <c r="A268" s="202">
        <v>78741000</v>
      </c>
      <c r="B268" s="48">
        <f>VLOOKUP(C268,'NCES ID'!$A$2:$B$3136,2,FALSE)</f>
        <v>400061</v>
      </c>
      <c r="C268" s="48">
        <f>VLOOKUP(A268,'State ID'!$A$2:$B$713,2,FALSE)</f>
        <v>4352</v>
      </c>
      <c r="D268" s="48" t="s">
        <v>747</v>
      </c>
      <c r="E268" s="48" t="s">
        <v>7</v>
      </c>
      <c r="F268" s="755"/>
      <c r="G268" s="755"/>
      <c r="H268" s="755"/>
      <c r="I268" s="755"/>
      <c r="J268" s="755"/>
      <c r="K268" s="755"/>
      <c r="L268" s="454"/>
      <c r="M268" s="455"/>
      <c r="N268" s="456"/>
      <c r="O268" s="209">
        <f>VLOOKUP($C268,'AzEDS FY17 12-15-16'!$A$2:$D$713,3,FALSE)</f>
        <v>45</v>
      </c>
      <c r="P268" s="223">
        <f>VLOOKUP($C268,'AzEDS FY17 12-15-16'!$A$2:$D$713,4,FALSE)</f>
        <v>33</v>
      </c>
      <c r="Q268" s="749"/>
      <c r="R268" s="454">
        <f t="shared" si="353"/>
        <v>45</v>
      </c>
      <c r="S268" s="455">
        <f t="shared" si="354"/>
        <v>16.339158749164369</v>
      </c>
      <c r="T268" s="230">
        <f t="shared" si="355"/>
        <v>0.3630924166480971</v>
      </c>
      <c r="U268" s="264"/>
      <c r="V268" s="265"/>
      <c r="W268" s="265"/>
      <c r="X268" s="265"/>
      <c r="Y268" s="266"/>
      <c r="Z268" s="265">
        <f t="shared" si="356"/>
        <v>7892.5980187858477</v>
      </c>
      <c r="AA268" s="265">
        <f t="shared" si="357"/>
        <v>1632.1765779573043</v>
      </c>
      <c r="AB268" s="265">
        <f t="shared" si="358"/>
        <v>4619.2376144376822</v>
      </c>
      <c r="AC268" s="266">
        <f t="shared" si="359"/>
        <v>4299.9034382604541</v>
      </c>
      <c r="AD268" s="265">
        <f t="shared" si="365"/>
        <v>7892.5980187858477</v>
      </c>
      <c r="AE268" s="265">
        <f t="shared" si="366"/>
        <v>1632.1765779573043</v>
      </c>
      <c r="AF268" s="265">
        <f t="shared" si="367"/>
        <v>4619.2376144376822</v>
      </c>
      <c r="AG268" s="266">
        <f t="shared" si="368"/>
        <v>4299.9034382604541</v>
      </c>
      <c r="AH268" s="265">
        <f t="shared" si="360"/>
        <v>7892.5980187858477</v>
      </c>
      <c r="AI268" s="265">
        <f t="shared" si="361"/>
        <v>3762.9979607880168</v>
      </c>
      <c r="AJ268" s="265">
        <f t="shared" si="362"/>
        <v>4644.5782596579411</v>
      </c>
      <c r="AK268" s="265">
        <f t="shared" si="363"/>
        <v>4323.4922502258569</v>
      </c>
      <c r="AL268" s="266">
        <f t="shared" si="349"/>
        <v>20623.666489457661</v>
      </c>
      <c r="AM268" s="347"/>
      <c r="AN268" s="264">
        <f>IFERROR(VLOOKUP($A268,'HH &amp; SI'!$B$4:$Z$494,'HH &amp; SI'!V$503,0),0)</f>
        <v>13134.822473721311</v>
      </c>
      <c r="AO268" s="265">
        <f>IFERROR(VLOOKUP($A268,'HH &amp; SI'!$B$4:$Z$494,'HH &amp; SI'!W$503,0),0)</f>
        <v>4148.8478823682681</v>
      </c>
      <c r="AP268" s="265">
        <f>IFERROR(VLOOKUP($A268,'HH &amp; SI'!$B$4:$Z$494,'HH &amp; SI'!X$503,0),0)</f>
        <v>6964.2747830976514</v>
      </c>
      <c r="AQ268" s="265">
        <f>IFERROR(VLOOKUP($A268,'HH &amp; SI'!$B$4:$Z$494,'HH &amp; SI'!Y$503,0),0)</f>
        <v>6710.030814574824</v>
      </c>
      <c r="AR268" s="266">
        <f t="shared" si="369"/>
        <v>30957.975953762056</v>
      </c>
      <c r="AS268" s="347"/>
      <c r="AT268" s="324">
        <f>IFERROR(VLOOKUP(A268,'Afton FY16 Final'!$A$5:$BV$572,'Afton FY16 Final'!$BV$587,0),0)</f>
        <v>22468.399126150041</v>
      </c>
      <c r="AU268" s="347"/>
      <c r="AV268" s="454">
        <v>0</v>
      </c>
      <c r="AW268" s="265">
        <f>IFERROR(VLOOKUP($A268,'HH &amp; SI'!$B$4:$EY$503,'HH &amp; SI'!EX$503,0),0)</f>
        <v>1734.0522327086692</v>
      </c>
      <c r="AX268" s="265">
        <f>IFERROR(VLOOKUP($A268,'HH &amp; SI'!$B$4:$EY$503,'HH &amp; SI'!EY$503,0),0)</f>
        <v>29223.923721053387</v>
      </c>
      <c r="AY268" s="265">
        <f>AX268/$AX$582*'update_State Admin 1004(b)'!$B$30*0.01</f>
        <v>279.693943556992</v>
      </c>
      <c r="AZ268" s="266">
        <f t="shared" si="370"/>
        <v>28944.229777496395</v>
      </c>
      <c r="BA268" s="264">
        <f t="shared" si="371"/>
        <v>289.44229777496395</v>
      </c>
      <c r="BB268" s="265">
        <f t="shared" si="372"/>
        <v>28654.787479721432</v>
      </c>
      <c r="BC268" s="342">
        <f t="shared" si="381"/>
        <v>1.275337300127062</v>
      </c>
      <c r="BD268" s="347"/>
      <c r="BE268" s="377">
        <f>'Original Title I &amp; II'!AZ268</f>
        <v>0</v>
      </c>
      <c r="BF268" s="244"/>
      <c r="BG268" s="266">
        <f t="shared" si="364"/>
        <v>28654.787479721432</v>
      </c>
      <c r="BI268" s="203">
        <v>14810</v>
      </c>
      <c r="BJ268" s="203">
        <f t="shared" si="373"/>
        <v>15060.110155817536</v>
      </c>
      <c r="BK268" s="203">
        <f t="shared" si="374"/>
        <v>15074.679183782249</v>
      </c>
      <c r="BL268" s="203"/>
      <c r="BM268" s="203">
        <f t="shared" si="378"/>
        <v>15074.679183782249</v>
      </c>
      <c r="BN268" s="200"/>
      <c r="BP268" s="298" t="s">
        <v>1448</v>
      </c>
      <c r="BQ268" s="299" t="str">
        <f t="shared" si="382"/>
        <v>Y</v>
      </c>
      <c r="BR268" s="300" t="s">
        <v>1448</v>
      </c>
      <c r="BT268" s="298" t="str">
        <f t="shared" si="383"/>
        <v>Y</v>
      </c>
      <c r="BU268" s="299" t="str">
        <f t="shared" si="375"/>
        <v>Y</v>
      </c>
      <c r="BV268" s="299" t="str">
        <f t="shared" si="376"/>
        <v>Y</v>
      </c>
      <c r="BW268" s="300" t="str">
        <f t="shared" si="384"/>
        <v>Y</v>
      </c>
      <c r="BY268" s="355">
        <f t="shared" si="385"/>
        <v>0</v>
      </c>
      <c r="BZ268" s="356">
        <f t="shared" si="386"/>
        <v>0</v>
      </c>
      <c r="CA268" s="356">
        <f t="shared" si="387"/>
        <v>0.95</v>
      </c>
      <c r="CB268" s="357">
        <f t="shared" si="388"/>
        <v>0.95</v>
      </c>
      <c r="CD268" s="312">
        <f t="shared" si="389"/>
        <v>263</v>
      </c>
    </row>
    <row r="269" spans="1:82" s="48" customFormat="1" outlineLevel="1" x14ac:dyDescent="0.3">
      <c r="A269" s="202">
        <v>78928000</v>
      </c>
      <c r="B269" s="48">
        <f>VLOOKUP(C269,'NCES ID'!$A$2:$B$3136,2,FALSE)</f>
        <v>400332</v>
      </c>
      <c r="C269" s="48">
        <f>VLOOKUP(A269,'State ID'!$A$2:$B$713,2,FALSE)</f>
        <v>79475</v>
      </c>
      <c r="D269" s="48" t="s">
        <v>222</v>
      </c>
      <c r="E269" s="48" t="s">
        <v>7</v>
      </c>
      <c r="F269" s="755"/>
      <c r="G269" s="755"/>
      <c r="H269" s="755"/>
      <c r="I269" s="755"/>
      <c r="J269" s="755"/>
      <c r="K269" s="755"/>
      <c r="L269" s="454"/>
      <c r="M269" s="455"/>
      <c r="N269" s="456"/>
      <c r="O269" s="209">
        <f>VLOOKUP($C269,'AzEDS FY17 12-04-16'!$A$1:$D$712,3,FALSE)</f>
        <v>73</v>
      </c>
      <c r="P269" s="223">
        <f>VLOOKUP($C269,'AzEDS FY17 12-04-16'!$A$1:$D$712,4,FALSE)</f>
        <v>65</v>
      </c>
      <c r="Q269" s="749"/>
      <c r="R269" s="454">
        <f t="shared" si="353"/>
        <v>73</v>
      </c>
      <c r="S269" s="455">
        <f t="shared" si="354"/>
        <v>32.183191475626792</v>
      </c>
      <c r="T269" s="230">
        <f t="shared" si="355"/>
        <v>0.44086563665242179</v>
      </c>
      <c r="U269" s="264" t="str">
        <f>IFERROR(VLOOKUP($B269,#REF!,8,FALSE),"")</f>
        <v/>
      </c>
      <c r="V269" s="265" t="str">
        <f>IFERROR(VLOOKUP($B269,#REF!,9,FALSE),"")</f>
        <v/>
      </c>
      <c r="W269" s="265" t="str">
        <f>IFERROR(VLOOKUP($B269,#REF!,10,FALSE),"")</f>
        <v/>
      </c>
      <c r="X269" s="265" t="str">
        <f>IFERROR(VLOOKUP($B269,#REF!,11,FALSE),"")</f>
        <v/>
      </c>
      <c r="Y269" s="266" t="str">
        <f>IFERROR(VLOOKUP($B269,#REF!,12,FALSE),"")</f>
        <v/>
      </c>
      <c r="Z269" s="265">
        <f t="shared" si="356"/>
        <v>15546.026400638792</v>
      </c>
      <c r="AA269" s="265">
        <f t="shared" si="357"/>
        <v>3214.8932596128725</v>
      </c>
      <c r="AB269" s="265">
        <f t="shared" si="358"/>
        <v>9098.4983314681631</v>
      </c>
      <c r="AC269" s="266">
        <f t="shared" si="359"/>
        <v>8469.5067723311986</v>
      </c>
      <c r="AD269" s="265">
        <f t="shared" si="365"/>
        <v>15546.026400638792</v>
      </c>
      <c r="AE269" s="265">
        <f t="shared" si="366"/>
        <v>3214.8932596128725</v>
      </c>
      <c r="AF269" s="265">
        <f t="shared" si="367"/>
        <v>9098.4983314681631</v>
      </c>
      <c r="AG269" s="266">
        <f t="shared" si="368"/>
        <v>8469.5067723311986</v>
      </c>
      <c r="AH269" s="265">
        <f t="shared" si="360"/>
        <v>15546.026400638792</v>
      </c>
      <c r="AI269" s="265">
        <f t="shared" si="361"/>
        <v>5345.714642443585</v>
      </c>
      <c r="AJ269" s="265">
        <f t="shared" si="362"/>
        <v>9123.8389766884229</v>
      </c>
      <c r="AK269" s="265">
        <f t="shared" si="363"/>
        <v>8493.0955842966014</v>
      </c>
      <c r="AL269" s="266">
        <f t="shared" si="349"/>
        <v>38508.675604067401</v>
      </c>
      <c r="AM269" s="347"/>
      <c r="AN269" s="264">
        <f>IFERROR(VLOOKUP($A269,'HH &amp; SI'!$B$4:$Z$494,'HH &amp; SI'!V$503,0),0)</f>
        <v>18193.846338734755</v>
      </c>
      <c r="AO269" s="265">
        <f>IFERROR(VLOOKUP($A269,'HH &amp; SI'!$B$4:$Z$494,'HH &amp; SI'!W$503,0),0)</f>
        <v>5169.6463465634615</v>
      </c>
      <c r="AP269" s="265">
        <f>IFERROR(VLOOKUP($A269,'HH &amp; SI'!$B$4:$Z$494,'HH &amp; SI'!X$503,0),0)</f>
        <v>9646.64315166079</v>
      </c>
      <c r="AQ269" s="265">
        <f>IFERROR(VLOOKUP($A269,'HH &amp; SI'!$B$4:$Z$494,'HH &amp; SI'!Y$503,0),0)</f>
        <v>9294.4742734662868</v>
      </c>
      <c r="AR269" s="266">
        <f t="shared" si="369"/>
        <v>42304.610110425296</v>
      </c>
      <c r="AS269" s="347"/>
      <c r="AT269" s="324">
        <f>IFERROR(VLOOKUP(A269,'Afton FY16 Final'!$A$5:$BV$572,'Afton FY16 Final'!$BV$587,0),0)</f>
        <v>42164.913910790943</v>
      </c>
      <c r="AU269" s="347"/>
      <c r="AV269" s="454">
        <v>0</v>
      </c>
      <c r="AW269" s="265">
        <f>IFERROR(VLOOKUP($A269,'HH &amp; SI'!$B$4:$EY$503,'HH &amp; SI'!EX$503,0),0)</f>
        <v>139.69619963435252</v>
      </c>
      <c r="AX269" s="265">
        <f>IFERROR(VLOOKUP($A269,'HH &amp; SI'!$B$4:$EY$503,'HH &amp; SI'!EY$503,0),0)</f>
        <v>42164.913910790943</v>
      </c>
      <c r="AY269" s="265">
        <f>AX269/$AX$582*'update_State Admin 1004(b)'!$B$30*0.01</f>
        <v>403.54851607260821</v>
      </c>
      <c r="AZ269" s="266">
        <f t="shared" si="370"/>
        <v>41761.365394718334</v>
      </c>
      <c r="BA269" s="264">
        <f t="shared" si="371"/>
        <v>417.61365394718337</v>
      </c>
      <c r="BB269" s="265">
        <f t="shared" si="372"/>
        <v>41343.751740771149</v>
      </c>
      <c r="BC269" s="342">
        <f t="shared" si="381"/>
        <v>0.98052498881517602</v>
      </c>
      <c r="BD269" s="347"/>
      <c r="BE269" s="377" t="str">
        <f>'Original Title I &amp; II'!AZ269</f>
        <v/>
      </c>
      <c r="BF269" s="244" t="str">
        <f t="shared" ref="BF269:BF283" si="390">IF(BE269&lt;0,BB269*BE269/100,"")</f>
        <v/>
      </c>
      <c r="BG269" s="266">
        <f t="shared" si="364"/>
        <v>41343.751740771149</v>
      </c>
      <c r="BI269" s="203" t="str">
        <f>IFERROR(VLOOKUP(A269,'Title II Hold Harmless'!A$1:B$439,2, FALSE),"")</f>
        <v/>
      </c>
      <c r="BJ269" s="203">
        <f t="shared" si="373"/>
        <v>480.05707540491397</v>
      </c>
      <c r="BK269" s="203">
        <f t="shared" si="374"/>
        <v>480.52147871165414</v>
      </c>
      <c r="BL269" s="203" t="str">
        <f t="shared" si="377"/>
        <v/>
      </c>
      <c r="BM269" s="203">
        <f t="shared" si="378"/>
        <v>480.52147871165414</v>
      </c>
      <c r="BN269" s="200"/>
      <c r="BP269" s="298" t="s">
        <v>1448</v>
      </c>
      <c r="BQ269" s="299" t="str">
        <f t="shared" si="382"/>
        <v>Y</v>
      </c>
      <c r="BR269" s="300" t="s">
        <v>1448</v>
      </c>
      <c r="BT269" s="298" t="str">
        <f t="shared" si="383"/>
        <v>Y</v>
      </c>
      <c r="BU269" s="299" t="str">
        <f t="shared" si="375"/>
        <v>Y</v>
      </c>
      <c r="BV269" s="299" t="str">
        <f t="shared" si="376"/>
        <v>Y</v>
      </c>
      <c r="BW269" s="300" t="str">
        <f t="shared" si="384"/>
        <v>Y</v>
      </c>
      <c r="BY269" s="355">
        <f t="shared" si="385"/>
        <v>0</v>
      </c>
      <c r="BZ269" s="356">
        <f t="shared" si="386"/>
        <v>0</v>
      </c>
      <c r="CA269" s="356">
        <f t="shared" si="387"/>
        <v>0.95</v>
      </c>
      <c r="CB269" s="357">
        <f t="shared" si="388"/>
        <v>0.95</v>
      </c>
      <c r="CD269" s="312">
        <f t="shared" si="389"/>
        <v>264</v>
      </c>
    </row>
    <row r="270" spans="1:82" s="48" customFormat="1" outlineLevel="1" x14ac:dyDescent="0.3">
      <c r="A270" s="202">
        <v>78240000</v>
      </c>
      <c r="B270" s="48">
        <f>VLOOKUP(C270,'NCES ID'!$A$2:$B$3136,2,FALSE)</f>
        <v>400882</v>
      </c>
      <c r="C270" s="48">
        <f>VLOOKUP(A270,'State ID'!$A$2:$B$713,2,FALSE)</f>
        <v>91329</v>
      </c>
      <c r="D270" s="48" t="s">
        <v>225</v>
      </c>
      <c r="E270" s="48" t="s">
        <v>7</v>
      </c>
      <c r="F270" s="755"/>
      <c r="G270" s="755"/>
      <c r="H270" s="755"/>
      <c r="I270" s="755"/>
      <c r="J270" s="755"/>
      <c r="K270" s="755"/>
      <c r="L270" s="454"/>
      <c r="M270" s="455"/>
      <c r="N270" s="456"/>
      <c r="O270" s="209">
        <f>VLOOKUP($C270,'Final SEA Counts'!$A$2:$F$709,5,FALSE)</f>
        <v>58</v>
      </c>
      <c r="P270" s="223">
        <f>VLOOKUP($C270,'Final SEA Counts'!$A$2:$F$709,6,FALSE)</f>
        <v>50</v>
      </c>
      <c r="Q270" s="749"/>
      <c r="R270" s="454">
        <f t="shared" si="353"/>
        <v>58</v>
      </c>
      <c r="S270" s="455">
        <f t="shared" si="354"/>
        <v>24.75630113509753</v>
      </c>
      <c r="T270" s="230">
        <f t="shared" si="355"/>
        <v>0.42683277819133675</v>
      </c>
      <c r="U270" s="264" t="str">
        <f>IFERROR(VLOOKUP($B270,#REF!,8,FALSE),"")</f>
        <v/>
      </c>
      <c r="V270" s="265" t="str">
        <f>IFERROR(VLOOKUP($B270,#REF!,9,FALSE),"")</f>
        <v/>
      </c>
      <c r="W270" s="265" t="str">
        <f>IFERROR(VLOOKUP($B270,#REF!,10,FALSE),"")</f>
        <v/>
      </c>
      <c r="X270" s="265" t="str">
        <f>IFERROR(VLOOKUP($B270,#REF!,11,FALSE),"")</f>
        <v/>
      </c>
      <c r="Y270" s="266" t="str">
        <f>IFERROR(VLOOKUP($B270,#REF!,12,FALSE),"")</f>
        <v/>
      </c>
      <c r="Z270" s="265">
        <f t="shared" si="356"/>
        <v>11958.481846645223</v>
      </c>
      <c r="AA270" s="265">
        <f t="shared" si="357"/>
        <v>2472.9948150868245</v>
      </c>
      <c r="AB270" s="265">
        <f t="shared" si="358"/>
        <v>6998.8448703601252</v>
      </c>
      <c r="AC270" s="266">
        <f t="shared" si="359"/>
        <v>6515.0052094855373</v>
      </c>
      <c r="AD270" s="265">
        <f t="shared" si="365"/>
        <v>11958.481846645223</v>
      </c>
      <c r="AE270" s="265">
        <f t="shared" si="366"/>
        <v>2472.9948150868245</v>
      </c>
      <c r="AF270" s="265">
        <f t="shared" si="367"/>
        <v>6998.8448703601252</v>
      </c>
      <c r="AG270" s="266">
        <f t="shared" si="368"/>
        <v>6515.0052094855373</v>
      </c>
      <c r="AH270" s="265">
        <f t="shared" si="360"/>
        <v>11958.481846645223</v>
      </c>
      <c r="AI270" s="265">
        <f t="shared" si="361"/>
        <v>4603.8161979175366</v>
      </c>
      <c r="AJ270" s="265">
        <f t="shared" si="362"/>
        <v>7024.1855155803842</v>
      </c>
      <c r="AK270" s="265">
        <f t="shared" si="363"/>
        <v>6538.5940214509401</v>
      </c>
      <c r="AL270" s="266">
        <f t="shared" si="349"/>
        <v>30125.077581594087</v>
      </c>
      <c r="AM270" s="347"/>
      <c r="AN270" s="264">
        <f>IFERROR(VLOOKUP($A270,'HH &amp; SI'!$B$4:$Z$494,'HH &amp; SI'!V$503,0),0)</f>
        <v>17868.263952661098</v>
      </c>
      <c r="AO270" s="265">
        <f>IFERROR(VLOOKUP($A270,'HH &amp; SI'!$B$4:$Z$494,'HH &amp; SI'!W$503,0),0)</f>
        <v>4452.1833243487135</v>
      </c>
      <c r="AP270" s="265">
        <f>IFERROR(VLOOKUP($A270,'HH &amp; SI'!$B$4:$Z$494,'HH &amp; SI'!X$503,0),0)</f>
        <v>9146.7993490115823</v>
      </c>
      <c r="AQ270" s="265">
        <f>IFERROR(VLOOKUP($A270,'HH &amp; SI'!$B$4:$Z$494,'HH &amp; SI'!Y$503,0),0)</f>
        <v>9146.6935860601589</v>
      </c>
      <c r="AR270" s="266">
        <f t="shared" si="369"/>
        <v>40613.94021208155</v>
      </c>
      <c r="AS270" s="347"/>
      <c r="AT270" s="324">
        <f>IFERROR(VLOOKUP(A270,'Afton FY16 Final'!$A$5:$BV$572,'Afton FY16 Final'!$BV$587,0),0)</f>
        <v>40347.130264602711</v>
      </c>
      <c r="AU270" s="347"/>
      <c r="AV270" s="454">
        <v>0</v>
      </c>
      <c r="AW270" s="265">
        <f>IFERROR(VLOOKUP($A270,'HH &amp; SI'!$B$4:$EY$503,'HH &amp; SI'!EX$503,0),0)</f>
        <v>266.8099474788396</v>
      </c>
      <c r="AX270" s="265">
        <f>IFERROR(VLOOKUP($A270,'HH &amp; SI'!$B$4:$EY$503,'HH &amp; SI'!EY$503,0),0)</f>
        <v>40347.130264602711</v>
      </c>
      <c r="AY270" s="265">
        <f>AX270/$AX$582*'update_State Admin 1004(b)'!$B$30*0.01</f>
        <v>386.15102074005921</v>
      </c>
      <c r="AZ270" s="266">
        <f t="shared" si="370"/>
        <v>39960.979243862654</v>
      </c>
      <c r="BA270" s="264">
        <f t="shared" si="371"/>
        <v>399.60979243862653</v>
      </c>
      <c r="BB270" s="265">
        <f t="shared" si="372"/>
        <v>39561.369451424027</v>
      </c>
      <c r="BC270" s="342">
        <f t="shared" si="381"/>
        <v>0.98052498881517614</v>
      </c>
      <c r="BD270" s="347"/>
      <c r="BE270" s="377" t="str">
        <f>'Original Title I &amp; II'!AZ270</f>
        <v/>
      </c>
      <c r="BF270" s="244" t="str">
        <f t="shared" si="390"/>
        <v/>
      </c>
      <c r="BG270" s="266">
        <f t="shared" si="364"/>
        <v>39561.369451424027</v>
      </c>
      <c r="BI270" s="203" t="str">
        <f>IFERROR(VLOOKUP(A270,'Title II Hold Harmless'!A$1:B$439,2, FALSE),"")</f>
        <v/>
      </c>
      <c r="BJ270" s="203">
        <f t="shared" si="373"/>
        <v>370.76045743053385</v>
      </c>
      <c r="BK270" s="203">
        <f t="shared" si="374"/>
        <v>371.11912807879793</v>
      </c>
      <c r="BL270" s="203" t="str">
        <f t="shared" si="377"/>
        <v/>
      </c>
      <c r="BM270" s="203">
        <f t="shared" si="378"/>
        <v>371.11912807879793</v>
      </c>
      <c r="BN270" s="200"/>
      <c r="BP270" s="298" t="s">
        <v>1448</v>
      </c>
      <c r="BQ270" s="299" t="str">
        <f t="shared" si="382"/>
        <v>Y</v>
      </c>
      <c r="BR270" s="300" t="s">
        <v>1448</v>
      </c>
      <c r="BT270" s="298" t="str">
        <f t="shared" si="383"/>
        <v>Y</v>
      </c>
      <c r="BU270" s="299" t="str">
        <f t="shared" si="375"/>
        <v>Y</v>
      </c>
      <c r="BV270" s="299" t="str">
        <f t="shared" si="376"/>
        <v>Y</v>
      </c>
      <c r="BW270" s="300" t="str">
        <f t="shared" si="384"/>
        <v>Y</v>
      </c>
      <c r="BY270" s="355">
        <f t="shared" si="385"/>
        <v>0</v>
      </c>
      <c r="BZ270" s="356">
        <f t="shared" si="386"/>
        <v>0</v>
      </c>
      <c r="CA270" s="356">
        <f t="shared" si="387"/>
        <v>0.95</v>
      </c>
      <c r="CB270" s="357">
        <f t="shared" si="388"/>
        <v>0.95</v>
      </c>
      <c r="CD270" s="312">
        <f t="shared" si="389"/>
        <v>265</v>
      </c>
    </row>
    <row r="271" spans="1:82" s="48" customFormat="1" outlineLevel="1" x14ac:dyDescent="0.3">
      <c r="A271" s="202">
        <v>78230000</v>
      </c>
      <c r="B271" s="48">
        <f>VLOOKUP(C271,'NCES ID'!$A$2:$B$3136,2,FALSE)</f>
        <v>400894</v>
      </c>
      <c r="C271" s="48">
        <f>VLOOKUP(A271,'State ID'!$A$2:$B$713,2,FALSE)</f>
        <v>91328</v>
      </c>
      <c r="D271" s="48" t="s">
        <v>226</v>
      </c>
      <c r="E271" s="48" t="s">
        <v>7</v>
      </c>
      <c r="F271" s="755"/>
      <c r="G271" s="755"/>
      <c r="H271" s="755"/>
      <c r="I271" s="755"/>
      <c r="J271" s="755"/>
      <c r="K271" s="755"/>
      <c r="L271" s="454"/>
      <c r="M271" s="455"/>
      <c r="N271" s="456"/>
      <c r="O271" s="209">
        <f>VLOOKUP($C271,'Final SEA Counts'!$A$2:$F$709,5,FALSE)</f>
        <v>237</v>
      </c>
      <c r="P271" s="223">
        <f>VLOOKUP($C271,'Final SEA Counts'!$A$2:$F$709,6,FALSE)</f>
        <v>149</v>
      </c>
      <c r="Q271" s="749"/>
      <c r="R271" s="454">
        <f t="shared" si="353"/>
        <v>237</v>
      </c>
      <c r="S271" s="455">
        <f t="shared" si="354"/>
        <v>73.773777382590637</v>
      </c>
      <c r="T271" s="230">
        <f t="shared" si="355"/>
        <v>0.31128176110797739</v>
      </c>
      <c r="U271" s="264" t="str">
        <f>IFERROR(VLOOKUP($B271,#REF!,8,FALSE),"")</f>
        <v/>
      </c>
      <c r="V271" s="265" t="str">
        <f>IFERROR(VLOOKUP($B271,#REF!,9,FALSE),"")</f>
        <v/>
      </c>
      <c r="W271" s="265" t="str">
        <f>IFERROR(VLOOKUP($B271,#REF!,10,FALSE),"")</f>
        <v/>
      </c>
      <c r="X271" s="265" t="str">
        <f>IFERROR(VLOOKUP($B271,#REF!,11,FALSE),"")</f>
        <v/>
      </c>
      <c r="Y271" s="266" t="str">
        <f>IFERROR(VLOOKUP($B271,#REF!,12,FALSE),"")</f>
        <v/>
      </c>
      <c r="Z271" s="265">
        <f t="shared" si="356"/>
        <v>35636.275903002766</v>
      </c>
      <c r="AA271" s="265">
        <f t="shared" si="357"/>
        <v>7369.5245489587369</v>
      </c>
      <c r="AB271" s="265">
        <f t="shared" si="358"/>
        <v>20856.557713673174</v>
      </c>
      <c r="AC271" s="266">
        <f t="shared" si="359"/>
        <v>19414.7155242669</v>
      </c>
      <c r="AD271" s="265">
        <f t="shared" si="365"/>
        <v>35636.275903002766</v>
      </c>
      <c r="AE271" s="265">
        <f t="shared" si="366"/>
        <v>7369.5245489587369</v>
      </c>
      <c r="AF271" s="265">
        <f t="shared" si="367"/>
        <v>20856.557713673174</v>
      </c>
      <c r="AG271" s="266">
        <f t="shared" si="368"/>
        <v>19414.7155242669</v>
      </c>
      <c r="AH271" s="265">
        <f t="shared" si="360"/>
        <v>35636.275903002766</v>
      </c>
      <c r="AI271" s="265">
        <f t="shared" si="361"/>
        <v>9500.3459317894485</v>
      </c>
      <c r="AJ271" s="265">
        <f t="shared" si="362"/>
        <v>20881.898358893432</v>
      </c>
      <c r="AK271" s="265">
        <f t="shared" si="363"/>
        <v>19438.304336232301</v>
      </c>
      <c r="AL271" s="266">
        <f t="shared" si="349"/>
        <v>85456.82452991794</v>
      </c>
      <c r="AM271" s="347"/>
      <c r="AN271" s="264">
        <f>IFERROR(VLOOKUP($A271,'HH &amp; SI'!$B$4:$Z$494,'HH &amp; SI'!V$503,0),0)</f>
        <v>35150.173969474017</v>
      </c>
      <c r="AO271" s="265">
        <f>IFERROR(VLOOKUP($A271,'HH &amp; SI'!$B$4:$Z$494,'HH &amp; SI'!W$503,0),0)</f>
        <v>9187.4392709660369</v>
      </c>
      <c r="AP271" s="265">
        <f>IFERROR(VLOOKUP($A271,'HH &amp; SI'!$B$4:$Z$494,'HH &amp; SI'!X$503,0),0)</f>
        <v>20691.985646348239</v>
      </c>
      <c r="AQ271" s="265">
        <f>IFERROR(VLOOKUP($A271,'HH &amp; SI'!$B$4:$Z$494,'HH &amp; SI'!Y$503,0),0)</f>
        <v>19224.129213182201</v>
      </c>
      <c r="AR271" s="266">
        <f t="shared" si="369"/>
        <v>84253.728099970496</v>
      </c>
      <c r="AS271" s="347"/>
      <c r="AT271" s="324">
        <f>IFERROR(VLOOKUP(A271,'Afton FY16 Final'!$A$5:$BV$572,'Afton FY16 Final'!$BV$587,0),0)</f>
        <v>55014.796438672303</v>
      </c>
      <c r="AU271" s="347"/>
      <c r="AV271" s="454">
        <v>0</v>
      </c>
      <c r="AW271" s="265">
        <f>IFERROR(VLOOKUP($A271,'HH &amp; SI'!$B$4:$EY$503,'HH &amp; SI'!EX$503,0),0)</f>
        <v>4719.3125785740704</v>
      </c>
      <c r="AX271" s="265">
        <f>IFERROR(VLOOKUP($A271,'HH &amp; SI'!$B$4:$EY$503,'HH &amp; SI'!EY$503,0),0)</f>
        <v>79534.415521396426</v>
      </c>
      <c r="AY271" s="265">
        <f>AX271/$AX$582*'update_State Admin 1004(b)'!$B$30*0.01</f>
        <v>761.20149155925742</v>
      </c>
      <c r="AZ271" s="266">
        <f t="shared" si="370"/>
        <v>78773.214029837167</v>
      </c>
      <c r="BA271" s="264">
        <f t="shared" si="371"/>
        <v>787.73214029837163</v>
      </c>
      <c r="BB271" s="265">
        <f t="shared" si="372"/>
        <v>77985.481889538802</v>
      </c>
      <c r="BC271" s="342">
        <f t="shared" si="381"/>
        <v>1.4175364981396059</v>
      </c>
      <c r="BD271" s="347"/>
      <c r="BE271" s="377" t="str">
        <f>'Original Title I &amp; II'!AZ271</f>
        <v/>
      </c>
      <c r="BF271" s="244" t="str">
        <f t="shared" si="390"/>
        <v/>
      </c>
      <c r="BG271" s="266">
        <f t="shared" si="364"/>
        <v>77985.481889538802</v>
      </c>
      <c r="BI271" s="203" t="str">
        <f>IFERROR(VLOOKUP(A271,'Title II Hold Harmless'!A$1:B$439,2, FALSE),"")</f>
        <v/>
      </c>
      <c r="BJ271" s="203">
        <f t="shared" si="373"/>
        <v>1156.5021112207817</v>
      </c>
      <c r="BK271" s="203">
        <f t="shared" si="374"/>
        <v>1157.6209019484256</v>
      </c>
      <c r="BL271" s="203" t="str">
        <f t="shared" si="377"/>
        <v/>
      </c>
      <c r="BM271" s="203">
        <f t="shared" si="378"/>
        <v>1157.6209019484256</v>
      </c>
      <c r="BN271" s="200"/>
      <c r="BP271" s="298" t="s">
        <v>1448</v>
      </c>
      <c r="BQ271" s="299" t="str">
        <f t="shared" si="382"/>
        <v>Y</v>
      </c>
      <c r="BR271" s="300" t="s">
        <v>1448</v>
      </c>
      <c r="BT271" s="298" t="str">
        <f t="shared" si="383"/>
        <v>Y</v>
      </c>
      <c r="BU271" s="299" t="str">
        <f t="shared" si="375"/>
        <v>Y</v>
      </c>
      <c r="BV271" s="299" t="str">
        <f t="shared" si="376"/>
        <v>Y</v>
      </c>
      <c r="BW271" s="300" t="str">
        <f t="shared" si="384"/>
        <v>Y</v>
      </c>
      <c r="BY271" s="355">
        <f t="shared" si="385"/>
        <v>0</v>
      </c>
      <c r="BZ271" s="356">
        <f t="shared" si="386"/>
        <v>0</v>
      </c>
      <c r="CA271" s="356">
        <f t="shared" si="387"/>
        <v>0.95</v>
      </c>
      <c r="CB271" s="357">
        <f t="shared" si="388"/>
        <v>0.95</v>
      </c>
      <c r="CD271" s="312">
        <f t="shared" si="389"/>
        <v>266</v>
      </c>
    </row>
    <row r="272" spans="1:82" s="48" customFormat="1" outlineLevel="1" x14ac:dyDescent="0.3">
      <c r="A272" s="202">
        <v>78718000</v>
      </c>
      <c r="B272" s="48">
        <f>VLOOKUP(C272,'NCES ID'!$A$2:$B$3136,2,FALSE)</f>
        <v>400149</v>
      </c>
      <c r="C272" s="48">
        <f>VLOOKUP(A272,'State ID'!$A$2:$B$713,2,FALSE)</f>
        <v>4342</v>
      </c>
      <c r="D272" s="48" t="s">
        <v>227</v>
      </c>
      <c r="E272" s="48" t="s">
        <v>7</v>
      </c>
      <c r="F272" s="755"/>
      <c r="G272" s="755"/>
      <c r="H272" s="755"/>
      <c r="I272" s="755"/>
      <c r="J272" s="755"/>
      <c r="K272" s="755"/>
      <c r="L272" s="454"/>
      <c r="M272" s="455"/>
      <c r="N272" s="456"/>
      <c r="O272" s="209">
        <f>VLOOKUP($C272,'Final SEA Counts'!$A$2:$F$709,5,FALSE)</f>
        <v>208</v>
      </c>
      <c r="P272" s="223">
        <f>VLOOKUP($C272,'Final SEA Counts'!$A$2:$F$709,6,FALSE)</f>
        <v>191</v>
      </c>
      <c r="Q272" s="749"/>
      <c r="R272" s="454">
        <f t="shared" si="353"/>
        <v>208</v>
      </c>
      <c r="S272" s="455">
        <f t="shared" ref="S272:S303" si="391">P272*$B$358</f>
        <v>94.569070336072571</v>
      </c>
      <c r="T272" s="230">
        <f t="shared" si="355"/>
        <v>0.45465899200034887</v>
      </c>
      <c r="U272" s="264" t="str">
        <f>IFERROR(VLOOKUP($B272,#REF!,8,FALSE),"")</f>
        <v/>
      </c>
      <c r="V272" s="265" t="str">
        <f>IFERROR(VLOOKUP($B272,#REF!,9,FALSE),"")</f>
        <v/>
      </c>
      <c r="W272" s="265" t="str">
        <f>IFERROR(VLOOKUP($B272,#REF!,10,FALSE),"")</f>
        <v/>
      </c>
      <c r="X272" s="265" t="str">
        <f>IFERROR(VLOOKUP($B272,#REF!,11,FALSE),"")</f>
        <v/>
      </c>
      <c r="Y272" s="266" t="str">
        <f>IFERROR(VLOOKUP($B272,#REF!,12,FALSE),"")</f>
        <v/>
      </c>
      <c r="Z272" s="265">
        <f t="shared" ref="Z272:Z303" si="392">$S272*U$359</f>
        <v>45681.400654184756</v>
      </c>
      <c r="AA272" s="265">
        <f t="shared" ref="AA272:AA303" si="393">$S272*V$359</f>
        <v>9446.8401936316714</v>
      </c>
      <c r="AB272" s="265">
        <f t="shared" ref="AB272:AB303" si="394">$S272*W$359</f>
        <v>26735.587404775681</v>
      </c>
      <c r="AC272" s="266">
        <f t="shared" ref="AC272:AC303" si="395">$S272*X$359</f>
        <v>24887.319900234754</v>
      </c>
      <c r="AD272" s="265">
        <f t="shared" si="365"/>
        <v>45681.400654184756</v>
      </c>
      <c r="AE272" s="265">
        <f t="shared" si="366"/>
        <v>9446.8401936316714</v>
      </c>
      <c r="AF272" s="265">
        <f t="shared" si="367"/>
        <v>26735.587404775681</v>
      </c>
      <c r="AG272" s="266">
        <f t="shared" si="368"/>
        <v>24887.319900234754</v>
      </c>
      <c r="AH272" s="265">
        <f t="shared" ref="AH272:AH303" si="396">IF(AD272="","",AD272+AD$359)</f>
        <v>45681.400654184756</v>
      </c>
      <c r="AI272" s="265">
        <f t="shared" ref="AI272:AI303" si="397">IF(AE272="","",AE272+AE$359)</f>
        <v>11577.661576462384</v>
      </c>
      <c r="AJ272" s="265">
        <f t="shared" ref="AJ272:AJ303" si="398">IF(AF272="","",AF272+AF$359)</f>
        <v>26760.928049995939</v>
      </c>
      <c r="AK272" s="265">
        <f t="shared" ref="AK272:AK303" si="399">IF(AG272="","",AG272+AG$359)</f>
        <v>24910.908712200155</v>
      </c>
      <c r="AL272" s="266">
        <f t="shared" ref="AL272:AL343" si="400">SUM(AH272:AK272)</f>
        <v>108930.89899284323</v>
      </c>
      <c r="AM272" s="347"/>
      <c r="AN272" s="264">
        <f>IFERROR(VLOOKUP($A272,'HH &amp; SI'!$B$4:$Z$494,'HH &amp; SI'!V$503,0),0)</f>
        <v>47318.020548163913</v>
      </c>
      <c r="AO272" s="265">
        <f>IFERROR(VLOOKUP($A272,'HH &amp; SI'!$B$4:$Z$494,'HH &amp; SI'!W$503,0),0)</f>
        <v>11420.93370169116</v>
      </c>
      <c r="AP272" s="265">
        <f>IFERROR(VLOOKUP($A272,'HH &amp; SI'!$B$4:$Z$494,'HH &amp; SI'!X$503,0),0)</f>
        <v>26517.547857790523</v>
      </c>
      <c r="AQ272" s="265">
        <f>IFERROR(VLOOKUP($A272,'HH &amp; SI'!$B$4:$Z$494,'HH &amp; SI'!Y$503,0),0)</f>
        <v>24636.435340117983</v>
      </c>
      <c r="AR272" s="266">
        <f t="shared" si="369"/>
        <v>109892.93744776357</v>
      </c>
      <c r="AS272" s="347"/>
      <c r="AT272" s="324">
        <f>IFERROR(VLOOKUP(A272,'Afton FY16 Final'!$A$5:$BV$572,'Afton FY16 Final'!$BV$587,0),0)</f>
        <v>108868.73610481386</v>
      </c>
      <c r="AU272" s="347"/>
      <c r="AV272" s="454">
        <v>0</v>
      </c>
      <c r="AW272" s="265">
        <f>IFERROR(VLOOKUP($A272,'HH &amp; SI'!$B$4:$EY$503,'HH &amp; SI'!EX$503,0),0)</f>
        <v>1024.2013429497165</v>
      </c>
      <c r="AX272" s="265">
        <f>IFERROR(VLOOKUP($A272,'HH &amp; SI'!$B$4:$EY$503,'HH &amp; SI'!EY$503,0),0)</f>
        <v>108868.73610481386</v>
      </c>
      <c r="AY272" s="265">
        <f>AX272/$AX$582*'update_State Admin 1004(b)'!$B$30*0.01</f>
        <v>1041.9520123947027</v>
      </c>
      <c r="AZ272" s="266">
        <f t="shared" si="370"/>
        <v>107826.78409241916</v>
      </c>
      <c r="BA272" s="264">
        <f t="shared" si="371"/>
        <v>1078.2678409241917</v>
      </c>
      <c r="BB272" s="265">
        <f t="shared" si="372"/>
        <v>106748.51625149496</v>
      </c>
      <c r="BC272" s="342">
        <f t="shared" si="381"/>
        <v>0.98052498881517614</v>
      </c>
      <c r="BD272" s="347"/>
      <c r="BE272" s="377" t="str">
        <f>'Original Title I &amp; II'!AZ272</f>
        <v/>
      </c>
      <c r="BF272" s="244" t="str">
        <f t="shared" si="390"/>
        <v/>
      </c>
      <c r="BG272" s="266">
        <f t="shared" si="364"/>
        <v>106748.51625149496</v>
      </c>
      <c r="BI272" s="203" t="str">
        <f>IFERROR(VLOOKUP(A272,'Title II Hold Harmless'!A$1:B$439,2, FALSE),"")</f>
        <v/>
      </c>
      <c r="BJ272" s="203">
        <f t="shared" si="373"/>
        <v>1405.3918635951313</v>
      </c>
      <c r="BK272" s="203">
        <f t="shared" si="374"/>
        <v>1406.7514282430823</v>
      </c>
      <c r="BL272" s="203" t="str">
        <f t="shared" si="377"/>
        <v/>
      </c>
      <c r="BM272" s="203">
        <f t="shared" si="378"/>
        <v>1406.7514282430823</v>
      </c>
      <c r="BN272" s="200"/>
      <c r="BP272" s="298" t="s">
        <v>1448</v>
      </c>
      <c r="BQ272" s="299" t="str">
        <f t="shared" si="382"/>
        <v>Y</v>
      </c>
      <c r="BR272" s="300" t="s">
        <v>1448</v>
      </c>
      <c r="BT272" s="298" t="str">
        <f t="shared" si="383"/>
        <v>Y</v>
      </c>
      <c r="BU272" s="299" t="str">
        <f t="shared" si="375"/>
        <v>Y</v>
      </c>
      <c r="BV272" s="299" t="str">
        <f t="shared" si="376"/>
        <v>Y</v>
      </c>
      <c r="BW272" s="300" t="str">
        <f t="shared" si="384"/>
        <v>Y</v>
      </c>
      <c r="BY272" s="355">
        <f t="shared" si="385"/>
        <v>0</v>
      </c>
      <c r="BZ272" s="356">
        <f t="shared" si="386"/>
        <v>0</v>
      </c>
      <c r="CA272" s="356">
        <f t="shared" si="387"/>
        <v>0.95</v>
      </c>
      <c r="CB272" s="357">
        <f t="shared" si="388"/>
        <v>0.95</v>
      </c>
      <c r="CD272" s="312">
        <f t="shared" si="389"/>
        <v>267</v>
      </c>
    </row>
    <row r="273" spans="1:82" s="48" customFormat="1" outlineLevel="1" x14ac:dyDescent="0.3">
      <c r="A273" s="202">
        <v>78570000</v>
      </c>
      <c r="B273" s="48">
        <f>VLOOKUP(C273,'NCES ID'!$A$2:$B$3136,2,FALSE)</f>
        <v>400799</v>
      </c>
      <c r="C273" s="48">
        <f>VLOOKUP(A273,'State ID'!$A$2:$B$713,2,FALSE)</f>
        <v>90333</v>
      </c>
      <c r="D273" s="48" t="s">
        <v>228</v>
      </c>
      <c r="E273" s="48" t="s">
        <v>7</v>
      </c>
      <c r="F273" s="755"/>
      <c r="G273" s="755"/>
      <c r="H273" s="755"/>
      <c r="I273" s="755"/>
      <c r="J273" s="755"/>
      <c r="K273" s="755"/>
      <c r="L273" s="454"/>
      <c r="M273" s="455"/>
      <c r="N273" s="456"/>
      <c r="O273" s="209">
        <f>VLOOKUP($C273,'Final SEA Counts'!$A$2:$F$709,5,FALSE)</f>
        <v>154</v>
      </c>
      <c r="P273" s="223">
        <f>VLOOKUP($C273,'Final SEA Counts'!$A$2:$F$709,6,FALSE)</f>
        <v>79</v>
      </c>
      <c r="Q273" s="749"/>
      <c r="R273" s="454">
        <f t="shared" si="353"/>
        <v>154</v>
      </c>
      <c r="S273" s="455">
        <f t="shared" si="391"/>
        <v>39.114955793454101</v>
      </c>
      <c r="T273" s="230">
        <f t="shared" si="355"/>
        <v>0.25399321943801362</v>
      </c>
      <c r="U273" s="264" t="str">
        <f>IFERROR(VLOOKUP($B273,#REF!,8,FALSE),"")</f>
        <v/>
      </c>
      <c r="V273" s="265" t="str">
        <f>IFERROR(VLOOKUP($B273,#REF!,9,FALSE),"")</f>
        <v/>
      </c>
      <c r="W273" s="265" t="str">
        <f>IFERROR(VLOOKUP($B273,#REF!,10,FALSE),"")</f>
        <v/>
      </c>
      <c r="X273" s="265" t="str">
        <f>IFERROR(VLOOKUP($B273,#REF!,11,FALSE),"")</f>
        <v/>
      </c>
      <c r="Y273" s="266" t="str">
        <f>IFERROR(VLOOKUP($B273,#REF!,12,FALSE),"")</f>
        <v/>
      </c>
      <c r="Z273" s="265">
        <f t="shared" si="392"/>
        <v>18894.401317699456</v>
      </c>
      <c r="AA273" s="265">
        <f t="shared" si="393"/>
        <v>3907.3318078371831</v>
      </c>
      <c r="AB273" s="265">
        <f t="shared" si="394"/>
        <v>11058.174895168999</v>
      </c>
      <c r="AC273" s="266">
        <f t="shared" si="395"/>
        <v>10293.708230987149</v>
      </c>
      <c r="AD273" s="265">
        <f t="shared" si="365"/>
        <v>18894.401317699456</v>
      </c>
      <c r="AE273" s="265">
        <f t="shared" si="366"/>
        <v>3907.3318078371831</v>
      </c>
      <c r="AF273" s="265">
        <f t="shared" si="367"/>
        <v>11058.174895168999</v>
      </c>
      <c r="AG273" s="266">
        <f t="shared" si="368"/>
        <v>10293.708230987149</v>
      </c>
      <c r="AH273" s="265">
        <f t="shared" si="396"/>
        <v>18894.401317699456</v>
      </c>
      <c r="AI273" s="265">
        <f t="shared" si="397"/>
        <v>6038.1531906678956</v>
      </c>
      <c r="AJ273" s="265">
        <f t="shared" si="398"/>
        <v>11083.515540389259</v>
      </c>
      <c r="AK273" s="265">
        <f t="shared" si="399"/>
        <v>10317.297042952552</v>
      </c>
      <c r="AL273" s="266">
        <f t="shared" si="400"/>
        <v>46333.367091709159</v>
      </c>
      <c r="AM273" s="347"/>
      <c r="AN273" s="264">
        <f>IFERROR(VLOOKUP($A273,'HH &amp; SI'!$B$4:$Z$494,'HH &amp; SI'!V$503,0),0)</f>
        <v>21777.737624566693</v>
      </c>
      <c r="AO273" s="265">
        <f>IFERROR(VLOOKUP($A273,'HH &amp; SI'!$B$4:$Z$494,'HH &amp; SI'!W$503,0),0)</f>
        <v>6140.2772000914929</v>
      </c>
      <c r="AP273" s="265">
        <f>IFERROR(VLOOKUP($A273,'HH &amp; SI'!$B$4:$Z$494,'HH &amp; SI'!X$503,0),0)</f>
        <v>11819.034022103286</v>
      </c>
      <c r="AQ273" s="265">
        <f>IFERROR(VLOOKUP($A273,'HH &amp; SI'!$B$4:$Z$494,'HH &amp; SI'!Y$503,0),0)</f>
        <v>11031.127888740613</v>
      </c>
      <c r="AR273" s="266">
        <f t="shared" si="369"/>
        <v>50768.176735502086</v>
      </c>
      <c r="AS273" s="347"/>
      <c r="AT273" s="324">
        <f>IFERROR(VLOOKUP(A273,'Afton FY16 Final'!$A$5:$BV$572,'Afton FY16 Final'!$BV$587,0),0)</f>
        <v>52648.989747498214</v>
      </c>
      <c r="AU273" s="347"/>
      <c r="AV273" s="454">
        <v>0</v>
      </c>
      <c r="AW273" s="265">
        <f>IFERROR(VLOOKUP($A273,'HH &amp; SI'!$B$4:$EY$503,'HH &amp; SI'!EX$503,0),0)</f>
        <v>0</v>
      </c>
      <c r="AX273" s="265">
        <f>IFERROR(VLOOKUP($A273,'HH &amp; SI'!$B$4:$EY$503,'HH &amp; SI'!EY$503,0),0)</f>
        <v>50768.176735502086</v>
      </c>
      <c r="AY273" s="265">
        <f>AX273/$AX$582*'update_State Admin 1004(b)'!$B$30*0.01</f>
        <v>485.88792161818185</v>
      </c>
      <c r="AZ273" s="266">
        <f t="shared" si="370"/>
        <v>50282.288813883904</v>
      </c>
      <c r="BA273" s="264">
        <f t="shared" si="371"/>
        <v>502.82288813883906</v>
      </c>
      <c r="BB273" s="265">
        <f t="shared" si="372"/>
        <v>49779.465925745062</v>
      </c>
      <c r="BC273" s="342">
        <f t="shared" si="381"/>
        <v>0.94549707723708964</v>
      </c>
      <c r="BD273" s="347"/>
      <c r="BE273" s="377">
        <f>'Original Title I &amp; II'!AZ273</f>
        <v>0</v>
      </c>
      <c r="BF273" s="244" t="str">
        <f t="shared" si="390"/>
        <v/>
      </c>
      <c r="BG273" s="266">
        <f t="shared" si="364"/>
        <v>49779.465925745062</v>
      </c>
      <c r="BI273" s="203" t="str">
        <f>IFERROR(VLOOKUP(A273,'Title II Hold Harmless'!A$1:B$439,2, FALSE),"")</f>
        <v/>
      </c>
      <c r="BJ273" s="203">
        <f t="shared" si="373"/>
        <v>635.98883137694907</v>
      </c>
      <c r="BK273" s="203">
        <f t="shared" si="374"/>
        <v>636.60408179502099</v>
      </c>
      <c r="BL273" s="203" t="str">
        <f t="shared" si="377"/>
        <v/>
      </c>
      <c r="BM273" s="203">
        <f t="shared" si="378"/>
        <v>636.60408179502099</v>
      </c>
      <c r="BN273" s="200"/>
      <c r="BP273" s="298" t="s">
        <v>1448</v>
      </c>
      <c r="BQ273" s="299" t="str">
        <f t="shared" si="382"/>
        <v>Y</v>
      </c>
      <c r="BR273" s="300" t="s">
        <v>1448</v>
      </c>
      <c r="BT273" s="298" t="str">
        <f t="shared" si="383"/>
        <v>Y</v>
      </c>
      <c r="BU273" s="299" t="str">
        <f t="shared" si="375"/>
        <v>Y</v>
      </c>
      <c r="BV273" s="299" t="str">
        <f t="shared" si="376"/>
        <v>Y</v>
      </c>
      <c r="BW273" s="300" t="str">
        <f t="shared" si="384"/>
        <v>Y</v>
      </c>
      <c r="BY273" s="355">
        <f t="shared" si="385"/>
        <v>0</v>
      </c>
      <c r="BZ273" s="356">
        <f t="shared" si="386"/>
        <v>0.9</v>
      </c>
      <c r="CA273" s="356">
        <f t="shared" si="387"/>
        <v>0</v>
      </c>
      <c r="CB273" s="357">
        <f t="shared" si="388"/>
        <v>0.9</v>
      </c>
      <c r="CD273" s="312">
        <f t="shared" si="389"/>
        <v>268</v>
      </c>
    </row>
    <row r="274" spans="1:82" s="48" customFormat="1" outlineLevel="1" x14ac:dyDescent="0.3">
      <c r="A274" s="202">
        <v>78580000</v>
      </c>
      <c r="B274" s="48">
        <f>VLOOKUP(C274,'NCES ID'!$A$2:$B$3136,2,FALSE)</f>
        <v>400852</v>
      </c>
      <c r="C274" s="48">
        <f>VLOOKUP(A274,'State ID'!$A$2:$B$713,2,FALSE)</f>
        <v>90535</v>
      </c>
      <c r="D274" s="48" t="s">
        <v>229</v>
      </c>
      <c r="E274" s="48" t="s">
        <v>7</v>
      </c>
      <c r="F274" s="755"/>
      <c r="G274" s="755"/>
      <c r="H274" s="755"/>
      <c r="I274" s="755"/>
      <c r="J274" s="755"/>
      <c r="K274" s="755"/>
      <c r="L274" s="454"/>
      <c r="M274" s="455"/>
      <c r="N274" s="456"/>
      <c r="O274" s="209">
        <f>VLOOKUP($C274,'Final SEA Counts'!$A$2:$F$709,5,FALSE)</f>
        <v>296</v>
      </c>
      <c r="P274" s="223">
        <f>VLOOKUP($C274,'Final SEA Counts'!$A$2:$F$709,6,FALSE)</f>
        <v>184</v>
      </c>
      <c r="Q274" s="749"/>
      <c r="R274" s="454">
        <f t="shared" si="353"/>
        <v>296</v>
      </c>
      <c r="S274" s="455">
        <f t="shared" si="391"/>
        <v>91.103188177158913</v>
      </c>
      <c r="T274" s="230">
        <f t="shared" si="355"/>
        <v>0.30778104113905036</v>
      </c>
      <c r="U274" s="264" t="str">
        <f>IFERROR(VLOOKUP($B274,#REF!,8,FALSE),"")</f>
        <v/>
      </c>
      <c r="V274" s="265" t="str">
        <f>IFERROR(VLOOKUP($B274,#REF!,9,FALSE),"")</f>
        <v/>
      </c>
      <c r="W274" s="265" t="str">
        <f>IFERROR(VLOOKUP($B274,#REF!,10,FALSE),"")</f>
        <v/>
      </c>
      <c r="X274" s="265" t="str">
        <f>IFERROR(VLOOKUP($B274,#REF!,11,FALSE),"")</f>
        <v/>
      </c>
      <c r="Y274" s="266" t="str">
        <f>IFERROR(VLOOKUP($B274,#REF!,12,FALSE),"")</f>
        <v/>
      </c>
      <c r="Z274" s="265">
        <f t="shared" si="392"/>
        <v>44007.213195654425</v>
      </c>
      <c r="AA274" s="265">
        <f t="shared" si="393"/>
        <v>9100.6209195195152</v>
      </c>
      <c r="AB274" s="265">
        <f t="shared" si="394"/>
        <v>25755.749122925259</v>
      </c>
      <c r="AC274" s="266">
        <f t="shared" si="395"/>
        <v>23975.219170906777</v>
      </c>
      <c r="AD274" s="265">
        <f t="shared" si="365"/>
        <v>44007.213195654425</v>
      </c>
      <c r="AE274" s="265">
        <f t="shared" si="366"/>
        <v>9100.6209195195152</v>
      </c>
      <c r="AF274" s="265">
        <f t="shared" si="367"/>
        <v>25755.749122925259</v>
      </c>
      <c r="AG274" s="266">
        <f t="shared" si="368"/>
        <v>23975.219170906777</v>
      </c>
      <c r="AH274" s="265">
        <f t="shared" si="396"/>
        <v>44007.213195654425</v>
      </c>
      <c r="AI274" s="265">
        <f t="shared" si="397"/>
        <v>11231.442302350228</v>
      </c>
      <c r="AJ274" s="265">
        <f t="shared" si="398"/>
        <v>25781.089768145517</v>
      </c>
      <c r="AK274" s="265">
        <f t="shared" si="399"/>
        <v>23998.807982872178</v>
      </c>
      <c r="AL274" s="266">
        <f t="shared" si="400"/>
        <v>105018.55324902234</v>
      </c>
      <c r="AM274" s="347"/>
      <c r="AN274" s="264">
        <f>IFERROR(VLOOKUP($A274,'HH &amp; SI'!$B$4:$Z$494,'HH &amp; SI'!V$503,0),0)</f>
        <v>43406.92624418268</v>
      </c>
      <c r="AO274" s="265">
        <f>IFERROR(VLOOKUP($A274,'HH &amp; SI'!$B$4:$Z$494,'HH &amp; SI'!W$503,0),0)</f>
        <v>10861.519656133778</v>
      </c>
      <c r="AP274" s="265">
        <f>IFERROR(VLOOKUP($A274,'HH &amp; SI'!$B$4:$Z$494,'HH &amp; SI'!X$503,0),0)</f>
        <v>25546.620822550143</v>
      </c>
      <c r="AQ274" s="265">
        <f>IFERROR(VLOOKUP($A274,'HH &amp; SI'!$B$4:$Z$494,'HH &amp; SI'!Y$503,0),0)</f>
        <v>23734.38431896202</v>
      </c>
      <c r="AR274" s="266">
        <f t="shared" si="369"/>
        <v>103549.45104182862</v>
      </c>
      <c r="AS274" s="347"/>
      <c r="AT274" s="324">
        <f>IFERROR(VLOOKUP(A274,'Afton FY16 Final'!$A$5:$BV$572,'Afton FY16 Final'!$BV$587,0),0)</f>
        <v>82315.115136415523</v>
      </c>
      <c r="AU274" s="347"/>
      <c r="AV274" s="454">
        <v>0</v>
      </c>
      <c r="AW274" s="265">
        <f>IFERROR(VLOOKUP($A274,'HH &amp; SI'!$B$4:$EY$503,'HH &amp; SI'!EX$503,0),0)</f>
        <v>5800.1258558707632</v>
      </c>
      <c r="AX274" s="265">
        <f>IFERROR(VLOOKUP($A274,'HH &amp; SI'!$B$4:$EY$503,'HH &amp; SI'!EY$503,0),0)</f>
        <v>97749.32518595786</v>
      </c>
      <c r="AY274" s="265">
        <f>AX274/$AX$582*'update_State Admin 1004(b)'!$B$30*0.01</f>
        <v>935.53126206660795</v>
      </c>
      <c r="AZ274" s="266">
        <f t="shared" si="370"/>
        <v>96813.793923891251</v>
      </c>
      <c r="BA274" s="264">
        <f t="shared" si="371"/>
        <v>968.13793923891251</v>
      </c>
      <c r="BB274" s="265">
        <f t="shared" si="372"/>
        <v>95845.655984652345</v>
      </c>
      <c r="BC274" s="342">
        <f t="shared" si="381"/>
        <v>1.1643749246516091</v>
      </c>
      <c r="BD274" s="347"/>
      <c r="BE274" s="377" t="str">
        <f>'Original Title I &amp; II'!AZ274</f>
        <v/>
      </c>
      <c r="BF274" s="244" t="str">
        <f t="shared" si="390"/>
        <v/>
      </c>
      <c r="BG274" s="266">
        <f t="shared" si="364"/>
        <v>95845.655984652345</v>
      </c>
      <c r="BI274" s="203" t="str">
        <f>IFERROR(VLOOKUP(A274,'Title II Hold Harmless'!A$1:B$439,2, FALSE),"")</f>
        <v/>
      </c>
      <c r="BJ274" s="203">
        <f t="shared" si="373"/>
        <v>1430.8427457088037</v>
      </c>
      <c r="BK274" s="203">
        <f t="shared" si="374"/>
        <v>1432.2269313329232</v>
      </c>
      <c r="BL274" s="203" t="str">
        <f t="shared" si="377"/>
        <v/>
      </c>
      <c r="BM274" s="203">
        <f t="shared" si="378"/>
        <v>1432.2269313329232</v>
      </c>
      <c r="BN274" s="200"/>
      <c r="BP274" s="298" t="s">
        <v>1448</v>
      </c>
      <c r="BQ274" s="299" t="str">
        <f t="shared" si="382"/>
        <v>Y</v>
      </c>
      <c r="BR274" s="300" t="s">
        <v>1448</v>
      </c>
      <c r="BT274" s="298" t="str">
        <f t="shared" si="383"/>
        <v>Y</v>
      </c>
      <c r="BU274" s="299" t="str">
        <f t="shared" si="375"/>
        <v>Y</v>
      </c>
      <c r="BV274" s="299" t="str">
        <f t="shared" si="376"/>
        <v>Y</v>
      </c>
      <c r="BW274" s="300" t="str">
        <f t="shared" si="384"/>
        <v>Y</v>
      </c>
      <c r="BY274" s="355">
        <f t="shared" si="385"/>
        <v>0</v>
      </c>
      <c r="BZ274" s="356">
        <f t="shared" si="386"/>
        <v>0</v>
      </c>
      <c r="CA274" s="356">
        <f t="shared" si="387"/>
        <v>0.95</v>
      </c>
      <c r="CB274" s="357">
        <f t="shared" si="388"/>
        <v>0.95</v>
      </c>
      <c r="CD274" s="312">
        <f t="shared" si="389"/>
        <v>269</v>
      </c>
    </row>
    <row r="275" spans="1:82" s="48" customFormat="1" outlineLevel="1" x14ac:dyDescent="0.3">
      <c r="A275" s="202">
        <v>78571000</v>
      </c>
      <c r="B275" s="48">
        <f>VLOOKUP(C275,'NCES ID'!$A$2:$B$3136,2,FALSE)</f>
        <v>400789</v>
      </c>
      <c r="C275" s="48">
        <f>VLOOKUP(A275,'State ID'!$A$2:$B$713,2,FALSE)</f>
        <v>90334</v>
      </c>
      <c r="D275" s="48" t="s">
        <v>230</v>
      </c>
      <c r="E275" s="48" t="s">
        <v>7</v>
      </c>
      <c r="F275" s="755"/>
      <c r="G275" s="755"/>
      <c r="H275" s="755"/>
      <c r="I275" s="755"/>
      <c r="J275" s="755"/>
      <c r="K275" s="755"/>
      <c r="L275" s="454"/>
      <c r="M275" s="455"/>
      <c r="N275" s="456"/>
      <c r="O275" s="209">
        <f>VLOOKUP($C275,'Final SEA Counts'!$A$2:$F$709,5,FALSE)</f>
        <v>224</v>
      </c>
      <c r="P275" s="223">
        <f>VLOOKUP($C275,'Final SEA Counts'!$A$2:$F$709,6,FALSE)</f>
        <v>150</v>
      </c>
      <c r="Q275" s="749"/>
      <c r="R275" s="454">
        <f t="shared" si="353"/>
        <v>224</v>
      </c>
      <c r="S275" s="455">
        <f t="shared" si="391"/>
        <v>74.26890340529259</v>
      </c>
      <c r="T275" s="230">
        <f t="shared" si="355"/>
        <v>0.33155760448791333</v>
      </c>
      <c r="U275" s="264" t="str">
        <f>IFERROR(VLOOKUP($B275,#REF!,8,FALSE),"")</f>
        <v/>
      </c>
      <c r="V275" s="265" t="str">
        <f>IFERROR(VLOOKUP($B275,#REF!,9,FALSE),"")</f>
        <v/>
      </c>
      <c r="W275" s="265" t="str">
        <f>IFERROR(VLOOKUP($B275,#REF!,10,FALSE),"")</f>
        <v/>
      </c>
      <c r="X275" s="265" t="str">
        <f>IFERROR(VLOOKUP($B275,#REF!,11,FALSE),"")</f>
        <v/>
      </c>
      <c r="Y275" s="266" t="str">
        <f>IFERROR(VLOOKUP($B275,#REF!,12,FALSE),"")</f>
        <v/>
      </c>
      <c r="Z275" s="265">
        <f t="shared" si="392"/>
        <v>35875.445539935674</v>
      </c>
      <c r="AA275" s="265">
        <f t="shared" si="393"/>
        <v>7418.9844452604739</v>
      </c>
      <c r="AB275" s="265">
        <f t="shared" si="394"/>
        <v>20996.534611080377</v>
      </c>
      <c r="AC275" s="266">
        <f t="shared" si="395"/>
        <v>19545.015628456611</v>
      </c>
      <c r="AD275" s="265">
        <f t="shared" si="365"/>
        <v>35875.445539935674</v>
      </c>
      <c r="AE275" s="265">
        <f t="shared" si="366"/>
        <v>7418.9844452604739</v>
      </c>
      <c r="AF275" s="265">
        <f t="shared" si="367"/>
        <v>20996.534611080377</v>
      </c>
      <c r="AG275" s="266">
        <f t="shared" si="368"/>
        <v>19545.015628456611</v>
      </c>
      <c r="AH275" s="265">
        <f t="shared" si="396"/>
        <v>35875.445539935674</v>
      </c>
      <c r="AI275" s="265">
        <f t="shared" si="397"/>
        <v>9549.8058280911864</v>
      </c>
      <c r="AJ275" s="265">
        <f t="shared" si="398"/>
        <v>21021.875256300635</v>
      </c>
      <c r="AK275" s="265">
        <f t="shared" si="399"/>
        <v>19568.604440422012</v>
      </c>
      <c r="AL275" s="266">
        <f t="shared" si="400"/>
        <v>86015.731064749518</v>
      </c>
      <c r="AM275" s="347"/>
      <c r="AN275" s="264">
        <f>IFERROR(VLOOKUP($A275,'HH &amp; SI'!$B$4:$Z$494,'HH &amp; SI'!V$503,0),0)</f>
        <v>40039.631210383719</v>
      </c>
      <c r="AO275" s="265">
        <f>IFERROR(VLOOKUP($A275,'HH &amp; SI'!$B$4:$Z$494,'HH &amp; SI'!W$503,0),0)</f>
        <v>9235.270139113687</v>
      </c>
      <c r="AP275" s="265">
        <f>IFERROR(VLOOKUP($A275,'HH &amp; SI'!$B$4:$Z$494,'HH &amp; SI'!X$503,0),0)</f>
        <v>21229.597470456152</v>
      </c>
      <c r="AQ275" s="265">
        <f>IFERROR(VLOOKUP($A275,'HH &amp; SI'!$B$4:$Z$494,'HH &amp; SI'!Y$503,0),0)</f>
        <v>20454.571027770329</v>
      </c>
      <c r="AR275" s="266">
        <f t="shared" si="369"/>
        <v>90959.069847723891</v>
      </c>
      <c r="AS275" s="347"/>
      <c r="AT275" s="324">
        <f>IFERROR(VLOOKUP(A275,'Afton FY16 Final'!$A$5:$BV$572,'Afton FY16 Final'!$BV$587,0),0)</f>
        <v>91964.274135150496</v>
      </c>
      <c r="AU275" s="347"/>
      <c r="AV275" s="454">
        <v>0</v>
      </c>
      <c r="AW275" s="265">
        <f>IFERROR(VLOOKUP($A275,'HH &amp; SI'!$B$4:$EY$503,'HH &amp; SI'!EX$503,0),0)</f>
        <v>0</v>
      </c>
      <c r="AX275" s="265">
        <f>IFERROR(VLOOKUP($A275,'HH &amp; SI'!$B$4:$EY$503,'HH &amp; SI'!EY$503,0),0)</f>
        <v>90959.069847723891</v>
      </c>
      <c r="AY275" s="265">
        <f>AX275/$AX$582*'update_State Admin 1004(b)'!$B$30*0.01</f>
        <v>870.54364057410555</v>
      </c>
      <c r="AZ275" s="266">
        <f t="shared" si="370"/>
        <v>90088.526207149785</v>
      </c>
      <c r="BA275" s="264">
        <f t="shared" si="371"/>
        <v>900.88526207149789</v>
      </c>
      <c r="BB275" s="265">
        <f t="shared" si="372"/>
        <v>89187.640945078281</v>
      </c>
      <c r="BC275" s="342">
        <f t="shared" si="381"/>
        <v>0.96980747995692673</v>
      </c>
      <c r="BD275" s="347"/>
      <c r="BE275" s="377" t="str">
        <f>'Original Title I &amp; II'!AZ275</f>
        <v/>
      </c>
      <c r="BF275" s="244" t="str">
        <f t="shared" si="390"/>
        <v/>
      </c>
      <c r="BG275" s="266">
        <f t="shared" si="364"/>
        <v>89187.640945078281</v>
      </c>
      <c r="BI275" s="203" t="str">
        <f>IFERROR(VLOOKUP(A275,'Title II Hold Harmless'!A$1:B$439,2, FALSE),"")</f>
        <v/>
      </c>
      <c r="BJ275" s="203">
        <f t="shared" si="373"/>
        <v>1152.521356766189</v>
      </c>
      <c r="BK275" s="203">
        <f t="shared" si="374"/>
        <v>1153.6362965443798</v>
      </c>
      <c r="BL275" s="203" t="str">
        <f t="shared" si="377"/>
        <v/>
      </c>
      <c r="BM275" s="203">
        <f t="shared" si="378"/>
        <v>1153.6362965443798</v>
      </c>
      <c r="BN275" s="200"/>
      <c r="BP275" s="298" t="s">
        <v>1448</v>
      </c>
      <c r="BQ275" s="299" t="str">
        <f t="shared" si="382"/>
        <v>Y</v>
      </c>
      <c r="BR275" s="300" t="s">
        <v>1448</v>
      </c>
      <c r="BT275" s="298" t="str">
        <f t="shared" si="383"/>
        <v>Y</v>
      </c>
      <c r="BU275" s="299" t="str">
        <f t="shared" si="375"/>
        <v>Y</v>
      </c>
      <c r="BV275" s="299" t="str">
        <f t="shared" si="376"/>
        <v>Y</v>
      </c>
      <c r="BW275" s="300" t="str">
        <f t="shared" si="384"/>
        <v>Y</v>
      </c>
      <c r="BY275" s="355">
        <f t="shared" si="385"/>
        <v>0</v>
      </c>
      <c r="BZ275" s="356">
        <f t="shared" si="386"/>
        <v>0</v>
      </c>
      <c r="CA275" s="356">
        <f t="shared" si="387"/>
        <v>0.95</v>
      </c>
      <c r="CB275" s="357">
        <f t="shared" si="388"/>
        <v>0.95</v>
      </c>
      <c r="CD275" s="312">
        <f t="shared" si="389"/>
        <v>270</v>
      </c>
    </row>
    <row r="276" spans="1:82" s="48" customFormat="1" outlineLevel="1" x14ac:dyDescent="0.3">
      <c r="A276" s="202">
        <v>78949000</v>
      </c>
      <c r="B276" s="48">
        <f>VLOOKUP(C276,'NCES ID'!$A$2:$B$3136,2,FALSE)</f>
        <v>400389</v>
      </c>
      <c r="C276" s="48">
        <f>VLOOKUP(A276,'State ID'!$A$2:$B$713,2,FALSE)</f>
        <v>79882</v>
      </c>
      <c r="D276" s="48" t="s">
        <v>231</v>
      </c>
      <c r="E276" s="48" t="s">
        <v>7</v>
      </c>
      <c r="F276" s="755"/>
      <c r="G276" s="755"/>
      <c r="H276" s="755"/>
      <c r="I276" s="755"/>
      <c r="J276" s="755"/>
      <c r="K276" s="755"/>
      <c r="L276" s="454"/>
      <c r="M276" s="455"/>
      <c r="N276" s="456"/>
      <c r="O276" s="209">
        <f>VLOOKUP($C276,'Final SEA Counts'!$A$2:$F$709,5,FALSE)</f>
        <v>166</v>
      </c>
      <c r="P276" s="223">
        <f>VLOOKUP($C276,'Final SEA Counts'!$A$2:$F$709,6,FALSE)</f>
        <v>166</v>
      </c>
      <c r="Q276" s="749"/>
      <c r="R276" s="454">
        <f t="shared" si="353"/>
        <v>166</v>
      </c>
      <c r="S276" s="455">
        <f t="shared" si="391"/>
        <v>82.190919768523798</v>
      </c>
      <c r="T276" s="230">
        <f t="shared" si="355"/>
        <v>0.49512602270195061</v>
      </c>
      <c r="U276" s="264" t="str">
        <f>IFERROR(VLOOKUP($B276,#REF!,8,FALSE),"")</f>
        <v/>
      </c>
      <c r="V276" s="265" t="str">
        <f>IFERROR(VLOOKUP($B276,#REF!,9,FALSE),"")</f>
        <v/>
      </c>
      <c r="W276" s="265" t="str">
        <f>IFERROR(VLOOKUP($B276,#REF!,10,FALSE),"")</f>
        <v/>
      </c>
      <c r="X276" s="265" t="str">
        <f>IFERROR(VLOOKUP($B276,#REF!,11,FALSE),"")</f>
        <v/>
      </c>
      <c r="Y276" s="266" t="str">
        <f>IFERROR(VLOOKUP($B276,#REF!,12,FALSE),"")</f>
        <v/>
      </c>
      <c r="Z276" s="265">
        <f t="shared" si="392"/>
        <v>39702.159730862142</v>
      </c>
      <c r="AA276" s="265">
        <f t="shared" si="393"/>
        <v>8210.3427860882584</v>
      </c>
      <c r="AB276" s="265">
        <f t="shared" si="394"/>
        <v>23236.164969595615</v>
      </c>
      <c r="AC276" s="266">
        <f t="shared" si="395"/>
        <v>21629.817295491983</v>
      </c>
      <c r="AD276" s="265">
        <f t="shared" si="365"/>
        <v>39702.159730862142</v>
      </c>
      <c r="AE276" s="265">
        <f t="shared" si="366"/>
        <v>8210.3427860882584</v>
      </c>
      <c r="AF276" s="265">
        <f t="shared" si="367"/>
        <v>23236.164969595615</v>
      </c>
      <c r="AG276" s="266">
        <f t="shared" si="368"/>
        <v>21629.817295491983</v>
      </c>
      <c r="AH276" s="265">
        <f t="shared" si="396"/>
        <v>39702.159730862142</v>
      </c>
      <c r="AI276" s="265">
        <f t="shared" si="397"/>
        <v>10341.164168918971</v>
      </c>
      <c r="AJ276" s="265">
        <f t="shared" si="398"/>
        <v>23261.505614815873</v>
      </c>
      <c r="AK276" s="265">
        <f t="shared" si="399"/>
        <v>21653.406107457384</v>
      </c>
      <c r="AL276" s="266">
        <f t="shared" si="400"/>
        <v>94958.235622054373</v>
      </c>
      <c r="AM276" s="347"/>
      <c r="AN276" s="264">
        <f>IFERROR(VLOOKUP($A276,'HH &amp; SI'!$B$4:$Z$494,'HH &amp; SI'!V$503,0),0)</f>
        <v>58436.08162861444</v>
      </c>
      <c r="AO276" s="265">
        <f>IFERROR(VLOOKUP($A276,'HH &amp; SI'!$B$4:$Z$494,'HH &amp; SI'!W$503,0),0)</f>
        <v>12600.495388423011</v>
      </c>
      <c r="AP276" s="265">
        <f>IFERROR(VLOOKUP($A276,'HH &amp; SI'!$B$4:$Z$494,'HH &amp; SI'!X$503,0),0)</f>
        <v>30983.664265231197</v>
      </c>
      <c r="AQ276" s="265">
        <f>IFERROR(VLOOKUP($A276,'HH &amp; SI'!$B$4:$Z$494,'HH &amp; SI'!Y$503,0),0)</f>
        <v>29852.547241921089</v>
      </c>
      <c r="AR276" s="266">
        <f t="shared" si="369"/>
        <v>131872.78852418973</v>
      </c>
      <c r="AS276" s="347"/>
      <c r="AT276" s="324">
        <f>IFERROR(VLOOKUP(A276,'Afton FY16 Final'!$A$5:$BV$572,'Afton FY16 Final'!$BV$587,0),0)</f>
        <v>136080.22456840816</v>
      </c>
      <c r="AU276" s="347"/>
      <c r="AV276" s="454">
        <v>0</v>
      </c>
      <c r="AW276" s="265">
        <f>IFERROR(VLOOKUP($A276,'HH &amp; SI'!$B$4:$EY$503,'HH &amp; SI'!EX$503,0),0)</f>
        <v>0</v>
      </c>
      <c r="AX276" s="265">
        <f>IFERROR(VLOOKUP($A276,'HH &amp; SI'!$B$4:$EY$503,'HH &amp; SI'!EY$503,0),0)</f>
        <v>131872.78852418973</v>
      </c>
      <c r="AY276" s="265">
        <f>AX276/$AX$582*'update_State Admin 1004(b)'!$B$30*0.01</f>
        <v>1262.1173194349676</v>
      </c>
      <c r="AZ276" s="266">
        <f t="shared" si="370"/>
        <v>130610.67120475476</v>
      </c>
      <c r="BA276" s="264">
        <f t="shared" si="371"/>
        <v>1306.1067120475477</v>
      </c>
      <c r="BB276" s="265">
        <f t="shared" si="372"/>
        <v>129304.56449270721</v>
      </c>
      <c r="BC276" s="342">
        <f t="shared" si="381"/>
        <v>0.95020834146040967</v>
      </c>
      <c r="BD276" s="347"/>
      <c r="BE276" s="377" t="str">
        <f>'Original Title I &amp; II'!AZ276</f>
        <v/>
      </c>
      <c r="BF276" s="244" t="str">
        <f t="shared" si="390"/>
        <v/>
      </c>
      <c r="BG276" s="266">
        <f t="shared" si="364"/>
        <v>129304.56449270721</v>
      </c>
      <c r="BI276" s="203" t="str">
        <f>IFERROR(VLOOKUP(A276,'Title II Hold Harmless'!A$1:B$439,2, FALSE),"")</f>
        <v/>
      </c>
      <c r="BJ276" s="203">
        <f t="shared" si="373"/>
        <v>1209.5492389164715</v>
      </c>
      <c r="BK276" s="203">
        <f t="shared" si="374"/>
        <v>1210.7193470036068</v>
      </c>
      <c r="BL276" s="203" t="str">
        <f t="shared" si="377"/>
        <v/>
      </c>
      <c r="BM276" s="203">
        <f t="shared" si="378"/>
        <v>1210.7193470036068</v>
      </c>
      <c r="BN276" s="200"/>
      <c r="BP276" s="298" t="s">
        <v>1448</v>
      </c>
      <c r="BQ276" s="299" t="str">
        <f t="shared" si="382"/>
        <v>Y</v>
      </c>
      <c r="BR276" s="300" t="s">
        <v>1448</v>
      </c>
      <c r="BT276" s="298" t="str">
        <f t="shared" si="383"/>
        <v>Y</v>
      </c>
      <c r="BU276" s="299" t="str">
        <f t="shared" si="375"/>
        <v>Y</v>
      </c>
      <c r="BV276" s="299" t="str">
        <f t="shared" si="376"/>
        <v>Y</v>
      </c>
      <c r="BW276" s="300" t="str">
        <f t="shared" si="384"/>
        <v>Y</v>
      </c>
      <c r="BY276" s="355">
        <f t="shared" si="385"/>
        <v>0</v>
      </c>
      <c r="BZ276" s="356">
        <f t="shared" si="386"/>
        <v>0</v>
      </c>
      <c r="CA276" s="356">
        <f t="shared" si="387"/>
        <v>0.95</v>
      </c>
      <c r="CB276" s="357">
        <f t="shared" si="388"/>
        <v>0.95</v>
      </c>
      <c r="CD276" s="312">
        <f t="shared" si="389"/>
        <v>271</v>
      </c>
    </row>
    <row r="277" spans="1:82" s="48" customFormat="1" outlineLevel="1" x14ac:dyDescent="0.3">
      <c r="A277" s="202">
        <v>78576000</v>
      </c>
      <c r="B277" s="48">
        <f>VLOOKUP(C277,'NCES ID'!$A$2:$B$3136,2,FALSE)</f>
        <v>400823</v>
      </c>
      <c r="C277" s="48">
        <f>VLOOKUP(A277,'State ID'!$A$2:$B$713,2,FALSE)</f>
        <v>90548</v>
      </c>
      <c r="D277" s="48" t="s">
        <v>232</v>
      </c>
      <c r="E277" s="48" t="s">
        <v>7</v>
      </c>
      <c r="F277" s="755"/>
      <c r="G277" s="755"/>
      <c r="H277" s="755"/>
      <c r="I277" s="755"/>
      <c r="J277" s="755"/>
      <c r="K277" s="755"/>
      <c r="L277" s="454"/>
      <c r="M277" s="455"/>
      <c r="N277" s="456"/>
      <c r="O277" s="209">
        <f>VLOOKUP($C277,'Final SEA Counts'!$A$2:$F$709,5,FALSE)</f>
        <v>285</v>
      </c>
      <c r="P277" s="223">
        <f>VLOOKUP($C277,'Final SEA Counts'!$A$2:$F$709,6,FALSE)</f>
        <v>134</v>
      </c>
      <c r="Q277" s="749"/>
      <c r="R277" s="454">
        <f t="shared" si="353"/>
        <v>285</v>
      </c>
      <c r="S277" s="455">
        <f t="shared" si="391"/>
        <v>66.346887042061383</v>
      </c>
      <c r="T277" s="230">
        <f t="shared" si="355"/>
        <v>0.2327960948844259</v>
      </c>
      <c r="U277" s="264" t="str">
        <f>IFERROR(VLOOKUP($B277,#REF!,8,FALSE),"")</f>
        <v/>
      </c>
      <c r="V277" s="265" t="str">
        <f>IFERROR(VLOOKUP($B277,#REF!,9,FALSE),"")</f>
        <v/>
      </c>
      <c r="W277" s="265" t="str">
        <f>IFERROR(VLOOKUP($B277,#REF!,10,FALSE),"")</f>
        <v/>
      </c>
      <c r="X277" s="265" t="str">
        <f>IFERROR(VLOOKUP($B277,#REF!,11,FALSE),"")</f>
        <v/>
      </c>
      <c r="Y277" s="266" t="str">
        <f>IFERROR(VLOOKUP($B277,#REF!,12,FALSE),"")</f>
        <v/>
      </c>
      <c r="Z277" s="265">
        <f t="shared" si="392"/>
        <v>32048.731349009202</v>
      </c>
      <c r="AA277" s="265">
        <f t="shared" si="393"/>
        <v>6627.6261044326902</v>
      </c>
      <c r="AB277" s="265">
        <f t="shared" si="394"/>
        <v>18756.904252565135</v>
      </c>
      <c r="AC277" s="266">
        <f t="shared" si="395"/>
        <v>17460.213961421239</v>
      </c>
      <c r="AD277" s="265">
        <f t="shared" si="365"/>
        <v>32048.731349009202</v>
      </c>
      <c r="AE277" s="265">
        <f t="shared" si="366"/>
        <v>6627.6261044326902</v>
      </c>
      <c r="AF277" s="265">
        <f t="shared" si="367"/>
        <v>18756.904252565135</v>
      </c>
      <c r="AG277" s="266">
        <f t="shared" si="368"/>
        <v>17460.213961421239</v>
      </c>
      <c r="AH277" s="265">
        <f t="shared" si="396"/>
        <v>32048.731349009202</v>
      </c>
      <c r="AI277" s="265">
        <f t="shared" si="397"/>
        <v>8758.4474872634019</v>
      </c>
      <c r="AJ277" s="265">
        <f t="shared" si="398"/>
        <v>18782.244897785393</v>
      </c>
      <c r="AK277" s="265">
        <f t="shared" si="399"/>
        <v>17483.80277338664</v>
      </c>
      <c r="AL277" s="266">
        <f t="shared" si="400"/>
        <v>77073.226507444633</v>
      </c>
      <c r="AM277" s="347"/>
      <c r="AN277" s="264">
        <f>IFERROR(VLOOKUP($A277,'HH &amp; SI'!$B$4:$Z$494,'HH &amp; SI'!V$503,0),0)</f>
        <v>31611.565851741732</v>
      </c>
      <c r="AO277" s="265">
        <f>IFERROR(VLOOKUP($A277,'HH &amp; SI'!$B$4:$Z$494,'HH &amp; SI'!W$503,0),0)</f>
        <v>8469.9762487512926</v>
      </c>
      <c r="AP277" s="265">
        <f>IFERROR(VLOOKUP($A277,'HH &amp; SI'!$B$4:$Z$494,'HH &amp; SI'!X$503,0),0)</f>
        <v>18611.427713690282</v>
      </c>
      <c r="AQ277" s="265">
        <f>IFERROR(VLOOKUP($A277,'HH &amp; SI'!$B$4:$Z$494,'HH &amp; SI'!Y$503,0),0)</f>
        <v>17291.162739276569</v>
      </c>
      <c r="AR277" s="266">
        <f t="shared" si="369"/>
        <v>75984.132553459873</v>
      </c>
      <c r="AS277" s="347"/>
      <c r="AT277" s="324">
        <f>IFERROR(VLOOKUP(A277,'Afton FY16 Final'!$A$5:$BV$572,'Afton FY16 Final'!$BV$587,0),0)</f>
        <v>77362.202274382857</v>
      </c>
      <c r="AU277" s="347"/>
      <c r="AV277" s="454">
        <v>0</v>
      </c>
      <c r="AW277" s="265">
        <f>IFERROR(VLOOKUP($A277,'HH &amp; SI'!$B$4:$EY$503,'HH &amp; SI'!EX$503,0),0)</f>
        <v>0</v>
      </c>
      <c r="AX277" s="265">
        <f>IFERROR(VLOOKUP($A277,'HH &amp; SI'!$B$4:$EY$503,'HH &amp; SI'!EY$503,0),0)</f>
        <v>75984.132553459873</v>
      </c>
      <c r="AY277" s="265">
        <f>AX277/$AX$582*'update_State Admin 1004(b)'!$B$30*0.01</f>
        <v>727.22273314462234</v>
      </c>
      <c r="AZ277" s="266">
        <f t="shared" si="370"/>
        <v>75256.909820315253</v>
      </c>
      <c r="BA277" s="264">
        <f t="shared" si="371"/>
        <v>752.56909820315252</v>
      </c>
      <c r="BB277" s="265">
        <f t="shared" si="372"/>
        <v>74504.340722112102</v>
      </c>
      <c r="BC277" s="342">
        <f t="shared" si="381"/>
        <v>0.96305868410862072</v>
      </c>
      <c r="BD277" s="347"/>
      <c r="BE277" s="377" t="str">
        <f>'Original Title I &amp; II'!AZ277</f>
        <v/>
      </c>
      <c r="BF277" s="244" t="str">
        <f t="shared" si="390"/>
        <v/>
      </c>
      <c r="BG277" s="266">
        <f t="shared" si="364"/>
        <v>74504.340722112102</v>
      </c>
      <c r="BI277" s="203" t="str">
        <f>IFERROR(VLOOKUP(A277,'Title II Hold Harmless'!A$1:B$439,2, FALSE),"")</f>
        <v/>
      </c>
      <c r="BJ277" s="203">
        <f t="shared" si="373"/>
        <v>1097.9078736843819</v>
      </c>
      <c r="BK277" s="203">
        <f t="shared" si="374"/>
        <v>1098.9699808236319</v>
      </c>
      <c r="BL277" s="203" t="str">
        <f t="shared" si="377"/>
        <v/>
      </c>
      <c r="BM277" s="203">
        <f t="shared" si="378"/>
        <v>1098.9699808236319</v>
      </c>
      <c r="BN277" s="200"/>
      <c r="BP277" s="298" t="s">
        <v>1448</v>
      </c>
      <c r="BQ277" s="299" t="str">
        <f t="shared" si="382"/>
        <v>Y</v>
      </c>
      <c r="BR277" s="300" t="s">
        <v>1448</v>
      </c>
      <c r="BT277" s="298" t="str">
        <f t="shared" si="383"/>
        <v>Y</v>
      </c>
      <c r="BU277" s="299" t="str">
        <f t="shared" si="375"/>
        <v>Y</v>
      </c>
      <c r="BV277" s="299" t="str">
        <f t="shared" si="376"/>
        <v>Y</v>
      </c>
      <c r="BW277" s="300" t="str">
        <f t="shared" si="384"/>
        <v>Y</v>
      </c>
      <c r="BY277" s="355">
        <f t="shared" si="385"/>
        <v>0</v>
      </c>
      <c r="BZ277" s="356">
        <f t="shared" si="386"/>
        <v>0.9</v>
      </c>
      <c r="CA277" s="356">
        <f t="shared" si="387"/>
        <v>0</v>
      </c>
      <c r="CB277" s="357">
        <f t="shared" si="388"/>
        <v>0.9</v>
      </c>
      <c r="CD277" s="312">
        <f t="shared" si="389"/>
        <v>272</v>
      </c>
    </row>
    <row r="278" spans="1:82" s="48" customFormat="1" outlineLevel="1" x14ac:dyDescent="0.3">
      <c r="A278" s="202">
        <v>78999000</v>
      </c>
      <c r="B278" s="48">
        <f>VLOOKUP(C278,'NCES ID'!$A$2:$B$3136,2,FALSE)</f>
        <v>400221</v>
      </c>
      <c r="C278" s="48">
        <f>VLOOKUP(A278,'State ID'!$A$2:$B$713,2,FALSE)</f>
        <v>79233</v>
      </c>
      <c r="D278" s="48" t="s">
        <v>234</v>
      </c>
      <c r="E278" s="48" t="s">
        <v>7</v>
      </c>
      <c r="F278" s="755"/>
      <c r="G278" s="755"/>
      <c r="H278" s="755"/>
      <c r="I278" s="755"/>
      <c r="J278" s="755"/>
      <c r="K278" s="755"/>
      <c r="L278" s="454"/>
      <c r="M278" s="455"/>
      <c r="N278" s="456"/>
      <c r="O278" s="209">
        <f>VLOOKUP($C278,'Final SEA Counts'!$A$2:$F$709,5,FALSE)</f>
        <v>339</v>
      </c>
      <c r="P278" s="223">
        <f>VLOOKUP($C278,'Final SEA Counts'!$A$2:$F$709,6,FALSE)</f>
        <v>339</v>
      </c>
      <c r="Q278" s="749"/>
      <c r="R278" s="454">
        <f t="shared" si="353"/>
        <v>339</v>
      </c>
      <c r="S278" s="455">
        <f t="shared" si="391"/>
        <v>167.84772169596127</v>
      </c>
      <c r="T278" s="230">
        <f t="shared" si="355"/>
        <v>0.49512602270195066</v>
      </c>
      <c r="U278" s="264" t="str">
        <f>IFERROR(VLOOKUP($B278,#REF!,8,FALSE),"")</f>
        <v/>
      </c>
      <c r="V278" s="265" t="str">
        <f>IFERROR(VLOOKUP($B278,#REF!,9,FALSE),"")</f>
        <v/>
      </c>
      <c r="W278" s="265" t="str">
        <f>IFERROR(VLOOKUP($B278,#REF!,10,FALSE),"")</f>
        <v/>
      </c>
      <c r="X278" s="265" t="str">
        <f>IFERROR(VLOOKUP($B278,#REF!,11,FALSE),"")</f>
        <v/>
      </c>
      <c r="Y278" s="266" t="str">
        <f>IFERROR(VLOOKUP($B278,#REF!,12,FALSE),"")</f>
        <v/>
      </c>
      <c r="Z278" s="265">
        <f t="shared" si="392"/>
        <v>81078.506920254629</v>
      </c>
      <c r="AA278" s="265">
        <f t="shared" si="393"/>
        <v>16766.904846288671</v>
      </c>
      <c r="AB278" s="265">
        <f t="shared" si="394"/>
        <v>47452.168221041655</v>
      </c>
      <c r="AC278" s="266">
        <f t="shared" si="395"/>
        <v>44171.735320311949</v>
      </c>
      <c r="AD278" s="265">
        <f t="shared" si="365"/>
        <v>81078.506920254629</v>
      </c>
      <c r="AE278" s="265">
        <f t="shared" si="366"/>
        <v>16766.904846288671</v>
      </c>
      <c r="AF278" s="265">
        <f t="shared" si="367"/>
        <v>47452.168221041655</v>
      </c>
      <c r="AG278" s="266">
        <f t="shared" si="368"/>
        <v>44171.735320311949</v>
      </c>
      <c r="AH278" s="265">
        <f t="shared" si="396"/>
        <v>81078.506920254629</v>
      </c>
      <c r="AI278" s="265">
        <f t="shared" si="397"/>
        <v>18897.726229119384</v>
      </c>
      <c r="AJ278" s="265">
        <f t="shared" si="398"/>
        <v>47477.508866261916</v>
      </c>
      <c r="AK278" s="265">
        <f t="shared" si="399"/>
        <v>44195.324132277354</v>
      </c>
      <c r="AL278" s="266">
        <f t="shared" si="400"/>
        <v>191649.06614791328</v>
      </c>
      <c r="AM278" s="347"/>
      <c r="AN278" s="264">
        <f>IFERROR(VLOOKUP($A278,'HH &amp; SI'!$B$4:$Z$494,'HH &amp; SI'!V$503,0),0)</f>
        <v>79983.846924206373</v>
      </c>
      <c r="AO278" s="265">
        <f>IFERROR(VLOOKUP($A278,'HH &amp; SI'!$B$4:$Z$494,'HH &amp; SI'!W$503,0),0)</f>
        <v>18275.30421901949</v>
      </c>
      <c r="AP278" s="265">
        <f>IFERROR(VLOOKUP($A278,'HH &amp; SI'!$B$4:$Z$494,'HH &amp; SI'!X$503,0),0)</f>
        <v>47045.719460015716</v>
      </c>
      <c r="AQ278" s="265">
        <f>IFERROR(VLOOKUP($A278,'HH &amp; SI'!$B$4:$Z$494,'HH &amp; SI'!Y$503,0),0)</f>
        <v>43708.37121598691</v>
      </c>
      <c r="AR278" s="266">
        <f t="shared" si="369"/>
        <v>189013.24181922848</v>
      </c>
      <c r="AS278" s="347"/>
      <c r="AT278" s="324">
        <f>IFERROR(VLOOKUP(A278,'Afton FY16 Final'!$A$5:$BV$572,'Afton FY16 Final'!$BV$587,0),0)</f>
        <v>186581.60613473959</v>
      </c>
      <c r="AU278" s="347"/>
      <c r="AV278" s="454">
        <v>0</v>
      </c>
      <c r="AW278" s="265">
        <f>IFERROR(VLOOKUP($A278,'HH &amp; SI'!$B$4:$EY$503,'HH &amp; SI'!EX$503,0),0)</f>
        <v>2431.6356844888942</v>
      </c>
      <c r="AX278" s="265">
        <f>IFERROR(VLOOKUP($A278,'HH &amp; SI'!$B$4:$EY$503,'HH &amp; SI'!EY$503,0),0)</f>
        <v>186581.60613473959</v>
      </c>
      <c r="AY278" s="265">
        <f>AX278/$AX$582*'update_State Admin 1004(b)'!$B$30*0.01</f>
        <v>1785.7200050596666</v>
      </c>
      <c r="AZ278" s="266">
        <f t="shared" si="370"/>
        <v>184795.88612967992</v>
      </c>
      <c r="BA278" s="264">
        <f t="shared" si="371"/>
        <v>1847.9588612967991</v>
      </c>
      <c r="BB278" s="265">
        <f t="shared" si="372"/>
        <v>182947.92726838312</v>
      </c>
      <c r="BC278" s="342">
        <f t="shared" si="381"/>
        <v>0.98052498881517602</v>
      </c>
      <c r="BD278" s="347"/>
      <c r="BE278" s="377" t="str">
        <f>'Original Title I &amp; II'!AZ278</f>
        <v/>
      </c>
      <c r="BF278" s="244" t="str">
        <f t="shared" si="390"/>
        <v/>
      </c>
      <c r="BG278" s="266">
        <f t="shared" si="364"/>
        <v>182947.92726838312</v>
      </c>
      <c r="BI278" s="203" t="str">
        <f>IFERROR(VLOOKUP(A278,'Title II Hold Harmless'!A$1:B$439,2, FALSE),"")</f>
        <v/>
      </c>
      <c r="BJ278" s="203">
        <f t="shared" si="373"/>
        <v>2470.1035662209874</v>
      </c>
      <c r="BK278" s="203">
        <f t="shared" si="374"/>
        <v>2472.4931243025471</v>
      </c>
      <c r="BL278" s="203" t="str">
        <f t="shared" si="377"/>
        <v/>
      </c>
      <c r="BM278" s="203">
        <f t="shared" si="378"/>
        <v>2472.4931243025471</v>
      </c>
      <c r="BN278" s="200"/>
      <c r="BP278" s="298" t="s">
        <v>1448</v>
      </c>
      <c r="BQ278" s="299" t="str">
        <f t="shared" si="382"/>
        <v>Y</v>
      </c>
      <c r="BR278" s="300" t="s">
        <v>1448</v>
      </c>
      <c r="BT278" s="298" t="str">
        <f t="shared" si="383"/>
        <v>Y</v>
      </c>
      <c r="BU278" s="299" t="str">
        <f t="shared" si="375"/>
        <v>Y</v>
      </c>
      <c r="BV278" s="299" t="str">
        <f t="shared" si="376"/>
        <v>Y</v>
      </c>
      <c r="BW278" s="300" t="str">
        <f t="shared" si="384"/>
        <v>Y</v>
      </c>
      <c r="BY278" s="355">
        <f t="shared" si="385"/>
        <v>0</v>
      </c>
      <c r="BZ278" s="356">
        <f t="shared" si="386"/>
        <v>0</v>
      </c>
      <c r="CA278" s="356">
        <f t="shared" si="387"/>
        <v>0.95</v>
      </c>
      <c r="CB278" s="357">
        <f t="shared" si="388"/>
        <v>0.95</v>
      </c>
      <c r="CD278" s="312">
        <f t="shared" si="389"/>
        <v>273</v>
      </c>
    </row>
    <row r="279" spans="1:82" s="48" customFormat="1" outlineLevel="1" x14ac:dyDescent="0.3">
      <c r="A279" s="202">
        <v>78765000</v>
      </c>
      <c r="B279" s="48">
        <f>VLOOKUP(C279,'NCES ID'!$A$2:$B$3136,2,FALSE)</f>
        <v>400227</v>
      </c>
      <c r="C279" s="48">
        <f>VLOOKUP(A279,'State ID'!$A$2:$B$713,2,FALSE)</f>
        <v>78965</v>
      </c>
      <c r="D279" s="48" t="s">
        <v>235</v>
      </c>
      <c r="E279" s="48" t="s">
        <v>7</v>
      </c>
      <c r="F279" s="755"/>
      <c r="G279" s="755"/>
      <c r="H279" s="755"/>
      <c r="I279" s="755"/>
      <c r="J279" s="755"/>
      <c r="K279" s="755"/>
      <c r="L279" s="454"/>
      <c r="M279" s="455"/>
      <c r="N279" s="456"/>
      <c r="O279" s="209">
        <f>VLOOKUP($C279,'Final SEA Counts'!$A$2:$F$709,5,FALSE)</f>
        <v>165</v>
      </c>
      <c r="P279" s="223">
        <f>VLOOKUP($C279,'Final SEA Counts'!$A$2:$F$709,6,FALSE)</f>
        <v>146</v>
      </c>
      <c r="Q279" s="749"/>
      <c r="R279" s="454">
        <f t="shared" si="353"/>
        <v>165</v>
      </c>
      <c r="S279" s="455">
        <f t="shared" si="391"/>
        <v>72.288399314484792</v>
      </c>
      <c r="T279" s="230">
        <f t="shared" si="355"/>
        <v>0.43811151099687751</v>
      </c>
      <c r="U279" s="264" t="str">
        <f>IFERROR(VLOOKUP($B279,#REF!,8,FALSE),"")</f>
        <v/>
      </c>
      <c r="V279" s="265" t="str">
        <f>IFERROR(VLOOKUP($B279,#REF!,9,FALSE),"")</f>
        <v/>
      </c>
      <c r="W279" s="265" t="str">
        <f>IFERROR(VLOOKUP($B279,#REF!,10,FALSE),"")</f>
        <v/>
      </c>
      <c r="X279" s="265" t="str">
        <f>IFERROR(VLOOKUP($B279,#REF!,11,FALSE),"")</f>
        <v/>
      </c>
      <c r="Y279" s="266" t="str">
        <f>IFERROR(VLOOKUP($B279,#REF!,12,FALSE),"")</f>
        <v/>
      </c>
      <c r="Z279" s="265">
        <f t="shared" si="392"/>
        <v>34918.766992204059</v>
      </c>
      <c r="AA279" s="265">
        <f t="shared" si="393"/>
        <v>7221.1448600535286</v>
      </c>
      <c r="AB279" s="265">
        <f t="shared" si="394"/>
        <v>20436.627021451568</v>
      </c>
      <c r="AC279" s="266">
        <f t="shared" si="395"/>
        <v>19023.815211697769</v>
      </c>
      <c r="AD279" s="265">
        <f t="shared" si="365"/>
        <v>34918.766992204059</v>
      </c>
      <c r="AE279" s="265">
        <f t="shared" si="366"/>
        <v>7221.1448600535286</v>
      </c>
      <c r="AF279" s="265">
        <f t="shared" si="367"/>
        <v>20436.627021451568</v>
      </c>
      <c r="AG279" s="266">
        <f t="shared" si="368"/>
        <v>19023.815211697769</v>
      </c>
      <c r="AH279" s="265">
        <f t="shared" si="396"/>
        <v>34918.766992204059</v>
      </c>
      <c r="AI279" s="265">
        <f t="shared" si="397"/>
        <v>9351.9662428842421</v>
      </c>
      <c r="AJ279" s="265">
        <f t="shared" si="398"/>
        <v>20461.967666671826</v>
      </c>
      <c r="AK279" s="265">
        <f t="shared" si="399"/>
        <v>19047.40402366317</v>
      </c>
      <c r="AL279" s="266">
        <f t="shared" si="400"/>
        <v>83780.104925423293</v>
      </c>
      <c r="AM279" s="347"/>
      <c r="AN279" s="264">
        <f>IFERROR(VLOOKUP($A279,'HH &amp; SI'!$B$4:$Z$494,'HH &amp; SI'!V$503,0),0)</f>
        <v>59635.187751111793</v>
      </c>
      <c r="AO279" s="265">
        <f>IFERROR(VLOOKUP($A279,'HH &amp; SI'!$B$4:$Z$494,'HH &amp; SI'!W$503,0),0)</f>
        <v>11407.526636685598</v>
      </c>
      <c r="AP279" s="265">
        <f>IFERROR(VLOOKUP($A279,'HH &amp; SI'!$B$4:$Z$494,'HH &amp; SI'!X$503,0),0)</f>
        <v>29917.871670072847</v>
      </c>
      <c r="AQ279" s="265">
        <f>IFERROR(VLOOKUP($A279,'HH &amp; SI'!$B$4:$Z$494,'HH &amp; SI'!Y$503,0),0)</f>
        <v>28075.665637848273</v>
      </c>
      <c r="AR279" s="266">
        <f t="shared" si="369"/>
        <v>129036.25169571851</v>
      </c>
      <c r="AS279" s="347"/>
      <c r="AT279" s="324">
        <f>IFERROR(VLOOKUP(A279,'Afton FY16 Final'!$A$5:$BV$572,'Afton FY16 Final'!$BV$587,0),0)</f>
        <v>133153.18728547299</v>
      </c>
      <c r="AU279" s="347"/>
      <c r="AV279" s="454">
        <v>0</v>
      </c>
      <c r="AW279" s="265">
        <f>IFERROR(VLOOKUP($A279,'HH &amp; SI'!$B$4:$EY$503,'HH &amp; SI'!EX$503,0),0)</f>
        <v>0</v>
      </c>
      <c r="AX279" s="265">
        <f>IFERROR(VLOOKUP($A279,'HH &amp; SI'!$B$4:$EY$503,'HH &amp; SI'!EY$503,0),0)</f>
        <v>129036.25169571851</v>
      </c>
      <c r="AY279" s="265">
        <f>AX279/$AX$582*'update_State Admin 1004(b)'!$B$30*0.01</f>
        <v>1234.9696243077658</v>
      </c>
      <c r="AZ279" s="266">
        <f t="shared" si="370"/>
        <v>127801.28207141075</v>
      </c>
      <c r="BA279" s="264">
        <f t="shared" si="371"/>
        <v>1278.0128207141076</v>
      </c>
      <c r="BB279" s="265">
        <f t="shared" si="372"/>
        <v>126523.26925069664</v>
      </c>
      <c r="BC279" s="342">
        <f t="shared" si="381"/>
        <v>0.95020834146041</v>
      </c>
      <c r="BD279" s="347"/>
      <c r="BE279" s="377">
        <f>'Original Title I &amp; II'!AZ279</f>
        <v>0</v>
      </c>
      <c r="BF279" s="244" t="str">
        <f t="shared" si="390"/>
        <v/>
      </c>
      <c r="BG279" s="266">
        <f t="shared" si="364"/>
        <v>126523.26925069664</v>
      </c>
      <c r="BI279" s="203" t="str">
        <f>IFERROR(VLOOKUP(A279,'Title II Hold Harmless'!A$1:B$439,2, FALSE),"")</f>
        <v/>
      </c>
      <c r="BJ279" s="203">
        <f t="shared" si="373"/>
        <v>1079.1116090509749</v>
      </c>
      <c r="BK279" s="203">
        <f t="shared" si="374"/>
        <v>1080.1555328368336</v>
      </c>
      <c r="BL279" s="203" t="str">
        <f t="shared" si="377"/>
        <v/>
      </c>
      <c r="BM279" s="203">
        <f t="shared" si="378"/>
        <v>1080.1555328368336</v>
      </c>
      <c r="BN279" s="200"/>
      <c r="BP279" s="298" t="s">
        <v>1448</v>
      </c>
      <c r="BQ279" s="299" t="str">
        <f t="shared" si="382"/>
        <v>Y</v>
      </c>
      <c r="BR279" s="300" t="s">
        <v>1448</v>
      </c>
      <c r="BT279" s="298" t="str">
        <f t="shared" si="383"/>
        <v>Y</v>
      </c>
      <c r="BU279" s="299" t="str">
        <f t="shared" si="375"/>
        <v>Y</v>
      </c>
      <c r="BV279" s="299" t="str">
        <f t="shared" si="376"/>
        <v>Y</v>
      </c>
      <c r="BW279" s="300" t="str">
        <f t="shared" si="384"/>
        <v>Y</v>
      </c>
      <c r="BY279" s="355">
        <f t="shared" si="385"/>
        <v>0</v>
      </c>
      <c r="BZ279" s="356">
        <f t="shared" si="386"/>
        <v>0</v>
      </c>
      <c r="CA279" s="356">
        <f t="shared" si="387"/>
        <v>0.95</v>
      </c>
      <c r="CB279" s="357">
        <f t="shared" si="388"/>
        <v>0.95</v>
      </c>
      <c r="CD279" s="312">
        <f t="shared" si="389"/>
        <v>274</v>
      </c>
    </row>
    <row r="280" spans="1:82" s="48" customFormat="1" outlineLevel="1" x14ac:dyDescent="0.3">
      <c r="A280" s="202">
        <v>78952000</v>
      </c>
      <c r="B280" s="48">
        <f>VLOOKUP(C280,'NCES ID'!$A$2:$B$3136,2,FALSE)</f>
        <v>400386</v>
      </c>
      <c r="C280" s="48">
        <f>VLOOKUP(A280,'State ID'!$A$2:$B$713,2,FALSE)</f>
        <v>79876</v>
      </c>
      <c r="D280" s="48" t="s">
        <v>236</v>
      </c>
      <c r="E280" s="48" t="s">
        <v>7</v>
      </c>
      <c r="F280" s="755"/>
      <c r="G280" s="755"/>
      <c r="H280" s="755"/>
      <c r="I280" s="755"/>
      <c r="J280" s="755"/>
      <c r="K280" s="755"/>
      <c r="L280" s="454"/>
      <c r="M280" s="455"/>
      <c r="N280" s="456"/>
      <c r="O280" s="209">
        <f>VLOOKUP($C280,'Final SEA Counts'!$A$2:$F$709,5,FALSE)</f>
        <v>184</v>
      </c>
      <c r="P280" s="223">
        <f>VLOOKUP($C280,'Final SEA Counts'!$A$2:$F$709,6,FALSE)</f>
        <v>183</v>
      </c>
      <c r="Q280" s="749"/>
      <c r="R280" s="454">
        <f t="shared" si="353"/>
        <v>184</v>
      </c>
      <c r="S280" s="455">
        <f t="shared" si="391"/>
        <v>90.60806215445696</v>
      </c>
      <c r="T280" s="230">
        <f t="shared" si="355"/>
        <v>0.49243512040465737</v>
      </c>
      <c r="U280" s="264" t="str">
        <f>IFERROR(VLOOKUP($B280,#REF!,8,FALSE),"")</f>
        <v/>
      </c>
      <c r="V280" s="265" t="str">
        <f>IFERROR(VLOOKUP($B280,#REF!,9,FALSE),"")</f>
        <v/>
      </c>
      <c r="W280" s="265" t="str">
        <f>IFERROR(VLOOKUP($B280,#REF!,10,FALSE),"")</f>
        <v/>
      </c>
      <c r="X280" s="265" t="str">
        <f>IFERROR(VLOOKUP($B280,#REF!,11,FALSE),"")</f>
        <v/>
      </c>
      <c r="Y280" s="266" t="str">
        <f>IFERROR(VLOOKUP($B280,#REF!,12,FALSE),"")</f>
        <v/>
      </c>
      <c r="Z280" s="265">
        <f t="shared" si="392"/>
        <v>43768.043558721518</v>
      </c>
      <c r="AA280" s="265">
        <f t="shared" si="393"/>
        <v>9051.1610232177773</v>
      </c>
      <c r="AB280" s="265">
        <f t="shared" si="394"/>
        <v>25615.772225518056</v>
      </c>
      <c r="AC280" s="266">
        <f t="shared" si="395"/>
        <v>23844.919066717066</v>
      </c>
      <c r="AD280" s="265">
        <f t="shared" si="365"/>
        <v>43768.043558721518</v>
      </c>
      <c r="AE280" s="265">
        <f t="shared" si="366"/>
        <v>9051.1610232177773</v>
      </c>
      <c r="AF280" s="265">
        <f t="shared" si="367"/>
        <v>25615.772225518056</v>
      </c>
      <c r="AG280" s="266">
        <f t="shared" si="368"/>
        <v>23844.919066717066</v>
      </c>
      <c r="AH280" s="265">
        <f t="shared" si="396"/>
        <v>43768.043558721518</v>
      </c>
      <c r="AI280" s="265">
        <f t="shared" si="397"/>
        <v>11181.98240604849</v>
      </c>
      <c r="AJ280" s="265">
        <f t="shared" si="398"/>
        <v>25641.112870738314</v>
      </c>
      <c r="AK280" s="265">
        <f t="shared" si="399"/>
        <v>23868.507878682467</v>
      </c>
      <c r="AL280" s="266">
        <f t="shared" si="400"/>
        <v>104459.64671419078</v>
      </c>
      <c r="AM280" s="347"/>
      <c r="AN280" s="264">
        <f>IFERROR(VLOOKUP($A280,'HH &amp; SI'!$B$4:$Z$494,'HH &amp; SI'!V$503,0),0)</f>
        <v>57976.170368158666</v>
      </c>
      <c r="AO280" s="265">
        <f>IFERROR(VLOOKUP($A280,'HH &amp; SI'!$B$4:$Z$494,'HH &amp; SI'!W$503,0),0)</f>
        <v>12506.677214013769</v>
      </c>
      <c r="AP280" s="265">
        <f>IFERROR(VLOOKUP($A280,'HH &amp; SI'!$B$4:$Z$494,'HH &amp; SI'!X$503,0),0)</f>
        <v>30739.812595361829</v>
      </c>
      <c r="AQ280" s="265">
        <f>IFERROR(VLOOKUP($A280,'HH &amp; SI'!$B$4:$Z$494,'HH &amp; SI'!Y$503,0),0)</f>
        <v>29617.597836567329</v>
      </c>
      <c r="AR280" s="266">
        <f t="shared" si="369"/>
        <v>130840.25801410159</v>
      </c>
      <c r="AS280" s="347"/>
      <c r="AT280" s="324">
        <f>IFERROR(VLOOKUP(A280,'Afton FY16 Final'!$A$5:$BV$572,'Afton FY16 Final'!$BV$587,0),0)</f>
        <v>135014.75090049711</v>
      </c>
      <c r="AU280" s="347"/>
      <c r="AV280" s="454">
        <v>0</v>
      </c>
      <c r="AW280" s="265">
        <f>IFERROR(VLOOKUP($A280,'HH &amp; SI'!$B$4:$EY$503,'HH &amp; SI'!EX$503,0),0)</f>
        <v>0</v>
      </c>
      <c r="AX280" s="265">
        <f>IFERROR(VLOOKUP($A280,'HH &amp; SI'!$B$4:$EY$503,'HH &amp; SI'!EY$503,0),0)</f>
        <v>130840.25801410159</v>
      </c>
      <c r="AY280" s="265">
        <f>AX280/$AX$582*'update_State Admin 1004(b)'!$B$30*0.01</f>
        <v>1252.235260716021</v>
      </c>
      <c r="AZ280" s="266">
        <f t="shared" si="370"/>
        <v>129588.02275338557</v>
      </c>
      <c r="BA280" s="264">
        <f t="shared" si="371"/>
        <v>1295.8802275338558</v>
      </c>
      <c r="BB280" s="265">
        <f t="shared" si="372"/>
        <v>128292.14252585171</v>
      </c>
      <c r="BC280" s="342">
        <f t="shared" si="381"/>
        <v>0.95020834146040967</v>
      </c>
      <c r="BD280" s="347"/>
      <c r="BE280" s="377" t="str">
        <f>'Original Title I &amp; II'!AZ280</f>
        <v/>
      </c>
      <c r="BF280" s="244" t="str">
        <f t="shared" si="390"/>
        <v/>
      </c>
      <c r="BG280" s="266">
        <f t="shared" si="364"/>
        <v>128292.14252585171</v>
      </c>
      <c r="BI280" s="203" t="str">
        <f>IFERROR(VLOOKUP(A280,'Title II Hold Harmless'!A$1:B$439,2, FALSE),"")</f>
        <v/>
      </c>
      <c r="BJ280" s="203">
        <f t="shared" si="373"/>
        <v>1334.2235389769273</v>
      </c>
      <c r="BK280" s="203">
        <f t="shared" ref="BK280:BK311" si="401">$BI$588*BJ280</f>
        <v>1335.5142559670035</v>
      </c>
      <c r="BL280" s="203" t="str">
        <f t="shared" si="377"/>
        <v/>
      </c>
      <c r="BM280" s="203">
        <f t="shared" si="378"/>
        <v>1335.5142559670035</v>
      </c>
      <c r="BN280" s="200"/>
      <c r="BP280" s="298" t="s">
        <v>1448</v>
      </c>
      <c r="BQ280" s="299" t="str">
        <f t="shared" si="382"/>
        <v>Y</v>
      </c>
      <c r="BR280" s="300" t="s">
        <v>1448</v>
      </c>
      <c r="BT280" s="298" t="str">
        <f t="shared" si="383"/>
        <v>Y</v>
      </c>
      <c r="BU280" s="299" t="str">
        <f t="shared" si="375"/>
        <v>Y</v>
      </c>
      <c r="BV280" s="299" t="str">
        <f t="shared" si="376"/>
        <v>Y</v>
      </c>
      <c r="BW280" s="300" t="str">
        <f t="shared" si="384"/>
        <v>Y</v>
      </c>
      <c r="BY280" s="355">
        <f t="shared" si="385"/>
        <v>0</v>
      </c>
      <c r="BZ280" s="356">
        <f t="shared" si="386"/>
        <v>0</v>
      </c>
      <c r="CA280" s="356">
        <f t="shared" si="387"/>
        <v>0.95</v>
      </c>
      <c r="CB280" s="357">
        <f t="shared" si="388"/>
        <v>0.95</v>
      </c>
      <c r="CD280" s="312">
        <f t="shared" si="389"/>
        <v>275</v>
      </c>
    </row>
    <row r="281" spans="1:82" s="48" customFormat="1" outlineLevel="1" x14ac:dyDescent="0.3">
      <c r="A281" s="202">
        <v>78954000</v>
      </c>
      <c r="B281" s="48">
        <f>VLOOKUP(C281,'NCES ID'!$A$2:$B$3136,2,FALSE)</f>
        <v>400387</v>
      </c>
      <c r="C281" s="48">
        <f>VLOOKUP(A281,'State ID'!$A$2:$B$713,2,FALSE)</f>
        <v>79878</v>
      </c>
      <c r="D281" s="48" t="s">
        <v>237</v>
      </c>
      <c r="E281" s="48" t="s">
        <v>7</v>
      </c>
      <c r="F281" s="755"/>
      <c r="G281" s="755"/>
      <c r="H281" s="755"/>
      <c r="I281" s="755"/>
      <c r="J281" s="755"/>
      <c r="K281" s="755"/>
      <c r="L281" s="454"/>
      <c r="M281" s="455"/>
      <c r="N281" s="456"/>
      <c r="O281" s="209">
        <f>VLOOKUP($C281,'AzEDS FY17 12-04-16'!$A$1:$D$712,3,FALSE)</f>
        <v>27</v>
      </c>
      <c r="P281" s="223">
        <f>VLOOKUP($C281,'AzEDS FY17 12-04-16'!$A$1:$D$712,4,FALSE)</f>
        <v>27</v>
      </c>
      <c r="Q281" s="749"/>
      <c r="R281" s="454">
        <f t="shared" si="353"/>
        <v>27</v>
      </c>
      <c r="S281" s="455">
        <f t="shared" si="391"/>
        <v>13.368402612952666</v>
      </c>
      <c r="T281" s="230">
        <f t="shared" si="355"/>
        <v>0.49512602270195061</v>
      </c>
      <c r="U281" s="264" t="str">
        <f>IFERROR(VLOOKUP($B281,#REF!,8,FALSE),"")</f>
        <v/>
      </c>
      <c r="V281" s="265" t="str">
        <f>IFERROR(VLOOKUP($B281,#REF!,9,FALSE),"")</f>
        <v/>
      </c>
      <c r="W281" s="265" t="str">
        <f>IFERROR(VLOOKUP($B281,#REF!,10,FALSE),"")</f>
        <v/>
      </c>
      <c r="X281" s="265" t="str">
        <f>IFERROR(VLOOKUP($B281,#REF!,11,FALSE),"")</f>
        <v/>
      </c>
      <c r="Y281" s="266" t="str">
        <f>IFERROR(VLOOKUP($B281,#REF!,12,FALSE),"")</f>
        <v/>
      </c>
      <c r="Z281" s="265">
        <f t="shared" si="392"/>
        <v>6457.5801971884212</v>
      </c>
      <c r="AA281" s="265">
        <f t="shared" si="393"/>
        <v>1335.4172001468853</v>
      </c>
      <c r="AB281" s="265">
        <f t="shared" si="394"/>
        <v>3779.3762299944674</v>
      </c>
      <c r="AC281" s="266">
        <f t="shared" si="395"/>
        <v>3518.1028131221901</v>
      </c>
      <c r="AD281" s="265">
        <f t="shared" si="365"/>
        <v>6457.5801971884212</v>
      </c>
      <c r="AE281" s="265">
        <f t="shared" si="366"/>
        <v>1335.4172001468853</v>
      </c>
      <c r="AF281" s="265">
        <f t="shared" si="367"/>
        <v>3779.3762299944674</v>
      </c>
      <c r="AG281" s="266">
        <f t="shared" si="368"/>
        <v>3518.1028131221901</v>
      </c>
      <c r="AH281" s="265">
        <f t="shared" si="396"/>
        <v>6457.5801971884212</v>
      </c>
      <c r="AI281" s="265">
        <f t="shared" si="397"/>
        <v>3466.2385829775976</v>
      </c>
      <c r="AJ281" s="265">
        <f t="shared" si="398"/>
        <v>3804.7168752147263</v>
      </c>
      <c r="AK281" s="265">
        <f t="shared" si="399"/>
        <v>3541.6916250875925</v>
      </c>
      <c r="AL281" s="266">
        <f t="shared" si="400"/>
        <v>17270.227280468338</v>
      </c>
      <c r="AM281" s="347"/>
      <c r="AN281" s="264">
        <f>IFERROR(VLOOKUP($A281,'HH &amp; SI'!$B$4:$Z$494,'HH &amp; SI'!V$503,0),0)</f>
        <v>6369.4946119181104</v>
      </c>
      <c r="AO281" s="265">
        <f>IFERROR(VLOOKUP($A281,'HH &amp; SI'!$B$4:$Z$494,'HH &amp; SI'!W$503,0),0)</f>
        <v>3875.4051683637053</v>
      </c>
      <c r="AP281" s="265">
        <f>IFERROR(VLOOKUP($A281,'HH &amp; SI'!$B$4:$Z$494,'HH &amp; SI'!X$503,0),0)</f>
        <v>3770.1144607301849</v>
      </c>
      <c r="AQ281" s="265">
        <f>IFERROR(VLOOKUP($A281,'HH &amp; SI'!$B$4:$Z$494,'HH &amp; SI'!Y$503,0),0)</f>
        <v>3502.6685587497154</v>
      </c>
      <c r="AR281" s="266">
        <f t="shared" si="369"/>
        <v>17517.682799761715</v>
      </c>
      <c r="AS281" s="347"/>
      <c r="AT281" s="324">
        <f>IFERROR(VLOOKUP(A281,'Afton FY16 Final'!$A$5:$BV$572,'Afton FY16 Final'!$BV$587,0),0)</f>
        <v>3983.4267179411845</v>
      </c>
      <c r="AU281" s="347"/>
      <c r="AV281" s="454">
        <v>0</v>
      </c>
      <c r="AW281" s="265">
        <f>IFERROR(VLOOKUP($A281,'HH &amp; SI'!$B$4:$EY$503,'HH &amp; SI'!EX$503,0),0)</f>
        <v>981.21973530112882</v>
      </c>
      <c r="AX281" s="265">
        <f>IFERROR(VLOOKUP($A281,'HH &amp; SI'!$B$4:$EY$503,'HH &amp; SI'!EY$503,0),0)</f>
        <v>16536.463064460586</v>
      </c>
      <c r="AY281" s="265">
        <f>AX281/$AX$582*'update_State Admin 1004(b)'!$B$30*0.01</f>
        <v>158.26583080120383</v>
      </c>
      <c r="AZ281" s="266">
        <f t="shared" si="370"/>
        <v>16378.197233659383</v>
      </c>
      <c r="BA281" s="264">
        <f t="shared" si="371"/>
        <v>163.78197233659384</v>
      </c>
      <c r="BB281" s="265">
        <f t="shared" si="372"/>
        <v>16214.415261322789</v>
      </c>
      <c r="BC281" s="342">
        <f t="shared" si="381"/>
        <v>4.0704690733467626</v>
      </c>
      <c r="BD281" s="347"/>
      <c r="BE281" s="377" t="str">
        <f>'Original Title I &amp; II'!AZ281</f>
        <v/>
      </c>
      <c r="BF281" s="244" t="str">
        <f t="shared" si="390"/>
        <v/>
      </c>
      <c r="BG281" s="266">
        <f t="shared" si="364"/>
        <v>16214.415261322789</v>
      </c>
      <c r="BI281" s="203" t="str">
        <f>IFERROR(VLOOKUP(A281,'Title II Hold Harmless'!A$1:B$439,2, FALSE),"")</f>
        <v/>
      </c>
      <c r="BJ281" s="203">
        <f t="shared" si="373"/>
        <v>196.73391235388391</v>
      </c>
      <c r="BK281" s="203">
        <f t="shared" si="401"/>
        <v>196.92423113914086</v>
      </c>
      <c r="BL281" s="203" t="str">
        <f t="shared" si="377"/>
        <v/>
      </c>
      <c r="BM281" s="203">
        <f t="shared" si="378"/>
        <v>196.92423113914086</v>
      </c>
      <c r="BN281" s="200"/>
      <c r="BP281" s="298" t="s">
        <v>1448</v>
      </c>
      <c r="BQ281" s="299" t="str">
        <f t="shared" si="382"/>
        <v>Y</v>
      </c>
      <c r="BR281" s="300" t="s">
        <v>1448</v>
      </c>
      <c r="BT281" s="298" t="str">
        <f t="shared" si="383"/>
        <v>Y</v>
      </c>
      <c r="BU281" s="299" t="str">
        <f t="shared" si="375"/>
        <v>Y</v>
      </c>
      <c r="BV281" s="299" t="str">
        <f t="shared" si="376"/>
        <v>Y</v>
      </c>
      <c r="BW281" s="300" t="str">
        <f t="shared" si="384"/>
        <v>Y</v>
      </c>
      <c r="BY281" s="355">
        <f t="shared" si="385"/>
        <v>0</v>
      </c>
      <c r="BZ281" s="356">
        <f t="shared" si="386"/>
        <v>0</v>
      </c>
      <c r="CA281" s="356">
        <f t="shared" si="387"/>
        <v>0.95</v>
      </c>
      <c r="CB281" s="357">
        <f t="shared" si="388"/>
        <v>0.95</v>
      </c>
      <c r="CD281" s="312">
        <f t="shared" si="389"/>
        <v>276</v>
      </c>
    </row>
    <row r="282" spans="1:82" s="48" customFormat="1" outlineLevel="1" x14ac:dyDescent="0.3">
      <c r="A282" s="202">
        <v>78946000</v>
      </c>
      <c r="B282" s="48">
        <f>VLOOKUP(C282,'NCES ID'!$A$2:$B$3136,2,FALSE)</f>
        <v>400351</v>
      </c>
      <c r="C282" s="48">
        <f>VLOOKUP(A282,'State ID'!$A$2:$B$713,2,FALSE)</f>
        <v>79871</v>
      </c>
      <c r="D282" s="48" t="s">
        <v>238</v>
      </c>
      <c r="E282" s="48" t="s">
        <v>7</v>
      </c>
      <c r="F282" s="755"/>
      <c r="G282" s="755"/>
      <c r="H282" s="755"/>
      <c r="I282" s="755"/>
      <c r="J282" s="755"/>
      <c r="K282" s="755"/>
      <c r="L282" s="454"/>
      <c r="M282" s="455"/>
      <c r="N282" s="456"/>
      <c r="O282" s="209">
        <f>VLOOKUP($C282,'Final SEA Counts'!$A$2:$F$709,5,FALSE)</f>
        <v>63</v>
      </c>
      <c r="P282" s="223">
        <f>VLOOKUP($C282,'Final SEA Counts'!$A$2:$F$709,6,FALSE)</f>
        <v>61</v>
      </c>
      <c r="Q282" s="749"/>
      <c r="R282" s="454">
        <f t="shared" si="353"/>
        <v>63</v>
      </c>
      <c r="S282" s="455">
        <f t="shared" si="391"/>
        <v>30.202687384818987</v>
      </c>
      <c r="T282" s="230">
        <f t="shared" si="355"/>
        <v>0.47940773626696803</v>
      </c>
      <c r="U282" s="264" t="str">
        <f>IFERROR(VLOOKUP($B282,#REF!,8,FALSE),"")</f>
        <v/>
      </c>
      <c r="V282" s="265" t="str">
        <f>IFERROR(VLOOKUP($B282,#REF!,9,FALSE),"")</f>
        <v/>
      </c>
      <c r="W282" s="265" t="str">
        <f>IFERROR(VLOOKUP($B282,#REF!,10,FALSE),"")</f>
        <v/>
      </c>
      <c r="X282" s="265" t="str">
        <f>IFERROR(VLOOKUP($B282,#REF!,11,FALSE),"")</f>
        <v/>
      </c>
      <c r="Y282" s="266" t="str">
        <f>IFERROR(VLOOKUP($B282,#REF!,12,FALSE),"")</f>
        <v/>
      </c>
      <c r="Z282" s="265">
        <f t="shared" si="392"/>
        <v>14589.347852907173</v>
      </c>
      <c r="AA282" s="265">
        <f t="shared" si="393"/>
        <v>3017.0536744059259</v>
      </c>
      <c r="AB282" s="265">
        <f t="shared" si="394"/>
        <v>8538.5907418393526</v>
      </c>
      <c r="AC282" s="266">
        <f t="shared" si="395"/>
        <v>7948.3063555723556</v>
      </c>
      <c r="AD282" s="265">
        <f t="shared" si="365"/>
        <v>14589.347852907173</v>
      </c>
      <c r="AE282" s="265">
        <f t="shared" si="366"/>
        <v>3017.0536744059259</v>
      </c>
      <c r="AF282" s="265">
        <f t="shared" si="367"/>
        <v>8538.5907418393526</v>
      </c>
      <c r="AG282" s="266">
        <f t="shared" si="368"/>
        <v>7948.3063555723556</v>
      </c>
      <c r="AH282" s="265">
        <f t="shared" si="396"/>
        <v>14589.347852907173</v>
      </c>
      <c r="AI282" s="265">
        <f t="shared" si="397"/>
        <v>5147.8750572366389</v>
      </c>
      <c r="AJ282" s="265">
        <f t="shared" si="398"/>
        <v>8563.9313870596125</v>
      </c>
      <c r="AK282" s="265">
        <f t="shared" si="399"/>
        <v>7971.8951675377584</v>
      </c>
      <c r="AL282" s="266">
        <f t="shared" si="400"/>
        <v>36273.049464741183</v>
      </c>
      <c r="AM282" s="347"/>
      <c r="AN282" s="264">
        <f>IFERROR(VLOOKUP($A282,'HH &amp; SI'!$B$4:$Z$494,'HH &amp; SI'!V$503,0),0)</f>
        <v>15894.290036455917</v>
      </c>
      <c r="AO282" s="265">
        <f>IFERROR(VLOOKUP($A282,'HH &amp; SI'!$B$4:$Z$494,'HH &amp; SI'!W$503,0),0)</f>
        <v>4978.322873972862</v>
      </c>
      <c r="AP282" s="265">
        <f>IFERROR(VLOOKUP($A282,'HH &amp; SI'!$B$4:$Z$494,'HH &amp; SI'!X$503,0),0)</f>
        <v>8486.0457747548899</v>
      </c>
      <c r="AQ282" s="265">
        <f>IFERROR(VLOOKUP($A282,'HH &amp; SI'!$B$4:$Z$494,'HH &amp; SI'!Y$503,0),0)</f>
        <v>8119.7272466974391</v>
      </c>
      <c r="AR282" s="266">
        <f t="shared" si="369"/>
        <v>37478.385931881108</v>
      </c>
      <c r="AS282" s="347"/>
      <c r="AT282" s="324">
        <f>IFERROR(VLOOKUP(A282,'Afton FY16 Final'!$A$5:$BV$572,'Afton FY16 Final'!$BV$587,0),0)</f>
        <v>38095.174585192748</v>
      </c>
      <c r="AU282" s="347"/>
      <c r="AV282" s="454">
        <v>0</v>
      </c>
      <c r="AW282" s="265">
        <f>IFERROR(VLOOKUP($A282,'HH &amp; SI'!$B$4:$EY$503,'HH &amp; SI'!EX$503,0),0)</f>
        <v>0</v>
      </c>
      <c r="AX282" s="265">
        <f>IFERROR(VLOOKUP($A282,'HH &amp; SI'!$B$4:$EY$503,'HH &amp; SI'!EY$503,0),0)</f>
        <v>37478.385931881108</v>
      </c>
      <c r="AY282" s="265">
        <f>AX282/$AX$582*'update_State Admin 1004(b)'!$B$30*0.01</f>
        <v>358.69507666032445</v>
      </c>
      <c r="AZ282" s="266">
        <f t="shared" si="370"/>
        <v>37119.690855220782</v>
      </c>
      <c r="BA282" s="264">
        <f t="shared" si="371"/>
        <v>371.19690855220784</v>
      </c>
      <c r="BB282" s="265">
        <f t="shared" si="372"/>
        <v>36748.493946668576</v>
      </c>
      <c r="BC282" s="342">
        <f t="shared" si="381"/>
        <v>0.96464957430467813</v>
      </c>
      <c r="BD282" s="347"/>
      <c r="BE282" s="377" t="str">
        <f>'Original Title I &amp; II'!AZ282</f>
        <v/>
      </c>
      <c r="BF282" s="244" t="str">
        <f t="shared" si="390"/>
        <v/>
      </c>
      <c r="BG282" s="266">
        <f t="shared" si="364"/>
        <v>36748.493946668576</v>
      </c>
      <c r="BI282" s="203" t="str">
        <f>IFERROR(VLOOKUP(A282,'Title II Hold Harmless'!A$1:B$439,2, FALSE),"")</f>
        <v/>
      </c>
      <c r="BJ282" s="203">
        <f t="shared" si="373"/>
        <v>446.08251247479535</v>
      </c>
      <c r="BK282" s="203">
        <f t="shared" si="401"/>
        <v>446.51404906593405</v>
      </c>
      <c r="BL282" s="203" t="str">
        <f t="shared" si="377"/>
        <v/>
      </c>
      <c r="BM282" s="203">
        <f t="shared" si="378"/>
        <v>446.51404906593405</v>
      </c>
      <c r="BN282" s="200"/>
      <c r="BP282" s="298" t="s">
        <v>1448</v>
      </c>
      <c r="BQ282" s="299" t="str">
        <f t="shared" si="382"/>
        <v>Y</v>
      </c>
      <c r="BR282" s="300" t="s">
        <v>1448</v>
      </c>
      <c r="BT282" s="298" t="str">
        <f t="shared" si="383"/>
        <v>Y</v>
      </c>
      <c r="BU282" s="299" t="str">
        <f t="shared" si="375"/>
        <v>Y</v>
      </c>
      <c r="BV282" s="299" t="str">
        <f t="shared" si="376"/>
        <v>Y</v>
      </c>
      <c r="BW282" s="300" t="str">
        <f t="shared" si="384"/>
        <v>Y</v>
      </c>
      <c r="BY282" s="355">
        <f t="shared" si="385"/>
        <v>0</v>
      </c>
      <c r="BZ282" s="356">
        <f t="shared" si="386"/>
        <v>0</v>
      </c>
      <c r="CA282" s="356">
        <f t="shared" si="387"/>
        <v>0.95</v>
      </c>
      <c r="CB282" s="357">
        <f t="shared" si="388"/>
        <v>0.95</v>
      </c>
      <c r="CD282" s="312">
        <f t="shared" si="389"/>
        <v>277</v>
      </c>
    </row>
    <row r="283" spans="1:82" s="48" customFormat="1" outlineLevel="1" x14ac:dyDescent="0.3">
      <c r="A283" s="202">
        <v>78567000</v>
      </c>
      <c r="B283" s="48">
        <f>VLOOKUP(C283,'NCES ID'!$A$2:$B$3136,2,FALSE)</f>
        <v>400787</v>
      </c>
      <c r="C283" s="48">
        <f>VLOOKUP(A283,'State ID'!$A$2:$B$713,2,FALSE)</f>
        <v>90330</v>
      </c>
      <c r="D283" s="48" t="s">
        <v>238</v>
      </c>
      <c r="E283" s="48" t="s">
        <v>7</v>
      </c>
      <c r="F283" s="755"/>
      <c r="G283" s="755"/>
      <c r="H283" s="755"/>
      <c r="I283" s="755"/>
      <c r="J283" s="755"/>
      <c r="K283" s="755"/>
      <c r="L283" s="454"/>
      <c r="M283" s="455"/>
      <c r="N283" s="456"/>
      <c r="O283" s="209">
        <f>VLOOKUP($C283,'Final SEA Counts'!$A$2:$F$709,5,FALSE)</f>
        <v>310</v>
      </c>
      <c r="P283" s="223">
        <f>VLOOKUP($C283,'Final SEA Counts'!$A$2:$F$709,6,FALSE)</f>
        <v>310</v>
      </c>
      <c r="Q283" s="749"/>
      <c r="R283" s="454">
        <f t="shared" si="353"/>
        <v>310</v>
      </c>
      <c r="S283" s="455">
        <f t="shared" si="391"/>
        <v>153.48906703760468</v>
      </c>
      <c r="T283" s="230">
        <f t="shared" si="355"/>
        <v>0.49512602270195061</v>
      </c>
      <c r="U283" s="264" t="str">
        <f>IFERROR(VLOOKUP($B283,#REF!,8,FALSE),"")</f>
        <v/>
      </c>
      <c r="V283" s="265" t="str">
        <f>IFERROR(VLOOKUP($B283,#REF!,9,FALSE),"")</f>
        <v/>
      </c>
      <c r="W283" s="265" t="str">
        <f>IFERROR(VLOOKUP($B283,#REF!,10,FALSE),"")</f>
        <v/>
      </c>
      <c r="X283" s="265" t="str">
        <f>IFERROR(VLOOKUP($B283,#REF!,11,FALSE),"")</f>
        <v/>
      </c>
      <c r="Y283" s="266" t="str">
        <f>IFERROR(VLOOKUP($B283,#REF!,12,FALSE),"")</f>
        <v/>
      </c>
      <c r="Z283" s="265">
        <f t="shared" si="392"/>
        <v>74142.587449200379</v>
      </c>
      <c r="AA283" s="265">
        <f t="shared" si="393"/>
        <v>15332.567853538312</v>
      </c>
      <c r="AB283" s="265">
        <f t="shared" si="394"/>
        <v>43392.838196232777</v>
      </c>
      <c r="AC283" s="266">
        <f t="shared" si="395"/>
        <v>40393.032298810329</v>
      </c>
      <c r="AD283" s="265">
        <f t="shared" si="365"/>
        <v>74142.587449200379</v>
      </c>
      <c r="AE283" s="265">
        <f t="shared" si="366"/>
        <v>15332.567853538312</v>
      </c>
      <c r="AF283" s="265">
        <f t="shared" si="367"/>
        <v>43392.838196232777</v>
      </c>
      <c r="AG283" s="266">
        <f t="shared" si="368"/>
        <v>40393.032298810329</v>
      </c>
      <c r="AH283" s="265">
        <f t="shared" si="396"/>
        <v>74142.587449200379</v>
      </c>
      <c r="AI283" s="265">
        <f t="shared" si="397"/>
        <v>17463.389236369025</v>
      </c>
      <c r="AJ283" s="265">
        <f t="shared" si="398"/>
        <v>43418.178841453038</v>
      </c>
      <c r="AK283" s="265">
        <f t="shared" si="399"/>
        <v>40416.621110775734</v>
      </c>
      <c r="AL283" s="266">
        <f t="shared" si="400"/>
        <v>175440.77663779818</v>
      </c>
      <c r="AM283" s="347"/>
      <c r="AN283" s="264">
        <f>IFERROR(VLOOKUP($A283,'HH &amp; SI'!$B$4:$Z$494,'HH &amp; SI'!V$503,0),0)</f>
        <v>75452.798265477832</v>
      </c>
      <c r="AO283" s="265">
        <f>IFERROR(VLOOKUP($A283,'HH &amp; SI'!$B$4:$Z$494,'HH &amp; SI'!W$503,0),0)</f>
        <v>16888.209042737642</v>
      </c>
      <c r="AP283" s="265">
        <f>IFERROR(VLOOKUP($A283,'HH &amp; SI'!$B$4:$Z$494,'HH &amp; SI'!X$503,0),0)</f>
        <v>43023.307456876988</v>
      </c>
      <c r="AQ283" s="265">
        <f>IFERROR(VLOOKUP($A283,'HH &amp; SI'!$B$4:$Z$494,'HH &amp; SI'!Y$503,0),0)</f>
        <v>39971.302699769345</v>
      </c>
      <c r="AR283" s="266">
        <f t="shared" si="369"/>
        <v>175335.6174648618</v>
      </c>
      <c r="AS283" s="347"/>
      <c r="AT283" s="324">
        <f>IFERROR(VLOOKUP(A283,'Afton FY16 Final'!$A$5:$BV$572,'Afton FY16 Final'!$BV$587,0),0)</f>
        <v>175502.75028111759</v>
      </c>
      <c r="AU283" s="347"/>
      <c r="AV283" s="454">
        <v>0</v>
      </c>
      <c r="AW283" s="265">
        <f>IFERROR(VLOOKUP($A283,'HH &amp; SI'!$B$4:$EY$503,'HH &amp; SI'!EX$503,0),0)</f>
        <v>0</v>
      </c>
      <c r="AX283" s="265">
        <f>IFERROR(VLOOKUP($A283,'HH &amp; SI'!$B$4:$EY$503,'HH &amp; SI'!EY$503,0),0)</f>
        <v>175335.6174648618</v>
      </c>
      <c r="AY283" s="265">
        <f>AX283/$AX$582*'update_State Admin 1004(b)'!$B$30*0.01</f>
        <v>1678.0878147248231</v>
      </c>
      <c r="AZ283" s="266">
        <f t="shared" si="370"/>
        <v>173657.52965013697</v>
      </c>
      <c r="BA283" s="264">
        <f t="shared" si="371"/>
        <v>1736.5752965013698</v>
      </c>
      <c r="BB283" s="265">
        <f t="shared" si="372"/>
        <v>171920.95435363561</v>
      </c>
      <c r="BC283" s="342">
        <f t="shared" si="381"/>
        <v>0.97959122622440542</v>
      </c>
      <c r="BD283" s="347"/>
      <c r="BE283" s="377" t="str">
        <f>'Original Title I &amp; II'!AZ283</f>
        <v/>
      </c>
      <c r="BF283" s="244" t="str">
        <f t="shared" si="390"/>
        <v/>
      </c>
      <c r="BG283" s="266">
        <f t="shared" si="364"/>
        <v>171920.95435363561</v>
      </c>
      <c r="BI283" s="203" t="str">
        <f>IFERROR(VLOOKUP(A283,'Title II Hold Harmless'!A$1:B$439,2, FALSE),"")</f>
        <v/>
      </c>
      <c r="BJ283" s="203">
        <f t="shared" si="373"/>
        <v>2258.7967714705192</v>
      </c>
      <c r="BK283" s="203">
        <f t="shared" si="401"/>
        <v>2260.9819130790247</v>
      </c>
      <c r="BL283" s="203" t="str">
        <f t="shared" si="377"/>
        <v/>
      </c>
      <c r="BM283" s="203">
        <f t="shared" si="378"/>
        <v>2260.9819130790247</v>
      </c>
      <c r="BN283" s="200"/>
      <c r="BP283" s="298" t="s">
        <v>1448</v>
      </c>
      <c r="BQ283" s="299" t="str">
        <f t="shared" si="382"/>
        <v>Y</v>
      </c>
      <c r="BR283" s="300" t="s">
        <v>1448</v>
      </c>
      <c r="BT283" s="298" t="str">
        <f t="shared" si="383"/>
        <v>Y</v>
      </c>
      <c r="BU283" s="299" t="str">
        <f t="shared" si="375"/>
        <v>Y</v>
      </c>
      <c r="BV283" s="299" t="str">
        <f t="shared" si="376"/>
        <v>Y</v>
      </c>
      <c r="BW283" s="300" t="str">
        <f t="shared" si="384"/>
        <v>Y</v>
      </c>
      <c r="BY283" s="355">
        <f t="shared" si="385"/>
        <v>0</v>
      </c>
      <c r="BZ283" s="356">
        <f t="shared" si="386"/>
        <v>0</v>
      </c>
      <c r="CA283" s="356">
        <f t="shared" si="387"/>
        <v>0.95</v>
      </c>
      <c r="CB283" s="357">
        <f t="shared" si="388"/>
        <v>0.95</v>
      </c>
      <c r="CD283" s="312">
        <f t="shared" si="389"/>
        <v>278</v>
      </c>
    </row>
    <row r="284" spans="1:82" s="48" customFormat="1" outlineLevel="1" x14ac:dyDescent="0.3">
      <c r="A284" s="202">
        <v>78759000</v>
      </c>
      <c r="B284" s="48">
        <f>VLOOKUP(C284,'NCES ID'!$A$2:$B$3136,2,FALSE)</f>
        <v>400069</v>
      </c>
      <c r="C284" s="48">
        <f>VLOOKUP(A284,'State ID'!$A$2:$B$713,2,FALSE)</f>
        <v>4360</v>
      </c>
      <c r="D284" s="48" t="s">
        <v>240</v>
      </c>
      <c r="E284" s="48" t="s">
        <v>7</v>
      </c>
      <c r="F284" s="755"/>
      <c r="G284" s="755"/>
      <c r="H284" s="755"/>
      <c r="I284" s="755"/>
      <c r="J284" s="755"/>
      <c r="K284" s="755"/>
      <c r="L284" s="454"/>
      <c r="M284" s="455"/>
      <c r="N284" s="456"/>
      <c r="O284" s="209">
        <f>VLOOKUP($C284,'Final SEA Counts'!$A$2:$F$709,5,FALSE)</f>
        <v>129</v>
      </c>
      <c r="P284" s="223">
        <f>VLOOKUP($C284,'Final SEA Counts'!$A$2:$F$709,6,FALSE)</f>
        <v>24</v>
      </c>
      <c r="Q284" s="749"/>
      <c r="R284" s="454">
        <f t="shared" si="353"/>
        <v>129</v>
      </c>
      <c r="S284" s="455">
        <f t="shared" si="391"/>
        <v>11.883024544846815</v>
      </c>
      <c r="T284" s="230">
        <f t="shared" si="355"/>
        <v>9.2116469339897797E-2</v>
      </c>
      <c r="U284" s="264"/>
      <c r="V284" s="265"/>
      <c r="W284" s="265"/>
      <c r="X284" s="265"/>
      <c r="Y284" s="266"/>
      <c r="Z284" s="265">
        <f t="shared" si="392"/>
        <v>5740.0712863897079</v>
      </c>
      <c r="AA284" s="265">
        <f t="shared" si="393"/>
        <v>1187.0375112416759</v>
      </c>
      <c r="AB284" s="265">
        <f t="shared" si="394"/>
        <v>3359.4455377728605</v>
      </c>
      <c r="AC284" s="266">
        <f t="shared" si="395"/>
        <v>3127.2025005530581</v>
      </c>
      <c r="AD284" s="265">
        <f t="shared" si="365"/>
        <v>5740.0712863897079</v>
      </c>
      <c r="AE284" s="265" t="str">
        <f t="shared" si="366"/>
        <v/>
      </c>
      <c r="AF284" s="265">
        <f t="shared" si="367"/>
        <v>3359.4455377728605</v>
      </c>
      <c r="AG284" s="266">
        <f t="shared" si="368"/>
        <v>3127.2025005530581</v>
      </c>
      <c r="AH284" s="265">
        <f t="shared" si="396"/>
        <v>5740.0712863897079</v>
      </c>
      <c r="AI284" s="265" t="str">
        <f t="shared" si="397"/>
        <v/>
      </c>
      <c r="AJ284" s="265">
        <f t="shared" si="398"/>
        <v>3384.7861829931194</v>
      </c>
      <c r="AK284" s="265">
        <f t="shared" si="399"/>
        <v>3150.7913125184605</v>
      </c>
      <c r="AL284" s="266">
        <f t="shared" ref="AL284" si="402">SUM(AH284:AK284)</f>
        <v>12275.648781901287</v>
      </c>
      <c r="AM284" s="347"/>
      <c r="AN284" s="264">
        <f>IFERROR(VLOOKUP($A284,'HH &amp; SI'!$B$4:$Z$494,'HH &amp; SI'!V$503,0),0)</f>
        <v>5661.7729883716538</v>
      </c>
      <c r="AO284" s="265">
        <f>IFERROR(VLOOKUP($A284,'HH &amp; SI'!$B$4:$Z$494,'HH &amp; SI'!W$503,0),0)</f>
        <v>0</v>
      </c>
      <c r="AP284" s="265">
        <f>IFERROR(VLOOKUP($A284,'HH &amp; SI'!$B$4:$Z$494,'HH &amp; SI'!X$503,0),0)</f>
        <v>3354.0028741985943</v>
      </c>
      <c r="AQ284" s="265">
        <f>IFERROR(VLOOKUP($A284,'HH &amp; SI'!$B$4:$Z$494,'HH &amp; SI'!Y$503,0),0)</f>
        <v>3116.0752639685888</v>
      </c>
      <c r="AR284" s="266">
        <f t="shared" si="369"/>
        <v>12131.851126538837</v>
      </c>
      <c r="AS284" s="347"/>
      <c r="AT284" s="324">
        <f>IFERROR(VLOOKUP(A284,'Afton FY16 Final'!$A$5:$BV$572,'Afton FY16 Final'!$BV$587,0),0)</f>
        <v>12185.312309054136</v>
      </c>
      <c r="AU284" s="347"/>
      <c r="AV284" s="454">
        <v>0</v>
      </c>
      <c r="AW284" s="265">
        <f>IFERROR(VLOOKUP($A284,'HH &amp; SI'!$B$4:$EY$503,'HH &amp; SI'!EX$503,0),0)</f>
        <v>0</v>
      </c>
      <c r="AX284" s="265">
        <f>IFERROR(VLOOKUP($A284,'HH &amp; SI'!$B$4:$EY$503,'HH &amp; SI'!EY$503,0),0)</f>
        <v>12131.851126538837</v>
      </c>
      <c r="AY284" s="265">
        <f>AX284/$AX$582*'update_State Admin 1004(b)'!$B$30*0.01</f>
        <v>116.11053042078206</v>
      </c>
      <c r="AZ284" s="266">
        <f t="shared" si="370"/>
        <v>12015.740596118056</v>
      </c>
      <c r="BA284" s="264">
        <f t="shared" si="371"/>
        <v>120.15740596118056</v>
      </c>
      <c r="BB284" s="265">
        <f t="shared" si="372"/>
        <v>11895.583190156874</v>
      </c>
      <c r="BC284" s="342">
        <f t="shared" si="381"/>
        <v>0.97622308632319732</v>
      </c>
      <c r="BD284" s="347"/>
      <c r="BE284" s="377">
        <f>'Original Title I &amp; II'!AZ284</f>
        <v>0</v>
      </c>
      <c r="BF284" s="244"/>
      <c r="BG284" s="266">
        <f t="shared" si="364"/>
        <v>11895.583190156874</v>
      </c>
      <c r="BI284" s="203">
        <f>IFERROR(VLOOKUP(A284,'Title II Hold Harmless'!A$1:B$439,2, FALSE),"")</f>
        <v>2095</v>
      </c>
      <c r="BJ284" s="203">
        <f t="shared" si="373"/>
        <v>2354.3785561556415</v>
      </c>
      <c r="BK284" s="203">
        <f t="shared" si="401"/>
        <v>2356.6561628045479</v>
      </c>
      <c r="BL284" s="203"/>
      <c r="BM284" s="203">
        <f t="shared" si="378"/>
        <v>2356.6561628045479</v>
      </c>
      <c r="BN284" s="200"/>
      <c r="BP284" s="298" t="s">
        <v>1448</v>
      </c>
      <c r="BQ284" s="299" t="str">
        <f t="shared" si="382"/>
        <v>Y</v>
      </c>
      <c r="BR284" s="300" t="s">
        <v>1448</v>
      </c>
      <c r="BT284" s="298" t="str">
        <f t="shared" si="383"/>
        <v>Y</v>
      </c>
      <c r="BU284" s="299" t="str">
        <f t="shared" si="375"/>
        <v>N</v>
      </c>
      <c r="BV284" s="299" t="str">
        <f t="shared" si="376"/>
        <v>Y</v>
      </c>
      <c r="BW284" s="300" t="str">
        <f t="shared" si="384"/>
        <v>Y</v>
      </c>
      <c r="BY284" s="355">
        <f t="shared" si="385"/>
        <v>0.85</v>
      </c>
      <c r="BZ284" s="356">
        <f t="shared" si="386"/>
        <v>0</v>
      </c>
      <c r="CA284" s="356">
        <f t="shared" si="387"/>
        <v>0</v>
      </c>
      <c r="CB284" s="357">
        <f t="shared" si="388"/>
        <v>0.85</v>
      </c>
      <c r="CD284" s="312">
        <f t="shared" si="389"/>
        <v>279</v>
      </c>
    </row>
    <row r="285" spans="1:82" s="48" customFormat="1" outlineLevel="1" x14ac:dyDescent="0.3">
      <c r="A285" s="202">
        <v>78101000</v>
      </c>
      <c r="B285" s="48">
        <f>VLOOKUP(C285,'NCES ID'!$A$2:$B$3136,2,FALSE)</f>
        <v>400845</v>
      </c>
      <c r="C285" s="48">
        <f>VLOOKUP(A285,'State ID'!$A$2:$B$713,2,FALSE)</f>
        <v>91174</v>
      </c>
      <c r="D285" s="48" t="s">
        <v>248</v>
      </c>
      <c r="E285" s="48" t="s">
        <v>7</v>
      </c>
      <c r="F285" s="755"/>
      <c r="G285" s="755"/>
      <c r="H285" s="755"/>
      <c r="I285" s="755"/>
      <c r="J285" s="755"/>
      <c r="K285" s="755"/>
      <c r="L285" s="454"/>
      <c r="M285" s="455"/>
      <c r="N285" s="456"/>
      <c r="O285" s="209">
        <f>VLOOKUP($C285,'Final SEA Counts'!$A$2:$F$709,5,FALSE)</f>
        <v>377</v>
      </c>
      <c r="P285" s="223">
        <f>VLOOKUP($C285,'Final SEA Counts'!$A$2:$F$709,6,FALSE)</f>
        <v>172</v>
      </c>
      <c r="Q285" s="749"/>
      <c r="R285" s="454">
        <f t="shared" si="353"/>
        <v>377</v>
      </c>
      <c r="S285" s="455">
        <f t="shared" si="391"/>
        <v>85.161675904735503</v>
      </c>
      <c r="T285" s="230">
        <f t="shared" si="355"/>
        <v>0.22589303953510745</v>
      </c>
      <c r="U285" s="264" t="str">
        <f>IFERROR(VLOOKUP($B285,#REF!,8,FALSE),"")</f>
        <v/>
      </c>
      <c r="V285" s="265" t="str">
        <f>IFERROR(VLOOKUP($B285,#REF!,9,FALSE),"")</f>
        <v/>
      </c>
      <c r="W285" s="265" t="str">
        <f>IFERROR(VLOOKUP($B285,#REF!,10,FALSE),"")</f>
        <v/>
      </c>
      <c r="X285" s="265" t="str">
        <f>IFERROR(VLOOKUP($B285,#REF!,11,FALSE),"")</f>
        <v/>
      </c>
      <c r="Y285" s="266" t="str">
        <f>IFERROR(VLOOKUP($B285,#REF!,12,FALSE),"")</f>
        <v/>
      </c>
      <c r="Z285" s="265">
        <f t="shared" si="392"/>
        <v>41137.177552459572</v>
      </c>
      <c r="AA285" s="265">
        <f t="shared" si="393"/>
        <v>8507.1021638986767</v>
      </c>
      <c r="AB285" s="265">
        <f t="shared" si="394"/>
        <v>24076.02635403883</v>
      </c>
      <c r="AC285" s="266">
        <f t="shared" si="395"/>
        <v>22411.617920630248</v>
      </c>
      <c r="AD285" s="265">
        <f t="shared" si="365"/>
        <v>41137.177552459572</v>
      </c>
      <c r="AE285" s="265">
        <f t="shared" si="366"/>
        <v>8507.1021638986767</v>
      </c>
      <c r="AF285" s="265">
        <f t="shared" si="367"/>
        <v>24076.02635403883</v>
      </c>
      <c r="AG285" s="266">
        <f t="shared" si="368"/>
        <v>22411.617920630248</v>
      </c>
      <c r="AH285" s="265">
        <f t="shared" si="396"/>
        <v>41137.177552459572</v>
      </c>
      <c r="AI285" s="265">
        <f t="shared" si="397"/>
        <v>10637.923546729389</v>
      </c>
      <c r="AJ285" s="265">
        <f t="shared" si="398"/>
        <v>24101.366999259088</v>
      </c>
      <c r="AK285" s="265">
        <f t="shared" si="399"/>
        <v>22435.206732595649</v>
      </c>
      <c r="AL285" s="266">
        <f t="shared" si="400"/>
        <v>98311.674831043696</v>
      </c>
      <c r="AM285" s="347"/>
      <c r="AN285" s="264">
        <f>IFERROR(VLOOKUP($A285,'HH &amp; SI'!$B$4:$Z$494,'HH &amp; SI'!V$503,0),0)</f>
        <v>40576.039749996853</v>
      </c>
      <c r="AO285" s="265">
        <f>IFERROR(VLOOKUP($A285,'HH &amp; SI'!$B$4:$Z$494,'HH &amp; SI'!W$503,0),0)</f>
        <v>10287.549238361982</v>
      </c>
      <c r="AP285" s="265">
        <f>IFERROR(VLOOKUP($A285,'HH &amp; SI'!$B$4:$Z$494,'HH &amp; SI'!X$503,0),0)</f>
        <v>23882.174476423777</v>
      </c>
      <c r="AQ285" s="265">
        <f>IFERROR(VLOOKUP($A285,'HH &amp; SI'!$B$4:$Z$494,'HH &amp; SI'!Y$503,0),0)</f>
        <v>22188.011139837512</v>
      </c>
      <c r="AR285" s="266">
        <f t="shared" si="369"/>
        <v>96933.774604620136</v>
      </c>
      <c r="AS285" s="347"/>
      <c r="AT285" s="324">
        <f>IFERROR(VLOOKUP(A285,'Afton FY16 Final'!$A$5:$BV$572,'Afton FY16 Final'!$BV$587,0),0)</f>
        <v>84994.65378948077</v>
      </c>
      <c r="AU285" s="347"/>
      <c r="AV285" s="454">
        <v>0</v>
      </c>
      <c r="AW285" s="265">
        <f>IFERROR(VLOOKUP($A285,'HH &amp; SI'!$B$4:$EY$503,'HH &amp; SI'!EX$503,0),0)</f>
        <v>5429.5613036547293</v>
      </c>
      <c r="AX285" s="265">
        <f>IFERROR(VLOOKUP($A285,'HH &amp; SI'!$B$4:$EY$503,'HH &amp; SI'!EY$503,0),0)</f>
        <v>91504.213300965406</v>
      </c>
      <c r="AY285" s="265">
        <f>AX285/$AX$582*'update_State Admin 1004(b)'!$B$30*0.01</f>
        <v>875.76105503551662</v>
      </c>
      <c r="AZ285" s="266">
        <f t="shared" si="370"/>
        <v>90628.45224592989</v>
      </c>
      <c r="BA285" s="264">
        <f t="shared" si="371"/>
        <v>906.28452245929896</v>
      </c>
      <c r="BB285" s="265">
        <f t="shared" si="372"/>
        <v>89722.167723470586</v>
      </c>
      <c r="BC285" s="342">
        <f t="shared" si="381"/>
        <v>1.0556213093790483</v>
      </c>
      <c r="BD285" s="347"/>
      <c r="BE285" s="377" t="str">
        <f>'Original Title I &amp; II'!AZ285</f>
        <v/>
      </c>
      <c r="BF285" s="244" t="str">
        <f t="shared" ref="BF285:BF291" si="403">IF(BE285&lt;0,BB285*BE285/100,"")</f>
        <v/>
      </c>
      <c r="BG285" s="266">
        <f t="shared" si="364"/>
        <v>89722.167723470586</v>
      </c>
      <c r="BI285" s="203" t="str">
        <f>IFERROR(VLOOKUP(A285,'Title II Hold Harmless'!A$1:B$439,2, FALSE),"")</f>
        <v/>
      </c>
      <c r="BJ285" s="203">
        <f t="shared" si="373"/>
        <v>1418.2518224520322</v>
      </c>
      <c r="BK285" s="203">
        <f t="shared" si="401"/>
        <v>1419.6238277194921</v>
      </c>
      <c r="BL285" s="203" t="str">
        <f t="shared" si="377"/>
        <v/>
      </c>
      <c r="BM285" s="203">
        <f t="shared" si="378"/>
        <v>1419.6238277194921</v>
      </c>
      <c r="BN285" s="200"/>
      <c r="BP285" s="298" t="s">
        <v>1448</v>
      </c>
      <c r="BQ285" s="299" t="str">
        <f t="shared" si="382"/>
        <v>Y</v>
      </c>
      <c r="BR285" s="300" t="s">
        <v>1448</v>
      </c>
      <c r="BT285" s="298" t="str">
        <f t="shared" si="383"/>
        <v>Y</v>
      </c>
      <c r="BU285" s="299" t="str">
        <f t="shared" si="375"/>
        <v>Y</v>
      </c>
      <c r="BV285" s="299" t="str">
        <f t="shared" si="376"/>
        <v>Y</v>
      </c>
      <c r="BW285" s="300" t="str">
        <f t="shared" si="384"/>
        <v>Y</v>
      </c>
      <c r="BY285" s="355">
        <f t="shared" si="385"/>
        <v>0</v>
      </c>
      <c r="BZ285" s="356">
        <f t="shared" si="386"/>
        <v>0.9</v>
      </c>
      <c r="CA285" s="356">
        <f t="shared" si="387"/>
        <v>0</v>
      </c>
      <c r="CB285" s="357">
        <f t="shared" si="388"/>
        <v>0.9</v>
      </c>
      <c r="CD285" s="312">
        <f t="shared" si="389"/>
        <v>280</v>
      </c>
    </row>
    <row r="286" spans="1:82" s="48" customFormat="1" outlineLevel="1" x14ac:dyDescent="0.3">
      <c r="A286" s="202">
        <v>78968000</v>
      </c>
      <c r="B286" s="48">
        <f>VLOOKUP(C286,'NCES ID'!$A$2:$B$3136,2,FALSE)</f>
        <v>400395</v>
      </c>
      <c r="C286" s="48">
        <f>VLOOKUP(A286,'State ID'!$A$2:$B$713,2,FALSE)</f>
        <v>79967</v>
      </c>
      <c r="D286" s="48" t="s">
        <v>249</v>
      </c>
      <c r="E286" s="48" t="s">
        <v>7</v>
      </c>
      <c r="F286" s="755"/>
      <c r="G286" s="755"/>
      <c r="H286" s="755"/>
      <c r="I286" s="755"/>
      <c r="J286" s="755"/>
      <c r="K286" s="755"/>
      <c r="L286" s="454"/>
      <c r="M286" s="455"/>
      <c r="N286" s="456"/>
      <c r="O286" s="209">
        <f>VLOOKUP($C286,'Final SEA Counts'!$A$2:$F$709,5,FALSE)</f>
        <v>614</v>
      </c>
      <c r="P286" s="223">
        <f>VLOOKUP($C286,'Final SEA Counts'!$A$2:$F$709,6,FALSE)</f>
        <v>252</v>
      </c>
      <c r="Q286" s="749"/>
      <c r="R286" s="454">
        <f t="shared" si="353"/>
        <v>614</v>
      </c>
      <c r="S286" s="455">
        <f t="shared" si="391"/>
        <v>124.77175772089156</v>
      </c>
      <c r="T286" s="230">
        <f t="shared" si="355"/>
        <v>0.20321133179298298</v>
      </c>
      <c r="U286" s="264" t="str">
        <f>IFERROR(VLOOKUP($B286,#REF!,8,FALSE),"")</f>
        <v/>
      </c>
      <c r="V286" s="265" t="str">
        <f>IFERROR(VLOOKUP($B286,#REF!,9,FALSE),"")</f>
        <v/>
      </c>
      <c r="W286" s="265" t="str">
        <f>IFERROR(VLOOKUP($B286,#REF!,10,FALSE),"")</f>
        <v/>
      </c>
      <c r="X286" s="265" t="str">
        <f>IFERROR(VLOOKUP($B286,#REF!,11,FALSE),"")</f>
        <v/>
      </c>
      <c r="Y286" s="266" t="str">
        <f>IFERROR(VLOOKUP($B286,#REF!,12,FALSE),"")</f>
        <v/>
      </c>
      <c r="Z286" s="265">
        <f t="shared" si="392"/>
        <v>60270.748507091928</v>
      </c>
      <c r="AA286" s="265">
        <f t="shared" si="393"/>
        <v>12463.893868037596</v>
      </c>
      <c r="AB286" s="265">
        <f t="shared" si="394"/>
        <v>35274.178146615035</v>
      </c>
      <c r="AC286" s="266">
        <f t="shared" si="395"/>
        <v>32835.62625580711</v>
      </c>
      <c r="AD286" s="265">
        <f t="shared" si="365"/>
        <v>60270.748507091928</v>
      </c>
      <c r="AE286" s="265">
        <f t="shared" si="366"/>
        <v>12463.893868037596</v>
      </c>
      <c r="AF286" s="265">
        <f t="shared" si="367"/>
        <v>35274.178146615035</v>
      </c>
      <c r="AG286" s="266">
        <f t="shared" si="368"/>
        <v>32835.62625580711</v>
      </c>
      <c r="AH286" s="265">
        <f t="shared" si="396"/>
        <v>60270.748507091928</v>
      </c>
      <c r="AI286" s="265">
        <f t="shared" si="397"/>
        <v>14594.715250868308</v>
      </c>
      <c r="AJ286" s="265">
        <f t="shared" si="398"/>
        <v>35299.518791835297</v>
      </c>
      <c r="AK286" s="265">
        <f t="shared" si="399"/>
        <v>32859.215067772515</v>
      </c>
      <c r="AL286" s="266">
        <f t="shared" si="400"/>
        <v>143024.19761756805</v>
      </c>
      <c r="AM286" s="347"/>
      <c r="AN286" s="264">
        <f>IFERROR(VLOOKUP($A286,'HH &amp; SI'!$B$4:$Z$494,'HH &amp; SI'!V$503,0),0)</f>
        <v>59448.616377902363</v>
      </c>
      <c r="AO286" s="265">
        <f>IFERROR(VLOOKUP($A286,'HH &amp; SI'!$B$4:$Z$494,'HH &amp; SI'!W$503,0),0)</f>
        <v>14114.018690173962</v>
      </c>
      <c r="AP286" s="265">
        <f>IFERROR(VLOOKUP($A286,'HH &amp; SI'!$B$4:$Z$494,'HH &amp; SI'!X$503,0),0)</f>
        <v>34978.48345059956</v>
      </c>
      <c r="AQ286" s="265">
        <f>IFERROR(VLOOKUP($A286,'HH &amp; SI'!$B$4:$Z$494,'HH &amp; SI'!Y$503,0),0)</f>
        <v>32497.16566733423</v>
      </c>
      <c r="AR286" s="266">
        <f t="shared" si="369"/>
        <v>141038.2841860101</v>
      </c>
      <c r="AS286" s="347"/>
      <c r="AT286" s="324">
        <f>IFERROR(VLOOKUP(A286,'Afton FY16 Final'!$A$5:$BV$572,'Afton FY16 Final'!$BV$587,0),0)</f>
        <v>104607.67507940231</v>
      </c>
      <c r="AU286" s="347"/>
      <c r="AV286" s="454">
        <v>0</v>
      </c>
      <c r="AW286" s="265">
        <f>IFERROR(VLOOKUP($A286,'HH &amp; SI'!$B$4:$EY$503,'HH &amp; SI'!EX$503,0),0)</f>
        <v>7899.9916517613747</v>
      </c>
      <c r="AX286" s="265">
        <f>IFERROR(VLOOKUP($A286,'HH &amp; SI'!$B$4:$EY$503,'HH &amp; SI'!EY$503,0),0)</f>
        <v>133138.29253424873</v>
      </c>
      <c r="AY286" s="265">
        <f>AX286/$AX$582*'update_State Admin 1004(b)'!$B$30*0.01</f>
        <v>1274.2291019094612</v>
      </c>
      <c r="AZ286" s="266">
        <f t="shared" si="370"/>
        <v>131864.06343233926</v>
      </c>
      <c r="BA286" s="264">
        <f t="shared" si="371"/>
        <v>1318.6406343233925</v>
      </c>
      <c r="BB286" s="265">
        <f t="shared" si="372"/>
        <v>130545.42279801586</v>
      </c>
      <c r="BC286" s="342">
        <f t="shared" si="381"/>
        <v>1.2479526258367328</v>
      </c>
      <c r="BD286" s="347"/>
      <c r="BE286" s="377" t="str">
        <f>'Original Title I &amp; II'!AZ286</f>
        <v/>
      </c>
      <c r="BF286" s="244" t="str">
        <f t="shared" si="403"/>
        <v/>
      </c>
      <c r="BG286" s="266">
        <f t="shared" si="364"/>
        <v>130545.42279801586</v>
      </c>
      <c r="BI286" s="203" t="str">
        <f>IFERROR(VLOOKUP(A286,'Title II Hold Harmless'!A$1:B$439,2, FALSE),"")</f>
        <v/>
      </c>
      <c r="BJ286" s="203">
        <f t="shared" si="373"/>
        <v>2127.520669565597</v>
      </c>
      <c r="BK286" s="203">
        <f t="shared" si="401"/>
        <v>2129.578815741801</v>
      </c>
      <c r="BL286" s="203" t="str">
        <f t="shared" si="377"/>
        <v/>
      </c>
      <c r="BM286" s="203">
        <f t="shared" si="378"/>
        <v>2129.578815741801</v>
      </c>
      <c r="BN286" s="200"/>
      <c r="BP286" s="298" t="s">
        <v>1448</v>
      </c>
      <c r="BQ286" s="299" t="str">
        <f t="shared" si="382"/>
        <v>Y</v>
      </c>
      <c r="BR286" s="300" t="s">
        <v>1448</v>
      </c>
      <c r="BT286" s="298" t="str">
        <f t="shared" si="383"/>
        <v>Y</v>
      </c>
      <c r="BU286" s="299" t="str">
        <f t="shared" si="375"/>
        <v>Y</v>
      </c>
      <c r="BV286" s="299" t="str">
        <f t="shared" si="376"/>
        <v>Y</v>
      </c>
      <c r="BW286" s="300" t="str">
        <f t="shared" si="384"/>
        <v>Y</v>
      </c>
      <c r="BY286" s="355">
        <f t="shared" si="385"/>
        <v>0</v>
      </c>
      <c r="BZ286" s="356">
        <f t="shared" si="386"/>
        <v>0.9</v>
      </c>
      <c r="CA286" s="356">
        <f t="shared" si="387"/>
        <v>0</v>
      </c>
      <c r="CB286" s="357">
        <f t="shared" si="388"/>
        <v>0.9</v>
      </c>
      <c r="CD286" s="312">
        <f t="shared" si="389"/>
        <v>281</v>
      </c>
    </row>
    <row r="287" spans="1:82" s="48" customFormat="1" outlineLevel="1" x14ac:dyDescent="0.3">
      <c r="A287" s="202">
        <v>78507000</v>
      </c>
      <c r="B287" s="48">
        <f>VLOOKUP(C287,'NCES ID'!$A$2:$B$3136,2,FALSE)</f>
        <v>400423</v>
      </c>
      <c r="C287" s="48">
        <f>VLOOKUP(A287,'State ID'!$A$2:$B$713,2,FALSE)</f>
        <v>87349</v>
      </c>
      <c r="D287" s="48" t="s">
        <v>251</v>
      </c>
      <c r="E287" s="48" t="s">
        <v>7</v>
      </c>
      <c r="F287" s="755"/>
      <c r="G287" s="755"/>
      <c r="H287" s="755"/>
      <c r="I287" s="755"/>
      <c r="J287" s="755"/>
      <c r="K287" s="755"/>
      <c r="L287" s="454"/>
      <c r="M287" s="455"/>
      <c r="N287" s="456"/>
      <c r="O287" s="209">
        <f>VLOOKUP($C287,'Final SEA Counts'!$A$2:$F$709,5,FALSE)</f>
        <v>77</v>
      </c>
      <c r="P287" s="223">
        <f>VLOOKUP($C287,'Final SEA Counts'!$A$2:$F$709,6,FALSE)</f>
        <v>35</v>
      </c>
      <c r="Q287" s="749"/>
      <c r="R287" s="454">
        <f t="shared" si="353"/>
        <v>77</v>
      </c>
      <c r="S287" s="455">
        <f t="shared" si="391"/>
        <v>17.329410794568272</v>
      </c>
      <c r="T287" s="230">
        <f t="shared" si="355"/>
        <v>0.22505728304634121</v>
      </c>
      <c r="U287" s="264" t="str">
        <f>IFERROR(VLOOKUP($B287,#REF!,8,FALSE),"")</f>
        <v/>
      </c>
      <c r="V287" s="265" t="str">
        <f>IFERROR(VLOOKUP($B287,#REF!,9,FALSE),"")</f>
        <v/>
      </c>
      <c r="W287" s="265" t="str">
        <f>IFERROR(VLOOKUP($B287,#REF!,10,FALSE),"")</f>
        <v/>
      </c>
      <c r="X287" s="265" t="str">
        <f>IFERROR(VLOOKUP($B287,#REF!,11,FALSE),"")</f>
        <v/>
      </c>
      <c r="Y287" s="266" t="str">
        <f>IFERROR(VLOOKUP($B287,#REF!,12,FALSE),"")</f>
        <v/>
      </c>
      <c r="Z287" s="265">
        <f t="shared" si="392"/>
        <v>8370.9372926516571</v>
      </c>
      <c r="AA287" s="265">
        <f t="shared" si="393"/>
        <v>1731.0963705607774</v>
      </c>
      <c r="AB287" s="265">
        <f t="shared" si="394"/>
        <v>4899.1914092520874</v>
      </c>
      <c r="AC287" s="266">
        <f t="shared" si="395"/>
        <v>4560.503646639876</v>
      </c>
      <c r="AD287" s="265">
        <f t="shared" si="365"/>
        <v>8370.9372926516571</v>
      </c>
      <c r="AE287" s="265">
        <f t="shared" si="366"/>
        <v>1731.0963705607774</v>
      </c>
      <c r="AF287" s="265">
        <f t="shared" si="367"/>
        <v>4899.1914092520874</v>
      </c>
      <c r="AG287" s="266">
        <f t="shared" si="368"/>
        <v>4560.503646639876</v>
      </c>
      <c r="AH287" s="265">
        <f t="shared" si="396"/>
        <v>8370.9372926516571</v>
      </c>
      <c r="AI287" s="265">
        <f t="shared" si="397"/>
        <v>3861.9177533914899</v>
      </c>
      <c r="AJ287" s="265">
        <f t="shared" si="398"/>
        <v>4924.5320544723463</v>
      </c>
      <c r="AK287" s="265">
        <f t="shared" si="399"/>
        <v>4584.0924586052788</v>
      </c>
      <c r="AL287" s="266">
        <f t="shared" si="400"/>
        <v>21741.479559120773</v>
      </c>
      <c r="AM287" s="347"/>
      <c r="AN287" s="264">
        <f>IFERROR(VLOOKUP($A287,'HH &amp; SI'!$B$4:$Z$494,'HH &amp; SI'!V$503,0),0)</f>
        <v>11106.50577758367</v>
      </c>
      <c r="AO287" s="265">
        <f>IFERROR(VLOOKUP($A287,'HH &amp; SI'!$B$4:$Z$494,'HH &amp; SI'!W$503,0),0)</f>
        <v>3973.8166779496182</v>
      </c>
      <c r="AP287" s="265">
        <f>IFERROR(VLOOKUP($A287,'HH &amp; SI'!$B$4:$Z$494,'HH &amp; SI'!X$503,0),0)</f>
        <v>6027.6311486032873</v>
      </c>
      <c r="AQ287" s="265">
        <f>IFERROR(VLOOKUP($A287,'HH &amp; SI'!$B$4:$Z$494,'HH &amp; SI'!Y$503,0),0)</f>
        <v>5061.1508840971665</v>
      </c>
      <c r="AR287" s="266">
        <f t="shared" si="369"/>
        <v>26169.104488233741</v>
      </c>
      <c r="AS287" s="347"/>
      <c r="AT287" s="324">
        <f>IFERROR(VLOOKUP(A287,'Afton FY16 Final'!$A$5:$BV$572,'Afton FY16 Final'!$BV$587,0),0)</f>
        <v>26873.174779101777</v>
      </c>
      <c r="AU287" s="347"/>
      <c r="AV287" s="454">
        <v>0</v>
      </c>
      <c r="AW287" s="265">
        <f>IFERROR(VLOOKUP($A287,'HH &amp; SI'!$B$4:$EY$503,'HH &amp; SI'!EX$503,0),0)</f>
        <v>0</v>
      </c>
      <c r="AX287" s="265">
        <f>IFERROR(VLOOKUP($A287,'HH &amp; SI'!$B$4:$EY$503,'HH &amp; SI'!EY$503,0),0)</f>
        <v>26169.104488233741</v>
      </c>
      <c r="AY287" s="265">
        <f>AX287/$AX$582*'update_State Admin 1004(b)'!$B$30*0.01</f>
        <v>250.4571290129704</v>
      </c>
      <c r="AZ287" s="266">
        <f t="shared" si="370"/>
        <v>25918.647359220769</v>
      </c>
      <c r="BA287" s="264">
        <f t="shared" si="371"/>
        <v>259.18647359220768</v>
      </c>
      <c r="BB287" s="265">
        <f t="shared" si="372"/>
        <v>25659.460885628563</v>
      </c>
      <c r="BC287" s="342">
        <f t="shared" si="381"/>
        <v>0.95483548544412877</v>
      </c>
      <c r="BD287" s="347"/>
      <c r="BE287" s="377" t="str">
        <f>'Original Title I &amp; II'!AZ287</f>
        <v/>
      </c>
      <c r="BF287" s="244" t="str">
        <f t="shared" si="403"/>
        <v/>
      </c>
      <c r="BG287" s="266">
        <f t="shared" si="364"/>
        <v>25659.460885628563</v>
      </c>
      <c r="BI287" s="203" t="str">
        <f>IFERROR(VLOOKUP(A287,'Title II Hold Harmless'!A$1:B$439,2, FALSE),"")</f>
        <v/>
      </c>
      <c r="BJ287" s="203">
        <f t="shared" si="373"/>
        <v>288.82702889887344</v>
      </c>
      <c r="BK287" s="203">
        <f t="shared" si="401"/>
        <v>289.10643781537243</v>
      </c>
      <c r="BL287" s="203" t="str">
        <f t="shared" si="377"/>
        <v/>
      </c>
      <c r="BM287" s="203">
        <f t="shared" si="378"/>
        <v>289.10643781537243</v>
      </c>
      <c r="BN287" s="200"/>
      <c r="BP287" s="298" t="s">
        <v>1448</v>
      </c>
      <c r="BQ287" s="299" t="str">
        <f t="shared" si="382"/>
        <v>Y</v>
      </c>
      <c r="BR287" s="300" t="s">
        <v>1448</v>
      </c>
      <c r="BT287" s="298" t="str">
        <f t="shared" si="383"/>
        <v>Y</v>
      </c>
      <c r="BU287" s="299" t="str">
        <f t="shared" si="375"/>
        <v>Y</v>
      </c>
      <c r="BV287" s="299" t="str">
        <f t="shared" si="376"/>
        <v>Y</v>
      </c>
      <c r="BW287" s="300" t="str">
        <f t="shared" si="384"/>
        <v>Y</v>
      </c>
      <c r="BY287" s="355">
        <f t="shared" si="385"/>
        <v>0</v>
      </c>
      <c r="BZ287" s="356">
        <f t="shared" si="386"/>
        <v>0.9</v>
      </c>
      <c r="CA287" s="356">
        <f t="shared" si="387"/>
        <v>0</v>
      </c>
      <c r="CB287" s="357">
        <f t="shared" si="388"/>
        <v>0.9</v>
      </c>
      <c r="CD287" s="312">
        <f t="shared" si="389"/>
        <v>282</v>
      </c>
    </row>
    <row r="288" spans="1:82" s="48" customFormat="1" outlineLevel="1" x14ac:dyDescent="0.3">
      <c r="A288" s="202">
        <v>78685000</v>
      </c>
      <c r="B288" s="48">
        <f>VLOOKUP(C288,'NCES ID'!$A$2:$B$3136,2,FALSE)</f>
        <v>400298</v>
      </c>
      <c r="C288" s="48">
        <f>VLOOKUP(A288,'State ID'!$A$2:$B$713,2,FALSE)</f>
        <v>79660</v>
      </c>
      <c r="D288" s="48" t="s">
        <v>252</v>
      </c>
      <c r="E288" s="48" t="s">
        <v>7</v>
      </c>
      <c r="F288" s="755"/>
      <c r="G288" s="755"/>
      <c r="H288" s="755"/>
      <c r="I288" s="755"/>
      <c r="J288" s="755"/>
      <c r="K288" s="755"/>
      <c r="L288" s="454"/>
      <c r="M288" s="455"/>
      <c r="N288" s="456"/>
      <c r="O288" s="209">
        <f>VLOOKUP($C288,'Final SEA Counts'!$A$2:$F$709,5,FALSE)</f>
        <v>169</v>
      </c>
      <c r="P288" s="223">
        <f>VLOOKUP($C288,'Final SEA Counts'!$A$2:$F$709,6,FALSE)</f>
        <v>105</v>
      </c>
      <c r="Q288" s="749"/>
      <c r="R288" s="454">
        <f t="shared" si="353"/>
        <v>169</v>
      </c>
      <c r="S288" s="455">
        <f t="shared" si="391"/>
        <v>51.988232383704812</v>
      </c>
      <c r="T288" s="230">
        <f t="shared" si="355"/>
        <v>0.30762267682665567</v>
      </c>
      <c r="U288" s="264" t="str">
        <f>IFERROR(VLOOKUP($B288,#REF!,8,FALSE),"")</f>
        <v/>
      </c>
      <c r="V288" s="265" t="str">
        <f>IFERROR(VLOOKUP($B288,#REF!,9,FALSE),"")</f>
        <v/>
      </c>
      <c r="W288" s="265" t="str">
        <f>IFERROR(VLOOKUP($B288,#REF!,10,FALSE),"")</f>
        <v/>
      </c>
      <c r="X288" s="265" t="str">
        <f>IFERROR(VLOOKUP($B288,#REF!,11,FALSE),"")</f>
        <v/>
      </c>
      <c r="Y288" s="266" t="str">
        <f>IFERROR(VLOOKUP($B288,#REF!,12,FALSE),"")</f>
        <v/>
      </c>
      <c r="Z288" s="265">
        <f t="shared" si="392"/>
        <v>25112.81187795497</v>
      </c>
      <c r="AA288" s="265">
        <f t="shared" si="393"/>
        <v>5193.2891116823321</v>
      </c>
      <c r="AB288" s="265">
        <f t="shared" si="394"/>
        <v>14697.574227756262</v>
      </c>
      <c r="AC288" s="266">
        <f t="shared" si="395"/>
        <v>13681.510939919628</v>
      </c>
      <c r="AD288" s="265">
        <f t="shared" si="365"/>
        <v>25112.81187795497</v>
      </c>
      <c r="AE288" s="265">
        <f t="shared" si="366"/>
        <v>5193.2891116823321</v>
      </c>
      <c r="AF288" s="265">
        <f t="shared" si="367"/>
        <v>14697.574227756262</v>
      </c>
      <c r="AG288" s="266">
        <f t="shared" si="368"/>
        <v>13681.510939919628</v>
      </c>
      <c r="AH288" s="265">
        <f t="shared" si="396"/>
        <v>25112.81187795497</v>
      </c>
      <c r="AI288" s="265">
        <f t="shared" si="397"/>
        <v>7324.1104945130446</v>
      </c>
      <c r="AJ288" s="265">
        <f t="shared" si="398"/>
        <v>14722.914872976522</v>
      </c>
      <c r="AK288" s="265">
        <f t="shared" si="399"/>
        <v>13705.099751885031</v>
      </c>
      <c r="AL288" s="266">
        <f t="shared" si="400"/>
        <v>60864.936997329569</v>
      </c>
      <c r="AM288" s="347"/>
      <c r="AN288" s="264">
        <f>IFERROR(VLOOKUP($A288,'HH &amp; SI'!$B$4:$Z$494,'HH &amp; SI'!V$503,0),0)</f>
        <v>49392.502832027705</v>
      </c>
      <c r="AO288" s="265">
        <f>IFERROR(VLOOKUP($A288,'HH &amp; SI'!$B$4:$Z$494,'HH &amp; SI'!W$503,0),0)</f>
        <v>9637.2145384610176</v>
      </c>
      <c r="AP288" s="265">
        <f>IFERROR(VLOOKUP($A288,'HH &amp; SI'!$B$4:$Z$494,'HH &amp; SI'!X$503,0),0)</f>
        <v>24779.305925213012</v>
      </c>
      <c r="AQ288" s="265">
        <f>IFERROR(VLOOKUP($A288,'HH &amp; SI'!$B$4:$Z$494,'HH &amp; SI'!Y$503,0),0)</f>
        <v>23253.509326004107</v>
      </c>
      <c r="AR288" s="266">
        <f t="shared" si="369"/>
        <v>107062.53262170585</v>
      </c>
      <c r="AS288" s="347"/>
      <c r="AT288" s="324">
        <f>IFERROR(VLOOKUP(A288,'Afton FY16 Final'!$A$5:$BV$572,'Afton FY16 Final'!$BV$587,0),0)</f>
        <v>110478.39091801574</v>
      </c>
      <c r="AU288" s="347"/>
      <c r="AV288" s="454">
        <v>0</v>
      </c>
      <c r="AW288" s="265">
        <f>IFERROR(VLOOKUP($A288,'HH &amp; SI'!$B$4:$EY$503,'HH &amp; SI'!EX$503,0),0)</f>
        <v>0</v>
      </c>
      <c r="AX288" s="265">
        <f>IFERROR(VLOOKUP($A288,'HH &amp; SI'!$B$4:$EY$503,'HH &amp; SI'!EY$503,0),0)</f>
        <v>107062.53262170585</v>
      </c>
      <c r="AY288" s="265">
        <f>AX288/$AX$582*'update_State Admin 1004(b)'!$B$30*0.01</f>
        <v>1024.6653475416558</v>
      </c>
      <c r="AZ288" s="266">
        <f t="shared" si="370"/>
        <v>106037.86727416419</v>
      </c>
      <c r="BA288" s="264">
        <f t="shared" si="371"/>
        <v>1060.378672741642</v>
      </c>
      <c r="BB288" s="265">
        <f t="shared" si="372"/>
        <v>104977.48860142255</v>
      </c>
      <c r="BC288" s="342">
        <f t="shared" si="381"/>
        <v>0.95020834146040989</v>
      </c>
      <c r="BD288" s="347"/>
      <c r="BE288" s="377" t="str">
        <f>'Original Title I &amp; II'!AZ288</f>
        <v/>
      </c>
      <c r="BF288" s="244" t="str">
        <f t="shared" si="403"/>
        <v/>
      </c>
      <c r="BG288" s="266">
        <f t="shared" si="364"/>
        <v>104977.48860142255</v>
      </c>
      <c r="BI288" s="203" t="str">
        <f>IFERROR(VLOOKUP(A288,'Title II Hold Harmless'!A$1:B$439,2, FALSE),"")</f>
        <v/>
      </c>
      <c r="BJ288" s="203">
        <f t="shared" si="373"/>
        <v>816.58350594813169</v>
      </c>
      <c r="BK288" s="203">
        <f t="shared" si="401"/>
        <v>817.37346218421442</v>
      </c>
      <c r="BL288" s="203" t="str">
        <f t="shared" si="377"/>
        <v/>
      </c>
      <c r="BM288" s="203">
        <f t="shared" si="378"/>
        <v>817.37346218421442</v>
      </c>
      <c r="BN288" s="200"/>
      <c r="BP288" s="298" t="s">
        <v>1448</v>
      </c>
      <c r="BQ288" s="299" t="str">
        <f t="shared" si="382"/>
        <v>Y</v>
      </c>
      <c r="BR288" s="300" t="s">
        <v>1448</v>
      </c>
      <c r="BT288" s="298" t="str">
        <f t="shared" si="383"/>
        <v>Y</v>
      </c>
      <c r="BU288" s="299" t="str">
        <f t="shared" si="375"/>
        <v>Y</v>
      </c>
      <c r="BV288" s="299" t="str">
        <f t="shared" si="376"/>
        <v>Y</v>
      </c>
      <c r="BW288" s="300" t="str">
        <f t="shared" si="384"/>
        <v>Y</v>
      </c>
      <c r="BY288" s="355">
        <f t="shared" si="385"/>
        <v>0</v>
      </c>
      <c r="BZ288" s="356">
        <f t="shared" si="386"/>
        <v>0</v>
      </c>
      <c r="CA288" s="356">
        <f t="shared" si="387"/>
        <v>0.95</v>
      </c>
      <c r="CB288" s="357">
        <f t="shared" si="388"/>
        <v>0.95</v>
      </c>
      <c r="CD288" s="312">
        <f t="shared" si="389"/>
        <v>283</v>
      </c>
    </row>
    <row r="289" spans="1:82" s="48" customFormat="1" outlineLevel="1" x14ac:dyDescent="0.3">
      <c r="A289" s="202">
        <v>78229000</v>
      </c>
      <c r="B289" s="48">
        <f>VLOOKUP(C289,'NCES ID'!$A$2:$B$3136,2,FALSE)</f>
        <v>400899</v>
      </c>
      <c r="C289" s="48">
        <f>VLOOKUP(A289,'State ID'!$A$2:$B$713,2,FALSE)</f>
        <v>92047</v>
      </c>
      <c r="D289" s="48" t="s">
        <v>254</v>
      </c>
      <c r="E289" s="48" t="s">
        <v>7</v>
      </c>
      <c r="F289" s="755"/>
      <c r="G289" s="755"/>
      <c r="H289" s="755"/>
      <c r="I289" s="755"/>
      <c r="J289" s="755"/>
      <c r="K289" s="755"/>
      <c r="L289" s="454"/>
      <c r="M289" s="455"/>
      <c r="N289" s="456"/>
      <c r="O289" s="209">
        <f>VLOOKUP($C289,'Final SEA Counts'!$A$2:$F$709,5,FALSE)</f>
        <v>1061</v>
      </c>
      <c r="P289" s="223">
        <f>VLOOKUP($C289,'Final SEA Counts'!$A$2:$F$709,6,FALSE)</f>
        <v>183</v>
      </c>
      <c r="Q289" s="749"/>
      <c r="R289" s="454">
        <f t="shared" si="353"/>
        <v>1061</v>
      </c>
      <c r="S289" s="455">
        <f t="shared" si="391"/>
        <v>90.60806215445696</v>
      </c>
      <c r="T289" s="230">
        <f t="shared" si="355"/>
        <v>8.5398739071118723E-2</v>
      </c>
      <c r="U289" s="264" t="str">
        <f>IFERROR(VLOOKUP($B289,#REF!,8,FALSE),"")</f>
        <v/>
      </c>
      <c r="V289" s="265" t="str">
        <f>IFERROR(VLOOKUP($B289,#REF!,9,FALSE),"")</f>
        <v/>
      </c>
      <c r="W289" s="265" t="str">
        <f>IFERROR(VLOOKUP($B289,#REF!,10,FALSE),"")</f>
        <v/>
      </c>
      <c r="X289" s="265" t="str">
        <f>IFERROR(VLOOKUP($B289,#REF!,11,FALSE),"")</f>
        <v/>
      </c>
      <c r="Y289" s="266" t="str">
        <f>IFERROR(VLOOKUP($B289,#REF!,12,FALSE),"")</f>
        <v/>
      </c>
      <c r="Z289" s="265">
        <f t="shared" si="392"/>
        <v>43768.043558721518</v>
      </c>
      <c r="AA289" s="265">
        <f t="shared" si="393"/>
        <v>9051.1610232177773</v>
      </c>
      <c r="AB289" s="265">
        <f t="shared" si="394"/>
        <v>25615.772225518056</v>
      </c>
      <c r="AC289" s="266">
        <f t="shared" si="395"/>
        <v>23844.919066717066</v>
      </c>
      <c r="AD289" s="265">
        <f t="shared" si="365"/>
        <v>43768.043558721518</v>
      </c>
      <c r="AE289" s="265" t="str">
        <f t="shared" si="366"/>
        <v/>
      </c>
      <c r="AF289" s="265">
        <f t="shared" si="367"/>
        <v>25615.772225518056</v>
      </c>
      <c r="AG289" s="266">
        <f t="shared" si="368"/>
        <v>23844.919066717066</v>
      </c>
      <c r="AH289" s="265">
        <f t="shared" si="396"/>
        <v>43768.043558721518</v>
      </c>
      <c r="AI289" s="265" t="str">
        <f t="shared" si="397"/>
        <v/>
      </c>
      <c r="AJ289" s="265">
        <f t="shared" si="398"/>
        <v>25641.112870738314</v>
      </c>
      <c r="AK289" s="265">
        <f t="shared" si="399"/>
        <v>23868.507878682467</v>
      </c>
      <c r="AL289" s="266">
        <f t="shared" si="400"/>
        <v>93277.664308142295</v>
      </c>
      <c r="AM289" s="347"/>
      <c r="AN289" s="264">
        <f>IFERROR(VLOOKUP($A289,'HH &amp; SI'!$B$4:$Z$494,'HH &amp; SI'!V$503,0),0)</f>
        <v>43171.019036333855</v>
      </c>
      <c r="AO289" s="265">
        <f>IFERROR(VLOOKUP($A289,'HH &amp; SI'!$B$4:$Z$494,'HH &amp; SI'!W$503,0),0)</f>
        <v>5082.8829754984399</v>
      </c>
      <c r="AP289" s="265">
        <f>IFERROR(VLOOKUP($A289,'HH &amp; SI'!$B$4:$Z$494,'HH &amp; SI'!X$503,0),0)</f>
        <v>25407.916960372942</v>
      </c>
      <c r="AQ289" s="265">
        <f>IFERROR(VLOOKUP($A289,'HH &amp; SI'!$B$4:$Z$494,'HH &amp; SI'!Y$503,0),0)</f>
        <v>23605.519887368304</v>
      </c>
      <c r="AR289" s="266">
        <f t="shared" si="369"/>
        <v>97267.33885957353</v>
      </c>
      <c r="AS289" s="347"/>
      <c r="AT289" s="324">
        <f>IFERROR(VLOOKUP(A289,'Afton FY16 Final'!$A$5:$BV$572,'Afton FY16 Final'!$BV$587,0),0)</f>
        <v>87791.050674681508</v>
      </c>
      <c r="AU289" s="347"/>
      <c r="AV289" s="454">
        <v>0</v>
      </c>
      <c r="AW289" s="265">
        <f>IFERROR(VLOOKUP($A289,'HH &amp; SI'!$B$4:$EY$503,'HH &amp; SI'!EX$503,0),0)</f>
        <v>5448.2452719451394</v>
      </c>
      <c r="AX289" s="265">
        <f>IFERROR(VLOOKUP($A289,'HH &amp; SI'!$B$4:$EY$503,'HH &amp; SI'!EY$503,0),0)</f>
        <v>91819.093587628391</v>
      </c>
      <c r="AY289" s="265">
        <f>AX289/$AX$582*'update_State Admin 1004(b)'!$B$30*0.01</f>
        <v>878.77468557896361</v>
      </c>
      <c r="AZ289" s="266">
        <f t="shared" si="370"/>
        <v>90940.318902049432</v>
      </c>
      <c r="BA289" s="264">
        <f t="shared" si="371"/>
        <v>909.40318902049432</v>
      </c>
      <c r="BB289" s="265">
        <f t="shared" si="372"/>
        <v>90030.915713028939</v>
      </c>
      <c r="BC289" s="342">
        <f t="shared" si="381"/>
        <v>1.0255135918881695</v>
      </c>
      <c r="BD289" s="347"/>
      <c r="BE289" s="377" t="str">
        <f>'Original Title I &amp; II'!AZ289</f>
        <v/>
      </c>
      <c r="BF289" s="244" t="str">
        <f t="shared" si="403"/>
        <v/>
      </c>
      <c r="BG289" s="266">
        <f t="shared" si="364"/>
        <v>90030.915713028939</v>
      </c>
      <c r="BI289" s="203" t="str">
        <f>IFERROR(VLOOKUP(A289,'Title II Hold Harmless'!A$1:B$439,2, FALSE),"")</f>
        <v/>
      </c>
      <c r="BJ289" s="203">
        <f t="shared" si="373"/>
        <v>2040.0328666611922</v>
      </c>
      <c r="BK289" s="203">
        <f t="shared" si="401"/>
        <v>2042.0063778490794</v>
      </c>
      <c r="BL289" s="203" t="str">
        <f t="shared" si="377"/>
        <v/>
      </c>
      <c r="BM289" s="203">
        <f t="shared" si="378"/>
        <v>2042.0063778490794</v>
      </c>
      <c r="BN289" s="200"/>
      <c r="BP289" s="298" t="s">
        <v>1448</v>
      </c>
      <c r="BQ289" s="299" t="str">
        <f t="shared" si="382"/>
        <v>Y</v>
      </c>
      <c r="BR289" s="300" t="s">
        <v>1448</v>
      </c>
      <c r="BT289" s="298" t="str">
        <f t="shared" si="383"/>
        <v>Y</v>
      </c>
      <c r="BU289" s="299" t="str">
        <f t="shared" si="375"/>
        <v>N</v>
      </c>
      <c r="BV289" s="299" t="str">
        <f t="shared" si="376"/>
        <v>Y</v>
      </c>
      <c r="BW289" s="300" t="str">
        <f t="shared" si="384"/>
        <v>Y</v>
      </c>
      <c r="BY289" s="355">
        <f t="shared" si="385"/>
        <v>0.85</v>
      </c>
      <c r="BZ289" s="356">
        <f t="shared" si="386"/>
        <v>0</v>
      </c>
      <c r="CA289" s="356">
        <f t="shared" si="387"/>
        <v>0</v>
      </c>
      <c r="CB289" s="357">
        <f t="shared" si="388"/>
        <v>0.85</v>
      </c>
      <c r="CD289" s="312">
        <f t="shared" si="389"/>
        <v>284</v>
      </c>
    </row>
    <row r="290" spans="1:82" s="48" customFormat="1" outlineLevel="1" x14ac:dyDescent="0.3">
      <c r="A290" s="202">
        <v>78215000</v>
      </c>
      <c r="B290" s="48">
        <f>VLOOKUP(C290,'NCES ID'!$A$2:$B$3136,2,FALSE)</f>
        <v>400871</v>
      </c>
      <c r="C290" s="48">
        <f>VLOOKUP(A290,'State ID'!$A$2:$B$713,2,FALSE)</f>
        <v>91763</v>
      </c>
      <c r="D290" s="48" t="s">
        <v>256</v>
      </c>
      <c r="E290" s="48" t="s">
        <v>7</v>
      </c>
      <c r="F290" s="755"/>
      <c r="G290" s="755"/>
      <c r="H290" s="755"/>
      <c r="I290" s="755"/>
      <c r="J290" s="755"/>
      <c r="K290" s="755"/>
      <c r="L290" s="454"/>
      <c r="M290" s="455"/>
      <c r="N290" s="456"/>
      <c r="O290" s="209">
        <f>VLOOKUP($C290,'Final SEA Counts'!$A$2:$F$709,5,FALSE)</f>
        <v>876</v>
      </c>
      <c r="P290" s="223">
        <f>VLOOKUP($C290,'Final SEA Counts'!$A$2:$F$709,6,FALSE)</f>
        <v>303</v>
      </c>
      <c r="Q290" s="749"/>
      <c r="R290" s="454">
        <f t="shared" si="353"/>
        <v>876</v>
      </c>
      <c r="S290" s="455">
        <f t="shared" si="391"/>
        <v>150.02318487869104</v>
      </c>
      <c r="T290" s="230">
        <f t="shared" si="355"/>
        <v>0.17125934346882538</v>
      </c>
      <c r="U290" s="264" t="str">
        <f>IFERROR(VLOOKUP($B290,#REF!,8,FALSE),"")</f>
        <v/>
      </c>
      <c r="V290" s="265" t="str">
        <f>IFERROR(VLOOKUP($B290,#REF!,9,FALSE),"")</f>
        <v/>
      </c>
      <c r="W290" s="265" t="str">
        <f>IFERROR(VLOOKUP($B290,#REF!,10,FALSE),"")</f>
        <v/>
      </c>
      <c r="X290" s="265" t="str">
        <f>IFERROR(VLOOKUP($B290,#REF!,11,FALSE),"")</f>
        <v/>
      </c>
      <c r="Y290" s="266" t="str">
        <f>IFERROR(VLOOKUP($B290,#REF!,12,FALSE),"")</f>
        <v/>
      </c>
      <c r="Z290" s="265">
        <f t="shared" si="392"/>
        <v>72468.399990670063</v>
      </c>
      <c r="AA290" s="265">
        <f t="shared" si="393"/>
        <v>14986.348579426158</v>
      </c>
      <c r="AB290" s="265">
        <f t="shared" si="394"/>
        <v>42412.999914382359</v>
      </c>
      <c r="AC290" s="266">
        <f t="shared" si="395"/>
        <v>39480.93156948236</v>
      </c>
      <c r="AD290" s="265">
        <f t="shared" si="365"/>
        <v>72468.399990670063</v>
      </c>
      <c r="AE290" s="265">
        <f t="shared" si="366"/>
        <v>14986.348579426158</v>
      </c>
      <c r="AF290" s="265">
        <f t="shared" si="367"/>
        <v>42412.999914382359</v>
      </c>
      <c r="AG290" s="266">
        <f t="shared" si="368"/>
        <v>39480.93156948236</v>
      </c>
      <c r="AH290" s="265">
        <f t="shared" si="396"/>
        <v>72468.399990670063</v>
      </c>
      <c r="AI290" s="265">
        <f t="shared" si="397"/>
        <v>17117.16996225687</v>
      </c>
      <c r="AJ290" s="265">
        <f t="shared" si="398"/>
        <v>42438.34055960262</v>
      </c>
      <c r="AK290" s="265">
        <f t="shared" si="399"/>
        <v>39504.520381447765</v>
      </c>
      <c r="AL290" s="266">
        <f t="shared" si="400"/>
        <v>171528.43089397732</v>
      </c>
      <c r="AM290" s="347"/>
      <c r="AN290" s="264">
        <f>IFERROR(VLOOKUP($A290,'HH &amp; SI'!$B$4:$Z$494,'HH &amp; SI'!V$503,0),0)</f>
        <v>71479.883978192127</v>
      </c>
      <c r="AO290" s="265">
        <f>IFERROR(VLOOKUP($A290,'HH &amp; SI'!$B$4:$Z$494,'HH &amp; SI'!W$503,0),0)</f>
        <v>16553.392965704094</v>
      </c>
      <c r="AP290" s="265">
        <f>IFERROR(VLOOKUP($A290,'HH &amp; SI'!$B$4:$Z$494,'HH &amp; SI'!X$503,0),0)</f>
        <v>42052.380421636612</v>
      </c>
      <c r="AQ290" s="265">
        <f>IFERROR(VLOOKUP($A290,'HH &amp; SI'!$B$4:$Z$494,'HH &amp; SI'!Y$503,0),0)</f>
        <v>39069.251678613386</v>
      </c>
      <c r="AR290" s="266">
        <f t="shared" si="369"/>
        <v>169154.90904414622</v>
      </c>
      <c r="AS290" s="347"/>
      <c r="AT290" s="324">
        <f>IFERROR(VLOOKUP(A290,'Afton FY16 Final'!$A$5:$BV$572,'Afton FY16 Final'!$BV$587,0),0)</f>
        <v>157075.0591613795</v>
      </c>
      <c r="AU290" s="347"/>
      <c r="AV290" s="454">
        <v>0</v>
      </c>
      <c r="AW290" s="265">
        <f>IFERROR(VLOOKUP($A290,'HH &amp; SI'!$B$4:$EY$503,'HH &amp; SI'!EX$503,0),0)</f>
        <v>9474.8909986793878</v>
      </c>
      <c r="AX290" s="265">
        <f>IFERROR(VLOOKUP($A290,'HH &amp; SI'!$B$4:$EY$503,'HH &amp; SI'!EY$503,0),0)</f>
        <v>159680.01804546683</v>
      </c>
      <c r="AY290" s="265">
        <f>AX290/$AX$582*'update_State Admin 1004(b)'!$B$30*0.01</f>
        <v>1528.2524817916003</v>
      </c>
      <c r="AZ290" s="266">
        <f t="shared" si="370"/>
        <v>158151.76556367523</v>
      </c>
      <c r="BA290" s="264">
        <f t="shared" si="371"/>
        <v>1581.5176556367524</v>
      </c>
      <c r="BB290" s="265">
        <f t="shared" si="372"/>
        <v>156570.24790803847</v>
      </c>
      <c r="BC290" s="342">
        <f t="shared" si="381"/>
        <v>0.99678617817471338</v>
      </c>
      <c r="BD290" s="347"/>
      <c r="BE290" s="377" t="str">
        <f>'Original Title I &amp; II'!AZ290</f>
        <v/>
      </c>
      <c r="BF290" s="244" t="str">
        <f t="shared" si="403"/>
        <v/>
      </c>
      <c r="BG290" s="266">
        <f t="shared" si="364"/>
        <v>156570.24790803847</v>
      </c>
      <c r="BI290" s="203" t="str">
        <f>IFERROR(VLOOKUP(A290,'Title II Hold Harmless'!A$1:B$439,2, FALSE),"")</f>
        <v/>
      </c>
      <c r="BJ290" s="203">
        <f t="shared" si="373"/>
        <v>2668.9419051612476</v>
      </c>
      <c r="BK290" s="203">
        <f t="shared" si="401"/>
        <v>2671.5238178332124</v>
      </c>
      <c r="BL290" s="203" t="str">
        <f t="shared" si="377"/>
        <v/>
      </c>
      <c r="BM290" s="203">
        <f t="shared" si="378"/>
        <v>2671.5238178332124</v>
      </c>
      <c r="BN290" s="200"/>
      <c r="BP290" s="298" t="s">
        <v>1448</v>
      </c>
      <c r="BQ290" s="299" t="str">
        <f t="shared" si="382"/>
        <v>Y</v>
      </c>
      <c r="BR290" s="300" t="s">
        <v>1448</v>
      </c>
      <c r="BT290" s="298" t="str">
        <f t="shared" si="383"/>
        <v>Y</v>
      </c>
      <c r="BU290" s="299" t="str">
        <f t="shared" si="375"/>
        <v>Y</v>
      </c>
      <c r="BV290" s="299" t="str">
        <f t="shared" si="376"/>
        <v>Y</v>
      </c>
      <c r="BW290" s="300" t="str">
        <f t="shared" si="384"/>
        <v>Y</v>
      </c>
      <c r="BY290" s="355">
        <f t="shared" si="385"/>
        <v>0</v>
      </c>
      <c r="BZ290" s="356">
        <f t="shared" si="386"/>
        <v>0.9</v>
      </c>
      <c r="CA290" s="356">
        <f t="shared" si="387"/>
        <v>0</v>
      </c>
      <c r="CB290" s="357">
        <f t="shared" si="388"/>
        <v>0.9</v>
      </c>
      <c r="CD290" s="312">
        <f t="shared" si="389"/>
        <v>285</v>
      </c>
    </row>
    <row r="291" spans="1:82" s="48" customFormat="1" outlineLevel="1" x14ac:dyDescent="0.3">
      <c r="A291" s="202">
        <v>78784000</v>
      </c>
      <c r="B291" s="48">
        <f>VLOOKUP(C291,'NCES ID'!$A$2:$B$3136,2,FALSE)</f>
        <v>400190</v>
      </c>
      <c r="C291" s="48">
        <f>VLOOKUP(A291,'State ID'!$A$2:$B$713,2,FALSE)</f>
        <v>10968</v>
      </c>
      <c r="D291" s="48" t="s">
        <v>261</v>
      </c>
      <c r="E291" s="48" t="s">
        <v>7</v>
      </c>
      <c r="F291" s="755"/>
      <c r="G291" s="755"/>
      <c r="H291" s="755"/>
      <c r="I291" s="755"/>
      <c r="J291" s="755"/>
      <c r="K291" s="755"/>
      <c r="L291" s="454"/>
      <c r="M291" s="455"/>
      <c r="N291" s="456"/>
      <c r="O291" s="209">
        <f>VLOOKUP($C291,'Final SEA Counts'!$A$2:$F$709,5,FALSE)</f>
        <v>512</v>
      </c>
      <c r="P291" s="223">
        <f>VLOOKUP($C291,'Final SEA Counts'!$A$2:$F$709,6,FALSE)</f>
        <v>478</v>
      </c>
      <c r="Q291" s="749"/>
      <c r="R291" s="454">
        <f t="shared" si="353"/>
        <v>512</v>
      </c>
      <c r="S291" s="455">
        <f t="shared" si="391"/>
        <v>236.67023885153239</v>
      </c>
      <c r="T291" s="230">
        <f t="shared" si="355"/>
        <v>0.4622465602568992</v>
      </c>
      <c r="U291" s="264" t="str">
        <f>IFERROR(VLOOKUP($B291,#REF!,8,FALSE),"")</f>
        <v/>
      </c>
      <c r="V291" s="265" t="str">
        <f>IFERROR(VLOOKUP($B291,#REF!,9,FALSE),"")</f>
        <v/>
      </c>
      <c r="W291" s="265" t="str">
        <f>IFERROR(VLOOKUP($B291,#REF!,10,FALSE),"")</f>
        <v/>
      </c>
      <c r="X291" s="265" t="str">
        <f>IFERROR(VLOOKUP($B291,#REF!,11,FALSE),"")</f>
        <v/>
      </c>
      <c r="Y291" s="266" t="str">
        <f>IFERROR(VLOOKUP($B291,#REF!,12,FALSE),"")</f>
        <v/>
      </c>
      <c r="Z291" s="265">
        <f t="shared" si="392"/>
        <v>114323.08645392834</v>
      </c>
      <c r="AA291" s="265">
        <f t="shared" si="393"/>
        <v>23641.830432230043</v>
      </c>
      <c r="AB291" s="265">
        <f t="shared" si="394"/>
        <v>66908.956960642798</v>
      </c>
      <c r="AC291" s="266">
        <f t="shared" si="395"/>
        <v>62283.449802681738</v>
      </c>
      <c r="AD291" s="265">
        <f t="shared" si="365"/>
        <v>114323.08645392834</v>
      </c>
      <c r="AE291" s="265">
        <f t="shared" si="366"/>
        <v>23641.830432230043</v>
      </c>
      <c r="AF291" s="265">
        <f t="shared" si="367"/>
        <v>66908.956960642798</v>
      </c>
      <c r="AG291" s="266">
        <f t="shared" si="368"/>
        <v>62283.449802681738</v>
      </c>
      <c r="AH291" s="265">
        <f t="shared" si="396"/>
        <v>114323.08645392834</v>
      </c>
      <c r="AI291" s="265">
        <f t="shared" si="397"/>
        <v>25772.651815060755</v>
      </c>
      <c r="AJ291" s="265">
        <f t="shared" si="398"/>
        <v>66934.297605863059</v>
      </c>
      <c r="AK291" s="265">
        <f t="shared" si="399"/>
        <v>62307.038614647143</v>
      </c>
      <c r="AL291" s="266">
        <f t="shared" si="400"/>
        <v>269337.07448949933</v>
      </c>
      <c r="AM291" s="347"/>
      <c r="AN291" s="264">
        <f>IFERROR(VLOOKUP($A291,'HH &amp; SI'!$B$4:$Z$494,'HH &amp; SI'!V$503,0),0)</f>
        <v>115005.16666467389</v>
      </c>
      <c r="AO291" s="265">
        <f>IFERROR(VLOOKUP($A291,'HH &amp; SI'!$B$4:$Z$494,'HH &amp; SI'!W$503,0),0)</f>
        <v>24923.794891542802</v>
      </c>
      <c r="AP291" s="265">
        <f>IFERROR(VLOOKUP($A291,'HH &amp; SI'!$B$4:$Z$494,'HH &amp; SI'!X$503,0),0)</f>
        <v>66325.556302646117</v>
      </c>
      <c r="AQ291" s="265">
        <f>IFERROR(VLOOKUP($A291,'HH &amp; SI'!$B$4:$Z$494,'HH &amp; SI'!Y$503,0),0)</f>
        <v>61620.527207512445</v>
      </c>
      <c r="AR291" s="266">
        <f t="shared" si="369"/>
        <v>267875.04506637529</v>
      </c>
      <c r="AS291" s="347"/>
      <c r="AT291" s="324">
        <f>IFERROR(VLOOKUP(A291,'Afton FY16 Final'!$A$5:$BV$572,'Afton FY16 Final'!$BV$587,0),0)</f>
        <v>252832.82593206351</v>
      </c>
      <c r="AU291" s="347"/>
      <c r="AV291" s="454">
        <v>0</v>
      </c>
      <c r="AW291" s="265">
        <f>IFERROR(VLOOKUP($A291,'HH &amp; SI'!$B$4:$EY$503,'HH &amp; SI'!EX$503,0),0)</f>
        <v>15004.511944775179</v>
      </c>
      <c r="AX291" s="265">
        <f>IFERROR(VLOOKUP($A291,'HH &amp; SI'!$B$4:$EY$503,'HH &amp; SI'!EY$503,0),0)</f>
        <v>252870.53312160011</v>
      </c>
      <c r="AY291" s="265">
        <f>AX291/$AX$582*'update_State Admin 1004(b)'!$B$30*0.01</f>
        <v>2420.1526562015656</v>
      </c>
      <c r="AZ291" s="266">
        <f t="shared" si="370"/>
        <v>250450.38046539854</v>
      </c>
      <c r="BA291" s="264">
        <f t="shared" si="371"/>
        <v>2504.5038046539853</v>
      </c>
      <c r="BB291" s="265">
        <f t="shared" si="372"/>
        <v>247945.87666074454</v>
      </c>
      <c r="BC291" s="342">
        <f t="shared" si="381"/>
        <v>0.98067122315584099</v>
      </c>
      <c r="BD291" s="347"/>
      <c r="BE291" s="377" t="str">
        <f>'Original Title I &amp; II'!AZ291</f>
        <v/>
      </c>
      <c r="BF291" s="244" t="str">
        <f t="shared" si="403"/>
        <v/>
      </c>
      <c r="BG291" s="266">
        <f t="shared" si="364"/>
        <v>247945.87666074454</v>
      </c>
      <c r="BI291" s="203">
        <f>IFERROR(VLOOKUP(A291,'Title II Hold Harmless'!A$1:B$439,2, FALSE),"")</f>
        <v>10834</v>
      </c>
      <c r="BJ291" s="203">
        <f t="shared" si="373"/>
        <v>14344.282082226295</v>
      </c>
      <c r="BK291" s="203">
        <f t="shared" si="401"/>
        <v>14358.158623939966</v>
      </c>
      <c r="BL291" s="203" t="str">
        <f t="shared" si="377"/>
        <v/>
      </c>
      <c r="BM291" s="203">
        <f t="shared" si="378"/>
        <v>14358.158623939966</v>
      </c>
      <c r="BN291" s="200"/>
      <c r="BP291" s="298" t="s">
        <v>1448</v>
      </c>
      <c r="BQ291" s="299" t="str">
        <f t="shared" si="382"/>
        <v>Y</v>
      </c>
      <c r="BR291" s="300" t="s">
        <v>1448</v>
      </c>
      <c r="BT291" s="298" t="str">
        <f t="shared" si="383"/>
        <v>Y</v>
      </c>
      <c r="BU291" s="299" t="str">
        <f t="shared" si="375"/>
        <v>Y</v>
      </c>
      <c r="BV291" s="299" t="str">
        <f t="shared" si="376"/>
        <v>Y</v>
      </c>
      <c r="BW291" s="300" t="str">
        <f t="shared" si="384"/>
        <v>Y</v>
      </c>
      <c r="BY291" s="355">
        <f t="shared" si="385"/>
        <v>0</v>
      </c>
      <c r="BZ291" s="356">
        <f t="shared" si="386"/>
        <v>0</v>
      </c>
      <c r="CA291" s="356">
        <f t="shared" si="387"/>
        <v>0.95</v>
      </c>
      <c r="CB291" s="357">
        <f t="shared" si="388"/>
        <v>0.95</v>
      </c>
      <c r="CD291" s="312">
        <f t="shared" si="389"/>
        <v>286</v>
      </c>
    </row>
    <row r="292" spans="1:82" s="48" customFormat="1" outlineLevel="1" x14ac:dyDescent="0.3">
      <c r="A292" s="202">
        <v>78407000</v>
      </c>
      <c r="C292" s="48">
        <v>850099</v>
      </c>
      <c r="D292" s="48" t="s">
        <v>1404</v>
      </c>
      <c r="E292" s="48" t="s">
        <v>7</v>
      </c>
      <c r="F292" s="755"/>
      <c r="G292" s="755"/>
      <c r="H292" s="755"/>
      <c r="I292" s="755"/>
      <c r="J292" s="755"/>
      <c r="K292" s="755"/>
      <c r="L292" s="454"/>
      <c r="M292" s="455"/>
      <c r="N292" s="456"/>
      <c r="O292" s="209">
        <f>VLOOKUP($C292,'AzEDS FY17 11-14-2016'!$A$1:$D$706,3,FALSE)</f>
        <v>207</v>
      </c>
      <c r="P292" s="223">
        <f>VLOOKUP($C292,'AzEDS FY17 11-14-2016'!$A$1:$D$706,4,FALSE)</f>
        <v>33</v>
      </c>
      <c r="Q292" s="749"/>
      <c r="R292" s="454">
        <f t="shared" si="353"/>
        <v>207</v>
      </c>
      <c r="S292" s="455">
        <f t="shared" si="391"/>
        <v>16.339158749164369</v>
      </c>
      <c r="T292" s="230">
        <f t="shared" si="355"/>
        <v>7.8933134053934151E-2</v>
      </c>
      <c r="U292" s="264"/>
      <c r="V292" s="265"/>
      <c r="W292" s="265"/>
      <c r="X292" s="265"/>
      <c r="Y292" s="266"/>
      <c r="Z292" s="265">
        <f t="shared" si="392"/>
        <v>7892.5980187858477</v>
      </c>
      <c r="AA292" s="265">
        <f t="shared" si="393"/>
        <v>1632.1765779573043</v>
      </c>
      <c r="AB292" s="265">
        <f t="shared" si="394"/>
        <v>4619.2376144376822</v>
      </c>
      <c r="AC292" s="266">
        <f t="shared" si="395"/>
        <v>4299.9034382604541</v>
      </c>
      <c r="AD292" s="265">
        <f t="shared" si="365"/>
        <v>7892.5980187858477</v>
      </c>
      <c r="AE292" s="265" t="str">
        <f t="shared" si="366"/>
        <v/>
      </c>
      <c r="AF292" s="265">
        <f t="shared" si="367"/>
        <v>4619.2376144376822</v>
      </c>
      <c r="AG292" s="266">
        <f t="shared" si="368"/>
        <v>4299.9034382604541</v>
      </c>
      <c r="AH292" s="265">
        <f t="shared" si="396"/>
        <v>7892.5980187858477</v>
      </c>
      <c r="AI292" s="265" t="str">
        <f t="shared" si="397"/>
        <v/>
      </c>
      <c r="AJ292" s="265">
        <f t="shared" si="398"/>
        <v>4644.5782596579411</v>
      </c>
      <c r="AK292" s="265">
        <f t="shared" si="399"/>
        <v>4323.4922502258569</v>
      </c>
      <c r="AL292" s="266">
        <f t="shared" si="400"/>
        <v>16860.668528669645</v>
      </c>
      <c r="AM292" s="347"/>
      <c r="AN292" s="264">
        <f>IFERROR(VLOOKUP($A292,'HH &amp; SI'!$B$4:$Z$494,'HH &amp; SI'!V$503,0),0)</f>
        <v>7784.9378590110236</v>
      </c>
      <c r="AO292" s="265">
        <f>IFERROR(VLOOKUP($A292,'HH &amp; SI'!$B$4:$Z$494,'HH &amp; SI'!W$503,0),0)</f>
        <v>0</v>
      </c>
      <c r="AP292" s="265">
        <f>IFERROR(VLOOKUP($A292,'HH &amp; SI'!$B$4:$Z$494,'HH &amp; SI'!X$503,0),0)</f>
        <v>4602.3376337933678</v>
      </c>
      <c r="AQ292" s="265">
        <f>IFERROR(VLOOKUP($A292,'HH &amp; SI'!$B$4:$Z$494,'HH &amp; SI'!Y$503,0),0)</f>
        <v>4275.85514831197</v>
      </c>
      <c r="AR292" s="266">
        <f t="shared" si="369"/>
        <v>16663.13064111636</v>
      </c>
      <c r="AS292" s="347"/>
      <c r="AT292" s="324">
        <f>IFERROR(VLOOKUP(A292,'Afton FY16 Final'!$A$5:$BV$572,'Afton FY16 Final'!$BV$587,0),0)</f>
        <v>0</v>
      </c>
      <c r="AU292" s="347"/>
      <c r="AV292" s="454">
        <v>0</v>
      </c>
      <c r="AW292" s="265">
        <f>IFERROR(VLOOKUP($A292,'HH &amp; SI'!$B$4:$EY$503,'HH &amp; SI'!EX$503,0),0)</f>
        <v>933.35361896076392</v>
      </c>
      <c r="AX292" s="265">
        <f>IFERROR(VLOOKUP($A292,'HH &amp; SI'!$B$4:$EY$503,'HH &amp; SI'!EY$503,0),0)</f>
        <v>15729.777022155597</v>
      </c>
      <c r="AY292" s="265">
        <f>AX292/$AX$582*'update_State Admin 1004(b)'!$B$30*0.01</f>
        <v>150.54526587849563</v>
      </c>
      <c r="AZ292" s="266">
        <f t="shared" si="370"/>
        <v>15579.2317562771</v>
      </c>
      <c r="BA292" s="264">
        <f t="shared" si="371"/>
        <v>155.79231756277102</v>
      </c>
      <c r="BB292" s="265">
        <f t="shared" si="372"/>
        <v>15423.439438714329</v>
      </c>
      <c r="BC292" s="342" t="str">
        <f t="shared" si="381"/>
        <v/>
      </c>
      <c r="BD292" s="347"/>
      <c r="BE292" s="377">
        <f>'Original Title I &amp; II'!AZ292</f>
        <v>0</v>
      </c>
      <c r="BF292" s="244"/>
      <c r="BG292" s="266">
        <f t="shared" si="364"/>
        <v>15423.439438714329</v>
      </c>
      <c r="BI292" s="203" t="str">
        <f>IFERROR(VLOOKUP(A292,'Title II Hold Harmless'!A$1:B$439,2, FALSE),"")</f>
        <v/>
      </c>
      <c r="BJ292" s="203">
        <f t="shared" si="373"/>
        <v>380.48770551520045</v>
      </c>
      <c r="BK292" s="203">
        <f t="shared" si="401"/>
        <v>380.8557862240749</v>
      </c>
      <c r="BL292" s="203" t="str">
        <f t="shared" si="377"/>
        <v/>
      </c>
      <c r="BM292" s="203">
        <f t="shared" si="378"/>
        <v>380.8557862240749</v>
      </c>
      <c r="BN292" s="200"/>
      <c r="BP292" s="298" t="s">
        <v>1448</v>
      </c>
      <c r="BQ292" s="299" t="str">
        <f t="shared" si="382"/>
        <v>Y</v>
      </c>
      <c r="BR292" s="300" t="s">
        <v>1448</v>
      </c>
      <c r="BT292" s="298" t="str">
        <f t="shared" si="383"/>
        <v>Y</v>
      </c>
      <c r="BU292" s="299" t="str">
        <f t="shared" si="375"/>
        <v>N</v>
      </c>
      <c r="BV292" s="299" t="str">
        <f t="shared" si="376"/>
        <v>Y</v>
      </c>
      <c r="BW292" s="300" t="str">
        <f t="shared" si="384"/>
        <v>Y</v>
      </c>
      <c r="BY292" s="355">
        <f t="shared" si="385"/>
        <v>0.85</v>
      </c>
      <c r="BZ292" s="356">
        <f t="shared" si="386"/>
        <v>0</v>
      </c>
      <c r="CA292" s="356">
        <f t="shared" si="387"/>
        <v>0</v>
      </c>
      <c r="CB292" s="357">
        <f t="shared" si="388"/>
        <v>0.85</v>
      </c>
      <c r="CD292" s="312">
        <f t="shared" si="389"/>
        <v>287</v>
      </c>
    </row>
    <row r="293" spans="1:82" s="48" customFormat="1" outlineLevel="1" x14ac:dyDescent="0.3">
      <c r="A293" s="202">
        <v>78408000</v>
      </c>
      <c r="C293" s="48">
        <v>850100</v>
      </c>
      <c r="D293" s="48" t="s">
        <v>1405</v>
      </c>
      <c r="E293" s="48" t="s">
        <v>7</v>
      </c>
      <c r="F293" s="755"/>
      <c r="G293" s="755"/>
      <c r="H293" s="755"/>
      <c r="I293" s="755"/>
      <c r="J293" s="755"/>
      <c r="K293" s="755"/>
      <c r="L293" s="454"/>
      <c r="M293" s="455"/>
      <c r="N293" s="456"/>
      <c r="O293" s="209">
        <f>VLOOKUP($C293,'AzEDS FY17 11-14-2016'!$A$1:$D$706,3,FALSE)</f>
        <v>949</v>
      </c>
      <c r="P293" s="223">
        <f>VLOOKUP($C293,'AzEDS FY17 11-14-2016'!$A$1:$D$706,4,FALSE)</f>
        <v>98</v>
      </c>
      <c r="Q293" s="749"/>
      <c r="R293" s="454">
        <f t="shared" si="353"/>
        <v>949</v>
      </c>
      <c r="S293" s="455">
        <f t="shared" si="391"/>
        <v>48.522350224791161</v>
      </c>
      <c r="T293" s="230">
        <f t="shared" si="355"/>
        <v>5.112997916205602E-2</v>
      </c>
      <c r="U293" s="264"/>
      <c r="V293" s="265"/>
      <c r="W293" s="265"/>
      <c r="X293" s="265"/>
      <c r="Y293" s="266"/>
      <c r="Z293" s="265">
        <f t="shared" si="392"/>
        <v>23438.624419424639</v>
      </c>
      <c r="AA293" s="265">
        <f t="shared" si="393"/>
        <v>4847.0698375701768</v>
      </c>
      <c r="AB293" s="265">
        <f t="shared" si="394"/>
        <v>13717.735945905846</v>
      </c>
      <c r="AC293" s="266">
        <f t="shared" si="395"/>
        <v>12769.410210591654</v>
      </c>
      <c r="AD293" s="265">
        <f t="shared" si="365"/>
        <v>23438.624419424639</v>
      </c>
      <c r="AE293" s="265" t="str">
        <f t="shared" si="366"/>
        <v/>
      </c>
      <c r="AF293" s="265">
        <f t="shared" si="367"/>
        <v>13717.735945905846</v>
      </c>
      <c r="AG293" s="266">
        <f t="shared" si="368"/>
        <v>12769.410210591654</v>
      </c>
      <c r="AH293" s="265">
        <f t="shared" si="396"/>
        <v>23438.624419424639</v>
      </c>
      <c r="AI293" s="265" t="str">
        <f t="shared" si="397"/>
        <v/>
      </c>
      <c r="AJ293" s="265">
        <f t="shared" si="398"/>
        <v>13743.076591126106</v>
      </c>
      <c r="AK293" s="265">
        <f t="shared" si="399"/>
        <v>12792.999022557056</v>
      </c>
      <c r="AL293" s="266">
        <f t="shared" si="400"/>
        <v>49974.700033107802</v>
      </c>
      <c r="AM293" s="347"/>
      <c r="AN293" s="264">
        <f>IFERROR(VLOOKUP($A293,'HH &amp; SI'!$B$4:$Z$494,'HH &amp; SI'!V$503,0),0)</f>
        <v>23118.906369184253</v>
      </c>
      <c r="AO293" s="265">
        <f>IFERROR(VLOOKUP($A293,'HH &amp; SI'!$B$4:$Z$494,'HH &amp; SI'!W$503,0),0)</f>
        <v>0</v>
      </c>
      <c r="AP293" s="265">
        <f>IFERROR(VLOOKUP($A293,'HH &amp; SI'!$B$4:$Z$494,'HH &amp; SI'!X$503,0),0)</f>
        <v>13618.088675311188</v>
      </c>
      <c r="AQ293" s="265">
        <f>IFERROR(VLOOKUP($A293,'HH &amp; SI'!$B$4:$Z$494,'HH &amp; SI'!Y$503,0),0)</f>
        <v>12652.04320190305</v>
      </c>
      <c r="AR293" s="266">
        <f t="shared" si="369"/>
        <v>49389.038246398493</v>
      </c>
      <c r="AS293" s="347"/>
      <c r="AT293" s="324">
        <f>IFERROR(VLOOKUP(A293,'Afton FY16 Final'!$A$5:$BV$572,'Afton FY16 Final'!$BV$587,0),0)</f>
        <v>0</v>
      </c>
      <c r="AU293" s="347"/>
      <c r="AV293" s="454">
        <v>0</v>
      </c>
      <c r="AW293" s="265">
        <f>IFERROR(VLOOKUP($A293,'HH &amp; SI'!$B$4:$EY$503,'HH &amp; SI'!EX$503,0),0)</f>
        <v>2766.4331857617362</v>
      </c>
      <c r="AX293" s="265">
        <f>IFERROR(VLOOKUP($A293,'HH &amp; SI'!$B$4:$EY$503,'HH &amp; SI'!EY$503,0),0)</f>
        <v>46622.605060636757</v>
      </c>
      <c r="AY293" s="265">
        <f>AX293/$AX$582*'update_State Admin 1004(b)'!$B$30*0.01</f>
        <v>446.21182264157761</v>
      </c>
      <c r="AZ293" s="266">
        <f t="shared" si="370"/>
        <v>46176.39323799518</v>
      </c>
      <c r="BA293" s="264">
        <f t="shared" si="371"/>
        <v>461.76393237995183</v>
      </c>
      <c r="BB293" s="265">
        <f t="shared" si="372"/>
        <v>45714.629305615228</v>
      </c>
      <c r="BC293" s="342" t="str">
        <f t="shared" si="381"/>
        <v/>
      </c>
      <c r="BD293" s="347"/>
      <c r="BE293" s="377">
        <f>'Original Title I &amp; II'!AZ293</f>
        <v>0</v>
      </c>
      <c r="BF293" s="244"/>
      <c r="BG293" s="266">
        <f t="shared" si="364"/>
        <v>45714.629305615228</v>
      </c>
      <c r="BI293" s="203" t="str">
        <f>IFERROR(VLOOKUP(A293,'Title II Hold Harmless'!A$1:B$439,2, FALSE),"")</f>
        <v/>
      </c>
      <c r="BJ293" s="203">
        <f t="shared" si="373"/>
        <v>1398.9557731900952</v>
      </c>
      <c r="BK293" s="203">
        <f t="shared" si="401"/>
        <v>1400.3091116165826</v>
      </c>
      <c r="BL293" s="203" t="str">
        <f t="shared" si="377"/>
        <v/>
      </c>
      <c r="BM293" s="203">
        <f t="shared" si="378"/>
        <v>1400.3091116165826</v>
      </c>
      <c r="BN293" s="200"/>
      <c r="BP293" s="298" t="s">
        <v>1448</v>
      </c>
      <c r="BQ293" s="299" t="str">
        <f t="shared" si="382"/>
        <v>Y</v>
      </c>
      <c r="BR293" s="300" t="s">
        <v>1448</v>
      </c>
      <c r="BT293" s="298" t="str">
        <f t="shared" si="383"/>
        <v>Y</v>
      </c>
      <c r="BU293" s="299" t="str">
        <f t="shared" si="375"/>
        <v>N</v>
      </c>
      <c r="BV293" s="299" t="str">
        <f t="shared" si="376"/>
        <v>Y</v>
      </c>
      <c r="BW293" s="300" t="str">
        <f t="shared" si="384"/>
        <v>Y</v>
      </c>
      <c r="BY293" s="355">
        <f t="shared" si="385"/>
        <v>0.85</v>
      </c>
      <c r="BZ293" s="356">
        <f t="shared" si="386"/>
        <v>0</v>
      </c>
      <c r="CA293" s="356">
        <f t="shared" si="387"/>
        <v>0</v>
      </c>
      <c r="CB293" s="357">
        <f t="shared" si="388"/>
        <v>0.85</v>
      </c>
      <c r="CD293" s="312">
        <f t="shared" si="389"/>
        <v>288</v>
      </c>
    </row>
    <row r="294" spans="1:82" s="48" customFormat="1" outlineLevel="1" x14ac:dyDescent="0.3">
      <c r="A294" s="202">
        <v>78409000</v>
      </c>
      <c r="C294" s="48">
        <v>850101</v>
      </c>
      <c r="D294" s="48" t="s">
        <v>1406</v>
      </c>
      <c r="E294" s="48" t="s">
        <v>7</v>
      </c>
      <c r="F294" s="755"/>
      <c r="G294" s="755"/>
      <c r="H294" s="755"/>
      <c r="I294" s="755"/>
      <c r="J294" s="755"/>
      <c r="K294" s="755"/>
      <c r="L294" s="454"/>
      <c r="M294" s="455"/>
      <c r="N294" s="456"/>
      <c r="O294" s="209">
        <f>VLOOKUP($C294,'AzEDS FY17 11-14-2016'!$A$1:$D$706,3,FALSE)</f>
        <v>441</v>
      </c>
      <c r="P294" s="223">
        <f>VLOOKUP($C294,'AzEDS FY17 11-14-2016'!$A$1:$D$706,4,FALSE)</f>
        <v>42</v>
      </c>
      <c r="Q294" s="749"/>
      <c r="R294" s="454">
        <f t="shared" si="353"/>
        <v>441</v>
      </c>
      <c r="S294" s="455">
        <f t="shared" si="391"/>
        <v>20.795292953481926</v>
      </c>
      <c r="T294" s="230">
        <f t="shared" si="355"/>
        <v>4.7154859304947679E-2</v>
      </c>
      <c r="U294" s="264"/>
      <c r="V294" s="265"/>
      <c r="W294" s="265"/>
      <c r="X294" s="265"/>
      <c r="Y294" s="266"/>
      <c r="Z294" s="265">
        <f t="shared" si="392"/>
        <v>10045.124751181987</v>
      </c>
      <c r="AA294" s="265">
        <f t="shared" si="393"/>
        <v>2077.3156446729326</v>
      </c>
      <c r="AB294" s="265">
        <f t="shared" si="394"/>
        <v>5879.0296911025052</v>
      </c>
      <c r="AC294" s="266">
        <f t="shared" si="395"/>
        <v>5472.6043759678514</v>
      </c>
      <c r="AD294" s="265">
        <f t="shared" si="365"/>
        <v>10045.124751181987</v>
      </c>
      <c r="AE294" s="265" t="str">
        <f t="shared" si="366"/>
        <v/>
      </c>
      <c r="AF294" s="265" t="str">
        <f t="shared" si="367"/>
        <v/>
      </c>
      <c r="AG294" s="266" t="str">
        <f t="shared" si="368"/>
        <v/>
      </c>
      <c r="AH294" s="265">
        <f t="shared" si="396"/>
        <v>10045.124751181987</v>
      </c>
      <c r="AI294" s="265" t="str">
        <f t="shared" si="397"/>
        <v/>
      </c>
      <c r="AJ294" s="265" t="str">
        <f t="shared" si="398"/>
        <v/>
      </c>
      <c r="AK294" s="265" t="str">
        <f t="shared" si="399"/>
        <v/>
      </c>
      <c r="AL294" s="266">
        <f t="shared" si="400"/>
        <v>10045.124751181987</v>
      </c>
      <c r="AM294" s="347"/>
      <c r="AN294" s="264">
        <f>IFERROR(VLOOKUP($A294,'HH &amp; SI'!$B$4:$Z$494,'HH &amp; SI'!V$503,0),0)</f>
        <v>9908.1027296503926</v>
      </c>
      <c r="AO294" s="265">
        <f>IFERROR(VLOOKUP($A294,'HH &amp; SI'!$B$4:$Z$494,'HH &amp; SI'!W$503,0),0)</f>
        <v>0</v>
      </c>
      <c r="AP294" s="265">
        <f>IFERROR(VLOOKUP($A294,'HH &amp; SI'!$B$4:$Z$494,'HH &amp; SI'!X$503,0),0)</f>
        <v>0</v>
      </c>
      <c r="AQ294" s="265">
        <f>IFERROR(VLOOKUP($A294,'HH &amp; SI'!$B$4:$Z$494,'HH &amp; SI'!Y$503,0),0)</f>
        <v>0</v>
      </c>
      <c r="AR294" s="266">
        <f t="shared" si="369"/>
        <v>9908.1027296503926</v>
      </c>
      <c r="AS294" s="347"/>
      <c r="AT294" s="324">
        <f>IFERROR(VLOOKUP(A294,'Afton FY16 Final'!$A$5:$BV$572,'Afton FY16 Final'!$BV$587,0),0)</f>
        <v>0</v>
      </c>
      <c r="AU294" s="347"/>
      <c r="AV294" s="454">
        <v>0</v>
      </c>
      <c r="AW294" s="265">
        <f>IFERROR(VLOOKUP($A294,'HH &amp; SI'!$B$4:$EY$503,'HH &amp; SI'!EX$503,0),0)</f>
        <v>554.98355854783586</v>
      </c>
      <c r="AX294" s="265">
        <f>IFERROR(VLOOKUP($A294,'HH &amp; SI'!$B$4:$EY$503,'HH &amp; SI'!EY$503,0),0)</f>
        <v>9353.1191711025567</v>
      </c>
      <c r="AY294" s="265">
        <f>AX294/$AX$582*'update_State Admin 1004(b)'!$B$30*0.01</f>
        <v>89.516069453725052</v>
      </c>
      <c r="AZ294" s="266">
        <f t="shared" si="370"/>
        <v>9263.6031016488323</v>
      </c>
      <c r="BA294" s="264">
        <f t="shared" si="371"/>
        <v>92.636031016488332</v>
      </c>
      <c r="BB294" s="265">
        <f t="shared" si="372"/>
        <v>9170.9670706323432</v>
      </c>
      <c r="BC294" s="342" t="str">
        <f t="shared" si="381"/>
        <v/>
      </c>
      <c r="BD294" s="347"/>
      <c r="BE294" s="377">
        <f>'Original Title I &amp; II'!AZ294</f>
        <v>0</v>
      </c>
      <c r="BF294" s="244"/>
      <c r="BG294" s="266">
        <f t="shared" si="364"/>
        <v>9170.9670706323432</v>
      </c>
      <c r="BI294" s="203" t="str">
        <f>IFERROR(VLOOKUP(A294,'Title II Hold Harmless'!A$1:B$439,2, FALSE),"")</f>
        <v/>
      </c>
      <c r="BJ294" s="203">
        <f t="shared" si="373"/>
        <v>627.14560643547225</v>
      </c>
      <c r="BK294" s="203">
        <f t="shared" si="401"/>
        <v>627.75230198972588</v>
      </c>
      <c r="BL294" s="203" t="str">
        <f t="shared" si="377"/>
        <v/>
      </c>
      <c r="BM294" s="203">
        <f t="shared" si="378"/>
        <v>627.75230198972588</v>
      </c>
      <c r="BN294" s="200"/>
      <c r="BP294" s="298" t="s">
        <v>1448</v>
      </c>
      <c r="BQ294" s="299" t="str">
        <f t="shared" si="382"/>
        <v>Y</v>
      </c>
      <c r="BR294" s="300" t="s">
        <v>1448</v>
      </c>
      <c r="BT294" s="298" t="str">
        <f t="shared" si="383"/>
        <v>Y</v>
      </c>
      <c r="BU294" s="299" t="str">
        <f t="shared" si="375"/>
        <v>N</v>
      </c>
      <c r="BV294" s="299" t="str">
        <f t="shared" si="376"/>
        <v>N</v>
      </c>
      <c r="BW294" s="300" t="str">
        <f t="shared" si="384"/>
        <v>N</v>
      </c>
      <c r="BY294" s="355">
        <f t="shared" si="385"/>
        <v>0.85</v>
      </c>
      <c r="BZ294" s="356">
        <f t="shared" si="386"/>
        <v>0</v>
      </c>
      <c r="CA294" s="356">
        <f t="shared" si="387"/>
        <v>0</v>
      </c>
      <c r="CB294" s="357">
        <f t="shared" si="388"/>
        <v>0.85</v>
      </c>
      <c r="CD294" s="312">
        <f t="shared" si="389"/>
        <v>289</v>
      </c>
    </row>
    <row r="295" spans="1:82" s="48" customFormat="1" outlineLevel="1" x14ac:dyDescent="0.3">
      <c r="A295" s="202">
        <v>78980000</v>
      </c>
      <c r="B295" s="48">
        <f>VLOOKUP(C295,'NCES ID'!$A$2:$B$3136,2,FALSE)</f>
        <v>400383</v>
      </c>
      <c r="C295" s="48">
        <f>VLOOKUP(A295,'State ID'!$A$2:$B$713,2,FALSE)</f>
        <v>80299</v>
      </c>
      <c r="D295" s="48" t="s">
        <v>796</v>
      </c>
      <c r="E295" s="48" t="s">
        <v>7</v>
      </c>
      <c r="F295" s="755"/>
      <c r="G295" s="755"/>
      <c r="H295" s="755"/>
      <c r="I295" s="755"/>
      <c r="J295" s="755"/>
      <c r="K295" s="755"/>
      <c r="L295" s="454"/>
      <c r="M295" s="455"/>
      <c r="N295" s="456"/>
      <c r="O295" s="209">
        <f>VLOOKUP($C295,'Final SEA Counts'!$A$2:$F$709,5,FALSE)</f>
        <v>43</v>
      </c>
      <c r="P295" s="223">
        <f>VLOOKUP($C295,'Final SEA Counts'!$A$2:$F$709,6,FALSE)</f>
        <v>31</v>
      </c>
      <c r="Q295" s="749"/>
      <c r="R295" s="454">
        <f t="shared" si="353"/>
        <v>43</v>
      </c>
      <c r="S295" s="455">
        <f t="shared" si="391"/>
        <v>15.348906703760468</v>
      </c>
      <c r="T295" s="230">
        <f t="shared" si="355"/>
        <v>0.35695131869210389</v>
      </c>
      <c r="U295" s="264"/>
      <c r="V295" s="265"/>
      <c r="W295" s="265"/>
      <c r="X295" s="265"/>
      <c r="Y295" s="266"/>
      <c r="Z295" s="265">
        <f t="shared" si="392"/>
        <v>7414.2587449200382</v>
      </c>
      <c r="AA295" s="265">
        <f t="shared" si="393"/>
        <v>1533.2567853538312</v>
      </c>
      <c r="AB295" s="265">
        <f t="shared" si="394"/>
        <v>4339.2838196232769</v>
      </c>
      <c r="AC295" s="266">
        <f t="shared" si="395"/>
        <v>4039.3032298810331</v>
      </c>
      <c r="AD295" s="265">
        <f t="shared" si="365"/>
        <v>7414.2587449200382</v>
      </c>
      <c r="AE295" s="265">
        <f t="shared" si="366"/>
        <v>1533.2567853538312</v>
      </c>
      <c r="AF295" s="265">
        <f t="shared" si="367"/>
        <v>4339.2838196232769</v>
      </c>
      <c r="AG295" s="266">
        <f t="shared" si="368"/>
        <v>4039.3032298810331</v>
      </c>
      <c r="AH295" s="265">
        <f t="shared" si="396"/>
        <v>7414.2587449200382</v>
      </c>
      <c r="AI295" s="265">
        <f t="shared" si="397"/>
        <v>3664.0781681845438</v>
      </c>
      <c r="AJ295" s="265">
        <f t="shared" si="398"/>
        <v>4364.6244648435359</v>
      </c>
      <c r="AK295" s="265">
        <f t="shared" si="399"/>
        <v>4062.8920418464354</v>
      </c>
      <c r="AL295" s="266">
        <f t="shared" ref="AL295" si="404">SUM(AH295:AK295)</f>
        <v>19505.853419794556</v>
      </c>
      <c r="AM295" s="347"/>
      <c r="AN295" s="264">
        <f>IFERROR(VLOOKUP($A295,'HH &amp; SI'!$B$4:$Z$494,'HH &amp; SI'!V$503,0),0)</f>
        <v>7313.123443313385</v>
      </c>
      <c r="AO295" s="265">
        <f>IFERROR(VLOOKUP($A295,'HH &amp; SI'!$B$4:$Z$494,'HH &amp; SI'!W$503,0),0)</f>
        <v>3543.3968295433692</v>
      </c>
      <c r="AP295" s="265">
        <f>IFERROR(VLOOKUP($A295,'HH &amp; SI'!$B$4:$Z$494,'HH &amp; SI'!X$503,0),0)</f>
        <v>4324.9299094389735</v>
      </c>
      <c r="AQ295" s="265">
        <f>IFERROR(VLOOKUP($A295,'HH &amp; SI'!$B$4:$Z$494,'HH &amp; SI'!Y$503,0),0)</f>
        <v>4018.126285124551</v>
      </c>
      <c r="AR295" s="266">
        <f t="shared" si="369"/>
        <v>19199.57646742028</v>
      </c>
      <c r="AS295" s="347"/>
      <c r="AT295" s="324">
        <f>IFERROR(VLOOKUP(A295,'Afton FY16 Final'!$A$5:$BV$572,'Afton FY16 Final'!$BV$587,0),0)</f>
        <v>0</v>
      </c>
      <c r="AU295" s="347"/>
      <c r="AV295" s="454">
        <v>0</v>
      </c>
      <c r="AW295" s="265">
        <f>IFERROR(VLOOKUP($A295,'HH &amp; SI'!$B$4:$EY$503,'HH &amp; SI'!EX$503,0),0)</f>
        <v>1075.4278151167418</v>
      </c>
      <c r="AX295" s="265">
        <f>IFERROR(VLOOKUP($A295,'HH &amp; SI'!$B$4:$EY$503,'HH &amp; SI'!EY$503,0),0)</f>
        <v>18124.148652303538</v>
      </c>
      <c r="AY295" s="265">
        <f>AX295/$AX$582*'update_State Admin 1004(b)'!$B$30*0.01</f>
        <v>173.46112242018938</v>
      </c>
      <c r="AZ295" s="266">
        <f t="shared" si="370"/>
        <v>17950.687529883347</v>
      </c>
      <c r="BA295" s="264">
        <f t="shared" si="371"/>
        <v>179.50687529883348</v>
      </c>
      <c r="BB295" s="265">
        <f t="shared" si="372"/>
        <v>17771.180654584514</v>
      </c>
      <c r="BC295" s="342" t="str">
        <f t="shared" si="381"/>
        <v/>
      </c>
      <c r="BD295" s="347"/>
      <c r="BE295" s="377">
        <f>'Original Title I &amp; II'!AZ295</f>
        <v>0</v>
      </c>
      <c r="BF295" s="244"/>
      <c r="BG295" s="266">
        <f t="shared" si="364"/>
        <v>17771.180654584514</v>
      </c>
      <c r="BI295" s="203" t="str">
        <f>IFERROR(VLOOKUP(A295,'Title II Hold Harmless'!A$1:B$439,2, FALSE),"")</f>
        <v/>
      </c>
      <c r="BJ295" s="203">
        <f t="shared" si="373"/>
        <v>235.53727342095289</v>
      </c>
      <c r="BK295" s="203">
        <f t="shared" si="401"/>
        <v>235.76513026181911</v>
      </c>
      <c r="BL295" s="203"/>
      <c r="BM295" s="203">
        <f t="shared" si="378"/>
        <v>235.76513026181911</v>
      </c>
      <c r="BN295" s="200"/>
      <c r="BP295" s="298" t="s">
        <v>1448</v>
      </c>
      <c r="BQ295" s="299" t="str">
        <f t="shared" si="382"/>
        <v>Y</v>
      </c>
      <c r="BR295" s="300" t="s">
        <v>1448</v>
      </c>
      <c r="BT295" s="298" t="str">
        <f t="shared" si="383"/>
        <v>Y</v>
      </c>
      <c r="BU295" s="299" t="str">
        <f t="shared" si="375"/>
        <v>Y</v>
      </c>
      <c r="BV295" s="299" t="str">
        <f t="shared" si="376"/>
        <v>Y</v>
      </c>
      <c r="BW295" s="300" t="str">
        <f t="shared" si="384"/>
        <v>Y</v>
      </c>
      <c r="BY295" s="355">
        <f t="shared" si="385"/>
        <v>0</v>
      </c>
      <c r="BZ295" s="356">
        <f t="shared" si="386"/>
        <v>0</v>
      </c>
      <c r="CA295" s="356">
        <f t="shared" si="387"/>
        <v>0.95</v>
      </c>
      <c r="CB295" s="357">
        <f t="shared" si="388"/>
        <v>0.95</v>
      </c>
      <c r="CD295" s="312">
        <f t="shared" si="389"/>
        <v>290</v>
      </c>
    </row>
    <row r="296" spans="1:82" s="48" customFormat="1" outlineLevel="1" x14ac:dyDescent="0.3">
      <c r="A296" s="202">
        <v>78219000</v>
      </c>
      <c r="B296" s="48" t="e">
        <f>VLOOKUP(C296,'NCES ID'!$A$2:$B$3136,2,FALSE)</f>
        <v>#N/A</v>
      </c>
      <c r="C296" s="48">
        <f>VLOOKUP(A296,'State ID'!$A$2:$B$713,2,FALSE)</f>
        <v>91935</v>
      </c>
      <c r="D296" s="48" t="s">
        <v>266</v>
      </c>
      <c r="E296" s="48" t="s">
        <v>7</v>
      </c>
      <c r="F296" s="755"/>
      <c r="G296" s="755"/>
      <c r="H296" s="755"/>
      <c r="I296" s="755"/>
      <c r="J296" s="755"/>
      <c r="K296" s="755"/>
      <c r="L296" s="454"/>
      <c r="M296" s="455"/>
      <c r="N296" s="456"/>
      <c r="O296" s="209">
        <f>VLOOKUP($C296,'Final SEA Counts'!$A$2:$F$709,5,FALSE)</f>
        <v>254</v>
      </c>
      <c r="P296" s="223">
        <f>VLOOKUP($C296,'Final SEA Counts'!$A$2:$F$709,6,FALSE)</f>
        <v>137</v>
      </c>
      <c r="Q296" s="749"/>
      <c r="R296" s="454">
        <f t="shared" si="353"/>
        <v>254</v>
      </c>
      <c r="S296" s="455">
        <f t="shared" si="391"/>
        <v>67.832265110167228</v>
      </c>
      <c r="T296" s="230">
        <f t="shared" si="355"/>
        <v>0.26705616185105208</v>
      </c>
      <c r="U296" s="264" t="str">
        <f>IFERROR(VLOOKUP($B296,#REF!,8,FALSE),"")</f>
        <v/>
      </c>
      <c r="V296" s="265" t="str">
        <f>IFERROR(VLOOKUP($B296,#REF!,9,FALSE),"")</f>
        <v/>
      </c>
      <c r="W296" s="265" t="str">
        <f>IFERROR(VLOOKUP($B296,#REF!,10,FALSE),"")</f>
        <v/>
      </c>
      <c r="X296" s="265" t="str">
        <f>IFERROR(VLOOKUP($B296,#REF!,11,FALSE),"")</f>
        <v/>
      </c>
      <c r="Y296" s="266" t="str">
        <f>IFERROR(VLOOKUP($B296,#REF!,12,FALSE),"")</f>
        <v/>
      </c>
      <c r="Z296" s="265">
        <f t="shared" si="392"/>
        <v>32766.24025980791</v>
      </c>
      <c r="AA296" s="265">
        <f t="shared" si="393"/>
        <v>6776.0057933378994</v>
      </c>
      <c r="AB296" s="265">
        <f t="shared" si="394"/>
        <v>19176.83494478674</v>
      </c>
      <c r="AC296" s="266">
        <f t="shared" si="395"/>
        <v>17851.11427399037</v>
      </c>
      <c r="AD296" s="265">
        <f t="shared" si="365"/>
        <v>32766.24025980791</v>
      </c>
      <c r="AE296" s="265">
        <f t="shared" si="366"/>
        <v>6776.0057933378994</v>
      </c>
      <c r="AF296" s="265">
        <f t="shared" si="367"/>
        <v>19176.83494478674</v>
      </c>
      <c r="AG296" s="266">
        <f t="shared" si="368"/>
        <v>17851.11427399037</v>
      </c>
      <c r="AH296" s="265">
        <f t="shared" si="396"/>
        <v>32766.24025980791</v>
      </c>
      <c r="AI296" s="265">
        <f t="shared" si="397"/>
        <v>8906.8271761686119</v>
      </c>
      <c r="AJ296" s="265">
        <f t="shared" si="398"/>
        <v>19202.175590006998</v>
      </c>
      <c r="AK296" s="265">
        <f t="shared" si="399"/>
        <v>17874.703085955771</v>
      </c>
      <c r="AL296" s="266">
        <f t="shared" si="400"/>
        <v>78749.946111939294</v>
      </c>
      <c r="AM296" s="347"/>
      <c r="AN296" s="264">
        <f>IFERROR(VLOOKUP($A296,'HH &amp; SI'!$B$4:$Z$494,'HH &amp; SI'!V$503,0),0)</f>
        <v>32319.287475288187</v>
      </c>
      <c r="AO296" s="265">
        <f>IFERROR(VLOOKUP($A296,'HH &amp; SI'!$B$4:$Z$494,'HH &amp; SI'!W$503,0),0)</f>
        <v>8613.4688531942429</v>
      </c>
      <c r="AP296" s="265">
        <f>IFERROR(VLOOKUP($A296,'HH &amp; SI'!$B$4:$Z$494,'HH &amp; SI'!X$503,0),0)</f>
        <v>19027.53930022187</v>
      </c>
      <c r="AQ296" s="265">
        <f>IFERROR(VLOOKUP($A296,'HH &amp; SI'!$B$4:$Z$494,'HH &amp; SI'!Y$503,0),0)</f>
        <v>17677.756034057697</v>
      </c>
      <c r="AR296" s="266">
        <f t="shared" si="369"/>
        <v>77638.051662761995</v>
      </c>
      <c r="AS296" s="347"/>
      <c r="AT296" s="324">
        <f>IFERROR(VLOOKUP(A296,'Afton FY16 Final'!$A$5:$BV$572,'Afton FY16 Final'!$BV$587,0),0)</f>
        <v>31246.22116127699</v>
      </c>
      <c r="AU296" s="347"/>
      <c r="AV296" s="454">
        <v>0</v>
      </c>
      <c r="AW296" s="265">
        <f>IFERROR(VLOOKUP($A296,'HH &amp; SI'!$B$4:$EY$503,'HH &amp; SI'!EX$503,0),0)</f>
        <v>4348.7480263580655</v>
      </c>
      <c r="AX296" s="265">
        <f>IFERROR(VLOOKUP($A296,'HH &amp; SI'!$B$4:$EY$503,'HH &amp; SI'!EY$503,0),0)</f>
        <v>73289.303636403929</v>
      </c>
      <c r="AY296" s="265">
        <f>AX296/$AX$582*'update_State Admin 1004(b)'!$B$30*0.01</f>
        <v>701.43128452816575</v>
      </c>
      <c r="AZ296" s="266">
        <f t="shared" si="370"/>
        <v>72587.872351875762</v>
      </c>
      <c r="BA296" s="264">
        <f t="shared" si="371"/>
        <v>725.87872351875762</v>
      </c>
      <c r="BB296" s="265">
        <f t="shared" si="372"/>
        <v>71861.993628356999</v>
      </c>
      <c r="BC296" s="342">
        <f t="shared" si="381"/>
        <v>2.2998619019382276</v>
      </c>
      <c r="BD296" s="347"/>
      <c r="BE296" s="377" t="str">
        <f>'Original Title I &amp; II'!AZ296</f>
        <v/>
      </c>
      <c r="BF296" s="244" t="str">
        <f>IF(BE296&lt;0,BB296*BE296/100,"")</f>
        <v/>
      </c>
      <c r="BG296" s="266">
        <f t="shared" si="364"/>
        <v>71861.993628356999</v>
      </c>
      <c r="BI296" s="203" t="str">
        <f>IFERROR(VLOOKUP(A296,'Title II Hold Harmless'!A$1:B$439,2, FALSE),"")</f>
        <v/>
      </c>
      <c r="BJ296" s="203">
        <f t="shared" si="373"/>
        <v>1092.4040078365383</v>
      </c>
      <c r="BK296" s="203">
        <f t="shared" si="401"/>
        <v>1093.4607905807725</v>
      </c>
      <c r="BL296" s="203" t="str">
        <f t="shared" si="377"/>
        <v/>
      </c>
      <c r="BM296" s="203">
        <f t="shared" si="378"/>
        <v>1093.4607905807725</v>
      </c>
      <c r="BN296" s="200"/>
      <c r="BP296" s="298" t="s">
        <v>1448</v>
      </c>
      <c r="BQ296" s="299" t="str">
        <f t="shared" si="382"/>
        <v>Y</v>
      </c>
      <c r="BR296" s="300" t="s">
        <v>1448</v>
      </c>
      <c r="BT296" s="298" t="str">
        <f t="shared" si="383"/>
        <v>Y</v>
      </c>
      <c r="BU296" s="299" t="str">
        <f t="shared" si="375"/>
        <v>Y</v>
      </c>
      <c r="BV296" s="299" t="str">
        <f t="shared" si="376"/>
        <v>Y</v>
      </c>
      <c r="BW296" s="300" t="str">
        <f t="shared" si="384"/>
        <v>Y</v>
      </c>
      <c r="BY296" s="355">
        <f t="shared" si="385"/>
        <v>0</v>
      </c>
      <c r="BZ296" s="356">
        <f t="shared" si="386"/>
        <v>0.9</v>
      </c>
      <c r="CA296" s="356">
        <f t="shared" si="387"/>
        <v>0</v>
      </c>
      <c r="CB296" s="357">
        <f t="shared" si="388"/>
        <v>0.9</v>
      </c>
      <c r="CD296" s="312">
        <f t="shared" si="389"/>
        <v>291</v>
      </c>
    </row>
    <row r="297" spans="1:82" s="48" customFormat="1" outlineLevel="1" x14ac:dyDescent="0.3">
      <c r="A297" s="202">
        <v>78647000</v>
      </c>
      <c r="B297" s="48">
        <f>VLOOKUP(C297,'NCES ID'!$A$2:$B$3136,2,FALSE)</f>
        <v>400041</v>
      </c>
      <c r="C297" s="48">
        <f>VLOOKUP(A297,'State ID'!$A$2:$B$713,2,FALSE)</f>
        <v>4314</v>
      </c>
      <c r="D297" s="48" t="s">
        <v>270</v>
      </c>
      <c r="E297" s="48" t="s">
        <v>7</v>
      </c>
      <c r="F297" s="755"/>
      <c r="G297" s="755"/>
      <c r="H297" s="755"/>
      <c r="I297" s="755"/>
      <c r="J297" s="755"/>
      <c r="K297" s="755"/>
      <c r="L297" s="454"/>
      <c r="M297" s="455"/>
      <c r="N297" s="456"/>
      <c r="O297" s="209">
        <f>VLOOKUP($C297,'Final SEA Counts'!$A$2:$F$709,5,FALSE)</f>
        <v>195</v>
      </c>
      <c r="P297" s="223">
        <f>VLOOKUP($C297,'Final SEA Counts'!$A$2:$F$709,6,FALSE)</f>
        <v>185</v>
      </c>
      <c r="Q297" s="749"/>
      <c r="R297" s="454">
        <f t="shared" si="353"/>
        <v>195</v>
      </c>
      <c r="S297" s="455">
        <f t="shared" si="391"/>
        <v>91.598314199860866</v>
      </c>
      <c r="T297" s="230">
        <f t="shared" si="355"/>
        <v>0.46973494461467108</v>
      </c>
      <c r="U297" s="264" t="str">
        <f>IFERROR(VLOOKUP($B297,#REF!,8,FALSE),"")</f>
        <v/>
      </c>
      <c r="V297" s="265" t="str">
        <f>IFERROR(VLOOKUP($B297,#REF!,9,FALSE),"")</f>
        <v/>
      </c>
      <c r="W297" s="265" t="str">
        <f>IFERROR(VLOOKUP($B297,#REF!,10,FALSE),"")</f>
        <v/>
      </c>
      <c r="X297" s="265" t="str">
        <f>IFERROR(VLOOKUP($B297,#REF!,11,FALSE),"")</f>
        <v/>
      </c>
      <c r="Y297" s="266" t="str">
        <f>IFERROR(VLOOKUP($B297,#REF!,12,FALSE),"")</f>
        <v/>
      </c>
      <c r="Z297" s="265">
        <f t="shared" si="392"/>
        <v>44246.382832587333</v>
      </c>
      <c r="AA297" s="265">
        <f t="shared" si="393"/>
        <v>9150.0808158212512</v>
      </c>
      <c r="AB297" s="265">
        <f t="shared" si="394"/>
        <v>25895.726020332462</v>
      </c>
      <c r="AC297" s="266">
        <f t="shared" si="395"/>
        <v>24105.519275096489</v>
      </c>
      <c r="AD297" s="265">
        <f t="shared" si="365"/>
        <v>44246.382832587333</v>
      </c>
      <c r="AE297" s="265">
        <f t="shared" si="366"/>
        <v>9150.0808158212512</v>
      </c>
      <c r="AF297" s="265">
        <f t="shared" si="367"/>
        <v>25895.726020332462</v>
      </c>
      <c r="AG297" s="266">
        <f t="shared" si="368"/>
        <v>24105.519275096489</v>
      </c>
      <c r="AH297" s="265">
        <f t="shared" si="396"/>
        <v>44246.382832587333</v>
      </c>
      <c r="AI297" s="265">
        <f t="shared" si="397"/>
        <v>11280.902198651964</v>
      </c>
      <c r="AJ297" s="265">
        <f t="shared" si="398"/>
        <v>25921.06666555272</v>
      </c>
      <c r="AK297" s="265">
        <f t="shared" si="399"/>
        <v>24129.10808706189</v>
      </c>
      <c r="AL297" s="266">
        <f t="shared" si="400"/>
        <v>105577.4597838539</v>
      </c>
      <c r="AM297" s="347"/>
      <c r="AN297" s="264">
        <f>IFERROR(VLOOKUP($A297,'HH &amp; SI'!$B$4:$Z$494,'HH &amp; SI'!V$503,0),0)</f>
        <v>53607.013393828878</v>
      </c>
      <c r="AO297" s="265">
        <f>IFERROR(VLOOKUP($A297,'HH &amp; SI'!$B$4:$Z$494,'HH &amp; SI'!W$503,0),0)</f>
        <v>11615.404557125994</v>
      </c>
      <c r="AP297" s="265">
        <f>IFERROR(VLOOKUP($A297,'HH &amp; SI'!$B$4:$Z$494,'HH &amp; SI'!X$503,0),0)</f>
        <v>28423.221731602745</v>
      </c>
      <c r="AQ297" s="265">
        <f>IFERROR(VLOOKUP($A297,'HH &amp; SI'!$B$4:$Z$494,'HH &amp; SI'!Y$503,0),0)</f>
        <v>27385.578485706519</v>
      </c>
      <c r="AR297" s="266">
        <f t="shared" si="369"/>
        <v>121031.21816826412</v>
      </c>
      <c r="AS297" s="347"/>
      <c r="AT297" s="324">
        <f>IFERROR(VLOOKUP(A297,'Afton FY16 Final'!$A$5:$BV$572,'Afton FY16 Final'!$BV$587,0),0)</f>
        <v>122892.29785343702</v>
      </c>
      <c r="AU297" s="347"/>
      <c r="AV297" s="454">
        <v>0</v>
      </c>
      <c r="AW297" s="265">
        <f>IFERROR(VLOOKUP($A297,'HH &amp; SI'!$B$4:$EY$503,'HH &amp; SI'!EX$503,0),0)</f>
        <v>0</v>
      </c>
      <c r="AX297" s="265">
        <f>IFERROR(VLOOKUP($A297,'HH &amp; SI'!$B$4:$EY$503,'HH &amp; SI'!EY$503,0),0)</f>
        <v>121031.21816826412</v>
      </c>
      <c r="AY297" s="265">
        <f>AX297/$AX$582*'update_State Admin 1004(b)'!$B$30*0.01</f>
        <v>1158.3557028860275</v>
      </c>
      <c r="AZ297" s="266">
        <f t="shared" si="370"/>
        <v>119872.8624653781</v>
      </c>
      <c r="BA297" s="264">
        <f t="shared" si="371"/>
        <v>1198.728624653781</v>
      </c>
      <c r="BB297" s="265">
        <f t="shared" si="372"/>
        <v>118674.13384072432</v>
      </c>
      <c r="BC297" s="342">
        <f t="shared" si="381"/>
        <v>0.96567592854563322</v>
      </c>
      <c r="BD297" s="347"/>
      <c r="BE297" s="377" t="str">
        <f>'Original Title I &amp; II'!AZ297</f>
        <v/>
      </c>
      <c r="BF297" s="244" t="str">
        <f>IF(BE297&lt;0,BB297*BE297/100,"")</f>
        <v/>
      </c>
      <c r="BG297" s="266">
        <f t="shared" si="364"/>
        <v>118674.13384072432</v>
      </c>
      <c r="BI297" s="203" t="str">
        <f>IFERROR(VLOOKUP(A297,'Title II Hold Harmless'!A$1:B$439,2, FALSE),"")</f>
        <v/>
      </c>
      <c r="BJ297" s="203">
        <f t="shared" si="373"/>
        <v>1356.0396185789371</v>
      </c>
      <c r="BK297" s="203">
        <f t="shared" si="401"/>
        <v>1357.3514402668218</v>
      </c>
      <c r="BL297" s="203" t="str">
        <f t="shared" si="377"/>
        <v/>
      </c>
      <c r="BM297" s="203">
        <f t="shared" si="378"/>
        <v>1357.3514402668218</v>
      </c>
      <c r="BN297" s="200"/>
      <c r="BP297" s="298" t="s">
        <v>1448</v>
      </c>
      <c r="BQ297" s="299" t="str">
        <f t="shared" si="382"/>
        <v>Y</v>
      </c>
      <c r="BR297" s="300" t="s">
        <v>1448</v>
      </c>
      <c r="BT297" s="298" t="str">
        <f t="shared" si="383"/>
        <v>Y</v>
      </c>
      <c r="BU297" s="299" t="str">
        <f t="shared" si="375"/>
        <v>Y</v>
      </c>
      <c r="BV297" s="299" t="str">
        <f t="shared" si="376"/>
        <v>Y</v>
      </c>
      <c r="BW297" s="300" t="str">
        <f t="shared" si="384"/>
        <v>Y</v>
      </c>
      <c r="BY297" s="355">
        <f t="shared" si="385"/>
        <v>0</v>
      </c>
      <c r="BZ297" s="356">
        <f t="shared" si="386"/>
        <v>0</v>
      </c>
      <c r="CA297" s="356">
        <f t="shared" si="387"/>
        <v>0.95</v>
      </c>
      <c r="CB297" s="357">
        <f t="shared" si="388"/>
        <v>0.95</v>
      </c>
      <c r="CD297" s="312">
        <f t="shared" si="389"/>
        <v>292</v>
      </c>
    </row>
    <row r="298" spans="1:82" s="48" customFormat="1" outlineLevel="1" x14ac:dyDescent="0.3">
      <c r="A298" s="202">
        <v>70199000</v>
      </c>
      <c r="B298" s="48">
        <f>VLOOKUP(C298,'NCES ID'!$A$2:$B$3136,2,FALSE)</f>
        <v>403860</v>
      </c>
      <c r="C298" s="48">
        <f>VLOOKUP(A298,'State ID'!$A$2:$B$713,2,FALSE)</f>
        <v>4234</v>
      </c>
      <c r="D298" s="48" t="s">
        <v>272</v>
      </c>
      <c r="E298" s="48" t="s">
        <v>7</v>
      </c>
      <c r="F298" s="755"/>
      <c r="G298" s="755"/>
      <c r="H298" s="755"/>
      <c r="I298" s="755"/>
      <c r="J298" s="755"/>
      <c r="K298" s="755"/>
      <c r="L298" s="454"/>
      <c r="M298" s="455"/>
      <c r="N298" s="456"/>
      <c r="O298" s="209">
        <f>VLOOKUP($C298,'Final SEA Counts'!$A$2:$F$709,5,FALSE)</f>
        <v>926</v>
      </c>
      <c r="P298" s="223">
        <f>VLOOKUP($C298,'Final SEA Counts'!$A$2:$F$709,6,FALSE)</f>
        <v>799</v>
      </c>
      <c r="Q298" s="749"/>
      <c r="R298" s="454">
        <f t="shared" si="353"/>
        <v>926</v>
      </c>
      <c r="S298" s="455">
        <f t="shared" si="391"/>
        <v>395.60569213885856</v>
      </c>
      <c r="T298" s="230">
        <f t="shared" si="355"/>
        <v>0.42721996991237426</v>
      </c>
      <c r="U298" s="264" t="str">
        <f>IFERROR(VLOOKUP($B298,#REF!,8,FALSE),"")</f>
        <v/>
      </c>
      <c r="V298" s="265" t="str">
        <f>IFERROR(VLOOKUP($B298,#REF!,9,FALSE),"")</f>
        <v/>
      </c>
      <c r="W298" s="265" t="str">
        <f>IFERROR(VLOOKUP($B298,#REF!,10,FALSE),"")</f>
        <v/>
      </c>
      <c r="X298" s="265" t="str">
        <f>IFERROR(VLOOKUP($B298,#REF!,11,FALSE),"")</f>
        <v/>
      </c>
      <c r="Y298" s="266" t="str">
        <f>IFERROR(VLOOKUP($B298,#REF!,12,FALSE),"")</f>
        <v/>
      </c>
      <c r="Z298" s="265">
        <f t="shared" si="392"/>
        <v>191096.53990939067</v>
      </c>
      <c r="AA298" s="265">
        <f t="shared" si="393"/>
        <v>39518.457145087457</v>
      </c>
      <c r="AB298" s="265">
        <f t="shared" si="394"/>
        <v>111841.54102835481</v>
      </c>
      <c r="AC298" s="266">
        <f t="shared" si="395"/>
        <v>104109.78324757889</v>
      </c>
      <c r="AD298" s="265">
        <f t="shared" si="365"/>
        <v>191096.53990939067</v>
      </c>
      <c r="AE298" s="265">
        <f t="shared" si="366"/>
        <v>39518.457145087457</v>
      </c>
      <c r="AF298" s="265">
        <f t="shared" si="367"/>
        <v>111841.54102835481</v>
      </c>
      <c r="AG298" s="266">
        <f t="shared" si="368"/>
        <v>104109.78324757889</v>
      </c>
      <c r="AH298" s="265">
        <f t="shared" si="396"/>
        <v>191096.53990939067</v>
      </c>
      <c r="AI298" s="265">
        <f t="shared" si="397"/>
        <v>41649.27852791817</v>
      </c>
      <c r="AJ298" s="265">
        <f t="shared" si="398"/>
        <v>111866.88167357507</v>
      </c>
      <c r="AK298" s="265">
        <f t="shared" si="399"/>
        <v>104133.37205954429</v>
      </c>
      <c r="AL298" s="266">
        <f t="shared" si="400"/>
        <v>448746.07217042823</v>
      </c>
      <c r="AM298" s="347"/>
      <c r="AN298" s="264">
        <f>IFERROR(VLOOKUP($A298,'HH &amp; SI'!$B$4:$Z$494,'HH &amp; SI'!V$503,0),0)</f>
        <v>188489.8590712063</v>
      </c>
      <c r="AO298" s="265">
        <f>IFERROR(VLOOKUP($A298,'HH &amp; SI'!$B$4:$Z$494,'HH &amp; SI'!W$503,0),0)</f>
        <v>40277.503566938372</v>
      </c>
      <c r="AP298" s="265">
        <f>IFERROR(VLOOKUP($A298,'HH &amp; SI'!$B$4:$Z$494,'HH &amp; SI'!X$503,0),0)</f>
        <v>110849.49606152643</v>
      </c>
      <c r="AQ298" s="265">
        <f>IFERROR(VLOOKUP($A298,'HH &amp; SI'!$B$4:$Z$494,'HH &amp; SI'!Y$503,0),0)</f>
        <v>102986.00974909301</v>
      </c>
      <c r="AR298" s="266">
        <f t="shared" si="369"/>
        <v>442602.86844876409</v>
      </c>
      <c r="AS298" s="347"/>
      <c r="AT298" s="324">
        <f>IFERROR(VLOOKUP(A298,'Afton FY16 Final'!$A$5:$BV$572,'Afton FY16 Final'!$BV$587,0),0)</f>
        <v>204803.27614867195</v>
      </c>
      <c r="AU298" s="347"/>
      <c r="AV298" s="454">
        <v>0</v>
      </c>
      <c r="AW298" s="265">
        <f>IFERROR(VLOOKUP($A298,'HH &amp; SI'!$B$4:$EY$503,'HH &amp; SI'!EX$503,0),0)</f>
        <v>24791.559156940726</v>
      </c>
      <c r="AX298" s="265">
        <f>IFERROR(VLOOKUP($A298,'HH &amp; SI'!$B$4:$EY$503,'HH &amp; SI'!EY$503,0),0)</f>
        <v>417811.30929182336</v>
      </c>
      <c r="AY298" s="265">
        <f>AX298/$AX$582*'update_State Admin 1004(b)'!$B$30*0.01</f>
        <v>3998.7543724100556</v>
      </c>
      <c r="AZ298" s="266">
        <f t="shared" si="370"/>
        <v>413812.55491941329</v>
      </c>
      <c r="BA298" s="264">
        <f t="shared" si="371"/>
        <v>4138.1255491941329</v>
      </c>
      <c r="BB298" s="265">
        <f t="shared" si="372"/>
        <v>409674.42937021918</v>
      </c>
      <c r="BC298" s="342">
        <f t="shared" si="381"/>
        <v>2.0003314257181413</v>
      </c>
      <c r="BD298" s="347"/>
      <c r="BE298" s="377" t="str">
        <f>'Original Title I &amp; II'!AZ298</f>
        <v/>
      </c>
      <c r="BF298" s="244" t="str">
        <f>IF(BE298&lt;0,BB298*BE298/100,"")</f>
        <v/>
      </c>
      <c r="BG298" s="266">
        <f t="shared" si="364"/>
        <v>409674.42937021918</v>
      </c>
      <c r="BI298" s="203">
        <f>IFERROR(VLOOKUP(A298,'Title II Hold Harmless'!A$1:B$439,2, FALSE),"")</f>
        <v>60777</v>
      </c>
      <c r="BJ298" s="203">
        <f t="shared" si="373"/>
        <v>66701.076078000755</v>
      </c>
      <c r="BK298" s="203">
        <f t="shared" si="401"/>
        <v>66765.602156004345</v>
      </c>
      <c r="BL298" s="203" t="str">
        <f t="shared" si="377"/>
        <v/>
      </c>
      <c r="BM298" s="203">
        <f t="shared" si="378"/>
        <v>66765.602156004345</v>
      </c>
      <c r="BN298" s="200"/>
      <c r="BP298" s="298" t="s">
        <v>1448</v>
      </c>
      <c r="BQ298" s="299" t="str">
        <f t="shared" si="382"/>
        <v>Y</v>
      </c>
      <c r="BR298" s="300" t="s">
        <v>1448</v>
      </c>
      <c r="BT298" s="298" t="str">
        <f t="shared" si="383"/>
        <v>Y</v>
      </c>
      <c r="BU298" s="299" t="str">
        <f t="shared" si="375"/>
        <v>Y</v>
      </c>
      <c r="BV298" s="299" t="str">
        <f t="shared" si="376"/>
        <v>Y</v>
      </c>
      <c r="BW298" s="300" t="str">
        <f t="shared" si="384"/>
        <v>Y</v>
      </c>
      <c r="BY298" s="355">
        <f t="shared" si="385"/>
        <v>0</v>
      </c>
      <c r="BZ298" s="356">
        <f t="shared" si="386"/>
        <v>0</v>
      </c>
      <c r="CA298" s="356">
        <f t="shared" si="387"/>
        <v>0.95</v>
      </c>
      <c r="CB298" s="357">
        <f t="shared" si="388"/>
        <v>0.95</v>
      </c>
      <c r="CD298" s="312">
        <f t="shared" si="389"/>
        <v>293</v>
      </c>
    </row>
    <row r="299" spans="1:82" s="48" customFormat="1" outlineLevel="1" x14ac:dyDescent="0.3">
      <c r="A299" s="202">
        <v>78592000</v>
      </c>
      <c r="B299" s="48">
        <f>VLOOKUP(C299,'NCES ID'!$A$2:$B$3136,2,FALSE)</f>
        <v>400875</v>
      </c>
      <c r="C299" s="48">
        <f>VLOOKUP(A299,'State ID'!$A$2:$B$713,2,FALSE)</f>
        <v>90861</v>
      </c>
      <c r="D299" s="48" t="s">
        <v>275</v>
      </c>
      <c r="E299" s="48" t="s">
        <v>7</v>
      </c>
      <c r="F299" s="755"/>
      <c r="G299" s="755"/>
      <c r="H299" s="755"/>
      <c r="I299" s="755"/>
      <c r="J299" s="755"/>
      <c r="K299" s="755"/>
      <c r="L299" s="454"/>
      <c r="M299" s="455"/>
      <c r="N299" s="456"/>
      <c r="O299" s="209">
        <f>VLOOKUP($C299,'Final SEA Counts'!$A$2:$F$709,5,FALSE)</f>
        <v>398</v>
      </c>
      <c r="P299" s="223">
        <f>VLOOKUP($C299,'Final SEA Counts'!$A$2:$F$709,6,FALSE)</f>
        <v>311</v>
      </c>
      <c r="Q299" s="749"/>
      <c r="R299" s="454">
        <f t="shared" si="353"/>
        <v>398</v>
      </c>
      <c r="S299" s="455">
        <f t="shared" si="391"/>
        <v>153.98419306030664</v>
      </c>
      <c r="T299" s="230">
        <f t="shared" si="355"/>
        <v>0.38689495743795638</v>
      </c>
      <c r="U299" s="264" t="str">
        <f>IFERROR(VLOOKUP($B299,#REF!,8,FALSE),"")</f>
        <v/>
      </c>
      <c r="V299" s="265" t="str">
        <f>IFERROR(VLOOKUP($B299,#REF!,9,FALSE),"")</f>
        <v/>
      </c>
      <c r="W299" s="265" t="str">
        <f>IFERROR(VLOOKUP($B299,#REF!,10,FALSE),"")</f>
        <v/>
      </c>
      <c r="X299" s="265" t="str">
        <f>IFERROR(VLOOKUP($B299,#REF!,11,FALSE),"")</f>
        <v/>
      </c>
      <c r="Y299" s="266" t="str">
        <f>IFERROR(VLOOKUP($B299,#REF!,12,FALSE),"")</f>
        <v/>
      </c>
      <c r="Z299" s="265">
        <f t="shared" si="392"/>
        <v>74381.757086133293</v>
      </c>
      <c r="AA299" s="265">
        <f t="shared" si="393"/>
        <v>15382.02774984005</v>
      </c>
      <c r="AB299" s="265">
        <f t="shared" si="394"/>
        <v>43532.815093639976</v>
      </c>
      <c r="AC299" s="266">
        <f t="shared" si="395"/>
        <v>40523.332403000044</v>
      </c>
      <c r="AD299" s="265">
        <f t="shared" si="365"/>
        <v>74381.757086133293</v>
      </c>
      <c r="AE299" s="265">
        <f t="shared" si="366"/>
        <v>15382.02774984005</v>
      </c>
      <c r="AF299" s="265">
        <f t="shared" si="367"/>
        <v>43532.815093639976</v>
      </c>
      <c r="AG299" s="266">
        <f t="shared" si="368"/>
        <v>40523.332403000044</v>
      </c>
      <c r="AH299" s="265">
        <f t="shared" si="396"/>
        <v>74381.757086133293</v>
      </c>
      <c r="AI299" s="265">
        <f t="shared" si="397"/>
        <v>17512.849132670763</v>
      </c>
      <c r="AJ299" s="265">
        <f t="shared" si="398"/>
        <v>43558.155738860238</v>
      </c>
      <c r="AK299" s="265">
        <f t="shared" si="399"/>
        <v>40546.921214965449</v>
      </c>
      <c r="AL299" s="266">
        <f t="shared" si="400"/>
        <v>175999.68317262974</v>
      </c>
      <c r="AM299" s="347"/>
      <c r="AN299" s="264">
        <f>IFERROR(VLOOKUP($A299,'HH &amp; SI'!$B$4:$Z$494,'HH &amp; SI'!V$503,0),0)</f>
        <v>73367.141640982678</v>
      </c>
      <c r="AO299" s="265">
        <f>IFERROR(VLOOKUP($A299,'HH &amp; SI'!$B$4:$Z$494,'HH &amp; SI'!W$503,0),0)</f>
        <v>16936.039910885298</v>
      </c>
      <c r="AP299" s="265">
        <f>IFERROR(VLOOKUP($A299,'HH &amp; SI'!$B$4:$Z$494,'HH &amp; SI'!X$503,0),0)</f>
        <v>43162.011319054189</v>
      </c>
      <c r="AQ299" s="265">
        <f>IFERROR(VLOOKUP($A299,'HH &amp; SI'!$B$4:$Z$494,'HH &amp; SI'!Y$503,0),0)</f>
        <v>40100.167131363058</v>
      </c>
      <c r="AR299" s="266">
        <f t="shared" si="369"/>
        <v>173565.36000228522</v>
      </c>
      <c r="AS299" s="347"/>
      <c r="AT299" s="324">
        <f>IFERROR(VLOOKUP(A299,'Afton FY16 Final'!$A$5:$BV$572,'Afton FY16 Final'!$BV$587,0),0)</f>
        <v>127085.9281881199</v>
      </c>
      <c r="AU299" s="347"/>
      <c r="AV299" s="454">
        <v>0</v>
      </c>
      <c r="AW299" s="265">
        <f>IFERROR(VLOOKUP($A299,'HH &amp; SI'!$B$4:$EY$503,'HH &amp; SI'!EX$503,0),0)</f>
        <v>9721.9340334900771</v>
      </c>
      <c r="AX299" s="265">
        <f>IFERROR(VLOOKUP($A299,'HH &amp; SI'!$B$4:$EY$503,'HH &amp; SI'!EY$503,0),0)</f>
        <v>163843.42596879514</v>
      </c>
      <c r="AY299" s="265">
        <f>AX299/$AX$582*'update_State Admin 1004(b)'!$B$30*0.01</f>
        <v>1568.0992864789948</v>
      </c>
      <c r="AZ299" s="266">
        <f t="shared" si="370"/>
        <v>162275.32668231614</v>
      </c>
      <c r="BA299" s="264">
        <f t="shared" si="371"/>
        <v>1622.7532668231615</v>
      </c>
      <c r="BB299" s="265">
        <f t="shared" si="372"/>
        <v>160652.57341549298</v>
      </c>
      <c r="BC299" s="342">
        <f t="shared" si="381"/>
        <v>1.2641255857822891</v>
      </c>
      <c r="BD299" s="347"/>
      <c r="BE299" s="377" t="str">
        <f>'Original Title I &amp; II'!AZ299</f>
        <v/>
      </c>
      <c r="BF299" s="244" t="str">
        <f>IF(BE299&lt;0,BB299*BE299/100,"")</f>
        <v/>
      </c>
      <c r="BG299" s="266">
        <f t="shared" si="364"/>
        <v>160652.57341549298</v>
      </c>
      <c r="BI299" s="203" t="str">
        <f>IFERROR(VLOOKUP(A299,'Title II Hold Harmless'!A$1:B$439,2, FALSE),"")</f>
        <v/>
      </c>
      <c r="BJ299" s="203">
        <f t="shared" si="373"/>
        <v>2336.1007856545934</v>
      </c>
      <c r="BK299" s="203">
        <f t="shared" si="401"/>
        <v>2338.3607105371111</v>
      </c>
      <c r="BL299" s="203" t="str">
        <f t="shared" si="377"/>
        <v/>
      </c>
      <c r="BM299" s="203">
        <f t="shared" si="378"/>
        <v>2338.3607105371111</v>
      </c>
      <c r="BN299" s="200"/>
      <c r="BP299" s="298" t="s">
        <v>1448</v>
      </c>
      <c r="BQ299" s="299" t="str">
        <f t="shared" si="382"/>
        <v>Y</v>
      </c>
      <c r="BR299" s="300" t="s">
        <v>1448</v>
      </c>
      <c r="BT299" s="298" t="str">
        <f t="shared" si="383"/>
        <v>Y</v>
      </c>
      <c r="BU299" s="299" t="str">
        <f t="shared" si="375"/>
        <v>Y</v>
      </c>
      <c r="BV299" s="299" t="str">
        <f t="shared" si="376"/>
        <v>Y</v>
      </c>
      <c r="BW299" s="300" t="str">
        <f t="shared" si="384"/>
        <v>Y</v>
      </c>
      <c r="BY299" s="355">
        <f t="shared" si="385"/>
        <v>0</v>
      </c>
      <c r="BZ299" s="356">
        <f t="shared" si="386"/>
        <v>0</v>
      </c>
      <c r="CA299" s="356">
        <f t="shared" si="387"/>
        <v>0.95</v>
      </c>
      <c r="CB299" s="357">
        <f t="shared" si="388"/>
        <v>0.95</v>
      </c>
      <c r="CD299" s="312">
        <f t="shared" si="389"/>
        <v>294</v>
      </c>
    </row>
    <row r="300" spans="1:82" s="48" customFormat="1" outlineLevel="1" x14ac:dyDescent="0.3">
      <c r="A300" s="202">
        <v>78743000</v>
      </c>
      <c r="B300" s="48">
        <f>VLOOKUP(C300,'NCES ID'!$A$2:$B$3136,2,FALSE)</f>
        <v>400614</v>
      </c>
      <c r="C300" s="48">
        <f>VLOOKUP(A300,'State ID'!$A$2:$B$713,2,FALSE)</f>
        <v>81174</v>
      </c>
      <c r="D300" s="48" t="s">
        <v>279</v>
      </c>
      <c r="E300" s="48" t="s">
        <v>7</v>
      </c>
      <c r="F300" s="755"/>
      <c r="G300" s="755"/>
      <c r="H300" s="755"/>
      <c r="I300" s="755"/>
      <c r="J300" s="755"/>
      <c r="K300" s="755"/>
      <c r="L300" s="454"/>
      <c r="M300" s="455"/>
      <c r="N300" s="456"/>
      <c r="O300" s="209">
        <f>VLOOKUP($C300,'Final SEA Counts'!$A$2:$F$709,5,FALSE)</f>
        <v>90</v>
      </c>
      <c r="P300" s="223">
        <f>VLOOKUP($C300,'Final SEA Counts'!$A$2:$F$709,6,FALSE)</f>
        <v>87</v>
      </c>
      <c r="Q300" s="749"/>
      <c r="R300" s="454">
        <f t="shared" si="353"/>
        <v>90</v>
      </c>
      <c r="S300" s="455">
        <f t="shared" si="391"/>
        <v>43.075963975069705</v>
      </c>
      <c r="T300" s="230">
        <f t="shared" si="355"/>
        <v>0.47862182194521896</v>
      </c>
      <c r="U300" s="264" t="str">
        <f>IFERROR(VLOOKUP($B300,#REF!,8,FALSE),"")</f>
        <v/>
      </c>
      <c r="V300" s="265" t="str">
        <f>IFERROR(VLOOKUP($B300,#REF!,9,FALSE),"")</f>
        <v/>
      </c>
      <c r="W300" s="265" t="str">
        <f>IFERROR(VLOOKUP($B300,#REF!,10,FALSE),"")</f>
        <v/>
      </c>
      <c r="X300" s="265" t="str">
        <f>IFERROR(VLOOKUP($B300,#REF!,11,FALSE),"")</f>
        <v/>
      </c>
      <c r="Y300" s="266" t="str">
        <f>IFERROR(VLOOKUP($B300,#REF!,12,FALSE),"")</f>
        <v/>
      </c>
      <c r="Z300" s="265">
        <f t="shared" si="392"/>
        <v>20807.75841316269</v>
      </c>
      <c r="AA300" s="265">
        <f t="shared" si="393"/>
        <v>4303.0109782510754</v>
      </c>
      <c r="AB300" s="265">
        <f t="shared" si="394"/>
        <v>12177.990074426618</v>
      </c>
      <c r="AC300" s="266">
        <f t="shared" si="395"/>
        <v>11336.109064504835</v>
      </c>
      <c r="AD300" s="265">
        <f t="shared" si="365"/>
        <v>20807.75841316269</v>
      </c>
      <c r="AE300" s="265">
        <f t="shared" si="366"/>
        <v>4303.0109782510754</v>
      </c>
      <c r="AF300" s="265">
        <f t="shared" si="367"/>
        <v>12177.990074426618</v>
      </c>
      <c r="AG300" s="266">
        <f t="shared" si="368"/>
        <v>11336.109064504835</v>
      </c>
      <c r="AH300" s="265">
        <f t="shared" si="396"/>
        <v>20807.75841316269</v>
      </c>
      <c r="AI300" s="265">
        <f t="shared" si="397"/>
        <v>6433.8323610817879</v>
      </c>
      <c r="AJ300" s="265">
        <f t="shared" si="398"/>
        <v>12203.330719646878</v>
      </c>
      <c r="AK300" s="265">
        <f t="shared" si="399"/>
        <v>11359.697876470238</v>
      </c>
      <c r="AL300" s="266">
        <f t="shared" si="400"/>
        <v>50804.619370361586</v>
      </c>
      <c r="AM300" s="347"/>
      <c r="AN300" s="264">
        <f>IFERROR(VLOOKUP($A300,'HH &amp; SI'!$B$4:$Z$494,'HH &amp; SI'!V$503,0),0)</f>
        <v>20523.927082847244</v>
      </c>
      <c r="AO300" s="265">
        <f>IFERROR(VLOOKUP($A300,'HH &amp; SI'!$B$4:$Z$494,'HH &amp; SI'!W$503,0),0)</f>
        <v>6221.9254458117539</v>
      </c>
      <c r="AP300" s="265">
        <f>IFERROR(VLOOKUP($A300,'HH &amp; SI'!$B$4:$Z$494,'HH &amp; SI'!X$503,0),0)</f>
        <v>12092.346191362016</v>
      </c>
      <c r="AQ300" s="265">
        <f>IFERROR(VLOOKUP($A300,'HH &amp; SI'!$B$4:$Z$494,'HH &amp; SI'!Y$503,0),0)</f>
        <v>11234.534454372251</v>
      </c>
      <c r="AR300" s="266">
        <f t="shared" si="369"/>
        <v>50072.733174393266</v>
      </c>
      <c r="AS300" s="347"/>
      <c r="AT300" s="324">
        <f>IFERROR(VLOOKUP(A300,'Afton FY16 Final'!$A$5:$BV$572,'Afton FY16 Final'!$BV$587,0),0)</f>
        <v>43427.675260931632</v>
      </c>
      <c r="AU300" s="347"/>
      <c r="AV300" s="454">
        <v>0</v>
      </c>
      <c r="AW300" s="265">
        <f>IFERROR(VLOOKUP($A300,'HH &amp; SI'!$B$4:$EY$503,'HH &amp; SI'!EX$503,0),0)</f>
        <v>2804.7290587914176</v>
      </c>
      <c r="AX300" s="265">
        <f>IFERROR(VLOOKUP($A300,'HH &amp; SI'!$B$4:$EY$503,'HH &amp; SI'!EY$503,0),0)</f>
        <v>47268.004115601849</v>
      </c>
      <c r="AY300" s="265">
        <f>AX300/$AX$582*'update_State Admin 1004(b)'!$B$30*0.01</f>
        <v>452.38875523195037</v>
      </c>
      <c r="AZ300" s="266">
        <f t="shared" si="370"/>
        <v>46815.615360369899</v>
      </c>
      <c r="BA300" s="264">
        <f t="shared" si="371"/>
        <v>468.15615360369901</v>
      </c>
      <c r="BB300" s="265">
        <f t="shared" si="372"/>
        <v>46347.459206766202</v>
      </c>
      <c r="BC300" s="342">
        <f t="shared" si="381"/>
        <v>1.0672332545615506</v>
      </c>
      <c r="BD300" s="347"/>
      <c r="BE300" s="377">
        <f>'Original Title I &amp; II'!AZ300</f>
        <v>0</v>
      </c>
      <c r="BF300" s="244" t="str">
        <f>IF(BE300&lt;0,BB300*BE300/100,"")</f>
        <v/>
      </c>
      <c r="BG300" s="266">
        <f t="shared" si="364"/>
        <v>46347.459206766202</v>
      </c>
      <c r="BI300" s="203" t="str">
        <f>IFERROR(VLOOKUP(A300,'Title II Hold Harmless'!A$1:B$439,2, FALSE),"")</f>
        <v/>
      </c>
      <c r="BJ300" s="203">
        <f t="shared" si="373"/>
        <v>636.33478331987897</v>
      </c>
      <c r="BK300" s="203">
        <f t="shared" si="401"/>
        <v>636.95036840904413</v>
      </c>
      <c r="BL300" s="203" t="str">
        <f t="shared" si="377"/>
        <v/>
      </c>
      <c r="BM300" s="203">
        <f t="shared" si="378"/>
        <v>636.95036840904413</v>
      </c>
      <c r="BN300" s="200"/>
      <c r="BP300" s="298" t="s">
        <v>1448</v>
      </c>
      <c r="BQ300" s="299" t="str">
        <f t="shared" si="382"/>
        <v>Y</v>
      </c>
      <c r="BR300" s="300" t="s">
        <v>1448</v>
      </c>
      <c r="BT300" s="298" t="str">
        <f t="shared" si="383"/>
        <v>Y</v>
      </c>
      <c r="BU300" s="299" t="str">
        <f t="shared" si="375"/>
        <v>Y</v>
      </c>
      <c r="BV300" s="299" t="str">
        <f t="shared" si="376"/>
        <v>Y</v>
      </c>
      <c r="BW300" s="300" t="str">
        <f t="shared" si="384"/>
        <v>Y</v>
      </c>
      <c r="BY300" s="355">
        <f t="shared" si="385"/>
        <v>0</v>
      </c>
      <c r="BZ300" s="356">
        <f t="shared" si="386"/>
        <v>0</v>
      </c>
      <c r="CA300" s="356">
        <f t="shared" si="387"/>
        <v>0.95</v>
      </c>
      <c r="CB300" s="357">
        <f t="shared" si="388"/>
        <v>0.95</v>
      </c>
      <c r="CD300" s="312">
        <f t="shared" si="389"/>
        <v>295</v>
      </c>
    </row>
    <row r="301" spans="1:82" s="48" customFormat="1" outlineLevel="1" x14ac:dyDescent="0.3">
      <c r="A301" s="202">
        <v>78906000</v>
      </c>
      <c r="B301" s="48">
        <f>VLOOKUP(C301,'NCES ID'!$A$2:$B$3136,2,FALSE)</f>
        <v>400238</v>
      </c>
      <c r="C301" s="48">
        <f>VLOOKUP(A301,'State ID'!$A$2:$B$713,2,FALSE)</f>
        <v>5181</v>
      </c>
      <c r="D301" s="48" t="s">
        <v>764</v>
      </c>
      <c r="E301" s="48" t="s">
        <v>7</v>
      </c>
      <c r="F301" s="755"/>
      <c r="G301" s="755"/>
      <c r="H301" s="755"/>
      <c r="I301" s="755"/>
      <c r="J301" s="755"/>
      <c r="K301" s="755"/>
      <c r="L301" s="454"/>
      <c r="M301" s="455"/>
      <c r="N301" s="456"/>
      <c r="O301" s="209">
        <f>VLOOKUP($C301,'AzEDS FY17 12-15-16'!$A$2:$D$713,3,FALSE)</f>
        <v>255</v>
      </c>
      <c r="P301" s="223">
        <f>VLOOKUP($C301,'AzEDS FY17 12-15-16'!$A$2:$D$713,4,FALSE)</f>
        <v>71</v>
      </c>
      <c r="Q301" s="749"/>
      <c r="R301" s="454">
        <f t="shared" si="353"/>
        <v>255</v>
      </c>
      <c r="S301" s="455">
        <f t="shared" si="391"/>
        <v>35.15394761183849</v>
      </c>
      <c r="T301" s="230">
        <f t="shared" si="355"/>
        <v>0.13785861808564115</v>
      </c>
      <c r="U301" s="264"/>
      <c r="V301" s="265"/>
      <c r="W301" s="265"/>
      <c r="X301" s="265"/>
      <c r="Y301" s="266"/>
      <c r="Z301" s="265">
        <f t="shared" si="392"/>
        <v>16981.044222236214</v>
      </c>
      <c r="AA301" s="265">
        <f t="shared" si="393"/>
        <v>3511.6526374232908</v>
      </c>
      <c r="AB301" s="265">
        <f t="shared" si="394"/>
        <v>9938.359715911376</v>
      </c>
      <c r="AC301" s="266">
        <f t="shared" si="395"/>
        <v>9251.3073974694616</v>
      </c>
      <c r="AD301" s="265">
        <f t="shared" si="365"/>
        <v>16981.044222236214</v>
      </c>
      <c r="AE301" s="265" t="str">
        <f t="shared" si="366"/>
        <v/>
      </c>
      <c r="AF301" s="265">
        <f t="shared" si="367"/>
        <v>9938.359715911376</v>
      </c>
      <c r="AG301" s="266">
        <f t="shared" si="368"/>
        <v>9251.3073974694616</v>
      </c>
      <c r="AH301" s="265">
        <f t="shared" si="396"/>
        <v>16981.044222236214</v>
      </c>
      <c r="AI301" s="265" t="str">
        <f t="shared" si="397"/>
        <v/>
      </c>
      <c r="AJ301" s="265">
        <f t="shared" si="398"/>
        <v>9963.7003611316359</v>
      </c>
      <c r="AK301" s="265">
        <f t="shared" si="399"/>
        <v>9274.8962094348644</v>
      </c>
      <c r="AL301" s="266">
        <f t="shared" si="400"/>
        <v>36219.640792802718</v>
      </c>
      <c r="AM301" s="347"/>
      <c r="AN301" s="264">
        <f>IFERROR(VLOOKUP($A301,'HH &amp; SI'!$B$4:$Z$494,'HH &amp; SI'!V$503,0),0)</f>
        <v>16749.411757266138</v>
      </c>
      <c r="AO301" s="265">
        <f>IFERROR(VLOOKUP($A301,'HH &amp; SI'!$B$4:$Z$494,'HH &amp; SI'!W$503,0),0)</f>
        <v>0</v>
      </c>
      <c r="AP301" s="265">
        <f>IFERROR(VLOOKUP($A301,'HH &amp; SI'!$B$4:$Z$494,'HH &amp; SI'!X$503,0),0)</f>
        <v>9873.0843965268614</v>
      </c>
      <c r="AQ301" s="265">
        <f>IFERROR(VLOOKUP($A301,'HH &amp; SI'!$B$4:$Z$494,'HH &amp; SI'!Y$503,0),0)</f>
        <v>9172.703548872907</v>
      </c>
      <c r="AR301" s="266">
        <f t="shared" si="369"/>
        <v>35795.199702665908</v>
      </c>
      <c r="AS301" s="347"/>
      <c r="AT301" s="324">
        <f>IFERROR(VLOOKUP(A301,'Afton FY16 Final'!$A$5:$BV$572,'Afton FY16 Final'!$BV$587,0),0)</f>
        <v>0</v>
      </c>
      <c r="AU301" s="347"/>
      <c r="AV301" s="454">
        <v>0</v>
      </c>
      <c r="AW301" s="265">
        <f>IFERROR(VLOOKUP($A301,'HH &amp; SI'!$B$4:$EY$503,'HH &amp; SI'!EX$503,0),0)</f>
        <v>2005.0001349367158</v>
      </c>
      <c r="AX301" s="265">
        <f>IFERROR(VLOOKUP($A301,'HH &amp; SI'!$B$4:$EY$503,'HH &amp; SI'!EY$503,0),0)</f>
        <v>33790.199567729192</v>
      </c>
      <c r="AY301" s="265">
        <f>AX301/$AX$582*'update_State Admin 1004(b)'!$B$30*0.01</f>
        <v>323.39648367845115</v>
      </c>
      <c r="AZ301" s="266">
        <f t="shared" si="370"/>
        <v>33466.803084050742</v>
      </c>
      <c r="BA301" s="264">
        <f t="shared" si="371"/>
        <v>334.66803084050741</v>
      </c>
      <c r="BB301" s="265">
        <f t="shared" si="372"/>
        <v>33132.135053210237</v>
      </c>
      <c r="BC301" s="342" t="str">
        <f t="shared" si="381"/>
        <v/>
      </c>
      <c r="BD301" s="347"/>
      <c r="BE301" s="377">
        <f>'Original Title I &amp; II'!AZ301</f>
        <v>0</v>
      </c>
      <c r="BF301" s="244"/>
      <c r="BG301" s="266">
        <f t="shared" si="364"/>
        <v>33132.135053210237</v>
      </c>
      <c r="BI301" s="203" t="str">
        <f>IFERROR(VLOOKUP(A301,'Title II Hold Harmless'!A$1:B$439,2, FALSE),"")</f>
        <v/>
      </c>
      <c r="BJ301" s="203">
        <f t="shared" si="373"/>
        <v>665.42046794521377</v>
      </c>
      <c r="BK301" s="203">
        <f t="shared" si="401"/>
        <v>666.0641902889073</v>
      </c>
      <c r="BL301" s="203"/>
      <c r="BM301" s="203">
        <f t="shared" si="378"/>
        <v>666.0641902889073</v>
      </c>
      <c r="BN301" s="200"/>
      <c r="BP301" s="298" t="s">
        <v>1448</v>
      </c>
      <c r="BQ301" s="299" t="str">
        <f t="shared" si="382"/>
        <v>Y</v>
      </c>
      <c r="BR301" s="300" t="s">
        <v>1448</v>
      </c>
      <c r="BT301" s="298" t="str">
        <f t="shared" si="383"/>
        <v>Y</v>
      </c>
      <c r="BU301" s="299" t="str">
        <f t="shared" si="375"/>
        <v>N</v>
      </c>
      <c r="BV301" s="299" t="str">
        <f t="shared" si="376"/>
        <v>Y</v>
      </c>
      <c r="BW301" s="300" t="str">
        <f t="shared" si="384"/>
        <v>Y</v>
      </c>
      <c r="BY301" s="355">
        <f t="shared" si="385"/>
        <v>0.85</v>
      </c>
      <c r="BZ301" s="356">
        <f t="shared" si="386"/>
        <v>0</v>
      </c>
      <c r="CA301" s="356">
        <f t="shared" si="387"/>
        <v>0</v>
      </c>
      <c r="CB301" s="357">
        <f t="shared" si="388"/>
        <v>0.85</v>
      </c>
      <c r="CD301" s="312">
        <f t="shared" si="389"/>
        <v>296</v>
      </c>
    </row>
    <row r="302" spans="1:82" s="48" customFormat="1" outlineLevel="1" x14ac:dyDescent="0.3">
      <c r="A302" s="202">
        <v>78976000</v>
      </c>
      <c r="B302" s="48">
        <f>VLOOKUP(C302,'NCES ID'!$A$2:$B$3136,2,FALSE)</f>
        <v>400370</v>
      </c>
      <c r="C302" s="48">
        <f>VLOOKUP(A302,'State ID'!$A$2:$B$713,2,FALSE)</f>
        <v>79994</v>
      </c>
      <c r="D302" s="48" t="s">
        <v>286</v>
      </c>
      <c r="E302" s="48" t="s">
        <v>7</v>
      </c>
      <c r="F302" s="755"/>
      <c r="G302" s="755"/>
      <c r="H302" s="755"/>
      <c r="I302" s="755"/>
      <c r="J302" s="755"/>
      <c r="K302" s="755"/>
      <c r="L302" s="454"/>
      <c r="M302" s="455"/>
      <c r="N302" s="456"/>
      <c r="O302" s="209">
        <f>VLOOKUP($C302,'Final SEA Counts'!$A$2:$F$709,5,FALSE)</f>
        <v>110</v>
      </c>
      <c r="P302" s="223">
        <f>VLOOKUP($C302,'Final SEA Counts'!$A$2:$F$709,6,FALSE)</f>
        <v>96</v>
      </c>
      <c r="Q302" s="749"/>
      <c r="R302" s="454">
        <f t="shared" si="353"/>
        <v>110</v>
      </c>
      <c r="S302" s="455">
        <f t="shared" si="391"/>
        <v>47.532098179387262</v>
      </c>
      <c r="T302" s="230">
        <f t="shared" si="355"/>
        <v>0.43210998344897511</v>
      </c>
      <c r="U302" s="264" t="str">
        <f>IFERROR(VLOOKUP($B302,#REF!,8,FALSE),"")</f>
        <v/>
      </c>
      <c r="V302" s="265" t="str">
        <f>IFERROR(VLOOKUP($B302,#REF!,9,FALSE),"")</f>
        <v/>
      </c>
      <c r="W302" s="265" t="str">
        <f>IFERROR(VLOOKUP($B302,#REF!,10,FALSE),"")</f>
        <v/>
      </c>
      <c r="X302" s="265" t="str">
        <f>IFERROR(VLOOKUP($B302,#REF!,11,FALSE),"")</f>
        <v/>
      </c>
      <c r="Y302" s="266" t="str">
        <f>IFERROR(VLOOKUP($B302,#REF!,12,FALSE),"")</f>
        <v/>
      </c>
      <c r="Z302" s="265">
        <f t="shared" si="392"/>
        <v>22960.285145558832</v>
      </c>
      <c r="AA302" s="265">
        <f t="shared" si="393"/>
        <v>4748.1500449667037</v>
      </c>
      <c r="AB302" s="265">
        <f t="shared" si="394"/>
        <v>13437.782151091442</v>
      </c>
      <c r="AC302" s="266">
        <f t="shared" si="395"/>
        <v>12508.810002212233</v>
      </c>
      <c r="AD302" s="265">
        <f t="shared" si="365"/>
        <v>22960.285145558832</v>
      </c>
      <c r="AE302" s="265">
        <f t="shared" si="366"/>
        <v>4748.1500449667037</v>
      </c>
      <c r="AF302" s="265">
        <f t="shared" si="367"/>
        <v>13437.782151091442</v>
      </c>
      <c r="AG302" s="266">
        <f t="shared" si="368"/>
        <v>12508.810002212233</v>
      </c>
      <c r="AH302" s="265">
        <f t="shared" si="396"/>
        <v>22960.285145558832</v>
      </c>
      <c r="AI302" s="265">
        <f t="shared" si="397"/>
        <v>6878.9714277974163</v>
      </c>
      <c r="AJ302" s="265">
        <f t="shared" si="398"/>
        <v>13463.122796311702</v>
      </c>
      <c r="AK302" s="265">
        <f t="shared" si="399"/>
        <v>12532.398814177635</v>
      </c>
      <c r="AL302" s="266">
        <f t="shared" si="400"/>
        <v>55834.778183845585</v>
      </c>
      <c r="AM302" s="347"/>
      <c r="AN302" s="264">
        <f>IFERROR(VLOOKUP($A302,'HH &amp; SI'!$B$4:$Z$494,'HH &amp; SI'!V$503,0),0)</f>
        <v>22647.091953486615</v>
      </c>
      <c r="AO302" s="265">
        <f>IFERROR(VLOOKUP($A302,'HH &amp; SI'!$B$4:$Z$494,'HH &amp; SI'!W$503,0),0)</f>
        <v>6652.403259140603</v>
      </c>
      <c r="AP302" s="265">
        <f>IFERROR(VLOOKUP($A302,'HH &amp; SI'!$B$4:$Z$494,'HH &amp; SI'!X$503,0),0)</f>
        <v>13340.680950956794</v>
      </c>
      <c r="AQ302" s="265">
        <f>IFERROR(VLOOKUP($A302,'HH &amp; SI'!$B$4:$Z$494,'HH &amp; SI'!Y$503,0),0)</f>
        <v>12394.314338715634</v>
      </c>
      <c r="AR302" s="266">
        <f t="shared" si="369"/>
        <v>55034.490502299639</v>
      </c>
      <c r="AS302" s="347"/>
      <c r="AT302" s="324">
        <f>IFERROR(VLOOKUP(A302,'Afton FY16 Final'!$A$5:$BV$572,'Afton FY16 Final'!$BV$587,0),0)</f>
        <v>48162.688272930951</v>
      </c>
      <c r="AU302" s="347"/>
      <c r="AV302" s="454">
        <v>0</v>
      </c>
      <c r="AW302" s="265">
        <f>IFERROR(VLOOKUP($A302,'HH &amp; SI'!$B$4:$EY$503,'HH &amp; SI'!EX$503,0),0)</f>
        <v>3082.6524729534067</v>
      </c>
      <c r="AX302" s="265">
        <f>IFERROR(VLOOKUP($A302,'HH &amp; SI'!$B$4:$EY$503,'HH &amp; SI'!EY$503,0),0)</f>
        <v>51951.838029346232</v>
      </c>
      <c r="AY302" s="265">
        <f>AX302/$AX$582*'update_State Admin 1004(b)'!$B$30*0.01</f>
        <v>497.21641050526915</v>
      </c>
      <c r="AZ302" s="266">
        <f t="shared" si="370"/>
        <v>51454.62161884096</v>
      </c>
      <c r="BA302" s="264">
        <f t="shared" si="371"/>
        <v>514.54621618840963</v>
      </c>
      <c r="BB302" s="265">
        <f t="shared" si="372"/>
        <v>50940.075402652554</v>
      </c>
      <c r="BC302" s="342">
        <f t="shared" si="381"/>
        <v>1.0576667796029688</v>
      </c>
      <c r="BD302" s="347"/>
      <c r="BE302" s="377" t="str">
        <f>'Original Title I &amp; II'!AZ302</f>
        <v/>
      </c>
      <c r="BF302" s="244" t="str">
        <f>IF(BE302&lt;0,BB302*BE302/100,"")</f>
        <v/>
      </c>
      <c r="BG302" s="266">
        <f t="shared" si="364"/>
        <v>50940.075402652554</v>
      </c>
      <c r="BI302" s="203" t="str">
        <f>IFERROR(VLOOKUP(A302,'Title II Hold Harmless'!A$1:B$439,2, FALSE),"")</f>
        <v/>
      </c>
      <c r="BJ302" s="203">
        <f t="shared" si="373"/>
        <v>710.76555068891639</v>
      </c>
      <c r="BK302" s="203">
        <f t="shared" si="401"/>
        <v>711.45313949651495</v>
      </c>
      <c r="BL302" s="203" t="str">
        <f t="shared" si="377"/>
        <v/>
      </c>
      <c r="BM302" s="203">
        <f t="shared" si="378"/>
        <v>711.45313949651495</v>
      </c>
      <c r="BN302" s="200"/>
      <c r="BP302" s="298" t="s">
        <v>1448</v>
      </c>
      <c r="BQ302" s="299" t="str">
        <f t="shared" si="382"/>
        <v>Y</v>
      </c>
      <c r="BR302" s="300" t="s">
        <v>1448</v>
      </c>
      <c r="BT302" s="298" t="str">
        <f t="shared" si="383"/>
        <v>Y</v>
      </c>
      <c r="BU302" s="299" t="str">
        <f t="shared" si="375"/>
        <v>Y</v>
      </c>
      <c r="BV302" s="299" t="str">
        <f t="shared" si="376"/>
        <v>Y</v>
      </c>
      <c r="BW302" s="300" t="str">
        <f t="shared" si="384"/>
        <v>Y</v>
      </c>
      <c r="BY302" s="355">
        <f t="shared" si="385"/>
        <v>0</v>
      </c>
      <c r="BZ302" s="356">
        <f t="shared" si="386"/>
        <v>0</v>
      </c>
      <c r="CA302" s="356">
        <f t="shared" si="387"/>
        <v>0.95</v>
      </c>
      <c r="CB302" s="357">
        <f t="shared" si="388"/>
        <v>0.95</v>
      </c>
      <c r="CD302" s="312">
        <f t="shared" si="389"/>
        <v>297</v>
      </c>
    </row>
    <row r="303" spans="1:82" s="48" customFormat="1" outlineLevel="1" x14ac:dyDescent="0.3">
      <c r="A303" s="202">
        <v>78977000</v>
      </c>
      <c r="B303" s="48">
        <f>VLOOKUP(C303,'NCES ID'!$A$2:$B$3136,2,FALSE)</f>
        <v>400399</v>
      </c>
      <c r="C303" s="48">
        <f>VLOOKUP(A303,'State ID'!$A$2:$B$713,2,FALSE)</f>
        <v>80011</v>
      </c>
      <c r="D303" s="48" t="s">
        <v>794</v>
      </c>
      <c r="E303" s="48" t="s">
        <v>7</v>
      </c>
      <c r="F303" s="755"/>
      <c r="G303" s="755"/>
      <c r="H303" s="755"/>
      <c r="I303" s="755"/>
      <c r="J303" s="755"/>
      <c r="K303" s="755"/>
      <c r="L303" s="454"/>
      <c r="M303" s="455"/>
      <c r="N303" s="456"/>
      <c r="O303" s="209">
        <f>VLOOKUP($C303,'AzEDS FY17 11-14-2016'!$A$1:$D$706,3,FALSE)</f>
        <v>171</v>
      </c>
      <c r="P303" s="223">
        <f>VLOOKUP($C303,'AzEDS FY17 11-14-2016'!$A$1:$D$706,4,FALSE)</f>
        <v>41</v>
      </c>
      <c r="Q303" s="749"/>
      <c r="R303" s="454">
        <f t="shared" si="353"/>
        <v>171</v>
      </c>
      <c r="S303" s="455">
        <f t="shared" si="391"/>
        <v>20.300166930779977</v>
      </c>
      <c r="T303" s="230">
        <f t="shared" si="355"/>
        <v>0.11871442649578934</v>
      </c>
      <c r="U303" s="264"/>
      <c r="V303" s="265"/>
      <c r="W303" s="265"/>
      <c r="X303" s="265"/>
      <c r="Y303" s="266"/>
      <c r="Z303" s="265">
        <f t="shared" si="392"/>
        <v>9805.9551142490836</v>
      </c>
      <c r="AA303" s="265">
        <f t="shared" si="393"/>
        <v>2027.8557483711963</v>
      </c>
      <c r="AB303" s="265">
        <f t="shared" si="394"/>
        <v>5739.0527936953031</v>
      </c>
      <c r="AC303" s="266">
        <f t="shared" si="395"/>
        <v>5342.3042717781409</v>
      </c>
      <c r="AD303" s="265">
        <f t="shared" si="365"/>
        <v>9805.9551142490836</v>
      </c>
      <c r="AE303" s="265" t="str">
        <f t="shared" si="366"/>
        <v/>
      </c>
      <c r="AF303" s="265">
        <f t="shared" si="367"/>
        <v>5739.0527936953031</v>
      </c>
      <c r="AG303" s="266">
        <f t="shared" si="368"/>
        <v>5342.3042717781409</v>
      </c>
      <c r="AH303" s="265">
        <f t="shared" si="396"/>
        <v>9805.9551142490836</v>
      </c>
      <c r="AI303" s="265" t="str">
        <f t="shared" si="397"/>
        <v/>
      </c>
      <c r="AJ303" s="265">
        <f t="shared" si="398"/>
        <v>5764.393438915562</v>
      </c>
      <c r="AK303" s="265">
        <f t="shared" si="399"/>
        <v>5365.8930837435437</v>
      </c>
      <c r="AL303" s="266">
        <f t="shared" si="400"/>
        <v>20936.241636908191</v>
      </c>
      <c r="AM303" s="347"/>
      <c r="AN303" s="264">
        <f>IFERROR(VLOOKUP($A303,'HH &amp; SI'!$B$4:$Z$494,'HH &amp; SI'!V$503,0),0)</f>
        <v>11295.74852948996</v>
      </c>
      <c r="AO303" s="265">
        <f>IFERROR(VLOOKUP($A303,'HH &amp; SI'!$B$4:$Z$494,'HH &amp; SI'!W$503,0),0)</f>
        <v>3916.7372130698027</v>
      </c>
      <c r="AP303" s="265">
        <f>IFERROR(VLOOKUP($A303,'HH &amp; SI'!$B$4:$Z$494,'HH &amp; SI'!X$503,0),0)</f>
        <v>6130.3354130119933</v>
      </c>
      <c r="AQ303" s="265">
        <f>IFERROR(VLOOKUP($A303,'HH &amp; SI'!$B$4:$Z$494,'HH &amp; SI'!Y$503,0),0)</f>
        <v>5687.7269508584377</v>
      </c>
      <c r="AR303" s="266">
        <f t="shared" si="369"/>
        <v>27030.548106430193</v>
      </c>
      <c r="AS303" s="347"/>
      <c r="AT303" s="324">
        <f>IFERROR(VLOOKUP(A303,'Afton FY16 Final'!$A$5:$BV$572,'Afton FY16 Final'!$BV$587,0),0)</f>
        <v>30632.430490412917</v>
      </c>
      <c r="AU303" s="347"/>
      <c r="AV303" s="454">
        <v>0</v>
      </c>
      <c r="AW303" s="265">
        <f>IFERROR(VLOOKUP($A303,'HH &amp; SI'!$B$4:$EY$503,'HH &amp; SI'!EX$503,0),0)</f>
        <v>0</v>
      </c>
      <c r="AX303" s="265">
        <f>IFERROR(VLOOKUP($A303,'HH &amp; SI'!$B$4:$EY$503,'HH &amp; SI'!EY$503,0),0)</f>
        <v>27030.548106430193</v>
      </c>
      <c r="AY303" s="265">
        <f>AX303/$AX$582*'update_State Admin 1004(b)'!$B$30*0.01</f>
        <v>258.70176327307803</v>
      </c>
      <c r="AZ303" s="266">
        <f t="shared" si="370"/>
        <v>26771.846343157114</v>
      </c>
      <c r="BA303" s="264">
        <f t="shared" si="371"/>
        <v>267.71846343157114</v>
      </c>
      <c r="BB303" s="265">
        <f t="shared" si="372"/>
        <v>26504.127879725544</v>
      </c>
      <c r="BC303" s="342">
        <f t="shared" si="381"/>
        <v>0.8652309808723988</v>
      </c>
      <c r="BD303" s="347"/>
      <c r="BE303" s="377">
        <f>'Original Title I &amp; II'!AZ303</f>
        <v>0</v>
      </c>
      <c r="BF303" s="244"/>
      <c r="BG303" s="266">
        <f t="shared" si="364"/>
        <v>26504.127879725544</v>
      </c>
      <c r="BI303" s="203" t="str">
        <f>IFERROR(VLOOKUP(A303,'Title II Hold Harmless'!A$1:B$439,2, FALSE),"")</f>
        <v/>
      </c>
      <c r="BJ303" s="203">
        <f t="shared" si="373"/>
        <v>403.36804876389948</v>
      </c>
      <c r="BK303" s="203">
        <f t="shared" si="401"/>
        <v>403.75826373057043</v>
      </c>
      <c r="BL303" s="203"/>
      <c r="BM303" s="203">
        <f t="shared" si="378"/>
        <v>403.75826373057043</v>
      </c>
      <c r="BN303" s="200"/>
      <c r="BP303" s="298" t="s">
        <v>1448</v>
      </c>
      <c r="BQ303" s="299" t="str">
        <f t="shared" si="382"/>
        <v>Y</v>
      </c>
      <c r="BR303" s="300" t="s">
        <v>1448</v>
      </c>
      <c r="BT303" s="298" t="str">
        <f t="shared" si="383"/>
        <v>Y</v>
      </c>
      <c r="BU303" s="299" t="str">
        <f t="shared" si="375"/>
        <v>N</v>
      </c>
      <c r="BV303" s="299" t="str">
        <f t="shared" si="376"/>
        <v>Y</v>
      </c>
      <c r="BW303" s="300" t="str">
        <f t="shared" si="384"/>
        <v>Y</v>
      </c>
      <c r="BY303" s="355">
        <f t="shared" si="385"/>
        <v>0.85</v>
      </c>
      <c r="BZ303" s="356">
        <f t="shared" si="386"/>
        <v>0</v>
      </c>
      <c r="CA303" s="356">
        <f t="shared" si="387"/>
        <v>0</v>
      </c>
      <c r="CB303" s="357">
        <f t="shared" si="388"/>
        <v>0.85</v>
      </c>
      <c r="CD303" s="312">
        <f t="shared" si="389"/>
        <v>298</v>
      </c>
    </row>
    <row r="304" spans="1:82" s="48" customFormat="1" outlineLevel="1" x14ac:dyDescent="0.3">
      <c r="A304" s="202">
        <v>78758000</v>
      </c>
      <c r="B304" s="48">
        <f>VLOOKUP(C304,'NCES ID'!$A$2:$B$3136,2,FALSE)</f>
        <v>400068</v>
      </c>
      <c r="C304" s="48">
        <f>VLOOKUP(A304,'State ID'!$A$2:$B$713,2,FALSE)</f>
        <v>4359</v>
      </c>
      <c r="D304" s="48" t="s">
        <v>294</v>
      </c>
      <c r="E304" s="48" t="s">
        <v>7</v>
      </c>
      <c r="F304" s="755"/>
      <c r="G304" s="755"/>
      <c r="H304" s="755"/>
      <c r="I304" s="755"/>
      <c r="J304" s="755"/>
      <c r="K304" s="755"/>
      <c r="L304" s="454"/>
      <c r="M304" s="455"/>
      <c r="N304" s="456"/>
      <c r="O304" s="209">
        <f>VLOOKUP($C304,'AzEDS FY17 11-14-2016'!$A$1:$D$706,3,FALSE)</f>
        <v>292</v>
      </c>
      <c r="P304" s="223">
        <f>VLOOKUP($C304,'AzEDS FY17 11-14-2016'!$A$1:$D$706,4,FALSE)</f>
        <v>119</v>
      </c>
      <c r="Q304" s="749"/>
      <c r="R304" s="454">
        <f t="shared" si="353"/>
        <v>292</v>
      </c>
      <c r="S304" s="455">
        <f t="shared" ref="S304:S318" si="405">P304*$B$358</f>
        <v>58.919996701532121</v>
      </c>
      <c r="T304" s="230">
        <f t="shared" ref="T304:T356" si="406">S304/R304</f>
        <v>0.20178081062168535</v>
      </c>
      <c r="U304" s="264" t="str">
        <f>IFERROR(VLOOKUP($B304,#REF!,8,FALSE),"")</f>
        <v/>
      </c>
      <c r="V304" s="265" t="str">
        <f>IFERROR(VLOOKUP($B304,#REF!,9,FALSE),"")</f>
        <v/>
      </c>
      <c r="W304" s="265" t="str">
        <f>IFERROR(VLOOKUP($B304,#REF!,10,FALSE),"")</f>
        <v/>
      </c>
      <c r="X304" s="265" t="str">
        <f>IFERROR(VLOOKUP($B304,#REF!,11,FALSE),"")</f>
        <v/>
      </c>
      <c r="Y304" s="266" t="str">
        <f>IFERROR(VLOOKUP($B304,#REF!,12,FALSE),"")</f>
        <v/>
      </c>
      <c r="Z304" s="265">
        <f t="shared" ref="Z304:Z318" si="407">$S304*U$359</f>
        <v>28461.18679501563</v>
      </c>
      <c r="AA304" s="265">
        <f t="shared" ref="AA304:AA318" si="408">$S304*V$359</f>
        <v>5885.7276599066427</v>
      </c>
      <c r="AB304" s="265">
        <f t="shared" ref="AB304:AB318" si="409">$S304*W$359</f>
        <v>16657.250791457096</v>
      </c>
      <c r="AC304" s="266">
        <f t="shared" ref="AC304:AC318" si="410">$S304*X$359</f>
        <v>15505.712398575579</v>
      </c>
      <c r="AD304" s="265">
        <f t="shared" si="365"/>
        <v>28461.18679501563</v>
      </c>
      <c r="AE304" s="265">
        <f t="shared" si="366"/>
        <v>5885.7276599066427</v>
      </c>
      <c r="AF304" s="265">
        <f t="shared" si="367"/>
        <v>16657.250791457096</v>
      </c>
      <c r="AG304" s="266">
        <f t="shared" si="368"/>
        <v>15505.712398575579</v>
      </c>
      <c r="AH304" s="265">
        <f t="shared" ref="AH304:AH318" si="411">IF(AD304="","",AD304+AD$359)</f>
        <v>28461.18679501563</v>
      </c>
      <c r="AI304" s="265">
        <f t="shared" ref="AI304:AI318" si="412">IF(AE304="","",AE304+AE$359)</f>
        <v>8016.5490427373552</v>
      </c>
      <c r="AJ304" s="265">
        <f t="shared" ref="AJ304:AJ318" si="413">IF(AF304="","",AF304+AF$359)</f>
        <v>16682.591436677354</v>
      </c>
      <c r="AK304" s="265">
        <f t="shared" ref="AK304:AK318" si="414">IF(AG304="","",AG304+AG$359)</f>
        <v>15529.301210540982</v>
      </c>
      <c r="AL304" s="266">
        <f t="shared" si="400"/>
        <v>68689.628484971327</v>
      </c>
      <c r="AM304" s="347"/>
      <c r="AN304" s="264">
        <f>IFERROR(VLOOKUP($A304,'HH &amp; SI'!$B$4:$Z$494,'HH &amp; SI'!V$503,0),0)</f>
        <v>28072.957734009447</v>
      </c>
      <c r="AO304" s="265">
        <f>IFERROR(VLOOKUP($A304,'HH &amp; SI'!$B$4:$Z$494,'HH &amp; SI'!W$503,0),0)</f>
        <v>7752.5132265365464</v>
      </c>
      <c r="AP304" s="265">
        <f>IFERROR(VLOOKUP($A304,'HH &amp; SI'!$B$4:$Z$494,'HH &amp; SI'!X$503,0),0)</f>
        <v>16530.869781032325</v>
      </c>
      <c r="AQ304" s="265">
        <f>IFERROR(VLOOKUP($A304,'HH &amp; SI'!$B$4:$Z$494,'HH &amp; SI'!Y$503,0),0)</f>
        <v>15358.19626537094</v>
      </c>
      <c r="AR304" s="266">
        <f t="shared" si="369"/>
        <v>67714.537006949249</v>
      </c>
      <c r="AS304" s="347"/>
      <c r="AT304" s="324">
        <f>IFERROR(VLOOKUP(A304,'Afton FY16 Final'!$A$5:$BV$572,'Afton FY16 Final'!$BV$587,0),0)</f>
        <v>65247.806545939231</v>
      </c>
      <c r="AU304" s="347"/>
      <c r="AV304" s="454">
        <v>0</v>
      </c>
      <c r="AW304" s="265">
        <f>IFERROR(VLOOKUP($A304,'HH &amp; SI'!$B$4:$EY$503,'HH &amp; SI'!EX$503,0),0)</f>
        <v>2466.7304610100182</v>
      </c>
      <c r="AX304" s="265">
        <f>IFERROR(VLOOKUP($A304,'HH &amp; SI'!$B$4:$EY$503,'HH &amp; SI'!EY$503,0),0)</f>
        <v>65247.806545939231</v>
      </c>
      <c r="AY304" s="265">
        <f>AX304/$AX$582*'update_State Admin 1004(b)'!$B$30*0.01</f>
        <v>624.46838061414337</v>
      </c>
      <c r="AZ304" s="266">
        <f t="shared" si="370"/>
        <v>64623.338165325091</v>
      </c>
      <c r="BA304" s="264">
        <f t="shared" si="371"/>
        <v>646.23338165325094</v>
      </c>
      <c r="BB304" s="265">
        <f t="shared" si="372"/>
        <v>63977.104783671843</v>
      </c>
      <c r="BC304" s="342">
        <f t="shared" si="381"/>
        <v>0.98052498881517614</v>
      </c>
      <c r="BD304" s="347"/>
      <c r="BE304" s="377" t="str">
        <f>'Original Title I &amp; II'!AZ304</f>
        <v/>
      </c>
      <c r="BF304" s="244" t="str">
        <f t="shared" ref="BF304:BF316" si="415">IF(BE304&lt;0,BB304*BE304/100,"")</f>
        <v/>
      </c>
      <c r="BG304" s="266">
        <f t="shared" si="364"/>
        <v>63977.104783671843</v>
      </c>
      <c r="BI304" s="203">
        <f>IFERROR(VLOOKUP(A304,'Title II Hold Harmless'!A$1:B$439,2, FALSE),"")</f>
        <v>9889</v>
      </c>
      <c r="BJ304" s="203">
        <f t="shared" si="373"/>
        <v>10895.31684887882</v>
      </c>
      <c r="BK304" s="203">
        <f t="shared" si="401"/>
        <v>10905.856889702784</v>
      </c>
      <c r="BL304" s="203" t="str">
        <f t="shared" si="377"/>
        <v/>
      </c>
      <c r="BM304" s="203">
        <f t="shared" si="378"/>
        <v>10905.856889702784</v>
      </c>
      <c r="BN304" s="200"/>
      <c r="BP304" s="298" t="s">
        <v>1448</v>
      </c>
      <c r="BQ304" s="299" t="str">
        <f t="shared" si="382"/>
        <v>Y</v>
      </c>
      <c r="BR304" s="300" t="s">
        <v>1448</v>
      </c>
      <c r="BT304" s="298" t="str">
        <f t="shared" si="383"/>
        <v>Y</v>
      </c>
      <c r="BU304" s="299" t="str">
        <f t="shared" si="375"/>
        <v>Y</v>
      </c>
      <c r="BV304" s="299" t="str">
        <f t="shared" si="376"/>
        <v>Y</v>
      </c>
      <c r="BW304" s="300" t="str">
        <f t="shared" si="384"/>
        <v>Y</v>
      </c>
      <c r="BY304" s="355">
        <f t="shared" si="385"/>
        <v>0</v>
      </c>
      <c r="BZ304" s="356">
        <f t="shared" si="386"/>
        <v>0.9</v>
      </c>
      <c r="CA304" s="356">
        <f t="shared" si="387"/>
        <v>0</v>
      </c>
      <c r="CB304" s="357">
        <f t="shared" si="388"/>
        <v>0.9</v>
      </c>
      <c r="CD304" s="312">
        <f t="shared" si="389"/>
        <v>299</v>
      </c>
    </row>
    <row r="305" spans="1:82" s="48" customFormat="1" outlineLevel="1" x14ac:dyDescent="0.3">
      <c r="A305" s="202">
        <v>78556000</v>
      </c>
      <c r="B305" s="48">
        <f>VLOOKUP(C305,'NCES ID'!$A$2:$B$3136,2,FALSE)</f>
        <v>400793</v>
      </c>
      <c r="C305" s="48">
        <f>VLOOKUP(A305,'State ID'!$A$2:$B$713,2,FALSE)</f>
        <v>90192</v>
      </c>
      <c r="D305" s="48" t="s">
        <v>296</v>
      </c>
      <c r="E305" s="48" t="s">
        <v>7</v>
      </c>
      <c r="F305" s="755"/>
      <c r="G305" s="755"/>
      <c r="H305" s="755"/>
      <c r="I305" s="755"/>
      <c r="J305" s="755"/>
      <c r="K305" s="755"/>
      <c r="L305" s="454"/>
      <c r="M305" s="455"/>
      <c r="N305" s="456"/>
      <c r="O305" s="209">
        <f>VLOOKUP($C305,'Final SEA Counts'!$A$2:$F$709,5,FALSE)</f>
        <v>317</v>
      </c>
      <c r="P305" s="223">
        <f>VLOOKUP($C305,'Final SEA Counts'!$A$2:$F$709,6,FALSE)</f>
        <v>235</v>
      </c>
      <c r="Q305" s="749"/>
      <c r="R305" s="454">
        <f t="shared" si="353"/>
        <v>317</v>
      </c>
      <c r="S305" s="455">
        <f t="shared" si="405"/>
        <v>116.3546153349584</v>
      </c>
      <c r="T305" s="230">
        <f t="shared" si="406"/>
        <v>0.36704925973172997</v>
      </c>
      <c r="U305" s="264" t="str">
        <f>IFERROR(VLOOKUP($B305,#REF!,8,FALSE),"")</f>
        <v/>
      </c>
      <c r="V305" s="265" t="str">
        <f>IFERROR(VLOOKUP($B305,#REF!,9,FALSE),"")</f>
        <v/>
      </c>
      <c r="W305" s="265" t="str">
        <f>IFERROR(VLOOKUP($B305,#REF!,10,FALSE),"")</f>
        <v/>
      </c>
      <c r="X305" s="265" t="str">
        <f>IFERROR(VLOOKUP($B305,#REF!,11,FALSE),"")</f>
        <v/>
      </c>
      <c r="Y305" s="266" t="str">
        <f>IFERROR(VLOOKUP($B305,#REF!,12,FALSE),"")</f>
        <v/>
      </c>
      <c r="Z305" s="265">
        <f t="shared" si="407"/>
        <v>56204.864679232553</v>
      </c>
      <c r="AA305" s="265">
        <f t="shared" si="408"/>
        <v>11623.075630908077</v>
      </c>
      <c r="AB305" s="265">
        <f t="shared" si="409"/>
        <v>32894.570890692587</v>
      </c>
      <c r="AC305" s="266">
        <f t="shared" si="410"/>
        <v>30620.524484582027</v>
      </c>
      <c r="AD305" s="265">
        <f t="shared" si="365"/>
        <v>56204.864679232553</v>
      </c>
      <c r="AE305" s="265">
        <f t="shared" si="366"/>
        <v>11623.075630908077</v>
      </c>
      <c r="AF305" s="265">
        <f t="shared" si="367"/>
        <v>32894.570890692587</v>
      </c>
      <c r="AG305" s="266">
        <f t="shared" si="368"/>
        <v>30620.524484582027</v>
      </c>
      <c r="AH305" s="265">
        <f t="shared" si="411"/>
        <v>56204.864679232553</v>
      </c>
      <c r="AI305" s="265">
        <f t="shared" si="412"/>
        <v>13753.89701373879</v>
      </c>
      <c r="AJ305" s="265">
        <f t="shared" si="413"/>
        <v>32919.911535912848</v>
      </c>
      <c r="AK305" s="265">
        <f t="shared" si="414"/>
        <v>30644.113296547428</v>
      </c>
      <c r="AL305" s="266">
        <f t="shared" si="400"/>
        <v>133522.78652543161</v>
      </c>
      <c r="AM305" s="347"/>
      <c r="AN305" s="264">
        <f>IFERROR(VLOOKUP($A305,'HH &amp; SI'!$B$4:$Z$494,'HH &amp; SI'!V$503,0),0)</f>
        <v>55438.193844472444</v>
      </c>
      <c r="AO305" s="265">
        <f>IFERROR(VLOOKUP($A305,'HH &amp; SI'!$B$4:$Z$494,'HH &amp; SI'!W$503,0),0)</f>
        <v>13300.893931663917</v>
      </c>
      <c r="AP305" s="265">
        <f>IFERROR(VLOOKUP($A305,'HH &amp; SI'!$B$4:$Z$494,'HH &amp; SI'!X$503,0),0)</f>
        <v>32620.517793587202</v>
      </c>
      <c r="AQ305" s="265">
        <f>IFERROR(VLOOKUP($A305,'HH &amp; SI'!$B$4:$Z$494,'HH &amp; SI'!Y$503,0),0)</f>
        <v>30306.470330241176</v>
      </c>
      <c r="AR305" s="266">
        <f t="shared" si="369"/>
        <v>131666.07589996475</v>
      </c>
      <c r="AS305" s="347"/>
      <c r="AT305" s="324">
        <f>IFERROR(VLOOKUP(A305,'Afton FY16 Final'!$A$5:$BV$572,'Afton FY16 Final'!$BV$587,0),0)</f>
        <v>114340.85686870452</v>
      </c>
      <c r="AU305" s="347"/>
      <c r="AV305" s="454">
        <v>0</v>
      </c>
      <c r="AW305" s="265">
        <f>IFERROR(VLOOKUP($A305,'HH &amp; SI'!$B$4:$EY$503,'HH &amp; SI'!EX$503,0),0)</f>
        <v>7375.0252027887764</v>
      </c>
      <c r="AX305" s="265">
        <f>IFERROR(VLOOKUP($A305,'HH &amp; SI'!$B$4:$EY$503,'HH &amp; SI'!EY$503,0),0)</f>
        <v>124291.05069717598</v>
      </c>
      <c r="AY305" s="265">
        <f>AX305/$AX$582*'update_State Admin 1004(b)'!$B$30*0.01</f>
        <v>1189.5546419487473</v>
      </c>
      <c r="AZ305" s="266">
        <f t="shared" si="370"/>
        <v>123101.49605522722</v>
      </c>
      <c r="BA305" s="264">
        <f t="shared" si="371"/>
        <v>1231.0149605522722</v>
      </c>
      <c r="BB305" s="265">
        <f t="shared" si="372"/>
        <v>121870.48109467495</v>
      </c>
      <c r="BC305" s="342">
        <f t="shared" si="381"/>
        <v>1.0658524383337145</v>
      </c>
      <c r="BD305" s="347"/>
      <c r="BE305" s="377" t="str">
        <f>'Original Title I &amp; II'!AZ305</f>
        <v/>
      </c>
      <c r="BF305" s="244" t="str">
        <f t="shared" si="415"/>
        <v/>
      </c>
      <c r="BG305" s="266">
        <f t="shared" si="364"/>
        <v>121870.48109467495</v>
      </c>
      <c r="BI305" s="203" t="str">
        <f>IFERROR(VLOOKUP(A305,'Title II Hold Harmless'!A$1:B$439,2, FALSE),"")</f>
        <v/>
      </c>
      <c r="BJ305" s="203">
        <f t="shared" si="373"/>
        <v>1778.3072561369429</v>
      </c>
      <c r="BK305" s="203">
        <f t="shared" si="401"/>
        <v>1780.0275760998418</v>
      </c>
      <c r="BL305" s="203" t="str">
        <f t="shared" si="377"/>
        <v/>
      </c>
      <c r="BM305" s="203">
        <f t="shared" si="378"/>
        <v>1780.0275760998418</v>
      </c>
      <c r="BN305" s="200"/>
      <c r="BP305" s="298" t="s">
        <v>1448</v>
      </c>
      <c r="BQ305" s="299" t="str">
        <f t="shared" si="382"/>
        <v>Y</v>
      </c>
      <c r="BR305" s="300" t="s">
        <v>1448</v>
      </c>
      <c r="BT305" s="298" t="str">
        <f t="shared" si="383"/>
        <v>Y</v>
      </c>
      <c r="BU305" s="299" t="str">
        <f t="shared" si="375"/>
        <v>Y</v>
      </c>
      <c r="BV305" s="299" t="str">
        <f t="shared" si="376"/>
        <v>Y</v>
      </c>
      <c r="BW305" s="300" t="str">
        <f t="shared" si="384"/>
        <v>Y</v>
      </c>
      <c r="BY305" s="355">
        <f t="shared" si="385"/>
        <v>0</v>
      </c>
      <c r="BZ305" s="356">
        <f t="shared" si="386"/>
        <v>0</v>
      </c>
      <c r="CA305" s="356">
        <f t="shared" si="387"/>
        <v>0.95</v>
      </c>
      <c r="CB305" s="357">
        <f t="shared" si="388"/>
        <v>0.95</v>
      </c>
      <c r="CD305" s="312">
        <f t="shared" si="389"/>
        <v>300</v>
      </c>
    </row>
    <row r="306" spans="1:82" s="48" customFormat="1" outlineLevel="1" x14ac:dyDescent="0.3">
      <c r="A306" s="202">
        <v>78771000</v>
      </c>
      <c r="B306" s="48">
        <f>VLOOKUP(C306,'NCES ID'!$A$2:$B$3136,2,FALSE)</f>
        <v>400151</v>
      </c>
      <c r="C306" s="48">
        <f>VLOOKUP(A306,'State ID'!$A$2:$B$713,2,FALSE)</f>
        <v>4366</v>
      </c>
      <c r="D306" s="48" t="s">
        <v>302</v>
      </c>
      <c r="E306" s="48" t="s">
        <v>7</v>
      </c>
      <c r="F306" s="755"/>
      <c r="G306" s="755"/>
      <c r="H306" s="755"/>
      <c r="I306" s="755"/>
      <c r="J306" s="755"/>
      <c r="K306" s="755"/>
      <c r="L306" s="454"/>
      <c r="M306" s="455"/>
      <c r="N306" s="456"/>
      <c r="O306" s="209">
        <f>VLOOKUP($C306,'Final SEA Counts'!$A$2:$F$709,5,FALSE)</f>
        <v>161</v>
      </c>
      <c r="P306" s="223">
        <f>VLOOKUP($C306,'Final SEA Counts'!$A$2:$F$709,6,FALSE)</f>
        <v>155</v>
      </c>
      <c r="Q306" s="749"/>
      <c r="R306" s="454">
        <f t="shared" si="353"/>
        <v>161</v>
      </c>
      <c r="S306" s="455">
        <f t="shared" si="405"/>
        <v>76.744533518802342</v>
      </c>
      <c r="T306" s="230">
        <f t="shared" si="406"/>
        <v>0.47667412123479713</v>
      </c>
      <c r="U306" s="264" t="str">
        <f>IFERROR(VLOOKUP($B306,#REF!,8,FALSE),"")</f>
        <v/>
      </c>
      <c r="V306" s="265" t="str">
        <f>IFERROR(VLOOKUP($B306,#REF!,9,FALSE),"")</f>
        <v/>
      </c>
      <c r="W306" s="265" t="str">
        <f>IFERROR(VLOOKUP($B306,#REF!,10,FALSE),"")</f>
        <v/>
      </c>
      <c r="X306" s="265" t="str">
        <f>IFERROR(VLOOKUP($B306,#REF!,11,FALSE),"")</f>
        <v/>
      </c>
      <c r="Y306" s="266" t="str">
        <f>IFERROR(VLOOKUP($B306,#REF!,12,FALSE),"")</f>
        <v/>
      </c>
      <c r="Z306" s="265">
        <f t="shared" si="407"/>
        <v>37071.293724600189</v>
      </c>
      <c r="AA306" s="265">
        <f t="shared" si="408"/>
        <v>7666.2839267691561</v>
      </c>
      <c r="AB306" s="265">
        <f t="shared" si="409"/>
        <v>21696.419098116388</v>
      </c>
      <c r="AC306" s="266">
        <f t="shared" si="410"/>
        <v>20196.516149405164</v>
      </c>
      <c r="AD306" s="265">
        <f t="shared" si="365"/>
        <v>37071.293724600189</v>
      </c>
      <c r="AE306" s="265">
        <f t="shared" si="366"/>
        <v>7666.2839267691561</v>
      </c>
      <c r="AF306" s="265">
        <f t="shared" si="367"/>
        <v>21696.419098116388</v>
      </c>
      <c r="AG306" s="266">
        <f t="shared" si="368"/>
        <v>20196.516149405164</v>
      </c>
      <c r="AH306" s="265">
        <f t="shared" si="411"/>
        <v>37071.293724600189</v>
      </c>
      <c r="AI306" s="265">
        <f t="shared" si="412"/>
        <v>9797.1053095998686</v>
      </c>
      <c r="AJ306" s="265">
        <f t="shared" si="413"/>
        <v>21721.759743336646</v>
      </c>
      <c r="AK306" s="265">
        <f t="shared" si="414"/>
        <v>20220.104961370565</v>
      </c>
      <c r="AL306" s="266">
        <f t="shared" si="400"/>
        <v>88810.263738907277</v>
      </c>
      <c r="AM306" s="347"/>
      <c r="AN306" s="264">
        <f>IFERROR(VLOOKUP($A306,'HH &amp; SI'!$B$4:$Z$494,'HH &amp; SI'!V$503,0),0)</f>
        <v>39883.729028099064</v>
      </c>
      <c r="AO306" s="265">
        <f>IFERROR(VLOOKUP($A306,'HH &amp; SI'!$B$4:$Z$494,'HH &amp; SI'!W$503,0),0)</f>
        <v>9911.6328712656523</v>
      </c>
      <c r="AP306" s="265">
        <f>IFERROR(VLOOKUP($A306,'HH &amp; SI'!$B$4:$Z$494,'HH &amp; SI'!X$503,0),0)</f>
        <v>21645.368239706237</v>
      </c>
      <c r="AQ306" s="265">
        <f>IFERROR(VLOOKUP($A306,'HH &amp; SI'!$B$4:$Z$494,'HH &amp; SI'!Y$503,0),0)</f>
        <v>19997.315802744455</v>
      </c>
      <c r="AR306" s="266">
        <f t="shared" si="369"/>
        <v>91438.045941815406</v>
      </c>
      <c r="AS306" s="347"/>
      <c r="AT306" s="324">
        <f>IFERROR(VLOOKUP(A306,'Afton FY16 Final'!$A$5:$BV$572,'Afton FY16 Final'!$BV$587,0),0)</f>
        <v>91560.106002342814</v>
      </c>
      <c r="AU306" s="347"/>
      <c r="AV306" s="454">
        <v>0</v>
      </c>
      <c r="AW306" s="265">
        <f>IFERROR(VLOOKUP($A306,'HH &amp; SI'!$B$4:$EY$503,'HH &amp; SI'!EX$503,0),0)</f>
        <v>0</v>
      </c>
      <c r="AX306" s="265">
        <f>IFERROR(VLOOKUP($A306,'HH &amp; SI'!$B$4:$EY$503,'HH &amp; SI'!EY$503,0),0)</f>
        <v>91438.045941815406</v>
      </c>
      <c r="AY306" s="265">
        <f>AX306/$AX$582*'update_State Admin 1004(b)'!$B$30*0.01</f>
        <v>875.12778587590401</v>
      </c>
      <c r="AZ306" s="266">
        <f t="shared" si="370"/>
        <v>90562.918155939507</v>
      </c>
      <c r="BA306" s="264">
        <f t="shared" si="371"/>
        <v>905.62918155939508</v>
      </c>
      <c r="BB306" s="265">
        <f t="shared" si="372"/>
        <v>89657.288974380106</v>
      </c>
      <c r="BC306" s="342">
        <f t="shared" si="381"/>
        <v>0.97921783721052025</v>
      </c>
      <c r="BD306" s="347"/>
      <c r="BE306" s="377" t="str">
        <f>'Original Title I &amp; II'!AZ306</f>
        <v/>
      </c>
      <c r="BF306" s="244" t="str">
        <f t="shared" si="415"/>
        <v/>
      </c>
      <c r="BG306" s="266">
        <f t="shared" si="364"/>
        <v>89657.288974380106</v>
      </c>
      <c r="BI306" s="203">
        <f>IFERROR(VLOOKUP(A306,'Title II Hold Harmless'!A$1:B$439,2, FALSE),"")</f>
        <v>5241</v>
      </c>
      <c r="BJ306" s="203">
        <f t="shared" si="373"/>
        <v>6375.2271838722099</v>
      </c>
      <c r="BK306" s="203">
        <f t="shared" si="401"/>
        <v>6381.3945267509971</v>
      </c>
      <c r="BL306" s="203" t="str">
        <f t="shared" si="377"/>
        <v/>
      </c>
      <c r="BM306" s="203">
        <f t="shared" si="378"/>
        <v>6381.3945267509971</v>
      </c>
      <c r="BN306" s="200"/>
      <c r="BP306" s="298" t="s">
        <v>1448</v>
      </c>
      <c r="BQ306" s="299" t="str">
        <f t="shared" si="382"/>
        <v>Y</v>
      </c>
      <c r="BR306" s="300" t="s">
        <v>1448</v>
      </c>
      <c r="BT306" s="298" t="str">
        <f t="shared" si="383"/>
        <v>Y</v>
      </c>
      <c r="BU306" s="299" t="str">
        <f t="shared" si="375"/>
        <v>Y</v>
      </c>
      <c r="BV306" s="299" t="str">
        <f t="shared" si="376"/>
        <v>Y</v>
      </c>
      <c r="BW306" s="300" t="str">
        <f t="shared" si="384"/>
        <v>Y</v>
      </c>
      <c r="BY306" s="355">
        <f t="shared" si="385"/>
        <v>0</v>
      </c>
      <c r="BZ306" s="356">
        <f t="shared" si="386"/>
        <v>0</v>
      </c>
      <c r="CA306" s="356">
        <f t="shared" si="387"/>
        <v>0.95</v>
      </c>
      <c r="CB306" s="357">
        <f t="shared" si="388"/>
        <v>0.95</v>
      </c>
      <c r="CD306" s="312">
        <f t="shared" si="389"/>
        <v>301</v>
      </c>
    </row>
    <row r="307" spans="1:82" s="48" customFormat="1" outlineLevel="1" x14ac:dyDescent="0.3">
      <c r="A307" s="202">
        <v>78760000</v>
      </c>
      <c r="B307" s="48">
        <f>VLOOKUP(C307,'NCES ID'!$A$2:$B$3136,2,FALSE)</f>
        <v>400401</v>
      </c>
      <c r="C307" s="48">
        <f>VLOOKUP(A307,'State ID'!$A$2:$B$713,2,FALSE)</f>
        <v>78882</v>
      </c>
      <c r="D307" s="48" t="s">
        <v>303</v>
      </c>
      <c r="E307" s="48" t="s">
        <v>7</v>
      </c>
      <c r="F307" s="755"/>
      <c r="G307" s="755"/>
      <c r="H307" s="755"/>
      <c r="I307" s="755"/>
      <c r="J307" s="755"/>
      <c r="K307" s="755"/>
      <c r="L307" s="454"/>
      <c r="M307" s="455"/>
      <c r="N307" s="456"/>
      <c r="O307" s="209">
        <f>VLOOKUP($C307,'Final SEA Counts'!$A$2:$F$709,5,FALSE)</f>
        <v>188</v>
      </c>
      <c r="P307" s="223">
        <f>VLOOKUP($C307,'Final SEA Counts'!$A$2:$F$709,6,FALSE)</f>
        <v>139</v>
      </c>
      <c r="Q307" s="749"/>
      <c r="R307" s="454">
        <f t="shared" si="353"/>
        <v>188</v>
      </c>
      <c r="S307" s="455">
        <f t="shared" si="405"/>
        <v>68.822517155571134</v>
      </c>
      <c r="T307" s="230">
        <f t="shared" si="406"/>
        <v>0.36607721891261241</v>
      </c>
      <c r="U307" s="264" t="str">
        <f>IFERROR(VLOOKUP($B307,#REF!,8,FALSE),"")</f>
        <v/>
      </c>
      <c r="V307" s="265" t="str">
        <f>IFERROR(VLOOKUP($B307,#REF!,9,FALSE),"")</f>
        <v/>
      </c>
      <c r="W307" s="265" t="str">
        <f>IFERROR(VLOOKUP($B307,#REF!,10,FALSE),"")</f>
        <v/>
      </c>
      <c r="X307" s="265" t="str">
        <f>IFERROR(VLOOKUP($B307,#REF!,11,FALSE),"")</f>
        <v/>
      </c>
      <c r="Y307" s="266" t="str">
        <f>IFERROR(VLOOKUP($B307,#REF!,12,FALSE),"")</f>
        <v/>
      </c>
      <c r="Z307" s="265">
        <f t="shared" si="407"/>
        <v>33244.579533673721</v>
      </c>
      <c r="AA307" s="265">
        <f t="shared" si="408"/>
        <v>6874.9255859413724</v>
      </c>
      <c r="AB307" s="265">
        <f t="shared" si="409"/>
        <v>19456.788739601147</v>
      </c>
      <c r="AC307" s="266">
        <f t="shared" si="410"/>
        <v>18111.714482369793</v>
      </c>
      <c r="AD307" s="265">
        <f t="shared" si="365"/>
        <v>33244.579533673721</v>
      </c>
      <c r="AE307" s="265">
        <f t="shared" si="366"/>
        <v>6874.9255859413724</v>
      </c>
      <c r="AF307" s="265">
        <f t="shared" si="367"/>
        <v>19456.788739601147</v>
      </c>
      <c r="AG307" s="266">
        <f t="shared" si="368"/>
        <v>18111.714482369793</v>
      </c>
      <c r="AH307" s="265">
        <f t="shared" si="411"/>
        <v>33244.579533673721</v>
      </c>
      <c r="AI307" s="265">
        <f t="shared" si="412"/>
        <v>9005.7469687720841</v>
      </c>
      <c r="AJ307" s="265">
        <f t="shared" si="413"/>
        <v>19482.129384821405</v>
      </c>
      <c r="AK307" s="265">
        <f t="shared" si="414"/>
        <v>18135.303294335194</v>
      </c>
      <c r="AL307" s="266">
        <f t="shared" si="400"/>
        <v>79867.759181602407</v>
      </c>
      <c r="AM307" s="347"/>
      <c r="AN307" s="264">
        <f>IFERROR(VLOOKUP($A307,'HH &amp; SI'!$B$4:$Z$494,'HH &amp; SI'!V$503,0),0)</f>
        <v>43929.737541849536</v>
      </c>
      <c r="AO307" s="265">
        <f>IFERROR(VLOOKUP($A307,'HH &amp; SI'!$B$4:$Z$494,'HH &amp; SI'!W$503,0),0)</f>
        <v>8709.1305894895413</v>
      </c>
      <c r="AP307" s="265">
        <f>IFERROR(VLOOKUP($A307,'HH &amp; SI'!$B$4:$Z$494,'HH &amp; SI'!X$503,0),0)</f>
        <v>22038.737527954429</v>
      </c>
      <c r="AQ307" s="265">
        <f>IFERROR(VLOOKUP($A307,'HH &amp; SI'!$B$4:$Z$494,'HH &amp; SI'!Y$503,0),0)</f>
        <v>20681.692626353881</v>
      </c>
      <c r="AR307" s="266">
        <f t="shared" si="369"/>
        <v>95359.298285647383</v>
      </c>
      <c r="AS307" s="347"/>
      <c r="AT307" s="324">
        <f>IFERROR(VLOOKUP(A307,'Afton FY16 Final'!$A$5:$BV$572,'Afton FY16 Final'!$BV$587,0),0)</f>
        <v>98086.126511817914</v>
      </c>
      <c r="AU307" s="347"/>
      <c r="AV307" s="454">
        <v>0</v>
      </c>
      <c r="AW307" s="265">
        <f>IFERROR(VLOOKUP($A307,'HH &amp; SI'!$B$4:$EY$503,'HH &amp; SI'!EX$503,0),0)</f>
        <v>0</v>
      </c>
      <c r="AX307" s="265">
        <f>IFERROR(VLOOKUP($A307,'HH &amp; SI'!$B$4:$EY$503,'HH &amp; SI'!EY$503,0),0)</f>
        <v>95359.298285647383</v>
      </c>
      <c r="AY307" s="265">
        <f>AX307/$AX$582*'update_State Admin 1004(b)'!$B$30*0.01</f>
        <v>912.65698771057566</v>
      </c>
      <c r="AZ307" s="266">
        <f t="shared" si="370"/>
        <v>94446.641297936803</v>
      </c>
      <c r="BA307" s="264">
        <f t="shared" si="371"/>
        <v>944.4664129793681</v>
      </c>
      <c r="BB307" s="265">
        <f t="shared" si="372"/>
        <v>93502.174884957436</v>
      </c>
      <c r="BC307" s="342">
        <f t="shared" si="381"/>
        <v>0.95326605515094753</v>
      </c>
      <c r="BD307" s="347"/>
      <c r="BE307" s="377" t="str">
        <f>'Original Title I &amp; II'!AZ307</f>
        <v/>
      </c>
      <c r="BF307" s="244" t="str">
        <f t="shared" si="415"/>
        <v/>
      </c>
      <c r="BG307" s="266">
        <f t="shared" si="364"/>
        <v>93502.174884957436</v>
      </c>
      <c r="BI307" s="203" t="str">
        <f>IFERROR(VLOOKUP(A307,'Title II Hold Harmless'!A$1:B$439,2, FALSE),"")</f>
        <v/>
      </c>
      <c r="BJ307" s="203">
        <f t="shared" si="373"/>
        <v>1052.2505113476834</v>
      </c>
      <c r="BK307" s="203">
        <f t="shared" si="401"/>
        <v>1053.2684499262923</v>
      </c>
      <c r="BL307" s="203" t="str">
        <f t="shared" si="377"/>
        <v/>
      </c>
      <c r="BM307" s="203">
        <f t="shared" si="378"/>
        <v>1053.2684499262923</v>
      </c>
      <c r="BN307" s="200"/>
      <c r="BP307" s="298" t="s">
        <v>1448</v>
      </c>
      <c r="BQ307" s="299" t="str">
        <f t="shared" si="382"/>
        <v>Y</v>
      </c>
      <c r="BR307" s="300" t="s">
        <v>1448</v>
      </c>
      <c r="BT307" s="298" t="str">
        <f t="shared" si="383"/>
        <v>Y</v>
      </c>
      <c r="BU307" s="299" t="str">
        <f t="shared" si="375"/>
        <v>Y</v>
      </c>
      <c r="BV307" s="299" t="str">
        <f t="shared" si="376"/>
        <v>Y</v>
      </c>
      <c r="BW307" s="300" t="str">
        <f t="shared" si="384"/>
        <v>Y</v>
      </c>
      <c r="BY307" s="355">
        <f t="shared" si="385"/>
        <v>0</v>
      </c>
      <c r="BZ307" s="356">
        <f t="shared" si="386"/>
        <v>0</v>
      </c>
      <c r="CA307" s="356">
        <f t="shared" si="387"/>
        <v>0.95</v>
      </c>
      <c r="CB307" s="357">
        <f t="shared" si="388"/>
        <v>0.95</v>
      </c>
      <c r="CD307" s="312">
        <f t="shared" si="389"/>
        <v>302</v>
      </c>
    </row>
    <row r="308" spans="1:82" s="48" customFormat="1" outlineLevel="1" x14ac:dyDescent="0.3">
      <c r="A308" s="202">
        <v>78930000</v>
      </c>
      <c r="B308" s="48">
        <f>VLOOKUP(C308,'NCES ID'!$A$2:$B$3136,2,FALSE)</f>
        <v>400340</v>
      </c>
      <c r="C308" s="48">
        <f>VLOOKUP(A308,'State ID'!$A$2:$B$713,2,FALSE)</f>
        <v>10760</v>
      </c>
      <c r="D308" s="48" t="s">
        <v>304</v>
      </c>
      <c r="E308" s="48" t="s">
        <v>7</v>
      </c>
      <c r="F308" s="755"/>
      <c r="G308" s="755"/>
      <c r="H308" s="755"/>
      <c r="I308" s="755"/>
      <c r="J308" s="755"/>
      <c r="K308" s="755"/>
      <c r="L308" s="454"/>
      <c r="M308" s="455"/>
      <c r="N308" s="456"/>
      <c r="O308" s="209">
        <f>VLOOKUP($C308,'Final SEA Counts'!$A$2:$F$709,5,FALSE)</f>
        <v>1091</v>
      </c>
      <c r="P308" s="223">
        <f>VLOOKUP($C308,'Final SEA Counts'!$A$2:$F$709,6,FALSE)</f>
        <v>525</v>
      </c>
      <c r="Q308" s="749"/>
      <c r="R308" s="454">
        <f t="shared" si="353"/>
        <v>1091</v>
      </c>
      <c r="S308" s="455">
        <f t="shared" si="405"/>
        <v>259.94116191852407</v>
      </c>
      <c r="T308" s="230">
        <f t="shared" si="406"/>
        <v>0.23825954346335845</v>
      </c>
      <c r="U308" s="264" t="str">
        <f>IFERROR(VLOOKUP($B308,#REF!,8,FALSE),"")</f>
        <v/>
      </c>
      <c r="V308" s="265" t="str">
        <f>IFERROR(VLOOKUP($B308,#REF!,9,FALSE),"")</f>
        <v/>
      </c>
      <c r="W308" s="265" t="str">
        <f>IFERROR(VLOOKUP($B308,#REF!,10,FALSE),"")</f>
        <v/>
      </c>
      <c r="X308" s="265" t="str">
        <f>IFERROR(VLOOKUP($B308,#REF!,11,FALSE),"")</f>
        <v/>
      </c>
      <c r="Y308" s="266" t="str">
        <f>IFERROR(VLOOKUP($B308,#REF!,12,FALSE),"")</f>
        <v/>
      </c>
      <c r="Z308" s="265">
        <f t="shared" si="407"/>
        <v>125564.05938977485</v>
      </c>
      <c r="AA308" s="265">
        <f t="shared" si="408"/>
        <v>25966.445558411659</v>
      </c>
      <c r="AB308" s="265">
        <f t="shared" si="409"/>
        <v>73487.871138781309</v>
      </c>
      <c r="AC308" s="266">
        <f t="shared" si="410"/>
        <v>68407.554699598142</v>
      </c>
      <c r="AD308" s="265">
        <f t="shared" si="365"/>
        <v>125564.05938977485</v>
      </c>
      <c r="AE308" s="265">
        <f t="shared" si="366"/>
        <v>25966.445558411659</v>
      </c>
      <c r="AF308" s="265">
        <f t="shared" si="367"/>
        <v>73487.871138781309</v>
      </c>
      <c r="AG308" s="266">
        <f t="shared" si="368"/>
        <v>68407.554699598142</v>
      </c>
      <c r="AH308" s="265">
        <f t="shared" si="411"/>
        <v>125564.05938977485</v>
      </c>
      <c r="AI308" s="265">
        <f t="shared" si="412"/>
        <v>28097.266941242371</v>
      </c>
      <c r="AJ308" s="265">
        <f t="shared" si="413"/>
        <v>73513.211784001571</v>
      </c>
      <c r="AK308" s="265">
        <f t="shared" si="414"/>
        <v>68431.14351156354</v>
      </c>
      <c r="AL308" s="266">
        <f t="shared" si="400"/>
        <v>295605.68162658234</v>
      </c>
      <c r="AM308" s="347"/>
      <c r="AN308" s="264">
        <f>IFERROR(VLOOKUP($A308,'HH &amp; SI'!$B$4:$Z$494,'HH &amp; SI'!V$503,0),0)</f>
        <v>123851.28412062991</v>
      </c>
      <c r="AO308" s="265">
        <f>IFERROR(VLOOKUP($A308,'HH &amp; SI'!$B$4:$Z$494,'HH &amp; SI'!W$503,0),0)</f>
        <v>27171.845694482341</v>
      </c>
      <c r="AP308" s="265">
        <f>IFERROR(VLOOKUP($A308,'HH &amp; SI'!$B$4:$Z$494,'HH &amp; SI'!X$503,0),0)</f>
        <v>72844.637824974387</v>
      </c>
      <c r="AQ308" s="265">
        <f>IFERROR(VLOOKUP($A308,'HH &amp; SI'!$B$4:$Z$494,'HH &amp; SI'!Y$503,0),0)</f>
        <v>67677.155492416772</v>
      </c>
      <c r="AR308" s="266">
        <f t="shared" si="369"/>
        <v>291544.92313250341</v>
      </c>
      <c r="AS308" s="347"/>
      <c r="AT308" s="324">
        <f>IFERROR(VLOOKUP(A308,'Afton FY16 Final'!$A$5:$BV$572,'Afton FY16 Final'!$BV$587,0),0)</f>
        <v>259888.99109768934</v>
      </c>
      <c r="AU308" s="347"/>
      <c r="AV308" s="454">
        <v>0</v>
      </c>
      <c r="AW308" s="265">
        <f>IFERROR(VLOOKUP($A308,'HH &amp; SI'!$B$4:$EY$503,'HH &amp; SI'!EX$503,0),0)</f>
        <v>16330.335214675404</v>
      </c>
      <c r="AX308" s="265">
        <f>IFERROR(VLOOKUP($A308,'HH &amp; SI'!$B$4:$EY$503,'HH &amp; SI'!EY$503,0),0)</f>
        <v>275214.587917828</v>
      </c>
      <c r="AY308" s="265">
        <f>AX308/$AX$582*'update_State Admin 1004(b)'!$B$30*0.01</f>
        <v>2634.0013118667957</v>
      </c>
      <c r="AZ308" s="266">
        <f t="shared" si="370"/>
        <v>272580.5866059612</v>
      </c>
      <c r="BA308" s="264">
        <f t="shared" si="371"/>
        <v>2725.8058660596121</v>
      </c>
      <c r="BB308" s="265">
        <f t="shared" si="372"/>
        <v>269854.78073990159</v>
      </c>
      <c r="BC308" s="342">
        <f t="shared" si="381"/>
        <v>1.038346332409541</v>
      </c>
      <c r="BD308" s="347"/>
      <c r="BE308" s="377" t="str">
        <f>'Original Title I &amp; II'!AZ308</f>
        <v/>
      </c>
      <c r="BF308" s="244" t="str">
        <f t="shared" si="415"/>
        <v/>
      </c>
      <c r="BG308" s="266">
        <f t="shared" si="364"/>
        <v>269854.78073990159</v>
      </c>
      <c r="BI308" s="203" t="str">
        <f>IFERROR(VLOOKUP(A308,'Title II Hold Harmless'!A$1:B$439,2, FALSE),"")</f>
        <v/>
      </c>
      <c r="BJ308" s="203">
        <f t="shared" si="373"/>
        <v>4280.8982533556291</v>
      </c>
      <c r="BK308" s="203">
        <f t="shared" si="401"/>
        <v>4285.039559476364</v>
      </c>
      <c r="BL308" s="203" t="str">
        <f t="shared" si="377"/>
        <v/>
      </c>
      <c r="BM308" s="203">
        <f t="shared" si="378"/>
        <v>4285.039559476364</v>
      </c>
      <c r="BN308" s="200"/>
      <c r="BP308" s="298" t="s">
        <v>1448</v>
      </c>
      <c r="BQ308" s="299" t="str">
        <f t="shared" si="382"/>
        <v>Y</v>
      </c>
      <c r="BR308" s="300" t="s">
        <v>1448</v>
      </c>
      <c r="BT308" s="298" t="str">
        <f t="shared" si="383"/>
        <v>Y</v>
      </c>
      <c r="BU308" s="299" t="str">
        <f t="shared" si="375"/>
        <v>Y</v>
      </c>
      <c r="BV308" s="299" t="str">
        <f t="shared" si="376"/>
        <v>Y</v>
      </c>
      <c r="BW308" s="300" t="str">
        <f t="shared" si="384"/>
        <v>Y</v>
      </c>
      <c r="BY308" s="355">
        <f t="shared" si="385"/>
        <v>0</v>
      </c>
      <c r="BZ308" s="356">
        <f t="shared" si="386"/>
        <v>0.9</v>
      </c>
      <c r="CA308" s="356">
        <f t="shared" si="387"/>
        <v>0</v>
      </c>
      <c r="CB308" s="357">
        <f t="shared" si="388"/>
        <v>0.9</v>
      </c>
      <c r="CD308" s="312">
        <f t="shared" si="389"/>
        <v>303</v>
      </c>
    </row>
    <row r="309" spans="1:82" s="48" customFormat="1" outlineLevel="1" x14ac:dyDescent="0.3">
      <c r="A309" s="202">
        <v>78261000</v>
      </c>
      <c r="B309" s="48" t="e">
        <f>VLOOKUP(C309,'NCES ID'!$A$2:$B$3136,2,FALSE)</f>
        <v>#N/A</v>
      </c>
      <c r="C309" s="48">
        <f>VLOOKUP(A309,'State ID'!$A$2:$B$713,2,FALSE)</f>
        <v>92374</v>
      </c>
      <c r="D309" s="48" t="s">
        <v>305</v>
      </c>
      <c r="E309" s="48" t="s">
        <v>7</v>
      </c>
      <c r="F309" s="755"/>
      <c r="G309" s="755"/>
      <c r="H309" s="755"/>
      <c r="I309" s="755"/>
      <c r="J309" s="755"/>
      <c r="K309" s="755"/>
      <c r="L309" s="454"/>
      <c r="M309" s="455"/>
      <c r="N309" s="456"/>
      <c r="O309" s="209">
        <f>VLOOKUP($C309,'Final SEA Counts'!$A$2:$F$709,5,FALSE)</f>
        <v>401</v>
      </c>
      <c r="P309" s="223">
        <f>VLOOKUP($C309,'Final SEA Counts'!$A$2:$F$709,6,FALSE)</f>
        <v>255</v>
      </c>
      <c r="Q309" s="749"/>
      <c r="R309" s="454">
        <f t="shared" si="353"/>
        <v>401</v>
      </c>
      <c r="S309" s="455">
        <f t="shared" si="405"/>
        <v>126.2571357889974</v>
      </c>
      <c r="T309" s="230">
        <f t="shared" si="406"/>
        <v>0.31485570022193865</v>
      </c>
      <c r="U309" s="264" t="str">
        <f>IFERROR(VLOOKUP($B309,#REF!,8,FALSE),"")</f>
        <v/>
      </c>
      <c r="V309" s="265" t="str">
        <f>IFERROR(VLOOKUP($B309,#REF!,9,FALSE),"")</f>
        <v/>
      </c>
      <c r="W309" s="265" t="str">
        <f>IFERROR(VLOOKUP($B309,#REF!,10,FALSE),"")</f>
        <v/>
      </c>
      <c r="X309" s="265" t="str">
        <f>IFERROR(VLOOKUP($B309,#REF!,11,FALSE),"")</f>
        <v/>
      </c>
      <c r="Y309" s="266" t="str">
        <f>IFERROR(VLOOKUP($B309,#REF!,12,FALSE),"")</f>
        <v/>
      </c>
      <c r="Z309" s="265">
        <f t="shared" si="407"/>
        <v>60988.257417890643</v>
      </c>
      <c r="AA309" s="265">
        <f t="shared" si="408"/>
        <v>12612.273556942806</v>
      </c>
      <c r="AB309" s="265">
        <f t="shared" si="409"/>
        <v>35694.108838836641</v>
      </c>
      <c r="AC309" s="266">
        <f t="shared" si="410"/>
        <v>33226.526568376241</v>
      </c>
      <c r="AD309" s="265">
        <f t="shared" si="365"/>
        <v>60988.257417890643</v>
      </c>
      <c r="AE309" s="265">
        <f t="shared" si="366"/>
        <v>12612.273556942806</v>
      </c>
      <c r="AF309" s="265">
        <f t="shared" si="367"/>
        <v>35694.108838836641</v>
      </c>
      <c r="AG309" s="266">
        <f t="shared" si="368"/>
        <v>33226.526568376241</v>
      </c>
      <c r="AH309" s="265">
        <f t="shared" si="411"/>
        <v>60988.257417890643</v>
      </c>
      <c r="AI309" s="265">
        <f t="shared" si="412"/>
        <v>14743.094939773518</v>
      </c>
      <c r="AJ309" s="265">
        <f t="shared" si="413"/>
        <v>35719.449484056902</v>
      </c>
      <c r="AK309" s="265">
        <f t="shared" si="414"/>
        <v>33250.115380341646</v>
      </c>
      <c r="AL309" s="266">
        <f t="shared" si="400"/>
        <v>144700.91722206271</v>
      </c>
      <c r="AM309" s="347"/>
      <c r="AN309" s="264">
        <f>IFERROR(VLOOKUP($A309,'HH &amp; SI'!$B$4:$Z$494,'HH &amp; SI'!V$503,0),0)</f>
        <v>60156.338001448821</v>
      </c>
      <c r="AO309" s="265">
        <f>IFERROR(VLOOKUP($A309,'HH &amp; SI'!$B$4:$Z$494,'HH &amp; SI'!W$503,0),0)</f>
        <v>14257.511294616912</v>
      </c>
      <c r="AP309" s="265">
        <f>IFERROR(VLOOKUP($A309,'HH &amp; SI'!$B$4:$Z$494,'HH &amp; SI'!X$503,0),0)</f>
        <v>35394.595037131148</v>
      </c>
      <c r="AQ309" s="265">
        <f>IFERROR(VLOOKUP($A309,'HH &amp; SI'!$B$4:$Z$494,'HH &amp; SI'!Y$503,0),0)</f>
        <v>32883.758962115353</v>
      </c>
      <c r="AR309" s="266">
        <f t="shared" si="369"/>
        <v>142692.20329531224</v>
      </c>
      <c r="AS309" s="347"/>
      <c r="AT309" s="324">
        <f>IFERROR(VLOOKUP(A309,'Afton FY16 Final'!$A$5:$BV$572,'Afton FY16 Final'!$BV$587,0),0)</f>
        <v>98778.923429010247</v>
      </c>
      <c r="AU309" s="347"/>
      <c r="AV309" s="454">
        <v>0</v>
      </c>
      <c r="AW309" s="265">
        <f>IFERROR(VLOOKUP($A309,'HH &amp; SI'!$B$4:$EY$503,'HH &amp; SI'!EX$503,0),0)</f>
        <v>7992.6327898153977</v>
      </c>
      <c r="AX309" s="265">
        <f>IFERROR(VLOOKUP($A309,'HH &amp; SI'!$B$4:$EY$503,'HH &amp; SI'!EY$503,0),0)</f>
        <v>134699.57050549684</v>
      </c>
      <c r="AY309" s="265">
        <f>AX309/$AX$582*'update_State Admin 1004(b)'!$B$30*0.01</f>
        <v>1289.1716536672338</v>
      </c>
      <c r="AZ309" s="266">
        <f t="shared" si="370"/>
        <v>133410.39885182961</v>
      </c>
      <c r="BA309" s="264">
        <f t="shared" si="371"/>
        <v>1334.1039885182961</v>
      </c>
      <c r="BB309" s="265">
        <f t="shared" si="372"/>
        <v>132076.29486331131</v>
      </c>
      <c r="BC309" s="342">
        <f t="shared" si="381"/>
        <v>1.3370898393950506</v>
      </c>
      <c r="BD309" s="347"/>
      <c r="BE309" s="377" t="str">
        <f>'Original Title I &amp; II'!AZ309</f>
        <v/>
      </c>
      <c r="BF309" s="244" t="str">
        <f t="shared" si="415"/>
        <v/>
      </c>
      <c r="BG309" s="266">
        <f t="shared" si="364"/>
        <v>132076.29486331131</v>
      </c>
      <c r="BI309" s="203" t="str">
        <f>IFERROR(VLOOKUP(A309,'Title II Hold Harmless'!A$1:B$439,2, FALSE),"")</f>
        <v/>
      </c>
      <c r="BJ309" s="203">
        <f t="shared" si="373"/>
        <v>1975.5432602302549</v>
      </c>
      <c r="BK309" s="203">
        <f t="shared" si="401"/>
        <v>1977.4543846978722</v>
      </c>
      <c r="BL309" s="203" t="str">
        <f t="shared" si="377"/>
        <v/>
      </c>
      <c r="BM309" s="203">
        <f t="shared" si="378"/>
        <v>1977.4543846978722</v>
      </c>
      <c r="BN309" s="200"/>
      <c r="BP309" s="298" t="s">
        <v>1448</v>
      </c>
      <c r="BQ309" s="299" t="str">
        <f t="shared" si="382"/>
        <v>Y</v>
      </c>
      <c r="BR309" s="300" t="s">
        <v>1448</v>
      </c>
      <c r="BT309" s="298" t="str">
        <f t="shared" si="383"/>
        <v>Y</v>
      </c>
      <c r="BU309" s="299" t="str">
        <f t="shared" si="375"/>
        <v>Y</v>
      </c>
      <c r="BV309" s="299" t="str">
        <f t="shared" si="376"/>
        <v>Y</v>
      </c>
      <c r="BW309" s="300" t="str">
        <f t="shared" si="384"/>
        <v>Y</v>
      </c>
      <c r="BY309" s="355">
        <f t="shared" si="385"/>
        <v>0</v>
      </c>
      <c r="BZ309" s="356">
        <f t="shared" si="386"/>
        <v>0</v>
      </c>
      <c r="CA309" s="356">
        <f t="shared" si="387"/>
        <v>0.95</v>
      </c>
      <c r="CB309" s="357">
        <f t="shared" si="388"/>
        <v>0.95</v>
      </c>
      <c r="CD309" s="312">
        <f t="shared" si="389"/>
        <v>304</v>
      </c>
    </row>
    <row r="310" spans="1:82" s="48" customFormat="1" outlineLevel="1" x14ac:dyDescent="0.3">
      <c r="A310" s="202">
        <v>78945000</v>
      </c>
      <c r="B310" s="48">
        <f>VLOOKUP(C310,'NCES ID'!$A$2:$B$3136,2,FALSE)</f>
        <v>400303</v>
      </c>
      <c r="C310" s="48">
        <f>VLOOKUP(A310,'State ID'!$A$2:$B$713,2,FALSE)</f>
        <v>79701</v>
      </c>
      <c r="D310" s="48" t="s">
        <v>307</v>
      </c>
      <c r="E310" s="48" t="s">
        <v>7</v>
      </c>
      <c r="F310" s="755"/>
      <c r="G310" s="755"/>
      <c r="H310" s="755"/>
      <c r="I310" s="755"/>
      <c r="J310" s="755"/>
      <c r="K310" s="755"/>
      <c r="L310" s="454"/>
      <c r="M310" s="455"/>
      <c r="N310" s="456"/>
      <c r="O310" s="209">
        <f>VLOOKUP($C310,'Final SEA Counts'!$A$2:$F$709,5,FALSE)</f>
        <v>69</v>
      </c>
      <c r="P310" s="223">
        <f>VLOOKUP($C310,'Final SEA Counts'!$A$2:$F$709,6,FALSE)</f>
        <v>52</v>
      </c>
      <c r="Q310" s="749"/>
      <c r="R310" s="454">
        <f t="shared" ref="R310:R356" si="416">O310</f>
        <v>69</v>
      </c>
      <c r="S310" s="455">
        <f t="shared" si="405"/>
        <v>25.746553180501433</v>
      </c>
      <c r="T310" s="230">
        <f t="shared" si="406"/>
        <v>0.37313845189132511</v>
      </c>
      <c r="U310" s="264" t="str">
        <f>IFERROR(VLOOKUP($B310,#REF!,8,FALSE),"")</f>
        <v/>
      </c>
      <c r="V310" s="265" t="str">
        <f>IFERROR(VLOOKUP($B310,#REF!,9,FALSE),"")</f>
        <v/>
      </c>
      <c r="W310" s="265" t="str">
        <f>IFERROR(VLOOKUP($B310,#REF!,10,FALSE),"")</f>
        <v/>
      </c>
      <c r="X310" s="265" t="str">
        <f>IFERROR(VLOOKUP($B310,#REF!,11,FALSE),"")</f>
        <v/>
      </c>
      <c r="Y310" s="266" t="str">
        <f>IFERROR(VLOOKUP($B310,#REF!,12,FALSE),"")</f>
        <v/>
      </c>
      <c r="Z310" s="265">
        <f t="shared" si="407"/>
        <v>12436.821120511033</v>
      </c>
      <c r="AA310" s="265">
        <f t="shared" si="408"/>
        <v>2571.914607690298</v>
      </c>
      <c r="AB310" s="265">
        <f t="shared" si="409"/>
        <v>7278.7986651745305</v>
      </c>
      <c r="AC310" s="266">
        <f t="shared" si="410"/>
        <v>6775.6054178649592</v>
      </c>
      <c r="AD310" s="265">
        <f t="shared" si="365"/>
        <v>12436.821120511033</v>
      </c>
      <c r="AE310" s="265">
        <f t="shared" si="366"/>
        <v>2571.914607690298</v>
      </c>
      <c r="AF310" s="265">
        <f t="shared" si="367"/>
        <v>7278.7986651745305</v>
      </c>
      <c r="AG310" s="266">
        <f t="shared" si="368"/>
        <v>6775.6054178649592</v>
      </c>
      <c r="AH310" s="265">
        <f t="shared" si="411"/>
        <v>12436.821120511033</v>
      </c>
      <c r="AI310" s="265">
        <f t="shared" si="412"/>
        <v>4702.7359905210105</v>
      </c>
      <c r="AJ310" s="265">
        <f t="shared" si="413"/>
        <v>7304.1393103947894</v>
      </c>
      <c r="AK310" s="265">
        <f t="shared" si="414"/>
        <v>6799.194229830362</v>
      </c>
      <c r="AL310" s="266">
        <f t="shared" si="400"/>
        <v>31242.890651257196</v>
      </c>
      <c r="AM310" s="347"/>
      <c r="AN310" s="264">
        <f>IFERROR(VLOOKUP($A310,'HH &amp; SI'!$B$4:$Z$494,'HH &amp; SI'!V$503,0),0)</f>
        <v>12267.174808138583</v>
      </c>
      <c r="AO310" s="265">
        <f>IFERROR(VLOOKUP($A310,'HH &amp; SI'!$B$4:$Z$494,'HH &amp; SI'!W$503,0),0)</f>
        <v>4547.8450606440128</v>
      </c>
      <c r="AP310" s="265">
        <f>IFERROR(VLOOKUP($A310,'HH &amp; SI'!$B$4:$Z$494,'HH &amp; SI'!X$503,0),0)</f>
        <v>7237.7110151601146</v>
      </c>
      <c r="AQ310" s="265">
        <f>IFERROR(VLOOKUP($A310,'HH &amp; SI'!$B$4:$Z$494,'HH &amp; SI'!Y$503,0),0)</f>
        <v>6724.2793485924403</v>
      </c>
      <c r="AR310" s="266">
        <f t="shared" si="369"/>
        <v>30777.010232535155</v>
      </c>
      <c r="AS310" s="347"/>
      <c r="AT310" s="324">
        <f>IFERROR(VLOOKUP(A310,'Afton FY16 Final'!$A$5:$BV$572,'Afton FY16 Final'!$BV$587,0),0)</f>
        <v>23034.341988108066</v>
      </c>
      <c r="AU310" s="347"/>
      <c r="AV310" s="454">
        <v>0</v>
      </c>
      <c r="AW310" s="265">
        <f>IFERROR(VLOOKUP($A310,'HH &amp; SI'!$B$4:$EY$503,'HH &amp; SI'!EX$503,0),0)</f>
        <v>1723.9157814947393</v>
      </c>
      <c r="AX310" s="265">
        <f>IFERROR(VLOOKUP($A310,'HH &amp; SI'!$B$4:$EY$503,'HH &amp; SI'!EY$503,0),0)</f>
        <v>29053.094451040415</v>
      </c>
      <c r="AY310" s="265">
        <f>AX310/$AX$582*'update_State Admin 1004(b)'!$B$30*0.01</f>
        <v>278.05898472459984</v>
      </c>
      <c r="AZ310" s="266">
        <f t="shared" si="370"/>
        <v>28775.035466315814</v>
      </c>
      <c r="BA310" s="264">
        <f t="shared" si="371"/>
        <v>287.75035466315813</v>
      </c>
      <c r="BB310" s="265">
        <f t="shared" si="372"/>
        <v>28487.285111652654</v>
      </c>
      <c r="BC310" s="342">
        <f t="shared" si="381"/>
        <v>1.2367310134736984</v>
      </c>
      <c r="BD310" s="347"/>
      <c r="BE310" s="377" t="str">
        <f>'Original Title I &amp; II'!AZ310</f>
        <v/>
      </c>
      <c r="BF310" s="244" t="str">
        <f t="shared" si="415"/>
        <v/>
      </c>
      <c r="BG310" s="266">
        <f t="shared" si="364"/>
        <v>28487.285111652654</v>
      </c>
      <c r="BI310" s="203">
        <f>IFERROR(VLOOKUP(A310,'Title II Hold Harmless'!A$1:B$439,2, FALSE),"")</f>
        <v>1943</v>
      </c>
      <c r="BJ310" s="203">
        <f t="shared" si="373"/>
        <v>2335.5765370325435</v>
      </c>
      <c r="BK310" s="203">
        <f t="shared" si="401"/>
        <v>2337.8359547612117</v>
      </c>
      <c r="BL310" s="203" t="str">
        <f t="shared" si="377"/>
        <v/>
      </c>
      <c r="BM310" s="203">
        <f t="shared" si="378"/>
        <v>2337.8359547612117</v>
      </c>
      <c r="BN310" s="200"/>
      <c r="BP310" s="298" t="s">
        <v>1448</v>
      </c>
      <c r="BQ310" s="299" t="str">
        <f t="shared" si="382"/>
        <v>Y</v>
      </c>
      <c r="BR310" s="300" t="s">
        <v>1448</v>
      </c>
      <c r="BT310" s="298" t="str">
        <f t="shared" si="383"/>
        <v>Y</v>
      </c>
      <c r="BU310" s="299" t="str">
        <f t="shared" si="375"/>
        <v>Y</v>
      </c>
      <c r="BV310" s="299" t="str">
        <f t="shared" si="376"/>
        <v>Y</v>
      </c>
      <c r="BW310" s="300" t="str">
        <f t="shared" si="384"/>
        <v>Y</v>
      </c>
      <c r="BY310" s="355">
        <f t="shared" si="385"/>
        <v>0</v>
      </c>
      <c r="BZ310" s="356">
        <f t="shared" si="386"/>
        <v>0</v>
      </c>
      <c r="CA310" s="356">
        <f t="shared" si="387"/>
        <v>0.95</v>
      </c>
      <c r="CB310" s="357">
        <f t="shared" si="388"/>
        <v>0.95</v>
      </c>
      <c r="CD310" s="312">
        <f t="shared" si="389"/>
        <v>305</v>
      </c>
    </row>
    <row r="311" spans="1:82" s="48" customFormat="1" outlineLevel="1" x14ac:dyDescent="0.3">
      <c r="A311" s="202">
        <v>78907000</v>
      </c>
      <c r="B311" s="48">
        <f>VLOOKUP(C311,'NCES ID'!$A$2:$B$3136,2,FALSE)</f>
        <v>400239</v>
      </c>
      <c r="C311" s="48">
        <f>VLOOKUP(A311,'State ID'!$A$2:$B$713,2,FALSE)</f>
        <v>6235</v>
      </c>
      <c r="D311" s="48" t="s">
        <v>314</v>
      </c>
      <c r="E311" s="48" t="s">
        <v>7</v>
      </c>
      <c r="F311" s="755"/>
      <c r="G311" s="755"/>
      <c r="H311" s="755"/>
      <c r="I311" s="755"/>
      <c r="J311" s="755"/>
      <c r="K311" s="755"/>
      <c r="L311" s="454"/>
      <c r="M311" s="455"/>
      <c r="N311" s="456"/>
      <c r="O311" s="209">
        <f>VLOOKUP($C311,'Final SEA Counts'!$A$2:$F$709,5,FALSE)</f>
        <v>1184</v>
      </c>
      <c r="P311" s="223">
        <f>VLOOKUP($C311,'Final SEA Counts'!$A$2:$F$709,6,FALSE)</f>
        <v>983</v>
      </c>
      <c r="Q311" s="749"/>
      <c r="R311" s="454">
        <f t="shared" si="416"/>
        <v>1184</v>
      </c>
      <c r="S311" s="455">
        <f t="shared" si="405"/>
        <v>486.70888031601743</v>
      </c>
      <c r="T311" s="230">
        <f t="shared" si="406"/>
        <v>0.41107168945609579</v>
      </c>
      <c r="U311" s="264" t="str">
        <f>IFERROR(VLOOKUP($B311,#REF!,8,FALSE),"")</f>
        <v/>
      </c>
      <c r="V311" s="265" t="str">
        <f>IFERROR(VLOOKUP($B311,#REF!,9,FALSE),"")</f>
        <v/>
      </c>
      <c r="W311" s="265" t="str">
        <f>IFERROR(VLOOKUP($B311,#REF!,10,FALSE),"")</f>
        <v/>
      </c>
      <c r="X311" s="265" t="str">
        <f>IFERROR(VLOOKUP($B311,#REF!,11,FALSE),"")</f>
        <v/>
      </c>
      <c r="Y311" s="266" t="str">
        <f>IFERROR(VLOOKUP($B311,#REF!,12,FALSE),"")</f>
        <v/>
      </c>
      <c r="Z311" s="265">
        <f t="shared" si="407"/>
        <v>235103.75310504509</v>
      </c>
      <c r="AA311" s="265">
        <f t="shared" si="408"/>
        <v>48619.078064606969</v>
      </c>
      <c r="AB311" s="265">
        <f t="shared" si="409"/>
        <v>137597.29015128006</v>
      </c>
      <c r="AC311" s="266">
        <f t="shared" si="410"/>
        <v>128085.00241848566</v>
      </c>
      <c r="AD311" s="265">
        <f t="shared" si="365"/>
        <v>235103.75310504509</v>
      </c>
      <c r="AE311" s="265">
        <f t="shared" si="366"/>
        <v>48619.078064606969</v>
      </c>
      <c r="AF311" s="265">
        <f t="shared" si="367"/>
        <v>137597.29015128006</v>
      </c>
      <c r="AG311" s="266">
        <f t="shared" si="368"/>
        <v>128085.00241848566</v>
      </c>
      <c r="AH311" s="265">
        <f t="shared" si="411"/>
        <v>235103.75310504509</v>
      </c>
      <c r="AI311" s="265">
        <f t="shared" si="412"/>
        <v>50749.899447437681</v>
      </c>
      <c r="AJ311" s="265">
        <f t="shared" si="413"/>
        <v>137622.63079650031</v>
      </c>
      <c r="AK311" s="265">
        <f t="shared" si="414"/>
        <v>128108.59123045106</v>
      </c>
      <c r="AL311" s="266">
        <f t="shared" si="400"/>
        <v>551584.87457943417</v>
      </c>
      <c r="AM311" s="347"/>
      <c r="AN311" s="264">
        <f>IFERROR(VLOOKUP($A311,'HH &amp; SI'!$B$4:$Z$494,'HH &amp; SI'!V$503,0),0)</f>
        <v>231896.78531538896</v>
      </c>
      <c r="AO311" s="265">
        <f>IFERROR(VLOOKUP($A311,'HH &amp; SI'!$B$4:$Z$494,'HH &amp; SI'!W$503,0),0)</f>
        <v>49078.383306105919</v>
      </c>
      <c r="AP311" s="265">
        <f>IFERROR(VLOOKUP($A311,'HH &amp; SI'!$B$4:$Z$494,'HH &amp; SI'!X$503,0),0)</f>
        <v>136371.00670213066</v>
      </c>
      <c r="AQ311" s="265">
        <f>IFERROR(VLOOKUP($A311,'HH &amp; SI'!$B$4:$Z$494,'HH &amp; SI'!Y$503,0),0)</f>
        <v>126697.06516233544</v>
      </c>
      <c r="AR311" s="266">
        <f t="shared" si="369"/>
        <v>544043.24048596097</v>
      </c>
      <c r="AS311" s="347"/>
      <c r="AT311" s="324">
        <f>IFERROR(VLOOKUP(A311,'Afton FY16 Final'!$A$5:$BV$572,'Afton FY16 Final'!$BV$587,0),0)</f>
        <v>482496.09905249689</v>
      </c>
      <c r="AU311" s="347"/>
      <c r="AV311" s="454">
        <v>0</v>
      </c>
      <c r="AW311" s="265">
        <f>IFERROR(VLOOKUP($A311,'HH &amp; SI'!$B$4:$EY$503,'HH &amp; SI'!EX$503,0),0)</f>
        <v>30473.548957586114</v>
      </c>
      <c r="AX311" s="265">
        <f>IFERROR(VLOOKUP($A311,'HH &amp; SI'!$B$4:$EY$503,'HH &amp; SI'!EY$503,0),0)</f>
        <v>513569.69152837485</v>
      </c>
      <c r="AY311" s="265">
        <f>AX311/$AX$582*'update_State Admin 1004(b)'!$B$30*0.01</f>
        <v>4915.230880220126</v>
      </c>
      <c r="AZ311" s="266">
        <f t="shared" si="370"/>
        <v>508654.46064815472</v>
      </c>
      <c r="BA311" s="264">
        <f t="shared" si="371"/>
        <v>5086.5446064815469</v>
      </c>
      <c r="BB311" s="265">
        <f t="shared" si="372"/>
        <v>503567.91604167316</v>
      </c>
      <c r="BC311" s="342">
        <f t="shared" si="381"/>
        <v>1.0436725126494413</v>
      </c>
      <c r="BD311" s="347"/>
      <c r="BE311" s="377" t="str">
        <f>'Original Title I &amp; II'!AZ311</f>
        <v/>
      </c>
      <c r="BF311" s="244" t="str">
        <f t="shared" si="415"/>
        <v/>
      </c>
      <c r="BG311" s="266">
        <f t="shared" ref="BG311:BG356" si="417">IF(BF311&lt;0,BB311+BF311,BB311)</f>
        <v>503567.91604167316</v>
      </c>
      <c r="BI311" s="203">
        <f>IFERROR(VLOOKUP(A311,'Title II Hold Harmless'!A$1:B$439,2, FALSE),"")</f>
        <v>4097</v>
      </c>
      <c r="BJ311" s="203">
        <f t="shared" si="373"/>
        <v>11421.336435508874</v>
      </c>
      <c r="BK311" s="203">
        <f t="shared" si="401"/>
        <v>11432.385343398772</v>
      </c>
      <c r="BL311" s="203" t="str">
        <f t="shared" si="377"/>
        <v/>
      </c>
      <c r="BM311" s="203">
        <f t="shared" si="378"/>
        <v>11432.385343398772</v>
      </c>
      <c r="BN311" s="200"/>
      <c r="BP311" s="298" t="s">
        <v>1448</v>
      </c>
      <c r="BQ311" s="299" t="str">
        <f t="shared" si="382"/>
        <v>Y</v>
      </c>
      <c r="BR311" s="300" t="s">
        <v>1448</v>
      </c>
      <c r="BT311" s="298" t="str">
        <f t="shared" si="383"/>
        <v>Y</v>
      </c>
      <c r="BU311" s="299" t="str">
        <f t="shared" si="375"/>
        <v>Y</v>
      </c>
      <c r="BV311" s="299" t="str">
        <f t="shared" si="376"/>
        <v>Y</v>
      </c>
      <c r="BW311" s="300" t="str">
        <f t="shared" si="384"/>
        <v>Y</v>
      </c>
      <c r="BY311" s="355">
        <f t="shared" si="385"/>
        <v>0</v>
      </c>
      <c r="BZ311" s="356">
        <f t="shared" si="386"/>
        <v>0</v>
      </c>
      <c r="CA311" s="356">
        <f t="shared" si="387"/>
        <v>0.95</v>
      </c>
      <c r="CB311" s="357">
        <f t="shared" si="388"/>
        <v>0.95</v>
      </c>
      <c r="CD311" s="312">
        <f t="shared" si="389"/>
        <v>306</v>
      </c>
    </row>
    <row r="312" spans="1:82" s="48" customFormat="1" outlineLevel="1" x14ac:dyDescent="0.3">
      <c r="A312" s="202">
        <v>78940000</v>
      </c>
      <c r="B312" s="48">
        <f>VLOOKUP(C312,'NCES ID'!$A$2:$B$3136,2,FALSE)</f>
        <v>400290</v>
      </c>
      <c r="C312" s="48">
        <f>VLOOKUP(A312,'State ID'!$A$2:$B$713,2,FALSE)</f>
        <v>79578</v>
      </c>
      <c r="D312" s="48" t="s">
        <v>320</v>
      </c>
      <c r="E312" s="48" t="s">
        <v>7</v>
      </c>
      <c r="F312" s="755"/>
      <c r="G312" s="755"/>
      <c r="H312" s="755"/>
      <c r="I312" s="755"/>
      <c r="J312" s="755"/>
      <c r="K312" s="755"/>
      <c r="L312" s="454"/>
      <c r="M312" s="455"/>
      <c r="N312" s="456"/>
      <c r="O312" s="209">
        <f>VLOOKUP($C312,'Final SEA Counts'!$A$2:$F$709,5,FALSE)</f>
        <v>664</v>
      </c>
      <c r="P312" s="223">
        <f>VLOOKUP($C312,'Final SEA Counts'!$A$2:$F$709,6,FALSE)</f>
        <v>653</v>
      </c>
      <c r="Q312" s="749"/>
      <c r="R312" s="454">
        <f t="shared" si="416"/>
        <v>664</v>
      </c>
      <c r="S312" s="455">
        <f t="shared" si="405"/>
        <v>323.31729282437374</v>
      </c>
      <c r="T312" s="230">
        <f t="shared" si="406"/>
        <v>0.48692363377164721</v>
      </c>
      <c r="U312" s="264" t="str">
        <f>IFERROR(VLOOKUP($B312,#REF!,8,FALSE),"")</f>
        <v/>
      </c>
      <c r="V312" s="265" t="str">
        <f>IFERROR(VLOOKUP($B312,#REF!,9,FALSE),"")</f>
        <v/>
      </c>
      <c r="W312" s="265" t="str">
        <f>IFERROR(VLOOKUP($B312,#REF!,10,FALSE),"")</f>
        <v/>
      </c>
      <c r="X312" s="265" t="str">
        <f>IFERROR(VLOOKUP($B312,#REF!,11,FALSE),"")</f>
        <v/>
      </c>
      <c r="Y312" s="266" t="str">
        <f>IFERROR(VLOOKUP($B312,#REF!,12,FALSE),"")</f>
        <v/>
      </c>
      <c r="Z312" s="265">
        <f t="shared" si="407"/>
        <v>156177.77291718661</v>
      </c>
      <c r="AA312" s="265">
        <f t="shared" si="408"/>
        <v>32297.312285033928</v>
      </c>
      <c r="AB312" s="265">
        <f t="shared" si="409"/>
        <v>91404.914006903229</v>
      </c>
      <c r="AC312" s="266">
        <f t="shared" si="410"/>
        <v>85085.968035881117</v>
      </c>
      <c r="AD312" s="265">
        <f t="shared" ref="AD312:AD356" si="418">IF(BT312="Y",Z312,"")</f>
        <v>156177.77291718661</v>
      </c>
      <c r="AE312" s="265">
        <f t="shared" ref="AE312:AE356" si="419">IF(BU312="Y",AA312,"")</f>
        <v>32297.312285033928</v>
      </c>
      <c r="AF312" s="265">
        <f t="shared" ref="AF312:AF356" si="420">IF(BV312="Y",AB312,"")</f>
        <v>91404.914006903229</v>
      </c>
      <c r="AG312" s="266">
        <f t="shared" ref="AG312:AG356" si="421">IF(BW312="Y",AC312,"")</f>
        <v>85085.968035881117</v>
      </c>
      <c r="AH312" s="265">
        <f t="shared" si="411"/>
        <v>156177.77291718661</v>
      </c>
      <c r="AI312" s="265">
        <f t="shared" si="412"/>
        <v>34428.13366786464</v>
      </c>
      <c r="AJ312" s="265">
        <f t="shared" si="413"/>
        <v>91430.254652123491</v>
      </c>
      <c r="AK312" s="265">
        <f t="shared" si="414"/>
        <v>85109.556847846514</v>
      </c>
      <c r="AL312" s="266">
        <f t="shared" si="400"/>
        <v>367145.71808502125</v>
      </c>
      <c r="AM312" s="347"/>
      <c r="AN312" s="264">
        <f>IFERROR(VLOOKUP($A312,'HH &amp; SI'!$B$4:$Z$494,'HH &amp; SI'!V$503,0),0)</f>
        <v>169274.69539845447</v>
      </c>
      <c r="AO312" s="265">
        <f>IFERROR(VLOOKUP($A312,'HH &amp; SI'!$B$4:$Z$494,'HH &amp; SI'!W$503,0),0)</f>
        <v>35210.675421049804</v>
      </c>
      <c r="AP312" s="265">
        <f>IFERROR(VLOOKUP($A312,'HH &amp; SI'!$B$4:$Z$494,'HH &amp; SI'!X$503,0),0)</f>
        <v>90598.732183655608</v>
      </c>
      <c r="AQ312" s="265">
        <f>IFERROR(VLOOKUP($A312,'HH &amp; SI'!$B$4:$Z$494,'HH &amp; SI'!Y$503,0),0)</f>
        <v>86475.353932179496</v>
      </c>
      <c r="AR312" s="266">
        <f t="shared" ref="AR312:AR356" si="422">SUM(AN312:AQ312)</f>
        <v>381559.45693533937</v>
      </c>
      <c r="AS312" s="347"/>
      <c r="AT312" s="324">
        <f>IFERROR(VLOOKUP(A312,'Afton FY16 Final'!$A$5:$BV$572,'Afton FY16 Final'!$BV$587,0),0)</f>
        <v>386566.80514662503</v>
      </c>
      <c r="AU312" s="347"/>
      <c r="AV312" s="454">
        <v>0</v>
      </c>
      <c r="AW312" s="265">
        <f>IFERROR(VLOOKUP($A312,'HH &amp; SI'!$B$4:$EY$503,'HH &amp; SI'!EX$503,0),0)</f>
        <v>0</v>
      </c>
      <c r="AX312" s="265">
        <f>IFERROR(VLOOKUP($A312,'HH &amp; SI'!$B$4:$EY$503,'HH &amp; SI'!EY$503,0),0)</f>
        <v>381559.45693533937</v>
      </c>
      <c r="AY312" s="265">
        <f>AX312/$AX$582*'update_State Admin 1004(b)'!$B$30*0.01</f>
        <v>3651.7981031693776</v>
      </c>
      <c r="AZ312" s="266">
        <f t="shared" ref="AZ312:AZ355" si="423">AX312-AY312</f>
        <v>377907.65883217001</v>
      </c>
      <c r="BA312" s="264">
        <f t="shared" ref="BA312:BA355" si="424">AZ312*0.01</f>
        <v>3779.0765883217</v>
      </c>
      <c r="BB312" s="265">
        <f t="shared" ref="BB312:BB355" si="425">AZ312-BA312</f>
        <v>374128.5822438483</v>
      </c>
      <c r="BC312" s="342">
        <f t="shared" si="381"/>
        <v>0.9678238722591328</v>
      </c>
      <c r="BD312" s="347"/>
      <c r="BE312" s="377" t="str">
        <f>'Original Title I &amp; II'!AZ312</f>
        <v/>
      </c>
      <c r="BF312" s="244" t="str">
        <f t="shared" si="415"/>
        <v/>
      </c>
      <c r="BG312" s="266">
        <f t="shared" si="417"/>
        <v>374128.5822438483</v>
      </c>
      <c r="BI312" s="203" t="str">
        <f>IFERROR(VLOOKUP(A312,'Title II Hold Harmless'!A$1:B$439,2, FALSE),"")</f>
        <v/>
      </c>
      <c r="BJ312" s="203">
        <f t="shared" ref="BJ312:BJ355" si="426">IFERROR($BI$587*(0.8*($S312/$S$584)+0.2*($R312/$R$584))+$BI312,$BI$587*(0.8*($S312/$S$584)+0.2*($R312/$R$584)))</f>
        <v>4766.8988990690841</v>
      </c>
      <c r="BK312" s="203">
        <f t="shared" ref="BK312:BK318" si="427">$BI$588*BJ312</f>
        <v>4771.5103582580905</v>
      </c>
      <c r="BL312" s="203" t="str">
        <f t="shared" si="377"/>
        <v/>
      </c>
      <c r="BM312" s="203">
        <f t="shared" si="378"/>
        <v>4771.5103582580905</v>
      </c>
      <c r="BN312" s="200"/>
      <c r="BP312" s="298" t="s">
        <v>1448</v>
      </c>
      <c r="BQ312" s="299" t="str">
        <f t="shared" si="382"/>
        <v>Y</v>
      </c>
      <c r="BR312" s="300" t="s">
        <v>1448</v>
      </c>
      <c r="BT312" s="298" t="str">
        <f t="shared" si="383"/>
        <v>Y</v>
      </c>
      <c r="BU312" s="299" t="str">
        <f t="shared" ref="BU312:BU356" si="428">IF(AND(BT312="Y",(OR(T312&gt;0.15,S312&gt;6500))),"Y","N")</f>
        <v>Y</v>
      </c>
      <c r="BV312" s="299" t="str">
        <f t="shared" ref="BV312:BV356" si="429">IF(AND(BT312="Y",T312&gt;=0.05),"Y","N")</f>
        <v>Y</v>
      </c>
      <c r="BW312" s="300" t="str">
        <f t="shared" si="384"/>
        <v>Y</v>
      </c>
      <c r="BY312" s="355">
        <f t="shared" si="385"/>
        <v>0</v>
      </c>
      <c r="BZ312" s="356">
        <f t="shared" si="386"/>
        <v>0</v>
      </c>
      <c r="CA312" s="356">
        <f t="shared" si="387"/>
        <v>0.95</v>
      </c>
      <c r="CB312" s="357">
        <f t="shared" si="388"/>
        <v>0.95</v>
      </c>
      <c r="CD312" s="312">
        <f t="shared" si="389"/>
        <v>307</v>
      </c>
    </row>
    <row r="313" spans="1:82" s="48" customFormat="1" outlineLevel="1" x14ac:dyDescent="0.3">
      <c r="A313" s="202">
        <v>78912000</v>
      </c>
      <c r="B313" s="48">
        <f>VLOOKUP(C313,'NCES ID'!$A$2:$B$3136,2,FALSE)</f>
        <v>400241</v>
      </c>
      <c r="C313" s="48">
        <f>VLOOKUP(A313,'State ID'!$A$2:$B$713,2,FALSE)</f>
        <v>5180</v>
      </c>
      <c r="D313" s="48" t="s">
        <v>322</v>
      </c>
      <c r="E313" s="48" t="s">
        <v>7</v>
      </c>
      <c r="F313" s="755"/>
      <c r="G313" s="755"/>
      <c r="H313" s="755"/>
      <c r="I313" s="755"/>
      <c r="J313" s="755"/>
      <c r="K313" s="755"/>
      <c r="L313" s="454"/>
      <c r="M313" s="455"/>
      <c r="N313" s="456"/>
      <c r="O313" s="209">
        <f>VLOOKUP($C313,'Final SEA Counts'!$A$2:$F$709,5,FALSE)</f>
        <v>1940</v>
      </c>
      <c r="P313" s="223">
        <f>VLOOKUP($C313,'Final SEA Counts'!$A$2:$F$709,6,FALSE)</f>
        <v>475</v>
      </c>
      <c r="Q313" s="749"/>
      <c r="R313" s="454">
        <f t="shared" si="416"/>
        <v>1940</v>
      </c>
      <c r="S313" s="455">
        <f t="shared" si="405"/>
        <v>235.18486078342653</v>
      </c>
      <c r="T313" s="230">
        <f t="shared" si="406"/>
        <v>0.12122930968217863</v>
      </c>
      <c r="U313" s="264" t="str">
        <f>IFERROR(VLOOKUP($B313,#REF!,8,FALSE),"")</f>
        <v/>
      </c>
      <c r="V313" s="265" t="str">
        <f>IFERROR(VLOOKUP($B313,#REF!,9,FALSE),"")</f>
        <v/>
      </c>
      <c r="W313" s="265" t="str">
        <f>IFERROR(VLOOKUP($B313,#REF!,10,FALSE),"")</f>
        <v/>
      </c>
      <c r="X313" s="265" t="str">
        <f>IFERROR(VLOOKUP($B313,#REF!,11,FALSE),"")</f>
        <v/>
      </c>
      <c r="Y313" s="266" t="str">
        <f>IFERROR(VLOOKUP($B313,#REF!,12,FALSE),"")</f>
        <v/>
      </c>
      <c r="Z313" s="265">
        <f t="shared" si="407"/>
        <v>113605.57754312962</v>
      </c>
      <c r="AA313" s="265">
        <f t="shared" si="408"/>
        <v>23493.450743324833</v>
      </c>
      <c r="AB313" s="265">
        <f t="shared" si="409"/>
        <v>66489.026268421192</v>
      </c>
      <c r="AC313" s="266">
        <f t="shared" si="410"/>
        <v>61892.5494901126</v>
      </c>
      <c r="AD313" s="265">
        <f t="shared" si="418"/>
        <v>113605.57754312962</v>
      </c>
      <c r="AE313" s="265" t="str">
        <f t="shared" si="419"/>
        <v/>
      </c>
      <c r="AF313" s="265">
        <f t="shared" si="420"/>
        <v>66489.026268421192</v>
      </c>
      <c r="AG313" s="266">
        <f t="shared" si="421"/>
        <v>61892.5494901126</v>
      </c>
      <c r="AH313" s="265">
        <f t="shared" si="411"/>
        <v>113605.57754312962</v>
      </c>
      <c r="AI313" s="265" t="str">
        <f t="shared" si="412"/>
        <v/>
      </c>
      <c r="AJ313" s="265">
        <f t="shared" si="413"/>
        <v>66514.366913641454</v>
      </c>
      <c r="AK313" s="265">
        <f t="shared" si="414"/>
        <v>61916.138302078005</v>
      </c>
      <c r="AL313" s="266">
        <f t="shared" si="400"/>
        <v>242036.08275884908</v>
      </c>
      <c r="AM313" s="347"/>
      <c r="AN313" s="264">
        <f>IFERROR(VLOOKUP($A313,'HH &amp; SI'!$B$4:$Z$494,'HH &amp; SI'!V$503,0),0)</f>
        <v>112055.92372818897</v>
      </c>
      <c r="AO313" s="265">
        <f>IFERROR(VLOOKUP($A313,'HH &amp; SI'!$B$4:$Z$494,'HH &amp; SI'!W$503,0),0)</f>
        <v>0</v>
      </c>
      <c r="AP313" s="265">
        <f>IFERROR(VLOOKUP($A313,'HH &amp; SI'!$B$4:$Z$494,'HH &amp; SI'!X$503,0),0)</f>
        <v>65909.444716114522</v>
      </c>
      <c r="AQ313" s="265">
        <f>IFERROR(VLOOKUP($A313,'HH &amp; SI'!$B$4:$Z$494,'HH &amp; SI'!Y$503,0),0)</f>
        <v>61233.933912731314</v>
      </c>
      <c r="AR313" s="266">
        <f t="shared" si="422"/>
        <v>239199.30235703482</v>
      </c>
      <c r="AS313" s="347"/>
      <c r="AT313" s="324">
        <f>IFERROR(VLOOKUP(A313,'Afton FY16 Final'!$A$5:$BV$572,'Afton FY16 Final'!$BV$587,0),0)</f>
        <v>213084.99041545688</v>
      </c>
      <c r="AU313" s="347"/>
      <c r="AV313" s="454">
        <v>0</v>
      </c>
      <c r="AW313" s="265">
        <f>IFERROR(VLOOKUP($A313,'HH &amp; SI'!$B$4:$EY$503,'HH &amp; SI'!EX$503,0),0)</f>
        <v>13398.294673207391</v>
      </c>
      <c r="AX313" s="265">
        <f>IFERROR(VLOOKUP($A313,'HH &amp; SI'!$B$4:$EY$503,'HH &amp; SI'!EY$503,0),0)</f>
        <v>225801.00768382743</v>
      </c>
      <c r="AY313" s="265">
        <f>AX313/$AX$582*'update_State Admin 1004(b)'!$B$30*0.01</f>
        <v>2161.0778518674524</v>
      </c>
      <c r="AZ313" s="266">
        <f t="shared" si="423"/>
        <v>223639.92983195998</v>
      </c>
      <c r="BA313" s="264">
        <f t="shared" si="424"/>
        <v>2236.3992983195999</v>
      </c>
      <c r="BB313" s="265">
        <f t="shared" si="425"/>
        <v>221403.53053364038</v>
      </c>
      <c r="BC313" s="342">
        <f t="shared" si="381"/>
        <v>1.0390386019304534</v>
      </c>
      <c r="BD313" s="347"/>
      <c r="BE313" s="377" t="str">
        <f>'Original Title I &amp; II'!AZ313</f>
        <v/>
      </c>
      <c r="BF313" s="244" t="str">
        <f t="shared" si="415"/>
        <v/>
      </c>
      <c r="BG313" s="266">
        <f t="shared" si="417"/>
        <v>221403.53053364038</v>
      </c>
      <c r="BI313" s="203">
        <f>IFERROR(VLOOKUP(A313,'Title II Hold Harmless'!A$1:B$439,2, FALSE),"")</f>
        <v>6602</v>
      </c>
      <c r="BJ313" s="203">
        <f t="shared" si="426"/>
        <v>11242.091114294113</v>
      </c>
      <c r="BK313" s="203">
        <f t="shared" si="427"/>
        <v>11252.966621719452</v>
      </c>
      <c r="BL313" s="203" t="str">
        <f t="shared" si="377"/>
        <v/>
      </c>
      <c r="BM313" s="203">
        <f t="shared" si="378"/>
        <v>11252.966621719452</v>
      </c>
      <c r="BN313" s="200"/>
      <c r="BP313" s="298" t="s">
        <v>1448</v>
      </c>
      <c r="BQ313" s="299" t="str">
        <f t="shared" si="382"/>
        <v>Y</v>
      </c>
      <c r="BR313" s="300" t="s">
        <v>1448</v>
      </c>
      <c r="BT313" s="298" t="str">
        <f t="shared" si="383"/>
        <v>Y</v>
      </c>
      <c r="BU313" s="299" t="str">
        <f t="shared" si="428"/>
        <v>N</v>
      </c>
      <c r="BV313" s="299" t="str">
        <f t="shared" si="429"/>
        <v>Y</v>
      </c>
      <c r="BW313" s="300" t="str">
        <f t="shared" si="384"/>
        <v>Y</v>
      </c>
      <c r="BY313" s="355">
        <f t="shared" si="385"/>
        <v>0.85</v>
      </c>
      <c r="BZ313" s="356">
        <f t="shared" si="386"/>
        <v>0</v>
      </c>
      <c r="CA313" s="356">
        <f t="shared" si="387"/>
        <v>0</v>
      </c>
      <c r="CB313" s="357">
        <f t="shared" si="388"/>
        <v>0.85</v>
      </c>
      <c r="CD313" s="312">
        <f t="shared" si="389"/>
        <v>308</v>
      </c>
    </row>
    <row r="314" spans="1:82" s="48" customFormat="1" outlineLevel="1" x14ac:dyDescent="0.3">
      <c r="A314" s="202">
        <v>78905000</v>
      </c>
      <c r="B314" s="48">
        <f>VLOOKUP(C314,'NCES ID'!$A$2:$B$3136,2,FALSE)</f>
        <v>400237</v>
      </c>
      <c r="C314" s="48">
        <f>VLOOKUP(A314,'State ID'!$A$2:$B$713,2,FALSE)</f>
        <v>79205</v>
      </c>
      <c r="D314" s="48" t="s">
        <v>323</v>
      </c>
      <c r="E314" s="48" t="s">
        <v>7</v>
      </c>
      <c r="F314" s="755"/>
      <c r="G314" s="755"/>
      <c r="H314" s="755"/>
      <c r="I314" s="755"/>
      <c r="J314" s="755"/>
      <c r="K314" s="755"/>
      <c r="L314" s="454"/>
      <c r="M314" s="455"/>
      <c r="N314" s="456"/>
      <c r="O314" s="209">
        <f>VLOOKUP($C314,'Final SEA Counts'!$A$2:$F$709,5,FALSE)</f>
        <v>378</v>
      </c>
      <c r="P314" s="223">
        <f>VLOOKUP($C314,'Final SEA Counts'!$A$2:$F$709,6,FALSE)</f>
        <v>204</v>
      </c>
      <c r="Q314" s="749"/>
      <c r="R314" s="454">
        <f t="shared" si="416"/>
        <v>378</v>
      </c>
      <c r="S314" s="455">
        <f t="shared" si="405"/>
        <v>101.00570863119792</v>
      </c>
      <c r="T314" s="230">
        <f t="shared" si="406"/>
        <v>0.26721086939470351</v>
      </c>
      <c r="U314" s="264" t="str">
        <f>IFERROR(VLOOKUP($B314,#REF!,8,FALSE),"")</f>
        <v/>
      </c>
      <c r="V314" s="265" t="str">
        <f>IFERROR(VLOOKUP($B314,#REF!,9,FALSE),"")</f>
        <v/>
      </c>
      <c r="W314" s="265" t="str">
        <f>IFERROR(VLOOKUP($B314,#REF!,10,FALSE),"")</f>
        <v/>
      </c>
      <c r="X314" s="265" t="str">
        <f>IFERROR(VLOOKUP($B314,#REF!,11,FALSE),"")</f>
        <v/>
      </c>
      <c r="Y314" s="266" t="str">
        <f>IFERROR(VLOOKUP($B314,#REF!,12,FALSE),"")</f>
        <v/>
      </c>
      <c r="Z314" s="265">
        <f t="shared" si="407"/>
        <v>48790.605934312509</v>
      </c>
      <c r="AA314" s="265">
        <f t="shared" si="408"/>
        <v>10089.818845554244</v>
      </c>
      <c r="AB314" s="265">
        <f t="shared" si="409"/>
        <v>28555.28707106931</v>
      </c>
      <c r="AC314" s="266">
        <f t="shared" si="410"/>
        <v>26581.221254700991</v>
      </c>
      <c r="AD314" s="265">
        <f t="shared" si="418"/>
        <v>48790.605934312509</v>
      </c>
      <c r="AE314" s="265">
        <f t="shared" si="419"/>
        <v>10089.818845554244</v>
      </c>
      <c r="AF314" s="265">
        <f t="shared" si="420"/>
        <v>28555.28707106931</v>
      </c>
      <c r="AG314" s="266">
        <f t="shared" si="421"/>
        <v>26581.221254700991</v>
      </c>
      <c r="AH314" s="265">
        <f t="shared" si="411"/>
        <v>48790.605934312509</v>
      </c>
      <c r="AI314" s="265">
        <f t="shared" si="412"/>
        <v>12220.640228384957</v>
      </c>
      <c r="AJ314" s="265">
        <f t="shared" si="413"/>
        <v>28580.627716289568</v>
      </c>
      <c r="AK314" s="265">
        <f t="shared" si="414"/>
        <v>26604.810066666392</v>
      </c>
      <c r="AL314" s="266">
        <f t="shared" si="400"/>
        <v>116196.68394565344</v>
      </c>
      <c r="AM314" s="347"/>
      <c r="AN314" s="264">
        <f>IFERROR(VLOOKUP($A314,'HH &amp; SI'!$B$4:$Z$494,'HH &amp; SI'!V$503,0),0)</f>
        <v>48125.070401159042</v>
      </c>
      <c r="AO314" s="265">
        <f>IFERROR(VLOOKUP($A314,'HH &amp; SI'!$B$4:$Z$494,'HH &amp; SI'!W$503,0),0)</f>
        <v>11818.137019086773</v>
      </c>
      <c r="AP314" s="265">
        <f>IFERROR(VLOOKUP($A314,'HH &amp; SI'!$B$4:$Z$494,'HH &amp; SI'!X$503,0),0)</f>
        <v>28320.698066094083</v>
      </c>
      <c r="AQ314" s="265">
        <f>IFERROR(VLOOKUP($A314,'HH &amp; SI'!$B$4:$Z$494,'HH &amp; SI'!Y$503,0),0)</f>
        <v>26311.672950836193</v>
      </c>
      <c r="AR314" s="266">
        <f t="shared" si="422"/>
        <v>114575.5784371761</v>
      </c>
      <c r="AS314" s="347"/>
      <c r="AT314" s="324">
        <f>IFERROR(VLOOKUP(A314,'Afton FY16 Final'!$A$5:$BV$572,'Afton FY16 Final'!$BV$587,0),0)</f>
        <v>94367.546096914884</v>
      </c>
      <c r="AU314" s="347"/>
      <c r="AV314" s="454">
        <v>0</v>
      </c>
      <c r="AW314" s="265">
        <f>IFERROR(VLOOKUP($A314,'HH &amp; SI'!$B$4:$EY$503,'HH &amp; SI'!EX$503,0),0)</f>
        <v>6417.7334428974427</v>
      </c>
      <c r="AX314" s="265">
        <f>IFERROR(VLOOKUP($A314,'HH &amp; SI'!$B$4:$EY$503,'HH &amp; SI'!EY$503,0),0)</f>
        <v>108157.84499427865</v>
      </c>
      <c r="AY314" s="265">
        <f>AX314/$AX$582*'update_State Admin 1004(b)'!$B$30*0.01</f>
        <v>1035.1482737850936</v>
      </c>
      <c r="AZ314" s="266">
        <f t="shared" si="423"/>
        <v>107122.69672049356</v>
      </c>
      <c r="BA314" s="264">
        <f t="shared" si="424"/>
        <v>1071.2269672049356</v>
      </c>
      <c r="BB314" s="265">
        <f t="shared" si="425"/>
        <v>106051.46975328863</v>
      </c>
      <c r="BC314" s="342">
        <f t="shared" si="381"/>
        <v>1.1238129435343633</v>
      </c>
      <c r="BD314" s="347"/>
      <c r="BE314" s="377" t="str">
        <f>'Original Title I &amp; II'!AZ314</f>
        <v/>
      </c>
      <c r="BF314" s="244" t="str">
        <f t="shared" si="415"/>
        <v/>
      </c>
      <c r="BG314" s="266">
        <f t="shared" si="417"/>
        <v>106051.46975328863</v>
      </c>
      <c r="BI314" s="203">
        <f>IFERROR(VLOOKUP(A314,'Title II Hold Harmless'!A$1:B$439,2, FALSE),"")</f>
        <v>6942</v>
      </c>
      <c r="BJ314" s="203">
        <f t="shared" si="426"/>
        <v>8568.4691504231323</v>
      </c>
      <c r="BK314" s="203">
        <f t="shared" si="427"/>
        <v>8576.7582177258082</v>
      </c>
      <c r="BL314" s="203" t="str">
        <f t="shared" si="377"/>
        <v/>
      </c>
      <c r="BM314" s="203">
        <f t="shared" si="378"/>
        <v>8576.7582177258082</v>
      </c>
      <c r="BN314" s="200"/>
      <c r="BP314" s="298" t="s">
        <v>1448</v>
      </c>
      <c r="BQ314" s="299" t="str">
        <f t="shared" si="382"/>
        <v>Y</v>
      </c>
      <c r="BR314" s="300" t="s">
        <v>1448</v>
      </c>
      <c r="BT314" s="298" t="str">
        <f t="shared" si="383"/>
        <v>Y</v>
      </c>
      <c r="BU314" s="299" t="str">
        <f t="shared" si="428"/>
        <v>Y</v>
      </c>
      <c r="BV314" s="299" t="str">
        <f t="shared" si="429"/>
        <v>Y</v>
      </c>
      <c r="BW314" s="300" t="str">
        <f t="shared" si="384"/>
        <v>Y</v>
      </c>
      <c r="BY314" s="355">
        <f t="shared" si="385"/>
        <v>0</v>
      </c>
      <c r="BZ314" s="356">
        <f t="shared" si="386"/>
        <v>0.9</v>
      </c>
      <c r="CA314" s="356">
        <f t="shared" si="387"/>
        <v>0</v>
      </c>
      <c r="CB314" s="357">
        <f t="shared" si="388"/>
        <v>0.9</v>
      </c>
      <c r="CD314" s="312">
        <f t="shared" si="389"/>
        <v>309</v>
      </c>
    </row>
    <row r="315" spans="1:82" s="48" customFormat="1" outlineLevel="1" x14ac:dyDescent="0.3">
      <c r="A315" s="202">
        <v>78963000</v>
      </c>
      <c r="B315" s="48">
        <f>VLOOKUP(C315,'NCES ID'!$A$2:$B$3136,2,FALSE)</f>
        <v>400364</v>
      </c>
      <c r="C315" s="48">
        <f>VLOOKUP(A315,'State ID'!$A$2:$B$713,2,FALSE)</f>
        <v>79953</v>
      </c>
      <c r="D315" s="48" t="s">
        <v>326</v>
      </c>
      <c r="E315" s="48" t="s">
        <v>7</v>
      </c>
      <c r="F315" s="755"/>
      <c r="G315" s="755"/>
      <c r="H315" s="755"/>
      <c r="I315" s="755"/>
      <c r="J315" s="755"/>
      <c r="K315" s="755"/>
      <c r="L315" s="454"/>
      <c r="M315" s="455"/>
      <c r="N315" s="456"/>
      <c r="O315" s="209">
        <f>VLOOKUP($C315,'AzEDS FY17 12-04-16'!$A$1:$D$712,3,FALSE)</f>
        <v>130</v>
      </c>
      <c r="P315" s="223">
        <f>VLOOKUP($C315,'AzEDS FY17 12-04-16'!$A$1:$D$712,4,FALSE)</f>
        <v>100</v>
      </c>
      <c r="Q315" s="749"/>
      <c r="R315" s="454">
        <f t="shared" si="416"/>
        <v>130</v>
      </c>
      <c r="S315" s="455">
        <f t="shared" si="405"/>
        <v>49.51260227019506</v>
      </c>
      <c r="T315" s="230">
        <f t="shared" si="406"/>
        <v>0.38086617130919276</v>
      </c>
      <c r="U315" s="264" t="str">
        <f>IFERROR(VLOOKUP($B315,#REF!,8,FALSE),"")</f>
        <v/>
      </c>
      <c r="V315" s="265" t="str">
        <f>IFERROR(VLOOKUP($B315,#REF!,9,FALSE),"")</f>
        <v/>
      </c>
      <c r="W315" s="265" t="str">
        <f>IFERROR(VLOOKUP($B315,#REF!,10,FALSE),"")</f>
        <v/>
      </c>
      <c r="X315" s="265" t="str">
        <f>IFERROR(VLOOKUP($B315,#REF!,11,FALSE),"")</f>
        <v/>
      </c>
      <c r="Y315" s="266" t="str">
        <f>IFERROR(VLOOKUP($B315,#REF!,12,FALSE),"")</f>
        <v/>
      </c>
      <c r="Z315" s="265">
        <f t="shared" si="407"/>
        <v>23916.963693290447</v>
      </c>
      <c r="AA315" s="265">
        <f t="shared" si="408"/>
        <v>4945.9896301736489</v>
      </c>
      <c r="AB315" s="265">
        <f t="shared" si="409"/>
        <v>13997.68974072025</v>
      </c>
      <c r="AC315" s="266">
        <f t="shared" si="410"/>
        <v>13030.010418971075</v>
      </c>
      <c r="AD315" s="265">
        <f t="shared" si="418"/>
        <v>23916.963693290447</v>
      </c>
      <c r="AE315" s="265">
        <f t="shared" si="419"/>
        <v>4945.9896301736489</v>
      </c>
      <c r="AF315" s="265">
        <f t="shared" si="420"/>
        <v>13997.68974072025</v>
      </c>
      <c r="AG315" s="266">
        <f t="shared" si="421"/>
        <v>13030.010418971075</v>
      </c>
      <c r="AH315" s="265">
        <f t="shared" si="411"/>
        <v>23916.963693290447</v>
      </c>
      <c r="AI315" s="265">
        <f t="shared" si="412"/>
        <v>7076.8110130043615</v>
      </c>
      <c r="AJ315" s="265">
        <f t="shared" si="413"/>
        <v>14023.03038594051</v>
      </c>
      <c r="AK315" s="265">
        <f t="shared" si="414"/>
        <v>13053.599230936477</v>
      </c>
      <c r="AL315" s="266">
        <f t="shared" si="400"/>
        <v>58070.404323171795</v>
      </c>
      <c r="AM315" s="347"/>
      <c r="AN315" s="264">
        <f>IFERROR(VLOOKUP($A315,'HH &amp; SI'!$B$4:$Z$494,'HH &amp; SI'!V$503,0),0)</f>
        <v>29001.760959445295</v>
      </c>
      <c r="AO315" s="265">
        <f>IFERROR(VLOOKUP($A315,'HH &amp; SI'!$B$4:$Z$494,'HH &amp; SI'!W$503,0),0)</f>
        <v>7487.6042648246912</v>
      </c>
      <c r="AP315" s="265">
        <f>IFERROR(VLOOKUP($A315,'HH &amp; SI'!$B$4:$Z$494,'HH &amp; SI'!X$503,0),0)</f>
        <v>15377.157393591126</v>
      </c>
      <c r="AQ315" s="265">
        <f>IFERROR(VLOOKUP($A315,'HH &amp; SI'!$B$4:$Z$494,'HH &amp; SI'!Y$503,0),0)</f>
        <v>14815.785299279867</v>
      </c>
      <c r="AR315" s="266">
        <f t="shared" si="422"/>
        <v>66682.307917140992</v>
      </c>
      <c r="AS315" s="347"/>
      <c r="AT315" s="324">
        <f>IFERROR(VLOOKUP(A315,'Afton FY16 Final'!$A$5:$BV$572,'Afton FY16 Final'!$BV$587,0),0)</f>
        <v>50193.983949472269</v>
      </c>
      <c r="AU315" s="347"/>
      <c r="AV315" s="454">
        <v>0</v>
      </c>
      <c r="AW315" s="265">
        <f>IFERROR(VLOOKUP($A315,'HH &amp; SI'!$B$4:$EY$503,'HH &amp; SI'!EX$503,0),0)</f>
        <v>3735.0828458096803</v>
      </c>
      <c r="AX315" s="265">
        <f>IFERROR(VLOOKUP($A315,'HH &amp; SI'!$B$4:$EY$503,'HH &amp; SI'!EY$503,0),0)</f>
        <v>62947.225071331311</v>
      </c>
      <c r="AY315" s="265">
        <f>AX315/$AX$582*'update_State Admin 1004(b)'!$B$30*0.01</f>
        <v>602.45016323686184</v>
      </c>
      <c r="AZ315" s="266">
        <f t="shared" si="423"/>
        <v>62344.774908094449</v>
      </c>
      <c r="BA315" s="264">
        <f t="shared" si="424"/>
        <v>623.4477490809445</v>
      </c>
      <c r="BB315" s="265">
        <f t="shared" si="425"/>
        <v>61721.327159013505</v>
      </c>
      <c r="BC315" s="342">
        <f t="shared" si="381"/>
        <v>1.2296558731250586</v>
      </c>
      <c r="BD315" s="347"/>
      <c r="BE315" s="377" t="str">
        <f>'Original Title I &amp; II'!AZ315</f>
        <v/>
      </c>
      <c r="BF315" s="244" t="str">
        <f t="shared" si="415"/>
        <v/>
      </c>
      <c r="BG315" s="266">
        <f t="shared" si="417"/>
        <v>61721.327159013505</v>
      </c>
      <c r="BI315" s="203" t="str">
        <f>IFERROR(VLOOKUP(A315,'Title II Hold Harmless'!A$1:B$439,2, FALSE),"")</f>
        <v/>
      </c>
      <c r="BJ315" s="203">
        <f t="shared" si="426"/>
        <v>752.78811051395223</v>
      </c>
      <c r="BK315" s="203">
        <f t="shared" si="427"/>
        <v>753.51635160383194</v>
      </c>
      <c r="BL315" s="203" t="str">
        <f t="shared" si="377"/>
        <v/>
      </c>
      <c r="BM315" s="203">
        <f t="shared" si="378"/>
        <v>753.51635160383194</v>
      </c>
      <c r="BN315" s="200"/>
      <c r="BP315" s="298" t="s">
        <v>1448</v>
      </c>
      <c r="BQ315" s="299" t="str">
        <f t="shared" si="382"/>
        <v>Y</v>
      </c>
      <c r="BR315" s="300" t="s">
        <v>1448</v>
      </c>
      <c r="BT315" s="298" t="str">
        <f t="shared" si="383"/>
        <v>Y</v>
      </c>
      <c r="BU315" s="299" t="str">
        <f t="shared" si="428"/>
        <v>Y</v>
      </c>
      <c r="BV315" s="299" t="str">
        <f t="shared" si="429"/>
        <v>Y</v>
      </c>
      <c r="BW315" s="300" t="str">
        <f t="shared" si="384"/>
        <v>Y</v>
      </c>
      <c r="BY315" s="355">
        <f t="shared" si="385"/>
        <v>0</v>
      </c>
      <c r="BZ315" s="356">
        <f t="shared" si="386"/>
        <v>0</v>
      </c>
      <c r="CA315" s="356">
        <f t="shared" si="387"/>
        <v>0.95</v>
      </c>
      <c r="CB315" s="357">
        <f t="shared" si="388"/>
        <v>0.95</v>
      </c>
      <c r="CD315" s="312">
        <f t="shared" si="389"/>
        <v>310</v>
      </c>
    </row>
    <row r="316" spans="1:82" s="48" customFormat="1" outlineLevel="1" x14ac:dyDescent="0.3">
      <c r="A316" s="202">
        <v>78792000</v>
      </c>
      <c r="B316" s="48">
        <f>VLOOKUP(C316,'NCES ID'!$A$2:$B$3136,2,FALSE)</f>
        <v>400230</v>
      </c>
      <c r="C316" s="48">
        <f>VLOOKUP(A316,'State ID'!$A$2:$B$713,2,FALSE)</f>
        <v>79024</v>
      </c>
      <c r="D316" s="48" t="s">
        <v>329</v>
      </c>
      <c r="E316" s="48" t="s">
        <v>7</v>
      </c>
      <c r="F316" s="755"/>
      <c r="G316" s="755"/>
      <c r="H316" s="755"/>
      <c r="I316" s="755"/>
      <c r="J316" s="755"/>
      <c r="K316" s="755"/>
      <c r="L316" s="454"/>
      <c r="M316" s="455"/>
      <c r="N316" s="456"/>
      <c r="O316" s="209">
        <f>VLOOKUP($C316,'Final SEA Counts'!$A$2:$F$709,5,FALSE)</f>
        <v>593</v>
      </c>
      <c r="P316" s="223">
        <f>VLOOKUP($C316,'Final SEA Counts'!$A$2:$F$709,6,FALSE)</f>
        <v>551</v>
      </c>
      <c r="Q316" s="749"/>
      <c r="R316" s="454">
        <f t="shared" si="416"/>
        <v>593</v>
      </c>
      <c r="S316" s="455">
        <f t="shared" si="405"/>
        <v>272.8144385087748</v>
      </c>
      <c r="T316" s="230">
        <f t="shared" si="406"/>
        <v>0.46005807505695584</v>
      </c>
      <c r="U316" s="264" t="str">
        <f>IFERROR(VLOOKUP($B316,#REF!,8,FALSE),"")</f>
        <v/>
      </c>
      <c r="V316" s="265" t="str">
        <f>IFERROR(VLOOKUP($B316,#REF!,9,FALSE),"")</f>
        <v/>
      </c>
      <c r="W316" s="265" t="str">
        <f>IFERROR(VLOOKUP($B316,#REF!,10,FALSE),"")</f>
        <v/>
      </c>
      <c r="X316" s="265" t="str">
        <f>IFERROR(VLOOKUP($B316,#REF!,11,FALSE),"")</f>
        <v/>
      </c>
      <c r="Y316" s="266" t="str">
        <f>IFERROR(VLOOKUP($B316,#REF!,12,FALSE),"")</f>
        <v/>
      </c>
      <c r="Z316" s="265">
        <f t="shared" si="407"/>
        <v>131782.46995003038</v>
      </c>
      <c r="AA316" s="265">
        <f t="shared" si="408"/>
        <v>27252.402862256808</v>
      </c>
      <c r="AB316" s="265">
        <f t="shared" si="409"/>
        <v>77127.270471368582</v>
      </c>
      <c r="AC316" s="266">
        <f t="shared" si="410"/>
        <v>71795.357408530632</v>
      </c>
      <c r="AD316" s="265">
        <f t="shared" si="418"/>
        <v>131782.46995003038</v>
      </c>
      <c r="AE316" s="265">
        <f t="shared" si="419"/>
        <v>27252.402862256808</v>
      </c>
      <c r="AF316" s="265">
        <f t="shared" si="420"/>
        <v>77127.270471368582</v>
      </c>
      <c r="AG316" s="266">
        <f t="shared" si="421"/>
        <v>71795.357408530632</v>
      </c>
      <c r="AH316" s="265">
        <f t="shared" si="411"/>
        <v>131782.46995003038</v>
      </c>
      <c r="AI316" s="265">
        <f t="shared" si="412"/>
        <v>29383.22424508752</v>
      </c>
      <c r="AJ316" s="265">
        <f t="shared" si="413"/>
        <v>77152.611116588843</v>
      </c>
      <c r="AK316" s="265">
        <f t="shared" si="414"/>
        <v>71818.946220496029</v>
      </c>
      <c r="AL316" s="266">
        <f t="shared" si="400"/>
        <v>310137.25153220282</v>
      </c>
      <c r="AM316" s="347"/>
      <c r="AN316" s="264">
        <f>IFERROR(VLOOKUP($A316,'HH &amp; SI'!$B$4:$Z$494,'HH &amp; SI'!V$503,0),0)</f>
        <v>141220.10851065264</v>
      </c>
      <c r="AO316" s="265">
        <f>IFERROR(VLOOKUP($A316,'HH &amp; SI'!$B$4:$Z$494,'HH &amp; SI'!W$503,0),0)</f>
        <v>29487.766782086179</v>
      </c>
      <c r="AP316" s="265">
        <f>IFERROR(VLOOKUP($A316,'HH &amp; SI'!$B$4:$Z$494,'HH &amp; SI'!X$503,0),0)</f>
        <v>76450.93824158152</v>
      </c>
      <c r="AQ316" s="265">
        <f>IFERROR(VLOOKUP($A316,'HH &amp; SI'!$B$4:$Z$494,'HH &amp; SI'!Y$503,0),0)</f>
        <v>72143.440205599589</v>
      </c>
      <c r="AR316" s="266">
        <f t="shared" si="422"/>
        <v>319302.25373991992</v>
      </c>
      <c r="AS316" s="347"/>
      <c r="AT316" s="324">
        <f>IFERROR(VLOOKUP(A316,'Afton FY16 Final'!$A$5:$BV$572,'Afton FY16 Final'!$BV$587,0),0)</f>
        <v>322613.94254271075</v>
      </c>
      <c r="AU316" s="347"/>
      <c r="AV316" s="454">
        <v>0</v>
      </c>
      <c r="AW316" s="265">
        <f>IFERROR(VLOOKUP($A316,'HH &amp; SI'!$B$4:$EY$503,'HH &amp; SI'!EX$503,0),0)</f>
        <v>0</v>
      </c>
      <c r="AX316" s="265">
        <f>IFERROR(VLOOKUP($A316,'HH &amp; SI'!$B$4:$EY$503,'HH &amp; SI'!EY$503,0),0)</f>
        <v>319302.25373991992</v>
      </c>
      <c r="AY316" s="265">
        <f>AX316/$AX$582*'update_State Admin 1004(b)'!$B$30*0.01</f>
        <v>3055.9519449749782</v>
      </c>
      <c r="AZ316" s="266">
        <f t="shared" si="423"/>
        <v>316246.30179494497</v>
      </c>
      <c r="BA316" s="264">
        <f t="shared" si="424"/>
        <v>3162.4630179494497</v>
      </c>
      <c r="BB316" s="265">
        <f t="shared" si="425"/>
        <v>313083.83877699554</v>
      </c>
      <c r="BC316" s="342">
        <f t="shared" si="381"/>
        <v>0.97045972752881404</v>
      </c>
      <c r="BD316" s="347"/>
      <c r="BE316" s="377" t="str">
        <f>'Original Title I &amp; II'!AZ316</f>
        <v/>
      </c>
      <c r="BF316" s="244" t="str">
        <f t="shared" si="415"/>
        <v/>
      </c>
      <c r="BG316" s="266">
        <f t="shared" si="417"/>
        <v>313083.83877699554</v>
      </c>
      <c r="BI316" s="203" t="str">
        <f>IFERROR(VLOOKUP(A316,'Title II Hold Harmless'!A$1:B$439,2, FALSE),"")</f>
        <v/>
      </c>
      <c r="BJ316" s="203">
        <f t="shared" si="426"/>
        <v>4048.6306872175446</v>
      </c>
      <c r="BK316" s="203">
        <f t="shared" si="427"/>
        <v>4052.5472995856207</v>
      </c>
      <c r="BL316" s="203" t="str">
        <f t="shared" si="377"/>
        <v/>
      </c>
      <c r="BM316" s="203">
        <f t="shared" si="378"/>
        <v>4052.5472995856207</v>
      </c>
      <c r="BN316" s="200"/>
      <c r="BP316" s="298" t="s">
        <v>1448</v>
      </c>
      <c r="BQ316" s="299" t="str">
        <f t="shared" si="382"/>
        <v>Y</v>
      </c>
      <c r="BR316" s="300" t="s">
        <v>1448</v>
      </c>
      <c r="BT316" s="298" t="str">
        <f t="shared" si="383"/>
        <v>Y</v>
      </c>
      <c r="BU316" s="299" t="str">
        <f t="shared" si="428"/>
        <v>Y</v>
      </c>
      <c r="BV316" s="299" t="str">
        <f t="shared" si="429"/>
        <v>Y</v>
      </c>
      <c r="BW316" s="300" t="str">
        <f t="shared" si="384"/>
        <v>Y</v>
      </c>
      <c r="BY316" s="355">
        <f t="shared" si="385"/>
        <v>0</v>
      </c>
      <c r="BZ316" s="356">
        <f t="shared" si="386"/>
        <v>0</v>
      </c>
      <c r="CA316" s="356">
        <f t="shared" si="387"/>
        <v>0.95</v>
      </c>
      <c r="CB316" s="357">
        <f t="shared" si="388"/>
        <v>0.95</v>
      </c>
      <c r="CD316" s="312">
        <f t="shared" si="389"/>
        <v>311</v>
      </c>
    </row>
    <row r="317" spans="1:82" s="48" customFormat="1" outlineLevel="1" x14ac:dyDescent="0.3">
      <c r="A317" s="202">
        <v>78238000</v>
      </c>
      <c r="B317" s="48" t="e">
        <f>VLOOKUP(C317,'NCES ID'!$A$2:$B$3136,2,FALSE)</f>
        <v>#N/A</v>
      </c>
      <c r="C317" s="48">
        <v>92972</v>
      </c>
      <c r="D317" s="48" t="s">
        <v>1396</v>
      </c>
      <c r="E317" s="48" t="s">
        <v>7</v>
      </c>
      <c r="F317" s="755"/>
      <c r="G317" s="755"/>
      <c r="H317" s="755"/>
      <c r="I317" s="755"/>
      <c r="J317" s="755"/>
      <c r="K317" s="755"/>
      <c r="L317" s="454"/>
      <c r="M317" s="455"/>
      <c r="N317" s="456"/>
      <c r="O317" s="209">
        <f>VLOOKUP($C317,'AzEDS FY17 11-14-2016'!$A$1:$D$706,3,FALSE)</f>
        <v>93</v>
      </c>
      <c r="P317" s="223">
        <f>VLOOKUP($C317,'AzEDS FY17 11-14-2016'!$A$1:$D$706,4,FALSE)</f>
        <v>90</v>
      </c>
      <c r="Q317" s="749"/>
      <c r="R317" s="454">
        <f t="shared" si="416"/>
        <v>93</v>
      </c>
      <c r="S317" s="455">
        <f t="shared" si="405"/>
        <v>44.561342043175557</v>
      </c>
      <c r="T317" s="230">
        <f t="shared" si="406"/>
        <v>0.47915421551801674</v>
      </c>
      <c r="U317" s="264"/>
      <c r="V317" s="265"/>
      <c r="W317" s="265"/>
      <c r="X317" s="265"/>
      <c r="Y317" s="266"/>
      <c r="Z317" s="265">
        <f t="shared" si="407"/>
        <v>21525.267323961405</v>
      </c>
      <c r="AA317" s="265">
        <f t="shared" si="408"/>
        <v>4451.3906671562845</v>
      </c>
      <c r="AB317" s="265">
        <f t="shared" si="409"/>
        <v>12597.920766648225</v>
      </c>
      <c r="AC317" s="266">
        <f t="shared" si="410"/>
        <v>11727.009377073968</v>
      </c>
      <c r="AD317" s="265">
        <f t="shared" si="418"/>
        <v>21525.267323961405</v>
      </c>
      <c r="AE317" s="265">
        <f t="shared" si="419"/>
        <v>4451.3906671562845</v>
      </c>
      <c r="AF317" s="265">
        <f t="shared" si="420"/>
        <v>12597.920766648225</v>
      </c>
      <c r="AG317" s="266">
        <f t="shared" si="421"/>
        <v>11727.009377073968</v>
      </c>
      <c r="AH317" s="265">
        <f t="shared" si="411"/>
        <v>21525.267323961405</v>
      </c>
      <c r="AI317" s="265">
        <f t="shared" si="412"/>
        <v>6582.212049986997</v>
      </c>
      <c r="AJ317" s="265">
        <f t="shared" si="413"/>
        <v>12623.261411868485</v>
      </c>
      <c r="AK317" s="265">
        <f t="shared" si="414"/>
        <v>11750.59818903937</v>
      </c>
      <c r="AL317" s="266">
        <f t="shared" ref="AL317" si="430">SUM(AH317:AK317)</f>
        <v>52481.338974856262</v>
      </c>
      <c r="AM317" s="347"/>
      <c r="AN317" s="264">
        <f>IFERROR(VLOOKUP($A317,'HH &amp; SI'!$B$4:$Z$494,'HH &amp; SI'!V$503,0),0)</f>
        <v>21231.648706393702</v>
      </c>
      <c r="AO317" s="265">
        <f>IFERROR(VLOOKUP($A317,'HH &amp; SI'!$B$4:$Z$494,'HH &amp; SI'!W$503,0),0)</f>
        <v>6365.4180502547051</v>
      </c>
      <c r="AP317" s="265">
        <f>IFERROR(VLOOKUP($A317,'HH &amp; SI'!$B$4:$Z$494,'HH &amp; SI'!X$503,0),0)</f>
        <v>12508.457777893609</v>
      </c>
      <c r="AQ317" s="265">
        <f>IFERROR(VLOOKUP($A317,'HH &amp; SI'!$B$4:$Z$494,'HH &amp; SI'!Y$503,0),0)</f>
        <v>11621.127749153378</v>
      </c>
      <c r="AR317" s="266">
        <f t="shared" si="422"/>
        <v>51726.652283695395</v>
      </c>
      <c r="AS317" s="347"/>
      <c r="AT317" s="324">
        <f>IFERROR(VLOOKUP(A317,'Afton FY16 Final'!$A$5:$BV$572,'Afton FY16 Final'!$BV$587,0),0)</f>
        <v>0</v>
      </c>
      <c r="AU317" s="347"/>
      <c r="AV317" s="454">
        <v>0</v>
      </c>
      <c r="AW317" s="265">
        <f>IFERROR(VLOOKUP($A317,'HH &amp; SI'!$B$4:$EY$503,'HH &amp; SI'!EX$503,0),0)</f>
        <v>2897.3701968454116</v>
      </c>
      <c r="AX317" s="265">
        <f>IFERROR(VLOOKUP($A317,'HH &amp; SI'!$B$4:$EY$503,'HH &amp; SI'!EY$503,0),0)</f>
        <v>48829.282086849984</v>
      </c>
      <c r="AY317" s="265">
        <f>AX317/$AX$582*'update_State Admin 1004(b)'!$B$30*0.01</f>
        <v>467.33130698972337</v>
      </c>
      <c r="AZ317" s="266">
        <f t="shared" si="423"/>
        <v>48361.950779860257</v>
      </c>
      <c r="BA317" s="264">
        <f t="shared" si="424"/>
        <v>483.61950779860257</v>
      </c>
      <c r="BB317" s="265">
        <f t="shared" si="425"/>
        <v>47878.331272061652</v>
      </c>
      <c r="BC317" s="342" t="str">
        <f t="shared" si="381"/>
        <v/>
      </c>
      <c r="BD317" s="347"/>
      <c r="BE317" s="377">
        <f>'Original Title I &amp; II'!AZ317</f>
        <v>0</v>
      </c>
      <c r="BF317" s="244"/>
      <c r="BG317" s="266">
        <f t="shared" si="417"/>
        <v>47878.331272061652</v>
      </c>
      <c r="BI317" s="203" t="str">
        <f>IFERROR(VLOOKUP(A317,'Title II Hold Harmless'!A$1:B$439,2, FALSE),"")</f>
        <v/>
      </c>
      <c r="BJ317" s="203">
        <f t="shared" si="426"/>
        <v>658.19410691475514</v>
      </c>
      <c r="BK317" s="203">
        <f t="shared" si="427"/>
        <v>658.83083853561561</v>
      </c>
      <c r="BL317" s="203" t="str">
        <f t="shared" si="377"/>
        <v/>
      </c>
      <c r="BM317" s="203">
        <f t="shared" si="378"/>
        <v>658.83083853561561</v>
      </c>
      <c r="BN317" s="200"/>
      <c r="BP317" s="298" t="s">
        <v>1448</v>
      </c>
      <c r="BQ317" s="299" t="str">
        <f t="shared" si="382"/>
        <v>Y</v>
      </c>
      <c r="BR317" s="300" t="s">
        <v>1448</v>
      </c>
      <c r="BT317" s="298" t="str">
        <f t="shared" si="383"/>
        <v>Y</v>
      </c>
      <c r="BU317" s="299" t="str">
        <f t="shared" si="428"/>
        <v>Y</v>
      </c>
      <c r="BV317" s="299" t="str">
        <f t="shared" si="429"/>
        <v>Y</v>
      </c>
      <c r="BW317" s="300" t="str">
        <f t="shared" si="384"/>
        <v>Y</v>
      </c>
      <c r="BY317" s="355">
        <f t="shared" si="385"/>
        <v>0</v>
      </c>
      <c r="BZ317" s="356">
        <f t="shared" si="386"/>
        <v>0</v>
      </c>
      <c r="CA317" s="356">
        <f t="shared" si="387"/>
        <v>0.95</v>
      </c>
      <c r="CB317" s="357">
        <f t="shared" si="388"/>
        <v>0.95</v>
      </c>
      <c r="CD317" s="312">
        <f t="shared" si="389"/>
        <v>312</v>
      </c>
    </row>
    <row r="318" spans="1:82" s="48" customFormat="1" outlineLevel="1" x14ac:dyDescent="0.3">
      <c r="A318" s="202">
        <v>78714000</v>
      </c>
      <c r="B318" s="48">
        <f>VLOOKUP(C318,'NCES ID'!$A$2:$B$3136,2,FALSE)</f>
        <v>400109</v>
      </c>
      <c r="C318" s="48">
        <f>VLOOKUP(A318,'State ID'!$A$2:$B$713,2,FALSE)</f>
        <v>4338</v>
      </c>
      <c r="D318" s="48" t="s">
        <v>336</v>
      </c>
      <c r="E318" s="48" t="s">
        <v>7</v>
      </c>
      <c r="F318" s="755"/>
      <c r="G318" s="755"/>
      <c r="H318" s="755"/>
      <c r="I318" s="755"/>
      <c r="J318" s="755"/>
      <c r="K318" s="755"/>
      <c r="L318" s="454"/>
      <c r="M318" s="455"/>
      <c r="N318" s="456"/>
      <c r="O318" s="209">
        <f>VLOOKUP($C318,'Final SEA Counts'!$A$2:$F$709,5,FALSE)</f>
        <v>412</v>
      </c>
      <c r="P318" s="223">
        <f>VLOOKUP($C318,'Final SEA Counts'!$A$2:$F$709,6,FALSE)</f>
        <v>391</v>
      </c>
      <c r="Q318" s="749"/>
      <c r="R318" s="454">
        <f t="shared" si="416"/>
        <v>412</v>
      </c>
      <c r="S318" s="455">
        <f t="shared" si="405"/>
        <v>193.59427487646269</v>
      </c>
      <c r="T318" s="230">
        <f t="shared" si="406"/>
        <v>0.46988901669044342</v>
      </c>
      <c r="U318" s="264" t="str">
        <f>IFERROR(VLOOKUP($B318,#REF!,8,FALSE),"")</f>
        <v/>
      </c>
      <c r="V318" s="265" t="str">
        <f>IFERROR(VLOOKUP($B318,#REF!,9,FALSE),"")</f>
        <v/>
      </c>
      <c r="W318" s="265" t="str">
        <f>IFERROR(VLOOKUP($B318,#REF!,10,FALSE),"")</f>
        <v/>
      </c>
      <c r="X318" s="265" t="str">
        <f>IFERROR(VLOOKUP($B318,#REF!,11,FALSE),"")</f>
        <v/>
      </c>
      <c r="Y318" s="266" t="str">
        <f>IFERROR(VLOOKUP($B318,#REF!,12,FALSE),"")</f>
        <v/>
      </c>
      <c r="Z318" s="265">
        <f t="shared" si="407"/>
        <v>93515.328040765657</v>
      </c>
      <c r="AA318" s="265">
        <f t="shared" si="408"/>
        <v>19338.819453978969</v>
      </c>
      <c r="AB318" s="265">
        <f t="shared" si="409"/>
        <v>54730.966886216178</v>
      </c>
      <c r="AC318" s="266">
        <f t="shared" si="410"/>
        <v>50947.340738176907</v>
      </c>
      <c r="AD318" s="265">
        <f t="shared" si="418"/>
        <v>93515.328040765657</v>
      </c>
      <c r="AE318" s="265">
        <f t="shared" si="419"/>
        <v>19338.819453978969</v>
      </c>
      <c r="AF318" s="265">
        <f t="shared" si="420"/>
        <v>54730.966886216178</v>
      </c>
      <c r="AG318" s="266">
        <f t="shared" si="421"/>
        <v>50947.340738176907</v>
      </c>
      <c r="AH318" s="265">
        <f t="shared" si="411"/>
        <v>93515.328040765657</v>
      </c>
      <c r="AI318" s="265">
        <f t="shared" si="412"/>
        <v>21469.640836809682</v>
      </c>
      <c r="AJ318" s="265">
        <f t="shared" si="413"/>
        <v>54756.30753143644</v>
      </c>
      <c r="AK318" s="265">
        <f t="shared" si="414"/>
        <v>50970.929550142311</v>
      </c>
      <c r="AL318" s="266">
        <f t="shared" si="400"/>
        <v>220712.20595915409</v>
      </c>
      <c r="AM318" s="347"/>
      <c r="AN318" s="264">
        <f>IFERROR(VLOOKUP($A318,'HH &amp; SI'!$B$4:$Z$494,'HH &amp; SI'!V$503,0),0)</f>
        <v>112015.74347171138</v>
      </c>
      <c r="AO318" s="265">
        <f>IFERROR(VLOOKUP($A318,'HH &amp; SI'!$B$4:$Z$494,'HH &amp; SI'!W$503,0),0)</f>
        <v>24455.804509911439</v>
      </c>
      <c r="AP318" s="265">
        <f>IFERROR(VLOOKUP($A318,'HH &amp; SI'!$B$4:$Z$494,'HH &amp; SI'!X$503,0),0)</f>
        <v>60524.986197136212</v>
      </c>
      <c r="AQ318" s="265">
        <f>IFERROR(VLOOKUP($A318,'HH &amp; SI'!$B$4:$Z$494,'HH &amp; SI'!Y$503,0),0)</f>
        <v>57224.152965635229</v>
      </c>
      <c r="AR318" s="266">
        <f t="shared" si="422"/>
        <v>254220.68714439427</v>
      </c>
      <c r="AS318" s="347"/>
      <c r="AT318" s="324">
        <f>IFERROR(VLOOKUP(A318,'Afton FY16 Final'!$A$5:$BV$572,'Afton FY16 Final'!$BV$587,0),0)</f>
        <v>256040.06097961942</v>
      </c>
      <c r="AU318" s="347"/>
      <c r="AV318" s="454">
        <v>0</v>
      </c>
      <c r="AW318" s="265">
        <f>IFERROR(VLOOKUP($A318,'HH &amp; SI'!$B$4:$EY$503,'HH &amp; SI'!EX$503,0),0)</f>
        <v>0</v>
      </c>
      <c r="AX318" s="265">
        <f>IFERROR(VLOOKUP($A318,'HH &amp; SI'!$B$4:$EY$503,'HH &amp; SI'!EY$503,0),0)</f>
        <v>254220.68714439427</v>
      </c>
      <c r="AY318" s="265">
        <f>AX318/$AX$582*'update_State Admin 1004(b)'!$B$30*0.01</f>
        <v>2433.0746001078383</v>
      </c>
      <c r="AZ318" s="266">
        <f t="shared" si="423"/>
        <v>251787.61254428641</v>
      </c>
      <c r="BA318" s="264">
        <f t="shared" si="424"/>
        <v>2517.8761254428641</v>
      </c>
      <c r="BB318" s="265">
        <f t="shared" si="425"/>
        <v>249269.73641884356</v>
      </c>
      <c r="BC318" s="342">
        <f t="shared" si="381"/>
        <v>0.97355755761472507</v>
      </c>
      <c r="BD318" s="347"/>
      <c r="BE318" s="377" t="str">
        <f>'Original Title I &amp; II'!AZ318</f>
        <v/>
      </c>
      <c r="BF318" s="244" t="str">
        <f>IF(BE318&lt;0,BB318*BE318/100,"")</f>
        <v/>
      </c>
      <c r="BG318" s="266">
        <f t="shared" si="417"/>
        <v>249269.73641884356</v>
      </c>
      <c r="BI318" s="203">
        <f>IFERROR(VLOOKUP(A318,'Title II Hold Harmless'!A$1:B$439,2, FALSE),"")</f>
        <v>47991</v>
      </c>
      <c r="BJ318" s="203">
        <f t="shared" si="426"/>
        <v>50856.899302011501</v>
      </c>
      <c r="BK318" s="203">
        <f t="shared" si="427"/>
        <v>50906.097852384875</v>
      </c>
      <c r="BL318" s="203" t="str">
        <f t="shared" si="377"/>
        <v/>
      </c>
      <c r="BM318" s="203">
        <f t="shared" si="378"/>
        <v>50906.097852384875</v>
      </c>
      <c r="BN318" s="200"/>
      <c r="BP318" s="298" t="s">
        <v>1448</v>
      </c>
      <c r="BQ318" s="299" t="str">
        <f t="shared" si="382"/>
        <v>Y</v>
      </c>
      <c r="BR318" s="300" t="s">
        <v>1448</v>
      </c>
      <c r="BT318" s="298" t="str">
        <f t="shared" si="383"/>
        <v>Y</v>
      </c>
      <c r="BU318" s="299" t="str">
        <f t="shared" si="428"/>
        <v>Y</v>
      </c>
      <c r="BV318" s="299" t="str">
        <f t="shared" si="429"/>
        <v>Y</v>
      </c>
      <c r="BW318" s="300" t="str">
        <f t="shared" si="384"/>
        <v>Y</v>
      </c>
      <c r="BY318" s="355">
        <f t="shared" si="385"/>
        <v>0</v>
      </c>
      <c r="BZ318" s="356">
        <f t="shared" si="386"/>
        <v>0</v>
      </c>
      <c r="CA318" s="356">
        <f t="shared" si="387"/>
        <v>0.95</v>
      </c>
      <c r="CB318" s="357">
        <f t="shared" si="388"/>
        <v>0.95</v>
      </c>
      <c r="CD318" s="312">
        <f t="shared" si="389"/>
        <v>313</v>
      </c>
    </row>
    <row r="319" spans="1:82" s="909" customFormat="1" outlineLevel="1" x14ac:dyDescent="0.3">
      <c r="A319" s="908">
        <v>78267000</v>
      </c>
      <c r="B319" s="909" t="e">
        <f>VLOOKUP(C319,'NCES ID'!$A$2:$B$3136,2,FALSE)</f>
        <v>#N/A</v>
      </c>
      <c r="C319" s="909" t="e">
        <f>VLOOKUP(A319,'State ID'!$A$2:$B$713,2,FALSE)</f>
        <v>#N/A</v>
      </c>
      <c r="D319" s="909" t="s">
        <v>1394</v>
      </c>
      <c r="E319" s="909" t="s">
        <v>7</v>
      </c>
      <c r="F319" s="910"/>
      <c r="G319" s="910"/>
      <c r="H319" s="910"/>
      <c r="I319" s="910"/>
      <c r="J319" s="910"/>
      <c r="K319" s="910"/>
      <c r="L319" s="911"/>
      <c r="M319" s="912"/>
      <c r="N319" s="913"/>
      <c r="O319" s="914">
        <f>ROUND(570*P319/SUM($P$319:$P$321),0)</f>
        <v>201</v>
      </c>
      <c r="P319" s="915">
        <v>166</v>
      </c>
      <c r="Q319" s="916"/>
      <c r="R319" s="911">
        <f t="shared" ref="R319:R320" si="431">O319</f>
        <v>201</v>
      </c>
      <c r="S319" s="912">
        <f t="shared" ref="S319:S320" si="432">P319*$B$358</f>
        <v>82.190919768523798</v>
      </c>
      <c r="T319" s="917">
        <f t="shared" ref="T319:T320" si="433">S319/R319</f>
        <v>0.40891004859962088</v>
      </c>
      <c r="U319" s="918"/>
      <c r="V319" s="919"/>
      <c r="W319" s="919"/>
      <c r="X319" s="919"/>
      <c r="Y319" s="920"/>
      <c r="Z319" s="919">
        <f t="shared" ref="Z319:Z320" si="434">$S319*U$359</f>
        <v>39702.159730862142</v>
      </c>
      <c r="AA319" s="919">
        <f t="shared" ref="AA319:AA320" si="435">$S319*V$359</f>
        <v>8210.3427860882584</v>
      </c>
      <c r="AB319" s="919">
        <f t="shared" ref="AB319:AB320" si="436">$S319*W$359</f>
        <v>23236.164969595615</v>
      </c>
      <c r="AC319" s="920">
        <f t="shared" ref="AC319:AC320" si="437">$S319*X$359</f>
        <v>21629.817295491983</v>
      </c>
      <c r="AD319" s="919">
        <f t="shared" ref="AD319:AD320" si="438">IF(BT319="Y",Z319,"")</f>
        <v>39702.159730862142</v>
      </c>
      <c r="AE319" s="919">
        <f t="shared" ref="AE319:AE320" si="439">IF(BU319="Y",AA319,"")</f>
        <v>8210.3427860882584</v>
      </c>
      <c r="AF319" s="919">
        <f t="shared" ref="AF319:AF320" si="440">IF(BV319="Y",AB319,"")</f>
        <v>23236.164969595615</v>
      </c>
      <c r="AG319" s="920">
        <f t="shared" ref="AG319:AG320" si="441">IF(BW319="Y",AC319,"")</f>
        <v>21629.817295491983</v>
      </c>
      <c r="AH319" s="919">
        <f t="shared" ref="AH319:AH320" si="442">IF(AD319="","",AD319+AD$359)</f>
        <v>39702.159730862142</v>
      </c>
      <c r="AI319" s="919">
        <f t="shared" ref="AI319:AI320" si="443">IF(AE319="","",AE319+AE$359)</f>
        <v>10341.164168918971</v>
      </c>
      <c r="AJ319" s="919">
        <f t="shared" ref="AJ319:AJ320" si="444">IF(AF319="","",AF319+AF$359)</f>
        <v>23261.505614815873</v>
      </c>
      <c r="AK319" s="919">
        <f t="shared" ref="AK319:AK320" si="445">IF(AG319="","",AG319+AG$359)</f>
        <v>21653.406107457384</v>
      </c>
      <c r="AL319" s="920">
        <f t="shared" ref="AL319:AL320" si="446">SUM(AH319:AK319)</f>
        <v>94958.235622054373</v>
      </c>
      <c r="AM319" s="921"/>
      <c r="AN319" s="918">
        <f>IFERROR(VLOOKUP($A319,'HH &amp; SI'!$B$4:$Z$494,'HH &amp; SI'!V$503,0),0)</f>
        <v>40582.581190333382</v>
      </c>
      <c r="AO319" s="919">
        <f>IFERROR(VLOOKUP($A319,'HH &amp; SI'!$B$4:$Z$494,'HH &amp; SI'!W$503,0),0)</f>
        <v>10000.564029476085</v>
      </c>
      <c r="AP319" s="919">
        <f>IFERROR(VLOOKUP($A319,'HH &amp; SI'!$B$4:$Z$494,'HH &amp; SI'!X$503,0),0)</f>
        <v>23049.951303360591</v>
      </c>
      <c r="AQ319" s="919">
        <f>IFERROR(VLOOKUP($A319,'HH &amp; SI'!$B$4:$Z$494,'HH &amp; SI'!Y$503,0),0)</f>
        <v>21414.824550275258</v>
      </c>
      <c r="AR319" s="920">
        <f t="shared" ref="AR319:AR320" si="447">SUM(AN319:AQ319)</f>
        <v>95047.921073445308</v>
      </c>
      <c r="AS319" s="921"/>
      <c r="AT319" s="922">
        <f>IFERROR(VLOOKUP(A319,'Afton FY16 Final'!$A$5:$BV$572,'Afton FY16 Final'!$BV$587,0),0)</f>
        <v>0</v>
      </c>
      <c r="AU319" s="921"/>
      <c r="AV319" s="911">
        <v>0</v>
      </c>
      <c r="AW319" s="919">
        <f>IFERROR(VLOOKUP($A319,'HH &amp; SI'!$B$4:$EY$503,'HH &amp; SI'!EX$503,0),0)</f>
        <v>5323.9287994116021</v>
      </c>
      <c r="AX319" s="919">
        <f>IFERROR(VLOOKUP($A319,'HH &amp; SI'!$B$4:$EY$503,'HH &amp; SI'!EY$503,0),0)</f>
        <v>89723.992274033706</v>
      </c>
      <c r="AY319" s="919">
        <f>AX319/$AX$582*'update_State Admin 1004(b)'!$B$30*0.01</f>
        <v>858.72306095305544</v>
      </c>
      <c r="AZ319" s="920">
        <f t="shared" ref="AZ319:AZ320" si="448">AX319-AY319</f>
        <v>88865.269213080654</v>
      </c>
      <c r="BA319" s="918">
        <f t="shared" ref="BA319:BA320" si="449">AZ319*0.01</f>
        <v>888.6526921308066</v>
      </c>
      <c r="BB319" s="919">
        <f t="shared" ref="BB319:BB320" si="450">AZ319-BA319</f>
        <v>87976.616520949843</v>
      </c>
      <c r="BC319" s="923" t="str">
        <f t="shared" ref="BC319:BC320" si="451">IFERROR(BB319/AT319,"")</f>
        <v/>
      </c>
      <c r="BD319" s="921"/>
      <c r="BE319" s="924">
        <f>'Original Title I &amp; II'!AZ317</f>
        <v>0</v>
      </c>
      <c r="BF319" s="925"/>
      <c r="BG319" s="920">
        <f t="shared" ref="BG319:BG320" si="452">IF(BF319&lt;0,BB319+BF319,BB319)</f>
        <v>87976.616520949843</v>
      </c>
      <c r="BI319" s="926" t="str">
        <f>IFERROR(VLOOKUP(A319,'Title II Hold Harmless'!A$1:B$439,2, FALSE),"")</f>
        <v/>
      </c>
      <c r="BJ319" s="926">
        <f t="shared" si="426"/>
        <v>1237.717228048683</v>
      </c>
      <c r="BK319" s="926">
        <f t="shared" ref="BK319:BK320" si="453">$BI$588*BJ319</f>
        <v>1238.9145856191974</v>
      </c>
      <c r="BL319" s="926"/>
      <c r="BM319" s="926">
        <f t="shared" ref="BM319:BM320" si="454">IF(BL319&lt;0,BK319+BL319,BK319)</f>
        <v>1238.9145856191974</v>
      </c>
      <c r="BN319" s="926"/>
      <c r="BP319" s="927" t="s">
        <v>1448</v>
      </c>
      <c r="BQ319" s="928" t="str">
        <f t="shared" ref="BQ319:BQ320" si="455">IF(OR(BP319="y",BP319="n"),"Y","N")</f>
        <v>Y</v>
      </c>
      <c r="BR319" s="929" t="s">
        <v>1448</v>
      </c>
      <c r="BT319" s="927" t="str">
        <f t="shared" ref="BT319:BT320" si="456">IF(AND(S319&gt;=10,T319&gt;0.02),"Y","N")</f>
        <v>Y</v>
      </c>
      <c r="BU319" s="928" t="str">
        <f t="shared" ref="BU319:BU320" si="457">IF(AND(BT319="Y",(OR(T319&gt;0.15,S319&gt;6500))),"Y","N")</f>
        <v>Y</v>
      </c>
      <c r="BV319" s="928" t="str">
        <f t="shared" ref="BV319:BV320" si="458">IF(AND(BT319="Y",T319&gt;=0.05),"Y","N")</f>
        <v>Y</v>
      </c>
      <c r="BW319" s="929" t="str">
        <f t="shared" ref="BW319:BW320" si="459">BV319</f>
        <v>Y</v>
      </c>
      <c r="BY319" s="930">
        <f t="shared" ref="BY319:BY320" si="460">IF(BT319="NA","NA",IF($T319&lt;0.15,0.85,0))</f>
        <v>0</v>
      </c>
      <c r="BZ319" s="931">
        <f t="shared" ref="BZ319:BZ320" si="461">IF(BT319="NA","NA",IF(AND($T319&gt;=0.15,$T319&lt;0.3),0.9,0))</f>
        <v>0</v>
      </c>
      <c r="CA319" s="931">
        <f t="shared" ref="CA319:CA320" si="462">IF(BT319="NA","NA",IF($T319&gt;=0.3,0.95,0))</f>
        <v>0.95</v>
      </c>
      <c r="CB319" s="932">
        <f t="shared" ref="CB319:CB320" si="463">IF(BY319="NA","NA",MAX(BY319:CA319))</f>
        <v>0.95</v>
      </c>
      <c r="CD319" s="933">
        <f t="shared" ref="CD319:CD320" si="464">CD316+1</f>
        <v>312</v>
      </c>
    </row>
    <row r="320" spans="1:82" s="909" customFormat="1" outlineLevel="1" x14ac:dyDescent="0.3">
      <c r="A320" s="908">
        <v>78277000</v>
      </c>
      <c r="B320" s="909" t="e">
        <f>VLOOKUP(C320,'NCES ID'!$A$2:$B$3136,2,FALSE)</f>
        <v>#N/A</v>
      </c>
      <c r="C320" s="909" t="e">
        <f>VLOOKUP(A320,'State ID'!$A$2:$B$713,2,FALSE)</f>
        <v>#N/A</v>
      </c>
      <c r="D320" s="909" t="s">
        <v>1285</v>
      </c>
      <c r="E320" s="909" t="s">
        <v>7</v>
      </c>
      <c r="F320" s="910"/>
      <c r="G320" s="910"/>
      <c r="H320" s="910"/>
      <c r="I320" s="910"/>
      <c r="J320" s="910"/>
      <c r="K320" s="910"/>
      <c r="L320" s="911"/>
      <c r="M320" s="912"/>
      <c r="N320" s="913"/>
      <c r="O320" s="914">
        <f t="shared" ref="O320:O321" si="465">ROUND(570*P320/SUM($P$319:$P$321),0)</f>
        <v>159</v>
      </c>
      <c r="P320" s="915">
        <v>131</v>
      </c>
      <c r="Q320" s="916"/>
      <c r="R320" s="911">
        <f t="shared" si="431"/>
        <v>159</v>
      </c>
      <c r="S320" s="912">
        <f t="shared" si="432"/>
        <v>64.861508973955523</v>
      </c>
      <c r="T320" s="917">
        <f t="shared" si="433"/>
        <v>0.40793401870412277</v>
      </c>
      <c r="U320" s="918"/>
      <c r="V320" s="919"/>
      <c r="W320" s="919"/>
      <c r="X320" s="919"/>
      <c r="Y320" s="920"/>
      <c r="Z320" s="919">
        <f t="shared" si="434"/>
        <v>31331.222438210483</v>
      </c>
      <c r="AA320" s="919">
        <f t="shared" si="435"/>
        <v>6479.2464155274802</v>
      </c>
      <c r="AB320" s="919">
        <f t="shared" si="436"/>
        <v>18336.973560343526</v>
      </c>
      <c r="AC320" s="920">
        <f t="shared" si="437"/>
        <v>17069.313648852105</v>
      </c>
      <c r="AD320" s="919">
        <f t="shared" si="438"/>
        <v>31331.222438210483</v>
      </c>
      <c r="AE320" s="919">
        <f t="shared" si="439"/>
        <v>6479.2464155274802</v>
      </c>
      <c r="AF320" s="919">
        <f t="shared" si="440"/>
        <v>18336.973560343526</v>
      </c>
      <c r="AG320" s="920">
        <f t="shared" si="441"/>
        <v>17069.313648852105</v>
      </c>
      <c r="AH320" s="919">
        <f t="shared" si="442"/>
        <v>31331.222438210483</v>
      </c>
      <c r="AI320" s="919">
        <f t="shared" si="443"/>
        <v>8610.0677983581918</v>
      </c>
      <c r="AJ320" s="919">
        <f t="shared" si="444"/>
        <v>18362.314205563784</v>
      </c>
      <c r="AK320" s="919">
        <f t="shared" si="445"/>
        <v>17092.902460817506</v>
      </c>
      <c r="AL320" s="920">
        <f t="shared" si="446"/>
        <v>75396.506902949972</v>
      </c>
      <c r="AM320" s="921"/>
      <c r="AN320" s="918">
        <f>IFERROR(VLOOKUP($A320,'HH &amp; SI'!$B$4:$Z$494,'HH &amp; SI'!V$503,0),0)</f>
        <v>32026.01286707032</v>
      </c>
      <c r="AO320" s="919">
        <f>IFERROR(VLOOKUP($A320,'HH &amp; SI'!$B$4:$Z$494,'HH &amp; SI'!W$503,0),0)</f>
        <v>8326.4836443083404</v>
      </c>
      <c r="AP320" s="919">
        <f>IFERROR(VLOOKUP($A320,'HH &amp; SI'!$B$4:$Z$494,'HH &amp; SI'!X$503,0),0)</f>
        <v>18195.316127158691</v>
      </c>
      <c r="AQ320" s="919">
        <f>IFERROR(VLOOKUP($A320,'HH &amp; SI'!$B$4:$Z$494,'HH &amp; SI'!Y$503,0),0)</f>
        <v>16904.569444495439</v>
      </c>
      <c r="AR320" s="920">
        <f t="shared" si="447"/>
        <v>75452.38208303279</v>
      </c>
      <c r="AS320" s="921"/>
      <c r="AT320" s="922">
        <f>IFERROR(VLOOKUP(A320,'Afton FY16 Final'!$A$5:$BV$572,'Afton FY16 Final'!$BV$587,0),0)</f>
        <v>0</v>
      </c>
      <c r="AU320" s="921"/>
      <c r="AV320" s="911">
        <v>0</v>
      </c>
      <c r="AW320" s="919">
        <f>IFERROR(VLOOKUP($A320,'HH &amp; SI'!$B$4:$EY$503,'HH &amp; SI'!EX$503,0),0)</f>
        <v>4226.3218955168995</v>
      </c>
      <c r="AX320" s="919">
        <f>IFERROR(VLOOKUP($A320,'HH &amp; SI'!$B$4:$EY$503,'HH &amp; SI'!EY$503,0),0)</f>
        <v>71226.06018751589</v>
      </c>
      <c r="AY320" s="919">
        <f>AX320/$AX$582*'update_State Admin 1004(b)'!$B$30*0.01</f>
        <v>681.68456255318699</v>
      </c>
      <c r="AZ320" s="920">
        <f t="shared" si="448"/>
        <v>70544.375624962704</v>
      </c>
      <c r="BA320" s="918">
        <f t="shared" si="449"/>
        <v>705.44375624962709</v>
      </c>
      <c r="BB320" s="919">
        <f t="shared" si="450"/>
        <v>69838.931868713073</v>
      </c>
      <c r="BC320" s="923" t="str">
        <f t="shared" si="451"/>
        <v/>
      </c>
      <c r="BD320" s="921"/>
      <c r="BE320" s="924" t="str">
        <f>'Original Title I &amp; II'!AZ318</f>
        <v/>
      </c>
      <c r="BF320" s="925"/>
      <c r="BG320" s="920">
        <f t="shared" si="452"/>
        <v>69838.931868713073</v>
      </c>
      <c r="BI320" s="926" t="str">
        <f>IFERROR(VLOOKUP(A320,'Title II Hold Harmless'!A$1:B$439,2, FALSE),"")</f>
        <v/>
      </c>
      <c r="BJ320" s="926">
        <f t="shared" si="426"/>
        <v>977.05818828202052</v>
      </c>
      <c r="BK320" s="926">
        <f t="shared" si="453"/>
        <v>978.00338641941482</v>
      </c>
      <c r="BL320" s="926"/>
      <c r="BM320" s="926">
        <f t="shared" si="454"/>
        <v>978.00338641941482</v>
      </c>
      <c r="BN320" s="926"/>
      <c r="BP320" s="927" t="s">
        <v>1448</v>
      </c>
      <c r="BQ320" s="928" t="str">
        <f t="shared" si="455"/>
        <v>Y</v>
      </c>
      <c r="BR320" s="929" t="s">
        <v>1448</v>
      </c>
      <c r="BT320" s="927" t="str">
        <f t="shared" si="456"/>
        <v>Y</v>
      </c>
      <c r="BU320" s="928" t="str">
        <f t="shared" si="457"/>
        <v>Y</v>
      </c>
      <c r="BV320" s="928" t="str">
        <f t="shared" si="458"/>
        <v>Y</v>
      </c>
      <c r="BW320" s="929" t="str">
        <f t="shared" si="459"/>
        <v>Y</v>
      </c>
      <c r="BY320" s="930">
        <f t="shared" si="460"/>
        <v>0</v>
      </c>
      <c r="BZ320" s="931">
        <f t="shared" si="461"/>
        <v>0</v>
      </c>
      <c r="CA320" s="931">
        <f t="shared" si="462"/>
        <v>0.95</v>
      </c>
      <c r="CB320" s="932">
        <f t="shared" si="463"/>
        <v>0.95</v>
      </c>
      <c r="CD320" s="933">
        <f t="shared" si="464"/>
        <v>313</v>
      </c>
    </row>
    <row r="321" spans="1:82" s="909" customFormat="1" outlineLevel="1" x14ac:dyDescent="0.3">
      <c r="A321" s="908">
        <v>78559000</v>
      </c>
      <c r="B321" s="909">
        <f>VLOOKUP(C321,'NCES ID'!$A$2:$B$3136,2,FALSE)</f>
        <v>400788</v>
      </c>
      <c r="C321" s="909">
        <f>VLOOKUP(A321,'State ID'!$A$2:$B$713,2,FALSE)</f>
        <v>90273</v>
      </c>
      <c r="D321" s="909" t="s">
        <v>1654</v>
      </c>
      <c r="E321" s="909" t="s">
        <v>7</v>
      </c>
      <c r="F321" s="910"/>
      <c r="G321" s="910"/>
      <c r="H321" s="910"/>
      <c r="I321" s="910"/>
      <c r="J321" s="910"/>
      <c r="K321" s="910"/>
      <c r="L321" s="911"/>
      <c r="M321" s="912"/>
      <c r="N321" s="913"/>
      <c r="O321" s="934">
        <f t="shared" si="465"/>
        <v>210</v>
      </c>
      <c r="P321" s="915">
        <v>173</v>
      </c>
      <c r="Q321" s="916"/>
      <c r="R321" s="911">
        <f t="shared" si="416"/>
        <v>210</v>
      </c>
      <c r="S321" s="912">
        <f t="shared" ref="S321:S333" si="466">P321*$B$358</f>
        <v>85.656801927437456</v>
      </c>
      <c r="T321" s="917">
        <f t="shared" si="406"/>
        <v>0.4078895329877974</v>
      </c>
      <c r="U321" s="918"/>
      <c r="V321" s="919"/>
      <c r="W321" s="919"/>
      <c r="X321" s="919"/>
      <c r="Y321" s="920"/>
      <c r="Z321" s="919">
        <f t="shared" ref="Z321:Z337" si="467">$S321*U$359</f>
        <v>41376.347189392473</v>
      </c>
      <c r="AA321" s="919">
        <f t="shared" ref="AA321:AA337" si="468">$S321*V$359</f>
        <v>8556.5620602004128</v>
      </c>
      <c r="AB321" s="919">
        <f t="shared" ref="AB321:AB337" si="469">$S321*W$359</f>
        <v>24216.003251446033</v>
      </c>
      <c r="AC321" s="920">
        <f t="shared" ref="AC321:AC337" si="470">$S321*X$359</f>
        <v>22541.918024819959</v>
      </c>
      <c r="AD321" s="919">
        <f t="shared" si="418"/>
        <v>41376.347189392473</v>
      </c>
      <c r="AE321" s="919">
        <f t="shared" si="419"/>
        <v>8556.5620602004128</v>
      </c>
      <c r="AF321" s="919">
        <f t="shared" si="420"/>
        <v>24216.003251446033</v>
      </c>
      <c r="AG321" s="920">
        <f t="shared" si="421"/>
        <v>22541.918024819959</v>
      </c>
      <c r="AH321" s="919">
        <f t="shared" ref="AH321:AH330" si="471">IF(AD321="","",AD321+AD$359)</f>
        <v>41376.347189392473</v>
      </c>
      <c r="AI321" s="919">
        <f t="shared" ref="AI321:AI330" si="472">IF(AE321="","",AE321+AE$359)</f>
        <v>10687.383443031125</v>
      </c>
      <c r="AJ321" s="919">
        <f t="shared" ref="AJ321:AJ330" si="473">IF(AF321="","",AF321+AF$359)</f>
        <v>24241.343896666291</v>
      </c>
      <c r="AK321" s="919">
        <f t="shared" ref="AK321:AK330" si="474">IF(AG321="","",AG321+AG$359)</f>
        <v>22565.50683678536</v>
      </c>
      <c r="AL321" s="920">
        <f t="shared" si="400"/>
        <v>98870.58136587526</v>
      </c>
      <c r="AM321" s="921"/>
      <c r="AN321" s="918">
        <f>IFERROR(VLOOKUP($A321,'HH &amp; SI'!$B$4:$Z$494,'HH &amp; SI'!V$503,0),0)</f>
        <v>42293.894854985992</v>
      </c>
      <c r="AO321" s="919">
        <f>IFERROR(VLOOKUP($A321,'HH &amp; SI'!$B$4:$Z$494,'HH &amp; SI'!W$503,0),0)</f>
        <v>10335.380106509632</v>
      </c>
      <c r="AP321" s="919">
        <f>IFERROR(VLOOKUP($A321,'HH &amp; SI'!$B$4:$Z$494,'HH &amp; SI'!X$503,0),0)</f>
        <v>24020.878338600971</v>
      </c>
      <c r="AQ321" s="919">
        <f>IFERROR(VLOOKUP($A321,'HH &amp; SI'!$B$4:$Z$494,'HH &amp; SI'!Y$503,0),0)</f>
        <v>22316.875571431217</v>
      </c>
      <c r="AR321" s="920">
        <f t="shared" si="422"/>
        <v>98967.028871527815</v>
      </c>
      <c r="AS321" s="921"/>
      <c r="AT321" s="922">
        <f>IFERROR(VLOOKUP(A321,'Afton FY16 Final'!$A$5:$BV$572,'Afton FY16 Final'!$BV$587,0),0)</f>
        <v>238091.31104697479</v>
      </c>
      <c r="AU321" s="921"/>
      <c r="AV321" s="911">
        <v>0</v>
      </c>
      <c r="AW321" s="919">
        <f>IFERROR(VLOOKUP($A321,'HH &amp; SI'!$B$4:$EY$503,'HH &amp; SI'!EX$503,0),0)</f>
        <v>0</v>
      </c>
      <c r="AX321" s="919">
        <f>IFERROR(VLOOKUP($A321,'HH &amp; SI'!$B$4:$EY$503,'HH &amp; SI'!EY$503,0),0)</f>
        <v>98967.028871527815</v>
      </c>
      <c r="AY321" s="919">
        <f>AX321/$AX$582*'update_State Admin 1004(b)'!$B$30*0.01</f>
        <v>947.18556109749341</v>
      </c>
      <c r="AZ321" s="920">
        <f t="shared" si="423"/>
        <v>98019.843310430326</v>
      </c>
      <c r="BA321" s="918">
        <f t="shared" si="424"/>
        <v>980.19843310430326</v>
      </c>
      <c r="BB321" s="919">
        <f t="shared" si="425"/>
        <v>97039.64487732602</v>
      </c>
      <c r="BC321" s="923">
        <f t="shared" si="381"/>
        <v>0.40757323083571223</v>
      </c>
      <c r="BD321" s="921"/>
      <c r="BE321" s="924">
        <f>'Original Title I &amp; II'!AZ319</f>
        <v>0</v>
      </c>
      <c r="BF321" s="925"/>
      <c r="BG321" s="920">
        <f t="shared" si="417"/>
        <v>97039.64487732602</v>
      </c>
      <c r="BI321" s="926" t="str">
        <f>IFERROR(VLOOKUP(A321,'Title II Hold Harmless'!A$1:B$439,2, FALSE),"")</f>
        <v/>
      </c>
      <c r="BJ321" s="926">
        <f t="shared" si="426"/>
        <v>1290.3319158157105</v>
      </c>
      <c r="BK321" s="926">
        <f t="shared" ref="BK321:BK355" si="475">$BI$588*BJ321</f>
        <v>1291.5801724068497</v>
      </c>
      <c r="BL321" s="926"/>
      <c r="BM321" s="926">
        <f t="shared" si="378"/>
        <v>1291.5801724068497</v>
      </c>
      <c r="BN321" s="926"/>
      <c r="BP321" s="927" t="s">
        <v>1448</v>
      </c>
      <c r="BQ321" s="928" t="str">
        <f t="shared" si="382"/>
        <v>Y</v>
      </c>
      <c r="BR321" s="929" t="s">
        <v>1448</v>
      </c>
      <c r="BT321" s="927" t="str">
        <f t="shared" si="383"/>
        <v>Y</v>
      </c>
      <c r="BU321" s="928" t="str">
        <f t="shared" si="428"/>
        <v>Y</v>
      </c>
      <c r="BV321" s="928" t="str">
        <f t="shared" si="429"/>
        <v>Y</v>
      </c>
      <c r="BW321" s="929" t="str">
        <f t="shared" si="384"/>
        <v>Y</v>
      </c>
      <c r="BY321" s="930">
        <f t="shared" si="385"/>
        <v>0</v>
      </c>
      <c r="BZ321" s="931">
        <f t="shared" si="386"/>
        <v>0</v>
      </c>
      <c r="CA321" s="931">
        <f t="shared" si="387"/>
        <v>0.95</v>
      </c>
      <c r="CB321" s="932">
        <f t="shared" si="388"/>
        <v>0.95</v>
      </c>
      <c r="CD321" s="933">
        <f>CD318+1</f>
        <v>314</v>
      </c>
    </row>
    <row r="322" spans="1:82" s="48" customFormat="1" outlineLevel="1" x14ac:dyDescent="0.3">
      <c r="A322" s="202">
        <v>78776000</v>
      </c>
      <c r="B322" s="48">
        <f>VLOOKUP(C322,'NCES ID'!$A$2:$B$3136,2,FALSE)</f>
        <v>400153</v>
      </c>
      <c r="C322" s="48">
        <f>VLOOKUP(A322,'State ID'!$A$2:$B$713,2,FALSE)</f>
        <v>6379</v>
      </c>
      <c r="D322" s="48" t="s">
        <v>338</v>
      </c>
      <c r="E322" s="48" t="s">
        <v>7</v>
      </c>
      <c r="F322" s="755"/>
      <c r="G322" s="755"/>
      <c r="H322" s="755"/>
      <c r="I322" s="755"/>
      <c r="J322" s="755"/>
      <c r="K322" s="755"/>
      <c r="L322" s="454"/>
      <c r="M322" s="455"/>
      <c r="N322" s="456"/>
      <c r="O322" s="209">
        <f>VLOOKUP($C322,'Final SEA Counts'!$A$2:$F$709,5,FALSE)</f>
        <v>63</v>
      </c>
      <c r="P322" s="223">
        <f>VLOOKUP($C322,'Final SEA Counts'!$A$2:$F$709,6,FALSE)</f>
        <v>22</v>
      </c>
      <c r="Q322" s="749"/>
      <c r="R322" s="454">
        <f t="shared" si="416"/>
        <v>63</v>
      </c>
      <c r="S322" s="455">
        <f t="shared" si="466"/>
        <v>10.892772499442913</v>
      </c>
      <c r="T322" s="230">
        <f t="shared" si="406"/>
        <v>0.17290115078480814</v>
      </c>
      <c r="U322" s="264" t="str">
        <f>IFERROR(VLOOKUP($B322,#REF!,8,FALSE),"")</f>
        <v/>
      </c>
      <c r="V322" s="265" t="str">
        <f>IFERROR(VLOOKUP($B322,#REF!,9,FALSE),"")</f>
        <v/>
      </c>
      <c r="W322" s="265" t="str">
        <f>IFERROR(VLOOKUP($B322,#REF!,10,FALSE),"")</f>
        <v/>
      </c>
      <c r="X322" s="265" t="str">
        <f>IFERROR(VLOOKUP($B322,#REF!,11,FALSE),"")</f>
        <v/>
      </c>
      <c r="Y322" s="266" t="str">
        <f>IFERROR(VLOOKUP($B322,#REF!,12,FALSE),"")</f>
        <v/>
      </c>
      <c r="Z322" s="265">
        <f t="shared" si="467"/>
        <v>5261.7320125238984</v>
      </c>
      <c r="AA322" s="265">
        <f t="shared" si="468"/>
        <v>1088.1177186382029</v>
      </c>
      <c r="AB322" s="265">
        <f t="shared" si="469"/>
        <v>3079.4917429584548</v>
      </c>
      <c r="AC322" s="266">
        <f t="shared" si="470"/>
        <v>2866.6022921736362</v>
      </c>
      <c r="AD322" s="265">
        <f t="shared" si="418"/>
        <v>5261.7320125238984</v>
      </c>
      <c r="AE322" s="265">
        <f t="shared" si="419"/>
        <v>1088.1177186382029</v>
      </c>
      <c r="AF322" s="265">
        <f t="shared" si="420"/>
        <v>3079.4917429584548</v>
      </c>
      <c r="AG322" s="266">
        <f t="shared" si="421"/>
        <v>2866.6022921736362</v>
      </c>
      <c r="AH322" s="265">
        <f t="shared" si="471"/>
        <v>5261.7320125238984</v>
      </c>
      <c r="AI322" s="265">
        <f t="shared" si="472"/>
        <v>3218.9391014689154</v>
      </c>
      <c r="AJ322" s="265">
        <f t="shared" si="473"/>
        <v>3104.8323881787137</v>
      </c>
      <c r="AK322" s="265">
        <f t="shared" si="474"/>
        <v>2890.1911041390385</v>
      </c>
      <c r="AL322" s="266">
        <f t="shared" si="400"/>
        <v>14475.694606310564</v>
      </c>
      <c r="AM322" s="347"/>
      <c r="AN322" s="264">
        <f>IFERROR(VLOOKUP($A322,'HH &amp; SI'!$B$4:$Z$494,'HH &amp; SI'!V$503,0),0)</f>
        <v>10550.273507819111</v>
      </c>
      <c r="AO322" s="265">
        <f>IFERROR(VLOOKUP($A322,'HH &amp; SI'!$B$4:$Z$494,'HH &amp; SI'!W$503,0),0)</f>
        <v>3367.2077317498934</v>
      </c>
      <c r="AP322" s="265">
        <f>IFERROR(VLOOKUP($A322,'HH &amp; SI'!$B$4:$Z$494,'HH &amp; SI'!X$503,0),0)</f>
        <v>5593.9091595861655</v>
      </c>
      <c r="AQ322" s="265">
        <f>IFERROR(VLOOKUP($A322,'HH &amp; SI'!$B$4:$Z$494,'HH &amp; SI'!Y$503,0),0)</f>
        <v>5389.6929693029897</v>
      </c>
      <c r="AR322" s="266">
        <f t="shared" si="422"/>
        <v>24901.083368458159</v>
      </c>
      <c r="AS322" s="347"/>
      <c r="AT322" s="324">
        <f>IFERROR(VLOOKUP(A322,'Afton FY16 Final'!$A$5:$BV$572,'Afton FY16 Final'!$BV$587,0),0)</f>
        <v>27123.090045618945</v>
      </c>
      <c r="AU322" s="347"/>
      <c r="AV322" s="454">
        <v>0</v>
      </c>
      <c r="AW322" s="265">
        <f>IFERROR(VLOOKUP($A322,'HH &amp; SI'!$B$4:$EY$503,'HH &amp; SI'!EX$503,0),0)</f>
        <v>0</v>
      </c>
      <c r="AX322" s="265">
        <f>IFERROR(VLOOKUP($A322,'HH &amp; SI'!$B$4:$EY$503,'HH &amp; SI'!EY$503,0),0)</f>
        <v>24901.083368458159</v>
      </c>
      <c r="AY322" s="265">
        <f>AX322/$AX$582*'update_State Admin 1004(b)'!$B$30*0.01</f>
        <v>238.32125599027688</v>
      </c>
      <c r="AZ322" s="266">
        <f t="shared" si="423"/>
        <v>24662.762112467881</v>
      </c>
      <c r="BA322" s="264">
        <f t="shared" si="424"/>
        <v>246.62762112467883</v>
      </c>
      <c r="BB322" s="265">
        <f t="shared" si="425"/>
        <v>24416.1344913432</v>
      </c>
      <c r="BC322" s="342">
        <f t="shared" si="381"/>
        <v>0.90019737612038842</v>
      </c>
      <c r="BD322" s="347"/>
      <c r="BE322" s="377" t="str">
        <f>'Original Title I &amp; II'!AZ320</f>
        <v/>
      </c>
      <c r="BF322" s="244" t="str">
        <f>IF(BE322&lt;0,BB322*BE322/100,"")</f>
        <v/>
      </c>
      <c r="BG322" s="266">
        <f t="shared" si="417"/>
        <v>24416.1344913432</v>
      </c>
      <c r="BI322" s="203">
        <f>IFERROR(VLOOKUP(A322,'Title II Hold Harmless'!A$1:B$439,2, FALSE),"")</f>
        <v>4642</v>
      </c>
      <c r="BJ322" s="203">
        <f t="shared" si="426"/>
        <v>4835.2984936315861</v>
      </c>
      <c r="BK322" s="203">
        <f t="shared" si="475"/>
        <v>4839.9761220315513</v>
      </c>
      <c r="BL322" s="203" t="str">
        <f t="shared" ref="BL322:BL348" si="476">IF(BE322&lt;0,BK322*BE322/100,"")</f>
        <v/>
      </c>
      <c r="BM322" s="203">
        <f t="shared" si="378"/>
        <v>4839.9761220315513</v>
      </c>
      <c r="BN322" s="200"/>
      <c r="BP322" s="298" t="s">
        <v>1448</v>
      </c>
      <c r="BQ322" s="299" t="str">
        <f t="shared" si="382"/>
        <v>Y</v>
      </c>
      <c r="BR322" s="300" t="s">
        <v>1448</v>
      </c>
      <c r="BT322" s="298" t="str">
        <f t="shared" si="383"/>
        <v>Y</v>
      </c>
      <c r="BU322" s="299" t="str">
        <f t="shared" si="428"/>
        <v>Y</v>
      </c>
      <c r="BV322" s="299" t="str">
        <f t="shared" si="429"/>
        <v>Y</v>
      </c>
      <c r="BW322" s="300" t="str">
        <f t="shared" si="384"/>
        <v>Y</v>
      </c>
      <c r="BY322" s="355">
        <f t="shared" si="385"/>
        <v>0</v>
      </c>
      <c r="BZ322" s="356">
        <f t="shared" si="386"/>
        <v>0.9</v>
      </c>
      <c r="CA322" s="356">
        <f t="shared" si="387"/>
        <v>0</v>
      </c>
      <c r="CB322" s="357">
        <f t="shared" si="388"/>
        <v>0.9</v>
      </c>
      <c r="CD322" s="312">
        <f t="shared" si="389"/>
        <v>315</v>
      </c>
    </row>
    <row r="323" spans="1:82" s="666" customFormat="1" outlineLevel="1" x14ac:dyDescent="0.3">
      <c r="A323" s="665">
        <v>78550001</v>
      </c>
      <c r="B323" s="666" t="e">
        <f>VLOOKUP(C323,'NCES ID'!$A$2:$B$3136,2,FALSE)</f>
        <v>#N/A</v>
      </c>
      <c r="C323" s="666" t="e">
        <f>VLOOKUP(A323,'State ID'!$A$2:$B$713,2,FALSE)</f>
        <v>#N/A</v>
      </c>
      <c r="D323" s="666" t="s">
        <v>1268</v>
      </c>
      <c r="E323" s="666" t="s">
        <v>7</v>
      </c>
      <c r="F323" s="764"/>
      <c r="G323" s="764"/>
      <c r="H323" s="764"/>
      <c r="I323" s="764"/>
      <c r="J323" s="764"/>
      <c r="K323" s="764"/>
      <c r="L323" s="765"/>
      <c r="M323" s="766"/>
      <c r="N323" s="770"/>
      <c r="O323" s="667">
        <v>0</v>
      </c>
      <c r="P323" s="668">
        <v>0</v>
      </c>
      <c r="Q323" s="754"/>
      <c r="R323" s="765">
        <f t="shared" si="416"/>
        <v>0</v>
      </c>
      <c r="S323" s="766">
        <f t="shared" si="466"/>
        <v>0</v>
      </c>
      <c r="T323" s="669">
        <v>0</v>
      </c>
      <c r="U323" s="670"/>
      <c r="V323" s="671"/>
      <c r="W323" s="671"/>
      <c r="X323" s="671"/>
      <c r="Y323" s="672"/>
      <c r="Z323" s="671">
        <f t="shared" si="467"/>
        <v>0</v>
      </c>
      <c r="AA323" s="671">
        <f t="shared" si="468"/>
        <v>0</v>
      </c>
      <c r="AB323" s="671">
        <f t="shared" si="469"/>
        <v>0</v>
      </c>
      <c r="AC323" s="672">
        <f t="shared" si="470"/>
        <v>0</v>
      </c>
      <c r="AD323" s="671" t="str">
        <f t="shared" si="418"/>
        <v/>
      </c>
      <c r="AE323" s="671" t="str">
        <f t="shared" si="419"/>
        <v/>
      </c>
      <c r="AF323" s="671" t="str">
        <f t="shared" si="420"/>
        <v/>
      </c>
      <c r="AG323" s="672" t="str">
        <f t="shared" si="421"/>
        <v/>
      </c>
      <c r="AH323" s="671" t="str">
        <f t="shared" si="471"/>
        <v/>
      </c>
      <c r="AI323" s="671" t="str">
        <f t="shared" si="472"/>
        <v/>
      </c>
      <c r="AJ323" s="671" t="str">
        <f t="shared" si="473"/>
        <v/>
      </c>
      <c r="AK323" s="671" t="str">
        <f t="shared" si="474"/>
        <v/>
      </c>
      <c r="AL323" s="672">
        <f t="shared" si="400"/>
        <v>0</v>
      </c>
      <c r="AM323" s="673"/>
      <c r="AN323" s="670">
        <f>IFERROR(VLOOKUP($A323,'HH &amp; SI'!$B$4:$Z$494,'HH &amp; SI'!V$503,0),0)</f>
        <v>0</v>
      </c>
      <c r="AO323" s="671">
        <f>IFERROR(VLOOKUP($A323,'HH &amp; SI'!$B$4:$Z$494,'HH &amp; SI'!W$503,0),0)</f>
        <v>0</v>
      </c>
      <c r="AP323" s="671">
        <f>IFERROR(VLOOKUP($A323,'HH &amp; SI'!$B$4:$Z$494,'HH &amp; SI'!X$503,0),0)</f>
        <v>0</v>
      </c>
      <c r="AQ323" s="671">
        <f>IFERROR(VLOOKUP($A323,'HH &amp; SI'!$B$4:$Z$494,'HH &amp; SI'!Y$503,0),0)</f>
        <v>0</v>
      </c>
      <c r="AR323" s="672">
        <f t="shared" si="422"/>
        <v>0</v>
      </c>
      <c r="AS323" s="673"/>
      <c r="AT323" s="674">
        <f>IFERROR(VLOOKUP(A323,'Afton FY16 Final'!$A$5:$BV$572,'Afton FY16 Final'!$BV$587,0),0)</f>
        <v>0</v>
      </c>
      <c r="AU323" s="673"/>
      <c r="AV323" s="765">
        <v>0</v>
      </c>
      <c r="AW323" s="671">
        <f>IFERROR(VLOOKUP($A323,'HH &amp; SI'!$B$4:$EY$503,'HH &amp; SI'!EX$503,0),0)</f>
        <v>0</v>
      </c>
      <c r="AX323" s="671">
        <f>IFERROR(VLOOKUP($A323,'HH &amp; SI'!$B$4:$EY$503,'HH &amp; SI'!EY$503,0),0)</f>
        <v>0</v>
      </c>
      <c r="AY323" s="671">
        <f>AX323/$AX$582*'update_State Admin 1004(b)'!$B$30*0.01</f>
        <v>0</v>
      </c>
      <c r="AZ323" s="672">
        <f t="shared" si="423"/>
        <v>0</v>
      </c>
      <c r="BA323" s="670">
        <f t="shared" si="424"/>
        <v>0</v>
      </c>
      <c r="BB323" s="671">
        <f t="shared" si="425"/>
        <v>0</v>
      </c>
      <c r="BC323" s="675" t="str">
        <f t="shared" si="381"/>
        <v/>
      </c>
      <c r="BD323" s="673"/>
      <c r="BE323" s="678">
        <f>'Original Title I &amp; II'!AZ321</f>
        <v>0</v>
      </c>
      <c r="BF323" s="677"/>
      <c r="BG323" s="672">
        <f t="shared" si="417"/>
        <v>0</v>
      </c>
      <c r="BI323" s="679" t="str">
        <f>IFERROR(VLOOKUP(A323,'Title II Hold Harmless'!A$1:B$439,2, FALSE),"")</f>
        <v/>
      </c>
      <c r="BJ323" s="679">
        <f t="shared" si="426"/>
        <v>0</v>
      </c>
      <c r="BK323" s="679">
        <f t="shared" si="475"/>
        <v>0</v>
      </c>
      <c r="BL323" s="679"/>
      <c r="BM323" s="679">
        <f t="shared" ref="BM323:BM355" si="477">IF(BL323&lt;0,BK323+BL323,BK323)</f>
        <v>0</v>
      </c>
      <c r="BN323" s="679"/>
      <c r="BP323" s="680" t="s">
        <v>1448</v>
      </c>
      <c r="BQ323" s="681" t="s">
        <v>1448</v>
      </c>
      <c r="BR323" s="682" t="s">
        <v>1448</v>
      </c>
      <c r="BT323" s="680" t="str">
        <f t="shared" si="383"/>
        <v>N</v>
      </c>
      <c r="BU323" s="681" t="str">
        <f t="shared" si="428"/>
        <v>N</v>
      </c>
      <c r="BV323" s="681" t="str">
        <f t="shared" si="429"/>
        <v>N</v>
      </c>
      <c r="BW323" s="682" t="str">
        <f t="shared" si="384"/>
        <v>N</v>
      </c>
      <c r="BY323" s="676">
        <f t="shared" si="385"/>
        <v>0.85</v>
      </c>
      <c r="BZ323" s="683">
        <f t="shared" si="386"/>
        <v>0</v>
      </c>
      <c r="CA323" s="683">
        <f t="shared" si="387"/>
        <v>0</v>
      </c>
      <c r="CB323" s="684">
        <f t="shared" si="388"/>
        <v>0.85</v>
      </c>
      <c r="CD323" s="685">
        <f t="shared" si="389"/>
        <v>316</v>
      </c>
    </row>
    <row r="324" spans="1:82" s="48" customFormat="1" outlineLevel="1" x14ac:dyDescent="0.3">
      <c r="A324" s="202">
        <v>78939000</v>
      </c>
      <c r="B324" s="48">
        <f>VLOOKUP(C324,'NCES ID'!$A$2:$B$3136,2,FALSE)</f>
        <v>400288</v>
      </c>
      <c r="C324" s="48">
        <f>VLOOKUP(A324,'State ID'!$A$2:$B$713,2,FALSE)</f>
        <v>79569</v>
      </c>
      <c r="D324" s="48" t="s">
        <v>351</v>
      </c>
      <c r="E324" s="48" t="s">
        <v>7</v>
      </c>
      <c r="F324" s="755"/>
      <c r="G324" s="755"/>
      <c r="H324" s="755"/>
      <c r="I324" s="755"/>
      <c r="J324" s="755"/>
      <c r="K324" s="755"/>
      <c r="L324" s="454"/>
      <c r="M324" s="455"/>
      <c r="N324" s="456"/>
      <c r="O324" s="209">
        <f>VLOOKUP($C324,'AzEDS FY17 12-04-16'!$A$1:$D$712,3,FALSE)</f>
        <v>156</v>
      </c>
      <c r="P324" s="223">
        <f>VLOOKUP($C324,'AzEDS FY17 12-04-16'!$A$1:$D$712,4,FALSE)</f>
        <v>148</v>
      </c>
      <c r="Q324" s="749"/>
      <c r="R324" s="454">
        <f t="shared" si="416"/>
        <v>156</v>
      </c>
      <c r="S324" s="455">
        <f t="shared" si="466"/>
        <v>73.278651359888684</v>
      </c>
      <c r="T324" s="230">
        <f t="shared" si="406"/>
        <v>0.46973494461467108</v>
      </c>
      <c r="U324" s="264" t="str">
        <f>IFERROR(VLOOKUP($B324,#REF!,8,FALSE),"")</f>
        <v/>
      </c>
      <c r="V324" s="265" t="str">
        <f>IFERROR(VLOOKUP($B324,#REF!,9,FALSE),"")</f>
        <v/>
      </c>
      <c r="W324" s="265" t="str">
        <f>IFERROR(VLOOKUP($B324,#REF!,10,FALSE),"")</f>
        <v/>
      </c>
      <c r="X324" s="265" t="str">
        <f>IFERROR(VLOOKUP($B324,#REF!,11,FALSE),"")</f>
        <v/>
      </c>
      <c r="Y324" s="266" t="str">
        <f>IFERROR(VLOOKUP($B324,#REF!,12,FALSE),"")</f>
        <v/>
      </c>
      <c r="Z324" s="265">
        <f t="shared" si="467"/>
        <v>35397.106266069859</v>
      </c>
      <c r="AA324" s="265">
        <f t="shared" si="468"/>
        <v>7320.0646526570008</v>
      </c>
      <c r="AB324" s="265">
        <f t="shared" si="469"/>
        <v>20716.58081626597</v>
      </c>
      <c r="AC324" s="266">
        <f t="shared" si="470"/>
        <v>19284.415420077188</v>
      </c>
      <c r="AD324" s="265">
        <f t="shared" si="418"/>
        <v>35397.106266069859</v>
      </c>
      <c r="AE324" s="265">
        <f t="shared" si="419"/>
        <v>7320.0646526570008</v>
      </c>
      <c r="AF324" s="265">
        <f t="shared" si="420"/>
        <v>20716.58081626597</v>
      </c>
      <c r="AG324" s="266">
        <f t="shared" si="421"/>
        <v>19284.415420077188</v>
      </c>
      <c r="AH324" s="265">
        <f t="shared" si="471"/>
        <v>35397.106266069859</v>
      </c>
      <c r="AI324" s="265">
        <f t="shared" si="472"/>
        <v>9450.8860354877143</v>
      </c>
      <c r="AJ324" s="265">
        <f t="shared" si="473"/>
        <v>20741.921461486229</v>
      </c>
      <c r="AK324" s="265">
        <f t="shared" si="474"/>
        <v>19308.004232042589</v>
      </c>
      <c r="AL324" s="266">
        <f t="shared" si="400"/>
        <v>84897.917995086391</v>
      </c>
      <c r="AM324" s="347"/>
      <c r="AN324" s="264">
        <f>IFERROR(VLOOKUP($A324,'HH &amp; SI'!$B$4:$Z$494,'HH &amp; SI'!V$503,0),0)</f>
        <v>35540.173356391853</v>
      </c>
      <c r="AO324" s="265">
        <f>IFERROR(VLOOKUP($A324,'HH &amp; SI'!$B$4:$Z$494,'HH &amp; SI'!W$503,0),0)</f>
        <v>9139.6084028183886</v>
      </c>
      <c r="AP324" s="265">
        <f>IFERROR(VLOOKUP($A324,'HH &amp; SI'!$B$4:$Z$494,'HH &amp; SI'!X$503,0),0)</f>
        <v>20553.281784171042</v>
      </c>
      <c r="AQ324" s="265">
        <f>IFERROR(VLOOKUP($A324,'HH &amp; SI'!$B$4:$Z$494,'HH &amp; SI'!Y$503,0),0)</f>
        <v>19095.264781588492</v>
      </c>
      <c r="AR324" s="266">
        <f t="shared" si="422"/>
        <v>84328.328324969771</v>
      </c>
      <c r="AS324" s="347"/>
      <c r="AT324" s="324">
        <f>IFERROR(VLOOKUP(A324,'Afton FY16 Final'!$A$5:$BV$572,'Afton FY16 Final'!$BV$587,0),0)</f>
        <v>80253.624068358491</v>
      </c>
      <c r="AU324" s="347"/>
      <c r="AV324" s="454">
        <v>0</v>
      </c>
      <c r="AW324" s="265">
        <f>IFERROR(VLOOKUP($A324,'HH &amp; SI'!$B$4:$EY$503,'HH &amp; SI'!EX$503,0),0)</f>
        <v>4074.7042566112796</v>
      </c>
      <c r="AX324" s="265">
        <f>IFERROR(VLOOKUP($A324,'HH &amp; SI'!$B$4:$EY$503,'HH &amp; SI'!EY$503,0),0)</f>
        <v>80253.624068358491</v>
      </c>
      <c r="AY324" s="265">
        <f>AX324/$AX$582*'update_State Admin 1004(b)'!$B$30*0.01</f>
        <v>768.08483401045578</v>
      </c>
      <c r="AZ324" s="266">
        <f t="shared" si="423"/>
        <v>79485.539234348034</v>
      </c>
      <c r="BA324" s="264">
        <f t="shared" si="424"/>
        <v>794.85539234348039</v>
      </c>
      <c r="BB324" s="265">
        <f t="shared" si="425"/>
        <v>78690.683842004553</v>
      </c>
      <c r="BC324" s="342">
        <f t="shared" si="381"/>
        <v>0.98052498881517602</v>
      </c>
      <c r="BD324" s="347"/>
      <c r="BE324" s="377" t="str">
        <f>'Original Title I &amp; II'!AZ322</f>
        <v/>
      </c>
      <c r="BF324" s="244" t="str">
        <f>IF(BE324&lt;0,BB324*BE324/100,"")</f>
        <v/>
      </c>
      <c r="BG324" s="266">
        <f t="shared" si="417"/>
        <v>78690.683842004553</v>
      </c>
      <c r="BI324" s="203">
        <f>IFERROR(VLOOKUP(A324,'Title II Hold Harmless'!A$1:B$439,2, FALSE),"")</f>
        <v>22001</v>
      </c>
      <c r="BJ324" s="203">
        <f t="shared" si="426"/>
        <v>23085.831694863151</v>
      </c>
      <c r="BK324" s="203">
        <f t="shared" si="475"/>
        <v>23108.164740509645</v>
      </c>
      <c r="BL324" s="203" t="str">
        <f t="shared" si="476"/>
        <v/>
      </c>
      <c r="BM324" s="203">
        <f t="shared" si="477"/>
        <v>23108.164740509645</v>
      </c>
      <c r="BN324" s="200"/>
      <c r="BP324" s="298" t="s">
        <v>1448</v>
      </c>
      <c r="BQ324" s="299" t="str">
        <f t="shared" si="382"/>
        <v>Y</v>
      </c>
      <c r="BR324" s="300" t="s">
        <v>1448</v>
      </c>
      <c r="BT324" s="298" t="str">
        <f t="shared" si="383"/>
        <v>Y</v>
      </c>
      <c r="BU324" s="299" t="str">
        <f t="shared" si="428"/>
        <v>Y</v>
      </c>
      <c r="BV324" s="299" t="str">
        <f t="shared" si="429"/>
        <v>Y</v>
      </c>
      <c r="BW324" s="300" t="str">
        <f t="shared" si="384"/>
        <v>Y</v>
      </c>
      <c r="BY324" s="355">
        <f t="shared" si="385"/>
        <v>0</v>
      </c>
      <c r="BZ324" s="356">
        <f t="shared" si="386"/>
        <v>0</v>
      </c>
      <c r="CA324" s="356">
        <f t="shared" si="387"/>
        <v>0.95</v>
      </c>
      <c r="CB324" s="357">
        <f t="shared" si="388"/>
        <v>0.95</v>
      </c>
      <c r="CD324" s="312">
        <f t="shared" si="389"/>
        <v>317</v>
      </c>
    </row>
    <row r="325" spans="1:82" s="48" customFormat="1" outlineLevel="1" x14ac:dyDescent="0.3">
      <c r="A325" s="202">
        <v>78560000</v>
      </c>
      <c r="B325" s="48">
        <f>VLOOKUP(C325,'NCES ID'!$A$2:$B$3136,2,FALSE)</f>
        <v>400815</v>
      </c>
      <c r="C325" s="48">
        <f>VLOOKUP(A325,'State ID'!$A$2:$B$713,2,FALSE)</f>
        <v>90275</v>
      </c>
      <c r="D325" s="48" t="s">
        <v>359</v>
      </c>
      <c r="E325" s="48" t="s">
        <v>7</v>
      </c>
      <c r="F325" s="755"/>
      <c r="G325" s="755"/>
      <c r="H325" s="755"/>
      <c r="I325" s="755"/>
      <c r="J325" s="755"/>
      <c r="K325" s="755"/>
      <c r="L325" s="454"/>
      <c r="M325" s="455"/>
      <c r="N325" s="456"/>
      <c r="O325" s="209">
        <f>VLOOKUP($C325,'Final SEA Counts'!$A$2:$F$709,5,FALSE)</f>
        <v>121</v>
      </c>
      <c r="P325" s="223">
        <f>VLOOKUP($C325,'Final SEA Counts'!$A$2:$F$709,6,FALSE)</f>
        <v>112</v>
      </c>
      <c r="Q325" s="749"/>
      <c r="R325" s="454">
        <f t="shared" si="416"/>
        <v>121</v>
      </c>
      <c r="S325" s="455">
        <f t="shared" si="466"/>
        <v>55.45411454261847</v>
      </c>
      <c r="T325" s="230">
        <f t="shared" si="406"/>
        <v>0.45829846729436752</v>
      </c>
      <c r="U325" s="264" t="str">
        <f>IFERROR(VLOOKUP($B325,#REF!,8,FALSE),"")</f>
        <v/>
      </c>
      <c r="V325" s="265" t="str">
        <f>IFERROR(VLOOKUP($B325,#REF!,9,FALSE),"")</f>
        <v/>
      </c>
      <c r="W325" s="265" t="str">
        <f>IFERROR(VLOOKUP($B325,#REF!,10,FALSE),"")</f>
        <v/>
      </c>
      <c r="X325" s="265" t="str">
        <f>IFERROR(VLOOKUP($B325,#REF!,11,FALSE),"")</f>
        <v/>
      </c>
      <c r="Y325" s="266" t="str">
        <f>IFERROR(VLOOKUP($B325,#REF!,12,FALSE),"")</f>
        <v/>
      </c>
      <c r="Z325" s="265">
        <f t="shared" si="467"/>
        <v>26786.999336485304</v>
      </c>
      <c r="AA325" s="265">
        <f t="shared" si="468"/>
        <v>5539.5083857944874</v>
      </c>
      <c r="AB325" s="265">
        <f t="shared" si="469"/>
        <v>15677.41250960668</v>
      </c>
      <c r="AC325" s="266">
        <f t="shared" si="470"/>
        <v>14593.611669247604</v>
      </c>
      <c r="AD325" s="265">
        <f t="shared" si="418"/>
        <v>26786.999336485304</v>
      </c>
      <c r="AE325" s="265">
        <f t="shared" si="419"/>
        <v>5539.5083857944874</v>
      </c>
      <c r="AF325" s="265">
        <f t="shared" si="420"/>
        <v>15677.41250960668</v>
      </c>
      <c r="AG325" s="266">
        <f t="shared" si="421"/>
        <v>14593.611669247604</v>
      </c>
      <c r="AH325" s="265">
        <f t="shared" si="471"/>
        <v>26786.999336485304</v>
      </c>
      <c r="AI325" s="265">
        <f t="shared" si="472"/>
        <v>7670.3297686251999</v>
      </c>
      <c r="AJ325" s="265">
        <f t="shared" si="473"/>
        <v>15702.75315482694</v>
      </c>
      <c r="AK325" s="265">
        <f t="shared" si="474"/>
        <v>14617.200481213007</v>
      </c>
      <c r="AL325" s="266">
        <f t="shared" si="400"/>
        <v>64777.282741150455</v>
      </c>
      <c r="AM325" s="347"/>
      <c r="AN325" s="264">
        <f>IFERROR(VLOOKUP($A325,'HH &amp; SI'!$B$4:$Z$494,'HH &amp; SI'!V$503,0),0)</f>
        <v>34476.971558961006</v>
      </c>
      <c r="AO325" s="265">
        <f>IFERROR(VLOOKUP($A325,'HH &amp; SI'!$B$4:$Z$494,'HH &amp; SI'!W$503,0),0)</f>
        <v>8813.9595400471062</v>
      </c>
      <c r="AP325" s="265">
        <f>IFERROR(VLOOKUP($A325,'HH &amp; SI'!$B$4:$Z$494,'HH &amp; SI'!X$503,0),0)</f>
        <v>18711.05745046624</v>
      </c>
      <c r="AQ325" s="265">
        <f>IFERROR(VLOOKUP($A325,'HH &amp; SI'!$B$4:$Z$494,'HH &amp; SI'!Y$503,0),0)</f>
        <v>16695.380542110019</v>
      </c>
      <c r="AR325" s="266">
        <f t="shared" si="422"/>
        <v>78697.369091584376</v>
      </c>
      <c r="AS325" s="347"/>
      <c r="AT325" s="324">
        <f>IFERROR(VLOOKUP(A325,'Afton FY16 Final'!$A$5:$BV$572,'Afton FY16 Final'!$BV$587,0),0)</f>
        <v>75189.752796418863</v>
      </c>
      <c r="AU325" s="347"/>
      <c r="AV325" s="454">
        <v>0</v>
      </c>
      <c r="AW325" s="265">
        <f>IFERROR(VLOOKUP($A325,'HH &amp; SI'!$B$4:$EY$503,'HH &amp; SI'!EX$503,0),0)</f>
        <v>3507.6162951655133</v>
      </c>
      <c r="AX325" s="265">
        <f>IFERROR(VLOOKUP($A325,'HH &amp; SI'!$B$4:$EY$503,'HH &amp; SI'!EY$503,0),0)</f>
        <v>75189.752796418863</v>
      </c>
      <c r="AY325" s="265">
        <f>AX325/$AX$582*'update_State Admin 1004(b)'!$B$30*0.01</f>
        <v>719.61994821233804</v>
      </c>
      <c r="AZ325" s="266">
        <f t="shared" si="423"/>
        <v>74470.132848206529</v>
      </c>
      <c r="BA325" s="264">
        <f t="shared" si="424"/>
        <v>744.70132848206526</v>
      </c>
      <c r="BB325" s="265">
        <f t="shared" si="425"/>
        <v>73725.431519724458</v>
      </c>
      <c r="BC325" s="342">
        <f t="shared" si="381"/>
        <v>0.98052498881517602</v>
      </c>
      <c r="BD325" s="347"/>
      <c r="BE325" s="377" t="str">
        <f>'Original Title I &amp; II'!AZ323</f>
        <v/>
      </c>
      <c r="BF325" s="244" t="str">
        <f>IF(BE325&lt;0,BB325*BE325/100,"")</f>
        <v/>
      </c>
      <c r="BG325" s="266">
        <f t="shared" si="417"/>
        <v>73725.431519724458</v>
      </c>
      <c r="BI325" s="203" t="str">
        <f>IFERROR(VLOOKUP(A325,'Title II Hold Harmless'!A$1:B$439,2, FALSE),"")</f>
        <v/>
      </c>
      <c r="BJ325" s="203">
        <f t="shared" si="426"/>
        <v>823.32461141412944</v>
      </c>
      <c r="BK325" s="203">
        <f t="shared" si="475"/>
        <v>824.12108894076266</v>
      </c>
      <c r="BL325" s="203" t="str">
        <f t="shared" si="476"/>
        <v/>
      </c>
      <c r="BM325" s="203">
        <f t="shared" si="477"/>
        <v>824.12108894076266</v>
      </c>
      <c r="BN325" s="200"/>
      <c r="BP325" s="298" t="s">
        <v>1448</v>
      </c>
      <c r="BQ325" s="299" t="str">
        <f t="shared" si="382"/>
        <v>Y</v>
      </c>
      <c r="BR325" s="300" t="s">
        <v>1448</v>
      </c>
      <c r="BT325" s="298" t="str">
        <f t="shared" si="383"/>
        <v>Y</v>
      </c>
      <c r="BU325" s="299" t="str">
        <f t="shared" si="428"/>
        <v>Y</v>
      </c>
      <c r="BV325" s="299" t="str">
        <f t="shared" si="429"/>
        <v>Y</v>
      </c>
      <c r="BW325" s="300" t="str">
        <f t="shared" si="384"/>
        <v>Y</v>
      </c>
      <c r="BY325" s="355">
        <f t="shared" si="385"/>
        <v>0</v>
      </c>
      <c r="BZ325" s="356">
        <f t="shared" si="386"/>
        <v>0</v>
      </c>
      <c r="CA325" s="356">
        <f t="shared" si="387"/>
        <v>0.95</v>
      </c>
      <c r="CB325" s="357">
        <f t="shared" si="388"/>
        <v>0.95</v>
      </c>
      <c r="CD325" s="312">
        <f t="shared" si="389"/>
        <v>318</v>
      </c>
    </row>
    <row r="326" spans="1:82" s="48" customFormat="1" outlineLevel="1" x14ac:dyDescent="0.3">
      <c r="A326" s="202">
        <v>78735000</v>
      </c>
      <c r="B326" s="48">
        <f>VLOOKUP(C326,'NCES ID'!$A$2:$B$3136,2,FALSE)</f>
        <v>400656</v>
      </c>
      <c r="C326" s="48">
        <f>VLOOKUP(A326,'State ID'!$A$2:$B$713,2,FALSE)</f>
        <v>81033</v>
      </c>
      <c r="D326" s="48" t="s">
        <v>363</v>
      </c>
      <c r="E326" s="48" t="s">
        <v>7</v>
      </c>
      <c r="F326" s="755"/>
      <c r="G326" s="755"/>
      <c r="H326" s="755"/>
      <c r="I326" s="755"/>
      <c r="J326" s="755"/>
      <c r="K326" s="755"/>
      <c r="L326" s="454"/>
      <c r="M326" s="455"/>
      <c r="N326" s="456"/>
      <c r="O326" s="209">
        <f>VLOOKUP($C326,'Final SEA Counts'!$A$2:$F$709,5,FALSE)</f>
        <v>66</v>
      </c>
      <c r="P326" s="223">
        <f>VLOOKUP($C326,'Final SEA Counts'!$A$2:$F$709,6,FALSE)</f>
        <v>48</v>
      </c>
      <c r="Q326" s="749"/>
      <c r="R326" s="454">
        <f t="shared" si="416"/>
        <v>66</v>
      </c>
      <c r="S326" s="455">
        <f t="shared" si="466"/>
        <v>23.766049089693631</v>
      </c>
      <c r="T326" s="230">
        <f t="shared" si="406"/>
        <v>0.36009165287414591</v>
      </c>
      <c r="U326" s="264" t="str">
        <f>IFERROR(VLOOKUP($B326,#REF!,8,FALSE),"")</f>
        <v/>
      </c>
      <c r="V326" s="265" t="str">
        <f>IFERROR(VLOOKUP($B326,#REF!,9,FALSE),"")</f>
        <v/>
      </c>
      <c r="W326" s="265" t="str">
        <f>IFERROR(VLOOKUP($B326,#REF!,10,FALSE),"")</f>
        <v/>
      </c>
      <c r="X326" s="265" t="str">
        <f>IFERROR(VLOOKUP($B326,#REF!,11,FALSE),"")</f>
        <v/>
      </c>
      <c r="Y326" s="266" t="str">
        <f>IFERROR(VLOOKUP($B326,#REF!,12,FALSE),"")</f>
        <v/>
      </c>
      <c r="Z326" s="265">
        <f t="shared" si="467"/>
        <v>11480.142572779416</v>
      </c>
      <c r="AA326" s="265">
        <f t="shared" si="468"/>
        <v>2374.0750224833519</v>
      </c>
      <c r="AB326" s="265">
        <f t="shared" si="469"/>
        <v>6718.8910755457209</v>
      </c>
      <c r="AC326" s="266">
        <f t="shared" si="470"/>
        <v>6254.4050011061163</v>
      </c>
      <c r="AD326" s="265">
        <f t="shared" si="418"/>
        <v>11480.142572779416</v>
      </c>
      <c r="AE326" s="265">
        <f t="shared" si="419"/>
        <v>2374.0750224833519</v>
      </c>
      <c r="AF326" s="265">
        <f t="shared" si="420"/>
        <v>6718.8910755457209</v>
      </c>
      <c r="AG326" s="266">
        <f t="shared" si="421"/>
        <v>6254.4050011061163</v>
      </c>
      <c r="AH326" s="265">
        <f t="shared" si="471"/>
        <v>11480.142572779416</v>
      </c>
      <c r="AI326" s="265">
        <f t="shared" si="472"/>
        <v>4504.8964053140644</v>
      </c>
      <c r="AJ326" s="265">
        <f t="shared" si="473"/>
        <v>6744.2317207659798</v>
      </c>
      <c r="AK326" s="265">
        <f t="shared" si="474"/>
        <v>6277.9938130715191</v>
      </c>
      <c r="AL326" s="266">
        <f t="shared" si="400"/>
        <v>29007.264511930978</v>
      </c>
      <c r="AM326" s="347"/>
      <c r="AN326" s="264">
        <f>IFERROR(VLOOKUP($A326,'HH &amp; SI'!$B$4:$Z$494,'HH &amp; SI'!V$503,0),0)</f>
        <v>25092.51524557127</v>
      </c>
      <c r="AO326" s="265">
        <f>IFERROR(VLOOKUP($A326,'HH &amp; SI'!$B$4:$Z$494,'HH &amp; SI'!W$503,0),0)</f>
        <v>5798.6777437531218</v>
      </c>
      <c r="AP326" s="265">
        <f>IFERROR(VLOOKUP($A326,'HH &amp; SI'!$B$4:$Z$494,'HH &amp; SI'!X$503,0),0)</f>
        <v>13304.418199701429</v>
      </c>
      <c r="AQ326" s="265">
        <f>IFERROR(VLOOKUP($A326,'HH &amp; SI'!$B$4:$Z$494,'HH &amp; SI'!Y$503,0),0)</f>
        <v>12818.715353772826</v>
      </c>
      <c r="AR326" s="266">
        <f t="shared" si="422"/>
        <v>57014.326542798648</v>
      </c>
      <c r="AS326" s="347"/>
      <c r="AT326" s="324">
        <f>IFERROR(VLOOKUP(A326,'Afton FY16 Final'!$A$5:$BV$572,'Afton FY16 Final'!$BV$587,0),0)</f>
        <v>57891.027665851856</v>
      </c>
      <c r="AU326" s="347"/>
      <c r="AV326" s="454">
        <v>0</v>
      </c>
      <c r="AW326" s="265">
        <f>IFERROR(VLOOKUP($A326,'HH &amp; SI'!$B$4:$EY$503,'HH &amp; SI'!EX$503,0),0)</f>
        <v>0</v>
      </c>
      <c r="AX326" s="265">
        <f>IFERROR(VLOOKUP($A326,'HH &amp; SI'!$B$4:$EY$503,'HH &amp; SI'!EY$503,0),0)</f>
        <v>57014.326542798648</v>
      </c>
      <c r="AY326" s="265">
        <f>AX326/$AX$582*'update_State Admin 1004(b)'!$B$30*0.01</f>
        <v>545.6680623113341</v>
      </c>
      <c r="AZ326" s="266">
        <f t="shared" si="423"/>
        <v>56468.658480487313</v>
      </c>
      <c r="BA326" s="264">
        <f t="shared" si="424"/>
        <v>564.68658480487318</v>
      </c>
      <c r="BB326" s="265">
        <f t="shared" si="425"/>
        <v>55903.971895682436</v>
      </c>
      <c r="BC326" s="342">
        <f t="shared" si="381"/>
        <v>0.96567592854563333</v>
      </c>
      <c r="BD326" s="347"/>
      <c r="BE326" s="377" t="str">
        <f>'Original Title I &amp; II'!AZ324</f>
        <v/>
      </c>
      <c r="BF326" s="244" t="str">
        <f>IF(BE326&lt;0,BB326*BE326/100,"")</f>
        <v/>
      </c>
      <c r="BG326" s="266">
        <f t="shared" si="417"/>
        <v>55903.971895682436</v>
      </c>
      <c r="BI326" s="203" t="str">
        <f>IFERROR(VLOOKUP(A326,'Title II Hold Harmless'!A$1:B$439,2, FALSE),"")</f>
        <v/>
      </c>
      <c r="BJ326" s="203">
        <f t="shared" si="426"/>
        <v>364.23557192886739</v>
      </c>
      <c r="BK326" s="203">
        <f t="shared" si="475"/>
        <v>364.58793045601436</v>
      </c>
      <c r="BL326" s="203" t="str">
        <f t="shared" si="476"/>
        <v/>
      </c>
      <c r="BM326" s="203">
        <f t="shared" si="477"/>
        <v>364.58793045601436</v>
      </c>
      <c r="BN326" s="200"/>
      <c r="BP326" s="298" t="s">
        <v>1448</v>
      </c>
      <c r="BQ326" s="299" t="str">
        <f t="shared" si="382"/>
        <v>Y</v>
      </c>
      <c r="BR326" s="300" t="s">
        <v>1448</v>
      </c>
      <c r="BT326" s="298" t="str">
        <f t="shared" si="383"/>
        <v>Y</v>
      </c>
      <c r="BU326" s="299" t="str">
        <f t="shared" si="428"/>
        <v>Y</v>
      </c>
      <c r="BV326" s="299" t="str">
        <f t="shared" si="429"/>
        <v>Y</v>
      </c>
      <c r="BW326" s="300" t="str">
        <f t="shared" si="384"/>
        <v>Y</v>
      </c>
      <c r="BY326" s="355">
        <f t="shared" si="385"/>
        <v>0</v>
      </c>
      <c r="BZ326" s="356">
        <f t="shared" si="386"/>
        <v>0</v>
      </c>
      <c r="CA326" s="356">
        <f t="shared" si="387"/>
        <v>0.95</v>
      </c>
      <c r="CB326" s="357">
        <f t="shared" si="388"/>
        <v>0.95</v>
      </c>
      <c r="CD326" s="312">
        <f t="shared" si="389"/>
        <v>319</v>
      </c>
    </row>
    <row r="327" spans="1:82" s="48" customFormat="1" outlineLevel="1" x14ac:dyDescent="0.3">
      <c r="A327" s="202">
        <v>78508000</v>
      </c>
      <c r="B327" s="48">
        <f>VLOOKUP(C327,'NCES ID'!$A$2:$B$3136,2,FALSE)</f>
        <v>400424</v>
      </c>
      <c r="C327" s="48">
        <f>VLOOKUP(A327,'State ID'!$A$2:$B$713,2,FALSE)</f>
        <v>87399</v>
      </c>
      <c r="D327" s="48" t="s">
        <v>681</v>
      </c>
      <c r="E327" s="48" t="s">
        <v>7</v>
      </c>
      <c r="F327" s="755"/>
      <c r="G327" s="755"/>
      <c r="H327" s="755"/>
      <c r="I327" s="755"/>
      <c r="J327" s="755"/>
      <c r="K327" s="755"/>
      <c r="L327" s="454"/>
      <c r="M327" s="455"/>
      <c r="N327" s="456"/>
      <c r="O327" s="209">
        <f>VLOOKUP($C327,'Final SEA Counts'!$A$2:$F$709,5,FALSE)</f>
        <v>793</v>
      </c>
      <c r="P327" s="223">
        <f>VLOOKUP($C327,'Final SEA Counts'!$A$2:$F$709,6,FALSE)</f>
        <v>254</v>
      </c>
      <c r="Q327" s="749"/>
      <c r="R327" s="454">
        <f t="shared" si="416"/>
        <v>793</v>
      </c>
      <c r="S327" s="455">
        <f t="shared" si="466"/>
        <v>125.76200976629545</v>
      </c>
      <c r="T327" s="230">
        <f t="shared" si="406"/>
        <v>0.15859017625005731</v>
      </c>
      <c r="U327" s="264"/>
      <c r="V327" s="265"/>
      <c r="W327" s="265"/>
      <c r="X327" s="265"/>
      <c r="Y327" s="266"/>
      <c r="Z327" s="265">
        <f t="shared" si="467"/>
        <v>60749.087780957736</v>
      </c>
      <c r="AA327" s="265">
        <f t="shared" si="468"/>
        <v>12562.813660641068</v>
      </c>
      <c r="AB327" s="265">
        <f t="shared" si="469"/>
        <v>35554.131941429434</v>
      </c>
      <c r="AC327" s="266">
        <f t="shared" si="470"/>
        <v>33096.226464186526</v>
      </c>
      <c r="AD327" s="265">
        <f t="shared" si="418"/>
        <v>60749.087780957736</v>
      </c>
      <c r="AE327" s="265">
        <f t="shared" si="419"/>
        <v>12562.813660641068</v>
      </c>
      <c r="AF327" s="265">
        <f t="shared" si="420"/>
        <v>35554.131941429434</v>
      </c>
      <c r="AG327" s="266">
        <f t="shared" si="421"/>
        <v>33096.226464186526</v>
      </c>
      <c r="AH327" s="265">
        <f t="shared" si="471"/>
        <v>60749.087780957736</v>
      </c>
      <c r="AI327" s="265">
        <f t="shared" si="472"/>
        <v>14693.635043471781</v>
      </c>
      <c r="AJ327" s="265">
        <f t="shared" si="473"/>
        <v>35579.472586649696</v>
      </c>
      <c r="AK327" s="265">
        <f t="shared" si="474"/>
        <v>33119.81527615193</v>
      </c>
      <c r="AL327" s="266">
        <f t="shared" ref="AL327:AL328" si="478">SUM(AH327:AK327)</f>
        <v>144142.01068723114</v>
      </c>
      <c r="AM327" s="347"/>
      <c r="AN327" s="264">
        <f>IFERROR(VLOOKUP($A327,'HH &amp; SI'!$B$4:$Z$494,'HH &amp; SI'!V$503,0),0)</f>
        <v>59920.430793600004</v>
      </c>
      <c r="AO327" s="265">
        <f>IFERROR(VLOOKUP($A327,'HH &amp; SI'!$B$4:$Z$494,'HH &amp; SI'!W$503,0),0)</f>
        <v>14209.680426469258</v>
      </c>
      <c r="AP327" s="265">
        <f>IFERROR(VLOOKUP($A327,'HH &amp; SI'!$B$4:$Z$494,'HH &amp; SI'!X$503,0),0)</f>
        <v>35255.891174953947</v>
      </c>
      <c r="AQ327" s="265">
        <f>IFERROR(VLOOKUP($A327,'HH &amp; SI'!$B$4:$Z$494,'HH &amp; SI'!Y$503,0),0)</f>
        <v>32754.894530521644</v>
      </c>
      <c r="AR327" s="266">
        <f t="shared" si="422"/>
        <v>142140.89692554486</v>
      </c>
      <c r="AS327" s="347"/>
      <c r="AT327" s="324">
        <f>IFERROR(VLOOKUP(A327,'Afton FY16 Final'!$A$5:$BV$572,'Afton FY16 Final'!$BV$587,0),0)</f>
        <v>110038.67932329203</v>
      </c>
      <c r="AU327" s="347"/>
      <c r="AV327" s="454">
        <v>0</v>
      </c>
      <c r="AW327" s="265">
        <f>IFERROR(VLOOKUP($A327,'HH &amp; SI'!$B$4:$EY$503,'HH &amp; SI'!EX$503,0),0)</f>
        <v>7961.7524104640761</v>
      </c>
      <c r="AX327" s="265">
        <f>IFERROR(VLOOKUP($A327,'HH &amp; SI'!$B$4:$EY$503,'HH &amp; SI'!EY$503,0),0)</f>
        <v>134179.14451508078</v>
      </c>
      <c r="AY327" s="265">
        <f>AX327/$AX$582*'update_State Admin 1004(b)'!$B$30*0.01</f>
        <v>1284.1908030813095</v>
      </c>
      <c r="AZ327" s="266">
        <f t="shared" si="423"/>
        <v>132894.95371199946</v>
      </c>
      <c r="BA327" s="264">
        <f t="shared" si="424"/>
        <v>1328.9495371199946</v>
      </c>
      <c r="BB327" s="265">
        <f t="shared" si="425"/>
        <v>131566.00417487946</v>
      </c>
      <c r="BC327" s="342">
        <f t="shared" si="381"/>
        <v>1.1956341623143301</v>
      </c>
      <c r="BD327" s="347"/>
      <c r="BE327" s="377">
        <f>'Original Title I &amp; II'!AZ325</f>
        <v>0</v>
      </c>
      <c r="BF327" s="244"/>
      <c r="BG327" s="266">
        <f t="shared" si="417"/>
        <v>131566.00417487946</v>
      </c>
      <c r="BI327" s="203" t="str">
        <f>IFERROR(VLOOKUP(A327,'Title II Hold Harmless'!A$1:B$439,2, FALSE),"")</f>
        <v/>
      </c>
      <c r="BJ327" s="203">
        <f t="shared" si="426"/>
        <v>2284.5430970022207</v>
      </c>
      <c r="BK327" s="203">
        <f t="shared" si="475"/>
        <v>2286.7531453964525</v>
      </c>
      <c r="BL327" s="203"/>
      <c r="BM327" s="203">
        <f t="shared" si="477"/>
        <v>2286.7531453964525</v>
      </c>
      <c r="BN327" s="200"/>
      <c r="BP327" s="298" t="s">
        <v>1448</v>
      </c>
      <c r="BQ327" s="299" t="str">
        <f t="shared" si="382"/>
        <v>Y</v>
      </c>
      <c r="BR327" s="300" t="s">
        <v>1448</v>
      </c>
      <c r="BT327" s="298" t="str">
        <f t="shared" si="383"/>
        <v>Y</v>
      </c>
      <c r="BU327" s="299" t="str">
        <f t="shared" si="428"/>
        <v>Y</v>
      </c>
      <c r="BV327" s="299" t="str">
        <f t="shared" si="429"/>
        <v>Y</v>
      </c>
      <c r="BW327" s="300" t="str">
        <f t="shared" si="384"/>
        <v>Y</v>
      </c>
      <c r="BY327" s="355">
        <f t="shared" si="385"/>
        <v>0</v>
      </c>
      <c r="BZ327" s="356">
        <f t="shared" si="386"/>
        <v>0.9</v>
      </c>
      <c r="CA327" s="356">
        <f t="shared" si="387"/>
        <v>0</v>
      </c>
      <c r="CB327" s="357">
        <f t="shared" si="388"/>
        <v>0.9</v>
      </c>
      <c r="CD327" s="312">
        <f t="shared" si="389"/>
        <v>320</v>
      </c>
    </row>
    <row r="328" spans="1:82" s="48" customFormat="1" outlineLevel="1" x14ac:dyDescent="0.3">
      <c r="A328" s="48">
        <v>78688000</v>
      </c>
      <c r="B328" s="48">
        <f>VLOOKUP(C328,'NCES ID'!$A$2:$B$3136,2,FALSE)</f>
        <v>400748</v>
      </c>
      <c r="C328" s="48">
        <f>VLOOKUP(A328,'State ID'!$A$2:$B$713,2,FALSE)</f>
        <v>89414</v>
      </c>
      <c r="D328" s="48" t="s">
        <v>732</v>
      </c>
      <c r="E328" s="48" t="s">
        <v>7</v>
      </c>
      <c r="F328" s="755"/>
      <c r="G328" s="755"/>
      <c r="H328" s="755"/>
      <c r="I328" s="755"/>
      <c r="J328" s="755"/>
      <c r="K328" s="755"/>
      <c r="L328" s="454"/>
      <c r="M328" s="455"/>
      <c r="N328" s="456"/>
      <c r="O328" s="209">
        <f>VLOOKUP($C328,'Final SEA Counts'!$A$2:$F$709,5,FALSE)</f>
        <v>166</v>
      </c>
      <c r="P328" s="223">
        <f>VLOOKUP($C328,'Final SEA Counts'!$A$2:$F$709,6,FALSE)</f>
        <v>106</v>
      </c>
      <c r="Q328" s="749"/>
      <c r="R328" s="454">
        <f t="shared" si="416"/>
        <v>166</v>
      </c>
      <c r="S328" s="455">
        <f t="shared" si="466"/>
        <v>52.483358406406765</v>
      </c>
      <c r="T328" s="230">
        <f t="shared" si="406"/>
        <v>0.31616480967714916</v>
      </c>
      <c r="U328" s="264"/>
      <c r="V328" s="265"/>
      <c r="W328" s="265"/>
      <c r="X328" s="265"/>
      <c r="Y328" s="266"/>
      <c r="Z328" s="265">
        <f t="shared" si="467"/>
        <v>25351.981514887873</v>
      </c>
      <c r="AA328" s="265">
        <f t="shared" si="468"/>
        <v>5242.7490079840682</v>
      </c>
      <c r="AB328" s="265">
        <f t="shared" si="469"/>
        <v>14837.551125163465</v>
      </c>
      <c r="AC328" s="266">
        <f t="shared" si="470"/>
        <v>13811.811044109339</v>
      </c>
      <c r="AD328" s="265">
        <f t="shared" si="418"/>
        <v>25351.981514887873</v>
      </c>
      <c r="AE328" s="265">
        <f t="shared" si="419"/>
        <v>5242.7490079840682</v>
      </c>
      <c r="AF328" s="265">
        <f t="shared" si="420"/>
        <v>14837.551125163465</v>
      </c>
      <c r="AG328" s="266">
        <f t="shared" si="421"/>
        <v>13811.811044109339</v>
      </c>
      <c r="AH328" s="265">
        <f t="shared" si="471"/>
        <v>25351.981514887873</v>
      </c>
      <c r="AI328" s="265">
        <f t="shared" si="472"/>
        <v>7373.5703908147807</v>
      </c>
      <c r="AJ328" s="265">
        <f t="shared" si="473"/>
        <v>14862.891770383725</v>
      </c>
      <c r="AK328" s="265">
        <f t="shared" si="474"/>
        <v>13835.399856074742</v>
      </c>
      <c r="AL328" s="266">
        <f t="shared" si="478"/>
        <v>61423.843532161118</v>
      </c>
      <c r="AM328" s="347"/>
      <c r="AN328" s="264">
        <f>IFERROR(VLOOKUP($A328,'HH &amp; SI'!$B$4:$Z$494,'HH &amp; SI'!V$503,0),0)</f>
        <v>25006.164031974804</v>
      </c>
      <c r="AO328" s="265">
        <f>IFERROR(VLOOKUP($A328,'HH &amp; SI'!$B$4:$Z$494,'HH &amp; SI'!W$503,0),0)</f>
        <v>7130.7119406170996</v>
      </c>
      <c r="AP328" s="265">
        <f>IFERROR(VLOOKUP($A328,'HH &amp; SI'!$B$4:$Z$494,'HH &amp; SI'!X$503,0),0)</f>
        <v>14727.719572728764</v>
      </c>
      <c r="AQ328" s="265">
        <f>IFERROR(VLOOKUP($A328,'HH &amp; SI'!$B$4:$Z$494,'HH &amp; SI'!Y$503,0),0)</f>
        <v>13682.958654652721</v>
      </c>
      <c r="AR328" s="266">
        <f t="shared" si="422"/>
        <v>60547.55419997339</v>
      </c>
      <c r="AS328" s="347"/>
      <c r="AT328" s="324">
        <f>IFERROR(VLOOKUP(A328,'Afton FY16 Final'!$A$5:$BV$572,'Afton FY16 Final'!$BV$587,0),0)</f>
        <v>27205.705612094709</v>
      </c>
      <c r="AU328" s="347"/>
      <c r="AV328" s="454">
        <v>0</v>
      </c>
      <c r="AW328" s="265">
        <f>IFERROR(VLOOKUP($A328,'HH &amp; SI'!$B$4:$EY$503,'HH &amp; SI'!EX$503,0),0)</f>
        <v>3391.4562664667392</v>
      </c>
      <c r="AX328" s="265">
        <f>IFERROR(VLOOKUP($A328,'HH &amp; SI'!$B$4:$EY$503,'HH &amp; SI'!EY$503,0),0)</f>
        <v>57156.097933506651</v>
      </c>
      <c r="AY328" s="265">
        <f>AX328/$AX$582*'update_State Admin 1004(b)'!$B$30*0.01</f>
        <v>547.02491636451236</v>
      </c>
      <c r="AZ328" s="266">
        <f t="shared" si="423"/>
        <v>56609.073017142138</v>
      </c>
      <c r="BA328" s="264">
        <f t="shared" si="424"/>
        <v>566.09073017142134</v>
      </c>
      <c r="BB328" s="265">
        <f t="shared" si="425"/>
        <v>56042.98228697072</v>
      </c>
      <c r="BC328" s="342">
        <f t="shared" si="381"/>
        <v>2.059971650287062</v>
      </c>
      <c r="BD328" s="347"/>
      <c r="BE328" s="377">
        <f>'Original Title I &amp; II'!AZ326</f>
        <v>0</v>
      </c>
      <c r="BF328" s="244"/>
      <c r="BG328" s="266">
        <f t="shared" si="417"/>
        <v>56042.98228697072</v>
      </c>
      <c r="BI328" s="203" t="str">
        <f>IFERROR(VLOOKUP(A328,'Title II Hold Harmless'!A$1:B$439,2, FALSE),"")</f>
        <v/>
      </c>
      <c r="BJ328" s="203">
        <f t="shared" si="426"/>
        <v>820.65074838845669</v>
      </c>
      <c r="BK328" s="203">
        <f t="shared" si="475"/>
        <v>821.44463924176603</v>
      </c>
      <c r="BL328" s="203"/>
      <c r="BM328" s="203">
        <f t="shared" si="477"/>
        <v>821.44463924176603</v>
      </c>
      <c r="BN328" s="200"/>
      <c r="BP328" s="298" t="s">
        <v>1448</v>
      </c>
      <c r="BQ328" s="299" t="str">
        <f t="shared" si="382"/>
        <v>Y</v>
      </c>
      <c r="BR328" s="300" t="s">
        <v>1448</v>
      </c>
      <c r="BT328" s="298" t="str">
        <f t="shared" si="383"/>
        <v>Y</v>
      </c>
      <c r="BU328" s="299" t="str">
        <f t="shared" si="428"/>
        <v>Y</v>
      </c>
      <c r="BV328" s="299" t="str">
        <f t="shared" si="429"/>
        <v>Y</v>
      </c>
      <c r="BW328" s="300" t="str">
        <f t="shared" si="384"/>
        <v>Y</v>
      </c>
      <c r="BY328" s="355">
        <f t="shared" si="385"/>
        <v>0</v>
      </c>
      <c r="BZ328" s="356">
        <f t="shared" si="386"/>
        <v>0</v>
      </c>
      <c r="CA328" s="356">
        <f t="shared" si="387"/>
        <v>0.95</v>
      </c>
      <c r="CB328" s="357">
        <f t="shared" si="388"/>
        <v>0.95</v>
      </c>
      <c r="CD328" s="312">
        <f t="shared" si="389"/>
        <v>321</v>
      </c>
    </row>
    <row r="329" spans="1:82" s="48" customFormat="1" outlineLevel="1" x14ac:dyDescent="0.3">
      <c r="A329" s="202">
        <v>78656000</v>
      </c>
      <c r="B329" s="48">
        <f>VLOOKUP(C329,'NCES ID'!$A$2:$B$3136,2,FALSE)</f>
        <v>400047</v>
      </c>
      <c r="C329" s="48">
        <f>VLOOKUP(A329,'State ID'!$A$2:$B$713,2,FALSE)</f>
        <v>4320</v>
      </c>
      <c r="D329" s="48" t="s">
        <v>369</v>
      </c>
      <c r="E329" s="48" t="s">
        <v>7</v>
      </c>
      <c r="F329" s="755"/>
      <c r="G329" s="755"/>
      <c r="H329" s="755"/>
      <c r="I329" s="755"/>
      <c r="J329" s="755"/>
      <c r="K329" s="755"/>
      <c r="L329" s="454"/>
      <c r="M329" s="455"/>
      <c r="N329" s="456"/>
      <c r="O329" s="209">
        <f>VLOOKUP($C329,'Final SEA Counts'!$A$2:$F$709,5,FALSE)</f>
        <v>178</v>
      </c>
      <c r="P329" s="223">
        <f>VLOOKUP($C329,'Final SEA Counts'!$A$2:$F$709,6,FALSE)</f>
        <v>91</v>
      </c>
      <c r="Q329" s="749"/>
      <c r="R329" s="454">
        <f t="shared" si="416"/>
        <v>178</v>
      </c>
      <c r="S329" s="455">
        <f t="shared" si="466"/>
        <v>45.056468065877503</v>
      </c>
      <c r="T329" s="230">
        <f t="shared" si="406"/>
        <v>0.25312622508919946</v>
      </c>
      <c r="U329" s="264" t="str">
        <f>IFERROR(VLOOKUP($B329,#REF!,8,FALSE),"")</f>
        <v/>
      </c>
      <c r="V329" s="265" t="str">
        <f>IFERROR(VLOOKUP($B329,#REF!,9,FALSE),"")</f>
        <v/>
      </c>
      <c r="W329" s="265" t="str">
        <f>IFERROR(VLOOKUP($B329,#REF!,10,FALSE),"")</f>
        <v/>
      </c>
      <c r="X329" s="265" t="str">
        <f>IFERROR(VLOOKUP($B329,#REF!,11,FALSE),"")</f>
        <v/>
      </c>
      <c r="Y329" s="266" t="str">
        <f>IFERROR(VLOOKUP($B329,#REF!,12,FALSE),"")</f>
        <v/>
      </c>
      <c r="Z329" s="265">
        <f t="shared" si="467"/>
        <v>21764.436960894305</v>
      </c>
      <c r="AA329" s="265">
        <f t="shared" si="468"/>
        <v>4500.8505634580206</v>
      </c>
      <c r="AB329" s="265">
        <f t="shared" si="469"/>
        <v>12737.897664055427</v>
      </c>
      <c r="AC329" s="266">
        <f t="shared" si="470"/>
        <v>11857.309481263677</v>
      </c>
      <c r="AD329" s="265">
        <f t="shared" si="418"/>
        <v>21764.436960894305</v>
      </c>
      <c r="AE329" s="265">
        <f t="shared" si="419"/>
        <v>4500.8505634580206</v>
      </c>
      <c r="AF329" s="265">
        <f t="shared" si="420"/>
        <v>12737.897664055427</v>
      </c>
      <c r="AG329" s="266">
        <f t="shared" si="421"/>
        <v>11857.309481263677</v>
      </c>
      <c r="AH329" s="265">
        <f t="shared" si="471"/>
        <v>21764.436960894305</v>
      </c>
      <c r="AI329" s="265">
        <f t="shared" si="472"/>
        <v>6631.6719462887331</v>
      </c>
      <c r="AJ329" s="265">
        <f t="shared" si="473"/>
        <v>12763.238309275686</v>
      </c>
      <c r="AK329" s="265">
        <f t="shared" si="474"/>
        <v>11880.89829322908</v>
      </c>
      <c r="AL329" s="266">
        <f t="shared" si="400"/>
        <v>53040.245509687811</v>
      </c>
      <c r="AM329" s="347"/>
      <c r="AN329" s="264">
        <f>IFERROR(VLOOKUP($A329,'HH &amp; SI'!$B$4:$Z$494,'HH &amp; SI'!V$503,0),0)</f>
        <v>24790.96068060186</v>
      </c>
      <c r="AO329" s="265">
        <f>IFERROR(VLOOKUP($A329,'HH &amp; SI'!$B$4:$Z$494,'HH &amp; SI'!W$503,0),0)</f>
        <v>6486.9108836341939</v>
      </c>
      <c r="AP329" s="265">
        <f>IFERROR(VLOOKUP($A329,'HH &amp; SI'!$B$4:$Z$494,'HH &amp; SI'!X$503,0),0)</f>
        <v>13144.529563463968</v>
      </c>
      <c r="AQ329" s="265">
        <f>IFERROR(VLOOKUP($A329,'HH &amp; SI'!$B$4:$Z$494,'HH &amp; SI'!Y$503,0),0)</f>
        <v>12664.663753359597</v>
      </c>
      <c r="AR329" s="266">
        <f t="shared" si="422"/>
        <v>57087.064881059618</v>
      </c>
      <c r="AS329" s="347"/>
      <c r="AT329" s="324">
        <f>IFERROR(VLOOKUP(A329,'Afton FY16 Final'!$A$5:$BV$572,'Afton FY16 Final'!$BV$587,0),0)</f>
        <v>62181.133981117411</v>
      </c>
      <c r="AU329" s="347"/>
      <c r="AV329" s="454">
        <v>0</v>
      </c>
      <c r="AW329" s="265">
        <f>IFERROR(VLOOKUP($A329,'HH &amp; SI'!$B$4:$EY$503,'HH &amp; SI'!EX$503,0),0)</f>
        <v>0</v>
      </c>
      <c r="AX329" s="265">
        <f>IFERROR(VLOOKUP($A329,'HH &amp; SI'!$B$4:$EY$503,'HH &amp; SI'!EY$503,0),0)</f>
        <v>57087.064881059618</v>
      </c>
      <c r="AY329" s="265">
        <f>AX329/$AX$582*'update_State Admin 1004(b)'!$B$30*0.01</f>
        <v>546.3642204614232</v>
      </c>
      <c r="AZ329" s="266">
        <f t="shared" si="423"/>
        <v>56540.700660598195</v>
      </c>
      <c r="BA329" s="264">
        <f t="shared" si="424"/>
        <v>565.40700660598202</v>
      </c>
      <c r="BB329" s="265">
        <f t="shared" si="425"/>
        <v>55975.293653992216</v>
      </c>
      <c r="BC329" s="342">
        <f t="shared" ref="BC329:BC355" si="479">IFERROR(BB329/AT329,"")</f>
        <v>0.90019737612038842</v>
      </c>
      <c r="BD329" s="347"/>
      <c r="BE329" s="377" t="str">
        <f>'Original Title I &amp; II'!AZ327</f>
        <v/>
      </c>
      <c r="BF329" s="244" t="str">
        <f>IF(BE329&lt;0,BB329*BE329/100,"")</f>
        <v/>
      </c>
      <c r="BG329" s="266">
        <f t="shared" si="417"/>
        <v>55975.293653992216</v>
      </c>
      <c r="BI329" s="203">
        <f>IFERROR(VLOOKUP(A329,'Title II Hold Harmless'!A$1:B$439,2, FALSE),"")</f>
        <v>6052</v>
      </c>
      <c r="BJ329" s="203">
        <f t="shared" si="426"/>
        <v>6785.0837220303538</v>
      </c>
      <c r="BK329" s="203">
        <f t="shared" si="475"/>
        <v>6791.6475567876305</v>
      </c>
      <c r="BL329" s="203" t="str">
        <f t="shared" si="476"/>
        <v/>
      </c>
      <c r="BM329" s="203">
        <f t="shared" si="477"/>
        <v>6791.6475567876305</v>
      </c>
      <c r="BN329" s="200"/>
      <c r="BP329" s="298" t="s">
        <v>1448</v>
      </c>
      <c r="BQ329" s="299" t="str">
        <f t="shared" ref="BQ329:BQ393" si="480">IF(OR(BP329="y",BP329="n"),"Y","N")</f>
        <v>Y</v>
      </c>
      <c r="BR329" s="300" t="s">
        <v>1448</v>
      </c>
      <c r="BT329" s="298" t="str">
        <f t="shared" ref="BT329:BT393" si="481">IF(AND(S329&gt;=10,T329&gt;0.02),"Y","N")</f>
        <v>Y</v>
      </c>
      <c r="BU329" s="299" t="str">
        <f t="shared" si="428"/>
        <v>Y</v>
      </c>
      <c r="BV329" s="299" t="str">
        <f t="shared" si="429"/>
        <v>Y</v>
      </c>
      <c r="BW329" s="300" t="str">
        <f t="shared" ref="BW329:BW393" si="482">BV329</f>
        <v>Y</v>
      </c>
      <c r="BY329" s="355">
        <f t="shared" ref="BY329:BY393" si="483">IF(BT329="NA","NA",IF($T329&lt;0.15,0.85,0))</f>
        <v>0</v>
      </c>
      <c r="BZ329" s="356">
        <f t="shared" ref="BZ329:BZ393" si="484">IF(BT329="NA","NA",IF(AND($T329&gt;=0.15,$T329&lt;0.3),0.9,0))</f>
        <v>0.9</v>
      </c>
      <c r="CA329" s="356">
        <f t="shared" ref="CA329:CA393" si="485">IF(BT329="NA","NA",IF($T329&gt;=0.3,0.95,0))</f>
        <v>0</v>
      </c>
      <c r="CB329" s="357">
        <f t="shared" ref="CB329:CB393" si="486">IF(BY329="NA","NA",MAX(BY329:CA329))</f>
        <v>0.9</v>
      </c>
      <c r="CD329" s="312">
        <f t="shared" si="389"/>
        <v>322</v>
      </c>
    </row>
    <row r="330" spans="1:82" s="48" customFormat="1" outlineLevel="1" x14ac:dyDescent="0.3">
      <c r="A330" s="202">
        <v>78539000</v>
      </c>
      <c r="B330" s="48">
        <f>VLOOKUP(C330,'NCES ID'!$A$2:$B$3136,2,FALSE)</f>
        <v>400775</v>
      </c>
      <c r="C330" s="48">
        <f>VLOOKUP(A330,'State ID'!$A$2:$B$713,2,FALSE)</f>
        <v>89798</v>
      </c>
      <c r="D330" s="48" t="s">
        <v>373</v>
      </c>
      <c r="E330" s="48" t="s">
        <v>7</v>
      </c>
      <c r="F330" s="755"/>
      <c r="G330" s="755"/>
      <c r="H330" s="755"/>
      <c r="I330" s="755"/>
      <c r="J330" s="755"/>
      <c r="K330" s="755"/>
      <c r="L330" s="454"/>
      <c r="M330" s="455"/>
      <c r="N330" s="456"/>
      <c r="O330" s="209">
        <f>VLOOKUP($C330,'Final SEA Counts'!$A$2:$F$709,5,FALSE)</f>
        <v>636</v>
      </c>
      <c r="P330" s="223">
        <f>VLOOKUP($C330,'Final SEA Counts'!$A$2:$F$709,6,FALSE)</f>
        <v>104</v>
      </c>
      <c r="Q330" s="749"/>
      <c r="R330" s="454">
        <f t="shared" si="416"/>
        <v>636</v>
      </c>
      <c r="S330" s="455">
        <f t="shared" si="466"/>
        <v>51.493106361002866</v>
      </c>
      <c r="T330" s="230">
        <f t="shared" si="406"/>
        <v>8.0964003712268653E-2</v>
      </c>
      <c r="U330" s="264" t="str">
        <f>IFERROR(VLOOKUP($B330,#REF!,8,FALSE),"")</f>
        <v/>
      </c>
      <c r="V330" s="265" t="str">
        <f>IFERROR(VLOOKUP($B330,#REF!,9,FALSE),"")</f>
        <v/>
      </c>
      <c r="W330" s="265" t="str">
        <f>IFERROR(VLOOKUP($B330,#REF!,10,FALSE),"")</f>
        <v/>
      </c>
      <c r="X330" s="265" t="str">
        <f>IFERROR(VLOOKUP($B330,#REF!,11,FALSE),"")</f>
        <v/>
      </c>
      <c r="Y330" s="266" t="str">
        <f>IFERROR(VLOOKUP($B330,#REF!,12,FALSE),"")</f>
        <v/>
      </c>
      <c r="Z330" s="265">
        <f t="shared" si="467"/>
        <v>24873.642241022066</v>
      </c>
      <c r="AA330" s="265">
        <f t="shared" si="468"/>
        <v>5143.829215380596</v>
      </c>
      <c r="AB330" s="265">
        <f t="shared" si="469"/>
        <v>14557.597330349061</v>
      </c>
      <c r="AC330" s="266">
        <f t="shared" si="470"/>
        <v>13551.210835729918</v>
      </c>
      <c r="AD330" s="265">
        <f t="shared" si="418"/>
        <v>24873.642241022066</v>
      </c>
      <c r="AE330" s="265" t="str">
        <f t="shared" si="419"/>
        <v/>
      </c>
      <c r="AF330" s="265">
        <f t="shared" si="420"/>
        <v>14557.597330349061</v>
      </c>
      <c r="AG330" s="266">
        <f t="shared" si="421"/>
        <v>13551.210835729918</v>
      </c>
      <c r="AH330" s="265">
        <f t="shared" si="471"/>
        <v>24873.642241022066</v>
      </c>
      <c r="AI330" s="265" t="str">
        <f t="shared" si="472"/>
        <v/>
      </c>
      <c r="AJ330" s="265">
        <f t="shared" si="473"/>
        <v>14582.937975569321</v>
      </c>
      <c r="AK330" s="265">
        <f t="shared" si="474"/>
        <v>13574.799647695321</v>
      </c>
      <c r="AL330" s="266">
        <f t="shared" si="400"/>
        <v>53031.379864286704</v>
      </c>
      <c r="AM330" s="347"/>
      <c r="AN330" s="264">
        <f>IFERROR(VLOOKUP($A330,'HH &amp; SI'!$B$4:$Z$494,'HH &amp; SI'!V$503,0),0)</f>
        <v>24534.349616277166</v>
      </c>
      <c r="AO330" s="265">
        <f>IFERROR(VLOOKUP($A330,'HH &amp; SI'!$B$4:$Z$494,'HH &amp; SI'!W$503,0),0)</f>
        <v>0</v>
      </c>
      <c r="AP330" s="265">
        <f>IFERROR(VLOOKUP($A330,'HH &amp; SI'!$B$4:$Z$494,'HH &amp; SI'!X$503,0),0)</f>
        <v>14450.311848374371</v>
      </c>
      <c r="AQ330" s="265">
        <f>IFERROR(VLOOKUP($A330,'HH &amp; SI'!$B$4:$Z$494,'HH &amp; SI'!Y$503,0),0)</f>
        <v>13425.229791465305</v>
      </c>
      <c r="AR330" s="266">
        <f t="shared" si="422"/>
        <v>52409.89125611684</v>
      </c>
      <c r="AS330" s="347"/>
      <c r="AT330" s="324">
        <f>IFERROR(VLOOKUP(A330,'Afton FY16 Final'!$A$5:$BV$572,'Afton FY16 Final'!$BV$587,0),0)</f>
        <v>48608.802200626626</v>
      </c>
      <c r="AU330" s="347"/>
      <c r="AV330" s="454">
        <v>0</v>
      </c>
      <c r="AW330" s="265">
        <f>IFERROR(VLOOKUP($A330,'HH &amp; SI'!$B$4:$EY$503,'HH &amp; SI'!EX$503,0),0)</f>
        <v>2935.6405303895153</v>
      </c>
      <c r="AX330" s="265">
        <f>IFERROR(VLOOKUP($A330,'HH &amp; SI'!$B$4:$EY$503,'HH &amp; SI'!EY$503,0),0)</f>
        <v>49474.250725727325</v>
      </c>
      <c r="AY330" s="265">
        <f>AX330/$AX$582*'update_State Admin 1004(b)'!$B$30*0.01</f>
        <v>473.50412018893905</v>
      </c>
      <c r="AZ330" s="266">
        <f t="shared" si="423"/>
        <v>49000.746605538385</v>
      </c>
      <c r="BA330" s="264">
        <f t="shared" si="424"/>
        <v>490.00746605538387</v>
      </c>
      <c r="BB330" s="265">
        <f t="shared" si="425"/>
        <v>48510.739139482997</v>
      </c>
      <c r="BC330" s="342">
        <f t="shared" si="479"/>
        <v>0.9979826069208847</v>
      </c>
      <c r="BD330" s="347"/>
      <c r="BE330" s="377" t="str">
        <f>'Original Title I &amp; II'!AZ328</f>
        <v/>
      </c>
      <c r="BF330" s="244" t="str">
        <f>IF(BE330&lt;0,BB330*BE330/100,"")</f>
        <v/>
      </c>
      <c r="BG330" s="266">
        <f t="shared" si="417"/>
        <v>48510.739139482997</v>
      </c>
      <c r="BI330" s="203" t="str">
        <f>IFERROR(VLOOKUP(A330,'Title II Hold Harmless'!A$1:B$439,2, FALSE),"")</f>
        <v/>
      </c>
      <c r="BJ330" s="203">
        <f t="shared" si="426"/>
        <v>1185.943319431979</v>
      </c>
      <c r="BK330" s="203">
        <f t="shared" si="475"/>
        <v>1187.0905913447741</v>
      </c>
      <c r="BL330" s="203" t="str">
        <f t="shared" si="476"/>
        <v/>
      </c>
      <c r="BM330" s="203">
        <f t="shared" si="477"/>
        <v>1187.0905913447741</v>
      </c>
      <c r="BN330" s="200"/>
      <c r="BP330" s="298" t="s">
        <v>1448</v>
      </c>
      <c r="BQ330" s="299" t="str">
        <f t="shared" si="480"/>
        <v>Y</v>
      </c>
      <c r="BR330" s="300" t="s">
        <v>1448</v>
      </c>
      <c r="BT330" s="298" t="str">
        <f t="shared" si="481"/>
        <v>Y</v>
      </c>
      <c r="BU330" s="299" t="str">
        <f t="shared" si="428"/>
        <v>N</v>
      </c>
      <c r="BV330" s="299" t="str">
        <f t="shared" si="429"/>
        <v>Y</v>
      </c>
      <c r="BW330" s="300" t="str">
        <f t="shared" si="482"/>
        <v>Y</v>
      </c>
      <c r="BY330" s="355">
        <f t="shared" si="483"/>
        <v>0.85</v>
      </c>
      <c r="BZ330" s="356">
        <f t="shared" si="484"/>
        <v>0</v>
      </c>
      <c r="CA330" s="356">
        <f t="shared" si="485"/>
        <v>0</v>
      </c>
      <c r="CB330" s="357">
        <f t="shared" si="486"/>
        <v>0.85</v>
      </c>
      <c r="CD330" s="312">
        <f t="shared" ref="CD330:CD394" si="487">CD329+1</f>
        <v>323</v>
      </c>
    </row>
    <row r="331" spans="1:82" s="48" customFormat="1" outlineLevel="1" x14ac:dyDescent="0.3">
      <c r="A331" s="202">
        <v>78962000</v>
      </c>
      <c r="B331" s="48">
        <f>VLOOKUP(C331,'NCES ID'!$A$2:$B$3136,2,FALSE)</f>
        <v>400363</v>
      </c>
      <c r="C331" s="48">
        <f>VLOOKUP(A331,'State ID'!$A$2:$B$713,2,FALSE)</f>
        <v>79951</v>
      </c>
      <c r="D331" s="48" t="s">
        <v>378</v>
      </c>
      <c r="E331" s="48" t="s">
        <v>7</v>
      </c>
      <c r="F331" s="755"/>
      <c r="G331" s="755"/>
      <c r="H331" s="755"/>
      <c r="I331" s="755"/>
      <c r="J331" s="755"/>
      <c r="K331" s="755"/>
      <c r="L331" s="454"/>
      <c r="M331" s="455"/>
      <c r="N331" s="456"/>
      <c r="O331" s="209">
        <f>VLOOKUP($C331,'AzEDS FY17 12-04-16'!$A$1:$D$712,3,FALSE)</f>
        <v>50</v>
      </c>
      <c r="P331" s="223">
        <f>VLOOKUP($C331,'AzEDS FY17 12-04-16'!$A$1:$D$712,4,FALSE)</f>
        <v>39</v>
      </c>
      <c r="Q331" s="749"/>
      <c r="R331" s="454">
        <f t="shared" si="416"/>
        <v>50</v>
      </c>
      <c r="S331" s="455">
        <f t="shared" si="466"/>
        <v>19.309914885376074</v>
      </c>
      <c r="T331" s="230">
        <f t="shared" si="406"/>
        <v>0.38619829770752145</v>
      </c>
      <c r="U331" s="264" t="str">
        <f>IFERROR(VLOOKUP($B331,#REF!,8,FALSE),"")</f>
        <v/>
      </c>
      <c r="V331" s="265" t="str">
        <f>IFERROR(VLOOKUP($B331,#REF!,9,FALSE),"")</f>
        <v/>
      </c>
      <c r="W331" s="265" t="str">
        <f>IFERROR(VLOOKUP($B331,#REF!,10,FALSE),"")</f>
        <v/>
      </c>
      <c r="X331" s="265" t="str">
        <f>IFERROR(VLOOKUP($B331,#REF!,11,FALSE),"")</f>
        <v/>
      </c>
      <c r="Y331" s="266" t="str">
        <f>IFERROR(VLOOKUP($B331,#REF!,12,FALSE),"")</f>
        <v/>
      </c>
      <c r="Z331" s="265">
        <f t="shared" si="467"/>
        <v>9327.6158403832742</v>
      </c>
      <c r="AA331" s="265">
        <f t="shared" si="468"/>
        <v>1928.9359557677233</v>
      </c>
      <c r="AB331" s="265">
        <f t="shared" si="469"/>
        <v>5459.0989988808979</v>
      </c>
      <c r="AC331" s="266">
        <f t="shared" si="470"/>
        <v>5081.704063398719</v>
      </c>
      <c r="AD331" s="265">
        <f t="shared" si="418"/>
        <v>9327.6158403832742</v>
      </c>
      <c r="AE331" s="265">
        <f t="shared" si="419"/>
        <v>1928.9359557677233</v>
      </c>
      <c r="AF331" s="265">
        <f t="shared" si="420"/>
        <v>5459.0989988808979</v>
      </c>
      <c r="AG331" s="266">
        <f t="shared" si="421"/>
        <v>5081.704063398719</v>
      </c>
      <c r="AH331" s="265">
        <f t="shared" ref="AH331:AK346" si="488">IF(AD331="","",AD331+AD$359)</f>
        <v>9327.6158403832742</v>
      </c>
      <c r="AI331" s="265">
        <f t="shared" si="488"/>
        <v>4059.757338598436</v>
      </c>
      <c r="AJ331" s="265">
        <f t="shared" si="488"/>
        <v>5484.4396441011568</v>
      </c>
      <c r="AK331" s="265">
        <f t="shared" si="488"/>
        <v>5105.2928753641218</v>
      </c>
      <c r="AL331" s="266">
        <f t="shared" si="400"/>
        <v>23977.105698446987</v>
      </c>
      <c r="AM331" s="347"/>
      <c r="AN331" s="264">
        <f>IFERROR(VLOOKUP($A331,'HH &amp; SI'!$B$4:$Z$494,'HH &amp; SI'!V$503,0),0)</f>
        <v>9915.443650530935</v>
      </c>
      <c r="AO331" s="265">
        <f>IFERROR(VLOOKUP($A331,'HH &amp; SI'!$B$4:$Z$494,'HH &amp; SI'!W$503,0),0)</f>
        <v>3926.0437747245674</v>
      </c>
      <c r="AP331" s="265">
        <f>IFERROR(VLOOKUP($A331,'HH &amp; SI'!$B$4:$Z$494,'HH &amp; SI'!X$503,0),0)</f>
        <v>5434.5608068565516</v>
      </c>
      <c r="AQ331" s="265">
        <f>IFERROR(VLOOKUP($A331,'HH &amp; SI'!$B$4:$Z$494,'HH &amp; SI'!Y$503,0),0)</f>
        <v>5065.384977098438</v>
      </c>
      <c r="AR331" s="266">
        <f t="shared" si="422"/>
        <v>24341.433209210492</v>
      </c>
      <c r="AS331" s="347"/>
      <c r="AT331" s="324">
        <f>IFERROR(VLOOKUP(A331,'Afton FY16 Final'!$A$5:$BV$572,'Afton FY16 Final'!$BV$587,0),0)</f>
        <v>23293.577404717824</v>
      </c>
      <c r="AU331" s="347"/>
      <c r="AV331" s="454">
        <v>0</v>
      </c>
      <c r="AW331" s="265">
        <f>IFERROR(VLOOKUP($A331,'HH &amp; SI'!$B$4:$EY$503,'HH &amp; SI'!EX$503,0),0)</f>
        <v>1047.8558044926685</v>
      </c>
      <c r="AX331" s="265">
        <f>IFERROR(VLOOKUP($A331,'HH &amp; SI'!$B$4:$EY$503,'HH &amp; SI'!EY$503,0),0)</f>
        <v>23293.577404717824</v>
      </c>
      <c r="AY331" s="265">
        <f>AX331/$AX$582*'update_State Admin 1004(b)'!$B$30*0.01</f>
        <v>222.93626913561945</v>
      </c>
      <c r="AZ331" s="266">
        <f t="shared" si="423"/>
        <v>23070.641135582206</v>
      </c>
      <c r="BA331" s="264">
        <f t="shared" si="424"/>
        <v>230.70641135582207</v>
      </c>
      <c r="BB331" s="265">
        <f t="shared" si="425"/>
        <v>22839.934724226383</v>
      </c>
      <c r="BC331" s="342">
        <f t="shared" si="479"/>
        <v>0.98052498881517614</v>
      </c>
      <c r="BD331" s="347"/>
      <c r="BE331" s="377" t="str">
        <f>'Original Title I &amp; II'!AZ329</f>
        <v/>
      </c>
      <c r="BF331" s="244" t="str">
        <f>IF(BE331&lt;0,BB331*BE331/100,"")</f>
        <v/>
      </c>
      <c r="BG331" s="266">
        <f t="shared" si="417"/>
        <v>22839.934724226383</v>
      </c>
      <c r="BI331" s="203" t="str">
        <f>IFERROR(VLOOKUP(A331,'Title II Hold Harmless'!A$1:B$439,2, FALSE),"")</f>
        <v/>
      </c>
      <c r="BJ331" s="203">
        <f t="shared" si="426"/>
        <v>293.02400331779717</v>
      </c>
      <c r="BK331" s="203">
        <f t="shared" si="475"/>
        <v>293.30747235318267</v>
      </c>
      <c r="BL331" s="203" t="str">
        <f t="shared" si="476"/>
        <v/>
      </c>
      <c r="BM331" s="203">
        <f t="shared" si="477"/>
        <v>293.30747235318267</v>
      </c>
      <c r="BN331" s="200"/>
      <c r="BP331" s="298" t="s">
        <v>1448</v>
      </c>
      <c r="BQ331" s="299" t="str">
        <f t="shared" si="480"/>
        <v>Y</v>
      </c>
      <c r="BR331" s="300" t="s">
        <v>1448</v>
      </c>
      <c r="BT331" s="298" t="str">
        <f t="shared" si="481"/>
        <v>Y</v>
      </c>
      <c r="BU331" s="299" t="str">
        <f t="shared" si="428"/>
        <v>Y</v>
      </c>
      <c r="BV331" s="299" t="str">
        <f t="shared" si="429"/>
        <v>Y</v>
      </c>
      <c r="BW331" s="300" t="str">
        <f t="shared" si="482"/>
        <v>Y</v>
      </c>
      <c r="BY331" s="355">
        <f t="shared" si="483"/>
        <v>0</v>
      </c>
      <c r="BZ331" s="356">
        <f t="shared" si="484"/>
        <v>0</v>
      </c>
      <c r="CA331" s="356">
        <f t="shared" si="485"/>
        <v>0.95</v>
      </c>
      <c r="CB331" s="357">
        <f t="shared" si="486"/>
        <v>0.95</v>
      </c>
      <c r="CD331" s="312">
        <f t="shared" si="487"/>
        <v>324</v>
      </c>
    </row>
    <row r="332" spans="1:82" s="48" customFormat="1" outlineLevel="1" x14ac:dyDescent="0.3">
      <c r="A332" s="202">
        <v>78566000</v>
      </c>
      <c r="B332" s="48">
        <f>VLOOKUP(C332,'NCES ID'!$A$2:$B$3136,2,FALSE)</f>
        <v>400801</v>
      </c>
      <c r="C332" s="48">
        <f>VLOOKUP(A332,'State ID'!$A$2:$B$713,2,FALSE)</f>
        <v>90329</v>
      </c>
      <c r="D332" s="48" t="s">
        <v>385</v>
      </c>
      <c r="E332" s="48" t="s">
        <v>7</v>
      </c>
      <c r="F332" s="755"/>
      <c r="G332" s="755"/>
      <c r="H332" s="755"/>
      <c r="I332" s="755"/>
      <c r="J332" s="755"/>
      <c r="K332" s="755"/>
      <c r="L332" s="454"/>
      <c r="M332" s="455"/>
      <c r="N332" s="456"/>
      <c r="O332" s="209">
        <f>VLOOKUP($C332,'Final SEA Counts'!$A$2:$F$709,5,FALSE)</f>
        <v>118</v>
      </c>
      <c r="P332" s="223">
        <f>VLOOKUP($C332,'Final SEA Counts'!$A$2:$F$709,6,FALSE)</f>
        <v>102</v>
      </c>
      <c r="Q332" s="749"/>
      <c r="R332" s="454">
        <f t="shared" si="416"/>
        <v>118</v>
      </c>
      <c r="S332" s="455">
        <f t="shared" si="466"/>
        <v>50.50285431559896</v>
      </c>
      <c r="T332" s="230">
        <f t="shared" si="406"/>
        <v>0.42799029081016066</v>
      </c>
      <c r="U332" s="264" t="str">
        <f>IFERROR(VLOOKUP($B332,#REF!,8,FALSE),"")</f>
        <v/>
      </c>
      <c r="V332" s="265" t="str">
        <f>IFERROR(VLOOKUP($B332,#REF!,9,FALSE),"")</f>
        <v/>
      </c>
      <c r="W332" s="265" t="str">
        <f>IFERROR(VLOOKUP($B332,#REF!,10,FALSE),"")</f>
        <v/>
      </c>
      <c r="X332" s="265" t="str">
        <f>IFERROR(VLOOKUP($B332,#REF!,11,FALSE),"")</f>
        <v/>
      </c>
      <c r="Y332" s="266" t="str">
        <f>IFERROR(VLOOKUP($B332,#REF!,12,FALSE),"")</f>
        <v/>
      </c>
      <c r="Z332" s="265">
        <f t="shared" si="467"/>
        <v>24395.302967156254</v>
      </c>
      <c r="AA332" s="265">
        <f t="shared" si="468"/>
        <v>5044.909422777122</v>
      </c>
      <c r="AB332" s="265">
        <f t="shared" si="469"/>
        <v>14277.643535534655</v>
      </c>
      <c r="AC332" s="266">
        <f t="shared" si="470"/>
        <v>13290.610627350496</v>
      </c>
      <c r="AD332" s="265">
        <f t="shared" si="418"/>
        <v>24395.302967156254</v>
      </c>
      <c r="AE332" s="265">
        <f t="shared" si="419"/>
        <v>5044.909422777122</v>
      </c>
      <c r="AF332" s="265">
        <f t="shared" si="420"/>
        <v>14277.643535534655</v>
      </c>
      <c r="AG332" s="266">
        <f t="shared" si="421"/>
        <v>13290.610627350496</v>
      </c>
      <c r="AH332" s="265">
        <f t="shared" si="488"/>
        <v>24395.302967156254</v>
      </c>
      <c r="AI332" s="265">
        <f t="shared" si="488"/>
        <v>7175.7308056078346</v>
      </c>
      <c r="AJ332" s="265">
        <f t="shared" si="488"/>
        <v>14302.984180754915</v>
      </c>
      <c r="AK332" s="265">
        <f t="shared" si="488"/>
        <v>13314.199439315898</v>
      </c>
      <c r="AL332" s="266">
        <f t="shared" si="400"/>
        <v>59188.2173928349</v>
      </c>
      <c r="AM332" s="347"/>
      <c r="AN332" s="264">
        <f>IFERROR(VLOOKUP($A332,'HH &amp; SI'!$B$4:$Z$494,'HH &amp; SI'!V$503,0),0)</f>
        <v>24810.059026225896</v>
      </c>
      <c r="AO332" s="265">
        <f>IFERROR(VLOOKUP($A332,'HH &amp; SI'!$B$4:$Z$494,'HH &amp; SI'!W$503,0),0)</f>
        <v>6939.388468026501</v>
      </c>
      <c r="AP332" s="265">
        <f>IFERROR(VLOOKUP($A332,'HH &amp; SI'!$B$4:$Z$494,'HH &amp; SI'!X$503,0),0)</f>
        <v>14172.904124019975</v>
      </c>
      <c r="AQ332" s="265">
        <f>IFERROR(VLOOKUP($A332,'HH &amp; SI'!$B$4:$Z$494,'HH &amp; SI'!Y$503,0),0)</f>
        <v>13167.500928277886</v>
      </c>
      <c r="AR332" s="266">
        <f t="shared" si="422"/>
        <v>59089.852546550253</v>
      </c>
      <c r="AS332" s="347"/>
      <c r="AT332" s="324">
        <f>IFERROR(VLOOKUP(A332,'Afton FY16 Final'!$A$5:$BV$572,'Afton FY16 Final'!$BV$587,0),0)</f>
        <v>57597.530720847994</v>
      </c>
      <c r="AU332" s="347"/>
      <c r="AV332" s="454">
        <v>0</v>
      </c>
      <c r="AW332" s="265">
        <f>IFERROR(VLOOKUP($A332,'HH &amp; SI'!$B$4:$EY$503,'HH &amp; SI'!EX$503,0),0)</f>
        <v>1492.32182570226</v>
      </c>
      <c r="AX332" s="265">
        <f>IFERROR(VLOOKUP($A332,'HH &amp; SI'!$B$4:$EY$503,'HH &amp; SI'!EY$503,0),0)</f>
        <v>57597.530720847994</v>
      </c>
      <c r="AY332" s="265">
        <f>AX332/$AX$582*'update_State Admin 1004(b)'!$B$30*0.01</f>
        <v>551.24974525078221</v>
      </c>
      <c r="AZ332" s="266">
        <f t="shared" si="423"/>
        <v>57046.280975597212</v>
      </c>
      <c r="BA332" s="264">
        <f t="shared" si="424"/>
        <v>570.4628097559721</v>
      </c>
      <c r="BB332" s="265">
        <f t="shared" si="425"/>
        <v>56475.818165841243</v>
      </c>
      <c r="BC332" s="342">
        <f t="shared" si="479"/>
        <v>0.98052498881517614</v>
      </c>
      <c r="BD332" s="347"/>
      <c r="BE332" s="377" t="str">
        <f>'Original Title I &amp; II'!AZ330</f>
        <v/>
      </c>
      <c r="BF332" s="244" t="str">
        <f>IF(BE332&lt;0,BB332*BE332/100,"")</f>
        <v/>
      </c>
      <c r="BG332" s="266">
        <f t="shared" si="417"/>
        <v>56475.818165841243</v>
      </c>
      <c r="BI332" s="203" t="str">
        <f>IFERROR(VLOOKUP(A332,'Title II Hold Harmless'!A$1:B$439,2, FALSE),"")</f>
        <v/>
      </c>
      <c r="BJ332" s="203">
        <f t="shared" si="426"/>
        <v>756.09379725765166</v>
      </c>
      <c r="BK332" s="203">
        <f t="shared" si="475"/>
        <v>756.82523624197654</v>
      </c>
      <c r="BL332" s="203" t="str">
        <f t="shared" si="476"/>
        <v/>
      </c>
      <c r="BM332" s="203">
        <f t="shared" si="477"/>
        <v>756.82523624197654</v>
      </c>
      <c r="BN332" s="200"/>
      <c r="BP332" s="298" t="s">
        <v>1448</v>
      </c>
      <c r="BQ332" s="299" t="str">
        <f t="shared" si="480"/>
        <v>Y</v>
      </c>
      <c r="BR332" s="300" t="s">
        <v>1448</v>
      </c>
      <c r="BT332" s="298" t="str">
        <f t="shared" si="481"/>
        <v>Y</v>
      </c>
      <c r="BU332" s="299" t="str">
        <f t="shared" si="428"/>
        <v>Y</v>
      </c>
      <c r="BV332" s="299" t="str">
        <f t="shared" si="429"/>
        <v>Y</v>
      </c>
      <c r="BW332" s="300" t="str">
        <f t="shared" si="482"/>
        <v>Y</v>
      </c>
      <c r="BY332" s="355">
        <f t="shared" si="483"/>
        <v>0</v>
      </c>
      <c r="BZ332" s="356">
        <f t="shared" si="484"/>
        <v>0</v>
      </c>
      <c r="CA332" s="356">
        <f t="shared" si="485"/>
        <v>0.95</v>
      </c>
      <c r="CB332" s="357">
        <f t="shared" si="486"/>
        <v>0.95</v>
      </c>
      <c r="CD332" s="312">
        <f t="shared" si="487"/>
        <v>325</v>
      </c>
    </row>
    <row r="333" spans="1:82" s="48" customFormat="1" outlineLevel="1" x14ac:dyDescent="0.3">
      <c r="A333" s="202">
        <v>78914000</v>
      </c>
      <c r="B333" s="48">
        <f>VLOOKUP(C333,'NCES ID'!$A$2:$B$3136,2,FALSE)</f>
        <v>400243</v>
      </c>
      <c r="C333" s="48">
        <f>VLOOKUP(A333,'State ID'!$A$2:$B$713,2,FALSE)</f>
        <v>79084</v>
      </c>
      <c r="D333" s="48" t="s">
        <v>386</v>
      </c>
      <c r="E333" s="48" t="s">
        <v>7</v>
      </c>
      <c r="F333" s="755"/>
      <c r="G333" s="755"/>
      <c r="H333" s="755"/>
      <c r="I333" s="755"/>
      <c r="J333" s="755"/>
      <c r="K333" s="755"/>
      <c r="L333" s="454"/>
      <c r="M333" s="455"/>
      <c r="N333" s="456"/>
      <c r="O333" s="209">
        <f>VLOOKUP($C333,'Final SEA Counts'!$A$2:$F$709,5,FALSE)</f>
        <v>94</v>
      </c>
      <c r="P333" s="223">
        <f>VLOOKUP($C333,'Final SEA Counts'!$A$2:$F$709,6,FALSE)</f>
        <v>74</v>
      </c>
      <c r="Q333" s="749"/>
      <c r="R333" s="454">
        <f t="shared" si="416"/>
        <v>94</v>
      </c>
      <c r="S333" s="455">
        <f t="shared" si="466"/>
        <v>36.639325679944342</v>
      </c>
      <c r="T333" s="230">
        <f t="shared" si="406"/>
        <v>0.38978006042493979</v>
      </c>
      <c r="U333" s="264" t="str">
        <f>IFERROR(VLOOKUP($B333,#REF!,8,FALSE),"")</f>
        <v/>
      </c>
      <c r="V333" s="265" t="str">
        <f>IFERROR(VLOOKUP($B333,#REF!,9,FALSE),"")</f>
        <v/>
      </c>
      <c r="W333" s="265" t="str">
        <f>IFERROR(VLOOKUP($B333,#REF!,10,FALSE),"")</f>
        <v/>
      </c>
      <c r="X333" s="265" t="str">
        <f>IFERROR(VLOOKUP($B333,#REF!,11,FALSE),"")</f>
        <v/>
      </c>
      <c r="Y333" s="266" t="str">
        <f>IFERROR(VLOOKUP($B333,#REF!,12,FALSE),"")</f>
        <v/>
      </c>
      <c r="Z333" s="265">
        <f t="shared" si="467"/>
        <v>17698.553133034929</v>
      </c>
      <c r="AA333" s="265">
        <f t="shared" si="468"/>
        <v>3660.0323263285004</v>
      </c>
      <c r="AB333" s="265">
        <f t="shared" si="469"/>
        <v>10358.290408132985</v>
      </c>
      <c r="AC333" s="266">
        <f t="shared" si="470"/>
        <v>9642.2077100385941</v>
      </c>
      <c r="AD333" s="265">
        <f t="shared" si="418"/>
        <v>17698.553133034929</v>
      </c>
      <c r="AE333" s="265">
        <f t="shared" si="419"/>
        <v>3660.0323263285004</v>
      </c>
      <c r="AF333" s="265">
        <f t="shared" si="420"/>
        <v>10358.290408132985</v>
      </c>
      <c r="AG333" s="266">
        <f t="shared" si="421"/>
        <v>9642.2077100385941</v>
      </c>
      <c r="AH333" s="265">
        <f t="shared" si="488"/>
        <v>17698.553133034929</v>
      </c>
      <c r="AI333" s="265">
        <f t="shared" si="488"/>
        <v>5790.8537091592134</v>
      </c>
      <c r="AJ333" s="265">
        <f t="shared" si="488"/>
        <v>10383.631053353245</v>
      </c>
      <c r="AK333" s="265">
        <f t="shared" si="488"/>
        <v>9665.7965220039969</v>
      </c>
      <c r="AL333" s="266">
        <f t="shared" si="400"/>
        <v>43538.834417551385</v>
      </c>
      <c r="AM333" s="347"/>
      <c r="AN333" s="264">
        <f>IFERROR(VLOOKUP($A333,'HH &amp; SI'!$B$4:$Z$494,'HH &amp; SI'!V$503,0),0)</f>
        <v>29001.760959445295</v>
      </c>
      <c r="AO333" s="265">
        <f>IFERROR(VLOOKUP($A333,'HH &amp; SI'!$B$4:$Z$494,'HH &amp; SI'!W$503,0),0)</f>
        <v>7075.9767656177346</v>
      </c>
      <c r="AP333" s="265">
        <f>IFERROR(VLOOKUP($A333,'HH &amp; SI'!$B$4:$Z$494,'HH &amp; SI'!X$503,0),0)</f>
        <v>15377.157393591126</v>
      </c>
      <c r="AQ333" s="265">
        <f>IFERROR(VLOOKUP($A333,'HH &amp; SI'!$B$4:$Z$494,'HH &amp; SI'!Y$503,0),0)</f>
        <v>14815.785299279867</v>
      </c>
      <c r="AR333" s="266">
        <f t="shared" si="422"/>
        <v>66270.680417934025</v>
      </c>
      <c r="AS333" s="347"/>
      <c r="AT333" s="324">
        <f>IFERROR(VLOOKUP(A333,'Afton FY16 Final'!$A$5:$BV$572,'Afton FY16 Final'!$BV$587,0),0)</f>
        <v>64041.276698044159</v>
      </c>
      <c r="AU333" s="347"/>
      <c r="AV333" s="454">
        <v>0</v>
      </c>
      <c r="AW333" s="265">
        <f>IFERROR(VLOOKUP($A333,'HH &amp; SI'!$B$4:$EY$503,'HH &amp; SI'!EX$503,0),0)</f>
        <v>2229.4037198898659</v>
      </c>
      <c r="AX333" s="265">
        <f>IFERROR(VLOOKUP($A333,'HH &amp; SI'!$B$4:$EY$503,'HH &amp; SI'!EY$503,0),0)</f>
        <v>64041.276698044159</v>
      </c>
      <c r="AY333" s="265">
        <f>AX333/$AX$582*'update_State Admin 1004(b)'!$B$30*0.01</f>
        <v>612.92102323673964</v>
      </c>
      <c r="AZ333" s="266">
        <f t="shared" si="423"/>
        <v>63428.355674807419</v>
      </c>
      <c r="BA333" s="264">
        <f t="shared" si="424"/>
        <v>634.28355674807415</v>
      </c>
      <c r="BB333" s="265">
        <f t="shared" si="425"/>
        <v>62794.072118059346</v>
      </c>
      <c r="BC333" s="342">
        <f t="shared" si="479"/>
        <v>0.98052498881517614</v>
      </c>
      <c r="BD333" s="347"/>
      <c r="BE333" s="377" t="str">
        <f>'Original Title I &amp; II'!AZ331</f>
        <v/>
      </c>
      <c r="BF333" s="244" t="str">
        <f>IF(BE333&lt;0,BB333*BE333/100,"")</f>
        <v/>
      </c>
      <c r="BG333" s="266">
        <f t="shared" si="417"/>
        <v>62794.072118059346</v>
      </c>
      <c r="BI333" s="203">
        <f>IFERROR(VLOOKUP(A333,'Title II Hold Harmless'!A$1:B$439,2, FALSE),"")</f>
        <v>3710</v>
      </c>
      <c r="BJ333" s="203">
        <f t="shared" si="426"/>
        <v>4265.2926424634425</v>
      </c>
      <c r="BK333" s="203">
        <f t="shared" si="475"/>
        <v>4269.4188518432411</v>
      </c>
      <c r="BL333" s="203" t="str">
        <f t="shared" si="476"/>
        <v/>
      </c>
      <c r="BM333" s="203">
        <f t="shared" si="477"/>
        <v>4269.4188518432411</v>
      </c>
      <c r="BN333" s="200"/>
      <c r="BP333" s="298" t="s">
        <v>1448</v>
      </c>
      <c r="BQ333" s="299" t="str">
        <f t="shared" si="480"/>
        <v>Y</v>
      </c>
      <c r="BR333" s="300" t="s">
        <v>1448</v>
      </c>
      <c r="BT333" s="298" t="str">
        <f t="shared" si="481"/>
        <v>Y</v>
      </c>
      <c r="BU333" s="299" t="str">
        <f t="shared" si="428"/>
        <v>Y</v>
      </c>
      <c r="BV333" s="299" t="str">
        <f t="shared" si="429"/>
        <v>Y</v>
      </c>
      <c r="BW333" s="300" t="str">
        <f t="shared" si="482"/>
        <v>Y</v>
      </c>
      <c r="BY333" s="355">
        <f t="shared" si="483"/>
        <v>0</v>
      </c>
      <c r="BZ333" s="356">
        <f t="shared" si="484"/>
        <v>0</v>
      </c>
      <c r="CA333" s="356">
        <f t="shared" si="485"/>
        <v>0.95</v>
      </c>
      <c r="CB333" s="357">
        <f t="shared" si="486"/>
        <v>0.95</v>
      </c>
      <c r="CD333" s="312">
        <f t="shared" si="487"/>
        <v>326</v>
      </c>
    </row>
    <row r="334" spans="1:82" s="48" customFormat="1" outlineLevel="1" x14ac:dyDescent="0.3">
      <c r="A334" s="202">
        <v>78228000</v>
      </c>
      <c r="B334" s="48">
        <f>VLOOKUP(C334,'NCES ID'!$A$2:$B$3136,2,FALSE)</f>
        <v>400880</v>
      </c>
      <c r="C334" s="48">
        <f>VLOOKUP(A334,'State ID'!$A$2:$B$713,2,FALSE)</f>
        <v>92043</v>
      </c>
      <c r="D334" s="48" t="s">
        <v>396</v>
      </c>
      <c r="E334" s="48" t="s">
        <v>7</v>
      </c>
      <c r="F334" s="755"/>
      <c r="G334" s="755"/>
      <c r="H334" s="755"/>
      <c r="I334" s="755"/>
      <c r="J334" s="755"/>
      <c r="K334" s="755"/>
      <c r="L334" s="454"/>
      <c r="M334" s="455"/>
      <c r="N334" s="456"/>
      <c r="O334" s="209">
        <f>VLOOKUP($C334,'Final SEA Counts'!$A$2:$F$709,5,FALSE)</f>
        <v>147</v>
      </c>
      <c r="P334" s="223">
        <f>VLOOKUP($C334,'Final SEA Counts'!$A$2:$F$709,6,FALSE)</f>
        <v>123</v>
      </c>
      <c r="Q334" s="749"/>
      <c r="R334" s="454">
        <f t="shared" si="416"/>
        <v>147</v>
      </c>
      <c r="S334" s="455">
        <f t="shared" ref="S334:S356" si="489">P334*$B$358</f>
        <v>60.900500792339926</v>
      </c>
      <c r="T334" s="230">
        <f t="shared" si="406"/>
        <v>0.41428912103632604</v>
      </c>
      <c r="U334" s="264"/>
      <c r="V334" s="265"/>
      <c r="W334" s="265"/>
      <c r="X334" s="265"/>
      <c r="Y334" s="266"/>
      <c r="Z334" s="265">
        <f t="shared" si="467"/>
        <v>29417.865342747253</v>
      </c>
      <c r="AA334" s="265">
        <f t="shared" si="468"/>
        <v>6083.5672451135888</v>
      </c>
      <c r="AB334" s="265">
        <f t="shared" si="469"/>
        <v>17217.158381085908</v>
      </c>
      <c r="AC334" s="266">
        <f t="shared" si="470"/>
        <v>16026.912815334423</v>
      </c>
      <c r="AD334" s="265">
        <f t="shared" si="418"/>
        <v>29417.865342747253</v>
      </c>
      <c r="AE334" s="265">
        <f t="shared" si="419"/>
        <v>6083.5672451135888</v>
      </c>
      <c r="AF334" s="265">
        <f t="shared" si="420"/>
        <v>17217.158381085908</v>
      </c>
      <c r="AG334" s="266">
        <f t="shared" si="421"/>
        <v>16026.912815334423</v>
      </c>
      <c r="AH334" s="265">
        <f t="shared" si="488"/>
        <v>29417.865342747253</v>
      </c>
      <c r="AI334" s="265">
        <f t="shared" si="488"/>
        <v>8214.3886279443013</v>
      </c>
      <c r="AJ334" s="265">
        <f t="shared" si="488"/>
        <v>17242.499026306166</v>
      </c>
      <c r="AK334" s="265">
        <f t="shared" si="488"/>
        <v>16050.501627299825</v>
      </c>
      <c r="AL334" s="266">
        <f t="shared" ref="AL334" si="490">SUM(AH334:AK334)</f>
        <v>70925.254624297551</v>
      </c>
      <c r="AM334" s="347"/>
      <c r="AN334" s="264">
        <f>IFERROR(VLOOKUP($A334,'HH &amp; SI'!$B$4:$Z$494,'HH &amp; SI'!V$503,0),0)</f>
        <v>49088.637232585432</v>
      </c>
      <c r="AO334" s="265">
        <f>IFERROR(VLOOKUP($A334,'HH &amp; SI'!$B$4:$Z$494,'HH &amp; SI'!W$503,0),0)</f>
        <v>10114.313766578154</v>
      </c>
      <c r="AP334" s="265">
        <f>IFERROR(VLOOKUP($A334,'HH &amp; SI'!$B$4:$Z$494,'HH &amp; SI'!X$503,0),0)</f>
        <v>25128.569640141704</v>
      </c>
      <c r="AQ334" s="265">
        <f>IFERROR(VLOOKUP($A334,'HH &amp; SI'!$B$4:$Z$494,'HH &amp; SI'!Y$503,0),0)</f>
        <v>25128.279082582849</v>
      </c>
      <c r="AR334" s="266">
        <f t="shared" si="422"/>
        <v>109459.79972188815</v>
      </c>
      <c r="AS334" s="347"/>
      <c r="AT334" s="324">
        <f>IFERROR(VLOOKUP(A334,'Afton FY16 Final'!$A$5:$BV$572,'Afton FY16 Final'!$BV$587,0),0)</f>
        <v>111142.94736502168</v>
      </c>
      <c r="AU334" s="347"/>
      <c r="AV334" s="454">
        <v>0</v>
      </c>
      <c r="AW334" s="265">
        <f>IFERROR(VLOOKUP($A334,'HH &amp; SI'!$B$4:$EY$503,'HH &amp; SI'!EX$503,0),0)</f>
        <v>0</v>
      </c>
      <c r="AX334" s="265">
        <f>IFERROR(VLOOKUP($A334,'HH &amp; SI'!$B$4:$EY$503,'HH &amp; SI'!EY$503,0),0)</f>
        <v>109459.79972188815</v>
      </c>
      <c r="AY334" s="265">
        <f>AX334/$AX$582*'update_State Admin 1004(b)'!$B$30*0.01</f>
        <v>1047.6089158115931</v>
      </c>
      <c r="AZ334" s="266">
        <f t="shared" si="423"/>
        <v>108412.19080607656</v>
      </c>
      <c r="BA334" s="264">
        <f t="shared" si="424"/>
        <v>1084.1219080607657</v>
      </c>
      <c r="BB334" s="265">
        <f t="shared" si="425"/>
        <v>107328.06889801579</v>
      </c>
      <c r="BC334" s="342">
        <f t="shared" si="479"/>
        <v>0.96567592854563356</v>
      </c>
      <c r="BD334" s="347"/>
      <c r="BE334" s="377">
        <f>'Original Title I &amp; II'!AZ332</f>
        <v>0</v>
      </c>
      <c r="BF334" s="244"/>
      <c r="BG334" s="266">
        <f t="shared" si="417"/>
        <v>107328.06889801579</v>
      </c>
      <c r="BI334" s="203" t="str">
        <f>IFERROR(VLOOKUP(A334,'Title II Hold Harmless'!A$1:B$439,2, FALSE),"")</f>
        <v/>
      </c>
      <c r="BJ334" s="203">
        <f t="shared" si="426"/>
        <v>915.5474599377178</v>
      </c>
      <c r="BK334" s="203">
        <f t="shared" si="475"/>
        <v>916.43315309725301</v>
      </c>
      <c r="BL334" s="203" t="str">
        <f t="shared" si="476"/>
        <v/>
      </c>
      <c r="BM334" s="203">
        <f t="shared" si="477"/>
        <v>916.43315309725301</v>
      </c>
      <c r="BN334" s="200"/>
      <c r="BP334" s="298" t="s">
        <v>1448</v>
      </c>
      <c r="BQ334" s="299" t="str">
        <f t="shared" si="480"/>
        <v>Y</v>
      </c>
      <c r="BR334" s="300" t="s">
        <v>1448</v>
      </c>
      <c r="BT334" s="298" t="str">
        <f t="shared" si="481"/>
        <v>Y</v>
      </c>
      <c r="BU334" s="299" t="str">
        <f t="shared" si="428"/>
        <v>Y</v>
      </c>
      <c r="BV334" s="299" t="str">
        <f t="shared" si="429"/>
        <v>Y</v>
      </c>
      <c r="BW334" s="300" t="str">
        <f t="shared" si="482"/>
        <v>Y</v>
      </c>
      <c r="BY334" s="355">
        <f t="shared" si="483"/>
        <v>0</v>
      </c>
      <c r="BZ334" s="356">
        <f t="shared" si="484"/>
        <v>0</v>
      </c>
      <c r="CA334" s="356">
        <f t="shared" si="485"/>
        <v>0.95</v>
      </c>
      <c r="CB334" s="357">
        <f t="shared" si="486"/>
        <v>0.95</v>
      </c>
      <c r="CD334" s="312">
        <f t="shared" si="487"/>
        <v>327</v>
      </c>
    </row>
    <row r="335" spans="1:82" s="48" customFormat="1" outlineLevel="1" x14ac:dyDescent="0.3">
      <c r="A335" s="202">
        <v>78599000</v>
      </c>
      <c r="B335" s="48">
        <f>VLOOKUP(C335,'NCES ID'!$A$2:$B$3136,2,FALSE)</f>
        <v>400853</v>
      </c>
      <c r="C335" s="48">
        <f>VLOOKUP(A335,'State ID'!$A$2:$B$713,2,FALSE)</f>
        <v>91108</v>
      </c>
      <c r="D335" s="48" t="s">
        <v>394</v>
      </c>
      <c r="E335" s="48" t="s">
        <v>7</v>
      </c>
      <c r="F335" s="755"/>
      <c r="G335" s="755"/>
      <c r="H335" s="755"/>
      <c r="I335" s="755"/>
      <c r="J335" s="755"/>
      <c r="K335" s="755"/>
      <c r="L335" s="454"/>
      <c r="M335" s="455"/>
      <c r="N335" s="456"/>
      <c r="O335" s="209">
        <f>VLOOKUP($C335,'Final SEA Counts'!$A$2:$F$709,5,FALSE)</f>
        <v>293</v>
      </c>
      <c r="P335" s="223">
        <f>VLOOKUP($C335,'Final SEA Counts'!$A$2:$F$709,6,FALSE)</f>
        <v>229</v>
      </c>
      <c r="Q335" s="749"/>
      <c r="R335" s="454">
        <f t="shared" si="416"/>
        <v>293</v>
      </c>
      <c r="S335" s="455">
        <f t="shared" si="489"/>
        <v>113.38385919874669</v>
      </c>
      <c r="T335" s="230">
        <f t="shared" si="406"/>
        <v>0.38697562866466445</v>
      </c>
      <c r="U335" s="264" t="str">
        <f>IFERROR(VLOOKUP($B335,#REF!,8,FALSE),"")</f>
        <v/>
      </c>
      <c r="V335" s="265" t="str">
        <f>IFERROR(VLOOKUP($B335,#REF!,9,FALSE),"")</f>
        <v/>
      </c>
      <c r="W335" s="265" t="str">
        <f>IFERROR(VLOOKUP($B335,#REF!,10,FALSE),"")</f>
        <v/>
      </c>
      <c r="X335" s="265" t="str">
        <f>IFERROR(VLOOKUP($B335,#REF!,11,FALSE),"")</f>
        <v/>
      </c>
      <c r="Y335" s="266" t="str">
        <f>IFERROR(VLOOKUP($B335,#REF!,12,FALSE),"")</f>
        <v/>
      </c>
      <c r="Z335" s="265">
        <f t="shared" si="467"/>
        <v>54769.84685763513</v>
      </c>
      <c r="AA335" s="265">
        <f t="shared" si="468"/>
        <v>11326.316253097657</v>
      </c>
      <c r="AB335" s="265">
        <f t="shared" si="469"/>
        <v>32054.709506249375</v>
      </c>
      <c r="AC335" s="266">
        <f t="shared" si="470"/>
        <v>29838.723859443762</v>
      </c>
      <c r="AD335" s="265">
        <f t="shared" si="418"/>
        <v>54769.84685763513</v>
      </c>
      <c r="AE335" s="265">
        <f t="shared" si="419"/>
        <v>11326.316253097657</v>
      </c>
      <c r="AF335" s="265">
        <f t="shared" si="420"/>
        <v>32054.709506249375</v>
      </c>
      <c r="AG335" s="266">
        <f t="shared" si="421"/>
        <v>29838.723859443762</v>
      </c>
      <c r="AH335" s="265">
        <f t="shared" si="488"/>
        <v>54769.84685763513</v>
      </c>
      <c r="AI335" s="265">
        <f t="shared" si="488"/>
        <v>13457.137635928369</v>
      </c>
      <c r="AJ335" s="265">
        <f t="shared" si="488"/>
        <v>32080.050151469633</v>
      </c>
      <c r="AK335" s="265">
        <f t="shared" si="488"/>
        <v>29862.312671409163</v>
      </c>
      <c r="AL335" s="266">
        <f t="shared" si="400"/>
        <v>130169.3473164423</v>
      </c>
      <c r="AM335" s="347"/>
      <c r="AN335" s="264">
        <f>IFERROR(VLOOKUP($A335,'HH &amp; SI'!$B$4:$Z$494,'HH &amp; SI'!V$503,0),0)</f>
        <v>65104.794905223047</v>
      </c>
      <c r="AO335" s="265">
        <f>IFERROR(VLOOKUP($A335,'HH &amp; SI'!$B$4:$Z$494,'HH &amp; SI'!W$503,0),0)</f>
        <v>13960.858917356985</v>
      </c>
      <c r="AP335" s="265">
        <f>IFERROR(VLOOKUP($A335,'HH &amp; SI'!$B$4:$Z$494,'HH &amp; SI'!X$503,0),0)</f>
        <v>34519.513478337147</v>
      </c>
      <c r="AQ335" s="265">
        <f>IFERROR(VLOOKUP($A335,'HH &amp; SI'!$B$4:$Z$494,'HH &amp; SI'!Y$503,0),0)</f>
        <v>33259.313619550747</v>
      </c>
      <c r="AR335" s="266">
        <f t="shared" si="422"/>
        <v>146844.48092046793</v>
      </c>
      <c r="AS335" s="347"/>
      <c r="AT335" s="324">
        <f>IFERROR(VLOOKUP(A335,'Afton FY16 Final'!$A$5:$BV$572,'Afton FY16 Final'!$BV$587,0),0)</f>
        <v>115027.70462570613</v>
      </c>
      <c r="AU335" s="347"/>
      <c r="AV335" s="454">
        <v>0</v>
      </c>
      <c r="AW335" s="265">
        <f>IFERROR(VLOOKUP($A335,'HH &amp; SI'!$B$4:$EY$503,'HH &amp; SI'!EX$503,0),0)</f>
        <v>8225.2147356597707</v>
      </c>
      <c r="AX335" s="265">
        <f>IFERROR(VLOOKUP($A335,'HH &amp; SI'!$B$4:$EY$503,'HH &amp; SI'!EY$503,0),0)</f>
        <v>138619.26618480816</v>
      </c>
      <c r="AY335" s="265">
        <f>AX335/$AX$582*'update_State Admin 1004(b)'!$B$30*0.01</f>
        <v>1326.6859571041841</v>
      </c>
      <c r="AZ335" s="266">
        <f t="shared" si="423"/>
        <v>137292.58022770399</v>
      </c>
      <c r="BA335" s="264">
        <f t="shared" si="424"/>
        <v>1372.92580227704</v>
      </c>
      <c r="BB335" s="265">
        <f t="shared" si="425"/>
        <v>135919.65442542694</v>
      </c>
      <c r="BC335" s="342">
        <f t="shared" si="479"/>
        <v>1.1816253733628961</v>
      </c>
      <c r="BD335" s="347"/>
      <c r="BE335" s="377" t="str">
        <f>'Original Title I &amp; II'!AZ333</f>
        <v/>
      </c>
      <c r="BF335" s="244" t="str">
        <f>IF(BE335&lt;0,BB335*BE335/100,"")</f>
        <v/>
      </c>
      <c r="BG335" s="266">
        <f t="shared" si="417"/>
        <v>135919.65442542694</v>
      </c>
      <c r="BI335" s="203" t="str">
        <f>IFERROR(VLOOKUP(A335,'Title II Hold Harmless'!A$1:B$439,2, FALSE),"")</f>
        <v/>
      </c>
      <c r="BJ335" s="203">
        <f t="shared" si="426"/>
        <v>1720.1022145363395</v>
      </c>
      <c r="BK335" s="203">
        <f t="shared" si="475"/>
        <v>1721.7662274158245</v>
      </c>
      <c r="BL335" s="203" t="str">
        <f t="shared" si="476"/>
        <v/>
      </c>
      <c r="BM335" s="203">
        <f t="shared" si="477"/>
        <v>1721.7662274158245</v>
      </c>
      <c r="BN335" s="200"/>
      <c r="BP335" s="298" t="s">
        <v>1448</v>
      </c>
      <c r="BQ335" s="299" t="str">
        <f t="shared" si="480"/>
        <v>Y</v>
      </c>
      <c r="BR335" s="300" t="s">
        <v>1448</v>
      </c>
      <c r="BT335" s="298" t="str">
        <f t="shared" si="481"/>
        <v>Y</v>
      </c>
      <c r="BU335" s="299" t="str">
        <f t="shared" si="428"/>
        <v>Y</v>
      </c>
      <c r="BV335" s="299" t="str">
        <f t="shared" si="429"/>
        <v>Y</v>
      </c>
      <c r="BW335" s="300" t="str">
        <f t="shared" si="482"/>
        <v>Y</v>
      </c>
      <c r="BY335" s="355">
        <f t="shared" si="483"/>
        <v>0</v>
      </c>
      <c r="BZ335" s="356">
        <f t="shared" si="484"/>
        <v>0</v>
      </c>
      <c r="CA335" s="356">
        <f t="shared" si="485"/>
        <v>0.95</v>
      </c>
      <c r="CB335" s="357">
        <f t="shared" si="486"/>
        <v>0.95</v>
      </c>
      <c r="CD335" s="312">
        <f t="shared" si="487"/>
        <v>328</v>
      </c>
    </row>
    <row r="336" spans="1:82" s="48" customFormat="1" outlineLevel="1" x14ac:dyDescent="0.3">
      <c r="A336" s="202">
        <v>78578000</v>
      </c>
      <c r="B336" s="48">
        <f>VLOOKUP(C336,'NCES ID'!$A$2:$B$3136,2,FALSE)</f>
        <v>400846</v>
      </c>
      <c r="C336" s="48">
        <f>VLOOKUP(A336,'State ID'!$A$2:$B$713,2,FALSE)</f>
        <v>90540</v>
      </c>
      <c r="D336" s="48" t="s">
        <v>395</v>
      </c>
      <c r="E336" s="48" t="s">
        <v>7</v>
      </c>
      <c r="F336" s="755"/>
      <c r="G336" s="755"/>
      <c r="H336" s="755"/>
      <c r="I336" s="755"/>
      <c r="J336" s="755"/>
      <c r="K336" s="755"/>
      <c r="L336" s="454"/>
      <c r="M336" s="455"/>
      <c r="N336" s="456"/>
      <c r="O336" s="209">
        <f>VLOOKUP($C336,'Final SEA Counts'!$A$2:$F$709,5,FALSE)</f>
        <v>208</v>
      </c>
      <c r="P336" s="223">
        <f>VLOOKUP($C336,'Final SEA Counts'!$A$2:$F$709,6,FALSE)</f>
        <v>160</v>
      </c>
      <c r="Q336" s="749"/>
      <c r="R336" s="454">
        <f t="shared" si="416"/>
        <v>208</v>
      </c>
      <c r="S336" s="455">
        <f t="shared" si="489"/>
        <v>79.220163632312094</v>
      </c>
      <c r="T336" s="230">
        <f t="shared" si="406"/>
        <v>0.38086617130919276</v>
      </c>
      <c r="U336" s="264" t="str">
        <f>IFERROR(VLOOKUP($B336,#REF!,8,FALSE),"")</f>
        <v/>
      </c>
      <c r="V336" s="265" t="str">
        <f>IFERROR(VLOOKUP($B336,#REF!,9,FALSE),"")</f>
        <v/>
      </c>
      <c r="W336" s="265" t="str">
        <f>IFERROR(VLOOKUP($B336,#REF!,10,FALSE),"")</f>
        <v/>
      </c>
      <c r="X336" s="265" t="str">
        <f>IFERROR(VLOOKUP($B336,#REF!,11,FALSE),"")</f>
        <v/>
      </c>
      <c r="Y336" s="266" t="str">
        <f>IFERROR(VLOOKUP($B336,#REF!,12,FALSE),"")</f>
        <v/>
      </c>
      <c r="Z336" s="265">
        <f t="shared" si="467"/>
        <v>38267.141909264712</v>
      </c>
      <c r="AA336" s="265">
        <f t="shared" si="468"/>
        <v>7913.5834082778383</v>
      </c>
      <c r="AB336" s="265">
        <f t="shared" si="469"/>
        <v>22396.3035851524</v>
      </c>
      <c r="AC336" s="266">
        <f t="shared" si="470"/>
        <v>20848.016670353718</v>
      </c>
      <c r="AD336" s="265">
        <f t="shared" si="418"/>
        <v>38267.141909264712</v>
      </c>
      <c r="AE336" s="265">
        <f t="shared" si="419"/>
        <v>7913.5834082778383</v>
      </c>
      <c r="AF336" s="265">
        <f t="shared" si="420"/>
        <v>22396.3035851524</v>
      </c>
      <c r="AG336" s="266">
        <f t="shared" si="421"/>
        <v>20848.016670353718</v>
      </c>
      <c r="AH336" s="265">
        <f t="shared" si="488"/>
        <v>38267.141909264712</v>
      </c>
      <c r="AI336" s="265">
        <f t="shared" si="488"/>
        <v>10044.404791108551</v>
      </c>
      <c r="AJ336" s="265">
        <f t="shared" si="488"/>
        <v>22421.644230372658</v>
      </c>
      <c r="AK336" s="265">
        <f t="shared" si="488"/>
        <v>20871.605482319119</v>
      </c>
      <c r="AL336" s="266">
        <f t="shared" si="400"/>
        <v>91604.796413065036</v>
      </c>
      <c r="AM336" s="347"/>
      <c r="AN336" s="264">
        <f>IFERROR(VLOOKUP($A336,'HH &amp; SI'!$B$4:$Z$494,'HH &amp; SI'!V$503,0),0)</f>
        <v>46248.433226536588</v>
      </c>
      <c r="AO336" s="265">
        <f>IFERROR(VLOOKUP($A336,'HH &amp; SI'!$B$4:$Z$494,'HH &amp; SI'!W$503,0),0)</f>
        <v>10114.313766578154</v>
      </c>
      <c r="AP336" s="265">
        <f>IFERROR(VLOOKUP($A336,'HH &amp; SI'!$B$4:$Z$494,'HH &amp; SI'!X$503,0),0)</f>
        <v>24521.595013692731</v>
      </c>
      <c r="AQ336" s="265">
        <f>IFERROR(VLOOKUP($A336,'HH &amp; SI'!$B$4:$Z$494,'HH &amp; SI'!Y$503,0),0)</f>
        <v>23626.388000046212</v>
      </c>
      <c r="AR336" s="266">
        <f t="shared" si="422"/>
        <v>104510.73000685369</v>
      </c>
      <c r="AS336" s="347"/>
      <c r="AT336" s="324">
        <f>IFERROR(VLOOKUP(A336,'Afton FY16 Final'!$A$5:$BV$572,'Afton FY16 Final'!$BV$587,0),0)</f>
        <v>106117.77651470536</v>
      </c>
      <c r="AU336" s="347"/>
      <c r="AV336" s="454">
        <v>0</v>
      </c>
      <c r="AW336" s="265">
        <f>IFERROR(VLOOKUP($A336,'HH &amp; SI'!$B$4:$EY$503,'HH &amp; SI'!EX$503,0),0)</f>
        <v>0</v>
      </c>
      <c r="AX336" s="265">
        <f>IFERROR(VLOOKUP($A336,'HH &amp; SI'!$B$4:$EY$503,'HH &amp; SI'!EY$503,0),0)</f>
        <v>104510.73000685369</v>
      </c>
      <c r="AY336" s="265">
        <f>AX336/$AX$582*'update_State Admin 1004(b)'!$B$30*0.01</f>
        <v>1000.242763382881</v>
      </c>
      <c r="AZ336" s="266">
        <f t="shared" si="423"/>
        <v>103510.48724347081</v>
      </c>
      <c r="BA336" s="264">
        <f t="shared" si="424"/>
        <v>1035.1048724347081</v>
      </c>
      <c r="BB336" s="265">
        <f t="shared" si="425"/>
        <v>102475.3823710361</v>
      </c>
      <c r="BC336" s="342">
        <f t="shared" si="479"/>
        <v>0.96567592854563333</v>
      </c>
      <c r="BD336" s="347"/>
      <c r="BE336" s="377" t="str">
        <f>'Original Title I &amp; II'!AZ334</f>
        <v/>
      </c>
      <c r="BF336" s="244" t="str">
        <f>IF(BE336&lt;0,BB336*BE336/100,"")</f>
        <v/>
      </c>
      <c r="BG336" s="266">
        <f t="shared" si="417"/>
        <v>102475.3823710361</v>
      </c>
      <c r="BI336" s="203" t="str">
        <f>IFERROR(VLOOKUP(A336,'Title II Hold Harmless'!A$1:B$439,2, FALSE),"")</f>
        <v/>
      </c>
      <c r="BJ336" s="203">
        <f t="shared" si="426"/>
        <v>1204.4609768223236</v>
      </c>
      <c r="BK336" s="203">
        <f t="shared" si="475"/>
        <v>1205.6261625661311</v>
      </c>
      <c r="BL336" s="203" t="str">
        <f t="shared" si="476"/>
        <v/>
      </c>
      <c r="BM336" s="203">
        <f t="shared" si="477"/>
        <v>1205.6261625661311</v>
      </c>
      <c r="BN336" s="200"/>
      <c r="BP336" s="298" t="s">
        <v>1448</v>
      </c>
      <c r="BQ336" s="299" t="str">
        <f t="shared" si="480"/>
        <v>Y</v>
      </c>
      <c r="BR336" s="300" t="s">
        <v>1448</v>
      </c>
      <c r="BT336" s="298" t="str">
        <f t="shared" si="481"/>
        <v>Y</v>
      </c>
      <c r="BU336" s="299" t="str">
        <f t="shared" si="428"/>
        <v>Y</v>
      </c>
      <c r="BV336" s="299" t="str">
        <f t="shared" si="429"/>
        <v>Y</v>
      </c>
      <c r="BW336" s="300" t="str">
        <f t="shared" si="482"/>
        <v>Y</v>
      </c>
      <c r="BY336" s="355">
        <f t="shared" si="483"/>
        <v>0</v>
      </c>
      <c r="BZ336" s="356">
        <f t="shared" si="484"/>
        <v>0</v>
      </c>
      <c r="CA336" s="356">
        <f t="shared" si="485"/>
        <v>0.95</v>
      </c>
      <c r="CB336" s="357">
        <f t="shared" si="486"/>
        <v>0.95</v>
      </c>
      <c r="CD336" s="312">
        <f t="shared" si="487"/>
        <v>329</v>
      </c>
    </row>
    <row r="337" spans="1:82" s="48" customFormat="1" outlineLevel="1" x14ac:dyDescent="0.3">
      <c r="A337" s="202">
        <v>78992000</v>
      </c>
      <c r="B337" s="48">
        <f>VLOOKUP(C337,'NCES ID'!$A$2:$B$3136,2,FALSE)</f>
        <v>400416</v>
      </c>
      <c r="C337" s="48">
        <f>VLOOKUP(A337,'State ID'!$A$2:$B$713,2,FALSE)</f>
        <v>85807</v>
      </c>
      <c r="D337" s="48" t="s">
        <v>400</v>
      </c>
      <c r="E337" s="48" t="s">
        <v>7</v>
      </c>
      <c r="F337" s="755"/>
      <c r="G337" s="755"/>
      <c r="H337" s="755"/>
      <c r="I337" s="755"/>
      <c r="J337" s="755"/>
      <c r="K337" s="755"/>
      <c r="L337" s="454"/>
      <c r="M337" s="455"/>
      <c r="N337" s="456"/>
      <c r="O337" s="209">
        <f>VLOOKUP($C337,'Final SEA Counts'!$A$2:$F$709,5,FALSE)</f>
        <v>192</v>
      </c>
      <c r="P337" s="223">
        <f>VLOOKUP($C337,'Final SEA Counts'!$A$2:$F$709,6,FALSE)</f>
        <v>148</v>
      </c>
      <c r="Q337" s="749"/>
      <c r="R337" s="454">
        <f t="shared" si="416"/>
        <v>192</v>
      </c>
      <c r="S337" s="455">
        <f t="shared" si="489"/>
        <v>73.278651359888684</v>
      </c>
      <c r="T337" s="230">
        <f t="shared" si="406"/>
        <v>0.38165964249942025</v>
      </c>
      <c r="U337" s="264"/>
      <c r="V337" s="265"/>
      <c r="W337" s="265"/>
      <c r="X337" s="265"/>
      <c r="Y337" s="266"/>
      <c r="Z337" s="265">
        <f t="shared" si="467"/>
        <v>35397.106266069859</v>
      </c>
      <c r="AA337" s="265">
        <f t="shared" si="468"/>
        <v>7320.0646526570008</v>
      </c>
      <c r="AB337" s="265">
        <f t="shared" si="469"/>
        <v>20716.58081626597</v>
      </c>
      <c r="AC337" s="266">
        <f t="shared" si="470"/>
        <v>19284.415420077188</v>
      </c>
      <c r="AD337" s="265">
        <f t="shared" si="418"/>
        <v>35397.106266069859</v>
      </c>
      <c r="AE337" s="265">
        <f t="shared" si="419"/>
        <v>7320.0646526570008</v>
      </c>
      <c r="AF337" s="265">
        <f t="shared" si="420"/>
        <v>20716.58081626597</v>
      </c>
      <c r="AG337" s="266">
        <f t="shared" si="421"/>
        <v>19284.415420077188</v>
      </c>
      <c r="AH337" s="265">
        <f t="shared" si="488"/>
        <v>35397.106266069859</v>
      </c>
      <c r="AI337" s="265">
        <f t="shared" si="488"/>
        <v>9450.8860354877143</v>
      </c>
      <c r="AJ337" s="265">
        <f t="shared" si="488"/>
        <v>20741.921461486229</v>
      </c>
      <c r="AK337" s="265">
        <f t="shared" si="488"/>
        <v>19308.004232042589</v>
      </c>
      <c r="AL337" s="266">
        <f t="shared" si="400"/>
        <v>84897.917995086391</v>
      </c>
      <c r="AM337" s="347"/>
      <c r="AN337" s="264">
        <f>IFERROR(VLOOKUP($A337,'HH &amp; SI'!$B$4:$Z$494,'HH &amp; SI'!V$503,0),0)</f>
        <v>79362.043979351845</v>
      </c>
      <c r="AO337" s="265">
        <f>IFERROR(VLOOKUP($A337,'HH &amp; SI'!$B$4:$Z$494,'HH &amp; SI'!W$503,0),0)</f>
        <v>16869.222324043421</v>
      </c>
      <c r="AP337" s="265">
        <f>IFERROR(VLOOKUP($A337,'HH &amp; SI'!$B$4:$Z$494,'HH &amp; SI'!X$503,0),0)</f>
        <v>42078.915244287811</v>
      </c>
      <c r="AQ337" s="265">
        <f>IFERROR(VLOOKUP($A337,'HH &amp; SI'!$B$4:$Z$494,'HH &amp; SI'!Y$503,0),0)</f>
        <v>40542.745185517597</v>
      </c>
      <c r="AR337" s="266">
        <f t="shared" si="422"/>
        <v>178852.92673320067</v>
      </c>
      <c r="AS337" s="347"/>
      <c r="AT337" s="324">
        <f>IFERROR(VLOOKUP(A337,'Afton FY16 Final'!$A$5:$BV$572,'Afton FY16 Final'!$BV$587,0),0)</f>
        <v>181603.12253899773</v>
      </c>
      <c r="AU337" s="347"/>
      <c r="AV337" s="454">
        <v>0</v>
      </c>
      <c r="AW337" s="265">
        <f>IFERROR(VLOOKUP($A337,'HH &amp; SI'!$B$4:$EY$503,'HH &amp; SI'!EX$503,0),0)</f>
        <v>0</v>
      </c>
      <c r="AX337" s="265">
        <f>IFERROR(VLOOKUP($A337,'HH &amp; SI'!$B$4:$EY$503,'HH &amp; SI'!EY$503,0),0)</f>
        <v>178852.92673320067</v>
      </c>
      <c r="AY337" s="265">
        <f>AX337/$AX$582*'update_State Admin 1004(b)'!$B$30*0.01</f>
        <v>1711.7509911470408</v>
      </c>
      <c r="AZ337" s="266">
        <f t="shared" si="423"/>
        <v>177141.17574205363</v>
      </c>
      <c r="BA337" s="264">
        <f t="shared" si="424"/>
        <v>1771.4117574205363</v>
      </c>
      <c r="BB337" s="265">
        <f t="shared" si="425"/>
        <v>175369.76398463309</v>
      </c>
      <c r="BC337" s="342">
        <f t="shared" si="479"/>
        <v>0.96567592854563344</v>
      </c>
      <c r="BD337" s="347"/>
      <c r="BE337" s="377" t="str">
        <f>'Original Title I &amp; II'!AZ335</f>
        <v/>
      </c>
      <c r="BF337" s="244"/>
      <c r="BG337" s="266">
        <f t="shared" si="417"/>
        <v>175369.76398463309</v>
      </c>
      <c r="BI337" s="203" t="str">
        <f>IFERROR(VLOOKUP(A337,'Title II Hold Harmless'!A$1:B$439,2, FALSE),"")</f>
        <v/>
      </c>
      <c r="BJ337" s="203">
        <f t="shared" si="426"/>
        <v>1113.8044836848526</v>
      </c>
      <c r="BK337" s="203">
        <f t="shared" si="475"/>
        <v>1114.8819690752073</v>
      </c>
      <c r="BL337" s="203"/>
      <c r="BM337" s="203">
        <f t="shared" si="477"/>
        <v>1114.8819690752073</v>
      </c>
      <c r="BN337" s="200"/>
      <c r="BP337" s="298" t="s">
        <v>1448</v>
      </c>
      <c r="BQ337" s="299" t="str">
        <f t="shared" si="480"/>
        <v>Y</v>
      </c>
      <c r="BR337" s="300" t="s">
        <v>1448</v>
      </c>
      <c r="BT337" s="298" t="str">
        <f t="shared" si="481"/>
        <v>Y</v>
      </c>
      <c r="BU337" s="299" t="str">
        <f t="shared" si="428"/>
        <v>Y</v>
      </c>
      <c r="BV337" s="299" t="str">
        <f t="shared" si="429"/>
        <v>Y</v>
      </c>
      <c r="BW337" s="300" t="str">
        <f t="shared" si="482"/>
        <v>Y</v>
      </c>
      <c r="BY337" s="355">
        <f t="shared" si="483"/>
        <v>0</v>
      </c>
      <c r="BZ337" s="356">
        <f t="shared" si="484"/>
        <v>0</v>
      </c>
      <c r="CA337" s="356">
        <f t="shared" si="485"/>
        <v>0.95</v>
      </c>
      <c r="CB337" s="357">
        <f t="shared" si="486"/>
        <v>0.95</v>
      </c>
      <c r="CD337" s="312">
        <f t="shared" si="487"/>
        <v>330</v>
      </c>
    </row>
    <row r="338" spans="1:82" s="48" customFormat="1" outlineLevel="1" x14ac:dyDescent="0.3">
      <c r="A338" s="202">
        <v>78634000</v>
      </c>
      <c r="B338" s="48">
        <f>VLOOKUP(C338,'NCES ID'!$A$2:$B$3136,2,FALSE)</f>
        <v>400040</v>
      </c>
      <c r="C338" s="48">
        <f>VLOOKUP(A338,'State ID'!$A$2:$B$713,2,FALSE)</f>
        <v>4313</v>
      </c>
      <c r="D338" s="48" t="s">
        <v>726</v>
      </c>
      <c r="E338" s="48" t="s">
        <v>7</v>
      </c>
      <c r="F338" s="755"/>
      <c r="G338" s="755"/>
      <c r="H338" s="755"/>
      <c r="I338" s="755"/>
      <c r="J338" s="755"/>
      <c r="K338" s="755"/>
      <c r="L338" s="454"/>
      <c r="M338" s="455"/>
      <c r="N338" s="456"/>
      <c r="O338" s="209">
        <f>VLOOKUP($C338,'Final SEA Counts'!$A$2:$F$709,5,FALSE)</f>
        <v>96</v>
      </c>
      <c r="P338" s="223">
        <f>VLOOKUP($C338,'Final SEA Counts'!$A$2:$F$709,6,FALSE)</f>
        <v>91</v>
      </c>
      <c r="Q338" s="749"/>
      <c r="R338" s="454">
        <f t="shared" si="416"/>
        <v>96</v>
      </c>
      <c r="S338" s="455">
        <f t="shared" si="489"/>
        <v>45.056468065877503</v>
      </c>
      <c r="T338" s="230">
        <f t="shared" si="406"/>
        <v>0.46933820901955731</v>
      </c>
      <c r="U338" s="264"/>
      <c r="V338" s="265"/>
      <c r="W338" s="265"/>
      <c r="X338" s="265"/>
      <c r="Y338" s="266"/>
      <c r="Z338" s="265">
        <f t="shared" ref="Z338:Z356" si="491">$S338*U$359</f>
        <v>21764.436960894305</v>
      </c>
      <c r="AA338" s="265">
        <f t="shared" ref="AA338:AA356" si="492">$S338*V$359</f>
        <v>4500.8505634580206</v>
      </c>
      <c r="AB338" s="265">
        <f t="shared" ref="AB338:AB356" si="493">$S338*W$359</f>
        <v>12737.897664055427</v>
      </c>
      <c r="AC338" s="266">
        <f t="shared" ref="AC338:AC356" si="494">$S338*X$359</f>
        <v>11857.309481263677</v>
      </c>
      <c r="AD338" s="265">
        <f t="shared" si="418"/>
        <v>21764.436960894305</v>
      </c>
      <c r="AE338" s="265">
        <f t="shared" si="419"/>
        <v>4500.8505634580206</v>
      </c>
      <c r="AF338" s="265">
        <f t="shared" si="420"/>
        <v>12737.897664055427</v>
      </c>
      <c r="AG338" s="266">
        <f t="shared" si="421"/>
        <v>11857.309481263677</v>
      </c>
      <c r="AH338" s="265">
        <f t="shared" si="488"/>
        <v>21764.436960894305</v>
      </c>
      <c r="AI338" s="265">
        <f t="shared" si="488"/>
        <v>6631.6719462887331</v>
      </c>
      <c r="AJ338" s="265">
        <f t="shared" si="488"/>
        <v>12763.238309275686</v>
      </c>
      <c r="AK338" s="265">
        <f t="shared" si="488"/>
        <v>11880.89829322908</v>
      </c>
      <c r="AL338" s="266">
        <f t="shared" si="400"/>
        <v>53040.245509687811</v>
      </c>
      <c r="AM338" s="347"/>
      <c r="AN338" s="264">
        <f>IFERROR(VLOOKUP($A338,'HH &amp; SI'!$B$4:$Z$494,'HH &amp; SI'!V$503,0),0)</f>
        <v>21467.555914242515</v>
      </c>
      <c r="AO338" s="265">
        <f>IFERROR(VLOOKUP($A338,'HH &amp; SI'!$B$4:$Z$494,'HH &amp; SI'!W$503,0),0)</f>
        <v>6413.2489184023525</v>
      </c>
      <c r="AP338" s="265">
        <f>IFERROR(VLOOKUP($A338,'HH &amp; SI'!$B$4:$Z$494,'HH &amp; SI'!X$503,0),0)</f>
        <v>12647.161640070804</v>
      </c>
      <c r="AQ338" s="265">
        <f>IFERROR(VLOOKUP($A338,'HH &amp; SI'!$B$4:$Z$494,'HH &amp; SI'!Y$503,0),0)</f>
        <v>11749.992180747087</v>
      </c>
      <c r="AR338" s="266">
        <f t="shared" si="422"/>
        <v>52277.958653462767</v>
      </c>
      <c r="AS338" s="347"/>
      <c r="AT338" s="324">
        <f>IFERROR(VLOOKUP(A338,'Afton FY16 Final'!$A$5:$BV$572,'Afton FY16 Final'!$BV$587,0),0)</f>
        <v>35968.525956370082</v>
      </c>
      <c r="AU338" s="347"/>
      <c r="AV338" s="454">
        <v>0</v>
      </c>
      <c r="AW338" s="265">
        <f>IFERROR(VLOOKUP($A338,'HH &amp; SI'!$B$4:$EY$503,'HH &amp; SI'!EX$503,0),0)</f>
        <v>2928.2505761967477</v>
      </c>
      <c r="AX338" s="265">
        <f>IFERROR(VLOOKUP($A338,'HH &amp; SI'!$B$4:$EY$503,'HH &amp; SI'!EY$503,0),0)</f>
        <v>49349.708077266019</v>
      </c>
      <c r="AY338" s="265">
        <f>AX338/$AX$582*'update_State Admin 1004(b)'!$B$30*0.01</f>
        <v>472.31215757564757</v>
      </c>
      <c r="AZ338" s="266">
        <f t="shared" si="423"/>
        <v>48877.395919690374</v>
      </c>
      <c r="BA338" s="264">
        <f t="shared" si="424"/>
        <v>488.77395919690377</v>
      </c>
      <c r="BB338" s="265">
        <f t="shared" si="425"/>
        <v>48388.621960493474</v>
      </c>
      <c r="BC338" s="342">
        <f t="shared" si="479"/>
        <v>1.345304559302458</v>
      </c>
      <c r="BD338" s="347"/>
      <c r="BE338" s="377">
        <f>'Original Title I &amp; II'!AZ336</f>
        <v>0</v>
      </c>
      <c r="BF338" s="244"/>
      <c r="BG338" s="266">
        <f t="shared" si="417"/>
        <v>48388.621960493474</v>
      </c>
      <c r="BI338" s="203">
        <f>IFERROR(VLOOKUP(A338,'Title II Hold Harmless'!A$1:B$439,2, FALSE),"")</f>
        <v>7057</v>
      </c>
      <c r="BJ338" s="203">
        <f t="shared" si="426"/>
        <v>7724.0901474920302</v>
      </c>
      <c r="BK338" s="203">
        <f t="shared" si="475"/>
        <v>7731.5623694211181</v>
      </c>
      <c r="BL338" s="203"/>
      <c r="BM338" s="203">
        <f t="shared" si="477"/>
        <v>7731.5623694211181</v>
      </c>
      <c r="BN338" s="200"/>
      <c r="BP338" s="298" t="s">
        <v>1448</v>
      </c>
      <c r="BQ338" s="299" t="str">
        <f t="shared" si="480"/>
        <v>Y</v>
      </c>
      <c r="BR338" s="300" t="s">
        <v>1448</v>
      </c>
      <c r="BT338" s="298" t="str">
        <f t="shared" si="481"/>
        <v>Y</v>
      </c>
      <c r="BU338" s="299" t="str">
        <f t="shared" si="428"/>
        <v>Y</v>
      </c>
      <c r="BV338" s="299" t="str">
        <f t="shared" si="429"/>
        <v>Y</v>
      </c>
      <c r="BW338" s="300" t="str">
        <f t="shared" si="482"/>
        <v>Y</v>
      </c>
      <c r="BY338" s="355">
        <f t="shared" si="483"/>
        <v>0</v>
      </c>
      <c r="BZ338" s="356">
        <f t="shared" si="484"/>
        <v>0</v>
      </c>
      <c r="CA338" s="356">
        <f t="shared" si="485"/>
        <v>0.95</v>
      </c>
      <c r="CB338" s="357">
        <f t="shared" si="486"/>
        <v>0.95</v>
      </c>
      <c r="CD338" s="312">
        <f t="shared" si="487"/>
        <v>331</v>
      </c>
    </row>
    <row r="339" spans="1:82" s="48" customFormat="1" outlineLevel="1" x14ac:dyDescent="0.3">
      <c r="A339" s="202">
        <v>78924000</v>
      </c>
      <c r="B339" s="48">
        <f>VLOOKUP(C339,'NCES ID'!$A$2:$B$3136,2,FALSE)</f>
        <v>400326</v>
      </c>
      <c r="C339" s="48">
        <f>VLOOKUP(A339,'State ID'!$A$2:$B$713,2,FALSE)</f>
        <v>79453</v>
      </c>
      <c r="D339" s="48" t="s">
        <v>402</v>
      </c>
      <c r="E339" s="48" t="s">
        <v>7</v>
      </c>
      <c r="F339" s="755"/>
      <c r="G339" s="755"/>
      <c r="H339" s="755"/>
      <c r="I339" s="755"/>
      <c r="J339" s="755"/>
      <c r="K339" s="755"/>
      <c r="L339" s="454"/>
      <c r="M339" s="455"/>
      <c r="N339" s="456"/>
      <c r="O339" s="209">
        <f>VLOOKUP($C339,'Final SEA Counts'!$A$2:$F$709,5,FALSE)</f>
        <v>743</v>
      </c>
      <c r="P339" s="223">
        <f>VLOOKUP($C339,'Final SEA Counts'!$A$2:$F$709,6,FALSE)</f>
        <v>580</v>
      </c>
      <c r="Q339" s="749"/>
      <c r="R339" s="454">
        <f t="shared" si="416"/>
        <v>743</v>
      </c>
      <c r="S339" s="455">
        <f t="shared" si="489"/>
        <v>287.17309316713136</v>
      </c>
      <c r="T339" s="230">
        <f t="shared" si="406"/>
        <v>0.38650483602574881</v>
      </c>
      <c r="U339" s="264" t="str">
        <f>IFERROR(VLOOKUP($B339,#REF!,8,FALSE),"")</f>
        <v/>
      </c>
      <c r="V339" s="265" t="str">
        <f>IFERROR(VLOOKUP($B339,#REF!,9,FALSE),"")</f>
        <v/>
      </c>
      <c r="W339" s="265" t="str">
        <f>IFERROR(VLOOKUP($B339,#REF!,10,FALSE),"")</f>
        <v/>
      </c>
      <c r="X339" s="265" t="str">
        <f>IFERROR(VLOOKUP($B339,#REF!,11,FALSE),"")</f>
        <v/>
      </c>
      <c r="Y339" s="266" t="str">
        <f>IFERROR(VLOOKUP($B339,#REF!,12,FALSE),"")</f>
        <v/>
      </c>
      <c r="Z339" s="265">
        <f t="shared" si="491"/>
        <v>138718.3894210846</v>
      </c>
      <c r="AA339" s="265">
        <f t="shared" si="492"/>
        <v>28686.739855007167</v>
      </c>
      <c r="AB339" s="265">
        <f t="shared" si="493"/>
        <v>81186.600496177445</v>
      </c>
      <c r="AC339" s="266">
        <f t="shared" si="494"/>
        <v>75574.06043003223</v>
      </c>
      <c r="AD339" s="265">
        <f t="shared" si="418"/>
        <v>138718.3894210846</v>
      </c>
      <c r="AE339" s="265">
        <f t="shared" si="419"/>
        <v>28686.739855007167</v>
      </c>
      <c r="AF339" s="265">
        <f t="shared" si="420"/>
        <v>81186.600496177445</v>
      </c>
      <c r="AG339" s="266">
        <f t="shared" si="421"/>
        <v>75574.06043003223</v>
      </c>
      <c r="AH339" s="265">
        <f t="shared" si="488"/>
        <v>138718.3894210846</v>
      </c>
      <c r="AI339" s="265">
        <f t="shared" si="488"/>
        <v>30817.561237837879</v>
      </c>
      <c r="AJ339" s="265">
        <f t="shared" si="488"/>
        <v>81211.941141397707</v>
      </c>
      <c r="AK339" s="265">
        <f t="shared" si="488"/>
        <v>75597.649241997628</v>
      </c>
      <c r="AL339" s="266">
        <f t="shared" si="400"/>
        <v>326345.54104231781</v>
      </c>
      <c r="AM339" s="347"/>
      <c r="AN339" s="264">
        <f>IFERROR(VLOOKUP($A339,'HH &amp; SI'!$B$4:$Z$494,'HH &amp; SI'!V$503,0),0)</f>
        <v>136826.18055231497</v>
      </c>
      <c r="AO339" s="265">
        <f>IFERROR(VLOOKUP($A339,'HH &amp; SI'!$B$4:$Z$494,'HH &amp; SI'!W$503,0),0)</f>
        <v>29802.543442603077</v>
      </c>
      <c r="AP339" s="265">
        <f>IFERROR(VLOOKUP($A339,'HH &amp; SI'!$B$4:$Z$494,'HH &amp; SI'!X$503,0),0)</f>
        <v>80473.350244720219</v>
      </c>
      <c r="AQ339" s="265">
        <f>IFERROR(VLOOKUP($A339,'HH &amp; SI'!$B$4:$Z$494,'HH &amp; SI'!Y$503,0),0)</f>
        <v>74764.69923007075</v>
      </c>
      <c r="AR339" s="266">
        <f t="shared" si="422"/>
        <v>321866.77346970903</v>
      </c>
      <c r="AS339" s="347"/>
      <c r="AT339" s="324">
        <f>IFERROR(VLOOKUP(A339,'Afton FY16 Final'!$A$5:$BV$572,'Afton FY16 Final'!$BV$587,0),0)</f>
        <v>291161.71503258892</v>
      </c>
      <c r="AU339" s="347"/>
      <c r="AV339" s="454">
        <v>0</v>
      </c>
      <c r="AW339" s="265">
        <f>IFERROR(VLOOKUP($A339,'HH &amp; SI'!$B$4:$EY$503,'HH &amp; SI'!EX$503,0),0)</f>
        <v>18028.756078998733</v>
      </c>
      <c r="AX339" s="265">
        <f>IFERROR(VLOOKUP($A339,'HH &amp; SI'!$B$4:$EY$503,'HH &amp; SI'!EY$503,0),0)</f>
        <v>303838.0173907103</v>
      </c>
      <c r="AY339" s="265">
        <f>AX339/$AX$582*'update_State Admin 1004(b)'!$B$30*0.01</f>
        <v>2907.9480940926333</v>
      </c>
      <c r="AZ339" s="266">
        <f t="shared" si="423"/>
        <v>300930.06929661764</v>
      </c>
      <c r="BA339" s="264">
        <f t="shared" si="424"/>
        <v>3009.3006929661765</v>
      </c>
      <c r="BB339" s="265">
        <f t="shared" si="425"/>
        <v>297920.76860365149</v>
      </c>
      <c r="BC339" s="342">
        <f t="shared" si="479"/>
        <v>1.0232140876430338</v>
      </c>
      <c r="BD339" s="347"/>
      <c r="BE339" s="377" t="str">
        <f>'Original Title I &amp; II'!AZ337</f>
        <v/>
      </c>
      <c r="BF339" s="244" t="str">
        <f t="shared" ref="BF339:BF348" si="495">IF(BE339&lt;0,BB339*BE339/100,"")</f>
        <v/>
      </c>
      <c r="BG339" s="266">
        <f t="shared" si="417"/>
        <v>297920.76860365149</v>
      </c>
      <c r="BI339" s="203">
        <f>IFERROR(VLOOKUP(A339,'Title II Hold Harmless'!A$1:B$439,2, FALSE),"")</f>
        <v>4431</v>
      </c>
      <c r="BJ339" s="203">
        <f t="shared" si="426"/>
        <v>8788.3182443965125</v>
      </c>
      <c r="BK339" s="203">
        <f t="shared" si="475"/>
        <v>8796.8199919229701</v>
      </c>
      <c r="BL339" s="203" t="str">
        <f t="shared" si="476"/>
        <v/>
      </c>
      <c r="BM339" s="203">
        <f t="shared" si="477"/>
        <v>8796.8199919229701</v>
      </c>
      <c r="BN339" s="200"/>
      <c r="BP339" s="298" t="s">
        <v>1448</v>
      </c>
      <c r="BQ339" s="299" t="str">
        <f t="shared" si="480"/>
        <v>Y</v>
      </c>
      <c r="BR339" s="300" t="s">
        <v>1448</v>
      </c>
      <c r="BT339" s="298" t="str">
        <f t="shared" si="481"/>
        <v>Y</v>
      </c>
      <c r="BU339" s="299" t="str">
        <f t="shared" si="428"/>
        <v>Y</v>
      </c>
      <c r="BV339" s="299" t="str">
        <f t="shared" si="429"/>
        <v>Y</v>
      </c>
      <c r="BW339" s="300" t="str">
        <f t="shared" si="482"/>
        <v>Y</v>
      </c>
      <c r="BY339" s="355">
        <f t="shared" si="483"/>
        <v>0</v>
      </c>
      <c r="BZ339" s="356">
        <f t="shared" si="484"/>
        <v>0</v>
      </c>
      <c r="CA339" s="356">
        <f t="shared" si="485"/>
        <v>0.95</v>
      </c>
      <c r="CB339" s="357">
        <f t="shared" si="486"/>
        <v>0.95</v>
      </c>
      <c r="CD339" s="312">
        <f t="shared" si="487"/>
        <v>332</v>
      </c>
    </row>
    <row r="340" spans="1:82" s="48" customFormat="1" outlineLevel="1" x14ac:dyDescent="0.3">
      <c r="A340" s="202">
        <v>78217000</v>
      </c>
      <c r="B340" s="48" t="e">
        <f>VLOOKUP(C340,'NCES ID'!$A$2:$B$3136,2,FALSE)</f>
        <v>#N/A</v>
      </c>
      <c r="C340" s="48">
        <f>VLOOKUP(A340,'State ID'!$A$2:$B$713,2,FALSE)</f>
        <v>91933</v>
      </c>
      <c r="D340" s="48" t="s">
        <v>405</v>
      </c>
      <c r="E340" s="48" t="s">
        <v>7</v>
      </c>
      <c r="F340" s="755"/>
      <c r="G340" s="755"/>
      <c r="H340" s="755"/>
      <c r="I340" s="755"/>
      <c r="J340" s="755"/>
      <c r="K340" s="755"/>
      <c r="L340" s="454"/>
      <c r="M340" s="455"/>
      <c r="N340" s="456"/>
      <c r="O340" s="209">
        <f>VLOOKUP($C340,'Final SEA Counts'!$A$2:$F$709,5,FALSE)</f>
        <v>175</v>
      </c>
      <c r="P340" s="223">
        <f>VLOOKUP($C340,'Final SEA Counts'!$A$2:$F$709,6,FALSE)</f>
        <v>166</v>
      </c>
      <c r="Q340" s="749"/>
      <c r="R340" s="454">
        <f t="shared" si="416"/>
        <v>175</v>
      </c>
      <c r="S340" s="455">
        <f t="shared" si="489"/>
        <v>82.190919768523798</v>
      </c>
      <c r="T340" s="230">
        <f t="shared" si="406"/>
        <v>0.46966239867727883</v>
      </c>
      <c r="U340" s="264" t="str">
        <f>IFERROR(VLOOKUP($B340,#REF!,8,FALSE),"")</f>
        <v/>
      </c>
      <c r="V340" s="265" t="str">
        <f>IFERROR(VLOOKUP($B340,#REF!,9,FALSE),"")</f>
        <v/>
      </c>
      <c r="W340" s="265" t="str">
        <f>IFERROR(VLOOKUP($B340,#REF!,10,FALSE),"")</f>
        <v/>
      </c>
      <c r="X340" s="265" t="str">
        <f>IFERROR(VLOOKUP($B340,#REF!,11,FALSE),"")</f>
        <v/>
      </c>
      <c r="Y340" s="266" t="str">
        <f>IFERROR(VLOOKUP($B340,#REF!,12,FALSE),"")</f>
        <v/>
      </c>
      <c r="Z340" s="265">
        <f t="shared" si="491"/>
        <v>39702.159730862142</v>
      </c>
      <c r="AA340" s="265">
        <f t="shared" si="492"/>
        <v>8210.3427860882584</v>
      </c>
      <c r="AB340" s="265">
        <f t="shared" si="493"/>
        <v>23236.164969595615</v>
      </c>
      <c r="AC340" s="266">
        <f t="shared" si="494"/>
        <v>21629.817295491983</v>
      </c>
      <c r="AD340" s="265">
        <f t="shared" si="418"/>
        <v>39702.159730862142</v>
      </c>
      <c r="AE340" s="265">
        <f t="shared" si="419"/>
        <v>8210.3427860882584</v>
      </c>
      <c r="AF340" s="265">
        <f t="shared" si="420"/>
        <v>23236.164969595615</v>
      </c>
      <c r="AG340" s="266">
        <f t="shared" si="421"/>
        <v>21629.817295491983</v>
      </c>
      <c r="AH340" s="265">
        <f t="shared" si="488"/>
        <v>39702.159730862142</v>
      </c>
      <c r="AI340" s="265">
        <f t="shared" si="488"/>
        <v>10341.164168918971</v>
      </c>
      <c r="AJ340" s="265">
        <f t="shared" si="488"/>
        <v>23261.505614815873</v>
      </c>
      <c r="AK340" s="265">
        <f t="shared" si="488"/>
        <v>21653.406107457384</v>
      </c>
      <c r="AL340" s="266">
        <f t="shared" si="400"/>
        <v>94958.235622054373</v>
      </c>
      <c r="AM340" s="347"/>
      <c r="AN340" s="264">
        <f>IFERROR(VLOOKUP($A340,'HH &amp; SI'!$B$4:$Z$494,'HH &amp; SI'!V$503,0),0)</f>
        <v>39160.596502903936</v>
      </c>
      <c r="AO340" s="265">
        <f>IFERROR(VLOOKUP($A340,'HH &amp; SI'!$B$4:$Z$494,'HH &amp; SI'!W$503,0),0)</f>
        <v>10000.564029476085</v>
      </c>
      <c r="AP340" s="265">
        <f>IFERROR(VLOOKUP($A340,'HH &amp; SI'!$B$4:$Z$494,'HH &amp; SI'!X$503,0),0)</f>
        <v>23049.951303360591</v>
      </c>
      <c r="AQ340" s="265">
        <f>IFERROR(VLOOKUP($A340,'HH &amp; SI'!$B$4:$Z$494,'HH &amp; SI'!Y$503,0),0)</f>
        <v>21414.824550275258</v>
      </c>
      <c r="AR340" s="266">
        <f t="shared" si="422"/>
        <v>93625.936386015863</v>
      </c>
      <c r="AS340" s="347"/>
      <c r="AT340" s="324">
        <f>IFERROR(VLOOKUP(A340,'Afton FY16 Final'!$A$5:$BV$572,'Afton FY16 Final'!$BV$587,0),0)</f>
        <v>66601.91761641296</v>
      </c>
      <c r="AU340" s="347"/>
      <c r="AV340" s="454">
        <v>0</v>
      </c>
      <c r="AW340" s="265">
        <f>IFERROR(VLOOKUP($A340,'HH &amp; SI'!$B$4:$EY$503,'HH &amp; SI'!EX$503,0),0)</f>
        <v>5244.2790275467414</v>
      </c>
      <c r="AX340" s="265">
        <f>IFERROR(VLOOKUP($A340,'HH &amp; SI'!$B$4:$EY$503,'HH &amp; SI'!EY$503,0),0)</f>
        <v>88381.657358469121</v>
      </c>
      <c r="AY340" s="265">
        <f>AX340/$AX$582*'update_State Admin 1004(b)'!$B$30*0.01</f>
        <v>845.87595151997061</v>
      </c>
      <c r="AZ340" s="266">
        <f t="shared" si="423"/>
        <v>87535.781406949158</v>
      </c>
      <c r="BA340" s="264">
        <f t="shared" si="424"/>
        <v>875.35781406949161</v>
      </c>
      <c r="BB340" s="265">
        <f t="shared" si="425"/>
        <v>86660.42359287967</v>
      </c>
      <c r="BC340" s="342">
        <f t="shared" si="479"/>
        <v>1.3011700968130024</v>
      </c>
      <c r="BD340" s="347"/>
      <c r="BE340" s="377" t="str">
        <f>'Original Title I &amp; II'!AZ338</f>
        <v/>
      </c>
      <c r="BF340" s="244" t="str">
        <f t="shared" si="495"/>
        <v/>
      </c>
      <c r="BG340" s="266">
        <f t="shared" si="417"/>
        <v>86660.42359287967</v>
      </c>
      <c r="BI340" s="203" t="str">
        <f>IFERROR(VLOOKUP(A340,'Title II Hold Harmless'!A$1:B$439,2, FALSE),"")</f>
        <v/>
      </c>
      <c r="BJ340" s="203">
        <f t="shared" si="426"/>
        <v>1216.792436121897</v>
      </c>
      <c r="BK340" s="203">
        <f t="shared" si="475"/>
        <v>1217.9695512190442</v>
      </c>
      <c r="BL340" s="203" t="str">
        <f t="shared" si="476"/>
        <v/>
      </c>
      <c r="BM340" s="203">
        <f t="shared" si="477"/>
        <v>1217.9695512190442</v>
      </c>
      <c r="BN340" s="200"/>
      <c r="BP340" s="298" t="s">
        <v>1448</v>
      </c>
      <c r="BQ340" s="299" t="str">
        <f t="shared" si="480"/>
        <v>Y</v>
      </c>
      <c r="BR340" s="300" t="s">
        <v>1448</v>
      </c>
      <c r="BT340" s="298" t="str">
        <f t="shared" si="481"/>
        <v>Y</v>
      </c>
      <c r="BU340" s="299" t="str">
        <f t="shared" si="428"/>
        <v>Y</v>
      </c>
      <c r="BV340" s="299" t="str">
        <f t="shared" si="429"/>
        <v>Y</v>
      </c>
      <c r="BW340" s="300" t="str">
        <f t="shared" si="482"/>
        <v>Y</v>
      </c>
      <c r="BY340" s="355">
        <f t="shared" si="483"/>
        <v>0</v>
      </c>
      <c r="BZ340" s="356">
        <f t="shared" si="484"/>
        <v>0</v>
      </c>
      <c r="CA340" s="356">
        <f t="shared" si="485"/>
        <v>0.95</v>
      </c>
      <c r="CB340" s="357">
        <f t="shared" si="486"/>
        <v>0.95</v>
      </c>
      <c r="CD340" s="312">
        <f t="shared" si="487"/>
        <v>333</v>
      </c>
    </row>
    <row r="341" spans="1:82" s="48" customFormat="1" outlineLevel="1" x14ac:dyDescent="0.3">
      <c r="A341" s="202">
        <v>78551000</v>
      </c>
      <c r="B341" s="48">
        <f>VLOOKUP(C341,'NCES ID'!$A$2:$B$3136,2,FALSE)</f>
        <v>400791</v>
      </c>
      <c r="C341" s="48">
        <f>VLOOKUP(A341,'State ID'!$A$2:$B$713,2,FALSE)</f>
        <v>90142</v>
      </c>
      <c r="D341" s="48" t="s">
        <v>407</v>
      </c>
      <c r="E341" s="48" t="s">
        <v>7</v>
      </c>
      <c r="F341" s="755"/>
      <c r="G341" s="755"/>
      <c r="H341" s="755"/>
      <c r="I341" s="755"/>
      <c r="J341" s="755"/>
      <c r="K341" s="755"/>
      <c r="L341" s="454"/>
      <c r="M341" s="455"/>
      <c r="N341" s="456"/>
      <c r="O341" s="209">
        <f>VLOOKUP($C341,'Final SEA Counts'!$A$2:$F$709,5,FALSE)</f>
        <v>233</v>
      </c>
      <c r="P341" s="223">
        <f>VLOOKUP($C341,'Final SEA Counts'!$A$2:$F$709,6,FALSE)</f>
        <v>203</v>
      </c>
      <c r="Q341" s="749"/>
      <c r="R341" s="454">
        <f t="shared" si="416"/>
        <v>233</v>
      </c>
      <c r="S341" s="455">
        <f t="shared" si="489"/>
        <v>100.51058260849598</v>
      </c>
      <c r="T341" s="230">
        <f t="shared" si="406"/>
        <v>0.43137589102358792</v>
      </c>
      <c r="U341" s="264" t="str">
        <f>IFERROR(VLOOKUP($B341,#REF!,8,FALSE),"")</f>
        <v/>
      </c>
      <c r="V341" s="265" t="str">
        <f>IFERROR(VLOOKUP($B341,#REF!,9,FALSE),"")</f>
        <v/>
      </c>
      <c r="W341" s="265" t="str">
        <f>IFERROR(VLOOKUP($B341,#REF!,10,FALSE),"")</f>
        <v/>
      </c>
      <c r="X341" s="265" t="str">
        <f>IFERROR(VLOOKUP($B341,#REF!,11,FALSE),"")</f>
        <v/>
      </c>
      <c r="Y341" s="266" t="str">
        <f>IFERROR(VLOOKUP($B341,#REF!,12,FALSE),"")</f>
        <v/>
      </c>
      <c r="Z341" s="265">
        <f t="shared" si="491"/>
        <v>48551.436297379609</v>
      </c>
      <c r="AA341" s="265">
        <f t="shared" si="492"/>
        <v>10040.358949252508</v>
      </c>
      <c r="AB341" s="265">
        <f t="shared" si="493"/>
        <v>28415.31017366211</v>
      </c>
      <c r="AC341" s="266">
        <f t="shared" si="494"/>
        <v>26450.921150511283</v>
      </c>
      <c r="AD341" s="265">
        <f t="shared" si="418"/>
        <v>48551.436297379609</v>
      </c>
      <c r="AE341" s="265">
        <f t="shared" si="419"/>
        <v>10040.358949252508</v>
      </c>
      <c r="AF341" s="265">
        <f t="shared" si="420"/>
        <v>28415.31017366211</v>
      </c>
      <c r="AG341" s="266">
        <f t="shared" si="421"/>
        <v>26450.921150511283</v>
      </c>
      <c r="AH341" s="265">
        <f t="shared" si="488"/>
        <v>48551.436297379609</v>
      </c>
      <c r="AI341" s="265">
        <f t="shared" si="488"/>
        <v>12171.18033208322</v>
      </c>
      <c r="AJ341" s="265">
        <f t="shared" si="488"/>
        <v>28440.650818882368</v>
      </c>
      <c r="AK341" s="265">
        <f t="shared" si="488"/>
        <v>26474.509962476684</v>
      </c>
      <c r="AL341" s="266">
        <f t="shared" si="400"/>
        <v>115637.77741082189</v>
      </c>
      <c r="AM341" s="347"/>
      <c r="AN341" s="264">
        <f>IFERROR(VLOOKUP($A341,'HH &amp; SI'!$B$4:$Z$494,'HH &amp; SI'!V$503,0),0)</f>
        <v>47889.163193310233</v>
      </c>
      <c r="AO341" s="265">
        <f>IFERROR(VLOOKUP($A341,'HH &amp; SI'!$B$4:$Z$494,'HH &amp; SI'!W$503,0),0)</f>
        <v>11770.306150939123</v>
      </c>
      <c r="AP341" s="265">
        <f>IFERROR(VLOOKUP($A341,'HH &amp; SI'!$B$4:$Z$494,'HH &amp; SI'!X$503,0),0)</f>
        <v>28181.994203916889</v>
      </c>
      <c r="AQ341" s="265">
        <f>IFERROR(VLOOKUP($A341,'HH &amp; SI'!$B$4:$Z$494,'HH &amp; SI'!Y$503,0),0)</f>
        <v>26182.808519242488</v>
      </c>
      <c r="AR341" s="266">
        <f t="shared" si="422"/>
        <v>114024.27206740873</v>
      </c>
      <c r="AS341" s="347"/>
      <c r="AT341" s="324">
        <f>IFERROR(VLOOKUP(A341,'Afton FY16 Final'!$A$5:$BV$572,'Afton FY16 Final'!$BV$587,0),0)</f>
        <v>83287.372112359517</v>
      </c>
      <c r="AU341" s="347"/>
      <c r="AV341" s="454">
        <v>0</v>
      </c>
      <c r="AW341" s="265">
        <f>IFERROR(VLOOKUP($A341,'HH &amp; SI'!$B$4:$EY$503,'HH &amp; SI'!EX$503,0),0)</f>
        <v>6386.853063546092</v>
      </c>
      <c r="AX341" s="265">
        <f>IFERROR(VLOOKUP($A341,'HH &amp; SI'!$B$4:$EY$503,'HH &amp; SI'!EY$503,0),0)</f>
        <v>107637.41900386264</v>
      </c>
      <c r="AY341" s="265">
        <f>AX341/$AX$582*'update_State Admin 1004(b)'!$B$30*0.01</f>
        <v>1030.1674231991697</v>
      </c>
      <c r="AZ341" s="266">
        <f t="shared" si="423"/>
        <v>106607.25158066348</v>
      </c>
      <c r="BA341" s="264">
        <f t="shared" si="424"/>
        <v>1066.0725158066348</v>
      </c>
      <c r="BB341" s="265">
        <f t="shared" si="425"/>
        <v>105541.17906485684</v>
      </c>
      <c r="BC341" s="342">
        <f t="shared" si="479"/>
        <v>1.2671930496555426</v>
      </c>
      <c r="BD341" s="347"/>
      <c r="BE341" s="377" t="str">
        <f>'Original Title I &amp; II'!AZ339</f>
        <v/>
      </c>
      <c r="BF341" s="244" t="str">
        <f t="shared" si="495"/>
        <v/>
      </c>
      <c r="BG341" s="266">
        <f t="shared" si="417"/>
        <v>105541.17906485684</v>
      </c>
      <c r="BI341" s="203" t="str">
        <f>IFERROR(VLOOKUP(A341,'Title II Hold Harmless'!A$1:B$439,2, FALSE),"")</f>
        <v/>
      </c>
      <c r="BJ341" s="203">
        <f t="shared" si="426"/>
        <v>1503.2915539380283</v>
      </c>
      <c r="BK341" s="203">
        <f t="shared" si="475"/>
        <v>1504.7458259494438</v>
      </c>
      <c r="BL341" s="203" t="str">
        <f t="shared" si="476"/>
        <v/>
      </c>
      <c r="BM341" s="203">
        <f t="shared" si="477"/>
        <v>1504.7458259494438</v>
      </c>
      <c r="BN341" s="200"/>
      <c r="BP341" s="298" t="s">
        <v>1448</v>
      </c>
      <c r="BQ341" s="299" t="str">
        <f t="shared" si="480"/>
        <v>Y</v>
      </c>
      <c r="BR341" s="300" t="s">
        <v>1448</v>
      </c>
      <c r="BT341" s="298" t="str">
        <f t="shared" si="481"/>
        <v>Y</v>
      </c>
      <c r="BU341" s="299" t="str">
        <f t="shared" si="428"/>
        <v>Y</v>
      </c>
      <c r="BV341" s="299" t="str">
        <f t="shared" si="429"/>
        <v>Y</v>
      </c>
      <c r="BW341" s="300" t="str">
        <f t="shared" si="482"/>
        <v>Y</v>
      </c>
      <c r="BY341" s="355">
        <f t="shared" si="483"/>
        <v>0</v>
      </c>
      <c r="BZ341" s="356">
        <f t="shared" si="484"/>
        <v>0</v>
      </c>
      <c r="CA341" s="356">
        <f t="shared" si="485"/>
        <v>0.95</v>
      </c>
      <c r="CB341" s="357">
        <f t="shared" si="486"/>
        <v>0.95</v>
      </c>
      <c r="CD341" s="312">
        <f t="shared" si="487"/>
        <v>334</v>
      </c>
    </row>
    <row r="342" spans="1:82" s="48" customFormat="1" outlineLevel="1" x14ac:dyDescent="0.3">
      <c r="A342" s="202">
        <v>78206000</v>
      </c>
      <c r="B342" s="48">
        <f>VLOOKUP(C342,'NCES ID'!$A$2:$B$3136,2,FALSE)</f>
        <v>400863</v>
      </c>
      <c r="C342" s="48">
        <f>VLOOKUP(A342,'State ID'!$A$2:$B$713,2,FALSE)</f>
        <v>91250</v>
      </c>
      <c r="D342" s="48" t="s">
        <v>413</v>
      </c>
      <c r="E342" s="48" t="s">
        <v>7</v>
      </c>
      <c r="F342" s="755"/>
      <c r="G342" s="755"/>
      <c r="H342" s="755"/>
      <c r="I342" s="755"/>
      <c r="J342" s="755"/>
      <c r="K342" s="755"/>
      <c r="L342" s="454"/>
      <c r="M342" s="455"/>
      <c r="N342" s="456"/>
      <c r="O342" s="209">
        <f>VLOOKUP($C342,'Final SEA Counts'!$A$2:$F$709,5,FALSE)</f>
        <v>577</v>
      </c>
      <c r="P342" s="223">
        <f>VLOOKUP($C342,'Final SEA Counts'!$A$2:$F$709,6,FALSE)</f>
        <v>478</v>
      </c>
      <c r="Q342" s="749"/>
      <c r="R342" s="454">
        <f t="shared" si="416"/>
        <v>577</v>
      </c>
      <c r="S342" s="455">
        <f t="shared" si="489"/>
        <v>236.67023885153239</v>
      </c>
      <c r="T342" s="230">
        <f t="shared" si="406"/>
        <v>0.41017372417943221</v>
      </c>
      <c r="U342" s="264" t="str">
        <f>IFERROR(VLOOKUP($B342,#REF!,8,FALSE),"")</f>
        <v/>
      </c>
      <c r="V342" s="265" t="str">
        <f>IFERROR(VLOOKUP($B342,#REF!,9,FALSE),"")</f>
        <v/>
      </c>
      <c r="W342" s="265" t="str">
        <f>IFERROR(VLOOKUP($B342,#REF!,10,FALSE),"")</f>
        <v/>
      </c>
      <c r="X342" s="265" t="str">
        <f>IFERROR(VLOOKUP($B342,#REF!,11,FALSE),"")</f>
        <v/>
      </c>
      <c r="Y342" s="266" t="str">
        <f>IFERROR(VLOOKUP($B342,#REF!,12,FALSE),"")</f>
        <v/>
      </c>
      <c r="Z342" s="265">
        <f t="shared" si="491"/>
        <v>114323.08645392834</v>
      </c>
      <c r="AA342" s="265">
        <f t="shared" si="492"/>
        <v>23641.830432230043</v>
      </c>
      <c r="AB342" s="265">
        <f t="shared" si="493"/>
        <v>66908.956960642798</v>
      </c>
      <c r="AC342" s="266">
        <f t="shared" si="494"/>
        <v>62283.449802681738</v>
      </c>
      <c r="AD342" s="265">
        <f t="shared" si="418"/>
        <v>114323.08645392834</v>
      </c>
      <c r="AE342" s="265">
        <f t="shared" si="419"/>
        <v>23641.830432230043</v>
      </c>
      <c r="AF342" s="265">
        <f t="shared" si="420"/>
        <v>66908.956960642798</v>
      </c>
      <c r="AG342" s="266">
        <f t="shared" si="421"/>
        <v>62283.449802681738</v>
      </c>
      <c r="AH342" s="265">
        <f t="shared" si="488"/>
        <v>114323.08645392834</v>
      </c>
      <c r="AI342" s="265">
        <f t="shared" si="488"/>
        <v>25772.651815060755</v>
      </c>
      <c r="AJ342" s="265">
        <f t="shared" si="488"/>
        <v>66934.297605863059</v>
      </c>
      <c r="AK342" s="265">
        <f t="shared" si="488"/>
        <v>62307.038614647143</v>
      </c>
      <c r="AL342" s="266">
        <f t="shared" si="400"/>
        <v>269337.07448949933</v>
      </c>
      <c r="AM342" s="347"/>
      <c r="AN342" s="264">
        <f>IFERROR(VLOOKUP($A342,'HH &amp; SI'!$B$4:$Z$494,'HH &amp; SI'!V$503,0),0)</f>
        <v>112763.64535173542</v>
      </c>
      <c r="AO342" s="265">
        <f>IFERROR(VLOOKUP($A342,'HH &amp; SI'!$B$4:$Z$494,'HH &amp; SI'!W$503,0),0)</f>
        <v>24923.794891542802</v>
      </c>
      <c r="AP342" s="265">
        <f>IFERROR(VLOOKUP($A342,'HH &amp; SI'!$B$4:$Z$494,'HH &amp; SI'!X$503,0),0)</f>
        <v>66325.556302646117</v>
      </c>
      <c r="AQ342" s="265">
        <f>IFERROR(VLOOKUP($A342,'HH &amp; SI'!$B$4:$Z$494,'HH &amp; SI'!Y$503,0),0)</f>
        <v>61620.527207512445</v>
      </c>
      <c r="AR342" s="266">
        <f t="shared" si="422"/>
        <v>265633.52375343681</v>
      </c>
      <c r="AS342" s="347"/>
      <c r="AT342" s="324">
        <f>IFERROR(VLOOKUP(A342,'Afton FY16 Final'!$A$5:$BV$572,'Afton FY16 Final'!$BV$587,0),0)</f>
        <v>204143.88558791837</v>
      </c>
      <c r="AU342" s="347"/>
      <c r="AV342" s="454">
        <v>0</v>
      </c>
      <c r="AW342" s="265">
        <f>IFERROR(VLOOKUP($A342,'HH &amp; SI'!$B$4:$EY$503,'HH &amp; SI'!EX$503,0),0)</f>
        <v>14878.957385162823</v>
      </c>
      <c r="AX342" s="265">
        <f>IFERROR(VLOOKUP($A342,'HH &amp; SI'!$B$4:$EY$503,'HH &amp; SI'!EY$503,0),0)</f>
        <v>250754.56636827398</v>
      </c>
      <c r="AY342" s="265">
        <f>AX342/$AX$582*'update_State Admin 1004(b)'!$B$30*0.01</f>
        <v>2399.9013343283527</v>
      </c>
      <c r="AZ342" s="266">
        <f t="shared" si="423"/>
        <v>248354.66503394564</v>
      </c>
      <c r="BA342" s="264">
        <f t="shared" si="424"/>
        <v>2483.5466503394564</v>
      </c>
      <c r="BB342" s="265">
        <f t="shared" si="425"/>
        <v>245871.1183836062</v>
      </c>
      <c r="BC342" s="342">
        <f t="shared" si="479"/>
        <v>1.2044010903168452</v>
      </c>
      <c r="BD342" s="347"/>
      <c r="BE342" s="377" t="str">
        <f>'Original Title I &amp; II'!AZ340</f>
        <v/>
      </c>
      <c r="BF342" s="244" t="str">
        <f t="shared" si="495"/>
        <v/>
      </c>
      <c r="BG342" s="266">
        <f t="shared" si="417"/>
        <v>245871.1183836062</v>
      </c>
      <c r="BI342" s="203" t="str">
        <f>IFERROR(VLOOKUP(A342,'Title II Hold Harmless'!A$1:B$439,2, FALSE),"")</f>
        <v/>
      </c>
      <c r="BJ342" s="203">
        <f t="shared" si="426"/>
        <v>3562.5940620432584</v>
      </c>
      <c r="BK342" s="203">
        <f t="shared" si="475"/>
        <v>3566.0404865368255</v>
      </c>
      <c r="BL342" s="203" t="str">
        <f t="shared" si="476"/>
        <v/>
      </c>
      <c r="BM342" s="203">
        <f t="shared" si="477"/>
        <v>3566.0404865368255</v>
      </c>
      <c r="BN342" s="200"/>
      <c r="BP342" s="298" t="s">
        <v>1448</v>
      </c>
      <c r="BQ342" s="299" t="str">
        <f t="shared" si="480"/>
        <v>Y</v>
      </c>
      <c r="BR342" s="300" t="s">
        <v>1448</v>
      </c>
      <c r="BT342" s="298" t="str">
        <f t="shared" si="481"/>
        <v>Y</v>
      </c>
      <c r="BU342" s="299" t="str">
        <f t="shared" si="428"/>
        <v>Y</v>
      </c>
      <c r="BV342" s="299" t="str">
        <f t="shared" si="429"/>
        <v>Y</v>
      </c>
      <c r="BW342" s="300" t="str">
        <f t="shared" si="482"/>
        <v>Y</v>
      </c>
      <c r="BY342" s="355">
        <f t="shared" si="483"/>
        <v>0</v>
      </c>
      <c r="BZ342" s="356">
        <f t="shared" si="484"/>
        <v>0</v>
      </c>
      <c r="CA342" s="356">
        <f t="shared" si="485"/>
        <v>0.95</v>
      </c>
      <c r="CB342" s="357">
        <f t="shared" si="486"/>
        <v>0.95</v>
      </c>
      <c r="CD342" s="312">
        <f t="shared" si="487"/>
        <v>335</v>
      </c>
    </row>
    <row r="343" spans="1:82" s="48" customFormat="1" outlineLevel="1" x14ac:dyDescent="0.3">
      <c r="A343" s="202">
        <v>78562000</v>
      </c>
      <c r="B343" s="48">
        <f>VLOOKUP(C343,'NCES ID'!$A$2:$B$3136,2,FALSE)</f>
        <v>400792</v>
      </c>
      <c r="C343" s="48">
        <f>VLOOKUP(A343,'State ID'!$A$2:$B$713,2,FALSE)</f>
        <v>90317</v>
      </c>
      <c r="D343" s="48" t="s">
        <v>429</v>
      </c>
      <c r="E343" s="48" t="s">
        <v>7</v>
      </c>
      <c r="F343" s="755"/>
      <c r="G343" s="755"/>
      <c r="H343" s="755"/>
      <c r="I343" s="755"/>
      <c r="J343" s="755"/>
      <c r="K343" s="755"/>
      <c r="L343" s="454"/>
      <c r="M343" s="455"/>
      <c r="N343" s="456"/>
      <c r="O343" s="209">
        <f>VLOOKUP($C343,'Final SEA Counts'!$A$2:$F$709,5,FALSE)</f>
        <v>232</v>
      </c>
      <c r="P343" s="223">
        <f>VLOOKUP($C343,'Final SEA Counts'!$A$2:$F$709,6,FALSE)</f>
        <v>195</v>
      </c>
      <c r="Q343" s="749"/>
      <c r="R343" s="454">
        <f t="shared" si="416"/>
        <v>232</v>
      </c>
      <c r="S343" s="455">
        <f t="shared" si="489"/>
        <v>96.549574426880369</v>
      </c>
      <c r="T343" s="230">
        <f t="shared" si="406"/>
        <v>0.41616195873655332</v>
      </c>
      <c r="U343" s="264" t="str">
        <f>IFERROR(VLOOKUP($B343,#REF!,8,FALSE),"")</f>
        <v/>
      </c>
      <c r="V343" s="265" t="str">
        <f>IFERROR(VLOOKUP($B343,#REF!,9,FALSE),"")</f>
        <v/>
      </c>
      <c r="W343" s="265" t="str">
        <f>IFERROR(VLOOKUP($B343,#REF!,10,FALSE),"")</f>
        <v/>
      </c>
      <c r="X343" s="265" t="str">
        <f>IFERROR(VLOOKUP($B343,#REF!,11,FALSE),"")</f>
        <v/>
      </c>
      <c r="Y343" s="266" t="str">
        <f>IFERROR(VLOOKUP($B343,#REF!,12,FALSE),"")</f>
        <v/>
      </c>
      <c r="Z343" s="265">
        <f t="shared" si="491"/>
        <v>46638.079201916371</v>
      </c>
      <c r="AA343" s="265">
        <f t="shared" si="492"/>
        <v>9644.6797788386157</v>
      </c>
      <c r="AB343" s="265">
        <f t="shared" si="493"/>
        <v>27295.494994404489</v>
      </c>
      <c r="AC343" s="266">
        <f t="shared" si="494"/>
        <v>25408.520316993596</v>
      </c>
      <c r="AD343" s="265">
        <f t="shared" si="418"/>
        <v>46638.079201916371</v>
      </c>
      <c r="AE343" s="265">
        <f t="shared" si="419"/>
        <v>9644.6797788386157</v>
      </c>
      <c r="AF343" s="265">
        <f t="shared" si="420"/>
        <v>27295.494994404489</v>
      </c>
      <c r="AG343" s="266">
        <f t="shared" si="421"/>
        <v>25408.520316993596</v>
      </c>
      <c r="AH343" s="265">
        <f t="shared" si="488"/>
        <v>46638.079201916371</v>
      </c>
      <c r="AI343" s="265">
        <f t="shared" si="488"/>
        <v>11775.501161669328</v>
      </c>
      <c r="AJ343" s="265">
        <f t="shared" si="488"/>
        <v>27320.835639624747</v>
      </c>
      <c r="AK343" s="265">
        <f t="shared" si="488"/>
        <v>25432.109128958997</v>
      </c>
      <c r="AL343" s="266">
        <f t="shared" si="400"/>
        <v>111166.52513216944</v>
      </c>
      <c r="AM343" s="347"/>
      <c r="AN343" s="264">
        <f>IFERROR(VLOOKUP($A343,'HH &amp; SI'!$B$4:$Z$494,'HH &amp; SI'!V$503,0),0)</f>
        <v>46938.300117220235</v>
      </c>
      <c r="AO343" s="265">
        <f>IFERROR(VLOOKUP($A343,'HH &amp; SI'!$B$4:$Z$494,'HH &amp; SI'!W$503,0),0)</f>
        <v>11387.659205757926</v>
      </c>
      <c r="AP343" s="265">
        <f>IFERROR(VLOOKUP($A343,'HH &amp; SI'!$B$4:$Z$494,'HH &amp; SI'!X$503,0),0)</f>
        <v>27072.363306499312</v>
      </c>
      <c r="AQ343" s="265">
        <f>IFERROR(VLOOKUP($A343,'HH &amp; SI'!$B$4:$Z$494,'HH &amp; SI'!Y$503,0),0)</f>
        <v>25151.893066492816</v>
      </c>
      <c r="AR343" s="266">
        <f t="shared" si="422"/>
        <v>110550.2156959703</v>
      </c>
      <c r="AS343" s="347"/>
      <c r="AT343" s="324">
        <f>IFERROR(VLOOKUP(A343,'Afton FY16 Final'!$A$5:$BV$572,'Afton FY16 Final'!$BV$587,0),0)</f>
        <v>107690.38789021145</v>
      </c>
      <c r="AU343" s="347"/>
      <c r="AV343" s="454">
        <v>0</v>
      </c>
      <c r="AW343" s="265">
        <f>IFERROR(VLOOKUP($A343,'HH &amp; SI'!$B$4:$EY$503,'HH &amp; SI'!EX$503,0),0)</f>
        <v>2859.8278057588468</v>
      </c>
      <c r="AX343" s="265">
        <f>IFERROR(VLOOKUP($A343,'HH &amp; SI'!$B$4:$EY$503,'HH &amp; SI'!EY$503,0),0)</f>
        <v>107690.38789021145</v>
      </c>
      <c r="AY343" s="265">
        <f>AX343/$AX$582*'update_State Admin 1004(b)'!$B$30*0.01</f>
        <v>1030.6743734927077</v>
      </c>
      <c r="AZ343" s="266">
        <f t="shared" si="423"/>
        <v>106659.71351671874</v>
      </c>
      <c r="BA343" s="264">
        <f t="shared" si="424"/>
        <v>1066.5971351671874</v>
      </c>
      <c r="BB343" s="265">
        <f t="shared" si="425"/>
        <v>105593.11638155155</v>
      </c>
      <c r="BC343" s="342">
        <f t="shared" si="479"/>
        <v>0.98052498881517602</v>
      </c>
      <c r="BD343" s="347"/>
      <c r="BE343" s="377" t="str">
        <f>'Original Title I &amp; II'!AZ341</f>
        <v/>
      </c>
      <c r="BF343" s="244" t="str">
        <f t="shared" si="495"/>
        <v/>
      </c>
      <c r="BG343" s="266">
        <f t="shared" si="417"/>
        <v>105593.11638155155</v>
      </c>
      <c r="BI343" s="203" t="str">
        <f>IFERROR(VLOOKUP(A343,'Title II Hold Harmless'!A$1:B$439,2, FALSE),"")</f>
        <v/>
      </c>
      <c r="BJ343" s="203">
        <f t="shared" si="426"/>
        <v>1450.6336221781341</v>
      </c>
      <c r="BK343" s="203">
        <f t="shared" si="475"/>
        <v>1452.0369533350381</v>
      </c>
      <c r="BL343" s="203" t="str">
        <f t="shared" si="476"/>
        <v/>
      </c>
      <c r="BM343" s="203">
        <f t="shared" si="477"/>
        <v>1452.0369533350381</v>
      </c>
      <c r="BN343" s="200"/>
      <c r="BP343" s="298" t="s">
        <v>1448</v>
      </c>
      <c r="BQ343" s="299" t="str">
        <f t="shared" si="480"/>
        <v>Y</v>
      </c>
      <c r="BR343" s="300" t="s">
        <v>1448</v>
      </c>
      <c r="BT343" s="298" t="str">
        <f t="shared" si="481"/>
        <v>Y</v>
      </c>
      <c r="BU343" s="299" t="str">
        <f t="shared" si="428"/>
        <v>Y</v>
      </c>
      <c r="BV343" s="299" t="str">
        <f t="shared" si="429"/>
        <v>Y</v>
      </c>
      <c r="BW343" s="300" t="str">
        <f t="shared" si="482"/>
        <v>Y</v>
      </c>
      <c r="BY343" s="355">
        <f t="shared" si="483"/>
        <v>0</v>
      </c>
      <c r="BZ343" s="356">
        <f t="shared" si="484"/>
        <v>0</v>
      </c>
      <c r="CA343" s="356">
        <f t="shared" si="485"/>
        <v>0.95</v>
      </c>
      <c r="CB343" s="357">
        <f t="shared" si="486"/>
        <v>0.95</v>
      </c>
      <c r="CD343" s="312">
        <f t="shared" si="487"/>
        <v>336</v>
      </c>
    </row>
    <row r="344" spans="1:82" s="48" customFormat="1" outlineLevel="1" x14ac:dyDescent="0.3">
      <c r="A344" s="202">
        <v>78224000</v>
      </c>
      <c r="B344" s="48">
        <f>VLOOKUP(C344,'NCES ID'!$A$2:$B$3136,2,FALSE)</f>
        <v>400887</v>
      </c>
      <c r="C344" s="48">
        <f>VLOOKUP(A344,'State ID'!$A$2:$B$713,2,FALSE)</f>
        <v>91948</v>
      </c>
      <c r="D344" s="48" t="s">
        <v>432</v>
      </c>
      <c r="E344" s="48" t="s">
        <v>7</v>
      </c>
      <c r="F344" s="755"/>
      <c r="G344" s="755"/>
      <c r="H344" s="755"/>
      <c r="I344" s="755"/>
      <c r="J344" s="755"/>
      <c r="K344" s="755"/>
      <c r="L344" s="454"/>
      <c r="M344" s="455"/>
      <c r="N344" s="456"/>
      <c r="O344" s="209">
        <f>VLOOKUP($C344,'Final SEA Counts'!$A$2:$F$709,5,FALSE)</f>
        <v>168</v>
      </c>
      <c r="P344" s="223">
        <f>VLOOKUP($C344,'Final SEA Counts'!$A$2:$F$709,6,FALSE)</f>
        <v>161</v>
      </c>
      <c r="Q344" s="749"/>
      <c r="R344" s="454">
        <f t="shared" si="416"/>
        <v>168</v>
      </c>
      <c r="S344" s="455">
        <f t="shared" si="489"/>
        <v>79.715289655014047</v>
      </c>
      <c r="T344" s="230">
        <f t="shared" si="406"/>
        <v>0.47449577175603597</v>
      </c>
      <c r="U344" s="264" t="str">
        <f>IFERROR(VLOOKUP($B344,#REF!,8,FALSE),"")</f>
        <v/>
      </c>
      <c r="V344" s="265" t="str">
        <f>IFERROR(VLOOKUP($B344,#REF!,9,FALSE),"")</f>
        <v/>
      </c>
      <c r="W344" s="265" t="str">
        <f>IFERROR(VLOOKUP($B344,#REF!,10,FALSE),"")</f>
        <v/>
      </c>
      <c r="X344" s="265" t="str">
        <f>IFERROR(VLOOKUP($B344,#REF!,11,FALSE),"")</f>
        <v/>
      </c>
      <c r="Y344" s="266" t="str">
        <f>IFERROR(VLOOKUP($B344,#REF!,12,FALSE),"")</f>
        <v/>
      </c>
      <c r="Z344" s="265">
        <f t="shared" si="491"/>
        <v>38506.311546197619</v>
      </c>
      <c r="AA344" s="265">
        <f t="shared" si="492"/>
        <v>7963.0433045795753</v>
      </c>
      <c r="AB344" s="265">
        <f t="shared" si="493"/>
        <v>22536.280482559603</v>
      </c>
      <c r="AC344" s="266">
        <f t="shared" si="494"/>
        <v>20978.316774543429</v>
      </c>
      <c r="AD344" s="265">
        <f t="shared" si="418"/>
        <v>38506.311546197619</v>
      </c>
      <c r="AE344" s="265">
        <f t="shared" si="419"/>
        <v>7963.0433045795753</v>
      </c>
      <c r="AF344" s="265">
        <f t="shared" si="420"/>
        <v>22536.280482559603</v>
      </c>
      <c r="AG344" s="266">
        <f t="shared" si="421"/>
        <v>20978.316774543429</v>
      </c>
      <c r="AH344" s="265">
        <f t="shared" si="488"/>
        <v>38506.311546197619</v>
      </c>
      <c r="AI344" s="265">
        <f t="shared" si="488"/>
        <v>10093.864687410289</v>
      </c>
      <c r="AJ344" s="265">
        <f t="shared" si="488"/>
        <v>22561.621127779861</v>
      </c>
      <c r="AK344" s="265">
        <f t="shared" si="488"/>
        <v>21001.90558650883</v>
      </c>
      <c r="AL344" s="266">
        <f t="shared" ref="AL344:AL355" si="496">SUM(AH344:AK344)</f>
        <v>92163.7029478966</v>
      </c>
      <c r="AM344" s="347"/>
      <c r="AN344" s="264">
        <f>IFERROR(VLOOKUP($A344,'HH &amp; SI'!$B$4:$Z$494,'HH &amp; SI'!V$503,0),0)</f>
        <v>37981.060463659836</v>
      </c>
      <c r="AO344" s="265">
        <f>IFERROR(VLOOKUP($A344,'HH &amp; SI'!$B$4:$Z$494,'HH &amp; SI'!W$503,0),0)</f>
        <v>9761.4096887378364</v>
      </c>
      <c r="AP344" s="265">
        <f>IFERROR(VLOOKUP($A344,'HH &amp; SI'!$B$4:$Z$494,'HH &amp; SI'!X$503,0),0)</f>
        <v>22356.431992474605</v>
      </c>
      <c r="AQ344" s="265">
        <f>IFERROR(VLOOKUP($A344,'HH &amp; SI'!$B$4:$Z$494,'HH &amp; SI'!Y$503,0),0)</f>
        <v>20770.502392306713</v>
      </c>
      <c r="AR344" s="266">
        <f t="shared" si="422"/>
        <v>90869.404537178983</v>
      </c>
      <c r="AS344" s="347"/>
      <c r="AT344" s="324">
        <f>IFERROR(VLOOKUP(A344,'Afton FY16 Final'!$A$5:$BV$572,'Afton FY16 Final'!$BV$587,0),0)</f>
        <v>67065.402463522565</v>
      </c>
      <c r="AU344" s="347"/>
      <c r="AV344" s="454">
        <v>0</v>
      </c>
      <c r="AW344" s="265">
        <f>IFERROR(VLOOKUP($A344,'HH &amp; SI'!$B$4:$EY$503,'HH &amp; SI'!EX$503,0),0)</f>
        <v>5089.8771307900752</v>
      </c>
      <c r="AX344" s="265">
        <f>IFERROR(VLOOKUP($A344,'HH &amp; SI'!$B$4:$EY$503,'HH &amp; SI'!EY$503,0),0)</f>
        <v>85779.527406388908</v>
      </c>
      <c r="AY344" s="265">
        <f>AX344/$AX$582*'update_State Admin 1004(b)'!$B$30*0.01</f>
        <v>820.97169859034898</v>
      </c>
      <c r="AZ344" s="266">
        <f t="shared" si="423"/>
        <v>84958.555707798558</v>
      </c>
      <c r="BA344" s="264">
        <f t="shared" si="424"/>
        <v>849.58555707798564</v>
      </c>
      <c r="BB344" s="265">
        <f t="shared" si="425"/>
        <v>84108.970150720575</v>
      </c>
      <c r="BC344" s="342">
        <f t="shared" si="479"/>
        <v>1.2541335332546188</v>
      </c>
      <c r="BD344" s="347"/>
      <c r="BE344" s="377" t="str">
        <f>'Original Title I &amp; II'!AZ342</f>
        <v/>
      </c>
      <c r="BF344" s="244" t="str">
        <f t="shared" si="495"/>
        <v/>
      </c>
      <c r="BG344" s="266">
        <f t="shared" si="417"/>
        <v>84108.970150720575</v>
      </c>
      <c r="BI344" s="203" t="str">
        <f>IFERROR(VLOOKUP(A344,'Title II Hold Harmless'!A$1:B$439,2, FALSE),"")</f>
        <v/>
      </c>
      <c r="BJ344" s="203">
        <f t="shared" si="426"/>
        <v>1178.7506307514536</v>
      </c>
      <c r="BK344" s="203">
        <f t="shared" si="475"/>
        <v>1179.8909445157728</v>
      </c>
      <c r="BL344" s="203" t="str">
        <f t="shared" si="476"/>
        <v/>
      </c>
      <c r="BM344" s="203">
        <f t="shared" si="477"/>
        <v>1179.8909445157728</v>
      </c>
      <c r="BN344" s="200"/>
      <c r="BP344" s="298" t="s">
        <v>1448</v>
      </c>
      <c r="BQ344" s="299" t="str">
        <f t="shared" si="480"/>
        <v>Y</v>
      </c>
      <c r="BR344" s="300" t="s">
        <v>1448</v>
      </c>
      <c r="BT344" s="298" t="str">
        <f t="shared" si="481"/>
        <v>Y</v>
      </c>
      <c r="BU344" s="299" t="str">
        <f t="shared" si="428"/>
        <v>Y</v>
      </c>
      <c r="BV344" s="299" t="str">
        <f t="shared" si="429"/>
        <v>Y</v>
      </c>
      <c r="BW344" s="300" t="str">
        <f t="shared" si="482"/>
        <v>Y</v>
      </c>
      <c r="BY344" s="355">
        <f t="shared" si="483"/>
        <v>0</v>
      </c>
      <c r="BZ344" s="356">
        <f t="shared" si="484"/>
        <v>0</v>
      </c>
      <c r="CA344" s="356">
        <f t="shared" si="485"/>
        <v>0.95</v>
      </c>
      <c r="CB344" s="357">
        <f t="shared" si="486"/>
        <v>0.95</v>
      </c>
      <c r="CD344" s="312">
        <f t="shared" si="487"/>
        <v>337</v>
      </c>
    </row>
    <row r="345" spans="1:82" s="48" customFormat="1" outlineLevel="1" x14ac:dyDescent="0.3">
      <c r="A345" s="202">
        <v>78935000</v>
      </c>
      <c r="B345" s="48">
        <f>VLOOKUP(C345,'NCES ID'!$A$2:$B$3136,2,FALSE)</f>
        <v>400279</v>
      </c>
      <c r="C345" s="48">
        <f>VLOOKUP(A345,'State ID'!$A$2:$B$713,2,FALSE)</f>
        <v>79497</v>
      </c>
      <c r="D345" s="48" t="s">
        <v>436</v>
      </c>
      <c r="E345" s="48" t="s">
        <v>7</v>
      </c>
      <c r="F345" s="755"/>
      <c r="G345" s="755"/>
      <c r="H345" s="755"/>
      <c r="I345" s="755"/>
      <c r="J345" s="755"/>
      <c r="K345" s="755"/>
      <c r="L345" s="454"/>
      <c r="M345" s="455"/>
      <c r="N345" s="456"/>
      <c r="O345" s="209">
        <f>VLOOKUP($C345,'Final SEA Counts'!$A$2:$F$709,5,FALSE)</f>
        <v>323</v>
      </c>
      <c r="P345" s="223">
        <f>VLOOKUP($C345,'Final SEA Counts'!$A$2:$F$709,6,FALSE)</f>
        <v>119</v>
      </c>
      <c r="Q345" s="749"/>
      <c r="R345" s="454">
        <f t="shared" si="416"/>
        <v>323</v>
      </c>
      <c r="S345" s="455">
        <f t="shared" si="489"/>
        <v>58.919996701532121</v>
      </c>
      <c r="T345" s="230">
        <f t="shared" si="406"/>
        <v>0.18241485046913969</v>
      </c>
      <c r="U345" s="264" t="str">
        <f>IFERROR(VLOOKUP($B345,#REF!,8,FALSE),"")</f>
        <v/>
      </c>
      <c r="V345" s="265" t="str">
        <f>IFERROR(VLOOKUP($B345,#REF!,9,FALSE),"")</f>
        <v/>
      </c>
      <c r="W345" s="265" t="str">
        <f>IFERROR(VLOOKUP($B345,#REF!,10,FALSE),"")</f>
        <v/>
      </c>
      <c r="X345" s="265" t="str">
        <f>IFERROR(VLOOKUP($B345,#REF!,11,FALSE),"")</f>
        <v/>
      </c>
      <c r="Y345" s="266" t="str">
        <f>IFERROR(VLOOKUP($B345,#REF!,12,FALSE),"")</f>
        <v/>
      </c>
      <c r="Z345" s="265">
        <f t="shared" si="491"/>
        <v>28461.18679501563</v>
      </c>
      <c r="AA345" s="265">
        <f t="shared" si="492"/>
        <v>5885.7276599066427</v>
      </c>
      <c r="AB345" s="265">
        <f t="shared" si="493"/>
        <v>16657.250791457096</v>
      </c>
      <c r="AC345" s="266">
        <f t="shared" si="494"/>
        <v>15505.712398575579</v>
      </c>
      <c r="AD345" s="265">
        <f t="shared" si="418"/>
        <v>28461.18679501563</v>
      </c>
      <c r="AE345" s="265">
        <f t="shared" si="419"/>
        <v>5885.7276599066427</v>
      </c>
      <c r="AF345" s="265">
        <f t="shared" si="420"/>
        <v>16657.250791457096</v>
      </c>
      <c r="AG345" s="266">
        <f t="shared" si="421"/>
        <v>15505.712398575579</v>
      </c>
      <c r="AH345" s="265">
        <f t="shared" si="488"/>
        <v>28461.18679501563</v>
      </c>
      <c r="AI345" s="265">
        <f t="shared" si="488"/>
        <v>8016.5490427373552</v>
      </c>
      <c r="AJ345" s="265">
        <f t="shared" si="488"/>
        <v>16682.591436677354</v>
      </c>
      <c r="AK345" s="265">
        <f t="shared" si="488"/>
        <v>15529.301210540982</v>
      </c>
      <c r="AL345" s="266">
        <f t="shared" si="496"/>
        <v>68689.628484971327</v>
      </c>
      <c r="AM345" s="347"/>
      <c r="AN345" s="264">
        <f>IFERROR(VLOOKUP($A345,'HH &amp; SI'!$B$4:$Z$494,'HH &amp; SI'!V$503,0),0)</f>
        <v>28072.957734009447</v>
      </c>
      <c r="AO345" s="265">
        <f>IFERROR(VLOOKUP($A345,'HH &amp; SI'!$B$4:$Z$494,'HH &amp; SI'!W$503,0),0)</f>
        <v>7752.5132265365464</v>
      </c>
      <c r="AP345" s="265">
        <f>IFERROR(VLOOKUP($A345,'HH &amp; SI'!$B$4:$Z$494,'HH &amp; SI'!X$503,0),0)</f>
        <v>16530.869781032325</v>
      </c>
      <c r="AQ345" s="265">
        <f>IFERROR(VLOOKUP($A345,'HH &amp; SI'!$B$4:$Z$494,'HH &amp; SI'!Y$503,0),0)</f>
        <v>15358.19626537094</v>
      </c>
      <c r="AR345" s="266">
        <f t="shared" si="422"/>
        <v>67714.537006949249</v>
      </c>
      <c r="AS345" s="347"/>
      <c r="AT345" s="324">
        <f>IFERROR(VLOOKUP(A345,'Afton FY16 Final'!$A$5:$BV$572,'Afton FY16 Final'!$BV$587,0),0)</f>
        <v>67734.409474800967</v>
      </c>
      <c r="AU345" s="347"/>
      <c r="AV345" s="454">
        <v>0</v>
      </c>
      <c r="AW345" s="265">
        <f>IFERROR(VLOOKUP($A345,'HH &amp; SI'!$B$4:$EY$503,'HH &amp; SI'!EX$503,0),0)</f>
        <v>0</v>
      </c>
      <c r="AX345" s="265">
        <f>IFERROR(VLOOKUP($A345,'HH &amp; SI'!$B$4:$EY$503,'HH &amp; SI'!EY$503,0),0)</f>
        <v>67714.537006949249</v>
      </c>
      <c r="AY345" s="265">
        <f>AX345/$AX$582*'update_State Admin 1004(b)'!$B$30*0.01</f>
        <v>648.07676314749267</v>
      </c>
      <c r="AZ345" s="266">
        <f t="shared" si="423"/>
        <v>67066.460243801761</v>
      </c>
      <c r="BA345" s="264">
        <f t="shared" si="424"/>
        <v>670.6646024380176</v>
      </c>
      <c r="BB345" s="265">
        <f t="shared" si="425"/>
        <v>66395.795641363744</v>
      </c>
      <c r="BC345" s="342">
        <f t="shared" si="479"/>
        <v>0.98023731447846718</v>
      </c>
      <c r="BD345" s="347"/>
      <c r="BE345" s="377" t="str">
        <f>'Original Title I &amp; II'!AZ343</f>
        <v/>
      </c>
      <c r="BF345" s="244" t="str">
        <f t="shared" si="495"/>
        <v/>
      </c>
      <c r="BG345" s="266">
        <f t="shared" si="417"/>
        <v>66395.795641363744</v>
      </c>
      <c r="BI345" s="203">
        <f>IFERROR(VLOOKUP(A345,'Title II Hold Harmless'!A$1:B$439,2, FALSE),"")</f>
        <v>34621</v>
      </c>
      <c r="BJ345" s="203">
        <f t="shared" si="426"/>
        <v>35652.265639253063</v>
      </c>
      <c r="BK345" s="203">
        <f t="shared" si="475"/>
        <v>35686.755350797634</v>
      </c>
      <c r="BL345" s="203" t="str">
        <f t="shared" si="476"/>
        <v/>
      </c>
      <c r="BM345" s="203">
        <f t="shared" si="477"/>
        <v>35686.755350797634</v>
      </c>
      <c r="BN345" s="200"/>
      <c r="BP345" s="298" t="s">
        <v>1448</v>
      </c>
      <c r="BQ345" s="299" t="str">
        <f t="shared" si="480"/>
        <v>Y</v>
      </c>
      <c r="BR345" s="300" t="s">
        <v>1448</v>
      </c>
      <c r="BT345" s="298" t="str">
        <f t="shared" si="481"/>
        <v>Y</v>
      </c>
      <c r="BU345" s="299" t="str">
        <f t="shared" si="428"/>
        <v>Y</v>
      </c>
      <c r="BV345" s="299" t="str">
        <f t="shared" si="429"/>
        <v>Y</v>
      </c>
      <c r="BW345" s="300" t="str">
        <f t="shared" si="482"/>
        <v>Y</v>
      </c>
      <c r="BY345" s="355">
        <f t="shared" si="483"/>
        <v>0</v>
      </c>
      <c r="BZ345" s="356">
        <f t="shared" si="484"/>
        <v>0.9</v>
      </c>
      <c r="CA345" s="356">
        <f t="shared" si="485"/>
        <v>0</v>
      </c>
      <c r="CB345" s="357">
        <f t="shared" si="486"/>
        <v>0.9</v>
      </c>
      <c r="CD345" s="312">
        <f t="shared" si="487"/>
        <v>338</v>
      </c>
    </row>
    <row r="346" spans="1:82" s="48" customFormat="1" outlineLevel="1" x14ac:dyDescent="0.3">
      <c r="A346" s="202">
        <v>78974000</v>
      </c>
      <c r="B346" s="48">
        <f>VLOOKUP(C346,'NCES ID'!$A$2:$B$3136,2,FALSE)</f>
        <v>400377</v>
      </c>
      <c r="C346" s="48">
        <f>VLOOKUP(A346,'State ID'!$A$2:$B$713,2,FALSE)</f>
        <v>79990</v>
      </c>
      <c r="D346" s="48" t="s">
        <v>437</v>
      </c>
      <c r="E346" s="48" t="s">
        <v>7</v>
      </c>
      <c r="F346" s="755"/>
      <c r="G346" s="755"/>
      <c r="H346" s="755"/>
      <c r="I346" s="755"/>
      <c r="J346" s="755"/>
      <c r="K346" s="755"/>
      <c r="L346" s="454"/>
      <c r="M346" s="455"/>
      <c r="N346" s="456"/>
      <c r="O346" s="209">
        <f>VLOOKUP($C346,'Final SEA Counts'!$A$2:$F$709,5,FALSE)</f>
        <v>89</v>
      </c>
      <c r="P346" s="223">
        <f>VLOOKUP($C346,'Final SEA Counts'!$A$2:$F$709,6,FALSE)</f>
        <v>38</v>
      </c>
      <c r="Q346" s="749"/>
      <c r="R346" s="454">
        <f t="shared" si="416"/>
        <v>89</v>
      </c>
      <c r="S346" s="455">
        <f t="shared" si="489"/>
        <v>18.814788862674124</v>
      </c>
      <c r="T346" s="230">
        <f t="shared" si="406"/>
        <v>0.21140212205251824</v>
      </c>
      <c r="U346" s="264" t="str">
        <f>IFERROR(VLOOKUP($B346,#REF!,8,FALSE),"")</f>
        <v/>
      </c>
      <c r="V346" s="265" t="str">
        <f>IFERROR(VLOOKUP($B346,#REF!,9,FALSE),"")</f>
        <v/>
      </c>
      <c r="W346" s="265" t="str">
        <f>IFERROR(VLOOKUP($B346,#REF!,10,FALSE),"")</f>
        <v/>
      </c>
      <c r="X346" s="265" t="str">
        <f>IFERROR(VLOOKUP($B346,#REF!,11,FALSE),"")</f>
        <v/>
      </c>
      <c r="Y346" s="266" t="str">
        <f>IFERROR(VLOOKUP($B346,#REF!,12,FALSE),"")</f>
        <v/>
      </c>
      <c r="Z346" s="265">
        <f t="shared" si="491"/>
        <v>9088.4462034503704</v>
      </c>
      <c r="AA346" s="265">
        <f t="shared" si="492"/>
        <v>1879.476059465987</v>
      </c>
      <c r="AB346" s="265">
        <f t="shared" si="493"/>
        <v>5319.1221014736957</v>
      </c>
      <c r="AC346" s="266">
        <f t="shared" si="494"/>
        <v>4951.4039592090085</v>
      </c>
      <c r="AD346" s="265">
        <f t="shared" si="418"/>
        <v>9088.4462034503704</v>
      </c>
      <c r="AE346" s="265">
        <f t="shared" si="419"/>
        <v>1879.476059465987</v>
      </c>
      <c r="AF346" s="265">
        <f t="shared" si="420"/>
        <v>5319.1221014736957</v>
      </c>
      <c r="AG346" s="266">
        <f t="shared" si="421"/>
        <v>4951.4039592090085</v>
      </c>
      <c r="AH346" s="265">
        <f t="shared" si="488"/>
        <v>9088.4462034503704</v>
      </c>
      <c r="AI346" s="265">
        <f t="shared" si="488"/>
        <v>4010.2974422966995</v>
      </c>
      <c r="AJ346" s="265">
        <f t="shared" si="488"/>
        <v>5344.4627466939546</v>
      </c>
      <c r="AK346" s="265">
        <f t="shared" si="488"/>
        <v>4974.9927711744112</v>
      </c>
      <c r="AL346" s="266">
        <f t="shared" si="496"/>
        <v>23418.199163615434</v>
      </c>
      <c r="AM346" s="347"/>
      <c r="AN346" s="264">
        <f>IFERROR(VLOOKUP($A346,'HH &amp; SI'!$B$4:$Z$494,'HH &amp; SI'!V$503,0),0)</f>
        <v>8964.4738982551189</v>
      </c>
      <c r="AO346" s="265">
        <f>IFERROR(VLOOKUP($A346,'HH &amp; SI'!$B$4:$Z$494,'HH &amp; SI'!W$503,0),0)</f>
        <v>3878.2129065769177</v>
      </c>
      <c r="AP346" s="265">
        <f>IFERROR(VLOOKUP($A346,'HH &amp; SI'!$B$4:$Z$494,'HH &amp; SI'!X$503,0),0)</f>
        <v>5295.8569446793554</v>
      </c>
      <c r="AQ346" s="265">
        <f>IFERROR(VLOOKUP($A346,'HH &amp; SI'!$B$4:$Z$494,'HH &amp; SI'!Y$503,0),0)</f>
        <v>4920.1773062805141</v>
      </c>
      <c r="AR346" s="266">
        <f t="shared" si="422"/>
        <v>23058.721055791906</v>
      </c>
      <c r="AS346" s="347"/>
      <c r="AT346" s="324">
        <f>IFERROR(VLOOKUP(A346,'Afton FY16 Final'!$A$5:$BV$572,'Afton FY16 Final'!$BV$587,0),0)</f>
        <v>17367.609728762516</v>
      </c>
      <c r="AU346" s="347"/>
      <c r="AV346" s="454">
        <v>0</v>
      </c>
      <c r="AW346" s="265">
        <f>IFERROR(VLOOKUP($A346,'HH &amp; SI'!$B$4:$EY$503,'HH &amp; SI'!EX$503,0),0)</f>
        <v>1291.5904705760731</v>
      </c>
      <c r="AX346" s="265">
        <f>IFERROR(VLOOKUP($A346,'HH &amp; SI'!$B$4:$EY$503,'HH &amp; SI'!EY$503,0),0)</f>
        <v>21767.130585215833</v>
      </c>
      <c r="AY346" s="265">
        <f>AX346/$AX$582*'update_State Admin 1004(b)'!$B$30*0.01</f>
        <v>208.32707652165959</v>
      </c>
      <c r="AZ346" s="266">
        <f t="shared" si="423"/>
        <v>21558.803508694175</v>
      </c>
      <c r="BA346" s="264">
        <f t="shared" si="424"/>
        <v>215.58803508694174</v>
      </c>
      <c r="BB346" s="265">
        <f t="shared" si="425"/>
        <v>21343.215473607233</v>
      </c>
      <c r="BC346" s="342">
        <f t="shared" si="479"/>
        <v>1.2289092055230095</v>
      </c>
      <c r="BD346" s="347"/>
      <c r="BE346" s="377" t="str">
        <f>'Original Title I &amp; II'!AZ344</f>
        <v/>
      </c>
      <c r="BF346" s="244" t="str">
        <f t="shared" si="495"/>
        <v/>
      </c>
      <c r="BG346" s="266">
        <f t="shared" si="417"/>
        <v>21343.215473607233</v>
      </c>
      <c r="BI346" s="203" t="str">
        <f>IFERROR(VLOOKUP(A346,'Title II Hold Harmless'!A$1:B$439,2, FALSE),"")</f>
        <v/>
      </c>
      <c r="BJ346" s="203">
        <f t="shared" si="426"/>
        <v>317.92954969917514</v>
      </c>
      <c r="BK346" s="203">
        <f t="shared" si="475"/>
        <v>318.23711215738109</v>
      </c>
      <c r="BL346" s="203" t="str">
        <f t="shared" si="476"/>
        <v/>
      </c>
      <c r="BM346" s="203">
        <f t="shared" si="477"/>
        <v>318.23711215738109</v>
      </c>
      <c r="BN346" s="200"/>
      <c r="BP346" s="298" t="s">
        <v>1448</v>
      </c>
      <c r="BQ346" s="299" t="str">
        <f t="shared" si="480"/>
        <v>Y</v>
      </c>
      <c r="BR346" s="300" t="s">
        <v>1448</v>
      </c>
      <c r="BT346" s="298" t="str">
        <f t="shared" si="481"/>
        <v>Y</v>
      </c>
      <c r="BU346" s="299" t="str">
        <f t="shared" si="428"/>
        <v>Y</v>
      </c>
      <c r="BV346" s="299" t="str">
        <f t="shared" si="429"/>
        <v>Y</v>
      </c>
      <c r="BW346" s="300" t="str">
        <f t="shared" si="482"/>
        <v>Y</v>
      </c>
      <c r="BY346" s="355">
        <f t="shared" si="483"/>
        <v>0</v>
      </c>
      <c r="BZ346" s="356">
        <f t="shared" si="484"/>
        <v>0.9</v>
      </c>
      <c r="CA346" s="356">
        <f t="shared" si="485"/>
        <v>0</v>
      </c>
      <c r="CB346" s="357">
        <f t="shared" si="486"/>
        <v>0.9</v>
      </c>
      <c r="CD346" s="312">
        <f t="shared" si="487"/>
        <v>339</v>
      </c>
    </row>
    <row r="347" spans="1:82" s="48" customFormat="1" outlineLevel="1" x14ac:dyDescent="0.3">
      <c r="A347" s="202">
        <v>78548000</v>
      </c>
      <c r="B347" s="48">
        <f>VLOOKUP(C347,'NCES ID'!$A$2:$B$3136,2,FALSE)</f>
        <v>400786</v>
      </c>
      <c r="C347" s="48">
        <f>VLOOKUP(A347,'State ID'!$A$2:$B$713,2,FALSE)</f>
        <v>90036</v>
      </c>
      <c r="D347" s="48" t="s">
        <v>438</v>
      </c>
      <c r="E347" s="48" t="s">
        <v>7</v>
      </c>
      <c r="F347" s="755"/>
      <c r="G347" s="755"/>
      <c r="H347" s="755"/>
      <c r="I347" s="755"/>
      <c r="J347" s="755"/>
      <c r="K347" s="755"/>
      <c r="L347" s="454"/>
      <c r="M347" s="455"/>
      <c r="N347" s="456"/>
      <c r="O347" s="209">
        <f>VLOOKUP($C347,'Final SEA Counts'!$A$2:$F$709,5,FALSE)</f>
        <v>365</v>
      </c>
      <c r="P347" s="223">
        <f>VLOOKUP($C347,'Final SEA Counts'!$A$2:$F$709,6,FALSE)</f>
        <v>292</v>
      </c>
      <c r="Q347" s="749"/>
      <c r="R347" s="454">
        <f t="shared" si="416"/>
        <v>365</v>
      </c>
      <c r="S347" s="455">
        <f t="shared" si="489"/>
        <v>144.57679862896958</v>
      </c>
      <c r="T347" s="230">
        <f t="shared" si="406"/>
        <v>0.39610081816156051</v>
      </c>
      <c r="U347" s="264" t="str">
        <f>IFERROR(VLOOKUP($B347,#REF!,8,FALSE),"")</f>
        <v/>
      </c>
      <c r="V347" s="265" t="str">
        <f>IFERROR(VLOOKUP($B347,#REF!,9,FALSE),"")</f>
        <v/>
      </c>
      <c r="W347" s="265" t="str">
        <f>IFERROR(VLOOKUP($B347,#REF!,10,FALSE),"")</f>
        <v/>
      </c>
      <c r="X347" s="265" t="str">
        <f>IFERROR(VLOOKUP($B347,#REF!,11,FALSE),"")</f>
        <v/>
      </c>
      <c r="Y347" s="266" t="str">
        <f>IFERROR(VLOOKUP($B347,#REF!,12,FALSE),"")</f>
        <v/>
      </c>
      <c r="Z347" s="265">
        <f t="shared" si="491"/>
        <v>69837.533984408117</v>
      </c>
      <c r="AA347" s="265">
        <f t="shared" si="492"/>
        <v>14442.289720107057</v>
      </c>
      <c r="AB347" s="265">
        <f t="shared" si="493"/>
        <v>40873.254042903136</v>
      </c>
      <c r="AC347" s="266">
        <f t="shared" si="494"/>
        <v>38047.630423395538</v>
      </c>
      <c r="AD347" s="265">
        <f t="shared" si="418"/>
        <v>69837.533984408117</v>
      </c>
      <c r="AE347" s="265">
        <f t="shared" si="419"/>
        <v>14442.289720107057</v>
      </c>
      <c r="AF347" s="265">
        <f t="shared" si="420"/>
        <v>40873.254042903136</v>
      </c>
      <c r="AG347" s="266">
        <f t="shared" si="421"/>
        <v>38047.630423395538</v>
      </c>
      <c r="AH347" s="265">
        <f t="shared" ref="AH347:AK356" si="497">IF(AD347="","",AD347+AD$359)</f>
        <v>69837.533984408117</v>
      </c>
      <c r="AI347" s="265">
        <f t="shared" si="497"/>
        <v>16573.111102937772</v>
      </c>
      <c r="AJ347" s="265">
        <f t="shared" si="497"/>
        <v>40898.594688123398</v>
      </c>
      <c r="AK347" s="265">
        <f t="shared" si="497"/>
        <v>38071.219235360943</v>
      </c>
      <c r="AL347" s="266">
        <f t="shared" si="496"/>
        <v>165380.45901083021</v>
      </c>
      <c r="AM347" s="347"/>
      <c r="AN347" s="264">
        <f>IFERROR(VLOOKUP($A347,'HH &amp; SI'!$B$4:$Z$494,'HH &amp; SI'!V$503,0),0)</f>
        <v>75027.652577496483</v>
      </c>
      <c r="AO347" s="265">
        <f>IFERROR(VLOOKUP($A347,'HH &amp; SI'!$B$4:$Z$494,'HH &amp; SI'!W$503,0),0)</f>
        <v>17046.509524186233</v>
      </c>
      <c r="AP347" s="265">
        <f>IFERROR(VLOOKUP($A347,'HH &amp; SI'!$B$4:$Z$494,'HH &amp; SI'!X$503,0),0)</f>
        <v>40718.388369766239</v>
      </c>
      <c r="AQ347" s="265">
        <f>IFERROR(VLOOKUP($A347,'HH &amp; SI'!$B$4:$Z$494,'HH &amp; SI'!Y$503,0),0)</f>
        <v>37651.74293108259</v>
      </c>
      <c r="AR347" s="266">
        <f t="shared" si="422"/>
        <v>170444.29340253153</v>
      </c>
      <c r="AS347" s="347"/>
      <c r="AT347" s="324">
        <f>IFERROR(VLOOKUP(A347,'Afton FY16 Final'!$A$5:$BV$572,'Afton FY16 Final'!$BV$587,0),0)</f>
        <v>156054.4931085709</v>
      </c>
      <c r="AU347" s="347"/>
      <c r="AV347" s="454">
        <v>0</v>
      </c>
      <c r="AW347" s="265">
        <f>IFERROR(VLOOKUP($A347,'HH &amp; SI'!$B$4:$EY$503,'HH &amp; SI'!EX$503,0),0)</f>
        <v>9547.1134149258141</v>
      </c>
      <c r="AX347" s="265">
        <f>IFERROR(VLOOKUP($A347,'HH &amp; SI'!$B$4:$EY$503,'HH &amp; SI'!EY$503,0),0)</f>
        <v>160897.17998760572</v>
      </c>
      <c r="AY347" s="265">
        <f>AX347/$AX$582*'update_State Admin 1004(b)'!$B$30*0.01</f>
        <v>1539.901595948679</v>
      </c>
      <c r="AZ347" s="266">
        <f t="shared" si="423"/>
        <v>159357.27839165705</v>
      </c>
      <c r="BA347" s="264">
        <f t="shared" si="424"/>
        <v>1593.5727839165704</v>
      </c>
      <c r="BB347" s="265">
        <f t="shared" si="425"/>
        <v>157763.70560774047</v>
      </c>
      <c r="BC347" s="342">
        <f t="shared" si="479"/>
        <v>1.0109526644515159</v>
      </c>
      <c r="BD347" s="347"/>
      <c r="BE347" s="377" t="str">
        <f>'Original Title I &amp; II'!AZ345</f>
        <v/>
      </c>
      <c r="BF347" s="244" t="str">
        <f t="shared" si="495"/>
        <v/>
      </c>
      <c r="BG347" s="266">
        <f t="shared" si="417"/>
        <v>157763.70560774047</v>
      </c>
      <c r="BI347" s="203" t="str">
        <f>IFERROR(VLOOKUP(A347,'Title II Hold Harmless'!A$1:B$439,2, FALSE),"")</f>
        <v/>
      </c>
      <c r="BJ347" s="203">
        <f t="shared" si="426"/>
        <v>2186.3912072341614</v>
      </c>
      <c r="BK347" s="203">
        <f t="shared" si="475"/>
        <v>2188.5063042892575</v>
      </c>
      <c r="BL347" s="203" t="str">
        <f t="shared" si="476"/>
        <v/>
      </c>
      <c r="BM347" s="203">
        <f t="shared" si="477"/>
        <v>2188.5063042892575</v>
      </c>
      <c r="BN347" s="200"/>
      <c r="BP347" s="298" t="s">
        <v>1448</v>
      </c>
      <c r="BQ347" s="299" t="str">
        <f t="shared" si="480"/>
        <v>Y</v>
      </c>
      <c r="BR347" s="300" t="s">
        <v>1448</v>
      </c>
      <c r="BT347" s="298" t="str">
        <f t="shared" si="481"/>
        <v>Y</v>
      </c>
      <c r="BU347" s="299" t="str">
        <f t="shared" si="428"/>
        <v>Y</v>
      </c>
      <c r="BV347" s="299" t="str">
        <f t="shared" si="429"/>
        <v>Y</v>
      </c>
      <c r="BW347" s="300" t="str">
        <f t="shared" si="482"/>
        <v>Y</v>
      </c>
      <c r="BY347" s="355">
        <f t="shared" si="483"/>
        <v>0</v>
      </c>
      <c r="BZ347" s="356">
        <f t="shared" si="484"/>
        <v>0</v>
      </c>
      <c r="CA347" s="356">
        <f t="shared" si="485"/>
        <v>0.95</v>
      </c>
      <c r="CB347" s="357">
        <f t="shared" si="486"/>
        <v>0.95</v>
      </c>
      <c r="CD347" s="312">
        <f t="shared" si="487"/>
        <v>340</v>
      </c>
    </row>
    <row r="348" spans="1:82" s="48" customFormat="1" outlineLevel="1" x14ac:dyDescent="0.3">
      <c r="A348" s="202">
        <v>78221000</v>
      </c>
      <c r="B348" s="48" t="e">
        <f>VLOOKUP(C348,'NCES ID'!$A$2:$B$3136,2,FALSE)</f>
        <v>#N/A</v>
      </c>
      <c r="C348" s="48">
        <f>VLOOKUP(A348,'State ID'!$A$2:$B$713,2,FALSE)</f>
        <v>91937</v>
      </c>
      <c r="D348" s="48" t="s">
        <v>439</v>
      </c>
      <c r="E348" s="48" t="s">
        <v>7</v>
      </c>
      <c r="F348" s="755"/>
      <c r="G348" s="755"/>
      <c r="H348" s="755"/>
      <c r="I348" s="755"/>
      <c r="J348" s="755"/>
      <c r="K348" s="755"/>
      <c r="L348" s="454"/>
      <c r="M348" s="455"/>
      <c r="N348" s="456"/>
      <c r="O348" s="209">
        <f>VLOOKUP($C348,'Final SEA Counts'!$A$2:$F$709,5,FALSE)</f>
        <v>391</v>
      </c>
      <c r="P348" s="223">
        <f>VLOOKUP($C348,'Final SEA Counts'!$A$2:$F$709,6,FALSE)</f>
        <v>368</v>
      </c>
      <c r="Q348" s="749"/>
      <c r="R348" s="454">
        <f t="shared" si="416"/>
        <v>391</v>
      </c>
      <c r="S348" s="455">
        <f t="shared" si="489"/>
        <v>182.20637635431783</v>
      </c>
      <c r="T348" s="230">
        <f t="shared" si="406"/>
        <v>0.46600096254301232</v>
      </c>
      <c r="U348" s="264" t="str">
        <f>IFERROR(VLOOKUP($B348,#REF!,8,FALSE),"")</f>
        <v/>
      </c>
      <c r="V348" s="265" t="str">
        <f>IFERROR(VLOOKUP($B348,#REF!,9,FALSE),"")</f>
        <v/>
      </c>
      <c r="W348" s="265" t="str">
        <f>IFERROR(VLOOKUP($B348,#REF!,10,FALSE),"")</f>
        <v/>
      </c>
      <c r="X348" s="265" t="str">
        <f>IFERROR(VLOOKUP($B348,#REF!,11,FALSE),"")</f>
        <v/>
      </c>
      <c r="Y348" s="266" t="str">
        <f>IFERROR(VLOOKUP($B348,#REF!,12,FALSE),"")</f>
        <v/>
      </c>
      <c r="Z348" s="265">
        <f t="shared" si="491"/>
        <v>88014.426391308851</v>
      </c>
      <c r="AA348" s="265">
        <f t="shared" si="492"/>
        <v>18201.24183903903</v>
      </c>
      <c r="AB348" s="265">
        <f t="shared" si="493"/>
        <v>51511.498245850518</v>
      </c>
      <c r="AC348" s="266">
        <f t="shared" si="494"/>
        <v>47950.438341813555</v>
      </c>
      <c r="AD348" s="265">
        <f t="shared" si="418"/>
        <v>88014.426391308851</v>
      </c>
      <c r="AE348" s="265">
        <f t="shared" si="419"/>
        <v>18201.24183903903</v>
      </c>
      <c r="AF348" s="265">
        <f t="shared" si="420"/>
        <v>51511.498245850518</v>
      </c>
      <c r="AG348" s="266">
        <f t="shared" si="421"/>
        <v>47950.438341813555</v>
      </c>
      <c r="AH348" s="265">
        <f t="shared" si="497"/>
        <v>88014.426391308851</v>
      </c>
      <c r="AI348" s="265">
        <f t="shared" si="497"/>
        <v>20332.063221869743</v>
      </c>
      <c r="AJ348" s="265">
        <f t="shared" si="497"/>
        <v>51536.83889107078</v>
      </c>
      <c r="AK348" s="265">
        <f t="shared" si="497"/>
        <v>47974.027153778959</v>
      </c>
      <c r="AL348" s="266">
        <f t="shared" si="496"/>
        <v>207857.35565802833</v>
      </c>
      <c r="AM348" s="347"/>
      <c r="AN348" s="264">
        <f>IFERROR(VLOOKUP($A348,'HH &amp; SI'!$B$4:$Z$494,'HH &amp; SI'!V$503,0),0)</f>
        <v>86813.852488365359</v>
      </c>
      <c r="AO348" s="265">
        <f>IFERROR(VLOOKUP($A348,'HH &amp; SI'!$B$4:$Z$494,'HH &amp; SI'!W$503,0),0)</f>
        <v>19662.399395301334</v>
      </c>
      <c r="AP348" s="265">
        <f>IFERROR(VLOOKUP($A348,'HH &amp; SI'!$B$4:$Z$494,'HH &amp; SI'!X$503,0),0)</f>
        <v>51068.131463154423</v>
      </c>
      <c r="AQ348" s="265">
        <f>IFERROR(VLOOKUP($A348,'HH &amp; SI'!$B$4:$Z$494,'HH &amp; SI'!Y$503,0),0)</f>
        <v>47445.439732204468</v>
      </c>
      <c r="AR348" s="266">
        <f t="shared" si="422"/>
        <v>204989.82307902561</v>
      </c>
      <c r="AS348" s="347"/>
      <c r="AT348" s="324">
        <f>IFERROR(VLOOKUP(A348,'Afton FY16 Final'!$A$5:$BV$572,'Afton FY16 Final'!$BV$587,0),0)</f>
        <v>102448.3499718578</v>
      </c>
      <c r="AU348" s="347"/>
      <c r="AV348" s="454">
        <v>0</v>
      </c>
      <c r="AW348" s="265">
        <f>IFERROR(VLOOKUP($A348,'HH &amp; SI'!$B$4:$EY$503,'HH &amp; SI'!EX$503,0),0)</f>
        <v>11482.115656516078</v>
      </c>
      <c r="AX348" s="265">
        <f>IFERROR(VLOOKUP($A348,'HH &amp; SI'!$B$4:$EY$503,'HH &amp; SI'!EY$503,0),0)</f>
        <v>193507.70742250953</v>
      </c>
      <c r="AY348" s="265">
        <f>AX348/$AX$582*'update_State Admin 1004(b)'!$B$30*0.01</f>
        <v>1852.0077698766804</v>
      </c>
      <c r="AZ348" s="266">
        <f t="shared" si="423"/>
        <v>191655.69965263284</v>
      </c>
      <c r="BA348" s="264">
        <f t="shared" si="424"/>
        <v>1916.5569965263285</v>
      </c>
      <c r="BB348" s="265">
        <f t="shared" si="425"/>
        <v>189739.1426561065</v>
      </c>
      <c r="BC348" s="342">
        <f t="shared" si="479"/>
        <v>1.8520468383163533</v>
      </c>
      <c r="BD348" s="347"/>
      <c r="BE348" s="377" t="str">
        <f>'Original Title I &amp; II'!AZ346</f>
        <v/>
      </c>
      <c r="BF348" s="244" t="str">
        <f t="shared" si="495"/>
        <v/>
      </c>
      <c r="BG348" s="266">
        <f t="shared" si="417"/>
        <v>189739.1426561065</v>
      </c>
      <c r="BI348" s="203" t="str">
        <f>IFERROR(VLOOKUP(A348,'Title II Hold Harmless'!A$1:B$439,2, FALSE),"")</f>
        <v/>
      </c>
      <c r="BJ348" s="203">
        <f t="shared" si="426"/>
        <v>2699.9207538297655</v>
      </c>
      <c r="BK348" s="203">
        <f t="shared" si="475"/>
        <v>2702.532635187742</v>
      </c>
      <c r="BL348" s="203" t="str">
        <f t="shared" si="476"/>
        <v/>
      </c>
      <c r="BM348" s="203">
        <f t="shared" si="477"/>
        <v>2702.532635187742</v>
      </c>
      <c r="BN348" s="200"/>
      <c r="BP348" s="298" t="s">
        <v>1448</v>
      </c>
      <c r="BQ348" s="299" t="str">
        <f t="shared" si="480"/>
        <v>Y</v>
      </c>
      <c r="BR348" s="300" t="s">
        <v>1448</v>
      </c>
      <c r="BT348" s="298" t="str">
        <f t="shared" si="481"/>
        <v>Y</v>
      </c>
      <c r="BU348" s="299" t="str">
        <f t="shared" si="428"/>
        <v>Y</v>
      </c>
      <c r="BV348" s="299" t="str">
        <f t="shared" si="429"/>
        <v>Y</v>
      </c>
      <c r="BW348" s="300" t="str">
        <f t="shared" si="482"/>
        <v>Y</v>
      </c>
      <c r="BY348" s="355">
        <f t="shared" si="483"/>
        <v>0</v>
      </c>
      <c r="BZ348" s="356">
        <f t="shared" si="484"/>
        <v>0</v>
      </c>
      <c r="CA348" s="356">
        <f t="shared" si="485"/>
        <v>0.95</v>
      </c>
      <c r="CB348" s="357">
        <f t="shared" si="486"/>
        <v>0.95</v>
      </c>
      <c r="CD348" s="312">
        <f t="shared" si="487"/>
        <v>341</v>
      </c>
    </row>
    <row r="349" spans="1:82" s="48" customFormat="1" outlineLevel="1" x14ac:dyDescent="0.3">
      <c r="A349" s="202">
        <v>78725000</v>
      </c>
      <c r="B349" s="48">
        <f>VLOOKUP(C349,'NCES ID'!$A$2:$B$3136,2,FALSE)</f>
        <v>400112</v>
      </c>
      <c r="C349" s="48">
        <f>VLOOKUP(A349,'State ID'!$A$2:$B$713,2,FALSE)</f>
        <v>4348</v>
      </c>
      <c r="D349" s="48" t="s">
        <v>742</v>
      </c>
      <c r="E349" s="48" t="s">
        <v>7</v>
      </c>
      <c r="F349" s="755"/>
      <c r="G349" s="755"/>
      <c r="H349" s="755"/>
      <c r="I349" s="755"/>
      <c r="J349" s="755"/>
      <c r="K349" s="755"/>
      <c r="L349" s="454"/>
      <c r="M349" s="455"/>
      <c r="N349" s="456"/>
      <c r="O349" s="209">
        <f>VLOOKUP($C349,'Final SEA Counts'!$A$2:$F$709,5,FALSE)</f>
        <v>5491</v>
      </c>
      <c r="P349" s="223">
        <f>VLOOKUP($C349,'Final SEA Counts'!$A$2:$F$709,6,FALSE)</f>
        <v>1993</v>
      </c>
      <c r="Q349" s="749"/>
      <c r="R349" s="454">
        <f t="shared" si="416"/>
        <v>5491</v>
      </c>
      <c r="S349" s="455">
        <f t="shared" si="489"/>
        <v>986.78616324498751</v>
      </c>
      <c r="T349" s="230">
        <f t="shared" si="406"/>
        <v>0.17970973652248906</v>
      </c>
      <c r="U349" s="264"/>
      <c r="V349" s="265"/>
      <c r="W349" s="265"/>
      <c r="X349" s="265"/>
      <c r="Y349" s="266"/>
      <c r="Z349" s="265">
        <f t="shared" si="491"/>
        <v>476665.08640727861</v>
      </c>
      <c r="AA349" s="265">
        <f t="shared" si="492"/>
        <v>98573.573329360821</v>
      </c>
      <c r="AB349" s="265">
        <f t="shared" si="493"/>
        <v>278973.95653255458</v>
      </c>
      <c r="AC349" s="266">
        <f t="shared" si="494"/>
        <v>259688.1076500935</v>
      </c>
      <c r="AD349" s="265">
        <f t="shared" si="418"/>
        <v>476665.08640727861</v>
      </c>
      <c r="AE349" s="265">
        <f t="shared" si="419"/>
        <v>98573.573329360821</v>
      </c>
      <c r="AF349" s="265">
        <f t="shared" si="420"/>
        <v>278973.95653255458</v>
      </c>
      <c r="AG349" s="266">
        <f t="shared" si="421"/>
        <v>259688.1076500935</v>
      </c>
      <c r="AH349" s="265">
        <f t="shared" si="497"/>
        <v>476665.08640727861</v>
      </c>
      <c r="AI349" s="265">
        <f t="shared" si="497"/>
        <v>100704.39471219154</v>
      </c>
      <c r="AJ349" s="265">
        <f t="shared" si="497"/>
        <v>278999.29717777483</v>
      </c>
      <c r="AK349" s="265">
        <f t="shared" si="497"/>
        <v>259711.6964620589</v>
      </c>
      <c r="AL349" s="266">
        <f t="shared" si="496"/>
        <v>1116080.474759304</v>
      </c>
      <c r="AM349" s="347"/>
      <c r="AN349" s="264">
        <f>IFERROR(VLOOKUP($A349,'HH &amp; SI'!$B$4:$Z$494,'HH &amp; SI'!V$503,0),0)</f>
        <v>470163.06524269609</v>
      </c>
      <c r="AO349" s="265">
        <f>IFERROR(VLOOKUP($A349,'HH &amp; SI'!$B$4:$Z$494,'HH &amp; SI'!W$503,0),0)</f>
        <v>97387.560135232139</v>
      </c>
      <c r="AP349" s="265">
        <f>IFERROR(VLOOKUP($A349,'HH &amp; SI'!$B$4:$Z$494,'HH &amp; SI'!X$503,0),0)</f>
        <v>276461.90750109981</v>
      </c>
      <c r="AQ349" s="265">
        <f>IFERROR(VLOOKUP($A349,'HH &amp; SI'!$B$4:$Z$494,'HH &amp; SI'!Y$503,0),0)</f>
        <v>256850.14107198149</v>
      </c>
      <c r="AR349" s="266">
        <f t="shared" si="422"/>
        <v>1100862.6739510095</v>
      </c>
      <c r="AS349" s="347"/>
      <c r="AT349" s="324">
        <f>IFERROR(VLOOKUP(A349,'Afton FY16 Final'!$A$5:$BV$572,'Afton FY16 Final'!$BV$587,0),0)</f>
        <v>911998.27874437149</v>
      </c>
      <c r="AU349" s="347"/>
      <c r="AV349" s="454">
        <v>0</v>
      </c>
      <c r="AW349" s="265">
        <f>IFERROR(VLOOKUP($A349,'HH &amp; SI'!$B$4:$EY$503,'HH &amp; SI'!EX$503,0),0)</f>
        <v>61662.73210243287</v>
      </c>
      <c r="AX349" s="265">
        <f>IFERROR(VLOOKUP($A349,'HH &amp; SI'!$B$4:$EY$503,'HH &amp; SI'!EY$503,0),0)</f>
        <v>1039199.9418485767</v>
      </c>
      <c r="AY349" s="265">
        <f>AX349/$AX$582*'update_State Admin 1004(b)'!$B$30*0.01</f>
        <v>9945.8899720036734</v>
      </c>
      <c r="AZ349" s="266">
        <f t="shared" si="423"/>
        <v>1029254.051876573</v>
      </c>
      <c r="BA349" s="264">
        <f t="shared" si="424"/>
        <v>10292.540518765731</v>
      </c>
      <c r="BB349" s="265">
        <f t="shared" si="425"/>
        <v>1018961.5113578073</v>
      </c>
      <c r="BC349" s="342">
        <f t="shared" si="479"/>
        <v>1.1172844676425284</v>
      </c>
      <c r="BD349" s="347"/>
      <c r="BE349" s="377">
        <f>'Original Title I &amp; II'!AZ347</f>
        <v>0</v>
      </c>
      <c r="BF349" s="244"/>
      <c r="BG349" s="266">
        <f t="shared" si="417"/>
        <v>1018961.5113578073</v>
      </c>
      <c r="BI349" s="203">
        <f>IFERROR(VLOOKUP(A349,'Title II Hold Harmless'!A$1:B$439,2, FALSE),"")</f>
        <v>4218</v>
      </c>
      <c r="BJ349" s="203">
        <f t="shared" si="426"/>
        <v>21555.066622038092</v>
      </c>
      <c r="BK349" s="203">
        <f t="shared" si="475"/>
        <v>21575.918818014652</v>
      </c>
      <c r="BL349" s="203"/>
      <c r="BM349" s="203">
        <f t="shared" si="477"/>
        <v>21575.918818014652</v>
      </c>
      <c r="BN349" s="200"/>
      <c r="BP349" s="298" t="s">
        <v>1448</v>
      </c>
      <c r="BQ349" s="299" t="str">
        <f t="shared" si="480"/>
        <v>Y</v>
      </c>
      <c r="BR349" s="300" t="s">
        <v>1448</v>
      </c>
      <c r="BT349" s="298" t="str">
        <f t="shared" si="481"/>
        <v>Y</v>
      </c>
      <c r="BU349" s="299" t="str">
        <f t="shared" si="428"/>
        <v>Y</v>
      </c>
      <c r="BV349" s="299" t="str">
        <f t="shared" si="429"/>
        <v>Y</v>
      </c>
      <c r="BW349" s="300" t="str">
        <f t="shared" si="482"/>
        <v>Y</v>
      </c>
      <c r="BY349" s="355">
        <f t="shared" si="483"/>
        <v>0</v>
      </c>
      <c r="BZ349" s="356">
        <f t="shared" si="484"/>
        <v>0.9</v>
      </c>
      <c r="CA349" s="356">
        <f t="shared" si="485"/>
        <v>0</v>
      </c>
      <c r="CB349" s="357">
        <f t="shared" si="486"/>
        <v>0.9</v>
      </c>
      <c r="CD349" s="312">
        <f t="shared" si="487"/>
        <v>342</v>
      </c>
    </row>
    <row r="350" spans="1:82" s="48" customFormat="1" outlineLevel="1" x14ac:dyDescent="0.3">
      <c r="A350" s="202">
        <v>78274000</v>
      </c>
      <c r="B350" s="48" t="e">
        <f>VLOOKUP(C350,'NCES ID'!$A$2:$B$3136,2,FALSE)</f>
        <v>#N/A</v>
      </c>
      <c r="C350" s="48">
        <v>92879</v>
      </c>
      <c r="D350" s="48" t="s">
        <v>1251</v>
      </c>
      <c r="E350" s="48" t="s">
        <v>7</v>
      </c>
      <c r="F350" s="755"/>
      <c r="G350" s="755"/>
      <c r="H350" s="755"/>
      <c r="I350" s="755"/>
      <c r="J350" s="755"/>
      <c r="K350" s="755"/>
      <c r="L350" s="454"/>
      <c r="M350" s="455"/>
      <c r="N350" s="456"/>
      <c r="O350" s="209">
        <f>VLOOKUP($C350,'Final SEA Counts'!$A$2:$F$709,5,FALSE)</f>
        <v>1282</v>
      </c>
      <c r="P350" s="223">
        <f>VLOOKUP($C350,'Final SEA Counts'!$A$2:$F$709,6,FALSE)</f>
        <v>320</v>
      </c>
      <c r="Q350" s="749"/>
      <c r="R350" s="454">
        <f t="shared" si="416"/>
        <v>1282</v>
      </c>
      <c r="S350" s="455">
        <f t="shared" si="489"/>
        <v>158.44032726462419</v>
      </c>
      <c r="T350" s="230">
        <f t="shared" si="406"/>
        <v>0.12358839880235896</v>
      </c>
      <c r="U350" s="264"/>
      <c r="V350" s="265"/>
      <c r="W350" s="265"/>
      <c r="X350" s="265"/>
      <c r="Y350" s="266"/>
      <c r="Z350" s="265">
        <f t="shared" si="491"/>
        <v>76534.283818529424</v>
      </c>
      <c r="AA350" s="265">
        <f t="shared" si="492"/>
        <v>15827.166816555677</v>
      </c>
      <c r="AB350" s="265">
        <f t="shared" si="493"/>
        <v>44792.6071703048</v>
      </c>
      <c r="AC350" s="266">
        <f t="shared" si="494"/>
        <v>41696.033340707436</v>
      </c>
      <c r="AD350" s="265">
        <f t="shared" si="418"/>
        <v>76534.283818529424</v>
      </c>
      <c r="AE350" s="265" t="str">
        <f t="shared" si="419"/>
        <v/>
      </c>
      <c r="AF350" s="265">
        <f t="shared" si="420"/>
        <v>44792.6071703048</v>
      </c>
      <c r="AG350" s="266">
        <f t="shared" si="421"/>
        <v>41696.033340707436</v>
      </c>
      <c r="AH350" s="265">
        <f t="shared" si="497"/>
        <v>76534.283818529424</v>
      </c>
      <c r="AI350" s="265" t="str">
        <f t="shared" si="497"/>
        <v/>
      </c>
      <c r="AJ350" s="265">
        <f t="shared" si="497"/>
        <v>44817.947815525062</v>
      </c>
      <c r="AK350" s="265">
        <f t="shared" si="497"/>
        <v>41719.62215267284</v>
      </c>
      <c r="AL350" s="266">
        <f t="shared" si="496"/>
        <v>163071.85378672733</v>
      </c>
      <c r="AM350" s="347"/>
      <c r="AN350" s="264">
        <f>IFERROR(VLOOKUP($A350,'HH &amp; SI'!$B$4:$Z$494,'HH &amp; SI'!V$503,0),0)</f>
        <v>75490.306511622024</v>
      </c>
      <c r="AO350" s="265">
        <f>IFERROR(VLOOKUP($A350,'HH &amp; SI'!$B$4:$Z$494,'HH &amp; SI'!W$503,0),0)</f>
        <v>0</v>
      </c>
      <c r="AP350" s="265">
        <f>IFERROR(VLOOKUP($A350,'HH &amp; SI'!$B$4:$Z$494,'HH &amp; SI'!X$503,0),0)</f>
        <v>44410.34607864896</v>
      </c>
      <c r="AQ350" s="265">
        <f>IFERROR(VLOOKUP($A350,'HH &amp; SI'!$B$4:$Z$494,'HH &amp; SI'!Y$503,0),0)</f>
        <v>41259.947015706428</v>
      </c>
      <c r="AR350" s="266">
        <f t="shared" si="422"/>
        <v>161160.59960597742</v>
      </c>
      <c r="AS350" s="347"/>
      <c r="AT350" s="324">
        <f>IFERROR(VLOOKUP(A350,'Afton FY16 Final'!$A$5:$BV$572,'Afton FY16 Final'!$BV$587,0),0)</f>
        <v>130446.4811597989</v>
      </c>
      <c r="AU350" s="347"/>
      <c r="AV350" s="454">
        <v>0</v>
      </c>
      <c r="AW350" s="265">
        <f>IFERROR(VLOOKUP($A350,'HH &amp; SI'!$B$4:$EY$503,'HH &amp; SI'!EX$503,0),0)</f>
        <v>9027.1049369896646</v>
      </c>
      <c r="AX350" s="265">
        <f>IFERROR(VLOOKUP($A350,'HH &amp; SI'!$B$4:$EY$503,'HH &amp; SI'!EY$503,0),0)</f>
        <v>152133.49466898775</v>
      </c>
      <c r="AY350" s="265">
        <f>AX350/$AX$582*'update_State Admin 1004(b)'!$B$30*0.01</f>
        <v>1456.0268318939495</v>
      </c>
      <c r="AZ350" s="266">
        <f t="shared" si="423"/>
        <v>150677.46783709381</v>
      </c>
      <c r="BA350" s="264">
        <f t="shared" si="424"/>
        <v>1506.7746783709381</v>
      </c>
      <c r="BB350" s="265">
        <f t="shared" si="425"/>
        <v>149170.69315872286</v>
      </c>
      <c r="BC350" s="342">
        <f t="shared" si="479"/>
        <v>1.1435394181004126</v>
      </c>
      <c r="BD350" s="347"/>
      <c r="BE350" s="377">
        <f>'Original Title I &amp; II'!AZ348</f>
        <v>0</v>
      </c>
      <c r="BF350" s="244"/>
      <c r="BG350" s="266">
        <f t="shared" si="417"/>
        <v>149170.69315872286</v>
      </c>
      <c r="BI350" s="203" t="str">
        <f>IFERROR(VLOOKUP(A350,'Title II Hold Harmless'!A$1:B$439,2, FALSE),"")</f>
        <v/>
      </c>
      <c r="BJ350" s="203">
        <f t="shared" si="426"/>
        <v>3105.8784847445031</v>
      </c>
      <c r="BK350" s="203">
        <f t="shared" si="475"/>
        <v>3108.8830863065814</v>
      </c>
      <c r="BL350" s="203"/>
      <c r="BM350" s="203">
        <f t="shared" si="477"/>
        <v>3108.8830863065814</v>
      </c>
      <c r="BN350" s="200"/>
      <c r="BP350" s="298" t="s">
        <v>1448</v>
      </c>
      <c r="BQ350" s="299" t="str">
        <f t="shared" si="480"/>
        <v>Y</v>
      </c>
      <c r="BR350" s="300" t="s">
        <v>1448</v>
      </c>
      <c r="BT350" s="298" t="str">
        <f t="shared" si="481"/>
        <v>Y</v>
      </c>
      <c r="BU350" s="299" t="str">
        <f t="shared" si="428"/>
        <v>N</v>
      </c>
      <c r="BV350" s="299" t="str">
        <f t="shared" si="429"/>
        <v>Y</v>
      </c>
      <c r="BW350" s="300" t="str">
        <f t="shared" si="482"/>
        <v>Y</v>
      </c>
      <c r="BY350" s="355">
        <f t="shared" si="483"/>
        <v>0.85</v>
      </c>
      <c r="BZ350" s="356">
        <f t="shared" si="484"/>
        <v>0</v>
      </c>
      <c r="CA350" s="356">
        <f t="shared" si="485"/>
        <v>0</v>
      </c>
      <c r="CB350" s="357">
        <f t="shared" si="486"/>
        <v>0.85</v>
      </c>
      <c r="CD350" s="312">
        <f t="shared" si="487"/>
        <v>343</v>
      </c>
    </row>
    <row r="351" spans="1:82" s="48" customFormat="1" outlineLevel="1" x14ac:dyDescent="0.3">
      <c r="A351" s="202">
        <v>78254000</v>
      </c>
      <c r="B351" s="48" t="e">
        <f>VLOOKUP(C351,'NCES ID'!$A$2:$B$3136,2,FALSE)</f>
        <v>#N/A</v>
      </c>
      <c r="C351" s="48">
        <v>92379</v>
      </c>
      <c r="D351" s="48" t="s">
        <v>1252</v>
      </c>
      <c r="E351" s="48" t="s">
        <v>7</v>
      </c>
      <c r="F351" s="755"/>
      <c r="G351" s="755"/>
      <c r="H351" s="755"/>
      <c r="I351" s="755"/>
      <c r="J351" s="755"/>
      <c r="K351" s="755"/>
      <c r="L351" s="454"/>
      <c r="M351" s="455"/>
      <c r="N351" s="456"/>
      <c r="O351" s="209">
        <f>VLOOKUP($C351,'Final SEA Counts'!$A$2:$F$709,5,FALSE)</f>
        <v>103</v>
      </c>
      <c r="P351" s="223">
        <f>VLOOKUP($C351,'Final SEA Counts'!$A$2:$F$709,6,FALSE)</f>
        <v>98</v>
      </c>
      <c r="Q351" s="749"/>
      <c r="R351" s="454">
        <f t="shared" si="416"/>
        <v>103</v>
      </c>
      <c r="S351" s="455">
        <f t="shared" si="489"/>
        <v>48.522350224791161</v>
      </c>
      <c r="T351" s="230">
        <f t="shared" si="406"/>
        <v>0.47109077888146761</v>
      </c>
      <c r="U351" s="264"/>
      <c r="V351" s="265"/>
      <c r="W351" s="265"/>
      <c r="X351" s="265"/>
      <c r="Y351" s="266"/>
      <c r="Z351" s="265">
        <f t="shared" si="491"/>
        <v>23438.624419424639</v>
      </c>
      <c r="AA351" s="265">
        <f t="shared" si="492"/>
        <v>4847.0698375701768</v>
      </c>
      <c r="AB351" s="265">
        <f t="shared" si="493"/>
        <v>13717.735945905846</v>
      </c>
      <c r="AC351" s="266">
        <f t="shared" si="494"/>
        <v>12769.410210591654</v>
      </c>
      <c r="AD351" s="265">
        <f t="shared" si="418"/>
        <v>23438.624419424639</v>
      </c>
      <c r="AE351" s="265">
        <f t="shared" si="419"/>
        <v>4847.0698375701768</v>
      </c>
      <c r="AF351" s="265">
        <f t="shared" si="420"/>
        <v>13717.735945905846</v>
      </c>
      <c r="AG351" s="266">
        <f t="shared" si="421"/>
        <v>12769.410210591654</v>
      </c>
      <c r="AH351" s="265">
        <f t="shared" si="497"/>
        <v>23438.624419424639</v>
      </c>
      <c r="AI351" s="265">
        <f t="shared" si="497"/>
        <v>6977.8912204008893</v>
      </c>
      <c r="AJ351" s="265">
        <f t="shared" si="497"/>
        <v>13743.076591126106</v>
      </c>
      <c r="AK351" s="265">
        <f t="shared" si="497"/>
        <v>12792.999022557056</v>
      </c>
      <c r="AL351" s="266">
        <f t="shared" si="496"/>
        <v>56952.59125350869</v>
      </c>
      <c r="AM351" s="347"/>
      <c r="AN351" s="264">
        <f>IFERROR(VLOOKUP($A351,'HH &amp; SI'!$B$4:$Z$494,'HH &amp; SI'!V$503,0),0)</f>
        <v>23118.906369184253</v>
      </c>
      <c r="AO351" s="265">
        <f>IFERROR(VLOOKUP($A351,'HH &amp; SI'!$B$4:$Z$494,'HH &amp; SI'!W$503,0),0)</f>
        <v>6748.0649954359023</v>
      </c>
      <c r="AP351" s="265">
        <f>IFERROR(VLOOKUP($A351,'HH &amp; SI'!$B$4:$Z$494,'HH &amp; SI'!X$503,0),0)</f>
        <v>13618.088675311188</v>
      </c>
      <c r="AQ351" s="265">
        <f>IFERROR(VLOOKUP($A351,'HH &amp; SI'!$B$4:$Z$494,'HH &amp; SI'!Y$503,0),0)</f>
        <v>12652.04320190305</v>
      </c>
      <c r="AR351" s="266">
        <f t="shared" si="422"/>
        <v>56137.103241834389</v>
      </c>
      <c r="AS351" s="347"/>
      <c r="AT351" s="324">
        <f>IFERROR(VLOOKUP(A351,'Afton FY16 Final'!$A$5:$BV$572,'Afton FY16 Final'!$BV$587,0),0)</f>
        <v>30450.099541862091</v>
      </c>
      <c r="AU351" s="347"/>
      <c r="AV351" s="454">
        <v>0</v>
      </c>
      <c r="AW351" s="265">
        <f>IFERROR(VLOOKUP($A351,'HH &amp; SI'!$B$4:$EY$503,'HH &amp; SI'!EX$503,0),0)</f>
        <v>3144.4132316560863</v>
      </c>
      <c r="AX351" s="265">
        <f>IFERROR(VLOOKUP($A351,'HH &amp; SI'!$B$4:$EY$503,'HH &amp; SI'!EY$503,0),0)</f>
        <v>52992.690010178303</v>
      </c>
      <c r="AY351" s="265">
        <f>AX351/$AX$582*'update_State Admin 1004(b)'!$B$30*0.01</f>
        <v>507.17811167711773</v>
      </c>
      <c r="AZ351" s="266">
        <f t="shared" si="423"/>
        <v>52485.511898501187</v>
      </c>
      <c r="BA351" s="264">
        <f t="shared" si="424"/>
        <v>524.85511898501193</v>
      </c>
      <c r="BB351" s="265">
        <f t="shared" si="425"/>
        <v>51960.656779516175</v>
      </c>
      <c r="BC351" s="342">
        <f t="shared" si="479"/>
        <v>1.7064199316682649</v>
      </c>
      <c r="BD351" s="347"/>
      <c r="BE351" s="377">
        <f>'Original Title I &amp; II'!AZ349</f>
        <v>0</v>
      </c>
      <c r="BF351" s="244"/>
      <c r="BG351" s="266">
        <f t="shared" si="417"/>
        <v>51960.656779516175</v>
      </c>
      <c r="BI351" s="203" t="str">
        <f>IFERROR(VLOOKUP(A351,'Title II Hold Harmless'!A$1:B$439,2, FALSE),"")</f>
        <v/>
      </c>
      <c r="BJ351" s="203">
        <f t="shared" si="426"/>
        <v>718.09523588007448</v>
      </c>
      <c r="BK351" s="203">
        <f t="shared" si="475"/>
        <v>718.78991536545811</v>
      </c>
      <c r="BL351" s="203"/>
      <c r="BM351" s="203">
        <f t="shared" si="477"/>
        <v>718.78991536545811</v>
      </c>
      <c r="BN351" s="200"/>
      <c r="BP351" s="298" t="s">
        <v>1448</v>
      </c>
      <c r="BQ351" s="299" t="str">
        <f t="shared" si="480"/>
        <v>Y</v>
      </c>
      <c r="BR351" s="300" t="s">
        <v>1448</v>
      </c>
      <c r="BT351" s="298" t="str">
        <f t="shared" si="481"/>
        <v>Y</v>
      </c>
      <c r="BU351" s="299" t="str">
        <f t="shared" si="428"/>
        <v>Y</v>
      </c>
      <c r="BV351" s="299" t="str">
        <f t="shared" si="429"/>
        <v>Y</v>
      </c>
      <c r="BW351" s="300" t="str">
        <f t="shared" si="482"/>
        <v>Y</v>
      </c>
      <c r="BY351" s="355">
        <f t="shared" si="483"/>
        <v>0</v>
      </c>
      <c r="BZ351" s="356">
        <f t="shared" si="484"/>
        <v>0</v>
      </c>
      <c r="CA351" s="356">
        <f t="shared" si="485"/>
        <v>0.95</v>
      </c>
      <c r="CB351" s="357">
        <f t="shared" si="486"/>
        <v>0.95</v>
      </c>
      <c r="CD351" s="312">
        <f t="shared" si="487"/>
        <v>344</v>
      </c>
    </row>
    <row r="352" spans="1:82" s="48" customFormat="1" outlineLevel="1" x14ac:dyDescent="0.3">
      <c r="A352" s="202">
        <v>78585000</v>
      </c>
      <c r="B352" s="48">
        <f>VLOOKUP(C352,'NCES ID'!$A$2:$B$3136,2,FALSE)</f>
        <v>400876</v>
      </c>
      <c r="C352" s="48">
        <f>VLOOKUP(A352,'State ID'!$A$2:$B$713,2,FALSE)</f>
        <v>90884</v>
      </c>
      <c r="D352" s="48" t="s">
        <v>719</v>
      </c>
      <c r="E352" s="48" t="s">
        <v>7</v>
      </c>
      <c r="F352" s="755"/>
      <c r="G352" s="755"/>
      <c r="H352" s="755"/>
      <c r="I352" s="755"/>
      <c r="J352" s="755"/>
      <c r="K352" s="755"/>
      <c r="L352" s="454"/>
      <c r="M352" s="455"/>
      <c r="N352" s="456"/>
      <c r="O352" s="209">
        <f>VLOOKUP($C352,'Final SEA Counts'!$A$2:$F$709,5,FALSE)</f>
        <v>278</v>
      </c>
      <c r="P352" s="223">
        <f>VLOOKUP($C352,'Final SEA Counts'!$A$2:$F$709,6,FALSE)</f>
        <v>270</v>
      </c>
      <c r="Q352" s="749"/>
      <c r="R352" s="454">
        <f t="shared" si="416"/>
        <v>278</v>
      </c>
      <c r="S352" s="455">
        <f t="shared" si="489"/>
        <v>133.68402612952667</v>
      </c>
      <c r="T352" s="230">
        <f t="shared" si="406"/>
        <v>0.48087779183282975</v>
      </c>
      <c r="U352" s="264"/>
      <c r="V352" s="265"/>
      <c r="W352" s="265"/>
      <c r="X352" s="265"/>
      <c r="Y352" s="266"/>
      <c r="Z352" s="265">
        <f t="shared" si="491"/>
        <v>64575.801971884212</v>
      </c>
      <c r="AA352" s="265">
        <f t="shared" si="492"/>
        <v>13354.172001468854</v>
      </c>
      <c r="AB352" s="265">
        <f t="shared" si="493"/>
        <v>37793.762299944676</v>
      </c>
      <c r="AC352" s="266">
        <f t="shared" si="494"/>
        <v>35181.028131221901</v>
      </c>
      <c r="AD352" s="265">
        <f t="shared" si="418"/>
        <v>64575.801971884212</v>
      </c>
      <c r="AE352" s="265">
        <f t="shared" si="419"/>
        <v>13354.172001468854</v>
      </c>
      <c r="AF352" s="265">
        <f t="shared" si="420"/>
        <v>37793.762299944676</v>
      </c>
      <c r="AG352" s="266">
        <f t="shared" si="421"/>
        <v>35181.028131221901</v>
      </c>
      <c r="AH352" s="265">
        <f t="shared" si="497"/>
        <v>64575.801971884212</v>
      </c>
      <c r="AI352" s="265">
        <f t="shared" si="497"/>
        <v>15484.993384299567</v>
      </c>
      <c r="AJ352" s="265">
        <f t="shared" si="497"/>
        <v>37819.102945164937</v>
      </c>
      <c r="AK352" s="265">
        <f t="shared" si="497"/>
        <v>35204.616943187306</v>
      </c>
      <c r="AL352" s="266">
        <f t="shared" si="496"/>
        <v>153084.51524453601</v>
      </c>
      <c r="AM352" s="347"/>
      <c r="AN352" s="264">
        <f>IFERROR(VLOOKUP($A352,'HH &amp; SI'!$B$4:$Z$494,'HH &amp; SI'!V$503,0),0)</f>
        <v>63694.946119181113</v>
      </c>
      <c r="AO352" s="265">
        <f>IFERROR(VLOOKUP($A352,'HH &amp; SI'!$B$4:$Z$494,'HH &amp; SI'!W$503,0),0)</f>
        <v>14974.974316831658</v>
      </c>
      <c r="AP352" s="265">
        <f>IFERROR(VLOOKUP($A352,'HH &amp; SI'!$B$4:$Z$494,'HH &amp; SI'!X$503,0),0)</f>
        <v>37475.152969789102</v>
      </c>
      <c r="AQ352" s="265">
        <f>IFERROR(VLOOKUP($A352,'HH &amp; SI'!$B$4:$Z$494,'HH &amp; SI'!Y$503,0),0)</f>
        <v>34816.725436020984</v>
      </c>
      <c r="AR352" s="266">
        <f t="shared" si="422"/>
        <v>150961.79884182286</v>
      </c>
      <c r="AS352" s="347"/>
      <c r="AT352" s="324">
        <f>IFERROR(VLOOKUP(A352,'Afton FY16 Final'!$A$5:$BV$572,'Afton FY16 Final'!$BV$587,0),0)</f>
        <v>108315.55385627935</v>
      </c>
      <c r="AU352" s="347"/>
      <c r="AV352" s="454">
        <v>0</v>
      </c>
      <c r="AW352" s="265">
        <f>IFERROR(VLOOKUP($A352,'HH &amp; SI'!$B$4:$EY$503,'HH &amp; SI'!EX$503,0),0)</f>
        <v>8455.8384800854255</v>
      </c>
      <c r="AX352" s="265">
        <f>IFERROR(VLOOKUP($A352,'HH &amp; SI'!$B$4:$EY$503,'HH &amp; SI'!EY$503,0),0)</f>
        <v>142505.96036173744</v>
      </c>
      <c r="AY352" s="265">
        <f>AX352/$AX$582*'update_State Admin 1004(b)'!$B$30*0.01</f>
        <v>1363.8844124560981</v>
      </c>
      <c r="AZ352" s="266">
        <f t="shared" si="423"/>
        <v>141142.07594928134</v>
      </c>
      <c r="BA352" s="264">
        <f t="shared" si="424"/>
        <v>1411.4207594928134</v>
      </c>
      <c r="BB352" s="265">
        <f t="shared" si="425"/>
        <v>139730.65518978852</v>
      </c>
      <c r="BC352" s="342">
        <f t="shared" si="479"/>
        <v>1.290033150503878</v>
      </c>
      <c r="BD352" s="347"/>
      <c r="BE352" s="377">
        <f>'Original Title I &amp; II'!AZ350</f>
        <v>0</v>
      </c>
      <c r="BF352" s="244"/>
      <c r="BG352" s="266">
        <f t="shared" si="417"/>
        <v>139730.65518978852</v>
      </c>
      <c r="BI352" s="203" t="str">
        <f>IFERROR(VLOOKUP(A352,'Title II Hold Harmless'!A$1:B$439,2, FALSE),"")</f>
        <v/>
      </c>
      <c r="BJ352" s="203">
        <f t="shared" si="426"/>
        <v>1973.7775210547734</v>
      </c>
      <c r="BK352" s="203">
        <f t="shared" si="475"/>
        <v>1975.6869373606867</v>
      </c>
      <c r="BL352" s="203"/>
      <c r="BM352" s="203">
        <f t="shared" si="477"/>
        <v>1975.6869373606867</v>
      </c>
      <c r="BN352" s="200"/>
      <c r="BP352" s="298" t="s">
        <v>1448</v>
      </c>
      <c r="BQ352" s="299" t="str">
        <f t="shared" si="480"/>
        <v>Y</v>
      </c>
      <c r="BR352" s="300" t="s">
        <v>1448</v>
      </c>
      <c r="BT352" s="298" t="str">
        <f t="shared" si="481"/>
        <v>Y</v>
      </c>
      <c r="BU352" s="299" t="str">
        <f t="shared" si="428"/>
        <v>Y</v>
      </c>
      <c r="BV352" s="299" t="str">
        <f t="shared" si="429"/>
        <v>Y</v>
      </c>
      <c r="BW352" s="300" t="str">
        <f t="shared" si="482"/>
        <v>Y</v>
      </c>
      <c r="BY352" s="355">
        <f t="shared" si="483"/>
        <v>0</v>
      </c>
      <c r="BZ352" s="356">
        <f t="shared" si="484"/>
        <v>0</v>
      </c>
      <c r="CA352" s="356">
        <f t="shared" si="485"/>
        <v>0.95</v>
      </c>
      <c r="CB352" s="357">
        <f t="shared" si="486"/>
        <v>0.95</v>
      </c>
      <c r="CD352" s="312">
        <f t="shared" si="487"/>
        <v>345</v>
      </c>
    </row>
    <row r="353" spans="1:82" s="48" customFormat="1" outlineLevel="1" x14ac:dyDescent="0.3">
      <c r="A353" s="202">
        <v>78263000</v>
      </c>
      <c r="B353" s="48" t="e">
        <f>VLOOKUP(C353,'NCES ID'!$A$2:$B$3136,2,FALSE)</f>
        <v>#N/A</v>
      </c>
      <c r="C353" s="48">
        <f>VLOOKUP(A353,'State ID'!$A$2:$B$713,2,FALSE)</f>
        <v>92596</v>
      </c>
      <c r="D353" s="48" t="s">
        <v>679</v>
      </c>
      <c r="E353" s="48" t="s">
        <v>7</v>
      </c>
      <c r="F353" s="755"/>
      <c r="G353" s="755"/>
      <c r="H353" s="755"/>
      <c r="I353" s="755"/>
      <c r="J353" s="755"/>
      <c r="K353" s="755"/>
      <c r="L353" s="454"/>
      <c r="M353" s="455"/>
      <c r="N353" s="456"/>
      <c r="O353" s="209">
        <f>VLOOKUP($C353,'Final SEA Counts'!$A$2:$F$709,5,FALSE)</f>
        <v>36</v>
      </c>
      <c r="P353" s="223">
        <f>VLOOKUP($C353,'Final SEA Counts'!$A$2:$F$709,6,FALSE)</f>
        <v>32</v>
      </c>
      <c r="Q353" s="749"/>
      <c r="R353" s="454">
        <f t="shared" si="416"/>
        <v>36</v>
      </c>
      <c r="S353" s="455">
        <f t="shared" si="489"/>
        <v>15.844032726462419</v>
      </c>
      <c r="T353" s="230">
        <f t="shared" si="406"/>
        <v>0.44011202017951168</v>
      </c>
      <c r="U353" s="264"/>
      <c r="V353" s="265"/>
      <c r="W353" s="265"/>
      <c r="X353" s="265"/>
      <c r="Y353" s="266"/>
      <c r="Z353" s="265">
        <f t="shared" si="491"/>
        <v>7653.4283818529429</v>
      </c>
      <c r="AA353" s="265">
        <f t="shared" si="492"/>
        <v>1582.7166816555678</v>
      </c>
      <c r="AB353" s="265">
        <f t="shared" si="493"/>
        <v>4479.26071703048</v>
      </c>
      <c r="AC353" s="266">
        <f t="shared" si="494"/>
        <v>4169.6033340707436</v>
      </c>
      <c r="AD353" s="265">
        <f t="shared" si="418"/>
        <v>7653.4283818529429</v>
      </c>
      <c r="AE353" s="265">
        <f t="shared" si="419"/>
        <v>1582.7166816555678</v>
      </c>
      <c r="AF353" s="265">
        <f t="shared" si="420"/>
        <v>4479.26071703048</v>
      </c>
      <c r="AG353" s="266">
        <f t="shared" si="421"/>
        <v>4169.6033340707436</v>
      </c>
      <c r="AH353" s="265">
        <f t="shared" si="497"/>
        <v>7653.4283818529429</v>
      </c>
      <c r="AI353" s="265">
        <f t="shared" si="497"/>
        <v>3713.5380644862803</v>
      </c>
      <c r="AJ353" s="265">
        <f t="shared" si="497"/>
        <v>4504.6013622507389</v>
      </c>
      <c r="AK353" s="265">
        <f t="shared" si="497"/>
        <v>4193.1921460361464</v>
      </c>
      <c r="AL353" s="266">
        <f t="shared" si="496"/>
        <v>20064.759954626112</v>
      </c>
      <c r="AM353" s="347"/>
      <c r="AN353" s="264">
        <f>IFERROR(VLOOKUP($A353,'HH &amp; SI'!$B$4:$Z$494,'HH &amp; SI'!V$503,0),0)</f>
        <v>7549.0306511622039</v>
      </c>
      <c r="AO353" s="265">
        <f>IFERROR(VLOOKUP($A353,'HH &amp; SI'!$B$4:$Z$494,'HH &amp; SI'!W$503,0),0)</f>
        <v>3591.2276976910184</v>
      </c>
      <c r="AP353" s="265">
        <f>IFERROR(VLOOKUP($A353,'HH &amp; SI'!$B$4:$Z$494,'HH &amp; SI'!X$503,0),0)</f>
        <v>4463.6337716161715</v>
      </c>
      <c r="AQ353" s="265">
        <f>IFERROR(VLOOKUP($A353,'HH &amp; SI'!$B$4:$Z$494,'HH &amp; SI'!Y$503,0),0)</f>
        <v>4146.99071671826</v>
      </c>
      <c r="AR353" s="266">
        <f t="shared" si="422"/>
        <v>19750.882837187655</v>
      </c>
      <c r="AS353" s="347"/>
      <c r="AT353" s="324">
        <f>IFERROR(VLOOKUP(A353,'Afton FY16 Final'!$A$5:$BV$572,'Afton FY16 Final'!$BV$587,0),0)</f>
        <v>16545.554128573302</v>
      </c>
      <c r="AU353" s="347"/>
      <c r="AV353" s="454">
        <v>0</v>
      </c>
      <c r="AW353" s="265">
        <f>IFERROR(VLOOKUP($A353,'HH &amp; SI'!$B$4:$EY$503,'HH &amp; SI'!EX$503,0),0)</f>
        <v>1106.308194468078</v>
      </c>
      <c r="AX353" s="265">
        <f>IFERROR(VLOOKUP($A353,'HH &amp; SI'!$B$4:$EY$503,'HH &amp; SI'!EY$503,0),0)</f>
        <v>18644.574642719577</v>
      </c>
      <c r="AY353" s="265">
        <f>AX353/$AX$582*'update_State Admin 1004(b)'!$B$30*0.01</f>
        <v>178.44197300611367</v>
      </c>
      <c r="AZ353" s="266">
        <f t="shared" si="423"/>
        <v>18466.132669713465</v>
      </c>
      <c r="BA353" s="264">
        <f t="shared" si="424"/>
        <v>184.66132669713465</v>
      </c>
      <c r="BB353" s="265">
        <f t="shared" si="425"/>
        <v>18281.471343016328</v>
      </c>
      <c r="BC353" s="342">
        <f t="shared" si="479"/>
        <v>1.1049174419275078</v>
      </c>
      <c r="BD353" s="347"/>
      <c r="BE353" s="377">
        <f>'Original Title I &amp; II'!AZ351</f>
        <v>0</v>
      </c>
      <c r="BF353" s="244"/>
      <c r="BG353" s="266">
        <f t="shared" si="417"/>
        <v>18281.471343016328</v>
      </c>
      <c r="BI353" s="203" t="str">
        <f>IFERROR(VLOOKUP(A353,'Title II Hold Harmless'!A$1:B$439,2, FALSE),"")</f>
        <v/>
      </c>
      <c r="BJ353" s="203">
        <f t="shared" si="426"/>
        <v>236.38531710331094</v>
      </c>
      <c r="BK353" s="203">
        <f t="shared" si="475"/>
        <v>236.61399433473181</v>
      </c>
      <c r="BL353" s="203"/>
      <c r="BM353" s="203">
        <f t="shared" si="477"/>
        <v>236.61399433473181</v>
      </c>
      <c r="BN353" s="200"/>
      <c r="BP353" s="298" t="s">
        <v>1448</v>
      </c>
      <c r="BQ353" s="299" t="str">
        <f t="shared" si="480"/>
        <v>Y</v>
      </c>
      <c r="BR353" s="300" t="s">
        <v>1448</v>
      </c>
      <c r="BT353" s="298" t="str">
        <f t="shared" si="481"/>
        <v>Y</v>
      </c>
      <c r="BU353" s="299" t="str">
        <f t="shared" si="428"/>
        <v>Y</v>
      </c>
      <c r="BV353" s="299" t="str">
        <f t="shared" si="429"/>
        <v>Y</v>
      </c>
      <c r="BW353" s="300" t="str">
        <f t="shared" si="482"/>
        <v>Y</v>
      </c>
      <c r="BY353" s="355">
        <f t="shared" si="483"/>
        <v>0</v>
      </c>
      <c r="BZ353" s="356">
        <f t="shared" si="484"/>
        <v>0</v>
      </c>
      <c r="CA353" s="356">
        <f t="shared" si="485"/>
        <v>0.95</v>
      </c>
      <c r="CB353" s="357">
        <f t="shared" si="486"/>
        <v>0.95</v>
      </c>
      <c r="CD353" s="312">
        <f t="shared" si="487"/>
        <v>346</v>
      </c>
    </row>
    <row r="354" spans="1:82" s="48" customFormat="1" outlineLevel="1" x14ac:dyDescent="0.3">
      <c r="A354" s="202">
        <v>78256000</v>
      </c>
      <c r="B354" s="48" t="e">
        <f>VLOOKUP(C354,'NCES ID'!$A$2:$B$3136,2,FALSE)</f>
        <v>#N/A</v>
      </c>
      <c r="C354" s="48">
        <v>92381</v>
      </c>
      <c r="D354" s="48" t="s">
        <v>1254</v>
      </c>
      <c r="E354" s="48" t="s">
        <v>7</v>
      </c>
      <c r="F354" s="755"/>
      <c r="G354" s="755"/>
      <c r="H354" s="755"/>
      <c r="I354" s="755"/>
      <c r="J354" s="755"/>
      <c r="K354" s="755"/>
      <c r="L354" s="454"/>
      <c r="M354" s="455"/>
      <c r="N354" s="456"/>
      <c r="O354" s="209">
        <f>VLOOKUP($C354,'Final SEA Counts'!$A$2:$F$709,5,FALSE)</f>
        <v>174</v>
      </c>
      <c r="P354" s="223">
        <f>VLOOKUP($C354,'Final SEA Counts'!$A$2:$F$709,6,FALSE)</f>
        <v>167</v>
      </c>
      <c r="Q354" s="749"/>
      <c r="R354" s="454">
        <f t="shared" si="416"/>
        <v>174</v>
      </c>
      <c r="S354" s="455">
        <f t="shared" si="489"/>
        <v>82.686045791225752</v>
      </c>
      <c r="T354" s="230">
        <f t="shared" si="406"/>
        <v>0.47520715971968824</v>
      </c>
      <c r="U354" s="264"/>
      <c r="V354" s="265"/>
      <c r="W354" s="265"/>
      <c r="X354" s="265"/>
      <c r="Y354" s="266"/>
      <c r="Z354" s="265">
        <f t="shared" si="491"/>
        <v>39941.32936779505</v>
      </c>
      <c r="AA354" s="265">
        <f t="shared" si="492"/>
        <v>8259.8026823899945</v>
      </c>
      <c r="AB354" s="265">
        <f t="shared" si="493"/>
        <v>23376.141867002818</v>
      </c>
      <c r="AC354" s="266">
        <f t="shared" si="494"/>
        <v>21760.117399681694</v>
      </c>
      <c r="AD354" s="265">
        <f t="shared" si="418"/>
        <v>39941.32936779505</v>
      </c>
      <c r="AE354" s="265">
        <f t="shared" si="419"/>
        <v>8259.8026823899945</v>
      </c>
      <c r="AF354" s="265">
        <f t="shared" si="420"/>
        <v>23376.141867002818</v>
      </c>
      <c r="AG354" s="266">
        <f t="shared" si="421"/>
        <v>21760.117399681694</v>
      </c>
      <c r="AH354" s="265">
        <f t="shared" si="497"/>
        <v>39941.32936779505</v>
      </c>
      <c r="AI354" s="265">
        <f t="shared" si="497"/>
        <v>10390.624065220707</v>
      </c>
      <c r="AJ354" s="265">
        <f t="shared" si="497"/>
        <v>23401.482512223076</v>
      </c>
      <c r="AK354" s="265">
        <f t="shared" si="497"/>
        <v>21783.706211647095</v>
      </c>
      <c r="AL354" s="266">
        <f t="shared" si="496"/>
        <v>95517.142156885922</v>
      </c>
      <c r="AM354" s="347"/>
      <c r="AN354" s="264">
        <f>IFERROR(VLOOKUP($A354,'HH &amp; SI'!$B$4:$Z$494,'HH &amp; SI'!V$503,0),0)</f>
        <v>39396.503710752761</v>
      </c>
      <c r="AO354" s="265">
        <f>IFERROR(VLOOKUP($A354,'HH &amp; SI'!$B$4:$Z$494,'HH &amp; SI'!W$503,0),0)</f>
        <v>10048.394897623733</v>
      </c>
      <c r="AP354" s="265">
        <f>IFERROR(VLOOKUP($A354,'HH &amp; SI'!$B$4:$Z$494,'HH &amp; SI'!X$503,0),0)</f>
        <v>23188.655165537788</v>
      </c>
      <c r="AQ354" s="265">
        <f>IFERROR(VLOOKUP($A354,'HH &amp; SI'!$B$4:$Z$494,'HH &amp; SI'!Y$503,0),0)</f>
        <v>21543.688981868963</v>
      </c>
      <c r="AR354" s="266">
        <f t="shared" si="422"/>
        <v>94177.242755783242</v>
      </c>
      <c r="AS354" s="347"/>
      <c r="AT354" s="324">
        <f>IFERROR(VLOOKUP(A354,'Afton FY16 Final'!$A$5:$BV$572,'Afton FY16 Final'!$BV$587,0),0)</f>
        <v>75408.129711495858</v>
      </c>
      <c r="AU354" s="347"/>
      <c r="AV354" s="454">
        <v>0</v>
      </c>
      <c r="AW354" s="265">
        <f>IFERROR(VLOOKUP($A354,'HH &amp; SI'!$B$4:$EY$503,'HH &amp; SI'!EX$503,0),0)</f>
        <v>5275.1594068980776</v>
      </c>
      <c r="AX354" s="265">
        <f>IFERROR(VLOOKUP($A354,'HH &amp; SI'!$B$4:$EY$503,'HH &amp; SI'!EY$503,0),0)</f>
        <v>88902.083348885164</v>
      </c>
      <c r="AY354" s="265">
        <f>AX354/$AX$582*'update_State Admin 1004(b)'!$B$30*0.01</f>
        <v>850.85680210589476</v>
      </c>
      <c r="AZ354" s="266">
        <f t="shared" si="423"/>
        <v>88051.226546779275</v>
      </c>
      <c r="BA354" s="264">
        <f t="shared" si="424"/>
        <v>880.51226546779276</v>
      </c>
      <c r="BB354" s="265">
        <f t="shared" si="425"/>
        <v>87170.714281311477</v>
      </c>
      <c r="BC354" s="342">
        <f t="shared" si="479"/>
        <v>1.1559856293322499</v>
      </c>
      <c r="BD354" s="347"/>
      <c r="BE354" s="377">
        <f>'Original Title I &amp; II'!AZ352</f>
        <v>0</v>
      </c>
      <c r="BF354" s="244"/>
      <c r="BG354" s="266">
        <f t="shared" si="417"/>
        <v>87170.714281311477</v>
      </c>
      <c r="BI354" s="203" t="str">
        <f>IFERROR(VLOOKUP(A354,'Title II Hold Harmless'!A$1:B$439,2, FALSE),"")</f>
        <v/>
      </c>
      <c r="BJ354" s="203">
        <f t="shared" si="426"/>
        <v>1222.4692779412057</v>
      </c>
      <c r="BK354" s="203">
        <f t="shared" si="475"/>
        <v>1223.6518847689154</v>
      </c>
      <c r="BL354" s="203"/>
      <c r="BM354" s="203">
        <f t="shared" si="477"/>
        <v>1223.6518847689154</v>
      </c>
      <c r="BN354" s="200"/>
      <c r="BP354" s="298" t="s">
        <v>1448</v>
      </c>
      <c r="BQ354" s="299" t="str">
        <f t="shared" si="480"/>
        <v>Y</v>
      </c>
      <c r="BR354" s="300" t="s">
        <v>1448</v>
      </c>
      <c r="BT354" s="298" t="str">
        <f t="shared" si="481"/>
        <v>Y</v>
      </c>
      <c r="BU354" s="299" t="str">
        <f t="shared" si="428"/>
        <v>Y</v>
      </c>
      <c r="BV354" s="299" t="str">
        <f t="shared" si="429"/>
        <v>Y</v>
      </c>
      <c r="BW354" s="300" t="str">
        <f t="shared" si="482"/>
        <v>Y</v>
      </c>
      <c r="BY354" s="355">
        <f t="shared" si="483"/>
        <v>0</v>
      </c>
      <c r="BZ354" s="356">
        <f t="shared" si="484"/>
        <v>0</v>
      </c>
      <c r="CA354" s="356">
        <f t="shared" si="485"/>
        <v>0.95</v>
      </c>
      <c r="CB354" s="357">
        <f t="shared" si="486"/>
        <v>0.95</v>
      </c>
      <c r="CD354" s="312">
        <f t="shared" si="487"/>
        <v>347</v>
      </c>
    </row>
    <row r="355" spans="1:82" s="48" customFormat="1" outlineLevel="1" x14ac:dyDescent="0.3">
      <c r="A355" s="202">
        <v>78270000</v>
      </c>
      <c r="B355" s="48" t="e">
        <f>VLOOKUP(C355,'NCES ID'!$A$2:$B$3136,2,FALSE)</f>
        <v>#N/A</v>
      </c>
      <c r="C355" s="48">
        <v>92768</v>
      </c>
      <c r="D355" s="48" t="s">
        <v>827</v>
      </c>
      <c r="E355" s="48" t="s">
        <v>7</v>
      </c>
      <c r="F355" s="755"/>
      <c r="G355" s="755"/>
      <c r="H355" s="755"/>
      <c r="I355" s="755"/>
      <c r="J355" s="755"/>
      <c r="K355" s="755"/>
      <c r="L355" s="454"/>
      <c r="M355" s="455"/>
      <c r="N355" s="456"/>
      <c r="O355" s="209">
        <f>VLOOKUP($C355,'AzEDS FY17 12-04-16'!$A$1:$D$712,3,FALSE)</f>
        <v>572</v>
      </c>
      <c r="P355" s="223">
        <f>VLOOKUP($C355,'AzEDS FY17 12-04-16'!$A$1:$D$712,4,FALSE)</f>
        <v>528</v>
      </c>
      <c r="Q355" s="749"/>
      <c r="R355" s="454">
        <f t="shared" si="416"/>
        <v>572</v>
      </c>
      <c r="S355" s="455">
        <f t="shared" si="489"/>
        <v>261.4265399866299</v>
      </c>
      <c r="T355" s="230">
        <f t="shared" si="406"/>
        <v>0.45703940557103129</v>
      </c>
      <c r="U355" s="264"/>
      <c r="V355" s="265"/>
      <c r="W355" s="265"/>
      <c r="X355" s="265"/>
      <c r="Y355" s="266"/>
      <c r="Z355" s="265">
        <f t="shared" si="491"/>
        <v>126281.56830057356</v>
      </c>
      <c r="AA355" s="265">
        <f t="shared" si="492"/>
        <v>26114.825247316869</v>
      </c>
      <c r="AB355" s="265">
        <f t="shared" si="493"/>
        <v>73907.801831002915</v>
      </c>
      <c r="AC355" s="266">
        <f t="shared" si="494"/>
        <v>68798.455012167266</v>
      </c>
      <c r="AD355" s="265">
        <f t="shared" si="418"/>
        <v>126281.56830057356</v>
      </c>
      <c r="AE355" s="265">
        <f t="shared" si="419"/>
        <v>26114.825247316869</v>
      </c>
      <c r="AF355" s="265">
        <f t="shared" si="420"/>
        <v>73907.801831002915</v>
      </c>
      <c r="AG355" s="266">
        <f t="shared" si="421"/>
        <v>68798.455012167266</v>
      </c>
      <c r="AH355" s="265">
        <f t="shared" si="497"/>
        <v>126281.56830057356</v>
      </c>
      <c r="AI355" s="265">
        <f t="shared" si="497"/>
        <v>28245.646630147581</v>
      </c>
      <c r="AJ355" s="265">
        <f t="shared" si="497"/>
        <v>73933.142476223176</v>
      </c>
      <c r="AK355" s="265">
        <f t="shared" si="497"/>
        <v>68822.043824132663</v>
      </c>
      <c r="AL355" s="266">
        <f t="shared" si="496"/>
        <v>297282.40123107698</v>
      </c>
      <c r="AM355" s="347"/>
      <c r="AN355" s="264">
        <f>IFERROR(VLOOKUP($A355,'HH &amp; SI'!$B$4:$Z$494,'HH &amp; SI'!V$503,0),0)</f>
        <v>124559.00574417638</v>
      </c>
      <c r="AO355" s="265">
        <f>IFERROR(VLOOKUP($A355,'HH &amp; SI'!$B$4:$Z$494,'HH &amp; SI'!W$503,0),0)</f>
        <v>27315.338298925286</v>
      </c>
      <c r="AP355" s="265">
        <f>IFERROR(VLOOKUP($A355,'HH &amp; SI'!$B$4:$Z$494,'HH &amp; SI'!X$503,0),0)</f>
        <v>73260.749411505967</v>
      </c>
      <c r="AQ355" s="265">
        <f>IFERROR(VLOOKUP($A355,'HH &amp; SI'!$B$4:$Z$494,'HH &amp; SI'!Y$503,0),0)</f>
        <v>68063.748787197866</v>
      </c>
      <c r="AR355" s="266">
        <f t="shared" si="422"/>
        <v>293198.84224180551</v>
      </c>
      <c r="AS355" s="347"/>
      <c r="AT355" s="324">
        <f>IFERROR(VLOOKUP(A355,'Afton FY16 Final'!$A$5:$BV$572,'Afton FY16 Final'!$BV$587,0),0)</f>
        <v>88385.705430565431</v>
      </c>
      <c r="AU355" s="347"/>
      <c r="AV355" s="454">
        <v>0</v>
      </c>
      <c r="AW355" s="265">
        <f>IFERROR(VLOOKUP($A355,'HH &amp; SI'!$B$4:$EY$503,'HH &amp; SI'!EX$503,0),0)</f>
        <v>16422.976352729427</v>
      </c>
      <c r="AX355" s="265">
        <f>IFERROR(VLOOKUP($A355,'HH &amp; SI'!$B$4:$EY$503,'HH &amp; SI'!EY$503,0),0)</f>
        <v>276775.86588907609</v>
      </c>
      <c r="AY355" s="265">
        <f>AX355/$AX$582*'update_State Admin 1004(b)'!$B$30*0.01</f>
        <v>2648.9438636245682</v>
      </c>
      <c r="AZ355" s="266">
        <f t="shared" si="423"/>
        <v>274126.92202545149</v>
      </c>
      <c r="BA355" s="264">
        <f t="shared" si="424"/>
        <v>2741.2692202545149</v>
      </c>
      <c r="BB355" s="265">
        <f t="shared" si="425"/>
        <v>271385.65280519699</v>
      </c>
      <c r="BC355" s="342">
        <f t="shared" si="479"/>
        <v>3.0704699530671706</v>
      </c>
      <c r="BD355" s="347"/>
      <c r="BE355" s="377">
        <f>'Original Title I &amp; II'!AZ353</f>
        <v>0</v>
      </c>
      <c r="BF355" s="244"/>
      <c r="BG355" s="266">
        <f t="shared" si="417"/>
        <v>271385.65280519699</v>
      </c>
      <c r="BI355" s="203" t="str">
        <f>IFERROR(VLOOKUP(A355,'Title II Hold Harmless'!A$1:B$439,2, FALSE),"")</f>
        <v/>
      </c>
      <c r="BJ355" s="203">
        <f t="shared" si="426"/>
        <v>3882.6521390358116</v>
      </c>
      <c r="BK355" s="203">
        <f t="shared" si="475"/>
        <v>3886.4081851075607</v>
      </c>
      <c r="BL355" s="203"/>
      <c r="BM355" s="203">
        <f t="shared" si="477"/>
        <v>3886.4081851075607</v>
      </c>
      <c r="BN355" s="200"/>
      <c r="BP355" s="298" t="s">
        <v>1448</v>
      </c>
      <c r="BQ355" s="299" t="str">
        <f t="shared" si="480"/>
        <v>Y</v>
      </c>
      <c r="BR355" s="300" t="s">
        <v>1448</v>
      </c>
      <c r="BT355" s="298" t="str">
        <f t="shared" si="481"/>
        <v>Y</v>
      </c>
      <c r="BU355" s="299" t="str">
        <f t="shared" si="428"/>
        <v>Y</v>
      </c>
      <c r="BV355" s="299" t="str">
        <f t="shared" si="429"/>
        <v>Y</v>
      </c>
      <c r="BW355" s="300" t="str">
        <f t="shared" si="482"/>
        <v>Y</v>
      </c>
      <c r="BY355" s="355">
        <f t="shared" si="483"/>
        <v>0</v>
      </c>
      <c r="BZ355" s="356">
        <f t="shared" si="484"/>
        <v>0</v>
      </c>
      <c r="CA355" s="356">
        <f t="shared" si="485"/>
        <v>0.95</v>
      </c>
      <c r="CB355" s="357">
        <f t="shared" si="486"/>
        <v>0.95</v>
      </c>
      <c r="CD355" s="312">
        <f t="shared" si="487"/>
        <v>348</v>
      </c>
    </row>
    <row r="356" spans="1:82" s="48" customFormat="1" outlineLevel="1" x14ac:dyDescent="0.3">
      <c r="A356" s="202"/>
      <c r="D356" s="48" t="s">
        <v>1411</v>
      </c>
      <c r="E356" s="48" t="s">
        <v>7</v>
      </c>
      <c r="F356" s="755"/>
      <c r="G356" s="755"/>
      <c r="H356" s="755"/>
      <c r="I356" s="755"/>
      <c r="J356" s="755"/>
      <c r="K356" s="755"/>
      <c r="L356" s="454"/>
      <c r="M356" s="455"/>
      <c r="N356" s="456"/>
      <c r="O356" s="211">
        <f>'AVA Metrics'!C9</f>
        <v>2097.8909049150207</v>
      </c>
      <c r="P356" s="212">
        <f>'AVA Metrics'!D9</f>
        <v>1097.6173633440515</v>
      </c>
      <c r="Q356" s="749"/>
      <c r="R356" s="454">
        <f t="shared" si="416"/>
        <v>2097.8909049150207</v>
      </c>
      <c r="S356" s="455">
        <f t="shared" si="489"/>
        <v>543.45891956114201</v>
      </c>
      <c r="T356" s="230">
        <f t="shared" si="406"/>
        <v>0.25905013377383224</v>
      </c>
      <c r="U356" s="264"/>
      <c r="V356" s="265"/>
      <c r="W356" s="265"/>
      <c r="X356" s="265"/>
      <c r="Y356" s="266"/>
      <c r="Z356" s="265">
        <f t="shared" si="491"/>
        <v>262516.7462822487</v>
      </c>
      <c r="AA356" s="265">
        <f t="shared" si="492"/>
        <v>54288.040969982212</v>
      </c>
      <c r="AB356" s="265">
        <f t="shared" si="493"/>
        <v>153641.07306117442</v>
      </c>
      <c r="AC356" s="266">
        <f t="shared" si="494"/>
        <v>143019.65680416551</v>
      </c>
      <c r="AD356" s="265">
        <f t="shared" si="418"/>
        <v>262516.7462822487</v>
      </c>
      <c r="AE356" s="265">
        <f t="shared" si="419"/>
        <v>54288.040969982212</v>
      </c>
      <c r="AF356" s="265">
        <f t="shared" si="420"/>
        <v>153641.07306117442</v>
      </c>
      <c r="AG356" s="266">
        <f t="shared" si="421"/>
        <v>143019.65680416551</v>
      </c>
      <c r="AH356" s="265">
        <f t="shared" si="497"/>
        <v>262516.7462822487</v>
      </c>
      <c r="AI356" s="265">
        <f t="shared" si="497"/>
        <v>56418.862352812925</v>
      </c>
      <c r="AJ356" s="265">
        <f t="shared" si="497"/>
        <v>153666.41370639467</v>
      </c>
      <c r="AK356" s="265">
        <f t="shared" si="497"/>
        <v>143043.24561613091</v>
      </c>
      <c r="AL356" s="266">
        <f t="shared" ref="AL356" si="498">SUM(AH356:AK356)</f>
        <v>615645.26795758726</v>
      </c>
      <c r="AM356" s="347"/>
      <c r="AN356" s="264">
        <f>IFERROR(VLOOKUP($A356,'HH &amp; SI'!$B$4:$Z$494,'HH &amp; SI'!V$503,0),0)</f>
        <v>0</v>
      </c>
      <c r="AO356" s="265">
        <f>IFERROR(VLOOKUP($A356,'HH &amp; SI'!$B$4:$Z$494,'HH &amp; SI'!W$503,0),0)</f>
        <v>0</v>
      </c>
      <c r="AP356" s="265">
        <f>IFERROR(VLOOKUP($A356,'HH &amp; SI'!$B$4:$Z$494,'HH &amp; SI'!X$503,0),0)</f>
        <v>0</v>
      </c>
      <c r="AQ356" s="265">
        <f>IFERROR(VLOOKUP($A356,'HH &amp; SI'!$B$4:$Z$494,'HH &amp; SI'!Y$503,0),0)</f>
        <v>0</v>
      </c>
      <c r="AR356" s="266">
        <f t="shared" si="422"/>
        <v>0</v>
      </c>
      <c r="AS356" s="347"/>
      <c r="AT356" s="324">
        <f>IFERROR(VLOOKUP(A356,'Afton FY16 Final'!$A$5:$BV$572,'Afton FY16 Final'!$BV$587,0),0)</f>
        <v>0</v>
      </c>
      <c r="AU356" s="347"/>
      <c r="AV356" s="454">
        <v>0</v>
      </c>
      <c r="AW356" s="265">
        <f>IFERROR(VLOOKUP($A356,'HH &amp; SI'!$B$4:$EY$503,'HH &amp; SI'!EX$503,0),0)</f>
        <v>0</v>
      </c>
      <c r="AX356" s="265">
        <f>IFERROR(VLOOKUP($A356,'HH &amp; SI'!$B$4:$EY$503,'HH &amp; SI'!EY$503,0),0)</f>
        <v>0</v>
      </c>
      <c r="AY356" s="265"/>
      <c r="AZ356" s="266"/>
      <c r="BA356" s="264"/>
      <c r="BB356" s="265"/>
      <c r="BC356" s="342" t="str">
        <f t="shared" ref="BC356:BC393" si="499">IFERROR(BB356/AT356,"")</f>
        <v/>
      </c>
      <c r="BD356" s="347"/>
      <c r="BE356" s="377">
        <f>'Original Title I &amp; II'!AZ354</f>
        <v>0</v>
      </c>
      <c r="BF356" s="244"/>
      <c r="BG356" s="266">
        <f t="shared" si="417"/>
        <v>0</v>
      </c>
      <c r="BI356" s="203"/>
      <c r="BJ356" s="203"/>
      <c r="BK356" s="203"/>
      <c r="BL356" s="203"/>
      <c r="BM356" s="203"/>
      <c r="BN356" s="200"/>
      <c r="BP356" s="298" t="s">
        <v>1448</v>
      </c>
      <c r="BQ356" s="299" t="str">
        <f t="shared" si="480"/>
        <v>Y</v>
      </c>
      <c r="BR356" s="300" t="s">
        <v>1448</v>
      </c>
      <c r="BT356" s="298" t="str">
        <f t="shared" si="481"/>
        <v>Y</v>
      </c>
      <c r="BU356" s="299" t="str">
        <f t="shared" si="428"/>
        <v>Y</v>
      </c>
      <c r="BV356" s="299" t="str">
        <f t="shared" si="429"/>
        <v>Y</v>
      </c>
      <c r="BW356" s="300" t="str">
        <f t="shared" si="482"/>
        <v>Y</v>
      </c>
      <c r="BY356" s="355">
        <f t="shared" si="483"/>
        <v>0</v>
      </c>
      <c r="BZ356" s="356">
        <f t="shared" si="484"/>
        <v>0.9</v>
      </c>
      <c r="CA356" s="356">
        <f t="shared" si="485"/>
        <v>0</v>
      </c>
      <c r="CB356" s="357">
        <f t="shared" si="486"/>
        <v>0.9</v>
      </c>
      <c r="CD356" s="312">
        <f t="shared" si="487"/>
        <v>349</v>
      </c>
    </row>
    <row r="357" spans="1:82" s="197" customFormat="1" outlineLevel="1" x14ac:dyDescent="0.3">
      <c r="A357" s="196"/>
      <c r="D357" s="197" t="s">
        <v>878</v>
      </c>
      <c r="F357" s="756"/>
      <c r="G357" s="756"/>
      <c r="H357" s="756"/>
      <c r="I357" s="756"/>
      <c r="J357" s="756"/>
      <c r="K357" s="756"/>
      <c r="L357" s="757"/>
      <c r="M357" s="758"/>
      <c r="N357" s="768"/>
      <c r="O357" s="214"/>
      <c r="P357" s="216"/>
      <c r="Q357" s="750"/>
      <c r="R357" s="757">
        <f>SUM(R176:R356)</f>
        <v>70782.890904915024</v>
      </c>
      <c r="S357" s="758">
        <f>SUM(S176:S356)</f>
        <v>21443.223463833172</v>
      </c>
      <c r="T357" s="231"/>
      <c r="U357" s="267"/>
      <c r="V357" s="268"/>
      <c r="W357" s="268"/>
      <c r="X357" s="268"/>
      <c r="Y357" s="269"/>
      <c r="Z357" s="268">
        <f>SUM(Z176:Z356)</f>
        <v>10358106.290857075</v>
      </c>
      <c r="AA357" s="268">
        <f>SUM(AA176:AA356)</f>
        <v>2142039.7237625821</v>
      </c>
      <c r="AB357" s="268">
        <f>SUM(AB176:AB356)</f>
        <v>6062205.8895165995</v>
      </c>
      <c r="AC357" s="269">
        <f>SUM(AC176:AC356)</f>
        <v>5643117.354756047</v>
      </c>
      <c r="AD357" s="268"/>
      <c r="AE357" s="268"/>
      <c r="AF357" s="268"/>
      <c r="AG357" s="269"/>
      <c r="AH357" s="268"/>
      <c r="AI357" s="268"/>
      <c r="AJ357" s="268"/>
      <c r="AK357" s="268"/>
      <c r="AL357" s="269"/>
      <c r="AM357" s="348"/>
      <c r="AN357" s="267"/>
      <c r="AO357" s="268"/>
      <c r="AP357" s="268"/>
      <c r="AQ357" s="268"/>
      <c r="AR357" s="269"/>
      <c r="AS357" s="348"/>
      <c r="AT357" s="325"/>
      <c r="AU357" s="348"/>
      <c r="AV357" s="757"/>
      <c r="AW357" s="268"/>
      <c r="AX357" s="268"/>
      <c r="AY357" s="268"/>
      <c r="AZ357" s="269"/>
      <c r="BA357" s="267"/>
      <c r="BB357" s="268"/>
      <c r="BC357" s="343" t="str">
        <f t="shared" si="499"/>
        <v/>
      </c>
      <c r="BD357" s="348"/>
      <c r="BE357" s="371"/>
      <c r="BF357" s="369"/>
      <c r="BG357" s="269"/>
      <c r="BI357" s="198"/>
      <c r="BJ357" s="198"/>
      <c r="BL357" s="198"/>
      <c r="BN357" s="199"/>
      <c r="BP357" s="301" t="s">
        <v>1450</v>
      </c>
      <c r="BQ357" s="302" t="str">
        <f t="shared" si="480"/>
        <v>N</v>
      </c>
      <c r="BR357" s="303" t="s">
        <v>1448</v>
      </c>
      <c r="BT357" s="301" t="str">
        <f t="shared" si="481"/>
        <v>N</v>
      </c>
      <c r="BU357" s="302" t="s">
        <v>1450</v>
      </c>
      <c r="BV357" s="302" t="s">
        <v>1450</v>
      </c>
      <c r="BW357" s="303" t="s">
        <v>1450</v>
      </c>
      <c r="BY357" s="358">
        <f t="shared" si="483"/>
        <v>0.85</v>
      </c>
      <c r="BZ357" s="359">
        <f t="shared" si="484"/>
        <v>0</v>
      </c>
      <c r="CA357" s="359">
        <f t="shared" si="485"/>
        <v>0</v>
      </c>
      <c r="CB357" s="360">
        <f t="shared" si="486"/>
        <v>0.85</v>
      </c>
      <c r="CD357" s="313">
        <f t="shared" si="487"/>
        <v>350</v>
      </c>
    </row>
    <row r="358" spans="1:82" s="197" customFormat="1" outlineLevel="1" x14ac:dyDescent="0.3">
      <c r="A358" s="196" t="s">
        <v>880</v>
      </c>
      <c r="B358" s="197">
        <f>M358/P358</f>
        <v>0.49512602270195061</v>
      </c>
      <c r="D358" s="197" t="s">
        <v>879</v>
      </c>
      <c r="E358" s="197">
        <f t="shared" ref="E358:M358" si="500">SUM(E120:E356)</f>
        <v>0</v>
      </c>
      <c r="F358" s="756">
        <f t="shared" si="500"/>
        <v>167363</v>
      </c>
      <c r="G358" s="756">
        <f t="shared" si="500"/>
        <v>1452</v>
      </c>
      <c r="H358" s="756">
        <f t="shared" si="500"/>
        <v>0</v>
      </c>
      <c r="I358" s="756">
        <f t="shared" si="500"/>
        <v>7569</v>
      </c>
      <c r="J358" s="756">
        <f t="shared" si="500"/>
        <v>0</v>
      </c>
      <c r="K358" s="756">
        <f t="shared" si="500"/>
        <v>168815</v>
      </c>
      <c r="L358" s="757">
        <f t="shared" si="500"/>
        <v>750835</v>
      </c>
      <c r="M358" s="758">
        <f t="shared" si="500"/>
        <v>176384</v>
      </c>
      <c r="N358" s="768"/>
      <c r="O358" s="217">
        <f>SUM(O120:O356)</f>
        <v>634613.89090491505</v>
      </c>
      <c r="P358" s="218">
        <f>SUM(P120:P356)</f>
        <v>356240.61736334406</v>
      </c>
      <c r="Q358" s="750"/>
      <c r="R358" s="757">
        <f>SUM(R120:R356)</f>
        <v>750835.00000000012</v>
      </c>
      <c r="S358" s="758">
        <f>SUM(S120:S356)</f>
        <v>176383.99999999991</v>
      </c>
      <c r="T358" s="231"/>
      <c r="U358" s="267">
        <f t="shared" ref="U358:AL358" si="501">SUM(U120:U356)</f>
        <v>85201939.115544707</v>
      </c>
      <c r="V358" s="268">
        <f t="shared" si="501"/>
        <v>17619623.993257578</v>
      </c>
      <c r="W358" s="268">
        <f t="shared" si="501"/>
        <v>49865456.348947272</v>
      </c>
      <c r="X358" s="268">
        <f t="shared" si="501"/>
        <v>46418189.55905059</v>
      </c>
      <c r="Y358" s="269">
        <f t="shared" si="501"/>
        <v>199105209.01680011</v>
      </c>
      <c r="Z358" s="268">
        <f t="shared" si="501"/>
        <v>85201939.115544692</v>
      </c>
      <c r="AA358" s="268">
        <f t="shared" si="501"/>
        <v>17619623.993257578</v>
      </c>
      <c r="AB358" s="268">
        <f t="shared" si="501"/>
        <v>49865456.348947257</v>
      </c>
      <c r="AC358" s="269">
        <f t="shared" si="501"/>
        <v>46418189.559050627</v>
      </c>
      <c r="AD358" s="268">
        <f t="shared" si="501"/>
        <v>85201939.115544692</v>
      </c>
      <c r="AE358" s="268">
        <f t="shared" si="501"/>
        <v>17189198.073925775</v>
      </c>
      <c r="AF358" s="268">
        <f t="shared" si="501"/>
        <v>49859577.319256157</v>
      </c>
      <c r="AG358" s="269">
        <f t="shared" si="501"/>
        <v>46412716.954674654</v>
      </c>
      <c r="AH358" s="268">
        <f t="shared" si="501"/>
        <v>85201939.115544692</v>
      </c>
      <c r="AI358" s="268">
        <f t="shared" si="501"/>
        <v>17619623.99325756</v>
      </c>
      <c r="AJ358" s="268">
        <f t="shared" si="501"/>
        <v>49865456.348947279</v>
      </c>
      <c r="AK358" s="268">
        <f t="shared" si="501"/>
        <v>46418189.55905062</v>
      </c>
      <c r="AL358" s="269">
        <f t="shared" si="501"/>
        <v>199105209.01680008</v>
      </c>
      <c r="AM358" s="348"/>
      <c r="AN358" s="267">
        <f>SUM(AN120:AN356)</f>
        <v>84800384.688964546</v>
      </c>
      <c r="AO358" s="268">
        <f>SUM(AO120:AO356)</f>
        <v>17484684.638864696</v>
      </c>
      <c r="AP358" s="268">
        <f>SUM(AP120:AP356)</f>
        <v>49595347.039720222</v>
      </c>
      <c r="AQ358" s="268">
        <f>SUM(AQ120:AQ356)</f>
        <v>46114992.01035329</v>
      </c>
      <c r="AR358" s="269">
        <f>SUM(AR120:AR356)</f>
        <v>197995408.37790269</v>
      </c>
      <c r="AS358" s="348"/>
      <c r="AT358" s="325">
        <f>SUM(AT120:AT356)</f>
        <v>173692378.20364544</v>
      </c>
      <c r="AU358" s="348"/>
      <c r="AV358" s="757">
        <f t="shared" ref="AV358:BB358" si="502">SUM(AV120:AV356)</f>
        <v>0</v>
      </c>
      <c r="AW358" s="268">
        <f t="shared" si="502"/>
        <v>9502127.1400222313</v>
      </c>
      <c r="AX358" s="268">
        <f t="shared" si="502"/>
        <v>188493281.23788038</v>
      </c>
      <c r="AY358" s="268">
        <f t="shared" si="502"/>
        <v>1804016.1090839175</v>
      </c>
      <c r="AZ358" s="269">
        <f t="shared" si="502"/>
        <v>186689265.12879646</v>
      </c>
      <c r="BA358" s="267">
        <f t="shared" si="502"/>
        <v>1866892.651287965</v>
      </c>
      <c r="BB358" s="268">
        <f t="shared" si="502"/>
        <v>184822372.47750869</v>
      </c>
      <c r="BC358" s="343">
        <f t="shared" si="499"/>
        <v>1.0640787718434823</v>
      </c>
      <c r="BD358" s="348"/>
      <c r="BE358" s="371">
        <f>SUM(BE120:BE356)</f>
        <v>0</v>
      </c>
      <c r="BF358" s="369">
        <f>SUM(BF120:BF356)</f>
        <v>0</v>
      </c>
      <c r="BG358" s="269">
        <f>SUM(BG120:BG356)</f>
        <v>184822372.47750869</v>
      </c>
      <c r="BI358" s="198"/>
      <c r="BL358" s="198"/>
      <c r="BN358" s="199"/>
      <c r="BP358" s="301" t="s">
        <v>1450</v>
      </c>
      <c r="BQ358" s="302" t="str">
        <f t="shared" si="480"/>
        <v>N</v>
      </c>
      <c r="BR358" s="303" t="s">
        <v>1448</v>
      </c>
      <c r="BT358" s="301" t="str">
        <f t="shared" si="481"/>
        <v>N</v>
      </c>
      <c r="BU358" s="302" t="s">
        <v>1450</v>
      </c>
      <c r="BV358" s="302" t="s">
        <v>1450</v>
      </c>
      <c r="BW358" s="303" t="s">
        <v>1450</v>
      </c>
      <c r="BY358" s="358">
        <f t="shared" si="483"/>
        <v>0.85</v>
      </c>
      <c r="BZ358" s="359">
        <f t="shared" si="484"/>
        <v>0</v>
      </c>
      <c r="CA358" s="359">
        <f t="shared" si="485"/>
        <v>0</v>
      </c>
      <c r="CB358" s="360">
        <f t="shared" si="486"/>
        <v>0.85</v>
      </c>
      <c r="CD358" s="313">
        <f t="shared" si="487"/>
        <v>351</v>
      </c>
    </row>
    <row r="359" spans="1:82" s="197" customFormat="1" outlineLevel="1" x14ac:dyDescent="0.3">
      <c r="A359" s="196"/>
      <c r="F359" s="756"/>
      <c r="G359" s="756"/>
      <c r="H359" s="756"/>
      <c r="I359" s="756"/>
      <c r="J359" s="756"/>
      <c r="K359" s="756"/>
      <c r="L359" s="757"/>
      <c r="M359" s="758"/>
      <c r="N359" s="768"/>
      <c r="O359" s="214"/>
      <c r="P359" s="216"/>
      <c r="Q359" s="750"/>
      <c r="R359" s="757"/>
      <c r="S359" s="758"/>
      <c r="T359" s="231"/>
      <c r="U359" s="267">
        <f>U358/$S358</f>
        <v>483.04800387532174</v>
      </c>
      <c r="V359" s="268">
        <f>V358/$S358</f>
        <v>99.89355039718788</v>
      </c>
      <c r="W359" s="268">
        <f>W358/$S358</f>
        <v>282.70963550518923</v>
      </c>
      <c r="X359" s="268">
        <f>X358/$S358</f>
        <v>263.16553405666394</v>
      </c>
      <c r="Y359" s="269" t="str">
        <f>IFERROR(VLOOKUP($B359,#REF!,12,FALSE),"")</f>
        <v/>
      </c>
      <c r="Z359" s="268"/>
      <c r="AA359" s="268"/>
      <c r="AB359" s="268"/>
      <c r="AC359" s="269"/>
      <c r="AD359" s="268">
        <f>(Z358-AD358)/COUNT(AD120:AD356)</f>
        <v>0</v>
      </c>
      <c r="AE359" s="268">
        <f>(AA358-AE358)/COUNT(AE120:AE356)</f>
        <v>2130.8213828307125</v>
      </c>
      <c r="AF359" s="268">
        <f>(AB358-AF358)/COUNT(AF120:AF356)</f>
        <v>25.340645220259141</v>
      </c>
      <c r="AG359" s="269">
        <f>(AC358-AG358)/COUNT(AG120:AG356)</f>
        <v>23.588811965402343</v>
      </c>
      <c r="AH359" s="268"/>
      <c r="AI359" s="268"/>
      <c r="AJ359" s="268"/>
      <c r="AK359" s="268"/>
      <c r="AL359" s="280"/>
      <c r="AM359" s="348"/>
      <c r="AN359" s="267"/>
      <c r="AO359" s="268"/>
      <c r="AP359" s="268"/>
      <c r="AQ359" s="268"/>
      <c r="AR359" s="280"/>
      <c r="AS359" s="348"/>
      <c r="AT359" s="325"/>
      <c r="AU359" s="348"/>
      <c r="AV359" s="757"/>
      <c r="AW359" s="268"/>
      <c r="AX359" s="268"/>
      <c r="AY359" s="268"/>
      <c r="AZ359" s="269"/>
      <c r="BA359" s="267"/>
      <c r="BB359" s="268"/>
      <c r="BC359" s="343" t="str">
        <f t="shared" si="499"/>
        <v/>
      </c>
      <c r="BD359" s="348"/>
      <c r="BE359" s="371"/>
      <c r="BF359" s="369"/>
      <c r="BG359" s="269"/>
      <c r="BI359" s="198"/>
      <c r="BL359" s="198"/>
      <c r="BN359" s="199"/>
      <c r="BP359" s="301" t="s">
        <v>1450</v>
      </c>
      <c r="BQ359" s="302" t="str">
        <f t="shared" si="480"/>
        <v>N</v>
      </c>
      <c r="BR359" s="303" t="s">
        <v>1448</v>
      </c>
      <c r="BT359" s="301" t="str">
        <f t="shared" si="481"/>
        <v>N</v>
      </c>
      <c r="BU359" s="302" t="s">
        <v>1450</v>
      </c>
      <c r="BV359" s="302" t="s">
        <v>1450</v>
      </c>
      <c r="BW359" s="303" t="s">
        <v>1450</v>
      </c>
      <c r="BY359" s="358">
        <f t="shared" si="483"/>
        <v>0.85</v>
      </c>
      <c r="BZ359" s="359">
        <f t="shared" si="484"/>
        <v>0</v>
      </c>
      <c r="CA359" s="359">
        <f t="shared" si="485"/>
        <v>0</v>
      </c>
      <c r="CB359" s="360">
        <f t="shared" si="486"/>
        <v>0.85</v>
      </c>
      <c r="CD359" s="313">
        <f t="shared" si="487"/>
        <v>352</v>
      </c>
    </row>
    <row r="360" spans="1:82" s="199" customFormat="1" outlineLevel="1" x14ac:dyDescent="0.3">
      <c r="A360" s="201"/>
      <c r="F360" s="759"/>
      <c r="G360" s="759"/>
      <c r="H360" s="759"/>
      <c r="I360" s="759"/>
      <c r="J360" s="759"/>
      <c r="K360" s="759"/>
      <c r="L360" s="509"/>
      <c r="M360" s="510"/>
      <c r="N360" s="511"/>
      <c r="O360" s="220"/>
      <c r="P360" s="222"/>
      <c r="Q360" s="751"/>
      <c r="R360" s="509"/>
      <c r="S360" s="510"/>
      <c r="T360" s="232"/>
      <c r="U360" s="270" t="str">
        <f>IFERROR(VLOOKUP($B360,#REF!,8,FALSE),"")</f>
        <v/>
      </c>
      <c r="V360" s="271" t="str">
        <f>IFERROR(VLOOKUP($B360,#REF!,9,FALSE),"")</f>
        <v/>
      </c>
      <c r="W360" s="271" t="str">
        <f>IFERROR(VLOOKUP($B360,#REF!,10,FALSE),"")</f>
        <v/>
      </c>
      <c r="X360" s="271" t="str">
        <f>IFERROR(VLOOKUP($B360,#REF!,11,FALSE),"")</f>
        <v/>
      </c>
      <c r="Y360" s="272" t="str">
        <f>IFERROR(VLOOKUP($B360,#REF!,12,FALSE),"")</f>
        <v/>
      </c>
      <c r="Z360" s="271"/>
      <c r="AA360" s="271"/>
      <c r="AB360" s="271"/>
      <c r="AC360" s="272"/>
      <c r="AD360" s="271"/>
      <c r="AE360" s="271"/>
      <c r="AF360" s="271"/>
      <c r="AG360" s="272"/>
      <c r="AH360" s="271"/>
      <c r="AI360" s="271"/>
      <c r="AJ360" s="271"/>
      <c r="AK360" s="271"/>
      <c r="AL360" s="272"/>
      <c r="AM360" s="349"/>
      <c r="AN360" s="270"/>
      <c r="AO360" s="271"/>
      <c r="AP360" s="271"/>
      <c r="AQ360" s="271"/>
      <c r="AR360" s="272"/>
      <c r="AS360" s="349"/>
      <c r="AT360" s="326"/>
      <c r="AU360" s="349"/>
      <c r="AV360" s="509"/>
      <c r="AW360" s="271"/>
      <c r="AX360" s="271"/>
      <c r="AY360" s="271"/>
      <c r="AZ360" s="272"/>
      <c r="BA360" s="270"/>
      <c r="BB360" s="271"/>
      <c r="BC360" s="344" t="str">
        <f t="shared" si="499"/>
        <v/>
      </c>
      <c r="BD360" s="349"/>
      <c r="BE360" s="378">
        <f>'Original Title I &amp; II'!AZ358</f>
        <v>0</v>
      </c>
      <c r="BF360" s="245"/>
      <c r="BG360" s="272">
        <f t="shared" ref="BG360:BG381" si="503">IF(BF360&lt;0,BB360+BF360,BB360)</f>
        <v>0</v>
      </c>
      <c r="BI360" s="200"/>
      <c r="BL360" s="200"/>
      <c r="BP360" s="304" t="s">
        <v>1450</v>
      </c>
      <c r="BQ360" s="305" t="str">
        <f t="shared" si="480"/>
        <v>N</v>
      </c>
      <c r="BR360" s="306" t="s">
        <v>1448</v>
      </c>
      <c r="BT360" s="304" t="str">
        <f t="shared" si="481"/>
        <v>N</v>
      </c>
      <c r="BU360" s="305" t="s">
        <v>1450</v>
      </c>
      <c r="BV360" s="305" t="s">
        <v>1450</v>
      </c>
      <c r="BW360" s="306" t="s">
        <v>1450</v>
      </c>
      <c r="BY360" s="361">
        <f t="shared" si="483"/>
        <v>0.85</v>
      </c>
      <c r="BZ360" s="362">
        <f t="shared" si="484"/>
        <v>0</v>
      </c>
      <c r="CA360" s="362">
        <f t="shared" si="485"/>
        <v>0</v>
      </c>
      <c r="CB360" s="363">
        <f t="shared" si="486"/>
        <v>0.85</v>
      </c>
      <c r="CD360" s="314">
        <f t="shared" si="487"/>
        <v>353</v>
      </c>
    </row>
    <row r="361" spans="1:82" outlineLevel="1" x14ac:dyDescent="0.3">
      <c r="A361" s="1">
        <v>80313000</v>
      </c>
      <c r="B361" s="47">
        <f>VLOOKUP(C361,'NCES ID'!$A$2:$B$3136,2,FALSE)</f>
        <v>409570</v>
      </c>
      <c r="C361" s="47">
        <f>VLOOKUP(A361,'State ID'!$A$2:$B$713,2,FALSE)</f>
        <v>4377</v>
      </c>
      <c r="D361" s="147" t="s">
        <v>451</v>
      </c>
      <c r="E361" s="47" t="s">
        <v>5</v>
      </c>
      <c r="F361" s="382">
        <f>IFERROR(VLOOKUP($B361,'update_Formula counts'!$D$7:$R$234,'update_Formula counts'!F$5,0),0)</f>
        <v>10</v>
      </c>
      <c r="G361" s="382">
        <f>IFERROR(VLOOKUP($B361,'update_Formula counts'!$D$7:$R$234,'update_Formula counts'!G$5,0),0)</f>
        <v>0</v>
      </c>
      <c r="H361" s="382">
        <f>IFERROR(VLOOKUP($B361,'update_Formula counts'!$D$7:$R$234,'update_Formula counts'!H$5,0),0)</f>
        <v>0</v>
      </c>
      <c r="I361" s="382">
        <f>IFERROR(VLOOKUP($B361,'update_Formula counts'!$D$7:$R$234,'update_Formula counts'!I$5,0),0)</f>
        <v>0</v>
      </c>
      <c r="J361" s="382">
        <f>IFERROR(VLOOKUP($B361,'update_Formula counts'!$D$7:$R$234,'update_Formula counts'!J$5,0),0)</f>
        <v>0</v>
      </c>
      <c r="K361" s="382">
        <f t="shared" ref="K361:K373" si="504">M361-I361</f>
        <v>10</v>
      </c>
      <c r="L361" s="444">
        <f>IFERROR(VLOOKUP($B361,'update_Formula counts'!$D$7:$R$234,'update_Formula counts'!L$5,0),0)</f>
        <v>49</v>
      </c>
      <c r="M361" s="445">
        <f>IFERROR(VLOOKUP($B361,'update_Formula counts'!$D$7:$R$234,'update_Formula counts'!K$5,0),0)</f>
        <v>10</v>
      </c>
      <c r="N361" s="446">
        <f>IFERROR(VLOOKUP($B361,'update_Formula counts'!$D$7:$R$234,'update_Formula counts'!M$5,0),0)</f>
        <v>0.20408163265306123</v>
      </c>
      <c r="O361" s="137">
        <f>VLOOKUP($C361,'Final SEA Counts'!$A$2:$F$709,5,FALSE)</f>
        <v>22</v>
      </c>
      <c r="P361" s="208">
        <f>VLOOKUP($C361,'Final SEA Counts'!$A$2:$F$709,6,FALSE)</f>
        <v>19</v>
      </c>
      <c r="Q361" s="748">
        <f t="shared" ref="Q361:Q373" si="505">-F361/($F$383-$F$384)*$S$382+(M361/($M$383-$M$384)*$M$384)</f>
        <v>-1.3594701250114327</v>
      </c>
      <c r="R361" s="444">
        <f t="shared" ref="R361:R373" si="506">L361-(L361/L$383)*R$382</f>
        <v>42.043354119657316</v>
      </c>
      <c r="S361" s="445">
        <f t="shared" ref="S361:S373" si="507">Q361+K361+I361</f>
        <v>8.6405298749885677</v>
      </c>
      <c r="T361" s="229">
        <f t="shared" ref="T361:T381" si="508">S361/R361</f>
        <v>0.20551476103446037</v>
      </c>
      <c r="U361" s="261">
        <f>VLOOKUP($B361,update_Allocation!$D$8:$Q$235,update_Allocation!K$239,0)</f>
        <v>7343.619706400279</v>
      </c>
      <c r="V361" s="262">
        <f>VLOOKUP($B361,update_Allocation!$D$8:$Q$235,update_Allocation!L$239,0)</f>
        <v>1791.0777545418489</v>
      </c>
      <c r="W361" s="262">
        <f>VLOOKUP($B361,update_Allocation!$D$8:$Q$235,update_Allocation!M$239,0)</f>
        <v>4448.1614343127285</v>
      </c>
      <c r="X361" s="262">
        <f>VLOOKUP($B361,update_Allocation!$D$8:$Q$235,update_Allocation!N$239,0)</f>
        <v>4841.7484827720218</v>
      </c>
      <c r="Y361" s="263">
        <f>VLOOKUP($B361,update_Allocation!$D$8:$Q$235,update_Allocation!O$239,0)</f>
        <v>18424.607378026878</v>
      </c>
      <c r="Z361" s="262">
        <f t="shared" ref="Z361:Z373" si="509">IF(U361=0,"",U361-(U361/U$383)*Z$382)</f>
        <v>6386.1931864725966</v>
      </c>
      <c r="AA361" s="262">
        <f t="shared" ref="AA361:AA373" si="510">IF(V361=0,"",V361-(V361/V$383)*AA$382)</f>
        <v>1557.565479940218</v>
      </c>
      <c r="AB361" s="262">
        <f t="shared" ref="AB361:AB373" si="511">IF(W361=0,"",W361-(W361/W$383)*AB$382)</f>
        <v>3868.2311148792687</v>
      </c>
      <c r="AC361" s="263">
        <f t="shared" ref="AC361:AC373" si="512">IF(X361=0,"",X361-(X361/X$383)*AC$382)</f>
        <v>4210.5041393067122</v>
      </c>
      <c r="AD361" s="262" t="str">
        <f t="shared" ref="AD361:AD381" si="513">IF(BT361="Y",Z361,"")</f>
        <v/>
      </c>
      <c r="AE361" s="262" t="str">
        <f t="shared" ref="AE361:AE381" si="514">IF(BU361="Y",AA361,"")</f>
        <v/>
      </c>
      <c r="AF361" s="262" t="str">
        <f t="shared" ref="AF361:AF381" si="515">IF(BV361="Y",AB361,"")</f>
        <v/>
      </c>
      <c r="AG361" s="263" t="str">
        <f t="shared" ref="AG361:AG381" si="516">IF(BW361="Y",AC361,"")</f>
        <v/>
      </c>
      <c r="AH361" s="262" t="str">
        <f t="shared" ref="AH361:AH381" si="517">IF(AD361="","",AD361+AD$384)</f>
        <v/>
      </c>
      <c r="AI361" s="262" t="str">
        <f t="shared" ref="AI361:AI381" si="518">IF(AE361="","",AE361+AE$384)</f>
        <v/>
      </c>
      <c r="AJ361" s="262" t="str">
        <f t="shared" ref="AJ361:AJ381" si="519">IF(AF361="","",AF361+AF$384)</f>
        <v/>
      </c>
      <c r="AK361" s="262" t="str">
        <f t="shared" ref="AK361:AK381" si="520">IF(AG361="","",AG361+AG$384)</f>
        <v/>
      </c>
      <c r="AL361" s="263">
        <f t="shared" ref="AL361:AL381" si="521">SUM(AH361:AK361)</f>
        <v>0</v>
      </c>
      <c r="AM361" s="346"/>
      <c r="AN361" s="261">
        <f>IFERROR(VLOOKUP($A361,'HH &amp; SI'!$B$4:$Z$494,'HH &amp; SI'!V$503,0),0)</f>
        <v>0</v>
      </c>
      <c r="AO361" s="262">
        <f>IFERROR(VLOOKUP($A361,'HH &amp; SI'!$B$4:$Z$494,'HH &amp; SI'!W$503,0),0)</f>
        <v>1540.4247768667278</v>
      </c>
      <c r="AP361" s="262">
        <f>IFERROR(VLOOKUP($A361,'HH &amp; SI'!$B$4:$Z$494,'HH &amp; SI'!X$503,0),0)</f>
        <v>0</v>
      </c>
      <c r="AQ361" s="262">
        <f>IFERROR(VLOOKUP($A361,'HH &amp; SI'!$B$4:$Z$494,'HH &amp; SI'!Y$503,0),0)</f>
        <v>0</v>
      </c>
      <c r="AR361" s="263">
        <f t="shared" ref="AR361:AR362" si="522">SUM(AN361:AQ361)</f>
        <v>1540.4247768667278</v>
      </c>
      <c r="AS361" s="346"/>
      <c r="AT361" s="323">
        <f>IFERROR(VLOOKUP(A361,'Afton FY16 Final'!$A$5:$BV$572,'Afton FY16 Final'!$BV$587,0),0)</f>
        <v>1677.8820147392551</v>
      </c>
      <c r="AU361" s="346"/>
      <c r="AV361" s="444">
        <v>0</v>
      </c>
      <c r="AW361" s="262">
        <f>IFERROR(VLOOKUP($A361,'HH &amp; SI'!$B$4:$EY$503,'HH &amp; SI'!EX$503,0),0)</f>
        <v>0</v>
      </c>
      <c r="AX361" s="262">
        <f>IFERROR(VLOOKUP($A361,'HH &amp; SI'!$B$4:$EY$503,'HH &amp; SI'!EY$503,0),0)</f>
        <v>1540.4247768667278</v>
      </c>
      <c r="AY361" s="262">
        <f>AX361/$AX$582*'update_State Admin 1004(b)'!$B$30*0.01</f>
        <v>14.742971707264795</v>
      </c>
      <c r="AZ361" s="263">
        <f t="shared" ref="AZ361:AZ380" si="523">AX361-AY361</f>
        <v>1525.681805159463</v>
      </c>
      <c r="BA361" s="261">
        <f t="shared" ref="BA361:BA380" si="524">AZ361*0.01</f>
        <v>15.25681805159463</v>
      </c>
      <c r="BB361" s="262">
        <f t="shared" ref="BB361:BB380" si="525">AZ361-BA361</f>
        <v>1510.4249871078684</v>
      </c>
      <c r="BC361" s="341">
        <f t="shared" si="499"/>
        <v>0.90019737612038853</v>
      </c>
      <c r="BD361" s="346"/>
      <c r="BE361" s="376" t="str">
        <f>'Original Title I &amp; II'!AZ359</f>
        <v/>
      </c>
      <c r="BF361" s="243" t="str">
        <f t="shared" ref="BF361:BF374" si="526">IF(BE361&lt;0,BB361*BE361/100,"")</f>
        <v/>
      </c>
      <c r="BG361" s="263">
        <f t="shared" si="503"/>
        <v>1510.4249871078684</v>
      </c>
      <c r="BI361" s="31">
        <f>IFERROR(VLOOKUP(A361,'Title II Hold Harmless'!A$1:B$439,2, FALSE),"")</f>
        <v>1625</v>
      </c>
      <c r="BJ361" s="31">
        <f t="shared" ref="BJ361:BJ372" si="527">IFERROR($BI$587*(0.8*($S361/$S$584)+0.2*($R361/$R$584))+$BI361,$BI$587*(0.8*($S361/$S$584)+0.2*($R361/$R$584)))</f>
        <v>1771.9487255825775</v>
      </c>
      <c r="BK361" s="31">
        <f t="shared" ref="BK361:BK380" si="528">$BI$588*BJ361</f>
        <v>1773.6628943547812</v>
      </c>
      <c r="BL361" s="31" t="str">
        <f t="shared" ref="BL361:BL380" si="529">IF(BE361&lt;0,BK361*BE361/100,"")</f>
        <v/>
      </c>
      <c r="BM361" s="31">
        <f t="shared" ref="BM361:BM380" si="530">IF(BL361&lt;0,BK361+BL361,BK361)</f>
        <v>1773.6628943547812</v>
      </c>
      <c r="BN361" s="200"/>
      <c r="BP361" s="295" t="s">
        <v>1447</v>
      </c>
      <c r="BQ361" s="296" t="str">
        <f t="shared" si="480"/>
        <v>Y</v>
      </c>
      <c r="BR361" s="297" t="s">
        <v>1448</v>
      </c>
      <c r="BT361" s="295" t="str">
        <f t="shared" si="481"/>
        <v>N</v>
      </c>
      <c r="BU361" s="296" t="str">
        <f t="shared" ref="BU361:BU381" si="531">IF(AND(BT361="Y",(OR(T361&gt;0.15,S361&gt;6500))),"Y","N")</f>
        <v>N</v>
      </c>
      <c r="BV361" s="296" t="str">
        <f t="shared" ref="BV361:BV381" si="532">IF(AND(BT361="Y",T361&gt;=0.05),"Y","N")</f>
        <v>N</v>
      </c>
      <c r="BW361" s="297" t="str">
        <f t="shared" si="482"/>
        <v>N</v>
      </c>
      <c r="BY361" s="352">
        <f t="shared" si="483"/>
        <v>0</v>
      </c>
      <c r="BZ361" s="353">
        <f t="shared" si="484"/>
        <v>0.9</v>
      </c>
      <c r="CA361" s="353">
        <f t="shared" si="485"/>
        <v>0</v>
      </c>
      <c r="CB361" s="354">
        <f t="shared" si="486"/>
        <v>0.9</v>
      </c>
      <c r="CD361" s="311">
        <f t="shared" si="487"/>
        <v>354</v>
      </c>
    </row>
    <row r="362" spans="1:82" outlineLevel="1" x14ac:dyDescent="0.3">
      <c r="A362" s="1">
        <v>80306000</v>
      </c>
      <c r="B362" s="47">
        <f>VLOOKUP(C362,'NCES ID'!$A$2:$B$3136,2,FALSE)</f>
        <v>405730</v>
      </c>
      <c r="C362" s="47">
        <f>VLOOKUP(A362,'State ID'!$A$2:$B$713,2,FALSE)</f>
        <v>4373</v>
      </c>
      <c r="D362" s="147" t="s">
        <v>313</v>
      </c>
      <c r="E362" s="47" t="s">
        <v>5</v>
      </c>
      <c r="F362" s="382">
        <f>IFERROR(VLOOKUP($B362,'update_Formula counts'!$D$7:$R$234,'update_Formula counts'!F$5,0),0)</f>
        <v>10</v>
      </c>
      <c r="G362" s="382">
        <f>IFERROR(VLOOKUP($B362,'update_Formula counts'!$D$7:$R$234,'update_Formula counts'!G$5,0),0)</f>
        <v>0</v>
      </c>
      <c r="H362" s="382">
        <f>IFERROR(VLOOKUP($B362,'update_Formula counts'!$D$7:$R$234,'update_Formula counts'!H$5,0),0)</f>
        <v>0</v>
      </c>
      <c r="I362" s="382">
        <f>IFERROR(VLOOKUP($B362,'update_Formula counts'!$D$7:$R$234,'update_Formula counts'!I$5,0),0)</f>
        <v>0</v>
      </c>
      <c r="J362" s="382">
        <f>IFERROR(VLOOKUP($B362,'update_Formula counts'!$D$7:$R$234,'update_Formula counts'!J$5,0),0)</f>
        <v>0</v>
      </c>
      <c r="K362" s="382">
        <f t="shared" si="504"/>
        <v>10</v>
      </c>
      <c r="L362" s="444">
        <f>IFERROR(VLOOKUP($B362,'update_Formula counts'!$D$7:$R$234,'update_Formula counts'!L$5,0),0)</f>
        <v>60</v>
      </c>
      <c r="M362" s="445">
        <f>IFERROR(VLOOKUP($B362,'update_Formula counts'!$D$7:$R$234,'update_Formula counts'!K$5,0),0)</f>
        <v>10</v>
      </c>
      <c r="N362" s="446">
        <f>IFERROR(VLOOKUP($B362,'update_Formula counts'!$D$7:$R$234,'update_Formula counts'!M$5,0),0)</f>
        <v>0.16666666666666666</v>
      </c>
      <c r="O362" s="137">
        <f>VLOOKUP($C362,'Final SEA Counts'!$A$2:$F$709,5,FALSE)</f>
        <v>16</v>
      </c>
      <c r="P362" s="208">
        <f>VLOOKUP($C362,'Final SEA Counts'!$A$2:$F$709,6,FALSE)</f>
        <v>14</v>
      </c>
      <c r="Q362" s="748">
        <f t="shared" si="505"/>
        <v>-1.3594701250114327</v>
      </c>
      <c r="R362" s="444">
        <f t="shared" si="506"/>
        <v>51.481658105702834</v>
      </c>
      <c r="S362" s="445">
        <f t="shared" si="507"/>
        <v>8.6405298749885677</v>
      </c>
      <c r="T362" s="229">
        <f t="shared" si="508"/>
        <v>0.16783705484480929</v>
      </c>
      <c r="U362" s="261">
        <f>VLOOKUP($B362,update_Allocation!$D$8:$Q$235,update_Allocation!K$239,0)</f>
        <v>9886.424313879601</v>
      </c>
      <c r="V362" s="262">
        <f>VLOOKUP($B362,update_Allocation!$D$8:$Q$235,update_Allocation!L$239,0)</f>
        <v>2411.2570324303019</v>
      </c>
      <c r="W362" s="262">
        <f>VLOOKUP($B362,update_Allocation!$D$8:$Q$235,update_Allocation!M$239,0)</f>
        <v>4042.7656750226997</v>
      </c>
      <c r="X362" s="262">
        <f>VLOOKUP($B362,update_Allocation!$D$8:$Q$235,update_Allocation!N$239,0)</f>
        <v>3622.1367199450947</v>
      </c>
      <c r="Y362" s="263">
        <f>VLOOKUP($B362,update_Allocation!$D$8:$Q$235,update_Allocation!O$239,0)</f>
        <v>19962.583741277696</v>
      </c>
      <c r="Z362" s="262">
        <f t="shared" si="509"/>
        <v>8597.4789158606163</v>
      </c>
      <c r="AA362" s="262">
        <f t="shared" si="510"/>
        <v>2096.8887070663332</v>
      </c>
      <c r="AB362" s="262">
        <f t="shared" si="511"/>
        <v>3515.6889436736305</v>
      </c>
      <c r="AC362" s="263">
        <f t="shared" si="512"/>
        <v>3149.8996089388083</v>
      </c>
      <c r="AD362" s="262" t="str">
        <f t="shared" si="513"/>
        <v/>
      </c>
      <c r="AE362" s="262" t="str">
        <f t="shared" si="514"/>
        <v/>
      </c>
      <c r="AF362" s="262" t="str">
        <f t="shared" si="515"/>
        <v/>
      </c>
      <c r="AG362" s="263" t="str">
        <f t="shared" si="516"/>
        <v/>
      </c>
      <c r="AH362" s="262" t="str">
        <f t="shared" si="517"/>
        <v/>
      </c>
      <c r="AI362" s="262" t="str">
        <f t="shared" si="518"/>
        <v/>
      </c>
      <c r="AJ362" s="262" t="str">
        <f t="shared" si="519"/>
        <v/>
      </c>
      <c r="AK362" s="262" t="str">
        <f t="shared" si="520"/>
        <v/>
      </c>
      <c r="AL362" s="263">
        <f t="shared" si="521"/>
        <v>0</v>
      </c>
      <c r="AM362" s="346"/>
      <c r="AN362" s="261">
        <f>IFERROR(VLOOKUP($A362,'HH &amp; SI'!$B$4:$Z$494,'HH &amp; SI'!V$503,0),0)</f>
        <v>0</v>
      </c>
      <c r="AO362" s="262">
        <f>IFERROR(VLOOKUP($A362,'HH &amp; SI'!$B$4:$Z$494,'HH &amp; SI'!W$503,0),0)</f>
        <v>2063.3963910682937</v>
      </c>
      <c r="AP362" s="262">
        <f>IFERROR(VLOOKUP($A362,'HH &amp; SI'!$B$4:$Z$494,'HH &amp; SI'!X$503,0),0)</f>
        <v>0</v>
      </c>
      <c r="AQ362" s="262">
        <f>IFERROR(VLOOKUP($A362,'HH &amp; SI'!$B$4:$Z$494,'HH &amp; SI'!Y$503,0),0)</f>
        <v>0</v>
      </c>
      <c r="AR362" s="263">
        <f t="shared" si="522"/>
        <v>2063.3963910682937</v>
      </c>
      <c r="AS362" s="346"/>
      <c r="AT362" s="323">
        <f>IFERROR(VLOOKUP(A362,'Afton FY16 Final'!$A$5:$BV$572,'Afton FY16 Final'!$BV$587,0),0)</f>
        <v>2247.5201294109729</v>
      </c>
      <c r="AU362" s="346"/>
      <c r="AV362" s="444">
        <v>0</v>
      </c>
      <c r="AW362" s="262">
        <f>IFERROR(VLOOKUP($A362,'HH &amp; SI'!$B$4:$EY$503,'HH &amp; SI'!EX$503,0),0)</f>
        <v>0</v>
      </c>
      <c r="AX362" s="262">
        <f>IFERROR(VLOOKUP($A362,'HH &amp; SI'!$B$4:$EY$503,'HH &amp; SI'!EY$503,0),0)</f>
        <v>2063.3963910682937</v>
      </c>
      <c r="AY362" s="262">
        <f>AX362/$AX$582*'update_State Admin 1004(b)'!$B$30*0.01</f>
        <v>19.748185741512529</v>
      </c>
      <c r="AZ362" s="263">
        <f t="shared" si="523"/>
        <v>2043.6482053267812</v>
      </c>
      <c r="BA362" s="261">
        <f t="shared" si="524"/>
        <v>20.436482053267813</v>
      </c>
      <c r="BB362" s="262">
        <f t="shared" si="525"/>
        <v>2023.2117232735134</v>
      </c>
      <c r="BC362" s="341">
        <f t="shared" si="499"/>
        <v>0.9001973761203883</v>
      </c>
      <c r="BD362" s="346"/>
      <c r="BE362" s="376" t="str">
        <f>'Original Title I &amp; II'!AZ360</f>
        <v/>
      </c>
      <c r="BF362" s="243" t="str">
        <f t="shared" si="526"/>
        <v/>
      </c>
      <c r="BG362" s="263">
        <f t="shared" si="503"/>
        <v>2023.2117232735134</v>
      </c>
      <c r="BI362" s="31">
        <f>IFERROR(VLOOKUP(A362,'Title II Hold Harmless'!A$1:B$439,2, FALSE),"")</f>
        <v>1461</v>
      </c>
      <c r="BJ362" s="31">
        <f t="shared" si="527"/>
        <v>1615.5446696998756</v>
      </c>
      <c r="BK362" s="31">
        <f t="shared" si="528"/>
        <v>1617.1075344616588</v>
      </c>
      <c r="BL362" s="31" t="str">
        <f t="shared" si="529"/>
        <v/>
      </c>
      <c r="BM362" s="31">
        <f t="shared" si="530"/>
        <v>1617.1075344616588</v>
      </c>
      <c r="BN362" s="200"/>
      <c r="BP362" s="295" t="s">
        <v>1447</v>
      </c>
      <c r="BQ362" s="296" t="str">
        <f t="shared" si="480"/>
        <v>Y</v>
      </c>
      <c r="BR362" s="297" t="s">
        <v>1448</v>
      </c>
      <c r="BT362" s="295" t="str">
        <f t="shared" si="481"/>
        <v>N</v>
      </c>
      <c r="BU362" s="296" t="str">
        <f t="shared" si="531"/>
        <v>N</v>
      </c>
      <c r="BV362" s="296" t="str">
        <f t="shared" si="532"/>
        <v>N</v>
      </c>
      <c r="BW362" s="297" t="str">
        <f t="shared" si="482"/>
        <v>N</v>
      </c>
      <c r="BY362" s="352">
        <f t="shared" si="483"/>
        <v>0</v>
      </c>
      <c r="BZ362" s="353">
        <f t="shared" si="484"/>
        <v>0.9</v>
      </c>
      <c r="CA362" s="353">
        <f t="shared" si="485"/>
        <v>0</v>
      </c>
      <c r="CB362" s="354">
        <f t="shared" si="486"/>
        <v>0.9</v>
      </c>
      <c r="CD362" s="311">
        <f t="shared" si="487"/>
        <v>355</v>
      </c>
    </row>
    <row r="363" spans="1:82" outlineLevel="1" x14ac:dyDescent="0.3">
      <c r="A363" s="1">
        <v>80303000</v>
      </c>
      <c r="B363" s="47">
        <f>VLOOKUP(C363,'NCES ID'!$A$2:$B$3136,2,FALSE)</f>
        <v>403660</v>
      </c>
      <c r="C363" s="47">
        <f>VLOOKUP(A363,'State ID'!$A$2:$B$713,2,FALSE)</f>
        <v>4371</v>
      </c>
      <c r="D363" s="147" t="s">
        <v>191</v>
      </c>
      <c r="E363" s="47" t="s">
        <v>5</v>
      </c>
      <c r="F363" s="382">
        <f>IFERROR(VLOOKUP($B363,'update_Formula counts'!$D$7:$R$234,'update_Formula counts'!F$5,0),0)</f>
        <v>28</v>
      </c>
      <c r="G363" s="382">
        <f>IFERROR(VLOOKUP($B363,'update_Formula counts'!$D$7:$R$234,'update_Formula counts'!G$5,0),0)</f>
        <v>0</v>
      </c>
      <c r="H363" s="382">
        <f>IFERROR(VLOOKUP($B363,'update_Formula counts'!$D$7:$R$234,'update_Formula counts'!H$5,0),0)</f>
        <v>0</v>
      </c>
      <c r="I363" s="382">
        <f>IFERROR(VLOOKUP($B363,'update_Formula counts'!$D$7:$R$234,'update_Formula counts'!I$5,0),0)</f>
        <v>1</v>
      </c>
      <c r="J363" s="382">
        <f>IFERROR(VLOOKUP($B363,'update_Formula counts'!$D$7:$R$234,'update_Formula counts'!J$5,0),0)</f>
        <v>0</v>
      </c>
      <c r="K363" s="382">
        <f t="shared" si="504"/>
        <v>28</v>
      </c>
      <c r="L363" s="444">
        <f>IFERROR(VLOOKUP($B363,'update_Formula counts'!$D$7:$R$234,'update_Formula counts'!L$5,0),0)</f>
        <v>105</v>
      </c>
      <c r="M363" s="445">
        <f>IFERROR(VLOOKUP($B363,'update_Formula counts'!$D$7:$R$234,'update_Formula counts'!K$5,0),0)</f>
        <v>29</v>
      </c>
      <c r="N363" s="446">
        <f>IFERROR(VLOOKUP($B363,'update_Formula counts'!$D$7:$R$234,'update_Formula counts'!M$5,0),0)</f>
        <v>0.27619047619047621</v>
      </c>
      <c r="O363" s="137">
        <f>VLOOKUP($C363,'Final SEA Counts'!$A$2:$F$709,5,FALSE)</f>
        <v>38</v>
      </c>
      <c r="P363" s="208">
        <f>VLOOKUP($C363,'Final SEA Counts'!$A$2:$F$709,6,FALSE)</f>
        <v>38</v>
      </c>
      <c r="Q363" s="748">
        <f t="shared" si="505"/>
        <v>-3.8065163500320116</v>
      </c>
      <c r="R363" s="444">
        <f t="shared" si="506"/>
        <v>90.092901684979964</v>
      </c>
      <c r="S363" s="445">
        <f t="shared" si="507"/>
        <v>25.193483649967988</v>
      </c>
      <c r="T363" s="229">
        <f t="shared" si="508"/>
        <v>0.27963894134589934</v>
      </c>
      <c r="U363" s="261">
        <f>VLOOKUP($B363,update_Allocation!$D$8:$Q$235,update_Allocation!K$239,0)</f>
        <v>21316.896092189701</v>
      </c>
      <c r="V363" s="262">
        <f>VLOOKUP($B363,update_Allocation!$D$8:$Q$235,update_Allocation!L$239,0)</f>
        <v>5199.1007041562016</v>
      </c>
      <c r="W363" s="262">
        <f>VLOOKUP($B363,update_Allocation!$D$8:$Q$235,update_Allocation!M$239,0)</f>
        <v>7915.9814457321045</v>
      </c>
      <c r="X363" s="262">
        <f>VLOOKUP($B363,update_Allocation!$D$8:$Q$235,update_Allocation!N$239,0)</f>
        <v>7272.4264715040517</v>
      </c>
      <c r="Y363" s="263">
        <f>VLOOKUP($B363,update_Allocation!$D$8:$Q$235,update_Allocation!O$239,0)</f>
        <v>41704.404713582058</v>
      </c>
      <c r="Z363" s="262">
        <f t="shared" si="509"/>
        <v>18537.699666288514</v>
      </c>
      <c r="AA363" s="262">
        <f t="shared" si="510"/>
        <v>4521.2664626042451</v>
      </c>
      <c r="AB363" s="262">
        <f t="shared" si="511"/>
        <v>6883.9331003100242</v>
      </c>
      <c r="AC363" s="263">
        <f t="shared" si="512"/>
        <v>6324.281789941404</v>
      </c>
      <c r="AD363" s="262">
        <f t="shared" si="513"/>
        <v>18537.699666288514</v>
      </c>
      <c r="AE363" s="262">
        <f t="shared" si="514"/>
        <v>4521.2664626042451</v>
      </c>
      <c r="AF363" s="262">
        <f t="shared" si="515"/>
        <v>6883.9331003100242</v>
      </c>
      <c r="AG363" s="263">
        <f t="shared" si="516"/>
        <v>6324.281789941404</v>
      </c>
      <c r="AH363" s="262">
        <f t="shared" si="517"/>
        <v>19598.590821413673</v>
      </c>
      <c r="AI363" s="262">
        <f t="shared" si="518"/>
        <v>4778.7141304760025</v>
      </c>
      <c r="AJ363" s="262">
        <f t="shared" si="519"/>
        <v>7390.512938422331</v>
      </c>
      <c r="AK363" s="262">
        <f t="shared" si="520"/>
        <v>6808.2261478139562</v>
      </c>
      <c r="AL363" s="263">
        <f t="shared" si="521"/>
        <v>38576.044038125961</v>
      </c>
      <c r="AM363" s="346"/>
      <c r="AN363" s="261">
        <f>IFERROR(VLOOKUP($A363,'HH &amp; SI'!$B$4:$Z$494,'HH &amp; SI'!V$503,0),0)</f>
        <v>19331.253321876429</v>
      </c>
      <c r="AO363" s="262">
        <f>IFERROR(VLOOKUP($A363,'HH &amp; SI'!$B$4:$Z$494,'HH &amp; SI'!W$503,0),0)</f>
        <v>4621.3207584522061</v>
      </c>
      <c r="AP363" s="262">
        <f>IFERROR(VLOOKUP($A363,'HH &amp; SI'!$B$4:$Z$494,'HH &amp; SI'!X$503,0),0)</f>
        <v>7323.2991087640539</v>
      </c>
      <c r="AQ363" s="262">
        <f>IFERROR(VLOOKUP($A363,'HH &amp; SI'!$B$4:$Z$494,'HH &amp; SI'!Y$503,0),0)</f>
        <v>6733.211751098137</v>
      </c>
      <c r="AR363" s="263">
        <f t="shared" ref="AR363:AR381" si="533">SUM(AN363:AQ363)</f>
        <v>38009.084940190827</v>
      </c>
      <c r="AS363" s="346"/>
      <c r="AT363" s="323">
        <f>IFERROR(VLOOKUP(A363,'Afton FY16 Final'!$A$5:$BV$572,'Afton FY16 Final'!$BV$587,0),0)</f>
        <v>40383.024950966166</v>
      </c>
      <c r="AU363" s="346"/>
      <c r="AV363" s="444">
        <v>0</v>
      </c>
      <c r="AW363" s="262">
        <f>IFERROR(VLOOKUP($A363,'HH &amp; SI'!$B$4:$EY$503,'HH &amp; SI'!EX$503,0),0)</f>
        <v>0</v>
      </c>
      <c r="AX363" s="262">
        <f>IFERROR(VLOOKUP($A363,'HH &amp; SI'!$B$4:$EY$503,'HH &amp; SI'!EY$503,0),0)</f>
        <v>38009.084940190827</v>
      </c>
      <c r="AY363" s="262">
        <f>AX363/$AX$582*'update_State Admin 1004(b)'!$B$30*0.01</f>
        <v>363.77424740730379</v>
      </c>
      <c r="AZ363" s="263">
        <f t="shared" si="523"/>
        <v>37645.310692783525</v>
      </c>
      <c r="BA363" s="261">
        <f t="shared" si="524"/>
        <v>376.45310692783528</v>
      </c>
      <c r="BB363" s="262">
        <f t="shared" si="525"/>
        <v>37268.857585855687</v>
      </c>
      <c r="BC363" s="341">
        <f t="shared" si="499"/>
        <v>0.92288424730708607</v>
      </c>
      <c r="BD363" s="346"/>
      <c r="BE363" s="376" t="str">
        <f>'Original Title I &amp; II'!AZ361</f>
        <v/>
      </c>
      <c r="BF363" s="243" t="str">
        <f t="shared" si="526"/>
        <v/>
      </c>
      <c r="BG363" s="263">
        <f t="shared" si="503"/>
        <v>37268.857585855687</v>
      </c>
      <c r="BI363" s="31">
        <f>IFERROR(VLOOKUP(A363,'Title II Hold Harmless'!A$1:B$439,2, FALSE),"")</f>
        <v>2584</v>
      </c>
      <c r="BJ363" s="31">
        <f t="shared" si="527"/>
        <v>2986.3119240215174</v>
      </c>
      <c r="BK363" s="31">
        <f t="shared" si="528"/>
        <v>2989.2008578661093</v>
      </c>
      <c r="BL363" s="31" t="str">
        <f t="shared" si="529"/>
        <v/>
      </c>
      <c r="BM363" s="31">
        <f t="shared" si="530"/>
        <v>2989.2008578661093</v>
      </c>
      <c r="BN363" s="200"/>
      <c r="BP363" s="295" t="s">
        <v>1447</v>
      </c>
      <c r="BQ363" s="296" t="str">
        <f t="shared" si="480"/>
        <v>Y</v>
      </c>
      <c r="BR363" s="297" t="s">
        <v>1448</v>
      </c>
      <c r="BT363" s="295" t="str">
        <f t="shared" si="481"/>
        <v>Y</v>
      </c>
      <c r="BU363" s="296" t="str">
        <f t="shared" si="531"/>
        <v>Y</v>
      </c>
      <c r="BV363" s="296" t="str">
        <f t="shared" si="532"/>
        <v>Y</v>
      </c>
      <c r="BW363" s="297" t="str">
        <f t="shared" si="482"/>
        <v>Y</v>
      </c>
      <c r="BY363" s="352">
        <f t="shared" si="483"/>
        <v>0</v>
      </c>
      <c r="BZ363" s="353">
        <f t="shared" si="484"/>
        <v>0.9</v>
      </c>
      <c r="CA363" s="353">
        <f t="shared" si="485"/>
        <v>0</v>
      </c>
      <c r="CB363" s="354">
        <f t="shared" si="486"/>
        <v>0.9</v>
      </c>
      <c r="CD363" s="311">
        <f t="shared" si="487"/>
        <v>356</v>
      </c>
    </row>
    <row r="364" spans="1:82" outlineLevel="1" x14ac:dyDescent="0.3">
      <c r="A364" s="1">
        <v>80412000</v>
      </c>
      <c r="B364" s="47">
        <f>VLOOKUP(C364,'NCES ID'!$A$2:$B$3136,2,FALSE)</f>
        <v>408640</v>
      </c>
      <c r="C364" s="47">
        <f>VLOOKUP(A364,'State ID'!$A$2:$B$713,2,FALSE)</f>
        <v>4376</v>
      </c>
      <c r="D364" s="194" t="s">
        <v>419</v>
      </c>
      <c r="E364" s="47" t="s">
        <v>5</v>
      </c>
      <c r="F364" s="382">
        <f>IFERROR(VLOOKUP($B364,'update_Formula counts'!$D$7:$R$234,'update_Formula counts'!F$5,0),0)</f>
        <v>49</v>
      </c>
      <c r="G364" s="382">
        <f>IFERROR(VLOOKUP($B364,'update_Formula counts'!$D$7:$R$234,'update_Formula counts'!G$5,0),0)</f>
        <v>0</v>
      </c>
      <c r="H364" s="382">
        <f>IFERROR(VLOOKUP($B364,'update_Formula counts'!$D$7:$R$234,'update_Formula counts'!H$5,0),0)</f>
        <v>0</v>
      </c>
      <c r="I364" s="382">
        <f>IFERROR(VLOOKUP($B364,'update_Formula counts'!$D$7:$R$234,'update_Formula counts'!I$5,0),0)</f>
        <v>2</v>
      </c>
      <c r="J364" s="382">
        <f>IFERROR(VLOOKUP($B364,'update_Formula counts'!$D$7:$R$234,'update_Formula counts'!J$5,0),0)</f>
        <v>0</v>
      </c>
      <c r="K364" s="382">
        <f t="shared" si="504"/>
        <v>49</v>
      </c>
      <c r="L364" s="444">
        <f>IFERROR(VLOOKUP($B364,'update_Formula counts'!$D$7:$R$234,'update_Formula counts'!L$5,0),0)</f>
        <v>161</v>
      </c>
      <c r="M364" s="445">
        <f>IFERROR(VLOOKUP($B364,'update_Formula counts'!$D$7:$R$234,'update_Formula counts'!K$5,0),0)</f>
        <v>51</v>
      </c>
      <c r="N364" s="446">
        <f>IFERROR(VLOOKUP($B364,'update_Formula counts'!$D$7:$R$234,'update_Formula counts'!M$5,0),0)</f>
        <v>0.31677018633540371</v>
      </c>
      <c r="O364" s="137">
        <f>VLOOKUP($C364,'Final SEA Counts'!$A$2:$F$709,5,FALSE)</f>
        <v>105</v>
      </c>
      <c r="P364" s="208">
        <f>VLOOKUP($C364,'Final SEA Counts'!$A$2:$F$709,6,FALSE)</f>
        <v>96</v>
      </c>
      <c r="Q364" s="748">
        <f t="shared" si="505"/>
        <v>-6.6614036125560201</v>
      </c>
      <c r="R364" s="444">
        <f t="shared" si="506"/>
        <v>138.1424492503026</v>
      </c>
      <c r="S364" s="445">
        <f t="shared" si="507"/>
        <v>44.338596387443978</v>
      </c>
      <c r="T364" s="229">
        <f t="shared" si="508"/>
        <v>0.32096286570904892</v>
      </c>
      <c r="U364" s="261">
        <f>VLOOKUP($B364,update_Allocation!$D$8:$Q$235,update_Allocation!K$239,0)</f>
        <v>33719.453818554612</v>
      </c>
      <c r="V364" s="262">
        <f>VLOOKUP($B364,update_Allocation!$D$8:$Q$235,update_Allocation!L$239,0)</f>
        <v>8224.0320229379886</v>
      </c>
      <c r="W364" s="262">
        <f>VLOOKUP($B364,update_Allocation!$D$8:$Q$235,update_Allocation!M$239,0)</f>
        <v>19642.541430043879</v>
      </c>
      <c r="X364" s="262">
        <f>VLOOKUP($B364,update_Allocation!$D$8:$Q$235,update_Allocation!N$239,0)</f>
        <v>21006.707629153272</v>
      </c>
      <c r="Y364" s="263">
        <f>VLOOKUP($B364,update_Allocation!$D$8:$Q$235,update_Allocation!O$239,0)</f>
        <v>82592.734900689742</v>
      </c>
      <c r="Z364" s="262">
        <f t="shared" si="509"/>
        <v>29323.270381220005</v>
      </c>
      <c r="AA364" s="262">
        <f t="shared" si="510"/>
        <v>7151.821495392167</v>
      </c>
      <c r="AB364" s="262">
        <f t="shared" si="511"/>
        <v>17081.639472183542</v>
      </c>
      <c r="AC364" s="263">
        <f t="shared" si="512"/>
        <v>18267.952112852541</v>
      </c>
      <c r="AD364" s="262">
        <f t="shared" si="513"/>
        <v>29323.270381220005</v>
      </c>
      <c r="AE364" s="262">
        <f t="shared" si="514"/>
        <v>7151.821495392167</v>
      </c>
      <c r="AF364" s="262">
        <f t="shared" si="515"/>
        <v>17081.639472183542</v>
      </c>
      <c r="AG364" s="263">
        <f t="shared" si="516"/>
        <v>18267.952112852541</v>
      </c>
      <c r="AH364" s="262">
        <f t="shared" si="517"/>
        <v>30384.161536345164</v>
      </c>
      <c r="AI364" s="262">
        <f t="shared" si="518"/>
        <v>7409.2691632639244</v>
      </c>
      <c r="AJ364" s="262">
        <f t="shared" si="519"/>
        <v>17588.219310295848</v>
      </c>
      <c r="AK364" s="262">
        <f t="shared" si="520"/>
        <v>18751.896470725093</v>
      </c>
      <c r="AL364" s="263">
        <f t="shared" si="521"/>
        <v>74133.54648063003</v>
      </c>
      <c r="AM364" s="346"/>
      <c r="AN364" s="261">
        <f>IFERROR(VLOOKUP($A364,'HH &amp; SI'!$B$4:$Z$494,'HH &amp; SI'!V$503,0),0)</f>
        <v>29969.701851734215</v>
      </c>
      <c r="AO364" s="262">
        <f>IFERROR(VLOOKUP($A364,'HH &amp; SI'!$B$4:$Z$494,'HH &amp; SI'!W$503,0),0)</f>
        <v>7165.2349260198807</v>
      </c>
      <c r="AP364" s="262">
        <f>IFERROR(VLOOKUP($A364,'HH &amp; SI'!$B$4:$Z$494,'HH &amp; SI'!X$503,0),0)</f>
        <v>17428.261322729293</v>
      </c>
      <c r="AQ364" s="262">
        <f>IFERROR(VLOOKUP($A364,'HH &amp; SI'!$B$4:$Z$494,'HH &amp; SI'!Y$503,0),0)</f>
        <v>18545.284326755613</v>
      </c>
      <c r="AR364" s="263">
        <f t="shared" si="533"/>
        <v>73108.482427239011</v>
      </c>
      <c r="AS364" s="346"/>
      <c r="AT364" s="323">
        <f>IFERROR(VLOOKUP(A364,'Afton FY16 Final'!$A$5:$BV$572,'Afton FY16 Final'!$BV$587,0),0)</f>
        <v>74097.716823724215</v>
      </c>
      <c r="AU364" s="346"/>
      <c r="AV364" s="444">
        <v>0</v>
      </c>
      <c r="AW364" s="262">
        <f>IFERROR(VLOOKUP($A364,'HH &amp; SI'!$B$4:$EY$503,'HH &amp; SI'!EX$503,0),0)</f>
        <v>0</v>
      </c>
      <c r="AX364" s="262">
        <f>IFERROR(VLOOKUP($A364,'HH &amp; SI'!$B$4:$EY$503,'HH &amp; SI'!EY$503,0),0)</f>
        <v>73108.482427239011</v>
      </c>
      <c r="AY364" s="262">
        <f>AX364/$AX$582*'update_State Admin 1004(b)'!$B$30*0.01</f>
        <v>699.70069566019504</v>
      </c>
      <c r="AZ364" s="263">
        <f t="shared" si="523"/>
        <v>72408.781731578812</v>
      </c>
      <c r="BA364" s="261">
        <f t="shared" si="524"/>
        <v>724.08781731578813</v>
      </c>
      <c r="BB364" s="262">
        <f t="shared" si="525"/>
        <v>71684.693914263029</v>
      </c>
      <c r="BC364" s="341">
        <f t="shared" si="499"/>
        <v>0.96743458485769973</v>
      </c>
      <c r="BD364" s="346"/>
      <c r="BE364" s="376" t="str">
        <f>'Original Title I &amp; II'!AZ362</f>
        <v/>
      </c>
      <c r="BF364" s="243" t="str">
        <f t="shared" si="526"/>
        <v/>
      </c>
      <c r="BG364" s="263">
        <f t="shared" si="503"/>
        <v>71684.693914263029</v>
      </c>
      <c r="BI364" s="31">
        <f>IFERROR(VLOOKUP(A364,'Title II Hold Harmless'!A$1:B$439,2, FALSE),"")</f>
        <v>6882</v>
      </c>
      <c r="BJ364" s="31">
        <f t="shared" si="527"/>
        <v>7573.6087966330224</v>
      </c>
      <c r="BK364" s="31">
        <f t="shared" si="528"/>
        <v>7580.935444128314</v>
      </c>
      <c r="BL364" s="31" t="str">
        <f t="shared" si="529"/>
        <v/>
      </c>
      <c r="BM364" s="31">
        <f t="shared" si="530"/>
        <v>7580.935444128314</v>
      </c>
      <c r="BN364" s="200"/>
      <c r="BP364" s="295" t="s">
        <v>1447</v>
      </c>
      <c r="BQ364" s="296" t="str">
        <f t="shared" si="480"/>
        <v>Y</v>
      </c>
      <c r="BR364" s="297" t="s">
        <v>1448</v>
      </c>
      <c r="BT364" s="295" t="str">
        <f t="shared" si="481"/>
        <v>Y</v>
      </c>
      <c r="BU364" s="296" t="str">
        <f t="shared" si="531"/>
        <v>Y</v>
      </c>
      <c r="BV364" s="296" t="str">
        <f t="shared" si="532"/>
        <v>Y</v>
      </c>
      <c r="BW364" s="297" t="str">
        <f t="shared" si="482"/>
        <v>Y</v>
      </c>
      <c r="BY364" s="352">
        <f t="shared" si="483"/>
        <v>0</v>
      </c>
      <c r="BZ364" s="353">
        <f t="shared" si="484"/>
        <v>0</v>
      </c>
      <c r="CA364" s="353">
        <f t="shared" si="485"/>
        <v>0.95</v>
      </c>
      <c r="CB364" s="354">
        <f t="shared" si="486"/>
        <v>0.95</v>
      </c>
      <c r="CD364" s="311">
        <f t="shared" si="487"/>
        <v>357</v>
      </c>
    </row>
    <row r="365" spans="1:82" outlineLevel="1" x14ac:dyDescent="0.3">
      <c r="A365" s="1">
        <v>80208000</v>
      </c>
      <c r="B365" s="47">
        <f>VLOOKUP(C365,'NCES ID'!$A$2:$B$3136,2,FALSE)</f>
        <v>406120</v>
      </c>
      <c r="C365" s="47">
        <f>VLOOKUP(A365,'State ID'!$A$2:$B$713,2,FALSE)</f>
        <v>4369</v>
      </c>
      <c r="D365" s="147" t="s">
        <v>331</v>
      </c>
      <c r="E365" s="47" t="s">
        <v>5</v>
      </c>
      <c r="F365" s="382">
        <f>IFERROR(VLOOKUP($B365,'update_Formula counts'!$D$7:$R$234,'update_Formula counts'!F$5,0),0)</f>
        <v>101</v>
      </c>
      <c r="G365" s="382">
        <f>IFERROR(VLOOKUP($B365,'update_Formula counts'!$D$7:$R$234,'update_Formula counts'!G$5,0),0)</f>
        <v>0</v>
      </c>
      <c r="H365" s="382">
        <f>IFERROR(VLOOKUP($B365,'update_Formula counts'!$D$7:$R$234,'update_Formula counts'!H$5,0),0)</f>
        <v>0</v>
      </c>
      <c r="I365" s="382">
        <f>IFERROR(VLOOKUP($B365,'update_Formula counts'!$D$7:$R$234,'update_Formula counts'!I$5,0),0)</f>
        <v>4</v>
      </c>
      <c r="J365" s="382">
        <f>IFERROR(VLOOKUP($B365,'update_Formula counts'!$D$7:$R$234,'update_Formula counts'!J$5,0),0)</f>
        <v>0</v>
      </c>
      <c r="K365" s="382">
        <f t="shared" si="504"/>
        <v>101</v>
      </c>
      <c r="L365" s="444">
        <f>IFERROR(VLOOKUP($B365,'update_Formula counts'!$D$7:$R$234,'update_Formula counts'!L$5,0),0)</f>
        <v>292</v>
      </c>
      <c r="M365" s="445">
        <f>IFERROR(VLOOKUP($B365,'update_Formula counts'!$D$7:$R$234,'update_Formula counts'!K$5,0),0)</f>
        <v>105</v>
      </c>
      <c r="N365" s="446">
        <f>IFERROR(VLOOKUP($B365,'update_Formula counts'!$D$7:$R$234,'update_Formula counts'!M$5,0),0)</f>
        <v>0.3595890410958904</v>
      </c>
      <c r="O365" s="137">
        <f>VLOOKUP($C365,'Final SEA Counts'!$A$2:$F$709,5,FALSE)</f>
        <v>225</v>
      </c>
      <c r="P365" s="208">
        <f>VLOOKUP($C365,'Final SEA Counts'!$A$2:$F$709,6,FALSE)</f>
        <v>216</v>
      </c>
      <c r="Q365" s="748">
        <f t="shared" si="505"/>
        <v>-13.730648262615471</v>
      </c>
      <c r="R365" s="444">
        <f t="shared" si="506"/>
        <v>250.5440694477538</v>
      </c>
      <c r="S365" s="445">
        <f t="shared" si="507"/>
        <v>91.269351737384525</v>
      </c>
      <c r="T365" s="229">
        <f t="shared" si="508"/>
        <v>0.36428462241616544</v>
      </c>
      <c r="U365" s="261">
        <f>VLOOKUP($B365,update_Allocation!$D$8:$Q$235,update_Allocation!K$239,0)</f>
        <v>59666.472259456496</v>
      </c>
      <c r="V365" s="262">
        <f>VLOOKUP($B365,update_Allocation!$D$8:$Q$235,update_Allocation!L$239,0)</f>
        <v>13769.739440704601</v>
      </c>
      <c r="W365" s="262">
        <f>VLOOKUP($B365,update_Allocation!$D$8:$Q$235,update_Allocation!M$239,0)</f>
        <v>36651.114618099185</v>
      </c>
      <c r="X365" s="262">
        <f>VLOOKUP($B365,update_Allocation!$D$8:$Q$235,update_Allocation!N$239,0)</f>
        <v>41067.362965034365</v>
      </c>
      <c r="Y365" s="263">
        <f>VLOOKUP($B365,update_Allocation!$D$8:$Q$235,update_Allocation!O$239,0)</f>
        <v>151154.68928329466</v>
      </c>
      <c r="Z365" s="262">
        <f t="shared" si="509"/>
        <v>51887.43887052092</v>
      </c>
      <c r="AA365" s="262">
        <f t="shared" si="510"/>
        <v>11974.505722170026</v>
      </c>
      <c r="AB365" s="262">
        <f t="shared" si="511"/>
        <v>31872.7150653971</v>
      </c>
      <c r="AC365" s="263">
        <f t="shared" si="512"/>
        <v>35713.193770794685</v>
      </c>
      <c r="AD365" s="262">
        <f t="shared" si="513"/>
        <v>51887.43887052092</v>
      </c>
      <c r="AE365" s="262">
        <f t="shared" si="514"/>
        <v>11974.505722170026</v>
      </c>
      <c r="AF365" s="262">
        <f t="shared" si="515"/>
        <v>31872.7150653971</v>
      </c>
      <c r="AG365" s="263">
        <f t="shared" si="516"/>
        <v>35713.193770794685</v>
      </c>
      <c r="AH365" s="262">
        <f t="shared" si="517"/>
        <v>52948.330025646079</v>
      </c>
      <c r="AI365" s="262">
        <f t="shared" si="518"/>
        <v>12231.953390041783</v>
      </c>
      <c r="AJ365" s="262">
        <f t="shared" si="519"/>
        <v>32379.294903509406</v>
      </c>
      <c r="AK365" s="262">
        <f t="shared" si="520"/>
        <v>36197.13812866724</v>
      </c>
      <c r="AL365" s="263">
        <f t="shared" si="521"/>
        <v>133756.71644786448</v>
      </c>
      <c r="AM365" s="346"/>
      <c r="AN365" s="261">
        <f>IFERROR(VLOOKUP($A365,'HH &amp; SI'!$B$4:$Z$494,'HH &amp; SI'!V$503,0),0)</f>
        <v>52226.080437259203</v>
      </c>
      <c r="AO365" s="262">
        <f>IFERROR(VLOOKUP($A365,'HH &amp; SI'!$B$4:$Z$494,'HH &amp; SI'!W$503,0),0)</f>
        <v>11829.077566560618</v>
      </c>
      <c r="AP365" s="262">
        <f>IFERROR(VLOOKUP($A365,'HH &amp; SI'!$B$4:$Z$494,'HH &amp; SI'!X$503,0),0)</f>
        <v>32084.817858379683</v>
      </c>
      <c r="AQ365" s="262">
        <f>IFERROR(VLOOKUP($A365,'HH &amp; SI'!$B$4:$Z$494,'HH &amp; SI'!Y$503,0),0)</f>
        <v>35798.310824666332</v>
      </c>
      <c r="AR365" s="263">
        <f t="shared" si="533"/>
        <v>131938.28668686585</v>
      </c>
      <c r="AS365" s="346"/>
      <c r="AT365" s="323">
        <f>IFERROR(VLOOKUP(A365,'Afton FY16 Final'!$A$5:$BV$572,'Afton FY16 Final'!$BV$587,0),0)</f>
        <v>134366.39309036496</v>
      </c>
      <c r="AU365" s="346"/>
      <c r="AV365" s="444">
        <v>0</v>
      </c>
      <c r="AW365" s="262">
        <f>IFERROR(VLOOKUP($A365,'HH &amp; SI'!$B$4:$EY$503,'HH &amp; SI'!EX$503,0),0)</f>
        <v>0</v>
      </c>
      <c r="AX365" s="262">
        <f>IFERROR(VLOOKUP($A365,'HH &amp; SI'!$B$4:$EY$503,'HH &amp; SI'!EY$503,0),0)</f>
        <v>131938.28668686585</v>
      </c>
      <c r="AY365" s="262">
        <f>AX365/$AX$582*'update_State Admin 1004(b)'!$B$30*0.01</f>
        <v>1262.7441839035955</v>
      </c>
      <c r="AZ365" s="263">
        <f t="shared" si="523"/>
        <v>130675.54250296226</v>
      </c>
      <c r="BA365" s="261">
        <f t="shared" si="524"/>
        <v>1306.7554250296225</v>
      </c>
      <c r="BB365" s="262">
        <f t="shared" si="525"/>
        <v>129368.78707793263</v>
      </c>
      <c r="BC365" s="341">
        <f t="shared" si="499"/>
        <v>0.96280613107571245</v>
      </c>
      <c r="BD365" s="346"/>
      <c r="BE365" s="376" t="str">
        <f>'Original Title I &amp; II'!AZ363</f>
        <v/>
      </c>
      <c r="BF365" s="243" t="str">
        <f t="shared" si="526"/>
        <v/>
      </c>
      <c r="BG365" s="263">
        <f t="shared" si="503"/>
        <v>129368.78707793263</v>
      </c>
      <c r="BI365" s="31">
        <f>IFERROR(VLOOKUP(A365,'Title II Hold Harmless'!A$1:B$439,2, FALSE),"")</f>
        <v>16341</v>
      </c>
      <c r="BJ365" s="31">
        <f t="shared" si="527"/>
        <v>17737.435056209615</v>
      </c>
      <c r="BK365" s="31">
        <f t="shared" si="528"/>
        <v>17754.594106487635</v>
      </c>
      <c r="BL365" s="31" t="str">
        <f t="shared" si="529"/>
        <v/>
      </c>
      <c r="BM365" s="31">
        <f t="shared" si="530"/>
        <v>17754.594106487635</v>
      </c>
      <c r="BN365" s="200"/>
      <c r="BP365" s="295" t="s">
        <v>1447</v>
      </c>
      <c r="BQ365" s="296" t="str">
        <f t="shared" si="480"/>
        <v>Y</v>
      </c>
      <c r="BR365" s="297" t="s">
        <v>1448</v>
      </c>
      <c r="BT365" s="295" t="str">
        <f t="shared" si="481"/>
        <v>Y</v>
      </c>
      <c r="BU365" s="296" t="str">
        <f t="shared" si="531"/>
        <v>Y</v>
      </c>
      <c r="BV365" s="296" t="str">
        <f t="shared" si="532"/>
        <v>Y</v>
      </c>
      <c r="BW365" s="297" t="str">
        <f t="shared" si="482"/>
        <v>Y</v>
      </c>
      <c r="BY365" s="352">
        <f t="shared" si="483"/>
        <v>0</v>
      </c>
      <c r="BZ365" s="353">
        <f t="shared" si="484"/>
        <v>0</v>
      </c>
      <c r="CA365" s="353">
        <f t="shared" si="485"/>
        <v>0.95</v>
      </c>
      <c r="CB365" s="354">
        <f t="shared" si="486"/>
        <v>0.95</v>
      </c>
      <c r="CD365" s="311">
        <f t="shared" si="487"/>
        <v>358</v>
      </c>
    </row>
    <row r="366" spans="1:82" outlineLevel="1" x14ac:dyDescent="0.3">
      <c r="A366" s="1">
        <v>80209000</v>
      </c>
      <c r="B366" s="47">
        <f>VLOOKUP(C366,'NCES ID'!$A$2:$B$3136,2,FALSE)</f>
        <v>404410</v>
      </c>
      <c r="C366" s="47">
        <f>VLOOKUP(A366,'State ID'!$A$2:$B$713,2,FALSE)</f>
        <v>4374</v>
      </c>
      <c r="D366" s="147" t="s">
        <v>263</v>
      </c>
      <c r="E366" s="47" t="s">
        <v>5</v>
      </c>
      <c r="F366" s="382">
        <f>IFERROR(VLOOKUP($B366,'update_Formula counts'!$D$7:$R$234,'update_Formula counts'!F$5,0),0)</f>
        <v>160</v>
      </c>
      <c r="G366" s="382">
        <f>IFERROR(VLOOKUP($B366,'update_Formula counts'!$D$7:$R$234,'update_Formula counts'!G$5,0),0)</f>
        <v>0</v>
      </c>
      <c r="H366" s="382">
        <f>IFERROR(VLOOKUP($B366,'update_Formula counts'!$D$7:$R$234,'update_Formula counts'!H$5,0),0)</f>
        <v>0</v>
      </c>
      <c r="I366" s="382">
        <f>IFERROR(VLOOKUP($B366,'update_Formula counts'!$D$7:$R$234,'update_Formula counts'!I$5,0),0)</f>
        <v>7</v>
      </c>
      <c r="J366" s="382">
        <f>IFERROR(VLOOKUP($B366,'update_Formula counts'!$D$7:$R$234,'update_Formula counts'!J$5,0),0)</f>
        <v>0</v>
      </c>
      <c r="K366" s="382">
        <f t="shared" si="504"/>
        <v>160</v>
      </c>
      <c r="L366" s="444">
        <f>IFERROR(VLOOKUP($B366,'update_Formula counts'!$D$7:$R$234,'update_Formula counts'!L$5,0),0)</f>
        <v>610</v>
      </c>
      <c r="M366" s="445">
        <f>IFERROR(VLOOKUP($B366,'update_Formula counts'!$D$7:$R$234,'update_Formula counts'!K$5,0),0)</f>
        <v>167</v>
      </c>
      <c r="N366" s="446">
        <f>IFERROR(VLOOKUP($B366,'update_Formula counts'!$D$7:$R$234,'update_Formula counts'!M$5,0),0)</f>
        <v>0.27377049180327867</v>
      </c>
      <c r="O366" s="137">
        <f>VLOOKUP($C366,'Final SEA Counts'!$A$2:$F$709,5,FALSE)</f>
        <v>367</v>
      </c>
      <c r="P366" s="208">
        <f>VLOOKUP($C366,'Final SEA Counts'!$A$2:$F$709,6,FALSE)</f>
        <v>346</v>
      </c>
      <c r="Q366" s="748">
        <f t="shared" si="505"/>
        <v>-21.751522000182923</v>
      </c>
      <c r="R366" s="444">
        <f t="shared" si="506"/>
        <v>523.39685740797881</v>
      </c>
      <c r="S366" s="445">
        <f t="shared" si="507"/>
        <v>145.24847799981708</v>
      </c>
      <c r="T366" s="229">
        <f t="shared" si="508"/>
        <v>0.27751117711927414</v>
      </c>
      <c r="U366" s="261">
        <f>VLOOKUP($B366,update_Allocation!$D$8:$Q$235,update_Allocation!K$239,0)</f>
        <v>98520.827562676437</v>
      </c>
      <c r="V366" s="262">
        <f>VLOOKUP($B366,update_Allocation!$D$8:$Q$235,update_Allocation!L$239,0)</f>
        <v>21381.837882123957</v>
      </c>
      <c r="W366" s="262">
        <f>VLOOKUP($B366,update_Allocation!$D$8:$Q$235,update_Allocation!M$239,0)</f>
        <v>60295.610887983232</v>
      </c>
      <c r="X366" s="262">
        <f>VLOOKUP($B366,update_Allocation!$D$8:$Q$235,update_Allocation!N$239,0)</f>
        <v>63354.203232199317</v>
      </c>
      <c r="Y366" s="263">
        <f>VLOOKUP($B366,update_Allocation!$D$8:$Q$235,update_Allocation!O$239,0)</f>
        <v>243552.47956498293</v>
      </c>
      <c r="Z366" s="262">
        <f t="shared" si="509"/>
        <v>85676.146486460158</v>
      </c>
      <c r="AA366" s="262">
        <f t="shared" si="510"/>
        <v>18594.174651782931</v>
      </c>
      <c r="AB366" s="262">
        <f t="shared" si="511"/>
        <v>52434.553370382957</v>
      </c>
      <c r="AC366" s="263">
        <f t="shared" si="512"/>
        <v>55094.380862785154</v>
      </c>
      <c r="AD366" s="262">
        <f t="shared" si="513"/>
        <v>85676.146486460158</v>
      </c>
      <c r="AE366" s="262">
        <f t="shared" si="514"/>
        <v>18594.174651782931</v>
      </c>
      <c r="AF366" s="262">
        <f t="shared" si="515"/>
        <v>52434.553370382957</v>
      </c>
      <c r="AG366" s="263">
        <f t="shared" si="516"/>
        <v>55094.380862785154</v>
      </c>
      <c r="AH366" s="262">
        <f t="shared" si="517"/>
        <v>86737.037641585324</v>
      </c>
      <c r="AI366" s="262">
        <f t="shared" si="518"/>
        <v>18851.622319654689</v>
      </c>
      <c r="AJ366" s="262">
        <f t="shared" si="519"/>
        <v>52941.133208495266</v>
      </c>
      <c r="AK366" s="262">
        <f t="shared" si="520"/>
        <v>55578.325220657709</v>
      </c>
      <c r="AL366" s="263">
        <f t="shared" si="521"/>
        <v>214108.11839039301</v>
      </c>
      <c r="AM366" s="346"/>
      <c r="AN366" s="261">
        <f>IFERROR(VLOOKUP($A366,'HH &amp; SI'!$B$4:$Z$494,'HH &amp; SI'!V$503,0),0)</f>
        <v>85553.888150294675</v>
      </c>
      <c r="AO366" s="262">
        <f>IFERROR(VLOOKUP($A366,'HH &amp; SI'!$B$4:$Z$494,'HH &amp; SI'!W$503,0),0)</f>
        <v>18230.718803772277</v>
      </c>
      <c r="AP366" s="262">
        <f>IFERROR(VLOOKUP($A366,'HH &amp; SI'!$B$4:$Z$494,'HH &amp; SI'!X$503,0),0)</f>
        <v>52459.654272047919</v>
      </c>
      <c r="AQ366" s="262">
        <f>IFERROR(VLOOKUP($A366,'HH &amp; SI'!$B$4:$Z$494,'HH &amp; SI'!Y$503,0),0)</f>
        <v>54965.952122821953</v>
      </c>
      <c r="AR366" s="263">
        <f t="shared" si="533"/>
        <v>211210.21334893681</v>
      </c>
      <c r="AS366" s="346"/>
      <c r="AT366" s="323">
        <f>IFERROR(VLOOKUP(A366,'Afton FY16 Final'!$A$5:$BV$572,'Afton FY16 Final'!$BV$587,0),0)</f>
        <v>227263.42226681957</v>
      </c>
      <c r="AU366" s="346"/>
      <c r="AV366" s="444">
        <v>0</v>
      </c>
      <c r="AW366" s="262">
        <f>IFERROR(VLOOKUP($A366,'HH &amp; SI'!$B$4:$EY$503,'HH &amp; SI'!EX$503,0),0)</f>
        <v>0</v>
      </c>
      <c r="AX366" s="262">
        <f>IFERROR(VLOOKUP($A366,'HH &amp; SI'!$B$4:$EY$503,'HH &amp; SI'!EY$503,0),0)</f>
        <v>211210.21334893681</v>
      </c>
      <c r="AY366" s="262">
        <f>AX366/$AX$582*'update_State Admin 1004(b)'!$B$30*0.01</f>
        <v>2021.4334685153776</v>
      </c>
      <c r="AZ366" s="263">
        <f t="shared" si="523"/>
        <v>209188.77988042144</v>
      </c>
      <c r="BA366" s="261">
        <f t="shared" si="524"/>
        <v>2091.8877988042145</v>
      </c>
      <c r="BB366" s="262">
        <f t="shared" si="525"/>
        <v>207096.89208161723</v>
      </c>
      <c r="BC366" s="341">
        <f t="shared" si="499"/>
        <v>0.91126363413851197</v>
      </c>
      <c r="BD366" s="346"/>
      <c r="BE366" s="376" t="str">
        <f>'Original Title I &amp; II'!AZ364</f>
        <v/>
      </c>
      <c r="BF366" s="243" t="str">
        <f t="shared" si="526"/>
        <v/>
      </c>
      <c r="BG366" s="263">
        <f t="shared" si="503"/>
        <v>207096.89208161723</v>
      </c>
      <c r="BI366" s="31">
        <f>IFERROR(VLOOKUP(A366,'Title II Hold Harmless'!A$1:B$439,2, FALSE),"")</f>
        <v>11874</v>
      </c>
      <c r="BJ366" s="31">
        <f t="shared" si="527"/>
        <v>14196.661831292353</v>
      </c>
      <c r="BK366" s="31">
        <f t="shared" si="528"/>
        <v>14210.395566377005</v>
      </c>
      <c r="BL366" s="31" t="str">
        <f t="shared" si="529"/>
        <v/>
      </c>
      <c r="BM366" s="31">
        <f t="shared" si="530"/>
        <v>14210.395566377005</v>
      </c>
      <c r="BN366" s="200"/>
      <c r="BP366" s="295" t="s">
        <v>1447</v>
      </c>
      <c r="BQ366" s="296" t="str">
        <f t="shared" si="480"/>
        <v>Y</v>
      </c>
      <c r="BR366" s="297" t="s">
        <v>1448</v>
      </c>
      <c r="BT366" s="295" t="str">
        <f t="shared" si="481"/>
        <v>Y</v>
      </c>
      <c r="BU366" s="296" t="str">
        <f t="shared" si="531"/>
        <v>Y</v>
      </c>
      <c r="BV366" s="296" t="str">
        <f t="shared" si="532"/>
        <v>Y</v>
      </c>
      <c r="BW366" s="297" t="str">
        <f t="shared" si="482"/>
        <v>Y</v>
      </c>
      <c r="BY366" s="352">
        <f t="shared" si="483"/>
        <v>0</v>
      </c>
      <c r="BZ366" s="353">
        <f t="shared" si="484"/>
        <v>0.9</v>
      </c>
      <c r="CA366" s="353">
        <f t="shared" si="485"/>
        <v>0</v>
      </c>
      <c r="CB366" s="354">
        <f t="shared" si="486"/>
        <v>0.9</v>
      </c>
      <c r="CD366" s="311">
        <f t="shared" si="487"/>
        <v>359</v>
      </c>
    </row>
    <row r="367" spans="1:82" outlineLevel="1" x14ac:dyDescent="0.3">
      <c r="A367" s="1">
        <v>80416000</v>
      </c>
      <c r="B367" s="47">
        <f>VLOOKUP(C367,'NCES ID'!$A$2:$B$3136,2,FALSE)</f>
        <v>405190</v>
      </c>
      <c r="C367" s="47">
        <f>VLOOKUP(A367,'State ID'!$A$2:$B$713,2,FALSE)</f>
        <v>4379</v>
      </c>
      <c r="D367" s="147" t="s">
        <v>291</v>
      </c>
      <c r="E367" s="47" t="s">
        <v>5</v>
      </c>
      <c r="F367" s="382">
        <f>IFERROR(VLOOKUP($B367,'update_Formula counts'!$D$7:$R$234,'update_Formula counts'!F$5,0),0)</f>
        <v>532</v>
      </c>
      <c r="G367" s="382">
        <f>IFERROR(VLOOKUP($B367,'update_Formula counts'!$D$7:$R$234,'update_Formula counts'!G$5,0),0)</f>
        <v>0</v>
      </c>
      <c r="H367" s="382">
        <f>IFERROR(VLOOKUP($B367,'update_Formula counts'!$D$7:$R$234,'update_Formula counts'!H$5,0),0)</f>
        <v>0</v>
      </c>
      <c r="I367" s="382">
        <f>IFERROR(VLOOKUP($B367,'update_Formula counts'!$D$7:$R$234,'update_Formula counts'!I$5,0),0)</f>
        <v>23</v>
      </c>
      <c r="J367" s="382">
        <f>IFERROR(VLOOKUP($B367,'update_Formula counts'!$D$7:$R$234,'update_Formula counts'!J$5,0),0)</f>
        <v>0</v>
      </c>
      <c r="K367" s="382">
        <f t="shared" si="504"/>
        <v>532</v>
      </c>
      <c r="L367" s="444">
        <f>IFERROR(VLOOKUP($B367,'update_Formula counts'!$D$7:$R$234,'update_Formula counts'!L$5,0),0)</f>
        <v>2045</v>
      </c>
      <c r="M367" s="445">
        <f>IFERROR(VLOOKUP($B367,'update_Formula counts'!$D$7:$R$234,'update_Formula counts'!K$5,0),0)</f>
        <v>555</v>
      </c>
      <c r="N367" s="446">
        <f>IFERROR(VLOOKUP($B367,'update_Formula counts'!$D$7:$R$234,'update_Formula counts'!M$5,0),0)</f>
        <v>0.27139364303178481</v>
      </c>
      <c r="O367" s="137">
        <f>VLOOKUP($C367,'Final SEA Counts'!$A$2:$F$709,5,FALSE)</f>
        <v>1302</v>
      </c>
      <c r="P367" s="208">
        <f>VLOOKUP($C367,'Final SEA Counts'!$A$2:$F$709,6,FALSE)</f>
        <v>811</v>
      </c>
      <c r="Q367" s="748">
        <f t="shared" si="505"/>
        <v>-72.323810650608223</v>
      </c>
      <c r="R367" s="444">
        <f t="shared" si="506"/>
        <v>1754.6665137693715</v>
      </c>
      <c r="S367" s="445">
        <f t="shared" si="507"/>
        <v>482.67618934939179</v>
      </c>
      <c r="T367" s="229">
        <f t="shared" si="508"/>
        <v>0.27508143887268222</v>
      </c>
      <c r="U367" s="261">
        <f>VLOOKUP($B367,update_Allocation!$D$8:$Q$235,update_Allocation!K$239,0)</f>
        <v>262453.97426217655</v>
      </c>
      <c r="V367" s="262">
        <f>VLOOKUP($B367,update_Allocation!$D$8:$Q$235,update_Allocation!L$239,0)</f>
        <v>62518.937138528046</v>
      </c>
      <c r="W367" s="262">
        <f>VLOOKUP($B367,update_Allocation!$D$8:$Q$235,update_Allocation!M$239,0)</f>
        <v>115518.88724705843</v>
      </c>
      <c r="X367" s="262">
        <f>VLOOKUP($B367,update_Allocation!$D$8:$Q$235,update_Allocation!N$239,0)</f>
        <v>91614.397263036793</v>
      </c>
      <c r="Y367" s="263">
        <f>VLOOKUP($B367,update_Allocation!$D$8:$Q$235,update_Allocation!O$239,0)</f>
        <v>532106.19591079978</v>
      </c>
      <c r="Z367" s="262">
        <f t="shared" si="509"/>
        <v>228236.46229052264</v>
      </c>
      <c r="AA367" s="262">
        <f t="shared" si="510"/>
        <v>54368.012825011341</v>
      </c>
      <c r="AB367" s="262">
        <f t="shared" si="511"/>
        <v>100458.0792770493</v>
      </c>
      <c r="AC367" s="263">
        <f t="shared" si="512"/>
        <v>79670.144012779987</v>
      </c>
      <c r="AD367" s="262">
        <f t="shared" si="513"/>
        <v>228236.46229052264</v>
      </c>
      <c r="AE367" s="262">
        <f t="shared" si="514"/>
        <v>54368.012825011341</v>
      </c>
      <c r="AF367" s="262">
        <f t="shared" si="515"/>
        <v>100458.0792770493</v>
      </c>
      <c r="AG367" s="263">
        <f t="shared" si="516"/>
        <v>79670.144012779987</v>
      </c>
      <c r="AH367" s="262">
        <f t="shared" si="517"/>
        <v>229297.35344564781</v>
      </c>
      <c r="AI367" s="262">
        <f t="shared" si="518"/>
        <v>54625.460492883096</v>
      </c>
      <c r="AJ367" s="262">
        <f t="shared" si="519"/>
        <v>100964.6591151616</v>
      </c>
      <c r="AK367" s="262">
        <f t="shared" si="520"/>
        <v>80154.088370652535</v>
      </c>
      <c r="AL367" s="263">
        <f t="shared" si="521"/>
        <v>465041.56142434501</v>
      </c>
      <c r="AM367" s="346"/>
      <c r="AN367" s="261">
        <f>IFERROR(VLOOKUP($A367,'HH &amp; SI'!$B$4:$Z$494,'HH &amp; SI'!V$503,0),0)</f>
        <v>226169.58871606889</v>
      </c>
      <c r="AO367" s="262">
        <f>IFERROR(VLOOKUP($A367,'HH &amp; SI'!$B$4:$Z$494,'HH &amp; SI'!W$503,0),0)</f>
        <v>52826.297540134728</v>
      </c>
      <c r="AP367" s="262">
        <f>IFERROR(VLOOKUP($A367,'HH &amp; SI'!$B$4:$Z$494,'HH &amp; SI'!X$503,0),0)</f>
        <v>100046.42496066987</v>
      </c>
      <c r="AQ367" s="262">
        <f>IFERROR(VLOOKUP($A367,'HH &amp; SI'!$B$4:$Z$494,'HH &amp; SI'!Y$503,0),0)</f>
        <v>79270.934601537272</v>
      </c>
      <c r="AR367" s="263">
        <f t="shared" si="533"/>
        <v>458313.24581841077</v>
      </c>
      <c r="AS367" s="346"/>
      <c r="AT367" s="323">
        <f>IFERROR(VLOOKUP(A367,'Afton FY16 Final'!$A$5:$BV$572,'Afton FY16 Final'!$BV$587,0),0)</f>
        <v>430095.81558100757</v>
      </c>
      <c r="AU367" s="346"/>
      <c r="AV367" s="444">
        <v>0</v>
      </c>
      <c r="AW367" s="262">
        <f>IFERROR(VLOOKUP($A367,'HH &amp; SI'!$B$4:$EY$503,'HH &amp; SI'!EX$503,0),0)</f>
        <v>25671.546110713913</v>
      </c>
      <c r="AX367" s="262">
        <f>IFERROR(VLOOKUP($A367,'HH &amp; SI'!$B$4:$EY$503,'HH &amp; SI'!EY$503,0),0)</f>
        <v>432641.69970769685</v>
      </c>
      <c r="AY367" s="262">
        <f>AX367/$AX$582*'update_State Admin 1004(b)'!$B$30*0.01</f>
        <v>4140.6918623754163</v>
      </c>
      <c r="AZ367" s="263">
        <f t="shared" si="523"/>
        <v>428501.00784532144</v>
      </c>
      <c r="BA367" s="261">
        <f t="shared" si="524"/>
        <v>4285.0100784532142</v>
      </c>
      <c r="BB367" s="262">
        <f t="shared" si="525"/>
        <v>424215.99776686821</v>
      </c>
      <c r="BC367" s="341">
        <f t="shared" si="499"/>
        <v>0.98632905133895243</v>
      </c>
      <c r="BD367" s="346"/>
      <c r="BE367" s="376" t="str">
        <f>'Original Title I &amp; II'!AZ365</f>
        <v/>
      </c>
      <c r="BF367" s="243" t="str">
        <f t="shared" si="526"/>
        <v/>
      </c>
      <c r="BG367" s="263">
        <f t="shared" si="503"/>
        <v>424215.99776686821</v>
      </c>
      <c r="BI367" s="31">
        <f>IFERROR(VLOOKUP(A367,'Title II Hold Harmless'!A$1:B$439,2, FALSE),"")</f>
        <v>60593</v>
      </c>
      <c r="BJ367" s="31">
        <f t="shared" si="527"/>
        <v>68323.817144894841</v>
      </c>
      <c r="BK367" s="31">
        <f t="shared" si="528"/>
        <v>68389.913049396273</v>
      </c>
      <c r="BL367" s="31" t="str">
        <f t="shared" si="529"/>
        <v/>
      </c>
      <c r="BM367" s="31">
        <f t="shared" si="530"/>
        <v>68389.913049396273</v>
      </c>
      <c r="BN367" s="200"/>
      <c r="BP367" s="295" t="s">
        <v>1447</v>
      </c>
      <c r="BQ367" s="296" t="str">
        <f t="shared" si="480"/>
        <v>Y</v>
      </c>
      <c r="BR367" s="297" t="s">
        <v>1448</v>
      </c>
      <c r="BT367" s="295" t="str">
        <f t="shared" si="481"/>
        <v>Y</v>
      </c>
      <c r="BU367" s="296" t="str">
        <f t="shared" si="531"/>
        <v>Y</v>
      </c>
      <c r="BV367" s="296" t="str">
        <f t="shared" si="532"/>
        <v>Y</v>
      </c>
      <c r="BW367" s="297" t="str">
        <f t="shared" si="482"/>
        <v>Y</v>
      </c>
      <c r="BY367" s="352">
        <f t="shared" si="483"/>
        <v>0</v>
      </c>
      <c r="BZ367" s="353">
        <f t="shared" si="484"/>
        <v>0.9</v>
      </c>
      <c r="CA367" s="353">
        <f t="shared" si="485"/>
        <v>0</v>
      </c>
      <c r="CB367" s="354">
        <f t="shared" si="486"/>
        <v>0.9</v>
      </c>
      <c r="CD367" s="311">
        <f t="shared" si="487"/>
        <v>360</v>
      </c>
    </row>
    <row r="368" spans="1:82" outlineLevel="1" x14ac:dyDescent="0.3">
      <c r="A368" s="1">
        <v>80214000</v>
      </c>
      <c r="B368" s="47">
        <f>VLOOKUP(C368,'NCES ID'!$A$2:$B$3136,2,FALSE)</f>
        <v>400021</v>
      </c>
      <c r="C368" s="47">
        <f>VLOOKUP(A368,'State ID'!$A$2:$B$713,2,FALSE)</f>
        <v>4370</v>
      </c>
      <c r="D368" s="147" t="s">
        <v>110</v>
      </c>
      <c r="E368" s="47" t="s">
        <v>5</v>
      </c>
      <c r="F368" s="382">
        <f>IFERROR(VLOOKUP($B368,'update_Formula counts'!$D$7:$R$234,'update_Formula counts'!F$5,0),0)</f>
        <v>1062</v>
      </c>
      <c r="G368" s="382">
        <f>IFERROR(VLOOKUP($B368,'update_Formula counts'!$D$7:$R$234,'update_Formula counts'!G$5,0),0)</f>
        <v>0</v>
      </c>
      <c r="H368" s="382">
        <f>IFERROR(VLOOKUP($B368,'update_Formula counts'!$D$7:$R$234,'update_Formula counts'!H$5,0),0)</f>
        <v>0</v>
      </c>
      <c r="I368" s="382">
        <f>IFERROR(VLOOKUP($B368,'update_Formula counts'!$D$7:$R$234,'update_Formula counts'!I$5,0),0)</f>
        <v>45</v>
      </c>
      <c r="J368" s="382">
        <f>IFERROR(VLOOKUP($B368,'update_Formula counts'!$D$7:$R$234,'update_Formula counts'!J$5,0),0)</f>
        <v>0</v>
      </c>
      <c r="K368" s="382">
        <f t="shared" si="504"/>
        <v>1062</v>
      </c>
      <c r="L368" s="444">
        <f>IFERROR(VLOOKUP($B368,'update_Formula counts'!$D$7:$R$234,'update_Formula counts'!L$5,0),0)</f>
        <v>2478</v>
      </c>
      <c r="M368" s="445">
        <f>IFERROR(VLOOKUP($B368,'update_Formula counts'!$D$7:$R$234,'update_Formula counts'!K$5,0),0)</f>
        <v>1107</v>
      </c>
      <c r="N368" s="446">
        <f>IFERROR(VLOOKUP($B368,'update_Formula counts'!$D$7:$R$234,'update_Formula counts'!M$5,0),0)</f>
        <v>0.44673123486682809</v>
      </c>
      <c r="O368" s="137">
        <f>VLOOKUP($C368,'Final SEA Counts'!$A$2:$F$709,5,FALSE)</f>
        <v>510</v>
      </c>
      <c r="P368" s="208">
        <f>VLOOKUP($C368,'Final SEA Counts'!$A$2:$F$709,6,FALSE)</f>
        <v>442</v>
      </c>
      <c r="Q368" s="748">
        <f t="shared" si="505"/>
        <v>-144.37572727621415</v>
      </c>
      <c r="R368" s="444">
        <f t="shared" si="506"/>
        <v>2126.192479765527</v>
      </c>
      <c r="S368" s="445">
        <f t="shared" si="507"/>
        <v>962.62427272378591</v>
      </c>
      <c r="T368" s="229">
        <f t="shared" si="508"/>
        <v>0.45274559189012958</v>
      </c>
      <c r="U368" s="261">
        <f>VLOOKUP($B368,update_Allocation!$D$8:$Q$235,update_Allocation!K$239,0)</f>
        <v>523489.27839320619</v>
      </c>
      <c r="V368" s="262">
        <f>VLOOKUP($B368,update_Allocation!$D$8:$Q$235,update_Allocation!L$239,0)</f>
        <v>124699.93407630728</v>
      </c>
      <c r="W368" s="262">
        <f>VLOOKUP($B368,update_Allocation!$D$8:$Q$235,update_Allocation!M$239,0)</f>
        <v>350556.78496773995</v>
      </c>
      <c r="X368" s="262">
        <f>VLOOKUP($B368,update_Allocation!$D$8:$Q$235,update_Allocation!N$239,0)</f>
        <v>341527.18082554662</v>
      </c>
      <c r="Y368" s="263">
        <f>VLOOKUP($B368,update_Allocation!$D$8:$Q$235,update_Allocation!O$239,0)</f>
        <v>1340273.1782628</v>
      </c>
      <c r="Z368" s="262">
        <f t="shared" si="509"/>
        <v>455239.21397406945</v>
      </c>
      <c r="AA368" s="262">
        <f t="shared" si="510"/>
        <v>108442.14449961721</v>
      </c>
      <c r="AB368" s="262">
        <f t="shared" si="511"/>
        <v>304852.84384777944</v>
      </c>
      <c r="AC368" s="263">
        <f t="shared" si="512"/>
        <v>297000.47692862072</v>
      </c>
      <c r="AD368" s="262">
        <f t="shared" si="513"/>
        <v>455239.21397406945</v>
      </c>
      <c r="AE368" s="262">
        <f t="shared" si="514"/>
        <v>108442.14449961721</v>
      </c>
      <c r="AF368" s="262">
        <f t="shared" si="515"/>
        <v>304852.84384777944</v>
      </c>
      <c r="AG368" s="263">
        <f t="shared" si="516"/>
        <v>297000.47692862072</v>
      </c>
      <c r="AH368" s="262">
        <f t="shared" si="517"/>
        <v>456300.10512919462</v>
      </c>
      <c r="AI368" s="262">
        <f t="shared" si="518"/>
        <v>108699.59216748897</v>
      </c>
      <c r="AJ368" s="262">
        <f t="shared" si="519"/>
        <v>305359.42368589173</v>
      </c>
      <c r="AK368" s="262">
        <f t="shared" si="520"/>
        <v>297484.42128649325</v>
      </c>
      <c r="AL368" s="263">
        <f t="shared" si="521"/>
        <v>1167843.5422690685</v>
      </c>
      <c r="AM368" s="346"/>
      <c r="AN368" s="261">
        <f>IFERROR(VLOOKUP($A368,'HH &amp; SI'!$B$4:$Z$494,'HH &amp; SI'!V$503,0),0)</f>
        <v>450075.87552741449</v>
      </c>
      <c r="AO368" s="262">
        <f>IFERROR(VLOOKUP($A368,'HH &amp; SI'!$B$4:$Z$494,'HH &amp; SI'!W$503,0),0)</f>
        <v>105119.42501755561</v>
      </c>
      <c r="AP368" s="262">
        <f>IFERROR(VLOOKUP($A368,'HH &amp; SI'!$B$4:$Z$494,'HH &amp; SI'!X$503,0),0)</f>
        <v>302582.29895054764</v>
      </c>
      <c r="AQ368" s="262">
        <f>IFERROR(VLOOKUP($A368,'HH &amp; SI'!$B$4:$Z$494,'HH &amp; SI'!Y$503,0),0)</f>
        <v>294206.67846322851</v>
      </c>
      <c r="AR368" s="263">
        <f t="shared" si="533"/>
        <v>1151984.2779587463</v>
      </c>
      <c r="AS368" s="346"/>
      <c r="AT368" s="323">
        <f>IFERROR(VLOOKUP(A368,'Afton FY16 Final'!$A$5:$BV$572,'Afton FY16 Final'!$BV$587,0),0)</f>
        <v>984204.39222971292</v>
      </c>
      <c r="AU368" s="346"/>
      <c r="AV368" s="444">
        <v>0</v>
      </c>
      <c r="AW368" s="262">
        <f>IFERROR(VLOOKUP($A368,'HH &amp; SI'!$B$4:$EY$503,'HH &amp; SI'!EX$503,0),0)</f>
        <v>64526.211669109529</v>
      </c>
      <c r="AX368" s="262">
        <f>IFERROR(VLOOKUP($A368,'HH &amp; SI'!$B$4:$EY$503,'HH &amp; SI'!EY$503,0),0)</f>
        <v>1087458.0662896368</v>
      </c>
      <c r="AY368" s="262">
        <f>AX368/$AX$582*'update_State Admin 1004(b)'!$B$30*0.01</f>
        <v>10407.754890021521</v>
      </c>
      <c r="AZ368" s="263">
        <f t="shared" si="523"/>
        <v>1077050.3113996151</v>
      </c>
      <c r="BA368" s="261">
        <f t="shared" si="524"/>
        <v>10770.503113996152</v>
      </c>
      <c r="BB368" s="262">
        <f t="shared" si="525"/>
        <v>1066279.8082856189</v>
      </c>
      <c r="BC368" s="341">
        <f t="shared" si="499"/>
        <v>1.0833926537047496</v>
      </c>
      <c r="BD368" s="346"/>
      <c r="BE368" s="376" t="str">
        <f>'Original Title I &amp; II'!AZ366</f>
        <v/>
      </c>
      <c r="BF368" s="243" t="str">
        <f t="shared" si="526"/>
        <v/>
      </c>
      <c r="BG368" s="263">
        <f t="shared" si="503"/>
        <v>1066279.8082856189</v>
      </c>
      <c r="BI368" s="31">
        <f>IFERROR(VLOOKUP(A368,'Title II Hold Harmless'!A$1:B$439,2, FALSE),"")</f>
        <v>38690</v>
      </c>
      <c r="BJ368" s="31">
        <f t="shared" si="527"/>
        <v>53002.769864527218</v>
      </c>
      <c r="BK368" s="31">
        <f t="shared" si="528"/>
        <v>53054.044312613856</v>
      </c>
      <c r="BL368" s="31" t="str">
        <f t="shared" si="529"/>
        <v/>
      </c>
      <c r="BM368" s="31">
        <f t="shared" si="530"/>
        <v>53054.044312613856</v>
      </c>
      <c r="BN368" s="200"/>
      <c r="BP368" s="295" t="s">
        <v>1447</v>
      </c>
      <c r="BQ368" s="296" t="str">
        <f t="shared" si="480"/>
        <v>Y</v>
      </c>
      <c r="BR368" s="297" t="s">
        <v>1448</v>
      </c>
      <c r="BT368" s="295" t="str">
        <f t="shared" si="481"/>
        <v>Y</v>
      </c>
      <c r="BU368" s="296" t="str">
        <f t="shared" si="531"/>
        <v>Y</v>
      </c>
      <c r="BV368" s="296" t="str">
        <f t="shared" si="532"/>
        <v>Y</v>
      </c>
      <c r="BW368" s="297" t="str">
        <f t="shared" si="482"/>
        <v>Y</v>
      </c>
      <c r="BY368" s="352">
        <f t="shared" si="483"/>
        <v>0</v>
      </c>
      <c r="BZ368" s="353">
        <f t="shared" si="484"/>
        <v>0</v>
      </c>
      <c r="CA368" s="353">
        <f t="shared" si="485"/>
        <v>0.95</v>
      </c>
      <c r="CB368" s="354">
        <f t="shared" si="486"/>
        <v>0.95</v>
      </c>
      <c r="CD368" s="311">
        <f t="shared" si="487"/>
        <v>361</v>
      </c>
    </row>
    <row r="369" spans="1:82" outlineLevel="1" x14ac:dyDescent="0.3">
      <c r="A369" s="1">
        <v>80502000</v>
      </c>
      <c r="B369" s="47">
        <f>VLOOKUP(C369,'NCES ID'!$A$2:$B$3136,2,FALSE)</f>
        <v>400082</v>
      </c>
      <c r="C369" s="47">
        <f>VLOOKUP(A369,'State ID'!$A$2:$B$713,2,FALSE)</f>
        <v>4381</v>
      </c>
      <c r="D369" s="147" t="s">
        <v>111</v>
      </c>
      <c r="E369" s="47" t="s">
        <v>5</v>
      </c>
      <c r="F369" s="382">
        <f>IFERROR(VLOOKUP($B369,'update_Formula counts'!$D$7:$R$234,'update_Formula counts'!F$5,0),0)</f>
        <v>723</v>
      </c>
      <c r="G369" s="382">
        <f>IFERROR(VLOOKUP($B369,'update_Formula counts'!$D$7:$R$234,'update_Formula counts'!G$5,0),0)</f>
        <v>0</v>
      </c>
      <c r="H369" s="382">
        <f>IFERROR(VLOOKUP($B369,'update_Formula counts'!$D$7:$R$234,'update_Formula counts'!H$5,0),0)</f>
        <v>0</v>
      </c>
      <c r="I369" s="382">
        <f>IFERROR(VLOOKUP($B369,'update_Formula counts'!$D$7:$R$234,'update_Formula counts'!I$5,0),0)</f>
        <v>31</v>
      </c>
      <c r="J369" s="382">
        <f>IFERROR(VLOOKUP($B369,'update_Formula counts'!$D$7:$R$234,'update_Formula counts'!J$5,0),0)</f>
        <v>0</v>
      </c>
      <c r="K369" s="382">
        <f t="shared" si="504"/>
        <v>723</v>
      </c>
      <c r="L369" s="444">
        <f>IFERROR(VLOOKUP($B369,'update_Formula counts'!$D$7:$R$234,'update_Formula counts'!L$5,0),0)</f>
        <v>2863</v>
      </c>
      <c r="M369" s="445">
        <f>IFERROR(VLOOKUP($B369,'update_Formula counts'!$D$7:$R$234,'update_Formula counts'!K$5,0),0)</f>
        <v>754</v>
      </c>
      <c r="N369" s="446">
        <f>IFERROR(VLOOKUP($B369,'update_Formula counts'!$D$7:$R$234,'update_Formula counts'!M$5,0),0)</f>
        <v>0.26336011177086971</v>
      </c>
      <c r="O369" s="137">
        <f>VLOOKUP($C369,'Final SEA Counts'!$A$2:$F$709,5,FALSE)</f>
        <v>1459</v>
      </c>
      <c r="P369" s="208">
        <f>VLOOKUP($C369,'Final SEA Counts'!$A$2:$F$709,6,FALSE)</f>
        <v>786</v>
      </c>
      <c r="Q369" s="748">
        <f t="shared" si="505"/>
        <v>-98.289690038326583</v>
      </c>
      <c r="R369" s="444">
        <f t="shared" si="506"/>
        <v>2456.53311927712</v>
      </c>
      <c r="S369" s="445">
        <f t="shared" si="507"/>
        <v>655.71030996167337</v>
      </c>
      <c r="T369" s="229">
        <f t="shared" si="508"/>
        <v>0.26692508430524564</v>
      </c>
      <c r="U369" s="261">
        <f>VLOOKUP($B369,update_Allocation!$D$8:$Q$235,update_Allocation!K$239,0)</f>
        <v>356559.09296158783</v>
      </c>
      <c r="V369" s="262">
        <f>VLOOKUP($B369,update_Allocation!$D$8:$Q$235,update_Allocation!L$239,0)</f>
        <v>84935.63712153185</v>
      </c>
      <c r="W369" s="262">
        <f>VLOOKUP($B369,update_Allocation!$D$8:$Q$235,update_Allocation!M$239,0)</f>
        <v>154161.57665311178</v>
      </c>
      <c r="X369" s="262">
        <f>VLOOKUP($B369,update_Allocation!$D$8:$Q$235,update_Allocation!N$239,0)</f>
        <v>133815.08037937304</v>
      </c>
      <c r="Y369" s="263">
        <f>VLOOKUP($B369,update_Allocation!$D$8:$Q$235,update_Allocation!O$239,0)</f>
        <v>729471.38711560459</v>
      </c>
      <c r="Z369" s="262">
        <f t="shared" si="509"/>
        <v>310072.59921991744</v>
      </c>
      <c r="AA369" s="262">
        <f t="shared" si="510"/>
        <v>73862.129135240684</v>
      </c>
      <c r="AB369" s="262">
        <f t="shared" si="511"/>
        <v>134062.7169977139</v>
      </c>
      <c r="AC369" s="263">
        <f t="shared" si="512"/>
        <v>116368.90099595457</v>
      </c>
      <c r="AD369" s="262">
        <f t="shared" si="513"/>
        <v>310072.59921991744</v>
      </c>
      <c r="AE369" s="262">
        <f t="shared" si="514"/>
        <v>73862.129135240684</v>
      </c>
      <c r="AF369" s="262">
        <f t="shared" si="515"/>
        <v>134062.7169977139</v>
      </c>
      <c r="AG369" s="263">
        <f t="shared" si="516"/>
        <v>116368.90099595457</v>
      </c>
      <c r="AH369" s="262">
        <f t="shared" si="517"/>
        <v>311133.4903750426</v>
      </c>
      <c r="AI369" s="262">
        <f t="shared" si="518"/>
        <v>74119.576803112446</v>
      </c>
      <c r="AJ369" s="262">
        <f t="shared" si="519"/>
        <v>134569.29683582622</v>
      </c>
      <c r="AK369" s="262">
        <f t="shared" si="520"/>
        <v>116852.84535382711</v>
      </c>
      <c r="AL369" s="263">
        <f t="shared" si="521"/>
        <v>636675.20936780842</v>
      </c>
      <c r="AM369" s="346"/>
      <c r="AN369" s="261">
        <f>IFERROR(VLOOKUP($A369,'HH &amp; SI'!$B$4:$Z$494,'HH &amp; SI'!V$503,0),0)</f>
        <v>306889.42762088391</v>
      </c>
      <c r="AO369" s="262">
        <f>IFERROR(VLOOKUP($A369,'HH &amp; SI'!$B$4:$Z$494,'HH &amp; SI'!W$503,0),0)</f>
        <v>71678.348931451357</v>
      </c>
      <c r="AP369" s="262">
        <f>IFERROR(VLOOKUP($A369,'HH &amp; SI'!$B$4:$Z$494,'HH &amp; SI'!X$503,0),0)</f>
        <v>133345.44162169975</v>
      </c>
      <c r="AQ369" s="262">
        <f>IFERROR(VLOOKUP($A369,'HH &amp; SI'!$B$4:$Z$494,'HH &amp; SI'!Y$503,0),0)</f>
        <v>115565.33734389434</v>
      </c>
      <c r="AR369" s="263">
        <f t="shared" si="533"/>
        <v>627478.55551792926</v>
      </c>
      <c r="AS369" s="346"/>
      <c r="AT369" s="323">
        <f>IFERROR(VLOOKUP(A369,'Afton FY16 Final'!$A$5:$BV$572,'Afton FY16 Final'!$BV$587,0),0)</f>
        <v>663055.24978017411</v>
      </c>
      <c r="AU369" s="346"/>
      <c r="AV369" s="444">
        <v>0</v>
      </c>
      <c r="AW369" s="262">
        <f>IFERROR(VLOOKUP($A369,'HH &amp; SI'!$B$4:$EY$503,'HH &amp; SI'!EX$503,0),0)</f>
        <v>0</v>
      </c>
      <c r="AX369" s="262">
        <f>IFERROR(VLOOKUP($A369,'HH &amp; SI'!$B$4:$EY$503,'HH &amp; SI'!EY$503,0),0)</f>
        <v>627478.55551792926</v>
      </c>
      <c r="AY369" s="262">
        <f>AX369/$AX$582*'update_State Admin 1004(b)'!$B$30*0.01</f>
        <v>6005.4205371409507</v>
      </c>
      <c r="AZ369" s="263">
        <f t="shared" si="523"/>
        <v>621473.13498078834</v>
      </c>
      <c r="BA369" s="261">
        <f t="shared" si="524"/>
        <v>6214.7313498078838</v>
      </c>
      <c r="BB369" s="262">
        <f t="shared" si="525"/>
        <v>615258.40363098041</v>
      </c>
      <c r="BC369" s="341">
        <f t="shared" si="499"/>
        <v>0.92791423314265287</v>
      </c>
      <c r="BD369" s="346"/>
      <c r="BE369" s="376" t="str">
        <f>'Original Title I &amp; II'!AZ367</f>
        <v/>
      </c>
      <c r="BF369" s="243" t="str">
        <f t="shared" si="526"/>
        <v/>
      </c>
      <c r="BG369" s="263">
        <f t="shared" si="503"/>
        <v>615258.40363098041</v>
      </c>
      <c r="BI369" s="31">
        <f>IFERROR(VLOOKUP(A369,'Title II Hold Harmless'!A$1:B$439,2, FALSE),"")</f>
        <v>76494</v>
      </c>
      <c r="BJ369" s="31">
        <f t="shared" si="527"/>
        <v>87054.850232934157</v>
      </c>
      <c r="BK369" s="31">
        <f t="shared" si="528"/>
        <v>87139.066386360995</v>
      </c>
      <c r="BL369" s="31" t="str">
        <f t="shared" si="529"/>
        <v/>
      </c>
      <c r="BM369" s="31">
        <f t="shared" si="530"/>
        <v>87139.066386360995</v>
      </c>
      <c r="BN369" s="200"/>
      <c r="BP369" s="295" t="s">
        <v>1447</v>
      </c>
      <c r="BQ369" s="296" t="str">
        <f t="shared" si="480"/>
        <v>Y</v>
      </c>
      <c r="BR369" s="297" t="s">
        <v>1448</v>
      </c>
      <c r="BT369" s="295" t="str">
        <f t="shared" si="481"/>
        <v>Y</v>
      </c>
      <c r="BU369" s="296" t="str">
        <f t="shared" si="531"/>
        <v>Y</v>
      </c>
      <c r="BV369" s="296" t="str">
        <f t="shared" si="532"/>
        <v>Y</v>
      </c>
      <c r="BW369" s="297" t="str">
        <f t="shared" si="482"/>
        <v>Y</v>
      </c>
      <c r="BY369" s="352">
        <f t="shared" si="483"/>
        <v>0</v>
      </c>
      <c r="BZ369" s="353">
        <f t="shared" si="484"/>
        <v>0.9</v>
      </c>
      <c r="CA369" s="353">
        <f t="shared" si="485"/>
        <v>0</v>
      </c>
      <c r="CB369" s="354">
        <f t="shared" si="486"/>
        <v>0.9</v>
      </c>
      <c r="CD369" s="311">
        <f t="shared" si="487"/>
        <v>362</v>
      </c>
    </row>
    <row r="370" spans="1:82" outlineLevel="1" x14ac:dyDescent="0.3">
      <c r="A370" s="1">
        <v>80415000</v>
      </c>
      <c r="B370" s="47">
        <f>VLOOKUP(C370,'NCES ID'!$A$2:$B$3136,2,FALSE)</f>
        <v>401500</v>
      </c>
      <c r="C370" s="47">
        <f>VLOOKUP(A370,'State ID'!$A$2:$B$713,2,FALSE)</f>
        <v>4378</v>
      </c>
      <c r="D370" s="147" t="s">
        <v>81</v>
      </c>
      <c r="E370" s="47" t="s">
        <v>5</v>
      </c>
      <c r="F370" s="382">
        <f>IFERROR(VLOOKUP($B370,'update_Formula counts'!$D$7:$R$234,'update_Formula counts'!F$5,0),0)</f>
        <v>1410</v>
      </c>
      <c r="G370" s="382">
        <f>IFERROR(VLOOKUP($B370,'update_Formula counts'!$D$7:$R$234,'update_Formula counts'!G$5,0),0)</f>
        <v>0</v>
      </c>
      <c r="H370" s="382">
        <f>IFERROR(VLOOKUP($B370,'update_Formula counts'!$D$7:$R$234,'update_Formula counts'!H$5,0),0)</f>
        <v>0</v>
      </c>
      <c r="I370" s="382">
        <f>IFERROR(VLOOKUP($B370,'update_Formula counts'!$D$7:$R$234,'update_Formula counts'!I$5,0),0)</f>
        <v>60</v>
      </c>
      <c r="J370" s="382">
        <f>IFERROR(VLOOKUP($B370,'update_Formula counts'!$D$7:$R$234,'update_Formula counts'!J$5,0),0)</f>
        <v>0</v>
      </c>
      <c r="K370" s="382">
        <f t="shared" si="504"/>
        <v>1410</v>
      </c>
      <c r="L370" s="444">
        <f>IFERROR(VLOOKUP($B370,'update_Formula counts'!$D$7:$R$234,'update_Formula counts'!L$5,0),0)</f>
        <v>3664</v>
      </c>
      <c r="M370" s="445">
        <f>IFERROR(VLOOKUP($B370,'update_Formula counts'!$D$7:$R$234,'update_Formula counts'!K$5,0),0)</f>
        <v>1470</v>
      </c>
      <c r="N370" s="446">
        <f>IFERROR(VLOOKUP($B370,'update_Formula counts'!$D$7:$R$234,'update_Formula counts'!M$5,0),0)</f>
        <v>0.40120087336244542</v>
      </c>
      <c r="O370" s="137">
        <f>VLOOKUP($C370,'Final SEA Counts'!$A$2:$F$709,5,FALSE)</f>
        <v>2873</v>
      </c>
      <c r="P370" s="208">
        <f>VLOOKUP($C370,'Final SEA Counts'!$A$2:$F$709,6,FALSE)</f>
        <v>2505</v>
      </c>
      <c r="Q370" s="748">
        <f t="shared" si="505"/>
        <v>-191.68528762661202</v>
      </c>
      <c r="R370" s="444">
        <f t="shared" si="506"/>
        <v>3143.813254988253</v>
      </c>
      <c r="S370" s="445">
        <f t="shared" si="507"/>
        <v>1278.3147123733879</v>
      </c>
      <c r="T370" s="229">
        <f t="shared" si="508"/>
        <v>0.40661280066336652</v>
      </c>
      <c r="U370" s="261">
        <f>VLOOKUP($B370,update_Allocation!$D$8:$Q$235,update_Allocation!K$239,0)</f>
        <v>757317.20465644484</v>
      </c>
      <c r="V370" s="262">
        <f>VLOOKUP($B370,update_Allocation!$D$8:$Q$235,update_Allocation!L$239,0)</f>
        <v>178109.08018760881</v>
      </c>
      <c r="W370" s="262">
        <f>VLOOKUP($B370,update_Allocation!$D$8:$Q$235,update_Allocation!M$239,0)</f>
        <v>506131.38727728504</v>
      </c>
      <c r="X370" s="262">
        <f>VLOOKUP($B370,update_Allocation!$D$8:$Q$235,update_Allocation!N$239,0)</f>
        <v>549992.41942182183</v>
      </c>
      <c r="Y370" s="263">
        <f>VLOOKUP($B370,update_Allocation!$D$8:$Q$235,update_Allocation!O$239,0)</f>
        <v>1991550.0915431606</v>
      </c>
      <c r="Z370" s="262">
        <f t="shared" si="509"/>
        <v>658581.75746224367</v>
      </c>
      <c r="AA370" s="262">
        <f t="shared" si="510"/>
        <v>154888.05790851096</v>
      </c>
      <c r="AB370" s="262">
        <f t="shared" si="511"/>
        <v>440144.36287776101</v>
      </c>
      <c r="AC370" s="263">
        <f t="shared" si="512"/>
        <v>478287.00040962728</v>
      </c>
      <c r="AD370" s="262">
        <f t="shared" si="513"/>
        <v>658581.75746224367</v>
      </c>
      <c r="AE370" s="262">
        <f t="shared" si="514"/>
        <v>154888.05790851096</v>
      </c>
      <c r="AF370" s="262">
        <f t="shared" si="515"/>
        <v>440144.36287776101</v>
      </c>
      <c r="AG370" s="263">
        <f t="shared" si="516"/>
        <v>478287.00040962728</v>
      </c>
      <c r="AH370" s="262">
        <f t="shared" si="517"/>
        <v>659642.64861736877</v>
      </c>
      <c r="AI370" s="262">
        <f t="shared" si="518"/>
        <v>155145.50557638271</v>
      </c>
      <c r="AJ370" s="262">
        <f t="shared" si="519"/>
        <v>440650.9427158733</v>
      </c>
      <c r="AK370" s="262">
        <f t="shared" si="520"/>
        <v>478770.94476749981</v>
      </c>
      <c r="AL370" s="263">
        <f t="shared" si="521"/>
        <v>1734210.0416771246</v>
      </c>
      <c r="AM370" s="346"/>
      <c r="AN370" s="261">
        <f>IFERROR(VLOOKUP($A370,'HH &amp; SI'!$B$4:$Z$494,'HH &amp; SI'!V$503,0),0)</f>
        <v>650644.69474015362</v>
      </c>
      <c r="AO370" s="262">
        <f>IFERROR(VLOOKUP($A370,'HH &amp; SI'!$B$4:$Z$494,'HH &amp; SI'!W$503,0),0)</f>
        <v>150175.52400332293</v>
      </c>
      <c r="AP370" s="262">
        <f>IFERROR(VLOOKUP($A370,'HH &amp; SI'!$B$4:$Z$494,'HH &amp; SI'!X$503,0),0)</f>
        <v>436643.39443752787</v>
      </c>
      <c r="AQ370" s="262">
        <f>IFERROR(VLOOKUP($A370,'HH &amp; SI'!$B$4:$Z$494,'HH &amp; SI'!Y$503,0),0)</f>
        <v>473495.75078788615</v>
      </c>
      <c r="AR370" s="263">
        <f t="shared" si="533"/>
        <v>1710959.3639688904</v>
      </c>
      <c r="AS370" s="346"/>
      <c r="AT370" s="323">
        <f>IFERROR(VLOOKUP(A370,'Afton FY16 Final'!$A$5:$BV$572,'Afton FY16 Final'!$BV$587,0),0)</f>
        <v>1722062.2787567866</v>
      </c>
      <c r="AU370" s="346"/>
      <c r="AV370" s="444">
        <v>0</v>
      </c>
      <c r="AW370" s="262">
        <f>IFERROR(VLOOKUP($A370,'HH &amp; SI'!$B$4:$EY$503,'HH &amp; SI'!EX$503,0),0)</f>
        <v>0</v>
      </c>
      <c r="AX370" s="262">
        <f>IFERROR(VLOOKUP($A370,'HH &amp; SI'!$B$4:$EY$503,'HH &amp; SI'!EY$503,0),0)</f>
        <v>1710959.3639688904</v>
      </c>
      <c r="AY370" s="262">
        <f>AX370/$AX$582*'update_State Admin 1004(b)'!$B$30*0.01</f>
        <v>16375.110212509562</v>
      </c>
      <c r="AZ370" s="263">
        <f t="shared" si="523"/>
        <v>1694584.2537563809</v>
      </c>
      <c r="BA370" s="261">
        <f t="shared" si="524"/>
        <v>16945.842537563811</v>
      </c>
      <c r="BB370" s="262">
        <f t="shared" si="525"/>
        <v>1677638.4112188171</v>
      </c>
      <c r="BC370" s="341">
        <f t="shared" si="499"/>
        <v>0.97420310049991887</v>
      </c>
      <c r="BD370" s="346"/>
      <c r="BE370" s="376" t="str">
        <f>'Original Title I &amp; II'!AZ368</f>
        <v/>
      </c>
      <c r="BF370" s="243" t="str">
        <f t="shared" si="526"/>
        <v/>
      </c>
      <c r="BG370" s="263">
        <f t="shared" si="503"/>
        <v>1677638.4112188171</v>
      </c>
      <c r="BI370" s="31">
        <f>IFERROR(VLOOKUP(A370,'Title II Hold Harmless'!A$1:B$439,2, FALSE),"")</f>
        <v>150578</v>
      </c>
      <c r="BJ370" s="31">
        <f t="shared" si="527"/>
        <v>169842.42033910577</v>
      </c>
      <c r="BK370" s="31">
        <f t="shared" si="528"/>
        <v>170006.72451390352</v>
      </c>
      <c r="BL370" s="31" t="str">
        <f t="shared" si="529"/>
        <v/>
      </c>
      <c r="BM370" s="31">
        <f t="shared" si="530"/>
        <v>170006.72451390352</v>
      </c>
      <c r="BN370" s="200"/>
      <c r="BP370" s="295" t="s">
        <v>1447</v>
      </c>
      <c r="BQ370" s="296" t="str">
        <f t="shared" si="480"/>
        <v>Y</v>
      </c>
      <c r="BR370" s="297" t="s">
        <v>1448</v>
      </c>
      <c r="BT370" s="295" t="str">
        <f t="shared" si="481"/>
        <v>Y</v>
      </c>
      <c r="BU370" s="296" t="str">
        <f t="shared" si="531"/>
        <v>Y</v>
      </c>
      <c r="BV370" s="296" t="str">
        <f t="shared" si="532"/>
        <v>Y</v>
      </c>
      <c r="BW370" s="297" t="str">
        <f t="shared" si="482"/>
        <v>Y</v>
      </c>
      <c r="BY370" s="352">
        <f t="shared" si="483"/>
        <v>0</v>
      </c>
      <c r="BZ370" s="353">
        <f t="shared" si="484"/>
        <v>0</v>
      </c>
      <c r="CA370" s="353">
        <f t="shared" si="485"/>
        <v>0.95</v>
      </c>
      <c r="CB370" s="354">
        <f t="shared" si="486"/>
        <v>0.95</v>
      </c>
      <c r="CD370" s="311">
        <f t="shared" si="487"/>
        <v>363</v>
      </c>
    </row>
    <row r="371" spans="1:82" outlineLevel="1" x14ac:dyDescent="0.3">
      <c r="A371" s="1">
        <v>80201000</v>
      </c>
      <c r="B371" s="47">
        <f>VLOOKUP(C371,'NCES ID'!$A$2:$B$3136,2,FALSE)</f>
        <v>404280</v>
      </c>
      <c r="C371" s="47">
        <f>VLOOKUP(A371,'State ID'!$A$2:$B$713,2,FALSE)</f>
        <v>4368</v>
      </c>
      <c r="D371" s="147" t="s">
        <v>246</v>
      </c>
      <c r="E371" s="47" t="s">
        <v>5</v>
      </c>
      <c r="F371" s="382">
        <f>IFERROR(VLOOKUP($B371,'update_Formula counts'!$D$7:$R$234,'update_Formula counts'!F$5,0),0)</f>
        <v>1658</v>
      </c>
      <c r="G371" s="382">
        <f>IFERROR(VLOOKUP($B371,'update_Formula counts'!$D$7:$R$234,'update_Formula counts'!G$5,0),0)</f>
        <v>0</v>
      </c>
      <c r="H371" s="382">
        <f>IFERROR(VLOOKUP($B371,'update_Formula counts'!$D$7:$R$234,'update_Formula counts'!H$5,0),0)</f>
        <v>0</v>
      </c>
      <c r="I371" s="382">
        <f>IFERROR(VLOOKUP($B371,'update_Formula counts'!$D$7:$R$234,'update_Formula counts'!I$5,0),0)</f>
        <v>72</v>
      </c>
      <c r="J371" s="382">
        <f>IFERROR(VLOOKUP($B371,'update_Formula counts'!$D$7:$R$234,'update_Formula counts'!J$5,0),0)</f>
        <v>0</v>
      </c>
      <c r="K371" s="382">
        <f t="shared" si="504"/>
        <v>1658</v>
      </c>
      <c r="L371" s="444">
        <f>IFERROR(VLOOKUP($B371,'update_Formula counts'!$D$7:$R$234,'update_Formula counts'!L$5,0),0)</f>
        <v>6932</v>
      </c>
      <c r="M371" s="445">
        <f>IFERROR(VLOOKUP($B371,'update_Formula counts'!$D$7:$R$234,'update_Formula counts'!K$5,0),0)</f>
        <v>1730</v>
      </c>
      <c r="N371" s="446">
        <f>IFERROR(VLOOKUP($B371,'update_Formula counts'!$D$7:$R$234,'update_Formula counts'!M$5,0),0)</f>
        <v>0.24956722446624352</v>
      </c>
      <c r="O371" s="137">
        <f>VLOOKUP($C371,'Final SEA Counts'!$A$2:$F$709,5,FALSE)</f>
        <v>4939</v>
      </c>
      <c r="P371" s="208">
        <f>VLOOKUP($C371,'Final SEA Counts'!$A$2:$F$709,6,FALSE)</f>
        <v>2713</v>
      </c>
      <c r="Q371" s="748">
        <f t="shared" si="505"/>
        <v>-225.40014672689554</v>
      </c>
      <c r="R371" s="444">
        <f t="shared" si="506"/>
        <v>5947.8475664788675</v>
      </c>
      <c r="S371" s="445">
        <f t="shared" si="507"/>
        <v>1504.5998532731044</v>
      </c>
      <c r="T371" s="229">
        <f t="shared" si="508"/>
        <v>0.25296543606006183</v>
      </c>
      <c r="U371" s="261">
        <f>VLOOKUP($B371,update_Allocation!$D$8:$Q$235,update_Allocation!K$239,0)</f>
        <v>818099.7756280459</v>
      </c>
      <c r="V371" s="262">
        <f>VLOOKUP($B371,update_Allocation!$D$8:$Q$235,update_Allocation!L$239,0)</f>
        <v>194878.84909847484</v>
      </c>
      <c r="W371" s="262">
        <f>VLOOKUP($B371,update_Allocation!$D$8:$Q$235,update_Allocation!M$239,0)</f>
        <v>337595.21672358637</v>
      </c>
      <c r="X371" s="262">
        <f>VLOOKUP($B371,update_Allocation!$D$8:$Q$235,update_Allocation!N$239,0)</f>
        <v>260293.82083133652</v>
      </c>
      <c r="Y371" s="263">
        <f>VLOOKUP($B371,update_Allocation!$D$8:$Q$235,update_Allocation!O$239,0)</f>
        <v>1610867.6622814436</v>
      </c>
      <c r="Z371" s="262">
        <f t="shared" si="509"/>
        <v>711439.78335604363</v>
      </c>
      <c r="AA371" s="262">
        <f t="shared" si="510"/>
        <v>169471.46340048584</v>
      </c>
      <c r="AB371" s="262">
        <f t="shared" si="511"/>
        <v>293581.14377122576</v>
      </c>
      <c r="AC371" s="263">
        <f t="shared" si="512"/>
        <v>226357.93948115889</v>
      </c>
      <c r="AD371" s="262">
        <f t="shared" si="513"/>
        <v>711439.78335604363</v>
      </c>
      <c r="AE371" s="262">
        <f t="shared" si="514"/>
        <v>169471.46340048584</v>
      </c>
      <c r="AF371" s="262">
        <f t="shared" si="515"/>
        <v>293581.14377122576</v>
      </c>
      <c r="AG371" s="263">
        <f t="shared" si="516"/>
        <v>226357.93948115889</v>
      </c>
      <c r="AH371" s="262">
        <f t="shared" si="517"/>
        <v>712500.67451116873</v>
      </c>
      <c r="AI371" s="262">
        <f t="shared" si="518"/>
        <v>169728.91106835759</v>
      </c>
      <c r="AJ371" s="262">
        <f t="shared" si="519"/>
        <v>294087.72360933805</v>
      </c>
      <c r="AK371" s="262">
        <f t="shared" si="520"/>
        <v>226841.88383903145</v>
      </c>
      <c r="AL371" s="263">
        <f t="shared" si="521"/>
        <v>1403159.1930278959</v>
      </c>
      <c r="AM371" s="346"/>
      <c r="AN371" s="261">
        <f>IFERROR(VLOOKUP($A371,'HH &amp; SI'!$B$4:$Z$494,'HH &amp; SI'!V$503,0),0)</f>
        <v>702781.70285253832</v>
      </c>
      <c r="AO371" s="262">
        <f>IFERROR(VLOOKUP($A371,'HH &amp; SI'!$B$4:$Z$494,'HH &amp; SI'!W$503,0),0)</f>
        <v>164138.6612828332</v>
      </c>
      <c r="AP371" s="262">
        <f>IFERROR(VLOOKUP($A371,'HH &amp; SI'!$B$4:$Z$494,'HH &amp; SI'!X$503,0),0)</f>
        <v>291413.11058532132</v>
      </c>
      <c r="AQ371" s="262">
        <f>IFERROR(VLOOKUP($A371,'HH &amp; SI'!$B$4:$Z$494,'HH &amp; SI'!Y$503,0),0)</f>
        <v>224342.49461537463</v>
      </c>
      <c r="AR371" s="263">
        <f t="shared" si="533"/>
        <v>1382675.9693360673</v>
      </c>
      <c r="AS371" s="346"/>
      <c r="AT371" s="323">
        <f>IFERROR(VLOOKUP(A371,'Afton FY16 Final'!$A$5:$BV$572,'Afton FY16 Final'!$BV$587,0),0)</f>
        <v>1267751.5265706661</v>
      </c>
      <c r="AU371" s="346"/>
      <c r="AV371" s="444">
        <v>0</v>
      </c>
      <c r="AW371" s="262">
        <f>IFERROR(VLOOKUP($A371,'HH &amp; SI'!$B$4:$EY$503,'HH &amp; SI'!EX$503,0),0)</f>
        <v>77447.968669556081</v>
      </c>
      <c r="AX371" s="262">
        <f>IFERROR(VLOOKUP($A371,'HH &amp; SI'!$B$4:$EY$503,'HH &amp; SI'!EY$503,0),0)</f>
        <v>1305228.0006665112</v>
      </c>
      <c r="AY371" s="262">
        <f>AX371/$AX$582*'update_State Admin 1004(b)'!$B$30*0.01</f>
        <v>12491.969601071278</v>
      </c>
      <c r="AZ371" s="263">
        <f t="shared" si="523"/>
        <v>1292736.03106544</v>
      </c>
      <c r="BA371" s="261">
        <f t="shared" si="524"/>
        <v>12927.360310654401</v>
      </c>
      <c r="BB371" s="262">
        <f t="shared" si="525"/>
        <v>1279808.6707547856</v>
      </c>
      <c r="BC371" s="341">
        <f t="shared" si="499"/>
        <v>1.0095106524673134</v>
      </c>
      <c r="BD371" s="346"/>
      <c r="BE371" s="376" t="str">
        <f>'Original Title I &amp; II'!AZ369</f>
        <v/>
      </c>
      <c r="BF371" s="243" t="str">
        <f t="shared" si="526"/>
        <v/>
      </c>
      <c r="BG371" s="263">
        <f t="shared" si="503"/>
        <v>1279808.6707547856</v>
      </c>
      <c r="BI371" s="31">
        <f>IFERROR(VLOOKUP(A371,'Title II Hold Harmless'!A$1:B$439,2, FALSE),"")</f>
        <v>172368</v>
      </c>
      <c r="BJ371" s="31">
        <f t="shared" si="527"/>
        <v>196851.38072322943</v>
      </c>
      <c r="BK371" s="31">
        <f t="shared" si="528"/>
        <v>197041.81314643062</v>
      </c>
      <c r="BL371" s="31" t="str">
        <f t="shared" si="529"/>
        <v/>
      </c>
      <c r="BM371" s="31">
        <f t="shared" si="530"/>
        <v>197041.81314643062</v>
      </c>
      <c r="BN371" s="200"/>
      <c r="BP371" s="295" t="s">
        <v>1447</v>
      </c>
      <c r="BQ371" s="296" t="str">
        <f t="shared" si="480"/>
        <v>Y</v>
      </c>
      <c r="BR371" s="297" t="s">
        <v>1448</v>
      </c>
      <c r="BT371" s="295" t="str">
        <f t="shared" si="481"/>
        <v>Y</v>
      </c>
      <c r="BU371" s="296" t="str">
        <f t="shared" si="531"/>
        <v>Y</v>
      </c>
      <c r="BV371" s="296" t="str">
        <f t="shared" si="532"/>
        <v>Y</v>
      </c>
      <c r="BW371" s="297" t="str">
        <f t="shared" si="482"/>
        <v>Y</v>
      </c>
      <c r="BY371" s="352">
        <f t="shared" si="483"/>
        <v>0</v>
      </c>
      <c r="BZ371" s="353">
        <f t="shared" si="484"/>
        <v>0.9</v>
      </c>
      <c r="CA371" s="353">
        <f t="shared" si="485"/>
        <v>0</v>
      </c>
      <c r="CB371" s="354">
        <f t="shared" si="486"/>
        <v>0.9</v>
      </c>
      <c r="CD371" s="311">
        <f t="shared" si="487"/>
        <v>364</v>
      </c>
    </row>
    <row r="372" spans="1:82" outlineLevel="1" x14ac:dyDescent="0.3">
      <c r="A372" s="1">
        <v>80220000</v>
      </c>
      <c r="B372" s="47">
        <f>VLOOKUP(C372,'NCES ID'!$A$2:$B$3136,2,FALSE)</f>
        <v>400295</v>
      </c>
      <c r="C372" s="47">
        <f>VLOOKUP(A372,'State ID'!$A$2:$B$713,2,FALSE)</f>
        <v>79598</v>
      </c>
      <c r="D372" s="147" t="s">
        <v>242</v>
      </c>
      <c r="E372" s="47" t="s">
        <v>5</v>
      </c>
      <c r="F372" s="382">
        <f>IFERROR(VLOOKUP($B372,'update_Formula counts'!$D$7:$R$234,'update_Formula counts'!F$5,0),0)</f>
        <v>2624</v>
      </c>
      <c r="G372" s="382">
        <f>IFERROR(VLOOKUP($B372,'update_Formula counts'!$D$7:$R$234,'update_Formula counts'!G$5,0),0)</f>
        <v>0</v>
      </c>
      <c r="H372" s="382">
        <f>IFERROR(VLOOKUP($B372,'update_Formula counts'!$D$7:$R$234,'update_Formula counts'!H$5,0),0)</f>
        <v>0</v>
      </c>
      <c r="I372" s="382">
        <f>IFERROR(VLOOKUP($B372,'update_Formula counts'!$D$7:$R$234,'update_Formula counts'!I$5,0),0)</f>
        <v>113</v>
      </c>
      <c r="J372" s="382">
        <f>IFERROR(VLOOKUP($B372,'update_Formula counts'!$D$7:$R$234,'update_Formula counts'!J$5,0),0)</f>
        <v>0</v>
      </c>
      <c r="K372" s="382">
        <f t="shared" si="504"/>
        <v>2624</v>
      </c>
      <c r="L372" s="444">
        <f>IFERROR(VLOOKUP($B372,'update_Formula counts'!$D$7:$R$234,'update_Formula counts'!L$5,0),0)</f>
        <v>9068</v>
      </c>
      <c r="M372" s="445">
        <f>IFERROR(VLOOKUP($B372,'update_Formula counts'!$D$7:$R$234,'update_Formula counts'!K$5,0),0)</f>
        <v>2737</v>
      </c>
      <c r="N372" s="446">
        <f>IFERROR(VLOOKUP($B372,'update_Formula counts'!$D$7:$R$234,'update_Formula counts'!M$5,0),0)</f>
        <v>0.30183061314512571</v>
      </c>
      <c r="O372" s="137">
        <f>VLOOKUP($C372,'Final SEA Counts'!$A$2:$F$709,5,FALSE)</f>
        <v>6384</v>
      </c>
      <c r="P372" s="208">
        <f>VLOOKUP($C372,'Final SEA Counts'!$A$2:$F$709,6,FALSE)</f>
        <v>4432</v>
      </c>
      <c r="Q372" s="748">
        <f t="shared" si="505"/>
        <v>-356.72496080299993</v>
      </c>
      <c r="R372" s="444">
        <f t="shared" si="506"/>
        <v>7780.5945950418882</v>
      </c>
      <c r="S372" s="445">
        <f t="shared" si="507"/>
        <v>2380.2750391970003</v>
      </c>
      <c r="T372" s="229">
        <f t="shared" si="508"/>
        <v>0.30592456786192262</v>
      </c>
      <c r="U372" s="261">
        <f>VLOOKUP($B372,update_Allocation!$D$8:$Q$235,update_Allocation!K$239,0)</f>
        <v>1294300.0496496891</v>
      </c>
      <c r="V372" s="262">
        <f>VLOOKUP($B372,update_Allocation!$D$8:$Q$235,update_Allocation!L$239,0)</f>
        <v>308314.10981648875</v>
      </c>
      <c r="W372" s="262">
        <f>VLOOKUP($B372,update_Allocation!$D$8:$Q$235,update_Allocation!M$239,0)</f>
        <v>610936.32474709698</v>
      </c>
      <c r="X372" s="262">
        <f>VLOOKUP($B372,update_Allocation!$D$8:$Q$235,update_Allocation!N$239,0)</f>
        <v>498260.44909929059</v>
      </c>
      <c r="Y372" s="263">
        <f>VLOOKUP($B372,update_Allocation!$D$8:$Q$235,update_Allocation!O$239,0)</f>
        <v>2711810.9333125656</v>
      </c>
      <c r="Z372" s="262">
        <f t="shared" si="509"/>
        <v>1125555.3104309202</v>
      </c>
      <c r="AA372" s="262">
        <f t="shared" si="510"/>
        <v>268117.56955325411</v>
      </c>
      <c r="AB372" s="262">
        <f t="shared" si="511"/>
        <v>531285.32664459001</v>
      </c>
      <c r="AC372" s="263">
        <f t="shared" si="512"/>
        <v>433299.6005162723</v>
      </c>
      <c r="AD372" s="262">
        <f t="shared" si="513"/>
        <v>1125555.3104309202</v>
      </c>
      <c r="AE372" s="262">
        <f t="shared" si="514"/>
        <v>268117.56955325411</v>
      </c>
      <c r="AF372" s="262">
        <f t="shared" si="515"/>
        <v>531285.32664459001</v>
      </c>
      <c r="AG372" s="263">
        <f t="shared" si="516"/>
        <v>433299.6005162723</v>
      </c>
      <c r="AH372" s="262">
        <f t="shared" si="517"/>
        <v>1126616.2015860453</v>
      </c>
      <c r="AI372" s="262">
        <f t="shared" si="518"/>
        <v>268375.01722112589</v>
      </c>
      <c r="AJ372" s="262">
        <f t="shared" si="519"/>
        <v>531791.90648270235</v>
      </c>
      <c r="AK372" s="262">
        <f t="shared" si="520"/>
        <v>433783.54487414483</v>
      </c>
      <c r="AL372" s="263">
        <f t="shared" si="521"/>
        <v>2360566.6701640184</v>
      </c>
      <c r="AM372" s="346"/>
      <c r="AN372" s="261">
        <f>IFERROR(VLOOKUP($A372,'HH &amp; SI'!$B$4:$Z$494,'HH &amp; SI'!V$503,0),0)</f>
        <v>1111248.4253507724</v>
      </c>
      <c r="AO372" s="262">
        <f>IFERROR(VLOOKUP($A372,'HH &amp; SI'!$B$4:$Z$494,'HH &amp; SI'!W$503,0),0)</f>
        <v>259535.72535849048</v>
      </c>
      <c r="AP372" s="262">
        <f>IFERROR(VLOOKUP($A372,'HH &amp; SI'!$B$4:$Z$494,'HH &amp; SI'!X$503,0),0)</f>
        <v>526955.4667235415</v>
      </c>
      <c r="AQ372" s="262">
        <f>IFERROR(VLOOKUP($A372,'HH &amp; SI'!$B$4:$Z$494,'HH &amp; SI'!Y$503,0),0)</f>
        <v>429004.03105989948</v>
      </c>
      <c r="AR372" s="263">
        <f t="shared" si="533"/>
        <v>2326743.6484927041</v>
      </c>
      <c r="AS372" s="346"/>
      <c r="AT372" s="323">
        <f>IFERROR(VLOOKUP(A372,'Afton FY16 Final'!$A$5:$BV$572,'Afton FY16 Final'!$BV$587,0),0)</f>
        <v>1859959.4449085176</v>
      </c>
      <c r="AU372" s="346"/>
      <c r="AV372" s="444">
        <v>0</v>
      </c>
      <c r="AW372" s="262">
        <f>IFERROR(VLOOKUP($A372,'HH &amp; SI'!$B$4:$EY$503,'HH &amp; SI'!EX$503,0),0)</f>
        <v>130328.12689807732</v>
      </c>
      <c r="AX372" s="262">
        <f>IFERROR(VLOOKUP($A372,'HH &amp; SI'!$B$4:$EY$503,'HH &amp; SI'!EY$503,0),0)</f>
        <v>2196415.5215946268</v>
      </c>
      <c r="AY372" s="262">
        <f>AX372/$AX$582*'update_State Admin 1004(b)'!$B$30*0.01</f>
        <v>21021.274377404006</v>
      </c>
      <c r="AZ372" s="263">
        <f t="shared" si="523"/>
        <v>2175394.247217223</v>
      </c>
      <c r="BA372" s="261">
        <f t="shared" si="524"/>
        <v>21753.942472172232</v>
      </c>
      <c r="BB372" s="262">
        <f t="shared" si="525"/>
        <v>2153640.3047450506</v>
      </c>
      <c r="BC372" s="341">
        <f t="shared" si="499"/>
        <v>1.1578963781390286</v>
      </c>
      <c r="BD372" s="346"/>
      <c r="BE372" s="376" t="str">
        <f>'Original Title I &amp; II'!AZ370</f>
        <v/>
      </c>
      <c r="BF372" s="243" t="str">
        <f t="shared" si="526"/>
        <v/>
      </c>
      <c r="BG372" s="263">
        <f t="shared" si="503"/>
        <v>2153640.3047450506</v>
      </c>
      <c r="BI372" s="31">
        <f>IFERROR(VLOOKUP(A372,'Title II Hold Harmless'!A$1:B$439,2, FALSE),"")</f>
        <v>228871</v>
      </c>
      <c r="BJ372" s="31">
        <f t="shared" si="527"/>
        <v>266292.74463645299</v>
      </c>
      <c r="BK372" s="31">
        <f t="shared" si="528"/>
        <v>266550.35406980163</v>
      </c>
      <c r="BL372" s="31" t="str">
        <f t="shared" si="529"/>
        <v/>
      </c>
      <c r="BM372" s="31">
        <f t="shared" si="530"/>
        <v>266550.35406980163</v>
      </c>
      <c r="BN372" s="200"/>
      <c r="BP372" s="295" t="s">
        <v>1447</v>
      </c>
      <c r="BQ372" s="296" t="str">
        <f t="shared" si="480"/>
        <v>Y</v>
      </c>
      <c r="BR372" s="297" t="s">
        <v>1448</v>
      </c>
      <c r="BT372" s="295" t="str">
        <f t="shared" si="481"/>
        <v>Y</v>
      </c>
      <c r="BU372" s="296" t="str">
        <f t="shared" si="531"/>
        <v>Y</v>
      </c>
      <c r="BV372" s="296" t="str">
        <f t="shared" si="532"/>
        <v>Y</v>
      </c>
      <c r="BW372" s="297" t="str">
        <f t="shared" si="482"/>
        <v>Y</v>
      </c>
      <c r="BY372" s="352">
        <f t="shared" si="483"/>
        <v>0</v>
      </c>
      <c r="BZ372" s="353">
        <f t="shared" si="484"/>
        <v>0</v>
      </c>
      <c r="CA372" s="353">
        <f t="shared" si="485"/>
        <v>0.95</v>
      </c>
      <c r="CB372" s="354">
        <f t="shared" si="486"/>
        <v>0.95</v>
      </c>
      <c r="CD372" s="311">
        <f t="shared" si="487"/>
        <v>365</v>
      </c>
    </row>
    <row r="373" spans="1:82" outlineLevel="1" x14ac:dyDescent="0.3">
      <c r="A373" s="1">
        <v>80322000</v>
      </c>
      <c r="B373" s="47">
        <f>VLOOKUP(C373,'NCES ID'!$A$2:$B$3136,2,FALSE)</f>
        <v>408880</v>
      </c>
      <c r="C373" s="47">
        <f>VLOOKUP(A373,'State ID'!$A$2:$B$713,2,FALSE)</f>
        <v>4380</v>
      </c>
      <c r="D373" s="190" t="s">
        <v>464</v>
      </c>
      <c r="E373" s="47" t="s">
        <v>5</v>
      </c>
      <c r="F373" s="382">
        <f>IFERROR(VLOOKUP($B373,'update_Formula counts'!$D$7:$R$234,'update_Formula counts'!F$5,0),0)</f>
        <v>10</v>
      </c>
      <c r="G373" s="382">
        <f>IFERROR(VLOOKUP($B373,'update_Formula counts'!$D$7:$R$234,'update_Formula counts'!G$5,0),0)</f>
        <v>0</v>
      </c>
      <c r="H373" s="382">
        <f>IFERROR(VLOOKUP($B373,'update_Formula counts'!$D$7:$R$234,'update_Formula counts'!H$5,0),0)</f>
        <v>0</v>
      </c>
      <c r="I373" s="382">
        <f>IFERROR(VLOOKUP($B373,'update_Formula counts'!$D$7:$R$234,'update_Formula counts'!I$5,0),0)</f>
        <v>0</v>
      </c>
      <c r="J373" s="382">
        <f>IFERROR(VLOOKUP($B373,'update_Formula counts'!$D$7:$R$234,'update_Formula counts'!J$5,0),0)</f>
        <v>0</v>
      </c>
      <c r="K373" s="382">
        <f t="shared" si="504"/>
        <v>10</v>
      </c>
      <c r="L373" s="444">
        <f>IFERROR(VLOOKUP($B373,'update_Formula counts'!$D$7:$R$234,'update_Formula counts'!L$5,0),0)</f>
        <v>39</v>
      </c>
      <c r="M373" s="445">
        <f>IFERROR(VLOOKUP($B373,'update_Formula counts'!$D$7:$R$234,'update_Formula counts'!K$5,0),0)</f>
        <v>10</v>
      </c>
      <c r="N373" s="446">
        <f>IFERROR(VLOOKUP($B373,'update_Formula counts'!$D$7:$R$234,'update_Formula counts'!M$5,0),0)</f>
        <v>0.25641025641025639</v>
      </c>
      <c r="O373" s="137">
        <f>VLOOKUP($C373,'Final SEA Counts'!$A$2:$F$709,5,FALSE)</f>
        <v>74</v>
      </c>
      <c r="P373" s="208">
        <f>VLOOKUP($C373,'Final SEA Counts'!$A$2:$F$709,6,FALSE)</f>
        <v>61</v>
      </c>
      <c r="Q373" s="748">
        <f t="shared" si="505"/>
        <v>-1.3594701250114327</v>
      </c>
      <c r="R373" s="444">
        <f t="shared" si="506"/>
        <v>33.463077768706839</v>
      </c>
      <c r="S373" s="445">
        <f t="shared" si="507"/>
        <v>8.6405298749885677</v>
      </c>
      <c r="T373" s="229">
        <f t="shared" si="508"/>
        <v>0.25821085360739893</v>
      </c>
      <c r="U373" s="261">
        <f>VLOOKUP($B373,update_Allocation!$D$8:$Q$235,update_Allocation!K$239,0)</f>
        <v>4728.9004371563351</v>
      </c>
      <c r="V373" s="262">
        <f>VLOOKUP($B373,update_Allocation!$D$8:$Q$235,update_Allocation!L$239,0)</f>
        <v>1126.4673358293344</v>
      </c>
      <c r="W373" s="262">
        <f>VLOOKUP($B373,update_Allocation!$D$8:$Q$235,update_Allocation!M$239,0)</f>
        <v>1994.5581118636878</v>
      </c>
      <c r="X373" s="262">
        <f>VLOOKUP($B373,update_Allocation!$D$8:$Q$235,update_Allocation!N$239,0)</f>
        <v>1553.0776343042082</v>
      </c>
      <c r="Y373" s="263">
        <f>VLOOKUP($B373,update_Allocation!$D$8:$Q$235,update_Allocation!O$239,0)</f>
        <v>9403.0035191535662</v>
      </c>
      <c r="Z373" s="262">
        <f t="shared" si="509"/>
        <v>4112.3686899193272</v>
      </c>
      <c r="AA373" s="262">
        <f t="shared" si="510"/>
        <v>979.60383468488931</v>
      </c>
      <c r="AB373" s="262">
        <f t="shared" si="511"/>
        <v>1734.5170274689112</v>
      </c>
      <c r="AC373" s="263">
        <f t="shared" si="512"/>
        <v>1350.5946934605465</v>
      </c>
      <c r="AD373" s="262" t="str">
        <f t="shared" si="513"/>
        <v/>
      </c>
      <c r="AE373" s="262" t="str">
        <f t="shared" si="514"/>
        <v/>
      </c>
      <c r="AF373" s="262" t="str">
        <f t="shared" si="515"/>
        <v/>
      </c>
      <c r="AG373" s="263" t="str">
        <f t="shared" si="516"/>
        <v/>
      </c>
      <c r="AH373" s="262" t="str">
        <f t="shared" si="517"/>
        <v/>
      </c>
      <c r="AI373" s="262" t="str">
        <f t="shared" si="518"/>
        <v/>
      </c>
      <c r="AJ373" s="262" t="str">
        <f t="shared" si="519"/>
        <v/>
      </c>
      <c r="AK373" s="262" t="str">
        <f t="shared" si="520"/>
        <v/>
      </c>
      <c r="AL373" s="263">
        <f t="shared" si="521"/>
        <v>0</v>
      </c>
      <c r="AM373" s="346"/>
      <c r="AN373" s="261">
        <f>IFERROR(VLOOKUP($A373,'HH &amp; SI'!$B$4:$Z$494,'HH &amp; SI'!V$503,0),0)</f>
        <v>0</v>
      </c>
      <c r="AO373" s="262">
        <f>IFERROR(VLOOKUP($A373,'HH &amp; SI'!$B$4:$Z$494,'HH &amp; SI'!W$503,0),0)</f>
        <v>0</v>
      </c>
      <c r="AP373" s="262">
        <f>IFERROR(VLOOKUP($A373,'HH &amp; SI'!$B$4:$Z$494,'HH &amp; SI'!X$503,0),0)</f>
        <v>0</v>
      </c>
      <c r="AQ373" s="262">
        <f>IFERROR(VLOOKUP($A373,'HH &amp; SI'!$B$4:$Z$494,'HH &amp; SI'!Y$503,0),0)</f>
        <v>0</v>
      </c>
      <c r="AR373" s="263">
        <f t="shared" si="533"/>
        <v>0</v>
      </c>
      <c r="AS373" s="346"/>
      <c r="AT373" s="323">
        <f>IFERROR(VLOOKUP(A373,'Afton FY16 Final'!$A$5:$BV$572,'Afton FY16 Final'!$BV$587,0),0)</f>
        <v>0</v>
      </c>
      <c r="AU373" s="346"/>
      <c r="AV373" s="444">
        <v>0</v>
      </c>
      <c r="AW373" s="262">
        <f>IFERROR(VLOOKUP($A373,'HH &amp; SI'!$B$4:$EY$503,'HH &amp; SI'!EX$503,0),0)</f>
        <v>0</v>
      </c>
      <c r="AX373" s="262">
        <f>IFERROR(VLOOKUP($A373,'HH &amp; SI'!$B$4:$EY$503,'HH &amp; SI'!EY$503,0),0)</f>
        <v>0</v>
      </c>
      <c r="AY373" s="262">
        <f>AX373/$AX$582*'update_State Admin 1004(b)'!$B$30*0.01</f>
        <v>0</v>
      </c>
      <c r="AZ373" s="263">
        <f t="shared" si="523"/>
        <v>0</v>
      </c>
      <c r="BA373" s="261">
        <f t="shared" si="524"/>
        <v>0</v>
      </c>
      <c r="BB373" s="262">
        <f t="shared" si="525"/>
        <v>0</v>
      </c>
      <c r="BC373" s="341" t="str">
        <f t="shared" si="499"/>
        <v/>
      </c>
      <c r="BD373" s="346"/>
      <c r="BE373" s="376" t="str">
        <f>'Original Title I &amp; II'!AZ371</f>
        <v/>
      </c>
      <c r="BF373" s="243" t="str">
        <f t="shared" si="526"/>
        <v/>
      </c>
      <c r="BG373" s="263">
        <f t="shared" si="503"/>
        <v>0</v>
      </c>
      <c r="BI373" s="31" t="str">
        <f>IFERROR(VLOOKUP(A373,'Title II Hold Harmless'!A$1:B$439,2, FALSE),"")</f>
        <v/>
      </c>
      <c r="BJ373" s="31"/>
      <c r="BK373" s="31">
        <f t="shared" si="528"/>
        <v>0</v>
      </c>
      <c r="BL373" s="31" t="str">
        <f t="shared" si="529"/>
        <v/>
      </c>
      <c r="BM373" s="31">
        <f t="shared" si="530"/>
        <v>0</v>
      </c>
      <c r="BN373" s="200"/>
      <c r="BP373" s="295" t="s">
        <v>1447</v>
      </c>
      <c r="BQ373" s="296" t="str">
        <f t="shared" si="480"/>
        <v>Y</v>
      </c>
      <c r="BR373" s="297" t="s">
        <v>1448</v>
      </c>
      <c r="BT373" s="295" t="str">
        <f t="shared" si="481"/>
        <v>N</v>
      </c>
      <c r="BU373" s="296" t="str">
        <f t="shared" si="531"/>
        <v>N</v>
      </c>
      <c r="BV373" s="296" t="str">
        <f t="shared" si="532"/>
        <v>N</v>
      </c>
      <c r="BW373" s="297" t="str">
        <f t="shared" si="482"/>
        <v>N</v>
      </c>
      <c r="BY373" s="352">
        <f t="shared" si="483"/>
        <v>0</v>
      </c>
      <c r="BZ373" s="353">
        <f t="shared" si="484"/>
        <v>0.9</v>
      </c>
      <c r="CA373" s="353">
        <f t="shared" si="485"/>
        <v>0</v>
      </c>
      <c r="CB373" s="354">
        <f t="shared" si="486"/>
        <v>0.9</v>
      </c>
      <c r="CD373" s="311">
        <f t="shared" si="487"/>
        <v>366</v>
      </c>
    </row>
    <row r="374" spans="1:82" s="48" customFormat="1" outlineLevel="1" x14ac:dyDescent="0.3">
      <c r="A374" s="202">
        <v>88704000</v>
      </c>
      <c r="B374" s="48">
        <f>VLOOKUP(C374,'NCES ID'!$A$2:$B$3136,2,FALSE)</f>
        <v>400414</v>
      </c>
      <c r="C374" s="48">
        <f>VLOOKUP(A374,'State ID'!$A$2:$B$713,2,FALSE)</f>
        <v>85540</v>
      </c>
      <c r="D374" s="48" t="s">
        <v>4</v>
      </c>
      <c r="E374" s="48" t="s">
        <v>5</v>
      </c>
      <c r="F374" s="755"/>
      <c r="G374" s="755"/>
      <c r="H374" s="755"/>
      <c r="I374" s="755"/>
      <c r="J374" s="755"/>
      <c r="K374" s="755"/>
      <c r="L374" s="454"/>
      <c r="M374" s="455"/>
      <c r="N374" s="456"/>
      <c r="O374" s="209">
        <f>VLOOKUP($C374,'Final SEA Counts'!$A$2:$F$709,5,FALSE)</f>
        <v>43</v>
      </c>
      <c r="P374" s="223">
        <f>VLOOKUP($C374,'Final SEA Counts'!$A$2:$F$709,6,FALSE)</f>
        <v>39</v>
      </c>
      <c r="Q374" s="749"/>
      <c r="R374" s="454">
        <f>O374</f>
        <v>43</v>
      </c>
      <c r="S374" s="455">
        <f t="shared" ref="S374:S381" si="534">P374*$B$383</f>
        <v>23.739939352098645</v>
      </c>
      <c r="T374" s="230">
        <f t="shared" si="508"/>
        <v>0.55209161283950337</v>
      </c>
      <c r="U374" s="264" t="str">
        <f>IFERROR(VLOOKUP($B374,#REF!,8,FALSE),"")</f>
        <v/>
      </c>
      <c r="V374" s="265" t="str">
        <f>IFERROR(VLOOKUP($B374,#REF!,9,FALSE),"")</f>
        <v/>
      </c>
      <c r="W374" s="265" t="str">
        <f>IFERROR(VLOOKUP($B374,#REF!,10,FALSE),"")</f>
        <v/>
      </c>
      <c r="X374" s="265" t="str">
        <f>IFERROR(VLOOKUP($B374,#REF!,11,FALSE),"")</f>
        <v/>
      </c>
      <c r="Y374" s="266" t="str">
        <f>IFERROR(VLOOKUP($B374,#REF!,12,FALSE),"")</f>
        <v/>
      </c>
      <c r="Z374" s="265">
        <f t="shared" ref="Z374:AC381" si="535">$S374*U$384</f>
        <v>11543.567849530247</v>
      </c>
      <c r="AA374" s="265">
        <f t="shared" si="535"/>
        <v>2737.7981363374215</v>
      </c>
      <c r="AB374" s="265">
        <f t="shared" si="535"/>
        <v>6006.0304759120281</v>
      </c>
      <c r="AC374" s="266">
        <f t="shared" si="535"/>
        <v>5485.1109787304495</v>
      </c>
      <c r="AD374" s="265">
        <f t="shared" si="513"/>
        <v>11543.567849530247</v>
      </c>
      <c r="AE374" s="265">
        <f t="shared" si="514"/>
        <v>2737.7981363374215</v>
      </c>
      <c r="AF374" s="265">
        <f t="shared" si="515"/>
        <v>6006.0304759120281</v>
      </c>
      <c r="AG374" s="266">
        <f t="shared" si="516"/>
        <v>5485.1109787304495</v>
      </c>
      <c r="AH374" s="265">
        <f t="shared" si="517"/>
        <v>12604.459004655408</v>
      </c>
      <c r="AI374" s="265">
        <f t="shared" si="518"/>
        <v>2995.2458042091785</v>
      </c>
      <c r="AJ374" s="265">
        <f t="shared" si="519"/>
        <v>6512.6103140243349</v>
      </c>
      <c r="AK374" s="265">
        <f t="shared" si="520"/>
        <v>5969.0553366030017</v>
      </c>
      <c r="AL374" s="266">
        <f t="shared" si="521"/>
        <v>28081.370459491925</v>
      </c>
      <c r="AM374" s="347"/>
      <c r="AN374" s="264">
        <f>IFERROR(VLOOKUP($A374,'HH &amp; SI'!$B$4:$Z$494,'HH &amp; SI'!V$503,0),0)</f>
        <v>16011.29317202637</v>
      </c>
      <c r="AO374" s="265">
        <f>IFERROR(VLOOKUP($A374,'HH &amp; SI'!$B$4:$Z$494,'HH &amp; SI'!W$503,0),0)</f>
        <v>3761.4134546899372</v>
      </c>
      <c r="AP374" s="265">
        <f>IFERROR(VLOOKUP($A374,'HH &amp; SI'!$B$4:$Z$494,'HH &amp; SI'!X$503,0),0)</f>
        <v>7919.2946576098657</v>
      </c>
      <c r="AQ374" s="265">
        <f>IFERROR(VLOOKUP($A374,'HH &amp; SI'!$B$4:$Z$494,'HH &amp; SI'!Y$503,0),0)</f>
        <v>7659.9095466721874</v>
      </c>
      <c r="AR374" s="266">
        <f t="shared" si="533"/>
        <v>35351.910830998357</v>
      </c>
      <c r="AS374" s="347"/>
      <c r="AT374" s="324">
        <f>IFERROR(VLOOKUP(A374,'Afton FY16 Final'!$A$5:$BV$572,'Afton FY16 Final'!$BV$587,0),0)</f>
        <v>36479.822855358514</v>
      </c>
      <c r="AU374" s="347"/>
      <c r="AV374" s="454">
        <v>0</v>
      </c>
      <c r="AW374" s="265">
        <f>IFERROR(VLOOKUP($A374,'HH &amp; SI'!$B$4:$EY$503,'HH &amp; SI'!EX$503,0),0)</f>
        <v>0</v>
      </c>
      <c r="AX374" s="265">
        <f>IFERROR(VLOOKUP($A374,'HH &amp; SI'!$B$4:$EY$503,'HH &amp; SI'!EY$503,0),0)</f>
        <v>35351.910830998357</v>
      </c>
      <c r="AY374" s="265">
        <f>AX374/$AX$582*'update_State Admin 1004(b)'!$B$30*0.01</f>
        <v>338.34318235212879</v>
      </c>
      <c r="AZ374" s="266">
        <f t="shared" si="523"/>
        <v>35013.567648646225</v>
      </c>
      <c r="BA374" s="264">
        <f t="shared" si="524"/>
        <v>350.13567648646227</v>
      </c>
      <c r="BB374" s="265">
        <f t="shared" si="525"/>
        <v>34663.431972159764</v>
      </c>
      <c r="BC374" s="342">
        <f t="shared" si="499"/>
        <v>0.95020834146040978</v>
      </c>
      <c r="BD374" s="347"/>
      <c r="BE374" s="377" t="str">
        <f>'Original Title I &amp; II'!AZ372</f>
        <v/>
      </c>
      <c r="BF374" s="244" t="str">
        <f t="shared" si="526"/>
        <v/>
      </c>
      <c r="BG374" s="266">
        <f t="shared" si="503"/>
        <v>34663.431972159764</v>
      </c>
      <c r="BI374" s="203" t="str">
        <f>IFERROR(VLOOKUP(A374,'Title II Hold Harmless'!A$1:B$439,2, FALSE),"")</f>
        <v/>
      </c>
      <c r="BJ374" s="203">
        <f t="shared" ref="BJ374:BJ380" si="536">IFERROR($BI$587*(0.8*($S374/$S$584)+0.2*($R374/$R$584))+$BI374,$BI$587*(0.8*($S374/$S$584)+0.2*($R374/$R$584)))</f>
        <v>345.38337930399263</v>
      </c>
      <c r="BK374" s="203">
        <f t="shared" si="528"/>
        <v>345.71750037346453</v>
      </c>
      <c r="BL374" s="203" t="str">
        <f t="shared" si="529"/>
        <v/>
      </c>
      <c r="BM374" s="203">
        <f t="shared" si="530"/>
        <v>345.71750037346453</v>
      </c>
      <c r="BN374" s="200"/>
      <c r="BP374" s="298" t="s">
        <v>1448</v>
      </c>
      <c r="BQ374" s="299" t="str">
        <f t="shared" si="480"/>
        <v>Y</v>
      </c>
      <c r="BR374" s="300" t="s">
        <v>1448</v>
      </c>
      <c r="BT374" s="298" t="str">
        <f t="shared" si="481"/>
        <v>Y</v>
      </c>
      <c r="BU374" s="299" t="str">
        <f t="shared" si="531"/>
        <v>Y</v>
      </c>
      <c r="BV374" s="299" t="str">
        <f t="shared" si="532"/>
        <v>Y</v>
      </c>
      <c r="BW374" s="300" t="str">
        <f t="shared" si="482"/>
        <v>Y</v>
      </c>
      <c r="BY374" s="355">
        <f t="shared" si="483"/>
        <v>0</v>
      </c>
      <c r="BZ374" s="356">
        <f t="shared" si="484"/>
        <v>0</v>
      </c>
      <c r="CA374" s="356">
        <f t="shared" si="485"/>
        <v>0.95</v>
      </c>
      <c r="CB374" s="357">
        <f t="shared" si="486"/>
        <v>0.95</v>
      </c>
      <c r="CD374" s="312">
        <f t="shared" si="487"/>
        <v>367</v>
      </c>
    </row>
    <row r="375" spans="1:82" s="48" customFormat="1" outlineLevel="1" x14ac:dyDescent="0.3">
      <c r="A375" s="202">
        <v>88620000</v>
      </c>
      <c r="B375" s="48">
        <f>VLOOKUP(C375,'NCES ID'!$A$2:$B$3136,2,FALSE)</f>
        <v>400074</v>
      </c>
      <c r="C375" s="48">
        <f>VLOOKUP(A375,'State ID'!$A$2:$B$713,2,FALSE)</f>
        <v>4383</v>
      </c>
      <c r="D375" s="48" t="s">
        <v>241</v>
      </c>
      <c r="E375" s="48" t="s">
        <v>5</v>
      </c>
      <c r="F375" s="755"/>
      <c r="G375" s="755"/>
      <c r="H375" s="755"/>
      <c r="I375" s="755"/>
      <c r="J375" s="755"/>
      <c r="K375" s="755"/>
      <c r="L375" s="454"/>
      <c r="M375" s="455"/>
      <c r="N375" s="456"/>
      <c r="O375" s="209">
        <f>VLOOKUP($C375,'AzEDS FY17 12-04-16'!$A$1:$D$712,3,FALSE)</f>
        <v>1333</v>
      </c>
      <c r="P375" s="223">
        <f>VLOOKUP($C375,'AzEDS FY17 12-04-16'!$A$1:$D$712,4,FALSE)</f>
        <v>352</v>
      </c>
      <c r="Q375" s="749"/>
      <c r="R375" s="454">
        <f>O375</f>
        <v>1333</v>
      </c>
      <c r="S375" s="455">
        <f t="shared" si="534"/>
        <v>214.26817056253137</v>
      </c>
      <c r="T375" s="230">
        <f t="shared" si="508"/>
        <v>0.16074131325021107</v>
      </c>
      <c r="U375" s="264"/>
      <c r="V375" s="265"/>
      <c r="W375" s="265"/>
      <c r="X375" s="265"/>
      <c r="Y375" s="266"/>
      <c r="Z375" s="265">
        <f t="shared" si="535"/>
        <v>104188.09956499096</v>
      </c>
      <c r="AA375" s="265">
        <f t="shared" si="535"/>
        <v>24710.383179250577</v>
      </c>
      <c r="AB375" s="265">
        <f t="shared" si="535"/>
        <v>54208.275064641901</v>
      </c>
      <c r="AC375" s="266">
        <f t="shared" si="535"/>
        <v>49506.642679823541</v>
      </c>
      <c r="AD375" s="265">
        <f t="shared" si="513"/>
        <v>104188.09956499096</v>
      </c>
      <c r="AE375" s="265">
        <f t="shared" si="514"/>
        <v>24710.383179250577</v>
      </c>
      <c r="AF375" s="265">
        <f t="shared" si="515"/>
        <v>54208.275064641901</v>
      </c>
      <c r="AG375" s="266">
        <f t="shared" si="516"/>
        <v>49506.642679823541</v>
      </c>
      <c r="AH375" s="265">
        <f t="shared" si="517"/>
        <v>105248.99072011613</v>
      </c>
      <c r="AI375" s="265">
        <f t="shared" si="518"/>
        <v>24967.830847122335</v>
      </c>
      <c r="AJ375" s="265">
        <f t="shared" si="519"/>
        <v>54714.85490275421</v>
      </c>
      <c r="AK375" s="265">
        <f t="shared" si="520"/>
        <v>49990.587037696096</v>
      </c>
      <c r="AL375" s="266">
        <f t="shared" ref="AL375" si="537">SUM(AH375:AK375)</f>
        <v>234922.26350768877</v>
      </c>
      <c r="AM375" s="347"/>
      <c r="AN375" s="264">
        <f>IFERROR(VLOOKUP($A375,'HH &amp; SI'!$B$4:$Z$494,'HH &amp; SI'!V$503,0),0)</f>
        <v>103813.32617339824</v>
      </c>
      <c r="AO375" s="265">
        <f>IFERROR(VLOOKUP($A375,'HH &amp; SI'!$B$4:$Z$494,'HH &amp; SI'!W$503,0),0)</f>
        <v>24145.481783786145</v>
      </c>
      <c r="AP375" s="265">
        <f>IFERROR(VLOOKUP($A375,'HH &amp; SI'!$B$4:$Z$494,'HH &amp; SI'!X$503,0),0)</f>
        <v>54217.244660021024</v>
      </c>
      <c r="AQ375" s="265">
        <f>IFERROR(VLOOKUP($A375,'HH &amp; SI'!$B$4:$Z$494,'HH &amp; SI'!Y$503,0),0)</f>
        <v>49439.78075619405</v>
      </c>
      <c r="AR375" s="266">
        <f t="shared" si="533"/>
        <v>231615.83337339948</v>
      </c>
      <c r="AS375" s="347"/>
      <c r="AT375" s="324">
        <f>IFERROR(VLOOKUP(A375,'Afton FY16 Final'!$A$5:$BV$572,'Afton FY16 Final'!$BV$587,0),0)</f>
        <v>212124.51750708267</v>
      </c>
      <c r="AU375" s="347"/>
      <c r="AV375" s="454">
        <v>0</v>
      </c>
      <c r="AW375" s="265">
        <f>IFERROR(VLOOKUP($A375,'HH &amp; SI'!$B$4:$EY$503,'HH &amp; SI'!EX$503,0),0)</f>
        <v>12973.521059377177</v>
      </c>
      <c r="AX375" s="265">
        <f>IFERROR(VLOOKUP($A375,'HH &amp; SI'!$B$4:$EY$503,'HH &amp; SI'!EY$503,0),0)</f>
        <v>218642.3123140223</v>
      </c>
      <c r="AY375" s="265">
        <f>AX375/$AX$582*'update_State Admin 1004(b)'!$B$30*0.01</f>
        <v>2092.5639945970984</v>
      </c>
      <c r="AZ375" s="266">
        <f t="shared" si="523"/>
        <v>216549.74831942521</v>
      </c>
      <c r="BA375" s="264">
        <f t="shared" si="524"/>
        <v>2165.4974831942523</v>
      </c>
      <c r="BB375" s="265">
        <f t="shared" si="525"/>
        <v>214384.25083623096</v>
      </c>
      <c r="BC375" s="342">
        <f t="shared" si="499"/>
        <v>1.0106528625531126</v>
      </c>
      <c r="BD375" s="347"/>
      <c r="BE375" s="377">
        <f>'Original Title I &amp; II'!AZ373</f>
        <v>0</v>
      </c>
      <c r="BF375" s="244"/>
      <c r="BG375" s="266">
        <f t="shared" si="503"/>
        <v>214384.25083623096</v>
      </c>
      <c r="BI375" s="203">
        <f>IFERROR(VLOOKUP(A375,'Title II Hold Harmless'!A$1:B$439,2, FALSE),"")</f>
        <v>15846</v>
      </c>
      <c r="BJ375" s="203">
        <f t="shared" si="536"/>
        <v>19723.759560832459</v>
      </c>
      <c r="BK375" s="203">
        <f t="shared" si="528"/>
        <v>19742.840165266156</v>
      </c>
      <c r="BL375" s="203"/>
      <c r="BM375" s="203">
        <f t="shared" si="530"/>
        <v>19742.840165266156</v>
      </c>
      <c r="BN375" s="200"/>
      <c r="BP375" s="298" t="s">
        <v>1448</v>
      </c>
      <c r="BQ375" s="299" t="str">
        <f t="shared" si="480"/>
        <v>Y</v>
      </c>
      <c r="BR375" s="300" t="s">
        <v>1448</v>
      </c>
      <c r="BT375" s="298" t="str">
        <f t="shared" si="481"/>
        <v>Y</v>
      </c>
      <c r="BU375" s="299" t="str">
        <f t="shared" si="531"/>
        <v>Y</v>
      </c>
      <c r="BV375" s="299" t="str">
        <f t="shared" si="532"/>
        <v>Y</v>
      </c>
      <c r="BW375" s="300" t="str">
        <f t="shared" si="482"/>
        <v>Y</v>
      </c>
      <c r="BY375" s="355">
        <f t="shared" si="483"/>
        <v>0</v>
      </c>
      <c r="BZ375" s="356">
        <f t="shared" si="484"/>
        <v>0.9</v>
      </c>
      <c r="CA375" s="356">
        <f t="shared" si="485"/>
        <v>0</v>
      </c>
      <c r="CB375" s="357">
        <f t="shared" si="486"/>
        <v>0.9</v>
      </c>
      <c r="CD375" s="312">
        <f t="shared" si="487"/>
        <v>368</v>
      </c>
    </row>
    <row r="376" spans="1:82" s="48" customFormat="1" outlineLevel="1" x14ac:dyDescent="0.3">
      <c r="A376" s="202">
        <v>88759000</v>
      </c>
      <c r="B376" s="48">
        <f>VLOOKUP(C376,'NCES ID'!$A$2:$B$3136,2,FALSE)</f>
        <v>400281</v>
      </c>
      <c r="C376" s="48">
        <f>VLOOKUP(A376,'State ID'!$A$2:$B$713,2,FALSE)</f>
        <v>79499</v>
      </c>
      <c r="D376" s="48" t="s">
        <v>276</v>
      </c>
      <c r="E376" s="48" t="s">
        <v>5</v>
      </c>
      <c r="F376" s="755"/>
      <c r="G376" s="755"/>
      <c r="H376" s="755"/>
      <c r="I376" s="755"/>
      <c r="J376" s="755"/>
      <c r="K376" s="755"/>
      <c r="L376" s="454"/>
      <c r="M376" s="455"/>
      <c r="N376" s="456"/>
      <c r="O376" s="209">
        <f>VLOOKUP($C376,'Final SEA Counts'!$A$2:$F$709,5,FALSE)</f>
        <v>529</v>
      </c>
      <c r="P376" s="223">
        <f>VLOOKUP($C376,'Final SEA Counts'!$A$2:$F$709,6,FALSE)</f>
        <v>323</v>
      </c>
      <c r="Q376" s="749"/>
      <c r="R376" s="454">
        <f t="shared" ref="R376:R381" si="538">O376</f>
        <v>529</v>
      </c>
      <c r="S376" s="455">
        <f t="shared" si="534"/>
        <v>196.61539514686828</v>
      </c>
      <c r="T376" s="230">
        <f t="shared" si="508"/>
        <v>0.37167371483339939</v>
      </c>
      <c r="U376" s="264" t="str">
        <f>IFERROR(VLOOKUP($B376,#REF!,8,FALSE),"")</f>
        <v/>
      </c>
      <c r="V376" s="265" t="str">
        <f>IFERROR(VLOOKUP($B376,#REF!,9,FALSE),"")</f>
        <v/>
      </c>
      <c r="W376" s="265" t="str">
        <f>IFERROR(VLOOKUP($B376,#REF!,10,FALSE),"")</f>
        <v/>
      </c>
      <c r="X376" s="265" t="str">
        <f>IFERROR(VLOOKUP($B376,#REF!,11,FALSE),"")</f>
        <v/>
      </c>
      <c r="Y376" s="266" t="str">
        <f>IFERROR(VLOOKUP($B376,#REF!,12,FALSE),"")</f>
        <v/>
      </c>
      <c r="Z376" s="265">
        <f t="shared" si="535"/>
        <v>95604.42090764796</v>
      </c>
      <c r="AA376" s="265">
        <f t="shared" si="535"/>
        <v>22674.584565050955</v>
      </c>
      <c r="AB376" s="265">
        <f t="shared" si="535"/>
        <v>49742.25240306629</v>
      </c>
      <c r="AC376" s="266">
        <f t="shared" si="535"/>
        <v>45427.970413588082</v>
      </c>
      <c r="AD376" s="265">
        <f t="shared" si="513"/>
        <v>95604.42090764796</v>
      </c>
      <c r="AE376" s="265">
        <f t="shared" si="514"/>
        <v>22674.584565050955</v>
      </c>
      <c r="AF376" s="265">
        <f t="shared" si="515"/>
        <v>49742.25240306629</v>
      </c>
      <c r="AG376" s="266">
        <f t="shared" si="516"/>
        <v>45427.970413588082</v>
      </c>
      <c r="AH376" s="265">
        <f t="shared" si="517"/>
        <v>96665.312062773126</v>
      </c>
      <c r="AI376" s="265">
        <f t="shared" si="518"/>
        <v>22932.032232922713</v>
      </c>
      <c r="AJ376" s="265">
        <f t="shared" si="519"/>
        <v>50248.832241178599</v>
      </c>
      <c r="AK376" s="265">
        <f t="shared" si="520"/>
        <v>45911.914771460637</v>
      </c>
      <c r="AL376" s="266">
        <f t="shared" si="521"/>
        <v>215758.09130833508</v>
      </c>
      <c r="AM376" s="347"/>
      <c r="AN376" s="264">
        <f>IFERROR(VLOOKUP($A376,'HH &amp; SI'!$B$4:$Z$494,'HH &amp; SI'!V$503,0),0)</f>
        <v>112760.08811167527</v>
      </c>
      <c r="AO376" s="265">
        <f>IFERROR(VLOOKUP($A376,'HH &amp; SI'!$B$4:$Z$494,'HH &amp; SI'!W$503,0),0)</f>
        <v>26296.55826243545</v>
      </c>
      <c r="AP376" s="265">
        <f>IFERROR(VLOOKUP($A376,'HH &amp; SI'!$B$4:$Z$494,'HH &amp; SI'!X$503,0),0)</f>
        <v>55771.907601726423</v>
      </c>
      <c r="AQ376" s="265">
        <f>IFERROR(VLOOKUP($A376,'HH &amp; SI'!$B$4:$Z$494,'HH &amp; SI'!Y$503,0),0)</f>
        <v>53945.178951520364</v>
      </c>
      <c r="AR376" s="266">
        <f t="shared" si="533"/>
        <v>248773.73292735749</v>
      </c>
      <c r="AS376" s="347"/>
      <c r="AT376" s="324">
        <f>IFERROR(VLOOKUP(A376,'Afton FY16 Final'!$A$5:$BV$572,'Afton FY16 Final'!$BV$587,0),0)</f>
        <v>252599.09094294033</v>
      </c>
      <c r="AU376" s="347"/>
      <c r="AV376" s="454">
        <v>0</v>
      </c>
      <c r="AW376" s="265">
        <f>IFERROR(VLOOKUP($A376,'HH &amp; SI'!$B$4:$EY$503,'HH &amp; SI'!EX$503,0),0)</f>
        <v>0</v>
      </c>
      <c r="AX376" s="265">
        <f>IFERROR(VLOOKUP($A376,'HH &amp; SI'!$B$4:$EY$503,'HH &amp; SI'!EY$503,0),0)</f>
        <v>248773.73292735749</v>
      </c>
      <c r="AY376" s="265">
        <f>AX376/$AX$582*'update_State Admin 1004(b)'!$B$30*0.01</f>
        <v>2380.9433353304166</v>
      </c>
      <c r="AZ376" s="266">
        <f t="shared" si="523"/>
        <v>246392.78959202708</v>
      </c>
      <c r="BA376" s="264">
        <f t="shared" si="524"/>
        <v>2463.9278959202707</v>
      </c>
      <c r="BB376" s="265">
        <f t="shared" si="525"/>
        <v>243928.86169610682</v>
      </c>
      <c r="BC376" s="342">
        <f t="shared" si="499"/>
        <v>0.96567592854563344</v>
      </c>
      <c r="BD376" s="347"/>
      <c r="BE376" s="377" t="str">
        <f>'Original Title I &amp; II'!AZ374</f>
        <v/>
      </c>
      <c r="BF376" s="244" t="str">
        <f>IF(BE376&lt;0,BB376*BE376/100,"")</f>
        <v/>
      </c>
      <c r="BG376" s="266">
        <f t="shared" si="503"/>
        <v>243928.86169610682</v>
      </c>
      <c r="BI376" s="203">
        <f>IFERROR(VLOOKUP(A376,'Title II Hold Harmless'!A$1:B$439,2, FALSE),"")</f>
        <v>6962</v>
      </c>
      <c r="BJ376" s="203">
        <f t="shared" si="536"/>
        <v>9961.6100261985375</v>
      </c>
      <c r="BK376" s="203">
        <f t="shared" si="528"/>
        <v>9971.2468066432793</v>
      </c>
      <c r="BL376" s="203" t="str">
        <f t="shared" si="529"/>
        <v/>
      </c>
      <c r="BM376" s="203">
        <f t="shared" si="530"/>
        <v>9971.2468066432793</v>
      </c>
      <c r="BN376" s="200"/>
      <c r="BP376" s="298" t="s">
        <v>1448</v>
      </c>
      <c r="BQ376" s="299" t="str">
        <f t="shared" si="480"/>
        <v>Y</v>
      </c>
      <c r="BR376" s="300" t="s">
        <v>1448</v>
      </c>
      <c r="BT376" s="298" t="str">
        <f t="shared" si="481"/>
        <v>Y</v>
      </c>
      <c r="BU376" s="299" t="str">
        <f t="shared" si="531"/>
        <v>Y</v>
      </c>
      <c r="BV376" s="299" t="str">
        <f t="shared" si="532"/>
        <v>Y</v>
      </c>
      <c r="BW376" s="300" t="str">
        <f t="shared" si="482"/>
        <v>Y</v>
      </c>
      <c r="BY376" s="355">
        <f t="shared" si="483"/>
        <v>0</v>
      </c>
      <c r="BZ376" s="356">
        <f t="shared" si="484"/>
        <v>0</v>
      </c>
      <c r="CA376" s="356">
        <f t="shared" si="485"/>
        <v>0.95</v>
      </c>
      <c r="CB376" s="357">
        <f t="shared" si="486"/>
        <v>0.95</v>
      </c>
      <c r="CD376" s="312">
        <f t="shared" si="487"/>
        <v>369</v>
      </c>
    </row>
    <row r="377" spans="1:82" s="909" customFormat="1" outlineLevel="1" x14ac:dyDescent="0.3">
      <c r="A377" s="908">
        <v>88703000</v>
      </c>
      <c r="B377" s="909">
        <f>VLOOKUP(C377,'NCES ID'!$A$2:$B$3136,2,FALSE)</f>
        <v>400413</v>
      </c>
      <c r="C377" s="909">
        <f>VLOOKUP(A377,'State ID'!$A$2:$B$713,2,FALSE)</f>
        <v>85516</v>
      </c>
      <c r="D377" s="909" t="s">
        <v>802</v>
      </c>
      <c r="E377" s="909" t="s">
        <v>5</v>
      </c>
      <c r="F377" s="910"/>
      <c r="G377" s="910"/>
      <c r="H377" s="910"/>
      <c r="I377" s="910"/>
      <c r="J377" s="910"/>
      <c r="K377" s="910"/>
      <c r="L377" s="911"/>
      <c r="M377" s="912"/>
      <c r="N377" s="913"/>
      <c r="O377" s="914">
        <v>469</v>
      </c>
      <c r="P377" s="915">
        <v>293</v>
      </c>
      <c r="Q377" s="916"/>
      <c r="R377" s="911">
        <f t="shared" ref="R377" si="539">O377</f>
        <v>469</v>
      </c>
      <c r="S377" s="912">
        <f t="shared" si="534"/>
        <v>178.3539033375616</v>
      </c>
      <c r="T377" s="917">
        <f t="shared" ref="T377" si="540">S377/R377</f>
        <v>0.38028550818243412</v>
      </c>
      <c r="U377" s="918" t="str">
        <f>IFERROR(VLOOKUP($B377,#REF!,8,FALSE),"")</f>
        <v/>
      </c>
      <c r="V377" s="919" t="str">
        <f>IFERROR(VLOOKUP($B377,#REF!,9,FALSE),"")</f>
        <v/>
      </c>
      <c r="W377" s="919" t="str">
        <f>IFERROR(VLOOKUP($B377,#REF!,10,FALSE),"")</f>
        <v/>
      </c>
      <c r="X377" s="919" t="str">
        <f>IFERROR(VLOOKUP($B377,#REF!,11,FALSE),"")</f>
        <v/>
      </c>
      <c r="Y377" s="920" t="str">
        <f>IFERROR(VLOOKUP($B377,#REF!,12,FALSE),"")</f>
        <v/>
      </c>
      <c r="Z377" s="919">
        <f t="shared" si="535"/>
        <v>86724.75333108622</v>
      </c>
      <c r="AA377" s="919">
        <f t="shared" si="535"/>
        <v>20568.585998637551</v>
      </c>
      <c r="AB377" s="919">
        <f t="shared" si="535"/>
        <v>45122.228960057029</v>
      </c>
      <c r="AC377" s="920">
        <f t="shared" si="535"/>
        <v>41208.654276103116</v>
      </c>
      <c r="AD377" s="919">
        <f t="shared" ref="AD377" si="541">IF(BT377="Y",Z377,"")</f>
        <v>86724.75333108622</v>
      </c>
      <c r="AE377" s="919">
        <f t="shared" ref="AE377" si="542">IF(BU377="Y",AA377,"")</f>
        <v>20568.585998637551</v>
      </c>
      <c r="AF377" s="919">
        <f t="shared" ref="AF377" si="543">IF(BV377="Y",AB377,"")</f>
        <v>45122.228960057029</v>
      </c>
      <c r="AG377" s="920">
        <f t="shared" ref="AG377" si="544">IF(BW377="Y",AC377,"")</f>
        <v>41208.654276103116</v>
      </c>
      <c r="AH377" s="919">
        <f t="shared" si="517"/>
        <v>87785.644486211386</v>
      </c>
      <c r="AI377" s="919">
        <f t="shared" si="518"/>
        <v>20826.033666509309</v>
      </c>
      <c r="AJ377" s="919">
        <f t="shared" si="519"/>
        <v>45628.808798169339</v>
      </c>
      <c r="AK377" s="919">
        <f t="shared" si="520"/>
        <v>41692.598633975671</v>
      </c>
      <c r="AL377" s="920">
        <f t="shared" ref="AL377" si="545">SUM(AH377:AK377)</f>
        <v>195933.08558486571</v>
      </c>
      <c r="AM377" s="921"/>
      <c r="AN377" s="918">
        <f>IFERROR(VLOOKUP($A377,'HH &amp; SI'!$B$4:$Z$494,'HH &amp; SI'!V$503,0),0)</f>
        <v>86588.191316947443</v>
      </c>
      <c r="AO377" s="919">
        <f>IFERROR(VLOOKUP($A377,'HH &amp; SI'!$B$4:$Z$494,'HH &amp; SI'!W$503,0),0)</f>
        <v>20140.100259497471</v>
      </c>
      <c r="AP377" s="919">
        <f>IFERROR(VLOOKUP($A377,'HH &amp; SI'!$B$4:$Z$494,'HH &amp; SI'!X$503,0),0)</f>
        <v>45213.832597244793</v>
      </c>
      <c r="AQ377" s="919">
        <f>IFERROR(VLOOKUP($A377,'HH &amp; SI'!$B$4:$Z$494,'HH &amp; SI'!Y$503,0),0)</f>
        <v>41233.221247540489</v>
      </c>
      <c r="AR377" s="920">
        <f t="shared" ref="AR377" si="546">SUM(AN377:AQ377)</f>
        <v>193175.34542123019</v>
      </c>
      <c r="AS377" s="921"/>
      <c r="AT377" s="922">
        <f>IFERROR(VLOOKUP(A377,'Afton FY16 Final'!$A$5:$BV$572,'Afton FY16 Final'!$BV$587,0),0)</f>
        <v>175705.9232150742</v>
      </c>
      <c r="AU377" s="921"/>
      <c r="AV377" s="911">
        <v>0</v>
      </c>
      <c r="AW377" s="919">
        <f>IFERROR(VLOOKUP($A377,'HH &amp; SI'!$B$4:$EY$503,'HH &amp; SI'!EX$503,0),0)</f>
        <v>10820.350126644771</v>
      </c>
      <c r="AX377" s="919">
        <f>IFERROR(VLOOKUP($A377,'HH &amp; SI'!$B$4:$EY$503,'HH &amp; SI'!EY$503,0),0)</f>
        <v>182354.99529458542</v>
      </c>
      <c r="AY377" s="919">
        <f>AX377/$AX$582*'update_State Admin 1004(b)'!$B$30*0.01</f>
        <v>1745.2683030552639</v>
      </c>
      <c r="AZ377" s="920">
        <f t="shared" ref="AZ377" si="547">AX377-AY377</f>
        <v>180609.72699153016</v>
      </c>
      <c r="BA377" s="918">
        <f t="shared" ref="BA377" si="548">AZ377*0.01</f>
        <v>1806.0972699153017</v>
      </c>
      <c r="BB377" s="919">
        <f t="shared" ref="BB377" si="549">AZ377-BA377</f>
        <v>178803.62972161485</v>
      </c>
      <c r="BC377" s="923">
        <f t="shared" ref="BC377" si="550">IFERROR(BB377/AT377,"")</f>
        <v>1.017630063061385</v>
      </c>
      <c r="BD377" s="921"/>
      <c r="BE377" s="924" t="str">
        <f>'Original Title I &amp; II'!AZ375</f>
        <v/>
      </c>
      <c r="BF377" s="925" t="str">
        <f>IF(BE377&lt;0,BB377*BE377/100,"")</f>
        <v/>
      </c>
      <c r="BG377" s="920">
        <f t="shared" ref="BG377" si="551">IF(BF377&lt;0,BB377+BF377,BB377)</f>
        <v>178803.62972161485</v>
      </c>
      <c r="BI377" s="926" t="str">
        <f>IFERROR(VLOOKUP(A377,'Title II Hold Harmless'!A$1:B$439,2, FALSE),"")</f>
        <v/>
      </c>
      <c r="BJ377" s="926">
        <f t="shared" si="536"/>
        <v>2712.2628197091503</v>
      </c>
      <c r="BK377" s="926">
        <f t="shared" si="528"/>
        <v>2714.8866406811853</v>
      </c>
      <c r="BL377" s="926" t="str">
        <f t="shared" ref="BL377" si="552">IF(BE377&lt;0,BK377*BE377/100,"")</f>
        <v/>
      </c>
      <c r="BM377" s="926">
        <f t="shared" ref="BM377" si="553">IF(BL377&lt;0,BK377+BL377,BK377)</f>
        <v>2714.8866406811853</v>
      </c>
      <c r="BN377" s="926"/>
      <c r="BP377" s="927" t="s">
        <v>1448</v>
      </c>
      <c r="BQ377" s="928" t="str">
        <f t="shared" ref="BQ377" si="554">IF(OR(BP377="y",BP377="n"),"Y","N")</f>
        <v>Y</v>
      </c>
      <c r="BR377" s="929" t="s">
        <v>1448</v>
      </c>
      <c r="BT377" s="927" t="str">
        <f t="shared" ref="BT377" si="555">IF(AND(S377&gt;=10,T377&gt;0.02),"Y","N")</f>
        <v>Y</v>
      </c>
      <c r="BU377" s="928" t="str">
        <f t="shared" ref="BU377" si="556">IF(AND(BT377="Y",(OR(T377&gt;0.15,S377&gt;6500))),"Y","N")</f>
        <v>Y</v>
      </c>
      <c r="BV377" s="928" t="str">
        <f t="shared" ref="BV377" si="557">IF(AND(BT377="Y",T377&gt;=0.05),"Y","N")</f>
        <v>Y</v>
      </c>
      <c r="BW377" s="929" t="str">
        <f t="shared" ref="BW377" si="558">BV377</f>
        <v>Y</v>
      </c>
      <c r="BY377" s="930">
        <f t="shared" ref="BY377" si="559">IF(BT377="NA","NA",IF($T377&lt;0.15,0.85,0))</f>
        <v>0</v>
      </c>
      <c r="BZ377" s="931">
        <f t="shared" ref="BZ377" si="560">IF(BT377="NA","NA",IF(AND($T377&gt;=0.15,$T377&lt;0.3),0.9,0))</f>
        <v>0</v>
      </c>
      <c r="CA377" s="931">
        <f t="shared" ref="CA377" si="561">IF(BT377="NA","NA",IF($T377&gt;=0.3,0.95,0))</f>
        <v>0.95</v>
      </c>
      <c r="CB377" s="932">
        <f t="shared" ref="CB377" si="562">IF(BY377="NA","NA",MAX(BY377:CA377))</f>
        <v>0.95</v>
      </c>
      <c r="CD377" s="933">
        <f t="shared" si="487"/>
        <v>370</v>
      </c>
    </row>
    <row r="378" spans="1:82" s="48" customFormat="1" outlineLevel="1" x14ac:dyDescent="0.3">
      <c r="A378" s="202">
        <v>88758000</v>
      </c>
      <c r="B378" s="48">
        <f>VLOOKUP(C378,'NCES ID'!$A$2:$B$3136,2,FALSE)</f>
        <v>400280</v>
      </c>
      <c r="C378" s="48">
        <f>VLOOKUP(A378,'State ID'!$A$2:$B$713,2,FALSE)</f>
        <v>79498</v>
      </c>
      <c r="D378" s="48" t="s">
        <v>290</v>
      </c>
      <c r="E378" s="48" t="s">
        <v>5</v>
      </c>
      <c r="F378" s="755"/>
      <c r="G378" s="755"/>
      <c r="H378" s="755"/>
      <c r="I378" s="755"/>
      <c r="J378" s="755"/>
      <c r="K378" s="755"/>
      <c r="L378" s="454"/>
      <c r="M378" s="455"/>
      <c r="N378" s="456"/>
      <c r="O378" s="209">
        <f>VLOOKUP($C378,'Final SEA Counts'!$A$2:$F$709,5,FALSE)</f>
        <v>418</v>
      </c>
      <c r="P378" s="223">
        <f>VLOOKUP($C378,'Final SEA Counts'!$A$2:$F$709,6,FALSE)</f>
        <v>276</v>
      </c>
      <c r="Q378" s="749"/>
      <c r="R378" s="454">
        <f t="shared" si="538"/>
        <v>418</v>
      </c>
      <c r="S378" s="455">
        <f t="shared" si="534"/>
        <v>168.00572464562117</v>
      </c>
      <c r="T378" s="230">
        <f t="shared" si="508"/>
        <v>0.40192757092253867</v>
      </c>
      <c r="U378" s="264" t="str">
        <f>IFERROR(VLOOKUP($B378,#REF!,8,FALSE),"")</f>
        <v/>
      </c>
      <c r="V378" s="265" t="str">
        <f>IFERROR(VLOOKUP($B378,#REF!,9,FALSE),"")</f>
        <v/>
      </c>
      <c r="W378" s="265" t="str">
        <f>IFERROR(VLOOKUP($B378,#REF!,10,FALSE),"")</f>
        <v/>
      </c>
      <c r="X378" s="265" t="str">
        <f>IFERROR(VLOOKUP($B378,#REF!,11,FALSE),"")</f>
        <v/>
      </c>
      <c r="Y378" s="266" t="str">
        <f>IFERROR(VLOOKUP($B378,#REF!,12,FALSE),"")</f>
        <v/>
      </c>
      <c r="Z378" s="265">
        <f t="shared" si="535"/>
        <v>81692.941704367899</v>
      </c>
      <c r="AA378" s="265">
        <f t="shared" si="535"/>
        <v>19375.186811003292</v>
      </c>
      <c r="AB378" s="265">
        <f t="shared" si="535"/>
        <v>42504.215675685118</v>
      </c>
      <c r="AC378" s="266">
        <f t="shared" si="535"/>
        <v>38817.708464861636</v>
      </c>
      <c r="AD378" s="265">
        <f t="shared" si="513"/>
        <v>81692.941704367899</v>
      </c>
      <c r="AE378" s="265">
        <f t="shared" si="514"/>
        <v>19375.186811003292</v>
      </c>
      <c r="AF378" s="265">
        <f t="shared" si="515"/>
        <v>42504.215675685118</v>
      </c>
      <c r="AG378" s="266">
        <f t="shared" si="516"/>
        <v>38817.708464861636</v>
      </c>
      <c r="AH378" s="265">
        <f t="shared" si="517"/>
        <v>82753.832859493064</v>
      </c>
      <c r="AI378" s="265">
        <f t="shared" si="518"/>
        <v>19632.63447887505</v>
      </c>
      <c r="AJ378" s="265">
        <f t="shared" si="519"/>
        <v>43010.795513797428</v>
      </c>
      <c r="AK378" s="265">
        <f t="shared" si="520"/>
        <v>39301.652822734191</v>
      </c>
      <c r="AL378" s="266">
        <f t="shared" si="521"/>
        <v>184698.91567489976</v>
      </c>
      <c r="AM378" s="347"/>
      <c r="AN378" s="264">
        <f>IFERROR(VLOOKUP($A378,'HH &amp; SI'!$B$4:$Z$494,'HH &amp; SI'!V$503,0),0)</f>
        <v>81625.016866783641</v>
      </c>
      <c r="AO378" s="265">
        <f>IFERROR(VLOOKUP($A378,'HH &amp; SI'!$B$4:$Z$494,'HH &amp; SI'!W$503,0),0)</f>
        <v>18986.007277922774</v>
      </c>
      <c r="AP378" s="265">
        <f>IFERROR(VLOOKUP($A378,'HH &amp; SI'!$B$4:$Z$494,'HH &amp; SI'!X$503,0),0)</f>
        <v>42619.629121529608</v>
      </c>
      <c r="AQ378" s="265">
        <f>IFERROR(VLOOKUP($A378,'HH &amp; SI'!$B$4:$Z$494,'HH &amp; SI'!Y$503,0),0)</f>
        <v>38868.619355216579</v>
      </c>
      <c r="AR378" s="266">
        <f t="shared" si="533"/>
        <v>182099.27262145258</v>
      </c>
      <c r="AS378" s="347"/>
      <c r="AT378" s="324">
        <f>IFERROR(VLOOKUP(A378,'Afton FY16 Final'!$A$5:$BV$572,'Afton FY16 Final'!$BV$587,0),0)</f>
        <v>181400.48236737531</v>
      </c>
      <c r="AU378" s="347"/>
      <c r="AV378" s="454">
        <v>0</v>
      </c>
      <c r="AW378" s="265">
        <f>IFERROR(VLOOKUP($A378,'HH &amp; SI'!$B$4:$EY$503,'HH &amp; SI'!EX$503,0),0)</f>
        <v>698.79025407726294</v>
      </c>
      <c r="AX378" s="265">
        <f>IFERROR(VLOOKUP($A378,'HH &amp; SI'!$B$4:$EY$503,'HH &amp; SI'!EY$503,0),0)</f>
        <v>181400.48236737531</v>
      </c>
      <c r="AY378" s="265">
        <f>AX378/$AX$582*'update_State Admin 1004(b)'!$B$30*0.01</f>
        <v>1736.1329286498346</v>
      </c>
      <c r="AZ378" s="266">
        <f t="shared" si="523"/>
        <v>179664.34943872548</v>
      </c>
      <c r="BA378" s="264">
        <f t="shared" si="524"/>
        <v>1796.6434943872548</v>
      </c>
      <c r="BB378" s="265">
        <f t="shared" si="525"/>
        <v>177867.70594433823</v>
      </c>
      <c r="BC378" s="342">
        <f t="shared" si="499"/>
        <v>0.98052498881517614</v>
      </c>
      <c r="BD378" s="347"/>
      <c r="BE378" s="377" t="str">
        <f>'Original Title I &amp; II'!AZ375</f>
        <v/>
      </c>
      <c r="BF378" s="244" t="str">
        <f>IF(BE378&lt;0,BB378*BE378/100,"")</f>
        <v/>
      </c>
      <c r="BG378" s="266">
        <f t="shared" si="503"/>
        <v>177867.70594433823</v>
      </c>
      <c r="BI378" s="203">
        <f>IFERROR(VLOOKUP(A378,'Title II Hold Harmless'!A$1:B$439,2, FALSE),"")</f>
        <v>6332</v>
      </c>
      <c r="BJ378" s="203">
        <f t="shared" si="536"/>
        <v>8867.7511413104712</v>
      </c>
      <c r="BK378" s="203">
        <f t="shared" si="528"/>
        <v>8876.3297315747641</v>
      </c>
      <c r="BL378" s="203" t="str">
        <f t="shared" si="529"/>
        <v/>
      </c>
      <c r="BM378" s="203">
        <f t="shared" si="530"/>
        <v>8876.3297315747641</v>
      </c>
      <c r="BN378" s="200"/>
      <c r="BP378" s="298" t="s">
        <v>1448</v>
      </c>
      <c r="BQ378" s="299" t="str">
        <f t="shared" si="480"/>
        <v>Y</v>
      </c>
      <c r="BR378" s="300" t="s">
        <v>1448</v>
      </c>
      <c r="BT378" s="298" t="str">
        <f t="shared" si="481"/>
        <v>Y</v>
      </c>
      <c r="BU378" s="299" t="str">
        <f t="shared" si="531"/>
        <v>Y</v>
      </c>
      <c r="BV378" s="299" t="str">
        <f t="shared" si="532"/>
        <v>Y</v>
      </c>
      <c r="BW378" s="300" t="str">
        <f t="shared" si="482"/>
        <v>Y</v>
      </c>
      <c r="BY378" s="355">
        <f t="shared" si="483"/>
        <v>0</v>
      </c>
      <c r="BZ378" s="356">
        <f t="shared" si="484"/>
        <v>0</v>
      </c>
      <c r="CA378" s="356">
        <f t="shared" si="485"/>
        <v>0.95</v>
      </c>
      <c r="CB378" s="357">
        <f t="shared" si="486"/>
        <v>0.95</v>
      </c>
      <c r="CD378" s="312">
        <f>CD376+1</f>
        <v>370</v>
      </c>
    </row>
    <row r="379" spans="1:82" s="48" customFormat="1" outlineLevel="1" x14ac:dyDescent="0.3">
      <c r="A379" s="202">
        <v>88702000</v>
      </c>
      <c r="B379" s="48">
        <f>VLOOKUP(C379,'NCES ID'!$A$2:$B$3136,2,FALSE)</f>
        <v>400248</v>
      </c>
      <c r="C379" s="48">
        <f>VLOOKUP(A379,'State ID'!$A$2:$B$713,2,FALSE)</f>
        <v>79218</v>
      </c>
      <c r="D379" s="48" t="s">
        <v>408</v>
      </c>
      <c r="E379" s="48" t="s">
        <v>5</v>
      </c>
      <c r="F379" s="755"/>
      <c r="G379" s="755"/>
      <c r="H379" s="755"/>
      <c r="I379" s="755"/>
      <c r="J379" s="755"/>
      <c r="K379" s="755"/>
      <c r="L379" s="454"/>
      <c r="M379" s="455"/>
      <c r="N379" s="456"/>
      <c r="O379" s="209">
        <f>VLOOKUP($C379,'Final SEA Counts'!$A$2:$F$709,5,FALSE)</f>
        <v>447</v>
      </c>
      <c r="P379" s="223">
        <f>VLOOKUP($C379,'Final SEA Counts'!$A$2:$F$709,6,FALSE)</f>
        <v>233</v>
      </c>
      <c r="Q379" s="749"/>
      <c r="R379" s="454">
        <f t="shared" si="538"/>
        <v>447</v>
      </c>
      <c r="S379" s="455">
        <f t="shared" si="534"/>
        <v>141.83091971894831</v>
      </c>
      <c r="T379" s="230">
        <f t="shared" si="508"/>
        <v>0.31729512241375463</v>
      </c>
      <c r="U379" s="264" t="str">
        <f>IFERROR(VLOOKUP($B379,#REF!,8,FALSE),"")</f>
        <v/>
      </c>
      <c r="V379" s="265" t="str">
        <f>IFERROR(VLOOKUP($B379,#REF!,9,FALSE),"")</f>
        <v/>
      </c>
      <c r="W379" s="265" t="str">
        <f>IFERROR(VLOOKUP($B379,#REF!,10,FALSE),"")</f>
        <v/>
      </c>
      <c r="X379" s="265" t="str">
        <f>IFERROR(VLOOKUP($B379,#REF!,11,FALSE),"")</f>
        <v/>
      </c>
      <c r="Y379" s="266" t="str">
        <f>IFERROR(VLOOKUP($B379,#REF!,12,FALSE),"")</f>
        <v/>
      </c>
      <c r="Z379" s="265">
        <f t="shared" si="535"/>
        <v>68965.418177962754</v>
      </c>
      <c r="AA379" s="265">
        <f t="shared" si="535"/>
        <v>16356.588865810749</v>
      </c>
      <c r="AB379" s="265">
        <f t="shared" si="535"/>
        <v>35882.182074038523</v>
      </c>
      <c r="AC379" s="266">
        <f t="shared" si="535"/>
        <v>32770.022001133199</v>
      </c>
      <c r="AD379" s="265">
        <f t="shared" si="513"/>
        <v>68965.418177962754</v>
      </c>
      <c r="AE379" s="265">
        <f t="shared" si="514"/>
        <v>16356.588865810749</v>
      </c>
      <c r="AF379" s="265">
        <f t="shared" si="515"/>
        <v>35882.182074038523</v>
      </c>
      <c r="AG379" s="266">
        <f t="shared" si="516"/>
        <v>32770.022001133199</v>
      </c>
      <c r="AH379" s="265">
        <f t="shared" si="517"/>
        <v>70026.30933308792</v>
      </c>
      <c r="AI379" s="265">
        <f t="shared" si="518"/>
        <v>16614.036533682505</v>
      </c>
      <c r="AJ379" s="265">
        <f t="shared" si="519"/>
        <v>36388.761912150832</v>
      </c>
      <c r="AK379" s="265">
        <f t="shared" si="520"/>
        <v>33253.966359005753</v>
      </c>
      <c r="AL379" s="266">
        <f t="shared" si="521"/>
        <v>156283.074137927</v>
      </c>
      <c r="AM379" s="347"/>
      <c r="AN379" s="264">
        <f>IFERROR(VLOOKUP($A379,'HH &amp; SI'!$B$4:$Z$494,'HH &amp; SI'!V$503,0),0)</f>
        <v>73301.701553183215</v>
      </c>
      <c r="AO379" s="265">
        <f>IFERROR(VLOOKUP($A379,'HH &amp; SI'!$B$4:$Z$494,'HH &amp; SI'!W$503,0),0)</f>
        <v>17104.679108800858</v>
      </c>
      <c r="AP379" s="265">
        <f>IFERROR(VLOOKUP($A379,'HH &amp; SI'!$B$4:$Z$494,'HH &amp; SI'!X$503,0),0)</f>
        <v>36255.520854370166</v>
      </c>
      <c r="AQ379" s="265">
        <f>IFERROR(VLOOKUP($A379,'HH &amp; SI'!$B$4:$Z$494,'HH &amp; SI'!Y$503,0),0)</f>
        <v>35068.023393358599</v>
      </c>
      <c r="AR379" s="266">
        <f t="shared" si="533"/>
        <v>161729.92490971283</v>
      </c>
      <c r="AS379" s="347"/>
      <c r="AT379" s="324">
        <f>IFERROR(VLOOKUP(A379,'Afton FY16 Final'!$A$5:$BV$572,'Afton FY16 Final'!$BV$587,0),0)</f>
        <v>166889.96075265735</v>
      </c>
      <c r="AU379" s="347"/>
      <c r="AV379" s="454">
        <v>0</v>
      </c>
      <c r="AW379" s="265">
        <f>IFERROR(VLOOKUP($A379,'HH &amp; SI'!$B$4:$EY$503,'HH &amp; SI'!EX$503,0),0)</f>
        <v>0</v>
      </c>
      <c r="AX379" s="265">
        <f>IFERROR(VLOOKUP($A379,'HH &amp; SI'!$B$4:$EY$503,'HH &amp; SI'!EY$503,0),0)</f>
        <v>161729.92490971283</v>
      </c>
      <c r="AY379" s="265">
        <f>AX379/$AX$582*'update_State Admin 1004(b)'!$B$30*0.01</f>
        <v>1547.8715630709723</v>
      </c>
      <c r="AZ379" s="266">
        <f t="shared" si="523"/>
        <v>160182.05334664186</v>
      </c>
      <c r="BA379" s="264">
        <f t="shared" si="524"/>
        <v>1601.8205334664185</v>
      </c>
      <c r="BB379" s="265">
        <f t="shared" si="525"/>
        <v>158580.23281317545</v>
      </c>
      <c r="BC379" s="342">
        <f t="shared" si="499"/>
        <v>0.95020834146040989</v>
      </c>
      <c r="BD379" s="347"/>
      <c r="BE379" s="377" t="str">
        <f>'Original Title I &amp; II'!AZ376</f>
        <v/>
      </c>
      <c r="BF379" s="244" t="str">
        <f>IF(BE379&lt;0,BB379*BE379/100,"")</f>
        <v/>
      </c>
      <c r="BG379" s="266">
        <f t="shared" si="503"/>
        <v>158580.23281317545</v>
      </c>
      <c r="BI379" s="203">
        <f>IFERROR(VLOOKUP(A379,'Title II Hold Harmless'!A$1:B$439,2, FALSE),"")</f>
        <v>5798</v>
      </c>
      <c r="BJ379" s="203">
        <f t="shared" si="536"/>
        <v>8014.438776300567</v>
      </c>
      <c r="BK379" s="203">
        <f t="shared" si="528"/>
        <v>8022.1918791295193</v>
      </c>
      <c r="BL379" s="203" t="str">
        <f t="shared" si="529"/>
        <v/>
      </c>
      <c r="BM379" s="203">
        <f t="shared" si="530"/>
        <v>8022.1918791295193</v>
      </c>
      <c r="BN379" s="200"/>
      <c r="BP379" s="298" t="s">
        <v>1448</v>
      </c>
      <c r="BQ379" s="299" t="str">
        <f t="shared" si="480"/>
        <v>Y</v>
      </c>
      <c r="BR379" s="300" t="s">
        <v>1448</v>
      </c>
      <c r="BT379" s="298" t="str">
        <f t="shared" si="481"/>
        <v>Y</v>
      </c>
      <c r="BU379" s="299" t="str">
        <f t="shared" si="531"/>
        <v>Y</v>
      </c>
      <c r="BV379" s="299" t="str">
        <f t="shared" si="532"/>
        <v>Y</v>
      </c>
      <c r="BW379" s="300" t="str">
        <f t="shared" si="482"/>
        <v>Y</v>
      </c>
      <c r="BY379" s="355">
        <f t="shared" si="483"/>
        <v>0</v>
      </c>
      <c r="BZ379" s="356">
        <f t="shared" si="484"/>
        <v>0</v>
      </c>
      <c r="CA379" s="356">
        <f t="shared" si="485"/>
        <v>0.95</v>
      </c>
      <c r="CB379" s="357">
        <f t="shared" si="486"/>
        <v>0.95</v>
      </c>
      <c r="CD379" s="312">
        <f t="shared" si="487"/>
        <v>371</v>
      </c>
    </row>
    <row r="380" spans="1:82" s="48" customFormat="1" outlineLevel="1" x14ac:dyDescent="0.3">
      <c r="A380" s="202">
        <v>88755000</v>
      </c>
      <c r="B380" s="48">
        <f>VLOOKUP(C380,'NCES ID'!$A$2:$B$3136,2,FALSE)</f>
        <v>400075</v>
      </c>
      <c r="C380" s="48">
        <f>VLOOKUP(A380,'State ID'!$A$2:$B$713,2,FALSE)</f>
        <v>4385</v>
      </c>
      <c r="D380" s="48" t="s">
        <v>450</v>
      </c>
      <c r="E380" s="48" t="s">
        <v>5</v>
      </c>
      <c r="F380" s="755"/>
      <c r="G380" s="755"/>
      <c r="H380" s="755"/>
      <c r="I380" s="755"/>
      <c r="J380" s="755"/>
      <c r="K380" s="755"/>
      <c r="L380" s="454"/>
      <c r="M380" s="455"/>
      <c r="N380" s="456"/>
      <c r="O380" s="209">
        <f>VLOOKUP($C380,'Final SEA Counts'!$A$2:$F$709,5,FALSE)</f>
        <v>410</v>
      </c>
      <c r="P380" s="223">
        <f>VLOOKUP($C380,'Final SEA Counts'!$A$2:$F$709,6,FALSE)</f>
        <v>157</v>
      </c>
      <c r="Q380" s="749"/>
      <c r="R380" s="454">
        <f t="shared" si="538"/>
        <v>410</v>
      </c>
      <c r="S380" s="455">
        <f t="shared" si="534"/>
        <v>95.568473802038142</v>
      </c>
      <c r="T380" s="230">
        <f t="shared" si="508"/>
        <v>0.23309383854155644</v>
      </c>
      <c r="U380" s="264" t="str">
        <f>IFERROR(VLOOKUP($B380,#REF!,8,FALSE),"")</f>
        <v/>
      </c>
      <c r="V380" s="265" t="str">
        <f>IFERROR(VLOOKUP($B380,#REF!,9,FALSE),"")</f>
        <v/>
      </c>
      <c r="W380" s="265" t="str">
        <f>IFERROR(VLOOKUP($B380,#REF!,10,FALSE),"")</f>
        <v/>
      </c>
      <c r="X380" s="265" t="str">
        <f>IFERROR(VLOOKUP($B380,#REF!,11,FALSE),"")</f>
        <v/>
      </c>
      <c r="Y380" s="266" t="str">
        <f>IFERROR(VLOOKUP($B380,#REF!,12,FALSE),"")</f>
        <v/>
      </c>
      <c r="Z380" s="265">
        <f t="shared" si="535"/>
        <v>46470.260317339722</v>
      </c>
      <c r="AA380" s="265">
        <f t="shared" si="535"/>
        <v>11021.392497563467</v>
      </c>
      <c r="AB380" s="265">
        <f t="shared" si="535"/>
        <v>24178.122685081755</v>
      </c>
      <c r="AC380" s="266">
        <f t="shared" si="535"/>
        <v>22081.087786171298</v>
      </c>
      <c r="AD380" s="265">
        <f t="shared" si="513"/>
        <v>46470.260317339722</v>
      </c>
      <c r="AE380" s="265">
        <f t="shared" si="514"/>
        <v>11021.392497563467</v>
      </c>
      <c r="AF380" s="265">
        <f t="shared" si="515"/>
        <v>24178.122685081755</v>
      </c>
      <c r="AG380" s="266">
        <f t="shared" si="516"/>
        <v>22081.087786171298</v>
      </c>
      <c r="AH380" s="265">
        <f t="shared" si="517"/>
        <v>47531.15147246488</v>
      </c>
      <c r="AI380" s="265">
        <f t="shared" si="518"/>
        <v>11278.840165435224</v>
      </c>
      <c r="AJ380" s="265">
        <f t="shared" si="519"/>
        <v>24684.702523194061</v>
      </c>
      <c r="AK380" s="265">
        <f t="shared" si="520"/>
        <v>22565.032144043849</v>
      </c>
      <c r="AL380" s="266">
        <f t="shared" si="521"/>
        <v>106059.72630513803</v>
      </c>
      <c r="AM380" s="347"/>
      <c r="AN380" s="264">
        <f>IFERROR(VLOOKUP($A380,'HH &amp; SI'!$B$4:$Z$494,'HH &amp; SI'!V$503,0),0)</f>
        <v>50930.616000697664</v>
      </c>
      <c r="AO380" s="265">
        <f>IFERROR(VLOOKUP($A380,'HH &amp; SI'!$B$4:$Z$494,'HH &amp; SI'!W$503,0),0)</f>
        <v>11872.521949508206</v>
      </c>
      <c r="AP380" s="265">
        <f>IFERROR(VLOOKUP($A380,'HH &amp; SI'!$B$4:$Z$494,'HH &amp; SI'!X$503,0),0)</f>
        <v>24677.412604944861</v>
      </c>
      <c r="AQ380" s="265">
        <f>IFERROR(VLOOKUP($A380,'HH &amp; SI'!$B$4:$Z$494,'HH &amp; SI'!Y$503,0),0)</f>
        <v>22923.633548142621</v>
      </c>
      <c r="AR380" s="266">
        <f t="shared" si="533"/>
        <v>110404.18410329334</v>
      </c>
      <c r="AS380" s="347"/>
      <c r="AT380" s="324">
        <f>IFERROR(VLOOKUP(A380,'Afton FY16 Final'!$A$5:$BV$572,'Afton FY16 Final'!$BV$587,0),0)</f>
        <v>108911.32072062495</v>
      </c>
      <c r="AU380" s="347"/>
      <c r="AV380" s="454">
        <v>0</v>
      </c>
      <c r="AW380" s="265">
        <f>IFERROR(VLOOKUP($A380,'HH &amp; SI'!$B$4:$EY$503,'HH &amp; SI'!EX$503,0),0)</f>
        <v>1492.8633826683945</v>
      </c>
      <c r="AX380" s="265">
        <f>IFERROR(VLOOKUP($A380,'HH &amp; SI'!$B$4:$EY$503,'HH &amp; SI'!EY$503,0),0)</f>
        <v>108911.32072062495</v>
      </c>
      <c r="AY380" s="265">
        <f>AX380/$AX$582*'update_State Admin 1004(b)'!$B$30*0.01</f>
        <v>1042.3595777594619</v>
      </c>
      <c r="AZ380" s="266">
        <f t="shared" si="523"/>
        <v>107868.96114286549</v>
      </c>
      <c r="BA380" s="264">
        <f t="shared" si="524"/>
        <v>1078.6896114286549</v>
      </c>
      <c r="BB380" s="265">
        <f t="shared" si="525"/>
        <v>106790.27153143684</v>
      </c>
      <c r="BC380" s="342">
        <f t="shared" si="499"/>
        <v>0.98052498881517614</v>
      </c>
      <c r="BD380" s="347"/>
      <c r="BE380" s="377" t="str">
        <f>'Original Title I &amp; II'!AZ377</f>
        <v/>
      </c>
      <c r="BF380" s="244" t="str">
        <f>IF(BE380&lt;0,BB380*BE380/100,"")</f>
        <v/>
      </c>
      <c r="BG380" s="266">
        <f t="shared" si="503"/>
        <v>106790.27153143684</v>
      </c>
      <c r="BI380" s="203">
        <f>IFERROR(VLOOKUP(A380,'Title II Hold Harmless'!A$1:B$439,2, FALSE),"")</f>
        <v>3695</v>
      </c>
      <c r="BJ380" s="203">
        <f t="shared" si="536"/>
        <v>5276.0444841523367</v>
      </c>
      <c r="BK380" s="203">
        <f t="shared" si="528"/>
        <v>5281.1484866355449</v>
      </c>
      <c r="BL380" s="203" t="str">
        <f t="shared" si="529"/>
        <v/>
      </c>
      <c r="BM380" s="203">
        <f t="shared" si="530"/>
        <v>5281.1484866355449</v>
      </c>
      <c r="BN380" s="200"/>
      <c r="BP380" s="298" t="s">
        <v>1448</v>
      </c>
      <c r="BQ380" s="299" t="str">
        <f t="shared" si="480"/>
        <v>Y</v>
      </c>
      <c r="BR380" s="300" t="s">
        <v>1448</v>
      </c>
      <c r="BT380" s="298" t="str">
        <f t="shared" si="481"/>
        <v>Y</v>
      </c>
      <c r="BU380" s="299" t="str">
        <f t="shared" si="531"/>
        <v>Y</v>
      </c>
      <c r="BV380" s="299" t="str">
        <f t="shared" si="532"/>
        <v>Y</v>
      </c>
      <c r="BW380" s="300" t="str">
        <f t="shared" si="482"/>
        <v>Y</v>
      </c>
      <c r="BY380" s="355">
        <f t="shared" si="483"/>
        <v>0</v>
      </c>
      <c r="BZ380" s="356">
        <f t="shared" si="484"/>
        <v>0.9</v>
      </c>
      <c r="CA380" s="356">
        <f t="shared" si="485"/>
        <v>0</v>
      </c>
      <c r="CB380" s="357">
        <f t="shared" si="486"/>
        <v>0.9</v>
      </c>
      <c r="CD380" s="312">
        <f t="shared" si="487"/>
        <v>372</v>
      </c>
    </row>
    <row r="381" spans="1:82" s="48" customFormat="1" outlineLevel="1" x14ac:dyDescent="0.3">
      <c r="A381" s="202"/>
      <c r="D381" s="48" t="s">
        <v>1411</v>
      </c>
      <c r="E381" s="48" t="s">
        <v>5</v>
      </c>
      <c r="F381" s="755"/>
      <c r="G381" s="755"/>
      <c r="H381" s="755"/>
      <c r="I381" s="755"/>
      <c r="J381" s="755"/>
      <c r="K381" s="755"/>
      <c r="L381" s="454"/>
      <c r="M381" s="455"/>
      <c r="N381" s="456"/>
      <c r="O381" s="211">
        <f>'AVA Metrics'!C10</f>
        <v>378.18810289389069</v>
      </c>
      <c r="P381" s="212">
        <f>'AVA Metrics'!D10</f>
        <v>197.86816720257235</v>
      </c>
      <c r="Q381" s="749"/>
      <c r="R381" s="454">
        <f t="shared" si="538"/>
        <v>378.18810289389069</v>
      </c>
      <c r="S381" s="455">
        <f t="shared" si="534"/>
        <v>120.44559715640979</v>
      </c>
      <c r="T381" s="230">
        <f t="shared" si="508"/>
        <v>0.31848066143477693</v>
      </c>
      <c r="U381" s="264"/>
      <c r="V381" s="265"/>
      <c r="W381" s="265"/>
      <c r="X381" s="265"/>
      <c r="Y381" s="266"/>
      <c r="Z381" s="265">
        <f t="shared" si="535"/>
        <v>58566.784958079217</v>
      </c>
      <c r="AA381" s="265">
        <f t="shared" si="535"/>
        <v>13890.335882248819</v>
      </c>
      <c r="AB381" s="265">
        <f t="shared" si="535"/>
        <v>30471.852370038625</v>
      </c>
      <c r="AC381" s="266">
        <f t="shared" si="535"/>
        <v>27828.945032412867</v>
      </c>
      <c r="AD381" s="265">
        <f t="shared" si="513"/>
        <v>58566.784958079217</v>
      </c>
      <c r="AE381" s="265">
        <f t="shared" si="514"/>
        <v>13890.335882248819</v>
      </c>
      <c r="AF381" s="265">
        <f t="shared" si="515"/>
        <v>30471.852370038625</v>
      </c>
      <c r="AG381" s="266">
        <f t="shared" si="516"/>
        <v>27828.945032412867</v>
      </c>
      <c r="AH381" s="265">
        <f t="shared" si="517"/>
        <v>59627.676113204376</v>
      </c>
      <c r="AI381" s="265">
        <f t="shared" si="518"/>
        <v>14147.783550120575</v>
      </c>
      <c r="AJ381" s="265">
        <f t="shared" si="519"/>
        <v>30978.432208150931</v>
      </c>
      <c r="AK381" s="265">
        <f t="shared" si="520"/>
        <v>28312.889390285418</v>
      </c>
      <c r="AL381" s="266">
        <f t="shared" si="521"/>
        <v>133066.78126176129</v>
      </c>
      <c r="AM381" s="347"/>
      <c r="AN381" s="264">
        <f>IFERROR(VLOOKUP($A381,'HH &amp; SI'!$B$4:$Z$494,'HH &amp; SI'!V$503,0),0)</f>
        <v>0</v>
      </c>
      <c r="AO381" s="265">
        <f>IFERROR(VLOOKUP($A381,'HH &amp; SI'!$B$4:$Z$494,'HH &amp; SI'!W$503,0),0)</f>
        <v>0</v>
      </c>
      <c r="AP381" s="265">
        <f>IFERROR(VLOOKUP($A381,'HH &amp; SI'!$B$4:$Z$494,'HH &amp; SI'!X$503,0),0)</f>
        <v>0</v>
      </c>
      <c r="AQ381" s="265">
        <f>IFERROR(VLOOKUP($A381,'HH &amp; SI'!$B$4:$Z$494,'HH &amp; SI'!Y$503,0),0)</f>
        <v>0</v>
      </c>
      <c r="AR381" s="266">
        <f t="shared" si="533"/>
        <v>0</v>
      </c>
      <c r="AS381" s="347"/>
      <c r="AT381" s="324">
        <f>IFERROR(VLOOKUP(A381,'Afton FY16 Final'!$A$5:$BV$572,'Afton FY16 Final'!$BV$587,0),0)</f>
        <v>0</v>
      </c>
      <c r="AU381" s="347"/>
      <c r="AV381" s="454">
        <v>0</v>
      </c>
      <c r="AW381" s="265">
        <f>IFERROR(VLOOKUP($A381,'HH &amp; SI'!$B$4:$EY$503,'HH &amp; SI'!EX$503,0),0)</f>
        <v>0</v>
      </c>
      <c r="AX381" s="265">
        <f>IFERROR(VLOOKUP($A381,'HH &amp; SI'!$B$4:$EY$503,'HH &amp; SI'!EY$503,0),0)</f>
        <v>0</v>
      </c>
      <c r="AY381" s="265"/>
      <c r="AZ381" s="266"/>
      <c r="BA381" s="264"/>
      <c r="BB381" s="265"/>
      <c r="BC381" s="342" t="str">
        <f t="shared" si="499"/>
        <v/>
      </c>
      <c r="BD381" s="347"/>
      <c r="BE381" s="377">
        <f>'Original Title I &amp; II'!AZ378</f>
        <v>0</v>
      </c>
      <c r="BF381" s="244"/>
      <c r="BG381" s="266">
        <f t="shared" si="503"/>
        <v>0</v>
      </c>
      <c r="BI381" s="203"/>
      <c r="BJ381" s="203"/>
      <c r="BK381" s="203"/>
      <c r="BL381" s="203"/>
      <c r="BM381" s="203"/>
      <c r="BN381" s="200"/>
      <c r="BP381" s="298" t="s">
        <v>1448</v>
      </c>
      <c r="BQ381" s="299" t="str">
        <f t="shared" si="480"/>
        <v>Y</v>
      </c>
      <c r="BR381" s="300" t="s">
        <v>1448</v>
      </c>
      <c r="BT381" s="298" t="str">
        <f t="shared" si="481"/>
        <v>Y</v>
      </c>
      <c r="BU381" s="299" t="str">
        <f t="shared" si="531"/>
        <v>Y</v>
      </c>
      <c r="BV381" s="299" t="str">
        <f t="shared" si="532"/>
        <v>Y</v>
      </c>
      <c r="BW381" s="300" t="str">
        <f t="shared" si="482"/>
        <v>Y</v>
      </c>
      <c r="BY381" s="355">
        <f t="shared" si="483"/>
        <v>0</v>
      </c>
      <c r="BZ381" s="356">
        <f t="shared" si="484"/>
        <v>0</v>
      </c>
      <c r="CA381" s="356">
        <f t="shared" si="485"/>
        <v>0.95</v>
      </c>
      <c r="CB381" s="357">
        <f t="shared" si="486"/>
        <v>0.95</v>
      </c>
      <c r="CD381" s="312">
        <f t="shared" si="487"/>
        <v>373</v>
      </c>
    </row>
    <row r="382" spans="1:82" s="197" customFormat="1" outlineLevel="1" x14ac:dyDescent="0.3">
      <c r="A382" s="196"/>
      <c r="D382" s="197" t="s">
        <v>878</v>
      </c>
      <c r="F382" s="756"/>
      <c r="G382" s="756"/>
      <c r="H382" s="756"/>
      <c r="I382" s="756"/>
      <c r="J382" s="756"/>
      <c r="K382" s="756"/>
      <c r="L382" s="757"/>
      <c r="M382" s="758"/>
      <c r="N382" s="768"/>
      <c r="O382" s="214"/>
      <c r="P382" s="216"/>
      <c r="Q382" s="750"/>
      <c r="R382" s="757">
        <f>SUM(R374:R381)</f>
        <v>4027.1881028938906</v>
      </c>
      <c r="S382" s="758">
        <f>SUM(S374:S381)</f>
        <v>1138.8281237220772</v>
      </c>
      <c r="T382" s="231"/>
      <c r="U382" s="267"/>
      <c r="V382" s="268"/>
      <c r="W382" s="268"/>
      <c r="X382" s="268"/>
      <c r="Y382" s="269"/>
      <c r="Z382" s="268">
        <f>SUM(Z374:Z381)</f>
        <v>553756.24681100494</v>
      </c>
      <c r="AA382" s="268">
        <f>SUM(AA374:AA381)</f>
        <v>131334.85593590283</v>
      </c>
      <c r="AB382" s="268">
        <f>SUM(AB374:AB381)</f>
        <v>288115.15970852127</v>
      </c>
      <c r="AC382" s="269">
        <f>SUM(AC374:AC381)</f>
        <v>263126.1416328242</v>
      </c>
      <c r="AD382" s="268"/>
      <c r="AE382" s="268"/>
      <c r="AF382" s="268"/>
      <c r="AG382" s="269"/>
      <c r="AH382" s="268"/>
      <c r="AI382" s="268"/>
      <c r="AJ382" s="268"/>
      <c r="AK382" s="268"/>
      <c r="AL382" s="269"/>
      <c r="AM382" s="348"/>
      <c r="AN382" s="267"/>
      <c r="AO382" s="268"/>
      <c r="AP382" s="268"/>
      <c r="AQ382" s="268"/>
      <c r="AR382" s="269"/>
      <c r="AS382" s="348"/>
      <c r="AT382" s="325"/>
      <c r="AU382" s="348"/>
      <c r="AV382" s="757"/>
      <c r="AW382" s="268"/>
      <c r="AX382" s="268"/>
      <c r="AY382" s="268"/>
      <c r="AZ382" s="269"/>
      <c r="BA382" s="267"/>
      <c r="BB382" s="268"/>
      <c r="BC382" s="343" t="str">
        <f t="shared" si="499"/>
        <v/>
      </c>
      <c r="BD382" s="348"/>
      <c r="BE382" s="371"/>
      <c r="BF382" s="369"/>
      <c r="BG382" s="269"/>
      <c r="BI382" s="198"/>
      <c r="BL382" s="198"/>
      <c r="BN382" s="199"/>
      <c r="BP382" s="301" t="s">
        <v>1450</v>
      </c>
      <c r="BQ382" s="302" t="str">
        <f t="shared" si="480"/>
        <v>N</v>
      </c>
      <c r="BR382" s="303" t="s">
        <v>1448</v>
      </c>
      <c r="BT382" s="301" t="str">
        <f t="shared" si="481"/>
        <v>N</v>
      </c>
      <c r="BU382" s="302" t="s">
        <v>1450</v>
      </c>
      <c r="BV382" s="302" t="s">
        <v>1450</v>
      </c>
      <c r="BW382" s="303" t="s">
        <v>1450</v>
      </c>
      <c r="BY382" s="358">
        <f t="shared" si="483"/>
        <v>0.85</v>
      </c>
      <c r="BZ382" s="359">
        <f t="shared" si="484"/>
        <v>0</v>
      </c>
      <c r="CA382" s="359">
        <f t="shared" si="485"/>
        <v>0</v>
      </c>
      <c r="CB382" s="360">
        <f t="shared" si="486"/>
        <v>0.85</v>
      </c>
      <c r="CD382" s="313">
        <f t="shared" si="487"/>
        <v>374</v>
      </c>
    </row>
    <row r="383" spans="1:82" s="197" customFormat="1" outlineLevel="1" x14ac:dyDescent="0.3">
      <c r="A383" s="196" t="s">
        <v>880</v>
      </c>
      <c r="B383" s="197">
        <f>M383/P383</f>
        <v>0.60871639364355501</v>
      </c>
      <c r="D383" s="197" t="s">
        <v>879</v>
      </c>
      <c r="E383" s="197">
        <f t="shared" ref="E383:K383" si="563">SUM(E361:E381)</f>
        <v>0</v>
      </c>
      <c r="F383" s="756">
        <f t="shared" si="563"/>
        <v>8377</v>
      </c>
      <c r="G383" s="756">
        <f t="shared" si="563"/>
        <v>0</v>
      </c>
      <c r="H383" s="756">
        <f t="shared" si="563"/>
        <v>0</v>
      </c>
      <c r="I383" s="756">
        <f t="shared" si="563"/>
        <v>358</v>
      </c>
      <c r="J383" s="756">
        <f t="shared" si="563"/>
        <v>0</v>
      </c>
      <c r="K383" s="756">
        <f t="shared" si="563"/>
        <v>8377</v>
      </c>
      <c r="L383" s="757">
        <f>SUM(L361:L381)</f>
        <v>28366</v>
      </c>
      <c r="M383" s="758">
        <f>SUM(M361:M381)</f>
        <v>8735</v>
      </c>
      <c r="N383" s="768"/>
      <c r="O383" s="217">
        <f>SUM(O361:O381)</f>
        <v>22341.188102893891</v>
      </c>
      <c r="P383" s="218">
        <f>SUM(P361:P381)</f>
        <v>14349.868167202572</v>
      </c>
      <c r="Q383" s="750"/>
      <c r="R383" s="757">
        <f>SUM(R361:R381)</f>
        <v>28366.000000000004</v>
      </c>
      <c r="S383" s="758">
        <f>SUM(S361:S381)</f>
        <v>8734.9999999999982</v>
      </c>
      <c r="T383" s="231"/>
      <c r="U383" s="267">
        <f t="shared" ref="U383:AL383" si="564">SUM(U361:U381)</f>
        <v>4247401.9697414646</v>
      </c>
      <c r="V383" s="268">
        <f t="shared" si="564"/>
        <v>1007360.0596116637</v>
      </c>
      <c r="W383" s="268">
        <f t="shared" si="564"/>
        <v>2209890.9112189361</v>
      </c>
      <c r="X383" s="268">
        <f t="shared" si="564"/>
        <v>2018221.0109553179</v>
      </c>
      <c r="Y383" s="269">
        <f t="shared" si="564"/>
        <v>9482873.9515273813</v>
      </c>
      <c r="Z383" s="268">
        <f t="shared" si="564"/>
        <v>4247401.9697414637</v>
      </c>
      <c r="AA383" s="268">
        <f t="shared" si="564"/>
        <v>1007360.0596116639</v>
      </c>
      <c r="AB383" s="268">
        <f t="shared" si="564"/>
        <v>2209890.9112189356</v>
      </c>
      <c r="AC383" s="269">
        <f t="shared" si="564"/>
        <v>2018221.0109553176</v>
      </c>
      <c r="AD383" s="268">
        <f t="shared" si="564"/>
        <v>4228305.9289492108</v>
      </c>
      <c r="AE383" s="268">
        <f t="shared" si="564"/>
        <v>1002726.0015899723</v>
      </c>
      <c r="AF383" s="268">
        <f t="shared" si="564"/>
        <v>2200772.4741329141</v>
      </c>
      <c r="AG383" s="269">
        <f t="shared" si="564"/>
        <v>2009510.0125136117</v>
      </c>
      <c r="AH383" s="268">
        <f t="shared" si="564"/>
        <v>4247401.9697414637</v>
      </c>
      <c r="AI383" s="268">
        <f t="shared" si="564"/>
        <v>1007360.0596116639</v>
      </c>
      <c r="AJ383" s="268">
        <f t="shared" si="564"/>
        <v>2209890.9112189361</v>
      </c>
      <c r="AK383" s="268">
        <f t="shared" si="564"/>
        <v>2018221.0109553174</v>
      </c>
      <c r="AL383" s="269">
        <f t="shared" si="564"/>
        <v>9482873.9515273832</v>
      </c>
      <c r="AM383" s="348"/>
      <c r="AN383" s="267">
        <f t="shared" ref="AN383:AR383" si="565">SUM(AN361:AN381)</f>
        <v>4159920.8717637081</v>
      </c>
      <c r="AO383" s="268">
        <f t="shared" ref="AO383" si="566">SUM(AO361:AO381)</f>
        <v>971230.91745316924</v>
      </c>
      <c r="AP383" s="268">
        <f t="shared" si="565"/>
        <v>2166957.0119386753</v>
      </c>
      <c r="AQ383" s="268">
        <f t="shared" si="565"/>
        <v>1981066.3526958076</v>
      </c>
      <c r="AR383" s="269">
        <f t="shared" si="565"/>
        <v>9279175.1538513601</v>
      </c>
      <c r="AS383" s="348"/>
      <c r="AT383" s="325">
        <f t="shared" ref="AT383:BB383" si="567">SUM(AT361:AT381)</f>
        <v>8541275.7854640037</v>
      </c>
      <c r="AU383" s="348"/>
      <c r="AV383" s="757">
        <f t="shared" si="567"/>
        <v>0</v>
      </c>
      <c r="AW383" s="268">
        <f t="shared" si="567"/>
        <v>323959.37817022443</v>
      </c>
      <c r="AX383" s="268">
        <f t="shared" si="567"/>
        <v>8955215.7756811362</v>
      </c>
      <c r="AY383" s="268">
        <f t="shared" si="567"/>
        <v>85707.848118273163</v>
      </c>
      <c r="AZ383" s="269">
        <f t="shared" si="567"/>
        <v>8869507.9275628626</v>
      </c>
      <c r="BA383" s="267">
        <f t="shared" si="567"/>
        <v>88695.079275628639</v>
      </c>
      <c r="BB383" s="268">
        <f t="shared" si="567"/>
        <v>8780812.8482872322</v>
      </c>
      <c r="BC383" s="343">
        <f t="shared" si="499"/>
        <v>1.0280446468232398</v>
      </c>
      <c r="BD383" s="348"/>
      <c r="BE383" s="371">
        <f t="shared" ref="BE383:BG383" si="568">SUM(BE361:BE381)</f>
        <v>0</v>
      </c>
      <c r="BF383" s="369">
        <f t="shared" si="568"/>
        <v>0</v>
      </c>
      <c r="BG383" s="269">
        <f t="shared" si="568"/>
        <v>8780812.8482872322</v>
      </c>
      <c r="BI383" s="198"/>
      <c r="BL383" s="198"/>
      <c r="BN383" s="199"/>
      <c r="BP383" s="301" t="s">
        <v>1450</v>
      </c>
      <c r="BQ383" s="302" t="str">
        <f t="shared" si="480"/>
        <v>N</v>
      </c>
      <c r="BR383" s="303" t="s">
        <v>1448</v>
      </c>
      <c r="BT383" s="301" t="str">
        <f t="shared" si="481"/>
        <v>N</v>
      </c>
      <c r="BU383" s="302" t="s">
        <v>1450</v>
      </c>
      <c r="BV383" s="302" t="s">
        <v>1450</v>
      </c>
      <c r="BW383" s="303" t="s">
        <v>1450</v>
      </c>
      <c r="BY383" s="358">
        <f t="shared" si="483"/>
        <v>0.85</v>
      </c>
      <c r="BZ383" s="359">
        <f t="shared" si="484"/>
        <v>0</v>
      </c>
      <c r="CA383" s="359">
        <f t="shared" si="485"/>
        <v>0</v>
      </c>
      <c r="CB383" s="360">
        <f t="shared" si="486"/>
        <v>0.85</v>
      </c>
      <c r="CD383" s="313">
        <f t="shared" si="487"/>
        <v>375</v>
      </c>
    </row>
    <row r="384" spans="1:82" s="197" customFormat="1" outlineLevel="1" x14ac:dyDescent="0.3">
      <c r="A384" s="196"/>
      <c r="F384" s="756"/>
      <c r="G384" s="756"/>
      <c r="H384" s="756"/>
      <c r="I384" s="756"/>
      <c r="J384" s="756"/>
      <c r="K384" s="756"/>
      <c r="L384" s="757"/>
      <c r="M384" s="758"/>
      <c r="N384" s="768"/>
      <c r="O384" s="214"/>
      <c r="P384" s="216"/>
      <c r="Q384" s="750"/>
      <c r="R384" s="757"/>
      <c r="S384" s="758"/>
      <c r="T384" s="231"/>
      <c r="U384" s="267">
        <f>U383/$S383</f>
        <v>486.25094101218838</v>
      </c>
      <c r="V384" s="268">
        <f>V383/$S383</f>
        <v>115.32456320683045</v>
      </c>
      <c r="W384" s="268">
        <f>W383/$S383</f>
        <v>252.99266299014729</v>
      </c>
      <c r="X384" s="268">
        <f>X383/$S383</f>
        <v>231.04991539270961</v>
      </c>
      <c r="Y384" s="269" t="str">
        <f>IFERROR(VLOOKUP($B384,#REF!,12,FALSE),"")</f>
        <v/>
      </c>
      <c r="Z384" s="268"/>
      <c r="AA384" s="268"/>
      <c r="AB384" s="268"/>
      <c r="AC384" s="269"/>
      <c r="AD384" s="268">
        <f>(Z383-AD383)/COUNT(AD361:AD381)</f>
        <v>1060.8911551251595</v>
      </c>
      <c r="AE384" s="268">
        <f>(AA383-AE383)/COUNT(AE361:AE381)</f>
        <v>257.44766787175712</v>
      </c>
      <c r="AF384" s="268">
        <f>(AB383-AF383)/COUNT(AF361:AF381)</f>
        <v>506.57983811230707</v>
      </c>
      <c r="AG384" s="269">
        <f>(AC383-AG383)/COUNT(AG361:AG381)</f>
        <v>483.94435787255253</v>
      </c>
      <c r="AH384" s="268"/>
      <c r="AI384" s="268"/>
      <c r="AJ384" s="268"/>
      <c r="AK384" s="268"/>
      <c r="AL384" s="280"/>
      <c r="AM384" s="348"/>
      <c r="AN384" s="267"/>
      <c r="AO384" s="268"/>
      <c r="AP384" s="268"/>
      <c r="AQ384" s="268"/>
      <c r="AR384" s="280"/>
      <c r="AS384" s="348"/>
      <c r="AT384" s="325"/>
      <c r="AU384" s="348"/>
      <c r="AV384" s="757"/>
      <c r="AW384" s="268"/>
      <c r="AX384" s="268"/>
      <c r="AY384" s="268"/>
      <c r="AZ384" s="269"/>
      <c r="BA384" s="267"/>
      <c r="BB384" s="268"/>
      <c r="BC384" s="343" t="str">
        <f t="shared" si="499"/>
        <v/>
      </c>
      <c r="BD384" s="348"/>
      <c r="BE384" s="371"/>
      <c r="BF384" s="369"/>
      <c r="BG384" s="269"/>
      <c r="BI384" s="198"/>
      <c r="BL384" s="198"/>
      <c r="BN384" s="199"/>
      <c r="BP384" s="301" t="s">
        <v>1450</v>
      </c>
      <c r="BQ384" s="302" t="str">
        <f t="shared" si="480"/>
        <v>N</v>
      </c>
      <c r="BR384" s="303" t="s">
        <v>1448</v>
      </c>
      <c r="BT384" s="301" t="str">
        <f t="shared" si="481"/>
        <v>N</v>
      </c>
      <c r="BU384" s="302" t="s">
        <v>1450</v>
      </c>
      <c r="BV384" s="302" t="s">
        <v>1450</v>
      </c>
      <c r="BW384" s="303" t="s">
        <v>1450</v>
      </c>
      <c r="BY384" s="358">
        <f t="shared" si="483"/>
        <v>0.85</v>
      </c>
      <c r="BZ384" s="359">
        <f t="shared" si="484"/>
        <v>0</v>
      </c>
      <c r="CA384" s="359">
        <f t="shared" si="485"/>
        <v>0</v>
      </c>
      <c r="CB384" s="360">
        <f t="shared" si="486"/>
        <v>0.85</v>
      </c>
      <c r="CD384" s="313">
        <f t="shared" si="487"/>
        <v>376</v>
      </c>
    </row>
    <row r="385" spans="1:82" s="199" customFormat="1" outlineLevel="1" x14ac:dyDescent="0.3">
      <c r="A385" s="201"/>
      <c r="F385" s="759"/>
      <c r="G385" s="759"/>
      <c r="H385" s="759"/>
      <c r="I385" s="759"/>
      <c r="J385" s="759"/>
      <c r="K385" s="759"/>
      <c r="L385" s="509"/>
      <c r="M385" s="510"/>
      <c r="N385" s="511"/>
      <c r="O385" s="220"/>
      <c r="P385" s="222"/>
      <c r="Q385" s="751"/>
      <c r="R385" s="509"/>
      <c r="S385" s="510"/>
      <c r="T385" s="232"/>
      <c r="U385" s="270" t="str">
        <f>IFERROR(VLOOKUP($B385,#REF!,8,FALSE),"")</f>
        <v/>
      </c>
      <c r="V385" s="271" t="str">
        <f>IFERROR(VLOOKUP($B385,#REF!,9,FALSE),"")</f>
        <v/>
      </c>
      <c r="W385" s="271" t="str">
        <f>IFERROR(VLOOKUP($B385,#REF!,10,FALSE),"")</f>
        <v/>
      </c>
      <c r="X385" s="271" t="str">
        <f>IFERROR(VLOOKUP($B385,#REF!,11,FALSE),"")</f>
        <v/>
      </c>
      <c r="Y385" s="272" t="str">
        <f>IFERROR(VLOOKUP($B385,#REF!,12,FALSE),"")</f>
        <v/>
      </c>
      <c r="Z385" s="271"/>
      <c r="AA385" s="271"/>
      <c r="AB385" s="271"/>
      <c r="AC385" s="272"/>
      <c r="AD385" s="271"/>
      <c r="AE385" s="271"/>
      <c r="AF385" s="271"/>
      <c r="AG385" s="272"/>
      <c r="AH385" s="271"/>
      <c r="AI385" s="271"/>
      <c r="AJ385" s="271"/>
      <c r="AK385" s="271"/>
      <c r="AL385" s="272"/>
      <c r="AM385" s="349"/>
      <c r="AN385" s="270"/>
      <c r="AO385" s="271"/>
      <c r="AP385" s="271"/>
      <c r="AQ385" s="271"/>
      <c r="AR385" s="272"/>
      <c r="AS385" s="349"/>
      <c r="AT385" s="326"/>
      <c r="AU385" s="349"/>
      <c r="AV385" s="509"/>
      <c r="AW385" s="271"/>
      <c r="AX385" s="271"/>
      <c r="AY385" s="271"/>
      <c r="AZ385" s="272"/>
      <c r="BA385" s="270"/>
      <c r="BB385" s="271"/>
      <c r="BC385" s="344" t="str">
        <f t="shared" si="499"/>
        <v/>
      </c>
      <c r="BD385" s="349"/>
      <c r="BE385" s="378">
        <f>'Original Title I &amp; II'!AZ382</f>
        <v>0</v>
      </c>
      <c r="BF385" s="245"/>
      <c r="BG385" s="272">
        <f t="shared" ref="BG385:BG401" si="569">IF(BF385&lt;0,BB385+BF385,BB385)</f>
        <v>0</v>
      </c>
      <c r="BI385" s="200"/>
      <c r="BL385" s="200"/>
      <c r="BP385" s="304" t="s">
        <v>1450</v>
      </c>
      <c r="BQ385" s="305" t="str">
        <f t="shared" si="480"/>
        <v>N</v>
      </c>
      <c r="BR385" s="306" t="s">
        <v>1448</v>
      </c>
      <c r="BT385" s="304" t="str">
        <f t="shared" si="481"/>
        <v>N</v>
      </c>
      <c r="BU385" s="305" t="s">
        <v>1450</v>
      </c>
      <c r="BV385" s="305" t="s">
        <v>1450</v>
      </c>
      <c r="BW385" s="306" t="s">
        <v>1450</v>
      </c>
      <c r="BY385" s="361">
        <f t="shared" si="483"/>
        <v>0.85</v>
      </c>
      <c r="BZ385" s="362">
        <f t="shared" si="484"/>
        <v>0</v>
      </c>
      <c r="CA385" s="362">
        <f t="shared" si="485"/>
        <v>0</v>
      </c>
      <c r="CB385" s="363">
        <f t="shared" si="486"/>
        <v>0.85</v>
      </c>
      <c r="CD385" s="314">
        <f t="shared" si="487"/>
        <v>377</v>
      </c>
    </row>
    <row r="386" spans="1:82" outlineLevel="1" x14ac:dyDescent="0.3">
      <c r="A386" s="1">
        <v>90202000</v>
      </c>
      <c r="B386" s="47">
        <f>VLOOKUP(C386,'NCES ID'!$A$2:$B$3136,2,FALSE)</f>
        <v>404010</v>
      </c>
      <c r="C386" s="47">
        <f>VLOOKUP(A386,'State ID'!$A$2:$B$713,2,FALSE)</f>
        <v>4388</v>
      </c>
      <c r="D386" s="147" t="s">
        <v>223</v>
      </c>
      <c r="E386" s="47" t="s">
        <v>73</v>
      </c>
      <c r="F386" s="382">
        <f>IFERROR(VLOOKUP($B386,'update_Formula counts'!$D$7:$R$234,'update_Formula counts'!F$5,0),0)</f>
        <v>139</v>
      </c>
      <c r="G386" s="382">
        <f>IFERROR(VLOOKUP($B386,'update_Formula counts'!$D$7:$R$234,'update_Formula counts'!G$5,0),0)</f>
        <v>0</v>
      </c>
      <c r="H386" s="382">
        <f>IFERROR(VLOOKUP($B386,'update_Formula counts'!$D$7:$R$234,'update_Formula counts'!H$5,0),0)</f>
        <v>0</v>
      </c>
      <c r="I386" s="382">
        <f>IFERROR(VLOOKUP($B386,'update_Formula counts'!$D$7:$R$234,'update_Formula counts'!I$5,0),0)</f>
        <v>2</v>
      </c>
      <c r="J386" s="382">
        <f>IFERROR(VLOOKUP($B386,'update_Formula counts'!$D$7:$R$234,'update_Formula counts'!J$5,0),0)</f>
        <v>0</v>
      </c>
      <c r="K386" s="382">
        <f t="shared" ref="K386:K397" si="570">M386-I386</f>
        <v>139</v>
      </c>
      <c r="L386" s="444">
        <f>IFERROR(VLOOKUP($B386,'update_Formula counts'!$D$7:$R$234,'update_Formula counts'!L$5,0),0)</f>
        <v>429</v>
      </c>
      <c r="M386" s="445">
        <f>IFERROR(VLOOKUP($B386,'update_Formula counts'!$D$7:$R$234,'update_Formula counts'!K$5,0),0)</f>
        <v>141</v>
      </c>
      <c r="N386" s="446">
        <f>IFERROR(VLOOKUP($B386,'update_Formula counts'!$D$7:$R$234,'update_Formula counts'!M$5,0),0)</f>
        <v>0.32867132867132864</v>
      </c>
      <c r="O386" s="137">
        <f>VLOOKUP($C386,'Final SEA Counts'!$A$2:$F$709,5,FALSE)</f>
        <v>358</v>
      </c>
      <c r="P386" s="208">
        <f>VLOOKUP($C386,'Final SEA Counts'!$A$2:$F$709,6,FALSE)</f>
        <v>160</v>
      </c>
      <c r="Q386" s="748">
        <f t="shared" ref="Q386:Q396" si="571">-F386/($F$403-$F$397)*$S$402+(M386/($M$403-$M$397)*$M$397)</f>
        <v>-1.4338026579320062</v>
      </c>
      <c r="R386" s="444">
        <f t="shared" ref="R386:R396" si="572">L386-(L386/(L$403-L$397))*R$402+(L386/(L$403-L$397))*L$397</f>
        <v>426.55621022209101</v>
      </c>
      <c r="S386" s="445">
        <f t="shared" ref="S386:S396" si="573">Q386+K386+I386</f>
        <v>139.56619734206799</v>
      </c>
      <c r="T386" s="229">
        <f t="shared" ref="T386:T396" si="574">S386/R386</f>
        <v>0.32719297948891984</v>
      </c>
      <c r="U386" s="261">
        <f>VLOOKUP($B386,update_Allocation!$D$8:$Q$235,update_Allocation!K$239,0)</f>
        <v>92011.650745513805</v>
      </c>
      <c r="V386" s="262">
        <f>VLOOKUP($B386,update_Allocation!$D$8:$Q$235,update_Allocation!L$239,0)</f>
        <v>21803.015367079588</v>
      </c>
      <c r="W386" s="262">
        <f>VLOOKUP($B386,update_Allocation!$D$8:$Q$235,update_Allocation!M$239,0)</f>
        <v>59870.214096409138</v>
      </c>
      <c r="X386" s="262">
        <f>VLOOKUP($B386,update_Allocation!$D$8:$Q$235,update_Allocation!N$239,0)</f>
        <v>53598.58421114373</v>
      </c>
      <c r="Y386" s="263">
        <f>VLOOKUP($B386,update_Allocation!$D$8:$Q$235,update_Allocation!O$239,0)</f>
        <v>227283.46442014625</v>
      </c>
      <c r="Z386" s="262">
        <f t="shared" ref="Z386:Z396" si="575">IF(U386=0,"",U386-(U386/(U$403-U$397)*Z$402-U386/(U$403-U$397)*U$397))</f>
        <v>90976.500139800744</v>
      </c>
      <c r="AA386" s="262">
        <f t="shared" ref="AA386:AA396" si="576">IF(V386=0,"",V386-(V386/(V$403-V$397)*AA$402-V386/(V$403-V$397)*V$397))</f>
        <v>21555.90036464962</v>
      </c>
      <c r="AB386" s="262">
        <f t="shared" ref="AB386:AB396" si="577">IF(W386=0,"",W386-(W386/(W$403-W$397)*AB$402-W386/(W$403-W$397)*W$397))</f>
        <v>59150.460525031682</v>
      </c>
      <c r="AC386" s="263">
        <f t="shared" ref="AC386:AC396" si="578">IF(X386=0,"",X386-(X386/(X$403-X$397)*AC$402-X386/(X$403-X$397)*X$397))</f>
        <v>52924.650435118638</v>
      </c>
      <c r="AD386" s="262">
        <f t="shared" ref="AD386:AD401" si="579">IF(BT386="Y",Z386,"")</f>
        <v>90976.500139800744</v>
      </c>
      <c r="AE386" s="262">
        <f t="shared" ref="AE386:AE401" si="580">IF(BU386="Y",AA386,"")</f>
        <v>21555.90036464962</v>
      </c>
      <c r="AF386" s="262">
        <f t="shared" ref="AF386:AF401" si="581">IF(BV386="Y",AB386,"")</f>
        <v>59150.460525031682</v>
      </c>
      <c r="AG386" s="263">
        <f t="shared" ref="AG386:AG401" si="582">IF(BW386="Y",AC386,"")</f>
        <v>52924.650435118638</v>
      </c>
      <c r="AH386" s="262">
        <f t="shared" ref="AH386:AK396" si="583">IF(AD386="","",AD386+AD$404)</f>
        <v>90976.500139800744</v>
      </c>
      <c r="AI386" s="262">
        <f t="shared" si="583"/>
        <v>21555.90036464962</v>
      </c>
      <c r="AJ386" s="262">
        <f t="shared" si="583"/>
        <v>59150.460525031682</v>
      </c>
      <c r="AK386" s="262">
        <f t="shared" si="583"/>
        <v>52924.650435118638</v>
      </c>
      <c r="AL386" s="263">
        <f t="shared" ref="AL386:AL396" si="584">SUM(AH386:AK386)</f>
        <v>224607.51146460068</v>
      </c>
      <c r="AM386" s="346"/>
      <c r="AN386" s="261">
        <f>IFERROR(VLOOKUP($A386,'HH &amp; SI'!$B$4:$Z$494,'HH &amp; SI'!V$503,0),0)</f>
        <v>89735.521628353366</v>
      </c>
      <c r="AO386" s="262">
        <f>IFERROR(VLOOKUP($A386,'HH &amp; SI'!$B$4:$Z$494,'HH &amp; SI'!W$503,0),0)</f>
        <v>20875.120129465715</v>
      </c>
      <c r="AP386" s="262">
        <f>IFERROR(VLOOKUP($A386,'HH &amp; SI'!$B$4:$Z$494,'HH &amp; SI'!X$503,0),0)</f>
        <v>58612.510180980622</v>
      </c>
      <c r="AQ386" s="262">
        <f>IFERROR(VLOOKUP($A386,'HH &amp; SI'!$B$4:$Z$494,'HH &amp; SI'!Y$503,0),0)</f>
        <v>52341.516056560897</v>
      </c>
      <c r="AR386" s="263">
        <f t="shared" ref="AR386:AR401" si="585">SUM(AN386:AQ386)</f>
        <v>221564.66799536062</v>
      </c>
      <c r="AS386" s="346"/>
      <c r="AT386" s="323">
        <f>IFERROR(VLOOKUP(A386,'Afton FY16 Final'!$A$5:$BV$572,'Afton FY16 Final'!$BV$587,0),0)</f>
        <v>205259.29050803569</v>
      </c>
      <c r="AU386" s="346"/>
      <c r="AV386" s="444">
        <v>0</v>
      </c>
      <c r="AW386" s="262">
        <f>IFERROR(VLOOKUP($A386,'HH &amp; SI'!$B$4:$EY$503,'HH &amp; SI'!EX$503,0),0)</f>
        <v>12410.52411826115</v>
      </c>
      <c r="AX386" s="262">
        <f>IFERROR(VLOOKUP($A386,'HH &amp; SI'!$B$4:$EY$503,'HH &amp; SI'!EY$503,0),0)</f>
        <v>209154.14387709947</v>
      </c>
      <c r="AY386" s="262">
        <f>AX386/$AX$582*'update_State Admin 1004(b)'!$B$30*0.01</f>
        <v>2001.7554066543335</v>
      </c>
      <c r="AZ386" s="263">
        <f t="shared" ref="AZ386:AZ400" si="586">AX386-AY386</f>
        <v>207152.38847044515</v>
      </c>
      <c r="BA386" s="261">
        <f t="shared" ref="BA386:BA400" si="587">AZ386*0.01</f>
        <v>2071.5238847044516</v>
      </c>
      <c r="BB386" s="262">
        <f t="shared" ref="BB386:BB400" si="588">AZ386-BA386</f>
        <v>205080.8645857407</v>
      </c>
      <c r="BC386" s="341">
        <f t="shared" si="499"/>
        <v>0.9991307291287358</v>
      </c>
      <c r="BD386" s="346"/>
      <c r="BE386" s="376" t="str">
        <f>'Original Title I &amp; II'!AZ383</f>
        <v/>
      </c>
      <c r="BF386" s="243" t="str">
        <f t="shared" ref="BF386:BF398" si="589">IF(BE386&lt;0,BB386*BE386/100,"")</f>
        <v/>
      </c>
      <c r="BG386" s="263">
        <f t="shared" si="569"/>
        <v>205080.8645857407</v>
      </c>
      <c r="BI386" s="31">
        <f>IFERROR(VLOOKUP(A386,'Title II Hold Harmless'!A$1:B$439,2, FALSE),"")</f>
        <v>12118</v>
      </c>
      <c r="BJ386" s="31">
        <f t="shared" ref="BJ386:BJ400" si="590">IFERROR($BI$587*(0.8*($S386/$S$584)+0.2*($R386/$R$584))+$BI386,$BI$587*(0.8*($S386/$S$584)+0.2*($R386/$R$584)))</f>
        <v>14288.33838358683</v>
      </c>
      <c r="BK386" s="31">
        <f t="shared" ref="BK386:BK400" si="591">$BI$588*BJ386</f>
        <v>14302.160805821859</v>
      </c>
      <c r="BL386" s="31" t="str">
        <f t="shared" ref="BL386:BL400" si="592">IF(BE386&lt;0,BK386*BE386/100,"")</f>
        <v/>
      </c>
      <c r="BM386" s="31">
        <f t="shared" ref="BM386:BM400" si="593">IF(BL386&lt;0,BK386+BL386,BK386)</f>
        <v>14302.160805821859</v>
      </c>
      <c r="BN386" s="200"/>
      <c r="BP386" s="295" t="s">
        <v>1447</v>
      </c>
      <c r="BQ386" s="296" t="str">
        <f t="shared" si="480"/>
        <v>Y</v>
      </c>
      <c r="BR386" s="297" t="s">
        <v>1448</v>
      </c>
      <c r="BT386" s="295" t="str">
        <f t="shared" si="481"/>
        <v>Y</v>
      </c>
      <c r="BU386" s="296" t="str">
        <f t="shared" ref="BU386:BU401" si="594">IF(AND(BT386="Y",(OR(T386&gt;0.15,S386&gt;6500))),"Y","N")</f>
        <v>Y</v>
      </c>
      <c r="BV386" s="296" t="str">
        <f t="shared" ref="BV386:BV401" si="595">IF(AND(BT386="Y",T386&gt;=0.05),"Y","N")</f>
        <v>Y</v>
      </c>
      <c r="BW386" s="297" t="str">
        <f t="shared" si="482"/>
        <v>Y</v>
      </c>
      <c r="BY386" s="352">
        <f t="shared" si="483"/>
        <v>0</v>
      </c>
      <c r="BZ386" s="353">
        <f t="shared" si="484"/>
        <v>0</v>
      </c>
      <c r="CA386" s="353">
        <f t="shared" si="485"/>
        <v>0.95</v>
      </c>
      <c r="CB386" s="354">
        <f t="shared" si="486"/>
        <v>0.95</v>
      </c>
      <c r="CD386" s="311">
        <f t="shared" si="487"/>
        <v>378</v>
      </c>
    </row>
    <row r="387" spans="1:82" outlineLevel="1" x14ac:dyDescent="0.3">
      <c r="A387" s="1">
        <v>90206000</v>
      </c>
      <c r="B387" s="47">
        <f>VLOOKUP(C387,'NCES ID'!$A$2:$B$3136,2,FALSE)</f>
        <v>400026</v>
      </c>
      <c r="C387" s="47">
        <f>VLOOKUP(A387,'State ID'!$A$2:$B$713,2,FALSE)</f>
        <v>4392</v>
      </c>
      <c r="D387" s="147" t="s">
        <v>194</v>
      </c>
      <c r="E387" s="47" t="s">
        <v>73</v>
      </c>
      <c r="F387" s="382">
        <f>IFERROR(VLOOKUP($B387,'update_Formula counts'!$D$7:$R$234,'update_Formula counts'!F$5,0),0)</f>
        <v>137</v>
      </c>
      <c r="G387" s="382">
        <f>IFERROR(VLOOKUP($B387,'update_Formula counts'!$D$7:$R$234,'update_Formula counts'!G$5,0),0)</f>
        <v>0</v>
      </c>
      <c r="H387" s="382">
        <f>IFERROR(VLOOKUP($B387,'update_Formula counts'!$D$7:$R$234,'update_Formula counts'!H$5,0),0)</f>
        <v>0</v>
      </c>
      <c r="I387" s="382">
        <f>IFERROR(VLOOKUP($B387,'update_Formula counts'!$D$7:$R$234,'update_Formula counts'!I$5,0),0)</f>
        <v>2</v>
      </c>
      <c r="J387" s="382">
        <f>IFERROR(VLOOKUP($B387,'update_Formula counts'!$D$7:$R$234,'update_Formula counts'!J$5,0),0)</f>
        <v>0</v>
      </c>
      <c r="K387" s="382">
        <f t="shared" si="570"/>
        <v>137</v>
      </c>
      <c r="L387" s="444">
        <f>IFERROR(VLOOKUP($B387,'update_Formula counts'!$D$7:$R$234,'update_Formula counts'!L$5,0),0)</f>
        <v>492</v>
      </c>
      <c r="M387" s="445">
        <f>IFERROR(VLOOKUP($B387,'update_Formula counts'!$D$7:$R$234,'update_Formula counts'!K$5,0),0)</f>
        <v>139</v>
      </c>
      <c r="N387" s="446">
        <f>IFERROR(VLOOKUP($B387,'update_Formula counts'!$D$7:$R$234,'update_Formula counts'!M$5,0),0)</f>
        <v>0.28252032520325204</v>
      </c>
      <c r="O387" s="137">
        <f>VLOOKUP($C387,'Final SEA Counts'!$A$2:$F$709,5,FALSE)</f>
        <v>410</v>
      </c>
      <c r="P387" s="208">
        <f>VLOOKUP($C387,'Final SEA Counts'!$A$2:$F$709,6,FALSE)</f>
        <v>221</v>
      </c>
      <c r="Q387" s="748">
        <f t="shared" si="571"/>
        <v>-1.4129845236972733</v>
      </c>
      <c r="R387" s="444">
        <f t="shared" si="572"/>
        <v>489.19733200295752</v>
      </c>
      <c r="S387" s="445">
        <f t="shared" si="573"/>
        <v>137.58701547630272</v>
      </c>
      <c r="T387" s="229">
        <f t="shared" si="574"/>
        <v>0.28125054344219302</v>
      </c>
      <c r="U387" s="261">
        <f>VLOOKUP($B387,update_Allocation!$D$8:$Q$235,update_Allocation!K$239,0)</f>
        <v>87584.022438962769</v>
      </c>
      <c r="V387" s="262">
        <f>VLOOKUP($B387,update_Allocation!$D$8:$Q$235,update_Allocation!L$239,0)</f>
        <v>20753.847710317863</v>
      </c>
      <c r="W387" s="262">
        <f>VLOOKUP($B387,update_Allocation!$D$8:$Q$235,update_Allocation!M$239,0)</f>
        <v>51464.027607008742</v>
      </c>
      <c r="X387" s="262">
        <f>VLOOKUP($B387,update_Allocation!$D$8:$Q$235,update_Allocation!N$239,0)</f>
        <v>44106.448127057316</v>
      </c>
      <c r="Y387" s="263">
        <f>VLOOKUP($B387,update_Allocation!$D$8:$Q$235,update_Allocation!O$239,0)</f>
        <v>203908.34588334669</v>
      </c>
      <c r="Z387" s="262">
        <f t="shared" si="575"/>
        <v>86598.68359172011</v>
      </c>
      <c r="AA387" s="262">
        <f t="shared" si="576"/>
        <v>20518.623956125128</v>
      </c>
      <c r="AB387" s="262">
        <f t="shared" si="577"/>
        <v>50845.332347159419</v>
      </c>
      <c r="AC387" s="263">
        <f t="shared" si="578"/>
        <v>43551.86584525252</v>
      </c>
      <c r="AD387" s="262">
        <f t="shared" si="579"/>
        <v>86598.68359172011</v>
      </c>
      <c r="AE387" s="262">
        <f t="shared" si="580"/>
        <v>20518.623956125128</v>
      </c>
      <c r="AF387" s="262">
        <f t="shared" si="581"/>
        <v>50845.332347159419</v>
      </c>
      <c r="AG387" s="263">
        <f t="shared" si="582"/>
        <v>43551.86584525252</v>
      </c>
      <c r="AH387" s="262">
        <f t="shared" si="583"/>
        <v>86598.68359172011</v>
      </c>
      <c r="AI387" s="262">
        <f t="shared" si="583"/>
        <v>20518.623956125128</v>
      </c>
      <c r="AJ387" s="262">
        <f t="shared" si="583"/>
        <v>50845.332347159419</v>
      </c>
      <c r="AK387" s="262">
        <f t="shared" si="583"/>
        <v>43551.86584525252</v>
      </c>
      <c r="AL387" s="263">
        <f t="shared" si="584"/>
        <v>201514.50574025718</v>
      </c>
      <c r="AM387" s="346"/>
      <c r="AN387" s="261">
        <f>IFERROR(VLOOKUP($A387,'HH &amp; SI'!$B$4:$Z$494,'HH &amp; SI'!V$503,0),0)</f>
        <v>85417.421339470209</v>
      </c>
      <c r="AO387" s="262">
        <f>IFERROR(VLOOKUP($A387,'HH &amp; SI'!$B$4:$Z$494,'HH &amp; SI'!W$503,0),0)</f>
        <v>19870.603070604211</v>
      </c>
      <c r="AP387" s="262">
        <f>IFERROR(VLOOKUP($A387,'HH &amp; SI'!$B$4:$Z$494,'HH &amp; SI'!X$503,0),0)</f>
        <v>50382.913901271415</v>
      </c>
      <c r="AQ387" s="262">
        <f>IFERROR(VLOOKUP($A387,'HH &amp; SI'!$B$4:$Z$494,'HH &amp; SI'!Y$503,0),0)</f>
        <v>43072.002681001002</v>
      </c>
      <c r="AR387" s="263">
        <f t="shared" si="585"/>
        <v>198742.94099234682</v>
      </c>
      <c r="AS387" s="346"/>
      <c r="AT387" s="323">
        <f>IFERROR(VLOOKUP(A387,'Afton FY16 Final'!$A$5:$BV$572,'Afton FY16 Final'!$BV$587,0),0)</f>
        <v>194461.05004085487</v>
      </c>
      <c r="AU387" s="346"/>
      <c r="AV387" s="444">
        <v>0</v>
      </c>
      <c r="AW387" s="262">
        <f>IFERROR(VLOOKUP($A387,'HH &amp; SI'!$B$4:$EY$503,'HH &amp; SI'!EX$503,0),0)</f>
        <v>4281.8909514919505</v>
      </c>
      <c r="AX387" s="262">
        <f>IFERROR(VLOOKUP($A387,'HH &amp; SI'!$B$4:$EY$503,'HH &amp; SI'!EY$503,0),0)</f>
        <v>194461.05004085487</v>
      </c>
      <c r="AY387" s="262">
        <f>AX387/$AX$582*'update_State Admin 1004(b)'!$B$30*0.01</f>
        <v>1861.1319435855607</v>
      </c>
      <c r="AZ387" s="263">
        <f t="shared" si="586"/>
        <v>192599.91809726931</v>
      </c>
      <c r="BA387" s="261">
        <f t="shared" si="587"/>
        <v>1925.9991809726932</v>
      </c>
      <c r="BB387" s="262">
        <f t="shared" si="588"/>
        <v>190673.91891629662</v>
      </c>
      <c r="BC387" s="341">
        <f t="shared" si="499"/>
        <v>0.98052498881517614</v>
      </c>
      <c r="BD387" s="346"/>
      <c r="BE387" s="376" t="str">
        <f>'Original Title I &amp; II'!AZ384</f>
        <v/>
      </c>
      <c r="BF387" s="243" t="str">
        <f t="shared" si="589"/>
        <v/>
      </c>
      <c r="BG387" s="263">
        <f t="shared" si="569"/>
        <v>190673.91891629662</v>
      </c>
      <c r="BI387" s="31">
        <f>IFERROR(VLOOKUP(A387,'Title II Hold Harmless'!A$1:B$439,2, FALSE),"")</f>
        <v>25850</v>
      </c>
      <c r="BJ387" s="31">
        <f t="shared" si="590"/>
        <v>28044.842682016104</v>
      </c>
      <c r="BK387" s="31">
        <f t="shared" si="591"/>
        <v>28071.973034521689</v>
      </c>
      <c r="BL387" s="31" t="str">
        <f t="shared" si="592"/>
        <v/>
      </c>
      <c r="BM387" s="31">
        <f t="shared" si="593"/>
        <v>28071.973034521689</v>
      </c>
      <c r="BN387" s="200"/>
      <c r="BP387" s="295" t="s">
        <v>1447</v>
      </c>
      <c r="BQ387" s="296" t="str">
        <f t="shared" si="480"/>
        <v>Y</v>
      </c>
      <c r="BR387" s="297" t="s">
        <v>1448</v>
      </c>
      <c r="BT387" s="295" t="str">
        <f t="shared" si="481"/>
        <v>Y</v>
      </c>
      <c r="BU387" s="296" t="str">
        <f t="shared" si="594"/>
        <v>Y</v>
      </c>
      <c r="BV387" s="296" t="str">
        <f t="shared" si="595"/>
        <v>Y</v>
      </c>
      <c r="BW387" s="297" t="str">
        <f t="shared" si="482"/>
        <v>Y</v>
      </c>
      <c r="BY387" s="352">
        <f t="shared" si="483"/>
        <v>0</v>
      </c>
      <c r="BZ387" s="353">
        <f t="shared" si="484"/>
        <v>0.9</v>
      </c>
      <c r="CA387" s="353">
        <f t="shared" si="485"/>
        <v>0</v>
      </c>
      <c r="CB387" s="354">
        <f t="shared" si="486"/>
        <v>0.9</v>
      </c>
      <c r="CD387" s="311">
        <f t="shared" si="487"/>
        <v>379</v>
      </c>
    </row>
    <row r="388" spans="1:82" outlineLevel="1" x14ac:dyDescent="0.3">
      <c r="A388" s="1">
        <v>90225000</v>
      </c>
      <c r="B388" s="47">
        <f>VLOOKUP(C388,'NCES ID'!$A$2:$B$3136,2,FALSE)</f>
        <v>401810</v>
      </c>
      <c r="C388" s="47">
        <f>VLOOKUP(A388,'State ID'!$A$2:$B$713,2,FALSE)</f>
        <v>4395</v>
      </c>
      <c r="D388" s="147" t="s">
        <v>97</v>
      </c>
      <c r="E388" s="47" t="s">
        <v>73</v>
      </c>
      <c r="F388" s="382">
        <f>IFERROR(VLOOKUP($B388,'update_Formula counts'!$D$7:$R$234,'update_Formula counts'!F$5,0),0)</f>
        <v>607</v>
      </c>
      <c r="G388" s="382">
        <f>IFERROR(VLOOKUP($B388,'update_Formula counts'!$D$7:$R$234,'update_Formula counts'!G$5,0),0)</f>
        <v>0</v>
      </c>
      <c r="H388" s="382">
        <f>IFERROR(VLOOKUP($B388,'update_Formula counts'!$D$7:$R$234,'update_Formula counts'!H$5,0),0)</f>
        <v>0</v>
      </c>
      <c r="I388" s="382">
        <f>IFERROR(VLOOKUP($B388,'update_Formula counts'!$D$7:$R$234,'update_Formula counts'!I$5,0),0)</f>
        <v>8</v>
      </c>
      <c r="J388" s="382">
        <f>IFERROR(VLOOKUP($B388,'update_Formula counts'!$D$7:$R$234,'update_Formula counts'!J$5,0),0)</f>
        <v>0</v>
      </c>
      <c r="K388" s="382">
        <f t="shared" si="570"/>
        <v>607</v>
      </c>
      <c r="L388" s="444">
        <f>IFERROR(VLOOKUP($B388,'update_Formula counts'!$D$7:$R$234,'update_Formula counts'!L$5,0),0)</f>
        <v>1627</v>
      </c>
      <c r="M388" s="445">
        <f>IFERROR(VLOOKUP($B388,'update_Formula counts'!$D$7:$R$234,'update_Formula counts'!K$5,0),0)</f>
        <v>615</v>
      </c>
      <c r="N388" s="446">
        <f>IFERROR(VLOOKUP($B388,'update_Formula counts'!$D$7:$R$234,'update_Formula counts'!M$5,0),0)</f>
        <v>0.3779963122311002</v>
      </c>
      <c r="O388" s="137">
        <f>VLOOKUP($C388,'Final SEA Counts'!$A$2:$F$709,5,FALSE)</f>
        <v>116</v>
      </c>
      <c r="P388" s="208">
        <f>VLOOKUP($C388,'Final SEA Counts'!$A$2:$F$709,6,FALSE)</f>
        <v>114</v>
      </c>
      <c r="Q388" s="748">
        <f t="shared" si="571"/>
        <v>-6.2660730547137167</v>
      </c>
      <c r="R388" s="444">
        <f t="shared" si="572"/>
        <v>1617.7318275788862</v>
      </c>
      <c r="S388" s="445">
        <f t="shared" si="573"/>
        <v>608.73392694528627</v>
      </c>
      <c r="T388" s="229">
        <f t="shared" si="574"/>
        <v>0.37628852728719792</v>
      </c>
      <c r="U388" s="261">
        <f>VLOOKUP($B388,update_Allocation!$D$8:$Q$235,update_Allocation!K$239,0)</f>
        <v>342500.11873601878</v>
      </c>
      <c r="V388" s="262">
        <f>VLOOKUP($B388,update_Allocation!$D$8:$Q$235,update_Allocation!L$239,0)</f>
        <v>87456.577807395428</v>
      </c>
      <c r="W388" s="262">
        <f>VLOOKUP($B388,update_Allocation!$D$8:$Q$235,update_Allocation!M$239,0)</f>
        <v>212690.86520053286</v>
      </c>
      <c r="X388" s="262">
        <f>VLOOKUP($B388,update_Allocation!$D$8:$Q$235,update_Allocation!N$239,0)</f>
        <v>237402.78257459842</v>
      </c>
      <c r="Y388" s="263">
        <f>VLOOKUP($B388,update_Allocation!$D$8:$Q$235,update_Allocation!O$239,0)</f>
        <v>880050.34431854554</v>
      </c>
      <c r="Z388" s="262">
        <f t="shared" si="575"/>
        <v>338646.91968466202</v>
      </c>
      <c r="AA388" s="262">
        <f t="shared" si="576"/>
        <v>86465.346453679886</v>
      </c>
      <c r="AB388" s="262">
        <f t="shared" si="577"/>
        <v>210133.91744048425</v>
      </c>
      <c r="AC388" s="263">
        <f t="shared" si="578"/>
        <v>234417.74563651267</v>
      </c>
      <c r="AD388" s="262">
        <f t="shared" si="579"/>
        <v>338646.91968466202</v>
      </c>
      <c r="AE388" s="262">
        <f t="shared" si="580"/>
        <v>86465.346453679886</v>
      </c>
      <c r="AF388" s="262">
        <f t="shared" si="581"/>
        <v>210133.91744048425</v>
      </c>
      <c r="AG388" s="263">
        <f t="shared" si="582"/>
        <v>234417.74563651267</v>
      </c>
      <c r="AH388" s="262">
        <f t="shared" si="583"/>
        <v>338646.91968466202</v>
      </c>
      <c r="AI388" s="262">
        <f t="shared" si="583"/>
        <v>86465.346453679886</v>
      </c>
      <c r="AJ388" s="262">
        <f t="shared" si="583"/>
        <v>210133.91744048425</v>
      </c>
      <c r="AK388" s="262">
        <f t="shared" si="583"/>
        <v>234417.74563651267</v>
      </c>
      <c r="AL388" s="263">
        <f t="shared" si="584"/>
        <v>869663.92921533878</v>
      </c>
      <c r="AM388" s="346"/>
      <c r="AN388" s="261">
        <f>IFERROR(VLOOKUP($A388,'HH &amp; SI'!$B$4:$Z$494,'HH &amp; SI'!V$503,0),0)</f>
        <v>334972.83738552011</v>
      </c>
      <c r="AO388" s="262">
        <f>IFERROR(VLOOKUP($A388,'HH &amp; SI'!$B$4:$Z$494,'HH &amp; SI'!W$503,0),0)</f>
        <v>84765.292370954659</v>
      </c>
      <c r="AP388" s="262">
        <f>IFERROR(VLOOKUP($A388,'HH &amp; SI'!$B$4:$Z$494,'HH &amp; SI'!X$503,0),0)</f>
        <v>208222.83150504899</v>
      </c>
      <c r="AQ388" s="262">
        <f>IFERROR(VLOOKUP($A388,'HH &amp; SI'!$B$4:$Z$494,'HH &amp; SI'!Y$503,0),0)</f>
        <v>232022.82145627736</v>
      </c>
      <c r="AR388" s="263">
        <f t="shared" si="585"/>
        <v>859983.78271780116</v>
      </c>
      <c r="AS388" s="346"/>
      <c r="AT388" s="323">
        <f>IFERROR(VLOOKUP(A388,'Afton FY16 Final'!$A$5:$BV$572,'Afton FY16 Final'!$BV$587,0),0)</f>
        <v>887333.08681869903</v>
      </c>
      <c r="AU388" s="346"/>
      <c r="AV388" s="444">
        <v>0</v>
      </c>
      <c r="AW388" s="262">
        <f>IFERROR(VLOOKUP($A388,'HH &amp; SI'!$B$4:$EY$503,'HH &amp; SI'!EX$503,0),0)</f>
        <v>0</v>
      </c>
      <c r="AX388" s="262">
        <f>IFERROR(VLOOKUP($A388,'HH &amp; SI'!$B$4:$EY$503,'HH &amp; SI'!EY$503,0),0)</f>
        <v>859983.78271780116</v>
      </c>
      <c r="AY388" s="262">
        <f>AX388/$AX$582*'update_State Admin 1004(b)'!$B$30*0.01</f>
        <v>8230.6625858771258</v>
      </c>
      <c r="AZ388" s="263">
        <f t="shared" si="586"/>
        <v>851753.12013192405</v>
      </c>
      <c r="BA388" s="261">
        <f t="shared" si="587"/>
        <v>8517.5312013192415</v>
      </c>
      <c r="BB388" s="262">
        <f t="shared" si="588"/>
        <v>843235.58893060486</v>
      </c>
      <c r="BC388" s="341">
        <f t="shared" si="499"/>
        <v>0.95030333192443639</v>
      </c>
      <c r="BD388" s="346"/>
      <c r="BE388" s="376" t="str">
        <f>'Original Title I &amp; II'!AZ385</f>
        <v/>
      </c>
      <c r="BF388" s="243" t="str">
        <f t="shared" si="589"/>
        <v/>
      </c>
      <c r="BG388" s="263">
        <f t="shared" si="569"/>
        <v>843235.58893060486</v>
      </c>
      <c r="BI388" s="31">
        <f>IFERROR(VLOOKUP(A388,'Title II Hold Harmless'!A$1:B$439,2, FALSE),"")</f>
        <v>30181</v>
      </c>
      <c r="BJ388" s="31">
        <f t="shared" si="590"/>
        <v>39451.820436412963</v>
      </c>
      <c r="BK388" s="31">
        <f t="shared" si="591"/>
        <v>39489.985806337223</v>
      </c>
      <c r="BL388" s="31" t="str">
        <f t="shared" si="592"/>
        <v/>
      </c>
      <c r="BM388" s="31">
        <f t="shared" si="593"/>
        <v>39489.985806337223</v>
      </c>
      <c r="BN388" s="200"/>
      <c r="BP388" s="295" t="s">
        <v>1447</v>
      </c>
      <c r="BQ388" s="296" t="str">
        <f t="shared" si="480"/>
        <v>Y</v>
      </c>
      <c r="BR388" s="297" t="s">
        <v>1448</v>
      </c>
      <c r="BT388" s="295" t="str">
        <f t="shared" si="481"/>
        <v>Y</v>
      </c>
      <c r="BU388" s="296" t="str">
        <f t="shared" si="594"/>
        <v>Y</v>
      </c>
      <c r="BV388" s="296" t="str">
        <f t="shared" si="595"/>
        <v>Y</v>
      </c>
      <c r="BW388" s="297" t="str">
        <f t="shared" si="482"/>
        <v>Y</v>
      </c>
      <c r="BY388" s="352">
        <f t="shared" si="483"/>
        <v>0</v>
      </c>
      <c r="BZ388" s="353">
        <f t="shared" si="484"/>
        <v>0</v>
      </c>
      <c r="CA388" s="353">
        <f t="shared" si="485"/>
        <v>0.95</v>
      </c>
      <c r="CB388" s="354">
        <f t="shared" si="486"/>
        <v>0.95</v>
      </c>
      <c r="CD388" s="311">
        <f t="shared" si="487"/>
        <v>380</v>
      </c>
    </row>
    <row r="389" spans="1:82" outlineLevel="1" x14ac:dyDescent="0.3">
      <c r="A389" s="1">
        <v>90204000</v>
      </c>
      <c r="B389" s="47">
        <f>VLOOKUP(C389,'NCES ID'!$A$2:$B$3136,2,FALSE)</f>
        <v>400023</v>
      </c>
      <c r="C389" s="47">
        <f>VLOOKUP(A389,'State ID'!$A$2:$B$713,2,FALSE)</f>
        <v>4390</v>
      </c>
      <c r="D389" s="147" t="s">
        <v>348</v>
      </c>
      <c r="E389" s="47" t="s">
        <v>73</v>
      </c>
      <c r="F389" s="382">
        <f>IFERROR(VLOOKUP($B389,'update_Formula counts'!$D$7:$R$234,'update_Formula counts'!F$5,0),0)</f>
        <v>757</v>
      </c>
      <c r="G389" s="382">
        <f>IFERROR(VLOOKUP($B389,'update_Formula counts'!$D$7:$R$234,'update_Formula counts'!G$5,0),0)</f>
        <v>0</v>
      </c>
      <c r="H389" s="382">
        <f>IFERROR(VLOOKUP($B389,'update_Formula counts'!$D$7:$R$234,'update_Formula counts'!H$5,0),0)</f>
        <v>0</v>
      </c>
      <c r="I389" s="382">
        <f>IFERROR(VLOOKUP($B389,'update_Formula counts'!$D$7:$R$234,'update_Formula counts'!I$5,0),0)</f>
        <v>10</v>
      </c>
      <c r="J389" s="382">
        <f>IFERROR(VLOOKUP($B389,'update_Formula counts'!$D$7:$R$234,'update_Formula counts'!J$5,0),0)</f>
        <v>0</v>
      </c>
      <c r="K389" s="382">
        <f t="shared" si="570"/>
        <v>757</v>
      </c>
      <c r="L389" s="444">
        <f>IFERROR(VLOOKUP($B389,'update_Formula counts'!$D$7:$R$234,'update_Formula counts'!L$5,0),0)</f>
        <v>1801</v>
      </c>
      <c r="M389" s="445">
        <f>IFERROR(VLOOKUP($B389,'update_Formula counts'!$D$7:$R$234,'update_Formula counts'!K$5,0),0)</f>
        <v>767</v>
      </c>
      <c r="N389" s="446">
        <f>IFERROR(VLOOKUP($B389,'update_Formula counts'!$D$7:$R$234,'update_Formula counts'!M$5,0),0)</f>
        <v>0.42587451415880068</v>
      </c>
      <c r="O389" s="137">
        <f>VLOOKUP($C389,'Final SEA Counts'!$A$2:$F$709,5,FALSE)</f>
        <v>1101</v>
      </c>
      <c r="P389" s="208">
        <f>VLOOKUP($C389,'Final SEA Counts'!$A$2:$F$709,6,FALSE)</f>
        <v>996</v>
      </c>
      <c r="Q389" s="748">
        <f t="shared" si="571"/>
        <v>-7.8143754509367529</v>
      </c>
      <c r="R389" s="444">
        <f t="shared" si="572"/>
        <v>1790.7406401165172</v>
      </c>
      <c r="S389" s="445">
        <f t="shared" si="573"/>
        <v>759.18562454906328</v>
      </c>
      <c r="T389" s="229">
        <f t="shared" si="574"/>
        <v>0.4239506311196834</v>
      </c>
      <c r="U389" s="261">
        <f>VLOOKUP($B389,update_Allocation!$D$8:$Q$235,update_Allocation!K$239,0)</f>
        <v>450547.39390480687</v>
      </c>
      <c r="V389" s="262">
        <f>VLOOKUP($B389,update_Allocation!$D$8:$Q$235,update_Allocation!L$239,0)</f>
        <v>116233.91859916456</v>
      </c>
      <c r="W389" s="262">
        <f>VLOOKUP($B389,update_Allocation!$D$8:$Q$235,update_Allocation!M$239,0)</f>
        <v>297042.68343332707</v>
      </c>
      <c r="X389" s="262">
        <f>VLOOKUP($B389,update_Allocation!$D$8:$Q$235,update_Allocation!N$239,0)</f>
        <v>338114.43116327788</v>
      </c>
      <c r="Y389" s="263">
        <f>VLOOKUP($B389,update_Allocation!$D$8:$Q$235,update_Allocation!O$239,0)</f>
        <v>1201938.4271005765</v>
      </c>
      <c r="Z389" s="262">
        <f t="shared" si="575"/>
        <v>445478.64006848098</v>
      </c>
      <c r="AA389" s="262">
        <f t="shared" si="576"/>
        <v>114916.52535820735</v>
      </c>
      <c r="AB389" s="262">
        <f t="shared" si="577"/>
        <v>293471.66676870646</v>
      </c>
      <c r="AC389" s="263">
        <f t="shared" si="578"/>
        <v>333863.07380606118</v>
      </c>
      <c r="AD389" s="262">
        <f t="shared" si="579"/>
        <v>445478.64006848098</v>
      </c>
      <c r="AE389" s="262">
        <f t="shared" si="580"/>
        <v>114916.52535820735</v>
      </c>
      <c r="AF389" s="262">
        <f t="shared" si="581"/>
        <v>293471.66676870646</v>
      </c>
      <c r="AG389" s="263">
        <f t="shared" si="582"/>
        <v>333863.07380606118</v>
      </c>
      <c r="AH389" s="262">
        <f t="shared" si="583"/>
        <v>445478.64006848098</v>
      </c>
      <c r="AI389" s="262">
        <f t="shared" si="583"/>
        <v>114916.52535820735</v>
      </c>
      <c r="AJ389" s="262">
        <f t="shared" si="583"/>
        <v>293471.66676870646</v>
      </c>
      <c r="AK389" s="262">
        <f t="shared" si="583"/>
        <v>333863.07380606118</v>
      </c>
      <c r="AL389" s="263">
        <f t="shared" si="584"/>
        <v>1187729.9060014558</v>
      </c>
      <c r="AM389" s="346"/>
      <c r="AN389" s="261">
        <f>IFERROR(VLOOKUP($A389,'HH &amp; SI'!$B$4:$Z$494,'HH &amp; SI'!V$503,0),0)</f>
        <v>440645.50829912815</v>
      </c>
      <c r="AO389" s="262">
        <f>IFERROR(VLOOKUP($A389,'HH &amp; SI'!$B$4:$Z$494,'HH &amp; SI'!W$503,0),0)</f>
        <v>112657.07326415397</v>
      </c>
      <c r="AP389" s="262">
        <f>IFERROR(VLOOKUP($A389,'HH &amp; SI'!$B$4:$Z$494,'HH &amp; SI'!X$503,0),0)</f>
        <v>290802.65654112498</v>
      </c>
      <c r="AQ389" s="262">
        <f>IFERROR(VLOOKUP($A389,'HH &amp; SI'!$B$4:$Z$494,'HH &amp; SI'!Y$503,0),0)</f>
        <v>330452.16843208997</v>
      </c>
      <c r="AR389" s="263">
        <f t="shared" si="585"/>
        <v>1174557.4065364969</v>
      </c>
      <c r="AS389" s="346"/>
      <c r="AT389" s="323">
        <f>IFERROR(VLOOKUP(A389,'Afton FY16 Final'!$A$5:$BV$572,'Afton FY16 Final'!$BV$587,0),0)</f>
        <v>1211908.0851353514</v>
      </c>
      <c r="AU389" s="346"/>
      <c r="AV389" s="444">
        <v>0</v>
      </c>
      <c r="AW389" s="262">
        <f>IFERROR(VLOOKUP($A389,'HH &amp; SI'!$B$4:$EY$503,'HH &amp; SI'!EX$503,0),0)</f>
        <v>0</v>
      </c>
      <c r="AX389" s="262">
        <f>IFERROR(VLOOKUP($A389,'HH &amp; SI'!$B$4:$EY$503,'HH &amp; SI'!EY$503,0),0)</f>
        <v>1174557.4065364969</v>
      </c>
      <c r="AY389" s="262">
        <f>AX389/$AX$582*'update_State Admin 1004(b)'!$B$30*0.01</f>
        <v>11241.358145607162</v>
      </c>
      <c r="AZ389" s="263">
        <f t="shared" si="586"/>
        <v>1163316.0483908898</v>
      </c>
      <c r="BA389" s="261">
        <f t="shared" si="587"/>
        <v>11633.160483908898</v>
      </c>
      <c r="BB389" s="262">
        <f t="shared" si="588"/>
        <v>1151682.8879069809</v>
      </c>
      <c r="BC389" s="341">
        <f t="shared" si="499"/>
        <v>0.95030547450993841</v>
      </c>
      <c r="BD389" s="346"/>
      <c r="BE389" s="376" t="str">
        <f>'Original Title I &amp; II'!AZ386</f>
        <v/>
      </c>
      <c r="BF389" s="243" t="str">
        <f t="shared" si="589"/>
        <v/>
      </c>
      <c r="BG389" s="263">
        <f t="shared" si="569"/>
        <v>1151682.8879069809</v>
      </c>
      <c r="BI389" s="31">
        <f>IFERROR(VLOOKUP(A389,'Title II Hold Harmless'!A$1:B$439,2, FALSE),"")</f>
        <v>97468</v>
      </c>
      <c r="BJ389" s="31">
        <f t="shared" si="590"/>
        <v>108847.60486618351</v>
      </c>
      <c r="BK389" s="31">
        <f t="shared" si="591"/>
        <v>108952.90315303401</v>
      </c>
      <c r="BL389" s="31" t="str">
        <f t="shared" si="592"/>
        <v/>
      </c>
      <c r="BM389" s="31">
        <f t="shared" si="593"/>
        <v>108952.90315303401</v>
      </c>
      <c r="BN389" s="200"/>
      <c r="BP389" s="295" t="s">
        <v>1447</v>
      </c>
      <c r="BQ389" s="296" t="str">
        <f t="shared" si="480"/>
        <v>Y</v>
      </c>
      <c r="BR389" s="297" t="s">
        <v>1448</v>
      </c>
      <c r="BT389" s="295" t="str">
        <f t="shared" si="481"/>
        <v>Y</v>
      </c>
      <c r="BU389" s="296" t="str">
        <f t="shared" si="594"/>
        <v>Y</v>
      </c>
      <c r="BV389" s="296" t="str">
        <f t="shared" si="595"/>
        <v>Y</v>
      </c>
      <c r="BW389" s="297" t="str">
        <f t="shared" si="482"/>
        <v>Y</v>
      </c>
      <c r="BY389" s="352">
        <f t="shared" si="483"/>
        <v>0</v>
      </c>
      <c r="BZ389" s="353">
        <f t="shared" si="484"/>
        <v>0</v>
      </c>
      <c r="CA389" s="353">
        <f t="shared" si="485"/>
        <v>0.95</v>
      </c>
      <c r="CB389" s="354">
        <f t="shared" si="486"/>
        <v>0.95</v>
      </c>
      <c r="CD389" s="311">
        <f t="shared" si="487"/>
        <v>381</v>
      </c>
    </row>
    <row r="390" spans="1:82" outlineLevel="1" x14ac:dyDescent="0.3">
      <c r="A390" s="1">
        <v>90201000</v>
      </c>
      <c r="B390" s="47">
        <f>VLOOKUP(C390,'NCES ID'!$A$2:$B$3136,2,FALSE)</f>
        <v>409460</v>
      </c>
      <c r="C390" s="47">
        <f>VLOOKUP(A390,'State ID'!$A$2:$B$713,2,FALSE)</f>
        <v>4387</v>
      </c>
      <c r="D390" s="147" t="s">
        <v>447</v>
      </c>
      <c r="E390" s="47" t="s">
        <v>73</v>
      </c>
      <c r="F390" s="382">
        <f>IFERROR(VLOOKUP($B390,'update_Formula counts'!$D$7:$R$234,'update_Formula counts'!F$5,0),0)</f>
        <v>710</v>
      </c>
      <c r="G390" s="382">
        <f>IFERROR(VLOOKUP($B390,'update_Formula counts'!$D$7:$R$234,'update_Formula counts'!G$5,0),0)</f>
        <v>0</v>
      </c>
      <c r="H390" s="382">
        <f>IFERROR(VLOOKUP($B390,'update_Formula counts'!$D$7:$R$234,'update_Formula counts'!H$5,0),0)</f>
        <v>0</v>
      </c>
      <c r="I390" s="382">
        <f>IFERROR(VLOOKUP($B390,'update_Formula counts'!$D$7:$R$234,'update_Formula counts'!I$5,0),0)</f>
        <v>10</v>
      </c>
      <c r="J390" s="382">
        <f>IFERROR(VLOOKUP($B390,'update_Formula counts'!$D$7:$R$234,'update_Formula counts'!J$5,0),0)</f>
        <v>0</v>
      </c>
      <c r="K390" s="382">
        <f t="shared" si="570"/>
        <v>710</v>
      </c>
      <c r="L390" s="444">
        <f>IFERROR(VLOOKUP($B390,'update_Formula counts'!$D$7:$R$234,'update_Formula counts'!L$5,0),0)</f>
        <v>2196</v>
      </c>
      <c r="M390" s="445">
        <f>IFERROR(VLOOKUP($B390,'update_Formula counts'!$D$7:$R$234,'update_Formula counts'!K$5,0),0)</f>
        <v>720</v>
      </c>
      <c r="N390" s="446">
        <f>IFERROR(VLOOKUP($B390,'update_Formula counts'!$D$7:$R$234,'update_Formula counts'!M$5,0),0)</f>
        <v>0.32786885245901637</v>
      </c>
      <c r="O390" s="137">
        <f>VLOOKUP($C390,'Final SEA Counts'!$A$2:$F$709,5,FALSE)</f>
        <v>1956</v>
      </c>
      <c r="P390" s="208">
        <f>VLOOKUP($C390,'Final SEA Counts'!$A$2:$F$709,6,FALSE)</f>
        <v>1266</v>
      </c>
      <c r="Q390" s="748">
        <f t="shared" si="571"/>
        <v>-7.3251492964205287</v>
      </c>
      <c r="R390" s="444">
        <f t="shared" si="572"/>
        <v>2183.4905306473474</v>
      </c>
      <c r="S390" s="445">
        <f t="shared" si="573"/>
        <v>712.67485070357952</v>
      </c>
      <c r="T390" s="229">
        <f t="shared" si="574"/>
        <v>0.32639246229856111</v>
      </c>
      <c r="U390" s="261">
        <f>VLOOKUP($B390,update_Allocation!$D$8:$Q$235,update_Allocation!K$239,0)</f>
        <v>340480.83147525607</v>
      </c>
      <c r="V390" s="262">
        <f>VLOOKUP($B390,update_Allocation!$D$8:$Q$235,update_Allocation!L$239,0)</f>
        <v>81105.648179712065</v>
      </c>
      <c r="W390" s="262">
        <f>VLOOKUP($B390,update_Allocation!$D$8:$Q$235,update_Allocation!M$239,0)</f>
        <v>174472.30524561662</v>
      </c>
      <c r="X390" s="262">
        <f>VLOOKUP($B390,update_Allocation!$D$8:$Q$235,update_Allocation!N$239,0)</f>
        <v>149152.25032585606</v>
      </c>
      <c r="Y390" s="263">
        <f>VLOOKUP($B390,update_Allocation!$D$8:$Q$235,update_Allocation!O$239,0)</f>
        <v>745211.03522644076</v>
      </c>
      <c r="Z390" s="262">
        <f t="shared" si="575"/>
        <v>336650.34983429406</v>
      </c>
      <c r="AA390" s="262">
        <f t="shared" si="576"/>
        <v>80186.39815353103</v>
      </c>
      <c r="AB390" s="262">
        <f t="shared" si="577"/>
        <v>172374.81709224585</v>
      </c>
      <c r="AC390" s="263">
        <f t="shared" si="578"/>
        <v>147276.85117596871</v>
      </c>
      <c r="AD390" s="262">
        <f t="shared" si="579"/>
        <v>336650.34983429406</v>
      </c>
      <c r="AE390" s="262">
        <f t="shared" si="580"/>
        <v>80186.39815353103</v>
      </c>
      <c r="AF390" s="262">
        <f t="shared" si="581"/>
        <v>172374.81709224585</v>
      </c>
      <c r="AG390" s="263">
        <f t="shared" si="582"/>
        <v>147276.85117596871</v>
      </c>
      <c r="AH390" s="262">
        <f t="shared" si="583"/>
        <v>336650.34983429406</v>
      </c>
      <c r="AI390" s="262">
        <f t="shared" si="583"/>
        <v>80186.39815353103</v>
      </c>
      <c r="AJ390" s="262">
        <f t="shared" si="583"/>
        <v>172374.81709224585</v>
      </c>
      <c r="AK390" s="262">
        <f t="shared" si="583"/>
        <v>147276.85117596871</v>
      </c>
      <c r="AL390" s="263">
        <f t="shared" si="584"/>
        <v>736488.41625603964</v>
      </c>
      <c r="AM390" s="346"/>
      <c r="AN390" s="261">
        <f>IFERROR(VLOOKUP($A390,'HH &amp; SI'!$B$4:$Z$494,'HH &amp; SI'!V$503,0),0)</f>
        <v>332058.22055504489</v>
      </c>
      <c r="AO390" s="262">
        <f>IFERROR(VLOOKUP($A390,'HH &amp; SI'!$B$4:$Z$494,'HH &amp; SI'!W$503,0),0)</f>
        <v>77545.351367463954</v>
      </c>
      <c r="AP390" s="262">
        <f>IFERROR(VLOOKUP($A390,'HH &amp; SI'!$B$4:$Z$494,'HH &amp; SI'!X$503,0),0)</f>
        <v>170807.13543199454</v>
      </c>
      <c r="AQ390" s="262">
        <f>IFERROR(VLOOKUP($A390,'HH &amp; SI'!$B$4:$Z$494,'HH &amp; SI'!Y$503,0),0)</f>
        <v>145654.12538788395</v>
      </c>
      <c r="AR390" s="263">
        <f t="shared" si="585"/>
        <v>726064.83274238731</v>
      </c>
      <c r="AS390" s="346"/>
      <c r="AT390" s="323">
        <f>IFERROR(VLOOKUP(A390,'Afton FY16 Final'!$A$5:$BV$572,'Afton FY16 Final'!$BV$587,0),0)</f>
        <v>654087.62185937073</v>
      </c>
      <c r="AU390" s="346"/>
      <c r="AV390" s="444">
        <v>0</v>
      </c>
      <c r="AW390" s="262">
        <f>IFERROR(VLOOKUP($A390,'HH &amp; SI'!$B$4:$EY$503,'HH &amp; SI'!EX$503,0),0)</f>
        <v>40669.142782094073</v>
      </c>
      <c r="AX390" s="262">
        <f>IFERROR(VLOOKUP($A390,'HH &amp; SI'!$B$4:$EY$503,'HH &amp; SI'!EY$503,0),0)</f>
        <v>685395.68996029324</v>
      </c>
      <c r="AY390" s="262">
        <f>AX390/$AX$582*'update_State Admin 1004(b)'!$B$30*0.01</f>
        <v>6559.7291195998887</v>
      </c>
      <c r="AZ390" s="263">
        <f t="shared" si="586"/>
        <v>678835.96084069333</v>
      </c>
      <c r="BA390" s="261">
        <f t="shared" si="587"/>
        <v>6788.3596084069331</v>
      </c>
      <c r="BB390" s="262">
        <f t="shared" si="588"/>
        <v>672047.60123228643</v>
      </c>
      <c r="BC390" s="341">
        <f t="shared" si="499"/>
        <v>1.027458063373621</v>
      </c>
      <c r="BD390" s="346"/>
      <c r="BE390" s="376" t="str">
        <f>'Original Title I &amp; II'!AZ387</f>
        <v/>
      </c>
      <c r="BF390" s="243" t="str">
        <f t="shared" si="589"/>
        <v/>
      </c>
      <c r="BG390" s="263">
        <f t="shared" si="569"/>
        <v>672047.60123228643</v>
      </c>
      <c r="BI390" s="31">
        <f>IFERROR(VLOOKUP(A390,'Title II Hold Harmless'!A$1:B$439,2, FALSE),"")</f>
        <v>103871</v>
      </c>
      <c r="BJ390" s="31">
        <f t="shared" si="590"/>
        <v>114957.82231829011</v>
      </c>
      <c r="BK390" s="31">
        <f t="shared" si="591"/>
        <v>115069.03157976226</v>
      </c>
      <c r="BL390" s="31" t="str">
        <f t="shared" si="592"/>
        <v/>
      </c>
      <c r="BM390" s="31">
        <f t="shared" si="593"/>
        <v>115069.03157976226</v>
      </c>
      <c r="BN390" s="200"/>
      <c r="BP390" s="295" t="s">
        <v>1447</v>
      </c>
      <c r="BQ390" s="296" t="str">
        <f t="shared" si="480"/>
        <v>Y</v>
      </c>
      <c r="BR390" s="297" t="s">
        <v>1448</v>
      </c>
      <c r="BT390" s="295" t="str">
        <f t="shared" si="481"/>
        <v>Y</v>
      </c>
      <c r="BU390" s="296" t="str">
        <f t="shared" si="594"/>
        <v>Y</v>
      </c>
      <c r="BV390" s="296" t="str">
        <f t="shared" si="595"/>
        <v>Y</v>
      </c>
      <c r="BW390" s="297" t="str">
        <f t="shared" si="482"/>
        <v>Y</v>
      </c>
      <c r="BY390" s="352">
        <f t="shared" si="483"/>
        <v>0</v>
      </c>
      <c r="BZ390" s="353">
        <f t="shared" si="484"/>
        <v>0</v>
      </c>
      <c r="CA390" s="353">
        <f t="shared" si="485"/>
        <v>0.95</v>
      </c>
      <c r="CB390" s="354">
        <f t="shared" si="486"/>
        <v>0.95</v>
      </c>
      <c r="CD390" s="311">
        <f t="shared" si="487"/>
        <v>382</v>
      </c>
    </row>
    <row r="391" spans="1:82" outlineLevel="1" x14ac:dyDescent="0.3">
      <c r="A391" s="1">
        <v>90203000</v>
      </c>
      <c r="B391" s="47">
        <f>VLOOKUP(C391,'NCES ID'!$A$2:$B$3136,2,FALSE)</f>
        <v>403820</v>
      </c>
      <c r="C391" s="47">
        <f>VLOOKUP(A391,'State ID'!$A$2:$B$713,2,FALSE)</f>
        <v>4389</v>
      </c>
      <c r="D391" s="147" t="s">
        <v>199</v>
      </c>
      <c r="E391" s="47" t="s">
        <v>73</v>
      </c>
      <c r="F391" s="382">
        <f>IFERROR(VLOOKUP($B391,'update_Formula counts'!$D$7:$R$234,'update_Formula counts'!F$5,0),0)</f>
        <v>774</v>
      </c>
      <c r="G391" s="382">
        <f>IFERROR(VLOOKUP($B391,'update_Formula counts'!$D$7:$R$234,'update_Formula counts'!G$5,0),0)</f>
        <v>0</v>
      </c>
      <c r="H391" s="382">
        <f>IFERROR(VLOOKUP($B391,'update_Formula counts'!$D$7:$R$234,'update_Formula counts'!H$5,0),0)</f>
        <v>0</v>
      </c>
      <c r="I391" s="382">
        <f>IFERROR(VLOOKUP($B391,'update_Formula counts'!$D$7:$R$234,'update_Formula counts'!I$5,0),0)</f>
        <v>11</v>
      </c>
      <c r="J391" s="382">
        <f>IFERROR(VLOOKUP($B391,'update_Formula counts'!$D$7:$R$234,'update_Formula counts'!J$5,0),0)</f>
        <v>0</v>
      </c>
      <c r="K391" s="382">
        <f t="shared" si="570"/>
        <v>774</v>
      </c>
      <c r="L391" s="444">
        <f>IFERROR(VLOOKUP($B391,'update_Formula counts'!$D$7:$R$234,'update_Formula counts'!L$5,0),0)</f>
        <v>2283</v>
      </c>
      <c r="M391" s="445">
        <f>IFERROR(VLOOKUP($B391,'update_Formula counts'!$D$7:$R$234,'update_Formula counts'!K$5,0),0)</f>
        <v>785</v>
      </c>
      <c r="N391" s="446">
        <f>IFERROR(VLOOKUP($B391,'update_Formula counts'!$D$7:$R$234,'update_Formula counts'!M$5,0),0)</f>
        <v>0.34384581690757776</v>
      </c>
      <c r="O391" s="137">
        <f>VLOOKUP($C391,'Final SEA Counts'!$A$2:$F$709,5,FALSE)</f>
        <v>1828</v>
      </c>
      <c r="P391" s="208">
        <f>VLOOKUP($C391,'Final SEA Counts'!$A$2:$F$709,6,FALSE)</f>
        <v>1826</v>
      </c>
      <c r="Q391" s="748">
        <f t="shared" si="571"/>
        <v>-7.9848007562410146</v>
      </c>
      <c r="R391" s="444">
        <f t="shared" si="572"/>
        <v>2269.9949369161627</v>
      </c>
      <c r="S391" s="445">
        <f t="shared" si="573"/>
        <v>777.01519924375896</v>
      </c>
      <c r="T391" s="229">
        <f t="shared" si="574"/>
        <v>0.3422982080741338</v>
      </c>
      <c r="U391" s="261">
        <f>VLOOKUP($B391,update_Allocation!$D$8:$Q$235,update_Allocation!K$239,0)</f>
        <v>470072.65803814604</v>
      </c>
      <c r="V391" s="262">
        <f>VLOOKUP($B391,update_Allocation!$D$8:$Q$235,update_Allocation!L$239,0)</f>
        <v>121270.66741621455</v>
      </c>
      <c r="W391" s="262">
        <f>VLOOKUP($B391,update_Allocation!$D$8:$Q$235,update_Allocation!M$239,0)</f>
        <v>266864.59255224105</v>
      </c>
      <c r="X391" s="262">
        <f>VLOOKUP($B391,update_Allocation!$D$8:$Q$235,update_Allocation!N$239,0)</f>
        <v>285059.20993818605</v>
      </c>
      <c r="Y391" s="263">
        <f>VLOOKUP($B391,update_Allocation!$D$8:$Q$235,update_Allocation!O$239,0)</f>
        <v>1143267.1279447877</v>
      </c>
      <c r="Z391" s="262">
        <f t="shared" si="575"/>
        <v>464784.2408349468</v>
      </c>
      <c r="AA391" s="262">
        <f t="shared" si="576"/>
        <v>119896.18775050326</v>
      </c>
      <c r="AB391" s="262">
        <f t="shared" si="577"/>
        <v>263656.37380001874</v>
      </c>
      <c r="AC391" s="263">
        <f t="shared" si="578"/>
        <v>281474.95426106633</v>
      </c>
      <c r="AD391" s="262">
        <f t="shared" si="579"/>
        <v>464784.2408349468</v>
      </c>
      <c r="AE391" s="262">
        <f t="shared" si="580"/>
        <v>119896.18775050326</v>
      </c>
      <c r="AF391" s="262">
        <f t="shared" si="581"/>
        <v>263656.37380001874</v>
      </c>
      <c r="AG391" s="263">
        <f t="shared" si="582"/>
        <v>281474.95426106633</v>
      </c>
      <c r="AH391" s="262">
        <f t="shared" si="583"/>
        <v>464784.2408349468</v>
      </c>
      <c r="AI391" s="262">
        <f t="shared" si="583"/>
        <v>119896.18775050326</v>
      </c>
      <c r="AJ391" s="262">
        <f t="shared" si="583"/>
        <v>263656.37380001874</v>
      </c>
      <c r="AK391" s="262">
        <f t="shared" si="583"/>
        <v>281474.95426106633</v>
      </c>
      <c r="AL391" s="263">
        <f t="shared" si="584"/>
        <v>1129811.7566465351</v>
      </c>
      <c r="AM391" s="346"/>
      <c r="AN391" s="261">
        <f>IFERROR(VLOOKUP($A391,'HH &amp; SI'!$B$4:$Z$494,'HH &amp; SI'!V$503,0),0)</f>
        <v>459741.65679561195</v>
      </c>
      <c r="AO391" s="262">
        <f>IFERROR(VLOOKUP($A391,'HH &amp; SI'!$B$4:$Z$494,'HH &amp; SI'!W$503,0),0)</f>
        <v>117538.82712166884</v>
      </c>
      <c r="AP391" s="262">
        <f>IFERROR(VLOOKUP($A391,'HH &amp; SI'!$B$4:$Z$494,'HH &amp; SI'!X$503,0),0)</f>
        <v>261258.52202104649</v>
      </c>
      <c r="AQ391" s="262">
        <f>IFERROR(VLOOKUP($A391,'HH &amp; SI'!$B$4:$Z$494,'HH &amp; SI'!Y$503,0),0)</f>
        <v>278599.27105602546</v>
      </c>
      <c r="AR391" s="263">
        <f t="shared" si="585"/>
        <v>1117138.2769943527</v>
      </c>
      <c r="AS391" s="346"/>
      <c r="AT391" s="323">
        <f>IFERROR(VLOOKUP(A391,'Afton FY16 Final'!$A$5:$BV$572,'Afton FY16 Final'!$BV$587,0),0)</f>
        <v>1152669.5692330494</v>
      </c>
      <c r="AU391" s="346"/>
      <c r="AV391" s="444">
        <v>0</v>
      </c>
      <c r="AW391" s="262">
        <f>IFERROR(VLOOKUP($A391,'HH &amp; SI'!$B$4:$EY$503,'HH &amp; SI'!EX$503,0),0)</f>
        <v>0</v>
      </c>
      <c r="AX391" s="262">
        <f>IFERROR(VLOOKUP($A391,'HH &amp; SI'!$B$4:$EY$503,'HH &amp; SI'!EY$503,0),0)</f>
        <v>1117138.2769943527</v>
      </c>
      <c r="AY391" s="262">
        <f>AX391/$AX$582*'update_State Admin 1004(b)'!$B$30*0.01</f>
        <v>10691.815827794364</v>
      </c>
      <c r="AZ391" s="263">
        <f t="shared" si="586"/>
        <v>1106446.4611665583</v>
      </c>
      <c r="BA391" s="261">
        <f t="shared" si="587"/>
        <v>11064.464611665584</v>
      </c>
      <c r="BB391" s="262">
        <f t="shared" si="588"/>
        <v>1095381.9965548927</v>
      </c>
      <c r="BC391" s="341">
        <f t="shared" si="499"/>
        <v>0.95030009101717328</v>
      </c>
      <c r="BD391" s="346"/>
      <c r="BE391" s="376" t="str">
        <f>'Original Title I &amp; II'!AZ388</f>
        <v/>
      </c>
      <c r="BF391" s="243" t="str">
        <f t="shared" si="589"/>
        <v/>
      </c>
      <c r="BG391" s="263">
        <f t="shared" si="569"/>
        <v>1095381.9965548927</v>
      </c>
      <c r="BI391" s="31">
        <f>IFERROR(VLOOKUP(A391,'Title II Hold Harmless'!A$1:B$439,2, FALSE),"")</f>
        <v>89683</v>
      </c>
      <c r="BJ391" s="31">
        <f t="shared" si="590"/>
        <v>101681.71362006378</v>
      </c>
      <c r="BK391" s="31">
        <f t="shared" si="591"/>
        <v>101780.07968205825</v>
      </c>
      <c r="BL391" s="31" t="str">
        <f t="shared" si="592"/>
        <v/>
      </c>
      <c r="BM391" s="31">
        <f t="shared" si="593"/>
        <v>101780.07968205825</v>
      </c>
      <c r="BN391" s="200"/>
      <c r="BP391" s="295" t="s">
        <v>1447</v>
      </c>
      <c r="BQ391" s="296" t="str">
        <f t="shared" si="480"/>
        <v>Y</v>
      </c>
      <c r="BR391" s="297" t="s">
        <v>1448</v>
      </c>
      <c r="BT391" s="295" t="str">
        <f t="shared" si="481"/>
        <v>Y</v>
      </c>
      <c r="BU391" s="296" t="str">
        <f t="shared" si="594"/>
        <v>Y</v>
      </c>
      <c r="BV391" s="296" t="str">
        <f t="shared" si="595"/>
        <v>Y</v>
      </c>
      <c r="BW391" s="297" t="str">
        <f t="shared" si="482"/>
        <v>Y</v>
      </c>
      <c r="BY391" s="352">
        <f t="shared" si="483"/>
        <v>0</v>
      </c>
      <c r="BZ391" s="353">
        <f t="shared" si="484"/>
        <v>0</v>
      </c>
      <c r="CA391" s="353">
        <f t="shared" si="485"/>
        <v>0.95</v>
      </c>
      <c r="CB391" s="354">
        <f t="shared" si="486"/>
        <v>0.95</v>
      </c>
      <c r="CD391" s="311">
        <f t="shared" si="487"/>
        <v>383</v>
      </c>
    </row>
    <row r="392" spans="1:82" outlineLevel="1" x14ac:dyDescent="0.3">
      <c r="A392" s="1">
        <v>90232000</v>
      </c>
      <c r="B392" s="47">
        <f>VLOOKUP(C392,'NCES ID'!$A$2:$B$3136,2,FALSE)</f>
        <v>406580</v>
      </c>
      <c r="C392" s="47">
        <f>VLOOKUP(A392,'State ID'!$A$2:$B$713,2,FALSE)</f>
        <v>4397</v>
      </c>
      <c r="D392" s="147" t="s">
        <v>72</v>
      </c>
      <c r="E392" s="47" t="s">
        <v>73</v>
      </c>
      <c r="F392" s="382">
        <f>IFERROR(VLOOKUP($B392,'update_Formula counts'!$D$7:$R$234,'update_Formula counts'!F$5,0),0)</f>
        <v>715</v>
      </c>
      <c r="G392" s="382">
        <f>IFERROR(VLOOKUP($B392,'update_Formula counts'!$D$7:$R$234,'update_Formula counts'!G$5,0),0)</f>
        <v>0</v>
      </c>
      <c r="H392" s="382">
        <f>IFERROR(VLOOKUP($B392,'update_Formula counts'!$D$7:$R$234,'update_Formula counts'!H$5,0),0)</f>
        <v>0</v>
      </c>
      <c r="I392" s="382">
        <f>IFERROR(VLOOKUP($B392,'update_Formula counts'!$D$7:$R$234,'update_Formula counts'!I$5,0),0)</f>
        <v>10</v>
      </c>
      <c r="J392" s="382">
        <f>IFERROR(VLOOKUP($B392,'update_Formula counts'!$D$7:$R$234,'update_Formula counts'!J$5,0),0)</f>
        <v>0</v>
      </c>
      <c r="K392" s="382">
        <f t="shared" si="570"/>
        <v>715</v>
      </c>
      <c r="L392" s="444">
        <f>IFERROR(VLOOKUP($B392,'update_Formula counts'!$D$7:$R$234,'update_Formula counts'!L$5,0),0)</f>
        <v>2531</v>
      </c>
      <c r="M392" s="445">
        <f>IFERROR(VLOOKUP($B392,'update_Formula counts'!$D$7:$R$234,'update_Formula counts'!K$5,0),0)</f>
        <v>725</v>
      </c>
      <c r="N392" s="446">
        <f>IFERROR(VLOOKUP($B392,'update_Formula counts'!$D$7:$R$234,'update_Formula counts'!M$5,0),0)</f>
        <v>0.28644804425128406</v>
      </c>
      <c r="O392" s="137">
        <f>VLOOKUP($C392,'Final SEA Counts'!$A$2:$F$709,5,FALSE)</f>
        <v>1949</v>
      </c>
      <c r="P392" s="208">
        <f>VLOOKUP($C392,'Final SEA Counts'!$A$2:$F$709,6,FALSE)</f>
        <v>1082</v>
      </c>
      <c r="Q392" s="748">
        <f t="shared" si="571"/>
        <v>-7.3771946320073623</v>
      </c>
      <c r="R392" s="444">
        <f t="shared" si="572"/>
        <v>2516.5822099583038</v>
      </c>
      <c r="S392" s="445">
        <f t="shared" si="573"/>
        <v>717.62280536799267</v>
      </c>
      <c r="T392" s="229">
        <f t="shared" si="574"/>
        <v>0.28515770417843123</v>
      </c>
      <c r="U392" s="261">
        <f>VLOOKUP($B392,update_Allocation!$D$8:$Q$235,update_Allocation!K$239,0)</f>
        <v>386864.02328489721</v>
      </c>
      <c r="V392" s="262">
        <f>VLOOKUP($B392,update_Allocation!$D$8:$Q$235,update_Allocation!L$239,0)</f>
        <v>91671.024009555651</v>
      </c>
      <c r="W392" s="262">
        <f>VLOOKUP($B392,update_Allocation!$D$8:$Q$235,update_Allocation!M$239,0)</f>
        <v>198059.48479011317</v>
      </c>
      <c r="X392" s="262">
        <f>VLOOKUP($B392,update_Allocation!$D$8:$Q$235,update_Allocation!N$239,0)</f>
        <v>158649.61099362533</v>
      </c>
      <c r="Y392" s="263">
        <f>VLOOKUP($B392,update_Allocation!$D$8:$Q$235,update_Allocation!O$239,0)</f>
        <v>835244.14307819144</v>
      </c>
      <c r="Z392" s="262">
        <f t="shared" si="575"/>
        <v>382511.72088854574</v>
      </c>
      <c r="AA392" s="262">
        <f t="shared" si="576"/>
        <v>90632.026194827558</v>
      </c>
      <c r="AB392" s="262">
        <f t="shared" si="577"/>
        <v>195678.43398422652</v>
      </c>
      <c r="AC392" s="263">
        <f t="shared" si="578"/>
        <v>156654.79465704726</v>
      </c>
      <c r="AD392" s="262">
        <f t="shared" si="579"/>
        <v>382511.72088854574</v>
      </c>
      <c r="AE392" s="262">
        <f t="shared" si="580"/>
        <v>90632.026194827558</v>
      </c>
      <c r="AF392" s="262">
        <f t="shared" si="581"/>
        <v>195678.43398422652</v>
      </c>
      <c r="AG392" s="263">
        <f t="shared" si="582"/>
        <v>156654.79465704726</v>
      </c>
      <c r="AH392" s="262">
        <f t="shared" si="583"/>
        <v>382511.72088854574</v>
      </c>
      <c r="AI392" s="262">
        <f t="shared" si="583"/>
        <v>90632.026194827558</v>
      </c>
      <c r="AJ392" s="262">
        <f t="shared" si="583"/>
        <v>195678.43398422652</v>
      </c>
      <c r="AK392" s="262">
        <f t="shared" si="583"/>
        <v>156654.79465704726</v>
      </c>
      <c r="AL392" s="263">
        <f t="shared" si="584"/>
        <v>825476.97572464705</v>
      </c>
      <c r="AM392" s="346"/>
      <c r="AN392" s="261">
        <f>IFERROR(VLOOKUP($A392,'HH &amp; SI'!$B$4:$Z$494,'HH &amp; SI'!V$503,0),0)</f>
        <v>377294.0127411671</v>
      </c>
      <c r="AO392" s="262">
        <f>IFERROR(VLOOKUP($A392,'HH &amp; SI'!$B$4:$Z$494,'HH &amp; SI'!W$503,0),0)</f>
        <v>87769.678018024249</v>
      </c>
      <c r="AP392" s="262">
        <f>IFERROR(VLOOKUP($A392,'HH &amp; SI'!$B$4:$Z$494,'HH &amp; SI'!X$503,0),0)</f>
        <v>193898.81502689581</v>
      </c>
      <c r="AQ392" s="262">
        <f>IFERROR(VLOOKUP($A392,'HH &amp; SI'!$B$4:$Z$494,'HH &amp; SI'!Y$503,0),0)</f>
        <v>154928.74081296159</v>
      </c>
      <c r="AR392" s="263">
        <f t="shared" si="585"/>
        <v>813891.24659904873</v>
      </c>
      <c r="AS392" s="346"/>
      <c r="AT392" s="323">
        <f>IFERROR(VLOOKUP(A392,'Afton FY16 Final'!$A$5:$BV$572,'Afton FY16 Final'!$BV$587,0),0)</f>
        <v>796994.91920973896</v>
      </c>
      <c r="AU392" s="346"/>
      <c r="AV392" s="444">
        <v>0</v>
      </c>
      <c r="AW392" s="262">
        <f>IFERROR(VLOOKUP($A392,'HH &amp; SI'!$B$4:$EY$503,'HH &amp; SI'!EX$503,0),0)</f>
        <v>16896.327389309765</v>
      </c>
      <c r="AX392" s="262">
        <f>IFERROR(VLOOKUP($A392,'HH &amp; SI'!$B$4:$EY$503,'HH &amp; SI'!EY$503,0),0)</f>
        <v>796994.91920973896</v>
      </c>
      <c r="AY392" s="262">
        <f>AX392/$AX$582*'update_State Admin 1004(b)'!$B$30*0.01</f>
        <v>7627.813912889008</v>
      </c>
      <c r="AZ392" s="263">
        <f t="shared" si="586"/>
        <v>789367.10529684997</v>
      </c>
      <c r="BA392" s="261">
        <f t="shared" si="587"/>
        <v>7893.6710529684997</v>
      </c>
      <c r="BB392" s="262">
        <f t="shared" si="588"/>
        <v>781473.43424388149</v>
      </c>
      <c r="BC392" s="341">
        <f t="shared" si="499"/>
        <v>0.98052498881517614</v>
      </c>
      <c r="BD392" s="346"/>
      <c r="BE392" s="376" t="str">
        <f>'Original Title I &amp; II'!AZ389</f>
        <v/>
      </c>
      <c r="BF392" s="243" t="str">
        <f t="shared" si="589"/>
        <v/>
      </c>
      <c r="BG392" s="263">
        <f t="shared" si="569"/>
        <v>781473.43424388149</v>
      </c>
      <c r="BI392" s="31">
        <f>IFERROR(VLOOKUP(A392,'Title II Hold Harmless'!A$1:B$439,2, FALSE),"")</f>
        <v>48153</v>
      </c>
      <c r="BJ392" s="31">
        <f t="shared" si="590"/>
        <v>59572.667540695315</v>
      </c>
      <c r="BK392" s="31">
        <f t="shared" si="591"/>
        <v>59630.297654310234</v>
      </c>
      <c r="BL392" s="31" t="str">
        <f t="shared" si="592"/>
        <v/>
      </c>
      <c r="BM392" s="31">
        <f t="shared" si="593"/>
        <v>59630.297654310234</v>
      </c>
      <c r="BN392" s="200"/>
      <c r="BP392" s="295" t="s">
        <v>1447</v>
      </c>
      <c r="BQ392" s="296" t="str">
        <f t="shared" si="480"/>
        <v>Y</v>
      </c>
      <c r="BR392" s="297" t="s">
        <v>1448</v>
      </c>
      <c r="BT392" s="295" t="str">
        <f t="shared" si="481"/>
        <v>Y</v>
      </c>
      <c r="BU392" s="296" t="str">
        <f t="shared" si="594"/>
        <v>Y</v>
      </c>
      <c r="BV392" s="296" t="str">
        <f t="shared" si="595"/>
        <v>Y</v>
      </c>
      <c r="BW392" s="297" t="str">
        <f t="shared" si="482"/>
        <v>Y</v>
      </c>
      <c r="BY392" s="352">
        <f t="shared" si="483"/>
        <v>0</v>
      </c>
      <c r="BZ392" s="353">
        <f t="shared" si="484"/>
        <v>0.9</v>
      </c>
      <c r="CA392" s="353">
        <f t="shared" si="485"/>
        <v>0</v>
      </c>
      <c r="CB392" s="354">
        <f t="shared" si="486"/>
        <v>0.9</v>
      </c>
      <c r="CD392" s="311">
        <f t="shared" si="487"/>
        <v>384</v>
      </c>
    </row>
    <row r="393" spans="1:82" outlineLevel="1" x14ac:dyDescent="0.3">
      <c r="A393" s="1">
        <v>90227000</v>
      </c>
      <c r="B393" s="47">
        <f>VLOOKUP(C393,'NCES ID'!$A$2:$B$3136,2,FALSE)</f>
        <v>404060</v>
      </c>
      <c r="C393" s="47">
        <f>VLOOKUP(A393,'State ID'!$A$2:$B$713,2,FALSE)</f>
        <v>4396</v>
      </c>
      <c r="D393" s="147" t="s">
        <v>239</v>
      </c>
      <c r="E393" s="47" t="s">
        <v>73</v>
      </c>
      <c r="F393" s="382">
        <f>IFERROR(VLOOKUP($B393,'update_Formula counts'!$D$7:$R$234,'update_Formula counts'!F$5,0),0)</f>
        <v>1057</v>
      </c>
      <c r="G393" s="382">
        <f>IFERROR(VLOOKUP($B393,'update_Formula counts'!$D$7:$R$234,'update_Formula counts'!G$5,0),0)</f>
        <v>0</v>
      </c>
      <c r="H393" s="382">
        <f>IFERROR(VLOOKUP($B393,'update_Formula counts'!$D$7:$R$234,'update_Formula counts'!H$5,0),0)</f>
        <v>0</v>
      </c>
      <c r="I393" s="382">
        <f>IFERROR(VLOOKUP($B393,'update_Formula counts'!$D$7:$R$234,'update_Formula counts'!I$5,0),0)</f>
        <v>15</v>
      </c>
      <c r="J393" s="382">
        <f>IFERROR(VLOOKUP($B393,'update_Formula counts'!$D$7:$R$234,'update_Formula counts'!J$5,0),0)</f>
        <v>0</v>
      </c>
      <c r="K393" s="382">
        <f t="shared" si="570"/>
        <v>1057</v>
      </c>
      <c r="L393" s="444">
        <f>IFERROR(VLOOKUP($B393,'update_Formula counts'!$D$7:$R$234,'update_Formula counts'!L$5,0),0)</f>
        <v>2637</v>
      </c>
      <c r="M393" s="445">
        <f>IFERROR(VLOOKUP($B393,'update_Formula counts'!$D$7:$R$234,'update_Formula counts'!K$5,0),0)</f>
        <v>1072</v>
      </c>
      <c r="N393" s="446">
        <f>IFERROR(VLOOKUP($B393,'update_Formula counts'!$D$7:$R$234,'update_Formula counts'!M$5,0),0)</f>
        <v>0.40652256351915056</v>
      </c>
      <c r="O393" s="137">
        <f>VLOOKUP($C393,'Final SEA Counts'!$A$2:$F$709,5,FALSE)</f>
        <v>1543</v>
      </c>
      <c r="P393" s="208">
        <f>VLOOKUP($C393,'Final SEA Counts'!$A$2:$F$709,6,FALSE)</f>
        <v>1401</v>
      </c>
      <c r="Q393" s="748">
        <f t="shared" si="571"/>
        <v>-10.904451407691861</v>
      </c>
      <c r="R393" s="444">
        <f t="shared" si="572"/>
        <v>2621.9783831134127</v>
      </c>
      <c r="S393" s="445">
        <f t="shared" si="573"/>
        <v>1061.0955485923082</v>
      </c>
      <c r="T393" s="229">
        <f t="shared" si="574"/>
        <v>0.40469271425965486</v>
      </c>
      <c r="U393" s="261">
        <f>VLOOKUP($B393,update_Allocation!$D$8:$Q$235,update_Allocation!K$239,0)</f>
        <v>609029.49779173429</v>
      </c>
      <c r="V393" s="262">
        <f>VLOOKUP($B393,update_Allocation!$D$8:$Q$235,update_Allocation!L$239,0)</f>
        <v>151750.54430191519</v>
      </c>
      <c r="W393" s="262">
        <f>VLOOKUP($B393,update_Allocation!$D$8:$Q$235,update_Allocation!M$239,0)</f>
        <v>415725.88386823435</v>
      </c>
      <c r="X393" s="262">
        <f>VLOOKUP($B393,update_Allocation!$D$8:$Q$235,update_Allocation!N$239,0)</f>
        <v>401634.54052309238</v>
      </c>
      <c r="Y393" s="263">
        <f>VLOOKUP($B393,update_Allocation!$D$8:$Q$235,update_Allocation!O$239,0)</f>
        <v>1578140.466484976</v>
      </c>
      <c r="Z393" s="262">
        <f t="shared" si="575"/>
        <v>602177.78663963359</v>
      </c>
      <c r="AA393" s="262">
        <f t="shared" si="576"/>
        <v>150030.60623405795</v>
      </c>
      <c r="AB393" s="262">
        <f t="shared" si="577"/>
        <v>410728.06994449632</v>
      </c>
      <c r="AC393" s="263">
        <f t="shared" si="578"/>
        <v>396584.49887627299</v>
      </c>
      <c r="AD393" s="262">
        <f t="shared" si="579"/>
        <v>602177.78663963359</v>
      </c>
      <c r="AE393" s="262">
        <f t="shared" si="580"/>
        <v>150030.60623405795</v>
      </c>
      <c r="AF393" s="262">
        <f t="shared" si="581"/>
        <v>410728.06994449632</v>
      </c>
      <c r="AG393" s="263">
        <f t="shared" si="582"/>
        <v>396584.49887627299</v>
      </c>
      <c r="AH393" s="262">
        <f t="shared" si="583"/>
        <v>602177.78663963359</v>
      </c>
      <c r="AI393" s="262">
        <f t="shared" si="583"/>
        <v>150030.60623405795</v>
      </c>
      <c r="AJ393" s="262">
        <f t="shared" si="583"/>
        <v>410728.06994449632</v>
      </c>
      <c r="AK393" s="262">
        <f t="shared" si="583"/>
        <v>396584.49887627299</v>
      </c>
      <c r="AL393" s="263">
        <f t="shared" si="584"/>
        <v>1559520.9616944608</v>
      </c>
      <c r="AM393" s="346"/>
      <c r="AN393" s="261">
        <f>IFERROR(VLOOKUP($A393,'HH &amp; SI'!$B$4:$Z$494,'HH &amp; SI'!V$503,0),0)</f>
        <v>593963.69077814859</v>
      </c>
      <c r="AO393" s="262">
        <f>IFERROR(VLOOKUP($A393,'HH &amp; SI'!$B$4:$Z$494,'HH &amp; SI'!W$503,0),0)</f>
        <v>147080.75227379435</v>
      </c>
      <c r="AP393" s="262">
        <f>IFERROR(VLOOKUP($A393,'HH &amp; SI'!$B$4:$Z$494,'HH &amp; SI'!X$503,0),0)</f>
        <v>406992.65851106268</v>
      </c>
      <c r="AQ393" s="262">
        <f>IFERROR(VLOOKUP($A393,'HH &amp; SI'!$B$4:$Z$494,'HH &amp; SI'!Y$503,0),0)</f>
        <v>392532.80132544832</v>
      </c>
      <c r="AR393" s="263">
        <f t="shared" si="585"/>
        <v>1540569.902888454</v>
      </c>
      <c r="AS393" s="346"/>
      <c r="AT393" s="323">
        <f>IFERROR(VLOOKUP(A393,'Afton FY16 Final'!$A$5:$BV$572,'Afton FY16 Final'!$BV$587,0),0)</f>
        <v>1567516.9330944417</v>
      </c>
      <c r="AU393" s="346"/>
      <c r="AV393" s="444">
        <v>0</v>
      </c>
      <c r="AW393" s="262">
        <f>IFERROR(VLOOKUP($A393,'HH &amp; SI'!$B$4:$EY$503,'HH &amp; SI'!EX$503,0),0)</f>
        <v>0</v>
      </c>
      <c r="AX393" s="262">
        <f>IFERROR(VLOOKUP($A393,'HH &amp; SI'!$B$4:$EY$503,'HH &amp; SI'!EY$503,0),0)</f>
        <v>1540569.902888454</v>
      </c>
      <c r="AY393" s="262">
        <f>AX393/$AX$582*'update_State Admin 1004(b)'!$B$30*0.01</f>
        <v>14744.360667546678</v>
      </c>
      <c r="AZ393" s="263">
        <f t="shared" si="586"/>
        <v>1525825.5422209073</v>
      </c>
      <c r="BA393" s="261">
        <f t="shared" si="587"/>
        <v>15258.255422209073</v>
      </c>
      <c r="BB393" s="262">
        <f t="shared" si="588"/>
        <v>1510567.2867986981</v>
      </c>
      <c r="BC393" s="341">
        <f t="shared" si="499"/>
        <v>0.96366887968264625</v>
      </c>
      <c r="BD393" s="346"/>
      <c r="BE393" s="376" t="str">
        <f>'Original Title I &amp; II'!AZ390</f>
        <v/>
      </c>
      <c r="BF393" s="243" t="str">
        <f t="shared" si="589"/>
        <v/>
      </c>
      <c r="BG393" s="263">
        <f t="shared" si="569"/>
        <v>1510567.2867986981</v>
      </c>
      <c r="BI393" s="31">
        <f>IFERROR(VLOOKUP(A393,'Title II Hold Harmless'!A$1:B$439,2, FALSE),"")</f>
        <v>104198</v>
      </c>
      <c r="BJ393" s="31">
        <f t="shared" si="590"/>
        <v>120198.85508669165</v>
      </c>
      <c r="BK393" s="31">
        <f t="shared" si="591"/>
        <v>120315.13448059821</v>
      </c>
      <c r="BL393" s="31" t="str">
        <f t="shared" si="592"/>
        <v/>
      </c>
      <c r="BM393" s="31">
        <f t="shared" si="593"/>
        <v>120315.13448059821</v>
      </c>
      <c r="BN393" s="200"/>
      <c r="BP393" s="295" t="s">
        <v>1447</v>
      </c>
      <c r="BQ393" s="296" t="str">
        <f t="shared" si="480"/>
        <v>Y</v>
      </c>
      <c r="BR393" s="297" t="s">
        <v>1448</v>
      </c>
      <c r="BT393" s="295" t="str">
        <f t="shared" si="481"/>
        <v>Y</v>
      </c>
      <c r="BU393" s="296" t="str">
        <f t="shared" si="594"/>
        <v>Y</v>
      </c>
      <c r="BV393" s="296" t="str">
        <f t="shared" si="595"/>
        <v>Y</v>
      </c>
      <c r="BW393" s="297" t="str">
        <f t="shared" si="482"/>
        <v>Y</v>
      </c>
      <c r="BY393" s="352">
        <f t="shared" si="483"/>
        <v>0</v>
      </c>
      <c r="BZ393" s="353">
        <f t="shared" si="484"/>
        <v>0</v>
      </c>
      <c r="CA393" s="353">
        <f t="shared" si="485"/>
        <v>0.95</v>
      </c>
      <c r="CB393" s="354">
        <f t="shared" si="486"/>
        <v>0.95</v>
      </c>
      <c r="CD393" s="311">
        <f t="shared" si="487"/>
        <v>385</v>
      </c>
    </row>
    <row r="394" spans="1:82" outlineLevel="1" x14ac:dyDescent="0.3">
      <c r="A394" s="1">
        <v>90220000</v>
      </c>
      <c r="B394" s="47">
        <f>VLOOKUP(C394,'NCES ID'!$A$2:$B$3136,2,FALSE)</f>
        <v>409160</v>
      </c>
      <c r="C394" s="47">
        <f>VLOOKUP(A394,'State ID'!$A$2:$B$713,2,FALSE)</f>
        <v>4394</v>
      </c>
      <c r="D394" s="147" t="s">
        <v>441</v>
      </c>
      <c r="E394" s="47" t="s">
        <v>73</v>
      </c>
      <c r="F394" s="382">
        <f>IFERROR(VLOOKUP($B394,'update_Formula counts'!$D$7:$R$234,'update_Formula counts'!F$5,0),0)</f>
        <v>1043</v>
      </c>
      <c r="G394" s="382">
        <f>IFERROR(VLOOKUP($B394,'update_Formula counts'!$D$7:$R$234,'update_Formula counts'!G$5,0),0)</f>
        <v>0</v>
      </c>
      <c r="H394" s="382">
        <f>IFERROR(VLOOKUP($B394,'update_Formula counts'!$D$7:$R$234,'update_Formula counts'!H$5,0),0)</f>
        <v>0</v>
      </c>
      <c r="I394" s="382">
        <f>IFERROR(VLOOKUP($B394,'update_Formula counts'!$D$7:$R$234,'update_Formula counts'!I$5,0),0)</f>
        <v>14</v>
      </c>
      <c r="J394" s="382">
        <f>IFERROR(VLOOKUP($B394,'update_Formula counts'!$D$7:$R$234,'update_Formula counts'!J$5,0),0)</f>
        <v>0</v>
      </c>
      <c r="K394" s="382">
        <f t="shared" si="570"/>
        <v>1043</v>
      </c>
      <c r="L394" s="444">
        <f>IFERROR(VLOOKUP($B394,'update_Formula counts'!$D$7:$R$234,'update_Formula counts'!L$5,0),0)</f>
        <v>2712</v>
      </c>
      <c r="M394" s="445">
        <f>IFERROR(VLOOKUP($B394,'update_Formula counts'!$D$7:$R$234,'update_Formula counts'!K$5,0),0)</f>
        <v>1057</v>
      </c>
      <c r="N394" s="446">
        <f>IFERROR(VLOOKUP($B394,'update_Formula counts'!$D$7:$R$234,'update_Formula counts'!M$5,0),0)</f>
        <v>0.38974926253687314</v>
      </c>
      <c r="O394" s="137">
        <f>VLOOKUP($C394,'Final SEA Counts'!$A$2:$F$709,5,FALSE)</f>
        <v>2159</v>
      </c>
      <c r="P394" s="208">
        <f>VLOOKUP($C394,'Final SEA Counts'!$A$2:$F$709,6,FALSE)</f>
        <v>2142</v>
      </c>
      <c r="Q394" s="748">
        <f t="shared" si="571"/>
        <v>-10.765253303739698</v>
      </c>
      <c r="R394" s="444">
        <f t="shared" si="572"/>
        <v>2696.5511471382538</v>
      </c>
      <c r="S394" s="445">
        <f t="shared" si="573"/>
        <v>1046.2347466962603</v>
      </c>
      <c r="T394" s="229">
        <f t="shared" si="574"/>
        <v>0.38798995072153153</v>
      </c>
      <c r="U394" s="261">
        <f>VLOOKUP($B394,update_Allocation!$D$8:$Q$235,update_Allocation!K$239,0)</f>
        <v>675007.12859414693</v>
      </c>
      <c r="V394" s="262">
        <f>VLOOKUP($B394,update_Allocation!$D$8:$Q$235,update_Allocation!L$239,0)</f>
        <v>174140.88883942118</v>
      </c>
      <c r="W394" s="262">
        <f>VLOOKUP($B394,update_Allocation!$D$8:$Q$235,update_Allocation!M$239,0)</f>
        <v>457889.60986444267</v>
      </c>
      <c r="X394" s="262">
        <f>VLOOKUP($B394,update_Allocation!$D$8:$Q$235,update_Allocation!N$239,0)</f>
        <v>526789.90361702535</v>
      </c>
      <c r="Y394" s="263">
        <f>VLOOKUP($B394,update_Allocation!$D$8:$Q$235,update_Allocation!O$239,0)</f>
        <v>1833827.5309150361</v>
      </c>
      <c r="Z394" s="262">
        <f t="shared" si="575"/>
        <v>667413.1550879284</v>
      </c>
      <c r="AA394" s="262">
        <f t="shared" si="576"/>
        <v>172167.17899038419</v>
      </c>
      <c r="AB394" s="262">
        <f t="shared" si="577"/>
        <v>452384.90795263962</v>
      </c>
      <c r="AC394" s="263">
        <f t="shared" si="578"/>
        <v>520166.19304441096</v>
      </c>
      <c r="AD394" s="262">
        <f t="shared" si="579"/>
        <v>667413.1550879284</v>
      </c>
      <c r="AE394" s="262">
        <f t="shared" si="580"/>
        <v>172167.17899038419</v>
      </c>
      <c r="AF394" s="262">
        <f t="shared" si="581"/>
        <v>452384.90795263962</v>
      </c>
      <c r="AG394" s="263">
        <f t="shared" si="582"/>
        <v>520166.19304441096</v>
      </c>
      <c r="AH394" s="262">
        <f t="shared" si="583"/>
        <v>667413.1550879284</v>
      </c>
      <c r="AI394" s="262">
        <f t="shared" si="583"/>
        <v>172167.17899038419</v>
      </c>
      <c r="AJ394" s="262">
        <f t="shared" si="583"/>
        <v>452384.90795263962</v>
      </c>
      <c r="AK394" s="262">
        <f t="shared" si="583"/>
        <v>520166.19304441096</v>
      </c>
      <c r="AL394" s="263">
        <f t="shared" si="584"/>
        <v>1812131.4350753631</v>
      </c>
      <c r="AM394" s="346"/>
      <c r="AN394" s="261">
        <f>IFERROR(VLOOKUP($A394,'HH &amp; SI'!$B$4:$Z$494,'HH &amp; SI'!V$503,0),0)</f>
        <v>660172.18900559598</v>
      </c>
      <c r="AO394" s="262">
        <f>IFERROR(VLOOKUP($A394,'HH &amp; SI'!$B$4:$Z$494,'HH &amp; SI'!W$503,0),0)</f>
        <v>168782.08279221324</v>
      </c>
      <c r="AP394" s="262">
        <f>IFERROR(VLOOKUP($A394,'HH &amp; SI'!$B$4:$Z$494,'HH &amp; SI'!X$503,0),0)</f>
        <v>448270.64384181931</v>
      </c>
      <c r="AQ394" s="262">
        <f>IFERROR(VLOOKUP($A394,'HH &amp; SI'!$B$4:$Z$494,'HH &amp; SI'!Y$503,0),0)</f>
        <v>514851.92560241156</v>
      </c>
      <c r="AR394" s="263">
        <f t="shared" si="585"/>
        <v>1792076.8412420403</v>
      </c>
      <c r="AS394" s="346"/>
      <c r="AT394" s="323">
        <f>IFERROR(VLOOKUP(A394,'Afton FY16 Final'!$A$5:$BV$572,'Afton FY16 Final'!$BV$587,0),0)</f>
        <v>1849062.5571262678</v>
      </c>
      <c r="AU394" s="346"/>
      <c r="AV394" s="444">
        <v>0</v>
      </c>
      <c r="AW394" s="262">
        <f>IFERROR(VLOOKUP($A394,'HH &amp; SI'!$B$4:$EY$503,'HH &amp; SI'!EX$503,0),0)</f>
        <v>0</v>
      </c>
      <c r="AX394" s="262">
        <f>IFERROR(VLOOKUP($A394,'HH &amp; SI'!$B$4:$EY$503,'HH &amp; SI'!EY$503,0),0)</f>
        <v>1792076.8412420403</v>
      </c>
      <c r="AY394" s="262">
        <f>AX394/$AX$582*'update_State Admin 1004(b)'!$B$30*0.01</f>
        <v>17151.462742254811</v>
      </c>
      <c r="AZ394" s="263">
        <f t="shared" si="586"/>
        <v>1774925.3784997854</v>
      </c>
      <c r="BA394" s="261">
        <f t="shared" si="587"/>
        <v>17749.253784997854</v>
      </c>
      <c r="BB394" s="262">
        <f t="shared" si="588"/>
        <v>1757176.1247147876</v>
      </c>
      <c r="BC394" s="341">
        <f t="shared" ref="BC394:BC400" si="596">IFERROR(BB394/AT394,"")</f>
        <v>0.95030647716198091</v>
      </c>
      <c r="BD394" s="346"/>
      <c r="BE394" s="376" t="str">
        <f>'Original Title I &amp; II'!AZ391</f>
        <v/>
      </c>
      <c r="BF394" s="243" t="str">
        <f t="shared" si="589"/>
        <v/>
      </c>
      <c r="BG394" s="263">
        <f t="shared" si="569"/>
        <v>1757176.1247147876</v>
      </c>
      <c r="BI394" s="31">
        <f>IFERROR(VLOOKUP(A394,'Title II Hold Harmless'!A$1:B$439,2, FALSE),"")</f>
        <v>140019</v>
      </c>
      <c r="BJ394" s="31">
        <f t="shared" si="590"/>
        <v>155885.33006478913</v>
      </c>
      <c r="BK394" s="31">
        <f t="shared" si="591"/>
        <v>156036.13226407618</v>
      </c>
      <c r="BL394" s="31" t="str">
        <f t="shared" si="592"/>
        <v/>
      </c>
      <c r="BM394" s="31">
        <f t="shared" si="593"/>
        <v>156036.13226407618</v>
      </c>
      <c r="BN394" s="200"/>
      <c r="BP394" s="295" t="s">
        <v>1447</v>
      </c>
      <c r="BQ394" s="296" t="str">
        <f t="shared" ref="BQ394:BQ457" si="597">IF(OR(BP394="y",BP394="n"),"Y","N")</f>
        <v>Y</v>
      </c>
      <c r="BR394" s="297" t="s">
        <v>1448</v>
      </c>
      <c r="BT394" s="295" t="str">
        <f t="shared" ref="BT394:BT457" si="598">IF(AND(S394&gt;=10,T394&gt;0.02),"Y","N")</f>
        <v>Y</v>
      </c>
      <c r="BU394" s="296" t="str">
        <f t="shared" si="594"/>
        <v>Y</v>
      </c>
      <c r="BV394" s="296" t="str">
        <f t="shared" si="595"/>
        <v>Y</v>
      </c>
      <c r="BW394" s="297" t="str">
        <f t="shared" ref="BW394:BW457" si="599">BV394</f>
        <v>Y</v>
      </c>
      <c r="BY394" s="352">
        <f t="shared" ref="BY394:BY457" si="600">IF(BT394="NA","NA",IF($T394&lt;0.15,0.85,0))</f>
        <v>0</v>
      </c>
      <c r="BZ394" s="353">
        <f t="shared" ref="BZ394:BZ457" si="601">IF(BT394="NA","NA",IF(AND($T394&gt;=0.15,$T394&lt;0.3),0.9,0))</f>
        <v>0</v>
      </c>
      <c r="CA394" s="353">
        <f t="shared" ref="CA394:CA457" si="602">IF(BT394="NA","NA",IF($T394&gt;=0.3,0.95,0))</f>
        <v>0.95</v>
      </c>
      <c r="CB394" s="354">
        <f t="shared" ref="CB394:CB457" si="603">IF(BY394="NA","NA",MAX(BY394:CA394))</f>
        <v>0.95</v>
      </c>
      <c r="CD394" s="311">
        <f t="shared" si="487"/>
        <v>386</v>
      </c>
    </row>
    <row r="395" spans="1:82" outlineLevel="1" x14ac:dyDescent="0.3">
      <c r="A395" s="1">
        <v>90210000</v>
      </c>
      <c r="B395" s="47">
        <f>VLOOKUP(C395,'NCES ID'!$A$2:$B$3136,2,FALSE)</f>
        <v>407700</v>
      </c>
      <c r="C395" s="47">
        <f>VLOOKUP(A395,'State ID'!$A$2:$B$713,2,FALSE)</f>
        <v>4393</v>
      </c>
      <c r="D395" s="147" t="s">
        <v>383</v>
      </c>
      <c r="E395" s="47" t="s">
        <v>73</v>
      </c>
      <c r="F395" s="382">
        <f>IFERROR(VLOOKUP($B395,'update_Formula counts'!$D$7:$R$234,'update_Formula counts'!F$5,0),0)</f>
        <v>755</v>
      </c>
      <c r="G395" s="382">
        <f>IFERROR(VLOOKUP($B395,'update_Formula counts'!$D$7:$R$234,'update_Formula counts'!G$5,0),0)</f>
        <v>0</v>
      </c>
      <c r="H395" s="382">
        <f>IFERROR(VLOOKUP($B395,'update_Formula counts'!$D$7:$R$234,'update_Formula counts'!H$5,0),0)</f>
        <v>0</v>
      </c>
      <c r="I395" s="382">
        <f>IFERROR(VLOOKUP($B395,'update_Formula counts'!$D$7:$R$234,'update_Formula counts'!I$5,0),0)</f>
        <v>10</v>
      </c>
      <c r="J395" s="382">
        <f>IFERROR(VLOOKUP($B395,'update_Formula counts'!$D$7:$R$234,'update_Formula counts'!J$5,0),0)</f>
        <v>0</v>
      </c>
      <c r="K395" s="382">
        <f t="shared" si="570"/>
        <v>755</v>
      </c>
      <c r="L395" s="444">
        <f>IFERROR(VLOOKUP($B395,'update_Formula counts'!$D$7:$R$234,'update_Formula counts'!L$5,0),0)</f>
        <v>2716</v>
      </c>
      <c r="M395" s="445">
        <f>IFERROR(VLOOKUP($B395,'update_Formula counts'!$D$7:$R$234,'update_Formula counts'!K$5,0),0)</f>
        <v>765</v>
      </c>
      <c r="N395" s="446">
        <f>IFERROR(VLOOKUP($B395,'update_Formula counts'!$D$7:$R$234,'update_Formula counts'!M$5,0),0)</f>
        <v>0.28166421207658321</v>
      </c>
      <c r="O395" s="137">
        <f>VLOOKUP($C395,'Final SEA Counts'!$A$2:$F$709,5,FALSE)</f>
        <v>2297</v>
      </c>
      <c r="P395" s="208">
        <f>VLOOKUP($C395,'Final SEA Counts'!$A$2:$F$709,6,FALSE)</f>
        <v>1391</v>
      </c>
      <c r="Q395" s="748">
        <f t="shared" si="571"/>
        <v>-7.7935573167020209</v>
      </c>
      <c r="R395" s="444">
        <f t="shared" si="572"/>
        <v>2700.5283612195785</v>
      </c>
      <c r="S395" s="445">
        <f t="shared" si="573"/>
        <v>757.20644268329795</v>
      </c>
      <c r="T395" s="229">
        <f t="shared" si="574"/>
        <v>0.28039196090550883</v>
      </c>
      <c r="U395" s="261">
        <f>VLOOKUP($B395,update_Allocation!$D$8:$Q$235,update_Allocation!K$239,0)</f>
        <v>442901.19403968385</v>
      </c>
      <c r="V395" s="262">
        <f>VLOOKUP($B395,update_Allocation!$D$8:$Q$235,update_Allocation!L$239,0)</f>
        <v>104949.55216544622</v>
      </c>
      <c r="W395" s="262">
        <f>VLOOKUP($B395,update_Allocation!$D$8:$Q$235,update_Allocation!M$239,0)</f>
        <v>239492.03821865655</v>
      </c>
      <c r="X395" s="262">
        <f>VLOOKUP($B395,update_Allocation!$D$8:$Q$235,update_Allocation!N$239,0)</f>
        <v>197072.77227882907</v>
      </c>
      <c r="Y395" s="263">
        <f>VLOOKUP($B395,update_Allocation!$D$8:$Q$235,update_Allocation!O$239,0)</f>
        <v>984415.55670261569</v>
      </c>
      <c r="Z395" s="262">
        <f t="shared" si="575"/>
        <v>437918.46157519135</v>
      </c>
      <c r="AA395" s="262">
        <f t="shared" si="576"/>
        <v>103760.05574021566</v>
      </c>
      <c r="AB395" s="262">
        <f t="shared" si="577"/>
        <v>236612.88950629739</v>
      </c>
      <c r="AC395" s="263">
        <f t="shared" si="578"/>
        <v>194594.83373757201</v>
      </c>
      <c r="AD395" s="262">
        <f t="shared" si="579"/>
        <v>437918.46157519135</v>
      </c>
      <c r="AE395" s="262">
        <f t="shared" si="580"/>
        <v>103760.05574021566</v>
      </c>
      <c r="AF395" s="262">
        <f t="shared" si="581"/>
        <v>236612.88950629739</v>
      </c>
      <c r="AG395" s="263">
        <f t="shared" si="582"/>
        <v>194594.83373757201</v>
      </c>
      <c r="AH395" s="262">
        <f t="shared" si="583"/>
        <v>437918.46157519135</v>
      </c>
      <c r="AI395" s="262">
        <f t="shared" si="583"/>
        <v>103760.05574021566</v>
      </c>
      <c r="AJ395" s="262">
        <f t="shared" si="583"/>
        <v>236612.88950629739</v>
      </c>
      <c r="AK395" s="262">
        <f t="shared" si="583"/>
        <v>194594.83373757201</v>
      </c>
      <c r="AL395" s="263">
        <f t="shared" si="584"/>
        <v>972886.24055927643</v>
      </c>
      <c r="AM395" s="346"/>
      <c r="AN395" s="261">
        <f>IFERROR(VLOOKUP($A395,'HH &amp; SI'!$B$4:$Z$494,'HH &amp; SI'!V$503,0),0)</f>
        <v>431944.96952234471</v>
      </c>
      <c r="AO395" s="262">
        <f>IFERROR(VLOOKUP($A395,'HH &amp; SI'!$B$4:$Z$494,'HH &amp; SI'!W$503,0),0)</f>
        <v>100483.09704424017</v>
      </c>
      <c r="AP395" s="262">
        <f>IFERROR(VLOOKUP($A395,'HH &amp; SI'!$B$4:$Z$494,'HH &amp; SI'!X$503,0),0)</f>
        <v>234460.98765824732</v>
      </c>
      <c r="AQ395" s="262">
        <f>IFERROR(VLOOKUP($A395,'HH &amp; SI'!$B$4:$Z$494,'HH &amp; SI'!Y$503,0),0)</f>
        <v>192450.74895837795</v>
      </c>
      <c r="AR395" s="263">
        <f t="shared" si="585"/>
        <v>959339.8031832102</v>
      </c>
      <c r="AS395" s="346"/>
      <c r="AT395" s="323">
        <f>IFERROR(VLOOKUP(A395,'Afton FY16 Final'!$A$5:$BV$572,'Afton FY16 Final'!$BV$587,0),0)</f>
        <v>939130.42745118204</v>
      </c>
      <c r="AU395" s="346"/>
      <c r="AV395" s="444">
        <v>0</v>
      </c>
      <c r="AW395" s="262">
        <f>IFERROR(VLOOKUP($A395,'HH &amp; SI'!$B$4:$EY$503,'HH &amp; SI'!EX$503,0),0)</f>
        <v>20209.375732028158</v>
      </c>
      <c r="AX395" s="262">
        <f>IFERROR(VLOOKUP($A395,'HH &amp; SI'!$B$4:$EY$503,'HH &amp; SI'!EY$503,0),0)</f>
        <v>939130.42745118204</v>
      </c>
      <c r="AY395" s="262">
        <f>AX395/$AX$582*'update_State Admin 1004(b)'!$B$30*0.01</f>
        <v>8988.1528324327519</v>
      </c>
      <c r="AZ395" s="263">
        <f t="shared" si="586"/>
        <v>930142.27461874927</v>
      </c>
      <c r="BA395" s="261">
        <f t="shared" si="587"/>
        <v>9301.4227461874925</v>
      </c>
      <c r="BB395" s="262">
        <f t="shared" si="588"/>
        <v>920840.85187256173</v>
      </c>
      <c r="BC395" s="341">
        <f t="shared" si="596"/>
        <v>0.98052498881517602</v>
      </c>
      <c r="BD395" s="346"/>
      <c r="BE395" s="376" t="str">
        <f>'Original Title I &amp; II'!AZ392</f>
        <v/>
      </c>
      <c r="BF395" s="243" t="str">
        <f t="shared" si="589"/>
        <v/>
      </c>
      <c r="BG395" s="263">
        <f t="shared" si="569"/>
        <v>920840.85187256173</v>
      </c>
      <c r="BI395" s="31">
        <f>IFERROR(VLOOKUP(A395,'Title II Hold Harmless'!A$1:B$439,2, FALSE),"")</f>
        <v>77274</v>
      </c>
      <c r="BJ395" s="31">
        <f t="shared" si="590"/>
        <v>89359.892484701268</v>
      </c>
      <c r="BK395" s="31">
        <f t="shared" si="591"/>
        <v>89446.338517237789</v>
      </c>
      <c r="BL395" s="31" t="str">
        <f t="shared" si="592"/>
        <v/>
      </c>
      <c r="BM395" s="31">
        <f t="shared" si="593"/>
        <v>89446.338517237789</v>
      </c>
      <c r="BN395" s="200"/>
      <c r="BP395" s="295" t="s">
        <v>1447</v>
      </c>
      <c r="BQ395" s="296" t="str">
        <f t="shared" si="597"/>
        <v>Y</v>
      </c>
      <c r="BR395" s="297" t="s">
        <v>1448</v>
      </c>
      <c r="BT395" s="295" t="str">
        <f t="shared" si="598"/>
        <v>Y</v>
      </c>
      <c r="BU395" s="296" t="str">
        <f t="shared" si="594"/>
        <v>Y</v>
      </c>
      <c r="BV395" s="296" t="str">
        <f t="shared" si="595"/>
        <v>Y</v>
      </c>
      <c r="BW395" s="297" t="str">
        <f t="shared" si="599"/>
        <v>Y</v>
      </c>
      <c r="BY395" s="352">
        <f t="shared" si="600"/>
        <v>0</v>
      </c>
      <c r="BZ395" s="353">
        <f t="shared" si="601"/>
        <v>0.9</v>
      </c>
      <c r="CA395" s="353">
        <f t="shared" si="602"/>
        <v>0</v>
      </c>
      <c r="CB395" s="354">
        <f t="shared" si="603"/>
        <v>0.9</v>
      </c>
      <c r="CD395" s="311">
        <f t="shared" ref="CD395:CD458" si="604">CD394+1</f>
        <v>387</v>
      </c>
    </row>
    <row r="396" spans="1:82" outlineLevel="1" x14ac:dyDescent="0.3">
      <c r="A396" s="1">
        <v>90205000</v>
      </c>
      <c r="B396" s="47">
        <f>VLOOKUP(C396,'NCES ID'!$A$2:$B$3136,2,FALSE)</f>
        <v>407820</v>
      </c>
      <c r="C396" s="47">
        <f>VLOOKUP(A396,'State ID'!$A$2:$B$713,2,FALSE)</f>
        <v>4391</v>
      </c>
      <c r="D396" s="147" t="s">
        <v>388</v>
      </c>
      <c r="E396" s="47" t="s">
        <v>73</v>
      </c>
      <c r="F396" s="382">
        <f>IFERROR(VLOOKUP($B396,'update_Formula counts'!$D$7:$R$234,'update_Formula counts'!F$5,0),0)</f>
        <v>558</v>
      </c>
      <c r="G396" s="382">
        <f>IFERROR(VLOOKUP($B396,'update_Formula counts'!$D$7:$R$234,'update_Formula counts'!G$5,0),0)</f>
        <v>0</v>
      </c>
      <c r="H396" s="382">
        <f>IFERROR(VLOOKUP($B396,'update_Formula counts'!$D$7:$R$234,'update_Formula counts'!H$5,0),0)</f>
        <v>0</v>
      </c>
      <c r="I396" s="382">
        <f>IFERROR(VLOOKUP($B396,'update_Formula counts'!$D$7:$R$234,'update_Formula counts'!I$5,0),0)</f>
        <v>8</v>
      </c>
      <c r="J396" s="382">
        <f>IFERROR(VLOOKUP($B396,'update_Formula counts'!$D$7:$R$234,'update_Formula counts'!J$5,0),0)</f>
        <v>0</v>
      </c>
      <c r="K396" s="382">
        <f t="shared" si="570"/>
        <v>558</v>
      </c>
      <c r="L396" s="444">
        <f>IFERROR(VLOOKUP($B396,'update_Formula counts'!$D$7:$R$234,'update_Formula counts'!L$5,0),0)</f>
        <v>2740</v>
      </c>
      <c r="M396" s="445">
        <f>IFERROR(VLOOKUP($B396,'update_Formula counts'!$D$7:$R$234,'update_Formula counts'!K$5,0),0)</f>
        <v>566</v>
      </c>
      <c r="N396" s="446">
        <f>IFERROR(VLOOKUP($B396,'update_Formula counts'!$D$7:$R$234,'update_Formula counts'!M$5,0),0)</f>
        <v>0.20656934306569344</v>
      </c>
      <c r="O396" s="137">
        <f>VLOOKUP($C396,'Final SEA Counts'!$A$2:$F$709,5,FALSE)</f>
        <v>2215</v>
      </c>
      <c r="P396" s="208">
        <f>VLOOKUP($C396,'Final SEA Counts'!$A$2:$F$709,6,FALSE)</f>
        <v>1210</v>
      </c>
      <c r="Q396" s="748">
        <f t="shared" si="571"/>
        <v>-5.7560287659627569</v>
      </c>
      <c r="R396" s="444">
        <f t="shared" si="572"/>
        <v>2724.3916457075279</v>
      </c>
      <c r="S396" s="445">
        <f t="shared" si="573"/>
        <v>560.24397123403719</v>
      </c>
      <c r="T396" s="229">
        <f t="shared" si="574"/>
        <v>0.20564002687232624</v>
      </c>
      <c r="U396" s="261">
        <f>VLOOKUP($B396,update_Allocation!$D$8:$Q$235,update_Allocation!K$239,0)</f>
        <v>291808.37807862955</v>
      </c>
      <c r="V396" s="262">
        <f>VLOOKUP($B396,update_Allocation!$D$8:$Q$235,update_Allocation!L$239,0)</f>
        <v>69146.705878452398</v>
      </c>
      <c r="W396" s="262">
        <f>VLOOKUP($B396,update_Allocation!$D$8:$Q$235,update_Allocation!M$239,0)</f>
        <v>116038.71599915782</v>
      </c>
      <c r="X396" s="262">
        <f>VLOOKUP($B396,update_Allocation!$D$8:$Q$235,update_Allocation!N$239,0)</f>
        <v>102794.98769166032</v>
      </c>
      <c r="Y396" s="263">
        <f>VLOOKUP($B396,update_Allocation!$D$8:$Q$235,update_Allocation!O$239,0)</f>
        <v>579788.78764790006</v>
      </c>
      <c r="Z396" s="262">
        <f t="shared" si="575"/>
        <v>288525.47187193955</v>
      </c>
      <c r="AA396" s="262">
        <f t="shared" si="576"/>
        <v>68362.998299317362</v>
      </c>
      <c r="AB396" s="262">
        <f t="shared" si="577"/>
        <v>114643.71046061144</v>
      </c>
      <c r="AC396" s="263">
        <f t="shared" si="578"/>
        <v>101502.47194276316</v>
      </c>
      <c r="AD396" s="262">
        <f t="shared" si="579"/>
        <v>288525.47187193955</v>
      </c>
      <c r="AE396" s="262">
        <f t="shared" si="580"/>
        <v>68362.998299317362</v>
      </c>
      <c r="AF396" s="262">
        <f t="shared" si="581"/>
        <v>114643.71046061144</v>
      </c>
      <c r="AG396" s="263">
        <f t="shared" si="582"/>
        <v>101502.47194276316</v>
      </c>
      <c r="AH396" s="262">
        <f t="shared" si="583"/>
        <v>288525.47187193955</v>
      </c>
      <c r="AI396" s="262">
        <f t="shared" si="583"/>
        <v>68362.998299317362</v>
      </c>
      <c r="AJ396" s="262">
        <f t="shared" si="583"/>
        <v>114643.71046061144</v>
      </c>
      <c r="AK396" s="262">
        <f t="shared" si="583"/>
        <v>101502.47194276316</v>
      </c>
      <c r="AL396" s="263">
        <f t="shared" si="584"/>
        <v>573034.6525746315</v>
      </c>
      <c r="AM396" s="346"/>
      <c r="AN396" s="261">
        <f>IFERROR(VLOOKUP($A396,'HH &amp; SI'!$B$4:$Z$494,'HH &amp; SI'!V$503,0),0)</f>
        <v>284589.79716420645</v>
      </c>
      <c r="AO396" s="262">
        <f>IFERROR(VLOOKUP($A396,'HH &amp; SI'!$B$4:$Z$494,'HH &amp; SI'!W$503,0),0)</f>
        <v>66203.952410591257</v>
      </c>
      <c r="AP396" s="262">
        <f>IFERROR(VLOOKUP($A396,'HH &amp; SI'!$B$4:$Z$494,'HH &amp; SI'!X$503,0),0)</f>
        <v>113601.07067491651</v>
      </c>
      <c r="AQ396" s="262">
        <f>IFERROR(VLOOKUP($A396,'HH &amp; SI'!$B$4:$Z$494,'HH &amp; SI'!Y$503,0),0)</f>
        <v>100465.47398107167</v>
      </c>
      <c r="AR396" s="263">
        <f t="shared" si="585"/>
        <v>564860.29423078592</v>
      </c>
      <c r="AS396" s="346"/>
      <c r="AT396" s="323">
        <f>IFERROR(VLOOKUP(A396,'Afton FY16 Final'!$A$5:$BV$572,'Afton FY16 Final'!$BV$587,0),0)</f>
        <v>604682.23834263824</v>
      </c>
      <c r="AU396" s="346"/>
      <c r="AV396" s="444">
        <v>0</v>
      </c>
      <c r="AW396" s="262">
        <f>IFERROR(VLOOKUP($A396,'HH &amp; SI'!$B$4:$EY$503,'HH &amp; SI'!EX$503,0),0)</f>
        <v>0</v>
      </c>
      <c r="AX396" s="262">
        <f>IFERROR(VLOOKUP($A396,'HH &amp; SI'!$B$4:$EY$503,'HH &amp; SI'!EY$503,0),0)</f>
        <v>564860.29423078592</v>
      </c>
      <c r="AY396" s="262">
        <f>AX396/$AX$582*'update_State Admin 1004(b)'!$B$30*0.01</f>
        <v>5406.1187936359902</v>
      </c>
      <c r="AZ396" s="263">
        <f t="shared" si="586"/>
        <v>559454.17543714994</v>
      </c>
      <c r="BA396" s="261">
        <f t="shared" si="587"/>
        <v>5594.5417543714993</v>
      </c>
      <c r="BB396" s="262">
        <f t="shared" si="588"/>
        <v>553859.63368277845</v>
      </c>
      <c r="BC396" s="341">
        <f t="shared" si="596"/>
        <v>0.91595155035616971</v>
      </c>
      <c r="BD396" s="346"/>
      <c r="BE396" s="376" t="str">
        <f>'Original Title I &amp; II'!AZ393</f>
        <v/>
      </c>
      <c r="BF396" s="243" t="str">
        <f t="shared" si="589"/>
        <v/>
      </c>
      <c r="BG396" s="263">
        <f t="shared" si="569"/>
        <v>553859.63368277845</v>
      </c>
      <c r="BI396" s="31">
        <f>IFERROR(VLOOKUP(A396,'Title II Hold Harmless'!A$1:B$439,2, FALSE),"")</f>
        <v>76412</v>
      </c>
      <c r="BJ396" s="31">
        <f t="shared" si="590"/>
        <v>85938.683119645983</v>
      </c>
      <c r="BK396" s="31">
        <f t="shared" si="591"/>
        <v>86021.819502093829</v>
      </c>
      <c r="BL396" s="31" t="str">
        <f t="shared" si="592"/>
        <v/>
      </c>
      <c r="BM396" s="31">
        <f t="shared" si="593"/>
        <v>86021.819502093829</v>
      </c>
      <c r="BN396" s="200"/>
      <c r="BP396" s="295" t="s">
        <v>1447</v>
      </c>
      <c r="BQ396" s="296" t="str">
        <f t="shared" si="597"/>
        <v>Y</v>
      </c>
      <c r="BR396" s="297" t="s">
        <v>1448</v>
      </c>
      <c r="BT396" s="295" t="str">
        <f t="shared" si="598"/>
        <v>Y</v>
      </c>
      <c r="BU396" s="296" t="str">
        <f t="shared" si="594"/>
        <v>Y</v>
      </c>
      <c r="BV396" s="296" t="str">
        <f t="shared" si="595"/>
        <v>Y</v>
      </c>
      <c r="BW396" s="297" t="str">
        <f t="shared" si="599"/>
        <v>Y</v>
      </c>
      <c r="BY396" s="352">
        <f t="shared" si="600"/>
        <v>0</v>
      </c>
      <c r="BZ396" s="353">
        <f t="shared" si="601"/>
        <v>0.9</v>
      </c>
      <c r="CA396" s="353">
        <f t="shared" si="602"/>
        <v>0</v>
      </c>
      <c r="CB396" s="354">
        <f t="shared" si="603"/>
        <v>0.9</v>
      </c>
      <c r="CD396" s="311">
        <f t="shared" si="604"/>
        <v>388</v>
      </c>
    </row>
    <row r="397" spans="1:82" s="237" customFormat="1" outlineLevel="1" x14ac:dyDescent="0.3">
      <c r="A397" s="236"/>
      <c r="B397" s="237">
        <v>481017</v>
      </c>
      <c r="D397" s="237" t="s">
        <v>884</v>
      </c>
      <c r="E397" s="237" t="s">
        <v>73</v>
      </c>
      <c r="F397" s="760">
        <f>IFERROR(VLOOKUP($B397,'update_Formula counts'!$D$7:$R$234,'update_Formula counts'!F$5,0),0)</f>
        <v>47</v>
      </c>
      <c r="G397" s="760">
        <f>IFERROR(VLOOKUP($B397,'update_Formula counts'!$D$7:$R$234,'update_Formula counts'!G$5,0),0)</f>
        <v>0</v>
      </c>
      <c r="H397" s="760">
        <f>IFERROR(VLOOKUP($B397,'update_Formula counts'!$D$7:$R$234,'update_Formula counts'!H$5,0),0)</f>
        <v>0</v>
      </c>
      <c r="I397" s="760">
        <f>IFERROR(VLOOKUP($B397,'update_Formula counts'!$D$7:$R$234,'update_Formula counts'!I$5,0),0)</f>
        <v>1</v>
      </c>
      <c r="J397" s="760">
        <f>IFERROR(VLOOKUP($B397,'update_Formula counts'!$D$7:$R$234,'update_Formula counts'!J$5,0),0)</f>
        <v>0</v>
      </c>
      <c r="K397" s="760">
        <f t="shared" si="570"/>
        <v>47</v>
      </c>
      <c r="L397" s="525">
        <f>IFERROR(VLOOKUP($B397,'update_Formula counts'!$D$7:$R$234,'update_Formula counts'!L$5,0),0)</f>
        <v>147</v>
      </c>
      <c r="M397" s="526">
        <f>IFERROR(VLOOKUP($B397,'update_Formula counts'!$D$7:$R$234,'update_Formula counts'!K$5,0),0)</f>
        <v>48</v>
      </c>
      <c r="N397" s="527">
        <f>IFERROR(VLOOKUP($B397,'update_Formula counts'!$D$7:$R$234,'update_Formula counts'!M$5,0),0)</f>
        <v>0.32653061224489793</v>
      </c>
      <c r="O397" s="238"/>
      <c r="P397" s="240"/>
      <c r="Q397" s="752"/>
      <c r="R397" s="525"/>
      <c r="S397" s="526"/>
      <c r="T397" s="241"/>
      <c r="U397" s="273">
        <f>VLOOKUP($B397,update_Allocation!$D$8:$Q$235,update_Allocation!K$239,0)</f>
        <v>22783.837327460558</v>
      </c>
      <c r="V397" s="274">
        <f>VLOOKUP($B397,update_Allocation!$D$8:$Q$235,update_Allocation!L$239,0)</f>
        <v>5569.707582514583</v>
      </c>
      <c r="W397" s="274">
        <f>VLOOKUP($B397,update_Allocation!$D$8:$Q$235,update_Allocation!M$239,0)</f>
        <v>11587.912129615506</v>
      </c>
      <c r="X397" s="274">
        <f>VLOOKUP($B397,update_Allocation!$D$8:$Q$235,update_Allocation!N$239,0)</f>
        <v>10210.39616432305</v>
      </c>
      <c r="Y397" s="275">
        <f>VLOOKUP($B397,update_Allocation!$D$8:$Q$235,update_Allocation!O$239,0)</f>
        <v>50151.853203913699</v>
      </c>
      <c r="Z397" s="274"/>
      <c r="AA397" s="274"/>
      <c r="AB397" s="274"/>
      <c r="AC397" s="275"/>
      <c r="AD397" s="274" t="str">
        <f t="shared" si="579"/>
        <v/>
      </c>
      <c r="AE397" s="274" t="str">
        <f t="shared" si="580"/>
        <v/>
      </c>
      <c r="AF397" s="274" t="str">
        <f t="shared" si="581"/>
        <v/>
      </c>
      <c r="AG397" s="275" t="str">
        <f t="shared" si="582"/>
        <v/>
      </c>
      <c r="AH397" s="274"/>
      <c r="AI397" s="274"/>
      <c r="AJ397" s="274"/>
      <c r="AK397" s="274"/>
      <c r="AL397" s="275"/>
      <c r="AM397" s="350"/>
      <c r="AN397" s="273">
        <f>IFERROR(VLOOKUP($A397,'HH &amp; SI'!$B$4:$Z$494,'HH &amp; SI'!V$503,0),0)</f>
        <v>0</v>
      </c>
      <c r="AO397" s="274">
        <f>IFERROR(VLOOKUP($A397,'HH &amp; SI'!$B$4:$Z$494,'HH &amp; SI'!W$503,0),0)</f>
        <v>0</v>
      </c>
      <c r="AP397" s="274">
        <f>IFERROR(VLOOKUP($A397,'HH &amp; SI'!$B$4:$Z$494,'HH &amp; SI'!X$503,0),0)</f>
        <v>0</v>
      </c>
      <c r="AQ397" s="274">
        <f>IFERROR(VLOOKUP($A397,'HH &amp; SI'!$B$4:$Z$494,'HH &amp; SI'!Y$503,0),0)</f>
        <v>0</v>
      </c>
      <c r="AR397" s="275">
        <f t="shared" si="585"/>
        <v>0</v>
      </c>
      <c r="AS397" s="350"/>
      <c r="AT397" s="327">
        <f>IFERROR(VLOOKUP(A397,'Afton FY16 Final'!$A$5:$BV$572,'Afton FY16 Final'!$BV$587,0),0)</f>
        <v>0</v>
      </c>
      <c r="AU397" s="350"/>
      <c r="AV397" s="525">
        <v>0</v>
      </c>
      <c r="AW397" s="274">
        <f>IFERROR(VLOOKUP($A397,'HH &amp; SI'!$B$4:$EY$503,'HH &amp; SI'!EX$503,0),0)</f>
        <v>0</v>
      </c>
      <c r="AX397" s="274">
        <f>IFERROR(VLOOKUP($A397,'HH &amp; SI'!$B$4:$EY$503,'HH &amp; SI'!EY$503,0),0)</f>
        <v>0</v>
      </c>
      <c r="AY397" s="274">
        <f>AX397/$AX$582*'update_State Admin 1004(b)'!$B$30*0.01</f>
        <v>0</v>
      </c>
      <c r="AZ397" s="275">
        <f t="shared" si="586"/>
        <v>0</v>
      </c>
      <c r="BA397" s="273">
        <f t="shared" si="587"/>
        <v>0</v>
      </c>
      <c r="BB397" s="274">
        <f t="shared" si="588"/>
        <v>0</v>
      </c>
      <c r="BC397" s="345" t="str">
        <f t="shared" si="596"/>
        <v/>
      </c>
      <c r="BD397" s="350"/>
      <c r="BE397" s="379" t="str">
        <f>'Original Title I &amp; II'!AZ394</f>
        <v/>
      </c>
      <c r="BF397" s="246" t="str">
        <f t="shared" si="589"/>
        <v/>
      </c>
      <c r="BG397" s="275">
        <f t="shared" si="569"/>
        <v>0</v>
      </c>
      <c r="BI397" s="242" t="str">
        <f>IFERROR(VLOOKUP(A397,'Title II Hold Harmless'!A$1:B$439,2, FALSE),"")</f>
        <v/>
      </c>
      <c r="BJ397" s="242">
        <f t="shared" si="590"/>
        <v>0</v>
      </c>
      <c r="BK397" s="242">
        <f t="shared" si="591"/>
        <v>0</v>
      </c>
      <c r="BL397" s="242" t="str">
        <f t="shared" si="592"/>
        <v/>
      </c>
      <c r="BM397" s="242">
        <f t="shared" si="593"/>
        <v>0</v>
      </c>
      <c r="BN397" s="200"/>
      <c r="BP397" s="307" t="s">
        <v>1447</v>
      </c>
      <c r="BQ397" s="308" t="str">
        <f t="shared" si="597"/>
        <v>Y</v>
      </c>
      <c r="BR397" s="309" t="s">
        <v>1447</v>
      </c>
      <c r="BT397" s="307" t="str">
        <f t="shared" si="598"/>
        <v>N</v>
      </c>
      <c r="BU397" s="308" t="str">
        <f t="shared" si="594"/>
        <v>N</v>
      </c>
      <c r="BV397" s="308" t="str">
        <f t="shared" si="595"/>
        <v>N</v>
      </c>
      <c r="BW397" s="309" t="str">
        <f t="shared" si="599"/>
        <v>N</v>
      </c>
      <c r="BY397" s="364">
        <f t="shared" si="600"/>
        <v>0.85</v>
      </c>
      <c r="BZ397" s="365">
        <f t="shared" si="601"/>
        <v>0</v>
      </c>
      <c r="CA397" s="365">
        <f t="shared" si="602"/>
        <v>0</v>
      </c>
      <c r="CB397" s="366">
        <f t="shared" si="603"/>
        <v>0.85</v>
      </c>
      <c r="CD397" s="315">
        <f t="shared" si="604"/>
        <v>389</v>
      </c>
    </row>
    <row r="398" spans="1:82" s="48" customFormat="1" outlineLevel="1" x14ac:dyDescent="0.3">
      <c r="A398" s="202">
        <v>98745000</v>
      </c>
      <c r="B398" s="48">
        <f>VLOOKUP(C398,'NCES ID'!$A$2:$B$3136,2,FALSE)</f>
        <v>400077</v>
      </c>
      <c r="C398" s="48">
        <f>VLOOKUP(A398,'State ID'!$A$2:$B$713,2,FALSE)</f>
        <v>4400</v>
      </c>
      <c r="D398" s="48" t="s">
        <v>88</v>
      </c>
      <c r="E398" s="48" t="s">
        <v>73</v>
      </c>
      <c r="F398" s="755"/>
      <c r="G398" s="755"/>
      <c r="H398" s="755"/>
      <c r="I398" s="755"/>
      <c r="J398" s="755"/>
      <c r="K398" s="755"/>
      <c r="L398" s="454"/>
      <c r="M398" s="455"/>
      <c r="N398" s="456"/>
      <c r="O398" s="209">
        <f>VLOOKUP($C398,'Final SEA Counts'!$A$2:$F$709,5,FALSE)</f>
        <v>51</v>
      </c>
      <c r="P398" s="223">
        <f>VLOOKUP($C398,'Final SEA Counts'!$A$2:$F$709,6,FALSE)</f>
        <v>43</v>
      </c>
      <c r="Q398" s="749"/>
      <c r="R398" s="454">
        <f>O398</f>
        <v>51</v>
      </c>
      <c r="S398" s="455">
        <f>P398*$B$403</f>
        <v>26.49827691928699</v>
      </c>
      <c r="T398" s="230">
        <f t="shared" ref="T398:T401" si="605">S398/R398</f>
        <v>0.51957405724092143</v>
      </c>
      <c r="U398" s="264" t="str">
        <f>IFERROR(VLOOKUP($B398,#REF!,8,FALSE),"")</f>
        <v/>
      </c>
      <c r="V398" s="265" t="str">
        <f>IFERROR(VLOOKUP($B398,#REF!,9,FALSE),"")</f>
        <v/>
      </c>
      <c r="W398" s="265" t="str">
        <f>IFERROR(VLOOKUP($B398,#REF!,10,FALSE),"")</f>
        <v/>
      </c>
      <c r="X398" s="265" t="str">
        <f>IFERROR(VLOOKUP($B398,#REF!,11,FALSE),"")</f>
        <v/>
      </c>
      <c r="Y398" s="266" t="str">
        <f>IFERROR(VLOOKUP($B398,#REF!,12,FALSE),"")</f>
        <v/>
      </c>
      <c r="Z398" s="265">
        <f t="shared" ref="Z398:AC401" si="606">$S398*U$404</f>
        <v>15081.067236797118</v>
      </c>
      <c r="AA398" s="265">
        <f t="shared" si="606"/>
        <v>3745.037635896897</v>
      </c>
      <c r="AB398" s="265">
        <f t="shared" si="606"/>
        <v>8956.4116294641753</v>
      </c>
      <c r="AC398" s="266">
        <f t="shared" si="606"/>
        <v>8968.5420558028618</v>
      </c>
      <c r="AD398" s="265">
        <f t="shared" si="579"/>
        <v>15081.067236797118</v>
      </c>
      <c r="AE398" s="265">
        <f t="shared" si="580"/>
        <v>3745.037635896897</v>
      </c>
      <c r="AF398" s="265">
        <f t="shared" si="581"/>
        <v>8956.4116294641753</v>
      </c>
      <c r="AG398" s="266">
        <f t="shared" si="582"/>
        <v>8968.5420558028618</v>
      </c>
      <c r="AH398" s="265">
        <f t="shared" ref="AH398:AK401" si="607">IF(AD398="","",AD398+AD$404)</f>
        <v>15081.067236797118</v>
      </c>
      <c r="AI398" s="265">
        <f t="shared" si="607"/>
        <v>3745.037635896897</v>
      </c>
      <c r="AJ398" s="265">
        <f t="shared" si="607"/>
        <v>8956.4116294641753</v>
      </c>
      <c r="AK398" s="265">
        <f t="shared" si="607"/>
        <v>8968.5420558028618</v>
      </c>
      <c r="AL398" s="266">
        <f t="shared" ref="AL398:AL401" si="608">SUM(AH398:AK398)</f>
        <v>36751.058557961049</v>
      </c>
      <c r="AM398" s="347"/>
      <c r="AN398" s="264">
        <f>IFERROR(VLOOKUP($A398,'HH &amp; SI'!$B$4:$Z$494,'HH &amp; SI'!V$503,0),0)</f>
        <v>22346.975520015167</v>
      </c>
      <c r="AO398" s="265">
        <f>IFERROR(VLOOKUP($A398,'HH &amp; SI'!$B$4:$Z$494,'HH &amp; SI'!W$503,0),0)</f>
        <v>5449.919714333907</v>
      </c>
      <c r="AP398" s="265">
        <f>IFERROR(VLOOKUP($A398,'HH &amp; SI'!$B$4:$Z$494,'HH &amp; SI'!X$503,0),0)</f>
        <v>13226.769429215894</v>
      </c>
      <c r="AQ398" s="265">
        <f>IFERROR(VLOOKUP($A398,'HH &amp; SI'!$B$4:$Z$494,'HH &amp; SI'!Y$503,0),0)</f>
        <v>12810.965500894165</v>
      </c>
      <c r="AR398" s="266">
        <f t="shared" si="585"/>
        <v>53834.630164459129</v>
      </c>
      <c r="AS398" s="347"/>
      <c r="AT398" s="324">
        <f>IFERROR(VLOOKUP(A398,'Afton FY16 Final'!$A$5:$BV$572,'Afton FY16 Final'!$BV$587,0),0)</f>
        <v>50311.600124529847</v>
      </c>
      <c r="AU398" s="347"/>
      <c r="AV398" s="454">
        <v>0</v>
      </c>
      <c r="AW398" s="265">
        <f>IFERROR(VLOOKUP($A398,'HH &amp; SI'!$B$4:$EY$503,'HH &amp; SI'!EX$503,0),0)</f>
        <v>3015.4445747084392</v>
      </c>
      <c r="AX398" s="265">
        <f>IFERROR(VLOOKUP($A398,'HH &amp; SI'!$B$4:$EY$503,'HH &amp; SI'!EY$503,0),0)</f>
        <v>50819.18558975069</v>
      </c>
      <c r="AY398" s="265">
        <f>AX398/$AX$582*'update_State Admin 1004(b)'!$B$30*0.01</f>
        <v>486.37611299649564</v>
      </c>
      <c r="AZ398" s="266">
        <f t="shared" si="586"/>
        <v>50332.809476754192</v>
      </c>
      <c r="BA398" s="264">
        <f t="shared" si="587"/>
        <v>503.32809476754193</v>
      </c>
      <c r="BB398" s="265">
        <f t="shared" si="588"/>
        <v>49829.481381986647</v>
      </c>
      <c r="BC398" s="342">
        <f t="shared" si="596"/>
        <v>0.9904173442834282</v>
      </c>
      <c r="BD398" s="347"/>
      <c r="BE398" s="377" t="str">
        <f>'Original Title I &amp; II'!AZ395</f>
        <v/>
      </c>
      <c r="BF398" s="244" t="str">
        <f t="shared" si="589"/>
        <v/>
      </c>
      <c r="BG398" s="266">
        <f t="shared" si="569"/>
        <v>49829.481381986647</v>
      </c>
      <c r="BI398" s="203">
        <f>IFERROR(VLOOKUP(A398,'Title II Hold Harmless'!A$1:B$439,2, FALSE),"")</f>
        <v>14173</v>
      </c>
      <c r="BJ398" s="203">
        <f t="shared" si="590"/>
        <v>14560.930877232799</v>
      </c>
      <c r="BK398" s="203">
        <f t="shared" si="591"/>
        <v>14575.017003227083</v>
      </c>
      <c r="BL398" s="203" t="str">
        <f t="shared" si="592"/>
        <v/>
      </c>
      <c r="BM398" s="203">
        <f t="shared" si="593"/>
        <v>14575.017003227083</v>
      </c>
      <c r="BN398" s="200"/>
      <c r="BP398" s="298" t="s">
        <v>1448</v>
      </c>
      <c r="BQ398" s="299" t="str">
        <f t="shared" si="597"/>
        <v>Y</v>
      </c>
      <c r="BR398" s="300" t="s">
        <v>1448</v>
      </c>
      <c r="BT398" s="298" t="str">
        <f t="shared" si="598"/>
        <v>Y</v>
      </c>
      <c r="BU398" s="299" t="str">
        <f t="shared" si="594"/>
        <v>Y</v>
      </c>
      <c r="BV398" s="299" t="str">
        <f t="shared" si="595"/>
        <v>Y</v>
      </c>
      <c r="BW398" s="300" t="str">
        <f t="shared" si="599"/>
        <v>Y</v>
      </c>
      <c r="BY398" s="355">
        <f t="shared" si="600"/>
        <v>0</v>
      </c>
      <c r="BZ398" s="356">
        <f t="shared" si="601"/>
        <v>0</v>
      </c>
      <c r="CA398" s="356">
        <f t="shared" si="602"/>
        <v>0.95</v>
      </c>
      <c r="CB398" s="357">
        <f t="shared" si="603"/>
        <v>0.95</v>
      </c>
      <c r="CD398" s="312">
        <f t="shared" si="604"/>
        <v>390</v>
      </c>
    </row>
    <row r="399" spans="1:82" s="48" customFormat="1" outlineLevel="1" x14ac:dyDescent="0.3">
      <c r="A399" s="202">
        <v>98746000</v>
      </c>
      <c r="B399" s="48">
        <f>VLOOKUP(C399,'NCES ID'!$A$2:$B$3136,2,FALSE)</f>
        <v>400154</v>
      </c>
      <c r="C399" s="48">
        <f>VLOOKUP(A399,'State ID'!$A$2:$B$713,2,FALSE)</f>
        <v>6353</v>
      </c>
      <c r="D399" s="48" t="s">
        <v>809</v>
      </c>
      <c r="E399" s="48" t="s">
        <v>73</v>
      </c>
      <c r="F399" s="755"/>
      <c r="G399" s="755"/>
      <c r="H399" s="755"/>
      <c r="I399" s="755"/>
      <c r="J399" s="755"/>
      <c r="K399" s="755"/>
      <c r="L399" s="454"/>
      <c r="M399" s="455"/>
      <c r="N399" s="456"/>
      <c r="O399" s="209">
        <f>VLOOKUP($C399,'Final SEA Counts'!$A$2:$F$709,5,FALSE)</f>
        <v>55</v>
      </c>
      <c r="P399" s="223">
        <f>VLOOKUP($C399,'Final SEA Counts'!$A$2:$F$709,6,FALSE)</f>
        <v>46</v>
      </c>
      <c r="Q399" s="749"/>
      <c r="R399" s="454">
        <f>O399</f>
        <v>55</v>
      </c>
      <c r="S399" s="455">
        <f>P399*$B$403</f>
        <v>28.346993913655851</v>
      </c>
      <c r="T399" s="230">
        <f t="shared" si="605"/>
        <v>0.51539988933919734</v>
      </c>
      <c r="U399" s="264"/>
      <c r="V399" s="265"/>
      <c r="W399" s="265"/>
      <c r="X399" s="265"/>
      <c r="Y399" s="266"/>
      <c r="Z399" s="265">
        <f t="shared" si="606"/>
        <v>16133.234718434127</v>
      </c>
      <c r="AA399" s="265">
        <f t="shared" si="606"/>
        <v>4006.3193314245877</v>
      </c>
      <c r="AB399" s="265">
        <f t="shared" si="606"/>
        <v>9581.2775571012116</v>
      </c>
      <c r="AC399" s="266">
        <f t="shared" si="606"/>
        <v>9594.2542922542252</v>
      </c>
      <c r="AD399" s="265">
        <f t="shared" si="579"/>
        <v>16133.234718434127</v>
      </c>
      <c r="AE399" s="265">
        <f t="shared" si="580"/>
        <v>4006.3193314245877</v>
      </c>
      <c r="AF399" s="265">
        <f t="shared" si="581"/>
        <v>9581.2775571012116</v>
      </c>
      <c r="AG399" s="266">
        <f t="shared" si="582"/>
        <v>9594.2542922542252</v>
      </c>
      <c r="AH399" s="265">
        <f t="shared" si="607"/>
        <v>16133.234718434127</v>
      </c>
      <c r="AI399" s="265">
        <f t="shared" si="607"/>
        <v>4006.3193314245877</v>
      </c>
      <c r="AJ399" s="265">
        <f t="shared" si="607"/>
        <v>9581.2775571012116</v>
      </c>
      <c r="AK399" s="265">
        <f t="shared" si="607"/>
        <v>9594.2542922542252</v>
      </c>
      <c r="AL399" s="266">
        <f t="shared" ref="AL399" si="609">SUM(AH399:AK399)</f>
        <v>39315.085899214151</v>
      </c>
      <c r="AM399" s="347"/>
      <c r="AN399" s="264">
        <f>IFERROR(VLOOKUP($A399,'HH &amp; SI'!$B$4:$Z$494,'HH &amp; SI'!V$503,0),0)</f>
        <v>25465.308652935855</v>
      </c>
      <c r="AO399" s="265">
        <f>IFERROR(VLOOKUP($A399,'HH &amp; SI'!$B$4:$Z$494,'HH &amp; SI'!W$503,0),0)</f>
        <v>6380.824555702512</v>
      </c>
      <c r="AP399" s="265">
        <f>IFERROR(VLOOKUP($A399,'HH &amp; SI'!$B$4:$Z$494,'HH &amp; SI'!X$503,0),0)</f>
        <v>14075.717413695846</v>
      </c>
      <c r="AQ399" s="265">
        <f>IFERROR(VLOOKUP($A399,'HH &amp; SI'!$B$4:$Z$494,'HH &amp; SI'!Y$503,0),0)</f>
        <v>14716.72266423813</v>
      </c>
      <c r="AR399" s="266">
        <f t="shared" si="585"/>
        <v>60638.57328657234</v>
      </c>
      <c r="AS399" s="347"/>
      <c r="AT399" s="324">
        <f>IFERROR(VLOOKUP(A399,'Afton FY16 Final'!$A$5:$BV$572,'Afton FY16 Final'!$BV$587,0),0)</f>
        <v>62573.262935370549</v>
      </c>
      <c r="AU399" s="347"/>
      <c r="AV399" s="454">
        <v>0</v>
      </c>
      <c r="AW399" s="265">
        <f>IFERROR(VLOOKUP($A399,'HH &amp; SI'!$B$4:$EY$503,'HH &amp; SI'!EX$503,0),0)</f>
        <v>0</v>
      </c>
      <c r="AX399" s="265">
        <f>IFERROR(VLOOKUP($A399,'HH &amp; SI'!$B$4:$EY$503,'HH &amp; SI'!EY$503,0),0)</f>
        <v>60638.57328657234</v>
      </c>
      <c r="AY399" s="265">
        <f>AX399/$AX$582*'update_State Admin 1004(b)'!$B$30*0.01</f>
        <v>580.35470719397802</v>
      </c>
      <c r="AZ399" s="266">
        <f t="shared" si="586"/>
        <v>60058.218579378365</v>
      </c>
      <c r="BA399" s="264">
        <f t="shared" si="587"/>
        <v>600.58218579378365</v>
      </c>
      <c r="BB399" s="265">
        <f t="shared" si="588"/>
        <v>59457.63639358458</v>
      </c>
      <c r="BC399" s="342">
        <f t="shared" si="596"/>
        <v>0.95020834146040978</v>
      </c>
      <c r="BD399" s="347"/>
      <c r="BE399" s="377">
        <f>'Original Title I &amp; II'!AZ396</f>
        <v>0</v>
      </c>
      <c r="BF399" s="244"/>
      <c r="BG399" s="266">
        <f t="shared" si="569"/>
        <v>59457.63639358458</v>
      </c>
      <c r="BI399" s="203">
        <f>IFERROR(VLOOKUP(A399,'Title II Hold Harmless'!A$1:B$439,2, FALSE),"")</f>
        <v>27380</v>
      </c>
      <c r="BJ399" s="203">
        <f t="shared" si="590"/>
        <v>27795.351431321142</v>
      </c>
      <c r="BK399" s="203">
        <f t="shared" si="591"/>
        <v>27822.24042802184</v>
      </c>
      <c r="BL399" s="203"/>
      <c r="BM399" s="203">
        <f t="shared" si="593"/>
        <v>27822.24042802184</v>
      </c>
      <c r="BN399" s="200"/>
      <c r="BP399" s="298" t="s">
        <v>1448</v>
      </c>
      <c r="BQ399" s="299" t="str">
        <f t="shared" si="597"/>
        <v>Y</v>
      </c>
      <c r="BR399" s="300" t="s">
        <v>1448</v>
      </c>
      <c r="BT399" s="298" t="str">
        <f t="shared" si="598"/>
        <v>Y</v>
      </c>
      <c r="BU399" s="299" t="str">
        <f t="shared" si="594"/>
        <v>Y</v>
      </c>
      <c r="BV399" s="299" t="str">
        <f t="shared" si="595"/>
        <v>Y</v>
      </c>
      <c r="BW399" s="300" t="str">
        <f t="shared" si="599"/>
        <v>Y</v>
      </c>
      <c r="BY399" s="355">
        <f t="shared" si="600"/>
        <v>0</v>
      </c>
      <c r="BZ399" s="356">
        <f t="shared" si="601"/>
        <v>0</v>
      </c>
      <c r="CA399" s="356">
        <f t="shared" si="602"/>
        <v>0.95</v>
      </c>
      <c r="CB399" s="357">
        <f t="shared" si="603"/>
        <v>0.95</v>
      </c>
      <c r="CD399" s="312">
        <f t="shared" si="604"/>
        <v>391</v>
      </c>
    </row>
    <row r="400" spans="1:82" s="48" customFormat="1" outlineLevel="1" x14ac:dyDescent="0.3">
      <c r="A400" s="202">
        <v>98750000</v>
      </c>
      <c r="B400" s="48">
        <f>VLOOKUP(C400,'NCES ID'!$A$2:$B$3136,2,FALSE)</f>
        <v>400398</v>
      </c>
      <c r="C400" s="48">
        <f>VLOOKUP(A400,'State ID'!$A$2:$B$713,2,FALSE)</f>
        <v>79973</v>
      </c>
      <c r="D400" s="48" t="s">
        <v>170</v>
      </c>
      <c r="E400" s="48" t="s">
        <v>73</v>
      </c>
      <c r="F400" s="755"/>
      <c r="G400" s="755"/>
      <c r="H400" s="755"/>
      <c r="I400" s="755"/>
      <c r="J400" s="755"/>
      <c r="K400" s="755"/>
      <c r="L400" s="454"/>
      <c r="M400" s="455"/>
      <c r="N400" s="456"/>
      <c r="O400" s="209">
        <f>VLOOKUP($C400,'Final SEA Counts'!$A$2:$F$709,5,FALSE)</f>
        <v>94</v>
      </c>
      <c r="P400" s="223">
        <f>VLOOKUP($C400,'Final SEA Counts'!$A$2:$F$709,6,FALSE)</f>
        <v>72</v>
      </c>
      <c r="Q400" s="749"/>
      <c r="R400" s="454">
        <f>O400</f>
        <v>94</v>
      </c>
      <c r="S400" s="455">
        <f>P400*$B$403</f>
        <v>44.369207864852633</v>
      </c>
      <c r="T400" s="230">
        <f t="shared" si="605"/>
        <v>0.47201284962609186</v>
      </c>
      <c r="U400" s="264" t="str">
        <f>IFERROR(VLOOKUP($B400,#REF!,8,FALSE),"")</f>
        <v/>
      </c>
      <c r="V400" s="265" t="str">
        <f>IFERROR(VLOOKUP($B400,#REF!,9,FALSE),"")</f>
        <v/>
      </c>
      <c r="W400" s="265" t="str">
        <f>IFERROR(VLOOKUP($B400,#REF!,10,FALSE),"")</f>
        <v/>
      </c>
      <c r="X400" s="265" t="str">
        <f>IFERROR(VLOOKUP($B400,#REF!,11,FALSE),"")</f>
        <v/>
      </c>
      <c r="Y400" s="266" t="str">
        <f>IFERROR(VLOOKUP($B400,#REF!,12,FALSE),"")</f>
        <v/>
      </c>
      <c r="Z400" s="265">
        <f t="shared" si="606"/>
        <v>25252.019559288197</v>
      </c>
      <c r="AA400" s="265">
        <f t="shared" si="606"/>
        <v>6270.7606926645713</v>
      </c>
      <c r="AB400" s="265">
        <f t="shared" si="606"/>
        <v>14996.782263288851</v>
      </c>
      <c r="AC400" s="266">
        <f t="shared" si="606"/>
        <v>15017.093674832699</v>
      </c>
      <c r="AD400" s="265">
        <f t="shared" si="579"/>
        <v>25252.019559288197</v>
      </c>
      <c r="AE400" s="265">
        <f t="shared" si="580"/>
        <v>6270.7606926645713</v>
      </c>
      <c r="AF400" s="265">
        <f t="shared" si="581"/>
        <v>14996.782263288851</v>
      </c>
      <c r="AG400" s="266">
        <f t="shared" si="582"/>
        <v>15017.093674832699</v>
      </c>
      <c r="AH400" s="265">
        <f t="shared" si="607"/>
        <v>25252.019559288197</v>
      </c>
      <c r="AI400" s="265">
        <f t="shared" si="607"/>
        <v>6270.7606926645713</v>
      </c>
      <c r="AJ400" s="265">
        <f t="shared" si="607"/>
        <v>14996.782263288851</v>
      </c>
      <c r="AK400" s="265">
        <f t="shared" si="607"/>
        <v>15017.093674832699</v>
      </c>
      <c r="AL400" s="266">
        <f t="shared" si="608"/>
        <v>61536.656190074318</v>
      </c>
      <c r="AM400" s="347"/>
      <c r="AN400" s="264">
        <f>IFERROR(VLOOKUP($A400,'HH &amp; SI'!$B$4:$Z$494,'HH &amp; SI'!V$503,0),0)</f>
        <v>37218.528031213929</v>
      </c>
      <c r="AO400" s="265">
        <f>IFERROR(VLOOKUP($A400,'HH &amp; SI'!$B$4:$Z$494,'HH &amp; SI'!W$503,0),0)</f>
        <v>9325.8205044882852</v>
      </c>
      <c r="AP400" s="265">
        <f>IFERROR(VLOOKUP($A400,'HH &amp; SI'!$B$4:$Z$494,'HH &amp; SI'!X$503,0),0)</f>
        <v>20572.202373863158</v>
      </c>
      <c r="AQ400" s="265">
        <f>IFERROR(VLOOKUP($A400,'HH &amp; SI'!$B$4:$Z$494,'HH &amp; SI'!Y$503,0),0)</f>
        <v>21509.056201578802</v>
      </c>
      <c r="AR400" s="266">
        <f t="shared" si="585"/>
        <v>88625.607111144171</v>
      </c>
      <c r="AS400" s="347"/>
      <c r="AT400" s="324">
        <f>IFERROR(VLOOKUP(A400,'Afton FY16 Final'!$A$5:$BV$572,'Afton FY16 Final'!$BV$587,0),0)</f>
        <v>91453.230444003086</v>
      </c>
      <c r="AU400" s="347"/>
      <c r="AV400" s="454">
        <v>0</v>
      </c>
      <c r="AW400" s="265">
        <f>IFERROR(VLOOKUP($A400,'HH &amp; SI'!$B$4:$EY$503,'HH &amp; SI'!EX$503,0),0)</f>
        <v>0</v>
      </c>
      <c r="AX400" s="265">
        <f>IFERROR(VLOOKUP($A400,'HH &amp; SI'!$B$4:$EY$503,'HH &amp; SI'!EY$503,0),0)</f>
        <v>88625.607111144171</v>
      </c>
      <c r="AY400" s="265">
        <f>AX400/$AX$582*'update_State Admin 1004(b)'!$B$30*0.01</f>
        <v>848.21072589889081</v>
      </c>
      <c r="AZ400" s="266">
        <f t="shared" si="586"/>
        <v>87777.396385245287</v>
      </c>
      <c r="BA400" s="264">
        <f t="shared" si="587"/>
        <v>877.77396385245288</v>
      </c>
      <c r="BB400" s="265">
        <f t="shared" si="588"/>
        <v>86899.622421392836</v>
      </c>
      <c r="BC400" s="342">
        <f t="shared" si="596"/>
        <v>0.95020834146040989</v>
      </c>
      <c r="BD400" s="347"/>
      <c r="BE400" s="377" t="str">
        <f>'Original Title I &amp; II'!AZ397</f>
        <v/>
      </c>
      <c r="BF400" s="244" t="str">
        <f>IF(BE400&lt;0,BB400*BE400/100,"")</f>
        <v/>
      </c>
      <c r="BG400" s="266">
        <f t="shared" si="569"/>
        <v>86899.622421392836</v>
      </c>
      <c r="BI400" s="203" t="str">
        <f>IFERROR(VLOOKUP(A400,'Title II Hold Harmless'!A$1:B$439,2, FALSE),"")</f>
        <v/>
      </c>
      <c r="BJ400" s="203">
        <f t="shared" si="590"/>
        <v>656.48369874124421</v>
      </c>
      <c r="BK400" s="203">
        <f t="shared" si="591"/>
        <v>657.11877572716151</v>
      </c>
      <c r="BL400" s="203" t="str">
        <f t="shared" si="592"/>
        <v/>
      </c>
      <c r="BM400" s="203">
        <f t="shared" si="593"/>
        <v>657.11877572716151</v>
      </c>
      <c r="BN400" s="200"/>
      <c r="BP400" s="298" t="s">
        <v>1448</v>
      </c>
      <c r="BQ400" s="299" t="str">
        <f t="shared" si="597"/>
        <v>Y</v>
      </c>
      <c r="BR400" s="300" t="s">
        <v>1448</v>
      </c>
      <c r="BT400" s="298" t="str">
        <f t="shared" si="598"/>
        <v>Y</v>
      </c>
      <c r="BU400" s="299" t="str">
        <f t="shared" si="594"/>
        <v>Y</v>
      </c>
      <c r="BV400" s="299" t="str">
        <f t="shared" si="595"/>
        <v>Y</v>
      </c>
      <c r="BW400" s="300" t="str">
        <f t="shared" si="599"/>
        <v>Y</v>
      </c>
      <c r="BY400" s="355">
        <f t="shared" si="600"/>
        <v>0</v>
      </c>
      <c r="BZ400" s="356">
        <f t="shared" si="601"/>
        <v>0</v>
      </c>
      <c r="CA400" s="356">
        <f t="shared" si="602"/>
        <v>0.95</v>
      </c>
      <c r="CB400" s="357">
        <f t="shared" si="603"/>
        <v>0.95</v>
      </c>
      <c r="CD400" s="312">
        <f t="shared" si="604"/>
        <v>392</v>
      </c>
    </row>
    <row r="401" spans="1:82" s="48" customFormat="1" outlineLevel="1" x14ac:dyDescent="0.3">
      <c r="A401" s="202"/>
      <c r="D401" s="48" t="s">
        <v>1411</v>
      </c>
      <c r="E401" s="48" t="s">
        <v>73</v>
      </c>
      <c r="F401" s="755"/>
      <c r="G401" s="755"/>
      <c r="H401" s="755"/>
      <c r="I401" s="755"/>
      <c r="J401" s="755"/>
      <c r="K401" s="755"/>
      <c r="L401" s="454"/>
      <c r="M401" s="455"/>
      <c r="N401" s="456"/>
      <c r="O401" s="211">
        <f>'AVA Metrics'!C11</f>
        <v>73.256775378961876</v>
      </c>
      <c r="P401" s="212">
        <f>'AVA Metrics'!D11</f>
        <v>38.327974276527328</v>
      </c>
      <c r="Q401" s="749"/>
      <c r="R401" s="454">
        <f>O401</f>
        <v>73.256775378961876</v>
      </c>
      <c r="S401" s="455">
        <f>P401*$B$403</f>
        <v>23.619192468249523</v>
      </c>
      <c r="T401" s="230">
        <f t="shared" si="605"/>
        <v>0.32241649111725112</v>
      </c>
      <c r="U401" s="264"/>
      <c r="V401" s="265"/>
      <c r="W401" s="265"/>
      <c r="X401" s="265"/>
      <c r="Y401" s="266"/>
      <c r="Z401" s="265">
        <f t="shared" si="606"/>
        <v>13442.482723593928</v>
      </c>
      <c r="AA401" s="265">
        <f t="shared" si="606"/>
        <v>3338.1327017042549</v>
      </c>
      <c r="AB401" s="265">
        <f t="shared" si="606"/>
        <v>7983.2817335835598</v>
      </c>
      <c r="AC401" s="266">
        <f t="shared" si="606"/>
        <v>7994.0941677387345</v>
      </c>
      <c r="AD401" s="265">
        <f t="shared" si="579"/>
        <v>13442.482723593928</v>
      </c>
      <c r="AE401" s="265">
        <f t="shared" si="580"/>
        <v>3338.1327017042549</v>
      </c>
      <c r="AF401" s="265">
        <f t="shared" si="581"/>
        <v>7983.2817335835598</v>
      </c>
      <c r="AG401" s="266">
        <f t="shared" si="582"/>
        <v>7994.0941677387345</v>
      </c>
      <c r="AH401" s="265">
        <f t="shared" si="607"/>
        <v>13442.482723593928</v>
      </c>
      <c r="AI401" s="265">
        <f t="shared" si="607"/>
        <v>3338.1327017042549</v>
      </c>
      <c r="AJ401" s="265">
        <f t="shared" si="607"/>
        <v>7983.2817335835598</v>
      </c>
      <c r="AK401" s="265">
        <f t="shared" si="607"/>
        <v>7994.0941677387345</v>
      </c>
      <c r="AL401" s="266">
        <f t="shared" si="608"/>
        <v>32757.991326620479</v>
      </c>
      <c r="AM401" s="347"/>
      <c r="AN401" s="264">
        <f>IFERROR(VLOOKUP($A401,'HH &amp; SI'!$B$4:$Z$494,'HH &amp; SI'!V$503,0),0)</f>
        <v>0</v>
      </c>
      <c r="AO401" s="265">
        <f>IFERROR(VLOOKUP($A401,'HH &amp; SI'!$B$4:$Z$494,'HH &amp; SI'!W$503,0),0)</f>
        <v>0</v>
      </c>
      <c r="AP401" s="265">
        <f>IFERROR(VLOOKUP($A401,'HH &amp; SI'!$B$4:$Z$494,'HH &amp; SI'!X$503,0),0)</f>
        <v>0</v>
      </c>
      <c r="AQ401" s="265">
        <f>IFERROR(VLOOKUP($A401,'HH &amp; SI'!$B$4:$Z$494,'HH &amp; SI'!Y$503,0),0)</f>
        <v>0</v>
      </c>
      <c r="AR401" s="266">
        <f t="shared" si="585"/>
        <v>0</v>
      </c>
      <c r="AS401" s="347"/>
      <c r="AT401" s="324">
        <f>IFERROR(VLOOKUP(A401,'Afton FY16 Final'!$A$5:$BV$572,'Afton FY16 Final'!$BV$587,0),0)</f>
        <v>0</v>
      </c>
      <c r="AU401" s="347"/>
      <c r="AV401" s="454">
        <v>0</v>
      </c>
      <c r="AW401" s="265">
        <f>IFERROR(VLOOKUP($A401,'HH &amp; SI'!$B$4:$EY$503,'HH &amp; SI'!EX$503,0),0)</f>
        <v>0</v>
      </c>
      <c r="AX401" s="265">
        <f>IFERROR(VLOOKUP($A401,'HH &amp; SI'!$B$4:$EY$503,'HH &amp; SI'!EY$503,0),0)</f>
        <v>0</v>
      </c>
      <c r="AY401" s="265"/>
      <c r="AZ401" s="266"/>
      <c r="BA401" s="264"/>
      <c r="BB401" s="265"/>
      <c r="BC401" s="342" t="str">
        <f t="shared" ref="BC401:BC457" si="610">IFERROR(BB401/AT401,"")</f>
        <v/>
      </c>
      <c r="BD401" s="347"/>
      <c r="BE401" s="377">
        <f>'Original Title I &amp; II'!AZ398</f>
        <v>0</v>
      </c>
      <c r="BF401" s="244"/>
      <c r="BG401" s="266">
        <f t="shared" si="569"/>
        <v>0</v>
      </c>
      <c r="BI401" s="203"/>
      <c r="BJ401" s="203"/>
      <c r="BK401" s="203"/>
      <c r="BL401" s="203"/>
      <c r="BM401" s="203"/>
      <c r="BN401" s="200"/>
      <c r="BP401" s="298" t="s">
        <v>1448</v>
      </c>
      <c r="BQ401" s="299" t="str">
        <f t="shared" si="597"/>
        <v>Y</v>
      </c>
      <c r="BR401" s="300" t="s">
        <v>1448</v>
      </c>
      <c r="BT401" s="298" t="str">
        <f t="shared" si="598"/>
        <v>Y</v>
      </c>
      <c r="BU401" s="299" t="str">
        <f t="shared" si="594"/>
        <v>Y</v>
      </c>
      <c r="BV401" s="299" t="str">
        <f t="shared" si="595"/>
        <v>Y</v>
      </c>
      <c r="BW401" s="300" t="str">
        <f t="shared" si="599"/>
        <v>Y</v>
      </c>
      <c r="BY401" s="355">
        <f t="shared" si="600"/>
        <v>0</v>
      </c>
      <c r="BZ401" s="356">
        <f t="shared" si="601"/>
        <v>0</v>
      </c>
      <c r="CA401" s="356">
        <f t="shared" si="602"/>
        <v>0.95</v>
      </c>
      <c r="CB401" s="357">
        <f t="shared" si="603"/>
        <v>0.95</v>
      </c>
      <c r="CD401" s="312">
        <f t="shared" si="604"/>
        <v>393</v>
      </c>
    </row>
    <row r="402" spans="1:82" s="197" customFormat="1" outlineLevel="1" x14ac:dyDescent="0.3">
      <c r="A402" s="196"/>
      <c r="D402" s="197" t="s">
        <v>878</v>
      </c>
      <c r="F402" s="756"/>
      <c r="G402" s="756"/>
      <c r="H402" s="756"/>
      <c r="I402" s="756"/>
      <c r="J402" s="756"/>
      <c r="K402" s="756"/>
      <c r="L402" s="757"/>
      <c r="M402" s="758"/>
      <c r="N402" s="768"/>
      <c r="O402" s="214"/>
      <c r="P402" s="216"/>
      <c r="Q402" s="750"/>
      <c r="R402" s="757">
        <f>SUM(R398:R401)</f>
        <v>273.25677537896189</v>
      </c>
      <c r="S402" s="758">
        <f>SUM(S398:S401)</f>
        <v>122.83367116604499</v>
      </c>
      <c r="T402" s="231"/>
      <c r="U402" s="267"/>
      <c r="V402" s="268"/>
      <c r="W402" s="268"/>
      <c r="X402" s="268"/>
      <c r="Y402" s="269"/>
      <c r="Z402" s="268">
        <f>SUM(Z398:Z401)</f>
        <v>69908.804238113371</v>
      </c>
      <c r="AA402" s="268">
        <f>SUM(AA398:AA401)</f>
        <v>17360.250361690312</v>
      </c>
      <c r="AB402" s="268">
        <f>SUM(AB398:AB401)</f>
        <v>41517.753183437795</v>
      </c>
      <c r="AC402" s="269">
        <f>SUM(AC398:AC401)</f>
        <v>41573.984190628515</v>
      </c>
      <c r="AD402" s="268"/>
      <c r="AE402" s="268"/>
      <c r="AF402" s="268"/>
      <c r="AG402" s="269"/>
      <c r="AH402" s="268"/>
      <c r="AI402" s="268"/>
      <c r="AJ402" s="268"/>
      <c r="AK402" s="268"/>
      <c r="AL402" s="269"/>
      <c r="AM402" s="348"/>
      <c r="AN402" s="267"/>
      <c r="AO402" s="268"/>
      <c r="AP402" s="268"/>
      <c r="AQ402" s="268"/>
      <c r="AR402" s="269"/>
      <c r="AS402" s="348"/>
      <c r="AT402" s="325"/>
      <c r="AU402" s="348"/>
      <c r="AV402" s="757"/>
      <c r="AW402" s="268"/>
      <c r="AX402" s="268"/>
      <c r="AY402" s="268"/>
      <c r="AZ402" s="269"/>
      <c r="BA402" s="267"/>
      <c r="BB402" s="268"/>
      <c r="BC402" s="343" t="str">
        <f t="shared" si="610"/>
        <v/>
      </c>
      <c r="BD402" s="348"/>
      <c r="BE402" s="371"/>
      <c r="BF402" s="369"/>
      <c r="BG402" s="269"/>
      <c r="BI402" s="198"/>
      <c r="BL402" s="198"/>
      <c r="BN402" s="199"/>
      <c r="BP402" s="301" t="s">
        <v>1450</v>
      </c>
      <c r="BQ402" s="302" t="str">
        <f t="shared" si="597"/>
        <v>N</v>
      </c>
      <c r="BR402" s="303" t="s">
        <v>1448</v>
      </c>
      <c r="BT402" s="301" t="str">
        <f t="shared" si="598"/>
        <v>N</v>
      </c>
      <c r="BU402" s="302" t="s">
        <v>1450</v>
      </c>
      <c r="BV402" s="302" t="s">
        <v>1450</v>
      </c>
      <c r="BW402" s="303" t="s">
        <v>1450</v>
      </c>
      <c r="BY402" s="358">
        <f t="shared" si="600"/>
        <v>0.85</v>
      </c>
      <c r="BZ402" s="359">
        <f t="shared" si="601"/>
        <v>0</v>
      </c>
      <c r="CA402" s="359">
        <f t="shared" si="602"/>
        <v>0</v>
      </c>
      <c r="CB402" s="360">
        <f t="shared" si="603"/>
        <v>0.85</v>
      </c>
      <c r="CD402" s="313">
        <f t="shared" si="604"/>
        <v>394</v>
      </c>
    </row>
    <row r="403" spans="1:82" s="197" customFormat="1" outlineLevel="1" x14ac:dyDescent="0.3">
      <c r="A403" s="196" t="s">
        <v>880</v>
      </c>
      <c r="B403" s="197">
        <f>M403/P403</f>
        <v>0.61623899812295324</v>
      </c>
      <c r="D403" s="197" t="s">
        <v>879</v>
      </c>
      <c r="E403" s="197">
        <f t="shared" ref="E403:K403" si="611">SUM(E386:E401)</f>
        <v>0</v>
      </c>
      <c r="F403" s="756">
        <f t="shared" si="611"/>
        <v>7299</v>
      </c>
      <c r="G403" s="756">
        <f t="shared" si="611"/>
        <v>0</v>
      </c>
      <c r="H403" s="756">
        <f t="shared" si="611"/>
        <v>0</v>
      </c>
      <c r="I403" s="756">
        <f t="shared" si="611"/>
        <v>101</v>
      </c>
      <c r="J403" s="756">
        <f t="shared" si="611"/>
        <v>0</v>
      </c>
      <c r="K403" s="756">
        <f t="shared" si="611"/>
        <v>7299</v>
      </c>
      <c r="L403" s="757">
        <f>SUM(L386:L401)</f>
        <v>22311</v>
      </c>
      <c r="M403" s="758">
        <f>SUM(M386:M401)</f>
        <v>7400</v>
      </c>
      <c r="N403" s="768"/>
      <c r="O403" s="217">
        <f>SUM(O386:O401)</f>
        <v>16205.256775378963</v>
      </c>
      <c r="P403" s="218">
        <f>SUM(P386:P401)</f>
        <v>12008.327974276528</v>
      </c>
      <c r="Q403" s="750"/>
      <c r="R403" s="757">
        <f>SUM(R386:R401)</f>
        <v>22311</v>
      </c>
      <c r="S403" s="758">
        <f>SUM(S386:S401)</f>
        <v>7400</v>
      </c>
      <c r="T403" s="231"/>
      <c r="U403" s="267">
        <f>SUM(U386:U401)</f>
        <v>4211590.7344552567</v>
      </c>
      <c r="V403" s="268">
        <f t="shared" ref="V403:AL403" si="612">SUM(V386:V401)</f>
        <v>1045852.0978571894</v>
      </c>
      <c r="W403" s="268">
        <f t="shared" si="612"/>
        <v>2501198.3330053552</v>
      </c>
      <c r="X403" s="268">
        <f t="shared" si="612"/>
        <v>2504585.9176086751</v>
      </c>
      <c r="Y403" s="269">
        <f t="shared" si="612"/>
        <v>10263227.082926475</v>
      </c>
      <c r="Z403" s="268">
        <f t="shared" si="612"/>
        <v>4211590.7344552558</v>
      </c>
      <c r="AA403" s="268">
        <f t="shared" si="612"/>
        <v>1045852.0978571892</v>
      </c>
      <c r="AB403" s="268">
        <f t="shared" si="612"/>
        <v>2501198.3330053552</v>
      </c>
      <c r="AC403" s="269">
        <f t="shared" si="612"/>
        <v>2504585.9176086751</v>
      </c>
      <c r="AD403" s="268">
        <f t="shared" si="612"/>
        <v>4211590.7344552558</v>
      </c>
      <c r="AE403" s="268">
        <f t="shared" si="612"/>
        <v>1045852.0978571892</v>
      </c>
      <c r="AF403" s="268">
        <f t="shared" si="612"/>
        <v>2501198.3330053552</v>
      </c>
      <c r="AG403" s="269">
        <f t="shared" si="612"/>
        <v>2504585.9176086751</v>
      </c>
      <c r="AH403" s="268">
        <f t="shared" si="612"/>
        <v>4211590.7344552558</v>
      </c>
      <c r="AI403" s="268">
        <f t="shared" si="612"/>
        <v>1045852.0978571892</v>
      </c>
      <c r="AJ403" s="268">
        <f t="shared" si="612"/>
        <v>2501198.3330053552</v>
      </c>
      <c r="AK403" s="268">
        <f t="shared" si="612"/>
        <v>2504585.9176086751</v>
      </c>
      <c r="AL403" s="269">
        <f t="shared" si="612"/>
        <v>10263227.082926476</v>
      </c>
      <c r="AM403" s="348"/>
      <c r="AN403" s="267">
        <f t="shared" ref="AN403:AR403" si="613">SUM(AN386:AN401)</f>
        <v>4175566.6374187567</v>
      </c>
      <c r="AO403" s="268">
        <f t="shared" ref="AO403" si="614">SUM(AO386:AO401)</f>
        <v>1024728.3946376996</v>
      </c>
      <c r="AP403" s="268">
        <f t="shared" si="613"/>
        <v>2485185.4345111838</v>
      </c>
      <c r="AQ403" s="268">
        <f t="shared" si="613"/>
        <v>2486408.3401168203</v>
      </c>
      <c r="AR403" s="269">
        <f t="shared" si="613"/>
        <v>10171888.80668446</v>
      </c>
      <c r="AS403" s="348"/>
      <c r="AT403" s="325">
        <f t="shared" ref="AT403:BB403" si="615">SUM(AT386:AT401)</f>
        <v>10267443.872323535</v>
      </c>
      <c r="AU403" s="348"/>
      <c r="AV403" s="757">
        <f t="shared" si="615"/>
        <v>0</v>
      </c>
      <c r="AW403" s="268">
        <f t="shared" si="615"/>
        <v>97482.705547893536</v>
      </c>
      <c r="AX403" s="268">
        <f t="shared" si="615"/>
        <v>10074406.101136567</v>
      </c>
      <c r="AY403" s="268">
        <f t="shared" si="615"/>
        <v>96419.303523967043</v>
      </c>
      <c r="AZ403" s="269">
        <f t="shared" si="615"/>
        <v>9977986.7976125982</v>
      </c>
      <c r="BA403" s="267">
        <f t="shared" si="615"/>
        <v>99779.867976125999</v>
      </c>
      <c r="BB403" s="268">
        <f t="shared" si="615"/>
        <v>9878206.9296364728</v>
      </c>
      <c r="BC403" s="343">
        <f t="shared" si="610"/>
        <v>0.96209018062068274</v>
      </c>
      <c r="BD403" s="348"/>
      <c r="BE403" s="371">
        <f t="shared" ref="BE403:BG403" si="616">SUM(BE386:BE401)</f>
        <v>0</v>
      </c>
      <c r="BF403" s="369">
        <f t="shared" si="616"/>
        <v>0</v>
      </c>
      <c r="BG403" s="269">
        <f t="shared" si="616"/>
        <v>9878206.9296364728</v>
      </c>
      <c r="BI403" s="198"/>
      <c r="BL403" s="198"/>
      <c r="BN403" s="199"/>
      <c r="BP403" s="301" t="s">
        <v>1450</v>
      </c>
      <c r="BQ403" s="302" t="str">
        <f t="shared" si="597"/>
        <v>N</v>
      </c>
      <c r="BR403" s="303" t="s">
        <v>1448</v>
      </c>
      <c r="BT403" s="301" t="str">
        <f t="shared" si="598"/>
        <v>N</v>
      </c>
      <c r="BU403" s="302" t="s">
        <v>1450</v>
      </c>
      <c r="BV403" s="302" t="s">
        <v>1450</v>
      </c>
      <c r="BW403" s="303" t="s">
        <v>1450</v>
      </c>
      <c r="BY403" s="358">
        <f t="shared" si="600"/>
        <v>0.85</v>
      </c>
      <c r="BZ403" s="359">
        <f t="shared" si="601"/>
        <v>0</v>
      </c>
      <c r="CA403" s="359">
        <f t="shared" si="602"/>
        <v>0</v>
      </c>
      <c r="CB403" s="360">
        <f t="shared" si="603"/>
        <v>0.85</v>
      </c>
      <c r="CD403" s="313">
        <f t="shared" si="604"/>
        <v>395</v>
      </c>
    </row>
    <row r="404" spans="1:82" s="197" customFormat="1" outlineLevel="1" x14ac:dyDescent="0.3">
      <c r="A404" s="196"/>
      <c r="F404" s="756"/>
      <c r="G404" s="756"/>
      <c r="H404" s="756"/>
      <c r="I404" s="756"/>
      <c r="J404" s="756"/>
      <c r="K404" s="756"/>
      <c r="L404" s="757"/>
      <c r="M404" s="758"/>
      <c r="N404" s="768"/>
      <c r="O404" s="214"/>
      <c r="P404" s="216"/>
      <c r="Q404" s="750"/>
      <c r="R404" s="757"/>
      <c r="S404" s="758"/>
      <c r="T404" s="231"/>
      <c r="U404" s="267">
        <f>U403/$S403</f>
        <v>569.13388303449415</v>
      </c>
      <c r="V404" s="268">
        <f>V403/$S403</f>
        <v>141.33136457529585</v>
      </c>
      <c r="W404" s="268">
        <f>W403/$S403</f>
        <v>337.9997747304534</v>
      </c>
      <c r="X404" s="268">
        <f>X403/$S403</f>
        <v>338.45755643360474</v>
      </c>
      <c r="Y404" s="269" t="str">
        <f>IFERROR(VLOOKUP($B404,#REF!,12,FALSE),"")</f>
        <v/>
      </c>
      <c r="Z404" s="268"/>
      <c r="AA404" s="268"/>
      <c r="AB404" s="268"/>
      <c r="AC404" s="269"/>
      <c r="AD404" s="268">
        <f>(Z403-AD403)/COUNT(AD386:AD401)</f>
        <v>0</v>
      </c>
      <c r="AE404" s="268">
        <f t="shared" ref="AE404:AG404" si="617">(AA403-AE403)/COUNT(AE386:AE401)</f>
        <v>0</v>
      </c>
      <c r="AF404" s="268">
        <f t="shared" si="617"/>
        <v>0</v>
      </c>
      <c r="AG404" s="269">
        <f t="shared" si="617"/>
        <v>0</v>
      </c>
      <c r="AH404" s="268"/>
      <c r="AI404" s="268"/>
      <c r="AJ404" s="268"/>
      <c r="AK404" s="268"/>
      <c r="AL404" s="280"/>
      <c r="AM404" s="348"/>
      <c r="AN404" s="267"/>
      <c r="AO404" s="268"/>
      <c r="AP404" s="268"/>
      <c r="AQ404" s="268"/>
      <c r="AR404" s="280"/>
      <c r="AS404" s="348"/>
      <c r="AT404" s="325"/>
      <c r="AU404" s="348"/>
      <c r="AV404" s="757"/>
      <c r="AW404" s="268"/>
      <c r="AX404" s="268"/>
      <c r="AY404" s="268"/>
      <c r="AZ404" s="269"/>
      <c r="BA404" s="267"/>
      <c r="BB404" s="268"/>
      <c r="BC404" s="343" t="str">
        <f t="shared" si="610"/>
        <v/>
      </c>
      <c r="BD404" s="348"/>
      <c r="BE404" s="371"/>
      <c r="BF404" s="369"/>
      <c r="BG404" s="269"/>
      <c r="BI404" s="198"/>
      <c r="BL404" s="198"/>
      <c r="BN404" s="199"/>
      <c r="BP404" s="301" t="s">
        <v>1450</v>
      </c>
      <c r="BQ404" s="302" t="str">
        <f t="shared" si="597"/>
        <v>N</v>
      </c>
      <c r="BR404" s="303" t="s">
        <v>1448</v>
      </c>
      <c r="BT404" s="301" t="str">
        <f t="shared" si="598"/>
        <v>N</v>
      </c>
      <c r="BU404" s="302" t="s">
        <v>1450</v>
      </c>
      <c r="BV404" s="302" t="s">
        <v>1450</v>
      </c>
      <c r="BW404" s="303" t="s">
        <v>1450</v>
      </c>
      <c r="BY404" s="358">
        <f t="shared" si="600"/>
        <v>0.85</v>
      </c>
      <c r="BZ404" s="359">
        <f t="shared" si="601"/>
        <v>0</v>
      </c>
      <c r="CA404" s="359">
        <f t="shared" si="602"/>
        <v>0</v>
      </c>
      <c r="CB404" s="360">
        <f t="shared" si="603"/>
        <v>0.85</v>
      </c>
      <c r="CD404" s="313">
        <f t="shared" si="604"/>
        <v>396</v>
      </c>
    </row>
    <row r="405" spans="1:82" s="199" customFormat="1" outlineLevel="1" x14ac:dyDescent="0.3">
      <c r="A405" s="201"/>
      <c r="F405" s="759"/>
      <c r="G405" s="759"/>
      <c r="H405" s="759"/>
      <c r="I405" s="759"/>
      <c r="J405" s="759"/>
      <c r="K405" s="759"/>
      <c r="L405" s="509"/>
      <c r="M405" s="510"/>
      <c r="N405" s="511"/>
      <c r="O405" s="220"/>
      <c r="P405" s="222"/>
      <c r="Q405" s="751"/>
      <c r="R405" s="509"/>
      <c r="S405" s="510"/>
      <c r="T405" s="232"/>
      <c r="U405" s="270" t="str">
        <f>IFERROR(VLOOKUP($B405,#REF!,8,FALSE),"")</f>
        <v/>
      </c>
      <c r="V405" s="271" t="str">
        <f>IFERROR(VLOOKUP($B405,#REF!,9,FALSE),"")</f>
        <v/>
      </c>
      <c r="W405" s="271" t="str">
        <f>IFERROR(VLOOKUP($B405,#REF!,10,FALSE),"")</f>
        <v/>
      </c>
      <c r="X405" s="271" t="str">
        <f>IFERROR(VLOOKUP($B405,#REF!,11,FALSE),"")</f>
        <v/>
      </c>
      <c r="Y405" s="272" t="str">
        <f>IFERROR(VLOOKUP($B405,#REF!,12,FALSE),"")</f>
        <v/>
      </c>
      <c r="Z405" s="271"/>
      <c r="AA405" s="271"/>
      <c r="AB405" s="271"/>
      <c r="AC405" s="272"/>
      <c r="AD405" s="271"/>
      <c r="AE405" s="271"/>
      <c r="AF405" s="271"/>
      <c r="AG405" s="272"/>
      <c r="AH405" s="271"/>
      <c r="AI405" s="271"/>
      <c r="AJ405" s="271"/>
      <c r="AK405" s="271"/>
      <c r="AL405" s="272"/>
      <c r="AM405" s="349"/>
      <c r="AN405" s="270"/>
      <c r="AO405" s="271"/>
      <c r="AP405" s="271"/>
      <c r="AQ405" s="271"/>
      <c r="AR405" s="272"/>
      <c r="AS405" s="349"/>
      <c r="AT405" s="326"/>
      <c r="AU405" s="349"/>
      <c r="AV405" s="509"/>
      <c r="AW405" s="271"/>
      <c r="AX405" s="271"/>
      <c r="AY405" s="271"/>
      <c r="AZ405" s="272"/>
      <c r="BA405" s="270"/>
      <c r="BB405" s="271"/>
      <c r="BC405" s="344" t="str">
        <f t="shared" si="610"/>
        <v/>
      </c>
      <c r="BD405" s="349"/>
      <c r="BE405" s="378">
        <f>'Original Title I &amp; II'!AZ402</f>
        <v>0</v>
      </c>
      <c r="BF405" s="245"/>
      <c r="BG405" s="272">
        <f t="shared" ref="BG405:BG436" si="618">IF(BF405&lt;0,BB405+BF405,BB405)</f>
        <v>0</v>
      </c>
      <c r="BI405" s="200"/>
      <c r="BL405" s="200"/>
      <c r="BP405" s="304" t="s">
        <v>1450</v>
      </c>
      <c r="BQ405" s="305" t="str">
        <f t="shared" si="597"/>
        <v>N</v>
      </c>
      <c r="BR405" s="306" t="s">
        <v>1448</v>
      </c>
      <c r="BT405" s="304" t="str">
        <f t="shared" si="598"/>
        <v>N</v>
      </c>
      <c r="BU405" s="305" t="s">
        <v>1450</v>
      </c>
      <c r="BV405" s="305" t="s">
        <v>1450</v>
      </c>
      <c r="BW405" s="306" t="s">
        <v>1450</v>
      </c>
      <c r="BY405" s="361">
        <f t="shared" si="600"/>
        <v>0.85</v>
      </c>
      <c r="BZ405" s="362">
        <f t="shared" si="601"/>
        <v>0</v>
      </c>
      <c r="CA405" s="362">
        <f t="shared" si="602"/>
        <v>0</v>
      </c>
      <c r="CB405" s="363">
        <f t="shared" si="603"/>
        <v>0.85</v>
      </c>
      <c r="CD405" s="314">
        <f t="shared" si="604"/>
        <v>397</v>
      </c>
    </row>
    <row r="406" spans="1:82" outlineLevel="1" x14ac:dyDescent="0.3">
      <c r="A406" s="1">
        <v>100335000</v>
      </c>
      <c r="B406" s="47">
        <f>VLOOKUP(C406,'NCES ID'!$A$2:$B$3136,2,FALSE)</f>
        <v>407380</v>
      </c>
      <c r="C406" s="47">
        <f>VLOOKUP(A406,'State ID'!$A$2:$B$713,2,FALSE)</f>
        <v>4414</v>
      </c>
      <c r="D406" s="147" t="s">
        <v>371</v>
      </c>
      <c r="E406" s="47" t="s">
        <v>9</v>
      </c>
      <c r="F406" s="382">
        <f>IFERROR(VLOOKUP($B406,'update_Formula counts'!$D$7:$R$234,'update_Formula counts'!F$5,0),0)</f>
        <v>0</v>
      </c>
      <c r="G406" s="382">
        <f>IFERROR(VLOOKUP($B406,'update_Formula counts'!$D$7:$R$234,'update_Formula counts'!G$5,0),0)</f>
        <v>0</v>
      </c>
      <c r="H406" s="382">
        <f>IFERROR(VLOOKUP($B406,'update_Formula counts'!$D$7:$R$234,'update_Formula counts'!H$5,0),0)</f>
        <v>0</v>
      </c>
      <c r="I406" s="382">
        <f>IFERROR(VLOOKUP($B406,'update_Formula counts'!$D$7:$R$234,'update_Formula counts'!I$5,0),0)</f>
        <v>0</v>
      </c>
      <c r="J406" s="382">
        <f>IFERROR(VLOOKUP($B406,'update_Formula counts'!$D$7:$R$234,'update_Formula counts'!J$5,0),0)</f>
        <v>0</v>
      </c>
      <c r="K406" s="382">
        <f t="shared" ref="K406:K422" si="619">M406-I406</f>
        <v>0</v>
      </c>
      <c r="L406" s="444">
        <f>IFERROR(VLOOKUP($B406,'update_Formula counts'!$D$7:$R$234,'update_Formula counts'!L$5,0),0)</f>
        <v>6</v>
      </c>
      <c r="M406" s="445">
        <f>IFERROR(VLOOKUP($B406,'update_Formula counts'!$D$7:$R$234,'update_Formula counts'!K$5,0),0)</f>
        <v>0</v>
      </c>
      <c r="N406" s="446">
        <f>IFERROR(VLOOKUP($B406,'update_Formula counts'!$D$7:$R$234,'update_Formula counts'!M$5,0),0)</f>
        <v>0</v>
      </c>
      <c r="O406" s="137">
        <f>VLOOKUP($C406,'Final SEA Counts'!$A$2:$F$709,5,FALSE)</f>
        <v>24</v>
      </c>
      <c r="P406" s="208">
        <f>VLOOKUP($C406,'Final SEA Counts'!$A$2:$F$709,6,FALSE)</f>
        <v>0</v>
      </c>
      <c r="Q406" s="748">
        <f t="shared" ref="Q406:Q421" si="620">-F406/($F$465-$F$422)*$S$464+(M406/($M$465-$M$422)*$M$422)</f>
        <v>0</v>
      </c>
      <c r="R406" s="444">
        <f t="shared" ref="R406:R421" si="621">L406-(L406/(L$465-L$422))*R$464+(L406/(L$465-L$422))*L$422</f>
        <v>5.5658812158057502</v>
      </c>
      <c r="S406" s="445">
        <f t="shared" ref="S406:S421" si="622">Q406+K406+I406</f>
        <v>0</v>
      </c>
      <c r="T406" s="229">
        <f t="shared" ref="T406:T421" si="623">S406/R406</f>
        <v>0</v>
      </c>
      <c r="U406" s="261">
        <f>VLOOKUP($B406,update_Allocation!$D$8:$Q$235,update_Allocation!K$239,0)</f>
        <v>0</v>
      </c>
      <c r="V406" s="262">
        <f>VLOOKUP($B406,update_Allocation!$D$8:$Q$235,update_Allocation!L$239,0)</f>
        <v>0</v>
      </c>
      <c r="W406" s="262">
        <f>VLOOKUP($B406,update_Allocation!$D$8:$Q$235,update_Allocation!M$239,0)</f>
        <v>0</v>
      </c>
      <c r="X406" s="262">
        <f>VLOOKUP($B406,update_Allocation!$D$8:$Q$235,update_Allocation!N$239,0)</f>
        <v>0</v>
      </c>
      <c r="Y406" s="263">
        <f>VLOOKUP($B406,update_Allocation!$D$8:$Q$235,update_Allocation!O$239,0)</f>
        <v>0</v>
      </c>
      <c r="Z406" s="262" t="str">
        <f t="shared" ref="Z406" si="624">IF(U406=0,"",U406-(U406/(U$465-U$422)*Z$464-U406/(U$465-U$422)*U$422))</f>
        <v/>
      </c>
      <c r="AA406" s="262" t="str">
        <f t="shared" ref="AA406" si="625">IF(V406=0,"",V406-(V406/(V$465-V$422)*AA$464-V406/(V$465-V$422)*V$422))</f>
        <v/>
      </c>
      <c r="AB406" s="262" t="str">
        <f t="shared" ref="AB406" si="626">IF(W406=0,"",W406-(W406/(W$465-W$422)*AB$464-W406/(W$465-W$422)*W$422))</f>
        <v/>
      </c>
      <c r="AC406" s="263" t="str">
        <f t="shared" ref="AC406" si="627">IF(X406=0,"",X406-(X406/(X$465-X$422)*AC$464-X406/(X$465-X$422)*X$422))</f>
        <v/>
      </c>
      <c r="AD406" s="262"/>
      <c r="AE406" s="262"/>
      <c r="AF406" s="262"/>
      <c r="AG406" s="263"/>
      <c r="AH406" s="262"/>
      <c r="AI406" s="262"/>
      <c r="AJ406" s="262"/>
      <c r="AK406" s="262"/>
      <c r="AL406" s="263"/>
      <c r="AM406" s="346"/>
      <c r="AN406" s="261"/>
      <c r="AO406" s="262"/>
      <c r="AP406" s="262"/>
      <c r="AQ406" s="262"/>
      <c r="AR406" s="263"/>
      <c r="AS406" s="346"/>
      <c r="AT406" s="323"/>
      <c r="AU406" s="346"/>
      <c r="AV406" s="444" t="str">
        <f t="shared" ref="AV406" si="628">IF(AR406&gt;AT406,AR406*0.04,"")</f>
        <v/>
      </c>
      <c r="AW406" s="262" t="str">
        <f t="shared" ref="AW406" si="629">IF(AV406="","",IF((AR406-AT406)&gt;AV406,AV406,AR406-AT406))</f>
        <v/>
      </c>
      <c r="AX406" s="262">
        <f t="shared" ref="AX406" si="630">IF(AW406="",AR406,AR406-AW406)</f>
        <v>0</v>
      </c>
      <c r="AY406" s="262">
        <f>AX406/$AX$582*'update_State Admin 1004(b)'!$B$30*0.01</f>
        <v>0</v>
      </c>
      <c r="AZ406" s="263">
        <f t="shared" ref="AZ406:AZ462" si="631">AX406-AY406</f>
        <v>0</v>
      </c>
      <c r="BA406" s="261">
        <f t="shared" ref="BA406:BA462" si="632">AZ406*0.01</f>
        <v>0</v>
      </c>
      <c r="BB406" s="262">
        <f t="shared" ref="BB406:BB462" si="633">AZ406-BA406</f>
        <v>0</v>
      </c>
      <c r="BC406" s="341" t="str">
        <f t="shared" si="610"/>
        <v/>
      </c>
      <c r="BD406" s="346"/>
      <c r="BE406" s="376" t="str">
        <f>'Original Title I &amp; II'!AZ403</f>
        <v/>
      </c>
      <c r="BF406" s="243" t="str">
        <f t="shared" ref="BF406:BF424" si="634">IF(BE406&lt;0,BB406*BE406/100,"")</f>
        <v/>
      </c>
      <c r="BG406" s="263">
        <f t="shared" si="618"/>
        <v>0</v>
      </c>
      <c r="BI406" s="31">
        <f>IFERROR(VLOOKUP(A406,'Title II Hold Harmless'!A$1:B$439,2, FALSE),"")</f>
        <v>1625</v>
      </c>
      <c r="BJ406" s="31">
        <f t="shared" ref="BJ406:BJ419" si="635">IFERROR($BI$587*(0.8*($S406/$S$584)+0.2*($R406/$R$584))+$BI406,$BI$587*(0.8*($S406/$S$584)+0.2*($R406/$R$584)))</f>
        <v>1629.4794194742285</v>
      </c>
      <c r="BK406" s="31">
        <f t="shared" ref="BK406:BK419" si="636">$BI$588*BJ406</f>
        <v>1631.0557645995045</v>
      </c>
      <c r="BL406" s="31" t="str">
        <f t="shared" ref="BL406:BL462" si="637">IF(BE406&lt;0,BK406*BE406/100,"")</f>
        <v/>
      </c>
      <c r="BM406" s="31">
        <f t="shared" ref="BM406:BM462" si="638">IF(BL406&lt;0,BK406+BL406,BK406)</f>
        <v>1631.0557645995045</v>
      </c>
      <c r="BN406" s="200"/>
      <c r="BP406" s="295" t="s">
        <v>1447</v>
      </c>
      <c r="BQ406" s="296" t="str">
        <f t="shared" si="597"/>
        <v>Y</v>
      </c>
      <c r="BR406" s="297" t="s">
        <v>1448</v>
      </c>
      <c r="BT406" s="295" t="str">
        <f t="shared" si="598"/>
        <v>N</v>
      </c>
      <c r="BU406" s="296" t="str">
        <f t="shared" ref="BU406:BU437" si="639">IF(AND(BT406="Y",(OR(T406&gt;0.15,S406&gt;6500))),"Y","N")</f>
        <v>N</v>
      </c>
      <c r="BV406" s="296" t="str">
        <f t="shared" ref="BV406:BV437" si="640">IF(AND(BT406="Y",T406&gt;=0.05),"Y","N")</f>
        <v>N</v>
      </c>
      <c r="BW406" s="297" t="str">
        <f t="shared" si="599"/>
        <v>N</v>
      </c>
      <c r="BY406" s="352">
        <f t="shared" si="600"/>
        <v>0.85</v>
      </c>
      <c r="BZ406" s="353">
        <f t="shared" si="601"/>
        <v>0</v>
      </c>
      <c r="CA406" s="353">
        <f t="shared" si="602"/>
        <v>0</v>
      </c>
      <c r="CB406" s="354">
        <f t="shared" si="603"/>
        <v>0.85</v>
      </c>
      <c r="CD406" s="311">
        <f t="shared" si="604"/>
        <v>398</v>
      </c>
    </row>
    <row r="407" spans="1:82" outlineLevel="1" x14ac:dyDescent="0.3">
      <c r="A407" s="1">
        <v>100215000</v>
      </c>
      <c r="B407" s="47">
        <f>VLOOKUP(C407,'NCES ID'!$A$2:$B$3136,2,FALSE)</f>
        <v>400520</v>
      </c>
      <c r="C407" s="47">
        <f>VLOOKUP(A407,'State ID'!$A$2:$B$713,2,FALSE)</f>
        <v>4409</v>
      </c>
      <c r="D407" s="147" t="s">
        <v>18</v>
      </c>
      <c r="E407" s="47" t="s">
        <v>9</v>
      </c>
      <c r="F407" s="382">
        <f>IFERROR(VLOOKUP($B407,'update_Formula counts'!$D$7:$R$234,'update_Formula counts'!F$5,0),0)</f>
        <v>148</v>
      </c>
      <c r="G407" s="382">
        <f>IFERROR(VLOOKUP($B407,'update_Formula counts'!$D$7:$R$234,'update_Formula counts'!G$5,0),0)</f>
        <v>0</v>
      </c>
      <c r="H407" s="382">
        <f>IFERROR(VLOOKUP($B407,'update_Formula counts'!$D$7:$R$234,'update_Formula counts'!H$5,0),0)</f>
        <v>0</v>
      </c>
      <c r="I407" s="382">
        <f>IFERROR(VLOOKUP($B407,'update_Formula counts'!$D$7:$R$234,'update_Formula counts'!I$5,0),0)</f>
        <v>7</v>
      </c>
      <c r="J407" s="382">
        <f>IFERROR(VLOOKUP($B407,'update_Formula counts'!$D$7:$R$234,'update_Formula counts'!J$5,0),0)</f>
        <v>0</v>
      </c>
      <c r="K407" s="382">
        <f t="shared" si="619"/>
        <v>148</v>
      </c>
      <c r="L407" s="444">
        <f>IFERROR(VLOOKUP($B407,'update_Formula counts'!$D$7:$R$234,'update_Formula counts'!L$5,0),0)</f>
        <v>424</v>
      </c>
      <c r="M407" s="445">
        <f>IFERROR(VLOOKUP($B407,'update_Formula counts'!$D$7:$R$234,'update_Formula counts'!K$5,0),0)</f>
        <v>155</v>
      </c>
      <c r="N407" s="446">
        <f>IFERROR(VLOOKUP($B407,'update_Formula counts'!$D$7:$R$234,'update_Formula counts'!M$5,0),0)</f>
        <v>0.36556603773584906</v>
      </c>
      <c r="O407" s="137">
        <f>VLOOKUP($C407,'Final SEA Counts'!$A$2:$F$709,5,FALSE)</f>
        <v>411</v>
      </c>
      <c r="P407" s="208">
        <f>VLOOKUP($C407,'Final SEA Counts'!$A$2:$F$709,6,FALSE)</f>
        <v>266</v>
      </c>
      <c r="Q407" s="748">
        <f t="shared" si="620"/>
        <v>-18.018767909438726</v>
      </c>
      <c r="R407" s="444">
        <f t="shared" si="621"/>
        <v>393.32227258360632</v>
      </c>
      <c r="S407" s="445">
        <f t="shared" si="622"/>
        <v>136.98123209056126</v>
      </c>
      <c r="T407" s="229">
        <f t="shared" si="623"/>
        <v>0.3482671631859951</v>
      </c>
      <c r="U407" s="261">
        <f>VLOOKUP($B407,update_Allocation!$D$8:$Q$235,update_Allocation!K$239,0)</f>
        <v>92631.603018787937</v>
      </c>
      <c r="V407" s="262">
        <f>VLOOKUP($B407,update_Allocation!$D$8:$Q$235,update_Allocation!L$239,0)</f>
        <v>22592.455787151492</v>
      </c>
      <c r="W407" s="262">
        <f>VLOOKUP($B407,update_Allocation!$D$8:$Q$235,update_Allocation!M$239,0)</f>
        <v>47814.004751882188</v>
      </c>
      <c r="X407" s="262">
        <f>VLOOKUP($B407,update_Allocation!$D$8:$Q$235,update_Allocation!N$239,0)</f>
        <v>49419.109454921185</v>
      </c>
      <c r="Y407" s="263">
        <f>VLOOKUP($B407,update_Allocation!$D$8:$Q$235,update_Allocation!O$239,0)</f>
        <v>212457.1730127428</v>
      </c>
      <c r="Z407" s="262">
        <f t="shared" ref="Z407:Z421" si="641">IF(U407=0,"",U407-(U407/(U$465-U$422)*Z$464-U407/(U$465-U$422)*U$422))</f>
        <v>82004.76555428491</v>
      </c>
      <c r="AA407" s="262">
        <f t="shared" ref="AA407:AA421" si="642">IF(V407=0,"",V407-(V407/(V$465-V$422)*AA$464-V407/(V$465-V$422)*V$422))</f>
        <v>20001.217345777179</v>
      </c>
      <c r="AB407" s="262">
        <f t="shared" ref="AB407:AB421" si="643">IF(W407=0,"",W407-(W407/(W$465-W$422)*AB$464-W407/(W$465-W$422)*W$422))</f>
        <v>42327.145481250453</v>
      </c>
      <c r="AC407" s="263">
        <f t="shared" ref="AC407:AC421" si="644">IF(X407=0,"",X407-(X407/(X$465-X$422)*AC$464-X407/(X$465-X$422)*X$422))</f>
        <v>43746.728262730001</v>
      </c>
      <c r="AD407" s="262">
        <f t="shared" ref="AD407:AD438" si="645">IF(BT407="Y",Z407,"")</f>
        <v>82004.76555428491</v>
      </c>
      <c r="AE407" s="262">
        <f t="shared" ref="AE407:AE438" si="646">IF(BU407="Y",AA407,"")</f>
        <v>20001.217345777179</v>
      </c>
      <c r="AF407" s="262">
        <f t="shared" ref="AF407:AF438" si="647">IF(BV407="Y",AB407,"")</f>
        <v>42327.145481250453</v>
      </c>
      <c r="AG407" s="263">
        <f t="shared" ref="AG407:AG438" si="648">IF(BW407="Y",AC407,"")</f>
        <v>43746.728262730001</v>
      </c>
      <c r="AH407" s="262">
        <f t="shared" ref="AH407:AK407" si="649">IF(AD407="","",AD407+AD$466)</f>
        <v>82004.76555428491</v>
      </c>
      <c r="AI407" s="262">
        <f t="shared" si="649"/>
        <v>22807.950638642487</v>
      </c>
      <c r="AJ407" s="262">
        <f t="shared" si="649"/>
        <v>42327.145481250453</v>
      </c>
      <c r="AK407" s="262">
        <f t="shared" si="649"/>
        <v>43746.728262730001</v>
      </c>
      <c r="AL407" s="263">
        <f t="shared" ref="AL407" si="650">SUM(AH407:AK407)</f>
        <v>190886.58993690787</v>
      </c>
      <c r="AM407" s="346"/>
      <c r="AN407" s="261">
        <f>IFERROR(VLOOKUP($A407,'HH &amp; SI'!$B$4:$Z$494,'HH &amp; SI'!V$503,0),0)</f>
        <v>82098.440510761779</v>
      </c>
      <c r="AO407" s="262">
        <f>IFERROR(VLOOKUP($A407,'HH &amp; SI'!$B$4:$Z$494,'HH &amp; SI'!W$503,0),0)</f>
        <v>22804.683390058999</v>
      </c>
      <c r="AP407" s="262">
        <f>IFERROR(VLOOKUP($A407,'HH &amp; SI'!$B$4:$Z$494,'HH &amp; SI'!X$503,0),0)</f>
        <v>42435.964919401136</v>
      </c>
      <c r="AQ407" s="262">
        <f>IFERROR(VLOOKUP($A407,'HH &amp; SI'!$B$4:$Z$494,'HH &amp; SI'!Y$503,0),0)</f>
        <v>43818.712794283339</v>
      </c>
      <c r="AR407" s="263">
        <f t="shared" ref="AR407:AR463" si="651">SUM(AN407:AQ407)</f>
        <v>191157.80161450527</v>
      </c>
      <c r="AS407" s="346"/>
      <c r="AT407" s="323">
        <f>IFERROR(VLOOKUP(A407,'Afton FY16 Final'!$A$5:$BV$572,'Afton FY16 Final'!$BV$587,0),0)</f>
        <v>197256.74161302429</v>
      </c>
      <c r="AU407" s="346"/>
      <c r="AV407" s="444">
        <v>0</v>
      </c>
      <c r="AW407" s="262">
        <f>IFERROR(VLOOKUP($A407,'HH &amp; SI'!$B$4:$EY$503,'HH &amp; SI'!EX$503,0),0)</f>
        <v>0</v>
      </c>
      <c r="AX407" s="262">
        <f>IFERROR(VLOOKUP($A407,'HH &amp; SI'!$B$4:$EY$503,'HH &amp; SI'!EY$503,0),0)</f>
        <v>191157.80161450527</v>
      </c>
      <c r="AY407" s="262">
        <f>AX407/$AX$582*'update_State Admin 1004(b)'!$B$30*0.01</f>
        <v>1829.5174831957481</v>
      </c>
      <c r="AZ407" s="263">
        <f t="shared" si="631"/>
        <v>189328.28413130951</v>
      </c>
      <c r="BA407" s="261">
        <f t="shared" si="632"/>
        <v>1893.2828413130951</v>
      </c>
      <c r="BB407" s="262">
        <f t="shared" si="633"/>
        <v>187435.00128999641</v>
      </c>
      <c r="BC407" s="341">
        <f t="shared" si="610"/>
        <v>0.95020834146040978</v>
      </c>
      <c r="BD407" s="346"/>
      <c r="BE407" s="376" t="str">
        <f>'Original Title I &amp; II'!AZ404</f>
        <v/>
      </c>
      <c r="BF407" s="243" t="str">
        <f t="shared" si="634"/>
        <v/>
      </c>
      <c r="BG407" s="263">
        <f t="shared" si="618"/>
        <v>187435.00128999641</v>
      </c>
      <c r="BI407" s="31">
        <f>IFERROR(VLOOKUP(A407,'Title II Hold Harmless'!A$1:B$439,2, FALSE),"")</f>
        <v>22284</v>
      </c>
      <c r="BJ407" s="31">
        <f t="shared" si="635"/>
        <v>24393.752218819056</v>
      </c>
      <c r="BK407" s="31">
        <f t="shared" si="636"/>
        <v>24417.350536133021</v>
      </c>
      <c r="BL407" s="31" t="str">
        <f t="shared" si="637"/>
        <v/>
      </c>
      <c r="BM407" s="31">
        <f t="shared" si="638"/>
        <v>24417.350536133021</v>
      </c>
      <c r="BN407" s="200"/>
      <c r="BP407" s="295" t="s">
        <v>1447</v>
      </c>
      <c r="BQ407" s="296" t="str">
        <f t="shared" si="597"/>
        <v>Y</v>
      </c>
      <c r="BR407" s="297" t="s">
        <v>1448</v>
      </c>
      <c r="BT407" s="295" t="str">
        <f t="shared" si="598"/>
        <v>Y</v>
      </c>
      <c r="BU407" s="296" t="str">
        <f t="shared" si="639"/>
        <v>Y</v>
      </c>
      <c r="BV407" s="296" t="str">
        <f t="shared" si="640"/>
        <v>Y</v>
      </c>
      <c r="BW407" s="297" t="str">
        <f t="shared" si="599"/>
        <v>Y</v>
      </c>
      <c r="BY407" s="352">
        <f t="shared" si="600"/>
        <v>0</v>
      </c>
      <c r="BZ407" s="353">
        <f t="shared" si="601"/>
        <v>0</v>
      </c>
      <c r="CA407" s="353">
        <f t="shared" si="602"/>
        <v>0.95</v>
      </c>
      <c r="CB407" s="354">
        <f t="shared" si="603"/>
        <v>0.95</v>
      </c>
      <c r="CD407" s="311">
        <f t="shared" si="604"/>
        <v>399</v>
      </c>
    </row>
    <row r="408" spans="1:82" outlineLevel="1" x14ac:dyDescent="0.3">
      <c r="A408" s="1">
        <v>100339000</v>
      </c>
      <c r="B408" s="47">
        <f>VLOOKUP(C408,'NCES ID'!$A$2:$B$3136,2,FALSE)</f>
        <v>402250</v>
      </c>
      <c r="C408" s="47">
        <f>VLOOKUP(A408,'State ID'!$A$2:$B$713,2,FALSE)</f>
        <v>4416</v>
      </c>
      <c r="D408" s="147" t="s">
        <v>114</v>
      </c>
      <c r="E408" s="47" t="s">
        <v>9</v>
      </c>
      <c r="F408" s="382">
        <f>IFERROR(VLOOKUP($B408,'update_Formula counts'!$D$7:$R$234,'update_Formula counts'!F$5,0),0)</f>
        <v>91</v>
      </c>
      <c r="G408" s="382">
        <f>IFERROR(VLOOKUP($B408,'update_Formula counts'!$D$7:$R$234,'update_Formula counts'!G$5,0),0)</f>
        <v>0</v>
      </c>
      <c r="H408" s="382">
        <f>IFERROR(VLOOKUP($B408,'update_Formula counts'!$D$7:$R$234,'update_Formula counts'!H$5,0),0)</f>
        <v>0</v>
      </c>
      <c r="I408" s="382">
        <f>IFERROR(VLOOKUP($B408,'update_Formula counts'!$D$7:$R$234,'update_Formula counts'!I$5,0),0)</f>
        <v>4</v>
      </c>
      <c r="J408" s="382">
        <f>IFERROR(VLOOKUP($B408,'update_Formula counts'!$D$7:$R$234,'update_Formula counts'!J$5,0),0)</f>
        <v>0</v>
      </c>
      <c r="K408" s="382">
        <f t="shared" si="619"/>
        <v>91</v>
      </c>
      <c r="L408" s="444">
        <f>IFERROR(VLOOKUP($B408,'update_Formula counts'!$D$7:$R$234,'update_Formula counts'!L$5,0),0)</f>
        <v>687</v>
      </c>
      <c r="M408" s="445">
        <f>IFERROR(VLOOKUP($B408,'update_Formula counts'!$D$7:$R$234,'update_Formula counts'!K$5,0),0)</f>
        <v>95</v>
      </c>
      <c r="N408" s="446">
        <f>IFERROR(VLOOKUP($B408,'update_Formula counts'!$D$7:$R$234,'update_Formula counts'!M$5,0),0)</f>
        <v>0.13828238719068414</v>
      </c>
      <c r="O408" s="137">
        <f>VLOOKUP($C408,'Final SEA Counts'!$A$2:$F$709,5,FALSE)</f>
        <v>546</v>
      </c>
      <c r="P408" s="208">
        <f>VLOOKUP($C408,'Final SEA Counts'!$A$2:$F$709,6,FALSE)</f>
        <v>202</v>
      </c>
      <c r="Q408" s="748">
        <f t="shared" si="620"/>
        <v>-11.079224529802559</v>
      </c>
      <c r="R408" s="444">
        <f t="shared" si="621"/>
        <v>637.29339920975826</v>
      </c>
      <c r="S408" s="445">
        <f t="shared" si="622"/>
        <v>83.920775470197441</v>
      </c>
      <c r="T408" s="229">
        <f t="shared" si="623"/>
        <v>0.13168310792840304</v>
      </c>
      <c r="U408" s="261">
        <f>VLOOKUP($B408,update_Allocation!$D$8:$Q$235,update_Allocation!K$239,0)</f>
        <v>45891.903791033707</v>
      </c>
      <c r="V408" s="262">
        <f>VLOOKUP($B408,update_Allocation!$D$8:$Q$235,update_Allocation!L$239,0)</f>
        <v>10866.647542573859</v>
      </c>
      <c r="W408" s="262">
        <f>VLOOKUP($B408,update_Allocation!$D$8:$Q$235,update_Allocation!M$239,0)</f>
        <v>14730.36330696894</v>
      </c>
      <c r="X408" s="262">
        <f>VLOOKUP($B408,update_Allocation!$D$8:$Q$235,update_Allocation!N$239,0)</f>
        <v>11279.923602885163</v>
      </c>
      <c r="Y408" s="263">
        <f>VLOOKUP($B408,update_Allocation!$D$8:$Q$235,update_Allocation!O$239,0)</f>
        <v>82768.838243461665</v>
      </c>
      <c r="Z408" s="262">
        <f t="shared" si="641"/>
        <v>40627.115245541187</v>
      </c>
      <c r="AA408" s="262">
        <f t="shared" si="642"/>
        <v>9620.2989779704112</v>
      </c>
      <c r="AB408" s="262">
        <f t="shared" si="643"/>
        <v>13039.991816648744</v>
      </c>
      <c r="AC408" s="263">
        <f t="shared" si="644"/>
        <v>9985.2012333385446</v>
      </c>
      <c r="AD408" s="262">
        <f t="shared" si="645"/>
        <v>40627.115245541187</v>
      </c>
      <c r="AE408" s="262" t="str">
        <f t="shared" si="646"/>
        <v/>
      </c>
      <c r="AF408" s="262">
        <f t="shared" si="647"/>
        <v>13039.991816648744</v>
      </c>
      <c r="AG408" s="263">
        <f t="shared" si="648"/>
        <v>9985.2012333385446</v>
      </c>
      <c r="AH408" s="262">
        <f t="shared" ref="AH408:AH463" si="652">IF(AD408="","",AD408+AD$466)</f>
        <v>40627.115245541187</v>
      </c>
      <c r="AI408" s="262" t="str">
        <f t="shared" ref="AI408:AI463" si="653">IF(AE408="","",AE408+AE$466)</f>
        <v/>
      </c>
      <c r="AJ408" s="262">
        <f t="shared" ref="AJ408:AJ463" si="654">IF(AF408="","",AF408+AF$466)</f>
        <v>13039.991816648744</v>
      </c>
      <c r="AK408" s="262">
        <f t="shared" ref="AK408:AK463" si="655">IF(AG408="","",AG408+AG$466)</f>
        <v>9985.2012333385446</v>
      </c>
      <c r="AL408" s="263">
        <f t="shared" ref="AL408:AL463" si="656">SUM(AH408:AK408)</f>
        <v>63652.30829552847</v>
      </c>
      <c r="AM408" s="346"/>
      <c r="AN408" s="261">
        <f>IFERROR(VLOOKUP($A408,'HH &amp; SI'!$B$4:$Z$494,'HH &amp; SI'!V$503,0),0)</f>
        <v>40673.524051501205</v>
      </c>
      <c r="AO408" s="262">
        <f>IFERROR(VLOOKUP($A408,'HH &amp; SI'!$B$4:$Z$494,'HH &amp; SI'!W$503,0),0)</f>
        <v>11871.234509515671</v>
      </c>
      <c r="AP408" s="262">
        <f>IFERROR(VLOOKUP($A408,'HH &amp; SI'!$B$4:$Z$494,'HH &amp; SI'!X$503,0),0)</f>
        <v>13091.802184777212</v>
      </c>
      <c r="AQ408" s="262">
        <f>IFERROR(VLOOKUP($A408,'HH &amp; SI'!$B$4:$Z$494,'HH &amp; SI'!Y$503,0),0)</f>
        <v>10001.631719955303</v>
      </c>
      <c r="AR408" s="263">
        <f t="shared" si="651"/>
        <v>75638.192465749395</v>
      </c>
      <c r="AS408" s="346"/>
      <c r="AT408" s="323">
        <f>IFERROR(VLOOKUP(A408,'Afton FY16 Final'!$A$5:$BV$572,'Afton FY16 Final'!$BV$587,0),0)</f>
        <v>87233.972316029569</v>
      </c>
      <c r="AU408" s="346"/>
      <c r="AV408" s="444">
        <v>0</v>
      </c>
      <c r="AW408" s="262">
        <f>IFERROR(VLOOKUP($A408,'HH &amp; SI'!$B$4:$EY$503,'HH &amp; SI'!EX$503,0),0)</f>
        <v>0</v>
      </c>
      <c r="AX408" s="262">
        <f>IFERROR(VLOOKUP($A408,'HH &amp; SI'!$B$4:$EY$503,'HH &amp; SI'!EY$503,0),0)</f>
        <v>75638.192465749395</v>
      </c>
      <c r="AY408" s="262">
        <f>AX408/$AX$582*'update_State Admin 1004(b)'!$B$30*0.01</f>
        <v>723.91183799276803</v>
      </c>
      <c r="AZ408" s="263">
        <f t="shared" si="631"/>
        <v>74914.280627756627</v>
      </c>
      <c r="BA408" s="261">
        <f t="shared" si="632"/>
        <v>749.14280627756625</v>
      </c>
      <c r="BB408" s="262">
        <f t="shared" si="633"/>
        <v>74165.13782147906</v>
      </c>
      <c r="BC408" s="341">
        <f t="shared" si="610"/>
        <v>0.85018641078036683</v>
      </c>
      <c r="BD408" s="346"/>
      <c r="BE408" s="376" t="str">
        <f>'Original Title I &amp; II'!AZ405</f>
        <v/>
      </c>
      <c r="BF408" s="243" t="str">
        <f t="shared" si="634"/>
        <v/>
      </c>
      <c r="BG408" s="263">
        <f t="shared" si="618"/>
        <v>74165.13782147906</v>
      </c>
      <c r="BI408" s="31">
        <f>IFERROR(VLOOKUP(A408,'Title II Hold Harmless'!A$1:B$439,2, FALSE),"")</f>
        <v>3882</v>
      </c>
      <c r="BJ408" s="31">
        <f t="shared" si="635"/>
        <v>5493.4913751920922</v>
      </c>
      <c r="BK408" s="31">
        <f t="shared" si="636"/>
        <v>5498.80573402752</v>
      </c>
      <c r="BL408" s="31" t="str">
        <f t="shared" si="637"/>
        <v/>
      </c>
      <c r="BM408" s="31">
        <f t="shared" si="638"/>
        <v>5498.80573402752</v>
      </c>
      <c r="BN408" s="200"/>
      <c r="BP408" s="295" t="s">
        <v>1447</v>
      </c>
      <c r="BQ408" s="296" t="str">
        <f t="shared" si="597"/>
        <v>Y</v>
      </c>
      <c r="BR408" s="297" t="s">
        <v>1448</v>
      </c>
      <c r="BT408" s="295" t="str">
        <f t="shared" si="598"/>
        <v>Y</v>
      </c>
      <c r="BU408" s="296" t="str">
        <f t="shared" si="639"/>
        <v>N</v>
      </c>
      <c r="BV408" s="296" t="str">
        <f t="shared" si="640"/>
        <v>Y</v>
      </c>
      <c r="BW408" s="297" t="str">
        <f t="shared" si="599"/>
        <v>Y</v>
      </c>
      <c r="BY408" s="352">
        <f t="shared" si="600"/>
        <v>0.85</v>
      </c>
      <c r="BZ408" s="353">
        <f t="shared" si="601"/>
        <v>0</v>
      </c>
      <c r="CA408" s="353">
        <f t="shared" si="602"/>
        <v>0</v>
      </c>
      <c r="CB408" s="354">
        <f t="shared" si="603"/>
        <v>0.85</v>
      </c>
      <c r="CD408" s="311">
        <f t="shared" si="604"/>
        <v>400</v>
      </c>
    </row>
    <row r="409" spans="1:82" outlineLevel="1" x14ac:dyDescent="0.3">
      <c r="A409" s="1">
        <v>100351000</v>
      </c>
      <c r="B409" s="47">
        <f>VLOOKUP(C409,'NCES ID'!$A$2:$B$3136,2,FALSE)</f>
        <v>404770</v>
      </c>
      <c r="C409" s="47">
        <f>VLOOKUP(A409,'State ID'!$A$2:$B$713,2,FALSE)</f>
        <v>4418</v>
      </c>
      <c r="D409" s="147" t="s">
        <v>24</v>
      </c>
      <c r="E409" s="47" t="s">
        <v>9</v>
      </c>
      <c r="F409" s="382">
        <f>IFERROR(VLOOKUP($B409,'update_Formula counts'!$D$7:$R$234,'update_Formula counts'!F$5,0),0)</f>
        <v>346</v>
      </c>
      <c r="G409" s="382">
        <f>IFERROR(VLOOKUP($B409,'update_Formula counts'!$D$7:$R$234,'update_Formula counts'!G$5,0),0)</f>
        <v>0</v>
      </c>
      <c r="H409" s="382">
        <f>IFERROR(VLOOKUP($B409,'update_Formula counts'!$D$7:$R$234,'update_Formula counts'!H$5,0),0)</f>
        <v>0</v>
      </c>
      <c r="I409" s="382">
        <f>IFERROR(VLOOKUP($B409,'update_Formula counts'!$D$7:$R$234,'update_Formula counts'!I$5,0),0)</f>
        <v>17</v>
      </c>
      <c r="J409" s="382">
        <f>IFERROR(VLOOKUP($B409,'update_Formula counts'!$D$7:$R$234,'update_Formula counts'!J$5,0),0)</f>
        <v>0</v>
      </c>
      <c r="K409" s="382">
        <f t="shared" si="619"/>
        <v>346</v>
      </c>
      <c r="L409" s="444">
        <f>IFERROR(VLOOKUP($B409,'update_Formula counts'!$D$7:$R$234,'update_Formula counts'!L$5,0),0)</f>
        <v>1345</v>
      </c>
      <c r="M409" s="445">
        <f>IFERROR(VLOOKUP($B409,'update_Formula counts'!$D$7:$R$234,'update_Formula counts'!K$5,0),0)</f>
        <v>363</v>
      </c>
      <c r="N409" s="446">
        <f>IFERROR(VLOOKUP($B409,'update_Formula counts'!$D$7:$R$234,'update_Formula counts'!M$5,0),0)</f>
        <v>0.26988847583643122</v>
      </c>
      <c r="O409" s="137">
        <f>VLOOKUP($C409,'Final SEA Counts'!$A$2:$F$709,5,FALSE)</f>
        <v>635</v>
      </c>
      <c r="P409" s="208">
        <f>VLOOKUP($C409,'Final SEA Counts'!$A$2:$F$709,6,FALSE)</f>
        <v>372</v>
      </c>
      <c r="Q409" s="748">
        <f t="shared" si="620"/>
        <v>-42.124712520823827</v>
      </c>
      <c r="R409" s="444">
        <f t="shared" si="621"/>
        <v>1247.6850392097888</v>
      </c>
      <c r="S409" s="445">
        <f t="shared" si="622"/>
        <v>320.87528747917617</v>
      </c>
      <c r="T409" s="229">
        <f t="shared" si="623"/>
        <v>0.25717651281801052</v>
      </c>
      <c r="U409" s="261">
        <f>VLOOKUP($B409,update_Allocation!$D$8:$Q$235,update_Allocation!K$239,0)</f>
        <v>237198.91651672899</v>
      </c>
      <c r="V409" s="262">
        <f>VLOOKUP($B409,update_Allocation!$D$8:$Q$235,update_Allocation!L$239,0)</f>
        <v>57851.811471701702</v>
      </c>
      <c r="W409" s="262">
        <f>VLOOKUP($B409,update_Allocation!$D$8:$Q$235,update_Allocation!M$239,0)</f>
        <v>114161.44792941878</v>
      </c>
      <c r="X409" s="262">
        <f>VLOOKUP($B409,update_Allocation!$D$8:$Q$235,update_Allocation!N$239,0)</f>
        <v>111169.58377032138</v>
      </c>
      <c r="Y409" s="263">
        <f>VLOOKUP($B409,update_Allocation!$D$8:$Q$235,update_Allocation!O$239,0)</f>
        <v>520381.75968817086</v>
      </c>
      <c r="Z409" s="262">
        <f t="shared" si="641"/>
        <v>209987.09840678819</v>
      </c>
      <c r="AA409" s="262">
        <f t="shared" si="642"/>
        <v>51216.506341487977</v>
      </c>
      <c r="AB409" s="262">
        <f t="shared" si="643"/>
        <v>101060.9389431763</v>
      </c>
      <c r="AC409" s="263">
        <f t="shared" si="644"/>
        <v>98409.413401454105</v>
      </c>
      <c r="AD409" s="262">
        <f t="shared" si="645"/>
        <v>209987.09840678819</v>
      </c>
      <c r="AE409" s="262">
        <f t="shared" si="646"/>
        <v>51216.506341487977</v>
      </c>
      <c r="AF409" s="262">
        <f t="shared" si="647"/>
        <v>101060.9389431763</v>
      </c>
      <c r="AG409" s="263">
        <f t="shared" si="648"/>
        <v>98409.413401454105</v>
      </c>
      <c r="AH409" s="262">
        <f t="shared" si="652"/>
        <v>209987.09840678819</v>
      </c>
      <c r="AI409" s="262">
        <f t="shared" si="653"/>
        <v>54023.239634353289</v>
      </c>
      <c r="AJ409" s="262">
        <f t="shared" si="654"/>
        <v>101060.9389431763</v>
      </c>
      <c r="AK409" s="262">
        <f t="shared" si="655"/>
        <v>98409.413401454105</v>
      </c>
      <c r="AL409" s="263">
        <f t="shared" si="656"/>
        <v>463480.69038577192</v>
      </c>
      <c r="AM409" s="346"/>
      <c r="AN409" s="261">
        <f>IFERROR(VLOOKUP($A409,'HH &amp; SI'!$B$4:$Z$494,'HH &amp; SI'!V$503,0),0)</f>
        <v>210226.96900663682</v>
      </c>
      <c r="AO409" s="262">
        <f>IFERROR(VLOOKUP($A409,'HH &amp; SI'!$B$4:$Z$494,'HH &amp; SI'!W$503,0),0)</f>
        <v>53559.646245439981</v>
      </c>
      <c r="AP409" s="262">
        <f>IFERROR(VLOOKUP($A409,'HH &amp; SI'!$B$4:$Z$494,'HH &amp; SI'!X$503,0),0)</f>
        <v>101320.75789552327</v>
      </c>
      <c r="AQ409" s="262">
        <f>IFERROR(VLOOKUP($A409,'HH &amp; SI'!$B$4:$Z$494,'HH &amp; SI'!Y$503,0),0)</f>
        <v>98571.344494485733</v>
      </c>
      <c r="AR409" s="263">
        <f t="shared" si="651"/>
        <v>463678.71764208586</v>
      </c>
      <c r="AS409" s="346"/>
      <c r="AT409" s="323">
        <f>IFERROR(VLOOKUP(A409,'Afton FY16 Final'!$A$5:$BV$572,'Afton FY16 Final'!$BV$587,0),0)</f>
        <v>505054.31529833609</v>
      </c>
      <c r="AU409" s="346"/>
      <c r="AV409" s="444">
        <v>0</v>
      </c>
      <c r="AW409" s="262">
        <f>IFERROR(VLOOKUP($A409,'HH &amp; SI'!$B$4:$EY$503,'HH &amp; SI'!EX$503,0),0)</f>
        <v>0</v>
      </c>
      <c r="AX409" s="262">
        <f>IFERROR(VLOOKUP($A409,'HH &amp; SI'!$B$4:$EY$503,'HH &amp; SI'!EY$503,0),0)</f>
        <v>463678.71764208586</v>
      </c>
      <c r="AY409" s="262">
        <f>AX409/$AX$582*'update_State Admin 1004(b)'!$B$30*0.01</f>
        <v>4437.7384200238166</v>
      </c>
      <c r="AZ409" s="263">
        <f t="shared" si="631"/>
        <v>459240.97922206204</v>
      </c>
      <c r="BA409" s="261">
        <f t="shared" si="632"/>
        <v>4592.4097922206201</v>
      </c>
      <c r="BB409" s="262">
        <f t="shared" si="633"/>
        <v>454648.56942984142</v>
      </c>
      <c r="BC409" s="341">
        <f t="shared" si="610"/>
        <v>0.9001973761203883</v>
      </c>
      <c r="BD409" s="346"/>
      <c r="BE409" s="376" t="str">
        <f>'Original Title I &amp; II'!AZ406</f>
        <v/>
      </c>
      <c r="BF409" s="243" t="str">
        <f t="shared" si="634"/>
        <v/>
      </c>
      <c r="BG409" s="263">
        <f t="shared" si="618"/>
        <v>454648.56942984142</v>
      </c>
      <c r="BI409" s="31">
        <f>IFERROR(VLOOKUP(A409,'Title II Hold Harmless'!A$1:B$439,2, FALSE),"")</f>
        <v>41111</v>
      </c>
      <c r="BJ409" s="31">
        <f t="shared" si="635"/>
        <v>46315.680408067485</v>
      </c>
      <c r="BK409" s="31">
        <f t="shared" si="636"/>
        <v>46360.485820251619</v>
      </c>
      <c r="BL409" s="31" t="str">
        <f t="shared" si="637"/>
        <v/>
      </c>
      <c r="BM409" s="31">
        <f t="shared" si="638"/>
        <v>46360.485820251619</v>
      </c>
      <c r="BN409" s="200"/>
      <c r="BP409" s="295" t="s">
        <v>1447</v>
      </c>
      <c r="BQ409" s="296" t="str">
        <f t="shared" si="597"/>
        <v>Y</v>
      </c>
      <c r="BR409" s="297" t="s">
        <v>1448</v>
      </c>
      <c r="BT409" s="295" t="str">
        <f t="shared" si="598"/>
        <v>Y</v>
      </c>
      <c r="BU409" s="296" t="str">
        <f t="shared" si="639"/>
        <v>Y</v>
      </c>
      <c r="BV409" s="296" t="str">
        <f t="shared" si="640"/>
        <v>Y</v>
      </c>
      <c r="BW409" s="297" t="str">
        <f t="shared" si="599"/>
        <v>Y</v>
      </c>
      <c r="BY409" s="352">
        <f t="shared" si="600"/>
        <v>0</v>
      </c>
      <c r="BZ409" s="353">
        <f t="shared" si="601"/>
        <v>0.9</v>
      </c>
      <c r="CA409" s="353">
        <f t="shared" si="602"/>
        <v>0</v>
      </c>
      <c r="CB409" s="354">
        <f t="shared" si="603"/>
        <v>0.9</v>
      </c>
      <c r="CD409" s="311">
        <f t="shared" si="604"/>
        <v>401</v>
      </c>
    </row>
    <row r="410" spans="1:82" outlineLevel="1" x14ac:dyDescent="0.3">
      <c r="A410" s="1">
        <v>100240000</v>
      </c>
      <c r="B410" s="47">
        <f>VLOOKUP(C410,'NCES ID'!$A$2:$B$3136,2,FALSE)</f>
        <v>403950</v>
      </c>
      <c r="C410" s="47">
        <f>VLOOKUP(A410,'State ID'!$A$2:$B$713,2,FALSE)</f>
        <v>4412</v>
      </c>
      <c r="D410" s="147" t="s">
        <v>61</v>
      </c>
      <c r="E410" s="47" t="s">
        <v>9</v>
      </c>
      <c r="F410" s="382">
        <f>IFERROR(VLOOKUP($B410,'update_Formula counts'!$D$7:$R$234,'update_Formula counts'!F$5,0),0)</f>
        <v>659</v>
      </c>
      <c r="G410" s="382">
        <f>IFERROR(VLOOKUP($B410,'update_Formula counts'!$D$7:$R$234,'update_Formula counts'!G$5,0),0)</f>
        <v>106</v>
      </c>
      <c r="H410" s="382">
        <f>IFERROR(VLOOKUP($B410,'update_Formula counts'!$D$7:$R$234,'update_Formula counts'!H$5,0),0)</f>
        <v>0</v>
      </c>
      <c r="I410" s="382">
        <f>IFERROR(VLOOKUP($B410,'update_Formula counts'!$D$7:$R$234,'update_Formula counts'!I$5,0),0)</f>
        <v>32</v>
      </c>
      <c r="J410" s="382">
        <f>IFERROR(VLOOKUP($B410,'update_Formula counts'!$D$7:$R$234,'update_Formula counts'!J$5,0),0)</f>
        <v>0</v>
      </c>
      <c r="K410" s="382">
        <f t="shared" si="619"/>
        <v>765</v>
      </c>
      <c r="L410" s="444">
        <f>IFERROR(VLOOKUP($B410,'update_Formula counts'!$D$7:$R$234,'update_Formula counts'!L$5,0),0)</f>
        <v>1626</v>
      </c>
      <c r="M410" s="445">
        <f>IFERROR(VLOOKUP($B410,'update_Formula counts'!$D$7:$R$234,'update_Formula counts'!K$5,0),0)</f>
        <v>797</v>
      </c>
      <c r="N410" s="446">
        <f>IFERROR(VLOOKUP($B410,'update_Formula counts'!$D$7:$R$234,'update_Formula counts'!M$5,0),0)</f>
        <v>0.49015990159901601</v>
      </c>
      <c r="O410" s="137">
        <f>VLOOKUP($C410,'Final SEA Counts'!$A$2:$F$709,5,FALSE)</f>
        <v>977</v>
      </c>
      <c r="P410" s="208">
        <f>VLOOKUP($C410,'Final SEA Counts'!$A$2:$F$709,6,FALSE)</f>
        <v>594</v>
      </c>
      <c r="Q410" s="748">
        <f t="shared" si="620"/>
        <v>-80.191025705395845</v>
      </c>
      <c r="R410" s="444">
        <f t="shared" si="621"/>
        <v>1508.3538094833582</v>
      </c>
      <c r="S410" s="445">
        <f t="shared" si="622"/>
        <v>716.80897429460413</v>
      </c>
      <c r="T410" s="229">
        <f t="shared" si="623"/>
        <v>0.47522601778698442</v>
      </c>
      <c r="U410" s="261">
        <f>VLOOKUP($B410,update_Allocation!$D$8:$Q$235,update_Allocation!K$239,0)</f>
        <v>581757.47335230419</v>
      </c>
      <c r="V410" s="262">
        <f>VLOOKUP($B410,update_Allocation!$D$8:$Q$235,update_Allocation!L$239,0)</f>
        <v>141888.18467160829</v>
      </c>
      <c r="W410" s="262">
        <f>VLOOKUP($B410,update_Allocation!$D$8:$Q$235,update_Allocation!M$239,0)</f>
        <v>425772.23133670044</v>
      </c>
      <c r="X410" s="262">
        <f>VLOOKUP($B410,update_Allocation!$D$8:$Q$235,update_Allocation!N$239,0)</f>
        <v>498536.55264509562</v>
      </c>
      <c r="Y410" s="263">
        <f>VLOOKUP($B410,update_Allocation!$D$8:$Q$235,update_Allocation!O$239,0)</f>
        <v>1647954.4420057086</v>
      </c>
      <c r="Z410" s="262">
        <f t="shared" si="641"/>
        <v>515017.3769748187</v>
      </c>
      <c r="AA410" s="262">
        <f t="shared" si="642"/>
        <v>125614.33989962986</v>
      </c>
      <c r="AB410" s="262">
        <f t="shared" si="643"/>
        <v>376913.0670226012</v>
      </c>
      <c r="AC410" s="263">
        <f t="shared" si="644"/>
        <v>441313.96413561632</v>
      </c>
      <c r="AD410" s="262">
        <f t="shared" si="645"/>
        <v>515017.3769748187</v>
      </c>
      <c r="AE410" s="262">
        <f t="shared" si="646"/>
        <v>125614.33989962986</v>
      </c>
      <c r="AF410" s="262">
        <f t="shared" si="647"/>
        <v>376913.0670226012</v>
      </c>
      <c r="AG410" s="263">
        <f t="shared" si="648"/>
        <v>441313.96413561632</v>
      </c>
      <c r="AH410" s="262">
        <f t="shared" si="652"/>
        <v>515017.3769748187</v>
      </c>
      <c r="AI410" s="262">
        <f t="shared" si="653"/>
        <v>128421.07319249517</v>
      </c>
      <c r="AJ410" s="262">
        <f t="shared" si="654"/>
        <v>376913.0670226012</v>
      </c>
      <c r="AK410" s="262">
        <f t="shared" si="655"/>
        <v>441313.96413561632</v>
      </c>
      <c r="AL410" s="263">
        <f t="shared" si="656"/>
        <v>1461665.4813255314</v>
      </c>
      <c r="AM410" s="346"/>
      <c r="AN410" s="261">
        <f>IFERROR(VLOOKUP($A410,'HH &amp; SI'!$B$4:$Z$494,'HH &amp; SI'!V$503,0),0)</f>
        <v>515605.6870571273</v>
      </c>
      <c r="AO410" s="262">
        <f>IFERROR(VLOOKUP($A410,'HH &amp; SI'!$B$4:$Z$494,'HH &amp; SI'!W$503,0),0)</f>
        <v>127511.7468251229</v>
      </c>
      <c r="AP410" s="262">
        <f>IFERROR(VLOOKUP($A410,'HH &amp; SI'!$B$4:$Z$494,'HH &amp; SI'!X$503,0),0)</f>
        <v>377882.07798988267</v>
      </c>
      <c r="AQ410" s="262">
        <f>IFERROR(VLOOKUP($A410,'HH &amp; SI'!$B$4:$Z$494,'HH &amp; SI'!Y$503,0),0)</f>
        <v>442040.13910315814</v>
      </c>
      <c r="AR410" s="263">
        <f t="shared" si="651"/>
        <v>1463039.6509752912</v>
      </c>
      <c r="AS410" s="346"/>
      <c r="AT410" s="323">
        <f>IFERROR(VLOOKUP(A410,'Afton FY16 Final'!$A$5:$BV$572,'Afton FY16 Final'!$BV$587,0),0)</f>
        <v>1509718.3163051365</v>
      </c>
      <c r="AU410" s="346"/>
      <c r="AV410" s="444">
        <v>0</v>
      </c>
      <c r="AW410" s="262">
        <f>IFERROR(VLOOKUP($A410,'HH &amp; SI'!$B$4:$EY$503,'HH &amp; SI'!EX$503,0),0)</f>
        <v>0</v>
      </c>
      <c r="AX410" s="262">
        <f>IFERROR(VLOOKUP($A410,'HH &amp; SI'!$B$4:$EY$503,'HH &amp; SI'!EY$503,0),0)</f>
        <v>1463039.6509752912</v>
      </c>
      <c r="AY410" s="262">
        <f>AX410/$AX$582*'update_State Admin 1004(b)'!$B$30*0.01</f>
        <v>14002.34046144624</v>
      </c>
      <c r="AZ410" s="263">
        <f t="shared" si="631"/>
        <v>1449037.3105138449</v>
      </c>
      <c r="BA410" s="261">
        <f t="shared" si="632"/>
        <v>14490.373105138449</v>
      </c>
      <c r="BB410" s="262">
        <f t="shared" si="633"/>
        <v>1434546.9374087064</v>
      </c>
      <c r="BC410" s="341">
        <f t="shared" si="610"/>
        <v>0.95020834146041</v>
      </c>
      <c r="BD410" s="346"/>
      <c r="BE410" s="376" t="str">
        <f>'Original Title I &amp; II'!AZ407</f>
        <v/>
      </c>
      <c r="BF410" s="243" t="str">
        <f t="shared" si="634"/>
        <v/>
      </c>
      <c r="BG410" s="263">
        <f t="shared" si="618"/>
        <v>1434546.9374087064</v>
      </c>
      <c r="BI410" s="31">
        <f>IFERROR(VLOOKUP(A410,'Title II Hold Harmless'!A$1:B$439,2, FALSE),"")</f>
        <v>74451</v>
      </c>
      <c r="BJ410" s="31">
        <f t="shared" si="635"/>
        <v>85048.591862008019</v>
      </c>
      <c r="BK410" s="31">
        <f t="shared" si="636"/>
        <v>85130.867177419204</v>
      </c>
      <c r="BL410" s="31" t="str">
        <f t="shared" si="637"/>
        <v/>
      </c>
      <c r="BM410" s="31">
        <f t="shared" si="638"/>
        <v>85130.867177419204</v>
      </c>
      <c r="BN410" s="200"/>
      <c r="BP410" s="295" t="s">
        <v>1447</v>
      </c>
      <c r="BQ410" s="296" t="str">
        <f t="shared" si="597"/>
        <v>Y</v>
      </c>
      <c r="BR410" s="297" t="s">
        <v>1448</v>
      </c>
      <c r="BT410" s="295" t="str">
        <f t="shared" si="598"/>
        <v>Y</v>
      </c>
      <c r="BU410" s="296" t="str">
        <f t="shared" si="639"/>
        <v>Y</v>
      </c>
      <c r="BV410" s="296" t="str">
        <f t="shared" si="640"/>
        <v>Y</v>
      </c>
      <c r="BW410" s="297" t="str">
        <f t="shared" si="599"/>
        <v>Y</v>
      </c>
      <c r="BY410" s="352">
        <f t="shared" si="600"/>
        <v>0</v>
      </c>
      <c r="BZ410" s="353">
        <f t="shared" si="601"/>
        <v>0</v>
      </c>
      <c r="CA410" s="353">
        <f t="shared" si="602"/>
        <v>0.95</v>
      </c>
      <c r="CB410" s="354">
        <f t="shared" si="603"/>
        <v>0.95</v>
      </c>
      <c r="CD410" s="311">
        <f t="shared" si="604"/>
        <v>402</v>
      </c>
    </row>
    <row r="411" spans="1:82" outlineLevel="1" x14ac:dyDescent="0.3">
      <c r="A411" s="1">
        <v>100213000</v>
      </c>
      <c r="B411" s="47">
        <f>VLOOKUP(C411,'NCES ID'!$A$2:$B$3136,2,FALSE)</f>
        <v>408280</v>
      </c>
      <c r="C411" s="47">
        <f>VLOOKUP(A411,'State ID'!$A$2:$B$713,2,FALSE)</f>
        <v>4408</v>
      </c>
      <c r="D411" s="147" t="s">
        <v>406</v>
      </c>
      <c r="E411" s="47" t="s">
        <v>9</v>
      </c>
      <c r="F411" s="382">
        <f>IFERROR(VLOOKUP($B411,'update_Formula counts'!$D$7:$R$234,'update_Formula counts'!F$5,0),0)</f>
        <v>158</v>
      </c>
      <c r="G411" s="382">
        <f>IFERROR(VLOOKUP($B411,'update_Formula counts'!$D$7:$R$234,'update_Formula counts'!G$5,0),0)</f>
        <v>23</v>
      </c>
      <c r="H411" s="382">
        <f>IFERROR(VLOOKUP($B411,'update_Formula counts'!$D$7:$R$234,'update_Formula counts'!H$5,0),0)</f>
        <v>0</v>
      </c>
      <c r="I411" s="382">
        <f>IFERROR(VLOOKUP($B411,'update_Formula counts'!$D$7:$R$234,'update_Formula counts'!I$5,0),0)</f>
        <v>8</v>
      </c>
      <c r="J411" s="382">
        <f>IFERROR(VLOOKUP($B411,'update_Formula counts'!$D$7:$R$234,'update_Formula counts'!J$5,0),0)</f>
        <v>0</v>
      </c>
      <c r="K411" s="382">
        <f t="shared" si="619"/>
        <v>181</v>
      </c>
      <c r="L411" s="444">
        <f>IFERROR(VLOOKUP($B411,'update_Formula counts'!$D$7:$R$234,'update_Formula counts'!L$5,0),0)</f>
        <v>1921</v>
      </c>
      <c r="M411" s="445">
        <f>IFERROR(VLOOKUP($B411,'update_Formula counts'!$D$7:$R$234,'update_Formula counts'!K$5,0),0)</f>
        <v>189</v>
      </c>
      <c r="N411" s="446">
        <f>IFERROR(VLOOKUP($B411,'update_Formula counts'!$D$7:$R$234,'update_Formula counts'!M$5,0),0)</f>
        <v>9.8386257157730347E-2</v>
      </c>
      <c r="O411" s="137">
        <f>VLOOKUP($C411,'Final SEA Counts'!$A$2:$F$709,5,FALSE)</f>
        <v>1915</v>
      </c>
      <c r="P411" s="208">
        <f>VLOOKUP($C411,'Final SEA Counts'!$A$2:$F$709,6,FALSE)</f>
        <v>315</v>
      </c>
      <c r="Q411" s="748">
        <f t="shared" si="620"/>
        <v>-19.227180910863737</v>
      </c>
      <c r="R411" s="444">
        <f t="shared" si="621"/>
        <v>1782.0096359271411</v>
      </c>
      <c r="S411" s="445">
        <f t="shared" si="622"/>
        <v>169.77281908913625</v>
      </c>
      <c r="T411" s="229">
        <f t="shared" si="623"/>
        <v>9.5270427087677967E-2</v>
      </c>
      <c r="U411" s="261">
        <f>VLOOKUP($B411,update_Allocation!$D$8:$Q$235,update_Allocation!K$239,0)</f>
        <v>89376.218262254784</v>
      </c>
      <c r="V411" s="262">
        <f>VLOOKUP($B411,update_Allocation!$D$8:$Q$235,update_Allocation!L$239,0)</f>
        <v>0</v>
      </c>
      <c r="W411" s="262">
        <f>VLOOKUP($B411,update_Allocation!$D$8:$Q$235,update_Allocation!M$239,0)</f>
        <v>26973.40079403944</v>
      </c>
      <c r="X411" s="262">
        <f>VLOOKUP($B411,update_Allocation!$D$8:$Q$235,update_Allocation!N$239,0)</f>
        <v>20925.36992443409</v>
      </c>
      <c r="Y411" s="263">
        <f>VLOOKUP($B411,update_Allocation!$D$8:$Q$235,update_Allocation!O$239,0)</f>
        <v>137274.98898072832</v>
      </c>
      <c r="Z411" s="262">
        <f t="shared" si="641"/>
        <v>79122.843455901835</v>
      </c>
      <c r="AA411" s="262" t="str">
        <f t="shared" si="642"/>
        <v/>
      </c>
      <c r="AB411" s="262">
        <f t="shared" si="643"/>
        <v>23878.088971169913</v>
      </c>
      <c r="AC411" s="263">
        <f t="shared" si="644"/>
        <v>18523.532333506333</v>
      </c>
      <c r="AD411" s="262">
        <f t="shared" si="645"/>
        <v>79122.843455901835</v>
      </c>
      <c r="AE411" s="262" t="str">
        <f t="shared" si="646"/>
        <v/>
      </c>
      <c r="AF411" s="262">
        <f t="shared" si="647"/>
        <v>23878.088971169913</v>
      </c>
      <c r="AG411" s="263">
        <f t="shared" si="648"/>
        <v>18523.532333506333</v>
      </c>
      <c r="AH411" s="262">
        <f t="shared" si="652"/>
        <v>79122.843455901835</v>
      </c>
      <c r="AI411" s="262" t="str">
        <f t="shared" si="653"/>
        <v/>
      </c>
      <c r="AJ411" s="262">
        <f t="shared" si="654"/>
        <v>23878.088971169913</v>
      </c>
      <c r="AK411" s="262">
        <f t="shared" si="655"/>
        <v>18523.532333506333</v>
      </c>
      <c r="AL411" s="263">
        <f t="shared" si="656"/>
        <v>121524.46476057808</v>
      </c>
      <c r="AM411" s="346"/>
      <c r="AN411" s="261">
        <f>IFERROR(VLOOKUP($A411,'HH &amp; SI'!$B$4:$Z$494,'HH &amp; SI'!V$503,0),0)</f>
        <v>78043.556515400691</v>
      </c>
      <c r="AO411" s="262">
        <f>IFERROR(VLOOKUP($A411,'HH &amp; SI'!$B$4:$Z$494,'HH &amp; SI'!W$503,0),0)</f>
        <v>0</v>
      </c>
      <c r="AP411" s="262">
        <f>IFERROR(VLOOKUP($A411,'HH &amp; SI'!$B$4:$Z$494,'HH &amp; SI'!X$503,0),0)</f>
        <v>23660.92707482446</v>
      </c>
      <c r="AQ411" s="262">
        <f>IFERROR(VLOOKUP($A411,'HH &amp; SI'!$B$4:$Z$494,'HH &amp; SI'!Y$503,0),0)</f>
        <v>18319.436351252556</v>
      </c>
      <c r="AR411" s="263">
        <f t="shared" si="651"/>
        <v>120023.91994147771</v>
      </c>
      <c r="AS411" s="346"/>
      <c r="AT411" s="323">
        <f>IFERROR(VLOOKUP(A411,'Afton FY16 Final'!$A$5:$BV$572,'Afton FY16 Final'!$BV$587,0),0)</f>
        <v>90904.780122223689</v>
      </c>
      <c r="AU411" s="346"/>
      <c r="AV411" s="444">
        <v>0</v>
      </c>
      <c r="AW411" s="262">
        <f>IFERROR(VLOOKUP($A411,'HH &amp; SI'!$B$4:$EY$503,'HH &amp; SI'!EX$503,0),0)</f>
        <v>6722.9119456588378</v>
      </c>
      <c r="AX411" s="262">
        <f>IFERROR(VLOOKUP($A411,'HH &amp; SI'!$B$4:$EY$503,'HH &amp; SI'!EY$503,0),0)</f>
        <v>113301.00799581887</v>
      </c>
      <c r="AY411" s="262">
        <f>AX411/$AX$582*'update_State Admin 1004(b)'!$B$30*0.01</f>
        <v>1084.3720383961706</v>
      </c>
      <c r="AZ411" s="263">
        <f t="shared" si="631"/>
        <v>112216.6359574227</v>
      </c>
      <c r="BA411" s="261">
        <f t="shared" si="632"/>
        <v>1122.166359574227</v>
      </c>
      <c r="BB411" s="262">
        <f t="shared" si="633"/>
        <v>111094.46959784847</v>
      </c>
      <c r="BC411" s="341">
        <f t="shared" si="610"/>
        <v>1.2220971157785019</v>
      </c>
      <c r="BD411" s="346"/>
      <c r="BE411" s="376" t="str">
        <f>'Original Title I &amp; II'!AZ408</f>
        <v/>
      </c>
      <c r="BF411" s="243" t="str">
        <f t="shared" si="634"/>
        <v/>
      </c>
      <c r="BG411" s="263">
        <f t="shared" si="618"/>
        <v>111094.46959784847</v>
      </c>
      <c r="BI411" s="31">
        <f>IFERROR(VLOOKUP(A411,'Title II Hold Harmless'!A$1:B$439,2, FALSE),"")</f>
        <v>24551</v>
      </c>
      <c r="BJ411" s="31">
        <f t="shared" si="635"/>
        <v>28207.638516064635</v>
      </c>
      <c r="BK411" s="31">
        <f t="shared" si="636"/>
        <v>28234.926355934804</v>
      </c>
      <c r="BL411" s="31" t="str">
        <f t="shared" si="637"/>
        <v/>
      </c>
      <c r="BM411" s="31">
        <f t="shared" si="638"/>
        <v>28234.926355934804</v>
      </c>
      <c r="BN411" s="200"/>
      <c r="BP411" s="295" t="s">
        <v>1447</v>
      </c>
      <c r="BQ411" s="296" t="str">
        <f t="shared" si="597"/>
        <v>Y</v>
      </c>
      <c r="BR411" s="297" t="s">
        <v>1448</v>
      </c>
      <c r="BT411" s="295" t="str">
        <f t="shared" si="598"/>
        <v>Y</v>
      </c>
      <c r="BU411" s="296" t="str">
        <f t="shared" si="639"/>
        <v>N</v>
      </c>
      <c r="BV411" s="296" t="str">
        <f t="shared" si="640"/>
        <v>Y</v>
      </c>
      <c r="BW411" s="297" t="str">
        <f t="shared" si="599"/>
        <v>Y</v>
      </c>
      <c r="BY411" s="352">
        <f t="shared" si="600"/>
        <v>0.85</v>
      </c>
      <c r="BZ411" s="353">
        <f t="shared" si="601"/>
        <v>0</v>
      </c>
      <c r="CA411" s="353">
        <f t="shared" si="602"/>
        <v>0</v>
      </c>
      <c r="CB411" s="354">
        <f t="shared" si="603"/>
        <v>0.85</v>
      </c>
      <c r="CD411" s="311">
        <f t="shared" si="604"/>
        <v>403</v>
      </c>
    </row>
    <row r="412" spans="1:82" outlineLevel="1" x14ac:dyDescent="0.3">
      <c r="A412" s="1">
        <v>100216000</v>
      </c>
      <c r="B412" s="47">
        <f>VLOOKUP(C412,'NCES ID'!$A$2:$B$3136,2,FALSE)</f>
        <v>401760</v>
      </c>
      <c r="C412" s="47">
        <f>VLOOKUP(A412,'State ID'!$A$2:$B$713,2,FALSE)</f>
        <v>4410</v>
      </c>
      <c r="D412" s="147" t="s">
        <v>95</v>
      </c>
      <c r="E412" s="47" t="s">
        <v>9</v>
      </c>
      <c r="F412" s="382">
        <f>IFERROR(VLOOKUP($B412,'update_Formula counts'!$D$7:$R$234,'update_Formula counts'!F$5,0),0)</f>
        <v>375</v>
      </c>
      <c r="G412" s="382">
        <f>IFERROR(VLOOKUP($B412,'update_Formula counts'!$D$7:$R$234,'update_Formula counts'!G$5,0),0)</f>
        <v>0</v>
      </c>
      <c r="H412" s="382">
        <f>IFERROR(VLOOKUP($B412,'update_Formula counts'!$D$7:$R$234,'update_Formula counts'!H$5,0),0)</f>
        <v>0</v>
      </c>
      <c r="I412" s="382">
        <f>IFERROR(VLOOKUP($B412,'update_Formula counts'!$D$7:$R$234,'update_Formula counts'!I$5,0),0)</f>
        <v>18</v>
      </c>
      <c r="J412" s="382">
        <f>IFERROR(VLOOKUP($B412,'update_Formula counts'!$D$7:$R$234,'update_Formula counts'!J$5,0),0)</f>
        <v>0</v>
      </c>
      <c r="K412" s="382">
        <f t="shared" si="619"/>
        <v>375</v>
      </c>
      <c r="L412" s="444">
        <f>IFERROR(VLOOKUP($B412,'update_Formula counts'!$D$7:$R$234,'update_Formula counts'!L$5,0),0)</f>
        <v>4653</v>
      </c>
      <c r="M412" s="445">
        <f>IFERROR(VLOOKUP($B412,'update_Formula counts'!$D$7:$R$234,'update_Formula counts'!K$5,0),0)</f>
        <v>393</v>
      </c>
      <c r="N412" s="446">
        <f>IFERROR(VLOOKUP($B412,'update_Formula counts'!$D$7:$R$234,'update_Formula counts'!M$5,0),0)</f>
        <v>8.4461637653127017E-2</v>
      </c>
      <c r="O412" s="137">
        <f>VLOOKUP($C412,'Final SEA Counts'!$A$2:$F$709,5,FALSE)</f>
        <v>4568</v>
      </c>
      <c r="P412" s="208">
        <f>VLOOKUP($C412,'Final SEA Counts'!$A$2:$F$709,6,FALSE)</f>
        <v>585</v>
      </c>
      <c r="Q412" s="748">
        <f t="shared" si="620"/>
        <v>-45.655560329783214</v>
      </c>
      <c r="R412" s="444">
        <f t="shared" si="621"/>
        <v>4316.3408828573583</v>
      </c>
      <c r="S412" s="445">
        <f t="shared" si="622"/>
        <v>347.34443967021679</v>
      </c>
      <c r="T412" s="229">
        <f t="shared" si="623"/>
        <v>8.0471966671983405E-2</v>
      </c>
      <c r="U412" s="261">
        <f>VLOOKUP($B412,update_Allocation!$D$8:$Q$235,update_Allocation!K$239,0)</f>
        <v>185845.78718024396</v>
      </c>
      <c r="V412" s="262">
        <f>VLOOKUP($B412,update_Allocation!$D$8:$Q$235,update_Allocation!L$239,0)</f>
        <v>0</v>
      </c>
      <c r="W412" s="262">
        <f>VLOOKUP($B412,update_Allocation!$D$8:$Q$235,update_Allocation!M$239,0)</f>
        <v>56087.547682843913</v>
      </c>
      <c r="X412" s="262">
        <f>VLOOKUP($B412,update_Allocation!$D$8:$Q$235,update_Allocation!N$239,0)</f>
        <v>43511.483493664542</v>
      </c>
      <c r="Y412" s="263">
        <f>VLOOKUP($B412,update_Allocation!$D$8:$Q$235,update_Allocation!O$239,0)</f>
        <v>285444.8183567524</v>
      </c>
      <c r="Z412" s="262">
        <f t="shared" si="641"/>
        <v>164525.27766227198</v>
      </c>
      <c r="AA412" s="262" t="str">
        <f t="shared" si="642"/>
        <v/>
      </c>
      <c r="AB412" s="262">
        <f t="shared" si="643"/>
        <v>49651.264368623153</v>
      </c>
      <c r="AC412" s="263">
        <f t="shared" si="644"/>
        <v>38517.186280783011</v>
      </c>
      <c r="AD412" s="262">
        <f t="shared" si="645"/>
        <v>164525.27766227198</v>
      </c>
      <c r="AE412" s="262" t="str">
        <f t="shared" si="646"/>
        <v/>
      </c>
      <c r="AF412" s="262">
        <f t="shared" si="647"/>
        <v>49651.264368623153</v>
      </c>
      <c r="AG412" s="263">
        <f t="shared" si="648"/>
        <v>38517.186280783011</v>
      </c>
      <c r="AH412" s="262">
        <f t="shared" si="652"/>
        <v>164525.27766227198</v>
      </c>
      <c r="AI412" s="262" t="str">
        <f t="shared" si="653"/>
        <v/>
      </c>
      <c r="AJ412" s="262">
        <f t="shared" si="654"/>
        <v>49651.264368623153</v>
      </c>
      <c r="AK412" s="262">
        <f t="shared" si="655"/>
        <v>38517.186280783011</v>
      </c>
      <c r="AL412" s="263">
        <f t="shared" si="656"/>
        <v>252693.72831167813</v>
      </c>
      <c r="AM412" s="346"/>
      <c r="AN412" s="261">
        <f>IFERROR(VLOOKUP($A412,'HH &amp; SI'!$B$4:$Z$494,'HH &amp; SI'!V$503,0),0)</f>
        <v>162281.0460875791</v>
      </c>
      <c r="AO412" s="262">
        <f>IFERROR(VLOOKUP($A412,'HH &amp; SI'!$B$4:$Z$494,'HH &amp; SI'!W$503,0),0)</f>
        <v>0</v>
      </c>
      <c r="AP412" s="262">
        <f>IFERROR(VLOOKUP($A412,'HH &amp; SI'!$B$4:$Z$494,'HH &amp; SI'!X$503,0),0)</f>
        <v>49199.705504793725</v>
      </c>
      <c r="AQ412" s="262">
        <f>IFERROR(VLOOKUP($A412,'HH &amp; SI'!$B$4:$Z$494,'HH &amp; SI'!Y$503,0),0)</f>
        <v>38092.796222445788</v>
      </c>
      <c r="AR412" s="263">
        <f t="shared" si="651"/>
        <v>249573.54781481862</v>
      </c>
      <c r="AS412" s="346"/>
      <c r="AT412" s="323">
        <f>IFERROR(VLOOKUP(A412,'Afton FY16 Final'!$A$5:$BV$572,'Afton FY16 Final'!$BV$587,0),0)</f>
        <v>250111.59197270224</v>
      </c>
      <c r="AU412" s="346"/>
      <c r="AV412" s="444">
        <v>0</v>
      </c>
      <c r="AW412" s="262">
        <f>IFERROR(VLOOKUP($A412,'HH &amp; SI'!$B$4:$EY$503,'HH &amp; SI'!EX$503,0),0)</f>
        <v>0</v>
      </c>
      <c r="AX412" s="262">
        <f>IFERROR(VLOOKUP($A412,'HH &amp; SI'!$B$4:$EY$503,'HH &amp; SI'!EY$503,0),0)</f>
        <v>249573.54781481862</v>
      </c>
      <c r="AY412" s="262">
        <f>AX412/$AX$582*'update_State Admin 1004(b)'!$B$30*0.01</f>
        <v>2388.5981383652475</v>
      </c>
      <c r="AZ412" s="263">
        <f t="shared" si="631"/>
        <v>247184.94967645337</v>
      </c>
      <c r="BA412" s="261">
        <f t="shared" si="632"/>
        <v>2471.8494967645338</v>
      </c>
      <c r="BB412" s="262">
        <f t="shared" si="633"/>
        <v>244713.10017968883</v>
      </c>
      <c r="BC412" s="341">
        <f t="shared" si="610"/>
        <v>0.97841566738097208</v>
      </c>
      <c r="BD412" s="346"/>
      <c r="BE412" s="376" t="str">
        <f>'Original Title I &amp; II'!AZ409</f>
        <v/>
      </c>
      <c r="BF412" s="243" t="str">
        <f t="shared" si="634"/>
        <v/>
      </c>
      <c r="BG412" s="263">
        <f t="shared" si="618"/>
        <v>244713.10017968883</v>
      </c>
      <c r="BI412" s="31">
        <f>IFERROR(VLOOKUP(A412,'Title II Hold Harmless'!A$1:B$439,2, FALSE),"")</f>
        <v>61818</v>
      </c>
      <c r="BJ412" s="31">
        <f t="shared" si="635"/>
        <v>69838.83850257592</v>
      </c>
      <c r="BK412" s="31">
        <f t="shared" si="636"/>
        <v>69906.400026405419</v>
      </c>
      <c r="BL412" s="31" t="str">
        <f t="shared" si="637"/>
        <v/>
      </c>
      <c r="BM412" s="31">
        <f t="shared" si="638"/>
        <v>69906.400026405419</v>
      </c>
      <c r="BN412" s="200"/>
      <c r="BP412" s="295" t="s">
        <v>1447</v>
      </c>
      <c r="BQ412" s="296" t="str">
        <f t="shared" si="597"/>
        <v>Y</v>
      </c>
      <c r="BR412" s="297" t="s">
        <v>1448</v>
      </c>
      <c r="BT412" s="295" t="str">
        <f t="shared" si="598"/>
        <v>Y</v>
      </c>
      <c r="BU412" s="296" t="str">
        <f t="shared" si="639"/>
        <v>N</v>
      </c>
      <c r="BV412" s="296" t="str">
        <f t="shared" si="640"/>
        <v>Y</v>
      </c>
      <c r="BW412" s="297" t="str">
        <f t="shared" si="599"/>
        <v>Y</v>
      </c>
      <c r="BY412" s="352">
        <f t="shared" si="600"/>
        <v>0.85</v>
      </c>
      <c r="BZ412" s="353">
        <f t="shared" si="601"/>
        <v>0</v>
      </c>
      <c r="CA412" s="353">
        <f t="shared" si="602"/>
        <v>0</v>
      </c>
      <c r="CB412" s="354">
        <f t="shared" si="603"/>
        <v>0.85</v>
      </c>
      <c r="CD412" s="311">
        <f t="shared" si="604"/>
        <v>404</v>
      </c>
    </row>
    <row r="413" spans="1:82" outlineLevel="1" x14ac:dyDescent="0.3">
      <c r="A413" s="1">
        <v>100208000</v>
      </c>
      <c r="B413" s="47">
        <f>VLOOKUP(C413,'NCES ID'!$A$2:$B$3136,2,FALSE)</f>
        <v>403010</v>
      </c>
      <c r="C413" s="47">
        <f>VLOOKUP(A413,'State ID'!$A$2:$B$713,2,FALSE)</f>
        <v>4405</v>
      </c>
      <c r="D413" s="147" t="s">
        <v>167</v>
      </c>
      <c r="E413" s="47" t="s">
        <v>9</v>
      </c>
      <c r="F413" s="382">
        <f>IFERROR(VLOOKUP($B413,'update_Formula counts'!$D$7:$R$234,'update_Formula counts'!F$5,0),0)</f>
        <v>1726</v>
      </c>
      <c r="G413" s="382">
        <f>IFERROR(VLOOKUP($B413,'update_Formula counts'!$D$7:$R$234,'update_Formula counts'!G$5,0),0)</f>
        <v>0</v>
      </c>
      <c r="H413" s="382">
        <f>IFERROR(VLOOKUP($B413,'update_Formula counts'!$D$7:$R$234,'update_Formula counts'!H$5,0),0)</f>
        <v>0</v>
      </c>
      <c r="I413" s="382">
        <f>IFERROR(VLOOKUP($B413,'update_Formula counts'!$D$7:$R$234,'update_Formula counts'!I$5,0),0)</f>
        <v>84</v>
      </c>
      <c r="J413" s="382">
        <f>IFERROR(VLOOKUP($B413,'update_Formula counts'!$D$7:$R$234,'update_Formula counts'!J$5,0),0)</f>
        <v>0</v>
      </c>
      <c r="K413" s="382">
        <f t="shared" si="619"/>
        <v>1726</v>
      </c>
      <c r="L413" s="444">
        <f>IFERROR(VLOOKUP($B413,'update_Formula counts'!$D$7:$R$234,'update_Formula counts'!L$5,0),0)</f>
        <v>5168</v>
      </c>
      <c r="M413" s="445">
        <f>IFERROR(VLOOKUP($B413,'update_Formula counts'!$D$7:$R$234,'update_Formula counts'!K$5,0),0)</f>
        <v>1810</v>
      </c>
      <c r="N413" s="446">
        <f>IFERROR(VLOOKUP($B413,'update_Formula counts'!$D$7:$R$234,'update_Formula counts'!M$5,0),0)</f>
        <v>0.35023219814241485</v>
      </c>
      <c r="O413" s="137">
        <f>VLOOKUP($C413,'Final SEA Counts'!$A$2:$F$709,5,FALSE)</f>
        <v>5191</v>
      </c>
      <c r="P413" s="208">
        <f>VLOOKUP($C413,'Final SEA Counts'!$A$2:$F$709,6,FALSE)</f>
        <v>3879</v>
      </c>
      <c r="Q413" s="748">
        <f t="shared" si="620"/>
        <v>-210.13688150119472</v>
      </c>
      <c r="R413" s="444">
        <f t="shared" si="621"/>
        <v>4794.0790205473522</v>
      </c>
      <c r="S413" s="445">
        <f t="shared" si="622"/>
        <v>1599.8631184988053</v>
      </c>
      <c r="T413" s="229">
        <f t="shared" si="623"/>
        <v>0.33371646809362454</v>
      </c>
      <c r="U413" s="261">
        <f>VLOOKUP($B413,update_Allocation!$D$8:$Q$235,update_Allocation!K$239,0)</f>
        <v>855930.9791252967</v>
      </c>
      <c r="V413" s="262">
        <f>VLOOKUP($B413,update_Allocation!$D$8:$Q$235,update_Allocation!L$239,0)</f>
        <v>203890.5877851095</v>
      </c>
      <c r="W413" s="262">
        <f>VLOOKUP($B413,update_Allocation!$D$8:$Q$235,update_Allocation!M$239,0)</f>
        <v>464204.23554666486</v>
      </c>
      <c r="X413" s="262">
        <f>VLOOKUP($B413,update_Allocation!$D$8:$Q$235,update_Allocation!N$239,0)</f>
        <v>408591.91748580086</v>
      </c>
      <c r="Y413" s="263">
        <f>VLOOKUP($B413,update_Allocation!$D$8:$Q$235,update_Allocation!O$239,0)</f>
        <v>1932617.7199428717</v>
      </c>
      <c r="Z413" s="262">
        <f t="shared" si="641"/>
        <v>757737.28388985316</v>
      </c>
      <c r="AA413" s="262">
        <f t="shared" si="642"/>
        <v>180505.38637625493</v>
      </c>
      <c r="AB413" s="262">
        <f t="shared" si="643"/>
        <v>410934.83620450931</v>
      </c>
      <c r="AC413" s="263">
        <f t="shared" si="644"/>
        <v>361693.27577430004</v>
      </c>
      <c r="AD413" s="262">
        <f t="shared" si="645"/>
        <v>757737.28388985316</v>
      </c>
      <c r="AE413" s="262">
        <f t="shared" si="646"/>
        <v>180505.38637625493</v>
      </c>
      <c r="AF413" s="262">
        <f t="shared" si="647"/>
        <v>410934.83620450931</v>
      </c>
      <c r="AG413" s="263">
        <f t="shared" si="648"/>
        <v>361693.27577430004</v>
      </c>
      <c r="AH413" s="262">
        <f t="shared" si="652"/>
        <v>757737.28388985316</v>
      </c>
      <c r="AI413" s="262">
        <f t="shared" si="653"/>
        <v>183312.11966912023</v>
      </c>
      <c r="AJ413" s="262">
        <f t="shared" si="654"/>
        <v>410934.83620450931</v>
      </c>
      <c r="AK413" s="262">
        <f t="shared" si="655"/>
        <v>361693.27577430004</v>
      </c>
      <c r="AL413" s="263">
        <f t="shared" si="656"/>
        <v>1713677.5155377828</v>
      </c>
      <c r="AM413" s="346"/>
      <c r="AN413" s="261">
        <f>IFERROR(VLOOKUP($A413,'HH &amp; SI'!$B$4:$Z$494,'HH &amp; SI'!V$503,0),0)</f>
        <v>747401.25551785796</v>
      </c>
      <c r="AO413" s="262">
        <f>IFERROR(VLOOKUP($A413,'HH &amp; SI'!$B$4:$Z$494,'HH &amp; SI'!W$503,0),0)</f>
        <v>177274.48865379134</v>
      </c>
      <c r="AP413" s="262">
        <f>IFERROR(VLOOKUP($A413,'HH &amp; SI'!$B$4:$Z$494,'HH &amp; SI'!X$503,0),0)</f>
        <v>407197.54431266966</v>
      </c>
      <c r="AQ413" s="262">
        <f>IFERROR(VLOOKUP($A413,'HH &amp; SI'!$B$4:$Z$494,'HH &amp; SI'!Y$503,0),0)</f>
        <v>357708.06695642183</v>
      </c>
      <c r="AR413" s="263">
        <f t="shared" si="651"/>
        <v>1689581.3554407409</v>
      </c>
      <c r="AS413" s="346"/>
      <c r="AT413" s="323">
        <f>IFERROR(VLOOKUP(A413,'Afton FY16 Final'!$A$5:$BV$572,'Afton FY16 Final'!$BV$587,0),0)</f>
        <v>1569047.8341566867</v>
      </c>
      <c r="AU413" s="346"/>
      <c r="AV413" s="444">
        <v>0</v>
      </c>
      <c r="AW413" s="262">
        <f>IFERROR(VLOOKUP($A413,'HH &amp; SI'!$B$4:$EY$503,'HH &amp; SI'!EX$503,0),0)</f>
        <v>94638.691047530388</v>
      </c>
      <c r="AX413" s="262">
        <f>IFERROR(VLOOKUP($A413,'HH &amp; SI'!$B$4:$EY$503,'HH &amp; SI'!EY$503,0),0)</f>
        <v>1594942.6643932106</v>
      </c>
      <c r="AY413" s="262">
        <f>AX413/$AX$582*'update_State Admin 1004(b)'!$B$30*0.01</f>
        <v>15264.74705482681</v>
      </c>
      <c r="AZ413" s="263">
        <f t="shared" si="631"/>
        <v>1579677.9173383838</v>
      </c>
      <c r="BA413" s="261">
        <f t="shared" si="632"/>
        <v>15796.779173383838</v>
      </c>
      <c r="BB413" s="262">
        <f t="shared" si="633"/>
        <v>1563881.1381649999</v>
      </c>
      <c r="BC413" s="341">
        <f t="shared" si="610"/>
        <v>0.99670711377995447</v>
      </c>
      <c r="BD413" s="346"/>
      <c r="BE413" s="376" t="str">
        <f>'Original Title I &amp; II'!AZ410</f>
        <v/>
      </c>
      <c r="BF413" s="243" t="str">
        <f t="shared" si="634"/>
        <v/>
      </c>
      <c r="BG413" s="263">
        <f t="shared" si="618"/>
        <v>1563881.1381649999</v>
      </c>
      <c r="BI413" s="31">
        <f>IFERROR(VLOOKUP(A413,'Title II Hold Harmless'!A$1:B$439,2, FALSE),"")</f>
        <v>186583</v>
      </c>
      <c r="BJ413" s="31">
        <f t="shared" si="635"/>
        <v>211384.9093145337</v>
      </c>
      <c r="BK413" s="31">
        <f t="shared" si="636"/>
        <v>211589.40135498083</v>
      </c>
      <c r="BL413" s="31" t="str">
        <f t="shared" si="637"/>
        <v/>
      </c>
      <c r="BM413" s="31">
        <f t="shared" si="638"/>
        <v>211589.40135498083</v>
      </c>
      <c r="BN413" s="200"/>
      <c r="BP413" s="295" t="s">
        <v>1447</v>
      </c>
      <c r="BQ413" s="296" t="str">
        <f t="shared" si="597"/>
        <v>Y</v>
      </c>
      <c r="BR413" s="297" t="s">
        <v>1448</v>
      </c>
      <c r="BT413" s="295" t="str">
        <f t="shared" si="598"/>
        <v>Y</v>
      </c>
      <c r="BU413" s="296" t="str">
        <f t="shared" si="639"/>
        <v>Y</v>
      </c>
      <c r="BV413" s="296" t="str">
        <f t="shared" si="640"/>
        <v>Y</v>
      </c>
      <c r="BW413" s="297" t="str">
        <f t="shared" si="599"/>
        <v>Y</v>
      </c>
      <c r="BY413" s="352">
        <f t="shared" si="600"/>
        <v>0</v>
      </c>
      <c r="BZ413" s="353">
        <f t="shared" si="601"/>
        <v>0</v>
      </c>
      <c r="CA413" s="353">
        <f t="shared" si="602"/>
        <v>0.95</v>
      </c>
      <c r="CB413" s="354">
        <f t="shared" si="603"/>
        <v>0.95</v>
      </c>
      <c r="CD413" s="311">
        <f t="shared" si="604"/>
        <v>405</v>
      </c>
    </row>
    <row r="414" spans="1:82" outlineLevel="1" x14ac:dyDescent="0.3">
      <c r="A414" s="1">
        <v>100230000</v>
      </c>
      <c r="B414" s="47">
        <f>VLOOKUP(C414,'NCES ID'!$A$2:$B$3136,2,FALSE)</f>
        <v>407300</v>
      </c>
      <c r="C414" s="47">
        <f>VLOOKUP(A414,'State ID'!$A$2:$B$713,2,FALSE)</f>
        <v>4411</v>
      </c>
      <c r="D414" s="147" t="s">
        <v>367</v>
      </c>
      <c r="E414" s="47" t="s">
        <v>9</v>
      </c>
      <c r="F414" s="382">
        <f>IFERROR(VLOOKUP($B414,'update_Formula counts'!$D$7:$R$234,'update_Formula counts'!F$5,0),0)</f>
        <v>730</v>
      </c>
      <c r="G414" s="382">
        <f>IFERROR(VLOOKUP($B414,'update_Formula counts'!$D$7:$R$234,'update_Formula counts'!G$5,0),0)</f>
        <v>0</v>
      </c>
      <c r="H414" s="382">
        <f>IFERROR(VLOOKUP($B414,'update_Formula counts'!$D$7:$R$234,'update_Formula counts'!H$5,0),0)</f>
        <v>0</v>
      </c>
      <c r="I414" s="382">
        <f>IFERROR(VLOOKUP($B414,'update_Formula counts'!$D$7:$R$234,'update_Formula counts'!I$5,0),0)</f>
        <v>35</v>
      </c>
      <c r="J414" s="382">
        <f>IFERROR(VLOOKUP($B414,'update_Formula counts'!$D$7:$R$234,'update_Formula counts'!J$5,0),0)</f>
        <v>0</v>
      </c>
      <c r="K414" s="382">
        <f t="shared" si="619"/>
        <v>730</v>
      </c>
      <c r="L414" s="444">
        <f>IFERROR(VLOOKUP($B414,'update_Formula counts'!$D$7:$R$234,'update_Formula counts'!L$5,0),0)</f>
        <v>5796</v>
      </c>
      <c r="M414" s="445">
        <f>IFERROR(VLOOKUP($B414,'update_Formula counts'!$D$7:$R$234,'update_Formula counts'!K$5,0),0)</f>
        <v>765</v>
      </c>
      <c r="N414" s="446">
        <f>IFERROR(VLOOKUP($B414,'update_Formula counts'!$D$7:$R$234,'update_Formula counts'!M$5,0),0)</f>
        <v>0.13198757763975155</v>
      </c>
      <c r="O414" s="137">
        <f>VLOOKUP($C414,'Final SEA Counts'!$A$2:$F$709,5,FALSE)</f>
        <v>5620</v>
      </c>
      <c r="P414" s="208">
        <f>VLOOKUP($C414,'Final SEA Counts'!$A$2:$F$709,6,FALSE)</f>
        <v>1964</v>
      </c>
      <c r="Q414" s="748">
        <f t="shared" si="620"/>
        <v>-88.876172864779633</v>
      </c>
      <c r="R414" s="444">
        <f t="shared" si="621"/>
        <v>5376.6412544683544</v>
      </c>
      <c r="S414" s="445">
        <f t="shared" si="622"/>
        <v>676.12382713522038</v>
      </c>
      <c r="T414" s="229">
        <f t="shared" si="623"/>
        <v>0.12575208111073349</v>
      </c>
      <c r="U414" s="261">
        <f>VLOOKUP($B414,update_Allocation!$D$8:$Q$235,update_Allocation!K$239,0)</f>
        <v>361760.88344245974</v>
      </c>
      <c r="V414" s="262">
        <f>VLOOKUP($B414,update_Allocation!$D$8:$Q$235,update_Allocation!L$239,0)</f>
        <v>0</v>
      </c>
      <c r="W414" s="262">
        <f>VLOOKUP($B414,update_Allocation!$D$8:$Q$235,update_Allocation!M$239,0)</f>
        <v>114458.55786677053</v>
      </c>
      <c r="X414" s="262">
        <f>VLOOKUP($B414,update_Allocation!$D$8:$Q$235,update_Allocation!N$239,0)</f>
        <v>88794.426875111851</v>
      </c>
      <c r="Y414" s="263">
        <f>VLOOKUP($B414,update_Allocation!$D$8:$Q$235,update_Allocation!O$239,0)</f>
        <v>565013.86818434217</v>
      </c>
      <c r="Z414" s="262">
        <f t="shared" si="641"/>
        <v>320259.12827388832</v>
      </c>
      <c r="AA414" s="262" t="str">
        <f t="shared" si="642"/>
        <v/>
      </c>
      <c r="AB414" s="262">
        <f t="shared" si="643"/>
        <v>101323.95425861518</v>
      </c>
      <c r="AC414" s="263">
        <f t="shared" si="644"/>
        <v>78602.50228292105</v>
      </c>
      <c r="AD414" s="262">
        <f t="shared" si="645"/>
        <v>320259.12827388832</v>
      </c>
      <c r="AE414" s="262" t="str">
        <f t="shared" si="646"/>
        <v/>
      </c>
      <c r="AF414" s="262">
        <f t="shared" si="647"/>
        <v>101323.95425861518</v>
      </c>
      <c r="AG414" s="263">
        <f t="shared" si="648"/>
        <v>78602.50228292105</v>
      </c>
      <c r="AH414" s="262">
        <f t="shared" si="652"/>
        <v>320259.12827388832</v>
      </c>
      <c r="AI414" s="262" t="str">
        <f t="shared" si="653"/>
        <v/>
      </c>
      <c r="AJ414" s="262">
        <f t="shared" si="654"/>
        <v>101323.95425861518</v>
      </c>
      <c r="AK414" s="262">
        <f t="shared" si="655"/>
        <v>78602.50228292105</v>
      </c>
      <c r="AL414" s="263">
        <f t="shared" si="656"/>
        <v>500185.58481542458</v>
      </c>
      <c r="AM414" s="346"/>
      <c r="AN414" s="261">
        <f>IFERROR(VLOOKUP($A414,'HH &amp; SI'!$B$4:$Z$494,'HH &amp; SI'!V$503,0),0)</f>
        <v>315890.58589566936</v>
      </c>
      <c r="AO414" s="262">
        <f>IFERROR(VLOOKUP($A414,'HH &amp; SI'!$B$4:$Z$494,'HH &amp; SI'!W$503,0),0)</f>
        <v>0</v>
      </c>
      <c r="AP414" s="262">
        <f>IFERROR(VLOOKUP($A414,'HH &amp; SI'!$B$4:$Z$494,'HH &amp; SI'!X$503,0),0)</f>
        <v>100402.45245507521</v>
      </c>
      <c r="AQ414" s="262">
        <f>IFERROR(VLOOKUP($A414,'HH &amp; SI'!$B$4:$Z$494,'HH &amp; SI'!Y$503,0),0)</f>
        <v>77736.444199494974</v>
      </c>
      <c r="AR414" s="263">
        <f t="shared" si="651"/>
        <v>494029.48255023954</v>
      </c>
      <c r="AS414" s="346"/>
      <c r="AT414" s="323">
        <f>IFERROR(VLOOKUP(A414,'Afton FY16 Final'!$A$5:$BV$572,'Afton FY16 Final'!$BV$587,0),0)</f>
        <v>428397.45616456732</v>
      </c>
      <c r="AU414" s="346"/>
      <c r="AV414" s="444">
        <v>0</v>
      </c>
      <c r="AW414" s="262">
        <f>IFERROR(VLOOKUP($A414,'HH &amp; SI'!$B$4:$EY$503,'HH &amp; SI'!EX$503,0),0)</f>
        <v>27672.123284792819</v>
      </c>
      <c r="AX414" s="262">
        <f>IFERROR(VLOOKUP($A414,'HH &amp; SI'!$B$4:$EY$503,'HH &amp; SI'!EY$503,0),0)</f>
        <v>466357.35926544672</v>
      </c>
      <c r="AY414" s="262">
        <f>AX414/$AX$582*'update_State Admin 1004(b)'!$B$30*0.01</f>
        <v>4463.3749446111688</v>
      </c>
      <c r="AZ414" s="263">
        <f t="shared" si="631"/>
        <v>461893.98432083556</v>
      </c>
      <c r="BA414" s="261">
        <f t="shared" si="632"/>
        <v>4618.9398432083553</v>
      </c>
      <c r="BB414" s="262">
        <f t="shared" si="633"/>
        <v>457275.04447762721</v>
      </c>
      <c r="BC414" s="341">
        <f t="shared" si="610"/>
        <v>1.0674084028686825</v>
      </c>
      <c r="BD414" s="346"/>
      <c r="BE414" s="376" t="str">
        <f>'Original Title I &amp; II'!AZ411</f>
        <v/>
      </c>
      <c r="BF414" s="243" t="str">
        <f t="shared" si="634"/>
        <v/>
      </c>
      <c r="BG414" s="263">
        <f t="shared" si="618"/>
        <v>457275.04447762721</v>
      </c>
      <c r="BI414" s="31">
        <f>IFERROR(VLOOKUP(A414,'Title II Hold Harmless'!A$1:B$439,2, FALSE),"")</f>
        <v>82763</v>
      </c>
      <c r="BJ414" s="31">
        <f t="shared" si="635"/>
        <v>95941.183511115625</v>
      </c>
      <c r="BK414" s="31">
        <f t="shared" si="636"/>
        <v>96033.996231014695</v>
      </c>
      <c r="BL414" s="31" t="str">
        <f t="shared" si="637"/>
        <v/>
      </c>
      <c r="BM414" s="31">
        <f t="shared" si="638"/>
        <v>96033.996231014695</v>
      </c>
      <c r="BN414" s="200"/>
      <c r="BP414" s="295" t="s">
        <v>1447</v>
      </c>
      <c r="BQ414" s="296" t="str">
        <f t="shared" si="597"/>
        <v>Y</v>
      </c>
      <c r="BR414" s="297" t="s">
        <v>1448</v>
      </c>
      <c r="BT414" s="295" t="str">
        <f t="shared" si="598"/>
        <v>Y</v>
      </c>
      <c r="BU414" s="296" t="str">
        <f t="shared" si="639"/>
        <v>N</v>
      </c>
      <c r="BV414" s="296" t="str">
        <f t="shared" si="640"/>
        <v>Y</v>
      </c>
      <c r="BW414" s="297" t="str">
        <f t="shared" si="599"/>
        <v>Y</v>
      </c>
      <c r="BY414" s="352">
        <f t="shared" si="600"/>
        <v>0.85</v>
      </c>
      <c r="BZ414" s="353">
        <f t="shared" si="601"/>
        <v>0</v>
      </c>
      <c r="CA414" s="353">
        <f t="shared" si="602"/>
        <v>0</v>
      </c>
      <c r="CB414" s="354">
        <f t="shared" si="603"/>
        <v>0.85</v>
      </c>
      <c r="CD414" s="311">
        <f t="shared" si="604"/>
        <v>406</v>
      </c>
    </row>
    <row r="415" spans="1:82" outlineLevel="1" x14ac:dyDescent="0.3">
      <c r="A415" s="1">
        <v>100220000</v>
      </c>
      <c r="B415" s="47">
        <f>VLOOKUP(C415,'NCES ID'!$A$2:$B$3136,2,FALSE)</f>
        <v>408850</v>
      </c>
      <c r="C415" s="47">
        <f>VLOOKUP(A415,'State ID'!$A$2:$B$713,2,FALSE)</f>
        <v>4413</v>
      </c>
      <c r="D415" s="147" t="s">
        <v>427</v>
      </c>
      <c r="E415" s="47" t="s">
        <v>9</v>
      </c>
      <c r="F415" s="382">
        <f>IFERROR(VLOOKUP($B415,'update_Formula counts'!$D$7:$R$234,'update_Formula counts'!F$5,0),0)</f>
        <v>816</v>
      </c>
      <c r="G415" s="382">
        <f>IFERROR(VLOOKUP($B415,'update_Formula counts'!$D$7:$R$234,'update_Formula counts'!G$5,0),0)</f>
        <v>0</v>
      </c>
      <c r="H415" s="382">
        <f>IFERROR(VLOOKUP($B415,'update_Formula counts'!$D$7:$R$234,'update_Formula counts'!H$5,0),0)</f>
        <v>0</v>
      </c>
      <c r="I415" s="382">
        <f>IFERROR(VLOOKUP($B415,'update_Formula counts'!$D$7:$R$234,'update_Formula counts'!I$5,0),0)</f>
        <v>40</v>
      </c>
      <c r="J415" s="382">
        <f>IFERROR(VLOOKUP($B415,'update_Formula counts'!$D$7:$R$234,'update_Formula counts'!J$5,0),0)</f>
        <v>0</v>
      </c>
      <c r="K415" s="382">
        <f t="shared" si="619"/>
        <v>816</v>
      </c>
      <c r="L415" s="444">
        <f>IFERROR(VLOOKUP($B415,'update_Formula counts'!$D$7:$R$234,'update_Formula counts'!L$5,0),0)</f>
        <v>11003</v>
      </c>
      <c r="M415" s="445">
        <f>IFERROR(VLOOKUP($B415,'update_Formula counts'!$D$7:$R$234,'update_Formula counts'!K$5,0),0)</f>
        <v>856</v>
      </c>
      <c r="N415" s="446">
        <f>IFERROR(VLOOKUP($B415,'update_Formula counts'!$D$7:$R$234,'update_Formula counts'!M$5,0),0)</f>
        <v>7.779696446423702E-2</v>
      </c>
      <c r="O415" s="137">
        <f>VLOOKUP($C415,'Final SEA Counts'!$A$2:$F$709,5,FALSE)</f>
        <v>11569</v>
      </c>
      <c r="P415" s="208">
        <f>VLOOKUP($C415,'Final SEA Counts'!$A$2:$F$709,6,FALSE)</f>
        <v>3165</v>
      </c>
      <c r="Q415" s="748">
        <f t="shared" si="620"/>
        <v>-99.346178483334</v>
      </c>
      <c r="R415" s="444">
        <f t="shared" si="621"/>
        <v>10206.898502918444</v>
      </c>
      <c r="S415" s="445">
        <f t="shared" si="622"/>
        <v>756.65382151666597</v>
      </c>
      <c r="T415" s="229">
        <f t="shared" si="623"/>
        <v>7.4131610234031128E-2</v>
      </c>
      <c r="U415" s="261">
        <f>VLOOKUP($B415,update_Allocation!$D$8:$Q$235,update_Allocation!K$239,0)</f>
        <v>404793.8774205824</v>
      </c>
      <c r="V415" s="262">
        <f>VLOOKUP($B415,update_Allocation!$D$8:$Q$235,update_Allocation!L$239,0)</f>
        <v>0</v>
      </c>
      <c r="W415" s="262">
        <f>VLOOKUP($B415,update_Allocation!$D$8:$Q$235,update_Allocation!M$239,0)</f>
        <v>133939.34732913229</v>
      </c>
      <c r="X415" s="262">
        <f>VLOOKUP($B415,update_Allocation!$D$8:$Q$235,update_Allocation!N$239,0)</f>
        <v>103907.1940427587</v>
      </c>
      <c r="Y415" s="263">
        <f>VLOOKUP($B415,update_Allocation!$D$8:$Q$235,update_Allocation!O$239,0)</f>
        <v>642640.41879247339</v>
      </c>
      <c r="Z415" s="262">
        <f t="shared" si="641"/>
        <v>358355.31216006324</v>
      </c>
      <c r="AA415" s="262" t="str">
        <f t="shared" si="642"/>
        <v/>
      </c>
      <c r="AB415" s="262">
        <f t="shared" si="643"/>
        <v>118569.2407377934</v>
      </c>
      <c r="AC415" s="263">
        <f t="shared" si="644"/>
        <v>91980.608968231187</v>
      </c>
      <c r="AD415" s="262">
        <f t="shared" si="645"/>
        <v>358355.31216006324</v>
      </c>
      <c r="AE415" s="262" t="str">
        <f t="shared" si="646"/>
        <v/>
      </c>
      <c r="AF415" s="262">
        <f t="shared" si="647"/>
        <v>118569.2407377934</v>
      </c>
      <c r="AG415" s="263">
        <f t="shared" si="648"/>
        <v>91980.608968231187</v>
      </c>
      <c r="AH415" s="262">
        <f t="shared" si="652"/>
        <v>358355.31216006324</v>
      </c>
      <c r="AI415" s="262" t="str">
        <f t="shared" si="653"/>
        <v/>
      </c>
      <c r="AJ415" s="262">
        <f t="shared" si="654"/>
        <v>118569.2407377934</v>
      </c>
      <c r="AK415" s="262">
        <f t="shared" si="655"/>
        <v>91980.608968231187</v>
      </c>
      <c r="AL415" s="263">
        <f t="shared" si="656"/>
        <v>568905.16186608782</v>
      </c>
      <c r="AM415" s="346"/>
      <c r="AN415" s="261">
        <f>IFERROR(VLOOKUP($A415,'HH &amp; SI'!$B$4:$Z$494,'HH &amp; SI'!V$503,0),0)</f>
        <v>353467.11310678819</v>
      </c>
      <c r="AO415" s="262">
        <f>IFERROR(VLOOKUP($A415,'HH &amp; SI'!$B$4:$Z$494,'HH &amp; SI'!W$503,0),0)</f>
        <v>0</v>
      </c>
      <c r="AP415" s="262">
        <f>IFERROR(VLOOKUP($A415,'HH &amp; SI'!$B$4:$Z$494,'HH &amp; SI'!X$503,0),0)</f>
        <v>117490.89978689283</v>
      </c>
      <c r="AQ415" s="262">
        <f>IFERROR(VLOOKUP($A415,'HH &amp; SI'!$B$4:$Z$494,'HH &amp; SI'!Y$503,0),0)</f>
        <v>90967.14823095515</v>
      </c>
      <c r="AR415" s="263">
        <f t="shared" si="651"/>
        <v>561925.16112463619</v>
      </c>
      <c r="AS415" s="346"/>
      <c r="AT415" s="323">
        <f>IFERROR(VLOOKUP(A415,'Afton FY16 Final'!$A$5:$BV$572,'Afton FY16 Final'!$BV$587,0),0)</f>
        <v>499580.71227264468</v>
      </c>
      <c r="AU415" s="346"/>
      <c r="AV415" s="444">
        <v>0</v>
      </c>
      <c r="AW415" s="262">
        <f>IFERROR(VLOOKUP($A415,'HH &amp; SI'!$B$4:$EY$503,'HH &amp; SI'!EX$503,0),0)</f>
        <v>31475.170783732901</v>
      </c>
      <c r="AX415" s="262">
        <f>IFERROR(VLOOKUP($A415,'HH &amp; SI'!$B$4:$EY$503,'HH &amp; SI'!EY$503,0),0)</f>
        <v>530449.99034090328</v>
      </c>
      <c r="AY415" s="262">
        <f>AX415/$AX$582*'update_State Admin 1004(b)'!$B$30*0.01</f>
        <v>5076.7874661311134</v>
      </c>
      <c r="AZ415" s="263">
        <f t="shared" si="631"/>
        <v>525373.20287477213</v>
      </c>
      <c r="BA415" s="261">
        <f t="shared" si="632"/>
        <v>5253.7320287477214</v>
      </c>
      <c r="BB415" s="262">
        <f t="shared" si="633"/>
        <v>520119.4708460244</v>
      </c>
      <c r="BC415" s="341">
        <f t="shared" si="610"/>
        <v>1.0411119926546939</v>
      </c>
      <c r="BD415" s="346"/>
      <c r="BE415" s="376" t="str">
        <f>'Original Title I &amp; II'!AZ412</f>
        <v/>
      </c>
      <c r="BF415" s="243" t="str">
        <f t="shared" si="634"/>
        <v/>
      </c>
      <c r="BG415" s="263">
        <f t="shared" si="618"/>
        <v>520119.4708460244</v>
      </c>
      <c r="BI415" s="31">
        <f>IFERROR(VLOOKUP(A415,'Title II Hold Harmless'!A$1:B$439,2, FALSE),"")</f>
        <v>46854</v>
      </c>
      <c r="BJ415" s="31">
        <f t="shared" si="635"/>
        <v>64973.782539696695</v>
      </c>
      <c r="BK415" s="31">
        <f t="shared" si="636"/>
        <v>65036.63764799272</v>
      </c>
      <c r="BL415" s="31" t="str">
        <f t="shared" si="637"/>
        <v/>
      </c>
      <c r="BM415" s="31">
        <f t="shared" si="638"/>
        <v>65036.63764799272</v>
      </c>
      <c r="BN415" s="200"/>
      <c r="BP415" s="295" t="s">
        <v>1447</v>
      </c>
      <c r="BQ415" s="296" t="str">
        <f t="shared" si="597"/>
        <v>Y</v>
      </c>
      <c r="BR415" s="297" t="s">
        <v>1448</v>
      </c>
      <c r="BT415" s="295" t="str">
        <f t="shared" si="598"/>
        <v>Y</v>
      </c>
      <c r="BU415" s="296" t="str">
        <f t="shared" si="639"/>
        <v>N</v>
      </c>
      <c r="BV415" s="296" t="str">
        <f t="shared" si="640"/>
        <v>Y</v>
      </c>
      <c r="BW415" s="297" t="str">
        <f t="shared" si="599"/>
        <v>Y</v>
      </c>
      <c r="BY415" s="352">
        <f t="shared" si="600"/>
        <v>0.85</v>
      </c>
      <c r="BZ415" s="353">
        <f t="shared" si="601"/>
        <v>0</v>
      </c>
      <c r="CA415" s="353">
        <f t="shared" si="602"/>
        <v>0</v>
      </c>
      <c r="CB415" s="354">
        <f t="shared" si="603"/>
        <v>0.85</v>
      </c>
      <c r="CD415" s="311">
        <f t="shared" si="604"/>
        <v>407</v>
      </c>
    </row>
    <row r="416" spans="1:82" outlineLevel="1" x14ac:dyDescent="0.3">
      <c r="A416" s="1">
        <v>100206000</v>
      </c>
      <c r="B416" s="47">
        <f>VLOOKUP(C416,'NCES ID'!$A$2:$B$3136,2,FALSE)</f>
        <v>404630</v>
      </c>
      <c r="C416" s="47">
        <f>VLOOKUP(A416,'State ID'!$A$2:$B$713,2,FALSE)</f>
        <v>4404</v>
      </c>
      <c r="D416" s="147" t="s">
        <v>269</v>
      </c>
      <c r="E416" s="47" t="s">
        <v>9</v>
      </c>
      <c r="F416" s="382">
        <f>IFERROR(VLOOKUP($B416,'update_Formula counts'!$D$7:$R$234,'update_Formula counts'!F$5,0),0)</f>
        <v>2029</v>
      </c>
      <c r="G416" s="382">
        <f>IFERROR(VLOOKUP($B416,'update_Formula counts'!$D$7:$R$234,'update_Formula counts'!G$5,0),0)</f>
        <v>33</v>
      </c>
      <c r="H416" s="382">
        <f>IFERROR(VLOOKUP($B416,'update_Formula counts'!$D$7:$R$234,'update_Formula counts'!H$5,0),0)</f>
        <v>0</v>
      </c>
      <c r="I416" s="382">
        <f>IFERROR(VLOOKUP($B416,'update_Formula counts'!$D$7:$R$234,'update_Formula counts'!I$5,0),0)</f>
        <v>98</v>
      </c>
      <c r="J416" s="382">
        <f>IFERROR(VLOOKUP($B416,'update_Formula counts'!$D$7:$R$234,'update_Formula counts'!J$5,0),0)</f>
        <v>0</v>
      </c>
      <c r="K416" s="382">
        <f t="shared" si="619"/>
        <v>2062</v>
      </c>
      <c r="L416" s="444">
        <f>IFERROR(VLOOKUP($B416,'update_Formula counts'!$D$7:$R$234,'update_Formula counts'!L$5,0),0)</f>
        <v>15503</v>
      </c>
      <c r="M416" s="445">
        <f>IFERROR(VLOOKUP($B416,'update_Formula counts'!$D$7:$R$234,'update_Formula counts'!K$5,0),0)</f>
        <v>2160</v>
      </c>
      <c r="N416" s="446">
        <f>IFERROR(VLOOKUP($B416,'update_Formula counts'!$D$7:$R$234,'update_Formula counts'!M$5,0),0)</f>
        <v>0.1393278720247694</v>
      </c>
      <c r="O416" s="137">
        <f>VLOOKUP($C416,'Final SEA Counts'!$A$2:$F$709,5,FALSE)</f>
        <v>11397</v>
      </c>
      <c r="P416" s="208">
        <f>VLOOKUP($C416,'Final SEA Counts'!$A$2:$F$709,6,FALSE)</f>
        <v>4975</v>
      </c>
      <c r="Q416" s="748">
        <f t="shared" si="620"/>
        <v>-247.01406018640213</v>
      </c>
      <c r="R416" s="444">
        <f t="shared" si="621"/>
        <v>14381.309414772757</v>
      </c>
      <c r="S416" s="445">
        <f t="shared" si="622"/>
        <v>1912.985939813598</v>
      </c>
      <c r="T416" s="229">
        <f t="shared" si="623"/>
        <v>0.1330188986719486</v>
      </c>
      <c r="U416" s="261">
        <f>VLOOKUP($B416,update_Allocation!$D$8:$Q$235,update_Allocation!K$239,0)</f>
        <v>1021442.4944257684</v>
      </c>
      <c r="V416" s="262">
        <f>VLOOKUP($B416,update_Allocation!$D$8:$Q$235,update_Allocation!L$239,0)</f>
        <v>137071.72622757367</v>
      </c>
      <c r="W416" s="262">
        <f>VLOOKUP($B416,update_Allocation!$D$8:$Q$235,update_Allocation!M$239,0)</f>
        <v>413092.63808649289</v>
      </c>
      <c r="X416" s="262">
        <f>VLOOKUP($B416,update_Allocation!$D$8:$Q$235,update_Allocation!N$239,0)</f>
        <v>320468.16532420355</v>
      </c>
      <c r="Y416" s="263">
        <f>VLOOKUP($B416,update_Allocation!$D$8:$Q$235,update_Allocation!O$239,0)</f>
        <v>1892075.0240640384</v>
      </c>
      <c r="Z416" s="262">
        <f t="shared" si="641"/>
        <v>904261.06806744903</v>
      </c>
      <c r="AA416" s="262">
        <f t="shared" si="642"/>
        <v>121350.30445861213</v>
      </c>
      <c r="AB416" s="262">
        <f t="shared" si="643"/>
        <v>365688.51072513923</v>
      </c>
      <c r="AC416" s="263">
        <f t="shared" si="644"/>
        <v>283684.46740388399</v>
      </c>
      <c r="AD416" s="262">
        <f t="shared" si="645"/>
        <v>904261.06806744903</v>
      </c>
      <c r="AE416" s="262" t="str">
        <f t="shared" si="646"/>
        <v/>
      </c>
      <c r="AF416" s="262">
        <f t="shared" si="647"/>
        <v>365688.51072513923</v>
      </c>
      <c r="AG416" s="263">
        <f t="shared" si="648"/>
        <v>283684.46740388399</v>
      </c>
      <c r="AH416" s="262">
        <f t="shared" si="652"/>
        <v>904261.06806744903</v>
      </c>
      <c r="AI416" s="262" t="str">
        <f t="shared" si="653"/>
        <v/>
      </c>
      <c r="AJ416" s="262">
        <f t="shared" si="654"/>
        <v>365688.51072513923</v>
      </c>
      <c r="AK416" s="262">
        <f t="shared" si="655"/>
        <v>283684.46740388399</v>
      </c>
      <c r="AL416" s="263">
        <f t="shared" si="656"/>
        <v>1553634.0461964724</v>
      </c>
      <c r="AM416" s="346"/>
      <c r="AN416" s="261">
        <f>IFERROR(VLOOKUP($A416,'HH &amp; SI'!$B$4:$Z$494,'HH &amp; SI'!V$503,0),0)</f>
        <v>891926.36017600726</v>
      </c>
      <c r="AO416" s="262">
        <f>IFERROR(VLOOKUP($A416,'HH &amp; SI'!$B$4:$Z$494,'HH &amp; SI'!W$503,0),0)</f>
        <v>119242.19368305641</v>
      </c>
      <c r="AP416" s="262">
        <f>IFERROR(VLOOKUP($A416,'HH &amp; SI'!$B$4:$Z$494,'HH &amp; SI'!X$503,0),0)</f>
        <v>362362.71649777464</v>
      </c>
      <c r="AQ416" s="262">
        <f>IFERROR(VLOOKUP($A416,'HH &amp; SI'!$B$4:$Z$494,'HH &amp; SI'!Y$503,0),0)</f>
        <v>280558.77523121965</v>
      </c>
      <c r="AR416" s="263">
        <f t="shared" si="651"/>
        <v>1654090.045588058</v>
      </c>
      <c r="AS416" s="346"/>
      <c r="AT416" s="323">
        <f>IFERROR(VLOOKUP(A416,'Afton FY16 Final'!$A$5:$BV$572,'Afton FY16 Final'!$BV$587,0),0)</f>
        <v>1449768.5002659333</v>
      </c>
      <c r="AU416" s="346"/>
      <c r="AV416" s="444">
        <v>0</v>
      </c>
      <c r="AW416" s="262">
        <f>IFERROR(VLOOKUP($A416,'HH &amp; SI'!$B$4:$EY$503,'HH &amp; SI'!EX$503,0),0)</f>
        <v>92650.712725442834</v>
      </c>
      <c r="AX416" s="262">
        <f>IFERROR(VLOOKUP($A416,'HH &amp; SI'!$B$4:$EY$503,'HH &amp; SI'!EY$503,0),0)</f>
        <v>1561439.3328626151</v>
      </c>
      <c r="AY416" s="262">
        <f>AX416/$AX$582*'update_State Admin 1004(b)'!$B$30*0.01</f>
        <v>14944.096104340693</v>
      </c>
      <c r="AZ416" s="263">
        <f t="shared" si="631"/>
        <v>1546495.2367582745</v>
      </c>
      <c r="BA416" s="261">
        <f t="shared" si="632"/>
        <v>15464.952367582746</v>
      </c>
      <c r="BB416" s="262">
        <f t="shared" si="633"/>
        <v>1531030.2843906917</v>
      </c>
      <c r="BC416" s="341">
        <f t="shared" si="610"/>
        <v>1.0560515586521932</v>
      </c>
      <c r="BD416" s="346"/>
      <c r="BE416" s="376" t="str">
        <f>'Original Title I &amp; II'!AZ413</f>
        <v/>
      </c>
      <c r="BF416" s="243" t="str">
        <f t="shared" si="634"/>
        <v/>
      </c>
      <c r="BG416" s="263">
        <f t="shared" si="618"/>
        <v>1531030.2843906917</v>
      </c>
      <c r="BI416" s="31">
        <f>IFERROR(VLOOKUP(A416,'Title II Hold Harmless'!A$1:B$439,2, FALSE),"")</f>
        <v>241940</v>
      </c>
      <c r="BJ416" s="31">
        <f t="shared" si="635"/>
        <v>278556.7665340961</v>
      </c>
      <c r="BK416" s="31">
        <f t="shared" si="636"/>
        <v>278826.24008239066</v>
      </c>
      <c r="BL416" s="31" t="str">
        <f t="shared" si="637"/>
        <v/>
      </c>
      <c r="BM416" s="31">
        <f t="shared" si="638"/>
        <v>278826.24008239066</v>
      </c>
      <c r="BN416" s="200"/>
      <c r="BP416" s="295" t="s">
        <v>1447</v>
      </c>
      <c r="BQ416" s="296" t="str">
        <f t="shared" si="597"/>
        <v>Y</v>
      </c>
      <c r="BR416" s="297" t="s">
        <v>1448</v>
      </c>
      <c r="BT416" s="295" t="str">
        <f t="shared" si="598"/>
        <v>Y</v>
      </c>
      <c r="BU416" s="296" t="str">
        <f t="shared" si="639"/>
        <v>N</v>
      </c>
      <c r="BV416" s="296" t="str">
        <f t="shared" si="640"/>
        <v>Y</v>
      </c>
      <c r="BW416" s="297" t="str">
        <f t="shared" si="599"/>
        <v>Y</v>
      </c>
      <c r="BY416" s="352">
        <f t="shared" si="600"/>
        <v>0.85</v>
      </c>
      <c r="BZ416" s="353">
        <f t="shared" si="601"/>
        <v>0</v>
      </c>
      <c r="CA416" s="353">
        <f t="shared" si="602"/>
        <v>0</v>
      </c>
      <c r="CB416" s="354">
        <f t="shared" si="603"/>
        <v>0.85</v>
      </c>
      <c r="CD416" s="311">
        <f t="shared" si="604"/>
        <v>408</v>
      </c>
    </row>
    <row r="417" spans="1:82" outlineLevel="1" x14ac:dyDescent="0.3">
      <c r="A417" s="1">
        <v>100210000</v>
      </c>
      <c r="B417" s="47">
        <f>VLOOKUP(C417,'NCES ID'!$A$2:$B$3136,2,FALSE)</f>
        <v>400680</v>
      </c>
      <c r="C417" s="47">
        <f>VLOOKUP(A417,'State ID'!$A$2:$B$713,2,FALSE)</f>
        <v>4406</v>
      </c>
      <c r="D417" s="147" t="s">
        <v>36</v>
      </c>
      <c r="E417" s="47" t="s">
        <v>9</v>
      </c>
      <c r="F417" s="382">
        <f>IFERROR(VLOOKUP($B417,'update_Formula counts'!$D$7:$R$234,'update_Formula counts'!F$5,0),0)</f>
        <v>3986</v>
      </c>
      <c r="G417" s="382">
        <f>IFERROR(VLOOKUP($B417,'update_Formula counts'!$D$7:$R$234,'update_Formula counts'!G$5,0),0)</f>
        <v>111</v>
      </c>
      <c r="H417" s="382">
        <f>IFERROR(VLOOKUP($B417,'update_Formula counts'!$D$7:$R$234,'update_Formula counts'!H$5,0),0)</f>
        <v>0</v>
      </c>
      <c r="I417" s="382">
        <f>IFERROR(VLOOKUP($B417,'update_Formula counts'!$D$7:$R$234,'update_Formula counts'!I$5,0),0)</f>
        <v>193</v>
      </c>
      <c r="J417" s="382">
        <f>IFERROR(VLOOKUP($B417,'update_Formula counts'!$D$7:$R$234,'update_Formula counts'!J$5,0),0)</f>
        <v>0</v>
      </c>
      <c r="K417" s="382">
        <f t="shared" si="619"/>
        <v>4097</v>
      </c>
      <c r="L417" s="444">
        <f>IFERROR(VLOOKUP($B417,'update_Formula counts'!$D$7:$R$234,'update_Formula counts'!L$5,0),0)</f>
        <v>19047</v>
      </c>
      <c r="M417" s="445">
        <f>IFERROR(VLOOKUP($B417,'update_Formula counts'!$D$7:$R$234,'update_Formula counts'!K$5,0),0)</f>
        <v>4290</v>
      </c>
      <c r="N417" s="446">
        <f>IFERROR(VLOOKUP($B417,'update_Formula counts'!$D$7:$R$234,'update_Formula counts'!M$5,0),0)</f>
        <v>0.22523232005040164</v>
      </c>
      <c r="O417" s="137">
        <f>VLOOKUP($C417,'Final SEA Counts'!$A$2:$F$709,5,FALSE)</f>
        <v>12395</v>
      </c>
      <c r="P417" s="208">
        <f>VLOOKUP($C417,'Final SEA Counts'!$A$2:$F$709,6,FALSE)</f>
        <v>6084</v>
      </c>
      <c r="Q417" s="748">
        <f t="shared" si="620"/>
        <v>-485.24472631769277</v>
      </c>
      <c r="R417" s="444">
        <f t="shared" si="621"/>
        <v>17668.889919575351</v>
      </c>
      <c r="S417" s="445">
        <f t="shared" si="622"/>
        <v>3804.7552736823072</v>
      </c>
      <c r="T417" s="229">
        <f t="shared" si="623"/>
        <v>0.21533640715408053</v>
      </c>
      <c r="U417" s="261">
        <f>VLOOKUP($B417,update_Allocation!$D$8:$Q$235,update_Allocation!K$239,0)</f>
        <v>2028698.2875400677</v>
      </c>
      <c r="V417" s="262">
        <f>VLOOKUP($B417,update_Allocation!$D$8:$Q$235,update_Allocation!L$239,0)</f>
        <v>483254.48707078432</v>
      </c>
      <c r="W417" s="262">
        <f>VLOOKUP($B417,update_Allocation!$D$8:$Q$235,update_Allocation!M$239,0)</f>
        <v>1013785.9922775617</v>
      </c>
      <c r="X417" s="262">
        <f>VLOOKUP($B417,update_Allocation!$D$8:$Q$235,update_Allocation!N$239,0)</f>
        <v>842605.96724817797</v>
      </c>
      <c r="Y417" s="263">
        <f>VLOOKUP($B417,update_Allocation!$D$8:$Q$235,update_Allocation!O$239,0)</f>
        <v>4368344.7341365917</v>
      </c>
      <c r="Z417" s="262">
        <f t="shared" si="641"/>
        <v>1795962.9546339612</v>
      </c>
      <c r="AA417" s="262">
        <f t="shared" si="642"/>
        <v>427827.68373156548</v>
      </c>
      <c r="AB417" s="262">
        <f t="shared" si="643"/>
        <v>897449.76194024063</v>
      </c>
      <c r="AC417" s="263">
        <f t="shared" si="644"/>
        <v>745890.70277328009</v>
      </c>
      <c r="AD417" s="262">
        <f t="shared" si="645"/>
        <v>1795962.9546339612</v>
      </c>
      <c r="AE417" s="262">
        <f t="shared" si="646"/>
        <v>427827.68373156548</v>
      </c>
      <c r="AF417" s="262">
        <f t="shared" si="647"/>
        <v>897449.76194024063</v>
      </c>
      <c r="AG417" s="263">
        <f t="shared" si="648"/>
        <v>745890.70277328009</v>
      </c>
      <c r="AH417" s="262">
        <f t="shared" si="652"/>
        <v>1795962.9546339612</v>
      </c>
      <c r="AI417" s="262">
        <f t="shared" si="653"/>
        <v>430634.41702443082</v>
      </c>
      <c r="AJ417" s="262">
        <f t="shared" si="654"/>
        <v>897449.76194024063</v>
      </c>
      <c r="AK417" s="262">
        <f t="shared" si="655"/>
        <v>745890.70277328009</v>
      </c>
      <c r="AL417" s="263">
        <f t="shared" si="656"/>
        <v>3869937.8363719131</v>
      </c>
      <c r="AM417" s="346"/>
      <c r="AN417" s="261">
        <f>IFERROR(VLOOKUP($A417,'HH &amp; SI'!$B$4:$Z$494,'HH &amp; SI'!V$503,0),0)</f>
        <v>1771464.8542384591</v>
      </c>
      <c r="AO417" s="262">
        <f>IFERROR(VLOOKUP($A417,'HH &amp; SI'!$B$4:$Z$494,'HH &amp; SI'!W$503,0),0)</f>
        <v>416450.8937680971</v>
      </c>
      <c r="AP417" s="262">
        <f>IFERROR(VLOOKUP($A417,'HH &amp; SI'!$B$4:$Z$494,'HH &amp; SI'!X$503,0),0)</f>
        <v>889287.80675140512</v>
      </c>
      <c r="AQ417" s="262">
        <f>IFERROR(VLOOKUP($A417,'HH &amp; SI'!$B$4:$Z$494,'HH &amp; SI'!Y$503,0),0)</f>
        <v>737672.32990056917</v>
      </c>
      <c r="AR417" s="263">
        <f t="shared" si="651"/>
        <v>3814875.8846585304</v>
      </c>
      <c r="AS417" s="346"/>
      <c r="AT417" s="323">
        <f>IFERROR(VLOOKUP(A417,'Afton FY16 Final'!$A$5:$BV$572,'Afton FY16 Final'!$BV$587,0),0)</f>
        <v>3649409.8608940467</v>
      </c>
      <c r="AU417" s="346"/>
      <c r="AV417" s="444">
        <v>0</v>
      </c>
      <c r="AW417" s="262">
        <f>IFERROR(VLOOKUP($A417,'HH &amp; SI'!$B$4:$EY$503,'HH &amp; SI'!EX$503,0),0)</f>
        <v>165466.02376448363</v>
      </c>
      <c r="AX417" s="262">
        <f>IFERROR(VLOOKUP($A417,'HH &amp; SI'!$B$4:$EY$503,'HH &amp; SI'!EY$503,0),0)</f>
        <v>3649409.8608940467</v>
      </c>
      <c r="AY417" s="262">
        <f>AX417/$AX$582*'update_State Admin 1004(b)'!$B$30*0.01</f>
        <v>34927.473989876591</v>
      </c>
      <c r="AZ417" s="263">
        <f t="shared" si="631"/>
        <v>3614482.3869041703</v>
      </c>
      <c r="BA417" s="261">
        <f t="shared" si="632"/>
        <v>36144.823869041706</v>
      </c>
      <c r="BB417" s="262">
        <f t="shared" si="633"/>
        <v>3578337.5630351286</v>
      </c>
      <c r="BC417" s="341">
        <f t="shared" si="610"/>
        <v>0.98052498881517614</v>
      </c>
      <c r="BD417" s="346"/>
      <c r="BE417" s="376" t="str">
        <f>'Original Title I &amp; II'!AZ414</f>
        <v/>
      </c>
      <c r="BF417" s="243" t="str">
        <f t="shared" si="634"/>
        <v/>
      </c>
      <c r="BG417" s="263">
        <f t="shared" si="618"/>
        <v>3578337.5630351286</v>
      </c>
      <c r="BI417" s="31">
        <f>IFERROR(VLOOKUP(A417,'Title II Hold Harmless'!A$1:B$439,2, FALSE),"")</f>
        <v>439484</v>
      </c>
      <c r="BJ417" s="31">
        <f t="shared" si="635"/>
        <v>503511.55917971767</v>
      </c>
      <c r="BK417" s="31">
        <f t="shared" si="636"/>
        <v>503998.65216312534</v>
      </c>
      <c r="BL417" s="31" t="str">
        <f t="shared" si="637"/>
        <v/>
      </c>
      <c r="BM417" s="31">
        <f t="shared" si="638"/>
        <v>503998.65216312534</v>
      </c>
      <c r="BN417" s="200"/>
      <c r="BP417" s="295" t="s">
        <v>1447</v>
      </c>
      <c r="BQ417" s="296" t="str">
        <f t="shared" si="597"/>
        <v>Y</v>
      </c>
      <c r="BR417" s="297" t="s">
        <v>1448</v>
      </c>
      <c r="BT417" s="295" t="str">
        <f t="shared" si="598"/>
        <v>Y</v>
      </c>
      <c r="BU417" s="296" t="str">
        <f t="shared" si="639"/>
        <v>Y</v>
      </c>
      <c r="BV417" s="296" t="str">
        <f t="shared" si="640"/>
        <v>Y</v>
      </c>
      <c r="BW417" s="297" t="str">
        <f t="shared" si="599"/>
        <v>Y</v>
      </c>
      <c r="BY417" s="352">
        <f t="shared" si="600"/>
        <v>0</v>
      </c>
      <c r="BZ417" s="353">
        <f t="shared" si="601"/>
        <v>0.9</v>
      </c>
      <c r="CA417" s="353">
        <f t="shared" si="602"/>
        <v>0</v>
      </c>
      <c r="CB417" s="354">
        <f t="shared" si="603"/>
        <v>0.9</v>
      </c>
      <c r="CD417" s="311">
        <f t="shared" si="604"/>
        <v>409</v>
      </c>
    </row>
    <row r="418" spans="1:82" outlineLevel="1" x14ac:dyDescent="0.3">
      <c r="A418" s="1">
        <v>100212000</v>
      </c>
      <c r="B418" s="47">
        <f>VLOOKUP(C418,'NCES ID'!$A$2:$B$3136,2,FALSE)</f>
        <v>408170</v>
      </c>
      <c r="C418" s="47">
        <f>VLOOKUP(A418,'State ID'!$A$2:$B$713,2,FALSE)</f>
        <v>4407</v>
      </c>
      <c r="D418" s="147" t="s">
        <v>403</v>
      </c>
      <c r="E418" s="47" t="s">
        <v>9</v>
      </c>
      <c r="F418" s="382">
        <f>IFERROR(VLOOKUP($B418,'update_Formula counts'!$D$7:$R$234,'update_Formula counts'!F$5,0),0)</f>
        <v>7579</v>
      </c>
      <c r="G418" s="382">
        <f>IFERROR(VLOOKUP($B418,'update_Formula counts'!$D$7:$R$234,'update_Formula counts'!G$5,0),0)</f>
        <v>0</v>
      </c>
      <c r="H418" s="382">
        <f>IFERROR(VLOOKUP($B418,'update_Formula counts'!$D$7:$R$234,'update_Formula counts'!H$5,0),0)</f>
        <v>0</v>
      </c>
      <c r="I418" s="382">
        <f>IFERROR(VLOOKUP($B418,'update_Formula counts'!$D$7:$R$234,'update_Formula counts'!I$5,0),0)</f>
        <v>368</v>
      </c>
      <c r="J418" s="382">
        <f>IFERROR(VLOOKUP($B418,'update_Formula counts'!$D$7:$R$234,'update_Formula counts'!J$5,0),0)</f>
        <v>0</v>
      </c>
      <c r="K418" s="382">
        <f t="shared" si="619"/>
        <v>7579</v>
      </c>
      <c r="L418" s="444">
        <f>IFERROR(VLOOKUP($B418,'update_Formula counts'!$D$7:$R$234,'update_Formula counts'!L$5,0),0)</f>
        <v>19735</v>
      </c>
      <c r="M418" s="445">
        <f>IFERROR(VLOOKUP($B418,'update_Formula counts'!$D$7:$R$234,'update_Formula counts'!K$5,0),0)</f>
        <v>7947</v>
      </c>
      <c r="N418" s="446">
        <f>IFERROR(VLOOKUP($B418,'update_Formula counts'!$D$7:$R$234,'update_Formula counts'!M$5,0),0)</f>
        <v>0.40268558398783888</v>
      </c>
      <c r="O418" s="137">
        <f>VLOOKUP($C418,'Final SEA Counts'!$A$2:$F$709,5,FALSE)</f>
        <v>15802</v>
      </c>
      <c r="P418" s="208">
        <f>VLOOKUP($C418,'Final SEA Counts'!$A$2:$F$709,6,FALSE)</f>
        <v>13480</v>
      </c>
      <c r="Q418" s="748">
        <f t="shared" si="620"/>
        <v>-922.72768882640514</v>
      </c>
      <c r="R418" s="444">
        <f t="shared" si="621"/>
        <v>18307.11096565441</v>
      </c>
      <c r="S418" s="445">
        <f t="shared" si="622"/>
        <v>7024.272311173595</v>
      </c>
      <c r="T418" s="229">
        <f t="shared" si="623"/>
        <v>0.38369092339865563</v>
      </c>
      <c r="U418" s="261">
        <f>VLOOKUP($B418,update_Allocation!$D$8:$Q$235,update_Allocation!K$239,0)</f>
        <v>3758057.1774081388</v>
      </c>
      <c r="V418" s="262">
        <f>VLOOKUP($B418,update_Allocation!$D$8:$Q$235,update_Allocation!L$239,0)</f>
        <v>895203.59178357199</v>
      </c>
      <c r="W418" s="262">
        <f>VLOOKUP($B418,update_Allocation!$D$8:$Q$235,update_Allocation!M$239,0)</f>
        <v>2321707.8541870071</v>
      </c>
      <c r="X418" s="262">
        <f>VLOOKUP($B418,update_Allocation!$D$8:$Q$235,update_Allocation!N$239,0)</f>
        <v>2369415.3573870682</v>
      </c>
      <c r="Y418" s="263">
        <f>VLOOKUP($B418,update_Allocation!$D$8:$Q$235,update_Allocation!O$239,0)</f>
        <v>9344383.980765786</v>
      </c>
      <c r="Z418" s="262">
        <f t="shared" si="641"/>
        <v>3326927.1795981554</v>
      </c>
      <c r="AA418" s="262">
        <f t="shared" si="642"/>
        <v>792528.34559784411</v>
      </c>
      <c r="AB418" s="262">
        <f t="shared" si="643"/>
        <v>2055282.0584489284</v>
      </c>
      <c r="AC418" s="263">
        <f t="shared" si="644"/>
        <v>2097451.1868875735</v>
      </c>
      <c r="AD418" s="262">
        <f t="shared" si="645"/>
        <v>3326927.1795981554</v>
      </c>
      <c r="AE418" s="262">
        <f t="shared" si="646"/>
        <v>792528.34559784411</v>
      </c>
      <c r="AF418" s="262">
        <f t="shared" si="647"/>
        <v>2055282.0584489284</v>
      </c>
      <c r="AG418" s="263">
        <f t="shared" si="648"/>
        <v>2097451.1868875735</v>
      </c>
      <c r="AH418" s="262">
        <f t="shared" si="652"/>
        <v>3326927.1795981554</v>
      </c>
      <c r="AI418" s="262">
        <f t="shared" si="653"/>
        <v>795335.07889070944</v>
      </c>
      <c r="AJ418" s="262">
        <f t="shared" si="654"/>
        <v>2055282.0584489284</v>
      </c>
      <c r="AK418" s="262">
        <f t="shared" si="655"/>
        <v>2097451.1868875735</v>
      </c>
      <c r="AL418" s="263">
        <f t="shared" si="656"/>
        <v>8274995.5038253665</v>
      </c>
      <c r="AM418" s="346"/>
      <c r="AN418" s="261">
        <f>IFERROR(VLOOKUP($A418,'HH &amp; SI'!$B$4:$Z$494,'HH &amp; SI'!V$503,0),0)</f>
        <v>3315864.3134538424</v>
      </c>
      <c r="AO418" s="262">
        <f>IFERROR(VLOOKUP($A418,'HH &amp; SI'!$B$4:$Z$494,'HH &amp; SI'!W$503,0),0)</f>
        <v>780880.23540626955</v>
      </c>
      <c r="AP418" s="262">
        <f>IFERROR(VLOOKUP($A418,'HH &amp; SI'!$B$4:$Z$494,'HH &amp; SI'!X$503,0),0)</f>
        <v>2060566.0112479818</v>
      </c>
      <c r="AQ418" s="262">
        <f>IFERROR(VLOOKUP($A418,'HH &amp; SI'!$B$4:$Z$494,'HH &amp; SI'!Y$503,0),0)</f>
        <v>2100902.5087838611</v>
      </c>
      <c r="AR418" s="263">
        <f t="shared" si="651"/>
        <v>8258213.0688919546</v>
      </c>
      <c r="AS418" s="346"/>
      <c r="AT418" s="323">
        <f>IFERROR(VLOOKUP(A418,'Afton FY16 Final'!$A$5:$BV$572,'Afton FY16 Final'!$BV$587,0),0)</f>
        <v>8521693.5315085333</v>
      </c>
      <c r="AU418" s="346"/>
      <c r="AV418" s="444">
        <v>0</v>
      </c>
      <c r="AW418" s="262">
        <f>IFERROR(VLOOKUP($A418,'HH &amp; SI'!$B$4:$EY$503,'HH &amp; SI'!EX$503,0),0)</f>
        <v>0</v>
      </c>
      <c r="AX418" s="262">
        <f>IFERROR(VLOOKUP($A418,'HH &amp; SI'!$B$4:$EY$503,'HH &amp; SI'!EY$503,0),0)</f>
        <v>8258213.0688919546</v>
      </c>
      <c r="AY418" s="262">
        <f>AX418/$AX$582*'update_State Admin 1004(b)'!$B$30*0.01</f>
        <v>79037.031509505439</v>
      </c>
      <c r="AZ418" s="263">
        <f t="shared" si="631"/>
        <v>8179176.037382449</v>
      </c>
      <c r="BA418" s="261">
        <f t="shared" si="632"/>
        <v>81791.760373824494</v>
      </c>
      <c r="BB418" s="262">
        <f t="shared" si="633"/>
        <v>8097384.2770086247</v>
      </c>
      <c r="BC418" s="341">
        <f t="shared" si="610"/>
        <v>0.95020834146040967</v>
      </c>
      <c r="BD418" s="346"/>
      <c r="BE418" s="376" t="str">
        <f>'Original Title I &amp; II'!AZ415</f>
        <v/>
      </c>
      <c r="BF418" s="243" t="str">
        <f t="shared" si="634"/>
        <v/>
      </c>
      <c r="BG418" s="263">
        <f t="shared" si="618"/>
        <v>8097384.2770086247</v>
      </c>
      <c r="BI418" s="31">
        <f>IFERROR(VLOOKUP(A418,'Title II Hold Harmless'!A$1:B$439,2, FALSE),"")</f>
        <v>630505</v>
      </c>
      <c r="BJ418" s="31">
        <f t="shared" si="635"/>
        <v>737192.55053484451</v>
      </c>
      <c r="BK418" s="31">
        <f t="shared" si="636"/>
        <v>737905.70460695936</v>
      </c>
      <c r="BL418" s="31" t="str">
        <f t="shared" si="637"/>
        <v/>
      </c>
      <c r="BM418" s="31">
        <f t="shared" si="638"/>
        <v>737905.70460695936</v>
      </c>
      <c r="BN418" s="200"/>
      <c r="BP418" s="295" t="s">
        <v>1447</v>
      </c>
      <c r="BQ418" s="296" t="str">
        <f t="shared" si="597"/>
        <v>Y</v>
      </c>
      <c r="BR418" s="297" t="s">
        <v>1448</v>
      </c>
      <c r="BT418" s="295" t="str">
        <f t="shared" si="598"/>
        <v>Y</v>
      </c>
      <c r="BU418" s="296" t="str">
        <f t="shared" si="639"/>
        <v>Y</v>
      </c>
      <c r="BV418" s="296" t="str">
        <f t="shared" si="640"/>
        <v>Y</v>
      </c>
      <c r="BW418" s="297" t="str">
        <f t="shared" si="599"/>
        <v>Y</v>
      </c>
      <c r="BY418" s="352">
        <f t="shared" si="600"/>
        <v>0</v>
      </c>
      <c r="BZ418" s="353">
        <f t="shared" si="601"/>
        <v>0</v>
      </c>
      <c r="CA418" s="353">
        <f t="shared" si="602"/>
        <v>0.95</v>
      </c>
      <c r="CB418" s="354">
        <f t="shared" si="603"/>
        <v>0.95</v>
      </c>
      <c r="CD418" s="311">
        <f t="shared" si="604"/>
        <v>410</v>
      </c>
    </row>
    <row r="419" spans="1:82" outlineLevel="1" x14ac:dyDescent="0.3">
      <c r="A419" s="1">
        <v>100201000</v>
      </c>
      <c r="B419" s="47">
        <f>VLOOKUP(C419,'NCES ID'!$A$2:$B$3136,2,FALSE)</f>
        <v>408800</v>
      </c>
      <c r="C419" s="47">
        <f>VLOOKUP(A419,'State ID'!$A$2:$B$713,2,FALSE)</f>
        <v>4403</v>
      </c>
      <c r="D419" s="147" t="s">
        <v>424</v>
      </c>
      <c r="E419" s="47" t="s">
        <v>9</v>
      </c>
      <c r="F419" s="382">
        <f>IFERROR(VLOOKUP($B419,'update_Formula counts'!$D$7:$R$234,'update_Formula counts'!F$5,0),0)</f>
        <v>20444</v>
      </c>
      <c r="G419" s="382">
        <f>IFERROR(VLOOKUP($B419,'update_Formula counts'!$D$7:$R$234,'update_Formula counts'!G$5,0),0)</f>
        <v>226</v>
      </c>
      <c r="H419" s="382">
        <f>IFERROR(VLOOKUP($B419,'update_Formula counts'!$D$7:$R$234,'update_Formula counts'!H$5,0),0)</f>
        <v>0</v>
      </c>
      <c r="I419" s="382">
        <f>IFERROR(VLOOKUP($B419,'update_Formula counts'!$D$7:$R$234,'update_Formula counts'!I$5,0),0)</f>
        <v>992</v>
      </c>
      <c r="J419" s="382">
        <f>IFERROR(VLOOKUP($B419,'update_Formula counts'!$D$7:$R$234,'update_Formula counts'!J$5,0),0)</f>
        <v>0</v>
      </c>
      <c r="K419" s="382">
        <f t="shared" si="619"/>
        <v>20670</v>
      </c>
      <c r="L419" s="444">
        <f>IFERROR(VLOOKUP($B419,'update_Formula counts'!$D$7:$R$234,'update_Formula counts'!L$5,0),0)</f>
        <v>72963</v>
      </c>
      <c r="M419" s="445">
        <f>IFERROR(VLOOKUP($B419,'update_Formula counts'!$D$7:$R$234,'update_Formula counts'!K$5,0),0)</f>
        <v>21662</v>
      </c>
      <c r="N419" s="446">
        <f>IFERROR(VLOOKUP($B419,'update_Formula counts'!$D$7:$R$234,'update_Formula counts'!M$5,0),0)</f>
        <v>0.29689020462426163</v>
      </c>
      <c r="O419" s="137">
        <f>VLOOKUP($C419,'Final SEA Counts'!$A$2:$F$709,5,FALSE)</f>
        <v>45158</v>
      </c>
      <c r="P419" s="208">
        <f>VLOOKUP($C419,'Final SEA Counts'!$A$2:$F$709,6,FALSE)</f>
        <v>31020</v>
      </c>
      <c r="Q419" s="748">
        <f t="shared" si="620"/>
        <v>-2488.928141216988</v>
      </c>
      <c r="R419" s="444">
        <f t="shared" si="621"/>
        <v>67683.898524805816</v>
      </c>
      <c r="S419" s="445">
        <f t="shared" si="622"/>
        <v>19173.071858783012</v>
      </c>
      <c r="T419" s="229">
        <f t="shared" si="623"/>
        <v>0.2832737516110449</v>
      </c>
      <c r="U419" s="261">
        <f>VLOOKUP($B419,update_Allocation!$D$8:$Q$235,update_Allocation!K$239,0)</f>
        <v>10243744.126968054</v>
      </c>
      <c r="V419" s="262">
        <f>VLOOKUP($B419,update_Allocation!$D$8:$Q$235,update_Allocation!L$239,0)</f>
        <v>2440153.542873505</v>
      </c>
      <c r="W419" s="262">
        <f>VLOOKUP($B419,update_Allocation!$D$8:$Q$235,update_Allocation!M$239,0)</f>
        <v>6957852.957205317</v>
      </c>
      <c r="X419" s="262">
        <f>VLOOKUP($B419,update_Allocation!$D$8:$Q$235,update_Allocation!N$239,0)</f>
        <v>6890411.5427297093</v>
      </c>
      <c r="Y419" s="263">
        <f>VLOOKUP($B419,update_Allocation!$D$8:$Q$235,update_Allocation!O$239,0)</f>
        <v>26532162.169776585</v>
      </c>
      <c r="Z419" s="262">
        <f t="shared" si="641"/>
        <v>9068566.3224430941</v>
      </c>
      <c r="AA419" s="262">
        <f t="shared" si="642"/>
        <v>2160280.4860123955</v>
      </c>
      <c r="AB419" s="262">
        <f t="shared" si="643"/>
        <v>6159409.902706068</v>
      </c>
      <c r="AC419" s="263">
        <f t="shared" si="644"/>
        <v>6099522.3245197088</v>
      </c>
      <c r="AD419" s="262">
        <f t="shared" si="645"/>
        <v>9068566.3224430941</v>
      </c>
      <c r="AE419" s="262">
        <f t="shared" si="646"/>
        <v>2160280.4860123955</v>
      </c>
      <c r="AF419" s="262">
        <f t="shared" si="647"/>
        <v>6159409.902706068</v>
      </c>
      <c r="AG419" s="263">
        <f t="shared" si="648"/>
        <v>6099522.3245197088</v>
      </c>
      <c r="AH419" s="262">
        <f t="shared" si="652"/>
        <v>9068566.3224430941</v>
      </c>
      <c r="AI419" s="262">
        <f t="shared" si="653"/>
        <v>2163087.2193052606</v>
      </c>
      <c r="AJ419" s="262">
        <f t="shared" si="654"/>
        <v>6159409.902706068</v>
      </c>
      <c r="AK419" s="262">
        <f t="shared" si="655"/>
        <v>6099522.3245197088</v>
      </c>
      <c r="AL419" s="263">
        <f t="shared" si="656"/>
        <v>23490585.768974133</v>
      </c>
      <c r="AM419" s="346"/>
      <c r="AN419" s="261">
        <f>IFERROR(VLOOKUP($A419,'HH &amp; SI'!$B$4:$Z$494,'HH &amp; SI'!V$503,0),0)</f>
        <v>8944865.1917280909</v>
      </c>
      <c r="AO419" s="262">
        <f>IFERROR(VLOOKUP($A419,'HH &amp; SI'!$B$4:$Z$494,'HH &amp; SI'!W$503,0),0)</f>
        <v>2091843.0347542756</v>
      </c>
      <c r="AP419" s="262">
        <f>IFERROR(VLOOKUP($A419,'HH &amp; SI'!$B$4:$Z$494,'HH &amp; SI'!X$503,0),0)</f>
        <v>6103392.4744916242</v>
      </c>
      <c r="AQ419" s="262">
        <f>IFERROR(VLOOKUP($A419,'HH &amp; SI'!$B$4:$Z$494,'HH &amp; SI'!Y$503,0),0)</f>
        <v>6032316.5682045445</v>
      </c>
      <c r="AR419" s="263">
        <f t="shared" si="651"/>
        <v>23172417.269178536</v>
      </c>
      <c r="AS419" s="346"/>
      <c r="AT419" s="323">
        <f>IFERROR(VLOOKUP(A419,'Afton FY16 Final'!$A$5:$BV$572,'Afton FY16 Final'!$BV$587,0),0)</f>
        <v>20754737.600152757</v>
      </c>
      <c r="AU419" s="346"/>
      <c r="AV419" s="444">
        <v>0</v>
      </c>
      <c r="AW419" s="262">
        <f>IFERROR(VLOOKUP($A419,'HH &amp; SI'!$B$4:$EY$503,'HH &amp; SI'!EX$503,0),0)</f>
        <v>1297958.9480556138</v>
      </c>
      <c r="AX419" s="262">
        <f>IFERROR(VLOOKUP($A419,'HH &amp; SI'!$B$4:$EY$503,'HH &amp; SI'!EY$503,0),0)</f>
        <v>21874458.321122922</v>
      </c>
      <c r="AY419" s="262">
        <f>AX419/$AX$582*'update_State Admin 1004(b)'!$B$30*0.01</f>
        <v>209354.28005515606</v>
      </c>
      <c r="AZ419" s="263">
        <f t="shared" si="631"/>
        <v>21665104.041067764</v>
      </c>
      <c r="BA419" s="261">
        <f t="shared" si="632"/>
        <v>216651.04041067764</v>
      </c>
      <c r="BB419" s="262">
        <f t="shared" si="633"/>
        <v>21448453.000657085</v>
      </c>
      <c r="BC419" s="341">
        <f t="shared" si="610"/>
        <v>1.0334244360911227</v>
      </c>
      <c r="BD419" s="346"/>
      <c r="BE419" s="376" t="str">
        <f>'Original Title I &amp; II'!AZ416</f>
        <v/>
      </c>
      <c r="BF419" s="243" t="str">
        <f t="shared" si="634"/>
        <v/>
      </c>
      <c r="BG419" s="263">
        <f t="shared" si="618"/>
        <v>21448453.000657085</v>
      </c>
      <c r="BI419" s="31">
        <f>IFERROR(VLOOKUP(A419,'Title II Hold Harmless'!A$1:B$439,2, FALSE),"")</f>
        <v>2477452</v>
      </c>
      <c r="BJ419" s="31">
        <f t="shared" si="635"/>
        <v>2782916.6020168937</v>
      </c>
      <c r="BK419" s="31">
        <f t="shared" si="636"/>
        <v>2785608.7728827614</v>
      </c>
      <c r="BL419" s="31" t="str">
        <f t="shared" si="637"/>
        <v/>
      </c>
      <c r="BM419" s="31">
        <f t="shared" si="638"/>
        <v>2785608.7728827614</v>
      </c>
      <c r="BN419" s="200"/>
      <c r="BP419" s="295" t="s">
        <v>1447</v>
      </c>
      <c r="BQ419" s="296" t="str">
        <f t="shared" si="597"/>
        <v>Y</v>
      </c>
      <c r="BR419" s="297" t="s">
        <v>1448</v>
      </c>
      <c r="BT419" s="295" t="str">
        <f t="shared" si="598"/>
        <v>Y</v>
      </c>
      <c r="BU419" s="296" t="str">
        <f t="shared" si="639"/>
        <v>Y</v>
      </c>
      <c r="BV419" s="296" t="str">
        <f t="shared" si="640"/>
        <v>Y</v>
      </c>
      <c r="BW419" s="297" t="str">
        <f t="shared" si="599"/>
        <v>Y</v>
      </c>
      <c r="BY419" s="352">
        <f t="shared" si="600"/>
        <v>0</v>
      </c>
      <c r="BZ419" s="353">
        <f t="shared" si="601"/>
        <v>0.9</v>
      </c>
      <c r="CA419" s="353">
        <f t="shared" si="602"/>
        <v>0</v>
      </c>
      <c r="CB419" s="354">
        <f t="shared" si="603"/>
        <v>0.9</v>
      </c>
      <c r="CD419" s="311">
        <f t="shared" si="604"/>
        <v>411</v>
      </c>
    </row>
    <row r="420" spans="1:82" outlineLevel="1" x14ac:dyDescent="0.3">
      <c r="A420" s="1">
        <v>100337000</v>
      </c>
      <c r="B420" s="47">
        <v>402820</v>
      </c>
      <c r="C420" s="47">
        <v>4415</v>
      </c>
      <c r="D420" s="147" t="s">
        <v>523</v>
      </c>
      <c r="E420" s="47" t="s">
        <v>9</v>
      </c>
      <c r="F420" s="382">
        <f>IFERROR(VLOOKUP($B420,'update_Formula counts'!$D$7:$R$234,'update_Formula counts'!F$5,0),0)</f>
        <v>7</v>
      </c>
      <c r="G420" s="382">
        <f>IFERROR(VLOOKUP($B420,'update_Formula counts'!$D$7:$R$234,'update_Formula counts'!G$5,0),0)</f>
        <v>0</v>
      </c>
      <c r="H420" s="382">
        <f>IFERROR(VLOOKUP($B420,'update_Formula counts'!$D$7:$R$234,'update_Formula counts'!H$5,0),0)</f>
        <v>0</v>
      </c>
      <c r="I420" s="382">
        <f>IFERROR(VLOOKUP($B420,'update_Formula counts'!$D$7:$R$234,'update_Formula counts'!I$5,0),0)</f>
        <v>0</v>
      </c>
      <c r="J420" s="382">
        <f>IFERROR(VLOOKUP($B420,'update_Formula counts'!$D$7:$R$234,'update_Formula counts'!J$5,0),0)</f>
        <v>0</v>
      </c>
      <c r="K420" s="382">
        <f t="shared" si="619"/>
        <v>7</v>
      </c>
      <c r="L420" s="444">
        <f>IFERROR(VLOOKUP($B420,'update_Formula counts'!$D$7:$R$234,'update_Formula counts'!L$5,0),0)</f>
        <v>70</v>
      </c>
      <c r="M420" s="445">
        <f>IFERROR(VLOOKUP($B420,'update_Formula counts'!$D$7:$R$234,'update_Formula counts'!K$5,0),0)</f>
        <v>7</v>
      </c>
      <c r="N420" s="446">
        <f>IFERROR(VLOOKUP($B420,'update_Formula counts'!$D$7:$R$234,'update_Formula counts'!M$5,0),0)</f>
        <v>0.1</v>
      </c>
      <c r="O420" s="137"/>
      <c r="P420" s="208"/>
      <c r="Q420" s="748">
        <f t="shared" si="620"/>
        <v>-0.85236667768979923</v>
      </c>
      <c r="R420" s="444">
        <f t="shared" si="621"/>
        <v>64.935280851067077</v>
      </c>
      <c r="S420" s="445">
        <f t="shared" si="622"/>
        <v>6.1476333223102007</v>
      </c>
      <c r="T420" s="229">
        <f t="shared" si="623"/>
        <v>9.4673238364983175E-2</v>
      </c>
      <c r="U420" s="261">
        <f>VLOOKUP($B420,update_Allocation!$D$8:$Q$235,update_Allocation!K$239,0)</f>
        <v>0</v>
      </c>
      <c r="V420" s="262">
        <f>VLOOKUP($B420,update_Allocation!$D$8:$Q$235,update_Allocation!L$239,0)</f>
        <v>1068.4014810765896</v>
      </c>
      <c r="W420" s="262">
        <f>VLOOKUP($B420,update_Allocation!$D$8:$Q$235,update_Allocation!M$239,0)</f>
        <v>0</v>
      </c>
      <c r="X420" s="262">
        <f>VLOOKUP($B420,update_Allocation!$D$8:$Q$235,update_Allocation!N$239,0)</f>
        <v>0</v>
      </c>
      <c r="Y420" s="263">
        <f>VLOOKUP($B420,update_Allocation!$D$8:$Q$235,update_Allocation!O$239,0)</f>
        <v>1068.4014810765896</v>
      </c>
      <c r="Z420" s="262" t="str">
        <f t="shared" si="641"/>
        <v/>
      </c>
      <c r="AA420" s="262">
        <f t="shared" si="642"/>
        <v>945.86132808616662</v>
      </c>
      <c r="AB420" s="262" t="str">
        <f t="shared" si="643"/>
        <v/>
      </c>
      <c r="AC420" s="263" t="str">
        <f t="shared" si="644"/>
        <v/>
      </c>
      <c r="AD420" s="262" t="str">
        <f t="shared" si="645"/>
        <v/>
      </c>
      <c r="AE420" s="262" t="str">
        <f t="shared" si="646"/>
        <v/>
      </c>
      <c r="AF420" s="262" t="str">
        <f t="shared" si="647"/>
        <v/>
      </c>
      <c r="AG420" s="263" t="str">
        <f t="shared" si="648"/>
        <v/>
      </c>
      <c r="AH420" s="262" t="str">
        <f t="shared" si="652"/>
        <v/>
      </c>
      <c r="AI420" s="262" t="str">
        <f t="shared" si="653"/>
        <v/>
      </c>
      <c r="AJ420" s="262" t="str">
        <f t="shared" si="654"/>
        <v/>
      </c>
      <c r="AK420" s="262" t="str">
        <f t="shared" si="655"/>
        <v/>
      </c>
      <c r="AL420" s="263">
        <f t="shared" si="656"/>
        <v>0</v>
      </c>
      <c r="AM420" s="346"/>
      <c r="AN420" s="261">
        <f>IFERROR(VLOOKUP($A420,'HH &amp; SI'!$B$4:$Z$494,'HH &amp; SI'!V$503,0),0)</f>
        <v>0</v>
      </c>
      <c r="AO420" s="262">
        <f>IFERROR(VLOOKUP($A420,'HH &amp; SI'!$B$4:$Z$494,'HH &amp; SI'!W$503,0),0)</f>
        <v>3403.5779292301413</v>
      </c>
      <c r="AP420" s="262">
        <f>IFERROR(VLOOKUP($A420,'HH &amp; SI'!$B$4:$Z$494,'HH &amp; SI'!X$503,0),0)</f>
        <v>0</v>
      </c>
      <c r="AQ420" s="262">
        <f>IFERROR(VLOOKUP($A420,'HH &amp; SI'!$B$4:$Z$494,'HH &amp; SI'!Y$503,0),0)</f>
        <v>0</v>
      </c>
      <c r="AR420" s="263">
        <f t="shared" si="651"/>
        <v>3403.5779292301413</v>
      </c>
      <c r="AS420" s="346"/>
      <c r="AT420" s="323">
        <f>IFERROR(VLOOKUP(A420,'Afton FY16 Final'!$A$5:$BV$572,'Afton FY16 Final'!$BV$587,0),0)</f>
        <v>3925.3664474908965</v>
      </c>
      <c r="AU420" s="346"/>
      <c r="AV420" s="444">
        <v>0</v>
      </c>
      <c r="AW420" s="262">
        <f>IFERROR(VLOOKUP($A420,'HH &amp; SI'!$B$4:$EY$503,'HH &amp; SI'!EX$503,0),0)</f>
        <v>0</v>
      </c>
      <c r="AX420" s="262">
        <f>IFERROR(VLOOKUP($A420,'HH &amp; SI'!$B$4:$EY$503,'HH &amp; SI'!EY$503,0),0)</f>
        <v>3403.5779292301413</v>
      </c>
      <c r="AY420" s="262">
        <f>AX420/$AX$582*'update_State Admin 1004(b)'!$B$30*0.01</f>
        <v>32.574685805934791</v>
      </c>
      <c r="AZ420" s="263">
        <f t="shared" si="631"/>
        <v>3371.0032434242066</v>
      </c>
      <c r="BA420" s="261">
        <f t="shared" si="632"/>
        <v>33.710032434242066</v>
      </c>
      <c r="BB420" s="262">
        <f t="shared" si="633"/>
        <v>3337.2932109899648</v>
      </c>
      <c r="BC420" s="341">
        <f t="shared" si="610"/>
        <v>0.85018641078036694</v>
      </c>
      <c r="BD420" s="346"/>
      <c r="BE420" s="376" t="str">
        <f>'Original Title I &amp; II'!AZ417</f>
        <v/>
      </c>
      <c r="BF420" s="243" t="str">
        <f t="shared" si="634"/>
        <v/>
      </c>
      <c r="BG420" s="263">
        <f t="shared" si="618"/>
        <v>3337.2932109899648</v>
      </c>
      <c r="BI420" s="31" t="str">
        <f>IFERROR(VLOOKUP(A420,'Title II Hold Harmless'!A$1:B$439,2, FALSE),"")</f>
        <v/>
      </c>
      <c r="BJ420" s="31"/>
      <c r="BK420" s="31"/>
      <c r="BL420" s="31" t="str">
        <f t="shared" si="637"/>
        <v/>
      </c>
      <c r="BM420" s="31">
        <f t="shared" si="638"/>
        <v>0</v>
      </c>
      <c r="BN420" s="200"/>
      <c r="BP420" s="295" t="s">
        <v>1447</v>
      </c>
      <c r="BQ420" s="296" t="str">
        <f t="shared" si="597"/>
        <v>Y</v>
      </c>
      <c r="BR420" s="297" t="s">
        <v>1448</v>
      </c>
      <c r="BT420" s="295" t="str">
        <f t="shared" si="598"/>
        <v>N</v>
      </c>
      <c r="BU420" s="296" t="str">
        <f t="shared" si="639"/>
        <v>N</v>
      </c>
      <c r="BV420" s="296" t="str">
        <f t="shared" si="640"/>
        <v>N</v>
      </c>
      <c r="BW420" s="297" t="str">
        <f t="shared" si="599"/>
        <v>N</v>
      </c>
      <c r="BY420" s="352">
        <f t="shared" si="600"/>
        <v>0.85</v>
      </c>
      <c r="BZ420" s="353">
        <f t="shared" si="601"/>
        <v>0</v>
      </c>
      <c r="CA420" s="353">
        <f t="shared" si="602"/>
        <v>0</v>
      </c>
      <c r="CB420" s="354">
        <f t="shared" si="603"/>
        <v>0.85</v>
      </c>
      <c r="CD420" s="311">
        <f t="shared" si="604"/>
        <v>412</v>
      </c>
    </row>
    <row r="421" spans="1:82" outlineLevel="1" x14ac:dyDescent="0.3">
      <c r="A421" s="1">
        <v>100344000</v>
      </c>
      <c r="B421" s="47">
        <f>VLOOKUP(C421,'NCES ID'!$A$2:$B$3136,2,FALSE)</f>
        <v>406930</v>
      </c>
      <c r="C421" s="47">
        <v>4417</v>
      </c>
      <c r="D421" s="147" t="s">
        <v>481</v>
      </c>
      <c r="E421" s="47" t="s">
        <v>9</v>
      </c>
      <c r="F421" s="382">
        <f>IFERROR(VLOOKUP($B421,'update_Formula counts'!$D$7:$R$234,'update_Formula counts'!F$5,0),0)</f>
        <v>8</v>
      </c>
      <c r="G421" s="382">
        <f>IFERROR(VLOOKUP($B421,'update_Formula counts'!$D$7:$R$234,'update_Formula counts'!G$5,0),0)</f>
        <v>0</v>
      </c>
      <c r="H421" s="382">
        <f>IFERROR(VLOOKUP($B421,'update_Formula counts'!$D$7:$R$234,'update_Formula counts'!H$5,0),0)</f>
        <v>0</v>
      </c>
      <c r="I421" s="382">
        <f>IFERROR(VLOOKUP($B421,'update_Formula counts'!$D$7:$R$234,'update_Formula counts'!I$5,0),0)</f>
        <v>0</v>
      </c>
      <c r="J421" s="382">
        <f>IFERROR(VLOOKUP($B421,'update_Formula counts'!$D$7:$R$234,'update_Formula counts'!J$5,0),0)</f>
        <v>0</v>
      </c>
      <c r="K421" s="382">
        <f t="shared" si="619"/>
        <v>8</v>
      </c>
      <c r="L421" s="444">
        <f>IFERROR(VLOOKUP($B421,'update_Formula counts'!$D$7:$R$234,'update_Formula counts'!L$5,0),0)</f>
        <v>15</v>
      </c>
      <c r="M421" s="445">
        <f>IFERROR(VLOOKUP($B421,'update_Formula counts'!$D$7:$R$234,'update_Formula counts'!K$5,0),0)</f>
        <v>8</v>
      </c>
      <c r="N421" s="446">
        <f>IFERROR(VLOOKUP($B421,'update_Formula counts'!$D$7:$R$234,'update_Formula counts'!M$5,0),0)</f>
        <v>0.53333333333333333</v>
      </c>
      <c r="O421" s="137"/>
      <c r="P421" s="208"/>
      <c r="Q421" s="748">
        <f t="shared" si="620"/>
        <v>-0.97413334593119894</v>
      </c>
      <c r="R421" s="444">
        <f t="shared" si="621"/>
        <v>13.914703039514375</v>
      </c>
      <c r="S421" s="445">
        <f t="shared" si="622"/>
        <v>7.0258666540688015</v>
      </c>
      <c r="T421" s="229">
        <f t="shared" si="623"/>
        <v>0.50492393794657686</v>
      </c>
      <c r="U421" s="261">
        <f>VLOOKUP($B421,update_Allocation!$D$8:$Q$235,update_Allocation!K$239,0)</f>
        <v>0</v>
      </c>
      <c r="V421" s="262">
        <f>VLOOKUP($B421,update_Allocation!$D$8:$Q$235,update_Allocation!L$239,0)</f>
        <v>0</v>
      </c>
      <c r="W421" s="262">
        <f>VLOOKUP($B421,update_Allocation!$D$8:$Q$235,update_Allocation!M$239,0)</f>
        <v>0</v>
      </c>
      <c r="X421" s="262">
        <f>VLOOKUP($B421,update_Allocation!$D$8:$Q$235,update_Allocation!N$239,0)</f>
        <v>0</v>
      </c>
      <c r="Y421" s="263">
        <f>VLOOKUP($B421,update_Allocation!$D$8:$Q$235,update_Allocation!O$239,0)</f>
        <v>0</v>
      </c>
      <c r="Z421" s="262" t="str">
        <f t="shared" si="641"/>
        <v/>
      </c>
      <c r="AA421" s="262" t="str">
        <f t="shared" si="642"/>
        <v/>
      </c>
      <c r="AB421" s="262" t="str">
        <f t="shared" si="643"/>
        <v/>
      </c>
      <c r="AC421" s="263" t="str">
        <f t="shared" si="644"/>
        <v/>
      </c>
      <c r="AD421" s="262" t="str">
        <f t="shared" si="645"/>
        <v/>
      </c>
      <c r="AE421" s="262" t="str">
        <f t="shared" si="646"/>
        <v/>
      </c>
      <c r="AF421" s="262" t="str">
        <f t="shared" si="647"/>
        <v/>
      </c>
      <c r="AG421" s="263" t="str">
        <f t="shared" si="648"/>
        <v/>
      </c>
      <c r="AH421" s="262" t="str">
        <f t="shared" si="652"/>
        <v/>
      </c>
      <c r="AI421" s="262" t="str">
        <f t="shared" si="653"/>
        <v/>
      </c>
      <c r="AJ421" s="262" t="str">
        <f t="shared" si="654"/>
        <v/>
      </c>
      <c r="AK421" s="262" t="str">
        <f t="shared" si="655"/>
        <v/>
      </c>
      <c r="AL421" s="263">
        <f t="shared" si="656"/>
        <v>0</v>
      </c>
      <c r="AM421" s="346"/>
      <c r="AN421" s="261">
        <f>IFERROR(VLOOKUP($A421,'HH &amp; SI'!$B$4:$Z$494,'HH &amp; SI'!V$503,0),0)</f>
        <v>0</v>
      </c>
      <c r="AO421" s="262">
        <f>IFERROR(VLOOKUP($A421,'HH &amp; SI'!$B$4:$Z$494,'HH &amp; SI'!W$503,0),0)</f>
        <v>0</v>
      </c>
      <c r="AP421" s="262">
        <f>IFERROR(VLOOKUP($A421,'HH &amp; SI'!$B$4:$Z$494,'HH &amp; SI'!X$503,0),0)</f>
        <v>0</v>
      </c>
      <c r="AQ421" s="262">
        <f>IFERROR(VLOOKUP($A421,'HH &amp; SI'!$B$4:$Z$494,'HH &amp; SI'!Y$503,0),0)</f>
        <v>0</v>
      </c>
      <c r="AR421" s="263">
        <f t="shared" si="651"/>
        <v>0</v>
      </c>
      <c r="AS421" s="346"/>
      <c r="AT421" s="323">
        <f>IFERROR(VLOOKUP(A421,'Afton FY16 Final'!$A$5:$BV$572,'Afton FY16 Final'!$BV$587,0),0)</f>
        <v>0</v>
      </c>
      <c r="AU421" s="346"/>
      <c r="AV421" s="444">
        <v>0</v>
      </c>
      <c r="AW421" s="262">
        <f>IFERROR(VLOOKUP($A421,'HH &amp; SI'!$B$4:$EY$503,'HH &amp; SI'!EX$503,0),0)</f>
        <v>0</v>
      </c>
      <c r="AX421" s="262">
        <f>IFERROR(VLOOKUP($A421,'HH &amp; SI'!$B$4:$EY$503,'HH &amp; SI'!EY$503,0),0)</f>
        <v>0</v>
      </c>
      <c r="AY421" s="262">
        <f>AX421/$AX$582*'update_State Admin 1004(b)'!$B$30*0.01</f>
        <v>0</v>
      </c>
      <c r="AZ421" s="263">
        <f t="shared" si="631"/>
        <v>0</v>
      </c>
      <c r="BA421" s="261">
        <f t="shared" si="632"/>
        <v>0</v>
      </c>
      <c r="BB421" s="262">
        <f t="shared" si="633"/>
        <v>0</v>
      </c>
      <c r="BC421" s="341" t="str">
        <f t="shared" si="610"/>
        <v/>
      </c>
      <c r="BD421" s="346"/>
      <c r="BE421" s="376" t="str">
        <f>'Original Title I &amp; II'!AZ418</f>
        <v/>
      </c>
      <c r="BF421" s="243" t="str">
        <f t="shared" si="634"/>
        <v/>
      </c>
      <c r="BG421" s="263">
        <f t="shared" si="618"/>
        <v>0</v>
      </c>
      <c r="BI421" s="31" t="str">
        <f>IFERROR(VLOOKUP(A421,'Title II Hold Harmless'!A$1:B$439,2, FALSE),"")</f>
        <v/>
      </c>
      <c r="BJ421" s="31"/>
      <c r="BK421" s="31"/>
      <c r="BL421" s="31" t="str">
        <f t="shared" si="637"/>
        <v/>
      </c>
      <c r="BM421" s="31">
        <f t="shared" si="638"/>
        <v>0</v>
      </c>
      <c r="BN421" s="200"/>
      <c r="BP421" s="295" t="s">
        <v>1447</v>
      </c>
      <c r="BQ421" s="296" t="str">
        <f t="shared" si="597"/>
        <v>Y</v>
      </c>
      <c r="BR421" s="297" t="s">
        <v>1448</v>
      </c>
      <c r="BT421" s="295" t="str">
        <f t="shared" si="598"/>
        <v>N</v>
      </c>
      <c r="BU421" s="296" t="str">
        <f t="shared" si="639"/>
        <v>N</v>
      </c>
      <c r="BV421" s="296" t="str">
        <f t="shared" si="640"/>
        <v>N</v>
      </c>
      <c r="BW421" s="297" t="str">
        <f t="shared" si="599"/>
        <v>N</v>
      </c>
      <c r="BY421" s="352">
        <f t="shared" si="600"/>
        <v>0</v>
      </c>
      <c r="BZ421" s="353">
        <f t="shared" si="601"/>
        <v>0</v>
      </c>
      <c r="CA421" s="353">
        <f t="shared" si="602"/>
        <v>0.95</v>
      </c>
      <c r="CB421" s="354">
        <f t="shared" si="603"/>
        <v>0.95</v>
      </c>
      <c r="CD421" s="311">
        <f t="shared" si="604"/>
        <v>413</v>
      </c>
    </row>
    <row r="422" spans="1:82" s="237" customFormat="1" outlineLevel="1" x14ac:dyDescent="0.3">
      <c r="A422" s="236"/>
      <c r="B422" s="237">
        <v>481019</v>
      </c>
      <c r="D422" s="237" t="s">
        <v>885</v>
      </c>
      <c r="E422" s="237" t="s">
        <v>9</v>
      </c>
      <c r="F422" s="760">
        <f>IFERROR(VLOOKUP($B422,'update_Formula counts'!$D$7:$R$234,'update_Formula counts'!F$5,0),0)</f>
        <v>15</v>
      </c>
      <c r="G422" s="760">
        <f>IFERROR(VLOOKUP($B422,'update_Formula counts'!$D$7:$R$234,'update_Formula counts'!G$5,0),0)</f>
        <v>0</v>
      </c>
      <c r="H422" s="760">
        <f>IFERROR(VLOOKUP($B422,'update_Formula counts'!$D$7:$R$234,'update_Formula counts'!H$5,0),0)</f>
        <v>0</v>
      </c>
      <c r="I422" s="760">
        <f>IFERROR(VLOOKUP($B422,'update_Formula counts'!$D$7:$R$234,'update_Formula counts'!I$5,0),0)</f>
        <v>1</v>
      </c>
      <c r="J422" s="760">
        <f>IFERROR(VLOOKUP($B422,'update_Formula counts'!$D$7:$R$234,'update_Formula counts'!J$5,0),0)</f>
        <v>0</v>
      </c>
      <c r="K422" s="760">
        <f t="shared" si="619"/>
        <v>15</v>
      </c>
      <c r="L422" s="525">
        <f>IFERROR(VLOOKUP($B422,'update_Formula counts'!$D$7:$R$234,'update_Formula counts'!L$5,0),0)</f>
        <v>45</v>
      </c>
      <c r="M422" s="526">
        <f>IFERROR(VLOOKUP($B422,'update_Formula counts'!$D$7:$R$234,'update_Formula counts'!K$5,0),0)</f>
        <v>16</v>
      </c>
      <c r="N422" s="527">
        <f>IFERROR(VLOOKUP($B422,'update_Formula counts'!$D$7:$R$234,'update_Formula counts'!M$5,0),0)</f>
        <v>0.35555555555555557</v>
      </c>
      <c r="O422" s="238"/>
      <c r="P422" s="240"/>
      <c r="Q422" s="752"/>
      <c r="R422" s="525"/>
      <c r="S422" s="526"/>
      <c r="T422" s="241"/>
      <c r="U422" s="273">
        <f>VLOOKUP($B422,update_Allocation!$D$8:$Q$235,update_Allocation!K$239,0)</f>
        <v>7566.240699450138</v>
      </c>
      <c r="V422" s="274">
        <f>VLOOKUP($B422,update_Allocation!$D$8:$Q$235,update_Allocation!L$239,0)</f>
        <v>1802.3477373269347</v>
      </c>
      <c r="W422" s="274">
        <f>VLOOKUP($B422,update_Allocation!$D$8:$Q$235,update_Allocation!M$239,0)</f>
        <v>4153.1366215981143</v>
      </c>
      <c r="X422" s="274">
        <f>VLOOKUP($B422,update_Allocation!$D$8:$Q$235,update_Allocation!N$239,0)</f>
        <v>3677.1355411258528</v>
      </c>
      <c r="Y422" s="275">
        <f>VLOOKUP($B422,update_Allocation!$D$8:$Q$235,update_Allocation!O$239,0)</f>
        <v>17198.86059950104</v>
      </c>
      <c r="Z422" s="274"/>
      <c r="AA422" s="274"/>
      <c r="AB422" s="274"/>
      <c r="AC422" s="275"/>
      <c r="AD422" s="274" t="str">
        <f t="shared" si="645"/>
        <v/>
      </c>
      <c r="AE422" s="274" t="str">
        <f t="shared" si="646"/>
        <v/>
      </c>
      <c r="AF422" s="274" t="str">
        <f t="shared" si="647"/>
        <v/>
      </c>
      <c r="AG422" s="275" t="str">
        <f t="shared" si="648"/>
        <v/>
      </c>
      <c r="AH422" s="274" t="str">
        <f t="shared" si="652"/>
        <v/>
      </c>
      <c r="AI422" s="274" t="str">
        <f t="shared" si="653"/>
        <v/>
      </c>
      <c r="AJ422" s="274" t="str">
        <f t="shared" si="654"/>
        <v/>
      </c>
      <c r="AK422" s="274" t="str">
        <f t="shared" si="655"/>
        <v/>
      </c>
      <c r="AL422" s="275">
        <f t="shared" si="656"/>
        <v>0</v>
      </c>
      <c r="AM422" s="350"/>
      <c r="AN422" s="273">
        <f>IFERROR(VLOOKUP($A422,'HH &amp; SI'!$B$4:$Z$494,'HH &amp; SI'!V$503,0),0)</f>
        <v>0</v>
      </c>
      <c r="AO422" s="274">
        <f>IFERROR(VLOOKUP($A422,'HH &amp; SI'!$B$4:$Z$494,'HH &amp; SI'!W$503,0),0)</f>
        <v>0</v>
      </c>
      <c r="AP422" s="274">
        <f>IFERROR(VLOOKUP($A422,'HH &amp; SI'!$B$4:$Z$494,'HH &amp; SI'!X$503,0),0)</f>
        <v>0</v>
      </c>
      <c r="AQ422" s="274">
        <f>IFERROR(VLOOKUP($A422,'HH &amp; SI'!$B$4:$Z$494,'HH &amp; SI'!Y$503,0),0)</f>
        <v>0</v>
      </c>
      <c r="AR422" s="275">
        <f t="shared" si="651"/>
        <v>0</v>
      </c>
      <c r="AS422" s="350"/>
      <c r="AT422" s="327">
        <f>IFERROR(VLOOKUP(A422,'Afton FY16 Final'!$A$5:$BV$572,'Afton FY16 Final'!$BV$587,0),0)</f>
        <v>0</v>
      </c>
      <c r="AU422" s="350"/>
      <c r="AV422" s="525">
        <v>0</v>
      </c>
      <c r="AW422" s="274">
        <f>IFERROR(VLOOKUP($A422,'HH &amp; SI'!$B$4:$EY$503,'HH &amp; SI'!EX$503,0),0)</f>
        <v>0</v>
      </c>
      <c r="AX422" s="274">
        <f>IFERROR(VLOOKUP($A422,'HH &amp; SI'!$B$4:$EY$503,'HH &amp; SI'!EY$503,0),0)</f>
        <v>0</v>
      </c>
      <c r="AY422" s="274">
        <f>AX422/$AX$582*'update_State Admin 1004(b)'!$B$30*0.01</f>
        <v>0</v>
      </c>
      <c r="AZ422" s="275">
        <f t="shared" si="631"/>
        <v>0</v>
      </c>
      <c r="BA422" s="273">
        <f t="shared" si="632"/>
        <v>0</v>
      </c>
      <c r="BB422" s="274">
        <f t="shared" si="633"/>
        <v>0</v>
      </c>
      <c r="BC422" s="345" t="str">
        <f t="shared" si="610"/>
        <v/>
      </c>
      <c r="BD422" s="350"/>
      <c r="BE422" s="379" t="str">
        <f>'Original Title I &amp; II'!AZ419</f>
        <v/>
      </c>
      <c r="BF422" s="246" t="str">
        <f t="shared" si="634"/>
        <v/>
      </c>
      <c r="BG422" s="275">
        <f t="shared" si="618"/>
        <v>0</v>
      </c>
      <c r="BI422" s="242" t="str">
        <f>IFERROR(VLOOKUP(A422,'Title II Hold Harmless'!A$1:B$439,2, FALSE),"")</f>
        <v/>
      </c>
      <c r="BJ422" s="242">
        <f t="shared" ref="BJ422:BJ462" si="657">IFERROR($BI$587*(0.8*($S422/$S$584)+0.2*($R422/$R$584))+$BI422,$BI$587*(0.8*($S422/$S$584)+0.2*($R422/$R$584)))</f>
        <v>0</v>
      </c>
      <c r="BK422" s="242">
        <f t="shared" ref="BK422:BK462" si="658">$BI$588*BJ422</f>
        <v>0</v>
      </c>
      <c r="BL422" s="242" t="str">
        <f t="shared" si="637"/>
        <v/>
      </c>
      <c r="BM422" s="242">
        <f t="shared" si="638"/>
        <v>0</v>
      </c>
      <c r="BN422" s="200"/>
      <c r="BP422" s="307" t="s">
        <v>1447</v>
      </c>
      <c r="BQ422" s="308" t="str">
        <f t="shared" si="597"/>
        <v>Y</v>
      </c>
      <c r="BR422" s="309" t="s">
        <v>1447</v>
      </c>
      <c r="BT422" s="307" t="str">
        <f t="shared" si="598"/>
        <v>N</v>
      </c>
      <c r="BU422" s="308" t="str">
        <f t="shared" si="639"/>
        <v>N</v>
      </c>
      <c r="BV422" s="308" t="str">
        <f t="shared" si="640"/>
        <v>N</v>
      </c>
      <c r="BW422" s="309" t="str">
        <f t="shared" si="599"/>
        <v>N</v>
      </c>
      <c r="BY422" s="364">
        <f t="shared" si="600"/>
        <v>0.85</v>
      </c>
      <c r="BZ422" s="365">
        <f t="shared" si="601"/>
        <v>0</v>
      </c>
      <c r="CA422" s="365">
        <f t="shared" si="602"/>
        <v>0</v>
      </c>
      <c r="CB422" s="366">
        <f t="shared" si="603"/>
        <v>0.85</v>
      </c>
      <c r="CD422" s="315">
        <f t="shared" si="604"/>
        <v>414</v>
      </c>
    </row>
    <row r="423" spans="1:82" s="48" customFormat="1" outlineLevel="1" x14ac:dyDescent="0.3">
      <c r="A423" s="202">
        <v>108713000</v>
      </c>
      <c r="B423" s="48">
        <f>VLOOKUP(C423,'NCES ID'!$A$2:$B$3136,2,FALSE)</f>
        <v>400368</v>
      </c>
      <c r="C423" s="48">
        <f>VLOOKUP(A423,'State ID'!$A$2:$B$713,2,FALSE)</f>
        <v>79961</v>
      </c>
      <c r="D423" s="48" t="s">
        <v>8</v>
      </c>
      <c r="E423" s="48" t="s">
        <v>9</v>
      </c>
      <c r="F423" s="755"/>
      <c r="G423" s="755"/>
      <c r="H423" s="755"/>
      <c r="I423" s="755"/>
      <c r="J423" s="755"/>
      <c r="K423" s="755"/>
      <c r="L423" s="454"/>
      <c r="M423" s="455"/>
      <c r="N423" s="456"/>
      <c r="O423" s="209">
        <f>VLOOKUP($C423,'Final SEA Counts'!$A$2:$F$709,5,FALSE)</f>
        <v>425</v>
      </c>
      <c r="P423" s="223">
        <f>VLOOKUP($C423,'Final SEA Counts'!$A$2:$F$709,6,FALSE)</f>
        <v>324</v>
      </c>
      <c r="Q423" s="749"/>
      <c r="R423" s="454">
        <f>O423</f>
        <v>425</v>
      </c>
      <c r="S423" s="455">
        <f t="shared" ref="S423:S463" si="659">P423*$B$465</f>
        <v>177.91452190386104</v>
      </c>
      <c r="T423" s="230">
        <f t="shared" ref="T423:T463" si="660">S423/R423</f>
        <v>0.41862240447967303</v>
      </c>
      <c r="U423" s="264" t="str">
        <f>IFERROR(VLOOKUP($B423,#REF!,8,FALSE),"")</f>
        <v/>
      </c>
      <c r="V423" s="265" t="str">
        <f>IFERROR(VLOOKUP($B423,#REF!,9,FALSE),"")</f>
        <v/>
      </c>
      <c r="W423" s="265" t="str">
        <f>IFERROR(VLOOKUP($B423,#REF!,10,FALSE),"")</f>
        <v/>
      </c>
      <c r="X423" s="265" t="str">
        <f>IFERROR(VLOOKUP($B423,#REF!,11,FALSE),"")</f>
        <v/>
      </c>
      <c r="Y423" s="266" t="str">
        <f>IFERROR(VLOOKUP($B423,#REF!,12,FALSE),"")</f>
        <v/>
      </c>
      <c r="Z423" s="265">
        <f t="shared" ref="Z423:Z446" si="661">$S423*U$466</f>
        <v>85349.495632989245</v>
      </c>
      <c r="AA423" s="265">
        <f t="shared" ref="AA423:AA446" si="662">$S423*V$466</f>
        <v>18838.649636665512</v>
      </c>
      <c r="AB423" s="265">
        <f t="shared" ref="AB423:AB446" si="663">$S423*W$466</f>
        <v>51895.058650340456</v>
      </c>
      <c r="AC423" s="266">
        <f t="shared" ref="AC423:AC446" si="664">$S423*X$466</f>
        <v>50412.101979632258</v>
      </c>
      <c r="AD423" s="265">
        <f t="shared" si="645"/>
        <v>85349.495632989245</v>
      </c>
      <c r="AE423" s="265">
        <f t="shared" si="646"/>
        <v>18838.649636665512</v>
      </c>
      <c r="AF423" s="265">
        <f t="shared" si="647"/>
        <v>51895.058650340456</v>
      </c>
      <c r="AG423" s="266">
        <f t="shared" si="648"/>
        <v>50412.101979632258</v>
      </c>
      <c r="AH423" s="265">
        <f t="shared" si="652"/>
        <v>85349.495632989245</v>
      </c>
      <c r="AI423" s="265">
        <f t="shared" si="653"/>
        <v>21645.382929530821</v>
      </c>
      <c r="AJ423" s="265">
        <f t="shared" si="654"/>
        <v>51895.058650340456</v>
      </c>
      <c r="AK423" s="265">
        <f t="shared" si="655"/>
        <v>50412.101979632258</v>
      </c>
      <c r="AL423" s="266">
        <f t="shared" si="656"/>
        <v>209302.03919249278</v>
      </c>
      <c r="AM423" s="347"/>
      <c r="AN423" s="264">
        <f>IFERROR(VLOOKUP($A423,'HH &amp; SI'!$B$4:$Z$494,'HH &amp; SI'!V$503,0),0)</f>
        <v>84185.273115298958</v>
      </c>
      <c r="AO423" s="265">
        <f>IFERROR(VLOOKUP($A423,'HH &amp; SI'!$B$4:$Z$494,'HH &amp; SI'!W$503,0),0)</f>
        <v>20932.46315341401</v>
      </c>
      <c r="AP423" s="265">
        <f>IFERROR(VLOOKUP($A423,'HH &amp; SI'!$B$4:$Z$494,'HH &amp; SI'!X$503,0),0)</f>
        <v>51423.093353575161</v>
      </c>
      <c r="AQ423" s="265">
        <f>IFERROR(VLOOKUP($A423,'HH &amp; SI'!$B$4:$Z$494,'HH &amp; SI'!Y$503,0),0)</f>
        <v>49856.651362235738</v>
      </c>
      <c r="AR423" s="266">
        <f t="shared" si="651"/>
        <v>206397.48098452386</v>
      </c>
      <c r="AS423" s="347"/>
      <c r="AT423" s="324">
        <f>IFERROR(VLOOKUP(A423,'Afton FY16 Final'!$A$5:$BV$572,'Afton FY16 Final'!$BV$587,0),0)</f>
        <v>184727.37540684911</v>
      </c>
      <c r="AU423" s="347"/>
      <c r="AV423" s="454">
        <v>0</v>
      </c>
      <c r="AW423" s="265">
        <f>IFERROR(VLOOKUP($A423,'HH &amp; SI'!$B$4:$EY$503,'HH &amp; SI'!EX$503,0),0)</f>
        <v>11560.962940898171</v>
      </c>
      <c r="AX423" s="265">
        <f>IFERROR(VLOOKUP($A423,'HH &amp; SI'!$B$4:$EY$503,'HH &amp; SI'!EY$503,0),0)</f>
        <v>194836.51804362569</v>
      </c>
      <c r="AY423" s="265">
        <f>AX423/$AX$582*'update_State Admin 1004(b)'!$B$30*0.01</f>
        <v>1864.7254420964668</v>
      </c>
      <c r="AZ423" s="266">
        <f t="shared" si="631"/>
        <v>192971.79260152922</v>
      </c>
      <c r="BA423" s="264">
        <f t="shared" si="632"/>
        <v>1929.7179260152923</v>
      </c>
      <c r="BB423" s="265">
        <f t="shared" si="633"/>
        <v>191042.07467551393</v>
      </c>
      <c r="BC423" s="342">
        <f t="shared" si="610"/>
        <v>1.0341838845204028</v>
      </c>
      <c r="BD423" s="347"/>
      <c r="BE423" s="377" t="str">
        <f>'Original Title I &amp; II'!AZ420</f>
        <v/>
      </c>
      <c r="BF423" s="244" t="str">
        <f t="shared" si="634"/>
        <v/>
      </c>
      <c r="BG423" s="266">
        <f t="shared" si="618"/>
        <v>191042.07467551393</v>
      </c>
      <c r="BI423" s="203" t="str">
        <f>IFERROR(VLOOKUP(A423,'Title II Hold Harmless'!A$1:B$439,2, FALSE),"")</f>
        <v/>
      </c>
      <c r="BJ423" s="203">
        <f t="shared" si="657"/>
        <v>2671.0997382815967</v>
      </c>
      <c r="BK423" s="203">
        <f t="shared" si="658"/>
        <v>2673.6837384237556</v>
      </c>
      <c r="BL423" s="203" t="str">
        <f t="shared" si="637"/>
        <v/>
      </c>
      <c r="BM423" s="203">
        <f t="shared" si="638"/>
        <v>2673.6837384237556</v>
      </c>
      <c r="BN423" s="200"/>
      <c r="BP423" s="298" t="s">
        <v>1448</v>
      </c>
      <c r="BQ423" s="299" t="str">
        <f t="shared" si="597"/>
        <v>Y</v>
      </c>
      <c r="BR423" s="300" t="s">
        <v>1448</v>
      </c>
      <c r="BT423" s="298" t="str">
        <f t="shared" si="598"/>
        <v>Y</v>
      </c>
      <c r="BU423" s="299" t="str">
        <f t="shared" si="639"/>
        <v>Y</v>
      </c>
      <c r="BV423" s="299" t="str">
        <f t="shared" si="640"/>
        <v>Y</v>
      </c>
      <c r="BW423" s="300" t="str">
        <f t="shared" si="599"/>
        <v>Y</v>
      </c>
      <c r="BY423" s="355">
        <f t="shared" si="600"/>
        <v>0</v>
      </c>
      <c r="BZ423" s="356">
        <f t="shared" si="601"/>
        <v>0</v>
      </c>
      <c r="CA423" s="356">
        <f t="shared" si="602"/>
        <v>0.95</v>
      </c>
      <c r="CB423" s="357">
        <f t="shared" si="603"/>
        <v>0.95</v>
      </c>
      <c r="CD423" s="312">
        <f t="shared" si="604"/>
        <v>415</v>
      </c>
    </row>
    <row r="424" spans="1:82" s="48" customFormat="1" outlineLevel="1" x14ac:dyDescent="0.3">
      <c r="A424" s="202">
        <v>78242000</v>
      </c>
      <c r="B424" s="48">
        <f>VLOOKUP(C424,'NCES ID'!$A$2:$B$3136,2,FALSE)</f>
        <v>400891</v>
      </c>
      <c r="C424" s="48">
        <f>VLOOKUP(A424,'State ID'!$A$2:$B$713,2,FALSE)</f>
        <v>90878</v>
      </c>
      <c r="D424" s="48" t="s">
        <v>10</v>
      </c>
      <c r="E424" s="48" t="s">
        <v>9</v>
      </c>
      <c r="F424" s="755"/>
      <c r="G424" s="755"/>
      <c r="H424" s="755"/>
      <c r="I424" s="755"/>
      <c r="J424" s="755"/>
      <c r="K424" s="755"/>
      <c r="L424" s="454"/>
      <c r="M424" s="455"/>
      <c r="N424" s="456"/>
      <c r="O424" s="209">
        <f>VLOOKUP($C424,'AzEDS FY17 12-04-16'!$A$1:$D$712,3,FALSE)</f>
        <v>478</v>
      </c>
      <c r="P424" s="223">
        <f>VLOOKUP($C424,'AzEDS FY17 12-04-16'!$A$1:$D$712,4,FALSE)</f>
        <v>425</v>
      </c>
      <c r="Q424" s="749"/>
      <c r="R424" s="454">
        <f t="shared" ref="R424:R463" si="665">O424</f>
        <v>478</v>
      </c>
      <c r="S424" s="455">
        <f t="shared" si="659"/>
        <v>233.37553027512635</v>
      </c>
      <c r="T424" s="230">
        <f t="shared" si="660"/>
        <v>0.48823332693541077</v>
      </c>
      <c r="U424" s="264" t="str">
        <f>IFERROR(VLOOKUP($B424,#REF!,8,FALSE),"")</f>
        <v/>
      </c>
      <c r="V424" s="265" t="str">
        <f>IFERROR(VLOOKUP($B424,#REF!,9,FALSE),"")</f>
        <v/>
      </c>
      <c r="W424" s="265" t="str">
        <f>IFERROR(VLOOKUP($B424,#REF!,10,FALSE),"")</f>
        <v/>
      </c>
      <c r="X424" s="265" t="str">
        <f>IFERROR(VLOOKUP($B424,#REF!,11,FALSE),"")</f>
        <v/>
      </c>
      <c r="Y424" s="266" t="str">
        <f>IFERROR(VLOOKUP($B424,#REF!,12,FALSE),"")</f>
        <v/>
      </c>
      <c r="Z424" s="265">
        <f t="shared" si="661"/>
        <v>111955.35692598896</v>
      </c>
      <c r="AA424" s="265">
        <f t="shared" si="662"/>
        <v>24711.19165303346</v>
      </c>
      <c r="AB424" s="265">
        <f t="shared" si="663"/>
        <v>68072.221995045344</v>
      </c>
      <c r="AC424" s="266">
        <f t="shared" si="664"/>
        <v>66126.985621431202</v>
      </c>
      <c r="AD424" s="265">
        <f t="shared" si="645"/>
        <v>111955.35692598896</v>
      </c>
      <c r="AE424" s="265">
        <f t="shared" si="646"/>
        <v>24711.19165303346</v>
      </c>
      <c r="AF424" s="265">
        <f t="shared" si="647"/>
        <v>68072.221995045344</v>
      </c>
      <c r="AG424" s="266">
        <f t="shared" si="648"/>
        <v>66126.985621431202</v>
      </c>
      <c r="AH424" s="265">
        <f t="shared" si="652"/>
        <v>111955.35692598896</v>
      </c>
      <c r="AI424" s="265">
        <f t="shared" si="653"/>
        <v>27517.924945898769</v>
      </c>
      <c r="AJ424" s="265">
        <f t="shared" si="654"/>
        <v>68072.221995045344</v>
      </c>
      <c r="AK424" s="265">
        <f t="shared" si="655"/>
        <v>66126.985621431202</v>
      </c>
      <c r="AL424" s="266">
        <f t="shared" si="656"/>
        <v>273672.48948836431</v>
      </c>
      <c r="AM424" s="347"/>
      <c r="AN424" s="264">
        <f>IFERROR(VLOOKUP($A424,'HH &amp; SI'!$B$4:$Z$494,'HH &amp; SI'!V$503,0),0)</f>
        <v>110428.21319136435</v>
      </c>
      <c r="AO424" s="265">
        <f>IFERROR(VLOOKUP($A424,'HH &amp; SI'!$B$4:$Z$494,'HH &amp; SI'!W$503,0),0)</f>
        <v>26611.585106335831</v>
      </c>
      <c r="AP424" s="265">
        <f>IFERROR(VLOOKUP($A424,'HH &amp; SI'!$B$4:$Z$494,'HH &amp; SI'!X$503,0),0)</f>
        <v>67453.131713794559</v>
      </c>
      <c r="AQ424" s="265">
        <f>IFERROR(VLOOKUP($A424,'HH &amp; SI'!$B$4:$Z$494,'HH &amp; SI'!Y$503,0),0)</f>
        <v>65398.385274537606</v>
      </c>
      <c r="AR424" s="266">
        <f t="shared" si="651"/>
        <v>269891.31528603233</v>
      </c>
      <c r="AS424" s="347"/>
      <c r="AT424" s="324">
        <f>IFERROR(VLOOKUP(A424,'Afton FY16 Final'!$A$5:$BV$572,'Afton FY16 Final'!$BV$587,0),0)</f>
        <v>123545.14155677949</v>
      </c>
      <c r="AU424" s="347"/>
      <c r="AV424" s="454">
        <v>0</v>
      </c>
      <c r="AW424" s="265">
        <f>IFERROR(VLOOKUP($A424,'HH &amp; SI'!$B$4:$EY$503,'HH &amp; SI'!EX$503,0),0)</f>
        <v>15117.449492157612</v>
      </c>
      <c r="AX424" s="265">
        <f>IFERROR(VLOOKUP($A424,'HH &amp; SI'!$B$4:$EY$503,'HH &amp; SI'!EY$503,0),0)</f>
        <v>254773.86579387472</v>
      </c>
      <c r="AY424" s="265">
        <f>AX424/$AX$582*'update_State Admin 1004(b)'!$B$30*0.01</f>
        <v>2438.3689171694873</v>
      </c>
      <c r="AZ424" s="266">
        <f t="shared" si="631"/>
        <v>252335.49687670523</v>
      </c>
      <c r="BA424" s="264">
        <f t="shared" si="632"/>
        <v>2523.3549687670525</v>
      </c>
      <c r="BB424" s="265">
        <f t="shared" si="633"/>
        <v>249812.14190793817</v>
      </c>
      <c r="BC424" s="342">
        <f t="shared" si="610"/>
        <v>2.0220312896167454</v>
      </c>
      <c r="BD424" s="347"/>
      <c r="BE424" s="377" t="str">
        <f>'Original Title I &amp; II'!AZ421</f>
        <v/>
      </c>
      <c r="BF424" s="244" t="str">
        <f t="shared" si="634"/>
        <v/>
      </c>
      <c r="BG424" s="266">
        <f t="shared" si="618"/>
        <v>249812.14190793817</v>
      </c>
      <c r="BI424" s="203" t="str">
        <f>IFERROR(VLOOKUP(A424,'Title II Hold Harmless'!A$1:B$439,2, FALSE),"")</f>
        <v/>
      </c>
      <c r="BJ424" s="203">
        <f t="shared" si="657"/>
        <v>3439.7882171796218</v>
      </c>
      <c r="BK424" s="203">
        <f t="shared" si="658"/>
        <v>3443.1158402985948</v>
      </c>
      <c r="BL424" s="203" t="str">
        <f t="shared" si="637"/>
        <v/>
      </c>
      <c r="BM424" s="203">
        <f t="shared" si="638"/>
        <v>3443.1158402985948</v>
      </c>
      <c r="BN424" s="200"/>
      <c r="BP424" s="298" t="s">
        <v>1448</v>
      </c>
      <c r="BQ424" s="299" t="str">
        <f t="shared" si="597"/>
        <v>Y</v>
      </c>
      <c r="BR424" s="300" t="s">
        <v>1448</v>
      </c>
      <c r="BT424" s="298" t="str">
        <f t="shared" si="598"/>
        <v>Y</v>
      </c>
      <c r="BU424" s="299" t="str">
        <f t="shared" si="639"/>
        <v>Y</v>
      </c>
      <c r="BV424" s="299" t="str">
        <f t="shared" si="640"/>
        <v>Y</v>
      </c>
      <c r="BW424" s="300" t="str">
        <f t="shared" si="599"/>
        <v>Y</v>
      </c>
      <c r="BY424" s="355">
        <f t="shared" si="600"/>
        <v>0</v>
      </c>
      <c r="BZ424" s="356">
        <f t="shared" si="601"/>
        <v>0</v>
      </c>
      <c r="CA424" s="356">
        <f t="shared" si="602"/>
        <v>0.95</v>
      </c>
      <c r="CB424" s="357">
        <f t="shared" si="603"/>
        <v>0.95</v>
      </c>
      <c r="CD424" s="312">
        <f t="shared" si="604"/>
        <v>416</v>
      </c>
    </row>
    <row r="425" spans="1:82" s="48" customFormat="1" outlineLevel="1" x14ac:dyDescent="0.3">
      <c r="A425" s="202">
        <v>108767000</v>
      </c>
      <c r="B425" s="48">
        <f>VLOOKUP(C425,'NCES ID'!$A$2:$B$3136,2,FALSE)</f>
        <v>400129</v>
      </c>
      <c r="C425" s="48">
        <f>VLOOKUP(A425,'State ID'!$A$2:$B$713,2,FALSE)</f>
        <v>6364</v>
      </c>
      <c r="D425" s="48" t="s">
        <v>12</v>
      </c>
      <c r="E425" s="48" t="s">
        <v>9</v>
      </c>
      <c r="F425" s="755"/>
      <c r="G425" s="755"/>
      <c r="H425" s="755"/>
      <c r="I425" s="755"/>
      <c r="J425" s="755"/>
      <c r="K425" s="755"/>
      <c r="L425" s="454"/>
      <c r="M425" s="455"/>
      <c r="N425" s="456"/>
      <c r="O425" s="209">
        <f>VLOOKUP($C425,'Final SEA Counts'!$A$2:$F$709,5,FALSE)</f>
        <v>199</v>
      </c>
      <c r="P425" s="223">
        <f>VLOOKUP($C425,'Final SEA Counts'!$A$2:$F$709,6,FALSE)</f>
        <v>99</v>
      </c>
      <c r="Q425" s="749"/>
      <c r="R425" s="454">
        <f t="shared" si="665"/>
        <v>199</v>
      </c>
      <c r="S425" s="455">
        <f t="shared" si="659"/>
        <v>54.362770581735319</v>
      </c>
      <c r="T425" s="230">
        <f t="shared" si="660"/>
        <v>0.27317975166701164</v>
      </c>
      <c r="U425" s="264"/>
      <c r="V425" s="265"/>
      <c r="W425" s="265"/>
      <c r="X425" s="265"/>
      <c r="Y425" s="266"/>
      <c r="Z425" s="265">
        <f t="shared" si="661"/>
        <v>26079.012554524488</v>
      </c>
      <c r="AA425" s="265">
        <f t="shared" si="662"/>
        <v>5756.2540556477952</v>
      </c>
      <c r="AB425" s="265">
        <f t="shared" si="663"/>
        <v>15856.823476492917</v>
      </c>
      <c r="AC425" s="266">
        <f t="shared" si="664"/>
        <v>15403.697827109856</v>
      </c>
      <c r="AD425" s="265">
        <f t="shared" si="645"/>
        <v>26079.012554524488</v>
      </c>
      <c r="AE425" s="265">
        <f t="shared" si="646"/>
        <v>5756.2540556477952</v>
      </c>
      <c r="AF425" s="265">
        <f t="shared" si="647"/>
        <v>15856.823476492917</v>
      </c>
      <c r="AG425" s="266">
        <f t="shared" si="648"/>
        <v>15403.697827109856</v>
      </c>
      <c r="AH425" s="265">
        <f t="shared" si="652"/>
        <v>26079.012554524488</v>
      </c>
      <c r="AI425" s="265">
        <f t="shared" si="653"/>
        <v>8562.9873485131047</v>
      </c>
      <c r="AJ425" s="265">
        <f t="shared" si="654"/>
        <v>15856.823476492917</v>
      </c>
      <c r="AK425" s="265">
        <f t="shared" si="655"/>
        <v>15403.697827109856</v>
      </c>
      <c r="AL425" s="266">
        <f t="shared" si="656"/>
        <v>65902.521206640362</v>
      </c>
      <c r="AM425" s="347"/>
      <c r="AN425" s="264">
        <f>IFERROR(VLOOKUP($A425,'HH &amp; SI'!$B$4:$Z$494,'HH &amp; SI'!V$503,0),0)</f>
        <v>25723.277896341344</v>
      </c>
      <c r="AO425" s="265">
        <f>IFERROR(VLOOKUP($A425,'HH &amp; SI'!$B$4:$Z$494,'HH &amp; SI'!W$503,0),0)</f>
        <v>8280.9538523505435</v>
      </c>
      <c r="AP425" s="265">
        <f>IFERROR(VLOOKUP($A425,'HH &amp; SI'!$B$4:$Z$494,'HH &amp; SI'!X$503,0),0)</f>
        <v>15712.611858036853</v>
      </c>
      <c r="AQ425" s="265">
        <f>IFERROR(VLOOKUP($A425,'HH &amp; SI'!$B$4:$Z$494,'HH &amp; SI'!Y$503,0),0)</f>
        <v>15233.976805127586</v>
      </c>
      <c r="AR425" s="266">
        <f t="shared" si="651"/>
        <v>64950.82041185633</v>
      </c>
      <c r="AS425" s="347"/>
      <c r="AT425" s="324">
        <f>IFERROR(VLOOKUP(A425,'Afton FY16 Final'!$A$5:$BV$572,'Afton FY16 Final'!$BV$587,0),0)</f>
        <v>56510.565034292624</v>
      </c>
      <c r="AU425" s="347"/>
      <c r="AV425" s="454">
        <v>0</v>
      </c>
      <c r="AW425" s="265">
        <f>IFERROR(VLOOKUP($A425,'HH &amp; SI'!$B$4:$EY$503,'HH &amp; SI'!EX$503,0),0)</f>
        <v>3638.0968613599762</v>
      </c>
      <c r="AX425" s="265">
        <f>IFERROR(VLOOKUP($A425,'HH &amp; SI'!$B$4:$EY$503,'HH &amp; SI'!EY$503,0),0)</f>
        <v>61312.723550496354</v>
      </c>
      <c r="AY425" s="265">
        <f>AX425/$AX$582*'update_State Admin 1004(b)'!$B$30*0.01</f>
        <v>586.80680950805072</v>
      </c>
      <c r="AZ425" s="266">
        <f t="shared" si="631"/>
        <v>60725.916740988301</v>
      </c>
      <c r="BA425" s="264">
        <f t="shared" si="632"/>
        <v>607.25916740988305</v>
      </c>
      <c r="BB425" s="265">
        <f t="shared" si="633"/>
        <v>60118.657573578421</v>
      </c>
      <c r="BC425" s="342">
        <f t="shared" si="610"/>
        <v>1.063848105873588</v>
      </c>
      <c r="BD425" s="347"/>
      <c r="BE425" s="377">
        <f>'Original Title I &amp; II'!AZ422</f>
        <v>0</v>
      </c>
      <c r="BF425" s="244"/>
      <c r="BG425" s="266">
        <f t="shared" si="618"/>
        <v>60118.657573578421</v>
      </c>
      <c r="BI425" s="203">
        <f>IFERROR(VLOOKUP(A425,'Title II Hold Harmless'!A$1:B$439,2, FALSE),"")</f>
        <v>2592</v>
      </c>
      <c r="BJ425" s="203">
        <f t="shared" si="657"/>
        <v>3463.8123207845147</v>
      </c>
      <c r="BK425" s="203">
        <f t="shared" si="658"/>
        <v>3467.1631846257419</v>
      </c>
      <c r="BL425" s="203"/>
      <c r="BM425" s="203">
        <f t="shared" si="638"/>
        <v>3467.1631846257419</v>
      </c>
      <c r="BN425" s="200"/>
      <c r="BP425" s="298" t="s">
        <v>1448</v>
      </c>
      <c r="BQ425" s="299" t="str">
        <f t="shared" si="597"/>
        <v>Y</v>
      </c>
      <c r="BR425" s="300" t="s">
        <v>1448</v>
      </c>
      <c r="BT425" s="298" t="str">
        <f t="shared" si="598"/>
        <v>Y</v>
      </c>
      <c r="BU425" s="299" t="str">
        <f t="shared" si="639"/>
        <v>Y</v>
      </c>
      <c r="BV425" s="299" t="str">
        <f t="shared" si="640"/>
        <v>Y</v>
      </c>
      <c r="BW425" s="300" t="str">
        <f t="shared" si="599"/>
        <v>Y</v>
      </c>
      <c r="BY425" s="355">
        <f t="shared" si="600"/>
        <v>0</v>
      </c>
      <c r="BZ425" s="356">
        <f t="shared" si="601"/>
        <v>0.9</v>
      </c>
      <c r="CA425" s="356">
        <f t="shared" si="602"/>
        <v>0</v>
      </c>
      <c r="CB425" s="357">
        <f t="shared" si="603"/>
        <v>0.9</v>
      </c>
      <c r="CD425" s="312">
        <f t="shared" si="604"/>
        <v>417</v>
      </c>
    </row>
    <row r="426" spans="1:82" s="48" customFormat="1" outlineLevel="1" x14ac:dyDescent="0.3">
      <c r="A426" s="202">
        <v>108794000</v>
      </c>
      <c r="B426" s="48">
        <f>VLOOKUP(C426,'NCES ID'!$A$2:$B$3136,2,FALSE)</f>
        <v>400619</v>
      </c>
      <c r="C426" s="48">
        <f>VLOOKUP(A426,'State ID'!$A$2:$B$713,2,FALSE)</f>
        <v>80995</v>
      </c>
      <c r="D426" s="48" t="s">
        <v>25</v>
      </c>
      <c r="E426" s="48" t="s">
        <v>9</v>
      </c>
      <c r="F426" s="755"/>
      <c r="G426" s="755"/>
      <c r="H426" s="755"/>
      <c r="I426" s="755"/>
      <c r="J426" s="755"/>
      <c r="K426" s="755"/>
      <c r="L426" s="454"/>
      <c r="M426" s="455"/>
      <c r="N426" s="456"/>
      <c r="O426" s="209">
        <f>VLOOKUP($C426,'Final SEA Counts'!$A$2:$F$709,5,FALSE)</f>
        <v>344</v>
      </c>
      <c r="P426" s="223">
        <f>VLOOKUP($C426,'Final SEA Counts'!$A$2:$F$709,6,FALSE)</f>
        <v>344</v>
      </c>
      <c r="Q426" s="749"/>
      <c r="R426" s="454">
        <f t="shared" si="665"/>
        <v>344</v>
      </c>
      <c r="S426" s="455">
        <f t="shared" si="659"/>
        <v>188.8968997991611</v>
      </c>
      <c r="T426" s="230">
        <f t="shared" si="660"/>
        <v>0.5491188947650032</v>
      </c>
      <c r="U426" s="264" t="str">
        <f>IFERROR(VLOOKUP($B426,#REF!,8,FALSE),"")</f>
        <v/>
      </c>
      <c r="V426" s="265" t="str">
        <f>IFERROR(VLOOKUP($B426,#REF!,9,FALSE),"")</f>
        <v/>
      </c>
      <c r="W426" s="265" t="str">
        <f>IFERROR(VLOOKUP($B426,#REF!,10,FALSE),"")</f>
        <v/>
      </c>
      <c r="X426" s="265" t="str">
        <f>IFERROR(VLOOKUP($B426,#REF!,11,FALSE),"")</f>
        <v/>
      </c>
      <c r="Y426" s="266" t="str">
        <f>IFERROR(VLOOKUP($B426,#REF!,12,FALSE),"")</f>
        <v/>
      </c>
      <c r="Z426" s="265">
        <f t="shared" si="661"/>
        <v>90617.983017741659</v>
      </c>
      <c r="AA426" s="265">
        <f t="shared" si="662"/>
        <v>20001.529243867084</v>
      </c>
      <c r="AB426" s="265">
        <f t="shared" si="663"/>
        <v>55098.457332460239</v>
      </c>
      <c r="AC426" s="266">
        <f t="shared" si="664"/>
        <v>53523.960126523139</v>
      </c>
      <c r="AD426" s="265">
        <f t="shared" si="645"/>
        <v>90617.983017741659</v>
      </c>
      <c r="AE426" s="265">
        <f t="shared" si="646"/>
        <v>20001.529243867084</v>
      </c>
      <c r="AF426" s="265">
        <f t="shared" si="647"/>
        <v>55098.457332460239</v>
      </c>
      <c r="AG426" s="266">
        <f t="shared" si="648"/>
        <v>53523.960126523139</v>
      </c>
      <c r="AH426" s="265">
        <f t="shared" si="652"/>
        <v>90617.983017741659</v>
      </c>
      <c r="AI426" s="265">
        <f t="shared" si="653"/>
        <v>22808.262536732393</v>
      </c>
      <c r="AJ426" s="265">
        <f t="shared" si="654"/>
        <v>55098.457332460239</v>
      </c>
      <c r="AK426" s="265">
        <f t="shared" si="655"/>
        <v>53523.960126523139</v>
      </c>
      <c r="AL426" s="266">
        <f t="shared" si="656"/>
        <v>222048.66301345741</v>
      </c>
      <c r="AM426" s="347"/>
      <c r="AN426" s="264">
        <f>IFERROR(VLOOKUP($A426,'HH &amp; SI'!$B$4:$Z$494,'HH &amp; SI'!V$503,0),0)</f>
        <v>112620.51593978537</v>
      </c>
      <c r="AO426" s="265">
        <f>IFERROR(VLOOKUP($A426,'HH &amp; SI'!$B$4:$Z$494,'HH &amp; SI'!W$503,0),0)</f>
        <v>25845.437898997381</v>
      </c>
      <c r="AP426" s="265">
        <f>IFERROR(VLOOKUP($A426,'HH &amp; SI'!$B$4:$Z$494,'HH &amp; SI'!X$503,0),0)</f>
        <v>61254.505368597929</v>
      </c>
      <c r="AQ426" s="265">
        <f>IFERROR(VLOOKUP($A426,'HH &amp; SI'!$B$4:$Z$494,'HH &amp; SI'!Y$503,0),0)</f>
        <v>63508.977284996501</v>
      </c>
      <c r="AR426" s="266">
        <f t="shared" si="651"/>
        <v>263229.43649237719</v>
      </c>
      <c r="AS426" s="347"/>
      <c r="AT426" s="324">
        <f>IFERROR(VLOOKUP(A426,'Afton FY16 Final'!$A$5:$BV$572,'Afton FY16 Final'!$BV$587,0),0)</f>
        <v>271627.84098045831</v>
      </c>
      <c r="AU426" s="347"/>
      <c r="AV426" s="454">
        <v>0</v>
      </c>
      <c r="AW426" s="265">
        <f>IFERROR(VLOOKUP($A426,'HH &amp; SI'!$B$4:$EY$503,'HH &amp; SI'!EX$503,0),0)</f>
        <v>0</v>
      </c>
      <c r="AX426" s="265">
        <f>IFERROR(VLOOKUP($A426,'HH &amp; SI'!$B$4:$EY$503,'HH &amp; SI'!EY$503,0),0)</f>
        <v>263229.43649237719</v>
      </c>
      <c r="AY426" s="265">
        <f>AX426/$AX$582*'update_State Admin 1004(b)'!$B$30*0.01</f>
        <v>2519.2948029698719</v>
      </c>
      <c r="AZ426" s="266">
        <f t="shared" si="631"/>
        <v>260710.14168940732</v>
      </c>
      <c r="BA426" s="264">
        <f t="shared" si="632"/>
        <v>2607.1014168940733</v>
      </c>
      <c r="BB426" s="265">
        <f t="shared" si="633"/>
        <v>258103.04027251326</v>
      </c>
      <c r="BC426" s="342">
        <f t="shared" si="610"/>
        <v>0.95020834146040989</v>
      </c>
      <c r="BD426" s="347"/>
      <c r="BE426" s="377" t="str">
        <f>'Original Title I &amp; II'!AZ423</f>
        <v/>
      </c>
      <c r="BF426" s="244" t="str">
        <f>IF(BE426&lt;0,BB426*BE426/100,"")</f>
        <v/>
      </c>
      <c r="BG426" s="266">
        <f t="shared" si="618"/>
        <v>258103.04027251326</v>
      </c>
      <c r="BI426" s="203" t="str">
        <f>IFERROR(VLOOKUP(A426,'Title II Hold Harmless'!A$1:B$439,2, FALSE),"")</f>
        <v/>
      </c>
      <c r="BJ426" s="203">
        <f t="shared" si="657"/>
        <v>2749.6800912258259</v>
      </c>
      <c r="BK426" s="203">
        <f t="shared" si="658"/>
        <v>2752.3401093617231</v>
      </c>
      <c r="BL426" s="203" t="str">
        <f t="shared" si="637"/>
        <v/>
      </c>
      <c r="BM426" s="203">
        <f t="shared" si="638"/>
        <v>2752.3401093617231</v>
      </c>
      <c r="BN426" s="200"/>
      <c r="BP426" s="298" t="s">
        <v>1448</v>
      </c>
      <c r="BQ426" s="299" t="str">
        <f t="shared" si="597"/>
        <v>Y</v>
      </c>
      <c r="BR426" s="300" t="s">
        <v>1448</v>
      </c>
      <c r="BT426" s="298" t="str">
        <f t="shared" si="598"/>
        <v>Y</v>
      </c>
      <c r="BU426" s="299" t="str">
        <f t="shared" si="639"/>
        <v>Y</v>
      </c>
      <c r="BV426" s="299" t="str">
        <f t="shared" si="640"/>
        <v>Y</v>
      </c>
      <c r="BW426" s="300" t="str">
        <f t="shared" si="599"/>
        <v>Y</v>
      </c>
      <c r="BY426" s="355">
        <f t="shared" si="600"/>
        <v>0</v>
      </c>
      <c r="BZ426" s="356">
        <f t="shared" si="601"/>
        <v>0</v>
      </c>
      <c r="CA426" s="356">
        <f t="shared" si="602"/>
        <v>0.95</v>
      </c>
      <c r="CB426" s="357">
        <f t="shared" si="603"/>
        <v>0.95</v>
      </c>
      <c r="CD426" s="312">
        <f t="shared" si="604"/>
        <v>418</v>
      </c>
    </row>
    <row r="427" spans="1:82" s="48" customFormat="1" outlineLevel="1" x14ac:dyDescent="0.3">
      <c r="A427" s="202">
        <v>108785000</v>
      </c>
      <c r="B427" s="48">
        <f>VLOOKUP(C427,'NCES ID'!$A$2:$B$3136,2,FALSE)</f>
        <v>400318</v>
      </c>
      <c r="C427" s="48">
        <f>VLOOKUP(A427,'State ID'!$A$2:$B$713,2,FALSE)</f>
        <v>79426</v>
      </c>
      <c r="D427" s="48" t="s">
        <v>40</v>
      </c>
      <c r="E427" s="48" t="s">
        <v>9</v>
      </c>
      <c r="F427" s="755"/>
      <c r="G427" s="755"/>
      <c r="H427" s="755"/>
      <c r="I427" s="755"/>
      <c r="J427" s="755"/>
      <c r="K427" s="755"/>
      <c r="L427" s="454"/>
      <c r="M427" s="455"/>
      <c r="N427" s="456"/>
      <c r="O427" s="209">
        <f>VLOOKUP($C427,'Final SEA Counts'!$A$2:$F$709,5,FALSE)</f>
        <v>203</v>
      </c>
      <c r="P427" s="223">
        <f>VLOOKUP($C427,'Final SEA Counts'!$A$2:$F$709,6,FALSE)</f>
        <v>203</v>
      </c>
      <c r="Q427" s="749"/>
      <c r="R427" s="454">
        <f t="shared" si="665"/>
        <v>203</v>
      </c>
      <c r="S427" s="455">
        <f t="shared" si="659"/>
        <v>111.47113563729565</v>
      </c>
      <c r="T427" s="230">
        <f t="shared" si="660"/>
        <v>0.5491188947650032</v>
      </c>
      <c r="U427" s="264" t="str">
        <f>IFERROR(VLOOKUP($B427,#REF!,8,FALSE),"")</f>
        <v/>
      </c>
      <c r="V427" s="265" t="str">
        <f>IFERROR(VLOOKUP($B427,#REF!,9,FALSE),"")</f>
        <v/>
      </c>
      <c r="W427" s="265" t="str">
        <f>IFERROR(VLOOKUP($B427,#REF!,10,FALSE),"")</f>
        <v/>
      </c>
      <c r="X427" s="265" t="str">
        <f>IFERROR(VLOOKUP($B427,#REF!,11,FALSE),"")</f>
        <v/>
      </c>
      <c r="Y427" s="266" t="str">
        <f>IFERROR(VLOOKUP($B427,#REF!,12,FALSE),"")</f>
        <v/>
      </c>
      <c r="Z427" s="265">
        <f t="shared" si="661"/>
        <v>53475.146955237084</v>
      </c>
      <c r="AA427" s="265">
        <f t="shared" si="662"/>
        <v>11803.228013095983</v>
      </c>
      <c r="AB427" s="265">
        <f t="shared" si="663"/>
        <v>32514.496623515777</v>
      </c>
      <c r="AC427" s="266">
        <f t="shared" si="664"/>
        <v>31585.360190942432</v>
      </c>
      <c r="AD427" s="265">
        <f t="shared" si="645"/>
        <v>53475.146955237084</v>
      </c>
      <c r="AE427" s="265">
        <f t="shared" si="646"/>
        <v>11803.228013095983</v>
      </c>
      <c r="AF427" s="265">
        <f t="shared" si="647"/>
        <v>32514.496623515777</v>
      </c>
      <c r="AG427" s="266">
        <f t="shared" si="648"/>
        <v>31585.360190942432</v>
      </c>
      <c r="AH427" s="265">
        <f t="shared" si="652"/>
        <v>53475.146955237084</v>
      </c>
      <c r="AI427" s="265">
        <f t="shared" si="653"/>
        <v>14609.961305961293</v>
      </c>
      <c r="AJ427" s="265">
        <f t="shared" si="654"/>
        <v>32514.496623515777</v>
      </c>
      <c r="AK427" s="265">
        <f t="shared" si="655"/>
        <v>31585.360190942432</v>
      </c>
      <c r="AL427" s="266">
        <f t="shared" si="656"/>
        <v>132184.9650756566</v>
      </c>
      <c r="AM427" s="347"/>
      <c r="AN427" s="264">
        <f>IFERROR(VLOOKUP($A427,'HH &amp; SI'!$B$4:$Z$494,'HH &amp; SI'!V$503,0),0)</f>
        <v>72335.892744614102</v>
      </c>
      <c r="AO427" s="265">
        <f>IFERROR(VLOOKUP($A427,'HH &amp; SI'!$B$4:$Z$494,'HH &amp; SI'!W$503,0),0)</f>
        <v>15979.390486352893</v>
      </c>
      <c r="AP427" s="265">
        <f>IFERROR(VLOOKUP($A427,'HH &amp; SI'!$B$4:$Z$494,'HH &amp; SI'!X$503,0),0)</f>
        <v>39343.624858159514</v>
      </c>
      <c r="AQ427" s="265">
        <f>IFERROR(VLOOKUP($A427,'HH &amp; SI'!$B$4:$Z$494,'HH &amp; SI'!Y$503,0),0)</f>
        <v>40791.666872347625</v>
      </c>
      <c r="AR427" s="266">
        <f t="shared" si="651"/>
        <v>168450.57496147414</v>
      </c>
      <c r="AS427" s="347"/>
      <c r="AT427" s="324">
        <f>IFERROR(VLOOKUP(A427,'Afton FY16 Final'!$A$5:$BV$572,'Afton FY16 Final'!$BV$587,0),0)</f>
        <v>173825.03491408381</v>
      </c>
      <c r="AU427" s="347"/>
      <c r="AV427" s="454">
        <v>0</v>
      </c>
      <c r="AW427" s="265">
        <f>IFERROR(VLOOKUP($A427,'HH &amp; SI'!$B$4:$EY$503,'HH &amp; SI'!EX$503,0),0)</f>
        <v>0</v>
      </c>
      <c r="AX427" s="265">
        <f>IFERROR(VLOOKUP($A427,'HH &amp; SI'!$B$4:$EY$503,'HH &amp; SI'!EY$503,0),0)</f>
        <v>168450.57496147414</v>
      </c>
      <c r="AY427" s="265">
        <f>AX427/$AX$582*'update_State Admin 1004(b)'!$B$30*0.01</f>
        <v>1612.1930119696856</v>
      </c>
      <c r="AZ427" s="266">
        <f t="shared" si="631"/>
        <v>166838.38194950446</v>
      </c>
      <c r="BA427" s="264">
        <f t="shared" si="632"/>
        <v>1668.3838194950447</v>
      </c>
      <c r="BB427" s="265">
        <f t="shared" si="633"/>
        <v>165169.99813000942</v>
      </c>
      <c r="BC427" s="342">
        <f t="shared" si="610"/>
        <v>0.95020834146040989</v>
      </c>
      <c r="BD427" s="347"/>
      <c r="BE427" s="377" t="str">
        <f>'Original Title I &amp; II'!AZ424</f>
        <v/>
      </c>
      <c r="BF427" s="244" t="str">
        <f>IF(BE427&lt;0,BB427*BE427/100,"")</f>
        <v/>
      </c>
      <c r="BG427" s="266">
        <f t="shared" si="618"/>
        <v>165169.99813000942</v>
      </c>
      <c r="BI427" s="203">
        <f>IFERROR(VLOOKUP(A427,'Title II Hold Harmless'!A$1:B$439,2, FALSE),"")</f>
        <v>10135</v>
      </c>
      <c r="BJ427" s="203">
        <f t="shared" si="657"/>
        <v>11757.630984066403</v>
      </c>
      <c r="BK427" s="203">
        <f t="shared" si="658"/>
        <v>11769.005220564897</v>
      </c>
      <c r="BL427" s="203" t="str">
        <f t="shared" si="637"/>
        <v/>
      </c>
      <c r="BM427" s="203">
        <f t="shared" si="638"/>
        <v>11769.005220564897</v>
      </c>
      <c r="BN427" s="200"/>
      <c r="BP427" s="298" t="s">
        <v>1448</v>
      </c>
      <c r="BQ427" s="299" t="str">
        <f t="shared" si="597"/>
        <v>Y</v>
      </c>
      <c r="BR427" s="300" t="s">
        <v>1448</v>
      </c>
      <c r="BT427" s="298" t="str">
        <f t="shared" si="598"/>
        <v>Y</v>
      </c>
      <c r="BU427" s="299" t="str">
        <f t="shared" si="639"/>
        <v>Y</v>
      </c>
      <c r="BV427" s="299" t="str">
        <f t="shared" si="640"/>
        <v>Y</v>
      </c>
      <c r="BW427" s="300" t="str">
        <f t="shared" si="599"/>
        <v>Y</v>
      </c>
      <c r="BY427" s="355">
        <f t="shared" si="600"/>
        <v>0</v>
      </c>
      <c r="BZ427" s="356">
        <f t="shared" si="601"/>
        <v>0</v>
      </c>
      <c r="CA427" s="356">
        <f t="shared" si="602"/>
        <v>0.95</v>
      </c>
      <c r="CB427" s="357">
        <f t="shared" si="603"/>
        <v>0.95</v>
      </c>
      <c r="CD427" s="312">
        <f t="shared" si="604"/>
        <v>419</v>
      </c>
    </row>
    <row r="428" spans="1:82" s="48" customFormat="1" outlineLevel="1" x14ac:dyDescent="0.3">
      <c r="A428" s="202">
        <v>108709000</v>
      </c>
      <c r="B428" s="48">
        <f>VLOOKUP(C428,'NCES ID'!$A$2:$B$3136,2,FALSE)</f>
        <v>400361</v>
      </c>
      <c r="C428" s="48">
        <f>VLOOKUP(A428,'State ID'!$A$2:$B$713,2,FALSE)</f>
        <v>79947</v>
      </c>
      <c r="D428" s="48" t="s">
        <v>46</v>
      </c>
      <c r="E428" s="48" t="s">
        <v>9</v>
      </c>
      <c r="F428" s="755"/>
      <c r="G428" s="755"/>
      <c r="H428" s="755"/>
      <c r="I428" s="755"/>
      <c r="J428" s="755"/>
      <c r="K428" s="755"/>
      <c r="L428" s="454"/>
      <c r="M428" s="455"/>
      <c r="N428" s="456"/>
      <c r="O428" s="209">
        <f>VLOOKUP($C428,'Final SEA Counts'!$A$2:$F$709,5,FALSE)</f>
        <v>2031</v>
      </c>
      <c r="P428" s="223">
        <f>VLOOKUP($C428,'Final SEA Counts'!$A$2:$F$709,6,FALSE)</f>
        <v>1598</v>
      </c>
      <c r="Q428" s="749"/>
      <c r="R428" s="454">
        <f t="shared" si="665"/>
        <v>2031</v>
      </c>
      <c r="S428" s="455">
        <f t="shared" si="659"/>
        <v>877.49199383447512</v>
      </c>
      <c r="T428" s="230">
        <f t="shared" si="660"/>
        <v>0.43204923379343924</v>
      </c>
      <c r="U428" s="264" t="str">
        <f>IFERROR(VLOOKUP($B428,#REF!,8,FALSE),"")</f>
        <v/>
      </c>
      <c r="V428" s="265" t="str">
        <f>IFERROR(VLOOKUP($B428,#REF!,9,FALSE),"")</f>
        <v/>
      </c>
      <c r="W428" s="265" t="str">
        <f>IFERROR(VLOOKUP($B428,#REF!,10,FALSE),"")</f>
        <v/>
      </c>
      <c r="X428" s="265" t="str">
        <f>IFERROR(VLOOKUP($B428,#REF!,11,FALSE),"")</f>
        <v/>
      </c>
      <c r="Y428" s="266" t="str">
        <f>IFERROR(VLOOKUP($B428,#REF!,12,FALSE),"")</f>
        <v/>
      </c>
      <c r="Z428" s="265">
        <f t="shared" si="661"/>
        <v>420952.14204171853</v>
      </c>
      <c r="AA428" s="265">
        <f t="shared" si="662"/>
        <v>92914.080615405823</v>
      </c>
      <c r="AB428" s="265">
        <f t="shared" si="663"/>
        <v>255951.55470137051</v>
      </c>
      <c r="AC428" s="266">
        <f t="shared" si="664"/>
        <v>248637.46593658131</v>
      </c>
      <c r="AD428" s="265">
        <f t="shared" si="645"/>
        <v>420952.14204171853</v>
      </c>
      <c r="AE428" s="265">
        <f t="shared" si="646"/>
        <v>92914.080615405823</v>
      </c>
      <c r="AF428" s="265">
        <f t="shared" si="647"/>
        <v>255951.55470137051</v>
      </c>
      <c r="AG428" s="266">
        <f t="shared" si="648"/>
        <v>248637.46593658131</v>
      </c>
      <c r="AH428" s="265">
        <f t="shared" si="652"/>
        <v>420952.14204171853</v>
      </c>
      <c r="AI428" s="265">
        <f t="shared" si="653"/>
        <v>95720.813908271128</v>
      </c>
      <c r="AJ428" s="265">
        <f t="shared" si="654"/>
        <v>255951.55470137051</v>
      </c>
      <c r="AK428" s="265">
        <f t="shared" si="655"/>
        <v>248637.46593658131</v>
      </c>
      <c r="AL428" s="266">
        <f t="shared" si="656"/>
        <v>1021261.9765879414</v>
      </c>
      <c r="AM428" s="347"/>
      <c r="AN428" s="264">
        <f>IFERROR(VLOOKUP($A428,'HH &amp; SI'!$B$4:$Z$494,'HH &amp; SI'!V$503,0),0)</f>
        <v>415210.08159953001</v>
      </c>
      <c r="AO428" s="265">
        <f>IFERROR(VLOOKUP($A428,'HH &amp; SI'!$B$4:$Z$494,'HH &amp; SI'!W$503,0),0)</f>
        <v>92568.120262546712</v>
      </c>
      <c r="AP428" s="265">
        <f>IFERROR(VLOOKUP($A428,'HH &amp; SI'!$B$4:$Z$494,'HH &amp; SI'!X$503,0),0)</f>
        <v>253623.7752438676</v>
      </c>
      <c r="AQ428" s="265">
        <f>IFERROR(VLOOKUP($A428,'HH &amp; SI'!$B$4:$Z$494,'HH &amp; SI'!Y$503,0),0)</f>
        <v>245897.92863226138</v>
      </c>
      <c r="AR428" s="266">
        <f t="shared" si="651"/>
        <v>1007299.9057382056</v>
      </c>
      <c r="AS428" s="347"/>
      <c r="AT428" s="324">
        <f>IFERROR(VLOOKUP(A428,'Afton FY16 Final'!$A$5:$BV$572,'Afton FY16 Final'!$BV$587,0),0)</f>
        <v>769608.2126831807</v>
      </c>
      <c r="AU428" s="347"/>
      <c r="AV428" s="454">
        <v>0</v>
      </c>
      <c r="AW428" s="265">
        <f>IFERROR(VLOOKUP($A428,'HH &amp; SI'!$B$4:$EY$503,'HH &amp; SI'!EX$503,0),0)</f>
        <v>56421.991320149624</v>
      </c>
      <c r="AX428" s="265">
        <f>IFERROR(VLOOKUP($A428,'HH &amp; SI'!$B$4:$EY$503,'HH &amp; SI'!EY$503,0),0)</f>
        <v>950877.91441805603</v>
      </c>
      <c r="AY428" s="265">
        <f>AX428/$AX$582*'update_State Admin 1004(b)'!$B$30*0.01</f>
        <v>9100.5847217304326</v>
      </c>
      <c r="AZ428" s="266">
        <f t="shared" si="631"/>
        <v>941777.32969632559</v>
      </c>
      <c r="BA428" s="264">
        <f t="shared" si="632"/>
        <v>9417.7732969632561</v>
      </c>
      <c r="BB428" s="265">
        <f t="shared" si="633"/>
        <v>932359.55639936228</v>
      </c>
      <c r="BC428" s="342">
        <f t="shared" si="610"/>
        <v>1.2114729820108876</v>
      </c>
      <c r="BD428" s="347"/>
      <c r="BE428" s="377" t="str">
        <f>'Original Title I &amp; II'!AZ425</f>
        <v/>
      </c>
      <c r="BF428" s="244" t="str">
        <f>IF(BE428&lt;0,BB428*BE428/100,"")</f>
        <v/>
      </c>
      <c r="BG428" s="266">
        <f t="shared" si="618"/>
        <v>932359.55639936228</v>
      </c>
      <c r="BI428" s="203" t="str">
        <f>IFERROR(VLOOKUP(A428,'Title II Hold Harmless'!A$1:B$439,2, FALSE),"")</f>
        <v/>
      </c>
      <c r="BJ428" s="203">
        <f t="shared" si="657"/>
        <v>13121.701480023388</v>
      </c>
      <c r="BK428" s="203">
        <f t="shared" si="658"/>
        <v>13134.395307215165</v>
      </c>
      <c r="BL428" s="203" t="str">
        <f t="shared" si="637"/>
        <v/>
      </c>
      <c r="BM428" s="203">
        <f t="shared" si="638"/>
        <v>13134.395307215165</v>
      </c>
      <c r="BN428" s="200"/>
      <c r="BP428" s="298" t="s">
        <v>1448</v>
      </c>
      <c r="BQ428" s="299" t="str">
        <f t="shared" si="597"/>
        <v>Y</v>
      </c>
      <c r="BR428" s="300" t="s">
        <v>1448</v>
      </c>
      <c r="BT428" s="298" t="str">
        <f t="shared" si="598"/>
        <v>Y</v>
      </c>
      <c r="BU428" s="299" t="str">
        <f t="shared" si="639"/>
        <v>Y</v>
      </c>
      <c r="BV428" s="299" t="str">
        <f t="shared" si="640"/>
        <v>Y</v>
      </c>
      <c r="BW428" s="300" t="str">
        <f t="shared" si="599"/>
        <v>Y</v>
      </c>
      <c r="BY428" s="355">
        <f t="shared" si="600"/>
        <v>0</v>
      </c>
      <c r="BZ428" s="356">
        <f t="shared" si="601"/>
        <v>0</v>
      </c>
      <c r="CA428" s="356">
        <f t="shared" si="602"/>
        <v>0.95</v>
      </c>
      <c r="CB428" s="357">
        <f t="shared" si="603"/>
        <v>0.95</v>
      </c>
      <c r="CD428" s="312">
        <f t="shared" si="604"/>
        <v>420</v>
      </c>
    </row>
    <row r="429" spans="1:82" s="48" customFormat="1" outlineLevel="1" x14ac:dyDescent="0.3">
      <c r="A429" s="202">
        <v>108720000</v>
      </c>
      <c r="B429" s="48">
        <f>VLOOKUP(C429,'NCES ID'!$A$2:$B$3136,2,FALSE)</f>
        <v>400407</v>
      </c>
      <c r="C429" s="48">
        <v>85448</v>
      </c>
      <c r="D429" s="48" t="s">
        <v>1272</v>
      </c>
      <c r="E429" s="48" t="s">
        <v>9</v>
      </c>
      <c r="F429" s="755"/>
      <c r="G429" s="755"/>
      <c r="H429" s="755"/>
      <c r="I429" s="755"/>
      <c r="J429" s="755"/>
      <c r="K429" s="755"/>
      <c r="L429" s="454"/>
      <c r="M429" s="455"/>
      <c r="N429" s="456"/>
      <c r="O429" s="209">
        <f>VLOOKUP($C429,'AzEDS FY17 12-15-16'!$A$2:$D$713,3,FALSE)</f>
        <v>319</v>
      </c>
      <c r="P429" s="223">
        <f>VLOOKUP($C429,'AzEDS FY17 12-15-16'!$A$2:$D$713,4,FALSE)</f>
        <v>118</v>
      </c>
      <c r="Q429" s="749"/>
      <c r="R429" s="454">
        <f t="shared" si="665"/>
        <v>319</v>
      </c>
      <c r="S429" s="455">
        <f t="shared" si="659"/>
        <v>64.796029582270378</v>
      </c>
      <c r="T429" s="230">
        <f t="shared" si="660"/>
        <v>0.20312234978768143</v>
      </c>
      <c r="U429" s="264"/>
      <c r="V429" s="265"/>
      <c r="W429" s="265"/>
      <c r="X429" s="265"/>
      <c r="Y429" s="266"/>
      <c r="Z429" s="265">
        <f t="shared" si="661"/>
        <v>31084.075570039291</v>
      </c>
      <c r="AA429" s="265">
        <f t="shared" si="662"/>
        <v>6860.9896824892912</v>
      </c>
      <c r="AB429" s="265">
        <f t="shared" si="663"/>
        <v>18900.052224506708</v>
      </c>
      <c r="AC429" s="266">
        <f t="shared" si="664"/>
        <v>18359.963066656193</v>
      </c>
      <c r="AD429" s="265">
        <f t="shared" si="645"/>
        <v>31084.075570039291</v>
      </c>
      <c r="AE429" s="265">
        <f t="shared" si="646"/>
        <v>6860.9896824892912</v>
      </c>
      <c r="AF429" s="265">
        <f t="shared" si="647"/>
        <v>18900.052224506708</v>
      </c>
      <c r="AG429" s="266">
        <f t="shared" si="648"/>
        <v>18359.963066656193</v>
      </c>
      <c r="AH429" s="265">
        <f t="shared" si="652"/>
        <v>31084.075570039291</v>
      </c>
      <c r="AI429" s="265">
        <f t="shared" si="653"/>
        <v>9667.7229753546017</v>
      </c>
      <c r="AJ429" s="265">
        <f t="shared" si="654"/>
        <v>18900.052224506708</v>
      </c>
      <c r="AK429" s="265">
        <f t="shared" si="655"/>
        <v>18359.963066656193</v>
      </c>
      <c r="AL429" s="266">
        <f t="shared" si="656"/>
        <v>78011.813836556801</v>
      </c>
      <c r="AM429" s="347"/>
      <c r="AN429" s="264">
        <f>IFERROR(VLOOKUP($A429,'HH &amp; SI'!$B$4:$Z$494,'HH &amp; SI'!V$503,0),0)</f>
        <v>30660.068603719988</v>
      </c>
      <c r="AO429" s="265">
        <f>IFERROR(VLOOKUP($A429,'HH &amp; SI'!$B$4:$Z$494,'HH &amp; SI'!W$503,0),0)</f>
        <v>9349.3035266625702</v>
      </c>
      <c r="AP429" s="265">
        <f>IFERROR(VLOOKUP($A429,'HH &amp; SI'!$B$4:$Z$494,'HH &amp; SI'!X$503,0),0)</f>
        <v>18728.163628771199</v>
      </c>
      <c r="AQ429" s="265">
        <f>IFERROR(VLOOKUP($A429,'HH &amp; SI'!$B$4:$Z$494,'HH &amp; SI'!Y$503,0),0)</f>
        <v>18157.669323283386</v>
      </c>
      <c r="AR429" s="266">
        <f t="shared" si="651"/>
        <v>76895.20508243714</v>
      </c>
      <c r="AS429" s="347"/>
      <c r="AT429" s="324">
        <f>IFERROR(VLOOKUP(A429,'Afton FY16 Final'!$A$5:$BV$572,'Afton FY16 Final'!$BV$587,0),0)</f>
        <v>53465.934124126041</v>
      </c>
      <c r="AU429" s="347"/>
      <c r="AV429" s="454">
        <v>0</v>
      </c>
      <c r="AW429" s="265">
        <f>IFERROR(VLOOKUP($A429,'HH &amp; SI'!$B$4:$EY$503,'HH &amp; SI'!EX$503,0),0)</f>
        <v>4307.1388858543214</v>
      </c>
      <c r="AX429" s="265">
        <f>IFERROR(VLOOKUP($A429,'HH &amp; SI'!$B$4:$EY$503,'HH &amp; SI'!EY$503,0),0)</f>
        <v>72588.066196582819</v>
      </c>
      <c r="AY429" s="265">
        <f>AX429/$AX$582*'update_State Admin 1004(b)'!$B$30*0.01</f>
        <v>694.71993848218347</v>
      </c>
      <c r="AZ429" s="266">
        <f t="shared" si="631"/>
        <v>71893.346258100632</v>
      </c>
      <c r="BA429" s="264">
        <f t="shared" si="632"/>
        <v>718.93346258100632</v>
      </c>
      <c r="BB429" s="265">
        <f t="shared" si="633"/>
        <v>71174.412795519631</v>
      </c>
      <c r="BC429" s="342">
        <f t="shared" si="610"/>
        <v>1.331210498076808</v>
      </c>
      <c r="BD429" s="347"/>
      <c r="BE429" s="377">
        <f>'Original Title I &amp; II'!AZ426</f>
        <v>0</v>
      </c>
      <c r="BF429" s="244"/>
      <c r="BG429" s="266">
        <f t="shared" si="618"/>
        <v>71174.412795519631</v>
      </c>
      <c r="BI429" s="203" t="str">
        <f>IFERROR(VLOOKUP(A429,'Title II Hold Harmless'!A$1:B$439,2, FALSE),"")</f>
        <v/>
      </c>
      <c r="BJ429" s="203">
        <f t="shared" si="657"/>
        <v>1104.9689549269333</v>
      </c>
      <c r="BK429" s="203">
        <f t="shared" si="658"/>
        <v>1106.0378928986952</v>
      </c>
      <c r="BL429" s="203"/>
      <c r="BM429" s="203">
        <f t="shared" si="638"/>
        <v>1106.0378928986952</v>
      </c>
      <c r="BN429" s="200"/>
      <c r="BP429" s="298" t="s">
        <v>1448</v>
      </c>
      <c r="BQ429" s="299" t="str">
        <f t="shared" si="597"/>
        <v>Y</v>
      </c>
      <c r="BR429" s="300" t="s">
        <v>1448</v>
      </c>
      <c r="BT429" s="298" t="str">
        <f t="shared" si="598"/>
        <v>Y</v>
      </c>
      <c r="BU429" s="299" t="str">
        <f t="shared" si="639"/>
        <v>Y</v>
      </c>
      <c r="BV429" s="299" t="str">
        <f t="shared" si="640"/>
        <v>Y</v>
      </c>
      <c r="BW429" s="300" t="str">
        <f t="shared" si="599"/>
        <v>Y</v>
      </c>
      <c r="BY429" s="355">
        <f t="shared" si="600"/>
        <v>0</v>
      </c>
      <c r="BZ429" s="356">
        <f t="shared" si="601"/>
        <v>0.9</v>
      </c>
      <c r="CA429" s="356">
        <f t="shared" si="602"/>
        <v>0</v>
      </c>
      <c r="CB429" s="357">
        <f t="shared" si="603"/>
        <v>0.9</v>
      </c>
      <c r="CD429" s="312">
        <f t="shared" si="604"/>
        <v>421</v>
      </c>
    </row>
    <row r="430" spans="1:82" s="48" customFormat="1" outlineLevel="1" x14ac:dyDescent="0.3">
      <c r="A430" s="202">
        <v>108909000</v>
      </c>
      <c r="B430" s="48">
        <f>VLOOKUP(C430,'NCES ID'!$A$2:$B$3136,2,FALSE)</f>
        <v>400862</v>
      </c>
      <c r="C430" s="48">
        <f>VLOOKUP(A430,'State ID'!$A$2:$B$713,2,FALSE)</f>
        <v>91773</v>
      </c>
      <c r="D430" s="48" t="s">
        <v>109</v>
      </c>
      <c r="E430" s="48" t="s">
        <v>9</v>
      </c>
      <c r="F430" s="755"/>
      <c r="G430" s="755"/>
      <c r="H430" s="755"/>
      <c r="I430" s="755"/>
      <c r="J430" s="755"/>
      <c r="K430" s="755"/>
      <c r="L430" s="454"/>
      <c r="M430" s="455"/>
      <c r="N430" s="456"/>
      <c r="O430" s="209">
        <f>VLOOKUP($C430,'Final SEA Counts'!$A$2:$F$709,5,FALSE)</f>
        <v>97</v>
      </c>
      <c r="P430" s="223">
        <f>VLOOKUP($C430,'Final SEA Counts'!$A$2:$F$709,6,FALSE)</f>
        <v>76</v>
      </c>
      <c r="Q430" s="749"/>
      <c r="R430" s="454">
        <f t="shared" si="665"/>
        <v>97</v>
      </c>
      <c r="S430" s="455">
        <f t="shared" si="659"/>
        <v>41.733036002140246</v>
      </c>
      <c r="T430" s="230">
        <f t="shared" si="660"/>
        <v>0.43023748455814687</v>
      </c>
      <c r="U430" s="264" t="str">
        <f>IFERROR(VLOOKUP($B430,#REF!,8,FALSE),"")</f>
        <v/>
      </c>
      <c r="V430" s="265" t="str">
        <f>IFERROR(VLOOKUP($B430,#REF!,9,FALSE),"")</f>
        <v/>
      </c>
      <c r="W430" s="265" t="str">
        <f>IFERROR(VLOOKUP($B430,#REF!,10,FALSE),"")</f>
        <v/>
      </c>
      <c r="X430" s="265" t="str">
        <f>IFERROR(VLOOKUP($B430,#REF!,11,FALSE),"")</f>
        <v/>
      </c>
      <c r="Y430" s="266" t="str">
        <f>IFERROR(VLOOKUP($B430,#REF!,12,FALSE),"")</f>
        <v/>
      </c>
      <c r="Z430" s="265">
        <f t="shared" si="661"/>
        <v>20020.252062059204</v>
      </c>
      <c r="AA430" s="265">
        <f t="shared" si="662"/>
        <v>4418.9425073659841</v>
      </c>
      <c r="AB430" s="265">
        <f t="shared" si="663"/>
        <v>12172.91499205517</v>
      </c>
      <c r="AC430" s="266">
        <f t="shared" si="664"/>
        <v>11825.060958185344</v>
      </c>
      <c r="AD430" s="265">
        <f t="shared" si="645"/>
        <v>20020.252062059204</v>
      </c>
      <c r="AE430" s="265">
        <f t="shared" si="646"/>
        <v>4418.9425073659841</v>
      </c>
      <c r="AF430" s="265">
        <f t="shared" si="647"/>
        <v>12172.91499205517</v>
      </c>
      <c r="AG430" s="266">
        <f t="shared" si="648"/>
        <v>11825.060958185344</v>
      </c>
      <c r="AH430" s="265">
        <f t="shared" si="652"/>
        <v>20020.252062059204</v>
      </c>
      <c r="AI430" s="265">
        <f t="shared" si="653"/>
        <v>7225.6758002312936</v>
      </c>
      <c r="AJ430" s="265">
        <f t="shared" si="654"/>
        <v>12172.91499205517</v>
      </c>
      <c r="AK430" s="265">
        <f t="shared" si="655"/>
        <v>11825.060958185344</v>
      </c>
      <c r="AL430" s="266">
        <f t="shared" si="656"/>
        <v>51243.903812531011</v>
      </c>
      <c r="AM430" s="347"/>
      <c r="AN430" s="264">
        <f>IFERROR(VLOOKUP($A430,'HH &amp; SI'!$B$4:$Z$494,'HH &amp; SI'!V$503,0),0)</f>
        <v>21465.529147791985</v>
      </c>
      <c r="AO430" s="265">
        <f>IFERROR(VLOOKUP($A430,'HH &amp; SI'!$B$4:$Z$494,'HH &amp; SI'!W$503,0),0)</f>
        <v>6987.6884571307201</v>
      </c>
      <c r="AP430" s="265">
        <f>IFERROR(VLOOKUP($A430,'HH &amp; SI'!$B$4:$Z$494,'HH &amp; SI'!X$503,0),0)</f>
        <v>12062.207082937382</v>
      </c>
      <c r="AQ430" s="265">
        <f>IFERROR(VLOOKUP($A430,'HH &amp; SI'!$B$4:$Z$494,'HH &amp; SI'!Y$503,0),0)</f>
        <v>12104.844234477141</v>
      </c>
      <c r="AR430" s="266">
        <f t="shared" si="651"/>
        <v>52620.268922337229</v>
      </c>
      <c r="AS430" s="347"/>
      <c r="AT430" s="324">
        <f>IFERROR(VLOOKUP(A430,'Afton FY16 Final'!$A$5:$BV$572,'Afton FY16 Final'!$BV$587,0),0)</f>
        <v>53684.0668678406</v>
      </c>
      <c r="AU430" s="347"/>
      <c r="AV430" s="454">
        <v>0</v>
      </c>
      <c r="AW430" s="265">
        <f>IFERROR(VLOOKUP($A430,'HH &amp; SI'!$B$4:$EY$503,'HH &amp; SI'!EX$503,0),0)</f>
        <v>0</v>
      </c>
      <c r="AX430" s="265">
        <f>IFERROR(VLOOKUP($A430,'HH &amp; SI'!$B$4:$EY$503,'HH &amp; SI'!EY$503,0),0)</f>
        <v>52620.268922337229</v>
      </c>
      <c r="AY430" s="265">
        <f>AX430/$AX$582*'update_State Admin 1004(b)'!$B$30*0.01</f>
        <v>503.61377433089706</v>
      </c>
      <c r="AZ430" s="266">
        <f t="shared" si="631"/>
        <v>52116.655148006335</v>
      </c>
      <c r="BA430" s="264">
        <f t="shared" si="632"/>
        <v>521.16655148006339</v>
      </c>
      <c r="BB430" s="265">
        <f t="shared" si="633"/>
        <v>51595.488596526273</v>
      </c>
      <c r="BC430" s="342">
        <f t="shared" si="610"/>
        <v>0.96109500652295987</v>
      </c>
      <c r="BD430" s="347"/>
      <c r="BE430" s="377" t="str">
        <f>'Original Title I &amp; II'!AZ427</f>
        <v/>
      </c>
      <c r="BF430" s="244" t="str">
        <f t="shared" ref="BF430:BF438" si="666">IF(BE430&lt;0,BB430*BE430/100,"")</f>
        <v/>
      </c>
      <c r="BG430" s="266">
        <f t="shared" si="618"/>
        <v>51595.488596526273</v>
      </c>
      <c r="BI430" s="203" t="str">
        <f>IFERROR(VLOOKUP(A430,'Title II Hold Harmless'!A$1:B$439,2, FALSE),"")</f>
        <v/>
      </c>
      <c r="BJ430" s="203">
        <f t="shared" si="657"/>
        <v>624.38825549433489</v>
      </c>
      <c r="BK430" s="203">
        <f t="shared" si="658"/>
        <v>624.99228360973495</v>
      </c>
      <c r="BL430" s="203" t="str">
        <f t="shared" si="637"/>
        <v/>
      </c>
      <c r="BM430" s="203">
        <f t="shared" si="638"/>
        <v>624.99228360973495</v>
      </c>
      <c r="BN430" s="200"/>
      <c r="BP430" s="298" t="s">
        <v>1448</v>
      </c>
      <c r="BQ430" s="299" t="str">
        <f t="shared" si="597"/>
        <v>Y</v>
      </c>
      <c r="BR430" s="300" t="s">
        <v>1448</v>
      </c>
      <c r="BT430" s="298" t="str">
        <f t="shared" si="598"/>
        <v>Y</v>
      </c>
      <c r="BU430" s="299" t="str">
        <f t="shared" si="639"/>
        <v>Y</v>
      </c>
      <c r="BV430" s="299" t="str">
        <f t="shared" si="640"/>
        <v>Y</v>
      </c>
      <c r="BW430" s="300" t="str">
        <f t="shared" si="599"/>
        <v>Y</v>
      </c>
      <c r="BY430" s="355">
        <f t="shared" si="600"/>
        <v>0</v>
      </c>
      <c r="BZ430" s="356">
        <f t="shared" si="601"/>
        <v>0</v>
      </c>
      <c r="CA430" s="356">
        <f t="shared" si="602"/>
        <v>0.95</v>
      </c>
      <c r="CB430" s="357">
        <f t="shared" si="603"/>
        <v>0.95</v>
      </c>
      <c r="CD430" s="312">
        <f t="shared" si="604"/>
        <v>422</v>
      </c>
    </row>
    <row r="431" spans="1:82" s="48" customFormat="1" outlineLevel="1" x14ac:dyDescent="0.3">
      <c r="A431" s="202">
        <v>108505000</v>
      </c>
      <c r="B431" s="48">
        <f>VLOOKUP(C431,'NCES ID'!$A$2:$B$3136,2,FALSE)</f>
        <v>400814</v>
      </c>
      <c r="C431" s="48">
        <f>VLOOKUP(A431,'State ID'!$A$2:$B$713,2,FALSE)</f>
        <v>90331</v>
      </c>
      <c r="D431" s="48" t="s">
        <v>119</v>
      </c>
      <c r="E431" s="48" t="s">
        <v>9</v>
      </c>
      <c r="F431" s="755"/>
      <c r="G431" s="755"/>
      <c r="H431" s="755"/>
      <c r="I431" s="755"/>
      <c r="J431" s="755"/>
      <c r="K431" s="755"/>
      <c r="L431" s="454"/>
      <c r="M431" s="455"/>
      <c r="N431" s="456"/>
      <c r="O431" s="209">
        <f>VLOOKUP($C431,'Final SEA Counts'!$A$2:$F$709,5,FALSE)</f>
        <v>43</v>
      </c>
      <c r="P431" s="223">
        <f>VLOOKUP($C431,'Final SEA Counts'!$A$2:$F$709,6,FALSE)</f>
        <v>41</v>
      </c>
      <c r="Q431" s="749"/>
      <c r="R431" s="454">
        <f t="shared" si="665"/>
        <v>43</v>
      </c>
      <c r="S431" s="455">
        <f t="shared" si="659"/>
        <v>22.513874685365131</v>
      </c>
      <c r="T431" s="230">
        <f t="shared" si="660"/>
        <v>0.52357848105500304</v>
      </c>
      <c r="U431" s="264" t="str">
        <f>IFERROR(VLOOKUP($B431,#REF!,8,FALSE),"")</f>
        <v/>
      </c>
      <c r="V431" s="265" t="str">
        <f>IFERROR(VLOOKUP($B431,#REF!,9,FALSE),"")</f>
        <v/>
      </c>
      <c r="W431" s="265" t="str">
        <f>IFERROR(VLOOKUP($B431,#REF!,10,FALSE),"")</f>
        <v/>
      </c>
      <c r="X431" s="265" t="str">
        <f>IFERROR(VLOOKUP($B431,#REF!,11,FALSE),"")</f>
        <v/>
      </c>
      <c r="Y431" s="266" t="str">
        <f>IFERROR(VLOOKUP($B431,#REF!,12,FALSE),"")</f>
        <v/>
      </c>
      <c r="Z431" s="265">
        <f t="shared" si="661"/>
        <v>10800.399138742465</v>
      </c>
      <c r="AA431" s="265">
        <f t="shared" si="662"/>
        <v>2383.9031947632279</v>
      </c>
      <c r="AB431" s="265">
        <f t="shared" si="663"/>
        <v>6566.9672983455512</v>
      </c>
      <c r="AC431" s="266">
        <f t="shared" si="664"/>
        <v>6379.3092011263043</v>
      </c>
      <c r="AD431" s="265">
        <f t="shared" si="645"/>
        <v>10800.399138742465</v>
      </c>
      <c r="AE431" s="265">
        <f t="shared" si="646"/>
        <v>2383.9031947632279</v>
      </c>
      <c r="AF431" s="265">
        <f t="shared" si="647"/>
        <v>6566.9672983455512</v>
      </c>
      <c r="AG431" s="266">
        <f t="shared" si="648"/>
        <v>6379.3092011263043</v>
      </c>
      <c r="AH431" s="265">
        <f t="shared" si="652"/>
        <v>10800.399138742465</v>
      </c>
      <c r="AI431" s="265">
        <f t="shared" si="653"/>
        <v>5190.636487628537</v>
      </c>
      <c r="AJ431" s="265">
        <f t="shared" si="654"/>
        <v>6566.9672983455512</v>
      </c>
      <c r="AK431" s="265">
        <f t="shared" si="655"/>
        <v>6379.3092011263043</v>
      </c>
      <c r="AL431" s="266">
        <f t="shared" si="656"/>
        <v>28937.312125842855</v>
      </c>
      <c r="AM431" s="347"/>
      <c r="AN431" s="264">
        <f>IFERROR(VLOOKUP($A431,'HH &amp; SI'!$B$4:$Z$494,'HH &amp; SI'!V$503,0),0)</f>
        <v>12896.34299224994</v>
      </c>
      <c r="AO431" s="265">
        <f>IFERROR(VLOOKUP($A431,'HH &amp; SI'!$B$4:$Z$494,'HH &amp; SI'!W$503,0),0)</f>
        <v>5968.1721170659712</v>
      </c>
      <c r="AP431" s="265">
        <f>IFERROR(VLOOKUP($A431,'HH &amp; SI'!$B$4:$Z$494,'HH &amp; SI'!X$503,0),0)</f>
        <v>7358.5447635604505</v>
      </c>
      <c r="AQ431" s="265">
        <f>IFERROR(VLOOKUP($A431,'HH &amp; SI'!$B$4:$Z$494,'HH &amp; SI'!Y$503,0),0)</f>
        <v>7179.4486547757469</v>
      </c>
      <c r="AR431" s="266">
        <f t="shared" si="651"/>
        <v>33402.508527652106</v>
      </c>
      <c r="AS431" s="347"/>
      <c r="AT431" s="324">
        <f>IFERROR(VLOOKUP(A431,'Afton FY16 Final'!$A$5:$BV$572,'Afton FY16 Final'!$BV$587,0),0)</f>
        <v>32226.344651195464</v>
      </c>
      <c r="AU431" s="347"/>
      <c r="AV431" s="454">
        <v>0</v>
      </c>
      <c r="AW431" s="265">
        <f>IFERROR(VLOOKUP($A431,'HH &amp; SI'!$B$4:$EY$503,'HH &amp; SI'!EX$503,0),0)</f>
        <v>1176.1638764566414</v>
      </c>
      <c r="AX431" s="265">
        <f>IFERROR(VLOOKUP($A431,'HH &amp; SI'!$B$4:$EY$503,'HH &amp; SI'!EY$503,0),0)</f>
        <v>32226.344651195464</v>
      </c>
      <c r="AY431" s="265">
        <f>AX431/$AX$582*'update_State Admin 1004(b)'!$B$30*0.01</f>
        <v>308.42926870309873</v>
      </c>
      <c r="AZ431" s="266">
        <f t="shared" si="631"/>
        <v>31917.915382492367</v>
      </c>
      <c r="BA431" s="264">
        <f t="shared" si="632"/>
        <v>319.17915382492367</v>
      </c>
      <c r="BB431" s="265">
        <f t="shared" si="633"/>
        <v>31598.736228667443</v>
      </c>
      <c r="BC431" s="342">
        <f t="shared" si="610"/>
        <v>0.98052498881517614</v>
      </c>
      <c r="BD431" s="347"/>
      <c r="BE431" s="377" t="str">
        <f>'Original Title I &amp; II'!AZ428</f>
        <v/>
      </c>
      <c r="BF431" s="244" t="str">
        <f t="shared" si="666"/>
        <v/>
      </c>
      <c r="BG431" s="266">
        <f t="shared" si="618"/>
        <v>31598.736228667443</v>
      </c>
      <c r="BI431" s="203" t="str">
        <f>IFERROR(VLOOKUP(A431,'Title II Hold Harmless'!A$1:B$439,2, FALSE),"")</f>
        <v/>
      </c>
      <c r="BJ431" s="203">
        <f t="shared" si="657"/>
        <v>329.33309862392207</v>
      </c>
      <c r="BK431" s="203">
        <f t="shared" si="658"/>
        <v>329.65169278252483</v>
      </c>
      <c r="BL431" s="203" t="str">
        <f t="shared" si="637"/>
        <v/>
      </c>
      <c r="BM431" s="203">
        <f t="shared" si="638"/>
        <v>329.65169278252483</v>
      </c>
      <c r="BN431" s="200"/>
      <c r="BP431" s="298" t="s">
        <v>1448</v>
      </c>
      <c r="BQ431" s="299" t="str">
        <f t="shared" si="597"/>
        <v>Y</v>
      </c>
      <c r="BR431" s="300" t="s">
        <v>1448</v>
      </c>
      <c r="BT431" s="298" t="str">
        <f t="shared" si="598"/>
        <v>Y</v>
      </c>
      <c r="BU431" s="299" t="str">
        <f t="shared" si="639"/>
        <v>Y</v>
      </c>
      <c r="BV431" s="299" t="str">
        <f t="shared" si="640"/>
        <v>Y</v>
      </c>
      <c r="BW431" s="300" t="str">
        <f t="shared" si="599"/>
        <v>Y</v>
      </c>
      <c r="BY431" s="355">
        <f t="shared" si="600"/>
        <v>0</v>
      </c>
      <c r="BZ431" s="356">
        <f t="shared" si="601"/>
        <v>0</v>
      </c>
      <c r="CA431" s="356">
        <f t="shared" si="602"/>
        <v>0.95</v>
      </c>
      <c r="CB431" s="357">
        <f t="shared" si="603"/>
        <v>0.95</v>
      </c>
      <c r="CD431" s="312">
        <f t="shared" si="604"/>
        <v>423</v>
      </c>
    </row>
    <row r="432" spans="1:82" s="48" customFormat="1" outlineLevel="1" x14ac:dyDescent="0.3">
      <c r="A432" s="202">
        <v>108793000</v>
      </c>
      <c r="B432" s="48">
        <f>VLOOKUP(C432,'NCES ID'!$A$2:$B$3136,2,FALSE)</f>
        <v>400382</v>
      </c>
      <c r="C432" s="48">
        <f>VLOOKUP(A432,'State ID'!$A$2:$B$713,2,FALSE)</f>
        <v>80032</v>
      </c>
      <c r="D432" s="48" t="s">
        <v>120</v>
      </c>
      <c r="E432" s="48" t="s">
        <v>9</v>
      </c>
      <c r="F432" s="755"/>
      <c r="G432" s="755"/>
      <c r="H432" s="755"/>
      <c r="I432" s="755"/>
      <c r="J432" s="755"/>
      <c r="K432" s="755"/>
      <c r="L432" s="454"/>
      <c r="M432" s="455"/>
      <c r="N432" s="456"/>
      <c r="O432" s="209">
        <f>VLOOKUP($C432,'Final SEA Counts'!$A$2:$F$709,5,FALSE)</f>
        <v>57</v>
      </c>
      <c r="P432" s="223">
        <f>VLOOKUP($C432,'Final SEA Counts'!$A$2:$F$709,6,FALSE)</f>
        <v>55</v>
      </c>
      <c r="Q432" s="749"/>
      <c r="R432" s="454">
        <f t="shared" si="665"/>
        <v>57</v>
      </c>
      <c r="S432" s="455">
        <f t="shared" si="659"/>
        <v>30.201539212075176</v>
      </c>
      <c r="T432" s="230">
        <f t="shared" si="660"/>
        <v>0.5298515651241259</v>
      </c>
      <c r="U432" s="264" t="str">
        <f>IFERROR(VLOOKUP($B432,#REF!,8,FALSE),"")</f>
        <v/>
      </c>
      <c r="V432" s="265" t="str">
        <f>IFERROR(VLOOKUP($B432,#REF!,9,FALSE),"")</f>
        <v/>
      </c>
      <c r="W432" s="265" t="str">
        <f>IFERROR(VLOOKUP($B432,#REF!,10,FALSE),"")</f>
        <v/>
      </c>
      <c r="X432" s="265" t="str">
        <f>IFERROR(VLOOKUP($B432,#REF!,11,FALSE),"")</f>
        <v/>
      </c>
      <c r="Y432" s="266" t="str">
        <f>IFERROR(VLOOKUP($B432,#REF!,12,FALSE),"")</f>
        <v/>
      </c>
      <c r="Z432" s="265">
        <f t="shared" si="661"/>
        <v>14488.340308069161</v>
      </c>
      <c r="AA432" s="265">
        <f t="shared" si="662"/>
        <v>3197.9189198043305</v>
      </c>
      <c r="AB432" s="265">
        <f t="shared" si="663"/>
        <v>8809.3463758293983</v>
      </c>
      <c r="AC432" s="266">
        <f t="shared" si="664"/>
        <v>8557.6099039499204</v>
      </c>
      <c r="AD432" s="265">
        <f t="shared" si="645"/>
        <v>14488.340308069161</v>
      </c>
      <c r="AE432" s="265">
        <f t="shared" si="646"/>
        <v>3197.9189198043305</v>
      </c>
      <c r="AF432" s="265">
        <f t="shared" si="647"/>
        <v>8809.3463758293983</v>
      </c>
      <c r="AG432" s="266">
        <f t="shared" si="648"/>
        <v>8557.6099039499204</v>
      </c>
      <c r="AH432" s="265">
        <f t="shared" si="652"/>
        <v>14488.340308069161</v>
      </c>
      <c r="AI432" s="265">
        <f t="shared" si="653"/>
        <v>6004.65221266964</v>
      </c>
      <c r="AJ432" s="265">
        <f t="shared" si="654"/>
        <v>8809.3463758293983</v>
      </c>
      <c r="AK432" s="265">
        <f t="shared" si="655"/>
        <v>8557.6099039499204</v>
      </c>
      <c r="AL432" s="266">
        <f t="shared" si="656"/>
        <v>37859.948800518119</v>
      </c>
      <c r="AM432" s="347"/>
      <c r="AN432" s="264">
        <f>IFERROR(VLOOKUP($A432,'HH &amp; SI'!$B$4:$Z$494,'HH &amp; SI'!V$503,0),0)</f>
        <v>24406.012592694999</v>
      </c>
      <c r="AO432" s="265">
        <f>IFERROR(VLOOKUP($A432,'HH &amp; SI'!$B$4:$Z$494,'HH &amp; SI'!W$503,0),0)</f>
        <v>7404.778106682068</v>
      </c>
      <c r="AP432" s="265">
        <f>IFERROR(VLOOKUP($A432,'HH &amp; SI'!$B$4:$Z$494,'HH &amp; SI'!X$503,0),0)</f>
        <v>13274.475053769267</v>
      </c>
      <c r="AQ432" s="265">
        <f>IFERROR(VLOOKUP($A432,'HH &amp; SI'!$B$4:$Z$494,'HH &amp; SI'!Y$503,0),0)</f>
        <v>13763.042074816476</v>
      </c>
      <c r="AR432" s="266">
        <f t="shared" si="651"/>
        <v>58848.30782796281</v>
      </c>
      <c r="AS432" s="347"/>
      <c r="AT432" s="324">
        <f>IFERROR(VLOOKUP(A432,'Afton FY16 Final'!$A$5:$BV$572,'Afton FY16 Final'!$BV$587,0),0)</f>
        <v>60725.878585869497</v>
      </c>
      <c r="AU432" s="347"/>
      <c r="AV432" s="454">
        <v>0</v>
      </c>
      <c r="AW432" s="265">
        <f>IFERROR(VLOOKUP($A432,'HH &amp; SI'!$B$4:$EY$503,'HH &amp; SI'!EX$503,0),0)</f>
        <v>0</v>
      </c>
      <c r="AX432" s="265">
        <f>IFERROR(VLOOKUP($A432,'HH &amp; SI'!$B$4:$EY$503,'HH &amp; SI'!EY$503,0),0)</f>
        <v>58848.30782796281</v>
      </c>
      <c r="AY432" s="265">
        <f>AX432/$AX$582*'update_State Admin 1004(b)'!$B$30*0.01</f>
        <v>563.22058068475656</v>
      </c>
      <c r="AZ432" s="266">
        <f t="shared" si="631"/>
        <v>58285.087247278054</v>
      </c>
      <c r="BA432" s="264">
        <f t="shared" si="632"/>
        <v>582.85087247278057</v>
      </c>
      <c r="BB432" s="265">
        <f t="shared" si="633"/>
        <v>57702.236374805274</v>
      </c>
      <c r="BC432" s="342">
        <f t="shared" si="610"/>
        <v>0.95020834146040989</v>
      </c>
      <c r="BD432" s="347"/>
      <c r="BE432" s="377" t="str">
        <f>'Original Title I &amp; II'!AZ429</f>
        <v/>
      </c>
      <c r="BF432" s="244" t="str">
        <f t="shared" si="666"/>
        <v/>
      </c>
      <c r="BG432" s="266">
        <f t="shared" si="618"/>
        <v>57702.236374805274</v>
      </c>
      <c r="BI432" s="203" t="str">
        <f>IFERROR(VLOOKUP(A432,'Title II Hold Harmless'!A$1:B$439,2, FALSE),"")</f>
        <v/>
      </c>
      <c r="BJ432" s="203">
        <f t="shared" si="657"/>
        <v>441.23868373194989</v>
      </c>
      <c r="BK432" s="203">
        <f t="shared" si="658"/>
        <v>441.66553444259495</v>
      </c>
      <c r="BL432" s="203" t="str">
        <f t="shared" si="637"/>
        <v/>
      </c>
      <c r="BM432" s="203">
        <f t="shared" si="638"/>
        <v>441.66553444259495</v>
      </c>
      <c r="BN432" s="200"/>
      <c r="BP432" s="298" t="s">
        <v>1448</v>
      </c>
      <c r="BQ432" s="299" t="str">
        <f t="shared" si="597"/>
        <v>Y</v>
      </c>
      <c r="BR432" s="300" t="s">
        <v>1448</v>
      </c>
      <c r="BT432" s="298" t="str">
        <f t="shared" si="598"/>
        <v>Y</v>
      </c>
      <c r="BU432" s="299" t="str">
        <f t="shared" si="639"/>
        <v>Y</v>
      </c>
      <c r="BV432" s="299" t="str">
        <f t="shared" si="640"/>
        <v>Y</v>
      </c>
      <c r="BW432" s="300" t="str">
        <f t="shared" si="599"/>
        <v>Y</v>
      </c>
      <c r="BY432" s="355">
        <f t="shared" si="600"/>
        <v>0</v>
      </c>
      <c r="BZ432" s="356">
        <f t="shared" si="601"/>
        <v>0</v>
      </c>
      <c r="CA432" s="356">
        <f t="shared" si="602"/>
        <v>0.95</v>
      </c>
      <c r="CB432" s="357">
        <f t="shared" si="603"/>
        <v>0.95</v>
      </c>
      <c r="CD432" s="312">
        <f t="shared" si="604"/>
        <v>424</v>
      </c>
    </row>
    <row r="433" spans="1:82" s="48" customFormat="1" outlineLevel="1" x14ac:dyDescent="0.3">
      <c r="A433" s="202">
        <v>108502000</v>
      </c>
      <c r="B433" s="48">
        <f>VLOOKUP(C433,'NCES ID'!$A$2:$B$3136,2,FALSE)</f>
        <v>400776</v>
      </c>
      <c r="C433" s="48">
        <f>VLOOKUP(A433,'State ID'!$A$2:$B$713,2,FALSE)</f>
        <v>89914</v>
      </c>
      <c r="D433" s="48" t="s">
        <v>124</v>
      </c>
      <c r="E433" s="48" t="s">
        <v>9</v>
      </c>
      <c r="F433" s="755"/>
      <c r="G433" s="755"/>
      <c r="H433" s="755"/>
      <c r="I433" s="755"/>
      <c r="J433" s="755"/>
      <c r="K433" s="755"/>
      <c r="L433" s="454"/>
      <c r="M433" s="455"/>
      <c r="N433" s="456"/>
      <c r="O433" s="209">
        <f>VLOOKUP($C433,'Final SEA Counts'!$A$2:$F$709,5,FALSE)</f>
        <v>275</v>
      </c>
      <c r="P433" s="223">
        <f>VLOOKUP($C433,'Final SEA Counts'!$A$2:$F$709,6,FALSE)</f>
        <v>270</v>
      </c>
      <c r="Q433" s="749"/>
      <c r="R433" s="454">
        <f t="shared" si="665"/>
        <v>275</v>
      </c>
      <c r="S433" s="455">
        <f t="shared" si="659"/>
        <v>148.26210158655087</v>
      </c>
      <c r="T433" s="230">
        <f t="shared" si="660"/>
        <v>0.53913491486018494</v>
      </c>
      <c r="U433" s="264" t="str">
        <f>IFERROR(VLOOKUP($B433,#REF!,8,FALSE),"")</f>
        <v/>
      </c>
      <c r="V433" s="265" t="str">
        <f>IFERROR(VLOOKUP($B433,#REF!,9,FALSE),"")</f>
        <v/>
      </c>
      <c r="W433" s="265" t="str">
        <f>IFERROR(VLOOKUP($B433,#REF!,10,FALSE),"")</f>
        <v/>
      </c>
      <c r="X433" s="265" t="str">
        <f>IFERROR(VLOOKUP($B433,#REF!,11,FALSE),"")</f>
        <v/>
      </c>
      <c r="Y433" s="266" t="str">
        <f>IFERROR(VLOOKUP($B433,#REF!,12,FALSE),"")</f>
        <v/>
      </c>
      <c r="Z433" s="265">
        <f t="shared" si="661"/>
        <v>71124.579694157699</v>
      </c>
      <c r="AA433" s="265">
        <f t="shared" si="662"/>
        <v>15698.874697221259</v>
      </c>
      <c r="AB433" s="265">
        <f t="shared" si="663"/>
        <v>43245.882208617048</v>
      </c>
      <c r="AC433" s="266">
        <f t="shared" si="664"/>
        <v>42010.084983026885</v>
      </c>
      <c r="AD433" s="265">
        <f t="shared" si="645"/>
        <v>71124.579694157699</v>
      </c>
      <c r="AE433" s="265">
        <f t="shared" si="646"/>
        <v>15698.874697221259</v>
      </c>
      <c r="AF433" s="265">
        <f t="shared" si="647"/>
        <v>43245.882208617048</v>
      </c>
      <c r="AG433" s="266">
        <f t="shared" si="648"/>
        <v>42010.084983026885</v>
      </c>
      <c r="AH433" s="265">
        <f t="shared" si="652"/>
        <v>71124.579694157699</v>
      </c>
      <c r="AI433" s="265">
        <f t="shared" si="653"/>
        <v>18505.60799008657</v>
      </c>
      <c r="AJ433" s="265">
        <f t="shared" si="654"/>
        <v>43245.882208617048</v>
      </c>
      <c r="AK433" s="265">
        <f t="shared" si="655"/>
        <v>42010.084983026885</v>
      </c>
      <c r="AL433" s="266">
        <f t="shared" si="656"/>
        <v>174886.1548758882</v>
      </c>
      <c r="AM433" s="347"/>
      <c r="AN433" s="264">
        <f>IFERROR(VLOOKUP($A433,'HH &amp; SI'!$B$4:$Z$494,'HH &amp; SI'!V$503,0),0)</f>
        <v>70865.651022162594</v>
      </c>
      <c r="AO433" s="265">
        <f>IFERROR(VLOOKUP($A433,'HH &amp; SI'!$B$4:$Z$494,'HH &amp; SI'!W$503,0),0)</f>
        <v>17896.100921158777</v>
      </c>
      <c r="AP433" s="265">
        <f>IFERROR(VLOOKUP($A433,'HH &amp; SI'!$B$4:$Z$494,'HH &amp; SI'!X$503,0),0)</f>
        <v>42852.577794645964</v>
      </c>
      <c r="AQ433" s="265">
        <f>IFERROR(VLOOKUP($A433,'HH &amp; SI'!$B$4:$Z$494,'HH &amp; SI'!Y$503,0),0)</f>
        <v>41547.209468529778</v>
      </c>
      <c r="AR433" s="266">
        <f t="shared" si="651"/>
        <v>173161.53920649714</v>
      </c>
      <c r="AS433" s="347"/>
      <c r="AT433" s="324">
        <f>IFERROR(VLOOKUP(A433,'Afton FY16 Final'!$A$5:$BV$572,'Afton FY16 Final'!$BV$587,0),0)</f>
        <v>172559.87223435682</v>
      </c>
      <c r="AU433" s="347"/>
      <c r="AV433" s="454">
        <v>0</v>
      </c>
      <c r="AW433" s="265">
        <f>IFERROR(VLOOKUP($A433,'HH &amp; SI'!$B$4:$EY$503,'HH &amp; SI'!EX$503,0),0)</f>
        <v>601.66697214031592</v>
      </c>
      <c r="AX433" s="265">
        <f>IFERROR(VLOOKUP($A433,'HH &amp; SI'!$B$4:$EY$503,'HH &amp; SI'!EY$503,0),0)</f>
        <v>172559.87223435682</v>
      </c>
      <c r="AY433" s="265">
        <f>AX433/$AX$582*'update_State Admin 1004(b)'!$B$30*0.01</f>
        <v>1651.5219388609278</v>
      </c>
      <c r="AZ433" s="266">
        <f t="shared" si="631"/>
        <v>170908.35029549588</v>
      </c>
      <c r="BA433" s="264">
        <f t="shared" si="632"/>
        <v>1709.0835029549589</v>
      </c>
      <c r="BB433" s="265">
        <f t="shared" si="633"/>
        <v>169199.26679254093</v>
      </c>
      <c r="BC433" s="342">
        <f t="shared" si="610"/>
        <v>0.98052498881517602</v>
      </c>
      <c r="BD433" s="347"/>
      <c r="BE433" s="377" t="str">
        <f>'Original Title I &amp; II'!AZ430</f>
        <v/>
      </c>
      <c r="BF433" s="244" t="str">
        <f t="shared" si="666"/>
        <v/>
      </c>
      <c r="BG433" s="266">
        <f t="shared" si="618"/>
        <v>169199.26679254093</v>
      </c>
      <c r="BI433" s="203" t="str">
        <f>IFERROR(VLOOKUP(A433,'Title II Hold Harmless'!A$1:B$439,2, FALSE),"")</f>
        <v/>
      </c>
      <c r="BJ433" s="203">
        <f t="shared" si="657"/>
        <v>2162.2031398165668</v>
      </c>
      <c r="BK433" s="203">
        <f t="shared" si="658"/>
        <v>2164.2948375321516</v>
      </c>
      <c r="BL433" s="203" t="str">
        <f t="shared" si="637"/>
        <v/>
      </c>
      <c r="BM433" s="203">
        <f t="shared" si="638"/>
        <v>2164.2948375321516</v>
      </c>
      <c r="BN433" s="200"/>
      <c r="BP433" s="298" t="s">
        <v>1448</v>
      </c>
      <c r="BQ433" s="299" t="str">
        <f t="shared" si="597"/>
        <v>Y</v>
      </c>
      <c r="BR433" s="300" t="s">
        <v>1448</v>
      </c>
      <c r="BT433" s="298" t="str">
        <f t="shared" si="598"/>
        <v>Y</v>
      </c>
      <c r="BU433" s="299" t="str">
        <f t="shared" si="639"/>
        <v>Y</v>
      </c>
      <c r="BV433" s="299" t="str">
        <f t="shared" si="640"/>
        <v>Y</v>
      </c>
      <c r="BW433" s="300" t="str">
        <f t="shared" si="599"/>
        <v>Y</v>
      </c>
      <c r="BY433" s="355">
        <f t="shared" si="600"/>
        <v>0</v>
      </c>
      <c r="BZ433" s="356">
        <f t="shared" si="601"/>
        <v>0</v>
      </c>
      <c r="CA433" s="356">
        <f t="shared" si="602"/>
        <v>0.95</v>
      </c>
      <c r="CB433" s="357">
        <f t="shared" si="603"/>
        <v>0.95</v>
      </c>
      <c r="CD433" s="312">
        <f t="shared" si="604"/>
        <v>425</v>
      </c>
    </row>
    <row r="434" spans="1:82" s="48" customFormat="1" outlineLevel="1" x14ac:dyDescent="0.3">
      <c r="A434" s="202">
        <v>108666000</v>
      </c>
      <c r="B434" s="48">
        <f>VLOOKUP(C434,'NCES ID'!$A$2:$B$3136,2,FALSE)</f>
        <v>400223</v>
      </c>
      <c r="C434" s="48">
        <f>VLOOKUP(A434,'State ID'!$A$2:$B$713,2,FALSE)</f>
        <v>79049</v>
      </c>
      <c r="D434" s="48" t="s">
        <v>125</v>
      </c>
      <c r="E434" s="48" t="s">
        <v>9</v>
      </c>
      <c r="F434" s="755"/>
      <c r="G434" s="755"/>
      <c r="H434" s="755"/>
      <c r="I434" s="755"/>
      <c r="J434" s="755"/>
      <c r="K434" s="755"/>
      <c r="L434" s="454"/>
      <c r="M434" s="455"/>
      <c r="N434" s="456"/>
      <c r="O434" s="209">
        <f>VLOOKUP($C434,'Final SEA Counts'!$A$2:$F$709,5,FALSE)</f>
        <v>665</v>
      </c>
      <c r="P434" s="223">
        <f>VLOOKUP($C434,'Final SEA Counts'!$A$2:$F$709,6,FALSE)</f>
        <v>229</v>
      </c>
      <c r="Q434" s="749"/>
      <c r="R434" s="454">
        <f t="shared" si="665"/>
        <v>665</v>
      </c>
      <c r="S434" s="455">
        <f t="shared" si="659"/>
        <v>125.74822690118573</v>
      </c>
      <c r="T434" s="230">
        <f t="shared" si="660"/>
        <v>0.18909507804689585</v>
      </c>
      <c r="U434" s="264" t="str">
        <f>IFERROR(VLOOKUP($B434,#REF!,8,FALSE),"")</f>
        <v/>
      </c>
      <c r="V434" s="265" t="str">
        <f>IFERROR(VLOOKUP($B434,#REF!,9,FALSE),"")</f>
        <v/>
      </c>
      <c r="W434" s="265" t="str">
        <f>IFERROR(VLOOKUP($B434,#REF!,10,FALSE),"")</f>
        <v/>
      </c>
      <c r="X434" s="265" t="str">
        <f>IFERROR(VLOOKUP($B434,#REF!,11,FALSE),"")</f>
        <v/>
      </c>
      <c r="Y434" s="266" t="str">
        <f>IFERROR(VLOOKUP($B434,#REF!,12,FALSE),"")</f>
        <v/>
      </c>
      <c r="Z434" s="265">
        <f t="shared" si="661"/>
        <v>60324.180555415231</v>
      </c>
      <c r="AA434" s="265">
        <f t="shared" si="662"/>
        <v>13314.971502458031</v>
      </c>
      <c r="AB434" s="265">
        <f t="shared" si="663"/>
        <v>36678.914910271495</v>
      </c>
      <c r="AC434" s="266">
        <f t="shared" si="664"/>
        <v>35630.775781900578</v>
      </c>
      <c r="AD434" s="265">
        <f t="shared" si="645"/>
        <v>60324.180555415231</v>
      </c>
      <c r="AE434" s="265">
        <f t="shared" si="646"/>
        <v>13314.971502458031</v>
      </c>
      <c r="AF434" s="265">
        <f t="shared" si="647"/>
        <v>36678.914910271495</v>
      </c>
      <c r="AG434" s="266">
        <f t="shared" si="648"/>
        <v>35630.775781900578</v>
      </c>
      <c r="AH434" s="265">
        <f t="shared" si="652"/>
        <v>60324.180555415231</v>
      </c>
      <c r="AI434" s="265">
        <f t="shared" si="653"/>
        <v>16121.704795323341</v>
      </c>
      <c r="AJ434" s="265">
        <f t="shared" si="654"/>
        <v>36678.914910271495</v>
      </c>
      <c r="AK434" s="265">
        <f t="shared" si="655"/>
        <v>35630.775781900578</v>
      </c>
      <c r="AL434" s="266">
        <f t="shared" si="656"/>
        <v>148755.57604291063</v>
      </c>
      <c r="AM434" s="347"/>
      <c r="AN434" s="264">
        <f>IFERROR(VLOOKUP($A434,'HH &amp; SI'!$B$4:$Z$494,'HH &amp; SI'!V$503,0),0)</f>
        <v>59501.319578405732</v>
      </c>
      <c r="AO434" s="265">
        <f>IFERROR(VLOOKUP($A434,'HH &amp; SI'!$B$4:$Z$494,'HH &amp; SI'!W$503,0),0)</f>
        <v>15590.71478185388</v>
      </c>
      <c r="AP434" s="265">
        <f>IFERROR(VLOOKUP($A434,'HH &amp; SI'!$B$4:$Z$494,'HH &amp; SI'!X$503,0),0)</f>
        <v>36345.334499903431</v>
      </c>
      <c r="AQ434" s="265">
        <f>IFERROR(VLOOKUP($A434,'HH &amp; SI'!$B$4:$Z$494,'HH &amp; SI'!Y$503,0),0)</f>
        <v>35238.188771456735</v>
      </c>
      <c r="AR434" s="266">
        <f t="shared" si="651"/>
        <v>146675.55763161977</v>
      </c>
      <c r="AS434" s="347"/>
      <c r="AT434" s="324">
        <f>IFERROR(VLOOKUP(A434,'Afton FY16 Final'!$A$5:$BV$572,'Afton FY16 Final'!$BV$587,0),0)</f>
        <v>137236.89255556933</v>
      </c>
      <c r="AU434" s="347"/>
      <c r="AV434" s="454">
        <v>0</v>
      </c>
      <c r="AW434" s="265">
        <f>IFERROR(VLOOKUP($A434,'HH &amp; SI'!$B$4:$EY$503,'HH &amp; SI'!EX$503,0),0)</f>
        <v>8215.7528184264957</v>
      </c>
      <c r="AX434" s="265">
        <f>IFERROR(VLOOKUP($A434,'HH &amp; SI'!$B$4:$EY$503,'HH &amp; SI'!EY$503,0),0)</f>
        <v>138459.80481319327</v>
      </c>
      <c r="AY434" s="265">
        <f>AX434/$AX$582*'update_State Admin 1004(b)'!$B$30*0.01</f>
        <v>1325.1597972258019</v>
      </c>
      <c r="AZ434" s="266">
        <f t="shared" si="631"/>
        <v>137134.64501596749</v>
      </c>
      <c r="BA434" s="264">
        <f t="shared" si="632"/>
        <v>1371.346450159675</v>
      </c>
      <c r="BB434" s="265">
        <f t="shared" si="633"/>
        <v>135763.29856580781</v>
      </c>
      <c r="BC434" s="342">
        <f t="shared" si="610"/>
        <v>0.98926240632295837</v>
      </c>
      <c r="BD434" s="347"/>
      <c r="BE434" s="377" t="str">
        <f>'Original Title I &amp; II'!AZ431</f>
        <v/>
      </c>
      <c r="BF434" s="244" t="str">
        <f t="shared" si="666"/>
        <v/>
      </c>
      <c r="BG434" s="266">
        <f t="shared" si="618"/>
        <v>135763.29856580781</v>
      </c>
      <c r="BI434" s="203" t="str">
        <f>IFERROR(VLOOKUP(A434,'Title II Hold Harmless'!A$1:B$439,2, FALSE),"")</f>
        <v/>
      </c>
      <c r="BJ434" s="203">
        <f t="shared" si="657"/>
        <v>2181.3483067425723</v>
      </c>
      <c r="BK434" s="203">
        <f t="shared" si="658"/>
        <v>2183.4585253367859</v>
      </c>
      <c r="BL434" s="203" t="str">
        <f t="shared" si="637"/>
        <v/>
      </c>
      <c r="BM434" s="203">
        <f t="shared" si="638"/>
        <v>2183.4585253367859</v>
      </c>
      <c r="BN434" s="200"/>
      <c r="BP434" s="298" t="s">
        <v>1448</v>
      </c>
      <c r="BQ434" s="299" t="str">
        <f t="shared" si="597"/>
        <v>Y</v>
      </c>
      <c r="BR434" s="300" t="s">
        <v>1448</v>
      </c>
      <c r="BT434" s="298" t="str">
        <f t="shared" si="598"/>
        <v>Y</v>
      </c>
      <c r="BU434" s="299" t="str">
        <f t="shared" si="639"/>
        <v>Y</v>
      </c>
      <c r="BV434" s="299" t="str">
        <f t="shared" si="640"/>
        <v>Y</v>
      </c>
      <c r="BW434" s="300" t="str">
        <f t="shared" si="599"/>
        <v>Y</v>
      </c>
      <c r="BY434" s="355">
        <f t="shared" si="600"/>
        <v>0</v>
      </c>
      <c r="BZ434" s="356">
        <f t="shared" si="601"/>
        <v>0.9</v>
      </c>
      <c r="CA434" s="356">
        <f t="shared" si="602"/>
        <v>0</v>
      </c>
      <c r="CB434" s="357">
        <f t="shared" si="603"/>
        <v>0.9</v>
      </c>
      <c r="CD434" s="312">
        <f t="shared" si="604"/>
        <v>426</v>
      </c>
    </row>
    <row r="435" spans="1:82" s="48" customFormat="1" outlineLevel="1" x14ac:dyDescent="0.3">
      <c r="A435" s="202">
        <v>108506000</v>
      </c>
      <c r="B435" s="48">
        <f>VLOOKUP(C435,'NCES ID'!$A$2:$B$3136,2,FALSE)</f>
        <v>400817</v>
      </c>
      <c r="C435" s="48">
        <f>VLOOKUP(A435,'State ID'!$A$2:$B$713,2,FALSE)</f>
        <v>90506</v>
      </c>
      <c r="D435" s="48" t="s">
        <v>142</v>
      </c>
      <c r="E435" s="48" t="s">
        <v>9</v>
      </c>
      <c r="F435" s="755"/>
      <c r="G435" s="755"/>
      <c r="H435" s="755"/>
      <c r="I435" s="755"/>
      <c r="J435" s="755"/>
      <c r="K435" s="755"/>
      <c r="L435" s="454"/>
      <c r="M435" s="455"/>
      <c r="N435" s="456"/>
      <c r="O435" s="209">
        <f>VLOOKUP($C435,'Final SEA Counts'!$A$2:$F$709,5,FALSE)</f>
        <v>78</v>
      </c>
      <c r="P435" s="223">
        <f>VLOOKUP($C435,'Final SEA Counts'!$A$2:$F$709,6,FALSE)</f>
        <v>78</v>
      </c>
      <c r="Q435" s="749"/>
      <c r="R435" s="454">
        <f t="shared" si="665"/>
        <v>78</v>
      </c>
      <c r="S435" s="455">
        <f t="shared" si="659"/>
        <v>42.831273791670249</v>
      </c>
      <c r="T435" s="230">
        <f t="shared" si="660"/>
        <v>0.5491188947650032</v>
      </c>
      <c r="U435" s="264" t="str">
        <f>IFERROR(VLOOKUP($B435,#REF!,8,FALSE),"")</f>
        <v/>
      </c>
      <c r="V435" s="265" t="str">
        <f>IFERROR(VLOOKUP($B435,#REF!,9,FALSE),"")</f>
        <v/>
      </c>
      <c r="W435" s="265" t="str">
        <f>IFERROR(VLOOKUP($B435,#REF!,10,FALSE),"")</f>
        <v/>
      </c>
      <c r="X435" s="265" t="str">
        <f>IFERROR(VLOOKUP($B435,#REF!,11,FALSE),"")</f>
        <v/>
      </c>
      <c r="Y435" s="266" t="str">
        <f>IFERROR(VLOOKUP($B435,#REF!,12,FALSE),"")</f>
        <v/>
      </c>
      <c r="Z435" s="265">
        <f t="shared" si="661"/>
        <v>20547.100800534445</v>
      </c>
      <c r="AA435" s="265">
        <f t="shared" si="662"/>
        <v>4535.2304680861416</v>
      </c>
      <c r="AB435" s="265">
        <f t="shared" si="663"/>
        <v>12493.254860267147</v>
      </c>
      <c r="AC435" s="266">
        <f t="shared" si="664"/>
        <v>12136.246772874432</v>
      </c>
      <c r="AD435" s="265">
        <f t="shared" si="645"/>
        <v>20547.100800534445</v>
      </c>
      <c r="AE435" s="265">
        <f t="shared" si="646"/>
        <v>4535.2304680861416</v>
      </c>
      <c r="AF435" s="265">
        <f t="shared" si="647"/>
        <v>12493.254860267147</v>
      </c>
      <c r="AG435" s="266">
        <f t="shared" si="648"/>
        <v>12136.246772874432</v>
      </c>
      <c r="AH435" s="265">
        <f t="shared" si="652"/>
        <v>20547.100800534445</v>
      </c>
      <c r="AI435" s="265">
        <f t="shared" si="653"/>
        <v>7341.9637609514511</v>
      </c>
      <c r="AJ435" s="265">
        <f t="shared" si="654"/>
        <v>12493.254860267147</v>
      </c>
      <c r="AK435" s="265">
        <f t="shared" si="655"/>
        <v>12136.246772874432</v>
      </c>
      <c r="AL435" s="266">
        <f t="shared" si="656"/>
        <v>52518.56619462747</v>
      </c>
      <c r="AM435" s="347"/>
      <c r="AN435" s="264">
        <f>IFERROR(VLOOKUP($A435,'HH &amp; SI'!$B$4:$Z$494,'HH &amp; SI'!V$503,0),0)</f>
        <v>24799.05105733153</v>
      </c>
      <c r="AO435" s="265">
        <f>IFERROR(VLOOKUP($A435,'HH &amp; SI'!$B$4:$Z$494,'HH &amp; SI'!W$503,0),0)</f>
        <v>8372.3435896121919</v>
      </c>
      <c r="AP435" s="265">
        <f>IFERROR(VLOOKUP($A435,'HH &amp; SI'!$B$4:$Z$494,'HH &amp; SI'!X$503,0),0)</f>
        <v>14179.318861632491</v>
      </c>
      <c r="AQ435" s="265">
        <f>IFERROR(VLOOKUP($A435,'HH &amp; SI'!$B$4:$Z$494,'HH &amp; SI'!Y$503,0),0)</f>
        <v>14213.213713983252</v>
      </c>
      <c r="AR435" s="266">
        <f t="shared" si="651"/>
        <v>61563.927222559461</v>
      </c>
      <c r="AS435" s="347"/>
      <c r="AT435" s="324">
        <f>IFERROR(VLOOKUP(A435,'Afton FY16 Final'!$A$5:$BV$572,'Afton FY16 Final'!$BV$587,0),0)</f>
        <v>62510.586902825416</v>
      </c>
      <c r="AU435" s="347"/>
      <c r="AV435" s="454">
        <v>0</v>
      </c>
      <c r="AW435" s="265">
        <f>IFERROR(VLOOKUP($A435,'HH &amp; SI'!$B$4:$EY$503,'HH &amp; SI'!EX$503,0),0)</f>
        <v>0</v>
      </c>
      <c r="AX435" s="265">
        <f>IFERROR(VLOOKUP($A435,'HH &amp; SI'!$B$4:$EY$503,'HH &amp; SI'!EY$503,0),0)</f>
        <v>61563.927222559461</v>
      </c>
      <c r="AY435" s="265">
        <f>AX435/$AX$582*'update_State Admin 1004(b)'!$B$30*0.01</f>
        <v>589.21100910650216</v>
      </c>
      <c r="AZ435" s="266">
        <f t="shared" si="631"/>
        <v>60974.716213452957</v>
      </c>
      <c r="BA435" s="264">
        <f t="shared" si="632"/>
        <v>609.74716213452962</v>
      </c>
      <c r="BB435" s="265">
        <f t="shared" si="633"/>
        <v>60364.969051318425</v>
      </c>
      <c r="BC435" s="342">
        <f t="shared" si="610"/>
        <v>0.96567592854563311</v>
      </c>
      <c r="BD435" s="347"/>
      <c r="BE435" s="377" t="str">
        <f>'Original Title I &amp; II'!AZ432</f>
        <v/>
      </c>
      <c r="BF435" s="244" t="str">
        <f t="shared" si="666"/>
        <v/>
      </c>
      <c r="BG435" s="266">
        <f t="shared" si="618"/>
        <v>60364.969051318425</v>
      </c>
      <c r="BI435" s="203" t="str">
        <f>IFERROR(VLOOKUP(A435,'Title II Hold Harmless'!A$1:B$439,2, FALSE),"")</f>
        <v/>
      </c>
      <c r="BJ435" s="203">
        <f t="shared" si="657"/>
        <v>623.47397417329773</v>
      </c>
      <c r="BK435" s="203">
        <f t="shared" si="658"/>
        <v>624.07711782039064</v>
      </c>
      <c r="BL435" s="203" t="str">
        <f t="shared" si="637"/>
        <v/>
      </c>
      <c r="BM435" s="203">
        <f t="shared" si="638"/>
        <v>624.07711782039064</v>
      </c>
      <c r="BN435" s="200"/>
      <c r="BP435" s="298" t="s">
        <v>1448</v>
      </c>
      <c r="BQ435" s="299" t="str">
        <f t="shared" si="597"/>
        <v>Y</v>
      </c>
      <c r="BR435" s="300" t="s">
        <v>1448</v>
      </c>
      <c r="BT435" s="298" t="str">
        <f t="shared" si="598"/>
        <v>Y</v>
      </c>
      <c r="BU435" s="299" t="str">
        <f t="shared" si="639"/>
        <v>Y</v>
      </c>
      <c r="BV435" s="299" t="str">
        <f t="shared" si="640"/>
        <v>Y</v>
      </c>
      <c r="BW435" s="300" t="str">
        <f t="shared" si="599"/>
        <v>Y</v>
      </c>
      <c r="BY435" s="355">
        <f t="shared" si="600"/>
        <v>0</v>
      </c>
      <c r="BZ435" s="356">
        <f t="shared" si="601"/>
        <v>0</v>
      </c>
      <c r="CA435" s="356">
        <f t="shared" si="602"/>
        <v>0.95</v>
      </c>
      <c r="CB435" s="357">
        <f t="shared" si="603"/>
        <v>0.95</v>
      </c>
      <c r="CD435" s="312">
        <f t="shared" si="604"/>
        <v>427</v>
      </c>
    </row>
    <row r="436" spans="1:82" s="48" customFormat="1" outlineLevel="1" x14ac:dyDescent="0.3">
      <c r="A436" s="202">
        <v>108653000</v>
      </c>
      <c r="B436" s="48">
        <f>VLOOKUP(C436,'NCES ID'!$A$2:$B$3136,2,FALSE)</f>
        <v>400078</v>
      </c>
      <c r="C436" s="48">
        <f>VLOOKUP(A436,'State ID'!$A$2:$B$713,2,FALSE)</f>
        <v>4421</v>
      </c>
      <c r="D436" s="48" t="s">
        <v>143</v>
      </c>
      <c r="E436" s="48" t="s">
        <v>9</v>
      </c>
      <c r="F436" s="755"/>
      <c r="G436" s="755"/>
      <c r="H436" s="755"/>
      <c r="I436" s="755"/>
      <c r="J436" s="755"/>
      <c r="K436" s="755"/>
      <c r="L436" s="454"/>
      <c r="M436" s="455"/>
      <c r="N436" s="456"/>
      <c r="O436" s="209">
        <f>VLOOKUP($C436,'Final SEA Counts'!$A$2:$F$709,5,FALSE)</f>
        <v>115</v>
      </c>
      <c r="P436" s="223">
        <f>VLOOKUP($C436,'Final SEA Counts'!$A$2:$F$709,6,FALSE)</f>
        <v>88</v>
      </c>
      <c r="Q436" s="749"/>
      <c r="R436" s="454">
        <f t="shared" si="665"/>
        <v>115</v>
      </c>
      <c r="S436" s="455">
        <f t="shared" si="659"/>
        <v>48.322462739320279</v>
      </c>
      <c r="T436" s="230">
        <f t="shared" si="660"/>
        <v>0.42019532816800242</v>
      </c>
      <c r="U436" s="264" t="str">
        <f>IFERROR(VLOOKUP($B436,#REF!,8,FALSE),"")</f>
        <v/>
      </c>
      <c r="V436" s="265" t="str">
        <f>IFERROR(VLOOKUP($B436,#REF!,9,FALSE),"")</f>
        <v/>
      </c>
      <c r="W436" s="265" t="str">
        <f>IFERROR(VLOOKUP($B436,#REF!,10,FALSE),"")</f>
        <v/>
      </c>
      <c r="X436" s="265" t="str">
        <f>IFERROR(VLOOKUP($B436,#REF!,11,FALSE),"")</f>
        <v/>
      </c>
      <c r="Y436" s="266" t="str">
        <f>IFERROR(VLOOKUP($B436,#REF!,12,FALSE),"")</f>
        <v/>
      </c>
      <c r="Z436" s="265">
        <f t="shared" si="661"/>
        <v>23181.344492910655</v>
      </c>
      <c r="AA436" s="265">
        <f t="shared" si="662"/>
        <v>5116.6702716869286</v>
      </c>
      <c r="AB436" s="265">
        <f t="shared" si="663"/>
        <v>14094.954201327037</v>
      </c>
      <c r="AC436" s="266">
        <f t="shared" si="664"/>
        <v>13692.175846319871</v>
      </c>
      <c r="AD436" s="265">
        <f t="shared" si="645"/>
        <v>23181.344492910655</v>
      </c>
      <c r="AE436" s="265">
        <f t="shared" si="646"/>
        <v>5116.6702716869286</v>
      </c>
      <c r="AF436" s="265">
        <f t="shared" si="647"/>
        <v>14094.954201327037</v>
      </c>
      <c r="AG436" s="266">
        <f t="shared" si="648"/>
        <v>13692.175846319871</v>
      </c>
      <c r="AH436" s="265">
        <f t="shared" si="652"/>
        <v>23181.344492910655</v>
      </c>
      <c r="AI436" s="265">
        <f t="shared" si="653"/>
        <v>7923.4035645522381</v>
      </c>
      <c r="AJ436" s="265">
        <f t="shared" si="654"/>
        <v>14094.954201327037</v>
      </c>
      <c r="AK436" s="265">
        <f t="shared" si="655"/>
        <v>13692.175846319871</v>
      </c>
      <c r="AL436" s="266">
        <f t="shared" si="656"/>
        <v>58891.878105109798</v>
      </c>
      <c r="AM436" s="347"/>
      <c r="AN436" s="264">
        <f>IFERROR(VLOOKUP($A436,'HH &amp; SI'!$B$4:$Z$494,'HH &amp; SI'!V$503,0),0)</f>
        <v>36167.946372307051</v>
      </c>
      <c r="AO436" s="265">
        <f>IFERROR(VLOOKUP($A436,'HH &amp; SI'!$B$4:$Z$494,'HH &amp; SI'!W$503,0),0)</f>
        <v>10421.305788758338</v>
      </c>
      <c r="AP436" s="265">
        <f>IFERROR(VLOOKUP($A436,'HH &amp; SI'!$B$4:$Z$494,'HH &amp; SI'!X$503,0),0)</f>
        <v>19671.812429079757</v>
      </c>
      <c r="AQ436" s="265">
        <f>IFERROR(VLOOKUP($A436,'HH &amp; SI'!$B$4:$Z$494,'HH &amp; SI'!Y$503,0),0)</f>
        <v>20395.833436173813</v>
      </c>
      <c r="AR436" s="266">
        <f t="shared" si="651"/>
        <v>86656.898026318959</v>
      </c>
      <c r="AS436" s="347"/>
      <c r="AT436" s="324">
        <f>IFERROR(VLOOKUP(A436,'Afton FY16 Final'!$A$5:$BV$572,'Afton FY16 Final'!$BV$587,0),0)</f>
        <v>89421.709177401979</v>
      </c>
      <c r="AU436" s="347"/>
      <c r="AV436" s="454">
        <v>0</v>
      </c>
      <c r="AW436" s="265">
        <f>IFERROR(VLOOKUP($A436,'HH &amp; SI'!$B$4:$EY$503,'HH &amp; SI'!EX$503,0),0)</f>
        <v>0</v>
      </c>
      <c r="AX436" s="265">
        <f>IFERROR(VLOOKUP($A436,'HH &amp; SI'!$B$4:$EY$503,'HH &amp; SI'!EY$503,0),0)</f>
        <v>86656.898026318959</v>
      </c>
      <c r="AY436" s="265">
        <f>AX436/$AX$582*'update_State Admin 1004(b)'!$B$30*0.01</f>
        <v>829.36876569850347</v>
      </c>
      <c r="AZ436" s="266">
        <f t="shared" si="631"/>
        <v>85827.52926062046</v>
      </c>
      <c r="BA436" s="264">
        <f t="shared" si="632"/>
        <v>858.27529260620463</v>
      </c>
      <c r="BB436" s="265">
        <f t="shared" si="633"/>
        <v>84969.253968014251</v>
      </c>
      <c r="BC436" s="342">
        <f t="shared" si="610"/>
        <v>0.95020834146040989</v>
      </c>
      <c r="BD436" s="347"/>
      <c r="BE436" s="377" t="str">
        <f>'Original Title I &amp; II'!AZ433</f>
        <v/>
      </c>
      <c r="BF436" s="244" t="str">
        <f t="shared" si="666"/>
        <v/>
      </c>
      <c r="BG436" s="266">
        <f t="shared" si="618"/>
        <v>84969.253968014251</v>
      </c>
      <c r="BI436" s="203">
        <f>IFERROR(VLOOKUP(A436,'Title II Hold Harmless'!A$1:B$439,2, FALSE),"")</f>
        <v>5669</v>
      </c>
      <c r="BJ436" s="203">
        <f t="shared" si="657"/>
        <v>6394.1361265810237</v>
      </c>
      <c r="BK436" s="203">
        <f t="shared" si="658"/>
        <v>6400.3217618170547</v>
      </c>
      <c r="BL436" s="203" t="str">
        <f t="shared" si="637"/>
        <v/>
      </c>
      <c r="BM436" s="203">
        <f t="shared" si="638"/>
        <v>6400.3217618170547</v>
      </c>
      <c r="BN436" s="200"/>
      <c r="BP436" s="298" t="s">
        <v>1448</v>
      </c>
      <c r="BQ436" s="299" t="str">
        <f t="shared" si="597"/>
        <v>Y</v>
      </c>
      <c r="BR436" s="300" t="s">
        <v>1448</v>
      </c>
      <c r="BT436" s="298" t="str">
        <f t="shared" si="598"/>
        <v>Y</v>
      </c>
      <c r="BU436" s="299" t="str">
        <f t="shared" si="639"/>
        <v>Y</v>
      </c>
      <c r="BV436" s="299" t="str">
        <f t="shared" si="640"/>
        <v>Y</v>
      </c>
      <c r="BW436" s="300" t="str">
        <f t="shared" si="599"/>
        <v>Y</v>
      </c>
      <c r="BY436" s="355">
        <f t="shared" si="600"/>
        <v>0</v>
      </c>
      <c r="BZ436" s="356">
        <f t="shared" si="601"/>
        <v>0</v>
      </c>
      <c r="CA436" s="356">
        <f t="shared" si="602"/>
        <v>0.95</v>
      </c>
      <c r="CB436" s="357">
        <f t="shared" si="603"/>
        <v>0.95</v>
      </c>
      <c r="CD436" s="312">
        <f t="shared" si="604"/>
        <v>428</v>
      </c>
    </row>
    <row r="437" spans="1:82" s="48" customFormat="1" outlineLevel="1" x14ac:dyDescent="0.3">
      <c r="A437" s="202">
        <v>108770000</v>
      </c>
      <c r="B437" s="48">
        <f>VLOOKUP(C437,'NCES ID'!$A$2:$B$3136,2,FALSE)</f>
        <v>400205</v>
      </c>
      <c r="C437" s="48">
        <f>VLOOKUP(A437,'State ID'!$A$2:$B$713,2,FALSE)</f>
        <v>10974</v>
      </c>
      <c r="D437" s="48" t="s">
        <v>188</v>
      </c>
      <c r="E437" s="48" t="s">
        <v>9</v>
      </c>
      <c r="F437" s="755"/>
      <c r="G437" s="755"/>
      <c r="H437" s="755"/>
      <c r="I437" s="755"/>
      <c r="J437" s="755"/>
      <c r="K437" s="755"/>
      <c r="L437" s="454"/>
      <c r="M437" s="455"/>
      <c r="N437" s="456"/>
      <c r="O437" s="209">
        <f>VLOOKUP($C437,'Final SEA Counts'!$A$2:$F$709,5,FALSE)</f>
        <v>294</v>
      </c>
      <c r="P437" s="223">
        <f>VLOOKUP($C437,'Final SEA Counts'!$A$2:$F$709,6,FALSE)</f>
        <v>81</v>
      </c>
      <c r="Q437" s="749"/>
      <c r="R437" s="454">
        <f t="shared" si="665"/>
        <v>294</v>
      </c>
      <c r="S437" s="455">
        <f t="shared" si="659"/>
        <v>44.478630475965261</v>
      </c>
      <c r="T437" s="230">
        <f t="shared" si="660"/>
        <v>0.1512878587617866</v>
      </c>
      <c r="U437" s="264" t="str">
        <f>IFERROR(VLOOKUP($B437,#REF!,8,FALSE),"")</f>
        <v/>
      </c>
      <c r="V437" s="265" t="str">
        <f>IFERROR(VLOOKUP($B437,#REF!,9,FALSE),"")</f>
        <v/>
      </c>
      <c r="W437" s="265" t="str">
        <f>IFERROR(VLOOKUP($B437,#REF!,10,FALSE),"")</f>
        <v/>
      </c>
      <c r="X437" s="265" t="str">
        <f>IFERROR(VLOOKUP($B437,#REF!,11,FALSE),"")</f>
        <v/>
      </c>
      <c r="Y437" s="266" t="str">
        <f>IFERROR(VLOOKUP($B437,#REF!,12,FALSE),"")</f>
        <v/>
      </c>
      <c r="Z437" s="265">
        <f t="shared" si="661"/>
        <v>21337.373908247311</v>
      </c>
      <c r="AA437" s="265">
        <f t="shared" si="662"/>
        <v>4709.662409166378</v>
      </c>
      <c r="AB437" s="265">
        <f t="shared" si="663"/>
        <v>12973.764662585114</v>
      </c>
      <c r="AC437" s="266">
        <f t="shared" si="664"/>
        <v>12603.025494908065</v>
      </c>
      <c r="AD437" s="265">
        <f t="shared" si="645"/>
        <v>21337.373908247311</v>
      </c>
      <c r="AE437" s="265">
        <f t="shared" si="646"/>
        <v>4709.662409166378</v>
      </c>
      <c r="AF437" s="265">
        <f t="shared" si="647"/>
        <v>12973.764662585114</v>
      </c>
      <c r="AG437" s="266">
        <f t="shared" si="648"/>
        <v>12603.025494908065</v>
      </c>
      <c r="AH437" s="265">
        <f t="shared" si="652"/>
        <v>21337.373908247311</v>
      </c>
      <c r="AI437" s="265">
        <f t="shared" si="653"/>
        <v>7516.3957020316875</v>
      </c>
      <c r="AJ437" s="265">
        <f t="shared" si="654"/>
        <v>12973.764662585114</v>
      </c>
      <c r="AK437" s="265">
        <f t="shared" si="655"/>
        <v>12603.025494908065</v>
      </c>
      <c r="AL437" s="266">
        <f t="shared" si="656"/>
        <v>54430.559767772174</v>
      </c>
      <c r="AM437" s="347"/>
      <c r="AN437" s="264">
        <f>IFERROR(VLOOKUP($A437,'HH &amp; SI'!$B$4:$Z$494,'HH &amp; SI'!V$503,0),0)</f>
        <v>22552.836907129222</v>
      </c>
      <c r="AO437" s="265">
        <f>IFERROR(VLOOKUP($A437,'HH &amp; SI'!$B$4:$Z$494,'HH &amp; SI'!W$503,0),0)</f>
        <v>7915.2188202906354</v>
      </c>
      <c r="AP437" s="265">
        <f>IFERROR(VLOOKUP($A437,'HH &amp; SI'!$B$4:$Z$494,'HH &amp; SI'!X$503,0),0)</f>
        <v>12885.441995794537</v>
      </c>
      <c r="AQ437" s="265">
        <f>IFERROR(VLOOKUP($A437,'HH &amp; SI'!$B$4:$Z$494,'HH &amp; SI'!Y$503,0),0)</f>
        <v>12574.861513456421</v>
      </c>
      <c r="AR437" s="266">
        <f t="shared" si="651"/>
        <v>55928.359236670818</v>
      </c>
      <c r="AS437" s="347"/>
      <c r="AT437" s="324">
        <f>IFERROR(VLOOKUP(A437,'Afton FY16 Final'!$A$5:$BV$572,'Afton FY16 Final'!$BV$587,0),0)</f>
        <v>55172.107105148032</v>
      </c>
      <c r="AU437" s="347"/>
      <c r="AV437" s="454">
        <v>0</v>
      </c>
      <c r="AW437" s="265">
        <f>IFERROR(VLOOKUP($A437,'HH &amp; SI'!$B$4:$EY$503,'HH &amp; SI'!EX$503,0),0)</f>
        <v>756.25213152278593</v>
      </c>
      <c r="AX437" s="265">
        <f>IFERROR(VLOOKUP($A437,'HH &amp; SI'!$B$4:$EY$503,'HH &amp; SI'!EY$503,0),0)</f>
        <v>55172.107105148032</v>
      </c>
      <c r="AY437" s="265">
        <f>AX437/$AX$582*'update_State Admin 1004(b)'!$B$30*0.01</f>
        <v>528.03669890058711</v>
      </c>
      <c r="AZ437" s="266">
        <f t="shared" si="631"/>
        <v>54644.070406247447</v>
      </c>
      <c r="BA437" s="264">
        <f t="shared" si="632"/>
        <v>546.44070406247442</v>
      </c>
      <c r="BB437" s="265">
        <f t="shared" si="633"/>
        <v>54097.629702184975</v>
      </c>
      <c r="BC437" s="342">
        <f t="shared" si="610"/>
        <v>0.98052498881517614</v>
      </c>
      <c r="BD437" s="347"/>
      <c r="BE437" s="377" t="str">
        <f>'Original Title I &amp; II'!AZ434</f>
        <v/>
      </c>
      <c r="BF437" s="244" t="str">
        <f t="shared" si="666"/>
        <v/>
      </c>
      <c r="BG437" s="266">
        <f t="shared" ref="BG437:BG463" si="667">IF(BF437&lt;0,BB437+BF437,BB437)</f>
        <v>54097.629702184975</v>
      </c>
      <c r="BI437" s="203">
        <f>IFERROR(VLOOKUP(A437,'Title II Hold Harmless'!A$1:B$439,2, FALSE),"")</f>
        <v>2147</v>
      </c>
      <c r="BJ437" s="203">
        <f t="shared" si="657"/>
        <v>2965.8760762724751</v>
      </c>
      <c r="BK437" s="203">
        <f t="shared" si="658"/>
        <v>2968.7452406443172</v>
      </c>
      <c r="BL437" s="203" t="str">
        <f t="shared" si="637"/>
        <v/>
      </c>
      <c r="BM437" s="203">
        <f t="shared" si="638"/>
        <v>2968.7452406443172</v>
      </c>
      <c r="BN437" s="200"/>
      <c r="BP437" s="298" t="s">
        <v>1448</v>
      </c>
      <c r="BQ437" s="299" t="str">
        <f t="shared" si="597"/>
        <v>Y</v>
      </c>
      <c r="BR437" s="300" t="s">
        <v>1448</v>
      </c>
      <c r="BT437" s="298" t="str">
        <f t="shared" si="598"/>
        <v>Y</v>
      </c>
      <c r="BU437" s="299" t="str">
        <f t="shared" si="639"/>
        <v>Y</v>
      </c>
      <c r="BV437" s="299" t="str">
        <f t="shared" si="640"/>
        <v>Y</v>
      </c>
      <c r="BW437" s="300" t="str">
        <f t="shared" si="599"/>
        <v>Y</v>
      </c>
      <c r="BY437" s="355">
        <f t="shared" si="600"/>
        <v>0</v>
      </c>
      <c r="BZ437" s="356">
        <f t="shared" si="601"/>
        <v>0.9</v>
      </c>
      <c r="CA437" s="356">
        <f t="shared" si="602"/>
        <v>0</v>
      </c>
      <c r="CB437" s="357">
        <f t="shared" si="603"/>
        <v>0.9</v>
      </c>
      <c r="CD437" s="312">
        <f t="shared" si="604"/>
        <v>429</v>
      </c>
    </row>
    <row r="438" spans="1:82" s="48" customFormat="1" outlineLevel="1" x14ac:dyDescent="0.3">
      <c r="A438" s="202">
        <v>108789000</v>
      </c>
      <c r="B438" s="48">
        <f>VLOOKUP(C438,'NCES ID'!$A$2:$B$3136,2,FALSE)</f>
        <v>400343</v>
      </c>
      <c r="C438" s="48">
        <f>VLOOKUP(A438,'State ID'!$A$2:$B$713,2,FALSE)</f>
        <v>79500</v>
      </c>
      <c r="D438" s="48" t="s">
        <v>189</v>
      </c>
      <c r="E438" s="48" t="s">
        <v>9</v>
      </c>
      <c r="F438" s="755"/>
      <c r="G438" s="755"/>
      <c r="H438" s="755"/>
      <c r="I438" s="755"/>
      <c r="J438" s="755"/>
      <c r="K438" s="755"/>
      <c r="L438" s="454"/>
      <c r="M438" s="455"/>
      <c r="N438" s="456"/>
      <c r="O438" s="209">
        <f>VLOOKUP($C438,'Final SEA Counts'!$A$2:$F$709,5,FALSE)</f>
        <v>288</v>
      </c>
      <c r="P438" s="223">
        <f>VLOOKUP($C438,'Final SEA Counts'!$A$2:$F$709,6,FALSE)</f>
        <v>277</v>
      </c>
      <c r="Q438" s="749"/>
      <c r="R438" s="454">
        <f t="shared" si="665"/>
        <v>288</v>
      </c>
      <c r="S438" s="455">
        <f t="shared" si="659"/>
        <v>152.10593384990588</v>
      </c>
      <c r="T438" s="230">
        <f t="shared" si="660"/>
        <v>0.52814560364550656</v>
      </c>
      <c r="U438" s="264" t="str">
        <f>IFERROR(VLOOKUP($B438,#REF!,8,FALSE),"")</f>
        <v/>
      </c>
      <c r="V438" s="265" t="str">
        <f>IFERROR(VLOOKUP($B438,#REF!,9,FALSE),"")</f>
        <v/>
      </c>
      <c r="W438" s="265" t="str">
        <f>IFERROR(VLOOKUP($B438,#REF!,10,FALSE),"")</f>
        <v/>
      </c>
      <c r="X438" s="265" t="str">
        <f>IFERROR(VLOOKUP($B438,#REF!,11,FALSE),"")</f>
        <v/>
      </c>
      <c r="Y438" s="266" t="str">
        <f>IFERROR(VLOOKUP($B438,#REF!,12,FALSE),"")</f>
        <v/>
      </c>
      <c r="Z438" s="265">
        <f t="shared" si="661"/>
        <v>72968.550278821043</v>
      </c>
      <c r="AA438" s="265">
        <f t="shared" si="662"/>
        <v>16105.882559741809</v>
      </c>
      <c r="AB438" s="265">
        <f t="shared" si="663"/>
        <v>44367.071747358968</v>
      </c>
      <c r="AC438" s="266">
        <f t="shared" si="664"/>
        <v>43099.235334438687</v>
      </c>
      <c r="AD438" s="265">
        <f t="shared" si="645"/>
        <v>72968.550278821043</v>
      </c>
      <c r="AE438" s="265">
        <f t="shared" si="646"/>
        <v>16105.882559741809</v>
      </c>
      <c r="AF438" s="265">
        <f t="shared" si="647"/>
        <v>44367.071747358968</v>
      </c>
      <c r="AG438" s="266">
        <f t="shared" si="648"/>
        <v>43099.235334438687</v>
      </c>
      <c r="AH438" s="265">
        <f t="shared" si="652"/>
        <v>72968.550278821043</v>
      </c>
      <c r="AI438" s="265">
        <f t="shared" si="653"/>
        <v>18912.615852607119</v>
      </c>
      <c r="AJ438" s="265">
        <f t="shared" si="654"/>
        <v>44367.071747358968</v>
      </c>
      <c r="AK438" s="265">
        <f t="shared" si="655"/>
        <v>43099.235334438687</v>
      </c>
      <c r="AL438" s="266">
        <f t="shared" si="656"/>
        <v>179347.47321322581</v>
      </c>
      <c r="AM438" s="347"/>
      <c r="AN438" s="264">
        <f>IFERROR(VLOOKUP($A438,'HH &amp; SI'!$B$4:$Z$494,'HH &amp; SI'!V$503,0),0)</f>
        <v>82921.63314626494</v>
      </c>
      <c r="AO438" s="265">
        <f>IFERROR(VLOOKUP($A438,'HH &amp; SI'!$B$4:$Z$494,'HH &amp; SI'!W$503,0),0)</f>
        <v>20040.045001416631</v>
      </c>
      <c r="AP438" s="265">
        <f>IFERROR(VLOOKUP($A438,'HH &amp; SI'!$B$4:$Z$494,'HH &amp; SI'!X$503,0),0)</f>
        <v>45101.228495938944</v>
      </c>
      <c r="AQ438" s="265">
        <f>IFERROR(VLOOKUP($A438,'HH &amp; SI'!$B$4:$Z$494,'HH &amp; SI'!Y$503,0),0)</f>
        <v>46761.179097569227</v>
      </c>
      <c r="AR438" s="266">
        <f t="shared" si="651"/>
        <v>194824.08574118975</v>
      </c>
      <c r="AS438" s="347"/>
      <c r="AT438" s="324">
        <f>IFERROR(VLOOKUP(A438,'Afton FY16 Final'!$A$5:$BV$572,'Afton FY16 Final'!$BV$587,0),0)</f>
        <v>189558.67459034952</v>
      </c>
      <c r="AU438" s="347"/>
      <c r="AV438" s="454">
        <v>0</v>
      </c>
      <c r="AW438" s="265">
        <f>IFERROR(VLOOKUP($A438,'HH &amp; SI'!$B$4:$EY$503,'HH &amp; SI'!EX$503,0),0)</f>
        <v>5265.4111508402275</v>
      </c>
      <c r="AX438" s="265">
        <f>IFERROR(VLOOKUP($A438,'HH &amp; SI'!$B$4:$EY$503,'HH &amp; SI'!EY$503,0),0)</f>
        <v>189558.67459034952</v>
      </c>
      <c r="AY438" s="265">
        <f>AX438/$AX$582*'update_State Admin 1004(b)'!$B$30*0.01</f>
        <v>1814.2126888120815</v>
      </c>
      <c r="AZ438" s="266">
        <f t="shared" si="631"/>
        <v>187744.46190153743</v>
      </c>
      <c r="BA438" s="264">
        <f t="shared" si="632"/>
        <v>1877.4446190153744</v>
      </c>
      <c r="BB438" s="265">
        <f t="shared" si="633"/>
        <v>185867.01728252205</v>
      </c>
      <c r="BC438" s="342">
        <f t="shared" si="610"/>
        <v>0.98052498881517602</v>
      </c>
      <c r="BD438" s="347"/>
      <c r="BE438" s="377" t="str">
        <f>'Original Title I &amp; II'!AZ435</f>
        <v/>
      </c>
      <c r="BF438" s="244" t="str">
        <f t="shared" si="666"/>
        <v/>
      </c>
      <c r="BG438" s="266">
        <f t="shared" si="667"/>
        <v>185867.01728252205</v>
      </c>
      <c r="BI438" s="203">
        <f>IFERROR(VLOOKUP(A438,'Title II Hold Harmless'!A$1:B$439,2, FALSE),"")</f>
        <v>4095</v>
      </c>
      <c r="BJ438" s="203">
        <f t="shared" si="657"/>
        <v>6317.9847305075309</v>
      </c>
      <c r="BK438" s="203">
        <f t="shared" si="658"/>
        <v>6324.0966975029278</v>
      </c>
      <c r="BL438" s="203" t="str">
        <f t="shared" si="637"/>
        <v/>
      </c>
      <c r="BM438" s="203">
        <f t="shared" si="638"/>
        <v>6324.0966975029278</v>
      </c>
      <c r="BN438" s="200"/>
      <c r="BP438" s="298" t="s">
        <v>1448</v>
      </c>
      <c r="BQ438" s="299" t="str">
        <f t="shared" si="597"/>
        <v>Y</v>
      </c>
      <c r="BR438" s="300" t="s">
        <v>1448</v>
      </c>
      <c r="BT438" s="298" t="str">
        <f t="shared" si="598"/>
        <v>Y</v>
      </c>
      <c r="BU438" s="299" t="str">
        <f t="shared" ref="BU438:BU463" si="668">IF(AND(BT438="Y",(OR(T438&gt;0.15,S438&gt;6500))),"Y","N")</f>
        <v>Y</v>
      </c>
      <c r="BV438" s="299" t="str">
        <f t="shared" ref="BV438:BV463" si="669">IF(AND(BT438="Y",T438&gt;=0.05),"Y","N")</f>
        <v>Y</v>
      </c>
      <c r="BW438" s="300" t="str">
        <f t="shared" si="599"/>
        <v>Y</v>
      </c>
      <c r="BY438" s="355">
        <f t="shared" si="600"/>
        <v>0</v>
      </c>
      <c r="BZ438" s="356">
        <f t="shared" si="601"/>
        <v>0</v>
      </c>
      <c r="CA438" s="356">
        <f t="shared" si="602"/>
        <v>0.95</v>
      </c>
      <c r="CB438" s="357">
        <f t="shared" si="603"/>
        <v>0.95</v>
      </c>
      <c r="CD438" s="312">
        <f t="shared" si="604"/>
        <v>430</v>
      </c>
    </row>
    <row r="439" spans="1:82" s="48" customFormat="1" outlineLevel="1" x14ac:dyDescent="0.3">
      <c r="A439" s="202">
        <v>108726000</v>
      </c>
      <c r="B439" s="48">
        <f>VLOOKUP(C439,'NCES ID'!$A$2:$B$3136,2,FALSE)</f>
        <v>400147</v>
      </c>
      <c r="C439" s="48">
        <f>VLOOKUP(A439,'State ID'!$A$2:$B$713,2,FALSE)</f>
        <v>6369</v>
      </c>
      <c r="D439" s="48" t="s">
        <v>190</v>
      </c>
      <c r="E439" s="48" t="s">
        <v>9</v>
      </c>
      <c r="F439" s="755"/>
      <c r="G439" s="755"/>
      <c r="H439" s="755"/>
      <c r="I439" s="755"/>
      <c r="J439" s="755"/>
      <c r="K439" s="755"/>
      <c r="L439" s="454"/>
      <c r="M439" s="455"/>
      <c r="N439" s="456"/>
      <c r="O439" s="209">
        <f>VLOOKUP($C439,'Final SEA Counts'!$A$2:$F$709,5,FALSE)</f>
        <v>50</v>
      </c>
      <c r="P439" s="223">
        <f>VLOOKUP($C439,'Final SEA Counts'!$A$2:$F$709,6,FALSE)</f>
        <v>50</v>
      </c>
      <c r="Q439" s="749"/>
      <c r="R439" s="454">
        <f t="shared" si="665"/>
        <v>50</v>
      </c>
      <c r="S439" s="455">
        <f t="shared" si="659"/>
        <v>27.45594473825016</v>
      </c>
      <c r="T439" s="230">
        <f t="shared" si="660"/>
        <v>0.5491188947650032</v>
      </c>
      <c r="U439" s="264"/>
      <c r="V439" s="265"/>
      <c r="W439" s="265"/>
      <c r="X439" s="265"/>
      <c r="Y439" s="266"/>
      <c r="Z439" s="265">
        <f t="shared" si="661"/>
        <v>13171.218461881055</v>
      </c>
      <c r="AA439" s="265">
        <f t="shared" si="662"/>
        <v>2907.1990180039365</v>
      </c>
      <c r="AB439" s="265">
        <f t="shared" si="663"/>
        <v>8008.4967052994534</v>
      </c>
      <c r="AC439" s="266">
        <f t="shared" si="664"/>
        <v>7779.6453672272</v>
      </c>
      <c r="AD439" s="265">
        <f t="shared" ref="AD439:AD463" si="670">IF(BT439="Y",Z439,"")</f>
        <v>13171.218461881055</v>
      </c>
      <c r="AE439" s="265">
        <f t="shared" ref="AE439:AE463" si="671">IF(BU439="Y",AA439,"")</f>
        <v>2907.1990180039365</v>
      </c>
      <c r="AF439" s="265">
        <f t="shared" ref="AF439:AF463" si="672">IF(BV439="Y",AB439,"")</f>
        <v>8008.4967052994534</v>
      </c>
      <c r="AG439" s="266">
        <f t="shared" ref="AG439:AG463" si="673">IF(BW439="Y",AC439,"")</f>
        <v>7779.6453672272</v>
      </c>
      <c r="AH439" s="265">
        <f t="shared" si="652"/>
        <v>13171.218461881055</v>
      </c>
      <c r="AI439" s="265">
        <f t="shared" si="653"/>
        <v>5713.9323108692461</v>
      </c>
      <c r="AJ439" s="265">
        <f t="shared" si="654"/>
        <v>8008.4967052994534</v>
      </c>
      <c r="AK439" s="265">
        <f t="shared" si="655"/>
        <v>7779.6453672272</v>
      </c>
      <c r="AL439" s="266">
        <f t="shared" si="656"/>
        <v>34673.292845276956</v>
      </c>
      <c r="AM439" s="347"/>
      <c r="AN439" s="264">
        <f>IFERROR(VLOOKUP($A439,'HH &amp; SI'!$B$4:$Z$494,'HH &amp; SI'!V$503,0),0)</f>
        <v>28415.57933652572</v>
      </c>
      <c r="AO439" s="265">
        <f>IFERROR(VLOOKUP($A439,'HH &amp; SI'!$B$4:$Z$494,'HH &amp; SI'!W$503,0),0)</f>
        <v>9169.1622226134714</v>
      </c>
      <c r="AP439" s="265">
        <f>IFERROR(VLOOKUP($A439,'HH &amp; SI'!$B$4:$Z$494,'HH &amp; SI'!X$503,0),0)</f>
        <v>16247.136195620562</v>
      </c>
      <c r="AQ439" s="265">
        <f>IFERROR(VLOOKUP($A439,'HH &amp; SI'!$B$4:$Z$494,'HH &amp; SI'!Y$503,0),0)</f>
        <v>16285.974047272477</v>
      </c>
      <c r="AR439" s="266">
        <f t="shared" si="651"/>
        <v>70117.851802032237</v>
      </c>
      <c r="AS439" s="347"/>
      <c r="AT439" s="324">
        <f>IFERROR(VLOOKUP(A439,'Afton FY16 Final'!$A$5:$BV$572,'Afton FY16 Final'!$BV$587,0),0)</f>
        <v>67259.664213045733</v>
      </c>
      <c r="AU439" s="347"/>
      <c r="AV439" s="454">
        <v>0</v>
      </c>
      <c r="AW439" s="265">
        <f>IFERROR(VLOOKUP($A439,'HH &amp; SI'!$B$4:$EY$503,'HH &amp; SI'!EX$503,0),0)</f>
        <v>2858.1875889865041</v>
      </c>
      <c r="AX439" s="265">
        <f>IFERROR(VLOOKUP($A439,'HH &amp; SI'!$B$4:$EY$503,'HH &amp; SI'!EY$503,0),0)</f>
        <v>67259.664213045733</v>
      </c>
      <c r="AY439" s="265">
        <f>AX439/$AX$582*'update_State Admin 1004(b)'!$B$30*0.01</f>
        <v>643.72330374354533</v>
      </c>
      <c r="AZ439" s="266">
        <f t="shared" si="631"/>
        <v>66615.940909302182</v>
      </c>
      <c r="BA439" s="264">
        <f t="shared" si="632"/>
        <v>666.15940909302185</v>
      </c>
      <c r="BB439" s="265">
        <f t="shared" si="633"/>
        <v>65949.781500209167</v>
      </c>
      <c r="BC439" s="342">
        <f t="shared" si="610"/>
        <v>0.98052498881517614</v>
      </c>
      <c r="BD439" s="347"/>
      <c r="BE439" s="377">
        <f>'Original Title I &amp; II'!AZ436</f>
        <v>0</v>
      </c>
      <c r="BF439" s="244"/>
      <c r="BG439" s="266">
        <f t="shared" si="667"/>
        <v>65949.781500209167</v>
      </c>
      <c r="BI439" s="203">
        <f>IFERROR(VLOOKUP(A439,'Title II Hold Harmless'!A$1:B$439,2, FALSE),"")</f>
        <v>4036</v>
      </c>
      <c r="BJ439" s="203">
        <f t="shared" si="657"/>
        <v>4435.6628039572424</v>
      </c>
      <c r="BK439" s="203">
        <f t="shared" si="658"/>
        <v>4439.9538280443358</v>
      </c>
      <c r="BL439" s="203"/>
      <c r="BM439" s="203">
        <f t="shared" si="638"/>
        <v>4439.9538280443358</v>
      </c>
      <c r="BN439" s="200"/>
      <c r="BP439" s="298" t="s">
        <v>1448</v>
      </c>
      <c r="BQ439" s="299" t="str">
        <f t="shared" si="597"/>
        <v>Y</v>
      </c>
      <c r="BR439" s="300" t="s">
        <v>1448</v>
      </c>
      <c r="BT439" s="298" t="str">
        <f t="shared" si="598"/>
        <v>Y</v>
      </c>
      <c r="BU439" s="299" t="str">
        <f t="shared" si="668"/>
        <v>Y</v>
      </c>
      <c r="BV439" s="299" t="str">
        <f t="shared" si="669"/>
        <v>Y</v>
      </c>
      <c r="BW439" s="300" t="str">
        <f t="shared" si="599"/>
        <v>Y</v>
      </c>
      <c r="BY439" s="355">
        <f t="shared" si="600"/>
        <v>0</v>
      </c>
      <c r="BZ439" s="356">
        <f t="shared" si="601"/>
        <v>0</v>
      </c>
      <c r="CA439" s="356">
        <f t="shared" si="602"/>
        <v>0.95</v>
      </c>
      <c r="CB439" s="357">
        <f t="shared" si="603"/>
        <v>0.95</v>
      </c>
      <c r="CD439" s="312">
        <f t="shared" si="604"/>
        <v>431</v>
      </c>
    </row>
    <row r="440" spans="1:82" s="48" customFormat="1" outlineLevel="1" x14ac:dyDescent="0.3">
      <c r="A440" s="202">
        <v>108775000</v>
      </c>
      <c r="B440" s="48">
        <f>VLOOKUP(C440,'NCES ID'!$A$2:$B$3136,2,FALSE)</f>
        <v>400275</v>
      </c>
      <c r="C440" s="48">
        <f>VLOOKUP(A440,'State ID'!$A$2:$B$713,2,FALSE)</f>
        <v>79061</v>
      </c>
      <c r="D440" s="48" t="s">
        <v>196</v>
      </c>
      <c r="E440" s="48" t="s">
        <v>9</v>
      </c>
      <c r="F440" s="755"/>
      <c r="G440" s="755"/>
      <c r="H440" s="755"/>
      <c r="I440" s="755"/>
      <c r="J440" s="755"/>
      <c r="K440" s="755"/>
      <c r="L440" s="454"/>
      <c r="M440" s="455"/>
      <c r="N440" s="456"/>
      <c r="O440" s="209">
        <f>VLOOKUP($C440,'Final SEA Counts'!$A$2:$F$709,5,FALSE)</f>
        <v>46</v>
      </c>
      <c r="P440" s="223">
        <f>VLOOKUP($C440,'Final SEA Counts'!$A$2:$F$709,6,FALSE)</f>
        <v>26</v>
      </c>
      <c r="Q440" s="749"/>
      <c r="R440" s="454">
        <f t="shared" si="665"/>
        <v>46</v>
      </c>
      <c r="S440" s="455">
        <f t="shared" si="659"/>
        <v>14.277091263890084</v>
      </c>
      <c r="T440" s="230">
        <f t="shared" si="660"/>
        <v>0.31037154921500182</v>
      </c>
      <c r="U440" s="264" t="str">
        <f>IFERROR(VLOOKUP($B440,#REF!,8,FALSE),"")</f>
        <v/>
      </c>
      <c r="V440" s="265" t="str">
        <f>IFERROR(VLOOKUP($B440,#REF!,9,FALSE),"")</f>
        <v/>
      </c>
      <c r="W440" s="265" t="str">
        <f>IFERROR(VLOOKUP($B440,#REF!,10,FALSE),"")</f>
        <v/>
      </c>
      <c r="X440" s="265" t="str">
        <f>IFERROR(VLOOKUP($B440,#REF!,11,FALSE),"")</f>
        <v/>
      </c>
      <c r="Y440" s="266" t="str">
        <f>IFERROR(VLOOKUP($B440,#REF!,12,FALSE),"")</f>
        <v/>
      </c>
      <c r="Z440" s="265">
        <f t="shared" si="661"/>
        <v>6849.0336001781488</v>
      </c>
      <c r="AA440" s="265">
        <f t="shared" si="662"/>
        <v>1511.7434893620471</v>
      </c>
      <c r="AB440" s="265">
        <f t="shared" si="663"/>
        <v>4164.4182867557156</v>
      </c>
      <c r="AC440" s="266">
        <f t="shared" si="664"/>
        <v>4045.4155909581441</v>
      </c>
      <c r="AD440" s="265">
        <f t="shared" si="670"/>
        <v>6849.0336001781488</v>
      </c>
      <c r="AE440" s="265">
        <f t="shared" si="671"/>
        <v>1511.7434893620471</v>
      </c>
      <c r="AF440" s="265">
        <f t="shared" si="672"/>
        <v>4164.4182867557156</v>
      </c>
      <c r="AG440" s="266">
        <f t="shared" si="673"/>
        <v>4045.4155909581441</v>
      </c>
      <c r="AH440" s="265">
        <f t="shared" si="652"/>
        <v>6849.0336001781488</v>
      </c>
      <c r="AI440" s="265">
        <f t="shared" si="653"/>
        <v>4318.476782227357</v>
      </c>
      <c r="AJ440" s="265">
        <f t="shared" si="654"/>
        <v>4164.4182867557156</v>
      </c>
      <c r="AK440" s="265">
        <f t="shared" si="655"/>
        <v>4045.4155909581441</v>
      </c>
      <c r="AL440" s="266">
        <f t="shared" si="656"/>
        <v>19377.344260119367</v>
      </c>
      <c r="AM440" s="347"/>
      <c r="AN440" s="264">
        <f>IFERROR(VLOOKUP($A440,'HH &amp; SI'!$B$4:$Z$494,'HH &amp; SI'!V$503,0),0)</f>
        <v>6755.6083364128781</v>
      </c>
      <c r="AO440" s="265">
        <f>IFERROR(VLOOKUP($A440,'HH &amp; SI'!$B$4:$Z$494,'HH &amp; SI'!W$503,0),0)</f>
        <v>4176.241945783283</v>
      </c>
      <c r="AP440" s="265">
        <f>IFERROR(VLOOKUP($A440,'HH &amp; SI'!$B$4:$Z$494,'HH &amp; SI'!X$503,0),0)</f>
        <v>4126.5445283733152</v>
      </c>
      <c r="AQ440" s="265">
        <f>IFERROR(VLOOKUP($A440,'HH &amp; SI'!$B$4:$Z$494,'HH &amp; SI'!Y$503,0),0)</f>
        <v>4000.8423932658297</v>
      </c>
      <c r="AR440" s="266">
        <f t="shared" si="651"/>
        <v>19059.237203835306</v>
      </c>
      <c r="AS440" s="347"/>
      <c r="AT440" s="324">
        <f>IFERROR(VLOOKUP(A440,'Afton FY16 Final'!$A$5:$BV$572,'Afton FY16 Final'!$BV$587,0),0)</f>
        <v>4178.6485211475056</v>
      </c>
      <c r="AU440" s="347"/>
      <c r="AV440" s="454">
        <v>0</v>
      </c>
      <c r="AW440" s="265">
        <f>IFERROR(VLOOKUP($A440,'HH &amp; SI'!$B$4:$EY$503,'HH &amp; SI'!EX$503,0),0)</f>
        <v>1067.5669777764815</v>
      </c>
      <c r="AX440" s="265">
        <f>IFERROR(VLOOKUP($A440,'HH &amp; SI'!$B$4:$EY$503,'HH &amp; SI'!EY$503,0),0)</f>
        <v>17991.670226058824</v>
      </c>
      <c r="AY440" s="265">
        <f>AX440/$AX$582*'update_State Admin 1004(b)'!$B$30*0.01</f>
        <v>172.19320871269795</v>
      </c>
      <c r="AZ440" s="266">
        <f t="shared" si="631"/>
        <v>17819.477017346126</v>
      </c>
      <c r="BA440" s="264">
        <f t="shared" si="632"/>
        <v>178.19477017346125</v>
      </c>
      <c r="BB440" s="265">
        <f t="shared" si="633"/>
        <v>17641.282247172665</v>
      </c>
      <c r="BC440" s="342">
        <f t="shared" si="610"/>
        <v>4.2217674345886751</v>
      </c>
      <c r="BD440" s="347"/>
      <c r="BE440" s="377" t="str">
        <f>'Original Title I &amp; II'!AZ437</f>
        <v/>
      </c>
      <c r="BF440" s="244" t="str">
        <f t="shared" ref="BF440:BF446" si="674">IF(BE440&lt;0,BB440*BE440/100,"")</f>
        <v/>
      </c>
      <c r="BG440" s="266">
        <f t="shared" si="667"/>
        <v>17641.282247172665</v>
      </c>
      <c r="BI440" s="203">
        <f>IFERROR(VLOOKUP(A440,'Title II Hold Harmless'!A$1:B$439,2, FALSE),"")</f>
        <v>1428</v>
      </c>
      <c r="BJ440" s="203">
        <f t="shared" si="657"/>
        <v>1651.920651847601</v>
      </c>
      <c r="BK440" s="203">
        <f t="shared" si="658"/>
        <v>1653.5187064383874</v>
      </c>
      <c r="BL440" s="203" t="str">
        <f t="shared" si="637"/>
        <v/>
      </c>
      <c r="BM440" s="203">
        <f t="shared" si="638"/>
        <v>1653.5187064383874</v>
      </c>
      <c r="BN440" s="200"/>
      <c r="BP440" s="298" t="s">
        <v>1448</v>
      </c>
      <c r="BQ440" s="299" t="str">
        <f t="shared" si="597"/>
        <v>Y</v>
      </c>
      <c r="BR440" s="300" t="s">
        <v>1448</v>
      </c>
      <c r="BT440" s="298" t="str">
        <f t="shared" si="598"/>
        <v>Y</v>
      </c>
      <c r="BU440" s="299" t="str">
        <f t="shared" si="668"/>
        <v>Y</v>
      </c>
      <c r="BV440" s="299" t="str">
        <f t="shared" si="669"/>
        <v>Y</v>
      </c>
      <c r="BW440" s="300" t="str">
        <f t="shared" si="599"/>
        <v>Y</v>
      </c>
      <c r="BY440" s="355">
        <f t="shared" si="600"/>
        <v>0</v>
      </c>
      <c r="BZ440" s="356">
        <f t="shared" si="601"/>
        <v>0</v>
      </c>
      <c r="CA440" s="356">
        <f t="shared" si="602"/>
        <v>0.95</v>
      </c>
      <c r="CB440" s="357">
        <f t="shared" si="603"/>
        <v>0.95</v>
      </c>
      <c r="CD440" s="312">
        <f t="shared" si="604"/>
        <v>432</v>
      </c>
    </row>
    <row r="441" spans="1:82" s="48" customFormat="1" outlineLevel="1" x14ac:dyDescent="0.3">
      <c r="A441" s="202">
        <v>108513000</v>
      </c>
      <c r="B441" s="48" t="e">
        <f>VLOOKUP(C441,'NCES ID'!$A$2:$B$3136,2,FALSE)</f>
        <v>#N/A</v>
      </c>
      <c r="C441" s="48">
        <f>VLOOKUP(A441,'State ID'!$A$2:$B$713,2,FALSE)</f>
        <v>92499</v>
      </c>
      <c r="D441" s="48" t="s">
        <v>216</v>
      </c>
      <c r="E441" s="48" t="s">
        <v>9</v>
      </c>
      <c r="F441" s="755"/>
      <c r="G441" s="755"/>
      <c r="H441" s="755"/>
      <c r="I441" s="755"/>
      <c r="J441" s="755"/>
      <c r="K441" s="755"/>
      <c r="L441" s="454"/>
      <c r="M441" s="455"/>
      <c r="N441" s="456"/>
      <c r="O441" s="209">
        <f>VLOOKUP($C441,'Final SEA Counts'!$A$2:$F$709,5,FALSE)</f>
        <v>201</v>
      </c>
      <c r="P441" s="223">
        <f>VLOOKUP($C441,'Final SEA Counts'!$A$2:$F$709,6,FALSE)</f>
        <v>173</v>
      </c>
      <c r="Q441" s="749"/>
      <c r="R441" s="454">
        <f t="shared" si="665"/>
        <v>201</v>
      </c>
      <c r="S441" s="455">
        <f t="shared" si="659"/>
        <v>94.997568794345554</v>
      </c>
      <c r="T441" s="230">
        <f t="shared" si="660"/>
        <v>0.4726247203698784</v>
      </c>
      <c r="U441" s="264" t="str">
        <f>IFERROR(VLOOKUP($B441,#REF!,8,FALSE),"")</f>
        <v/>
      </c>
      <c r="V441" s="265" t="str">
        <f>IFERROR(VLOOKUP($B441,#REF!,9,FALSE),"")</f>
        <v/>
      </c>
      <c r="W441" s="265" t="str">
        <f>IFERROR(VLOOKUP($B441,#REF!,10,FALSE),"")</f>
        <v/>
      </c>
      <c r="X441" s="265" t="str">
        <f>IFERROR(VLOOKUP($B441,#REF!,11,FALSE),"")</f>
        <v/>
      </c>
      <c r="Y441" s="266" t="str">
        <f>IFERROR(VLOOKUP($B441,#REF!,12,FALSE),"")</f>
        <v/>
      </c>
      <c r="Z441" s="265">
        <f t="shared" si="661"/>
        <v>45572.415878108448</v>
      </c>
      <c r="AA441" s="265">
        <f t="shared" si="662"/>
        <v>10058.908602293621</v>
      </c>
      <c r="AB441" s="265">
        <f t="shared" si="663"/>
        <v>27709.398600336106</v>
      </c>
      <c r="AC441" s="266">
        <f t="shared" si="664"/>
        <v>26917.572970606114</v>
      </c>
      <c r="AD441" s="265">
        <f t="shared" si="670"/>
        <v>45572.415878108448</v>
      </c>
      <c r="AE441" s="265">
        <f t="shared" si="671"/>
        <v>10058.908602293621</v>
      </c>
      <c r="AF441" s="265">
        <f t="shared" si="672"/>
        <v>27709.398600336106</v>
      </c>
      <c r="AG441" s="266">
        <f t="shared" si="673"/>
        <v>26917.572970606114</v>
      </c>
      <c r="AH441" s="265">
        <f t="shared" si="652"/>
        <v>45572.415878108448</v>
      </c>
      <c r="AI441" s="265">
        <f t="shared" si="653"/>
        <v>12865.641895158929</v>
      </c>
      <c r="AJ441" s="265">
        <f t="shared" si="654"/>
        <v>27709.398600336106</v>
      </c>
      <c r="AK441" s="265">
        <f t="shared" si="655"/>
        <v>26917.572970606114</v>
      </c>
      <c r="AL441" s="266">
        <f t="shared" si="656"/>
        <v>113065.0293442096</v>
      </c>
      <c r="AM441" s="347"/>
      <c r="AN441" s="264">
        <f>IFERROR(VLOOKUP($A441,'HH &amp; SI'!$B$4:$Z$494,'HH &amp; SI'!V$503,0),0)</f>
        <v>44950.778546131834</v>
      </c>
      <c r="AO441" s="265">
        <f>IFERROR(VLOOKUP($A441,'HH &amp; SI'!$B$4:$Z$494,'HH &amp; SI'!W$503,0),0)</f>
        <v>12441.894689144749</v>
      </c>
      <c r="AP441" s="265">
        <f>IFERROR(VLOOKUP($A441,'HH &amp; SI'!$B$4:$Z$494,'HH &amp; SI'!X$503,0),0)</f>
        <v>27457.392438791674</v>
      </c>
      <c r="AQ441" s="265">
        <f>IFERROR(VLOOKUP($A441,'HH &amp; SI'!$B$4:$Z$494,'HH &amp; SI'!Y$503,0),0)</f>
        <v>26620.989770576489</v>
      </c>
      <c r="AR441" s="266">
        <f t="shared" si="651"/>
        <v>111471.05544464475</v>
      </c>
      <c r="AS441" s="347"/>
      <c r="AT441" s="324">
        <f>IFERROR(VLOOKUP(A441,'Afton FY16 Final'!$A$5:$BV$572,'Afton FY16 Final'!$BV$587,0),0)</f>
        <v>68094.095007070151</v>
      </c>
      <c r="AU441" s="347"/>
      <c r="AV441" s="454">
        <v>0</v>
      </c>
      <c r="AW441" s="265">
        <f>IFERROR(VLOOKUP($A441,'HH &amp; SI'!$B$4:$EY$503,'HH &amp; SI'!EX$503,0),0)</f>
        <v>6243.839483074742</v>
      </c>
      <c r="AX441" s="265">
        <f>IFERROR(VLOOKUP($A441,'HH &amp; SI'!$B$4:$EY$503,'HH &amp; SI'!EY$503,0),0)</f>
        <v>105227.21596157001</v>
      </c>
      <c r="AY441" s="265">
        <f>AX441/$AX$582*'update_State Admin 1004(b)'!$B$30*0.01</f>
        <v>1007.1000486704631</v>
      </c>
      <c r="AZ441" s="266">
        <f t="shared" si="631"/>
        <v>104220.11591289955</v>
      </c>
      <c r="BA441" s="264">
        <f t="shared" si="632"/>
        <v>1042.2011591289954</v>
      </c>
      <c r="BB441" s="265">
        <f t="shared" si="633"/>
        <v>103177.91475377056</v>
      </c>
      <c r="BC441" s="342">
        <f t="shared" si="610"/>
        <v>1.5152255822337852</v>
      </c>
      <c r="BD441" s="347"/>
      <c r="BE441" s="377" t="str">
        <f>'Original Title I &amp; II'!AZ438</f>
        <v/>
      </c>
      <c r="BF441" s="244" t="str">
        <f t="shared" si="674"/>
        <v/>
      </c>
      <c r="BG441" s="266">
        <f t="shared" si="667"/>
        <v>103177.91475377056</v>
      </c>
      <c r="BI441" s="203" t="str">
        <f>IFERROR(VLOOKUP(A441,'Title II Hold Harmless'!A$1:B$439,2, FALSE),"")</f>
        <v/>
      </c>
      <c r="BJ441" s="203">
        <f t="shared" si="657"/>
        <v>1405.3676929978269</v>
      </c>
      <c r="BK441" s="203">
        <f t="shared" si="658"/>
        <v>1406.7272342633389</v>
      </c>
      <c r="BL441" s="203" t="str">
        <f t="shared" si="637"/>
        <v/>
      </c>
      <c r="BM441" s="203">
        <f t="shared" si="638"/>
        <v>1406.7272342633389</v>
      </c>
      <c r="BN441" s="200"/>
      <c r="BP441" s="298" t="s">
        <v>1448</v>
      </c>
      <c r="BQ441" s="299" t="str">
        <f t="shared" si="597"/>
        <v>Y</v>
      </c>
      <c r="BR441" s="300" t="s">
        <v>1448</v>
      </c>
      <c r="BT441" s="298" t="str">
        <f t="shared" si="598"/>
        <v>Y</v>
      </c>
      <c r="BU441" s="299" t="str">
        <f t="shared" si="668"/>
        <v>Y</v>
      </c>
      <c r="BV441" s="299" t="str">
        <f t="shared" si="669"/>
        <v>Y</v>
      </c>
      <c r="BW441" s="300" t="str">
        <f t="shared" si="599"/>
        <v>Y</v>
      </c>
      <c r="BY441" s="355">
        <f t="shared" si="600"/>
        <v>0</v>
      </c>
      <c r="BZ441" s="356">
        <f t="shared" si="601"/>
        <v>0</v>
      </c>
      <c r="CA441" s="356">
        <f t="shared" si="602"/>
        <v>0.95</v>
      </c>
      <c r="CB441" s="357">
        <f t="shared" si="603"/>
        <v>0.95</v>
      </c>
      <c r="CD441" s="312">
        <f t="shared" si="604"/>
        <v>433</v>
      </c>
    </row>
    <row r="442" spans="1:82" s="48" customFormat="1" outlineLevel="1" x14ac:dyDescent="0.3">
      <c r="A442" s="202">
        <v>108735000</v>
      </c>
      <c r="B442" s="48">
        <f>VLOOKUP(C442,'NCES ID'!$A$2:$B$3136,2,FALSE)</f>
        <v>400872</v>
      </c>
      <c r="C442" s="48">
        <f>VLOOKUP(A442,'State ID'!$A$2:$B$713,2,FALSE)</f>
        <v>90876</v>
      </c>
      <c r="D442" s="48" t="s">
        <v>217</v>
      </c>
      <c r="E442" s="48" t="s">
        <v>9</v>
      </c>
      <c r="F442" s="755"/>
      <c r="G442" s="755"/>
      <c r="H442" s="755"/>
      <c r="I442" s="755"/>
      <c r="J442" s="755"/>
      <c r="K442" s="755"/>
      <c r="L442" s="454"/>
      <c r="M442" s="455"/>
      <c r="N442" s="456"/>
      <c r="O442" s="209">
        <f>VLOOKUP($C442,'Final SEA Counts'!$A$2:$F$709,5,FALSE)</f>
        <v>58</v>
      </c>
      <c r="P442" s="223">
        <f>VLOOKUP($C442,'Final SEA Counts'!$A$2:$F$709,6,FALSE)</f>
        <v>50</v>
      </c>
      <c r="Q442" s="749"/>
      <c r="R442" s="454">
        <f t="shared" si="665"/>
        <v>58</v>
      </c>
      <c r="S442" s="455">
        <f t="shared" si="659"/>
        <v>27.45594473825016</v>
      </c>
      <c r="T442" s="230">
        <f t="shared" si="660"/>
        <v>0.47337835755603724</v>
      </c>
      <c r="U442" s="264" t="str">
        <f>IFERROR(VLOOKUP($B442,#REF!,8,FALSE),"")</f>
        <v/>
      </c>
      <c r="V442" s="265" t="str">
        <f>IFERROR(VLOOKUP($B442,#REF!,9,FALSE),"")</f>
        <v/>
      </c>
      <c r="W442" s="265" t="str">
        <f>IFERROR(VLOOKUP($B442,#REF!,10,FALSE),"")</f>
        <v/>
      </c>
      <c r="X442" s="265" t="str">
        <f>IFERROR(VLOOKUP($B442,#REF!,11,FALSE),"")</f>
        <v/>
      </c>
      <c r="Y442" s="266" t="str">
        <f>IFERROR(VLOOKUP($B442,#REF!,12,FALSE),"")</f>
        <v/>
      </c>
      <c r="Z442" s="265">
        <f t="shared" si="661"/>
        <v>13171.218461881055</v>
      </c>
      <c r="AA442" s="265">
        <f t="shared" si="662"/>
        <v>2907.1990180039365</v>
      </c>
      <c r="AB442" s="265">
        <f t="shared" si="663"/>
        <v>8008.4967052994534</v>
      </c>
      <c r="AC442" s="266">
        <f t="shared" si="664"/>
        <v>7779.6453672272</v>
      </c>
      <c r="AD442" s="265">
        <f t="shared" si="670"/>
        <v>13171.218461881055</v>
      </c>
      <c r="AE442" s="265">
        <f t="shared" si="671"/>
        <v>2907.1990180039365</v>
      </c>
      <c r="AF442" s="265">
        <f t="shared" si="672"/>
        <v>8008.4967052994534</v>
      </c>
      <c r="AG442" s="266">
        <f t="shared" si="673"/>
        <v>7779.6453672272</v>
      </c>
      <c r="AH442" s="265">
        <f t="shared" si="652"/>
        <v>13171.218461881055</v>
      </c>
      <c r="AI442" s="265">
        <f t="shared" si="653"/>
        <v>5713.9323108692461</v>
      </c>
      <c r="AJ442" s="265">
        <f t="shared" si="654"/>
        <v>8008.4967052994534</v>
      </c>
      <c r="AK442" s="265">
        <f t="shared" si="655"/>
        <v>7779.6453672272</v>
      </c>
      <c r="AL442" s="266">
        <f t="shared" si="656"/>
        <v>34673.292845276956</v>
      </c>
      <c r="AM442" s="347"/>
      <c r="AN442" s="264">
        <f>IFERROR(VLOOKUP($A442,'HH &amp; SI'!$B$4:$Z$494,'HH &amp; SI'!V$503,0),0)</f>
        <v>12991.554493101688</v>
      </c>
      <c r="AO442" s="265">
        <f>IFERROR(VLOOKUP($A442,'HH &amp; SI'!$B$4:$Z$494,'HH &amp; SI'!W$503,0),0)</f>
        <v>5525.7362712300528</v>
      </c>
      <c r="AP442" s="265">
        <f>IFERROR(VLOOKUP($A442,'HH &amp; SI'!$B$4:$Z$494,'HH &amp; SI'!X$503,0),0)</f>
        <v>7935.6625545640682</v>
      </c>
      <c r="AQ442" s="265">
        <f>IFERROR(VLOOKUP($A442,'HH &amp; SI'!$B$4:$Z$494,'HH &amp; SI'!Y$503,0),0)</f>
        <v>7693.9276793573654</v>
      </c>
      <c r="AR442" s="266">
        <f t="shared" si="651"/>
        <v>34146.880998253175</v>
      </c>
      <c r="AS442" s="347"/>
      <c r="AT442" s="324">
        <f>IFERROR(VLOOKUP(A442,'Afton FY16 Final'!$A$5:$BV$572,'Afton FY16 Final'!$BV$587,0),0)</f>
        <v>21323.697285626669</v>
      </c>
      <c r="AU442" s="347"/>
      <c r="AV442" s="454">
        <v>0</v>
      </c>
      <c r="AW442" s="265">
        <f>IFERROR(VLOOKUP($A442,'HH &amp; SI'!$B$4:$EY$503,'HH &amp; SI'!EX$503,0),0)</f>
        <v>1912.6726929272154</v>
      </c>
      <c r="AX442" s="265">
        <f>IFERROR(VLOOKUP($A442,'HH &amp; SI'!$B$4:$EY$503,'HH &amp; SI'!EY$503,0),0)</f>
        <v>32234.208305325959</v>
      </c>
      <c r="AY442" s="265">
        <f>AX442/$AX$582*'update_State Admin 1004(b)'!$B$30*0.01</f>
        <v>308.50452952212908</v>
      </c>
      <c r="AZ442" s="266">
        <f t="shared" si="631"/>
        <v>31925.703775803831</v>
      </c>
      <c r="BA442" s="264">
        <f t="shared" si="632"/>
        <v>319.25703775803834</v>
      </c>
      <c r="BB442" s="265">
        <f t="shared" si="633"/>
        <v>31606.446738045794</v>
      </c>
      <c r="BC442" s="342">
        <f t="shared" si="610"/>
        <v>1.4822216951724529</v>
      </c>
      <c r="BD442" s="347"/>
      <c r="BE442" s="377" t="str">
        <f>'Original Title I &amp; II'!AZ439</f>
        <v/>
      </c>
      <c r="BF442" s="244" t="str">
        <f t="shared" si="674"/>
        <v/>
      </c>
      <c r="BG442" s="266">
        <f t="shared" si="667"/>
        <v>31606.446738045794</v>
      </c>
      <c r="BI442" s="203" t="str">
        <f>IFERROR(VLOOKUP(A442,'Title II Hold Harmless'!A$1:B$439,2, FALSE),"")</f>
        <v/>
      </c>
      <c r="BJ442" s="203">
        <f t="shared" si="657"/>
        <v>406.10120147317616</v>
      </c>
      <c r="BK442" s="203">
        <f t="shared" si="658"/>
        <v>406.49406046952822</v>
      </c>
      <c r="BL442" s="203" t="str">
        <f t="shared" si="637"/>
        <v/>
      </c>
      <c r="BM442" s="203">
        <f t="shared" si="638"/>
        <v>406.49406046952822</v>
      </c>
      <c r="BN442" s="200"/>
      <c r="BP442" s="298" t="s">
        <v>1448</v>
      </c>
      <c r="BQ442" s="299" t="str">
        <f t="shared" si="597"/>
        <v>Y</v>
      </c>
      <c r="BR442" s="300" t="s">
        <v>1448</v>
      </c>
      <c r="BT442" s="298" t="str">
        <f t="shared" si="598"/>
        <v>Y</v>
      </c>
      <c r="BU442" s="299" t="str">
        <f t="shared" si="668"/>
        <v>Y</v>
      </c>
      <c r="BV442" s="299" t="str">
        <f t="shared" si="669"/>
        <v>Y</v>
      </c>
      <c r="BW442" s="300" t="str">
        <f t="shared" si="599"/>
        <v>Y</v>
      </c>
      <c r="BY442" s="355">
        <f t="shared" si="600"/>
        <v>0</v>
      </c>
      <c r="BZ442" s="356">
        <f t="shared" si="601"/>
        <v>0</v>
      </c>
      <c r="CA442" s="356">
        <f t="shared" si="602"/>
        <v>0.95</v>
      </c>
      <c r="CB442" s="357">
        <f t="shared" si="603"/>
        <v>0.95</v>
      </c>
      <c r="CD442" s="312">
        <f t="shared" si="604"/>
        <v>434</v>
      </c>
    </row>
    <row r="443" spans="1:82" s="48" customFormat="1" outlineLevel="1" x14ac:dyDescent="0.3">
      <c r="A443" s="202">
        <v>108706000</v>
      </c>
      <c r="B443" s="48">
        <f>VLOOKUP(C443,'NCES ID'!$A$2:$B$3136,2,FALSE)</f>
        <v>400388</v>
      </c>
      <c r="C443" s="48">
        <f>VLOOKUP(A443,'State ID'!$A$2:$B$713,2,FALSE)</f>
        <v>79880</v>
      </c>
      <c r="D443" s="48" t="s">
        <v>233</v>
      </c>
      <c r="E443" s="48" t="s">
        <v>9</v>
      </c>
      <c r="F443" s="755"/>
      <c r="G443" s="755"/>
      <c r="H443" s="755"/>
      <c r="I443" s="755"/>
      <c r="J443" s="755"/>
      <c r="K443" s="755"/>
      <c r="L443" s="454"/>
      <c r="M443" s="455"/>
      <c r="N443" s="456"/>
      <c r="O443" s="209">
        <f>VLOOKUP($C443,'Final SEA Counts'!$A$2:$F$709,5,FALSE)</f>
        <v>77</v>
      </c>
      <c r="P443" s="223">
        <f>VLOOKUP($C443,'Final SEA Counts'!$A$2:$F$709,6,FALSE)</f>
        <v>76</v>
      </c>
      <c r="Q443" s="749"/>
      <c r="R443" s="454">
        <f t="shared" si="665"/>
        <v>77</v>
      </c>
      <c r="S443" s="455">
        <f t="shared" si="659"/>
        <v>41.733036002140246</v>
      </c>
      <c r="T443" s="230">
        <f t="shared" si="660"/>
        <v>0.54198748054727597</v>
      </c>
      <c r="U443" s="264" t="str">
        <f>IFERROR(VLOOKUP($B443,#REF!,8,FALSE),"")</f>
        <v/>
      </c>
      <c r="V443" s="265" t="str">
        <f>IFERROR(VLOOKUP($B443,#REF!,9,FALSE),"")</f>
        <v/>
      </c>
      <c r="W443" s="265" t="str">
        <f>IFERROR(VLOOKUP($B443,#REF!,10,FALSE),"")</f>
        <v/>
      </c>
      <c r="X443" s="265" t="str">
        <f>IFERROR(VLOOKUP($B443,#REF!,11,FALSE),"")</f>
        <v/>
      </c>
      <c r="Y443" s="266" t="str">
        <f>IFERROR(VLOOKUP($B443,#REF!,12,FALSE),"")</f>
        <v/>
      </c>
      <c r="Z443" s="265">
        <f t="shared" si="661"/>
        <v>20020.252062059204</v>
      </c>
      <c r="AA443" s="265">
        <f t="shared" si="662"/>
        <v>4418.9425073659841</v>
      </c>
      <c r="AB443" s="265">
        <f t="shared" si="663"/>
        <v>12172.91499205517</v>
      </c>
      <c r="AC443" s="266">
        <f t="shared" si="664"/>
        <v>11825.060958185344</v>
      </c>
      <c r="AD443" s="265">
        <f t="shared" si="670"/>
        <v>20020.252062059204</v>
      </c>
      <c r="AE443" s="265">
        <f t="shared" si="671"/>
        <v>4418.9425073659841</v>
      </c>
      <c r="AF443" s="265">
        <f t="shared" si="672"/>
        <v>12172.91499205517</v>
      </c>
      <c r="AG443" s="266">
        <f t="shared" si="673"/>
        <v>11825.060958185344</v>
      </c>
      <c r="AH443" s="265">
        <f t="shared" si="652"/>
        <v>20020.252062059204</v>
      </c>
      <c r="AI443" s="265">
        <f t="shared" si="653"/>
        <v>7225.6758002312936</v>
      </c>
      <c r="AJ443" s="265">
        <f t="shared" si="654"/>
        <v>12172.91499205517</v>
      </c>
      <c r="AK443" s="265">
        <f t="shared" si="655"/>
        <v>11825.060958185344</v>
      </c>
      <c r="AL443" s="266">
        <f t="shared" si="656"/>
        <v>51243.903812531011</v>
      </c>
      <c r="AM443" s="347"/>
      <c r="AN443" s="264">
        <f>IFERROR(VLOOKUP($A443,'HH &amp; SI'!$B$4:$Z$494,'HH &amp; SI'!V$503,0),0)</f>
        <v>22053.62583677259</v>
      </c>
      <c r="AO443" s="265">
        <f>IFERROR(VLOOKUP($A443,'HH &amp; SI'!$B$4:$Z$494,'HH &amp; SI'!W$503,0),0)</f>
        <v>6987.6884571307201</v>
      </c>
      <c r="AP443" s="265">
        <f>IFERROR(VLOOKUP($A443,'HH &amp; SI'!$B$4:$Z$494,'HH &amp; SI'!X$503,0),0)</f>
        <v>12062.207082937382</v>
      </c>
      <c r="AQ443" s="265">
        <f>IFERROR(VLOOKUP($A443,'HH &amp; SI'!$B$4:$Z$494,'HH &amp; SI'!Y$503,0),0)</f>
        <v>12436.483802545008</v>
      </c>
      <c r="AR443" s="266">
        <f t="shared" si="651"/>
        <v>53540.005179385698</v>
      </c>
      <c r="AS443" s="347"/>
      <c r="AT443" s="324">
        <f>IFERROR(VLOOKUP(A443,'Afton FY16 Final'!$A$5:$BV$572,'Afton FY16 Final'!$BV$587,0),0)</f>
        <v>53729.857845838327</v>
      </c>
      <c r="AU443" s="347"/>
      <c r="AV443" s="454">
        <v>0</v>
      </c>
      <c r="AW443" s="265">
        <f>IFERROR(VLOOKUP($A443,'HH &amp; SI'!$B$4:$EY$503,'HH &amp; SI'!EX$503,0),0)</f>
        <v>0</v>
      </c>
      <c r="AX443" s="265">
        <f>IFERROR(VLOOKUP($A443,'HH &amp; SI'!$B$4:$EY$503,'HH &amp; SI'!EY$503,0),0)</f>
        <v>53540.005179385698</v>
      </c>
      <c r="AY443" s="265">
        <f>AX443/$AX$582*'update_State Admin 1004(b)'!$B$30*0.01</f>
        <v>512.41631102041458</v>
      </c>
      <c r="AZ443" s="266">
        <f t="shared" si="631"/>
        <v>53027.588868365281</v>
      </c>
      <c r="BA443" s="264">
        <f t="shared" si="632"/>
        <v>530.27588868365285</v>
      </c>
      <c r="BB443" s="265">
        <f t="shared" si="633"/>
        <v>52497.312979681628</v>
      </c>
      <c r="BC443" s="342">
        <f t="shared" si="610"/>
        <v>0.97706033636468725</v>
      </c>
      <c r="BD443" s="347"/>
      <c r="BE443" s="377">
        <f>'Original Title I &amp; II'!AZ440</f>
        <v>0</v>
      </c>
      <c r="BF443" s="244" t="str">
        <f t="shared" si="674"/>
        <v/>
      </c>
      <c r="BG443" s="266">
        <f t="shared" si="667"/>
        <v>52497.312979681628</v>
      </c>
      <c r="BI443" s="203" t="str">
        <f>IFERROR(VLOOKUP(A443,'Title II Hold Harmless'!A$1:B$439,2, FALSE),"")</f>
        <v/>
      </c>
      <c r="BJ443" s="203">
        <f t="shared" si="657"/>
        <v>608.29226170449988</v>
      </c>
      <c r="BK443" s="203">
        <f t="shared" si="658"/>
        <v>608.88071868654049</v>
      </c>
      <c r="BL443" s="203" t="str">
        <f t="shared" si="637"/>
        <v/>
      </c>
      <c r="BM443" s="203">
        <f t="shared" si="638"/>
        <v>608.88071868654049</v>
      </c>
      <c r="BN443" s="200"/>
      <c r="BP443" s="298" t="s">
        <v>1448</v>
      </c>
      <c r="BQ443" s="299" t="str">
        <f t="shared" si="597"/>
        <v>Y</v>
      </c>
      <c r="BR443" s="300" t="s">
        <v>1448</v>
      </c>
      <c r="BT443" s="298" t="str">
        <f t="shared" si="598"/>
        <v>Y</v>
      </c>
      <c r="BU443" s="299" t="str">
        <f t="shared" si="668"/>
        <v>Y</v>
      </c>
      <c r="BV443" s="299" t="str">
        <f t="shared" si="669"/>
        <v>Y</v>
      </c>
      <c r="BW443" s="300" t="str">
        <f t="shared" si="599"/>
        <v>Y</v>
      </c>
      <c r="BY443" s="355">
        <f t="shared" si="600"/>
        <v>0</v>
      </c>
      <c r="BZ443" s="356">
        <f t="shared" si="601"/>
        <v>0</v>
      </c>
      <c r="CA443" s="356">
        <f t="shared" si="602"/>
        <v>0.95</v>
      </c>
      <c r="CB443" s="357">
        <f t="shared" si="603"/>
        <v>0.95</v>
      </c>
      <c r="CD443" s="312">
        <f t="shared" si="604"/>
        <v>435</v>
      </c>
    </row>
    <row r="444" spans="1:82" s="48" customFormat="1" outlineLevel="1" x14ac:dyDescent="0.3">
      <c r="A444" s="202">
        <v>108798000</v>
      </c>
      <c r="B444" s="48">
        <f>VLOOKUP(C444,'NCES ID'!$A$2:$B$3136,2,FALSE)</f>
        <v>400781</v>
      </c>
      <c r="C444" s="48">
        <f>VLOOKUP(A444,'State ID'!$A$2:$B$713,2,FALSE)</f>
        <v>89852</v>
      </c>
      <c r="D444" s="48" t="s">
        <v>277</v>
      </c>
      <c r="E444" s="48" t="s">
        <v>9</v>
      </c>
      <c r="F444" s="755"/>
      <c r="G444" s="755"/>
      <c r="H444" s="755"/>
      <c r="I444" s="755"/>
      <c r="J444" s="755"/>
      <c r="K444" s="755"/>
      <c r="L444" s="454"/>
      <c r="M444" s="455"/>
      <c r="N444" s="456"/>
      <c r="O444" s="209">
        <f>VLOOKUP($C444,'Final SEA Counts'!$A$2:$F$709,5,FALSE)</f>
        <v>433</v>
      </c>
      <c r="P444" s="223">
        <f>VLOOKUP($C444,'Final SEA Counts'!$A$2:$F$709,6,FALSE)</f>
        <v>334</v>
      </c>
      <c r="Q444" s="749"/>
      <c r="R444" s="454">
        <f t="shared" si="665"/>
        <v>433</v>
      </c>
      <c r="S444" s="455">
        <f t="shared" si="659"/>
        <v>183.40571085151106</v>
      </c>
      <c r="T444" s="230">
        <f t="shared" si="660"/>
        <v>0.42356977101965604</v>
      </c>
      <c r="U444" s="264" t="str">
        <f>IFERROR(VLOOKUP($B444,#REF!,8,FALSE),"")</f>
        <v/>
      </c>
      <c r="V444" s="265" t="str">
        <f>IFERROR(VLOOKUP($B444,#REF!,9,FALSE),"")</f>
        <v/>
      </c>
      <c r="W444" s="265" t="str">
        <f>IFERROR(VLOOKUP($B444,#REF!,10,FALSE),"")</f>
        <v/>
      </c>
      <c r="X444" s="265" t="str">
        <f>IFERROR(VLOOKUP($B444,#REF!,11,FALSE),"")</f>
        <v/>
      </c>
      <c r="Y444" s="266" t="str">
        <f>IFERROR(VLOOKUP($B444,#REF!,12,FALSE),"")</f>
        <v/>
      </c>
      <c r="Z444" s="265">
        <f t="shared" si="661"/>
        <v>87983.739325365445</v>
      </c>
      <c r="AA444" s="265">
        <f t="shared" si="662"/>
        <v>19420.089440266296</v>
      </c>
      <c r="AB444" s="265">
        <f t="shared" si="663"/>
        <v>53496.757991400344</v>
      </c>
      <c r="AC444" s="266">
        <f t="shared" si="664"/>
        <v>51968.031053077691</v>
      </c>
      <c r="AD444" s="265">
        <f t="shared" si="670"/>
        <v>87983.739325365445</v>
      </c>
      <c r="AE444" s="265">
        <f t="shared" si="671"/>
        <v>19420.089440266296</v>
      </c>
      <c r="AF444" s="265">
        <f t="shared" si="672"/>
        <v>53496.757991400344</v>
      </c>
      <c r="AG444" s="266">
        <f t="shared" si="673"/>
        <v>51968.031053077691</v>
      </c>
      <c r="AH444" s="265">
        <f t="shared" si="652"/>
        <v>87983.739325365445</v>
      </c>
      <c r="AI444" s="265">
        <f t="shared" si="653"/>
        <v>22226.822733131605</v>
      </c>
      <c r="AJ444" s="265">
        <f t="shared" si="654"/>
        <v>53496.757991400344</v>
      </c>
      <c r="AK444" s="265">
        <f t="shared" si="655"/>
        <v>51968.031053077691</v>
      </c>
      <c r="AL444" s="266">
        <f t="shared" si="656"/>
        <v>215675.35110297508</v>
      </c>
      <c r="AM444" s="347"/>
      <c r="AN444" s="264">
        <f>IFERROR(VLOOKUP($A444,'HH &amp; SI'!$B$4:$Z$494,'HH &amp; SI'!V$503,0),0)</f>
        <v>86783.584013919288</v>
      </c>
      <c r="AO444" s="265">
        <f>IFERROR(VLOOKUP($A444,'HH &amp; SI'!$B$4:$Z$494,'HH &amp; SI'!W$503,0),0)</f>
        <v>21494.752455683494</v>
      </c>
      <c r="AP444" s="265">
        <f>IFERROR(VLOOKUP($A444,'HH &amp; SI'!$B$4:$Z$494,'HH &amp; SI'!X$503,0),0)</f>
        <v>53010.225864487969</v>
      </c>
      <c r="AQ444" s="265">
        <f>IFERROR(VLOOKUP($A444,'HH &amp; SI'!$B$4:$Z$494,'HH &amp; SI'!Y$503,0),0)</f>
        <v>51395.436898107197</v>
      </c>
      <c r="AR444" s="266">
        <f t="shared" si="651"/>
        <v>212683.99923219797</v>
      </c>
      <c r="AS444" s="347"/>
      <c r="AT444" s="324">
        <f>IFERROR(VLOOKUP(A444,'Afton FY16 Final'!$A$5:$BV$572,'Afton FY16 Final'!$BV$587,0),0)</f>
        <v>171456.17299733876</v>
      </c>
      <c r="AU444" s="347"/>
      <c r="AV444" s="454">
        <v>0</v>
      </c>
      <c r="AW444" s="265">
        <f>IFERROR(VLOOKUP($A444,'HH &amp; SI'!$B$4:$EY$503,'HH &amp; SI'!EX$503,0),0)</f>
        <v>11913.090322210977</v>
      </c>
      <c r="AX444" s="265">
        <f>IFERROR(VLOOKUP($A444,'HH &amp; SI'!$B$4:$EY$503,'HH &amp; SI'!EY$503,0),0)</f>
        <v>200770.90890998699</v>
      </c>
      <c r="AY444" s="265">
        <f>AX444/$AX$582*'update_State Admin 1004(b)'!$B$30*0.01</f>
        <v>1921.5218257670629</v>
      </c>
      <c r="AZ444" s="266">
        <f t="shared" si="631"/>
        <v>198849.38708421992</v>
      </c>
      <c r="BA444" s="264">
        <f t="shared" si="632"/>
        <v>1988.4938708421994</v>
      </c>
      <c r="BB444" s="265">
        <f t="shared" si="633"/>
        <v>196860.89321337771</v>
      </c>
      <c r="BC444" s="342">
        <f t="shared" si="610"/>
        <v>1.1481703444788383</v>
      </c>
      <c r="BD444" s="347"/>
      <c r="BE444" s="377" t="str">
        <f>'Original Title I &amp; II'!AZ441</f>
        <v/>
      </c>
      <c r="BF444" s="244" t="str">
        <f t="shared" si="674"/>
        <v/>
      </c>
      <c r="BG444" s="266">
        <f t="shared" si="667"/>
        <v>196860.89321337771</v>
      </c>
      <c r="BI444" s="203" t="str">
        <f>IFERROR(VLOOKUP(A444,'Title II Hold Harmless'!A$1:B$439,2, FALSE),"")</f>
        <v/>
      </c>
      <c r="BJ444" s="203">
        <f t="shared" si="657"/>
        <v>2749.4226996940611</v>
      </c>
      <c r="BK444" s="203">
        <f t="shared" si="658"/>
        <v>2752.0824688314856</v>
      </c>
      <c r="BL444" s="203" t="str">
        <f t="shared" si="637"/>
        <v/>
      </c>
      <c r="BM444" s="203">
        <f t="shared" si="638"/>
        <v>2752.0824688314856</v>
      </c>
      <c r="BN444" s="200"/>
      <c r="BP444" s="298" t="s">
        <v>1448</v>
      </c>
      <c r="BQ444" s="299" t="str">
        <f t="shared" si="597"/>
        <v>Y</v>
      </c>
      <c r="BR444" s="300" t="s">
        <v>1448</v>
      </c>
      <c r="BT444" s="298" t="str">
        <f t="shared" si="598"/>
        <v>Y</v>
      </c>
      <c r="BU444" s="299" t="str">
        <f t="shared" si="668"/>
        <v>Y</v>
      </c>
      <c r="BV444" s="299" t="str">
        <f t="shared" si="669"/>
        <v>Y</v>
      </c>
      <c r="BW444" s="300" t="str">
        <f t="shared" si="599"/>
        <v>Y</v>
      </c>
      <c r="BY444" s="355">
        <f t="shared" si="600"/>
        <v>0</v>
      </c>
      <c r="BZ444" s="356">
        <f t="shared" si="601"/>
        <v>0</v>
      </c>
      <c r="CA444" s="356">
        <f t="shared" si="602"/>
        <v>0.95</v>
      </c>
      <c r="CB444" s="357">
        <f t="shared" si="603"/>
        <v>0.95</v>
      </c>
      <c r="CD444" s="312">
        <f t="shared" si="604"/>
        <v>436</v>
      </c>
    </row>
    <row r="445" spans="1:82" s="48" customFormat="1" outlineLevel="1" x14ac:dyDescent="0.3">
      <c r="A445" s="202">
        <v>108707000</v>
      </c>
      <c r="B445" s="48">
        <f>VLOOKUP(C445,'NCES ID'!$A$2:$B$3136,2,FALSE)</f>
        <v>400356</v>
      </c>
      <c r="C445" s="48">
        <f>VLOOKUP(A445,'State ID'!$A$2:$B$713,2,FALSE)</f>
        <v>79881</v>
      </c>
      <c r="D445" s="48" t="s">
        <v>308</v>
      </c>
      <c r="E445" s="48" t="s">
        <v>9</v>
      </c>
      <c r="F445" s="755"/>
      <c r="G445" s="755"/>
      <c r="H445" s="755"/>
      <c r="I445" s="755"/>
      <c r="J445" s="755"/>
      <c r="K445" s="755"/>
      <c r="L445" s="454"/>
      <c r="M445" s="455"/>
      <c r="N445" s="456"/>
      <c r="O445" s="209">
        <f>VLOOKUP($C445,'Final SEA Counts'!$A$2:$F$709,5,FALSE)</f>
        <v>161</v>
      </c>
      <c r="P445" s="223">
        <f>VLOOKUP($C445,'Final SEA Counts'!$A$2:$F$709,6,FALSE)</f>
        <v>157</v>
      </c>
      <c r="Q445" s="749"/>
      <c r="R445" s="454">
        <f t="shared" si="665"/>
        <v>161</v>
      </c>
      <c r="S445" s="455">
        <f t="shared" si="659"/>
        <v>86.211666478105499</v>
      </c>
      <c r="T445" s="230">
        <f t="shared" si="660"/>
        <v>0.53547618930500307</v>
      </c>
      <c r="U445" s="264" t="str">
        <f>IFERROR(VLOOKUP($B445,#REF!,8,FALSE),"")</f>
        <v/>
      </c>
      <c r="V445" s="265" t="str">
        <f>IFERROR(VLOOKUP($B445,#REF!,9,FALSE),"")</f>
        <v/>
      </c>
      <c r="W445" s="265" t="str">
        <f>IFERROR(VLOOKUP($B445,#REF!,10,FALSE),"")</f>
        <v/>
      </c>
      <c r="X445" s="265" t="str">
        <f>IFERROR(VLOOKUP($B445,#REF!,11,FALSE),"")</f>
        <v/>
      </c>
      <c r="Y445" s="266" t="str">
        <f>IFERROR(VLOOKUP($B445,#REF!,12,FALSE),"")</f>
        <v/>
      </c>
      <c r="Z445" s="265">
        <f t="shared" si="661"/>
        <v>41357.625970306508</v>
      </c>
      <c r="AA445" s="265">
        <f t="shared" si="662"/>
        <v>9128.6049165323602</v>
      </c>
      <c r="AB445" s="265">
        <f t="shared" si="663"/>
        <v>25146.67965464028</v>
      </c>
      <c r="AC445" s="266">
        <f t="shared" si="664"/>
        <v>24428.086453093409</v>
      </c>
      <c r="AD445" s="265">
        <f t="shared" si="670"/>
        <v>41357.625970306508</v>
      </c>
      <c r="AE445" s="265">
        <f t="shared" si="671"/>
        <v>9128.6049165323602</v>
      </c>
      <c r="AF445" s="265">
        <f t="shared" si="672"/>
        <v>25146.67965464028</v>
      </c>
      <c r="AG445" s="266">
        <f t="shared" si="673"/>
        <v>24428.086453093409</v>
      </c>
      <c r="AH445" s="265">
        <f t="shared" si="652"/>
        <v>41357.625970306508</v>
      </c>
      <c r="AI445" s="265">
        <f t="shared" si="653"/>
        <v>11935.338209397669</v>
      </c>
      <c r="AJ445" s="265">
        <f t="shared" si="654"/>
        <v>25146.67965464028</v>
      </c>
      <c r="AK445" s="265">
        <f t="shared" si="655"/>
        <v>24428.086453093409</v>
      </c>
      <c r="AL445" s="266">
        <f t="shared" si="656"/>
        <v>102867.73028743787</v>
      </c>
      <c r="AM445" s="347"/>
      <c r="AN445" s="264">
        <f>IFERROR(VLOOKUP($A445,'HH &amp; SI'!$B$4:$Z$494,'HH &amp; SI'!V$503,0),0)</f>
        <v>40793.4811083393</v>
      </c>
      <c r="AO445" s="265">
        <f>IFERROR(VLOOKUP($A445,'HH &amp; SI'!$B$4:$Z$494,'HH &amp; SI'!W$503,0),0)</f>
        <v>11542.231805513567</v>
      </c>
      <c r="AP445" s="265">
        <f>IFERROR(VLOOKUP($A445,'HH &amp; SI'!$B$4:$Z$494,'HH &amp; SI'!X$503,0),0)</f>
        <v>24917.980421331173</v>
      </c>
      <c r="AQ445" s="265">
        <f>IFERROR(VLOOKUP($A445,'HH &amp; SI'!$B$4:$Z$494,'HH &amp; SI'!Y$503,0),0)</f>
        <v>24158.932913182129</v>
      </c>
      <c r="AR445" s="266">
        <f t="shared" si="651"/>
        <v>101412.62624836617</v>
      </c>
      <c r="AS445" s="347"/>
      <c r="AT445" s="324">
        <f>IFERROR(VLOOKUP(A445,'Afton FY16 Final'!$A$5:$BV$572,'Afton FY16 Final'!$BV$587,0),0)</f>
        <v>91668.907002770138</v>
      </c>
      <c r="AU445" s="347"/>
      <c r="AV445" s="454">
        <v>0</v>
      </c>
      <c r="AW445" s="265">
        <f>IFERROR(VLOOKUP($A445,'HH &amp; SI'!$B$4:$EY$503,'HH &amp; SI'!EX$503,0),0)</f>
        <v>5680.4356729742576</v>
      </c>
      <c r="AX445" s="265">
        <f>IFERROR(VLOOKUP($A445,'HH &amp; SI'!$B$4:$EY$503,'HH &amp; SI'!EY$503,0),0)</f>
        <v>95732.190575391913</v>
      </c>
      <c r="AY445" s="265">
        <f>AX445/$AX$582*'update_State Admin 1004(b)'!$B$30*0.01</f>
        <v>916.22583479750904</v>
      </c>
      <c r="AZ445" s="266">
        <f t="shared" si="631"/>
        <v>94815.964740594398</v>
      </c>
      <c r="BA445" s="264">
        <f t="shared" si="632"/>
        <v>948.15964740594404</v>
      </c>
      <c r="BB445" s="265">
        <f t="shared" si="633"/>
        <v>93867.80509318845</v>
      </c>
      <c r="BC445" s="342">
        <f t="shared" si="610"/>
        <v>1.023987392915592</v>
      </c>
      <c r="BD445" s="347"/>
      <c r="BE445" s="377" t="str">
        <f>'Original Title I &amp; II'!AZ442</f>
        <v/>
      </c>
      <c r="BF445" s="244" t="str">
        <f t="shared" si="674"/>
        <v/>
      </c>
      <c r="BG445" s="266">
        <f t="shared" si="667"/>
        <v>93867.80509318845</v>
      </c>
      <c r="BI445" s="203" t="str">
        <f>IFERROR(VLOOKUP(A445,'Title II Hold Harmless'!A$1:B$439,2, FALSE),"")</f>
        <v/>
      </c>
      <c r="BJ445" s="203">
        <f t="shared" si="657"/>
        <v>1258.1604031837076</v>
      </c>
      <c r="BK445" s="203">
        <f t="shared" si="658"/>
        <v>1259.3775373154256</v>
      </c>
      <c r="BL445" s="203" t="str">
        <f t="shared" si="637"/>
        <v/>
      </c>
      <c r="BM445" s="203">
        <f t="shared" si="638"/>
        <v>1259.3775373154256</v>
      </c>
      <c r="BN445" s="200"/>
      <c r="BP445" s="298" t="s">
        <v>1448</v>
      </c>
      <c r="BQ445" s="299" t="str">
        <f t="shared" si="597"/>
        <v>Y</v>
      </c>
      <c r="BR445" s="300" t="s">
        <v>1448</v>
      </c>
      <c r="BT445" s="298" t="str">
        <f t="shared" si="598"/>
        <v>Y</v>
      </c>
      <c r="BU445" s="299" t="str">
        <f t="shared" si="668"/>
        <v>Y</v>
      </c>
      <c r="BV445" s="299" t="str">
        <f t="shared" si="669"/>
        <v>Y</v>
      </c>
      <c r="BW445" s="300" t="str">
        <f t="shared" si="599"/>
        <v>Y</v>
      </c>
      <c r="BY445" s="355">
        <f t="shared" si="600"/>
        <v>0</v>
      </c>
      <c r="BZ445" s="356">
        <f t="shared" si="601"/>
        <v>0</v>
      </c>
      <c r="CA445" s="356">
        <f t="shared" si="602"/>
        <v>0.95</v>
      </c>
      <c r="CB445" s="357">
        <f t="shared" si="603"/>
        <v>0.95</v>
      </c>
      <c r="CD445" s="312">
        <f t="shared" si="604"/>
        <v>437</v>
      </c>
    </row>
    <row r="446" spans="1:82" s="48" customFormat="1" outlineLevel="1" x14ac:dyDescent="0.3">
      <c r="A446" s="202">
        <v>108512000</v>
      </c>
      <c r="B446" s="48">
        <f>VLOOKUP(C446,'NCES ID'!$A$2:$B$3136,2,FALSE)</f>
        <v>400868</v>
      </c>
      <c r="C446" s="48">
        <f>VLOOKUP(A446,'State ID'!$A$2:$B$713,2,FALSE)</f>
        <v>91238</v>
      </c>
      <c r="D446" s="48" t="s">
        <v>310</v>
      </c>
      <c r="E446" s="48" t="s">
        <v>9</v>
      </c>
      <c r="F446" s="755"/>
      <c r="G446" s="755"/>
      <c r="H446" s="755"/>
      <c r="I446" s="755"/>
      <c r="J446" s="755"/>
      <c r="K446" s="755"/>
      <c r="L446" s="454"/>
      <c r="M446" s="455"/>
      <c r="N446" s="456"/>
      <c r="O446" s="209">
        <f>VLOOKUP($C446,'Final SEA Counts'!$A$2:$F$709,5,FALSE)</f>
        <v>134</v>
      </c>
      <c r="P446" s="223">
        <f>VLOOKUP($C446,'Final SEA Counts'!$A$2:$F$709,6,FALSE)</f>
        <v>79</v>
      </c>
      <c r="Q446" s="749"/>
      <c r="R446" s="454">
        <f t="shared" si="665"/>
        <v>134</v>
      </c>
      <c r="S446" s="455">
        <f t="shared" si="659"/>
        <v>43.38039268643525</v>
      </c>
      <c r="T446" s="230">
        <f t="shared" si="660"/>
        <v>0.32373427377936753</v>
      </c>
      <c r="U446" s="264" t="str">
        <f>IFERROR(VLOOKUP($B446,#REF!,8,FALSE),"")</f>
        <v/>
      </c>
      <c r="V446" s="265" t="str">
        <f>IFERROR(VLOOKUP($B446,#REF!,9,FALSE),"")</f>
        <v/>
      </c>
      <c r="W446" s="265" t="str">
        <f>IFERROR(VLOOKUP($B446,#REF!,10,FALSE),"")</f>
        <v/>
      </c>
      <c r="X446" s="265" t="str">
        <f>IFERROR(VLOOKUP($B446,#REF!,11,FALSE),"")</f>
        <v/>
      </c>
      <c r="Y446" s="266" t="str">
        <f>IFERROR(VLOOKUP($B446,#REF!,12,FALSE),"")</f>
        <v/>
      </c>
      <c r="Z446" s="265">
        <f t="shared" si="661"/>
        <v>20810.525169772067</v>
      </c>
      <c r="AA446" s="265">
        <f t="shared" si="662"/>
        <v>4593.3744484462195</v>
      </c>
      <c r="AB446" s="265">
        <f t="shared" si="663"/>
        <v>12653.424794373135</v>
      </c>
      <c r="AC446" s="266">
        <f t="shared" si="664"/>
        <v>12291.839680218975</v>
      </c>
      <c r="AD446" s="265">
        <f t="shared" si="670"/>
        <v>20810.525169772067</v>
      </c>
      <c r="AE446" s="265">
        <f t="shared" si="671"/>
        <v>4593.3744484462195</v>
      </c>
      <c r="AF446" s="265">
        <f t="shared" si="672"/>
        <v>12653.424794373135</v>
      </c>
      <c r="AG446" s="266">
        <f t="shared" si="673"/>
        <v>12291.839680218975</v>
      </c>
      <c r="AH446" s="265">
        <f t="shared" si="652"/>
        <v>20810.525169772067</v>
      </c>
      <c r="AI446" s="265">
        <f t="shared" si="653"/>
        <v>7400.107741311529</v>
      </c>
      <c r="AJ446" s="265">
        <f t="shared" si="654"/>
        <v>12653.424794373135</v>
      </c>
      <c r="AK446" s="265">
        <f t="shared" si="655"/>
        <v>12291.839680218975</v>
      </c>
      <c r="AL446" s="266">
        <f t="shared" si="656"/>
        <v>53155.8973856757</v>
      </c>
      <c r="AM446" s="347"/>
      <c r="AN446" s="264">
        <f>IFERROR(VLOOKUP($A446,'HH &amp; SI'!$B$4:$Z$494,'HH &amp; SI'!V$503,0),0)</f>
        <v>20526.65609910067</v>
      </c>
      <c r="AO446" s="265">
        <f>IFERROR(VLOOKUP($A446,'HH &amp; SI'!$B$4:$Z$494,'HH &amp; SI'!W$503,0),0)</f>
        <v>7156.3752478115666</v>
      </c>
      <c r="AP446" s="265">
        <f>IFERROR(VLOOKUP($A446,'HH &amp; SI'!$B$4:$Z$494,'HH &amp; SI'!X$503,0),0)</f>
        <v>12538.346836211227</v>
      </c>
      <c r="AQ446" s="265">
        <f>IFERROR(VLOOKUP($A446,'HH &amp; SI'!$B$4:$Z$494,'HH &amp; SI'!Y$503,0),0)</f>
        <v>12156.405733384636</v>
      </c>
      <c r="AR446" s="266">
        <f t="shared" si="651"/>
        <v>52377.783916508102</v>
      </c>
      <c r="AS446" s="347"/>
      <c r="AT446" s="324">
        <f>IFERROR(VLOOKUP(A446,'Afton FY16 Final'!$A$5:$BV$572,'Afton FY16 Final'!$BV$587,0),0)</f>
        <v>38203.616803283287</v>
      </c>
      <c r="AU446" s="347"/>
      <c r="AV446" s="454">
        <v>0</v>
      </c>
      <c r="AW446" s="265">
        <f>IFERROR(VLOOKUP($A446,'HH &amp; SI'!$B$4:$EY$503,'HH &amp; SI'!EX$503,0),0)</f>
        <v>2933.8420987343707</v>
      </c>
      <c r="AX446" s="265">
        <f>IFERROR(VLOOKUP($A446,'HH &amp; SI'!$B$4:$EY$503,'HH &amp; SI'!EY$503,0),0)</f>
        <v>49443.941817773732</v>
      </c>
      <c r="AY446" s="265">
        <f>AX446/$AX$582*'update_State Admin 1004(b)'!$B$30*0.01</f>
        <v>473.21404216685806</v>
      </c>
      <c r="AZ446" s="266">
        <f t="shared" si="631"/>
        <v>48970.727775606872</v>
      </c>
      <c r="BA446" s="264">
        <f t="shared" si="632"/>
        <v>489.70727775606872</v>
      </c>
      <c r="BB446" s="265">
        <f t="shared" si="633"/>
        <v>48481.020497850805</v>
      </c>
      <c r="BC446" s="342">
        <f t="shared" si="610"/>
        <v>1.2690165108577955</v>
      </c>
      <c r="BD446" s="347"/>
      <c r="BE446" s="377" t="str">
        <f>'Original Title I &amp; II'!AZ443</f>
        <v/>
      </c>
      <c r="BF446" s="244" t="str">
        <f t="shared" si="674"/>
        <v/>
      </c>
      <c r="BG446" s="266">
        <f t="shared" si="667"/>
        <v>48481.020497850805</v>
      </c>
      <c r="BI446" s="203" t="str">
        <f>IFERROR(VLOOKUP(A446,'Title II Hold Harmless'!A$1:B$439,2, FALSE),"")</f>
        <v/>
      </c>
      <c r="BJ446" s="203">
        <f t="shared" si="657"/>
        <v>675.73121317448897</v>
      </c>
      <c r="BK446" s="203">
        <f t="shared" si="658"/>
        <v>676.38491004918058</v>
      </c>
      <c r="BL446" s="203" t="str">
        <f t="shared" si="637"/>
        <v/>
      </c>
      <c r="BM446" s="203">
        <f t="shared" si="638"/>
        <v>676.38491004918058</v>
      </c>
      <c r="BN446" s="200"/>
      <c r="BP446" s="298" t="s">
        <v>1448</v>
      </c>
      <c r="BQ446" s="299" t="str">
        <f t="shared" si="597"/>
        <v>Y</v>
      </c>
      <c r="BR446" s="300" t="s">
        <v>1448</v>
      </c>
      <c r="BT446" s="298" t="str">
        <f t="shared" si="598"/>
        <v>Y</v>
      </c>
      <c r="BU446" s="299" t="str">
        <f t="shared" si="668"/>
        <v>Y</v>
      </c>
      <c r="BV446" s="299" t="str">
        <f t="shared" si="669"/>
        <v>Y</v>
      </c>
      <c r="BW446" s="300" t="str">
        <f t="shared" si="599"/>
        <v>Y</v>
      </c>
      <c r="BY446" s="355">
        <f t="shared" si="600"/>
        <v>0</v>
      </c>
      <c r="BZ446" s="356">
        <f t="shared" si="601"/>
        <v>0</v>
      </c>
      <c r="CA446" s="356">
        <f t="shared" si="602"/>
        <v>0.95</v>
      </c>
      <c r="CB446" s="357">
        <f t="shared" si="603"/>
        <v>0.95</v>
      </c>
      <c r="CD446" s="312">
        <f t="shared" si="604"/>
        <v>438</v>
      </c>
    </row>
    <row r="447" spans="1:82" s="48" customFormat="1" outlineLevel="1" x14ac:dyDescent="0.3">
      <c r="A447" s="202">
        <v>100100000</v>
      </c>
      <c r="B447" s="48">
        <f>VLOOKUP(C447,'NCES ID'!$A$2:$B$3136,2,FALSE)</f>
        <v>405360</v>
      </c>
      <c r="C447" s="48">
        <f>VLOOKUP(A447,'State ID'!$A$2:$B$713,2,FALSE)</f>
        <v>4401</v>
      </c>
      <c r="D447" s="48" t="s">
        <v>486</v>
      </c>
      <c r="E447" s="48" t="s">
        <v>9</v>
      </c>
      <c r="F447" s="755"/>
      <c r="G447" s="755"/>
      <c r="H447" s="755"/>
      <c r="I447" s="755"/>
      <c r="J447" s="755"/>
      <c r="K447" s="755"/>
      <c r="L447" s="454"/>
      <c r="M447" s="455"/>
      <c r="N447" s="456"/>
      <c r="O447" s="209">
        <f>VLOOKUP($C447,'AzEDS FY17 12-04-16'!$A$1:$D$712,3,FALSE)</f>
        <v>59</v>
      </c>
      <c r="P447" s="223">
        <f>VLOOKUP($C447,'AzEDS FY17 12-04-16'!$A$1:$D$712,4,FALSE)</f>
        <v>59</v>
      </c>
      <c r="Q447" s="749"/>
      <c r="R447" s="454">
        <f t="shared" si="665"/>
        <v>59</v>
      </c>
      <c r="S447" s="455">
        <f t="shared" si="659"/>
        <v>32.398014791135189</v>
      </c>
      <c r="T447" s="230">
        <f t="shared" si="660"/>
        <v>0.5491188947650032</v>
      </c>
      <c r="U447" s="264"/>
      <c r="V447" s="265"/>
      <c r="W447" s="265"/>
      <c r="X447" s="265"/>
      <c r="Y447" s="266"/>
      <c r="Z447" s="265">
        <f t="shared" ref="Z447:AC447" si="675">$S447*U$466</f>
        <v>15542.037785019646</v>
      </c>
      <c r="AA447" s="265">
        <f t="shared" si="675"/>
        <v>3430.4948412446456</v>
      </c>
      <c r="AB447" s="265">
        <f t="shared" si="675"/>
        <v>9450.0261122533539</v>
      </c>
      <c r="AC447" s="266">
        <f t="shared" si="675"/>
        <v>9179.9815333280967</v>
      </c>
      <c r="AD447" s="265">
        <f t="shared" si="670"/>
        <v>15542.037785019646</v>
      </c>
      <c r="AE447" s="265">
        <f t="shared" si="671"/>
        <v>3430.4948412446456</v>
      </c>
      <c r="AF447" s="265">
        <f t="shared" si="672"/>
        <v>9450.0261122533539</v>
      </c>
      <c r="AG447" s="266">
        <f t="shared" si="673"/>
        <v>9179.9815333280967</v>
      </c>
      <c r="AH447" s="265">
        <f t="shared" si="652"/>
        <v>15542.037785019646</v>
      </c>
      <c r="AI447" s="265">
        <f t="shared" si="653"/>
        <v>6237.2281341099551</v>
      </c>
      <c r="AJ447" s="265">
        <f t="shared" si="654"/>
        <v>9450.0261122533539</v>
      </c>
      <c r="AK447" s="265">
        <f t="shared" si="655"/>
        <v>9179.9815333280967</v>
      </c>
      <c r="AL447" s="266">
        <f t="shared" si="656"/>
        <v>40409.273564711053</v>
      </c>
      <c r="AM447" s="347"/>
      <c r="AN447" s="264">
        <f>IFERROR(VLOOKUP($A447,'HH &amp; SI'!$B$4:$Z$494,'HH &amp; SI'!V$503,0),0)</f>
        <v>15330.034301859994</v>
      </c>
      <c r="AO447" s="265">
        <f>IFERROR(VLOOKUP($A447,'HH &amp; SI'!$B$4:$Z$494,'HH &amp; SI'!W$503,0),0)</f>
        <v>6031.7966432725925</v>
      </c>
      <c r="AP447" s="265">
        <f>IFERROR(VLOOKUP($A447,'HH &amp; SI'!$B$4:$Z$494,'HH &amp; SI'!X$503,0),0)</f>
        <v>9364.0818143855995</v>
      </c>
      <c r="AQ447" s="265">
        <f>IFERROR(VLOOKUP($A447,'HH &amp; SI'!$B$4:$Z$494,'HH &amp; SI'!Y$503,0),0)</f>
        <v>9078.8346616416929</v>
      </c>
      <c r="AR447" s="266">
        <f t="shared" si="651"/>
        <v>39804.747421159875</v>
      </c>
      <c r="AS447" s="347"/>
      <c r="AT447" s="324">
        <f>IFERROR(VLOOKUP(A447,'Afton FY16 Final'!$A$5:$BV$572,'Afton FY16 Final'!$BV$587,0),0)</f>
        <v>0</v>
      </c>
      <c r="AU447" s="347"/>
      <c r="AV447" s="454">
        <v>0</v>
      </c>
      <c r="AW447" s="265">
        <f>IFERROR(VLOOKUP($A447,'HH &amp; SI'!$B$4:$EY$503,'HH &amp; SI'!EX$503,0),0)</f>
        <v>2229.5873361087433</v>
      </c>
      <c r="AX447" s="265">
        <f>IFERROR(VLOOKUP($A447,'HH &amp; SI'!$B$4:$EY$503,'HH &amp; SI'!EY$503,0),0)</f>
        <v>37575.160085051131</v>
      </c>
      <c r="AY447" s="265">
        <f>AX447/$AX$582*'update_State Admin 1004(b)'!$B$30*0.01</f>
        <v>359.62127482566564</v>
      </c>
      <c r="AZ447" s="266">
        <f t="shared" si="631"/>
        <v>37215.538810225466</v>
      </c>
      <c r="BA447" s="264">
        <f t="shared" si="632"/>
        <v>372.15538810225468</v>
      </c>
      <c r="BB447" s="265">
        <f t="shared" si="633"/>
        <v>36843.38342212321</v>
      </c>
      <c r="BC447" s="342" t="str">
        <f t="shared" si="610"/>
        <v/>
      </c>
      <c r="BD447" s="347"/>
      <c r="BE447" s="377">
        <f>'Original Title I &amp; II'!AZ444</f>
        <v>0</v>
      </c>
      <c r="BF447" s="244"/>
      <c r="BG447" s="266">
        <f t="shared" si="667"/>
        <v>36843.38342212321</v>
      </c>
      <c r="BI447" s="203">
        <f>IFERROR(VLOOKUP(A447,'Title II Hold Harmless'!A$1:B$439,2, FALSE),"")</f>
        <v>11892</v>
      </c>
      <c r="BJ447" s="203">
        <f t="shared" si="657"/>
        <v>12363.602108669545</v>
      </c>
      <c r="BK447" s="203">
        <f t="shared" si="658"/>
        <v>12375.562556700943</v>
      </c>
      <c r="BL447" s="203"/>
      <c r="BM447" s="203">
        <f t="shared" si="638"/>
        <v>12375.562556700943</v>
      </c>
      <c r="BN447" s="200"/>
      <c r="BP447" s="298" t="s">
        <v>1448</v>
      </c>
      <c r="BQ447" s="299" t="str">
        <f t="shared" si="597"/>
        <v>Y</v>
      </c>
      <c r="BR447" s="300" t="s">
        <v>1448</v>
      </c>
      <c r="BT447" s="298" t="str">
        <f t="shared" si="598"/>
        <v>Y</v>
      </c>
      <c r="BU447" s="299" t="str">
        <f t="shared" si="668"/>
        <v>Y</v>
      </c>
      <c r="BV447" s="299" t="str">
        <f t="shared" si="669"/>
        <v>Y</v>
      </c>
      <c r="BW447" s="300" t="str">
        <f t="shared" si="599"/>
        <v>Y</v>
      </c>
      <c r="BY447" s="355">
        <f t="shared" si="600"/>
        <v>0</v>
      </c>
      <c r="BZ447" s="356">
        <f t="shared" si="601"/>
        <v>0</v>
      </c>
      <c r="CA447" s="356">
        <f t="shared" si="602"/>
        <v>0.95</v>
      </c>
      <c r="CB447" s="357">
        <f t="shared" si="603"/>
        <v>0.95</v>
      </c>
      <c r="CD447" s="312">
        <f t="shared" si="604"/>
        <v>439</v>
      </c>
    </row>
    <row r="448" spans="1:82" s="48" customFormat="1" outlineLevel="1" x14ac:dyDescent="0.3">
      <c r="A448" s="202">
        <v>108601000</v>
      </c>
      <c r="B448" s="48">
        <f>VLOOKUP(C448,'NCES ID'!$A$2:$B$3136,2,FALSE)</f>
        <v>400201</v>
      </c>
      <c r="C448" s="48">
        <f>VLOOKUP(A448,'State ID'!$A$2:$B$713,2,FALSE)</f>
        <v>4420</v>
      </c>
      <c r="D448" s="48" t="s">
        <v>341</v>
      </c>
      <c r="E448" s="48" t="s">
        <v>9</v>
      </c>
      <c r="F448" s="755"/>
      <c r="G448" s="755"/>
      <c r="H448" s="755"/>
      <c r="I448" s="755"/>
      <c r="J448" s="755"/>
      <c r="K448" s="755"/>
      <c r="L448" s="454"/>
      <c r="M448" s="455"/>
      <c r="N448" s="456"/>
      <c r="O448" s="209">
        <f>VLOOKUP($C448,'Final SEA Counts'!$A$2:$F$709,5,FALSE)</f>
        <v>30</v>
      </c>
      <c r="P448" s="223">
        <f>VLOOKUP($C448,'Final SEA Counts'!$A$2:$F$709,6,FALSE)</f>
        <v>29</v>
      </c>
      <c r="Q448" s="749"/>
      <c r="R448" s="454">
        <f t="shared" si="665"/>
        <v>30</v>
      </c>
      <c r="S448" s="455">
        <f t="shared" si="659"/>
        <v>15.924447948185092</v>
      </c>
      <c r="T448" s="230">
        <f t="shared" si="660"/>
        <v>0.53081493160616977</v>
      </c>
      <c r="U448" s="264" t="str">
        <f>IFERROR(VLOOKUP($B448,#REF!,8,FALSE),"")</f>
        <v/>
      </c>
      <c r="V448" s="265" t="str">
        <f>IFERROR(VLOOKUP($B448,#REF!,9,FALSE),"")</f>
        <v/>
      </c>
      <c r="W448" s="265" t="str">
        <f>IFERROR(VLOOKUP($B448,#REF!,10,FALSE),"")</f>
        <v/>
      </c>
      <c r="X448" s="265" t="str">
        <f>IFERROR(VLOOKUP($B448,#REF!,11,FALSE),"")</f>
        <v/>
      </c>
      <c r="Y448" s="266" t="str">
        <f>IFERROR(VLOOKUP($B448,#REF!,12,FALSE),"")</f>
        <v/>
      </c>
      <c r="Z448" s="265">
        <f t="shared" ref="Z448:Z463" si="676">$S448*U$466</f>
        <v>7639.3067078910117</v>
      </c>
      <c r="AA448" s="265">
        <f t="shared" ref="AA448:AA463" si="677">$S448*V$466</f>
        <v>1686.1754304422832</v>
      </c>
      <c r="AB448" s="265">
        <f t="shared" ref="AB448:AB463" si="678">$S448*W$466</f>
        <v>4644.9280890736827</v>
      </c>
      <c r="AC448" s="266">
        <f t="shared" ref="AC448:AC463" si="679">$S448*X$466</f>
        <v>4512.1943129917754</v>
      </c>
      <c r="AD448" s="265">
        <f t="shared" si="670"/>
        <v>7639.3067078910117</v>
      </c>
      <c r="AE448" s="265">
        <f t="shared" si="671"/>
        <v>1686.1754304422832</v>
      </c>
      <c r="AF448" s="265">
        <f t="shared" si="672"/>
        <v>4644.9280890736827</v>
      </c>
      <c r="AG448" s="266">
        <f t="shared" si="673"/>
        <v>4512.1943129917754</v>
      </c>
      <c r="AH448" s="265">
        <f t="shared" si="652"/>
        <v>7639.3067078910117</v>
      </c>
      <c r="AI448" s="265">
        <f t="shared" si="653"/>
        <v>4492.9087233075925</v>
      </c>
      <c r="AJ448" s="265">
        <f t="shared" si="654"/>
        <v>4644.9280890736827</v>
      </c>
      <c r="AK448" s="265">
        <f t="shared" si="655"/>
        <v>4512.1943129917754</v>
      </c>
      <c r="AL448" s="266">
        <f t="shared" si="656"/>
        <v>21289.33783326406</v>
      </c>
      <c r="AM448" s="347"/>
      <c r="AN448" s="264">
        <f>IFERROR(VLOOKUP($A448,'HH &amp; SI'!$B$4:$Z$494,'HH &amp; SI'!V$503,0),0)</f>
        <v>13526.223846553854</v>
      </c>
      <c r="AO448" s="265">
        <f>IFERROR(VLOOKUP($A448,'HH &amp; SI'!$B$4:$Z$494,'HH &amp; SI'!W$503,0),0)</f>
        <v>5071.2378243211779</v>
      </c>
      <c r="AP448" s="265">
        <f>IFERROR(VLOOKUP($A448,'HH &amp; SI'!$B$4:$Z$494,'HH &amp; SI'!X$503,0),0)</f>
        <v>7505.6019892334816</v>
      </c>
      <c r="AQ448" s="265">
        <f>IFERROR(VLOOKUP($A448,'HH &amp; SI'!$B$4:$Z$494,'HH &amp; SI'!Y$503,0),0)</f>
        <v>7732.8929593415542</v>
      </c>
      <c r="AR448" s="266">
        <f t="shared" si="651"/>
        <v>33835.956619450066</v>
      </c>
      <c r="AS448" s="347"/>
      <c r="AT448" s="324">
        <f>IFERROR(VLOOKUP(A448,'Afton FY16 Final'!$A$5:$BV$572,'Afton FY16 Final'!$BV$587,0),0)</f>
        <v>34915.501725491187</v>
      </c>
      <c r="AU448" s="347"/>
      <c r="AV448" s="454">
        <v>0</v>
      </c>
      <c r="AW448" s="265">
        <f>IFERROR(VLOOKUP($A448,'HH &amp; SI'!$B$4:$EY$503,'HH &amp; SI'!EX$503,0),0)</f>
        <v>0</v>
      </c>
      <c r="AX448" s="265">
        <f>IFERROR(VLOOKUP($A448,'HH &amp; SI'!$B$4:$EY$503,'HH &amp; SI'!EY$503,0),0)</f>
        <v>33835.956619450066</v>
      </c>
      <c r="AY448" s="265">
        <f>AX448/$AX$582*'update_State Admin 1004(b)'!$B$30*0.01</f>
        <v>323.83441153384496</v>
      </c>
      <c r="AZ448" s="266">
        <f t="shared" si="631"/>
        <v>33512.122207916218</v>
      </c>
      <c r="BA448" s="264">
        <f t="shared" si="632"/>
        <v>335.12122207916218</v>
      </c>
      <c r="BB448" s="265">
        <f t="shared" si="633"/>
        <v>33177.000985837054</v>
      </c>
      <c r="BC448" s="342">
        <f t="shared" si="610"/>
        <v>0.95020834146040967</v>
      </c>
      <c r="BD448" s="347"/>
      <c r="BE448" s="377" t="str">
        <f>'Original Title I &amp; II'!AZ445</f>
        <v/>
      </c>
      <c r="BF448" s="244" t="str">
        <f t="shared" ref="BF448:BF462" si="680">IF(BE448&lt;0,BB448*BE448/100,"")</f>
        <v/>
      </c>
      <c r="BG448" s="266">
        <f t="shared" si="667"/>
        <v>33177.000985837054</v>
      </c>
      <c r="BI448" s="203">
        <f>IFERROR(VLOOKUP(A448,'Title II Hold Harmless'!A$1:B$439,2, FALSE),"")</f>
        <v>3615</v>
      </c>
      <c r="BJ448" s="203">
        <f t="shared" si="657"/>
        <v>3847.6092259846923</v>
      </c>
      <c r="BK448" s="203">
        <f t="shared" si="658"/>
        <v>3851.3313718276299</v>
      </c>
      <c r="BL448" s="203" t="str">
        <f t="shared" si="637"/>
        <v/>
      </c>
      <c r="BM448" s="203">
        <f t="shared" si="638"/>
        <v>3851.3313718276299</v>
      </c>
      <c r="BN448" s="200"/>
      <c r="BP448" s="298" t="s">
        <v>1448</v>
      </c>
      <c r="BQ448" s="299" t="str">
        <f t="shared" si="597"/>
        <v>Y</v>
      </c>
      <c r="BR448" s="300" t="s">
        <v>1448</v>
      </c>
      <c r="BT448" s="298" t="str">
        <f t="shared" si="598"/>
        <v>Y</v>
      </c>
      <c r="BU448" s="299" t="str">
        <f t="shared" si="668"/>
        <v>Y</v>
      </c>
      <c r="BV448" s="299" t="str">
        <f t="shared" si="669"/>
        <v>Y</v>
      </c>
      <c r="BW448" s="300" t="str">
        <f t="shared" si="599"/>
        <v>Y</v>
      </c>
      <c r="BY448" s="355">
        <f t="shared" si="600"/>
        <v>0</v>
      </c>
      <c r="BZ448" s="356">
        <f t="shared" si="601"/>
        <v>0</v>
      </c>
      <c r="CA448" s="356">
        <f t="shared" si="602"/>
        <v>0.95</v>
      </c>
      <c r="CB448" s="357">
        <f t="shared" si="603"/>
        <v>0.95</v>
      </c>
      <c r="CD448" s="312">
        <f t="shared" si="604"/>
        <v>440</v>
      </c>
    </row>
    <row r="449" spans="1:82" s="48" customFormat="1" outlineLevel="1" x14ac:dyDescent="0.3">
      <c r="A449" s="202">
        <v>108799000</v>
      </c>
      <c r="B449" s="48">
        <f>VLOOKUP(C449,'NCES ID'!$A$2:$B$3136,2,FALSE)</f>
        <v>400768</v>
      </c>
      <c r="C449" s="48">
        <f>VLOOKUP(A449,'State ID'!$A$2:$B$713,2,FALSE)</f>
        <v>89864</v>
      </c>
      <c r="D449" s="48" t="s">
        <v>342</v>
      </c>
      <c r="E449" s="48" t="s">
        <v>9</v>
      </c>
      <c r="F449" s="755"/>
      <c r="G449" s="755"/>
      <c r="H449" s="755"/>
      <c r="I449" s="755"/>
      <c r="J449" s="755"/>
      <c r="K449" s="755"/>
      <c r="L449" s="454"/>
      <c r="M449" s="455"/>
      <c r="N449" s="456"/>
      <c r="O449" s="209">
        <f>VLOOKUP($C449,'Final SEA Counts'!$A$2:$F$709,5,FALSE)</f>
        <v>99</v>
      </c>
      <c r="P449" s="223">
        <f>VLOOKUP($C449,'Final SEA Counts'!$A$2:$F$709,6,FALSE)</f>
        <v>95</v>
      </c>
      <c r="Q449" s="749"/>
      <c r="R449" s="454">
        <f t="shared" si="665"/>
        <v>99</v>
      </c>
      <c r="S449" s="455">
        <f t="shared" si="659"/>
        <v>52.166295002675305</v>
      </c>
      <c r="T449" s="230">
        <f t="shared" si="660"/>
        <v>0.52693227275429599</v>
      </c>
      <c r="U449" s="264" t="str">
        <f>IFERROR(VLOOKUP($B449,#REF!,8,FALSE),"")</f>
        <v/>
      </c>
      <c r="V449" s="265" t="str">
        <f>IFERROR(VLOOKUP($B449,#REF!,9,FALSE),"")</f>
        <v/>
      </c>
      <c r="W449" s="265" t="str">
        <f>IFERROR(VLOOKUP($B449,#REF!,10,FALSE),"")</f>
        <v/>
      </c>
      <c r="X449" s="265" t="str">
        <f>IFERROR(VLOOKUP($B449,#REF!,11,FALSE),"")</f>
        <v/>
      </c>
      <c r="Y449" s="266" t="str">
        <f>IFERROR(VLOOKUP($B449,#REF!,12,FALSE),"")</f>
        <v/>
      </c>
      <c r="Z449" s="265">
        <f t="shared" si="676"/>
        <v>25025.315077574003</v>
      </c>
      <c r="AA449" s="265">
        <f t="shared" si="677"/>
        <v>5523.6781342074801</v>
      </c>
      <c r="AB449" s="265">
        <f t="shared" si="678"/>
        <v>15216.143740068961</v>
      </c>
      <c r="AC449" s="266">
        <f t="shared" si="679"/>
        <v>14781.32619773168</v>
      </c>
      <c r="AD449" s="265">
        <f t="shared" si="670"/>
        <v>25025.315077574003</v>
      </c>
      <c r="AE449" s="265">
        <f t="shared" si="671"/>
        <v>5523.6781342074801</v>
      </c>
      <c r="AF449" s="265">
        <f t="shared" si="672"/>
        <v>15216.143740068961</v>
      </c>
      <c r="AG449" s="266">
        <f t="shared" si="673"/>
        <v>14781.32619773168</v>
      </c>
      <c r="AH449" s="265">
        <f t="shared" si="652"/>
        <v>25025.315077574003</v>
      </c>
      <c r="AI449" s="265">
        <f t="shared" si="653"/>
        <v>8330.4114270727896</v>
      </c>
      <c r="AJ449" s="265">
        <f t="shared" si="654"/>
        <v>15216.143740068961</v>
      </c>
      <c r="AK449" s="265">
        <f t="shared" si="655"/>
        <v>14781.32619773168</v>
      </c>
      <c r="AL449" s="266">
        <f t="shared" si="656"/>
        <v>63353.196442447435</v>
      </c>
      <c r="AM449" s="347"/>
      <c r="AN449" s="264">
        <f>IFERROR(VLOOKUP($A449,'HH &amp; SI'!$B$4:$Z$494,'HH &amp; SI'!V$503,0),0)</f>
        <v>28673.902785039587</v>
      </c>
      <c r="AO449" s="265">
        <f>IFERROR(VLOOKUP($A449,'HH &amp; SI'!$B$4:$Z$494,'HH &amp; SI'!W$503,0),0)</f>
        <v>9226.0778392564207</v>
      </c>
      <c r="AP449" s="265">
        <f>IFERROR(VLOOKUP($A449,'HH &amp; SI'!$B$4:$Z$494,'HH &amp; SI'!X$503,0),0)</f>
        <v>16394.837433762572</v>
      </c>
      <c r="AQ449" s="265">
        <f>IFERROR(VLOOKUP($A449,'HH &amp; SI'!$B$4:$Z$494,'HH &amp; SI'!Y$503,0),0)</f>
        <v>16434.028356793136</v>
      </c>
      <c r="AR449" s="266">
        <f t="shared" si="651"/>
        <v>70728.846414851709</v>
      </c>
      <c r="AS449" s="347"/>
      <c r="AT449" s="324">
        <f>IFERROR(VLOOKUP(A449,'Afton FY16 Final'!$A$5:$BV$572,'Afton FY16 Final'!$BV$587,0),0)</f>
        <v>71816.433743233327</v>
      </c>
      <c r="AU449" s="347"/>
      <c r="AV449" s="454">
        <v>0</v>
      </c>
      <c r="AW449" s="265">
        <f>IFERROR(VLOOKUP($A449,'HH &amp; SI'!$B$4:$EY$503,'HH &amp; SI'!EX$503,0),0)</f>
        <v>0</v>
      </c>
      <c r="AX449" s="265">
        <f>IFERROR(VLOOKUP($A449,'HH &amp; SI'!$B$4:$EY$503,'HH &amp; SI'!EY$503,0),0)</f>
        <v>70728.846414851709</v>
      </c>
      <c r="AY449" s="265">
        <f>AX449/$AX$582*'update_State Admin 1004(b)'!$B$30*0.01</f>
        <v>676.92586956607431</v>
      </c>
      <c r="AZ449" s="266">
        <f t="shared" si="631"/>
        <v>70051.92054528564</v>
      </c>
      <c r="BA449" s="264">
        <f t="shared" si="632"/>
        <v>700.51920545285645</v>
      </c>
      <c r="BB449" s="265">
        <f t="shared" si="633"/>
        <v>69351.401339832781</v>
      </c>
      <c r="BC449" s="342">
        <f t="shared" si="610"/>
        <v>0.96567592854563311</v>
      </c>
      <c r="BD449" s="347"/>
      <c r="BE449" s="377" t="str">
        <f>'Original Title I &amp; II'!AZ446</f>
        <v/>
      </c>
      <c r="BF449" s="244" t="str">
        <f t="shared" si="680"/>
        <v/>
      </c>
      <c r="BG449" s="266">
        <f t="shared" si="667"/>
        <v>69351.401339832781</v>
      </c>
      <c r="BI449" s="203" t="str">
        <f>IFERROR(VLOOKUP(A449,'Title II Hold Harmless'!A$1:B$439,2, FALSE),"")</f>
        <v/>
      </c>
      <c r="BJ449" s="203">
        <f t="shared" si="657"/>
        <v>762.57852627672719</v>
      </c>
      <c r="BK449" s="203">
        <f t="shared" si="658"/>
        <v>763.31623853511485</v>
      </c>
      <c r="BL449" s="203" t="str">
        <f t="shared" si="637"/>
        <v/>
      </c>
      <c r="BM449" s="203">
        <f t="shared" si="638"/>
        <v>763.31623853511485</v>
      </c>
      <c r="BN449" s="200"/>
      <c r="BP449" s="298" t="s">
        <v>1448</v>
      </c>
      <c r="BQ449" s="299" t="str">
        <f t="shared" si="597"/>
        <v>Y</v>
      </c>
      <c r="BR449" s="300" t="s">
        <v>1448</v>
      </c>
      <c r="BT449" s="298" t="str">
        <f t="shared" si="598"/>
        <v>Y</v>
      </c>
      <c r="BU449" s="299" t="str">
        <f t="shared" si="668"/>
        <v>Y</v>
      </c>
      <c r="BV449" s="299" t="str">
        <f t="shared" si="669"/>
        <v>Y</v>
      </c>
      <c r="BW449" s="300" t="str">
        <f t="shared" si="599"/>
        <v>Y</v>
      </c>
      <c r="BY449" s="355">
        <f t="shared" si="600"/>
        <v>0</v>
      </c>
      <c r="BZ449" s="356">
        <f t="shared" si="601"/>
        <v>0</v>
      </c>
      <c r="CA449" s="356">
        <f t="shared" si="602"/>
        <v>0.95</v>
      </c>
      <c r="CB449" s="357">
        <f t="shared" si="603"/>
        <v>0.95</v>
      </c>
      <c r="CD449" s="312">
        <f t="shared" si="604"/>
        <v>441</v>
      </c>
    </row>
    <row r="450" spans="1:82" s="48" customFormat="1" outlineLevel="1" x14ac:dyDescent="0.3">
      <c r="A450" s="202">
        <v>108711000</v>
      </c>
      <c r="B450" s="48">
        <f>VLOOKUP(C450,'NCES ID'!$A$2:$B$3136,2,FALSE)</f>
        <v>400367</v>
      </c>
      <c r="C450" s="48">
        <f>VLOOKUP(A450,'State ID'!$A$2:$B$713,2,FALSE)</f>
        <v>79959</v>
      </c>
      <c r="D450" s="48" t="s">
        <v>343</v>
      </c>
      <c r="E450" s="48" t="s">
        <v>9</v>
      </c>
      <c r="F450" s="755"/>
      <c r="G450" s="755"/>
      <c r="H450" s="755"/>
      <c r="I450" s="755"/>
      <c r="J450" s="755"/>
      <c r="K450" s="755"/>
      <c r="L450" s="454"/>
      <c r="M450" s="455"/>
      <c r="N450" s="456"/>
      <c r="O450" s="209">
        <f>VLOOKUP($C450,'Final SEA Counts'!$A$2:$F$709,5,FALSE)</f>
        <v>147</v>
      </c>
      <c r="P450" s="223">
        <f>VLOOKUP($C450,'Final SEA Counts'!$A$2:$F$709,6,FALSE)</f>
        <v>142</v>
      </c>
      <c r="Q450" s="749"/>
      <c r="R450" s="454">
        <f t="shared" si="665"/>
        <v>147</v>
      </c>
      <c r="S450" s="455">
        <f t="shared" si="659"/>
        <v>77.97488305663046</v>
      </c>
      <c r="T450" s="230">
        <f t="shared" si="660"/>
        <v>0.5304413813376222</v>
      </c>
      <c r="U450" s="264" t="str">
        <f>IFERROR(VLOOKUP($B450,#REF!,8,FALSE),"")</f>
        <v/>
      </c>
      <c r="V450" s="265" t="str">
        <f>IFERROR(VLOOKUP($B450,#REF!,9,FALSE),"")</f>
        <v/>
      </c>
      <c r="W450" s="265" t="str">
        <f>IFERROR(VLOOKUP($B450,#REF!,10,FALSE),"")</f>
        <v/>
      </c>
      <c r="X450" s="265" t="str">
        <f>IFERROR(VLOOKUP($B450,#REF!,11,FALSE),"")</f>
        <v/>
      </c>
      <c r="Y450" s="266" t="str">
        <f>IFERROR(VLOOKUP($B450,#REF!,12,FALSE),"")</f>
        <v/>
      </c>
      <c r="Z450" s="265">
        <f t="shared" si="676"/>
        <v>37406.260431742201</v>
      </c>
      <c r="AA450" s="265">
        <f t="shared" si="677"/>
        <v>8256.4452111311803</v>
      </c>
      <c r="AB450" s="265">
        <f t="shared" si="678"/>
        <v>22744.130643050448</v>
      </c>
      <c r="AC450" s="266">
        <f t="shared" si="679"/>
        <v>22094.192842925251</v>
      </c>
      <c r="AD450" s="265">
        <f t="shared" si="670"/>
        <v>37406.260431742201</v>
      </c>
      <c r="AE450" s="265">
        <f t="shared" si="671"/>
        <v>8256.4452111311803</v>
      </c>
      <c r="AF450" s="265">
        <f t="shared" si="672"/>
        <v>22744.130643050448</v>
      </c>
      <c r="AG450" s="266">
        <f t="shared" si="673"/>
        <v>22094.192842925251</v>
      </c>
      <c r="AH450" s="265">
        <f t="shared" si="652"/>
        <v>37406.260431742201</v>
      </c>
      <c r="AI450" s="265">
        <f t="shared" si="653"/>
        <v>11063.178503996489</v>
      </c>
      <c r="AJ450" s="265">
        <f t="shared" si="654"/>
        <v>22744.130643050448</v>
      </c>
      <c r="AK450" s="265">
        <f t="shared" si="655"/>
        <v>22094.192842925251</v>
      </c>
      <c r="AL450" s="266">
        <f t="shared" si="656"/>
        <v>93307.762421714404</v>
      </c>
      <c r="AM450" s="347"/>
      <c r="AN450" s="264">
        <f>IFERROR(VLOOKUP($A450,'HH &amp; SI'!$B$4:$Z$494,'HH &amp; SI'!V$503,0),0)</f>
        <v>50650.565395497462</v>
      </c>
      <c r="AO450" s="265">
        <f>IFERROR(VLOOKUP($A450,'HH &amp; SI'!$B$4:$Z$494,'HH &amp; SI'!W$503,0),0)</f>
        <v>13836.242787335246</v>
      </c>
      <c r="AP450" s="265">
        <f>IFERROR(VLOOKUP($A450,'HH &amp; SI'!$B$4:$Z$494,'HH &amp; SI'!X$503,0),0)</f>
        <v>28358.637723264983</v>
      </c>
      <c r="AQ450" s="265">
        <f>IFERROR(VLOOKUP($A450,'HH &amp; SI'!$B$4:$Z$494,'HH &amp; SI'!Y$503,0),0)</f>
        <v>29034.824507716388</v>
      </c>
      <c r="AR450" s="266">
        <f t="shared" si="651"/>
        <v>121880.27041381408</v>
      </c>
      <c r="AS450" s="347"/>
      <c r="AT450" s="324">
        <f>IFERROR(VLOOKUP(A450,'Afton FY16 Final'!$A$5:$BV$572,'Afton FY16 Final'!$BV$587,0),0)</f>
        <v>125768.89253636898</v>
      </c>
      <c r="AU450" s="347"/>
      <c r="AV450" s="454">
        <v>0</v>
      </c>
      <c r="AW450" s="265">
        <f>IFERROR(VLOOKUP($A450,'HH &amp; SI'!$B$4:$EY$503,'HH &amp; SI'!EX$503,0),0)</f>
        <v>0</v>
      </c>
      <c r="AX450" s="265">
        <f>IFERROR(VLOOKUP($A450,'HH &amp; SI'!$B$4:$EY$503,'HH &amp; SI'!EY$503,0),0)</f>
        <v>121880.27041381408</v>
      </c>
      <c r="AY450" s="265">
        <f>AX450/$AX$582*'update_State Admin 1004(b)'!$B$30*0.01</f>
        <v>1166.4817428083365</v>
      </c>
      <c r="AZ450" s="266">
        <f t="shared" si="631"/>
        <v>120713.78867100575</v>
      </c>
      <c r="BA450" s="264">
        <f t="shared" si="632"/>
        <v>1207.1378867100575</v>
      </c>
      <c r="BB450" s="265">
        <f t="shared" si="633"/>
        <v>119506.65078429569</v>
      </c>
      <c r="BC450" s="342">
        <f t="shared" si="610"/>
        <v>0.95020834146040989</v>
      </c>
      <c r="BD450" s="347"/>
      <c r="BE450" s="377" t="str">
        <f>'Original Title I &amp; II'!AZ447</f>
        <v/>
      </c>
      <c r="BF450" s="244" t="str">
        <f t="shared" si="680"/>
        <v/>
      </c>
      <c r="BG450" s="266">
        <f t="shared" si="667"/>
        <v>119506.65078429569</v>
      </c>
      <c r="BI450" s="203" t="str">
        <f>IFERROR(VLOOKUP(A450,'Title II Hold Harmless'!A$1:B$439,2, FALSE),"")</f>
        <v/>
      </c>
      <c r="BJ450" s="203">
        <f t="shared" si="657"/>
        <v>1139.0663616860268</v>
      </c>
      <c r="BK450" s="203">
        <f t="shared" si="658"/>
        <v>1140.1682852115102</v>
      </c>
      <c r="BL450" s="203" t="str">
        <f t="shared" si="637"/>
        <v/>
      </c>
      <c r="BM450" s="203">
        <f t="shared" si="638"/>
        <v>1140.1682852115102</v>
      </c>
      <c r="BN450" s="200"/>
      <c r="BP450" s="298" t="s">
        <v>1448</v>
      </c>
      <c r="BQ450" s="299" t="str">
        <f t="shared" si="597"/>
        <v>Y</v>
      </c>
      <c r="BR450" s="300" t="s">
        <v>1448</v>
      </c>
      <c r="BT450" s="298" t="str">
        <f t="shared" si="598"/>
        <v>Y</v>
      </c>
      <c r="BU450" s="299" t="str">
        <f t="shared" si="668"/>
        <v>Y</v>
      </c>
      <c r="BV450" s="299" t="str">
        <f t="shared" si="669"/>
        <v>Y</v>
      </c>
      <c r="BW450" s="300" t="str">
        <f t="shared" si="599"/>
        <v>Y</v>
      </c>
      <c r="BY450" s="355">
        <f t="shared" si="600"/>
        <v>0</v>
      </c>
      <c r="BZ450" s="356">
        <f t="shared" si="601"/>
        <v>0</v>
      </c>
      <c r="CA450" s="356">
        <f t="shared" si="602"/>
        <v>0.95</v>
      </c>
      <c r="CB450" s="357">
        <f t="shared" si="603"/>
        <v>0.95</v>
      </c>
      <c r="CD450" s="312">
        <f t="shared" si="604"/>
        <v>442</v>
      </c>
    </row>
    <row r="451" spans="1:82" s="48" customFormat="1" outlineLevel="1" x14ac:dyDescent="0.3">
      <c r="A451" s="202">
        <v>108507000</v>
      </c>
      <c r="B451" s="48">
        <f>VLOOKUP(C451,'NCES ID'!$A$2:$B$3136,2,FALSE)</f>
        <v>400821</v>
      </c>
      <c r="C451" s="48">
        <f>VLOOKUP(A451,'State ID'!$A$2:$B$713,2,FALSE)</f>
        <v>90536</v>
      </c>
      <c r="D451" s="48" t="s">
        <v>344</v>
      </c>
      <c r="E451" s="48" t="s">
        <v>9</v>
      </c>
      <c r="F451" s="755"/>
      <c r="G451" s="755"/>
      <c r="H451" s="755"/>
      <c r="I451" s="755"/>
      <c r="J451" s="755"/>
      <c r="K451" s="755"/>
      <c r="L451" s="454"/>
      <c r="M451" s="455"/>
      <c r="N451" s="456"/>
      <c r="O451" s="209">
        <f>VLOOKUP($C451,'Final SEA Counts'!$A$2:$F$709,5,FALSE)</f>
        <v>82</v>
      </c>
      <c r="P451" s="223">
        <f>VLOOKUP($C451,'Final SEA Counts'!$A$2:$F$709,6,FALSE)</f>
        <v>80</v>
      </c>
      <c r="Q451" s="749"/>
      <c r="R451" s="454">
        <f t="shared" si="665"/>
        <v>82</v>
      </c>
      <c r="S451" s="455">
        <f t="shared" si="659"/>
        <v>43.929511581200259</v>
      </c>
      <c r="T451" s="230">
        <f t="shared" si="660"/>
        <v>0.53572575099024711</v>
      </c>
      <c r="U451" s="264" t="str">
        <f>IFERROR(VLOOKUP($B451,#REF!,8,FALSE),"")</f>
        <v/>
      </c>
      <c r="V451" s="265" t="str">
        <f>IFERROR(VLOOKUP($B451,#REF!,9,FALSE),"")</f>
        <v/>
      </c>
      <c r="W451" s="265" t="str">
        <f>IFERROR(VLOOKUP($B451,#REF!,10,FALSE),"")</f>
        <v/>
      </c>
      <c r="X451" s="265" t="str">
        <f>IFERROR(VLOOKUP($B451,#REF!,11,FALSE),"")</f>
        <v/>
      </c>
      <c r="Y451" s="266" t="str">
        <f>IFERROR(VLOOKUP($B451,#REF!,12,FALSE),"")</f>
        <v/>
      </c>
      <c r="Z451" s="265">
        <f t="shared" si="676"/>
        <v>21073.949539009689</v>
      </c>
      <c r="AA451" s="265">
        <f t="shared" si="677"/>
        <v>4651.5184288062992</v>
      </c>
      <c r="AB451" s="265">
        <f t="shared" si="678"/>
        <v>12813.594728479125</v>
      </c>
      <c r="AC451" s="266">
        <f t="shared" si="679"/>
        <v>12447.43258756352</v>
      </c>
      <c r="AD451" s="265">
        <f t="shared" si="670"/>
        <v>21073.949539009689</v>
      </c>
      <c r="AE451" s="265">
        <f t="shared" si="671"/>
        <v>4651.5184288062992</v>
      </c>
      <c r="AF451" s="265">
        <f t="shared" si="672"/>
        <v>12813.594728479125</v>
      </c>
      <c r="AG451" s="266">
        <f t="shared" si="673"/>
        <v>12447.43258756352</v>
      </c>
      <c r="AH451" s="265">
        <f t="shared" si="652"/>
        <v>21073.949539009689</v>
      </c>
      <c r="AI451" s="265">
        <f t="shared" si="653"/>
        <v>7458.2517216716087</v>
      </c>
      <c r="AJ451" s="265">
        <f t="shared" si="654"/>
        <v>12813.594728479125</v>
      </c>
      <c r="AK451" s="265">
        <f t="shared" si="655"/>
        <v>12447.43258756352</v>
      </c>
      <c r="AL451" s="266">
        <f t="shared" si="656"/>
        <v>53793.228576723945</v>
      </c>
      <c r="AM451" s="347"/>
      <c r="AN451" s="264">
        <f>IFERROR(VLOOKUP($A451,'HH &amp; SI'!$B$4:$Z$494,'HH &amp; SI'!V$503,0),0)</f>
        <v>39696.526506190661</v>
      </c>
      <c r="AO451" s="265">
        <f>IFERROR(VLOOKUP($A451,'HH &amp; SI'!$B$4:$Z$494,'HH &amp; SI'!W$503,0),0)</f>
        <v>9624.4871557570568</v>
      </c>
      <c r="AP451" s="265">
        <f>IFERROR(VLOOKUP($A451,'HH &amp; SI'!$B$4:$Z$494,'HH &amp; SI'!X$503,0),0)</f>
        <v>21591.013641672904</v>
      </c>
      <c r="AQ451" s="265">
        <f>IFERROR(VLOOKUP($A451,'HH &amp; SI'!$B$4:$Z$494,'HH &amp; SI'!Y$503,0),0)</f>
        <v>22385.670844581015</v>
      </c>
      <c r="AR451" s="266">
        <f t="shared" si="651"/>
        <v>93297.698148201627</v>
      </c>
      <c r="AS451" s="347"/>
      <c r="AT451" s="324">
        <f>IFERROR(VLOOKUP(A451,'Afton FY16 Final'!$A$5:$BV$572,'Afton FY16 Final'!$BV$587,0),0)</f>
        <v>96274.385775909977</v>
      </c>
      <c r="AU451" s="347"/>
      <c r="AV451" s="454">
        <v>0</v>
      </c>
      <c r="AW451" s="265">
        <f>IFERROR(VLOOKUP($A451,'HH &amp; SI'!$B$4:$EY$503,'HH &amp; SI'!EX$503,0),0)</f>
        <v>0</v>
      </c>
      <c r="AX451" s="265">
        <f>IFERROR(VLOOKUP($A451,'HH &amp; SI'!$B$4:$EY$503,'HH &amp; SI'!EY$503,0),0)</f>
        <v>93297.698148201627</v>
      </c>
      <c r="AY451" s="265">
        <f>AX451/$AX$582*'update_State Admin 1004(b)'!$B$30*0.01</f>
        <v>892.92599340660297</v>
      </c>
      <c r="AZ451" s="266">
        <f t="shared" si="631"/>
        <v>92404.77215479502</v>
      </c>
      <c r="BA451" s="264">
        <f t="shared" si="632"/>
        <v>924.04772154795023</v>
      </c>
      <c r="BB451" s="265">
        <f t="shared" si="633"/>
        <v>91480.724433247073</v>
      </c>
      <c r="BC451" s="342">
        <f t="shared" si="610"/>
        <v>0.95020834146040967</v>
      </c>
      <c r="BD451" s="347"/>
      <c r="BE451" s="377" t="str">
        <f>'Original Title I &amp; II'!AZ448</f>
        <v/>
      </c>
      <c r="BF451" s="244" t="str">
        <f t="shared" si="680"/>
        <v/>
      </c>
      <c r="BG451" s="266">
        <f t="shared" si="667"/>
        <v>91480.724433247073</v>
      </c>
      <c r="BI451" s="203" t="str">
        <f>IFERROR(VLOOKUP(A451,'Title II Hold Harmless'!A$1:B$439,2, FALSE),"")</f>
        <v/>
      </c>
      <c r="BJ451" s="203">
        <f t="shared" si="657"/>
        <v>641.07008571057099</v>
      </c>
      <c r="BK451" s="203">
        <f t="shared" si="658"/>
        <v>641.69025169272027</v>
      </c>
      <c r="BL451" s="203" t="str">
        <f t="shared" si="637"/>
        <v/>
      </c>
      <c r="BM451" s="203">
        <f t="shared" si="638"/>
        <v>641.69025169272027</v>
      </c>
      <c r="BN451" s="200"/>
      <c r="BP451" s="298" t="s">
        <v>1448</v>
      </c>
      <c r="BQ451" s="299" t="str">
        <f t="shared" si="597"/>
        <v>Y</v>
      </c>
      <c r="BR451" s="300" t="s">
        <v>1448</v>
      </c>
      <c r="BT451" s="298" t="str">
        <f t="shared" si="598"/>
        <v>Y</v>
      </c>
      <c r="BU451" s="299" t="str">
        <f t="shared" si="668"/>
        <v>Y</v>
      </c>
      <c r="BV451" s="299" t="str">
        <f t="shared" si="669"/>
        <v>Y</v>
      </c>
      <c r="BW451" s="300" t="str">
        <f t="shared" si="599"/>
        <v>Y</v>
      </c>
      <c r="BY451" s="355">
        <f t="shared" si="600"/>
        <v>0</v>
      </c>
      <c r="BZ451" s="356">
        <f t="shared" si="601"/>
        <v>0</v>
      </c>
      <c r="CA451" s="356">
        <f t="shared" si="602"/>
        <v>0.95</v>
      </c>
      <c r="CB451" s="357">
        <f t="shared" si="603"/>
        <v>0.95</v>
      </c>
      <c r="CD451" s="312">
        <f t="shared" si="604"/>
        <v>443</v>
      </c>
    </row>
    <row r="452" spans="1:82" s="48" customFormat="1" outlineLevel="1" x14ac:dyDescent="0.3">
      <c r="A452" s="202">
        <v>108744000</v>
      </c>
      <c r="B452" s="48">
        <f>VLOOKUP(C452,'NCES ID'!$A$2:$B$3136,2,FALSE)</f>
        <v>400083</v>
      </c>
      <c r="C452" s="48">
        <f>VLOOKUP(A452,'State ID'!$A$2:$B$713,2,FALSE)</f>
        <v>4431</v>
      </c>
      <c r="D452" s="48" t="s">
        <v>350</v>
      </c>
      <c r="E452" s="48" t="s">
        <v>9</v>
      </c>
      <c r="F452" s="755"/>
      <c r="G452" s="755"/>
      <c r="H452" s="755"/>
      <c r="I452" s="755"/>
      <c r="J452" s="755"/>
      <c r="K452" s="755"/>
      <c r="L452" s="454"/>
      <c r="M452" s="455"/>
      <c r="N452" s="456"/>
      <c r="O452" s="209">
        <f>VLOOKUP($C452,'Final SEA Counts'!$A$2:$F$709,5,FALSE)</f>
        <v>324</v>
      </c>
      <c r="P452" s="223">
        <f>VLOOKUP($C452,'Final SEA Counts'!$A$2:$F$709,6,FALSE)</f>
        <v>313</v>
      </c>
      <c r="Q452" s="749"/>
      <c r="R452" s="454">
        <f t="shared" si="665"/>
        <v>324</v>
      </c>
      <c r="S452" s="455">
        <f t="shared" si="659"/>
        <v>171.874214061446</v>
      </c>
      <c r="T452" s="230">
        <f t="shared" si="660"/>
        <v>0.5304759693254506</v>
      </c>
      <c r="U452" s="264" t="str">
        <f>IFERROR(VLOOKUP($B452,#REF!,8,FALSE),"")</f>
        <v/>
      </c>
      <c r="V452" s="265" t="str">
        <f>IFERROR(VLOOKUP($B452,#REF!,9,FALSE),"")</f>
        <v/>
      </c>
      <c r="W452" s="265" t="str">
        <f>IFERROR(VLOOKUP($B452,#REF!,10,FALSE),"")</f>
        <v/>
      </c>
      <c r="X452" s="265" t="str">
        <f>IFERROR(VLOOKUP($B452,#REF!,11,FALSE),"")</f>
        <v/>
      </c>
      <c r="Y452" s="266" t="str">
        <f>IFERROR(VLOOKUP($B452,#REF!,12,FALSE),"")</f>
        <v/>
      </c>
      <c r="Z452" s="265">
        <f t="shared" si="676"/>
        <v>82451.827571375397</v>
      </c>
      <c r="AA452" s="265">
        <f t="shared" si="677"/>
        <v>18199.065852704643</v>
      </c>
      <c r="AB452" s="265">
        <f t="shared" si="678"/>
        <v>50133.189375174574</v>
      </c>
      <c r="AC452" s="266">
        <f t="shared" si="679"/>
        <v>48700.579998842273</v>
      </c>
      <c r="AD452" s="265">
        <f t="shared" si="670"/>
        <v>82451.827571375397</v>
      </c>
      <c r="AE452" s="265">
        <f t="shared" si="671"/>
        <v>18199.065852704643</v>
      </c>
      <c r="AF452" s="265">
        <f t="shared" si="672"/>
        <v>50133.189375174574</v>
      </c>
      <c r="AG452" s="266">
        <f t="shared" si="673"/>
        <v>48700.579998842273</v>
      </c>
      <c r="AH452" s="265">
        <f t="shared" si="652"/>
        <v>82451.827571375397</v>
      </c>
      <c r="AI452" s="265">
        <f t="shared" si="653"/>
        <v>21005.799145569952</v>
      </c>
      <c r="AJ452" s="265">
        <f t="shared" si="654"/>
        <v>50133.189375174574</v>
      </c>
      <c r="AK452" s="265">
        <f t="shared" si="655"/>
        <v>48700.579998842273</v>
      </c>
      <c r="AL452" s="266">
        <f t="shared" si="656"/>
        <v>202291.3960909622</v>
      </c>
      <c r="AM452" s="347"/>
      <c r="AN452" s="264">
        <f>IFERROR(VLOOKUP($A452,'HH &amp; SI'!$B$4:$Z$494,'HH &amp; SI'!V$503,0),0)</f>
        <v>115212.25803718613</v>
      </c>
      <c r="AO452" s="265">
        <f>IFERROR(VLOOKUP($A452,'HH &amp; SI'!$B$4:$Z$494,'HH &amp; SI'!W$503,0),0)</f>
        <v>28292.809414644169</v>
      </c>
      <c r="AP452" s="265">
        <f>IFERROR(VLOOKUP($A452,'HH &amp; SI'!$B$4:$Z$494,'HH &amp; SI'!X$503,0),0)</f>
        <v>65874.7522113343</v>
      </c>
      <c r="AQ452" s="265">
        <f>IFERROR(VLOOKUP($A452,'HH &amp; SI'!$B$4:$Z$494,'HH &amp; SI'!Y$503,0),0)</f>
        <v>66032.222046213879</v>
      </c>
      <c r="AR452" s="266">
        <f t="shared" si="651"/>
        <v>275412.04170937848</v>
      </c>
      <c r="AS452" s="347"/>
      <c r="AT452" s="324">
        <f>IFERROR(VLOOKUP(A452,'Afton FY16 Final'!$A$5:$BV$572,'Afton FY16 Final'!$BV$587,0),0)</f>
        <v>279647.01317900961</v>
      </c>
      <c r="AU452" s="347"/>
      <c r="AV452" s="454">
        <v>0</v>
      </c>
      <c r="AW452" s="265">
        <f>IFERROR(VLOOKUP($A452,'HH &amp; SI'!$B$4:$EY$503,'HH &amp; SI'!EX$503,0),0)</f>
        <v>0</v>
      </c>
      <c r="AX452" s="265">
        <f>IFERROR(VLOOKUP($A452,'HH &amp; SI'!$B$4:$EY$503,'HH &amp; SI'!EY$503,0),0)</f>
        <v>275412.04170937848</v>
      </c>
      <c r="AY452" s="265">
        <f>AX452/$AX$582*'update_State Admin 1004(b)'!$B$30*0.01</f>
        <v>2635.8910864965201</v>
      </c>
      <c r="AZ452" s="266">
        <f t="shared" si="631"/>
        <v>272776.15062288195</v>
      </c>
      <c r="BA452" s="264">
        <f t="shared" si="632"/>
        <v>2727.7615062288196</v>
      </c>
      <c r="BB452" s="265">
        <f t="shared" si="633"/>
        <v>270048.38911665312</v>
      </c>
      <c r="BC452" s="342">
        <f t="shared" si="610"/>
        <v>0.96567592854563356</v>
      </c>
      <c r="BD452" s="347"/>
      <c r="BE452" s="377" t="str">
        <f>'Original Title I &amp; II'!AZ449</f>
        <v/>
      </c>
      <c r="BF452" s="244" t="str">
        <f t="shared" si="680"/>
        <v/>
      </c>
      <c r="BG452" s="266">
        <f t="shared" si="667"/>
        <v>270048.38911665312</v>
      </c>
      <c r="BI452" s="203">
        <f>IFERROR(VLOOKUP(A452,'Title II Hold Harmless'!A$1:B$439,2, FALSE),"")</f>
        <v>18840</v>
      </c>
      <c r="BJ452" s="203">
        <f t="shared" si="657"/>
        <v>21350.741949356747</v>
      </c>
      <c r="BK452" s="203">
        <f t="shared" si="658"/>
        <v>21371.396483308305</v>
      </c>
      <c r="BL452" s="203" t="str">
        <f t="shared" si="637"/>
        <v/>
      </c>
      <c r="BM452" s="203">
        <f t="shared" si="638"/>
        <v>21371.396483308305</v>
      </c>
      <c r="BN452" s="200"/>
      <c r="BP452" s="298" t="s">
        <v>1448</v>
      </c>
      <c r="BQ452" s="299" t="str">
        <f t="shared" si="597"/>
        <v>Y</v>
      </c>
      <c r="BR452" s="300" t="s">
        <v>1448</v>
      </c>
      <c r="BT452" s="298" t="str">
        <f t="shared" si="598"/>
        <v>Y</v>
      </c>
      <c r="BU452" s="299" t="str">
        <f t="shared" si="668"/>
        <v>Y</v>
      </c>
      <c r="BV452" s="299" t="str">
        <f t="shared" si="669"/>
        <v>Y</v>
      </c>
      <c r="BW452" s="300" t="str">
        <f t="shared" si="599"/>
        <v>Y</v>
      </c>
      <c r="BY452" s="355">
        <f t="shared" si="600"/>
        <v>0</v>
      </c>
      <c r="BZ452" s="356">
        <f t="shared" si="601"/>
        <v>0</v>
      </c>
      <c r="CA452" s="356">
        <f t="shared" si="602"/>
        <v>0.95</v>
      </c>
      <c r="CB452" s="357">
        <f t="shared" si="603"/>
        <v>0.95</v>
      </c>
      <c r="CD452" s="312">
        <f t="shared" si="604"/>
        <v>444</v>
      </c>
    </row>
    <row r="453" spans="1:82" s="48" customFormat="1" outlineLevel="1" x14ac:dyDescent="0.3">
      <c r="A453" s="202">
        <v>108778000</v>
      </c>
      <c r="B453" s="48">
        <f>VLOOKUP(C453,'NCES ID'!$A$2:$B$3136,2,FALSE)</f>
        <v>400081</v>
      </c>
      <c r="C453" s="48">
        <f>VLOOKUP(A453,'State ID'!$A$2:$B$713,2,FALSE)</f>
        <v>4425</v>
      </c>
      <c r="D453" s="48" t="s">
        <v>354</v>
      </c>
      <c r="E453" s="48" t="s">
        <v>9</v>
      </c>
      <c r="F453" s="755"/>
      <c r="G453" s="755"/>
      <c r="H453" s="755"/>
      <c r="I453" s="755"/>
      <c r="J453" s="755"/>
      <c r="K453" s="755"/>
      <c r="L453" s="454"/>
      <c r="M453" s="455"/>
      <c r="N453" s="456"/>
      <c r="O453" s="209">
        <f>VLOOKUP($C453,'Final SEA Counts'!$A$2:$F$709,5,FALSE)</f>
        <v>420</v>
      </c>
      <c r="P453" s="223">
        <f>VLOOKUP($C453,'Final SEA Counts'!$A$2:$F$709,6,FALSE)</f>
        <v>304</v>
      </c>
      <c r="Q453" s="749"/>
      <c r="R453" s="454">
        <f t="shared" si="665"/>
        <v>420</v>
      </c>
      <c r="S453" s="455">
        <f t="shared" si="659"/>
        <v>166.93214400856098</v>
      </c>
      <c r="T453" s="230">
        <f t="shared" si="660"/>
        <v>0.39745748573466899</v>
      </c>
      <c r="U453" s="264" t="str">
        <f>IFERROR(VLOOKUP($B453,#REF!,8,FALSE),"")</f>
        <v/>
      </c>
      <c r="V453" s="265" t="str">
        <f>IFERROR(VLOOKUP($B453,#REF!,9,FALSE),"")</f>
        <v/>
      </c>
      <c r="W453" s="265" t="str">
        <f>IFERROR(VLOOKUP($B453,#REF!,10,FALSE),"")</f>
        <v/>
      </c>
      <c r="X453" s="265" t="str">
        <f>IFERROR(VLOOKUP($B453,#REF!,11,FALSE),"")</f>
        <v/>
      </c>
      <c r="Y453" s="266" t="str">
        <f>IFERROR(VLOOKUP($B453,#REF!,12,FALSE),"")</f>
        <v/>
      </c>
      <c r="Z453" s="265">
        <f t="shared" si="676"/>
        <v>80081.008248236816</v>
      </c>
      <c r="AA453" s="265">
        <f t="shared" si="677"/>
        <v>17675.770029463936</v>
      </c>
      <c r="AB453" s="265">
        <f t="shared" si="678"/>
        <v>48691.65996822068</v>
      </c>
      <c r="AC453" s="266">
        <f t="shared" si="679"/>
        <v>47300.243832741377</v>
      </c>
      <c r="AD453" s="265">
        <f t="shared" si="670"/>
        <v>80081.008248236816</v>
      </c>
      <c r="AE453" s="265">
        <f t="shared" si="671"/>
        <v>17675.770029463936</v>
      </c>
      <c r="AF453" s="265">
        <f t="shared" si="672"/>
        <v>48691.65996822068</v>
      </c>
      <c r="AG453" s="266">
        <f t="shared" si="673"/>
        <v>47300.243832741377</v>
      </c>
      <c r="AH453" s="265">
        <f t="shared" si="652"/>
        <v>80081.008248236816</v>
      </c>
      <c r="AI453" s="265">
        <f t="shared" si="653"/>
        <v>20482.503322329245</v>
      </c>
      <c r="AJ453" s="265">
        <f t="shared" si="654"/>
        <v>48691.65996822068</v>
      </c>
      <c r="AK453" s="265">
        <f t="shared" si="655"/>
        <v>47300.243832741377</v>
      </c>
      <c r="AL453" s="266">
        <f t="shared" si="656"/>
        <v>196555.4153715281</v>
      </c>
      <c r="AM453" s="347"/>
      <c r="AN453" s="264">
        <f>IFERROR(VLOOKUP($A453,'HH &amp; SI'!$B$4:$Z$494,'HH &amp; SI'!V$503,0),0)</f>
        <v>82921.826972952316</v>
      </c>
      <c r="AO453" s="265">
        <f>IFERROR(VLOOKUP($A453,'HH &amp; SI'!$B$4:$Z$494,'HH &amp; SI'!W$503,0),0)</f>
        <v>21178.357334275603</v>
      </c>
      <c r="AP453" s="265">
        <f>IFERROR(VLOOKUP($A453,'HH &amp; SI'!$B$4:$Z$494,'HH &amp; SI'!X$503,0),0)</f>
        <v>48248.82833174953</v>
      </c>
      <c r="AQ453" s="265">
        <f>IFERROR(VLOOKUP($A453,'HH &amp; SI'!$B$4:$Z$494,'HH &amp; SI'!Y$503,0),0)</f>
        <v>47525.4333561315</v>
      </c>
      <c r="AR453" s="266">
        <f t="shared" si="651"/>
        <v>199874.44599510892</v>
      </c>
      <c r="AS453" s="347"/>
      <c r="AT453" s="324">
        <f>IFERROR(VLOOKUP(A453,'Afton FY16 Final'!$A$5:$BV$572,'Afton FY16 Final'!$BV$587,0),0)</f>
        <v>202922.39319835725</v>
      </c>
      <c r="AU453" s="347"/>
      <c r="AV453" s="454">
        <v>0</v>
      </c>
      <c r="AW453" s="265">
        <f>IFERROR(VLOOKUP($A453,'HH &amp; SI'!$B$4:$EY$503,'HH &amp; SI'!EX$503,0),0)</f>
        <v>0</v>
      </c>
      <c r="AX453" s="265">
        <f>IFERROR(VLOOKUP($A453,'HH &amp; SI'!$B$4:$EY$503,'HH &amp; SI'!EY$503,0),0)</f>
        <v>199874.44599510892</v>
      </c>
      <c r="AY453" s="265">
        <f>AX453/$AX$582*'update_State Admin 1004(b)'!$B$30*0.01</f>
        <v>1912.9420316809521</v>
      </c>
      <c r="AZ453" s="266">
        <f t="shared" si="631"/>
        <v>197961.50396342797</v>
      </c>
      <c r="BA453" s="264">
        <f t="shared" si="632"/>
        <v>1979.6150396342798</v>
      </c>
      <c r="BB453" s="265">
        <f t="shared" si="633"/>
        <v>195981.88892379368</v>
      </c>
      <c r="BC453" s="342">
        <f t="shared" si="610"/>
        <v>0.96579724807513379</v>
      </c>
      <c r="BD453" s="347"/>
      <c r="BE453" s="377" t="str">
        <f>'Original Title I &amp; II'!AZ450</f>
        <v/>
      </c>
      <c r="BF453" s="244" t="str">
        <f t="shared" si="680"/>
        <v/>
      </c>
      <c r="BG453" s="266">
        <f t="shared" si="667"/>
        <v>195981.88892379368</v>
      </c>
      <c r="BI453" s="203">
        <f>IFERROR(VLOOKUP(A453,'Title II Hold Harmless'!A$1:B$439,2, FALSE),"")</f>
        <v>18793</v>
      </c>
      <c r="BJ453" s="203">
        <f t="shared" si="657"/>
        <v>21316.306612041077</v>
      </c>
      <c r="BK453" s="203">
        <f t="shared" si="658"/>
        <v>21336.927833527643</v>
      </c>
      <c r="BL453" s="203" t="str">
        <f t="shared" si="637"/>
        <v/>
      </c>
      <c r="BM453" s="203">
        <f t="shared" si="638"/>
        <v>21336.927833527643</v>
      </c>
      <c r="BN453" s="200"/>
      <c r="BP453" s="298" t="s">
        <v>1448</v>
      </c>
      <c r="BQ453" s="299" t="str">
        <f t="shared" si="597"/>
        <v>Y</v>
      </c>
      <c r="BR453" s="300" t="s">
        <v>1448</v>
      </c>
      <c r="BT453" s="298" t="str">
        <f t="shared" si="598"/>
        <v>Y</v>
      </c>
      <c r="BU453" s="299" t="str">
        <f t="shared" si="668"/>
        <v>Y</v>
      </c>
      <c r="BV453" s="299" t="str">
        <f t="shared" si="669"/>
        <v>Y</v>
      </c>
      <c r="BW453" s="300" t="str">
        <f t="shared" si="599"/>
        <v>Y</v>
      </c>
      <c r="BY453" s="355">
        <f t="shared" si="600"/>
        <v>0</v>
      </c>
      <c r="BZ453" s="356">
        <f t="shared" si="601"/>
        <v>0</v>
      </c>
      <c r="CA453" s="356">
        <f t="shared" si="602"/>
        <v>0.95</v>
      </c>
      <c r="CB453" s="357">
        <f t="shared" si="603"/>
        <v>0.95</v>
      </c>
      <c r="CD453" s="312">
        <f t="shared" si="604"/>
        <v>445</v>
      </c>
    </row>
    <row r="454" spans="1:82" s="48" customFormat="1" outlineLevel="1" x14ac:dyDescent="0.3">
      <c r="A454" s="202">
        <v>108503000</v>
      </c>
      <c r="B454" s="48">
        <f>VLOOKUP(C454,'NCES ID'!$A$2:$B$3136,2,FALSE)</f>
        <v>400774</v>
      </c>
      <c r="C454" s="48">
        <f>VLOOKUP(A454,'State ID'!$A$2:$B$713,2,FALSE)</f>
        <v>89915</v>
      </c>
      <c r="D454" s="48" t="s">
        <v>392</v>
      </c>
      <c r="E454" s="48" t="s">
        <v>9</v>
      </c>
      <c r="F454" s="755"/>
      <c r="G454" s="755"/>
      <c r="H454" s="755"/>
      <c r="I454" s="755"/>
      <c r="J454" s="755"/>
      <c r="K454" s="755"/>
      <c r="L454" s="454"/>
      <c r="M454" s="455"/>
      <c r="N454" s="456"/>
      <c r="O454" s="209">
        <f>VLOOKUP($C454,'Final SEA Counts'!$A$2:$F$709,5,FALSE)</f>
        <v>320</v>
      </c>
      <c r="P454" s="223">
        <f>VLOOKUP($C454,'Final SEA Counts'!$A$2:$F$709,6,FALSE)</f>
        <v>192</v>
      </c>
      <c r="Q454" s="749"/>
      <c r="R454" s="454">
        <f t="shared" si="665"/>
        <v>320</v>
      </c>
      <c r="S454" s="455">
        <f t="shared" si="659"/>
        <v>105.43082779488061</v>
      </c>
      <c r="T454" s="230">
        <f t="shared" si="660"/>
        <v>0.32947133685900193</v>
      </c>
      <c r="U454" s="264" t="str">
        <f>IFERROR(VLOOKUP($B454,#REF!,8,FALSE),"")</f>
        <v/>
      </c>
      <c r="V454" s="265" t="str">
        <f>IFERROR(VLOOKUP($B454,#REF!,9,FALSE),"")</f>
        <v/>
      </c>
      <c r="W454" s="265" t="str">
        <f>IFERROR(VLOOKUP($B454,#REF!,10,FALSE),"")</f>
        <v/>
      </c>
      <c r="X454" s="265" t="str">
        <f>IFERROR(VLOOKUP($B454,#REF!,11,FALSE),"")</f>
        <v/>
      </c>
      <c r="Y454" s="266" t="str">
        <f>IFERROR(VLOOKUP($B454,#REF!,12,FALSE),"")</f>
        <v/>
      </c>
      <c r="Z454" s="265">
        <f t="shared" si="676"/>
        <v>50577.478893623251</v>
      </c>
      <c r="AA454" s="265">
        <f t="shared" si="677"/>
        <v>11163.644229135118</v>
      </c>
      <c r="AB454" s="265">
        <f t="shared" si="678"/>
        <v>30752.627348349899</v>
      </c>
      <c r="AC454" s="266">
        <f t="shared" si="679"/>
        <v>29873.838210152448</v>
      </c>
      <c r="AD454" s="265">
        <f t="shared" si="670"/>
        <v>50577.478893623251</v>
      </c>
      <c r="AE454" s="265">
        <f t="shared" si="671"/>
        <v>11163.644229135118</v>
      </c>
      <c r="AF454" s="265">
        <f t="shared" si="672"/>
        <v>30752.627348349899</v>
      </c>
      <c r="AG454" s="266">
        <f t="shared" si="673"/>
        <v>29873.838210152448</v>
      </c>
      <c r="AH454" s="265">
        <f t="shared" si="652"/>
        <v>50577.478893623251</v>
      </c>
      <c r="AI454" s="265">
        <f t="shared" si="653"/>
        <v>13970.377522000428</v>
      </c>
      <c r="AJ454" s="265">
        <f t="shared" si="654"/>
        <v>30752.627348349899</v>
      </c>
      <c r="AK454" s="265">
        <f t="shared" si="655"/>
        <v>29873.838210152448</v>
      </c>
      <c r="AL454" s="266">
        <f t="shared" si="656"/>
        <v>125174.32197412603</v>
      </c>
      <c r="AM454" s="347"/>
      <c r="AN454" s="264">
        <f>IFERROR(VLOOKUP($A454,'HH &amp; SI'!$B$4:$Z$494,'HH &amp; SI'!V$503,0),0)</f>
        <v>50170.226429162925</v>
      </c>
      <c r="AO454" s="265">
        <f>IFERROR(VLOOKUP($A454,'HH &amp; SI'!$B$4:$Z$494,'HH &amp; SI'!W$503,0),0)</f>
        <v>14123.007481009114</v>
      </c>
      <c r="AP454" s="265">
        <f>IFERROR(VLOOKUP($A454,'HH &amp; SI'!$B$4:$Z$494,'HH &amp; SI'!X$503,0),0)</f>
        <v>30472.94420952602</v>
      </c>
      <c r="AQ454" s="265">
        <f>IFERROR(VLOOKUP($A454,'HH &amp; SI'!$B$4:$Z$494,'HH &amp; SI'!Y$503,0),0)</f>
        <v>29544.682288732281</v>
      </c>
      <c r="AR454" s="266">
        <f t="shared" si="651"/>
        <v>124310.86040843034</v>
      </c>
      <c r="AS454" s="347"/>
      <c r="AT454" s="324">
        <f>IFERROR(VLOOKUP(A454,'Afton FY16 Final'!$A$5:$BV$572,'Afton FY16 Final'!$BV$587,0),0)</f>
        <v>121307.4984972707</v>
      </c>
      <c r="AU454" s="347"/>
      <c r="AV454" s="454">
        <v>0</v>
      </c>
      <c r="AW454" s="265">
        <f>IFERROR(VLOOKUP($A454,'HH &amp; SI'!$B$4:$EY$503,'HH &amp; SI'!EX$503,0),0)</f>
        <v>3003.3619111596345</v>
      </c>
      <c r="AX454" s="265">
        <f>IFERROR(VLOOKUP($A454,'HH &amp; SI'!$B$4:$EY$503,'HH &amp; SI'!EY$503,0),0)</f>
        <v>121307.4984972707</v>
      </c>
      <c r="AY454" s="265">
        <f>AX454/$AX$582*'update_State Admin 1004(b)'!$B$30*0.01</f>
        <v>1160.9999041057085</v>
      </c>
      <c r="AZ454" s="266">
        <f t="shared" si="631"/>
        <v>120146.498593165</v>
      </c>
      <c r="BA454" s="264">
        <f t="shared" si="632"/>
        <v>1201.4649859316501</v>
      </c>
      <c r="BB454" s="265">
        <f t="shared" si="633"/>
        <v>118945.03360723334</v>
      </c>
      <c r="BC454" s="342">
        <f t="shared" si="610"/>
        <v>0.98052498881517614</v>
      </c>
      <c r="BD454" s="347"/>
      <c r="BE454" s="377" t="str">
        <f>'Original Title I &amp; II'!AZ451</f>
        <v/>
      </c>
      <c r="BF454" s="244" t="str">
        <f t="shared" si="680"/>
        <v/>
      </c>
      <c r="BG454" s="266">
        <f t="shared" si="667"/>
        <v>118945.03360723334</v>
      </c>
      <c r="BI454" s="203" t="str">
        <f>IFERROR(VLOOKUP(A454,'Title II Hold Harmless'!A$1:B$439,2, FALSE),"")</f>
        <v/>
      </c>
      <c r="BJ454" s="203">
        <f t="shared" si="657"/>
        <v>1637.7195274507542</v>
      </c>
      <c r="BK454" s="203">
        <f t="shared" si="658"/>
        <v>1639.3038439894065</v>
      </c>
      <c r="BL454" s="203" t="str">
        <f t="shared" si="637"/>
        <v/>
      </c>
      <c r="BM454" s="203">
        <f t="shared" si="638"/>
        <v>1639.3038439894065</v>
      </c>
      <c r="BN454" s="200"/>
      <c r="BP454" s="298" t="s">
        <v>1448</v>
      </c>
      <c r="BQ454" s="299" t="str">
        <f t="shared" si="597"/>
        <v>Y</v>
      </c>
      <c r="BR454" s="300" t="s">
        <v>1448</v>
      </c>
      <c r="BT454" s="298" t="str">
        <f t="shared" si="598"/>
        <v>Y</v>
      </c>
      <c r="BU454" s="299" t="str">
        <f t="shared" si="668"/>
        <v>Y</v>
      </c>
      <c r="BV454" s="299" t="str">
        <f t="shared" si="669"/>
        <v>Y</v>
      </c>
      <c r="BW454" s="300" t="str">
        <f t="shared" si="599"/>
        <v>Y</v>
      </c>
      <c r="BY454" s="355">
        <f t="shared" si="600"/>
        <v>0</v>
      </c>
      <c r="BZ454" s="356">
        <f t="shared" si="601"/>
        <v>0</v>
      </c>
      <c r="CA454" s="356">
        <f t="shared" si="602"/>
        <v>0.95</v>
      </c>
      <c r="CB454" s="357">
        <f t="shared" si="603"/>
        <v>0.95</v>
      </c>
      <c r="CD454" s="312">
        <f t="shared" si="604"/>
        <v>446</v>
      </c>
    </row>
    <row r="455" spans="1:82" s="48" customFormat="1" outlineLevel="1" x14ac:dyDescent="0.3">
      <c r="A455" s="202">
        <v>108504000</v>
      </c>
      <c r="B455" s="48">
        <f>VLOOKUP(C455,'NCES ID'!$A$2:$B$3136,2,FALSE)</f>
        <v>400807</v>
      </c>
      <c r="C455" s="48">
        <f>VLOOKUP(A455,'State ID'!$A$2:$B$713,2,FALSE)</f>
        <v>90284</v>
      </c>
      <c r="D455" s="48" t="s">
        <v>393</v>
      </c>
      <c r="E455" s="48" t="s">
        <v>9</v>
      </c>
      <c r="F455" s="755"/>
      <c r="G455" s="755"/>
      <c r="H455" s="755"/>
      <c r="I455" s="755"/>
      <c r="J455" s="755"/>
      <c r="K455" s="755"/>
      <c r="L455" s="454"/>
      <c r="M455" s="455"/>
      <c r="N455" s="456"/>
      <c r="O455" s="209">
        <f>VLOOKUP($C455,'Final SEA Counts'!$A$2:$F$709,5,FALSE)</f>
        <v>218</v>
      </c>
      <c r="P455" s="223">
        <f>VLOOKUP($C455,'Final SEA Counts'!$A$2:$F$709,6,FALSE)</f>
        <v>113</v>
      </c>
      <c r="Q455" s="749"/>
      <c r="R455" s="454">
        <f t="shared" si="665"/>
        <v>218</v>
      </c>
      <c r="S455" s="455">
        <f t="shared" si="659"/>
        <v>62.050435108445363</v>
      </c>
      <c r="T455" s="230">
        <f t="shared" si="660"/>
        <v>0.2846350234332356</v>
      </c>
      <c r="U455" s="264" t="str">
        <f>IFERROR(VLOOKUP($B455,#REF!,8,FALSE),"")</f>
        <v/>
      </c>
      <c r="V455" s="265" t="str">
        <f>IFERROR(VLOOKUP($B455,#REF!,9,FALSE),"")</f>
        <v/>
      </c>
      <c r="W455" s="265" t="str">
        <f>IFERROR(VLOOKUP($B455,#REF!,10,FALSE),"")</f>
        <v/>
      </c>
      <c r="X455" s="265" t="str">
        <f>IFERROR(VLOOKUP($B455,#REF!,11,FALSE),"")</f>
        <v/>
      </c>
      <c r="Y455" s="266" t="str">
        <f>IFERROR(VLOOKUP($B455,#REF!,12,FALSE),"")</f>
        <v/>
      </c>
      <c r="Z455" s="265">
        <f t="shared" si="676"/>
        <v>29766.953723851184</v>
      </c>
      <c r="AA455" s="265">
        <f t="shared" si="677"/>
        <v>6570.2697806888973</v>
      </c>
      <c r="AB455" s="265">
        <f t="shared" si="678"/>
        <v>18099.202553976764</v>
      </c>
      <c r="AC455" s="266">
        <f t="shared" si="679"/>
        <v>17581.998529933473</v>
      </c>
      <c r="AD455" s="265">
        <f t="shared" si="670"/>
        <v>29766.953723851184</v>
      </c>
      <c r="AE455" s="265">
        <f t="shared" si="671"/>
        <v>6570.2697806888973</v>
      </c>
      <c r="AF455" s="265">
        <f t="shared" si="672"/>
        <v>18099.202553976764</v>
      </c>
      <c r="AG455" s="266">
        <f t="shared" si="673"/>
        <v>17581.998529933473</v>
      </c>
      <c r="AH455" s="265">
        <f t="shared" si="652"/>
        <v>29766.953723851184</v>
      </c>
      <c r="AI455" s="265">
        <f t="shared" si="653"/>
        <v>9377.0030735542059</v>
      </c>
      <c r="AJ455" s="265">
        <f t="shared" si="654"/>
        <v>18099.202553976764</v>
      </c>
      <c r="AK455" s="265">
        <f t="shared" si="655"/>
        <v>17581.998529933473</v>
      </c>
      <c r="AL455" s="266">
        <f t="shared" si="656"/>
        <v>74825.157881315623</v>
      </c>
      <c r="AM455" s="347"/>
      <c r="AN455" s="264">
        <f>IFERROR(VLOOKUP($A455,'HH &amp; SI'!$B$4:$Z$494,'HH &amp; SI'!V$503,0),0)</f>
        <v>29360.913154409813</v>
      </c>
      <c r="AO455" s="265">
        <f>IFERROR(VLOOKUP($A455,'HH &amp; SI'!$B$4:$Z$494,'HH &amp; SI'!W$503,0),0)</f>
        <v>9068.1588755278244</v>
      </c>
      <c r="AP455" s="265">
        <f>IFERROR(VLOOKUP($A455,'HH &amp; SI'!$B$4:$Z$494,'HH &amp; SI'!X$503,0),0)</f>
        <v>17934.597373314791</v>
      </c>
      <c r="AQ455" s="265">
        <f>IFERROR(VLOOKUP($A455,'HH &amp; SI'!$B$4:$Z$494,'HH &amp; SI'!Y$503,0),0)</f>
        <v>17388.276555347649</v>
      </c>
      <c r="AR455" s="266">
        <f t="shared" si="651"/>
        <v>73751.945958600088</v>
      </c>
      <c r="AS455" s="347"/>
      <c r="AT455" s="324">
        <f>IFERROR(VLOOKUP(A455,'Afton FY16 Final'!$A$5:$BV$572,'Afton FY16 Final'!$BV$587,0),0)</f>
        <v>37648.829288630899</v>
      </c>
      <c r="AU455" s="347"/>
      <c r="AV455" s="454">
        <v>0</v>
      </c>
      <c r="AW455" s="265">
        <f>IFERROR(VLOOKUP($A455,'HH &amp; SI'!$B$4:$EY$503,'HH &amp; SI'!EX$503,0),0)</f>
        <v>4131.0751951979328</v>
      </c>
      <c r="AX455" s="265">
        <f>IFERROR(VLOOKUP($A455,'HH &amp; SI'!$B$4:$EY$503,'HH &amp; SI'!EY$503,0),0)</f>
        <v>69620.870763402156</v>
      </c>
      <c r="AY455" s="265">
        <f>AX455/$AX$582*'update_State Admin 1004(b)'!$B$30*0.01</f>
        <v>666.32174664688534</v>
      </c>
      <c r="AZ455" s="266">
        <f t="shared" si="631"/>
        <v>68954.549016755263</v>
      </c>
      <c r="BA455" s="264">
        <f t="shared" si="632"/>
        <v>689.54549016755266</v>
      </c>
      <c r="BB455" s="265">
        <f t="shared" si="633"/>
        <v>68265.003526587709</v>
      </c>
      <c r="BC455" s="342">
        <f t="shared" si="610"/>
        <v>1.8132038848602978</v>
      </c>
      <c r="BD455" s="347"/>
      <c r="BE455" s="377" t="str">
        <f>'Original Title I &amp; II'!AZ452</f>
        <v/>
      </c>
      <c r="BF455" s="244" t="str">
        <f t="shared" si="680"/>
        <v/>
      </c>
      <c r="BG455" s="266">
        <f t="shared" si="667"/>
        <v>68265.003526587709</v>
      </c>
      <c r="BI455" s="203" t="str">
        <f>IFERROR(VLOOKUP(A455,'Title II Hold Harmless'!A$1:B$439,2, FALSE),"")</f>
        <v/>
      </c>
      <c r="BJ455" s="203">
        <f t="shared" si="657"/>
        <v>987.74190434000116</v>
      </c>
      <c r="BK455" s="203">
        <f t="shared" si="658"/>
        <v>988.69743781733689</v>
      </c>
      <c r="BL455" s="203" t="str">
        <f t="shared" si="637"/>
        <v/>
      </c>
      <c r="BM455" s="203">
        <f t="shared" si="638"/>
        <v>988.69743781733689</v>
      </c>
      <c r="BN455" s="200"/>
      <c r="BP455" s="298" t="s">
        <v>1448</v>
      </c>
      <c r="BQ455" s="299" t="str">
        <f t="shared" si="597"/>
        <v>Y</v>
      </c>
      <c r="BR455" s="300" t="s">
        <v>1448</v>
      </c>
      <c r="BT455" s="298" t="str">
        <f t="shared" si="598"/>
        <v>Y</v>
      </c>
      <c r="BU455" s="299" t="str">
        <f t="shared" si="668"/>
        <v>Y</v>
      </c>
      <c r="BV455" s="299" t="str">
        <f t="shared" si="669"/>
        <v>Y</v>
      </c>
      <c r="BW455" s="300" t="str">
        <f t="shared" si="599"/>
        <v>Y</v>
      </c>
      <c r="BY455" s="355">
        <f t="shared" si="600"/>
        <v>0</v>
      </c>
      <c r="BZ455" s="356">
        <f t="shared" si="601"/>
        <v>0.9</v>
      </c>
      <c r="CA455" s="356">
        <f t="shared" si="602"/>
        <v>0</v>
      </c>
      <c r="CB455" s="357">
        <f t="shared" si="603"/>
        <v>0.9</v>
      </c>
      <c r="CD455" s="312">
        <f t="shared" si="604"/>
        <v>447</v>
      </c>
    </row>
    <row r="456" spans="1:82" s="48" customFormat="1" outlineLevel="1" x14ac:dyDescent="0.3">
      <c r="A456" s="202">
        <v>108779000</v>
      </c>
      <c r="B456" s="48">
        <f>VLOOKUP(C456,'NCES ID'!$A$2:$B$3136,2,FALSE)</f>
        <v>400259</v>
      </c>
      <c r="C456" s="48">
        <f>VLOOKUP(A456,'State ID'!$A$2:$B$713,2,FALSE)</f>
        <v>79085</v>
      </c>
      <c r="D456" s="48" t="s">
        <v>841</v>
      </c>
      <c r="E456" s="48" t="s">
        <v>9</v>
      </c>
      <c r="F456" s="755"/>
      <c r="G456" s="755"/>
      <c r="H456" s="755"/>
      <c r="I456" s="755"/>
      <c r="J456" s="755"/>
      <c r="K456" s="755"/>
      <c r="L456" s="454"/>
      <c r="M456" s="455"/>
      <c r="N456" s="456"/>
      <c r="O456" s="209">
        <f>VLOOKUP($C456,'Final SEA Counts'!$A$2:$F$709,5,FALSE)</f>
        <v>633</v>
      </c>
      <c r="P456" s="223">
        <f>VLOOKUP($C456,'Final SEA Counts'!$A$2:$F$709,6,FALSE)</f>
        <v>630</v>
      </c>
      <c r="Q456" s="749"/>
      <c r="R456" s="454">
        <f t="shared" si="665"/>
        <v>633</v>
      </c>
      <c r="S456" s="455">
        <f t="shared" si="659"/>
        <v>345.944903701952</v>
      </c>
      <c r="T456" s="230">
        <f t="shared" si="660"/>
        <v>0.54651643554810747</v>
      </c>
      <c r="U456" s="264"/>
      <c r="V456" s="265"/>
      <c r="W456" s="265"/>
      <c r="X456" s="265"/>
      <c r="Y456" s="266"/>
      <c r="Z456" s="265">
        <f t="shared" si="676"/>
        <v>165957.35261970127</v>
      </c>
      <c r="AA456" s="265">
        <f t="shared" si="677"/>
        <v>36630.707626849602</v>
      </c>
      <c r="AB456" s="265">
        <f t="shared" si="678"/>
        <v>100907.05848677311</v>
      </c>
      <c r="AC456" s="266">
        <f t="shared" si="679"/>
        <v>98023.531627062723</v>
      </c>
      <c r="AD456" s="265">
        <f t="shared" si="670"/>
        <v>165957.35261970127</v>
      </c>
      <c r="AE456" s="265">
        <f t="shared" si="671"/>
        <v>36630.707626849602</v>
      </c>
      <c r="AF456" s="265">
        <f t="shared" si="672"/>
        <v>100907.05848677311</v>
      </c>
      <c r="AG456" s="266">
        <f t="shared" si="673"/>
        <v>98023.531627062723</v>
      </c>
      <c r="AH456" s="265">
        <f t="shared" si="652"/>
        <v>165957.35261970127</v>
      </c>
      <c r="AI456" s="265">
        <f t="shared" si="653"/>
        <v>39437.440919714914</v>
      </c>
      <c r="AJ456" s="265">
        <f t="shared" si="654"/>
        <v>100907.05848677311</v>
      </c>
      <c r="AK456" s="265">
        <f t="shared" si="655"/>
        <v>98023.531627062723</v>
      </c>
      <c r="AL456" s="266">
        <f t="shared" si="656"/>
        <v>404325.38365325204</v>
      </c>
      <c r="AM456" s="347"/>
      <c r="AN456" s="264">
        <f>IFERROR(VLOOKUP($A456,'HH &amp; SI'!$B$4:$Z$494,'HH &amp; SI'!V$503,0),0)</f>
        <v>163693.58661308125</v>
      </c>
      <c r="AO456" s="265">
        <f>IFERROR(VLOOKUP($A456,'HH &amp; SI'!$B$4:$Z$494,'HH &amp; SI'!W$503,0),0)</f>
        <v>38138.515802860333</v>
      </c>
      <c r="AP456" s="265">
        <f>IFERROR(VLOOKUP($A456,'HH &amp; SI'!$B$4:$Z$494,'HH &amp; SI'!X$503,0),0)</f>
        <v>99989.348187507247</v>
      </c>
      <c r="AQ456" s="265">
        <f>IFERROR(VLOOKUP($A456,'HH &amp; SI'!$B$4:$Z$494,'HH &amp; SI'!Y$503,0),0)</f>
        <v>96943.488759902801</v>
      </c>
      <c r="AR456" s="266">
        <f t="shared" si="651"/>
        <v>398764.93936335167</v>
      </c>
      <c r="AS456" s="347"/>
      <c r="AT456" s="324">
        <f>IFERROR(VLOOKUP(A456,'Afton FY16 Final'!$A$5:$BV$572,'Afton FY16 Final'!$BV$587,0),0)</f>
        <v>259293.06397169753</v>
      </c>
      <c r="AU456" s="347"/>
      <c r="AV456" s="454">
        <v>0</v>
      </c>
      <c r="AW456" s="265">
        <f>IFERROR(VLOOKUP($A456,'HH &amp; SI'!$B$4:$EY$503,'HH &amp; SI'!EX$503,0),0)</f>
        <v>22336.06080907007</v>
      </c>
      <c r="AX456" s="265">
        <f>IFERROR(VLOOKUP($A456,'HH &amp; SI'!$B$4:$EY$503,'HH &amp; SI'!EY$503,0),0)</f>
        <v>376428.8785542816</v>
      </c>
      <c r="AY456" s="265">
        <f>AX456/$AX$582*'update_State Admin 1004(b)'!$B$30*0.01</f>
        <v>3602.6947824167123</v>
      </c>
      <c r="AZ456" s="266">
        <f t="shared" si="631"/>
        <v>372826.18377186492</v>
      </c>
      <c r="BA456" s="264">
        <f t="shared" si="632"/>
        <v>3728.2618377186491</v>
      </c>
      <c r="BB456" s="265">
        <f t="shared" si="633"/>
        <v>369097.92193414626</v>
      </c>
      <c r="BC456" s="342">
        <f t="shared" si="610"/>
        <v>1.4234778064654834</v>
      </c>
      <c r="BD456" s="347"/>
      <c r="BE456" s="377" t="str">
        <f>'Original Title I &amp; II'!AZ453</f>
        <v/>
      </c>
      <c r="BF456" s="244" t="str">
        <f t="shared" si="680"/>
        <v/>
      </c>
      <c r="BG456" s="266">
        <f t="shared" si="667"/>
        <v>369097.92193414626</v>
      </c>
      <c r="BI456" s="203">
        <f>IFERROR(VLOOKUP(A456,'Title II Hold Harmless'!A$1:B$439,2, FALSE),"")</f>
        <v>14138</v>
      </c>
      <c r="BJ456" s="203">
        <f t="shared" si="657"/>
        <v>19176.165728929729</v>
      </c>
      <c r="BK456" s="203">
        <f t="shared" si="658"/>
        <v>19194.716595548245</v>
      </c>
      <c r="BL456" s="203" t="str">
        <f t="shared" si="637"/>
        <v/>
      </c>
      <c r="BM456" s="203">
        <f t="shared" si="638"/>
        <v>19194.716595548245</v>
      </c>
      <c r="BN456" s="200"/>
      <c r="BP456" s="298" t="s">
        <v>1448</v>
      </c>
      <c r="BQ456" s="299" t="str">
        <f t="shared" si="597"/>
        <v>Y</v>
      </c>
      <c r="BR456" s="300" t="s">
        <v>1448</v>
      </c>
      <c r="BT456" s="298" t="str">
        <f t="shared" si="598"/>
        <v>Y</v>
      </c>
      <c r="BU456" s="299" t="str">
        <f t="shared" si="668"/>
        <v>Y</v>
      </c>
      <c r="BV456" s="299" t="str">
        <f t="shared" si="669"/>
        <v>Y</v>
      </c>
      <c r="BW456" s="300" t="str">
        <f t="shared" si="599"/>
        <v>Y</v>
      </c>
      <c r="BY456" s="355">
        <f t="shared" si="600"/>
        <v>0</v>
      </c>
      <c r="BZ456" s="356">
        <f t="shared" si="601"/>
        <v>0</v>
      </c>
      <c r="CA456" s="356">
        <f t="shared" si="602"/>
        <v>0.95</v>
      </c>
      <c r="CB456" s="357">
        <f t="shared" si="603"/>
        <v>0.95</v>
      </c>
      <c r="CD456" s="312">
        <f t="shared" si="604"/>
        <v>448</v>
      </c>
    </row>
    <row r="457" spans="1:82" s="48" customFormat="1" outlineLevel="1" x14ac:dyDescent="0.3">
      <c r="A457" s="202">
        <v>108227000</v>
      </c>
      <c r="B457" s="48" t="e">
        <f>VLOOKUP(C457,'NCES ID'!$A$2:$B$3136,2,FALSE)</f>
        <v>#N/A</v>
      </c>
      <c r="C457" s="48">
        <f>VLOOKUP(A457,'State ID'!$A$2:$B$713,2,FALSE)</f>
        <v>91992</v>
      </c>
      <c r="D457" s="48" t="s">
        <v>401</v>
      </c>
      <c r="E457" s="48" t="s">
        <v>9</v>
      </c>
      <c r="F457" s="755"/>
      <c r="G457" s="755"/>
      <c r="H457" s="755"/>
      <c r="I457" s="755"/>
      <c r="J457" s="755"/>
      <c r="K457" s="755"/>
      <c r="L457" s="454"/>
      <c r="M457" s="455"/>
      <c r="N457" s="456"/>
      <c r="O457" s="209">
        <f>VLOOKUP($C457,'Final SEA Counts'!$A$2:$F$709,5,FALSE)</f>
        <v>72</v>
      </c>
      <c r="P457" s="223">
        <f>VLOOKUP($C457,'Final SEA Counts'!$A$2:$F$709,6,FALSE)</f>
        <v>63</v>
      </c>
      <c r="Q457" s="749"/>
      <c r="R457" s="454">
        <f t="shared" si="665"/>
        <v>72</v>
      </c>
      <c r="S457" s="455">
        <f t="shared" si="659"/>
        <v>34.594490370195203</v>
      </c>
      <c r="T457" s="230">
        <f t="shared" si="660"/>
        <v>0.48047903291937782</v>
      </c>
      <c r="U457" s="264" t="str">
        <f>IFERROR(VLOOKUP($B457,#REF!,8,FALSE),"")</f>
        <v/>
      </c>
      <c r="V457" s="265" t="str">
        <f>IFERROR(VLOOKUP($B457,#REF!,9,FALSE),"")</f>
        <v/>
      </c>
      <c r="W457" s="265" t="str">
        <f>IFERROR(VLOOKUP($B457,#REF!,10,FALSE),"")</f>
        <v/>
      </c>
      <c r="X457" s="265" t="str">
        <f>IFERROR(VLOOKUP($B457,#REF!,11,FALSE),"")</f>
        <v/>
      </c>
      <c r="Y457" s="266" t="str">
        <f>IFERROR(VLOOKUP($B457,#REF!,12,FALSE),"")</f>
        <v/>
      </c>
      <c r="Z457" s="265">
        <f t="shared" si="676"/>
        <v>16595.735261970131</v>
      </c>
      <c r="AA457" s="265">
        <f t="shared" si="677"/>
        <v>3663.0707626849603</v>
      </c>
      <c r="AB457" s="265">
        <f t="shared" si="678"/>
        <v>10090.705848677311</v>
      </c>
      <c r="AC457" s="266">
        <f t="shared" si="679"/>
        <v>9802.353162706273</v>
      </c>
      <c r="AD457" s="265">
        <f t="shared" si="670"/>
        <v>16595.735261970131</v>
      </c>
      <c r="AE457" s="265">
        <f t="shared" si="671"/>
        <v>3663.0707626849603</v>
      </c>
      <c r="AF457" s="265">
        <f t="shared" si="672"/>
        <v>10090.705848677311</v>
      </c>
      <c r="AG457" s="266">
        <f t="shared" si="673"/>
        <v>9802.353162706273</v>
      </c>
      <c r="AH457" s="265">
        <f t="shared" si="652"/>
        <v>16595.735261970131</v>
      </c>
      <c r="AI457" s="265">
        <f t="shared" si="653"/>
        <v>6469.8040555502703</v>
      </c>
      <c r="AJ457" s="265">
        <f t="shared" si="654"/>
        <v>10090.705848677311</v>
      </c>
      <c r="AK457" s="265">
        <f t="shared" si="655"/>
        <v>9802.353162706273</v>
      </c>
      <c r="AL457" s="266">
        <f t="shared" si="656"/>
        <v>42958.598328903987</v>
      </c>
      <c r="AM457" s="347"/>
      <c r="AN457" s="264">
        <f>IFERROR(VLOOKUP($A457,'HH &amp; SI'!$B$4:$Z$494,'HH &amp; SI'!V$503,0),0)</f>
        <v>16369.358661308126</v>
      </c>
      <c r="AO457" s="265">
        <f>IFERROR(VLOOKUP($A457,'HH &amp; SI'!$B$4:$Z$494,'HH &amp; SI'!W$503,0),0)</f>
        <v>6256.7123641803873</v>
      </c>
      <c r="AP457" s="265">
        <f>IFERROR(VLOOKUP($A457,'HH &amp; SI'!$B$4:$Z$494,'HH &amp; SI'!X$503,0),0)</f>
        <v>9998.9348187507258</v>
      </c>
      <c r="AQ457" s="265">
        <f>IFERROR(VLOOKUP($A457,'HH &amp; SI'!$B$4:$Z$494,'HH &amp; SI'!Y$503,0),0)</f>
        <v>9694.3488759902812</v>
      </c>
      <c r="AR457" s="266">
        <f t="shared" si="651"/>
        <v>42319.354720229523</v>
      </c>
      <c r="AS457" s="347"/>
      <c r="AT457" s="324">
        <f>IFERROR(VLOOKUP(A457,'Afton FY16 Final'!$A$5:$BV$572,'Afton FY16 Final'!$BV$587,0),0)</f>
        <v>27148.368909275421</v>
      </c>
      <c r="AU457" s="347"/>
      <c r="AV457" s="454">
        <v>0</v>
      </c>
      <c r="AW457" s="265">
        <f>IFERROR(VLOOKUP($A457,'HH &amp; SI'!$B$4:$EY$503,'HH &amp; SI'!EX$503,0),0)</f>
        <v>2370.4382886338717</v>
      </c>
      <c r="AX457" s="265">
        <f>IFERROR(VLOOKUP($A457,'HH &amp; SI'!$B$4:$EY$503,'HH &amp; SI'!EY$503,0),0)</f>
        <v>39948.916431595651</v>
      </c>
      <c r="AY457" s="265">
        <f>AX457/$AX$582*'update_State Admin 1004(b)'!$B$30*0.01</f>
        <v>382.33982829390413</v>
      </c>
      <c r="AZ457" s="266">
        <f t="shared" si="631"/>
        <v>39566.57660330175</v>
      </c>
      <c r="BA457" s="264">
        <f t="shared" si="632"/>
        <v>395.66576603301752</v>
      </c>
      <c r="BB457" s="265">
        <f t="shared" si="633"/>
        <v>39170.910837268733</v>
      </c>
      <c r="BC457" s="342">
        <f t="shared" si="610"/>
        <v>1.4428458287188566</v>
      </c>
      <c r="BD457" s="347"/>
      <c r="BE457" s="377" t="str">
        <f>'Original Title I &amp; II'!AZ454</f>
        <v/>
      </c>
      <c r="BF457" s="244" t="str">
        <f t="shared" si="680"/>
        <v/>
      </c>
      <c r="BG457" s="266">
        <f t="shared" si="667"/>
        <v>39170.910837268733</v>
      </c>
      <c r="BI457" s="203" t="str">
        <f>IFERROR(VLOOKUP(A457,'Title II Hold Harmless'!A$1:B$439,2, FALSE),"")</f>
        <v/>
      </c>
      <c r="BJ457" s="203">
        <f t="shared" si="657"/>
        <v>510.81833019155096</v>
      </c>
      <c r="BK457" s="203">
        <f t="shared" si="658"/>
        <v>511.31249168575317</v>
      </c>
      <c r="BL457" s="203" t="str">
        <f t="shared" si="637"/>
        <v/>
      </c>
      <c r="BM457" s="203">
        <f t="shared" si="638"/>
        <v>511.31249168575317</v>
      </c>
      <c r="BN457" s="200"/>
      <c r="BP457" s="298" t="s">
        <v>1448</v>
      </c>
      <c r="BQ457" s="299" t="str">
        <f t="shared" si="597"/>
        <v>Y</v>
      </c>
      <c r="BR457" s="300" t="s">
        <v>1448</v>
      </c>
      <c r="BT457" s="298" t="str">
        <f t="shared" si="598"/>
        <v>Y</v>
      </c>
      <c r="BU457" s="299" t="str">
        <f t="shared" si="668"/>
        <v>Y</v>
      </c>
      <c r="BV457" s="299" t="str">
        <f t="shared" si="669"/>
        <v>Y</v>
      </c>
      <c r="BW457" s="300" t="str">
        <f t="shared" si="599"/>
        <v>Y</v>
      </c>
      <c r="BY457" s="355">
        <f t="shared" si="600"/>
        <v>0</v>
      </c>
      <c r="BZ457" s="356">
        <f t="shared" si="601"/>
        <v>0</v>
      </c>
      <c r="CA457" s="356">
        <f t="shared" si="602"/>
        <v>0.95</v>
      </c>
      <c r="CB457" s="357">
        <f t="shared" si="603"/>
        <v>0.95</v>
      </c>
      <c r="CD457" s="312">
        <f t="shared" si="604"/>
        <v>449</v>
      </c>
    </row>
    <row r="458" spans="1:82" s="48" customFormat="1" outlineLevel="1" x14ac:dyDescent="0.3">
      <c r="A458" s="202">
        <v>108722000</v>
      </c>
      <c r="B458" s="48">
        <f>VLOOKUP(C458,'NCES ID'!$A$2:$B$3136,2,FALSE)</f>
        <v>400131</v>
      </c>
      <c r="C458" s="48">
        <f>VLOOKUP(A458,'State ID'!$A$2:$B$713,2,FALSE)</f>
        <v>6355</v>
      </c>
      <c r="D458" s="48" t="s">
        <v>412</v>
      </c>
      <c r="E458" s="48" t="s">
        <v>9</v>
      </c>
      <c r="F458" s="755"/>
      <c r="G458" s="755"/>
      <c r="H458" s="755"/>
      <c r="I458" s="755"/>
      <c r="J458" s="755"/>
      <c r="K458" s="755"/>
      <c r="L458" s="454"/>
      <c r="M458" s="455"/>
      <c r="N458" s="456"/>
      <c r="O458" s="209">
        <f>VLOOKUP($C458,'Final SEA Counts'!$A$2:$F$709,5,FALSE)</f>
        <v>888</v>
      </c>
      <c r="P458" s="223">
        <f>VLOOKUP($C458,'Final SEA Counts'!$A$2:$F$709,6,FALSE)</f>
        <v>581</v>
      </c>
      <c r="Q458" s="749"/>
      <c r="R458" s="454">
        <f t="shared" si="665"/>
        <v>888</v>
      </c>
      <c r="S458" s="455">
        <f t="shared" si="659"/>
        <v>319.03807785846686</v>
      </c>
      <c r="T458" s="230">
        <f t="shared" si="660"/>
        <v>0.35927711470548068</v>
      </c>
      <c r="U458" s="264" t="str">
        <f>IFERROR(VLOOKUP($B458,#REF!,8,FALSE),"")</f>
        <v/>
      </c>
      <c r="V458" s="265" t="str">
        <f>IFERROR(VLOOKUP($B458,#REF!,9,FALSE),"")</f>
        <v/>
      </c>
      <c r="W458" s="265" t="str">
        <f>IFERROR(VLOOKUP($B458,#REF!,10,FALSE),"")</f>
        <v/>
      </c>
      <c r="X458" s="265" t="str">
        <f>IFERROR(VLOOKUP($B458,#REF!,11,FALSE),"")</f>
        <v/>
      </c>
      <c r="Y458" s="266" t="str">
        <f>IFERROR(VLOOKUP($B458,#REF!,12,FALSE),"")</f>
        <v/>
      </c>
      <c r="Z458" s="265">
        <f t="shared" si="676"/>
        <v>153049.55852705784</v>
      </c>
      <c r="AA458" s="265">
        <f t="shared" si="677"/>
        <v>33781.652589205747</v>
      </c>
      <c r="AB458" s="265">
        <f t="shared" si="678"/>
        <v>93058.731715579648</v>
      </c>
      <c r="AC458" s="266">
        <f t="shared" si="679"/>
        <v>90399.479167180063</v>
      </c>
      <c r="AD458" s="265">
        <f t="shared" si="670"/>
        <v>153049.55852705784</v>
      </c>
      <c r="AE458" s="265">
        <f t="shared" si="671"/>
        <v>33781.652589205747</v>
      </c>
      <c r="AF458" s="265">
        <f t="shared" si="672"/>
        <v>93058.731715579648</v>
      </c>
      <c r="AG458" s="266">
        <f t="shared" si="673"/>
        <v>90399.479167180063</v>
      </c>
      <c r="AH458" s="265">
        <f t="shared" si="652"/>
        <v>153049.55852705784</v>
      </c>
      <c r="AI458" s="265">
        <f t="shared" si="653"/>
        <v>36588.385882071059</v>
      </c>
      <c r="AJ458" s="265">
        <f t="shared" si="654"/>
        <v>93058.731715579648</v>
      </c>
      <c r="AK458" s="265">
        <f t="shared" si="655"/>
        <v>90399.479167180063</v>
      </c>
      <c r="AL458" s="266">
        <f t="shared" si="656"/>
        <v>373096.15529188863</v>
      </c>
      <c r="AM458" s="347"/>
      <c r="AN458" s="264">
        <f>IFERROR(VLOOKUP($A458,'HH &amp; SI'!$B$4:$Z$494,'HH &amp; SI'!V$503,0),0)</f>
        <v>150961.86320984163</v>
      </c>
      <c r="AO458" s="265">
        <f>IFERROR(VLOOKUP($A458,'HH &amp; SI'!$B$4:$Z$494,'HH &amp; SI'!W$503,0),0)</f>
        <v>35383.298221739846</v>
      </c>
      <c r="AP458" s="265">
        <f>IFERROR(VLOOKUP($A458,'HH &amp; SI'!$B$4:$Z$494,'HH &amp; SI'!X$503,0),0)</f>
        <v>92212.398884034468</v>
      </c>
      <c r="AQ458" s="265">
        <f>IFERROR(VLOOKUP($A458,'HH &amp; SI'!$B$4:$Z$494,'HH &amp; SI'!Y$503,0),0)</f>
        <v>89403.439634132592</v>
      </c>
      <c r="AR458" s="266">
        <f t="shared" si="651"/>
        <v>367960.99994974857</v>
      </c>
      <c r="AS458" s="347"/>
      <c r="AT458" s="324">
        <f>IFERROR(VLOOKUP(A458,'Afton FY16 Final'!$A$5:$BV$572,'Afton FY16 Final'!$BV$587,0),0)</f>
        <v>310046.11285767535</v>
      </c>
      <c r="AU458" s="347"/>
      <c r="AV458" s="454">
        <v>0</v>
      </c>
      <c r="AW458" s="265">
        <f>IFERROR(VLOOKUP($A458,'HH &amp; SI'!$B$4:$EY$503,'HH &amp; SI'!EX$503,0),0)</f>
        <v>20610.63664063724</v>
      </c>
      <c r="AX458" s="265">
        <f>IFERROR(VLOOKUP($A458,'HH &amp; SI'!$B$4:$EY$503,'HH &amp; SI'!EY$503,0),0)</f>
        <v>347350.36330911133</v>
      </c>
      <c r="AY458" s="265">
        <f>AX458/$AX$582*'update_State Admin 1004(b)'!$B$30*0.01</f>
        <v>3324.3925024307923</v>
      </c>
      <c r="AZ458" s="266">
        <f t="shared" si="631"/>
        <v>344025.97080668056</v>
      </c>
      <c r="BA458" s="264">
        <f t="shared" si="632"/>
        <v>3440.2597080668056</v>
      </c>
      <c r="BB458" s="265">
        <f t="shared" si="633"/>
        <v>340585.71109861374</v>
      </c>
      <c r="BC458" s="342">
        <f t="shared" ref="BC458:BC462" si="681">IFERROR(BB458/AT458,"")</f>
        <v>1.0985001810197097</v>
      </c>
      <c r="BD458" s="347"/>
      <c r="BE458" s="377" t="str">
        <f>'Original Title I &amp; II'!AZ455</f>
        <v/>
      </c>
      <c r="BF458" s="244" t="str">
        <f t="shared" si="680"/>
        <v/>
      </c>
      <c r="BG458" s="266">
        <f t="shared" si="667"/>
        <v>340585.71109861374</v>
      </c>
      <c r="BI458" s="203">
        <f>IFERROR(VLOOKUP(A458,'Title II Hold Harmless'!A$1:B$439,2, FALSE),"")</f>
        <v>13356</v>
      </c>
      <c r="BJ458" s="203">
        <f t="shared" si="657"/>
        <v>18247.155286657122</v>
      </c>
      <c r="BK458" s="203">
        <f t="shared" si="658"/>
        <v>18264.807436136591</v>
      </c>
      <c r="BL458" s="203" t="str">
        <f t="shared" si="637"/>
        <v/>
      </c>
      <c r="BM458" s="203">
        <f t="shared" si="638"/>
        <v>18264.807436136591</v>
      </c>
      <c r="BN458" s="200"/>
      <c r="BP458" s="298" t="s">
        <v>1448</v>
      </c>
      <c r="BQ458" s="299" t="str">
        <f t="shared" ref="BQ458:BQ521" si="682">IF(OR(BP458="y",BP458="n"),"Y","N")</f>
        <v>Y</v>
      </c>
      <c r="BR458" s="300" t="s">
        <v>1448</v>
      </c>
      <c r="BT458" s="298" t="str">
        <f t="shared" ref="BT458:BT521" si="683">IF(AND(S458&gt;=10,T458&gt;0.02),"Y","N")</f>
        <v>Y</v>
      </c>
      <c r="BU458" s="299" t="str">
        <f t="shared" si="668"/>
        <v>Y</v>
      </c>
      <c r="BV458" s="299" t="str">
        <f t="shared" si="669"/>
        <v>Y</v>
      </c>
      <c r="BW458" s="300" t="str">
        <f t="shared" ref="BW458:BW521" si="684">BV458</f>
        <v>Y</v>
      </c>
      <c r="BY458" s="355">
        <f t="shared" ref="BY458:BY521" si="685">IF(BT458="NA","NA",IF($T458&lt;0.15,0.85,0))</f>
        <v>0</v>
      </c>
      <c r="BZ458" s="356">
        <f t="shared" ref="BZ458:BZ521" si="686">IF(BT458="NA","NA",IF(AND($T458&gt;=0.15,$T458&lt;0.3),0.9,0))</f>
        <v>0</v>
      </c>
      <c r="CA458" s="356">
        <f t="shared" ref="CA458:CA521" si="687">IF(BT458="NA","NA",IF($T458&gt;=0.3,0.95,0))</f>
        <v>0.95</v>
      </c>
      <c r="CB458" s="357">
        <f t="shared" ref="CB458:CB521" si="688">IF(BY458="NA","NA",MAX(BY458:CA458))</f>
        <v>0.95</v>
      </c>
      <c r="CD458" s="312">
        <f t="shared" si="604"/>
        <v>450</v>
      </c>
    </row>
    <row r="459" spans="1:82" s="48" customFormat="1" outlineLevel="1" x14ac:dyDescent="0.3">
      <c r="A459" s="202">
        <v>108714000</v>
      </c>
      <c r="B459" s="48">
        <f>VLOOKUP(C459,'NCES ID'!$A$2:$B$3136,2,FALSE)</f>
        <v>400373</v>
      </c>
      <c r="C459" s="48">
        <f>VLOOKUP(A459,'State ID'!$A$2:$B$713,2,FALSE)</f>
        <v>79979</v>
      </c>
      <c r="D459" s="48" t="s">
        <v>421</v>
      </c>
      <c r="E459" s="48" t="s">
        <v>9</v>
      </c>
      <c r="F459" s="755"/>
      <c r="G459" s="755"/>
      <c r="H459" s="755"/>
      <c r="I459" s="755"/>
      <c r="J459" s="755"/>
      <c r="K459" s="755"/>
      <c r="L459" s="454"/>
      <c r="M459" s="455"/>
      <c r="N459" s="456"/>
      <c r="O459" s="209">
        <f>VLOOKUP($C459,'Final SEA Counts'!$A$2:$F$709,5,FALSE)</f>
        <v>518</v>
      </c>
      <c r="P459" s="223">
        <f>VLOOKUP($C459,'Final SEA Counts'!$A$2:$F$709,6,FALSE)</f>
        <v>430</v>
      </c>
      <c r="Q459" s="749"/>
      <c r="R459" s="454">
        <f t="shared" si="665"/>
        <v>518</v>
      </c>
      <c r="S459" s="455">
        <f t="shared" si="659"/>
        <v>236.12112474895139</v>
      </c>
      <c r="T459" s="230">
        <f t="shared" si="660"/>
        <v>0.45583228716013779</v>
      </c>
      <c r="U459" s="264" t="str">
        <f>IFERROR(VLOOKUP($B459,#REF!,8,FALSE),"")</f>
        <v/>
      </c>
      <c r="V459" s="265" t="str">
        <f>IFERROR(VLOOKUP($B459,#REF!,9,FALSE),"")</f>
        <v/>
      </c>
      <c r="W459" s="265" t="str">
        <f>IFERROR(VLOOKUP($B459,#REF!,10,FALSE),"")</f>
        <v/>
      </c>
      <c r="X459" s="265" t="str">
        <f>IFERROR(VLOOKUP($B459,#REF!,11,FALSE),"")</f>
        <v/>
      </c>
      <c r="Y459" s="266" t="str">
        <f>IFERROR(VLOOKUP($B459,#REF!,12,FALSE),"")</f>
        <v/>
      </c>
      <c r="Z459" s="265">
        <f t="shared" si="676"/>
        <v>113272.47877217707</v>
      </c>
      <c r="AA459" s="265">
        <f t="shared" si="677"/>
        <v>25001.911554833856</v>
      </c>
      <c r="AB459" s="265">
        <f t="shared" si="678"/>
        <v>68873.071665575306</v>
      </c>
      <c r="AC459" s="266">
        <f t="shared" si="679"/>
        <v>66904.950158153923</v>
      </c>
      <c r="AD459" s="265">
        <f t="shared" si="670"/>
        <v>113272.47877217707</v>
      </c>
      <c r="AE459" s="265">
        <f t="shared" si="671"/>
        <v>25001.911554833856</v>
      </c>
      <c r="AF459" s="265">
        <f t="shared" si="672"/>
        <v>68873.071665575306</v>
      </c>
      <c r="AG459" s="266">
        <f t="shared" si="673"/>
        <v>66904.950158153923</v>
      </c>
      <c r="AH459" s="265">
        <f t="shared" si="652"/>
        <v>113272.47877217707</v>
      </c>
      <c r="AI459" s="265">
        <f t="shared" si="653"/>
        <v>27808.644847699165</v>
      </c>
      <c r="AJ459" s="265">
        <f t="shared" si="654"/>
        <v>68873.071665575306</v>
      </c>
      <c r="AK459" s="265">
        <f t="shared" si="655"/>
        <v>66904.950158153923</v>
      </c>
      <c r="AL459" s="266">
        <f t="shared" si="656"/>
        <v>276859.14544360549</v>
      </c>
      <c r="AM459" s="347"/>
      <c r="AN459" s="264">
        <f>IFERROR(VLOOKUP($A459,'HH &amp; SI'!$B$4:$Z$494,'HH &amp; SI'!V$503,0),0)</f>
        <v>111727.36864067453</v>
      </c>
      <c r="AO459" s="265">
        <f>IFERROR(VLOOKUP($A459,'HH &amp; SI'!$B$4:$Z$494,'HH &amp; SI'!W$503,0),0)</f>
        <v>26892.729757470577</v>
      </c>
      <c r="AP459" s="265">
        <f>IFERROR(VLOOKUP($A459,'HH &amp; SI'!$B$4:$Z$494,'HH &amp; SI'!X$503,0),0)</f>
        <v>68246.697969250992</v>
      </c>
      <c r="AQ459" s="265">
        <f>IFERROR(VLOOKUP($A459,'HH &amp; SI'!$B$4:$Z$494,'HH &amp; SI'!Y$503,0),0)</f>
        <v>66167.77804247335</v>
      </c>
      <c r="AR459" s="266">
        <f t="shared" si="651"/>
        <v>273034.57440986944</v>
      </c>
      <c r="AS459" s="347"/>
      <c r="AT459" s="324">
        <f>IFERROR(VLOOKUP(A459,'Afton FY16 Final'!$A$5:$BV$572,'Afton FY16 Final'!$BV$587,0),0)</f>
        <v>234358.55855569112</v>
      </c>
      <c r="AU459" s="347"/>
      <c r="AV459" s="454">
        <v>0</v>
      </c>
      <c r="AW459" s="265">
        <f>IFERROR(VLOOKUP($A459,'HH &amp; SI'!$B$4:$EY$503,'HH &amp; SI'!EX$503,0),0)</f>
        <v>15293.513182813884</v>
      </c>
      <c r="AX459" s="265">
        <f>IFERROR(VLOOKUP($A459,'HH &amp; SI'!$B$4:$EY$503,'HH &amp; SI'!EY$503,0),0)</f>
        <v>257741.06122705556</v>
      </c>
      <c r="AY459" s="265">
        <f>AX459/$AX$582*'update_State Admin 1004(b)'!$B$30*0.01</f>
        <v>2466.7671090047875</v>
      </c>
      <c r="AZ459" s="266">
        <f t="shared" si="631"/>
        <v>255274.29411805078</v>
      </c>
      <c r="BA459" s="264">
        <f t="shared" si="632"/>
        <v>2552.7429411805078</v>
      </c>
      <c r="BB459" s="265">
        <f t="shared" si="633"/>
        <v>252721.55117687027</v>
      </c>
      <c r="BC459" s="342">
        <f t="shared" si="681"/>
        <v>1.0783542650814499</v>
      </c>
      <c r="BD459" s="347"/>
      <c r="BE459" s="377" t="str">
        <f>'Original Title I &amp; II'!AZ456</f>
        <v/>
      </c>
      <c r="BF459" s="244" t="str">
        <f t="shared" si="680"/>
        <v/>
      </c>
      <c r="BG459" s="266">
        <f t="shared" si="667"/>
        <v>252721.55117687027</v>
      </c>
      <c r="BI459" s="203" t="str">
        <f>IFERROR(VLOOKUP(A459,'Title II Hold Harmless'!A$1:B$439,2, FALSE),"")</f>
        <v/>
      </c>
      <c r="BJ459" s="203">
        <f t="shared" si="657"/>
        <v>3507.9224867075573</v>
      </c>
      <c r="BK459" s="203">
        <f t="shared" si="658"/>
        <v>3511.3160223642103</v>
      </c>
      <c r="BL459" s="203" t="str">
        <f t="shared" si="637"/>
        <v/>
      </c>
      <c r="BM459" s="203">
        <f t="shared" si="638"/>
        <v>3511.3160223642103</v>
      </c>
      <c r="BN459" s="200"/>
      <c r="BP459" s="298" t="s">
        <v>1448</v>
      </c>
      <c r="BQ459" s="299" t="str">
        <f t="shared" si="682"/>
        <v>Y</v>
      </c>
      <c r="BR459" s="300" t="s">
        <v>1448</v>
      </c>
      <c r="BT459" s="298" t="str">
        <f t="shared" si="683"/>
        <v>Y</v>
      </c>
      <c r="BU459" s="299" t="str">
        <f t="shared" si="668"/>
        <v>Y</v>
      </c>
      <c r="BV459" s="299" t="str">
        <f t="shared" si="669"/>
        <v>Y</v>
      </c>
      <c r="BW459" s="300" t="str">
        <f t="shared" si="684"/>
        <v>Y</v>
      </c>
      <c r="BY459" s="355">
        <f t="shared" si="685"/>
        <v>0</v>
      </c>
      <c r="BZ459" s="356">
        <f t="shared" si="686"/>
        <v>0</v>
      </c>
      <c r="CA459" s="356">
        <f t="shared" si="687"/>
        <v>0.95</v>
      </c>
      <c r="CB459" s="357">
        <f t="shared" si="688"/>
        <v>0.95</v>
      </c>
      <c r="CD459" s="312">
        <f t="shared" ref="CD459:CD522" si="689">CD458+1</f>
        <v>451</v>
      </c>
    </row>
    <row r="460" spans="1:82" s="48" customFormat="1" outlineLevel="1" x14ac:dyDescent="0.3">
      <c r="A460" s="202">
        <v>108768000</v>
      </c>
      <c r="B460" s="48">
        <f>VLOOKUP(C460,'NCES ID'!$A$2:$B$3136,2,FALSE)</f>
        <v>400159</v>
      </c>
      <c r="C460" s="48">
        <f>VLOOKUP(A460,'State ID'!$A$2:$B$713,2,FALSE)</f>
        <v>6374</v>
      </c>
      <c r="D460" s="48" t="s">
        <v>422</v>
      </c>
      <c r="E460" s="48" t="s">
        <v>9</v>
      </c>
      <c r="F460" s="755"/>
      <c r="G460" s="755"/>
      <c r="H460" s="755"/>
      <c r="I460" s="755"/>
      <c r="J460" s="755"/>
      <c r="K460" s="755"/>
      <c r="L460" s="454"/>
      <c r="M460" s="455"/>
      <c r="N460" s="456"/>
      <c r="O460" s="209">
        <f>VLOOKUP($C460,'Final SEA Counts'!$A$2:$F$709,5,FALSE)</f>
        <v>40</v>
      </c>
      <c r="P460" s="223">
        <f>VLOOKUP($C460,'Final SEA Counts'!$A$2:$F$709,6,FALSE)</f>
        <v>39</v>
      </c>
      <c r="Q460" s="749"/>
      <c r="R460" s="454">
        <f t="shared" si="665"/>
        <v>40</v>
      </c>
      <c r="S460" s="455">
        <f t="shared" si="659"/>
        <v>21.415636895835124</v>
      </c>
      <c r="T460" s="230">
        <f t="shared" si="660"/>
        <v>0.53539092239587815</v>
      </c>
      <c r="U460" s="264" t="str">
        <f>IFERROR(VLOOKUP($B460,#REF!,8,FALSE),"")</f>
        <v/>
      </c>
      <c r="V460" s="265" t="str">
        <f>IFERROR(VLOOKUP($B460,#REF!,9,FALSE),"")</f>
        <v/>
      </c>
      <c r="W460" s="265" t="str">
        <f>IFERROR(VLOOKUP($B460,#REF!,10,FALSE),"")</f>
        <v/>
      </c>
      <c r="X460" s="265" t="str">
        <f>IFERROR(VLOOKUP($B460,#REF!,11,FALSE),"")</f>
        <v/>
      </c>
      <c r="Y460" s="266" t="str">
        <f>IFERROR(VLOOKUP($B460,#REF!,12,FALSE),"")</f>
        <v/>
      </c>
      <c r="Z460" s="265">
        <f t="shared" si="676"/>
        <v>10273.550400267222</v>
      </c>
      <c r="AA460" s="265">
        <f t="shared" si="677"/>
        <v>2267.6152340430708</v>
      </c>
      <c r="AB460" s="265">
        <f t="shared" si="678"/>
        <v>6246.6274301335734</v>
      </c>
      <c r="AC460" s="266">
        <f t="shared" si="679"/>
        <v>6068.1233864372161</v>
      </c>
      <c r="AD460" s="265">
        <f t="shared" si="670"/>
        <v>10273.550400267222</v>
      </c>
      <c r="AE460" s="265">
        <f t="shared" si="671"/>
        <v>2267.6152340430708</v>
      </c>
      <c r="AF460" s="265">
        <f t="shared" si="672"/>
        <v>6246.6274301335734</v>
      </c>
      <c r="AG460" s="266">
        <f t="shared" si="673"/>
        <v>6068.1233864372161</v>
      </c>
      <c r="AH460" s="265">
        <f t="shared" si="652"/>
        <v>10273.550400267222</v>
      </c>
      <c r="AI460" s="265">
        <f t="shared" si="653"/>
        <v>5074.3485269083803</v>
      </c>
      <c r="AJ460" s="265">
        <f t="shared" si="654"/>
        <v>6246.6274301335734</v>
      </c>
      <c r="AK460" s="265">
        <f t="shared" si="655"/>
        <v>6068.1233864372161</v>
      </c>
      <c r="AL460" s="266">
        <f t="shared" si="656"/>
        <v>27662.649743746391</v>
      </c>
      <c r="AM460" s="347"/>
      <c r="AN460" s="264">
        <f>IFERROR(VLOOKUP($A460,'HH &amp; SI'!$B$4:$Z$494,'HH &amp; SI'!V$503,0),0)</f>
        <v>19407.190736359877</v>
      </c>
      <c r="AO460" s="265">
        <f>IFERROR(VLOOKUP($A460,'HH &amp; SI'!$B$4:$Z$494,'HH &amp; SI'!W$503,0),0)</f>
        <v>7006.3687901814274</v>
      </c>
      <c r="AP460" s="265">
        <f>IFERROR(VLOOKUP($A460,'HH &amp; SI'!$B$4:$Z$494,'HH &amp; SI'!X$503,0),0)</f>
        <v>10634.489146224369</v>
      </c>
      <c r="AQ460" s="265">
        <f>IFERROR(VLOOKUP($A460,'HH &amp; SI'!$B$4:$Z$494,'HH &amp; SI'!Y$503,0),0)</f>
        <v>10944.105746239607</v>
      </c>
      <c r="AR460" s="266">
        <f t="shared" si="651"/>
        <v>47992.154419005274</v>
      </c>
      <c r="AS460" s="347"/>
      <c r="AT460" s="324">
        <f>IFERROR(VLOOKUP(A460,'Afton FY16 Final'!$A$5:$BV$572,'Afton FY16 Final'!$BV$587,0),0)</f>
        <v>49523.356743624194</v>
      </c>
      <c r="AU460" s="347"/>
      <c r="AV460" s="454">
        <v>0</v>
      </c>
      <c r="AW460" s="265">
        <f>IFERROR(VLOOKUP($A460,'HH &amp; SI'!$B$4:$EY$503,'HH &amp; SI'!EX$503,0),0)</f>
        <v>0</v>
      </c>
      <c r="AX460" s="265">
        <f>IFERROR(VLOOKUP($A460,'HH &amp; SI'!$B$4:$EY$503,'HH &amp; SI'!EY$503,0),0)</f>
        <v>47992.154419005274</v>
      </c>
      <c r="AY460" s="265">
        <f>AX460/$AX$582*'update_State Admin 1004(b)'!$B$30*0.01</f>
        <v>459.31939384229497</v>
      </c>
      <c r="AZ460" s="266">
        <f t="shared" si="631"/>
        <v>47532.835025162982</v>
      </c>
      <c r="BA460" s="264">
        <f t="shared" si="632"/>
        <v>475.32835025162984</v>
      </c>
      <c r="BB460" s="265">
        <f t="shared" si="633"/>
        <v>47057.506674911354</v>
      </c>
      <c r="BC460" s="342">
        <f t="shared" si="681"/>
        <v>0.95020834146041</v>
      </c>
      <c r="BD460" s="347"/>
      <c r="BE460" s="377" t="str">
        <f>'Original Title I &amp; II'!AZ457</f>
        <v/>
      </c>
      <c r="BF460" s="244" t="str">
        <f t="shared" si="680"/>
        <v/>
      </c>
      <c r="BG460" s="266">
        <f t="shared" si="667"/>
        <v>47057.506674911354</v>
      </c>
      <c r="BI460" s="203">
        <f>IFERROR(VLOOKUP(A460,'Title II Hold Harmless'!A$1:B$439,2, FALSE),"")</f>
        <v>4385</v>
      </c>
      <c r="BJ460" s="203">
        <f t="shared" si="657"/>
        <v>4697.5417867761407</v>
      </c>
      <c r="BK460" s="203">
        <f t="shared" si="658"/>
        <v>4702.0861504593313</v>
      </c>
      <c r="BL460" s="203" t="str">
        <f t="shared" si="637"/>
        <v/>
      </c>
      <c r="BM460" s="203">
        <f t="shared" si="638"/>
        <v>4702.0861504593313</v>
      </c>
      <c r="BN460" s="200"/>
      <c r="BP460" s="298" t="s">
        <v>1448</v>
      </c>
      <c r="BQ460" s="299" t="str">
        <f t="shared" si="682"/>
        <v>Y</v>
      </c>
      <c r="BR460" s="300" t="s">
        <v>1448</v>
      </c>
      <c r="BT460" s="298" t="str">
        <f t="shared" si="683"/>
        <v>Y</v>
      </c>
      <c r="BU460" s="299" t="str">
        <f t="shared" si="668"/>
        <v>Y</v>
      </c>
      <c r="BV460" s="299" t="str">
        <f t="shared" si="669"/>
        <v>Y</v>
      </c>
      <c r="BW460" s="300" t="str">
        <f t="shared" si="684"/>
        <v>Y</v>
      </c>
      <c r="BY460" s="355">
        <f t="shared" si="685"/>
        <v>0</v>
      </c>
      <c r="BZ460" s="356">
        <f t="shared" si="686"/>
        <v>0</v>
      </c>
      <c r="CA460" s="356">
        <f t="shared" si="687"/>
        <v>0.95</v>
      </c>
      <c r="CB460" s="357">
        <f t="shared" si="688"/>
        <v>0.95</v>
      </c>
      <c r="CD460" s="312">
        <f t="shared" si="689"/>
        <v>452</v>
      </c>
    </row>
    <row r="461" spans="1:82" s="666" customFormat="1" outlineLevel="1" x14ac:dyDescent="0.3">
      <c r="A461" s="665">
        <v>108720001</v>
      </c>
      <c r="B461" s="666" t="e">
        <f>VLOOKUP(C461,'NCES ID'!$A$2:$B$3136,2,FALSE)</f>
        <v>#N/A</v>
      </c>
      <c r="C461" s="666" t="e">
        <f>VLOOKUP(A461,'State ID'!$A$2:$B$713,2,FALSE)</f>
        <v>#N/A</v>
      </c>
      <c r="D461" s="666" t="s">
        <v>423</v>
      </c>
      <c r="E461" s="666" t="s">
        <v>9</v>
      </c>
      <c r="F461" s="764"/>
      <c r="G461" s="764"/>
      <c r="H461" s="764"/>
      <c r="I461" s="764"/>
      <c r="J461" s="764"/>
      <c r="K461" s="764"/>
      <c r="L461" s="765"/>
      <c r="M461" s="766"/>
      <c r="N461" s="770"/>
      <c r="O461" s="667">
        <v>0</v>
      </c>
      <c r="P461" s="668">
        <v>0</v>
      </c>
      <c r="Q461" s="754"/>
      <c r="R461" s="765">
        <f t="shared" si="665"/>
        <v>0</v>
      </c>
      <c r="S461" s="766">
        <f t="shared" si="659"/>
        <v>0</v>
      </c>
      <c r="T461" s="669">
        <v>0</v>
      </c>
      <c r="U461" s="670" t="str">
        <f>IFERROR(VLOOKUP($B461,#REF!,8,FALSE),"")</f>
        <v/>
      </c>
      <c r="V461" s="671" t="str">
        <f>IFERROR(VLOOKUP($B461,#REF!,9,FALSE),"")</f>
        <v/>
      </c>
      <c r="W461" s="671" t="str">
        <f>IFERROR(VLOOKUP($B461,#REF!,10,FALSE),"")</f>
        <v/>
      </c>
      <c r="X461" s="671" t="str">
        <f>IFERROR(VLOOKUP($B461,#REF!,11,FALSE),"")</f>
        <v/>
      </c>
      <c r="Y461" s="672" t="str">
        <f>IFERROR(VLOOKUP($B461,#REF!,12,FALSE),"")</f>
        <v/>
      </c>
      <c r="Z461" s="671">
        <f t="shared" si="676"/>
        <v>0</v>
      </c>
      <c r="AA461" s="671">
        <f t="shared" si="677"/>
        <v>0</v>
      </c>
      <c r="AB461" s="671">
        <f t="shared" si="678"/>
        <v>0</v>
      </c>
      <c r="AC461" s="672">
        <f t="shared" si="679"/>
        <v>0</v>
      </c>
      <c r="AD461" s="671" t="str">
        <f t="shared" si="670"/>
        <v/>
      </c>
      <c r="AE461" s="671" t="str">
        <f t="shared" si="671"/>
        <v/>
      </c>
      <c r="AF461" s="671" t="str">
        <f t="shared" si="672"/>
        <v/>
      </c>
      <c r="AG461" s="672" t="str">
        <f t="shared" si="673"/>
        <v/>
      </c>
      <c r="AH461" s="671" t="str">
        <f t="shared" si="652"/>
        <v/>
      </c>
      <c r="AI461" s="671" t="str">
        <f t="shared" si="653"/>
        <v/>
      </c>
      <c r="AJ461" s="671" t="str">
        <f t="shared" si="654"/>
        <v/>
      </c>
      <c r="AK461" s="671" t="str">
        <f t="shared" si="655"/>
        <v/>
      </c>
      <c r="AL461" s="672">
        <f t="shared" si="656"/>
        <v>0</v>
      </c>
      <c r="AM461" s="673"/>
      <c r="AN461" s="670">
        <f>IFERROR(VLOOKUP($A461,'HH &amp; SI'!$B$4:$Z$494,'HH &amp; SI'!V$503,0),0)</f>
        <v>0</v>
      </c>
      <c r="AO461" s="671">
        <f>IFERROR(VLOOKUP($A461,'HH &amp; SI'!$B$4:$Z$494,'HH &amp; SI'!W$503,0),0)</f>
        <v>0</v>
      </c>
      <c r="AP461" s="671">
        <f>IFERROR(VLOOKUP($A461,'HH &amp; SI'!$B$4:$Z$494,'HH &amp; SI'!X$503,0),0)</f>
        <v>0</v>
      </c>
      <c r="AQ461" s="671">
        <f>IFERROR(VLOOKUP($A461,'HH &amp; SI'!$B$4:$Z$494,'HH &amp; SI'!Y$503,0),0)</f>
        <v>0</v>
      </c>
      <c r="AR461" s="672">
        <f t="shared" si="651"/>
        <v>0</v>
      </c>
      <c r="AS461" s="673"/>
      <c r="AT461" s="674">
        <f>IFERROR(VLOOKUP(A461,'Afton FY16 Final'!$A$5:$BV$572,'Afton FY16 Final'!$BV$587,0),0)</f>
        <v>0</v>
      </c>
      <c r="AU461" s="673"/>
      <c r="AV461" s="765">
        <v>0</v>
      </c>
      <c r="AW461" s="671">
        <f>IFERROR(VLOOKUP($A461,'HH &amp; SI'!$B$4:$EY$503,'HH &amp; SI'!EX$503,0),0)</f>
        <v>0</v>
      </c>
      <c r="AX461" s="671">
        <f>IFERROR(VLOOKUP($A461,'HH &amp; SI'!$B$4:$EY$503,'HH &amp; SI'!EY$503,0),0)</f>
        <v>0</v>
      </c>
      <c r="AY461" s="671">
        <f>AX461/$AX$582*'update_State Admin 1004(b)'!$B$30*0.01</f>
        <v>0</v>
      </c>
      <c r="AZ461" s="672">
        <f t="shared" si="631"/>
        <v>0</v>
      </c>
      <c r="BA461" s="670">
        <f t="shared" si="632"/>
        <v>0</v>
      </c>
      <c r="BB461" s="671">
        <f t="shared" si="633"/>
        <v>0</v>
      </c>
      <c r="BC461" s="675" t="str">
        <f t="shared" si="681"/>
        <v/>
      </c>
      <c r="BD461" s="673"/>
      <c r="BE461" s="678" t="str">
        <f>'Original Title I &amp; II'!AZ458</f>
        <v/>
      </c>
      <c r="BF461" s="677" t="str">
        <f t="shared" si="680"/>
        <v/>
      </c>
      <c r="BG461" s="672">
        <f t="shared" si="667"/>
        <v>0</v>
      </c>
      <c r="BI461" s="679" t="str">
        <f>IFERROR(VLOOKUP(A461,'Title II Hold Harmless'!A$1:B$439,2, FALSE),"")</f>
        <v/>
      </c>
      <c r="BJ461" s="679">
        <f t="shared" si="657"/>
        <v>0</v>
      </c>
      <c r="BK461" s="679">
        <f t="shared" si="658"/>
        <v>0</v>
      </c>
      <c r="BL461" s="679" t="str">
        <f t="shared" si="637"/>
        <v/>
      </c>
      <c r="BM461" s="679">
        <f t="shared" si="638"/>
        <v>0</v>
      </c>
      <c r="BN461" s="679"/>
      <c r="BP461" s="680" t="s">
        <v>1448</v>
      </c>
      <c r="BQ461" s="681" t="str">
        <f t="shared" si="682"/>
        <v>Y</v>
      </c>
      <c r="BR461" s="682" t="s">
        <v>1448</v>
      </c>
      <c r="BT461" s="680" t="str">
        <f t="shared" si="683"/>
        <v>N</v>
      </c>
      <c r="BU461" s="681" t="str">
        <f t="shared" si="668"/>
        <v>N</v>
      </c>
      <c r="BV461" s="681" t="str">
        <f t="shared" si="669"/>
        <v>N</v>
      </c>
      <c r="BW461" s="682" t="str">
        <f t="shared" si="684"/>
        <v>N</v>
      </c>
      <c r="BY461" s="676">
        <f t="shared" si="685"/>
        <v>0.85</v>
      </c>
      <c r="BZ461" s="683">
        <f t="shared" si="686"/>
        <v>0</v>
      </c>
      <c r="CA461" s="683">
        <f t="shared" si="687"/>
        <v>0</v>
      </c>
      <c r="CB461" s="684">
        <f t="shared" si="688"/>
        <v>0.85</v>
      </c>
      <c r="CD461" s="685">
        <f t="shared" si="689"/>
        <v>453</v>
      </c>
    </row>
    <row r="462" spans="1:82" s="48" customFormat="1" outlineLevel="1" x14ac:dyDescent="0.3">
      <c r="A462" s="202">
        <v>108660000</v>
      </c>
      <c r="B462" s="48">
        <f>VLOOKUP(C462,'NCES ID'!$A$2:$B$3136,2,FALSE)</f>
        <v>400079</v>
      </c>
      <c r="C462" s="48">
        <f>VLOOKUP(A462,'State ID'!$A$2:$B$713,2,FALSE)</f>
        <v>4422</v>
      </c>
      <c r="D462" s="48" t="s">
        <v>425</v>
      </c>
      <c r="E462" s="48" t="s">
        <v>9</v>
      </c>
      <c r="F462" s="755"/>
      <c r="G462" s="755"/>
      <c r="H462" s="755"/>
      <c r="I462" s="755"/>
      <c r="J462" s="755"/>
      <c r="K462" s="755"/>
      <c r="L462" s="454"/>
      <c r="M462" s="455"/>
      <c r="N462" s="456"/>
      <c r="O462" s="209">
        <f>VLOOKUP($C462,'AzEDS FY17 12-04-16'!$A$1:$D$712,3,FALSE)</f>
        <v>141</v>
      </c>
      <c r="P462" s="223">
        <f>VLOOKUP($C462,'AzEDS FY17 12-04-16'!$A$1:$D$712,4,FALSE)</f>
        <v>86</v>
      </c>
      <c r="Q462" s="749"/>
      <c r="R462" s="454">
        <f t="shared" si="665"/>
        <v>141</v>
      </c>
      <c r="S462" s="455">
        <f t="shared" si="659"/>
        <v>47.224224949790276</v>
      </c>
      <c r="T462" s="230">
        <f t="shared" si="660"/>
        <v>0.33492358120418636</v>
      </c>
      <c r="U462" s="264" t="str">
        <f>IFERROR(VLOOKUP($B462,#REF!,8,FALSE),"")</f>
        <v/>
      </c>
      <c r="V462" s="265" t="str">
        <f>IFERROR(VLOOKUP($B462,#REF!,9,FALSE),"")</f>
        <v/>
      </c>
      <c r="W462" s="265" t="str">
        <f>IFERROR(VLOOKUP($B462,#REF!,10,FALSE),"")</f>
        <v/>
      </c>
      <c r="X462" s="265" t="str">
        <f>IFERROR(VLOOKUP($B462,#REF!,11,FALSE),"")</f>
        <v/>
      </c>
      <c r="Y462" s="266" t="str">
        <f>IFERROR(VLOOKUP($B462,#REF!,12,FALSE),"")</f>
        <v/>
      </c>
      <c r="Z462" s="265">
        <f t="shared" si="676"/>
        <v>22654.495754435415</v>
      </c>
      <c r="AA462" s="265">
        <f t="shared" si="677"/>
        <v>5000.382310966771</v>
      </c>
      <c r="AB462" s="265">
        <f t="shared" si="678"/>
        <v>13774.61433311506</v>
      </c>
      <c r="AC462" s="266">
        <f t="shared" si="679"/>
        <v>13380.990031630785</v>
      </c>
      <c r="AD462" s="265">
        <f t="shared" si="670"/>
        <v>22654.495754435415</v>
      </c>
      <c r="AE462" s="265">
        <f t="shared" si="671"/>
        <v>5000.382310966771</v>
      </c>
      <c r="AF462" s="265">
        <f t="shared" si="672"/>
        <v>13774.61433311506</v>
      </c>
      <c r="AG462" s="266">
        <f t="shared" si="673"/>
        <v>13380.990031630785</v>
      </c>
      <c r="AH462" s="265">
        <f t="shared" si="652"/>
        <v>22654.495754435415</v>
      </c>
      <c r="AI462" s="265">
        <f t="shared" si="653"/>
        <v>7807.1156038320805</v>
      </c>
      <c r="AJ462" s="265">
        <f t="shared" si="654"/>
        <v>13774.61433311506</v>
      </c>
      <c r="AK462" s="265">
        <f t="shared" si="655"/>
        <v>13380.990031630785</v>
      </c>
      <c r="AL462" s="266">
        <f t="shared" si="656"/>
        <v>57617.215723013338</v>
      </c>
      <c r="AM462" s="347"/>
      <c r="AN462" s="264">
        <f>IFERROR(VLOOKUP($A462,'HH &amp; SI'!$B$4:$Z$494,'HH &amp; SI'!V$503,0),0)</f>
        <v>30642.932741620865</v>
      </c>
      <c r="AO462" s="265">
        <f>IFERROR(VLOOKUP($A462,'HH &amp; SI'!$B$4:$Z$494,'HH &amp; SI'!W$503,0),0)</f>
        <v>7803.187423182706</v>
      </c>
      <c r="AP462" s="265">
        <f>IFERROR(VLOOKUP($A462,'HH &amp; SI'!$B$4:$Z$494,'HH &amp; SI'!X$503,0),0)</f>
        <v>16666.747372519436</v>
      </c>
      <c r="AQ462" s="265">
        <f>IFERROR(VLOOKUP($A462,'HH &amp; SI'!$B$4:$Z$494,'HH &amp; SI'!Y$503,0),0)</f>
        <v>17280.166967746751</v>
      </c>
      <c r="AR462" s="266">
        <f t="shared" si="651"/>
        <v>72393.034505069751</v>
      </c>
      <c r="AS462" s="347"/>
      <c r="AT462" s="324">
        <f>IFERROR(VLOOKUP(A462,'Afton FY16 Final'!$A$5:$BV$572,'Afton FY16 Final'!$BV$587,0),0)</f>
        <v>74702.753334372494</v>
      </c>
      <c r="AU462" s="347"/>
      <c r="AV462" s="454">
        <v>0</v>
      </c>
      <c r="AW462" s="265">
        <f>IFERROR(VLOOKUP($A462,'HH &amp; SI'!$B$4:$EY$503,'HH &amp; SI'!EX$503,0),0)</f>
        <v>0</v>
      </c>
      <c r="AX462" s="265">
        <f>IFERROR(VLOOKUP($A462,'HH &amp; SI'!$B$4:$EY$503,'HH &amp; SI'!EY$503,0),0)</f>
        <v>72393.034505069751</v>
      </c>
      <c r="AY462" s="265">
        <f>AX462/$AX$582*'update_State Admin 1004(b)'!$B$30*0.01</f>
        <v>692.85334508977803</v>
      </c>
      <c r="AZ462" s="266">
        <f t="shared" si="631"/>
        <v>71700.181159979969</v>
      </c>
      <c r="BA462" s="264">
        <f t="shared" si="632"/>
        <v>717.00181159979968</v>
      </c>
      <c r="BB462" s="265">
        <f t="shared" si="633"/>
        <v>70983.179348380174</v>
      </c>
      <c r="BC462" s="342">
        <f t="shared" si="681"/>
        <v>0.95020834146040967</v>
      </c>
      <c r="BD462" s="347"/>
      <c r="BE462" s="377" t="str">
        <f>'Original Title I &amp; II'!AZ459</f>
        <v/>
      </c>
      <c r="BF462" s="244" t="str">
        <f t="shared" si="680"/>
        <v/>
      </c>
      <c r="BG462" s="266">
        <f t="shared" si="667"/>
        <v>70983.179348380174</v>
      </c>
      <c r="BI462" s="203">
        <f>IFERROR(VLOOKUP(A462,'Title II Hold Harmless'!A$1:B$439,2, FALSE),"")</f>
        <v>5550</v>
      </c>
      <c r="BJ462" s="203">
        <f t="shared" si="657"/>
        <v>6281.6840057285026</v>
      </c>
      <c r="BK462" s="203">
        <f t="shared" si="658"/>
        <v>6287.7608556982614</v>
      </c>
      <c r="BL462" s="203" t="str">
        <f t="shared" si="637"/>
        <v/>
      </c>
      <c r="BM462" s="203">
        <f t="shared" si="638"/>
        <v>6287.7608556982614</v>
      </c>
      <c r="BN462" s="200"/>
      <c r="BP462" s="298" t="s">
        <v>1448</v>
      </c>
      <c r="BQ462" s="299" t="str">
        <f t="shared" si="682"/>
        <v>Y</v>
      </c>
      <c r="BR462" s="300" t="s">
        <v>1448</v>
      </c>
      <c r="BT462" s="298" t="str">
        <f t="shared" si="683"/>
        <v>Y</v>
      </c>
      <c r="BU462" s="299" t="str">
        <f t="shared" si="668"/>
        <v>Y</v>
      </c>
      <c r="BV462" s="299" t="str">
        <f t="shared" si="669"/>
        <v>Y</v>
      </c>
      <c r="BW462" s="300" t="str">
        <f t="shared" si="684"/>
        <v>Y</v>
      </c>
      <c r="BY462" s="355">
        <f t="shared" si="685"/>
        <v>0</v>
      </c>
      <c r="BZ462" s="356">
        <f t="shared" si="686"/>
        <v>0</v>
      </c>
      <c r="CA462" s="356">
        <f t="shared" si="687"/>
        <v>0.95</v>
      </c>
      <c r="CB462" s="357">
        <f t="shared" si="688"/>
        <v>0.95</v>
      </c>
      <c r="CD462" s="312">
        <f t="shared" si="689"/>
        <v>454</v>
      </c>
    </row>
    <row r="463" spans="1:82" s="48" customFormat="1" outlineLevel="1" x14ac:dyDescent="0.3">
      <c r="A463" s="202"/>
      <c r="D463" s="48" t="s">
        <v>1411</v>
      </c>
      <c r="E463" s="48" t="s">
        <v>9</v>
      </c>
      <c r="F463" s="755"/>
      <c r="G463" s="755"/>
      <c r="H463" s="755"/>
      <c r="I463" s="755"/>
      <c r="J463" s="755"/>
      <c r="K463" s="755"/>
      <c r="L463" s="454"/>
      <c r="M463" s="455"/>
      <c r="N463" s="456"/>
      <c r="O463" s="211">
        <f>'AVA Metrics'!C12</f>
        <v>556.75149288011028</v>
      </c>
      <c r="P463" s="212">
        <f>'AVA Metrics'!D12</f>
        <v>291.29260450160768</v>
      </c>
      <c r="Q463" s="749"/>
      <c r="R463" s="454">
        <f t="shared" si="665"/>
        <v>556.75149288011028</v>
      </c>
      <c r="S463" s="455">
        <f t="shared" si="659"/>
        <v>159.954273037142</v>
      </c>
      <c r="T463" s="230">
        <f t="shared" si="660"/>
        <v>0.2872992261047897</v>
      </c>
      <c r="U463" s="264"/>
      <c r="V463" s="265"/>
      <c r="W463" s="265"/>
      <c r="X463" s="265"/>
      <c r="Y463" s="266"/>
      <c r="Z463" s="265">
        <f t="shared" si="676"/>
        <v>76733.57060441983</v>
      </c>
      <c r="AA463" s="265">
        <f t="shared" si="677"/>
        <v>16936.911475177658</v>
      </c>
      <c r="AB463" s="265">
        <f t="shared" si="678"/>
        <v>46656.317268584433</v>
      </c>
      <c r="AC463" s="266">
        <f t="shared" si="679"/>
        <v>45323.063222369543</v>
      </c>
      <c r="AD463" s="265">
        <f t="shared" si="670"/>
        <v>76733.57060441983</v>
      </c>
      <c r="AE463" s="265">
        <f t="shared" si="671"/>
        <v>16936.911475177658</v>
      </c>
      <c r="AF463" s="265">
        <f t="shared" si="672"/>
        <v>46656.317268584433</v>
      </c>
      <c r="AG463" s="266">
        <f t="shared" si="673"/>
        <v>45323.063222369543</v>
      </c>
      <c r="AH463" s="265">
        <f t="shared" si="652"/>
        <v>76733.57060441983</v>
      </c>
      <c r="AI463" s="265">
        <f t="shared" si="653"/>
        <v>19743.644768042966</v>
      </c>
      <c r="AJ463" s="265">
        <f t="shared" si="654"/>
        <v>46656.317268584433</v>
      </c>
      <c r="AK463" s="265">
        <f t="shared" si="655"/>
        <v>45323.063222369543</v>
      </c>
      <c r="AL463" s="266">
        <f t="shared" si="656"/>
        <v>188456.59586341679</v>
      </c>
      <c r="AM463" s="347"/>
      <c r="AN463" s="264">
        <f>IFERROR(VLOOKUP($A463,'HH &amp; SI'!$B$4:$Z$494,'HH &amp; SI'!V$503,0),0)</f>
        <v>0</v>
      </c>
      <c r="AO463" s="265">
        <f>IFERROR(VLOOKUP($A463,'HH &amp; SI'!$B$4:$Z$494,'HH &amp; SI'!W$503,0),0)</f>
        <v>0</v>
      </c>
      <c r="AP463" s="265">
        <f>IFERROR(VLOOKUP($A463,'HH &amp; SI'!$B$4:$Z$494,'HH &amp; SI'!X$503,0),0)</f>
        <v>0</v>
      </c>
      <c r="AQ463" s="265">
        <f>IFERROR(VLOOKUP($A463,'HH &amp; SI'!$B$4:$Z$494,'HH &amp; SI'!Y$503,0),0)</f>
        <v>0</v>
      </c>
      <c r="AR463" s="266">
        <f t="shared" si="651"/>
        <v>0</v>
      </c>
      <c r="AS463" s="347"/>
      <c r="AT463" s="324">
        <f>IFERROR(VLOOKUP(A463,'Afton FY16 Final'!$A$5:$BV$572,'Afton FY16 Final'!$BV$587,0),0)</f>
        <v>0</v>
      </c>
      <c r="AU463" s="347"/>
      <c r="AV463" s="454">
        <v>0</v>
      </c>
      <c r="AW463" s="265">
        <f>IFERROR(VLOOKUP($A463,'HH &amp; SI'!$B$4:$EY$503,'HH &amp; SI'!EX$503,0),0)</f>
        <v>0</v>
      </c>
      <c r="AX463" s="265">
        <f>IFERROR(VLOOKUP($A463,'HH &amp; SI'!$B$4:$EY$503,'HH &amp; SI'!EY$503,0),0)</f>
        <v>0</v>
      </c>
      <c r="AY463" s="265"/>
      <c r="AZ463" s="266"/>
      <c r="BA463" s="264"/>
      <c r="BB463" s="265"/>
      <c r="BC463" s="342" t="str">
        <f t="shared" ref="BC463:BC521" si="690">IFERROR(BB463/AT463,"")</f>
        <v/>
      </c>
      <c r="BD463" s="347"/>
      <c r="BE463" s="377">
        <f>'Original Title I &amp; II'!AZ460</f>
        <v>0</v>
      </c>
      <c r="BF463" s="244"/>
      <c r="BG463" s="266">
        <f t="shared" si="667"/>
        <v>0</v>
      </c>
      <c r="BI463" s="203"/>
      <c r="BJ463" s="203"/>
      <c r="BK463" s="203"/>
      <c r="BL463" s="203"/>
      <c r="BM463" s="203"/>
      <c r="BN463" s="200"/>
      <c r="BP463" s="298" t="s">
        <v>1448</v>
      </c>
      <c r="BQ463" s="299" t="str">
        <f t="shared" si="682"/>
        <v>Y</v>
      </c>
      <c r="BR463" s="300" t="s">
        <v>1448</v>
      </c>
      <c r="BT463" s="298" t="str">
        <f t="shared" si="683"/>
        <v>Y</v>
      </c>
      <c r="BU463" s="299" t="str">
        <f t="shared" si="668"/>
        <v>Y</v>
      </c>
      <c r="BV463" s="299" t="str">
        <f t="shared" si="669"/>
        <v>Y</v>
      </c>
      <c r="BW463" s="300" t="str">
        <f t="shared" si="684"/>
        <v>Y</v>
      </c>
      <c r="BY463" s="355">
        <f t="shared" si="685"/>
        <v>0</v>
      </c>
      <c r="BZ463" s="356">
        <f t="shared" si="686"/>
        <v>0.9</v>
      </c>
      <c r="CA463" s="356">
        <f t="shared" si="687"/>
        <v>0</v>
      </c>
      <c r="CB463" s="357">
        <f t="shared" si="688"/>
        <v>0.9</v>
      </c>
      <c r="CD463" s="312">
        <f t="shared" si="689"/>
        <v>455</v>
      </c>
    </row>
    <row r="464" spans="1:82" s="197" customFormat="1" outlineLevel="1" x14ac:dyDescent="0.3">
      <c r="A464" s="196"/>
      <c r="D464" s="197" t="s">
        <v>878</v>
      </c>
      <c r="F464" s="756"/>
      <c r="G464" s="756"/>
      <c r="H464" s="756"/>
      <c r="I464" s="756"/>
      <c r="J464" s="756"/>
      <c r="K464" s="756"/>
      <c r="L464" s="757"/>
      <c r="M464" s="758"/>
      <c r="N464" s="768"/>
      <c r="O464" s="214"/>
      <c r="P464" s="216"/>
      <c r="Q464" s="750"/>
      <c r="R464" s="757">
        <f>SUM(R423:R463)</f>
        <v>11618.75149288011</v>
      </c>
      <c r="S464" s="758">
        <f>SUM(S423:S463)</f>
        <v>4776.3968213265252</v>
      </c>
      <c r="T464" s="231"/>
      <c r="U464" s="267"/>
      <c r="V464" s="268"/>
      <c r="W464" s="268"/>
      <c r="X464" s="268"/>
      <c r="Y464" s="269"/>
      <c r="Z464" s="268">
        <f>SUM(Z423:Z463)</f>
        <v>2291342.2427851004</v>
      </c>
      <c r="AA464" s="268">
        <f>SUM(AA423:AA463)</f>
        <v>505753.35436235962</v>
      </c>
      <c r="AB464" s="268">
        <f>SUM(AB423:AB463)</f>
        <v>1393204.9532976341</v>
      </c>
      <c r="AC464" s="269">
        <f>SUM(AC423:AC463)</f>
        <v>1353392.6352679513</v>
      </c>
      <c r="AD464" s="268"/>
      <c r="AE464" s="268"/>
      <c r="AF464" s="268"/>
      <c r="AG464" s="269"/>
      <c r="AH464" s="268"/>
      <c r="AI464" s="268"/>
      <c r="AJ464" s="268"/>
      <c r="AK464" s="268"/>
      <c r="AL464" s="269"/>
      <c r="AM464" s="348"/>
      <c r="AN464" s="267"/>
      <c r="AO464" s="268"/>
      <c r="AP464" s="268"/>
      <c r="AQ464" s="268"/>
      <c r="AR464" s="269"/>
      <c r="AS464" s="348"/>
      <c r="AT464" s="325"/>
      <c r="AU464" s="348"/>
      <c r="AV464" s="757"/>
      <c r="AW464" s="268"/>
      <c r="AX464" s="268"/>
      <c r="AY464" s="268"/>
      <c r="AZ464" s="269"/>
      <c r="BA464" s="267"/>
      <c r="BB464" s="268"/>
      <c r="BC464" s="343" t="str">
        <f t="shared" si="690"/>
        <v/>
      </c>
      <c r="BD464" s="348"/>
      <c r="BE464" s="371"/>
      <c r="BF464" s="369"/>
      <c r="BG464" s="269"/>
      <c r="BI464" s="198"/>
      <c r="BL464" s="198"/>
      <c r="BN464" s="199"/>
      <c r="BP464" s="301" t="s">
        <v>1450</v>
      </c>
      <c r="BQ464" s="302" t="str">
        <f t="shared" si="682"/>
        <v>N</v>
      </c>
      <c r="BR464" s="303" t="s">
        <v>1448</v>
      </c>
      <c r="BT464" s="301" t="str">
        <f t="shared" si="683"/>
        <v>N</v>
      </c>
      <c r="BU464" s="302" t="s">
        <v>1450</v>
      </c>
      <c r="BV464" s="302" t="s">
        <v>1450</v>
      </c>
      <c r="BW464" s="303" t="s">
        <v>1450</v>
      </c>
      <c r="BY464" s="358">
        <f t="shared" si="685"/>
        <v>0.85</v>
      </c>
      <c r="BZ464" s="359">
        <f t="shared" si="686"/>
        <v>0</v>
      </c>
      <c r="CA464" s="359">
        <f t="shared" si="687"/>
        <v>0</v>
      </c>
      <c r="CB464" s="360">
        <f t="shared" si="688"/>
        <v>0.85</v>
      </c>
      <c r="CD464" s="313">
        <f t="shared" si="689"/>
        <v>456</v>
      </c>
    </row>
    <row r="465" spans="1:82" s="197" customFormat="1" outlineLevel="1" x14ac:dyDescent="0.3">
      <c r="A465" s="196" t="s">
        <v>880</v>
      </c>
      <c r="B465" s="197">
        <f>M465/P465</f>
        <v>0.5491188947650032</v>
      </c>
      <c r="D465" s="197" t="s">
        <v>879</v>
      </c>
      <c r="E465" s="197">
        <f t="shared" ref="E465:K465" si="691">SUM(E406:E463)</f>
        <v>0</v>
      </c>
      <c r="F465" s="756">
        <f t="shared" si="691"/>
        <v>39117</v>
      </c>
      <c r="G465" s="756">
        <f t="shared" si="691"/>
        <v>499</v>
      </c>
      <c r="H465" s="756">
        <f t="shared" si="691"/>
        <v>0</v>
      </c>
      <c r="I465" s="756">
        <f t="shared" si="691"/>
        <v>1897</v>
      </c>
      <c r="J465" s="756">
        <f t="shared" si="691"/>
        <v>0</v>
      </c>
      <c r="K465" s="756">
        <f t="shared" si="691"/>
        <v>39616</v>
      </c>
      <c r="L465" s="757">
        <f>SUM(L406:L463)</f>
        <v>160007</v>
      </c>
      <c r="M465" s="758">
        <f>SUM(M406:M463)</f>
        <v>41513</v>
      </c>
      <c r="N465" s="768"/>
      <c r="O465" s="217">
        <f>SUM(O406:O463)</f>
        <v>127826.75149288011</v>
      </c>
      <c r="P465" s="218">
        <f>SUM(P406:P463)</f>
        <v>75599.292604501607</v>
      </c>
      <c r="Q465" s="750"/>
      <c r="R465" s="757">
        <f>SUM(R406:R463)</f>
        <v>160006.99999999997</v>
      </c>
      <c r="S465" s="758">
        <f>SUM(S406:S463)</f>
        <v>41512.999999999971</v>
      </c>
      <c r="T465" s="231"/>
      <c r="U465" s="267">
        <f>SUM(U406:U463)</f>
        <v>19914695.969151173</v>
      </c>
      <c r="V465" s="268">
        <f t="shared" ref="V465:AL465" si="692">SUM(V406:V463)</f>
        <v>4395643.7844319837</v>
      </c>
      <c r="W465" s="268">
        <f t="shared" si="692"/>
        <v>12108733.714922398</v>
      </c>
      <c r="X465" s="268">
        <f t="shared" si="692"/>
        <v>11762713.729525279</v>
      </c>
      <c r="Y465" s="269">
        <f t="shared" si="692"/>
        <v>48181787.198030829</v>
      </c>
      <c r="Z465" s="268">
        <f t="shared" si="692"/>
        <v>19914695.96915118</v>
      </c>
      <c r="AA465" s="268">
        <f t="shared" si="692"/>
        <v>4395643.7844319837</v>
      </c>
      <c r="AB465" s="268">
        <f t="shared" si="692"/>
        <v>12108733.714922402</v>
      </c>
      <c r="AC465" s="269">
        <f t="shared" si="692"/>
        <v>11762713.729525281</v>
      </c>
      <c r="AD465" s="268">
        <f t="shared" si="692"/>
        <v>19914695.96915118</v>
      </c>
      <c r="AE465" s="268">
        <f t="shared" si="692"/>
        <v>4263727.3196673142</v>
      </c>
      <c r="AF465" s="268">
        <f t="shared" si="692"/>
        <v>12108733.714922402</v>
      </c>
      <c r="AG465" s="269">
        <f t="shared" si="692"/>
        <v>11762713.729525281</v>
      </c>
      <c r="AH465" s="268">
        <f t="shared" si="692"/>
        <v>19914695.96915118</v>
      </c>
      <c r="AI465" s="268">
        <f t="shared" si="692"/>
        <v>4395643.7844319865</v>
      </c>
      <c r="AJ465" s="268">
        <f t="shared" si="692"/>
        <v>12108733.714922402</v>
      </c>
      <c r="AK465" s="268">
        <f t="shared" si="692"/>
        <v>11762713.729525281</v>
      </c>
      <c r="AL465" s="269">
        <f t="shared" si="692"/>
        <v>48181787.198030844</v>
      </c>
      <c r="AM465" s="348"/>
      <c r="AN465" s="267">
        <f t="shared" ref="AN465:AR465" si="693">SUM(AN406:AN463)</f>
        <v>19818164.189054757</v>
      </c>
      <c r="AO465" s="268">
        <f t="shared" ref="AO465" si="694">SUM(AO406:AO463)</f>
        <v>4421432.427845411</v>
      </c>
      <c r="AP465" s="268">
        <f t="shared" si="693"/>
        <v>12061350.395143535</v>
      </c>
      <c r="AQ465" s="268">
        <f t="shared" si="693"/>
        <v>11721668.165553354</v>
      </c>
      <c r="AR465" s="269">
        <f t="shared" si="693"/>
        <v>48022615.177597046</v>
      </c>
      <c r="AS465" s="348"/>
      <c r="AT465" s="325">
        <f t="shared" ref="AT465:BB465" si="695">SUM(AT406:AT463)</f>
        <v>44444534.638853177</v>
      </c>
      <c r="AU465" s="348"/>
      <c r="AV465" s="757">
        <f t="shared" si="695"/>
        <v>0</v>
      </c>
      <c r="AW465" s="268">
        <f t="shared" si="695"/>
        <v>1926229.7762573678</v>
      </c>
      <c r="AX465" s="268">
        <f t="shared" si="695"/>
        <v>46096385.40133968</v>
      </c>
      <c r="AY465" s="268">
        <f t="shared" si="695"/>
        <v>441175.52248247259</v>
      </c>
      <c r="AZ465" s="269">
        <f t="shared" si="695"/>
        <v>45655209.878857225</v>
      </c>
      <c r="BA465" s="267">
        <f t="shared" si="695"/>
        <v>456552.09878857236</v>
      </c>
      <c r="BB465" s="268">
        <f t="shared" si="695"/>
        <v>45198657.780068666</v>
      </c>
      <c r="BC465" s="343">
        <f t="shared" si="690"/>
        <v>1.0169677362434624</v>
      </c>
      <c r="BD465" s="348"/>
      <c r="BE465" s="371">
        <f t="shared" ref="BE465:BG465" si="696">SUM(BE406:BE463)</f>
        <v>0</v>
      </c>
      <c r="BF465" s="369">
        <f t="shared" si="696"/>
        <v>0</v>
      </c>
      <c r="BG465" s="269">
        <f t="shared" si="696"/>
        <v>45198657.780068666</v>
      </c>
      <c r="BI465" s="198"/>
      <c r="BL465" s="198"/>
      <c r="BN465" s="199"/>
      <c r="BP465" s="301" t="s">
        <v>1450</v>
      </c>
      <c r="BQ465" s="302" t="str">
        <f t="shared" si="682"/>
        <v>N</v>
      </c>
      <c r="BR465" s="303" t="s">
        <v>1448</v>
      </c>
      <c r="BT465" s="301" t="str">
        <f t="shared" si="683"/>
        <v>N</v>
      </c>
      <c r="BU465" s="302" t="s">
        <v>1450</v>
      </c>
      <c r="BV465" s="302" t="s">
        <v>1450</v>
      </c>
      <c r="BW465" s="303" t="s">
        <v>1450</v>
      </c>
      <c r="BY465" s="358">
        <f t="shared" si="685"/>
        <v>0.85</v>
      </c>
      <c r="BZ465" s="359">
        <f t="shared" si="686"/>
        <v>0</v>
      </c>
      <c r="CA465" s="359">
        <f t="shared" si="687"/>
        <v>0</v>
      </c>
      <c r="CB465" s="360">
        <f t="shared" si="688"/>
        <v>0.85</v>
      </c>
      <c r="CD465" s="313">
        <f t="shared" si="689"/>
        <v>457</v>
      </c>
    </row>
    <row r="466" spans="1:82" s="197" customFormat="1" outlineLevel="1" x14ac:dyDescent="0.3">
      <c r="A466" s="196"/>
      <c r="F466" s="756"/>
      <c r="G466" s="756"/>
      <c r="H466" s="756"/>
      <c r="I466" s="756"/>
      <c r="J466" s="756"/>
      <c r="K466" s="756"/>
      <c r="L466" s="757"/>
      <c r="M466" s="758"/>
      <c r="N466" s="768"/>
      <c r="O466" s="214"/>
      <c r="P466" s="216"/>
      <c r="Q466" s="750"/>
      <c r="R466" s="757"/>
      <c r="S466" s="758"/>
      <c r="T466" s="231"/>
      <c r="U466" s="267">
        <f>U465/$S465</f>
        <v>479.72191769207689</v>
      </c>
      <c r="V466" s="268">
        <f>V465/$S465</f>
        <v>105.88595824035812</v>
      </c>
      <c r="W466" s="268">
        <f>W465/$S465</f>
        <v>291.68534470942615</v>
      </c>
      <c r="X466" s="268">
        <f>X465/$S465</f>
        <v>283.35012476875409</v>
      </c>
      <c r="Y466" s="269" t="str">
        <f>IFERROR(VLOOKUP($B466,#REF!,12,FALSE),"")</f>
        <v/>
      </c>
      <c r="Z466" s="268"/>
      <c r="AA466" s="268"/>
      <c r="AB466" s="268"/>
      <c r="AC466" s="269"/>
      <c r="AD466" s="268">
        <f>(Z465-AD465)/COUNT(AD406:AD463)</f>
        <v>0</v>
      </c>
      <c r="AE466" s="268">
        <f>(AA465-AE465)/COUNT(AE406:AE463)</f>
        <v>2806.7332928653095</v>
      </c>
      <c r="AF466" s="268">
        <f>(AB465-AF465)/COUNT(AF406:AF463)</f>
        <v>0</v>
      </c>
      <c r="AG466" s="269">
        <f>(AC465-AG465)/COUNT(AG406:AG463)</f>
        <v>0</v>
      </c>
      <c r="AH466" s="268"/>
      <c r="AI466" s="268"/>
      <c r="AJ466" s="268"/>
      <c r="AK466" s="268"/>
      <c r="AL466" s="280"/>
      <c r="AM466" s="348"/>
      <c r="AN466" s="267"/>
      <c r="AO466" s="268"/>
      <c r="AP466" s="268"/>
      <c r="AQ466" s="268"/>
      <c r="AR466" s="280"/>
      <c r="AS466" s="348"/>
      <c r="AT466" s="325"/>
      <c r="AU466" s="348"/>
      <c r="AV466" s="757"/>
      <c r="AW466" s="268"/>
      <c r="AX466" s="268"/>
      <c r="AY466" s="268"/>
      <c r="AZ466" s="269"/>
      <c r="BA466" s="267"/>
      <c r="BB466" s="268"/>
      <c r="BC466" s="343" t="str">
        <f t="shared" si="690"/>
        <v/>
      </c>
      <c r="BD466" s="348"/>
      <c r="BE466" s="371"/>
      <c r="BF466" s="369"/>
      <c r="BG466" s="269"/>
      <c r="BI466" s="198"/>
      <c r="BL466" s="198"/>
      <c r="BN466" s="199"/>
      <c r="BP466" s="301" t="s">
        <v>1450</v>
      </c>
      <c r="BQ466" s="302" t="str">
        <f t="shared" si="682"/>
        <v>N</v>
      </c>
      <c r="BR466" s="303" t="s">
        <v>1448</v>
      </c>
      <c r="BT466" s="301" t="str">
        <f t="shared" si="683"/>
        <v>N</v>
      </c>
      <c r="BU466" s="302" t="s">
        <v>1450</v>
      </c>
      <c r="BV466" s="302" t="s">
        <v>1450</v>
      </c>
      <c r="BW466" s="303" t="s">
        <v>1450</v>
      </c>
      <c r="BY466" s="358">
        <f t="shared" si="685"/>
        <v>0.85</v>
      </c>
      <c r="BZ466" s="359">
        <f t="shared" si="686"/>
        <v>0</v>
      </c>
      <c r="CA466" s="359">
        <f t="shared" si="687"/>
        <v>0</v>
      </c>
      <c r="CB466" s="360">
        <f t="shared" si="688"/>
        <v>0.85</v>
      </c>
      <c r="CD466" s="313">
        <f t="shared" si="689"/>
        <v>458</v>
      </c>
    </row>
    <row r="467" spans="1:82" s="199" customFormat="1" outlineLevel="1" x14ac:dyDescent="0.3">
      <c r="A467" s="201"/>
      <c r="F467" s="759"/>
      <c r="G467" s="759"/>
      <c r="H467" s="759"/>
      <c r="I467" s="759"/>
      <c r="J467" s="759"/>
      <c r="K467" s="759"/>
      <c r="L467" s="509"/>
      <c r="M467" s="510"/>
      <c r="N467" s="511"/>
      <c r="O467" s="220"/>
      <c r="P467" s="222"/>
      <c r="Q467" s="751"/>
      <c r="R467" s="509"/>
      <c r="S467" s="510"/>
      <c r="T467" s="232"/>
      <c r="U467" s="270" t="str">
        <f>IFERROR(VLOOKUP($B467,#REF!,8,FALSE),"")</f>
        <v/>
      </c>
      <c r="V467" s="271" t="str">
        <f>IFERROR(VLOOKUP($B467,#REF!,9,FALSE),"")</f>
        <v/>
      </c>
      <c r="W467" s="271" t="str">
        <f>IFERROR(VLOOKUP($B467,#REF!,10,FALSE),"")</f>
        <v/>
      </c>
      <c r="X467" s="271" t="str">
        <f>IFERROR(VLOOKUP($B467,#REF!,11,FALSE),"")</f>
        <v/>
      </c>
      <c r="Y467" s="272" t="str">
        <f>IFERROR(VLOOKUP($B467,#REF!,12,FALSE),"")</f>
        <v/>
      </c>
      <c r="Z467" s="271"/>
      <c r="AA467" s="271"/>
      <c r="AB467" s="271"/>
      <c r="AC467" s="272"/>
      <c r="AD467" s="271"/>
      <c r="AE467" s="271"/>
      <c r="AF467" s="271"/>
      <c r="AG467" s="272"/>
      <c r="AH467" s="271"/>
      <c r="AI467" s="271"/>
      <c r="AJ467" s="271"/>
      <c r="AK467" s="271"/>
      <c r="AL467" s="272"/>
      <c r="AM467" s="349"/>
      <c r="AN467" s="270"/>
      <c r="AO467" s="271"/>
      <c r="AP467" s="271"/>
      <c r="AQ467" s="271"/>
      <c r="AR467" s="272"/>
      <c r="AS467" s="349"/>
      <c r="AT467" s="326"/>
      <c r="AU467" s="349"/>
      <c r="AV467" s="509"/>
      <c r="AW467" s="271"/>
      <c r="AX467" s="271"/>
      <c r="AY467" s="271"/>
      <c r="AZ467" s="272"/>
      <c r="BA467" s="270"/>
      <c r="BB467" s="271"/>
      <c r="BC467" s="344" t="str">
        <f t="shared" si="690"/>
        <v/>
      </c>
      <c r="BD467" s="349"/>
      <c r="BE467" s="378">
        <f>'Original Title I &amp; II'!AZ464</f>
        <v>0</v>
      </c>
      <c r="BF467" s="245"/>
      <c r="BG467" s="272">
        <f t="shared" ref="BG467:BG498" si="697">IF(BF467&lt;0,BB467+BF467,BB467)</f>
        <v>0</v>
      </c>
      <c r="BI467" s="200"/>
      <c r="BL467" s="200"/>
      <c r="BP467" s="304" t="s">
        <v>1450</v>
      </c>
      <c r="BQ467" s="305" t="str">
        <f t="shared" si="682"/>
        <v>N</v>
      </c>
      <c r="BR467" s="306" t="s">
        <v>1448</v>
      </c>
      <c r="BT467" s="304" t="str">
        <f t="shared" si="683"/>
        <v>N</v>
      </c>
      <c r="BU467" s="305" t="s">
        <v>1450</v>
      </c>
      <c r="BV467" s="305" t="s">
        <v>1450</v>
      </c>
      <c r="BW467" s="306" t="s">
        <v>1450</v>
      </c>
      <c r="BY467" s="361">
        <f t="shared" si="685"/>
        <v>0.85</v>
      </c>
      <c r="BZ467" s="362">
        <f t="shared" si="686"/>
        <v>0</v>
      </c>
      <c r="CA467" s="362">
        <f t="shared" si="687"/>
        <v>0</v>
      </c>
      <c r="CB467" s="363">
        <f t="shared" si="688"/>
        <v>0.85</v>
      </c>
      <c r="CD467" s="314">
        <f t="shared" si="689"/>
        <v>459</v>
      </c>
    </row>
    <row r="468" spans="1:82" outlineLevel="1" x14ac:dyDescent="0.3">
      <c r="A468" s="1">
        <v>110433000</v>
      </c>
      <c r="B468" s="47">
        <f>VLOOKUP(C468,'NCES ID'!$A$2:$B$3136,2,FALSE)</f>
        <v>406360</v>
      </c>
      <c r="C468" s="47">
        <f>VLOOKUP(A468,'State ID'!$A$2:$B$713,2,FALSE)</f>
        <v>4452</v>
      </c>
      <c r="D468" s="147" t="s">
        <v>340</v>
      </c>
      <c r="E468" s="47" t="s">
        <v>20</v>
      </c>
      <c r="F468" s="382">
        <f>IFERROR(VLOOKUP($B468,'update_Formula counts'!$D$7:$R$234,'update_Formula counts'!F$5,0),0)</f>
        <v>32</v>
      </c>
      <c r="G468" s="382">
        <f>IFERROR(VLOOKUP($B468,'update_Formula counts'!$D$7:$R$234,'update_Formula counts'!G$5,0),0)</f>
        <v>0</v>
      </c>
      <c r="H468" s="382">
        <f>IFERROR(VLOOKUP($B468,'update_Formula counts'!$D$7:$R$234,'update_Formula counts'!H$5,0),0)</f>
        <v>0</v>
      </c>
      <c r="I468" s="382">
        <f>IFERROR(VLOOKUP($B468,'update_Formula counts'!$D$7:$R$234,'update_Formula counts'!I$5,0),0)</f>
        <v>2</v>
      </c>
      <c r="J468" s="382">
        <f>IFERROR(VLOOKUP($B468,'update_Formula counts'!$D$7:$R$234,'update_Formula counts'!J$5,0),0)</f>
        <v>0</v>
      </c>
      <c r="K468" s="382">
        <f t="shared" ref="K468:K485" si="698">M468-I468</f>
        <v>32</v>
      </c>
      <c r="L468" s="444">
        <f>IFERROR(VLOOKUP($B468,'update_Formula counts'!$D$7:$R$234,'update_Formula counts'!L$5,0),0)</f>
        <v>134</v>
      </c>
      <c r="M468" s="445">
        <f>IFERROR(VLOOKUP($B468,'update_Formula counts'!$D$7:$R$234,'update_Formula counts'!K$5,0),0)</f>
        <v>34</v>
      </c>
      <c r="N468" s="446">
        <f>IFERROR(VLOOKUP($B468,'update_Formula counts'!$D$7:$R$234,'update_Formula counts'!M$5,0),0)</f>
        <v>0.2537313432835821</v>
      </c>
      <c r="O468" s="137">
        <f>VLOOKUP($C468,'Final SEA Counts'!$A$2:$F$709,5,FALSE)</f>
        <v>174</v>
      </c>
      <c r="P468" s="208">
        <f>VLOOKUP($C468,'Final SEA Counts'!$A$2:$F$709,6,FALSE)</f>
        <v>150</v>
      </c>
      <c r="Q468" s="748">
        <f t="shared" ref="Q468:Q485" si="699">-F468/($F$500-$F$501)*$S$499+(M468/($M$500-$M$501)*$M$501)</f>
        <v>-3.3985348271314511</v>
      </c>
      <c r="R468" s="444">
        <f t="shared" ref="R468:R485" si="700">L468-(L468/L$500)*R$499</f>
        <v>118.19574428021605</v>
      </c>
      <c r="S468" s="445">
        <f t="shared" ref="S468:S485" si="701">Q468+K468+I468</f>
        <v>30.601465172868551</v>
      </c>
      <c r="T468" s="229">
        <f t="shared" ref="T468:T498" si="702">S468/R468</f>
        <v>0.25890496615782732</v>
      </c>
      <c r="U468" s="261">
        <f>VLOOKUP($B468,update_Allocation!$D$8:$Q$235,update_Allocation!K$239,0)</f>
        <v>16078.261486331541</v>
      </c>
      <c r="V468" s="262">
        <f>VLOOKUP($B468,update_Allocation!$D$8:$Q$235,update_Allocation!L$239,0)</f>
        <v>3883.3929048614332</v>
      </c>
      <c r="W468" s="262">
        <f>VLOOKUP($B468,update_Allocation!$D$8:$Q$235,update_Allocation!M$239,0)</f>
        <v>6725.018276118356</v>
      </c>
      <c r="X468" s="262">
        <f>VLOOKUP($B468,update_Allocation!$D$8:$Q$235,update_Allocation!N$239,0)</f>
        <v>5216.9825843931831</v>
      </c>
      <c r="Y468" s="263">
        <f>VLOOKUP($B468,update_Allocation!$D$8:$Q$235,update_Allocation!O$239,0)</f>
        <v>31903.655251704513</v>
      </c>
      <c r="Z468" s="262">
        <f t="shared" ref="Z468:Z485" si="703">IF(U468=0,"",U468-(U468/U$500)*Z$499)</f>
        <v>14459.438736443026</v>
      </c>
      <c r="AA468" s="262">
        <f t="shared" ref="AA468:AA485" si="704">IF(V468=0,"",V468-(V468/V$500)*AA$499)</f>
        <v>3492.3975981555654</v>
      </c>
      <c r="AB468" s="262">
        <f t="shared" ref="AB468:AB485" si="705">IF(W468=0,"",W468-(W468/W$500)*AB$499)</f>
        <v>6047.9169248278959</v>
      </c>
      <c r="AC468" s="263">
        <f t="shared" ref="AC468:AC485" si="706">IF(X468=0,"",X468-(X468/X$500)*AC$499)</f>
        <v>4691.7162114978637</v>
      </c>
      <c r="AD468" s="262">
        <f t="shared" ref="AD468:AD498" si="707">IF(BT468="Y",Z468,"")</f>
        <v>14459.438736443026</v>
      </c>
      <c r="AE468" s="262">
        <f t="shared" ref="AE468:AE498" si="708">IF(BU468="Y",AA468,"")</f>
        <v>3492.3975981555654</v>
      </c>
      <c r="AF468" s="262">
        <f t="shared" ref="AF468:AF498" si="709">IF(BV468="Y",AB468,"")</f>
        <v>6047.9169248278959</v>
      </c>
      <c r="AG468" s="263">
        <f t="shared" ref="AG468:AG498" si="710">IF(BW468="Y",AC468,"")</f>
        <v>4691.7162114978637</v>
      </c>
      <c r="AH468" s="262">
        <f t="shared" ref="AH468:AK498" si="711">IF(AD468="","",AD468+AD$501)</f>
        <v>14459.438736443026</v>
      </c>
      <c r="AI468" s="262">
        <f t="shared" si="711"/>
        <v>4905.2010105010695</v>
      </c>
      <c r="AJ468" s="262">
        <f t="shared" si="711"/>
        <v>6047.9169248278959</v>
      </c>
      <c r="AK468" s="262">
        <f t="shared" si="711"/>
        <v>4691.7162114978637</v>
      </c>
      <c r="AL468" s="263">
        <f t="shared" ref="AL468:AL498" si="712">SUM(AH468:AK468)</f>
        <v>30104.272883269856</v>
      </c>
      <c r="AM468" s="346"/>
      <c r="AN468" s="261">
        <f>IFERROR(VLOOKUP($A468,'HH &amp; SI'!$B$4:$Z$494,'HH &amp; SI'!V$503,0),0)</f>
        <v>15269.378690010817</v>
      </c>
      <c r="AO468" s="262">
        <f>IFERROR(VLOOKUP($A468,'HH &amp; SI'!$B$4:$Z$494,'HH &amp; SI'!W$503,0),0)</f>
        <v>4743.64162309733</v>
      </c>
      <c r="AP468" s="262">
        <f>IFERROR(VLOOKUP($A468,'HH &amp; SI'!$B$4:$Z$494,'HH &amp; SI'!X$503,0),0)</f>
        <v>5992.9134817164668</v>
      </c>
      <c r="AQ468" s="262">
        <f>IFERROR(VLOOKUP($A468,'HH &amp; SI'!$B$4:$Z$494,'HH &amp; SI'!Y$503,0),0)</f>
        <v>4640.021944367747</v>
      </c>
      <c r="AR468" s="263">
        <f t="shared" ref="AR468:AR498" si="713">SUM(AN468:AQ468)</f>
        <v>30645.955739192359</v>
      </c>
      <c r="AS468" s="346"/>
      <c r="AT468" s="323">
        <f>IFERROR(VLOOKUP(A468,'Afton FY16 Final'!$A$5:$BV$572,'Afton FY16 Final'!$BV$587,0),0)</f>
        <v>31559.692503708131</v>
      </c>
      <c r="AU468" s="346"/>
      <c r="AV468" s="444">
        <v>0</v>
      </c>
      <c r="AW468" s="262">
        <f>IFERROR(VLOOKUP($A468,'HH &amp; SI'!$B$4:$EY$503,'HH &amp; SI'!EX$503,0),0)</f>
        <v>0</v>
      </c>
      <c r="AX468" s="262">
        <f>IFERROR(VLOOKUP($A468,'HH &amp; SI'!$B$4:$EY$503,'HH &amp; SI'!EY$503,0),0)</f>
        <v>30645.955739192359</v>
      </c>
      <c r="AY468" s="262">
        <f>AX468/$AX$582*'update_State Admin 1004(b)'!$B$30*0.01</f>
        <v>293.30381151360262</v>
      </c>
      <c r="AZ468" s="263">
        <f t="shared" ref="AZ468:AZ497" si="714">AX468-AY468</f>
        <v>30352.651927678755</v>
      </c>
      <c r="BA468" s="261">
        <f t="shared" ref="BA468:BA497" si="715">AZ468*0.01</f>
        <v>303.52651927678755</v>
      </c>
      <c r="BB468" s="262">
        <f t="shared" ref="BB468:BB497" si="716">AZ468-BA468</f>
        <v>30049.125408401967</v>
      </c>
      <c r="BC468" s="341">
        <f t="shared" si="690"/>
        <v>0.95213619096166169</v>
      </c>
      <c r="BD468" s="346"/>
      <c r="BE468" s="376" t="str">
        <f>'Original Title I &amp; II'!AZ465</f>
        <v/>
      </c>
      <c r="BF468" s="243" t="str">
        <f t="shared" ref="BF468:BF494" si="717">IF(BE468&lt;0,BB468*BE468/100,"")</f>
        <v/>
      </c>
      <c r="BG468" s="263">
        <f t="shared" si="697"/>
        <v>30049.125408401967</v>
      </c>
      <c r="BI468" s="31">
        <f>IFERROR(VLOOKUP(A468,'Title II Hold Harmless'!A$1:B$439,2, FALSE),"")</f>
        <v>7612</v>
      </c>
      <c r="BJ468" s="31">
        <f t="shared" ref="BJ468:BJ497" si="718">IFERROR($BI$587*(0.8*($S468/$S$584)+0.2*($R468/$R$584))+$BI468,$BI$587*(0.8*($S468/$S$584)+0.2*($R468/$R$584)))</f>
        <v>8107.7243874646956</v>
      </c>
      <c r="BK468" s="31">
        <f t="shared" ref="BK468:BK497" si="719">$BI$588*BJ468</f>
        <v>8115.5677340344764</v>
      </c>
      <c r="BL468" s="31" t="str">
        <f t="shared" ref="BL468:BL497" si="720">IF(BE468&lt;0,BK468*BE468/100,"")</f>
        <v/>
      </c>
      <c r="BM468" s="31">
        <f t="shared" ref="BM468:BM497" si="721">IF(BL468&lt;0,BK468+BL468,BK468)</f>
        <v>8115.5677340344764</v>
      </c>
      <c r="BN468" s="200"/>
      <c r="BP468" s="295" t="s">
        <v>1447</v>
      </c>
      <c r="BQ468" s="296" t="str">
        <f t="shared" si="682"/>
        <v>Y</v>
      </c>
      <c r="BR468" s="297" t="s">
        <v>1448</v>
      </c>
      <c r="BT468" s="295" t="str">
        <f t="shared" si="683"/>
        <v>Y</v>
      </c>
      <c r="BU468" s="296" t="str">
        <f t="shared" ref="BU468:BU498" si="722">IF(AND(BT468="Y",(OR(T468&gt;0.15,S468&gt;6500))),"Y","N")</f>
        <v>Y</v>
      </c>
      <c r="BV468" s="296" t="str">
        <f t="shared" ref="BV468:BV498" si="723">IF(AND(BT468="Y",T468&gt;=0.05),"Y","N")</f>
        <v>Y</v>
      </c>
      <c r="BW468" s="297" t="str">
        <f t="shared" si="684"/>
        <v>Y</v>
      </c>
      <c r="BY468" s="352">
        <f t="shared" si="685"/>
        <v>0</v>
      </c>
      <c r="BZ468" s="353">
        <f t="shared" si="686"/>
        <v>0.9</v>
      </c>
      <c r="CA468" s="353">
        <f t="shared" si="687"/>
        <v>0</v>
      </c>
      <c r="CB468" s="354">
        <f t="shared" si="688"/>
        <v>0.9</v>
      </c>
      <c r="CD468" s="311">
        <f t="shared" si="689"/>
        <v>460</v>
      </c>
    </row>
    <row r="469" spans="1:82" outlineLevel="1" x14ac:dyDescent="0.3">
      <c r="A469" s="1">
        <v>110215000</v>
      </c>
      <c r="B469" s="47">
        <f>VLOOKUP(C469,'NCES ID'!$A$2:$B$3136,2,FALSE)</f>
        <v>408230</v>
      </c>
      <c r="C469" s="47">
        <f>VLOOKUP(A469,'State ID'!$A$2:$B$713,2,FALSE)</f>
        <v>4440</v>
      </c>
      <c r="D469" s="147" t="s">
        <v>404</v>
      </c>
      <c r="E469" s="47" t="s">
        <v>20</v>
      </c>
      <c r="F469" s="382">
        <f>IFERROR(VLOOKUP($B469,'update_Formula counts'!$D$7:$R$234,'update_Formula counts'!F$5,0),0)</f>
        <v>132</v>
      </c>
      <c r="G469" s="382">
        <f>IFERROR(VLOOKUP($B469,'update_Formula counts'!$D$7:$R$234,'update_Formula counts'!G$5,0),0)</f>
        <v>0</v>
      </c>
      <c r="H469" s="382">
        <f>IFERROR(VLOOKUP($B469,'update_Formula counts'!$D$7:$R$234,'update_Formula counts'!H$5,0),0)</f>
        <v>0</v>
      </c>
      <c r="I469" s="382">
        <f>IFERROR(VLOOKUP($B469,'update_Formula counts'!$D$7:$R$234,'update_Formula counts'!I$5,0),0)</f>
        <v>7</v>
      </c>
      <c r="J469" s="382">
        <f>IFERROR(VLOOKUP($B469,'update_Formula counts'!$D$7:$R$234,'update_Formula counts'!J$5,0),0)</f>
        <v>0</v>
      </c>
      <c r="K469" s="382">
        <f t="shared" si="698"/>
        <v>132</v>
      </c>
      <c r="L469" s="444">
        <f>IFERROR(VLOOKUP($B469,'update_Formula counts'!$D$7:$R$234,'update_Formula counts'!L$5,0),0)</f>
        <v>587</v>
      </c>
      <c r="M469" s="445">
        <f>IFERROR(VLOOKUP($B469,'update_Formula counts'!$D$7:$R$234,'update_Formula counts'!K$5,0),0)</f>
        <v>139</v>
      </c>
      <c r="N469" s="446">
        <f>IFERROR(VLOOKUP($B469,'update_Formula counts'!$D$7:$R$234,'update_Formula counts'!M$5,0),0)</f>
        <v>0.23679727427597955</v>
      </c>
      <c r="O469" s="137">
        <f>VLOOKUP($C469,'Final SEA Counts'!$A$2:$F$709,5,FALSE)</f>
        <v>332</v>
      </c>
      <c r="P469" s="208">
        <f>VLOOKUP($C469,'Final SEA Counts'!$A$2:$F$709,6,FALSE)</f>
        <v>304</v>
      </c>
      <c r="Q469" s="748">
        <f t="shared" si="699"/>
        <v>-14.018956161917233</v>
      </c>
      <c r="R469" s="444">
        <f t="shared" si="700"/>
        <v>517.76792457079716</v>
      </c>
      <c r="S469" s="445">
        <f t="shared" si="701"/>
        <v>124.98104383808277</v>
      </c>
      <c r="T469" s="229">
        <f t="shared" si="702"/>
        <v>0.24138429189426053</v>
      </c>
      <c r="U469" s="261">
        <f>VLOOKUP($B469,update_Allocation!$D$8:$Q$235,update_Allocation!K$239,0)</f>
        <v>122383.52624339383</v>
      </c>
      <c r="V469" s="262">
        <f>VLOOKUP($B469,update_Allocation!$D$8:$Q$235,update_Allocation!L$239,0)</f>
        <v>29848.823896189835</v>
      </c>
      <c r="W469" s="262">
        <f>VLOOKUP($B469,update_Allocation!$D$8:$Q$235,update_Allocation!M$239,0)</f>
        <v>48185.696075899381</v>
      </c>
      <c r="X469" s="262">
        <f>VLOOKUP($B469,update_Allocation!$D$8:$Q$235,update_Allocation!N$239,0)</f>
        <v>42498.906040259288</v>
      </c>
      <c r="Y469" s="263">
        <f>VLOOKUP($B469,update_Allocation!$D$8:$Q$235,update_Allocation!O$239,0)</f>
        <v>242916.95225574233</v>
      </c>
      <c r="Z469" s="262">
        <f t="shared" si="703"/>
        <v>110061.47036298613</v>
      </c>
      <c r="AA469" s="262">
        <f t="shared" si="704"/>
        <v>26843.526636803559</v>
      </c>
      <c r="AB469" s="262">
        <f t="shared" si="705"/>
        <v>43334.17023815924</v>
      </c>
      <c r="AC469" s="263">
        <f t="shared" si="706"/>
        <v>38219.948641672818</v>
      </c>
      <c r="AD469" s="262">
        <f t="shared" si="707"/>
        <v>110061.47036298613</v>
      </c>
      <c r="AE469" s="262">
        <f t="shared" si="708"/>
        <v>26843.526636803559</v>
      </c>
      <c r="AF469" s="262">
        <f t="shared" si="709"/>
        <v>43334.17023815924</v>
      </c>
      <c r="AG469" s="263">
        <f t="shared" si="710"/>
        <v>38219.948641672818</v>
      </c>
      <c r="AH469" s="262">
        <f t="shared" si="711"/>
        <v>110061.47036298613</v>
      </c>
      <c r="AI469" s="262">
        <f t="shared" si="711"/>
        <v>28256.330049149063</v>
      </c>
      <c r="AJ469" s="262">
        <f t="shared" si="711"/>
        <v>43334.17023815924</v>
      </c>
      <c r="AK469" s="262">
        <f t="shared" si="711"/>
        <v>38219.948641672818</v>
      </c>
      <c r="AL469" s="263">
        <f t="shared" si="712"/>
        <v>219871.91929196726</v>
      </c>
      <c r="AM469" s="346"/>
      <c r="AN469" s="261">
        <f>IFERROR(VLOOKUP($A469,'HH &amp; SI'!$B$4:$Z$494,'HH &amp; SI'!V$503,0),0)</f>
        <v>117364.63620557336</v>
      </c>
      <c r="AO469" s="262">
        <f>IFERROR(VLOOKUP($A469,'HH &amp; SI'!$B$4:$Z$494,'HH &amp; SI'!W$503,0),0)</f>
        <v>28733.980667363667</v>
      </c>
      <c r="AP469" s="262">
        <f>IFERROR(VLOOKUP($A469,'HH &amp; SI'!$B$4:$Z$494,'HH &amp; SI'!X$503,0),0)</f>
        <v>46106.885632906546</v>
      </c>
      <c r="AQ469" s="262">
        <f>IFERROR(VLOOKUP($A469,'HH &amp; SI'!$B$4:$Z$494,'HH &amp; SI'!Y$503,0),0)</f>
        <v>40716.212372269722</v>
      </c>
      <c r="AR469" s="263">
        <f t="shared" si="713"/>
        <v>232921.7148781133</v>
      </c>
      <c r="AS469" s="346"/>
      <c r="AT469" s="323">
        <f>IFERROR(VLOOKUP(A469,'Afton FY16 Final'!$A$5:$BV$572,'Afton FY16 Final'!$BV$587,0),0)</f>
        <v>253706.09594526346</v>
      </c>
      <c r="AU469" s="346"/>
      <c r="AV469" s="444">
        <v>0</v>
      </c>
      <c r="AW469" s="262">
        <f>IFERROR(VLOOKUP($A469,'HH &amp; SI'!$B$4:$EY$503,'HH &amp; SI'!EX$503,0),0)</f>
        <v>0</v>
      </c>
      <c r="AX469" s="262">
        <f>IFERROR(VLOOKUP($A469,'HH &amp; SI'!$B$4:$EY$503,'HH &amp; SI'!EY$503,0),0)</f>
        <v>232921.7148781133</v>
      </c>
      <c r="AY469" s="262">
        <f>AX469/$AX$582*'update_State Admin 1004(b)'!$B$30*0.01</f>
        <v>2229.2281350085786</v>
      </c>
      <c r="AZ469" s="263">
        <f t="shared" si="714"/>
        <v>230692.48674310473</v>
      </c>
      <c r="BA469" s="261">
        <f t="shared" si="715"/>
        <v>2306.9248674310475</v>
      </c>
      <c r="BB469" s="262">
        <f t="shared" si="716"/>
        <v>228385.56187567368</v>
      </c>
      <c r="BC469" s="341">
        <f t="shared" si="690"/>
        <v>0.90019737612038842</v>
      </c>
      <c r="BD469" s="346"/>
      <c r="BE469" s="376" t="str">
        <f>'Original Title I &amp; II'!AZ466</f>
        <v/>
      </c>
      <c r="BF469" s="243" t="str">
        <f t="shared" si="717"/>
        <v/>
      </c>
      <c r="BG469" s="263">
        <f t="shared" si="697"/>
        <v>228385.56187567368</v>
      </c>
      <c r="BI469" s="31">
        <f>IFERROR(VLOOKUP(A469,'Title II Hold Harmless'!A$1:B$439,2, FALSE),"")</f>
        <v>25855</v>
      </c>
      <c r="BJ469" s="31">
        <f t="shared" si="718"/>
        <v>27907.81286719094</v>
      </c>
      <c r="BK469" s="31">
        <f t="shared" si="719"/>
        <v>27934.810658169183</v>
      </c>
      <c r="BL469" s="31" t="str">
        <f t="shared" si="720"/>
        <v/>
      </c>
      <c r="BM469" s="31">
        <f t="shared" si="721"/>
        <v>27934.810658169183</v>
      </c>
      <c r="BN469" s="200"/>
      <c r="BP469" s="295" t="s">
        <v>1447</v>
      </c>
      <c r="BQ469" s="296" t="str">
        <f t="shared" si="682"/>
        <v>Y</v>
      </c>
      <c r="BR469" s="297" t="s">
        <v>1448</v>
      </c>
      <c r="BT469" s="295" t="str">
        <f t="shared" si="683"/>
        <v>Y</v>
      </c>
      <c r="BU469" s="296" t="str">
        <f t="shared" si="722"/>
        <v>Y</v>
      </c>
      <c r="BV469" s="296" t="str">
        <f t="shared" si="723"/>
        <v>Y</v>
      </c>
      <c r="BW469" s="297" t="str">
        <f t="shared" si="684"/>
        <v>Y</v>
      </c>
      <c r="BY469" s="352">
        <f t="shared" si="685"/>
        <v>0</v>
      </c>
      <c r="BZ469" s="353">
        <f t="shared" si="686"/>
        <v>0.9</v>
      </c>
      <c r="CA469" s="353">
        <f t="shared" si="687"/>
        <v>0</v>
      </c>
      <c r="CB469" s="354">
        <f t="shared" si="688"/>
        <v>0.9</v>
      </c>
      <c r="CD469" s="311">
        <f t="shared" si="689"/>
        <v>461</v>
      </c>
    </row>
    <row r="470" spans="1:82" outlineLevel="1" x14ac:dyDescent="0.3">
      <c r="A470" s="1">
        <v>110540000</v>
      </c>
      <c r="B470" s="47">
        <f>VLOOKUP(C470,'NCES ID'!$A$2:$B$3136,2,FALSE)</f>
        <v>407530</v>
      </c>
      <c r="C470" s="47">
        <f>VLOOKUP(A470,'State ID'!$A$2:$B$713,2,FALSE)</f>
        <v>4454</v>
      </c>
      <c r="D470" s="147" t="s">
        <v>377</v>
      </c>
      <c r="E470" s="47" t="s">
        <v>20</v>
      </c>
      <c r="F470" s="382">
        <f>IFERROR(VLOOKUP($B470,'update_Formula counts'!$D$7:$R$234,'update_Formula counts'!F$5,0),0)</f>
        <v>170</v>
      </c>
      <c r="G470" s="382">
        <f>IFERROR(VLOOKUP($B470,'update_Formula counts'!$D$7:$R$234,'update_Formula counts'!G$5,0),0)</f>
        <v>0</v>
      </c>
      <c r="H470" s="382">
        <f>IFERROR(VLOOKUP($B470,'update_Formula counts'!$D$7:$R$234,'update_Formula counts'!H$5,0),0)</f>
        <v>0</v>
      </c>
      <c r="I470" s="382">
        <f>IFERROR(VLOOKUP($B470,'update_Formula counts'!$D$7:$R$234,'update_Formula counts'!I$5,0),0)</f>
        <v>9</v>
      </c>
      <c r="J470" s="382">
        <f>IFERROR(VLOOKUP($B470,'update_Formula counts'!$D$7:$R$234,'update_Formula counts'!J$5,0),0)</f>
        <v>0</v>
      </c>
      <c r="K470" s="382">
        <f t="shared" si="698"/>
        <v>170</v>
      </c>
      <c r="L470" s="444">
        <f>IFERROR(VLOOKUP($B470,'update_Formula counts'!$D$7:$R$234,'update_Formula counts'!L$5,0),0)</f>
        <v>729</v>
      </c>
      <c r="M470" s="445">
        <f>IFERROR(VLOOKUP($B470,'update_Formula counts'!$D$7:$R$234,'update_Formula counts'!K$5,0),0)</f>
        <v>179</v>
      </c>
      <c r="N470" s="446">
        <f>IFERROR(VLOOKUP($B470,'update_Formula counts'!$D$7:$R$234,'update_Formula counts'!M$5,0),0)</f>
        <v>0.24554183813443073</v>
      </c>
      <c r="O470" s="137">
        <f>VLOOKUP($C470,'Final SEA Counts'!$A$2:$F$709,5,FALSE)</f>
        <v>361</v>
      </c>
      <c r="P470" s="208">
        <f>VLOOKUP($C470,'Final SEA Counts'!$A$2:$F$709,6,FALSE)</f>
        <v>315</v>
      </c>
      <c r="Q470" s="748">
        <f t="shared" si="699"/>
        <v>-18.054716269135831</v>
      </c>
      <c r="R470" s="444">
        <f t="shared" si="700"/>
        <v>643.02013119610069</v>
      </c>
      <c r="S470" s="445">
        <f t="shared" si="701"/>
        <v>160.94528373086416</v>
      </c>
      <c r="T470" s="229">
        <f t="shared" si="702"/>
        <v>0.2502958708796334</v>
      </c>
      <c r="U470" s="261">
        <f>VLOOKUP($B470,update_Allocation!$D$8:$Q$235,update_Allocation!K$239,0)</f>
        <v>93395.284591311007</v>
      </c>
      <c r="V470" s="262">
        <f>VLOOKUP($B470,update_Allocation!$D$8:$Q$235,update_Allocation!L$239,0)</f>
        <v>22388.471931773114</v>
      </c>
      <c r="W470" s="262">
        <f>VLOOKUP($B470,update_Allocation!$D$8:$Q$235,update_Allocation!M$239,0)</f>
        <v>41798.92222851111</v>
      </c>
      <c r="X470" s="262">
        <f>VLOOKUP($B470,update_Allocation!$D$8:$Q$235,update_Allocation!N$239,0)</f>
        <v>31234.152928806772</v>
      </c>
      <c r="Y470" s="263">
        <f>VLOOKUP($B470,update_Allocation!$D$8:$Q$235,update_Allocation!O$239,0)</f>
        <v>188816.83168040201</v>
      </c>
      <c r="Z470" s="262">
        <f t="shared" si="703"/>
        <v>83991.879157380434</v>
      </c>
      <c r="AA470" s="262">
        <f t="shared" si="704"/>
        <v>20134.312318234941</v>
      </c>
      <c r="AB470" s="262">
        <f t="shared" si="705"/>
        <v>37590.441959555537</v>
      </c>
      <c r="AC470" s="263">
        <f t="shared" si="706"/>
        <v>28089.375281196444</v>
      </c>
      <c r="AD470" s="262">
        <f t="shared" si="707"/>
        <v>83991.879157380434</v>
      </c>
      <c r="AE470" s="262">
        <f t="shared" si="708"/>
        <v>20134.312318234941</v>
      </c>
      <c r="AF470" s="262">
        <f t="shared" si="709"/>
        <v>37590.441959555537</v>
      </c>
      <c r="AG470" s="263">
        <f t="shared" si="710"/>
        <v>28089.375281196444</v>
      </c>
      <c r="AH470" s="262">
        <f t="shared" si="711"/>
        <v>83991.879157380434</v>
      </c>
      <c r="AI470" s="262">
        <f t="shared" si="711"/>
        <v>21547.115730580445</v>
      </c>
      <c r="AJ470" s="262">
        <f t="shared" si="711"/>
        <v>37590.441959555537</v>
      </c>
      <c r="AK470" s="262">
        <f t="shared" si="711"/>
        <v>28089.375281196444</v>
      </c>
      <c r="AL470" s="263">
        <f t="shared" si="712"/>
        <v>171218.81212871283</v>
      </c>
      <c r="AM470" s="346"/>
      <c r="AN470" s="261">
        <f>IFERROR(VLOOKUP($A470,'HH &amp; SI'!$B$4:$Z$494,'HH &amp; SI'!V$503,0),0)</f>
        <v>88038.844058931718</v>
      </c>
      <c r="AO470" s="262">
        <f>IFERROR(VLOOKUP($A470,'HH &amp; SI'!$B$4:$Z$494,'HH &amp; SI'!W$503,0),0)</f>
        <v>21585.559813616062</v>
      </c>
      <c r="AP470" s="262">
        <f>IFERROR(VLOOKUP($A470,'HH &amp; SI'!$B$4:$Z$494,'HH &amp; SI'!X$503,0),0)</f>
        <v>38085.3956477803</v>
      </c>
      <c r="AQ470" s="262">
        <f>IFERROR(VLOOKUP($A470,'HH &amp; SI'!$B$4:$Z$494,'HH &amp; SI'!Y$503,0),0)</f>
        <v>29503.708953003839</v>
      </c>
      <c r="AR470" s="263">
        <f t="shared" si="713"/>
        <v>177213.50847333192</v>
      </c>
      <c r="AS470" s="346"/>
      <c r="AT470" s="323">
        <f>IFERROR(VLOOKUP(A470,'Afton FY16 Final'!$A$5:$BV$572,'Afton FY16 Final'!$BV$587,0),0)</f>
        <v>193026.86057871123</v>
      </c>
      <c r="AU470" s="346"/>
      <c r="AV470" s="444">
        <v>0</v>
      </c>
      <c r="AW470" s="262">
        <f>IFERROR(VLOOKUP($A470,'HH &amp; SI'!$B$4:$EY$503,'HH &amp; SI'!EX$503,0),0)</f>
        <v>0</v>
      </c>
      <c r="AX470" s="262">
        <f>IFERROR(VLOOKUP($A470,'HH &amp; SI'!$B$4:$EY$503,'HH &amp; SI'!EY$503,0),0)</f>
        <v>177213.50847333192</v>
      </c>
      <c r="AY470" s="262">
        <f>AX470/$AX$582*'update_State Admin 1004(b)'!$B$30*0.01</f>
        <v>1696.060580693646</v>
      </c>
      <c r="AZ470" s="263">
        <f t="shared" si="714"/>
        <v>175517.44789263827</v>
      </c>
      <c r="BA470" s="261">
        <f t="shared" si="715"/>
        <v>1755.1744789263828</v>
      </c>
      <c r="BB470" s="262">
        <f t="shared" si="716"/>
        <v>173762.2734137119</v>
      </c>
      <c r="BC470" s="341">
        <f t="shared" si="690"/>
        <v>0.90019737612038842</v>
      </c>
      <c r="BD470" s="346"/>
      <c r="BE470" s="376" t="str">
        <f>'Original Title I &amp; II'!AZ467</f>
        <v/>
      </c>
      <c r="BF470" s="243" t="str">
        <f t="shared" si="717"/>
        <v/>
      </c>
      <c r="BG470" s="263">
        <f t="shared" si="697"/>
        <v>173762.2734137119</v>
      </c>
      <c r="BI470" s="31">
        <f>IFERROR(VLOOKUP(A470,'Title II Hold Harmless'!A$1:B$439,2, FALSE),"")</f>
        <v>20535</v>
      </c>
      <c r="BJ470" s="31">
        <f t="shared" si="718"/>
        <v>23159.419800412976</v>
      </c>
      <c r="BK470" s="31">
        <f t="shared" si="719"/>
        <v>23181.824034593719</v>
      </c>
      <c r="BL470" s="31" t="str">
        <f t="shared" si="720"/>
        <v/>
      </c>
      <c r="BM470" s="31">
        <f t="shared" si="721"/>
        <v>23181.824034593719</v>
      </c>
      <c r="BN470" s="200"/>
      <c r="BP470" s="295" t="s">
        <v>1447</v>
      </c>
      <c r="BQ470" s="296" t="str">
        <f t="shared" si="682"/>
        <v>Y</v>
      </c>
      <c r="BR470" s="297" t="s">
        <v>1448</v>
      </c>
      <c r="BT470" s="295" t="str">
        <f t="shared" si="683"/>
        <v>Y</v>
      </c>
      <c r="BU470" s="296" t="str">
        <f t="shared" si="722"/>
        <v>Y</v>
      </c>
      <c r="BV470" s="296" t="str">
        <f t="shared" si="723"/>
        <v>Y</v>
      </c>
      <c r="BW470" s="297" t="str">
        <f t="shared" si="684"/>
        <v>Y</v>
      </c>
      <c r="BY470" s="352">
        <f t="shared" si="685"/>
        <v>0</v>
      </c>
      <c r="BZ470" s="353">
        <f t="shared" si="686"/>
        <v>0.9</v>
      </c>
      <c r="CA470" s="353">
        <f t="shared" si="687"/>
        <v>0</v>
      </c>
      <c r="CB470" s="354">
        <f t="shared" si="688"/>
        <v>0.9</v>
      </c>
      <c r="CD470" s="311">
        <f t="shared" si="689"/>
        <v>462</v>
      </c>
    </row>
    <row r="471" spans="1:82" outlineLevel="1" x14ac:dyDescent="0.3">
      <c r="A471" s="1">
        <v>110203000</v>
      </c>
      <c r="B471" s="47">
        <f>VLOOKUP(C471,'NCES ID'!$A$2:$B$3136,2,FALSE)</f>
        <v>406850</v>
      </c>
      <c r="C471" s="47">
        <f>VLOOKUP(A471,'State ID'!$A$2:$B$713,2,FALSE)</f>
        <v>4438</v>
      </c>
      <c r="D471" s="147" t="s">
        <v>357</v>
      </c>
      <c r="E471" s="47" t="s">
        <v>20</v>
      </c>
      <c r="F471" s="382">
        <f>IFERROR(VLOOKUP($B471,'update_Formula counts'!$D$7:$R$234,'update_Formula counts'!F$5,0),0)</f>
        <v>162</v>
      </c>
      <c r="G471" s="382">
        <f>IFERROR(VLOOKUP($B471,'update_Formula counts'!$D$7:$R$234,'update_Formula counts'!G$5,0),0)</f>
        <v>0</v>
      </c>
      <c r="H471" s="382">
        <f>IFERROR(VLOOKUP($B471,'update_Formula counts'!$D$7:$R$234,'update_Formula counts'!H$5,0),0)</f>
        <v>0</v>
      </c>
      <c r="I471" s="382">
        <f>IFERROR(VLOOKUP($B471,'update_Formula counts'!$D$7:$R$234,'update_Formula counts'!I$5,0),0)</f>
        <v>9</v>
      </c>
      <c r="J471" s="382">
        <f>IFERROR(VLOOKUP($B471,'update_Formula counts'!$D$7:$R$234,'update_Formula counts'!J$5,0),0)</f>
        <v>0</v>
      </c>
      <c r="K471" s="382">
        <f t="shared" si="698"/>
        <v>162</v>
      </c>
      <c r="L471" s="444">
        <f>IFERROR(VLOOKUP($B471,'update_Formula counts'!$D$7:$R$234,'update_Formula counts'!L$5,0),0)</f>
        <v>770</v>
      </c>
      <c r="M471" s="445">
        <f>IFERROR(VLOOKUP($B471,'update_Formula counts'!$D$7:$R$234,'update_Formula counts'!K$5,0),0)</f>
        <v>171</v>
      </c>
      <c r="N471" s="446">
        <f>IFERROR(VLOOKUP($B471,'update_Formula counts'!$D$7:$R$234,'update_Formula counts'!M$5,0),0)</f>
        <v>0.22207792207792207</v>
      </c>
      <c r="O471" s="137">
        <f>VLOOKUP($C471,'Final SEA Counts'!$A$2:$F$709,5,FALSE)</f>
        <v>412</v>
      </c>
      <c r="P471" s="208">
        <f>VLOOKUP($C471,'Final SEA Counts'!$A$2:$F$709,6,FALSE)</f>
        <v>254</v>
      </c>
      <c r="Q471" s="748">
        <f t="shared" si="699"/>
        <v>-17.205082562352967</v>
      </c>
      <c r="R471" s="444">
        <f t="shared" si="700"/>
        <v>679.1845007146743</v>
      </c>
      <c r="S471" s="445">
        <f t="shared" si="701"/>
        <v>153.79491743764703</v>
      </c>
      <c r="T471" s="229">
        <f t="shared" si="702"/>
        <v>0.22644055816323219</v>
      </c>
      <c r="U471" s="261">
        <f>VLOOKUP($B471,update_Allocation!$D$8:$Q$235,update_Allocation!K$239,0)</f>
        <v>132533.01038550824</v>
      </c>
      <c r="V471" s="262">
        <f>VLOOKUP($B471,update_Allocation!$D$8:$Q$235,update_Allocation!L$239,0)</f>
        <v>32324.240106968417</v>
      </c>
      <c r="W471" s="262">
        <f>VLOOKUP($B471,update_Allocation!$D$8:$Q$235,update_Allocation!M$239,0)</f>
        <v>42250.403346056155</v>
      </c>
      <c r="X471" s="262">
        <f>VLOOKUP($B471,update_Allocation!$D$8:$Q$235,update_Allocation!N$239,0)</f>
        <v>34972.984658608686</v>
      </c>
      <c r="Y471" s="263">
        <f>VLOOKUP($B471,update_Allocation!$D$8:$Q$235,update_Allocation!O$239,0)</f>
        <v>242080.63849714148</v>
      </c>
      <c r="Z471" s="262">
        <f t="shared" si="703"/>
        <v>119189.06443055143</v>
      </c>
      <c r="AA471" s="262">
        <f t="shared" si="704"/>
        <v>29069.708184937932</v>
      </c>
      <c r="AB471" s="262">
        <f t="shared" si="705"/>
        <v>37996.466178365088</v>
      </c>
      <c r="AC471" s="263">
        <f t="shared" si="706"/>
        <v>31451.766693284051</v>
      </c>
      <c r="AD471" s="262">
        <f t="shared" si="707"/>
        <v>119189.06443055143</v>
      </c>
      <c r="AE471" s="262">
        <f t="shared" si="708"/>
        <v>29069.708184937932</v>
      </c>
      <c r="AF471" s="262">
        <f t="shared" si="709"/>
        <v>37996.466178365088</v>
      </c>
      <c r="AG471" s="263">
        <f t="shared" si="710"/>
        <v>31451.766693284051</v>
      </c>
      <c r="AH471" s="262">
        <f t="shared" si="711"/>
        <v>119189.06443055143</v>
      </c>
      <c r="AI471" s="262">
        <f t="shared" si="711"/>
        <v>30482.511597283436</v>
      </c>
      <c r="AJ471" s="262">
        <f t="shared" si="711"/>
        <v>37996.466178365088</v>
      </c>
      <c r="AK471" s="262">
        <f t="shared" si="711"/>
        <v>31451.766693284051</v>
      </c>
      <c r="AL471" s="263">
        <f t="shared" si="712"/>
        <v>219119.80889948399</v>
      </c>
      <c r="AM471" s="346"/>
      <c r="AN471" s="261">
        <f>IFERROR(VLOOKUP($A471,'HH &amp; SI'!$B$4:$Z$494,'HH &amp; SI'!V$503,0),0)</f>
        <v>134171.19834581198</v>
      </c>
      <c r="AO471" s="262">
        <f>IFERROR(VLOOKUP($A471,'HH &amp; SI'!$B$4:$Z$494,'HH &amp; SI'!W$503,0),0)</f>
        <v>32853.412946526536</v>
      </c>
      <c r="AP471" s="262">
        <f>IFERROR(VLOOKUP($A471,'HH &amp; SI'!$B$4:$Z$494,'HH &amp; SI'!X$503,0),0)</f>
        <v>42682.56058798678</v>
      </c>
      <c r="AQ471" s="262">
        <f>IFERROR(VLOOKUP($A471,'HH &amp; SI'!$B$4:$Z$494,'HH &amp; SI'!Y$503,0),0)</f>
        <v>35372.492016052893</v>
      </c>
      <c r="AR471" s="263">
        <f t="shared" si="713"/>
        <v>245079.66389637819</v>
      </c>
      <c r="AS471" s="346"/>
      <c r="AT471" s="323">
        <f>IFERROR(VLOOKUP(A471,'Afton FY16 Final'!$A$5:$BV$572,'Afton FY16 Final'!$BV$587,0),0)</f>
        <v>266948.93928316201</v>
      </c>
      <c r="AU471" s="346"/>
      <c r="AV471" s="444">
        <v>0</v>
      </c>
      <c r="AW471" s="262">
        <f>IFERROR(VLOOKUP($A471,'HH &amp; SI'!$B$4:$EY$503,'HH &amp; SI'!EX$503,0),0)</f>
        <v>0</v>
      </c>
      <c r="AX471" s="262">
        <f>IFERROR(VLOOKUP($A471,'HH &amp; SI'!$B$4:$EY$503,'HH &amp; SI'!EY$503,0),0)</f>
        <v>245079.66389637819</v>
      </c>
      <c r="AY471" s="262">
        <f>AX471/$AX$582*'update_State Admin 1004(b)'!$B$30*0.01</f>
        <v>2345.5884410010826</v>
      </c>
      <c r="AZ471" s="263">
        <f t="shared" si="714"/>
        <v>242734.07545537711</v>
      </c>
      <c r="BA471" s="261">
        <f t="shared" si="715"/>
        <v>2427.3407545537711</v>
      </c>
      <c r="BB471" s="262">
        <f t="shared" si="716"/>
        <v>240306.73470082335</v>
      </c>
      <c r="BC471" s="341">
        <f t="shared" si="690"/>
        <v>0.90019737612038853</v>
      </c>
      <c r="BD471" s="346"/>
      <c r="BE471" s="376" t="str">
        <f>'Original Title I &amp; II'!AZ468</f>
        <v/>
      </c>
      <c r="BF471" s="243" t="str">
        <f t="shared" si="717"/>
        <v/>
      </c>
      <c r="BG471" s="263">
        <f t="shared" si="697"/>
        <v>240306.73470082335</v>
      </c>
      <c r="BI471" s="31">
        <f>IFERROR(VLOOKUP(A471,'Title II Hold Harmless'!A$1:B$439,2, FALSE),"")</f>
        <v>17834</v>
      </c>
      <c r="BJ471" s="31">
        <f t="shared" si="718"/>
        <v>20393.920197701384</v>
      </c>
      <c r="BK471" s="31">
        <f t="shared" si="719"/>
        <v>20413.649110079601</v>
      </c>
      <c r="BL471" s="31" t="str">
        <f t="shared" si="720"/>
        <v/>
      </c>
      <c r="BM471" s="31">
        <f t="shared" si="721"/>
        <v>20413.649110079601</v>
      </c>
      <c r="BN471" s="200"/>
      <c r="BP471" s="295" t="s">
        <v>1447</v>
      </c>
      <c r="BQ471" s="296" t="str">
        <f t="shared" si="682"/>
        <v>Y</v>
      </c>
      <c r="BR471" s="297" t="s">
        <v>1448</v>
      </c>
      <c r="BT471" s="295" t="str">
        <f t="shared" si="683"/>
        <v>Y</v>
      </c>
      <c r="BU471" s="296" t="str">
        <f t="shared" si="722"/>
        <v>Y</v>
      </c>
      <c r="BV471" s="296" t="str">
        <f t="shared" si="723"/>
        <v>Y</v>
      </c>
      <c r="BW471" s="297" t="str">
        <f t="shared" si="684"/>
        <v>Y</v>
      </c>
      <c r="BY471" s="352">
        <f t="shared" si="685"/>
        <v>0</v>
      </c>
      <c r="BZ471" s="353">
        <f t="shared" si="686"/>
        <v>0.9</v>
      </c>
      <c r="CA471" s="353">
        <f t="shared" si="687"/>
        <v>0</v>
      </c>
      <c r="CB471" s="354">
        <f t="shared" si="688"/>
        <v>0.9</v>
      </c>
      <c r="CD471" s="311">
        <f t="shared" si="689"/>
        <v>463</v>
      </c>
    </row>
    <row r="472" spans="1:82" outlineLevel="1" x14ac:dyDescent="0.3">
      <c r="A472" s="1">
        <v>110424000</v>
      </c>
      <c r="B472" s="47">
        <f>VLOOKUP(C472,'NCES ID'!$A$2:$B$3136,2,FALSE)</f>
        <v>408130</v>
      </c>
      <c r="C472" s="47">
        <f>VLOOKUP(A472,'State ID'!$A$2:$B$713,2,FALSE)</f>
        <v>4451</v>
      </c>
      <c r="D472" s="147" t="s">
        <v>399</v>
      </c>
      <c r="E472" s="47" t="s">
        <v>20</v>
      </c>
      <c r="F472" s="382">
        <f>IFERROR(VLOOKUP($B472,'update_Formula counts'!$D$7:$R$234,'update_Formula counts'!F$5,0),0)</f>
        <v>180</v>
      </c>
      <c r="G472" s="382">
        <f>IFERROR(VLOOKUP($B472,'update_Formula counts'!$D$7:$R$234,'update_Formula counts'!G$5,0),0)</f>
        <v>0</v>
      </c>
      <c r="H472" s="382">
        <f>IFERROR(VLOOKUP($B472,'update_Formula counts'!$D$7:$R$234,'update_Formula counts'!H$5,0),0)</f>
        <v>0</v>
      </c>
      <c r="I472" s="382">
        <f>IFERROR(VLOOKUP($B472,'update_Formula counts'!$D$7:$R$234,'update_Formula counts'!I$5,0),0)</f>
        <v>10</v>
      </c>
      <c r="J472" s="382">
        <f>IFERROR(VLOOKUP($B472,'update_Formula counts'!$D$7:$R$234,'update_Formula counts'!J$5,0),0)</f>
        <v>0</v>
      </c>
      <c r="K472" s="382">
        <f t="shared" si="698"/>
        <v>180</v>
      </c>
      <c r="L472" s="444">
        <f>IFERROR(VLOOKUP($B472,'update_Formula counts'!$D$7:$R$234,'update_Formula counts'!L$5,0),0)</f>
        <v>818</v>
      </c>
      <c r="M472" s="445">
        <f>IFERROR(VLOOKUP($B472,'update_Formula counts'!$D$7:$R$234,'update_Formula counts'!K$5,0),0)</f>
        <v>190</v>
      </c>
      <c r="N472" s="446">
        <f>IFERROR(VLOOKUP($B472,'update_Formula counts'!$D$7:$R$234,'update_Formula counts'!M$5,0),0)</f>
        <v>0.23227383863080683</v>
      </c>
      <c r="O472" s="137">
        <f>VLOOKUP($C472,'Final SEA Counts'!$A$2:$F$709,5,FALSE)</f>
        <v>529</v>
      </c>
      <c r="P472" s="208">
        <f>VLOOKUP($C472,'Final SEA Counts'!$A$2:$F$709,6,FALSE)</f>
        <v>450</v>
      </c>
      <c r="Q472" s="748">
        <f t="shared" si="699"/>
        <v>-19.116758402614408</v>
      </c>
      <c r="R472" s="444">
        <f t="shared" si="700"/>
        <v>721.52327478519942</v>
      </c>
      <c r="S472" s="445">
        <f t="shared" si="701"/>
        <v>170.88324159738559</v>
      </c>
      <c r="T472" s="229">
        <f t="shared" si="702"/>
        <v>0.23683676960837927</v>
      </c>
      <c r="U472" s="261">
        <f>VLOOKUP($B472,update_Allocation!$D$8:$Q$235,update_Allocation!K$239,0)</f>
        <v>124111.95596800887</v>
      </c>
      <c r="V472" s="262">
        <f>VLOOKUP($B472,update_Allocation!$D$8:$Q$235,update_Allocation!L$239,0)</f>
        <v>29439.662249653658</v>
      </c>
      <c r="W472" s="262">
        <f>VLOOKUP($B472,update_Allocation!$D$8:$Q$235,update_Allocation!M$239,0)</f>
        <v>64154.371358279692</v>
      </c>
      <c r="X472" s="262">
        <f>VLOOKUP($B472,update_Allocation!$D$8:$Q$235,update_Allocation!N$239,0)</f>
        <v>51618.271078920559</v>
      </c>
      <c r="Y472" s="263">
        <f>VLOOKUP($B472,update_Allocation!$D$8:$Q$235,update_Allocation!O$239,0)</f>
        <v>269324.2606548628</v>
      </c>
      <c r="Z472" s="262">
        <f t="shared" si="703"/>
        <v>111615.87496914114</v>
      </c>
      <c r="AA472" s="262">
        <f t="shared" si="704"/>
        <v>26475.56099783062</v>
      </c>
      <c r="AB472" s="262">
        <f t="shared" si="705"/>
        <v>57695.056341673684</v>
      </c>
      <c r="AC472" s="263">
        <f t="shared" si="706"/>
        <v>46421.140058038363</v>
      </c>
      <c r="AD472" s="262">
        <f t="shared" si="707"/>
        <v>111615.87496914114</v>
      </c>
      <c r="AE472" s="262">
        <f t="shared" si="708"/>
        <v>26475.56099783062</v>
      </c>
      <c r="AF472" s="262">
        <f t="shared" si="709"/>
        <v>57695.056341673684</v>
      </c>
      <c r="AG472" s="263">
        <f t="shared" si="710"/>
        <v>46421.140058038363</v>
      </c>
      <c r="AH472" s="262">
        <f t="shared" si="711"/>
        <v>111615.87496914114</v>
      </c>
      <c r="AI472" s="262">
        <f t="shared" si="711"/>
        <v>27888.364410176124</v>
      </c>
      <c r="AJ472" s="262">
        <f t="shared" si="711"/>
        <v>57695.056341673684</v>
      </c>
      <c r="AK472" s="262">
        <f t="shared" si="711"/>
        <v>46421.140058038363</v>
      </c>
      <c r="AL472" s="263">
        <f t="shared" si="712"/>
        <v>243620.43577902933</v>
      </c>
      <c r="AM472" s="346"/>
      <c r="AN472" s="261">
        <f>IFERROR(VLOOKUP($A472,'HH &amp; SI'!$B$4:$Z$494,'HH &amp; SI'!V$503,0),0)</f>
        <v>115755.82548787135</v>
      </c>
      <c r="AO472" s="262">
        <f>IFERROR(VLOOKUP($A472,'HH &amp; SI'!$B$4:$Z$494,'HH &amp; SI'!W$503,0),0)</f>
        <v>28340.101066536314</v>
      </c>
      <c r="AP472" s="262">
        <f>IFERROR(VLOOKUP($A472,'HH &amp; SI'!$B$4:$Z$494,'HH &amp; SI'!X$503,0),0)</f>
        <v>58431.074466683436</v>
      </c>
      <c r="AQ472" s="262">
        <f>IFERROR(VLOOKUP($A472,'HH &amp; SI'!$B$4:$Z$494,'HH &amp; SI'!Y$503,0),0)</f>
        <v>45909.662656919369</v>
      </c>
      <c r="AR472" s="263">
        <f t="shared" si="713"/>
        <v>248436.66367801046</v>
      </c>
      <c r="AS472" s="346"/>
      <c r="AT472" s="323">
        <f>IFERROR(VLOOKUP(A472,'Afton FY16 Final'!$A$5:$BV$572,'Afton FY16 Final'!$BV$587,0),0)</f>
        <v>262370.79088498128</v>
      </c>
      <c r="AU472" s="346"/>
      <c r="AV472" s="444">
        <v>0</v>
      </c>
      <c r="AW472" s="262">
        <f>IFERROR(VLOOKUP($A472,'HH &amp; SI'!$B$4:$EY$503,'HH &amp; SI'!EX$503,0),0)</f>
        <v>0</v>
      </c>
      <c r="AX472" s="262">
        <f>IFERROR(VLOOKUP($A472,'HH &amp; SI'!$B$4:$EY$503,'HH &amp; SI'!EY$503,0),0)</f>
        <v>248436.66367801046</v>
      </c>
      <c r="AY472" s="262">
        <f>AX472/$AX$582*'update_State Admin 1004(b)'!$B$30*0.01</f>
        <v>2377.7173404742312</v>
      </c>
      <c r="AZ472" s="263">
        <f t="shared" si="714"/>
        <v>246058.94633753624</v>
      </c>
      <c r="BA472" s="261">
        <f t="shared" si="715"/>
        <v>2460.5894633753624</v>
      </c>
      <c r="BB472" s="262">
        <f t="shared" si="716"/>
        <v>243598.35687416088</v>
      </c>
      <c r="BC472" s="341">
        <f t="shared" si="690"/>
        <v>0.9284507473278536</v>
      </c>
      <c r="BD472" s="346"/>
      <c r="BE472" s="376" t="str">
        <f>'Original Title I &amp; II'!AZ469</f>
        <v/>
      </c>
      <c r="BF472" s="243" t="str">
        <f t="shared" si="717"/>
        <v/>
      </c>
      <c r="BG472" s="263">
        <f t="shared" si="697"/>
        <v>243598.35687416088</v>
      </c>
      <c r="BI472" s="31">
        <f>IFERROR(VLOOKUP(A472,'Title II Hold Harmless'!A$1:B$439,2, FALSE),"")</f>
        <v>46900</v>
      </c>
      <c r="BJ472" s="31">
        <f t="shared" si="718"/>
        <v>49717.695843528869</v>
      </c>
      <c r="BK472" s="31">
        <f t="shared" si="719"/>
        <v>49765.792337750434</v>
      </c>
      <c r="BL472" s="31" t="str">
        <f t="shared" si="720"/>
        <v/>
      </c>
      <c r="BM472" s="31">
        <f t="shared" si="721"/>
        <v>49765.792337750434</v>
      </c>
      <c r="BN472" s="200"/>
      <c r="BP472" s="295" t="s">
        <v>1447</v>
      </c>
      <c r="BQ472" s="296" t="str">
        <f t="shared" si="682"/>
        <v>Y</v>
      </c>
      <c r="BR472" s="297" t="s">
        <v>1448</v>
      </c>
      <c r="BT472" s="295" t="str">
        <f t="shared" si="683"/>
        <v>Y</v>
      </c>
      <c r="BU472" s="296" t="str">
        <f t="shared" si="722"/>
        <v>Y</v>
      </c>
      <c r="BV472" s="296" t="str">
        <f t="shared" si="723"/>
        <v>Y</v>
      </c>
      <c r="BW472" s="297" t="str">
        <f t="shared" si="684"/>
        <v>Y</v>
      </c>
      <c r="BY472" s="352">
        <f t="shared" si="685"/>
        <v>0</v>
      </c>
      <c r="BZ472" s="353">
        <f t="shared" si="686"/>
        <v>0.9</v>
      </c>
      <c r="CA472" s="353">
        <f t="shared" si="687"/>
        <v>0</v>
      </c>
      <c r="CB472" s="354">
        <f t="shared" si="688"/>
        <v>0.9</v>
      </c>
      <c r="CD472" s="311">
        <f t="shared" si="689"/>
        <v>464</v>
      </c>
    </row>
    <row r="473" spans="1:82" outlineLevel="1" x14ac:dyDescent="0.3">
      <c r="A473" s="1">
        <v>110302000</v>
      </c>
      <c r="B473" s="47">
        <f>VLOOKUP(C473,'NCES ID'!$A$2:$B$3136,2,FALSE)</f>
        <v>405640</v>
      </c>
      <c r="C473" s="47">
        <f>VLOOKUP(A473,'State ID'!$A$2:$B$713,2,FALSE)</f>
        <v>4444</v>
      </c>
      <c r="D473" s="147" t="s">
        <v>311</v>
      </c>
      <c r="E473" s="47" t="s">
        <v>20</v>
      </c>
      <c r="F473" s="382">
        <f>IFERROR(VLOOKUP($B473,'update_Formula counts'!$D$7:$R$234,'update_Formula counts'!F$5,0),0)</f>
        <v>208</v>
      </c>
      <c r="G473" s="382">
        <f>IFERROR(VLOOKUP($B473,'update_Formula counts'!$D$7:$R$234,'update_Formula counts'!G$5,0),0)</f>
        <v>0</v>
      </c>
      <c r="H473" s="382">
        <f>IFERROR(VLOOKUP($B473,'update_Formula counts'!$D$7:$R$234,'update_Formula counts'!H$5,0),0)</f>
        <v>0</v>
      </c>
      <c r="I473" s="382">
        <f>IFERROR(VLOOKUP($B473,'update_Formula counts'!$D$7:$R$234,'update_Formula counts'!I$5,0),0)</f>
        <v>11</v>
      </c>
      <c r="J473" s="382">
        <f>IFERROR(VLOOKUP($B473,'update_Formula counts'!$D$7:$R$234,'update_Formula counts'!J$5,0),0)</f>
        <v>0</v>
      </c>
      <c r="K473" s="382">
        <f t="shared" si="698"/>
        <v>208</v>
      </c>
      <c r="L473" s="444">
        <f>IFERROR(VLOOKUP($B473,'update_Formula counts'!$D$7:$R$234,'update_Formula counts'!L$5,0),0)</f>
        <v>1051</v>
      </c>
      <c r="M473" s="445">
        <f>IFERROR(VLOOKUP($B473,'update_Formula counts'!$D$7:$R$234,'update_Formula counts'!K$5,0),0)</f>
        <v>219</v>
      </c>
      <c r="N473" s="446">
        <f>IFERROR(VLOOKUP($B473,'update_Formula counts'!$D$7:$R$234,'update_Formula counts'!M$5,0),0)</f>
        <v>0.20837297811607994</v>
      </c>
      <c r="O473" s="137">
        <f>VLOOKUP($C473,'Final SEA Counts'!$A$2:$F$709,5,FALSE)</f>
        <v>419</v>
      </c>
      <c r="P473" s="208">
        <f>VLOOKUP($C473,'Final SEA Counts'!$A$2:$F$709,6,FALSE)</f>
        <v>264</v>
      </c>
      <c r="Q473" s="748">
        <f t="shared" si="699"/>
        <v>-22.090476376354427</v>
      </c>
      <c r="R473" s="444">
        <f t="shared" si="700"/>
        <v>927.04274058587362</v>
      </c>
      <c r="S473" s="445">
        <f t="shared" si="701"/>
        <v>196.90952362364558</v>
      </c>
      <c r="T473" s="229">
        <f t="shared" si="702"/>
        <v>0.21240608981976652</v>
      </c>
      <c r="U473" s="261">
        <f>VLOOKUP($B473,update_Allocation!$D$8:$Q$235,update_Allocation!K$239,0)</f>
        <v>103562.9195737237</v>
      </c>
      <c r="V473" s="262">
        <f>VLOOKUP($B473,update_Allocation!$D$8:$Q$235,update_Allocation!L$239,0)</f>
        <v>24669.634654662419</v>
      </c>
      <c r="W473" s="262">
        <f>VLOOKUP($B473,update_Allocation!$D$8:$Q$235,update_Allocation!M$239,0)</f>
        <v>37169.153627037776</v>
      </c>
      <c r="X473" s="262">
        <f>VLOOKUP($B473,update_Allocation!$D$8:$Q$235,update_Allocation!N$239,0)</f>
        <v>27305.625930637034</v>
      </c>
      <c r="Y473" s="263">
        <f>VLOOKUP($B473,update_Allocation!$D$8:$Q$235,update_Allocation!O$239,0)</f>
        <v>192707.33378606092</v>
      </c>
      <c r="Z473" s="262">
        <f t="shared" si="703"/>
        <v>93135.796567088852</v>
      </c>
      <c r="AA473" s="262">
        <f t="shared" si="704"/>
        <v>22185.798585423472</v>
      </c>
      <c r="AB473" s="262">
        <f t="shared" si="705"/>
        <v>33426.816712272332</v>
      </c>
      <c r="AC473" s="263">
        <f t="shared" si="706"/>
        <v>24556.387868173697</v>
      </c>
      <c r="AD473" s="262">
        <f t="shared" si="707"/>
        <v>93135.796567088852</v>
      </c>
      <c r="AE473" s="262">
        <f t="shared" si="708"/>
        <v>22185.798585423472</v>
      </c>
      <c r="AF473" s="262">
        <f t="shared" si="709"/>
        <v>33426.816712272332</v>
      </c>
      <c r="AG473" s="263">
        <f t="shared" si="710"/>
        <v>24556.387868173697</v>
      </c>
      <c r="AH473" s="262">
        <f t="shared" si="711"/>
        <v>93135.796567088852</v>
      </c>
      <c r="AI473" s="262">
        <f t="shared" si="711"/>
        <v>23598.601997768976</v>
      </c>
      <c r="AJ473" s="262">
        <f t="shared" si="711"/>
        <v>33426.816712272332</v>
      </c>
      <c r="AK473" s="262">
        <f t="shared" si="711"/>
        <v>24556.387868173697</v>
      </c>
      <c r="AL473" s="263">
        <f t="shared" si="712"/>
        <v>174717.60314530384</v>
      </c>
      <c r="AM473" s="346"/>
      <c r="AN473" s="261">
        <f>IFERROR(VLOOKUP($A473,'HH &amp; SI'!$B$4:$Z$494,'HH &amp; SI'!V$503,0),0)</f>
        <v>91865.363850852416</v>
      </c>
      <c r="AO473" s="262">
        <f>IFERROR(VLOOKUP($A473,'HH &amp; SI'!$B$4:$Z$494,'HH &amp; SI'!W$503,0),0)</f>
        <v>22821.350326699383</v>
      </c>
      <c r="AP473" s="262">
        <f>IFERROR(VLOOKUP($A473,'HH &amp; SI'!$B$4:$Z$494,'HH &amp; SI'!X$503,0),0)</f>
        <v>33122.812865281332</v>
      </c>
      <c r="AQ473" s="262">
        <f>IFERROR(VLOOKUP($A473,'HH &amp; SI'!$B$4:$Z$494,'HH &amp; SI'!Y$503,0),0)</f>
        <v>24285.820677622578</v>
      </c>
      <c r="AR473" s="263">
        <f t="shared" si="713"/>
        <v>172095.3477204557</v>
      </c>
      <c r="AS473" s="346"/>
      <c r="AT473" s="323">
        <f>IFERROR(VLOOKUP(A473,'Afton FY16 Final'!$A$5:$BV$572,'Afton FY16 Final'!$BV$587,0),0)</f>
        <v>103497.29109261559</v>
      </c>
      <c r="AU473" s="346"/>
      <c r="AV473" s="444">
        <v>0</v>
      </c>
      <c r="AW473" s="262">
        <f>IFERROR(VLOOKUP($A473,'HH &amp; SI'!$B$4:$EY$503,'HH &amp; SI'!EX$503,0),0)</f>
        <v>9639.5940871310595</v>
      </c>
      <c r="AX473" s="262">
        <f>IFERROR(VLOOKUP($A473,'HH &amp; SI'!$B$4:$EY$503,'HH &amp; SI'!EY$503,0),0)</f>
        <v>162455.75363332464</v>
      </c>
      <c r="AY473" s="262">
        <f>AX473/$AX$582*'update_State Admin 1004(b)'!$B$30*0.01</f>
        <v>1554.8182653684353</v>
      </c>
      <c r="AZ473" s="263">
        <f t="shared" si="714"/>
        <v>160900.9353679562</v>
      </c>
      <c r="BA473" s="261">
        <f t="shared" si="715"/>
        <v>1609.0093536795621</v>
      </c>
      <c r="BB473" s="262">
        <f t="shared" si="716"/>
        <v>159291.92601427663</v>
      </c>
      <c r="BC473" s="341">
        <f t="shared" si="690"/>
        <v>1.5390927079601788</v>
      </c>
      <c r="BD473" s="346"/>
      <c r="BE473" s="376" t="str">
        <f>'Original Title I &amp; II'!AZ470</f>
        <v/>
      </c>
      <c r="BF473" s="243" t="str">
        <f t="shared" si="717"/>
        <v/>
      </c>
      <c r="BG473" s="263">
        <f t="shared" si="697"/>
        <v>159291.92601427663</v>
      </c>
      <c r="BI473" s="31">
        <f>IFERROR(VLOOKUP(A473,'Title II Hold Harmless'!A$1:B$439,2, FALSE),"")</f>
        <v>16494</v>
      </c>
      <c r="BJ473" s="31">
        <f t="shared" si="718"/>
        <v>19817.805104480336</v>
      </c>
      <c r="BK473" s="31">
        <f t="shared" si="719"/>
        <v>19836.976687807361</v>
      </c>
      <c r="BL473" s="31" t="str">
        <f t="shared" si="720"/>
        <v/>
      </c>
      <c r="BM473" s="31">
        <f t="shared" si="721"/>
        <v>19836.976687807361</v>
      </c>
      <c r="BN473" s="200"/>
      <c r="BP473" s="295" t="s">
        <v>1447</v>
      </c>
      <c r="BQ473" s="296" t="str">
        <f t="shared" si="682"/>
        <v>Y</v>
      </c>
      <c r="BR473" s="297" t="s">
        <v>1448</v>
      </c>
      <c r="BT473" s="295" t="str">
        <f t="shared" si="683"/>
        <v>Y</v>
      </c>
      <c r="BU473" s="296" t="str">
        <f t="shared" si="722"/>
        <v>Y</v>
      </c>
      <c r="BV473" s="296" t="str">
        <f t="shared" si="723"/>
        <v>Y</v>
      </c>
      <c r="BW473" s="297" t="str">
        <f t="shared" si="684"/>
        <v>Y</v>
      </c>
      <c r="BY473" s="352">
        <f t="shared" si="685"/>
        <v>0</v>
      </c>
      <c r="BZ473" s="353">
        <f t="shared" si="686"/>
        <v>0.9</v>
      </c>
      <c r="CA473" s="353">
        <f t="shared" si="687"/>
        <v>0</v>
      </c>
      <c r="CB473" s="354">
        <f t="shared" si="688"/>
        <v>0.9</v>
      </c>
      <c r="CD473" s="311">
        <f t="shared" si="689"/>
        <v>465</v>
      </c>
    </row>
    <row r="474" spans="1:82" outlineLevel="1" x14ac:dyDescent="0.3">
      <c r="A474" s="1">
        <v>110411000</v>
      </c>
      <c r="B474" s="47">
        <f>VLOOKUP(C474,'NCES ID'!$A$2:$B$3136,2,FALSE)</f>
        <v>402790</v>
      </c>
      <c r="C474" s="47">
        <f>VLOOKUP(A474,'State ID'!$A$2:$B$713,2,FALSE)</f>
        <v>4448</v>
      </c>
      <c r="D474" s="147" t="s">
        <v>156</v>
      </c>
      <c r="E474" s="47" t="s">
        <v>20</v>
      </c>
      <c r="F474" s="382">
        <f>IFERROR(VLOOKUP($B474,'update_Formula counts'!$D$7:$R$234,'update_Formula counts'!F$5,0),0)</f>
        <v>443</v>
      </c>
      <c r="G474" s="382">
        <f>IFERROR(VLOOKUP($B474,'update_Formula counts'!$D$7:$R$234,'update_Formula counts'!G$5,0),0)</f>
        <v>0</v>
      </c>
      <c r="H474" s="382">
        <f>IFERROR(VLOOKUP($B474,'update_Formula counts'!$D$7:$R$234,'update_Formula counts'!H$5,0),0)</f>
        <v>0</v>
      </c>
      <c r="I474" s="382">
        <f>IFERROR(VLOOKUP($B474,'update_Formula counts'!$D$7:$R$234,'update_Formula counts'!I$5,0),0)</f>
        <v>24</v>
      </c>
      <c r="J474" s="382">
        <f>IFERROR(VLOOKUP($B474,'update_Formula counts'!$D$7:$R$234,'update_Formula counts'!J$5,0),0)</f>
        <v>0</v>
      </c>
      <c r="K474" s="382">
        <f t="shared" si="698"/>
        <v>443</v>
      </c>
      <c r="L474" s="444">
        <f>IFERROR(VLOOKUP($B474,'update_Formula counts'!$D$7:$R$234,'update_Formula counts'!L$5,0),0)</f>
        <v>1089</v>
      </c>
      <c r="M474" s="445">
        <f>IFERROR(VLOOKUP($B474,'update_Formula counts'!$D$7:$R$234,'update_Formula counts'!K$5,0),0)</f>
        <v>467</v>
      </c>
      <c r="N474" s="446">
        <f>IFERROR(VLOOKUP($B474,'update_Formula counts'!$D$7:$R$234,'update_Formula counts'!M$5,0),0)</f>
        <v>0.42883379247015613</v>
      </c>
      <c r="O474" s="137">
        <f>VLOOKUP($C474,'Final SEA Counts'!$A$2:$F$709,5,FALSE)</f>
        <v>929</v>
      </c>
      <c r="P474" s="208">
        <f>VLOOKUP($C474,'Final SEA Counts'!$A$2:$F$709,6,FALSE)</f>
        <v>847</v>
      </c>
      <c r="Q474" s="748">
        <f t="shared" si="699"/>
        <v>-47.048466513101019</v>
      </c>
      <c r="R474" s="444">
        <f t="shared" si="700"/>
        <v>960.56093672503937</v>
      </c>
      <c r="S474" s="445">
        <f t="shared" si="701"/>
        <v>419.951533486899</v>
      </c>
      <c r="T474" s="229">
        <f t="shared" si="702"/>
        <v>0.43719405758753038</v>
      </c>
      <c r="U474" s="261">
        <f>VLOOKUP($B474,update_Allocation!$D$8:$Q$235,update_Allocation!K$239,0)</f>
        <v>334653.73642910336</v>
      </c>
      <c r="V474" s="262">
        <f>VLOOKUP($B474,update_Allocation!$D$8:$Q$235,update_Allocation!L$239,0)</f>
        <v>81620.629438379445</v>
      </c>
      <c r="W474" s="262">
        <f>VLOOKUP($B474,update_Allocation!$D$8:$Q$235,update_Allocation!M$239,0)</f>
        <v>145920.45298771016</v>
      </c>
      <c r="X474" s="262">
        <f>VLOOKUP($B474,update_Allocation!$D$8:$Q$235,update_Allocation!N$239,0)</f>
        <v>137142.66569569346</v>
      </c>
      <c r="Y474" s="263">
        <f>VLOOKUP($B474,update_Allocation!$D$8:$Q$235,update_Allocation!O$239,0)</f>
        <v>699337.48455088644</v>
      </c>
      <c r="Z474" s="262">
        <f t="shared" si="703"/>
        <v>300959.47897924308</v>
      </c>
      <c r="AA474" s="262">
        <f t="shared" si="704"/>
        <v>73402.742703088137</v>
      </c>
      <c r="AB474" s="262">
        <f t="shared" si="705"/>
        <v>131228.60653581872</v>
      </c>
      <c r="AC474" s="263">
        <f t="shared" si="706"/>
        <v>123334.60147200366</v>
      </c>
      <c r="AD474" s="262">
        <f t="shared" si="707"/>
        <v>300959.47897924308</v>
      </c>
      <c r="AE474" s="262">
        <f t="shared" si="708"/>
        <v>73402.742703088137</v>
      </c>
      <c r="AF474" s="262">
        <f t="shared" si="709"/>
        <v>131228.60653581872</v>
      </c>
      <c r="AG474" s="263">
        <f t="shared" si="710"/>
        <v>123334.60147200366</v>
      </c>
      <c r="AH474" s="262">
        <f t="shared" si="711"/>
        <v>300959.47897924308</v>
      </c>
      <c r="AI474" s="262">
        <f t="shared" si="711"/>
        <v>74815.546115433637</v>
      </c>
      <c r="AJ474" s="262">
        <f t="shared" si="711"/>
        <v>131228.60653581872</v>
      </c>
      <c r="AK474" s="262">
        <f t="shared" si="711"/>
        <v>123334.60147200366</v>
      </c>
      <c r="AL474" s="263">
        <f t="shared" si="712"/>
        <v>630338.23310249904</v>
      </c>
      <c r="AM474" s="346"/>
      <c r="AN474" s="261">
        <f>IFERROR(VLOOKUP($A474,'HH &amp; SI'!$B$4:$Z$494,'HH &amp; SI'!V$503,0),0)</f>
        <v>320959.1922582027</v>
      </c>
      <c r="AO474" s="262">
        <f>IFERROR(VLOOKUP($A474,'HH &amp; SI'!$B$4:$Z$494,'HH &amp; SI'!W$503,0),0)</f>
        <v>78590.673797700932</v>
      </c>
      <c r="AP474" s="262">
        <f>IFERROR(VLOOKUP($A474,'HH &amp; SI'!$B$4:$Z$494,'HH &amp; SI'!X$503,0),0)</f>
        <v>135173.45084211993</v>
      </c>
      <c r="AQ474" s="262">
        <f>IFERROR(VLOOKUP($A474,'HH &amp; SI'!$B$4:$Z$494,'HH &amp; SI'!Y$503,0),0)</f>
        <v>122776.26658794523</v>
      </c>
      <c r="AR474" s="263">
        <f t="shared" si="713"/>
        <v>657499.58348596864</v>
      </c>
      <c r="AS474" s="346"/>
      <c r="AT474" s="323">
        <f>IFERROR(VLOOKUP(A474,'Afton FY16 Final'!$A$5:$BV$572,'Afton FY16 Final'!$BV$587,0),0)</f>
        <v>678477.28083791351</v>
      </c>
      <c r="AU474" s="346"/>
      <c r="AV474" s="444">
        <v>0</v>
      </c>
      <c r="AW474" s="262">
        <f>IFERROR(VLOOKUP($A474,'HH &amp; SI'!$B$4:$EY$503,'HH &amp; SI'!EX$503,0),0)</f>
        <v>0</v>
      </c>
      <c r="AX474" s="262">
        <f>IFERROR(VLOOKUP($A474,'HH &amp; SI'!$B$4:$EY$503,'HH &amp; SI'!EY$503,0),0)</f>
        <v>657499.58348596864</v>
      </c>
      <c r="AY474" s="262">
        <f>AX474/$AX$582*'update_State Admin 1004(b)'!$B$30*0.01</f>
        <v>6292.7433409561872</v>
      </c>
      <c r="AZ474" s="263">
        <f t="shared" si="714"/>
        <v>651206.84014501248</v>
      </c>
      <c r="BA474" s="261">
        <f t="shared" si="715"/>
        <v>6512.0684014501248</v>
      </c>
      <c r="BB474" s="262">
        <f t="shared" si="716"/>
        <v>644694.77174356231</v>
      </c>
      <c r="BC474" s="341">
        <f t="shared" si="690"/>
        <v>0.95020834146040956</v>
      </c>
      <c r="BD474" s="346"/>
      <c r="BE474" s="376" t="str">
        <f>'Original Title I &amp; II'!AZ471</f>
        <v/>
      </c>
      <c r="BF474" s="243" t="str">
        <f t="shared" si="717"/>
        <v/>
      </c>
      <c r="BG474" s="263">
        <f t="shared" si="697"/>
        <v>644694.77174356231</v>
      </c>
      <c r="BI474" s="31">
        <f>IFERROR(VLOOKUP(A474,'Title II Hold Harmless'!A$1:B$439,2, FALSE),"")</f>
        <v>79363</v>
      </c>
      <c r="BJ474" s="31">
        <f t="shared" si="718"/>
        <v>85633.599499661184</v>
      </c>
      <c r="BK474" s="31">
        <f t="shared" si="719"/>
        <v>85716.440746698659</v>
      </c>
      <c r="BL474" s="31" t="str">
        <f t="shared" si="720"/>
        <v/>
      </c>
      <c r="BM474" s="31">
        <f t="shared" si="721"/>
        <v>85716.440746698659</v>
      </c>
      <c r="BN474" s="200"/>
      <c r="BP474" s="295" t="s">
        <v>1447</v>
      </c>
      <c r="BQ474" s="296" t="str">
        <f t="shared" si="682"/>
        <v>Y</v>
      </c>
      <c r="BR474" s="297" t="s">
        <v>1448</v>
      </c>
      <c r="BT474" s="295" t="str">
        <f t="shared" si="683"/>
        <v>Y</v>
      </c>
      <c r="BU474" s="296" t="str">
        <f t="shared" si="722"/>
        <v>Y</v>
      </c>
      <c r="BV474" s="296" t="str">
        <f t="shared" si="723"/>
        <v>Y</v>
      </c>
      <c r="BW474" s="297" t="str">
        <f t="shared" si="684"/>
        <v>Y</v>
      </c>
      <c r="BY474" s="352">
        <f t="shared" si="685"/>
        <v>0</v>
      </c>
      <c r="BZ474" s="353">
        <f t="shared" si="686"/>
        <v>0</v>
      </c>
      <c r="CA474" s="353">
        <f t="shared" si="687"/>
        <v>0.95</v>
      </c>
      <c r="CB474" s="354">
        <f t="shared" si="688"/>
        <v>0.95</v>
      </c>
      <c r="CD474" s="311">
        <f t="shared" si="689"/>
        <v>466</v>
      </c>
    </row>
    <row r="475" spans="1:82" outlineLevel="1" x14ac:dyDescent="0.3">
      <c r="A475" s="1">
        <v>110208000</v>
      </c>
      <c r="B475" s="47">
        <f>VLOOKUP(C475,'NCES ID'!$A$2:$B$3136,2,FALSE)</f>
        <v>404570</v>
      </c>
      <c r="C475" s="47">
        <f>VLOOKUP(A475,'State ID'!$A$2:$B$713,2,FALSE)</f>
        <v>4439</v>
      </c>
      <c r="D475" s="147" t="s">
        <v>268</v>
      </c>
      <c r="E475" s="47" t="s">
        <v>20</v>
      </c>
      <c r="F475" s="382">
        <f>IFERROR(VLOOKUP($B475,'update_Formula counts'!$D$7:$R$234,'update_Formula counts'!F$5,0),0)</f>
        <v>219</v>
      </c>
      <c r="G475" s="382">
        <f>IFERROR(VLOOKUP($B475,'update_Formula counts'!$D$7:$R$234,'update_Formula counts'!G$5,0),0)</f>
        <v>0</v>
      </c>
      <c r="H475" s="382">
        <f>IFERROR(VLOOKUP($B475,'update_Formula counts'!$D$7:$R$234,'update_Formula counts'!H$5,0),0)</f>
        <v>0</v>
      </c>
      <c r="I475" s="382">
        <f>IFERROR(VLOOKUP($B475,'update_Formula counts'!$D$7:$R$234,'update_Formula counts'!I$5,0),0)</f>
        <v>12</v>
      </c>
      <c r="J475" s="382">
        <f>IFERROR(VLOOKUP($B475,'update_Formula counts'!$D$7:$R$234,'update_Formula counts'!J$5,0),0)</f>
        <v>0</v>
      </c>
      <c r="K475" s="382">
        <f t="shared" si="698"/>
        <v>219</v>
      </c>
      <c r="L475" s="444">
        <f>IFERROR(VLOOKUP($B475,'update_Formula counts'!$D$7:$R$234,'update_Formula counts'!L$5,0),0)</f>
        <v>1145</v>
      </c>
      <c r="M475" s="445">
        <f>IFERROR(VLOOKUP($B475,'update_Formula counts'!$D$7:$R$234,'update_Formula counts'!K$5,0),0)</f>
        <v>231</v>
      </c>
      <c r="N475" s="446">
        <f>IFERROR(VLOOKUP($B475,'update_Formula counts'!$D$7:$R$234,'update_Formula counts'!M$5,0),0)</f>
        <v>0.2017467248908297</v>
      </c>
      <c r="O475" s="137">
        <f>VLOOKUP($C475,'Final SEA Counts'!$A$2:$F$709,5,FALSE)</f>
        <v>664</v>
      </c>
      <c r="P475" s="208">
        <f>VLOOKUP($C475,'Final SEA Counts'!$A$2:$F$709,6,FALSE)</f>
        <v>544</v>
      </c>
      <c r="Q475" s="748">
        <f t="shared" si="699"/>
        <v>-23.258722723180863</v>
      </c>
      <c r="R475" s="444">
        <f t="shared" si="700"/>
        <v>1009.956173140652</v>
      </c>
      <c r="S475" s="445">
        <f t="shared" si="701"/>
        <v>207.74127727681915</v>
      </c>
      <c r="T475" s="229">
        <f t="shared" si="702"/>
        <v>0.20569335858486601</v>
      </c>
      <c r="U475" s="261">
        <f>VLOOKUP($B475,update_Allocation!$D$8:$Q$235,update_Allocation!K$239,0)</f>
        <v>222774.09453942039</v>
      </c>
      <c r="V475" s="262">
        <f>VLOOKUP($B475,update_Allocation!$D$8:$Q$235,update_Allocation!L$239,0)</f>
        <v>54333.658464096115</v>
      </c>
      <c r="W475" s="262">
        <f>VLOOKUP($B475,update_Allocation!$D$8:$Q$235,update_Allocation!M$239,0)</f>
        <v>74089.807695873169</v>
      </c>
      <c r="X475" s="262">
        <f>VLOOKUP($B475,update_Allocation!$D$8:$Q$235,update_Allocation!N$239,0)</f>
        <v>60563.838422985056</v>
      </c>
      <c r="Y475" s="263">
        <f>VLOOKUP($B475,update_Allocation!$D$8:$Q$235,update_Allocation!O$239,0)</f>
        <v>411761.39912237471</v>
      </c>
      <c r="Z475" s="262">
        <f t="shared" si="703"/>
        <v>200344.32048500481</v>
      </c>
      <c r="AA475" s="262">
        <f t="shared" si="704"/>
        <v>48863.131536721216</v>
      </c>
      <c r="AB475" s="262">
        <f t="shared" si="705"/>
        <v>66630.153781492772</v>
      </c>
      <c r="AC475" s="263">
        <f t="shared" si="706"/>
        <v>54466.032416841415</v>
      </c>
      <c r="AD475" s="262">
        <f t="shared" si="707"/>
        <v>200344.32048500481</v>
      </c>
      <c r="AE475" s="262">
        <f t="shared" si="708"/>
        <v>48863.131536721216</v>
      </c>
      <c r="AF475" s="262">
        <f t="shared" si="709"/>
        <v>66630.153781492772</v>
      </c>
      <c r="AG475" s="263">
        <f t="shared" si="710"/>
        <v>54466.032416841415</v>
      </c>
      <c r="AH475" s="262">
        <f t="shared" si="711"/>
        <v>200344.32048500481</v>
      </c>
      <c r="AI475" s="262">
        <f t="shared" si="711"/>
        <v>50275.934949066723</v>
      </c>
      <c r="AJ475" s="262">
        <f t="shared" si="711"/>
        <v>66630.153781492772</v>
      </c>
      <c r="AK475" s="262">
        <f t="shared" si="711"/>
        <v>54466.032416841415</v>
      </c>
      <c r="AL475" s="263">
        <f t="shared" si="712"/>
        <v>371716.44163240574</v>
      </c>
      <c r="AM475" s="346"/>
      <c r="AN475" s="261">
        <f>IFERROR(VLOOKUP($A475,'HH &amp; SI'!$B$4:$Z$494,'HH &amp; SI'!V$503,0),0)</f>
        <v>213657.83691039844</v>
      </c>
      <c r="AO475" s="262">
        <f>IFERROR(VLOOKUP($A475,'HH &amp; SI'!$B$4:$Z$494,'HH &amp; SI'!W$503,0),0)</f>
        <v>52316.661338801008</v>
      </c>
      <c r="AP475" s="262">
        <f>IFERROR(VLOOKUP($A475,'HH &amp; SI'!$B$4:$Z$494,'HH &amp; SI'!X$503,0),0)</f>
        <v>70908.284392157948</v>
      </c>
      <c r="AQ475" s="262">
        <f>IFERROR(VLOOKUP($A475,'HH &amp; SI'!$B$4:$Z$494,'HH &amp; SI'!Y$503,0),0)</f>
        <v>58031.695059295234</v>
      </c>
      <c r="AR475" s="263">
        <f t="shared" si="713"/>
        <v>394914.47770065261</v>
      </c>
      <c r="AS475" s="346"/>
      <c r="AT475" s="323">
        <f>IFERROR(VLOOKUP(A475,'Afton FY16 Final'!$A$5:$BV$572,'Afton FY16 Final'!$BV$587,0),0)</f>
        <v>430154.01300014235</v>
      </c>
      <c r="AU475" s="346"/>
      <c r="AV475" s="444">
        <v>0</v>
      </c>
      <c r="AW475" s="262">
        <f>IFERROR(VLOOKUP($A475,'HH &amp; SI'!$B$4:$EY$503,'HH &amp; SI'!EX$503,0),0)</f>
        <v>0</v>
      </c>
      <c r="AX475" s="262">
        <f>IFERROR(VLOOKUP($A475,'HH &amp; SI'!$B$4:$EY$503,'HH &amp; SI'!EY$503,0),0)</f>
        <v>394914.47770065261</v>
      </c>
      <c r="AY475" s="262">
        <f>AX475/$AX$582*'update_State Admin 1004(b)'!$B$30*0.01</f>
        <v>3779.6152457197804</v>
      </c>
      <c r="AZ475" s="263">
        <f t="shared" si="714"/>
        <v>391134.86245493282</v>
      </c>
      <c r="BA475" s="261">
        <f t="shared" si="715"/>
        <v>3911.3486245493282</v>
      </c>
      <c r="BB475" s="262">
        <f t="shared" si="716"/>
        <v>387223.51383038348</v>
      </c>
      <c r="BC475" s="341">
        <f t="shared" si="690"/>
        <v>0.90019737612038819</v>
      </c>
      <c r="BD475" s="346"/>
      <c r="BE475" s="376" t="str">
        <f>'Original Title I &amp; II'!AZ472</f>
        <v/>
      </c>
      <c r="BF475" s="243" t="str">
        <f t="shared" si="717"/>
        <v/>
      </c>
      <c r="BG475" s="263">
        <f t="shared" si="697"/>
        <v>387223.51383038348</v>
      </c>
      <c r="BI475" s="31">
        <f>IFERROR(VLOOKUP(A475,'Title II Hold Harmless'!A$1:B$439,2, FALSE),"")</f>
        <v>61169</v>
      </c>
      <c r="BJ475" s="31">
        <f t="shared" si="718"/>
        <v>64701.331131295228</v>
      </c>
      <c r="BK475" s="31">
        <f t="shared" si="719"/>
        <v>64763.922672316716</v>
      </c>
      <c r="BL475" s="31" t="str">
        <f t="shared" si="720"/>
        <v/>
      </c>
      <c r="BM475" s="31">
        <f t="shared" si="721"/>
        <v>64763.922672316716</v>
      </c>
      <c r="BN475" s="200"/>
      <c r="BP475" s="295" t="s">
        <v>1447</v>
      </c>
      <c r="BQ475" s="296" t="str">
        <f t="shared" si="682"/>
        <v>Y</v>
      </c>
      <c r="BR475" s="297" t="s">
        <v>1448</v>
      </c>
      <c r="BT475" s="295" t="str">
        <f t="shared" si="683"/>
        <v>Y</v>
      </c>
      <c r="BU475" s="296" t="str">
        <f t="shared" si="722"/>
        <v>Y</v>
      </c>
      <c r="BV475" s="296" t="str">
        <f t="shared" si="723"/>
        <v>Y</v>
      </c>
      <c r="BW475" s="297" t="str">
        <f t="shared" si="684"/>
        <v>Y</v>
      </c>
      <c r="BY475" s="352">
        <f t="shared" si="685"/>
        <v>0</v>
      </c>
      <c r="BZ475" s="353">
        <f t="shared" si="686"/>
        <v>0.9</v>
      </c>
      <c r="CA475" s="353">
        <f t="shared" si="687"/>
        <v>0</v>
      </c>
      <c r="CB475" s="354">
        <f t="shared" si="688"/>
        <v>0.9</v>
      </c>
      <c r="CD475" s="311">
        <f t="shared" si="689"/>
        <v>467</v>
      </c>
    </row>
    <row r="476" spans="1:82" outlineLevel="1" x14ac:dyDescent="0.3">
      <c r="A476" s="1">
        <v>110418000</v>
      </c>
      <c r="B476" s="47">
        <f>VLOOKUP(C476,'NCES ID'!$A$2:$B$3136,2,FALSE)</f>
        <v>407200</v>
      </c>
      <c r="C476" s="47">
        <f>VLOOKUP(A476,'State ID'!$A$2:$B$713,2,FALSE)</f>
        <v>4449</v>
      </c>
      <c r="D476" s="147" t="s">
        <v>364</v>
      </c>
      <c r="E476" s="47" t="s">
        <v>20</v>
      </c>
      <c r="F476" s="382">
        <f>IFERROR(VLOOKUP($B476,'update_Formula counts'!$D$7:$R$234,'update_Formula counts'!F$5,0),0)</f>
        <v>555</v>
      </c>
      <c r="G476" s="382">
        <f>IFERROR(VLOOKUP($B476,'update_Formula counts'!$D$7:$R$234,'update_Formula counts'!G$5,0),0)</f>
        <v>0</v>
      </c>
      <c r="H476" s="382">
        <f>IFERROR(VLOOKUP($B476,'update_Formula counts'!$D$7:$R$234,'update_Formula counts'!H$5,0),0)</f>
        <v>0</v>
      </c>
      <c r="I476" s="382">
        <f>IFERROR(VLOOKUP($B476,'update_Formula counts'!$D$7:$R$234,'update_Formula counts'!I$5,0),0)</f>
        <v>30</v>
      </c>
      <c r="J476" s="382">
        <f>IFERROR(VLOOKUP($B476,'update_Formula counts'!$D$7:$R$234,'update_Formula counts'!J$5,0),0)</f>
        <v>0</v>
      </c>
      <c r="K476" s="382">
        <f t="shared" si="698"/>
        <v>555</v>
      </c>
      <c r="L476" s="444">
        <f>IFERROR(VLOOKUP($B476,'update_Formula counts'!$D$7:$R$234,'update_Formula counts'!L$5,0),0)</f>
        <v>1219</v>
      </c>
      <c r="M476" s="445">
        <f>IFERROR(VLOOKUP($B476,'update_Formula counts'!$D$7:$R$234,'update_Formula counts'!K$5,0),0)</f>
        <v>585</v>
      </c>
      <c r="N476" s="446">
        <f>IFERROR(VLOOKUP($B476,'update_Formula counts'!$D$7:$R$234,'update_Formula counts'!M$5,0),0)</f>
        <v>0.47990155865463496</v>
      </c>
      <c r="O476" s="137">
        <f>VLOOKUP($C476,'Final SEA Counts'!$A$2:$F$709,5,FALSE)</f>
        <v>560</v>
      </c>
      <c r="P476" s="208">
        <f>VLOOKUP($C476,'Final SEA Counts'!$A$2:$F$709,6,FALSE)</f>
        <v>513</v>
      </c>
      <c r="Q476" s="748">
        <f t="shared" si="699"/>
        <v>-58.943338408061095</v>
      </c>
      <c r="R476" s="444">
        <f t="shared" si="700"/>
        <v>1075.2284498327117</v>
      </c>
      <c r="S476" s="445">
        <f t="shared" si="701"/>
        <v>526.05666159193891</v>
      </c>
      <c r="T476" s="229">
        <f t="shared" si="702"/>
        <v>0.48925106257538559</v>
      </c>
      <c r="U476" s="261">
        <f>VLOOKUP($B476,update_Allocation!$D$8:$Q$235,update_Allocation!K$239,0)</f>
        <v>589939.71629678109</v>
      </c>
      <c r="V476" s="262">
        <f>VLOOKUP($B476,update_Allocation!$D$8:$Q$235,update_Allocation!L$239,0)</f>
        <v>143883.79908330459</v>
      </c>
      <c r="W476" s="262">
        <f>VLOOKUP($B476,update_Allocation!$D$8:$Q$235,update_Allocation!M$239,0)</f>
        <v>366126.12463592819</v>
      </c>
      <c r="X476" s="262">
        <f>VLOOKUP($B476,update_Allocation!$D$8:$Q$235,update_Allocation!N$239,0)</f>
        <v>402724.44280113216</v>
      </c>
      <c r="Y476" s="263">
        <f>VLOOKUP($B476,update_Allocation!$D$8:$Q$235,update_Allocation!O$239,0)</f>
        <v>1502674.0828171459</v>
      </c>
      <c r="Z476" s="262">
        <f t="shared" si="703"/>
        <v>530542.26000986365</v>
      </c>
      <c r="AA476" s="262">
        <f t="shared" si="704"/>
        <v>129397.01097537053</v>
      </c>
      <c r="AB476" s="262">
        <f t="shared" si="705"/>
        <v>329263.10307149973</v>
      </c>
      <c r="AC476" s="263">
        <f t="shared" si="706"/>
        <v>362176.55828657339</v>
      </c>
      <c r="AD476" s="262">
        <f t="shared" si="707"/>
        <v>530542.26000986365</v>
      </c>
      <c r="AE476" s="262">
        <f t="shared" si="708"/>
        <v>129397.01097537053</v>
      </c>
      <c r="AF476" s="262">
        <f t="shared" si="709"/>
        <v>329263.10307149973</v>
      </c>
      <c r="AG476" s="263">
        <f t="shared" si="710"/>
        <v>362176.55828657339</v>
      </c>
      <c r="AH476" s="262">
        <f t="shared" si="711"/>
        <v>530542.26000986365</v>
      </c>
      <c r="AI476" s="262">
        <f t="shared" si="711"/>
        <v>130809.81438771603</v>
      </c>
      <c r="AJ476" s="262">
        <f t="shared" si="711"/>
        <v>329263.10307149973</v>
      </c>
      <c r="AK476" s="262">
        <f t="shared" si="711"/>
        <v>362176.55828657339</v>
      </c>
      <c r="AL476" s="263">
        <f t="shared" si="712"/>
        <v>1352791.7357556527</v>
      </c>
      <c r="AM476" s="346"/>
      <c r="AN476" s="261">
        <f>IFERROR(VLOOKUP($A476,'HH &amp; SI'!$B$4:$Z$494,'HH &amp; SI'!V$503,0),0)</f>
        <v>565798.47828401951</v>
      </c>
      <c r="AO476" s="262">
        <f>IFERROR(VLOOKUP($A476,'HH &amp; SI'!$B$4:$Z$494,'HH &amp; SI'!W$503,0),0)</f>
        <v>138542.48363848982</v>
      </c>
      <c r="AP476" s="262">
        <f>IFERROR(VLOOKUP($A476,'HH &amp; SI'!$B$4:$Z$494,'HH &amp; SI'!X$503,0),0)</f>
        <v>350404.14027865138</v>
      </c>
      <c r="AQ476" s="262">
        <f>IFERROR(VLOOKUP($A476,'HH &amp; SI'!$B$4:$Z$494,'HH &amp; SI'!Y$503,0),0)</f>
        <v>385886.73812804866</v>
      </c>
      <c r="AR476" s="263">
        <f t="shared" si="713"/>
        <v>1440631.8403292093</v>
      </c>
      <c r="AS476" s="346"/>
      <c r="AT476" s="323">
        <f>IFERROR(VLOOKUP(A476,'Afton FY16 Final'!$A$5:$BV$572,'Afton FY16 Final'!$BV$587,0),0)</f>
        <v>1486595.5785596932</v>
      </c>
      <c r="AU476" s="346"/>
      <c r="AV476" s="444">
        <v>0</v>
      </c>
      <c r="AW476" s="262">
        <f>IFERROR(VLOOKUP($A476,'HH &amp; SI'!$B$4:$EY$503,'HH &amp; SI'!EX$503,0),0)</f>
        <v>0</v>
      </c>
      <c r="AX476" s="262">
        <f>IFERROR(VLOOKUP($A476,'HH &amp; SI'!$B$4:$EY$503,'HH &amp; SI'!EY$503,0),0)</f>
        <v>1440631.8403292093</v>
      </c>
      <c r="AY476" s="262">
        <f>AX476/$AX$582*'update_State Admin 1004(b)'!$B$30*0.01</f>
        <v>13787.881616497712</v>
      </c>
      <c r="AZ476" s="263">
        <f t="shared" si="714"/>
        <v>1426843.9587127117</v>
      </c>
      <c r="BA476" s="261">
        <f t="shared" si="715"/>
        <v>14268.439587127117</v>
      </c>
      <c r="BB476" s="262">
        <f t="shared" si="716"/>
        <v>1412575.5191255845</v>
      </c>
      <c r="BC476" s="341">
        <f t="shared" si="690"/>
        <v>0.95020834146040989</v>
      </c>
      <c r="BD476" s="346"/>
      <c r="BE476" s="376" t="str">
        <f>'Original Title I &amp; II'!AZ473</f>
        <v/>
      </c>
      <c r="BF476" s="243" t="str">
        <f t="shared" si="717"/>
        <v/>
      </c>
      <c r="BG476" s="263">
        <f t="shared" si="697"/>
        <v>1412575.5191255845</v>
      </c>
      <c r="BI476" s="31">
        <f>IFERROR(VLOOKUP(A476,'Title II Hold Harmless'!A$1:B$439,2, FALSE),"")</f>
        <v>47854</v>
      </c>
      <c r="BJ476" s="31">
        <f t="shared" si="718"/>
        <v>55605.894698252836</v>
      </c>
      <c r="BK476" s="31">
        <f t="shared" si="719"/>
        <v>55659.687388112332</v>
      </c>
      <c r="BL476" s="31" t="str">
        <f t="shared" si="720"/>
        <v/>
      </c>
      <c r="BM476" s="31">
        <f t="shared" si="721"/>
        <v>55659.687388112332</v>
      </c>
      <c r="BN476" s="200"/>
      <c r="BP476" s="295" t="s">
        <v>1447</v>
      </c>
      <c r="BQ476" s="296" t="str">
        <f t="shared" si="682"/>
        <v>Y</v>
      </c>
      <c r="BR476" s="297" t="s">
        <v>1448</v>
      </c>
      <c r="BT476" s="295" t="str">
        <f t="shared" si="683"/>
        <v>Y</v>
      </c>
      <c r="BU476" s="296" t="str">
        <f t="shared" si="722"/>
        <v>Y</v>
      </c>
      <c r="BV476" s="296" t="str">
        <f t="shared" si="723"/>
        <v>Y</v>
      </c>
      <c r="BW476" s="297" t="str">
        <f t="shared" si="684"/>
        <v>Y</v>
      </c>
      <c r="BY476" s="352">
        <f t="shared" si="685"/>
        <v>0</v>
      </c>
      <c r="BZ476" s="353">
        <f t="shared" si="686"/>
        <v>0</v>
      </c>
      <c r="CA476" s="353">
        <f t="shared" si="687"/>
        <v>0.95</v>
      </c>
      <c r="CB476" s="354">
        <f t="shared" si="688"/>
        <v>0.95</v>
      </c>
      <c r="CD476" s="311">
        <f t="shared" si="689"/>
        <v>468</v>
      </c>
    </row>
    <row r="477" spans="1:82" outlineLevel="1" x14ac:dyDescent="0.3">
      <c r="A477" s="1">
        <v>110422000</v>
      </c>
      <c r="B477" s="47">
        <f>VLOOKUP(C477,'NCES ID'!$A$2:$B$3136,2,FALSE)</f>
        <v>408550</v>
      </c>
      <c r="C477" s="47">
        <f>VLOOKUP(A477,'State ID'!$A$2:$B$713,2,FALSE)</f>
        <v>4450</v>
      </c>
      <c r="D477" s="147" t="s">
        <v>416</v>
      </c>
      <c r="E477" s="47" t="s">
        <v>20</v>
      </c>
      <c r="F477" s="382">
        <f>IFERROR(VLOOKUP($B477,'update_Formula counts'!$D$7:$R$234,'update_Formula counts'!F$5,0),0)</f>
        <v>276</v>
      </c>
      <c r="G477" s="382">
        <f>IFERROR(VLOOKUP($B477,'update_Formula counts'!$D$7:$R$234,'update_Formula counts'!G$5,0),0)</f>
        <v>0</v>
      </c>
      <c r="H477" s="382">
        <f>IFERROR(VLOOKUP($B477,'update_Formula counts'!$D$7:$R$234,'update_Formula counts'!H$5,0),0)</f>
        <v>0</v>
      </c>
      <c r="I477" s="382">
        <f>IFERROR(VLOOKUP($B477,'update_Formula counts'!$D$7:$R$234,'update_Formula counts'!I$5,0),0)</f>
        <v>15</v>
      </c>
      <c r="J477" s="382">
        <f>IFERROR(VLOOKUP($B477,'update_Formula counts'!$D$7:$R$234,'update_Formula counts'!J$5,0),0)</f>
        <v>0</v>
      </c>
      <c r="K477" s="382">
        <f t="shared" si="698"/>
        <v>276</v>
      </c>
      <c r="L477" s="444">
        <f>IFERROR(VLOOKUP($B477,'update_Formula counts'!$D$7:$R$234,'update_Formula counts'!L$5,0),0)</f>
        <v>1962</v>
      </c>
      <c r="M477" s="445">
        <f>IFERROR(VLOOKUP($B477,'update_Formula counts'!$D$7:$R$234,'update_Formula counts'!K$5,0),0)</f>
        <v>291</v>
      </c>
      <c r="N477" s="446">
        <f>IFERROR(VLOOKUP($B477,'update_Formula counts'!$D$7:$R$234,'update_Formula counts'!M$5,0),0)</f>
        <v>0.14831804281345565</v>
      </c>
      <c r="O477" s="137">
        <f>VLOOKUP($C477,'Final SEA Counts'!$A$2:$F$709,5,FALSE)</f>
        <v>1088</v>
      </c>
      <c r="P477" s="208">
        <f>VLOOKUP($C477,'Final SEA Counts'!$A$2:$F$709,6,FALSE)</f>
        <v>833</v>
      </c>
      <c r="Q477" s="748">
        <f t="shared" si="699"/>
        <v>-29.31236288400876</v>
      </c>
      <c r="R477" s="444">
        <f t="shared" si="700"/>
        <v>1730.5973901327154</v>
      </c>
      <c r="S477" s="445">
        <f t="shared" si="701"/>
        <v>261.68763711599127</v>
      </c>
      <c r="T477" s="229">
        <f t="shared" si="702"/>
        <v>0.15121231466547114</v>
      </c>
      <c r="U477" s="261">
        <f>VLOOKUP($B477,update_Allocation!$D$8:$Q$235,update_Allocation!K$239,0)</f>
        <v>147162.6091315838</v>
      </c>
      <c r="V477" s="262">
        <f>VLOOKUP($B477,update_Allocation!$D$8:$Q$235,update_Allocation!L$239,0)</f>
        <v>34846.325228959533</v>
      </c>
      <c r="W477" s="262">
        <f>VLOOKUP($B477,update_Allocation!$D$8:$Q$235,update_Allocation!M$239,0)</f>
        <v>49500.527454205403</v>
      </c>
      <c r="X477" s="262">
        <f>VLOOKUP($B477,update_Allocation!$D$8:$Q$235,update_Allocation!N$239,0)</f>
        <v>37567.886966246333</v>
      </c>
      <c r="Y477" s="263">
        <f>VLOOKUP($B477,update_Allocation!$D$8:$Q$235,update_Allocation!O$239,0)</f>
        <v>269077.34878099506</v>
      </c>
      <c r="Z477" s="262">
        <f t="shared" si="703"/>
        <v>132345.69750232066</v>
      </c>
      <c r="AA477" s="262">
        <f t="shared" si="704"/>
        <v>31337.859834326591</v>
      </c>
      <c r="AB477" s="262">
        <f t="shared" si="705"/>
        <v>44516.619209991863</v>
      </c>
      <c r="AC477" s="263">
        <f t="shared" si="706"/>
        <v>33785.404007009689</v>
      </c>
      <c r="AD477" s="262">
        <f t="shared" si="707"/>
        <v>132345.69750232066</v>
      </c>
      <c r="AE477" s="262">
        <f t="shared" si="708"/>
        <v>31337.859834326591</v>
      </c>
      <c r="AF477" s="262">
        <f t="shared" si="709"/>
        <v>44516.619209991863</v>
      </c>
      <c r="AG477" s="263">
        <f t="shared" si="710"/>
        <v>33785.404007009689</v>
      </c>
      <c r="AH477" s="262">
        <f t="shared" si="711"/>
        <v>132345.69750232066</v>
      </c>
      <c r="AI477" s="262">
        <f t="shared" si="711"/>
        <v>32750.663246672095</v>
      </c>
      <c r="AJ477" s="262">
        <f t="shared" si="711"/>
        <v>44516.619209991863</v>
      </c>
      <c r="AK477" s="262">
        <f t="shared" si="711"/>
        <v>33785.404007009689</v>
      </c>
      <c r="AL477" s="263">
        <f t="shared" si="712"/>
        <v>243398.38396599432</v>
      </c>
      <c r="AM477" s="346"/>
      <c r="AN477" s="261">
        <f>IFERROR(VLOOKUP($A477,'HH &amp; SI'!$B$4:$Z$494,'HH &amp; SI'!V$503,0),0)</f>
        <v>141756.71087464129</v>
      </c>
      <c r="AO477" s="262">
        <f>IFERROR(VLOOKUP($A477,'HH &amp; SI'!$B$4:$Z$494,'HH &amp; SI'!W$503,0),0)</f>
        <v>34462.387443672415</v>
      </c>
      <c r="AP477" s="262">
        <f>IFERROR(VLOOKUP($A477,'HH &amp; SI'!$B$4:$Z$494,'HH &amp; SI'!X$503,0),0)</f>
        <v>47757.81625262335</v>
      </c>
      <c r="AQ477" s="262">
        <f>IFERROR(VLOOKUP($A477,'HH &amp; SI'!$B$4:$Z$494,'HH &amp; SI'!Y$503,0),0)</f>
        <v>36216.141448566945</v>
      </c>
      <c r="AR477" s="263">
        <f t="shared" si="713"/>
        <v>260193.056019504</v>
      </c>
      <c r="AS477" s="346"/>
      <c r="AT477" s="323">
        <f>IFERROR(VLOOKUP(A477,'Afton FY16 Final'!$A$5:$BV$572,'Afton FY16 Final'!$BV$587,0),0)</f>
        <v>283410.94976618909</v>
      </c>
      <c r="AU477" s="346"/>
      <c r="AV477" s="444">
        <v>0</v>
      </c>
      <c r="AW477" s="262">
        <f>IFERROR(VLOOKUP($A477,'HH &amp; SI'!$B$4:$EY$503,'HH &amp; SI'!EX$503,0),0)</f>
        <v>0</v>
      </c>
      <c r="AX477" s="262">
        <f>IFERROR(VLOOKUP($A477,'HH &amp; SI'!$B$4:$EY$503,'HH &amp; SI'!EY$503,0),0)</f>
        <v>260193.056019504</v>
      </c>
      <c r="AY477" s="262">
        <f>AX477/$AX$582*'update_State Admin 1004(b)'!$B$30*0.01</f>
        <v>2490.2344606043621</v>
      </c>
      <c r="AZ477" s="263">
        <f t="shared" si="714"/>
        <v>257702.82155889965</v>
      </c>
      <c r="BA477" s="261">
        <f t="shared" si="715"/>
        <v>2577.0282155889968</v>
      </c>
      <c r="BB477" s="262">
        <f t="shared" si="716"/>
        <v>255125.79334331065</v>
      </c>
      <c r="BC477" s="341">
        <f t="shared" si="690"/>
        <v>0.90019737612038853</v>
      </c>
      <c r="BD477" s="346"/>
      <c r="BE477" s="376" t="str">
        <f>'Original Title I &amp; II'!AZ474</f>
        <v/>
      </c>
      <c r="BF477" s="243" t="str">
        <f t="shared" si="717"/>
        <v/>
      </c>
      <c r="BG477" s="263">
        <f t="shared" si="697"/>
        <v>255125.79334331065</v>
      </c>
      <c r="BI477" s="31">
        <f>IFERROR(VLOOKUP(A477,'Title II Hold Harmless'!A$1:B$439,2, FALSE),"")</f>
        <v>26977</v>
      </c>
      <c r="BJ477" s="31">
        <f t="shared" si="718"/>
        <v>31795.508953298155</v>
      </c>
      <c r="BK477" s="31">
        <f t="shared" si="719"/>
        <v>31826.267669821482</v>
      </c>
      <c r="BL477" s="31" t="str">
        <f t="shared" si="720"/>
        <v/>
      </c>
      <c r="BM477" s="31">
        <f t="shared" si="721"/>
        <v>31826.267669821482</v>
      </c>
      <c r="BN477" s="200"/>
      <c r="BP477" s="295" t="s">
        <v>1447</v>
      </c>
      <c r="BQ477" s="296" t="str">
        <f t="shared" si="682"/>
        <v>Y</v>
      </c>
      <c r="BR477" s="297" t="s">
        <v>1448</v>
      </c>
      <c r="BT477" s="295" t="str">
        <f t="shared" si="683"/>
        <v>Y</v>
      </c>
      <c r="BU477" s="296" t="str">
        <f t="shared" si="722"/>
        <v>Y</v>
      </c>
      <c r="BV477" s="296" t="str">
        <f t="shared" si="723"/>
        <v>Y</v>
      </c>
      <c r="BW477" s="297" t="str">
        <f t="shared" si="684"/>
        <v>Y</v>
      </c>
      <c r="BY477" s="352">
        <f t="shared" si="685"/>
        <v>0</v>
      </c>
      <c r="BZ477" s="353">
        <f t="shared" si="686"/>
        <v>0.9</v>
      </c>
      <c r="CA477" s="353">
        <f t="shared" si="687"/>
        <v>0</v>
      </c>
      <c r="CB477" s="354">
        <f t="shared" si="688"/>
        <v>0.9</v>
      </c>
      <c r="CD477" s="311">
        <f t="shared" si="689"/>
        <v>469</v>
      </c>
    </row>
    <row r="478" spans="1:82" outlineLevel="1" x14ac:dyDescent="0.3">
      <c r="A478" s="1">
        <v>110502000</v>
      </c>
      <c r="B478" s="47">
        <f>VLOOKUP(C478,'NCES ID'!$A$2:$B$3136,2,FALSE)</f>
        <v>401740</v>
      </c>
      <c r="C478" s="47">
        <f>VLOOKUP(A478,'State ID'!$A$2:$B$713,2,FALSE)</f>
        <v>4453</v>
      </c>
      <c r="D478" s="147" t="s">
        <v>94</v>
      </c>
      <c r="E478" s="47" t="s">
        <v>20</v>
      </c>
      <c r="F478" s="382">
        <f>IFERROR(VLOOKUP($B478,'update_Formula counts'!$D$7:$R$234,'update_Formula counts'!F$5,0),0)</f>
        <v>1202</v>
      </c>
      <c r="G478" s="382">
        <f>IFERROR(VLOOKUP($B478,'update_Formula counts'!$D$7:$R$234,'update_Formula counts'!G$5,0),0)</f>
        <v>0</v>
      </c>
      <c r="H478" s="382">
        <f>IFERROR(VLOOKUP($B478,'update_Formula counts'!$D$7:$R$234,'update_Formula counts'!H$5,0),0)</f>
        <v>0</v>
      </c>
      <c r="I478" s="382">
        <f>IFERROR(VLOOKUP($B478,'update_Formula counts'!$D$7:$R$234,'update_Formula counts'!I$5,0),0)</f>
        <v>65</v>
      </c>
      <c r="J478" s="382">
        <f>IFERROR(VLOOKUP($B478,'update_Formula counts'!$D$7:$R$234,'update_Formula counts'!J$5,0),0)</f>
        <v>0</v>
      </c>
      <c r="K478" s="382">
        <f t="shared" si="698"/>
        <v>1202</v>
      </c>
      <c r="L478" s="444">
        <f>IFERROR(VLOOKUP($B478,'update_Formula counts'!$D$7:$R$234,'update_Formula counts'!L$5,0),0)</f>
        <v>5452</v>
      </c>
      <c r="M478" s="445">
        <f>IFERROR(VLOOKUP($B478,'update_Formula counts'!$D$7:$R$234,'update_Formula counts'!K$5,0),0)</f>
        <v>1267</v>
      </c>
      <c r="N478" s="446">
        <f>IFERROR(VLOOKUP($B478,'update_Formula counts'!$D$7:$R$234,'update_Formula counts'!M$5,0),0)</f>
        <v>0.23239178283198828</v>
      </c>
      <c r="O478" s="137">
        <f>VLOOKUP($C478,'Final SEA Counts'!$A$2:$F$709,5,FALSE)</f>
        <v>2754</v>
      </c>
      <c r="P478" s="208">
        <f>VLOOKUP($C478,'Final SEA Counts'!$A$2:$F$709,6,FALSE)</f>
        <v>1719</v>
      </c>
      <c r="Q478" s="748">
        <f t="shared" si="699"/>
        <v>-127.65746444412511</v>
      </c>
      <c r="R478" s="444">
        <f t="shared" si="700"/>
        <v>4808.9790881771478</v>
      </c>
      <c r="S478" s="445">
        <f t="shared" si="701"/>
        <v>1139.342535555875</v>
      </c>
      <c r="T478" s="229">
        <f t="shared" si="702"/>
        <v>0.23691983572083797</v>
      </c>
      <c r="U478" s="261">
        <f>VLOOKUP($B478,update_Allocation!$D$8:$Q$235,update_Allocation!K$239,0)</f>
        <v>599151.68538770778</v>
      </c>
      <c r="V478" s="262">
        <f>VLOOKUP($B478,update_Allocation!$D$8:$Q$235,update_Allocation!L$239,0)</f>
        <v>142723.41144957664</v>
      </c>
      <c r="W478" s="262">
        <f>VLOOKUP($B478,update_Allocation!$D$8:$Q$235,update_Allocation!M$239,0)</f>
        <v>232107.66944153831</v>
      </c>
      <c r="X478" s="262">
        <f>VLOOKUP($B478,update_Allocation!$D$8:$Q$235,update_Allocation!N$239,0)</f>
        <v>190705.06039556759</v>
      </c>
      <c r="Y478" s="263">
        <f>VLOOKUP($B478,update_Allocation!$D$8:$Q$235,update_Allocation!O$239,0)</f>
        <v>1164687.8266743904</v>
      </c>
      <c r="Z478" s="262">
        <f t="shared" si="703"/>
        <v>538826.73173745046</v>
      </c>
      <c r="AA478" s="262">
        <f t="shared" si="704"/>
        <v>128353.4557430664</v>
      </c>
      <c r="AB478" s="262">
        <f t="shared" si="705"/>
        <v>208738.15427131974</v>
      </c>
      <c r="AC478" s="263">
        <f t="shared" si="706"/>
        <v>171504.12312074745</v>
      </c>
      <c r="AD478" s="262">
        <f t="shared" si="707"/>
        <v>538826.73173745046</v>
      </c>
      <c r="AE478" s="262">
        <f t="shared" si="708"/>
        <v>128353.4557430664</v>
      </c>
      <c r="AF478" s="262">
        <f t="shared" si="709"/>
        <v>208738.15427131974</v>
      </c>
      <c r="AG478" s="263">
        <f t="shared" si="710"/>
        <v>171504.12312074745</v>
      </c>
      <c r="AH478" s="262">
        <f t="shared" si="711"/>
        <v>538826.73173745046</v>
      </c>
      <c r="AI478" s="262">
        <f t="shared" si="711"/>
        <v>129766.2591554119</v>
      </c>
      <c r="AJ478" s="262">
        <f t="shared" si="711"/>
        <v>208738.15427131974</v>
      </c>
      <c r="AK478" s="262">
        <f t="shared" si="711"/>
        <v>171504.12312074745</v>
      </c>
      <c r="AL478" s="263">
        <f t="shared" si="712"/>
        <v>1048835.2682849295</v>
      </c>
      <c r="AM478" s="346"/>
      <c r="AN478" s="261">
        <f>IFERROR(VLOOKUP($A478,'HH &amp; SI'!$B$4:$Z$494,'HH &amp; SI'!V$503,0),0)</f>
        <v>531476.78538369911</v>
      </c>
      <c r="AO478" s="262">
        <f>IFERROR(VLOOKUP($A478,'HH &amp; SI'!$B$4:$Z$494,'HH &amp; SI'!W$503,0),0)</f>
        <v>125492.23301663768</v>
      </c>
      <c r="AP478" s="262">
        <f>IFERROR(VLOOKUP($A478,'HH &amp; SI'!$B$4:$Z$494,'HH &amp; SI'!X$503,0),0)</f>
        <v>208204.70079958462</v>
      </c>
      <c r="AQ478" s="262">
        <f>IFERROR(VLOOKUP($A478,'HH &amp; SI'!$B$4:$Z$494,'HH &amp; SI'!Y$503,0),0)</f>
        <v>182138.74531868295</v>
      </c>
      <c r="AR478" s="263">
        <f t="shared" si="713"/>
        <v>1047312.4645186045</v>
      </c>
      <c r="AS478" s="346"/>
      <c r="AT478" s="323">
        <f>IFERROR(VLOOKUP(A478,'Afton FY16 Final'!$A$5:$BV$572,'Afton FY16 Final'!$BV$587,0),0)</f>
        <v>1099549.5968643804</v>
      </c>
      <c r="AU478" s="346"/>
      <c r="AV478" s="444">
        <v>0</v>
      </c>
      <c r="AW478" s="262">
        <f>IFERROR(VLOOKUP($A478,'HH &amp; SI'!$B$4:$EY$503,'HH &amp; SI'!EX$503,0),0)</f>
        <v>0</v>
      </c>
      <c r="AX478" s="262">
        <f>IFERROR(VLOOKUP($A478,'HH &amp; SI'!$B$4:$EY$503,'HH &amp; SI'!EY$503,0),0)</f>
        <v>1047312.4645186045</v>
      </c>
      <c r="AY478" s="262">
        <f>AX478/$AX$582*'update_State Admin 1004(b)'!$B$30*0.01</f>
        <v>10023.532641736654</v>
      </c>
      <c r="AZ478" s="263">
        <f t="shared" si="714"/>
        <v>1037288.9318768678</v>
      </c>
      <c r="BA478" s="261">
        <f t="shared" si="715"/>
        <v>10372.889318768677</v>
      </c>
      <c r="BB478" s="262">
        <f t="shared" si="716"/>
        <v>1026916.0425580991</v>
      </c>
      <c r="BC478" s="341">
        <f t="shared" si="690"/>
        <v>0.9339424483321056</v>
      </c>
      <c r="BD478" s="346"/>
      <c r="BE478" s="376" t="str">
        <f>'Original Title I &amp; II'!AZ475</f>
        <v/>
      </c>
      <c r="BF478" s="243" t="str">
        <f t="shared" si="717"/>
        <v/>
      </c>
      <c r="BG478" s="263">
        <f t="shared" si="697"/>
        <v>1026916.0425580991</v>
      </c>
      <c r="BI478" s="31">
        <f>IFERROR(VLOOKUP(A478,'Title II Hold Harmless'!A$1:B$439,2, FALSE),"")</f>
        <v>108766</v>
      </c>
      <c r="BJ478" s="31">
        <f t="shared" si="718"/>
        <v>127551.27546535488</v>
      </c>
      <c r="BK478" s="31">
        <f t="shared" si="719"/>
        <v>127674.66753088181</v>
      </c>
      <c r="BL478" s="31" t="str">
        <f t="shared" si="720"/>
        <v/>
      </c>
      <c r="BM478" s="31">
        <f t="shared" si="721"/>
        <v>127674.66753088181</v>
      </c>
      <c r="BN478" s="200"/>
      <c r="BP478" s="295" t="s">
        <v>1447</v>
      </c>
      <c r="BQ478" s="296" t="str">
        <f t="shared" si="682"/>
        <v>Y</v>
      </c>
      <c r="BR478" s="297" t="s">
        <v>1448</v>
      </c>
      <c r="BT478" s="295" t="str">
        <f t="shared" si="683"/>
        <v>Y</v>
      </c>
      <c r="BU478" s="296" t="str">
        <f t="shared" si="722"/>
        <v>Y</v>
      </c>
      <c r="BV478" s="296" t="str">
        <f t="shared" si="723"/>
        <v>Y</v>
      </c>
      <c r="BW478" s="297" t="str">
        <f t="shared" si="684"/>
        <v>Y</v>
      </c>
      <c r="BY478" s="352">
        <f t="shared" si="685"/>
        <v>0</v>
      </c>
      <c r="BZ478" s="353">
        <f t="shared" si="686"/>
        <v>0.9</v>
      </c>
      <c r="CA478" s="353">
        <f t="shared" si="687"/>
        <v>0</v>
      </c>
      <c r="CB478" s="354">
        <f t="shared" si="688"/>
        <v>0.9</v>
      </c>
      <c r="CD478" s="311">
        <f t="shared" si="689"/>
        <v>470</v>
      </c>
    </row>
    <row r="479" spans="1:82" outlineLevel="1" x14ac:dyDescent="0.3">
      <c r="A479" s="1">
        <v>110243000</v>
      </c>
      <c r="B479" s="47">
        <f>VLOOKUP(C479,'NCES ID'!$A$2:$B$3136,2,FALSE)</f>
        <v>400790</v>
      </c>
      <c r="C479" s="47">
        <f>VLOOKUP(A479,'State ID'!$A$2:$B$713,2,FALSE)</f>
        <v>4443</v>
      </c>
      <c r="D479" s="147" t="s">
        <v>39</v>
      </c>
      <c r="E479" s="47" t="s">
        <v>20</v>
      </c>
      <c r="F479" s="382">
        <f>IFERROR(VLOOKUP($B479,'update_Formula counts'!$D$7:$R$234,'update_Formula counts'!F$5,0),0)</f>
        <v>2034</v>
      </c>
      <c r="G479" s="382">
        <f>IFERROR(VLOOKUP($B479,'update_Formula counts'!$D$7:$R$234,'update_Formula counts'!G$5,0),0)</f>
        <v>0</v>
      </c>
      <c r="H479" s="382">
        <f>IFERROR(VLOOKUP($B479,'update_Formula counts'!$D$7:$R$234,'update_Formula counts'!H$5,0),0)</f>
        <v>0</v>
      </c>
      <c r="I479" s="382">
        <f>IFERROR(VLOOKUP($B479,'update_Formula counts'!$D$7:$R$234,'update_Formula counts'!I$5,0),0)</f>
        <v>110</v>
      </c>
      <c r="J479" s="382">
        <f>IFERROR(VLOOKUP($B479,'update_Formula counts'!$D$7:$R$234,'update_Formula counts'!J$5,0),0)</f>
        <v>0</v>
      </c>
      <c r="K479" s="382">
        <f t="shared" si="698"/>
        <v>2034</v>
      </c>
      <c r="L479" s="444">
        <f>IFERROR(VLOOKUP($B479,'update_Formula counts'!$D$7:$R$234,'update_Formula counts'!L$5,0),0)</f>
        <v>7561</v>
      </c>
      <c r="M479" s="445">
        <f>IFERROR(VLOOKUP($B479,'update_Formula counts'!$D$7:$R$234,'update_Formula counts'!K$5,0),0)</f>
        <v>2144</v>
      </c>
      <c r="N479" s="446">
        <f>IFERROR(VLOOKUP($B479,'update_Formula counts'!$D$7:$R$234,'update_Formula counts'!M$5,0),0)</f>
        <v>0.28356037561169156</v>
      </c>
      <c r="O479" s="137">
        <f>VLOOKUP($C479,'Final SEA Counts'!$A$2:$F$709,5,FALSE)</f>
        <v>3849</v>
      </c>
      <c r="P479" s="208">
        <f>VLOOKUP($C479,'Final SEA Counts'!$A$2:$F$709,6,FALSE)</f>
        <v>2740</v>
      </c>
      <c r="Q479" s="748">
        <f t="shared" si="699"/>
        <v>-216.01936994954281</v>
      </c>
      <c r="R479" s="444">
        <f t="shared" si="700"/>
        <v>6669.2389739008468</v>
      </c>
      <c r="S479" s="445">
        <f t="shared" si="701"/>
        <v>1927.9806300504572</v>
      </c>
      <c r="T479" s="229">
        <f t="shared" si="702"/>
        <v>0.28908555197907065</v>
      </c>
      <c r="U479" s="261">
        <f>VLOOKUP($B479,update_Allocation!$D$8:$Q$235,update_Allocation!K$239,0)</f>
        <v>1013876.2537263184</v>
      </c>
      <c r="V479" s="262">
        <f>VLOOKUP($B479,update_Allocation!$D$8:$Q$235,update_Allocation!L$239,0)</f>
        <v>241514.59680180924</v>
      </c>
      <c r="W479" s="262">
        <f>VLOOKUP($B479,update_Allocation!$D$8:$Q$235,update_Allocation!M$239,0)</f>
        <v>459931.35272434604</v>
      </c>
      <c r="X479" s="262">
        <f>VLOOKUP($B479,update_Allocation!$D$8:$Q$235,update_Allocation!N$239,0)</f>
        <v>369282.12094928313</v>
      </c>
      <c r="Y479" s="263">
        <f>VLOOKUP($B479,update_Allocation!$D$8:$Q$235,update_Allocation!O$239,0)</f>
        <v>2084604.3242017566</v>
      </c>
      <c r="Z479" s="262">
        <f t="shared" si="703"/>
        <v>911795.19561570138</v>
      </c>
      <c r="AA479" s="262">
        <f t="shared" si="704"/>
        <v>217197.95510113207</v>
      </c>
      <c r="AB479" s="262">
        <f t="shared" si="705"/>
        <v>413623.65099862614</v>
      </c>
      <c r="AC479" s="263">
        <f t="shared" si="706"/>
        <v>332101.34123451193</v>
      </c>
      <c r="AD479" s="262">
        <f t="shared" si="707"/>
        <v>911795.19561570138</v>
      </c>
      <c r="AE479" s="262">
        <f t="shared" si="708"/>
        <v>217197.95510113207</v>
      </c>
      <c r="AF479" s="262">
        <f t="shared" si="709"/>
        <v>413623.65099862614</v>
      </c>
      <c r="AG479" s="263">
        <f t="shared" si="710"/>
        <v>332101.34123451193</v>
      </c>
      <c r="AH479" s="262">
        <f t="shared" si="711"/>
        <v>911795.19561570138</v>
      </c>
      <c r="AI479" s="262">
        <f t="shared" si="711"/>
        <v>218610.75851347757</v>
      </c>
      <c r="AJ479" s="262">
        <f t="shared" si="711"/>
        <v>413623.65099862614</v>
      </c>
      <c r="AK479" s="262">
        <f t="shared" si="711"/>
        <v>332101.34123451193</v>
      </c>
      <c r="AL479" s="263">
        <f t="shared" si="712"/>
        <v>1876130.9463623171</v>
      </c>
      <c r="AM479" s="346"/>
      <c r="AN479" s="261">
        <f>IFERROR(VLOOKUP($A479,'HH &amp; SI'!$B$4:$Z$494,'HH &amp; SI'!V$503,0),0)</f>
        <v>899357.71733437304</v>
      </c>
      <c r="AO479" s="262">
        <f>IFERROR(VLOOKUP($A479,'HH &amp; SI'!$B$4:$Z$494,'HH &amp; SI'!W$503,0),0)</f>
        <v>211410.51938980169</v>
      </c>
      <c r="AP479" s="262">
        <f>IFERROR(VLOOKUP($A479,'HH &amp; SI'!$B$4:$Z$494,'HH &amp; SI'!X$503,0),0)</f>
        <v>409861.90538604202</v>
      </c>
      <c r="AQ479" s="262">
        <f>IFERROR(VLOOKUP($A479,'HH &amp; SI'!$B$4:$Z$494,'HH &amp; SI'!Y$503,0),0)</f>
        <v>328442.18226705899</v>
      </c>
      <c r="AR479" s="263">
        <f t="shared" si="713"/>
        <v>1849072.324377276</v>
      </c>
      <c r="AS479" s="346"/>
      <c r="AT479" s="323">
        <f>IFERROR(VLOOKUP(A479,'Afton FY16 Final'!$A$5:$BV$572,'Afton FY16 Final'!$BV$587,0),0)</f>
        <v>1587668.5333462087</v>
      </c>
      <c r="AU479" s="346"/>
      <c r="AV479" s="444">
        <v>0</v>
      </c>
      <c r="AW479" s="262">
        <f>IFERROR(VLOOKUP($A479,'HH &amp; SI'!$B$4:$EY$503,'HH &amp; SI'!EX$503,0),0)</f>
        <v>103572.27479326213</v>
      </c>
      <c r="AX479" s="262">
        <f>IFERROR(VLOOKUP($A479,'HH &amp; SI'!$B$4:$EY$503,'HH &amp; SI'!EY$503,0),0)</f>
        <v>1745500.0495840139</v>
      </c>
      <c r="AY479" s="262">
        <f>AX479/$AX$582*'update_State Admin 1004(b)'!$B$30*0.01</f>
        <v>16705.689386787119</v>
      </c>
      <c r="AZ479" s="263">
        <f t="shared" si="714"/>
        <v>1728794.3601972267</v>
      </c>
      <c r="BA479" s="261">
        <f t="shared" si="715"/>
        <v>17287.943601972267</v>
      </c>
      <c r="BB479" s="262">
        <f t="shared" si="716"/>
        <v>1711506.4165952546</v>
      </c>
      <c r="BC479" s="341">
        <f t="shared" si="690"/>
        <v>1.0779998347564665</v>
      </c>
      <c r="BD479" s="346"/>
      <c r="BE479" s="376" t="str">
        <f>'Original Title I &amp; II'!AZ476</f>
        <v/>
      </c>
      <c r="BF479" s="243" t="str">
        <f t="shared" si="717"/>
        <v/>
      </c>
      <c r="BG479" s="263">
        <f t="shared" si="697"/>
        <v>1711506.4165952546</v>
      </c>
      <c r="BI479" s="31">
        <f>IFERROR(VLOOKUP(A479,'Title II Hold Harmless'!A$1:B$439,2, FALSE),"")</f>
        <v>132776</v>
      </c>
      <c r="BJ479" s="31">
        <f t="shared" si="718"/>
        <v>163382.388515047</v>
      </c>
      <c r="BK479" s="31">
        <f t="shared" si="719"/>
        <v>163540.44330764742</v>
      </c>
      <c r="BL479" s="31" t="str">
        <f t="shared" si="720"/>
        <v/>
      </c>
      <c r="BM479" s="31">
        <f t="shared" si="721"/>
        <v>163540.44330764742</v>
      </c>
      <c r="BN479" s="200"/>
      <c r="BP479" s="295" t="s">
        <v>1447</v>
      </c>
      <c r="BQ479" s="296" t="str">
        <f t="shared" si="682"/>
        <v>Y</v>
      </c>
      <c r="BR479" s="297" t="s">
        <v>1448</v>
      </c>
      <c r="BT479" s="295" t="str">
        <f t="shared" si="683"/>
        <v>Y</v>
      </c>
      <c r="BU479" s="296" t="str">
        <f t="shared" si="722"/>
        <v>Y</v>
      </c>
      <c r="BV479" s="296" t="str">
        <f t="shared" si="723"/>
        <v>Y</v>
      </c>
      <c r="BW479" s="297" t="str">
        <f t="shared" si="684"/>
        <v>Y</v>
      </c>
      <c r="BY479" s="352">
        <f t="shared" si="685"/>
        <v>0</v>
      </c>
      <c r="BZ479" s="353">
        <f t="shared" si="686"/>
        <v>0.9</v>
      </c>
      <c r="CA479" s="353">
        <f t="shared" si="687"/>
        <v>0</v>
      </c>
      <c r="CB479" s="354">
        <f t="shared" si="688"/>
        <v>0.9</v>
      </c>
      <c r="CD479" s="311">
        <f t="shared" si="689"/>
        <v>471</v>
      </c>
    </row>
    <row r="480" spans="1:82" outlineLevel="1" x14ac:dyDescent="0.3">
      <c r="A480" s="1">
        <v>110221000</v>
      </c>
      <c r="B480" s="47">
        <f>VLOOKUP(C480,'NCES ID'!$A$2:$B$3136,2,FALSE)</f>
        <v>402320</v>
      </c>
      <c r="C480" s="47">
        <f>VLOOKUP(A480,'State ID'!$A$2:$B$713,2,FALSE)</f>
        <v>4442</v>
      </c>
      <c r="D480" s="147" t="s">
        <v>115</v>
      </c>
      <c r="E480" s="47" t="s">
        <v>20</v>
      </c>
      <c r="F480" s="382">
        <f>IFERROR(VLOOKUP($B480,'update_Formula counts'!$D$7:$R$234,'update_Formula counts'!F$5,0),0)</f>
        <v>1736</v>
      </c>
      <c r="G480" s="382">
        <f>IFERROR(VLOOKUP($B480,'update_Formula counts'!$D$7:$R$234,'update_Formula counts'!G$5,0),0)</f>
        <v>0</v>
      </c>
      <c r="H480" s="382">
        <f>IFERROR(VLOOKUP($B480,'update_Formula counts'!$D$7:$R$234,'update_Formula counts'!H$5,0),0)</f>
        <v>0</v>
      </c>
      <c r="I480" s="382">
        <f>IFERROR(VLOOKUP($B480,'update_Formula counts'!$D$7:$R$234,'update_Formula counts'!I$5,0),0)</f>
        <v>94</v>
      </c>
      <c r="J480" s="382">
        <f>IFERROR(VLOOKUP($B480,'update_Formula counts'!$D$7:$R$234,'update_Formula counts'!J$5,0),0)</f>
        <v>0</v>
      </c>
      <c r="K480" s="382">
        <f t="shared" si="698"/>
        <v>1736</v>
      </c>
      <c r="L480" s="444">
        <f>IFERROR(VLOOKUP($B480,'update_Formula counts'!$D$7:$R$234,'update_Formula counts'!L$5,0),0)</f>
        <v>8139</v>
      </c>
      <c r="M480" s="445">
        <f>IFERROR(VLOOKUP($B480,'update_Formula counts'!$D$7:$R$234,'update_Formula counts'!K$5,0),0)</f>
        <v>1830</v>
      </c>
      <c r="N480" s="446">
        <f>IFERROR(VLOOKUP($B480,'update_Formula counts'!$D$7:$R$234,'update_Formula counts'!M$5,0),0)</f>
        <v>0.22484334684850718</v>
      </c>
      <c r="O480" s="137">
        <f>VLOOKUP($C480,'Final SEA Counts'!$A$2:$F$709,5,FALSE)</f>
        <v>2786</v>
      </c>
      <c r="P480" s="208">
        <f>VLOOKUP($C480,'Final SEA Counts'!$A$2:$F$709,6,FALSE)</f>
        <v>2098</v>
      </c>
      <c r="Q480" s="748">
        <f t="shared" si="699"/>
        <v>-184.37051437188117</v>
      </c>
      <c r="R480" s="444">
        <f t="shared" si="700"/>
        <v>7179.0683783334207</v>
      </c>
      <c r="S480" s="445">
        <f t="shared" si="701"/>
        <v>1645.6294856281188</v>
      </c>
      <c r="T480" s="229">
        <f t="shared" si="702"/>
        <v>0.22922604980259878</v>
      </c>
      <c r="U480" s="261">
        <f>VLOOKUP($B480,update_Allocation!$D$8:$Q$235,update_Allocation!K$239,0)</f>
        <v>865388.77999960934</v>
      </c>
      <c r="V480" s="262">
        <f>VLOOKUP($B480,update_Allocation!$D$8:$Q$235,update_Allocation!L$239,0)</f>
        <v>206143.52245676814</v>
      </c>
      <c r="W480" s="262">
        <f>VLOOKUP($B480,update_Allocation!$D$8:$Q$235,update_Allocation!M$239,0)</f>
        <v>342448.01695924666</v>
      </c>
      <c r="X480" s="262">
        <f>VLOOKUP($B480,update_Allocation!$D$8:$Q$235,update_Allocation!N$239,0)</f>
        <v>265663.62504592375</v>
      </c>
      <c r="Y480" s="263">
        <f>VLOOKUP($B480,update_Allocation!$D$8:$Q$235,update_Allocation!O$239,0)</f>
        <v>1679643.944461548</v>
      </c>
      <c r="Z480" s="262">
        <f t="shared" si="703"/>
        <v>778258.02610855096</v>
      </c>
      <c r="AA480" s="262">
        <f t="shared" si="704"/>
        <v>185388.17996038793</v>
      </c>
      <c r="AB480" s="262">
        <f t="shared" si="705"/>
        <v>307969.00061913353</v>
      </c>
      <c r="AC480" s="263">
        <f t="shared" si="706"/>
        <v>238915.5639817472</v>
      </c>
      <c r="AD480" s="262">
        <f t="shared" si="707"/>
        <v>778258.02610855096</v>
      </c>
      <c r="AE480" s="262">
        <f t="shared" si="708"/>
        <v>185388.17996038793</v>
      </c>
      <c r="AF480" s="262">
        <f t="shared" si="709"/>
        <v>307969.00061913353</v>
      </c>
      <c r="AG480" s="263">
        <f t="shared" si="710"/>
        <v>238915.5639817472</v>
      </c>
      <c r="AH480" s="262">
        <f t="shared" si="711"/>
        <v>778258.02610855096</v>
      </c>
      <c r="AI480" s="262">
        <f t="shared" si="711"/>
        <v>186800.98337273343</v>
      </c>
      <c r="AJ480" s="262">
        <f t="shared" si="711"/>
        <v>307969.00061913353</v>
      </c>
      <c r="AK480" s="262">
        <f t="shared" si="711"/>
        <v>238915.5639817472</v>
      </c>
      <c r="AL480" s="263">
        <f t="shared" si="712"/>
        <v>1511943.5740821653</v>
      </c>
      <c r="AM480" s="346"/>
      <c r="AN480" s="261">
        <f>IFERROR(VLOOKUP($A480,'HH &amp; SI'!$B$4:$Z$494,'HH &amp; SI'!V$503,0),0)</f>
        <v>767642.0814934246</v>
      </c>
      <c r="AO480" s="262">
        <f>IFERROR(VLOOKUP($A480,'HH &amp; SI'!$B$4:$Z$494,'HH &amp; SI'!W$503,0),0)</f>
        <v>180648.44194262553</v>
      </c>
      <c r="AP480" s="262">
        <f>IFERROR(VLOOKUP($A480,'HH &amp; SI'!$B$4:$Z$494,'HH &amp; SI'!X$503,0),0)</f>
        <v>305168.14280045236</v>
      </c>
      <c r="AQ480" s="262">
        <f>IFERROR(VLOOKUP($A480,'HH &amp; SI'!$B$4:$Z$494,'HH &amp; SI'!Y$503,0),0)</f>
        <v>236283.14453665208</v>
      </c>
      <c r="AR480" s="263">
        <f t="shared" si="713"/>
        <v>1489741.8107731547</v>
      </c>
      <c r="AS480" s="346"/>
      <c r="AT480" s="323">
        <f>IFERROR(VLOOKUP(A480,'Afton FY16 Final'!$A$5:$BV$572,'Afton FY16 Final'!$BV$587,0),0)</f>
        <v>1511923.601339767</v>
      </c>
      <c r="AU480" s="346"/>
      <c r="AV480" s="444">
        <v>0</v>
      </c>
      <c r="AW480" s="262">
        <f>IFERROR(VLOOKUP($A480,'HH &amp; SI'!$B$4:$EY$503,'HH &amp; SI'!EX$503,0),0)</f>
        <v>0</v>
      </c>
      <c r="AX480" s="262">
        <f>IFERROR(VLOOKUP($A480,'HH &amp; SI'!$B$4:$EY$503,'HH &amp; SI'!EY$503,0),0)</f>
        <v>1489741.8107731547</v>
      </c>
      <c r="AY480" s="262">
        <f>AX480/$AX$582*'update_State Admin 1004(b)'!$B$30*0.01</f>
        <v>14257.899312702515</v>
      </c>
      <c r="AZ480" s="263">
        <f t="shared" si="714"/>
        <v>1475483.9114604522</v>
      </c>
      <c r="BA480" s="261">
        <f t="shared" si="715"/>
        <v>14754.839114604523</v>
      </c>
      <c r="BB480" s="262">
        <f t="shared" si="716"/>
        <v>1460729.0723458477</v>
      </c>
      <c r="BC480" s="341">
        <f t="shared" si="690"/>
        <v>0.96613947361589303</v>
      </c>
      <c r="BD480" s="346"/>
      <c r="BE480" s="376" t="str">
        <f>'Original Title I &amp; II'!AZ477</f>
        <v/>
      </c>
      <c r="BF480" s="243" t="str">
        <f t="shared" si="717"/>
        <v/>
      </c>
      <c r="BG480" s="263">
        <f t="shared" si="697"/>
        <v>1460729.0723458477</v>
      </c>
      <c r="BI480" s="31">
        <f>IFERROR(VLOOKUP(A480,'Title II Hold Harmless'!A$1:B$439,2, FALSE),"")</f>
        <v>144576</v>
      </c>
      <c r="BJ480" s="31">
        <f t="shared" si="718"/>
        <v>171896.47059870651</v>
      </c>
      <c r="BK480" s="31">
        <f t="shared" si="719"/>
        <v>172062.76184500396</v>
      </c>
      <c r="BL480" s="31" t="str">
        <f t="shared" si="720"/>
        <v/>
      </c>
      <c r="BM480" s="31">
        <f t="shared" si="721"/>
        <v>172062.76184500396</v>
      </c>
      <c r="BN480" s="200"/>
      <c r="BP480" s="295" t="s">
        <v>1447</v>
      </c>
      <c r="BQ480" s="296" t="str">
        <f t="shared" si="682"/>
        <v>Y</v>
      </c>
      <c r="BR480" s="297" t="s">
        <v>1448</v>
      </c>
      <c r="BT480" s="295" t="str">
        <f t="shared" si="683"/>
        <v>Y</v>
      </c>
      <c r="BU480" s="296" t="str">
        <f t="shared" si="722"/>
        <v>Y</v>
      </c>
      <c r="BV480" s="296" t="str">
        <f t="shared" si="723"/>
        <v>Y</v>
      </c>
      <c r="BW480" s="297" t="str">
        <f t="shared" si="684"/>
        <v>Y</v>
      </c>
      <c r="BY480" s="352">
        <f t="shared" si="685"/>
        <v>0</v>
      </c>
      <c r="BZ480" s="353">
        <f t="shared" si="686"/>
        <v>0.9</v>
      </c>
      <c r="CA480" s="353">
        <f t="shared" si="687"/>
        <v>0</v>
      </c>
      <c r="CB480" s="354">
        <f t="shared" si="688"/>
        <v>0.9</v>
      </c>
      <c r="CD480" s="311">
        <f t="shared" si="689"/>
        <v>472</v>
      </c>
    </row>
    <row r="481" spans="1:82" outlineLevel="1" x14ac:dyDescent="0.3">
      <c r="A481" s="1">
        <v>110244000</v>
      </c>
      <c r="B481" s="47">
        <f>VLOOKUP(C481,'NCES ID'!$A$2:$B$3136,2,FALSE)</f>
        <v>403990</v>
      </c>
      <c r="C481" s="47">
        <f>VLOOKUP(A481,'State ID'!$A$2:$B$713,2,FALSE)</f>
        <v>4445</v>
      </c>
      <c r="D481" s="147" t="s">
        <v>221</v>
      </c>
      <c r="E481" s="47" t="s">
        <v>20</v>
      </c>
      <c r="F481" s="382">
        <f>IFERROR(VLOOKUP($B481,'update_Formula counts'!$D$7:$R$234,'update_Formula counts'!F$5,0),0)</f>
        <v>1339</v>
      </c>
      <c r="G481" s="382">
        <f>IFERROR(VLOOKUP($B481,'update_Formula counts'!$D$7:$R$234,'update_Formula counts'!G$5,0),0)</f>
        <v>0</v>
      </c>
      <c r="H481" s="382">
        <f>IFERROR(VLOOKUP($B481,'update_Formula counts'!$D$7:$R$234,'update_Formula counts'!H$5,0),0)</f>
        <v>0</v>
      </c>
      <c r="I481" s="382">
        <f>IFERROR(VLOOKUP($B481,'update_Formula counts'!$D$7:$R$234,'update_Formula counts'!I$5,0),0)</f>
        <v>73</v>
      </c>
      <c r="J481" s="382">
        <f>IFERROR(VLOOKUP($B481,'update_Formula counts'!$D$7:$R$234,'update_Formula counts'!J$5,0),0)</f>
        <v>0</v>
      </c>
      <c r="K481" s="382">
        <f t="shared" si="698"/>
        <v>1339</v>
      </c>
      <c r="L481" s="444">
        <f>IFERROR(VLOOKUP($B481,'update_Formula counts'!$D$7:$R$234,'update_Formula counts'!L$5,0),0)</f>
        <v>9011</v>
      </c>
      <c r="M481" s="445">
        <f>IFERROR(VLOOKUP($B481,'update_Formula counts'!$D$7:$R$234,'update_Formula counts'!K$5,0),0)</f>
        <v>1412</v>
      </c>
      <c r="N481" s="446">
        <f>IFERROR(VLOOKUP($B481,'update_Formula counts'!$D$7:$R$234,'update_Formula counts'!M$5,0),0)</f>
        <v>0.15669736988125624</v>
      </c>
      <c r="O481" s="137">
        <f>VLOOKUP($C481,'Final SEA Counts'!$A$2:$F$709,5,FALSE)</f>
        <v>3962</v>
      </c>
      <c r="P481" s="208">
        <f>VLOOKUP($C481,'Final SEA Counts'!$A$2:$F$709,6,FALSE)</f>
        <v>1866</v>
      </c>
      <c r="Q481" s="748">
        <f t="shared" si="699"/>
        <v>-142.20744167278164</v>
      </c>
      <c r="R481" s="444">
        <f t="shared" si="700"/>
        <v>7948.2227739479604</v>
      </c>
      <c r="S481" s="445">
        <f t="shared" si="701"/>
        <v>1269.7925583272183</v>
      </c>
      <c r="T481" s="229">
        <f t="shared" si="702"/>
        <v>0.15975804836387342</v>
      </c>
      <c r="U481" s="261">
        <f>VLOOKUP($B481,update_Allocation!$D$8:$Q$235,update_Allocation!K$239,0)</f>
        <v>751313.17826787976</v>
      </c>
      <c r="V481" s="262">
        <f>VLOOKUP($B481,update_Allocation!$D$8:$Q$235,update_Allocation!L$239,0)</f>
        <v>178030.63675675506</v>
      </c>
      <c r="W481" s="262">
        <f>VLOOKUP($B481,update_Allocation!$D$8:$Q$235,update_Allocation!M$239,0)</f>
        <v>269947.5633264978</v>
      </c>
      <c r="X481" s="262">
        <f>VLOOKUP($B481,update_Allocation!$D$8:$Q$235,update_Allocation!N$239,0)</f>
        <v>196244.54069343611</v>
      </c>
      <c r="Y481" s="263">
        <f>VLOOKUP($B481,update_Allocation!$D$8:$Q$235,update_Allocation!O$239,0)</f>
        <v>1395535.9190445687</v>
      </c>
      <c r="Z481" s="262">
        <f t="shared" si="703"/>
        <v>675668.00566603825</v>
      </c>
      <c r="AA481" s="262">
        <f t="shared" si="704"/>
        <v>160105.81041878447</v>
      </c>
      <c r="AB481" s="262">
        <f t="shared" si="705"/>
        <v>242768.17846816557</v>
      </c>
      <c r="AC481" s="263">
        <f t="shared" si="706"/>
        <v>176485.86670458305</v>
      </c>
      <c r="AD481" s="262">
        <f t="shared" si="707"/>
        <v>675668.00566603825</v>
      </c>
      <c r="AE481" s="262">
        <f t="shared" si="708"/>
        <v>160105.81041878447</v>
      </c>
      <c r="AF481" s="262">
        <f t="shared" si="709"/>
        <v>242768.17846816557</v>
      </c>
      <c r="AG481" s="263">
        <f t="shared" si="710"/>
        <v>176485.86670458305</v>
      </c>
      <c r="AH481" s="262">
        <f t="shared" si="711"/>
        <v>675668.00566603825</v>
      </c>
      <c r="AI481" s="262">
        <f t="shared" si="711"/>
        <v>161518.61383112997</v>
      </c>
      <c r="AJ481" s="262">
        <f t="shared" si="711"/>
        <v>242768.17846816557</v>
      </c>
      <c r="AK481" s="262">
        <f t="shared" si="711"/>
        <v>176485.86670458305</v>
      </c>
      <c r="AL481" s="263">
        <f t="shared" si="712"/>
        <v>1256440.664669917</v>
      </c>
      <c r="AM481" s="346"/>
      <c r="AN481" s="261">
        <f>IFERROR(VLOOKUP($A481,'HH &amp; SI'!$B$4:$Z$494,'HH &amp; SI'!V$503,0),0)</f>
        <v>682951.27203713963</v>
      </c>
      <c r="AO481" s="262">
        <f>IFERROR(VLOOKUP($A481,'HH &amp; SI'!$B$4:$Z$494,'HH &amp; SI'!W$503,0),0)</f>
        <v>159914.66767267449</v>
      </c>
      <c r="AP481" s="262">
        <f>IFERROR(VLOOKUP($A481,'HH &amp; SI'!$B$4:$Z$494,'HH &amp; SI'!X$503,0),0)</f>
        <v>245723.31639828547</v>
      </c>
      <c r="AQ481" s="262">
        <f>IFERROR(VLOOKUP($A481,'HH &amp; SI'!$B$4:$Z$494,'HH &amp; SI'!Y$503,0),0)</f>
        <v>174541.31014428672</v>
      </c>
      <c r="AR481" s="263">
        <f t="shared" si="713"/>
        <v>1263130.5662523862</v>
      </c>
      <c r="AS481" s="346"/>
      <c r="AT481" s="323">
        <f>IFERROR(VLOOKUP(A481,'Afton FY16 Final'!$A$5:$BV$572,'Afton FY16 Final'!$BV$587,0),0)</f>
        <v>1237487.0262142532</v>
      </c>
      <c r="AU481" s="346"/>
      <c r="AV481" s="444">
        <v>0</v>
      </c>
      <c r="AW481" s="262">
        <f>IFERROR(VLOOKUP($A481,'HH &amp; SI'!$B$4:$EY$503,'HH &amp; SI'!EX$503,0),0)</f>
        <v>25643.54003813304</v>
      </c>
      <c r="AX481" s="262">
        <f>IFERROR(VLOOKUP($A481,'HH &amp; SI'!$B$4:$EY$503,'HH &amp; SI'!EY$503,0),0)</f>
        <v>1237487.0262142532</v>
      </c>
      <c r="AY481" s="262">
        <f>AX481/$AX$582*'update_State Admin 1004(b)'!$B$30*0.01</f>
        <v>11843.63981258035</v>
      </c>
      <c r="AZ481" s="263">
        <f t="shared" si="714"/>
        <v>1225643.3864016728</v>
      </c>
      <c r="BA481" s="261">
        <f t="shared" si="715"/>
        <v>12256.433864016728</v>
      </c>
      <c r="BB481" s="262">
        <f t="shared" si="716"/>
        <v>1213386.9525376561</v>
      </c>
      <c r="BC481" s="341">
        <f t="shared" si="690"/>
        <v>0.98052498881517602</v>
      </c>
      <c r="BD481" s="346"/>
      <c r="BE481" s="376" t="str">
        <f>'Original Title I &amp; II'!AZ478</f>
        <v/>
      </c>
      <c r="BF481" s="243" t="str">
        <f t="shared" si="717"/>
        <v/>
      </c>
      <c r="BG481" s="263">
        <f t="shared" si="697"/>
        <v>1213386.9525376561</v>
      </c>
      <c r="BI481" s="31" t="str">
        <f>IFERROR(VLOOKUP(A481,'Title II Hold Harmless'!A$1:B$439,2, FALSE),"")</f>
        <v/>
      </c>
      <c r="BJ481" s="31">
        <f t="shared" si="718"/>
        <v>23019.445026156747</v>
      </c>
      <c r="BK481" s="31">
        <f t="shared" si="719"/>
        <v>23041.713849880369</v>
      </c>
      <c r="BL481" s="31" t="str">
        <f t="shared" si="720"/>
        <v/>
      </c>
      <c r="BM481" s="31">
        <f t="shared" si="721"/>
        <v>23041.713849880369</v>
      </c>
      <c r="BN481" s="200"/>
      <c r="BP481" s="295" t="s">
        <v>1447</v>
      </c>
      <c r="BQ481" s="296" t="str">
        <f t="shared" si="682"/>
        <v>Y</v>
      </c>
      <c r="BR481" s="297" t="s">
        <v>1448</v>
      </c>
      <c r="BT481" s="295" t="str">
        <f t="shared" si="683"/>
        <v>Y</v>
      </c>
      <c r="BU481" s="296" t="str">
        <f t="shared" si="722"/>
        <v>Y</v>
      </c>
      <c r="BV481" s="296" t="str">
        <f t="shared" si="723"/>
        <v>Y</v>
      </c>
      <c r="BW481" s="297" t="str">
        <f t="shared" si="684"/>
        <v>Y</v>
      </c>
      <c r="BY481" s="352">
        <f t="shared" si="685"/>
        <v>0</v>
      </c>
      <c r="BZ481" s="353">
        <f t="shared" si="686"/>
        <v>0.9</v>
      </c>
      <c r="CA481" s="353">
        <f t="shared" si="687"/>
        <v>0</v>
      </c>
      <c r="CB481" s="354">
        <f t="shared" si="688"/>
        <v>0.9</v>
      </c>
      <c r="CD481" s="311">
        <f t="shared" si="689"/>
        <v>473</v>
      </c>
    </row>
    <row r="482" spans="1:82" outlineLevel="1" x14ac:dyDescent="0.3">
      <c r="A482" s="1">
        <v>110404000</v>
      </c>
      <c r="B482" s="47">
        <f>VLOOKUP(C482,'NCES ID'!$A$2:$B$3136,2,FALSE)</f>
        <v>401710</v>
      </c>
      <c r="C482" s="47">
        <f>VLOOKUP(A482,'State ID'!$A$2:$B$713,2,FALSE)</f>
        <v>4446</v>
      </c>
      <c r="D482" s="147" t="s">
        <v>93</v>
      </c>
      <c r="E482" s="47" t="s">
        <v>20</v>
      </c>
      <c r="F482" s="382">
        <f>IFERROR(VLOOKUP($B482,'update_Formula counts'!$D$7:$R$234,'update_Formula counts'!F$5,0),0)</f>
        <v>2447</v>
      </c>
      <c r="G482" s="382">
        <f>IFERROR(VLOOKUP($B482,'update_Formula counts'!$D$7:$R$234,'update_Formula counts'!G$5,0),0)</f>
        <v>8</v>
      </c>
      <c r="H482" s="382">
        <f>IFERROR(VLOOKUP($B482,'update_Formula counts'!$D$7:$R$234,'update_Formula counts'!H$5,0),0)</f>
        <v>0</v>
      </c>
      <c r="I482" s="382">
        <f>IFERROR(VLOOKUP($B482,'update_Formula counts'!$D$7:$R$234,'update_Formula counts'!I$5,0),0)</f>
        <v>134</v>
      </c>
      <c r="J482" s="382">
        <f>IFERROR(VLOOKUP($B482,'update_Formula counts'!$D$7:$R$234,'update_Formula counts'!J$5,0),0)</f>
        <v>0</v>
      </c>
      <c r="K482" s="382">
        <f t="shared" si="698"/>
        <v>2455</v>
      </c>
      <c r="L482" s="444">
        <f>IFERROR(VLOOKUP($B482,'update_Formula counts'!$D$7:$R$234,'update_Formula counts'!L$5,0),0)</f>
        <v>9240</v>
      </c>
      <c r="M482" s="445">
        <f>IFERROR(VLOOKUP($B482,'update_Formula counts'!$D$7:$R$234,'update_Formula counts'!K$5,0),0)</f>
        <v>2589</v>
      </c>
      <c r="N482" s="446">
        <f>IFERROR(VLOOKUP($B482,'update_Formula counts'!$D$7:$R$234,'update_Formula counts'!M$5,0),0)</f>
        <v>0.28019480519480522</v>
      </c>
      <c r="O482" s="137">
        <f>VLOOKUP($C482,'Final SEA Counts'!$A$2:$F$709,5,FALSE)</f>
        <v>7119</v>
      </c>
      <c r="P482" s="208">
        <f>VLOOKUP($C482,'Final SEA Counts'!$A$2:$F$709,6,FALSE)</f>
        <v>5623</v>
      </c>
      <c r="Q482" s="748">
        <f t="shared" si="699"/>
        <v>-259.88171006220813</v>
      </c>
      <c r="R482" s="444">
        <f t="shared" si="700"/>
        <v>8150.2140085760911</v>
      </c>
      <c r="S482" s="445">
        <f t="shared" si="701"/>
        <v>2329.1182899377918</v>
      </c>
      <c r="T482" s="229">
        <f t="shared" si="702"/>
        <v>0.28577388121182695</v>
      </c>
      <c r="U482" s="261">
        <f>VLOOKUP($B482,update_Allocation!$D$8:$Q$235,update_Allocation!K$239,0)</f>
        <v>1224312.3231797756</v>
      </c>
      <c r="V482" s="262">
        <f>VLOOKUP($B482,update_Allocation!$D$8:$Q$235,update_Allocation!L$239,0)</f>
        <v>291642.39324621466</v>
      </c>
      <c r="W482" s="262">
        <f>VLOOKUP($B482,update_Allocation!$D$8:$Q$235,update_Allocation!M$239,0)</f>
        <v>550968.53205108515</v>
      </c>
      <c r="X482" s="262">
        <f>VLOOKUP($B482,update_Allocation!$D$8:$Q$235,update_Allocation!N$239,0)</f>
        <v>440956.00248412316</v>
      </c>
      <c r="Y482" s="263">
        <f>VLOOKUP($B482,update_Allocation!$D$8:$Q$235,update_Allocation!O$239,0)</f>
        <v>2507879.2509611985</v>
      </c>
      <c r="Z482" s="262">
        <f t="shared" si="703"/>
        <v>1101043.7320191471</v>
      </c>
      <c r="AA482" s="262">
        <f t="shared" si="704"/>
        <v>262278.68738658167</v>
      </c>
      <c r="AB482" s="262">
        <f t="shared" si="705"/>
        <v>495494.84822555364</v>
      </c>
      <c r="AC482" s="263">
        <f t="shared" si="706"/>
        <v>396558.81382488681</v>
      </c>
      <c r="AD482" s="262">
        <f t="shared" si="707"/>
        <v>1101043.7320191471</v>
      </c>
      <c r="AE482" s="262">
        <f t="shared" si="708"/>
        <v>262278.68738658167</v>
      </c>
      <c r="AF482" s="262">
        <f t="shared" si="709"/>
        <v>495494.84822555364</v>
      </c>
      <c r="AG482" s="263">
        <f t="shared" si="710"/>
        <v>396558.81382488681</v>
      </c>
      <c r="AH482" s="262">
        <f t="shared" si="711"/>
        <v>1101043.7320191471</v>
      </c>
      <c r="AI482" s="262">
        <f t="shared" si="711"/>
        <v>263691.4907989272</v>
      </c>
      <c r="AJ482" s="262">
        <f t="shared" si="711"/>
        <v>495494.84822555364</v>
      </c>
      <c r="AK482" s="262">
        <f t="shared" si="711"/>
        <v>396558.81382488681</v>
      </c>
      <c r="AL482" s="263">
        <f t="shared" si="712"/>
        <v>2256788.8848685147</v>
      </c>
      <c r="AM482" s="346"/>
      <c r="AN482" s="261">
        <f>IFERROR(VLOOKUP($A482,'HH &amp; SI'!$B$4:$Z$494,'HH &amp; SI'!V$503,0),0)</f>
        <v>1086024.7808669275</v>
      </c>
      <c r="AO482" s="262">
        <f>IFERROR(VLOOKUP($A482,'HH &amp; SI'!$B$4:$Z$494,'HH &amp; SI'!W$503,0),0)</f>
        <v>255006.45717322023</v>
      </c>
      <c r="AP482" s="262">
        <f>IFERROR(VLOOKUP($A482,'HH &amp; SI'!$B$4:$Z$494,'HH &amp; SI'!X$503,0),0)</f>
        <v>490988.51603959099</v>
      </c>
      <c r="AQ482" s="262">
        <f>IFERROR(VLOOKUP($A482,'HH &amp; SI'!$B$4:$Z$494,'HH &amp; SI'!Y$503,0),0)</f>
        <v>392189.44953886548</v>
      </c>
      <c r="AR482" s="263">
        <f t="shared" si="713"/>
        <v>2224209.2036186042</v>
      </c>
      <c r="AS482" s="346"/>
      <c r="AT482" s="323">
        <f>IFERROR(VLOOKUP(A482,'Afton FY16 Final'!$A$5:$BV$572,'Afton FY16 Final'!$BV$587,0),0)</f>
        <v>1890794.3506469713</v>
      </c>
      <c r="AU482" s="346"/>
      <c r="AV482" s="444">
        <v>0</v>
      </c>
      <c r="AW482" s="262">
        <f>IFERROR(VLOOKUP($A482,'HH &amp; SI'!$B$4:$EY$503,'HH &amp; SI'!EX$503,0),0)</f>
        <v>124584.85468515661</v>
      </c>
      <c r="AX482" s="262">
        <f>IFERROR(VLOOKUP($A482,'HH &amp; SI'!$B$4:$EY$503,'HH &amp; SI'!EY$503,0),0)</f>
        <v>2099624.3489334476</v>
      </c>
      <c r="AY482" s="262">
        <f>AX482/$AX$582*'update_State Admin 1004(b)'!$B$30*0.01</f>
        <v>20094.913323306129</v>
      </c>
      <c r="AZ482" s="263">
        <f t="shared" si="714"/>
        <v>2079529.4356101416</v>
      </c>
      <c r="BA482" s="261">
        <f t="shared" si="715"/>
        <v>20795.294356101418</v>
      </c>
      <c r="BB482" s="262">
        <f t="shared" si="716"/>
        <v>2058734.1412540402</v>
      </c>
      <c r="BC482" s="341">
        <f t="shared" si="690"/>
        <v>1.0888197019150205</v>
      </c>
      <c r="BD482" s="346"/>
      <c r="BE482" s="376" t="str">
        <f>'Original Title I &amp; II'!AZ479</f>
        <v/>
      </c>
      <c r="BF482" s="243" t="str">
        <f t="shared" si="717"/>
        <v/>
      </c>
      <c r="BG482" s="263">
        <f t="shared" si="697"/>
        <v>2058734.1412540402</v>
      </c>
      <c r="BI482" s="31">
        <f>IFERROR(VLOOKUP(A482,'Title II Hold Harmless'!A$1:B$439,2, FALSE),"")</f>
        <v>217805</v>
      </c>
      <c r="BJ482" s="31">
        <f t="shared" si="718"/>
        <v>254854.52672342217</v>
      </c>
      <c r="BK482" s="31">
        <f t="shared" si="719"/>
        <v>255101.07091787702</v>
      </c>
      <c r="BL482" s="31" t="str">
        <f t="shared" si="720"/>
        <v/>
      </c>
      <c r="BM482" s="31">
        <f t="shared" si="721"/>
        <v>255101.07091787702</v>
      </c>
      <c r="BN482" s="200"/>
      <c r="BP482" s="295" t="s">
        <v>1447</v>
      </c>
      <c r="BQ482" s="296" t="str">
        <f t="shared" si="682"/>
        <v>Y</v>
      </c>
      <c r="BR482" s="297" t="s">
        <v>1448</v>
      </c>
      <c r="BT482" s="295" t="str">
        <f t="shared" si="683"/>
        <v>Y</v>
      </c>
      <c r="BU482" s="296" t="str">
        <f t="shared" si="722"/>
        <v>Y</v>
      </c>
      <c r="BV482" s="296" t="str">
        <f t="shared" si="723"/>
        <v>Y</v>
      </c>
      <c r="BW482" s="297" t="str">
        <f t="shared" si="684"/>
        <v>Y</v>
      </c>
      <c r="BY482" s="352">
        <f t="shared" si="685"/>
        <v>0</v>
      </c>
      <c r="BZ482" s="353">
        <f t="shared" si="686"/>
        <v>0.9</v>
      </c>
      <c r="CA482" s="353">
        <f t="shared" si="687"/>
        <v>0</v>
      </c>
      <c r="CB482" s="354">
        <f t="shared" si="688"/>
        <v>0.9</v>
      </c>
      <c r="CD482" s="311">
        <f t="shared" si="689"/>
        <v>474</v>
      </c>
    </row>
    <row r="483" spans="1:82" outlineLevel="1" x14ac:dyDescent="0.3">
      <c r="A483" s="1">
        <v>110220000</v>
      </c>
      <c r="B483" s="47">
        <f>VLOOKUP(C483,'NCES ID'!$A$2:$B$3136,2,FALSE)</f>
        <v>404720</v>
      </c>
      <c r="C483" s="47">
        <f>VLOOKUP(A483,'State ID'!$A$2:$B$713,2,FALSE)</f>
        <v>4441</v>
      </c>
      <c r="D483" s="147" t="s">
        <v>273</v>
      </c>
      <c r="E483" s="47" t="s">
        <v>20</v>
      </c>
      <c r="F483" s="382">
        <f>IFERROR(VLOOKUP($B483,'update_Formula counts'!$D$7:$R$234,'update_Formula counts'!F$5,0),0)</f>
        <v>1606</v>
      </c>
      <c r="G483" s="382">
        <f>IFERROR(VLOOKUP($B483,'update_Formula counts'!$D$7:$R$234,'update_Formula counts'!G$5,0),0)</f>
        <v>0</v>
      </c>
      <c r="H483" s="382">
        <f>IFERROR(VLOOKUP($B483,'update_Formula counts'!$D$7:$R$234,'update_Formula counts'!H$5,0),0)</f>
        <v>0</v>
      </c>
      <c r="I483" s="382">
        <f>IFERROR(VLOOKUP($B483,'update_Formula counts'!$D$7:$R$234,'update_Formula counts'!I$5,0),0)</f>
        <v>87</v>
      </c>
      <c r="J483" s="382">
        <f>IFERROR(VLOOKUP($B483,'update_Formula counts'!$D$7:$R$234,'update_Formula counts'!J$5,0),0)</f>
        <v>0</v>
      </c>
      <c r="K483" s="382">
        <f t="shared" si="698"/>
        <v>1606</v>
      </c>
      <c r="L483" s="444">
        <f>IFERROR(VLOOKUP($B483,'update_Formula counts'!$D$7:$R$234,'update_Formula counts'!L$5,0),0)</f>
        <v>10971</v>
      </c>
      <c r="M483" s="445">
        <f>IFERROR(VLOOKUP($B483,'update_Formula counts'!$D$7:$R$234,'update_Formula counts'!K$5,0),0)</f>
        <v>1693</v>
      </c>
      <c r="N483" s="446">
        <f>IFERROR(VLOOKUP($B483,'update_Formula counts'!$D$7:$R$234,'update_Formula counts'!M$5,0),0)</f>
        <v>0.15431592379910675</v>
      </c>
      <c r="O483" s="137">
        <f>VLOOKUP($C483,'Final SEA Counts'!$A$2:$F$709,5,FALSE)</f>
        <v>6043</v>
      </c>
      <c r="P483" s="208">
        <f>VLOOKUP($C483,'Final SEA Counts'!$A$2:$F$709,6,FALSE)</f>
        <v>3833</v>
      </c>
      <c r="Q483" s="748">
        <f t="shared" si="699"/>
        <v>-170.56396663665967</v>
      </c>
      <c r="R483" s="444">
        <f t="shared" si="700"/>
        <v>9677.0560484944035</v>
      </c>
      <c r="S483" s="445">
        <f t="shared" si="701"/>
        <v>1522.4360333633404</v>
      </c>
      <c r="T483" s="229">
        <f t="shared" si="702"/>
        <v>0.15732429632875872</v>
      </c>
      <c r="U483" s="261">
        <f>VLOOKUP($B483,update_Allocation!$D$8:$Q$235,update_Allocation!K$239,0)</f>
        <v>800602.84401056776</v>
      </c>
      <c r="V483" s="262">
        <f>VLOOKUP($B483,update_Allocation!$D$8:$Q$235,update_Allocation!L$239,0)</f>
        <v>190710.91995590628</v>
      </c>
      <c r="W483" s="262">
        <f>VLOOKUP($B483,update_Allocation!$D$8:$Q$235,update_Allocation!M$239,0)</f>
        <v>313119.79546096566</v>
      </c>
      <c r="X483" s="262">
        <f>VLOOKUP($B483,update_Allocation!$D$8:$Q$235,update_Allocation!N$239,0)</f>
        <v>242911.43711221372</v>
      </c>
      <c r="Y483" s="263">
        <f>VLOOKUP($B483,update_Allocation!$D$8:$Q$235,update_Allocation!O$239,0)</f>
        <v>1547344.9965396535</v>
      </c>
      <c r="Z483" s="262">
        <f t="shared" si="703"/>
        <v>719994.99355288374</v>
      </c>
      <c r="AA483" s="262">
        <f t="shared" si="704"/>
        <v>171509.39271745179</v>
      </c>
      <c r="AB483" s="262">
        <f t="shared" si="705"/>
        <v>281593.66007850756</v>
      </c>
      <c r="AC483" s="263">
        <f t="shared" si="706"/>
        <v>218454.15602248529</v>
      </c>
      <c r="AD483" s="262">
        <f t="shared" si="707"/>
        <v>719994.99355288374</v>
      </c>
      <c r="AE483" s="262">
        <f t="shared" si="708"/>
        <v>171509.39271745179</v>
      </c>
      <c r="AF483" s="262">
        <f t="shared" si="709"/>
        <v>281593.66007850756</v>
      </c>
      <c r="AG483" s="263">
        <f t="shared" si="710"/>
        <v>218454.15602248529</v>
      </c>
      <c r="AH483" s="262">
        <f t="shared" si="711"/>
        <v>719994.99355288374</v>
      </c>
      <c r="AI483" s="262">
        <f t="shared" si="711"/>
        <v>172922.19612979729</v>
      </c>
      <c r="AJ483" s="262">
        <f t="shared" si="711"/>
        <v>281593.66007850756</v>
      </c>
      <c r="AK483" s="262">
        <f t="shared" si="711"/>
        <v>218454.15602248529</v>
      </c>
      <c r="AL483" s="263">
        <f t="shared" si="712"/>
        <v>1392965.0057836738</v>
      </c>
      <c r="AM483" s="346"/>
      <c r="AN483" s="261">
        <f>IFERROR(VLOOKUP($A483,'HH &amp; SI'!$B$4:$Z$494,'HH &amp; SI'!V$503,0),0)</f>
        <v>710173.79451823421</v>
      </c>
      <c r="AO483" s="262">
        <f>IFERROR(VLOOKUP($A483,'HH &amp; SI'!$B$4:$Z$494,'HH &amp; SI'!W$503,0),0)</f>
        <v>167226.77120930344</v>
      </c>
      <c r="AP483" s="262">
        <f>IFERROR(VLOOKUP($A483,'HH &amp; SI'!$B$4:$Z$494,'HH &amp; SI'!X$503,0),0)</f>
        <v>279032.6756841811</v>
      </c>
      <c r="AQ483" s="262">
        <f>IFERROR(VLOOKUP($A483,'HH &amp; SI'!$B$4:$Z$494,'HH &amp; SI'!Y$503,0),0)</f>
        <v>216047.1844606855</v>
      </c>
      <c r="AR483" s="263">
        <f t="shared" si="713"/>
        <v>1372480.4258724044</v>
      </c>
      <c r="AS483" s="346"/>
      <c r="AT483" s="323">
        <f>IFERROR(VLOOKUP(A483,'Afton FY16 Final'!$A$5:$BV$572,'Afton FY16 Final'!$BV$587,0),0)</f>
        <v>955794.57911226375</v>
      </c>
      <c r="AU483" s="346"/>
      <c r="AV483" s="444">
        <v>0</v>
      </c>
      <c r="AW483" s="262">
        <f>IFERROR(VLOOKUP($A483,'HH &amp; SI'!$B$4:$EY$503,'HH &amp; SI'!EX$503,0),0)</f>
        <v>76876.884664152982</v>
      </c>
      <c r="AX483" s="262">
        <f>IFERROR(VLOOKUP($A483,'HH &amp; SI'!$B$4:$EY$503,'HH &amp; SI'!EY$503,0),0)</f>
        <v>1295603.5412082514</v>
      </c>
      <c r="AY483" s="262">
        <f>AX483/$AX$582*'update_State Admin 1004(b)'!$B$30*0.01</f>
        <v>12399.856610147139</v>
      </c>
      <c r="AZ483" s="263">
        <f t="shared" si="714"/>
        <v>1283203.6845981043</v>
      </c>
      <c r="BA483" s="261">
        <f t="shared" si="715"/>
        <v>12832.036845981043</v>
      </c>
      <c r="BB483" s="262">
        <f t="shared" si="716"/>
        <v>1270371.6477521232</v>
      </c>
      <c r="BC483" s="341">
        <f t="shared" si="690"/>
        <v>1.3291262322622051</v>
      </c>
      <c r="BD483" s="346"/>
      <c r="BE483" s="376" t="str">
        <f>'Original Title I &amp; II'!AZ480</f>
        <v/>
      </c>
      <c r="BF483" s="243" t="str">
        <f t="shared" si="717"/>
        <v/>
      </c>
      <c r="BG483" s="263">
        <f t="shared" si="697"/>
        <v>1270371.6477521232</v>
      </c>
      <c r="BI483" s="31">
        <f>IFERROR(VLOOKUP(A483,'Title II Hold Harmless'!A$1:B$439,2, FALSE),"")</f>
        <v>50131</v>
      </c>
      <c r="BJ483" s="31">
        <f t="shared" si="718"/>
        <v>77849.138066756423</v>
      </c>
      <c r="BK483" s="31">
        <f t="shared" si="719"/>
        <v>77924.448689174766</v>
      </c>
      <c r="BL483" s="31" t="str">
        <f t="shared" si="720"/>
        <v/>
      </c>
      <c r="BM483" s="31">
        <f t="shared" si="721"/>
        <v>77924.448689174766</v>
      </c>
      <c r="BN483" s="200"/>
      <c r="BP483" s="295" t="s">
        <v>1447</v>
      </c>
      <c r="BQ483" s="296" t="str">
        <f t="shared" si="682"/>
        <v>Y</v>
      </c>
      <c r="BR483" s="297" t="s">
        <v>1448</v>
      </c>
      <c r="BT483" s="295" t="str">
        <f t="shared" si="683"/>
        <v>Y</v>
      </c>
      <c r="BU483" s="296" t="str">
        <f t="shared" si="722"/>
        <v>Y</v>
      </c>
      <c r="BV483" s="296" t="str">
        <f t="shared" si="723"/>
        <v>Y</v>
      </c>
      <c r="BW483" s="297" t="str">
        <f t="shared" si="684"/>
        <v>Y</v>
      </c>
      <c r="BY483" s="352">
        <f t="shared" si="685"/>
        <v>0</v>
      </c>
      <c r="BZ483" s="353">
        <f t="shared" si="686"/>
        <v>0.9</v>
      </c>
      <c r="CA483" s="353">
        <f t="shared" si="687"/>
        <v>0</v>
      </c>
      <c r="CB483" s="354">
        <f t="shared" si="688"/>
        <v>0.9</v>
      </c>
      <c r="CD483" s="311">
        <f t="shared" si="689"/>
        <v>475</v>
      </c>
    </row>
    <row r="484" spans="1:82" outlineLevel="1" x14ac:dyDescent="0.3">
      <c r="A484" s="1">
        <v>110201000</v>
      </c>
      <c r="B484" s="47">
        <f>VLOOKUP(C484,'NCES ID'!$A$2:$B$3136,2,FALSE)</f>
        <v>402920</v>
      </c>
      <c r="C484" s="47">
        <f>VLOOKUP(A484,'State ID'!$A$2:$B$713,2,FALSE)</f>
        <v>4437</v>
      </c>
      <c r="D484" s="147" t="s">
        <v>166</v>
      </c>
      <c r="E484" s="47" t="s">
        <v>20</v>
      </c>
      <c r="F484" s="382">
        <f>IFERROR(VLOOKUP($B484,'update_Formula counts'!$D$7:$R$234,'update_Formula counts'!F$5,0),0)</f>
        <v>2417</v>
      </c>
      <c r="G484" s="382">
        <f>IFERROR(VLOOKUP($B484,'update_Formula counts'!$D$7:$R$234,'update_Formula counts'!G$5,0),0)</f>
        <v>0</v>
      </c>
      <c r="H484" s="382">
        <f>IFERROR(VLOOKUP($B484,'update_Formula counts'!$D$7:$R$234,'update_Formula counts'!H$5,0),0)</f>
        <v>0</v>
      </c>
      <c r="I484" s="382">
        <f>IFERROR(VLOOKUP($B484,'update_Formula counts'!$D$7:$R$234,'update_Formula counts'!I$5,0),0)</f>
        <v>131</v>
      </c>
      <c r="J484" s="382">
        <f>IFERROR(VLOOKUP($B484,'update_Formula counts'!$D$7:$R$234,'update_Formula counts'!J$5,0),0)</f>
        <v>0</v>
      </c>
      <c r="K484" s="382">
        <f t="shared" si="698"/>
        <v>2417</v>
      </c>
      <c r="L484" s="444">
        <f>IFERROR(VLOOKUP($B484,'update_Formula counts'!$D$7:$R$234,'update_Formula counts'!L$5,0),0)</f>
        <v>13200</v>
      </c>
      <c r="M484" s="445">
        <f>IFERROR(VLOOKUP($B484,'update_Formula counts'!$D$7:$R$234,'update_Formula counts'!K$5,0),0)</f>
        <v>2548</v>
      </c>
      <c r="N484" s="446">
        <f>IFERROR(VLOOKUP($B484,'update_Formula counts'!$D$7:$R$234,'update_Formula counts'!M$5,0),0)</f>
        <v>0.19303030303030302</v>
      </c>
      <c r="O484" s="137">
        <f>VLOOKUP($C484,'Final SEA Counts'!$A$2:$F$709,5,FALSE)</f>
        <v>7957</v>
      </c>
      <c r="P484" s="208">
        <f>VLOOKUP($C484,'Final SEA Counts'!$A$2:$F$709,6,FALSE)</f>
        <v>4728</v>
      </c>
      <c r="Q484" s="748">
        <f t="shared" si="699"/>
        <v>-256.69558366177233</v>
      </c>
      <c r="R484" s="444">
        <f t="shared" si="700"/>
        <v>11643.162869394417</v>
      </c>
      <c r="S484" s="445">
        <f t="shared" si="701"/>
        <v>2291.3044163382278</v>
      </c>
      <c r="T484" s="229">
        <f t="shared" si="702"/>
        <v>0.19679398476518975</v>
      </c>
      <c r="U484" s="261">
        <f>VLOOKUP($B484,update_Allocation!$D$8:$Q$235,update_Allocation!K$239,0)</f>
        <v>1204923.8313874342</v>
      </c>
      <c r="V484" s="262">
        <f>VLOOKUP($B484,update_Allocation!$D$8:$Q$235,update_Allocation!L$239,0)</f>
        <v>287023.87716931448</v>
      </c>
      <c r="W484" s="262">
        <f>VLOOKUP($B484,update_Allocation!$D$8:$Q$235,update_Allocation!M$239,0)</f>
        <v>516562.03266680281</v>
      </c>
      <c r="X484" s="262">
        <f>VLOOKUP($B484,update_Allocation!$D$8:$Q$235,update_Allocation!N$239,0)</f>
        <v>408653.65286289004</v>
      </c>
      <c r="Y484" s="263">
        <f>VLOOKUP($B484,update_Allocation!$D$8:$Q$235,update_Allocation!O$239,0)</f>
        <v>2417163.3940864415</v>
      </c>
      <c r="Z484" s="262">
        <f t="shared" si="703"/>
        <v>1083607.3500134361</v>
      </c>
      <c r="AA484" s="262">
        <f t="shared" si="704"/>
        <v>258125.18171533805</v>
      </c>
      <c r="AB484" s="262">
        <f t="shared" si="705"/>
        <v>464552.53083598829</v>
      </c>
      <c r="AC484" s="263">
        <f t="shared" si="706"/>
        <v>367508.792105284</v>
      </c>
      <c r="AD484" s="262">
        <f t="shared" si="707"/>
        <v>1083607.3500134361</v>
      </c>
      <c r="AE484" s="262">
        <f t="shared" si="708"/>
        <v>258125.18171533805</v>
      </c>
      <c r="AF484" s="262">
        <f t="shared" si="709"/>
        <v>464552.53083598829</v>
      </c>
      <c r="AG484" s="263">
        <f t="shared" si="710"/>
        <v>367508.792105284</v>
      </c>
      <c r="AH484" s="262">
        <f t="shared" si="711"/>
        <v>1083607.3500134361</v>
      </c>
      <c r="AI484" s="262">
        <f t="shared" si="711"/>
        <v>259537.98512768355</v>
      </c>
      <c r="AJ484" s="262">
        <f t="shared" si="711"/>
        <v>464552.53083598829</v>
      </c>
      <c r="AK484" s="262">
        <f t="shared" si="711"/>
        <v>367508.792105284</v>
      </c>
      <c r="AL484" s="263">
        <f t="shared" si="712"/>
        <v>2175206.6580823916</v>
      </c>
      <c r="AM484" s="346"/>
      <c r="AN484" s="261">
        <f>IFERROR(VLOOKUP($A484,'HH &amp; SI'!$B$4:$Z$494,'HH &amp; SI'!V$503,0),0)</f>
        <v>1068826.2424290963</v>
      </c>
      <c r="AO484" s="262">
        <f>IFERROR(VLOOKUP($A484,'HH &amp; SI'!$B$4:$Z$494,'HH &amp; SI'!W$503,0),0)</f>
        <v>250989.75279317496</v>
      </c>
      <c r="AP484" s="262">
        <f>IFERROR(VLOOKUP($A484,'HH &amp; SI'!$B$4:$Z$494,'HH &amp; SI'!X$503,0),0)</f>
        <v>460327.60694571264</v>
      </c>
      <c r="AQ484" s="262">
        <f>IFERROR(VLOOKUP($A484,'HH &amp; SI'!$B$4:$Z$494,'HH &amp; SI'!Y$503,0),0)</f>
        <v>363459.50676590251</v>
      </c>
      <c r="AR484" s="263">
        <f t="shared" si="713"/>
        <v>2143603.1089338865</v>
      </c>
      <c r="AS484" s="346"/>
      <c r="AT484" s="323">
        <f>IFERROR(VLOOKUP(A484,'Afton FY16 Final'!$A$5:$BV$572,'Afton FY16 Final'!$BV$587,0),0)</f>
        <v>1911613.6924337421</v>
      </c>
      <c r="AU484" s="346"/>
      <c r="AV484" s="444">
        <v>0</v>
      </c>
      <c r="AW484" s="262">
        <f>IFERROR(VLOOKUP($A484,'HH &amp; SI'!$B$4:$EY$503,'HH &amp; SI'!EX$503,0),0)</f>
        <v>120069.85736534721</v>
      </c>
      <c r="AX484" s="262">
        <f>IFERROR(VLOOKUP($A484,'HH &amp; SI'!$B$4:$EY$503,'HH &amp; SI'!EY$503,0),0)</f>
        <v>2023533.2515685393</v>
      </c>
      <c r="AY484" s="262">
        <f>AX484/$AX$582*'update_State Admin 1004(b)'!$B$30*0.01</f>
        <v>19366.666860075795</v>
      </c>
      <c r="AZ484" s="263">
        <f t="shared" si="714"/>
        <v>2004166.5847084634</v>
      </c>
      <c r="BA484" s="261">
        <f t="shared" si="715"/>
        <v>20041.665847084634</v>
      </c>
      <c r="BB484" s="262">
        <f t="shared" si="716"/>
        <v>1984124.9188613787</v>
      </c>
      <c r="BC484" s="341">
        <f t="shared" si="690"/>
        <v>1.0379319455152678</v>
      </c>
      <c r="BD484" s="346"/>
      <c r="BE484" s="376" t="str">
        <f>'Original Title I &amp; II'!AZ481</f>
        <v/>
      </c>
      <c r="BF484" s="243" t="str">
        <f t="shared" si="717"/>
        <v/>
      </c>
      <c r="BG484" s="263">
        <f t="shared" si="697"/>
        <v>1984124.9188613787</v>
      </c>
      <c r="BI484" s="31">
        <f>IFERROR(VLOOKUP(A484,'Title II Hold Harmless'!A$1:B$439,2, FALSE),"")</f>
        <v>37550</v>
      </c>
      <c r="BJ484" s="31">
        <f t="shared" si="718"/>
        <v>76915.633529883489</v>
      </c>
      <c r="BK484" s="31">
        <f t="shared" si="719"/>
        <v>76990.041087612248</v>
      </c>
      <c r="BL484" s="31" t="str">
        <f t="shared" si="720"/>
        <v/>
      </c>
      <c r="BM484" s="31">
        <f t="shared" si="721"/>
        <v>76990.041087612248</v>
      </c>
      <c r="BN484" s="200"/>
      <c r="BP484" s="295" t="s">
        <v>1447</v>
      </c>
      <c r="BQ484" s="296" t="str">
        <f t="shared" si="682"/>
        <v>Y</v>
      </c>
      <c r="BR484" s="297" t="s">
        <v>1448</v>
      </c>
      <c r="BT484" s="295" t="str">
        <f t="shared" si="683"/>
        <v>Y</v>
      </c>
      <c r="BU484" s="296" t="str">
        <f t="shared" si="722"/>
        <v>Y</v>
      </c>
      <c r="BV484" s="296" t="str">
        <f t="shared" si="723"/>
        <v>Y</v>
      </c>
      <c r="BW484" s="297" t="str">
        <f t="shared" si="684"/>
        <v>Y</v>
      </c>
      <c r="BY484" s="352">
        <f t="shared" si="685"/>
        <v>0</v>
      </c>
      <c r="BZ484" s="353">
        <f t="shared" si="686"/>
        <v>0.9</v>
      </c>
      <c r="CA484" s="353">
        <f t="shared" si="687"/>
        <v>0</v>
      </c>
      <c r="CB484" s="354">
        <f t="shared" si="688"/>
        <v>0.9</v>
      </c>
      <c r="CD484" s="311">
        <f t="shared" si="689"/>
        <v>476</v>
      </c>
    </row>
    <row r="485" spans="1:82" outlineLevel="1" x14ac:dyDescent="0.3">
      <c r="A485" s="1">
        <v>110405000</v>
      </c>
      <c r="B485" s="47">
        <f>VLOOKUP(C485,'NCES ID'!$A$2:$B$3136,2,FALSE)</f>
        <v>406900</v>
      </c>
      <c r="C485" s="47">
        <f>VLOOKUP(A485,'State ID'!$A$2:$B$713,2,FALSE)</f>
        <v>4447</v>
      </c>
      <c r="D485" s="147" t="s">
        <v>482</v>
      </c>
      <c r="E485" s="47" t="s">
        <v>20</v>
      </c>
      <c r="F485" s="382">
        <f>IFERROR(VLOOKUP($B485,'update_Formula counts'!$D$7:$R$234,'update_Formula counts'!F$5,0),0)</f>
        <v>108</v>
      </c>
      <c r="G485" s="382">
        <f>IFERROR(VLOOKUP($B485,'update_Formula counts'!$D$7:$R$234,'update_Formula counts'!G$5,0),0)</f>
        <v>0</v>
      </c>
      <c r="H485" s="382">
        <f>IFERROR(VLOOKUP($B485,'update_Formula counts'!$D$7:$R$234,'update_Formula counts'!H$5,0),0)</f>
        <v>0</v>
      </c>
      <c r="I485" s="382">
        <f>IFERROR(VLOOKUP($B485,'update_Formula counts'!$D$7:$R$234,'update_Formula counts'!I$5,0),0)</f>
        <v>6</v>
      </c>
      <c r="J485" s="382">
        <f>IFERROR(VLOOKUP($B485,'update_Formula counts'!$D$7:$R$234,'update_Formula counts'!J$5,0),0)</f>
        <v>0</v>
      </c>
      <c r="K485" s="382">
        <f t="shared" si="698"/>
        <v>108</v>
      </c>
      <c r="L485" s="444">
        <f>IFERROR(VLOOKUP($B485,'update_Formula counts'!$D$7:$R$234,'update_Formula counts'!L$5,0),0)</f>
        <v>589</v>
      </c>
      <c r="M485" s="445">
        <f>IFERROR(VLOOKUP($B485,'update_Formula counts'!$D$7:$R$234,'update_Formula counts'!K$5,0),0)</f>
        <v>114</v>
      </c>
      <c r="N485" s="446">
        <f>IFERROR(VLOOKUP($B485,'update_Formula counts'!$D$7:$R$234,'update_Formula counts'!M$5,0),0)</f>
        <v>0.19354838709677419</v>
      </c>
      <c r="O485" s="137">
        <f>VLOOKUP($C485,'Final SEA Counts'!$A$2:$F$709,5,FALSE)</f>
        <v>304</v>
      </c>
      <c r="P485" s="208">
        <f>VLOOKUP($C485,'Final SEA Counts'!$A$2:$F$709,6,FALSE)</f>
        <v>170</v>
      </c>
      <c r="Q485" s="748">
        <f t="shared" si="699"/>
        <v>-11.470055041568644</v>
      </c>
      <c r="R485" s="444">
        <f t="shared" si="700"/>
        <v>519.53204015706899</v>
      </c>
      <c r="S485" s="445">
        <f t="shared" si="701"/>
        <v>102.52994495843136</v>
      </c>
      <c r="T485" s="229">
        <f t="shared" si="702"/>
        <v>0.19735057134769532</v>
      </c>
      <c r="U485" s="261">
        <f>VLOOKUP($B485,update_Allocation!$D$8:$Q$235,update_Allocation!K$239,0)</f>
        <v>53909.46498358222</v>
      </c>
      <c r="V485" s="262">
        <f>VLOOKUP($B485,update_Allocation!$D$8:$Q$235,update_Allocation!L$239,0)</f>
        <v>12841.727628454413</v>
      </c>
      <c r="W485" s="262">
        <f>VLOOKUP($B485,update_Allocation!$D$8:$Q$235,update_Allocation!M$239,0)</f>
        <v>18649.516346303597</v>
      </c>
      <c r="X485" s="262">
        <f>VLOOKUP($B485,update_Allocation!$D$8:$Q$235,update_Allocation!N$239,0)</f>
        <v>13852.473102108082</v>
      </c>
      <c r="Y485" s="263">
        <f>VLOOKUP($B485,update_Allocation!$D$8:$Q$235,update_Allocation!O$239,0)</f>
        <v>99253.182060448307</v>
      </c>
      <c r="Z485" s="262">
        <f t="shared" si="703"/>
        <v>48481.647528073663</v>
      </c>
      <c r="AA485" s="262">
        <f t="shared" si="704"/>
        <v>11548.771866384825</v>
      </c>
      <c r="AB485" s="262">
        <f t="shared" si="705"/>
        <v>16771.809520756608</v>
      </c>
      <c r="AC485" s="263">
        <f t="shared" si="706"/>
        <v>12457.751501207698</v>
      </c>
      <c r="AD485" s="262">
        <f t="shared" si="707"/>
        <v>48481.647528073663</v>
      </c>
      <c r="AE485" s="262">
        <f t="shared" si="708"/>
        <v>11548.771866384825</v>
      </c>
      <c r="AF485" s="262">
        <f t="shared" si="709"/>
        <v>16771.809520756608</v>
      </c>
      <c r="AG485" s="263">
        <f t="shared" si="710"/>
        <v>12457.751501207698</v>
      </c>
      <c r="AH485" s="262">
        <f t="shared" si="711"/>
        <v>48481.647528073663</v>
      </c>
      <c r="AI485" s="262">
        <f t="shared" si="711"/>
        <v>12961.575278730328</v>
      </c>
      <c r="AJ485" s="262">
        <f t="shared" si="711"/>
        <v>16771.809520756608</v>
      </c>
      <c r="AK485" s="262">
        <f t="shared" si="711"/>
        <v>12457.751501207698</v>
      </c>
      <c r="AL485" s="263">
        <f t="shared" si="712"/>
        <v>90672.783828768297</v>
      </c>
      <c r="AM485" s="346"/>
      <c r="AN485" s="261">
        <f>IFERROR(VLOOKUP($A485,'HH &amp; SI'!$B$4:$Z$494,'HH &amp; SI'!V$503,0),0)</f>
        <v>48021.866649018579</v>
      </c>
      <c r="AO485" s="262">
        <f>IFERROR(VLOOKUP($A485,'HH &amp; SI'!$B$4:$Z$494,'HH &amp; SI'!W$503,0),0)</f>
        <v>12534.668377802895</v>
      </c>
      <c r="AP485" s="262">
        <f>IFERROR(VLOOKUP($A485,'HH &amp; SI'!$B$4:$Z$494,'HH &amp; SI'!X$503,0),0)</f>
        <v>16619.276461470759</v>
      </c>
      <c r="AQ485" s="262">
        <f>IFERROR(VLOOKUP($A485,'HH &amp; SI'!$B$4:$Z$494,'HH &amp; SI'!Y$503,0),0)</f>
        <v>12320.489504762598</v>
      </c>
      <c r="AR485" s="263">
        <f t="shared" si="713"/>
        <v>89496.300993054843</v>
      </c>
      <c r="AS485" s="346"/>
      <c r="AT485" s="323">
        <f>IFERROR(VLOOKUP(A485,'Afton FY16 Final'!$A$5:$BV$572,'Afton FY16 Final'!$BV$587,0),0)</f>
        <v>85130.91006924439</v>
      </c>
      <c r="AU485" s="346"/>
      <c r="AV485" s="444">
        <v>0</v>
      </c>
      <c r="AW485" s="262">
        <f>IFERROR(VLOOKUP($A485,'HH &amp; SI'!$B$4:$EY$503,'HH &amp; SI'!EX$503,0),0)</f>
        <v>4365.3909238104534</v>
      </c>
      <c r="AX485" s="262">
        <f>IFERROR(VLOOKUP($A485,'HH &amp; SI'!$B$4:$EY$503,'HH &amp; SI'!EY$503,0),0)</f>
        <v>85130.91006924439</v>
      </c>
      <c r="AY485" s="262">
        <f>AX485/$AX$582*'update_State Admin 1004(b)'!$B$30*0.01</f>
        <v>814.76396472760644</v>
      </c>
      <c r="AZ485" s="263">
        <f t="shared" si="714"/>
        <v>84316.146104516782</v>
      </c>
      <c r="BA485" s="261">
        <f t="shared" si="715"/>
        <v>843.16146104516781</v>
      </c>
      <c r="BB485" s="262">
        <f t="shared" si="716"/>
        <v>83472.984643471616</v>
      </c>
      <c r="BC485" s="341">
        <f t="shared" si="690"/>
        <v>0.98052498881517614</v>
      </c>
      <c r="BD485" s="346"/>
      <c r="BE485" s="376" t="str">
        <f>'Original Title I &amp; II'!AZ482</f>
        <v/>
      </c>
      <c r="BF485" s="243" t="str">
        <f t="shared" si="717"/>
        <v/>
      </c>
      <c r="BG485" s="263">
        <f t="shared" si="697"/>
        <v>83472.984643471616</v>
      </c>
      <c r="BI485" s="31">
        <f>IFERROR(VLOOKUP(A485,'Title II Hold Harmless'!A$1:B$439,2, FALSE),"")</f>
        <v>4073</v>
      </c>
      <c r="BJ485" s="31">
        <f t="shared" si="718"/>
        <v>5833.3277062118277</v>
      </c>
      <c r="BK485" s="31">
        <f t="shared" si="719"/>
        <v>5838.9708199473744</v>
      </c>
      <c r="BL485" s="31" t="str">
        <f t="shared" si="720"/>
        <v/>
      </c>
      <c r="BM485" s="31">
        <f t="shared" si="721"/>
        <v>5838.9708199473744</v>
      </c>
      <c r="BN485" s="200"/>
      <c r="BP485" s="295" t="s">
        <v>1447</v>
      </c>
      <c r="BQ485" s="296" t="str">
        <f t="shared" si="682"/>
        <v>Y</v>
      </c>
      <c r="BR485" s="297" t="s">
        <v>1448</v>
      </c>
      <c r="BT485" s="295" t="str">
        <f t="shared" si="683"/>
        <v>Y</v>
      </c>
      <c r="BU485" s="296" t="str">
        <f t="shared" si="722"/>
        <v>Y</v>
      </c>
      <c r="BV485" s="296" t="str">
        <f t="shared" si="723"/>
        <v>Y</v>
      </c>
      <c r="BW485" s="297" t="str">
        <f t="shared" si="684"/>
        <v>Y</v>
      </c>
      <c r="BY485" s="352">
        <f t="shared" si="685"/>
        <v>0</v>
      </c>
      <c r="BZ485" s="353">
        <f t="shared" si="686"/>
        <v>0.9</v>
      </c>
      <c r="CA485" s="353">
        <f t="shared" si="687"/>
        <v>0</v>
      </c>
      <c r="CB485" s="354">
        <f t="shared" si="688"/>
        <v>0.9</v>
      </c>
      <c r="CD485" s="311">
        <f t="shared" si="689"/>
        <v>477</v>
      </c>
    </row>
    <row r="486" spans="1:82" s="48" customFormat="1" outlineLevel="1" x14ac:dyDescent="0.3">
      <c r="A486" s="202">
        <v>118705000</v>
      </c>
      <c r="B486" s="48">
        <f>VLOOKUP(C486,'NCES ID'!$A$2:$B$3136,2,FALSE)</f>
        <v>400403</v>
      </c>
      <c r="C486" s="48">
        <f>VLOOKUP(A486,'State ID'!$A$2:$B$713,2,FALSE)</f>
        <v>5978</v>
      </c>
      <c r="D486" s="48" t="s">
        <v>19</v>
      </c>
      <c r="E486" s="48" t="s">
        <v>20</v>
      </c>
      <c r="F486" s="755"/>
      <c r="G486" s="755"/>
      <c r="H486" s="755"/>
      <c r="I486" s="755"/>
      <c r="J486" s="755"/>
      <c r="K486" s="755"/>
      <c r="L486" s="454"/>
      <c r="M486" s="455"/>
      <c r="N486" s="456"/>
      <c r="O486" s="209">
        <f>VLOOKUP($C486,'AzEDS FY17 12-04-16'!$A$1:$D$712,3,FALSE)</f>
        <v>21</v>
      </c>
      <c r="P486" s="223">
        <f>VLOOKUP($C486,'AzEDS FY17 12-04-16'!$A$1:$D$712,4,FALSE)</f>
        <v>21</v>
      </c>
      <c r="Q486" s="749"/>
      <c r="R486" s="454">
        <f>O486</f>
        <v>21</v>
      </c>
      <c r="S486" s="455">
        <f t="shared" ref="S486:S498" si="724">P486*$B$500</f>
        <v>11.159789220933677</v>
      </c>
      <c r="T486" s="230">
        <f t="shared" si="702"/>
        <v>0.53141853433017505</v>
      </c>
      <c r="U486" s="264" t="str">
        <f>IFERROR(VLOOKUP($B486,#REF!,8,FALSE),"")</f>
        <v/>
      </c>
      <c r="V486" s="265" t="str">
        <f>IFERROR(VLOOKUP($B486,#REF!,9,FALSE),"")</f>
        <v/>
      </c>
      <c r="W486" s="265" t="str">
        <f>IFERROR(VLOOKUP($B486,#REF!,10,FALSE),"")</f>
        <v/>
      </c>
      <c r="X486" s="265" t="str">
        <f>IFERROR(VLOOKUP($B486,#REF!,11,FALSE),"")</f>
        <v/>
      </c>
      <c r="Y486" s="266" t="str">
        <f>IFERROR(VLOOKUP($B486,#REF!,12,FALSE),"")</f>
        <v/>
      </c>
      <c r="Z486" s="265">
        <f t="shared" ref="Z486:Z498" si="725">$S486*U$501</f>
        <v>5821.4649088938904</v>
      </c>
      <c r="AA486" s="265">
        <f t="shared" ref="AA486:AA498" si="726">$S486*V$501</f>
        <v>1391.5048684408064</v>
      </c>
      <c r="AB486" s="265">
        <f t="shared" ref="AB486:AB498" si="727">$S486*W$501</f>
        <v>2480.7920760121051</v>
      </c>
      <c r="AC486" s="266">
        <f t="shared" ref="AC486:AC498" si="728">$S486*X$501</f>
        <v>2050.7418490355085</v>
      </c>
      <c r="AD486" s="265">
        <f t="shared" si="707"/>
        <v>5821.4649088938904</v>
      </c>
      <c r="AE486" s="265">
        <f t="shared" si="708"/>
        <v>1391.5048684408064</v>
      </c>
      <c r="AF486" s="265">
        <f t="shared" si="709"/>
        <v>2480.7920760121051</v>
      </c>
      <c r="AG486" s="266">
        <f t="shared" si="710"/>
        <v>2050.7418490355085</v>
      </c>
      <c r="AH486" s="265">
        <f t="shared" si="711"/>
        <v>5821.4649088938904</v>
      </c>
      <c r="AI486" s="265">
        <f t="shared" si="711"/>
        <v>2804.3082807863102</v>
      </c>
      <c r="AJ486" s="265">
        <f t="shared" si="711"/>
        <v>2480.7920760121051</v>
      </c>
      <c r="AK486" s="265">
        <f t="shared" si="711"/>
        <v>2050.7418490355085</v>
      </c>
      <c r="AL486" s="266">
        <f t="shared" si="712"/>
        <v>13157.307114727813</v>
      </c>
      <c r="AM486" s="347"/>
      <c r="AN486" s="264">
        <f>IFERROR(VLOOKUP($A486,'HH &amp; SI'!$B$4:$Z$494,'HH &amp; SI'!V$503,0),0)</f>
        <v>5742.0563490352361</v>
      </c>
      <c r="AO486" s="265">
        <f>IFERROR(VLOOKUP($A486,'HH &amp; SI'!$B$4:$Z$494,'HH &amp; SI'!W$503,0),0)</f>
        <v>2935.7225196165787</v>
      </c>
      <c r="AP486" s="265">
        <f>IFERROR(VLOOKUP($A486,'HH &amp; SI'!$B$4:$Z$494,'HH &amp; SI'!X$503,0),0)</f>
        <v>2458.2302406694184</v>
      </c>
      <c r="AQ486" s="265">
        <f>IFERROR(VLOOKUP($A486,'HH &amp; SI'!$B$4:$Z$494,'HH &amp; SI'!Y$503,0),0)</f>
        <v>2028.1463653830338</v>
      </c>
      <c r="AR486" s="266">
        <f t="shared" si="713"/>
        <v>13164.155474704266</v>
      </c>
      <c r="AS486" s="347"/>
      <c r="AT486" s="324">
        <f>IFERROR(VLOOKUP(A486,'Afton FY16 Final'!$A$5:$BV$572,'Afton FY16 Final'!$BV$587,0),0)</f>
        <v>3029.3875196752733</v>
      </c>
      <c r="AU486" s="347"/>
      <c r="AV486" s="454">
        <v>0</v>
      </c>
      <c r="AW486" s="265">
        <f>IFERROR(VLOOKUP($A486,'HH &amp; SI'!$B$4:$EY$503,'HH &amp; SI'!EX$503,0),0)</f>
        <v>737.36516969744116</v>
      </c>
      <c r="AX486" s="265">
        <f>IFERROR(VLOOKUP($A486,'HH &amp; SI'!$B$4:$EY$503,'HH &amp; SI'!EY$503,0),0)</f>
        <v>12426.790305006825</v>
      </c>
      <c r="AY486" s="265">
        <f>AX486/$AX$582*'update_State Admin 1004(b)'!$B$30*0.01</f>
        <v>118.93331023373858</v>
      </c>
      <c r="AZ486" s="266">
        <f t="shared" si="714"/>
        <v>12307.856994773087</v>
      </c>
      <c r="BA486" s="264">
        <f t="shared" si="715"/>
        <v>123.07856994773087</v>
      </c>
      <c r="BB486" s="265">
        <f t="shared" si="716"/>
        <v>12184.778424825356</v>
      </c>
      <c r="BC486" s="342">
        <f t="shared" si="690"/>
        <v>4.0221920588526983</v>
      </c>
      <c r="BD486" s="347"/>
      <c r="BE486" s="377" t="str">
        <f>'Original Title I &amp; II'!AZ483</f>
        <v/>
      </c>
      <c r="BF486" s="244" t="str">
        <f t="shared" si="717"/>
        <v/>
      </c>
      <c r="BG486" s="266">
        <f t="shared" si="697"/>
        <v>12184.778424825356</v>
      </c>
      <c r="BI486" s="203" t="str">
        <f>IFERROR(VLOOKUP(A486,'Title II Hold Harmless'!A$1:B$439,2, FALSE),"")</f>
        <v/>
      </c>
      <c r="BJ486" s="203">
        <f t="shared" si="718"/>
        <v>162.99239385438483</v>
      </c>
      <c r="BK486" s="203">
        <f t="shared" si="719"/>
        <v>163.15007136932536</v>
      </c>
      <c r="BL486" s="203" t="str">
        <f t="shared" si="720"/>
        <v/>
      </c>
      <c r="BM486" s="203">
        <f t="shared" si="721"/>
        <v>163.15007136932536</v>
      </c>
      <c r="BN486" s="200"/>
      <c r="BP486" s="298" t="s">
        <v>1447</v>
      </c>
      <c r="BQ486" s="299" t="str">
        <f t="shared" si="682"/>
        <v>Y</v>
      </c>
      <c r="BR486" s="300" t="s">
        <v>1448</v>
      </c>
      <c r="BT486" s="298" t="str">
        <f t="shared" si="683"/>
        <v>Y</v>
      </c>
      <c r="BU486" s="299" t="str">
        <f t="shared" si="722"/>
        <v>Y</v>
      </c>
      <c r="BV486" s="299" t="str">
        <f t="shared" si="723"/>
        <v>Y</v>
      </c>
      <c r="BW486" s="300" t="str">
        <f t="shared" si="684"/>
        <v>Y</v>
      </c>
      <c r="BY486" s="355">
        <f t="shared" si="685"/>
        <v>0</v>
      </c>
      <c r="BZ486" s="356">
        <f t="shared" si="686"/>
        <v>0</v>
      </c>
      <c r="CA486" s="356">
        <f t="shared" si="687"/>
        <v>0.95</v>
      </c>
      <c r="CB486" s="357">
        <f t="shared" si="688"/>
        <v>0.95</v>
      </c>
      <c r="CD486" s="312">
        <f t="shared" si="689"/>
        <v>478</v>
      </c>
    </row>
    <row r="487" spans="1:82" s="48" customFormat="1" outlineLevel="1" x14ac:dyDescent="0.3">
      <c r="A487" s="202">
        <v>118706000</v>
      </c>
      <c r="B487" s="48">
        <f>VLOOKUP(C487,'NCES ID'!$A$2:$B$3136,2,FALSE)</f>
        <v>400404</v>
      </c>
      <c r="C487" s="48">
        <f>VLOOKUP(A487,'State ID'!$A$2:$B$713,2,FALSE)</f>
        <v>78966</v>
      </c>
      <c r="D487" s="48" t="s">
        <v>21</v>
      </c>
      <c r="E487" s="48" t="s">
        <v>20</v>
      </c>
      <c r="F487" s="755"/>
      <c r="G487" s="755"/>
      <c r="H487" s="755"/>
      <c r="I487" s="755"/>
      <c r="J487" s="755"/>
      <c r="K487" s="755"/>
      <c r="L487" s="454"/>
      <c r="M487" s="455"/>
      <c r="N487" s="456"/>
      <c r="O487" s="209">
        <f>VLOOKUP($C487,'Final SEA Counts'!$A$2:$F$709,5,FALSE)</f>
        <v>140</v>
      </c>
      <c r="P487" s="223">
        <f>VLOOKUP($C487,'Final SEA Counts'!$A$2:$F$709,6,FALSE)</f>
        <v>120</v>
      </c>
      <c r="Q487" s="749"/>
      <c r="R487" s="454">
        <f t="shared" ref="R487:R498" si="729">O487</f>
        <v>140</v>
      </c>
      <c r="S487" s="455">
        <f t="shared" si="724"/>
        <v>63.770224119621005</v>
      </c>
      <c r="T487" s="230">
        <f t="shared" si="702"/>
        <v>0.45550160085443575</v>
      </c>
      <c r="U487" s="264" t="str">
        <f>IFERROR(VLOOKUP($B487,#REF!,8,FALSE),"")</f>
        <v/>
      </c>
      <c r="V487" s="265" t="str">
        <f>IFERROR(VLOOKUP($B487,#REF!,9,FALSE),"")</f>
        <v/>
      </c>
      <c r="W487" s="265" t="str">
        <f>IFERROR(VLOOKUP($B487,#REF!,10,FALSE),"")</f>
        <v/>
      </c>
      <c r="X487" s="265" t="str">
        <f>IFERROR(VLOOKUP($B487,#REF!,11,FALSE),"")</f>
        <v/>
      </c>
      <c r="Y487" s="266" t="str">
        <f>IFERROR(VLOOKUP($B487,#REF!,12,FALSE),"")</f>
        <v/>
      </c>
      <c r="Z487" s="265">
        <f t="shared" si="725"/>
        <v>33265.513765107942</v>
      </c>
      <c r="AA487" s="265">
        <f t="shared" si="726"/>
        <v>7951.4563910903225</v>
      </c>
      <c r="AB487" s="265">
        <f t="shared" si="727"/>
        <v>14175.95472006917</v>
      </c>
      <c r="AC487" s="266">
        <f t="shared" si="728"/>
        <v>11718.524851631477</v>
      </c>
      <c r="AD487" s="265">
        <f t="shared" si="707"/>
        <v>33265.513765107942</v>
      </c>
      <c r="AE487" s="265">
        <f t="shared" si="708"/>
        <v>7951.4563910903225</v>
      </c>
      <c r="AF487" s="265">
        <f t="shared" si="709"/>
        <v>14175.95472006917</v>
      </c>
      <c r="AG487" s="266">
        <f t="shared" si="710"/>
        <v>11718.524851631477</v>
      </c>
      <c r="AH487" s="265">
        <f t="shared" si="711"/>
        <v>33265.513765107942</v>
      </c>
      <c r="AI487" s="265">
        <f t="shared" si="711"/>
        <v>9364.2598034358271</v>
      </c>
      <c r="AJ487" s="265">
        <f t="shared" si="711"/>
        <v>14175.95472006917</v>
      </c>
      <c r="AK487" s="265">
        <f t="shared" si="711"/>
        <v>11718.524851631477</v>
      </c>
      <c r="AL487" s="266">
        <f t="shared" si="712"/>
        <v>68524.253140244415</v>
      </c>
      <c r="AM487" s="347"/>
      <c r="AN487" s="264">
        <f>IFERROR(VLOOKUP($A487,'HH &amp; SI'!$B$4:$Z$494,'HH &amp; SI'!V$503,0),0)</f>
        <v>41224.580979654602</v>
      </c>
      <c r="AO487" s="265">
        <f>IFERROR(VLOOKUP($A487,'HH &amp; SI'!$B$4:$Z$494,'HH &amp; SI'!W$503,0),0)</f>
        <v>10167.780006315714</v>
      </c>
      <c r="AP487" s="265">
        <f>IFERROR(VLOOKUP($A487,'HH &amp; SI'!$B$4:$Z$494,'HH &amp; SI'!X$503,0),0)</f>
        <v>16502.686819177758</v>
      </c>
      <c r="AQ487" s="265">
        <f>IFERROR(VLOOKUP($A487,'HH &amp; SI'!$B$4:$Z$494,'HH &amp; SI'!Y$503,0),0)</f>
        <v>14167.879552877719</v>
      </c>
      <c r="AR487" s="266">
        <f t="shared" si="713"/>
        <v>82062.927358025801</v>
      </c>
      <c r="AS487" s="347"/>
      <c r="AT487" s="324">
        <f>IFERROR(VLOOKUP(A487,'Afton FY16 Final'!$A$5:$BV$572,'Afton FY16 Final'!$BV$587,0),0)</f>
        <v>83324.797223695583</v>
      </c>
      <c r="AU487" s="347"/>
      <c r="AV487" s="454">
        <v>0</v>
      </c>
      <c r="AW487" s="265">
        <f>IFERROR(VLOOKUP($A487,'HH &amp; SI'!$B$4:$EY$503,'HH &amp; SI'!EX$503,0),0)</f>
        <v>0</v>
      </c>
      <c r="AX487" s="265">
        <f>IFERROR(VLOOKUP($A487,'HH &amp; SI'!$B$4:$EY$503,'HH &amp; SI'!EY$503,0),0)</f>
        <v>82062.927358025801</v>
      </c>
      <c r="AY487" s="265">
        <f>AX487/$AX$582*'update_State Admin 1004(b)'!$B$30*0.01</f>
        <v>785.40116623907863</v>
      </c>
      <c r="AZ487" s="266">
        <f t="shared" si="714"/>
        <v>81277.526191786717</v>
      </c>
      <c r="BA487" s="264">
        <f t="shared" si="715"/>
        <v>812.77526191786717</v>
      </c>
      <c r="BB487" s="265">
        <f t="shared" si="716"/>
        <v>80464.750929868853</v>
      </c>
      <c r="BC487" s="342">
        <f t="shared" si="690"/>
        <v>0.96567592854563344</v>
      </c>
      <c r="BD487" s="347"/>
      <c r="BE487" s="377" t="str">
        <f>'Original Title I &amp; II'!AZ484</f>
        <v/>
      </c>
      <c r="BF487" s="244" t="str">
        <f t="shared" si="717"/>
        <v/>
      </c>
      <c r="BG487" s="266">
        <f t="shared" si="697"/>
        <v>80464.750929868853</v>
      </c>
      <c r="BI487" s="203" t="str">
        <f>IFERROR(VLOOKUP(A487,'Title II Hold Harmless'!A$1:B$439,2, FALSE),"")</f>
        <v/>
      </c>
      <c r="BJ487" s="203">
        <f t="shared" si="718"/>
        <v>947.48110152917673</v>
      </c>
      <c r="BK487" s="203">
        <f t="shared" si="719"/>
        <v>948.39768703362495</v>
      </c>
      <c r="BL487" s="203" t="str">
        <f t="shared" si="720"/>
        <v/>
      </c>
      <c r="BM487" s="203">
        <f t="shared" si="721"/>
        <v>948.39768703362495</v>
      </c>
      <c r="BN487" s="200"/>
      <c r="BP487" s="298" t="s">
        <v>1448</v>
      </c>
      <c r="BQ487" s="299" t="str">
        <f t="shared" si="682"/>
        <v>Y</v>
      </c>
      <c r="BR487" s="300" t="s">
        <v>1448</v>
      </c>
      <c r="BT487" s="298" t="str">
        <f t="shared" si="683"/>
        <v>Y</v>
      </c>
      <c r="BU487" s="299" t="str">
        <f t="shared" si="722"/>
        <v>Y</v>
      </c>
      <c r="BV487" s="299" t="str">
        <f t="shared" si="723"/>
        <v>Y</v>
      </c>
      <c r="BW487" s="300" t="str">
        <f t="shared" si="684"/>
        <v>Y</v>
      </c>
      <c r="BY487" s="355">
        <f t="shared" si="685"/>
        <v>0</v>
      </c>
      <c r="BZ487" s="356">
        <f t="shared" si="686"/>
        <v>0</v>
      </c>
      <c r="CA487" s="356">
        <f t="shared" si="687"/>
        <v>0.95</v>
      </c>
      <c r="CB487" s="357">
        <f t="shared" si="688"/>
        <v>0.95</v>
      </c>
      <c r="CD487" s="312">
        <f t="shared" si="689"/>
        <v>479</v>
      </c>
    </row>
    <row r="488" spans="1:82" s="48" customFormat="1" outlineLevel="1" x14ac:dyDescent="0.3">
      <c r="A488" s="202">
        <v>118703000</v>
      </c>
      <c r="B488" s="48">
        <f>VLOOKUP(C488,'NCES ID'!$A$2:$B$3136,2,FALSE)</f>
        <v>400357</v>
      </c>
      <c r="C488" s="48">
        <f>VLOOKUP(A488,'State ID'!$A$2:$B$713,2,FALSE)</f>
        <v>79883</v>
      </c>
      <c r="D488" s="48" t="s">
        <v>26</v>
      </c>
      <c r="E488" s="48" t="s">
        <v>20</v>
      </c>
      <c r="F488" s="755"/>
      <c r="G488" s="755"/>
      <c r="H488" s="755"/>
      <c r="I488" s="755"/>
      <c r="J488" s="755"/>
      <c r="K488" s="755"/>
      <c r="L488" s="454"/>
      <c r="M488" s="455"/>
      <c r="N488" s="456"/>
      <c r="O488" s="209">
        <f>VLOOKUP($C488,'Final SEA Counts'!$A$2:$F$709,5,FALSE)</f>
        <v>71</v>
      </c>
      <c r="P488" s="223">
        <f>VLOOKUP($C488,'Final SEA Counts'!$A$2:$F$709,6,FALSE)</f>
        <v>54</v>
      </c>
      <c r="Q488" s="749"/>
      <c r="R488" s="454">
        <f t="shared" si="729"/>
        <v>71</v>
      </c>
      <c r="S488" s="455">
        <f t="shared" si="724"/>
        <v>28.696600853829452</v>
      </c>
      <c r="T488" s="230">
        <f t="shared" si="702"/>
        <v>0.40417747681449934</v>
      </c>
      <c r="U488" s="264" t="str">
        <f>IFERROR(VLOOKUP($B488,#REF!,8,FALSE),"")</f>
        <v/>
      </c>
      <c r="V488" s="265" t="str">
        <f>IFERROR(VLOOKUP($B488,#REF!,9,FALSE),"")</f>
        <v/>
      </c>
      <c r="W488" s="265" t="str">
        <f>IFERROR(VLOOKUP($B488,#REF!,10,FALSE),"")</f>
        <v/>
      </c>
      <c r="X488" s="265" t="str">
        <f>IFERROR(VLOOKUP($B488,#REF!,11,FALSE),"")</f>
        <v/>
      </c>
      <c r="Y488" s="266" t="str">
        <f>IFERROR(VLOOKUP($B488,#REF!,12,FALSE),"")</f>
        <v/>
      </c>
      <c r="Z488" s="265">
        <f t="shared" si="725"/>
        <v>14969.481194298574</v>
      </c>
      <c r="AA488" s="265">
        <f t="shared" si="726"/>
        <v>3578.1553759906446</v>
      </c>
      <c r="AB488" s="265">
        <f t="shared" si="727"/>
        <v>6379.179624031126</v>
      </c>
      <c r="AC488" s="266">
        <f t="shared" si="728"/>
        <v>5273.3361832341643</v>
      </c>
      <c r="AD488" s="265">
        <f t="shared" si="707"/>
        <v>14969.481194298574</v>
      </c>
      <c r="AE488" s="265">
        <f t="shared" si="708"/>
        <v>3578.1553759906446</v>
      </c>
      <c r="AF488" s="265">
        <f t="shared" si="709"/>
        <v>6379.179624031126</v>
      </c>
      <c r="AG488" s="266">
        <f t="shared" si="710"/>
        <v>5273.3361832341643</v>
      </c>
      <c r="AH488" s="265">
        <f t="shared" si="711"/>
        <v>14969.481194298574</v>
      </c>
      <c r="AI488" s="265">
        <f t="shared" si="711"/>
        <v>4990.9587883361492</v>
      </c>
      <c r="AJ488" s="265">
        <f t="shared" si="711"/>
        <v>6379.179624031126</v>
      </c>
      <c r="AK488" s="265">
        <f t="shared" si="711"/>
        <v>5273.3361832341643</v>
      </c>
      <c r="AL488" s="266">
        <f t="shared" si="712"/>
        <v>31612.955789900014</v>
      </c>
      <c r="AM488" s="347"/>
      <c r="AN488" s="264">
        <f>IFERROR(VLOOKUP($A488,'HH &amp; SI'!$B$4:$Z$494,'HH &amp; SI'!V$503,0),0)</f>
        <v>29624.077128099809</v>
      </c>
      <c r="AO488" s="265">
        <f>IFERROR(VLOOKUP($A488,'HH &amp; SI'!$B$4:$Z$494,'HH &amp; SI'!W$503,0),0)</f>
        <v>7172.0146155316252</v>
      </c>
      <c r="AP488" s="265">
        <f>IFERROR(VLOOKUP($A488,'HH &amp; SI'!$B$4:$Z$494,'HH &amp; SI'!X$503,0),0)</f>
        <v>11757.278002171061</v>
      </c>
      <c r="AQ488" s="265">
        <f>IFERROR(VLOOKUP($A488,'HH &amp; SI'!$B$4:$Z$494,'HH &amp; SI'!Y$503,0),0)</f>
        <v>10358.020405426296</v>
      </c>
      <c r="AR488" s="266">
        <f t="shared" si="713"/>
        <v>58911.390151228792</v>
      </c>
      <c r="AS488" s="347"/>
      <c r="AT488" s="324">
        <f>IFERROR(VLOOKUP(A488,'Afton FY16 Final'!$A$5:$BV$572,'Afton FY16 Final'!$BV$587,0),0)</f>
        <v>60790.973567270885</v>
      </c>
      <c r="AU488" s="347"/>
      <c r="AV488" s="454">
        <v>0</v>
      </c>
      <c r="AW488" s="265">
        <f>IFERROR(VLOOKUP($A488,'HH &amp; SI'!$B$4:$EY$503,'HH &amp; SI'!EX$503,0),0)</f>
        <v>0</v>
      </c>
      <c r="AX488" s="265">
        <f>IFERROR(VLOOKUP($A488,'HH &amp; SI'!$B$4:$EY$503,'HH &amp; SI'!EY$503,0),0)</f>
        <v>58911.390151228792</v>
      </c>
      <c r="AY488" s="265">
        <f>AX488/$AX$582*'update_State Admin 1004(b)'!$B$30*0.01</f>
        <v>563.82432383476646</v>
      </c>
      <c r="AZ488" s="266">
        <f t="shared" si="714"/>
        <v>58347.565827394028</v>
      </c>
      <c r="BA488" s="264">
        <f t="shared" si="715"/>
        <v>583.47565827394033</v>
      </c>
      <c r="BB488" s="265">
        <f t="shared" si="716"/>
        <v>57764.090169120085</v>
      </c>
      <c r="BC488" s="342">
        <f t="shared" si="690"/>
        <v>0.95020834146040989</v>
      </c>
      <c r="BD488" s="347"/>
      <c r="BE488" s="377" t="str">
        <f>'Original Title I &amp; II'!AZ485</f>
        <v/>
      </c>
      <c r="BF488" s="244" t="str">
        <f t="shared" si="717"/>
        <v/>
      </c>
      <c r="BG488" s="266">
        <f t="shared" si="697"/>
        <v>57764.090169120085</v>
      </c>
      <c r="BI488" s="203" t="str">
        <f>IFERROR(VLOOKUP(A488,'Title II Hold Harmless'!A$1:B$439,2, FALSE),"")</f>
        <v/>
      </c>
      <c r="BJ488" s="203">
        <f t="shared" si="718"/>
        <v>432.80489320406355</v>
      </c>
      <c r="BK488" s="203">
        <f t="shared" si="719"/>
        <v>433.22358513440901</v>
      </c>
      <c r="BL488" s="203" t="str">
        <f t="shared" si="720"/>
        <v/>
      </c>
      <c r="BM488" s="203">
        <f t="shared" si="721"/>
        <v>433.22358513440901</v>
      </c>
      <c r="BN488" s="200"/>
      <c r="BP488" s="298" t="s">
        <v>1448</v>
      </c>
      <c r="BQ488" s="299" t="str">
        <f t="shared" si="682"/>
        <v>Y</v>
      </c>
      <c r="BR488" s="300" t="s">
        <v>1448</v>
      </c>
      <c r="BT488" s="298" t="str">
        <f t="shared" si="683"/>
        <v>Y</v>
      </c>
      <c r="BU488" s="299" t="str">
        <f t="shared" si="722"/>
        <v>Y</v>
      </c>
      <c r="BV488" s="299" t="str">
        <f t="shared" si="723"/>
        <v>Y</v>
      </c>
      <c r="BW488" s="300" t="str">
        <f t="shared" si="684"/>
        <v>Y</v>
      </c>
      <c r="BY488" s="355">
        <f t="shared" si="685"/>
        <v>0</v>
      </c>
      <c r="BZ488" s="356">
        <f t="shared" si="686"/>
        <v>0</v>
      </c>
      <c r="CA488" s="356">
        <f t="shared" si="687"/>
        <v>0.95</v>
      </c>
      <c r="CB488" s="357">
        <f t="shared" si="688"/>
        <v>0.95</v>
      </c>
      <c r="CD488" s="312">
        <f t="shared" si="689"/>
        <v>480</v>
      </c>
    </row>
    <row r="489" spans="1:82" s="48" customFormat="1" outlineLevel="1" x14ac:dyDescent="0.3">
      <c r="A489" s="202">
        <v>118711000</v>
      </c>
      <c r="B489" s="48">
        <f>VLOOKUP(C489,'NCES ID'!$A$2:$B$3136,2,FALSE)</f>
        <v>400855</v>
      </c>
      <c r="C489" s="48">
        <f>VLOOKUP(A489,'State ID'!$A$2:$B$713,2,FALSE)</f>
        <v>91133</v>
      </c>
      <c r="D489" s="48" t="s">
        <v>57</v>
      </c>
      <c r="E489" s="48" t="s">
        <v>20</v>
      </c>
      <c r="F489" s="755"/>
      <c r="G489" s="755"/>
      <c r="H489" s="755"/>
      <c r="I489" s="755"/>
      <c r="J489" s="755"/>
      <c r="K489" s="755"/>
      <c r="L489" s="454"/>
      <c r="M489" s="455"/>
      <c r="N489" s="456"/>
      <c r="O489" s="209">
        <f>VLOOKUP($C489,'Final SEA Counts'!$A$2:$F$709,5,FALSE)</f>
        <v>1201</v>
      </c>
      <c r="P489" s="223">
        <f>VLOOKUP($C489,'Final SEA Counts'!$A$2:$F$709,6,FALSE)</f>
        <v>115</v>
      </c>
      <c r="Q489" s="749"/>
      <c r="R489" s="454">
        <f t="shared" si="729"/>
        <v>1201</v>
      </c>
      <c r="S489" s="455">
        <f t="shared" si="724"/>
        <v>61.113131447970133</v>
      </c>
      <c r="T489" s="230">
        <f t="shared" si="702"/>
        <v>5.0885205202306522E-2</v>
      </c>
      <c r="U489" s="264" t="str">
        <f>IFERROR(VLOOKUP($B489,#REF!,8,FALSE),"")</f>
        <v/>
      </c>
      <c r="V489" s="265" t="str">
        <f>IFERROR(VLOOKUP($B489,#REF!,9,FALSE),"")</f>
        <v/>
      </c>
      <c r="W489" s="265" t="str">
        <f>IFERROR(VLOOKUP($B489,#REF!,10,FALSE),"")</f>
        <v/>
      </c>
      <c r="X489" s="265" t="str">
        <f>IFERROR(VLOOKUP($B489,#REF!,11,FALSE),"")</f>
        <v/>
      </c>
      <c r="Y489" s="266" t="str">
        <f>IFERROR(VLOOKUP($B489,#REF!,12,FALSE),"")</f>
        <v/>
      </c>
      <c r="Z489" s="265">
        <f t="shared" si="725"/>
        <v>31879.450691561779</v>
      </c>
      <c r="AA489" s="265">
        <f t="shared" si="726"/>
        <v>7620.145708128226</v>
      </c>
      <c r="AB489" s="265">
        <f t="shared" si="727"/>
        <v>13585.289940066288</v>
      </c>
      <c r="AC489" s="266">
        <f t="shared" si="728"/>
        <v>11230.252982813499</v>
      </c>
      <c r="AD489" s="265">
        <f t="shared" si="707"/>
        <v>31879.450691561779</v>
      </c>
      <c r="AE489" s="265" t="str">
        <f t="shared" si="708"/>
        <v/>
      </c>
      <c r="AF489" s="265">
        <f t="shared" si="709"/>
        <v>13585.289940066288</v>
      </c>
      <c r="AG489" s="266">
        <f t="shared" si="710"/>
        <v>11230.252982813499</v>
      </c>
      <c r="AH489" s="265">
        <f t="shared" si="711"/>
        <v>31879.450691561779</v>
      </c>
      <c r="AI489" s="265" t="str">
        <f t="shared" si="711"/>
        <v/>
      </c>
      <c r="AJ489" s="265">
        <f t="shared" si="711"/>
        <v>13585.289940066288</v>
      </c>
      <c r="AK489" s="265">
        <f t="shared" si="711"/>
        <v>11230.252982813499</v>
      </c>
      <c r="AL489" s="266">
        <f t="shared" si="712"/>
        <v>56694.99361444157</v>
      </c>
      <c r="AM489" s="347"/>
      <c r="AN489" s="264">
        <f>IFERROR(VLOOKUP($A489,'HH &amp; SI'!$B$4:$Z$494,'HH &amp; SI'!V$503,0),0)</f>
        <v>37532.742960402866</v>
      </c>
      <c r="AO489" s="265">
        <f>IFERROR(VLOOKUP($A489,'HH &amp; SI'!$B$4:$Z$494,'HH &amp; SI'!W$503,0),0)</f>
        <v>0</v>
      </c>
      <c r="AP489" s="265">
        <f>IFERROR(VLOOKUP($A489,'HH &amp; SI'!$B$4:$Z$494,'HH &amp; SI'!X$503,0),0)</f>
        <v>15024.800442384432</v>
      </c>
      <c r="AQ489" s="265">
        <f>IFERROR(VLOOKUP($A489,'HH &amp; SI'!$B$4:$Z$494,'HH &amp; SI'!Y$503,0),0)</f>
        <v>12899.085179653957</v>
      </c>
      <c r="AR489" s="266">
        <f t="shared" si="713"/>
        <v>65456.628582441255</v>
      </c>
      <c r="AS489" s="347"/>
      <c r="AT489" s="324">
        <f>IFERROR(VLOOKUP(A489,'Afton FY16 Final'!$A$5:$BV$572,'Afton FY16 Final'!$BV$587,0),0)</f>
        <v>75491.514795874333</v>
      </c>
      <c r="AU489" s="347"/>
      <c r="AV489" s="454">
        <v>0</v>
      </c>
      <c r="AW489" s="265">
        <f>IFERROR(VLOOKUP($A489,'HH &amp; SI'!$B$4:$EY$503,'HH &amp; SI'!EX$503,0),0)</f>
        <v>0</v>
      </c>
      <c r="AX489" s="265">
        <f>IFERROR(VLOOKUP($A489,'HH &amp; SI'!$B$4:$EY$503,'HH &amp; SI'!EY$503,0),0)</f>
        <v>65456.628582441255</v>
      </c>
      <c r="AY489" s="265">
        <f>AX489/$AX$582*'update_State Admin 1004(b)'!$B$30*0.01</f>
        <v>626.46695751464279</v>
      </c>
      <c r="AZ489" s="266">
        <f t="shared" si="714"/>
        <v>64830.161624926615</v>
      </c>
      <c r="BA489" s="264">
        <f t="shared" si="715"/>
        <v>648.3016162492662</v>
      </c>
      <c r="BB489" s="265">
        <f t="shared" si="716"/>
        <v>64181.860008677351</v>
      </c>
      <c r="BC489" s="342">
        <f t="shared" si="690"/>
        <v>0.85018641078036672</v>
      </c>
      <c r="BD489" s="347"/>
      <c r="BE489" s="377" t="str">
        <f>'Original Title I &amp; II'!AZ486</f>
        <v/>
      </c>
      <c r="BF489" s="244" t="str">
        <f t="shared" si="717"/>
        <v/>
      </c>
      <c r="BG489" s="266">
        <f t="shared" si="697"/>
        <v>64181.860008677351</v>
      </c>
      <c r="BI489" s="203" t="str">
        <f>IFERROR(VLOOKUP(A489,'Title II Hold Harmless'!A$1:B$439,2, FALSE),"")</f>
        <v/>
      </c>
      <c r="BJ489" s="203">
        <f t="shared" si="718"/>
        <v>1766.5898577049099</v>
      </c>
      <c r="BK489" s="203">
        <f t="shared" si="719"/>
        <v>1768.2988423519537</v>
      </c>
      <c r="BL489" s="203" t="str">
        <f t="shared" si="720"/>
        <v/>
      </c>
      <c r="BM489" s="203">
        <f t="shared" si="721"/>
        <v>1768.2988423519537</v>
      </c>
      <c r="BN489" s="200"/>
      <c r="BP489" s="298" t="s">
        <v>1448</v>
      </c>
      <c r="BQ489" s="299" t="str">
        <f t="shared" si="682"/>
        <v>Y</v>
      </c>
      <c r="BR489" s="300" t="s">
        <v>1448</v>
      </c>
      <c r="BT489" s="298" t="str">
        <f t="shared" si="683"/>
        <v>Y</v>
      </c>
      <c r="BU489" s="299" t="str">
        <f t="shared" si="722"/>
        <v>N</v>
      </c>
      <c r="BV489" s="299" t="str">
        <f t="shared" si="723"/>
        <v>Y</v>
      </c>
      <c r="BW489" s="300" t="str">
        <f t="shared" si="684"/>
        <v>Y</v>
      </c>
      <c r="BY489" s="355">
        <f t="shared" si="685"/>
        <v>0.85</v>
      </c>
      <c r="BZ489" s="356">
        <f t="shared" si="686"/>
        <v>0</v>
      </c>
      <c r="CA489" s="356">
        <f t="shared" si="687"/>
        <v>0</v>
      </c>
      <c r="CB489" s="357">
        <f t="shared" si="688"/>
        <v>0.85</v>
      </c>
      <c r="CD489" s="312">
        <f t="shared" si="689"/>
        <v>481</v>
      </c>
    </row>
    <row r="490" spans="1:82" s="48" customFormat="1" outlineLevel="1" x14ac:dyDescent="0.3">
      <c r="A490" s="202">
        <v>118708000</v>
      </c>
      <c r="B490" s="48">
        <f>VLOOKUP(C490,'NCES ID'!$A$2:$B$3136,2,FALSE)</f>
        <v>400824</v>
      </c>
      <c r="C490" s="48">
        <f>VLOOKUP(A490,'State ID'!$A$2:$B$713,2,FALSE)</f>
        <v>90637</v>
      </c>
      <c r="D490" s="48" t="s">
        <v>250</v>
      </c>
      <c r="E490" s="48" t="s">
        <v>20</v>
      </c>
      <c r="F490" s="755"/>
      <c r="G490" s="755"/>
      <c r="H490" s="755"/>
      <c r="I490" s="755"/>
      <c r="J490" s="755"/>
      <c r="K490" s="755"/>
      <c r="L490" s="454"/>
      <c r="M490" s="455"/>
      <c r="N490" s="456"/>
      <c r="O490" s="209">
        <f>VLOOKUP($C490,'AzEDS FY17 12-04-16'!$A$1:$D$712,3,FALSE)</f>
        <v>668</v>
      </c>
      <c r="P490" s="223">
        <f>VLOOKUP($C490,'AzEDS FY17 12-04-16'!$A$1:$D$712,4,FALSE)</f>
        <v>361</v>
      </c>
      <c r="Q490" s="749"/>
      <c r="R490" s="454">
        <f t="shared" si="729"/>
        <v>668</v>
      </c>
      <c r="S490" s="455">
        <f t="shared" si="724"/>
        <v>191.84209089319319</v>
      </c>
      <c r="T490" s="230">
        <f t="shared" si="702"/>
        <v>0.28718875882214551</v>
      </c>
      <c r="U490" s="264" t="str">
        <f>IFERROR(VLOOKUP($B490,#REF!,8,FALSE),"")</f>
        <v/>
      </c>
      <c r="V490" s="265" t="str">
        <f>IFERROR(VLOOKUP($B490,#REF!,9,FALSE),"")</f>
        <v/>
      </c>
      <c r="W490" s="265" t="str">
        <f>IFERROR(VLOOKUP($B490,#REF!,10,FALSE),"")</f>
        <v/>
      </c>
      <c r="X490" s="265" t="str">
        <f>IFERROR(VLOOKUP($B490,#REF!,11,FALSE),"")</f>
        <v/>
      </c>
      <c r="Y490" s="266" t="str">
        <f>IFERROR(VLOOKUP($B490,#REF!,12,FALSE),"")</f>
        <v/>
      </c>
      <c r="Z490" s="265">
        <f t="shared" si="725"/>
        <v>100073.75391003306</v>
      </c>
      <c r="AA490" s="265">
        <f t="shared" si="726"/>
        <v>23920.631309863384</v>
      </c>
      <c r="AB490" s="265">
        <f t="shared" si="727"/>
        <v>42645.997116208084</v>
      </c>
      <c r="AC490" s="266">
        <f t="shared" si="728"/>
        <v>35253.228928658027</v>
      </c>
      <c r="AD490" s="265">
        <f t="shared" si="707"/>
        <v>100073.75391003306</v>
      </c>
      <c r="AE490" s="265">
        <f t="shared" si="708"/>
        <v>23920.631309863384</v>
      </c>
      <c r="AF490" s="265">
        <f t="shared" si="709"/>
        <v>42645.997116208084</v>
      </c>
      <c r="AG490" s="266">
        <f t="shared" si="710"/>
        <v>35253.228928658027</v>
      </c>
      <c r="AH490" s="265">
        <f t="shared" si="711"/>
        <v>100073.75391003306</v>
      </c>
      <c r="AI490" s="265">
        <f t="shared" si="711"/>
        <v>25333.434722208887</v>
      </c>
      <c r="AJ490" s="265">
        <f t="shared" si="711"/>
        <v>42645.997116208084</v>
      </c>
      <c r="AK490" s="265">
        <f t="shared" si="711"/>
        <v>35253.228928658027</v>
      </c>
      <c r="AL490" s="266">
        <f t="shared" si="712"/>
        <v>203306.41467710806</v>
      </c>
      <c r="AM490" s="347"/>
      <c r="AN490" s="264">
        <f>IFERROR(VLOOKUP($A490,'HH &amp; SI'!$B$4:$Z$494,'HH &amp; SI'!V$503,0),0)</f>
        <v>98708.682952462856</v>
      </c>
      <c r="AO490" s="265">
        <f>IFERROR(VLOOKUP($A490,'HH &amp; SI'!$B$4:$Z$494,'HH &amp; SI'!W$503,0),0)</f>
        <v>24499.044003909945</v>
      </c>
      <c r="AP490" s="265">
        <f>IFERROR(VLOOKUP($A490,'HH &amp; SI'!$B$4:$Z$494,'HH &amp; SI'!X$503,0),0)</f>
        <v>42258.148422936181</v>
      </c>
      <c r="AQ490" s="265">
        <f>IFERROR(VLOOKUP($A490,'HH &amp; SI'!$B$4:$Z$494,'HH &amp; SI'!Y$503,0),0)</f>
        <v>34864.801804917865</v>
      </c>
      <c r="AR490" s="266">
        <f t="shared" si="713"/>
        <v>200330.67718422686</v>
      </c>
      <c r="AS490" s="347"/>
      <c r="AT490" s="324">
        <f>IFERROR(VLOOKUP(A490,'Afton FY16 Final'!$A$5:$BV$572,'Afton FY16 Final'!$BV$587,0),0)</f>
        <v>90430.341890727432</v>
      </c>
      <c r="AU490" s="347"/>
      <c r="AV490" s="454">
        <v>0</v>
      </c>
      <c r="AW490" s="265">
        <f>IFERROR(VLOOKUP($A490,'HH &amp; SI'!$B$4:$EY$503,'HH &amp; SI'!EX$503,0),0)</f>
        <v>11221.142447109276</v>
      </c>
      <c r="AX490" s="265">
        <f>IFERROR(VLOOKUP($A490,'HH &amp; SI'!$B$4:$EY$503,'HH &amp; SI'!EY$503,0),0)</f>
        <v>189109.53473711759</v>
      </c>
      <c r="AY490" s="265">
        <f>AX490/$AX$582*'update_State Admin 1004(b)'!$B$30*0.01</f>
        <v>1809.914097768725</v>
      </c>
      <c r="AZ490" s="266">
        <f t="shared" si="714"/>
        <v>187299.62063934887</v>
      </c>
      <c r="BA490" s="264">
        <f t="shared" si="715"/>
        <v>1872.9962063934888</v>
      </c>
      <c r="BB490" s="265">
        <f t="shared" si="716"/>
        <v>185426.62443295537</v>
      </c>
      <c r="BC490" s="342">
        <f t="shared" si="690"/>
        <v>2.0504912461463189</v>
      </c>
      <c r="BD490" s="347"/>
      <c r="BE490" s="377" t="str">
        <f>'Original Title I &amp; II'!AZ487</f>
        <v/>
      </c>
      <c r="BF490" s="244" t="str">
        <f t="shared" si="717"/>
        <v/>
      </c>
      <c r="BG490" s="266">
        <f t="shared" si="697"/>
        <v>185426.62443295537</v>
      </c>
      <c r="BI490" s="203" t="str">
        <f>IFERROR(VLOOKUP(A490,'Title II Hold Harmless'!A$1:B$439,2, FALSE),"")</f>
        <v/>
      </c>
      <c r="BJ490" s="203">
        <f t="shared" si="718"/>
        <v>3048.9903704564867</v>
      </c>
      <c r="BK490" s="203">
        <f t="shared" si="719"/>
        <v>3051.9399389199125</v>
      </c>
      <c r="BL490" s="203" t="str">
        <f t="shared" si="720"/>
        <v/>
      </c>
      <c r="BM490" s="203">
        <f t="shared" si="721"/>
        <v>3051.9399389199125</v>
      </c>
      <c r="BN490" s="200"/>
      <c r="BP490" s="298" t="s">
        <v>1448</v>
      </c>
      <c r="BQ490" s="299" t="str">
        <f t="shared" si="682"/>
        <v>Y</v>
      </c>
      <c r="BR490" s="300" t="s">
        <v>1448</v>
      </c>
      <c r="BT490" s="298" t="str">
        <f t="shared" si="683"/>
        <v>Y</v>
      </c>
      <c r="BU490" s="299" t="str">
        <f t="shared" si="722"/>
        <v>Y</v>
      </c>
      <c r="BV490" s="299" t="str">
        <f t="shared" si="723"/>
        <v>Y</v>
      </c>
      <c r="BW490" s="300" t="str">
        <f t="shared" si="684"/>
        <v>Y</v>
      </c>
      <c r="BY490" s="355">
        <f t="shared" si="685"/>
        <v>0</v>
      </c>
      <c r="BZ490" s="356">
        <f t="shared" si="686"/>
        <v>0.9</v>
      </c>
      <c r="CA490" s="356">
        <f t="shared" si="687"/>
        <v>0</v>
      </c>
      <c r="CB490" s="357">
        <f t="shared" si="688"/>
        <v>0.9</v>
      </c>
      <c r="CD490" s="312">
        <f t="shared" si="689"/>
        <v>482</v>
      </c>
    </row>
    <row r="491" spans="1:82" s="48" customFormat="1" outlineLevel="1" x14ac:dyDescent="0.3">
      <c r="A491" s="202">
        <v>78245000</v>
      </c>
      <c r="B491" s="48">
        <f>VLOOKUP(C491,'NCES ID'!$A$2:$B$3136,2,FALSE)</f>
        <v>400892</v>
      </c>
      <c r="C491" s="48">
        <f>VLOOKUP(A491,'State ID'!$A$2:$B$713,2,FALSE)</f>
        <v>92199</v>
      </c>
      <c r="D491" s="48" t="s">
        <v>253</v>
      </c>
      <c r="E491" s="48" t="s">
        <v>20</v>
      </c>
      <c r="F491" s="755"/>
      <c r="G491" s="755"/>
      <c r="H491" s="755"/>
      <c r="I491" s="755"/>
      <c r="J491" s="755"/>
      <c r="K491" s="755"/>
      <c r="L491" s="454"/>
      <c r="M491" s="455"/>
      <c r="N491" s="456"/>
      <c r="O491" s="209">
        <f>VLOOKUP($C491,'Final SEA Counts'!$A$2:$F$709,5,FALSE)</f>
        <v>1087</v>
      </c>
      <c r="P491" s="223">
        <f>VLOOKUP($C491,'Final SEA Counts'!$A$2:$F$709,6,FALSE)</f>
        <v>492</v>
      </c>
      <c r="Q491" s="749"/>
      <c r="R491" s="454">
        <f t="shared" si="729"/>
        <v>1087</v>
      </c>
      <c r="S491" s="455">
        <f t="shared" si="724"/>
        <v>261.45791889044614</v>
      </c>
      <c r="T491" s="230">
        <f t="shared" si="702"/>
        <v>0.24053166411264595</v>
      </c>
      <c r="U491" s="264" t="str">
        <f>IFERROR(VLOOKUP($B491,#REF!,8,FALSE),"")</f>
        <v/>
      </c>
      <c r="V491" s="265" t="str">
        <f>IFERROR(VLOOKUP($B491,#REF!,9,FALSE),"")</f>
        <v/>
      </c>
      <c r="W491" s="265" t="str">
        <f>IFERROR(VLOOKUP($B491,#REF!,10,FALSE),"")</f>
        <v/>
      </c>
      <c r="X491" s="265" t="str">
        <f>IFERROR(VLOOKUP($B491,#REF!,11,FALSE),"")</f>
        <v/>
      </c>
      <c r="Y491" s="266" t="str">
        <f>IFERROR(VLOOKUP($B491,#REF!,12,FALSE),"")</f>
        <v/>
      </c>
      <c r="Z491" s="265">
        <f t="shared" si="725"/>
        <v>136388.60643694256</v>
      </c>
      <c r="AA491" s="265">
        <f t="shared" si="726"/>
        <v>32600.971203470323</v>
      </c>
      <c r="AB491" s="265">
        <f t="shared" si="727"/>
        <v>58121.414352283602</v>
      </c>
      <c r="AC491" s="266">
        <f t="shared" si="728"/>
        <v>48045.951891689059</v>
      </c>
      <c r="AD491" s="265">
        <f t="shared" si="707"/>
        <v>136388.60643694256</v>
      </c>
      <c r="AE491" s="265">
        <f t="shared" si="708"/>
        <v>32600.971203470323</v>
      </c>
      <c r="AF491" s="265">
        <f t="shared" si="709"/>
        <v>58121.414352283602</v>
      </c>
      <c r="AG491" s="266">
        <f t="shared" si="710"/>
        <v>48045.951891689059</v>
      </c>
      <c r="AH491" s="265">
        <f t="shared" si="711"/>
        <v>136388.60643694256</v>
      </c>
      <c r="AI491" s="265">
        <f t="shared" si="711"/>
        <v>34013.774615815826</v>
      </c>
      <c r="AJ491" s="265">
        <f t="shared" si="711"/>
        <v>58121.414352283602</v>
      </c>
      <c r="AK491" s="265">
        <f t="shared" si="711"/>
        <v>48045.951891689059</v>
      </c>
      <c r="AL491" s="266">
        <f t="shared" si="712"/>
        <v>276569.74729673105</v>
      </c>
      <c r="AM491" s="347"/>
      <c r="AN491" s="264">
        <f>IFERROR(VLOOKUP($A491,'HH &amp; SI'!$B$4:$Z$494,'HH &amp; SI'!V$503,0),0)</f>
        <v>134528.17732025409</v>
      </c>
      <c r="AO491" s="265">
        <f>IFERROR(VLOOKUP($A491,'HH &amp; SI'!$B$4:$Z$494,'HH &amp; SI'!W$503,0),0)</f>
        <v>32893.485237571011</v>
      </c>
      <c r="AP491" s="265">
        <f>IFERROR(VLOOKUP($A491,'HH &amp; SI'!$B$4:$Z$494,'HH &amp; SI'!X$503,0),0)</f>
        <v>57592.822781397801</v>
      </c>
      <c r="AQ491" s="265">
        <f>IFERROR(VLOOKUP($A491,'HH &amp; SI'!$B$4:$Z$494,'HH &amp; SI'!Y$503,0),0)</f>
        <v>47516.571988973934</v>
      </c>
      <c r="AR491" s="266">
        <f t="shared" si="713"/>
        <v>272531.05732819682</v>
      </c>
      <c r="AS491" s="347"/>
      <c r="AT491" s="324">
        <f>IFERROR(VLOOKUP(A491,'Afton FY16 Final'!$A$5:$BV$572,'Afton FY16 Final'!$BV$587,0),0)</f>
        <v>199950.25525323549</v>
      </c>
      <c r="AU491" s="347"/>
      <c r="AV491" s="454">
        <v>0</v>
      </c>
      <c r="AW491" s="265">
        <f>IFERROR(VLOOKUP($A491,'HH &amp; SI'!$B$4:$EY$503,'HH &amp; SI'!EX$503,0),0)</f>
        <v>15265.309629681578</v>
      </c>
      <c r="AX491" s="265">
        <f>IFERROR(VLOOKUP($A491,'HH &amp; SI'!$B$4:$EY$503,'HH &amp; SI'!EY$503,0),0)</f>
        <v>257265.74769851525</v>
      </c>
      <c r="AY491" s="265">
        <f>AX491/$AX$582*'update_State Admin 1004(b)'!$B$30*0.01</f>
        <v>2462.2180170863858</v>
      </c>
      <c r="AZ491" s="266">
        <f t="shared" si="714"/>
        <v>254803.52968142886</v>
      </c>
      <c r="BA491" s="264">
        <f t="shared" si="715"/>
        <v>2548.0352968142888</v>
      </c>
      <c r="BB491" s="265">
        <f t="shared" si="716"/>
        <v>252255.49438461458</v>
      </c>
      <c r="BC491" s="342">
        <f t="shared" si="690"/>
        <v>1.2615912596117214</v>
      </c>
      <c r="BD491" s="347"/>
      <c r="BE491" s="377" t="str">
        <f>'Original Title I &amp; II'!AZ488</f>
        <v/>
      </c>
      <c r="BF491" s="244" t="str">
        <f t="shared" si="717"/>
        <v/>
      </c>
      <c r="BG491" s="266">
        <f t="shared" si="697"/>
        <v>252255.49438461458</v>
      </c>
      <c r="BI491" s="203" t="str">
        <f>IFERROR(VLOOKUP(A491,'Title II Hold Harmless'!A$1:B$439,2, FALSE),"")</f>
        <v/>
      </c>
      <c r="BJ491" s="203">
        <f t="shared" si="718"/>
        <v>4297.5347569788928</v>
      </c>
      <c r="BK491" s="203">
        <f t="shared" si="719"/>
        <v>4301.6921571178</v>
      </c>
      <c r="BL491" s="203" t="str">
        <f t="shared" si="720"/>
        <v/>
      </c>
      <c r="BM491" s="203">
        <f t="shared" si="721"/>
        <v>4301.6921571178</v>
      </c>
      <c r="BN491" s="200"/>
      <c r="BP491" s="298" t="s">
        <v>1448</v>
      </c>
      <c r="BQ491" s="299" t="str">
        <f t="shared" si="682"/>
        <v>Y</v>
      </c>
      <c r="BR491" s="300" t="s">
        <v>1448</v>
      </c>
      <c r="BT491" s="298" t="str">
        <f t="shared" si="683"/>
        <v>Y</v>
      </c>
      <c r="BU491" s="299" t="str">
        <f t="shared" si="722"/>
        <v>Y</v>
      </c>
      <c r="BV491" s="299" t="str">
        <f t="shared" si="723"/>
        <v>Y</v>
      </c>
      <c r="BW491" s="300" t="str">
        <f t="shared" si="684"/>
        <v>Y</v>
      </c>
      <c r="BY491" s="355">
        <f t="shared" si="685"/>
        <v>0</v>
      </c>
      <c r="BZ491" s="356">
        <f t="shared" si="686"/>
        <v>0.9</v>
      </c>
      <c r="CA491" s="356">
        <f t="shared" si="687"/>
        <v>0</v>
      </c>
      <c r="CB491" s="357">
        <f t="shared" si="688"/>
        <v>0.9</v>
      </c>
      <c r="CD491" s="312">
        <f t="shared" si="689"/>
        <v>483</v>
      </c>
    </row>
    <row r="492" spans="1:82" s="48" customFormat="1" outlineLevel="1" x14ac:dyDescent="0.3">
      <c r="A492" s="202">
        <v>78518000</v>
      </c>
      <c r="B492" s="48">
        <f>VLOOKUP(C492,'NCES ID'!$A$2:$B$3136,2,FALSE)</f>
        <v>400745</v>
      </c>
      <c r="C492" s="48">
        <f>VLOOKUP(A492,'State ID'!$A$2:$B$713,2,FALSE)</f>
        <v>88360</v>
      </c>
      <c r="D492" s="48" t="s">
        <v>255</v>
      </c>
      <c r="E492" s="48" t="s">
        <v>20</v>
      </c>
      <c r="F492" s="755"/>
      <c r="G492" s="755"/>
      <c r="H492" s="755"/>
      <c r="I492" s="755"/>
      <c r="J492" s="755"/>
      <c r="K492" s="755"/>
      <c r="L492" s="454"/>
      <c r="M492" s="455"/>
      <c r="N492" s="456"/>
      <c r="O492" s="209">
        <f>VLOOKUP($C492,'Final SEA Counts'!$A$2:$F$709,5,FALSE)</f>
        <v>1194</v>
      </c>
      <c r="P492" s="223">
        <f>VLOOKUP($C492,'Final SEA Counts'!$A$2:$F$709,6,FALSE)</f>
        <v>384</v>
      </c>
      <c r="Q492" s="749"/>
      <c r="R492" s="454">
        <f t="shared" si="729"/>
        <v>1194</v>
      </c>
      <c r="S492" s="455">
        <f t="shared" si="724"/>
        <v>204.06471718278721</v>
      </c>
      <c r="T492" s="230">
        <f t="shared" si="702"/>
        <v>0.1709084733524181</v>
      </c>
      <c r="U492" s="264" t="str">
        <f>IFERROR(VLOOKUP($B492,#REF!,8,FALSE),"")</f>
        <v/>
      </c>
      <c r="V492" s="265" t="str">
        <f>IFERROR(VLOOKUP($B492,#REF!,9,FALSE),"")</f>
        <v/>
      </c>
      <c r="W492" s="265" t="str">
        <f>IFERROR(VLOOKUP($B492,#REF!,10,FALSE),"")</f>
        <v/>
      </c>
      <c r="X492" s="265" t="str">
        <f>IFERROR(VLOOKUP($B492,#REF!,11,FALSE),"")</f>
        <v/>
      </c>
      <c r="Y492" s="266" t="str">
        <f>IFERROR(VLOOKUP($B492,#REF!,12,FALSE),"")</f>
        <v/>
      </c>
      <c r="Z492" s="265">
        <f t="shared" si="725"/>
        <v>106449.64404834541</v>
      </c>
      <c r="AA492" s="265">
        <f t="shared" si="726"/>
        <v>25444.660451489028</v>
      </c>
      <c r="AB492" s="265">
        <f t="shared" si="727"/>
        <v>45363.055104221341</v>
      </c>
      <c r="AC492" s="266">
        <f t="shared" si="728"/>
        <v>37499.279525220722</v>
      </c>
      <c r="AD492" s="265">
        <f t="shared" si="707"/>
        <v>106449.64404834541</v>
      </c>
      <c r="AE492" s="265">
        <f t="shared" si="708"/>
        <v>25444.660451489028</v>
      </c>
      <c r="AF492" s="265">
        <f t="shared" si="709"/>
        <v>45363.055104221341</v>
      </c>
      <c r="AG492" s="266">
        <f t="shared" si="710"/>
        <v>37499.279525220722</v>
      </c>
      <c r="AH492" s="265">
        <f t="shared" si="711"/>
        <v>106449.64404834541</v>
      </c>
      <c r="AI492" s="265">
        <f t="shared" si="711"/>
        <v>26857.463863834531</v>
      </c>
      <c r="AJ492" s="265">
        <f t="shared" si="711"/>
        <v>45363.055104221341</v>
      </c>
      <c r="AK492" s="265">
        <f t="shared" si="711"/>
        <v>37499.279525220722</v>
      </c>
      <c r="AL492" s="266">
        <f t="shared" si="712"/>
        <v>216169.44254162197</v>
      </c>
      <c r="AM492" s="347"/>
      <c r="AN492" s="264">
        <f>IFERROR(VLOOKUP($A492,'HH &amp; SI'!$B$4:$Z$494,'HH &amp; SI'!V$503,0),0)</f>
        <v>174364.24479290858</v>
      </c>
      <c r="AO492" s="265">
        <f>IFERROR(VLOOKUP($A492,'HH &amp; SI'!$B$4:$Z$494,'HH &amp; SI'!W$503,0),0)</f>
        <v>33353.877835717722</v>
      </c>
      <c r="AP492" s="265">
        <f>IFERROR(VLOOKUP($A492,'HH &amp; SI'!$B$4:$Z$494,'HH &amp; SI'!X$503,0),0)</f>
        <v>87475.319459628139</v>
      </c>
      <c r="AQ492" s="265">
        <f>IFERROR(VLOOKUP($A492,'HH &amp; SI'!$B$4:$Z$494,'HH &amp; SI'!Y$503,0),0)</f>
        <v>82088.988407860976</v>
      </c>
      <c r="AR492" s="266">
        <f t="shared" si="713"/>
        <v>377282.43049611541</v>
      </c>
      <c r="AS492" s="347"/>
      <c r="AT492" s="324">
        <f>IFERROR(VLOOKUP(A492,'Afton FY16 Final'!$A$5:$BV$572,'Afton FY16 Final'!$BV$587,0),0)</f>
        <v>410948.59944680904</v>
      </c>
      <c r="AU492" s="347"/>
      <c r="AV492" s="454">
        <v>0</v>
      </c>
      <c r="AW492" s="265">
        <f>IFERROR(VLOOKUP($A492,'HH &amp; SI'!$B$4:$EY$503,'HH &amp; SI'!EX$503,0),0)</f>
        <v>0</v>
      </c>
      <c r="AX492" s="265">
        <f>IFERROR(VLOOKUP($A492,'HH &amp; SI'!$B$4:$EY$503,'HH &amp; SI'!EY$503,0),0)</f>
        <v>377282.43049611541</v>
      </c>
      <c r="AY492" s="265">
        <f>AX492/$AX$582*'update_State Admin 1004(b)'!$B$30*0.01</f>
        <v>3610.8638876648974</v>
      </c>
      <c r="AZ492" s="266">
        <f t="shared" si="714"/>
        <v>373671.56660845049</v>
      </c>
      <c r="BA492" s="264">
        <f t="shared" si="715"/>
        <v>3736.7156660845048</v>
      </c>
      <c r="BB492" s="265">
        <f t="shared" si="716"/>
        <v>369934.850942366</v>
      </c>
      <c r="BC492" s="342">
        <f t="shared" si="690"/>
        <v>0.90019737612038842</v>
      </c>
      <c r="BD492" s="347"/>
      <c r="BE492" s="377" t="str">
        <f>'Original Title I &amp; II'!AZ489</f>
        <v/>
      </c>
      <c r="BF492" s="244" t="str">
        <f t="shared" si="717"/>
        <v/>
      </c>
      <c r="BG492" s="266">
        <f t="shared" si="697"/>
        <v>369934.850942366</v>
      </c>
      <c r="BI492" s="203" t="str">
        <f>IFERROR(VLOOKUP(A492,'Title II Hold Harmless'!A$1:B$439,2, FALSE),"")</f>
        <v/>
      </c>
      <c r="BJ492" s="203">
        <f t="shared" si="718"/>
        <v>3632.3200932542113</v>
      </c>
      <c r="BK492" s="203">
        <f t="shared" si="719"/>
        <v>3635.8339701427522</v>
      </c>
      <c r="BL492" s="203" t="str">
        <f t="shared" si="720"/>
        <v/>
      </c>
      <c r="BM492" s="203">
        <f t="shared" si="721"/>
        <v>3635.8339701427522</v>
      </c>
      <c r="BN492" s="200"/>
      <c r="BP492" s="298" t="s">
        <v>1448</v>
      </c>
      <c r="BQ492" s="299" t="str">
        <f t="shared" si="682"/>
        <v>Y</v>
      </c>
      <c r="BR492" s="300" t="s">
        <v>1448</v>
      </c>
      <c r="BT492" s="298" t="str">
        <f t="shared" si="683"/>
        <v>Y</v>
      </c>
      <c r="BU492" s="299" t="str">
        <f t="shared" si="722"/>
        <v>Y</v>
      </c>
      <c r="BV492" s="299" t="str">
        <f t="shared" si="723"/>
        <v>Y</v>
      </c>
      <c r="BW492" s="300" t="str">
        <f t="shared" si="684"/>
        <v>Y</v>
      </c>
      <c r="BY492" s="355">
        <f t="shared" si="685"/>
        <v>0</v>
      </c>
      <c r="BZ492" s="356">
        <f t="shared" si="686"/>
        <v>0.9</v>
      </c>
      <c r="CA492" s="356">
        <f t="shared" si="687"/>
        <v>0</v>
      </c>
      <c r="CB492" s="357">
        <f t="shared" si="688"/>
        <v>0.9</v>
      </c>
      <c r="CD492" s="312">
        <f t="shared" si="689"/>
        <v>484</v>
      </c>
    </row>
    <row r="493" spans="1:82" s="48" customFormat="1" outlineLevel="1" x14ac:dyDescent="0.3">
      <c r="A493" s="202">
        <v>118715000</v>
      </c>
      <c r="B493" s="48" t="e">
        <f>VLOOKUP(C493,'NCES ID'!$A$2:$B$3136,2,FALSE)</f>
        <v>#N/A</v>
      </c>
      <c r="C493" s="48">
        <f>VLOOKUP(A493,'State ID'!$A$2:$B$713,2,FALSE)</f>
        <v>92610</v>
      </c>
      <c r="D493" s="48" t="s">
        <v>257</v>
      </c>
      <c r="E493" s="48" t="s">
        <v>20</v>
      </c>
      <c r="F493" s="755"/>
      <c r="G493" s="755"/>
      <c r="H493" s="755"/>
      <c r="I493" s="755"/>
      <c r="J493" s="755"/>
      <c r="K493" s="755"/>
      <c r="L493" s="454"/>
      <c r="M493" s="455"/>
      <c r="N493" s="456"/>
      <c r="O493" s="209">
        <f>VLOOKUP($C493,'Final SEA Counts'!$A$2:$F$709,5,FALSE)</f>
        <v>987</v>
      </c>
      <c r="P493" s="223">
        <f>VLOOKUP($C493,'Final SEA Counts'!$A$2:$F$709,6,FALSE)</f>
        <v>204</v>
      </c>
      <c r="Q493" s="749"/>
      <c r="R493" s="454">
        <f t="shared" si="729"/>
        <v>987</v>
      </c>
      <c r="S493" s="455">
        <f t="shared" si="724"/>
        <v>108.4093810033557</v>
      </c>
      <c r="T493" s="230">
        <f t="shared" si="702"/>
        <v>0.1098372654542611</v>
      </c>
      <c r="U493" s="264" t="str">
        <f>IFERROR(VLOOKUP($B493,#REF!,8,FALSE),"")</f>
        <v/>
      </c>
      <c r="V493" s="265" t="str">
        <f>IFERROR(VLOOKUP($B493,#REF!,9,FALSE),"")</f>
        <v/>
      </c>
      <c r="W493" s="265" t="str">
        <f>IFERROR(VLOOKUP($B493,#REF!,10,FALSE),"")</f>
        <v/>
      </c>
      <c r="X493" s="265" t="str">
        <f>IFERROR(VLOOKUP($B493,#REF!,11,FALSE),"")</f>
        <v/>
      </c>
      <c r="Y493" s="266" t="str">
        <f>IFERROR(VLOOKUP($B493,#REF!,12,FALSE),"")</f>
        <v/>
      </c>
      <c r="Z493" s="265">
        <f t="shared" si="725"/>
        <v>56551.3734006835</v>
      </c>
      <c r="AA493" s="265">
        <f t="shared" si="726"/>
        <v>13517.475864853546</v>
      </c>
      <c r="AB493" s="265">
        <f t="shared" si="727"/>
        <v>24099.123024117587</v>
      </c>
      <c r="AC493" s="266">
        <f t="shared" si="728"/>
        <v>19921.492247773509</v>
      </c>
      <c r="AD493" s="265">
        <f t="shared" si="707"/>
        <v>56551.3734006835</v>
      </c>
      <c r="AE493" s="265" t="str">
        <f t="shared" si="708"/>
        <v/>
      </c>
      <c r="AF493" s="265">
        <f t="shared" si="709"/>
        <v>24099.123024117587</v>
      </c>
      <c r="AG493" s="266">
        <f t="shared" si="710"/>
        <v>19921.492247773509</v>
      </c>
      <c r="AH493" s="265">
        <f t="shared" si="711"/>
        <v>56551.3734006835</v>
      </c>
      <c r="AI493" s="265" t="str">
        <f t="shared" si="711"/>
        <v/>
      </c>
      <c r="AJ493" s="265">
        <f t="shared" si="711"/>
        <v>24099.123024117587</v>
      </c>
      <c r="AK493" s="265">
        <f t="shared" si="711"/>
        <v>19921.492247773509</v>
      </c>
      <c r="AL493" s="266">
        <f t="shared" si="712"/>
        <v>100571.9886725746</v>
      </c>
      <c r="AM493" s="347"/>
      <c r="AN493" s="264">
        <f>IFERROR(VLOOKUP($A493,'HH &amp; SI'!$B$4:$Z$494,'HH &amp; SI'!V$503,0),0)</f>
        <v>65491.383998969068</v>
      </c>
      <c r="AO493" s="265">
        <f>IFERROR(VLOOKUP($A493,'HH &amp; SI'!$B$4:$Z$494,'HH &amp; SI'!W$503,0),0)</f>
        <v>15156.13964814075</v>
      </c>
      <c r="AP493" s="265">
        <f>IFERROR(VLOOKUP($A493,'HH &amp; SI'!$B$4:$Z$494,'HH &amp; SI'!X$503,0),0)</f>
        <v>26216.974771020497</v>
      </c>
      <c r="AQ493" s="265">
        <f>IFERROR(VLOOKUP($A493,'HH &amp; SI'!$B$4:$Z$494,'HH &amp; SI'!Y$503,0),0)</f>
        <v>22507.785845211787</v>
      </c>
      <c r="AR493" s="266">
        <f t="shared" si="713"/>
        <v>129372.2842633421</v>
      </c>
      <c r="AS493" s="347"/>
      <c r="AT493" s="324">
        <f>IFERROR(VLOOKUP(A493,'Afton FY16 Final'!$A$5:$BV$572,'Afton FY16 Final'!$BV$587,0),0)</f>
        <v>149205.81647955539</v>
      </c>
      <c r="AU493" s="347"/>
      <c r="AV493" s="454">
        <v>0</v>
      </c>
      <c r="AW493" s="265">
        <f>IFERROR(VLOOKUP($A493,'HH &amp; SI'!$B$4:$EY$503,'HH &amp; SI'!EX$503,0),0)</f>
        <v>0</v>
      </c>
      <c r="AX493" s="265">
        <f>IFERROR(VLOOKUP($A493,'HH &amp; SI'!$B$4:$EY$503,'HH &amp; SI'!EY$503,0),0)</f>
        <v>129372.2842633421</v>
      </c>
      <c r="AY493" s="265">
        <f>AX493/$AX$582*'update_State Admin 1004(b)'!$B$30*0.01</f>
        <v>1238.185697375138</v>
      </c>
      <c r="AZ493" s="266">
        <f t="shared" si="714"/>
        <v>128134.09856596695</v>
      </c>
      <c r="BA493" s="264">
        <f t="shared" si="715"/>
        <v>1281.3409856596695</v>
      </c>
      <c r="BB493" s="265">
        <f t="shared" si="716"/>
        <v>126852.75758030728</v>
      </c>
      <c r="BC493" s="342">
        <f t="shared" si="690"/>
        <v>0.85018641078036672</v>
      </c>
      <c r="BD493" s="347"/>
      <c r="BE493" s="377" t="str">
        <f>'Original Title I &amp; II'!AZ490</f>
        <v/>
      </c>
      <c r="BF493" s="244" t="str">
        <f t="shared" si="717"/>
        <v/>
      </c>
      <c r="BG493" s="266">
        <f t="shared" si="697"/>
        <v>126852.75758030728</v>
      </c>
      <c r="BI493" s="203" t="str">
        <f>IFERROR(VLOOKUP(A493,'Title II Hold Harmless'!A$1:B$439,2, FALSE),"")</f>
        <v/>
      </c>
      <c r="BJ493" s="203">
        <f t="shared" si="718"/>
        <v>2213.5128400289218</v>
      </c>
      <c r="BK493" s="203">
        <f t="shared" si="719"/>
        <v>2215.6541743307944</v>
      </c>
      <c r="BL493" s="203" t="str">
        <f t="shared" si="720"/>
        <v/>
      </c>
      <c r="BM493" s="203">
        <f t="shared" si="721"/>
        <v>2215.6541743307944</v>
      </c>
      <c r="BN493" s="200"/>
      <c r="BP493" s="298" t="s">
        <v>1448</v>
      </c>
      <c r="BQ493" s="299" t="str">
        <f t="shared" si="682"/>
        <v>Y</v>
      </c>
      <c r="BR493" s="300" t="s">
        <v>1448</v>
      </c>
      <c r="BT493" s="298" t="str">
        <f t="shared" si="683"/>
        <v>Y</v>
      </c>
      <c r="BU493" s="299" t="str">
        <f t="shared" si="722"/>
        <v>N</v>
      </c>
      <c r="BV493" s="299" t="str">
        <f t="shared" si="723"/>
        <v>Y</v>
      </c>
      <c r="BW493" s="300" t="str">
        <f t="shared" si="684"/>
        <v>Y</v>
      </c>
      <c r="BY493" s="355">
        <f t="shared" si="685"/>
        <v>0.85</v>
      </c>
      <c r="BZ493" s="356">
        <f t="shared" si="686"/>
        <v>0</v>
      </c>
      <c r="CA493" s="356">
        <f t="shared" si="687"/>
        <v>0</v>
      </c>
      <c r="CB493" s="357">
        <f t="shared" si="688"/>
        <v>0.85</v>
      </c>
      <c r="CD493" s="312">
        <f t="shared" si="689"/>
        <v>485</v>
      </c>
    </row>
    <row r="494" spans="1:82" s="48" customFormat="1" outlineLevel="1" x14ac:dyDescent="0.3">
      <c r="A494" s="202">
        <v>118713000</v>
      </c>
      <c r="B494" s="48">
        <f>VLOOKUP(C494,'NCES ID'!$A$2:$B$3136,2,FALSE)</f>
        <v>400842</v>
      </c>
      <c r="C494" s="48">
        <f>VLOOKUP(A494,'State ID'!$A$2:$B$713,2,FALSE)</f>
        <v>91137</v>
      </c>
      <c r="D494" s="48" t="s">
        <v>258</v>
      </c>
      <c r="E494" s="48" t="s">
        <v>20</v>
      </c>
      <c r="F494" s="755"/>
      <c r="G494" s="755"/>
      <c r="H494" s="755"/>
      <c r="I494" s="755"/>
      <c r="J494" s="755"/>
      <c r="K494" s="755"/>
      <c r="L494" s="454"/>
      <c r="M494" s="455"/>
      <c r="N494" s="456"/>
      <c r="O494" s="209">
        <f>VLOOKUP($C494,'Final SEA Counts'!$A$2:$F$709,5,FALSE)</f>
        <v>1230</v>
      </c>
      <c r="P494" s="223">
        <f>VLOOKUP($C494,'Final SEA Counts'!$A$2:$F$709,6,FALSE)</f>
        <v>278</v>
      </c>
      <c r="Q494" s="749"/>
      <c r="R494" s="454">
        <f t="shared" si="729"/>
        <v>1230</v>
      </c>
      <c r="S494" s="455">
        <f t="shared" si="724"/>
        <v>147.73435254378867</v>
      </c>
      <c r="T494" s="230">
        <f t="shared" si="702"/>
        <v>0.12010922971039729</v>
      </c>
      <c r="U494" s="264" t="str">
        <f>IFERROR(VLOOKUP($B494,#REF!,8,FALSE),"")</f>
        <v/>
      </c>
      <c r="V494" s="265" t="str">
        <f>IFERROR(VLOOKUP($B494,#REF!,9,FALSE),"")</f>
        <v/>
      </c>
      <c r="W494" s="265" t="str">
        <f>IFERROR(VLOOKUP($B494,#REF!,10,FALSE),"")</f>
        <v/>
      </c>
      <c r="X494" s="265" t="str">
        <f>IFERROR(VLOOKUP($B494,#REF!,11,FALSE),"")</f>
        <v/>
      </c>
      <c r="Y494" s="266" t="str">
        <f>IFERROR(VLOOKUP($B494,#REF!,12,FALSE),"")</f>
        <v/>
      </c>
      <c r="Z494" s="265">
        <f t="shared" si="725"/>
        <v>77065.106889166738</v>
      </c>
      <c r="AA494" s="265">
        <f t="shared" si="726"/>
        <v>18420.873972692581</v>
      </c>
      <c r="AB494" s="265">
        <f t="shared" si="727"/>
        <v>32840.961768160247</v>
      </c>
      <c r="AC494" s="266">
        <f t="shared" si="728"/>
        <v>27147.915906279592</v>
      </c>
      <c r="AD494" s="265">
        <f t="shared" si="707"/>
        <v>77065.106889166738</v>
      </c>
      <c r="AE494" s="265" t="str">
        <f t="shared" si="708"/>
        <v/>
      </c>
      <c r="AF494" s="265">
        <f t="shared" si="709"/>
        <v>32840.961768160247</v>
      </c>
      <c r="AG494" s="266">
        <f t="shared" si="710"/>
        <v>27147.915906279592</v>
      </c>
      <c r="AH494" s="265">
        <f t="shared" si="711"/>
        <v>77065.106889166738</v>
      </c>
      <c r="AI494" s="265" t="str">
        <f t="shared" si="711"/>
        <v/>
      </c>
      <c r="AJ494" s="265">
        <f t="shared" si="711"/>
        <v>32840.961768160247</v>
      </c>
      <c r="AK494" s="265">
        <f t="shared" si="711"/>
        <v>27147.915906279592</v>
      </c>
      <c r="AL494" s="266">
        <f t="shared" si="712"/>
        <v>137053.98456360656</v>
      </c>
      <c r="AM494" s="347"/>
      <c r="AN494" s="264">
        <f>IFERROR(VLOOKUP($A494,'HH &amp; SI'!$B$4:$Z$494,'HH &amp; SI'!V$503,0),0)</f>
        <v>76013.88881103789</v>
      </c>
      <c r="AO494" s="265">
        <f>IFERROR(VLOOKUP($A494,'HH &amp; SI'!$B$4:$Z$494,'HH &amp; SI'!W$503,0),0)</f>
        <v>0</v>
      </c>
      <c r="AP494" s="265">
        <f>IFERROR(VLOOKUP($A494,'HH &amp; SI'!$B$4:$Z$494,'HH &amp; SI'!X$503,0),0)</f>
        <v>32542.286043147538</v>
      </c>
      <c r="AQ494" s="265">
        <f>IFERROR(VLOOKUP($A494,'HH &amp; SI'!$B$4:$Z$494,'HH &amp; SI'!Y$503,0),0)</f>
        <v>26848.794741737307</v>
      </c>
      <c r="AR494" s="266">
        <f t="shared" si="713"/>
        <v>135404.96959592274</v>
      </c>
      <c r="AS494" s="347"/>
      <c r="AT494" s="324">
        <f>IFERROR(VLOOKUP(A494,'Afton FY16 Final'!$A$5:$BV$572,'Afton FY16 Final'!$BV$587,0),0)</f>
        <v>108129.86832057164</v>
      </c>
      <c r="AU494" s="347"/>
      <c r="AV494" s="454">
        <v>0</v>
      </c>
      <c r="AW494" s="265">
        <f>IFERROR(VLOOKUP($A494,'HH &amp; SI'!$B$4:$EY$503,'HH &amp; SI'!EX$503,0),0)</f>
        <v>7584.4522328704334</v>
      </c>
      <c r="AX494" s="265">
        <f>IFERROR(VLOOKUP($A494,'HH &amp; SI'!$B$4:$EY$503,'HH &amp; SI'!EY$503,0),0)</f>
        <v>127820.51736305231</v>
      </c>
      <c r="AY494" s="265">
        <f>AX494/$AX$582*'update_State Admin 1004(b)'!$B$30*0.01</f>
        <v>1223.3341733988902</v>
      </c>
      <c r="AZ494" s="266">
        <f t="shared" si="714"/>
        <v>126597.18318965341</v>
      </c>
      <c r="BA494" s="264">
        <f t="shared" si="715"/>
        <v>1265.9718318965342</v>
      </c>
      <c r="BB494" s="265">
        <f t="shared" si="716"/>
        <v>125331.21135775688</v>
      </c>
      <c r="BC494" s="342">
        <f t="shared" si="690"/>
        <v>1.1590804030777933</v>
      </c>
      <c r="BD494" s="347"/>
      <c r="BE494" s="377" t="str">
        <f>'Original Title I &amp; II'!AZ491</f>
        <v/>
      </c>
      <c r="BF494" s="244" t="str">
        <f t="shared" si="717"/>
        <v/>
      </c>
      <c r="BG494" s="266">
        <f t="shared" si="697"/>
        <v>125331.21135775688</v>
      </c>
      <c r="BI494" s="203" t="str">
        <f>IFERROR(VLOOKUP(A494,'Title II Hold Harmless'!A$1:B$439,2, FALSE),"")</f>
        <v/>
      </c>
      <c r="BJ494" s="203">
        <f t="shared" si="718"/>
        <v>2923.8781373256211</v>
      </c>
      <c r="BK494" s="203">
        <f t="shared" si="719"/>
        <v>2926.7066732332191</v>
      </c>
      <c r="BL494" s="203" t="str">
        <f t="shared" si="720"/>
        <v/>
      </c>
      <c r="BM494" s="203">
        <f t="shared" si="721"/>
        <v>2926.7066732332191</v>
      </c>
      <c r="BN494" s="200"/>
      <c r="BP494" s="298" t="s">
        <v>1448</v>
      </c>
      <c r="BQ494" s="299" t="str">
        <f t="shared" si="682"/>
        <v>Y</v>
      </c>
      <c r="BR494" s="300" t="s">
        <v>1448</v>
      </c>
      <c r="BT494" s="298" t="str">
        <f t="shared" si="683"/>
        <v>Y</v>
      </c>
      <c r="BU494" s="299" t="str">
        <f t="shared" si="722"/>
        <v>N</v>
      </c>
      <c r="BV494" s="299" t="str">
        <f t="shared" si="723"/>
        <v>Y</v>
      </c>
      <c r="BW494" s="300" t="str">
        <f t="shared" si="684"/>
        <v>Y</v>
      </c>
      <c r="BY494" s="355">
        <f t="shared" si="685"/>
        <v>0.85</v>
      </c>
      <c r="BZ494" s="356">
        <f t="shared" si="686"/>
        <v>0</v>
      </c>
      <c r="CA494" s="356">
        <f t="shared" si="687"/>
        <v>0</v>
      </c>
      <c r="CB494" s="357">
        <f t="shared" si="688"/>
        <v>0.85</v>
      </c>
      <c r="CD494" s="312">
        <f t="shared" si="689"/>
        <v>486</v>
      </c>
    </row>
    <row r="495" spans="1:82" s="48" customFormat="1" outlineLevel="1" x14ac:dyDescent="0.3">
      <c r="A495" s="202">
        <v>118717000</v>
      </c>
      <c r="B495" s="48" t="e">
        <f>VLOOKUP(C495,'NCES ID'!$A$2:$B$3136,2,FALSE)</f>
        <v>#N/A</v>
      </c>
      <c r="C495" s="48">
        <v>92978</v>
      </c>
      <c r="D495" s="48" t="s">
        <v>1397</v>
      </c>
      <c r="E495" s="48" t="s">
        <v>20</v>
      </c>
      <c r="F495" s="755"/>
      <c r="G495" s="755"/>
      <c r="H495" s="755"/>
      <c r="I495" s="755"/>
      <c r="J495" s="755"/>
      <c r="K495" s="755"/>
      <c r="L495" s="454"/>
      <c r="M495" s="455"/>
      <c r="N495" s="456"/>
      <c r="O495" s="209">
        <f>VLOOKUP($C495,'AzEDS FY17 11-14-2016'!$A$1:$D$706,3,FALSE)</f>
        <v>435</v>
      </c>
      <c r="P495" s="223">
        <f>VLOOKUP($C495,'AzEDS FY17 11-14-2016'!$A$1:$D$706,4,FALSE)</f>
        <v>292</v>
      </c>
      <c r="Q495" s="749"/>
      <c r="R495" s="454">
        <f t="shared" si="729"/>
        <v>435</v>
      </c>
      <c r="S495" s="455">
        <f t="shared" si="724"/>
        <v>155.1742120244111</v>
      </c>
      <c r="T495" s="230">
        <f t="shared" si="702"/>
        <v>0.35672232649289909</v>
      </c>
      <c r="U495" s="264"/>
      <c r="V495" s="265"/>
      <c r="W495" s="265"/>
      <c r="X495" s="265"/>
      <c r="Y495" s="266"/>
      <c r="Z495" s="265">
        <f t="shared" si="725"/>
        <v>80946.083495095983</v>
      </c>
      <c r="AA495" s="265">
        <f t="shared" si="726"/>
        <v>19348.543884986448</v>
      </c>
      <c r="AB495" s="265">
        <f t="shared" si="727"/>
        <v>34494.823152168312</v>
      </c>
      <c r="AC495" s="266">
        <f t="shared" si="728"/>
        <v>28515.077138969926</v>
      </c>
      <c r="AD495" s="265">
        <f t="shared" si="707"/>
        <v>80946.083495095983</v>
      </c>
      <c r="AE495" s="265">
        <f t="shared" si="708"/>
        <v>19348.543884986448</v>
      </c>
      <c r="AF495" s="265">
        <f t="shared" si="709"/>
        <v>34494.823152168312</v>
      </c>
      <c r="AG495" s="266">
        <f t="shared" si="710"/>
        <v>28515.077138969926</v>
      </c>
      <c r="AH495" s="265">
        <f t="shared" si="711"/>
        <v>80946.083495095983</v>
      </c>
      <c r="AI495" s="265">
        <f t="shared" si="711"/>
        <v>20761.347297331951</v>
      </c>
      <c r="AJ495" s="265">
        <f t="shared" si="711"/>
        <v>34494.823152168312</v>
      </c>
      <c r="AK495" s="265">
        <f t="shared" si="711"/>
        <v>28515.077138969926</v>
      </c>
      <c r="AL495" s="266">
        <f t="shared" ref="AL495" si="730">SUM(AH495:AK495)</f>
        <v>164717.33108356618</v>
      </c>
      <c r="AM495" s="347"/>
      <c r="AN495" s="264">
        <f>IFERROR(VLOOKUP($A495,'HH &amp; SI'!$B$4:$Z$494,'HH &amp; SI'!V$503,0),0)</f>
        <v>79841.926377061376</v>
      </c>
      <c r="AO495" s="265">
        <f>IFERROR(VLOOKUP($A495,'HH &amp; SI'!$B$4:$Z$494,'HH &amp; SI'!W$503,0),0)</f>
        <v>20077.544422821287</v>
      </c>
      <c r="AP495" s="265">
        <f>IFERROR(VLOOKUP($A495,'HH &amp; SI'!$B$4:$Z$494,'HH &amp; SI'!X$503,0),0)</f>
        <v>34181.106203593808</v>
      </c>
      <c r="AQ495" s="265">
        <f>IFERROR(VLOOKUP($A495,'HH &amp; SI'!$B$4:$Z$494,'HH &amp; SI'!Y$503,0),0)</f>
        <v>28200.892318659324</v>
      </c>
      <c r="AR495" s="266">
        <f t="shared" si="713"/>
        <v>162301.46932213579</v>
      </c>
      <c r="AS495" s="347"/>
      <c r="AT495" s="324">
        <f>IFERROR(VLOOKUP(A495,'Afton FY16 Final'!$A$5:$BV$572,'Afton FY16 Final'!$BV$587,0),0)</f>
        <v>0</v>
      </c>
      <c r="AU495" s="347"/>
      <c r="AV495" s="454">
        <v>0</v>
      </c>
      <c r="AW495" s="265">
        <f>IFERROR(VLOOKUP($A495,'HH &amp; SI'!$B$4:$EY$503,'HH &amp; SI'!EX$503,0),0)</f>
        <v>9091.0085875864897</v>
      </c>
      <c r="AX495" s="265">
        <f>IFERROR(VLOOKUP($A495,'HH &amp; SI'!$B$4:$EY$503,'HH &amp; SI'!EY$503,0),0)</f>
        <v>153210.4607345493</v>
      </c>
      <c r="AY495" s="265">
        <f>AX495/$AX$582*'update_State Admin 1004(b)'!$B$30*0.01</f>
        <v>1466.3341707998802</v>
      </c>
      <c r="AZ495" s="266">
        <f t="shared" si="714"/>
        <v>151744.12656374942</v>
      </c>
      <c r="BA495" s="264">
        <f t="shared" si="715"/>
        <v>1517.4412656374943</v>
      </c>
      <c r="BB495" s="265">
        <f t="shared" si="716"/>
        <v>150226.68529811193</v>
      </c>
      <c r="BC495" s="342" t="str">
        <f t="shared" si="690"/>
        <v/>
      </c>
      <c r="BD495" s="347"/>
      <c r="BE495" s="377">
        <f>'Original Title I &amp; II'!AZ492</f>
        <v>0</v>
      </c>
      <c r="BF495" s="244"/>
      <c r="BG495" s="266">
        <f t="shared" si="697"/>
        <v>150226.68529811193</v>
      </c>
      <c r="BI495" s="203" t="str">
        <f>IFERROR(VLOOKUP(A495,'Title II Hold Harmless'!A$1:B$439,2, FALSE),"")</f>
        <v/>
      </c>
      <c r="BJ495" s="203">
        <f t="shared" si="718"/>
        <v>2381.4567844297185</v>
      </c>
      <c r="BK495" s="203">
        <f t="shared" si="719"/>
        <v>2383.760586336221</v>
      </c>
      <c r="BL495" s="203" t="str">
        <f t="shared" si="720"/>
        <v/>
      </c>
      <c r="BM495" s="203">
        <f t="shared" si="721"/>
        <v>2383.760586336221</v>
      </c>
      <c r="BN495" s="200"/>
      <c r="BP495" s="298" t="s">
        <v>1448</v>
      </c>
      <c r="BQ495" s="299" t="str">
        <f t="shared" si="682"/>
        <v>Y</v>
      </c>
      <c r="BR495" s="300" t="s">
        <v>1448</v>
      </c>
      <c r="BT495" s="298" t="str">
        <f t="shared" si="683"/>
        <v>Y</v>
      </c>
      <c r="BU495" s="299" t="str">
        <f t="shared" si="722"/>
        <v>Y</v>
      </c>
      <c r="BV495" s="299" t="str">
        <f t="shared" si="723"/>
        <v>Y</v>
      </c>
      <c r="BW495" s="300" t="str">
        <f t="shared" si="684"/>
        <v>Y</v>
      </c>
      <c r="BY495" s="355">
        <f t="shared" si="685"/>
        <v>0</v>
      </c>
      <c r="BZ495" s="356">
        <f t="shared" si="686"/>
        <v>0</v>
      </c>
      <c r="CA495" s="356">
        <f t="shared" si="687"/>
        <v>0.95</v>
      </c>
      <c r="CB495" s="357">
        <f t="shared" si="688"/>
        <v>0.95</v>
      </c>
      <c r="CD495" s="312">
        <f t="shared" si="689"/>
        <v>487</v>
      </c>
    </row>
    <row r="496" spans="1:82" s="48" customFormat="1" outlineLevel="1" x14ac:dyDescent="0.3">
      <c r="A496" s="202">
        <v>118712000</v>
      </c>
      <c r="B496" s="48">
        <f>VLOOKUP(C496,'NCES ID'!$A$2:$B$3136,2,FALSE)</f>
        <v>400847</v>
      </c>
      <c r="C496" s="48">
        <f>VLOOKUP(A496,'State ID'!$A$2:$B$713,2,FALSE)</f>
        <v>91135</v>
      </c>
      <c r="D496" s="48" t="s">
        <v>259</v>
      </c>
      <c r="E496" s="48" t="s">
        <v>20</v>
      </c>
      <c r="F496" s="755"/>
      <c r="G496" s="755"/>
      <c r="H496" s="755"/>
      <c r="I496" s="755"/>
      <c r="J496" s="755"/>
      <c r="K496" s="755"/>
      <c r="L496" s="454"/>
      <c r="M496" s="455"/>
      <c r="N496" s="456"/>
      <c r="O496" s="209">
        <f>VLOOKUP($C496,'Final SEA Counts'!$A$2:$F$709,5,FALSE)</f>
        <v>1209</v>
      </c>
      <c r="P496" s="223">
        <f>VLOOKUP($C496,'Final SEA Counts'!$A$2:$F$709,6,FALSE)</f>
        <v>477</v>
      </c>
      <c r="Q496" s="749"/>
      <c r="R496" s="454">
        <f t="shared" si="729"/>
        <v>1209</v>
      </c>
      <c r="S496" s="455">
        <f t="shared" si="724"/>
        <v>253.48664087549349</v>
      </c>
      <c r="T496" s="230">
        <f t="shared" si="702"/>
        <v>0.2096663696240641</v>
      </c>
      <c r="U496" s="264" t="str">
        <f>IFERROR(VLOOKUP($B496,#REF!,8,FALSE),"")</f>
        <v/>
      </c>
      <c r="V496" s="265" t="str">
        <f>IFERROR(VLOOKUP($B496,#REF!,9,FALSE),"")</f>
        <v/>
      </c>
      <c r="W496" s="265" t="str">
        <f>IFERROR(VLOOKUP($B496,#REF!,10,FALSE),"")</f>
        <v/>
      </c>
      <c r="X496" s="265" t="str">
        <f>IFERROR(VLOOKUP($B496,#REF!,11,FALSE),"")</f>
        <v/>
      </c>
      <c r="Y496" s="266" t="str">
        <f>IFERROR(VLOOKUP($B496,#REF!,12,FALSE),"")</f>
        <v/>
      </c>
      <c r="Z496" s="265">
        <f t="shared" si="725"/>
        <v>132230.41721630408</v>
      </c>
      <c r="AA496" s="265">
        <f t="shared" si="726"/>
        <v>31607.039154584028</v>
      </c>
      <c r="AB496" s="265">
        <f t="shared" si="727"/>
        <v>56349.420012274946</v>
      </c>
      <c r="AC496" s="266">
        <f t="shared" si="728"/>
        <v>46581.136285235123</v>
      </c>
      <c r="AD496" s="265">
        <f t="shared" si="707"/>
        <v>132230.41721630408</v>
      </c>
      <c r="AE496" s="265">
        <f t="shared" si="708"/>
        <v>31607.039154584028</v>
      </c>
      <c r="AF496" s="265">
        <f t="shared" si="709"/>
        <v>56349.420012274946</v>
      </c>
      <c r="AG496" s="266">
        <f t="shared" si="710"/>
        <v>46581.136285235123</v>
      </c>
      <c r="AH496" s="265">
        <f t="shared" si="711"/>
        <v>132230.41721630408</v>
      </c>
      <c r="AI496" s="265">
        <f t="shared" si="711"/>
        <v>33019.842566929532</v>
      </c>
      <c r="AJ496" s="265">
        <f t="shared" si="711"/>
        <v>56349.420012274946</v>
      </c>
      <c r="AK496" s="265">
        <f t="shared" si="711"/>
        <v>46581.136285235123</v>
      </c>
      <c r="AL496" s="266">
        <f t="shared" si="712"/>
        <v>268180.81608074368</v>
      </c>
      <c r="AM496" s="347"/>
      <c r="AN496" s="264">
        <f>IFERROR(VLOOKUP($A496,'HH &amp; SI'!$B$4:$Z$494,'HH &amp; SI'!V$503,0),0)</f>
        <v>130426.70849951466</v>
      </c>
      <c r="AO496" s="265">
        <f>IFERROR(VLOOKUP($A496,'HH &amp; SI'!$B$4:$Z$494,'HH &amp; SI'!W$503,0),0)</f>
        <v>31932.289676464781</v>
      </c>
      <c r="AP496" s="265">
        <f>IFERROR(VLOOKUP($A496,'HH &amp; SI'!$B$4:$Z$494,'HH &amp; SI'!X$503,0),0)</f>
        <v>55836.944038062487</v>
      </c>
      <c r="AQ496" s="265">
        <f>IFERROR(VLOOKUP($A496,'HH &amp; SI'!$B$4:$Z$494,'HH &amp; SI'!Y$503,0),0)</f>
        <v>46067.896013700345</v>
      </c>
      <c r="AR496" s="266">
        <f t="shared" si="713"/>
        <v>264263.83822774229</v>
      </c>
      <c r="AS496" s="347"/>
      <c r="AT496" s="324">
        <f>IFERROR(VLOOKUP(A496,'Afton FY16 Final'!$A$5:$BV$572,'Afton FY16 Final'!$BV$587,0),0)</f>
        <v>182728.96033772817</v>
      </c>
      <c r="AU496" s="347"/>
      <c r="AV496" s="454">
        <v>0</v>
      </c>
      <c r="AW496" s="265">
        <f>IFERROR(VLOOKUP($A496,'HH &amp; SI'!$B$4:$EY$503,'HH &amp; SI'!EX$503,0),0)</f>
        <v>14802.237051524455</v>
      </c>
      <c r="AX496" s="265">
        <f>IFERROR(VLOOKUP($A496,'HH &amp; SI'!$B$4:$EY$503,'HH &amp; SI'!EY$503,0),0)</f>
        <v>249461.60117621784</v>
      </c>
      <c r="AY496" s="265">
        <f>AX496/$AX$582*'update_State Admin 1004(b)'!$B$30*0.01</f>
        <v>2387.5267286148983</v>
      </c>
      <c r="AZ496" s="266">
        <f t="shared" si="714"/>
        <v>247074.07444760294</v>
      </c>
      <c r="BA496" s="264">
        <f t="shared" si="715"/>
        <v>2470.7407444760292</v>
      </c>
      <c r="BB496" s="265">
        <f t="shared" si="716"/>
        <v>244603.3337031269</v>
      </c>
      <c r="BC496" s="342">
        <f t="shared" si="690"/>
        <v>1.3386128463218947</v>
      </c>
      <c r="BD496" s="347"/>
      <c r="BE496" s="377" t="str">
        <f>'Original Title I &amp; II'!AZ493</f>
        <v/>
      </c>
      <c r="BF496" s="244" t="str">
        <f>IF(BE496&lt;0,BB496*BE496/100,"")</f>
        <v/>
      </c>
      <c r="BG496" s="266">
        <f t="shared" si="697"/>
        <v>244603.3337031269</v>
      </c>
      <c r="BI496" s="203" t="str">
        <f>IFERROR(VLOOKUP(A496,'Title II Hold Harmless'!A$1:B$439,2, FALSE),"")</f>
        <v/>
      </c>
      <c r="BJ496" s="203">
        <f t="shared" si="718"/>
        <v>4291.3691759718449</v>
      </c>
      <c r="BK496" s="203">
        <f t="shared" si="719"/>
        <v>4295.5206115778783</v>
      </c>
      <c r="BL496" s="203" t="str">
        <f t="shared" si="720"/>
        <v/>
      </c>
      <c r="BM496" s="203">
        <f t="shared" si="721"/>
        <v>4295.5206115778783</v>
      </c>
      <c r="BN496" s="200"/>
      <c r="BP496" s="298" t="s">
        <v>1448</v>
      </c>
      <c r="BQ496" s="299" t="str">
        <f t="shared" si="682"/>
        <v>Y</v>
      </c>
      <c r="BR496" s="300" t="s">
        <v>1448</v>
      </c>
      <c r="BT496" s="298" t="str">
        <f t="shared" si="683"/>
        <v>Y</v>
      </c>
      <c r="BU496" s="299" t="str">
        <f t="shared" si="722"/>
        <v>Y</v>
      </c>
      <c r="BV496" s="299" t="str">
        <f t="shared" si="723"/>
        <v>Y</v>
      </c>
      <c r="BW496" s="300" t="str">
        <f t="shared" si="684"/>
        <v>Y</v>
      </c>
      <c r="BY496" s="355">
        <f t="shared" si="685"/>
        <v>0</v>
      </c>
      <c r="BZ496" s="356">
        <f t="shared" si="686"/>
        <v>0.9</v>
      </c>
      <c r="CA496" s="356">
        <f t="shared" si="687"/>
        <v>0</v>
      </c>
      <c r="CB496" s="357">
        <f t="shared" si="688"/>
        <v>0.9</v>
      </c>
      <c r="CD496" s="312">
        <f t="shared" si="689"/>
        <v>488</v>
      </c>
    </row>
    <row r="497" spans="1:82" s="48" customFormat="1" outlineLevel="1" x14ac:dyDescent="0.3">
      <c r="A497" s="202">
        <v>110100000</v>
      </c>
      <c r="B497" s="48">
        <f>VLOOKUP(C497,'NCES ID'!$A$2:$B$3136,2,FALSE)</f>
        <v>402740</v>
      </c>
      <c r="C497" s="48">
        <f>VLOOKUP(A497,'State ID'!$A$2:$B$713,2,FALSE)</f>
        <v>4435</v>
      </c>
      <c r="D497" s="48" t="s">
        <v>274</v>
      </c>
      <c r="E497" s="48" t="s">
        <v>20</v>
      </c>
      <c r="F497" s="755"/>
      <c r="G497" s="755"/>
      <c r="H497" s="755"/>
      <c r="I497" s="755"/>
      <c r="J497" s="755"/>
      <c r="K497" s="755"/>
      <c r="L497" s="454"/>
      <c r="M497" s="455"/>
      <c r="N497" s="456"/>
      <c r="O497" s="209">
        <f>VLOOKUP($C497,'Final SEA Counts'!$A$2:$F$709,5,FALSE)</f>
        <v>157</v>
      </c>
      <c r="P497" s="223">
        <f>VLOOKUP($C497,'Final SEA Counts'!$A$2:$F$709,6,FALSE)</f>
        <v>102</v>
      </c>
      <c r="Q497" s="749"/>
      <c r="R497" s="454">
        <f t="shared" si="729"/>
        <v>157</v>
      </c>
      <c r="S497" s="455">
        <f t="shared" si="724"/>
        <v>54.204690501677852</v>
      </c>
      <c r="T497" s="230">
        <f t="shared" si="702"/>
        <v>0.34525280574317102</v>
      </c>
      <c r="U497" s="264" t="str">
        <f>IFERROR(VLOOKUP($B497,#REF!,8,FALSE),"")</f>
        <v/>
      </c>
      <c r="V497" s="265" t="str">
        <f>IFERROR(VLOOKUP($B497,#REF!,9,FALSE),"")</f>
        <v/>
      </c>
      <c r="W497" s="265" t="str">
        <f>IFERROR(VLOOKUP($B497,#REF!,10,FALSE),"")</f>
        <v/>
      </c>
      <c r="X497" s="265" t="str">
        <f>IFERROR(VLOOKUP($B497,#REF!,11,FALSE),"")</f>
        <v/>
      </c>
      <c r="Y497" s="266" t="str">
        <f>IFERROR(VLOOKUP($B497,#REF!,12,FALSE),"")</f>
        <v/>
      </c>
      <c r="Z497" s="265">
        <f t="shared" si="725"/>
        <v>28275.68670034175</v>
      </c>
      <c r="AA497" s="265">
        <f t="shared" si="726"/>
        <v>6758.7379324267731</v>
      </c>
      <c r="AB497" s="265">
        <f t="shared" si="727"/>
        <v>12049.561512058794</v>
      </c>
      <c r="AC497" s="266">
        <f t="shared" si="728"/>
        <v>9960.7461238867545</v>
      </c>
      <c r="AD497" s="265">
        <f t="shared" si="707"/>
        <v>28275.68670034175</v>
      </c>
      <c r="AE497" s="265">
        <f t="shared" si="708"/>
        <v>6758.7379324267731</v>
      </c>
      <c r="AF497" s="265">
        <f t="shared" si="709"/>
        <v>12049.561512058794</v>
      </c>
      <c r="AG497" s="266">
        <f t="shared" si="710"/>
        <v>9960.7461238867545</v>
      </c>
      <c r="AH497" s="265">
        <f t="shared" si="711"/>
        <v>28275.68670034175</v>
      </c>
      <c r="AI497" s="265">
        <f t="shared" si="711"/>
        <v>8171.5413447722767</v>
      </c>
      <c r="AJ497" s="265">
        <f t="shared" si="711"/>
        <v>12049.561512058794</v>
      </c>
      <c r="AK497" s="265">
        <f t="shared" si="711"/>
        <v>9960.7461238867545</v>
      </c>
      <c r="AL497" s="266">
        <f t="shared" si="712"/>
        <v>58457.535681059569</v>
      </c>
      <c r="AM497" s="347"/>
      <c r="AN497" s="264">
        <f>IFERROR(VLOOKUP($A497,'HH &amp; SI'!$B$4:$Z$494,'HH &amp; SI'!V$503,0),0)</f>
        <v>52542.340879898584</v>
      </c>
      <c r="AO497" s="265">
        <f>IFERROR(VLOOKUP($A497,'HH &amp; SI'!$B$4:$Z$494,'HH &amp; SI'!W$503,0),0)</f>
        <v>12589.888194609228</v>
      </c>
      <c r="AP497" s="265">
        <f>IFERROR(VLOOKUP($A497,'HH &amp; SI'!$B$4:$Z$494,'HH &amp; SI'!X$503,0),0)</f>
        <v>21033.319822350124</v>
      </c>
      <c r="AQ497" s="265">
        <f>IFERROR(VLOOKUP($A497,'HH &amp; SI'!$B$4:$Z$494,'HH &amp; SI'!Y$503,0),0)</f>
        <v>18057.516639890982</v>
      </c>
      <c r="AR497" s="266">
        <f t="shared" si="713"/>
        <v>104223.06553674892</v>
      </c>
      <c r="AS497" s="347"/>
      <c r="AT497" s="324">
        <f>IFERROR(VLOOKUP(A497,'Afton FY16 Final'!$A$5:$BV$572,'Afton FY16 Final'!$BV$587,0),0)</f>
        <v>105825.68866929661</v>
      </c>
      <c r="AU497" s="347"/>
      <c r="AV497" s="454">
        <v>0</v>
      </c>
      <c r="AW497" s="265">
        <f>IFERROR(VLOOKUP($A497,'HH &amp; SI'!$B$4:$EY$503,'HH &amp; SI'!EX$503,0),0)</f>
        <v>0</v>
      </c>
      <c r="AX497" s="265">
        <f>IFERROR(VLOOKUP($A497,'HH &amp; SI'!$B$4:$EY$503,'HH &amp; SI'!EY$503,0),0)</f>
        <v>104223.06553674892</v>
      </c>
      <c r="AY497" s="265">
        <f>AX497/$AX$582*'update_State Admin 1004(b)'!$B$30*0.01</f>
        <v>997.48960775488206</v>
      </c>
      <c r="AZ497" s="266">
        <f t="shared" si="714"/>
        <v>103225.57592899405</v>
      </c>
      <c r="BA497" s="264">
        <f t="shared" si="715"/>
        <v>1032.2557592899404</v>
      </c>
      <c r="BB497" s="265">
        <f t="shared" si="716"/>
        <v>102193.32016970411</v>
      </c>
      <c r="BC497" s="342">
        <f t="shared" si="690"/>
        <v>0.96567592854563333</v>
      </c>
      <c r="BD497" s="347"/>
      <c r="BE497" s="377" t="str">
        <f>'Original Title I &amp; II'!AZ494</f>
        <v/>
      </c>
      <c r="BF497" s="244" t="str">
        <f>IF(BE497&lt;0,BB497*BE497/100,"")</f>
        <v/>
      </c>
      <c r="BG497" s="266">
        <f t="shared" si="697"/>
        <v>102193.32016970411</v>
      </c>
      <c r="BI497" s="203">
        <f>IFERROR(VLOOKUP(A497,'Title II Hold Harmless'!A$1:B$439,2, FALSE),"")</f>
        <v>9476</v>
      </c>
      <c r="BJ497" s="203">
        <f t="shared" si="718"/>
        <v>10311.941324500487</v>
      </c>
      <c r="BK497" s="203">
        <f t="shared" si="719"/>
        <v>10321.917012591261</v>
      </c>
      <c r="BL497" s="203" t="str">
        <f t="shared" si="720"/>
        <v/>
      </c>
      <c r="BM497" s="203">
        <f t="shared" si="721"/>
        <v>10321.917012591261</v>
      </c>
      <c r="BN497" s="200"/>
      <c r="BP497" s="298" t="s">
        <v>1448</v>
      </c>
      <c r="BQ497" s="299" t="str">
        <f t="shared" si="682"/>
        <v>Y</v>
      </c>
      <c r="BR497" s="300" t="s">
        <v>1448</v>
      </c>
      <c r="BT497" s="298" t="str">
        <f t="shared" si="683"/>
        <v>Y</v>
      </c>
      <c r="BU497" s="299" t="str">
        <f t="shared" si="722"/>
        <v>Y</v>
      </c>
      <c r="BV497" s="299" t="str">
        <f t="shared" si="723"/>
        <v>Y</v>
      </c>
      <c r="BW497" s="300" t="str">
        <f t="shared" si="684"/>
        <v>Y</v>
      </c>
      <c r="BY497" s="355">
        <f t="shared" si="685"/>
        <v>0</v>
      </c>
      <c r="BZ497" s="356">
        <f t="shared" si="686"/>
        <v>0</v>
      </c>
      <c r="CA497" s="356">
        <f t="shared" si="687"/>
        <v>0.95</v>
      </c>
      <c r="CB497" s="357">
        <f t="shared" si="688"/>
        <v>0.95</v>
      </c>
      <c r="CD497" s="312">
        <f t="shared" si="689"/>
        <v>489</v>
      </c>
    </row>
    <row r="498" spans="1:82" s="48" customFormat="1" outlineLevel="1" x14ac:dyDescent="0.3">
      <c r="A498" s="202"/>
      <c r="D498" s="48" t="s">
        <v>1411</v>
      </c>
      <c r="E498" s="48" t="s">
        <v>20</v>
      </c>
      <c r="F498" s="755"/>
      <c r="G498" s="755"/>
      <c r="H498" s="755"/>
      <c r="I498" s="755"/>
      <c r="J498" s="755"/>
      <c r="K498" s="755"/>
      <c r="L498" s="454"/>
      <c r="M498" s="455"/>
      <c r="N498" s="456"/>
      <c r="O498" s="211">
        <f>'AVA Metrics'!C13</f>
        <v>288.4485530546624</v>
      </c>
      <c r="P498" s="212">
        <f>'AVA Metrics'!D13</f>
        <v>150.91639871382637</v>
      </c>
      <c r="Q498" s="749"/>
      <c r="R498" s="454">
        <f t="shared" si="729"/>
        <v>288.4485530546624</v>
      </c>
      <c r="S498" s="455">
        <f t="shared" si="724"/>
        <v>80.199771410889923</v>
      </c>
      <c r="T498" s="230">
        <f t="shared" si="702"/>
        <v>0.27803839042205797</v>
      </c>
      <c r="U498" s="264"/>
      <c r="V498" s="265"/>
      <c r="W498" s="265"/>
      <c r="X498" s="265"/>
      <c r="Y498" s="266"/>
      <c r="Z498" s="265">
        <f t="shared" si="725"/>
        <v>41835.929489960916</v>
      </c>
      <c r="AA498" s="265">
        <f t="shared" si="726"/>
        <v>10000.043025611583</v>
      </c>
      <c r="AB498" s="265">
        <f t="shared" si="727"/>
        <v>17828.200289025899</v>
      </c>
      <c r="AC498" s="266">
        <f t="shared" si="728"/>
        <v>14737.646407055825</v>
      </c>
      <c r="AD498" s="265">
        <f t="shared" si="707"/>
        <v>41835.929489960916</v>
      </c>
      <c r="AE498" s="265">
        <f t="shared" si="708"/>
        <v>10000.043025611583</v>
      </c>
      <c r="AF498" s="265">
        <f t="shared" si="709"/>
        <v>17828.200289025899</v>
      </c>
      <c r="AG498" s="266">
        <f t="shared" si="710"/>
        <v>14737.646407055825</v>
      </c>
      <c r="AH498" s="265">
        <f t="shared" si="711"/>
        <v>41835.929489960916</v>
      </c>
      <c r="AI498" s="265">
        <f t="shared" si="711"/>
        <v>11412.846437957087</v>
      </c>
      <c r="AJ498" s="265">
        <f t="shared" si="711"/>
        <v>17828.200289025899</v>
      </c>
      <c r="AK498" s="265">
        <f t="shared" si="711"/>
        <v>14737.646407055825</v>
      </c>
      <c r="AL498" s="266">
        <f t="shared" si="712"/>
        <v>85814.622623999734</v>
      </c>
      <c r="AM498" s="347"/>
      <c r="AN498" s="264">
        <f>IFERROR(VLOOKUP($A498,'HH &amp; SI'!$B$4:$Z$494,'HH &amp; SI'!V$503,0),0)</f>
        <v>0</v>
      </c>
      <c r="AO498" s="265">
        <f>IFERROR(VLOOKUP($A498,'HH &amp; SI'!$B$4:$Z$494,'HH &amp; SI'!W$503,0),0)</f>
        <v>0</v>
      </c>
      <c r="AP498" s="265">
        <f>IFERROR(VLOOKUP($A498,'HH &amp; SI'!$B$4:$Z$494,'HH &amp; SI'!X$503,0),0)</f>
        <v>0</v>
      </c>
      <c r="AQ498" s="265">
        <f>IFERROR(VLOOKUP($A498,'HH &amp; SI'!$B$4:$Z$494,'HH &amp; SI'!Y$503,0),0)</f>
        <v>0</v>
      </c>
      <c r="AR498" s="266">
        <f t="shared" si="713"/>
        <v>0</v>
      </c>
      <c r="AS498" s="347"/>
      <c r="AT498" s="324">
        <f>IFERROR(VLOOKUP(A498,'Afton FY16 Final'!$A$5:$BV$572,'Afton FY16 Final'!$BV$587,0),0)</f>
        <v>0</v>
      </c>
      <c r="AU498" s="347"/>
      <c r="AV498" s="454">
        <v>0</v>
      </c>
      <c r="AW498" s="265">
        <f>IFERROR(VLOOKUP($A498,'HH &amp; SI'!$B$4:$EY$503,'HH &amp; SI'!EX$503,0),0)</f>
        <v>0</v>
      </c>
      <c r="AX498" s="265">
        <f>IFERROR(VLOOKUP($A498,'HH &amp; SI'!$B$4:$EY$503,'HH &amp; SI'!EY$503,0),0)</f>
        <v>0</v>
      </c>
      <c r="AY498" s="265"/>
      <c r="AZ498" s="266"/>
      <c r="BA498" s="264"/>
      <c r="BB498" s="265"/>
      <c r="BC498" s="342" t="str">
        <f t="shared" si="690"/>
        <v/>
      </c>
      <c r="BD498" s="347"/>
      <c r="BE498" s="377">
        <f>'Original Title I &amp; II'!AZ495</f>
        <v>0</v>
      </c>
      <c r="BF498" s="244"/>
      <c r="BG498" s="266">
        <f t="shared" si="697"/>
        <v>0</v>
      </c>
      <c r="BI498" s="203"/>
      <c r="BJ498" s="203"/>
      <c r="BK498" s="203"/>
      <c r="BL498" s="203"/>
      <c r="BM498" s="203"/>
      <c r="BN498" s="200"/>
      <c r="BP498" s="298" t="s">
        <v>1448</v>
      </c>
      <c r="BQ498" s="299" t="str">
        <f t="shared" si="682"/>
        <v>Y</v>
      </c>
      <c r="BR498" s="300" t="s">
        <v>1448</v>
      </c>
      <c r="BT498" s="298" t="str">
        <f t="shared" si="683"/>
        <v>Y</v>
      </c>
      <c r="BU498" s="299" t="str">
        <f t="shared" si="722"/>
        <v>Y</v>
      </c>
      <c r="BV498" s="299" t="str">
        <f t="shared" si="723"/>
        <v>Y</v>
      </c>
      <c r="BW498" s="300" t="str">
        <f t="shared" si="684"/>
        <v>Y</v>
      </c>
      <c r="BY498" s="355">
        <f t="shared" si="685"/>
        <v>0</v>
      </c>
      <c r="BZ498" s="356">
        <f t="shared" si="686"/>
        <v>0.9</v>
      </c>
      <c r="CA498" s="356">
        <f t="shared" si="687"/>
        <v>0</v>
      </c>
      <c r="CB498" s="357">
        <f t="shared" si="688"/>
        <v>0.9</v>
      </c>
      <c r="CD498" s="312">
        <f t="shared" si="689"/>
        <v>490</v>
      </c>
    </row>
    <row r="499" spans="1:82" s="197" customFormat="1" outlineLevel="1" x14ac:dyDescent="0.3">
      <c r="A499" s="196"/>
      <c r="D499" s="197" t="s">
        <v>878</v>
      </c>
      <c r="F499" s="756"/>
      <c r="G499" s="756"/>
      <c r="H499" s="756"/>
      <c r="I499" s="756"/>
      <c r="J499" s="756"/>
      <c r="K499" s="756"/>
      <c r="L499" s="757"/>
      <c r="M499" s="758"/>
      <c r="N499" s="768"/>
      <c r="O499" s="214"/>
      <c r="P499" s="216"/>
      <c r="Q499" s="750"/>
      <c r="R499" s="757">
        <f>SUM(R486:R498)</f>
        <v>8688.4485530546626</v>
      </c>
      <c r="S499" s="758">
        <f>SUM(S486:S498)</f>
        <v>1621.3135209683976</v>
      </c>
      <c r="T499" s="231"/>
      <c r="U499" s="267"/>
      <c r="V499" s="268"/>
      <c r="W499" s="268"/>
      <c r="X499" s="268"/>
      <c r="Y499" s="269"/>
      <c r="Z499" s="268">
        <f>SUM(Z486:Z498)</f>
        <v>845752.51214673615</v>
      </c>
      <c r="AA499" s="268">
        <f>SUM(AA486:AA498)</f>
        <v>202160.2391436277</v>
      </c>
      <c r="AB499" s="268">
        <f>SUM(AB486:AB498)</f>
        <v>360413.77269069746</v>
      </c>
      <c r="AC499" s="269">
        <f>SUM(AC486:AC498)</f>
        <v>297935.33032148326</v>
      </c>
      <c r="AD499" s="268"/>
      <c r="AE499" s="268"/>
      <c r="AF499" s="268"/>
      <c r="AG499" s="269"/>
      <c r="AH499" s="268"/>
      <c r="AI499" s="268"/>
      <c r="AJ499" s="268"/>
      <c r="AK499" s="268"/>
      <c r="AL499" s="269"/>
      <c r="AM499" s="348"/>
      <c r="AN499" s="267"/>
      <c r="AO499" s="268"/>
      <c r="AP499" s="268"/>
      <c r="AQ499" s="268"/>
      <c r="AR499" s="269"/>
      <c r="AS499" s="348"/>
      <c r="AT499" s="325"/>
      <c r="AU499" s="348"/>
      <c r="AV499" s="757"/>
      <c r="AW499" s="268"/>
      <c r="AX499" s="268"/>
      <c r="AY499" s="268"/>
      <c r="AZ499" s="269"/>
      <c r="BA499" s="267"/>
      <c r="BB499" s="268"/>
      <c r="BC499" s="343" t="str">
        <f t="shared" si="690"/>
        <v/>
      </c>
      <c r="BD499" s="348"/>
      <c r="BE499" s="371"/>
      <c r="BF499" s="369"/>
      <c r="BG499" s="269"/>
      <c r="BI499" s="198"/>
      <c r="BL499" s="198"/>
      <c r="BN499" s="199"/>
      <c r="BP499" s="301" t="s">
        <v>1450</v>
      </c>
      <c r="BQ499" s="302" t="str">
        <f t="shared" si="682"/>
        <v>N</v>
      </c>
      <c r="BR499" s="303" t="s">
        <v>1448</v>
      </c>
      <c r="BT499" s="301" t="str">
        <f t="shared" si="683"/>
        <v>N</v>
      </c>
      <c r="BU499" s="302" t="s">
        <v>1450</v>
      </c>
      <c r="BV499" s="302" t="s">
        <v>1450</v>
      </c>
      <c r="BW499" s="303" t="s">
        <v>1450</v>
      </c>
      <c r="BY499" s="358">
        <f t="shared" si="685"/>
        <v>0.85</v>
      </c>
      <c r="BZ499" s="359">
        <f t="shared" si="686"/>
        <v>0</v>
      </c>
      <c r="CA499" s="359">
        <f t="shared" si="687"/>
        <v>0</v>
      </c>
      <c r="CB499" s="360">
        <f t="shared" si="688"/>
        <v>0.85</v>
      </c>
      <c r="CD499" s="313">
        <f t="shared" si="689"/>
        <v>491</v>
      </c>
    </row>
    <row r="500" spans="1:82" s="197" customFormat="1" outlineLevel="1" x14ac:dyDescent="0.3">
      <c r="A500" s="196" t="s">
        <v>880</v>
      </c>
      <c r="B500" s="197">
        <f>M500/P500</f>
        <v>0.53141853433017505</v>
      </c>
      <c r="D500" s="197" t="s">
        <v>879</v>
      </c>
      <c r="E500" s="197">
        <f t="shared" ref="E500:K500" si="731">SUM(E468:E498)</f>
        <v>0</v>
      </c>
      <c r="F500" s="756">
        <f t="shared" si="731"/>
        <v>15266</v>
      </c>
      <c r="G500" s="756">
        <f t="shared" si="731"/>
        <v>8</v>
      </c>
      <c r="H500" s="756">
        <f t="shared" si="731"/>
        <v>0</v>
      </c>
      <c r="I500" s="756">
        <f t="shared" si="731"/>
        <v>829</v>
      </c>
      <c r="J500" s="756">
        <f t="shared" si="731"/>
        <v>0</v>
      </c>
      <c r="K500" s="756">
        <f t="shared" si="731"/>
        <v>15274</v>
      </c>
      <c r="L500" s="757">
        <f>SUM(L468:L498)</f>
        <v>73667</v>
      </c>
      <c r="M500" s="758">
        <f>SUM(M468:M498)</f>
        <v>16103</v>
      </c>
      <c r="N500" s="768"/>
      <c r="O500" s="217">
        <f>SUM(O468:O498)</f>
        <v>48930.448553054659</v>
      </c>
      <c r="P500" s="218">
        <f t="shared" ref="P500:S500" si="732">SUM(P468:P498)</f>
        <v>30301.916398713827</v>
      </c>
      <c r="Q500" s="750"/>
      <c r="R500" s="757">
        <f t="shared" si="732"/>
        <v>73667</v>
      </c>
      <c r="S500" s="758">
        <f t="shared" si="732"/>
        <v>16102.999999999996</v>
      </c>
      <c r="T500" s="231"/>
      <c r="U500" s="267">
        <f>SUM(U468:U498)</f>
        <v>8400073.4755880404</v>
      </c>
      <c r="V500" s="268">
        <f t="shared" ref="V500:AL500" si="733">SUM(V468:V498)</f>
        <v>2007869.7234236472</v>
      </c>
      <c r="W500" s="268">
        <f t="shared" si="733"/>
        <v>3579654.9566624053</v>
      </c>
      <c r="X500" s="268">
        <f t="shared" si="733"/>
        <v>2959114.6697532278</v>
      </c>
      <c r="Y500" s="269">
        <f t="shared" si="733"/>
        <v>16946712.82542732</v>
      </c>
      <c r="Z500" s="268">
        <f t="shared" si="733"/>
        <v>8400073.4755880423</v>
      </c>
      <c r="AA500" s="268">
        <f t="shared" si="733"/>
        <v>2007869.7234236475</v>
      </c>
      <c r="AB500" s="268">
        <f t="shared" si="733"/>
        <v>3579654.9566624048</v>
      </c>
      <c r="AC500" s="269">
        <f t="shared" si="733"/>
        <v>2959114.6697532283</v>
      </c>
      <c r="AD500" s="268">
        <f t="shared" si="733"/>
        <v>8400073.4755880423</v>
      </c>
      <c r="AE500" s="268">
        <f t="shared" si="733"/>
        <v>1968311.2278779733</v>
      </c>
      <c r="AF500" s="268">
        <f t="shared" si="733"/>
        <v>3579654.9566624048</v>
      </c>
      <c r="AG500" s="269">
        <f t="shared" si="733"/>
        <v>2959114.6697532283</v>
      </c>
      <c r="AH500" s="268">
        <f t="shared" si="733"/>
        <v>8400073.4755880423</v>
      </c>
      <c r="AI500" s="268">
        <f t="shared" si="733"/>
        <v>2007869.7234236475</v>
      </c>
      <c r="AJ500" s="268">
        <f t="shared" si="733"/>
        <v>3579654.9566624048</v>
      </c>
      <c r="AK500" s="268">
        <f t="shared" si="733"/>
        <v>2959114.6697532283</v>
      </c>
      <c r="AL500" s="269">
        <f t="shared" si="733"/>
        <v>16946712.825427316</v>
      </c>
      <c r="AM500" s="348"/>
      <c r="AN500" s="267">
        <f t="shared" ref="AN500:AR500" si="734">SUM(AN468:AN498)</f>
        <v>8525152.8167275265</v>
      </c>
      <c r="AO500" s="268">
        <f t="shared" ref="AO500" si="735">SUM(AO468:AO498)</f>
        <v>1996991.5503984431</v>
      </c>
      <c r="AP500" s="268">
        <f t="shared" si="734"/>
        <v>3647471.3920097663</v>
      </c>
      <c r="AQ500" s="268">
        <f t="shared" si="734"/>
        <v>3034367.1516452823</v>
      </c>
      <c r="AR500" s="269">
        <f t="shared" si="734"/>
        <v>17203982.910781018</v>
      </c>
      <c r="AS500" s="348"/>
      <c r="AT500" s="325">
        <f t="shared" ref="AT500:BB500" si="736">SUM(AT468:AT498)</f>
        <v>15739565.985983649</v>
      </c>
      <c r="AU500" s="348"/>
      <c r="AV500" s="757">
        <f t="shared" si="736"/>
        <v>0</v>
      </c>
      <c r="AW500" s="268">
        <f t="shared" si="736"/>
        <v>523453.9116754632</v>
      </c>
      <c r="AX500" s="268">
        <f t="shared" si="736"/>
        <v>16680528.999105558</v>
      </c>
      <c r="AY500" s="268">
        <f t="shared" si="736"/>
        <v>159644.64528818682</v>
      </c>
      <c r="AZ500" s="269">
        <f t="shared" si="736"/>
        <v>16520884.35381737</v>
      </c>
      <c r="BA500" s="267">
        <f t="shared" si="736"/>
        <v>165208.84353817371</v>
      </c>
      <c r="BB500" s="268">
        <f t="shared" si="736"/>
        <v>16355675.510279194</v>
      </c>
      <c r="BC500" s="343">
        <f t="shared" si="690"/>
        <v>1.0391439970355092</v>
      </c>
      <c r="BD500" s="348"/>
      <c r="BE500" s="371">
        <f t="shared" ref="BE500:BG500" si="737">SUM(BE468:BE498)</f>
        <v>0</v>
      </c>
      <c r="BF500" s="369">
        <f t="shared" si="737"/>
        <v>0</v>
      </c>
      <c r="BG500" s="269">
        <f t="shared" si="737"/>
        <v>16355675.510279194</v>
      </c>
      <c r="BI500" s="198"/>
      <c r="BL500" s="198"/>
      <c r="BN500" s="199"/>
      <c r="BP500" s="301" t="s">
        <v>1450</v>
      </c>
      <c r="BQ500" s="302" t="str">
        <f t="shared" si="682"/>
        <v>N</v>
      </c>
      <c r="BR500" s="303" t="s">
        <v>1448</v>
      </c>
      <c r="BT500" s="301" t="str">
        <f t="shared" si="683"/>
        <v>N</v>
      </c>
      <c r="BU500" s="302" t="s">
        <v>1450</v>
      </c>
      <c r="BV500" s="302" t="s">
        <v>1450</v>
      </c>
      <c r="BW500" s="303" t="s">
        <v>1450</v>
      </c>
      <c r="BY500" s="358">
        <f t="shared" si="685"/>
        <v>0.85</v>
      </c>
      <c r="BZ500" s="359">
        <f t="shared" si="686"/>
        <v>0</v>
      </c>
      <c r="CA500" s="359">
        <f t="shared" si="687"/>
        <v>0</v>
      </c>
      <c r="CB500" s="360">
        <f t="shared" si="688"/>
        <v>0.85</v>
      </c>
      <c r="CD500" s="313">
        <f t="shared" si="689"/>
        <v>492</v>
      </c>
    </row>
    <row r="501" spans="1:82" s="197" customFormat="1" outlineLevel="1" x14ac:dyDescent="0.3">
      <c r="A501" s="196"/>
      <c r="F501" s="756"/>
      <c r="G501" s="756"/>
      <c r="H501" s="756"/>
      <c r="I501" s="756"/>
      <c r="J501" s="756"/>
      <c r="K501" s="756"/>
      <c r="L501" s="757"/>
      <c r="M501" s="758"/>
      <c r="N501" s="768"/>
      <c r="O501" s="214"/>
      <c r="P501" s="216"/>
      <c r="Q501" s="750"/>
      <c r="R501" s="757"/>
      <c r="S501" s="758"/>
      <c r="T501" s="231"/>
      <c r="U501" s="267">
        <f>U500/$S500</f>
        <v>521.64649292604122</v>
      </c>
      <c r="V501" s="268">
        <f>V500/$S500</f>
        <v>124.68917117454187</v>
      </c>
      <c r="W501" s="268">
        <f>W500/$S500</f>
        <v>222.29739530909805</v>
      </c>
      <c r="X501" s="268">
        <f>X500/$S500</f>
        <v>183.76170090996885</v>
      </c>
      <c r="Y501" s="269" t="str">
        <f>IFERROR(VLOOKUP($B501,#REF!,12,FALSE),"")</f>
        <v/>
      </c>
      <c r="Z501" s="268"/>
      <c r="AA501" s="268"/>
      <c r="AB501" s="268"/>
      <c r="AC501" s="269"/>
      <c r="AD501" s="268">
        <f>(Z500-AD500)/COUNT(AD468:AD498)</f>
        <v>0</v>
      </c>
      <c r="AE501" s="268">
        <f>(AA500-AE500)/COUNT(AE468:AE498)</f>
        <v>1412.8034123455041</v>
      </c>
      <c r="AF501" s="268">
        <f>(AB500-AF500)/COUNT(AF468:AF498)</f>
        <v>0</v>
      </c>
      <c r="AG501" s="269">
        <f>(AC500-AG500)/COUNT(AG468:AG498)</f>
        <v>0</v>
      </c>
      <c r="AH501" s="268"/>
      <c r="AI501" s="268"/>
      <c r="AJ501" s="268"/>
      <c r="AK501" s="268"/>
      <c r="AL501" s="280"/>
      <c r="AM501" s="348"/>
      <c r="AN501" s="267"/>
      <c r="AO501" s="268"/>
      <c r="AP501" s="268"/>
      <c r="AQ501" s="268"/>
      <c r="AR501" s="280"/>
      <c r="AS501" s="348"/>
      <c r="AT501" s="325"/>
      <c r="AU501" s="348"/>
      <c r="AV501" s="757"/>
      <c r="AW501" s="268"/>
      <c r="AX501" s="268"/>
      <c r="AY501" s="268"/>
      <c r="AZ501" s="269"/>
      <c r="BA501" s="267"/>
      <c r="BB501" s="268"/>
      <c r="BC501" s="343" t="str">
        <f t="shared" si="690"/>
        <v/>
      </c>
      <c r="BD501" s="348"/>
      <c r="BE501" s="371"/>
      <c r="BF501" s="369"/>
      <c r="BG501" s="269"/>
      <c r="BI501" s="198"/>
      <c r="BL501" s="198"/>
      <c r="BN501" s="199"/>
      <c r="BP501" s="301" t="s">
        <v>1450</v>
      </c>
      <c r="BQ501" s="302" t="str">
        <f t="shared" si="682"/>
        <v>N</v>
      </c>
      <c r="BR501" s="303" t="s">
        <v>1448</v>
      </c>
      <c r="BT501" s="301" t="str">
        <f t="shared" si="683"/>
        <v>N</v>
      </c>
      <c r="BU501" s="302" t="s">
        <v>1450</v>
      </c>
      <c r="BV501" s="302" t="s">
        <v>1450</v>
      </c>
      <c r="BW501" s="303" t="s">
        <v>1450</v>
      </c>
      <c r="BY501" s="358">
        <f t="shared" si="685"/>
        <v>0.85</v>
      </c>
      <c r="BZ501" s="359">
        <f t="shared" si="686"/>
        <v>0</v>
      </c>
      <c r="CA501" s="359">
        <f t="shared" si="687"/>
        <v>0</v>
      </c>
      <c r="CB501" s="360">
        <f t="shared" si="688"/>
        <v>0.85</v>
      </c>
      <c r="CD501" s="313">
        <f t="shared" si="689"/>
        <v>493</v>
      </c>
    </row>
    <row r="502" spans="1:82" s="199" customFormat="1" outlineLevel="1" x14ac:dyDescent="0.3">
      <c r="A502" s="201"/>
      <c r="F502" s="759"/>
      <c r="G502" s="759"/>
      <c r="H502" s="759"/>
      <c r="I502" s="759"/>
      <c r="J502" s="759"/>
      <c r="K502" s="759"/>
      <c r="L502" s="509"/>
      <c r="M502" s="510"/>
      <c r="N502" s="511"/>
      <c r="O502" s="220"/>
      <c r="P502" s="222"/>
      <c r="Q502" s="751"/>
      <c r="R502" s="509"/>
      <c r="S502" s="510"/>
      <c r="T502" s="232"/>
      <c r="U502" s="270" t="str">
        <f>IFERROR(VLOOKUP($B502,#REF!,8,FALSE),"")</f>
        <v/>
      </c>
      <c r="V502" s="271" t="str">
        <f>IFERROR(VLOOKUP($B502,#REF!,9,FALSE),"")</f>
        <v/>
      </c>
      <c r="W502" s="271" t="str">
        <f>IFERROR(VLOOKUP($B502,#REF!,10,FALSE),"")</f>
        <v/>
      </c>
      <c r="X502" s="271" t="str">
        <f>IFERROR(VLOOKUP($B502,#REF!,11,FALSE),"")</f>
        <v/>
      </c>
      <c r="Y502" s="272" t="str">
        <f>IFERROR(VLOOKUP($B502,#REF!,12,FALSE),"")</f>
        <v/>
      </c>
      <c r="Z502" s="271"/>
      <c r="AA502" s="271"/>
      <c r="AB502" s="271"/>
      <c r="AC502" s="272"/>
      <c r="AD502" s="271"/>
      <c r="AE502" s="271"/>
      <c r="AF502" s="271"/>
      <c r="AG502" s="272"/>
      <c r="AH502" s="271"/>
      <c r="AI502" s="271"/>
      <c r="AJ502" s="271"/>
      <c r="AK502" s="271"/>
      <c r="AL502" s="272"/>
      <c r="AM502" s="349"/>
      <c r="AN502" s="270"/>
      <c r="AO502" s="271"/>
      <c r="AP502" s="271"/>
      <c r="AQ502" s="271"/>
      <c r="AR502" s="272"/>
      <c r="AS502" s="349"/>
      <c r="AT502" s="326"/>
      <c r="AU502" s="349"/>
      <c r="AV502" s="509"/>
      <c r="AW502" s="271"/>
      <c r="AX502" s="271"/>
      <c r="AY502" s="271"/>
      <c r="AZ502" s="272"/>
      <c r="BA502" s="270"/>
      <c r="BB502" s="271"/>
      <c r="BC502" s="344" t="str">
        <f t="shared" si="690"/>
        <v/>
      </c>
      <c r="BD502" s="349"/>
      <c r="BE502" s="378">
        <f>'Original Title I &amp; II'!AZ499</f>
        <v>0</v>
      </c>
      <c r="BF502" s="245"/>
      <c r="BG502" s="272">
        <f t="shared" ref="BG502:BG511" si="738">IF(BF502&lt;0,BB502+BF502,BB502)</f>
        <v>0</v>
      </c>
      <c r="BI502" s="200"/>
      <c r="BL502" s="200"/>
      <c r="BP502" s="304" t="s">
        <v>1450</v>
      </c>
      <c r="BQ502" s="305" t="str">
        <f t="shared" si="682"/>
        <v>N</v>
      </c>
      <c r="BR502" s="306" t="s">
        <v>1448</v>
      </c>
      <c r="BT502" s="304" t="str">
        <f t="shared" si="683"/>
        <v>N</v>
      </c>
      <c r="BU502" s="305" t="s">
        <v>1450</v>
      </c>
      <c r="BV502" s="305" t="s">
        <v>1450</v>
      </c>
      <c r="BW502" s="306" t="s">
        <v>1450</v>
      </c>
      <c r="BY502" s="361">
        <f t="shared" si="685"/>
        <v>0.85</v>
      </c>
      <c r="BZ502" s="362">
        <f t="shared" si="686"/>
        <v>0</v>
      </c>
      <c r="CA502" s="362">
        <f t="shared" si="687"/>
        <v>0</v>
      </c>
      <c r="CB502" s="363">
        <f t="shared" si="688"/>
        <v>0.85</v>
      </c>
      <c r="CD502" s="314">
        <f t="shared" si="689"/>
        <v>494</v>
      </c>
    </row>
    <row r="503" spans="1:82" outlineLevel="1" x14ac:dyDescent="0.3">
      <c r="A503" s="1">
        <v>120425000</v>
      </c>
      <c r="B503" s="47">
        <f>VLOOKUP(C503,'NCES ID'!$A$2:$B$3136,2,FALSE)</f>
        <v>407920</v>
      </c>
      <c r="C503" s="47">
        <f>VLOOKUP(A503,'State ID'!$A$2:$B$713,2,FALSE)</f>
        <v>4461</v>
      </c>
      <c r="D503" s="147" t="s">
        <v>391</v>
      </c>
      <c r="E503" s="47" t="s">
        <v>284</v>
      </c>
      <c r="F503" s="382">
        <f>IFERROR(VLOOKUP($B503,'update_Formula counts'!$D$7:$R$234,'update_Formula counts'!F$5,0),0)</f>
        <v>24</v>
      </c>
      <c r="G503" s="382">
        <f>IFERROR(VLOOKUP($B503,'update_Formula counts'!$D$7:$R$234,'update_Formula counts'!G$5,0),0)</f>
        <v>0</v>
      </c>
      <c r="H503" s="382">
        <f>IFERROR(VLOOKUP($B503,'update_Formula counts'!$D$7:$R$234,'update_Formula counts'!H$5,0),0)</f>
        <v>0</v>
      </c>
      <c r="I503" s="382">
        <f>IFERROR(VLOOKUP($B503,'update_Formula counts'!$D$7:$R$234,'update_Formula counts'!I$5,0),0)</f>
        <v>0</v>
      </c>
      <c r="J503" s="382">
        <f>IFERROR(VLOOKUP($B503,'update_Formula counts'!$D$7:$R$234,'update_Formula counts'!J$5,0),0)</f>
        <v>0</v>
      </c>
      <c r="K503" s="382">
        <f t="shared" ref="K503:K509" si="739">M503-I503</f>
        <v>24</v>
      </c>
      <c r="L503" s="444">
        <f>IFERROR(VLOOKUP($B503,'update_Formula counts'!$D$7:$R$234,'update_Formula counts'!L$5,0),0)</f>
        <v>120</v>
      </c>
      <c r="M503" s="445">
        <f>IFERROR(VLOOKUP($B503,'update_Formula counts'!$D$7:$R$234,'update_Formula counts'!K$5,0),0)</f>
        <v>24</v>
      </c>
      <c r="N503" s="446">
        <f>IFERROR(VLOOKUP($B503,'update_Formula counts'!$D$7:$R$234,'update_Formula counts'!M$5,0),0)</f>
        <v>0.2</v>
      </c>
      <c r="O503" s="137">
        <f>VLOOKUP($C503,'Final SEA Counts'!$A$2:$F$709,5,FALSE)</f>
        <v>120</v>
      </c>
      <c r="P503" s="208">
        <f>VLOOKUP($C503,'Final SEA Counts'!$A$2:$F$709,6,FALSE)</f>
        <v>46</v>
      </c>
      <c r="Q503" s="748">
        <f t="shared" ref="Q503:Q508" si="740">-F503/($F$513-$F$5109)*$S$512+(M503/($M$513-$M$5109)*$M$5109)</f>
        <v>-0.7990142754019578</v>
      </c>
      <c r="R503" s="444">
        <f t="shared" ref="R503:R508" si="741">L503-(L503/(L$513-L$509))*R$510+(L503/(L$513-L$509))*L$509</f>
        <v>116.87423687423687</v>
      </c>
      <c r="S503" s="445">
        <f t="shared" ref="S503:S508" si="742">Q503+K503+I503</f>
        <v>23.200985724598041</v>
      </c>
      <c r="T503" s="229">
        <f t="shared" ref="T503:T508" si="743">S503/R503</f>
        <v>0.19851240397456954</v>
      </c>
      <c r="U503" s="261">
        <f>VLOOKUP($B503,update_Allocation!$D$8:$Q$235,update_Allocation!K$239,0)</f>
        <v>11349.361049175206</v>
      </c>
      <c r="V503" s="262">
        <f>VLOOKUP($B503,update_Allocation!$D$8:$Q$235,update_Allocation!L$239,0)</f>
        <v>2703.5216059904019</v>
      </c>
      <c r="W503" s="262">
        <f>VLOOKUP($B503,update_Allocation!$D$8:$Q$235,update_Allocation!M$239,0)</f>
        <v>4042.3486002854784</v>
      </c>
      <c r="X503" s="262">
        <f>VLOOKUP($B503,update_Allocation!$D$8:$Q$235,update_Allocation!N$239,0)</f>
        <v>3375.2839106564984</v>
      </c>
      <c r="Y503" s="263">
        <f>VLOOKUP($B503,update_Allocation!$D$8:$Q$235,update_Allocation!O$239,0)</f>
        <v>21470.515166107583</v>
      </c>
      <c r="Z503" s="262">
        <f t="shared" ref="Z503:AC508" si="744">IF(U503=0,"",U503-(U503/(U$513-U$509)*Z$512-U503/(U$513-U$509)*U$509))</f>
        <v>10976.799711531718</v>
      </c>
      <c r="AA503" s="262">
        <f t="shared" si="744"/>
        <v>2614.7740878251343</v>
      </c>
      <c r="AB503" s="262">
        <f t="shared" si="744"/>
        <v>3909.651896460633</v>
      </c>
      <c r="AC503" s="263">
        <f t="shared" si="744"/>
        <v>3264.4846962133101</v>
      </c>
      <c r="AD503" s="262">
        <f t="shared" ref="AD503:AD511" si="745">IF(BT503="Y",Z503,"")</f>
        <v>10976.799711531718</v>
      </c>
      <c r="AE503" s="262">
        <f t="shared" ref="AE503:AE511" si="746">IF(BU503="Y",AA503,"")</f>
        <v>2614.7740878251343</v>
      </c>
      <c r="AF503" s="262">
        <f t="shared" ref="AF503:AF511" si="747">IF(BV503="Y",AB503,"")</f>
        <v>3909.651896460633</v>
      </c>
      <c r="AG503" s="263">
        <f t="shared" ref="AG503:AG511" si="748">IF(BW503="Y",AC503,"")</f>
        <v>3264.4846962133101</v>
      </c>
      <c r="AH503" s="262">
        <f t="shared" ref="AH503:AK508" si="749">IF(AD503="","",AD503+AD$514)</f>
        <v>11325.086632822466</v>
      </c>
      <c r="AI503" s="262">
        <f t="shared" si="749"/>
        <v>2698.0123657270296</v>
      </c>
      <c r="AJ503" s="262">
        <f t="shared" si="749"/>
        <v>4101.9681148308391</v>
      </c>
      <c r="AK503" s="262">
        <f t="shared" si="749"/>
        <v>3438.9772164770116</v>
      </c>
      <c r="AL503" s="263">
        <f t="shared" ref="AL503:AL508" si="750">SUM(AH503:AK503)</f>
        <v>21564.044329857345</v>
      </c>
      <c r="AM503" s="346"/>
      <c r="AN503" s="261">
        <f>IFERROR(VLOOKUP($A503,'HH &amp; SI'!$B$4:$Z$494,'HH &amp; SI'!V$503,0),0)</f>
        <v>11170.605100448547</v>
      </c>
      <c r="AO503" s="262">
        <f>IFERROR(VLOOKUP($A503,'HH &amp; SI'!$B$4:$Z$494,'HH &amp; SI'!W$503,0),0)</f>
        <v>2609.149702590204</v>
      </c>
      <c r="AP503" s="262">
        <f>IFERROR(VLOOKUP($A503,'HH &amp; SI'!$B$4:$Z$494,'HH &amp; SI'!X$503,0),0)</f>
        <v>4064.6623163793479</v>
      </c>
      <c r="AQ503" s="262">
        <f>IFERROR(VLOOKUP($A503,'HH &amp; SI'!$B$4:$Z$494,'HH &amp; SI'!Y$503,0),0)</f>
        <v>3401.0858780266431</v>
      </c>
      <c r="AR503" s="263">
        <f t="shared" ref="AR503:AR511" si="751">SUM(AN503:AQ503)</f>
        <v>21245.502997444743</v>
      </c>
      <c r="AS503" s="346"/>
      <c r="AT503" s="323">
        <f>IFERROR(VLOOKUP(A503,'Afton FY16 Final'!$A$5:$BV$572,'Afton FY16 Final'!$BV$587,0),0)</f>
        <v>22747.588292723347</v>
      </c>
      <c r="AU503" s="346"/>
      <c r="AV503" s="444">
        <v>0</v>
      </c>
      <c r="AW503" s="262">
        <f>IFERROR(VLOOKUP($A503,'HH &amp; SI'!$B$4:$EY$503,'HH &amp; SI'!EX$503,0),0)</f>
        <v>0</v>
      </c>
      <c r="AX503" s="262">
        <f>IFERROR(VLOOKUP($A503,'HH &amp; SI'!$B$4:$EY$503,'HH &amp; SI'!EY$503,0),0)</f>
        <v>21245.502997444743</v>
      </c>
      <c r="AY503" s="262">
        <f>AX503/$AX$582*'update_State Admin 1004(b)'!$B$30*0.01</f>
        <v>203.33472578585773</v>
      </c>
      <c r="AZ503" s="263">
        <f t="shared" ref="AZ503:AZ510" si="752">AX503-AY503</f>
        <v>21042.168271658884</v>
      </c>
      <c r="BA503" s="261">
        <f t="shared" ref="BA503:BA509" si="753">AZ503*0.01</f>
        <v>210.42168271658883</v>
      </c>
      <c r="BB503" s="262">
        <f t="shared" ref="BB503:BB509" si="754">AZ503-BA503</f>
        <v>20831.746588942297</v>
      </c>
      <c r="BC503" s="341">
        <f t="shared" ref="BC503:BC509" si="755">IFERROR(BB503/AT503,"")</f>
        <v>0.91577824958288423</v>
      </c>
      <c r="BD503" s="346"/>
      <c r="BE503" s="376" t="str">
        <f>'Original Title I &amp; II'!AZ500</f>
        <v/>
      </c>
      <c r="BF503" s="243" t="str">
        <f t="shared" ref="BF503:BF510" si="756">IF(BE503&lt;0,BB503*BE503/100,"")</f>
        <v/>
      </c>
      <c r="BG503" s="263">
        <f t="shared" si="738"/>
        <v>20831.746588942297</v>
      </c>
      <c r="BI503" s="31">
        <f>IFERROR(VLOOKUP(A503,'Title II Hold Harmless'!A$1:B$439,2, FALSE),"")</f>
        <v>3926</v>
      </c>
      <c r="BJ503" s="31">
        <f t="shared" ref="BJ503:BJ510" si="757">IFERROR($BI$587*(0.8*($S503/$S$584)+0.2*($R503/$R$584))+$BI503,$BI$587*(0.8*($S503/$S$584)+0.2*($R503/$R$584)))</f>
        <v>4323.7819582325756</v>
      </c>
      <c r="BK503" s="31">
        <f t="shared" ref="BK503:BK510" si="758">$BI$588*BJ503</f>
        <v>4327.9647497003043</v>
      </c>
      <c r="BL503" s="31" t="str">
        <f t="shared" ref="BL503:BL510" si="759">IF(BE503&lt;0,BK503*BE503/100,"")</f>
        <v/>
      </c>
      <c r="BM503" s="31">
        <f t="shared" ref="BM503:BM510" si="760">IF(BL503&lt;0,BK503+BL503,BK503)</f>
        <v>4327.9647497003043</v>
      </c>
      <c r="BN503" s="200"/>
      <c r="BP503" s="295" t="s">
        <v>1447</v>
      </c>
      <c r="BQ503" s="296" t="str">
        <f t="shared" si="682"/>
        <v>Y</v>
      </c>
      <c r="BR503" s="297" t="s">
        <v>1448</v>
      </c>
      <c r="BT503" s="295" t="str">
        <f t="shared" si="683"/>
        <v>Y</v>
      </c>
      <c r="BU503" s="296" t="str">
        <f t="shared" ref="BU503:BU511" si="761">IF(AND(BT503="Y",(OR(T503&gt;0.15,S503&gt;6500))),"Y","N")</f>
        <v>Y</v>
      </c>
      <c r="BV503" s="296" t="str">
        <f t="shared" ref="BV503:BV511" si="762">IF(AND(BT503="Y",T503&gt;=0.05),"Y","N")</f>
        <v>Y</v>
      </c>
      <c r="BW503" s="297" t="str">
        <f t="shared" si="684"/>
        <v>Y</v>
      </c>
      <c r="BY503" s="352">
        <f t="shared" si="685"/>
        <v>0</v>
      </c>
      <c r="BZ503" s="353">
        <f t="shared" si="686"/>
        <v>0.9</v>
      </c>
      <c r="CA503" s="353">
        <f t="shared" si="687"/>
        <v>0</v>
      </c>
      <c r="CB503" s="354">
        <f t="shared" si="688"/>
        <v>0.9</v>
      </c>
      <c r="CD503" s="311">
        <f t="shared" si="689"/>
        <v>495</v>
      </c>
    </row>
    <row r="504" spans="1:82" outlineLevel="1" x14ac:dyDescent="0.3">
      <c r="A504" s="1">
        <v>120406000</v>
      </c>
      <c r="B504" s="47">
        <f>VLOOKUP(C504,'NCES ID'!$A$2:$B$3136,2,FALSE)</f>
        <v>406000</v>
      </c>
      <c r="C504" s="47">
        <f>VLOOKUP(A504,'State ID'!$A$2:$B$713,2,FALSE)</f>
        <v>4460</v>
      </c>
      <c r="D504" s="147" t="s">
        <v>327</v>
      </c>
      <c r="E504" s="47" t="s">
        <v>284</v>
      </c>
      <c r="F504" s="382">
        <f>IFERROR(VLOOKUP($B504,'update_Formula counts'!$D$7:$R$234,'update_Formula counts'!F$5,0),0)</f>
        <v>39</v>
      </c>
      <c r="G504" s="382">
        <f>IFERROR(VLOOKUP($B504,'update_Formula counts'!$D$7:$R$234,'update_Formula counts'!G$5,0),0)</f>
        <v>0</v>
      </c>
      <c r="H504" s="382">
        <f>IFERROR(VLOOKUP($B504,'update_Formula counts'!$D$7:$R$234,'update_Formula counts'!H$5,0),0)</f>
        <v>0</v>
      </c>
      <c r="I504" s="382">
        <f>IFERROR(VLOOKUP($B504,'update_Formula counts'!$D$7:$R$234,'update_Formula counts'!I$5,0),0)</f>
        <v>1</v>
      </c>
      <c r="J504" s="382">
        <f>IFERROR(VLOOKUP($B504,'update_Formula counts'!$D$7:$R$234,'update_Formula counts'!J$5,0),0)</f>
        <v>0</v>
      </c>
      <c r="K504" s="382">
        <f t="shared" si="739"/>
        <v>39</v>
      </c>
      <c r="L504" s="444">
        <f>IFERROR(VLOOKUP($B504,'update_Formula counts'!$D$7:$R$234,'update_Formula counts'!L$5,0),0)</f>
        <v>126</v>
      </c>
      <c r="M504" s="445">
        <f>IFERROR(VLOOKUP($B504,'update_Formula counts'!$D$7:$R$234,'update_Formula counts'!K$5,0),0)</f>
        <v>40</v>
      </c>
      <c r="N504" s="446">
        <f>IFERROR(VLOOKUP($B504,'update_Formula counts'!$D$7:$R$234,'update_Formula counts'!M$5,0),0)</f>
        <v>0.31746031746031744</v>
      </c>
      <c r="O504" s="137">
        <f>VLOOKUP($C504,'Final SEA Counts'!$A$2:$F$709,5,FALSE)</f>
        <v>84</v>
      </c>
      <c r="P504" s="208">
        <f>VLOOKUP($C504,'Final SEA Counts'!$A$2:$F$709,6,FALSE)</f>
        <v>76</v>
      </c>
      <c r="Q504" s="748">
        <f t="shared" si="740"/>
        <v>-1.2983981975281813</v>
      </c>
      <c r="R504" s="444">
        <f t="shared" si="741"/>
        <v>122.71794871794872</v>
      </c>
      <c r="S504" s="445">
        <f t="shared" si="742"/>
        <v>38.701601802471821</v>
      </c>
      <c r="T504" s="229">
        <f t="shared" si="743"/>
        <v>0.31537034481746784</v>
      </c>
      <c r="U504" s="261">
        <f>VLOOKUP($B504,update_Allocation!$D$8:$Q$235,update_Allocation!K$239,0)</f>
        <v>27532.306307151204</v>
      </c>
      <c r="V504" s="262">
        <f>VLOOKUP($B504,update_Allocation!$D$8:$Q$235,update_Allocation!L$239,0)</f>
        <v>6302.1721351086398</v>
      </c>
      <c r="W504" s="262">
        <f>VLOOKUP($B504,update_Allocation!$D$8:$Q$235,update_Allocation!M$239,0)</f>
        <v>18715.075528613583</v>
      </c>
      <c r="X504" s="262">
        <f>VLOOKUP($B504,update_Allocation!$D$8:$Q$235,update_Allocation!N$239,0)</f>
        <v>20459.786125287515</v>
      </c>
      <c r="Y504" s="263">
        <f>VLOOKUP($B504,update_Allocation!$D$8:$Q$235,update_Allocation!O$239,0)</f>
        <v>73009.340096160944</v>
      </c>
      <c r="Z504" s="262">
        <f t="shared" si="744"/>
        <v>26628.513325171134</v>
      </c>
      <c r="AA504" s="262">
        <f t="shared" si="744"/>
        <v>6095.2930279463717</v>
      </c>
      <c r="AB504" s="262">
        <f t="shared" si="744"/>
        <v>18100.722566995017</v>
      </c>
      <c r="AC504" s="263">
        <f t="shared" si="744"/>
        <v>19788.160184962817</v>
      </c>
      <c r="AD504" s="262">
        <f t="shared" si="745"/>
        <v>26628.513325171134</v>
      </c>
      <c r="AE504" s="262">
        <f t="shared" si="746"/>
        <v>6095.2930279463717</v>
      </c>
      <c r="AF504" s="262">
        <f t="shared" si="747"/>
        <v>18100.722566995017</v>
      </c>
      <c r="AG504" s="263">
        <f t="shared" si="748"/>
        <v>19788.160184962817</v>
      </c>
      <c r="AH504" s="262">
        <f t="shared" si="749"/>
        <v>26976.80024646188</v>
      </c>
      <c r="AI504" s="262">
        <f t="shared" si="749"/>
        <v>6178.531305848267</v>
      </c>
      <c r="AJ504" s="262">
        <f t="shared" si="749"/>
        <v>18293.038785365221</v>
      </c>
      <c r="AK504" s="262">
        <f t="shared" si="749"/>
        <v>19962.652705226519</v>
      </c>
      <c r="AL504" s="263">
        <f t="shared" si="750"/>
        <v>71411.023042901885</v>
      </c>
      <c r="AM504" s="346"/>
      <c r="AN504" s="261">
        <f>IFERROR(VLOOKUP($A504,'HH &amp; SI'!$B$4:$Z$494,'HH &amp; SI'!V$503,0),0)</f>
        <v>26884.659948510707</v>
      </c>
      <c r="AO504" s="262">
        <f>IFERROR(VLOOKUP($A504,'HH &amp; SI'!$B$4:$Z$494,'HH &amp; SI'!W$503,0),0)</f>
        <v>6099.8891978063612</v>
      </c>
      <c r="AP504" s="262">
        <f>IFERROR(VLOOKUP($A504,'HH &amp; SI'!$B$4:$Z$494,'HH &amp; SI'!X$503,0),0)</f>
        <v>18259.394793201991</v>
      </c>
      <c r="AQ504" s="262">
        <f>IFERROR(VLOOKUP($A504,'HH &amp; SI'!$B$4:$Z$494,'HH &amp; SI'!Y$503,0),0)</f>
        <v>19921.311063931029</v>
      </c>
      <c r="AR504" s="263">
        <f t="shared" si="751"/>
        <v>71165.255003450089</v>
      </c>
      <c r="AS504" s="346"/>
      <c r="AT504" s="323">
        <f>IFERROR(VLOOKUP(A504,'Afton FY16 Final'!$A$5:$BV$572,'Afton FY16 Final'!$BV$587,0),0)</f>
        <v>72259.552924114949</v>
      </c>
      <c r="AU504" s="346"/>
      <c r="AV504" s="444">
        <v>0</v>
      </c>
      <c r="AW504" s="262">
        <f>IFERROR(VLOOKUP($A504,'HH &amp; SI'!$B$4:$EY$503,'HH &amp; SI'!EX$503,0),0)</f>
        <v>0</v>
      </c>
      <c r="AX504" s="262">
        <f>IFERROR(VLOOKUP($A504,'HH &amp; SI'!$B$4:$EY$503,'HH &amp; SI'!EY$503,0),0)</f>
        <v>71165.255003450089</v>
      </c>
      <c r="AY504" s="262">
        <f>AX504/$AX$582*'update_State Admin 1004(b)'!$B$30*0.01</f>
        <v>681.10261326114789</v>
      </c>
      <c r="AZ504" s="263">
        <f t="shared" si="752"/>
        <v>70484.152390188945</v>
      </c>
      <c r="BA504" s="261">
        <f t="shared" si="753"/>
        <v>704.84152390188945</v>
      </c>
      <c r="BB504" s="262">
        <f t="shared" si="754"/>
        <v>69779.310866287051</v>
      </c>
      <c r="BC504" s="341">
        <f t="shared" si="755"/>
        <v>0.96567592854563356</v>
      </c>
      <c r="BD504" s="346"/>
      <c r="BE504" s="376" t="str">
        <f>'Original Title I &amp; II'!AZ501</f>
        <v/>
      </c>
      <c r="BF504" s="243" t="str">
        <f t="shared" si="756"/>
        <v/>
      </c>
      <c r="BG504" s="263">
        <f t="shared" si="738"/>
        <v>69779.310866287051</v>
      </c>
      <c r="BI504" s="31">
        <f>IFERROR(VLOOKUP(A504,'Title II Hold Harmless'!A$1:B$439,2, FALSE),"")</f>
        <v>5745</v>
      </c>
      <c r="BJ504" s="31">
        <f t="shared" si="757"/>
        <v>6350.4018735817572</v>
      </c>
      <c r="BK504" s="31">
        <f t="shared" si="758"/>
        <v>6356.5452006574651</v>
      </c>
      <c r="BL504" s="31" t="str">
        <f t="shared" si="759"/>
        <v/>
      </c>
      <c r="BM504" s="31">
        <f t="shared" si="760"/>
        <v>6356.5452006574651</v>
      </c>
      <c r="BN504" s="200"/>
      <c r="BP504" s="295" t="s">
        <v>1447</v>
      </c>
      <c r="BQ504" s="296" t="str">
        <f t="shared" si="682"/>
        <v>Y</v>
      </c>
      <c r="BR504" s="297" t="s">
        <v>1448</v>
      </c>
      <c r="BT504" s="295" t="str">
        <f t="shared" si="683"/>
        <v>Y</v>
      </c>
      <c r="BU504" s="296" t="str">
        <f t="shared" si="761"/>
        <v>Y</v>
      </c>
      <c r="BV504" s="296" t="str">
        <f t="shared" si="762"/>
        <v>Y</v>
      </c>
      <c r="BW504" s="297" t="str">
        <f t="shared" si="684"/>
        <v>Y</v>
      </c>
      <c r="BY504" s="352">
        <f t="shared" si="685"/>
        <v>0</v>
      </c>
      <c r="BZ504" s="353">
        <f t="shared" si="686"/>
        <v>0</v>
      </c>
      <c r="CA504" s="353">
        <f t="shared" si="687"/>
        <v>0.95</v>
      </c>
      <c r="CB504" s="354">
        <f t="shared" si="688"/>
        <v>0.95</v>
      </c>
      <c r="CD504" s="311">
        <f t="shared" si="689"/>
        <v>496</v>
      </c>
    </row>
    <row r="505" spans="1:82" outlineLevel="1" x14ac:dyDescent="0.3">
      <c r="A505" s="1">
        <v>120520000</v>
      </c>
      <c r="B505" s="47">
        <f>VLOOKUP(C505,'NCES ID'!$A$2:$B$3136,2,FALSE)</f>
        <v>406030</v>
      </c>
      <c r="C505" s="47">
        <f>VLOOKUP(A505,'State ID'!$A$2:$B$713,2,FALSE)</f>
        <v>4462</v>
      </c>
      <c r="D505" s="147" t="s">
        <v>328</v>
      </c>
      <c r="E505" s="47" t="s">
        <v>284</v>
      </c>
      <c r="F505" s="382">
        <f>IFERROR(VLOOKUP($B505,'update_Formula counts'!$D$7:$R$234,'update_Formula counts'!F$5,0),0)</f>
        <v>21</v>
      </c>
      <c r="G505" s="382">
        <f>IFERROR(VLOOKUP($B505,'update_Formula counts'!$D$7:$R$234,'update_Formula counts'!G$5,0),0)</f>
        <v>0</v>
      </c>
      <c r="H505" s="382">
        <f>IFERROR(VLOOKUP($B505,'update_Formula counts'!$D$7:$R$234,'update_Formula counts'!H$5,0),0)</f>
        <v>0</v>
      </c>
      <c r="I505" s="382">
        <f>IFERROR(VLOOKUP($B505,'update_Formula counts'!$D$7:$R$234,'update_Formula counts'!I$5,0),0)</f>
        <v>0</v>
      </c>
      <c r="J505" s="382">
        <f>IFERROR(VLOOKUP($B505,'update_Formula counts'!$D$7:$R$234,'update_Formula counts'!J$5,0),0)</f>
        <v>0</v>
      </c>
      <c r="K505" s="382">
        <f t="shared" si="739"/>
        <v>21</v>
      </c>
      <c r="L505" s="444">
        <f>IFERROR(VLOOKUP($B505,'update_Formula counts'!$D$7:$R$234,'update_Formula counts'!L$5,0),0)</f>
        <v>129</v>
      </c>
      <c r="M505" s="445">
        <f>IFERROR(VLOOKUP($B505,'update_Formula counts'!$D$7:$R$234,'update_Formula counts'!K$5,0),0)</f>
        <v>21</v>
      </c>
      <c r="N505" s="446">
        <f>IFERROR(VLOOKUP($B505,'update_Formula counts'!$D$7:$R$234,'update_Formula counts'!M$5,0),0)</f>
        <v>0.16279069767441862</v>
      </c>
      <c r="O505" s="137">
        <f>VLOOKUP($C505,'Final SEA Counts'!$A$2:$F$709,5,FALSE)</f>
        <v>48</v>
      </c>
      <c r="P505" s="208">
        <f>VLOOKUP($C505,'Final SEA Counts'!$A$2:$F$709,6,FALSE)</f>
        <v>36</v>
      </c>
      <c r="Q505" s="748">
        <f t="shared" si="740"/>
        <v>-0.69913749097671307</v>
      </c>
      <c r="R505" s="444">
        <f t="shared" si="741"/>
        <v>125.63980463980464</v>
      </c>
      <c r="S505" s="445">
        <f t="shared" si="742"/>
        <v>20.300862509023286</v>
      </c>
      <c r="T505" s="229">
        <f t="shared" si="743"/>
        <v>0.16157986370023103</v>
      </c>
      <c r="U505" s="261">
        <f>VLOOKUP($B505,update_Allocation!$D$8:$Q$235,update_Allocation!K$239,0)</f>
        <v>12127.440319667139</v>
      </c>
      <c r="V505" s="262">
        <f>VLOOKUP($B505,update_Allocation!$D$8:$Q$235,update_Allocation!L$239,0)</f>
        <v>2871.6311301334576</v>
      </c>
      <c r="W505" s="262">
        <f>VLOOKUP($B505,update_Allocation!$D$8:$Q$235,update_Allocation!M$239,0)</f>
        <v>4432.5512010169514</v>
      </c>
      <c r="X505" s="262">
        <f>VLOOKUP($B505,update_Allocation!$D$8:$Q$235,update_Allocation!N$239,0)</f>
        <v>3508.0782640729781</v>
      </c>
      <c r="Y505" s="263">
        <f>VLOOKUP($B505,update_Allocation!$D$8:$Q$235,update_Allocation!O$239,0)</f>
        <v>22939.700914890524</v>
      </c>
      <c r="Z505" s="262">
        <f t="shared" si="744"/>
        <v>11729.337257467429</v>
      </c>
      <c r="AA505" s="262">
        <f t="shared" si="744"/>
        <v>2777.3651419050761</v>
      </c>
      <c r="AB505" s="262">
        <f t="shared" si="744"/>
        <v>4287.0454586699725</v>
      </c>
      <c r="AC505" s="263">
        <f t="shared" si="744"/>
        <v>3392.9198578016349</v>
      </c>
      <c r="AD505" s="262">
        <f t="shared" si="745"/>
        <v>11729.337257467429</v>
      </c>
      <c r="AE505" s="262">
        <f t="shared" si="746"/>
        <v>2777.3651419050761</v>
      </c>
      <c r="AF505" s="262">
        <f t="shared" si="747"/>
        <v>4287.0454586699725</v>
      </c>
      <c r="AG505" s="263">
        <f t="shared" si="748"/>
        <v>3392.9198578016349</v>
      </c>
      <c r="AH505" s="262">
        <f t="shared" si="749"/>
        <v>12077.624178758177</v>
      </c>
      <c r="AI505" s="262">
        <f t="shared" si="749"/>
        <v>2860.6034198069715</v>
      </c>
      <c r="AJ505" s="262">
        <f t="shared" si="749"/>
        <v>4479.3616770401786</v>
      </c>
      <c r="AK505" s="262">
        <f t="shared" si="749"/>
        <v>3567.4123780653363</v>
      </c>
      <c r="AL505" s="263">
        <f t="shared" si="750"/>
        <v>22985.001653670664</v>
      </c>
      <c r="AM505" s="346"/>
      <c r="AN505" s="261">
        <f>IFERROR(VLOOKUP($A505,'HH &amp; SI'!$B$4:$Z$494,'HH &amp; SI'!V$503,0),0)</f>
        <v>11966.051905425993</v>
      </c>
      <c r="AO505" s="262">
        <f>IFERROR(VLOOKUP($A505,'HH &amp; SI'!$B$4:$Z$494,'HH &amp; SI'!W$503,0),0)</f>
        <v>2807.7825596151029</v>
      </c>
      <c r="AP505" s="262">
        <f>IFERROR(VLOOKUP($A505,'HH &amp; SI'!$B$4:$Z$494,'HH &amp; SI'!X$503,0),0)</f>
        <v>4438.623631488138</v>
      </c>
      <c r="AQ505" s="262">
        <f>IFERROR(VLOOKUP($A505,'HH &amp; SI'!$B$4:$Z$494,'HH &amp; SI'!Y$503,0),0)</f>
        <v>3528.105915329365</v>
      </c>
      <c r="AR505" s="263">
        <f t="shared" si="751"/>
        <v>22740.564011858598</v>
      </c>
      <c r="AS505" s="346"/>
      <c r="AT505" s="323">
        <f>IFERROR(VLOOKUP(A505,'Afton FY16 Final'!$A$5:$BV$572,'Afton FY16 Final'!$BV$587,0),0)</f>
        <v>24732.043263994881</v>
      </c>
      <c r="AU505" s="346"/>
      <c r="AV505" s="444">
        <v>0</v>
      </c>
      <c r="AW505" s="262">
        <f>IFERROR(VLOOKUP($A505,'HH &amp; SI'!$B$4:$EY$503,'HH &amp; SI'!EX$503,0),0)</f>
        <v>0</v>
      </c>
      <c r="AX505" s="262">
        <f>IFERROR(VLOOKUP($A505,'HH &amp; SI'!$B$4:$EY$503,'HH &amp; SI'!EY$503,0),0)</f>
        <v>22740.564011858598</v>
      </c>
      <c r="AY505" s="262">
        <f>AX505/$AX$582*'update_State Admin 1004(b)'!$B$30*0.01</f>
        <v>217.64353369855016</v>
      </c>
      <c r="AZ505" s="263">
        <f t="shared" si="752"/>
        <v>22522.920478160049</v>
      </c>
      <c r="BA505" s="261">
        <f t="shared" si="753"/>
        <v>225.22920478160049</v>
      </c>
      <c r="BB505" s="262">
        <f t="shared" si="754"/>
        <v>22297.691273378448</v>
      </c>
      <c r="BC505" s="341">
        <f t="shared" si="755"/>
        <v>0.90157093109406039</v>
      </c>
      <c r="BD505" s="346"/>
      <c r="BE505" s="376" t="str">
        <f>'Original Title I &amp; II'!AZ502</f>
        <v/>
      </c>
      <c r="BF505" s="243" t="str">
        <f t="shared" si="756"/>
        <v/>
      </c>
      <c r="BG505" s="263">
        <f t="shared" si="738"/>
        <v>22297.691273378448</v>
      </c>
      <c r="BI505" s="31">
        <f>IFERROR(VLOOKUP(A505,'Title II Hold Harmless'!A$1:B$439,2, FALSE),"")</f>
        <v>2942</v>
      </c>
      <c r="BJ505" s="31">
        <f t="shared" si="757"/>
        <v>3308.8712833626978</v>
      </c>
      <c r="BK505" s="31">
        <f t="shared" si="758"/>
        <v>3312.0722585056533</v>
      </c>
      <c r="BL505" s="31" t="str">
        <f t="shared" si="759"/>
        <v/>
      </c>
      <c r="BM505" s="31">
        <f t="shared" si="760"/>
        <v>3312.0722585056533</v>
      </c>
      <c r="BN505" s="200"/>
      <c r="BP505" s="295" t="s">
        <v>1447</v>
      </c>
      <c r="BQ505" s="296" t="str">
        <f t="shared" si="682"/>
        <v>Y</v>
      </c>
      <c r="BR505" s="297" t="s">
        <v>1448</v>
      </c>
      <c r="BT505" s="295" t="str">
        <f t="shared" si="683"/>
        <v>Y</v>
      </c>
      <c r="BU505" s="296" t="str">
        <f t="shared" si="761"/>
        <v>Y</v>
      </c>
      <c r="BV505" s="296" t="str">
        <f t="shared" si="762"/>
        <v>Y</v>
      </c>
      <c r="BW505" s="297" t="str">
        <f t="shared" si="684"/>
        <v>Y</v>
      </c>
      <c r="BY505" s="352">
        <f t="shared" si="685"/>
        <v>0</v>
      </c>
      <c r="BZ505" s="353">
        <f t="shared" si="686"/>
        <v>0.9</v>
      </c>
      <c r="CA505" s="353">
        <f t="shared" si="687"/>
        <v>0</v>
      </c>
      <c r="CB505" s="354">
        <f t="shared" si="688"/>
        <v>0.9</v>
      </c>
      <c r="CD505" s="311">
        <f t="shared" si="689"/>
        <v>497</v>
      </c>
    </row>
    <row r="506" spans="1:82" outlineLevel="1" x14ac:dyDescent="0.3">
      <c r="A506" s="1">
        <v>120328000</v>
      </c>
      <c r="B506" s="47">
        <f>VLOOKUP(C506,'NCES ID'!$A$2:$B$3136,2,FALSE)</f>
        <v>407500</v>
      </c>
      <c r="C506" s="47">
        <f>VLOOKUP(A506,'State ID'!$A$2:$B$713,2,FALSE)</f>
        <v>4459</v>
      </c>
      <c r="D506" s="147" t="s">
        <v>375</v>
      </c>
      <c r="E506" s="47" t="s">
        <v>284</v>
      </c>
      <c r="F506" s="382">
        <f>IFERROR(VLOOKUP($B506,'update_Formula counts'!$D$7:$R$234,'update_Formula counts'!F$5,0),0)</f>
        <v>116</v>
      </c>
      <c r="G506" s="382">
        <f>IFERROR(VLOOKUP($B506,'update_Formula counts'!$D$7:$R$234,'update_Formula counts'!G$5,0),0)</f>
        <v>0</v>
      </c>
      <c r="H506" s="382">
        <f>IFERROR(VLOOKUP($B506,'update_Formula counts'!$D$7:$R$234,'update_Formula counts'!H$5,0),0)</f>
        <v>0</v>
      </c>
      <c r="I506" s="382">
        <f>IFERROR(VLOOKUP($B506,'update_Formula counts'!$D$7:$R$234,'update_Formula counts'!I$5,0),0)</f>
        <v>2</v>
      </c>
      <c r="J506" s="382">
        <f>IFERROR(VLOOKUP($B506,'update_Formula counts'!$D$7:$R$234,'update_Formula counts'!J$5,0),0)</f>
        <v>0</v>
      </c>
      <c r="K506" s="382">
        <f t="shared" si="739"/>
        <v>116</v>
      </c>
      <c r="L506" s="444">
        <f>IFERROR(VLOOKUP($B506,'update_Formula counts'!$D$7:$R$234,'update_Formula counts'!L$5,0),0)</f>
        <v>420</v>
      </c>
      <c r="M506" s="445">
        <f>IFERROR(VLOOKUP($B506,'update_Formula counts'!$D$7:$R$234,'update_Formula counts'!K$5,0),0)</f>
        <v>118</v>
      </c>
      <c r="N506" s="446">
        <f>IFERROR(VLOOKUP($B506,'update_Formula counts'!$D$7:$R$234,'update_Formula counts'!M$5,0),0)</f>
        <v>0.28095238095238095</v>
      </c>
      <c r="O506" s="137">
        <f>VLOOKUP($C506,'Final SEA Counts'!$A$2:$F$709,5,FALSE)</f>
        <v>225</v>
      </c>
      <c r="P506" s="208">
        <f>VLOOKUP($C506,'Final SEA Counts'!$A$2:$F$709,6,FALSE)</f>
        <v>180</v>
      </c>
      <c r="Q506" s="748">
        <f t="shared" si="740"/>
        <v>-3.8619023311094622</v>
      </c>
      <c r="R506" s="444">
        <f t="shared" si="741"/>
        <v>409.05982905982904</v>
      </c>
      <c r="S506" s="445">
        <f t="shared" si="742"/>
        <v>114.13809766889054</v>
      </c>
      <c r="T506" s="229">
        <f t="shared" si="743"/>
        <v>0.27902543725992884</v>
      </c>
      <c r="U506" s="261">
        <f>VLOOKUP($B506,update_Allocation!$D$8:$Q$235,update_Allocation!K$239,0)</f>
        <v>59779.025370725387</v>
      </c>
      <c r="V506" s="262">
        <f>VLOOKUP($B506,update_Allocation!$D$8:$Q$235,update_Allocation!L$239,0)</f>
        <v>13805.763390087563</v>
      </c>
      <c r="W506" s="262">
        <f>VLOOKUP($B506,update_Allocation!$D$8:$Q$235,update_Allocation!M$239,0)</f>
        <v>30775.761571274474</v>
      </c>
      <c r="X506" s="262">
        <f>VLOOKUP($B506,update_Allocation!$D$8:$Q$235,update_Allocation!N$239,0)</f>
        <v>22807.978124717542</v>
      </c>
      <c r="Y506" s="263">
        <f>VLOOKUP($B506,update_Allocation!$D$8:$Q$235,update_Allocation!O$239,0)</f>
        <v>127168.52845680497</v>
      </c>
      <c r="Z506" s="262">
        <f t="shared" si="744"/>
        <v>57816.681097894274</v>
      </c>
      <c r="AA506" s="262">
        <f t="shared" si="744"/>
        <v>13352.566628303839</v>
      </c>
      <c r="AB506" s="262">
        <f t="shared" si="744"/>
        <v>29765.496865771573</v>
      </c>
      <c r="AC506" s="263">
        <f t="shared" si="744"/>
        <v>22059.268941683338</v>
      </c>
      <c r="AD506" s="262">
        <f t="shared" si="745"/>
        <v>57816.681097894274</v>
      </c>
      <c r="AE506" s="262">
        <f t="shared" si="746"/>
        <v>13352.566628303839</v>
      </c>
      <c r="AF506" s="262">
        <f t="shared" si="747"/>
        <v>29765.496865771573</v>
      </c>
      <c r="AG506" s="263">
        <f t="shared" si="748"/>
        <v>22059.268941683338</v>
      </c>
      <c r="AH506" s="262">
        <f t="shared" si="749"/>
        <v>58164.96801918502</v>
      </c>
      <c r="AI506" s="262">
        <f t="shared" si="749"/>
        <v>13435.804906205734</v>
      </c>
      <c r="AJ506" s="262">
        <f t="shared" si="749"/>
        <v>29957.813084141777</v>
      </c>
      <c r="AK506" s="262">
        <f t="shared" si="749"/>
        <v>22233.761461947041</v>
      </c>
      <c r="AL506" s="263">
        <f t="shared" si="750"/>
        <v>123792.34747147957</v>
      </c>
      <c r="AM506" s="346"/>
      <c r="AN506" s="261">
        <f>IFERROR(VLOOKUP($A506,'HH &amp; SI'!$B$4:$Z$494,'HH &amp; SI'!V$503,0),0)</f>
        <v>58027.563678019324</v>
      </c>
      <c r="AO506" s="262">
        <f>IFERROR(VLOOKUP($A506,'HH &amp; SI'!$B$4:$Z$494,'HH &amp; SI'!W$503,0),0)</f>
        <v>13363.711189221305</v>
      </c>
      <c r="AP506" s="262">
        <f>IFERROR(VLOOKUP($A506,'HH &amp; SI'!$B$4:$Z$494,'HH &amp; SI'!X$503,0),0)</f>
        <v>29919.777203083002</v>
      </c>
      <c r="AQ506" s="262">
        <f>IFERROR(VLOOKUP($A506,'HH &amp; SI'!$B$4:$Z$494,'HH &amp; SI'!Y$503,0),0)</f>
        <v>22178.561718684032</v>
      </c>
      <c r="AR506" s="263">
        <f t="shared" si="751"/>
        <v>123489.61378900768</v>
      </c>
      <c r="AS506" s="346"/>
      <c r="AT506" s="323">
        <f>IFERROR(VLOOKUP(A506,'Afton FY16 Final'!$A$5:$BV$572,'Afton FY16 Final'!$BV$587,0),0)</f>
        <v>134509.00368217006</v>
      </c>
      <c r="AU506" s="346"/>
      <c r="AV506" s="444">
        <v>0</v>
      </c>
      <c r="AW506" s="262">
        <f>IFERROR(VLOOKUP($A506,'HH &amp; SI'!$B$4:$EY$503,'HH &amp; SI'!EX$503,0),0)</f>
        <v>0</v>
      </c>
      <c r="AX506" s="262">
        <f>IFERROR(VLOOKUP($A506,'HH &amp; SI'!$B$4:$EY$503,'HH &amp; SI'!EY$503,0),0)</f>
        <v>123489.61378900768</v>
      </c>
      <c r="AY506" s="262">
        <f>AX506/$AX$582*'update_State Admin 1004(b)'!$B$30*0.01</f>
        <v>1181.8843150105401</v>
      </c>
      <c r="AZ506" s="263">
        <f t="shared" si="752"/>
        <v>122307.72947399714</v>
      </c>
      <c r="BA506" s="261">
        <f t="shared" si="753"/>
        <v>1223.0772947399714</v>
      </c>
      <c r="BB506" s="262">
        <f t="shared" si="754"/>
        <v>121084.65217925717</v>
      </c>
      <c r="BC506" s="341">
        <f t="shared" si="755"/>
        <v>0.90019737612038853</v>
      </c>
      <c r="BD506" s="346"/>
      <c r="BE506" s="376" t="str">
        <f>'Original Title I &amp; II'!AZ503</f>
        <v/>
      </c>
      <c r="BF506" s="243" t="str">
        <f t="shared" si="756"/>
        <v/>
      </c>
      <c r="BG506" s="263">
        <f t="shared" si="738"/>
        <v>121084.65217925717</v>
      </c>
      <c r="BI506" s="31">
        <f>IFERROR(VLOOKUP(A506,'Title II Hold Harmless'!A$1:B$439,2, FALSE),"")</f>
        <v>3955</v>
      </c>
      <c r="BJ506" s="31">
        <f t="shared" si="757"/>
        <v>5778.3807836149963</v>
      </c>
      <c r="BK506" s="31">
        <f t="shared" si="758"/>
        <v>5783.9707421449293</v>
      </c>
      <c r="BL506" s="31" t="str">
        <f t="shared" si="759"/>
        <v/>
      </c>
      <c r="BM506" s="31">
        <f t="shared" si="760"/>
        <v>5783.9707421449293</v>
      </c>
      <c r="BN506" s="200"/>
      <c r="BP506" s="295" t="s">
        <v>1447</v>
      </c>
      <c r="BQ506" s="296" t="str">
        <f t="shared" si="682"/>
        <v>Y</v>
      </c>
      <c r="BR506" s="297" t="s">
        <v>1448</v>
      </c>
      <c r="BT506" s="295" t="str">
        <f t="shared" si="683"/>
        <v>Y</v>
      </c>
      <c r="BU506" s="296" t="str">
        <f t="shared" si="761"/>
        <v>Y</v>
      </c>
      <c r="BV506" s="296" t="str">
        <f t="shared" si="762"/>
        <v>Y</v>
      </c>
      <c r="BW506" s="297" t="str">
        <f t="shared" si="684"/>
        <v>Y</v>
      </c>
      <c r="BY506" s="352">
        <f t="shared" si="685"/>
        <v>0</v>
      </c>
      <c r="BZ506" s="353">
        <f t="shared" si="686"/>
        <v>0.9</v>
      </c>
      <c r="CA506" s="353">
        <f t="shared" si="687"/>
        <v>0</v>
      </c>
      <c r="CB506" s="354">
        <f t="shared" si="688"/>
        <v>0.9</v>
      </c>
      <c r="CD506" s="311">
        <f t="shared" si="689"/>
        <v>498</v>
      </c>
    </row>
    <row r="507" spans="1:82" outlineLevel="1" x14ac:dyDescent="0.3">
      <c r="A507" s="1">
        <v>120235000</v>
      </c>
      <c r="B507" s="47">
        <f>VLOOKUP(C507,'NCES ID'!$A$2:$B$3136,2,FALSE)</f>
        <v>407520</v>
      </c>
      <c r="C507" s="47">
        <f>VLOOKUP(A507,'State ID'!$A$2:$B$713,2,FALSE)</f>
        <v>4458</v>
      </c>
      <c r="D507" s="147" t="s">
        <v>376</v>
      </c>
      <c r="E507" s="47" t="s">
        <v>284</v>
      </c>
      <c r="F507" s="382">
        <f>IFERROR(VLOOKUP($B507,'update_Formula counts'!$D$7:$R$234,'update_Formula counts'!F$5,0),0)</f>
        <v>976</v>
      </c>
      <c r="G507" s="382">
        <f>IFERROR(VLOOKUP($B507,'update_Formula counts'!$D$7:$R$234,'update_Formula counts'!G$5,0),0)</f>
        <v>0</v>
      </c>
      <c r="H507" s="382">
        <f>IFERROR(VLOOKUP($B507,'update_Formula counts'!$D$7:$R$234,'update_Formula counts'!H$5,0),0)</f>
        <v>0</v>
      </c>
      <c r="I507" s="382">
        <f>IFERROR(VLOOKUP($B507,'update_Formula counts'!$D$7:$R$234,'update_Formula counts'!I$5,0),0)</f>
        <v>14</v>
      </c>
      <c r="J507" s="382">
        <f>IFERROR(VLOOKUP($B507,'update_Formula counts'!$D$7:$R$234,'update_Formula counts'!J$5,0),0)</f>
        <v>0</v>
      </c>
      <c r="K507" s="382">
        <f t="shared" si="739"/>
        <v>976</v>
      </c>
      <c r="L507" s="444">
        <f>IFERROR(VLOOKUP($B507,'update_Formula counts'!$D$7:$R$234,'update_Formula counts'!L$5,0),0)</f>
        <v>4284</v>
      </c>
      <c r="M507" s="445">
        <f>IFERROR(VLOOKUP($B507,'update_Formula counts'!$D$7:$R$234,'update_Formula counts'!K$5,0),0)</f>
        <v>990</v>
      </c>
      <c r="N507" s="446">
        <f>IFERROR(VLOOKUP($B507,'update_Formula counts'!$D$7:$R$234,'update_Formula counts'!M$5,0),0)</f>
        <v>0.23109243697478993</v>
      </c>
      <c r="O507" s="137">
        <f>VLOOKUP($C507,'Final SEA Counts'!$A$2:$F$709,5,FALSE)</f>
        <v>3085</v>
      </c>
      <c r="P507" s="208">
        <f>VLOOKUP($C507,'Final SEA Counts'!$A$2:$F$709,6,FALSE)</f>
        <v>2310</v>
      </c>
      <c r="Q507" s="748">
        <f t="shared" si="740"/>
        <v>-32.493247199679615</v>
      </c>
      <c r="R507" s="444">
        <f t="shared" si="741"/>
        <v>4172.4102564102568</v>
      </c>
      <c r="S507" s="445">
        <f t="shared" si="742"/>
        <v>957.50675280032033</v>
      </c>
      <c r="T507" s="229">
        <f t="shared" si="743"/>
        <v>0.22948528403439253</v>
      </c>
      <c r="U507" s="261">
        <f>VLOOKUP($B507,update_Allocation!$D$8:$Q$235,update_Allocation!K$239,0)</f>
        <v>488727.36474165512</v>
      </c>
      <c r="V507" s="262">
        <f>VLOOKUP($B507,update_Allocation!$D$8:$Q$235,update_Allocation!L$239,0)</f>
        <v>112869.92917734208</v>
      </c>
      <c r="W507" s="262">
        <f>VLOOKUP($B507,update_Allocation!$D$8:$Q$235,update_Allocation!M$239,0)</f>
        <v>229901.84545707988</v>
      </c>
      <c r="X507" s="262">
        <f>VLOOKUP($B507,update_Allocation!$D$8:$Q$235,update_Allocation!N$239,0)</f>
        <v>163003.66627564994</v>
      </c>
      <c r="Y507" s="263">
        <f>VLOOKUP($B507,update_Allocation!$D$8:$Q$235,update_Allocation!O$239,0)</f>
        <v>994502.80565172702</v>
      </c>
      <c r="Z507" s="262">
        <f t="shared" si="744"/>
        <v>472684.0897095016</v>
      </c>
      <c r="AA507" s="262">
        <f t="shared" si="744"/>
        <v>109164.78916004636</v>
      </c>
      <c r="AB507" s="262">
        <f t="shared" si="744"/>
        <v>222354.94138917018</v>
      </c>
      <c r="AC507" s="263">
        <f t="shared" si="744"/>
        <v>157652.80434735995</v>
      </c>
      <c r="AD507" s="262">
        <f t="shared" si="745"/>
        <v>472684.0897095016</v>
      </c>
      <c r="AE507" s="262">
        <f t="shared" si="746"/>
        <v>109164.78916004636</v>
      </c>
      <c r="AF507" s="262">
        <f t="shared" si="747"/>
        <v>222354.94138917018</v>
      </c>
      <c r="AG507" s="263">
        <f t="shared" si="748"/>
        <v>157652.80434735995</v>
      </c>
      <c r="AH507" s="262">
        <f t="shared" si="749"/>
        <v>473032.37663079234</v>
      </c>
      <c r="AI507" s="262">
        <f t="shared" si="749"/>
        <v>109248.02743794826</v>
      </c>
      <c r="AJ507" s="262">
        <f t="shared" si="749"/>
        <v>222547.25760754038</v>
      </c>
      <c r="AK507" s="262">
        <f t="shared" si="749"/>
        <v>157827.29686762366</v>
      </c>
      <c r="AL507" s="263">
        <f t="shared" si="750"/>
        <v>962654.95854390459</v>
      </c>
      <c r="AM507" s="346"/>
      <c r="AN507" s="261">
        <f>IFERROR(VLOOKUP($A507,'HH &amp; SI'!$B$4:$Z$494,'HH &amp; SI'!V$503,0),0)</f>
        <v>473345.07447299728</v>
      </c>
      <c r="AO507" s="262">
        <f>IFERROR(VLOOKUP($A507,'HH &amp; SI'!$B$4:$Z$494,'HH &amp; SI'!W$503,0),0)</f>
        <v>109128.25289483191</v>
      </c>
      <c r="AP507" s="262">
        <f>IFERROR(VLOOKUP($A507,'HH &amp; SI'!$B$4:$Z$494,'HH &amp; SI'!X$503,0),0)</f>
        <v>222678.32065968131</v>
      </c>
      <c r="AQ507" s="262">
        <f>IFERROR(VLOOKUP($A507,'HH &amp; SI'!$B$4:$Z$494,'HH &amp; SI'!Y$503,0),0)</f>
        <v>158118.12811771024</v>
      </c>
      <c r="AR507" s="263">
        <f t="shared" si="751"/>
        <v>963269.77614522073</v>
      </c>
      <c r="AS507" s="346"/>
      <c r="AT507" s="323">
        <f>IFERROR(VLOOKUP(A507,'Afton FY16 Final'!$A$5:$BV$572,'Afton FY16 Final'!$BV$587,0),0)</f>
        <v>1049225.5493471636</v>
      </c>
      <c r="AU507" s="346"/>
      <c r="AV507" s="444">
        <v>0</v>
      </c>
      <c r="AW507" s="262">
        <f>IFERROR(VLOOKUP($A507,'HH &amp; SI'!$B$4:$EY$503,'HH &amp; SI'!EX$503,0),0)</f>
        <v>0</v>
      </c>
      <c r="AX507" s="262">
        <f>IFERROR(VLOOKUP($A507,'HH &amp; SI'!$B$4:$EY$503,'HH &amp; SI'!EY$503,0),0)</f>
        <v>963269.77614522073</v>
      </c>
      <c r="AY507" s="262">
        <f>AX507/$AX$582*'update_State Admin 1004(b)'!$B$30*0.01</f>
        <v>9219.1837403826321</v>
      </c>
      <c r="AZ507" s="263">
        <f t="shared" si="752"/>
        <v>954050.59240483807</v>
      </c>
      <c r="BA507" s="261">
        <f t="shared" si="753"/>
        <v>9540.5059240483806</v>
      </c>
      <c r="BB507" s="262">
        <f t="shared" si="754"/>
        <v>944510.0864807897</v>
      </c>
      <c r="BC507" s="341">
        <f t="shared" si="755"/>
        <v>0.9001973761203883</v>
      </c>
      <c r="BD507" s="346"/>
      <c r="BE507" s="376" t="str">
        <f>'Original Title I &amp; II'!AZ504</f>
        <v/>
      </c>
      <c r="BF507" s="243" t="str">
        <f t="shared" si="756"/>
        <v/>
      </c>
      <c r="BG507" s="263">
        <f t="shared" si="738"/>
        <v>944510.0864807897</v>
      </c>
      <c r="BI507" s="31">
        <f>IFERROR(VLOOKUP(A507,'Title II Hold Harmless'!A$1:B$439,2, FALSE),"")</f>
        <v>106554</v>
      </c>
      <c r="BJ507" s="31">
        <f t="shared" si="757"/>
        <v>122446.57239291165</v>
      </c>
      <c r="BK507" s="31">
        <f t="shared" si="758"/>
        <v>122565.02621024223</v>
      </c>
      <c r="BL507" s="31" t="str">
        <f t="shared" si="759"/>
        <v/>
      </c>
      <c r="BM507" s="31">
        <f t="shared" si="760"/>
        <v>122565.02621024223</v>
      </c>
      <c r="BN507" s="200"/>
      <c r="BP507" s="295" t="s">
        <v>1447</v>
      </c>
      <c r="BQ507" s="296" t="str">
        <f t="shared" si="682"/>
        <v>Y</v>
      </c>
      <c r="BR507" s="297" t="s">
        <v>1448</v>
      </c>
      <c r="BT507" s="295" t="str">
        <f t="shared" si="683"/>
        <v>Y</v>
      </c>
      <c r="BU507" s="296" t="str">
        <f t="shared" si="761"/>
        <v>Y</v>
      </c>
      <c r="BV507" s="296" t="str">
        <f t="shared" si="762"/>
        <v>Y</v>
      </c>
      <c r="BW507" s="297" t="str">
        <f t="shared" si="684"/>
        <v>Y</v>
      </c>
      <c r="BY507" s="352">
        <f t="shared" si="685"/>
        <v>0</v>
      </c>
      <c r="BZ507" s="353">
        <f t="shared" si="686"/>
        <v>0.9</v>
      </c>
      <c r="CA507" s="353">
        <f t="shared" si="687"/>
        <v>0</v>
      </c>
      <c r="CB507" s="354">
        <f t="shared" si="688"/>
        <v>0.9</v>
      </c>
      <c r="CD507" s="311">
        <f t="shared" si="689"/>
        <v>499</v>
      </c>
    </row>
    <row r="508" spans="1:82" outlineLevel="1" x14ac:dyDescent="0.3">
      <c r="A508" s="1">
        <v>120201000</v>
      </c>
      <c r="B508" s="47">
        <f>VLOOKUP(C508,'NCES ID'!$A$2:$B$3136,2,FALSE)</f>
        <v>405530</v>
      </c>
      <c r="C508" s="47">
        <f>VLOOKUP(A508,'State ID'!$A$2:$B$713,2,FALSE)</f>
        <v>4457</v>
      </c>
      <c r="D508" s="147" t="s">
        <v>306</v>
      </c>
      <c r="E508" s="47" t="s">
        <v>284</v>
      </c>
      <c r="F508" s="382">
        <f>IFERROR(VLOOKUP($B508,'update_Formula counts'!$D$7:$R$234,'update_Formula counts'!F$5,0),0)</f>
        <v>1926</v>
      </c>
      <c r="G508" s="382">
        <f>IFERROR(VLOOKUP($B508,'update_Formula counts'!$D$7:$R$234,'update_Formula counts'!G$5,0),0)</f>
        <v>0</v>
      </c>
      <c r="H508" s="382">
        <f>IFERROR(VLOOKUP($B508,'update_Formula counts'!$D$7:$R$234,'update_Formula counts'!H$5,0),0)</f>
        <v>0</v>
      </c>
      <c r="I508" s="382">
        <f>IFERROR(VLOOKUP($B508,'update_Formula counts'!$D$7:$R$234,'update_Formula counts'!I$5,0),0)</f>
        <v>27</v>
      </c>
      <c r="J508" s="382">
        <f>IFERROR(VLOOKUP($B508,'update_Formula counts'!$D$7:$R$234,'update_Formula counts'!J$5,0),0)</f>
        <v>0</v>
      </c>
      <c r="K508" s="382">
        <f t="shared" si="739"/>
        <v>1926</v>
      </c>
      <c r="L508" s="444">
        <f>IFERROR(VLOOKUP($B508,'update_Formula counts'!$D$7:$R$234,'update_Formula counts'!L$5,0),0)</f>
        <v>4749</v>
      </c>
      <c r="M508" s="445">
        <f>IFERROR(VLOOKUP($B508,'update_Formula counts'!$D$7:$R$234,'update_Formula counts'!K$5,0),0)</f>
        <v>1953</v>
      </c>
      <c r="N508" s="446">
        <f>IFERROR(VLOOKUP($B508,'update_Formula counts'!$D$7:$R$234,'update_Formula counts'!M$5,0),0)</f>
        <v>0.41124447252053065</v>
      </c>
      <c r="O508" s="137">
        <f>VLOOKUP($C508,'Final SEA Counts'!$A$2:$F$709,5,FALSE)</f>
        <v>5233</v>
      </c>
      <c r="P508" s="208">
        <f>VLOOKUP($C508,'Final SEA Counts'!$A$2:$F$709,6,FALSE)</f>
        <v>4188</v>
      </c>
      <c r="Q508" s="748">
        <f t="shared" si="740"/>
        <v>-64.120895601007106</v>
      </c>
      <c r="R508" s="444">
        <f t="shared" si="741"/>
        <v>4625.2979242979245</v>
      </c>
      <c r="S508" s="445">
        <f t="shared" si="742"/>
        <v>1888.8791043989929</v>
      </c>
      <c r="T508" s="229">
        <f t="shared" si="743"/>
        <v>0.40837998661150166</v>
      </c>
      <c r="U508" s="261">
        <f>VLOOKUP($B508,update_Allocation!$D$8:$Q$235,update_Allocation!K$239,0)</f>
        <v>964277.33100659715</v>
      </c>
      <c r="V508" s="262">
        <f>VLOOKUP($B508,update_Allocation!$D$8:$Q$235,update_Allocation!L$239,0)</f>
        <v>235183.15841841124</v>
      </c>
      <c r="W508" s="262">
        <f>VLOOKUP($B508,update_Allocation!$D$8:$Q$235,update_Allocation!M$239,0)</f>
        <v>575623.7081953733</v>
      </c>
      <c r="X508" s="262">
        <f>VLOOKUP($B508,update_Allocation!$D$8:$Q$235,update_Allocation!N$239,0)</f>
        <v>570308.88390136138</v>
      </c>
      <c r="Y508" s="263">
        <f>VLOOKUP($B508,update_Allocation!$D$8:$Q$235,update_Allocation!O$239,0)</f>
        <v>2345393.081521743</v>
      </c>
      <c r="Z508" s="262">
        <f t="shared" si="744"/>
        <v>932623.35059813899</v>
      </c>
      <c r="AA508" s="262">
        <f t="shared" si="744"/>
        <v>227462.88661527293</v>
      </c>
      <c r="AB508" s="262">
        <f t="shared" si="744"/>
        <v>556727.9185755552</v>
      </c>
      <c r="AC508" s="263">
        <f t="shared" si="744"/>
        <v>551587.56208107283</v>
      </c>
      <c r="AD508" s="262">
        <f t="shared" si="745"/>
        <v>932623.35059813899</v>
      </c>
      <c r="AE508" s="262">
        <f t="shared" si="746"/>
        <v>227462.88661527293</v>
      </c>
      <c r="AF508" s="262">
        <f t="shared" si="747"/>
        <v>556727.9185755552</v>
      </c>
      <c r="AG508" s="263">
        <f t="shared" si="748"/>
        <v>551587.56208107283</v>
      </c>
      <c r="AH508" s="262">
        <f t="shared" si="749"/>
        <v>932971.63751942979</v>
      </c>
      <c r="AI508" s="262">
        <f t="shared" si="749"/>
        <v>227546.12489317483</v>
      </c>
      <c r="AJ508" s="262">
        <f t="shared" si="749"/>
        <v>556920.23479392543</v>
      </c>
      <c r="AK508" s="262">
        <f t="shared" si="749"/>
        <v>551762.05460133648</v>
      </c>
      <c r="AL508" s="263">
        <f t="shared" si="750"/>
        <v>2269200.0518078664</v>
      </c>
      <c r="AM508" s="346"/>
      <c r="AN508" s="261">
        <f>IFERROR(VLOOKUP($A508,'HH &amp; SI'!$B$4:$Z$494,'HH &amp; SI'!V$503,0),0)</f>
        <v>933485.71679777722</v>
      </c>
      <c r="AO508" s="262">
        <f>IFERROR(VLOOKUP($A508,'HH &amp; SI'!$B$4:$Z$494,'HH &amp; SI'!W$503,0),0)</f>
        <v>227084.57710108728</v>
      </c>
      <c r="AP508" s="262">
        <f>IFERROR(VLOOKUP($A508,'HH &amp; SI'!$B$4:$Z$494,'HH &amp; SI'!X$503,0),0)</f>
        <v>551855.26269975887</v>
      </c>
      <c r="AQ508" s="262">
        <f>IFERROR(VLOOKUP($A508,'HH &amp; SI'!$B$4:$Z$494,'HH &amp; SI'!Y$503,0),0)</f>
        <v>553215.61307026038</v>
      </c>
      <c r="AR508" s="263">
        <f t="shared" si="751"/>
        <v>2265641.1696688836</v>
      </c>
      <c r="AS508" s="346"/>
      <c r="AT508" s="323">
        <f>IFERROR(VLOOKUP(A508,'Afton FY16 Final'!$A$5:$BV$572,'Afton FY16 Final'!$BV$587,0),0)</f>
        <v>2306084.0545207616</v>
      </c>
      <c r="AU508" s="346"/>
      <c r="AV508" s="444">
        <v>0</v>
      </c>
      <c r="AW508" s="262">
        <f>IFERROR(VLOOKUP($A508,'HH &amp; SI'!$B$4:$EY$503,'HH &amp; SI'!EX$503,0),0)</f>
        <v>0</v>
      </c>
      <c r="AX508" s="262">
        <f>IFERROR(VLOOKUP($A508,'HH &amp; SI'!$B$4:$EY$503,'HH &amp; SI'!EY$503,0),0)</f>
        <v>2265641.1696688836</v>
      </c>
      <c r="AY508" s="262">
        <f>AX508/$AX$582*'update_State Admin 1004(b)'!$B$30*0.01</f>
        <v>21683.813559000235</v>
      </c>
      <c r="AZ508" s="263">
        <f t="shared" si="752"/>
        <v>2243957.3561098832</v>
      </c>
      <c r="BA508" s="261">
        <f t="shared" si="753"/>
        <v>22439.57356109883</v>
      </c>
      <c r="BB508" s="262">
        <f t="shared" si="754"/>
        <v>2221517.7825487843</v>
      </c>
      <c r="BC508" s="341">
        <f t="shared" si="755"/>
        <v>0.96332905914413802</v>
      </c>
      <c r="BD508" s="346"/>
      <c r="BE508" s="376" t="str">
        <f>'Original Title I &amp; II'!AZ505</f>
        <v/>
      </c>
      <c r="BF508" s="243" t="str">
        <f t="shared" si="756"/>
        <v/>
      </c>
      <c r="BG508" s="263">
        <f t="shared" si="738"/>
        <v>2221517.7825487843</v>
      </c>
      <c r="BI508" s="31">
        <f>IFERROR(VLOOKUP(A508,'Title II Hold Harmless'!A$1:B$439,2, FALSE),"")</f>
        <v>291641</v>
      </c>
      <c r="BJ508" s="31">
        <f t="shared" si="757"/>
        <v>320090.55152633617</v>
      </c>
      <c r="BK508" s="31">
        <f t="shared" si="758"/>
        <v>320400.20452011767</v>
      </c>
      <c r="BL508" s="31" t="str">
        <f t="shared" si="759"/>
        <v/>
      </c>
      <c r="BM508" s="31">
        <f t="shared" si="760"/>
        <v>320400.20452011767</v>
      </c>
      <c r="BN508" s="200"/>
      <c r="BP508" s="295" t="s">
        <v>1447</v>
      </c>
      <c r="BQ508" s="296" t="str">
        <f t="shared" si="682"/>
        <v>Y</v>
      </c>
      <c r="BR508" s="297" t="s">
        <v>1448</v>
      </c>
      <c r="BT508" s="295" t="str">
        <f t="shared" si="683"/>
        <v>Y</v>
      </c>
      <c r="BU508" s="296" t="str">
        <f t="shared" si="761"/>
        <v>Y</v>
      </c>
      <c r="BV508" s="296" t="str">
        <f t="shared" si="762"/>
        <v>Y</v>
      </c>
      <c r="BW508" s="297" t="str">
        <f t="shared" si="684"/>
        <v>Y</v>
      </c>
      <c r="BY508" s="352">
        <f t="shared" si="685"/>
        <v>0</v>
      </c>
      <c r="BZ508" s="353">
        <f t="shared" si="686"/>
        <v>0</v>
      </c>
      <c r="CA508" s="353">
        <f t="shared" si="687"/>
        <v>0.95</v>
      </c>
      <c r="CB508" s="354">
        <f t="shared" si="688"/>
        <v>0.95</v>
      </c>
      <c r="CD508" s="311">
        <f t="shared" si="689"/>
        <v>500</v>
      </c>
    </row>
    <row r="509" spans="1:82" s="237" customFormat="1" outlineLevel="1" x14ac:dyDescent="0.3">
      <c r="A509" s="236"/>
      <c r="B509" s="237">
        <v>481023</v>
      </c>
      <c r="D509" s="237" t="s">
        <v>886</v>
      </c>
      <c r="E509" s="237" t="s">
        <v>284</v>
      </c>
      <c r="F509" s="760">
        <f>IFERROR(VLOOKUP($B509,'update_Formula counts'!$D$7:$R$234,'update_Formula counts'!F$5,0),0)</f>
        <v>0</v>
      </c>
      <c r="G509" s="760">
        <f>IFERROR(VLOOKUP($B509,'update_Formula counts'!$D$7:$R$234,'update_Formula counts'!G$5,0),0)</f>
        <v>0</v>
      </c>
      <c r="H509" s="760">
        <f>IFERROR(VLOOKUP($B509,'update_Formula counts'!$D$7:$R$234,'update_Formula counts'!H$5,0),0)</f>
        <v>0</v>
      </c>
      <c r="I509" s="760">
        <f>IFERROR(VLOOKUP($B509,'update_Formula counts'!$D$7:$R$234,'update_Formula counts'!I$5,0),0)</f>
        <v>0</v>
      </c>
      <c r="J509" s="760">
        <f>IFERROR(VLOOKUP($B509,'update_Formula counts'!$D$7:$R$234,'update_Formula counts'!J$5,0),0)</f>
        <v>0</v>
      </c>
      <c r="K509" s="760">
        <f t="shared" si="739"/>
        <v>0</v>
      </c>
      <c r="L509" s="525">
        <f>IFERROR(VLOOKUP($B509,'update_Formula counts'!$D$7:$R$234,'update_Formula counts'!L$5,0),0)</f>
        <v>0</v>
      </c>
      <c r="M509" s="526">
        <f>IFERROR(VLOOKUP($B509,'update_Formula counts'!$D$7:$R$234,'update_Formula counts'!K$5,0),0)</f>
        <v>0</v>
      </c>
      <c r="N509" s="527">
        <f>IFERROR(VLOOKUP($B509,'update_Formula counts'!$D$7:$R$234,'update_Formula counts'!M$5,0),0)</f>
        <v>0</v>
      </c>
      <c r="O509" s="238"/>
      <c r="P509" s="240"/>
      <c r="Q509" s="752"/>
      <c r="R509" s="525"/>
      <c r="S509" s="526"/>
      <c r="T509" s="241"/>
      <c r="U509" s="273">
        <f>VLOOKUP($B509,update_Allocation!$D$8:$Q$235,update_Allocation!K$239,0)</f>
        <v>0</v>
      </c>
      <c r="V509" s="274">
        <f>VLOOKUP($B509,update_Allocation!$D$8:$Q$235,update_Allocation!L$239,0)</f>
        <v>0</v>
      </c>
      <c r="W509" s="274">
        <f>VLOOKUP($B509,update_Allocation!$D$8:$Q$235,update_Allocation!M$239,0)</f>
        <v>0</v>
      </c>
      <c r="X509" s="274">
        <f>VLOOKUP($B509,update_Allocation!$D$8:$Q$235,update_Allocation!N$239,0)</f>
        <v>0</v>
      </c>
      <c r="Y509" s="275">
        <f>VLOOKUP($B509,update_Allocation!$D$8:$Q$235,update_Allocation!O$239,0)</f>
        <v>0</v>
      </c>
      <c r="Z509" s="274"/>
      <c r="AA509" s="274"/>
      <c r="AB509" s="274"/>
      <c r="AC509" s="275"/>
      <c r="AD509" s="274" t="str">
        <f t="shared" si="745"/>
        <v/>
      </c>
      <c r="AE509" s="274" t="str">
        <f t="shared" si="746"/>
        <v/>
      </c>
      <c r="AF509" s="274" t="str">
        <f t="shared" si="747"/>
        <v/>
      </c>
      <c r="AG509" s="275" t="str">
        <f t="shared" si="748"/>
        <v/>
      </c>
      <c r="AH509" s="274"/>
      <c r="AI509" s="274"/>
      <c r="AJ509" s="274"/>
      <c r="AK509" s="274"/>
      <c r="AL509" s="275"/>
      <c r="AM509" s="350"/>
      <c r="AN509" s="273">
        <f>IFERROR(VLOOKUP($A509,'HH &amp; SI'!$B$4:$Z$494,'HH &amp; SI'!V$503,0),0)</f>
        <v>0</v>
      </c>
      <c r="AO509" s="274">
        <f>IFERROR(VLOOKUP($A509,'HH &amp; SI'!$B$4:$Z$494,'HH &amp; SI'!W$503,0),0)</f>
        <v>0</v>
      </c>
      <c r="AP509" s="274">
        <f>IFERROR(VLOOKUP($A509,'HH &amp; SI'!$B$4:$Z$494,'HH &amp; SI'!X$503,0),0)</f>
        <v>0</v>
      </c>
      <c r="AQ509" s="274">
        <f>IFERROR(VLOOKUP($A509,'HH &amp; SI'!$B$4:$Z$494,'HH &amp; SI'!Y$503,0),0)</f>
        <v>0</v>
      </c>
      <c r="AR509" s="275">
        <f t="shared" si="751"/>
        <v>0</v>
      </c>
      <c r="AS509" s="350"/>
      <c r="AT509" s="327">
        <f>IFERROR(VLOOKUP(A509,'Afton FY16 Final'!$A$5:$BV$572,'Afton FY16 Final'!$BV$587,0),0)</f>
        <v>0</v>
      </c>
      <c r="AU509" s="350"/>
      <c r="AV509" s="525">
        <v>0</v>
      </c>
      <c r="AW509" s="274">
        <f>IFERROR(VLOOKUP($A509,'HH &amp; SI'!$B$4:$EY$503,'HH &amp; SI'!EX$503,0),0)</f>
        <v>0</v>
      </c>
      <c r="AX509" s="274">
        <f>IFERROR(VLOOKUP($A509,'HH &amp; SI'!$B$4:$EY$503,'HH &amp; SI'!EY$503,0),0)</f>
        <v>0</v>
      </c>
      <c r="AY509" s="274">
        <f>AX509/$AX$582*'update_State Admin 1004(b)'!$B$30*0.01</f>
        <v>0</v>
      </c>
      <c r="AZ509" s="275">
        <f t="shared" si="752"/>
        <v>0</v>
      </c>
      <c r="BA509" s="273">
        <f t="shared" si="753"/>
        <v>0</v>
      </c>
      <c r="BB509" s="274">
        <f t="shared" si="754"/>
        <v>0</v>
      </c>
      <c r="BC509" s="345" t="str">
        <f t="shared" si="755"/>
        <v/>
      </c>
      <c r="BD509" s="350"/>
      <c r="BE509" s="379" t="str">
        <f>'Original Title I &amp; II'!AZ506</f>
        <v/>
      </c>
      <c r="BF509" s="246" t="str">
        <f t="shared" si="756"/>
        <v/>
      </c>
      <c r="BG509" s="275">
        <f t="shared" si="738"/>
        <v>0</v>
      </c>
      <c r="BI509" s="242" t="str">
        <f>IFERROR(VLOOKUP(A509,'Title II Hold Harmless'!A$1:B$439,2, FALSE),"")</f>
        <v/>
      </c>
      <c r="BJ509" s="242">
        <f t="shared" si="757"/>
        <v>0</v>
      </c>
      <c r="BK509" s="242">
        <f t="shared" si="758"/>
        <v>0</v>
      </c>
      <c r="BL509" s="242" t="str">
        <f t="shared" si="759"/>
        <v/>
      </c>
      <c r="BM509" s="242">
        <f t="shared" si="760"/>
        <v>0</v>
      </c>
      <c r="BN509" s="200"/>
      <c r="BP509" s="307" t="s">
        <v>1447</v>
      </c>
      <c r="BQ509" s="308" t="str">
        <f t="shared" si="682"/>
        <v>Y</v>
      </c>
      <c r="BR509" s="309" t="s">
        <v>1447</v>
      </c>
      <c r="BT509" s="307" t="str">
        <f t="shared" si="683"/>
        <v>N</v>
      </c>
      <c r="BU509" s="308" t="str">
        <f t="shared" si="761"/>
        <v>N</v>
      </c>
      <c r="BV509" s="308" t="str">
        <f t="shared" si="762"/>
        <v>N</v>
      </c>
      <c r="BW509" s="309" t="str">
        <f t="shared" si="684"/>
        <v>N</v>
      </c>
      <c r="BY509" s="364">
        <f t="shared" si="685"/>
        <v>0.85</v>
      </c>
      <c r="BZ509" s="365">
        <f t="shared" si="686"/>
        <v>0</v>
      </c>
      <c r="CA509" s="365">
        <f t="shared" si="687"/>
        <v>0</v>
      </c>
      <c r="CB509" s="366">
        <f t="shared" si="688"/>
        <v>0.85</v>
      </c>
      <c r="CD509" s="315">
        <f t="shared" si="689"/>
        <v>501</v>
      </c>
    </row>
    <row r="510" spans="1:82" s="48" customFormat="1" outlineLevel="1" x14ac:dyDescent="0.3">
      <c r="A510" s="202">
        <v>128703000</v>
      </c>
      <c r="B510" s="48">
        <f>VLOOKUP(C510,'NCES ID'!$A$2:$B$3136,2,FALSE)</f>
        <v>400150</v>
      </c>
      <c r="C510" s="48">
        <f>VLOOKUP(A510,'State ID'!$A$2:$B$713,2,FALSE)</f>
        <v>4463</v>
      </c>
      <c r="D510" s="48" t="s">
        <v>283</v>
      </c>
      <c r="E510" s="48" t="s">
        <v>284</v>
      </c>
      <c r="F510" s="755"/>
      <c r="G510" s="755"/>
      <c r="H510" s="755"/>
      <c r="I510" s="755"/>
      <c r="J510" s="755"/>
      <c r="K510" s="755"/>
      <c r="L510" s="454"/>
      <c r="M510" s="455"/>
      <c r="N510" s="456"/>
      <c r="O510" s="209">
        <f>VLOOKUP($C510,'Final SEA Counts'!$A$2:$F$709,5,FALSE)</f>
        <v>256</v>
      </c>
      <c r="P510" s="223">
        <f>VLOOKUP($C510,'Final SEA Counts'!$A$2:$F$709,6,FALSE)</f>
        <v>221</v>
      </c>
      <c r="Q510" s="749"/>
      <c r="R510" s="454">
        <f>O510</f>
        <v>256</v>
      </c>
      <c r="S510" s="455">
        <f>P510*$B$513</f>
        <v>98.367869585115514</v>
      </c>
      <c r="T510" s="230">
        <f t="shared" ref="T510:T511" si="763">S510/R510</f>
        <v>0.38424949056685748</v>
      </c>
      <c r="U510" s="264" t="str">
        <f>IFERROR(VLOOKUP($B510,#REF!,8,FALSE),"")</f>
        <v/>
      </c>
      <c r="V510" s="265" t="str">
        <f>IFERROR(VLOOKUP($B510,#REF!,9,FALSE),"")</f>
        <v/>
      </c>
      <c r="W510" s="265" t="str">
        <f>IFERROR(VLOOKUP($B510,#REF!,10,FALSE),"")</f>
        <v/>
      </c>
      <c r="X510" s="265" t="str">
        <f>IFERROR(VLOOKUP($B510,#REF!,11,FALSE),"")</f>
        <v/>
      </c>
      <c r="Y510" s="266" t="str">
        <f>IFERROR(VLOOKUP($B510,#REF!,12,FALSE),"")</f>
        <v/>
      </c>
      <c r="Z510" s="265">
        <f t="shared" ref="Z510:AC511" si="764">$S510*U$514</f>
        <v>48896.048646230956</v>
      </c>
      <c r="AA510" s="265">
        <f t="shared" si="764"/>
        <v>11685.833250460391</v>
      </c>
      <c r="AB510" s="265">
        <f t="shared" si="764"/>
        <v>26999.300272429722</v>
      </c>
      <c r="AC510" s="266">
        <f t="shared" si="764"/>
        <v>24497.028850805997</v>
      </c>
      <c r="AD510" s="265">
        <f t="shared" si="745"/>
        <v>48896.048646230956</v>
      </c>
      <c r="AE510" s="265">
        <f t="shared" si="746"/>
        <v>11685.833250460391</v>
      </c>
      <c r="AF510" s="265">
        <f t="shared" si="747"/>
        <v>26999.300272429722</v>
      </c>
      <c r="AG510" s="266">
        <f t="shared" si="748"/>
        <v>24497.028850805997</v>
      </c>
      <c r="AH510" s="265">
        <f t="shared" ref="AH510:AK511" si="765">IF(AD510="","",AD510+AD$514)</f>
        <v>49244.335567521703</v>
      </c>
      <c r="AI510" s="265">
        <f t="shared" si="765"/>
        <v>11769.071528362287</v>
      </c>
      <c r="AJ510" s="265">
        <f t="shared" si="765"/>
        <v>27191.616490799926</v>
      </c>
      <c r="AK510" s="265">
        <f t="shared" si="765"/>
        <v>24671.521371069699</v>
      </c>
      <c r="AL510" s="266">
        <f t="shared" ref="AL510:AL511" si="766">SUM(AH510:AK510)</f>
        <v>112876.54495775361</v>
      </c>
      <c r="AM510" s="347"/>
      <c r="AN510" s="264">
        <f>IFERROR(VLOOKUP($A510,'HH &amp; SI'!$B$4:$Z$494,'HH &amp; SI'!V$503,0),0)</f>
        <v>48572.61086767185</v>
      </c>
      <c r="AO510" s="265">
        <f>IFERROR(VLOOKUP($A510,'HH &amp; SI'!$B$4:$Z$494,'HH &amp; SI'!W$503,0),0)</f>
        <v>11381.441341064667</v>
      </c>
      <c r="AP510" s="265">
        <f>IFERROR(VLOOKUP($A510,'HH &amp; SI'!$B$4:$Z$494,'HH &amp; SI'!X$503,0),0)</f>
        <v>26944.31935538134</v>
      </c>
      <c r="AQ510" s="265">
        <f>IFERROR(VLOOKUP($A510,'HH &amp; SI'!$B$4:$Z$494,'HH &amp; SI'!Y$503,0),0)</f>
        <v>24399.68561656756</v>
      </c>
      <c r="AR510" s="266">
        <f t="shared" si="751"/>
        <v>111298.05718068541</v>
      </c>
      <c r="AS510" s="347"/>
      <c r="AT510" s="324">
        <f>IFERROR(VLOOKUP(A510,'Afton FY16 Final'!$A$5:$BV$572,'Afton FY16 Final'!$BV$587,0),0)</f>
        <v>95631.486285847306</v>
      </c>
      <c r="AU510" s="347"/>
      <c r="AV510" s="454">
        <v>0</v>
      </c>
      <c r="AW510" s="265">
        <f>IFERROR(VLOOKUP($A510,'HH &amp; SI'!$B$4:$EY$503,'HH &amp; SI'!EX$503,0),0)</f>
        <v>6234.1493138491787</v>
      </c>
      <c r="AX510" s="265">
        <f>IFERROR(VLOOKUP($A510,'HH &amp; SI'!$B$4:$EY$503,'HH &amp; SI'!EY$503,0),0)</f>
        <v>105063.90786683623</v>
      </c>
      <c r="AY510" s="265">
        <f>AX510/$AX$582*'update_State Admin 1004(b)'!$B$30*0.01</f>
        <v>1005.5370728884684</v>
      </c>
      <c r="AZ510" s="266">
        <f t="shared" si="752"/>
        <v>104058.37079394776</v>
      </c>
      <c r="BA510" s="264">
        <f>AZ510*0.01</f>
        <v>1040.5837079394776</v>
      </c>
      <c r="BB510" s="265">
        <f>AZ510-BA510</f>
        <v>103017.78708600828</v>
      </c>
      <c r="BC510" s="342">
        <f t="shared" si="690"/>
        <v>1.0772371222808663</v>
      </c>
      <c r="BD510" s="347"/>
      <c r="BE510" s="377" t="str">
        <f>'Original Title I &amp; II'!AZ507</f>
        <v/>
      </c>
      <c r="BF510" s="244" t="str">
        <f t="shared" si="756"/>
        <v/>
      </c>
      <c r="BG510" s="266">
        <f t="shared" si="738"/>
        <v>103017.78708600828</v>
      </c>
      <c r="BI510" s="203" t="str">
        <f>IFERROR(VLOOKUP(A510,'Title II Hold Harmless'!A$1:B$439,2, FALSE),"")</f>
        <v/>
      </c>
      <c r="BJ510" s="203">
        <f t="shared" si="757"/>
        <v>1493.7519210715748</v>
      </c>
      <c r="BK510" s="203">
        <f t="shared" si="758"/>
        <v>1495.1969645198146</v>
      </c>
      <c r="BL510" s="203" t="str">
        <f t="shared" si="759"/>
        <v/>
      </c>
      <c r="BM510" s="203">
        <f t="shared" si="760"/>
        <v>1495.1969645198146</v>
      </c>
      <c r="BN510" s="200"/>
      <c r="BP510" s="298" t="s">
        <v>1448</v>
      </c>
      <c r="BQ510" s="299" t="str">
        <f t="shared" si="682"/>
        <v>Y</v>
      </c>
      <c r="BR510" s="300" t="s">
        <v>1448</v>
      </c>
      <c r="BT510" s="298" t="str">
        <f t="shared" si="683"/>
        <v>Y</v>
      </c>
      <c r="BU510" s="299" t="str">
        <f t="shared" si="761"/>
        <v>Y</v>
      </c>
      <c r="BV510" s="299" t="str">
        <f t="shared" si="762"/>
        <v>Y</v>
      </c>
      <c r="BW510" s="300" t="str">
        <f t="shared" si="684"/>
        <v>Y</v>
      </c>
      <c r="BY510" s="355">
        <f t="shared" si="685"/>
        <v>0</v>
      </c>
      <c r="BZ510" s="356">
        <f t="shared" si="686"/>
        <v>0</v>
      </c>
      <c r="CA510" s="356">
        <f t="shared" si="687"/>
        <v>0.95</v>
      </c>
      <c r="CB510" s="357">
        <f t="shared" si="688"/>
        <v>0.95</v>
      </c>
      <c r="CD510" s="312">
        <f t="shared" si="689"/>
        <v>502</v>
      </c>
    </row>
    <row r="511" spans="1:82" s="48" customFormat="1" outlineLevel="1" x14ac:dyDescent="0.3">
      <c r="A511" s="202"/>
      <c r="D511" s="48" t="s">
        <v>1411</v>
      </c>
      <c r="E511" s="48" t="s">
        <v>284</v>
      </c>
      <c r="F511" s="755"/>
      <c r="G511" s="755"/>
      <c r="H511" s="755"/>
      <c r="I511" s="755"/>
      <c r="J511" s="755"/>
      <c r="K511" s="755"/>
      <c r="L511" s="454"/>
      <c r="M511" s="455"/>
      <c r="N511" s="456"/>
      <c r="O511" s="211">
        <f>'AVA Metrics'!C14</f>
        <v>21.061322921451538</v>
      </c>
      <c r="P511" s="212">
        <f>'AVA Metrics'!D14</f>
        <v>11.019292604501608</v>
      </c>
      <c r="Q511" s="749"/>
      <c r="R511" s="454">
        <f>O511</f>
        <v>21.061322921451538</v>
      </c>
      <c r="S511" s="455">
        <f>P511*$B$513</f>
        <v>4.9047255105875207</v>
      </c>
      <c r="T511" s="230">
        <f t="shared" si="763"/>
        <v>0.23287832055373514</v>
      </c>
      <c r="U511" s="264"/>
      <c r="V511" s="265"/>
      <c r="W511" s="265"/>
      <c r="X511" s="265"/>
      <c r="Y511" s="266"/>
      <c r="Z511" s="265">
        <f t="shared" si="764"/>
        <v>2438.0084490351296</v>
      </c>
      <c r="AA511" s="265">
        <f t="shared" si="764"/>
        <v>582.66794531329049</v>
      </c>
      <c r="AB511" s="265">
        <f t="shared" si="764"/>
        <v>1346.2135285914167</v>
      </c>
      <c r="AC511" s="266">
        <f t="shared" si="764"/>
        <v>1221.4476418459233</v>
      </c>
      <c r="AD511" s="265" t="str">
        <f t="shared" si="745"/>
        <v/>
      </c>
      <c r="AE511" s="265" t="str">
        <f t="shared" si="746"/>
        <v/>
      </c>
      <c r="AF511" s="265" t="str">
        <f t="shared" si="747"/>
        <v/>
      </c>
      <c r="AG511" s="266" t="str">
        <f t="shared" si="748"/>
        <v/>
      </c>
      <c r="AH511" s="265" t="str">
        <f t="shared" si="765"/>
        <v/>
      </c>
      <c r="AI511" s="265" t="str">
        <f t="shared" si="765"/>
        <v/>
      </c>
      <c r="AJ511" s="265" t="str">
        <f t="shared" si="765"/>
        <v/>
      </c>
      <c r="AK511" s="265" t="str">
        <f t="shared" si="765"/>
        <v/>
      </c>
      <c r="AL511" s="266">
        <f t="shared" si="766"/>
        <v>0</v>
      </c>
      <c r="AM511" s="347"/>
      <c r="AN511" s="264">
        <f>IFERROR(VLOOKUP($A511,'HH &amp; SI'!$B$4:$Z$494,'HH &amp; SI'!V$503,0),0)</f>
        <v>0</v>
      </c>
      <c r="AO511" s="265">
        <f>IFERROR(VLOOKUP($A511,'HH &amp; SI'!$B$4:$Z$494,'HH &amp; SI'!W$503,0),0)</f>
        <v>0</v>
      </c>
      <c r="AP511" s="265">
        <f>IFERROR(VLOOKUP($A511,'HH &amp; SI'!$B$4:$Z$494,'HH &amp; SI'!X$503,0),0)</f>
        <v>0</v>
      </c>
      <c r="AQ511" s="265">
        <f>IFERROR(VLOOKUP($A511,'HH &amp; SI'!$B$4:$Z$494,'HH &amp; SI'!Y$503,0),0)</f>
        <v>0</v>
      </c>
      <c r="AR511" s="266">
        <f t="shared" si="751"/>
        <v>0</v>
      </c>
      <c r="AS511" s="347"/>
      <c r="AT511" s="324">
        <f>IFERROR(VLOOKUP(A511,'Afton FY16 Final'!$A$5:$BV$572,'Afton FY16 Final'!$BV$587,0),0)</f>
        <v>0</v>
      </c>
      <c r="AU511" s="347"/>
      <c r="AV511" s="454">
        <v>0</v>
      </c>
      <c r="AW511" s="265">
        <f>IFERROR(VLOOKUP($A511,'HH &amp; SI'!$B$4:$EY$503,'HH &amp; SI'!EX$503,0),0)</f>
        <v>0</v>
      </c>
      <c r="AX511" s="265">
        <f>IFERROR(VLOOKUP($A511,'HH &amp; SI'!$B$4:$EY$503,'HH &amp; SI'!EY$503,0),0)</f>
        <v>0</v>
      </c>
      <c r="AY511" s="265"/>
      <c r="AZ511" s="266"/>
      <c r="BA511" s="264"/>
      <c r="BB511" s="265"/>
      <c r="BC511" s="342" t="str">
        <f t="shared" si="690"/>
        <v/>
      </c>
      <c r="BD511" s="347"/>
      <c r="BE511" s="377">
        <f>'Original Title I &amp; II'!AZ508</f>
        <v>0</v>
      </c>
      <c r="BF511" s="244"/>
      <c r="BG511" s="266">
        <f t="shared" si="738"/>
        <v>0</v>
      </c>
      <c r="BI511" s="203"/>
      <c r="BJ511" s="203"/>
      <c r="BK511" s="203"/>
      <c r="BL511" s="203"/>
      <c r="BM511" s="203"/>
      <c r="BN511" s="200"/>
      <c r="BP511" s="298" t="s">
        <v>1448</v>
      </c>
      <c r="BQ511" s="299" t="str">
        <f t="shared" si="682"/>
        <v>Y</v>
      </c>
      <c r="BR511" s="300" t="s">
        <v>1448</v>
      </c>
      <c r="BT511" s="298" t="str">
        <f t="shared" si="683"/>
        <v>N</v>
      </c>
      <c r="BU511" s="299" t="str">
        <f t="shared" si="761"/>
        <v>N</v>
      </c>
      <c r="BV511" s="299" t="str">
        <f t="shared" si="762"/>
        <v>N</v>
      </c>
      <c r="BW511" s="300" t="str">
        <f t="shared" si="684"/>
        <v>N</v>
      </c>
      <c r="BY511" s="355">
        <f t="shared" si="685"/>
        <v>0</v>
      </c>
      <c r="BZ511" s="356">
        <f t="shared" si="686"/>
        <v>0.9</v>
      </c>
      <c r="CA511" s="356">
        <f t="shared" si="687"/>
        <v>0</v>
      </c>
      <c r="CB511" s="357">
        <f t="shared" si="688"/>
        <v>0.9</v>
      </c>
      <c r="CD511" s="312">
        <f t="shared" si="689"/>
        <v>503</v>
      </c>
    </row>
    <row r="512" spans="1:82" s="197" customFormat="1" outlineLevel="1" x14ac:dyDescent="0.3">
      <c r="A512" s="196"/>
      <c r="D512" s="197" t="s">
        <v>878</v>
      </c>
      <c r="F512" s="756"/>
      <c r="G512" s="756"/>
      <c r="H512" s="756"/>
      <c r="I512" s="756"/>
      <c r="J512" s="756"/>
      <c r="K512" s="756"/>
      <c r="L512" s="757"/>
      <c r="M512" s="758"/>
      <c r="N512" s="768"/>
      <c r="O512" s="214"/>
      <c r="P512" s="216"/>
      <c r="Q512" s="750"/>
      <c r="R512" s="757">
        <f>SUM(R510:R511)</f>
        <v>277.06132292145156</v>
      </c>
      <c r="S512" s="758">
        <f>SUM(S510:S511)</f>
        <v>103.27259509570304</v>
      </c>
      <c r="T512" s="231"/>
      <c r="U512" s="267"/>
      <c r="V512" s="268"/>
      <c r="W512" s="268"/>
      <c r="X512" s="268"/>
      <c r="Y512" s="269"/>
      <c r="Z512" s="268">
        <f>SUM(Z510:Z511)</f>
        <v>51334.057095266086</v>
      </c>
      <c r="AA512" s="268">
        <f>SUM(AA510:AA511)</f>
        <v>12268.501195773682</v>
      </c>
      <c r="AB512" s="268">
        <f>SUM(AB510:AB511)</f>
        <v>28345.513801021138</v>
      </c>
      <c r="AC512" s="269">
        <f>SUM(AC510:AC511)</f>
        <v>25718.47649265192</v>
      </c>
      <c r="AD512" s="268"/>
      <c r="AE512" s="268"/>
      <c r="AF512" s="268"/>
      <c r="AG512" s="269"/>
      <c r="AH512" s="268"/>
      <c r="AI512" s="268"/>
      <c r="AJ512" s="268"/>
      <c r="AK512" s="268"/>
      <c r="AL512" s="269"/>
      <c r="AM512" s="348"/>
      <c r="AN512" s="267"/>
      <c r="AO512" s="268"/>
      <c r="AP512" s="268"/>
      <c r="AQ512" s="268"/>
      <c r="AR512" s="269"/>
      <c r="AS512" s="348"/>
      <c r="AT512" s="325"/>
      <c r="AU512" s="348"/>
      <c r="AV512" s="757"/>
      <c r="AW512" s="268"/>
      <c r="AX512" s="268"/>
      <c r="AY512" s="268"/>
      <c r="AZ512" s="269"/>
      <c r="BA512" s="267"/>
      <c r="BB512" s="268"/>
      <c r="BC512" s="343" t="str">
        <f t="shared" si="690"/>
        <v/>
      </c>
      <c r="BD512" s="348"/>
      <c r="BE512" s="371"/>
      <c r="BF512" s="369"/>
      <c r="BG512" s="269"/>
      <c r="BI512" s="198"/>
      <c r="BJ512" s="198"/>
      <c r="BK512" s="198"/>
      <c r="BL512" s="198"/>
      <c r="BN512" s="199"/>
      <c r="BP512" s="301" t="s">
        <v>1450</v>
      </c>
      <c r="BQ512" s="302" t="str">
        <f t="shared" si="682"/>
        <v>N</v>
      </c>
      <c r="BR512" s="303" t="s">
        <v>1448</v>
      </c>
      <c r="BT512" s="301" t="str">
        <f t="shared" si="683"/>
        <v>N</v>
      </c>
      <c r="BU512" s="302" t="s">
        <v>1450</v>
      </c>
      <c r="BV512" s="302" t="s">
        <v>1450</v>
      </c>
      <c r="BW512" s="303" t="s">
        <v>1450</v>
      </c>
      <c r="BY512" s="358">
        <f t="shared" si="685"/>
        <v>0.85</v>
      </c>
      <c r="BZ512" s="359">
        <f t="shared" si="686"/>
        <v>0</v>
      </c>
      <c r="CA512" s="359">
        <f t="shared" si="687"/>
        <v>0</v>
      </c>
      <c r="CB512" s="360">
        <f t="shared" si="688"/>
        <v>0.85</v>
      </c>
      <c r="CD512" s="313">
        <f t="shared" si="689"/>
        <v>504</v>
      </c>
    </row>
    <row r="513" spans="1:82" s="197" customFormat="1" outlineLevel="1" x14ac:dyDescent="0.3">
      <c r="A513" s="196" t="s">
        <v>880</v>
      </c>
      <c r="B513" s="197">
        <f>M513/P513</f>
        <v>0.44510348228559055</v>
      </c>
      <c r="D513" s="197" t="s">
        <v>879</v>
      </c>
      <c r="E513" s="197">
        <f t="shared" ref="E513:K513" si="767">SUM(E503:E511)</f>
        <v>0</v>
      </c>
      <c r="F513" s="756">
        <f t="shared" si="767"/>
        <v>3102</v>
      </c>
      <c r="G513" s="756">
        <f t="shared" si="767"/>
        <v>0</v>
      </c>
      <c r="H513" s="756">
        <f t="shared" si="767"/>
        <v>0</v>
      </c>
      <c r="I513" s="756">
        <f t="shared" si="767"/>
        <v>44</v>
      </c>
      <c r="J513" s="756">
        <f t="shared" si="767"/>
        <v>0</v>
      </c>
      <c r="K513" s="756">
        <f t="shared" si="767"/>
        <v>3102</v>
      </c>
      <c r="L513" s="757">
        <f>SUM(L503:L511)</f>
        <v>9828</v>
      </c>
      <c r="M513" s="758">
        <f>SUM(M503:M511)</f>
        <v>3146</v>
      </c>
      <c r="N513" s="768"/>
      <c r="O513" s="217">
        <f>SUM(O503:O511)</f>
        <v>9072.0613229214523</v>
      </c>
      <c r="P513" s="218">
        <f>SUM(P503:P511)</f>
        <v>7068.019292604502</v>
      </c>
      <c r="Q513" s="750"/>
      <c r="R513" s="757">
        <f>SUM(R503:R511)</f>
        <v>9849.0613229214523</v>
      </c>
      <c r="S513" s="758">
        <f>SUM(S503:S511)</f>
        <v>3146</v>
      </c>
      <c r="T513" s="231"/>
      <c r="U513" s="267">
        <f>SUM(U503:U511)</f>
        <v>1563792.8287949711</v>
      </c>
      <c r="V513" s="268">
        <f t="shared" ref="V513:AL513" si="768">SUM(V503:V511)</f>
        <v>373736.17585707339</v>
      </c>
      <c r="W513" s="268">
        <f t="shared" si="768"/>
        <v>863491.2905536436</v>
      </c>
      <c r="X513" s="268">
        <f t="shared" si="768"/>
        <v>783463.67660174589</v>
      </c>
      <c r="Y513" s="269">
        <f t="shared" si="768"/>
        <v>3584483.9718074342</v>
      </c>
      <c r="Z513" s="268">
        <f t="shared" si="768"/>
        <v>1563792.8287949713</v>
      </c>
      <c r="AA513" s="268">
        <f t="shared" si="768"/>
        <v>373736.17585707334</v>
      </c>
      <c r="AB513" s="268">
        <f t="shared" si="768"/>
        <v>863491.29055364372</v>
      </c>
      <c r="AC513" s="269">
        <f t="shared" si="768"/>
        <v>783463.67660174577</v>
      </c>
      <c r="AD513" s="268">
        <f t="shared" si="768"/>
        <v>1561354.8203459361</v>
      </c>
      <c r="AE513" s="268">
        <f t="shared" si="768"/>
        <v>373153.50791176007</v>
      </c>
      <c r="AF513" s="268">
        <f t="shared" si="768"/>
        <v>862145.07702505228</v>
      </c>
      <c r="AG513" s="269">
        <f t="shared" si="768"/>
        <v>782242.22895989986</v>
      </c>
      <c r="AH513" s="268">
        <f t="shared" si="768"/>
        <v>1563792.8287949713</v>
      </c>
      <c r="AI513" s="268">
        <f t="shared" si="768"/>
        <v>373736.17585707334</v>
      </c>
      <c r="AJ513" s="268">
        <f t="shared" si="768"/>
        <v>863491.29055364372</v>
      </c>
      <c r="AK513" s="268">
        <f t="shared" si="768"/>
        <v>783463.67660174577</v>
      </c>
      <c r="AL513" s="269">
        <f t="shared" si="768"/>
        <v>3584483.9718074342</v>
      </c>
      <c r="AM513" s="348"/>
      <c r="AN513" s="267">
        <f t="shared" ref="AN513:AR513" si="769">SUM(AN503:AN511)</f>
        <v>1563452.2827708509</v>
      </c>
      <c r="AO513" s="268">
        <f t="shared" ref="AO513" si="770">SUM(AO503:AO511)</f>
        <v>372474.80398621678</v>
      </c>
      <c r="AP513" s="268">
        <f t="shared" si="769"/>
        <v>858160.36065897404</v>
      </c>
      <c r="AQ513" s="268">
        <f t="shared" si="769"/>
        <v>784762.49138050934</v>
      </c>
      <c r="AR513" s="269">
        <f t="shared" si="769"/>
        <v>3578849.938796551</v>
      </c>
      <c r="AS513" s="348"/>
      <c r="AT513" s="325">
        <f t="shared" ref="AT513:BB513" si="771">SUM(AT503:AT511)</f>
        <v>3705189.2783167758</v>
      </c>
      <c r="AU513" s="348"/>
      <c r="AV513" s="757">
        <f t="shared" si="771"/>
        <v>0</v>
      </c>
      <c r="AW513" s="268">
        <f t="shared" si="771"/>
        <v>6234.1493138491787</v>
      </c>
      <c r="AX513" s="268">
        <f t="shared" si="771"/>
        <v>3572615.7894827016</v>
      </c>
      <c r="AY513" s="268">
        <f t="shared" si="771"/>
        <v>34192.499560027427</v>
      </c>
      <c r="AZ513" s="269">
        <f t="shared" si="771"/>
        <v>3538423.2899226742</v>
      </c>
      <c r="BA513" s="267">
        <f t="shared" si="771"/>
        <v>35384.232899226736</v>
      </c>
      <c r="BB513" s="268">
        <f t="shared" si="771"/>
        <v>3503039.057023447</v>
      </c>
      <c r="BC513" s="343">
        <f t="shared" si="690"/>
        <v>0.94544132401647152</v>
      </c>
      <c r="BD513" s="348"/>
      <c r="BE513" s="371">
        <f t="shared" ref="BE513:BG513" si="772">SUM(BE503:BE511)</f>
        <v>0</v>
      </c>
      <c r="BF513" s="369">
        <f t="shared" si="772"/>
        <v>0</v>
      </c>
      <c r="BG513" s="269">
        <f t="shared" si="772"/>
        <v>3503039.057023447</v>
      </c>
      <c r="BI513" s="198"/>
      <c r="BL513" s="198"/>
      <c r="BN513" s="199"/>
      <c r="BP513" s="301" t="s">
        <v>1450</v>
      </c>
      <c r="BQ513" s="302" t="str">
        <f t="shared" si="682"/>
        <v>N</v>
      </c>
      <c r="BR513" s="303" t="s">
        <v>1448</v>
      </c>
      <c r="BT513" s="301" t="str">
        <f t="shared" si="683"/>
        <v>N</v>
      </c>
      <c r="BU513" s="302" t="s">
        <v>1450</v>
      </c>
      <c r="BV513" s="302" t="s">
        <v>1450</v>
      </c>
      <c r="BW513" s="303" t="s">
        <v>1450</v>
      </c>
      <c r="BY513" s="358">
        <f t="shared" si="685"/>
        <v>0.85</v>
      </c>
      <c r="BZ513" s="359">
        <f t="shared" si="686"/>
        <v>0</v>
      </c>
      <c r="CA513" s="359">
        <f t="shared" si="687"/>
        <v>0</v>
      </c>
      <c r="CB513" s="360">
        <f t="shared" si="688"/>
        <v>0.85</v>
      </c>
      <c r="CD513" s="313">
        <f t="shared" si="689"/>
        <v>505</v>
      </c>
    </row>
    <row r="514" spans="1:82" s="197" customFormat="1" outlineLevel="1" x14ac:dyDescent="0.3">
      <c r="A514" s="196"/>
      <c r="F514" s="756"/>
      <c r="G514" s="756"/>
      <c r="H514" s="756"/>
      <c r="I514" s="756"/>
      <c r="J514" s="756"/>
      <c r="K514" s="756"/>
      <c r="L514" s="757"/>
      <c r="M514" s="758"/>
      <c r="N514" s="768"/>
      <c r="O514" s="214"/>
      <c r="P514" s="216"/>
      <c r="Q514" s="750"/>
      <c r="R514" s="757"/>
      <c r="S514" s="758"/>
      <c r="T514" s="231"/>
      <c r="U514" s="267">
        <f>U513/$S513</f>
        <v>497.07337215351913</v>
      </c>
      <c r="V514" s="268">
        <f>V513/$S513</f>
        <v>118.79725869582752</v>
      </c>
      <c r="W514" s="268">
        <f>W513/$S513</f>
        <v>274.47275605646649</v>
      </c>
      <c r="X514" s="268">
        <f>X513/$S513</f>
        <v>249.0348622383172</v>
      </c>
      <c r="Y514" s="269" t="str">
        <f>IFERROR(VLOOKUP($B514,#REF!,12,FALSE),"")</f>
        <v/>
      </c>
      <c r="Z514" s="268"/>
      <c r="AA514" s="268"/>
      <c r="AB514" s="268"/>
      <c r="AC514" s="269"/>
      <c r="AD514" s="268">
        <f>(Z513-AD513)/COUNT(AD503:AD511)</f>
        <v>348.28692129074727</v>
      </c>
      <c r="AE514" s="268">
        <f>(AA513-AE513)/COUNT(AE503:AE511)</f>
        <v>83.238277901895344</v>
      </c>
      <c r="AF514" s="268">
        <f>(AB513-AF513)/COUNT(AF503:AF511)</f>
        <v>192.31621837020586</v>
      </c>
      <c r="AG514" s="269">
        <f>(AC513-AG513)/COUNT(AG503:AG511)</f>
        <v>174.49252026370127</v>
      </c>
      <c r="AH514" s="268"/>
      <c r="AI514" s="268"/>
      <c r="AJ514" s="268"/>
      <c r="AK514" s="268"/>
      <c r="AL514" s="280"/>
      <c r="AM514" s="348"/>
      <c r="AN514" s="267"/>
      <c r="AO514" s="268"/>
      <c r="AP514" s="268"/>
      <c r="AQ514" s="268"/>
      <c r="AR514" s="280"/>
      <c r="AS514" s="348"/>
      <c r="AT514" s="325"/>
      <c r="AU514" s="348"/>
      <c r="AV514" s="757"/>
      <c r="AW514" s="268"/>
      <c r="AX514" s="268"/>
      <c r="AY514" s="268"/>
      <c r="AZ514" s="269"/>
      <c r="BA514" s="267"/>
      <c r="BB514" s="268"/>
      <c r="BC514" s="343" t="str">
        <f t="shared" si="690"/>
        <v/>
      </c>
      <c r="BD514" s="348"/>
      <c r="BE514" s="371"/>
      <c r="BF514" s="369"/>
      <c r="BG514" s="269"/>
      <c r="BI514" s="198"/>
      <c r="BL514" s="198"/>
      <c r="BN514" s="199"/>
      <c r="BP514" s="301" t="s">
        <v>1450</v>
      </c>
      <c r="BQ514" s="302" t="str">
        <f t="shared" si="682"/>
        <v>N</v>
      </c>
      <c r="BR514" s="303" t="s">
        <v>1448</v>
      </c>
      <c r="BT514" s="301" t="str">
        <f t="shared" si="683"/>
        <v>N</v>
      </c>
      <c r="BU514" s="302" t="s">
        <v>1450</v>
      </c>
      <c r="BV514" s="302" t="s">
        <v>1450</v>
      </c>
      <c r="BW514" s="303" t="s">
        <v>1450</v>
      </c>
      <c r="BY514" s="358">
        <f t="shared" si="685"/>
        <v>0.85</v>
      </c>
      <c r="BZ514" s="359">
        <f t="shared" si="686"/>
        <v>0</v>
      </c>
      <c r="CA514" s="359">
        <f t="shared" si="687"/>
        <v>0</v>
      </c>
      <c r="CB514" s="360">
        <f t="shared" si="688"/>
        <v>0.85</v>
      </c>
      <c r="CD514" s="313">
        <f t="shared" si="689"/>
        <v>506</v>
      </c>
    </row>
    <row r="515" spans="1:82" s="199" customFormat="1" outlineLevel="1" x14ac:dyDescent="0.3">
      <c r="A515" s="201"/>
      <c r="F515" s="759"/>
      <c r="G515" s="759"/>
      <c r="H515" s="759"/>
      <c r="I515" s="759"/>
      <c r="J515" s="759"/>
      <c r="K515" s="759"/>
      <c r="L515" s="509"/>
      <c r="M515" s="510"/>
      <c r="N515" s="511"/>
      <c r="O515" s="220"/>
      <c r="P515" s="222"/>
      <c r="Q515" s="751"/>
      <c r="R515" s="509"/>
      <c r="S515" s="510"/>
      <c r="T515" s="232"/>
      <c r="U515" s="270" t="str">
        <f>IFERROR(VLOOKUP($B515,#REF!,8,FALSE),"")</f>
        <v/>
      </c>
      <c r="V515" s="271" t="str">
        <f>IFERROR(VLOOKUP($B515,#REF!,9,FALSE),"")</f>
        <v/>
      </c>
      <c r="W515" s="271" t="str">
        <f>IFERROR(VLOOKUP($B515,#REF!,10,FALSE),"")</f>
        <v/>
      </c>
      <c r="X515" s="271" t="str">
        <f>IFERROR(VLOOKUP($B515,#REF!,11,FALSE),"")</f>
        <v/>
      </c>
      <c r="Y515" s="272" t="str">
        <f>IFERROR(VLOOKUP($B515,#REF!,12,FALSE),"")</f>
        <v/>
      </c>
      <c r="Z515" s="271"/>
      <c r="AA515" s="271"/>
      <c r="AB515" s="271"/>
      <c r="AC515" s="272"/>
      <c r="AD515" s="271"/>
      <c r="AE515" s="271"/>
      <c r="AF515" s="271"/>
      <c r="AG515" s="272"/>
      <c r="AH515" s="271"/>
      <c r="AI515" s="271"/>
      <c r="AJ515" s="271"/>
      <c r="AK515" s="271"/>
      <c r="AL515" s="272"/>
      <c r="AM515" s="349"/>
      <c r="AN515" s="270"/>
      <c r="AO515" s="271"/>
      <c r="AP515" s="271"/>
      <c r="AQ515" s="271"/>
      <c r="AR515" s="272"/>
      <c r="AS515" s="349"/>
      <c r="AT515" s="326"/>
      <c r="AU515" s="349"/>
      <c r="AV515" s="509"/>
      <c r="AW515" s="271"/>
      <c r="AX515" s="271"/>
      <c r="AY515" s="271"/>
      <c r="AZ515" s="272"/>
      <c r="BA515" s="270"/>
      <c r="BB515" s="271"/>
      <c r="BC515" s="344" t="str">
        <f t="shared" si="690"/>
        <v/>
      </c>
      <c r="BD515" s="349"/>
      <c r="BE515" s="378">
        <f>'Original Title I &amp; II'!AZ512</f>
        <v>0</v>
      </c>
      <c r="BF515" s="245"/>
      <c r="BG515" s="272">
        <f t="shared" ref="BG515:BG555" si="773">IF(BF515&lt;0,BB515+BF515,BB515)</f>
        <v>0</v>
      </c>
      <c r="BI515" s="200"/>
      <c r="BL515" s="200"/>
      <c r="BP515" s="304" t="s">
        <v>1450</v>
      </c>
      <c r="BQ515" s="305" t="str">
        <f t="shared" si="682"/>
        <v>N</v>
      </c>
      <c r="BR515" s="306" t="s">
        <v>1448</v>
      </c>
      <c r="BT515" s="304" t="str">
        <f t="shared" si="683"/>
        <v>N</v>
      </c>
      <c r="BU515" s="305" t="s">
        <v>1450</v>
      </c>
      <c r="BV515" s="305" t="s">
        <v>1450</v>
      </c>
      <c r="BW515" s="306" t="s">
        <v>1450</v>
      </c>
      <c r="BY515" s="361">
        <f t="shared" si="685"/>
        <v>0.85</v>
      </c>
      <c r="BZ515" s="362">
        <f t="shared" si="686"/>
        <v>0</v>
      </c>
      <c r="CA515" s="362">
        <f t="shared" si="687"/>
        <v>0</v>
      </c>
      <c r="CB515" s="363">
        <f t="shared" si="688"/>
        <v>0.85</v>
      </c>
      <c r="CD515" s="314">
        <f t="shared" si="689"/>
        <v>507</v>
      </c>
    </row>
    <row r="516" spans="1:82" outlineLevel="1" x14ac:dyDescent="0.3">
      <c r="A516" s="1">
        <v>130352000</v>
      </c>
      <c r="B516" s="47">
        <f>VLOOKUP(C516,'NCES ID'!$A$2:$B$3136,2,FALSE)</f>
        <v>409510</v>
      </c>
      <c r="C516" s="47">
        <f>VLOOKUP(A516,'State ID'!$A$2:$B$713,2,FALSE)</f>
        <v>4485</v>
      </c>
      <c r="D516" s="147" t="s">
        <v>448</v>
      </c>
      <c r="E516" s="47" t="s">
        <v>3</v>
      </c>
      <c r="F516" s="382">
        <f>IFERROR(VLOOKUP($B516,'update_Formula counts'!$D$7:$R$234,'update_Formula counts'!F$5,0),0)</f>
        <v>20</v>
      </c>
      <c r="G516" s="382">
        <f>IFERROR(VLOOKUP($B516,'update_Formula counts'!$D$7:$R$234,'update_Formula counts'!G$5,0),0)</f>
        <v>0</v>
      </c>
      <c r="H516" s="382">
        <f>IFERROR(VLOOKUP($B516,'update_Formula counts'!$D$7:$R$234,'update_Formula counts'!H$5,0),0)</f>
        <v>0</v>
      </c>
      <c r="I516" s="382">
        <f>IFERROR(VLOOKUP($B516,'update_Formula counts'!$D$7:$R$234,'update_Formula counts'!I$5,0),0)</f>
        <v>1</v>
      </c>
      <c r="J516" s="382">
        <f>IFERROR(VLOOKUP($B516,'update_Formula counts'!$D$7:$R$234,'update_Formula counts'!J$5,0),0)</f>
        <v>0</v>
      </c>
      <c r="K516" s="382">
        <f t="shared" ref="K516:K537" si="774">M516-I516</f>
        <v>20</v>
      </c>
      <c r="L516" s="444">
        <f>IFERROR(VLOOKUP($B516,'update_Formula counts'!$D$7:$R$234,'update_Formula counts'!L$5,0),0)</f>
        <v>67</v>
      </c>
      <c r="M516" s="445">
        <f>IFERROR(VLOOKUP($B516,'update_Formula counts'!$D$7:$R$234,'update_Formula counts'!K$5,0),0)</f>
        <v>21</v>
      </c>
      <c r="N516" s="446">
        <f>IFERROR(VLOOKUP($B516,'update_Formula counts'!$D$7:$R$234,'update_Formula counts'!M$5,0),0)</f>
        <v>0.31343283582089554</v>
      </c>
      <c r="O516" s="137">
        <f>VLOOKUP($C516,'Final SEA Counts'!$A$2:$F$709,5,FALSE)</f>
        <v>33</v>
      </c>
      <c r="P516" s="208">
        <f>VLOOKUP($C516,'Final SEA Counts'!$A$2:$F$709,6,FALSE)</f>
        <v>28</v>
      </c>
      <c r="Q516" s="748">
        <f t="shared" ref="Q516:Q537" si="775">-F516/($F$557-$F$558)*$S$556+(M516/($M$557-$M$558)*$M$558)</f>
        <v>-3.5886419725992176</v>
      </c>
      <c r="R516" s="444">
        <f t="shared" ref="R516:R537" si="776">L516-(L516/L$557)*R$556</f>
        <v>58.297765708256229</v>
      </c>
      <c r="S516" s="445">
        <f t="shared" ref="S516:S537" si="777">Q516+K516+I516</f>
        <v>17.411358027400784</v>
      </c>
      <c r="T516" s="229">
        <f t="shared" ref="T516:T555" si="778">S516/R516</f>
        <v>0.29866252704320978</v>
      </c>
      <c r="U516" s="261">
        <f>VLOOKUP($B516,update_Allocation!$D$8:$Q$235,update_Allocation!K$239,0)</f>
        <v>9930.6909180283092</v>
      </c>
      <c r="V516" s="262">
        <f>VLOOKUP($B516,update_Allocation!$D$8:$Q$235,update_Allocation!L$239,0)</f>
        <v>2365.5814052416026</v>
      </c>
      <c r="W516" s="262">
        <f>VLOOKUP($B516,update_Allocation!$D$8:$Q$235,update_Allocation!M$239,0)</f>
        <v>4874.532376432353</v>
      </c>
      <c r="X516" s="262">
        <f>VLOOKUP($B516,update_Allocation!$D$8:$Q$235,update_Allocation!N$239,0)</f>
        <v>4068.7499641931327</v>
      </c>
      <c r="Y516" s="263">
        <f>VLOOKUP($B516,update_Allocation!$D$8:$Q$235,update_Allocation!O$239,0)</f>
        <v>21239.554663895397</v>
      </c>
      <c r="Z516" s="262">
        <f>IF(U516=0,"",U516-(U516/U$557)*Z$556)</f>
        <v>8234.8606347529731</v>
      </c>
      <c r="AA516" s="262">
        <f>IF(V516=0,"",V516-(V516/V$557)*AA$556)</f>
        <v>1961.6191212801739</v>
      </c>
      <c r="AB516" s="262">
        <f>IF(W516=0,"",W516-(W516/W$557)*AB$556)</f>
        <v>4042.1250757728212</v>
      </c>
      <c r="AC516" s="263">
        <f>IF(X516=0,"",X516-(X516/X$557)*AC$556)</f>
        <v>3373.9433831295773</v>
      </c>
      <c r="AD516" s="262">
        <f t="shared" ref="AD516:AD555" si="779">IF(BT516="Y",Z516,"")</f>
        <v>8234.8606347529731</v>
      </c>
      <c r="AE516" s="262">
        <f t="shared" ref="AE516:AE555" si="780">IF(BU516="Y",AA516,"")</f>
        <v>1961.6191212801739</v>
      </c>
      <c r="AF516" s="262">
        <f t="shared" ref="AF516:AF555" si="781">IF(BV516="Y",AB516,"")</f>
        <v>4042.1250757728212</v>
      </c>
      <c r="AG516" s="263">
        <f t="shared" ref="AG516:AG555" si="782">IF(BW516="Y",AC516,"")</f>
        <v>3373.9433831295773</v>
      </c>
      <c r="AH516" s="262">
        <f>IF(AD516="","",AD516+AD$558)</f>
        <v>8485.2488922614448</v>
      </c>
      <c r="AI516" s="262">
        <f>IF(AE516="","",AE516+AE$558)</f>
        <v>4920.4326490010453</v>
      </c>
      <c r="AJ516" s="262">
        <f>IF(AF516="","",AF516+AF$558)</f>
        <v>4149.8415817565328</v>
      </c>
      <c r="AK516" s="262">
        <f>IF(AG516="","",AG516+AG$558)</f>
        <v>3461.3830416410606</v>
      </c>
      <c r="AL516" s="263">
        <f t="shared" ref="AL516:AL554" si="783">SUM(AH516:AK516)</f>
        <v>21016.906164660082</v>
      </c>
      <c r="AM516" s="346"/>
      <c r="AN516" s="261">
        <f>IFERROR(VLOOKUP($A516,'HH &amp; SI'!$B$4:$Z$494,'HH &amp; SI'!V$503,0),0)</f>
        <v>8369.5045899042652</v>
      </c>
      <c r="AO516" s="262">
        <f>IFERROR(VLOOKUP($A516,'HH &amp; SI'!$B$4:$Z$494,'HH &amp; SI'!W$503,0),0)</f>
        <v>4758.3715871134382</v>
      </c>
      <c r="AP516" s="262">
        <f>IFERROR(VLOOKUP($A516,'HH &amp; SI'!$B$4:$Z$494,'HH &amp; SI'!X$503,0),0)</f>
        <v>4112.1003928148402</v>
      </c>
      <c r="AQ516" s="262">
        <f>IFERROR(VLOOKUP($A516,'HH &amp; SI'!$B$4:$Z$494,'HH &amp; SI'!Y$503,0),0)</f>
        <v>3423.2448313299296</v>
      </c>
      <c r="AR516" s="263">
        <f t="shared" ref="AR516:AR555" si="784">SUM(AN516:AQ516)</f>
        <v>20663.221401162471</v>
      </c>
      <c r="AS516" s="346"/>
      <c r="AT516" s="323">
        <f>IFERROR(VLOOKUP(A516,'Afton FY16 Final'!$A$5:$BV$572,'Afton FY16 Final'!$BV$587,0),0)</f>
        <v>1707.7819043258114</v>
      </c>
      <c r="AU516" s="346"/>
      <c r="AV516" s="444">
        <v>0</v>
      </c>
      <c r="AW516" s="262">
        <f>IFERROR(VLOOKUP($A516,'HH &amp; SI'!$B$4:$EY$503,'HH &amp; SI'!EX$503,0),0)</f>
        <v>1157.4111065644465</v>
      </c>
      <c r="AX516" s="262">
        <f>IFERROR(VLOOKUP($A516,'HH &amp; SI'!$B$4:$EY$503,'HH &amp; SI'!EY$503,0),0)</f>
        <v>19505.810294598024</v>
      </c>
      <c r="AY516" s="262">
        <f>AX516/$AX$582*'update_State Admin 1004(b)'!$B$30*0.01</f>
        <v>186.68461687916155</v>
      </c>
      <c r="AZ516" s="263">
        <f t="shared" ref="AZ516:AZ554" si="785">AX516-AY516</f>
        <v>19319.125677718865</v>
      </c>
      <c r="BA516" s="261">
        <f t="shared" ref="BA516:BA519" si="786">AZ516*0.01</f>
        <v>193.19125677718864</v>
      </c>
      <c r="BB516" s="262">
        <f t="shared" ref="BB516:BB519" si="787">AZ516-BA516</f>
        <v>19125.934420941678</v>
      </c>
      <c r="BC516" s="341">
        <f t="shared" ref="BC516:BC519" si="788">IFERROR(BB516/AT516,"")</f>
        <v>11.199283920561337</v>
      </c>
      <c r="BD516" s="346"/>
      <c r="BE516" s="376" t="str">
        <f>'Original Title I &amp; II'!AZ513</f>
        <v/>
      </c>
      <c r="BF516" s="243" t="str">
        <f>IF(BE516&lt;0,BB516*BE516/100,"")</f>
        <v/>
      </c>
      <c r="BG516" s="263">
        <f t="shared" si="773"/>
        <v>19125.934420941678</v>
      </c>
      <c r="BI516" s="31" t="str">
        <f>IFERROR(VLOOKUP(A516,'Title II Hold Harmless'!A$1:B$439,2, FALSE),"")</f>
        <v/>
      </c>
      <c r="BJ516" s="31">
        <f>IFERROR($BI$587*(0.8*($S516/$S$584)+0.2*($R516/$R$584))+$BI516,$BI$587*(0.8*($S516/$S$584)+0.2*($R516/$R$584)))</f>
        <v>274.84823895906788</v>
      </c>
      <c r="BK516" s="31">
        <f>$BI$588*BJ516</f>
        <v>275.11412490797642</v>
      </c>
      <c r="BL516" s="31" t="str">
        <f t="shared" ref="BL516:BL554" si="789">IF(BE516&lt;0,BK516*BE516/100,"")</f>
        <v/>
      </c>
      <c r="BM516" s="31">
        <f t="shared" ref="BM516:BM554" si="790">IF(BL516&lt;0,BK516+BL516,BK516)</f>
        <v>275.11412490797642</v>
      </c>
      <c r="BN516" s="200"/>
      <c r="BP516" s="295" t="s">
        <v>1447</v>
      </c>
      <c r="BQ516" s="296" t="str">
        <f t="shared" si="682"/>
        <v>Y</v>
      </c>
      <c r="BR516" s="297" t="s">
        <v>1448</v>
      </c>
      <c r="BT516" s="295" t="str">
        <f t="shared" si="683"/>
        <v>Y</v>
      </c>
      <c r="BU516" s="296" t="str">
        <f t="shared" ref="BU516:BU555" si="791">IF(AND(BT516="Y",(OR(T516&gt;0.15,S516&gt;6500))),"Y","N")</f>
        <v>Y</v>
      </c>
      <c r="BV516" s="296" t="str">
        <f t="shared" ref="BV516:BV555" si="792">IF(AND(BT516="Y",T516&gt;=0.05),"Y","N")</f>
        <v>Y</v>
      </c>
      <c r="BW516" s="297" t="str">
        <f t="shared" si="684"/>
        <v>Y</v>
      </c>
      <c r="BY516" s="352">
        <f t="shared" si="685"/>
        <v>0</v>
      </c>
      <c r="BZ516" s="353">
        <f t="shared" si="686"/>
        <v>0.9</v>
      </c>
      <c r="CA516" s="353">
        <f t="shared" si="687"/>
        <v>0</v>
      </c>
      <c r="CB516" s="354">
        <f t="shared" si="688"/>
        <v>0.9</v>
      </c>
      <c r="CD516" s="311">
        <f t="shared" si="689"/>
        <v>508</v>
      </c>
    </row>
    <row r="517" spans="1:82" outlineLevel="1" x14ac:dyDescent="0.3">
      <c r="A517" s="1">
        <v>130335000</v>
      </c>
      <c r="B517" s="47">
        <f>VLOOKUP(C517,'NCES ID'!$A$2:$B$3136,2,FALSE)</f>
        <v>408460</v>
      </c>
      <c r="C517" s="47">
        <f>VLOOKUP(A517,'State ID'!$A$2:$B$713,2,FALSE)</f>
        <v>4482</v>
      </c>
      <c r="D517" s="147" t="s">
        <v>514</v>
      </c>
      <c r="E517" s="47" t="s">
        <v>3</v>
      </c>
      <c r="F517" s="382">
        <f>IFERROR(VLOOKUP($B517,'update_Formula counts'!$D$7:$R$234,'update_Formula counts'!F$5,0),0)</f>
        <v>4</v>
      </c>
      <c r="G517" s="382">
        <f>IFERROR(VLOOKUP($B517,'update_Formula counts'!$D$7:$R$234,'update_Formula counts'!G$5,0),0)</f>
        <v>0</v>
      </c>
      <c r="H517" s="382">
        <f>IFERROR(VLOOKUP($B517,'update_Formula counts'!$D$7:$R$234,'update_Formula counts'!H$5,0),0)</f>
        <v>0</v>
      </c>
      <c r="I517" s="382">
        <f>IFERROR(VLOOKUP($B517,'update_Formula counts'!$D$7:$R$234,'update_Formula counts'!I$5,0),0)</f>
        <v>0</v>
      </c>
      <c r="J517" s="382">
        <f>IFERROR(VLOOKUP($B517,'update_Formula counts'!$D$7:$R$234,'update_Formula counts'!J$5,0),0)</f>
        <v>0</v>
      </c>
      <c r="K517" s="382">
        <f t="shared" si="774"/>
        <v>4</v>
      </c>
      <c r="L517" s="444">
        <f>IFERROR(VLOOKUP($B517,'update_Formula counts'!$D$7:$R$234,'update_Formula counts'!L$5,0),0)</f>
        <v>22</v>
      </c>
      <c r="M517" s="445">
        <f>IFERROR(VLOOKUP($B517,'update_Formula counts'!$D$7:$R$234,'update_Formula counts'!K$5,0),0)</f>
        <v>4</v>
      </c>
      <c r="N517" s="446">
        <f>IFERROR(VLOOKUP($B517,'update_Formula counts'!$D$7:$R$234,'update_Formula counts'!M$5,0),0)</f>
        <v>0.18181818181818182</v>
      </c>
      <c r="O517" s="137">
        <f>VLOOKUP($C517,'Final SEA Counts'!$A$2:$F$709,5,FALSE)</f>
        <v>27</v>
      </c>
      <c r="P517" s="208">
        <f>VLOOKUP($C517,'Final SEA Counts'!$A$2:$F$709,6,FALSE)</f>
        <v>1</v>
      </c>
      <c r="Q517" s="748">
        <f t="shared" si="775"/>
        <v>-0.71772839451984349</v>
      </c>
      <c r="R517" s="444">
        <f t="shared" si="776"/>
        <v>19.142549934054284</v>
      </c>
      <c r="S517" s="445">
        <f t="shared" si="777"/>
        <v>3.2822716054801564</v>
      </c>
      <c r="T517" s="229"/>
      <c r="U517" s="261">
        <f>VLOOKUP($B517,update_Allocation!$D$8:$Q$235,update_Allocation!K$239,0)</f>
        <v>0</v>
      </c>
      <c r="V517" s="262">
        <f>VLOOKUP($B517,update_Allocation!$D$8:$Q$235,update_Allocation!L$239,0)</f>
        <v>0</v>
      </c>
      <c r="W517" s="262">
        <f>VLOOKUP($B517,update_Allocation!$D$8:$Q$235,update_Allocation!M$239,0)</f>
        <v>0</v>
      </c>
      <c r="X517" s="262">
        <f>VLOOKUP($B517,update_Allocation!$D$8:$Q$235,update_Allocation!N$239,0)</f>
        <v>0</v>
      </c>
      <c r="Y517" s="263">
        <f>VLOOKUP($B517,update_Allocation!$D$8:$Q$235,update_Allocation!O$239,0)</f>
        <v>0</v>
      </c>
      <c r="Z517" s="262" t="str">
        <f t="shared" ref="Z517:Z520" si="793">IF(U517=0,"",U517-(U517/U$557)*Z$556)</f>
        <v/>
      </c>
      <c r="AA517" s="262" t="str">
        <f t="shared" ref="AA517:AA520" si="794">IF(V517=0,"",V517-(V517/V$557)*AA$556)</f>
        <v/>
      </c>
      <c r="AB517" s="262" t="str">
        <f t="shared" ref="AB517:AB520" si="795">IF(W517=0,"",W517-(W517/W$557)*AB$556)</f>
        <v/>
      </c>
      <c r="AC517" s="263" t="str">
        <f t="shared" ref="AC517:AC520" si="796">IF(X517=0,"",X517-(X517/X$557)*AC$556)</f>
        <v/>
      </c>
      <c r="AD517" s="262" t="str">
        <f t="shared" si="779"/>
        <v/>
      </c>
      <c r="AE517" s="262" t="str">
        <f t="shared" si="780"/>
        <v/>
      </c>
      <c r="AF517" s="262" t="str">
        <f t="shared" si="781"/>
        <v/>
      </c>
      <c r="AG517" s="263" t="str">
        <f t="shared" si="782"/>
        <v/>
      </c>
      <c r="AH517" s="262"/>
      <c r="AI517" s="262"/>
      <c r="AJ517" s="262"/>
      <c r="AK517" s="262"/>
      <c r="AL517" s="263"/>
      <c r="AM517" s="346"/>
      <c r="AN517" s="261">
        <f>IFERROR(VLOOKUP($A517,'HH &amp; SI'!$B$4:$Z$494,'HH &amp; SI'!V$503,0),0)</f>
        <v>0</v>
      </c>
      <c r="AO517" s="262">
        <f>IFERROR(VLOOKUP($A517,'HH &amp; SI'!$B$4:$Z$494,'HH &amp; SI'!W$503,0),0)</f>
        <v>0</v>
      </c>
      <c r="AP517" s="262">
        <f>IFERROR(VLOOKUP($A517,'HH &amp; SI'!$B$4:$Z$494,'HH &amp; SI'!X$503,0),0)</f>
        <v>0</v>
      </c>
      <c r="AQ517" s="262">
        <f>IFERROR(VLOOKUP($A517,'HH &amp; SI'!$B$4:$Z$494,'HH &amp; SI'!Y$503,0),0)</f>
        <v>0</v>
      </c>
      <c r="AR517" s="263">
        <f t="shared" si="784"/>
        <v>0</v>
      </c>
      <c r="AS517" s="346"/>
      <c r="AT517" s="323">
        <f>IFERROR(VLOOKUP(A517,'Afton FY16 Final'!$A$5:$BV$572,'Afton FY16 Final'!$BV$587,0),0)</f>
        <v>0</v>
      </c>
      <c r="AU517" s="346"/>
      <c r="AV517" s="444">
        <v>0</v>
      </c>
      <c r="AW517" s="262">
        <f>IFERROR(VLOOKUP($A517,'HH &amp; SI'!$B$4:$EY$503,'HH &amp; SI'!EX$503,0),0)</f>
        <v>0</v>
      </c>
      <c r="AX517" s="262">
        <f>IFERROR(VLOOKUP($A517,'HH &amp; SI'!$B$4:$EY$503,'HH &amp; SI'!EY$503,0),0)</f>
        <v>0</v>
      </c>
      <c r="AY517" s="262">
        <f>AX517/$AX$582*'update_State Admin 1004(b)'!$B$30*0.01</f>
        <v>0</v>
      </c>
      <c r="AZ517" s="263">
        <f t="shared" si="785"/>
        <v>0</v>
      </c>
      <c r="BA517" s="261">
        <f t="shared" si="786"/>
        <v>0</v>
      </c>
      <c r="BB517" s="262">
        <f t="shared" si="787"/>
        <v>0</v>
      </c>
      <c r="BC517" s="341" t="str">
        <f t="shared" si="788"/>
        <v/>
      </c>
      <c r="BD517" s="346"/>
      <c r="BE517" s="376">
        <f>'Original Title I &amp; II'!AZ514</f>
        <v>0</v>
      </c>
      <c r="BF517" s="243"/>
      <c r="BG517" s="263">
        <f t="shared" si="773"/>
        <v>0</v>
      </c>
      <c r="BJ517" s="31"/>
      <c r="BK517" s="31"/>
      <c r="BM517" s="31"/>
      <c r="BN517" s="200"/>
      <c r="BP517" s="295" t="s">
        <v>1447</v>
      </c>
      <c r="BQ517" s="296" t="str">
        <f t="shared" si="682"/>
        <v>Y</v>
      </c>
      <c r="BR517" s="297" t="s">
        <v>1448</v>
      </c>
      <c r="BT517" s="295" t="str">
        <f t="shared" si="683"/>
        <v>N</v>
      </c>
      <c r="BU517" s="296" t="str">
        <f t="shared" si="791"/>
        <v>N</v>
      </c>
      <c r="BV517" s="296" t="str">
        <f t="shared" si="792"/>
        <v>N</v>
      </c>
      <c r="BW517" s="297" t="str">
        <f t="shared" si="684"/>
        <v>N</v>
      </c>
      <c r="BY517" s="352">
        <f t="shared" si="685"/>
        <v>0.85</v>
      </c>
      <c r="BZ517" s="353">
        <f t="shared" si="686"/>
        <v>0</v>
      </c>
      <c r="CA517" s="353">
        <f t="shared" si="687"/>
        <v>0</v>
      </c>
      <c r="CB517" s="354">
        <f t="shared" si="688"/>
        <v>0.85</v>
      </c>
      <c r="CD517" s="311">
        <f t="shared" si="689"/>
        <v>509</v>
      </c>
    </row>
    <row r="518" spans="1:82" outlineLevel="1" x14ac:dyDescent="0.3">
      <c r="A518" s="1">
        <v>130307000</v>
      </c>
      <c r="B518" s="47">
        <f>VLOOKUP(C518,'NCES ID'!$A$2:$B$3136,2,FALSE)</f>
        <v>409030</v>
      </c>
      <c r="C518" s="47">
        <v>4476</v>
      </c>
      <c r="D518" s="147" t="s">
        <v>459</v>
      </c>
      <c r="E518" s="47" t="s">
        <v>3</v>
      </c>
      <c r="F518" s="382">
        <f>IFERROR(VLOOKUP($B518,'update_Formula counts'!$D$7:$R$234,'update_Formula counts'!F$5,0),0)</f>
        <v>0</v>
      </c>
      <c r="G518" s="382">
        <f>IFERROR(VLOOKUP($B518,'update_Formula counts'!$D$7:$R$234,'update_Formula counts'!G$5,0),0)</f>
        <v>0</v>
      </c>
      <c r="H518" s="382">
        <f>IFERROR(VLOOKUP($B518,'update_Formula counts'!$D$7:$R$234,'update_Formula counts'!H$5,0),0)</f>
        <v>0</v>
      </c>
      <c r="I518" s="382">
        <f>IFERROR(VLOOKUP($B518,'update_Formula counts'!$D$7:$R$234,'update_Formula counts'!I$5,0),0)</f>
        <v>0</v>
      </c>
      <c r="J518" s="382">
        <f>IFERROR(VLOOKUP($B518,'update_Formula counts'!$D$7:$R$234,'update_Formula counts'!J$5,0),0)</f>
        <v>0</v>
      </c>
      <c r="K518" s="382">
        <f t="shared" si="774"/>
        <v>0</v>
      </c>
      <c r="L518" s="444">
        <f>IFERROR(VLOOKUP($B518,'update_Formula counts'!$D$7:$R$234,'update_Formula counts'!L$5,0),0)</f>
        <v>1</v>
      </c>
      <c r="M518" s="445">
        <f>IFERROR(VLOOKUP($B518,'update_Formula counts'!$D$7:$R$234,'update_Formula counts'!K$5,0),0)</f>
        <v>0</v>
      </c>
      <c r="N518" s="446">
        <f>IFERROR(VLOOKUP($B518,'update_Formula counts'!$D$7:$R$234,'update_Formula counts'!M$5,0),0)</f>
        <v>0</v>
      </c>
      <c r="O518" s="137"/>
      <c r="P518" s="208"/>
      <c r="Q518" s="748">
        <f t="shared" si="775"/>
        <v>0</v>
      </c>
      <c r="R518" s="444">
        <f t="shared" si="776"/>
        <v>0.87011590609337652</v>
      </c>
      <c r="S518" s="445">
        <f t="shared" si="777"/>
        <v>0</v>
      </c>
      <c r="T518" s="229"/>
      <c r="U518" s="261">
        <f>VLOOKUP($B518,update_Allocation!$D$8:$Q$235,update_Allocation!K$239,0)</f>
        <v>0</v>
      </c>
      <c r="V518" s="262">
        <f>VLOOKUP($B518,update_Allocation!$D$8:$Q$235,update_Allocation!L$239,0)</f>
        <v>0</v>
      </c>
      <c r="W518" s="262">
        <f>VLOOKUP($B518,update_Allocation!$D$8:$Q$235,update_Allocation!M$239,0)</f>
        <v>0</v>
      </c>
      <c r="X518" s="262">
        <f>VLOOKUP($B518,update_Allocation!$D$8:$Q$235,update_Allocation!N$239,0)</f>
        <v>0</v>
      </c>
      <c r="Y518" s="263">
        <f>VLOOKUP($B518,update_Allocation!$D$8:$Q$235,update_Allocation!O$239,0)</f>
        <v>0</v>
      </c>
      <c r="Z518" s="262" t="str">
        <f t="shared" si="793"/>
        <v/>
      </c>
      <c r="AA518" s="262" t="str">
        <f t="shared" si="794"/>
        <v/>
      </c>
      <c r="AB518" s="262" t="str">
        <f t="shared" si="795"/>
        <v/>
      </c>
      <c r="AC518" s="263" t="str">
        <f t="shared" si="796"/>
        <v/>
      </c>
      <c r="AD518" s="262" t="str">
        <f t="shared" si="779"/>
        <v/>
      </c>
      <c r="AE518" s="262" t="str">
        <f t="shared" si="780"/>
        <v/>
      </c>
      <c r="AF518" s="262" t="str">
        <f t="shared" si="781"/>
        <v/>
      </c>
      <c r="AG518" s="263" t="str">
        <f t="shared" si="782"/>
        <v/>
      </c>
      <c r="AH518" s="262"/>
      <c r="AI518" s="262"/>
      <c r="AJ518" s="262"/>
      <c r="AK518" s="262"/>
      <c r="AL518" s="263"/>
      <c r="AM518" s="346"/>
      <c r="AN518" s="261">
        <f>IFERROR(VLOOKUP($A518,'HH &amp; SI'!$B$4:$Z$494,'HH &amp; SI'!V$503,0),0)</f>
        <v>0</v>
      </c>
      <c r="AO518" s="262">
        <f>IFERROR(VLOOKUP($A518,'HH &amp; SI'!$B$4:$Z$494,'HH &amp; SI'!W$503,0),0)</f>
        <v>0</v>
      </c>
      <c r="AP518" s="262">
        <f>IFERROR(VLOOKUP($A518,'HH &amp; SI'!$B$4:$Z$494,'HH &amp; SI'!X$503,0),0)</f>
        <v>0</v>
      </c>
      <c r="AQ518" s="262">
        <f>IFERROR(VLOOKUP($A518,'HH &amp; SI'!$B$4:$Z$494,'HH &amp; SI'!Y$503,0),0)</f>
        <v>0</v>
      </c>
      <c r="AR518" s="263">
        <f t="shared" si="784"/>
        <v>0</v>
      </c>
      <c r="AS518" s="346"/>
      <c r="AT518" s="323">
        <f>IFERROR(VLOOKUP(A518,'Afton FY16 Final'!$A$5:$BV$572,'Afton FY16 Final'!$BV$587,0),0)</f>
        <v>0</v>
      </c>
      <c r="AU518" s="346"/>
      <c r="AV518" s="444">
        <v>0</v>
      </c>
      <c r="AW518" s="262">
        <f>IFERROR(VLOOKUP($A518,'HH &amp; SI'!$B$4:$EY$503,'HH &amp; SI'!EX$503,0),0)</f>
        <v>0</v>
      </c>
      <c r="AX518" s="262">
        <f>IFERROR(VLOOKUP($A518,'HH &amp; SI'!$B$4:$EY$503,'HH &amp; SI'!EY$503,0),0)</f>
        <v>0</v>
      </c>
      <c r="AY518" s="262">
        <f>AX518/$AX$582*'update_State Admin 1004(b)'!$B$30*0.01</f>
        <v>0</v>
      </c>
      <c r="AZ518" s="263">
        <f t="shared" si="785"/>
        <v>0</v>
      </c>
      <c r="BA518" s="261">
        <f t="shared" si="786"/>
        <v>0</v>
      </c>
      <c r="BB518" s="262">
        <f t="shared" si="787"/>
        <v>0</v>
      </c>
      <c r="BC518" s="341" t="str">
        <f t="shared" si="788"/>
        <v/>
      </c>
      <c r="BD518" s="346"/>
      <c r="BE518" s="376">
        <f>'Original Title I &amp; II'!AZ515</f>
        <v>0</v>
      </c>
      <c r="BF518" s="243"/>
      <c r="BG518" s="263">
        <f t="shared" si="773"/>
        <v>0</v>
      </c>
      <c r="BJ518" s="31"/>
      <c r="BK518" s="31"/>
      <c r="BM518" s="31"/>
      <c r="BN518" s="200"/>
      <c r="BP518" s="295" t="s">
        <v>1447</v>
      </c>
      <c r="BQ518" s="296" t="str">
        <f t="shared" si="682"/>
        <v>Y</v>
      </c>
      <c r="BR518" s="297" t="s">
        <v>1448</v>
      </c>
      <c r="BT518" s="295" t="str">
        <f t="shared" si="683"/>
        <v>N</v>
      </c>
      <c r="BU518" s="296" t="str">
        <f t="shared" si="791"/>
        <v>N</v>
      </c>
      <c r="BV518" s="296" t="str">
        <f t="shared" si="792"/>
        <v>N</v>
      </c>
      <c r="BW518" s="297" t="str">
        <f t="shared" si="684"/>
        <v>N</v>
      </c>
      <c r="BY518" s="352">
        <f t="shared" si="685"/>
        <v>0.85</v>
      </c>
      <c r="BZ518" s="353">
        <f t="shared" si="686"/>
        <v>0</v>
      </c>
      <c r="CA518" s="353">
        <f t="shared" si="687"/>
        <v>0</v>
      </c>
      <c r="CB518" s="354">
        <f t="shared" si="688"/>
        <v>0.85</v>
      </c>
      <c r="CD518" s="311">
        <f t="shared" si="689"/>
        <v>510</v>
      </c>
    </row>
    <row r="519" spans="1:82" outlineLevel="1" x14ac:dyDescent="0.3">
      <c r="A519" s="1">
        <v>130341000</v>
      </c>
      <c r="B519" s="47">
        <f>VLOOKUP(C519,'NCES ID'!$A$2:$B$3136,2,FALSE)</f>
        <v>402460</v>
      </c>
      <c r="C519" s="47">
        <v>4483</v>
      </c>
      <c r="D519" s="147" t="s">
        <v>527</v>
      </c>
      <c r="E519" s="47" t="s">
        <v>3</v>
      </c>
      <c r="F519" s="382">
        <f>IFERROR(VLOOKUP($B519,'update_Formula counts'!$D$7:$R$234,'update_Formula counts'!F$5,0),0)</f>
        <v>3</v>
      </c>
      <c r="G519" s="382">
        <f>IFERROR(VLOOKUP($B519,'update_Formula counts'!$D$7:$R$234,'update_Formula counts'!G$5,0),0)</f>
        <v>0</v>
      </c>
      <c r="H519" s="382">
        <f>IFERROR(VLOOKUP($B519,'update_Formula counts'!$D$7:$R$234,'update_Formula counts'!H$5,0),0)</f>
        <v>0</v>
      </c>
      <c r="I519" s="382">
        <f>IFERROR(VLOOKUP($B519,'update_Formula counts'!$D$7:$R$234,'update_Formula counts'!I$5,0),0)</f>
        <v>0</v>
      </c>
      <c r="J519" s="382">
        <f>IFERROR(VLOOKUP($B519,'update_Formula counts'!$D$7:$R$234,'update_Formula counts'!J$5,0),0)</f>
        <v>0</v>
      </c>
      <c r="K519" s="382">
        <f t="shared" si="774"/>
        <v>3</v>
      </c>
      <c r="L519" s="444">
        <f>IFERROR(VLOOKUP($B519,'update_Formula counts'!$D$7:$R$234,'update_Formula counts'!L$5,0),0)</f>
        <v>15</v>
      </c>
      <c r="M519" s="445">
        <f>IFERROR(VLOOKUP($B519,'update_Formula counts'!$D$7:$R$234,'update_Formula counts'!K$5,0),0)</f>
        <v>3</v>
      </c>
      <c r="N519" s="446">
        <f>IFERROR(VLOOKUP($B519,'update_Formula counts'!$D$7:$R$234,'update_Formula counts'!M$5,0),0)</f>
        <v>0.2</v>
      </c>
      <c r="O519" s="137">
        <f>VLOOKUP($C519,'Final SEA Counts'!$A$2:$F$709,5,FALSE)</f>
        <v>1</v>
      </c>
      <c r="P519" s="208">
        <f>VLOOKUP($C519,'Final SEA Counts'!$A$2:$F$709,6,FALSE)</f>
        <v>0</v>
      </c>
      <c r="Q519" s="748">
        <f t="shared" si="775"/>
        <v>-0.53829629588988259</v>
      </c>
      <c r="R519" s="444">
        <f t="shared" si="776"/>
        <v>13.051738591400648</v>
      </c>
      <c r="S519" s="445">
        <f t="shared" si="777"/>
        <v>2.4617037041101173</v>
      </c>
      <c r="T519" s="229"/>
      <c r="U519" s="261">
        <f>VLOOKUP($B519,update_Allocation!$D$8:$Q$235,update_Allocation!K$239,0)</f>
        <v>0</v>
      </c>
      <c r="V519" s="262">
        <f>VLOOKUP($B519,update_Allocation!$D$8:$Q$235,update_Allocation!L$239,0)</f>
        <v>0</v>
      </c>
      <c r="W519" s="262">
        <f>VLOOKUP($B519,update_Allocation!$D$8:$Q$235,update_Allocation!M$239,0)</f>
        <v>0</v>
      </c>
      <c r="X519" s="262">
        <f>VLOOKUP($B519,update_Allocation!$D$8:$Q$235,update_Allocation!N$239,0)</f>
        <v>0</v>
      </c>
      <c r="Y519" s="263">
        <f>VLOOKUP($B519,update_Allocation!$D$8:$Q$235,update_Allocation!O$239,0)</f>
        <v>0</v>
      </c>
      <c r="Z519" s="262" t="str">
        <f t="shared" si="793"/>
        <v/>
      </c>
      <c r="AA519" s="262" t="str">
        <f t="shared" si="794"/>
        <v/>
      </c>
      <c r="AB519" s="262" t="str">
        <f t="shared" si="795"/>
        <v/>
      </c>
      <c r="AC519" s="263" t="str">
        <f t="shared" si="796"/>
        <v/>
      </c>
      <c r="AD519" s="262" t="str">
        <f t="shared" si="779"/>
        <v/>
      </c>
      <c r="AE519" s="262" t="str">
        <f t="shared" si="780"/>
        <v/>
      </c>
      <c r="AF519" s="262" t="str">
        <f t="shared" si="781"/>
        <v/>
      </c>
      <c r="AG519" s="263" t="str">
        <f t="shared" si="782"/>
        <v/>
      </c>
      <c r="AH519" s="262"/>
      <c r="AI519" s="262"/>
      <c r="AJ519" s="262"/>
      <c r="AK519" s="262"/>
      <c r="AL519" s="263"/>
      <c r="AM519" s="346"/>
      <c r="AN519" s="261">
        <f>IFERROR(VLOOKUP($A519,'HH &amp; SI'!$B$4:$Z$494,'HH &amp; SI'!V$503,0),0)</f>
        <v>0</v>
      </c>
      <c r="AO519" s="262">
        <f>IFERROR(VLOOKUP($A519,'HH &amp; SI'!$B$4:$Z$494,'HH &amp; SI'!W$503,0),0)</f>
        <v>0</v>
      </c>
      <c r="AP519" s="262">
        <f>IFERROR(VLOOKUP($A519,'HH &amp; SI'!$B$4:$Z$494,'HH &amp; SI'!X$503,0),0)</f>
        <v>0</v>
      </c>
      <c r="AQ519" s="262">
        <f>IFERROR(VLOOKUP($A519,'HH &amp; SI'!$B$4:$Z$494,'HH &amp; SI'!Y$503,0),0)</f>
        <v>0</v>
      </c>
      <c r="AR519" s="263">
        <f t="shared" si="784"/>
        <v>0</v>
      </c>
      <c r="AS519" s="346"/>
      <c r="AT519" s="323">
        <f>IFERROR(VLOOKUP(A519,'Afton FY16 Final'!$A$5:$BV$572,'Afton FY16 Final'!$BV$587,0),0)</f>
        <v>0</v>
      </c>
      <c r="AU519" s="346"/>
      <c r="AV519" s="444">
        <v>0</v>
      </c>
      <c r="AW519" s="262">
        <f>IFERROR(VLOOKUP($A519,'HH &amp; SI'!$B$4:$EY$503,'HH &amp; SI'!EX$503,0),0)</f>
        <v>0</v>
      </c>
      <c r="AX519" s="262">
        <f>IFERROR(VLOOKUP($A519,'HH &amp; SI'!$B$4:$EY$503,'HH &amp; SI'!EY$503,0),0)</f>
        <v>0</v>
      </c>
      <c r="AY519" s="262">
        <f>AX519/$AX$582*'update_State Admin 1004(b)'!$B$30*0.01</f>
        <v>0</v>
      </c>
      <c r="AZ519" s="263">
        <f t="shared" si="785"/>
        <v>0</v>
      </c>
      <c r="BA519" s="261">
        <f t="shared" si="786"/>
        <v>0</v>
      </c>
      <c r="BB519" s="262">
        <f t="shared" si="787"/>
        <v>0</v>
      </c>
      <c r="BC519" s="341" t="str">
        <f t="shared" si="788"/>
        <v/>
      </c>
      <c r="BD519" s="346"/>
      <c r="BE519" s="376">
        <f>'Original Title I &amp; II'!AZ516</f>
        <v>0</v>
      </c>
      <c r="BF519" s="243"/>
      <c r="BG519" s="263">
        <f t="shared" si="773"/>
        <v>0</v>
      </c>
      <c r="BJ519" s="31"/>
      <c r="BK519" s="31"/>
      <c r="BM519" s="31"/>
      <c r="BN519" s="200"/>
      <c r="BP519" s="295" t="s">
        <v>1447</v>
      </c>
      <c r="BQ519" s="296" t="str">
        <f t="shared" si="682"/>
        <v>Y</v>
      </c>
      <c r="BR519" s="297" t="s">
        <v>1448</v>
      </c>
      <c r="BT519" s="295" t="str">
        <f t="shared" si="683"/>
        <v>N</v>
      </c>
      <c r="BU519" s="296" t="str">
        <f t="shared" si="791"/>
        <v>N</v>
      </c>
      <c r="BV519" s="296" t="str">
        <f t="shared" si="792"/>
        <v>N</v>
      </c>
      <c r="BW519" s="297" t="str">
        <f t="shared" si="684"/>
        <v>N</v>
      </c>
      <c r="BY519" s="352">
        <f t="shared" si="685"/>
        <v>0.85</v>
      </c>
      <c r="BZ519" s="353">
        <f t="shared" si="686"/>
        <v>0</v>
      </c>
      <c r="CA519" s="353">
        <f t="shared" si="687"/>
        <v>0</v>
      </c>
      <c r="CB519" s="354">
        <f t="shared" si="688"/>
        <v>0.85</v>
      </c>
      <c r="CD519" s="311">
        <f t="shared" si="689"/>
        <v>511</v>
      </c>
    </row>
    <row r="520" spans="1:82" outlineLevel="1" x14ac:dyDescent="0.3">
      <c r="A520" s="1">
        <v>130323000</v>
      </c>
      <c r="B520" s="47">
        <f>VLOOKUP(C520,'NCES ID'!$A$2:$B$3136,2,FALSE)</f>
        <v>404170</v>
      </c>
      <c r="C520" s="47">
        <f>VLOOKUP(A520,'State ID'!$A$2:$B$713,2,FALSE)</f>
        <v>4480</v>
      </c>
      <c r="D520" s="147" t="s">
        <v>243</v>
      </c>
      <c r="E520" s="47" t="s">
        <v>3</v>
      </c>
      <c r="F520" s="382">
        <f>IFERROR(VLOOKUP($B520,'update_Formula counts'!$D$7:$R$234,'update_Formula counts'!F$5,0),0)</f>
        <v>44</v>
      </c>
      <c r="G520" s="382">
        <f>IFERROR(VLOOKUP($B520,'update_Formula counts'!$D$7:$R$234,'update_Formula counts'!G$5,0),0)</f>
        <v>0</v>
      </c>
      <c r="H520" s="382">
        <f>IFERROR(VLOOKUP($B520,'update_Formula counts'!$D$7:$R$234,'update_Formula counts'!H$5,0),0)</f>
        <v>0</v>
      </c>
      <c r="I520" s="382">
        <f>IFERROR(VLOOKUP($B520,'update_Formula counts'!$D$7:$R$234,'update_Formula counts'!I$5,0),0)</f>
        <v>2</v>
      </c>
      <c r="J520" s="382">
        <f>IFERROR(VLOOKUP($B520,'update_Formula counts'!$D$7:$R$234,'update_Formula counts'!J$5,0),0)</f>
        <v>0</v>
      </c>
      <c r="K520" s="382">
        <f t="shared" si="774"/>
        <v>44</v>
      </c>
      <c r="L520" s="444">
        <f>IFERROR(VLOOKUP($B520,'update_Formula counts'!$D$7:$R$234,'update_Formula counts'!L$5,0),0)</f>
        <v>144</v>
      </c>
      <c r="M520" s="445">
        <f>IFERROR(VLOOKUP($B520,'update_Formula counts'!$D$7:$R$234,'update_Formula counts'!K$5,0),0)</f>
        <v>46</v>
      </c>
      <c r="N520" s="446">
        <f>IFERROR(VLOOKUP($B520,'update_Formula counts'!$D$7:$R$234,'update_Formula counts'!M$5,0),0)</f>
        <v>0.31944444444444442</v>
      </c>
      <c r="O520" s="137">
        <f>VLOOKUP($C520,'Final SEA Counts'!$A$2:$F$709,5,FALSE)</f>
        <v>72</v>
      </c>
      <c r="P520" s="208">
        <f>VLOOKUP($C520,'Final SEA Counts'!$A$2:$F$709,6,FALSE)</f>
        <v>59</v>
      </c>
      <c r="Q520" s="748">
        <f t="shared" si="775"/>
        <v>-7.8950123397182779</v>
      </c>
      <c r="R520" s="444">
        <f t="shared" si="776"/>
        <v>125.29669047744622</v>
      </c>
      <c r="S520" s="445">
        <f t="shared" si="777"/>
        <v>38.104987660281722</v>
      </c>
      <c r="T520" s="229">
        <f t="shared" si="778"/>
        <v>0.3041180697996228</v>
      </c>
      <c r="U520" s="261">
        <f>VLOOKUP($B520,update_Allocation!$D$8:$Q$235,update_Allocation!K$239,0)</f>
        <v>21752.942010919141</v>
      </c>
      <c r="V520" s="262">
        <f>VLOOKUP($B520,update_Allocation!$D$8:$Q$235,update_Allocation!L$239,0)</f>
        <v>5181.7497448149379</v>
      </c>
      <c r="W520" s="262">
        <f>VLOOKUP($B520,update_Allocation!$D$8:$Q$235,update_Allocation!M$239,0)</f>
        <v>11081.989363225906</v>
      </c>
      <c r="X520" s="262">
        <f>VLOOKUP($B520,update_Allocation!$D$8:$Q$235,update_Allocation!N$239,0)</f>
        <v>10353.461393798705</v>
      </c>
      <c r="Y520" s="263">
        <f>VLOOKUP($B520,update_Allocation!$D$8:$Q$235,update_Allocation!O$239,0)</f>
        <v>48370.142512758684</v>
      </c>
      <c r="Z520" s="262">
        <f t="shared" si="793"/>
        <v>18038.266152316028</v>
      </c>
      <c r="AA520" s="262">
        <f t="shared" si="794"/>
        <v>4296.8799799470462</v>
      </c>
      <c r="AB520" s="262">
        <f t="shared" si="795"/>
        <v>9189.5557635680761</v>
      </c>
      <c r="AC520" s="263">
        <f t="shared" si="796"/>
        <v>8585.4360355176013</v>
      </c>
      <c r="AD520" s="262">
        <f t="shared" si="779"/>
        <v>18038.266152316028</v>
      </c>
      <c r="AE520" s="262">
        <f t="shared" si="780"/>
        <v>4296.8799799470462</v>
      </c>
      <c r="AF520" s="262">
        <f t="shared" si="781"/>
        <v>9189.5557635680761</v>
      </c>
      <c r="AG520" s="263">
        <f t="shared" si="782"/>
        <v>8585.4360355176013</v>
      </c>
      <c r="AH520" s="262">
        <f t="shared" ref="AH520:AK555" si="797">IF(AD520="","",AD520+AD$558)</f>
        <v>18288.654409824499</v>
      </c>
      <c r="AI520" s="262">
        <f t="shared" si="797"/>
        <v>7255.6935076679183</v>
      </c>
      <c r="AJ520" s="262">
        <f t="shared" si="797"/>
        <v>9297.2722695517878</v>
      </c>
      <c r="AK520" s="262">
        <f t="shared" si="797"/>
        <v>8672.8756940290841</v>
      </c>
      <c r="AL520" s="263">
        <f t="shared" si="783"/>
        <v>43514.495881073286</v>
      </c>
      <c r="AM520" s="346"/>
      <c r="AN520" s="261">
        <f>IFERROR(VLOOKUP($A520,'HH &amp; SI'!$B$4:$Z$494,'HH &amp; SI'!V$503,0),0)</f>
        <v>18039.185293173457</v>
      </c>
      <c r="AO520" s="262">
        <f>IFERROR(VLOOKUP($A520,'HH &amp; SI'!$B$4:$Z$494,'HH &amp; SI'!W$503,0),0)</f>
        <v>7016.7174910319818</v>
      </c>
      <c r="AP520" s="262">
        <f>IFERROR(VLOOKUP($A520,'HH &amp; SI'!$B$4:$Z$494,'HH &amp; SI'!X$503,0),0)</f>
        <v>9596.6443761769478</v>
      </c>
      <c r="AQ520" s="262">
        <f>IFERROR(VLOOKUP($A520,'HH &amp; SI'!$B$4:$Z$494,'HH &amp; SI'!Y$503,0),0)</f>
        <v>8770.3915154822189</v>
      </c>
      <c r="AR520" s="263">
        <f t="shared" si="784"/>
        <v>43422.9386758646</v>
      </c>
      <c r="AS520" s="346"/>
      <c r="AT520" s="323">
        <f>IFERROR(VLOOKUP(A520,'Afton FY16 Final'!$A$5:$BV$572,'Afton FY16 Final'!$BV$587,0),0)</f>
        <v>41450.171366936695</v>
      </c>
      <c r="AU520" s="346"/>
      <c r="AV520" s="444">
        <v>0</v>
      </c>
      <c r="AW520" s="262">
        <f>IFERROR(VLOOKUP($A520,'HH &amp; SI'!$B$4:$EY$503,'HH &amp; SI'!EX$503,0),0)</f>
        <v>1972.7673089279051</v>
      </c>
      <c r="AX520" s="262">
        <f>IFERROR(VLOOKUP($A520,'HH &amp; SI'!$B$4:$EY$503,'HH &amp; SI'!EY$503,0),0)</f>
        <v>41450.171366936695</v>
      </c>
      <c r="AY520" s="262">
        <f>AX520/$AX$582*'update_State Admin 1004(b)'!$B$30*0.01</f>
        <v>396.70791647938751</v>
      </c>
      <c r="AZ520" s="263">
        <f t="shared" si="785"/>
        <v>41053.463450457304</v>
      </c>
      <c r="BA520" s="261">
        <f t="shared" ref="BA520:BA554" si="798">AZ520*0.01</f>
        <v>410.53463450457303</v>
      </c>
      <c r="BB520" s="262">
        <f t="shared" ref="BB520:BB554" si="799">AZ520-BA520</f>
        <v>40642.928815952728</v>
      </c>
      <c r="BC520" s="341">
        <f t="shared" si="690"/>
        <v>0.98052498881517591</v>
      </c>
      <c r="BD520" s="346"/>
      <c r="BE520" s="376" t="str">
        <f>'Original Title I &amp; II'!AZ517</f>
        <v/>
      </c>
      <c r="BF520" s="243" t="str">
        <f t="shared" ref="BF520:BF538" si="800">IF(BE520&lt;0,BB520*BE520/100,"")</f>
        <v/>
      </c>
      <c r="BG520" s="263">
        <f t="shared" si="773"/>
        <v>40642.928815952728</v>
      </c>
      <c r="BI520" s="31">
        <f>IFERROR(VLOOKUP(A520,'Title II Hold Harmless'!A$1:B$439,2, FALSE),"")</f>
        <v>2883</v>
      </c>
      <c r="BJ520" s="31">
        <f t="shared" ref="BJ520:BJ536" si="801">IFERROR($BI$587*(0.8*($S520/$S$584)+0.2*($R520/$R$584))+$BI520,$BI$587*(0.8*($S520/$S$584)+0.2*($R520/$R$584)))</f>
        <v>3482.6670325838427</v>
      </c>
      <c r="BK520" s="31">
        <f t="shared" ref="BK520:BK536" si="802">$BI$588*BJ520</f>
        <v>3486.0361363197735</v>
      </c>
      <c r="BL520" s="31" t="str">
        <f t="shared" si="789"/>
        <v/>
      </c>
      <c r="BM520" s="31">
        <f t="shared" si="790"/>
        <v>3486.0361363197735</v>
      </c>
      <c r="BN520" s="200"/>
      <c r="BP520" s="295" t="s">
        <v>1447</v>
      </c>
      <c r="BQ520" s="296" t="str">
        <f t="shared" si="682"/>
        <v>Y</v>
      </c>
      <c r="BR520" s="297" t="s">
        <v>1448</v>
      </c>
      <c r="BT520" s="295" t="str">
        <f t="shared" si="683"/>
        <v>Y</v>
      </c>
      <c r="BU520" s="296" t="str">
        <f t="shared" si="791"/>
        <v>Y</v>
      </c>
      <c r="BV520" s="296" t="str">
        <f t="shared" si="792"/>
        <v>Y</v>
      </c>
      <c r="BW520" s="297" t="str">
        <f t="shared" si="684"/>
        <v>Y</v>
      </c>
      <c r="BY520" s="352">
        <f t="shared" si="685"/>
        <v>0</v>
      </c>
      <c r="BZ520" s="353">
        <f t="shared" si="686"/>
        <v>0</v>
      </c>
      <c r="CA520" s="353">
        <f t="shared" si="687"/>
        <v>0.95</v>
      </c>
      <c r="CB520" s="354">
        <f t="shared" si="688"/>
        <v>0.95</v>
      </c>
      <c r="CD520" s="311">
        <f t="shared" si="689"/>
        <v>512</v>
      </c>
    </row>
    <row r="521" spans="1:82" outlineLevel="1" x14ac:dyDescent="0.3">
      <c r="A521" s="1">
        <v>130240000</v>
      </c>
      <c r="B521" s="47">
        <f>VLOOKUP(C521,'NCES ID'!$A$2:$B$3136,2,FALSE)</f>
        <v>407630</v>
      </c>
      <c r="C521" s="47">
        <f>VLOOKUP(A521,'State ID'!$A$2:$B$713,2,FALSE)</f>
        <v>4472</v>
      </c>
      <c r="D521" s="147" t="s">
        <v>382</v>
      </c>
      <c r="E521" s="47" t="s">
        <v>3</v>
      </c>
      <c r="F521" s="382">
        <f>IFERROR(VLOOKUP($B521,'update_Formula counts'!$D$7:$R$234,'update_Formula counts'!F$5,0),0)</f>
        <v>33</v>
      </c>
      <c r="G521" s="382">
        <f>IFERROR(VLOOKUP($B521,'update_Formula counts'!$D$7:$R$234,'update_Formula counts'!G$5,0),0)</f>
        <v>0</v>
      </c>
      <c r="H521" s="382">
        <f>IFERROR(VLOOKUP($B521,'update_Formula counts'!$D$7:$R$234,'update_Formula counts'!H$5,0),0)</f>
        <v>0</v>
      </c>
      <c r="I521" s="382">
        <f>IFERROR(VLOOKUP($B521,'update_Formula counts'!$D$7:$R$234,'update_Formula counts'!I$5,0),0)</f>
        <v>2</v>
      </c>
      <c r="J521" s="382">
        <f>IFERROR(VLOOKUP($B521,'update_Formula counts'!$D$7:$R$234,'update_Formula counts'!J$5,0),0)</f>
        <v>0</v>
      </c>
      <c r="K521" s="382">
        <f t="shared" si="774"/>
        <v>33</v>
      </c>
      <c r="L521" s="444">
        <f>IFERROR(VLOOKUP($B521,'update_Formula counts'!$D$7:$R$234,'update_Formula counts'!L$5,0),0)</f>
        <v>145</v>
      </c>
      <c r="M521" s="445">
        <f>IFERROR(VLOOKUP($B521,'update_Formula counts'!$D$7:$R$234,'update_Formula counts'!K$5,0),0)</f>
        <v>35</v>
      </c>
      <c r="N521" s="446">
        <f>IFERROR(VLOOKUP($B521,'update_Formula counts'!$D$7:$R$234,'update_Formula counts'!M$5,0),0)</f>
        <v>0.2413793103448276</v>
      </c>
      <c r="O521" s="137">
        <f>VLOOKUP($C521,'Final SEA Counts'!$A$2:$F$709,5,FALSE)</f>
        <v>139</v>
      </c>
      <c r="P521" s="208">
        <f>VLOOKUP($C521,'Final SEA Counts'!$A$2:$F$709,6,FALSE)</f>
        <v>103</v>
      </c>
      <c r="Q521" s="748">
        <f t="shared" si="775"/>
        <v>-5.9212592547887084</v>
      </c>
      <c r="R521" s="444">
        <f t="shared" si="776"/>
        <v>126.16680638353959</v>
      </c>
      <c r="S521" s="445">
        <f t="shared" si="777"/>
        <v>29.078740745211292</v>
      </c>
      <c r="T521" s="229">
        <f t="shared" si="778"/>
        <v>0.23047853535115764</v>
      </c>
      <c r="U521" s="261">
        <f>VLOOKUP($B521,update_Allocation!$D$8:$Q$235,update_Allocation!K$239,0)</f>
        <v>16551.151530047166</v>
      </c>
      <c r="V521" s="262">
        <f>VLOOKUP($B521,update_Allocation!$D$8:$Q$235,update_Allocation!L$239,0)</f>
        <v>3942.635675402671</v>
      </c>
      <c r="W521" s="262">
        <f>VLOOKUP($B521,update_Allocation!$D$8:$Q$235,update_Allocation!M$239,0)</f>
        <v>6638.0433301982093</v>
      </c>
      <c r="X521" s="262">
        <f>VLOOKUP($B521,update_Allocation!$D$8:$Q$235,update_Allocation!N$239,0)</f>
        <v>5050.3491028864673</v>
      </c>
      <c r="Y521" s="263">
        <f>VLOOKUP($B521,update_Allocation!$D$8:$Q$235,update_Allocation!O$239,0)</f>
        <v>32182.179638534511</v>
      </c>
      <c r="Z521" s="262">
        <f t="shared" ref="Z521:Z537" si="803">IF(U521=0,"",U521-(U521/U$557)*Z$556)</f>
        <v>13724.767724588277</v>
      </c>
      <c r="AA521" s="262">
        <f t="shared" ref="AA521:AA537" si="804">IF(V521=0,"",V521-(V521/V$557)*AA$556)</f>
        <v>3269.3652021336229</v>
      </c>
      <c r="AB521" s="262">
        <f t="shared" ref="AB521:AB537" si="805">IF(W521=0,"",W521-(W521/W$557)*AB$556)</f>
        <v>5504.4872670840232</v>
      </c>
      <c r="AC521" s="263">
        <f t="shared" ref="AC521:AC537" si="806">IF(X521=0,"",X521-(X521/X$557)*AC$556)</f>
        <v>4187.9181783433296</v>
      </c>
      <c r="AD521" s="262">
        <f t="shared" si="779"/>
        <v>13724.767724588277</v>
      </c>
      <c r="AE521" s="262">
        <f t="shared" si="780"/>
        <v>3269.3652021336229</v>
      </c>
      <c r="AF521" s="262">
        <f t="shared" si="781"/>
        <v>5504.4872670840232</v>
      </c>
      <c r="AG521" s="263">
        <f t="shared" si="782"/>
        <v>4187.9181783433296</v>
      </c>
      <c r="AH521" s="262">
        <f t="shared" si="797"/>
        <v>13975.155982096749</v>
      </c>
      <c r="AI521" s="262">
        <f t="shared" si="797"/>
        <v>6228.178729854495</v>
      </c>
      <c r="AJ521" s="262">
        <f t="shared" si="797"/>
        <v>5612.2037730677348</v>
      </c>
      <c r="AK521" s="262">
        <f t="shared" si="797"/>
        <v>4275.3578368548133</v>
      </c>
      <c r="AL521" s="263">
        <f t="shared" si="783"/>
        <v>30090.896321873792</v>
      </c>
      <c r="AM521" s="346"/>
      <c r="AN521" s="261">
        <f>IFERROR(VLOOKUP($A521,'HH &amp; SI'!$B$4:$Z$494,'HH &amp; SI'!V$503,0),0)</f>
        <v>13784.525783735009</v>
      </c>
      <c r="AO521" s="262">
        <f>IFERROR(VLOOKUP($A521,'HH &amp; SI'!$B$4:$Z$494,'HH &amp; SI'!W$503,0),0)</f>
        <v>6023.0452933078222</v>
      </c>
      <c r="AP521" s="262">
        <f>IFERROR(VLOOKUP($A521,'HH &amp; SI'!$B$4:$Z$494,'HH &amp; SI'!X$503,0),0)</f>
        <v>5561.1629709537965</v>
      </c>
      <c r="AQ521" s="262">
        <f>IFERROR(VLOOKUP($A521,'HH &amp; SI'!$B$4:$Z$494,'HH &amp; SI'!Y$503,0),0)</f>
        <v>4228.2510895299047</v>
      </c>
      <c r="AR521" s="263">
        <f t="shared" si="784"/>
        <v>29596.985137526532</v>
      </c>
      <c r="AS521" s="346"/>
      <c r="AT521" s="323">
        <f>IFERROR(VLOOKUP(A521,'Afton FY16 Final'!$A$5:$BV$572,'Afton FY16 Final'!$BV$587,0),0)</f>
        <v>21741.787176105012</v>
      </c>
      <c r="AU521" s="346"/>
      <c r="AV521" s="444">
        <v>0</v>
      </c>
      <c r="AW521" s="262">
        <f>IFERROR(VLOOKUP($A521,'HH &amp; SI'!$B$4:$EY$503,'HH &amp; SI'!EX$503,0),0)</f>
        <v>1657.8189167091405</v>
      </c>
      <c r="AX521" s="262">
        <f>IFERROR(VLOOKUP($A521,'HH &amp; SI'!$B$4:$EY$503,'HH &amp; SI'!EY$503,0),0)</f>
        <v>27939.166220817391</v>
      </c>
      <c r="AY521" s="262">
        <f>AX521/$AX$582*'update_State Admin 1004(b)'!$B$30*0.01</f>
        <v>267.39789135040365</v>
      </c>
      <c r="AZ521" s="263">
        <f t="shared" si="785"/>
        <v>27671.768329466988</v>
      </c>
      <c r="BA521" s="261">
        <f t="shared" si="798"/>
        <v>276.71768329466988</v>
      </c>
      <c r="BB521" s="262">
        <f t="shared" si="799"/>
        <v>27395.050646172316</v>
      </c>
      <c r="BC521" s="341">
        <f t="shared" si="690"/>
        <v>1.2600183427552101</v>
      </c>
      <c r="BD521" s="346"/>
      <c r="BE521" s="376" t="str">
        <f>'Original Title I &amp; II'!AZ518</f>
        <v/>
      </c>
      <c r="BF521" s="243" t="str">
        <f t="shared" si="800"/>
        <v/>
      </c>
      <c r="BG521" s="263">
        <f t="shared" si="773"/>
        <v>27395.050646172316</v>
      </c>
      <c r="BI521" s="31">
        <f>IFERROR(VLOOKUP(A521,'Title II Hold Harmless'!A$1:B$439,2, FALSE),"")</f>
        <v>6892</v>
      </c>
      <c r="BJ521" s="31">
        <f t="shared" si="801"/>
        <v>7374.2056740679536</v>
      </c>
      <c r="BK521" s="31">
        <f t="shared" si="802"/>
        <v>7381.3394206057592</v>
      </c>
      <c r="BL521" s="31" t="str">
        <f t="shared" si="789"/>
        <v/>
      </c>
      <c r="BM521" s="31">
        <f t="shared" si="790"/>
        <v>7381.3394206057592</v>
      </c>
      <c r="BN521" s="200"/>
      <c r="BP521" s="295" t="s">
        <v>1447</v>
      </c>
      <c r="BQ521" s="296" t="str">
        <f t="shared" si="682"/>
        <v>Y</v>
      </c>
      <c r="BR521" s="297" t="s">
        <v>1448</v>
      </c>
      <c r="BT521" s="295" t="str">
        <f t="shared" si="683"/>
        <v>Y</v>
      </c>
      <c r="BU521" s="296" t="str">
        <f t="shared" si="791"/>
        <v>Y</v>
      </c>
      <c r="BV521" s="296" t="str">
        <f t="shared" si="792"/>
        <v>Y</v>
      </c>
      <c r="BW521" s="297" t="str">
        <f t="shared" si="684"/>
        <v>Y</v>
      </c>
      <c r="BY521" s="352">
        <f t="shared" si="685"/>
        <v>0</v>
      </c>
      <c r="BZ521" s="353">
        <f t="shared" si="686"/>
        <v>0.9</v>
      </c>
      <c r="CA521" s="353">
        <f t="shared" si="687"/>
        <v>0</v>
      </c>
      <c r="CB521" s="354">
        <f t="shared" si="688"/>
        <v>0.9</v>
      </c>
      <c r="CD521" s="311">
        <f t="shared" si="689"/>
        <v>513</v>
      </c>
    </row>
    <row r="522" spans="1:82" outlineLevel="1" x14ac:dyDescent="0.3">
      <c r="A522" s="1">
        <v>130317000</v>
      </c>
      <c r="B522" s="47">
        <f>VLOOKUP(C522,'NCES ID'!$A$2:$B$3136,2,FALSE)</f>
        <v>402220</v>
      </c>
      <c r="C522" s="47">
        <f>VLOOKUP(A522,'State ID'!$A$2:$B$713,2,FALSE)</f>
        <v>4479</v>
      </c>
      <c r="D522" s="147" t="s">
        <v>113</v>
      </c>
      <c r="E522" s="47" t="s">
        <v>3</v>
      </c>
      <c r="F522" s="382">
        <f>IFERROR(VLOOKUP($B522,'update_Formula counts'!$D$7:$R$234,'update_Formula counts'!F$5,0),0)</f>
        <v>61</v>
      </c>
      <c r="G522" s="382">
        <f>IFERROR(VLOOKUP($B522,'update_Formula counts'!$D$7:$R$234,'update_Formula counts'!G$5,0),0)</f>
        <v>0</v>
      </c>
      <c r="H522" s="382">
        <f>IFERROR(VLOOKUP($B522,'update_Formula counts'!$D$7:$R$234,'update_Formula counts'!H$5,0),0)</f>
        <v>0</v>
      </c>
      <c r="I522" s="382">
        <f>IFERROR(VLOOKUP($B522,'update_Formula counts'!$D$7:$R$234,'update_Formula counts'!I$5,0),0)</f>
        <v>3</v>
      </c>
      <c r="J522" s="382">
        <f>IFERROR(VLOOKUP($B522,'update_Formula counts'!$D$7:$R$234,'update_Formula counts'!J$5,0),0)</f>
        <v>0</v>
      </c>
      <c r="K522" s="382">
        <f t="shared" si="774"/>
        <v>61</v>
      </c>
      <c r="L522" s="444">
        <f>IFERROR(VLOOKUP($B522,'update_Formula counts'!$D$7:$R$234,'update_Formula counts'!L$5,0),0)</f>
        <v>211</v>
      </c>
      <c r="M522" s="445">
        <f>IFERROR(VLOOKUP($B522,'update_Formula counts'!$D$7:$R$234,'update_Formula counts'!K$5,0),0)</f>
        <v>64</v>
      </c>
      <c r="N522" s="446">
        <f>IFERROR(VLOOKUP($B522,'update_Formula counts'!$D$7:$R$234,'update_Formula counts'!M$5,0),0)</f>
        <v>0.30331753554502372</v>
      </c>
      <c r="O522" s="137">
        <f>VLOOKUP($C522,'Final SEA Counts'!$A$2:$F$709,5,FALSE)</f>
        <v>100</v>
      </c>
      <c r="P522" s="208">
        <f>VLOOKUP($C522,'Final SEA Counts'!$A$2:$F$709,6,FALSE)</f>
        <v>100</v>
      </c>
      <c r="Q522" s="748">
        <f t="shared" si="775"/>
        <v>-10.945358016427614</v>
      </c>
      <c r="R522" s="444">
        <f t="shared" si="776"/>
        <v>183.59445618570246</v>
      </c>
      <c r="S522" s="445">
        <f t="shared" si="777"/>
        <v>53.054641983572388</v>
      </c>
      <c r="T522" s="229">
        <f t="shared" si="778"/>
        <v>0.28897736394561163</v>
      </c>
      <c r="U522" s="261">
        <f>VLOOKUP($B522,update_Allocation!$D$8:$Q$235,update_Allocation!K$239,0)</f>
        <v>30264.962797800552</v>
      </c>
      <c r="V522" s="262">
        <f>VLOOKUP($B522,update_Allocation!$D$8:$Q$235,update_Allocation!L$239,0)</f>
        <v>7209.390949307739</v>
      </c>
      <c r="W522" s="262">
        <f>VLOOKUP($B522,update_Allocation!$D$8:$Q$235,update_Allocation!M$239,0)</f>
        <v>14361.177337180457</v>
      </c>
      <c r="X522" s="262">
        <f>VLOOKUP($B522,update_Allocation!$D$8:$Q$235,update_Allocation!N$239,0)</f>
        <v>11750.154329596826</v>
      </c>
      <c r="Y522" s="263">
        <f>VLOOKUP($B522,update_Allocation!$D$8:$Q$235,update_Allocation!O$239,0)</f>
        <v>63585.685413885571</v>
      </c>
      <c r="Z522" s="262">
        <f t="shared" si="803"/>
        <v>25096.718124961437</v>
      </c>
      <c r="AA522" s="262">
        <f t="shared" si="804"/>
        <v>5978.2677981871948</v>
      </c>
      <c r="AB522" s="262">
        <f t="shared" si="805"/>
        <v>11908.767969805498</v>
      </c>
      <c r="AC522" s="263">
        <f t="shared" si="806"/>
        <v>9743.6204731141224</v>
      </c>
      <c r="AD522" s="262">
        <f t="shared" si="779"/>
        <v>25096.718124961437</v>
      </c>
      <c r="AE522" s="262">
        <f t="shared" si="780"/>
        <v>5978.2677981871948</v>
      </c>
      <c r="AF522" s="262">
        <f t="shared" si="781"/>
        <v>11908.767969805498</v>
      </c>
      <c r="AG522" s="263">
        <f t="shared" si="782"/>
        <v>9743.6204731141224</v>
      </c>
      <c r="AH522" s="262">
        <f t="shared" si="797"/>
        <v>25347.106382469909</v>
      </c>
      <c r="AI522" s="262">
        <f t="shared" si="797"/>
        <v>8937.081325908066</v>
      </c>
      <c r="AJ522" s="262">
        <f t="shared" si="797"/>
        <v>12016.48447578921</v>
      </c>
      <c r="AK522" s="262">
        <f t="shared" si="797"/>
        <v>9831.0601316256052</v>
      </c>
      <c r="AL522" s="263">
        <f t="shared" si="783"/>
        <v>56131.732315792789</v>
      </c>
      <c r="AM522" s="346"/>
      <c r="AN522" s="261">
        <f>IFERROR(VLOOKUP($A522,'HH &amp; SI'!$B$4:$Z$494,'HH &amp; SI'!V$503,0),0)</f>
        <v>25001.355399527285</v>
      </c>
      <c r="AO522" s="262">
        <f>IFERROR(VLOOKUP($A522,'HH &amp; SI'!$B$4:$Z$494,'HH &amp; SI'!W$503,0),0)</f>
        <v>8642.7265418533316</v>
      </c>
      <c r="AP522" s="262">
        <f>IFERROR(VLOOKUP($A522,'HH &amp; SI'!$B$4:$Z$494,'HH &amp; SI'!X$503,0),0)</f>
        <v>11907.199241140877</v>
      </c>
      <c r="AQ522" s="262">
        <f>IFERROR(VLOOKUP($A522,'HH &amp; SI'!$B$4:$Z$494,'HH &amp; SI'!Y$503,0),0)</f>
        <v>9722.7395457873063</v>
      </c>
      <c r="AR522" s="263">
        <f t="shared" si="784"/>
        <v>55274.020728308802</v>
      </c>
      <c r="AS522" s="346"/>
      <c r="AT522" s="323">
        <f>IFERROR(VLOOKUP(A522,'Afton FY16 Final'!$A$5:$BV$572,'Afton FY16 Final'!$BV$587,0),0)</f>
        <v>39545.291713990482</v>
      </c>
      <c r="AU522" s="346"/>
      <c r="AV522" s="444">
        <v>0</v>
      </c>
      <c r="AW522" s="262">
        <f>IFERROR(VLOOKUP($A522,'HH &amp; SI'!$B$4:$EY$503,'HH &amp; SI'!EX$503,0),0)</f>
        <v>3096.0693036865559</v>
      </c>
      <c r="AX522" s="262">
        <f>IFERROR(VLOOKUP($A522,'HH &amp; SI'!$B$4:$EY$503,'HH &amp; SI'!EY$503,0),0)</f>
        <v>52177.951424622246</v>
      </c>
      <c r="AY522" s="262">
        <f>AX522/$AX$582*'update_State Admin 1004(b)'!$B$30*0.01</f>
        <v>499.38047813080334</v>
      </c>
      <c r="AZ522" s="263">
        <f t="shared" si="785"/>
        <v>51678.57094649144</v>
      </c>
      <c r="BA522" s="261">
        <f t="shared" si="798"/>
        <v>516.78570946491436</v>
      </c>
      <c r="BB522" s="262">
        <f t="shared" si="799"/>
        <v>51161.785237026525</v>
      </c>
      <c r="BC522" s="341">
        <f t="shared" ref="BC522:BC578" si="807">IFERROR(BB522/AT522,"")</f>
        <v>1.2937516204723385</v>
      </c>
      <c r="BD522" s="346"/>
      <c r="BE522" s="376" t="str">
        <f>'Original Title I &amp; II'!AZ519</f>
        <v/>
      </c>
      <c r="BF522" s="243" t="str">
        <f t="shared" si="800"/>
        <v/>
      </c>
      <c r="BG522" s="263">
        <f t="shared" si="773"/>
        <v>51161.785237026525</v>
      </c>
      <c r="BI522" s="31">
        <f>IFERROR(VLOOKUP(A522,'Title II Hold Harmless'!A$1:B$439,2, FALSE),"")</f>
        <v>5038</v>
      </c>
      <c r="BJ522" s="31">
        <f t="shared" si="801"/>
        <v>5880.2893731264739</v>
      </c>
      <c r="BK522" s="31">
        <f t="shared" si="802"/>
        <v>5885.9779171962919</v>
      </c>
      <c r="BL522" s="31" t="str">
        <f t="shared" si="789"/>
        <v/>
      </c>
      <c r="BM522" s="31">
        <f t="shared" si="790"/>
        <v>5885.9779171962919</v>
      </c>
      <c r="BN522" s="200"/>
      <c r="BP522" s="295" t="s">
        <v>1447</v>
      </c>
      <c r="BQ522" s="296" t="str">
        <f t="shared" ref="BQ522:BQ578" si="808">IF(OR(BP522="y",BP522="n"),"Y","N")</f>
        <v>Y</v>
      </c>
      <c r="BR522" s="297" t="s">
        <v>1448</v>
      </c>
      <c r="BT522" s="295" t="str">
        <f t="shared" ref="BT522:BT578" si="809">IF(AND(S522&gt;=10,T522&gt;0.02),"Y","N")</f>
        <v>Y</v>
      </c>
      <c r="BU522" s="296" t="str">
        <f t="shared" si="791"/>
        <v>Y</v>
      </c>
      <c r="BV522" s="296" t="str">
        <f t="shared" si="792"/>
        <v>Y</v>
      </c>
      <c r="BW522" s="297" t="str">
        <f t="shared" ref="BW522:BW573" si="810">BV522</f>
        <v>Y</v>
      </c>
      <c r="BY522" s="352">
        <f t="shared" ref="BY522:BY577" si="811">IF(BT522="NA","NA",IF($T522&lt;0.15,0.85,0))</f>
        <v>0</v>
      </c>
      <c r="BZ522" s="353">
        <f t="shared" ref="BZ522:BZ577" si="812">IF(BT522="NA","NA",IF(AND($T522&gt;=0.15,$T522&lt;0.3),0.9,0))</f>
        <v>0.9</v>
      </c>
      <c r="CA522" s="353">
        <f t="shared" ref="CA522:CA577" si="813">IF(BT522="NA","NA",IF($T522&gt;=0.3,0.95,0))</f>
        <v>0</v>
      </c>
      <c r="CB522" s="354">
        <f t="shared" ref="CB522:CB577" si="814">IF(BY522="NA","NA",MAX(BY522:CA522))</f>
        <v>0.9</v>
      </c>
      <c r="CD522" s="311">
        <f t="shared" si="689"/>
        <v>514</v>
      </c>
    </row>
    <row r="523" spans="1:82" outlineLevel="1" x14ac:dyDescent="0.3">
      <c r="A523" s="1">
        <v>130231000</v>
      </c>
      <c r="B523" s="47">
        <f>VLOOKUP(C523,'NCES ID'!$A$2:$B$3136,2,FALSE)</f>
        <v>400910</v>
      </c>
      <c r="C523" s="47">
        <f>VLOOKUP(A523,'State ID'!$A$2:$B$713,2,FALSE)</f>
        <v>4471</v>
      </c>
      <c r="D523" s="147" t="s">
        <v>55</v>
      </c>
      <c r="E523" s="47" t="s">
        <v>3</v>
      </c>
      <c r="F523" s="382">
        <f>IFERROR(VLOOKUP($B523,'update_Formula counts'!$D$7:$R$234,'update_Formula counts'!F$5,0),0)</f>
        <v>80</v>
      </c>
      <c r="G523" s="382">
        <f>IFERROR(VLOOKUP($B523,'update_Formula counts'!$D$7:$R$234,'update_Formula counts'!G$5,0),0)</f>
        <v>0</v>
      </c>
      <c r="H523" s="382">
        <f>IFERROR(VLOOKUP($B523,'update_Formula counts'!$D$7:$R$234,'update_Formula counts'!H$5,0),0)</f>
        <v>0</v>
      </c>
      <c r="I523" s="382">
        <f>IFERROR(VLOOKUP($B523,'update_Formula counts'!$D$7:$R$234,'update_Formula counts'!I$5,0),0)</f>
        <v>3</v>
      </c>
      <c r="J523" s="382">
        <f>IFERROR(VLOOKUP($B523,'update_Formula counts'!$D$7:$R$234,'update_Formula counts'!J$5,0),0)</f>
        <v>0</v>
      </c>
      <c r="K523" s="382">
        <f t="shared" si="774"/>
        <v>80</v>
      </c>
      <c r="L523" s="444">
        <f>IFERROR(VLOOKUP($B523,'update_Formula counts'!$D$7:$R$234,'update_Formula counts'!L$5,0),0)</f>
        <v>268</v>
      </c>
      <c r="M523" s="445">
        <f>IFERROR(VLOOKUP($B523,'update_Formula counts'!$D$7:$R$234,'update_Formula counts'!K$5,0),0)</f>
        <v>83</v>
      </c>
      <c r="N523" s="446">
        <f>IFERROR(VLOOKUP($B523,'update_Formula counts'!$D$7:$R$234,'update_Formula counts'!M$5,0),0)</f>
        <v>0.30970149253731344</v>
      </c>
      <c r="O523" s="137">
        <f>VLOOKUP($C523,'Final SEA Counts'!$A$2:$F$709,5,FALSE)</f>
        <v>205</v>
      </c>
      <c r="P523" s="208">
        <f>VLOOKUP($C523,'Final SEA Counts'!$A$2:$F$709,6,FALSE)</f>
        <v>195</v>
      </c>
      <c r="Q523" s="748">
        <f t="shared" si="775"/>
        <v>-14.35456789039687</v>
      </c>
      <c r="R523" s="444">
        <f t="shared" si="776"/>
        <v>233.19106283302492</v>
      </c>
      <c r="S523" s="445">
        <f t="shared" si="777"/>
        <v>68.645432109603135</v>
      </c>
      <c r="T523" s="229">
        <f t="shared" si="778"/>
        <v>0.29437419803157849</v>
      </c>
      <c r="U523" s="261">
        <f>VLOOKUP($B523,update_Allocation!$D$8:$Q$235,update_Allocation!K$239,0)</f>
        <v>39308.695446912105</v>
      </c>
      <c r="V523" s="262">
        <f>VLOOKUP($B523,update_Allocation!$D$8:$Q$235,update_Allocation!L$239,0)</f>
        <v>9349.6788873834721</v>
      </c>
      <c r="W523" s="262">
        <f>VLOOKUP($B523,update_Allocation!$D$8:$Q$235,update_Allocation!M$239,0)</f>
        <v>19630.274648131122</v>
      </c>
      <c r="X523" s="262">
        <f>VLOOKUP($B523,update_Allocation!$D$8:$Q$235,update_Allocation!N$239,0)</f>
        <v>18065.731673303406</v>
      </c>
      <c r="Y523" s="263">
        <f>VLOOKUP($B523,update_Allocation!$D$8:$Q$235,update_Allocation!O$239,0)</f>
        <v>86354.380655730114</v>
      </c>
      <c r="Z523" s="262">
        <f t="shared" si="803"/>
        <v>32596.083335109914</v>
      </c>
      <c r="AA523" s="262">
        <f t="shared" si="804"/>
        <v>7753.0660507740167</v>
      </c>
      <c r="AB523" s="262">
        <f t="shared" si="805"/>
        <v>16278.079469356762</v>
      </c>
      <c r="AC523" s="263">
        <f t="shared" si="806"/>
        <v>14980.708172521949</v>
      </c>
      <c r="AD523" s="262">
        <f t="shared" si="779"/>
        <v>32596.083335109914</v>
      </c>
      <c r="AE523" s="262">
        <f t="shared" si="780"/>
        <v>7753.0660507740167</v>
      </c>
      <c r="AF523" s="262">
        <f t="shared" si="781"/>
        <v>16278.079469356762</v>
      </c>
      <c r="AG523" s="263">
        <f t="shared" si="782"/>
        <v>14980.708172521949</v>
      </c>
      <c r="AH523" s="262">
        <f t="shared" si="797"/>
        <v>32846.471592618385</v>
      </c>
      <c r="AI523" s="262">
        <f t="shared" si="797"/>
        <v>10711.879578494889</v>
      </c>
      <c r="AJ523" s="262">
        <f t="shared" si="797"/>
        <v>16385.795975340472</v>
      </c>
      <c r="AK523" s="262">
        <f t="shared" si="797"/>
        <v>15068.147831033431</v>
      </c>
      <c r="AL523" s="263">
        <f t="shared" si="783"/>
        <v>75012.294977487181</v>
      </c>
      <c r="AM523" s="346"/>
      <c r="AN523" s="261">
        <f>IFERROR(VLOOKUP($A523,'HH &amp; SI'!$B$4:$Z$494,'HH &amp; SI'!V$503,0),0)</f>
        <v>32398.424400643882</v>
      </c>
      <c r="AO523" s="262">
        <f>IFERROR(VLOOKUP($A523,'HH &amp; SI'!$B$4:$Z$494,'HH &amp; SI'!W$503,0),0)</f>
        <v>10359.069428831424</v>
      </c>
      <c r="AP523" s="262">
        <f>IFERROR(VLOOKUP($A523,'HH &amp; SI'!$B$4:$Z$494,'HH &amp; SI'!X$503,0),0)</f>
        <v>16236.773558536894</v>
      </c>
      <c r="AQ523" s="262">
        <f>IFERROR(VLOOKUP($A523,'HH &amp; SI'!$B$4:$Z$494,'HH &amp; SI'!Y$503,0),0)</f>
        <v>14902.123965987073</v>
      </c>
      <c r="AR523" s="263">
        <f t="shared" si="784"/>
        <v>73896.391353999279</v>
      </c>
      <c r="AS523" s="346"/>
      <c r="AT523" s="323">
        <f>IFERROR(VLOOKUP(A523,'Afton FY16 Final'!$A$5:$BV$572,'Afton FY16 Final'!$BV$587,0),0)</f>
        <v>74111.492557844293</v>
      </c>
      <c r="AU523" s="346"/>
      <c r="AV523" s="444">
        <v>0</v>
      </c>
      <c r="AW523" s="262">
        <f>IFERROR(VLOOKUP($A523,'HH &amp; SI'!$B$4:$EY$503,'HH &amp; SI'!EX$503,0),0)</f>
        <v>0</v>
      </c>
      <c r="AX523" s="262">
        <f>IFERROR(VLOOKUP($A523,'HH &amp; SI'!$B$4:$EY$503,'HH &amp; SI'!EY$503,0),0)</f>
        <v>73896.391353999279</v>
      </c>
      <c r="AY523" s="262">
        <f>AX523/$AX$582*'update_State Admin 1004(b)'!$B$30*0.01</f>
        <v>707.24155009825176</v>
      </c>
      <c r="AZ523" s="263">
        <f t="shared" si="785"/>
        <v>73189.149803901033</v>
      </c>
      <c r="BA523" s="261">
        <f t="shared" si="798"/>
        <v>731.89149803901034</v>
      </c>
      <c r="BB523" s="262">
        <f t="shared" si="799"/>
        <v>72457.258305862022</v>
      </c>
      <c r="BC523" s="341">
        <f t="shared" si="807"/>
        <v>0.9776791129838448</v>
      </c>
      <c r="BD523" s="346"/>
      <c r="BE523" s="376" t="str">
        <f>'Original Title I &amp; II'!AZ520</f>
        <v/>
      </c>
      <c r="BF523" s="243" t="str">
        <f t="shared" si="800"/>
        <v/>
      </c>
      <c r="BG523" s="263">
        <f t="shared" si="773"/>
        <v>72457.258305862022</v>
      </c>
      <c r="BI523" s="31">
        <f>IFERROR(VLOOKUP(A523,'Title II Hold Harmless'!A$1:B$439,2, FALSE),"")</f>
        <v>11263</v>
      </c>
      <c r="BJ523" s="31">
        <f t="shared" si="801"/>
        <v>12349.302063393516</v>
      </c>
      <c r="BK523" s="31">
        <f t="shared" si="802"/>
        <v>12361.248677677526</v>
      </c>
      <c r="BL523" s="31" t="str">
        <f t="shared" si="789"/>
        <v/>
      </c>
      <c r="BM523" s="31">
        <f t="shared" si="790"/>
        <v>12361.248677677526</v>
      </c>
      <c r="BN523" s="200"/>
      <c r="BP523" s="295" t="s">
        <v>1447</v>
      </c>
      <c r="BQ523" s="296" t="str">
        <f t="shared" si="808"/>
        <v>Y</v>
      </c>
      <c r="BR523" s="297" t="s">
        <v>1448</v>
      </c>
      <c r="BT523" s="295" t="str">
        <f t="shared" si="809"/>
        <v>Y</v>
      </c>
      <c r="BU523" s="296" t="str">
        <f t="shared" si="791"/>
        <v>Y</v>
      </c>
      <c r="BV523" s="296" t="str">
        <f t="shared" si="792"/>
        <v>Y</v>
      </c>
      <c r="BW523" s="297" t="str">
        <f t="shared" si="810"/>
        <v>Y</v>
      </c>
      <c r="BY523" s="352">
        <f t="shared" si="811"/>
        <v>0</v>
      </c>
      <c r="BZ523" s="353">
        <f t="shared" si="812"/>
        <v>0.9</v>
      </c>
      <c r="CA523" s="353">
        <f t="shared" si="813"/>
        <v>0</v>
      </c>
      <c r="CB523" s="354">
        <f t="shared" si="814"/>
        <v>0.9</v>
      </c>
      <c r="CD523" s="311">
        <f t="shared" ref="CD523:CD582" si="815">CD522+1</f>
        <v>515</v>
      </c>
    </row>
    <row r="524" spans="1:82" outlineLevel="1" x14ac:dyDescent="0.3">
      <c r="A524" s="1">
        <v>130403000</v>
      </c>
      <c r="B524" s="47">
        <f>VLOOKUP(C524,'NCES ID'!$A$2:$B$3136,2,FALSE)</f>
        <v>400004</v>
      </c>
      <c r="C524" s="47">
        <f>VLOOKUP(A524,'State ID'!$A$2:$B$713,2,FALSE)</f>
        <v>4486</v>
      </c>
      <c r="D524" s="147" t="s">
        <v>106</v>
      </c>
      <c r="E524" s="47" t="s">
        <v>3</v>
      </c>
      <c r="F524" s="382">
        <f>IFERROR(VLOOKUP($B524,'update_Formula counts'!$D$7:$R$234,'update_Formula counts'!F$5,0),0)</f>
        <v>58</v>
      </c>
      <c r="G524" s="382">
        <f>IFERROR(VLOOKUP($B524,'update_Formula counts'!$D$7:$R$234,'update_Formula counts'!G$5,0),0)</f>
        <v>0</v>
      </c>
      <c r="H524" s="382">
        <f>IFERROR(VLOOKUP($B524,'update_Formula counts'!$D$7:$R$234,'update_Formula counts'!H$5,0),0)</f>
        <v>0</v>
      </c>
      <c r="I524" s="382">
        <f>IFERROR(VLOOKUP($B524,'update_Formula counts'!$D$7:$R$234,'update_Formula counts'!I$5,0),0)</f>
        <v>3</v>
      </c>
      <c r="J524" s="382">
        <f>IFERROR(VLOOKUP($B524,'update_Formula counts'!$D$7:$R$234,'update_Formula counts'!J$5,0),0)</f>
        <v>0</v>
      </c>
      <c r="K524" s="382">
        <f t="shared" si="774"/>
        <v>58</v>
      </c>
      <c r="L524" s="444">
        <f>IFERROR(VLOOKUP($B524,'update_Formula counts'!$D$7:$R$234,'update_Formula counts'!L$5,0),0)</f>
        <v>342</v>
      </c>
      <c r="M524" s="445">
        <f>IFERROR(VLOOKUP($B524,'update_Formula counts'!$D$7:$R$234,'update_Formula counts'!K$5,0),0)</f>
        <v>61</v>
      </c>
      <c r="N524" s="446">
        <f>IFERROR(VLOOKUP($B524,'update_Formula counts'!$D$7:$R$234,'update_Formula counts'!M$5,0),0)</f>
        <v>0.17836257309941519</v>
      </c>
      <c r="O524" s="137">
        <f>VLOOKUP($C524,'Final SEA Counts'!$A$2:$F$709,5,FALSE)</f>
        <v>473</v>
      </c>
      <c r="P524" s="208">
        <f>VLOOKUP($C524,'Final SEA Counts'!$A$2:$F$709,6,FALSE)</f>
        <v>246</v>
      </c>
      <c r="Q524" s="748">
        <f t="shared" si="775"/>
        <v>-10.40706172053773</v>
      </c>
      <c r="R524" s="444">
        <f t="shared" si="776"/>
        <v>297.57963988393476</v>
      </c>
      <c r="S524" s="445">
        <f t="shared" si="777"/>
        <v>50.592938279462274</v>
      </c>
      <c r="T524" s="229">
        <f t="shared" si="778"/>
        <v>0.1700147842748754</v>
      </c>
      <c r="U524" s="261">
        <f>VLOOKUP($B524,update_Allocation!$D$8:$Q$235,update_Allocation!K$239,0)</f>
        <v>34452.482760350285</v>
      </c>
      <c r="V524" s="262">
        <f>VLOOKUP($B524,update_Allocation!$D$8:$Q$235,update_Allocation!L$239,0)</f>
        <v>8163.8358291771629</v>
      </c>
      <c r="W524" s="262">
        <f>VLOOKUP($B524,update_Allocation!$D$8:$Q$235,update_Allocation!M$239,0)</f>
        <v>12593.657636771601</v>
      </c>
      <c r="X524" s="262">
        <f>VLOOKUP($B524,update_Allocation!$D$8:$Q$235,update_Allocation!N$239,0)</f>
        <v>8573.9706665422636</v>
      </c>
      <c r="Y524" s="263">
        <f>VLOOKUP($B524,update_Allocation!$D$8:$Q$235,update_Allocation!O$239,0)</f>
        <v>63783.946892841319</v>
      </c>
      <c r="Z524" s="262">
        <f t="shared" si="803"/>
        <v>28569.149558129997</v>
      </c>
      <c r="AA524" s="262">
        <f t="shared" si="804"/>
        <v>6769.7253749213178</v>
      </c>
      <c r="AB524" s="262">
        <f t="shared" si="805"/>
        <v>10443.081591869455</v>
      </c>
      <c r="AC524" s="263">
        <f t="shared" si="806"/>
        <v>7109.8228822384872</v>
      </c>
      <c r="AD524" s="262">
        <f t="shared" si="779"/>
        <v>28569.149558129997</v>
      </c>
      <c r="AE524" s="262">
        <f t="shared" si="780"/>
        <v>6769.7253749213178</v>
      </c>
      <c r="AF524" s="262">
        <f t="shared" si="781"/>
        <v>10443.081591869455</v>
      </c>
      <c r="AG524" s="263">
        <f t="shared" si="782"/>
        <v>7109.8228822384872</v>
      </c>
      <c r="AH524" s="262">
        <f t="shared" si="797"/>
        <v>28819.537815638469</v>
      </c>
      <c r="AI524" s="262">
        <f t="shared" si="797"/>
        <v>9728.538902642189</v>
      </c>
      <c r="AJ524" s="262">
        <f t="shared" si="797"/>
        <v>10550.798097853167</v>
      </c>
      <c r="AK524" s="262">
        <f t="shared" si="797"/>
        <v>7197.2625407499709</v>
      </c>
      <c r="AL524" s="263">
        <f t="shared" si="783"/>
        <v>56296.137356883803</v>
      </c>
      <c r="AM524" s="346"/>
      <c r="AN524" s="261">
        <f>IFERROR(VLOOKUP($A524,'HH &amp; SI'!$B$4:$Z$494,'HH &amp; SI'!V$503,0),0)</f>
        <v>28719.585829600459</v>
      </c>
      <c r="AO524" s="262">
        <f>IFERROR(VLOOKUP($A524,'HH &amp; SI'!$B$4:$Z$494,'HH &amp; SI'!W$503,0),0)</f>
        <v>9408.1163996541272</v>
      </c>
      <c r="AP524" s="262">
        <f>IFERROR(VLOOKUP($A524,'HH &amp; SI'!$B$4:$Z$494,'HH &amp; SI'!X$503,0),0)</f>
        <v>10515.714515157475</v>
      </c>
      <c r="AQ524" s="262">
        <f>IFERROR(VLOOKUP($A524,'HH &amp; SI'!$B$4:$Z$494,'HH &amp; SI'!Y$503,0),0)</f>
        <v>7117.9616632852767</v>
      </c>
      <c r="AR524" s="263">
        <f t="shared" si="784"/>
        <v>55761.378407697339</v>
      </c>
      <c r="AS524" s="346"/>
      <c r="AT524" s="323">
        <f>IFERROR(VLOOKUP(A524,'Afton FY16 Final'!$A$5:$BV$572,'Afton FY16 Final'!$BV$587,0),0)</f>
        <v>52541.888184786309</v>
      </c>
      <c r="AU524" s="346"/>
      <c r="AV524" s="444">
        <v>0</v>
      </c>
      <c r="AW524" s="262">
        <f>IFERROR(VLOOKUP($A524,'HH &amp; SI'!$B$4:$EY$503,'HH &amp; SI'!EX$503,0),0)</f>
        <v>3123.3677185872511</v>
      </c>
      <c r="AX524" s="262">
        <f>IFERROR(VLOOKUP($A524,'HH &amp; SI'!$B$4:$EY$503,'HH &amp; SI'!EY$503,0),0)</f>
        <v>52638.010689110088</v>
      </c>
      <c r="AY524" s="262">
        <f>AX524/$AX$582*'update_State Admin 1004(b)'!$B$30*0.01</f>
        <v>503.7835757840399</v>
      </c>
      <c r="AZ524" s="263">
        <f t="shared" si="785"/>
        <v>52134.227113326051</v>
      </c>
      <c r="BA524" s="261">
        <f t="shared" si="798"/>
        <v>521.34227113326051</v>
      </c>
      <c r="BB524" s="262">
        <f t="shared" si="799"/>
        <v>51612.884842192791</v>
      </c>
      <c r="BC524" s="341">
        <f t="shared" si="807"/>
        <v>0.98231880553423823</v>
      </c>
      <c r="BD524" s="346"/>
      <c r="BE524" s="376" t="str">
        <f>'Original Title I &amp; II'!AZ521</f>
        <v/>
      </c>
      <c r="BF524" s="243" t="str">
        <f t="shared" si="800"/>
        <v/>
      </c>
      <c r="BG524" s="263">
        <f t="shared" si="773"/>
        <v>51612.884842192791</v>
      </c>
      <c r="BI524" s="31">
        <f>IFERROR(VLOOKUP(A524,'Title II Hold Harmless'!A$1:B$439,2, FALSE),"")</f>
        <v>12422</v>
      </c>
      <c r="BJ524" s="31">
        <f t="shared" si="801"/>
        <v>13323.798715157034</v>
      </c>
      <c r="BK524" s="31">
        <f t="shared" si="802"/>
        <v>13336.688049568864</v>
      </c>
      <c r="BL524" s="31" t="str">
        <f t="shared" si="789"/>
        <v/>
      </c>
      <c r="BM524" s="31">
        <f t="shared" si="790"/>
        <v>13336.688049568864</v>
      </c>
      <c r="BN524" s="200"/>
      <c r="BP524" s="295" t="s">
        <v>1447</v>
      </c>
      <c r="BQ524" s="296" t="str">
        <f t="shared" si="808"/>
        <v>Y</v>
      </c>
      <c r="BR524" s="297" t="s">
        <v>1448</v>
      </c>
      <c r="BT524" s="295" t="str">
        <f t="shared" si="809"/>
        <v>Y</v>
      </c>
      <c r="BU524" s="296" t="str">
        <f t="shared" si="791"/>
        <v>Y</v>
      </c>
      <c r="BV524" s="296" t="str">
        <f t="shared" si="792"/>
        <v>Y</v>
      </c>
      <c r="BW524" s="297" t="str">
        <f t="shared" si="810"/>
        <v>Y</v>
      </c>
      <c r="BY524" s="352">
        <f t="shared" si="811"/>
        <v>0</v>
      </c>
      <c r="BZ524" s="353">
        <f t="shared" si="812"/>
        <v>0.9</v>
      </c>
      <c r="CA524" s="353">
        <f t="shared" si="813"/>
        <v>0</v>
      </c>
      <c r="CB524" s="354">
        <f t="shared" si="814"/>
        <v>0.9</v>
      </c>
      <c r="CD524" s="311">
        <f t="shared" si="815"/>
        <v>516</v>
      </c>
    </row>
    <row r="525" spans="1:82" outlineLevel="1" x14ac:dyDescent="0.3">
      <c r="A525" s="1">
        <v>130350000</v>
      </c>
      <c r="B525" s="47">
        <f>VLOOKUP(C525,'NCES ID'!$A$2:$B$3136,2,FALSE)</f>
        <v>401650</v>
      </c>
      <c r="C525" s="47">
        <f>VLOOKUP(A525,'State ID'!$A$2:$B$713,2,FALSE)</f>
        <v>4484</v>
      </c>
      <c r="D525" s="147" t="s">
        <v>87</v>
      </c>
      <c r="E525" s="47" t="s">
        <v>3</v>
      </c>
      <c r="F525" s="382">
        <f>IFERROR(VLOOKUP($B525,'update_Formula counts'!$D$7:$R$234,'update_Formula counts'!F$5,0),0)</f>
        <v>80</v>
      </c>
      <c r="G525" s="382">
        <f>IFERROR(VLOOKUP($B525,'update_Formula counts'!$D$7:$R$234,'update_Formula counts'!G$5,0),0)</f>
        <v>0</v>
      </c>
      <c r="H525" s="382">
        <f>IFERROR(VLOOKUP($B525,'update_Formula counts'!$D$7:$R$234,'update_Formula counts'!H$5,0),0)</f>
        <v>0</v>
      </c>
      <c r="I525" s="382">
        <f>IFERROR(VLOOKUP($B525,'update_Formula counts'!$D$7:$R$234,'update_Formula counts'!I$5,0),0)</f>
        <v>4</v>
      </c>
      <c r="J525" s="382">
        <f>IFERROR(VLOOKUP($B525,'update_Formula counts'!$D$7:$R$234,'update_Formula counts'!J$5,0),0)</f>
        <v>0</v>
      </c>
      <c r="K525" s="382">
        <f t="shared" si="774"/>
        <v>80</v>
      </c>
      <c r="L525" s="444">
        <f>IFERROR(VLOOKUP($B525,'update_Formula counts'!$D$7:$R$234,'update_Formula counts'!L$5,0),0)</f>
        <v>344</v>
      </c>
      <c r="M525" s="445">
        <f>IFERROR(VLOOKUP($B525,'update_Formula counts'!$D$7:$R$234,'update_Formula counts'!K$5,0),0)</f>
        <v>84</v>
      </c>
      <c r="N525" s="446">
        <f>IFERROR(VLOOKUP($B525,'update_Formula counts'!$D$7:$R$234,'update_Formula counts'!M$5,0),0)</f>
        <v>0.2441860465116279</v>
      </c>
      <c r="O525" s="137">
        <f>VLOOKUP($C525,'Final SEA Counts'!$A$2:$F$709,5,FALSE)</f>
        <v>107</v>
      </c>
      <c r="P525" s="208">
        <f>VLOOKUP($C525,'Final SEA Counts'!$A$2:$F$709,6,FALSE)</f>
        <v>93</v>
      </c>
      <c r="Q525" s="748">
        <f t="shared" si="775"/>
        <v>-14.35456789039687</v>
      </c>
      <c r="R525" s="444">
        <f t="shared" si="776"/>
        <v>299.31987169612154</v>
      </c>
      <c r="S525" s="445">
        <f t="shared" si="777"/>
        <v>69.645432109603135</v>
      </c>
      <c r="T525" s="229">
        <f t="shared" si="778"/>
        <v>0.23267894548715179</v>
      </c>
      <c r="U525" s="261">
        <f>VLOOKUP($B525,update_Allocation!$D$8:$Q$235,update_Allocation!K$239,0)</f>
        <v>63214.601541456715</v>
      </c>
      <c r="V525" s="262">
        <f>VLOOKUP($B525,update_Allocation!$D$8:$Q$235,update_Allocation!L$239,0)</f>
        <v>14599.198067678804</v>
      </c>
      <c r="W525" s="262">
        <f>VLOOKUP($B525,update_Allocation!$D$8:$Q$235,update_Allocation!M$239,0)</f>
        <v>42731.080126424335</v>
      </c>
      <c r="X525" s="262">
        <f>VLOOKUP($B525,update_Allocation!$D$8:$Q$235,update_Allocation!N$239,0)</f>
        <v>35808.301901170715</v>
      </c>
      <c r="Y525" s="263">
        <f>VLOOKUP($B525,update_Allocation!$D$8:$Q$235,update_Allocation!O$239,0)</f>
        <v>156353.18163673056</v>
      </c>
      <c r="Z525" s="262">
        <f t="shared" si="803"/>
        <v>52419.659223337498</v>
      </c>
      <c r="AA525" s="262">
        <f t="shared" si="804"/>
        <v>12106.142710396573</v>
      </c>
      <c r="AB525" s="262">
        <f t="shared" si="805"/>
        <v>35434.039032948967</v>
      </c>
      <c r="AC525" s="263">
        <f t="shared" si="806"/>
        <v>29693.440079579788</v>
      </c>
      <c r="AD525" s="262">
        <f t="shared" si="779"/>
        <v>52419.659223337498</v>
      </c>
      <c r="AE525" s="262">
        <f t="shared" si="780"/>
        <v>12106.142710396573</v>
      </c>
      <c r="AF525" s="262">
        <f t="shared" si="781"/>
        <v>35434.039032948967</v>
      </c>
      <c r="AG525" s="263">
        <f t="shared" si="782"/>
        <v>29693.440079579788</v>
      </c>
      <c r="AH525" s="262">
        <f t="shared" si="797"/>
        <v>52670.047480845969</v>
      </c>
      <c r="AI525" s="262">
        <f t="shared" si="797"/>
        <v>15064.956238117444</v>
      </c>
      <c r="AJ525" s="262">
        <f t="shared" si="797"/>
        <v>35541.755538932681</v>
      </c>
      <c r="AK525" s="262">
        <f t="shared" si="797"/>
        <v>29780.879738091273</v>
      </c>
      <c r="AL525" s="263">
        <f t="shared" si="783"/>
        <v>133057.63899598736</v>
      </c>
      <c r="AM525" s="346"/>
      <c r="AN525" s="261">
        <f>IFERROR(VLOOKUP($A525,'HH &amp; SI'!$B$4:$Z$494,'HH &amp; SI'!V$503,0),0)</f>
        <v>54829.419110009752</v>
      </c>
      <c r="AO525" s="262">
        <f>IFERROR(VLOOKUP($A525,'HH &amp; SI'!$B$4:$Z$494,'HH &amp; SI'!W$503,0),0)</f>
        <v>14568.771658548954</v>
      </c>
      <c r="AP525" s="262">
        <f>IFERROR(VLOOKUP($A525,'HH &amp; SI'!$B$4:$Z$494,'HH &amp; SI'!X$503,0),0)</f>
        <v>37091.618021015311</v>
      </c>
      <c r="AQ525" s="262">
        <f>IFERROR(VLOOKUP($A525,'HH &amp; SI'!$B$4:$Z$494,'HH &amp; SI'!Y$503,0),0)</f>
        <v>31002.139236548039</v>
      </c>
      <c r="AR525" s="263">
        <f t="shared" si="784"/>
        <v>137491.94802612206</v>
      </c>
      <c r="AS525" s="346"/>
      <c r="AT525" s="323">
        <f>IFERROR(VLOOKUP(A525,'Afton FY16 Final'!$A$5:$BV$572,'Afton FY16 Final'!$BV$587,0),0)</f>
        <v>147729.51162469026</v>
      </c>
      <c r="AU525" s="346"/>
      <c r="AV525" s="444">
        <v>0</v>
      </c>
      <c r="AW525" s="262">
        <f>IFERROR(VLOOKUP($A525,'HH &amp; SI'!$B$4:$EY$503,'HH &amp; SI'!EX$503,0),0)</f>
        <v>0</v>
      </c>
      <c r="AX525" s="262">
        <f>IFERROR(VLOOKUP($A525,'HH &amp; SI'!$B$4:$EY$503,'HH &amp; SI'!EY$503,0),0)</f>
        <v>137491.94802612206</v>
      </c>
      <c r="AY525" s="262">
        <f>AX525/$AX$582*'update_State Admin 1004(b)'!$B$30*0.01</f>
        <v>1315.8967124956935</v>
      </c>
      <c r="AZ525" s="263">
        <f t="shared" si="785"/>
        <v>136176.05131362638</v>
      </c>
      <c r="BA525" s="261">
        <f t="shared" si="798"/>
        <v>1361.7605131362639</v>
      </c>
      <c r="BB525" s="262">
        <f t="shared" si="799"/>
        <v>134814.29080049013</v>
      </c>
      <c r="BC525" s="341">
        <f t="shared" si="807"/>
        <v>0.91257521478165105</v>
      </c>
      <c r="BD525" s="346"/>
      <c r="BE525" s="376" t="str">
        <f>'Original Title I &amp; II'!AZ522</f>
        <v/>
      </c>
      <c r="BF525" s="243" t="str">
        <f t="shared" si="800"/>
        <v/>
      </c>
      <c r="BG525" s="263">
        <f t="shared" si="773"/>
        <v>134814.29080049013</v>
      </c>
      <c r="BI525" s="31">
        <f>IFERROR(VLOOKUP(A525,'Title II Hold Harmless'!A$1:B$439,2, FALSE),"")</f>
        <v>6198</v>
      </c>
      <c r="BJ525" s="31">
        <f t="shared" si="801"/>
        <v>7350.6134006757511</v>
      </c>
      <c r="BK525" s="31">
        <f t="shared" si="802"/>
        <v>7357.7243242403356</v>
      </c>
      <c r="BL525" s="31" t="str">
        <f t="shared" si="789"/>
        <v/>
      </c>
      <c r="BM525" s="31">
        <f t="shared" si="790"/>
        <v>7357.7243242403356</v>
      </c>
      <c r="BN525" s="200"/>
      <c r="BP525" s="295" t="s">
        <v>1447</v>
      </c>
      <c r="BQ525" s="296" t="str">
        <f t="shared" si="808"/>
        <v>Y</v>
      </c>
      <c r="BR525" s="297" t="s">
        <v>1448</v>
      </c>
      <c r="BT525" s="295" t="str">
        <f t="shared" si="809"/>
        <v>Y</v>
      </c>
      <c r="BU525" s="296" t="str">
        <f t="shared" si="791"/>
        <v>Y</v>
      </c>
      <c r="BV525" s="296" t="str">
        <f t="shared" si="792"/>
        <v>Y</v>
      </c>
      <c r="BW525" s="297" t="str">
        <f t="shared" si="810"/>
        <v>Y</v>
      </c>
      <c r="BY525" s="352">
        <f t="shared" si="811"/>
        <v>0</v>
      </c>
      <c r="BZ525" s="353">
        <f t="shared" si="812"/>
        <v>0.9</v>
      </c>
      <c r="CA525" s="353">
        <f t="shared" si="813"/>
        <v>0</v>
      </c>
      <c r="CB525" s="354">
        <f t="shared" si="814"/>
        <v>0.9</v>
      </c>
      <c r="CD525" s="311">
        <f t="shared" si="815"/>
        <v>517</v>
      </c>
    </row>
    <row r="526" spans="1:82" outlineLevel="1" x14ac:dyDescent="0.3">
      <c r="A526" s="1">
        <v>130220000</v>
      </c>
      <c r="B526" s="47">
        <f>VLOOKUP(C526,'NCES ID'!$A$2:$B$3136,2,FALSE)</f>
        <v>401000</v>
      </c>
      <c r="C526" s="47">
        <f>VLOOKUP(A526,'State ID'!$A$2:$B$713,2,FALSE)</f>
        <v>4468</v>
      </c>
      <c r="D526" s="147" t="s">
        <v>62</v>
      </c>
      <c r="E526" s="47" t="s">
        <v>3</v>
      </c>
      <c r="F526" s="382">
        <f>IFERROR(VLOOKUP($B526,'update_Formula counts'!$D$7:$R$234,'update_Formula counts'!F$5,0),0)</f>
        <v>48</v>
      </c>
      <c r="G526" s="382">
        <f>IFERROR(VLOOKUP($B526,'update_Formula counts'!$D$7:$R$234,'update_Formula counts'!G$5,0),0)</f>
        <v>0</v>
      </c>
      <c r="H526" s="382">
        <f>IFERROR(VLOOKUP($B526,'update_Formula counts'!$D$7:$R$234,'update_Formula counts'!H$5,0),0)</f>
        <v>0</v>
      </c>
      <c r="I526" s="382">
        <f>IFERROR(VLOOKUP($B526,'update_Formula counts'!$D$7:$R$234,'update_Formula counts'!I$5,0),0)</f>
        <v>2</v>
      </c>
      <c r="J526" s="382">
        <f>IFERROR(VLOOKUP($B526,'update_Formula counts'!$D$7:$R$234,'update_Formula counts'!J$5,0),0)</f>
        <v>0</v>
      </c>
      <c r="K526" s="382">
        <f t="shared" si="774"/>
        <v>48</v>
      </c>
      <c r="L526" s="444">
        <f>IFERROR(VLOOKUP($B526,'update_Formula counts'!$D$7:$R$234,'update_Formula counts'!L$5,0),0)</f>
        <v>467</v>
      </c>
      <c r="M526" s="445">
        <f>IFERROR(VLOOKUP($B526,'update_Formula counts'!$D$7:$R$234,'update_Formula counts'!K$5,0),0)</f>
        <v>50</v>
      </c>
      <c r="N526" s="446">
        <f>IFERROR(VLOOKUP($B526,'update_Formula counts'!$D$7:$R$234,'update_Formula counts'!M$5,0),0)</f>
        <v>0.10706638115631692</v>
      </c>
      <c r="O526" s="137">
        <f>VLOOKUP($C526,'Final SEA Counts'!$A$2:$F$709,5,FALSE)</f>
        <v>411</v>
      </c>
      <c r="P526" s="208">
        <f>VLOOKUP($C526,'Final SEA Counts'!$A$2:$F$709,6,FALSE)</f>
        <v>168</v>
      </c>
      <c r="Q526" s="748">
        <f t="shared" si="775"/>
        <v>-8.6127407342381215</v>
      </c>
      <c r="R526" s="444">
        <f t="shared" si="776"/>
        <v>406.34412814560687</v>
      </c>
      <c r="S526" s="445">
        <f t="shared" si="777"/>
        <v>41.387259265761877</v>
      </c>
      <c r="T526" s="229">
        <f t="shared" si="778"/>
        <v>0.10185273121734743</v>
      </c>
      <c r="U526" s="261">
        <f>VLOOKUP($B526,update_Allocation!$D$8:$Q$235,update_Allocation!K$239,0)</f>
        <v>23644.502185781672</v>
      </c>
      <c r="V526" s="262">
        <f>VLOOKUP($B526,update_Allocation!$D$8:$Q$235,update_Allocation!L$239,0)</f>
        <v>4979.162809995044</v>
      </c>
      <c r="W526" s="262">
        <f>VLOOKUP($B526,update_Allocation!$D$8:$Q$235,update_Allocation!M$239,0)</f>
        <v>7135.8203158834494</v>
      </c>
      <c r="X526" s="262">
        <f>VLOOKUP($B526,update_Allocation!$D$8:$Q$235,update_Allocation!N$239,0)</f>
        <v>5535.8121493211875</v>
      </c>
      <c r="Y526" s="263">
        <f>VLOOKUP($B526,update_Allocation!$D$8:$Q$235,update_Allocation!O$239,0)</f>
        <v>41295.297460981354</v>
      </c>
      <c r="Z526" s="262">
        <f t="shared" si="803"/>
        <v>19606.811035126113</v>
      </c>
      <c r="AA526" s="262">
        <f t="shared" si="804"/>
        <v>4128.8881263656403</v>
      </c>
      <c r="AB526" s="262">
        <f t="shared" si="805"/>
        <v>5917.2605713929679</v>
      </c>
      <c r="AC526" s="263">
        <f t="shared" si="806"/>
        <v>4590.4803528900193</v>
      </c>
      <c r="AD526" s="262">
        <f t="shared" si="779"/>
        <v>19606.811035126113</v>
      </c>
      <c r="AE526" s="262" t="str">
        <f t="shared" si="780"/>
        <v/>
      </c>
      <c r="AF526" s="262">
        <f t="shared" si="781"/>
        <v>5917.2605713929679</v>
      </c>
      <c r="AG526" s="263">
        <f t="shared" si="782"/>
        <v>4590.4803528900193</v>
      </c>
      <c r="AH526" s="262">
        <f t="shared" si="797"/>
        <v>19857.199292634585</v>
      </c>
      <c r="AI526" s="262" t="str">
        <f t="shared" si="797"/>
        <v/>
      </c>
      <c r="AJ526" s="262">
        <f t="shared" si="797"/>
        <v>6024.9770773766795</v>
      </c>
      <c r="AK526" s="262">
        <f t="shared" si="797"/>
        <v>4677.920011401503</v>
      </c>
      <c r="AL526" s="263">
        <f t="shared" si="783"/>
        <v>30560.096381412768</v>
      </c>
      <c r="AM526" s="346"/>
      <c r="AN526" s="261">
        <f>IFERROR(VLOOKUP($A526,'HH &amp; SI'!$B$4:$Z$494,'HH &amp; SI'!V$503,0),0)</f>
        <v>19586.334205696527</v>
      </c>
      <c r="AO526" s="262">
        <f>IFERROR(VLOOKUP($A526,'HH &amp; SI'!$B$4:$Z$494,'HH &amp; SI'!W$503,0),0)</f>
        <v>4342.6694933891695</v>
      </c>
      <c r="AP526" s="262">
        <f>IFERROR(VLOOKUP($A526,'HH &amp; SI'!$B$4:$Z$494,'HH &amp; SI'!X$503,0),0)</f>
        <v>5970.1822632212952</v>
      </c>
      <c r="AQ526" s="262">
        <f>IFERROR(VLOOKUP($A526,'HH &amp; SI'!$B$4:$Z$494,'HH &amp; SI'!Y$503,0),0)</f>
        <v>4626.3777535620202</v>
      </c>
      <c r="AR526" s="263">
        <f t="shared" si="784"/>
        <v>34525.563715869008</v>
      </c>
      <c r="AS526" s="346"/>
      <c r="AT526" s="323">
        <f>IFERROR(VLOOKUP(A526,'Afton FY16 Final'!$A$5:$BV$572,'Afton FY16 Final'!$BV$587,0),0)</f>
        <v>37331.175315864231</v>
      </c>
      <c r="AU526" s="346"/>
      <c r="AV526" s="444">
        <v>0</v>
      </c>
      <c r="AW526" s="262">
        <f>IFERROR(VLOOKUP($A526,'HH &amp; SI'!$B$4:$EY$503,'HH &amp; SI'!EX$503,0),0)</f>
        <v>0</v>
      </c>
      <c r="AX526" s="262">
        <f>IFERROR(VLOOKUP($A526,'HH &amp; SI'!$B$4:$EY$503,'HH &amp; SI'!EY$503,0),0)</f>
        <v>34525.563715869008</v>
      </c>
      <c r="AY526" s="262">
        <f>AX526/$AX$582*'update_State Admin 1004(b)'!$B$30*0.01</f>
        <v>330.43444683859593</v>
      </c>
      <c r="AZ526" s="263">
        <f t="shared" si="785"/>
        <v>34195.129269030411</v>
      </c>
      <c r="BA526" s="261">
        <f t="shared" si="798"/>
        <v>341.95129269030411</v>
      </c>
      <c r="BB526" s="262">
        <f t="shared" si="799"/>
        <v>33853.177976340106</v>
      </c>
      <c r="BC526" s="341">
        <f t="shared" si="807"/>
        <v>0.90683397160426082</v>
      </c>
      <c r="BD526" s="346"/>
      <c r="BE526" s="376" t="str">
        <f>'Original Title I &amp; II'!AZ523</f>
        <v/>
      </c>
      <c r="BF526" s="243" t="str">
        <f t="shared" si="800"/>
        <v/>
      </c>
      <c r="BG526" s="263">
        <f t="shared" si="773"/>
        <v>33853.177976340106</v>
      </c>
      <c r="BI526" s="31">
        <f>IFERROR(VLOOKUP(A526,'Title II Hold Harmless'!A$1:B$439,2, FALSE),"")</f>
        <v>5407</v>
      </c>
      <c r="BJ526" s="31">
        <f t="shared" si="801"/>
        <v>6275.8217877068791</v>
      </c>
      <c r="BK526" s="31">
        <f t="shared" si="802"/>
        <v>6281.8929666146469</v>
      </c>
      <c r="BL526" s="31" t="str">
        <f t="shared" si="789"/>
        <v/>
      </c>
      <c r="BM526" s="31">
        <f t="shared" si="790"/>
        <v>6281.8929666146469</v>
      </c>
      <c r="BN526" s="200"/>
      <c r="BP526" s="295" t="s">
        <v>1447</v>
      </c>
      <c r="BQ526" s="296" t="str">
        <f t="shared" si="808"/>
        <v>Y</v>
      </c>
      <c r="BR526" s="297" t="s">
        <v>1448</v>
      </c>
      <c r="BT526" s="295" t="str">
        <f t="shared" si="809"/>
        <v>Y</v>
      </c>
      <c r="BU526" s="296" t="str">
        <f t="shared" si="791"/>
        <v>N</v>
      </c>
      <c r="BV526" s="296" t="str">
        <f t="shared" si="792"/>
        <v>Y</v>
      </c>
      <c r="BW526" s="297" t="str">
        <f t="shared" si="810"/>
        <v>Y</v>
      </c>
      <c r="BY526" s="352">
        <f t="shared" si="811"/>
        <v>0.85</v>
      </c>
      <c r="BZ526" s="353">
        <f t="shared" si="812"/>
        <v>0</v>
      </c>
      <c r="CA526" s="353">
        <f t="shared" si="813"/>
        <v>0</v>
      </c>
      <c r="CB526" s="354">
        <f t="shared" si="814"/>
        <v>0.85</v>
      </c>
      <c r="CD526" s="311">
        <f t="shared" si="815"/>
        <v>518</v>
      </c>
    </row>
    <row r="527" spans="1:82" outlineLevel="1" x14ac:dyDescent="0.3">
      <c r="A527" s="1">
        <v>130326000</v>
      </c>
      <c r="B527" s="47">
        <f>VLOOKUP(C527,'NCES ID'!$A$2:$B$3136,2,FALSE)</f>
        <v>401080</v>
      </c>
      <c r="C527" s="47">
        <f>VLOOKUP(A527,'State ID'!$A$2:$B$713,2,FALSE)</f>
        <v>4481</v>
      </c>
      <c r="D527" s="147" t="s">
        <v>66</v>
      </c>
      <c r="E527" s="47" t="s">
        <v>3</v>
      </c>
      <c r="F527" s="382">
        <f>IFERROR(VLOOKUP($B527,'update_Formula counts'!$D$7:$R$234,'update_Formula counts'!F$5,0),0)</f>
        <v>150</v>
      </c>
      <c r="G527" s="382">
        <f>IFERROR(VLOOKUP($B527,'update_Formula counts'!$D$7:$R$234,'update_Formula counts'!G$5,0),0)</f>
        <v>0</v>
      </c>
      <c r="H527" s="382">
        <f>IFERROR(VLOOKUP($B527,'update_Formula counts'!$D$7:$R$234,'update_Formula counts'!H$5,0),0)</f>
        <v>0</v>
      </c>
      <c r="I527" s="382">
        <f>IFERROR(VLOOKUP($B527,'update_Formula counts'!$D$7:$R$234,'update_Formula counts'!I$5,0),0)</f>
        <v>8</v>
      </c>
      <c r="J527" s="382">
        <f>IFERROR(VLOOKUP($B527,'update_Formula counts'!$D$7:$R$234,'update_Formula counts'!J$5,0),0)</f>
        <v>0</v>
      </c>
      <c r="K527" s="382">
        <f t="shared" si="774"/>
        <v>150</v>
      </c>
      <c r="L527" s="444">
        <f>IFERROR(VLOOKUP($B527,'update_Formula counts'!$D$7:$R$234,'update_Formula counts'!L$5,0),0)</f>
        <v>720</v>
      </c>
      <c r="M527" s="445">
        <f>IFERROR(VLOOKUP($B527,'update_Formula counts'!$D$7:$R$234,'update_Formula counts'!K$5,0),0)</f>
        <v>158</v>
      </c>
      <c r="N527" s="446">
        <f>IFERROR(VLOOKUP($B527,'update_Formula counts'!$D$7:$R$234,'update_Formula counts'!M$5,0),0)</f>
        <v>0.21944444444444444</v>
      </c>
      <c r="O527" s="137">
        <f>VLOOKUP($C527,'Final SEA Counts'!$A$2:$F$709,5,FALSE)</f>
        <v>303</v>
      </c>
      <c r="P527" s="208">
        <f>VLOOKUP($C527,'Final SEA Counts'!$A$2:$F$709,6,FALSE)</f>
        <v>233</v>
      </c>
      <c r="Q527" s="748">
        <f t="shared" si="775"/>
        <v>-26.914814794494131</v>
      </c>
      <c r="R527" s="444">
        <f t="shared" si="776"/>
        <v>626.48345238723107</v>
      </c>
      <c r="S527" s="445">
        <f t="shared" si="777"/>
        <v>131.08518520550587</v>
      </c>
      <c r="T527" s="229">
        <f t="shared" si="778"/>
        <v>0.20923966100940486</v>
      </c>
      <c r="U527" s="261">
        <f>VLOOKUP($B527,update_Allocation!$D$8:$Q$235,update_Allocation!K$239,0)</f>
        <v>74716.626907070124</v>
      </c>
      <c r="V527" s="262">
        <f>VLOOKUP($B527,update_Allocation!$D$8:$Q$235,update_Allocation!L$239,0)</f>
        <v>17798.183906103481</v>
      </c>
      <c r="W527" s="262">
        <f>VLOOKUP($B527,update_Allocation!$D$8:$Q$235,update_Allocation!M$239,0)</f>
        <v>27454.06965051734</v>
      </c>
      <c r="X527" s="262">
        <f>VLOOKUP($B527,update_Allocation!$D$8:$Q$235,update_Allocation!N$239,0)</f>
        <v>20029.896951159892</v>
      </c>
      <c r="Y527" s="263">
        <f>VLOOKUP($B527,update_Allocation!$D$8:$Q$235,update_Allocation!O$239,0)</f>
        <v>139998.77741485083</v>
      </c>
      <c r="Z527" s="262">
        <f t="shared" si="803"/>
        <v>61957.522870998553</v>
      </c>
      <c r="AA527" s="262">
        <f t="shared" si="804"/>
        <v>14758.848626774636</v>
      </c>
      <c r="AB527" s="262">
        <f t="shared" si="805"/>
        <v>22765.831631954443</v>
      </c>
      <c r="AC527" s="263">
        <f t="shared" si="806"/>
        <v>16609.45963204078</v>
      </c>
      <c r="AD527" s="262">
        <f t="shared" si="779"/>
        <v>61957.522870998553</v>
      </c>
      <c r="AE527" s="262">
        <f t="shared" si="780"/>
        <v>14758.848626774636</v>
      </c>
      <c r="AF527" s="262">
        <f t="shared" si="781"/>
        <v>22765.831631954443</v>
      </c>
      <c r="AG527" s="263">
        <f t="shared" si="782"/>
        <v>16609.45963204078</v>
      </c>
      <c r="AH527" s="262">
        <f t="shared" si="797"/>
        <v>62207.911128507025</v>
      </c>
      <c r="AI527" s="262">
        <f t="shared" si="797"/>
        <v>17717.662154495509</v>
      </c>
      <c r="AJ527" s="262">
        <f t="shared" si="797"/>
        <v>22873.548137938153</v>
      </c>
      <c r="AK527" s="262">
        <f t="shared" si="797"/>
        <v>16696.899290552265</v>
      </c>
      <c r="AL527" s="263">
        <f t="shared" si="783"/>
        <v>119496.02071149295</v>
      </c>
      <c r="AM527" s="346"/>
      <c r="AN527" s="261">
        <f>IFERROR(VLOOKUP($A527,'HH &amp; SI'!$B$4:$Z$494,'HH &amp; SI'!V$503,0),0)</f>
        <v>61359.354843819492</v>
      </c>
      <c r="AO527" s="262">
        <f>IFERROR(VLOOKUP($A527,'HH &amp; SI'!$B$4:$Z$494,'HH &amp; SI'!W$503,0),0)</f>
        <v>17134.107140587053</v>
      </c>
      <c r="AP527" s="262">
        <f>IFERROR(VLOOKUP($A527,'HH &amp; SI'!$B$4:$Z$494,'HH &amp; SI'!X$503,0),0)</f>
        <v>22665.522148262804</v>
      </c>
      <c r="AQ527" s="262">
        <f>IFERROR(VLOOKUP($A527,'HH &amp; SI'!$B$4:$Z$494,'HH &amp; SI'!Y$503,0),0)</f>
        <v>16512.929516324402</v>
      </c>
      <c r="AR527" s="263">
        <f t="shared" si="784"/>
        <v>117671.91364899374</v>
      </c>
      <c r="AS527" s="346"/>
      <c r="AT527" s="323">
        <f>IFERROR(VLOOKUP(A527,'Afton FY16 Final'!$A$5:$BV$572,'Afton FY16 Final'!$BV$587,0),0)</f>
        <v>107240.9743842101</v>
      </c>
      <c r="AU527" s="346"/>
      <c r="AV527" s="444">
        <v>0</v>
      </c>
      <c r="AW527" s="262">
        <f>IFERROR(VLOOKUP($A527,'HH &amp; SI'!$B$4:$EY$503,'HH &amp; SI'!EX$503,0),0)</f>
        <v>6591.1687797322666</v>
      </c>
      <c r="AX527" s="262">
        <f>IFERROR(VLOOKUP($A527,'HH &amp; SI'!$B$4:$EY$503,'HH &amp; SI'!EY$503,0),0)</f>
        <v>111080.74486926147</v>
      </c>
      <c r="AY527" s="262">
        <f>AX527/$AX$582*'update_State Admin 1004(b)'!$B$30*0.01</f>
        <v>1063.1225253079042</v>
      </c>
      <c r="AZ527" s="263">
        <f t="shared" si="785"/>
        <v>110017.62234395357</v>
      </c>
      <c r="BA527" s="261">
        <f t="shared" si="798"/>
        <v>1100.1762234395358</v>
      </c>
      <c r="BB527" s="262">
        <f t="shared" si="799"/>
        <v>108917.44612051403</v>
      </c>
      <c r="BC527" s="341">
        <f t="shared" si="807"/>
        <v>1.0156327536739611</v>
      </c>
      <c r="BD527" s="346"/>
      <c r="BE527" s="376" t="str">
        <f>'Original Title I &amp; II'!AZ524</f>
        <v/>
      </c>
      <c r="BF527" s="243" t="str">
        <f t="shared" si="800"/>
        <v/>
      </c>
      <c r="BG527" s="263">
        <f t="shared" si="773"/>
        <v>108917.44612051403</v>
      </c>
      <c r="BI527" s="31">
        <f>IFERROR(VLOOKUP(A527,'Title II Hold Harmless'!A$1:B$439,2, FALSE),"")</f>
        <v>10051</v>
      </c>
      <c r="BJ527" s="31">
        <f t="shared" si="801"/>
        <v>12271.215748316845</v>
      </c>
      <c r="BK527" s="31">
        <f t="shared" si="802"/>
        <v>12283.086822535328</v>
      </c>
      <c r="BL527" s="31" t="str">
        <f t="shared" si="789"/>
        <v/>
      </c>
      <c r="BM527" s="31">
        <f t="shared" si="790"/>
        <v>12283.086822535328</v>
      </c>
      <c r="BN527" s="200"/>
      <c r="BP527" s="295" t="s">
        <v>1447</v>
      </c>
      <c r="BQ527" s="296" t="str">
        <f t="shared" si="808"/>
        <v>Y</v>
      </c>
      <c r="BR527" s="297" t="s">
        <v>1448</v>
      </c>
      <c r="BT527" s="295" t="str">
        <f t="shared" si="809"/>
        <v>Y</v>
      </c>
      <c r="BU527" s="296" t="str">
        <f t="shared" si="791"/>
        <v>Y</v>
      </c>
      <c r="BV527" s="296" t="str">
        <f t="shared" si="792"/>
        <v>Y</v>
      </c>
      <c r="BW527" s="297" t="str">
        <f t="shared" si="810"/>
        <v>Y</v>
      </c>
      <c r="BY527" s="352">
        <f t="shared" si="811"/>
        <v>0</v>
      </c>
      <c r="BZ527" s="353">
        <f t="shared" si="812"/>
        <v>0.9</v>
      </c>
      <c r="CA527" s="353">
        <f t="shared" si="813"/>
        <v>0</v>
      </c>
      <c r="CB527" s="354">
        <f t="shared" si="814"/>
        <v>0.9</v>
      </c>
      <c r="CD527" s="311">
        <f t="shared" si="815"/>
        <v>519</v>
      </c>
    </row>
    <row r="528" spans="1:82" outlineLevel="1" x14ac:dyDescent="0.3">
      <c r="A528" s="1">
        <v>130243000</v>
      </c>
      <c r="B528" s="47">
        <f>VLOOKUP(C528,'NCES ID'!$A$2:$B$3136,2,FALSE)</f>
        <v>404820</v>
      </c>
      <c r="C528" s="47">
        <f>VLOOKUP(A528,'State ID'!$A$2:$B$713,2,FALSE)</f>
        <v>4473</v>
      </c>
      <c r="D528" s="147" t="s">
        <v>278</v>
      </c>
      <c r="E528" s="47" t="s">
        <v>3</v>
      </c>
      <c r="F528" s="382">
        <f>IFERROR(VLOOKUP($B528,'update_Formula counts'!$D$7:$R$234,'update_Formula counts'!F$5,0),0)</f>
        <v>215</v>
      </c>
      <c r="G528" s="382">
        <f>IFERROR(VLOOKUP($B528,'update_Formula counts'!$D$7:$R$234,'update_Formula counts'!G$5,0),0)</f>
        <v>0</v>
      </c>
      <c r="H528" s="382">
        <f>IFERROR(VLOOKUP($B528,'update_Formula counts'!$D$7:$R$234,'update_Formula counts'!H$5,0),0)</f>
        <v>0</v>
      </c>
      <c r="I528" s="382">
        <f>IFERROR(VLOOKUP($B528,'update_Formula counts'!$D$7:$R$234,'update_Formula counts'!I$5,0),0)</f>
        <v>11</v>
      </c>
      <c r="J528" s="382">
        <f>IFERROR(VLOOKUP($B528,'update_Formula counts'!$D$7:$R$234,'update_Formula counts'!J$5,0),0)</f>
        <v>0</v>
      </c>
      <c r="K528" s="382">
        <f t="shared" si="774"/>
        <v>215</v>
      </c>
      <c r="L528" s="444">
        <f>IFERROR(VLOOKUP($B528,'update_Formula counts'!$D$7:$R$234,'update_Formula counts'!L$5,0),0)</f>
        <v>721</v>
      </c>
      <c r="M528" s="445">
        <f>IFERROR(VLOOKUP($B528,'update_Formula counts'!$D$7:$R$234,'update_Formula counts'!K$5,0),0)</f>
        <v>226</v>
      </c>
      <c r="N528" s="446">
        <f>IFERROR(VLOOKUP($B528,'update_Formula counts'!$D$7:$R$234,'update_Formula counts'!M$5,0),0)</f>
        <v>0.31345353675450766</v>
      </c>
      <c r="O528" s="137">
        <f>VLOOKUP($C528,'Final SEA Counts'!$A$2:$F$709,5,FALSE)</f>
        <v>491</v>
      </c>
      <c r="P528" s="208">
        <f>VLOOKUP($C528,'Final SEA Counts'!$A$2:$F$709,6,FALSE)</f>
        <v>435</v>
      </c>
      <c r="Q528" s="748">
        <f t="shared" si="775"/>
        <v>-38.577901205441592</v>
      </c>
      <c r="R528" s="444">
        <f t="shared" si="776"/>
        <v>627.35356829332454</v>
      </c>
      <c r="S528" s="445">
        <f t="shared" si="777"/>
        <v>187.42209879455839</v>
      </c>
      <c r="T528" s="229">
        <f t="shared" si="778"/>
        <v>0.2987503511049252</v>
      </c>
      <c r="U528" s="261">
        <f>VLOOKUP($B528,update_Allocation!$D$8:$Q$235,update_Allocation!K$239,0)</f>
        <v>110413.98089461656</v>
      </c>
      <c r="V528" s="262">
        <f>VLOOKUP($B528,update_Allocation!$D$8:$Q$235,update_Allocation!L$239,0)</f>
        <v>26163.618440495495</v>
      </c>
      <c r="W528" s="262">
        <f>VLOOKUP($B528,update_Allocation!$D$8:$Q$235,update_Allocation!M$239,0)</f>
        <v>54245.112677979727</v>
      </c>
      <c r="X528" s="262">
        <f>VLOOKUP($B528,update_Allocation!$D$8:$Q$235,update_Allocation!N$239,0)</f>
        <v>43792.043989204292</v>
      </c>
      <c r="Y528" s="263">
        <f>VLOOKUP($B528,update_Allocation!$D$8:$Q$235,update_Allocation!O$239,0)</f>
        <v>234614.75600229605</v>
      </c>
      <c r="Z528" s="262">
        <f t="shared" si="803"/>
        <v>91558.961234488888</v>
      </c>
      <c r="AA528" s="262">
        <f t="shared" si="804"/>
        <v>21695.746382277965</v>
      </c>
      <c r="AB528" s="262">
        <f t="shared" si="805"/>
        <v>44981.859440282031</v>
      </c>
      <c r="AC528" s="263">
        <f t="shared" si="806"/>
        <v>36313.825708480377</v>
      </c>
      <c r="AD528" s="262">
        <f t="shared" si="779"/>
        <v>91558.961234488888</v>
      </c>
      <c r="AE528" s="262">
        <f t="shared" si="780"/>
        <v>21695.746382277965</v>
      </c>
      <c r="AF528" s="262">
        <f t="shared" si="781"/>
        <v>44981.859440282031</v>
      </c>
      <c r="AG528" s="263">
        <f t="shared" si="782"/>
        <v>36313.825708480377</v>
      </c>
      <c r="AH528" s="262">
        <f t="shared" si="797"/>
        <v>91809.34949199736</v>
      </c>
      <c r="AI528" s="262">
        <f t="shared" si="797"/>
        <v>24654.559909998836</v>
      </c>
      <c r="AJ528" s="262">
        <f t="shared" si="797"/>
        <v>45089.575946265744</v>
      </c>
      <c r="AK528" s="262">
        <f t="shared" si="797"/>
        <v>36401.265366991858</v>
      </c>
      <c r="AL528" s="263">
        <f t="shared" si="783"/>
        <v>197954.75071525382</v>
      </c>
      <c r="AM528" s="346"/>
      <c r="AN528" s="261">
        <f>IFERROR(VLOOKUP($A528,'HH &amp; SI'!$B$4:$Z$494,'HH &amp; SI'!V$503,0),0)</f>
        <v>90557.010374813777</v>
      </c>
      <c r="AO528" s="262">
        <f>IFERROR(VLOOKUP($A528,'HH &amp; SI'!$B$4:$Z$494,'HH &amp; SI'!W$503,0),0)</f>
        <v>23842.528845983106</v>
      </c>
      <c r="AP528" s="262">
        <f>IFERROR(VLOOKUP($A528,'HH &amp; SI'!$B$4:$Z$494,'HH &amp; SI'!X$503,0),0)</f>
        <v>44679.503857593751</v>
      </c>
      <c r="AQ528" s="262">
        <f>IFERROR(VLOOKUP($A528,'HH &amp; SI'!$B$4:$Z$494,'HH &amp; SI'!Y$503,0),0)</f>
        <v>36000.188948272415</v>
      </c>
      <c r="AR528" s="263">
        <f t="shared" si="784"/>
        <v>195079.23202666306</v>
      </c>
      <c r="AS528" s="346"/>
      <c r="AT528" s="323">
        <f>IFERROR(VLOOKUP(A528,'Afton FY16 Final'!$A$5:$BV$572,'Afton FY16 Final'!$BV$587,0),0)</f>
        <v>180809.37069235288</v>
      </c>
      <c r="AU528" s="346"/>
      <c r="AV528" s="444">
        <v>0</v>
      </c>
      <c r="AW528" s="262">
        <f>IFERROR(VLOOKUP($A528,'HH &amp; SI'!$B$4:$EY$503,'HH &amp; SI'!EX$503,0),0)</f>
        <v>10926.992719296977</v>
      </c>
      <c r="AX528" s="262">
        <f>IFERROR(VLOOKUP($A528,'HH &amp; SI'!$B$4:$EY$503,'HH &amp; SI'!EY$503,0),0)</f>
        <v>184152.23930736608</v>
      </c>
      <c r="AY528" s="262">
        <f>AX528/$AX$582*'update_State Admin 1004(b)'!$B$30*0.01</f>
        <v>1762.4692193410767</v>
      </c>
      <c r="AZ528" s="263">
        <f t="shared" si="785"/>
        <v>182389.77008802499</v>
      </c>
      <c r="BA528" s="261">
        <f t="shared" si="798"/>
        <v>1823.8977008802499</v>
      </c>
      <c r="BB528" s="262">
        <f t="shared" si="799"/>
        <v>180565.87238714474</v>
      </c>
      <c r="BC528" s="341">
        <f t="shared" si="807"/>
        <v>0.99865328713729973</v>
      </c>
      <c r="BD528" s="346"/>
      <c r="BE528" s="376" t="str">
        <f>'Original Title I &amp; II'!AZ525</f>
        <v/>
      </c>
      <c r="BF528" s="243" t="str">
        <f t="shared" si="800"/>
        <v/>
      </c>
      <c r="BG528" s="263">
        <f t="shared" si="773"/>
        <v>180565.87238714474</v>
      </c>
      <c r="BI528" s="31">
        <f>IFERROR(VLOOKUP(A528,'Title II Hold Harmless'!A$1:B$439,2, FALSE),"")</f>
        <v>23118</v>
      </c>
      <c r="BJ528" s="31">
        <f t="shared" si="801"/>
        <v>26076.416493678953</v>
      </c>
      <c r="BK528" s="31">
        <f t="shared" si="802"/>
        <v>26101.642606714333</v>
      </c>
      <c r="BL528" s="31" t="str">
        <f t="shared" si="789"/>
        <v/>
      </c>
      <c r="BM528" s="31">
        <f t="shared" si="790"/>
        <v>26101.642606714333</v>
      </c>
      <c r="BN528" s="200"/>
      <c r="BP528" s="295" t="s">
        <v>1447</v>
      </c>
      <c r="BQ528" s="296" t="str">
        <f t="shared" si="808"/>
        <v>Y</v>
      </c>
      <c r="BR528" s="297" t="s">
        <v>1448</v>
      </c>
      <c r="BT528" s="295" t="str">
        <f t="shared" si="809"/>
        <v>Y</v>
      </c>
      <c r="BU528" s="296" t="str">
        <f t="shared" si="791"/>
        <v>Y</v>
      </c>
      <c r="BV528" s="296" t="str">
        <f t="shared" si="792"/>
        <v>Y</v>
      </c>
      <c r="BW528" s="297" t="str">
        <f t="shared" si="810"/>
        <v>Y</v>
      </c>
      <c r="BY528" s="352">
        <f t="shared" si="811"/>
        <v>0</v>
      </c>
      <c r="BZ528" s="353">
        <f t="shared" si="812"/>
        <v>0.9</v>
      </c>
      <c r="CA528" s="353">
        <f t="shared" si="813"/>
        <v>0</v>
      </c>
      <c r="CB528" s="354">
        <f t="shared" si="814"/>
        <v>0.9</v>
      </c>
      <c r="CD528" s="311">
        <f t="shared" si="815"/>
        <v>520</v>
      </c>
    </row>
    <row r="529" spans="1:82" outlineLevel="1" x14ac:dyDescent="0.3">
      <c r="A529" s="1">
        <v>130209000</v>
      </c>
      <c r="B529" s="47">
        <f>VLOOKUP(C529,'NCES ID'!$A$2:$B$3136,2,FALSE)</f>
        <v>409733</v>
      </c>
      <c r="C529" s="47">
        <f>VLOOKUP(A529,'State ID'!$A$2:$B$713,2,FALSE)</f>
        <v>4467</v>
      </c>
      <c r="D529" s="147" t="s">
        <v>381</v>
      </c>
      <c r="E529" s="47" t="s">
        <v>3</v>
      </c>
      <c r="F529" s="382">
        <f>IFERROR(VLOOKUP($B529,'update_Formula counts'!$D$7:$R$234,'update_Formula counts'!F$5,0),0)</f>
        <v>243</v>
      </c>
      <c r="G529" s="382">
        <f>IFERROR(VLOOKUP($B529,'update_Formula counts'!$D$7:$R$234,'update_Formula counts'!G$5,0),0)</f>
        <v>0</v>
      </c>
      <c r="H529" s="382">
        <f>IFERROR(VLOOKUP($B529,'update_Formula counts'!$D$7:$R$234,'update_Formula counts'!H$5,0),0)</f>
        <v>0</v>
      </c>
      <c r="I529" s="382">
        <f>IFERROR(VLOOKUP($B529,'update_Formula counts'!$D$7:$R$234,'update_Formula counts'!I$5,0),0)</f>
        <v>12</v>
      </c>
      <c r="J529" s="382">
        <f>IFERROR(VLOOKUP($B529,'update_Formula counts'!$D$7:$R$234,'update_Formula counts'!J$5,0),0)</f>
        <v>0</v>
      </c>
      <c r="K529" s="382">
        <f t="shared" si="774"/>
        <v>243</v>
      </c>
      <c r="L529" s="444">
        <f>IFERROR(VLOOKUP($B529,'update_Formula counts'!$D$7:$R$234,'update_Formula counts'!L$5,0),0)</f>
        <v>1292</v>
      </c>
      <c r="M529" s="445">
        <f>IFERROR(VLOOKUP($B529,'update_Formula counts'!$D$7:$R$234,'update_Formula counts'!K$5,0),0)</f>
        <v>255</v>
      </c>
      <c r="N529" s="446">
        <f>IFERROR(VLOOKUP($B529,'update_Formula counts'!$D$7:$R$234,'update_Formula counts'!M$5,0),0)</f>
        <v>0.19736842105263158</v>
      </c>
      <c r="O529" s="137">
        <f>VLOOKUP($C529,'Final SEA Counts'!$A$2:$F$709,5,FALSE)</f>
        <v>992</v>
      </c>
      <c r="P529" s="208">
        <f>VLOOKUP($C529,'Final SEA Counts'!$A$2:$F$709,6,FALSE)</f>
        <v>426</v>
      </c>
      <c r="Q529" s="748">
        <f t="shared" si="775"/>
        <v>-43.601999967080495</v>
      </c>
      <c r="R529" s="444">
        <f t="shared" si="776"/>
        <v>1124.1897506726425</v>
      </c>
      <c r="S529" s="445">
        <f t="shared" si="777"/>
        <v>211.3980000329195</v>
      </c>
      <c r="T529" s="229">
        <f t="shared" si="778"/>
        <v>0.18804476727032299</v>
      </c>
      <c r="U529" s="261">
        <f>VLOOKUP($B529,update_Allocation!$D$8:$Q$235,update_Allocation!K$239,0)</f>
        <v>153998.44703722841</v>
      </c>
      <c r="V529" s="262">
        <f>VLOOKUP($B529,update_Allocation!$D$8:$Q$235,update_Allocation!L$239,0)</f>
        <v>36491.362561743714</v>
      </c>
      <c r="W529" s="262">
        <f>VLOOKUP($B529,update_Allocation!$D$8:$Q$235,update_Allocation!M$239,0)</f>
        <v>63929.917279116635</v>
      </c>
      <c r="X529" s="262">
        <f>VLOOKUP($B529,update_Allocation!$D$8:$Q$235,update_Allocation!N$239,0)</f>
        <v>45998.567493658033</v>
      </c>
      <c r="Y529" s="263">
        <f>VLOOKUP($B529,update_Allocation!$D$8:$Q$235,update_Allocation!O$239,0)</f>
        <v>300418.29437174677</v>
      </c>
      <c r="Z529" s="262">
        <f t="shared" si="803"/>
        <v>127700.65645862928</v>
      </c>
      <c r="AA529" s="262">
        <f t="shared" si="804"/>
        <v>30259.856796335054</v>
      </c>
      <c r="AB529" s="262">
        <f t="shared" si="805"/>
        <v>53012.822927464193</v>
      </c>
      <c r="AC529" s="263">
        <f t="shared" si="806"/>
        <v>38143.548705245536</v>
      </c>
      <c r="AD529" s="262">
        <f t="shared" si="779"/>
        <v>127700.65645862928</v>
      </c>
      <c r="AE529" s="262">
        <f t="shared" si="780"/>
        <v>30259.856796335054</v>
      </c>
      <c r="AF529" s="262">
        <f t="shared" si="781"/>
        <v>53012.822927464193</v>
      </c>
      <c r="AG529" s="263">
        <f t="shared" si="782"/>
        <v>38143.548705245536</v>
      </c>
      <c r="AH529" s="262">
        <f t="shared" si="797"/>
        <v>127951.04471613775</v>
      </c>
      <c r="AI529" s="262">
        <f t="shared" si="797"/>
        <v>33218.670324055929</v>
      </c>
      <c r="AJ529" s="262">
        <f t="shared" si="797"/>
        <v>53120.539433447906</v>
      </c>
      <c r="AK529" s="262">
        <f t="shared" si="797"/>
        <v>38230.988363757016</v>
      </c>
      <c r="AL529" s="263">
        <f t="shared" si="783"/>
        <v>252521.2428373986</v>
      </c>
      <c r="AM529" s="346"/>
      <c r="AN529" s="261">
        <f>IFERROR(VLOOKUP($A529,'HH &amp; SI'!$B$4:$Z$494,'HH &amp; SI'!V$503,0),0)</f>
        <v>128157.59868116214</v>
      </c>
      <c r="AO529" s="262">
        <f>IFERROR(VLOOKUP($A529,'HH &amp; SI'!$B$4:$Z$494,'HH &amp; SI'!W$503,0),0)</f>
        <v>32124.568774204654</v>
      </c>
      <c r="AP529" s="262">
        <f>IFERROR(VLOOKUP($A529,'HH &amp; SI'!$B$4:$Z$494,'HH &amp; SI'!X$503,0),0)</f>
        <v>53275.117399976101</v>
      </c>
      <c r="AQ529" s="262">
        <f>IFERROR(VLOOKUP($A529,'HH &amp; SI'!$B$4:$Z$494,'HH &amp; SI'!Y$503,0),0)</f>
        <v>37809.751691282858</v>
      </c>
      <c r="AR529" s="263">
        <f t="shared" si="784"/>
        <v>251367.03654662572</v>
      </c>
      <c r="AS529" s="346"/>
      <c r="AT529" s="323">
        <f>IFERROR(VLOOKUP(A529,'Afton FY16 Final'!$A$5:$BV$572,'Afton FY16 Final'!$BV$587,0),0)</f>
        <v>245599.46662827276</v>
      </c>
      <c r="AU529" s="346"/>
      <c r="AV529" s="444">
        <v>0</v>
      </c>
      <c r="AW529" s="262">
        <f>IFERROR(VLOOKUP($A529,'HH &amp; SI'!$B$4:$EY$503,'HH &amp; SI'!EX$503,0),0)</f>
        <v>5767.569918352965</v>
      </c>
      <c r="AX529" s="262">
        <f>IFERROR(VLOOKUP($A529,'HH &amp; SI'!$B$4:$EY$503,'HH &amp; SI'!EY$503,0),0)</f>
        <v>245599.46662827276</v>
      </c>
      <c r="AY529" s="262">
        <f>AX529/$AX$582*'update_State Admin 1004(b)'!$B$30*0.01</f>
        <v>2350.5633265552274</v>
      </c>
      <c r="AZ529" s="263">
        <f t="shared" si="785"/>
        <v>243248.90330171754</v>
      </c>
      <c r="BA529" s="261">
        <f t="shared" si="798"/>
        <v>2432.4890330171756</v>
      </c>
      <c r="BB529" s="262">
        <f t="shared" si="799"/>
        <v>240816.41426870038</v>
      </c>
      <c r="BC529" s="341">
        <f t="shared" si="807"/>
        <v>0.98052498881517614</v>
      </c>
      <c r="BD529" s="346"/>
      <c r="BE529" s="376" t="str">
        <f>'Original Title I &amp; II'!AZ526</f>
        <v/>
      </c>
      <c r="BF529" s="243" t="str">
        <f t="shared" si="800"/>
        <v/>
      </c>
      <c r="BG529" s="263">
        <f t="shared" si="773"/>
        <v>240816.41426870038</v>
      </c>
      <c r="BI529" s="31">
        <f>IFERROR(VLOOKUP(A529,'Title II Hold Harmless'!A$1:B$439,2, FALSE),"")</f>
        <v>29389</v>
      </c>
      <c r="BJ529" s="31">
        <f t="shared" si="801"/>
        <v>33061.136043315593</v>
      </c>
      <c r="BK529" s="31">
        <f t="shared" si="802"/>
        <v>33093.119117182694</v>
      </c>
      <c r="BL529" s="31" t="str">
        <f t="shared" si="789"/>
        <v/>
      </c>
      <c r="BM529" s="31">
        <f t="shared" si="790"/>
        <v>33093.119117182694</v>
      </c>
      <c r="BN529" s="200"/>
      <c r="BP529" s="295" t="s">
        <v>1447</v>
      </c>
      <c r="BQ529" s="296" t="str">
        <f t="shared" si="808"/>
        <v>Y</v>
      </c>
      <c r="BR529" s="297" t="s">
        <v>1448</v>
      </c>
      <c r="BT529" s="295" t="str">
        <f t="shared" si="809"/>
        <v>Y</v>
      </c>
      <c r="BU529" s="296" t="str">
        <f t="shared" si="791"/>
        <v>Y</v>
      </c>
      <c r="BV529" s="296" t="str">
        <f t="shared" si="792"/>
        <v>Y</v>
      </c>
      <c r="BW529" s="297" t="str">
        <f t="shared" si="810"/>
        <v>Y</v>
      </c>
      <c r="BY529" s="352">
        <f t="shared" si="811"/>
        <v>0</v>
      </c>
      <c r="BZ529" s="353">
        <f t="shared" si="812"/>
        <v>0.9</v>
      </c>
      <c r="CA529" s="353">
        <f t="shared" si="813"/>
        <v>0</v>
      </c>
      <c r="CB529" s="354">
        <f t="shared" si="814"/>
        <v>0.9</v>
      </c>
      <c r="CD529" s="311">
        <f t="shared" si="815"/>
        <v>521</v>
      </c>
    </row>
    <row r="530" spans="1:82" outlineLevel="1" x14ac:dyDescent="0.3">
      <c r="A530" s="1">
        <v>130504000</v>
      </c>
      <c r="B530" s="47">
        <f>VLOOKUP(C530,'NCES ID'!$A$2:$B$3136,2,FALSE)</f>
        <v>405070</v>
      </c>
      <c r="C530" s="47">
        <f>VLOOKUP(A530,'State ID'!$A$2:$B$713,2,FALSE)</f>
        <v>4488</v>
      </c>
      <c r="D530" s="147" t="s">
        <v>288</v>
      </c>
      <c r="E530" s="47" t="s">
        <v>3</v>
      </c>
      <c r="F530" s="382">
        <f>IFERROR(VLOOKUP($B530,'update_Formula counts'!$D$7:$R$234,'update_Formula counts'!F$5,0),0)</f>
        <v>255</v>
      </c>
      <c r="G530" s="382">
        <f>IFERROR(VLOOKUP($B530,'update_Formula counts'!$D$7:$R$234,'update_Formula counts'!G$5,0),0)</f>
        <v>0</v>
      </c>
      <c r="H530" s="382">
        <f>IFERROR(VLOOKUP($B530,'update_Formula counts'!$D$7:$R$234,'update_Formula counts'!H$5,0),0)</f>
        <v>0</v>
      </c>
      <c r="I530" s="382">
        <f>IFERROR(VLOOKUP($B530,'update_Formula counts'!$D$7:$R$234,'update_Formula counts'!I$5,0),0)</f>
        <v>13</v>
      </c>
      <c r="J530" s="382">
        <f>IFERROR(VLOOKUP($B530,'update_Formula counts'!$D$7:$R$234,'update_Formula counts'!J$5,0),0)</f>
        <v>0</v>
      </c>
      <c r="K530" s="382">
        <f t="shared" si="774"/>
        <v>255</v>
      </c>
      <c r="L530" s="444">
        <f>IFERROR(VLOOKUP($B530,'update_Formula counts'!$D$7:$R$234,'update_Formula counts'!L$5,0),0)</f>
        <v>1504</v>
      </c>
      <c r="M530" s="445">
        <f>IFERROR(VLOOKUP($B530,'update_Formula counts'!$D$7:$R$234,'update_Formula counts'!K$5,0),0)</f>
        <v>268</v>
      </c>
      <c r="N530" s="446">
        <f>IFERROR(VLOOKUP($B530,'update_Formula counts'!$D$7:$R$234,'update_Formula counts'!M$5,0),0)</f>
        <v>0.17819148936170212</v>
      </c>
      <c r="O530" s="137">
        <f>VLOOKUP($C530,'Final SEA Counts'!$A$2:$F$709,5,FALSE)</f>
        <v>862</v>
      </c>
      <c r="P530" s="208">
        <f>VLOOKUP($C530,'Final SEA Counts'!$A$2:$F$709,6,FALSE)</f>
        <v>651</v>
      </c>
      <c r="Q530" s="748">
        <f t="shared" si="775"/>
        <v>-45.755185150640017</v>
      </c>
      <c r="R530" s="444">
        <f t="shared" si="776"/>
        <v>1308.6543227644383</v>
      </c>
      <c r="S530" s="445">
        <f t="shared" si="777"/>
        <v>222.24481484935998</v>
      </c>
      <c r="T530" s="229">
        <f t="shared" si="778"/>
        <v>0.16982698256013382</v>
      </c>
      <c r="U530" s="261">
        <f>VLOOKUP($B530,update_Allocation!$D$8:$Q$235,update_Allocation!K$239,0)</f>
        <v>126734.5317157898</v>
      </c>
      <c r="V530" s="262">
        <f>VLOOKUP($B530,update_Allocation!$D$8:$Q$235,update_Allocation!L$239,0)</f>
        <v>30189.324600226155</v>
      </c>
      <c r="W530" s="262">
        <f>VLOOKUP($B530,update_Allocation!$D$8:$Q$235,update_Allocation!M$239,0)</f>
        <v>41852.670797344428</v>
      </c>
      <c r="X530" s="262">
        <f>VLOOKUP($B530,update_Allocation!$D$8:$Q$235,update_Allocation!N$239,0)</f>
        <v>31536.237506264162</v>
      </c>
      <c r="Y530" s="263">
        <f>VLOOKUP($B530,update_Allocation!$D$8:$Q$235,update_Allocation!O$239,0)</f>
        <v>230312.7646196245</v>
      </c>
      <c r="Z530" s="262">
        <f t="shared" si="803"/>
        <v>105092.507148276</v>
      </c>
      <c r="AA530" s="262">
        <f t="shared" si="804"/>
        <v>25033.996404908874</v>
      </c>
      <c r="AB530" s="262">
        <f t="shared" si="805"/>
        <v>34705.632674826593</v>
      </c>
      <c r="AC530" s="263">
        <f t="shared" si="806"/>
        <v>26150.901578972567</v>
      </c>
      <c r="AD530" s="262">
        <f t="shared" si="779"/>
        <v>105092.507148276</v>
      </c>
      <c r="AE530" s="262">
        <f t="shared" si="780"/>
        <v>25033.996404908874</v>
      </c>
      <c r="AF530" s="262">
        <f t="shared" si="781"/>
        <v>34705.632674826593</v>
      </c>
      <c r="AG530" s="263">
        <f t="shared" si="782"/>
        <v>26150.901578972567</v>
      </c>
      <c r="AH530" s="262">
        <f t="shared" si="797"/>
        <v>105342.89540578447</v>
      </c>
      <c r="AI530" s="262">
        <f t="shared" si="797"/>
        <v>27992.809932629745</v>
      </c>
      <c r="AJ530" s="262">
        <f t="shared" si="797"/>
        <v>34813.349180810306</v>
      </c>
      <c r="AK530" s="262">
        <f t="shared" si="797"/>
        <v>26238.341237484052</v>
      </c>
      <c r="AL530" s="263">
        <f t="shared" si="783"/>
        <v>194387.39575670855</v>
      </c>
      <c r="AM530" s="346"/>
      <c r="AN530" s="261">
        <f>IFERROR(VLOOKUP($A530,'HH &amp; SI'!$B$4:$Z$494,'HH &amp; SI'!V$503,0),0)</f>
        <v>103905.94993820395</v>
      </c>
      <c r="AO530" s="262">
        <f>IFERROR(VLOOKUP($A530,'HH &amp; SI'!$B$4:$Z$494,'HH &amp; SI'!W$503,0),0)</f>
        <v>27070.829117828638</v>
      </c>
      <c r="AP530" s="262">
        <f>IFERROR(VLOOKUP($A530,'HH &amp; SI'!$B$4:$Z$494,'HH &amp; SI'!X$503,0),0)</f>
        <v>34496.735362369094</v>
      </c>
      <c r="AQ530" s="262">
        <f>IFERROR(VLOOKUP($A530,'HH &amp; SI'!$B$4:$Z$494,'HH &amp; SI'!Y$503,0),0)</f>
        <v>25949.241948473857</v>
      </c>
      <c r="AR530" s="263">
        <f t="shared" si="784"/>
        <v>191422.75636687555</v>
      </c>
      <c r="AS530" s="346"/>
      <c r="AT530" s="323">
        <f>IFERROR(VLOOKUP(A530,'Afton FY16 Final'!$A$5:$BV$572,'Afton FY16 Final'!$BV$587,0),0)</f>
        <v>180917.68579941854</v>
      </c>
      <c r="AU530" s="346"/>
      <c r="AV530" s="444">
        <v>0</v>
      </c>
      <c r="AW530" s="262">
        <f>IFERROR(VLOOKUP($A530,'HH &amp; SI'!$B$4:$EY$503,'HH &amp; SI'!EX$503,0),0)</f>
        <v>10505.070567457005</v>
      </c>
      <c r="AX530" s="262">
        <f>IFERROR(VLOOKUP($A530,'HH &amp; SI'!$B$4:$EY$503,'HH &amp; SI'!EY$503,0),0)</f>
        <v>180917.68579941854</v>
      </c>
      <c r="AY530" s="262">
        <f>AX530/$AX$582*'update_State Admin 1004(b)'!$B$30*0.01</f>
        <v>1731.5122186686378</v>
      </c>
      <c r="AZ530" s="263">
        <f t="shared" si="785"/>
        <v>179186.17358074989</v>
      </c>
      <c r="BA530" s="261">
        <f t="shared" si="798"/>
        <v>1791.8617358074989</v>
      </c>
      <c r="BB530" s="262">
        <f t="shared" si="799"/>
        <v>177394.31184494239</v>
      </c>
      <c r="BC530" s="341">
        <f t="shared" si="807"/>
        <v>0.98052498881517602</v>
      </c>
      <c r="BD530" s="346"/>
      <c r="BE530" s="376" t="str">
        <f>'Original Title I &amp; II'!AZ527</f>
        <v/>
      </c>
      <c r="BF530" s="243" t="str">
        <f t="shared" si="800"/>
        <v/>
      </c>
      <c r="BG530" s="263">
        <f t="shared" si="773"/>
        <v>177394.31184494239</v>
      </c>
      <c r="BI530" s="31">
        <f>IFERROR(VLOOKUP(A530,'Title II Hold Harmless'!A$1:B$439,2, FALSE),"")</f>
        <v>39440</v>
      </c>
      <c r="BJ530" s="31">
        <f t="shared" si="801"/>
        <v>43402.587559765801</v>
      </c>
      <c r="BK530" s="31">
        <f t="shared" si="802"/>
        <v>43444.57486964314</v>
      </c>
      <c r="BL530" s="31" t="str">
        <f t="shared" si="789"/>
        <v/>
      </c>
      <c r="BM530" s="31">
        <f t="shared" si="790"/>
        <v>43444.57486964314</v>
      </c>
      <c r="BN530" s="200"/>
      <c r="BP530" s="295" t="s">
        <v>1447</v>
      </c>
      <c r="BQ530" s="296" t="str">
        <f t="shared" si="808"/>
        <v>Y</v>
      </c>
      <c r="BR530" s="297" t="s">
        <v>1448</v>
      </c>
      <c r="BT530" s="295" t="str">
        <f t="shared" si="809"/>
        <v>Y</v>
      </c>
      <c r="BU530" s="296" t="str">
        <f t="shared" si="791"/>
        <v>Y</v>
      </c>
      <c r="BV530" s="296" t="str">
        <f t="shared" si="792"/>
        <v>Y</v>
      </c>
      <c r="BW530" s="297" t="str">
        <f t="shared" si="810"/>
        <v>Y</v>
      </c>
      <c r="BY530" s="352">
        <f t="shared" si="811"/>
        <v>0</v>
      </c>
      <c r="BZ530" s="353">
        <f t="shared" si="812"/>
        <v>0.9</v>
      </c>
      <c r="CA530" s="353">
        <f t="shared" si="813"/>
        <v>0</v>
      </c>
      <c r="CB530" s="354">
        <f t="shared" si="814"/>
        <v>0.9</v>
      </c>
      <c r="CD530" s="311">
        <f t="shared" si="815"/>
        <v>522</v>
      </c>
    </row>
    <row r="531" spans="1:82" outlineLevel="1" x14ac:dyDescent="0.3">
      <c r="A531" s="1">
        <v>130228000</v>
      </c>
      <c r="B531" s="47">
        <f>VLOOKUP(C531,'NCES ID'!$A$2:$B$3136,2,FALSE)</f>
        <v>401600</v>
      </c>
      <c r="C531" s="47">
        <f>VLOOKUP(A531,'State ID'!$A$2:$B$713,2,FALSE)</f>
        <v>4470</v>
      </c>
      <c r="D531" s="147" t="s">
        <v>86</v>
      </c>
      <c r="E531" s="47" t="s">
        <v>3</v>
      </c>
      <c r="F531" s="382">
        <f>IFERROR(VLOOKUP($B531,'update_Formula counts'!$D$7:$R$234,'update_Formula counts'!F$5,0),0)</f>
        <v>486</v>
      </c>
      <c r="G531" s="382">
        <f>IFERROR(VLOOKUP($B531,'update_Formula counts'!$D$7:$R$234,'update_Formula counts'!G$5,0),0)</f>
        <v>0</v>
      </c>
      <c r="H531" s="382">
        <f>IFERROR(VLOOKUP($B531,'update_Formula counts'!$D$7:$R$234,'update_Formula counts'!H$5,0),0)</f>
        <v>0</v>
      </c>
      <c r="I531" s="382">
        <f>IFERROR(VLOOKUP($B531,'update_Formula counts'!$D$7:$R$234,'update_Formula counts'!I$5,0),0)</f>
        <v>25</v>
      </c>
      <c r="J531" s="382">
        <f>IFERROR(VLOOKUP($B531,'update_Formula counts'!$D$7:$R$234,'update_Formula counts'!J$5,0),0)</f>
        <v>0</v>
      </c>
      <c r="K531" s="382">
        <f t="shared" si="774"/>
        <v>486</v>
      </c>
      <c r="L531" s="444">
        <f>IFERROR(VLOOKUP($B531,'update_Formula counts'!$D$7:$R$234,'update_Formula counts'!L$5,0),0)</f>
        <v>1833</v>
      </c>
      <c r="M531" s="445">
        <f>IFERROR(VLOOKUP($B531,'update_Formula counts'!$D$7:$R$234,'update_Formula counts'!K$5,0),0)</f>
        <v>511</v>
      </c>
      <c r="N531" s="446">
        <f>IFERROR(VLOOKUP($B531,'update_Formula counts'!$D$7:$R$234,'update_Formula counts'!M$5,0),0)</f>
        <v>0.27877795962902346</v>
      </c>
      <c r="O531" s="137">
        <f>VLOOKUP($C531,'Final SEA Counts'!$A$2:$F$709,5,FALSE)</f>
        <v>1406</v>
      </c>
      <c r="P531" s="208">
        <f>VLOOKUP($C531,'Final SEA Counts'!$A$2:$F$709,6,FALSE)</f>
        <v>1010</v>
      </c>
      <c r="Q531" s="748">
        <f t="shared" si="775"/>
        <v>-87.20399993416099</v>
      </c>
      <c r="R531" s="444">
        <f t="shared" si="776"/>
        <v>1594.9224558691592</v>
      </c>
      <c r="S531" s="445">
        <f t="shared" si="777"/>
        <v>423.796000065839</v>
      </c>
      <c r="T531" s="229">
        <f t="shared" si="778"/>
        <v>0.26571573966264694</v>
      </c>
      <c r="U531" s="261">
        <f>VLOOKUP($B531,update_Allocation!$D$8:$Q$235,update_Allocation!K$239,0)</f>
        <v>326236.31122552388</v>
      </c>
      <c r="V531" s="262">
        <f>VLOOKUP($B531,update_Allocation!$D$8:$Q$235,update_Allocation!L$239,0)</f>
        <v>77248.811158926794</v>
      </c>
      <c r="W531" s="262">
        <f>VLOOKUP($B531,update_Allocation!$D$8:$Q$235,update_Allocation!M$239,0)</f>
        <v>202368.58441210334</v>
      </c>
      <c r="X531" s="262">
        <f>VLOOKUP($B531,update_Allocation!$D$8:$Q$235,update_Allocation!N$239,0)</f>
        <v>206491.53928140851</v>
      </c>
      <c r="Y531" s="263">
        <f>VLOOKUP($B531,update_Allocation!$D$8:$Q$235,update_Allocation!O$239,0)</f>
        <v>812345.24607796257</v>
      </c>
      <c r="Z531" s="262">
        <f t="shared" si="803"/>
        <v>270526.04688974452</v>
      </c>
      <c r="AA531" s="262">
        <f t="shared" si="804"/>
        <v>64057.294637905579</v>
      </c>
      <c r="AB531" s="262">
        <f t="shared" si="805"/>
        <v>167810.7901294732</v>
      </c>
      <c r="AC531" s="263">
        <f t="shared" si="806"/>
        <v>171229.68203058629</v>
      </c>
      <c r="AD531" s="262">
        <f t="shared" si="779"/>
        <v>270526.04688974452</v>
      </c>
      <c r="AE531" s="262">
        <f t="shared" si="780"/>
        <v>64057.294637905579</v>
      </c>
      <c r="AF531" s="262">
        <f t="shared" si="781"/>
        <v>167810.7901294732</v>
      </c>
      <c r="AG531" s="263">
        <f t="shared" si="782"/>
        <v>171229.68203058629</v>
      </c>
      <c r="AH531" s="262">
        <f t="shared" si="797"/>
        <v>270776.43514725298</v>
      </c>
      <c r="AI531" s="262">
        <f t="shared" si="797"/>
        <v>67016.108165626458</v>
      </c>
      <c r="AJ531" s="262">
        <f t="shared" si="797"/>
        <v>167918.5066354569</v>
      </c>
      <c r="AK531" s="262">
        <f t="shared" si="797"/>
        <v>171317.12168909778</v>
      </c>
      <c r="AL531" s="263">
        <f t="shared" si="783"/>
        <v>677028.17163743405</v>
      </c>
      <c r="AM531" s="346"/>
      <c r="AN531" s="261">
        <f>IFERROR(VLOOKUP($A531,'HH &amp; SI'!$B$4:$Z$494,'HH &amp; SI'!V$503,0),0)</f>
        <v>271424.5927305285</v>
      </c>
      <c r="AO531" s="262">
        <f>IFERROR(VLOOKUP($A531,'HH &amp; SI'!$B$4:$Z$494,'HH &amp; SI'!W$503,0),0)</f>
        <v>64808.842579926153</v>
      </c>
      <c r="AP531" s="262">
        <f>IFERROR(VLOOKUP($A531,'HH &amp; SI'!$B$4:$Z$494,'HH &amp; SI'!X$503,0),0)</f>
        <v>168584.54555110497</v>
      </c>
      <c r="AQ531" s="262">
        <f>IFERROR(VLOOKUP($A531,'HH &amp; SI'!$B$4:$Z$494,'HH &amp; SI'!Y$503,0),0)</f>
        <v>171314.38513700079</v>
      </c>
      <c r="AR531" s="263">
        <f t="shared" si="784"/>
        <v>676132.36599856045</v>
      </c>
      <c r="AS531" s="346"/>
      <c r="AT531" s="323">
        <f>IFERROR(VLOOKUP(A531,'Afton FY16 Final'!$A$5:$BV$572,'Afton FY16 Final'!$BV$587,0),0)</f>
        <v>696361.65480445104</v>
      </c>
      <c r="AU531" s="346"/>
      <c r="AV531" s="444">
        <v>0</v>
      </c>
      <c r="AW531" s="262">
        <f>IFERROR(VLOOKUP($A531,'HH &amp; SI'!$B$4:$EY$503,'HH &amp; SI'!EX$503,0),0)</f>
        <v>0</v>
      </c>
      <c r="AX531" s="262">
        <f>IFERROR(VLOOKUP($A531,'HH &amp; SI'!$B$4:$EY$503,'HH &amp; SI'!EY$503,0),0)</f>
        <v>676132.36599856045</v>
      </c>
      <c r="AY531" s="262">
        <f>AX531/$AX$582*'update_State Admin 1004(b)'!$B$30*0.01</f>
        <v>6471.0724548058834</v>
      </c>
      <c r="AZ531" s="263">
        <f t="shared" si="785"/>
        <v>669661.29354375461</v>
      </c>
      <c r="BA531" s="261">
        <f t="shared" si="798"/>
        <v>6696.6129354375462</v>
      </c>
      <c r="BB531" s="262">
        <f t="shared" si="799"/>
        <v>662964.68060831702</v>
      </c>
      <c r="BC531" s="341">
        <f t="shared" si="807"/>
        <v>0.95204076220205947</v>
      </c>
      <c r="BD531" s="346"/>
      <c r="BE531" s="376" t="str">
        <f>'Original Title I &amp; II'!AZ528</f>
        <v/>
      </c>
      <c r="BF531" s="243" t="str">
        <f t="shared" si="800"/>
        <v/>
      </c>
      <c r="BG531" s="263">
        <f t="shared" si="773"/>
        <v>662964.68060831702</v>
      </c>
      <c r="BI531" s="31">
        <f>IFERROR(VLOOKUP(A531,'Title II Hold Harmless'!A$1:B$439,2, FALSE),"")</f>
        <v>45751</v>
      </c>
      <c r="BJ531" s="31">
        <f t="shared" si="801"/>
        <v>52582.460951778558</v>
      </c>
      <c r="BK531" s="31">
        <f t="shared" si="802"/>
        <v>52633.328796444621</v>
      </c>
      <c r="BL531" s="31" t="str">
        <f t="shared" si="789"/>
        <v/>
      </c>
      <c r="BM531" s="31">
        <f t="shared" si="790"/>
        <v>52633.328796444621</v>
      </c>
      <c r="BN531" s="200"/>
      <c r="BP531" s="295" t="s">
        <v>1447</v>
      </c>
      <c r="BQ531" s="296" t="str">
        <f t="shared" si="808"/>
        <v>Y</v>
      </c>
      <c r="BR531" s="297" t="s">
        <v>1448</v>
      </c>
      <c r="BT531" s="295" t="str">
        <f t="shared" si="809"/>
        <v>Y</v>
      </c>
      <c r="BU531" s="296" t="str">
        <f t="shared" si="791"/>
        <v>Y</v>
      </c>
      <c r="BV531" s="296" t="str">
        <f t="shared" si="792"/>
        <v>Y</v>
      </c>
      <c r="BW531" s="297" t="str">
        <f t="shared" si="810"/>
        <v>Y</v>
      </c>
      <c r="BY531" s="352">
        <f t="shared" si="811"/>
        <v>0</v>
      </c>
      <c r="BZ531" s="353">
        <f t="shared" si="812"/>
        <v>0.9</v>
      </c>
      <c r="CA531" s="353">
        <f t="shared" si="813"/>
        <v>0</v>
      </c>
      <c r="CB531" s="354">
        <f t="shared" si="814"/>
        <v>0.9</v>
      </c>
      <c r="CD531" s="311">
        <f t="shared" si="815"/>
        <v>523</v>
      </c>
    </row>
    <row r="532" spans="1:82" outlineLevel="1" x14ac:dyDescent="0.3">
      <c r="A532" s="1">
        <v>130406000</v>
      </c>
      <c r="B532" s="47">
        <f>VLOOKUP(C532,'NCES ID'!$A$2:$B$3136,2,FALSE)</f>
        <v>402370</v>
      </c>
      <c r="C532" s="47">
        <f>VLOOKUP(A532,'State ID'!$A$2:$B$713,2,FALSE)</f>
        <v>4487</v>
      </c>
      <c r="D532" s="147" t="s">
        <v>117</v>
      </c>
      <c r="E532" s="47" t="s">
        <v>3</v>
      </c>
      <c r="F532" s="382">
        <f>IFERROR(VLOOKUP($B532,'update_Formula counts'!$D$7:$R$234,'update_Formula counts'!F$5,0),0)</f>
        <v>712</v>
      </c>
      <c r="G532" s="382">
        <f>IFERROR(VLOOKUP($B532,'update_Formula counts'!$D$7:$R$234,'update_Formula counts'!G$5,0),0)</f>
        <v>0</v>
      </c>
      <c r="H532" s="382">
        <f>IFERROR(VLOOKUP($B532,'update_Formula counts'!$D$7:$R$234,'update_Formula counts'!H$5,0),0)</f>
        <v>0</v>
      </c>
      <c r="I532" s="382">
        <f>IFERROR(VLOOKUP($B532,'update_Formula counts'!$D$7:$R$234,'update_Formula counts'!I$5,0),0)</f>
        <v>36</v>
      </c>
      <c r="J532" s="382">
        <f>IFERROR(VLOOKUP($B532,'update_Formula counts'!$D$7:$R$234,'update_Formula counts'!J$5,0),0)</f>
        <v>0</v>
      </c>
      <c r="K532" s="382">
        <f t="shared" si="774"/>
        <v>712</v>
      </c>
      <c r="L532" s="444">
        <f>IFERROR(VLOOKUP($B532,'update_Formula counts'!$D$7:$R$234,'update_Formula counts'!L$5,0),0)</f>
        <v>3000</v>
      </c>
      <c r="M532" s="445">
        <f>IFERROR(VLOOKUP($B532,'update_Formula counts'!$D$7:$R$234,'update_Formula counts'!K$5,0),0)</f>
        <v>748</v>
      </c>
      <c r="N532" s="446">
        <f>IFERROR(VLOOKUP($B532,'update_Formula counts'!$D$7:$R$234,'update_Formula counts'!M$5,0),0)</f>
        <v>0.24933333333333332</v>
      </c>
      <c r="O532" s="137">
        <f>VLOOKUP($C532,'Final SEA Counts'!$A$2:$F$709,5,FALSE)</f>
        <v>2164</v>
      </c>
      <c r="P532" s="208">
        <f>VLOOKUP($C532,'Final SEA Counts'!$A$2:$F$709,6,FALSE)</f>
        <v>1431</v>
      </c>
      <c r="Q532" s="748">
        <f t="shared" si="775"/>
        <v>-127.75565422453215</v>
      </c>
      <c r="R532" s="444">
        <f t="shared" si="776"/>
        <v>2610.3477182801298</v>
      </c>
      <c r="S532" s="445">
        <f t="shared" si="777"/>
        <v>620.24434577546788</v>
      </c>
      <c r="T532" s="229">
        <f t="shared" si="778"/>
        <v>0.23760985612450358</v>
      </c>
      <c r="U532" s="261">
        <f>VLOOKUP($B532,update_Allocation!$D$8:$Q$235,update_Allocation!K$239,0)</f>
        <v>353721.75269929401</v>
      </c>
      <c r="V532" s="262">
        <f>VLOOKUP($B532,update_Allocation!$D$8:$Q$235,update_Allocation!L$239,0)</f>
        <v>84259.756720034246</v>
      </c>
      <c r="W532" s="262">
        <f>VLOOKUP($B532,update_Allocation!$D$8:$Q$235,update_Allocation!M$239,0)</f>
        <v>156203.61339108282</v>
      </c>
      <c r="X532" s="262">
        <f>VLOOKUP($B532,update_Allocation!$D$8:$Q$235,update_Allocation!N$239,0)</f>
        <v>112415.73731626535</v>
      </c>
      <c r="Y532" s="263">
        <f>VLOOKUP($B532,update_Allocation!$D$8:$Q$235,update_Allocation!O$239,0)</f>
        <v>706600.86012667639</v>
      </c>
      <c r="Z532" s="262">
        <f t="shared" si="803"/>
        <v>293317.89308548684</v>
      </c>
      <c r="AA532" s="262">
        <f t="shared" si="804"/>
        <v>69871.00489131287</v>
      </c>
      <c r="AB532" s="262">
        <f t="shared" si="805"/>
        <v>129529.25406078312</v>
      </c>
      <c r="AC532" s="263">
        <f t="shared" si="806"/>
        <v>93218.884526137612</v>
      </c>
      <c r="AD532" s="262">
        <f t="shared" si="779"/>
        <v>293317.89308548684</v>
      </c>
      <c r="AE532" s="262">
        <f t="shared" si="780"/>
        <v>69871.00489131287</v>
      </c>
      <c r="AF532" s="262">
        <f t="shared" si="781"/>
        <v>129529.25406078312</v>
      </c>
      <c r="AG532" s="263">
        <f t="shared" si="782"/>
        <v>93218.884526137612</v>
      </c>
      <c r="AH532" s="262">
        <f t="shared" si="797"/>
        <v>293568.28134299529</v>
      </c>
      <c r="AI532" s="262">
        <f t="shared" si="797"/>
        <v>72829.818419033749</v>
      </c>
      <c r="AJ532" s="262">
        <f t="shared" si="797"/>
        <v>129636.97056676683</v>
      </c>
      <c r="AK532" s="262">
        <f t="shared" si="797"/>
        <v>93306.3241846491</v>
      </c>
      <c r="AL532" s="263">
        <f t="shared" si="783"/>
        <v>589341.39451344498</v>
      </c>
      <c r="AM532" s="346"/>
      <c r="AN532" s="261">
        <f>IFERROR(VLOOKUP($A532,'HH &amp; SI'!$B$4:$Z$494,'HH &amp; SI'!V$503,0),0)</f>
        <v>289563.81944097264</v>
      </c>
      <c r="AO532" s="262">
        <f>IFERROR(VLOOKUP($A532,'HH &amp; SI'!$B$4:$Z$494,'HH &amp; SI'!W$503,0),0)</f>
        <v>70431.070473064712</v>
      </c>
      <c r="AP532" s="262">
        <f>IFERROR(VLOOKUP($A532,'HH &amp; SI'!$B$4:$Z$494,'HH &amp; SI'!X$503,0),0)</f>
        <v>135321.01730045927</v>
      </c>
      <c r="AQ532" s="262">
        <f>IFERROR(VLOOKUP($A532,'HH &amp; SI'!$B$4:$Z$494,'HH &amp; SI'!Y$503,0),0)</f>
        <v>96852.038617040467</v>
      </c>
      <c r="AR532" s="263">
        <f t="shared" si="784"/>
        <v>592167.94583153713</v>
      </c>
      <c r="AS532" s="346"/>
      <c r="AT532" s="323">
        <f>IFERROR(VLOOKUP(A532,'Afton FY16 Final'!$A$5:$BV$572,'Afton FY16 Final'!$BV$587,0),0)</f>
        <v>630503.08656483353</v>
      </c>
      <c r="AU532" s="346"/>
      <c r="AV532" s="444">
        <v>0</v>
      </c>
      <c r="AW532" s="262">
        <f>IFERROR(VLOOKUP($A532,'HH &amp; SI'!$B$4:$EY$503,'HH &amp; SI'!EX$503,0),0)</f>
        <v>0</v>
      </c>
      <c r="AX532" s="262">
        <f>IFERROR(VLOOKUP($A532,'HH &amp; SI'!$B$4:$EY$503,'HH &amp; SI'!EY$503,0),0)</f>
        <v>592167.94583153713</v>
      </c>
      <c r="AY532" s="262">
        <f>AX532/$AX$582*'update_State Admin 1004(b)'!$B$30*0.01</f>
        <v>5667.4726364121443</v>
      </c>
      <c r="AZ532" s="263">
        <f t="shared" si="785"/>
        <v>586500.473195125</v>
      </c>
      <c r="BA532" s="261">
        <f t="shared" si="798"/>
        <v>5865.0047319512505</v>
      </c>
      <c r="BB532" s="262">
        <f t="shared" si="799"/>
        <v>580635.46846317372</v>
      </c>
      <c r="BC532" s="341">
        <f t="shared" si="807"/>
        <v>0.9209082093898171</v>
      </c>
      <c r="BD532" s="346"/>
      <c r="BE532" s="376" t="str">
        <f>'Original Title I &amp; II'!AZ529</f>
        <v/>
      </c>
      <c r="BF532" s="243" t="str">
        <f t="shared" si="800"/>
        <v/>
      </c>
      <c r="BG532" s="263">
        <f t="shared" si="773"/>
        <v>580635.46846317372</v>
      </c>
      <c r="BI532" s="31">
        <f>IFERROR(VLOOKUP(A532,'Title II Hold Harmless'!A$1:B$439,2, FALSE),"")</f>
        <v>45215</v>
      </c>
      <c r="BJ532" s="31">
        <f t="shared" si="801"/>
        <v>55435.359051910869</v>
      </c>
      <c r="BK532" s="31">
        <f t="shared" si="802"/>
        <v>55488.986766974376</v>
      </c>
      <c r="BL532" s="31" t="str">
        <f t="shared" si="789"/>
        <v/>
      </c>
      <c r="BM532" s="31">
        <f t="shared" si="790"/>
        <v>55488.986766974376</v>
      </c>
      <c r="BN532" s="200"/>
      <c r="BP532" s="295" t="s">
        <v>1447</v>
      </c>
      <c r="BQ532" s="296" t="str">
        <f t="shared" si="808"/>
        <v>Y</v>
      </c>
      <c r="BR532" s="297" t="s">
        <v>1448</v>
      </c>
      <c r="BT532" s="295" t="str">
        <f t="shared" si="809"/>
        <v>Y</v>
      </c>
      <c r="BU532" s="296" t="str">
        <f t="shared" si="791"/>
        <v>Y</v>
      </c>
      <c r="BV532" s="296" t="str">
        <f t="shared" si="792"/>
        <v>Y</v>
      </c>
      <c r="BW532" s="297" t="str">
        <f t="shared" si="810"/>
        <v>Y</v>
      </c>
      <c r="BY532" s="352">
        <f t="shared" si="811"/>
        <v>0</v>
      </c>
      <c r="BZ532" s="353">
        <f t="shared" si="812"/>
        <v>0.9</v>
      </c>
      <c r="CA532" s="353">
        <f t="shared" si="813"/>
        <v>0</v>
      </c>
      <c r="CB532" s="354">
        <f t="shared" si="814"/>
        <v>0.9</v>
      </c>
      <c r="CD532" s="311">
        <f t="shared" si="815"/>
        <v>524</v>
      </c>
    </row>
    <row r="533" spans="1:82" outlineLevel="1" x14ac:dyDescent="0.3">
      <c r="A533" s="1">
        <v>130251000</v>
      </c>
      <c r="B533" s="47">
        <f>VLOOKUP(C533,'NCES ID'!$A$2:$B$3136,2,FALSE)</f>
        <v>400003</v>
      </c>
      <c r="C533" s="47">
        <f>VLOOKUP(A533,'State ID'!$A$2:$B$713,2,FALSE)</f>
        <v>4474</v>
      </c>
      <c r="D533" s="147" t="s">
        <v>104</v>
      </c>
      <c r="E533" s="47" t="s">
        <v>3</v>
      </c>
      <c r="F533" s="382">
        <f>IFERROR(VLOOKUP($B533,'update_Formula counts'!$D$7:$R$234,'update_Formula counts'!F$5,0),0)</f>
        <v>914</v>
      </c>
      <c r="G533" s="382">
        <f>IFERROR(VLOOKUP($B533,'update_Formula counts'!$D$7:$R$234,'update_Formula counts'!G$5,0),0)</f>
        <v>0</v>
      </c>
      <c r="H533" s="382">
        <f>IFERROR(VLOOKUP($B533,'update_Formula counts'!$D$7:$R$234,'update_Formula counts'!H$5,0),0)</f>
        <v>0</v>
      </c>
      <c r="I533" s="382">
        <f>IFERROR(VLOOKUP($B533,'update_Formula counts'!$D$7:$R$234,'update_Formula counts'!I$5,0),0)</f>
        <v>46</v>
      </c>
      <c r="J533" s="382">
        <f>IFERROR(VLOOKUP($B533,'update_Formula counts'!$D$7:$R$234,'update_Formula counts'!J$5,0),0)</f>
        <v>0</v>
      </c>
      <c r="K533" s="382">
        <f t="shared" si="774"/>
        <v>914</v>
      </c>
      <c r="L533" s="444">
        <f>IFERROR(VLOOKUP($B533,'update_Formula counts'!$D$7:$R$234,'update_Formula counts'!L$5,0),0)</f>
        <v>3542</v>
      </c>
      <c r="M533" s="445">
        <f>IFERROR(VLOOKUP($B533,'update_Formula counts'!$D$7:$R$234,'update_Formula counts'!K$5,0),0)</f>
        <v>960</v>
      </c>
      <c r="N533" s="446">
        <f>IFERROR(VLOOKUP($B533,'update_Formula counts'!$D$7:$R$234,'update_Formula counts'!M$5,0),0)</f>
        <v>0.27103331451157536</v>
      </c>
      <c r="O533" s="137">
        <f>VLOOKUP($C533,'Final SEA Counts'!$A$2:$F$709,5,FALSE)</f>
        <v>2111</v>
      </c>
      <c r="P533" s="208">
        <f>VLOOKUP($C533,'Final SEA Counts'!$A$2:$F$709,6,FALSE)</f>
        <v>1341</v>
      </c>
      <c r="Q533" s="748">
        <f t="shared" si="775"/>
        <v>-164.00093814778424</v>
      </c>
      <c r="R533" s="444">
        <f t="shared" si="776"/>
        <v>3081.9505393827399</v>
      </c>
      <c r="S533" s="445">
        <f t="shared" si="777"/>
        <v>795.99906185221573</v>
      </c>
      <c r="T533" s="229">
        <f t="shared" si="778"/>
        <v>0.25827768865221318</v>
      </c>
      <c r="U533" s="261">
        <f>VLOOKUP($B533,update_Allocation!$D$8:$Q$235,update_Allocation!K$239,0)</f>
        <v>453974.44196700811</v>
      </c>
      <c r="V533" s="262">
        <f>VLOOKUP($B533,update_Allocation!$D$8:$Q$235,update_Allocation!L$239,0)</f>
        <v>108140.86423961607</v>
      </c>
      <c r="W533" s="262">
        <f>VLOOKUP($B533,update_Allocation!$D$8:$Q$235,update_Allocation!M$239,0)</f>
        <v>199626.73549039525</v>
      </c>
      <c r="X533" s="262">
        <f>VLOOKUP($B533,update_Allocation!$D$8:$Q$235,update_Allocation!N$239,0)</f>
        <v>158254.90803085218</v>
      </c>
      <c r="Y533" s="263">
        <f>VLOOKUP($B533,update_Allocation!$D$8:$Q$235,update_Allocation!O$239,0)</f>
        <v>919996.94972787157</v>
      </c>
      <c r="Z533" s="262">
        <f t="shared" si="803"/>
        <v>376450.77187442139</v>
      </c>
      <c r="AA533" s="262">
        <f t="shared" si="804"/>
        <v>89674.016972807905</v>
      </c>
      <c r="AB533" s="262">
        <f t="shared" si="805"/>
        <v>165537.15741467144</v>
      </c>
      <c r="AC533" s="263">
        <f t="shared" si="806"/>
        <v>131230.25609767565</v>
      </c>
      <c r="AD533" s="262">
        <f t="shared" si="779"/>
        <v>376450.77187442139</v>
      </c>
      <c r="AE533" s="262">
        <f t="shared" si="780"/>
        <v>89674.016972807905</v>
      </c>
      <c r="AF533" s="262">
        <f t="shared" si="781"/>
        <v>165537.15741467144</v>
      </c>
      <c r="AG533" s="263">
        <f t="shared" si="782"/>
        <v>131230.25609767565</v>
      </c>
      <c r="AH533" s="262">
        <f t="shared" si="797"/>
        <v>376701.16013192985</v>
      </c>
      <c r="AI533" s="262">
        <f t="shared" si="797"/>
        <v>92632.830500528784</v>
      </c>
      <c r="AJ533" s="262">
        <f t="shared" si="797"/>
        <v>165644.87392065514</v>
      </c>
      <c r="AK533" s="262">
        <f t="shared" si="797"/>
        <v>131317.69575618714</v>
      </c>
      <c r="AL533" s="263">
        <f t="shared" si="783"/>
        <v>766296.5603093009</v>
      </c>
      <c r="AM533" s="346"/>
      <c r="AN533" s="261">
        <f>IFERROR(VLOOKUP($A533,'HH &amp; SI'!$B$4:$Z$494,'HH &amp; SI'!V$503,0),0)</f>
        <v>371562.71180469525</v>
      </c>
      <c r="AO533" s="262">
        <f>IFERROR(VLOOKUP($A533,'HH &amp; SI'!$B$4:$Z$494,'HH &amp; SI'!W$503,0),0)</f>
        <v>89581.843738293916</v>
      </c>
      <c r="AP533" s="262">
        <f>IFERROR(VLOOKUP($A533,'HH &amp; SI'!$B$4:$Z$494,'HH &amp; SI'!X$503,0),0)</f>
        <v>164138.39846594248</v>
      </c>
      <c r="AQ533" s="262">
        <f>IFERROR(VLOOKUP($A533,'HH &amp; SI'!$B$4:$Z$494,'HH &amp; SI'!Y$503,0),0)</f>
        <v>129870.81113288115</v>
      </c>
      <c r="AR533" s="263">
        <f t="shared" si="784"/>
        <v>755153.76514181285</v>
      </c>
      <c r="AS533" s="346"/>
      <c r="AT533" s="323">
        <f>IFERROR(VLOOKUP(A533,'Afton FY16 Final'!$A$5:$BV$572,'Afton FY16 Final'!$BV$587,0),0)</f>
        <v>638702.24251500354</v>
      </c>
      <c r="AU533" s="346"/>
      <c r="AV533" s="444">
        <v>0</v>
      </c>
      <c r="AW533" s="262">
        <f>IFERROR(VLOOKUP($A533,'HH &amp; SI'!$B$4:$EY$503,'HH &amp; SI'!EX$503,0),0)</f>
        <v>42298.504089489346</v>
      </c>
      <c r="AX533" s="262">
        <f>IFERROR(VLOOKUP($A533,'HH &amp; SI'!$B$4:$EY$503,'HH &amp; SI'!EY$503,0),0)</f>
        <v>712855.26105232351</v>
      </c>
      <c r="AY533" s="262">
        <f>AX533/$AX$582*'update_State Admin 1004(b)'!$B$30*0.01</f>
        <v>6822.5369410417625</v>
      </c>
      <c r="AZ533" s="263">
        <f t="shared" si="785"/>
        <v>706032.7241112818</v>
      </c>
      <c r="BA533" s="261">
        <f t="shared" si="798"/>
        <v>7060.3272411128182</v>
      </c>
      <c r="BB533" s="262">
        <f t="shared" si="799"/>
        <v>698972.39687016897</v>
      </c>
      <c r="BC533" s="341">
        <f t="shared" si="807"/>
        <v>1.0943634613178137</v>
      </c>
      <c r="BD533" s="346"/>
      <c r="BE533" s="376" t="str">
        <f>'Original Title I &amp; II'!AZ530</f>
        <v/>
      </c>
      <c r="BF533" s="243" t="str">
        <f t="shared" si="800"/>
        <v/>
      </c>
      <c r="BG533" s="263">
        <f t="shared" si="773"/>
        <v>698972.39687016897</v>
      </c>
      <c r="BI533" s="31">
        <f>IFERROR(VLOOKUP(A533,'Title II Hold Harmless'!A$1:B$439,2, FALSE),"")</f>
        <v>84625</v>
      </c>
      <c r="BJ533" s="31">
        <f t="shared" si="801"/>
        <v>97525.690940365312</v>
      </c>
      <c r="BK533" s="31">
        <f t="shared" si="802"/>
        <v>97620.036499852416</v>
      </c>
      <c r="BL533" s="31" t="str">
        <f t="shared" si="789"/>
        <v/>
      </c>
      <c r="BM533" s="31">
        <f t="shared" si="790"/>
        <v>97620.036499852416</v>
      </c>
      <c r="BN533" s="200"/>
      <c r="BP533" s="295" t="s">
        <v>1447</v>
      </c>
      <c r="BQ533" s="296" t="str">
        <f t="shared" si="808"/>
        <v>Y</v>
      </c>
      <c r="BR533" s="297" t="s">
        <v>1448</v>
      </c>
      <c r="BT533" s="295" t="str">
        <f t="shared" si="809"/>
        <v>Y</v>
      </c>
      <c r="BU533" s="296" t="str">
        <f t="shared" si="791"/>
        <v>Y</v>
      </c>
      <c r="BV533" s="296" t="str">
        <f t="shared" si="792"/>
        <v>Y</v>
      </c>
      <c r="BW533" s="297" t="str">
        <f t="shared" si="810"/>
        <v>Y</v>
      </c>
      <c r="BY533" s="352">
        <f t="shared" si="811"/>
        <v>0</v>
      </c>
      <c r="BZ533" s="353">
        <f t="shared" si="812"/>
        <v>0.9</v>
      </c>
      <c r="CA533" s="353">
        <f t="shared" si="813"/>
        <v>0</v>
      </c>
      <c r="CB533" s="354">
        <f t="shared" si="814"/>
        <v>0.9</v>
      </c>
      <c r="CD533" s="311">
        <f t="shared" si="815"/>
        <v>525</v>
      </c>
    </row>
    <row r="534" spans="1:82" outlineLevel="1" x14ac:dyDescent="0.3">
      <c r="A534" s="1">
        <v>130201000</v>
      </c>
      <c r="B534" s="47">
        <f>VLOOKUP(C534,'NCES ID'!$A$2:$B$3136,2,FALSE)</f>
        <v>406730</v>
      </c>
      <c r="C534" s="47">
        <f>VLOOKUP(A534,'State ID'!$A$2:$B$713,2,FALSE)</f>
        <v>4466</v>
      </c>
      <c r="D534" s="147" t="s">
        <v>352</v>
      </c>
      <c r="E534" s="47" t="s">
        <v>3</v>
      </c>
      <c r="F534" s="382">
        <f>IFERROR(VLOOKUP($B534,'update_Formula counts'!$D$7:$R$234,'update_Formula counts'!F$5,0),0)</f>
        <v>826</v>
      </c>
      <c r="G534" s="382">
        <f>IFERROR(VLOOKUP($B534,'update_Formula counts'!$D$7:$R$234,'update_Formula counts'!G$5,0),0)</f>
        <v>0</v>
      </c>
      <c r="H534" s="382">
        <f>IFERROR(VLOOKUP($B534,'update_Formula counts'!$D$7:$R$234,'update_Formula counts'!H$5,0),0)</f>
        <v>0</v>
      </c>
      <c r="I534" s="382">
        <f>IFERROR(VLOOKUP($B534,'update_Formula counts'!$D$7:$R$234,'update_Formula counts'!I$5,0),0)</f>
        <v>42</v>
      </c>
      <c r="J534" s="382">
        <f>IFERROR(VLOOKUP($B534,'update_Formula counts'!$D$7:$R$234,'update_Formula counts'!J$5,0),0)</f>
        <v>0</v>
      </c>
      <c r="K534" s="382">
        <f t="shared" si="774"/>
        <v>826</v>
      </c>
      <c r="L534" s="444">
        <f>IFERROR(VLOOKUP($B534,'update_Formula counts'!$D$7:$R$234,'update_Formula counts'!L$5,0),0)</f>
        <v>5688</v>
      </c>
      <c r="M534" s="445">
        <f>IFERROR(VLOOKUP($B534,'update_Formula counts'!$D$7:$R$234,'update_Formula counts'!K$5,0),0)</f>
        <v>868</v>
      </c>
      <c r="N534" s="446">
        <f>IFERROR(VLOOKUP($B534,'update_Formula counts'!$D$7:$R$234,'update_Formula counts'!M$5,0),0)</f>
        <v>0.15260196905766527</v>
      </c>
      <c r="O534" s="137">
        <f>VLOOKUP($C534,'Final SEA Counts'!$A$2:$F$709,5,FALSE)</f>
        <v>3667</v>
      </c>
      <c r="P534" s="208">
        <f>VLOOKUP($C534,'Final SEA Counts'!$A$2:$F$709,6,FALSE)</f>
        <v>1557</v>
      </c>
      <c r="Q534" s="748">
        <f t="shared" si="775"/>
        <v>-148.21091346834768</v>
      </c>
      <c r="R534" s="444">
        <f t="shared" si="776"/>
        <v>4949.2192738591257</v>
      </c>
      <c r="S534" s="445">
        <f t="shared" si="777"/>
        <v>719.78908653165229</v>
      </c>
      <c r="T534" s="229">
        <f t="shared" si="778"/>
        <v>0.14543487501825733</v>
      </c>
      <c r="U534" s="261">
        <f>VLOOKUP($B534,update_Allocation!$D$8:$Q$235,update_Allocation!K$239,0)</f>
        <v>410468.55794516986</v>
      </c>
      <c r="V534" s="262">
        <f>VLOOKUP($B534,update_Allocation!$D$8:$Q$235,update_Allocation!L$239,0)</f>
        <v>97777.364749986227</v>
      </c>
      <c r="W534" s="262">
        <f>VLOOKUP($B534,update_Allocation!$D$8:$Q$235,update_Allocation!M$239,0)</f>
        <v>136508.24264285032</v>
      </c>
      <c r="X534" s="262">
        <f>VLOOKUP($B534,update_Allocation!$D$8:$Q$235,update_Allocation!N$239,0)</f>
        <v>105900.08641651433</v>
      </c>
      <c r="Y534" s="263">
        <f>VLOOKUP($B534,update_Allocation!$D$8:$Q$235,update_Allocation!O$239,0)</f>
        <v>750654.25175452069</v>
      </c>
      <c r="Z534" s="262">
        <f t="shared" si="803"/>
        <v>340374.23956978938</v>
      </c>
      <c r="AA534" s="262">
        <f t="shared" si="804"/>
        <v>81080.257012913848</v>
      </c>
      <c r="AB534" s="262">
        <f t="shared" si="805"/>
        <v>113197.19473074743</v>
      </c>
      <c r="AC534" s="263">
        <f t="shared" si="806"/>
        <v>87815.889150786068</v>
      </c>
      <c r="AD534" s="262">
        <f t="shared" si="779"/>
        <v>340374.23956978938</v>
      </c>
      <c r="AE534" s="262" t="str">
        <f t="shared" si="780"/>
        <v/>
      </c>
      <c r="AF534" s="262">
        <f t="shared" si="781"/>
        <v>113197.19473074743</v>
      </c>
      <c r="AG534" s="263">
        <f t="shared" si="782"/>
        <v>87815.889150786068</v>
      </c>
      <c r="AH534" s="262">
        <f t="shared" si="797"/>
        <v>340624.62782729784</v>
      </c>
      <c r="AI534" s="262" t="str">
        <f t="shared" si="797"/>
        <v/>
      </c>
      <c r="AJ534" s="262">
        <f t="shared" si="797"/>
        <v>113304.91123673115</v>
      </c>
      <c r="AK534" s="262">
        <f t="shared" si="797"/>
        <v>87903.328809297556</v>
      </c>
      <c r="AL534" s="263">
        <f t="shared" si="783"/>
        <v>541832.86787332653</v>
      </c>
      <c r="AM534" s="346"/>
      <c r="AN534" s="261">
        <f>IFERROR(VLOOKUP($A534,'HH &amp; SI'!$B$4:$Z$494,'HH &amp; SI'!V$503,0),0)</f>
        <v>335978.28681666462</v>
      </c>
      <c r="AO534" s="262">
        <f>IFERROR(VLOOKUP($A534,'HH &amp; SI'!$B$4:$Z$494,'HH &amp; SI'!W$503,0),0)</f>
        <v>74200.765782343748</v>
      </c>
      <c r="AP534" s="262">
        <f>IFERROR(VLOOKUP($A534,'HH &amp; SI'!$B$4:$Z$494,'HH &amp; SI'!X$503,0),0)</f>
        <v>112274.44730726299</v>
      </c>
      <c r="AQ534" s="262">
        <f>IFERROR(VLOOKUP($A534,'HH &amp; SI'!$B$4:$Z$494,'HH &amp; SI'!Y$503,0),0)</f>
        <v>86934.792359893778</v>
      </c>
      <c r="AR534" s="263">
        <f t="shared" si="784"/>
        <v>609388.29226616514</v>
      </c>
      <c r="AS534" s="346"/>
      <c r="AT534" s="323">
        <f>IFERROR(VLOOKUP(A534,'Afton FY16 Final'!$A$5:$BV$572,'Afton FY16 Final'!$BV$587,0),0)</f>
        <v>651186.38073737186</v>
      </c>
      <c r="AU534" s="346"/>
      <c r="AV534" s="444">
        <v>0</v>
      </c>
      <c r="AW534" s="262">
        <f>IFERROR(VLOOKUP($A534,'HH &amp; SI'!$B$4:$EY$503,'HH &amp; SI'!EX$503,0),0)</f>
        <v>0</v>
      </c>
      <c r="AX534" s="262">
        <f>IFERROR(VLOOKUP($A534,'HH &amp; SI'!$B$4:$EY$503,'HH &amp; SI'!EY$503,0),0)</f>
        <v>609388.29226616514</v>
      </c>
      <c r="AY534" s="262">
        <f>AX534/$AX$582*'update_State Admin 1004(b)'!$B$30*0.01</f>
        <v>5832.2837223461274</v>
      </c>
      <c r="AZ534" s="263">
        <f t="shared" si="785"/>
        <v>603556.00854381896</v>
      </c>
      <c r="BA534" s="261">
        <f t="shared" si="798"/>
        <v>6035.5600854381901</v>
      </c>
      <c r="BB534" s="262">
        <f t="shared" si="799"/>
        <v>597520.44845838076</v>
      </c>
      <c r="BC534" s="341">
        <f t="shared" si="807"/>
        <v>0.91758744674877502</v>
      </c>
      <c r="BD534" s="346"/>
      <c r="BE534" s="376" t="str">
        <f>'Original Title I &amp; II'!AZ531</f>
        <v/>
      </c>
      <c r="BF534" s="243" t="str">
        <f t="shared" si="800"/>
        <v/>
      </c>
      <c r="BG534" s="263">
        <f t="shared" si="773"/>
        <v>597520.44845838076</v>
      </c>
      <c r="BI534" s="31">
        <f>IFERROR(VLOOKUP(A534,'Title II Hold Harmless'!A$1:B$439,2, FALSE),"")</f>
        <v>109275</v>
      </c>
      <c r="BJ534" s="31">
        <f t="shared" si="801"/>
        <v>122680.81164808306</v>
      </c>
      <c r="BK534" s="31">
        <f t="shared" si="802"/>
        <v>122799.49206656222</v>
      </c>
      <c r="BL534" s="31" t="str">
        <f t="shared" si="789"/>
        <v/>
      </c>
      <c r="BM534" s="31">
        <f t="shared" si="790"/>
        <v>122799.49206656222</v>
      </c>
      <c r="BN534" s="200"/>
      <c r="BP534" s="295" t="s">
        <v>1447</v>
      </c>
      <c r="BQ534" s="296" t="str">
        <f t="shared" si="808"/>
        <v>Y</v>
      </c>
      <c r="BR534" s="297" t="s">
        <v>1448</v>
      </c>
      <c r="BT534" s="295" t="str">
        <f t="shared" si="809"/>
        <v>Y</v>
      </c>
      <c r="BU534" s="296" t="str">
        <f t="shared" si="791"/>
        <v>N</v>
      </c>
      <c r="BV534" s="296" t="str">
        <f t="shared" si="792"/>
        <v>Y</v>
      </c>
      <c r="BW534" s="297" t="str">
        <f t="shared" si="810"/>
        <v>Y</v>
      </c>
      <c r="BY534" s="352">
        <f t="shared" si="811"/>
        <v>0.85</v>
      </c>
      <c r="BZ534" s="353">
        <f t="shared" si="812"/>
        <v>0</v>
      </c>
      <c r="CA534" s="353">
        <f t="shared" si="813"/>
        <v>0</v>
      </c>
      <c r="CB534" s="354">
        <f t="shared" si="814"/>
        <v>0.85</v>
      </c>
      <c r="CD534" s="311">
        <f t="shared" si="815"/>
        <v>526</v>
      </c>
    </row>
    <row r="535" spans="1:82" outlineLevel="1" x14ac:dyDescent="0.3">
      <c r="A535" s="1">
        <v>130222000</v>
      </c>
      <c r="B535" s="47">
        <f>VLOOKUP(C535,'NCES ID'!$A$2:$B$3136,2,FALSE)</f>
        <v>403870</v>
      </c>
      <c r="C535" s="47">
        <f>VLOOKUP(A535,'State ID'!$A$2:$B$713,2,FALSE)</f>
        <v>4469</v>
      </c>
      <c r="D535" s="147" t="s">
        <v>200</v>
      </c>
      <c r="E535" s="47" t="s">
        <v>3</v>
      </c>
      <c r="F535" s="382">
        <f>IFERROR(VLOOKUP($B535,'update_Formula counts'!$D$7:$R$234,'update_Formula counts'!F$5,0),0)</f>
        <v>1516</v>
      </c>
      <c r="G535" s="382">
        <f>IFERROR(VLOOKUP($B535,'update_Formula counts'!$D$7:$R$234,'update_Formula counts'!G$5,0),0)</f>
        <v>0</v>
      </c>
      <c r="H535" s="382">
        <f>IFERROR(VLOOKUP($B535,'update_Formula counts'!$D$7:$R$234,'update_Formula counts'!H$5,0),0)</f>
        <v>0</v>
      </c>
      <c r="I535" s="382">
        <f>IFERROR(VLOOKUP($B535,'update_Formula counts'!$D$7:$R$234,'update_Formula counts'!I$5,0),0)</f>
        <v>78</v>
      </c>
      <c r="J535" s="382">
        <f>IFERROR(VLOOKUP($B535,'update_Formula counts'!$D$7:$R$234,'update_Formula counts'!J$5,0),0)</f>
        <v>0</v>
      </c>
      <c r="K535" s="382">
        <f t="shared" si="774"/>
        <v>1516</v>
      </c>
      <c r="L535" s="444">
        <f>IFERROR(VLOOKUP($B535,'update_Formula counts'!$D$7:$R$234,'update_Formula counts'!L$5,0),0)</f>
        <v>8342</v>
      </c>
      <c r="M535" s="445">
        <f>IFERROR(VLOOKUP($B535,'update_Formula counts'!$D$7:$R$234,'update_Formula counts'!K$5,0),0)</f>
        <v>1594</v>
      </c>
      <c r="N535" s="446">
        <f>IFERROR(VLOOKUP($B535,'update_Formula counts'!$D$7:$R$234,'update_Formula counts'!M$5,0),0)</f>
        <v>0.19108127547350756</v>
      </c>
      <c r="O535" s="137">
        <f>VLOOKUP($C535,'Final SEA Counts'!$A$2:$F$709,5,FALSE)</f>
        <v>5416</v>
      </c>
      <c r="P535" s="208">
        <f>VLOOKUP($C535,'Final SEA Counts'!$A$2:$F$709,6,FALSE)</f>
        <v>3623</v>
      </c>
      <c r="Q535" s="748">
        <f t="shared" si="775"/>
        <v>-272.0190615230207</v>
      </c>
      <c r="R535" s="444">
        <f t="shared" si="776"/>
        <v>7258.5068886309473</v>
      </c>
      <c r="S535" s="445">
        <f t="shared" si="777"/>
        <v>1321.9809384769792</v>
      </c>
      <c r="T535" s="229">
        <f t="shared" si="778"/>
        <v>0.1821284954000123</v>
      </c>
      <c r="U535" s="261">
        <f>VLOOKUP($B535,update_Allocation!$D$8:$Q$235,update_Allocation!K$239,0)</f>
        <v>753786.7296827198</v>
      </c>
      <c r="V535" s="262">
        <f>VLOOKUP($B535,update_Allocation!$D$8:$Q$235,update_Allocation!L$239,0)</f>
        <v>179558.8933311959</v>
      </c>
      <c r="W535" s="262">
        <f>VLOOKUP($B535,update_Allocation!$D$8:$Q$235,update_Allocation!M$239,0)</f>
        <v>291926.40912279184</v>
      </c>
      <c r="X535" s="262">
        <f>VLOOKUP($B535,update_Allocation!$D$8:$Q$235,update_Allocation!N$239,0)</f>
        <v>226470.07502872983</v>
      </c>
      <c r="Y535" s="263">
        <f>VLOOKUP($B535,update_Allocation!$D$8:$Q$235,update_Allocation!O$239,0)</f>
        <v>1451742.1071654374</v>
      </c>
      <c r="Z535" s="262">
        <f t="shared" si="803"/>
        <v>625065.13579982065</v>
      </c>
      <c r="AA535" s="262">
        <f t="shared" si="804"/>
        <v>148896.23234859982</v>
      </c>
      <c r="AB535" s="262">
        <f t="shared" si="805"/>
        <v>242075.12997568626</v>
      </c>
      <c r="AC535" s="263">
        <f t="shared" si="806"/>
        <v>187796.55123673071</v>
      </c>
      <c r="AD535" s="262">
        <f t="shared" si="779"/>
        <v>625065.13579982065</v>
      </c>
      <c r="AE535" s="262">
        <f t="shared" si="780"/>
        <v>148896.23234859982</v>
      </c>
      <c r="AF535" s="262">
        <f t="shared" si="781"/>
        <v>242075.12997568626</v>
      </c>
      <c r="AG535" s="263">
        <f t="shared" si="782"/>
        <v>187796.55123673071</v>
      </c>
      <c r="AH535" s="262">
        <f t="shared" si="797"/>
        <v>625315.52405732917</v>
      </c>
      <c r="AI535" s="262">
        <f t="shared" si="797"/>
        <v>151855.04587632068</v>
      </c>
      <c r="AJ535" s="262">
        <f t="shared" si="797"/>
        <v>242182.84648166996</v>
      </c>
      <c r="AK535" s="262">
        <f t="shared" si="797"/>
        <v>187883.9908952422</v>
      </c>
      <c r="AL535" s="263">
        <f t="shared" si="783"/>
        <v>1207237.407310562</v>
      </c>
      <c r="AM535" s="346"/>
      <c r="AN535" s="261">
        <f>IFERROR(VLOOKUP($A535,'HH &amp; SI'!$B$4:$Z$494,'HH &amp; SI'!V$503,0),0)</f>
        <v>616785.81443960231</v>
      </c>
      <c r="AO535" s="262">
        <f>IFERROR(VLOOKUP($A535,'HH &amp; SI'!$B$4:$Z$494,'HH &amp; SI'!W$503,0),0)</f>
        <v>146853.49586166814</v>
      </c>
      <c r="AP535" s="262">
        <f>IFERROR(VLOOKUP($A535,'HH &amp; SI'!$B$4:$Z$494,'HH &amp; SI'!X$503,0),0)</f>
        <v>239980.28804963635</v>
      </c>
      <c r="AQ535" s="262">
        <f>IFERROR(VLOOKUP($A535,'HH &amp; SI'!$B$4:$Z$494,'HH &amp; SI'!Y$503,0),0)</f>
        <v>185813.84752403642</v>
      </c>
      <c r="AR535" s="263">
        <f t="shared" si="784"/>
        <v>1189433.4458749432</v>
      </c>
      <c r="AS535" s="346"/>
      <c r="AT535" s="323">
        <f>IFERROR(VLOOKUP(A535,'Afton FY16 Final'!$A$5:$BV$572,'Afton FY16 Final'!$BV$587,0),0)</f>
        <v>1230981.9948731365</v>
      </c>
      <c r="AU535" s="346"/>
      <c r="AV535" s="444">
        <v>0</v>
      </c>
      <c r="AW535" s="262">
        <f>IFERROR(VLOOKUP($A535,'HH &amp; SI'!$B$4:$EY$503,'HH &amp; SI'!EX$503,0),0)</f>
        <v>0</v>
      </c>
      <c r="AX535" s="262">
        <f>IFERROR(VLOOKUP($A535,'HH &amp; SI'!$B$4:$EY$503,'HH &amp; SI'!EY$503,0),0)</f>
        <v>1189433.4458749432</v>
      </c>
      <c r="AY535" s="262">
        <f>AX535/$AX$582*'update_State Admin 1004(b)'!$B$30*0.01</f>
        <v>11383.732528554292</v>
      </c>
      <c r="AZ535" s="263">
        <f t="shared" si="785"/>
        <v>1178049.7133463889</v>
      </c>
      <c r="BA535" s="261">
        <f t="shared" si="798"/>
        <v>11780.497133463889</v>
      </c>
      <c r="BB535" s="262">
        <f t="shared" si="799"/>
        <v>1166269.216212925</v>
      </c>
      <c r="BC535" s="341">
        <f t="shared" si="807"/>
        <v>0.9474299551660943</v>
      </c>
      <c r="BD535" s="346"/>
      <c r="BE535" s="376" t="str">
        <f>'Original Title I &amp; II'!AZ532</f>
        <v/>
      </c>
      <c r="BF535" s="243" t="str">
        <f t="shared" si="800"/>
        <v/>
      </c>
      <c r="BG535" s="263">
        <f t="shared" si="773"/>
        <v>1166269.216212925</v>
      </c>
      <c r="BI535" s="31">
        <f>IFERROR(VLOOKUP(A535,'Title II Hold Harmless'!A$1:B$439,2, FALSE),"")</f>
        <v>146191</v>
      </c>
      <c r="BJ535" s="31">
        <f t="shared" si="801"/>
        <v>169338.55436711822</v>
      </c>
      <c r="BK535" s="31">
        <f t="shared" si="802"/>
        <v>169502.37110607652</v>
      </c>
      <c r="BL535" s="31" t="str">
        <f t="shared" si="789"/>
        <v/>
      </c>
      <c r="BM535" s="31">
        <f t="shared" si="790"/>
        <v>169502.37110607652</v>
      </c>
      <c r="BN535" s="200"/>
      <c r="BP535" s="295" t="s">
        <v>1447</v>
      </c>
      <c r="BQ535" s="296" t="str">
        <f t="shared" si="808"/>
        <v>Y</v>
      </c>
      <c r="BR535" s="297" t="s">
        <v>1448</v>
      </c>
      <c r="BT535" s="295" t="str">
        <f t="shared" si="809"/>
        <v>Y</v>
      </c>
      <c r="BU535" s="296" t="str">
        <f t="shared" si="791"/>
        <v>Y</v>
      </c>
      <c r="BV535" s="296" t="str">
        <f t="shared" si="792"/>
        <v>Y</v>
      </c>
      <c r="BW535" s="297" t="str">
        <f t="shared" si="810"/>
        <v>Y</v>
      </c>
      <c r="BY535" s="352">
        <f t="shared" si="811"/>
        <v>0</v>
      </c>
      <c r="BZ535" s="353">
        <f t="shared" si="812"/>
        <v>0.9</v>
      </c>
      <c r="CA535" s="353">
        <f t="shared" si="813"/>
        <v>0</v>
      </c>
      <c r="CB535" s="354">
        <f t="shared" si="814"/>
        <v>0.9</v>
      </c>
      <c r="CD535" s="311">
        <f t="shared" si="815"/>
        <v>527</v>
      </c>
    </row>
    <row r="536" spans="1:82" outlineLevel="1" x14ac:dyDescent="0.3">
      <c r="A536" s="1">
        <v>130315000</v>
      </c>
      <c r="B536" s="47">
        <f>VLOOKUP(C536,'NCES ID'!$A$2:$B$3136,2,FALSE)</f>
        <v>407770</v>
      </c>
      <c r="C536" s="47">
        <f>VLOOKUP(A536,'State ID'!$A$2:$B$713,2,FALSE)</f>
        <v>4478</v>
      </c>
      <c r="D536" s="147" t="s">
        <v>475</v>
      </c>
      <c r="E536" s="47" t="s">
        <v>3</v>
      </c>
      <c r="F536" s="382">
        <f>IFERROR(VLOOKUP($B536,'update_Formula counts'!$D$7:$R$234,'update_Formula counts'!F$5,0),0)</f>
        <v>15</v>
      </c>
      <c r="G536" s="382">
        <f>IFERROR(VLOOKUP($B536,'update_Formula counts'!$D$7:$R$234,'update_Formula counts'!G$5,0),0)</f>
        <v>0</v>
      </c>
      <c r="H536" s="382">
        <f>IFERROR(VLOOKUP($B536,'update_Formula counts'!$D$7:$R$234,'update_Formula counts'!H$5,0),0)</f>
        <v>0</v>
      </c>
      <c r="I536" s="382">
        <f>IFERROR(VLOOKUP($B536,'update_Formula counts'!$D$7:$R$234,'update_Formula counts'!I$5,0),0)</f>
        <v>1</v>
      </c>
      <c r="J536" s="382">
        <f>IFERROR(VLOOKUP($B536,'update_Formula counts'!$D$7:$R$234,'update_Formula counts'!J$5,0),0)</f>
        <v>0</v>
      </c>
      <c r="K536" s="382">
        <f t="shared" si="774"/>
        <v>15</v>
      </c>
      <c r="L536" s="444">
        <f>IFERROR(VLOOKUP($B536,'update_Formula counts'!$D$7:$R$234,'update_Formula counts'!L$5,0),0)</f>
        <v>110</v>
      </c>
      <c r="M536" s="445">
        <f>IFERROR(VLOOKUP($B536,'update_Formula counts'!$D$7:$R$234,'update_Formula counts'!K$5,0),0)</f>
        <v>16</v>
      </c>
      <c r="N536" s="446">
        <f>IFERROR(VLOOKUP($B536,'update_Formula counts'!$D$7:$R$234,'update_Formula counts'!M$5,0),0)</f>
        <v>0.14545454545454545</v>
      </c>
      <c r="O536" s="137">
        <f>VLOOKUP($C536,'Final SEA Counts'!$A$2:$F$709,5,FALSE)</f>
        <v>16</v>
      </c>
      <c r="P536" s="208">
        <f>VLOOKUP($C536,'Final SEA Counts'!$A$2:$F$709,6,FALSE)</f>
        <v>6</v>
      </c>
      <c r="Q536" s="748">
        <f t="shared" si="775"/>
        <v>-2.6914814794494131</v>
      </c>
      <c r="R536" s="444">
        <f t="shared" si="776"/>
        <v>95.712749670271421</v>
      </c>
      <c r="S536" s="445">
        <f t="shared" si="777"/>
        <v>13.308518520550587</v>
      </c>
      <c r="T536" s="229">
        <f t="shared" si="778"/>
        <v>0.13904645479727806</v>
      </c>
      <c r="U536" s="261">
        <f>VLOOKUP($B536,update_Allocation!$D$8:$Q$235,update_Allocation!K$239,0)</f>
        <v>7566.240699450138</v>
      </c>
      <c r="V536" s="262">
        <f>VLOOKUP($B536,update_Allocation!$D$8:$Q$235,update_Allocation!L$239,0)</f>
        <v>1672.110952963998</v>
      </c>
      <c r="W536" s="262">
        <f>VLOOKUP($B536,update_Allocation!$D$8:$Q$235,update_Allocation!M$239,0)</f>
        <v>2283.4625010827031</v>
      </c>
      <c r="X536" s="262">
        <f>VLOOKUP($B536,update_Allocation!$D$8:$Q$235,update_Allocation!N$239,0)</f>
        <v>1771.45988778278</v>
      </c>
      <c r="Y536" s="263">
        <f>VLOOKUP($B536,update_Allocation!$D$8:$Q$235,update_Allocation!O$239,0)</f>
        <v>13293.274041279617</v>
      </c>
      <c r="Z536" s="262">
        <f t="shared" si="803"/>
        <v>6274.1795312403592</v>
      </c>
      <c r="AA536" s="262">
        <f t="shared" si="804"/>
        <v>1386.5702575140053</v>
      </c>
      <c r="AB536" s="262">
        <f t="shared" si="805"/>
        <v>1893.5233828457492</v>
      </c>
      <c r="AC536" s="263">
        <f t="shared" si="806"/>
        <v>1468.953712924806</v>
      </c>
      <c r="AD536" s="262">
        <f t="shared" si="779"/>
        <v>6274.1795312403592</v>
      </c>
      <c r="AE536" s="262" t="str">
        <f t="shared" si="780"/>
        <v/>
      </c>
      <c r="AF536" s="262">
        <f t="shared" si="781"/>
        <v>1893.5233828457492</v>
      </c>
      <c r="AG536" s="263">
        <f t="shared" si="782"/>
        <v>1468.953712924806</v>
      </c>
      <c r="AH536" s="262">
        <f t="shared" si="797"/>
        <v>6524.5677887488309</v>
      </c>
      <c r="AI536" s="262" t="str">
        <f t="shared" si="797"/>
        <v/>
      </c>
      <c r="AJ536" s="262">
        <f t="shared" si="797"/>
        <v>2001.2398888294606</v>
      </c>
      <c r="AK536" s="262">
        <f t="shared" si="797"/>
        <v>1556.3933714362893</v>
      </c>
      <c r="AL536" s="263">
        <f t="shared" si="783"/>
        <v>10082.20104901458</v>
      </c>
      <c r="AM536" s="346"/>
      <c r="AN536" s="261">
        <f>IFERROR(VLOOKUP($A536,'HH &amp; SI'!$B$4:$Z$494,'HH &amp; SI'!V$503,0),0)</f>
        <v>6435.5684492504251</v>
      </c>
      <c r="AO536" s="262">
        <f>IFERROR(VLOOKUP($A536,'HH &amp; SI'!$B$4:$Z$494,'HH &amp; SI'!W$503,0),0)</f>
        <v>1725.1550299458481</v>
      </c>
      <c r="AP536" s="262">
        <f>IFERROR(VLOOKUP($A536,'HH &amp; SI'!$B$4:$Z$494,'HH &amp; SI'!X$503,0),0)</f>
        <v>1983.0393933951279</v>
      </c>
      <c r="AQ536" s="262">
        <f>IFERROR(VLOOKUP($A536,'HH &amp; SI'!$B$4:$Z$494,'HH &amp; SI'!Y$503,0),0)</f>
        <v>1539.2447181342422</v>
      </c>
      <c r="AR536" s="263">
        <f t="shared" si="784"/>
        <v>11683.007590725643</v>
      </c>
      <c r="AS536" s="346"/>
      <c r="AT536" s="323">
        <f>IFERROR(VLOOKUP(A536,'Afton FY16 Final'!$A$5:$BV$572,'Afton FY16 Final'!$BV$587,0),0)</f>
        <v>12238.274942057596</v>
      </c>
      <c r="AU536" s="346"/>
      <c r="AV536" s="444">
        <v>0</v>
      </c>
      <c r="AW536" s="262">
        <f>IFERROR(VLOOKUP($A536,'HH &amp; SI'!$B$4:$EY$503,'HH &amp; SI'!EX$503,0),0)</f>
        <v>0</v>
      </c>
      <c r="AX536" s="262">
        <f>IFERROR(VLOOKUP($A536,'HH &amp; SI'!$B$4:$EY$503,'HH &amp; SI'!EY$503,0),0)</f>
        <v>11683.007590725643</v>
      </c>
      <c r="AY536" s="262">
        <f>AX536/$AX$582*'update_State Admin 1004(b)'!$B$30*0.01</f>
        <v>111.81477534798819</v>
      </c>
      <c r="AZ536" s="263">
        <f t="shared" si="785"/>
        <v>11571.192815377655</v>
      </c>
      <c r="BA536" s="261">
        <f t="shared" si="798"/>
        <v>115.71192815377655</v>
      </c>
      <c r="BB536" s="262">
        <f t="shared" si="799"/>
        <v>11455.480887223879</v>
      </c>
      <c r="BC536" s="341">
        <f t="shared" si="807"/>
        <v>0.93603722268539691</v>
      </c>
      <c r="BD536" s="346"/>
      <c r="BE536" s="376" t="str">
        <f>'Original Title I &amp; II'!AZ533</f>
        <v/>
      </c>
      <c r="BF536" s="243" t="str">
        <f t="shared" si="800"/>
        <v/>
      </c>
      <c r="BG536" s="263">
        <f t="shared" si="773"/>
        <v>11455.480887223879</v>
      </c>
      <c r="BI536" s="31">
        <f>IFERROR(VLOOKUP(A536,'Title II Hold Harmless'!A$1:B$439,2, FALSE),"")</f>
        <v>376</v>
      </c>
      <c r="BJ536" s="31">
        <f t="shared" si="801"/>
        <v>627.24997573997507</v>
      </c>
      <c r="BK536" s="31">
        <f t="shared" si="802"/>
        <v>627.85677226024427</v>
      </c>
      <c r="BL536" s="31" t="str">
        <f t="shared" si="789"/>
        <v/>
      </c>
      <c r="BM536" s="31">
        <f t="shared" si="790"/>
        <v>627.85677226024427</v>
      </c>
      <c r="BN536" s="200"/>
      <c r="BP536" s="295" t="s">
        <v>1447</v>
      </c>
      <c r="BQ536" s="296" t="str">
        <f t="shared" si="808"/>
        <v>Y</v>
      </c>
      <c r="BR536" s="297" t="s">
        <v>1448</v>
      </c>
      <c r="BT536" s="295" t="str">
        <f t="shared" si="809"/>
        <v>Y</v>
      </c>
      <c r="BU536" s="296" t="str">
        <f t="shared" si="791"/>
        <v>N</v>
      </c>
      <c r="BV536" s="296" t="str">
        <f t="shared" si="792"/>
        <v>Y</v>
      </c>
      <c r="BW536" s="297" t="str">
        <f t="shared" si="810"/>
        <v>Y</v>
      </c>
      <c r="BY536" s="352">
        <f t="shared" si="811"/>
        <v>0.85</v>
      </c>
      <c r="BZ536" s="353">
        <f t="shared" si="812"/>
        <v>0</v>
      </c>
      <c r="CA536" s="353">
        <f t="shared" si="813"/>
        <v>0</v>
      </c>
      <c r="CB536" s="354">
        <f t="shared" si="814"/>
        <v>0.85</v>
      </c>
      <c r="CD536" s="311">
        <f t="shared" si="815"/>
        <v>528</v>
      </c>
    </row>
    <row r="537" spans="1:82" outlineLevel="1" x14ac:dyDescent="0.3">
      <c r="A537" s="1">
        <v>130302000</v>
      </c>
      <c r="B537" s="47">
        <f>VLOOKUP(C537,'NCES ID'!$A$2:$B$3136,2,FALSE)</f>
        <v>409360</v>
      </c>
      <c r="C537" s="47">
        <v>4475</v>
      </c>
      <c r="D537" s="147" t="s">
        <v>456</v>
      </c>
      <c r="E537" s="47" t="s">
        <v>3</v>
      </c>
      <c r="F537" s="382">
        <f>IFERROR(VLOOKUP($B537,'update_Formula counts'!$D$7:$R$234,'update_Formula counts'!F$5,0),0)</f>
        <v>11</v>
      </c>
      <c r="G537" s="382">
        <f>IFERROR(VLOOKUP($B537,'update_Formula counts'!$D$7:$R$234,'update_Formula counts'!G$5,0),0)</f>
        <v>0</v>
      </c>
      <c r="H537" s="382">
        <f>IFERROR(VLOOKUP($B537,'update_Formula counts'!$D$7:$R$234,'update_Formula counts'!H$5,0),0)</f>
        <v>0</v>
      </c>
      <c r="I537" s="382">
        <f>IFERROR(VLOOKUP($B537,'update_Formula counts'!$D$7:$R$234,'update_Formula counts'!I$5,0),0)</f>
        <v>1</v>
      </c>
      <c r="J537" s="382">
        <f>IFERROR(VLOOKUP($B537,'update_Formula counts'!$D$7:$R$234,'update_Formula counts'!J$5,0),0)</f>
        <v>0</v>
      </c>
      <c r="K537" s="382">
        <f t="shared" si="774"/>
        <v>11</v>
      </c>
      <c r="L537" s="444">
        <f>IFERROR(VLOOKUP($B537,'update_Formula counts'!$D$7:$R$234,'update_Formula counts'!L$5,0),0)</f>
        <v>59</v>
      </c>
      <c r="M537" s="445">
        <f>IFERROR(VLOOKUP($B537,'update_Formula counts'!$D$7:$R$234,'update_Formula counts'!K$5,0),0)</f>
        <v>12</v>
      </c>
      <c r="N537" s="446">
        <f>IFERROR(VLOOKUP($B537,'update_Formula counts'!$D$7:$R$234,'update_Formula counts'!M$5,0),0)</f>
        <v>0.20338983050847459</v>
      </c>
      <c r="O537" s="137"/>
      <c r="P537" s="208"/>
      <c r="Q537" s="748">
        <f t="shared" si="775"/>
        <v>-1.9737530849295695</v>
      </c>
      <c r="R537" s="444">
        <f t="shared" si="776"/>
        <v>51.336838459509217</v>
      </c>
      <c r="S537" s="445">
        <f t="shared" si="777"/>
        <v>10.026246915070431</v>
      </c>
      <c r="T537" s="229">
        <f t="shared" si="778"/>
        <v>0.19530316271771211</v>
      </c>
      <c r="U537" s="261">
        <f>VLOOKUP($B537,update_Allocation!$D$8:$Q$235,update_Allocation!K$239,0)</f>
        <v>6641.4424598265614</v>
      </c>
      <c r="V537" s="262">
        <f>VLOOKUP($B537,update_Allocation!$D$8:$Q$235,update_Allocation!L$239,0)</f>
        <v>1573.751485142586</v>
      </c>
      <c r="W537" s="262">
        <f>VLOOKUP($B537,update_Allocation!$D$8:$Q$235,update_Allocation!M$239,0)</f>
        <v>2624.7971661788761</v>
      </c>
      <c r="X537" s="262">
        <f>VLOOKUP($B537,update_Allocation!$D$8:$Q$235,update_Allocation!N$239,0)</f>
        <v>1850.8510836976734</v>
      </c>
      <c r="Y537" s="263">
        <f>VLOOKUP($B537,update_Allocation!$D$8:$Q$235,update_Allocation!O$239,0)</f>
        <v>12690.842194845696</v>
      </c>
      <c r="Z537" s="262">
        <f t="shared" si="803"/>
        <v>5507.3059389166265</v>
      </c>
      <c r="AA537" s="262">
        <f t="shared" si="804"/>
        <v>1305.007301189652</v>
      </c>
      <c r="AB537" s="262">
        <f t="shared" si="805"/>
        <v>2176.56948911155</v>
      </c>
      <c r="AC537" s="263">
        <f t="shared" si="806"/>
        <v>1534.7875445667357</v>
      </c>
      <c r="AD537" s="262">
        <f t="shared" si="779"/>
        <v>5507.3059389166265</v>
      </c>
      <c r="AE537" s="262">
        <f t="shared" si="780"/>
        <v>1305.007301189652</v>
      </c>
      <c r="AF537" s="262">
        <f t="shared" si="781"/>
        <v>2176.56948911155</v>
      </c>
      <c r="AG537" s="263">
        <f t="shared" si="782"/>
        <v>1534.7875445667357</v>
      </c>
      <c r="AH537" s="262">
        <f t="shared" si="797"/>
        <v>5757.6941964250982</v>
      </c>
      <c r="AI537" s="262">
        <f t="shared" si="797"/>
        <v>4263.8208289105241</v>
      </c>
      <c r="AJ537" s="262">
        <f t="shared" si="797"/>
        <v>2284.2859950952611</v>
      </c>
      <c r="AK537" s="262">
        <f t="shared" si="797"/>
        <v>1622.227203078219</v>
      </c>
      <c r="AL537" s="263">
        <f t="shared" si="783"/>
        <v>13928.028223509102</v>
      </c>
      <c r="AM537" s="346"/>
      <c r="AN537" s="261">
        <f>IFERROR(VLOOKUP($A537,'HH &amp; SI'!$B$4:$Z$494,'HH &amp; SI'!V$503,0),0)</f>
        <v>5679.1555104757708</v>
      </c>
      <c r="AO537" s="262">
        <f>IFERROR(VLOOKUP($A537,'HH &amp; SI'!$B$4:$Z$494,'HH &amp; SI'!W$503,0),0)</f>
        <v>4123.3861597413343</v>
      </c>
      <c r="AP537" s="262">
        <f>IFERROR(VLOOKUP($A537,'HH &amp; SI'!$B$4:$Z$494,'HH &amp; SI'!X$503,0),0)</f>
        <v>2263.5113058356146</v>
      </c>
      <c r="AQ537" s="262">
        <f>IFERROR(VLOOKUP($A537,'HH &amp; SI'!$B$4:$Z$494,'HH &amp; SI'!Y$503,0),0)</f>
        <v>1604.3531794584285</v>
      </c>
      <c r="AR537" s="263">
        <f t="shared" si="784"/>
        <v>13670.406155511149</v>
      </c>
      <c r="AS537" s="346"/>
      <c r="AT537" s="323">
        <f>IFERROR(VLOOKUP(A537,'Afton FY16 Final'!$A$5:$BV$572,'Afton FY16 Final'!$BV$587,0),0)</f>
        <v>10837.223848582405</v>
      </c>
      <c r="AU537" s="346"/>
      <c r="AV537" s="444">
        <v>0</v>
      </c>
      <c r="AW537" s="262">
        <f>IFERROR(VLOOKUP($A537,'HH &amp; SI'!$B$4:$EY$503,'HH &amp; SI'!EX$503,0),0)</f>
        <v>765.72184019406996</v>
      </c>
      <c r="AX537" s="262">
        <f>IFERROR(VLOOKUP($A537,'HH &amp; SI'!$B$4:$EY$503,'HH &amp; SI'!EY$503,0),0)</f>
        <v>12904.684315317079</v>
      </c>
      <c r="AY537" s="262">
        <f>AX537/$AX$582*'update_State Admin 1004(b)'!$B$30*0.01</f>
        <v>123.50709921641536</v>
      </c>
      <c r="AZ537" s="263">
        <f t="shared" si="785"/>
        <v>12781.177216100665</v>
      </c>
      <c r="BA537" s="261">
        <f t="shared" si="798"/>
        <v>127.81177216100664</v>
      </c>
      <c r="BB537" s="262">
        <f t="shared" si="799"/>
        <v>12653.365443939658</v>
      </c>
      <c r="BC537" s="341">
        <f t="shared" si="807"/>
        <v>1.1675836561772983</v>
      </c>
      <c r="BD537" s="346"/>
      <c r="BE537" s="376" t="str">
        <f>'Original Title I &amp; II'!AZ534</f>
        <v/>
      </c>
      <c r="BF537" s="243" t="str">
        <f t="shared" si="800"/>
        <v/>
      </c>
      <c r="BG537" s="263">
        <f t="shared" si="773"/>
        <v>12653.365443939658</v>
      </c>
      <c r="BI537" s="31" t="str">
        <f>IFERROR(VLOOKUP(A537,'Title II Hold Harmless'!A$1:B$439,2, FALSE),"")</f>
        <v/>
      </c>
      <c r="BJ537" s="31"/>
      <c r="BK537" s="31"/>
      <c r="BL537" s="31" t="str">
        <f t="shared" si="789"/>
        <v/>
      </c>
      <c r="BM537" s="31">
        <f t="shared" si="790"/>
        <v>0</v>
      </c>
      <c r="BN537" s="200"/>
      <c r="BP537" s="295" t="s">
        <v>1447</v>
      </c>
      <c r="BQ537" s="296" t="str">
        <f t="shared" si="808"/>
        <v>Y</v>
      </c>
      <c r="BR537" s="297" t="s">
        <v>1448</v>
      </c>
      <c r="BT537" s="295" t="str">
        <f t="shared" si="809"/>
        <v>Y</v>
      </c>
      <c r="BU537" s="296" t="str">
        <f t="shared" si="791"/>
        <v>Y</v>
      </c>
      <c r="BV537" s="296" t="str">
        <f t="shared" si="792"/>
        <v>Y</v>
      </c>
      <c r="BW537" s="297" t="str">
        <f t="shared" si="810"/>
        <v>Y</v>
      </c>
      <c r="BY537" s="352">
        <f t="shared" si="811"/>
        <v>0</v>
      </c>
      <c r="BZ537" s="353">
        <f t="shared" si="812"/>
        <v>0.9</v>
      </c>
      <c r="CA537" s="353">
        <f t="shared" si="813"/>
        <v>0</v>
      </c>
      <c r="CB537" s="354">
        <f t="shared" si="814"/>
        <v>0.9</v>
      </c>
      <c r="CD537" s="311">
        <f t="shared" si="815"/>
        <v>529</v>
      </c>
    </row>
    <row r="538" spans="1:82" s="48" customFormat="1" outlineLevel="1" x14ac:dyDescent="0.3">
      <c r="A538" s="202">
        <v>138760000</v>
      </c>
      <c r="B538" s="48">
        <f>VLOOKUP(C538,'NCES ID'!$A$2:$B$3136,2,FALSE)</f>
        <v>400320</v>
      </c>
      <c r="C538" s="48">
        <f>VLOOKUP(A538,'State ID'!$A$2:$B$713,2,FALSE)</f>
        <v>79437</v>
      </c>
      <c r="D538" s="48" t="s">
        <v>14</v>
      </c>
      <c r="E538" s="48" t="s">
        <v>3</v>
      </c>
      <c r="F538" s="755"/>
      <c r="G538" s="755"/>
      <c r="H538" s="755"/>
      <c r="I538" s="755"/>
      <c r="J538" s="755"/>
      <c r="K538" s="755"/>
      <c r="L538" s="454"/>
      <c r="M538" s="455"/>
      <c r="N538" s="456"/>
      <c r="O538" s="209">
        <f>VLOOKUP($C538,'Final SEA Counts'!$A$2:$F$709,5,FALSE)</f>
        <v>449</v>
      </c>
      <c r="P538" s="223">
        <f>VLOOKUP($C538,'Final SEA Counts'!$A$2:$F$709,6,FALSE)</f>
        <v>327</v>
      </c>
      <c r="Q538" s="749"/>
      <c r="R538" s="454">
        <f>O538</f>
        <v>449</v>
      </c>
      <c r="S538" s="455">
        <f t="shared" ref="S538:S555" si="816">P538*$B$557</f>
        <v>140.53678570314096</v>
      </c>
      <c r="T538" s="230">
        <f t="shared" si="778"/>
        <v>0.31299952272414466</v>
      </c>
      <c r="U538" s="264" t="str">
        <f>IFERROR(VLOOKUP($B538,#REF!,8,FALSE),"")</f>
        <v/>
      </c>
      <c r="V538" s="265" t="str">
        <f>IFERROR(VLOOKUP($B538,#REF!,9,FALSE),"")</f>
        <v/>
      </c>
      <c r="W538" s="265" t="str">
        <f>IFERROR(VLOOKUP($B538,#REF!,10,FALSE),"")</f>
        <v/>
      </c>
      <c r="X538" s="265" t="str">
        <f>IFERROR(VLOOKUP($B538,#REF!,11,FALSE),"")</f>
        <v/>
      </c>
      <c r="Y538" s="266" t="str">
        <f>IFERROR(VLOOKUP($B538,#REF!,12,FALSE),"")</f>
        <v/>
      </c>
      <c r="Z538" s="265">
        <f t="shared" ref="Z538:Z555" si="817">$S538*U$558</f>
        <v>69894.966028888928</v>
      </c>
      <c r="AA538" s="265">
        <f t="shared" ref="AA538:AA555" si="818">$S538*V$558</f>
        <v>16600.928670841491</v>
      </c>
      <c r="AB538" s="265">
        <f t="shared" ref="AB538:AB555" si="819">$S538*W$558</f>
        <v>30068.668560574384</v>
      </c>
      <c r="AC538" s="266">
        <f t="shared" ref="AC538:AC555" si="820">$S538*X$558</f>
        <v>24408.460772291528</v>
      </c>
      <c r="AD538" s="265">
        <f t="shared" si="779"/>
        <v>69894.966028888928</v>
      </c>
      <c r="AE538" s="265">
        <f t="shared" si="780"/>
        <v>16600.928670841491</v>
      </c>
      <c r="AF538" s="265">
        <f t="shared" si="781"/>
        <v>30068.668560574384</v>
      </c>
      <c r="AG538" s="266">
        <f t="shared" si="782"/>
        <v>24408.460772291528</v>
      </c>
      <c r="AH538" s="265">
        <f t="shared" si="797"/>
        <v>70145.3542863974</v>
      </c>
      <c r="AI538" s="265">
        <f t="shared" si="797"/>
        <v>19559.742198562362</v>
      </c>
      <c r="AJ538" s="265">
        <f t="shared" si="797"/>
        <v>30176.385066558094</v>
      </c>
      <c r="AK538" s="265">
        <f t="shared" si="797"/>
        <v>24495.900430803013</v>
      </c>
      <c r="AL538" s="266">
        <f t="shared" si="783"/>
        <v>144377.38198232086</v>
      </c>
      <c r="AM538" s="347"/>
      <c r="AN538" s="264">
        <f>IFERROR(VLOOKUP($A538,'HH &amp; SI'!$B$4:$Z$494,'HH &amp; SI'!V$503,0),0)</f>
        <v>74629.064393323264</v>
      </c>
      <c r="AO538" s="265">
        <f>IFERROR(VLOOKUP($A538,'HH &amp; SI'!$B$4:$Z$494,'HH &amp; SI'!W$503,0),0)</f>
        <v>18915.515802822465</v>
      </c>
      <c r="AP538" s="265">
        <f>IFERROR(VLOOKUP($A538,'HH &amp; SI'!$B$4:$Z$494,'HH &amp; SI'!X$503,0),0)</f>
        <v>30854.484533863295</v>
      </c>
      <c r="AQ538" s="265">
        <f>IFERROR(VLOOKUP($A538,'HH &amp; SI'!$B$4:$Z$494,'HH &amp; SI'!Y$503,0),0)</f>
        <v>26102.499080650952</v>
      </c>
      <c r="AR538" s="266">
        <f t="shared" si="784"/>
        <v>150501.56381065998</v>
      </c>
      <c r="AS538" s="347"/>
      <c r="AT538" s="324">
        <f>IFERROR(VLOOKUP(A538,'Afton FY16 Final'!$A$5:$BV$572,'Afton FY16 Final'!$BV$587,0),0)</f>
        <v>151742.05316822938</v>
      </c>
      <c r="AU538" s="347"/>
      <c r="AV538" s="454">
        <v>0</v>
      </c>
      <c r="AW538" s="265">
        <f>IFERROR(VLOOKUP($A538,'HH &amp; SI'!$B$4:$EY$503,'HH &amp; SI'!EX$503,0),0)</f>
        <v>0</v>
      </c>
      <c r="AX538" s="265">
        <f>IFERROR(VLOOKUP($A538,'HH &amp; SI'!$B$4:$EY$503,'HH &amp; SI'!EY$503,0),0)</f>
        <v>150501.56381065998</v>
      </c>
      <c r="AY538" s="265">
        <f>AX538/$AX$582*'update_State Admin 1004(b)'!$B$30*0.01</f>
        <v>1440.4080812520153</v>
      </c>
      <c r="AZ538" s="266">
        <f t="shared" si="785"/>
        <v>149061.15572940797</v>
      </c>
      <c r="BA538" s="264">
        <f t="shared" si="798"/>
        <v>1490.6115572940796</v>
      </c>
      <c r="BB538" s="265">
        <f t="shared" si="799"/>
        <v>147570.54417211388</v>
      </c>
      <c r="BC538" s="342">
        <f t="shared" si="807"/>
        <v>0.97250920948400021</v>
      </c>
      <c r="BD538" s="347"/>
      <c r="BE538" s="377" t="str">
        <f>'Original Title I &amp; II'!AZ535</f>
        <v/>
      </c>
      <c r="BF538" s="244" t="str">
        <f t="shared" si="800"/>
        <v/>
      </c>
      <c r="BG538" s="266">
        <f t="shared" si="773"/>
        <v>147570.54417211388</v>
      </c>
      <c r="BI538" s="203" t="str">
        <f>IFERROR(VLOOKUP(A538,'Title II Hold Harmless'!A$1:B$439,2, FALSE),"")</f>
        <v/>
      </c>
      <c r="BJ538" s="203">
        <f t="shared" ref="BJ538:BJ554" si="821">IFERROR($BI$587*(0.8*($S538/$S$584)+0.2*($R538/$R$584))+$BI538,$BI$587*(0.8*($S538/$S$584)+0.2*($R538/$R$584)))</f>
        <v>2201.1070064721061</v>
      </c>
      <c r="BK538" s="203">
        <f t="shared" ref="BK538:BK554" si="822">$BI$588*BJ538</f>
        <v>2203.2363394715881</v>
      </c>
      <c r="BL538" s="203" t="str">
        <f t="shared" si="789"/>
        <v/>
      </c>
      <c r="BM538" s="203">
        <f t="shared" si="790"/>
        <v>2203.2363394715881</v>
      </c>
      <c r="BN538" s="200"/>
      <c r="BP538" s="298" t="s">
        <v>1448</v>
      </c>
      <c r="BQ538" s="299" t="str">
        <f t="shared" si="808"/>
        <v>Y</v>
      </c>
      <c r="BR538" s="300" t="s">
        <v>1448</v>
      </c>
      <c r="BT538" s="298" t="str">
        <f t="shared" si="809"/>
        <v>Y</v>
      </c>
      <c r="BU538" s="299" t="str">
        <f t="shared" si="791"/>
        <v>Y</v>
      </c>
      <c r="BV538" s="299" t="str">
        <f t="shared" si="792"/>
        <v>Y</v>
      </c>
      <c r="BW538" s="300" t="str">
        <f t="shared" si="810"/>
        <v>Y</v>
      </c>
      <c r="BY538" s="355">
        <f t="shared" si="811"/>
        <v>0</v>
      </c>
      <c r="BZ538" s="356">
        <f t="shared" si="812"/>
        <v>0</v>
      </c>
      <c r="CA538" s="356">
        <f t="shared" si="813"/>
        <v>0.95</v>
      </c>
      <c r="CB538" s="357">
        <f t="shared" si="814"/>
        <v>0.95</v>
      </c>
      <c r="CD538" s="312">
        <f t="shared" si="815"/>
        <v>530</v>
      </c>
    </row>
    <row r="539" spans="1:82" s="48" customFormat="1" outlineLevel="1" x14ac:dyDescent="0.3">
      <c r="A539" s="202">
        <v>138785000</v>
      </c>
      <c r="B539" s="48">
        <f>VLOOKUP(C539,'NCES ID'!$A$2:$B$3136,2,FALSE)</f>
        <v>400838</v>
      </c>
      <c r="C539" s="48">
        <f>VLOOKUP(A539,'State ID'!$A$2:$B$713,2,FALSE)</f>
        <v>91131</v>
      </c>
      <c r="D539" s="48" t="s">
        <v>683</v>
      </c>
      <c r="E539" s="48" t="s">
        <v>3</v>
      </c>
      <c r="F539" s="755"/>
      <c r="G539" s="755"/>
      <c r="H539" s="755"/>
      <c r="I539" s="755"/>
      <c r="J539" s="755"/>
      <c r="K539" s="755"/>
      <c r="L539" s="454"/>
      <c r="M539" s="455"/>
      <c r="N539" s="456"/>
      <c r="O539" s="209">
        <f>VLOOKUP($C539,'Final SEA Counts'!$A$2:$F$709,5,FALSE)</f>
        <v>172</v>
      </c>
      <c r="P539" s="223">
        <f>VLOOKUP($C539,'Final SEA Counts'!$A$2:$F$709,6,FALSE)</f>
        <v>60</v>
      </c>
      <c r="Q539" s="749"/>
      <c r="R539" s="454">
        <f>O539</f>
        <v>172</v>
      </c>
      <c r="S539" s="455">
        <f t="shared" si="816"/>
        <v>25.786566184062561</v>
      </c>
      <c r="T539" s="230">
        <f t="shared" si="778"/>
        <v>0.14992189641896839</v>
      </c>
      <c r="U539" s="264"/>
      <c r="V539" s="265"/>
      <c r="W539" s="265"/>
      <c r="X539" s="265"/>
      <c r="Y539" s="266"/>
      <c r="Z539" s="265">
        <f t="shared" si="817"/>
        <v>12824.764408970446</v>
      </c>
      <c r="AA539" s="265">
        <f t="shared" si="818"/>
        <v>3046.0419579525669</v>
      </c>
      <c r="AB539" s="265">
        <f t="shared" si="819"/>
        <v>5517.1868918485106</v>
      </c>
      <c r="AC539" s="266">
        <f t="shared" si="820"/>
        <v>4478.616655466335</v>
      </c>
      <c r="AD539" s="265">
        <f t="shared" si="779"/>
        <v>12824.764408970446</v>
      </c>
      <c r="AE539" s="265" t="str">
        <f t="shared" si="780"/>
        <v/>
      </c>
      <c r="AF539" s="265">
        <f t="shared" si="781"/>
        <v>5517.1868918485106</v>
      </c>
      <c r="AG539" s="266">
        <f t="shared" si="782"/>
        <v>4478.616655466335</v>
      </c>
      <c r="AH539" s="265">
        <f t="shared" si="797"/>
        <v>13075.152666478918</v>
      </c>
      <c r="AI539" s="265" t="str">
        <f t="shared" si="797"/>
        <v/>
      </c>
      <c r="AJ539" s="265">
        <f t="shared" si="797"/>
        <v>5624.9033978322223</v>
      </c>
      <c r="AK539" s="265">
        <f t="shared" si="797"/>
        <v>4566.0563139778187</v>
      </c>
      <c r="AL539" s="266">
        <f t="shared" ref="AL539" si="823">SUM(AH539:AK539)</f>
        <v>23266.112378288955</v>
      </c>
      <c r="AM539" s="347"/>
      <c r="AN539" s="264">
        <f>IFERROR(VLOOKUP($A539,'HH &amp; SI'!$B$4:$Z$494,'HH &amp; SI'!V$503,0),0)</f>
        <v>12896.799097501655</v>
      </c>
      <c r="AO539" s="265">
        <f>IFERROR(VLOOKUP($A539,'HH &amp; SI'!$B$4:$Z$494,'HH &amp; SI'!W$503,0),0)</f>
        <v>3140.5390465267692</v>
      </c>
      <c r="AP539" s="265">
        <f>IFERROR(VLOOKUP($A539,'HH &amp; SI'!$B$4:$Z$494,'HH &amp; SI'!X$503,0),0)</f>
        <v>5573.7470975894321</v>
      </c>
      <c r="AQ539" s="265">
        <f>IFERROR(VLOOKUP($A539,'HH &amp; SI'!$B$4:$Z$494,'HH &amp; SI'!Y$503,0),0)</f>
        <v>4515.7465927190033</v>
      </c>
      <c r="AR539" s="266">
        <f t="shared" si="784"/>
        <v>26126.831834336859</v>
      </c>
      <c r="AS539" s="347"/>
      <c r="AT539" s="324">
        <f>IFERROR(VLOOKUP(A539,'Afton FY16 Final'!$A$5:$BV$572,'Afton FY16 Final'!$BV$587,0),0)</f>
        <v>25271.151175947893</v>
      </c>
      <c r="AU539" s="347"/>
      <c r="AV539" s="454">
        <v>0</v>
      </c>
      <c r="AW539" s="265">
        <f>IFERROR(VLOOKUP($A539,'HH &amp; SI'!$B$4:$EY$503,'HH &amp; SI'!EX$503,0),0)</f>
        <v>855.68065838896655</v>
      </c>
      <c r="AX539" s="265">
        <f>IFERROR(VLOOKUP($A539,'HH &amp; SI'!$B$4:$EY$503,'HH &amp; SI'!EY$503,0),0)</f>
        <v>25271.151175947893</v>
      </c>
      <c r="AY539" s="265">
        <f>AX539/$AX$582*'update_State Admin 1004(b)'!$B$30*0.01</f>
        <v>241.86307075301272</v>
      </c>
      <c r="AZ539" s="266">
        <f t="shared" si="785"/>
        <v>25029.288105194879</v>
      </c>
      <c r="BA539" s="264">
        <f t="shared" si="798"/>
        <v>250.2928810519488</v>
      </c>
      <c r="BB539" s="265">
        <f t="shared" si="799"/>
        <v>24778.995224142931</v>
      </c>
      <c r="BC539" s="342">
        <f t="shared" si="807"/>
        <v>0.98052498881517602</v>
      </c>
      <c r="BD539" s="347"/>
      <c r="BE539" s="377" t="str">
        <f>'Original Title I &amp; II'!AZ536</f>
        <v/>
      </c>
      <c r="BF539" s="244"/>
      <c r="BG539" s="266">
        <f t="shared" si="773"/>
        <v>24778.995224142931</v>
      </c>
      <c r="BI539" s="203" t="str">
        <f>IFERROR(VLOOKUP(A539,'Title II Hold Harmless'!A$1:B$439,2, FALSE),"")</f>
        <v/>
      </c>
      <c r="BJ539" s="203">
        <f t="shared" si="821"/>
        <v>475.99471097612422</v>
      </c>
      <c r="BK539" s="203">
        <f t="shared" si="822"/>
        <v>476.45518438458652</v>
      </c>
      <c r="BL539" s="203"/>
      <c r="BM539" s="203">
        <f t="shared" si="790"/>
        <v>476.45518438458652</v>
      </c>
      <c r="BN539" s="200"/>
      <c r="BP539" s="298" t="s">
        <v>1448</v>
      </c>
      <c r="BQ539" s="299" t="str">
        <f t="shared" si="808"/>
        <v>Y</v>
      </c>
      <c r="BR539" s="300" t="s">
        <v>1448</v>
      </c>
      <c r="BT539" s="298" t="str">
        <f t="shared" si="809"/>
        <v>Y</v>
      </c>
      <c r="BU539" s="299" t="str">
        <f t="shared" si="791"/>
        <v>N</v>
      </c>
      <c r="BV539" s="299" t="str">
        <f t="shared" si="792"/>
        <v>Y</v>
      </c>
      <c r="BW539" s="300" t="str">
        <f t="shared" si="810"/>
        <v>Y</v>
      </c>
      <c r="BY539" s="355">
        <f t="shared" si="811"/>
        <v>0.85</v>
      </c>
      <c r="BZ539" s="356">
        <f t="shared" si="812"/>
        <v>0</v>
      </c>
      <c r="CA539" s="356">
        <f t="shared" si="813"/>
        <v>0</v>
      </c>
      <c r="CB539" s="357">
        <f t="shared" si="814"/>
        <v>0.85</v>
      </c>
      <c r="CD539" s="312">
        <f t="shared" si="815"/>
        <v>531</v>
      </c>
    </row>
    <row r="540" spans="1:82" s="48" customFormat="1" outlineLevel="1" x14ac:dyDescent="0.3">
      <c r="A540" s="202">
        <v>138754000</v>
      </c>
      <c r="B540" s="48">
        <f>VLOOKUP(C540,'NCES ID'!$A$2:$B$3136,2,FALSE)</f>
        <v>400130</v>
      </c>
      <c r="C540" s="48">
        <f>VLOOKUP(A540,'State ID'!$A$2:$B$713,2,FALSE)</f>
        <v>6365</v>
      </c>
      <c r="D540" s="48" t="s">
        <v>35</v>
      </c>
      <c r="E540" s="48" t="s">
        <v>3</v>
      </c>
      <c r="F540" s="755"/>
      <c r="G540" s="755"/>
      <c r="H540" s="755"/>
      <c r="I540" s="755"/>
      <c r="J540" s="755"/>
      <c r="K540" s="755"/>
      <c r="L540" s="454"/>
      <c r="M540" s="455"/>
      <c r="N540" s="456"/>
      <c r="O540" s="209">
        <f>VLOOKUP($C540,'Final SEA Counts'!$A$2:$F$709,5,FALSE)</f>
        <v>464</v>
      </c>
      <c r="P540" s="223">
        <f>VLOOKUP($C540,'Final SEA Counts'!$A$2:$F$709,6,FALSE)</f>
        <v>254</v>
      </c>
      <c r="Q540" s="749"/>
      <c r="R540" s="454">
        <f t="shared" ref="R540:R555" si="824">O540</f>
        <v>464</v>
      </c>
      <c r="S540" s="455">
        <f t="shared" si="816"/>
        <v>109.16313017919818</v>
      </c>
      <c r="T540" s="230">
        <f t="shared" si="778"/>
        <v>0.23526536676551332</v>
      </c>
      <c r="U540" s="264" t="str">
        <f>IFERROR(VLOOKUP($B540,#REF!,8,FALSE),"")</f>
        <v/>
      </c>
      <c r="V540" s="265" t="str">
        <f>IFERROR(VLOOKUP($B540,#REF!,9,FALSE),"")</f>
        <v/>
      </c>
      <c r="W540" s="265" t="str">
        <f>IFERROR(VLOOKUP($B540,#REF!,10,FALSE),"")</f>
        <v/>
      </c>
      <c r="X540" s="265" t="str">
        <f>IFERROR(VLOOKUP($B540,#REF!,11,FALSE),"")</f>
        <v/>
      </c>
      <c r="Y540" s="266" t="str">
        <f>IFERROR(VLOOKUP($B540,#REF!,12,FALSE),"")</f>
        <v/>
      </c>
      <c r="Z540" s="265">
        <f t="shared" si="817"/>
        <v>54291.502664641557</v>
      </c>
      <c r="AA540" s="265">
        <f t="shared" si="818"/>
        <v>12894.910955332532</v>
      </c>
      <c r="AB540" s="265">
        <f t="shared" si="819"/>
        <v>23356.091175492027</v>
      </c>
      <c r="AC540" s="266">
        <f t="shared" si="820"/>
        <v>18959.477174807485</v>
      </c>
      <c r="AD540" s="265">
        <f t="shared" si="779"/>
        <v>54291.502664641557</v>
      </c>
      <c r="AE540" s="265">
        <f t="shared" si="780"/>
        <v>12894.910955332532</v>
      </c>
      <c r="AF540" s="265">
        <f t="shared" si="781"/>
        <v>23356.091175492027</v>
      </c>
      <c r="AG540" s="266">
        <f t="shared" si="782"/>
        <v>18959.477174807485</v>
      </c>
      <c r="AH540" s="265">
        <f t="shared" si="797"/>
        <v>54541.890922150029</v>
      </c>
      <c r="AI540" s="265">
        <f t="shared" si="797"/>
        <v>15853.724483053404</v>
      </c>
      <c r="AJ540" s="265">
        <f t="shared" si="797"/>
        <v>23463.807681475737</v>
      </c>
      <c r="AK540" s="265">
        <f t="shared" si="797"/>
        <v>19046.91683331897</v>
      </c>
      <c r="AL540" s="266">
        <f t="shared" si="783"/>
        <v>112906.33991999814</v>
      </c>
      <c r="AM540" s="347"/>
      <c r="AN540" s="264">
        <f>IFERROR(VLOOKUP($A540,'HH &amp; SI'!$B$4:$Z$494,'HH &amp; SI'!V$503,0),0)</f>
        <v>53797.904128812363</v>
      </c>
      <c r="AO540" s="265">
        <f>IFERROR(VLOOKUP($A540,'HH &amp; SI'!$B$4:$Z$494,'HH &amp; SI'!W$503,0),0)</f>
        <v>15331.560761308565</v>
      </c>
      <c r="AP540" s="265">
        <f>IFERROR(VLOOKUP($A540,'HH &amp; SI'!$B$4:$Z$494,'HH &amp; SI'!X$503,0),0)</f>
        <v>23250.413511710038</v>
      </c>
      <c r="AQ540" s="265">
        <f>IFERROR(VLOOKUP($A540,'HH &amp; SI'!$B$4:$Z$494,'HH &amp; SI'!Y$503,0),0)</f>
        <v>18837.054096017484</v>
      </c>
      <c r="AR540" s="266">
        <f t="shared" si="784"/>
        <v>111216.93249784845</v>
      </c>
      <c r="AS540" s="347"/>
      <c r="AT540" s="324">
        <f>IFERROR(VLOOKUP(A540,'Afton FY16 Final'!$A$5:$BV$572,'Afton FY16 Final'!$BV$587,0),0)</f>
        <v>97523.611293170849</v>
      </c>
      <c r="AU540" s="347"/>
      <c r="AV540" s="454">
        <v>0</v>
      </c>
      <c r="AW540" s="265">
        <f>IFERROR(VLOOKUP($A540,'HH &amp; SI'!$B$4:$EY$503,'HH &amp; SI'!EX$503,0),0)</f>
        <v>6229.6052687988413</v>
      </c>
      <c r="AX540" s="265">
        <f>IFERROR(VLOOKUP($A540,'HH &amp; SI'!$B$4:$EY$503,'HH &amp; SI'!EY$503,0),0)</f>
        <v>104987.32722904961</v>
      </c>
      <c r="AY540" s="265">
        <f>AX540/$AX$582*'update_State Admin 1004(b)'!$B$30*0.01</f>
        <v>1004.8041411717319</v>
      </c>
      <c r="AZ540" s="266">
        <f t="shared" si="785"/>
        <v>103982.52308787788</v>
      </c>
      <c r="BA540" s="264">
        <f t="shared" si="798"/>
        <v>1039.8252308787789</v>
      </c>
      <c r="BB540" s="265">
        <f t="shared" si="799"/>
        <v>102942.6978569991</v>
      </c>
      <c r="BC540" s="342">
        <f t="shared" si="807"/>
        <v>1.0555669185335812</v>
      </c>
      <c r="BD540" s="347"/>
      <c r="BE540" s="377" t="str">
        <f>'Original Title I &amp; II'!AZ537</f>
        <v/>
      </c>
      <c r="BF540" s="244" t="str">
        <f>IF(BE540&lt;0,BB540*BE540/100,"")</f>
        <v/>
      </c>
      <c r="BG540" s="266">
        <f t="shared" si="773"/>
        <v>102942.6978569991</v>
      </c>
      <c r="BI540" s="203" t="str">
        <f>IFERROR(VLOOKUP(A540,'Title II Hold Harmless'!A$1:B$439,2, FALSE),"")</f>
        <v/>
      </c>
      <c r="BJ540" s="203">
        <f t="shared" si="821"/>
        <v>1802.4698518145051</v>
      </c>
      <c r="BK540" s="203">
        <f t="shared" si="822"/>
        <v>1804.2135464757619</v>
      </c>
      <c r="BL540" s="203" t="str">
        <f t="shared" si="789"/>
        <v/>
      </c>
      <c r="BM540" s="203">
        <f t="shared" si="790"/>
        <v>1804.2135464757619</v>
      </c>
      <c r="BN540" s="200"/>
      <c r="BP540" s="298" t="s">
        <v>1448</v>
      </c>
      <c r="BQ540" s="299" t="str">
        <f t="shared" si="808"/>
        <v>Y</v>
      </c>
      <c r="BR540" s="300" t="s">
        <v>1448</v>
      </c>
      <c r="BT540" s="298" t="str">
        <f t="shared" si="809"/>
        <v>Y</v>
      </c>
      <c r="BU540" s="299" t="str">
        <f t="shared" si="791"/>
        <v>Y</v>
      </c>
      <c r="BV540" s="299" t="str">
        <f t="shared" si="792"/>
        <v>Y</v>
      </c>
      <c r="BW540" s="300" t="str">
        <f t="shared" si="810"/>
        <v>Y</v>
      </c>
      <c r="BY540" s="355">
        <f t="shared" si="811"/>
        <v>0</v>
      </c>
      <c r="BZ540" s="356">
        <f t="shared" si="812"/>
        <v>0.9</v>
      </c>
      <c r="CA540" s="356">
        <f t="shared" si="813"/>
        <v>0</v>
      </c>
      <c r="CB540" s="357">
        <f t="shared" si="814"/>
        <v>0.9</v>
      </c>
      <c r="CD540" s="312">
        <f t="shared" si="815"/>
        <v>532</v>
      </c>
    </row>
    <row r="541" spans="1:82" s="48" customFormat="1" outlineLevel="1" x14ac:dyDescent="0.3">
      <c r="A541" s="202">
        <v>138714000</v>
      </c>
      <c r="B541" s="48">
        <f>VLOOKUP(C541,'NCES ID'!$A$2:$B$3136,2,FALSE)</f>
        <v>400439</v>
      </c>
      <c r="C541" s="48">
        <f>VLOOKUP(A541,'State ID'!$A$2:$B$713,2,FALSE)</f>
        <v>88321</v>
      </c>
      <c r="D541" s="48" t="s">
        <v>867</v>
      </c>
      <c r="E541" s="48" t="s">
        <v>3</v>
      </c>
      <c r="F541" s="755"/>
      <c r="G541" s="755"/>
      <c r="H541" s="755"/>
      <c r="I541" s="755"/>
      <c r="J541" s="755"/>
      <c r="K541" s="755"/>
      <c r="L541" s="454"/>
      <c r="M541" s="455"/>
      <c r="N541" s="456"/>
      <c r="O541" s="209">
        <f>VLOOKUP($C541,'AzEDS FY17 12-15-16'!$A$2:$D$713,3,FALSE)</f>
        <v>185</v>
      </c>
      <c r="P541" s="223">
        <f>VLOOKUP($C541,'AzEDS FY17 12-15-16'!$A$2:$D$713,4,FALSE)</f>
        <v>117</v>
      </c>
      <c r="Q541" s="749"/>
      <c r="R541" s="454">
        <f t="shared" si="824"/>
        <v>185</v>
      </c>
      <c r="S541" s="455">
        <f t="shared" si="816"/>
        <v>50.283804058921994</v>
      </c>
      <c r="T541" s="230">
        <f t="shared" si="778"/>
        <v>0.27180434626444322</v>
      </c>
      <c r="U541" s="264"/>
      <c r="V541" s="265"/>
      <c r="W541" s="265"/>
      <c r="X541" s="265"/>
      <c r="Y541" s="266"/>
      <c r="Z541" s="265">
        <f t="shared" si="817"/>
        <v>25008.290597492371</v>
      </c>
      <c r="AA541" s="265">
        <f t="shared" si="818"/>
        <v>5939.7818180075055</v>
      </c>
      <c r="AB541" s="265">
        <f t="shared" si="819"/>
        <v>10758.514439104596</v>
      </c>
      <c r="AC541" s="266">
        <f t="shared" si="820"/>
        <v>8733.302478159354</v>
      </c>
      <c r="AD541" s="265">
        <f t="shared" si="779"/>
        <v>25008.290597492371</v>
      </c>
      <c r="AE541" s="265">
        <f t="shared" si="780"/>
        <v>5939.7818180075055</v>
      </c>
      <c r="AF541" s="265">
        <f t="shared" si="781"/>
        <v>10758.514439104596</v>
      </c>
      <c r="AG541" s="266">
        <f t="shared" si="782"/>
        <v>8733.302478159354</v>
      </c>
      <c r="AH541" s="265">
        <f t="shared" si="797"/>
        <v>25258.678855000842</v>
      </c>
      <c r="AI541" s="265">
        <f t="shared" si="797"/>
        <v>8898.5953457283777</v>
      </c>
      <c r="AJ541" s="265">
        <f t="shared" si="797"/>
        <v>10866.230945088308</v>
      </c>
      <c r="AK541" s="265">
        <f t="shared" si="797"/>
        <v>8820.7421366708368</v>
      </c>
      <c r="AL541" s="266">
        <f t="shared" ref="AL541" si="825">SUM(AH541:AK541)</f>
        <v>53844.247282488366</v>
      </c>
      <c r="AM541" s="347"/>
      <c r="AN541" s="264">
        <f>IFERROR(VLOOKUP($A541,'HH &amp; SI'!$B$4:$Z$494,'HH &amp; SI'!V$503,0),0)</f>
        <v>29306.951011814377</v>
      </c>
      <c r="AO541" s="265">
        <f>IFERROR(VLOOKUP($A541,'HH &amp; SI'!$B$4:$Z$494,'HH &amp; SI'!W$503,0),0)</f>
        <v>8605.5081491523506</v>
      </c>
      <c r="AP541" s="265">
        <f>IFERROR(VLOOKUP($A541,'HH &amp; SI'!$B$4:$Z$494,'HH &amp; SI'!X$503,0),0)</f>
        <v>12319.52632283922</v>
      </c>
      <c r="AQ541" s="265">
        <f>IFERROR(VLOOKUP($A541,'HH &amp; SI'!$B$4:$Z$494,'HH &amp; SI'!Y$503,0),0)</f>
        <v>9781.4182880166609</v>
      </c>
      <c r="AR541" s="266">
        <f t="shared" si="784"/>
        <v>60013.40377182261</v>
      </c>
      <c r="AS541" s="347"/>
      <c r="AT541" s="324">
        <f>IFERROR(VLOOKUP(A541,'Afton FY16 Final'!$A$5:$BV$572,'Afton FY16 Final'!$BV$587,0),0)</f>
        <v>57808.128547709224</v>
      </c>
      <c r="AU541" s="347"/>
      <c r="AV541" s="454">
        <v>0</v>
      </c>
      <c r="AW541" s="265">
        <f>IFERROR(VLOOKUP($A541,'HH &amp; SI'!$B$4:$EY$503,'HH &amp; SI'!EX$503,0),0)</f>
        <v>2205.2752241133858</v>
      </c>
      <c r="AX541" s="265">
        <f>IFERROR(VLOOKUP($A541,'HH &amp; SI'!$B$4:$EY$503,'HH &amp; SI'!EY$503,0),0)</f>
        <v>57808.128547709224</v>
      </c>
      <c r="AY541" s="265">
        <f>AX541/$AX$582*'update_State Admin 1004(b)'!$B$30*0.01</f>
        <v>553.2653177406911</v>
      </c>
      <c r="AZ541" s="266">
        <f t="shared" si="785"/>
        <v>57254.863229968534</v>
      </c>
      <c r="BA541" s="264">
        <f t="shared" si="798"/>
        <v>572.54863229968532</v>
      </c>
      <c r="BB541" s="265">
        <f t="shared" si="799"/>
        <v>56682.314597668847</v>
      </c>
      <c r="BC541" s="342">
        <f t="shared" si="807"/>
        <v>0.98052498881517602</v>
      </c>
      <c r="BD541" s="347"/>
      <c r="BE541" s="377">
        <f>'Original Title I &amp; II'!AZ538</f>
        <v>0</v>
      </c>
      <c r="BF541" s="244"/>
      <c r="BG541" s="266">
        <f t="shared" si="773"/>
        <v>56682.314597668847</v>
      </c>
      <c r="BI541" s="203"/>
      <c r="BJ541" s="203">
        <f t="shared" si="821"/>
        <v>807.14781310388287</v>
      </c>
      <c r="BK541" s="203">
        <f t="shared" si="822"/>
        <v>807.9286413275214</v>
      </c>
      <c r="BL541" s="203"/>
      <c r="BM541" s="203">
        <f t="shared" si="790"/>
        <v>807.9286413275214</v>
      </c>
      <c r="BN541" s="200"/>
      <c r="BP541" s="298" t="s">
        <v>1448</v>
      </c>
      <c r="BQ541" s="299" t="str">
        <f t="shared" si="808"/>
        <v>Y</v>
      </c>
      <c r="BR541" s="300" t="s">
        <v>1448</v>
      </c>
      <c r="BT541" s="298" t="str">
        <f t="shared" si="809"/>
        <v>Y</v>
      </c>
      <c r="BU541" s="299" t="str">
        <f t="shared" si="791"/>
        <v>Y</v>
      </c>
      <c r="BV541" s="299" t="str">
        <f t="shared" si="792"/>
        <v>Y</v>
      </c>
      <c r="BW541" s="300" t="str">
        <f t="shared" si="810"/>
        <v>Y</v>
      </c>
      <c r="BY541" s="355">
        <f t="shared" si="811"/>
        <v>0</v>
      </c>
      <c r="BZ541" s="356">
        <f t="shared" si="812"/>
        <v>0.9</v>
      </c>
      <c r="CA541" s="356">
        <f t="shared" si="813"/>
        <v>0</v>
      </c>
      <c r="CB541" s="357">
        <f t="shared" si="814"/>
        <v>0.9</v>
      </c>
      <c r="CD541" s="312">
        <f t="shared" si="815"/>
        <v>533</v>
      </c>
    </row>
    <row r="542" spans="1:82" s="48" customFormat="1" outlineLevel="1" x14ac:dyDescent="0.3">
      <c r="A542" s="202">
        <v>138705000</v>
      </c>
      <c r="B542" s="48">
        <f>VLOOKUP(C542,'NCES ID'!$A$2:$B$3136,2,FALSE)</f>
        <v>400641</v>
      </c>
      <c r="C542" s="48">
        <f>VLOOKUP(A542,'State ID'!$A$2:$B$713,2,FALSE)</f>
        <v>81052</v>
      </c>
      <c r="D542" s="48" t="s">
        <v>148</v>
      </c>
      <c r="E542" s="48" t="s">
        <v>3</v>
      </c>
      <c r="F542" s="755"/>
      <c r="G542" s="755"/>
      <c r="H542" s="755"/>
      <c r="I542" s="755"/>
      <c r="J542" s="755"/>
      <c r="K542" s="755"/>
      <c r="L542" s="454"/>
      <c r="M542" s="455"/>
      <c r="N542" s="456"/>
      <c r="O542" s="209">
        <f>VLOOKUP($C542,'Final SEA Counts'!$A$2:$F$709,5,FALSE)</f>
        <v>468</v>
      </c>
      <c r="P542" s="223">
        <f>VLOOKUP($C542,'Final SEA Counts'!$A$2:$F$709,6,FALSE)</f>
        <v>468</v>
      </c>
      <c r="Q542" s="749"/>
      <c r="R542" s="454">
        <f t="shared" si="824"/>
        <v>468</v>
      </c>
      <c r="S542" s="455">
        <f t="shared" si="816"/>
        <v>201.13521623568798</v>
      </c>
      <c r="T542" s="230">
        <f t="shared" si="778"/>
        <v>0.42977610306770936</v>
      </c>
      <c r="U542" s="264" t="str">
        <f>IFERROR(VLOOKUP($B542,#REF!,8,FALSE),"")</f>
        <v/>
      </c>
      <c r="V542" s="265" t="str">
        <f>IFERROR(VLOOKUP($B542,#REF!,9,FALSE),"")</f>
        <v/>
      </c>
      <c r="W542" s="265" t="str">
        <f>IFERROR(VLOOKUP($B542,#REF!,10,FALSE),"")</f>
        <v/>
      </c>
      <c r="X542" s="265" t="str">
        <f>IFERROR(VLOOKUP($B542,#REF!,11,FALSE),"")</f>
        <v/>
      </c>
      <c r="Y542" s="266" t="str">
        <f>IFERROR(VLOOKUP($B542,#REF!,12,FALSE),"")</f>
        <v/>
      </c>
      <c r="Z542" s="265">
        <f t="shared" si="817"/>
        <v>100033.16238996948</v>
      </c>
      <c r="AA542" s="265">
        <f t="shared" si="818"/>
        <v>23759.127272030022</v>
      </c>
      <c r="AB542" s="265">
        <f t="shared" si="819"/>
        <v>43034.057756418384</v>
      </c>
      <c r="AC542" s="266">
        <f t="shared" si="820"/>
        <v>34933.209912637416</v>
      </c>
      <c r="AD542" s="265">
        <f t="shared" si="779"/>
        <v>100033.16238996948</v>
      </c>
      <c r="AE542" s="265">
        <f t="shared" si="780"/>
        <v>23759.127272030022</v>
      </c>
      <c r="AF542" s="265">
        <f t="shared" si="781"/>
        <v>43034.057756418384</v>
      </c>
      <c r="AG542" s="266">
        <f t="shared" si="782"/>
        <v>34933.209912637416</v>
      </c>
      <c r="AH542" s="265">
        <f t="shared" si="797"/>
        <v>100283.55064747795</v>
      </c>
      <c r="AI542" s="265">
        <f t="shared" si="797"/>
        <v>26717.940799750893</v>
      </c>
      <c r="AJ542" s="265">
        <f t="shared" si="797"/>
        <v>43141.774262402098</v>
      </c>
      <c r="AK542" s="265">
        <f t="shared" si="797"/>
        <v>35020.649571148897</v>
      </c>
      <c r="AL542" s="266">
        <f t="shared" si="783"/>
        <v>205163.91528077982</v>
      </c>
      <c r="AM542" s="347"/>
      <c r="AN542" s="264">
        <f>IFERROR(VLOOKUP($A542,'HH &amp; SI'!$B$4:$Z$494,'HH &amp; SI'!V$503,0),0)</f>
        <v>231029.44873045222</v>
      </c>
      <c r="AO542" s="265">
        <f>IFERROR(VLOOKUP($A542,'HH &amp; SI'!$B$4:$Z$494,'HH &amp; SI'!W$503,0),0)</f>
        <v>44193.280672656045</v>
      </c>
      <c r="AP542" s="265">
        <f>IFERROR(VLOOKUP($A542,'HH &amp; SI'!$B$4:$Z$494,'HH &amp; SI'!X$503,0),0)</f>
        <v>115903.20513406085</v>
      </c>
      <c r="AQ542" s="265">
        <f>IFERROR(VLOOKUP($A542,'HH &amp; SI'!$B$4:$Z$494,'HH &amp; SI'!Y$503,0),0)</f>
        <v>108766.41458937409</v>
      </c>
      <c r="AR542" s="266">
        <f t="shared" si="784"/>
        <v>499892.34912654315</v>
      </c>
      <c r="AS542" s="347"/>
      <c r="AT542" s="324">
        <f>IFERROR(VLOOKUP(A542,'Afton FY16 Final'!$A$5:$BV$572,'Afton FY16 Final'!$BV$587,0),0)</f>
        <v>515841.5461631876</v>
      </c>
      <c r="AU542" s="347"/>
      <c r="AV542" s="454">
        <v>0</v>
      </c>
      <c r="AW542" s="265">
        <f>IFERROR(VLOOKUP($A542,'HH &amp; SI'!$B$4:$EY$503,'HH &amp; SI'!EX$503,0),0)</f>
        <v>0</v>
      </c>
      <c r="AX542" s="265">
        <f>IFERROR(VLOOKUP($A542,'HH &amp; SI'!$B$4:$EY$503,'HH &amp; SI'!EY$503,0),0)</f>
        <v>499892.34912654315</v>
      </c>
      <c r="AY542" s="265">
        <f>AX542/$AX$582*'update_State Admin 1004(b)'!$B$30*0.01</f>
        <v>4784.3288880625278</v>
      </c>
      <c r="AZ542" s="266">
        <f t="shared" si="785"/>
        <v>495108.02023848065</v>
      </c>
      <c r="BA542" s="264">
        <f t="shared" si="798"/>
        <v>4951.0802023848064</v>
      </c>
      <c r="BB542" s="265">
        <f t="shared" si="799"/>
        <v>490156.94003609585</v>
      </c>
      <c r="BC542" s="342">
        <f t="shared" si="807"/>
        <v>0.95020834146040967</v>
      </c>
      <c r="BD542" s="347"/>
      <c r="BE542" s="377" t="str">
        <f>'Original Title I &amp; II'!AZ539</f>
        <v/>
      </c>
      <c r="BF542" s="244" t="str">
        <f>IF(BE542&lt;0,BB542*BE542/100,"")</f>
        <v/>
      </c>
      <c r="BG542" s="266">
        <f t="shared" si="773"/>
        <v>490156.94003609585</v>
      </c>
      <c r="BI542" s="203" t="str">
        <f>IFERROR(VLOOKUP(A542,'Title II Hold Harmless'!A$1:B$439,2, FALSE),"")</f>
        <v/>
      </c>
      <c r="BJ542" s="203">
        <f t="shared" si="821"/>
        <v>3009.6857368737756</v>
      </c>
      <c r="BK542" s="203">
        <f t="shared" si="822"/>
        <v>3012.5972823546413</v>
      </c>
      <c r="BL542" s="203" t="str">
        <f t="shared" si="789"/>
        <v/>
      </c>
      <c r="BM542" s="203">
        <f t="shared" si="790"/>
        <v>3012.5972823546413</v>
      </c>
      <c r="BN542" s="200"/>
      <c r="BP542" s="298" t="s">
        <v>1448</v>
      </c>
      <c r="BQ542" s="299" t="str">
        <f t="shared" si="808"/>
        <v>Y</v>
      </c>
      <c r="BR542" s="300" t="s">
        <v>1448</v>
      </c>
      <c r="BT542" s="298" t="str">
        <f t="shared" si="809"/>
        <v>Y</v>
      </c>
      <c r="BU542" s="299" t="str">
        <f t="shared" si="791"/>
        <v>Y</v>
      </c>
      <c r="BV542" s="299" t="str">
        <f t="shared" si="792"/>
        <v>Y</v>
      </c>
      <c r="BW542" s="300" t="str">
        <f t="shared" si="810"/>
        <v>Y</v>
      </c>
      <c r="BY542" s="355">
        <f t="shared" si="811"/>
        <v>0</v>
      </c>
      <c r="BZ542" s="356">
        <f t="shared" si="812"/>
        <v>0</v>
      </c>
      <c r="CA542" s="356">
        <f t="shared" si="813"/>
        <v>0.95</v>
      </c>
      <c r="CB542" s="357">
        <f t="shared" si="814"/>
        <v>0.95</v>
      </c>
      <c r="CD542" s="312">
        <f t="shared" si="815"/>
        <v>534</v>
      </c>
    </row>
    <row r="543" spans="1:82" s="48" customFormat="1" outlineLevel="1" x14ac:dyDescent="0.3">
      <c r="A543" s="202">
        <v>138751000</v>
      </c>
      <c r="B543" s="48">
        <f>VLOOKUP(C543,'NCES ID'!$A$2:$B$3136,2,FALSE)</f>
        <v>400092</v>
      </c>
      <c r="C543" s="48">
        <f>VLOOKUP(A543,'State ID'!$A$2:$B$713,2,FALSE)</f>
        <v>4495</v>
      </c>
      <c r="D543" s="48" t="s">
        <v>173</v>
      </c>
      <c r="E543" s="48" t="s">
        <v>3</v>
      </c>
      <c r="F543" s="755"/>
      <c r="G543" s="755"/>
      <c r="H543" s="755"/>
      <c r="I543" s="755"/>
      <c r="J543" s="755"/>
      <c r="K543" s="755"/>
      <c r="L543" s="454"/>
      <c r="M543" s="455"/>
      <c r="N543" s="456"/>
      <c r="O543" s="209">
        <f>VLOOKUP($C543,'Final SEA Counts'!$A$2:$F$709,5,FALSE)</f>
        <v>452</v>
      </c>
      <c r="P543" s="223">
        <f>VLOOKUP($C543,'Final SEA Counts'!$A$2:$F$709,6,FALSE)</f>
        <v>250</v>
      </c>
      <c r="Q543" s="749"/>
      <c r="R543" s="454">
        <f t="shared" si="824"/>
        <v>452</v>
      </c>
      <c r="S543" s="455">
        <f t="shared" si="816"/>
        <v>107.44402576692734</v>
      </c>
      <c r="T543" s="230">
        <f t="shared" si="778"/>
        <v>0.23770802160824633</v>
      </c>
      <c r="U543" s="264" t="str">
        <f>IFERROR(VLOOKUP($B543,#REF!,8,FALSE),"")</f>
        <v/>
      </c>
      <c r="V543" s="265" t="str">
        <f>IFERROR(VLOOKUP($B543,#REF!,9,FALSE),"")</f>
        <v/>
      </c>
      <c r="W543" s="265" t="str">
        <f>IFERROR(VLOOKUP($B543,#REF!,10,FALSE),"")</f>
        <v/>
      </c>
      <c r="X543" s="265" t="str">
        <f>IFERROR(VLOOKUP($B543,#REF!,11,FALSE),"")</f>
        <v/>
      </c>
      <c r="Y543" s="266" t="str">
        <f>IFERROR(VLOOKUP($B543,#REF!,12,FALSE),"")</f>
        <v/>
      </c>
      <c r="Z543" s="265">
        <f t="shared" si="817"/>
        <v>53436.51837071019</v>
      </c>
      <c r="AA543" s="265">
        <f t="shared" si="818"/>
        <v>12691.841491469029</v>
      </c>
      <c r="AB543" s="265">
        <f t="shared" si="819"/>
        <v>22988.27871603546</v>
      </c>
      <c r="AC543" s="266">
        <f t="shared" si="820"/>
        <v>18660.902731109731</v>
      </c>
      <c r="AD543" s="265">
        <f t="shared" si="779"/>
        <v>53436.51837071019</v>
      </c>
      <c r="AE543" s="265">
        <f t="shared" si="780"/>
        <v>12691.841491469029</v>
      </c>
      <c r="AF543" s="265">
        <f t="shared" si="781"/>
        <v>22988.27871603546</v>
      </c>
      <c r="AG543" s="266">
        <f t="shared" si="782"/>
        <v>18660.902731109731</v>
      </c>
      <c r="AH543" s="265">
        <f t="shared" si="797"/>
        <v>53686.906628218661</v>
      </c>
      <c r="AI543" s="265">
        <f t="shared" si="797"/>
        <v>15650.6550191899</v>
      </c>
      <c r="AJ543" s="265">
        <f t="shared" si="797"/>
        <v>23095.99522201917</v>
      </c>
      <c r="AK543" s="265">
        <f t="shared" si="797"/>
        <v>18748.342389621215</v>
      </c>
      <c r="AL543" s="266">
        <f t="shared" si="783"/>
        <v>111181.89925904895</v>
      </c>
      <c r="AM543" s="347"/>
      <c r="AN543" s="264">
        <f>IFERROR(VLOOKUP($A543,'HH &amp; SI'!$B$4:$Z$494,'HH &amp; SI'!V$503,0),0)</f>
        <v>64699.730388123346</v>
      </c>
      <c r="AO543" s="265">
        <f>IFERROR(VLOOKUP($A543,'HH &amp; SI'!$B$4:$Z$494,'HH &amp; SI'!W$503,0),0)</f>
        <v>15135.179663143423</v>
      </c>
      <c r="AP543" s="265">
        <f>IFERROR(VLOOKUP($A543,'HH &amp; SI'!$B$4:$Z$494,'HH &amp; SI'!X$503,0),0)</f>
        <v>26950.896316401562</v>
      </c>
      <c r="AQ543" s="265">
        <f>IFERROR(VLOOKUP($A543,'HH &amp; SI'!$B$4:$Z$494,'HH &amp; SI'!Y$503,0),0)</f>
        <v>22984.702928356823</v>
      </c>
      <c r="AR543" s="266">
        <f t="shared" si="784"/>
        <v>129770.50929602515</v>
      </c>
      <c r="AS543" s="347"/>
      <c r="AT543" s="324">
        <f>IFERROR(VLOOKUP(A543,'Afton FY16 Final'!$A$5:$BV$572,'Afton FY16 Final'!$BV$587,0),0)</f>
        <v>140854.13604130363</v>
      </c>
      <c r="AU543" s="347"/>
      <c r="AV543" s="454">
        <v>0</v>
      </c>
      <c r="AW543" s="265">
        <f>IFERROR(VLOOKUP($A543,'HH &amp; SI'!$B$4:$EY$503,'HH &amp; SI'!EX$503,0),0)</f>
        <v>0</v>
      </c>
      <c r="AX543" s="265">
        <f>IFERROR(VLOOKUP($A543,'HH &amp; SI'!$B$4:$EY$503,'HH &amp; SI'!EY$503,0),0)</f>
        <v>129770.50929602515</v>
      </c>
      <c r="AY543" s="265">
        <f>AX543/$AX$582*'update_State Admin 1004(b)'!$B$30*0.01</f>
        <v>1241.9969970102379</v>
      </c>
      <c r="AZ543" s="266">
        <f t="shared" si="785"/>
        <v>128528.51229901491</v>
      </c>
      <c r="BA543" s="264">
        <f t="shared" si="798"/>
        <v>1285.2851229901491</v>
      </c>
      <c r="BB543" s="265">
        <f t="shared" si="799"/>
        <v>127243.22717602477</v>
      </c>
      <c r="BC543" s="342">
        <f t="shared" si="807"/>
        <v>0.90336876681216061</v>
      </c>
      <c r="BD543" s="347"/>
      <c r="BE543" s="377" t="str">
        <f>'Original Title I &amp; II'!AZ540</f>
        <v/>
      </c>
      <c r="BF543" s="244" t="str">
        <f>IF(BE543&lt;0,BB543*BE543/100,"")</f>
        <v/>
      </c>
      <c r="BG543" s="266">
        <f t="shared" si="773"/>
        <v>127243.22717602477</v>
      </c>
      <c r="BI543" s="203">
        <f>IFERROR(VLOOKUP(A543,'Title II Hold Harmless'!A$1:B$439,2, FALSE),"")</f>
        <v>3947</v>
      </c>
      <c r="BJ543" s="203">
        <f t="shared" si="821"/>
        <v>5717.3076445817014</v>
      </c>
      <c r="BK543" s="203">
        <f t="shared" si="822"/>
        <v>5722.8385214541131</v>
      </c>
      <c r="BL543" s="203" t="str">
        <f t="shared" si="789"/>
        <v/>
      </c>
      <c r="BM543" s="203">
        <f t="shared" si="790"/>
        <v>5722.8385214541131</v>
      </c>
      <c r="BN543" s="200"/>
      <c r="BP543" s="298" t="s">
        <v>1448</v>
      </c>
      <c r="BQ543" s="299" t="str">
        <f t="shared" si="808"/>
        <v>Y</v>
      </c>
      <c r="BR543" s="300" t="s">
        <v>1448</v>
      </c>
      <c r="BT543" s="298" t="str">
        <f t="shared" si="809"/>
        <v>Y</v>
      </c>
      <c r="BU543" s="299" t="str">
        <f t="shared" si="791"/>
        <v>Y</v>
      </c>
      <c r="BV543" s="299" t="str">
        <f t="shared" si="792"/>
        <v>Y</v>
      </c>
      <c r="BW543" s="300" t="str">
        <f t="shared" si="810"/>
        <v>Y</v>
      </c>
      <c r="BY543" s="355">
        <f t="shared" si="811"/>
        <v>0</v>
      </c>
      <c r="BZ543" s="356">
        <f t="shared" si="812"/>
        <v>0.9</v>
      </c>
      <c r="CA543" s="356">
        <f t="shared" si="813"/>
        <v>0</v>
      </c>
      <c r="CB543" s="357">
        <f t="shared" si="814"/>
        <v>0.9</v>
      </c>
      <c r="CD543" s="312">
        <f t="shared" si="815"/>
        <v>535</v>
      </c>
    </row>
    <row r="544" spans="1:82" s="48" customFormat="1" outlineLevel="1" x14ac:dyDescent="0.3">
      <c r="A544" s="202">
        <v>138759000</v>
      </c>
      <c r="B544" s="48">
        <f>VLOOKUP(C544,'NCES ID'!$A$2:$B$3136,2,FALSE)</f>
        <v>400267</v>
      </c>
      <c r="C544" s="48">
        <f>VLOOKUP(A544,'State ID'!$A$2:$B$713,2,FALSE)</f>
        <v>79065</v>
      </c>
      <c r="D544" s="48" t="s">
        <v>872</v>
      </c>
      <c r="E544" s="48" t="s">
        <v>3</v>
      </c>
      <c r="F544" s="755"/>
      <c r="G544" s="755"/>
      <c r="H544" s="755"/>
      <c r="I544" s="755"/>
      <c r="J544" s="755"/>
      <c r="K544" s="755"/>
      <c r="L544" s="454"/>
      <c r="M544" s="455"/>
      <c r="N544" s="456"/>
      <c r="O544" s="209">
        <f>VLOOKUP($C544,'AzEDS FY17 12-04-16'!$A$1:$D$712,3,FALSE)</f>
        <v>18</v>
      </c>
      <c r="P544" s="223">
        <f>VLOOKUP($C544,'AzEDS FY17 12-04-16'!$A$1:$D$712,4,FALSE)</f>
        <v>18</v>
      </c>
      <c r="Q544" s="749"/>
      <c r="R544" s="454">
        <f t="shared" si="824"/>
        <v>18</v>
      </c>
      <c r="S544" s="455">
        <f t="shared" si="816"/>
        <v>7.7359698552187686</v>
      </c>
      <c r="T544" s="230">
        <f t="shared" si="778"/>
        <v>0.42977610306770936</v>
      </c>
      <c r="U544" s="264"/>
      <c r="V544" s="265"/>
      <c r="W544" s="265"/>
      <c r="X544" s="265"/>
      <c r="Y544" s="266"/>
      <c r="Z544" s="265">
        <f t="shared" si="817"/>
        <v>3847.4293226911341</v>
      </c>
      <c r="AA544" s="265">
        <f t="shared" si="818"/>
        <v>913.81258738577003</v>
      </c>
      <c r="AB544" s="265">
        <f t="shared" si="819"/>
        <v>1655.1560675545531</v>
      </c>
      <c r="AC544" s="266">
        <f t="shared" si="820"/>
        <v>1343.5849966399005</v>
      </c>
      <c r="AD544" s="265" t="str">
        <f t="shared" si="779"/>
        <v/>
      </c>
      <c r="AE544" s="265" t="str">
        <f t="shared" si="780"/>
        <v/>
      </c>
      <c r="AF544" s="265" t="str">
        <f t="shared" si="781"/>
        <v/>
      </c>
      <c r="AG544" s="266" t="str">
        <f t="shared" si="782"/>
        <v/>
      </c>
      <c r="AH544" s="265" t="str">
        <f t="shared" si="797"/>
        <v/>
      </c>
      <c r="AI544" s="265" t="str">
        <f t="shared" si="797"/>
        <v/>
      </c>
      <c r="AJ544" s="265" t="str">
        <f t="shared" si="797"/>
        <v/>
      </c>
      <c r="AK544" s="265" t="str">
        <f t="shared" si="797"/>
        <v/>
      </c>
      <c r="AL544" s="266">
        <f t="shared" ref="AL544" si="826">SUM(AH544:AK544)</f>
        <v>0</v>
      </c>
      <c r="AM544" s="347"/>
      <c r="AN544" s="264">
        <f>IFERROR(VLOOKUP($A544,'HH &amp; SI'!$B$4:$Z$494,'HH &amp; SI'!V$503,0),0)</f>
        <v>0</v>
      </c>
      <c r="AO544" s="265">
        <f>IFERROR(VLOOKUP($A544,'HH &amp; SI'!$B$4:$Z$494,'HH &amp; SI'!W$503,0),0)</f>
        <v>1979.5798965538609</v>
      </c>
      <c r="AP544" s="265">
        <f>IFERROR(VLOOKUP($A544,'HH &amp; SI'!$B$4:$Z$494,'HH &amp; SI'!X$503,0),0)</f>
        <v>0</v>
      </c>
      <c r="AQ544" s="265">
        <f>IFERROR(VLOOKUP($A544,'HH &amp; SI'!$B$4:$Z$494,'HH &amp; SI'!Y$503,0),0)</f>
        <v>0</v>
      </c>
      <c r="AR544" s="266">
        <f t="shared" si="784"/>
        <v>1979.5798965538609</v>
      </c>
      <c r="AS544" s="347"/>
      <c r="AT544" s="324">
        <f>IFERROR(VLOOKUP(A544,'Afton FY16 Final'!$A$5:$BV$572,'Afton FY16 Final'!$BV$587,0),0)</f>
        <v>1939.9333959868973</v>
      </c>
      <c r="AU544" s="347"/>
      <c r="AV544" s="454">
        <v>0</v>
      </c>
      <c r="AW544" s="265">
        <f>IFERROR(VLOOKUP($A544,'HH &amp; SI'!$B$4:$EY$503,'HH &amp; SI'!EX$503,0),0)</f>
        <v>39.646500566963596</v>
      </c>
      <c r="AX544" s="265">
        <f>IFERROR(VLOOKUP($A544,'HH &amp; SI'!$B$4:$EY$503,'HH &amp; SI'!EY$503,0),0)</f>
        <v>1939.9333959868973</v>
      </c>
      <c r="AY544" s="265">
        <f>AX544/$AX$582*'update_State Admin 1004(b)'!$B$30*0.01</f>
        <v>18.56655618665587</v>
      </c>
      <c r="AZ544" s="266">
        <f t="shared" si="785"/>
        <v>1921.3668398002415</v>
      </c>
      <c r="BA544" s="264">
        <f t="shared" si="798"/>
        <v>19.213668398002415</v>
      </c>
      <c r="BB544" s="265">
        <f t="shared" si="799"/>
        <v>1902.153171402239</v>
      </c>
      <c r="BC544" s="342">
        <f t="shared" si="807"/>
        <v>0.98052498881517602</v>
      </c>
      <c r="BD544" s="347"/>
      <c r="BE544" s="377">
        <f>'Original Title I &amp; II'!AZ541</f>
        <v>0</v>
      </c>
      <c r="BF544" s="244"/>
      <c r="BG544" s="266">
        <f t="shared" si="773"/>
        <v>1902.153171402239</v>
      </c>
      <c r="BI544" s="203">
        <f>IFERROR(VLOOKUP(A544,'Title II Hold Harmless'!A$1:B$439,2, FALSE),"")</f>
        <v>1859</v>
      </c>
      <c r="BJ544" s="203">
        <f t="shared" si="821"/>
        <v>1974.7571437259144</v>
      </c>
      <c r="BK544" s="203">
        <f t="shared" si="822"/>
        <v>1976.667507710825</v>
      </c>
      <c r="BL544" s="203" t="str">
        <f t="shared" si="789"/>
        <v/>
      </c>
      <c r="BM544" s="203">
        <f t="shared" si="790"/>
        <v>1976.667507710825</v>
      </c>
      <c r="BN544" s="200"/>
      <c r="BP544" s="298" t="s">
        <v>1448</v>
      </c>
      <c r="BQ544" s="299" t="str">
        <f t="shared" si="808"/>
        <v>Y</v>
      </c>
      <c r="BR544" s="300" t="s">
        <v>1448</v>
      </c>
      <c r="BT544" s="298" t="str">
        <f t="shared" si="809"/>
        <v>N</v>
      </c>
      <c r="BU544" s="299" t="str">
        <f t="shared" si="791"/>
        <v>N</v>
      </c>
      <c r="BV544" s="299" t="str">
        <f t="shared" si="792"/>
        <v>N</v>
      </c>
      <c r="BW544" s="300" t="str">
        <f t="shared" si="810"/>
        <v>N</v>
      </c>
      <c r="BY544" s="355">
        <f t="shared" si="811"/>
        <v>0</v>
      </c>
      <c r="BZ544" s="356">
        <f t="shared" si="812"/>
        <v>0</v>
      </c>
      <c r="CA544" s="356">
        <f t="shared" si="813"/>
        <v>0.95</v>
      </c>
      <c r="CB544" s="357">
        <f t="shared" si="814"/>
        <v>0.95</v>
      </c>
      <c r="CD544" s="312">
        <f t="shared" si="815"/>
        <v>536</v>
      </c>
    </row>
    <row r="545" spans="1:82" s="48" customFormat="1" outlineLevel="1" x14ac:dyDescent="0.3">
      <c r="A545" s="202">
        <v>138503000</v>
      </c>
      <c r="B545" s="48">
        <f>VLOOKUP(C545,'NCES ID'!$A$2:$B$3136,2,FALSE)</f>
        <v>400844</v>
      </c>
      <c r="C545" s="48">
        <f>VLOOKUP(A545,'State ID'!$A$2:$B$713,2,FALSE)</f>
        <v>90900</v>
      </c>
      <c r="D545" s="48" t="s">
        <v>245</v>
      </c>
      <c r="E545" s="48" t="s">
        <v>3</v>
      </c>
      <c r="F545" s="755"/>
      <c r="G545" s="755"/>
      <c r="H545" s="755"/>
      <c r="I545" s="755"/>
      <c r="J545" s="755"/>
      <c r="K545" s="755"/>
      <c r="L545" s="454"/>
      <c r="M545" s="455"/>
      <c r="N545" s="456"/>
      <c r="O545" s="209">
        <f>VLOOKUP($C545,'Final SEA Counts'!$A$2:$F$709,5,FALSE)</f>
        <v>98</v>
      </c>
      <c r="P545" s="223">
        <f>VLOOKUP($C545,'Final SEA Counts'!$A$2:$F$709,6,FALSE)</f>
        <v>55</v>
      </c>
      <c r="Q545" s="749"/>
      <c r="R545" s="454">
        <f t="shared" si="824"/>
        <v>98</v>
      </c>
      <c r="S545" s="455">
        <f t="shared" si="816"/>
        <v>23.637685668724014</v>
      </c>
      <c r="T545" s="230">
        <f t="shared" si="778"/>
        <v>0.2412008741706532</v>
      </c>
      <c r="U545" s="264" t="str">
        <f>IFERROR(VLOOKUP($B545,#REF!,8,FALSE),"")</f>
        <v/>
      </c>
      <c r="V545" s="265" t="str">
        <f>IFERROR(VLOOKUP($B545,#REF!,9,FALSE),"")</f>
        <v/>
      </c>
      <c r="W545" s="265" t="str">
        <f>IFERROR(VLOOKUP($B545,#REF!,10,FALSE),"")</f>
        <v/>
      </c>
      <c r="X545" s="265" t="str">
        <f>IFERROR(VLOOKUP($B545,#REF!,11,FALSE),"")</f>
        <v/>
      </c>
      <c r="Y545" s="266" t="str">
        <f>IFERROR(VLOOKUP($B545,#REF!,12,FALSE),"")</f>
        <v/>
      </c>
      <c r="Z545" s="265">
        <f t="shared" si="817"/>
        <v>11756.034041556242</v>
      </c>
      <c r="AA545" s="265">
        <f t="shared" si="818"/>
        <v>2792.2051281231861</v>
      </c>
      <c r="AB545" s="265">
        <f t="shared" si="819"/>
        <v>5057.421317527801</v>
      </c>
      <c r="AC545" s="266">
        <f t="shared" si="820"/>
        <v>4105.3986008441407</v>
      </c>
      <c r="AD545" s="265">
        <f t="shared" si="779"/>
        <v>11756.034041556242</v>
      </c>
      <c r="AE545" s="265">
        <f t="shared" si="780"/>
        <v>2792.2051281231861</v>
      </c>
      <c r="AF545" s="265">
        <f t="shared" si="781"/>
        <v>5057.421317527801</v>
      </c>
      <c r="AG545" s="266">
        <f t="shared" si="782"/>
        <v>4105.3986008441407</v>
      </c>
      <c r="AH545" s="265">
        <f t="shared" si="797"/>
        <v>12006.422299064714</v>
      </c>
      <c r="AI545" s="265">
        <f t="shared" si="797"/>
        <v>5751.0186558440582</v>
      </c>
      <c r="AJ545" s="265">
        <f t="shared" si="797"/>
        <v>5165.1378235115126</v>
      </c>
      <c r="AK545" s="265">
        <f t="shared" si="797"/>
        <v>4192.8382593556244</v>
      </c>
      <c r="AL545" s="266">
        <f t="shared" si="783"/>
        <v>27115.417037775907</v>
      </c>
      <c r="AM545" s="347"/>
      <c r="AN545" s="264">
        <f>IFERROR(VLOOKUP($A545,'HH &amp; SI'!$B$4:$Z$494,'HH &amp; SI'!V$503,0),0)</f>
        <v>11842.646905973028</v>
      </c>
      <c r="AO545" s="265">
        <f>IFERROR(VLOOKUP($A545,'HH &amp; SI'!$B$4:$Z$494,'HH &amp; SI'!W$503,0),0)</f>
        <v>5561.6011275926048</v>
      </c>
      <c r="AP545" s="265">
        <f>IFERROR(VLOOKUP($A545,'HH &amp; SI'!$B$4:$Z$494,'HH &amp; SI'!X$503,0),0)</f>
        <v>5118.1629116584882</v>
      </c>
      <c r="AQ545" s="265">
        <f>IFERROR(VLOOKUP($A545,'HH &amp; SI'!$B$4:$Z$494,'HH &amp; SI'!Y$503,0),0)</f>
        <v>4146.6407292319291</v>
      </c>
      <c r="AR545" s="266">
        <f t="shared" si="784"/>
        <v>26669.051674456052</v>
      </c>
      <c r="AS545" s="347"/>
      <c r="AT545" s="324">
        <f>IFERROR(VLOOKUP(A545,'Afton FY16 Final'!$A$5:$BV$572,'Afton FY16 Final'!$BV$587,0),0)</f>
        <v>18567.270625516459</v>
      </c>
      <c r="AU545" s="347"/>
      <c r="AV545" s="454">
        <v>0</v>
      </c>
      <c r="AW545" s="265">
        <f>IFERROR(VLOOKUP($A545,'HH &amp; SI'!$B$4:$EY$503,'HH &amp; SI'!EX$503,0),0)</f>
        <v>1493.8162840291807</v>
      </c>
      <c r="AX545" s="265">
        <f>IFERROR(VLOOKUP($A545,'HH &amp; SI'!$B$4:$EY$503,'HH &amp; SI'!EY$503,0),0)</f>
        <v>25175.235390426871</v>
      </c>
      <c r="AY545" s="265">
        <f>AX545/$AX$582*'update_State Admin 1004(b)'!$B$30*0.01</f>
        <v>240.94508778269673</v>
      </c>
      <c r="AZ545" s="266">
        <f t="shared" si="785"/>
        <v>24934.290302644175</v>
      </c>
      <c r="BA545" s="264">
        <f t="shared" si="798"/>
        <v>249.34290302644175</v>
      </c>
      <c r="BB545" s="265">
        <f t="shared" si="799"/>
        <v>24684.947399617733</v>
      </c>
      <c r="BC545" s="342">
        <f t="shared" si="807"/>
        <v>1.3294871334343523</v>
      </c>
      <c r="BD545" s="347"/>
      <c r="BE545" s="377" t="str">
        <f>'Original Title I &amp; II'!AZ542</f>
        <v/>
      </c>
      <c r="BF545" s="244" t="str">
        <f>IF(BE545&lt;0,BB545*BE545/100,"")</f>
        <v/>
      </c>
      <c r="BG545" s="266">
        <f t="shared" si="773"/>
        <v>24684.947399617733</v>
      </c>
      <c r="BI545" s="203" t="str">
        <f>IFERROR(VLOOKUP(A545,'Title II Hold Harmless'!A$1:B$439,2, FALSE),"")</f>
        <v/>
      </c>
      <c r="BJ545" s="203">
        <f t="shared" si="821"/>
        <v>388.30877025510608</v>
      </c>
      <c r="BK545" s="203">
        <f t="shared" si="822"/>
        <v>388.68441699834085</v>
      </c>
      <c r="BL545" s="203" t="str">
        <f t="shared" si="789"/>
        <v/>
      </c>
      <c r="BM545" s="203">
        <f t="shared" si="790"/>
        <v>388.68441699834085</v>
      </c>
      <c r="BN545" s="200"/>
      <c r="BP545" s="298" t="s">
        <v>1448</v>
      </c>
      <c r="BQ545" s="299" t="str">
        <f t="shared" si="808"/>
        <v>Y</v>
      </c>
      <c r="BR545" s="300" t="s">
        <v>1448</v>
      </c>
      <c r="BT545" s="298" t="str">
        <f t="shared" si="809"/>
        <v>Y</v>
      </c>
      <c r="BU545" s="299" t="str">
        <f t="shared" si="791"/>
        <v>Y</v>
      </c>
      <c r="BV545" s="299" t="str">
        <f t="shared" si="792"/>
        <v>Y</v>
      </c>
      <c r="BW545" s="300" t="str">
        <f t="shared" si="810"/>
        <v>Y</v>
      </c>
      <c r="BY545" s="355">
        <f t="shared" si="811"/>
        <v>0</v>
      </c>
      <c r="BZ545" s="356">
        <f t="shared" si="812"/>
        <v>0.9</v>
      </c>
      <c r="CA545" s="356">
        <f t="shared" si="813"/>
        <v>0</v>
      </c>
      <c r="CB545" s="357">
        <f t="shared" si="814"/>
        <v>0.9</v>
      </c>
      <c r="CD545" s="312">
        <f t="shared" si="815"/>
        <v>537</v>
      </c>
    </row>
    <row r="546" spans="1:82" s="48" customFormat="1" outlineLevel="1" x14ac:dyDescent="0.3">
      <c r="A546" s="202">
        <v>138712000</v>
      </c>
      <c r="B546" s="48">
        <f>VLOOKUP(C546,'NCES ID'!$A$2:$B$3136,2,FALSE)</f>
        <v>400090</v>
      </c>
      <c r="C546" s="48">
        <f>VLOOKUP(A546,'State ID'!$A$2:$B$713,2,FALSE)</f>
        <v>4493</v>
      </c>
      <c r="D546" s="48" t="s">
        <v>287</v>
      </c>
      <c r="E546" s="48" t="s">
        <v>3</v>
      </c>
      <c r="F546" s="755"/>
      <c r="G546" s="755"/>
      <c r="H546" s="755"/>
      <c r="I546" s="755"/>
      <c r="J546" s="755"/>
      <c r="K546" s="755"/>
      <c r="L546" s="454"/>
      <c r="M546" s="455"/>
      <c r="N546" s="456"/>
      <c r="O546" s="209">
        <f>VLOOKUP($C546,'Final SEA Counts'!$A$2:$F$709,5,FALSE)</f>
        <v>171</v>
      </c>
      <c r="P546" s="223">
        <f>VLOOKUP($C546,'Final SEA Counts'!$A$2:$F$709,6,FALSE)</f>
        <v>116</v>
      </c>
      <c r="Q546" s="749"/>
      <c r="R546" s="454">
        <f t="shared" si="824"/>
        <v>171</v>
      </c>
      <c r="S546" s="455">
        <f t="shared" si="816"/>
        <v>49.854027955854285</v>
      </c>
      <c r="T546" s="230">
        <f t="shared" si="778"/>
        <v>0.2915440231336508</v>
      </c>
      <c r="U546" s="264" t="str">
        <f>IFERROR(VLOOKUP($B546,#REF!,8,FALSE),"")</f>
        <v/>
      </c>
      <c r="V546" s="265" t="str">
        <f>IFERROR(VLOOKUP($B546,#REF!,9,FALSE),"")</f>
        <v/>
      </c>
      <c r="W546" s="265" t="str">
        <f>IFERROR(VLOOKUP($B546,#REF!,10,FALSE),"")</f>
        <v/>
      </c>
      <c r="X546" s="265" t="str">
        <f>IFERROR(VLOOKUP($B546,#REF!,11,FALSE),"")</f>
        <v/>
      </c>
      <c r="Y546" s="266" t="str">
        <f>IFERROR(VLOOKUP($B546,#REF!,12,FALSE),"")</f>
        <v/>
      </c>
      <c r="Z546" s="265">
        <f t="shared" si="817"/>
        <v>24794.544524009529</v>
      </c>
      <c r="AA546" s="265">
        <f t="shared" si="818"/>
        <v>5889.0144520416288</v>
      </c>
      <c r="AB546" s="265">
        <f t="shared" si="819"/>
        <v>10666.561324240454</v>
      </c>
      <c r="AC546" s="266">
        <f t="shared" si="820"/>
        <v>8658.6588672349153</v>
      </c>
      <c r="AD546" s="265">
        <f t="shared" si="779"/>
        <v>24794.544524009529</v>
      </c>
      <c r="AE546" s="265">
        <f t="shared" si="780"/>
        <v>5889.0144520416288</v>
      </c>
      <c r="AF546" s="265">
        <f t="shared" si="781"/>
        <v>10666.561324240454</v>
      </c>
      <c r="AG546" s="266">
        <f t="shared" si="782"/>
        <v>8658.6588672349153</v>
      </c>
      <c r="AH546" s="265">
        <f t="shared" si="797"/>
        <v>25044.932781518</v>
      </c>
      <c r="AI546" s="265">
        <f t="shared" si="797"/>
        <v>8847.8279797625</v>
      </c>
      <c r="AJ546" s="265">
        <f t="shared" si="797"/>
        <v>10774.277830224166</v>
      </c>
      <c r="AK546" s="265">
        <f t="shared" si="797"/>
        <v>8746.0985257463981</v>
      </c>
      <c r="AL546" s="266">
        <f t="shared" si="783"/>
        <v>53413.137117251063</v>
      </c>
      <c r="AM546" s="347"/>
      <c r="AN546" s="264">
        <f>IFERROR(VLOOKUP($A546,'HH &amp; SI'!$B$4:$Z$494,'HH &amp; SI'!V$503,0),0)</f>
        <v>27301.254025103484</v>
      </c>
      <c r="AO546" s="265">
        <f>IFERROR(VLOOKUP($A546,'HH &amp; SI'!$B$4:$Z$494,'HH &amp; SI'!W$503,0),0)</f>
        <v>8556.4128746110655</v>
      </c>
      <c r="AP546" s="265">
        <f>IFERROR(VLOOKUP($A546,'HH &amp; SI'!$B$4:$Z$494,'HH &amp; SI'!X$503,0),0)</f>
        <v>11278.064264489349</v>
      </c>
      <c r="AQ546" s="265">
        <f>IFERROR(VLOOKUP($A546,'HH &amp; SI'!$B$4:$Z$494,'HH &amp; SI'!Y$503,0),0)</f>
        <v>9538.0702609032414</v>
      </c>
      <c r="AR546" s="266">
        <f t="shared" si="784"/>
        <v>56673.801425107144</v>
      </c>
      <c r="AS546" s="347"/>
      <c r="AT546" s="324">
        <f>IFERROR(VLOOKUP(A546,'Afton FY16 Final'!$A$5:$BV$572,'Afton FY16 Final'!$BV$587,0),0)</f>
        <v>58766.846627173392</v>
      </c>
      <c r="AU546" s="347"/>
      <c r="AV546" s="454">
        <v>0</v>
      </c>
      <c r="AW546" s="265">
        <f>IFERROR(VLOOKUP($A546,'HH &amp; SI'!$B$4:$EY$503,'HH &amp; SI'!EX$503,0),0)</f>
        <v>0</v>
      </c>
      <c r="AX546" s="265">
        <f>IFERROR(VLOOKUP($A546,'HH &amp; SI'!$B$4:$EY$503,'HH &amp; SI'!EY$503,0),0)</f>
        <v>56673.801425107144</v>
      </c>
      <c r="AY546" s="265">
        <f>AX546/$AX$582*'update_State Admin 1004(b)'!$B$30*0.01</f>
        <v>542.40899231250535</v>
      </c>
      <c r="AZ546" s="266">
        <f t="shared" si="785"/>
        <v>56131.392432794637</v>
      </c>
      <c r="BA546" s="264">
        <f t="shared" si="798"/>
        <v>561.31392432794644</v>
      </c>
      <c r="BB546" s="265">
        <f t="shared" si="799"/>
        <v>55570.078508466693</v>
      </c>
      <c r="BC546" s="342">
        <f t="shared" si="807"/>
        <v>0.9456025241751097</v>
      </c>
      <c r="BD546" s="347"/>
      <c r="BE546" s="377" t="str">
        <f>'Original Title I &amp; II'!AZ543</f>
        <v/>
      </c>
      <c r="BF546" s="244" t="str">
        <f>IF(BE546&lt;0,BB546*BE546/100,"")</f>
        <v/>
      </c>
      <c r="BG546" s="266">
        <f t="shared" si="773"/>
        <v>55570.078508466693</v>
      </c>
      <c r="BI546" s="203">
        <f>IFERROR(VLOOKUP(A546,'Title II Hold Harmless'!A$1:B$439,2, FALSE),"")</f>
        <v>4868</v>
      </c>
      <c r="BJ546" s="203">
        <f t="shared" si="821"/>
        <v>5658.2544647112727</v>
      </c>
      <c r="BK546" s="203">
        <f t="shared" si="822"/>
        <v>5663.7282140182124</v>
      </c>
      <c r="BL546" s="203" t="str">
        <f t="shared" si="789"/>
        <v/>
      </c>
      <c r="BM546" s="203">
        <f t="shared" si="790"/>
        <v>5663.7282140182124</v>
      </c>
      <c r="BN546" s="200"/>
      <c r="BP546" s="298" t="s">
        <v>1448</v>
      </c>
      <c r="BQ546" s="299" t="str">
        <f t="shared" si="808"/>
        <v>Y</v>
      </c>
      <c r="BR546" s="300" t="s">
        <v>1448</v>
      </c>
      <c r="BT546" s="298" t="str">
        <f t="shared" si="809"/>
        <v>Y</v>
      </c>
      <c r="BU546" s="299" t="str">
        <f t="shared" si="791"/>
        <v>Y</v>
      </c>
      <c r="BV546" s="299" t="str">
        <f t="shared" si="792"/>
        <v>Y</v>
      </c>
      <c r="BW546" s="300" t="str">
        <f t="shared" si="810"/>
        <v>Y</v>
      </c>
      <c r="BY546" s="355">
        <f t="shared" si="811"/>
        <v>0</v>
      </c>
      <c r="BZ546" s="356">
        <f t="shared" si="812"/>
        <v>0.9</v>
      </c>
      <c r="CA546" s="356">
        <f t="shared" si="813"/>
        <v>0</v>
      </c>
      <c r="CB546" s="357">
        <f t="shared" si="814"/>
        <v>0.9</v>
      </c>
      <c r="CD546" s="312">
        <f t="shared" si="815"/>
        <v>538</v>
      </c>
    </row>
    <row r="547" spans="1:82" s="48" customFormat="1" outlineLevel="1" x14ac:dyDescent="0.3">
      <c r="A547" s="202">
        <v>138768000</v>
      </c>
      <c r="B547" s="48">
        <f>VLOOKUP(C547,'NCES ID'!$A$2:$B$3136,2,FALSE)</f>
        <v>400208</v>
      </c>
      <c r="C547" s="48">
        <f>VLOOKUP(A547,'State ID'!$A$2:$B$713,2,FALSE)</f>
        <v>78873</v>
      </c>
      <c r="D547" s="48" t="s">
        <v>298</v>
      </c>
      <c r="E547" s="48" t="s">
        <v>3</v>
      </c>
      <c r="F547" s="755"/>
      <c r="G547" s="755"/>
      <c r="H547" s="755"/>
      <c r="I547" s="755"/>
      <c r="J547" s="755"/>
      <c r="K547" s="755"/>
      <c r="L547" s="454"/>
      <c r="M547" s="455"/>
      <c r="N547" s="456"/>
      <c r="O547" s="209">
        <f>VLOOKUP($C547,'Final SEA Counts'!$A$2:$F$709,5,FALSE)</f>
        <v>147</v>
      </c>
      <c r="P547" s="223">
        <f>VLOOKUP($C547,'Final SEA Counts'!$A$2:$F$709,6,FALSE)</f>
        <v>78</v>
      </c>
      <c r="Q547" s="749"/>
      <c r="R547" s="454">
        <f t="shared" si="824"/>
        <v>147</v>
      </c>
      <c r="S547" s="455">
        <f t="shared" si="816"/>
        <v>33.522536039281327</v>
      </c>
      <c r="T547" s="230">
        <f t="shared" si="778"/>
        <v>0.22804446285225394</v>
      </c>
      <c r="U547" s="264" t="str">
        <f>IFERROR(VLOOKUP($B547,#REF!,8,FALSE),"")</f>
        <v/>
      </c>
      <c r="V547" s="265" t="str">
        <f>IFERROR(VLOOKUP($B547,#REF!,9,FALSE),"")</f>
        <v/>
      </c>
      <c r="W547" s="265" t="str">
        <f>IFERROR(VLOOKUP($B547,#REF!,10,FALSE),"")</f>
        <v/>
      </c>
      <c r="X547" s="265" t="str">
        <f>IFERROR(VLOOKUP($B547,#REF!,11,FALSE),"")</f>
        <v/>
      </c>
      <c r="Y547" s="266" t="str">
        <f>IFERROR(VLOOKUP($B547,#REF!,12,FALSE),"")</f>
        <v/>
      </c>
      <c r="Z547" s="265">
        <f t="shared" si="817"/>
        <v>16672.19373166158</v>
      </c>
      <c r="AA547" s="265">
        <f t="shared" si="818"/>
        <v>3959.8545453383367</v>
      </c>
      <c r="AB547" s="265">
        <f t="shared" si="819"/>
        <v>7172.3429594030631</v>
      </c>
      <c r="AC547" s="266">
        <f t="shared" si="820"/>
        <v>5822.2016521062351</v>
      </c>
      <c r="AD547" s="265">
        <f t="shared" si="779"/>
        <v>16672.19373166158</v>
      </c>
      <c r="AE547" s="265">
        <f t="shared" si="780"/>
        <v>3959.8545453383367</v>
      </c>
      <c r="AF547" s="265">
        <f t="shared" si="781"/>
        <v>7172.3429594030631</v>
      </c>
      <c r="AG547" s="266">
        <f t="shared" si="782"/>
        <v>5822.2016521062351</v>
      </c>
      <c r="AH547" s="265">
        <f t="shared" si="797"/>
        <v>16922.581989170052</v>
      </c>
      <c r="AI547" s="265">
        <f t="shared" si="797"/>
        <v>6918.6680730592088</v>
      </c>
      <c r="AJ547" s="265">
        <f t="shared" si="797"/>
        <v>7280.0594653867747</v>
      </c>
      <c r="AK547" s="265">
        <f t="shared" si="797"/>
        <v>5909.6413106177188</v>
      </c>
      <c r="AL547" s="266">
        <f t="shared" si="783"/>
        <v>37030.950838233752</v>
      </c>
      <c r="AM547" s="347"/>
      <c r="AN547" s="264">
        <f>IFERROR(VLOOKUP($A547,'HH &amp; SI'!$B$4:$Z$494,'HH &amp; SI'!V$503,0),0)</f>
        <v>18114.779305610664</v>
      </c>
      <c r="AO547" s="265">
        <f>IFERROR(VLOOKUP($A547,'HH &amp; SI'!$B$4:$Z$494,'HH &amp; SI'!W$503,0),0)</f>
        <v>6690.7924420421887</v>
      </c>
      <c r="AP547" s="265">
        <f>IFERROR(VLOOKUP($A547,'HH &amp; SI'!$B$4:$Z$494,'HH &amp; SI'!X$503,0),0)</f>
        <v>7478.8550348274057</v>
      </c>
      <c r="AQ547" s="265">
        <f>IFERROR(VLOOKUP($A547,'HH &amp; SI'!$B$4:$Z$494,'HH &amp; SI'!Y$503,0),0)</f>
        <v>6323.606580879893</v>
      </c>
      <c r="AR547" s="266">
        <f t="shared" si="784"/>
        <v>38608.033363360155</v>
      </c>
      <c r="AS547" s="347"/>
      <c r="AT547" s="324">
        <f>IFERROR(VLOOKUP(A547,'Afton FY16 Final'!$A$5:$BV$572,'Afton FY16 Final'!$BV$587,0),0)</f>
        <v>39708.073082197036</v>
      </c>
      <c r="AU547" s="347"/>
      <c r="AV547" s="454">
        <v>0</v>
      </c>
      <c r="AW547" s="265">
        <f>IFERROR(VLOOKUP($A547,'HH &amp; SI'!$B$4:$EY$503,'HH &amp; SI'!EX$503,0),0)</f>
        <v>0</v>
      </c>
      <c r="AX547" s="265">
        <f>IFERROR(VLOOKUP($A547,'HH &amp; SI'!$B$4:$EY$503,'HH &amp; SI'!EY$503,0),0)</f>
        <v>38608.033363360155</v>
      </c>
      <c r="AY547" s="265">
        <f>AX547/$AX$582*'update_State Admin 1004(b)'!$B$30*0.01</f>
        <v>369.50661408271998</v>
      </c>
      <c r="AZ547" s="266">
        <f t="shared" si="785"/>
        <v>38238.526749277436</v>
      </c>
      <c r="BA547" s="264">
        <f t="shared" si="798"/>
        <v>382.38526749277435</v>
      </c>
      <c r="BB547" s="265">
        <f t="shared" si="799"/>
        <v>37856.14148178466</v>
      </c>
      <c r="BC547" s="342">
        <f t="shared" si="807"/>
        <v>0.95336133293149694</v>
      </c>
      <c r="BD547" s="347"/>
      <c r="BE547" s="377" t="str">
        <f>'Original Title I &amp; II'!AZ544</f>
        <v/>
      </c>
      <c r="BF547" s="244" t="str">
        <f>IF(BE547&lt;0,BB547*BE547/100,"")</f>
        <v/>
      </c>
      <c r="BG547" s="266">
        <f t="shared" si="773"/>
        <v>37856.14148178466</v>
      </c>
      <c r="BI547" s="203" t="str">
        <f>IFERROR(VLOOKUP(A547,'Title II Hold Harmless'!A$1:B$439,2, FALSE),"")</f>
        <v/>
      </c>
      <c r="BJ547" s="203">
        <f t="shared" si="821"/>
        <v>557.14546805389341</v>
      </c>
      <c r="BK547" s="203">
        <f t="shared" si="822"/>
        <v>557.68444604412775</v>
      </c>
      <c r="BL547" s="203" t="str">
        <f t="shared" si="789"/>
        <v/>
      </c>
      <c r="BM547" s="203">
        <f t="shared" si="790"/>
        <v>557.68444604412775</v>
      </c>
      <c r="BN547" s="200"/>
      <c r="BP547" s="298" t="s">
        <v>1448</v>
      </c>
      <c r="BQ547" s="299" t="str">
        <f t="shared" si="808"/>
        <v>Y</v>
      </c>
      <c r="BR547" s="300" t="s">
        <v>1448</v>
      </c>
      <c r="BT547" s="298" t="str">
        <f t="shared" si="809"/>
        <v>Y</v>
      </c>
      <c r="BU547" s="299" t="str">
        <f t="shared" si="791"/>
        <v>Y</v>
      </c>
      <c r="BV547" s="299" t="str">
        <f t="shared" si="792"/>
        <v>Y</v>
      </c>
      <c r="BW547" s="300" t="str">
        <f t="shared" si="810"/>
        <v>Y</v>
      </c>
      <c r="BY547" s="355">
        <f t="shared" si="811"/>
        <v>0</v>
      </c>
      <c r="BZ547" s="356">
        <f t="shared" si="812"/>
        <v>0.9</v>
      </c>
      <c r="CA547" s="356">
        <f t="shared" si="813"/>
        <v>0</v>
      </c>
      <c r="CB547" s="357">
        <f t="shared" si="814"/>
        <v>0.9</v>
      </c>
      <c r="CD547" s="312">
        <f t="shared" si="815"/>
        <v>539</v>
      </c>
    </row>
    <row r="548" spans="1:82" s="48" customFormat="1" outlineLevel="1" x14ac:dyDescent="0.3">
      <c r="A548" s="202">
        <v>138758000</v>
      </c>
      <c r="B548" s="48">
        <f>VLOOKUP(C548,'NCES ID'!$A$2:$B$3136,2,FALSE)</f>
        <v>400266</v>
      </c>
      <c r="C548" s="48">
        <f>VLOOKUP(A548,'State ID'!$A$2:$B$713,2,FALSE)</f>
        <v>79068</v>
      </c>
      <c r="D548" s="48" t="s">
        <v>871</v>
      </c>
      <c r="E548" s="48" t="s">
        <v>3</v>
      </c>
      <c r="F548" s="755"/>
      <c r="G548" s="755"/>
      <c r="H548" s="755"/>
      <c r="I548" s="755"/>
      <c r="J548" s="755"/>
      <c r="K548" s="755"/>
      <c r="L548" s="454"/>
      <c r="M548" s="455"/>
      <c r="N548" s="456"/>
      <c r="O548" s="209">
        <f>VLOOKUP($C548,'AzEDS FY17 11-14-2016'!$A$1:$D$706,3,FALSE)</f>
        <v>39</v>
      </c>
      <c r="P548" s="223">
        <f>VLOOKUP($C548,'AzEDS FY17 11-14-2016'!$A$1:$D$706,4,FALSE)</f>
        <v>23</v>
      </c>
      <c r="Q548" s="749"/>
      <c r="R548" s="454">
        <f t="shared" si="824"/>
        <v>39</v>
      </c>
      <c r="S548" s="455">
        <f t="shared" si="816"/>
        <v>9.8848503705573147</v>
      </c>
      <c r="T548" s="230">
        <f t="shared" si="778"/>
        <v>0.25345770180916194</v>
      </c>
      <c r="U548" s="264"/>
      <c r="V548" s="265"/>
      <c r="W548" s="265"/>
      <c r="X548" s="265"/>
      <c r="Y548" s="266"/>
      <c r="Z548" s="265">
        <f t="shared" si="817"/>
        <v>4916.1596901053372</v>
      </c>
      <c r="AA548" s="265">
        <f t="shared" si="818"/>
        <v>1167.6494172151506</v>
      </c>
      <c r="AB548" s="265">
        <f t="shared" si="819"/>
        <v>2114.9216418752621</v>
      </c>
      <c r="AC548" s="266">
        <f t="shared" si="820"/>
        <v>1716.8030512620951</v>
      </c>
      <c r="AD548" s="265" t="str">
        <f t="shared" si="779"/>
        <v/>
      </c>
      <c r="AE548" s="265" t="str">
        <f t="shared" si="780"/>
        <v/>
      </c>
      <c r="AF548" s="265" t="str">
        <f t="shared" si="781"/>
        <v/>
      </c>
      <c r="AG548" s="266" t="str">
        <f t="shared" si="782"/>
        <v/>
      </c>
      <c r="AH548" s="265" t="str">
        <f t="shared" si="797"/>
        <v/>
      </c>
      <c r="AI548" s="265" t="str">
        <f t="shared" si="797"/>
        <v/>
      </c>
      <c r="AJ548" s="265" t="str">
        <f t="shared" si="797"/>
        <v/>
      </c>
      <c r="AK548" s="265" t="str">
        <f t="shared" si="797"/>
        <v/>
      </c>
      <c r="AL548" s="266">
        <f t="shared" ref="AL548" si="827">SUM(AH548:AK548)</f>
        <v>0</v>
      </c>
      <c r="AM548" s="347"/>
      <c r="AN548" s="264">
        <f>IFERROR(VLOOKUP($A548,'HH &amp; SI'!$B$4:$Z$494,'HH &amp; SI'!V$503,0),0)</f>
        <v>0</v>
      </c>
      <c r="AO548" s="265">
        <f>IFERROR(VLOOKUP($A548,'HH &amp; SI'!$B$4:$Z$494,'HH &amp; SI'!W$503,0),0)</f>
        <v>3454.2213660823604</v>
      </c>
      <c r="AP548" s="265">
        <f>IFERROR(VLOOKUP($A548,'HH &amp; SI'!$B$4:$Z$494,'HH &amp; SI'!X$503,0),0)</f>
        <v>0</v>
      </c>
      <c r="AQ548" s="265">
        <f>IFERROR(VLOOKUP($A548,'HH &amp; SI'!$B$4:$Z$494,'HH &amp; SI'!Y$503,0),0)</f>
        <v>0</v>
      </c>
      <c r="AR548" s="266">
        <f t="shared" si="784"/>
        <v>3454.2213660823604</v>
      </c>
      <c r="AS548" s="347"/>
      <c r="AT548" s="324">
        <f>IFERROR(VLOOKUP(A548,'Afton FY16 Final'!$A$5:$BV$572,'Afton FY16 Final'!$BV$587,0),0)</f>
        <v>29073.194276364939</v>
      </c>
      <c r="AU548" s="347"/>
      <c r="AV548" s="454">
        <v>0</v>
      </c>
      <c r="AW548" s="265">
        <f>IFERROR(VLOOKUP($A548,'HH &amp; SI'!$B$4:$EY$503,'HH &amp; SI'!EX$503,0),0)</f>
        <v>0</v>
      </c>
      <c r="AX548" s="265">
        <f>IFERROR(VLOOKUP($A548,'HH &amp; SI'!$B$4:$EY$503,'HH &amp; SI'!EY$503,0),0)</f>
        <v>3454.2213660823604</v>
      </c>
      <c r="AY548" s="265">
        <f>AX548/$AX$582*'update_State Admin 1004(b)'!$B$30*0.01</f>
        <v>33.059379877260753</v>
      </c>
      <c r="AZ548" s="266">
        <f t="shared" si="785"/>
        <v>3421.1619862050998</v>
      </c>
      <c r="BA548" s="264">
        <f t="shared" si="798"/>
        <v>34.211619862050995</v>
      </c>
      <c r="BB548" s="265">
        <f t="shared" si="799"/>
        <v>3386.9503663430487</v>
      </c>
      <c r="BC548" s="342">
        <f t="shared" si="807"/>
        <v>0.11649735953150737</v>
      </c>
      <c r="BD548" s="347"/>
      <c r="BE548" s="377">
        <f>'Original Title I &amp; II'!AZ545</f>
        <v>0</v>
      </c>
      <c r="BF548" s="244"/>
      <c r="BG548" s="266">
        <f t="shared" si="773"/>
        <v>3386.9503663430487</v>
      </c>
      <c r="BI548" s="203">
        <f>IFERROR(VLOOKUP(A548,'Title II Hold Harmless'!A$1:B$439,2, FALSE),"")</f>
        <v>3546</v>
      </c>
      <c r="BJ548" s="203">
        <f t="shared" si="821"/>
        <v>3706.78870090387</v>
      </c>
      <c r="BK548" s="203">
        <f t="shared" si="822"/>
        <v>3710.3746181172237</v>
      </c>
      <c r="BL548" s="203"/>
      <c r="BM548" s="203">
        <f t="shared" si="790"/>
        <v>3710.3746181172237</v>
      </c>
      <c r="BN548" s="200"/>
      <c r="BP548" s="298" t="s">
        <v>1448</v>
      </c>
      <c r="BQ548" s="299" t="str">
        <f t="shared" si="808"/>
        <v>Y</v>
      </c>
      <c r="BR548" s="300" t="s">
        <v>1448</v>
      </c>
      <c r="BT548" s="298" t="str">
        <f t="shared" si="809"/>
        <v>N</v>
      </c>
      <c r="BU548" s="299" t="str">
        <f t="shared" si="791"/>
        <v>N</v>
      </c>
      <c r="BV548" s="299" t="str">
        <f t="shared" si="792"/>
        <v>N</v>
      </c>
      <c r="BW548" s="300" t="str">
        <f t="shared" si="810"/>
        <v>N</v>
      </c>
      <c r="BY548" s="355">
        <f t="shared" si="811"/>
        <v>0</v>
      </c>
      <c r="BZ548" s="356">
        <f t="shared" si="812"/>
        <v>0.9</v>
      </c>
      <c r="CA548" s="356">
        <f t="shared" si="813"/>
        <v>0</v>
      </c>
      <c r="CB548" s="357">
        <f t="shared" si="814"/>
        <v>0.9</v>
      </c>
      <c r="CD548" s="312">
        <f t="shared" si="815"/>
        <v>540</v>
      </c>
    </row>
    <row r="549" spans="1:82" s="48" customFormat="1" outlineLevel="1" x14ac:dyDescent="0.3">
      <c r="A549" s="202">
        <v>138755000</v>
      </c>
      <c r="B549" s="48">
        <f>VLOOKUP(C549,'NCES ID'!$A$2:$B$3136,2,FALSE)</f>
        <v>400209</v>
      </c>
      <c r="C549" s="48">
        <f>VLOOKUP(A549,'State ID'!$A$2:$B$713,2,FALSE)</f>
        <v>10970</v>
      </c>
      <c r="D549" s="48" t="s">
        <v>324</v>
      </c>
      <c r="E549" s="48" t="s">
        <v>3</v>
      </c>
      <c r="F549" s="755"/>
      <c r="G549" s="755"/>
      <c r="H549" s="755"/>
      <c r="I549" s="755"/>
      <c r="J549" s="755"/>
      <c r="K549" s="755"/>
      <c r="L549" s="454"/>
      <c r="M549" s="455"/>
      <c r="N549" s="456"/>
      <c r="O549" s="209">
        <f>VLOOKUP($C549,'Final SEA Counts'!$A$2:$F$709,5,FALSE)</f>
        <v>150</v>
      </c>
      <c r="P549" s="223">
        <f>VLOOKUP($C549,'Final SEA Counts'!$A$2:$F$709,6,FALSE)</f>
        <v>89</v>
      </c>
      <c r="Q549" s="749"/>
      <c r="R549" s="454">
        <f t="shared" si="824"/>
        <v>150</v>
      </c>
      <c r="S549" s="455">
        <f t="shared" si="816"/>
        <v>38.250073173026131</v>
      </c>
      <c r="T549" s="230">
        <f t="shared" si="778"/>
        <v>0.2550004878201742</v>
      </c>
      <c r="U549" s="264" t="str">
        <f>IFERROR(VLOOKUP($B549,#REF!,8,FALSE),"")</f>
        <v/>
      </c>
      <c r="V549" s="265" t="str">
        <f>IFERROR(VLOOKUP($B549,#REF!,9,FALSE),"")</f>
        <v/>
      </c>
      <c r="W549" s="265" t="str">
        <f>IFERROR(VLOOKUP($B549,#REF!,10,FALSE),"")</f>
        <v/>
      </c>
      <c r="X549" s="265" t="str">
        <f>IFERROR(VLOOKUP($B549,#REF!,11,FALSE),"")</f>
        <v/>
      </c>
      <c r="Y549" s="266" t="str">
        <f>IFERROR(VLOOKUP($B549,#REF!,12,FALSE),"")</f>
        <v/>
      </c>
      <c r="Z549" s="265">
        <f t="shared" si="817"/>
        <v>19023.400539972827</v>
      </c>
      <c r="AA549" s="265">
        <f t="shared" si="818"/>
        <v>4518.2955709629741</v>
      </c>
      <c r="AB549" s="265">
        <f t="shared" si="819"/>
        <v>8183.8272229086233</v>
      </c>
      <c r="AC549" s="266">
        <f t="shared" si="820"/>
        <v>6643.2813722750634</v>
      </c>
      <c r="AD549" s="265">
        <f t="shared" si="779"/>
        <v>19023.400539972827</v>
      </c>
      <c r="AE549" s="265">
        <f t="shared" si="780"/>
        <v>4518.2955709629741</v>
      </c>
      <c r="AF549" s="265">
        <f t="shared" si="781"/>
        <v>8183.8272229086233</v>
      </c>
      <c r="AG549" s="266">
        <f t="shared" si="782"/>
        <v>6643.2813722750634</v>
      </c>
      <c r="AH549" s="265">
        <f t="shared" si="797"/>
        <v>19273.788797481298</v>
      </c>
      <c r="AI549" s="265">
        <f t="shared" si="797"/>
        <v>7477.1090986838462</v>
      </c>
      <c r="AJ549" s="265">
        <f t="shared" si="797"/>
        <v>8291.5437288923349</v>
      </c>
      <c r="AK549" s="265">
        <f t="shared" si="797"/>
        <v>6730.7210307865471</v>
      </c>
      <c r="AL549" s="266">
        <f t="shared" si="783"/>
        <v>41773.162655844026</v>
      </c>
      <c r="AM549" s="347"/>
      <c r="AN549" s="264">
        <f>IFERROR(VLOOKUP($A549,'HH &amp; SI'!$B$4:$Z$494,'HH &amp; SI'!V$503,0),0)</f>
        <v>32793.01403233649</v>
      </c>
      <c r="AO549" s="265">
        <f>IFERROR(VLOOKUP($A549,'HH &amp; SI'!$B$4:$Z$494,'HH &amp; SI'!W$503,0),0)</f>
        <v>7777.2615252145442</v>
      </c>
      <c r="AP549" s="265">
        <f>IFERROR(VLOOKUP($A549,'HH &amp; SI'!$B$4:$Z$494,'HH &amp; SI'!X$503,0),0)</f>
        <v>13660.043338450103</v>
      </c>
      <c r="AQ549" s="265">
        <f>IFERROR(VLOOKUP($A549,'HH &amp; SI'!$B$4:$Z$494,'HH &amp; SI'!Y$503,0),0)</f>
        <v>11649.780936290441</v>
      </c>
      <c r="AR549" s="266">
        <f t="shared" si="784"/>
        <v>65880.099832291584</v>
      </c>
      <c r="AS549" s="347"/>
      <c r="AT549" s="324">
        <f>IFERROR(VLOOKUP(A549,'Afton FY16 Final'!$A$5:$BV$572,'Afton FY16 Final'!$BV$587,0),0)</f>
        <v>71758.800752782321</v>
      </c>
      <c r="AU549" s="347"/>
      <c r="AV549" s="454">
        <v>0</v>
      </c>
      <c r="AW549" s="265">
        <f>IFERROR(VLOOKUP($A549,'HH &amp; SI'!$B$4:$EY$503,'HH &amp; SI'!EX$503,0),0)</f>
        <v>0</v>
      </c>
      <c r="AX549" s="265">
        <f>IFERROR(VLOOKUP($A549,'HH &amp; SI'!$B$4:$EY$503,'HH &amp; SI'!EY$503,0),0)</f>
        <v>65880.099832291584</v>
      </c>
      <c r="AY549" s="265">
        <f>AX549/$AX$582*'update_State Admin 1004(b)'!$B$30*0.01</f>
        <v>630.51988158412087</v>
      </c>
      <c r="AZ549" s="266">
        <f t="shared" si="785"/>
        <v>65249.579950707463</v>
      </c>
      <c r="BA549" s="264">
        <f t="shared" si="798"/>
        <v>652.49579950707459</v>
      </c>
      <c r="BB549" s="265">
        <f t="shared" si="799"/>
        <v>64597.08415120039</v>
      </c>
      <c r="BC549" s="342">
        <f t="shared" si="807"/>
        <v>0.9001973761203883</v>
      </c>
      <c r="BD549" s="347"/>
      <c r="BE549" s="377" t="str">
        <f>'Original Title I &amp; II'!AZ546</f>
        <v/>
      </c>
      <c r="BF549" s="244" t="str">
        <f>IF(BE549&lt;0,BB549*BE549/100,"")</f>
        <v/>
      </c>
      <c r="BG549" s="266">
        <f t="shared" si="773"/>
        <v>64597.08415120039</v>
      </c>
      <c r="BI549" s="203">
        <f>IFERROR(VLOOKUP(A549,'Title II Hold Harmless'!A$1:B$439,2, FALSE),"")</f>
        <v>1963</v>
      </c>
      <c r="BJ549" s="203">
        <f t="shared" si="821"/>
        <v>2584.4475472593517</v>
      </c>
      <c r="BK549" s="203">
        <f t="shared" si="822"/>
        <v>2586.9477207773261</v>
      </c>
      <c r="BL549" s="203" t="str">
        <f t="shared" si="789"/>
        <v/>
      </c>
      <c r="BM549" s="203">
        <f t="shared" si="790"/>
        <v>2586.9477207773261</v>
      </c>
      <c r="BN549" s="200"/>
      <c r="BP549" s="298" t="s">
        <v>1448</v>
      </c>
      <c r="BQ549" s="299" t="str">
        <f t="shared" si="808"/>
        <v>Y</v>
      </c>
      <c r="BR549" s="300" t="s">
        <v>1448</v>
      </c>
      <c r="BT549" s="298" t="str">
        <f t="shared" si="809"/>
        <v>Y</v>
      </c>
      <c r="BU549" s="299" t="str">
        <f t="shared" si="791"/>
        <v>Y</v>
      </c>
      <c r="BV549" s="299" t="str">
        <f t="shared" si="792"/>
        <v>Y</v>
      </c>
      <c r="BW549" s="300" t="str">
        <f t="shared" si="810"/>
        <v>Y</v>
      </c>
      <c r="BY549" s="355">
        <f t="shared" si="811"/>
        <v>0</v>
      </c>
      <c r="BZ549" s="356">
        <f t="shared" si="812"/>
        <v>0.9</v>
      </c>
      <c r="CA549" s="356">
        <f t="shared" si="813"/>
        <v>0</v>
      </c>
      <c r="CB549" s="357">
        <f t="shared" si="814"/>
        <v>0.9</v>
      </c>
      <c r="CD549" s="312">
        <f t="shared" si="815"/>
        <v>541</v>
      </c>
    </row>
    <row r="550" spans="1:82" s="48" customFormat="1" outlineLevel="1" x14ac:dyDescent="0.3">
      <c r="A550" s="202">
        <v>78516000</v>
      </c>
      <c r="B550" s="48">
        <f>VLOOKUP(C550,'NCES ID'!$A$2:$B$3136,2,FALSE)</f>
        <v>400444</v>
      </c>
      <c r="C550" s="48">
        <f>VLOOKUP(A550,'State ID'!$A$2:$B$713,2,FALSE)</f>
        <v>88317</v>
      </c>
      <c r="D550" s="48" t="s">
        <v>353</v>
      </c>
      <c r="E550" s="48" t="s">
        <v>3</v>
      </c>
      <c r="F550" s="755"/>
      <c r="G550" s="755"/>
      <c r="H550" s="755"/>
      <c r="I550" s="755"/>
      <c r="J550" s="755"/>
      <c r="K550" s="755"/>
      <c r="L550" s="454"/>
      <c r="M550" s="455"/>
      <c r="N550" s="456"/>
      <c r="O550" s="209">
        <f>VLOOKUP($C550,'Final SEA Counts'!$A$2:$F$709,5,FALSE)</f>
        <v>271</v>
      </c>
      <c r="P550" s="223">
        <f>VLOOKUP($C550,'Final SEA Counts'!$A$2:$F$709,6,FALSE)</f>
        <v>227</v>
      </c>
      <c r="Q550" s="749"/>
      <c r="R550" s="454">
        <f t="shared" si="824"/>
        <v>271</v>
      </c>
      <c r="S550" s="455">
        <f t="shared" si="816"/>
        <v>97.559175396370023</v>
      </c>
      <c r="T550" s="230">
        <f t="shared" si="778"/>
        <v>0.35999695718217722</v>
      </c>
      <c r="U550" s="264" t="str">
        <f>IFERROR(VLOOKUP($B550,#REF!,8,FALSE),"")</f>
        <v/>
      </c>
      <c r="V550" s="265" t="str">
        <f>IFERROR(VLOOKUP($B550,#REF!,9,FALSE),"")</f>
        <v/>
      </c>
      <c r="W550" s="265" t="str">
        <f>IFERROR(VLOOKUP($B550,#REF!,10,FALSE),"")</f>
        <v/>
      </c>
      <c r="X550" s="265" t="str">
        <f>IFERROR(VLOOKUP($B550,#REF!,11,FALSE),"")</f>
        <v/>
      </c>
      <c r="Y550" s="266" t="str">
        <f>IFERROR(VLOOKUP($B550,#REF!,12,FALSE),"")</f>
        <v/>
      </c>
      <c r="Z550" s="265">
        <f t="shared" si="817"/>
        <v>48520.358680604855</v>
      </c>
      <c r="AA550" s="265">
        <f t="shared" si="818"/>
        <v>11524.192074253877</v>
      </c>
      <c r="AB550" s="265">
        <f t="shared" si="819"/>
        <v>20873.357074160198</v>
      </c>
      <c r="AC550" s="266">
        <f t="shared" si="820"/>
        <v>16944.099679847634</v>
      </c>
      <c r="AD550" s="265">
        <f t="shared" si="779"/>
        <v>48520.358680604855</v>
      </c>
      <c r="AE550" s="265">
        <f t="shared" si="780"/>
        <v>11524.192074253877</v>
      </c>
      <c r="AF550" s="265">
        <f t="shared" si="781"/>
        <v>20873.357074160198</v>
      </c>
      <c r="AG550" s="266">
        <f t="shared" si="782"/>
        <v>16944.099679847634</v>
      </c>
      <c r="AH550" s="265">
        <f t="shared" si="797"/>
        <v>48770.746938113327</v>
      </c>
      <c r="AI550" s="265">
        <f t="shared" si="797"/>
        <v>14483.005601974748</v>
      </c>
      <c r="AJ550" s="265">
        <f t="shared" si="797"/>
        <v>20981.073580143908</v>
      </c>
      <c r="AK550" s="265">
        <f t="shared" si="797"/>
        <v>17031.539338359118</v>
      </c>
      <c r="AL550" s="266">
        <f t="shared" si="783"/>
        <v>101266.3654585911</v>
      </c>
      <c r="AM550" s="347"/>
      <c r="AN550" s="264">
        <f>IFERROR(VLOOKUP($A550,'HH &amp; SI'!$B$4:$Z$494,'HH &amp; SI'!V$503,0),0)</f>
        <v>48105.482294557783</v>
      </c>
      <c r="AO550" s="265">
        <f>IFERROR(VLOOKUP($A550,'HH &amp; SI'!$B$4:$Z$494,'HH &amp; SI'!W$503,0),0)</f>
        <v>14005.988348693836</v>
      </c>
      <c r="AP550" s="265">
        <f>IFERROR(VLOOKUP($A550,'HH &amp; SI'!$B$4:$Z$494,'HH &amp; SI'!X$503,0),0)</f>
        <v>20790.258907682943</v>
      </c>
      <c r="AQ550" s="265">
        <f>IFERROR(VLOOKUP($A550,'HH &amp; SI'!$B$4:$Z$494,'HH &amp; SI'!Y$503,0),0)</f>
        <v>16843.882433187286</v>
      </c>
      <c r="AR550" s="266">
        <f t="shared" si="784"/>
        <v>99745.611984121846</v>
      </c>
      <c r="AS550" s="347"/>
      <c r="AT550" s="324">
        <f>IFERROR(VLOOKUP(A550,'Afton FY16 Final'!$A$5:$BV$572,'Afton FY16 Final'!$BV$587,0),0)</f>
        <v>80661.481701684461</v>
      </c>
      <c r="AU550" s="347"/>
      <c r="AV550" s="454">
        <v>0</v>
      </c>
      <c r="AW550" s="265">
        <f>IFERROR(VLOOKUP($A550,'HH &amp; SI'!$B$4:$EY$503,'HH &amp; SI'!EX$503,0),0)</f>
        <v>5587.0610346843459</v>
      </c>
      <c r="AX550" s="265">
        <f>IFERROR(VLOOKUP($A550,'HH &amp; SI'!$B$4:$EY$503,'HH &amp; SI'!EY$503,0),0)</f>
        <v>94158.5509494375</v>
      </c>
      <c r="AY550" s="265">
        <f>AX550/$AX$582*'update_State Admin 1004(b)'!$B$30*0.01</f>
        <v>901.16497312397348</v>
      </c>
      <c r="AZ550" s="266">
        <f t="shared" si="785"/>
        <v>93257.385976313526</v>
      </c>
      <c r="BA550" s="264">
        <f t="shared" si="798"/>
        <v>932.57385976313526</v>
      </c>
      <c r="BB550" s="265">
        <f t="shared" si="799"/>
        <v>92324.812116550398</v>
      </c>
      <c r="BC550" s="342">
        <f t="shared" si="807"/>
        <v>1.1445960347963999</v>
      </c>
      <c r="BD550" s="347"/>
      <c r="BE550" s="377" t="str">
        <f>'Original Title I &amp; II'!AZ547</f>
        <v/>
      </c>
      <c r="BF550" s="244" t="str">
        <f>IF(BE550&lt;0,BB550*BE550/100,"")</f>
        <v/>
      </c>
      <c r="BG550" s="266">
        <f t="shared" si="773"/>
        <v>92324.812116550398</v>
      </c>
      <c r="BI550" s="203" t="str">
        <f>IFERROR(VLOOKUP(A550,'Title II Hold Harmless'!A$1:B$439,2, FALSE),"")</f>
        <v/>
      </c>
      <c r="BJ550" s="203">
        <f t="shared" si="821"/>
        <v>1495.2373877700027</v>
      </c>
      <c r="BK550" s="203">
        <f t="shared" si="822"/>
        <v>1496.6838682466339</v>
      </c>
      <c r="BL550" s="203" t="str">
        <f t="shared" si="789"/>
        <v/>
      </c>
      <c r="BM550" s="203">
        <f t="shared" si="790"/>
        <v>1496.6838682466339</v>
      </c>
      <c r="BN550" s="200"/>
      <c r="BP550" s="298" t="s">
        <v>1448</v>
      </c>
      <c r="BQ550" s="299" t="str">
        <f t="shared" si="808"/>
        <v>Y</v>
      </c>
      <c r="BR550" s="300" t="s">
        <v>1448</v>
      </c>
      <c r="BT550" s="298" t="str">
        <f t="shared" si="809"/>
        <v>Y</v>
      </c>
      <c r="BU550" s="299" t="str">
        <f t="shared" si="791"/>
        <v>Y</v>
      </c>
      <c r="BV550" s="299" t="str">
        <f t="shared" si="792"/>
        <v>Y</v>
      </c>
      <c r="BW550" s="300" t="str">
        <f t="shared" si="810"/>
        <v>Y</v>
      </c>
      <c r="BY550" s="355">
        <f t="shared" si="811"/>
        <v>0</v>
      </c>
      <c r="BZ550" s="356">
        <f t="shared" si="812"/>
        <v>0</v>
      </c>
      <c r="CA550" s="356">
        <f t="shared" si="813"/>
        <v>0.95</v>
      </c>
      <c r="CB550" s="357">
        <f t="shared" si="814"/>
        <v>0.95</v>
      </c>
      <c r="CD550" s="312">
        <f t="shared" si="815"/>
        <v>542</v>
      </c>
    </row>
    <row r="551" spans="1:82" s="48" customFormat="1" outlineLevel="1" x14ac:dyDescent="0.3">
      <c r="A551" s="202">
        <v>130199000</v>
      </c>
      <c r="B551" s="48">
        <f>VLOOKUP(C551,'NCES ID'!$A$2:$B$3136,2,FALSE)</f>
        <v>400315</v>
      </c>
      <c r="C551" s="48">
        <f>VLOOKUP(A551,'State ID'!$A$2:$B$713,2,FALSE)</f>
        <v>79379</v>
      </c>
      <c r="D551" s="48" t="s">
        <v>455</v>
      </c>
      <c r="E551" s="48" t="s">
        <v>3</v>
      </c>
      <c r="F551" s="755"/>
      <c r="G551" s="755"/>
      <c r="H551" s="755"/>
      <c r="I551" s="755"/>
      <c r="J551" s="755"/>
      <c r="K551" s="755"/>
      <c r="L551" s="454"/>
      <c r="M551" s="455"/>
      <c r="N551" s="456"/>
      <c r="O551" s="209">
        <f>VLOOKUP($C551,'Final SEA Counts'!$A$2:$F$709,5,FALSE)</f>
        <v>42</v>
      </c>
      <c r="P551" s="223">
        <f>VLOOKUP($C551,'Final SEA Counts'!$A$2:$F$709,6,FALSE)</f>
        <v>25</v>
      </c>
      <c r="Q551" s="749"/>
      <c r="R551" s="454">
        <f t="shared" si="824"/>
        <v>42</v>
      </c>
      <c r="S551" s="455">
        <f t="shared" si="816"/>
        <v>10.744402576692734</v>
      </c>
      <c r="T551" s="230">
        <f t="shared" si="778"/>
        <v>0.25581910896887461</v>
      </c>
      <c r="U551" s="264"/>
      <c r="V551" s="265"/>
      <c r="W551" s="265"/>
      <c r="X551" s="265"/>
      <c r="Y551" s="266"/>
      <c r="Z551" s="265">
        <f t="shared" si="817"/>
        <v>5343.6518370710191</v>
      </c>
      <c r="AA551" s="265">
        <f t="shared" si="818"/>
        <v>1269.1841491469029</v>
      </c>
      <c r="AB551" s="265">
        <f t="shared" si="819"/>
        <v>2298.8278716035461</v>
      </c>
      <c r="AC551" s="266">
        <f t="shared" si="820"/>
        <v>1866.0902731109729</v>
      </c>
      <c r="AD551" s="265">
        <f t="shared" si="779"/>
        <v>5343.6518370710191</v>
      </c>
      <c r="AE551" s="265">
        <f t="shared" si="780"/>
        <v>1269.1841491469029</v>
      </c>
      <c r="AF551" s="265">
        <f t="shared" si="781"/>
        <v>2298.8278716035461</v>
      </c>
      <c r="AG551" s="266">
        <f t="shared" si="782"/>
        <v>1866.0902731109729</v>
      </c>
      <c r="AH551" s="265">
        <f t="shared" si="797"/>
        <v>5594.0400945794909</v>
      </c>
      <c r="AI551" s="265">
        <f t="shared" si="797"/>
        <v>4227.9976768677743</v>
      </c>
      <c r="AJ551" s="265">
        <f t="shared" si="797"/>
        <v>2406.5443775872573</v>
      </c>
      <c r="AK551" s="265">
        <f t="shared" si="797"/>
        <v>1953.5299316224562</v>
      </c>
      <c r="AL551" s="266">
        <f t="shared" ref="AL551:AL552" si="828">SUM(AH551:AK551)</f>
        <v>14182.112080656978</v>
      </c>
      <c r="AM551" s="347"/>
      <c r="AN551" s="264">
        <f>IFERROR(VLOOKUP($A551,'HH &amp; SI'!$B$4:$Z$494,'HH &amp; SI'!V$503,0),0)</f>
        <v>5517.733756801269</v>
      </c>
      <c r="AO551" s="265">
        <f>IFERROR(VLOOKUP($A551,'HH &amp; SI'!$B$4:$Z$494,'HH &amp; SI'!W$503,0),0)</f>
        <v>4088.7428913540175</v>
      </c>
      <c r="AP551" s="265">
        <f>IFERROR(VLOOKUP($A551,'HH &amp; SI'!$B$4:$Z$494,'HH &amp; SI'!X$503,0),0)</f>
        <v>2384.6577960728268</v>
      </c>
      <c r="AQ551" s="265">
        <f>IFERROR(VLOOKUP($A551,'HH &amp; SI'!$B$4:$Z$494,'HH &amp; SI'!Y$503,0),0)</f>
        <v>1932.0055483094832</v>
      </c>
      <c r="AR551" s="266">
        <f t="shared" si="784"/>
        <v>13923.139992537597</v>
      </c>
      <c r="AS551" s="347"/>
      <c r="AT551" s="324">
        <f>IFERROR(VLOOKUP(A551,'Afton FY16 Final'!$A$5:$BV$572,'Afton FY16 Final'!$BV$587,0),0)</f>
        <v>0</v>
      </c>
      <c r="AU551" s="347"/>
      <c r="AV551" s="454">
        <v>0</v>
      </c>
      <c r="AW551" s="265">
        <f>IFERROR(VLOOKUP($A551,'HH &amp; SI'!$B$4:$EY$503,'HH &amp; SI'!EX$503,0),0)</f>
        <v>779.87824612420445</v>
      </c>
      <c r="AX551" s="265">
        <f>IFERROR(VLOOKUP($A551,'HH &amp; SI'!$B$4:$EY$503,'HH &amp; SI'!EY$503,0),0)</f>
        <v>13143.261746413393</v>
      </c>
      <c r="AY551" s="265">
        <f>AX551/$AX$582*'update_State Admin 1004(b)'!$B$30*0.01</f>
        <v>125.79045661852055</v>
      </c>
      <c r="AZ551" s="266">
        <f t="shared" si="785"/>
        <v>13017.471289794872</v>
      </c>
      <c r="BA551" s="264">
        <f t="shared" si="798"/>
        <v>130.17471289794872</v>
      </c>
      <c r="BB551" s="265">
        <f t="shared" si="799"/>
        <v>12887.296576896922</v>
      </c>
      <c r="BC551" s="342" t="str">
        <f t="shared" si="807"/>
        <v/>
      </c>
      <c r="BD551" s="347"/>
      <c r="BE551" s="377">
        <f>'Original Title I &amp; II'!AZ548</f>
        <v>0</v>
      </c>
      <c r="BF551" s="244"/>
      <c r="BG551" s="266">
        <f t="shared" si="773"/>
        <v>12887.296576896922</v>
      </c>
      <c r="BI551" s="203">
        <f>IFERROR(VLOOKUP(A551,'Title II Hold Harmless'!A$1:B$439,2, FALSE),"")</f>
        <v>1067</v>
      </c>
      <c r="BJ551" s="203">
        <f t="shared" si="821"/>
        <v>1241.4554054517964</v>
      </c>
      <c r="BK551" s="203">
        <f t="shared" si="822"/>
        <v>1242.6563793046992</v>
      </c>
      <c r="BL551" s="203"/>
      <c r="BM551" s="203">
        <f t="shared" si="790"/>
        <v>1242.6563793046992</v>
      </c>
      <c r="BN551" s="200"/>
      <c r="BP551" s="298" t="s">
        <v>1448</v>
      </c>
      <c r="BQ551" s="299" t="str">
        <f t="shared" si="808"/>
        <v>Y</v>
      </c>
      <c r="BR551" s="300" t="s">
        <v>1448</v>
      </c>
      <c r="BT551" s="298" t="str">
        <f t="shared" si="809"/>
        <v>Y</v>
      </c>
      <c r="BU551" s="299" t="str">
        <f t="shared" si="791"/>
        <v>Y</v>
      </c>
      <c r="BV551" s="299" t="str">
        <f t="shared" si="792"/>
        <v>Y</v>
      </c>
      <c r="BW551" s="300" t="str">
        <f t="shared" si="810"/>
        <v>Y</v>
      </c>
      <c r="BY551" s="355">
        <f t="shared" si="811"/>
        <v>0</v>
      </c>
      <c r="BZ551" s="356">
        <f t="shared" si="812"/>
        <v>0.9</v>
      </c>
      <c r="CA551" s="356">
        <f t="shared" si="813"/>
        <v>0</v>
      </c>
      <c r="CB551" s="357">
        <f t="shared" si="814"/>
        <v>0.9</v>
      </c>
      <c r="CD551" s="312">
        <f t="shared" si="815"/>
        <v>543</v>
      </c>
    </row>
    <row r="552" spans="1:82" s="48" customFormat="1" outlineLevel="1" x14ac:dyDescent="0.3">
      <c r="A552" s="202">
        <v>138761000</v>
      </c>
      <c r="B552" s="48">
        <f>VLOOKUP(C552,'NCES ID'!$A$2:$B$3136,2,FALSE)</f>
        <v>400328</v>
      </c>
      <c r="C552" s="48">
        <f>VLOOKUP(A552,'State ID'!$A$2:$B$713,2,FALSE)</f>
        <v>79457</v>
      </c>
      <c r="D552" s="48" t="s">
        <v>555</v>
      </c>
      <c r="E552" s="48" t="s">
        <v>3</v>
      </c>
      <c r="F552" s="755"/>
      <c r="G552" s="755"/>
      <c r="H552" s="755"/>
      <c r="I552" s="755"/>
      <c r="J552" s="755"/>
      <c r="K552" s="755"/>
      <c r="L552" s="454"/>
      <c r="M552" s="455"/>
      <c r="N552" s="456"/>
      <c r="O552" s="209">
        <f>VLOOKUP($C552,'Final SEA Counts'!$A$2:$F$709,5,FALSE)</f>
        <v>75</v>
      </c>
      <c r="P552" s="223">
        <f>VLOOKUP($C552,'Final SEA Counts'!$A$2:$F$709,6,FALSE)</f>
        <v>44</v>
      </c>
      <c r="Q552" s="749"/>
      <c r="R552" s="454">
        <f t="shared" si="824"/>
        <v>75</v>
      </c>
      <c r="S552" s="455">
        <f t="shared" si="816"/>
        <v>18.910148534979211</v>
      </c>
      <c r="T552" s="230">
        <f t="shared" si="778"/>
        <v>0.25213531379972282</v>
      </c>
      <c r="U552" s="264"/>
      <c r="V552" s="265"/>
      <c r="W552" s="265"/>
      <c r="X552" s="265"/>
      <c r="Y552" s="266"/>
      <c r="Z552" s="265">
        <f t="shared" si="817"/>
        <v>9404.8272332449942</v>
      </c>
      <c r="AA552" s="265">
        <f t="shared" si="818"/>
        <v>2233.7641024985487</v>
      </c>
      <c r="AB552" s="265">
        <f t="shared" si="819"/>
        <v>4045.9370540222408</v>
      </c>
      <c r="AC552" s="266">
        <f t="shared" si="820"/>
        <v>3284.3188806753124</v>
      </c>
      <c r="AD552" s="265">
        <f t="shared" si="779"/>
        <v>9404.8272332449942</v>
      </c>
      <c r="AE552" s="265">
        <f t="shared" si="780"/>
        <v>2233.7641024985487</v>
      </c>
      <c r="AF552" s="265">
        <f t="shared" si="781"/>
        <v>4045.9370540222408</v>
      </c>
      <c r="AG552" s="266">
        <f t="shared" si="782"/>
        <v>3284.3188806753124</v>
      </c>
      <c r="AH552" s="265">
        <f t="shared" si="797"/>
        <v>9655.2154907534659</v>
      </c>
      <c r="AI552" s="265">
        <f t="shared" si="797"/>
        <v>5192.5776302194208</v>
      </c>
      <c r="AJ552" s="265">
        <f t="shared" si="797"/>
        <v>4153.6535600059524</v>
      </c>
      <c r="AK552" s="265">
        <f t="shared" si="797"/>
        <v>3371.7585391867956</v>
      </c>
      <c r="AL552" s="266">
        <f t="shared" si="828"/>
        <v>22373.205220165633</v>
      </c>
      <c r="AM552" s="347"/>
      <c r="AN552" s="264">
        <f>IFERROR(VLOOKUP($A552,'HH &amp; SI'!$B$4:$Z$494,'HH &amp; SI'!V$503,0),0)</f>
        <v>9523.512084610049</v>
      </c>
      <c r="AO552" s="265">
        <f>IFERROR(VLOOKUP($A552,'HH &amp; SI'!$B$4:$Z$494,'HH &amp; SI'!W$503,0),0)</f>
        <v>5021.5531076384559</v>
      </c>
      <c r="AP552" s="265">
        <f>IFERROR(VLOOKUP($A552,'HH &amp; SI'!$B$4:$Z$494,'HH &amp; SI'!X$503,0),0)</f>
        <v>4115.8777026104117</v>
      </c>
      <c r="AQ552" s="265">
        <f>IFERROR(VLOOKUP($A552,'HH &amp; SI'!$B$4:$Z$494,'HH &amp; SI'!Y$503,0),0)</f>
        <v>3334.6078295603656</v>
      </c>
      <c r="AR552" s="266">
        <f t="shared" si="784"/>
        <v>21995.550724419281</v>
      </c>
      <c r="AS552" s="347"/>
      <c r="AT552" s="324">
        <f>IFERROR(VLOOKUP(A552,'Afton FY16 Final'!$A$5:$BV$572,'Afton FY16 Final'!$BV$587,0),0)</f>
        <v>17217.734674181058</v>
      </c>
      <c r="AU552" s="347"/>
      <c r="AV552" s="454">
        <v>0</v>
      </c>
      <c r="AW552" s="265">
        <f>IFERROR(VLOOKUP($A552,'HH &amp; SI'!$B$4:$EY$503,'HH &amp; SI'!EX$503,0),0)</f>
        <v>1232.0390034640222</v>
      </c>
      <c r="AX552" s="265">
        <f>IFERROR(VLOOKUP($A552,'HH &amp; SI'!$B$4:$EY$503,'HH &amp; SI'!EY$503,0),0)</f>
        <v>20763.511720955259</v>
      </c>
      <c r="AY552" s="265">
        <f>AX552/$AX$582*'update_State Admin 1004(b)'!$B$30*0.01</f>
        <v>198.72172302249874</v>
      </c>
      <c r="AZ552" s="266">
        <f t="shared" si="785"/>
        <v>20564.789997932759</v>
      </c>
      <c r="BA552" s="264">
        <f t="shared" si="798"/>
        <v>205.6478999793276</v>
      </c>
      <c r="BB552" s="265">
        <f t="shared" si="799"/>
        <v>20359.14209795343</v>
      </c>
      <c r="BC552" s="342">
        <f t="shared" si="807"/>
        <v>1.1824518430106306</v>
      </c>
      <c r="BD552" s="347"/>
      <c r="BE552" s="377">
        <f>'Original Title I &amp; II'!AZ549</f>
        <v>0</v>
      </c>
      <c r="BF552" s="244"/>
      <c r="BG552" s="266">
        <f t="shared" si="773"/>
        <v>20359.14209795343</v>
      </c>
      <c r="BI552" s="203" t="str">
        <f>IFERROR(VLOOKUP(A552,'Title II Hold Harmless'!A$1:B$439,2, FALSE),"")</f>
        <v/>
      </c>
      <c r="BJ552" s="203">
        <f t="shared" si="821"/>
        <v>307.91069725981288</v>
      </c>
      <c r="BK552" s="203">
        <f t="shared" si="822"/>
        <v>308.20856756172958</v>
      </c>
      <c r="BL552" s="203"/>
      <c r="BM552" s="203">
        <f t="shared" si="790"/>
        <v>308.20856756172958</v>
      </c>
      <c r="BN552" s="200"/>
      <c r="BP552" s="298" t="s">
        <v>1448</v>
      </c>
      <c r="BQ552" s="299" t="str">
        <f t="shared" si="808"/>
        <v>Y</v>
      </c>
      <c r="BR552" s="300" t="s">
        <v>1448</v>
      </c>
      <c r="BT552" s="298" t="str">
        <f t="shared" si="809"/>
        <v>Y</v>
      </c>
      <c r="BU552" s="299" t="str">
        <f t="shared" si="791"/>
        <v>Y</v>
      </c>
      <c r="BV552" s="299" t="str">
        <f t="shared" si="792"/>
        <v>Y</v>
      </c>
      <c r="BW552" s="300" t="str">
        <f t="shared" si="810"/>
        <v>Y</v>
      </c>
      <c r="BY552" s="355">
        <f t="shared" si="811"/>
        <v>0</v>
      </c>
      <c r="BZ552" s="356">
        <f t="shared" si="812"/>
        <v>0.9</v>
      </c>
      <c r="CA552" s="356">
        <f t="shared" si="813"/>
        <v>0</v>
      </c>
      <c r="CB552" s="357">
        <f t="shared" si="814"/>
        <v>0.9</v>
      </c>
      <c r="CD552" s="312">
        <f t="shared" si="815"/>
        <v>544</v>
      </c>
    </row>
    <row r="553" spans="1:82" s="48" customFormat="1" outlineLevel="1" x14ac:dyDescent="0.3">
      <c r="A553" s="202">
        <v>138708000</v>
      </c>
      <c r="B553" s="48">
        <f>VLOOKUP(C553,'NCES ID'!$A$2:$B$3136,2,FALSE)</f>
        <v>400089</v>
      </c>
      <c r="C553" s="48">
        <f>VLOOKUP(A553,'State ID'!$A$2:$B$713,2,FALSE)</f>
        <v>4492</v>
      </c>
      <c r="D553" s="48" t="s">
        <v>380</v>
      </c>
      <c r="E553" s="48" t="s">
        <v>3</v>
      </c>
      <c r="F553" s="755"/>
      <c r="G553" s="755"/>
      <c r="H553" s="755"/>
      <c r="I553" s="755"/>
      <c r="J553" s="755"/>
      <c r="K553" s="755"/>
      <c r="L553" s="454"/>
      <c r="M553" s="455"/>
      <c r="N553" s="456"/>
      <c r="O553" s="209">
        <f>VLOOKUP($C553,'Final SEA Counts'!$A$2:$F$709,5,FALSE)</f>
        <v>150</v>
      </c>
      <c r="P553" s="223">
        <f>VLOOKUP($C553,'Final SEA Counts'!$A$2:$F$709,6,FALSE)</f>
        <v>75</v>
      </c>
      <c r="Q553" s="749"/>
      <c r="R553" s="454">
        <f t="shared" si="824"/>
        <v>150</v>
      </c>
      <c r="S553" s="455">
        <f t="shared" si="816"/>
        <v>32.233207730078199</v>
      </c>
      <c r="T553" s="230">
        <f t="shared" si="778"/>
        <v>0.21488805153385465</v>
      </c>
      <c r="U553" s="264" t="str">
        <f>IFERROR(VLOOKUP($B553,#REF!,8,FALSE),"")</f>
        <v/>
      </c>
      <c r="V553" s="265" t="str">
        <f>IFERROR(VLOOKUP($B553,#REF!,9,FALSE),"")</f>
        <v/>
      </c>
      <c r="W553" s="265" t="str">
        <f>IFERROR(VLOOKUP($B553,#REF!,10,FALSE),"")</f>
        <v/>
      </c>
      <c r="X553" s="265" t="str">
        <f>IFERROR(VLOOKUP($B553,#REF!,11,FALSE),"")</f>
        <v/>
      </c>
      <c r="Y553" s="266" t="str">
        <f>IFERROR(VLOOKUP($B553,#REF!,12,FALSE),"")</f>
        <v/>
      </c>
      <c r="Z553" s="265">
        <f t="shared" si="817"/>
        <v>16030.955511213057</v>
      </c>
      <c r="AA553" s="265">
        <f t="shared" si="818"/>
        <v>3807.5524474407084</v>
      </c>
      <c r="AB553" s="265">
        <f t="shared" si="819"/>
        <v>6896.4836148106378</v>
      </c>
      <c r="AC553" s="266">
        <f t="shared" si="820"/>
        <v>5598.2708193329181</v>
      </c>
      <c r="AD553" s="265">
        <f t="shared" si="779"/>
        <v>16030.955511213057</v>
      </c>
      <c r="AE553" s="265">
        <f t="shared" si="780"/>
        <v>3807.5524474407084</v>
      </c>
      <c r="AF553" s="265">
        <f t="shared" si="781"/>
        <v>6896.4836148106378</v>
      </c>
      <c r="AG553" s="266">
        <f t="shared" si="782"/>
        <v>5598.2708193329181</v>
      </c>
      <c r="AH553" s="265">
        <f t="shared" si="797"/>
        <v>16281.343768721528</v>
      </c>
      <c r="AI553" s="265">
        <f t="shared" si="797"/>
        <v>6766.3659751615796</v>
      </c>
      <c r="AJ553" s="265">
        <f t="shared" si="797"/>
        <v>7004.2001207943495</v>
      </c>
      <c r="AK553" s="265">
        <f t="shared" si="797"/>
        <v>5685.7104778444018</v>
      </c>
      <c r="AL553" s="266">
        <f t="shared" si="783"/>
        <v>35737.620342521863</v>
      </c>
      <c r="AM553" s="347"/>
      <c r="AN553" s="264">
        <f>IFERROR(VLOOKUP($A553,'HH &amp; SI'!$B$4:$Z$494,'HH &amp; SI'!V$503,0),0)</f>
        <v>17971.832552820928</v>
      </c>
      <c r="AO553" s="265">
        <f>IFERROR(VLOOKUP($A553,'HH &amp; SI'!$B$4:$Z$494,'HH &amp; SI'!W$503,0),0)</f>
        <v>6543.5066184183288</v>
      </c>
      <c r="AP553" s="265">
        <f>IFERROR(VLOOKUP($A553,'HH &amp; SI'!$B$4:$Z$494,'HH &amp; SI'!X$503,0),0)</f>
        <v>7117.3478155360162</v>
      </c>
      <c r="AQ553" s="265">
        <f>IFERROR(VLOOKUP($A553,'HH &amp; SI'!$B$4:$Z$494,'HH &amp; SI'!Y$503,0),0)</f>
        <v>5623.064183180225</v>
      </c>
      <c r="AR553" s="266">
        <f t="shared" si="784"/>
        <v>37255.751169955496</v>
      </c>
      <c r="AS553" s="347"/>
      <c r="AT553" s="324">
        <f>IFERROR(VLOOKUP(A553,'Afton FY16 Final'!$A$5:$BV$572,'Afton FY16 Final'!$BV$587,0),0)</f>
        <v>37263.717806639397</v>
      </c>
      <c r="AU553" s="347"/>
      <c r="AV553" s="454">
        <v>0</v>
      </c>
      <c r="AW553" s="265">
        <f>IFERROR(VLOOKUP($A553,'HH &amp; SI'!$B$4:$EY$503,'HH &amp; SI'!EX$503,0),0)</f>
        <v>0</v>
      </c>
      <c r="AX553" s="265">
        <f>IFERROR(VLOOKUP($A553,'HH &amp; SI'!$B$4:$EY$503,'HH &amp; SI'!EY$503,0),0)</f>
        <v>37255.751169955496</v>
      </c>
      <c r="AY553" s="265">
        <f>AX553/$AX$582*'update_State Admin 1004(b)'!$B$30*0.01</f>
        <v>356.56430205489437</v>
      </c>
      <c r="AZ553" s="266">
        <f t="shared" si="785"/>
        <v>36899.1868679006</v>
      </c>
      <c r="BA553" s="264">
        <f t="shared" si="798"/>
        <v>368.99186867900602</v>
      </c>
      <c r="BB553" s="265">
        <f t="shared" si="799"/>
        <v>36530.194999221596</v>
      </c>
      <c r="BC553" s="342">
        <f t="shared" si="807"/>
        <v>0.98031536168172928</v>
      </c>
      <c r="BD553" s="347"/>
      <c r="BE553" s="377" t="str">
        <f>'Original Title I &amp; II'!AZ550</f>
        <v/>
      </c>
      <c r="BF553" s="244" t="str">
        <f>IF(BE553&lt;0,BB553*BE553/100,"")</f>
        <v/>
      </c>
      <c r="BG553" s="266">
        <f t="shared" si="773"/>
        <v>36530.194999221596</v>
      </c>
      <c r="BI553" s="203">
        <f>IFERROR(VLOOKUP(A553,'Title II Hold Harmless'!A$1:B$439,2, FALSE),"")</f>
        <v>2476</v>
      </c>
      <c r="BJ553" s="203">
        <f t="shared" si="821"/>
        <v>3018.6814089031914</v>
      </c>
      <c r="BK553" s="203">
        <f t="shared" si="822"/>
        <v>3021.6016567239471</v>
      </c>
      <c r="BL553" s="203" t="str">
        <f t="shared" si="789"/>
        <v/>
      </c>
      <c r="BM553" s="203">
        <f t="shared" si="790"/>
        <v>3021.6016567239471</v>
      </c>
      <c r="BN553" s="200"/>
      <c r="BP553" s="298" t="s">
        <v>1448</v>
      </c>
      <c r="BQ553" s="299" t="str">
        <f t="shared" si="808"/>
        <v>Y</v>
      </c>
      <c r="BR553" s="300" t="s">
        <v>1448</v>
      </c>
      <c r="BT553" s="298" t="str">
        <f t="shared" si="809"/>
        <v>Y</v>
      </c>
      <c r="BU553" s="299" t="str">
        <f t="shared" si="791"/>
        <v>Y</v>
      </c>
      <c r="BV553" s="299" t="str">
        <f t="shared" si="792"/>
        <v>Y</v>
      </c>
      <c r="BW553" s="300" t="str">
        <f t="shared" si="810"/>
        <v>Y</v>
      </c>
      <c r="BY553" s="355">
        <f t="shared" si="811"/>
        <v>0</v>
      </c>
      <c r="BZ553" s="356">
        <f t="shared" si="812"/>
        <v>0.9</v>
      </c>
      <c r="CA553" s="356">
        <f t="shared" si="813"/>
        <v>0</v>
      </c>
      <c r="CB553" s="357">
        <f t="shared" si="814"/>
        <v>0.9</v>
      </c>
      <c r="CD553" s="312">
        <f t="shared" si="815"/>
        <v>545</v>
      </c>
    </row>
    <row r="554" spans="1:82" s="48" customFormat="1" outlineLevel="1" x14ac:dyDescent="0.3">
      <c r="A554" s="202">
        <v>138752000</v>
      </c>
      <c r="B554" s="48">
        <f>VLOOKUP(C554,'NCES ID'!$A$2:$B$3136,2,FALSE)</f>
        <v>400093</v>
      </c>
      <c r="C554" s="48">
        <f>VLOOKUP(A554,'State ID'!$A$2:$B$713,2,FALSE)</f>
        <v>4496</v>
      </c>
      <c r="D554" s="48" t="s">
        <v>387</v>
      </c>
      <c r="E554" s="48" t="s">
        <v>3</v>
      </c>
      <c r="F554" s="755"/>
      <c r="G554" s="755"/>
      <c r="H554" s="755"/>
      <c r="I554" s="755"/>
      <c r="J554" s="755"/>
      <c r="K554" s="755"/>
      <c r="L554" s="454"/>
      <c r="M554" s="455"/>
      <c r="N554" s="456"/>
      <c r="O554" s="209">
        <f>VLOOKUP($C554,'Final SEA Counts'!$A$2:$F$709,5,FALSE)</f>
        <v>204</v>
      </c>
      <c r="P554" s="223">
        <f>VLOOKUP($C554,'Final SEA Counts'!$A$2:$F$709,6,FALSE)</f>
        <v>85</v>
      </c>
      <c r="Q554" s="749"/>
      <c r="R554" s="454">
        <f t="shared" si="824"/>
        <v>204</v>
      </c>
      <c r="S554" s="455">
        <f t="shared" si="816"/>
        <v>36.530968760755293</v>
      </c>
      <c r="T554" s="230">
        <f t="shared" si="778"/>
        <v>0.17907337627821221</v>
      </c>
      <c r="U554" s="264" t="str">
        <f>IFERROR(VLOOKUP($B554,#REF!,8,FALSE),"")</f>
        <v/>
      </c>
      <c r="V554" s="265" t="str">
        <f>IFERROR(VLOOKUP($B554,#REF!,9,FALSE),"")</f>
        <v/>
      </c>
      <c r="W554" s="265" t="str">
        <f>IFERROR(VLOOKUP($B554,#REF!,10,FALSE),"")</f>
        <v/>
      </c>
      <c r="X554" s="265" t="str">
        <f>IFERROR(VLOOKUP($B554,#REF!,11,FALSE),"")</f>
        <v/>
      </c>
      <c r="Y554" s="266" t="str">
        <f>IFERROR(VLOOKUP($B554,#REF!,12,FALSE),"")</f>
        <v/>
      </c>
      <c r="Z554" s="265">
        <f t="shared" si="817"/>
        <v>18168.416246041463</v>
      </c>
      <c r="AA554" s="265">
        <f t="shared" si="818"/>
        <v>4315.2261070994691</v>
      </c>
      <c r="AB554" s="265">
        <f t="shared" si="819"/>
        <v>7816.0147634520563</v>
      </c>
      <c r="AC554" s="266">
        <f t="shared" si="820"/>
        <v>6344.7069285773077</v>
      </c>
      <c r="AD554" s="265">
        <f t="shared" si="779"/>
        <v>18168.416246041463</v>
      </c>
      <c r="AE554" s="265">
        <f t="shared" si="780"/>
        <v>4315.2261070994691</v>
      </c>
      <c r="AF554" s="265">
        <f t="shared" si="781"/>
        <v>7816.0147634520563</v>
      </c>
      <c r="AG554" s="266">
        <f t="shared" si="782"/>
        <v>6344.7069285773077</v>
      </c>
      <c r="AH554" s="265">
        <f t="shared" si="797"/>
        <v>18418.804503549934</v>
      </c>
      <c r="AI554" s="265">
        <f t="shared" si="797"/>
        <v>7274.0396348203412</v>
      </c>
      <c r="AJ554" s="265">
        <f t="shared" si="797"/>
        <v>7923.7312694357679</v>
      </c>
      <c r="AK554" s="265">
        <f t="shared" si="797"/>
        <v>6432.1465870887914</v>
      </c>
      <c r="AL554" s="266">
        <f t="shared" si="783"/>
        <v>40048.721994894833</v>
      </c>
      <c r="AM554" s="347"/>
      <c r="AN554" s="264">
        <f>IFERROR(VLOOKUP($A554,'HH &amp; SI'!$B$4:$Z$494,'HH &amp; SI'!V$503,0),0)</f>
        <v>19735.338755087309</v>
      </c>
      <c r="AO554" s="265">
        <f>IFERROR(VLOOKUP($A554,'HH &amp; SI'!$B$4:$Z$494,'HH &amp; SI'!W$503,0),0)</f>
        <v>7034.4593638311917</v>
      </c>
      <c r="AP554" s="265">
        <f>IFERROR(VLOOKUP($A554,'HH &amp; SI'!$B$4:$Z$494,'HH &amp; SI'!X$503,0),0)</f>
        <v>7851.6680272441499</v>
      </c>
      <c r="AQ554" s="265">
        <f>IFERROR(VLOOKUP($A554,'HH &amp; SI'!$B$4:$Z$494,'HH &amp; SI'!Y$503,0),0)</f>
        <v>6549.6449127199839</v>
      </c>
      <c r="AR554" s="266">
        <f t="shared" si="784"/>
        <v>41171.111058882634</v>
      </c>
      <c r="AS554" s="347"/>
      <c r="AT554" s="324">
        <f>IFERROR(VLOOKUP(A554,'Afton FY16 Final'!$A$5:$BV$572,'Afton FY16 Final'!$BV$587,0),0)</f>
        <v>42251.799848453615</v>
      </c>
      <c r="AU554" s="347"/>
      <c r="AV554" s="454">
        <v>0</v>
      </c>
      <c r="AW554" s="265">
        <f>IFERROR(VLOOKUP($A554,'HH &amp; SI'!$B$4:$EY$503,'HH &amp; SI'!EX$503,0),0)</f>
        <v>0</v>
      </c>
      <c r="AX554" s="265">
        <f>IFERROR(VLOOKUP($A554,'HH &amp; SI'!$B$4:$EY$503,'HH &amp; SI'!EY$503,0),0)</f>
        <v>41171.111058882634</v>
      </c>
      <c r="AY554" s="265">
        <f>AX554/$AX$582*'update_State Admin 1004(b)'!$B$30*0.01</f>
        <v>394.03710886317276</v>
      </c>
      <c r="AZ554" s="266">
        <f t="shared" si="785"/>
        <v>40777.073950019461</v>
      </c>
      <c r="BA554" s="264">
        <f t="shared" si="798"/>
        <v>407.77073950019462</v>
      </c>
      <c r="BB554" s="265">
        <f t="shared" si="799"/>
        <v>40369.303210519269</v>
      </c>
      <c r="BC554" s="342">
        <f t="shared" si="807"/>
        <v>0.95544576456656571</v>
      </c>
      <c r="BD554" s="347"/>
      <c r="BE554" s="377" t="str">
        <f>'Original Title I &amp; II'!AZ551</f>
        <v/>
      </c>
      <c r="BF554" s="244" t="str">
        <f>IF(BE554&lt;0,BB554*BE554/100,"")</f>
        <v/>
      </c>
      <c r="BG554" s="266">
        <f t="shared" si="773"/>
        <v>40369.303210519269</v>
      </c>
      <c r="BI554" s="203">
        <f>IFERROR(VLOOKUP(A554,'Title II Hold Harmless'!A$1:B$439,2, FALSE),"")</f>
        <v>2317</v>
      </c>
      <c r="BJ554" s="203">
        <f t="shared" si="821"/>
        <v>2959.4021195330033</v>
      </c>
      <c r="BK554" s="203">
        <f t="shared" si="822"/>
        <v>2962.2650210517982</v>
      </c>
      <c r="BL554" s="203" t="str">
        <f t="shared" si="789"/>
        <v/>
      </c>
      <c r="BM554" s="203">
        <f t="shared" si="790"/>
        <v>2962.2650210517982</v>
      </c>
      <c r="BN554" s="200"/>
      <c r="BP554" s="298" t="s">
        <v>1448</v>
      </c>
      <c r="BQ554" s="299" t="str">
        <f t="shared" si="808"/>
        <v>Y</v>
      </c>
      <c r="BR554" s="300" t="s">
        <v>1448</v>
      </c>
      <c r="BT554" s="298" t="str">
        <f t="shared" si="809"/>
        <v>Y</v>
      </c>
      <c r="BU554" s="299" t="str">
        <f t="shared" si="791"/>
        <v>Y</v>
      </c>
      <c r="BV554" s="299" t="str">
        <f t="shared" si="792"/>
        <v>Y</v>
      </c>
      <c r="BW554" s="300" t="str">
        <f t="shared" si="810"/>
        <v>Y</v>
      </c>
      <c r="BY554" s="355">
        <f t="shared" si="811"/>
        <v>0</v>
      </c>
      <c r="BZ554" s="356">
        <f t="shared" si="812"/>
        <v>0.9</v>
      </c>
      <c r="CA554" s="356">
        <f t="shared" si="813"/>
        <v>0</v>
      </c>
      <c r="CB554" s="357">
        <f t="shared" si="814"/>
        <v>0.9</v>
      </c>
      <c r="CD554" s="312">
        <f t="shared" si="815"/>
        <v>546</v>
      </c>
    </row>
    <row r="555" spans="1:82" s="48" customFormat="1" outlineLevel="1" x14ac:dyDescent="0.3">
      <c r="A555" s="202"/>
      <c r="D555" s="48" t="s">
        <v>1411</v>
      </c>
      <c r="E555" s="48" t="s">
        <v>3</v>
      </c>
      <c r="F555" s="755"/>
      <c r="G555" s="755"/>
      <c r="H555" s="755"/>
      <c r="I555" s="755"/>
      <c r="J555" s="755"/>
      <c r="K555" s="755"/>
      <c r="L555" s="454"/>
      <c r="M555" s="455"/>
      <c r="N555" s="456"/>
      <c r="O555" s="211">
        <f>'AVA Metrics'!C15</f>
        <v>190.46761598530088</v>
      </c>
      <c r="P555" s="212">
        <f>'AVA Metrics'!D15</f>
        <v>99.652733118971071</v>
      </c>
      <c r="Q555" s="749"/>
      <c r="R555" s="454">
        <f t="shared" si="824"/>
        <v>190.46761598530088</v>
      </c>
      <c r="S555" s="455">
        <f t="shared" si="816"/>
        <v>42.828363299917847</v>
      </c>
      <c r="T555" s="230">
        <f t="shared" si="778"/>
        <v>0.22485902959599743</v>
      </c>
      <c r="U555" s="264"/>
      <c r="V555" s="265"/>
      <c r="W555" s="265"/>
      <c r="X555" s="265"/>
      <c r="Y555" s="266"/>
      <c r="Z555" s="265">
        <f t="shared" si="817"/>
        <v>21300.380416013511</v>
      </c>
      <c r="AA555" s="265">
        <f t="shared" si="818"/>
        <v>5059.1067717505875</v>
      </c>
      <c r="AB555" s="265">
        <f t="shared" si="819"/>
        <v>9163.37921501442</v>
      </c>
      <c r="AC555" s="266">
        <f t="shared" si="820"/>
        <v>7438.4398384894257</v>
      </c>
      <c r="AD555" s="265">
        <f t="shared" si="779"/>
        <v>21300.380416013511</v>
      </c>
      <c r="AE555" s="265">
        <f t="shared" si="780"/>
        <v>5059.1067717505875</v>
      </c>
      <c r="AF555" s="265">
        <f t="shared" si="781"/>
        <v>9163.37921501442</v>
      </c>
      <c r="AG555" s="266">
        <f t="shared" si="782"/>
        <v>7438.4398384894257</v>
      </c>
      <c r="AH555" s="265">
        <f t="shared" si="797"/>
        <v>21550.768673521983</v>
      </c>
      <c r="AI555" s="265">
        <f t="shared" si="797"/>
        <v>8017.9202994714597</v>
      </c>
      <c r="AJ555" s="265">
        <f t="shared" si="797"/>
        <v>9271.0957209981316</v>
      </c>
      <c r="AK555" s="265">
        <f t="shared" si="797"/>
        <v>7525.8794970009094</v>
      </c>
      <c r="AL555" s="266">
        <f t="shared" ref="AL555" si="829">SUM(AH555:AK555)</f>
        <v>46365.664190992487</v>
      </c>
      <c r="AM555" s="347"/>
      <c r="AN555" s="264">
        <f>IFERROR(VLOOKUP($A555,'HH &amp; SI'!$B$4:$Z$494,'HH &amp; SI'!V$503,0),0)</f>
        <v>0</v>
      </c>
      <c r="AO555" s="265">
        <f>IFERROR(VLOOKUP($A555,'HH &amp; SI'!$B$4:$Z$494,'HH &amp; SI'!W$503,0),0)</f>
        <v>0</v>
      </c>
      <c r="AP555" s="265">
        <f>IFERROR(VLOOKUP($A555,'HH &amp; SI'!$B$4:$Z$494,'HH &amp; SI'!X$503,0),0)</f>
        <v>0</v>
      </c>
      <c r="AQ555" s="265">
        <f>IFERROR(VLOOKUP($A555,'HH &amp; SI'!$B$4:$Z$494,'HH &amp; SI'!Y$503,0),0)</f>
        <v>0</v>
      </c>
      <c r="AR555" s="266">
        <f t="shared" si="784"/>
        <v>0</v>
      </c>
      <c r="AS555" s="347"/>
      <c r="AT555" s="324">
        <f>IFERROR(VLOOKUP(A555,'Afton FY16 Final'!$A$5:$BV$572,'Afton FY16 Final'!$BV$587,0),0)</f>
        <v>0</v>
      </c>
      <c r="AU555" s="347"/>
      <c r="AV555" s="454">
        <v>0</v>
      </c>
      <c r="AW555" s="265">
        <f>IFERROR(VLOOKUP($A555,'HH &amp; SI'!$B$4:$EY$503,'HH &amp; SI'!EX$503,0),0)</f>
        <v>0</v>
      </c>
      <c r="AX555" s="265">
        <f>IFERROR(VLOOKUP($A555,'HH &amp; SI'!$B$4:$EY$503,'HH &amp; SI'!EY$503,0),0)</f>
        <v>0</v>
      </c>
      <c r="AY555" s="265"/>
      <c r="AZ555" s="266"/>
      <c r="BA555" s="264"/>
      <c r="BB555" s="265"/>
      <c r="BC555" s="342" t="str">
        <f t="shared" si="807"/>
        <v/>
      </c>
      <c r="BD555" s="347"/>
      <c r="BE555" s="377">
        <f>'Original Title I &amp; II'!AZ552</f>
        <v>0</v>
      </c>
      <c r="BF555" s="244"/>
      <c r="BG555" s="266">
        <f t="shared" si="773"/>
        <v>0</v>
      </c>
      <c r="BI555" s="203"/>
      <c r="BJ555" s="203"/>
      <c r="BK555" s="203"/>
      <c r="BL555" s="203"/>
      <c r="BM555" s="203"/>
      <c r="BN555" s="200"/>
      <c r="BP555" s="298" t="s">
        <v>1448</v>
      </c>
      <c r="BQ555" s="299" t="str">
        <f t="shared" si="808"/>
        <v>Y</v>
      </c>
      <c r="BR555" s="300" t="s">
        <v>1448</v>
      </c>
      <c r="BT555" s="298" t="str">
        <f t="shared" si="809"/>
        <v>Y</v>
      </c>
      <c r="BU555" s="299" t="str">
        <f t="shared" si="791"/>
        <v>Y</v>
      </c>
      <c r="BV555" s="299" t="str">
        <f t="shared" si="792"/>
        <v>Y</v>
      </c>
      <c r="BW555" s="300" t="str">
        <f t="shared" si="810"/>
        <v>Y</v>
      </c>
      <c r="BY555" s="355">
        <f t="shared" si="811"/>
        <v>0</v>
      </c>
      <c r="BZ555" s="356">
        <f t="shared" si="812"/>
        <v>0.9</v>
      </c>
      <c r="CA555" s="356">
        <f t="shared" si="813"/>
        <v>0</v>
      </c>
      <c r="CB555" s="357">
        <f t="shared" si="814"/>
        <v>0.9</v>
      </c>
      <c r="CD555" s="312">
        <f t="shared" si="815"/>
        <v>547</v>
      </c>
    </row>
    <row r="556" spans="1:82" s="197" customFormat="1" outlineLevel="1" x14ac:dyDescent="0.3">
      <c r="A556" s="196"/>
      <c r="D556" s="197" t="s">
        <v>878</v>
      </c>
      <c r="F556" s="756"/>
      <c r="G556" s="756"/>
      <c r="H556" s="756"/>
      <c r="I556" s="756"/>
      <c r="J556" s="756"/>
      <c r="K556" s="756"/>
      <c r="L556" s="757"/>
      <c r="M556" s="758"/>
      <c r="N556" s="768"/>
      <c r="O556" s="214"/>
      <c r="P556" s="216"/>
      <c r="Q556" s="750"/>
      <c r="R556" s="757">
        <f>SUM(R538:R555)</f>
        <v>3745.4676159853007</v>
      </c>
      <c r="S556" s="758">
        <f>SUM(S538:S555)</f>
        <v>1036.0409374893941</v>
      </c>
      <c r="T556" s="231"/>
      <c r="U556" s="267"/>
      <c r="V556" s="268"/>
      <c r="W556" s="268"/>
      <c r="X556" s="268"/>
      <c r="Y556" s="269"/>
      <c r="Z556" s="268">
        <f>SUM(Z538:Z555)</f>
        <v>515267.55623485852</v>
      </c>
      <c r="AA556" s="268">
        <f>SUM(AA538:AA555)</f>
        <v>122382.4895188903</v>
      </c>
      <c r="AB556" s="268">
        <f>SUM(AB538:AB555)</f>
        <v>221667.02766604617</v>
      </c>
      <c r="AC556" s="269">
        <f>SUM(AC538:AC555)</f>
        <v>179939.82468486775</v>
      </c>
      <c r="AD556" s="268"/>
      <c r="AE556" s="268"/>
      <c r="AF556" s="268"/>
      <c r="AG556" s="269"/>
      <c r="AH556" s="268"/>
      <c r="AI556" s="268"/>
      <c r="AJ556" s="268"/>
      <c r="AK556" s="268"/>
      <c r="AL556" s="269"/>
      <c r="AM556" s="348"/>
      <c r="AN556" s="267"/>
      <c r="AO556" s="268"/>
      <c r="AP556" s="268"/>
      <c r="AQ556" s="268"/>
      <c r="AR556" s="269"/>
      <c r="AS556" s="348"/>
      <c r="AT556" s="325"/>
      <c r="AU556" s="348"/>
      <c r="AV556" s="757"/>
      <c r="AW556" s="268"/>
      <c r="AX556" s="268"/>
      <c r="AY556" s="268"/>
      <c r="AZ556" s="269"/>
      <c r="BA556" s="267"/>
      <c r="BB556" s="268"/>
      <c r="BC556" s="343" t="str">
        <f t="shared" si="807"/>
        <v/>
      </c>
      <c r="BD556" s="348"/>
      <c r="BE556" s="371"/>
      <c r="BF556" s="369"/>
      <c r="BG556" s="269"/>
      <c r="BI556" s="198"/>
      <c r="BL556" s="198"/>
      <c r="BN556" s="199"/>
      <c r="BP556" s="301" t="s">
        <v>1450</v>
      </c>
      <c r="BQ556" s="302" t="str">
        <f t="shared" si="808"/>
        <v>N</v>
      </c>
      <c r="BR556" s="303" t="s">
        <v>1448</v>
      </c>
      <c r="BT556" s="301" t="str">
        <f t="shared" si="809"/>
        <v>N</v>
      </c>
      <c r="BU556" s="302" t="s">
        <v>1450</v>
      </c>
      <c r="BV556" s="302" t="s">
        <v>1450</v>
      </c>
      <c r="BW556" s="303" t="s">
        <v>1450</v>
      </c>
      <c r="BY556" s="358">
        <f t="shared" si="811"/>
        <v>0.85</v>
      </c>
      <c r="BZ556" s="359">
        <f t="shared" si="812"/>
        <v>0</v>
      </c>
      <c r="CA556" s="359">
        <f t="shared" si="813"/>
        <v>0</v>
      </c>
      <c r="CB556" s="360">
        <f t="shared" si="814"/>
        <v>0.85</v>
      </c>
      <c r="CD556" s="313">
        <f t="shared" si="815"/>
        <v>548</v>
      </c>
    </row>
    <row r="557" spans="1:82" s="197" customFormat="1" outlineLevel="1" x14ac:dyDescent="0.3">
      <c r="A557" s="196" t="s">
        <v>880</v>
      </c>
      <c r="B557" s="197">
        <f>M557/P557</f>
        <v>0.42977610306770936</v>
      </c>
      <c r="D557" s="197" t="s">
        <v>879</v>
      </c>
      <c r="E557" s="197">
        <f t="shared" ref="E557:K557" si="830">SUM(E516:E555)</f>
        <v>0</v>
      </c>
      <c r="F557" s="756">
        <f t="shared" si="830"/>
        <v>5774</v>
      </c>
      <c r="G557" s="756">
        <f t="shared" si="830"/>
        <v>0</v>
      </c>
      <c r="H557" s="756">
        <f t="shared" si="830"/>
        <v>0</v>
      </c>
      <c r="I557" s="756">
        <f t="shared" si="830"/>
        <v>293</v>
      </c>
      <c r="J557" s="756">
        <f t="shared" si="830"/>
        <v>0</v>
      </c>
      <c r="K557" s="756">
        <f t="shared" si="830"/>
        <v>5774</v>
      </c>
      <c r="L557" s="757">
        <f>SUM(L516:L555)</f>
        <v>28837</v>
      </c>
      <c r="M557" s="758">
        <f>SUM(M516:M555)</f>
        <v>6067</v>
      </c>
      <c r="N557" s="768"/>
      <c r="O557" s="217">
        <f>SUM(O516:O555)</f>
        <v>22741.467615985301</v>
      </c>
      <c r="P557" s="218">
        <f>SUM(P516:P555)</f>
        <v>14116.652733118972</v>
      </c>
      <c r="Q557" s="750"/>
      <c r="R557" s="757">
        <f>SUM(R516:R555)</f>
        <v>28837</v>
      </c>
      <c r="S557" s="758">
        <f>SUM(S516:S555)</f>
        <v>6067.0000000000009</v>
      </c>
      <c r="T557" s="231"/>
      <c r="U557" s="267">
        <f t="shared" ref="U557:AL557" si="831">SUM(U516:U555)</f>
        <v>3017379.0924249929</v>
      </c>
      <c r="V557" s="268">
        <f t="shared" si="831"/>
        <v>716665.27551543619</v>
      </c>
      <c r="W557" s="268">
        <f t="shared" si="831"/>
        <v>1298070.1902656909</v>
      </c>
      <c r="X557" s="268">
        <f t="shared" si="831"/>
        <v>1053717.9341663499</v>
      </c>
      <c r="Y557" s="269">
        <f t="shared" si="831"/>
        <v>6085832.492372469</v>
      </c>
      <c r="Z557" s="268">
        <f t="shared" si="831"/>
        <v>3017379.0924249925</v>
      </c>
      <c r="AA557" s="268">
        <f t="shared" si="831"/>
        <v>716665.27551543596</v>
      </c>
      <c r="AB557" s="268">
        <f t="shared" si="831"/>
        <v>1298070.1902656909</v>
      </c>
      <c r="AC557" s="269">
        <f t="shared" si="831"/>
        <v>1053717.9341663499</v>
      </c>
      <c r="AD557" s="268">
        <f t="shared" si="831"/>
        <v>3008615.5034121959</v>
      </c>
      <c r="AE557" s="268">
        <f t="shared" si="831"/>
        <v>624942.05615608895</v>
      </c>
      <c r="AF557" s="268">
        <f t="shared" si="831"/>
        <v>1294300.112556261</v>
      </c>
      <c r="AG557" s="269">
        <f t="shared" si="831"/>
        <v>1050657.546118448</v>
      </c>
      <c r="AH557" s="268">
        <f t="shared" si="831"/>
        <v>3017379.0924249929</v>
      </c>
      <c r="AI557" s="268">
        <f t="shared" si="831"/>
        <v>716665.27551543596</v>
      </c>
      <c r="AJ557" s="268">
        <f t="shared" si="831"/>
        <v>1298070.1902656911</v>
      </c>
      <c r="AK557" s="268">
        <f t="shared" si="831"/>
        <v>1053717.9341663495</v>
      </c>
      <c r="AL557" s="269">
        <f t="shared" si="831"/>
        <v>6085832.492372469</v>
      </c>
      <c r="AM557" s="348"/>
      <c r="AN557" s="267">
        <f t="shared" ref="AN557:AR557" si="832">SUM(AN516:AN555)</f>
        <v>3139403.6891054073</v>
      </c>
      <c r="AO557" s="268">
        <f t="shared" ref="AO557" si="833">SUM(AO516:AO555)</f>
        <v>793051.78505495971</v>
      </c>
      <c r="AP557" s="268">
        <f t="shared" si="832"/>
        <v>1375300.7301958923</v>
      </c>
      <c r="AQ557" s="268">
        <f t="shared" si="832"/>
        <v>1130923.9533637087</v>
      </c>
      <c r="AR557" s="269">
        <f t="shared" si="832"/>
        <v>6438680.157719966</v>
      </c>
      <c r="AS557" s="348"/>
      <c r="AT557" s="325">
        <f t="shared" ref="AT557:BB557" si="834">SUM(AT516:AT555)</f>
        <v>6387786.9348147595</v>
      </c>
      <c r="AU557" s="348"/>
      <c r="AV557" s="757">
        <f t="shared" si="834"/>
        <v>0</v>
      </c>
      <c r="AW557" s="268">
        <f t="shared" si="834"/>
        <v>106285.46448916785</v>
      </c>
      <c r="AX557" s="268">
        <f t="shared" si="834"/>
        <v>6332394.6932307994</v>
      </c>
      <c r="AY557" s="268">
        <f t="shared" si="834"/>
        <v>60605.566207153031</v>
      </c>
      <c r="AZ557" s="269">
        <f t="shared" si="834"/>
        <v>6271789.1270236466</v>
      </c>
      <c r="BA557" s="267">
        <f t="shared" si="834"/>
        <v>62717.891270236469</v>
      </c>
      <c r="BB557" s="268">
        <f t="shared" si="834"/>
        <v>6209071.2357534114</v>
      </c>
      <c r="BC557" s="343">
        <f t="shared" si="807"/>
        <v>0.97202228238275912</v>
      </c>
      <c r="BD557" s="348"/>
      <c r="BE557" s="371">
        <f t="shared" ref="BE557:BG557" si="835">SUM(BE516:BE555)</f>
        <v>0</v>
      </c>
      <c r="BF557" s="369">
        <f t="shared" si="835"/>
        <v>0</v>
      </c>
      <c r="BG557" s="269">
        <f t="shared" si="835"/>
        <v>6209071.2357534114</v>
      </c>
      <c r="BI557" s="198"/>
      <c r="BL557" s="198"/>
      <c r="BN557" s="199"/>
      <c r="BP557" s="301" t="s">
        <v>1450</v>
      </c>
      <c r="BQ557" s="302" t="str">
        <f t="shared" si="808"/>
        <v>N</v>
      </c>
      <c r="BR557" s="303" t="s">
        <v>1448</v>
      </c>
      <c r="BT557" s="301" t="str">
        <f t="shared" si="809"/>
        <v>N</v>
      </c>
      <c r="BU557" s="302" t="s">
        <v>1450</v>
      </c>
      <c r="BV557" s="302" t="s">
        <v>1450</v>
      </c>
      <c r="BW557" s="303" t="s">
        <v>1450</v>
      </c>
      <c r="BY557" s="358">
        <f t="shared" si="811"/>
        <v>0.85</v>
      </c>
      <c r="BZ557" s="359">
        <f t="shared" si="812"/>
        <v>0</v>
      </c>
      <c r="CA557" s="359">
        <f t="shared" si="813"/>
        <v>0</v>
      </c>
      <c r="CB557" s="360">
        <f t="shared" si="814"/>
        <v>0.85</v>
      </c>
      <c r="CD557" s="313">
        <f t="shared" si="815"/>
        <v>549</v>
      </c>
    </row>
    <row r="558" spans="1:82" s="197" customFormat="1" outlineLevel="1" x14ac:dyDescent="0.3">
      <c r="A558" s="196"/>
      <c r="F558" s="756"/>
      <c r="G558" s="756"/>
      <c r="H558" s="756"/>
      <c r="I558" s="756"/>
      <c r="J558" s="756"/>
      <c r="K558" s="756"/>
      <c r="L558" s="757"/>
      <c r="M558" s="758"/>
      <c r="N558" s="768"/>
      <c r="O558" s="214"/>
      <c r="P558" s="216"/>
      <c r="Q558" s="750"/>
      <c r="R558" s="757"/>
      <c r="S558" s="758"/>
      <c r="T558" s="231"/>
      <c r="U558" s="267">
        <f>U557/$S557</f>
        <v>497.34285353963946</v>
      </c>
      <c r="V558" s="268">
        <f>V557/$S557</f>
        <v>118.12514842845493</v>
      </c>
      <c r="W558" s="268">
        <f>W557/$S557</f>
        <v>213.95585796368727</v>
      </c>
      <c r="X558" s="268">
        <f>X557/$S557</f>
        <v>173.68022649849181</v>
      </c>
      <c r="Y558" s="269" t="str">
        <f>IFERROR(VLOOKUP($B558,#REF!,12,FALSE),"")</f>
        <v/>
      </c>
      <c r="Z558" s="268"/>
      <c r="AA558" s="268"/>
      <c r="AB558" s="268"/>
      <c r="AC558" s="269"/>
      <c r="AD558" s="268">
        <f>(Z557-AD557)/COUNT(AD516:AD555)</f>
        <v>250.38825750847215</v>
      </c>
      <c r="AE558" s="268">
        <f>(AA557-AE557)/COUNT(AE516:AE555)</f>
        <v>2958.8135277208717</v>
      </c>
      <c r="AF558" s="268">
        <f>(AB557-AF557)/COUNT(AF516:AF555)</f>
        <v>107.71650598371136</v>
      </c>
      <c r="AG558" s="269">
        <f>(AC557-AG557)/COUNT(AG516:AG555)</f>
        <v>87.439658511483245</v>
      </c>
      <c r="AH558" s="268"/>
      <c r="AI558" s="268"/>
      <c r="AJ558" s="268"/>
      <c r="AK558" s="268"/>
      <c r="AL558" s="280"/>
      <c r="AM558" s="348"/>
      <c r="AN558" s="267"/>
      <c r="AO558" s="268"/>
      <c r="AP558" s="268"/>
      <c r="AQ558" s="268"/>
      <c r="AR558" s="280"/>
      <c r="AS558" s="348"/>
      <c r="AT558" s="325"/>
      <c r="AU558" s="348"/>
      <c r="AV558" s="757"/>
      <c r="AW558" s="268"/>
      <c r="AX558" s="268"/>
      <c r="AY558" s="268"/>
      <c r="AZ558" s="269"/>
      <c r="BA558" s="267"/>
      <c r="BB558" s="268"/>
      <c r="BC558" s="343" t="str">
        <f t="shared" si="807"/>
        <v/>
      </c>
      <c r="BD558" s="348"/>
      <c r="BE558" s="371"/>
      <c r="BF558" s="369"/>
      <c r="BG558" s="269"/>
      <c r="BI558" s="198"/>
      <c r="BL558" s="198"/>
      <c r="BN558" s="199"/>
      <c r="BP558" s="301" t="s">
        <v>1450</v>
      </c>
      <c r="BQ558" s="302" t="str">
        <f t="shared" si="808"/>
        <v>N</v>
      </c>
      <c r="BR558" s="303" t="s">
        <v>1448</v>
      </c>
      <c r="BT558" s="301" t="str">
        <f t="shared" si="809"/>
        <v>N</v>
      </c>
      <c r="BU558" s="302" t="s">
        <v>1450</v>
      </c>
      <c r="BV558" s="302" t="s">
        <v>1450</v>
      </c>
      <c r="BW558" s="303" t="s">
        <v>1450</v>
      </c>
      <c r="BY558" s="358">
        <f t="shared" si="811"/>
        <v>0.85</v>
      </c>
      <c r="BZ558" s="359">
        <f t="shared" si="812"/>
        <v>0</v>
      </c>
      <c r="CA558" s="359">
        <f t="shared" si="813"/>
        <v>0</v>
      </c>
      <c r="CB558" s="360">
        <f t="shared" si="814"/>
        <v>0.85</v>
      </c>
      <c r="CD558" s="313">
        <f t="shared" si="815"/>
        <v>550</v>
      </c>
    </row>
    <row r="559" spans="1:82" s="199" customFormat="1" outlineLevel="1" x14ac:dyDescent="0.3">
      <c r="A559" s="201"/>
      <c r="F559" s="759"/>
      <c r="G559" s="759"/>
      <c r="H559" s="759"/>
      <c r="I559" s="759"/>
      <c r="J559" s="759"/>
      <c r="K559" s="759"/>
      <c r="L559" s="509"/>
      <c r="M559" s="510"/>
      <c r="N559" s="511"/>
      <c r="O559" s="220"/>
      <c r="P559" s="222"/>
      <c r="Q559" s="751"/>
      <c r="R559" s="509"/>
      <c r="S559" s="510"/>
      <c r="T559" s="232"/>
      <c r="U559" s="270" t="str">
        <f>IFERROR(VLOOKUP($B559,#REF!,8,FALSE),"")</f>
        <v/>
      </c>
      <c r="V559" s="271" t="str">
        <f>IFERROR(VLOOKUP($B559,#REF!,9,FALSE),"")</f>
        <v/>
      </c>
      <c r="W559" s="271" t="str">
        <f>IFERROR(VLOOKUP($B559,#REF!,10,FALSE),"")</f>
        <v/>
      </c>
      <c r="X559" s="271" t="str">
        <f>IFERROR(VLOOKUP($B559,#REF!,11,FALSE),"")</f>
        <v/>
      </c>
      <c r="Y559" s="272" t="str">
        <f>IFERROR(VLOOKUP($B559,#REF!,12,FALSE),"")</f>
        <v/>
      </c>
      <c r="Z559" s="271"/>
      <c r="AA559" s="271"/>
      <c r="AB559" s="271"/>
      <c r="AC559" s="272"/>
      <c r="AD559" s="271"/>
      <c r="AE559" s="271"/>
      <c r="AF559" s="271"/>
      <c r="AG559" s="272"/>
      <c r="AH559" s="271"/>
      <c r="AI559" s="271"/>
      <c r="AJ559" s="271"/>
      <c r="AK559" s="271"/>
      <c r="AL559" s="272"/>
      <c r="AM559" s="349"/>
      <c r="AN559" s="270"/>
      <c r="AO559" s="271"/>
      <c r="AP559" s="271"/>
      <c r="AQ559" s="271"/>
      <c r="AR559" s="272"/>
      <c r="AS559" s="349"/>
      <c r="AT559" s="326"/>
      <c r="AU559" s="349"/>
      <c r="AV559" s="509"/>
      <c r="AW559" s="271"/>
      <c r="AX559" s="271"/>
      <c r="AY559" s="271"/>
      <c r="AZ559" s="272"/>
      <c r="BA559" s="270"/>
      <c r="BB559" s="271"/>
      <c r="BC559" s="344" t="str">
        <f t="shared" si="807"/>
        <v/>
      </c>
      <c r="BD559" s="349"/>
      <c r="BE559" s="378">
        <f>'Original Title I &amp; II'!AZ556</f>
        <v>0</v>
      </c>
      <c r="BF559" s="245"/>
      <c r="BG559" s="272">
        <f t="shared" ref="BG559:BG573" si="836">IF(BF559&lt;0,BB559+BF559,BB559)</f>
        <v>0</v>
      </c>
      <c r="BI559" s="200"/>
      <c r="BL559" s="200"/>
      <c r="BP559" s="304" t="s">
        <v>1450</v>
      </c>
      <c r="BQ559" s="305" t="str">
        <f t="shared" si="808"/>
        <v>N</v>
      </c>
      <c r="BR559" s="306" t="s">
        <v>1448</v>
      </c>
      <c r="BT559" s="304" t="str">
        <f t="shared" si="809"/>
        <v>N</v>
      </c>
      <c r="BU559" s="305" t="s">
        <v>1450</v>
      </c>
      <c r="BV559" s="305" t="s">
        <v>1450</v>
      </c>
      <c r="BW559" s="306" t="s">
        <v>1450</v>
      </c>
      <c r="BY559" s="361">
        <f t="shared" si="811"/>
        <v>0.85</v>
      </c>
      <c r="BZ559" s="362">
        <f t="shared" si="812"/>
        <v>0</v>
      </c>
      <c r="CA559" s="362">
        <f t="shared" si="813"/>
        <v>0</v>
      </c>
      <c r="CB559" s="363">
        <f t="shared" si="814"/>
        <v>0.85</v>
      </c>
      <c r="CD559" s="314">
        <f t="shared" si="815"/>
        <v>551</v>
      </c>
    </row>
    <row r="560" spans="1:82" outlineLevel="1" x14ac:dyDescent="0.3">
      <c r="A560" s="1">
        <v>140416000</v>
      </c>
      <c r="B560" s="47">
        <f>VLOOKUP(C560,'NCES ID'!$A$2:$B$3136,2,FALSE)</f>
        <v>403900</v>
      </c>
      <c r="C560" s="47">
        <f>VLOOKUP(A560,'State ID'!$A$2:$B$713,2,FALSE)</f>
        <v>4502</v>
      </c>
      <c r="D560" s="147" t="s">
        <v>201</v>
      </c>
      <c r="E560" s="47" t="s">
        <v>38</v>
      </c>
      <c r="F560" s="382">
        <f>IFERROR(VLOOKUP($B560,'update_Formula counts'!$D$7:$R$234,'update_Formula counts'!F$5,0),0)</f>
        <v>23</v>
      </c>
      <c r="G560" s="382">
        <f>IFERROR(VLOOKUP($B560,'update_Formula counts'!$D$7:$R$234,'update_Formula counts'!G$5,0),0)</f>
        <v>0</v>
      </c>
      <c r="H560" s="382">
        <f>IFERROR(VLOOKUP($B560,'update_Formula counts'!$D$7:$R$234,'update_Formula counts'!H$5,0),0)</f>
        <v>0</v>
      </c>
      <c r="I560" s="382">
        <f>IFERROR(VLOOKUP($B560,'update_Formula counts'!$D$7:$R$234,'update_Formula counts'!I$5,0),0)</f>
        <v>0</v>
      </c>
      <c r="J560" s="382">
        <f>IFERROR(VLOOKUP($B560,'update_Formula counts'!$D$7:$R$234,'update_Formula counts'!J$5,0),0)</f>
        <v>0</v>
      </c>
      <c r="K560" s="382">
        <f t="shared" ref="K560:K568" si="837">M560-I560</f>
        <v>23</v>
      </c>
      <c r="L560" s="444">
        <f>IFERROR(VLOOKUP($B560,'update_Formula counts'!$D$7:$R$234,'update_Formula counts'!L$5,0),0)</f>
        <v>110</v>
      </c>
      <c r="M560" s="445">
        <f>IFERROR(VLOOKUP($B560,'update_Formula counts'!$D$7:$R$234,'update_Formula counts'!K$5,0),0)</f>
        <v>23</v>
      </c>
      <c r="N560" s="446">
        <f>IFERROR(VLOOKUP($B560,'update_Formula counts'!$D$7:$R$234,'update_Formula counts'!M$5,0),0)</f>
        <v>0.20909090909090908</v>
      </c>
      <c r="O560" s="137">
        <f>VLOOKUP($C560,'Final SEA Counts'!$A$2:$F$709,5,FALSE)</f>
        <v>103</v>
      </c>
      <c r="P560" s="208">
        <f>VLOOKUP($C560,'Final SEA Counts'!$A$2:$F$709,6,FALSE)</f>
        <v>92</v>
      </c>
      <c r="Q560" s="748">
        <f t="shared" ref="Q560:Q568" si="838">-F560/($F$575-$F$576)*$S$574+(M560/($M$575-$M$576)*$M$576)</f>
        <v>-1.8412610817418587</v>
      </c>
      <c r="R560" s="444">
        <f t="shared" ref="R560:R568" si="839">L560-(L560/L$575)*R$574</f>
        <v>102.27623066911652</v>
      </c>
      <c r="S560" s="445">
        <f t="shared" ref="S560:S568" si="840">Q560+K560+I560</f>
        <v>21.158738918258141</v>
      </c>
      <c r="T560" s="229">
        <f t="shared" ref="T560:T573" si="841">S560/R560</f>
        <v>0.20687836049326822</v>
      </c>
      <c r="U560" s="261">
        <f>VLOOKUP($B560,update_Allocation!$D$8:$Q$235,update_Allocation!K$239,0)</f>
        <v>34502.114808960381</v>
      </c>
      <c r="V560" s="262">
        <f>VLOOKUP($B560,update_Allocation!$D$8:$Q$235,update_Allocation!L$239,0)</f>
        <v>8760.6045897924414</v>
      </c>
      <c r="W560" s="262">
        <f>VLOOKUP($B560,update_Allocation!$D$8:$Q$235,update_Allocation!M$239,0)</f>
        <v>22669.50258847047</v>
      </c>
      <c r="X560" s="262">
        <f>VLOOKUP($B560,update_Allocation!$D$8:$Q$235,update_Allocation!N$239,0)</f>
        <v>24972.265621564271</v>
      </c>
      <c r="Y560" s="263">
        <f>VLOOKUP($B560,update_Allocation!$D$8:$Q$235,update_Allocation!O$239,0)</f>
        <v>90904.487608787575</v>
      </c>
      <c r="Z560" s="262">
        <f t="shared" ref="Z560:Z568" si="842">IF(U560=0,"",U560-(U560/U$575)*Z$574)</f>
        <v>31802.904618106979</v>
      </c>
      <c r="AA560" s="262">
        <f t="shared" ref="AA560:AA568" si="843">IF(V560=0,"",V560-(V560/V$575)*AA$574)</f>
        <v>8075.2346257268282</v>
      </c>
      <c r="AB560" s="262">
        <f t="shared" ref="AB560:AB568" si="844">IF(W560=0,"",W560-(W560/W$575)*AB$574)</f>
        <v>20895.995290521136</v>
      </c>
      <c r="AC560" s="263">
        <f t="shared" ref="AC560:AC568" si="845">IF(X560=0,"",X560-(X560/X$575)*AC$574)</f>
        <v>23018.605846572194</v>
      </c>
      <c r="AD560" s="262">
        <f t="shared" ref="AD560:AD573" si="846">IF(BT560="Y",Z560,"")</f>
        <v>31802.904618106979</v>
      </c>
      <c r="AE560" s="262">
        <f t="shared" ref="AE560:AE573" si="847">IF(BU560="Y",AA560,"")</f>
        <v>8075.2346257268282</v>
      </c>
      <c r="AF560" s="262">
        <f t="shared" ref="AF560:AF573" si="848">IF(BV560="Y",AB560,"")</f>
        <v>20895.995290521136</v>
      </c>
      <c r="AG560" s="263">
        <f t="shared" ref="AG560:AG573" si="849">IF(BW560="Y",AC560,"")</f>
        <v>23018.605846572194</v>
      </c>
      <c r="AH560" s="262">
        <f t="shared" ref="AH560:AK573" si="850">IF(AD560="","",AD560+AD$576)</f>
        <v>31802.904618106979</v>
      </c>
      <c r="AI560" s="262">
        <f t="shared" si="850"/>
        <v>8075.2346257268282</v>
      </c>
      <c r="AJ560" s="262">
        <f t="shared" si="850"/>
        <v>20895.995290521136</v>
      </c>
      <c r="AK560" s="262">
        <f t="shared" si="850"/>
        <v>23018.605846572194</v>
      </c>
      <c r="AL560" s="263">
        <f t="shared" ref="AL560:AL572" si="851">SUM(AH560:AK560)</f>
        <v>83792.740380927135</v>
      </c>
      <c r="AM560" s="346"/>
      <c r="AN560" s="261">
        <f>IFERROR(VLOOKUP($A560,'HH &amp; SI'!$B$4:$Z$494,'HH &amp; SI'!V$503,0),0)</f>
        <v>32506.23193239158</v>
      </c>
      <c r="AO560" s="262">
        <f>IFERROR(VLOOKUP($A560,'HH &amp; SI'!$B$4:$Z$494,'HH &amp; SI'!W$503,0),0)</f>
        <v>8253.8199829365221</v>
      </c>
      <c r="AP560" s="262">
        <f>IFERROR(VLOOKUP($A560,'HH &amp; SI'!$B$4:$Z$494,'HH &amp; SI'!X$503,0),0)</f>
        <v>21358.114220331663</v>
      </c>
      <c r="AQ560" s="262">
        <f>IFERROR(VLOOKUP($A560,'HH &amp; SI'!$B$4:$Z$494,'HH &amp; SI'!Y$503,0),0)</f>
        <v>23527.666714535422</v>
      </c>
      <c r="AR560" s="263">
        <f t="shared" ref="AR560:AR573" si="852">SUM(AN560:AQ560)</f>
        <v>85645.832850195191</v>
      </c>
      <c r="AS560" s="346"/>
      <c r="AT560" s="323">
        <f>IFERROR(VLOOKUP(A560,'Afton FY16 Final'!$A$5:$BV$572,'Afton FY16 Final'!$BV$587,0),0)</f>
        <v>93288.29601728727</v>
      </c>
      <c r="AU560" s="346"/>
      <c r="AV560" s="444">
        <v>0</v>
      </c>
      <c r="AW560" s="262">
        <f>IFERROR(VLOOKUP($A560,'HH &amp; SI'!$B$4:$EY$503,'HH &amp; SI'!EX$503,0),0)</f>
        <v>0</v>
      </c>
      <c r="AX560" s="262">
        <f>IFERROR(VLOOKUP($A560,'HH &amp; SI'!$B$4:$EY$503,'HH &amp; SI'!EY$503,0),0)</f>
        <v>85645.832850195191</v>
      </c>
      <c r="AY560" s="262">
        <f>AX560/$AX$582*'update_State Admin 1004(b)'!$B$30*0.01</f>
        <v>819.69214564561594</v>
      </c>
      <c r="AZ560" s="263">
        <f t="shared" ref="AZ560:AZ572" si="853">AX560-AY560</f>
        <v>84826.140704549573</v>
      </c>
      <c r="BA560" s="261">
        <f t="shared" ref="BA560:BA572" si="854">AZ560*0.01</f>
        <v>848.26140704549573</v>
      </c>
      <c r="BB560" s="262">
        <f t="shared" ref="BB560:BB572" si="855">AZ560-BA560</f>
        <v>83977.879297504071</v>
      </c>
      <c r="BC560" s="341">
        <f t="shared" si="807"/>
        <v>0.9001973761203883</v>
      </c>
      <c r="BD560" s="346"/>
      <c r="BE560" s="376" t="str">
        <f>'Original Title I &amp; II'!AZ557</f>
        <v/>
      </c>
      <c r="BF560" s="243" t="str">
        <f t="shared" ref="BF560:BF569" si="856">IF(BE560&lt;0,BB560*BE560/100,"")</f>
        <v/>
      </c>
      <c r="BG560" s="263">
        <f t="shared" si="836"/>
        <v>83977.879297504071</v>
      </c>
      <c r="BI560" s="31">
        <f>IFERROR(VLOOKUP(A560,'Title II Hold Harmless'!A$1:B$439,2, FALSE),"")</f>
        <v>11622</v>
      </c>
      <c r="BJ560" s="31">
        <f t="shared" ref="BJ560:BJ572" si="857">IFERROR($BI$587*(0.8*($S560/$S$584)+0.2*($R560/$R$584))+$BI560,$BI$587*(0.8*($S560/$S$584)+0.2*($R560/$R$584)))</f>
        <v>11981.298654088141</v>
      </c>
      <c r="BK560" s="31">
        <f t="shared" ref="BK560:BK572" si="858">$BI$588*BJ560</f>
        <v>11992.8892648698</v>
      </c>
      <c r="BL560" s="31" t="str">
        <f t="shared" ref="BL560:BL572" si="859">IF(BE560&lt;0,BK560*BE560/100,"")</f>
        <v/>
      </c>
      <c r="BM560" s="31">
        <f t="shared" ref="BM560:BM572" si="860">IF(BL560&lt;0,BK560+BL560,BK560)</f>
        <v>11992.8892648698</v>
      </c>
      <c r="BN560" s="200"/>
      <c r="BP560" s="295" t="s">
        <v>1447</v>
      </c>
      <c r="BQ560" s="296" t="str">
        <f t="shared" si="808"/>
        <v>Y</v>
      </c>
      <c r="BR560" s="297" t="s">
        <v>1448</v>
      </c>
      <c r="BT560" s="295" t="str">
        <f t="shared" si="809"/>
        <v>Y</v>
      </c>
      <c r="BU560" s="296" t="str">
        <f t="shared" ref="BU560:BU573" si="861">IF(AND(BT560="Y",(OR(T560&gt;0.15,S560&gt;6500))),"Y","N")</f>
        <v>Y</v>
      </c>
      <c r="BV560" s="296" t="str">
        <f t="shared" ref="BV560:BV573" si="862">IF(AND(BT560="Y",T560&gt;=0.05),"Y","N")</f>
        <v>Y</v>
      </c>
      <c r="BW560" s="297" t="str">
        <f t="shared" si="810"/>
        <v>Y</v>
      </c>
      <c r="BY560" s="352">
        <f t="shared" si="811"/>
        <v>0</v>
      </c>
      <c r="BZ560" s="353">
        <f t="shared" si="812"/>
        <v>0.9</v>
      </c>
      <c r="CA560" s="353">
        <f t="shared" si="813"/>
        <v>0</v>
      </c>
      <c r="CB560" s="354">
        <f t="shared" si="814"/>
        <v>0.9</v>
      </c>
      <c r="CD560" s="311">
        <f t="shared" si="815"/>
        <v>552</v>
      </c>
    </row>
    <row r="561" spans="1:82" outlineLevel="1" x14ac:dyDescent="0.3">
      <c r="A561" s="1">
        <v>140417000</v>
      </c>
      <c r="B561" s="47">
        <f>VLOOKUP(C561,'NCES ID'!$A$2:$B$3136,2,FALSE)</f>
        <v>405220</v>
      </c>
      <c r="C561" s="47">
        <f>VLOOKUP(A561,'State ID'!$A$2:$B$713,2,FALSE)</f>
        <v>4503</v>
      </c>
      <c r="D561" s="147" t="s">
        <v>292</v>
      </c>
      <c r="E561" s="47" t="s">
        <v>38</v>
      </c>
      <c r="F561" s="382">
        <f>IFERROR(VLOOKUP($B561,'update_Formula counts'!$D$7:$R$234,'update_Formula counts'!F$5,0),0)</f>
        <v>54</v>
      </c>
      <c r="G561" s="382">
        <f>IFERROR(VLOOKUP($B561,'update_Formula counts'!$D$7:$R$234,'update_Formula counts'!G$5,0),0)</f>
        <v>0</v>
      </c>
      <c r="H561" s="382">
        <f>IFERROR(VLOOKUP($B561,'update_Formula counts'!$D$7:$R$234,'update_Formula counts'!H$5,0),0)</f>
        <v>0</v>
      </c>
      <c r="I561" s="382">
        <f>IFERROR(VLOOKUP($B561,'update_Formula counts'!$D$7:$R$234,'update_Formula counts'!I$5,0),0)</f>
        <v>1</v>
      </c>
      <c r="J561" s="382">
        <f>IFERROR(VLOOKUP($B561,'update_Formula counts'!$D$7:$R$234,'update_Formula counts'!J$5,0),0)</f>
        <v>0</v>
      </c>
      <c r="K561" s="382">
        <f t="shared" si="837"/>
        <v>54</v>
      </c>
      <c r="L561" s="444">
        <f>IFERROR(VLOOKUP($B561,'update_Formula counts'!$D$7:$R$234,'update_Formula counts'!L$5,0),0)</f>
        <v>174</v>
      </c>
      <c r="M561" s="445">
        <f>IFERROR(VLOOKUP($B561,'update_Formula counts'!$D$7:$R$234,'update_Formula counts'!K$5,0),0)</f>
        <v>55</v>
      </c>
      <c r="N561" s="446">
        <f>IFERROR(VLOOKUP($B561,'update_Formula counts'!$D$7:$R$234,'update_Formula counts'!M$5,0),0)</f>
        <v>0.31609195402298851</v>
      </c>
      <c r="O561" s="137">
        <f>VLOOKUP($C561,'Final SEA Counts'!$A$2:$F$709,5,FALSE)</f>
        <v>166</v>
      </c>
      <c r="P561" s="208">
        <f>VLOOKUP($C561,'Final SEA Counts'!$A$2:$F$709,6,FALSE)</f>
        <v>143</v>
      </c>
      <c r="Q561" s="748">
        <f t="shared" si="838"/>
        <v>-4.3229608006113205</v>
      </c>
      <c r="R561" s="444">
        <f t="shared" si="839"/>
        <v>161.78240124023887</v>
      </c>
      <c r="S561" s="445">
        <f t="shared" si="840"/>
        <v>50.67703919938868</v>
      </c>
      <c r="T561" s="229">
        <f t="shared" si="841"/>
        <v>0.3132419769449199</v>
      </c>
      <c r="U561" s="261">
        <f>VLOOKUP($B561,update_Allocation!$D$8:$Q$235,update_Allocation!K$239,0)</f>
        <v>36406.469306663901</v>
      </c>
      <c r="V561" s="262">
        <f>VLOOKUP($B561,update_Allocation!$D$8:$Q$235,update_Allocation!L$239,0)</f>
        <v>9244.148768042076</v>
      </c>
      <c r="W561" s="262">
        <f>VLOOKUP($B561,update_Allocation!$D$8:$Q$235,update_Allocation!M$239,0)</f>
        <v>16306.666924322128</v>
      </c>
      <c r="X561" s="262">
        <f>VLOOKUP($B561,update_Allocation!$D$8:$Q$235,update_Allocation!N$239,0)</f>
        <v>14857.805604779345</v>
      </c>
      <c r="Y561" s="263">
        <f>VLOOKUP($B561,update_Allocation!$D$8:$Q$235,update_Allocation!O$239,0)</f>
        <v>76815.090603807446</v>
      </c>
      <c r="Z561" s="262">
        <f t="shared" si="842"/>
        <v>33558.275405807195</v>
      </c>
      <c r="AA561" s="262">
        <f t="shared" si="843"/>
        <v>8520.9496047842931</v>
      </c>
      <c r="AB561" s="262">
        <f t="shared" si="844"/>
        <v>15030.944500212885</v>
      </c>
      <c r="AC561" s="263">
        <f t="shared" si="845"/>
        <v>13695.432210446896</v>
      </c>
      <c r="AD561" s="262">
        <f t="shared" si="846"/>
        <v>33558.275405807195</v>
      </c>
      <c r="AE561" s="262">
        <f t="shared" si="847"/>
        <v>8520.9496047842931</v>
      </c>
      <c r="AF561" s="262">
        <f t="shared" si="848"/>
        <v>15030.944500212885</v>
      </c>
      <c r="AG561" s="263">
        <f t="shared" si="849"/>
        <v>13695.432210446896</v>
      </c>
      <c r="AH561" s="262">
        <f t="shared" si="850"/>
        <v>33558.275405807195</v>
      </c>
      <c r="AI561" s="262">
        <f t="shared" si="850"/>
        <v>8520.9496047842931</v>
      </c>
      <c r="AJ561" s="262">
        <f t="shared" si="850"/>
        <v>15030.944500212885</v>
      </c>
      <c r="AK561" s="262">
        <f t="shared" si="850"/>
        <v>13695.432210446896</v>
      </c>
      <c r="AL561" s="263">
        <f t="shared" si="851"/>
        <v>70805.601721251267</v>
      </c>
      <c r="AM561" s="346"/>
      <c r="AN561" s="261">
        <f>IFERROR(VLOOKUP($A561,'HH &amp; SI'!$B$4:$Z$494,'HH &amp; SI'!V$503,0),0)</f>
        <v>34300.423080574961</v>
      </c>
      <c r="AO561" s="262">
        <f>IFERROR(VLOOKUP($A561,'HH &amp; SI'!$B$4:$Z$494,'HH &amp; SI'!W$503,0),0)</f>
        <v>8709.3920339476736</v>
      </c>
      <c r="AP561" s="262">
        <f>IFERROR(VLOOKUP($A561,'HH &amp; SI'!$B$4:$Z$494,'HH &amp; SI'!X$503,0),0)</f>
        <v>15363.356710777973</v>
      </c>
      <c r="AQ561" s="262">
        <f>IFERROR(VLOOKUP($A561,'HH &amp; SI'!$B$4:$Z$494,'HH &amp; SI'!Y$503,0),0)</f>
        <v>13998.309311460371</v>
      </c>
      <c r="AR561" s="263">
        <f t="shared" si="852"/>
        <v>72371.48113676098</v>
      </c>
      <c r="AS561" s="346"/>
      <c r="AT561" s="323">
        <f>IFERROR(VLOOKUP(A561,'Afton FY16 Final'!$A$5:$BV$572,'Afton FY16 Final'!$BV$587,0),0)</f>
        <v>74680.512300172122</v>
      </c>
      <c r="AU561" s="346"/>
      <c r="AV561" s="444">
        <v>0</v>
      </c>
      <c r="AW561" s="262">
        <f>IFERROR(VLOOKUP($A561,'HH &amp; SI'!$B$4:$EY$503,'HH &amp; SI'!EX$503,0),0)</f>
        <v>0</v>
      </c>
      <c r="AX561" s="262">
        <f>IFERROR(VLOOKUP($A561,'HH &amp; SI'!$B$4:$EY$503,'HH &amp; SI'!EY$503,0),0)</f>
        <v>72371.48113676098</v>
      </c>
      <c r="AY561" s="262">
        <f>AX561/$AX$582*'update_State Admin 1004(b)'!$B$30*0.01</f>
        <v>692.64706387180206</v>
      </c>
      <c r="AZ561" s="263">
        <f t="shared" si="853"/>
        <v>71678.834072889178</v>
      </c>
      <c r="BA561" s="261">
        <f t="shared" si="854"/>
        <v>716.78834072889174</v>
      </c>
      <c r="BB561" s="262">
        <f t="shared" si="855"/>
        <v>70962.045732160288</v>
      </c>
      <c r="BC561" s="341">
        <f t="shared" si="807"/>
        <v>0.95020834146040978</v>
      </c>
      <c r="BD561" s="346"/>
      <c r="BE561" s="376" t="str">
        <f>'Original Title I &amp; II'!AZ558</f>
        <v/>
      </c>
      <c r="BF561" s="243" t="str">
        <f t="shared" si="856"/>
        <v/>
      </c>
      <c r="BG561" s="263">
        <f t="shared" si="836"/>
        <v>70962.045732160288</v>
      </c>
      <c r="BI561" s="31">
        <f>IFERROR(VLOOKUP(A561,'Title II Hold Harmless'!A$1:B$439,2, FALSE),"")</f>
        <v>6510</v>
      </c>
      <c r="BJ561" s="31">
        <f t="shared" si="857"/>
        <v>7303.6100957598446</v>
      </c>
      <c r="BK561" s="31">
        <f t="shared" si="858"/>
        <v>7310.6755487098935</v>
      </c>
      <c r="BL561" s="31" t="str">
        <f t="shared" si="859"/>
        <v/>
      </c>
      <c r="BM561" s="31">
        <f t="shared" si="860"/>
        <v>7310.6755487098935</v>
      </c>
      <c r="BN561" s="200"/>
      <c r="BP561" s="295" t="s">
        <v>1447</v>
      </c>
      <c r="BQ561" s="296" t="str">
        <f t="shared" si="808"/>
        <v>Y</v>
      </c>
      <c r="BR561" s="297" t="s">
        <v>1448</v>
      </c>
      <c r="BT561" s="295" t="str">
        <f t="shared" si="809"/>
        <v>Y</v>
      </c>
      <c r="BU561" s="296" t="str">
        <f t="shared" si="861"/>
        <v>Y</v>
      </c>
      <c r="BV561" s="296" t="str">
        <f t="shared" si="862"/>
        <v>Y</v>
      </c>
      <c r="BW561" s="297" t="str">
        <f t="shared" si="810"/>
        <v>Y</v>
      </c>
      <c r="BY561" s="352">
        <f t="shared" si="811"/>
        <v>0</v>
      </c>
      <c r="BZ561" s="353">
        <f t="shared" si="812"/>
        <v>0</v>
      </c>
      <c r="CA561" s="353">
        <f t="shared" si="813"/>
        <v>0.95</v>
      </c>
      <c r="CB561" s="354">
        <f t="shared" si="814"/>
        <v>0.95</v>
      </c>
      <c r="CD561" s="311">
        <f t="shared" si="815"/>
        <v>553</v>
      </c>
    </row>
    <row r="562" spans="1:82" outlineLevel="1" x14ac:dyDescent="0.3">
      <c r="A562" s="1">
        <v>140424000</v>
      </c>
      <c r="B562" s="47">
        <f>VLOOKUP(C562,'NCES ID'!$A$2:$B$3136,2,FALSE)</f>
        <v>409090</v>
      </c>
      <c r="C562" s="47">
        <f>VLOOKUP(A562,'State ID'!$A$2:$B$713,2,FALSE)</f>
        <v>4504</v>
      </c>
      <c r="D562" s="147" t="s">
        <v>434</v>
      </c>
      <c r="E562" s="47" t="s">
        <v>38</v>
      </c>
      <c r="F562" s="382">
        <f>IFERROR(VLOOKUP($B562,'update_Formula counts'!$D$7:$R$234,'update_Formula counts'!F$5,0),0)</f>
        <v>104</v>
      </c>
      <c r="G562" s="382">
        <f>IFERROR(VLOOKUP($B562,'update_Formula counts'!$D$7:$R$234,'update_Formula counts'!G$5,0),0)</f>
        <v>0</v>
      </c>
      <c r="H562" s="382">
        <f>IFERROR(VLOOKUP($B562,'update_Formula counts'!$D$7:$R$234,'update_Formula counts'!H$5,0),0)</f>
        <v>0</v>
      </c>
      <c r="I562" s="382">
        <f>IFERROR(VLOOKUP($B562,'update_Formula counts'!$D$7:$R$234,'update_Formula counts'!I$5,0),0)</f>
        <v>2</v>
      </c>
      <c r="J562" s="382">
        <f>IFERROR(VLOOKUP($B562,'update_Formula counts'!$D$7:$R$234,'update_Formula counts'!J$5,0),0)</f>
        <v>0</v>
      </c>
      <c r="K562" s="382">
        <f t="shared" si="837"/>
        <v>104</v>
      </c>
      <c r="L562" s="444">
        <f>IFERROR(VLOOKUP($B562,'update_Formula counts'!$D$7:$R$234,'update_Formula counts'!L$5,0),0)</f>
        <v>353</v>
      </c>
      <c r="M562" s="445">
        <f>IFERROR(VLOOKUP($B562,'update_Formula counts'!$D$7:$R$234,'update_Formula counts'!K$5,0),0)</f>
        <v>106</v>
      </c>
      <c r="N562" s="446">
        <f>IFERROR(VLOOKUP($B562,'update_Formula counts'!$D$7:$R$234,'update_Formula counts'!M$5,0),0)</f>
        <v>0.3002832861189802</v>
      </c>
      <c r="O562" s="137">
        <f>VLOOKUP($C562,'Final SEA Counts'!$A$2:$F$709,5,FALSE)</f>
        <v>230</v>
      </c>
      <c r="P562" s="208">
        <f>VLOOKUP($C562,'Final SEA Counts'!$A$2:$F$709,6,FALSE)</f>
        <v>198</v>
      </c>
      <c r="Q562" s="748">
        <f t="shared" si="838"/>
        <v>-8.32570228265884</v>
      </c>
      <c r="R562" s="444">
        <f t="shared" si="839"/>
        <v>328.21372205634668</v>
      </c>
      <c r="S562" s="445">
        <f t="shared" si="840"/>
        <v>97.674297717341162</v>
      </c>
      <c r="T562" s="229">
        <f t="shared" si="841"/>
        <v>0.29759358355094229</v>
      </c>
      <c r="U562" s="261">
        <f>VLOOKUP($B562,update_Allocation!$D$8:$Q$235,update_Allocation!K$239,0)</f>
        <v>51835.995953486861</v>
      </c>
      <c r="V562" s="262">
        <f>VLOOKUP($B562,update_Allocation!$D$8:$Q$235,update_Allocation!L$239,0)</f>
        <v>13161.93707490196</v>
      </c>
      <c r="W562" s="262">
        <f>VLOOKUP($B562,update_Allocation!$D$8:$Q$235,update_Allocation!M$239,0)</f>
        <v>23578.99453916826</v>
      </c>
      <c r="X562" s="262">
        <f>VLOOKUP($B562,update_Allocation!$D$8:$Q$235,update_Allocation!N$239,0)</f>
        <v>21197.574151137997</v>
      </c>
      <c r="Y562" s="263">
        <f>VLOOKUP($B562,update_Allocation!$D$8:$Q$235,update_Allocation!O$239,0)</f>
        <v>109774.50171869507</v>
      </c>
      <c r="Z562" s="262">
        <f t="shared" si="842"/>
        <v>47780.70110256513</v>
      </c>
      <c r="AA562" s="262">
        <f t="shared" si="843"/>
        <v>12132.236870127264</v>
      </c>
      <c r="AB562" s="262">
        <f t="shared" si="844"/>
        <v>21734.334792871468</v>
      </c>
      <c r="AC562" s="263">
        <f t="shared" si="845"/>
        <v>19539.22049696539</v>
      </c>
      <c r="AD562" s="262">
        <f t="shared" si="846"/>
        <v>47780.70110256513</v>
      </c>
      <c r="AE562" s="262">
        <f t="shared" si="847"/>
        <v>12132.236870127264</v>
      </c>
      <c r="AF562" s="262">
        <f t="shared" si="848"/>
        <v>21734.334792871468</v>
      </c>
      <c r="AG562" s="263">
        <f t="shared" si="849"/>
        <v>19539.22049696539</v>
      </c>
      <c r="AH562" s="262">
        <f t="shared" si="850"/>
        <v>47780.70110256513</v>
      </c>
      <c r="AI562" s="262">
        <f t="shared" si="850"/>
        <v>12132.236870127264</v>
      </c>
      <c r="AJ562" s="262">
        <f t="shared" si="850"/>
        <v>21734.334792871468</v>
      </c>
      <c r="AK562" s="262">
        <f t="shared" si="850"/>
        <v>19539.22049696539</v>
      </c>
      <c r="AL562" s="263">
        <f t="shared" si="851"/>
        <v>101186.49326252926</v>
      </c>
      <c r="AM562" s="346"/>
      <c r="AN562" s="261">
        <f>IFERROR(VLOOKUP($A562,'HH &amp; SI'!$B$4:$Z$494,'HH &amp; SI'!V$503,0),0)</f>
        <v>47128.941326809239</v>
      </c>
      <c r="AO562" s="262">
        <f>IFERROR(VLOOKUP($A562,'HH &amp; SI'!$B$4:$Z$494,'HH &amp; SI'!W$503,0),0)</f>
        <v>11747.883417544315</v>
      </c>
      <c r="AP562" s="262">
        <f>IFERROR(VLOOKUP($A562,'HH &amp; SI'!$B$4:$Z$494,'HH &amp; SI'!X$503,0),0)</f>
        <v>21536.669503780467</v>
      </c>
      <c r="AQ562" s="262">
        <f>IFERROR(VLOOKUP($A562,'HH &amp; SI'!$B$4:$Z$494,'HH &amp; SI'!Y$503,0),0)</f>
        <v>19323.933459482385</v>
      </c>
      <c r="AR562" s="263">
        <f t="shared" si="852"/>
        <v>99737.427707616414</v>
      </c>
      <c r="AS562" s="346"/>
      <c r="AT562" s="323">
        <f>IFERROR(VLOOKUP(A562,'Afton FY16 Final'!$A$5:$BV$572,'Afton FY16 Final'!$BV$587,0),0)</f>
        <v>106401.28900915378</v>
      </c>
      <c r="AU562" s="346"/>
      <c r="AV562" s="444">
        <v>0</v>
      </c>
      <c r="AW562" s="262">
        <f>IFERROR(VLOOKUP($A562,'HH &amp; SI'!$B$4:$EY$503,'HH &amp; SI'!EX$503,0),0)</f>
        <v>0</v>
      </c>
      <c r="AX562" s="262">
        <f>IFERROR(VLOOKUP($A562,'HH &amp; SI'!$B$4:$EY$503,'HH &amp; SI'!EY$503,0),0)</f>
        <v>99737.427707616414</v>
      </c>
      <c r="AY562" s="262">
        <f>AX562/$AX$582*'update_State Admin 1004(b)'!$B$30*0.01</f>
        <v>954.55883138912452</v>
      </c>
      <c r="AZ562" s="263">
        <f t="shared" si="853"/>
        <v>98782.868876227294</v>
      </c>
      <c r="BA562" s="261">
        <f t="shared" si="854"/>
        <v>987.82868876227292</v>
      </c>
      <c r="BB562" s="262">
        <f t="shared" si="855"/>
        <v>97795.040187465027</v>
      </c>
      <c r="BC562" s="341">
        <f t="shared" si="807"/>
        <v>0.91911518270283021</v>
      </c>
      <c r="BD562" s="346"/>
      <c r="BE562" s="376" t="str">
        <f>'Original Title I &amp; II'!AZ559</f>
        <v/>
      </c>
      <c r="BF562" s="243" t="str">
        <f t="shared" si="856"/>
        <v/>
      </c>
      <c r="BG562" s="263">
        <f t="shared" si="836"/>
        <v>97795.040187465027</v>
      </c>
      <c r="BI562" s="31">
        <f>IFERROR(VLOOKUP(A562,'Title II Hold Harmless'!A$1:B$439,2, FALSE),"")</f>
        <v>16068</v>
      </c>
      <c r="BJ562" s="31">
        <f t="shared" si="857"/>
        <v>17610.790027437211</v>
      </c>
      <c r="BK562" s="31">
        <f t="shared" si="858"/>
        <v>17627.826562345377</v>
      </c>
      <c r="BL562" s="31" t="str">
        <f t="shared" si="859"/>
        <v/>
      </c>
      <c r="BM562" s="31">
        <f t="shared" si="860"/>
        <v>17627.826562345377</v>
      </c>
      <c r="BN562" s="200"/>
      <c r="BP562" s="295" t="s">
        <v>1447</v>
      </c>
      <c r="BQ562" s="296" t="str">
        <f t="shared" si="808"/>
        <v>Y</v>
      </c>
      <c r="BR562" s="297" t="s">
        <v>1448</v>
      </c>
      <c r="BT562" s="295" t="str">
        <f t="shared" si="809"/>
        <v>Y</v>
      </c>
      <c r="BU562" s="296" t="str">
        <f t="shared" si="861"/>
        <v>Y</v>
      </c>
      <c r="BV562" s="296" t="str">
        <f t="shared" si="862"/>
        <v>Y</v>
      </c>
      <c r="BW562" s="297" t="str">
        <f t="shared" si="810"/>
        <v>Y</v>
      </c>
      <c r="BY562" s="352">
        <f t="shared" si="811"/>
        <v>0</v>
      </c>
      <c r="BZ562" s="353">
        <f t="shared" si="812"/>
        <v>0.9</v>
      </c>
      <c r="CA562" s="353">
        <f t="shared" si="813"/>
        <v>0</v>
      </c>
      <c r="CB562" s="354">
        <f t="shared" si="814"/>
        <v>0.9</v>
      </c>
      <c r="CD562" s="311">
        <f t="shared" si="815"/>
        <v>554</v>
      </c>
    </row>
    <row r="563" spans="1:82" outlineLevel="1" x14ac:dyDescent="0.3">
      <c r="A563" s="1">
        <v>140550000</v>
      </c>
      <c r="B563" s="47">
        <f>VLOOKUP(C563,'NCES ID'!$A$2:$B$3136,2,FALSE)</f>
        <v>400720</v>
      </c>
      <c r="C563" s="47">
        <f>VLOOKUP(A563,'State ID'!$A$2:$B$713,2,FALSE)</f>
        <v>4506</v>
      </c>
      <c r="D563" s="147" t="s">
        <v>37</v>
      </c>
      <c r="E563" s="47" t="s">
        <v>38</v>
      </c>
      <c r="F563" s="382">
        <f>IFERROR(VLOOKUP($B563,'update_Formula counts'!$D$7:$R$234,'update_Formula counts'!F$5,0),0)</f>
        <v>93</v>
      </c>
      <c r="G563" s="382">
        <f>IFERROR(VLOOKUP($B563,'update_Formula counts'!$D$7:$R$234,'update_Formula counts'!G$5,0),0)</f>
        <v>0</v>
      </c>
      <c r="H563" s="382">
        <f>IFERROR(VLOOKUP($B563,'update_Formula counts'!$D$7:$R$234,'update_Formula counts'!H$5,0),0)</f>
        <v>0</v>
      </c>
      <c r="I563" s="382">
        <f>IFERROR(VLOOKUP($B563,'update_Formula counts'!$D$7:$R$234,'update_Formula counts'!I$5,0),0)</f>
        <v>2</v>
      </c>
      <c r="J563" s="382">
        <f>IFERROR(VLOOKUP($B563,'update_Formula counts'!$D$7:$R$234,'update_Formula counts'!J$5,0),0)</f>
        <v>0</v>
      </c>
      <c r="K563" s="382">
        <f t="shared" si="837"/>
        <v>93</v>
      </c>
      <c r="L563" s="444">
        <f>IFERROR(VLOOKUP($B563,'update_Formula counts'!$D$7:$R$234,'update_Formula counts'!L$5,0),0)</f>
        <v>354</v>
      </c>
      <c r="M563" s="445">
        <f>IFERROR(VLOOKUP($B563,'update_Formula counts'!$D$7:$R$234,'update_Formula counts'!K$5,0),0)</f>
        <v>95</v>
      </c>
      <c r="N563" s="446">
        <f>IFERROR(VLOOKUP($B563,'update_Formula counts'!$D$7:$R$234,'update_Formula counts'!M$5,0),0)</f>
        <v>0.26836158192090398</v>
      </c>
      <c r="O563" s="137">
        <f>VLOOKUP($C563,'Final SEA Counts'!$A$2:$F$709,5,FALSE)</f>
        <v>147</v>
      </c>
      <c r="P563" s="208">
        <f>VLOOKUP($C563,'Final SEA Counts'!$A$2:$F$709,6,FALSE)</f>
        <v>125</v>
      </c>
      <c r="Q563" s="748">
        <f t="shared" si="838"/>
        <v>-7.4450991566083857</v>
      </c>
      <c r="R563" s="444">
        <f t="shared" si="839"/>
        <v>329.14350597152043</v>
      </c>
      <c r="S563" s="445">
        <f t="shared" si="840"/>
        <v>87.554900843391607</v>
      </c>
      <c r="T563" s="229">
        <f t="shared" si="841"/>
        <v>0.26600828895274453</v>
      </c>
      <c r="U563" s="261">
        <f>VLOOKUP($B563,update_Allocation!$D$8:$Q$235,update_Allocation!K$239,0)</f>
        <v>44924.554152985169</v>
      </c>
      <c r="V563" s="262">
        <f>VLOOKUP($B563,update_Allocation!$D$8:$Q$235,update_Allocation!L$239,0)</f>
        <v>10701.439690378675</v>
      </c>
      <c r="W563" s="262">
        <f>VLOOKUP($B563,update_Allocation!$D$8:$Q$235,update_Allocation!M$239,0)</f>
        <v>19613.951005276511</v>
      </c>
      <c r="X563" s="262">
        <f>VLOOKUP($B563,update_Allocation!$D$8:$Q$235,update_Allocation!N$239,0)</f>
        <v>15502.410841588966</v>
      </c>
      <c r="Y563" s="263">
        <f>VLOOKUP($B563,update_Allocation!$D$8:$Q$235,update_Allocation!O$239,0)</f>
        <v>90742.35569022932</v>
      </c>
      <c r="Z563" s="262">
        <f t="shared" si="842"/>
        <v>41409.963379036701</v>
      </c>
      <c r="AA563" s="262">
        <f t="shared" si="843"/>
        <v>9864.2320227034324</v>
      </c>
      <c r="AB563" s="262">
        <f t="shared" si="844"/>
        <v>18079.489227223639</v>
      </c>
      <c r="AC563" s="263">
        <f t="shared" si="845"/>
        <v>14289.607929126742</v>
      </c>
      <c r="AD563" s="262">
        <f t="shared" si="846"/>
        <v>41409.963379036701</v>
      </c>
      <c r="AE563" s="262">
        <f t="shared" si="847"/>
        <v>9864.2320227034324</v>
      </c>
      <c r="AF563" s="262">
        <f t="shared" si="848"/>
        <v>18079.489227223639</v>
      </c>
      <c r="AG563" s="263">
        <f t="shared" si="849"/>
        <v>14289.607929126742</v>
      </c>
      <c r="AH563" s="262">
        <f t="shared" si="850"/>
        <v>41409.963379036701</v>
      </c>
      <c r="AI563" s="262">
        <f t="shared" si="850"/>
        <v>9864.2320227034324</v>
      </c>
      <c r="AJ563" s="262">
        <f t="shared" si="850"/>
        <v>18079.489227223639</v>
      </c>
      <c r="AK563" s="262">
        <f t="shared" si="850"/>
        <v>14289.607929126742</v>
      </c>
      <c r="AL563" s="263">
        <f t="shared" si="851"/>
        <v>83643.292558090499</v>
      </c>
      <c r="AM563" s="346"/>
      <c r="AN563" s="261">
        <f>IFERROR(VLOOKUP($A563,'HH &amp; SI'!$B$4:$Z$494,'HH &amp; SI'!V$503,0),0)</f>
        <v>40845.104600844104</v>
      </c>
      <c r="AO563" s="262">
        <f>IFERROR(VLOOKUP($A563,'HH &amp; SI'!$B$4:$Z$494,'HH &amp; SI'!W$503,0),0)</f>
        <v>9539.3402844475277</v>
      </c>
      <c r="AP563" s="262">
        <f>IFERROR(VLOOKUP($A563,'HH &amp; SI'!$B$4:$Z$494,'HH &amp; SI'!X$503,0),0)</f>
        <v>17915.06333157171</v>
      </c>
      <c r="AQ563" s="262">
        <f>IFERROR(VLOOKUP($A563,'HH &amp; SI'!$B$4:$Z$494,'HH &amp; SI'!Y$503,0),0)</f>
        <v>14496.958136189713</v>
      </c>
      <c r="AR563" s="263">
        <f t="shared" si="852"/>
        <v>82796.466353053052</v>
      </c>
      <c r="AS563" s="346"/>
      <c r="AT563" s="323">
        <f>IFERROR(VLOOKUP(A563,'Afton FY16 Final'!$A$5:$BV$572,'Afton FY16 Final'!$BV$587,0),0)</f>
        <v>82174.070634677279</v>
      </c>
      <c r="AU563" s="346"/>
      <c r="AV563" s="444">
        <v>0</v>
      </c>
      <c r="AW563" s="262">
        <f>IFERROR(VLOOKUP($A563,'HH &amp; SI'!$B$4:$EY$503,'HH &amp; SI'!EX$503,0),0)</f>
        <v>622.39571837577387</v>
      </c>
      <c r="AX563" s="262">
        <f>IFERROR(VLOOKUP($A563,'HH &amp; SI'!$B$4:$EY$503,'HH &amp; SI'!EY$503,0),0)</f>
        <v>82174.070634677279</v>
      </c>
      <c r="AY563" s="262">
        <f>AX563/$AX$582*'update_State Admin 1004(b)'!$B$30*0.01</f>
        <v>786.46488723846312</v>
      </c>
      <c r="AZ563" s="263">
        <f t="shared" si="853"/>
        <v>81387.605747438822</v>
      </c>
      <c r="BA563" s="261">
        <f t="shared" si="854"/>
        <v>813.87605747438829</v>
      </c>
      <c r="BB563" s="262">
        <f t="shared" si="855"/>
        <v>80573.729689964428</v>
      </c>
      <c r="BC563" s="341">
        <f t="shared" si="807"/>
        <v>0.98052498881517614</v>
      </c>
      <c r="BD563" s="346"/>
      <c r="BE563" s="376" t="str">
        <f>'Original Title I &amp; II'!AZ560</f>
        <v/>
      </c>
      <c r="BF563" s="243" t="str">
        <f t="shared" si="856"/>
        <v/>
      </c>
      <c r="BG563" s="263">
        <f t="shared" si="836"/>
        <v>80573.729689964428</v>
      </c>
      <c r="BI563" s="31">
        <f>IFERROR(VLOOKUP(A563,'Title II Hold Harmless'!A$1:B$439,2, FALSE),"")</f>
        <v>13651</v>
      </c>
      <c r="BJ563" s="31">
        <f t="shared" si="857"/>
        <v>15062.066381181014</v>
      </c>
      <c r="BK563" s="31">
        <f t="shared" si="858"/>
        <v>15076.637301582217</v>
      </c>
      <c r="BL563" s="31" t="str">
        <f t="shared" si="859"/>
        <v/>
      </c>
      <c r="BM563" s="31">
        <f t="shared" si="860"/>
        <v>15076.637301582217</v>
      </c>
      <c r="BN563" s="200"/>
      <c r="BP563" s="295" t="s">
        <v>1447</v>
      </c>
      <c r="BQ563" s="296" t="str">
        <f t="shared" si="808"/>
        <v>Y</v>
      </c>
      <c r="BR563" s="297" t="s">
        <v>1448</v>
      </c>
      <c r="BT563" s="295" t="str">
        <f t="shared" si="809"/>
        <v>Y</v>
      </c>
      <c r="BU563" s="296" t="str">
        <f t="shared" si="861"/>
        <v>Y</v>
      </c>
      <c r="BV563" s="296" t="str">
        <f t="shared" si="862"/>
        <v>Y</v>
      </c>
      <c r="BW563" s="297" t="str">
        <f t="shared" si="810"/>
        <v>Y</v>
      </c>
      <c r="BY563" s="352">
        <f t="shared" si="811"/>
        <v>0</v>
      </c>
      <c r="BZ563" s="353">
        <f t="shared" si="812"/>
        <v>0.9</v>
      </c>
      <c r="CA563" s="353">
        <f t="shared" si="813"/>
        <v>0</v>
      </c>
      <c r="CB563" s="354">
        <f t="shared" si="814"/>
        <v>0.9</v>
      </c>
      <c r="CD563" s="311">
        <f t="shared" si="815"/>
        <v>555</v>
      </c>
    </row>
    <row r="564" spans="1:82" outlineLevel="1" x14ac:dyDescent="0.3">
      <c r="A564" s="1">
        <v>140411000</v>
      </c>
      <c r="B564" s="47">
        <f>VLOOKUP(C564,'NCES ID'!$A$2:$B$3136,2,FALSE)</f>
        <v>407890</v>
      </c>
      <c r="C564" s="47">
        <f>VLOOKUP(A564,'State ID'!$A$2:$B$713,2,FALSE)</f>
        <v>4500</v>
      </c>
      <c r="D564" s="147" t="s">
        <v>390</v>
      </c>
      <c r="E564" s="47" t="s">
        <v>38</v>
      </c>
      <c r="F564" s="382">
        <f>IFERROR(VLOOKUP($B564,'update_Formula counts'!$D$7:$R$234,'update_Formula counts'!F$5,0),0)</f>
        <v>1128</v>
      </c>
      <c r="G564" s="382">
        <f>IFERROR(VLOOKUP($B564,'update_Formula counts'!$D$7:$R$234,'update_Formula counts'!G$5,0),0)</f>
        <v>0</v>
      </c>
      <c r="H564" s="382">
        <f>IFERROR(VLOOKUP($B564,'update_Formula counts'!$D$7:$R$234,'update_Formula counts'!H$5,0),0)</f>
        <v>0</v>
      </c>
      <c r="I564" s="382">
        <f>IFERROR(VLOOKUP($B564,'update_Formula counts'!$D$7:$R$234,'update_Formula counts'!I$5,0),0)</f>
        <v>21</v>
      </c>
      <c r="J564" s="382">
        <f>IFERROR(VLOOKUP($B564,'update_Formula counts'!$D$7:$R$234,'update_Formula counts'!J$5,0),0)</f>
        <v>0</v>
      </c>
      <c r="K564" s="382">
        <f t="shared" si="837"/>
        <v>1128</v>
      </c>
      <c r="L564" s="444">
        <f>IFERROR(VLOOKUP($B564,'update_Formula counts'!$D$7:$R$234,'update_Formula counts'!L$5,0),0)</f>
        <v>3203</v>
      </c>
      <c r="M564" s="445">
        <f>IFERROR(VLOOKUP($B564,'update_Formula counts'!$D$7:$R$234,'update_Formula counts'!K$5,0),0)</f>
        <v>1149</v>
      </c>
      <c r="N564" s="446">
        <f>IFERROR(VLOOKUP($B564,'update_Formula counts'!$D$7:$R$234,'update_Formula counts'!M$5,0),0)</f>
        <v>0.3587261941929441</v>
      </c>
      <c r="O564" s="137">
        <f>VLOOKUP($C564,'Final SEA Counts'!$A$2:$F$709,5,FALSE)</f>
        <v>2907</v>
      </c>
      <c r="P564" s="208">
        <f>VLOOKUP($C564,'Final SEA Counts'!$A$2:$F$709,6,FALSE)</f>
        <v>2508</v>
      </c>
      <c r="Q564" s="748">
        <f t="shared" si="838"/>
        <v>-90.301847834992031</v>
      </c>
      <c r="R564" s="444">
        <f t="shared" si="839"/>
        <v>2978.0978803016383</v>
      </c>
      <c r="S564" s="445">
        <f t="shared" si="840"/>
        <v>1058.698152165008</v>
      </c>
      <c r="T564" s="229">
        <f t="shared" si="841"/>
        <v>0.35549474688782801</v>
      </c>
      <c r="U564" s="261">
        <f>VLOOKUP($B564,update_Allocation!$D$8:$Q$235,update_Allocation!K$239,0)</f>
        <v>543350.6602292629</v>
      </c>
      <c r="V564" s="262">
        <f>VLOOKUP($B564,update_Allocation!$D$8:$Q$235,update_Allocation!L$239,0)</f>
        <v>129431.09688679052</v>
      </c>
      <c r="W564" s="262">
        <f>VLOOKUP($B564,update_Allocation!$D$8:$Q$235,update_Allocation!M$239,0)</f>
        <v>300321.46981026838</v>
      </c>
      <c r="X564" s="262">
        <f>VLOOKUP($B564,update_Allocation!$D$8:$Q$235,update_Allocation!N$239,0)</f>
        <v>297498.78979873087</v>
      </c>
      <c r="Y564" s="263">
        <f>VLOOKUP($B564,update_Allocation!$D$8:$Q$235,update_Allocation!O$239,0)</f>
        <v>1270602.0167250526</v>
      </c>
      <c r="Z564" s="262">
        <f t="shared" si="842"/>
        <v>500842.60971066507</v>
      </c>
      <c r="AA564" s="262">
        <f t="shared" si="843"/>
        <v>119305.29046406574</v>
      </c>
      <c r="AB564" s="262">
        <f t="shared" si="844"/>
        <v>276826.36592076928</v>
      </c>
      <c r="AC564" s="263">
        <f t="shared" si="845"/>
        <v>274224.51314532582</v>
      </c>
      <c r="AD564" s="262">
        <f t="shared" si="846"/>
        <v>500842.60971066507</v>
      </c>
      <c r="AE564" s="262">
        <f t="shared" si="847"/>
        <v>119305.29046406574</v>
      </c>
      <c r="AF564" s="262">
        <f t="shared" si="848"/>
        <v>276826.36592076928</v>
      </c>
      <c r="AG564" s="263">
        <f t="shared" si="849"/>
        <v>274224.51314532582</v>
      </c>
      <c r="AH564" s="262">
        <f t="shared" si="850"/>
        <v>500842.60971066507</v>
      </c>
      <c r="AI564" s="262">
        <f t="shared" si="850"/>
        <v>119305.29046406574</v>
      </c>
      <c r="AJ564" s="262">
        <f t="shared" si="850"/>
        <v>276826.36592076928</v>
      </c>
      <c r="AK564" s="262">
        <f t="shared" si="850"/>
        <v>274224.51314532582</v>
      </c>
      <c r="AL564" s="263">
        <f t="shared" si="851"/>
        <v>1171198.7792408259</v>
      </c>
      <c r="AM564" s="346"/>
      <c r="AN564" s="261">
        <f>IFERROR(VLOOKUP($A564,'HH &amp; SI'!$B$4:$Z$494,'HH &amp; SI'!V$503,0),0)</f>
        <v>494010.79143547243</v>
      </c>
      <c r="AO564" s="262">
        <f>IFERROR(VLOOKUP($A564,'HH &amp; SI'!$B$4:$Z$494,'HH &amp; SI'!W$503,0),0)</f>
        <v>116665.03209208953</v>
      </c>
      <c r="AP564" s="262">
        <f>IFERROR(VLOOKUP($A564,'HH &amp; SI'!$B$4:$Z$494,'HH &amp; SI'!X$503,0),0)</f>
        <v>274308.73820548778</v>
      </c>
      <c r="AQ564" s="262">
        <f>IFERROR(VLOOKUP($A564,'HH &amp; SI'!$B$4:$Z$494,'HH &amp; SI'!Y$503,0),0)</f>
        <v>280289.0406674972</v>
      </c>
      <c r="AR564" s="263">
        <f t="shared" si="852"/>
        <v>1165273.6024005469</v>
      </c>
      <c r="AS564" s="346"/>
      <c r="AT564" s="323">
        <f>IFERROR(VLOOKUP(A564,'Afton FY16 Final'!$A$5:$BV$572,'Afton FY16 Final'!$BV$587,0),0)</f>
        <v>1179241.8213050957</v>
      </c>
      <c r="AU564" s="346"/>
      <c r="AV564" s="444">
        <v>0</v>
      </c>
      <c r="AW564" s="262">
        <f>IFERROR(VLOOKUP($A564,'HH &amp; SI'!$B$4:$EY$503,'HH &amp; SI'!EX$503,0),0)</f>
        <v>0</v>
      </c>
      <c r="AX564" s="262">
        <f>IFERROR(VLOOKUP($A564,'HH &amp; SI'!$B$4:$EY$503,'HH &amp; SI'!EY$503,0),0)</f>
        <v>1165273.6024005469</v>
      </c>
      <c r="AY564" s="262">
        <f>AX564/$AX$582*'update_State Admin 1004(b)'!$B$30*0.01</f>
        <v>11152.505470833585</v>
      </c>
      <c r="AZ564" s="263">
        <f t="shared" si="853"/>
        <v>1154121.0969297134</v>
      </c>
      <c r="BA564" s="261">
        <f t="shared" si="854"/>
        <v>11541.210969297133</v>
      </c>
      <c r="BB564" s="262">
        <f t="shared" si="855"/>
        <v>1142579.8859604162</v>
      </c>
      <c r="BC564" s="341">
        <f t="shared" si="807"/>
        <v>0.96891058756370696</v>
      </c>
      <c r="BD564" s="346"/>
      <c r="BE564" s="376" t="str">
        <f>'Original Title I &amp; II'!AZ561</f>
        <v/>
      </c>
      <c r="BF564" s="243" t="str">
        <f t="shared" si="856"/>
        <v/>
      </c>
      <c r="BG564" s="263">
        <f t="shared" si="836"/>
        <v>1142579.8859604162</v>
      </c>
      <c r="BI564" s="31">
        <f>IFERROR(VLOOKUP(A564,'Title II Hold Harmless'!A$1:B$439,2, FALSE),"")</f>
        <v>121809</v>
      </c>
      <c r="BJ564" s="31">
        <f t="shared" si="857"/>
        <v>138065.07588867826</v>
      </c>
      <c r="BK564" s="31">
        <f t="shared" si="858"/>
        <v>138198.6389191449</v>
      </c>
      <c r="BL564" s="31" t="str">
        <f t="shared" si="859"/>
        <v/>
      </c>
      <c r="BM564" s="31">
        <f t="shared" si="860"/>
        <v>138198.6389191449</v>
      </c>
      <c r="BN564" s="200"/>
      <c r="BP564" s="295" t="s">
        <v>1447</v>
      </c>
      <c r="BQ564" s="296" t="str">
        <f t="shared" si="808"/>
        <v>Y</v>
      </c>
      <c r="BR564" s="297" t="s">
        <v>1448</v>
      </c>
      <c r="BT564" s="295" t="str">
        <f t="shared" si="809"/>
        <v>Y</v>
      </c>
      <c r="BU564" s="296" t="str">
        <f t="shared" si="861"/>
        <v>Y</v>
      </c>
      <c r="BV564" s="296" t="str">
        <f t="shared" si="862"/>
        <v>Y</v>
      </c>
      <c r="BW564" s="297" t="str">
        <f t="shared" si="810"/>
        <v>Y</v>
      </c>
      <c r="BY564" s="352">
        <f t="shared" si="811"/>
        <v>0</v>
      </c>
      <c r="BZ564" s="353">
        <f t="shared" si="812"/>
        <v>0</v>
      </c>
      <c r="CA564" s="353">
        <f t="shared" si="813"/>
        <v>0.95</v>
      </c>
      <c r="CB564" s="354">
        <f t="shared" si="814"/>
        <v>0.95</v>
      </c>
      <c r="CD564" s="311">
        <f t="shared" si="815"/>
        <v>556</v>
      </c>
    </row>
    <row r="565" spans="1:82" outlineLevel="1" x14ac:dyDescent="0.3">
      <c r="A565" s="1">
        <v>140432000</v>
      </c>
      <c r="B565" s="47">
        <f>VLOOKUP(C565,'NCES ID'!$A$2:$B$3136,2,FALSE)</f>
        <v>403240</v>
      </c>
      <c r="C565" s="47">
        <f>VLOOKUP(A565,'State ID'!$A$2:$B$713,2,FALSE)</f>
        <v>4505</v>
      </c>
      <c r="D565" s="147" t="s">
        <v>176</v>
      </c>
      <c r="E565" s="47" t="s">
        <v>38</v>
      </c>
      <c r="F565" s="382">
        <f>IFERROR(VLOOKUP($B565,'update_Formula counts'!$D$7:$R$234,'update_Formula counts'!F$5,0),0)</f>
        <v>1741</v>
      </c>
      <c r="G565" s="382">
        <f>IFERROR(VLOOKUP($B565,'update_Formula counts'!$D$7:$R$234,'update_Formula counts'!G$5,0),0)</f>
        <v>0</v>
      </c>
      <c r="H565" s="382">
        <f>IFERROR(VLOOKUP($B565,'update_Formula counts'!$D$7:$R$234,'update_Formula counts'!H$5,0),0)</f>
        <v>0</v>
      </c>
      <c r="I565" s="382">
        <f>IFERROR(VLOOKUP($B565,'update_Formula counts'!$D$7:$R$234,'update_Formula counts'!I$5,0),0)</f>
        <v>33</v>
      </c>
      <c r="J565" s="382">
        <f>IFERROR(VLOOKUP($B565,'update_Formula counts'!$D$7:$R$234,'update_Formula counts'!J$5,0),0)</f>
        <v>0</v>
      </c>
      <c r="K565" s="382">
        <f t="shared" si="837"/>
        <v>1741</v>
      </c>
      <c r="L565" s="444">
        <f>IFERROR(VLOOKUP($B565,'update_Formula counts'!$D$7:$R$234,'update_Formula counts'!L$5,0),0)</f>
        <v>4355</v>
      </c>
      <c r="M565" s="445">
        <f>IFERROR(VLOOKUP($B565,'update_Formula counts'!$D$7:$R$234,'update_Formula counts'!K$5,0),0)</f>
        <v>1774</v>
      </c>
      <c r="N565" s="446">
        <f>IFERROR(VLOOKUP($B565,'update_Formula counts'!$D$7:$R$234,'update_Formula counts'!M$5,0),0)</f>
        <v>0.40734787600459244</v>
      </c>
      <c r="O565" s="137">
        <f>VLOOKUP($C565,'Final SEA Counts'!$A$2:$F$709,5,FALSE)</f>
        <v>5491</v>
      </c>
      <c r="P565" s="208">
        <f>VLOOKUP($C565,'Final SEA Counts'!$A$2:$F$709,6,FALSE)</f>
        <v>5104</v>
      </c>
      <c r="Q565" s="748">
        <f t="shared" si="838"/>
        <v>-139.3754584048946</v>
      </c>
      <c r="R565" s="444">
        <f t="shared" si="839"/>
        <v>4049.2089505818403</v>
      </c>
      <c r="S565" s="445">
        <f t="shared" si="840"/>
        <v>1634.6245415951055</v>
      </c>
      <c r="T565" s="229">
        <f t="shared" si="841"/>
        <v>0.40368984696633708</v>
      </c>
      <c r="U565" s="261">
        <f>VLOOKUP($B565,update_Allocation!$D$8:$Q$235,update_Allocation!K$239,0)</f>
        <v>838906.9375515338</v>
      </c>
      <c r="V565" s="262">
        <f>VLOOKUP($B565,update_Allocation!$D$8:$Q$235,update_Allocation!L$239,0)</f>
        <v>199835.30537612396</v>
      </c>
      <c r="W565" s="262">
        <f>VLOOKUP($B565,update_Allocation!$D$8:$Q$235,update_Allocation!M$239,0)</f>
        <v>518179.77665106597</v>
      </c>
      <c r="X565" s="262">
        <f>VLOOKUP($B565,update_Allocation!$D$8:$Q$235,update_Allocation!N$239,0)</f>
        <v>524442.05472399737</v>
      </c>
      <c r="Y565" s="263">
        <f>VLOOKUP($B565,update_Allocation!$D$8:$Q$235,update_Allocation!O$239,0)</f>
        <v>2081364.0743027211</v>
      </c>
      <c r="Z565" s="262">
        <f t="shared" si="842"/>
        <v>773276.57930959074</v>
      </c>
      <c r="AA565" s="262">
        <f t="shared" si="843"/>
        <v>184201.55377132521</v>
      </c>
      <c r="AB565" s="262">
        <f t="shared" si="844"/>
        <v>477640.92442200048</v>
      </c>
      <c r="AC565" s="263">
        <f t="shared" si="845"/>
        <v>483413.28456132091</v>
      </c>
      <c r="AD565" s="262">
        <f t="shared" si="846"/>
        <v>773276.57930959074</v>
      </c>
      <c r="AE565" s="262">
        <f t="shared" si="847"/>
        <v>184201.55377132521</v>
      </c>
      <c r="AF565" s="262">
        <f t="shared" si="848"/>
        <v>477640.92442200048</v>
      </c>
      <c r="AG565" s="263">
        <f t="shared" si="849"/>
        <v>483413.28456132091</v>
      </c>
      <c r="AH565" s="262">
        <f t="shared" si="850"/>
        <v>773276.57930959074</v>
      </c>
      <c r="AI565" s="262">
        <f t="shared" si="850"/>
        <v>184201.55377132521</v>
      </c>
      <c r="AJ565" s="262">
        <f t="shared" si="850"/>
        <v>477640.92442200048</v>
      </c>
      <c r="AK565" s="262">
        <f t="shared" si="850"/>
        <v>483413.28456132091</v>
      </c>
      <c r="AL565" s="263">
        <f t="shared" si="851"/>
        <v>1918532.3420642375</v>
      </c>
      <c r="AM565" s="346"/>
      <c r="AN565" s="261">
        <f>IFERROR(VLOOKUP($A565,'HH &amp; SI'!$B$4:$Z$494,'HH &amp; SI'!V$503,0),0)</f>
        <v>762728.58486207842</v>
      </c>
      <c r="AO565" s="262">
        <f>IFERROR(VLOOKUP($A565,'HH &amp; SI'!$B$4:$Z$494,'HH &amp; SI'!W$503,0),0)</f>
        <v>178134.62804852542</v>
      </c>
      <c r="AP565" s="262">
        <f>IFERROR(VLOOKUP($A565,'HH &amp; SI'!$B$4:$Z$494,'HH &amp; SI'!X$503,0),0)</f>
        <v>473296.9667022301</v>
      </c>
      <c r="AQ565" s="262">
        <f>IFERROR(VLOOKUP($A565,'HH &amp; SI'!$B$4:$Z$494,'HH &amp; SI'!Y$503,0),0)</f>
        <v>494104.06174669898</v>
      </c>
      <c r="AR565" s="263">
        <f t="shared" si="852"/>
        <v>1908264.241359533</v>
      </c>
      <c r="AS565" s="346"/>
      <c r="AT565" s="323">
        <f>IFERROR(VLOOKUP(A565,'Afton FY16 Final'!$A$5:$BV$572,'Afton FY16 Final'!$BV$587,0),0)</f>
        <v>1870064.506792621</v>
      </c>
      <c r="AU565" s="346"/>
      <c r="AV565" s="444">
        <v>0</v>
      </c>
      <c r="AW565" s="262">
        <f>IFERROR(VLOOKUP($A565,'HH &amp; SI'!$B$4:$EY$503,'HH &amp; SI'!EX$503,0),0)</f>
        <v>38199.734566912055</v>
      </c>
      <c r="AX565" s="262">
        <f>IFERROR(VLOOKUP($A565,'HH &amp; SI'!$B$4:$EY$503,'HH &amp; SI'!EY$503,0),0)</f>
        <v>1870064.506792621</v>
      </c>
      <c r="AY565" s="262">
        <f>AX565/$AX$582*'update_State Admin 1004(b)'!$B$30*0.01</f>
        <v>17897.860725456892</v>
      </c>
      <c r="AZ565" s="263">
        <f t="shared" si="853"/>
        <v>1852166.6460671641</v>
      </c>
      <c r="BA565" s="261">
        <f t="shared" si="854"/>
        <v>18521.66646067164</v>
      </c>
      <c r="BB565" s="262">
        <f t="shared" si="855"/>
        <v>1833644.9796064924</v>
      </c>
      <c r="BC565" s="341">
        <f t="shared" si="807"/>
        <v>0.98052498881517602</v>
      </c>
      <c r="BD565" s="346"/>
      <c r="BE565" s="376" t="str">
        <f>'Original Title I &amp; II'!AZ562</f>
        <v/>
      </c>
      <c r="BF565" s="243" t="str">
        <f t="shared" si="856"/>
        <v/>
      </c>
      <c r="BG565" s="263">
        <f t="shared" si="836"/>
        <v>1833644.9796064924</v>
      </c>
      <c r="BI565" s="31">
        <f>IFERROR(VLOOKUP(A565,'Title II Hold Harmless'!A$1:B$439,2, FALSE),"")</f>
        <v>206125</v>
      </c>
      <c r="BJ565" s="31">
        <f t="shared" si="857"/>
        <v>230782.49616442452</v>
      </c>
      <c r="BK565" s="31">
        <f t="shared" si="858"/>
        <v>231005.75327248007</v>
      </c>
      <c r="BL565" s="31" t="str">
        <f t="shared" si="859"/>
        <v/>
      </c>
      <c r="BM565" s="31">
        <f t="shared" si="860"/>
        <v>231005.75327248007</v>
      </c>
      <c r="BN565" s="200"/>
      <c r="BP565" s="295" t="s">
        <v>1447</v>
      </c>
      <c r="BQ565" s="296" t="str">
        <f t="shared" si="808"/>
        <v>Y</v>
      </c>
      <c r="BR565" s="297" t="s">
        <v>1448</v>
      </c>
      <c r="BT565" s="295" t="str">
        <f t="shared" si="809"/>
        <v>Y</v>
      </c>
      <c r="BU565" s="296" t="str">
        <f t="shared" si="861"/>
        <v>Y</v>
      </c>
      <c r="BV565" s="296" t="str">
        <f t="shared" si="862"/>
        <v>Y</v>
      </c>
      <c r="BW565" s="297" t="str">
        <f t="shared" si="810"/>
        <v>Y</v>
      </c>
      <c r="BY565" s="352">
        <f t="shared" si="811"/>
        <v>0</v>
      </c>
      <c r="BZ565" s="353">
        <f t="shared" si="812"/>
        <v>0</v>
      </c>
      <c r="CA565" s="353">
        <f t="shared" si="813"/>
        <v>0.95</v>
      </c>
      <c r="CB565" s="354">
        <f t="shared" si="814"/>
        <v>0.95</v>
      </c>
      <c r="CD565" s="311">
        <f t="shared" si="815"/>
        <v>557</v>
      </c>
    </row>
    <row r="566" spans="1:82" outlineLevel="1" x14ac:dyDescent="0.3">
      <c r="A566" s="1">
        <v>140413000</v>
      </c>
      <c r="B566" s="47">
        <f>VLOOKUP(C566,'NCES ID'!$A$2:$B$3136,2,FALSE)</f>
        <v>402400</v>
      </c>
      <c r="C566" s="47">
        <f>VLOOKUP(A566,'State ID'!$A$2:$B$713,2,FALSE)</f>
        <v>4501</v>
      </c>
      <c r="D566" s="147" t="s">
        <v>121</v>
      </c>
      <c r="E566" s="47" t="s">
        <v>38</v>
      </c>
      <c r="F566" s="382">
        <f>IFERROR(VLOOKUP($B566,'update_Formula counts'!$D$7:$R$234,'update_Formula counts'!F$5,0),0)</f>
        <v>1900</v>
      </c>
      <c r="G566" s="382">
        <f>IFERROR(VLOOKUP($B566,'update_Formula counts'!$D$7:$R$234,'update_Formula counts'!G$5,0),0)</f>
        <v>0</v>
      </c>
      <c r="H566" s="382">
        <f>IFERROR(VLOOKUP($B566,'update_Formula counts'!$D$7:$R$234,'update_Formula counts'!H$5,0),0)</f>
        <v>0</v>
      </c>
      <c r="I566" s="382">
        <f>IFERROR(VLOOKUP($B566,'update_Formula counts'!$D$7:$R$234,'update_Formula counts'!I$5,0),0)</f>
        <v>36</v>
      </c>
      <c r="J566" s="382">
        <f>IFERROR(VLOOKUP($B566,'update_Formula counts'!$D$7:$R$234,'update_Formula counts'!J$5,0),0)</f>
        <v>0</v>
      </c>
      <c r="K566" s="382">
        <f t="shared" si="837"/>
        <v>1900</v>
      </c>
      <c r="L566" s="444">
        <f>IFERROR(VLOOKUP($B566,'update_Formula counts'!$D$7:$R$234,'update_Formula counts'!L$5,0),0)</f>
        <v>6588</v>
      </c>
      <c r="M566" s="445">
        <f>IFERROR(VLOOKUP($B566,'update_Formula counts'!$D$7:$R$234,'update_Formula counts'!K$5,0),0)</f>
        <v>1936</v>
      </c>
      <c r="N566" s="446">
        <f>IFERROR(VLOOKUP($B566,'update_Formula counts'!$D$7:$R$234,'update_Formula counts'!M$5,0),0)</f>
        <v>0.29386763812993322</v>
      </c>
      <c r="O566" s="137">
        <f>VLOOKUP($C566,'Final SEA Counts'!$A$2:$F$709,5,FALSE)</f>
        <v>6526</v>
      </c>
      <c r="P566" s="208">
        <f>VLOOKUP($C566,'Final SEA Counts'!$A$2:$F$709,6,FALSE)</f>
        <v>4383</v>
      </c>
      <c r="Q566" s="748">
        <f t="shared" si="838"/>
        <v>-152.10417631780572</v>
      </c>
      <c r="R566" s="444">
        <f t="shared" si="839"/>
        <v>6125.4164331649063</v>
      </c>
      <c r="S566" s="445">
        <f t="shared" si="840"/>
        <v>1783.8958236821943</v>
      </c>
      <c r="T566" s="229">
        <f t="shared" si="841"/>
        <v>0.29122849738405188</v>
      </c>
      <c r="U566" s="261">
        <f>VLOOKUP($B566,update_Allocation!$D$8:$Q$235,update_Allocation!K$239,0)</f>
        <v>915515.12463346636</v>
      </c>
      <c r="V566" s="262">
        <f>VLOOKUP($B566,update_Allocation!$D$8:$Q$235,update_Allocation!L$239,0)</f>
        <v>218084.07621655919</v>
      </c>
      <c r="W566" s="262">
        <f>VLOOKUP($B566,update_Allocation!$D$8:$Q$235,update_Allocation!M$239,0)</f>
        <v>424971.93787079735</v>
      </c>
      <c r="X566" s="262">
        <f>VLOOKUP($B566,update_Allocation!$D$8:$Q$235,update_Allocation!N$239,0)</f>
        <v>344314.73903333728</v>
      </c>
      <c r="Y566" s="263">
        <f>VLOOKUP($B566,update_Allocation!$D$8:$Q$235,update_Allocation!O$239,0)</f>
        <v>1902885.8777541602</v>
      </c>
      <c r="Z566" s="262">
        <f t="shared" si="842"/>
        <v>843891.46422963229</v>
      </c>
      <c r="AA566" s="262">
        <f t="shared" si="843"/>
        <v>201022.66522056685</v>
      </c>
      <c r="AB566" s="262">
        <f t="shared" si="844"/>
        <v>391725.0313585719</v>
      </c>
      <c r="AC566" s="263">
        <f t="shared" si="845"/>
        <v>317377.90175232373</v>
      </c>
      <c r="AD566" s="262">
        <f t="shared" si="846"/>
        <v>843891.46422963229</v>
      </c>
      <c r="AE566" s="262">
        <f t="shared" si="847"/>
        <v>201022.66522056685</v>
      </c>
      <c r="AF566" s="262">
        <f t="shared" si="848"/>
        <v>391725.0313585719</v>
      </c>
      <c r="AG566" s="263">
        <f t="shared" si="849"/>
        <v>317377.90175232373</v>
      </c>
      <c r="AH566" s="262">
        <f t="shared" si="850"/>
        <v>843891.46422963229</v>
      </c>
      <c r="AI566" s="262">
        <f t="shared" si="850"/>
        <v>201022.66522056685</v>
      </c>
      <c r="AJ566" s="262">
        <f t="shared" si="850"/>
        <v>391725.0313585719</v>
      </c>
      <c r="AK566" s="262">
        <f t="shared" si="850"/>
        <v>317377.90175232373</v>
      </c>
      <c r="AL566" s="263">
        <f t="shared" si="851"/>
        <v>1754017.0625610948</v>
      </c>
      <c r="AM566" s="346"/>
      <c r="AN566" s="261">
        <f>IFERROR(VLOOKUP($A566,'HH &amp; SI'!$B$4:$Z$494,'HH &amp; SI'!V$503,0),0)</f>
        <v>832380.23691825452</v>
      </c>
      <c r="AO566" s="262">
        <f>IFERROR(VLOOKUP($A566,'HH &amp; SI'!$B$4:$Z$494,'HH &amp; SI'!W$503,0),0)</f>
        <v>194401.7135862149</v>
      </c>
      <c r="AP566" s="262">
        <f>IFERROR(VLOOKUP($A566,'HH &amp; SI'!$B$4:$Z$494,'HH &amp; SI'!X$503,0),0)</f>
        <v>388162.44514162134</v>
      </c>
      <c r="AQ566" s="262">
        <f>IFERROR(VLOOKUP($A566,'HH &amp; SI'!$B$4:$Z$494,'HH &amp; SI'!Y$503,0),0)</f>
        <v>313880.96858441958</v>
      </c>
      <c r="AR566" s="263">
        <f t="shared" si="852"/>
        <v>1728825.3642305103</v>
      </c>
      <c r="AS566" s="346"/>
      <c r="AT566" s="323">
        <f>IFERROR(VLOOKUP(A566,'Afton FY16 Final'!$A$5:$BV$572,'Afton FY16 Final'!$BV$587,0),0)</f>
        <v>1499286.7754845913</v>
      </c>
      <c r="AU566" s="346"/>
      <c r="AV566" s="444">
        <v>0</v>
      </c>
      <c r="AW566" s="262">
        <f>IFERROR(VLOOKUP($A566,'HH &amp; SI'!$B$4:$EY$503,'HH &amp; SI'!EX$503,0),0)</f>
        <v>96836.86967406515</v>
      </c>
      <c r="AX566" s="262">
        <f>IFERROR(VLOOKUP($A566,'HH &amp; SI'!$B$4:$EY$503,'HH &amp; SI'!EY$503,0),0)</f>
        <v>1631988.4945564452</v>
      </c>
      <c r="AY566" s="262">
        <f>AX566/$AX$582*'update_State Admin 1004(b)'!$B$30*0.01</f>
        <v>15619.302262046745</v>
      </c>
      <c r="AZ566" s="263">
        <f t="shared" si="853"/>
        <v>1616369.1922943983</v>
      </c>
      <c r="BA566" s="261">
        <f t="shared" si="854"/>
        <v>16163.691922943983</v>
      </c>
      <c r="BB566" s="262">
        <f t="shared" si="855"/>
        <v>1600205.5003714543</v>
      </c>
      <c r="BC566" s="341">
        <f t="shared" si="807"/>
        <v>1.0673111552352916</v>
      </c>
      <c r="BD566" s="346"/>
      <c r="BE566" s="376" t="str">
        <f>'Original Title I &amp; II'!AZ563</f>
        <v/>
      </c>
      <c r="BF566" s="243" t="str">
        <f t="shared" si="856"/>
        <v/>
      </c>
      <c r="BG566" s="263">
        <f t="shared" si="836"/>
        <v>1600205.5003714543</v>
      </c>
      <c r="BI566" s="31">
        <f>IFERROR(VLOOKUP(A566,'Title II Hold Harmless'!A$1:B$439,2, FALSE),"")</f>
        <v>195560</v>
      </c>
      <c r="BJ566" s="31">
        <f t="shared" si="857"/>
        <v>223842.52160032201</v>
      </c>
      <c r="BK566" s="31">
        <f t="shared" si="858"/>
        <v>224059.06503348058</v>
      </c>
      <c r="BL566" s="31" t="str">
        <f t="shared" si="859"/>
        <v/>
      </c>
      <c r="BM566" s="31">
        <f t="shared" si="860"/>
        <v>224059.06503348058</v>
      </c>
      <c r="BN566" s="200"/>
      <c r="BP566" s="295" t="s">
        <v>1447</v>
      </c>
      <c r="BQ566" s="296" t="str">
        <f t="shared" si="808"/>
        <v>Y</v>
      </c>
      <c r="BR566" s="297" t="s">
        <v>1448</v>
      </c>
      <c r="BT566" s="295" t="str">
        <f t="shared" si="809"/>
        <v>Y</v>
      </c>
      <c r="BU566" s="296" t="str">
        <f t="shared" si="861"/>
        <v>Y</v>
      </c>
      <c r="BV566" s="296" t="str">
        <f t="shared" si="862"/>
        <v>Y</v>
      </c>
      <c r="BW566" s="297" t="str">
        <f t="shared" si="810"/>
        <v>Y</v>
      </c>
      <c r="BY566" s="352">
        <f t="shared" si="811"/>
        <v>0</v>
      </c>
      <c r="BZ566" s="353">
        <f t="shared" si="812"/>
        <v>0.9</v>
      </c>
      <c r="CA566" s="353">
        <f t="shared" si="813"/>
        <v>0</v>
      </c>
      <c r="CB566" s="354">
        <f t="shared" si="814"/>
        <v>0.9</v>
      </c>
      <c r="CD566" s="311">
        <f t="shared" si="815"/>
        <v>558</v>
      </c>
    </row>
    <row r="567" spans="1:82" outlineLevel="1" x14ac:dyDescent="0.3">
      <c r="A567" s="1">
        <v>140401000</v>
      </c>
      <c r="B567" s="47">
        <f>VLOOKUP(C567,'NCES ID'!$A$2:$B$3136,2,FALSE)</f>
        <v>409600</v>
      </c>
      <c r="C567" s="47">
        <f>VLOOKUP(A567,'State ID'!$A$2:$B$713,2,FALSE)</f>
        <v>4499</v>
      </c>
      <c r="D567" s="147" t="s">
        <v>452</v>
      </c>
      <c r="E567" s="47" t="s">
        <v>38</v>
      </c>
      <c r="F567" s="382">
        <f>IFERROR(VLOOKUP($B567,'update_Formula counts'!$D$7:$R$234,'update_Formula counts'!F$5,0),0)</f>
        <v>2428</v>
      </c>
      <c r="G567" s="382">
        <f>IFERROR(VLOOKUP($B567,'update_Formula counts'!$D$7:$R$234,'update_Formula counts'!G$5,0),0)</f>
        <v>0</v>
      </c>
      <c r="H567" s="382">
        <f>IFERROR(VLOOKUP($B567,'update_Formula counts'!$D$7:$R$234,'update_Formula counts'!H$5,0),0)</f>
        <v>0</v>
      </c>
      <c r="I567" s="382">
        <f>IFERROR(VLOOKUP($B567,'update_Formula counts'!$D$7:$R$234,'update_Formula counts'!I$5,0),0)</f>
        <v>46</v>
      </c>
      <c r="J567" s="382">
        <f>IFERROR(VLOOKUP($B567,'update_Formula counts'!$D$7:$R$234,'update_Formula counts'!J$5,0),0)</f>
        <v>0</v>
      </c>
      <c r="K567" s="382">
        <f t="shared" si="837"/>
        <v>2428</v>
      </c>
      <c r="L567" s="444">
        <f>IFERROR(VLOOKUP($B567,'update_Formula counts'!$D$7:$R$234,'update_Formula counts'!L$5,0),0)</f>
        <v>10809</v>
      </c>
      <c r="M567" s="445">
        <f>IFERROR(VLOOKUP($B567,'update_Formula counts'!$D$7:$R$234,'update_Formula counts'!K$5,0),0)</f>
        <v>2474</v>
      </c>
      <c r="N567" s="446">
        <f>IFERROR(VLOOKUP($B567,'update_Formula counts'!$D$7:$R$234,'update_Formula counts'!M$5,0),0)</f>
        <v>0.22888333795910815</v>
      </c>
      <c r="O567" s="137">
        <f>VLOOKUP($C567,'Final SEA Counts'!$A$2:$F$709,5,FALSE)</f>
        <v>8580</v>
      </c>
      <c r="P567" s="208">
        <f>VLOOKUP($C567,'Final SEA Counts'!$A$2:$F$709,6,FALSE)</f>
        <v>6154</v>
      </c>
      <c r="Q567" s="748">
        <f t="shared" si="838"/>
        <v>-194.37312636822753</v>
      </c>
      <c r="R567" s="444">
        <f t="shared" si="839"/>
        <v>10050.034339113459</v>
      </c>
      <c r="S567" s="445">
        <f t="shared" si="840"/>
        <v>2279.6268736317725</v>
      </c>
      <c r="T567" s="229">
        <f t="shared" si="841"/>
        <v>0.2268277696086822</v>
      </c>
      <c r="U567" s="261">
        <f>VLOOKUP($B567,update_Allocation!$D$8:$Q$235,update_Allocation!K$239,0)</f>
        <v>1361732.7620650539</v>
      </c>
      <c r="V567" s="262">
        <f>VLOOKUP($B567,update_Allocation!$D$8:$Q$235,update_Allocation!L$239,0)</f>
        <v>345764.3785452731</v>
      </c>
      <c r="W567" s="262">
        <f>VLOOKUP($B567,update_Allocation!$D$8:$Q$235,update_Allocation!M$239,0)</f>
        <v>644737.58839358576</v>
      </c>
      <c r="X567" s="262">
        <f>VLOOKUP($B567,update_Allocation!$D$8:$Q$235,update_Allocation!N$239,0)</f>
        <v>606500.92821416596</v>
      </c>
      <c r="Y567" s="263">
        <f>VLOOKUP($B567,update_Allocation!$D$8:$Q$235,update_Allocation!O$239,0)</f>
        <v>2958735.6572180786</v>
      </c>
      <c r="Z567" s="262">
        <f t="shared" si="842"/>
        <v>1255200.0764909403</v>
      </c>
      <c r="AA567" s="262">
        <f t="shared" si="843"/>
        <v>318714.13135401648</v>
      </c>
      <c r="AB567" s="262">
        <f t="shared" si="844"/>
        <v>594297.71597839543</v>
      </c>
      <c r="AC567" s="263">
        <f t="shared" si="845"/>
        <v>559052.43135354551</v>
      </c>
      <c r="AD567" s="262">
        <f t="shared" si="846"/>
        <v>1255200.0764909403</v>
      </c>
      <c r="AE567" s="262">
        <f t="shared" si="847"/>
        <v>318714.13135401648</v>
      </c>
      <c r="AF567" s="262">
        <f t="shared" si="848"/>
        <v>594297.71597839543</v>
      </c>
      <c r="AG567" s="263">
        <f t="shared" si="849"/>
        <v>559052.43135354551</v>
      </c>
      <c r="AH567" s="262">
        <f t="shared" si="850"/>
        <v>1255200.0764909403</v>
      </c>
      <c r="AI567" s="262">
        <f t="shared" si="850"/>
        <v>318714.13135401648</v>
      </c>
      <c r="AJ567" s="262">
        <f t="shared" si="850"/>
        <v>594297.71597839543</v>
      </c>
      <c r="AK567" s="262">
        <f t="shared" si="850"/>
        <v>559052.43135354551</v>
      </c>
      <c r="AL567" s="263">
        <f t="shared" si="851"/>
        <v>2727264.3551768977</v>
      </c>
      <c r="AM567" s="346"/>
      <c r="AN567" s="261">
        <f>IFERROR(VLOOKUP($A567,'HH &amp; SI'!$B$4:$Z$494,'HH &amp; SI'!V$503,0),0)</f>
        <v>1282959.06609548</v>
      </c>
      <c r="AO567" s="262">
        <f>IFERROR(VLOOKUP($A567,'HH &amp; SI'!$B$4:$Z$494,'HH &amp; SI'!W$503,0),0)</f>
        <v>325762.55528640602</v>
      </c>
      <c r="AP567" s="262">
        <f>IFERROR(VLOOKUP($A567,'HH &amp; SI'!$B$4:$Z$494,'HH &amp; SI'!X$503,0),0)</f>
        <v>607440.72355848213</v>
      </c>
      <c r="AQ567" s="262">
        <f>IFERROR(VLOOKUP($A567,'HH &amp; SI'!$B$4:$Z$494,'HH &amp; SI'!Y$503,0),0)</f>
        <v>571415.98272753833</v>
      </c>
      <c r="AR567" s="263">
        <f t="shared" si="852"/>
        <v>2787578.3276679064</v>
      </c>
      <c r="AS567" s="346"/>
      <c r="AT567" s="323">
        <f>IFERROR(VLOOKUP(A567,'Afton FY16 Final'!$A$5:$BV$572,'Afton FY16 Final'!$BV$587,0),0)</f>
        <v>3036323.2342864149</v>
      </c>
      <c r="AU567" s="346"/>
      <c r="AV567" s="444">
        <v>0</v>
      </c>
      <c r="AW567" s="262">
        <f>IFERROR(VLOOKUP($A567,'HH &amp; SI'!$B$4:$EY$503,'HH &amp; SI'!EX$503,0),0)</f>
        <v>0</v>
      </c>
      <c r="AX567" s="262">
        <f>IFERROR(VLOOKUP($A567,'HH &amp; SI'!$B$4:$EY$503,'HH &amp; SI'!EY$503,0),0)</f>
        <v>2787578.3276679064</v>
      </c>
      <c r="AY567" s="262">
        <f>AX567/$AX$582*'update_State Admin 1004(b)'!$B$30*0.01</f>
        <v>26679.127104268875</v>
      </c>
      <c r="AZ567" s="263">
        <f t="shared" si="853"/>
        <v>2760899.2005636375</v>
      </c>
      <c r="BA567" s="261">
        <f t="shared" si="854"/>
        <v>27608.992005636377</v>
      </c>
      <c r="BB567" s="262">
        <f t="shared" si="855"/>
        <v>2733290.2085580011</v>
      </c>
      <c r="BC567" s="341">
        <f t="shared" si="807"/>
        <v>0.90019737612038808</v>
      </c>
      <c r="BD567" s="346"/>
      <c r="BE567" s="376" t="str">
        <f>'Original Title I &amp; II'!AZ564</f>
        <v/>
      </c>
      <c r="BF567" s="243" t="str">
        <f t="shared" si="856"/>
        <v/>
      </c>
      <c r="BG567" s="263">
        <f t="shared" si="836"/>
        <v>2733290.2085580011</v>
      </c>
      <c r="BI567" s="31">
        <f>IFERROR(VLOOKUP(A567,'Title II Hold Harmless'!A$1:B$439,2, FALSE),"")</f>
        <v>426906</v>
      </c>
      <c r="BJ567" s="31">
        <f t="shared" si="857"/>
        <v>464836.61472782702</v>
      </c>
      <c r="BK567" s="31">
        <f t="shared" si="858"/>
        <v>465286.29388481355</v>
      </c>
      <c r="BL567" s="31" t="str">
        <f t="shared" si="859"/>
        <v/>
      </c>
      <c r="BM567" s="31">
        <f t="shared" si="860"/>
        <v>465286.29388481355</v>
      </c>
      <c r="BN567" s="200"/>
      <c r="BP567" s="295" t="s">
        <v>1447</v>
      </c>
      <c r="BQ567" s="296" t="str">
        <f t="shared" si="808"/>
        <v>Y</v>
      </c>
      <c r="BR567" s="297" t="s">
        <v>1448</v>
      </c>
      <c r="BT567" s="295" t="str">
        <f t="shared" si="809"/>
        <v>Y</v>
      </c>
      <c r="BU567" s="296" t="str">
        <f t="shared" si="861"/>
        <v>Y</v>
      </c>
      <c r="BV567" s="296" t="str">
        <f t="shared" si="862"/>
        <v>Y</v>
      </c>
      <c r="BW567" s="297" t="str">
        <f t="shared" si="810"/>
        <v>Y</v>
      </c>
      <c r="BY567" s="352">
        <f t="shared" si="811"/>
        <v>0</v>
      </c>
      <c r="BZ567" s="353">
        <f t="shared" si="812"/>
        <v>0.9</v>
      </c>
      <c r="CA567" s="353">
        <f t="shared" si="813"/>
        <v>0</v>
      </c>
      <c r="CB567" s="354">
        <f t="shared" si="814"/>
        <v>0.9</v>
      </c>
      <c r="CD567" s="311">
        <f t="shared" si="815"/>
        <v>559</v>
      </c>
    </row>
    <row r="568" spans="1:82" outlineLevel="1" x14ac:dyDescent="0.3">
      <c r="A568" s="1">
        <v>140570000</v>
      </c>
      <c r="B568" s="47">
        <f>VLOOKUP(C568,'NCES ID'!$A$2:$B$3136,2,FALSE)</f>
        <v>409630</v>
      </c>
      <c r="C568" s="47">
        <f>VLOOKUP(A568,'State ID'!$A$2:$B$713,2,FALSE)</f>
        <v>4507</v>
      </c>
      <c r="D568" s="147" t="s">
        <v>453</v>
      </c>
      <c r="E568" s="47" t="s">
        <v>38</v>
      </c>
      <c r="F568" s="382">
        <f>IFERROR(VLOOKUP($B568,'update_Formula counts'!$D$7:$R$234,'update_Formula counts'!F$5,0),0)</f>
        <v>3738</v>
      </c>
      <c r="G568" s="382">
        <f>IFERROR(VLOOKUP($B568,'update_Formula counts'!$D$7:$R$234,'update_Formula counts'!G$5,0),0)</f>
        <v>50</v>
      </c>
      <c r="H568" s="382">
        <f>IFERROR(VLOOKUP($B568,'update_Formula counts'!$D$7:$R$234,'update_Formula counts'!H$5,0),0)</f>
        <v>0</v>
      </c>
      <c r="I568" s="382">
        <f>IFERROR(VLOOKUP($B568,'update_Formula counts'!$D$7:$R$234,'update_Formula counts'!I$5,0),0)</f>
        <v>70</v>
      </c>
      <c r="J568" s="382">
        <f>IFERROR(VLOOKUP($B568,'update_Formula counts'!$D$7:$R$234,'update_Formula counts'!J$5,0),0)</f>
        <v>0</v>
      </c>
      <c r="K568" s="382">
        <f t="shared" si="837"/>
        <v>3788</v>
      </c>
      <c r="L568" s="444">
        <f>IFERROR(VLOOKUP($B568,'update_Formula counts'!$D$7:$R$234,'update_Formula counts'!L$5,0),0)</f>
        <v>11974</v>
      </c>
      <c r="M568" s="445">
        <f>IFERROR(VLOOKUP($B568,'update_Formula counts'!$D$7:$R$234,'update_Formula counts'!K$5,0),0)</f>
        <v>3858</v>
      </c>
      <c r="N568" s="446">
        <f>IFERROR(VLOOKUP($B568,'update_Formula counts'!$D$7:$R$234,'update_Formula counts'!M$5,0),0)</f>
        <v>0.32219809587439452</v>
      </c>
      <c r="O568" s="137">
        <f>VLOOKUP($C568,'Final SEA Counts'!$A$2:$F$709,5,FALSE)</f>
        <v>7778</v>
      </c>
      <c r="P568" s="208">
        <f>VLOOKUP($C568,'Final SEA Counts'!$A$2:$F$709,6,FALSE)</f>
        <v>5428</v>
      </c>
      <c r="Q568" s="748">
        <f t="shared" si="838"/>
        <v>-299.24495319787252</v>
      </c>
      <c r="R568" s="444">
        <f t="shared" si="839"/>
        <v>11133.232600290919</v>
      </c>
      <c r="S568" s="445">
        <f t="shared" si="840"/>
        <v>3558.7550468021273</v>
      </c>
      <c r="T568" s="229">
        <f t="shared" si="841"/>
        <v>0.31965154906663268</v>
      </c>
      <c r="U568" s="261">
        <f>VLOOKUP($B568,update_Allocation!$D$8:$Q$235,update_Allocation!K$239,0)</f>
        <v>1824409.7886549144</v>
      </c>
      <c r="V568" s="262">
        <f>VLOOKUP($B568,update_Allocation!$D$8:$Q$235,update_Allocation!L$239,0)</f>
        <v>434591.09816295729</v>
      </c>
      <c r="W568" s="262">
        <f>VLOOKUP($B568,update_Allocation!$D$8:$Q$235,update_Allocation!M$239,0)</f>
        <v>919840.17052813433</v>
      </c>
      <c r="X568" s="262">
        <f>VLOOKUP($B568,update_Allocation!$D$8:$Q$235,update_Allocation!N$239,0)</f>
        <v>779443.53528822318</v>
      </c>
      <c r="Y568" s="263">
        <f>VLOOKUP($B568,update_Allocation!$D$8:$Q$235,update_Allocation!O$239,0)</f>
        <v>3958284.592634229</v>
      </c>
      <c r="Z568" s="262">
        <f t="shared" si="842"/>
        <v>1681680.4075402492</v>
      </c>
      <c r="AA568" s="262">
        <f t="shared" si="843"/>
        <v>400591.65414305113</v>
      </c>
      <c r="AB568" s="262">
        <f t="shared" si="844"/>
        <v>847878.14802622492</v>
      </c>
      <c r="AC568" s="263">
        <f t="shared" si="845"/>
        <v>718465.18815518357</v>
      </c>
      <c r="AD568" s="262">
        <f t="shared" si="846"/>
        <v>1681680.4075402492</v>
      </c>
      <c r="AE568" s="262">
        <f t="shared" si="847"/>
        <v>400591.65414305113</v>
      </c>
      <c r="AF568" s="262">
        <f t="shared" si="848"/>
        <v>847878.14802622492</v>
      </c>
      <c r="AG568" s="263">
        <f t="shared" si="849"/>
        <v>718465.18815518357</v>
      </c>
      <c r="AH568" s="262">
        <f t="shared" si="850"/>
        <v>1681680.4075402492</v>
      </c>
      <c r="AI568" s="262">
        <f t="shared" si="850"/>
        <v>400591.65414305113</v>
      </c>
      <c r="AJ568" s="262">
        <f t="shared" si="850"/>
        <v>847878.14802622492</v>
      </c>
      <c r="AK568" s="262">
        <f t="shared" si="850"/>
        <v>718465.18815518357</v>
      </c>
      <c r="AL568" s="263">
        <f t="shared" si="851"/>
        <v>3648615.3978647087</v>
      </c>
      <c r="AM568" s="346"/>
      <c r="AN568" s="261">
        <f>IFERROR(VLOOKUP($A568,'HH &amp; SI'!$B$4:$Z$494,'HH &amp; SI'!V$503,0),0)</f>
        <v>1658741.1952637539</v>
      </c>
      <c r="AO568" s="262">
        <f>IFERROR(VLOOKUP($A568,'HH &amp; SI'!$B$4:$Z$494,'HH &amp; SI'!W$503,0),0)</f>
        <v>387397.62965682708</v>
      </c>
      <c r="AP568" s="262">
        <f>IFERROR(VLOOKUP($A568,'HH &amp; SI'!$B$4:$Z$494,'HH &amp; SI'!X$503,0),0)</f>
        <v>840167.02731143252</v>
      </c>
      <c r="AQ568" s="262">
        <f>IFERROR(VLOOKUP($A568,'HH &amp; SI'!$B$4:$Z$494,'HH &amp; SI'!Y$503,0),0)</f>
        <v>710548.99508511589</v>
      </c>
      <c r="AR568" s="263">
        <f t="shared" si="852"/>
        <v>3596854.8473171294</v>
      </c>
      <c r="AS568" s="346"/>
      <c r="AT568" s="323">
        <f>IFERROR(VLOOKUP(A568,'Afton FY16 Final'!$A$5:$BV$572,'Afton FY16 Final'!$BV$587,0),0)</f>
        <v>3172483.3101545484</v>
      </c>
      <c r="AU568" s="346"/>
      <c r="AV568" s="444">
        <v>0</v>
      </c>
      <c r="AW568" s="262">
        <f>IFERROR(VLOOKUP($A568,'HH &amp; SI'!$B$4:$EY$503,'HH &amp; SI'!EX$503,0),0)</f>
        <v>201470.9937120853</v>
      </c>
      <c r="AX568" s="262">
        <f>IFERROR(VLOOKUP($A568,'HH &amp; SI'!$B$4:$EY$503,'HH &amp; SI'!EY$503,0),0)</f>
        <v>3395383.8536050441</v>
      </c>
      <c r="AY568" s="262">
        <f>AX568/$AX$582*'update_State Admin 1004(b)'!$B$30*0.01</f>
        <v>32496.262615836724</v>
      </c>
      <c r="AZ568" s="263">
        <f t="shared" si="853"/>
        <v>3362887.5909892074</v>
      </c>
      <c r="BA568" s="261">
        <f t="shared" si="854"/>
        <v>33628.875909892071</v>
      </c>
      <c r="BB568" s="262">
        <f t="shared" si="855"/>
        <v>3329258.7150793155</v>
      </c>
      <c r="BC568" s="341">
        <f t="shared" si="807"/>
        <v>1.049417251281656</v>
      </c>
      <c r="BD568" s="346"/>
      <c r="BE568" s="376" t="str">
        <f>'Original Title I &amp; II'!AZ565</f>
        <v/>
      </c>
      <c r="BF568" s="243" t="str">
        <f t="shared" si="856"/>
        <v/>
      </c>
      <c r="BG568" s="263">
        <f t="shared" si="836"/>
        <v>3329258.7150793155</v>
      </c>
      <c r="BI568" s="31">
        <f>IFERROR(VLOOKUP(A568,'Title II Hold Harmless'!A$1:B$439,2, FALSE),"")</f>
        <v>315901</v>
      </c>
      <c r="BJ568" s="31">
        <f t="shared" si="857"/>
        <v>371448.30168755131</v>
      </c>
      <c r="BK568" s="31">
        <f t="shared" si="858"/>
        <v>371807.63775075006</v>
      </c>
      <c r="BL568" s="31" t="str">
        <f t="shared" si="859"/>
        <v/>
      </c>
      <c r="BM568" s="31">
        <f t="shared" si="860"/>
        <v>371807.63775075006</v>
      </c>
      <c r="BN568" s="200"/>
      <c r="BP568" s="295" t="s">
        <v>1447</v>
      </c>
      <c r="BQ568" s="296" t="str">
        <f t="shared" si="808"/>
        <v>Y</v>
      </c>
      <c r="BR568" s="297" t="s">
        <v>1448</v>
      </c>
      <c r="BT568" s="295" t="str">
        <f t="shared" si="809"/>
        <v>Y</v>
      </c>
      <c r="BU568" s="296" t="str">
        <f t="shared" si="861"/>
        <v>Y</v>
      </c>
      <c r="BV568" s="296" t="str">
        <f t="shared" si="862"/>
        <v>Y</v>
      </c>
      <c r="BW568" s="297" t="str">
        <f t="shared" si="810"/>
        <v>Y</v>
      </c>
      <c r="BY568" s="352">
        <f t="shared" si="811"/>
        <v>0</v>
      </c>
      <c r="BZ568" s="353">
        <f t="shared" si="812"/>
        <v>0</v>
      </c>
      <c r="CA568" s="353">
        <f t="shared" si="813"/>
        <v>0.95</v>
      </c>
      <c r="CB568" s="354">
        <f t="shared" si="814"/>
        <v>0.95</v>
      </c>
      <c r="CD568" s="311">
        <f t="shared" si="815"/>
        <v>560</v>
      </c>
    </row>
    <row r="569" spans="1:82" s="48" customFormat="1" outlineLevel="1" x14ac:dyDescent="0.3">
      <c r="A569" s="202">
        <v>148761000</v>
      </c>
      <c r="B569" s="48">
        <f>VLOOKUP(C569,'NCES ID'!$A$2:$B$3136,2,FALSE)</f>
        <v>400381</v>
      </c>
      <c r="C569" s="48">
        <f>VLOOKUP(A569,'State ID'!$A$2:$B$713,2,FALSE)</f>
        <v>80001</v>
      </c>
      <c r="D569" s="48" t="s">
        <v>90</v>
      </c>
      <c r="E569" s="48" t="s">
        <v>38</v>
      </c>
      <c r="F569" s="755"/>
      <c r="G569" s="755"/>
      <c r="H569" s="755"/>
      <c r="I569" s="755"/>
      <c r="J569" s="755"/>
      <c r="K569" s="755"/>
      <c r="L569" s="454"/>
      <c r="M569" s="455"/>
      <c r="N569" s="456"/>
      <c r="O569" s="209">
        <f>VLOOKUP($C569,'Final SEA Counts'!$A$2:$F$709,5,FALSE)</f>
        <v>129</v>
      </c>
      <c r="P569" s="223">
        <f>VLOOKUP($C569,'Final SEA Counts'!$A$2:$F$709,6,FALSE)</f>
        <v>53</v>
      </c>
      <c r="Q569" s="749"/>
      <c r="R569" s="454">
        <f>O569</f>
        <v>129</v>
      </c>
      <c r="S569" s="455">
        <f>P569*$B$575</f>
        <v>23.217371741097704</v>
      </c>
      <c r="T569" s="230">
        <f t="shared" si="841"/>
        <v>0.1799796258999822</v>
      </c>
      <c r="U569" s="264" t="str">
        <f>IFERROR(VLOOKUP($B569,#REF!,8,FALSE),"")</f>
        <v/>
      </c>
      <c r="V569" s="265" t="str">
        <f>IFERROR(VLOOKUP($B569,#REF!,9,FALSE),"")</f>
        <v/>
      </c>
      <c r="W569" s="265" t="str">
        <f>IFERROR(VLOOKUP($B569,#REF!,10,FALSE),"")</f>
        <v/>
      </c>
      <c r="X569" s="265" t="str">
        <f>IFERROR(VLOOKUP($B569,#REF!,11,FALSE),"")</f>
        <v/>
      </c>
      <c r="Y569" s="266" t="str">
        <f>IFERROR(VLOOKUP($B569,#REF!,12,FALSE),"")</f>
        <v/>
      </c>
      <c r="Z569" s="265">
        <f t="shared" ref="Z569:AC573" si="863">$S569*U$576</f>
        <v>11439.837498847708</v>
      </c>
      <c r="AA569" s="265">
        <f t="shared" si="863"/>
        <v>2772.2677127842326</v>
      </c>
      <c r="AB569" s="265">
        <f t="shared" si="863"/>
        <v>5850.3324766683199</v>
      </c>
      <c r="AC569" s="266">
        <f t="shared" si="863"/>
        <v>5321.0291207330829</v>
      </c>
      <c r="AD569" s="265">
        <f t="shared" si="846"/>
        <v>11439.837498847708</v>
      </c>
      <c r="AE569" s="265">
        <f t="shared" si="847"/>
        <v>2772.2677127842326</v>
      </c>
      <c r="AF569" s="265">
        <f t="shared" si="848"/>
        <v>5850.3324766683199</v>
      </c>
      <c r="AG569" s="266">
        <f t="shared" si="849"/>
        <v>5321.0291207330829</v>
      </c>
      <c r="AH569" s="265">
        <f t="shared" si="850"/>
        <v>11439.837498847708</v>
      </c>
      <c r="AI569" s="265">
        <f t="shared" si="850"/>
        <v>2772.2677127842326</v>
      </c>
      <c r="AJ569" s="265">
        <f t="shared" si="850"/>
        <v>5850.3324766683199</v>
      </c>
      <c r="AK569" s="265">
        <f t="shared" si="850"/>
        <v>5321.0291207330829</v>
      </c>
      <c r="AL569" s="266">
        <f t="shared" si="851"/>
        <v>25383.466809033343</v>
      </c>
      <c r="AM569" s="347"/>
      <c r="AN569" s="264">
        <f>IFERROR(VLOOKUP($A569,'HH &amp; SI'!$B$4:$Z$494,'HH &amp; SI'!V$503,0),0)</f>
        <v>21748.481641685765</v>
      </c>
      <c r="AO569" s="265">
        <f>IFERROR(VLOOKUP($A569,'HH &amp; SI'!$B$4:$Z$494,'HH &amp; SI'!W$503,0),0)</f>
        <v>5331.1885390114348</v>
      </c>
      <c r="AP569" s="265">
        <f>IFERROR(VLOOKUP($A569,'HH &amp; SI'!$B$4:$Z$494,'HH &amp; SI'!X$503,0),0)</f>
        <v>10901.932950133014</v>
      </c>
      <c r="AQ569" s="265">
        <f>IFERROR(VLOOKUP($A569,'HH &amp; SI'!$B$4:$Z$494,'HH &amp; SI'!Y$503,0),0)</f>
        <v>10083.148393600184</v>
      </c>
      <c r="AR569" s="266">
        <f t="shared" si="852"/>
        <v>48064.751524430394</v>
      </c>
      <c r="AS569" s="347"/>
      <c r="AT569" s="324">
        <f>IFERROR(VLOOKUP(A569,'Afton FY16 Final'!$A$5:$BV$572,'Afton FY16 Final'!$BV$587,0),0)</f>
        <v>52353.729527638119</v>
      </c>
      <c r="AU569" s="347"/>
      <c r="AV569" s="454">
        <v>0</v>
      </c>
      <c r="AW569" s="265">
        <f>IFERROR(VLOOKUP($A569,'HH &amp; SI'!$B$4:$EY$503,'HH &amp; SI'!EX$503,0),0)</f>
        <v>0</v>
      </c>
      <c r="AX569" s="265">
        <f>IFERROR(VLOOKUP($A569,'HH &amp; SI'!$B$4:$EY$503,'HH &amp; SI'!EY$503,0),0)</f>
        <v>48064.751524430394</v>
      </c>
      <c r="AY569" s="265">
        <f>AX569/$AX$582*'update_State Admin 1004(b)'!$B$30*0.01</f>
        <v>460.01420029268769</v>
      </c>
      <c r="AZ569" s="266">
        <f t="shared" si="853"/>
        <v>47604.737324137706</v>
      </c>
      <c r="BA569" s="264">
        <f t="shared" si="854"/>
        <v>476.04737324137704</v>
      </c>
      <c r="BB569" s="265">
        <f t="shared" si="855"/>
        <v>47128.689950896332</v>
      </c>
      <c r="BC569" s="342">
        <f t="shared" si="807"/>
        <v>0.9001973761203883</v>
      </c>
      <c r="BD569" s="347"/>
      <c r="BE569" s="377" t="str">
        <f>'Original Title I &amp; II'!AZ566</f>
        <v/>
      </c>
      <c r="BF569" s="244" t="str">
        <f t="shared" si="856"/>
        <v/>
      </c>
      <c r="BG569" s="266">
        <f t="shared" si="836"/>
        <v>47128.689950896332</v>
      </c>
      <c r="BI569" s="203" t="str">
        <f>IFERROR(VLOOKUP(A569,'Title II Hold Harmless'!A$1:B$439,2, FALSE),"")</f>
        <v/>
      </c>
      <c r="BJ569" s="203">
        <f t="shared" si="857"/>
        <v>407.75527621060246</v>
      </c>
      <c r="BK569" s="203">
        <f t="shared" si="858"/>
        <v>408.14973534539018</v>
      </c>
      <c r="BL569" s="203" t="str">
        <f t="shared" si="859"/>
        <v/>
      </c>
      <c r="BM569" s="203">
        <f t="shared" si="860"/>
        <v>408.14973534539018</v>
      </c>
      <c r="BN569" s="200"/>
      <c r="BP569" s="298" t="s">
        <v>1448</v>
      </c>
      <c r="BQ569" s="299" t="str">
        <f t="shared" si="808"/>
        <v>Y</v>
      </c>
      <c r="BR569" s="300" t="s">
        <v>1448</v>
      </c>
      <c r="BT569" s="298" t="str">
        <f t="shared" si="809"/>
        <v>Y</v>
      </c>
      <c r="BU569" s="299" t="str">
        <f t="shared" si="861"/>
        <v>Y</v>
      </c>
      <c r="BV569" s="299" t="str">
        <f t="shared" si="862"/>
        <v>Y</v>
      </c>
      <c r="BW569" s="300" t="str">
        <f t="shared" si="810"/>
        <v>Y</v>
      </c>
      <c r="BY569" s="355">
        <f t="shared" si="811"/>
        <v>0</v>
      </c>
      <c r="BZ569" s="356">
        <f t="shared" si="812"/>
        <v>0.9</v>
      </c>
      <c r="CA569" s="356">
        <f t="shared" si="813"/>
        <v>0</v>
      </c>
      <c r="CB569" s="357">
        <f t="shared" si="814"/>
        <v>0.9</v>
      </c>
      <c r="CD569" s="312">
        <f t="shared" si="815"/>
        <v>561</v>
      </c>
    </row>
    <row r="570" spans="1:82" s="48" customFormat="1" outlineLevel="1" x14ac:dyDescent="0.3">
      <c r="A570" s="202">
        <v>148757000</v>
      </c>
      <c r="B570" s="48">
        <f>VLOOKUP(C570,'NCES ID'!$A$2:$B$3136,2,FALSE)</f>
        <v>400094</v>
      </c>
      <c r="C570" s="48">
        <f>VLOOKUP(A570,'State ID'!$A$2:$B$713,2,FALSE)</f>
        <v>4508</v>
      </c>
      <c r="D570" s="48" t="s">
        <v>542</v>
      </c>
      <c r="E570" s="48" t="s">
        <v>38</v>
      </c>
      <c r="F570" s="755"/>
      <c r="G570" s="755"/>
      <c r="H570" s="755"/>
      <c r="I570" s="755"/>
      <c r="J570" s="755"/>
      <c r="K570" s="755"/>
      <c r="L570" s="454"/>
      <c r="M570" s="455"/>
      <c r="N570" s="456"/>
      <c r="O570" s="209">
        <f>VLOOKUP($C570,'AzEDS FY17 12-04-16'!$A$1:$D$712,3,FALSE)</f>
        <v>73</v>
      </c>
      <c r="P570" s="223">
        <f>VLOOKUP($C570,'AzEDS FY17 12-04-16'!$A$1:$D$712,4,FALSE)</f>
        <v>65</v>
      </c>
      <c r="Q570" s="749"/>
      <c r="R570" s="454">
        <f>O570</f>
        <v>73</v>
      </c>
      <c r="S570" s="455">
        <f>P570*$B$575</f>
        <v>28.47413515417643</v>
      </c>
      <c r="T570" s="230">
        <f t="shared" si="841"/>
        <v>0.39005664594762235</v>
      </c>
      <c r="U570" s="264"/>
      <c r="V570" s="265"/>
      <c r="W570" s="265"/>
      <c r="X570" s="265"/>
      <c r="Y570" s="266"/>
      <c r="Z570" s="265">
        <f t="shared" si="863"/>
        <v>14029.989385379266</v>
      </c>
      <c r="AA570" s="265">
        <f t="shared" si="863"/>
        <v>3399.9509685089647</v>
      </c>
      <c r="AB570" s="265">
        <f t="shared" si="863"/>
        <v>7174.9360562913362</v>
      </c>
      <c r="AC570" s="266">
        <f t="shared" si="863"/>
        <v>6525.7904310877429</v>
      </c>
      <c r="AD570" s="265">
        <f t="shared" si="846"/>
        <v>14029.989385379266</v>
      </c>
      <c r="AE570" s="265">
        <f t="shared" si="847"/>
        <v>3399.9509685089647</v>
      </c>
      <c r="AF570" s="265">
        <f t="shared" si="848"/>
        <v>7174.9360562913362</v>
      </c>
      <c r="AG570" s="266">
        <f t="shared" si="849"/>
        <v>6525.7904310877429</v>
      </c>
      <c r="AH570" s="265">
        <f t="shared" si="850"/>
        <v>14029.989385379266</v>
      </c>
      <c r="AI570" s="265">
        <f t="shared" si="850"/>
        <v>3399.9509685089647</v>
      </c>
      <c r="AJ570" s="265">
        <f t="shared" si="850"/>
        <v>7174.9360562913362</v>
      </c>
      <c r="AK570" s="265">
        <f t="shared" si="850"/>
        <v>6525.7904310877429</v>
      </c>
      <c r="AL570" s="266">
        <f t="shared" ref="AL570" si="864">SUM(AH570:AK570)</f>
        <v>31130.666841267306</v>
      </c>
      <c r="AM570" s="347"/>
      <c r="AN570" s="264">
        <f>IFERROR(VLOOKUP($A570,'HH &amp; SI'!$B$4:$Z$494,'HH &amp; SI'!V$503,0),0)</f>
        <v>13838.611223806382</v>
      </c>
      <c r="AO570" s="265">
        <f>IFERROR(VLOOKUP($A570,'HH &amp; SI'!$B$4:$Z$494,'HH &amp; SI'!W$503,0),0)</f>
        <v>3287.9690141509009</v>
      </c>
      <c r="AP570" s="265">
        <f>IFERROR(VLOOKUP($A570,'HH &amp; SI'!$B$4:$Z$494,'HH &amp; SI'!X$503,0),0)</f>
        <v>7109.68281420723</v>
      </c>
      <c r="AQ570" s="265">
        <f>IFERROR(VLOOKUP($A570,'HH &amp; SI'!$B$4:$Z$494,'HH &amp; SI'!Y$503,0),0)</f>
        <v>6453.8879675599874</v>
      </c>
      <c r="AR570" s="266">
        <f t="shared" si="852"/>
        <v>30690.151019724501</v>
      </c>
      <c r="AS570" s="347"/>
      <c r="AT570" s="324">
        <f>IFERROR(VLOOKUP(A570,'Afton FY16 Final'!$A$5:$BV$572,'Afton FY16 Final'!$BV$587,0),0)</f>
        <v>0</v>
      </c>
      <c r="AU570" s="347"/>
      <c r="AV570" s="454">
        <v>0</v>
      </c>
      <c r="AW570" s="265">
        <f>IFERROR(VLOOKUP($A570,'HH &amp; SI'!$B$4:$EY$503,'HH &amp; SI'!EX$503,0),0)</f>
        <v>1719.05052763801</v>
      </c>
      <c r="AX570" s="265">
        <f>IFERROR(VLOOKUP($A570,'HH &amp; SI'!$B$4:$EY$503,'HH &amp; SI'!EY$503,0),0)</f>
        <v>28971.100492086491</v>
      </c>
      <c r="AY570" s="265">
        <f>AX570/$AX$582*'update_State Admin 1004(b)'!$B$30*0.01</f>
        <v>277.2742436355328</v>
      </c>
      <c r="AZ570" s="266">
        <f t="shared" si="853"/>
        <v>28693.826248450958</v>
      </c>
      <c r="BA570" s="264">
        <f t="shared" si="854"/>
        <v>286.93826248450961</v>
      </c>
      <c r="BB570" s="265">
        <f t="shared" si="855"/>
        <v>28406.887985966448</v>
      </c>
      <c r="BC570" s="342" t="str">
        <f t="shared" si="807"/>
        <v/>
      </c>
      <c r="BD570" s="347"/>
      <c r="BE570" s="377">
        <f>'Original Title I &amp; II'!AZ567</f>
        <v>0</v>
      </c>
      <c r="BF570" s="244"/>
      <c r="BG570" s="266">
        <f t="shared" si="836"/>
        <v>28406.887985966448</v>
      </c>
      <c r="BI570" s="203">
        <f>IFERROR(VLOOKUP(A570,'Title II Hold Harmless'!A$1:B$439,2, FALSE),"")</f>
        <v>4479</v>
      </c>
      <c r="BJ570" s="203">
        <f t="shared" si="857"/>
        <v>4910.5022180366868</v>
      </c>
      <c r="BK570" s="203">
        <f t="shared" si="858"/>
        <v>4915.2525979074289</v>
      </c>
      <c r="BL570" s="203" t="str">
        <f t="shared" si="859"/>
        <v/>
      </c>
      <c r="BM570" s="203">
        <f t="shared" si="860"/>
        <v>4915.2525979074289</v>
      </c>
      <c r="BN570" s="200"/>
      <c r="BP570" s="298" t="s">
        <v>1448</v>
      </c>
      <c r="BQ570" s="299" t="str">
        <f t="shared" si="808"/>
        <v>Y</v>
      </c>
      <c r="BR570" s="300" t="s">
        <v>1448</v>
      </c>
      <c r="BT570" s="298" t="str">
        <f t="shared" si="809"/>
        <v>Y</v>
      </c>
      <c r="BU570" s="299" t="str">
        <f t="shared" si="861"/>
        <v>Y</v>
      </c>
      <c r="BV570" s="299" t="str">
        <f t="shared" si="862"/>
        <v>Y</v>
      </c>
      <c r="BW570" s="300" t="str">
        <f t="shared" si="810"/>
        <v>Y</v>
      </c>
      <c r="BY570" s="355">
        <f t="shared" si="811"/>
        <v>0</v>
      </c>
      <c r="BZ570" s="356">
        <f t="shared" si="812"/>
        <v>0</v>
      </c>
      <c r="CA570" s="356">
        <f t="shared" si="813"/>
        <v>0.95</v>
      </c>
      <c r="CB570" s="357">
        <f t="shared" si="814"/>
        <v>0.95</v>
      </c>
      <c r="CD570" s="312">
        <f t="shared" si="815"/>
        <v>562</v>
      </c>
    </row>
    <row r="571" spans="1:82" s="48" customFormat="1" outlineLevel="1" x14ac:dyDescent="0.3">
      <c r="A571" s="202">
        <v>148760000</v>
      </c>
      <c r="B571" s="48">
        <f>VLOOKUP(C571,'NCES ID'!$A$2:$B$3136,2,FALSE)</f>
        <v>400282</v>
      </c>
      <c r="C571" s="48">
        <f>VLOOKUP(A571,'State ID'!$A$2:$B$713,2,FALSE)</f>
        <v>79501</v>
      </c>
      <c r="D571" s="48" t="s">
        <v>192</v>
      </c>
      <c r="E571" s="48" t="s">
        <v>38</v>
      </c>
      <c r="F571" s="755"/>
      <c r="G571" s="755"/>
      <c r="H571" s="755"/>
      <c r="I571" s="755"/>
      <c r="J571" s="755"/>
      <c r="K571" s="755"/>
      <c r="L571" s="454"/>
      <c r="M571" s="455"/>
      <c r="N571" s="456"/>
      <c r="O571" s="209">
        <f>VLOOKUP($C571,'Final SEA Counts'!$A$2:$F$709,5,FALSE)</f>
        <v>1678</v>
      </c>
      <c r="P571" s="223">
        <f>VLOOKUP($C571,'Final SEA Counts'!$A$2:$F$709,6,FALSE)</f>
        <v>1513</v>
      </c>
      <c r="Q571" s="749"/>
      <c r="R571" s="454">
        <f>O571</f>
        <v>1678</v>
      </c>
      <c r="S571" s="455">
        <f>P571*$B$575</f>
        <v>662.790253665676</v>
      </c>
      <c r="T571" s="230">
        <f t="shared" si="841"/>
        <v>0.39498823222030749</v>
      </c>
      <c r="U571" s="264" t="str">
        <f>IFERROR(VLOOKUP($B571,#REF!,8,FALSE),"")</f>
        <v/>
      </c>
      <c r="V571" s="265" t="str">
        <f>IFERROR(VLOOKUP($B571,#REF!,9,FALSE),"")</f>
        <v/>
      </c>
      <c r="W571" s="265" t="str">
        <f>IFERROR(VLOOKUP($B571,#REF!,10,FALSE),"")</f>
        <v/>
      </c>
      <c r="X571" s="265" t="str">
        <f>IFERROR(VLOOKUP($B571,#REF!,11,FALSE),"")</f>
        <v/>
      </c>
      <c r="Y571" s="266" t="str">
        <f>IFERROR(VLOOKUP($B571,#REF!,12,FALSE),"")</f>
        <v/>
      </c>
      <c r="Z571" s="265">
        <f t="shared" si="863"/>
        <v>326574.98369352042</v>
      </c>
      <c r="AA571" s="265">
        <f t="shared" si="863"/>
        <v>79140.397159293279</v>
      </c>
      <c r="AB571" s="265">
        <f t="shared" si="863"/>
        <v>167010.43466413527</v>
      </c>
      <c r="AC571" s="266">
        <f t="shared" si="863"/>
        <v>151900.32188055009</v>
      </c>
      <c r="AD571" s="265">
        <f t="shared" si="846"/>
        <v>326574.98369352042</v>
      </c>
      <c r="AE571" s="265">
        <f t="shared" si="847"/>
        <v>79140.397159293279</v>
      </c>
      <c r="AF571" s="265">
        <f t="shared" si="848"/>
        <v>167010.43466413527</v>
      </c>
      <c r="AG571" s="266">
        <f t="shared" si="849"/>
        <v>151900.32188055009</v>
      </c>
      <c r="AH571" s="265">
        <f t="shared" si="850"/>
        <v>326574.98369352042</v>
      </c>
      <c r="AI571" s="265">
        <f t="shared" si="850"/>
        <v>79140.397159293279</v>
      </c>
      <c r="AJ571" s="265">
        <f t="shared" si="850"/>
        <v>167010.43466413527</v>
      </c>
      <c r="AK571" s="265">
        <f t="shared" si="850"/>
        <v>151900.32188055009</v>
      </c>
      <c r="AL571" s="266">
        <f t="shared" si="851"/>
        <v>724626.13739749906</v>
      </c>
      <c r="AM571" s="347"/>
      <c r="AN571" s="264">
        <f>IFERROR(VLOOKUP($A571,'HH &amp; SI'!$B$4:$Z$494,'HH &amp; SI'!V$503,0),0)</f>
        <v>322120.28894798545</v>
      </c>
      <c r="AO571" s="265">
        <f>IFERROR(VLOOKUP($A571,'HH &amp; SI'!$B$4:$Z$494,'HH &amp; SI'!W$503,0),0)</f>
        <v>76533.80182169711</v>
      </c>
      <c r="AP571" s="265">
        <f>IFERROR(VLOOKUP($A571,'HH &amp; SI'!$B$4:$Z$494,'HH &amp; SI'!X$503,0),0)</f>
        <v>165491.53996762368</v>
      </c>
      <c r="AQ571" s="265">
        <f>IFERROR(VLOOKUP($A571,'HH &amp; SI'!$B$4:$Z$494,'HH &amp; SI'!Y$503,0),0)</f>
        <v>150226.65376797324</v>
      </c>
      <c r="AR571" s="266">
        <f t="shared" si="852"/>
        <v>714372.2845052795</v>
      </c>
      <c r="AS571" s="347"/>
      <c r="AT571" s="324">
        <f>IFERROR(VLOOKUP(A571,'Afton FY16 Final'!$A$5:$BV$572,'Afton FY16 Final'!$BV$587,0),0)</f>
        <v>564909.35257492226</v>
      </c>
      <c r="AU571" s="347"/>
      <c r="AV571" s="454">
        <v>0</v>
      </c>
      <c r="AW571" s="265">
        <f>IFERROR(VLOOKUP($A571,'HH &amp; SI'!$B$4:$EY$503,'HH &amp; SI'!EX$503,0),0)</f>
        <v>40014.206897174125</v>
      </c>
      <c r="AX571" s="265">
        <f>IFERROR(VLOOKUP($A571,'HH &amp; SI'!$B$4:$EY$503,'HH &amp; SI'!EY$503,0),0)</f>
        <v>674358.07760810538</v>
      </c>
      <c r="AY571" s="265">
        <f>AX571/$AX$582*'update_State Admin 1004(b)'!$B$30*0.01</f>
        <v>6454.0912403163238</v>
      </c>
      <c r="AZ571" s="266">
        <f t="shared" si="853"/>
        <v>667903.9863677891</v>
      </c>
      <c r="BA571" s="264">
        <f t="shared" si="854"/>
        <v>6679.0398636778909</v>
      </c>
      <c r="BB571" s="265">
        <f t="shared" si="855"/>
        <v>661224.94650411117</v>
      </c>
      <c r="BC571" s="342">
        <f t="shared" si="807"/>
        <v>1.1704974320042167</v>
      </c>
      <c r="BD571" s="347"/>
      <c r="BE571" s="377" t="str">
        <f>'Original Title I &amp; II'!AZ568</f>
        <v/>
      </c>
      <c r="BF571" s="244" t="str">
        <f>IF(BE571&lt;0,BB571*BE571/100,"")</f>
        <v/>
      </c>
      <c r="BG571" s="266">
        <f t="shared" si="836"/>
        <v>661224.94650411117</v>
      </c>
      <c r="BI571" s="203" t="str">
        <f>IFERROR(VLOOKUP(A571,'Title II Hold Harmless'!A$1:B$439,2, FALSE),"")</f>
        <v/>
      </c>
      <c r="BJ571" s="203">
        <f t="shared" si="857"/>
        <v>10026.969801810745</v>
      </c>
      <c r="BK571" s="203">
        <f t="shared" si="858"/>
        <v>10036.66981077034</v>
      </c>
      <c r="BL571" s="203" t="str">
        <f t="shared" si="859"/>
        <v/>
      </c>
      <c r="BM571" s="203">
        <f t="shared" si="860"/>
        <v>10036.66981077034</v>
      </c>
      <c r="BN571" s="200"/>
      <c r="BP571" s="298" t="s">
        <v>1448</v>
      </c>
      <c r="BQ571" s="299" t="str">
        <f t="shared" si="808"/>
        <v>Y</v>
      </c>
      <c r="BR571" s="300" t="s">
        <v>1448</v>
      </c>
      <c r="BT571" s="298" t="str">
        <f t="shared" si="809"/>
        <v>Y</v>
      </c>
      <c r="BU571" s="299" t="str">
        <f t="shared" si="861"/>
        <v>Y</v>
      </c>
      <c r="BV571" s="299" t="str">
        <f t="shared" si="862"/>
        <v>Y</v>
      </c>
      <c r="BW571" s="300" t="str">
        <f t="shared" si="810"/>
        <v>Y</v>
      </c>
      <c r="BY571" s="355">
        <f t="shared" si="811"/>
        <v>0</v>
      </c>
      <c r="BZ571" s="356">
        <f t="shared" si="812"/>
        <v>0</v>
      </c>
      <c r="CA571" s="356">
        <f t="shared" si="813"/>
        <v>0.95</v>
      </c>
      <c r="CB571" s="357">
        <f t="shared" si="814"/>
        <v>0.95</v>
      </c>
      <c r="CD571" s="312">
        <f t="shared" si="815"/>
        <v>563</v>
      </c>
    </row>
    <row r="572" spans="1:82" s="48" customFormat="1" outlineLevel="1" x14ac:dyDescent="0.3">
      <c r="A572" s="202">
        <v>148759000</v>
      </c>
      <c r="B572" s="48">
        <f>VLOOKUP(C572,'NCES ID'!$A$2:$B$3136,2,FALSE)</f>
        <v>400268</v>
      </c>
      <c r="C572" s="48">
        <f>VLOOKUP(A572,'State ID'!$A$2:$B$713,2,FALSE)</f>
        <v>79064</v>
      </c>
      <c r="D572" s="48" t="s">
        <v>224</v>
      </c>
      <c r="E572" s="48" t="s">
        <v>38</v>
      </c>
      <c r="F572" s="755"/>
      <c r="G572" s="755"/>
      <c r="H572" s="755"/>
      <c r="I572" s="755"/>
      <c r="J572" s="755"/>
      <c r="K572" s="755"/>
      <c r="L572" s="454"/>
      <c r="M572" s="455"/>
      <c r="N572" s="456"/>
      <c r="O572" s="209">
        <f>VLOOKUP($C572,'AzEDS FY17 12-04-16'!$A$1:$D$712,3,FALSE)</f>
        <v>713</v>
      </c>
      <c r="P572" s="223">
        <f>VLOOKUP($C572,'AzEDS FY17 12-04-16'!$A$1:$D$712,4,FALSE)</f>
        <v>381</v>
      </c>
      <c r="Q572" s="749"/>
      <c r="R572" s="454">
        <f>O572</f>
        <v>713</v>
      </c>
      <c r="S572" s="455">
        <f>P572*$B$575</f>
        <v>166.90223836524953</v>
      </c>
      <c r="T572" s="230">
        <f t="shared" si="841"/>
        <v>0.23408448578576371</v>
      </c>
      <c r="U572" s="264" t="str">
        <f>IFERROR(VLOOKUP($B572,#REF!,8,FALSE),"")</f>
        <v/>
      </c>
      <c r="V572" s="265" t="str">
        <f>IFERROR(VLOOKUP($B572,#REF!,9,FALSE),"")</f>
        <v/>
      </c>
      <c r="W572" s="265" t="str">
        <f>IFERROR(VLOOKUP($B572,#REF!,10,FALSE),"")</f>
        <v/>
      </c>
      <c r="X572" s="265" t="str">
        <f>IFERROR(VLOOKUP($B572,#REF!,11,FALSE),"")</f>
        <v/>
      </c>
      <c r="Y572" s="266" t="str">
        <f>IFERROR(VLOOKUP($B572,#REF!,12,FALSE),"")</f>
        <v/>
      </c>
      <c r="Z572" s="265">
        <f t="shared" si="863"/>
        <v>82237.32239737692</v>
      </c>
      <c r="AA572" s="265">
        <f t="shared" si="863"/>
        <v>19928.943369260236</v>
      </c>
      <c r="AB572" s="265">
        <f t="shared" si="863"/>
        <v>42056.163653030759</v>
      </c>
      <c r="AC572" s="266">
        <f t="shared" si="863"/>
        <v>38251.171603760464</v>
      </c>
      <c r="AD572" s="265">
        <f t="shared" si="846"/>
        <v>82237.32239737692</v>
      </c>
      <c r="AE572" s="265">
        <f t="shared" si="847"/>
        <v>19928.943369260236</v>
      </c>
      <c r="AF572" s="265">
        <f t="shared" si="848"/>
        <v>42056.163653030759</v>
      </c>
      <c r="AG572" s="266">
        <f t="shared" si="849"/>
        <v>38251.171603760464</v>
      </c>
      <c r="AH572" s="265">
        <f t="shared" si="850"/>
        <v>82237.32239737692</v>
      </c>
      <c r="AI572" s="265">
        <f t="shared" si="850"/>
        <v>19928.943369260236</v>
      </c>
      <c r="AJ572" s="265">
        <f t="shared" si="850"/>
        <v>42056.163653030759</v>
      </c>
      <c r="AK572" s="265">
        <f t="shared" si="850"/>
        <v>38251.171603760464</v>
      </c>
      <c r="AL572" s="266">
        <f t="shared" si="851"/>
        <v>182473.60102342837</v>
      </c>
      <c r="AM572" s="347"/>
      <c r="AN572" s="264">
        <f>IFERROR(VLOOKUP($A572,'HH &amp; SI'!$B$4:$Z$494,'HH &amp; SI'!V$503,0),0)</f>
        <v>81115.551942618942</v>
      </c>
      <c r="AO572" s="265">
        <f>IFERROR(VLOOKUP($A572,'HH &amp; SI'!$B$4:$Z$494,'HH &amp; SI'!W$503,0),0)</f>
        <v>19272.556836792199</v>
      </c>
      <c r="AP572" s="265">
        <f>IFERROR(VLOOKUP($A572,'HH &amp; SI'!$B$4:$Z$494,'HH &amp; SI'!X$503,0),0)</f>
        <v>41673.679264814687</v>
      </c>
      <c r="AQ572" s="265">
        <f>IFERROR(VLOOKUP($A572,'HH &amp; SI'!$B$4:$Z$494,'HH &amp; SI'!Y$503,0),0)</f>
        <v>37829.71254831316</v>
      </c>
      <c r="AR572" s="266">
        <f t="shared" si="852"/>
        <v>179891.500592539</v>
      </c>
      <c r="AS572" s="347"/>
      <c r="AT572" s="324">
        <f>IFERROR(VLOOKUP(A572,'Afton FY16 Final'!$A$5:$BV$572,'Afton FY16 Final'!$BV$587,0),0)</f>
        <v>111946.77233630516</v>
      </c>
      <c r="AU572" s="347"/>
      <c r="AV572" s="454">
        <v>0</v>
      </c>
      <c r="AW572" s="265">
        <f>IFERROR(VLOOKUP($A572,'HH &amp; SI'!$B$4:$EY$503,'HH &amp; SI'!EX$503,0),0)</f>
        <v>10076.280785078212</v>
      </c>
      <c r="AX572" s="265">
        <f>IFERROR(VLOOKUP($A572,'HH &amp; SI'!$B$4:$EY$503,'HH &amp; SI'!EY$503,0),0)</f>
        <v>169815.21980746079</v>
      </c>
      <c r="AY572" s="265">
        <f>AX572/$AX$582*'update_State Admin 1004(b)'!$B$30*0.01</f>
        <v>1625.2536434636609</v>
      </c>
      <c r="AZ572" s="266">
        <f t="shared" si="853"/>
        <v>168189.96616399713</v>
      </c>
      <c r="BA572" s="264">
        <f t="shared" si="854"/>
        <v>1681.8996616399713</v>
      </c>
      <c r="BB572" s="265">
        <f t="shared" si="855"/>
        <v>166508.06650235716</v>
      </c>
      <c r="BC572" s="342">
        <f t="shared" si="807"/>
        <v>1.487386040949368</v>
      </c>
      <c r="BD572" s="347"/>
      <c r="BE572" s="377" t="str">
        <f>'Original Title I &amp; II'!AZ569</f>
        <v/>
      </c>
      <c r="BF572" s="244" t="str">
        <f>IF(BE572&lt;0,BB572*BE572/100,"")</f>
        <v/>
      </c>
      <c r="BG572" s="266">
        <f t="shared" si="836"/>
        <v>166508.06650235716</v>
      </c>
      <c r="BI572" s="203">
        <f>IFERROR(VLOOKUP(A572,'Title II Hold Harmless'!A$1:B$439,2, FALSE),"")</f>
        <v>9766</v>
      </c>
      <c r="BJ572" s="203">
        <f t="shared" si="857"/>
        <v>12524.721429502137</v>
      </c>
      <c r="BK572" s="203">
        <f t="shared" si="858"/>
        <v>12536.837743052882</v>
      </c>
      <c r="BL572" s="203" t="str">
        <f t="shared" si="859"/>
        <v/>
      </c>
      <c r="BM572" s="203">
        <f t="shared" si="860"/>
        <v>12536.837743052882</v>
      </c>
      <c r="BN572" s="200"/>
      <c r="BP572" s="298" t="s">
        <v>1448</v>
      </c>
      <c r="BQ572" s="299" t="str">
        <f t="shared" si="808"/>
        <v>Y</v>
      </c>
      <c r="BR572" s="300" t="s">
        <v>1448</v>
      </c>
      <c r="BT572" s="298" t="str">
        <f t="shared" si="809"/>
        <v>Y</v>
      </c>
      <c r="BU572" s="299" t="str">
        <f t="shared" si="861"/>
        <v>Y</v>
      </c>
      <c r="BV572" s="299" t="str">
        <f t="shared" si="862"/>
        <v>Y</v>
      </c>
      <c r="BW572" s="300" t="str">
        <f t="shared" si="810"/>
        <v>Y</v>
      </c>
      <c r="BY572" s="355">
        <f t="shared" si="811"/>
        <v>0</v>
      </c>
      <c r="BZ572" s="356">
        <f t="shared" si="812"/>
        <v>0.9</v>
      </c>
      <c r="CA572" s="356">
        <f t="shared" si="813"/>
        <v>0</v>
      </c>
      <c r="CB572" s="357">
        <f t="shared" si="814"/>
        <v>0.9</v>
      </c>
      <c r="CD572" s="312">
        <f t="shared" si="815"/>
        <v>564</v>
      </c>
    </row>
    <row r="573" spans="1:82" s="48" customFormat="1" outlineLevel="1" x14ac:dyDescent="0.3">
      <c r="A573" s="202"/>
      <c r="D573" s="48" t="s">
        <v>1411</v>
      </c>
      <c r="E573" s="48" t="s">
        <v>38</v>
      </c>
      <c r="F573" s="755"/>
      <c r="G573" s="755"/>
      <c r="H573" s="755"/>
      <c r="I573" s="755"/>
      <c r="J573" s="755"/>
      <c r="K573" s="755"/>
      <c r="L573" s="454"/>
      <c r="M573" s="455"/>
      <c r="N573" s="456"/>
      <c r="O573" s="211">
        <f>'AVA Metrics'!C16</f>
        <v>69.593936610013785</v>
      </c>
      <c r="P573" s="212">
        <f>'AVA Metrics'!D16</f>
        <v>36.411575562700961</v>
      </c>
      <c r="Q573" s="749"/>
      <c r="R573" s="454">
        <f>O573</f>
        <v>69.593936610013785</v>
      </c>
      <c r="S573" s="455">
        <f>P573*$B$575</f>
        <v>15.95058651921315</v>
      </c>
      <c r="T573" s="230">
        <f t="shared" si="841"/>
        <v>0.22919506060701902</v>
      </c>
      <c r="U573" s="264"/>
      <c r="V573" s="265"/>
      <c r="W573" s="265"/>
      <c r="X573" s="265"/>
      <c r="Y573" s="266"/>
      <c r="Z573" s="265">
        <f t="shared" si="863"/>
        <v>7859.2925946096848</v>
      </c>
      <c r="AA573" s="265">
        <f t="shared" si="863"/>
        <v>1904.5780246052686</v>
      </c>
      <c r="AB573" s="265">
        <f t="shared" si="863"/>
        <v>4019.2419441723018</v>
      </c>
      <c r="AC573" s="266">
        <f t="shared" si="863"/>
        <v>3655.604790583111</v>
      </c>
      <c r="AD573" s="265">
        <f t="shared" si="846"/>
        <v>7859.2925946096848</v>
      </c>
      <c r="AE573" s="265">
        <f t="shared" si="847"/>
        <v>1904.5780246052686</v>
      </c>
      <c r="AF573" s="265">
        <f t="shared" si="848"/>
        <v>4019.2419441723018</v>
      </c>
      <c r="AG573" s="266">
        <f t="shared" si="849"/>
        <v>3655.604790583111</v>
      </c>
      <c r="AH573" s="265">
        <f t="shared" si="850"/>
        <v>7859.2925946096848</v>
      </c>
      <c r="AI573" s="265">
        <f t="shared" si="850"/>
        <v>1904.5780246052686</v>
      </c>
      <c r="AJ573" s="265">
        <f t="shared" si="850"/>
        <v>4019.2419441723018</v>
      </c>
      <c r="AK573" s="265">
        <f t="shared" si="850"/>
        <v>3655.604790583111</v>
      </c>
      <c r="AL573" s="266">
        <f t="shared" ref="AL573" si="865">SUM(AH573:AK573)</f>
        <v>17438.717353970365</v>
      </c>
      <c r="AM573" s="347"/>
      <c r="AN573" s="264">
        <f>IFERROR(VLOOKUP($A573,'HH &amp; SI'!$B$4:$Z$494,'HH &amp; SI'!V$503,0),0)</f>
        <v>0</v>
      </c>
      <c r="AO573" s="265">
        <f>IFERROR(VLOOKUP($A573,'HH &amp; SI'!$B$4:$Z$494,'HH &amp; SI'!W$503,0),0)</f>
        <v>0</v>
      </c>
      <c r="AP573" s="265">
        <f>IFERROR(VLOOKUP($A573,'HH &amp; SI'!$B$4:$Z$494,'HH &amp; SI'!X$503,0),0)</f>
        <v>0</v>
      </c>
      <c r="AQ573" s="265">
        <f>IFERROR(VLOOKUP($A573,'HH &amp; SI'!$B$4:$Z$494,'HH &amp; SI'!Y$503,0),0)</f>
        <v>0</v>
      </c>
      <c r="AR573" s="266">
        <f t="shared" si="852"/>
        <v>0</v>
      </c>
      <c r="AS573" s="347"/>
      <c r="AT573" s="324">
        <f>IFERROR(VLOOKUP(A573,'Afton FY16 Final'!$A$5:$BV$572,'Afton FY16 Final'!$BV$587,0),0)</f>
        <v>0</v>
      </c>
      <c r="AU573" s="347"/>
      <c r="AV573" s="454">
        <v>0</v>
      </c>
      <c r="AW573" s="265">
        <f>IFERROR(VLOOKUP($A573,'HH &amp; SI'!$B$4:$EY$503,'HH &amp; SI'!EX$503,0),0)</f>
        <v>0</v>
      </c>
      <c r="AX573" s="265">
        <f>IFERROR(VLOOKUP($A573,'HH &amp; SI'!$B$4:$EY$503,'HH &amp; SI'!EY$503,0),0)</f>
        <v>0</v>
      </c>
      <c r="AY573" s="265"/>
      <c r="AZ573" s="266"/>
      <c r="BA573" s="264"/>
      <c r="BB573" s="265"/>
      <c r="BC573" s="342" t="str">
        <f t="shared" si="807"/>
        <v/>
      </c>
      <c r="BD573" s="347"/>
      <c r="BE573" s="377">
        <f>'Original Title I &amp; II'!AZ570</f>
        <v>0</v>
      </c>
      <c r="BF573" s="244"/>
      <c r="BG573" s="266">
        <f t="shared" si="836"/>
        <v>0</v>
      </c>
      <c r="BI573" s="203"/>
      <c r="BJ573" s="203"/>
      <c r="BK573" s="203"/>
      <c r="BL573" s="203"/>
      <c r="BM573" s="203"/>
      <c r="BN573" s="200"/>
      <c r="BP573" s="298" t="s">
        <v>1448</v>
      </c>
      <c r="BQ573" s="299" t="str">
        <f t="shared" si="808"/>
        <v>Y</v>
      </c>
      <c r="BR573" s="300" t="s">
        <v>1448</v>
      </c>
      <c r="BT573" s="298" t="str">
        <f t="shared" si="809"/>
        <v>Y</v>
      </c>
      <c r="BU573" s="299" t="str">
        <f t="shared" si="861"/>
        <v>Y</v>
      </c>
      <c r="BV573" s="299" t="str">
        <f t="shared" si="862"/>
        <v>Y</v>
      </c>
      <c r="BW573" s="300" t="str">
        <f t="shared" si="810"/>
        <v>Y</v>
      </c>
      <c r="BY573" s="355">
        <f t="shared" si="811"/>
        <v>0</v>
      </c>
      <c r="BZ573" s="356">
        <f t="shared" si="812"/>
        <v>0.9</v>
      </c>
      <c r="CA573" s="356">
        <f t="shared" si="813"/>
        <v>0</v>
      </c>
      <c r="CB573" s="357">
        <f t="shared" si="814"/>
        <v>0.9</v>
      </c>
      <c r="CD573" s="312">
        <f t="shared" si="815"/>
        <v>565</v>
      </c>
    </row>
    <row r="574" spans="1:82" s="197" customFormat="1" outlineLevel="1" x14ac:dyDescent="0.3">
      <c r="A574" s="196"/>
      <c r="D574" s="197" t="s">
        <v>878</v>
      </c>
      <c r="F574" s="756"/>
      <c r="G574" s="756"/>
      <c r="H574" s="756"/>
      <c r="I574" s="756"/>
      <c r="J574" s="756"/>
      <c r="K574" s="756"/>
      <c r="L574" s="757"/>
      <c r="M574" s="758"/>
      <c r="N574" s="768"/>
      <c r="O574" s="214"/>
      <c r="P574" s="216"/>
      <c r="Q574" s="750"/>
      <c r="R574" s="757">
        <f>SUM(R569:R573)</f>
        <v>2662.5939366100138</v>
      </c>
      <c r="S574" s="758">
        <f>SUM(S569:S573)</f>
        <v>897.33458544541281</v>
      </c>
      <c r="T574" s="231"/>
      <c r="U574" s="267"/>
      <c r="V574" s="268"/>
      <c r="W574" s="268"/>
      <c r="X574" s="268"/>
      <c r="Y574" s="269"/>
      <c r="Z574" s="268">
        <f>SUM(Z569:Z573)</f>
        <v>442141.42556973401</v>
      </c>
      <c r="AA574" s="268">
        <f>SUM(AA569:AA573)</f>
        <v>107146.13723445199</v>
      </c>
      <c r="AB574" s="268">
        <f>SUM(AB569:AB573)</f>
        <v>226111.10879429799</v>
      </c>
      <c r="AC574" s="269">
        <f>SUM(AC569:AC573)</f>
        <v>205653.91782671449</v>
      </c>
      <c r="AD574" s="268"/>
      <c r="AE574" s="268"/>
      <c r="AF574" s="268"/>
      <c r="AG574" s="269"/>
      <c r="AH574" s="268"/>
      <c r="AI574" s="268"/>
      <c r="AJ574" s="268"/>
      <c r="AK574" s="268"/>
      <c r="AL574" s="269"/>
      <c r="AM574" s="348"/>
      <c r="AN574" s="267"/>
      <c r="AO574" s="268"/>
      <c r="AP574" s="268"/>
      <c r="AQ574" s="268"/>
      <c r="AR574" s="269"/>
      <c r="AS574" s="348"/>
      <c r="AT574" s="325"/>
      <c r="AU574" s="348"/>
      <c r="AV574" s="757"/>
      <c r="AW574" s="268"/>
      <c r="AX574" s="268"/>
      <c r="AY574" s="268"/>
      <c r="AZ574" s="269"/>
      <c r="BA574" s="267"/>
      <c r="BB574" s="268"/>
      <c r="BC574" s="343" t="str">
        <f t="shared" si="807"/>
        <v/>
      </c>
      <c r="BD574" s="348"/>
      <c r="BE574" s="371"/>
      <c r="BF574" s="369"/>
      <c r="BG574" s="269"/>
      <c r="BI574" s="198"/>
      <c r="BL574" s="198"/>
      <c r="BN574" s="199"/>
      <c r="BP574" s="301" t="s">
        <v>1450</v>
      </c>
      <c r="BQ574" s="302" t="str">
        <f t="shared" si="808"/>
        <v>N</v>
      </c>
      <c r="BR574" s="303" t="s">
        <v>1448</v>
      </c>
      <c r="BT574" s="301" t="str">
        <f t="shared" si="809"/>
        <v>N</v>
      </c>
      <c r="BU574" s="302" t="s">
        <v>1450</v>
      </c>
      <c r="BV574" s="302" t="s">
        <v>1450</v>
      </c>
      <c r="BW574" s="303" t="s">
        <v>1450</v>
      </c>
      <c r="BY574" s="358">
        <f t="shared" si="811"/>
        <v>0.85</v>
      </c>
      <c r="BZ574" s="359">
        <f t="shared" si="812"/>
        <v>0</v>
      </c>
      <c r="CA574" s="359">
        <f t="shared" si="813"/>
        <v>0</v>
      </c>
      <c r="CB574" s="360">
        <f t="shared" si="814"/>
        <v>0.85</v>
      </c>
      <c r="CD574" s="313">
        <f t="shared" si="815"/>
        <v>566</v>
      </c>
    </row>
    <row r="575" spans="1:82" s="197" customFormat="1" outlineLevel="1" x14ac:dyDescent="0.3">
      <c r="A575" s="196" t="s">
        <v>880</v>
      </c>
      <c r="B575" s="197">
        <f>M575/P575</f>
        <v>0.43806361775656044</v>
      </c>
      <c r="D575" s="197" t="s">
        <v>879</v>
      </c>
      <c r="E575" s="197">
        <f t="shared" ref="E575:K575" si="866">SUM(E560:E573)</f>
        <v>0</v>
      </c>
      <c r="F575" s="756">
        <f t="shared" si="866"/>
        <v>11209</v>
      </c>
      <c r="G575" s="756">
        <f t="shared" si="866"/>
        <v>50</v>
      </c>
      <c r="H575" s="756">
        <f t="shared" si="866"/>
        <v>0</v>
      </c>
      <c r="I575" s="756">
        <f t="shared" si="866"/>
        <v>211</v>
      </c>
      <c r="J575" s="756">
        <f t="shared" si="866"/>
        <v>0</v>
      </c>
      <c r="K575" s="756">
        <f t="shared" si="866"/>
        <v>11259</v>
      </c>
      <c r="L575" s="757">
        <f>SUM(L560:L573)</f>
        <v>37920</v>
      </c>
      <c r="M575" s="758">
        <f>SUM(M560:M573)</f>
        <v>11470</v>
      </c>
      <c r="N575" s="768"/>
      <c r="O575" s="217">
        <f>SUM(O560:O573)</f>
        <v>34590.593936610014</v>
      </c>
      <c r="P575" s="218">
        <f>SUM(P560:P573)</f>
        <v>26183.411575562703</v>
      </c>
      <c r="Q575" s="750"/>
      <c r="R575" s="757">
        <f>SUM(R560:R573)</f>
        <v>37920</v>
      </c>
      <c r="S575" s="758">
        <f>SUM(S560:S573)</f>
        <v>11470</v>
      </c>
      <c r="T575" s="231"/>
      <c r="U575" s="267">
        <f>SUM(U560:U573)</f>
        <v>5651584.4073563274</v>
      </c>
      <c r="V575" s="268">
        <f t="shared" ref="V575:AL575" si="867">SUM(V560:V573)</f>
        <v>1369574.0853108191</v>
      </c>
      <c r="W575" s="268">
        <f t="shared" si="867"/>
        <v>2890220.0583110889</v>
      </c>
      <c r="X575" s="268">
        <f t="shared" si="867"/>
        <v>2628730.1032775249</v>
      </c>
      <c r="Y575" s="269">
        <f t="shared" si="867"/>
        <v>12540108.654255761</v>
      </c>
      <c r="Z575" s="268">
        <f t="shared" si="867"/>
        <v>5651584.4073563283</v>
      </c>
      <c r="AA575" s="268">
        <f t="shared" si="867"/>
        <v>1369574.0853108196</v>
      </c>
      <c r="AB575" s="268">
        <f t="shared" si="867"/>
        <v>2890220.0583110889</v>
      </c>
      <c r="AC575" s="269">
        <f t="shared" si="867"/>
        <v>2628730.1032775259</v>
      </c>
      <c r="AD575" s="268">
        <f t="shared" si="867"/>
        <v>5651584.4073563283</v>
      </c>
      <c r="AE575" s="268">
        <f t="shared" si="867"/>
        <v>1369574.0853108196</v>
      </c>
      <c r="AF575" s="268">
        <f t="shared" si="867"/>
        <v>2890220.0583110889</v>
      </c>
      <c r="AG575" s="269">
        <f t="shared" si="867"/>
        <v>2628730.1032775259</v>
      </c>
      <c r="AH575" s="268">
        <f t="shared" si="867"/>
        <v>5651584.4073563283</v>
      </c>
      <c r="AI575" s="268">
        <f t="shared" si="867"/>
        <v>1369574.0853108196</v>
      </c>
      <c r="AJ575" s="268">
        <f t="shared" si="867"/>
        <v>2890220.0583110889</v>
      </c>
      <c r="AK575" s="268">
        <f t="shared" si="867"/>
        <v>2628730.1032775259</v>
      </c>
      <c r="AL575" s="269">
        <f t="shared" si="867"/>
        <v>12540108.654255761</v>
      </c>
      <c r="AM575" s="348"/>
      <c r="AN575" s="267">
        <f t="shared" ref="AN575:AR575" si="868">SUM(AN560:AN573)</f>
        <v>5624423.5092717549</v>
      </c>
      <c r="AO575" s="268">
        <f t="shared" ref="AO575" si="869">SUM(AO560:AO573)</f>
        <v>1345037.5106005904</v>
      </c>
      <c r="AP575" s="268">
        <f t="shared" si="868"/>
        <v>2884725.9396824944</v>
      </c>
      <c r="AQ575" s="268">
        <f t="shared" si="868"/>
        <v>2646179.3191103847</v>
      </c>
      <c r="AR575" s="269">
        <f t="shared" si="868"/>
        <v>12500366.278665224</v>
      </c>
      <c r="AS575" s="348"/>
      <c r="AT575" s="325">
        <f t="shared" ref="AT575:BB575" si="870">SUM(AT560:AT573)</f>
        <v>11843153.670423426</v>
      </c>
      <c r="AU575" s="348"/>
      <c r="AV575" s="757">
        <f t="shared" si="870"/>
        <v>0</v>
      </c>
      <c r="AW575" s="268">
        <f t="shared" si="870"/>
        <v>388939.53188132867</v>
      </c>
      <c r="AX575" s="268">
        <f t="shared" si="870"/>
        <v>12111426.746783897</v>
      </c>
      <c r="AY575" s="268">
        <f t="shared" si="870"/>
        <v>115915.05443429602</v>
      </c>
      <c r="AZ575" s="269">
        <f t="shared" si="870"/>
        <v>11995511.692349598</v>
      </c>
      <c r="BA575" s="267">
        <f t="shared" si="870"/>
        <v>119955.11692349601</v>
      </c>
      <c r="BB575" s="268">
        <f t="shared" si="870"/>
        <v>11875556.575426104</v>
      </c>
      <c r="BC575" s="343">
        <f t="shared" si="807"/>
        <v>1.0027360030870494</v>
      </c>
      <c r="BD575" s="348"/>
      <c r="BE575" s="371">
        <f t="shared" ref="BE575:BG575" si="871">SUM(BE560:BE573)</f>
        <v>0</v>
      </c>
      <c r="BF575" s="369">
        <f t="shared" si="871"/>
        <v>0</v>
      </c>
      <c r="BG575" s="269">
        <f t="shared" si="871"/>
        <v>11875556.575426104</v>
      </c>
      <c r="BI575" s="198"/>
      <c r="BL575" s="198"/>
      <c r="BN575" s="199"/>
      <c r="BP575" s="301" t="s">
        <v>1450</v>
      </c>
      <c r="BQ575" s="302" t="str">
        <f t="shared" si="808"/>
        <v>N</v>
      </c>
      <c r="BR575" s="303" t="s">
        <v>1448</v>
      </c>
      <c r="BT575" s="301" t="str">
        <f t="shared" si="809"/>
        <v>N</v>
      </c>
      <c r="BU575" s="302" t="s">
        <v>1450</v>
      </c>
      <c r="BV575" s="302" t="s">
        <v>1450</v>
      </c>
      <c r="BW575" s="303" t="s">
        <v>1450</v>
      </c>
      <c r="BY575" s="358">
        <f t="shared" si="811"/>
        <v>0.85</v>
      </c>
      <c r="BZ575" s="359">
        <f t="shared" si="812"/>
        <v>0</v>
      </c>
      <c r="CA575" s="359">
        <f t="shared" si="813"/>
        <v>0</v>
      </c>
      <c r="CB575" s="360">
        <f t="shared" si="814"/>
        <v>0.85</v>
      </c>
      <c r="CD575" s="313">
        <f t="shared" si="815"/>
        <v>567</v>
      </c>
    </row>
    <row r="576" spans="1:82" s="197" customFormat="1" outlineLevel="1" x14ac:dyDescent="0.3">
      <c r="L576" s="213"/>
      <c r="M576" s="214"/>
      <c r="N576" s="215"/>
      <c r="O576" s="214"/>
      <c r="P576" s="216"/>
      <c r="Q576" s="750"/>
      <c r="R576" s="757"/>
      <c r="S576" s="758"/>
      <c r="T576" s="231"/>
      <c r="U576" s="267">
        <f>U575/$S575</f>
        <v>492.72749846175481</v>
      </c>
      <c r="V576" s="268">
        <f>V575/$S575</f>
        <v>119.40488973939138</v>
      </c>
      <c r="W576" s="268">
        <f>W575/$S575</f>
        <v>251.98082461299816</v>
      </c>
      <c r="X576" s="268">
        <f>X575/$S575</f>
        <v>229.18309531626198</v>
      </c>
      <c r="Y576" s="269"/>
      <c r="Z576" s="268"/>
      <c r="AA576" s="268"/>
      <c r="AB576" s="268"/>
      <c r="AC576" s="269"/>
      <c r="AD576" s="268">
        <f>(Z575-AD575)/COUNT(AD560:AD573)</f>
        <v>0</v>
      </c>
      <c r="AE576" s="268">
        <f>(AA575-AE575)/COUNT(AE560:AE573)</f>
        <v>0</v>
      </c>
      <c r="AF576" s="268">
        <f>(AB575-AF575)/COUNT(AF560:AF573)</f>
        <v>0</v>
      </c>
      <c r="AG576" s="269">
        <f>(AC575-AG575)/COUNT(AG560:AG573)</f>
        <v>0</v>
      </c>
      <c r="AH576" s="268"/>
      <c r="AI576" s="268"/>
      <c r="AJ576" s="268"/>
      <c r="AK576" s="268"/>
      <c r="AL576" s="280"/>
      <c r="AM576" s="348"/>
      <c r="AN576" s="267"/>
      <c r="AO576" s="268"/>
      <c r="AP576" s="268"/>
      <c r="AQ576" s="268"/>
      <c r="AR576" s="280"/>
      <c r="AS576" s="348"/>
      <c r="AT576" s="325"/>
      <c r="AU576" s="348"/>
      <c r="AV576" s="757"/>
      <c r="AW576" s="268"/>
      <c r="AX576" s="268"/>
      <c r="AY576" s="268"/>
      <c r="AZ576" s="269"/>
      <c r="BA576" s="267"/>
      <c r="BB576" s="268"/>
      <c r="BC576" s="343" t="str">
        <f t="shared" si="807"/>
        <v/>
      </c>
      <c r="BD576" s="348"/>
      <c r="BE576" s="371"/>
      <c r="BF576" s="369"/>
      <c r="BG576" s="269"/>
      <c r="BI576" s="198"/>
      <c r="BL576" s="198"/>
      <c r="BN576" s="199"/>
      <c r="BP576" s="301" t="s">
        <v>1450</v>
      </c>
      <c r="BQ576" s="302" t="str">
        <f t="shared" si="808"/>
        <v>N</v>
      </c>
      <c r="BR576" s="303" t="s">
        <v>1448</v>
      </c>
      <c r="BT576" s="301" t="str">
        <f t="shared" si="809"/>
        <v>N</v>
      </c>
      <c r="BU576" s="302" t="s">
        <v>1450</v>
      </c>
      <c r="BV576" s="302" t="s">
        <v>1450</v>
      </c>
      <c r="BW576" s="303" t="s">
        <v>1450</v>
      </c>
      <c r="BY576" s="358">
        <f t="shared" si="811"/>
        <v>0.85</v>
      </c>
      <c r="BZ576" s="359">
        <f t="shared" si="812"/>
        <v>0</v>
      </c>
      <c r="CA576" s="359">
        <f t="shared" si="813"/>
        <v>0</v>
      </c>
      <c r="CB576" s="360">
        <f t="shared" si="814"/>
        <v>0.85</v>
      </c>
      <c r="CD576" s="313">
        <f t="shared" si="815"/>
        <v>568</v>
      </c>
    </row>
    <row r="577" spans="1:98" s="199" customFormat="1" x14ac:dyDescent="0.3">
      <c r="L577" s="219"/>
      <c r="M577" s="220"/>
      <c r="N577" s="221"/>
      <c r="O577" s="220"/>
      <c r="P577" s="222"/>
      <c r="Q577" s="751"/>
      <c r="R577" s="509"/>
      <c r="S577" s="510"/>
      <c r="T577" s="232"/>
      <c r="U577" s="270"/>
      <c r="V577" s="271"/>
      <c r="W577" s="271"/>
      <c r="X577" s="271"/>
      <c r="Y577" s="272"/>
      <c r="Z577" s="271"/>
      <c r="AA577" s="271"/>
      <c r="AB577" s="271"/>
      <c r="AC577" s="272"/>
      <c r="AD577" s="271"/>
      <c r="AE577" s="271"/>
      <c r="AF577" s="271"/>
      <c r="AG577" s="272"/>
      <c r="AH577" s="271"/>
      <c r="AI577" s="271"/>
      <c r="AJ577" s="271"/>
      <c r="AK577" s="271"/>
      <c r="AL577" s="272"/>
      <c r="AM577" s="349"/>
      <c r="AN577" s="270"/>
      <c r="AO577" s="271"/>
      <c r="AP577" s="271"/>
      <c r="AQ577" s="271"/>
      <c r="AR577" s="272"/>
      <c r="AS577" s="349"/>
      <c r="AT577" s="326"/>
      <c r="AU577" s="349"/>
      <c r="AV577" s="509"/>
      <c r="AW577" s="271"/>
      <c r="AX577" s="271"/>
      <c r="AY577" s="271"/>
      <c r="AZ577" s="272"/>
      <c r="BA577" s="270"/>
      <c r="BB577" s="271"/>
      <c r="BC577" s="344" t="str">
        <f t="shared" si="807"/>
        <v/>
      </c>
      <c r="BD577" s="349"/>
      <c r="BE577" s="375"/>
      <c r="BF577" s="245"/>
      <c r="BG577" s="272"/>
      <c r="BI577" s="200"/>
      <c r="BL577" s="200"/>
      <c r="BP577" s="304" t="s">
        <v>1450</v>
      </c>
      <c r="BQ577" s="305" t="str">
        <f t="shared" si="808"/>
        <v>N</v>
      </c>
      <c r="BR577" s="306" t="s">
        <v>1448</v>
      </c>
      <c r="BT577" s="304" t="str">
        <f t="shared" si="809"/>
        <v>N</v>
      </c>
      <c r="BU577" s="305" t="s">
        <v>1450</v>
      </c>
      <c r="BV577" s="305" t="s">
        <v>1450</v>
      </c>
      <c r="BW577" s="306" t="s">
        <v>1450</v>
      </c>
      <c r="BY577" s="361">
        <f t="shared" si="811"/>
        <v>0.85</v>
      </c>
      <c r="BZ577" s="362">
        <f t="shared" si="812"/>
        <v>0</v>
      </c>
      <c r="CA577" s="362">
        <f t="shared" si="813"/>
        <v>0</v>
      </c>
      <c r="CB577" s="363">
        <f t="shared" si="814"/>
        <v>0.85</v>
      </c>
      <c r="CD577" s="314">
        <f t="shared" si="815"/>
        <v>569</v>
      </c>
    </row>
    <row r="578" spans="1:98" x14ac:dyDescent="0.3">
      <c r="A578" s="47">
        <v>108796000</v>
      </c>
      <c r="B578" s="47">
        <f>VLOOKUP(C578,'NCES ID'!$A$2:$B$3136,2,FALSE)</f>
        <v>400432</v>
      </c>
      <c r="C578" s="47">
        <f>VLOOKUP(A578,'State ID'!$A$2:$B$713,2,FALSE)</f>
        <v>87405</v>
      </c>
      <c r="D578" s="191" t="s">
        <v>1407</v>
      </c>
      <c r="L578" s="206"/>
      <c r="M578" s="137"/>
      <c r="N578" s="207"/>
      <c r="O578" s="224">
        <f>SUM(O17,O48,O66,O81,O95,O104,O115,O356,O381,O401,O463,O498,O511,O555,O573)</f>
        <v>3986.9999999999991</v>
      </c>
      <c r="P578" s="225">
        <f>SUM(P17,P48,P66,P81,P95,P104,P115,P356,P381,P401,P463,P498,P511,P555,P573)</f>
        <v>2085.9999999999995</v>
      </c>
      <c r="Q578" s="748"/>
      <c r="R578" s="444">
        <f>SUM(R17,R48,R66,R81,R95,R104,R115,R356,R381,R401,R463,R498,R511,R555,R573)</f>
        <v>3986.9999999999991</v>
      </c>
      <c r="S578" s="445">
        <f>SUM(S17,S48,S66,S81,S95,S104,S115,S356,S381,S401,S463,S498,S511,S555,S573)</f>
        <v>1080.1026553866375</v>
      </c>
      <c r="T578" s="229">
        <f t="shared" ref="T578" si="872">S578/R578</f>
        <v>0.2709061086999342</v>
      </c>
      <c r="U578" s="261"/>
      <c r="V578" s="262"/>
      <c r="W578" s="262"/>
      <c r="X578" s="262"/>
      <c r="Y578" s="263"/>
      <c r="Z578" s="262"/>
      <c r="AA578" s="262"/>
      <c r="AB578" s="262"/>
      <c r="AC578" s="263"/>
      <c r="AD578" s="262"/>
      <c r="AE578" s="262"/>
      <c r="AF578" s="262"/>
      <c r="AG578" s="263"/>
      <c r="AH578" s="262">
        <f>SUM(AH17,AH48,AH66,AH81,AH95,AH104,AH115,AH356,AH381,AH401,AH463,AH498,AH511,AH555,AH573)</f>
        <v>525281.40923406114</v>
      </c>
      <c r="AI578" s="262">
        <f>SUM(AI17,AI48,AI66,AI81,AI95,AI104,AI115,AI356,AI381,AI401,AI463,AI498,AI511,AI555,AI573)</f>
        <v>126535.2366127852</v>
      </c>
      <c r="AJ578" s="262">
        <f>SUM(AJ17,AJ48,AJ66,AJ81,AJ95,AJ104,AJ115,AJ356,AJ381,AJ401,AJ463,AJ498,AJ511,AJ555,AJ573)</f>
        <v>292517.19640507805</v>
      </c>
      <c r="AK578" s="262">
        <f>SUM(AK17,AK48,AK66,AK81,AK95,AK104,AK115,AK356,AK381,AK401,AK463,AK498,AK511,AK555,AK573)</f>
        <v>272275.25462768361</v>
      </c>
      <c r="AL578" s="263">
        <f>SUM(AL17,AL48,AL66,AL81,AL95,AL104,AL115,AL356,AL381,AL401,AL463,AL498,AL511,AL555,AL573)</f>
        <v>1216609.096879608</v>
      </c>
      <c r="AM578" s="346"/>
      <c r="AN578" s="261">
        <f>'HH &amp; SI'!V496</f>
        <v>518116.22987103264</v>
      </c>
      <c r="AO578" s="262">
        <f>'HH &amp; SI'!W496</f>
        <v>122367.62854363892</v>
      </c>
      <c r="AP578" s="262">
        <f>'HH &amp; SI'!X496</f>
        <v>289856.86671279493</v>
      </c>
      <c r="AQ578" s="262">
        <f>'HH &amp; SI'!Y496</f>
        <v>269275.27144218091</v>
      </c>
      <c r="AR578" s="263">
        <f t="shared" ref="AR578" si="873">SUM(AN578:AQ578)</f>
        <v>1199615.9965696475</v>
      </c>
      <c r="AS578" s="346"/>
      <c r="AT578" s="323">
        <f>'Afton FY16 Final'!BV568</f>
        <v>982876.40870209469</v>
      </c>
      <c r="AU578" s="346"/>
      <c r="AV578" s="444">
        <v>0</v>
      </c>
      <c r="AW578" s="262">
        <f>IFERROR(VLOOKUP($A578,'HH &amp; SI'!$B$4:$EY$503,'HH &amp; SI'!EX$503,0),0)</f>
        <v>67194.211932703853</v>
      </c>
      <c r="AX578" s="262">
        <f>IFERROR(VLOOKUP($A578,'HH &amp; SI'!$B$4:$EY$503,'HH &amp; SI'!EY$503,0),0)</f>
        <v>1132421.7846369436</v>
      </c>
      <c r="AY578" s="262">
        <f>AX578/$AX$582*'update_State Admin 1004(b)'!$B$30*0.01</f>
        <v>10838.089975124556</v>
      </c>
      <c r="AZ578" s="263">
        <f t="shared" ref="AZ578" si="874">AX578-AY578</f>
        <v>1121583.6946618191</v>
      </c>
      <c r="BA578" s="261">
        <f t="shared" ref="BA578" si="875">AZ578*0.01</f>
        <v>11215.836946618192</v>
      </c>
      <c r="BB578" s="262">
        <f t="shared" ref="BB578" si="876">AZ578-BA578</f>
        <v>1110367.8577152009</v>
      </c>
      <c r="BC578" s="341">
        <f t="shared" si="807"/>
        <v>1.129712594466949</v>
      </c>
      <c r="BD578" s="346"/>
      <c r="BE578" s="374"/>
      <c r="BF578" s="243"/>
      <c r="BG578" s="263">
        <f>IF(BF578&lt;0,BB578+BF578,BB578)</f>
        <v>1110367.8577152009</v>
      </c>
      <c r="BI578" s="31" t="str">
        <f>IFERROR(VLOOKUP(A578,'Title II Hold Harmless'!A$1:B$439,2, FALSE),"")</f>
        <v/>
      </c>
      <c r="BJ578" s="31">
        <f>IFERROR($BI$587*(0.8*($S578/$S$584)+0.2*($R578/$R$584))+$BI578,$BI$587*(0.8*($S578/$S$584)+0.2*($R578/$R$584)))</f>
        <v>17348.24405080402</v>
      </c>
      <c r="BK578" s="31">
        <f>$BI$588*BJ578</f>
        <v>17365.026600871704</v>
      </c>
      <c r="BM578" s="31">
        <f t="shared" ref="BM578" si="877">IF(BL578&lt;0,BK578+BL578,BK578)</f>
        <v>17365.026600871704</v>
      </c>
      <c r="BN578" s="200"/>
      <c r="BP578" s="298" t="s">
        <v>1448</v>
      </c>
      <c r="BQ578" s="299" t="str">
        <f t="shared" si="808"/>
        <v>Y</v>
      </c>
      <c r="BR578" s="300" t="s">
        <v>1448</v>
      </c>
      <c r="BT578" s="298" t="str">
        <f t="shared" si="809"/>
        <v>Y</v>
      </c>
      <c r="BU578" s="299" t="str">
        <f>IF(AND(BT578="Y",(OR(T578&gt;0.15,S578&gt;6500))),"Y","N")</f>
        <v>Y</v>
      </c>
      <c r="BV578" s="299" t="str">
        <f>IF(AND(BT578="Y",T578&gt;=0.05),"Y","N")</f>
        <v>Y</v>
      </c>
      <c r="BW578" s="300" t="str">
        <f t="shared" ref="BW578" si="878">BV578</f>
        <v>Y</v>
      </c>
      <c r="BY578" s="355">
        <f t="shared" ref="BY578:BY579" si="879">IF(BT578="NA","NA",IF($T578&lt;0.15,0.85,0))</f>
        <v>0</v>
      </c>
      <c r="BZ578" s="356">
        <f t="shared" ref="BZ578:BZ579" si="880">IF(BT578="NA","NA",IF(AND($T578&gt;=0.15,$T578&lt;0.3),0.9,0))</f>
        <v>0.9</v>
      </c>
      <c r="CA578" s="356">
        <f t="shared" ref="CA578:CA579" si="881">IF(BT578="NA","NA",IF($T578&gt;=0.3,0.95,0))</f>
        <v>0</v>
      </c>
      <c r="CB578" s="357">
        <f t="shared" ref="CB578:CB579" si="882">IF(BY578="NA","NA",MAX(BY578:CA578))</f>
        <v>0.9</v>
      </c>
      <c r="CD578" s="311">
        <f t="shared" si="815"/>
        <v>570</v>
      </c>
    </row>
    <row r="579" spans="1:98" s="199" customFormat="1" collapsed="1" x14ac:dyDescent="0.3">
      <c r="L579" s="219"/>
      <c r="M579" s="220"/>
      <c r="N579" s="221"/>
      <c r="O579" s="220"/>
      <c r="P579" s="222"/>
      <c r="Q579" s="751"/>
      <c r="R579" s="509"/>
      <c r="S579" s="510"/>
      <c r="T579" s="232"/>
      <c r="U579" s="270"/>
      <c r="V579" s="271"/>
      <c r="W579" s="271"/>
      <c r="X579" s="271"/>
      <c r="Y579" s="272"/>
      <c r="Z579" s="271"/>
      <c r="AA579" s="271"/>
      <c r="AB579" s="271"/>
      <c r="AC579" s="272"/>
      <c r="AD579" s="271"/>
      <c r="AE579" s="271"/>
      <c r="AF579" s="271"/>
      <c r="AG579" s="272"/>
      <c r="AH579" s="271"/>
      <c r="AI579" s="271"/>
      <c r="AJ579" s="271"/>
      <c r="AK579" s="271"/>
      <c r="AL579" s="272"/>
      <c r="AM579" s="349"/>
      <c r="AN579" s="270"/>
      <c r="AO579" s="271"/>
      <c r="AP579" s="271"/>
      <c r="AQ579" s="271"/>
      <c r="AR579" s="272"/>
      <c r="AS579" s="349"/>
      <c r="AT579" s="326"/>
      <c r="AU579" s="349"/>
      <c r="AV579" s="509"/>
      <c r="AW579" s="271"/>
      <c r="AX579" s="271"/>
      <c r="AY579" s="271"/>
      <c r="AZ579" s="272"/>
      <c r="BA579" s="270"/>
      <c r="BB579" s="271"/>
      <c r="BC579" s="344" t="str">
        <f t="shared" ref="BC579:BC580" si="883">IFERROR(BB579/AT579,"")</f>
        <v/>
      </c>
      <c r="BD579" s="349"/>
      <c r="BE579" s="375"/>
      <c r="BF579" s="245"/>
      <c r="BG579" s="272"/>
      <c r="BI579" s="200"/>
      <c r="BL579" s="200"/>
      <c r="BP579" s="304" t="s">
        <v>1450</v>
      </c>
      <c r="BQ579" s="305" t="str">
        <f t="shared" ref="BQ579" si="884">IF(OR(BP579="y",BP579="n"),"Y","N")</f>
        <v>N</v>
      </c>
      <c r="BR579" s="306" t="s">
        <v>1448</v>
      </c>
      <c r="BT579" s="304" t="s">
        <v>1450</v>
      </c>
      <c r="BU579" s="305" t="s">
        <v>1450</v>
      </c>
      <c r="BV579" s="305" t="s">
        <v>1450</v>
      </c>
      <c r="BW579" s="306" t="s">
        <v>1450</v>
      </c>
      <c r="BY579" s="361" t="str">
        <f t="shared" si="879"/>
        <v>NA</v>
      </c>
      <c r="BZ579" s="362" t="str">
        <f t="shared" si="880"/>
        <v>NA</v>
      </c>
      <c r="CA579" s="362" t="str">
        <f t="shared" si="881"/>
        <v>NA</v>
      </c>
      <c r="CB579" s="363" t="str">
        <f t="shared" si="882"/>
        <v>NA</v>
      </c>
      <c r="CD579" s="314">
        <f t="shared" si="815"/>
        <v>571</v>
      </c>
    </row>
    <row r="580" spans="1:98" x14ac:dyDescent="0.3">
      <c r="A580" s="47">
        <v>200900000</v>
      </c>
      <c r="B580" s="47">
        <v>499999</v>
      </c>
      <c r="D580" s="47" t="s">
        <v>571</v>
      </c>
      <c r="L580" s="206"/>
      <c r="M580" s="137"/>
      <c r="N580" s="207"/>
      <c r="O580" s="137"/>
      <c r="P580" s="208"/>
      <c r="Q580" s="748"/>
      <c r="R580" s="444"/>
      <c r="S580" s="445"/>
      <c r="T580" s="229"/>
      <c r="U580" s="261">
        <f>update_Allocation!K235</f>
        <v>621850.40748605819</v>
      </c>
      <c r="V580" s="262">
        <f>update_Allocation!L235</f>
        <v>148130.45466155745</v>
      </c>
      <c r="W580" s="262">
        <f>update_Allocation!M235</f>
        <v>232199.59307884745</v>
      </c>
      <c r="X580" s="262">
        <f>update_Allocation!N235</f>
        <v>180135.32733891142</v>
      </c>
      <c r="Y580" s="263">
        <f>update_Allocation!O235</f>
        <v>1182315.7825653744</v>
      </c>
      <c r="Z580" s="262">
        <f>U580</f>
        <v>621850.40748605819</v>
      </c>
      <c r="AA580" s="262">
        <f t="shared" ref="AA580:AC580" si="885">V580</f>
        <v>148130.45466155745</v>
      </c>
      <c r="AB580" s="262">
        <f t="shared" si="885"/>
        <v>232199.59307884745</v>
      </c>
      <c r="AC580" s="263">
        <f t="shared" si="885"/>
        <v>180135.32733891142</v>
      </c>
      <c r="AD580" s="262">
        <f>Z580</f>
        <v>621850.40748605819</v>
      </c>
      <c r="AE580" s="262">
        <f t="shared" ref="AE580:AK580" si="886">AA580</f>
        <v>148130.45466155745</v>
      </c>
      <c r="AF580" s="262">
        <f t="shared" si="886"/>
        <v>232199.59307884745</v>
      </c>
      <c r="AG580" s="263">
        <f t="shared" si="886"/>
        <v>180135.32733891142</v>
      </c>
      <c r="AH580" s="262">
        <f t="shared" si="886"/>
        <v>621850.40748605819</v>
      </c>
      <c r="AI580" s="262">
        <f t="shared" si="886"/>
        <v>148130.45466155745</v>
      </c>
      <c r="AJ580" s="262">
        <f t="shared" si="886"/>
        <v>232199.59307884745</v>
      </c>
      <c r="AK580" s="262">
        <f t="shared" si="886"/>
        <v>180135.32733891142</v>
      </c>
      <c r="AL580" s="263">
        <f>SUM(AH580:AK580)</f>
        <v>1182315.7825653744</v>
      </c>
      <c r="AM580" s="262"/>
      <c r="AN580" s="261">
        <f>'HH &amp; SI'!V498</f>
        <v>613367.96430744464</v>
      </c>
      <c r="AO580" s="262">
        <f>'HH &amp; SI'!W498</f>
        <v>143251.57906405895</v>
      </c>
      <c r="AP580" s="262">
        <f>'HH &amp; SI'!X498</f>
        <v>230087.82843869861</v>
      </c>
      <c r="AQ580" s="262">
        <f>'HH &amp; SI'!Y498</f>
        <v>178150.5602917895</v>
      </c>
      <c r="AR580" s="263">
        <f t="shared" ref="AR580" si="887">SUM(AN580:AQ580)</f>
        <v>1164857.9321019917</v>
      </c>
      <c r="AS580" s="262"/>
      <c r="AT580" s="323">
        <f>'Afton FY16 Final'!BV570</f>
        <v>764153.24096658989</v>
      </c>
      <c r="AU580" s="262"/>
      <c r="AV580" s="444">
        <v>0</v>
      </c>
      <c r="AW580" s="262">
        <f>IFERROR(VLOOKUP($A580,'HH &amp; SI'!$B$4:$EY$503,'HH &amp; SI'!EX$503,0),0)</f>
        <v>65247.304958398221</v>
      </c>
      <c r="AX580" s="262">
        <f>IFERROR(VLOOKUP($A580,'HH &amp; SI'!$B$4:$EY$503,'HH &amp; SI'!EY$503,0),0)</f>
        <v>1099610.6271435935</v>
      </c>
      <c r="AY580" s="262">
        <f>AX580/$AX$582*'update_State Admin 1004(b)'!$B$30*0.01</f>
        <v>10524.063627410909</v>
      </c>
      <c r="AZ580" s="263">
        <f t="shared" ref="AZ580" si="888">AX580-AY580</f>
        <v>1089086.5635161826</v>
      </c>
      <c r="BA580" s="261">
        <f t="shared" ref="BA580" si="889">AZ580*0.01</f>
        <v>10890.865635161827</v>
      </c>
      <c r="BB580" s="262">
        <f t="shared" ref="BB580" si="890">AZ580-BA580</f>
        <v>1078195.6978810208</v>
      </c>
      <c r="BC580" s="341">
        <f t="shared" si="883"/>
        <v>1.4109679054913038</v>
      </c>
      <c r="BD580" s="262"/>
      <c r="BE580" s="374"/>
      <c r="BF580" s="243"/>
      <c r="BG580" s="263">
        <f>IF(BF580&lt;0,BB580+BF580,BB580)</f>
        <v>1078195.6978810208</v>
      </c>
      <c r="BP580" s="295"/>
      <c r="BQ580" s="137"/>
      <c r="BR580" s="297"/>
      <c r="BT580" s="298" t="s">
        <v>1447</v>
      </c>
      <c r="BU580" s="299" t="s">
        <v>1447</v>
      </c>
      <c r="BV580" s="299" t="s">
        <v>1447</v>
      </c>
      <c r="BW580" s="300" t="s">
        <v>1447</v>
      </c>
      <c r="BY580" s="355">
        <v>0</v>
      </c>
      <c r="BZ580" s="356">
        <v>0</v>
      </c>
      <c r="CA580" s="356">
        <v>0.95</v>
      </c>
      <c r="CB580" s="357">
        <v>0.95</v>
      </c>
      <c r="CD580" s="311">
        <f>CD578+1</f>
        <v>571</v>
      </c>
    </row>
    <row r="581" spans="1:98" x14ac:dyDescent="0.3">
      <c r="L581" s="206"/>
      <c r="M581" s="137"/>
      <c r="N581" s="207"/>
      <c r="O581" s="137"/>
      <c r="P581" s="208"/>
      <c r="Q581" s="748"/>
      <c r="R581" s="444"/>
      <c r="S581" s="445"/>
      <c r="T581" s="229"/>
      <c r="U581" s="261"/>
      <c r="V581" s="262"/>
      <c r="W581" s="262"/>
      <c r="X581" s="262"/>
      <c r="Y581" s="263"/>
      <c r="Z581" s="262"/>
      <c r="AA581" s="262"/>
      <c r="AB581" s="262"/>
      <c r="AC581" s="263"/>
      <c r="AD581" s="262"/>
      <c r="AE581" s="262"/>
      <c r="AF581" s="262"/>
      <c r="AG581" s="263"/>
      <c r="AH581" s="262"/>
      <c r="AI581" s="262"/>
      <c r="AJ581" s="262"/>
      <c r="AK581" s="262"/>
      <c r="AL581" s="263"/>
      <c r="AM581" s="262"/>
      <c r="AN581" s="261"/>
      <c r="AO581" s="262"/>
      <c r="AP581" s="262"/>
      <c r="AQ581" s="262"/>
      <c r="AR581" s="263"/>
      <c r="AS581" s="262"/>
      <c r="AT581" s="323"/>
      <c r="AU581" s="262"/>
      <c r="AV581" s="444"/>
      <c r="AW581" s="262"/>
      <c r="AX581" s="262"/>
      <c r="AY581" s="262"/>
      <c r="AZ581" s="263"/>
      <c r="BA581" s="261"/>
      <c r="BB581" s="262"/>
      <c r="BC581" s="263"/>
      <c r="BD581" s="262"/>
      <c r="BE581" s="374"/>
      <c r="BF581" s="243"/>
      <c r="BG581" s="263"/>
      <c r="BM581" s="31"/>
      <c r="BN581" s="200"/>
      <c r="BP581" s="295"/>
      <c r="BQ581" s="137"/>
      <c r="BR581" s="297"/>
      <c r="BT581" s="206"/>
      <c r="BU581" s="137"/>
      <c r="BV581" s="137"/>
      <c r="BW581" s="208"/>
      <c r="BY581" s="206"/>
      <c r="BZ581" s="137"/>
      <c r="CA581" s="137"/>
      <c r="CB581" s="208"/>
      <c r="CD581" s="311">
        <f t="shared" si="815"/>
        <v>572</v>
      </c>
    </row>
    <row r="582" spans="1:98" s="568" customFormat="1" ht="15" thickBot="1" x14ac:dyDescent="0.35">
      <c r="A582" s="568" t="s">
        <v>898</v>
      </c>
      <c r="B582" s="569">
        <f>SUM(AL19,AL50,AL68,AL83,AL97,AL106,AL117,AL358,AL383,AL403,AL465,AL500,AL513,AL557,AL575)</f>
        <v>332665314.08383369</v>
      </c>
      <c r="L582" s="777">
        <f>SUM(L19,L50,L68,L83,L97,L106,L117,L358,L383,L403,L465,L500,L513,L557,L575)</f>
        <v>1189489</v>
      </c>
      <c r="M582" s="778">
        <f>SUM(M19,M50,M68,M83,M97,M106,M117,M358,M383,M403,M465,M500,M513,M557,M575)</f>
        <v>292514</v>
      </c>
      <c r="N582" s="779">
        <f>SUM(N19,N50,N68,N83,N97,N106,N117,N358,N383,N403,N465,N500,N513,N557,N575)</f>
        <v>0</v>
      </c>
      <c r="O582" s="780">
        <f>SUM(O19,O50,O68,O83,O97,O106,O117,O358,O383,O403,O465,O500,O513,O557,O575)</f>
        <v>977312.00000000012</v>
      </c>
      <c r="P582" s="781">
        <f>SUM(P19,P50,P68,P83,P97,P106,P117,P358,P383,P403,P465,P500,P513,P557,P575)</f>
        <v>574265</v>
      </c>
      <c r="Q582" s="782"/>
      <c r="R582" s="783">
        <f>SUM(R19,R50,R68,R83,R97,R106,R117,R358,R383,R403,R465,R500,R513,R557,R575)</f>
        <v>1189510.0613229214</v>
      </c>
      <c r="S582" s="784">
        <f>SUM(S19,S50,S68,S83,S97,S106,S117,S358,S383,S403,S465,S500,S513,S557,S575)</f>
        <v>292513.99999999988</v>
      </c>
      <c r="T582" s="785"/>
      <c r="U582" s="786">
        <f t="shared" ref="U582:AL582" si="891">SUM(U19,U50,U68,U83,U97,U106,U117,U358,U383,U403,U465,U500,U513,U557,U575,U580)</f>
        <v>144342915.73710904</v>
      </c>
      <c r="V582" s="787">
        <f t="shared" si="891"/>
        <v>31458698.270372376</v>
      </c>
      <c r="W582" s="787">
        <f t="shared" si="891"/>
        <v>81683541.747701183</v>
      </c>
      <c r="X582" s="787">
        <f t="shared" si="891"/>
        <v>76362474.111216515</v>
      </c>
      <c r="Y582" s="788">
        <f t="shared" si="891"/>
        <v>333847629.86639905</v>
      </c>
      <c r="Z582" s="787">
        <f t="shared" si="891"/>
        <v>144342915.73710907</v>
      </c>
      <c r="AA582" s="787">
        <f t="shared" si="891"/>
        <v>31458698.270372376</v>
      </c>
      <c r="AB582" s="787">
        <f t="shared" si="891"/>
        <v>81683541.747701183</v>
      </c>
      <c r="AC582" s="788">
        <f t="shared" si="891"/>
        <v>76362474.111216545</v>
      </c>
      <c r="AD582" s="787">
        <f t="shared" si="891"/>
        <v>144302044.14329809</v>
      </c>
      <c r="AE582" s="787">
        <f t="shared" si="891"/>
        <v>30688587.534732252</v>
      </c>
      <c r="AF582" s="787">
        <f t="shared" si="891"/>
        <v>81657734.5740024</v>
      </c>
      <c r="AG582" s="788">
        <f t="shared" si="891"/>
        <v>76339049.572574392</v>
      </c>
      <c r="AH582" s="787">
        <f t="shared" si="891"/>
        <v>144342915.73710907</v>
      </c>
      <c r="AI582" s="787">
        <f t="shared" si="891"/>
        <v>31458698.270372368</v>
      </c>
      <c r="AJ582" s="787">
        <f t="shared" si="891"/>
        <v>81683541.747701198</v>
      </c>
      <c r="AK582" s="787">
        <f t="shared" si="891"/>
        <v>76362474.11121653</v>
      </c>
      <c r="AL582" s="788">
        <f t="shared" si="891"/>
        <v>333847629.86639905</v>
      </c>
      <c r="AM582" s="582"/>
      <c r="AN582" s="786">
        <f>SUM(AN19,AN50,AN68,AN83,AN97,AN106,AN117,AN358,AN383,AN403,AN465,AN500,AN513,AN557,AN575,AN580,AN578)</f>
        <v>144342915.73710915</v>
      </c>
      <c r="AO582" s="787">
        <f>SUM(AO19,AO50,AO68,AO83,AO97,AO106,AO117,AO358,AO383,AO403,AO465,AO500,AO513,AO557,AO575,AO580,AO578)</f>
        <v>31458698.270372342</v>
      </c>
      <c r="AP582" s="787">
        <f>SUM(AP19,AP50,AP68,AP83,AP97,AP106,AP117,AP358,AP383,AP403,AP465,AP500,AP513,AP557,AP575,AP580,AP578)</f>
        <v>81683541.747701228</v>
      </c>
      <c r="AQ582" s="787">
        <f>SUM(AQ19,AQ50,AQ68,AQ83,AQ97,AQ106,AQ117,AQ358,AQ383,AQ403,AQ465,AQ500,AQ513,AQ557,AQ575,AQ580,AQ578)</f>
        <v>76362474.111216471</v>
      </c>
      <c r="AR582" s="788">
        <f>SUM(AR19,AR50,AR68,AR83,AR97,AR106,AR117,AR358,AR383,AR403,AR465,AR500,AR513,AR557,AR575,AR580,AR578)</f>
        <v>333847629.86639911</v>
      </c>
      <c r="AS582" s="582"/>
      <c r="AT582" s="789">
        <f>SUM(AT19,AT50,AT68,AT83,AT97,AT106,AT117,AT358,AT383,AT403,AT465,AT500,AT513,AT557,AT575,AT580,AT578)</f>
        <v>302753906.52540153</v>
      </c>
      <c r="AU582" s="582"/>
      <c r="AV582" s="783">
        <f t="shared" ref="AV582:BB582" si="892">SUM(AV19,AV50,AV68,AV83,AV97,AV106,AV117,AV358,AV383,AV403,AV465,AV500,AV513,AV557,AV575,AV580,AV578)</f>
        <v>0</v>
      </c>
      <c r="AW582" s="787">
        <f t="shared" si="892"/>
        <v>13353906.000000233</v>
      </c>
      <c r="AX582" s="787">
        <f t="shared" si="892"/>
        <v>320493723.86639887</v>
      </c>
      <c r="AY582" s="787">
        <f t="shared" si="892"/>
        <v>3067355.169999999</v>
      </c>
      <c r="AZ582" s="788">
        <f t="shared" si="892"/>
        <v>317426368.69639879</v>
      </c>
      <c r="BA582" s="786">
        <f t="shared" si="892"/>
        <v>3174263.6869639885</v>
      </c>
      <c r="BB582" s="787">
        <f t="shared" si="892"/>
        <v>314252105.009435</v>
      </c>
      <c r="BC582" s="790"/>
      <c r="BD582" s="582"/>
      <c r="BE582" s="791"/>
      <c r="BF582" s="787">
        <f>SUM(BF19,BF50,BF68,BF83,BF97,BF106,BF117,BF358,BF383,BF403,BF465,BF500,BF513,BF557,BF575,BF580,BF578)</f>
        <v>0</v>
      </c>
      <c r="BG582" s="788">
        <f>SUM(BG19,BG50,BG68,BG83,BG97,BG106,BG117,BG358,BG383,BG403,BG465,BG500,BG513,BG557,BG575,BG580,BG578)</f>
        <v>314252105.009435</v>
      </c>
      <c r="BI582" s="569">
        <f>SUM(BI6:BI578,BI591:BI592)</f>
        <v>27639588</v>
      </c>
      <c r="BJ582" s="569">
        <f>SUM(BJ6:BJ578,BJ591:BJ592)</f>
        <v>32443138.771662556</v>
      </c>
      <c r="BK582" s="569">
        <f>SUM(BK6:BK578,BK591:BK592)</f>
        <v>32474524.000000045</v>
      </c>
      <c r="BM582" s="569">
        <f>SUM(BM6:BM578,BM591:BM592)</f>
        <v>32474524.000000045</v>
      </c>
      <c r="BN582" s="569"/>
      <c r="BP582" s="792"/>
      <c r="BQ582" s="780"/>
      <c r="BR582" s="793"/>
      <c r="BT582" s="794"/>
      <c r="BU582" s="780"/>
      <c r="BV582" s="780"/>
      <c r="BW582" s="781"/>
      <c r="BY582" s="794"/>
      <c r="BZ582" s="780"/>
      <c r="CA582" s="780"/>
      <c r="CB582" s="781"/>
      <c r="CD582" s="795">
        <f t="shared" si="815"/>
        <v>573</v>
      </c>
    </row>
    <row r="583" spans="1:98" x14ac:dyDescent="0.3">
      <c r="BJ583" s="31"/>
      <c r="BL583" s="47"/>
      <c r="BP583" s="195"/>
      <c r="BR583" s="195"/>
    </row>
    <row r="584" spans="1:98" ht="28.8" hidden="1" outlineLevel="1" x14ac:dyDescent="0.3">
      <c r="A584" s="2" t="s">
        <v>1328</v>
      </c>
      <c r="B584" s="31">
        <f>'FY16 Title II-A Final'!K13</f>
        <v>32474524</v>
      </c>
      <c r="R584" s="382">
        <f>SUM(R19,R50,R68,R83,R97,R106,R117,R358,R383,R403,R465,R500,R513,R557,R575)</f>
        <v>1189510.0613229214</v>
      </c>
      <c r="S584" s="382">
        <f>SUM(S19,S50,S68,S83,S97,S106,S117,S358,S383,S403,S465,S500,S513,S557,S575)</f>
        <v>292513.99999999988</v>
      </c>
      <c r="BG584" s="31" t="s">
        <v>1008</v>
      </c>
      <c r="BI584" s="31">
        <f>SUM(BI6:BI572,BI591,BI592)</f>
        <v>27639588</v>
      </c>
      <c r="BJ584" s="31"/>
      <c r="BL584" s="47"/>
      <c r="BP584" s="195"/>
      <c r="BR584" s="195"/>
    </row>
    <row r="585" spans="1:98" hidden="1" outlineLevel="1" x14ac:dyDescent="0.3">
      <c r="A585" s="31" t="s">
        <v>1008</v>
      </c>
      <c r="B585" s="31">
        <f>BI584</f>
        <v>27639588</v>
      </c>
      <c r="BJ585" s="31"/>
      <c r="BL585" s="47"/>
      <c r="BP585" s="195"/>
      <c r="BR585" s="195"/>
    </row>
    <row r="586" spans="1:98" hidden="1" outlineLevel="1" x14ac:dyDescent="0.3">
      <c r="A586" s="31" t="s">
        <v>1010</v>
      </c>
      <c r="B586" s="31">
        <f>BI586</f>
        <v>4834936</v>
      </c>
      <c r="BG586" s="31" t="s">
        <v>1010</v>
      </c>
      <c r="BI586" s="31">
        <f>B584-BI584</f>
        <v>4834936</v>
      </c>
      <c r="BL586" s="47"/>
      <c r="BP586" s="195"/>
      <c r="BR586" s="195"/>
    </row>
    <row r="587" spans="1:98" hidden="1" outlineLevel="1" x14ac:dyDescent="0.3">
      <c r="A587" s="47" t="s">
        <v>1367</v>
      </c>
      <c r="B587" s="31">
        <f>B586*0.01</f>
        <v>48349.36</v>
      </c>
      <c r="BG587" s="31" t="s">
        <v>1009</v>
      </c>
      <c r="BI587" s="31">
        <f>BI586-BI586*0.01</f>
        <v>4786586.6399999997</v>
      </c>
      <c r="BL587" s="47"/>
      <c r="BP587" s="195"/>
      <c r="BR587" s="195"/>
    </row>
    <row r="588" spans="1:98" hidden="1" outlineLevel="1" x14ac:dyDescent="0.3">
      <c r="A588" s="47" t="s">
        <v>1012</v>
      </c>
      <c r="B588" s="31">
        <f>B586-B587</f>
        <v>4786586.6399999997</v>
      </c>
      <c r="BG588" s="31" t="s">
        <v>1016</v>
      </c>
      <c r="BI588" s="1">
        <f>B584/BJ582</f>
        <v>1.0009673918592876</v>
      </c>
      <c r="BL588" s="47"/>
      <c r="BP588" s="195"/>
      <c r="BR588" s="195"/>
    </row>
    <row r="589" spans="1:98" collapsed="1" x14ac:dyDescent="0.3">
      <c r="A589" s="47">
        <v>1</v>
      </c>
      <c r="B589" s="47">
        <f>A589+1</f>
        <v>2</v>
      </c>
      <c r="C589" s="47">
        <f t="shared" ref="C589:BU589" si="893">B589+1</f>
        <v>3</v>
      </c>
      <c r="D589" s="147">
        <f t="shared" si="893"/>
        <v>4</v>
      </c>
      <c r="E589" s="147">
        <f t="shared" si="893"/>
        <v>5</v>
      </c>
      <c r="F589" s="147">
        <f t="shared" ref="F589" si="894">E589+1</f>
        <v>6</v>
      </c>
      <c r="G589" s="147">
        <f t="shared" ref="G589" si="895">F589+1</f>
        <v>7</v>
      </c>
      <c r="H589" s="147">
        <f t="shared" ref="H589" si="896">G589+1</f>
        <v>8</v>
      </c>
      <c r="I589" s="147">
        <f t="shared" ref="I589" si="897">H589+1</f>
        <v>9</v>
      </c>
      <c r="J589" s="147">
        <f t="shared" ref="J589" si="898">I589+1</f>
        <v>10</v>
      </c>
      <c r="K589" s="147">
        <f t="shared" ref="K589" si="899">J589+1</f>
        <v>11</v>
      </c>
      <c r="L589" s="147">
        <f t="shared" ref="L589" si="900">K589+1</f>
        <v>12</v>
      </c>
      <c r="M589" s="147">
        <f t="shared" ref="M589" si="901">L589+1</f>
        <v>13</v>
      </c>
      <c r="N589" s="147">
        <f t="shared" ref="N589" si="902">M589+1</f>
        <v>14</v>
      </c>
      <c r="O589" s="147">
        <f t="shared" ref="O589" si="903">N589+1</f>
        <v>15</v>
      </c>
      <c r="P589" s="147">
        <f t="shared" ref="P589" si="904">O589+1</f>
        <v>16</v>
      </c>
      <c r="Q589" s="147">
        <f t="shared" ref="Q589" si="905">P589+1</f>
        <v>17</v>
      </c>
      <c r="R589" s="147">
        <f t="shared" ref="R589" si="906">Q589+1</f>
        <v>18</v>
      </c>
      <c r="S589" s="776">
        <f t="shared" si="893"/>
        <v>19</v>
      </c>
      <c r="T589" s="147">
        <f t="shared" si="893"/>
        <v>20</v>
      </c>
      <c r="U589" s="147">
        <f t="shared" si="893"/>
        <v>21</v>
      </c>
      <c r="V589" s="147">
        <f t="shared" si="893"/>
        <v>22</v>
      </c>
      <c r="W589" s="147">
        <f t="shared" si="893"/>
        <v>23</v>
      </c>
      <c r="X589" s="147">
        <f t="shared" si="893"/>
        <v>24</v>
      </c>
      <c r="Y589" s="147">
        <f t="shared" si="893"/>
        <v>25</v>
      </c>
      <c r="Z589" s="147">
        <f t="shared" si="893"/>
        <v>26</v>
      </c>
      <c r="AA589" s="147">
        <f t="shared" si="893"/>
        <v>27</v>
      </c>
      <c r="AB589" s="147">
        <f t="shared" si="893"/>
        <v>28</v>
      </c>
      <c r="AC589" s="147">
        <f t="shared" si="893"/>
        <v>29</v>
      </c>
      <c r="AD589" s="147">
        <f t="shared" si="893"/>
        <v>30</v>
      </c>
      <c r="AE589" s="147">
        <f t="shared" si="893"/>
        <v>31</v>
      </c>
      <c r="AF589" s="147">
        <f t="shared" si="893"/>
        <v>32</v>
      </c>
      <c r="AG589" s="147">
        <f t="shared" si="893"/>
        <v>33</v>
      </c>
      <c r="AH589" s="147">
        <f t="shared" si="893"/>
        <v>34</v>
      </c>
      <c r="AI589" s="147">
        <f t="shared" si="893"/>
        <v>35</v>
      </c>
      <c r="AJ589" s="147">
        <f t="shared" si="893"/>
        <v>36</v>
      </c>
      <c r="AK589" s="147">
        <f t="shared" si="893"/>
        <v>37</v>
      </c>
      <c r="AL589" s="147">
        <f t="shared" si="893"/>
        <v>38</v>
      </c>
      <c r="AM589" s="147">
        <f t="shared" si="893"/>
        <v>39</v>
      </c>
      <c r="AN589" s="147">
        <f t="shared" si="893"/>
        <v>40</v>
      </c>
      <c r="AO589" s="147">
        <f t="shared" si="893"/>
        <v>41</v>
      </c>
      <c r="AP589" s="147">
        <f t="shared" si="893"/>
        <v>42</v>
      </c>
      <c r="AQ589" s="147">
        <f t="shared" si="893"/>
        <v>43</v>
      </c>
      <c r="AR589" s="147">
        <f t="shared" si="893"/>
        <v>44</v>
      </c>
      <c r="AS589" s="147">
        <f t="shared" si="893"/>
        <v>45</v>
      </c>
      <c r="AT589" s="147">
        <f t="shared" si="893"/>
        <v>46</v>
      </c>
      <c r="AU589" s="147">
        <f t="shared" si="893"/>
        <v>47</v>
      </c>
      <c r="AV589" s="776">
        <f t="shared" si="893"/>
        <v>48</v>
      </c>
      <c r="AW589" s="147">
        <f t="shared" si="893"/>
        <v>49</v>
      </c>
      <c r="AX589" s="147">
        <f t="shared" si="893"/>
        <v>50</v>
      </c>
      <c r="AY589" s="147">
        <f t="shared" si="893"/>
        <v>51</v>
      </c>
      <c r="AZ589" s="147">
        <f t="shared" si="893"/>
        <v>52</v>
      </c>
      <c r="BA589" s="147">
        <f t="shared" si="893"/>
        <v>53</v>
      </c>
      <c r="BB589" s="147">
        <f t="shared" si="893"/>
        <v>54</v>
      </c>
      <c r="BC589" s="147">
        <f t="shared" si="893"/>
        <v>55</v>
      </c>
      <c r="BD589" s="147">
        <f t="shared" si="893"/>
        <v>56</v>
      </c>
      <c r="BE589" s="147">
        <f t="shared" si="893"/>
        <v>57</v>
      </c>
      <c r="BF589" s="147">
        <f t="shared" si="893"/>
        <v>58</v>
      </c>
      <c r="BG589" s="147">
        <f t="shared" si="893"/>
        <v>59</v>
      </c>
      <c r="BH589" s="147">
        <f t="shared" si="893"/>
        <v>60</v>
      </c>
      <c r="BI589" s="147">
        <f t="shared" si="893"/>
        <v>61</v>
      </c>
      <c r="BJ589" s="147">
        <f t="shared" si="893"/>
        <v>62</v>
      </c>
      <c r="BK589" s="147">
        <f t="shared" si="893"/>
        <v>63</v>
      </c>
      <c r="BL589" s="147">
        <f t="shared" si="893"/>
        <v>64</v>
      </c>
      <c r="BM589" s="147">
        <f t="shared" si="893"/>
        <v>65</v>
      </c>
      <c r="BN589" s="806">
        <f t="shared" si="893"/>
        <v>66</v>
      </c>
      <c r="BO589" s="147">
        <f t="shared" si="893"/>
        <v>67</v>
      </c>
      <c r="BP589" s="147">
        <f t="shared" si="893"/>
        <v>68</v>
      </c>
      <c r="BQ589" s="147">
        <f t="shared" si="893"/>
        <v>69</v>
      </c>
      <c r="BR589" s="147">
        <f t="shared" si="893"/>
        <v>70</v>
      </c>
      <c r="BS589" s="147">
        <f t="shared" si="893"/>
        <v>71</v>
      </c>
      <c r="BT589" s="147">
        <f t="shared" si="893"/>
        <v>72</v>
      </c>
      <c r="BU589" s="147">
        <f t="shared" si="893"/>
        <v>73</v>
      </c>
      <c r="BV589" s="147">
        <f t="shared" ref="BV589:CT589" si="907">BU589+1</f>
        <v>74</v>
      </c>
      <c r="BW589" s="147">
        <f t="shared" si="907"/>
        <v>75</v>
      </c>
      <c r="BX589" s="147">
        <f t="shared" si="907"/>
        <v>76</v>
      </c>
      <c r="BY589" s="147">
        <f t="shared" si="907"/>
        <v>77</v>
      </c>
      <c r="BZ589" s="147">
        <f t="shared" si="907"/>
        <v>78</v>
      </c>
      <c r="CA589" s="147">
        <f t="shared" si="907"/>
        <v>79</v>
      </c>
      <c r="CB589" s="147">
        <f t="shared" si="907"/>
        <v>80</v>
      </c>
      <c r="CC589" s="147">
        <f t="shared" si="907"/>
        <v>81</v>
      </c>
      <c r="CD589" s="147">
        <f t="shared" si="907"/>
        <v>82</v>
      </c>
      <c r="CE589" s="147">
        <f t="shared" si="907"/>
        <v>83</v>
      </c>
      <c r="CF589" s="147">
        <f t="shared" si="907"/>
        <v>84</v>
      </c>
      <c r="CG589" s="147">
        <f t="shared" si="907"/>
        <v>85</v>
      </c>
      <c r="CH589" s="147">
        <f t="shared" si="907"/>
        <v>86</v>
      </c>
      <c r="CI589" s="147">
        <f t="shared" si="907"/>
        <v>87</v>
      </c>
      <c r="CJ589" s="147">
        <f t="shared" si="907"/>
        <v>88</v>
      </c>
      <c r="CK589" s="147">
        <f t="shared" si="907"/>
        <v>89</v>
      </c>
      <c r="CL589" s="147">
        <f t="shared" si="907"/>
        <v>90</v>
      </c>
      <c r="CM589" s="147">
        <f t="shared" si="907"/>
        <v>91</v>
      </c>
      <c r="CN589" s="147">
        <f t="shared" si="907"/>
        <v>92</v>
      </c>
      <c r="CO589" s="147">
        <f t="shared" si="907"/>
        <v>93</v>
      </c>
      <c r="CP589" s="147">
        <f t="shared" si="907"/>
        <v>94</v>
      </c>
      <c r="CQ589" s="147">
        <f t="shared" si="907"/>
        <v>95</v>
      </c>
      <c r="CR589" s="147">
        <f t="shared" si="907"/>
        <v>96</v>
      </c>
      <c r="CS589" s="147">
        <f t="shared" si="907"/>
        <v>97</v>
      </c>
      <c r="CT589" s="147">
        <f t="shared" si="907"/>
        <v>98</v>
      </c>
    </row>
    <row r="590" spans="1:98" ht="15" thickBot="1" x14ac:dyDescent="0.35"/>
    <row r="591" spans="1:98" hidden="1" outlineLevel="1" x14ac:dyDescent="0.3">
      <c r="A591" s="47">
        <v>211002000</v>
      </c>
      <c r="B591" s="47">
        <v>400120</v>
      </c>
      <c r="C591" s="47">
        <v>8336</v>
      </c>
      <c r="D591" s="191" t="s">
        <v>48</v>
      </c>
      <c r="R591" s="382">
        <v>1012</v>
      </c>
      <c r="S591" s="382">
        <v>1012</v>
      </c>
      <c r="BI591" s="31">
        <f>IFERROR(VLOOKUP(A591,'Title II Hold Harmless'!A$1:B$439,2, FALSE),"")</f>
        <v>47545</v>
      </c>
      <c r="BJ591" s="31">
        <f>IFERROR($BI$587*(0.8*($S591/$S$584)+0.2*($R591/$R$584))+$BI591,$BI$587*(0.8*($S591/$S$584)+0.2*($R591/$R$584)))</f>
        <v>61607.440437833589</v>
      </c>
      <c r="BK591" s="31">
        <f t="shared" ref="BK591:BK604" si="908">$BI$588*BJ591</f>
        <v>61667.038974184696</v>
      </c>
      <c r="BL591" s="47"/>
      <c r="BM591" s="31">
        <f t="shared" ref="BM591:BM604" si="909">IF(BL591&lt;0,BK591+BL591,BK591)</f>
        <v>61667.038974184696</v>
      </c>
      <c r="BN591" s="200"/>
    </row>
    <row r="592" spans="1:98" hidden="1" outlineLevel="1" x14ac:dyDescent="0.3">
      <c r="A592" s="47">
        <v>217601000</v>
      </c>
      <c r="B592" s="47">
        <v>409734</v>
      </c>
      <c r="C592" s="47">
        <v>8326</v>
      </c>
      <c r="D592" s="191" t="s">
        <v>1006</v>
      </c>
      <c r="R592" s="382">
        <v>344</v>
      </c>
      <c r="S592" s="382">
        <v>344</v>
      </c>
      <c r="BI592" s="31">
        <f>IFERROR(VLOOKUP(A592,'Title II Hold Harmless'!A$1:B$439,2, FALSE),"")</f>
        <v>157229</v>
      </c>
      <c r="BJ592" s="31">
        <f>IFERROR($BI$587*(0.8*($S592/$S$584)+0.2*($R592/$R$584))+$BI592,$BI$587*(0.8*($S592/$S$584)+0.2*($R592/$R$584)))</f>
        <v>162009.11809349284</v>
      </c>
      <c r="BK592" s="31">
        <f t="shared" si="908"/>
        <v>162165.84439546685</v>
      </c>
      <c r="BL592" s="47"/>
      <c r="BM592" s="31">
        <f t="shared" si="909"/>
        <v>162165.84439546685</v>
      </c>
      <c r="BN592" s="200"/>
    </row>
    <row r="593" spans="1:66" hidden="1" outlineLevel="1" x14ac:dyDescent="0.3">
      <c r="BJ593" s="31"/>
      <c r="BK593" s="31"/>
      <c r="BM593" s="31"/>
      <c r="BN593" s="200"/>
    </row>
    <row r="594" spans="1:66" hidden="1" outlineLevel="1" x14ac:dyDescent="0.3">
      <c r="D594" s="190" t="s">
        <v>528</v>
      </c>
      <c r="R594" s="382">
        <v>35</v>
      </c>
      <c r="S594" s="382">
        <v>35</v>
      </c>
      <c r="BI594" s="31">
        <f t="shared" ref="BI594:BI604" si="910">S594/SUM($S$594:$S$604)*$BI$606</f>
        <v>9991.6037735849059</v>
      </c>
      <c r="BJ594" s="31">
        <f t="shared" ref="BJ594:BJ604" si="911">IFERROR($BI$587*(0.8*($S594/$S$584)+0.2*($R594/$R$584))+$BI594,$BI$587*(0.8*($S594/$S$584)+0.2*($R594/$R$584)))</f>
        <v>10477.952998213537</v>
      </c>
      <c r="BK594" s="31">
        <f t="shared" si="908"/>
        <v>10488.089284646008</v>
      </c>
      <c r="BM594" s="31">
        <f t="shared" si="909"/>
        <v>10488.089284646008</v>
      </c>
      <c r="BN594" s="200"/>
    </row>
    <row r="595" spans="1:66" hidden="1" outlineLevel="1" x14ac:dyDescent="0.3">
      <c r="D595" s="190" t="s">
        <v>1419</v>
      </c>
      <c r="R595" s="382">
        <v>33</v>
      </c>
      <c r="S595" s="382">
        <v>33</v>
      </c>
      <c r="BI595" s="31">
        <f t="shared" si="910"/>
        <v>9420.6549865229099</v>
      </c>
      <c r="BJ595" s="31">
        <f t="shared" si="911"/>
        <v>9879.2128268870492</v>
      </c>
      <c r="BK595" s="31">
        <f t="shared" si="908"/>
        <v>9888.7698969519497</v>
      </c>
      <c r="BM595" s="31">
        <f t="shared" si="909"/>
        <v>9888.7698969519497</v>
      </c>
      <c r="BN595" s="200"/>
    </row>
    <row r="596" spans="1:66" hidden="1" outlineLevel="1" x14ac:dyDescent="0.3">
      <c r="D596" s="190" t="s">
        <v>1420</v>
      </c>
      <c r="R596" s="382">
        <v>8</v>
      </c>
      <c r="S596" s="382">
        <v>8</v>
      </c>
      <c r="BI596" s="31">
        <f t="shared" si="910"/>
        <v>2283.7951482479784</v>
      </c>
      <c r="BJ596" s="31">
        <f t="shared" si="911"/>
        <v>2394.9606853059513</v>
      </c>
      <c r="BK596" s="31">
        <f t="shared" si="908"/>
        <v>2397.2775507762303</v>
      </c>
      <c r="BM596" s="31">
        <f t="shared" si="909"/>
        <v>2397.2775507762303</v>
      </c>
      <c r="BN596" s="200"/>
    </row>
    <row r="597" spans="1:66" hidden="1" outlineLevel="1" x14ac:dyDescent="0.3">
      <c r="D597" s="190" t="s">
        <v>1421</v>
      </c>
      <c r="R597" s="382">
        <v>8</v>
      </c>
      <c r="S597" s="382">
        <v>8</v>
      </c>
      <c r="BI597" s="31">
        <f t="shared" si="910"/>
        <v>2283.7951482479784</v>
      </c>
      <c r="BJ597" s="31">
        <f t="shared" si="911"/>
        <v>2394.9606853059513</v>
      </c>
      <c r="BK597" s="31">
        <f t="shared" si="908"/>
        <v>2397.2775507762303</v>
      </c>
      <c r="BM597" s="31">
        <f t="shared" si="909"/>
        <v>2397.2775507762303</v>
      </c>
      <c r="BN597" s="200"/>
    </row>
    <row r="598" spans="1:66" hidden="1" outlineLevel="1" x14ac:dyDescent="0.3">
      <c r="D598" s="190" t="s">
        <v>1422</v>
      </c>
      <c r="R598" s="382">
        <v>15</v>
      </c>
      <c r="S598" s="382">
        <v>15</v>
      </c>
      <c r="BI598" s="31">
        <f t="shared" si="910"/>
        <v>4282.1159029649589</v>
      </c>
      <c r="BJ598" s="31">
        <f t="shared" si="911"/>
        <v>4490.5512849486586</v>
      </c>
      <c r="BK598" s="31">
        <f t="shared" si="908"/>
        <v>4494.8954077054314</v>
      </c>
      <c r="BM598" s="31">
        <f t="shared" si="909"/>
        <v>4494.8954077054314</v>
      </c>
      <c r="BN598" s="200"/>
    </row>
    <row r="599" spans="1:66" hidden="1" outlineLevel="1" x14ac:dyDescent="0.3">
      <c r="A599" s="47">
        <v>79999000</v>
      </c>
      <c r="C599" s="47">
        <v>9603</v>
      </c>
      <c r="D599" s="190" t="s">
        <v>1413</v>
      </c>
      <c r="R599" s="382">
        <v>95</v>
      </c>
      <c r="S599" s="382">
        <v>95</v>
      </c>
      <c r="BI599" s="31">
        <f t="shared" si="910"/>
        <v>27120.067385444745</v>
      </c>
      <c r="BJ599" s="31">
        <f t="shared" si="911"/>
        <v>28440.158138008177</v>
      </c>
      <c r="BK599" s="31">
        <f t="shared" si="908"/>
        <v>28467.670915467737</v>
      </c>
      <c r="BM599" s="31">
        <f t="shared" si="909"/>
        <v>28467.670915467737</v>
      </c>
      <c r="BN599" s="200"/>
    </row>
    <row r="600" spans="1:66" hidden="1" outlineLevel="1" x14ac:dyDescent="0.3">
      <c r="D600" s="190" t="s">
        <v>1423</v>
      </c>
      <c r="R600" s="382">
        <v>33</v>
      </c>
      <c r="S600" s="382">
        <v>33</v>
      </c>
      <c r="BI600" s="31">
        <f t="shared" si="910"/>
        <v>9420.6549865229099</v>
      </c>
      <c r="BJ600" s="31">
        <f t="shared" si="911"/>
        <v>9879.2128268870492</v>
      </c>
      <c r="BK600" s="31">
        <f t="shared" si="908"/>
        <v>9888.7698969519497</v>
      </c>
      <c r="BM600" s="31">
        <f t="shared" si="909"/>
        <v>9888.7698969519497</v>
      </c>
      <c r="BN600" s="200"/>
    </row>
    <row r="601" spans="1:66" hidden="1" outlineLevel="1" x14ac:dyDescent="0.3">
      <c r="D601" s="190" t="s">
        <v>1424</v>
      </c>
      <c r="R601" s="382">
        <v>20</v>
      </c>
      <c r="S601" s="382">
        <v>20</v>
      </c>
      <c r="BI601" s="31">
        <f t="shared" si="910"/>
        <v>5709.4878706199461</v>
      </c>
      <c r="BJ601" s="31">
        <f t="shared" si="911"/>
        <v>5987.4017132648787</v>
      </c>
      <c r="BK601" s="31">
        <f t="shared" si="908"/>
        <v>5993.193876940576</v>
      </c>
      <c r="BM601" s="31">
        <f t="shared" si="909"/>
        <v>5993.193876940576</v>
      </c>
      <c r="BN601" s="200"/>
    </row>
    <row r="602" spans="1:66" hidden="1" outlineLevel="1" x14ac:dyDescent="0.3">
      <c r="D602" s="190" t="s">
        <v>1425</v>
      </c>
      <c r="R602" s="382">
        <v>11</v>
      </c>
      <c r="S602" s="382">
        <v>11</v>
      </c>
      <c r="BI602" s="31">
        <f t="shared" si="910"/>
        <v>3140.2183288409701</v>
      </c>
      <c r="BJ602" s="31">
        <f t="shared" si="911"/>
        <v>3293.0709422956829</v>
      </c>
      <c r="BK602" s="31">
        <f t="shared" si="908"/>
        <v>3296.2566323173164</v>
      </c>
      <c r="BM602" s="31">
        <f t="shared" si="909"/>
        <v>3296.2566323173164</v>
      </c>
      <c r="BN602" s="200"/>
    </row>
    <row r="603" spans="1:66" hidden="1" outlineLevel="1" x14ac:dyDescent="0.3">
      <c r="D603" s="190" t="s">
        <v>1426</v>
      </c>
      <c r="R603" s="382">
        <v>54</v>
      </c>
      <c r="S603" s="382">
        <v>54</v>
      </c>
      <c r="BI603" s="31">
        <f t="shared" si="910"/>
        <v>15415.617250673855</v>
      </c>
      <c r="BJ603" s="31">
        <f t="shared" si="911"/>
        <v>16165.984625815174</v>
      </c>
      <c r="BK603" s="31">
        <f t="shared" si="908"/>
        <v>16181.623467739557</v>
      </c>
      <c r="BM603" s="31">
        <f t="shared" si="909"/>
        <v>16181.623467739557</v>
      </c>
      <c r="BN603" s="200"/>
    </row>
    <row r="604" spans="1:66" hidden="1" outlineLevel="1" x14ac:dyDescent="0.3">
      <c r="D604" s="190" t="s">
        <v>1427</v>
      </c>
      <c r="R604" s="382">
        <v>59</v>
      </c>
      <c r="S604" s="382">
        <v>59</v>
      </c>
      <c r="BI604" s="31">
        <f t="shared" si="910"/>
        <v>16842.989218328839</v>
      </c>
      <c r="BJ604" s="31">
        <f t="shared" si="911"/>
        <v>17662.835054131392</v>
      </c>
      <c r="BK604" s="31">
        <f t="shared" si="908"/>
        <v>17679.921936974701</v>
      </c>
      <c r="BM604" s="31">
        <f t="shared" si="909"/>
        <v>17679.921936974701</v>
      </c>
      <c r="BN604" s="200"/>
    </row>
    <row r="605" spans="1:66" hidden="1" outlineLevel="1" x14ac:dyDescent="0.3"/>
    <row r="606" spans="1:66" hidden="1" outlineLevel="1" x14ac:dyDescent="0.3">
      <c r="D606" s="190" t="s">
        <v>1428</v>
      </c>
      <c r="BI606" s="31">
        <v>105911</v>
      </c>
    </row>
    <row r="607" spans="1:66" s="799" customFormat="1" ht="15" collapsed="1" thickBot="1" x14ac:dyDescent="0.35">
      <c r="D607" s="804" t="s">
        <v>1599</v>
      </c>
      <c r="U607" s="799">
        <f>U582-update_Allocation!K237</f>
        <v>0</v>
      </c>
      <c r="V607" s="799">
        <f>V582-update_Allocation!L237</f>
        <v>0</v>
      </c>
      <c r="W607" s="799">
        <f>W582-update_Allocation!M237</f>
        <v>0</v>
      </c>
      <c r="X607" s="799">
        <f>X582-update_Allocation!N237</f>
        <v>0</v>
      </c>
      <c r="Y607" s="799">
        <f>Y582-update_Allocation!O237</f>
        <v>0</v>
      </c>
      <c r="Z607" s="799">
        <f>Z582-U582</f>
        <v>0</v>
      </c>
      <c r="AA607" s="799">
        <f t="shared" ref="AA607:AC607" si="912">AA582-V582</f>
        <v>0</v>
      </c>
      <c r="AB607" s="799">
        <f t="shared" si="912"/>
        <v>0</v>
      </c>
      <c r="AC607" s="799">
        <f t="shared" si="912"/>
        <v>0</v>
      </c>
      <c r="AH607" s="799">
        <f>AH582-U582</f>
        <v>0</v>
      </c>
      <c r="AI607" s="799">
        <f t="shared" ref="AI607:AL607" si="913">AI582-V582</f>
        <v>0</v>
      </c>
      <c r="AJ607" s="799">
        <f t="shared" si="913"/>
        <v>0</v>
      </c>
      <c r="AK607" s="799">
        <f t="shared" si="913"/>
        <v>0</v>
      </c>
      <c r="AL607" s="799">
        <f t="shared" si="913"/>
        <v>0</v>
      </c>
      <c r="AN607" s="799">
        <f>AN582-AH582</f>
        <v>0</v>
      </c>
      <c r="AO607" s="799">
        <f t="shared" ref="AO607:AR607" si="914">AO582-AI582</f>
        <v>0</v>
      </c>
      <c r="AP607" s="799">
        <f t="shared" si="914"/>
        <v>0</v>
      </c>
      <c r="AQ607" s="799">
        <f t="shared" si="914"/>
        <v>0</v>
      </c>
      <c r="AR607" s="799">
        <f t="shared" si="914"/>
        <v>0</v>
      </c>
      <c r="AV607" s="887" t="s">
        <v>1641</v>
      </c>
      <c r="AW607" s="857">
        <f>AW2/AR2</f>
        <v>4.0000002412310873E-2</v>
      </c>
      <c r="AZ607" s="799">
        <f>AR582-AW582-AY582-AZ582</f>
        <v>0</v>
      </c>
      <c r="BB607" s="799">
        <f>AZ582-BA582-BB582</f>
        <v>0</v>
      </c>
      <c r="BE607" s="805"/>
      <c r="BN607" s="806"/>
    </row>
  </sheetData>
  <sheetProtection algorithmName="SHA-512" hashValue="bI8sNFTrlj84sNby4Gh0UYCtkWUhBrsgOVM5qgkq/loGm2N37c6nm7wkjgGGN8RiimcFOZhoEeWWgsNXxJmjdQ==" saltValue="AeLde785mo5eiG5Ze+kAmw==" spinCount="100000" sheet="1" objects="1" scenarios="1"/>
  <pageMargins left="0.7" right="0.7" top="0.75" bottom="0.75" header="0.3" footer="0.3"/>
  <pageSetup orientation="portrait"/>
  <legacy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H601"/>
  <sheetViews>
    <sheetView workbookViewId="0">
      <pane xSplit="4" ySplit="5" topLeftCell="E6" activePane="bottomRight" state="frozen"/>
      <selection pane="topRight" activeCell="E1" sqref="E1"/>
      <selection pane="bottomLeft" activeCell="A6" sqref="A6"/>
      <selection pane="bottomRight" activeCell="E6" sqref="E6"/>
    </sheetView>
  </sheetViews>
  <sheetFormatPr defaultColWidth="8.77734375" defaultRowHeight="14.4" x14ac:dyDescent="0.3"/>
  <cols>
    <col min="1" max="1" width="22.33203125" customWidth="1"/>
    <col min="2" max="2" width="14.77734375" customWidth="1"/>
    <col min="3" max="3" width="7.77734375" customWidth="1"/>
    <col min="4" max="4" width="35" style="147" customWidth="1"/>
    <col min="5" max="5" width="10.109375" customWidth="1"/>
    <col min="6" max="6" width="17.6640625" customWidth="1"/>
    <col min="7" max="7" width="14.6640625" customWidth="1"/>
    <col min="8" max="8" width="18.33203125" style="4" customWidth="1"/>
    <col min="9" max="9" width="17.6640625" customWidth="1"/>
    <col min="10" max="10" width="18.44140625" customWidth="1"/>
    <col min="11" max="11" width="19.44140625" style="24" customWidth="1"/>
    <col min="12" max="12" width="16.44140625" style="24" customWidth="1"/>
    <col min="13" max="13" width="20" style="4" customWidth="1"/>
    <col min="14" max="14" width="14" style="31" customWidth="1"/>
    <col min="15" max="15" width="18.44140625" style="31" customWidth="1"/>
    <col min="16" max="17" width="14" style="31" customWidth="1"/>
    <col min="18" max="18" width="21.109375" style="31" customWidth="1"/>
    <col min="19" max="19" width="18.6640625" style="31" customWidth="1"/>
    <col min="20" max="20" width="21.109375" style="31" customWidth="1"/>
    <col min="21" max="21" width="16.109375" style="31" customWidth="1"/>
    <col min="22" max="22" width="13.77734375" style="31" customWidth="1"/>
    <col min="23" max="23" width="14" style="31" customWidth="1"/>
    <col min="24" max="24" width="16.109375" style="31" customWidth="1"/>
    <col min="25" max="25" width="13.77734375" style="31" customWidth="1"/>
    <col min="26" max="26" width="14" style="31" customWidth="1"/>
    <col min="27" max="27" width="16.109375" style="31" customWidth="1"/>
    <col min="28" max="28" width="17.6640625" style="31" customWidth="1"/>
    <col min="29" max="29" width="16.109375" style="31" customWidth="1"/>
    <col min="30" max="30" width="15.77734375" style="31" customWidth="1"/>
    <col min="31" max="31" width="16.44140625" style="31" customWidth="1"/>
    <col min="32" max="32" width="15.33203125" customWidth="1"/>
    <col min="33" max="33" width="19.6640625" style="31" customWidth="1"/>
    <col min="34" max="34" width="22.33203125" style="31" customWidth="1"/>
    <col min="35" max="35" width="16.109375" style="31" customWidth="1"/>
    <col min="36" max="36" width="16" style="31" customWidth="1"/>
    <col min="37" max="37" width="19.6640625" customWidth="1"/>
    <col min="38" max="38" width="16.33203125" customWidth="1"/>
    <col min="39" max="39" width="26" customWidth="1"/>
    <col min="40" max="40" width="21" customWidth="1"/>
    <col min="41" max="41" width="28.33203125" customWidth="1"/>
    <col min="42" max="42" width="15.33203125" customWidth="1"/>
    <col min="43" max="43" width="9.6640625" style="4" customWidth="1"/>
    <col min="44" max="44" width="15" style="4" customWidth="1"/>
    <col min="45" max="46" width="13.77734375" style="4" customWidth="1"/>
    <col min="47" max="47" width="31.6640625" customWidth="1"/>
    <col min="48" max="48" width="19.109375" customWidth="1"/>
    <col min="49" max="49" width="14.77734375" style="31" customWidth="1"/>
    <col min="50" max="50" width="11.6640625" style="4" customWidth="1"/>
    <col min="51" max="51" width="16.109375" customWidth="1"/>
    <col min="52" max="52" width="16.44140625" style="174" customWidth="1"/>
    <col min="53" max="53" width="16.44140625" style="31" customWidth="1"/>
    <col min="54" max="54" width="21.6640625" style="31" customWidth="1"/>
    <col min="55" max="55" width="25.6640625" style="47" customWidth="1"/>
    <col min="56" max="56" width="20" style="31" customWidth="1"/>
    <col min="57" max="57" width="13.77734375" customWidth="1"/>
    <col min="58" max="58" width="19.77734375" customWidth="1"/>
    <col min="59" max="59" width="16.6640625" style="31" customWidth="1"/>
    <col min="60" max="60" width="16.6640625" bestFit="1" customWidth="1"/>
  </cols>
  <sheetData>
    <row r="1" spans="1:60" x14ac:dyDescent="0.3">
      <c r="A1" t="s">
        <v>454</v>
      </c>
    </row>
    <row r="2" spans="1:60" x14ac:dyDescent="0.3">
      <c r="A2" t="s">
        <v>1017</v>
      </c>
    </row>
    <row r="3" spans="1:60" x14ac:dyDescent="0.3">
      <c r="A3" t="s">
        <v>1280</v>
      </c>
    </row>
    <row r="5" spans="1:60" ht="43.2" x14ac:dyDescent="0.3">
      <c r="A5" s="2" t="s">
        <v>0</v>
      </c>
      <c r="B5" s="2" t="s">
        <v>558</v>
      </c>
      <c r="C5" s="2" t="s">
        <v>559</v>
      </c>
      <c r="D5" s="171" t="s">
        <v>1</v>
      </c>
      <c r="E5" s="2" t="s">
        <v>2</v>
      </c>
      <c r="F5" s="2" t="s">
        <v>562</v>
      </c>
      <c r="G5" s="2" t="s">
        <v>563</v>
      </c>
      <c r="H5" s="25" t="s">
        <v>564</v>
      </c>
      <c r="I5" s="2" t="s">
        <v>565</v>
      </c>
      <c r="J5" s="2" t="s">
        <v>566</v>
      </c>
      <c r="K5" s="26" t="s">
        <v>567</v>
      </c>
      <c r="L5" s="26" t="s">
        <v>568</v>
      </c>
      <c r="M5" s="25" t="s">
        <v>569</v>
      </c>
      <c r="N5" s="31" t="s">
        <v>1300</v>
      </c>
      <c r="O5" s="31" t="s">
        <v>1301</v>
      </c>
      <c r="P5" s="31" t="s">
        <v>1302</v>
      </c>
      <c r="Q5" s="31" t="s">
        <v>1303</v>
      </c>
      <c r="R5" s="31" t="s">
        <v>1304</v>
      </c>
      <c r="S5" s="31" t="s">
        <v>1305</v>
      </c>
      <c r="T5" s="32" t="s">
        <v>1306</v>
      </c>
      <c r="U5" s="32" t="s">
        <v>1307</v>
      </c>
      <c r="V5" s="32" t="s">
        <v>1308</v>
      </c>
      <c r="W5" s="32" t="s">
        <v>1309</v>
      </c>
      <c r="X5" s="32" t="s">
        <v>1310</v>
      </c>
      <c r="Y5" s="32" t="s">
        <v>1311</v>
      </c>
      <c r="Z5" s="32" t="s">
        <v>1312</v>
      </c>
      <c r="AA5" s="32" t="s">
        <v>1313</v>
      </c>
      <c r="AB5" s="32" t="s">
        <v>1314</v>
      </c>
      <c r="AC5" s="32" t="s">
        <v>1315</v>
      </c>
      <c r="AD5" s="32" t="s">
        <v>1316</v>
      </c>
      <c r="AE5" s="32" t="s">
        <v>1317</v>
      </c>
      <c r="AF5" s="2" t="s">
        <v>1319</v>
      </c>
      <c r="AG5" s="32" t="s">
        <v>919</v>
      </c>
      <c r="AH5" s="32" t="s">
        <v>920</v>
      </c>
      <c r="AI5" s="32" t="s">
        <v>1318</v>
      </c>
      <c r="AJ5" s="32" t="s">
        <v>922</v>
      </c>
      <c r="AK5" s="44" t="s">
        <v>1368</v>
      </c>
      <c r="AL5" s="44" t="s">
        <v>1002</v>
      </c>
      <c r="AM5" s="44" t="s">
        <v>1369</v>
      </c>
      <c r="AN5" s="43" t="s">
        <v>921</v>
      </c>
      <c r="AO5" s="42" t="s">
        <v>1370</v>
      </c>
      <c r="AP5" s="42" t="s">
        <v>1371</v>
      </c>
      <c r="AQ5" s="4" t="s">
        <v>1412</v>
      </c>
      <c r="AR5" s="25" t="s">
        <v>998</v>
      </c>
      <c r="AS5" s="45" t="s">
        <v>997</v>
      </c>
      <c r="AT5" s="45" t="s">
        <v>999</v>
      </c>
      <c r="AU5" s="2" t="s">
        <v>996</v>
      </c>
      <c r="AV5" t="s">
        <v>1000</v>
      </c>
      <c r="AW5" s="32" t="s">
        <v>1001</v>
      </c>
      <c r="AX5" s="45" t="s">
        <v>1372</v>
      </c>
      <c r="AY5" s="2" t="s">
        <v>999</v>
      </c>
      <c r="AZ5" s="175" t="s">
        <v>1014</v>
      </c>
      <c r="BA5" s="32" t="s">
        <v>1015</v>
      </c>
      <c r="BB5" s="32" t="s">
        <v>1013</v>
      </c>
      <c r="BC5" s="2"/>
      <c r="BD5" s="31" t="s">
        <v>1005</v>
      </c>
      <c r="BE5" t="s">
        <v>1004</v>
      </c>
      <c r="BF5" t="s">
        <v>1011</v>
      </c>
      <c r="BG5" s="32" t="s">
        <v>1018</v>
      </c>
      <c r="BH5" s="32" t="s">
        <v>1013</v>
      </c>
    </row>
    <row r="6" spans="1:60" x14ac:dyDescent="0.3">
      <c r="A6" s="1">
        <v>10323000</v>
      </c>
      <c r="B6">
        <f>VLOOKUP(C6,'NCES ID'!$A$2:$B$3136,2,FALSE)</f>
        <v>404860</v>
      </c>
      <c r="C6">
        <f>VLOOKUP(A6,'State ID'!$A$2:$B$713,2,FALSE)</f>
        <v>4163</v>
      </c>
      <c r="D6" s="147" t="s">
        <v>280</v>
      </c>
      <c r="E6" t="s">
        <v>103</v>
      </c>
      <c r="F6">
        <f>VLOOKUP(B6,'Formula counts'!$D$9:$L$234,9,FALSE)</f>
        <v>159</v>
      </c>
      <c r="G6">
        <f>VLOOKUP(B6,'Formula counts'!$D$9:$K$234,8,FALSE)</f>
        <v>68</v>
      </c>
      <c r="H6" s="4">
        <f>VLOOKUP(B6,'Formula counts'!$D$9:$M$234,10,FALSE)</f>
        <v>0.42767295597484278</v>
      </c>
      <c r="I6">
        <f>VLOOKUP($C6,'Final SEA Counts'!$A$2:$F$709,5,FALSE)</f>
        <v>130</v>
      </c>
      <c r="J6" s="47">
        <f>VLOOKUP($C6,'Final SEA Counts'!$A$2:$F$709,6,FALSE)</f>
        <v>120</v>
      </c>
      <c r="K6" s="24">
        <f t="shared" ref="K6:K16" si="0">F6-(F6/(F$19))*K$18</f>
        <v>158.53144802386018</v>
      </c>
      <c r="L6" s="24">
        <f t="shared" ref="L6:L16" si="1">G6-(G6/(G$19))*L$18</f>
        <v>67.789541552872592</v>
      </c>
      <c r="M6" s="4">
        <f t="shared" ref="M6:M17" si="2">L6/K6</f>
        <v>0.42760942638125499</v>
      </c>
      <c r="N6" s="31">
        <f>IFERROR(VLOOKUP($B6,Allocation!$D$10:$O$235,8,FALSE),"")</f>
        <v>39433.564605220199</v>
      </c>
      <c r="O6" s="31">
        <f>IFERROR(VLOOKUP($B6,Allocation!$D$10:$O$235,9,FALSE),"")</f>
        <v>9344.1494430341027</v>
      </c>
      <c r="P6" s="31">
        <f>IFERROR(VLOOKUP($B6,Allocation!$D$10:$O$235,10,FALSE),"")</f>
        <v>27982.418459258133</v>
      </c>
      <c r="Q6" s="31">
        <f>IFERROR(VLOOKUP($B6,Allocation!$D$10:$O$235,11,FALSE),"")</f>
        <v>33378.745619887923</v>
      </c>
      <c r="R6" s="31">
        <f>IFERROR(VLOOKUP($B6,Allocation!$D$10:$O$235,12,FALSE),"")</f>
        <v>110138.87812740036</v>
      </c>
      <c r="S6" s="31">
        <f t="shared" ref="S6:S16" si="3">IF(N6=0,"",N6-(N6/N$19)*S$18)</f>
        <v>39311.518623286189</v>
      </c>
      <c r="T6" s="31">
        <f t="shared" ref="T6:T16" si="4">IF(O6=0,"",O6-(O6/O$19)*T$18)</f>
        <v>9315.2295138942882</v>
      </c>
      <c r="U6" s="31">
        <f t="shared" ref="U6:U16" si="5">IF(P6=0,"",P6-(P6/P$19)*U$18)</f>
        <v>27895.813513143359</v>
      </c>
      <c r="V6" s="31">
        <f t="shared" ref="V6:V16" si="6">IF(Q6=0,"",Q6-(Q6/Q$19)*V$18)</f>
        <v>33275.43916444348</v>
      </c>
      <c r="W6" s="31">
        <f t="shared" ref="W6:W16" si="7">IF(S6="0","",S6)</f>
        <v>39311.518623286189</v>
      </c>
      <c r="X6" s="31">
        <f t="shared" ref="X6:X16" si="8">IF(T6="0","",T6)</f>
        <v>9315.2295138942882</v>
      </c>
      <c r="Y6" s="31">
        <f t="shared" ref="Y6:Y16" si="9">IF(U6="0","",U6)</f>
        <v>27895.813513143359</v>
      </c>
      <c r="Z6" s="31">
        <f t="shared" ref="Z6:Z16" si="10">IF(V6="0","",V6)</f>
        <v>33275.43916444348</v>
      </c>
      <c r="AA6" s="31">
        <f t="shared" ref="AA6:AA17" si="11">IF(W6="","",W6+W$20)</f>
        <v>39311.518623286189</v>
      </c>
      <c r="AB6" s="31">
        <f t="shared" ref="AB6:AB17" si="12">IF(X6="","",X6+X$20)</f>
        <v>9315.2295138942882</v>
      </c>
      <c r="AC6" s="31">
        <f t="shared" ref="AC6:AC17" si="13">IF(Y6="","",Y6+Y$20)</f>
        <v>27895.813513143359</v>
      </c>
      <c r="AD6" s="31">
        <f t="shared" ref="AD6:AD17" si="14">IF(Z6="","",Z6+Z$20)</f>
        <v>33275.43916444348</v>
      </c>
      <c r="AE6" s="31">
        <f t="shared" ref="AE6:AE16" si="15">SUM(AA6:AD6)</f>
        <v>109798.00081476731</v>
      </c>
      <c r="AF6" s="31">
        <f>IFERROR(VLOOKUP(A6,'Allocations By Type'!$D$7:$F$491,3,FALSE),"")</f>
        <v>107067.78</v>
      </c>
      <c r="AG6" s="31">
        <f t="shared" ref="AG6:AG16" si="16">IF(AE6&gt;AF6,AE6*0.04,"")</f>
        <v>4391.9200325906922</v>
      </c>
      <c r="AH6" s="31">
        <f t="shared" ref="AH6:AH16" si="17">IF(AG6="","",IF((AE6-AF6)&gt;AG6,AG6,AE6-AF6))</f>
        <v>2730.2208147673082</v>
      </c>
      <c r="AI6" s="31">
        <f t="shared" ref="AI6:AI16" si="18">IF(AH6="",AE6,AE6-AH6)</f>
        <v>107067.78</v>
      </c>
      <c r="AJ6" s="31">
        <f>AI6/$AI$577*'State Admin 1004(b)'!$B$30*0.01</f>
        <v>1018.910452088654</v>
      </c>
      <c r="AK6" s="31">
        <f t="shared" ref="AK6:AK16" si="19">AI6-AJ6</f>
        <v>106048.86954791134</v>
      </c>
      <c r="AL6" s="31">
        <f t="shared" ref="AL6:AL16" si="20">AK6*0.01</f>
        <v>1060.4886954791134</v>
      </c>
      <c r="AM6" s="31">
        <f t="shared" ref="AM6:AM16" si="21">AK6-AL6</f>
        <v>104988.38085243222</v>
      </c>
      <c r="AP6" s="31"/>
      <c r="AQ6" s="4">
        <f t="shared" ref="AQ6:AQ16" si="22">IFERROR(AM6/AF6,"")</f>
        <v>0.98057866570533381</v>
      </c>
      <c r="AR6" s="4">
        <f>VLOOKUP(B6,Allocation!$D$10:$P$235,13,FALSE)</f>
        <v>0.95000000000000007</v>
      </c>
      <c r="AS6" s="4">
        <f t="shared" ref="AS6:AS17" si="23">IF(M6&gt;0.3,0.95,IF(M6&gt;0.15,0.9,0.85))</f>
        <v>0.95</v>
      </c>
      <c r="AT6" s="4" t="str">
        <f t="shared" ref="AT6:AT16" si="24">IF(AQ6&lt;AS6,"Review","")</f>
        <v/>
      </c>
      <c r="AU6" s="31" t="str">
        <f t="shared" ref="AU6:AU16" si="25">IF(AT6="Review",AM6*AS6/AQ6-AM6,"")</f>
        <v/>
      </c>
      <c r="AV6" s="31" t="str">
        <f t="shared" ref="AV6:AV16" si="26">IF(AU6="","",AU6+AM6)</f>
        <v/>
      </c>
      <c r="AW6" s="31">
        <f t="shared" ref="AW6:AW16" si="27">IF(AV6="",AM6-AM6/($AM$19-$AV$19+$AU$19)*$AU$19,AV6)</f>
        <v>94866.088182474545</v>
      </c>
      <c r="AX6" s="4">
        <f t="shared" ref="AX6:AX16" si="28">IFERROR(AW6/AF6,"")</f>
        <v>0.88603768736471933</v>
      </c>
      <c r="AY6" s="4" t="str">
        <f t="shared" ref="AY6:AY16" si="29">IF(AX6&lt;AS6,"Manual Adjustment","")</f>
        <v>Manual Adjustment</v>
      </c>
      <c r="AZ6" s="174" t="str">
        <f>IFERROR(IF(VLOOKUP(A6,#REF!,11,FALSE)=0,"",VLOOKUP(A6,#REF!,11,FALSE)),"")</f>
        <v/>
      </c>
      <c r="BA6" s="31" t="str">
        <f t="shared" ref="BA6:BA16" si="30">IF(AZ6&lt;0,AW6*AZ6/100,"")</f>
        <v/>
      </c>
      <c r="BB6" s="31">
        <f t="shared" ref="BB6:BB16" si="31">IF(BA6&lt;0,AW6+BA6,AW6)</f>
        <v>94866.088182474545</v>
      </c>
      <c r="BD6" s="31">
        <f>IFERROR(VLOOKUP(A6,'Title II Hold Harmless'!A$1:B$439,2, FALSE),"")</f>
        <v>9049</v>
      </c>
      <c r="BE6" s="31">
        <f t="shared" ref="BE6:BE16" si="32">IFERROR($BD$582*(0.8*($L6/$L$579)+0.2*($K6/$K$579))+$BD6,$BD$582*(0.8*($L6/$L$579)+0.2*($K6/$K$579)))</f>
        <v>10063.996777706445</v>
      </c>
      <c r="BF6" s="31">
        <f t="shared" ref="BF6:BF16" si="33">$BD$583*BE6</f>
        <v>10073.734295133941</v>
      </c>
      <c r="BG6" s="31" t="str">
        <f>IF(AZ6&lt;0,BF6*AZ6/100,"")</f>
        <v/>
      </c>
      <c r="BH6" s="31">
        <f>IF(BG6&lt;0,BF6+BG6,BF6)</f>
        <v>10073.734295133941</v>
      </c>
    </row>
    <row r="7" spans="1:60" x14ac:dyDescent="0.3">
      <c r="A7" s="1">
        <v>10309000</v>
      </c>
      <c r="B7">
        <f>VLOOKUP(C7,'NCES ID'!$A$2:$B$3136,2,FALSE)</f>
        <v>400022</v>
      </c>
      <c r="C7">
        <f>VLOOKUP(A7,'State ID'!$A$2:$B$713,2,FALSE)</f>
        <v>4162</v>
      </c>
      <c r="D7" s="147" t="s">
        <v>430</v>
      </c>
      <c r="E7" t="s">
        <v>103</v>
      </c>
      <c r="F7" s="47">
        <f>VLOOKUP(B7,'Formula counts'!$D$9:$L$234,9,FALSE)</f>
        <v>275</v>
      </c>
      <c r="G7" s="47">
        <f>VLOOKUP(B7,'Formula counts'!$D$9:$K$234,8,FALSE)</f>
        <v>90</v>
      </c>
      <c r="H7" s="4">
        <f>VLOOKUP(B7,'Formula counts'!$D$9:$M$234,10,FALSE)</f>
        <v>0.32727272727272727</v>
      </c>
      <c r="I7" s="47">
        <f>VLOOKUP($C7,'Final SEA Counts'!$A$2:$F$709,5,FALSE)</f>
        <v>108</v>
      </c>
      <c r="J7" s="47">
        <f>VLOOKUP($C7,'Final SEA Counts'!$A$2:$F$709,6,FALSE)</f>
        <v>71</v>
      </c>
      <c r="K7" s="24">
        <f t="shared" si="0"/>
        <v>274.18961136202233</v>
      </c>
      <c r="L7" s="24">
        <f t="shared" si="1"/>
        <v>89.72145205527255</v>
      </c>
      <c r="M7" s="4">
        <f t="shared" si="2"/>
        <v>0.3272241118457625</v>
      </c>
      <c r="N7" s="31">
        <f>IFERROR(VLOOKUP($B7,Allocation!$D$10:$O$235,8,FALSE),"")</f>
        <v>53454.387575965156</v>
      </c>
      <c r="O7" s="31">
        <f>IFERROR(VLOOKUP($B7,Allocation!$D$10:$O$235,9,FALSE),"")</f>
        <v>12666.513689446234</v>
      </c>
      <c r="P7" s="31">
        <f>IFERROR(VLOOKUP($B7,Allocation!$D$10:$O$235,10,FALSE),"")</f>
        <v>32180.048795923445</v>
      </c>
      <c r="Q7" s="31">
        <f>IFERROR(VLOOKUP($B7,Allocation!$D$10:$O$235,11,FALSE),"")</f>
        <v>27883.074911673819</v>
      </c>
      <c r="R7" s="31">
        <f>IFERROR(VLOOKUP($B7,Allocation!$D$10:$O$235,12,FALSE),"")</f>
        <v>126184.02497300865</v>
      </c>
      <c r="S7" s="31">
        <f t="shared" si="3"/>
        <v>53288.947467121274</v>
      </c>
      <c r="T7" s="31">
        <f t="shared" si="4"/>
        <v>12627.311118834486</v>
      </c>
      <c r="U7" s="31">
        <f t="shared" si="5"/>
        <v>32080.452279775294</v>
      </c>
      <c r="V7" s="31">
        <f t="shared" si="6"/>
        <v>27796.777431570172</v>
      </c>
      <c r="W7" s="31">
        <f t="shared" si="7"/>
        <v>53288.947467121274</v>
      </c>
      <c r="X7" s="31">
        <f t="shared" si="8"/>
        <v>12627.311118834486</v>
      </c>
      <c r="Y7" s="31">
        <f t="shared" si="9"/>
        <v>32080.452279775294</v>
      </c>
      <c r="Z7" s="31">
        <f t="shared" si="10"/>
        <v>27796.777431570172</v>
      </c>
      <c r="AA7" s="31">
        <f t="shared" si="11"/>
        <v>53288.947467121274</v>
      </c>
      <c r="AB7" s="31">
        <f t="shared" si="12"/>
        <v>12627.311118834486</v>
      </c>
      <c r="AC7" s="31">
        <f t="shared" si="13"/>
        <v>32080.452279775294</v>
      </c>
      <c r="AD7" s="31">
        <f t="shared" si="14"/>
        <v>27796.777431570172</v>
      </c>
      <c r="AE7" s="31">
        <f t="shared" si="15"/>
        <v>125793.48829730123</v>
      </c>
      <c r="AF7" s="31">
        <f>IFERROR(VLOOKUP(A7,'Allocations By Type'!$D$7:$F$491,3,FALSE),"")</f>
        <v>121468.28</v>
      </c>
      <c r="AG7" s="31">
        <f t="shared" si="16"/>
        <v>5031.7395318920489</v>
      </c>
      <c r="AH7" s="31">
        <f t="shared" si="17"/>
        <v>4325.2082973012293</v>
      </c>
      <c r="AI7" s="31">
        <f t="shared" si="18"/>
        <v>121468.28</v>
      </c>
      <c r="AJ7" s="31">
        <f>AI7/$AI$577*'State Admin 1004(b)'!$B$30*0.01</f>
        <v>1155.952800078896</v>
      </c>
      <c r="AK7" s="31">
        <f t="shared" si="19"/>
        <v>120312.3271999211</v>
      </c>
      <c r="AL7" s="31">
        <f t="shared" si="20"/>
        <v>1203.1232719992111</v>
      </c>
      <c r="AM7" s="31">
        <f t="shared" si="21"/>
        <v>119109.20392792189</v>
      </c>
      <c r="AP7" s="31"/>
      <c r="AQ7" s="4">
        <f t="shared" si="22"/>
        <v>0.98057866570533381</v>
      </c>
      <c r="AR7" s="4">
        <f>VLOOKUP(B7,Allocation!$D$10:$P$235,13,FALSE)</f>
        <v>0.95</v>
      </c>
      <c r="AS7" s="4">
        <f t="shared" si="23"/>
        <v>0.95</v>
      </c>
      <c r="AT7" s="4" t="str">
        <f t="shared" si="24"/>
        <v/>
      </c>
      <c r="AU7" s="31" t="str">
        <f t="shared" si="25"/>
        <v/>
      </c>
      <c r="AV7" s="31" t="str">
        <f t="shared" si="26"/>
        <v/>
      </c>
      <c r="AW7" s="31">
        <f t="shared" si="27"/>
        <v>107625.47389937019</v>
      </c>
      <c r="AX7" s="4">
        <f t="shared" si="28"/>
        <v>0.88603768736471933</v>
      </c>
      <c r="AY7" s="4" t="str">
        <f t="shared" si="29"/>
        <v>Manual Adjustment</v>
      </c>
      <c r="AZ7" s="174" t="str">
        <f>IFERROR(IF(VLOOKUP(A7,#REF!,11,FALSE)=0,"",VLOOKUP(A7,#REF!,11,FALSE)),"")</f>
        <v/>
      </c>
      <c r="BA7" s="31" t="str">
        <f t="shared" si="30"/>
        <v/>
      </c>
      <c r="BB7" s="31">
        <f t="shared" si="31"/>
        <v>107625.47389937019</v>
      </c>
      <c r="BD7" s="31">
        <f>IFERROR(VLOOKUP(A7,'Title II Hold Harmless'!A$1:B$439,2, FALSE),"")</f>
        <v>3337</v>
      </c>
      <c r="BE7" s="31">
        <f t="shared" si="32"/>
        <v>4732.1818990947668</v>
      </c>
      <c r="BF7" s="31">
        <f t="shared" si="33"/>
        <v>4736.760567463838</v>
      </c>
      <c r="BG7" s="31" t="str">
        <f t="shared" ref="BG7:BG16" si="34">IF(AZ7&lt;0,BF7*AZ7/100,"")</f>
        <v/>
      </c>
      <c r="BH7" s="31">
        <f t="shared" ref="BH7:BH16" si="35">IF(BG7&lt;0,BF7+BG7,BF7)</f>
        <v>4736.760567463838</v>
      </c>
    </row>
    <row r="8" spans="1:60" x14ac:dyDescent="0.3">
      <c r="A8" s="1">
        <v>10306000</v>
      </c>
      <c r="B8">
        <f>VLOOKUP(C8,'NCES ID'!$A$2:$B$3136,2,FALSE)</f>
        <v>402190</v>
      </c>
      <c r="C8">
        <f>VLOOKUP(A8,'State ID'!$A$2:$B$713,2,FALSE)</f>
        <v>4160</v>
      </c>
      <c r="D8" s="147" t="s">
        <v>112</v>
      </c>
      <c r="E8" t="s">
        <v>103</v>
      </c>
      <c r="F8" s="47">
        <f>VLOOKUP(B8,'Formula counts'!$D$9:$L$234,9,FALSE)</f>
        <v>291</v>
      </c>
      <c r="G8" s="47">
        <f>VLOOKUP(B8,'Formula counts'!$D$9:$K$234,8,FALSE)</f>
        <v>111</v>
      </c>
      <c r="H8" s="4">
        <f>VLOOKUP(B8,'Formula counts'!$D$9:$M$234,10,FALSE)</f>
        <v>0.38144329896907214</v>
      </c>
      <c r="I8" s="47">
        <f>VLOOKUP($C8,'Final SEA Counts'!$A$2:$F$709,5,FALSE)</f>
        <v>165</v>
      </c>
      <c r="J8" s="47">
        <f>VLOOKUP($C8,'Final SEA Counts'!$A$2:$F$709,6,FALSE)</f>
        <v>159</v>
      </c>
      <c r="K8" s="24">
        <f t="shared" si="0"/>
        <v>290.14246147763089</v>
      </c>
      <c r="L8" s="24">
        <f t="shared" si="1"/>
        <v>110.65645753483615</v>
      </c>
      <c r="M8" s="4">
        <f t="shared" si="2"/>
        <v>0.38138663665872097</v>
      </c>
      <c r="N8" s="31">
        <f>IFERROR(VLOOKUP($B8,Allocation!$D$10:$O$235,8,FALSE),"")</f>
        <v>61779.25121484499</v>
      </c>
      <c r="O8" s="31">
        <f>IFERROR(VLOOKUP($B8,Allocation!$D$10:$O$235,9,FALSE),"")</f>
        <v>14639.167460753433</v>
      </c>
      <c r="P8" s="31">
        <f>IFERROR(VLOOKUP($B8,Allocation!$D$10:$O$235,10,FALSE),"")</f>
        <v>39788.497861566007</v>
      </c>
      <c r="Q8" s="31">
        <f>IFERROR(VLOOKUP($B8,Allocation!$D$10:$O$235,11,FALSE),"")</f>
        <v>35474.549867531248</v>
      </c>
      <c r="R8" s="31">
        <f>IFERROR(VLOOKUP($B8,Allocation!$D$10:$O$235,12,FALSE),"")</f>
        <v>151681.46640469568</v>
      </c>
      <c r="S8" s="31">
        <f t="shared" si="3"/>
        <v>61588.045843148371</v>
      </c>
      <c r="T8" s="31">
        <f t="shared" si="4"/>
        <v>14593.859571767725</v>
      </c>
      <c r="U8" s="31">
        <f t="shared" si="5"/>
        <v>39665.353369308992</v>
      </c>
      <c r="V8" s="31">
        <f t="shared" si="6"/>
        <v>35364.756945800895</v>
      </c>
      <c r="W8" s="31">
        <f t="shared" si="7"/>
        <v>61588.045843148371</v>
      </c>
      <c r="X8" s="31">
        <f t="shared" si="8"/>
        <v>14593.859571767725</v>
      </c>
      <c r="Y8" s="31">
        <f t="shared" si="9"/>
        <v>39665.353369308992</v>
      </c>
      <c r="Z8" s="31">
        <f t="shared" si="10"/>
        <v>35364.756945800895</v>
      </c>
      <c r="AA8" s="31">
        <f t="shared" si="11"/>
        <v>61588.045843148371</v>
      </c>
      <c r="AB8" s="31">
        <f t="shared" si="12"/>
        <v>14593.859571767725</v>
      </c>
      <c r="AC8" s="31">
        <f t="shared" si="13"/>
        <v>39665.353369308992</v>
      </c>
      <c r="AD8" s="31">
        <f t="shared" si="14"/>
        <v>35364.756945800895</v>
      </c>
      <c r="AE8" s="31">
        <f t="shared" si="15"/>
        <v>151212.015730026</v>
      </c>
      <c r="AF8" s="31">
        <f>IFERROR(VLOOKUP(A8,'Allocations By Type'!$D$7:$F$491,3,FALSE),"")</f>
        <v>146011.28</v>
      </c>
      <c r="AG8" s="31">
        <f t="shared" si="16"/>
        <v>6048.4806292010398</v>
      </c>
      <c r="AH8" s="31">
        <f t="shared" si="17"/>
        <v>5200.7357300260046</v>
      </c>
      <c r="AI8" s="31">
        <f t="shared" si="18"/>
        <v>146011.28</v>
      </c>
      <c r="AJ8" s="31">
        <f>AI8/$AI$577*'State Admin 1004(b)'!$B$30*0.01</f>
        <v>1389.516242093028</v>
      </c>
      <c r="AK8" s="31">
        <f t="shared" si="19"/>
        <v>144621.76375790697</v>
      </c>
      <c r="AL8" s="31">
        <f t="shared" si="20"/>
        <v>1446.2176375790698</v>
      </c>
      <c r="AM8" s="31">
        <f t="shared" si="21"/>
        <v>143175.5461203279</v>
      </c>
      <c r="AP8" s="31"/>
      <c r="AQ8" s="4">
        <f t="shared" si="22"/>
        <v>0.98057866570533381</v>
      </c>
      <c r="AR8" s="4">
        <f>VLOOKUP(B8,Allocation!$D$10:$P$235,13,FALSE)</f>
        <v>0.95000000000000007</v>
      </c>
      <c r="AS8" s="4">
        <f t="shared" si="23"/>
        <v>0.95</v>
      </c>
      <c r="AT8" s="4" t="str">
        <f t="shared" si="24"/>
        <v/>
      </c>
      <c r="AU8" s="31" t="str">
        <f t="shared" si="25"/>
        <v/>
      </c>
      <c r="AV8" s="31" t="str">
        <f t="shared" si="26"/>
        <v/>
      </c>
      <c r="AW8" s="31">
        <f t="shared" si="27"/>
        <v>129371.4968603625</v>
      </c>
      <c r="AX8" s="4">
        <f t="shared" si="28"/>
        <v>0.88603768736471933</v>
      </c>
      <c r="AY8" s="4" t="str">
        <f t="shared" si="29"/>
        <v>Manual Adjustment</v>
      </c>
      <c r="AZ8" s="174" t="str">
        <f>IFERROR(IF(VLOOKUP(A8,#REF!,11,FALSE)=0,"",VLOOKUP(A8,#REF!,11,FALSE)),"")</f>
        <v/>
      </c>
      <c r="BA8" s="31" t="str">
        <f t="shared" si="30"/>
        <v/>
      </c>
      <c r="BB8" s="31">
        <f t="shared" si="31"/>
        <v>129371.4968603625</v>
      </c>
      <c r="BD8" s="31">
        <f>IFERROR(VLOOKUP(A8,'Title II Hold Harmless'!A$1:B$439,2, FALSE),"")</f>
        <v>7633</v>
      </c>
      <c r="BE8" s="31">
        <f t="shared" si="32"/>
        <v>9315.0740577496908</v>
      </c>
      <c r="BF8" s="31">
        <f t="shared" si="33"/>
        <v>9324.0869477554479</v>
      </c>
      <c r="BG8" s="31" t="str">
        <f t="shared" si="34"/>
        <v/>
      </c>
      <c r="BH8" s="31">
        <f t="shared" si="35"/>
        <v>9324.0869477554479</v>
      </c>
    </row>
    <row r="9" spans="1:60" x14ac:dyDescent="0.3">
      <c r="A9" s="1">
        <v>10201000</v>
      </c>
      <c r="B9">
        <f>VLOOKUP(C9,'NCES ID'!$A$2:$B$3136,2,FALSE)</f>
        <v>408080</v>
      </c>
      <c r="C9">
        <f>VLOOKUP(A9,'State ID'!$A$2:$B$713,2,FALSE)</f>
        <v>4153</v>
      </c>
      <c r="D9" s="147" t="s">
        <v>398</v>
      </c>
      <c r="E9" t="s">
        <v>103</v>
      </c>
      <c r="F9" s="47">
        <f>VLOOKUP(B9,'Formula counts'!$D$9:$L$234,9,FALSE)</f>
        <v>830</v>
      </c>
      <c r="G9" s="47">
        <f>VLOOKUP(B9,'Formula counts'!$D$9:$K$234,8,FALSE)</f>
        <v>255</v>
      </c>
      <c r="H9" s="4">
        <f>VLOOKUP(B9,'Formula counts'!$D$9:$M$234,10,FALSE)</f>
        <v>0.30722891566265059</v>
      </c>
      <c r="I9" s="47">
        <f>VLOOKUP($C9,'Final SEA Counts'!$A$2:$F$709,5,FALSE)</f>
        <v>746</v>
      </c>
      <c r="J9" s="47">
        <f>VLOOKUP($C9,'Final SEA Counts'!$A$2:$F$709,6,FALSE)</f>
        <v>387</v>
      </c>
      <c r="K9" s="24">
        <f t="shared" si="0"/>
        <v>827.55409974719464</v>
      </c>
      <c r="L9" s="24">
        <f t="shared" si="1"/>
        <v>254.21078082327224</v>
      </c>
      <c r="M9" s="4">
        <f t="shared" si="2"/>
        <v>0.30718327768653414</v>
      </c>
      <c r="N9" s="31">
        <f>IFERROR(VLOOKUP($B9,Allocation!$D$10:$O$235,8,FALSE),"")</f>
        <v>126625.5574545405</v>
      </c>
      <c r="O9" s="31">
        <f>IFERROR(VLOOKUP($B9,Allocation!$D$10:$O$235,9,FALSE),"")</f>
        <v>30005.102100409513</v>
      </c>
      <c r="P9" s="31">
        <f>IFERROR(VLOOKUP($B9,Allocation!$D$10:$O$235,10,FALSE),"")</f>
        <v>62402.728069999765</v>
      </c>
      <c r="Q9" s="31">
        <f>IFERROR(VLOOKUP($B9,Allocation!$D$10:$O$235,11,FALSE),"")</f>
        <v>49079.935689503131</v>
      </c>
      <c r="R9" s="31">
        <f>IFERROR(VLOOKUP($B9,Allocation!$D$10:$O$235,12,FALSE),"")</f>
        <v>268113.32331445295</v>
      </c>
      <c r="S9" s="31">
        <f t="shared" si="3"/>
        <v>126233.65424588573</v>
      </c>
      <c r="T9" s="31">
        <f t="shared" si="4"/>
        <v>29912.236994616109</v>
      </c>
      <c r="U9" s="31">
        <f t="shared" si="5"/>
        <v>62209.593051674383</v>
      </c>
      <c r="V9" s="31">
        <f t="shared" si="6"/>
        <v>48928.034409351283</v>
      </c>
      <c r="W9" s="31">
        <f t="shared" si="7"/>
        <v>126233.65424588573</v>
      </c>
      <c r="X9" s="31">
        <f t="shared" si="8"/>
        <v>29912.236994616109</v>
      </c>
      <c r="Y9" s="31">
        <f t="shared" si="9"/>
        <v>62209.593051674383</v>
      </c>
      <c r="Z9" s="31">
        <f t="shared" si="10"/>
        <v>48928.034409351283</v>
      </c>
      <c r="AA9" s="31">
        <f t="shared" si="11"/>
        <v>126233.65424588573</v>
      </c>
      <c r="AB9" s="31">
        <f t="shared" si="12"/>
        <v>29912.236994616109</v>
      </c>
      <c r="AC9" s="31">
        <f t="shared" si="13"/>
        <v>62209.593051674383</v>
      </c>
      <c r="AD9" s="31">
        <f t="shared" si="14"/>
        <v>48928.034409351283</v>
      </c>
      <c r="AE9" s="31">
        <f t="shared" si="15"/>
        <v>267283.5187015275</v>
      </c>
      <c r="AF9" s="31">
        <f>IFERROR(VLOOKUP(A9,'Allocations By Type'!$D$7:$F$491,3,FALSE),"")</f>
        <v>258101.41</v>
      </c>
      <c r="AG9" s="31">
        <f t="shared" si="16"/>
        <v>10691.3407480611</v>
      </c>
      <c r="AH9" s="31">
        <f t="shared" si="17"/>
        <v>9182.108701527497</v>
      </c>
      <c r="AI9" s="31">
        <f t="shared" si="18"/>
        <v>258101.41</v>
      </c>
      <c r="AJ9" s="31">
        <f>AI9/$AI$577*'State Admin 1004(b)'!$B$30*0.01</f>
        <v>2456.2218843784663</v>
      </c>
      <c r="AK9" s="31">
        <f t="shared" si="19"/>
        <v>255645.18811562154</v>
      </c>
      <c r="AL9" s="31">
        <f t="shared" si="20"/>
        <v>2556.4518811562152</v>
      </c>
      <c r="AM9" s="31">
        <f t="shared" si="21"/>
        <v>253088.73623446532</v>
      </c>
      <c r="AP9" s="31"/>
      <c r="AQ9" s="4">
        <f t="shared" si="22"/>
        <v>0.98057866570533392</v>
      </c>
      <c r="AR9" s="4">
        <f>VLOOKUP(B9,Allocation!$D$10:$P$235,13,FALSE)</f>
        <v>0.95000000000000018</v>
      </c>
      <c r="AS9" s="4">
        <f t="shared" si="23"/>
        <v>0.95</v>
      </c>
      <c r="AT9" s="4" t="str">
        <f t="shared" si="24"/>
        <v/>
      </c>
      <c r="AU9" s="31" t="str">
        <f t="shared" si="25"/>
        <v/>
      </c>
      <c r="AV9" s="31" t="str">
        <f t="shared" si="26"/>
        <v/>
      </c>
      <c r="AW9" s="31">
        <f t="shared" si="27"/>
        <v>228687.57642197327</v>
      </c>
      <c r="AX9" s="4">
        <f t="shared" si="28"/>
        <v>0.88603768736471944</v>
      </c>
      <c r="AY9" s="4" t="str">
        <f t="shared" si="29"/>
        <v>Manual Adjustment</v>
      </c>
      <c r="AZ9" s="174" t="str">
        <f>IFERROR(IF(VLOOKUP(A9,#REF!,11,FALSE)=0,"",VLOOKUP(A9,#REF!,11,FALSE)),"")</f>
        <v/>
      </c>
      <c r="BA9" s="31" t="str">
        <f t="shared" si="30"/>
        <v/>
      </c>
      <c r="BB9" s="31">
        <f t="shared" si="31"/>
        <v>228687.57642197327</v>
      </c>
      <c r="BD9" s="31">
        <f>IFERROR(VLOOKUP(A9,'Title II Hold Harmless'!A$1:B$439,2, FALSE),"")</f>
        <v>43358</v>
      </c>
      <c r="BE9" s="31">
        <f t="shared" si="32"/>
        <v>47351.805473372282</v>
      </c>
      <c r="BF9" s="31">
        <f t="shared" si="33"/>
        <v>47397.621170774117</v>
      </c>
      <c r="BG9" s="31" t="str">
        <f t="shared" si="34"/>
        <v/>
      </c>
      <c r="BH9" s="31">
        <f t="shared" si="35"/>
        <v>47397.621170774117</v>
      </c>
    </row>
    <row r="10" spans="1:60" x14ac:dyDescent="0.3">
      <c r="A10" s="1">
        <v>10218000</v>
      </c>
      <c r="B10">
        <f>VLOOKUP(C10,'NCES ID'!$A$2:$B$3136,2,FALSE)</f>
        <v>406740</v>
      </c>
      <c r="C10">
        <f>VLOOKUP(A10,'State ID'!$A$2:$B$713,2,FALSE)</f>
        <v>4156</v>
      </c>
      <c r="D10" s="147" t="s">
        <v>374</v>
      </c>
      <c r="E10" t="s">
        <v>103</v>
      </c>
      <c r="F10" s="47">
        <f>VLOOKUP(B10,'Formula counts'!$D$9:$L$234,9,FALSE)</f>
        <v>1356</v>
      </c>
      <c r="G10" s="47">
        <f>VLOOKUP(B10,'Formula counts'!$D$9:$K$234,8,FALSE)</f>
        <v>593</v>
      </c>
      <c r="H10" s="4">
        <f>VLOOKUP(B10,'Formula counts'!$D$9:$M$234,10,FALSE)</f>
        <v>0.43731563421828906</v>
      </c>
      <c r="I10" s="47">
        <f>VLOOKUP($C10,'Final SEA Counts'!$A$2:$F$709,5,FALSE)</f>
        <v>676</v>
      </c>
      <c r="J10" s="47">
        <f>VLOOKUP($C10,'Final SEA Counts'!$A$2:$F$709,6,FALSE)</f>
        <v>650</v>
      </c>
      <c r="K10" s="24">
        <f t="shared" si="0"/>
        <v>1352.0040472978264</v>
      </c>
      <c r="L10" s="24">
        <f t="shared" si="1"/>
        <v>591.16467854196253</v>
      </c>
      <c r="M10" s="4">
        <f t="shared" si="2"/>
        <v>0.43725067223244612</v>
      </c>
      <c r="N10" s="31">
        <f>IFERROR(VLOOKUP($B10,Allocation!$D$10:$O$235,8,FALSE),"")</f>
        <v>317221.11971310474</v>
      </c>
      <c r="O10" s="31">
        <f>IFERROR(VLOOKUP($B10,Allocation!$D$10:$O$235,9,FALSE),"")</f>
        <v>79443.213236367999</v>
      </c>
      <c r="P10" s="31">
        <f>IFERROR(VLOOKUP($B10,Allocation!$D$10:$O$235,10,FALSE),"")</f>
        <v>217554.60305842335</v>
      </c>
      <c r="Q10" s="31">
        <f>IFERROR(VLOOKUP($B10,Allocation!$D$10:$O$235,11,FALSE),"")</f>
        <v>231049.85023170948</v>
      </c>
      <c r="R10" s="31">
        <f>IFERROR(VLOOKUP($B10,Allocation!$D$10:$O$235,12,FALSE),"")</f>
        <v>845268.78623960563</v>
      </c>
      <c r="S10" s="31">
        <f t="shared" si="3"/>
        <v>316239.32759176893</v>
      </c>
      <c r="T10" s="31">
        <f t="shared" si="4"/>
        <v>79197.338305595389</v>
      </c>
      <c r="U10" s="31">
        <f t="shared" si="5"/>
        <v>216881.27653011313</v>
      </c>
      <c r="V10" s="31">
        <f t="shared" si="6"/>
        <v>230334.75622158029</v>
      </c>
      <c r="W10" s="31">
        <f t="shared" si="7"/>
        <v>316239.32759176893</v>
      </c>
      <c r="X10" s="31">
        <f t="shared" si="8"/>
        <v>79197.338305595389</v>
      </c>
      <c r="Y10" s="31">
        <f t="shared" si="9"/>
        <v>216881.27653011313</v>
      </c>
      <c r="Z10" s="31">
        <f t="shared" si="10"/>
        <v>230334.75622158029</v>
      </c>
      <c r="AA10" s="31">
        <f t="shared" si="11"/>
        <v>316239.32759176893</v>
      </c>
      <c r="AB10" s="31">
        <f t="shared" si="12"/>
        <v>79197.338305595389</v>
      </c>
      <c r="AC10" s="31">
        <f t="shared" si="13"/>
        <v>216881.27653011313</v>
      </c>
      <c r="AD10" s="31">
        <f t="shared" si="14"/>
        <v>230334.75622158029</v>
      </c>
      <c r="AE10" s="31">
        <f t="shared" si="15"/>
        <v>842652.69864905777</v>
      </c>
      <c r="AF10" s="31">
        <f>IFERROR(VLOOKUP(A10,'Allocations By Type'!$D$7:$F$491,3,FALSE),"")</f>
        <v>890924.54</v>
      </c>
      <c r="AG10" s="31" t="str">
        <f t="shared" si="16"/>
        <v/>
      </c>
      <c r="AH10" s="31" t="str">
        <f t="shared" si="17"/>
        <v/>
      </c>
      <c r="AI10" s="31">
        <f t="shared" si="18"/>
        <v>842652.69864905777</v>
      </c>
      <c r="AJ10" s="31">
        <f>AI10/$AI$577*'State Admin 1004(b)'!$B$30*0.01</f>
        <v>8019.1038063387123</v>
      </c>
      <c r="AK10" s="31">
        <f t="shared" si="19"/>
        <v>834633.59484271903</v>
      </c>
      <c r="AL10" s="31">
        <f t="shared" si="20"/>
        <v>8346.3359484271896</v>
      </c>
      <c r="AM10" s="31">
        <f t="shared" si="21"/>
        <v>826287.25889429182</v>
      </c>
      <c r="AP10" s="31"/>
      <c r="AQ10" s="4">
        <f t="shared" si="22"/>
        <v>0.92744920786926777</v>
      </c>
      <c r="AR10" s="4">
        <f>VLOOKUP(B10,Allocation!$D$10:$P$235,13,FALSE)</f>
        <v>0.95000000000000007</v>
      </c>
      <c r="AS10" s="4">
        <f t="shared" si="23"/>
        <v>0.95</v>
      </c>
      <c r="AT10" s="4" t="str">
        <f t="shared" si="24"/>
        <v>Review</v>
      </c>
      <c r="AU10" s="31">
        <f t="shared" si="25"/>
        <v>20091.054105708259</v>
      </c>
      <c r="AV10" s="31">
        <f t="shared" si="26"/>
        <v>846378.31300000008</v>
      </c>
      <c r="AW10" s="31">
        <f t="shared" si="27"/>
        <v>846378.31300000008</v>
      </c>
      <c r="AX10" s="4">
        <f t="shared" si="28"/>
        <v>0.95000000000000007</v>
      </c>
      <c r="AY10" s="4" t="str">
        <f t="shared" si="29"/>
        <v/>
      </c>
      <c r="AZ10" s="174" t="str">
        <f>IFERROR(IF(VLOOKUP(A10,#REF!,11,FALSE)=0,"",VLOOKUP(A10,#REF!,11,FALSE)),"")</f>
        <v/>
      </c>
      <c r="BA10" s="31" t="str">
        <f t="shared" si="30"/>
        <v/>
      </c>
      <c r="BB10" s="31">
        <f t="shared" si="31"/>
        <v>846378.31300000008</v>
      </c>
      <c r="BD10" s="31">
        <f>IFERROR(VLOOKUP(A10,'Title II Hold Harmless'!A$1:B$439,2, FALSE),"")</f>
        <v>73187</v>
      </c>
      <c r="BE10" s="31">
        <f t="shared" si="32"/>
        <v>82013.835900903403</v>
      </c>
      <c r="BF10" s="31">
        <f t="shared" si="33"/>
        <v>82093.189181118083</v>
      </c>
      <c r="BG10" s="31" t="str">
        <f t="shared" si="34"/>
        <v/>
      </c>
      <c r="BH10" s="31">
        <f t="shared" si="35"/>
        <v>82093.189181118083</v>
      </c>
    </row>
    <row r="11" spans="1:60" x14ac:dyDescent="0.3">
      <c r="A11" s="1">
        <v>10210000</v>
      </c>
      <c r="B11">
        <f>VLOOKUP(C11,'NCES ID'!$A$2:$B$3136,2,FALSE)</f>
        <v>407130</v>
      </c>
      <c r="C11">
        <f>VLOOKUP(A11,'State ID'!$A$2:$B$713,2,FALSE)</f>
        <v>4155</v>
      </c>
      <c r="D11" s="147" t="s">
        <v>362</v>
      </c>
      <c r="E11" t="s">
        <v>103</v>
      </c>
      <c r="F11" s="47">
        <f>VLOOKUP(B11,'Formula counts'!$D$9:$L$234,9,FALSE)</f>
        <v>1477</v>
      </c>
      <c r="G11" s="47">
        <f>VLOOKUP(B11,'Formula counts'!$D$9:$K$234,8,FALSE)</f>
        <v>374</v>
      </c>
      <c r="H11" s="4">
        <f>VLOOKUP(B11,'Formula counts'!$D$9:$M$234,10,FALSE)</f>
        <v>0.25321597833446174</v>
      </c>
      <c r="I11" s="47">
        <f>VLOOKUP($C11,'Final SEA Counts'!$A$2:$F$709,5,FALSE)</f>
        <v>1228</v>
      </c>
      <c r="J11" s="47">
        <f>VLOOKUP($C11,'Final SEA Counts'!$A$2:$F$709,6,FALSE)</f>
        <v>569</v>
      </c>
      <c r="K11" s="24">
        <f t="shared" si="0"/>
        <v>1472.6474762971163</v>
      </c>
      <c r="L11" s="24">
        <f t="shared" si="1"/>
        <v>372.84247854079928</v>
      </c>
      <c r="M11" s="4">
        <f t="shared" si="2"/>
        <v>0.2531783638255975</v>
      </c>
      <c r="N11" s="31">
        <f>IFERROR(VLOOKUP($B11,Allocation!$D$10:$O$235,8,FALSE),"")</f>
        <v>183469.84795270878</v>
      </c>
      <c r="O11" s="31">
        <f>IFERROR(VLOOKUP($B11,Allocation!$D$10:$O$235,9,FALSE),"")</f>
        <v>43474.88477706397</v>
      </c>
      <c r="P11" s="31">
        <f>IFERROR(VLOOKUP($B11,Allocation!$D$10:$O$235,10,FALSE),"")</f>
        <v>77968.603254004309</v>
      </c>
      <c r="Q11" s="31">
        <f>IFERROR(VLOOKUP($B11,Allocation!$D$10:$O$235,11,FALSE),"")</f>
        <v>56866.954242206899</v>
      </c>
      <c r="R11" s="31">
        <f>IFERROR(VLOOKUP($B11,Allocation!$D$10:$O$235,12,FALSE),"")</f>
        <v>361780.29022598395</v>
      </c>
      <c r="S11" s="31">
        <f t="shared" si="3"/>
        <v>182902.01296307895</v>
      </c>
      <c r="T11" s="31">
        <f t="shared" si="4"/>
        <v>43340.331001487153</v>
      </c>
      <c r="U11" s="31">
        <f t="shared" si="5"/>
        <v>77727.292207452396</v>
      </c>
      <c r="V11" s="31">
        <f t="shared" si="6"/>
        <v>56690.952317461604</v>
      </c>
      <c r="W11" s="31">
        <f t="shared" si="7"/>
        <v>182902.01296307895</v>
      </c>
      <c r="X11" s="31">
        <f t="shared" si="8"/>
        <v>43340.331001487153</v>
      </c>
      <c r="Y11" s="31">
        <f t="shared" si="9"/>
        <v>77727.292207452396</v>
      </c>
      <c r="Z11" s="31">
        <f t="shared" si="10"/>
        <v>56690.952317461604</v>
      </c>
      <c r="AA11" s="31">
        <f t="shared" si="11"/>
        <v>182902.01296307895</v>
      </c>
      <c r="AB11" s="31">
        <f t="shared" si="12"/>
        <v>43340.331001487153</v>
      </c>
      <c r="AC11" s="31">
        <f t="shared" si="13"/>
        <v>77727.292207452396</v>
      </c>
      <c r="AD11" s="31">
        <f t="shared" si="14"/>
        <v>56690.952317461604</v>
      </c>
      <c r="AE11" s="31">
        <f t="shared" si="15"/>
        <v>360660.58848948008</v>
      </c>
      <c r="AF11" s="31">
        <f>IFERROR(VLOOKUP(A11,'Allocations By Type'!$D$7:$F$491,3,FALSE),"")</f>
        <v>367370.14</v>
      </c>
      <c r="AG11" s="31" t="str">
        <f t="shared" si="16"/>
        <v/>
      </c>
      <c r="AH11" s="31" t="str">
        <f t="shared" si="17"/>
        <v/>
      </c>
      <c r="AI11" s="31">
        <f t="shared" si="18"/>
        <v>360660.58848948008</v>
      </c>
      <c r="AJ11" s="31">
        <f>AI11/$AI$577*'State Admin 1004(b)'!$B$30*0.01</f>
        <v>3432.226233404449</v>
      </c>
      <c r="AK11" s="31">
        <f t="shared" si="19"/>
        <v>357228.36225607566</v>
      </c>
      <c r="AL11" s="31">
        <f t="shared" si="20"/>
        <v>3572.2836225607566</v>
      </c>
      <c r="AM11" s="31">
        <f t="shared" si="21"/>
        <v>353656.07863351493</v>
      </c>
      <c r="AP11" s="31"/>
      <c r="AQ11" s="4">
        <f t="shared" si="22"/>
        <v>0.96266963513560166</v>
      </c>
      <c r="AR11" s="4">
        <f>VLOOKUP(B11,Allocation!$D$10:$P$235,13,FALSE)</f>
        <v>0.90062923974290299</v>
      </c>
      <c r="AS11" s="4">
        <f t="shared" si="23"/>
        <v>0.9</v>
      </c>
      <c r="AT11" s="4" t="str">
        <f t="shared" si="24"/>
        <v/>
      </c>
      <c r="AU11" s="31" t="str">
        <f t="shared" si="25"/>
        <v/>
      </c>
      <c r="AV11" s="31" t="str">
        <f t="shared" si="26"/>
        <v/>
      </c>
      <c r="AW11" s="31">
        <f t="shared" si="27"/>
        <v>319558.87374881771</v>
      </c>
      <c r="AX11" s="4">
        <f t="shared" si="28"/>
        <v>0.86985532833130563</v>
      </c>
      <c r="AY11" s="4" t="str">
        <f t="shared" si="29"/>
        <v>Manual Adjustment</v>
      </c>
      <c r="AZ11" s="174" t="str">
        <f>IFERROR(IF(VLOOKUP(A11,#REF!,11,FALSE)=0,"",VLOOKUP(A11,#REF!,11,FALSE)),"")</f>
        <v/>
      </c>
      <c r="BA11" s="31" t="str">
        <f t="shared" si="30"/>
        <v/>
      </c>
      <c r="BB11" s="31">
        <f t="shared" si="31"/>
        <v>319558.87374881771</v>
      </c>
      <c r="BD11" s="31">
        <f>IFERROR(VLOOKUP(A11,'Title II Hold Harmless'!A$1:B$439,2, FALSE),"")</f>
        <v>46511</v>
      </c>
      <c r="BE11" s="31">
        <f t="shared" si="32"/>
        <v>52576.945178246635</v>
      </c>
      <c r="BF11" s="31">
        <f t="shared" si="33"/>
        <v>52627.816510110715</v>
      </c>
      <c r="BG11" s="31" t="str">
        <f t="shared" si="34"/>
        <v/>
      </c>
      <c r="BH11" s="31">
        <f t="shared" si="35"/>
        <v>52627.816510110715</v>
      </c>
    </row>
    <row r="12" spans="1:60" x14ac:dyDescent="0.3">
      <c r="A12" s="1">
        <v>10220000</v>
      </c>
      <c r="B12">
        <f>VLOOKUP(C12,'NCES ID'!$A$2:$B$3136,2,FALSE)</f>
        <v>403290</v>
      </c>
      <c r="C12">
        <f>VLOOKUP(A12,'State ID'!$A$2:$B$713,2,FALSE)</f>
        <v>4157</v>
      </c>
      <c r="D12" s="147" t="s">
        <v>177</v>
      </c>
      <c r="E12" t="s">
        <v>103</v>
      </c>
      <c r="F12" s="47">
        <f>VLOOKUP(B12,'Formula counts'!$D$9:$L$234,9,FALSE)</f>
        <v>1613</v>
      </c>
      <c r="G12" s="47">
        <f>VLOOKUP(B12,'Formula counts'!$D$9:$K$234,8,FALSE)</f>
        <v>668</v>
      </c>
      <c r="H12" s="4">
        <f>VLOOKUP(B12,'Formula counts'!$D$9:$M$234,10,FALSE)</f>
        <v>0.41413515189088657</v>
      </c>
      <c r="I12" s="47">
        <f>VLOOKUP($C12,'Final SEA Counts'!$A$2:$F$709,5,FALSE)</f>
        <v>1323</v>
      </c>
      <c r="J12" s="47">
        <f>VLOOKUP($C12,'Final SEA Counts'!$A$2:$F$709,6,FALSE)</f>
        <v>1321</v>
      </c>
      <c r="K12" s="24">
        <f t="shared" si="0"/>
        <v>1608.2467022797891</v>
      </c>
      <c r="L12" s="24">
        <f t="shared" si="1"/>
        <v>665.93255525468965</v>
      </c>
      <c r="M12" s="4">
        <f t="shared" si="2"/>
        <v>0.4140736332993496</v>
      </c>
      <c r="N12" s="31">
        <f>IFERROR(VLOOKUP($B12,Allocation!$D$10:$O$235,8,FALSE),"")</f>
        <v>355590.75261179003</v>
      </c>
      <c r="O12" s="31">
        <f>IFERROR(VLOOKUP($B12,Allocation!$D$10:$O$235,9,FALSE),"")</f>
        <v>91736.645584564554</v>
      </c>
      <c r="P12" s="31">
        <f>IFERROR(VLOOKUP($B12,Allocation!$D$10:$O$235,10,FALSE),"")</f>
        <v>221558.06268586783</v>
      </c>
      <c r="Q12" s="31">
        <f>IFERROR(VLOOKUP($B12,Allocation!$D$10:$O$235,11,FALSE),"")</f>
        <v>246596.32121814394</v>
      </c>
      <c r="R12" s="31">
        <f>IFERROR(VLOOKUP($B12,Allocation!$D$10:$O$235,12,FALSE),"")</f>
        <v>915481.78210036631</v>
      </c>
      <c r="S12" s="31">
        <f t="shared" si="3"/>
        <v>354490.20735285559</v>
      </c>
      <c r="T12" s="31">
        <f t="shared" si="4"/>
        <v>91452.72276141154</v>
      </c>
      <c r="U12" s="31">
        <f t="shared" si="5"/>
        <v>220872.34554143512</v>
      </c>
      <c r="V12" s="31">
        <f t="shared" si="6"/>
        <v>245833.11123533658</v>
      </c>
      <c r="W12" s="31">
        <f t="shared" si="7"/>
        <v>354490.20735285559</v>
      </c>
      <c r="X12" s="31">
        <f t="shared" si="8"/>
        <v>91452.72276141154</v>
      </c>
      <c r="Y12" s="31">
        <f t="shared" si="9"/>
        <v>220872.34554143512</v>
      </c>
      <c r="Z12" s="31">
        <f t="shared" si="10"/>
        <v>245833.11123533658</v>
      </c>
      <c r="AA12" s="31">
        <f t="shared" si="11"/>
        <v>354490.20735285559</v>
      </c>
      <c r="AB12" s="31">
        <f t="shared" si="12"/>
        <v>91452.72276141154</v>
      </c>
      <c r="AC12" s="31">
        <f t="shared" si="13"/>
        <v>220872.34554143512</v>
      </c>
      <c r="AD12" s="31">
        <f t="shared" si="14"/>
        <v>245833.11123533658</v>
      </c>
      <c r="AE12" s="31">
        <f t="shared" si="15"/>
        <v>912648.38689103886</v>
      </c>
      <c r="AF12" s="31">
        <f>IFERROR(VLOOKUP(A12,'Allocations By Type'!$D$7:$F$491,3,FALSE),"")</f>
        <v>948244.45</v>
      </c>
      <c r="AG12" s="31" t="str">
        <f t="shared" si="16"/>
        <v/>
      </c>
      <c r="AH12" s="31" t="str">
        <f t="shared" si="17"/>
        <v/>
      </c>
      <c r="AI12" s="31">
        <f t="shared" si="18"/>
        <v>912648.38689103886</v>
      </c>
      <c r="AJ12" s="31">
        <f>AI12/$AI$577*'State Admin 1004(b)'!$B$30*0.01</f>
        <v>8685.2177236245043</v>
      </c>
      <c r="AK12" s="31">
        <f t="shared" si="19"/>
        <v>903963.16916741431</v>
      </c>
      <c r="AL12" s="31">
        <f t="shared" si="20"/>
        <v>9039.6316916741434</v>
      </c>
      <c r="AM12" s="31">
        <f t="shared" si="21"/>
        <v>894923.53747574019</v>
      </c>
      <c r="AP12" s="31"/>
      <c r="AQ12" s="4">
        <f t="shared" si="22"/>
        <v>0.94376881138164348</v>
      </c>
      <c r="AR12" s="4">
        <f>VLOOKUP(B12,Allocation!$D$10:$P$235,13,FALSE)</f>
        <v>0.94999999999999984</v>
      </c>
      <c r="AS12" s="4">
        <f t="shared" si="23"/>
        <v>0.95</v>
      </c>
      <c r="AT12" s="4" t="str">
        <f t="shared" si="24"/>
        <v>Review</v>
      </c>
      <c r="AU12" s="31">
        <f t="shared" si="25"/>
        <v>5908.6900242596166</v>
      </c>
      <c r="AV12" s="31">
        <f t="shared" si="26"/>
        <v>900832.2274999998</v>
      </c>
      <c r="AW12" s="31">
        <f t="shared" si="27"/>
        <v>900832.2274999998</v>
      </c>
      <c r="AX12" s="4">
        <f t="shared" si="28"/>
        <v>0.94999999999999984</v>
      </c>
      <c r="AY12" s="4" t="str">
        <f t="shared" si="29"/>
        <v/>
      </c>
      <c r="AZ12" s="174" t="str">
        <f>IFERROR(IF(VLOOKUP(A12,#REF!,11,FALSE)=0,"",VLOOKUP(A12,#REF!,11,FALSE)),"")</f>
        <v/>
      </c>
      <c r="BA12" s="31" t="str">
        <f t="shared" si="30"/>
        <v/>
      </c>
      <c r="BB12" s="31">
        <f t="shared" si="31"/>
        <v>900832.2274999998</v>
      </c>
      <c r="BD12" s="31">
        <f>IFERROR(VLOOKUP(A12,'Title II Hold Harmless'!A$1:B$439,2, FALSE),"")</f>
        <v>128063</v>
      </c>
      <c r="BE12" s="31">
        <f t="shared" si="32"/>
        <v>138074.82173090806</v>
      </c>
      <c r="BF12" s="31">
        <f t="shared" si="33"/>
        <v>138208.41736021923</v>
      </c>
      <c r="BG12" s="31" t="str">
        <f t="shared" si="34"/>
        <v/>
      </c>
      <c r="BH12" s="31">
        <f t="shared" si="35"/>
        <v>138208.41736021923</v>
      </c>
    </row>
    <row r="13" spans="1:60" x14ac:dyDescent="0.3">
      <c r="A13" s="1">
        <v>10227000</v>
      </c>
      <c r="B13">
        <f>VLOOKUP(C13,'NCES ID'!$A$2:$B$3136,2,FALSE)</f>
        <v>406870</v>
      </c>
      <c r="C13">
        <f>VLOOKUP(A13,'State ID'!$A$2:$B$713,2,FALSE)</f>
        <v>4159</v>
      </c>
      <c r="D13" s="147" t="s">
        <v>358</v>
      </c>
      <c r="E13" t="s">
        <v>103</v>
      </c>
      <c r="F13" s="47">
        <f>VLOOKUP(B13,'Formula counts'!$D$9:$L$234,9,FALSE)</f>
        <v>2060</v>
      </c>
      <c r="G13" s="47">
        <f>VLOOKUP(B13,'Formula counts'!$D$9:$K$234,8,FALSE)</f>
        <v>820</v>
      </c>
      <c r="H13" s="4">
        <f>VLOOKUP(B13,'Formula counts'!$D$9:$M$234,10,FALSE)</f>
        <v>0.39805825242718446</v>
      </c>
      <c r="I13" s="47">
        <f>VLOOKUP($C13,'Final SEA Counts'!$A$2:$F$709,5,FALSE)</f>
        <v>617</v>
      </c>
      <c r="J13" s="47">
        <f>VLOOKUP($C13,'Final SEA Counts'!$A$2:$F$709,6,FALSE)</f>
        <v>576</v>
      </c>
      <c r="K13" s="24">
        <f t="shared" si="0"/>
        <v>2053.9294523846038</v>
      </c>
      <c r="L13" s="24">
        <f t="shared" si="1"/>
        <v>817.46211872581659</v>
      </c>
      <c r="M13" s="4">
        <f t="shared" si="2"/>
        <v>0.39799912201304988</v>
      </c>
      <c r="N13" s="31">
        <f>IFERROR(VLOOKUP($B13,Allocation!$D$10:$O$235,8,FALSE),"")</f>
        <v>476005.5446171615</v>
      </c>
      <c r="O13" s="31">
        <f>IFERROR(VLOOKUP($B13,Allocation!$D$10:$O$235,9,FALSE),"")</f>
        <v>122801.70848679246</v>
      </c>
      <c r="P13" s="31">
        <f>IFERROR(VLOOKUP($B13,Allocation!$D$10:$O$235,10,FALSE),"")</f>
        <v>331527.58630230819</v>
      </c>
      <c r="Q13" s="31">
        <f>IFERROR(VLOOKUP($B13,Allocation!$D$10:$O$235,11,FALSE),"")</f>
        <v>385058.11295521981</v>
      </c>
      <c r="R13" s="31">
        <f>IFERROR(VLOOKUP($B13,Allocation!$D$10:$O$235,12,FALSE),"")</f>
        <v>1315392.952361482</v>
      </c>
      <c r="S13" s="31">
        <f t="shared" si="3"/>
        <v>474532.31832680618</v>
      </c>
      <c r="T13" s="31">
        <f t="shared" si="4"/>
        <v>122421.64000337006</v>
      </c>
      <c r="U13" s="31">
        <f t="shared" si="5"/>
        <v>330501.51599358645</v>
      </c>
      <c r="V13" s="31">
        <f t="shared" si="6"/>
        <v>383866.36688894976</v>
      </c>
      <c r="W13" s="31">
        <f t="shared" si="7"/>
        <v>474532.31832680618</v>
      </c>
      <c r="X13" s="31">
        <f t="shared" si="8"/>
        <v>122421.64000337006</v>
      </c>
      <c r="Y13" s="31">
        <f t="shared" si="9"/>
        <v>330501.51599358645</v>
      </c>
      <c r="Z13" s="31">
        <f t="shared" si="10"/>
        <v>383866.36688894976</v>
      </c>
      <c r="AA13" s="31">
        <f t="shared" si="11"/>
        <v>474532.31832680618</v>
      </c>
      <c r="AB13" s="31">
        <f t="shared" si="12"/>
        <v>122421.64000337006</v>
      </c>
      <c r="AC13" s="31">
        <f t="shared" si="13"/>
        <v>330501.51599358645</v>
      </c>
      <c r="AD13" s="31">
        <f t="shared" si="14"/>
        <v>383866.36688894976</v>
      </c>
      <c r="AE13" s="31">
        <f t="shared" si="15"/>
        <v>1311321.8412127127</v>
      </c>
      <c r="AF13" s="31">
        <f>IFERROR(VLOOKUP(A13,'Allocations By Type'!$D$7:$F$491,3,FALSE),"")</f>
        <v>1361959.54</v>
      </c>
      <c r="AG13" s="31" t="str">
        <f t="shared" si="16"/>
        <v/>
      </c>
      <c r="AH13" s="31" t="str">
        <f t="shared" si="17"/>
        <v/>
      </c>
      <c r="AI13" s="31">
        <f t="shared" si="18"/>
        <v>1311321.8412127127</v>
      </c>
      <c r="AJ13" s="31">
        <f>AI13/$AI$577*'State Admin 1004(b)'!$B$30*0.01</f>
        <v>12479.193367638436</v>
      </c>
      <c r="AK13" s="31">
        <f t="shared" si="19"/>
        <v>1298842.6478450743</v>
      </c>
      <c r="AL13" s="31">
        <f t="shared" si="20"/>
        <v>12988.426478450743</v>
      </c>
      <c r="AM13" s="31">
        <f t="shared" si="21"/>
        <v>1285854.2213666236</v>
      </c>
      <c r="AP13" s="31"/>
      <c r="AQ13" s="4">
        <f t="shared" si="22"/>
        <v>0.94412071989056567</v>
      </c>
      <c r="AR13" s="4">
        <f>VLOOKUP(B13,Allocation!$D$10:$P$235,13,FALSE)</f>
        <v>0.95</v>
      </c>
      <c r="AS13" s="4">
        <f t="shared" si="23"/>
        <v>0.95</v>
      </c>
      <c r="AT13" s="4" t="str">
        <f t="shared" si="24"/>
        <v>Review</v>
      </c>
      <c r="AU13" s="31">
        <f t="shared" si="25"/>
        <v>8007.3416333761998</v>
      </c>
      <c r="AV13" s="31">
        <f t="shared" si="26"/>
        <v>1293861.5629999998</v>
      </c>
      <c r="AW13" s="31">
        <f t="shared" si="27"/>
        <v>1293861.5629999998</v>
      </c>
      <c r="AX13" s="4">
        <f t="shared" si="28"/>
        <v>0.94999999999999984</v>
      </c>
      <c r="AY13" s="4" t="str">
        <f t="shared" si="29"/>
        <v/>
      </c>
      <c r="AZ13" s="174" t="str">
        <f>IFERROR(IF(VLOOKUP(A13,#REF!,11,FALSE)=0,"",VLOOKUP(A13,#REF!,11,FALSE)),"")</f>
        <v/>
      </c>
      <c r="BA13" s="31" t="str">
        <f t="shared" si="30"/>
        <v/>
      </c>
      <c r="BB13" s="31">
        <f t="shared" si="31"/>
        <v>1293861.5629999998</v>
      </c>
      <c r="BD13" s="31">
        <f>IFERROR(VLOOKUP(A13,'Title II Hold Harmless'!A$1:B$439,2, FALSE),"")</f>
        <v>52545</v>
      </c>
      <c r="BE13" s="31">
        <f t="shared" si="32"/>
        <v>64899.131026707895</v>
      </c>
      <c r="BF13" s="31">
        <f t="shared" si="33"/>
        <v>64961.92480867749</v>
      </c>
      <c r="BG13" s="31" t="str">
        <f t="shared" si="34"/>
        <v/>
      </c>
      <c r="BH13" s="31">
        <f t="shared" si="35"/>
        <v>64961.92480867749</v>
      </c>
    </row>
    <row r="14" spans="1:60" x14ac:dyDescent="0.3">
      <c r="A14" s="1">
        <v>10208000</v>
      </c>
      <c r="B14">
        <f>VLOOKUP(C14,'NCES ID'!$A$2:$B$3136,2,FALSE)</f>
        <v>409430</v>
      </c>
      <c r="C14">
        <f>VLOOKUP(A14,'State ID'!$A$2:$B$713,2,FALSE)</f>
        <v>4154</v>
      </c>
      <c r="D14" s="147" t="s">
        <v>446</v>
      </c>
      <c r="E14" t="s">
        <v>103</v>
      </c>
      <c r="F14" s="47">
        <f>VLOOKUP(B14,'Formula counts'!$D$9:$L$234,9,FALSE)</f>
        <v>2567</v>
      </c>
      <c r="G14" s="47">
        <f>VLOOKUP(B14,'Formula counts'!$D$9:$K$234,8,FALSE)</f>
        <v>965</v>
      </c>
      <c r="H14" s="4">
        <f>VLOOKUP(B14,'Formula counts'!$D$9:$M$234,10,FALSE)</f>
        <v>0.37592520451889366</v>
      </c>
      <c r="I14" s="47">
        <f>VLOOKUP($C14,'Final SEA Counts'!$A$2:$F$709,5,FALSE)</f>
        <v>1743</v>
      </c>
      <c r="J14" s="47">
        <f>VLOOKUP($C14,'Final SEA Counts'!$A$2:$F$709,6,FALSE)</f>
        <v>1355</v>
      </c>
      <c r="K14" s="24">
        <f t="shared" si="0"/>
        <v>2559.4353904229501</v>
      </c>
      <c r="L14" s="24">
        <f t="shared" si="1"/>
        <v>962.01334703708903</v>
      </c>
      <c r="M14" s="4">
        <f t="shared" si="2"/>
        <v>0.37586936190567993</v>
      </c>
      <c r="N14" s="31">
        <f>IFERROR(VLOOKUP($B14,Allocation!$D$10:$O$235,8,FALSE),"")</f>
        <v>495548.46187226725</v>
      </c>
      <c r="O14" s="31">
        <v>0</v>
      </c>
      <c r="P14" s="31">
        <f>IFERROR(VLOOKUP($B14,Allocation!$D$10:$O$235,10,FALSE),"")</f>
        <v>296595.50719967711</v>
      </c>
      <c r="Q14" s="31">
        <f>IFERROR(VLOOKUP($B14,Allocation!$D$10:$O$235,11,FALSE),"")</f>
        <v>259297.44997009463</v>
      </c>
      <c r="R14" s="31">
        <f>IFERROR(VLOOKUP($B14,Allocation!$D$10:$O$235,12,FALSE),"")</f>
        <v>1168866.2303761677</v>
      </c>
      <c r="S14" s="31">
        <f t="shared" si="3"/>
        <v>494014.75069929648</v>
      </c>
      <c r="T14" s="31" t="str">
        <f t="shared" si="4"/>
        <v/>
      </c>
      <c r="U14" s="31">
        <f t="shared" si="5"/>
        <v>295677.55087805638</v>
      </c>
      <c r="V14" s="31">
        <f t="shared" si="6"/>
        <v>258494.93028384756</v>
      </c>
      <c r="W14" s="31">
        <f t="shared" si="7"/>
        <v>494014.75069929648</v>
      </c>
      <c r="X14" s="31" t="str">
        <f t="shared" si="8"/>
        <v/>
      </c>
      <c r="Y14" s="31">
        <f t="shared" si="9"/>
        <v>295677.55087805638</v>
      </c>
      <c r="Z14" s="31">
        <f t="shared" si="10"/>
        <v>258494.93028384756</v>
      </c>
      <c r="AA14" s="31">
        <f t="shared" si="11"/>
        <v>494014.75069929648</v>
      </c>
      <c r="AB14" s="31" t="str">
        <f t="shared" si="12"/>
        <v/>
      </c>
      <c r="AC14" s="31">
        <f t="shared" si="13"/>
        <v>295677.55087805638</v>
      </c>
      <c r="AD14" s="31">
        <f t="shared" si="14"/>
        <v>258494.93028384756</v>
      </c>
      <c r="AE14" s="31">
        <f t="shared" si="15"/>
        <v>1048187.2318612004</v>
      </c>
      <c r="AF14" s="31">
        <f>IFERROR(VLOOKUP(A14,'Allocations By Type'!$D$7:$F$491,3,FALSE),"")</f>
        <v>1125468.72</v>
      </c>
      <c r="AG14" s="31" t="str">
        <f t="shared" si="16"/>
        <v/>
      </c>
      <c r="AH14" s="31" t="str">
        <f t="shared" si="17"/>
        <v/>
      </c>
      <c r="AI14" s="31">
        <f t="shared" si="18"/>
        <v>1048187.2318612004</v>
      </c>
      <c r="AJ14" s="31">
        <f>AI14/$AI$577*'State Admin 1004(b)'!$B$30*0.01</f>
        <v>9975.0730452172502</v>
      </c>
      <c r="AK14" s="31">
        <f t="shared" si="19"/>
        <v>1038212.1588159832</v>
      </c>
      <c r="AL14" s="31">
        <f t="shared" si="20"/>
        <v>10382.121588159833</v>
      </c>
      <c r="AM14" s="31">
        <f t="shared" si="21"/>
        <v>1027830.0372278234</v>
      </c>
      <c r="AP14" s="31"/>
      <c r="AQ14" s="4">
        <f t="shared" si="22"/>
        <v>0.91324620485927266</v>
      </c>
      <c r="AR14" s="4">
        <f>VLOOKUP(B14,Allocation!$D$10:$P$235,13,FALSE)</f>
        <v>0.95</v>
      </c>
      <c r="AS14" s="4">
        <f t="shared" si="23"/>
        <v>0.95</v>
      </c>
      <c r="AT14" s="4" t="str">
        <f t="shared" si="24"/>
        <v>Review</v>
      </c>
      <c r="AU14" s="31">
        <f t="shared" si="25"/>
        <v>41365.246772176586</v>
      </c>
      <c r="AV14" s="31">
        <f t="shared" si="26"/>
        <v>1069195.284</v>
      </c>
      <c r="AW14" s="31">
        <f t="shared" si="27"/>
        <v>1069195.284</v>
      </c>
      <c r="AX14" s="4">
        <f t="shared" si="28"/>
        <v>0.95</v>
      </c>
      <c r="AY14" s="4" t="str">
        <f t="shared" si="29"/>
        <v/>
      </c>
      <c r="AZ14" s="174" t="str">
        <f>IFERROR(IF(VLOOKUP(A14,#REF!,11,FALSE)=0,"",VLOOKUP(A14,#REF!,11,FALSE)),"")</f>
        <v/>
      </c>
      <c r="BA14" s="31" t="str">
        <f t="shared" si="30"/>
        <v/>
      </c>
      <c r="BB14" s="31">
        <f t="shared" si="31"/>
        <v>1069195.284</v>
      </c>
      <c r="BD14" s="31">
        <f>IFERROR(VLOOKUP(A14,'Title II Hold Harmless'!A$1:B$439,2, FALSE),"")</f>
        <v>170003</v>
      </c>
      <c r="BE14" s="31">
        <f t="shared" si="32"/>
        <v>184656.23490230259</v>
      </c>
      <c r="BF14" s="31">
        <f t="shared" si="33"/>
        <v>184834.9008284921</v>
      </c>
      <c r="BG14" s="31" t="str">
        <f t="shared" si="34"/>
        <v/>
      </c>
      <c r="BH14" s="31">
        <f t="shared" si="35"/>
        <v>184834.9008284921</v>
      </c>
    </row>
    <row r="15" spans="1:60" x14ac:dyDescent="0.3">
      <c r="A15" s="1">
        <v>10224000</v>
      </c>
      <c r="B15">
        <f>VLOOKUP(C15,'NCES ID'!$A$2:$B$3136,2,FALSE)</f>
        <v>401940</v>
      </c>
      <c r="C15">
        <f>VLOOKUP(A15,'State ID'!$A$2:$B$713,2,FALSE)</f>
        <v>4158</v>
      </c>
      <c r="D15" s="147" t="s">
        <v>102</v>
      </c>
      <c r="E15" t="s">
        <v>103</v>
      </c>
      <c r="F15" s="47">
        <f>VLOOKUP(B15,'Formula counts'!$D$9:$L$234,9,FALSE)</f>
        <v>4862</v>
      </c>
      <c r="G15" s="47">
        <f>VLOOKUP(B15,'Formula counts'!$D$9:$K$234,8,FALSE)</f>
        <v>1909</v>
      </c>
      <c r="H15" s="4">
        <f>VLOOKUP(B15,'Formula counts'!$D$9:$M$234,10,FALSE)</f>
        <v>0.39263677498971616</v>
      </c>
      <c r="I15" s="47">
        <f>VLOOKUP($C15,'Final SEA Counts'!$A$2:$F$709,5,FALSE)</f>
        <v>3142</v>
      </c>
      <c r="J15" s="47">
        <f>VLOOKUP($C15,'Final SEA Counts'!$A$2:$F$709,6,FALSE)</f>
        <v>2471</v>
      </c>
      <c r="K15" s="24">
        <f t="shared" si="0"/>
        <v>4847.6723288805551</v>
      </c>
      <c r="L15" s="24">
        <f t="shared" si="1"/>
        <v>1903.0916885946144</v>
      </c>
      <c r="M15" s="4">
        <f t="shared" si="2"/>
        <v>0.39257844992053831</v>
      </c>
      <c r="N15" s="31">
        <f>IFERROR(VLOOKUP($B15,Allocation!$D$10:$O$235,8,FALSE),"")</f>
        <v>1258152.6901455526</v>
      </c>
      <c r="O15" s="31">
        <f>IFERROR(VLOOKUP($B15,Allocation!$D$10:$O$235,9,FALSE),"")</f>
        <v>324582.98361081228</v>
      </c>
      <c r="P15" s="31">
        <f>IFERROR(VLOOKUP($B15,Allocation!$D$10:$O$235,10,FALSE),"")</f>
        <v>920821.41932894744</v>
      </c>
      <c r="Q15" s="31">
        <f>IFERROR(VLOOKUP($B15,Allocation!$D$10:$O$235,11,FALSE),"")</f>
        <v>1087824.2720974761</v>
      </c>
      <c r="R15" s="31">
        <f>IFERROR(VLOOKUP($B15,Allocation!$D$10:$O$235,12,FALSE),"")</f>
        <v>3591381.3651827881</v>
      </c>
      <c r="S15" s="31">
        <f t="shared" si="3"/>
        <v>1254258.7363011821</v>
      </c>
      <c r="T15" s="31">
        <f t="shared" si="4"/>
        <v>323578.40668883122</v>
      </c>
      <c r="U15" s="31">
        <f t="shared" si="5"/>
        <v>917971.49806433532</v>
      </c>
      <c r="V15" s="31">
        <f t="shared" si="6"/>
        <v>1084457.4808172828</v>
      </c>
      <c r="W15" s="31">
        <f t="shared" si="7"/>
        <v>1254258.7363011821</v>
      </c>
      <c r="X15" s="31">
        <f t="shared" si="8"/>
        <v>323578.40668883122</v>
      </c>
      <c r="Y15" s="31">
        <f t="shared" si="9"/>
        <v>917971.49806433532</v>
      </c>
      <c r="Z15" s="31">
        <f t="shared" si="10"/>
        <v>1084457.4808172828</v>
      </c>
      <c r="AA15" s="31">
        <f t="shared" si="11"/>
        <v>1254258.7363011821</v>
      </c>
      <c r="AB15" s="31">
        <f t="shared" si="12"/>
        <v>323578.40668883122</v>
      </c>
      <c r="AC15" s="31">
        <f t="shared" si="13"/>
        <v>917971.49806433532</v>
      </c>
      <c r="AD15" s="31">
        <f t="shared" si="14"/>
        <v>1084457.4808172828</v>
      </c>
      <c r="AE15" s="31">
        <f t="shared" si="15"/>
        <v>3580266.1218716316</v>
      </c>
      <c r="AF15" s="31">
        <f>IFERROR(VLOOKUP(A15,'Allocations By Type'!$D$7:$F$491,3,FALSE),"")</f>
        <v>3716509.33</v>
      </c>
      <c r="AG15" s="31" t="str">
        <f t="shared" si="16"/>
        <v/>
      </c>
      <c r="AH15" s="31" t="str">
        <f t="shared" si="17"/>
        <v/>
      </c>
      <c r="AI15" s="31">
        <f t="shared" si="18"/>
        <v>3580266.1218716316</v>
      </c>
      <c r="AJ15" s="31">
        <f>AI15/$AI$577*'State Admin 1004(b)'!$B$30*0.01</f>
        <v>34071.599998000485</v>
      </c>
      <c r="AK15" s="31">
        <f t="shared" si="19"/>
        <v>3546194.521873631</v>
      </c>
      <c r="AL15" s="31">
        <f t="shared" si="20"/>
        <v>35461.945218736313</v>
      </c>
      <c r="AM15" s="31">
        <f t="shared" si="21"/>
        <v>3510732.5766548947</v>
      </c>
      <c r="AP15" s="31"/>
      <c r="AQ15" s="4">
        <f t="shared" si="22"/>
        <v>0.9446317135049126</v>
      </c>
      <c r="AR15" s="4">
        <f>VLOOKUP(B15,Allocation!$D$10:$P$235,13,FALSE)</f>
        <v>0.94999999999999973</v>
      </c>
      <c r="AS15" s="4">
        <f t="shared" si="23"/>
        <v>0.95</v>
      </c>
      <c r="AT15" s="4" t="str">
        <f t="shared" si="24"/>
        <v>Review</v>
      </c>
      <c r="AU15" s="31">
        <f t="shared" si="25"/>
        <v>19951.286845105235</v>
      </c>
      <c r="AV15" s="31">
        <f t="shared" si="26"/>
        <v>3530683.8635</v>
      </c>
      <c r="AW15" s="31">
        <f t="shared" si="27"/>
        <v>3530683.8635</v>
      </c>
      <c r="AX15" s="4">
        <f t="shared" si="28"/>
        <v>0.95</v>
      </c>
      <c r="AY15" s="4" t="str">
        <f t="shared" si="29"/>
        <v/>
      </c>
      <c r="AZ15" s="174" t="str">
        <f>IFERROR(IF(VLOOKUP(A15,#REF!,11,FALSE)=0,"",VLOOKUP(A15,#REF!,11,FALSE)),"")</f>
        <v/>
      </c>
      <c r="BA15" s="31" t="str">
        <f t="shared" si="30"/>
        <v/>
      </c>
      <c r="BB15" s="31">
        <f t="shared" si="31"/>
        <v>3530683.8635</v>
      </c>
      <c r="BD15" s="31">
        <f>IFERROR(VLOOKUP(A15,'Title II Hold Harmless'!A$1:B$439,2, FALSE),"")</f>
        <v>261791</v>
      </c>
      <c r="BE15" s="31">
        <f t="shared" si="32"/>
        <v>290605.15606483747</v>
      </c>
      <c r="BF15" s="31">
        <f t="shared" si="33"/>
        <v>290886.33389450156</v>
      </c>
      <c r="BG15" s="31" t="str">
        <f t="shared" si="34"/>
        <v/>
      </c>
      <c r="BH15" s="31">
        <f t="shared" si="35"/>
        <v>290886.33389450156</v>
      </c>
    </row>
    <row r="16" spans="1:60" x14ac:dyDescent="0.3">
      <c r="A16" s="1">
        <v>10307000</v>
      </c>
      <c r="B16">
        <v>400630</v>
      </c>
      <c r="C16">
        <f>VLOOKUP(A16,'State ID'!$A$2:$B$713,2,FALSE)</f>
        <v>4161</v>
      </c>
      <c r="D16" s="147" t="s">
        <v>554</v>
      </c>
      <c r="E16" t="s">
        <v>103</v>
      </c>
      <c r="F16" s="47">
        <f>VLOOKUP(B16,'Formula counts'!$D$9:$L$234,9,FALSE)</f>
        <v>47</v>
      </c>
      <c r="G16" s="47">
        <f>VLOOKUP(B16,'Formula counts'!$D$9:$K$234,8,FALSE)</f>
        <v>12</v>
      </c>
      <c r="H16" s="4">
        <f>VLOOKUP(B16,'Formula counts'!$D$9:$M$234,10,FALSE)</f>
        <v>0.25531914893617019</v>
      </c>
      <c r="I16" s="47">
        <f>VLOOKUP($C16,'Final SEA Counts'!$A$2:$F$709,5,FALSE)</f>
        <v>62</v>
      </c>
      <c r="J16" s="47">
        <f>VLOOKUP($C16,'Final SEA Counts'!$A$2:$F$709,6,FALSE)</f>
        <v>37</v>
      </c>
      <c r="K16" s="24">
        <f t="shared" si="0"/>
        <v>46.861497214600178</v>
      </c>
      <c r="L16" s="24">
        <f t="shared" si="1"/>
        <v>11.962860274036341</v>
      </c>
      <c r="M16" s="4">
        <f t="shared" si="2"/>
        <v>0.2552812220073325</v>
      </c>
      <c r="N16" s="31">
        <f>IFERROR(VLOOKUP($B16,Allocation!$D$10:$O$235,8,FALSE),"")</f>
        <v>7056.5326135657187</v>
      </c>
      <c r="O16" s="31">
        <f>IFERROR(VLOOKUP($B16,Allocation!$D$10:$O$235,9,FALSE),"")</f>
        <v>1672.1109529639975</v>
      </c>
      <c r="P16" s="31">
        <f>IFERROR(VLOOKUP($B16,Allocation!$D$10:$O$235,10,FALSE),"")</f>
        <v>3511.6538054340444</v>
      </c>
      <c r="Q16" s="31">
        <f>IFERROR(VLOOKUP($B16,Allocation!$D$10:$O$235,11,FALSE),"")</f>
        <v>2775.1626544755186</v>
      </c>
      <c r="R16" s="31">
        <f>IFERROR(VLOOKUP($B16,Allocation!$D$10:$O$235,12,FALSE),"")</f>
        <v>15015.460026439277</v>
      </c>
      <c r="S16" s="31">
        <f t="shared" si="3"/>
        <v>7034.6928062722636</v>
      </c>
      <c r="T16" s="31">
        <f t="shared" si="4"/>
        <v>1666.9358077495044</v>
      </c>
      <c r="U16" s="31">
        <f t="shared" si="5"/>
        <v>3500.7853170996227</v>
      </c>
      <c r="V16" s="31">
        <f t="shared" si="6"/>
        <v>2766.5735894345348</v>
      </c>
      <c r="W16" s="31">
        <f t="shared" si="7"/>
        <v>7034.6928062722636</v>
      </c>
      <c r="X16" s="31">
        <f t="shared" si="8"/>
        <v>1666.9358077495044</v>
      </c>
      <c r="Y16" s="31">
        <f t="shared" si="9"/>
        <v>3500.7853170996227</v>
      </c>
      <c r="Z16" s="31">
        <f t="shared" si="10"/>
        <v>2766.5735894345348</v>
      </c>
      <c r="AA16" s="31">
        <f t="shared" si="11"/>
        <v>7034.6928062722636</v>
      </c>
      <c r="AB16" s="31">
        <f t="shared" si="12"/>
        <v>1666.9358077495044</v>
      </c>
      <c r="AC16" s="31">
        <f t="shared" si="13"/>
        <v>3500.7853170996227</v>
      </c>
      <c r="AD16" s="31">
        <f t="shared" si="14"/>
        <v>2766.5735894345348</v>
      </c>
      <c r="AE16" s="31">
        <f t="shared" si="15"/>
        <v>14968.987520555924</v>
      </c>
      <c r="AF16" s="31">
        <f>IFERROR(VLOOKUP(A16,'Allocations By Type'!$D$7:$F$491,3,FALSE),"")</f>
        <v>15893.51</v>
      </c>
      <c r="AG16" s="31" t="str">
        <f t="shared" si="16"/>
        <v/>
      </c>
      <c r="AH16" s="31" t="str">
        <f t="shared" si="17"/>
        <v/>
      </c>
      <c r="AI16" s="31">
        <f t="shared" si="18"/>
        <v>14968.987520555924</v>
      </c>
      <c r="AJ16" s="31">
        <f>AI16/$AI$577*'State Admin 1004(b)'!$B$30*0.01</f>
        <v>142.45235907458863</v>
      </c>
      <c r="AK16" s="31">
        <f t="shared" si="19"/>
        <v>14826.535161481335</v>
      </c>
      <c r="AL16" s="31">
        <f t="shared" si="20"/>
        <v>148.26535161481337</v>
      </c>
      <c r="AM16" s="31">
        <f t="shared" si="21"/>
        <v>14678.269809866522</v>
      </c>
      <c r="AP16" s="31"/>
      <c r="AQ16" s="4">
        <f t="shared" si="22"/>
        <v>0.92353858964234592</v>
      </c>
      <c r="AR16" s="4">
        <f>VLOOKUP(B16,Allocation!$D$10:$P$235,13,FALSE)</f>
        <v>0.8999999999999998</v>
      </c>
      <c r="AS16" s="4">
        <f t="shared" si="23"/>
        <v>0.9</v>
      </c>
      <c r="AT16" s="4" t="str">
        <f t="shared" si="24"/>
        <v/>
      </c>
      <c r="AU16" s="31" t="str">
        <f t="shared" si="25"/>
        <v/>
      </c>
      <c r="AV16" s="31" t="str">
        <f t="shared" si="26"/>
        <v/>
      </c>
      <c r="AW16" s="31">
        <f t="shared" si="27"/>
        <v>13263.087084904715</v>
      </c>
      <c r="AX16" s="4">
        <f t="shared" si="28"/>
        <v>0.83449704218292342</v>
      </c>
      <c r="AY16" s="4" t="str">
        <f t="shared" si="29"/>
        <v>Manual Adjustment</v>
      </c>
      <c r="AZ16" s="174" t="str">
        <f>IFERROR(IF(VLOOKUP(A16,#REF!,11,FALSE)=0,"",VLOOKUP(A16,#REF!,11,FALSE)),"")</f>
        <v/>
      </c>
      <c r="BA16" s="31" t="str">
        <f t="shared" si="30"/>
        <v/>
      </c>
      <c r="BB16" s="31">
        <f t="shared" si="31"/>
        <v>13263.087084904715</v>
      </c>
      <c r="BD16" s="31">
        <f>IFERROR(VLOOKUP(A16,'Title II Hold Harmless'!A$1:B$439,2, FALSE),"")</f>
        <v>1222</v>
      </c>
      <c r="BE16" s="31">
        <f t="shared" si="32"/>
        <v>1416.3160097419284</v>
      </c>
      <c r="BF16" s="31">
        <f t="shared" si="33"/>
        <v>1417.6863799966422</v>
      </c>
      <c r="BG16" s="31" t="str">
        <f t="shared" si="34"/>
        <v/>
      </c>
      <c r="BH16" s="31">
        <f t="shared" si="35"/>
        <v>1417.6863799966422</v>
      </c>
    </row>
    <row r="17" spans="1:60" s="47" customFormat="1" x14ac:dyDescent="0.3">
      <c r="A17" s="1"/>
      <c r="D17" s="191" t="s">
        <v>1411</v>
      </c>
      <c r="E17" s="47" t="s">
        <v>103</v>
      </c>
      <c r="H17" s="4"/>
      <c r="I17" s="24">
        <f>'AVA Metrics'!C2</f>
        <v>45.785484611851167</v>
      </c>
      <c r="J17" s="24">
        <f>'AVA Metrics'!D2</f>
        <v>23.95498392282958</v>
      </c>
      <c r="K17" s="24">
        <f>I17</f>
        <v>45.785484611851167</v>
      </c>
      <c r="L17" s="24">
        <f>J17*$B$19</f>
        <v>18.152041064738611</v>
      </c>
      <c r="M17" s="4">
        <f t="shared" si="2"/>
        <v>0.3964584238568945</v>
      </c>
      <c r="N17" s="31"/>
      <c r="O17" s="31"/>
      <c r="P17" s="31"/>
      <c r="Q17" s="31"/>
      <c r="R17" s="31"/>
      <c r="S17" s="31">
        <f>$L17*N$20</f>
        <v>10443.498156019488</v>
      </c>
      <c r="T17" s="31">
        <f>$L17*O$20</f>
        <v>2260.467574651037</v>
      </c>
      <c r="U17" s="31">
        <f>$L17*P$20</f>
        <v>6907.6520754291623</v>
      </c>
      <c r="V17" s="31">
        <f>$L17*Q$20</f>
        <v>7475.250152863422</v>
      </c>
      <c r="W17" s="31">
        <f>S17</f>
        <v>10443.498156019488</v>
      </c>
      <c r="X17" s="31">
        <f t="shared" ref="X17:Z17" si="36">T17</f>
        <v>2260.467574651037</v>
      </c>
      <c r="Y17" s="31">
        <f t="shared" si="36"/>
        <v>6907.6520754291623</v>
      </c>
      <c r="Z17" s="31">
        <f t="shared" si="36"/>
        <v>7475.250152863422</v>
      </c>
      <c r="AA17" s="31">
        <f t="shared" si="11"/>
        <v>10443.498156019488</v>
      </c>
      <c r="AB17" s="31">
        <f t="shared" si="12"/>
        <v>2260.467574651037</v>
      </c>
      <c r="AC17" s="31">
        <f t="shared" si="13"/>
        <v>6907.6520754291623</v>
      </c>
      <c r="AD17" s="31">
        <f t="shared" si="14"/>
        <v>7475.250152863422</v>
      </c>
      <c r="AE17" s="31">
        <f t="shared" ref="AE17" si="37">SUM(AA17:AD17)</f>
        <v>27086.867958963107</v>
      </c>
      <c r="AF17" s="31"/>
      <c r="AG17" s="31"/>
      <c r="AH17" s="31"/>
      <c r="AI17" s="31"/>
      <c r="AJ17" s="31"/>
      <c r="AK17" s="31"/>
      <c r="AL17" s="31"/>
      <c r="AM17" s="31"/>
      <c r="AP17" s="31"/>
      <c r="AQ17" s="4"/>
      <c r="AR17" s="4"/>
      <c r="AS17" s="4">
        <f t="shared" si="23"/>
        <v>0.95</v>
      </c>
      <c r="AT17" s="4"/>
      <c r="AU17" s="31"/>
      <c r="AV17" s="31"/>
      <c r="AW17" s="31"/>
      <c r="AX17" s="4"/>
      <c r="AY17" s="4"/>
      <c r="AZ17" s="174"/>
      <c r="BA17" s="31"/>
      <c r="BB17" s="31"/>
      <c r="BD17" s="31"/>
      <c r="BE17" s="31"/>
      <c r="BF17" s="31"/>
      <c r="BG17" s="31"/>
      <c r="BH17" s="31"/>
    </row>
    <row r="18" spans="1:60" x14ac:dyDescent="0.3">
      <c r="A18" s="1"/>
      <c r="D18" s="147" t="s">
        <v>878</v>
      </c>
      <c r="K18" s="24">
        <f>SUM(K17)</f>
        <v>45.785484611851167</v>
      </c>
      <c r="L18" s="24">
        <f>SUM(L17)</f>
        <v>18.152041064738611</v>
      </c>
      <c r="S18" s="31">
        <f>SUM(S17)</f>
        <v>10443.498156019488</v>
      </c>
      <c r="T18" s="31">
        <f t="shared" ref="T18:V18" si="38">SUM(T17)</f>
        <v>2260.467574651037</v>
      </c>
      <c r="U18" s="31">
        <f t="shared" si="38"/>
        <v>6907.6520754291623</v>
      </c>
      <c r="V18" s="31">
        <f t="shared" si="38"/>
        <v>7475.250152863422</v>
      </c>
    </row>
    <row r="19" spans="1:60" x14ac:dyDescent="0.3">
      <c r="A19" s="1" t="s">
        <v>880</v>
      </c>
      <c r="B19">
        <f>G19/J19</f>
        <v>0.75775634511861867</v>
      </c>
      <c r="D19" s="147" t="s">
        <v>879</v>
      </c>
      <c r="F19" s="24">
        <f t="shared" ref="F19:G19" si="39">SUM(F6:F17)</f>
        <v>15537</v>
      </c>
      <c r="G19" s="24">
        <f t="shared" si="39"/>
        <v>5865</v>
      </c>
      <c r="H19" s="24"/>
      <c r="I19" s="24">
        <f>SUM(I6:I17)</f>
        <v>9985.7854846118516</v>
      </c>
      <c r="J19" s="24">
        <f>SUM(J6:J17)</f>
        <v>7739.9549839228293</v>
      </c>
      <c r="K19" s="24">
        <f>SUM(K6:K17)</f>
        <v>15537.000000000002</v>
      </c>
      <c r="L19" s="24">
        <f>SUM(L6:L17)</f>
        <v>5865.0000000000009</v>
      </c>
      <c r="N19" s="31">
        <f>SUM(N6:N17)</f>
        <v>3374337.7103767213</v>
      </c>
      <c r="O19" s="31">
        <f t="shared" ref="O19:R19" si="40">SUM(O6:O17)</f>
        <v>730366.47934220859</v>
      </c>
      <c r="P19" s="31">
        <f t="shared" si="40"/>
        <v>2231891.1288214098</v>
      </c>
      <c r="Q19" s="31">
        <f t="shared" si="40"/>
        <v>2415284.4294579225</v>
      </c>
      <c r="R19" s="31">
        <f t="shared" si="40"/>
        <v>8869304.5593323894</v>
      </c>
      <c r="S19" s="31">
        <f>SUM(S6:S17)</f>
        <v>3374337.7103767213</v>
      </c>
      <c r="T19" s="31">
        <f t="shared" ref="T19:AE19" si="41">SUM(T6:T17)</f>
        <v>730366.47934220848</v>
      </c>
      <c r="U19" s="31">
        <f t="shared" si="41"/>
        <v>2231891.1288214093</v>
      </c>
      <c r="V19" s="31">
        <f t="shared" si="41"/>
        <v>2415284.4294579225</v>
      </c>
      <c r="W19" s="31">
        <f t="shared" si="41"/>
        <v>3374337.7103767213</v>
      </c>
      <c r="X19" s="31">
        <f t="shared" si="41"/>
        <v>730366.47934220848</v>
      </c>
      <c r="Y19" s="31">
        <f t="shared" si="41"/>
        <v>2231891.1288214093</v>
      </c>
      <c r="Z19" s="31">
        <f t="shared" si="41"/>
        <v>2415284.4294579225</v>
      </c>
      <c r="AA19" s="31">
        <f t="shared" si="41"/>
        <v>3374337.7103767213</v>
      </c>
      <c r="AB19" s="31">
        <f t="shared" si="41"/>
        <v>730366.47934220848</v>
      </c>
      <c r="AC19" s="31">
        <f t="shared" si="41"/>
        <v>2231891.1288214093</v>
      </c>
      <c r="AD19" s="31">
        <f t="shared" si="41"/>
        <v>2415284.4294579225</v>
      </c>
      <c r="AE19" s="31">
        <f t="shared" si="41"/>
        <v>8751879.7479982618</v>
      </c>
      <c r="AF19" s="31"/>
      <c r="AK19" s="31">
        <f>SUM(AK6:AK16)</f>
        <v>8620529.1385837402</v>
      </c>
      <c r="AL19" s="31"/>
      <c r="AM19" s="31">
        <f>SUM(AM6:AM16)</f>
        <v>8534323.8471979033</v>
      </c>
      <c r="AU19" s="31">
        <f>SUM(AU6:AU16)</f>
        <v>95323.619380625896</v>
      </c>
      <c r="AV19" s="31">
        <f>SUM(AV6:AV16)</f>
        <v>7640951.2510000002</v>
      </c>
      <c r="AW19" s="31">
        <f>SUM(AW6:AW16)</f>
        <v>8534323.8471979015</v>
      </c>
    </row>
    <row r="20" spans="1:60" x14ac:dyDescent="0.3">
      <c r="A20" s="1"/>
      <c r="N20" s="31">
        <f>N19/$L19</f>
        <v>575.33464797557042</v>
      </c>
      <c r="O20" s="31">
        <f>O19/$L19</f>
        <v>124.52966399696649</v>
      </c>
      <c r="P20" s="31">
        <f>P19/$L19</f>
        <v>380.54409698574756</v>
      </c>
      <c r="Q20" s="31">
        <f>Q19/$L19</f>
        <v>411.81320195360991</v>
      </c>
      <c r="R20" s="31" t="str">
        <f>IFERROR(VLOOKUP($B20,#REF!,12,FALSE),"")</f>
        <v/>
      </c>
      <c r="W20" s="31">
        <f>(S19-W19)/COUNT(W6:W17)</f>
        <v>0</v>
      </c>
      <c r="X20" s="31">
        <f>(T19-X19)/COUNT(X6:X17)</f>
        <v>0</v>
      </c>
      <c r="Y20" s="31">
        <f>(U19-Y19)/COUNT(Y6:Y17)</f>
        <v>0</v>
      </c>
      <c r="Z20" s="31">
        <f>(V19-Z19)/COUNT(Z6:Z17)</f>
        <v>0</v>
      </c>
    </row>
    <row r="21" spans="1:60" x14ac:dyDescent="0.3">
      <c r="A21" s="1"/>
      <c r="N21" s="31" t="str">
        <f>IFERROR(VLOOKUP($B21,#REF!,8,FALSE),"")</f>
        <v/>
      </c>
      <c r="O21" s="31" t="str">
        <f>IFERROR(VLOOKUP($B21,#REF!,9,FALSE),"")</f>
        <v/>
      </c>
      <c r="P21" s="31" t="str">
        <f>IFERROR(VLOOKUP($B21,#REF!,10,FALSE),"")</f>
        <v/>
      </c>
      <c r="Q21" s="31" t="str">
        <f>IFERROR(VLOOKUP($B21,#REF!,11,FALSE),"")</f>
        <v/>
      </c>
      <c r="R21" s="31" t="str">
        <f>IFERROR(VLOOKUP($B21,#REF!,12,FALSE),"")</f>
        <v/>
      </c>
    </row>
    <row r="22" spans="1:60" x14ac:dyDescent="0.3">
      <c r="A22" s="1">
        <v>20453000</v>
      </c>
      <c r="B22">
        <f>VLOOKUP(C22,'NCES ID'!$A$2:$B$3136,2,FALSE)</f>
        <v>400870</v>
      </c>
      <c r="C22">
        <f>VLOOKUP(A22,'State ID'!$A$2:$B$713,2,FALSE)</f>
        <v>4187</v>
      </c>
      <c r="D22" s="147" t="s">
        <v>53</v>
      </c>
      <c r="E22" t="s">
        <v>54</v>
      </c>
      <c r="F22" s="47">
        <f>VLOOKUP(B22,'Formula counts'!$D$9:$L$234,9,FALSE)</f>
        <v>49</v>
      </c>
      <c r="G22" s="47">
        <f>VLOOKUP(B22,'Formula counts'!$D$9:$K$234,8,FALSE)</f>
        <v>23</v>
      </c>
      <c r="H22" s="4">
        <f>VLOOKUP(B22,'Formula counts'!$D$9:$M$234,10,FALSE)</f>
        <v>0.46938775510204084</v>
      </c>
      <c r="I22" s="47">
        <f>VLOOKUP($C22,'Final SEA Counts'!$A$2:$F$709,5,FALSE)</f>
        <v>25</v>
      </c>
      <c r="J22" s="47">
        <f>VLOOKUP($C22,'Final SEA Counts'!$A$2:$F$709,6,FALSE)</f>
        <v>25</v>
      </c>
      <c r="K22" s="24">
        <f t="shared" ref="K22:K42" si="42">F22-(F22/(F$50-F$43))*K$49+(F22/(F$50-F$43))*F$43</f>
        <v>44.036926430671528</v>
      </c>
      <c r="L22" s="24">
        <f t="shared" ref="L22:L42" si="43">G22-(G22/(G$50-G$43))*L$49+(G22/(G$50-G$43))*G$43</f>
        <v>19.631368048726003</v>
      </c>
      <c r="M22" s="4">
        <f t="shared" ref="M22:M42" si="44">L22/K22</f>
        <v>0.44579332936943666</v>
      </c>
      <c r="N22" s="31">
        <f>IFERROR(VLOOKUP($B22,Allocation!$D$10:$O$235,8,FALSE),"")</f>
        <v>14785.042331209534</v>
      </c>
      <c r="O22" s="31">
        <f>IFERROR(VLOOKUP($B22,Allocation!$D$10:$O$235,9,FALSE),"")</f>
        <v>3576.2618223327281</v>
      </c>
      <c r="P22" s="31">
        <f>IFERROR(VLOOKUP($B22,Allocation!$D$10:$O$235,10,FALSE),"")</f>
        <v>10337.520293129757</v>
      </c>
      <c r="Q22" s="31">
        <f>IFERROR(VLOOKUP($B22,Allocation!$D$10:$O$235,11,FALSE),"")</f>
        <v>11393.792634605907</v>
      </c>
      <c r="R22" s="31">
        <f>IFERROR(VLOOKUP($B22,Allocation!$D$10:$O$235,12,FALSE),"")</f>
        <v>40092.617081277924</v>
      </c>
      <c r="S22" s="31">
        <f t="shared" ref="S22:V24" si="45">IF(N22=0,"",N22-(N22/(N$50-N$43)*S$49-N22/(N$50-N$43)*N$43))</f>
        <v>12617.24030499388</v>
      </c>
      <c r="T22" s="31">
        <f t="shared" si="45"/>
        <v>3051.905689218002</v>
      </c>
      <c r="U22" s="31">
        <f t="shared" si="45"/>
        <v>8821.8196995516246</v>
      </c>
      <c r="V22" s="31">
        <f t="shared" si="45"/>
        <v>9723.2200243779425</v>
      </c>
      <c r="W22" s="31">
        <f t="shared" ref="W22:W42" si="46">IF(S22="0","",S22)</f>
        <v>12617.24030499388</v>
      </c>
      <c r="X22" s="31">
        <f t="shared" ref="X22:X42" si="47">IF(T22="0","",T22)</f>
        <v>3051.905689218002</v>
      </c>
      <c r="Y22" s="31">
        <f t="shared" ref="Y22:Y42" si="48">IF(U22="0","",U22)</f>
        <v>8821.8196995516246</v>
      </c>
      <c r="Z22" s="31">
        <f t="shared" ref="Z22:Z42" si="49">IF(V22="0","",V22)</f>
        <v>9723.2200243779425</v>
      </c>
      <c r="AA22" s="31">
        <f t="shared" ref="AA22:AD24" si="50">IF(W22="","",W22+W$51)</f>
        <v>12617.24030499388</v>
      </c>
      <c r="AB22" s="31">
        <f t="shared" si="50"/>
        <v>3051.905689218002</v>
      </c>
      <c r="AC22" s="31">
        <f t="shared" si="50"/>
        <v>8821.8196995516246</v>
      </c>
      <c r="AD22" s="31">
        <f t="shared" si="50"/>
        <v>9723.2200243779425</v>
      </c>
      <c r="AE22" s="31">
        <f t="shared" ref="AE22:AE42" si="51">SUM(AA22:AD22)</f>
        <v>34214.185718141453</v>
      </c>
      <c r="AF22" s="31">
        <f>IFERROR(VLOOKUP(A22,'Allocations By Type'!$D$7:$F$491,3,FALSE),"")</f>
        <v>35558.379999999997</v>
      </c>
      <c r="AG22" s="31" t="str">
        <f t="shared" ref="AG22:AG42" si="52">IF(AE22&gt;AF22,AE22*0.04,"")</f>
        <v/>
      </c>
      <c r="AH22" s="31" t="str">
        <f t="shared" ref="AH22:AH42" si="53">IF(AG22="","",IF((AE22-AF22)&gt;AG22,AG22,AE22-AF22))</f>
        <v/>
      </c>
      <c r="AI22" s="31">
        <f t="shared" ref="AI22:AI42" si="54">IF(AH22="",AE22,AE22-AH22)</f>
        <v>34214.185718141453</v>
      </c>
      <c r="AJ22" s="31">
        <f>AI22/$AI$577*'State Admin 1004(b)'!$B$30*0.01</f>
        <v>325.59927401050697</v>
      </c>
      <c r="AK22" s="31">
        <f t="shared" ref="AK22:AK42" si="55">AI22-AJ22</f>
        <v>33888.586444130946</v>
      </c>
      <c r="AL22" s="31">
        <f t="shared" ref="AL22:AL42" si="56">AK22*0.01</f>
        <v>338.88586444130948</v>
      </c>
      <c r="AM22" s="31">
        <f t="shared" ref="AM22:AM42" si="57">AK22-AL22</f>
        <v>33549.700579689634</v>
      </c>
      <c r="AP22" s="31"/>
      <c r="AQ22" s="4">
        <f t="shared" ref="AQ22:AQ43" si="58">IFERROR(AM22/AF22,"")</f>
        <v>0.9435103786980632</v>
      </c>
      <c r="AR22" s="4">
        <f>VLOOKUP(B22,Allocation!$D$10:$P$235,13,FALSE)</f>
        <v>0.94999999999999984</v>
      </c>
      <c r="AS22" s="4">
        <f t="shared" ref="AS22:AS24" si="59">IF(M22&gt;0.3,0.95,IF(M22&gt;0.15,0.9,0.85))</f>
        <v>0.95</v>
      </c>
      <c r="AT22" s="4" t="str">
        <f t="shared" ref="AT22:AT42" si="60">IF(AQ22&lt;AS22,"Review","")</f>
        <v>Review</v>
      </c>
      <c r="AU22" s="31">
        <f t="shared" ref="AU22:AU42" si="61">IF(AT22="Review",AM22*AS22/AQ22-AM22,"")</f>
        <v>230.76042031036195</v>
      </c>
      <c r="AV22" s="31">
        <f t="shared" ref="AV22:AV42" si="62">IF(AU22="","",AU22+AM22)</f>
        <v>33780.460999999996</v>
      </c>
      <c r="AW22" s="31">
        <f>IF(AV22="",AM22-AM22/($AM$50-$AV$50+$AU$50)*$AU$50,AV22)</f>
        <v>33780.460999999996</v>
      </c>
      <c r="AX22" s="4">
        <f t="shared" ref="AX22:AX42" si="63">IFERROR(AW22/AF22,"")</f>
        <v>0.95</v>
      </c>
      <c r="AY22" s="4" t="str">
        <f t="shared" ref="AY22:AY41" si="64">IF(AX22&lt;AS22,"Manual Adjustment","")</f>
        <v/>
      </c>
      <c r="AZ22" s="174" t="str">
        <f>IFERROR(IF(VLOOKUP(A22,#REF!,11,FALSE)=0,"",VLOOKUP(A22,#REF!,11,FALSE)),"")</f>
        <v/>
      </c>
      <c r="BA22" s="31" t="str">
        <f t="shared" ref="BA22:BA26" si="65">IF(AZ22&lt;0,AW22*AZ22/100,"")</f>
        <v/>
      </c>
      <c r="BB22" s="31">
        <f t="shared" ref="BB22:BB26" si="66">IF(BA22&lt;0,AW22+BA22,AW22)</f>
        <v>33780.460999999996</v>
      </c>
      <c r="BD22" s="31">
        <f>IFERROR(VLOOKUP(A22,'Title II Hold Harmless'!A$1:B$439,2, FALSE),"")</f>
        <v>2764</v>
      </c>
      <c r="BE22" s="31">
        <f>IFERROR($BD$582*(0.8*($L22/$L$579)+0.2*($K22/$K$579))+$BD22,$BD$582*(0.8*($L22/$L$579)+0.2*($K22/$K$579)))</f>
        <v>3056.4287233069558</v>
      </c>
      <c r="BF22" s="31">
        <f>$BD$583*BE22</f>
        <v>3059.3860004818685</v>
      </c>
      <c r="BG22" s="31" t="str">
        <f t="shared" ref="BG22:BG47" si="67">IF(AZ22&lt;0,BF22*AZ22/100,"")</f>
        <v/>
      </c>
      <c r="BH22" s="31">
        <f t="shared" ref="BH22:BH47" si="68">IF(BG22&lt;0,BF22+BG22,BF22)</f>
        <v>3059.3860004818685</v>
      </c>
    </row>
    <row r="23" spans="1:60" x14ac:dyDescent="0.3">
      <c r="A23" s="1">
        <v>20218000</v>
      </c>
      <c r="B23">
        <f>VLOOKUP(C23,'NCES ID'!$A$2:$B$3136,2,FALSE)</f>
        <v>407430</v>
      </c>
      <c r="C23">
        <f>VLOOKUP(A23,'State ID'!$A$2:$B$713,2,FALSE)</f>
        <v>4172</v>
      </c>
      <c r="D23" s="147" t="s">
        <v>372</v>
      </c>
      <c r="E23" t="s">
        <v>54</v>
      </c>
      <c r="F23" s="47">
        <f>VLOOKUP(B23,'Formula counts'!$D$9:$L$234,9,FALSE)</f>
        <v>81</v>
      </c>
      <c r="G23" s="47">
        <f>VLOOKUP(B23,'Formula counts'!$D$9:$K$234,8,FALSE)</f>
        <v>18</v>
      </c>
      <c r="H23" s="4">
        <f>VLOOKUP(B23,'Formula counts'!$D$9:$M$234,10,FALSE)</f>
        <v>0.22222222222222221</v>
      </c>
      <c r="I23" s="47">
        <f>VLOOKUP($C23,'Final SEA Counts'!$A$2:$F$709,5,FALSE)</f>
        <v>100</v>
      </c>
      <c r="J23" s="47">
        <f>VLOOKUP($C23,'Final SEA Counts'!$A$2:$F$709,6,FALSE)</f>
        <v>65</v>
      </c>
      <c r="K23" s="24">
        <f t="shared" si="42"/>
        <v>72.795735528252948</v>
      </c>
      <c r="L23" s="24">
        <f t="shared" si="43"/>
        <v>15.363679342481221</v>
      </c>
      <c r="M23" s="4">
        <f t="shared" si="44"/>
        <v>0.21105191438746274</v>
      </c>
      <c r="N23" s="31">
        <f>IFERROR(VLOOKUP($B23,Allocation!$D$10:$O$235,8,FALSE),"")</f>
        <v>8716.8932285223655</v>
      </c>
      <c r="O23" s="31">
        <f>IFERROR(VLOOKUP($B23,Allocation!$D$10:$O$235,9,FALSE),"")</f>
        <v>2065.5488242496449</v>
      </c>
      <c r="P23" s="31">
        <f>IFERROR(VLOOKUP($B23,Allocation!$D$10:$O$235,10,FALSE),"")</f>
        <v>3396.1643436267209</v>
      </c>
      <c r="Q23" s="31">
        <f>IFERROR(VLOOKUP($B23,Allocation!$D$10:$O$235,11,FALSE),"")</f>
        <v>2802.9659724151784</v>
      </c>
      <c r="R23" s="31">
        <f>IFERROR(VLOOKUP($B23,Allocation!$D$10:$O$235,12,FALSE),"")</f>
        <v>16981.572368813908</v>
      </c>
      <c r="S23" s="31">
        <f t="shared" si="45"/>
        <v>7438.8110709077109</v>
      </c>
      <c r="T23" s="31">
        <f t="shared" si="45"/>
        <v>1762.695384526728</v>
      </c>
      <c r="U23" s="31">
        <f t="shared" si="45"/>
        <v>2898.2143357370196</v>
      </c>
      <c r="V23" s="31">
        <f t="shared" si="45"/>
        <v>2391.9914768204767</v>
      </c>
      <c r="W23" s="31">
        <f t="shared" si="46"/>
        <v>7438.8110709077109</v>
      </c>
      <c r="X23" s="31">
        <f t="shared" si="47"/>
        <v>1762.695384526728</v>
      </c>
      <c r="Y23" s="31">
        <f t="shared" si="48"/>
        <v>2898.2143357370196</v>
      </c>
      <c r="Z23" s="31">
        <f t="shared" si="49"/>
        <v>2391.9914768204767</v>
      </c>
      <c r="AA23" s="31">
        <f t="shared" si="50"/>
        <v>7438.8110709077109</v>
      </c>
      <c r="AB23" s="31">
        <f t="shared" si="50"/>
        <v>1762.695384526728</v>
      </c>
      <c r="AC23" s="31">
        <f t="shared" si="50"/>
        <v>2898.2143357370196</v>
      </c>
      <c r="AD23" s="31">
        <f t="shared" si="50"/>
        <v>2391.9914768204767</v>
      </c>
      <c r="AE23" s="31">
        <f t="shared" si="51"/>
        <v>14491.712267991934</v>
      </c>
      <c r="AF23" s="31">
        <f>IFERROR(VLOOKUP(A23,'Allocations By Type'!$D$7:$F$491,3,FALSE),"")</f>
        <v>15894.66</v>
      </c>
      <c r="AG23" s="31" t="str">
        <f t="shared" si="52"/>
        <v/>
      </c>
      <c r="AH23" s="31" t="str">
        <f t="shared" si="53"/>
        <v/>
      </c>
      <c r="AI23" s="31">
        <f t="shared" si="54"/>
        <v>14491.712267991934</v>
      </c>
      <c r="AJ23" s="31">
        <f>AI23/$AI$577*'State Admin 1004(b)'!$B$30*0.01</f>
        <v>137.9103694736022</v>
      </c>
      <c r="AK23" s="31">
        <f t="shared" si="55"/>
        <v>14353.801898518332</v>
      </c>
      <c r="AL23" s="31">
        <f t="shared" si="56"/>
        <v>143.53801898518333</v>
      </c>
      <c r="AM23" s="31">
        <f t="shared" si="57"/>
        <v>14210.263879533148</v>
      </c>
      <c r="AP23" s="31"/>
      <c r="AQ23" s="4">
        <f t="shared" si="58"/>
        <v>0.89402754632896508</v>
      </c>
      <c r="AR23" s="4">
        <f>VLOOKUP(B23,Allocation!$D$10:$P$235,13,FALSE)</f>
        <v>0.89999999999999991</v>
      </c>
      <c r="AS23" s="4">
        <f t="shared" si="59"/>
        <v>0.9</v>
      </c>
      <c r="AT23" s="4" t="str">
        <f t="shared" si="60"/>
        <v>Review</v>
      </c>
      <c r="AU23" s="31">
        <f t="shared" si="61"/>
        <v>94.930120466851804</v>
      </c>
      <c r="AV23" s="31">
        <f t="shared" si="62"/>
        <v>14305.194</v>
      </c>
      <c r="AW23" s="31">
        <f>IF(AV23="",AM23-AM23/($AM$50-$AV$50+$AU$50)*$AU$50,AV23)</f>
        <v>14305.194</v>
      </c>
      <c r="AX23" s="4">
        <f t="shared" si="63"/>
        <v>0.9</v>
      </c>
      <c r="AY23" s="4" t="str">
        <f t="shared" si="64"/>
        <v/>
      </c>
      <c r="AZ23" s="174" t="str">
        <f>IFERROR(IF(VLOOKUP(A23,#REF!,11,FALSE)=0,"",VLOOKUP(A23,#REF!,11,FALSE)),"")</f>
        <v/>
      </c>
      <c r="BA23" s="31" t="str">
        <f t="shared" si="65"/>
        <v/>
      </c>
      <c r="BB23" s="31">
        <f t="shared" si="66"/>
        <v>14305.194</v>
      </c>
      <c r="BD23" s="31">
        <f>IFERROR(VLOOKUP(A23,'Title II Hold Harmless'!A$1:B$439,2, FALSE),"")</f>
        <v>5063</v>
      </c>
      <c r="BE23" s="31">
        <f>IFERROR($BD$582*(0.8*($L23/$L$579)+0.2*($K23/$K$579))+$BD23,$BD$582*(0.8*($L23/$L$579)+0.2*($K23/$K$579)))</f>
        <v>5322.7068868541937</v>
      </c>
      <c r="BF23" s="31">
        <f>$BD$583*BE23</f>
        <v>5327.8569233870967</v>
      </c>
      <c r="BG23" s="31" t="str">
        <f t="shared" si="67"/>
        <v/>
      </c>
      <c r="BH23" s="31">
        <f t="shared" si="68"/>
        <v>5327.8569233870967</v>
      </c>
    </row>
    <row r="24" spans="1:60" x14ac:dyDescent="0.3">
      <c r="A24" s="1">
        <v>20214000</v>
      </c>
      <c r="B24">
        <f>VLOOKUP(C24,'NCES ID'!$A$2:$B$3136,2,FALSE)</f>
        <v>401330</v>
      </c>
      <c r="C24">
        <f>VLOOKUP(A24,'State ID'!$A$2:$B$713,2,FALSE)</f>
        <v>4171</v>
      </c>
      <c r="D24" s="147" t="s">
        <v>76</v>
      </c>
      <c r="E24" t="s">
        <v>54</v>
      </c>
      <c r="F24" s="47">
        <f>VLOOKUP(B24,'Formula counts'!$D$9:$L$234,9,FALSE)</f>
        <v>82</v>
      </c>
      <c r="G24" s="47">
        <f>VLOOKUP(B24,'Formula counts'!$D$9:$K$234,8,FALSE)</f>
        <v>14</v>
      </c>
      <c r="H24" s="4">
        <f>VLOOKUP(B24,'Formula counts'!$D$9:$M$234,10,FALSE)</f>
        <v>0.17073170731707318</v>
      </c>
      <c r="I24" s="47">
        <f>VLOOKUP($C24,'Final SEA Counts'!$A$2:$F$709,5,FALSE)</f>
        <v>45</v>
      </c>
      <c r="J24" s="47">
        <f>VLOOKUP($C24,'Final SEA Counts'!$A$2:$F$709,6,FALSE)</f>
        <v>39</v>
      </c>
      <c r="K24" s="24">
        <f t="shared" si="42"/>
        <v>73.694448312552367</v>
      </c>
      <c r="L24" s="24">
        <f t="shared" si="43"/>
        <v>11.949528377485393</v>
      </c>
      <c r="M24" s="4">
        <f t="shared" si="44"/>
        <v>0.1621496415415872</v>
      </c>
      <c r="N24" s="31">
        <f>IFERROR(VLOOKUP($B24,Allocation!$D$10:$O$235,8,FALSE),"")</f>
        <v>12870.659801217331</v>
      </c>
      <c r="O24" s="31">
        <f>IFERROR(VLOOKUP($B24,Allocation!$D$10:$O$235,9,FALSE),"")</f>
        <v>3274.9530123480254</v>
      </c>
      <c r="P24" s="31">
        <f>IFERROR(VLOOKUP($B24,Allocation!$D$10:$O$235,10,FALSE),"")</f>
        <v>6143.5705647155828</v>
      </c>
      <c r="Q24" s="31">
        <f>IFERROR(VLOOKUP($B24,Allocation!$D$10:$O$235,11,FALSE),"")</f>
        <v>5899.6619791968251</v>
      </c>
      <c r="R24" s="31">
        <f>IFERROR(VLOOKUP($B24,Allocation!$D$10:$O$235,12,FALSE),"")</f>
        <v>28188.845357477767</v>
      </c>
      <c r="S24" s="31">
        <f t="shared" si="45"/>
        <v>10983.547017176437</v>
      </c>
      <c r="T24" s="31">
        <f t="shared" si="45"/>
        <v>2794.7751665975957</v>
      </c>
      <c r="U24" s="31">
        <f t="shared" si="45"/>
        <v>5242.7923038190002</v>
      </c>
      <c r="V24" s="31">
        <f t="shared" si="45"/>
        <v>5034.6459105249369</v>
      </c>
      <c r="W24" s="31">
        <f t="shared" si="46"/>
        <v>10983.547017176437</v>
      </c>
      <c r="X24" s="31">
        <f t="shared" si="47"/>
        <v>2794.7751665975957</v>
      </c>
      <c r="Y24" s="31">
        <f t="shared" si="48"/>
        <v>5242.7923038190002</v>
      </c>
      <c r="Z24" s="31">
        <f t="shared" si="49"/>
        <v>5034.6459105249369</v>
      </c>
      <c r="AA24" s="31">
        <f t="shared" si="50"/>
        <v>10983.547017176437</v>
      </c>
      <c r="AB24" s="31">
        <f t="shared" si="50"/>
        <v>2794.7751665975957</v>
      </c>
      <c r="AC24" s="31">
        <f t="shared" si="50"/>
        <v>5242.7923038190002</v>
      </c>
      <c r="AD24" s="31">
        <f t="shared" si="50"/>
        <v>5034.6459105249369</v>
      </c>
      <c r="AE24" s="31">
        <f t="shared" si="51"/>
        <v>24055.760398117971</v>
      </c>
      <c r="AF24" s="31">
        <f>IFERROR(VLOOKUP(A24,'Allocations By Type'!$D$7:$F$491,3,FALSE),"")</f>
        <v>26886.71</v>
      </c>
      <c r="AG24" s="31" t="str">
        <f t="shared" si="52"/>
        <v/>
      </c>
      <c r="AH24" s="31" t="str">
        <f t="shared" si="53"/>
        <v/>
      </c>
      <c r="AI24" s="31">
        <f t="shared" si="54"/>
        <v>24055.760398117971</v>
      </c>
      <c r="AJ24" s="31">
        <f>AI24/$AI$577*'State Admin 1004(b)'!$B$30*0.01</f>
        <v>228.92662668995965</v>
      </c>
      <c r="AK24" s="31">
        <f t="shared" si="55"/>
        <v>23826.83377142801</v>
      </c>
      <c r="AL24" s="31">
        <f t="shared" si="56"/>
        <v>238.26833771428011</v>
      </c>
      <c r="AM24" s="31">
        <f t="shared" si="57"/>
        <v>23588.565433713731</v>
      </c>
      <c r="AP24" s="31"/>
      <c r="AQ24" s="4">
        <f t="shared" si="58"/>
        <v>0.87733179082579205</v>
      </c>
      <c r="AR24" s="4">
        <f>VLOOKUP(B24,Allocation!$D$10:$P$235,13,FALSE)</f>
        <v>0.90000000000000013</v>
      </c>
      <c r="AS24" s="4">
        <f t="shared" si="59"/>
        <v>0.9</v>
      </c>
      <c r="AT24" s="4" t="str">
        <f t="shared" si="60"/>
        <v>Review</v>
      </c>
      <c r="AU24" s="31">
        <f t="shared" si="61"/>
        <v>609.47356628626949</v>
      </c>
      <c r="AV24" s="31">
        <f t="shared" si="62"/>
        <v>24198.039000000001</v>
      </c>
      <c r="AW24" s="31">
        <f>IF(AV24="",AM24-AM24/($AM$50-$AV$50+$AU$50)*$AU$50,AV24)</f>
        <v>24198.039000000001</v>
      </c>
      <c r="AX24" s="4">
        <f t="shared" si="63"/>
        <v>0.9</v>
      </c>
      <c r="AY24" s="4" t="str">
        <f t="shared" si="64"/>
        <v/>
      </c>
      <c r="AZ24" s="174" t="str">
        <f>IFERROR(IF(VLOOKUP(A24,#REF!,11,FALSE)=0,"",VLOOKUP(A24,#REF!,11,FALSE)),"")</f>
        <v/>
      </c>
      <c r="BA24" s="31" t="str">
        <f t="shared" si="65"/>
        <v/>
      </c>
      <c r="BB24" s="31">
        <f t="shared" si="66"/>
        <v>24198.039000000001</v>
      </c>
      <c r="BD24" s="31">
        <f>IFERROR(VLOOKUP(A24,'Title II Hold Harmless'!A$1:B$439,2, FALSE),"")</f>
        <v>5258</v>
      </c>
      <c r="BE24" s="31">
        <f>IFERROR($BD$582*(0.8*($L24/$L$579)+0.2*($K24/$K$579))+$BD24,$BD$582*(0.8*($L24/$L$579)+0.2*($K24/$K$579)))</f>
        <v>5473.7366369562224</v>
      </c>
      <c r="BF24" s="31">
        <f>$BD$583*BE24</f>
        <v>5479.0328037846893</v>
      </c>
      <c r="BG24" s="31" t="str">
        <f t="shared" si="67"/>
        <v/>
      </c>
      <c r="BH24" s="31">
        <f t="shared" si="68"/>
        <v>5479.0328037846893</v>
      </c>
    </row>
    <row r="25" spans="1:60" s="47" customFormat="1" x14ac:dyDescent="0.3">
      <c r="A25" s="1">
        <v>20342000</v>
      </c>
      <c r="B25" s="47">
        <f>VLOOKUP(C25,'NCES ID'!$A$2:$B$3136,2,FALSE)</f>
        <v>400750</v>
      </c>
      <c r="C25" s="47">
        <f>VLOOKUP(A25,'State ID'!$A$2:$B$713,2,FALSE)</f>
        <v>4178</v>
      </c>
      <c r="D25" s="147" t="s">
        <v>550</v>
      </c>
      <c r="E25" s="47" t="s">
        <v>54</v>
      </c>
      <c r="F25" s="47">
        <f>VLOOKUP(B25,'Formula counts'!$D$9:$L$234,9,FALSE)</f>
        <v>22</v>
      </c>
      <c r="G25" s="47">
        <f>VLOOKUP(B25,'Formula counts'!$D$9:$K$234,8,FALSE)</f>
        <v>8</v>
      </c>
      <c r="H25" s="4">
        <f>VLOOKUP(B25,'Formula counts'!$D$9:$M$234,10,FALSE)</f>
        <v>0.36363636363636365</v>
      </c>
      <c r="I25" s="47">
        <f>VLOOKUP($C25,'Final SEA Counts'!$A$2:$F$709,5,FALSE)</f>
        <v>9</v>
      </c>
      <c r="J25" s="47">
        <f>VLOOKUP($C25,'Final SEA Counts'!$A$2:$F$709,6,FALSE)</f>
        <v>0</v>
      </c>
      <c r="K25" s="24">
        <f t="shared" si="42"/>
        <v>19.771681254587222</v>
      </c>
      <c r="L25" s="24">
        <f t="shared" si="43"/>
        <v>6.8283019299916532</v>
      </c>
      <c r="M25" s="4"/>
      <c r="N25" s="31">
        <f>IFERROR(VLOOKUP($B25,Allocation!$D$10:$O$235,8,FALSE),"")</f>
        <v>0</v>
      </c>
      <c r="O25" s="31">
        <f>IFERROR(VLOOKUP($B25,Allocation!$D$10:$O$235,9,FALSE),"")</f>
        <v>0</v>
      </c>
      <c r="P25" s="31">
        <f>IFERROR(VLOOKUP($B25,Allocation!$D$10:$O$235,10,FALSE),"")</f>
        <v>0</v>
      </c>
      <c r="Q25" s="31">
        <f>IFERROR(VLOOKUP($B25,Allocation!$D$10:$O$235,11,FALSE),"")</f>
        <v>0</v>
      </c>
      <c r="R25" s="31">
        <f>IFERROR(VLOOKUP($B25,Allocation!$D$10:$O$235,12,FALSE),"")</f>
        <v>0</v>
      </c>
      <c r="S25" s="31"/>
      <c r="T25" s="31"/>
      <c r="U25" s="31"/>
      <c r="V25" s="31"/>
      <c r="W25" s="31"/>
      <c r="X25" s="31"/>
      <c r="Y25" s="31"/>
      <c r="Z25" s="31"/>
      <c r="AA25" s="31"/>
      <c r="AB25" s="31"/>
      <c r="AC25" s="31"/>
      <c r="AD25" s="31"/>
      <c r="AE25" s="31"/>
      <c r="AF25" s="31" t="str">
        <f>IFERROR(VLOOKUP(A25,'Allocations By Type'!$D$7:$F$491,3,FALSE),"")</f>
        <v/>
      </c>
      <c r="AG25" s="31"/>
      <c r="AH25" s="31"/>
      <c r="AI25" s="31"/>
      <c r="AJ25" s="31"/>
      <c r="AK25" s="31"/>
      <c r="AL25" s="31"/>
      <c r="AM25" s="31"/>
      <c r="AP25" s="31"/>
      <c r="AQ25" s="4" t="str">
        <f t="shared" si="58"/>
        <v/>
      </c>
      <c r="AR25" s="4"/>
      <c r="AS25" s="4"/>
      <c r="AT25" s="4"/>
      <c r="AU25" s="31"/>
      <c r="AV25" s="31"/>
      <c r="AW25" s="31"/>
      <c r="AX25" s="4"/>
      <c r="AY25" s="4"/>
      <c r="AZ25" s="174"/>
      <c r="BA25" s="31"/>
      <c r="BB25" s="31"/>
      <c r="BD25" s="31"/>
      <c r="BE25" s="31"/>
      <c r="BF25" s="31"/>
      <c r="BG25" s="31"/>
      <c r="BH25" s="31"/>
    </row>
    <row r="26" spans="1:60" x14ac:dyDescent="0.3">
      <c r="A26" s="1">
        <v>20345000</v>
      </c>
      <c r="B26">
        <f>VLOOKUP(C26,'NCES ID'!$A$2:$B$3136,2,FALSE)</f>
        <v>402490</v>
      </c>
      <c r="C26">
        <f>VLOOKUP(A26,'State ID'!$A$2:$B$713,2,FALSE)</f>
        <v>4179</v>
      </c>
      <c r="D26" s="147" t="s">
        <v>134</v>
      </c>
      <c r="E26" t="s">
        <v>54</v>
      </c>
      <c r="F26" s="47">
        <f>VLOOKUP(B26,'Formula counts'!$D$9:$L$234,9,FALSE)</f>
        <v>83</v>
      </c>
      <c r="G26" s="47">
        <f>VLOOKUP(B26,'Formula counts'!$D$9:$K$234,8,FALSE)</f>
        <v>26</v>
      </c>
      <c r="H26" s="4">
        <f>VLOOKUP(B26,'Formula counts'!$D$9:$M$234,10,FALSE)</f>
        <v>0.31325301204819278</v>
      </c>
      <c r="I26" s="47">
        <f>VLOOKUP($C26,'Final SEA Counts'!$A$2:$F$709,5,FALSE)</f>
        <v>42</v>
      </c>
      <c r="J26" s="47">
        <f>VLOOKUP($C26,'Final SEA Counts'!$A$2:$F$709,6,FALSE)</f>
        <v>25</v>
      </c>
      <c r="K26" s="24">
        <f t="shared" si="42"/>
        <v>74.593161096851787</v>
      </c>
      <c r="L26" s="24">
        <f t="shared" si="43"/>
        <v>22.191981272472876</v>
      </c>
      <c r="M26" s="4">
        <f t="shared" si="44"/>
        <v>0.2975069154618451</v>
      </c>
      <c r="N26" s="31">
        <f>IFERROR(VLOOKUP($B26,Allocation!$D$10:$O$235,8,FALSE),"")</f>
        <v>12265.187872293585</v>
      </c>
      <c r="O26" s="31">
        <f>IFERROR(VLOOKUP($B26,Allocation!$D$10:$O$235,9,FALSE),"")</f>
        <v>2908.7002259205206</v>
      </c>
      <c r="P26" s="31">
        <f>IFERROR(VLOOKUP($B26,Allocation!$D$10:$O$235,10,FALSE),"")</f>
        <v>5995.9811970184519</v>
      </c>
      <c r="Q26" s="31">
        <f>IFERROR(VLOOKUP($B26,Allocation!$D$10:$O$235,11,FALSE),"")</f>
        <v>4999.2134631162371</v>
      </c>
      <c r="R26" s="31">
        <f>IFERROR(VLOOKUP($B26,Allocation!$D$10:$O$235,12,FALSE),"")</f>
        <v>26169.082758348795</v>
      </c>
      <c r="S26" s="31">
        <f t="shared" ref="S26:S42" si="69">IF(N26=0,"",N26-(N26/(N$50-N$43)*S$49-N26/(N$50-N$43)*N$43))</f>
        <v>10466.850165451286</v>
      </c>
      <c r="T26" s="31">
        <f t="shared" ref="T26:T42" si="70">IF(O26=0,"",O26-(O26/(O$50-O$43)*T$49-O26/(O$50-O$43)*O$43))</f>
        <v>2482.2228373442113</v>
      </c>
      <c r="U26" s="31">
        <f t="shared" ref="U26:U42" si="71">IF(P26=0,"",P26-(P26/(P$50-P$43)*U$49-P26/(P$50-P$43)*P$43))</f>
        <v>5116.84268007217</v>
      </c>
      <c r="V26" s="31">
        <f t="shared" ref="V26:V42" si="72">IF(Q26=0,"",Q26-(Q26/(Q$50-Q$43)*V$49-Q26/(Q$50-Q$43)*Q$43))</f>
        <v>4266.22232030756</v>
      </c>
      <c r="W26" s="31">
        <f t="shared" si="46"/>
        <v>10466.850165451286</v>
      </c>
      <c r="X26" s="31">
        <f t="shared" si="47"/>
        <v>2482.2228373442113</v>
      </c>
      <c r="Y26" s="31">
        <f t="shared" si="48"/>
        <v>5116.84268007217</v>
      </c>
      <c r="Z26" s="31">
        <f t="shared" si="49"/>
        <v>4266.22232030756</v>
      </c>
      <c r="AA26" s="31">
        <f t="shared" ref="AA26:AA42" si="73">IF(W26="","",W26+W$51)</f>
        <v>10466.850165451286</v>
      </c>
      <c r="AB26" s="31">
        <f t="shared" ref="AB26:AB42" si="74">IF(X26="","",X26+X$51)</f>
        <v>2482.2228373442113</v>
      </c>
      <c r="AC26" s="31">
        <f t="shared" ref="AC26:AC42" si="75">IF(Y26="","",Y26+Y$51)</f>
        <v>5116.84268007217</v>
      </c>
      <c r="AD26" s="31">
        <f t="shared" ref="AD26:AD42" si="76">IF(Z26="","",Z26+Z$51)</f>
        <v>4266.22232030756</v>
      </c>
      <c r="AE26" s="31">
        <f t="shared" si="51"/>
        <v>22332.138003175223</v>
      </c>
      <c r="AF26" s="31">
        <f>IFERROR(VLOOKUP(A26,'Allocations By Type'!$D$7:$F$491,3,FALSE),"")</f>
        <v>18065.43</v>
      </c>
      <c r="AG26" s="31">
        <f t="shared" si="52"/>
        <v>893.28552012700891</v>
      </c>
      <c r="AH26" s="31">
        <f t="shared" si="53"/>
        <v>893.28552012700891</v>
      </c>
      <c r="AI26" s="31">
        <f t="shared" si="54"/>
        <v>21438.852483048213</v>
      </c>
      <c r="AJ26" s="31">
        <f>AI26/$AI$577*'State Admin 1004(b)'!$B$30*0.01</f>
        <v>204.02282438063642</v>
      </c>
      <c r="AK26" s="31">
        <f t="shared" si="55"/>
        <v>21234.829658667575</v>
      </c>
      <c r="AL26" s="31">
        <f t="shared" si="56"/>
        <v>212.34829658667576</v>
      </c>
      <c r="AM26" s="31">
        <f t="shared" si="57"/>
        <v>21022.4813620809</v>
      </c>
      <c r="AP26" s="31"/>
      <c r="AQ26" s="4">
        <f t="shared" si="58"/>
        <v>1.1636856339473181</v>
      </c>
      <c r="AR26" s="4">
        <f>VLOOKUP(B26,Allocation!$D$10:$P$235,13,FALSE)</f>
        <v>1.2483778624508357</v>
      </c>
      <c r="AS26" s="4">
        <f t="shared" ref="AS26:AS42" si="77">IF(M26&gt;0.3,0.95,IF(M26&gt;0.15,0.9,0.85))</f>
        <v>0.9</v>
      </c>
      <c r="AT26" s="4" t="str">
        <f t="shared" si="60"/>
        <v/>
      </c>
      <c r="AU26" s="31" t="str">
        <f t="shared" si="61"/>
        <v/>
      </c>
      <c r="AV26" s="31" t="str">
        <f t="shared" si="62"/>
        <v/>
      </c>
      <c r="AW26" s="31">
        <f t="shared" ref="AW26:AW42" si="78">IF(AV26="",AM26-AM26/($AM$50-$AV$50+$AU$50)*$AU$50,AV26)</f>
        <v>20259.403301551672</v>
      </c>
      <c r="AX26" s="4">
        <f t="shared" si="63"/>
        <v>1.1214459496149094</v>
      </c>
      <c r="AY26" s="4" t="str">
        <f t="shared" si="64"/>
        <v/>
      </c>
      <c r="AZ26" s="174" t="str">
        <f>IFERROR(IF(VLOOKUP(A26,#REF!,11,FALSE)=0,"",VLOOKUP(A26,#REF!,11,FALSE)),"")</f>
        <v/>
      </c>
      <c r="BA26" s="31" t="str">
        <f t="shared" si="65"/>
        <v/>
      </c>
      <c r="BB26" s="31">
        <f t="shared" si="66"/>
        <v>20259.403301551672</v>
      </c>
      <c r="BD26" s="31">
        <f>IFERROR(VLOOKUP(A26,'Title II Hold Harmless'!A$1:B$439,2, FALSE),"")</f>
        <v>2960</v>
      </c>
      <c r="BE26" s="31">
        <f t="shared" ref="BE26:BE47" si="79">IFERROR($BD$582*(0.8*($L26/$L$579)+0.2*($K26/$K$579))+$BD26,$BD$582*(0.8*($L26/$L$579)+0.2*($K26/$K$579)))</f>
        <v>3310.5405217291236</v>
      </c>
      <c r="BF26" s="31">
        <f t="shared" ref="BF26:BF47" si="80">$BD$583*BE26</f>
        <v>3313.7436672325266</v>
      </c>
      <c r="BG26" s="31" t="str">
        <f t="shared" si="67"/>
        <v/>
      </c>
      <c r="BH26" s="31">
        <f t="shared" si="68"/>
        <v>3313.7436672325266</v>
      </c>
    </row>
    <row r="27" spans="1:60" x14ac:dyDescent="0.3">
      <c r="A27" s="1">
        <v>20355000</v>
      </c>
      <c r="B27">
        <f>VLOOKUP(C27,'NCES ID'!$A$2:$B$3136,2,FALSE)</f>
        <v>404920</v>
      </c>
      <c r="C27">
        <f>VLOOKUP(A27,'State ID'!$A$2:$B$713,2,FALSE)</f>
        <v>4181</v>
      </c>
      <c r="D27" s="147" t="s">
        <v>281</v>
      </c>
      <c r="E27" t="s">
        <v>54</v>
      </c>
      <c r="F27" s="47">
        <f>VLOOKUP(B27,'Formula counts'!$D$9:$L$234,9,FALSE)</f>
        <v>105</v>
      </c>
      <c r="G27" s="47">
        <f>VLOOKUP(B27,'Formula counts'!$D$9:$K$234,8,FALSE)</f>
        <v>21</v>
      </c>
      <c r="H27" s="4">
        <f>VLOOKUP(B27,'Formula counts'!$D$9:$M$234,10,FALSE)</f>
        <v>0.2</v>
      </c>
      <c r="I27" s="47">
        <f>VLOOKUP($C27,'Final SEA Counts'!$A$2:$F$709,5,FALSE)</f>
        <v>62</v>
      </c>
      <c r="J27" s="47">
        <f>VLOOKUP($C27,'Final SEA Counts'!$A$2:$F$709,6,FALSE)</f>
        <v>35</v>
      </c>
      <c r="K27" s="24">
        <f t="shared" si="42"/>
        <v>94.364842351438995</v>
      </c>
      <c r="L27" s="24">
        <f t="shared" si="43"/>
        <v>17.92429256622809</v>
      </c>
      <c r="M27" s="4">
        <f t="shared" si="44"/>
        <v>0.18994672294871648</v>
      </c>
      <c r="N27" s="31">
        <f>IFERROR(VLOOKUP($B27,Allocation!$D$10:$O$235,8,FALSE),"")</f>
        <v>10289.949362141819</v>
      </c>
      <c r="O27" s="31">
        <f>IFERROR(VLOOKUP($B27,Allocation!$D$10:$O$235,9,FALSE),"")</f>
        <v>2436.5355043556606</v>
      </c>
      <c r="P27" s="31">
        <f>IFERROR(VLOOKUP($B27,Allocation!$D$10:$O$235,10,FALSE),"")</f>
        <v>3971.2383662335869</v>
      </c>
      <c r="Q27" s="31">
        <f>IFERROR(VLOOKUP($B27,Allocation!$D$10:$O$235,11,FALSE),"")</f>
        <v>3843.6105633920774</v>
      </c>
      <c r="R27" s="31">
        <f>IFERROR(VLOOKUP($B27,Allocation!$D$10:$O$235,12,FALSE),"")</f>
        <v>20541.333796123145</v>
      </c>
      <c r="S27" s="31">
        <f t="shared" si="69"/>
        <v>8781.2236799825678</v>
      </c>
      <c r="T27" s="31">
        <f t="shared" si="70"/>
        <v>2079.287517845738</v>
      </c>
      <c r="U27" s="31">
        <f t="shared" si="71"/>
        <v>3388.9702614792168</v>
      </c>
      <c r="V27" s="31">
        <f t="shared" si="72"/>
        <v>3280.0554121351252</v>
      </c>
      <c r="W27" s="31">
        <f t="shared" si="46"/>
        <v>8781.2236799825678</v>
      </c>
      <c r="X27" s="31">
        <f t="shared" si="47"/>
        <v>2079.287517845738</v>
      </c>
      <c r="Y27" s="31">
        <f t="shared" si="48"/>
        <v>3388.9702614792168</v>
      </c>
      <c r="Z27" s="31">
        <f t="shared" si="49"/>
        <v>3280.0554121351252</v>
      </c>
      <c r="AA27" s="31">
        <f t="shared" si="73"/>
        <v>8781.2236799825678</v>
      </c>
      <c r="AB27" s="31">
        <f t="shared" si="74"/>
        <v>2079.287517845738</v>
      </c>
      <c r="AC27" s="31">
        <f t="shared" si="75"/>
        <v>3388.9702614792168</v>
      </c>
      <c r="AD27" s="31">
        <f t="shared" si="76"/>
        <v>3280.0554121351252</v>
      </c>
      <c r="AE27" s="31">
        <f t="shared" si="51"/>
        <v>17529.536871442648</v>
      </c>
      <c r="AF27" s="31">
        <f>IFERROR(VLOOKUP(A27,'Allocations By Type'!$D$7:$F$491,3,FALSE),"")</f>
        <v>19751.47</v>
      </c>
      <c r="AG27" s="31" t="str">
        <f t="shared" si="52"/>
        <v/>
      </c>
      <c r="AH27" s="31" t="str">
        <f t="shared" si="53"/>
        <v/>
      </c>
      <c r="AI27" s="31">
        <f t="shared" si="54"/>
        <v>17529.536871442648</v>
      </c>
      <c r="AJ27" s="31">
        <f>AI27/$AI$577*'State Admin 1004(b)'!$B$30*0.01</f>
        <v>166.81982514801706</v>
      </c>
      <c r="AK27" s="31">
        <f t="shared" si="55"/>
        <v>17362.717046294631</v>
      </c>
      <c r="AL27" s="31">
        <f t="shared" si="56"/>
        <v>173.62717046294631</v>
      </c>
      <c r="AM27" s="31">
        <f t="shared" si="57"/>
        <v>17189.089875831683</v>
      </c>
      <c r="AP27" s="31"/>
      <c r="AQ27" s="4">
        <f t="shared" si="58"/>
        <v>0.87026889015509645</v>
      </c>
      <c r="AR27" s="4">
        <f>VLOOKUP(B27,Allocation!$D$10:$P$235,13,FALSE)</f>
        <v>0.9</v>
      </c>
      <c r="AS27" s="4">
        <f t="shared" si="77"/>
        <v>0.9</v>
      </c>
      <c r="AT27" s="4" t="str">
        <f t="shared" si="60"/>
        <v>Review</v>
      </c>
      <c r="AU27" s="31">
        <f t="shared" si="61"/>
        <v>587.23312416831686</v>
      </c>
      <c r="AV27" s="31">
        <f t="shared" si="62"/>
        <v>17776.323</v>
      </c>
      <c r="AW27" s="31">
        <f t="shared" si="78"/>
        <v>17776.323</v>
      </c>
      <c r="AX27" s="4">
        <f t="shared" si="63"/>
        <v>0.89999999999999991</v>
      </c>
      <c r="AY27" s="4" t="str">
        <f t="shared" si="64"/>
        <v/>
      </c>
      <c r="AZ27" s="174" t="str">
        <f>IFERROR(IF(VLOOKUP(A27,#REF!,11,FALSE)=0,"",VLOOKUP(A27,#REF!,11,FALSE)),"")</f>
        <v/>
      </c>
      <c r="BA27" s="31" t="str">
        <f>IF(AZ27&lt;0,AW27*AZ27/100,"")</f>
        <v/>
      </c>
      <c r="BB27" s="31">
        <f>IF(BA27&lt;0,AW27+BA27,AW27)</f>
        <v>17776.323</v>
      </c>
      <c r="BD27" s="31">
        <f>IFERROR(VLOOKUP(A27,'Title II Hold Harmless'!A$1:B$439,2, FALSE),"")</f>
        <v>1455</v>
      </c>
      <c r="BE27" s="31">
        <f t="shared" si="79"/>
        <v>1765.5858475788973</v>
      </c>
      <c r="BF27" s="31">
        <f t="shared" si="80"/>
        <v>1767.2941572435652</v>
      </c>
      <c r="BG27" s="31" t="str">
        <f t="shared" si="67"/>
        <v/>
      </c>
      <c r="BH27" s="31">
        <f t="shared" si="68"/>
        <v>1767.2941572435652</v>
      </c>
    </row>
    <row r="28" spans="1:60" x14ac:dyDescent="0.3">
      <c r="A28" s="1">
        <v>20422000</v>
      </c>
      <c r="B28">
        <f>VLOOKUP(C28,'NCES ID'!$A$2:$B$3136,2,FALSE)</f>
        <v>406150</v>
      </c>
      <c r="C28">
        <f>VLOOKUP(A28,'State ID'!$A$2:$B$713,2,FALSE)</f>
        <v>4186</v>
      </c>
      <c r="D28" s="147" t="s">
        <v>333</v>
      </c>
      <c r="E28" t="s">
        <v>54</v>
      </c>
      <c r="F28" s="47">
        <f>VLOOKUP(B28,'Formula counts'!$D$9:$L$234,9,FALSE)</f>
        <v>115</v>
      </c>
      <c r="G28" s="47">
        <f>VLOOKUP(B28,'Formula counts'!$D$9:$K$234,8,FALSE)</f>
        <v>32</v>
      </c>
      <c r="H28" s="4">
        <f>VLOOKUP(B28,'Formula counts'!$D$9:$M$234,10,FALSE)</f>
        <v>0.27826086956521739</v>
      </c>
      <c r="I28" s="47">
        <f>VLOOKUP($C28,'Final SEA Counts'!$A$2:$F$709,5,FALSE)</f>
        <v>104</v>
      </c>
      <c r="J28" s="47">
        <f>VLOOKUP($C28,'Final SEA Counts'!$A$2:$F$709,6,FALSE)</f>
        <v>63</v>
      </c>
      <c r="K28" s="24">
        <f t="shared" si="42"/>
        <v>103.35197019443319</v>
      </c>
      <c r="L28" s="24">
        <f t="shared" si="43"/>
        <v>27.313207719966613</v>
      </c>
      <c r="M28" s="4">
        <f t="shared" si="44"/>
        <v>0.26427370149386636</v>
      </c>
      <c r="N28" s="31">
        <f>IFERROR(VLOOKUP($B28,Allocation!$D$10:$O$235,8,FALSE),"")</f>
        <v>15773.42584208808</v>
      </c>
      <c r="O28" s="31">
        <f>IFERROR(VLOOKUP($B28,Allocation!$D$10:$O$235,9,FALSE),"")</f>
        <v>3737.6597772136424</v>
      </c>
      <c r="P28" s="31">
        <f>IFERROR(VLOOKUP($B28,Allocation!$D$10:$O$235,10,FALSE),"")</f>
        <v>7306.6985127122152</v>
      </c>
      <c r="Q28" s="31">
        <f>IFERROR(VLOOKUP($B28,Allocation!$D$10:$O$235,11,FALSE),"")</f>
        <v>6950.9751336848758</v>
      </c>
      <c r="R28" s="31">
        <f>IFERROR(VLOOKUP($B28,Allocation!$D$10:$O$235,12,FALSE),"")</f>
        <v>33768.759265698813</v>
      </c>
      <c r="S28" s="31">
        <f t="shared" si="69"/>
        <v>13460.705747356802</v>
      </c>
      <c r="T28" s="31">
        <f t="shared" si="70"/>
        <v>3189.6392672388411</v>
      </c>
      <c r="U28" s="31">
        <f t="shared" si="71"/>
        <v>6235.3809279550105</v>
      </c>
      <c r="V28" s="31">
        <f t="shared" si="72"/>
        <v>5931.8141707724362</v>
      </c>
      <c r="W28" s="31">
        <f t="shared" si="46"/>
        <v>13460.705747356802</v>
      </c>
      <c r="X28" s="31">
        <f t="shared" si="47"/>
        <v>3189.6392672388411</v>
      </c>
      <c r="Y28" s="31">
        <f t="shared" si="48"/>
        <v>6235.3809279550105</v>
      </c>
      <c r="Z28" s="31">
        <f t="shared" si="49"/>
        <v>5931.8141707724362</v>
      </c>
      <c r="AA28" s="31">
        <f t="shared" si="73"/>
        <v>13460.705747356802</v>
      </c>
      <c r="AB28" s="31">
        <f t="shared" si="74"/>
        <v>3189.6392672388411</v>
      </c>
      <c r="AC28" s="31">
        <f t="shared" si="75"/>
        <v>6235.3809279550105</v>
      </c>
      <c r="AD28" s="31">
        <f t="shared" si="76"/>
        <v>5931.8141707724362</v>
      </c>
      <c r="AE28" s="31">
        <f t="shared" si="51"/>
        <v>28817.540113323092</v>
      </c>
      <c r="AF28" s="31">
        <f>IFERROR(VLOOKUP(A28,'Allocations By Type'!$D$7:$F$491,3,FALSE),"")</f>
        <v>31607.77</v>
      </c>
      <c r="AG28" s="31" t="str">
        <f t="shared" si="52"/>
        <v/>
      </c>
      <c r="AH28" s="31" t="str">
        <f t="shared" si="53"/>
        <v/>
      </c>
      <c r="AI28" s="31">
        <f t="shared" si="54"/>
        <v>28817.540113323092</v>
      </c>
      <c r="AJ28" s="31">
        <f>AI28/$AI$577*'State Admin 1004(b)'!$B$30*0.01</f>
        <v>274.24209995713892</v>
      </c>
      <c r="AK28" s="31">
        <f t="shared" si="55"/>
        <v>28543.298013365951</v>
      </c>
      <c r="AL28" s="31">
        <f t="shared" si="56"/>
        <v>285.4329801336595</v>
      </c>
      <c r="AM28" s="31">
        <f t="shared" si="57"/>
        <v>28257.86503323229</v>
      </c>
      <c r="AP28" s="31"/>
      <c r="AQ28" s="4">
        <f t="shared" si="58"/>
        <v>0.89401640904221624</v>
      </c>
      <c r="AR28" s="4">
        <f>VLOOKUP(B28,Allocation!$D$10:$P$235,13,FALSE)</f>
        <v>0.9</v>
      </c>
      <c r="AS28" s="4">
        <f t="shared" si="77"/>
        <v>0.9</v>
      </c>
      <c r="AT28" s="4" t="str">
        <f t="shared" si="60"/>
        <v>Review</v>
      </c>
      <c r="AU28" s="31">
        <f t="shared" si="61"/>
        <v>189.12796676770813</v>
      </c>
      <c r="AV28" s="31">
        <f t="shared" si="62"/>
        <v>28446.992999999999</v>
      </c>
      <c r="AW28" s="31">
        <f t="shared" si="78"/>
        <v>28446.992999999999</v>
      </c>
      <c r="AX28" s="4">
        <f t="shared" si="63"/>
        <v>0.89999999999999991</v>
      </c>
      <c r="AY28" s="4" t="str">
        <f t="shared" si="64"/>
        <v/>
      </c>
      <c r="AZ28" s="174" t="str">
        <f>IFERROR(IF(VLOOKUP(A28,#REF!,11,FALSE)=0,"",VLOOKUP(A28,#REF!,11,FALSE)),"")</f>
        <v/>
      </c>
      <c r="BA28" s="31" t="str">
        <f t="shared" ref="BA28:BA47" si="81">IF(AZ28&lt;0,AW28*AZ28/100,"")</f>
        <v/>
      </c>
      <c r="BB28" s="31">
        <f t="shared" ref="BB28:BB42" si="82">IF(BA28&lt;0,AW28+BA28,AW28)</f>
        <v>28446.992999999999</v>
      </c>
      <c r="BD28" s="31">
        <f>IFERROR(VLOOKUP(A28,'Title II Hold Harmless'!A$1:B$439,2, FALSE),"")</f>
        <v>3979</v>
      </c>
      <c r="BE28" s="31">
        <f t="shared" si="79"/>
        <v>4419.7259028625876</v>
      </c>
      <c r="BF28" s="31">
        <f t="shared" si="80"/>
        <v>4424.0022514102366</v>
      </c>
      <c r="BG28" s="31" t="str">
        <f t="shared" si="67"/>
        <v/>
      </c>
      <c r="BH28" s="31">
        <f t="shared" si="68"/>
        <v>4424.0022514102366</v>
      </c>
    </row>
    <row r="29" spans="1:60" x14ac:dyDescent="0.3">
      <c r="A29" s="1">
        <v>20412000</v>
      </c>
      <c r="B29">
        <f>VLOOKUP(C29,'NCES ID'!$A$2:$B$3136,2,FALSE)</f>
        <v>402760</v>
      </c>
      <c r="C29">
        <f>VLOOKUP(A29,'State ID'!$A$2:$B$713,2,FALSE)</f>
        <v>4185</v>
      </c>
      <c r="D29" s="147" t="s">
        <v>155</v>
      </c>
      <c r="E29" t="s">
        <v>54</v>
      </c>
      <c r="F29" s="47">
        <f>VLOOKUP(B29,'Formula counts'!$D$9:$L$234,9,FALSE)</f>
        <v>119</v>
      </c>
      <c r="G29" s="47">
        <f>VLOOKUP(B29,'Formula counts'!$D$9:$K$234,8,FALSE)</f>
        <v>16</v>
      </c>
      <c r="H29" s="4">
        <f>VLOOKUP(B29,'Formula counts'!$D$9:$M$234,10,FALSE)</f>
        <v>0.13445378151260504</v>
      </c>
      <c r="I29" s="47">
        <f>VLOOKUP($C29,'Final SEA Counts'!$A$2:$F$709,5,FALSE)</f>
        <v>122</v>
      </c>
      <c r="J29" s="47">
        <f>VLOOKUP($C29,'Final SEA Counts'!$A$2:$F$709,6,FALSE)</f>
        <v>102</v>
      </c>
      <c r="K29" s="24">
        <f t="shared" si="42"/>
        <v>106.94682133163087</v>
      </c>
      <c r="L29" s="24">
        <f t="shared" si="43"/>
        <v>13.656603859983306</v>
      </c>
      <c r="M29" s="4">
        <f t="shared" si="44"/>
        <v>0.12769527593191021</v>
      </c>
      <c r="N29" s="31">
        <f>IFERROR(VLOOKUP($B29,Allocation!$D$10:$O$235,8,FALSE),"")</f>
        <v>18051.878469417195</v>
      </c>
      <c r="O29" s="31">
        <f>IFERROR(VLOOKUP($B29,Allocation!$D$10:$O$235,9,FALSE),"")</f>
        <v>4584.613038502107</v>
      </c>
      <c r="P29" s="31">
        <f>IFERROR(VLOOKUP($B29,Allocation!$D$10:$O$235,10,FALSE),"")</f>
        <v>8131.2718293790322</v>
      </c>
      <c r="Q29" s="31">
        <f>IFERROR(VLOOKUP($B29,Allocation!$D$10:$O$235,11,FALSE),"")</f>
        <v>7568.2396526640596</v>
      </c>
      <c r="R29" s="31">
        <f>IFERROR(VLOOKUP($B29,Allocation!$D$10:$O$235,12,FALSE),"")</f>
        <v>38336.002989962391</v>
      </c>
      <c r="S29" s="31">
        <f t="shared" si="69"/>
        <v>15405.088704034093</v>
      </c>
      <c r="T29" s="31">
        <f t="shared" si="70"/>
        <v>3912.4111461003208</v>
      </c>
      <c r="U29" s="31">
        <f t="shared" si="71"/>
        <v>6939.0542386164025</v>
      </c>
      <c r="V29" s="31">
        <f t="shared" si="72"/>
        <v>6458.5745677492423</v>
      </c>
      <c r="W29" s="31">
        <f t="shared" si="46"/>
        <v>15405.088704034093</v>
      </c>
      <c r="X29" s="31">
        <f t="shared" si="47"/>
        <v>3912.4111461003208</v>
      </c>
      <c r="Y29" s="31">
        <f t="shared" si="48"/>
        <v>6939.0542386164025</v>
      </c>
      <c r="Z29" s="31">
        <f t="shared" si="49"/>
        <v>6458.5745677492423</v>
      </c>
      <c r="AA29" s="31">
        <f t="shared" si="73"/>
        <v>15405.088704034093</v>
      </c>
      <c r="AB29" s="31">
        <f t="shared" si="74"/>
        <v>3912.4111461003208</v>
      </c>
      <c r="AC29" s="31">
        <f t="shared" si="75"/>
        <v>6939.0542386164025</v>
      </c>
      <c r="AD29" s="31">
        <f t="shared" si="76"/>
        <v>6458.5745677492423</v>
      </c>
      <c r="AE29" s="31">
        <f t="shared" si="51"/>
        <v>32715.128656500056</v>
      </c>
      <c r="AF29" s="31">
        <f>IFERROR(VLOOKUP(A29,'Allocations By Type'!$D$7:$F$491,3,FALSE),"")</f>
        <v>38459.26</v>
      </c>
      <c r="AG29" s="31" t="str">
        <f t="shared" si="52"/>
        <v/>
      </c>
      <c r="AH29" s="31" t="str">
        <f t="shared" si="53"/>
        <v/>
      </c>
      <c r="AI29" s="31">
        <f t="shared" si="54"/>
        <v>32715.128656500056</v>
      </c>
      <c r="AJ29" s="31">
        <f>AI29/$AI$577*'State Admin 1004(b)'!$B$30*0.01</f>
        <v>311.3334985514125</v>
      </c>
      <c r="AK29" s="31">
        <f t="shared" si="55"/>
        <v>32403.795157948643</v>
      </c>
      <c r="AL29" s="31">
        <f t="shared" si="56"/>
        <v>324.03795157948645</v>
      </c>
      <c r="AM29" s="31">
        <f t="shared" si="57"/>
        <v>32079.757206369159</v>
      </c>
      <c r="AP29" s="31"/>
      <c r="AQ29" s="4">
        <f t="shared" si="58"/>
        <v>0.83412310081809049</v>
      </c>
      <c r="AR29" s="4">
        <f>VLOOKUP(B29,Allocation!$D$10:$P$235,13,FALSE)</f>
        <v>0.85</v>
      </c>
      <c r="AS29" s="4">
        <f t="shared" si="77"/>
        <v>0.85</v>
      </c>
      <c r="AT29" s="4" t="str">
        <f t="shared" si="60"/>
        <v>Review</v>
      </c>
      <c r="AU29" s="31">
        <f t="shared" si="61"/>
        <v>610.61379363084779</v>
      </c>
      <c r="AV29" s="31">
        <f t="shared" si="62"/>
        <v>32690.371000000006</v>
      </c>
      <c r="AW29" s="31">
        <f t="shared" si="78"/>
        <v>32690.371000000006</v>
      </c>
      <c r="AX29" s="4">
        <f t="shared" si="63"/>
        <v>0.85000000000000009</v>
      </c>
      <c r="AY29" s="4" t="str">
        <f t="shared" si="64"/>
        <v/>
      </c>
      <c r="AZ29" s="174" t="str">
        <f>IFERROR(IF(VLOOKUP(A29,#REF!,11,FALSE)=0,"",VLOOKUP(A29,#REF!,11,FALSE)),"")</f>
        <v/>
      </c>
      <c r="BA29" s="31" t="str">
        <f t="shared" si="81"/>
        <v/>
      </c>
      <c r="BB29" s="31">
        <f t="shared" si="82"/>
        <v>32690.371000000006</v>
      </c>
      <c r="BC29" s="31"/>
      <c r="BD29" s="31">
        <f>IFERROR(VLOOKUP(A29,'Title II Hold Harmless'!A$1:B$439,2, FALSE),"")</f>
        <v>9189</v>
      </c>
      <c r="BE29" s="31">
        <f t="shared" si="79"/>
        <v>9453.8449032706994</v>
      </c>
      <c r="BF29" s="31">
        <f t="shared" si="80"/>
        <v>9462.9920623503185</v>
      </c>
      <c r="BG29" s="31" t="str">
        <f t="shared" si="67"/>
        <v/>
      </c>
      <c r="BH29" s="31">
        <f t="shared" si="68"/>
        <v>9462.9920623503185</v>
      </c>
    </row>
    <row r="30" spans="1:60" x14ac:dyDescent="0.3">
      <c r="A30" s="1">
        <v>20364000</v>
      </c>
      <c r="B30">
        <f>VLOOKUP(C30,'NCES ID'!$A$2:$B$3136,2,FALSE)</f>
        <v>406630</v>
      </c>
      <c r="C30">
        <f>VLOOKUP(A30,'State ID'!$A$2:$B$713,2,FALSE)</f>
        <v>4188</v>
      </c>
      <c r="D30" s="147" t="s">
        <v>349</v>
      </c>
      <c r="E30" t="s">
        <v>54</v>
      </c>
      <c r="F30" s="47">
        <f>VLOOKUP(B30,'Formula counts'!$D$9:$L$234,9,FALSE)</f>
        <v>162</v>
      </c>
      <c r="G30" s="47">
        <f>VLOOKUP(B30,'Formula counts'!$D$9:$K$234,8,FALSE)</f>
        <v>38</v>
      </c>
      <c r="H30" s="4">
        <f>VLOOKUP(B30,'Formula counts'!$D$9:$M$234,10,FALSE)</f>
        <v>0.23456790123456789</v>
      </c>
      <c r="I30" s="47">
        <f>VLOOKUP($C30,'Final SEA Counts'!$A$2:$F$709,5,FALSE)</f>
        <v>101</v>
      </c>
      <c r="J30" s="47">
        <f>VLOOKUP($C30,'Final SEA Counts'!$A$2:$F$709,6,FALSE)</f>
        <v>54</v>
      </c>
      <c r="K30" s="24">
        <f t="shared" si="42"/>
        <v>145.5914710565059</v>
      </c>
      <c r="L30" s="24">
        <f t="shared" si="43"/>
        <v>32.434434167460353</v>
      </c>
      <c r="M30" s="4">
        <f t="shared" si="44"/>
        <v>0.22277702074232175</v>
      </c>
      <c r="N30" s="31">
        <f>IFERROR(VLOOKUP($B30,Allocation!$D$10:$O$235,8,FALSE),"")</f>
        <v>17926.043813352167</v>
      </c>
      <c r="O30" s="31">
        <f>IFERROR(VLOOKUP($B30,Allocation!$D$10:$O$235,9,FALSE),"")</f>
        <v>4251.1772532684536</v>
      </c>
      <c r="P30" s="31">
        <f>IFERROR(VLOOKUP($B30,Allocation!$D$10:$O$235,10,FALSE),"")</f>
        <v>6981.0361375131079</v>
      </c>
      <c r="Q30" s="31">
        <f>IFERROR(VLOOKUP($B30,Allocation!$D$10:$O$235,11,FALSE),"")</f>
        <v>5240.5788453012647</v>
      </c>
      <c r="R30" s="31">
        <f>IFERROR(VLOOKUP($B30,Allocation!$D$10:$O$235,12,FALSE),"")</f>
        <v>34398.836049434991</v>
      </c>
      <c r="S30" s="31">
        <f t="shared" si="69"/>
        <v>15297.704087967268</v>
      </c>
      <c r="T30" s="31">
        <f t="shared" si="70"/>
        <v>3627.864146887694</v>
      </c>
      <c r="U30" s="31">
        <f t="shared" si="71"/>
        <v>5957.467591345302</v>
      </c>
      <c r="V30" s="31">
        <f t="shared" si="72"/>
        <v>4472.1983980294863</v>
      </c>
      <c r="W30" s="31">
        <f t="shared" si="46"/>
        <v>15297.704087967268</v>
      </c>
      <c r="X30" s="31">
        <f t="shared" si="47"/>
        <v>3627.864146887694</v>
      </c>
      <c r="Y30" s="31">
        <f t="shared" si="48"/>
        <v>5957.467591345302</v>
      </c>
      <c r="Z30" s="31">
        <f t="shared" si="49"/>
        <v>4472.1983980294863</v>
      </c>
      <c r="AA30" s="31">
        <f t="shared" si="73"/>
        <v>15297.704087967268</v>
      </c>
      <c r="AB30" s="31">
        <f t="shared" si="74"/>
        <v>3627.864146887694</v>
      </c>
      <c r="AC30" s="31">
        <f t="shared" si="75"/>
        <v>5957.467591345302</v>
      </c>
      <c r="AD30" s="31">
        <f t="shared" si="76"/>
        <v>4472.1983980294863</v>
      </c>
      <c r="AE30" s="31">
        <f t="shared" si="51"/>
        <v>29355.234224229749</v>
      </c>
      <c r="AF30" s="31">
        <f>IFERROR(VLOOKUP(A30,'Allocations By Type'!$D$7:$F$491,3,FALSE),"")</f>
        <v>22743.39</v>
      </c>
      <c r="AG30" s="31">
        <f t="shared" si="52"/>
        <v>1174.2093689691899</v>
      </c>
      <c r="AH30" s="31">
        <f t="shared" si="53"/>
        <v>1174.2093689691899</v>
      </c>
      <c r="AI30" s="31">
        <f t="shared" si="54"/>
        <v>28181.024855260559</v>
      </c>
      <c r="AJ30" s="31">
        <f>AI30/$AI$577*'State Admin 1004(b)'!$B$30*0.01</f>
        <v>268.18470295727747</v>
      </c>
      <c r="AK30" s="31">
        <f t="shared" si="55"/>
        <v>27912.840152303281</v>
      </c>
      <c r="AL30" s="31">
        <f t="shared" si="56"/>
        <v>279.12840152303284</v>
      </c>
      <c r="AM30" s="31">
        <f t="shared" si="57"/>
        <v>27633.711750780247</v>
      </c>
      <c r="AP30" s="31"/>
      <c r="AQ30" s="4">
        <f t="shared" si="58"/>
        <v>1.2150216722652274</v>
      </c>
      <c r="AR30" s="4">
        <f>VLOOKUP(B30,Allocation!$D$10:$P$235,13,FALSE)</f>
        <v>1.3036179156245138</v>
      </c>
      <c r="AS30" s="4">
        <f t="shared" si="77"/>
        <v>0.9</v>
      </c>
      <c r="AT30" s="4" t="str">
        <f t="shared" si="60"/>
        <v/>
      </c>
      <c r="AU30" s="31" t="str">
        <f t="shared" si="61"/>
        <v/>
      </c>
      <c r="AV30" s="31" t="str">
        <f t="shared" si="62"/>
        <v/>
      </c>
      <c r="AW30" s="31">
        <f t="shared" si="78"/>
        <v>26630.657981587992</v>
      </c>
      <c r="AX30" s="4">
        <f t="shared" si="63"/>
        <v>1.1709185825678579</v>
      </c>
      <c r="AY30" s="4" t="str">
        <f t="shared" si="64"/>
        <v/>
      </c>
      <c r="AZ30" s="174" t="str">
        <f>IFERROR(IF(VLOOKUP(A30,#REF!,11,FALSE)=0,"",VLOOKUP(A30,#REF!,11,FALSE)),"")</f>
        <v/>
      </c>
      <c r="BA30" s="31" t="str">
        <f t="shared" si="81"/>
        <v/>
      </c>
      <c r="BB30" s="31">
        <f t="shared" si="82"/>
        <v>26630.657981587992</v>
      </c>
      <c r="BD30" s="31">
        <f>IFERROR(VLOOKUP(A30,'Title II Hold Harmless'!A$1:B$439,2, FALSE),"")</f>
        <v>2078</v>
      </c>
      <c r="BE30" s="31">
        <f t="shared" si="79"/>
        <v>2619.7605405422473</v>
      </c>
      <c r="BF30" s="31">
        <f t="shared" si="80"/>
        <v>2622.2953151932002</v>
      </c>
      <c r="BG30" s="31" t="str">
        <f t="shared" si="67"/>
        <v/>
      </c>
      <c r="BH30" s="31">
        <f t="shared" si="68"/>
        <v>2622.2953151932002</v>
      </c>
    </row>
    <row r="31" spans="1:60" x14ac:dyDescent="0.3">
      <c r="A31" s="1">
        <v>20522000</v>
      </c>
      <c r="B31">
        <f>VLOOKUP(C31,'NCES ID'!$A$2:$B$3136,2,FALSE)</f>
        <v>408910</v>
      </c>
      <c r="C31">
        <f>VLOOKUP(A31,'State ID'!$A$2:$B$713,2,FALSE)</f>
        <v>4190</v>
      </c>
      <c r="D31" s="147" t="s">
        <v>428</v>
      </c>
      <c r="E31" t="s">
        <v>54</v>
      </c>
      <c r="F31" s="47">
        <f>VLOOKUP(B31,'Formula counts'!$D$9:$L$234,9,FALSE)</f>
        <v>174</v>
      </c>
      <c r="G31" s="47">
        <f>VLOOKUP(B31,'Formula counts'!$D$9:$K$234,8,FALSE)</f>
        <v>44</v>
      </c>
      <c r="H31" s="4">
        <f>VLOOKUP(B31,'Formula counts'!$D$9:$M$234,10,FALSE)</f>
        <v>0.25287356321839083</v>
      </c>
      <c r="I31" s="47">
        <f>VLOOKUP($C31,'Final SEA Counts'!$A$2:$F$709,5,FALSE)</f>
        <v>80</v>
      </c>
      <c r="J31" s="47">
        <f>VLOOKUP($C31,'Final SEA Counts'!$A$2:$F$709,6,FALSE)</f>
        <v>61</v>
      </c>
      <c r="K31" s="24">
        <f t="shared" si="42"/>
        <v>156.3760244680989</v>
      </c>
      <c r="L31" s="24">
        <f t="shared" si="43"/>
        <v>37.555660614954093</v>
      </c>
      <c r="M31" s="4">
        <f t="shared" si="44"/>
        <v>0.24016252326849211</v>
      </c>
      <c r="N31" s="31">
        <f>IFERROR(VLOOKUP($B31,Allocation!$D$10:$O$235,8,FALSE),"")</f>
        <v>29056.310761741202</v>
      </c>
      <c r="O31" s="31">
        <f>IFERROR(VLOOKUP($B31,Allocation!$D$10:$O$235,9,FALSE),"")</f>
        <v>6885.1627474988136</v>
      </c>
      <c r="P31" s="31">
        <f>IFERROR(VLOOKUP($B31,Allocation!$D$10:$O$235,10,FALSE),"")</f>
        <v>15673.270022326735</v>
      </c>
      <c r="Q31" s="31">
        <f>IFERROR(VLOOKUP($B31,Allocation!$D$10:$O$235,11,FALSE),"")</f>
        <v>12880.709235063383</v>
      </c>
      <c r="R31" s="31">
        <f>IFERROR(VLOOKUP($B31,Allocation!$D$10:$O$235,12,FALSE),"")</f>
        <v>64495.452766630136</v>
      </c>
      <c r="S31" s="31">
        <f t="shared" si="69"/>
        <v>24796.036903025688</v>
      </c>
      <c r="T31" s="31">
        <f t="shared" si="70"/>
        <v>5875.6512817557577</v>
      </c>
      <c r="U31" s="31">
        <f t="shared" si="71"/>
        <v>13375.23490340764</v>
      </c>
      <c r="V31" s="31">
        <f t="shared" si="72"/>
        <v>10992.122990036329</v>
      </c>
      <c r="W31" s="31">
        <f t="shared" si="46"/>
        <v>24796.036903025688</v>
      </c>
      <c r="X31" s="31">
        <f t="shared" si="47"/>
        <v>5875.6512817557577</v>
      </c>
      <c r="Y31" s="31">
        <f t="shared" si="48"/>
        <v>13375.23490340764</v>
      </c>
      <c r="Z31" s="31">
        <f t="shared" si="49"/>
        <v>10992.122990036329</v>
      </c>
      <c r="AA31" s="31">
        <f t="shared" si="73"/>
        <v>24796.036903025688</v>
      </c>
      <c r="AB31" s="31">
        <f t="shared" si="74"/>
        <v>5875.6512817557577</v>
      </c>
      <c r="AC31" s="31">
        <f t="shared" si="75"/>
        <v>13375.23490340764</v>
      </c>
      <c r="AD31" s="31">
        <f t="shared" si="76"/>
        <v>10992.122990036329</v>
      </c>
      <c r="AE31" s="31">
        <f t="shared" si="51"/>
        <v>55039.046078225409</v>
      </c>
      <c r="AF31" s="31">
        <f>IFERROR(VLOOKUP(A31,'Allocations By Type'!$D$7:$F$491,3,FALSE),"")</f>
        <v>56081.31</v>
      </c>
      <c r="AG31" s="31" t="str">
        <f t="shared" si="52"/>
        <v/>
      </c>
      <c r="AH31" s="31" t="str">
        <f t="shared" si="53"/>
        <v/>
      </c>
      <c r="AI31" s="31">
        <f t="shared" si="54"/>
        <v>55039.046078225409</v>
      </c>
      <c r="AJ31" s="31">
        <f>AI31/$AI$577*'State Admin 1004(b)'!$B$30*0.01</f>
        <v>523.77904279039797</v>
      </c>
      <c r="AK31" s="31">
        <f t="shared" si="55"/>
        <v>54515.267035435012</v>
      </c>
      <c r="AL31" s="31">
        <f t="shared" si="56"/>
        <v>545.15267035435011</v>
      </c>
      <c r="AM31" s="31">
        <f t="shared" si="57"/>
        <v>53970.114365080663</v>
      </c>
      <c r="AP31" s="31"/>
      <c r="AQ31" s="4">
        <f t="shared" si="58"/>
        <v>0.96235473752450973</v>
      </c>
      <c r="AR31" s="4">
        <f>VLOOKUP(B31,Allocation!$D$10:$P$235,13,FALSE)</f>
        <v>0.90000000000000013</v>
      </c>
      <c r="AS31" s="4">
        <f t="shared" si="77"/>
        <v>0.9</v>
      </c>
      <c r="AT31" s="4" t="str">
        <f t="shared" si="60"/>
        <v/>
      </c>
      <c r="AU31" s="31" t="str">
        <f t="shared" si="61"/>
        <v/>
      </c>
      <c r="AV31" s="31" t="str">
        <f t="shared" si="62"/>
        <v/>
      </c>
      <c r="AW31" s="31">
        <f t="shared" si="78"/>
        <v>52011.096802552078</v>
      </c>
      <c r="AX31" s="4">
        <f t="shared" si="63"/>
        <v>0.92742300068511385</v>
      </c>
      <c r="AY31" s="4" t="str">
        <f t="shared" si="64"/>
        <v/>
      </c>
      <c r="AZ31" s="174" t="str">
        <f>IFERROR(IF(VLOOKUP(A31,#REF!,11,FALSE)=0,"",VLOOKUP(A31,#REF!,11,FALSE)),"")</f>
        <v/>
      </c>
      <c r="BA31" s="31" t="str">
        <f t="shared" si="81"/>
        <v/>
      </c>
      <c r="BB31" s="31">
        <f t="shared" si="82"/>
        <v>52011.096802552078</v>
      </c>
      <c r="BD31" s="31" t="str">
        <f>IFERROR(VLOOKUP(A31,'Title II Hold Harmless'!A$1:B$439,2, FALSE),"")</f>
        <v/>
      </c>
      <c r="BE31" s="31">
        <f t="shared" si="79"/>
        <v>617.48024628078224</v>
      </c>
      <c r="BF31" s="31">
        <f t="shared" si="80"/>
        <v>618.07769526572361</v>
      </c>
      <c r="BG31" s="31" t="str">
        <f t="shared" si="67"/>
        <v/>
      </c>
      <c r="BH31" s="31">
        <f t="shared" si="68"/>
        <v>618.07769526572361</v>
      </c>
    </row>
    <row r="32" spans="1:60" x14ac:dyDescent="0.3">
      <c r="A32" s="1">
        <v>20323000</v>
      </c>
      <c r="B32">
        <f>VLOOKUP(C32,'NCES ID'!$A$2:$B$3136,2,FALSE)</f>
        <v>405430</v>
      </c>
      <c r="C32">
        <f>VLOOKUP(A32,'State ID'!$A$2:$B$713,2,FALSE)</f>
        <v>4176</v>
      </c>
      <c r="D32" s="147" t="s">
        <v>300</v>
      </c>
      <c r="E32" t="s">
        <v>54</v>
      </c>
      <c r="F32" s="47">
        <f>VLOOKUP(B32,'Formula counts'!$D$9:$L$234,9,FALSE)</f>
        <v>371</v>
      </c>
      <c r="G32" s="47">
        <f>VLOOKUP(B32,'Formula counts'!$D$9:$K$234,8,FALSE)</f>
        <v>124</v>
      </c>
      <c r="H32" s="4">
        <f>VLOOKUP(B32,'Formula counts'!$D$9:$M$234,10,FALSE)</f>
        <v>0.33423180592991913</v>
      </c>
      <c r="I32" s="47">
        <f>VLOOKUP($C32,'Final SEA Counts'!$A$2:$F$709,5,FALSE)</f>
        <v>298</v>
      </c>
      <c r="J32" s="47">
        <f>VLOOKUP($C32,'Final SEA Counts'!$A$2:$F$709,6,FALSE)</f>
        <v>266</v>
      </c>
      <c r="K32" s="24">
        <f t="shared" si="42"/>
        <v>333.42244297508449</v>
      </c>
      <c r="L32" s="24">
        <f t="shared" si="43"/>
        <v>105.83867991487062</v>
      </c>
      <c r="M32" s="4">
        <f t="shared" si="44"/>
        <v>0.31743118120809755</v>
      </c>
      <c r="N32" s="31">
        <f>IFERROR(VLOOKUP($B32,Allocation!$D$10:$O$235,8,FALSE),"")</f>
        <v>58495.51139093862</v>
      </c>
      <c r="O32" s="31">
        <f>IFERROR(VLOOKUP($B32,Allocation!$D$10:$O$235,9,FALSE),"")</f>
        <v>13872.262615928636</v>
      </c>
      <c r="P32" s="31">
        <f>IFERROR(VLOOKUP($B32,Allocation!$D$10:$O$235,10,FALSE),"")</f>
        <v>30389.986430631274</v>
      </c>
      <c r="Q32" s="31">
        <f>IFERROR(VLOOKUP($B32,Allocation!$D$10:$O$235,11,FALSE),"")</f>
        <v>26197.620974392976</v>
      </c>
      <c r="R32" s="31">
        <f>IFERROR(VLOOKUP($B32,Allocation!$D$10:$O$235,12,FALSE),"")</f>
        <v>128955.38141189152</v>
      </c>
      <c r="S32" s="31">
        <f t="shared" si="69"/>
        <v>49918.823865998427</v>
      </c>
      <c r="T32" s="31">
        <f t="shared" si="70"/>
        <v>11838.293531949314</v>
      </c>
      <c r="U32" s="31">
        <f t="shared" si="71"/>
        <v>25934.16732067008</v>
      </c>
      <c r="V32" s="31">
        <f t="shared" si="72"/>
        <v>22356.491909078166</v>
      </c>
      <c r="W32" s="31">
        <f t="shared" si="46"/>
        <v>49918.823865998427</v>
      </c>
      <c r="X32" s="31">
        <f t="shared" si="47"/>
        <v>11838.293531949314</v>
      </c>
      <c r="Y32" s="31">
        <f t="shared" si="48"/>
        <v>25934.16732067008</v>
      </c>
      <c r="Z32" s="31">
        <f t="shared" si="49"/>
        <v>22356.491909078166</v>
      </c>
      <c r="AA32" s="31">
        <f t="shared" si="73"/>
        <v>49918.823865998427</v>
      </c>
      <c r="AB32" s="31">
        <f t="shared" si="74"/>
        <v>11838.293531949314</v>
      </c>
      <c r="AC32" s="31">
        <f t="shared" si="75"/>
        <v>25934.16732067008</v>
      </c>
      <c r="AD32" s="31">
        <f t="shared" si="76"/>
        <v>22356.491909078166</v>
      </c>
      <c r="AE32" s="31">
        <f t="shared" si="51"/>
        <v>110047.77662769599</v>
      </c>
      <c r="AF32" s="31">
        <f>IFERROR(VLOOKUP(A32,'Allocations By Type'!$D$7:$F$491,3,FALSE),"")</f>
        <v>100149.88</v>
      </c>
      <c r="AG32" s="31">
        <f t="shared" si="52"/>
        <v>4401.9110651078399</v>
      </c>
      <c r="AH32" s="31">
        <f t="shared" si="53"/>
        <v>4401.9110651078399</v>
      </c>
      <c r="AI32" s="31">
        <f t="shared" si="54"/>
        <v>105645.86556258815</v>
      </c>
      <c r="AJ32" s="31">
        <f>AI32/$AI$577*'State Admin 1004(b)'!$B$30*0.01</f>
        <v>1005.378804358079</v>
      </c>
      <c r="AK32" s="31">
        <f t="shared" si="55"/>
        <v>104640.48675823006</v>
      </c>
      <c r="AL32" s="31">
        <f t="shared" si="56"/>
        <v>1046.4048675823008</v>
      </c>
      <c r="AM32" s="31">
        <f t="shared" si="57"/>
        <v>103594.08189064777</v>
      </c>
      <c r="AP32" s="31"/>
      <c r="AQ32" s="4">
        <f t="shared" si="58"/>
        <v>1.0343904744633519</v>
      </c>
      <c r="AR32" s="4">
        <f>VLOOKUP(B32,Allocation!$D$10:$P$235,13,FALSE)</f>
        <v>1.0849012037576078</v>
      </c>
      <c r="AS32" s="4">
        <f t="shared" si="77"/>
        <v>0.95</v>
      </c>
      <c r="AT32" s="4" t="str">
        <f t="shared" si="60"/>
        <v/>
      </c>
      <c r="AU32" s="31" t="str">
        <f t="shared" si="61"/>
        <v/>
      </c>
      <c r="AV32" s="31" t="str">
        <f t="shared" si="62"/>
        <v/>
      </c>
      <c r="AW32" s="31">
        <f t="shared" si="78"/>
        <v>99833.804037149093</v>
      </c>
      <c r="AX32" s="4">
        <f t="shared" si="63"/>
        <v>0.9968439706283132</v>
      </c>
      <c r="AY32" s="4" t="str">
        <f t="shared" si="64"/>
        <v/>
      </c>
      <c r="AZ32" s="174" t="str">
        <f>IFERROR(IF(VLOOKUP(A32,#REF!,11,FALSE)=0,"",VLOOKUP(A32,#REF!,11,FALSE)),"")</f>
        <v/>
      </c>
      <c r="BA32" s="31" t="str">
        <f t="shared" si="81"/>
        <v/>
      </c>
      <c r="BB32" s="31">
        <f t="shared" si="82"/>
        <v>99833.804037149093</v>
      </c>
      <c r="BD32" s="31">
        <f>IFERROR(VLOOKUP(A32,'Title II Hold Harmless'!A$1:B$439,2, FALSE),"")</f>
        <v>14022</v>
      </c>
      <c r="BE32" s="31">
        <f t="shared" si="79"/>
        <v>15675.837822275198</v>
      </c>
      <c r="BF32" s="31">
        <f t="shared" si="80"/>
        <v>15691.00513078658</v>
      </c>
      <c r="BG32" s="31" t="str">
        <f t="shared" si="67"/>
        <v/>
      </c>
      <c r="BH32" s="31">
        <f t="shared" si="68"/>
        <v>15691.00513078658</v>
      </c>
    </row>
    <row r="33" spans="1:60" x14ac:dyDescent="0.3">
      <c r="A33" s="1">
        <v>20221000</v>
      </c>
      <c r="B33">
        <f>VLOOKUP(C33,'NCES ID'!$A$2:$B$3136,2,FALSE)</f>
        <v>408020</v>
      </c>
      <c r="C33">
        <f>VLOOKUP(A33,'State ID'!$A$2:$B$713,2,FALSE)</f>
        <v>4173</v>
      </c>
      <c r="D33" s="147" t="s">
        <v>397</v>
      </c>
      <c r="E33" t="s">
        <v>54</v>
      </c>
      <c r="F33" s="47">
        <f>VLOOKUP(B33,'Formula counts'!$D$9:$L$234,9,FALSE)</f>
        <v>518</v>
      </c>
      <c r="G33" s="47">
        <f>VLOOKUP(B33,'Formula counts'!$D$9:$K$234,8,FALSE)</f>
        <v>102</v>
      </c>
      <c r="H33" s="4">
        <f>VLOOKUP(B33,'Formula counts'!$D$9:$M$234,10,FALSE)</f>
        <v>0.19691119691119691</v>
      </c>
      <c r="I33" s="47">
        <f>VLOOKUP($C33,'Final SEA Counts'!$A$2:$F$709,5,FALSE)</f>
        <v>351</v>
      </c>
      <c r="J33" s="47">
        <f>VLOOKUP($C33,'Final SEA Counts'!$A$2:$F$709,6,FALSE)</f>
        <v>270</v>
      </c>
      <c r="K33" s="24">
        <f t="shared" si="42"/>
        <v>465.53322226709906</v>
      </c>
      <c r="L33" s="24">
        <f t="shared" si="43"/>
        <v>87.060849607393578</v>
      </c>
      <c r="M33" s="4">
        <f t="shared" si="44"/>
        <v>0.18701318282595636</v>
      </c>
      <c r="N33" s="31">
        <f>IFERROR(VLOOKUP($B33,Allocation!$D$10:$O$235,8,FALSE),"")</f>
        <v>57329.717874790098</v>
      </c>
      <c r="O33" s="31">
        <f>IFERROR(VLOOKUP($B33,Allocation!$D$10:$O$235,9,FALSE),"")</f>
        <v>13574.983524267249</v>
      </c>
      <c r="P33" s="31">
        <f>IFERROR(VLOOKUP($B33,Allocation!$D$10:$O$235,10,FALSE),"")</f>
        <v>23965.964400588844</v>
      </c>
      <c r="Q33" s="31">
        <f>IFERROR(VLOOKUP($B33,Allocation!$D$10:$O$235,11,FALSE),"")</f>
        <v>20097.70545152836</v>
      </c>
      <c r="R33" s="31">
        <f>IFERROR(VLOOKUP($B33,Allocation!$D$10:$O$235,12,FALSE),"")</f>
        <v>114968.37125117454</v>
      </c>
      <c r="S33" s="31">
        <f t="shared" si="69"/>
        <v>48923.96050275999</v>
      </c>
      <c r="T33" s="31">
        <f t="shared" si="70"/>
        <v>11584.601885140539</v>
      </c>
      <c r="U33" s="31">
        <f t="shared" si="71"/>
        <v>20452.043708042645</v>
      </c>
      <c r="V33" s="31">
        <f t="shared" si="72"/>
        <v>17150.953888420434</v>
      </c>
      <c r="W33" s="31">
        <f t="shared" si="46"/>
        <v>48923.96050275999</v>
      </c>
      <c r="X33" s="31">
        <f t="shared" si="47"/>
        <v>11584.601885140539</v>
      </c>
      <c r="Y33" s="31">
        <f t="shared" si="48"/>
        <v>20452.043708042645</v>
      </c>
      <c r="Z33" s="31">
        <f t="shared" si="49"/>
        <v>17150.953888420434</v>
      </c>
      <c r="AA33" s="31">
        <f t="shared" si="73"/>
        <v>48923.96050275999</v>
      </c>
      <c r="AB33" s="31">
        <f t="shared" si="74"/>
        <v>11584.601885140539</v>
      </c>
      <c r="AC33" s="31">
        <f t="shared" si="75"/>
        <v>20452.043708042645</v>
      </c>
      <c r="AD33" s="31">
        <f t="shared" si="76"/>
        <v>17150.953888420434</v>
      </c>
      <c r="AE33" s="31">
        <f t="shared" si="51"/>
        <v>98111.559984363616</v>
      </c>
      <c r="AF33" s="31">
        <f>IFERROR(VLOOKUP(A33,'Allocations By Type'!$D$7:$F$491,3,FALSE),"")</f>
        <v>104184.85</v>
      </c>
      <c r="AG33" s="31" t="str">
        <f t="shared" si="52"/>
        <v/>
      </c>
      <c r="AH33" s="31" t="str">
        <f t="shared" si="53"/>
        <v/>
      </c>
      <c r="AI33" s="31">
        <f t="shared" si="54"/>
        <v>98111.559984363616</v>
      </c>
      <c r="AJ33" s="31">
        <f>AI33/$AI$577*'State Admin 1004(b)'!$B$30*0.01</f>
        <v>933.6785906907852</v>
      </c>
      <c r="AK33" s="31">
        <f t="shared" si="55"/>
        <v>97177.881393672826</v>
      </c>
      <c r="AL33" s="31">
        <f t="shared" si="56"/>
        <v>971.77881393672828</v>
      </c>
      <c r="AM33" s="31">
        <f t="shared" si="57"/>
        <v>96206.102579736093</v>
      </c>
      <c r="AP33" s="31"/>
      <c r="AQ33" s="4">
        <f t="shared" si="58"/>
        <v>0.92341739302533998</v>
      </c>
      <c r="AR33" s="4">
        <f>VLOOKUP(B33,Allocation!$D$10:$P$235,13,FALSE)</f>
        <v>0.89999999999999991</v>
      </c>
      <c r="AS33" s="4">
        <f t="shared" si="77"/>
        <v>0.9</v>
      </c>
      <c r="AT33" s="173" t="s">
        <v>1003</v>
      </c>
      <c r="AU33" s="31">
        <f t="shared" si="61"/>
        <v>-2439.7375797360874</v>
      </c>
      <c r="AV33" s="31">
        <f t="shared" si="62"/>
        <v>93766.365000000005</v>
      </c>
      <c r="AW33" s="31">
        <f t="shared" si="78"/>
        <v>93766.365000000005</v>
      </c>
      <c r="AX33" s="4">
        <f t="shared" si="63"/>
        <v>0.9</v>
      </c>
      <c r="AY33" s="4" t="str">
        <f t="shared" si="64"/>
        <v/>
      </c>
      <c r="AZ33" s="174" t="str">
        <f>IFERROR(IF(VLOOKUP(A33,#REF!,11,FALSE)=0,"",VLOOKUP(A33,#REF!,11,FALSE)),"")</f>
        <v/>
      </c>
      <c r="BA33" s="31" t="str">
        <f t="shared" si="81"/>
        <v/>
      </c>
      <c r="BB33" s="31">
        <f t="shared" si="82"/>
        <v>93766.365000000005</v>
      </c>
      <c r="BD33" s="31">
        <f>IFERROR(VLOOKUP(A33,'Title II Hold Harmless'!A$1:B$439,2, FALSE),"")</f>
        <v>13953</v>
      </c>
      <c r="BE33" s="31">
        <f t="shared" si="79"/>
        <v>15467.346101255473</v>
      </c>
      <c r="BF33" s="31">
        <f t="shared" si="80"/>
        <v>15482.311681585521</v>
      </c>
      <c r="BG33" s="31" t="str">
        <f t="shared" si="67"/>
        <v/>
      </c>
      <c r="BH33" s="31">
        <f t="shared" si="68"/>
        <v>15482.311681585521</v>
      </c>
    </row>
    <row r="34" spans="1:60" x14ac:dyDescent="0.3">
      <c r="A34" s="1">
        <v>20100000</v>
      </c>
      <c r="B34">
        <f>VLOOKUP(C34,'NCES ID'!$A$2:$B$3136,2,FALSE)</f>
        <v>403150</v>
      </c>
      <c r="C34">
        <f>VLOOKUP(A34,'State ID'!$A$2:$B$713,2,FALSE)</f>
        <v>4167</v>
      </c>
      <c r="D34" s="147" t="s">
        <v>168</v>
      </c>
      <c r="E34" t="s">
        <v>54</v>
      </c>
      <c r="F34" s="47">
        <f>VLOOKUP(B34,'Formula counts'!$D$9:$L$234,9,FALSE)</f>
        <v>685</v>
      </c>
      <c r="G34" s="47">
        <f>VLOOKUP(B34,'Formula counts'!$D$9:$K$234,8,FALSE)</f>
        <v>104</v>
      </c>
      <c r="H34" s="4">
        <f>VLOOKUP(B34,'Formula counts'!$D$9:$M$234,10,FALSE)</f>
        <v>0.15182481751824817</v>
      </c>
      <c r="I34" s="47">
        <f>VLOOKUP($C34,'Final SEA Counts'!$A$2:$F$709,5,FALSE)</f>
        <v>1038</v>
      </c>
      <c r="J34" s="47">
        <f>VLOOKUP($C34,'Final SEA Counts'!$A$2:$F$709,6,FALSE)</f>
        <v>352</v>
      </c>
      <c r="K34" s="24">
        <f t="shared" si="42"/>
        <v>615.61825724510209</v>
      </c>
      <c r="L34" s="24">
        <f t="shared" si="43"/>
        <v>88.767925089891506</v>
      </c>
      <c r="M34" s="4">
        <f t="shared" si="44"/>
        <v>0.14419313274939061</v>
      </c>
      <c r="N34" s="31">
        <f>IFERROR(VLOOKUP($B34,Allocation!$D$10:$O$235,8,FALSE),"")</f>
        <v>84624.323205997483</v>
      </c>
      <c r="O34" s="31">
        <f>IFERROR(VLOOKUP($B34,Allocation!$D$10:$O$235,9,FALSE),"")</f>
        <v>20639.514142504275</v>
      </c>
      <c r="P34" s="31">
        <f>IFERROR(VLOOKUP($B34,Allocation!$D$10:$O$235,10,FALSE),"")</f>
        <v>26739.327428002885</v>
      </c>
      <c r="Q34" s="31">
        <f>IFERROR(VLOOKUP($B34,Allocation!$D$10:$O$235,11,FALSE),"")</f>
        <v>22192.893294549838</v>
      </c>
      <c r="R34" s="31">
        <f>IFERROR(VLOOKUP($B34,Allocation!$D$10:$O$235,12,FALSE),"")</f>
        <v>154196.05807105446</v>
      </c>
      <c r="S34" s="31">
        <f t="shared" si="69"/>
        <v>72216.595503666176</v>
      </c>
      <c r="T34" s="31">
        <f t="shared" si="70"/>
        <v>17613.321888473231</v>
      </c>
      <c r="U34" s="31">
        <f t="shared" si="71"/>
        <v>22818.772661939773</v>
      </c>
      <c r="V34" s="31">
        <f t="shared" si="72"/>
        <v>18938.942580458301</v>
      </c>
      <c r="W34" s="31">
        <f t="shared" si="46"/>
        <v>72216.595503666176</v>
      </c>
      <c r="X34" s="31">
        <f t="shared" si="47"/>
        <v>17613.321888473231</v>
      </c>
      <c r="Y34" s="31">
        <f t="shared" si="48"/>
        <v>22818.772661939773</v>
      </c>
      <c r="Z34" s="31">
        <f t="shared" si="49"/>
        <v>18938.942580458301</v>
      </c>
      <c r="AA34" s="31">
        <f t="shared" si="73"/>
        <v>72216.595503666176</v>
      </c>
      <c r="AB34" s="31">
        <f t="shared" si="74"/>
        <v>17613.321888473231</v>
      </c>
      <c r="AC34" s="31">
        <f t="shared" si="75"/>
        <v>22818.772661939773</v>
      </c>
      <c r="AD34" s="31">
        <f t="shared" si="76"/>
        <v>18938.942580458301</v>
      </c>
      <c r="AE34" s="31">
        <f t="shared" si="51"/>
        <v>131587.63263453747</v>
      </c>
      <c r="AF34" s="31">
        <f>IFERROR(VLOOKUP(A34,'Allocations By Type'!$D$7:$F$491,3,FALSE),"")</f>
        <v>144464.54</v>
      </c>
      <c r="AG34" s="31" t="str">
        <f t="shared" si="52"/>
        <v/>
      </c>
      <c r="AH34" s="31" t="str">
        <f t="shared" si="53"/>
        <v/>
      </c>
      <c r="AI34" s="31">
        <f t="shared" si="54"/>
        <v>131587.63263453747</v>
      </c>
      <c r="AJ34" s="31">
        <f>AI34/$AI$577*'State Admin 1004(b)'!$B$30*0.01</f>
        <v>1252.2536122158533</v>
      </c>
      <c r="AK34" s="31">
        <f t="shared" si="55"/>
        <v>130335.37902232162</v>
      </c>
      <c r="AL34" s="31">
        <f t="shared" si="56"/>
        <v>1303.3537902232163</v>
      </c>
      <c r="AM34" s="31">
        <f t="shared" si="57"/>
        <v>129032.0252320984</v>
      </c>
      <c r="AP34" s="31"/>
      <c r="AQ34" s="4">
        <f t="shared" si="58"/>
        <v>0.89317437505493313</v>
      </c>
      <c r="AR34" s="4">
        <f>VLOOKUP(B34,Allocation!$D$10:$P$235,13,FALSE)</f>
        <v>0.89999999999999991</v>
      </c>
      <c r="AS34" s="4">
        <f t="shared" si="77"/>
        <v>0.85</v>
      </c>
      <c r="AT34" s="4" t="str">
        <f t="shared" si="60"/>
        <v/>
      </c>
      <c r="AU34" s="31" t="str">
        <f t="shared" si="61"/>
        <v/>
      </c>
      <c r="AV34" s="31" t="str">
        <f t="shared" si="62"/>
        <v/>
      </c>
      <c r="AW34" s="31">
        <f t="shared" si="78"/>
        <v>124348.39603227106</v>
      </c>
      <c r="AX34" s="4">
        <f t="shared" si="63"/>
        <v>0.86075376028104233</v>
      </c>
      <c r="AY34" s="4" t="str">
        <f t="shared" si="64"/>
        <v/>
      </c>
      <c r="AZ34" s="174" t="str">
        <f>IFERROR(IF(VLOOKUP(A34,#REF!,11,FALSE)=0,"",VLOOKUP(A34,#REF!,11,FALSE)),"")</f>
        <v/>
      </c>
      <c r="BA34" s="31" t="str">
        <f t="shared" si="81"/>
        <v/>
      </c>
      <c r="BB34" s="31">
        <f t="shared" si="82"/>
        <v>124348.39603227106</v>
      </c>
      <c r="BD34" s="31">
        <f>IFERROR(VLOOKUP(A34,'Title II Hold Harmless'!A$1:B$439,2, FALSE),"")</f>
        <v>22505</v>
      </c>
      <c r="BE34" s="31">
        <f t="shared" si="79"/>
        <v>24162.481257636988</v>
      </c>
      <c r="BF34" s="31">
        <f t="shared" si="80"/>
        <v>24185.859900092339</v>
      </c>
      <c r="BG34" s="31" t="str">
        <f t="shared" si="67"/>
        <v/>
      </c>
      <c r="BH34" s="31">
        <f t="shared" si="68"/>
        <v>24185.859900092339</v>
      </c>
    </row>
    <row r="35" spans="1:60" x14ac:dyDescent="0.3">
      <c r="A35" s="1">
        <v>20202000</v>
      </c>
      <c r="B35">
        <f>VLOOKUP(C35,'NCES ID'!$A$2:$B$3136,2,FALSE)</f>
        <v>401180</v>
      </c>
      <c r="C35">
        <f>VLOOKUP(A35,'State ID'!$A$2:$B$713,2,FALSE)</f>
        <v>4169</v>
      </c>
      <c r="D35" s="147" t="s">
        <v>71</v>
      </c>
      <c r="E35" t="s">
        <v>54</v>
      </c>
      <c r="F35" s="47">
        <f>VLOOKUP(B35,'Formula counts'!$D$9:$L$234,9,FALSE)</f>
        <v>787</v>
      </c>
      <c r="G35" s="47">
        <f>VLOOKUP(B35,'Formula counts'!$D$9:$K$234,8,FALSE)</f>
        <v>263</v>
      </c>
      <c r="H35" s="4">
        <f>VLOOKUP(B35,'Formula counts'!$D$9:$M$234,10,FALSE)</f>
        <v>0.33418043202033038</v>
      </c>
      <c r="I35" s="47">
        <f>VLOOKUP($C35,'Final SEA Counts'!$A$2:$F$709,5,FALSE)</f>
        <v>651</v>
      </c>
      <c r="J35" s="47">
        <f>VLOOKUP($C35,'Final SEA Counts'!$A$2:$F$709,6,FALSE)</f>
        <v>457</v>
      </c>
      <c r="K35" s="24">
        <f t="shared" si="42"/>
        <v>707.28696124364285</v>
      </c>
      <c r="L35" s="24">
        <f t="shared" si="43"/>
        <v>224.48042594847561</v>
      </c>
      <c r="M35" s="4">
        <f t="shared" si="44"/>
        <v>0.31738238967924032</v>
      </c>
      <c r="N35" s="31">
        <f>IFERROR(VLOOKUP($B35,Allocation!$D$10:$O$235,8,FALSE),"")</f>
        <v>153140.12601192846</v>
      </c>
      <c r="O35" s="31">
        <f>IFERROR(VLOOKUP($B35,Allocation!$D$10:$O$235,9,FALSE),"")</f>
        <v>36261.728900471237</v>
      </c>
      <c r="P35" s="31">
        <f>IFERROR(VLOOKUP($B35,Allocation!$D$10:$O$235,10,FALSE),"")</f>
        <v>95008.261496696796</v>
      </c>
      <c r="Q35" s="31">
        <f>IFERROR(VLOOKUP($B35,Allocation!$D$10:$O$235,11,FALSE),"")</f>
        <v>96949.736168430463</v>
      </c>
      <c r="R35" s="31">
        <f>IFERROR(VLOOKUP($B35,Allocation!$D$10:$O$235,12,FALSE),"")</f>
        <v>381359.852577527</v>
      </c>
      <c r="S35" s="31">
        <f t="shared" si="69"/>
        <v>130686.52269942306</v>
      </c>
      <c r="T35" s="31">
        <f t="shared" si="70"/>
        <v>30944.987316404804</v>
      </c>
      <c r="U35" s="31">
        <f t="shared" si="71"/>
        <v>81078.027333957216</v>
      </c>
      <c r="V35" s="31">
        <f t="shared" si="72"/>
        <v>82734.840478659171</v>
      </c>
      <c r="W35" s="31">
        <f t="shared" si="46"/>
        <v>130686.52269942306</v>
      </c>
      <c r="X35" s="31">
        <f t="shared" si="47"/>
        <v>30944.987316404804</v>
      </c>
      <c r="Y35" s="31">
        <f t="shared" si="48"/>
        <v>81078.027333957216</v>
      </c>
      <c r="Z35" s="31">
        <f t="shared" si="49"/>
        <v>82734.840478659171</v>
      </c>
      <c r="AA35" s="31">
        <f t="shared" si="73"/>
        <v>130686.52269942306</v>
      </c>
      <c r="AB35" s="31">
        <f t="shared" si="74"/>
        <v>30944.987316404804</v>
      </c>
      <c r="AC35" s="31">
        <f t="shared" si="75"/>
        <v>81078.027333957216</v>
      </c>
      <c r="AD35" s="31">
        <f t="shared" si="76"/>
        <v>82734.840478659171</v>
      </c>
      <c r="AE35" s="31">
        <f t="shared" si="51"/>
        <v>325444.37782844424</v>
      </c>
      <c r="AF35" s="31">
        <f>IFERROR(VLOOKUP(A35,'Allocations By Type'!$D$7:$F$491,3,FALSE),"")</f>
        <v>334682.32</v>
      </c>
      <c r="AG35" s="31" t="str">
        <f t="shared" si="52"/>
        <v/>
      </c>
      <c r="AH35" s="31" t="str">
        <f t="shared" si="53"/>
        <v/>
      </c>
      <c r="AI35" s="31">
        <f t="shared" si="54"/>
        <v>325444.37782844424</v>
      </c>
      <c r="AJ35" s="31">
        <f>AI35/$AI$577*'State Admin 1004(b)'!$B$30*0.01</f>
        <v>3097.0911897387891</v>
      </c>
      <c r="AK35" s="31">
        <f t="shared" si="55"/>
        <v>322347.28663870547</v>
      </c>
      <c r="AL35" s="31">
        <f t="shared" si="56"/>
        <v>3223.4728663870546</v>
      </c>
      <c r="AM35" s="31">
        <f t="shared" si="57"/>
        <v>319123.81377231842</v>
      </c>
      <c r="AP35" s="31"/>
      <c r="AQ35" s="4">
        <f t="shared" si="58"/>
        <v>0.95351261390897024</v>
      </c>
      <c r="AR35" s="4">
        <f>VLOOKUP(B35,Allocation!$D$10:$P$235,13,FALSE)</f>
        <v>0.95000000000000018</v>
      </c>
      <c r="AS35" s="4">
        <f t="shared" si="77"/>
        <v>0.95</v>
      </c>
      <c r="AT35" s="173" t="s">
        <v>1003</v>
      </c>
      <c r="AU35" s="31">
        <f t="shared" si="61"/>
        <v>-1175.6097723184503</v>
      </c>
      <c r="AV35" s="31">
        <f t="shared" si="62"/>
        <v>317948.20399999997</v>
      </c>
      <c r="AW35" s="31">
        <f t="shared" si="78"/>
        <v>317948.20399999997</v>
      </c>
      <c r="AX35" s="4">
        <f t="shared" si="63"/>
        <v>0.94999999999999984</v>
      </c>
      <c r="AY35" s="4" t="str">
        <f t="shared" si="64"/>
        <v/>
      </c>
      <c r="AZ35" s="174" t="str">
        <f>IFERROR(IF(VLOOKUP(A35,#REF!,11,FALSE)=0,"",VLOOKUP(A35,#REF!,11,FALSE)),"")</f>
        <v/>
      </c>
      <c r="BA35" s="31" t="str">
        <f t="shared" si="81"/>
        <v/>
      </c>
      <c r="BB35" s="31">
        <f t="shared" si="82"/>
        <v>317948.20399999997</v>
      </c>
      <c r="BD35" s="31">
        <f>IFERROR(VLOOKUP(A35,'Title II Hold Harmless'!A$1:B$439,2, FALSE),"")</f>
        <v>47087</v>
      </c>
      <c r="BE35" s="31">
        <f t="shared" si="79"/>
        <v>50594.824165442929</v>
      </c>
      <c r="BF35" s="31">
        <f t="shared" si="80"/>
        <v>50643.777676948768</v>
      </c>
      <c r="BG35" s="31" t="str">
        <f t="shared" si="67"/>
        <v/>
      </c>
      <c r="BH35" s="31">
        <f t="shared" si="68"/>
        <v>50643.777676948768</v>
      </c>
    </row>
    <row r="36" spans="1:60" x14ac:dyDescent="0.3">
      <c r="A36" s="1">
        <v>20201000</v>
      </c>
      <c r="B36">
        <f>VLOOKUP(C36,'NCES ID'!$A$2:$B$3136,2,FALSE)</f>
        <v>408600</v>
      </c>
      <c r="C36">
        <f>VLOOKUP(A36,'State ID'!$A$2:$B$713,2,FALSE)</f>
        <v>4168</v>
      </c>
      <c r="D36" s="147" t="s">
        <v>417</v>
      </c>
      <c r="E36" t="s">
        <v>54</v>
      </c>
      <c r="F36" s="47">
        <f>VLOOKUP(B36,'Formula counts'!$D$9:$L$234,9,FALSE)</f>
        <v>1051</v>
      </c>
      <c r="G36" s="47">
        <f>VLOOKUP(B36,'Formula counts'!$D$9:$K$234,8,FALSE)</f>
        <v>202</v>
      </c>
      <c r="H36" s="4">
        <f>VLOOKUP(B36,'Formula counts'!$D$9:$M$234,10,FALSE)</f>
        <v>0.19219790675547099</v>
      </c>
      <c r="I36" s="47">
        <f>VLOOKUP($C36,'Final SEA Counts'!$A$2:$F$709,5,FALSE)</f>
        <v>774</v>
      </c>
      <c r="J36" s="47">
        <f>VLOOKUP($C36,'Final SEA Counts'!$A$2:$F$709,6,FALSE)</f>
        <v>516</v>
      </c>
      <c r="K36" s="24">
        <f t="shared" si="42"/>
        <v>944.54713629868945</v>
      </c>
      <c r="L36" s="24">
        <f t="shared" si="43"/>
        <v>172.41462373228924</v>
      </c>
      <c r="M36" s="4">
        <f t="shared" si="44"/>
        <v>0.18253681272902342</v>
      </c>
      <c r="N36" s="31">
        <f>IFERROR(VLOOKUP($B36,Allocation!$D$10:$O$235,8,FALSE),"")</f>
        <v>116225.24304696481</v>
      </c>
      <c r="O36" s="31">
        <f>IFERROR(VLOOKUP($B36,Allocation!$D$10:$O$235,9,FALSE),"")</f>
        <v>27540.650989995254</v>
      </c>
      <c r="P36" s="31">
        <f>IFERROR(VLOOKUP($B36,Allocation!$D$10:$O$235,10,FALSE),"")</f>
        <v>45000.033802755264</v>
      </c>
      <c r="Q36" s="31">
        <f>IFERROR(VLOOKUP($B36,Allocation!$D$10:$O$235,11,FALSE),"")</f>
        <v>35846.294039615903</v>
      </c>
      <c r="R36" s="31">
        <f>IFERROR(VLOOKUP($B36,Allocation!$D$10:$O$235,12,FALSE),"")</f>
        <v>224612.22187933122</v>
      </c>
      <c r="S36" s="31">
        <f t="shared" si="69"/>
        <v>99184.147612102752</v>
      </c>
      <c r="T36" s="31">
        <f t="shared" si="70"/>
        <v>23502.605127023031</v>
      </c>
      <c r="U36" s="31">
        <f t="shared" si="71"/>
        <v>38402.070653778253</v>
      </c>
      <c r="V36" s="31">
        <f t="shared" si="72"/>
        <v>30590.464052077117</v>
      </c>
      <c r="W36" s="31">
        <f t="shared" si="46"/>
        <v>99184.147612102752</v>
      </c>
      <c r="X36" s="31">
        <f t="shared" si="47"/>
        <v>23502.605127023031</v>
      </c>
      <c r="Y36" s="31">
        <f t="shared" si="48"/>
        <v>38402.070653778253</v>
      </c>
      <c r="Z36" s="31">
        <f t="shared" si="49"/>
        <v>30590.464052077117</v>
      </c>
      <c r="AA36" s="31">
        <f t="shared" si="73"/>
        <v>99184.147612102752</v>
      </c>
      <c r="AB36" s="31">
        <f t="shared" si="74"/>
        <v>23502.605127023031</v>
      </c>
      <c r="AC36" s="31">
        <f t="shared" si="75"/>
        <v>38402.070653778253</v>
      </c>
      <c r="AD36" s="31">
        <f t="shared" si="76"/>
        <v>30590.464052077117</v>
      </c>
      <c r="AE36" s="31">
        <f t="shared" si="51"/>
        <v>191679.28744498114</v>
      </c>
      <c r="AF36" s="31">
        <f>IFERROR(VLOOKUP(A36,'Allocations By Type'!$D$7:$F$491,3,FALSE),"")</f>
        <v>195351.16</v>
      </c>
      <c r="AG36" s="31" t="str">
        <f t="shared" si="52"/>
        <v/>
      </c>
      <c r="AH36" s="31" t="str">
        <f t="shared" si="53"/>
        <v/>
      </c>
      <c r="AI36" s="31">
        <f t="shared" si="54"/>
        <v>191679.28744498114</v>
      </c>
      <c r="AJ36" s="31">
        <f>AI36/$AI$577*'State Admin 1004(b)'!$B$30*0.01</f>
        <v>1824.1158024066326</v>
      </c>
      <c r="AK36" s="31">
        <f t="shared" si="55"/>
        <v>189855.17164257451</v>
      </c>
      <c r="AL36" s="31">
        <f t="shared" si="56"/>
        <v>1898.5517164257451</v>
      </c>
      <c r="AM36" s="31">
        <f t="shared" si="57"/>
        <v>187956.61992614876</v>
      </c>
      <c r="AP36" s="31"/>
      <c r="AQ36" s="4">
        <f t="shared" si="58"/>
        <v>0.96214744732587598</v>
      </c>
      <c r="AR36" s="4">
        <f>VLOOKUP(B36,Allocation!$D$10:$P$235,13,FALSE)</f>
        <v>0.9</v>
      </c>
      <c r="AS36" s="4">
        <f t="shared" si="77"/>
        <v>0.9</v>
      </c>
      <c r="AT36" s="4" t="str">
        <f t="shared" si="60"/>
        <v/>
      </c>
      <c r="AU36" s="31" t="str">
        <f t="shared" si="61"/>
        <v/>
      </c>
      <c r="AV36" s="31" t="str">
        <f t="shared" si="62"/>
        <v/>
      </c>
      <c r="AW36" s="31">
        <f t="shared" si="78"/>
        <v>181134.13448655754</v>
      </c>
      <c r="AX36" s="4">
        <f t="shared" si="63"/>
        <v>0.92722323474586754</v>
      </c>
      <c r="AY36" s="4" t="str">
        <f t="shared" si="64"/>
        <v/>
      </c>
      <c r="AZ36" s="174" t="str">
        <f>IFERROR(IF(VLOOKUP(A36,#REF!,11,FALSE)=0,"",VLOOKUP(A36,#REF!,11,FALSE)),"")</f>
        <v/>
      </c>
      <c r="BA36" s="31" t="str">
        <f t="shared" si="81"/>
        <v/>
      </c>
      <c r="BB36" s="31">
        <f t="shared" si="82"/>
        <v>181134.13448655754</v>
      </c>
      <c r="BD36" s="31">
        <f>IFERROR(VLOOKUP(A36,'Title II Hold Harmless'!A$1:B$439,2, FALSE),"")</f>
        <v>31104</v>
      </c>
      <c r="BE36" s="31">
        <f t="shared" si="79"/>
        <v>34121.194692223282</v>
      </c>
      <c r="BF36" s="31">
        <f t="shared" si="80"/>
        <v>34154.208984189128</v>
      </c>
      <c r="BG36" s="31" t="str">
        <f t="shared" si="67"/>
        <v/>
      </c>
      <c r="BH36" s="31">
        <f t="shared" si="68"/>
        <v>34154.208984189128</v>
      </c>
    </row>
    <row r="37" spans="1:60" x14ac:dyDescent="0.3">
      <c r="A37" s="1">
        <v>20209000</v>
      </c>
      <c r="B37">
        <f>VLOOKUP(C37,'NCES ID'!$A$2:$B$3136,2,FALSE)</f>
        <v>400212</v>
      </c>
      <c r="C37">
        <f>VLOOKUP(A37,'State ID'!$A$2:$B$713,2,FALSE)</f>
        <v>79226</v>
      </c>
      <c r="D37" s="147" t="s">
        <v>68</v>
      </c>
      <c r="E37" t="s">
        <v>54</v>
      </c>
      <c r="F37" s="47">
        <f>VLOOKUP(B37,'Formula counts'!$D$9:$L$234,9,FALSE)</f>
        <v>1145</v>
      </c>
      <c r="G37" s="47">
        <f>VLOOKUP(B37,'Formula counts'!$D$9:$K$234,8,FALSE)</f>
        <v>311</v>
      </c>
      <c r="H37" s="4">
        <f>VLOOKUP(B37,'Formula counts'!$D$9:$M$234,10,FALSE)</f>
        <v>0.27161572052401745</v>
      </c>
      <c r="I37" s="47">
        <f>VLOOKUP($C37,'Final SEA Counts'!$A$2:$F$709,5,FALSE)</f>
        <v>1234</v>
      </c>
      <c r="J37" s="47">
        <f>VLOOKUP($C37,'Final SEA Counts'!$A$2:$F$709,6,FALSE)</f>
        <v>628</v>
      </c>
      <c r="K37" s="24">
        <f t="shared" si="42"/>
        <v>1029.0261380228349</v>
      </c>
      <c r="L37" s="24">
        <f t="shared" si="43"/>
        <v>265.45023752842553</v>
      </c>
      <c r="M37" s="4">
        <f t="shared" si="44"/>
        <v>0.25796258007445771</v>
      </c>
      <c r="N37" s="31">
        <f>IFERROR(VLOOKUP($B37,Allocation!$D$10:$O$235,8,FALSE),"")</f>
        <v>146710.5164724348</v>
      </c>
      <c r="O37" s="31">
        <f>IFERROR(VLOOKUP($B37,Allocation!$D$10:$O$235,9,FALSE),"")</f>
        <v>34792.529625433912</v>
      </c>
      <c r="P37" s="31">
        <f>IFERROR(VLOOKUP($B37,Allocation!$D$10:$O$235,10,FALSE),"")</f>
        <v>64386.691029973656</v>
      </c>
      <c r="Q37" s="31">
        <f>IFERROR(VLOOKUP($B37,Allocation!$D$10:$O$235,11,FALSE),"")</f>
        <v>51035.100318961522</v>
      </c>
      <c r="R37" s="31">
        <f>IFERROR(VLOOKUP($B37,Allocation!$D$10:$O$235,12,FALSE),"")</f>
        <v>296924.83744680387</v>
      </c>
      <c r="S37" s="31">
        <f t="shared" si="69"/>
        <v>125199.63082520575</v>
      </c>
      <c r="T37" s="31">
        <f t="shared" si="70"/>
        <v>29691.203939001905</v>
      </c>
      <c r="U37" s="31">
        <f t="shared" si="71"/>
        <v>54946.231128045227</v>
      </c>
      <c r="V37" s="31">
        <f t="shared" si="72"/>
        <v>43552.267912994837</v>
      </c>
      <c r="W37" s="31">
        <f t="shared" si="46"/>
        <v>125199.63082520575</v>
      </c>
      <c r="X37" s="31">
        <f t="shared" si="47"/>
        <v>29691.203939001905</v>
      </c>
      <c r="Y37" s="31">
        <f t="shared" si="48"/>
        <v>54946.231128045227</v>
      </c>
      <c r="Z37" s="31">
        <f t="shared" si="49"/>
        <v>43552.267912994837</v>
      </c>
      <c r="AA37" s="31">
        <f t="shared" si="73"/>
        <v>125199.63082520575</v>
      </c>
      <c r="AB37" s="31">
        <f t="shared" si="74"/>
        <v>29691.203939001905</v>
      </c>
      <c r="AC37" s="31">
        <f t="shared" si="75"/>
        <v>54946.231128045227</v>
      </c>
      <c r="AD37" s="31">
        <f t="shared" si="76"/>
        <v>43552.267912994837</v>
      </c>
      <c r="AE37" s="31">
        <f t="shared" si="51"/>
        <v>253389.33380524773</v>
      </c>
      <c r="AF37" s="31">
        <f>IFERROR(VLOOKUP(A37,'Allocations By Type'!$D$7:$F$491,3,FALSE),"")</f>
        <v>199070.01</v>
      </c>
      <c r="AG37" s="31">
        <f t="shared" si="52"/>
        <v>10135.573352209909</v>
      </c>
      <c r="AH37" s="31">
        <f t="shared" si="53"/>
        <v>10135.573352209909</v>
      </c>
      <c r="AI37" s="31">
        <f t="shared" si="54"/>
        <v>243253.76045303783</v>
      </c>
      <c r="AJ37" s="31">
        <f>AI37/$AI$577*'State Admin 1004(b)'!$B$30*0.01</f>
        <v>2314.9242380431347</v>
      </c>
      <c r="AK37" s="31">
        <f t="shared" si="55"/>
        <v>240938.83621499469</v>
      </c>
      <c r="AL37" s="31">
        <f t="shared" si="56"/>
        <v>2409.3883621499472</v>
      </c>
      <c r="AM37" s="31">
        <f t="shared" si="57"/>
        <v>238529.44785284475</v>
      </c>
      <c r="AP37" s="31"/>
      <c r="AQ37" s="4">
        <f t="shared" si="58"/>
        <v>1.1982188972253769</v>
      </c>
      <c r="AR37" s="4">
        <f>VLOOKUP(B37,Allocation!$D$10:$P$235,13,FALSE)</f>
        <v>1.2161716917179628</v>
      </c>
      <c r="AS37" s="4">
        <f t="shared" si="77"/>
        <v>0.9</v>
      </c>
      <c r="AT37" s="4" t="str">
        <f t="shared" si="60"/>
        <v/>
      </c>
      <c r="AU37" s="31" t="str">
        <f t="shared" si="61"/>
        <v/>
      </c>
      <c r="AV37" s="31" t="str">
        <f t="shared" si="62"/>
        <v/>
      </c>
      <c r="AW37" s="31">
        <f t="shared" si="78"/>
        <v>229871.26020545469</v>
      </c>
      <c r="AX37" s="4">
        <f t="shared" si="63"/>
        <v>1.1547257178791255</v>
      </c>
      <c r="AY37" s="4" t="str">
        <f t="shared" si="64"/>
        <v/>
      </c>
      <c r="AZ37" s="174" t="str">
        <f>IFERROR(IF(VLOOKUP(A37,#REF!,11,FALSE)=0,"",VLOOKUP(A37,#REF!,11,FALSE)),"")</f>
        <v/>
      </c>
      <c r="BA37" s="31" t="str">
        <f t="shared" si="81"/>
        <v/>
      </c>
      <c r="BB37" s="31">
        <f t="shared" si="82"/>
        <v>229871.26020545469</v>
      </c>
      <c r="BD37" s="31">
        <f>IFERROR(VLOOKUP(A37,'Title II Hold Harmless'!A$1:B$439,2, FALSE),"")</f>
        <v>23515</v>
      </c>
      <c r="BE37" s="31">
        <f t="shared" si="79"/>
        <v>27818.082159024776</v>
      </c>
      <c r="BF37" s="31">
        <f t="shared" si="80"/>
        <v>27844.997813491507</v>
      </c>
      <c r="BG37" s="31" t="str">
        <f t="shared" si="67"/>
        <v/>
      </c>
      <c r="BH37" s="31">
        <f t="shared" si="68"/>
        <v>27844.997813491507</v>
      </c>
    </row>
    <row r="38" spans="1:60" x14ac:dyDescent="0.3">
      <c r="A38" s="1">
        <v>20213000</v>
      </c>
      <c r="B38">
        <f>VLOOKUP(C38,'NCES ID'!$A$2:$B$3136,2,FALSE)</f>
        <v>409250</v>
      </c>
      <c r="C38">
        <f>VLOOKUP(A38,'State ID'!$A$2:$B$713,2,FALSE)</f>
        <v>4170</v>
      </c>
      <c r="D38" s="147" t="s">
        <v>443</v>
      </c>
      <c r="E38" t="s">
        <v>54</v>
      </c>
      <c r="F38" s="47">
        <f>VLOOKUP(B38,'Formula counts'!$D$9:$L$234,9,FALSE)</f>
        <v>1495</v>
      </c>
      <c r="G38" s="47">
        <f>VLOOKUP(B38,'Formula counts'!$D$9:$K$234,8,FALSE)</f>
        <v>343</v>
      </c>
      <c r="H38" s="4">
        <f>VLOOKUP(B38,'Formula counts'!$D$9:$M$234,10,FALSE)</f>
        <v>0.2294314381270903</v>
      </c>
      <c r="I38" s="47">
        <f>VLOOKUP($C38,'Final SEA Counts'!$A$2:$F$709,5,FALSE)</f>
        <v>1035</v>
      </c>
      <c r="J38" s="47">
        <f>VLOOKUP($C38,'Final SEA Counts'!$A$2:$F$709,6,FALSE)</f>
        <v>817</v>
      </c>
      <c r="K38" s="24">
        <f t="shared" si="42"/>
        <v>1343.5756125276316</v>
      </c>
      <c r="L38" s="24">
        <f t="shared" si="43"/>
        <v>292.76344524839215</v>
      </c>
      <c r="M38" s="4">
        <f t="shared" si="44"/>
        <v>0.21789874906826001</v>
      </c>
      <c r="N38" s="31">
        <f>IFERROR(VLOOKUP($B38,Allocation!$D$10:$O$235,8,FALSE),"")</f>
        <v>161806.13231525774</v>
      </c>
      <c r="O38" s="31">
        <f>IFERROR(VLOOKUP($B38,Allocation!$D$10:$O$235,9,FALSE),"")</f>
        <v>38372.468365028406</v>
      </c>
      <c r="P38" s="31">
        <f>IFERROR(VLOOKUP($B38,Allocation!$D$10:$O$235,10,FALSE),"")</f>
        <v>61700.171107179027</v>
      </c>
      <c r="Q38" s="31">
        <f>IFERROR(VLOOKUP($B38,Allocation!$D$10:$O$235,11,FALSE),"")</f>
        <v>53646.820255532431</v>
      </c>
      <c r="R38" s="31">
        <f>IFERROR(VLOOKUP($B38,Allocation!$D$10:$O$235,12,FALSE),"")</f>
        <v>315525.5920429976</v>
      </c>
      <c r="S38" s="31">
        <f t="shared" si="69"/>
        <v>138081.90795191508</v>
      </c>
      <c r="T38" s="31">
        <f t="shared" si="70"/>
        <v>32746.247431117863</v>
      </c>
      <c r="U38" s="31">
        <f t="shared" si="71"/>
        <v>52653.612230465078</v>
      </c>
      <c r="V38" s="31">
        <f t="shared" si="72"/>
        <v>45781.054095060696</v>
      </c>
      <c r="W38" s="31">
        <f t="shared" si="46"/>
        <v>138081.90795191508</v>
      </c>
      <c r="X38" s="31">
        <f t="shared" si="47"/>
        <v>32746.247431117863</v>
      </c>
      <c r="Y38" s="31">
        <f t="shared" si="48"/>
        <v>52653.612230465078</v>
      </c>
      <c r="Z38" s="31">
        <f t="shared" si="49"/>
        <v>45781.054095060696</v>
      </c>
      <c r="AA38" s="31">
        <f t="shared" si="73"/>
        <v>138081.90795191508</v>
      </c>
      <c r="AB38" s="31">
        <f t="shared" si="74"/>
        <v>32746.247431117863</v>
      </c>
      <c r="AC38" s="31">
        <f t="shared" si="75"/>
        <v>52653.612230465078</v>
      </c>
      <c r="AD38" s="31">
        <f t="shared" si="76"/>
        <v>45781.054095060696</v>
      </c>
      <c r="AE38" s="31">
        <f t="shared" si="51"/>
        <v>269262.82170855871</v>
      </c>
      <c r="AF38" s="31">
        <f>IFERROR(VLOOKUP(A38,'Allocations By Type'!$D$7:$F$491,3,FALSE),"")</f>
        <v>274652.40000000002</v>
      </c>
      <c r="AG38" s="31" t="str">
        <f t="shared" si="52"/>
        <v/>
      </c>
      <c r="AH38" s="31" t="str">
        <f t="shared" si="53"/>
        <v/>
      </c>
      <c r="AI38" s="31">
        <f t="shared" si="54"/>
        <v>269262.82170855871</v>
      </c>
      <c r="AJ38" s="31">
        <f>AI38/$AI$577*'State Admin 1004(b)'!$B$30*0.01</f>
        <v>2562.4394509509229</v>
      </c>
      <c r="AK38" s="31">
        <f t="shared" si="55"/>
        <v>266700.38225760777</v>
      </c>
      <c r="AL38" s="31">
        <f t="shared" si="56"/>
        <v>2667.0038225760777</v>
      </c>
      <c r="AM38" s="31">
        <f t="shared" si="57"/>
        <v>264033.37843503169</v>
      </c>
      <c r="AP38" s="31"/>
      <c r="AQ38" s="4">
        <f t="shared" si="58"/>
        <v>0.96133650547030236</v>
      </c>
      <c r="AR38" s="4">
        <f>VLOOKUP(B38,Allocation!$D$10:$P$235,13,FALSE)</f>
        <v>0.92952816975921182</v>
      </c>
      <c r="AS38" s="4">
        <f t="shared" si="77"/>
        <v>0.9</v>
      </c>
      <c r="AT38" s="4" t="str">
        <f t="shared" si="60"/>
        <v/>
      </c>
      <c r="AU38" s="31" t="str">
        <f t="shared" si="61"/>
        <v/>
      </c>
      <c r="AV38" s="31" t="str">
        <f t="shared" si="62"/>
        <v/>
      </c>
      <c r="AW38" s="31">
        <f t="shared" si="78"/>
        <v>254449.44422379258</v>
      </c>
      <c r="AX38" s="4">
        <f t="shared" si="63"/>
        <v>0.92644172861330376</v>
      </c>
      <c r="AY38" s="4" t="str">
        <f t="shared" si="64"/>
        <v/>
      </c>
      <c r="AZ38" s="174" t="str">
        <f>IFERROR(IF(VLOOKUP(A38,#REF!,11,FALSE)=0,"",VLOOKUP(A38,#REF!,11,FALSE)),"")</f>
        <v/>
      </c>
      <c r="BA38" s="31" t="str">
        <f t="shared" si="81"/>
        <v/>
      </c>
      <c r="BB38" s="31">
        <f t="shared" si="82"/>
        <v>254449.44422379258</v>
      </c>
      <c r="BD38" s="31">
        <f>IFERROR(VLOOKUP(A38,'Title II Hold Harmless'!A$1:B$439,2, FALSE),"")</f>
        <v>62953</v>
      </c>
      <c r="BE38" s="31">
        <f t="shared" si="79"/>
        <v>67866.779747777779</v>
      </c>
      <c r="BF38" s="31">
        <f t="shared" si="80"/>
        <v>67932.444906972392</v>
      </c>
      <c r="BG38" s="31" t="str">
        <f t="shared" si="67"/>
        <v/>
      </c>
      <c r="BH38" s="31">
        <f t="shared" si="68"/>
        <v>67932.444906972392</v>
      </c>
    </row>
    <row r="39" spans="1:60" x14ac:dyDescent="0.3">
      <c r="A39" s="1">
        <v>20349000</v>
      </c>
      <c r="B39">
        <f>VLOOKUP(C39,'NCES ID'!$A$2:$B$3136,2,FALSE)</f>
        <v>405880</v>
      </c>
      <c r="C39">
        <f>VLOOKUP(A39,'State ID'!$A$2:$B$713,2,FALSE)</f>
        <v>4180</v>
      </c>
      <c r="D39" s="147" t="s">
        <v>319</v>
      </c>
      <c r="E39" t="s">
        <v>54</v>
      </c>
      <c r="F39" s="47">
        <f>VLOOKUP(B39,'Formula counts'!$D$9:$L$234,9,FALSE)</f>
        <v>1648</v>
      </c>
      <c r="G39" s="47">
        <f>VLOOKUP(B39,'Formula counts'!$D$9:$K$234,8,FALSE)</f>
        <v>447</v>
      </c>
      <c r="H39" s="4">
        <f>VLOOKUP(B39,'Formula counts'!$D$9:$M$234,10,FALSE)</f>
        <v>0.27123786407766992</v>
      </c>
      <c r="I39" s="47">
        <f>VLOOKUP($C39,'Final SEA Counts'!$A$2:$F$709,5,FALSE)</f>
        <v>1052</v>
      </c>
      <c r="J39" s="47">
        <f>VLOOKUP($C39,'Final SEA Counts'!$A$2:$F$709,6,FALSE)</f>
        <v>545</v>
      </c>
      <c r="K39" s="24">
        <f t="shared" si="42"/>
        <v>1481.0786685254425</v>
      </c>
      <c r="L39" s="24">
        <f t="shared" si="43"/>
        <v>381.53137033828364</v>
      </c>
      <c r="M39" s="4">
        <f t="shared" si="44"/>
        <v>0.25760371710581392</v>
      </c>
      <c r="N39" s="31">
        <f>IFERROR(VLOOKUP($B39,Allocation!$D$10:$O$235,8,FALSE),"")</f>
        <v>222893.12091722415</v>
      </c>
      <c r="O39" s="31">
        <f>IFERROR(VLOOKUP($B39,Allocation!$D$10:$O$235,9,FALSE),"")</f>
        <v>52425.596348812396</v>
      </c>
      <c r="P39" s="31">
        <f>IFERROR(VLOOKUP($B39,Allocation!$D$10:$O$235,10,FALSE),"")</f>
        <v>110298.56283964151</v>
      </c>
      <c r="Q39" s="31">
        <f>IFERROR(VLOOKUP($B39,Allocation!$D$10:$O$235,11,FALSE),"")</f>
        <v>104917.60981126653</v>
      </c>
      <c r="R39" s="31">
        <f>IFERROR(VLOOKUP($B39,Allocation!$D$10:$O$235,12,FALSE),"")</f>
        <v>490534.88991694461</v>
      </c>
      <c r="S39" s="31">
        <f t="shared" si="69"/>
        <v>190212.24328903272</v>
      </c>
      <c r="T39" s="31">
        <f t="shared" si="70"/>
        <v>44738.887616797416</v>
      </c>
      <c r="U39" s="31">
        <f t="shared" si="71"/>
        <v>94126.444920998489</v>
      </c>
      <c r="V39" s="31">
        <f t="shared" si="72"/>
        <v>89534.454184145623</v>
      </c>
      <c r="W39" s="31">
        <f t="shared" si="46"/>
        <v>190212.24328903272</v>
      </c>
      <c r="X39" s="31">
        <f t="shared" si="47"/>
        <v>44738.887616797416</v>
      </c>
      <c r="Y39" s="31">
        <f t="shared" si="48"/>
        <v>94126.444920998489</v>
      </c>
      <c r="Z39" s="31">
        <f t="shared" si="49"/>
        <v>89534.454184145623</v>
      </c>
      <c r="AA39" s="31">
        <f t="shared" si="73"/>
        <v>190212.24328903272</v>
      </c>
      <c r="AB39" s="31">
        <f t="shared" si="74"/>
        <v>44738.887616797416</v>
      </c>
      <c r="AC39" s="31">
        <f t="shared" si="75"/>
        <v>94126.444920998489</v>
      </c>
      <c r="AD39" s="31">
        <f t="shared" si="76"/>
        <v>89534.454184145623</v>
      </c>
      <c r="AE39" s="31">
        <f t="shared" si="51"/>
        <v>418612.03001097421</v>
      </c>
      <c r="AF39" s="31">
        <f>IFERROR(VLOOKUP(A39,'Allocations By Type'!$D$7:$F$491,3,FALSE),"")</f>
        <v>459211.74</v>
      </c>
      <c r="AG39" s="31" t="str">
        <f t="shared" si="52"/>
        <v/>
      </c>
      <c r="AH39" s="31" t="str">
        <f t="shared" si="53"/>
        <v/>
      </c>
      <c r="AI39" s="31">
        <f t="shared" si="54"/>
        <v>418612.03001097421</v>
      </c>
      <c r="AJ39" s="31">
        <f>AI39/$AI$577*'State Admin 1004(b)'!$B$30*0.01</f>
        <v>3983.7210853557526</v>
      </c>
      <c r="AK39" s="31">
        <f t="shared" si="55"/>
        <v>414628.30892561848</v>
      </c>
      <c r="AL39" s="31">
        <f t="shared" si="56"/>
        <v>4146.2830892561851</v>
      </c>
      <c r="AM39" s="31">
        <f t="shared" si="57"/>
        <v>410482.02583636227</v>
      </c>
      <c r="AP39" s="31"/>
      <c r="AQ39" s="4">
        <f t="shared" si="58"/>
        <v>0.89388399747001734</v>
      </c>
      <c r="AR39" s="4">
        <f>VLOOKUP(B39,Allocation!$D$10:$P$235,13,FALSE)</f>
        <v>0.9</v>
      </c>
      <c r="AS39" s="4">
        <f t="shared" si="77"/>
        <v>0.9</v>
      </c>
      <c r="AT39" s="4" t="str">
        <f t="shared" si="60"/>
        <v>Review</v>
      </c>
      <c r="AU39" s="31">
        <f t="shared" si="61"/>
        <v>2808.5401636377792</v>
      </c>
      <c r="AV39" s="31">
        <f t="shared" si="62"/>
        <v>413290.56600000005</v>
      </c>
      <c r="AW39" s="31">
        <f t="shared" si="78"/>
        <v>413290.56600000005</v>
      </c>
      <c r="AX39" s="4">
        <f t="shared" si="63"/>
        <v>0.90000000000000013</v>
      </c>
      <c r="AY39" s="4" t="str">
        <f t="shared" si="64"/>
        <v/>
      </c>
      <c r="AZ39" s="174" t="str">
        <f>IFERROR(IF(VLOOKUP(A39,#REF!,11,FALSE)=0,"",VLOOKUP(A39,#REF!,11,FALSE)),"")</f>
        <v/>
      </c>
      <c r="BA39" s="31" t="str">
        <f t="shared" si="81"/>
        <v/>
      </c>
      <c r="BB39" s="31">
        <f t="shared" si="82"/>
        <v>413290.56600000005</v>
      </c>
      <c r="BD39" s="31">
        <f>IFERROR(VLOOKUP(A39,'Title II Hold Harmless'!A$1:B$439,2, FALSE),"")</f>
        <v>25968</v>
      </c>
      <c r="BE39" s="31">
        <f t="shared" si="79"/>
        <v>32154.474039909655</v>
      </c>
      <c r="BF39" s="31">
        <f t="shared" si="80"/>
        <v>32185.585412285014</v>
      </c>
      <c r="BG39" s="31" t="str">
        <f t="shared" si="67"/>
        <v/>
      </c>
      <c r="BH39" s="31">
        <f t="shared" si="68"/>
        <v>32185.585412285014</v>
      </c>
    </row>
    <row r="40" spans="1:60" x14ac:dyDescent="0.3">
      <c r="A40" s="1">
        <v>20227000</v>
      </c>
      <c r="B40">
        <f>VLOOKUP(C40,'NCES ID'!$A$2:$B$3136,2,FALSE)</f>
        <v>402530</v>
      </c>
      <c r="C40">
        <f>VLOOKUP(A40,'State ID'!$A$2:$B$713,2,FALSE)</f>
        <v>4174</v>
      </c>
      <c r="D40" s="147" t="s">
        <v>135</v>
      </c>
      <c r="E40" t="s">
        <v>54</v>
      </c>
      <c r="F40" s="47">
        <f>VLOOKUP(B40,'Formula counts'!$D$9:$L$234,9,FALSE)</f>
        <v>4327</v>
      </c>
      <c r="G40" s="47">
        <f>VLOOKUP(B40,'Formula counts'!$D$9:$K$234,8,FALSE)</f>
        <v>1788</v>
      </c>
      <c r="H40" s="4">
        <f>VLOOKUP(B40,'Formula counts'!$D$9:$M$234,10,FALSE)</f>
        <v>0.41321932054541255</v>
      </c>
      <c r="I40" s="47">
        <f>VLOOKUP($C40,'Final SEA Counts'!$A$2:$F$709,5,FALSE)</f>
        <v>3452</v>
      </c>
      <c r="J40" s="47">
        <f>VLOOKUP($C40,'Final SEA Counts'!$A$2:$F$709,6,FALSE)</f>
        <v>2996</v>
      </c>
      <c r="K40" s="24">
        <f t="shared" si="42"/>
        <v>3888.7302176635867</v>
      </c>
      <c r="L40" s="24">
        <f t="shared" si="43"/>
        <v>1526.1254813531345</v>
      </c>
      <c r="M40" s="4">
        <f t="shared" si="44"/>
        <v>0.39244827898348161</v>
      </c>
      <c r="N40" s="31">
        <f>IFERROR(VLOOKUP($B40,Allocation!$D$10:$O$235,8,FALSE),"")</f>
        <v>893389.3136671558</v>
      </c>
      <c r="O40" s="31">
        <f>IFERROR(VLOOKUP($B40,Allocation!$D$10:$O$235,9,FALSE),"")</f>
        <v>212858.24321127174</v>
      </c>
      <c r="P40" s="31">
        <f>IFERROR(VLOOKUP($B40,Allocation!$D$10:$O$235,10,FALSE),"")</f>
        <v>555485.69101670769</v>
      </c>
      <c r="Q40" s="31">
        <f>IFERROR(VLOOKUP($B40,Allocation!$D$10:$O$235,11,FALSE),"")</f>
        <v>618358.5087626779</v>
      </c>
      <c r="R40" s="31">
        <f>IFERROR(VLOOKUP($B40,Allocation!$D$10:$O$235,12,FALSE),"")</f>
        <v>2280091.7566578127</v>
      </c>
      <c r="S40" s="31">
        <f t="shared" si="69"/>
        <v>762399.41719057027</v>
      </c>
      <c r="T40" s="31">
        <f t="shared" si="70"/>
        <v>181648.69232915735</v>
      </c>
      <c r="U40" s="31">
        <f t="shared" si="71"/>
        <v>474039.66066088463</v>
      </c>
      <c r="V40" s="31">
        <f t="shared" si="72"/>
        <v>527693.9845635267</v>
      </c>
      <c r="W40" s="31">
        <f t="shared" si="46"/>
        <v>762399.41719057027</v>
      </c>
      <c r="X40" s="31">
        <f t="shared" si="47"/>
        <v>181648.69232915735</v>
      </c>
      <c r="Y40" s="31">
        <f t="shared" si="48"/>
        <v>474039.66066088463</v>
      </c>
      <c r="Z40" s="31">
        <f t="shared" si="49"/>
        <v>527693.9845635267</v>
      </c>
      <c r="AA40" s="31">
        <f t="shared" si="73"/>
        <v>762399.41719057027</v>
      </c>
      <c r="AB40" s="31">
        <f t="shared" si="74"/>
        <v>181648.69232915735</v>
      </c>
      <c r="AC40" s="31">
        <f t="shared" si="75"/>
        <v>474039.66066088463</v>
      </c>
      <c r="AD40" s="31">
        <f t="shared" si="76"/>
        <v>527693.9845635267</v>
      </c>
      <c r="AE40" s="31">
        <f t="shared" si="51"/>
        <v>1945781.754744139</v>
      </c>
      <c r="AF40" s="31">
        <f>IFERROR(VLOOKUP(A40,'Allocations By Type'!$D$7:$F$491,3,FALSE),"")</f>
        <v>2104097.17</v>
      </c>
      <c r="AG40" s="31" t="str">
        <f t="shared" si="52"/>
        <v/>
      </c>
      <c r="AH40" s="31" t="str">
        <f t="shared" si="53"/>
        <v/>
      </c>
      <c r="AI40" s="31">
        <f t="shared" si="54"/>
        <v>1945781.754744139</v>
      </c>
      <c r="AJ40" s="31">
        <f>AI40/$AI$577*'State Admin 1004(b)'!$B$30*0.01</f>
        <v>18517.030682733923</v>
      </c>
      <c r="AK40" s="31">
        <f t="shared" si="55"/>
        <v>1927264.7240614051</v>
      </c>
      <c r="AL40" s="31">
        <f t="shared" si="56"/>
        <v>19272.647240614049</v>
      </c>
      <c r="AM40" s="31">
        <f t="shared" si="57"/>
        <v>1907992.076820791</v>
      </c>
      <c r="AP40" s="31"/>
      <c r="AQ40" s="4">
        <f t="shared" si="58"/>
        <v>0.90679846160374389</v>
      </c>
      <c r="AR40" s="4">
        <f>VLOOKUP(B40,Allocation!$D$10:$P$235,13,FALSE)</f>
        <v>0.94999999999999984</v>
      </c>
      <c r="AS40" s="4">
        <f t="shared" si="77"/>
        <v>0.95</v>
      </c>
      <c r="AT40" s="4" t="str">
        <f t="shared" si="60"/>
        <v>Review</v>
      </c>
      <c r="AU40" s="31">
        <f t="shared" si="61"/>
        <v>90900.234679208836</v>
      </c>
      <c r="AV40" s="31">
        <f t="shared" si="62"/>
        <v>1998892.3114999998</v>
      </c>
      <c r="AW40" s="31">
        <f t="shared" si="78"/>
        <v>1998892.3114999998</v>
      </c>
      <c r="AX40" s="4">
        <f t="shared" si="63"/>
        <v>0.95</v>
      </c>
      <c r="AY40" s="4" t="str">
        <f t="shared" si="64"/>
        <v/>
      </c>
      <c r="AZ40" s="174" t="str">
        <f>IFERROR(IF(VLOOKUP(A40,#REF!,11,FALSE)=0,"",VLOOKUP(A40,#REF!,11,FALSE)),"")</f>
        <v/>
      </c>
      <c r="BA40" s="31" t="str">
        <f t="shared" si="81"/>
        <v/>
      </c>
      <c r="BB40" s="31">
        <f t="shared" si="82"/>
        <v>1998892.3114999998</v>
      </c>
      <c r="BD40" s="31">
        <f>IFERROR(VLOOKUP(A40,'Title II Hold Harmless'!A$1:B$439,2, FALSE),"")</f>
        <v>208823</v>
      </c>
      <c r="BE40" s="31">
        <f t="shared" si="79"/>
        <v>231930.65842116295</v>
      </c>
      <c r="BF40" s="31">
        <f t="shared" si="80"/>
        <v>232155.06517309573</v>
      </c>
      <c r="BG40" s="31" t="str">
        <f t="shared" si="67"/>
        <v/>
      </c>
      <c r="BH40" s="31">
        <f t="shared" si="68"/>
        <v>232155.06517309573</v>
      </c>
    </row>
    <row r="41" spans="1:60" x14ac:dyDescent="0.3">
      <c r="A41" s="1">
        <v>20268000</v>
      </c>
      <c r="B41">
        <f>VLOOKUP(C41,'NCES ID'!$A$2:$B$3136,2,FALSE)</f>
        <v>401460</v>
      </c>
      <c r="C41">
        <f>VLOOKUP(A41,'State ID'!$A$2:$B$713,2,FALSE)</f>
        <v>4175</v>
      </c>
      <c r="D41" s="147" t="s">
        <v>384</v>
      </c>
      <c r="E41" t="s">
        <v>54</v>
      </c>
      <c r="F41" s="47">
        <f>VLOOKUP(B41,'Formula counts'!$D$9:$L$234,9,FALSE)</f>
        <v>7226</v>
      </c>
      <c r="G41" s="47">
        <f>VLOOKUP(B41,'Formula counts'!$D$9:$K$234,8,FALSE)</f>
        <v>1434</v>
      </c>
      <c r="H41" s="4">
        <f>VLOOKUP(B41,'Formula counts'!$D$9:$M$234,10,FALSE)</f>
        <v>0.19845004151674508</v>
      </c>
      <c r="I41" s="47">
        <f>VLOOKUP($C41,'Final SEA Counts'!$A$2:$F$709,5,FALSE)</f>
        <v>5497</v>
      </c>
      <c r="J41" s="47">
        <f>VLOOKUP($C41,'Final SEA Counts'!$A$2:$F$709,6,FALSE)</f>
        <v>2381</v>
      </c>
      <c r="K41" s="24">
        <f t="shared" si="42"/>
        <v>6494.098579347602</v>
      </c>
      <c r="L41" s="24">
        <f t="shared" si="43"/>
        <v>1223.9731209510039</v>
      </c>
      <c r="M41" s="4">
        <f t="shared" si="44"/>
        <v>0.18847467527571232</v>
      </c>
      <c r="N41" s="31">
        <f>IFERROR(VLOOKUP($B41,Allocation!$D$10:$O$235,8,FALSE),"")</f>
        <v>676472.28495649982</v>
      </c>
      <c r="O41" s="31">
        <f>IFERROR(VLOOKUP($B41,Allocation!$D$10:$O$235,9,FALSE),"")</f>
        <v>160426.00476807792</v>
      </c>
      <c r="P41" s="31">
        <f>IFERROR(VLOOKUP($B41,Allocation!$D$10:$O$235,10,FALSE),"")</f>
        <v>256149.53967156709</v>
      </c>
      <c r="Q41" s="31">
        <f>IFERROR(VLOOKUP($B41,Allocation!$D$10:$O$235,11,FALSE),"")</f>
        <v>198558.01231806315</v>
      </c>
      <c r="R41" s="31">
        <f>IFERROR(VLOOKUP($B41,Allocation!$D$10:$O$235,12,FALSE),"")</f>
        <v>1291605.8417142078</v>
      </c>
      <c r="S41" s="31">
        <f t="shared" si="69"/>
        <v>577287.04374065914</v>
      </c>
      <c r="T41" s="31">
        <f t="shared" si="70"/>
        <v>136904.13649044611</v>
      </c>
      <c r="U41" s="31">
        <f t="shared" si="71"/>
        <v>218592.56291931972</v>
      </c>
      <c r="V41" s="31">
        <f t="shared" si="72"/>
        <v>169445.17978217977</v>
      </c>
      <c r="W41" s="31">
        <f t="shared" si="46"/>
        <v>577287.04374065914</v>
      </c>
      <c r="X41" s="31">
        <f t="shared" si="47"/>
        <v>136904.13649044611</v>
      </c>
      <c r="Y41" s="31">
        <f t="shared" si="48"/>
        <v>218592.56291931972</v>
      </c>
      <c r="Z41" s="31">
        <f t="shared" si="49"/>
        <v>169445.17978217977</v>
      </c>
      <c r="AA41" s="31">
        <f t="shared" si="73"/>
        <v>577287.04374065914</v>
      </c>
      <c r="AB41" s="31">
        <f t="shared" si="74"/>
        <v>136904.13649044611</v>
      </c>
      <c r="AC41" s="31">
        <f t="shared" si="75"/>
        <v>218592.56291931972</v>
      </c>
      <c r="AD41" s="31">
        <f t="shared" si="76"/>
        <v>169445.17978217977</v>
      </c>
      <c r="AE41" s="31">
        <f t="shared" si="51"/>
        <v>1102228.9229326048</v>
      </c>
      <c r="AF41" s="31">
        <f>IFERROR(VLOOKUP(A41,'Allocations By Type'!$D$7:$F$491,3,FALSE),"")</f>
        <v>932297.33</v>
      </c>
      <c r="AG41" s="31">
        <f t="shared" si="52"/>
        <v>44089.156917304193</v>
      </c>
      <c r="AH41" s="31">
        <f t="shared" si="53"/>
        <v>44089.156917304193</v>
      </c>
      <c r="AI41" s="31">
        <f t="shared" si="54"/>
        <v>1058139.7660153005</v>
      </c>
      <c r="AJ41" s="31">
        <f>AI41/$AI$577*'State Admin 1004(b)'!$B$30*0.01</f>
        <v>10069.786329403978</v>
      </c>
      <c r="AK41" s="31">
        <f t="shared" si="55"/>
        <v>1048069.9796858965</v>
      </c>
      <c r="AL41" s="31">
        <f t="shared" si="56"/>
        <v>10480.699796858966</v>
      </c>
      <c r="AM41" s="31">
        <f t="shared" si="57"/>
        <v>1037589.2798890376</v>
      </c>
      <c r="AP41" s="31"/>
      <c r="AQ41" s="4">
        <f t="shared" si="58"/>
        <v>1.1129381652192842</v>
      </c>
      <c r="AR41" s="4">
        <f>VLOOKUP(B41,Allocation!$D$10:$P$235,13,FALSE)</f>
        <v>1.0844197645229603</v>
      </c>
      <c r="AS41" s="4">
        <f t="shared" si="77"/>
        <v>0.9</v>
      </c>
      <c r="AT41" s="4" t="str">
        <f t="shared" si="60"/>
        <v/>
      </c>
      <c r="AU41" s="31" t="str">
        <f t="shared" si="61"/>
        <v/>
      </c>
      <c r="AV41" s="31" t="str">
        <f t="shared" si="62"/>
        <v/>
      </c>
      <c r="AW41" s="31">
        <f t="shared" si="78"/>
        <v>999926.66520113603</v>
      </c>
      <c r="AX41" s="4">
        <f t="shared" si="63"/>
        <v>1.0725405222399769</v>
      </c>
      <c r="AY41" s="4" t="str">
        <f t="shared" si="64"/>
        <v/>
      </c>
      <c r="AZ41" s="174" t="str">
        <f>IFERROR(IF(VLOOKUP(A41,#REF!,11,FALSE)=0,"",VLOOKUP(A41,#REF!,11,FALSE)),"")</f>
        <v/>
      </c>
      <c r="BA41" s="31" t="str">
        <f t="shared" si="81"/>
        <v/>
      </c>
      <c r="BB41" s="31">
        <f t="shared" si="82"/>
        <v>999926.66520113603</v>
      </c>
      <c r="BD41" s="31">
        <f>IFERROR(VLOOKUP(A41,'Title II Hold Harmless'!A$1:B$439,2, FALSE),"")</f>
        <v>152316</v>
      </c>
      <c r="BE41" s="31">
        <f t="shared" si="79"/>
        <v>173565.0803400648</v>
      </c>
      <c r="BF41" s="31">
        <f t="shared" si="80"/>
        <v>173733.01491237708</v>
      </c>
      <c r="BG41" s="31" t="str">
        <f t="shared" si="67"/>
        <v/>
      </c>
      <c r="BH41" s="31">
        <f t="shared" si="68"/>
        <v>173733.01491237708</v>
      </c>
    </row>
    <row r="42" spans="1:60" x14ac:dyDescent="0.3">
      <c r="A42" s="1">
        <v>20326000</v>
      </c>
      <c r="B42">
        <v>402130</v>
      </c>
      <c r="C42">
        <f>VLOOKUP(A42,'State ID'!$A$2:$B$713,2,FALSE)</f>
        <v>4177</v>
      </c>
      <c r="D42" s="147" t="s">
        <v>530</v>
      </c>
      <c r="E42" t="s">
        <v>54</v>
      </c>
      <c r="F42" s="47">
        <f>VLOOKUP(B42,'Formula counts'!$D$9:$L$234,9,FALSE)</f>
        <v>32</v>
      </c>
      <c r="G42" s="47">
        <f>VLOOKUP(B42,'Formula counts'!$D$9:$K$234,8,FALSE)</f>
        <v>8</v>
      </c>
      <c r="H42" s="4">
        <f>VLOOKUP(B42,'Formula counts'!$D$9:$M$234,10,FALSE)</f>
        <v>0.25</v>
      </c>
      <c r="I42" s="47">
        <f>VLOOKUP($C42,'Final SEA Counts'!$A$2:$F$709,5,FALSE)</f>
        <v>85</v>
      </c>
      <c r="J42" s="47">
        <f>VLOOKUP($C42,'Final SEA Counts'!$A$2:$F$709,6,FALSE)</f>
        <v>46</v>
      </c>
      <c r="K42" s="24">
        <f t="shared" si="42"/>
        <v>28.758809097581409</v>
      </c>
      <c r="L42" s="24">
        <f t="shared" si="43"/>
        <v>6.8283019299916532</v>
      </c>
      <c r="M42" s="4">
        <f t="shared" si="44"/>
        <v>0.23743340368589558</v>
      </c>
      <c r="N42" s="31">
        <f>IFERROR(VLOOKUP($B42,Allocation!$D$10:$O$235,8,FALSE),"")</f>
        <v>0</v>
      </c>
      <c r="O42" s="31">
        <f>IFERROR(VLOOKUP($B42,Allocation!$D$10:$O$235,9,FALSE),"")</f>
        <v>1469.6563359605575</v>
      </c>
      <c r="P42" s="31">
        <f>IFERROR(VLOOKUP($B42,Allocation!$D$10:$O$235,10,FALSE),"")</f>
        <v>0</v>
      </c>
      <c r="Q42" s="31">
        <f>IFERROR(VLOOKUP($B42,Allocation!$D$10:$O$235,11,FALSE),"")</f>
        <v>0</v>
      </c>
      <c r="R42" s="31">
        <f>IFERROR(VLOOKUP($B42,Allocation!$D$10:$O$235,12,FALSE),"")</f>
        <v>1469.6563359605575</v>
      </c>
      <c r="S42" s="31" t="str">
        <f t="shared" si="69"/>
        <v/>
      </c>
      <c r="T42" s="31">
        <f t="shared" si="70"/>
        <v>1254.1734234625089</v>
      </c>
      <c r="U42" s="31" t="str">
        <f t="shared" si="71"/>
        <v/>
      </c>
      <c r="V42" s="31" t="str">
        <f t="shared" si="72"/>
        <v/>
      </c>
      <c r="W42" s="31" t="str">
        <f t="shared" si="46"/>
        <v/>
      </c>
      <c r="X42" s="31">
        <f t="shared" si="47"/>
        <v>1254.1734234625089</v>
      </c>
      <c r="Y42" s="31" t="str">
        <f t="shared" si="48"/>
        <v/>
      </c>
      <c r="Z42" s="31" t="str">
        <f t="shared" si="49"/>
        <v/>
      </c>
      <c r="AA42" s="31" t="str">
        <f t="shared" si="73"/>
        <v/>
      </c>
      <c r="AB42" s="31">
        <f t="shared" si="74"/>
        <v>1254.1734234625089</v>
      </c>
      <c r="AC42" s="31" t="str">
        <f t="shared" si="75"/>
        <v/>
      </c>
      <c r="AD42" s="31" t="str">
        <f t="shared" si="76"/>
        <v/>
      </c>
      <c r="AE42" s="31">
        <f t="shared" si="51"/>
        <v>1254.1734234625089</v>
      </c>
      <c r="AF42" s="31">
        <f>IFERROR(VLOOKUP(A42,'Allocations By Type'!$D$7:$F$491,3,FALSE),"")</f>
        <v>14357</v>
      </c>
      <c r="AG42" s="31" t="str">
        <f t="shared" si="52"/>
        <v/>
      </c>
      <c r="AH42" s="31" t="str">
        <f t="shared" si="53"/>
        <v/>
      </c>
      <c r="AI42" s="31">
        <f t="shared" si="54"/>
        <v>1254.1734234625089</v>
      </c>
      <c r="AJ42" s="31">
        <f>AI42/$AI$577*'State Admin 1004(b)'!$B$30*0.01</f>
        <v>11.935340490834497</v>
      </c>
      <c r="AK42" s="31">
        <f t="shared" si="55"/>
        <v>1242.2380829716744</v>
      </c>
      <c r="AL42" s="31">
        <f t="shared" si="56"/>
        <v>12.422380829716744</v>
      </c>
      <c r="AM42" s="31">
        <f t="shared" si="57"/>
        <v>1229.8157021419577</v>
      </c>
      <c r="AP42" s="31"/>
      <c r="AQ42" s="4">
        <f t="shared" si="58"/>
        <v>8.5659657459215555E-2</v>
      </c>
      <c r="AR42" s="4">
        <f>VLOOKUP(B42,Allocation!$D$10:$P$235,13,FALSE)</f>
        <v>8.3487371240558966E-2</v>
      </c>
      <c r="AS42" s="4">
        <f t="shared" si="77"/>
        <v>0.9</v>
      </c>
      <c r="AT42" s="4" t="str">
        <f t="shared" si="60"/>
        <v>Review</v>
      </c>
      <c r="AU42" s="31">
        <f t="shared" si="61"/>
        <v>11691.484297858044</v>
      </c>
      <c r="AV42" s="31">
        <f t="shared" si="62"/>
        <v>12921.300000000001</v>
      </c>
      <c r="AW42" s="31">
        <f t="shared" si="78"/>
        <v>12921.300000000001</v>
      </c>
      <c r="AX42" s="4">
        <f t="shared" si="63"/>
        <v>0.9</v>
      </c>
      <c r="AY42" s="4" t="str">
        <f>IF(AX42&lt;AS42,CONCATENATE(ROUND((AS42-AX42)*100,2),"% Adjustment"),"")</f>
        <v/>
      </c>
      <c r="AZ42" s="174" t="str">
        <f>IFERROR(IF(VLOOKUP(A42,#REF!,11,FALSE)=0,"",VLOOKUP(A42,#REF!,11,FALSE)),"")</f>
        <v/>
      </c>
      <c r="BA42" s="31" t="str">
        <f t="shared" si="81"/>
        <v/>
      </c>
      <c r="BB42" s="31">
        <f t="shared" si="82"/>
        <v>12921.300000000001</v>
      </c>
      <c r="BD42" s="31">
        <f>IFERROR(VLOOKUP(A42,'Title II Hold Harmless'!A$1:B$439,2, FALSE),"")</f>
        <v>1125</v>
      </c>
      <c r="BE42" s="31">
        <f t="shared" si="79"/>
        <v>1237.5321479673228</v>
      </c>
      <c r="BF42" s="31">
        <f t="shared" si="80"/>
        <v>1238.7295341672682</v>
      </c>
      <c r="BG42" s="31" t="str">
        <f t="shared" si="67"/>
        <v/>
      </c>
      <c r="BH42" s="31">
        <f t="shared" si="68"/>
        <v>1238.7295341672682</v>
      </c>
    </row>
    <row r="43" spans="1:60" x14ac:dyDescent="0.3">
      <c r="A43" s="1"/>
      <c r="B43">
        <v>481003</v>
      </c>
      <c r="D43" s="147" t="s">
        <v>877</v>
      </c>
      <c r="E43" t="s">
        <v>54</v>
      </c>
      <c r="F43" s="47">
        <f>VLOOKUP(B43,'Formula counts'!$D$9:$L$234,9,FALSE)</f>
        <v>5</v>
      </c>
      <c r="G43" s="47">
        <f>VLOOKUP(B43,'Formula counts'!$D$9:$K$234,8,FALSE)</f>
        <v>1</v>
      </c>
      <c r="H43" s="4">
        <f>VLOOKUP(B43,'Formula counts'!$D$9:$M$234,10,FALSE)</f>
        <v>0.2</v>
      </c>
      <c r="N43" s="31">
        <f>IFERROR(VLOOKUP($B43,Allocation!$D$10:$O$235,8,FALSE),"")</f>
        <v>0</v>
      </c>
      <c r="O43" s="31">
        <f>IFERROR(VLOOKUP($B43,Allocation!$D$10:$O$235,9,FALSE),"")</f>
        <v>0</v>
      </c>
      <c r="P43" s="31">
        <f>IFERROR(VLOOKUP($B43,Allocation!$D$10:$O$235,10,FALSE),"")</f>
        <v>0</v>
      </c>
      <c r="Q43" s="31">
        <f>IFERROR(VLOOKUP($B43,Allocation!$D$10:$O$235,11,FALSE),"")</f>
        <v>0</v>
      </c>
      <c r="R43" s="31">
        <f>IFERROR(VLOOKUP($B43,Allocation!$D$10:$O$235,12,FALSE),"")</f>
        <v>0</v>
      </c>
      <c r="S43" s="31" t="str">
        <f>IF(N43=0,"",N43-(N43/(N$50-N$43)*S$49)-(N43/(N$50-N$43)*N$43))</f>
        <v/>
      </c>
      <c r="T43" s="31" t="str">
        <f>IF(O43=0,"",O43-(O43/(O$50-O$43)*T$49)-(O43/(O$50-O$43)*O$43))</f>
        <v/>
      </c>
      <c r="U43" s="31" t="str">
        <f>IF(P43=0,"",P43-(P43/(P$50-P$43)*U$49)-(P43/(P$50-P$43)*P$43))</f>
        <v/>
      </c>
      <c r="V43" s="31" t="str">
        <f>IF(Q43=0,"",Q43-(Q43/(Q$50-Q$43)*V$49)-(Q43/(Q$50-Q$43)*Q$43))</f>
        <v/>
      </c>
      <c r="AF43" s="31" t="str">
        <f>IFERROR(VLOOKUP(A43,'Allocations By Type'!$D$7:$F$491,3,FALSE),"")</f>
        <v/>
      </c>
      <c r="AQ43" s="4" t="str">
        <f t="shared" si="58"/>
        <v/>
      </c>
      <c r="AZ43" s="174" t="str">
        <f>IFERROR(IF(VLOOKUP(A43,#REF!,11,FALSE)=0,"",VLOOKUP(A43,#REF!,11,FALSE)),"")</f>
        <v/>
      </c>
      <c r="BA43" s="31" t="str">
        <f t="shared" si="81"/>
        <v/>
      </c>
      <c r="BD43" s="31" t="str">
        <f>IFERROR(VLOOKUP(A43,'Title II Hold Harmless'!A$1:B$439,2, FALSE),"")</f>
        <v/>
      </c>
      <c r="BE43" s="31">
        <f t="shared" si="79"/>
        <v>0</v>
      </c>
      <c r="BF43" s="31">
        <f t="shared" si="80"/>
        <v>0</v>
      </c>
      <c r="BG43" s="31" t="str">
        <f t="shared" si="67"/>
        <v/>
      </c>
      <c r="BH43" s="31">
        <f t="shared" si="68"/>
        <v>0</v>
      </c>
    </row>
    <row r="44" spans="1:60" x14ac:dyDescent="0.3">
      <c r="A44" s="1">
        <v>28750000</v>
      </c>
      <c r="B44">
        <f>VLOOKUP(C44,'NCES ID'!$A$2:$B$3136,2,FALSE)</f>
        <v>400016</v>
      </c>
      <c r="C44">
        <f>VLOOKUP(A44,'State ID'!$A$2:$B$713,2,FALSE)</f>
        <v>4191</v>
      </c>
      <c r="D44" s="147" t="s">
        <v>98</v>
      </c>
      <c r="E44" t="s">
        <v>54</v>
      </c>
      <c r="I44" s="47">
        <f>VLOOKUP($C44,'Final SEA Counts'!$A$2:$F$709,5,FALSE)</f>
        <v>1147</v>
      </c>
      <c r="J44" s="47">
        <f>VLOOKUP($C44,'Final SEA Counts'!$A$2:$F$709,6,FALSE)</f>
        <v>971</v>
      </c>
      <c r="K44" s="24">
        <f>I44</f>
        <v>1147</v>
      </c>
      <c r="L44" s="24">
        <f>J44*$B$50</f>
        <v>456.45705608900607</v>
      </c>
      <c r="M44" s="4">
        <f>L44/K44</f>
        <v>0.39795732876112128</v>
      </c>
      <c r="N44" s="31" t="str">
        <f>IFERROR(VLOOKUP($B44,#REF!,8,FALSE),"")</f>
        <v/>
      </c>
      <c r="O44" s="31" t="str">
        <f>IFERROR(VLOOKUP($B44,#REF!,9,FALSE),"")</f>
        <v/>
      </c>
      <c r="P44" s="31" t="str">
        <f>IFERROR(VLOOKUP($B44,#REF!,10,FALSE),"")</f>
        <v/>
      </c>
      <c r="Q44" s="31" t="str">
        <f>IFERROR(VLOOKUP($B44,#REF!,11,FALSE),"")</f>
        <v/>
      </c>
      <c r="R44" s="31" t="str">
        <f>IFERROR(VLOOKUP($B44,#REF!,12,FALSE),"")</f>
        <v/>
      </c>
      <c r="S44" s="31">
        <f t="shared" ref="S44:V48" si="83">$L44*N$51</f>
        <v>230552.20500228109</v>
      </c>
      <c r="T44" s="31">
        <f t="shared" si="83"/>
        <v>54937.651536221994</v>
      </c>
      <c r="U44" s="31">
        <f t="shared" si="83"/>
        <v>113715.46841179948</v>
      </c>
      <c r="V44" s="31">
        <f t="shared" si="83"/>
        <v>109660.26109355959</v>
      </c>
      <c r="W44" s="31">
        <f>IF(AND($L44&gt;9,$L44&gt;($K44*0.02)),S44,"")</f>
        <v>230552.20500228109</v>
      </c>
      <c r="X44" s="31">
        <f>IF(W44="","",IF(OR($L44&gt;6500,$L44&gt;($K44*0.15)),T44,""))</f>
        <v>54937.651536221994</v>
      </c>
      <c r="Y44" s="31">
        <f t="shared" ref="Y44:Z47" si="84">IF(AND($L44&gt;9,$L44&gt;($K44*0.05)),U44,"")</f>
        <v>113715.46841179948</v>
      </c>
      <c r="Z44" s="31">
        <f t="shared" si="84"/>
        <v>109660.26109355959</v>
      </c>
      <c r="AA44" s="31">
        <f t="shared" ref="AA44:AD48" si="85">IF(W44="","",W44+W$51)</f>
        <v>230552.20500228109</v>
      </c>
      <c r="AB44" s="31">
        <f t="shared" si="85"/>
        <v>54937.651536221994</v>
      </c>
      <c r="AC44" s="31">
        <f t="shared" si="85"/>
        <v>113715.46841179948</v>
      </c>
      <c r="AD44" s="31">
        <f t="shared" si="85"/>
        <v>109660.26109355959</v>
      </c>
      <c r="AE44" s="31">
        <f>SUM(AA44:AD44)</f>
        <v>508865.58604386216</v>
      </c>
      <c r="AF44" s="31">
        <f>IFERROR(VLOOKUP(A44,'Allocations By Type'!$D$7:$F$491,3,FALSE),"")</f>
        <v>459288.44</v>
      </c>
      <c r="AG44" s="31">
        <f>IF(AE44&gt;AF44,AE44*0.04,"")</f>
        <v>20354.623441754487</v>
      </c>
      <c r="AH44" s="31">
        <f>IF(AG44="","",IF((AE44-AF44)&gt;AG44,AG44,AE44-AF44))</f>
        <v>20354.623441754487</v>
      </c>
      <c r="AI44" s="31">
        <f>IF(AH44="",AE44,AE44-AH44)</f>
        <v>488510.96260210767</v>
      </c>
      <c r="AJ44" s="31">
        <f>AI44/$AI$577*'State Admin 1004(b)'!$B$30*0.01</f>
        <v>4648.9142275591885</v>
      </c>
      <c r="AK44" s="31">
        <f>AI44-AJ44</f>
        <v>483862.0483745485</v>
      </c>
      <c r="AL44" s="31">
        <f>AK44*0.01</f>
        <v>4838.6204837454852</v>
      </c>
      <c r="AM44" s="31">
        <f>AK44-AL44</f>
        <v>479023.42789080302</v>
      </c>
      <c r="AP44" s="31"/>
      <c r="AQ44" s="4">
        <f>IFERROR(AM44/AF44,"")</f>
        <v>1.0429686144306245</v>
      </c>
      <c r="AW44" s="31">
        <f>IF(AV44="",AM44-AM44/($AM$50-$AV$50+$AU$50)*$AU$50,AV44)</f>
        <v>461635.74362997635</v>
      </c>
      <c r="AX44" s="4">
        <f t="shared" ref="AX44:AX47" si="86">IFERROR(AW44/AF44,"")</f>
        <v>1.0051107396257923</v>
      </c>
      <c r="AZ44" s="174" t="str">
        <f>IFERROR(IF(VLOOKUP(A44,#REF!,11,FALSE)=0,"",VLOOKUP(A44,#REF!,11,FALSE)),"")</f>
        <v/>
      </c>
      <c r="BA44" s="31" t="str">
        <f t="shared" si="81"/>
        <v/>
      </c>
      <c r="BB44" s="31">
        <f t="shared" ref="BB44:BB47" si="87">IF(BA44&lt;0,AW44+BA44,AW44)</f>
        <v>461635.74362997635</v>
      </c>
      <c r="BD44" s="31">
        <f>IFERROR(VLOOKUP(A44,'Title II Hold Harmless'!A$1:B$439,2, FALSE),"")</f>
        <v>14326</v>
      </c>
      <c r="BE44" s="31">
        <f t="shared" si="79"/>
        <v>21224.435278559355</v>
      </c>
      <c r="BF44" s="31">
        <f t="shared" si="80"/>
        <v>21244.971186209044</v>
      </c>
      <c r="BG44" s="31" t="str">
        <f t="shared" si="67"/>
        <v/>
      </c>
      <c r="BH44" s="31">
        <f t="shared" si="68"/>
        <v>21244.971186209044</v>
      </c>
    </row>
    <row r="45" spans="1:60" x14ac:dyDescent="0.3">
      <c r="A45" s="1">
        <v>28701000</v>
      </c>
      <c r="B45">
        <f>VLOOKUP(C45,'NCES ID'!$A$2:$B$3136,2,FALSE)</f>
        <v>400632</v>
      </c>
      <c r="C45">
        <f>VLOOKUP(A45,'State ID'!$A$2:$B$713,2,FALSE)</f>
        <v>81027</v>
      </c>
      <c r="D45" s="147" t="s">
        <v>108</v>
      </c>
      <c r="E45" t="s">
        <v>54</v>
      </c>
      <c r="I45" s="47">
        <f>VLOOKUP($C45,'Final SEA Counts'!$A$2:$F$709,5,FALSE)</f>
        <v>359</v>
      </c>
      <c r="J45" s="47">
        <f>VLOOKUP($C45,'Final SEA Counts'!$A$2:$F$709,6,FALSE)</f>
        <v>238</v>
      </c>
      <c r="K45" s="24">
        <f>I45</f>
        <v>359</v>
      </c>
      <c r="L45" s="24">
        <f>J45*$B$50</f>
        <v>111.88133815569871</v>
      </c>
      <c r="M45" s="4">
        <f>L45/K45</f>
        <v>0.311647181492197</v>
      </c>
      <c r="N45" s="31" t="str">
        <f>IFERROR(VLOOKUP($B45,#REF!,8,FALSE),"")</f>
        <v/>
      </c>
      <c r="O45" s="31" t="str">
        <f>IFERROR(VLOOKUP($B45,#REF!,9,FALSE),"")</f>
        <v/>
      </c>
      <c r="P45" s="31" t="str">
        <f>IFERROR(VLOOKUP($B45,#REF!,10,FALSE),"")</f>
        <v/>
      </c>
      <c r="Q45" s="31" t="str">
        <f>IFERROR(VLOOKUP($B45,#REF!,11,FALSE),"")</f>
        <v/>
      </c>
      <c r="R45" s="31" t="str">
        <f>IFERROR(VLOOKUP($B45,#REF!,12,FALSE),"")</f>
        <v/>
      </c>
      <c r="S45" s="31">
        <f t="shared" si="83"/>
        <v>56510.221205502479</v>
      </c>
      <c r="T45" s="31">
        <f t="shared" si="83"/>
        <v>13465.665361092517</v>
      </c>
      <c r="U45" s="31">
        <f t="shared" si="83"/>
        <v>27872.586490224796</v>
      </c>
      <c r="V45" s="31">
        <f t="shared" si="83"/>
        <v>26878.622183591331</v>
      </c>
      <c r="W45" s="31">
        <f>IF(AND($L45&gt;9,$L45&gt;($K45*0.02)),S45,"")</f>
        <v>56510.221205502479</v>
      </c>
      <c r="X45" s="31">
        <f>IF(W45="","",IF(OR($L45&gt;6500,$L45&gt;($K45*0.15)),T45,""))</f>
        <v>13465.665361092517</v>
      </c>
      <c r="Y45" s="31">
        <f t="shared" si="84"/>
        <v>27872.586490224796</v>
      </c>
      <c r="Z45" s="31">
        <f t="shared" si="84"/>
        <v>26878.622183591331</v>
      </c>
      <c r="AA45" s="31">
        <f t="shared" si="85"/>
        <v>56510.221205502479</v>
      </c>
      <c r="AB45" s="31">
        <f t="shared" si="85"/>
        <v>13465.665361092517</v>
      </c>
      <c r="AC45" s="31">
        <f t="shared" si="85"/>
        <v>27872.586490224796</v>
      </c>
      <c r="AD45" s="31">
        <f t="shared" si="85"/>
        <v>26878.622183591331</v>
      </c>
      <c r="AE45" s="31">
        <f>SUM(AA45:AD45)</f>
        <v>124727.09524041113</v>
      </c>
      <c r="AF45" s="31">
        <f>IFERROR(VLOOKUP(A45,'Allocations By Type'!$D$7:$F$491,3,FALSE),"")</f>
        <v>105034.39</v>
      </c>
      <c r="AG45" s="31">
        <f>IF(AE45&gt;AF45,AE45*0.04,"")</f>
        <v>4989.0838096164453</v>
      </c>
      <c r="AH45" s="31">
        <f>IF(AG45="","",IF((AE45-AF45)&gt;AG45,AG45,AE45-AF45))</f>
        <v>4989.0838096164453</v>
      </c>
      <c r="AI45" s="31">
        <f>IF(AH45="",AE45,AE45-AH45)</f>
        <v>119738.01143079468</v>
      </c>
      <c r="AJ45" s="31">
        <f>AI45/$AI$577*'State Admin 1004(b)'!$B$30*0.01</f>
        <v>1139.4867004727982</v>
      </c>
      <c r="AK45" s="31">
        <f>AI45-AJ45</f>
        <v>118598.52473032188</v>
      </c>
      <c r="AL45" s="31">
        <f>AK45*0.01</f>
        <v>1185.9852473032188</v>
      </c>
      <c r="AM45" s="31">
        <f>AK45-AL45</f>
        <v>117412.53948301866</v>
      </c>
      <c r="AP45" s="31"/>
      <c r="AQ45" s="4">
        <f>IFERROR(AM45/AF45,"")</f>
        <v>1.1178485397308315</v>
      </c>
      <c r="AW45" s="31">
        <f>IF(AV45="",AM45-AM45/($AM$50-$AV$50+$AU$50)*$AU$50,AV45)</f>
        <v>113150.67660549367</v>
      </c>
      <c r="AX45" s="4">
        <f t="shared" si="86"/>
        <v>1.0772726590357089</v>
      </c>
      <c r="AZ45" s="174" t="str">
        <f>IFERROR(IF(VLOOKUP(A45,#REF!,11,FALSE)=0,"",VLOOKUP(A45,#REF!,11,FALSE)),"")</f>
        <v/>
      </c>
      <c r="BA45" s="31" t="str">
        <f t="shared" si="81"/>
        <v/>
      </c>
      <c r="BB45" s="31">
        <f t="shared" si="87"/>
        <v>113150.67660549367</v>
      </c>
      <c r="BD45" s="31" t="str">
        <f>IFERROR(VLOOKUP(A45,'Title II Hold Harmless'!A$1:B$439,2, FALSE),"")</f>
        <v/>
      </c>
      <c r="BE45" s="31">
        <f t="shared" si="79"/>
        <v>1753.5250949760773</v>
      </c>
      <c r="BF45" s="31">
        <f t="shared" si="80"/>
        <v>1755.2217351429051</v>
      </c>
      <c r="BG45" s="31" t="str">
        <f t="shared" si="67"/>
        <v/>
      </c>
      <c r="BH45" s="31">
        <f t="shared" si="68"/>
        <v>1755.2217351429051</v>
      </c>
    </row>
    <row r="46" spans="1:60" x14ac:dyDescent="0.3">
      <c r="A46" s="1">
        <v>28751000</v>
      </c>
      <c r="B46">
        <f>VLOOKUP(C46,'NCES ID'!$A$2:$B$3136,2,FALSE)</f>
        <v>400284</v>
      </c>
      <c r="C46">
        <f>VLOOKUP(A46,'State ID'!$A$2:$B$713,2,FALSE)</f>
        <v>79503</v>
      </c>
      <c r="D46" s="147" t="s">
        <v>309</v>
      </c>
      <c r="E46" t="s">
        <v>54</v>
      </c>
      <c r="I46" s="47">
        <f>VLOOKUP($C46,'Final SEA Counts'!$A$2:$F$709,5,FALSE)</f>
        <v>395</v>
      </c>
      <c r="J46" s="47">
        <f>VLOOKUP($C46,'Final SEA Counts'!$A$2:$F$709,6,FALSE)</f>
        <v>366</v>
      </c>
      <c r="K46" s="24">
        <f>I46</f>
        <v>395</v>
      </c>
      <c r="L46" s="24">
        <f>J46*$B$50</f>
        <v>172.05281413859549</v>
      </c>
      <c r="M46" s="4">
        <f>L46/K46</f>
        <v>0.43557674465467211</v>
      </c>
      <c r="N46" s="31" t="str">
        <f>IFERROR(VLOOKUP($B46,#REF!,8,FALSE),"")</f>
        <v/>
      </c>
      <c r="O46" s="31" t="str">
        <f>IFERROR(VLOOKUP($B46,#REF!,9,FALSE),"")</f>
        <v/>
      </c>
      <c r="P46" s="31" t="str">
        <f>IFERROR(VLOOKUP($B46,#REF!,10,FALSE),"")</f>
        <v/>
      </c>
      <c r="Q46" s="31" t="str">
        <f>IFERROR(VLOOKUP($B46,#REF!,11,FALSE),"")</f>
        <v/>
      </c>
      <c r="R46" s="31" t="str">
        <f>IFERROR(VLOOKUP($B46,#REF!,12,FALSE),"")</f>
        <v/>
      </c>
      <c r="S46" s="31">
        <f t="shared" si="83"/>
        <v>86902.27294627692</v>
      </c>
      <c r="T46" s="31">
        <f t="shared" si="83"/>
        <v>20707.703874621267</v>
      </c>
      <c r="U46" s="31">
        <f t="shared" si="83"/>
        <v>42862.885106816277</v>
      </c>
      <c r="V46" s="31">
        <f t="shared" si="83"/>
        <v>41334.351761321122</v>
      </c>
      <c r="W46" s="31">
        <f>IF(AND($L46&gt;9,$L46&gt;($K46*0.02)),S46,"")</f>
        <v>86902.27294627692</v>
      </c>
      <c r="X46" s="31">
        <f>IF(W46="","",IF(OR($L46&gt;6500,$L46&gt;($K46*0.15)),T46,""))</f>
        <v>20707.703874621267</v>
      </c>
      <c r="Y46" s="31">
        <f t="shared" si="84"/>
        <v>42862.885106816277</v>
      </c>
      <c r="Z46" s="31">
        <f t="shared" si="84"/>
        <v>41334.351761321122</v>
      </c>
      <c r="AA46" s="31">
        <f t="shared" si="85"/>
        <v>86902.27294627692</v>
      </c>
      <c r="AB46" s="31">
        <f t="shared" si="85"/>
        <v>20707.703874621267</v>
      </c>
      <c r="AC46" s="31">
        <f t="shared" si="85"/>
        <v>42862.885106816277</v>
      </c>
      <c r="AD46" s="31">
        <f t="shared" si="85"/>
        <v>41334.351761321122</v>
      </c>
      <c r="AE46" s="31">
        <f>SUM(AA46:AD46)</f>
        <v>191807.21368903559</v>
      </c>
      <c r="AF46" s="31">
        <f>IFERROR(VLOOKUP(A46,'Allocations By Type'!$D$7:$F$491,3,FALSE),"")</f>
        <v>193719.08</v>
      </c>
      <c r="AG46" s="31" t="str">
        <f>IF(AE46&gt;AF46,AE46*0.04,"")</f>
        <v/>
      </c>
      <c r="AH46" s="31" t="str">
        <f>IF(AG46="","",IF((AE46-AF46)&gt;AG46,AG46,AE46-AF46))</f>
        <v/>
      </c>
      <c r="AI46" s="31">
        <f>IF(AH46="",AE46,AE46-AH46)</f>
        <v>191807.21368903559</v>
      </c>
      <c r="AJ46" s="31">
        <f>AI46/$AI$577*'State Admin 1004(b)'!$B$30*0.01</f>
        <v>1825.3332124170347</v>
      </c>
      <c r="AK46" s="31">
        <f>AI46-AJ46</f>
        <v>189981.88047661856</v>
      </c>
      <c r="AL46" s="31">
        <f>AK46*0.01</f>
        <v>1899.8188047661856</v>
      </c>
      <c r="AM46" s="31">
        <f>AK46-AL46</f>
        <v>188082.06167185237</v>
      </c>
      <c r="AP46" s="31"/>
      <c r="AQ46" s="4">
        <f>IFERROR(AM46/AF46,"")</f>
        <v>0.97090106804065135</v>
      </c>
      <c r="AW46" s="31">
        <f>IF(AV46="",AM46-AM46/($AM$50-$AV$50+$AU$50)*$AU$50,AV46)</f>
        <v>181255.02292371623</v>
      </c>
      <c r="AX46" s="4">
        <f t="shared" si="86"/>
        <v>0.93565911485701991</v>
      </c>
      <c r="AZ46" s="174" t="str">
        <f>IFERROR(IF(VLOOKUP(A46,#REF!,11,FALSE)=0,"",VLOOKUP(A46,#REF!,11,FALSE)),"")</f>
        <v/>
      </c>
      <c r="BA46" s="31" t="str">
        <f t="shared" si="81"/>
        <v/>
      </c>
      <c r="BB46" s="31">
        <f t="shared" si="87"/>
        <v>181255.02292371623</v>
      </c>
      <c r="BD46" s="31" t="str">
        <f>IFERROR(VLOOKUP(A46,'Title II Hold Harmless'!A$1:B$439,2, FALSE),"")</f>
        <v/>
      </c>
      <c r="BE46" s="31">
        <f t="shared" si="79"/>
        <v>2570.182996509599</v>
      </c>
      <c r="BF46" s="31">
        <f t="shared" si="80"/>
        <v>2572.669801928278</v>
      </c>
      <c r="BG46" s="31" t="str">
        <f t="shared" si="67"/>
        <v/>
      </c>
      <c r="BH46" s="31">
        <f t="shared" si="68"/>
        <v>2572.669801928278</v>
      </c>
    </row>
    <row r="47" spans="1:60" x14ac:dyDescent="0.3">
      <c r="A47" s="1">
        <v>38708000</v>
      </c>
      <c r="B47">
        <f>VLOOKUP(C47,'NCES ID'!$A$2:$B$3136,2,FALSE)</f>
        <v>400299</v>
      </c>
      <c r="C47">
        <f>VLOOKUP(A47,'State ID'!$A$2:$B$713,2,FALSE)</f>
        <v>79671</v>
      </c>
      <c r="D47" s="147" t="s">
        <v>431</v>
      </c>
      <c r="E47" t="s">
        <v>54</v>
      </c>
      <c r="I47" s="47">
        <f>VLOOKUP($C47,'Final SEA Counts'!$A$2:$F$709,5,FALSE)</f>
        <v>47</v>
      </c>
      <c r="J47" s="47">
        <f>VLOOKUP($C47,'Final SEA Counts'!$A$2:$F$709,6,FALSE)</f>
        <v>41</v>
      </c>
      <c r="K47" s="24">
        <f>I47</f>
        <v>47</v>
      </c>
      <c r="L47" s="24">
        <f>J47*$B$50</f>
        <v>19.273675900771629</v>
      </c>
      <c r="M47" s="4">
        <f>L47/K47</f>
        <v>0.4100782106547155</v>
      </c>
      <c r="N47" s="31" t="str">
        <f>IFERROR(VLOOKUP($B47,#REF!,8,FALSE),"")</f>
        <v/>
      </c>
      <c r="O47" s="31" t="str">
        <f>IFERROR(VLOOKUP($B47,#REF!,9,FALSE),"")</f>
        <v/>
      </c>
      <c r="P47" s="31" t="str">
        <f>IFERROR(VLOOKUP($B47,#REF!,10,FALSE),"")</f>
        <v/>
      </c>
      <c r="Q47" s="31" t="str">
        <f>IFERROR(VLOOKUP($B47,#REF!,11,FALSE),"")</f>
        <v/>
      </c>
      <c r="R47" s="31" t="str">
        <f>IFERROR(VLOOKUP($B47,#REF!,12,FALSE),"")</f>
        <v/>
      </c>
      <c r="S47" s="31">
        <f t="shared" si="83"/>
        <v>9734.9540732168134</v>
      </c>
      <c r="T47" s="31">
        <f t="shared" si="83"/>
        <v>2319.7154613646776</v>
      </c>
      <c r="U47" s="31">
        <f t="shared" si="83"/>
        <v>4801.5800256269613</v>
      </c>
      <c r="V47" s="31">
        <f t="shared" si="83"/>
        <v>4630.3508803665745</v>
      </c>
      <c r="W47" s="31">
        <f>IF(AND($L47&gt;9,$L47&gt;($K47*0.02)),S47,"")</f>
        <v>9734.9540732168134</v>
      </c>
      <c r="X47" s="31">
        <f>IF(W47="","",IF(OR($L47&gt;6500,$L47&gt;($K47*0.15)),T47,""))</f>
        <v>2319.7154613646776</v>
      </c>
      <c r="Y47" s="31">
        <f t="shared" si="84"/>
        <v>4801.5800256269613</v>
      </c>
      <c r="Z47" s="31">
        <f t="shared" si="84"/>
        <v>4630.3508803665745</v>
      </c>
      <c r="AA47" s="31">
        <f t="shared" si="85"/>
        <v>9734.9540732168134</v>
      </c>
      <c r="AB47" s="31">
        <f t="shared" si="85"/>
        <v>2319.7154613646776</v>
      </c>
      <c r="AC47" s="31">
        <f t="shared" si="85"/>
        <v>4801.5800256269613</v>
      </c>
      <c r="AD47" s="31">
        <f t="shared" si="85"/>
        <v>4630.3508803665745</v>
      </c>
      <c r="AE47" s="31">
        <f>SUM(AA47:AD47)</f>
        <v>21486.600440575028</v>
      </c>
      <c r="AF47" s="31">
        <f>IFERROR(VLOOKUP(A47,'Allocations By Type'!$D$7:$F$491,3,FALSE),"")</f>
        <v>18073.84</v>
      </c>
      <c r="AG47" s="31">
        <f>IF(AE47&gt;AF47,AE47*0.04,"")</f>
        <v>859.46401762300115</v>
      </c>
      <c r="AH47" s="31">
        <f>IF(AG47="","",IF((AE47-AF47)&gt;AG47,AG47,AE47-AF47))</f>
        <v>859.46401762300115</v>
      </c>
      <c r="AI47" s="31">
        <f>IF(AH47="",AE47,AE47-AH47)</f>
        <v>20627.136422952026</v>
      </c>
      <c r="AJ47" s="31">
        <f>AI47/$AI$577*'State Admin 1004(b)'!$B$30*0.01</f>
        <v>196.29812907304506</v>
      </c>
      <c r="AK47" s="31">
        <f>AI47-AJ47</f>
        <v>20430.83829387898</v>
      </c>
      <c r="AL47" s="31">
        <f>AK47*0.01</f>
        <v>204.3083829387898</v>
      </c>
      <c r="AM47" s="31">
        <f>AK47-AL47</f>
        <v>20226.529910940189</v>
      </c>
      <c r="AP47" s="31"/>
      <c r="AQ47" s="4">
        <f>IFERROR(AM47/AF47,"")</f>
        <v>1.1191052875836121</v>
      </c>
      <c r="AW47" s="31">
        <f>IF(AV47="",AM47-AM47/($AM$50-$AV$50+$AU$50)*$AU$50,AV47)</f>
        <v>19492.34344884555</v>
      </c>
      <c r="AX47" s="4">
        <f t="shared" si="86"/>
        <v>1.0784837892138888</v>
      </c>
      <c r="AZ47" s="174" t="str">
        <f>IFERROR(IF(VLOOKUP(A47,#REF!,11,FALSE)=0,"",VLOOKUP(A47,#REF!,11,FALSE)),"")</f>
        <v/>
      </c>
      <c r="BA47" s="31" t="str">
        <f t="shared" si="81"/>
        <v/>
      </c>
      <c r="BB47" s="31">
        <f t="shared" si="87"/>
        <v>19492.34344884555</v>
      </c>
      <c r="BD47" s="31" t="str">
        <f>IFERROR(VLOOKUP(A47,'Title II Hold Harmless'!A$1:B$439,2, FALSE),"")</f>
        <v/>
      </c>
      <c r="BE47" s="31">
        <f t="shared" si="79"/>
        <v>290.13097307161684</v>
      </c>
      <c r="BF47" s="31">
        <f t="shared" si="80"/>
        <v>290.41169210093926</v>
      </c>
      <c r="BG47" s="31" t="str">
        <f t="shared" si="67"/>
        <v/>
      </c>
      <c r="BH47" s="31">
        <f t="shared" si="68"/>
        <v>290.41169210093926</v>
      </c>
    </row>
    <row r="48" spans="1:60" s="47" customFormat="1" x14ac:dyDescent="0.3">
      <c r="A48" s="1"/>
      <c r="D48" s="191" t="s">
        <v>1411</v>
      </c>
      <c r="H48" s="4"/>
      <c r="I48" s="24">
        <f>'AVA Metrics'!C3</f>
        <v>110.80087276067982</v>
      </c>
      <c r="J48" s="24">
        <f>'AVA Metrics'!D3</f>
        <v>57.971061093247584</v>
      </c>
      <c r="K48" s="24">
        <f>I48</f>
        <v>110.80087276067982</v>
      </c>
      <c r="L48" s="24">
        <f>J48*$B$50</f>
        <v>27.251596174026481</v>
      </c>
      <c r="M48" s="4">
        <f>L48/K48</f>
        <v>0.24595109672906224</v>
      </c>
      <c r="N48" s="31"/>
      <c r="O48" s="31"/>
      <c r="P48" s="31"/>
      <c r="Q48" s="31"/>
      <c r="R48" s="31"/>
      <c r="S48" s="31">
        <f t="shared" si="83"/>
        <v>13764.527251668569</v>
      </c>
      <c r="T48" s="31">
        <f t="shared" si="83"/>
        <v>3279.911383651774</v>
      </c>
      <c r="U48" s="31">
        <f t="shared" si="83"/>
        <v>6789.0899758472642</v>
      </c>
      <c r="V48" s="31">
        <f t="shared" si="83"/>
        <v>6546.9842382659363</v>
      </c>
      <c r="W48" s="31">
        <f>S48</f>
        <v>13764.527251668569</v>
      </c>
      <c r="X48" s="31">
        <f t="shared" ref="X48:Z48" si="88">T48</f>
        <v>3279.911383651774</v>
      </c>
      <c r="Y48" s="31">
        <f t="shared" si="88"/>
        <v>6789.0899758472642</v>
      </c>
      <c r="Z48" s="31">
        <f t="shared" si="88"/>
        <v>6546.9842382659363</v>
      </c>
      <c r="AA48" s="31">
        <f t="shared" si="85"/>
        <v>13764.527251668569</v>
      </c>
      <c r="AB48" s="31">
        <f t="shared" si="85"/>
        <v>3279.911383651774</v>
      </c>
      <c r="AC48" s="31">
        <f t="shared" si="85"/>
        <v>6789.0899758472642</v>
      </c>
      <c r="AD48" s="31">
        <f t="shared" si="85"/>
        <v>6546.9842382659363</v>
      </c>
      <c r="AE48" s="31">
        <f>SUM(AA48:AD48)</f>
        <v>30380.512849433548</v>
      </c>
      <c r="AF48" s="31" t="str">
        <f>IFERROR(VLOOKUP(A48,'Allocations By Type'!$D$7:$F$491,3,FALSE),"")</f>
        <v/>
      </c>
      <c r="AG48" s="31"/>
      <c r="AH48" s="31"/>
      <c r="AI48" s="31"/>
      <c r="AJ48" s="31"/>
      <c r="AK48" s="31"/>
      <c r="AL48" s="31"/>
      <c r="AM48" s="31"/>
      <c r="AP48" s="31"/>
      <c r="AQ48" s="4"/>
      <c r="AR48" s="4"/>
      <c r="AS48" s="4"/>
      <c r="AT48" s="4"/>
      <c r="AW48" s="31"/>
      <c r="AX48" s="4"/>
      <c r="AZ48" s="174"/>
      <c r="BA48" s="31"/>
      <c r="BB48" s="31"/>
      <c r="BD48" s="31"/>
      <c r="BE48" s="31"/>
      <c r="BF48" s="31"/>
      <c r="BG48" s="31"/>
      <c r="BH48" s="31"/>
    </row>
    <row r="49" spans="1:60" x14ac:dyDescent="0.3">
      <c r="A49" s="1"/>
      <c r="D49" s="147" t="s">
        <v>878</v>
      </c>
      <c r="K49" s="24">
        <f>SUM(K44:K48)</f>
        <v>2058.8008727606798</v>
      </c>
      <c r="L49" s="24">
        <f>SUM(L44:L48)</f>
        <v>786.91648045809848</v>
      </c>
      <c r="S49" s="31">
        <f>SUM(S44:S48)</f>
        <v>397464.1804789459</v>
      </c>
      <c r="T49" s="31">
        <f>SUM(T44:T48)</f>
        <v>94710.647616952221</v>
      </c>
      <c r="U49" s="31">
        <f>SUM(U44:U48)</f>
        <v>196041.61001031476</v>
      </c>
      <c r="V49" s="31">
        <f>SUM(V44:V48)</f>
        <v>189050.57015710455</v>
      </c>
    </row>
    <row r="50" spans="1:60" x14ac:dyDescent="0.3">
      <c r="A50" s="1" t="s">
        <v>880</v>
      </c>
      <c r="B50">
        <f>G50/J50</f>
        <v>0.47008965611638115</v>
      </c>
      <c r="D50" s="147" t="s">
        <v>879</v>
      </c>
      <c r="F50" s="24">
        <f>SUM(F22:F48)</f>
        <v>20282</v>
      </c>
      <c r="G50" s="24">
        <f>SUM(G22:G48)</f>
        <v>5367</v>
      </c>
      <c r="I50" s="24">
        <f>SUM(I22:I48)</f>
        <v>18215.800872760679</v>
      </c>
      <c r="J50" s="24">
        <f>SUM(J22:J48)</f>
        <v>11416.971061093247</v>
      </c>
      <c r="K50" s="24">
        <f>SUM(K22:K48)</f>
        <v>20282</v>
      </c>
      <c r="L50" s="24">
        <f>SUM(L22:L48)</f>
        <v>5366.9999999999991</v>
      </c>
      <c r="N50" s="31">
        <f>SUM(N22:N48)</f>
        <v>2710821.681341175</v>
      </c>
      <c r="O50" s="31">
        <f t="shared" ref="O50:AE50" si="89">SUM(O22:O48)</f>
        <v>645954.25103344116</v>
      </c>
      <c r="P50" s="31">
        <f t="shared" si="89"/>
        <v>1337060.9804903993</v>
      </c>
      <c r="Q50" s="31">
        <f t="shared" si="89"/>
        <v>1289380.0488744588</v>
      </c>
      <c r="R50" s="31">
        <f t="shared" si="89"/>
        <v>5983216.961739474</v>
      </c>
      <c r="S50" s="31">
        <f t="shared" si="89"/>
        <v>2710821.6813411745</v>
      </c>
      <c r="T50" s="31">
        <f t="shared" si="89"/>
        <v>645954.25103344128</v>
      </c>
      <c r="U50" s="31">
        <f t="shared" si="89"/>
        <v>1337060.9804903993</v>
      </c>
      <c r="V50" s="31">
        <f t="shared" si="89"/>
        <v>1289380.0488744588</v>
      </c>
      <c r="W50" s="31">
        <f t="shared" si="89"/>
        <v>2710821.6813411745</v>
      </c>
      <c r="X50" s="31">
        <f t="shared" si="89"/>
        <v>645954.25103344128</v>
      </c>
      <c r="Y50" s="31">
        <f t="shared" si="89"/>
        <v>1337060.9804903993</v>
      </c>
      <c r="Z50" s="31">
        <f t="shared" si="89"/>
        <v>1289380.0488744588</v>
      </c>
      <c r="AA50" s="31">
        <f t="shared" si="89"/>
        <v>2710821.6813411745</v>
      </c>
      <c r="AB50" s="31">
        <f t="shared" si="89"/>
        <v>645954.25103344128</v>
      </c>
      <c r="AC50" s="31">
        <f t="shared" si="89"/>
        <v>1337060.9804903993</v>
      </c>
      <c r="AD50" s="31">
        <f t="shared" si="89"/>
        <v>1289380.0488744588</v>
      </c>
      <c r="AE50" s="31">
        <f t="shared" si="89"/>
        <v>5983216.961739473</v>
      </c>
      <c r="AF50" s="31"/>
      <c r="AK50" s="31">
        <f>SUM(AK22:AK47)</f>
        <v>5810115.935737459</v>
      </c>
      <c r="AL50" s="31"/>
      <c r="AM50" s="31">
        <f>SUM(AM22:AM47)</f>
        <v>5752014.7763800835</v>
      </c>
      <c r="AU50" s="31">
        <f>SUM(AU22:AU47)</f>
        <v>104107.05078028048</v>
      </c>
      <c r="AV50" s="31">
        <f>SUM(AV22:AV47)</f>
        <v>2988016.1274999995</v>
      </c>
      <c r="AW50" s="31">
        <f>SUM(AW22:AW47)</f>
        <v>5752014.7763800845</v>
      </c>
    </row>
    <row r="51" spans="1:60" x14ac:dyDescent="0.3">
      <c r="A51" s="1"/>
      <c r="K51"/>
      <c r="L51"/>
      <c r="N51" s="31">
        <f>N50/$L50</f>
        <v>505.09068033187543</v>
      </c>
      <c r="O51" s="31">
        <f>O50/$L50</f>
        <v>120.35667058569803</v>
      </c>
      <c r="P51" s="31">
        <f>P50/$L50</f>
        <v>249.12632392219109</v>
      </c>
      <c r="Q51" s="31">
        <f>Q50/$L50</f>
        <v>240.24223008653976</v>
      </c>
      <c r="R51" s="31" t="str">
        <f>IFERROR(VLOOKUP($B51,#REF!,12,FALSE),"")</f>
        <v/>
      </c>
      <c r="W51" s="31">
        <f>(S50-W50)/COUNT(W22:W48)</f>
        <v>0</v>
      </c>
      <c r="X51" s="31">
        <f t="shared" ref="X51:Z51" si="90">(T50-X50)/COUNT(X22:X48)</f>
        <v>0</v>
      </c>
      <c r="Y51" s="31">
        <f t="shared" si="90"/>
        <v>0</v>
      </c>
      <c r="Z51" s="31">
        <f t="shared" si="90"/>
        <v>0</v>
      </c>
    </row>
    <row r="52" spans="1:60" x14ac:dyDescent="0.3">
      <c r="A52" s="1"/>
      <c r="N52" s="31" t="str">
        <f>IFERROR(VLOOKUP($B52,#REF!,8,FALSE),"")</f>
        <v/>
      </c>
      <c r="O52" s="31" t="str">
        <f>IFERROR(VLOOKUP($B52,#REF!,9,FALSE),"")</f>
        <v/>
      </c>
      <c r="P52" s="31" t="str">
        <f>IFERROR(VLOOKUP($B52,#REF!,10,FALSE),"")</f>
        <v/>
      </c>
      <c r="Q52" s="31" t="str">
        <f>IFERROR(VLOOKUP($B52,#REF!,11,FALSE),"")</f>
        <v/>
      </c>
      <c r="R52" s="31" t="str">
        <f>IFERROR(VLOOKUP($B52,#REF!,12,FALSE),"")</f>
        <v/>
      </c>
    </row>
    <row r="53" spans="1:60" x14ac:dyDescent="0.3">
      <c r="A53" s="1">
        <v>30310000</v>
      </c>
      <c r="B53">
        <f>VLOOKUP(C53,'NCES ID'!$A$2:$B$3136,2,FALSE)</f>
        <v>404530</v>
      </c>
      <c r="C53">
        <f>VLOOKUP(A53,'State ID'!$A$2:$B$713,2,FALSE)</f>
        <v>4199</v>
      </c>
      <c r="D53" s="147" t="s">
        <v>267</v>
      </c>
      <c r="E53" t="s">
        <v>163</v>
      </c>
      <c r="F53" s="47">
        <f>VLOOKUP(B53,'Formula counts'!$D$9:$L$234,9,FALSE)</f>
        <v>157</v>
      </c>
      <c r="G53" s="47">
        <f>VLOOKUP(B53,'Formula counts'!$D$9:$K$234,8,FALSE)</f>
        <v>24</v>
      </c>
      <c r="H53" s="4">
        <f>VLOOKUP(B53,'Formula counts'!$D$9:$M$234,10,FALSE)</f>
        <v>0.15286624203821655</v>
      </c>
      <c r="I53" s="47">
        <f>VLOOKUP($C53,'Final SEA Counts'!$A$2:$F$709,5,FALSE)</f>
        <v>123</v>
      </c>
      <c r="J53" s="47">
        <f>VLOOKUP($C53,'Final SEA Counts'!$A$2:$F$709,6,FALSE)</f>
        <v>59</v>
      </c>
      <c r="K53" s="24">
        <f t="shared" ref="K53:L60" si="91">F53-(F53/(F$68-F$61))*K$67+(F53/(F$68-F$61))*F$61</f>
        <v>151.10245626957214</v>
      </c>
      <c r="L53" s="24">
        <f t="shared" si="91"/>
        <v>22.782739497300916</v>
      </c>
      <c r="M53" s="4">
        <f t="shared" ref="M53:M60" si="92">L53/K53</f>
        <v>0.15077676471821014</v>
      </c>
      <c r="N53" s="31">
        <f>IFERROR(VLOOKUP($B53,Allocation!$D$10:$O$235,8,FALSE),"")</f>
        <v>12037.614458435639</v>
      </c>
      <c r="O53" s="31">
        <f>IFERROR(VLOOKUP($B53,Allocation!$D$10:$O$235,9,FALSE),"")</f>
        <v>2852.4245668209383</v>
      </c>
      <c r="P53" s="31">
        <f>IFERROR(VLOOKUP($B53,Allocation!$D$10:$O$235,10,FALSE),"")</f>
        <v>3665.0949852889889</v>
      </c>
      <c r="Q53" s="31">
        <f>IFERROR(VLOOKUP($B53,Allocation!$D$10:$O$235,11,FALSE),"")</f>
        <v>2639.3754060556716</v>
      </c>
      <c r="R53" s="31">
        <f>IFERROR(VLOOKUP($B53,Allocation!$D$10:$O$235,12,FALSE),"")</f>
        <v>21194.509416601239</v>
      </c>
      <c r="S53" s="31">
        <f t="shared" ref="S53:V60" si="93">IF(N53=0,"",N53-(N53/(N$68-N$61)*S$67-N53/(N$68-N$61)*N$61))</f>
        <v>11486.022167047697</v>
      </c>
      <c r="T53" s="31">
        <f t="shared" si="93"/>
        <v>2722.1466845194091</v>
      </c>
      <c r="U53" s="31">
        <f t="shared" si="93"/>
        <v>3499.2679865384098</v>
      </c>
      <c r="V53" s="31">
        <f t="shared" si="93"/>
        <v>2523.950948834035</v>
      </c>
      <c r="W53" s="31">
        <f t="shared" ref="W53:Z59" si="94">IF(S53="0","",S53)</f>
        <v>11486.022167047697</v>
      </c>
      <c r="X53" s="31">
        <f t="shared" si="94"/>
        <v>2722.1466845194091</v>
      </c>
      <c r="Y53" s="31">
        <f t="shared" si="94"/>
        <v>3499.2679865384098</v>
      </c>
      <c r="Z53" s="31">
        <f t="shared" si="94"/>
        <v>2523.950948834035</v>
      </c>
      <c r="AA53" s="31">
        <f t="shared" ref="AA53:AD60" si="95">IF(W53="","",W53+W$69)</f>
        <v>11912.14792196726</v>
      </c>
      <c r="AB53" s="31">
        <f t="shared" si="95"/>
        <v>3337.1609373031188</v>
      </c>
      <c r="AC53" s="31">
        <f t="shared" si="95"/>
        <v>3772.8309155376214</v>
      </c>
      <c r="AD53" s="31">
        <f t="shared" si="95"/>
        <v>2755.0057839909605</v>
      </c>
      <c r="AE53" s="31">
        <f t="shared" ref="AE53:AE60" si="96">SUM(AA53:AD53)</f>
        <v>21777.145558798962</v>
      </c>
      <c r="AF53" s="31">
        <f>IFERROR(VLOOKUP(A53,'Allocations By Type'!$D$7:$F$491,3,FALSE),"")</f>
        <v>21382.55</v>
      </c>
      <c r="AG53" s="31">
        <f t="shared" ref="AG53:AG60" si="97">IF(AE53&gt;AF53,AE53*0.04,"")</f>
        <v>871.08582235195854</v>
      </c>
      <c r="AH53" s="31">
        <f t="shared" ref="AH53:AH60" si="98">IF(AG53="","",IF((AE53-AF53)&gt;AG53,AG53,AE53-AF53))</f>
        <v>394.59555879896288</v>
      </c>
      <c r="AI53" s="31">
        <f t="shared" ref="AI53:AI60" si="99">IF(AH53="",AE53,AE53-AH53)</f>
        <v>21382.55</v>
      </c>
      <c r="AJ53" s="31">
        <f>AI53/$AI$577*'State Admin 1004(b)'!$B$30*0.01</f>
        <v>203.48702184082134</v>
      </c>
      <c r="AK53" s="31">
        <f t="shared" ref="AK53:AK60" si="100">AI53-AJ53</f>
        <v>21179.062978159178</v>
      </c>
      <c r="AL53" s="31">
        <f t="shared" ref="AL53:AL60" si="101">AK53*0.01</f>
        <v>211.79062978159178</v>
      </c>
      <c r="AM53" s="31">
        <f t="shared" ref="AM53:AM60" si="102">AK53-AL53</f>
        <v>20967.272348377584</v>
      </c>
      <c r="AP53" s="31"/>
      <c r="AQ53" s="4">
        <f t="shared" ref="AQ53:AQ61" si="103">IFERROR(AM53/AF53,"")</f>
        <v>0.98057866570533381</v>
      </c>
      <c r="AR53" s="4">
        <f>VLOOKUP(B53,Allocation!$D$10:$P$235,13,FALSE)</f>
        <v>0.90776168021000658</v>
      </c>
      <c r="AS53" s="4">
        <f t="shared" ref="AS53:AS60" si="104">IF(M53&gt;0.3,0.95,IF(M53&gt;0.15,0.9,0.85))</f>
        <v>0.9</v>
      </c>
      <c r="AT53" s="4" t="str">
        <f t="shared" ref="AT53:AT59" si="105">IF(AQ53&lt;AS53,"Review","")</f>
        <v/>
      </c>
      <c r="AU53" s="31" t="str">
        <f t="shared" ref="AU53:AU60" si="106">IF(AT53="Review",AM53*AS53/AQ53-AM53,"")</f>
        <v/>
      </c>
      <c r="AV53" s="31" t="str">
        <f t="shared" ref="AV53:AV60" si="107">IF(AU53="","",AU53+AM53)</f>
        <v/>
      </c>
      <c r="AW53" s="31">
        <f t="shared" ref="AW53:AW59" si="108">IF(AV53="",AM53-AM53/($AM$68-$AV$68+$AU$68)*$AU$68,AV53)</f>
        <v>18559.227469177549</v>
      </c>
      <c r="AX53" s="4">
        <f t="shared" ref="AX53:AX59" si="109">IFERROR(AW53/AF53,"")</f>
        <v>0.86796137360499803</v>
      </c>
      <c r="AY53" s="4" t="str">
        <f t="shared" ref="AY53:AY59" si="110">IF(AX53&lt;AS53,"Manual Adjustment","")</f>
        <v>Manual Adjustment</v>
      </c>
      <c r="AZ53" s="174" t="str">
        <f>IFERROR(IF(VLOOKUP(A53,#REF!,11,FALSE)=0,"",VLOOKUP(A53,#REF!,11,FALSE)),"")</f>
        <v/>
      </c>
      <c r="BA53" s="31" t="str">
        <f t="shared" ref="BA53:BA65" si="111">IF(AZ53&lt;0,AW53*AZ53/100,"")</f>
        <v/>
      </c>
      <c r="BB53" s="31">
        <f t="shared" ref="BB53:BB65" si="112">IF(BA53&lt;0,AW53+BA53,AW53)</f>
        <v>18559.227469177549</v>
      </c>
      <c r="BD53" s="31">
        <f>IFERROR(VLOOKUP(A53,'Title II Hold Harmless'!A$1:B$439,2, FALSE),"")</f>
        <v>1886</v>
      </c>
      <c r="BE53" s="31">
        <f t="shared" ref="BE53:BE59" si="113">IFERROR($BD$582*(0.8*($L53/$L$579)+0.2*($K53/$K$579))+$BD53,$BD$582*(0.8*($L53/$L$579)+0.2*($K53/$K$579)))</f>
        <v>2305.848601438172</v>
      </c>
      <c r="BF53" s="31">
        <f t="shared" ref="BF53:BF59" si="114">$BD$583*BE53</f>
        <v>2308.0796475560933</v>
      </c>
      <c r="BG53" s="31" t="str">
        <f t="shared" ref="BG53:BG65" si="115">IF(AZ53&lt;0,BF53*AZ53/100,"")</f>
        <v/>
      </c>
      <c r="BH53" s="31">
        <f t="shared" ref="BH53:BH65" si="116">IF(BG53&lt;0,BF53+BG53,BF53)</f>
        <v>2308.0796475560933</v>
      </c>
    </row>
    <row r="54" spans="1:60" x14ac:dyDescent="0.3">
      <c r="A54" s="1">
        <v>30204000</v>
      </c>
      <c r="B54">
        <f>VLOOKUP(C54,'NCES ID'!$A$2:$B$3136,2,FALSE)</f>
        <v>403550</v>
      </c>
      <c r="C54">
        <f>VLOOKUP(A54,'State ID'!$A$2:$B$713,2,FALSE)</f>
        <v>4194</v>
      </c>
      <c r="D54" s="147" t="s">
        <v>187</v>
      </c>
      <c r="E54" t="s">
        <v>163</v>
      </c>
      <c r="F54" s="47">
        <f>VLOOKUP(B54,'Formula counts'!$D$9:$L$234,9,FALSE)</f>
        <v>203</v>
      </c>
      <c r="G54" s="47">
        <f>VLOOKUP(B54,'Formula counts'!$D$9:$K$234,8,FALSE)</f>
        <v>51</v>
      </c>
      <c r="H54" s="4">
        <f>VLOOKUP(B54,'Formula counts'!$D$9:$M$234,10,FALSE)</f>
        <v>0.25123152709359609</v>
      </c>
      <c r="I54" s="47">
        <f>VLOOKUP($C54,'Final SEA Counts'!$A$2:$F$709,5,FALSE)</f>
        <v>276</v>
      </c>
      <c r="J54" s="47">
        <f>VLOOKUP($C54,'Final SEA Counts'!$A$2:$F$709,6,FALSE)</f>
        <v>190</v>
      </c>
      <c r="K54" s="24">
        <f t="shared" si="91"/>
        <v>195.37451352052958</v>
      </c>
      <c r="L54" s="24">
        <f t="shared" si="91"/>
        <v>48.413321431764437</v>
      </c>
      <c r="M54" s="4">
        <f t="shared" si="92"/>
        <v>0.24779752772961997</v>
      </c>
      <c r="N54" s="31">
        <f>IFERROR(VLOOKUP($B54,Allocation!$D$10:$O$235,8,FALSE),"")</f>
        <v>28641.220608002048</v>
      </c>
      <c r="O54" s="31">
        <f>IFERROR(VLOOKUP($B54,Allocation!$D$10:$O$235,9,FALSE),"")</f>
        <v>6786.8032796774023</v>
      </c>
      <c r="P54" s="31">
        <f>IFERROR(VLOOKUP($B54,Allocation!$D$10:$O$235,10,FALSE),"")</f>
        <v>13605.237569396999</v>
      </c>
      <c r="Q54" s="31">
        <f>IFERROR(VLOOKUP($B54,Allocation!$D$10:$O$235,11,FALSE),"")</f>
        <v>12138.08115700145</v>
      </c>
      <c r="R54" s="31">
        <f>IFERROR(VLOOKUP($B54,Allocation!$D$10:$O$235,12,FALSE),"")</f>
        <v>61171.34261407789</v>
      </c>
      <c r="S54" s="31">
        <f t="shared" si="93"/>
        <v>27328.811362975564</v>
      </c>
      <c r="T54" s="31">
        <f t="shared" si="93"/>
        <v>6476.8317666151434</v>
      </c>
      <c r="U54" s="31">
        <f t="shared" si="93"/>
        <v>12989.669426558312</v>
      </c>
      <c r="V54" s="31">
        <f t="shared" si="93"/>
        <v>11607.261847991978</v>
      </c>
      <c r="W54" s="31">
        <f t="shared" si="94"/>
        <v>27328.811362975564</v>
      </c>
      <c r="X54" s="31">
        <f t="shared" si="94"/>
        <v>6476.8317666151434</v>
      </c>
      <c r="Y54" s="31">
        <f t="shared" si="94"/>
        <v>12989.669426558312</v>
      </c>
      <c r="Z54" s="31">
        <f t="shared" si="94"/>
        <v>11607.261847991978</v>
      </c>
      <c r="AA54" s="31">
        <f t="shared" si="95"/>
        <v>27754.937117895126</v>
      </c>
      <c r="AB54" s="31">
        <f t="shared" si="95"/>
        <v>7091.8460193988531</v>
      </c>
      <c r="AC54" s="31">
        <f t="shared" si="95"/>
        <v>13263.232355557524</v>
      </c>
      <c r="AD54" s="31">
        <f t="shared" si="95"/>
        <v>11838.316683148903</v>
      </c>
      <c r="AE54" s="31">
        <f t="shared" si="96"/>
        <v>59948.332176000404</v>
      </c>
      <c r="AF54" s="31">
        <f>IFERROR(VLOOKUP(A54,'Allocations By Type'!$D$7:$F$491,3,FALSE),"")</f>
        <v>63400.29</v>
      </c>
      <c r="AG54" s="31" t="str">
        <f t="shared" si="97"/>
        <v/>
      </c>
      <c r="AH54" s="31" t="str">
        <f t="shared" si="98"/>
        <v/>
      </c>
      <c r="AI54" s="31">
        <f t="shared" si="99"/>
        <v>59948.332176000404</v>
      </c>
      <c r="AJ54" s="31">
        <f>AI54/$AI$577*'State Admin 1004(b)'!$B$30*0.01</f>
        <v>570.49826044221129</v>
      </c>
      <c r="AK54" s="31">
        <f t="shared" si="100"/>
        <v>59377.833915558193</v>
      </c>
      <c r="AL54" s="31">
        <f t="shared" si="101"/>
        <v>593.77833915558199</v>
      </c>
      <c r="AM54" s="31">
        <f t="shared" si="102"/>
        <v>58784.055576402614</v>
      </c>
      <c r="AP54" s="31"/>
      <c r="AQ54" s="4">
        <f t="shared" si="103"/>
        <v>0.92718906453586591</v>
      </c>
      <c r="AR54" s="4">
        <f>VLOOKUP(B54,Allocation!$D$10:$P$235,13,FALSE)</f>
        <v>0.8999999999999998</v>
      </c>
      <c r="AS54" s="4">
        <f t="shared" si="104"/>
        <v>0.9</v>
      </c>
      <c r="AT54" s="173" t="s">
        <v>1003</v>
      </c>
      <c r="AU54" s="31">
        <f t="shared" si="106"/>
        <v>-1723.7945764026153</v>
      </c>
      <c r="AV54" s="31">
        <f t="shared" si="107"/>
        <v>57060.260999999999</v>
      </c>
      <c r="AW54" s="31">
        <f t="shared" si="108"/>
        <v>57060.260999999999</v>
      </c>
      <c r="AX54" s="4">
        <f t="shared" si="109"/>
        <v>0.89999999999999991</v>
      </c>
      <c r="AY54" s="4" t="str">
        <f t="shared" si="110"/>
        <v/>
      </c>
      <c r="AZ54" s="174" t="str">
        <f>IFERROR(IF(VLOOKUP(A54,#REF!,11,FALSE)=0,"",VLOOKUP(A54,#REF!,11,FALSE)),"")</f>
        <v/>
      </c>
      <c r="BA54" s="31" t="str">
        <f t="shared" si="111"/>
        <v/>
      </c>
      <c r="BB54" s="31">
        <f t="shared" si="112"/>
        <v>57060.260999999999</v>
      </c>
      <c r="BD54" s="31">
        <f>IFERROR(VLOOKUP(A54,'Title II Hold Harmless'!A$1:B$439,2, FALSE),"")</f>
        <v>10229</v>
      </c>
      <c r="BE54" s="31">
        <f t="shared" si="113"/>
        <v>11020.000304861756</v>
      </c>
      <c r="BF54" s="31">
        <f t="shared" si="114"/>
        <v>11030.662812749013</v>
      </c>
      <c r="BG54" s="31" t="str">
        <f t="shared" si="115"/>
        <v/>
      </c>
      <c r="BH54" s="31">
        <f t="shared" si="116"/>
        <v>11030.662812749013</v>
      </c>
    </row>
    <row r="55" spans="1:60" x14ac:dyDescent="0.3">
      <c r="A55" s="1">
        <v>30206000</v>
      </c>
      <c r="B55">
        <f>VLOOKUP(C55,'NCES ID'!$A$2:$B$3136,2,FALSE)</f>
        <v>403080</v>
      </c>
      <c r="C55">
        <f>VLOOKUP(A55,'State ID'!$A$2:$B$713,2,FALSE)</f>
        <v>4195</v>
      </c>
      <c r="D55" s="147" t="s">
        <v>174</v>
      </c>
      <c r="E55" t="s">
        <v>163</v>
      </c>
      <c r="F55" s="47">
        <f>VLOOKUP(B55,'Formula counts'!$D$9:$L$234,9,FALSE)</f>
        <v>474</v>
      </c>
      <c r="G55" s="47">
        <f>VLOOKUP(B55,'Formula counts'!$D$9:$K$234,8,FALSE)</f>
        <v>94</v>
      </c>
      <c r="H55" s="4">
        <f>VLOOKUP(B55,'Formula counts'!$D$9:$M$234,10,FALSE)</f>
        <v>0.19831223628691982</v>
      </c>
      <c r="I55" s="47">
        <f>VLOOKUP($C55,'Final SEA Counts'!$A$2:$F$709,5,FALSE)</f>
        <v>206</v>
      </c>
      <c r="J55" s="47">
        <f>VLOOKUP($C55,'Final SEA Counts'!$A$2:$F$709,6,FALSE)</f>
        <v>137</v>
      </c>
      <c r="K55" s="24">
        <f t="shared" si="91"/>
        <v>456.19467689030057</v>
      </c>
      <c r="L55" s="24">
        <f t="shared" si="91"/>
        <v>89.232396364428581</v>
      </c>
      <c r="M55" s="4">
        <f t="shared" si="92"/>
        <v>0.19560157293524483</v>
      </c>
      <c r="N55" s="31">
        <f>IFERROR(VLOOKUP($B55,Allocation!$D$10:$O$235,8,FALSE),"")</f>
        <v>44343.37153829218</v>
      </c>
      <c r="O55" s="31">
        <f>IFERROR(VLOOKUP($B55,Allocation!$D$10:$O$235,9,FALSE),"")</f>
        <v>10516.070047558806</v>
      </c>
      <c r="P55" s="31">
        <f>IFERROR(VLOOKUP($B55,Allocation!$D$10:$O$235,10,FALSE),"")</f>
        <v>15480.072188943603</v>
      </c>
      <c r="Q55" s="31">
        <f>IFERROR(VLOOKUP($B55,Allocation!$D$10:$O$235,11,FALSE),"")</f>
        <v>13185.828735364468</v>
      </c>
      <c r="R55" s="31">
        <f>IFERROR(VLOOKUP($B55,Allocation!$D$10:$O$235,12,FALSE),"")</f>
        <v>83525.342510159055</v>
      </c>
      <c r="S55" s="31">
        <f t="shared" si="93"/>
        <v>42311.452174274593</v>
      </c>
      <c r="T55" s="31">
        <f t="shared" si="93"/>
        <v>10035.772916526383</v>
      </c>
      <c r="U55" s="31">
        <f t="shared" si="93"/>
        <v>14779.677268255778</v>
      </c>
      <c r="V55" s="31">
        <f t="shared" si="93"/>
        <v>12609.189610325657</v>
      </c>
      <c r="W55" s="31">
        <f t="shared" si="94"/>
        <v>42311.452174274593</v>
      </c>
      <c r="X55" s="31">
        <f t="shared" si="94"/>
        <v>10035.772916526383</v>
      </c>
      <c r="Y55" s="31">
        <f t="shared" si="94"/>
        <v>14779.677268255778</v>
      </c>
      <c r="Z55" s="31">
        <f t="shared" si="94"/>
        <v>12609.189610325657</v>
      </c>
      <c r="AA55" s="31">
        <f t="shared" si="95"/>
        <v>42737.577929194158</v>
      </c>
      <c r="AB55" s="31">
        <f t="shared" si="95"/>
        <v>10650.787169310091</v>
      </c>
      <c r="AC55" s="31">
        <f t="shared" si="95"/>
        <v>15053.240197254991</v>
      </c>
      <c r="AD55" s="31">
        <f t="shared" si="95"/>
        <v>12840.244445482582</v>
      </c>
      <c r="AE55" s="31">
        <f t="shared" si="96"/>
        <v>81281.849741241807</v>
      </c>
      <c r="AF55" s="31">
        <f>IFERROR(VLOOKUP(A55,'Allocations By Type'!$D$7:$F$491,3,FALSE),"")</f>
        <v>85598.19</v>
      </c>
      <c r="AG55" s="31" t="str">
        <f t="shared" si="97"/>
        <v/>
      </c>
      <c r="AH55" s="31" t="str">
        <f t="shared" si="98"/>
        <v/>
      </c>
      <c r="AI55" s="31">
        <f t="shared" si="99"/>
        <v>81281.849741241807</v>
      </c>
      <c r="AJ55" s="31">
        <f>AI55/$AI$577*'State Admin 1004(b)'!$B$30*0.01</f>
        <v>773.5186651525861</v>
      </c>
      <c r="AK55" s="31">
        <f t="shared" si="100"/>
        <v>80508.33107608922</v>
      </c>
      <c r="AL55" s="31">
        <f t="shared" si="101"/>
        <v>805.08331076089223</v>
      </c>
      <c r="AM55" s="31">
        <f t="shared" si="102"/>
        <v>79703.247765328328</v>
      </c>
      <c r="AP55" s="31"/>
      <c r="AQ55" s="4">
        <f t="shared" si="103"/>
        <v>0.93113239620286747</v>
      </c>
      <c r="AR55" s="4">
        <f>VLOOKUP(B55,Allocation!$D$10:$P$235,13,FALSE)</f>
        <v>0.92430299589672893</v>
      </c>
      <c r="AS55" s="4">
        <f t="shared" si="104"/>
        <v>0.9</v>
      </c>
      <c r="AT55" s="173" t="s">
        <v>1003</v>
      </c>
      <c r="AU55" s="31">
        <f t="shared" si="106"/>
        <v>-2664.8767653283285</v>
      </c>
      <c r="AV55" s="31">
        <f t="shared" si="107"/>
        <v>77038.370999999999</v>
      </c>
      <c r="AW55" s="31">
        <f t="shared" si="108"/>
        <v>77038.370999999999</v>
      </c>
      <c r="AX55" s="4">
        <f t="shared" si="109"/>
        <v>0.89999999999999991</v>
      </c>
      <c r="AY55" s="4" t="str">
        <f t="shared" si="110"/>
        <v/>
      </c>
      <c r="AZ55" s="174" t="str">
        <f>IFERROR(IF(VLOOKUP(A55,#REF!,11,FALSE)=0,"",VLOOKUP(A55,#REF!,11,FALSE)),"")</f>
        <v/>
      </c>
      <c r="BA55" s="31" t="str">
        <f t="shared" si="111"/>
        <v/>
      </c>
      <c r="BB55" s="31">
        <f t="shared" si="112"/>
        <v>77038.370999999999</v>
      </c>
      <c r="BD55" s="31">
        <f>IFERROR(VLOOKUP(A55,'Title II Hold Harmless'!A$1:B$439,2, FALSE),"")</f>
        <v>15511</v>
      </c>
      <c r="BE55" s="31">
        <f t="shared" si="113"/>
        <v>17046.257451217105</v>
      </c>
      <c r="BF55" s="31">
        <f t="shared" si="114"/>
        <v>17062.750722496021</v>
      </c>
      <c r="BG55" s="31" t="str">
        <f t="shared" si="115"/>
        <v/>
      </c>
      <c r="BH55" s="31">
        <f t="shared" si="116"/>
        <v>17062.750722496021</v>
      </c>
    </row>
    <row r="56" spans="1:60" x14ac:dyDescent="0.3">
      <c r="A56" s="1">
        <v>30202000</v>
      </c>
      <c r="B56">
        <f>VLOOKUP(C56,'NCES ID'!$A$2:$B$3136,2,FALSE)</f>
        <v>409310</v>
      </c>
      <c r="C56">
        <f>VLOOKUP(A56,'State ID'!$A$2:$B$713,2,FALSE)</f>
        <v>4193</v>
      </c>
      <c r="D56" s="147" t="s">
        <v>444</v>
      </c>
      <c r="E56" t="s">
        <v>163</v>
      </c>
      <c r="F56" s="47">
        <f>VLOOKUP(B56,'Formula counts'!$D$9:$L$234,9,FALSE)</f>
        <v>899</v>
      </c>
      <c r="G56" s="47">
        <f>VLOOKUP(B56,'Formula counts'!$D$9:$K$234,8,FALSE)</f>
        <v>264</v>
      </c>
      <c r="H56" s="4">
        <f>VLOOKUP(B56,'Formula counts'!$D$9:$M$234,10,FALSE)</f>
        <v>0.29365962180200222</v>
      </c>
      <c r="I56" s="47">
        <f>VLOOKUP($C56,'Final SEA Counts'!$A$2:$F$709,5,FALSE)</f>
        <v>546</v>
      </c>
      <c r="J56" s="47">
        <f>VLOOKUP($C56,'Final SEA Counts'!$A$2:$F$709,6,FALSE)</f>
        <v>341</v>
      </c>
      <c r="K56" s="24">
        <f t="shared" si="91"/>
        <v>865.22998844805954</v>
      </c>
      <c r="L56" s="24">
        <f t="shared" si="91"/>
        <v>250.61013447031004</v>
      </c>
      <c r="M56" s="4">
        <f t="shared" si="92"/>
        <v>0.28964568706156718</v>
      </c>
      <c r="N56" s="31">
        <f>IFERROR(VLOOKUP($B56,Allocation!$D$10:$O$235,8,FALSE),"")</f>
        <v>124538.83070328872</v>
      </c>
      <c r="O56" s="31">
        <f>IFERROR(VLOOKUP($B56,Allocation!$D$10:$O$235,9,FALSE),"")</f>
        <v>29534.494601654504</v>
      </c>
      <c r="P56" s="31">
        <f>IFERROR(VLOOKUP($B56,Allocation!$D$10:$O$235,10,FALSE),"")</f>
        <v>57582.242725210061</v>
      </c>
      <c r="Q56" s="31">
        <f>IFERROR(VLOOKUP($B56,Allocation!$D$10:$O$235,11,FALSE),"")</f>
        <v>46608.570833272992</v>
      </c>
      <c r="R56" s="31">
        <f>IFERROR(VLOOKUP($B56,Allocation!$D$10:$O$235,12,FALSE),"")</f>
        <v>258264.13886342628</v>
      </c>
      <c r="S56" s="31">
        <f t="shared" si="93"/>
        <v>118832.16355328189</v>
      </c>
      <c r="T56" s="31">
        <f t="shared" si="93"/>
        <v>28185.574999605997</v>
      </c>
      <c r="U56" s="31">
        <f t="shared" si="93"/>
        <v>54976.937670149928</v>
      </c>
      <c r="V56" s="31">
        <f t="shared" si="93"/>
        <v>44570.297316757067</v>
      </c>
      <c r="W56" s="31">
        <f t="shared" si="94"/>
        <v>118832.16355328189</v>
      </c>
      <c r="X56" s="31">
        <f t="shared" si="94"/>
        <v>28185.574999605997</v>
      </c>
      <c r="Y56" s="31">
        <f t="shared" si="94"/>
        <v>54976.937670149928</v>
      </c>
      <c r="Z56" s="31">
        <f t="shared" si="94"/>
        <v>44570.297316757067</v>
      </c>
      <c r="AA56" s="31">
        <f t="shared" si="95"/>
        <v>119258.28930820145</v>
      </c>
      <c r="AB56" s="31">
        <f t="shared" si="95"/>
        <v>28800.589252389706</v>
      </c>
      <c r="AC56" s="31">
        <f t="shared" si="95"/>
        <v>55250.500599149142</v>
      </c>
      <c r="AD56" s="31">
        <f t="shared" si="95"/>
        <v>44801.35215191399</v>
      </c>
      <c r="AE56" s="31">
        <f t="shared" si="96"/>
        <v>248110.73131165426</v>
      </c>
      <c r="AF56" s="31">
        <f>IFERROR(VLOOKUP(A56,'Allocations By Type'!$D$7:$F$491,3,FALSE),"")</f>
        <v>235725.31</v>
      </c>
      <c r="AG56" s="31">
        <f t="shared" si="97"/>
        <v>9924.4292524661705</v>
      </c>
      <c r="AH56" s="31">
        <f t="shared" si="98"/>
        <v>9924.4292524661705</v>
      </c>
      <c r="AI56" s="31">
        <f t="shared" si="99"/>
        <v>238186.30205918811</v>
      </c>
      <c r="AJ56" s="31">
        <f>AI56/$AI$577*'State Admin 1004(b)'!$B$30*0.01</f>
        <v>2266.699773848417</v>
      </c>
      <c r="AK56" s="31">
        <f t="shared" si="100"/>
        <v>235919.6022853397</v>
      </c>
      <c r="AL56" s="31">
        <f t="shared" si="101"/>
        <v>2359.1960228533972</v>
      </c>
      <c r="AM56" s="31">
        <f t="shared" si="102"/>
        <v>233560.4062624863</v>
      </c>
      <c r="AP56" s="31"/>
      <c r="AQ56" s="4">
        <f t="shared" si="103"/>
        <v>0.99081598943484817</v>
      </c>
      <c r="AR56" s="4">
        <f>VLOOKUP(B56,Allocation!$D$10:$P$235,13,FALSE)</f>
        <v>1.0363987880649794</v>
      </c>
      <c r="AS56" s="4">
        <f t="shared" si="104"/>
        <v>0.9</v>
      </c>
      <c r="AT56" s="4" t="str">
        <f t="shared" si="105"/>
        <v/>
      </c>
      <c r="AU56" s="31" t="str">
        <f t="shared" si="106"/>
        <v/>
      </c>
      <c r="AV56" s="31" t="str">
        <f t="shared" si="107"/>
        <v/>
      </c>
      <c r="AW56" s="31">
        <f t="shared" si="108"/>
        <v>206736.50990918791</v>
      </c>
      <c r="AX56" s="4">
        <f t="shared" si="109"/>
        <v>0.87702296333468777</v>
      </c>
      <c r="AY56" s="4" t="str">
        <f t="shared" si="110"/>
        <v>Manual Adjustment</v>
      </c>
      <c r="AZ56" s="174" t="str">
        <f>IFERROR(IF(VLOOKUP(A56,#REF!,11,FALSE)=0,"",VLOOKUP(A56,#REF!,11,FALSE)),"")</f>
        <v/>
      </c>
      <c r="BA56" s="31" t="str">
        <f t="shared" si="111"/>
        <v/>
      </c>
      <c r="BB56" s="31">
        <f t="shared" si="112"/>
        <v>206736.50990918791</v>
      </c>
      <c r="BD56" s="31">
        <f>IFERROR(VLOOKUP(A56,'Title II Hold Harmless'!A$1:B$439,2, FALSE),"")</f>
        <v>20844</v>
      </c>
      <c r="BE56" s="31">
        <f t="shared" si="113"/>
        <v>24820.992133102725</v>
      </c>
      <c r="BF56" s="31">
        <f t="shared" si="114"/>
        <v>24845.007924125159</v>
      </c>
      <c r="BG56" s="31" t="str">
        <f t="shared" si="115"/>
        <v/>
      </c>
      <c r="BH56" s="31">
        <f t="shared" si="116"/>
        <v>24845.007924125159</v>
      </c>
    </row>
    <row r="57" spans="1:60" x14ac:dyDescent="0.3">
      <c r="A57" s="1">
        <v>30208000</v>
      </c>
      <c r="B57">
        <f>VLOOKUP(C57,'NCES ID'!$A$2:$B$3136,2,FALSE)</f>
        <v>405820</v>
      </c>
      <c r="C57">
        <f>VLOOKUP(A57,'State ID'!$A$2:$B$713,2,FALSE)</f>
        <v>4196</v>
      </c>
      <c r="D57" s="147" t="s">
        <v>315</v>
      </c>
      <c r="E57" t="s">
        <v>163</v>
      </c>
      <c r="F57" s="47">
        <f>VLOOKUP(B57,'Formula counts'!$D$9:$L$234,9,FALSE)</f>
        <v>2900</v>
      </c>
      <c r="G57" s="47">
        <f>VLOOKUP(B57,'Formula counts'!$D$9:$K$234,8,FALSE)</f>
        <v>732</v>
      </c>
      <c r="H57" s="4">
        <f>VLOOKUP(B57,'Formula counts'!$D$9:$M$234,10,FALSE)</f>
        <v>0.2524137931034483</v>
      </c>
      <c r="I57" s="47">
        <f>VLOOKUP($C57,'Final SEA Counts'!$A$2:$F$709,5,FALSE)</f>
        <v>2499</v>
      </c>
      <c r="J57" s="47">
        <f>VLOOKUP($C57,'Final SEA Counts'!$A$2:$F$709,6,FALSE)</f>
        <v>1601</v>
      </c>
      <c r="K57" s="24">
        <f t="shared" si="91"/>
        <v>2791.0644788647082</v>
      </c>
      <c r="L57" s="24">
        <f t="shared" si="91"/>
        <v>694.87355466767792</v>
      </c>
      <c r="M57" s="4">
        <f t="shared" si="92"/>
        <v>0.24896363374246527</v>
      </c>
      <c r="N57" s="31">
        <f>IFERROR(VLOOKUP($B57,Allocation!$D$10:$O$235,8,FALSE),"")</f>
        <v>389117.17440388841</v>
      </c>
      <c r="O57" s="31">
        <f>IFERROR(VLOOKUP($B57,Allocation!$D$10:$O$235,9,FALSE),"")</f>
        <v>90589.069863520082</v>
      </c>
      <c r="P57" s="31">
        <f>IFERROR(VLOOKUP($B57,Allocation!$D$10:$O$235,10,FALSE),"")</f>
        <v>191399.79440160922</v>
      </c>
      <c r="Q57" s="31">
        <f>IFERROR(VLOOKUP($B57,Allocation!$D$10:$O$235,11,FALSE),"")</f>
        <v>146801.48533134875</v>
      </c>
      <c r="R57" s="31">
        <f>IFERROR(VLOOKUP($B57,Allocation!$D$10:$O$235,12,FALSE),"")</f>
        <v>817907.52400036645</v>
      </c>
      <c r="S57" s="31">
        <f t="shared" si="93"/>
        <v>371286.89460975258</v>
      </c>
      <c r="T57" s="31">
        <f t="shared" si="93"/>
        <v>86451.624015254289</v>
      </c>
      <c r="U57" s="31">
        <f t="shared" si="93"/>
        <v>182739.92239433731</v>
      </c>
      <c r="V57" s="31">
        <f t="shared" si="93"/>
        <v>140381.60215564581</v>
      </c>
      <c r="W57" s="31">
        <f t="shared" si="94"/>
        <v>371286.89460975258</v>
      </c>
      <c r="X57" s="31">
        <f t="shared" si="94"/>
        <v>86451.624015254289</v>
      </c>
      <c r="Y57" s="31">
        <f t="shared" si="94"/>
        <v>182739.92239433731</v>
      </c>
      <c r="Z57" s="31">
        <f t="shared" si="94"/>
        <v>140381.60215564581</v>
      </c>
      <c r="AA57" s="31">
        <f t="shared" si="95"/>
        <v>371713.02036467212</v>
      </c>
      <c r="AB57" s="31">
        <f t="shared" si="95"/>
        <v>87066.638268038005</v>
      </c>
      <c r="AC57" s="31">
        <f t="shared" si="95"/>
        <v>183013.48532333653</v>
      </c>
      <c r="AD57" s="31">
        <f t="shared" si="95"/>
        <v>140612.65699080273</v>
      </c>
      <c r="AE57" s="31">
        <f t="shared" si="96"/>
        <v>782405.8009468494</v>
      </c>
      <c r="AF57" s="31">
        <f>IFERROR(VLOOKUP(A57,'Allocations By Type'!$D$7:$F$491,3,FALSE),"")</f>
        <v>867658.85</v>
      </c>
      <c r="AG57" s="31" t="str">
        <f t="shared" si="97"/>
        <v/>
      </c>
      <c r="AH57" s="31" t="str">
        <f t="shared" si="98"/>
        <v/>
      </c>
      <c r="AI57" s="31">
        <f t="shared" si="99"/>
        <v>782405.8009468494</v>
      </c>
      <c r="AJ57" s="31">
        <f>AI57/$AI$577*'State Admin 1004(b)'!$B$30*0.01</f>
        <v>7445.7642472790594</v>
      </c>
      <c r="AK57" s="31">
        <f t="shared" si="100"/>
        <v>774960.03669957037</v>
      </c>
      <c r="AL57" s="31">
        <f t="shared" si="101"/>
        <v>7749.6003669957036</v>
      </c>
      <c r="AM57" s="31">
        <f t="shared" si="102"/>
        <v>767210.4363325747</v>
      </c>
      <c r="AP57" s="31"/>
      <c r="AQ57" s="4">
        <f t="shared" si="103"/>
        <v>0.88423052024718551</v>
      </c>
      <c r="AR57" s="4">
        <f>VLOOKUP(B57,Allocation!$D$10:$P$235,13,FALSE)</f>
        <v>0.9</v>
      </c>
      <c r="AS57" s="4">
        <f t="shared" si="104"/>
        <v>0.9</v>
      </c>
      <c r="AT57" s="4" t="str">
        <f t="shared" si="105"/>
        <v>Review</v>
      </c>
      <c r="AU57" s="31">
        <f t="shared" si="106"/>
        <v>13682.528667425271</v>
      </c>
      <c r="AV57" s="31">
        <f t="shared" si="107"/>
        <v>780892.96499999997</v>
      </c>
      <c r="AW57" s="31">
        <f t="shared" si="108"/>
        <v>780892.96499999997</v>
      </c>
      <c r="AX57" s="4">
        <f t="shared" si="109"/>
        <v>0.9</v>
      </c>
      <c r="AY57" s="4" t="str">
        <f t="shared" si="110"/>
        <v/>
      </c>
      <c r="AZ57" s="174" t="str">
        <f>IFERROR(IF(VLOOKUP(A57,#REF!,11,FALSE)=0,"",VLOOKUP(A57,#REF!,11,FALSE)),"")</f>
        <v/>
      </c>
      <c r="BA57" s="31" t="str">
        <f t="shared" si="111"/>
        <v/>
      </c>
      <c r="BB57" s="31">
        <f t="shared" si="112"/>
        <v>780892.96499999997</v>
      </c>
      <c r="BD57" s="31">
        <f>IFERROR(VLOOKUP(A57,'Title II Hold Harmless'!A$1:B$439,2, FALSE),"")</f>
        <v>119129</v>
      </c>
      <c r="BE57" s="31">
        <f t="shared" si="113"/>
        <v>130471.61026824664</v>
      </c>
      <c r="BF57" s="31">
        <f t="shared" si="114"/>
        <v>130597.84933676413</v>
      </c>
      <c r="BG57" s="31" t="str">
        <f t="shared" si="115"/>
        <v/>
      </c>
      <c r="BH57" s="31">
        <f t="shared" si="116"/>
        <v>130597.84933676413</v>
      </c>
    </row>
    <row r="58" spans="1:60" x14ac:dyDescent="0.3">
      <c r="A58" s="1">
        <v>30215000</v>
      </c>
      <c r="B58">
        <f>VLOOKUP(C58,'NCES ID'!$A$2:$B$3136,2,FALSE)</f>
        <v>408680</v>
      </c>
      <c r="C58">
        <f>VLOOKUP(A58,'State ID'!$A$2:$B$713,2,FALSE)</f>
        <v>4197</v>
      </c>
      <c r="D58" s="147" t="s">
        <v>420</v>
      </c>
      <c r="E58" t="s">
        <v>163</v>
      </c>
      <c r="F58" s="47">
        <f>VLOOKUP(B58,'Formula counts'!$D$9:$L$234,9,FALSE)</f>
        <v>3711</v>
      </c>
      <c r="G58" s="47">
        <f>VLOOKUP(B58,'Formula counts'!$D$9:$K$234,8,FALSE)</f>
        <v>1216</v>
      </c>
      <c r="H58" s="4">
        <f>VLOOKUP(B58,'Formula counts'!$D$9:$M$234,10,FALSE)</f>
        <v>0.32767448127189436</v>
      </c>
      <c r="I58" s="47">
        <f>VLOOKUP($C58,'Final SEA Counts'!$A$2:$F$709,5,FALSE)</f>
        <v>1556</v>
      </c>
      <c r="J58" s="47">
        <f>VLOOKUP($C58,'Final SEA Counts'!$A$2:$F$709,6,FALSE)</f>
        <v>1436</v>
      </c>
      <c r="K58" s="24">
        <f t="shared" si="91"/>
        <v>3571.6000969196316</v>
      </c>
      <c r="L58" s="24">
        <f t="shared" si="91"/>
        <v>1154.3254678632463</v>
      </c>
      <c r="M58" s="4">
        <f t="shared" si="92"/>
        <v>0.32319560884176474</v>
      </c>
      <c r="N58" s="31">
        <f>IFERROR(VLOOKUP($B58,Allocation!$D$10:$O$235,8,FALSE),"")</f>
        <v>808808.6026576102</v>
      </c>
      <c r="O58" s="31">
        <f>IFERROR(VLOOKUP($B58,Allocation!$D$10:$O$235,9,FALSE),"")</f>
        <v>176980.60833518449</v>
      </c>
      <c r="P58" s="31">
        <f>IFERROR(VLOOKUP($B58,Allocation!$D$10:$O$235,10,FALSE),"")</f>
        <v>319626.82771766256</v>
      </c>
      <c r="Q58" s="31">
        <f>IFERROR(VLOOKUP($B58,Allocation!$D$10:$O$235,11,FALSE),"")</f>
        <v>314213.68587987992</v>
      </c>
      <c r="R58" s="31">
        <f>IFERROR(VLOOKUP($B58,Allocation!$D$10:$O$235,12,FALSE),"")</f>
        <v>1619629.7245903371</v>
      </c>
      <c r="S58" s="31">
        <f t="shared" si="93"/>
        <v>771747.05761688552</v>
      </c>
      <c r="T58" s="31">
        <f t="shared" si="93"/>
        <v>168897.4291582357</v>
      </c>
      <c r="U58" s="31">
        <f t="shared" si="93"/>
        <v>305165.33141993178</v>
      </c>
      <c r="V58" s="31">
        <f t="shared" si="93"/>
        <v>300472.57725960435</v>
      </c>
      <c r="W58" s="31">
        <f t="shared" si="94"/>
        <v>771747.05761688552</v>
      </c>
      <c r="X58" s="31">
        <f t="shared" si="94"/>
        <v>168897.4291582357</v>
      </c>
      <c r="Y58" s="31">
        <f t="shared" si="94"/>
        <v>305165.33141993178</v>
      </c>
      <c r="Z58" s="31">
        <f t="shared" si="94"/>
        <v>300472.57725960435</v>
      </c>
      <c r="AA58" s="31">
        <f t="shared" si="95"/>
        <v>772173.18337180512</v>
      </c>
      <c r="AB58" s="31">
        <f t="shared" si="95"/>
        <v>169512.4434110194</v>
      </c>
      <c r="AC58" s="31">
        <f t="shared" si="95"/>
        <v>305438.89434893097</v>
      </c>
      <c r="AD58" s="31">
        <f t="shared" si="95"/>
        <v>300703.6320947613</v>
      </c>
      <c r="AE58" s="31">
        <f t="shared" si="96"/>
        <v>1547828.1532265169</v>
      </c>
      <c r="AF58" s="31">
        <f>IFERROR(VLOOKUP(A58,'Allocations By Type'!$D$7:$F$491,3,FALSE),"")</f>
        <v>1628186.57</v>
      </c>
      <c r="AG58" s="31" t="str">
        <f t="shared" si="97"/>
        <v/>
      </c>
      <c r="AH58" s="31" t="str">
        <f t="shared" si="98"/>
        <v/>
      </c>
      <c r="AI58" s="31">
        <f t="shared" si="99"/>
        <v>1547828.1532265169</v>
      </c>
      <c r="AJ58" s="31">
        <f>AI58/$AI$577*'State Admin 1004(b)'!$B$30*0.01</f>
        <v>14729.905517416881</v>
      </c>
      <c r="AK58" s="31">
        <f t="shared" si="100"/>
        <v>1533098.2477091001</v>
      </c>
      <c r="AL58" s="31">
        <f t="shared" si="101"/>
        <v>15330.982477091002</v>
      </c>
      <c r="AM58" s="31">
        <f t="shared" si="102"/>
        <v>1517767.2652320091</v>
      </c>
      <c r="AP58" s="31"/>
      <c r="AQ58" s="4">
        <f t="shared" si="103"/>
        <v>0.93218264613987634</v>
      </c>
      <c r="AR58" s="4">
        <f>VLOOKUP(B58,Allocation!$D$10:$P$235,13,FALSE)</f>
        <v>0.94999999999999984</v>
      </c>
      <c r="AS58" s="4">
        <f t="shared" si="104"/>
        <v>0.95</v>
      </c>
      <c r="AT58" s="4" t="str">
        <f t="shared" si="105"/>
        <v>Review</v>
      </c>
      <c r="AU58" s="31">
        <f t="shared" si="106"/>
        <v>29009.976267990889</v>
      </c>
      <c r="AV58" s="31">
        <f t="shared" si="107"/>
        <v>1546777.2415</v>
      </c>
      <c r="AW58" s="31">
        <f t="shared" si="108"/>
        <v>1546777.2415</v>
      </c>
      <c r="AX58" s="4">
        <f t="shared" si="109"/>
        <v>0.95</v>
      </c>
      <c r="AY58" s="4" t="str">
        <f t="shared" si="110"/>
        <v/>
      </c>
      <c r="AZ58" s="174" t="str">
        <f>IFERROR(IF(VLOOKUP(A58,#REF!,11,FALSE)=0,"",VLOOKUP(A58,#REF!,11,FALSE)),"")</f>
        <v/>
      </c>
      <c r="BA58" s="31" t="str">
        <f t="shared" si="111"/>
        <v/>
      </c>
      <c r="BB58" s="31">
        <f t="shared" si="112"/>
        <v>1546777.2415</v>
      </c>
      <c r="BD58" s="31">
        <f>IFERROR(VLOOKUP(A58,'Title II Hold Harmless'!A$1:B$439,2, FALSE),"")</f>
        <v>124783</v>
      </c>
      <c r="BE58" s="31">
        <f t="shared" si="113"/>
        <v>142768.31982090592</v>
      </c>
      <c r="BF58" s="31">
        <f t="shared" si="114"/>
        <v>142906.45668969251</v>
      </c>
      <c r="BG58" s="31" t="str">
        <f t="shared" si="115"/>
        <v/>
      </c>
      <c r="BH58" s="31">
        <f t="shared" si="116"/>
        <v>142906.45668969251</v>
      </c>
    </row>
    <row r="59" spans="1:60" x14ac:dyDescent="0.3">
      <c r="A59" s="1">
        <v>30201000</v>
      </c>
      <c r="B59">
        <f>VLOOKUP(C59,'NCES ID'!$A$2:$B$3136,2,FALSE)</f>
        <v>402860</v>
      </c>
      <c r="C59">
        <f>VLOOKUP(A59,'State ID'!$A$2:$B$713,2,FALSE)</f>
        <v>4192</v>
      </c>
      <c r="D59" s="147" t="s">
        <v>164</v>
      </c>
      <c r="E59" t="s">
        <v>163</v>
      </c>
      <c r="F59" s="47">
        <f>VLOOKUP(B59,'Formula counts'!$D$9:$L$234,9,FALSE)</f>
        <v>13267</v>
      </c>
      <c r="G59" s="47">
        <f>VLOOKUP(B59,'Formula counts'!$D$9:$K$234,8,FALSE)</f>
        <v>2520</v>
      </c>
      <c r="H59" s="4">
        <f>VLOOKUP(B59,'Formula counts'!$D$9:$M$234,10,FALSE)</f>
        <v>0.18994497625687798</v>
      </c>
      <c r="I59" s="47">
        <f>VLOOKUP($C59,'Final SEA Counts'!$A$2:$F$709,5,FALSE)</f>
        <v>9226</v>
      </c>
      <c r="J59" s="47">
        <f>VLOOKUP($C59,'Final SEA Counts'!$A$2:$F$709,6,FALSE)</f>
        <v>3876</v>
      </c>
      <c r="K59" s="24">
        <f t="shared" si="91"/>
        <v>12768.638772792443</v>
      </c>
      <c r="L59" s="24">
        <f t="shared" si="91"/>
        <v>2392.1876472165959</v>
      </c>
      <c r="M59" s="4">
        <f t="shared" si="92"/>
        <v>0.18734868217228418</v>
      </c>
      <c r="N59" s="31">
        <f>IFERROR(VLOOKUP($B59,Allocation!$D$10:$O$235,8,FALSE),"")</f>
        <v>1236553.5679889577</v>
      </c>
      <c r="O59" s="31">
        <f>IFERROR(VLOOKUP($B59,Allocation!$D$10:$O$235,9,FALSE),"")</f>
        <v>293012.85463998525</v>
      </c>
      <c r="P59" s="31">
        <f>IFERROR(VLOOKUP($B59,Allocation!$D$10:$O$235,10,FALSE),"")</f>
        <v>520382.7188330295</v>
      </c>
      <c r="Q59" s="31">
        <f>IFERROR(VLOOKUP($B59,Allocation!$D$10:$O$235,11,FALSE),"")</f>
        <v>440540.43307626859</v>
      </c>
      <c r="R59" s="31">
        <f>IFERROR(VLOOKUP($B59,Allocation!$D$10:$O$235,12,FALSE),"")</f>
        <v>2490489.5745382411</v>
      </c>
      <c r="S59" s="31">
        <f t="shared" si="93"/>
        <v>1179891.7253667274</v>
      </c>
      <c r="T59" s="31">
        <f t="shared" si="93"/>
        <v>279630.17148907989</v>
      </c>
      <c r="U59" s="31">
        <f t="shared" si="93"/>
        <v>496838.03450367</v>
      </c>
      <c r="V59" s="31">
        <f t="shared" si="93"/>
        <v>421274.83703587705</v>
      </c>
      <c r="W59" s="31">
        <f t="shared" si="94"/>
        <v>1179891.7253667274</v>
      </c>
      <c r="X59" s="31">
        <f t="shared" si="94"/>
        <v>279630.17148907989</v>
      </c>
      <c r="Y59" s="31">
        <f t="shared" si="94"/>
        <v>496838.03450367</v>
      </c>
      <c r="Z59" s="31">
        <f t="shared" si="94"/>
        <v>421274.83703587705</v>
      </c>
      <c r="AA59" s="31">
        <f t="shared" si="95"/>
        <v>1180317.8511216471</v>
      </c>
      <c r="AB59" s="31">
        <f t="shared" si="95"/>
        <v>280245.18574186362</v>
      </c>
      <c r="AC59" s="31">
        <f t="shared" si="95"/>
        <v>497111.59743266919</v>
      </c>
      <c r="AD59" s="31">
        <f t="shared" si="95"/>
        <v>421505.89187103399</v>
      </c>
      <c r="AE59" s="31">
        <f t="shared" si="96"/>
        <v>2379180.5261672139</v>
      </c>
      <c r="AF59" s="31">
        <f>IFERROR(VLOOKUP(A59,'Allocations By Type'!$D$7:$F$491,3,FALSE),"")</f>
        <v>2614809.41</v>
      </c>
      <c r="AG59" s="31" t="str">
        <f t="shared" si="97"/>
        <v/>
      </c>
      <c r="AH59" s="31" t="str">
        <f t="shared" si="98"/>
        <v/>
      </c>
      <c r="AI59" s="31">
        <f t="shared" si="99"/>
        <v>2379180.5261672139</v>
      </c>
      <c r="AJ59" s="31">
        <f>AI59/$AI$577*'State Admin 1004(b)'!$B$30*0.01</f>
        <v>22641.469782202996</v>
      </c>
      <c r="AK59" s="31">
        <f t="shared" si="100"/>
        <v>2356539.0563850109</v>
      </c>
      <c r="AL59" s="31">
        <f t="shared" si="101"/>
        <v>23565.390563850109</v>
      </c>
      <c r="AM59" s="31">
        <f t="shared" si="102"/>
        <v>2332973.6658211607</v>
      </c>
      <c r="AP59" s="31"/>
      <c r="AQ59" s="4">
        <f t="shared" si="103"/>
        <v>0.89221556909616617</v>
      </c>
      <c r="AR59" s="4">
        <f>VLOOKUP(B59,Allocation!$D$10:$P$235,13,FALSE)</f>
        <v>0.89999999999999991</v>
      </c>
      <c r="AS59" s="4">
        <f t="shared" si="104"/>
        <v>0.9</v>
      </c>
      <c r="AT59" s="4" t="str">
        <f t="shared" si="105"/>
        <v>Review</v>
      </c>
      <c r="AU59" s="31">
        <f t="shared" si="106"/>
        <v>20354.803178839386</v>
      </c>
      <c r="AV59" s="31">
        <f t="shared" si="107"/>
        <v>2353328.469</v>
      </c>
      <c r="AW59" s="31">
        <f t="shared" si="108"/>
        <v>2353328.469</v>
      </c>
      <c r="AX59" s="4">
        <f t="shared" si="109"/>
        <v>0.89999999999999991</v>
      </c>
      <c r="AY59" s="4" t="str">
        <f t="shared" si="110"/>
        <v/>
      </c>
      <c r="AZ59" s="174" t="str">
        <f>IFERROR(IF(VLOOKUP(A59,#REF!,11,FALSE)=0,"",VLOOKUP(A59,#REF!,11,FALSE)),"")</f>
        <v/>
      </c>
      <c r="BA59" s="31" t="str">
        <f t="shared" si="111"/>
        <v/>
      </c>
      <c r="BB59" s="31">
        <f t="shared" si="112"/>
        <v>2353328.469</v>
      </c>
      <c r="BD59" s="31">
        <f>IFERROR(VLOOKUP(A59,'Title II Hold Harmless'!A$1:B$439,2, FALSE),"")</f>
        <v>339668</v>
      </c>
      <c r="BE59" s="31">
        <f t="shared" si="113"/>
        <v>381259.54263242852</v>
      </c>
      <c r="BF59" s="31">
        <f t="shared" si="114"/>
        <v>381628.4339906816</v>
      </c>
      <c r="BG59" s="31" t="str">
        <f t="shared" si="115"/>
        <v/>
      </c>
      <c r="BH59" s="31">
        <f t="shared" si="116"/>
        <v>381628.4339906816</v>
      </c>
    </row>
    <row r="60" spans="1:60" x14ac:dyDescent="0.3">
      <c r="A60" s="1">
        <v>30305000</v>
      </c>
      <c r="B60">
        <v>401920</v>
      </c>
      <c r="C60">
        <v>4198</v>
      </c>
      <c r="D60" s="147" t="s">
        <v>533</v>
      </c>
      <c r="E60" t="s">
        <v>163</v>
      </c>
      <c r="F60" s="47">
        <f>VLOOKUP(B60,'Formula counts'!$D$9:$L$234,9,FALSE)</f>
        <v>28</v>
      </c>
      <c r="G60" s="47">
        <f>VLOOKUP(B60,'Formula counts'!$D$9:$K$234,8,FALSE)</f>
        <v>10</v>
      </c>
      <c r="H60" s="4">
        <f>VLOOKUP(B60,'Formula counts'!$D$9:$M$234,10,FALSE)</f>
        <v>0.35714285714285715</v>
      </c>
      <c r="I60" s="47"/>
      <c r="J60" s="47"/>
      <c r="K60" s="24">
        <f t="shared" si="91"/>
        <v>26.948208761452356</v>
      </c>
      <c r="L60" s="24">
        <f t="shared" si="91"/>
        <v>9.4928081238753812</v>
      </c>
      <c r="M60" s="4">
        <f t="shared" si="92"/>
        <v>0.35226119138034212</v>
      </c>
      <c r="N60" s="31">
        <f>IFERROR(VLOOKUP($B60,Allocation!$D$10:$O$235,8,FALSE),"")</f>
        <v>5359.0746811346335</v>
      </c>
      <c r="O60" s="31">
        <f>IFERROR(VLOOKUP($B60,Allocation!$D$10:$O$235,9,FALSE),"")</f>
        <v>1245.8865924045476</v>
      </c>
      <c r="P60" s="31">
        <f>IFERROR(VLOOKUP($B60,Allocation!$D$10:$O$235,10,FALSE),"")</f>
        <v>3438.3218081943678</v>
      </c>
      <c r="Q60" s="31">
        <f>IFERROR(VLOOKUP($B60,Allocation!$D$10:$O$235,11,FALSE),"")</f>
        <v>2899.4562654800729</v>
      </c>
      <c r="R60" s="31">
        <f>IFERROR(VLOOKUP($B60,Allocation!$D$10:$O$235,12,FALSE),"")</f>
        <v>12942.739347213621</v>
      </c>
      <c r="S60" s="31">
        <f t="shared" si="93"/>
        <v>5113.5090590345953</v>
      </c>
      <c r="T60" s="31">
        <f t="shared" si="93"/>
        <v>1188.9836093303165</v>
      </c>
      <c r="U60" s="31">
        <f t="shared" si="93"/>
        <v>3282.7551479904496</v>
      </c>
      <c r="V60" s="31">
        <f t="shared" si="93"/>
        <v>2772.6580218830986</v>
      </c>
      <c r="AA60" s="31" t="str">
        <f t="shared" si="95"/>
        <v/>
      </c>
      <c r="AB60" s="31" t="str">
        <f t="shared" si="95"/>
        <v/>
      </c>
      <c r="AC60" s="31" t="str">
        <f t="shared" si="95"/>
        <v/>
      </c>
      <c r="AD60" s="31" t="str">
        <f t="shared" si="95"/>
        <v/>
      </c>
      <c r="AE60" s="31">
        <f t="shared" si="96"/>
        <v>0</v>
      </c>
      <c r="AF60" s="31">
        <f>IFERROR(VLOOKUP(A60,'Allocations By Type'!$D$7:$F$491,3,FALSE),"")</f>
        <v>13097.63</v>
      </c>
      <c r="AG60" s="31" t="str">
        <f t="shared" si="97"/>
        <v/>
      </c>
      <c r="AH60" s="31" t="str">
        <f t="shared" si="98"/>
        <v/>
      </c>
      <c r="AI60" s="31">
        <f t="shared" si="99"/>
        <v>0</v>
      </c>
      <c r="AJ60" s="31">
        <f>AI60/$AI$577*'State Admin 1004(b)'!$B$30*0.01</f>
        <v>0</v>
      </c>
      <c r="AK60" s="31">
        <f t="shared" si="100"/>
        <v>0</v>
      </c>
      <c r="AL60" s="31">
        <f t="shared" si="101"/>
        <v>0</v>
      </c>
      <c r="AM60" s="31">
        <f t="shared" si="102"/>
        <v>0</v>
      </c>
      <c r="AP60" s="31"/>
      <c r="AQ60" s="4">
        <f t="shared" si="103"/>
        <v>0</v>
      </c>
      <c r="AR60" s="4">
        <f>VLOOKUP(B60,Allocation!$D$10:$P$235,13,FALSE)</f>
        <v>0.94999999999999984</v>
      </c>
      <c r="AS60" s="4">
        <f t="shared" si="104"/>
        <v>0.95</v>
      </c>
      <c r="AU60" s="31" t="str">
        <f t="shared" si="106"/>
        <v/>
      </c>
      <c r="AV60" s="31" t="str">
        <f t="shared" si="107"/>
        <v/>
      </c>
      <c r="AY60" s="4"/>
      <c r="AZ60" s="174" t="str">
        <f>IFERROR(IF(VLOOKUP(A60,#REF!,11,FALSE)=0,"",VLOOKUP(A60,#REF!,11,FALSE)),"")</f>
        <v/>
      </c>
      <c r="BA60" s="31" t="str">
        <f t="shared" si="111"/>
        <v/>
      </c>
      <c r="BB60" s="31">
        <f t="shared" si="112"/>
        <v>0</v>
      </c>
      <c r="BD60" s="31" t="str">
        <f>IFERROR(VLOOKUP(A60,'Title II Hold Harmless'!A$1:B$439,2, FALSE),"")</f>
        <v/>
      </c>
      <c r="BE60" s="31"/>
      <c r="BF60" s="31"/>
      <c r="BG60" s="31" t="str">
        <f t="shared" si="115"/>
        <v/>
      </c>
      <c r="BH60" s="31">
        <f t="shared" si="116"/>
        <v>0</v>
      </c>
    </row>
    <row r="61" spans="1:60" x14ac:dyDescent="0.3">
      <c r="A61" s="1"/>
      <c r="B61">
        <v>481005</v>
      </c>
      <c r="D61" s="147" t="s">
        <v>881</v>
      </c>
      <c r="E61" t="s">
        <v>163</v>
      </c>
      <c r="F61" s="47">
        <f>VLOOKUP(B61,'Formula counts'!$D$9:$L$234,9,FALSE)</f>
        <v>91</v>
      </c>
      <c r="G61" s="47">
        <f>VLOOKUP(B61,'Formula counts'!$D$9:$K$234,8,FALSE)</f>
        <v>20</v>
      </c>
      <c r="H61" s="4">
        <f>VLOOKUP(B61,'Formula counts'!$D$9:$M$234,10,FALSE)</f>
        <v>0.21978021978021978</v>
      </c>
      <c r="N61" s="31">
        <f>IFERROR(VLOOKUP($B61,Allocation!$D$10:$O$235,8,FALSE),"")</f>
        <v>24512.043864900017</v>
      </c>
      <c r="O61" s="31">
        <f>IFERROR(VLOOKUP($B61,Allocation!$D$10:$O$235,9,FALSE),"")</f>
        <v>5754.5546301821068</v>
      </c>
      <c r="P61" s="31">
        <f>IFERROR(VLOOKUP($B61,Allocation!$D$10:$O$235,10,FALSE),"")</f>
        <v>11097.324823627241</v>
      </c>
      <c r="Q61" s="31">
        <f>IFERROR(VLOOKUP($B61,Allocation!$D$10:$O$235,11,FALSE),"")</f>
        <v>11222.836358768269</v>
      </c>
      <c r="R61" s="31">
        <f>IFERROR(VLOOKUP($B61,Allocation!$D$10:$O$235,12,FALSE),"")</f>
        <v>52586.759677477632</v>
      </c>
      <c r="AF61" s="31" t="str">
        <f>IFERROR(VLOOKUP(A61,'Allocations By Type'!$D$7:$F$491,3,FALSE),"")</f>
        <v/>
      </c>
      <c r="AQ61" s="4" t="str">
        <f t="shared" si="103"/>
        <v/>
      </c>
      <c r="AZ61" s="174" t="str">
        <f>IFERROR(IF(VLOOKUP(A61,#REF!,11,FALSE)=0,"",VLOOKUP(A61,#REF!,11,FALSE)),"")</f>
        <v/>
      </c>
      <c r="BA61" s="31" t="str">
        <f t="shared" si="111"/>
        <v/>
      </c>
      <c r="BB61" s="31">
        <f t="shared" si="112"/>
        <v>0</v>
      </c>
      <c r="BD61" s="31" t="str">
        <f>IFERROR(VLOOKUP(A61,'Title II Hold Harmless'!A$1:B$439,2, FALSE),"")</f>
        <v/>
      </c>
      <c r="BE61" s="31">
        <f>IFERROR($BD$582*(0.8*($L61/$L$579)+0.2*($K61/$K$579))+$BD61,$BD$582*(0.8*($L61/$L$579)+0.2*($K61/$K$579)))</f>
        <v>0</v>
      </c>
      <c r="BF61" s="31">
        <f>$BD$583*BE61</f>
        <v>0</v>
      </c>
      <c r="BG61" s="31" t="str">
        <f t="shared" si="115"/>
        <v/>
      </c>
      <c r="BH61" s="31">
        <f t="shared" si="116"/>
        <v>0</v>
      </c>
    </row>
    <row r="62" spans="1:60" x14ac:dyDescent="0.3">
      <c r="A62" s="1">
        <v>38752000</v>
      </c>
      <c r="B62">
        <f>VLOOKUP(C62,'NCES ID'!$A$2:$B$3136,2,FALSE)</f>
        <v>400098</v>
      </c>
      <c r="C62">
        <f>VLOOKUP(A62,'State ID'!$A$2:$B$713,2,FALSE)</f>
        <v>4207</v>
      </c>
      <c r="D62" s="147" t="s">
        <v>162</v>
      </c>
      <c r="E62" t="s">
        <v>163</v>
      </c>
      <c r="I62" s="47">
        <f>VLOOKUP($C62,'Final SEA Counts'!$A$2:$F$709,5,FALSE)</f>
        <v>298</v>
      </c>
      <c r="J62" s="47">
        <f>VLOOKUP($C62,'Final SEA Counts'!$A$2:$F$709,6,FALSE)</f>
        <v>73</v>
      </c>
      <c r="K62" s="24">
        <f>I62</f>
        <v>298</v>
      </c>
      <c r="L62" s="24">
        <f>J62*$B$68</f>
        <v>44.54450511562429</v>
      </c>
      <c r="M62" s="4">
        <f>L62/K62</f>
        <v>0.14947820508598755</v>
      </c>
      <c r="N62" s="31" t="str">
        <f>IFERROR(VLOOKUP($B62,#REF!,8,FALSE),"")</f>
        <v/>
      </c>
      <c r="O62" s="31" t="str">
        <f>IFERROR(VLOOKUP($B62,#REF!,9,FALSE),"")</f>
        <v/>
      </c>
      <c r="P62" s="31" t="str">
        <f>IFERROR(VLOOKUP($B62,#REF!,10,FALSE),"")</f>
        <v/>
      </c>
      <c r="Q62" s="31" t="str">
        <f>IFERROR(VLOOKUP($B62,#REF!,11,FALSE),"")</f>
        <v/>
      </c>
      <c r="R62" s="31" t="str">
        <f>IFERROR(VLOOKUP($B62,#REF!,12,FALSE),"")</f>
        <v/>
      </c>
      <c r="S62" s="31">
        <f t="shared" ref="S62:V66" si="117">$L62*N$69</f>
        <v>24154.951233171283</v>
      </c>
      <c r="T62" s="31">
        <f t="shared" si="117"/>
        <v>5576.1731712904739</v>
      </c>
      <c r="U62" s="31">
        <f t="shared" si="117"/>
        <v>10264.63697574248</v>
      </c>
      <c r="V62" s="31">
        <f t="shared" si="117"/>
        <v>8945.48472727423</v>
      </c>
      <c r="W62" s="31">
        <f>IF(AND($L62&gt;9,$L62&gt;($K62*0.02)),S62,"")</f>
        <v>24154.951233171283</v>
      </c>
      <c r="X62" s="31" t="str">
        <f>IF(W62="","",IF(OR($L62&gt;6500,$L62&gt;($K62*0.15)),T62,""))</f>
        <v/>
      </c>
      <c r="Y62" s="31">
        <f t="shared" ref="Y62:Z65" si="118">IF(AND($L62&gt;9,$L62&gt;($K62*0.05)),U62,"")</f>
        <v>10264.63697574248</v>
      </c>
      <c r="Z62" s="31">
        <f t="shared" si="118"/>
        <v>8945.48472727423</v>
      </c>
      <c r="AA62" s="31">
        <f t="shared" ref="AA62:AD66" si="119">IF(W62="","",W62+W$69)</f>
        <v>24581.076988090845</v>
      </c>
      <c r="AB62" s="31" t="str">
        <f t="shared" si="119"/>
        <v/>
      </c>
      <c r="AC62" s="31">
        <f t="shared" si="119"/>
        <v>10538.199904741692</v>
      </c>
      <c r="AD62" s="31">
        <f t="shared" si="119"/>
        <v>9176.539562431155</v>
      </c>
      <c r="AE62" s="31">
        <f>SUM(AA62:AD62)</f>
        <v>44295.816455263695</v>
      </c>
      <c r="AF62" s="31">
        <f>IFERROR(VLOOKUP(A62,'Allocations By Type'!$D$7:$F$491,3,FALSE),"")</f>
        <v>20649.32</v>
      </c>
      <c r="AG62" s="31">
        <f>IF(AE62&gt;AF62,AE62*0.04,"")</f>
        <v>1771.8326582105478</v>
      </c>
      <c r="AH62" s="31">
        <f>IF(AG62="","",IF((AE62-AF62)&gt;AG62,AG62,AE62-AF62))</f>
        <v>1771.8326582105478</v>
      </c>
      <c r="AI62" s="31">
        <f>IF(AH62="",AE62,AE62-AH62)</f>
        <v>42523.983797053144</v>
      </c>
      <c r="AJ62" s="31">
        <f>AI62/$AI$577*'State Admin 1004(b)'!$B$30*0.01</f>
        <v>404.67946150808416</v>
      </c>
      <c r="AK62" s="31">
        <f>AI62-AJ62</f>
        <v>42119.304335545057</v>
      </c>
      <c r="AL62" s="31">
        <f>AK62*0.01</f>
        <v>421.19304335545058</v>
      </c>
      <c r="AM62" s="31">
        <f>AK62-AL62</f>
        <v>41698.111292189606</v>
      </c>
      <c r="AP62" s="31"/>
      <c r="AQ62" s="4">
        <f>IFERROR(AM62/AF62,"")</f>
        <v>2.019345493807525</v>
      </c>
      <c r="AW62" s="31">
        <f>IF(AV62="",AM62-AM62/($AM$68-$AV$68+$AU$68)*$AU$68,AV62)</f>
        <v>36909.17538764693</v>
      </c>
      <c r="AX62" s="4">
        <f t="shared" ref="AX62:AX65" si="120">IFERROR(AW62/AF62,"")</f>
        <v>1.7874281277856574</v>
      </c>
      <c r="AY62" s="4" t="str">
        <f>IF(AX62&lt;AS62,"Manual Adj","")</f>
        <v/>
      </c>
      <c r="AZ62" s="174" t="str">
        <f>IFERROR(IF(VLOOKUP(A62,#REF!,11,FALSE)=0,"",VLOOKUP(A62,#REF!,11,FALSE)),"")</f>
        <v/>
      </c>
      <c r="BA62" s="31" t="str">
        <f t="shared" si="111"/>
        <v/>
      </c>
      <c r="BB62" s="31">
        <f t="shared" si="112"/>
        <v>36909.17538764693</v>
      </c>
      <c r="BD62" s="31">
        <f>IFERROR(VLOOKUP(A62,'Title II Hold Harmless'!A$1:B$439,2, FALSE),"")</f>
        <v>2593</v>
      </c>
      <c r="BE62" s="31">
        <f>IFERROR($BD$582*(0.8*($L62/$L$579)+0.2*($K62/$K$579))+$BD62,$BD$582*(0.8*($L62/$L$579)+0.2*($K62/$K$579)))</f>
        <v>3415.9478554353873</v>
      </c>
      <c r="BF62" s="31">
        <f>$BD$583*BE62</f>
        <v>3419.2529888240829</v>
      </c>
      <c r="BG62" s="31" t="str">
        <f t="shared" si="115"/>
        <v/>
      </c>
      <c r="BH62" s="31">
        <f t="shared" si="116"/>
        <v>3419.2529888240829</v>
      </c>
    </row>
    <row r="63" spans="1:60" x14ac:dyDescent="0.3">
      <c r="A63" s="1">
        <v>38753000</v>
      </c>
      <c r="B63">
        <f>VLOOKUP(C63,'NCES ID'!$A$2:$B$3136,2,FALSE)</f>
        <v>400213</v>
      </c>
      <c r="C63">
        <f>VLOOKUP(A63,'State ID'!$A$2:$B$713,2,FALSE)</f>
        <v>79086</v>
      </c>
      <c r="D63" s="147" t="s">
        <v>316</v>
      </c>
      <c r="E63" t="s">
        <v>163</v>
      </c>
      <c r="I63" s="47">
        <f>VLOOKUP($C63,'Final SEA Counts'!$A$2:$F$709,5,FALSE)</f>
        <v>106</v>
      </c>
      <c r="J63" s="47">
        <f>VLOOKUP($C63,'Final SEA Counts'!$A$2:$F$709,6,FALSE)</f>
        <v>78</v>
      </c>
      <c r="K63" s="24">
        <f>I63</f>
        <v>106</v>
      </c>
      <c r="L63" s="24">
        <f>J63*$B$68</f>
        <v>47.595498616694442</v>
      </c>
      <c r="M63" s="4">
        <f>L63/K63</f>
        <v>0.44901413789334377</v>
      </c>
      <c r="N63" s="31" t="str">
        <f>IFERROR(VLOOKUP($B63,#REF!,8,FALSE),"")</f>
        <v/>
      </c>
      <c r="O63" s="31" t="str">
        <f>IFERROR(VLOOKUP($B63,#REF!,9,FALSE),"")</f>
        <v/>
      </c>
      <c r="P63" s="31" t="str">
        <f>IFERROR(VLOOKUP($B63,#REF!,10,FALSE),"")</f>
        <v/>
      </c>
      <c r="Q63" s="31" t="str">
        <f>IFERROR(VLOOKUP($B63,#REF!,11,FALSE),"")</f>
        <v/>
      </c>
      <c r="R63" s="31" t="str">
        <f>IFERROR(VLOOKUP($B63,#REF!,12,FALSE),"")</f>
        <v/>
      </c>
      <c r="S63" s="31">
        <f t="shared" si="117"/>
        <v>25809.399947772054</v>
      </c>
      <c r="T63" s="31">
        <f t="shared" si="117"/>
        <v>5958.1028405569441</v>
      </c>
      <c r="U63" s="31">
        <f t="shared" si="117"/>
        <v>10967.694302848129</v>
      </c>
      <c r="V63" s="31">
        <f t="shared" si="117"/>
        <v>9558.1891606491754</v>
      </c>
      <c r="W63" s="31">
        <f>IF(AND($L63&gt;9,$L63&gt;($K63*0.02)),S63,"")</f>
        <v>25809.399947772054</v>
      </c>
      <c r="X63" s="31">
        <f>IF(W63="","",IF(OR($L63&gt;6500,$L63&gt;($K63*0.15)),T63,""))</f>
        <v>5958.1028405569441</v>
      </c>
      <c r="Y63" s="31">
        <f t="shared" si="118"/>
        <v>10967.694302848129</v>
      </c>
      <c r="Z63" s="31">
        <f t="shared" si="118"/>
        <v>9558.1891606491754</v>
      </c>
      <c r="AA63" s="31">
        <f t="shared" si="119"/>
        <v>26235.525702691615</v>
      </c>
      <c r="AB63" s="31">
        <f t="shared" si="119"/>
        <v>6573.1170933406538</v>
      </c>
      <c r="AC63" s="31">
        <f t="shared" si="119"/>
        <v>11241.257231847341</v>
      </c>
      <c r="AD63" s="31">
        <f t="shared" si="119"/>
        <v>9789.2439958061004</v>
      </c>
      <c r="AE63" s="31">
        <f>SUM(AA63:AD63)</f>
        <v>53839.144023685709</v>
      </c>
      <c r="AF63" s="31">
        <f>IFERROR(VLOOKUP(A63,'Allocations By Type'!$D$7:$F$491,3,FALSE),"")</f>
        <v>47515.5</v>
      </c>
      <c r="AG63" s="31">
        <f>IF(AE63&gt;AF63,AE63*0.04,"")</f>
        <v>2153.5657609474283</v>
      </c>
      <c r="AH63" s="31">
        <f>IF(AG63="","",IF((AE63-AF63)&gt;AG63,AG63,AE63-AF63))</f>
        <v>2153.5657609474283</v>
      </c>
      <c r="AI63" s="31">
        <f>IF(AH63="",AE63,AE63-AH63)</f>
        <v>51685.57826273828</v>
      </c>
      <c r="AJ63" s="31">
        <f>AI63/$AI$577*'State Admin 1004(b)'!$B$30*0.01</f>
        <v>491.86576871352128</v>
      </c>
      <c r="AK63" s="31">
        <f>AI63-AJ63</f>
        <v>51193.71249402476</v>
      </c>
      <c r="AL63" s="31">
        <f>AK63*0.01</f>
        <v>511.9371249402476</v>
      </c>
      <c r="AM63" s="31">
        <f>AK63-AL63</f>
        <v>50681.775369084513</v>
      </c>
      <c r="AP63" s="31"/>
      <c r="AQ63" s="4">
        <f t="shared" ref="AQ63:AQ65" si="121">IFERROR(AM63/AF63,"")</f>
        <v>1.0666366842206125</v>
      </c>
      <c r="AW63" s="31">
        <f>IF(AV63="",AM63-AM63/($AM$68-$AV$68+$AU$68)*$AU$68,AV63)</f>
        <v>44861.085504494957</v>
      </c>
      <c r="AX63" s="4">
        <f t="shared" si="120"/>
        <v>0.94413581893266318</v>
      </c>
      <c r="AY63" s="4" t="str">
        <f>IF(AX63&lt;AS63,"Manual Adj","")</f>
        <v/>
      </c>
      <c r="AZ63" s="174" t="str">
        <f>IFERROR(IF(VLOOKUP(A63,#REF!,11,FALSE)=0,"",VLOOKUP(A63,#REF!,11,FALSE)),"")</f>
        <v/>
      </c>
      <c r="BA63" s="31" t="str">
        <f t="shared" si="111"/>
        <v/>
      </c>
      <c r="BB63" s="31">
        <f t="shared" si="112"/>
        <v>44861.085504494957</v>
      </c>
      <c r="BD63" s="31">
        <f>IFERROR(VLOOKUP(A63,'Title II Hold Harmless'!A$1:B$439,2, FALSE),"")</f>
        <v>1448</v>
      </c>
      <c r="BE63" s="31">
        <f>IFERROR($BD$582*(0.8*($L63/$L$579)+0.2*($K63/$K$579))+$BD63,$BD$582*(0.8*($L63/$L$579)+0.2*($K63/$K$579)))</f>
        <v>2156.3658731328924</v>
      </c>
      <c r="BF63" s="31">
        <f>$BD$583*BE63</f>
        <v>2158.452285791152</v>
      </c>
      <c r="BG63" s="31" t="str">
        <f t="shared" si="115"/>
        <v/>
      </c>
      <c r="BH63" s="31">
        <f t="shared" si="116"/>
        <v>2158.452285791152</v>
      </c>
    </row>
    <row r="64" spans="1:60" x14ac:dyDescent="0.3">
      <c r="A64" s="1">
        <v>38702000</v>
      </c>
      <c r="B64">
        <f>VLOOKUP(C64,'NCES ID'!$A$2:$B$3136,2,FALSE)</f>
        <v>400350</v>
      </c>
      <c r="C64">
        <f>VLOOKUP(A64,'State ID'!$A$2:$B$713,2,FALSE)</f>
        <v>79866</v>
      </c>
      <c r="D64" s="147" t="s">
        <v>332</v>
      </c>
      <c r="E64" t="s">
        <v>163</v>
      </c>
      <c r="I64" s="47">
        <f>VLOOKUP($C64,'Final SEA Counts'!$A$2:$F$709,5,FALSE)</f>
        <v>186</v>
      </c>
      <c r="J64" s="47">
        <f>VLOOKUP($C64,'Final SEA Counts'!$A$2:$F$709,6,FALSE)</f>
        <v>156</v>
      </c>
      <c r="K64" s="24">
        <f>I64</f>
        <v>186</v>
      </c>
      <c r="L64" s="24">
        <f>J64*$B$68</f>
        <v>95.190997233388885</v>
      </c>
      <c r="M64" s="4">
        <f>L64/K64</f>
        <v>0.51177955501821981</v>
      </c>
      <c r="N64" s="31" t="str">
        <f>IFERROR(VLOOKUP($B64,#REF!,8,FALSE),"")</f>
        <v/>
      </c>
      <c r="O64" s="31" t="str">
        <f>IFERROR(VLOOKUP($B64,#REF!,9,FALSE),"")</f>
        <v/>
      </c>
      <c r="P64" s="31" t="str">
        <f>IFERROR(VLOOKUP($B64,#REF!,10,FALSE),"")</f>
        <v/>
      </c>
      <c r="Q64" s="31" t="str">
        <f>IFERROR(VLOOKUP($B64,#REF!,11,FALSE),"")</f>
        <v/>
      </c>
      <c r="R64" s="31" t="str">
        <f>IFERROR(VLOOKUP($B64,#REF!,12,FALSE),"")</f>
        <v/>
      </c>
      <c r="S64" s="31">
        <f t="shared" si="117"/>
        <v>51618.799895544107</v>
      </c>
      <c r="T64" s="31">
        <f t="shared" si="117"/>
        <v>11916.205681113888</v>
      </c>
      <c r="U64" s="31">
        <f t="shared" si="117"/>
        <v>21935.388605696258</v>
      </c>
      <c r="V64" s="31">
        <f t="shared" si="117"/>
        <v>19116.378321298351</v>
      </c>
      <c r="W64" s="31">
        <f>IF(AND($L64&gt;9,$L64&gt;($K64*0.02)),S64,"")</f>
        <v>51618.799895544107</v>
      </c>
      <c r="X64" s="31">
        <f>IF(W64="","",IF(OR($L64&gt;6500,$L64&gt;($K64*0.15)),T64,""))</f>
        <v>11916.205681113888</v>
      </c>
      <c r="Y64" s="31">
        <f t="shared" si="118"/>
        <v>21935.388605696258</v>
      </c>
      <c r="Z64" s="31">
        <f t="shared" si="118"/>
        <v>19116.378321298351</v>
      </c>
      <c r="AA64" s="31">
        <f t="shared" si="119"/>
        <v>52044.925650463672</v>
      </c>
      <c r="AB64" s="31">
        <f t="shared" si="119"/>
        <v>12531.219933897597</v>
      </c>
      <c r="AC64" s="31">
        <f t="shared" si="119"/>
        <v>22208.951534695469</v>
      </c>
      <c r="AD64" s="31">
        <f t="shared" si="119"/>
        <v>19347.433156455278</v>
      </c>
      <c r="AE64" s="31">
        <f>SUM(AA64:AD64)</f>
        <v>106132.53027551202</v>
      </c>
      <c r="AF64" s="31">
        <f>IFERROR(VLOOKUP(A64,'Allocations By Type'!$D$7:$F$491,3,FALSE),"")</f>
        <v>87069.31</v>
      </c>
      <c r="AG64" s="31">
        <f>IF(AE64&gt;AF64,AE64*0.04,"")</f>
        <v>4245.3012110204809</v>
      </c>
      <c r="AH64" s="31">
        <f>IF(AG64="","",IF((AE64-AF64)&gt;AG64,AG64,AE64-AF64))</f>
        <v>4245.3012110204809</v>
      </c>
      <c r="AI64" s="31">
        <f>IF(AH64="",AE64,AE64-AH64)</f>
        <v>101887.22906449153</v>
      </c>
      <c r="AJ64" s="31">
        <f>AI64/$AI$577*'State Admin 1004(b)'!$B$30*0.01</f>
        <v>969.60974280181506</v>
      </c>
      <c r="AK64" s="31">
        <f>AI64-AJ64</f>
        <v>100917.61932168972</v>
      </c>
      <c r="AL64" s="31">
        <f>AK64*0.01</f>
        <v>1009.1761932168972</v>
      </c>
      <c r="AM64" s="31">
        <f>AK64-AL64</f>
        <v>99908.44312847282</v>
      </c>
      <c r="AP64" s="31"/>
      <c r="AQ64" s="4">
        <f t="shared" si="121"/>
        <v>1.147458767371337</v>
      </c>
      <c r="AW64" s="31">
        <f>IF(AV64="",AM64-AM64/($AM$68-$AV$68+$AU$68)*$AU$68,AV64)</f>
        <v>88434.179291623164</v>
      </c>
      <c r="AX64" s="4">
        <f t="shared" si="120"/>
        <v>1.0156756644978944</v>
      </c>
      <c r="AY64" s="4" t="str">
        <f>IF(AX64&lt;AS64,"Manual Adj","")</f>
        <v/>
      </c>
      <c r="AZ64" s="174" t="str">
        <f>IFERROR(IF(VLOOKUP(A64,#REF!,11,FALSE)=0,"",VLOOKUP(A64,#REF!,11,FALSE)),"")</f>
        <v/>
      </c>
      <c r="BA64" s="31" t="str">
        <f t="shared" si="111"/>
        <v/>
      </c>
      <c r="BB64" s="31">
        <f t="shared" si="112"/>
        <v>88434.179291623164</v>
      </c>
      <c r="BD64" s="31" t="str">
        <f>IFERROR(VLOOKUP(A64,'Title II Hold Harmless'!A$1:B$439,2, FALSE),"")</f>
        <v/>
      </c>
      <c r="BE64" s="31">
        <f>IFERROR($BD$582*(0.8*($L64/$L$579)+0.2*($K64/$K$579))+$BD64,$BD$582*(0.8*($L64/$L$579)+0.2*($K64/$K$579)))</f>
        <v>1395.8069543389988</v>
      </c>
      <c r="BF64" s="31">
        <f>$BD$583*BE64</f>
        <v>1397.1574808587814</v>
      </c>
      <c r="BG64" s="31" t="str">
        <f t="shared" si="115"/>
        <v/>
      </c>
      <c r="BH64" s="31">
        <f t="shared" si="116"/>
        <v>1397.1574808587814</v>
      </c>
    </row>
    <row r="65" spans="1:60" x14ac:dyDescent="0.3">
      <c r="A65" s="1">
        <v>38706000</v>
      </c>
      <c r="B65">
        <f>VLOOKUP(C65,'NCES ID'!$A$2:$B$3136,2,FALSE)</f>
        <v>400018</v>
      </c>
      <c r="C65">
        <f>VLOOKUP(A65,'State ID'!$A$2:$B$713,2,FALSE)</f>
        <v>4201</v>
      </c>
      <c r="D65" s="147" t="s">
        <v>346</v>
      </c>
      <c r="E65" t="s">
        <v>163</v>
      </c>
      <c r="I65" s="47">
        <f>VLOOKUP($C65,'Final SEA Counts'!$A$2:$F$709,5,FALSE)</f>
        <v>247</v>
      </c>
      <c r="J65" s="47">
        <f>VLOOKUP($C65,'Final SEA Counts'!$A$2:$F$709,6,FALSE)</f>
        <v>99</v>
      </c>
      <c r="K65" s="24">
        <f>I65</f>
        <v>247</v>
      </c>
      <c r="L65" s="24">
        <f>J65*$B$68</f>
        <v>60.409671321189101</v>
      </c>
      <c r="M65" s="4">
        <f>L65/K65</f>
        <v>0.24457356810198017</v>
      </c>
      <c r="N65" s="31" t="str">
        <f>IFERROR(VLOOKUP($B65,#REF!,8,FALSE),"")</f>
        <v/>
      </c>
      <c r="O65" s="31" t="str">
        <f>IFERROR(VLOOKUP($B65,#REF!,9,FALSE),"")</f>
        <v/>
      </c>
      <c r="P65" s="31" t="str">
        <f>IFERROR(VLOOKUP($B65,#REF!,10,FALSE),"")</f>
        <v/>
      </c>
      <c r="Q65" s="31" t="str">
        <f>IFERROR(VLOOKUP($B65,#REF!,11,FALSE),"")</f>
        <v/>
      </c>
      <c r="R65" s="31" t="str">
        <f>IFERROR(VLOOKUP($B65,#REF!,12,FALSE),"")</f>
        <v/>
      </c>
      <c r="S65" s="31">
        <f t="shared" si="117"/>
        <v>32758.0845490953</v>
      </c>
      <c r="T65" s="31">
        <f t="shared" si="117"/>
        <v>7562.2074514761216</v>
      </c>
      <c r="U65" s="31">
        <f t="shared" si="117"/>
        <v>13920.535076691856</v>
      </c>
      <c r="V65" s="31">
        <f t="shared" si="117"/>
        <v>12131.547780823954</v>
      </c>
      <c r="W65" s="31">
        <f>IF(AND($L65&gt;9,$L65&gt;($K65*0.02)),S65,"")</f>
        <v>32758.0845490953</v>
      </c>
      <c r="X65" s="31">
        <f>IF(W65="","",IF(OR($L65&gt;6500,$L65&gt;($K65*0.15)),T65,""))</f>
        <v>7562.2074514761216</v>
      </c>
      <c r="Y65" s="31">
        <f t="shared" si="118"/>
        <v>13920.535076691856</v>
      </c>
      <c r="Z65" s="31">
        <f t="shared" si="118"/>
        <v>12131.547780823954</v>
      </c>
      <c r="AA65" s="31">
        <f t="shared" si="119"/>
        <v>33184.210304014865</v>
      </c>
      <c r="AB65" s="31">
        <f t="shared" si="119"/>
        <v>8177.2217042598313</v>
      </c>
      <c r="AC65" s="31">
        <f t="shared" si="119"/>
        <v>14194.098005691068</v>
      </c>
      <c r="AD65" s="31">
        <f t="shared" si="119"/>
        <v>12362.602615980879</v>
      </c>
      <c r="AE65" s="31">
        <f>SUM(AA65:AD65)</f>
        <v>67918.132629946645</v>
      </c>
      <c r="AF65" s="31">
        <f>IFERROR(VLOOKUP(A65,'Allocations By Type'!$D$7:$F$491,3,FALSE),"")</f>
        <v>52313.46</v>
      </c>
      <c r="AG65" s="31">
        <f>IF(AE65&gt;AF65,AE65*0.04,"")</f>
        <v>2716.725305197866</v>
      </c>
      <c r="AH65" s="31">
        <f>IF(AG65="","",IF((AE65-AF65)&gt;AG65,AG65,AE65-AF65))</f>
        <v>2716.725305197866</v>
      </c>
      <c r="AI65" s="31">
        <f>IF(AH65="",AE65,AE65-AH65)</f>
        <v>65201.407324748783</v>
      </c>
      <c r="AJ65" s="31">
        <f>AI65/$AI$577*'State Admin 1004(b)'!$B$30*0.01</f>
        <v>620.48914635267738</v>
      </c>
      <c r="AK65" s="31">
        <f>AI65-AJ65</f>
        <v>64580.918178396103</v>
      </c>
      <c r="AL65" s="31">
        <f>AK65*0.01</f>
        <v>645.80918178396109</v>
      </c>
      <c r="AM65" s="31">
        <f>AK65-AL65</f>
        <v>63935.108996612144</v>
      </c>
      <c r="AP65" s="31"/>
      <c r="AQ65" s="4">
        <f t="shared" si="121"/>
        <v>1.2221540880035873</v>
      </c>
      <c r="AW65" s="31">
        <f>IF(AV65="",AM65-AM65/($AM$68-$AV$68+$AU$68)*$AU$68,AV65)</f>
        <v>56592.303062567938</v>
      </c>
      <c r="AX65" s="4">
        <f t="shared" si="120"/>
        <v>1.0817923926761477</v>
      </c>
      <c r="AY65" s="4" t="str">
        <f>IF(AX65&lt;AS65,"Manual Adj","")</f>
        <v/>
      </c>
      <c r="AZ65" s="174" t="str">
        <f>IFERROR(IF(VLOOKUP(A65,#REF!,11,FALSE)=0,"",VLOOKUP(A65,#REF!,11,FALSE)),"")</f>
        <v/>
      </c>
      <c r="BA65" s="31" t="str">
        <f t="shared" si="111"/>
        <v/>
      </c>
      <c r="BB65" s="31">
        <f t="shared" si="112"/>
        <v>56592.303062567938</v>
      </c>
      <c r="BD65" s="31" t="str">
        <f>IFERROR(VLOOKUP(A65,'Title II Hold Harmless'!A$1:B$439,2, FALSE),"")</f>
        <v/>
      </c>
      <c r="BE65" s="31">
        <f>IFERROR($BD$582*(0.8*($L65/$L$579)+0.2*($K65/$K$579))+$BD65,$BD$582*(0.8*($L65/$L$579)+0.2*($K65/$K$579)))</f>
        <v>989.58877328689709</v>
      </c>
      <c r="BF65" s="31">
        <f>$BD$583*BE65</f>
        <v>990.54625947640807</v>
      </c>
      <c r="BG65" s="31" t="str">
        <f t="shared" si="115"/>
        <v/>
      </c>
      <c r="BH65" s="31">
        <f t="shared" si="116"/>
        <v>990.54625947640807</v>
      </c>
    </row>
    <row r="66" spans="1:60" s="47" customFormat="1" x14ac:dyDescent="0.3">
      <c r="A66" s="1"/>
      <c r="D66" s="191" t="s">
        <v>1411</v>
      </c>
      <c r="E66" s="47" t="s">
        <v>163</v>
      </c>
      <c r="H66" s="4"/>
      <c r="I66" s="24">
        <f>'AVA Metrics'!C4</f>
        <v>66.846807533302709</v>
      </c>
      <c r="J66" s="24">
        <f>'AVA Metrics'!D4</f>
        <v>34.974276527331192</v>
      </c>
      <c r="K66" s="24">
        <f>I66</f>
        <v>66.846807533302709</v>
      </c>
      <c r="L66" s="24">
        <f>J66*$B$68</f>
        <v>21.3412580779036</v>
      </c>
      <c r="M66" s="4">
        <f>L66/K66</f>
        <v>0.3192562048273061</v>
      </c>
      <c r="N66" s="31"/>
      <c r="O66" s="31"/>
      <c r="P66" s="31"/>
      <c r="Q66" s="31"/>
      <c r="R66" s="31"/>
      <c r="S66" s="31">
        <f t="shared" si="117"/>
        <v>11572.629368947015</v>
      </c>
      <c r="T66" s="31">
        <f t="shared" si="117"/>
        <v>2671.542773383539</v>
      </c>
      <c r="U66" s="31">
        <f t="shared" si="117"/>
        <v>4917.7842745518637</v>
      </c>
      <c r="V66" s="31">
        <f t="shared" si="117"/>
        <v>4285.7788564754346</v>
      </c>
      <c r="W66" s="31">
        <f>S66</f>
        <v>11572.629368947015</v>
      </c>
      <c r="X66" s="31">
        <f t="shared" ref="X66:Z66" si="122">T66</f>
        <v>2671.542773383539</v>
      </c>
      <c r="Y66" s="31">
        <f t="shared" si="122"/>
        <v>4917.7842745518637</v>
      </c>
      <c r="Z66" s="31">
        <f t="shared" si="122"/>
        <v>4285.7788564754346</v>
      </c>
      <c r="AA66" s="31">
        <f t="shared" si="119"/>
        <v>11998.755123866578</v>
      </c>
      <c r="AB66" s="31">
        <f t="shared" si="119"/>
        <v>3286.5570261672483</v>
      </c>
      <c r="AC66" s="31">
        <f t="shared" si="119"/>
        <v>5191.3472035510749</v>
      </c>
      <c r="AD66" s="31">
        <f t="shared" si="119"/>
        <v>4516.8336916323606</v>
      </c>
      <c r="AE66" s="31">
        <f>SUM(AA66:AD66)</f>
        <v>24993.493045217263</v>
      </c>
      <c r="AF66" s="31"/>
      <c r="AG66" s="31"/>
      <c r="AH66" s="31"/>
      <c r="AI66" s="31"/>
      <c r="AJ66" s="31"/>
      <c r="AK66" s="31"/>
      <c r="AL66" s="31"/>
      <c r="AM66" s="31"/>
      <c r="AP66" s="31"/>
      <c r="AQ66" s="4"/>
      <c r="AR66" s="4"/>
      <c r="AS66" s="4"/>
      <c r="AT66" s="4"/>
      <c r="AW66" s="31"/>
      <c r="AX66" s="4"/>
      <c r="AY66" s="4"/>
      <c r="AZ66" s="174"/>
      <c r="BA66" s="31"/>
      <c r="BB66" s="31"/>
      <c r="BD66" s="31"/>
      <c r="BE66" s="31"/>
      <c r="BF66" s="31"/>
      <c r="BG66" s="31"/>
      <c r="BH66" s="31"/>
    </row>
    <row r="67" spans="1:60" x14ac:dyDescent="0.3">
      <c r="A67" s="1"/>
      <c r="D67" s="147" t="s">
        <v>878</v>
      </c>
      <c r="K67" s="24">
        <f>SUM(K62:K66)</f>
        <v>903.84680753330269</v>
      </c>
      <c r="L67" s="24">
        <f>SUM(L62:L66)</f>
        <v>269.08193036480031</v>
      </c>
      <c r="S67" s="31">
        <f>SUM(S62:S66)</f>
        <v>145913.86499452975</v>
      </c>
      <c r="T67" s="31">
        <f t="shared" ref="T67:V67" si="123">SUM(T62:T66)</f>
        <v>33684.231917820973</v>
      </c>
      <c r="U67" s="31">
        <f t="shared" si="123"/>
        <v>62006.039235530588</v>
      </c>
      <c r="V67" s="31">
        <f t="shared" si="123"/>
        <v>54037.378846521147</v>
      </c>
    </row>
    <row r="68" spans="1:60" x14ac:dyDescent="0.3">
      <c r="A68" s="1" t="s">
        <v>880</v>
      </c>
      <c r="B68">
        <f>G68/J68</f>
        <v>0.61019870021403133</v>
      </c>
      <c r="D68" s="147" t="s">
        <v>879</v>
      </c>
      <c r="F68">
        <f>SUM(F53:F66)</f>
        <v>21730</v>
      </c>
      <c r="G68" s="47">
        <f>SUM(G53:G66)</f>
        <v>4931</v>
      </c>
      <c r="I68" s="24">
        <f>SUM(I53:I66)</f>
        <v>15335.846807533302</v>
      </c>
      <c r="J68" s="24">
        <f t="shared" ref="J68:L68" si="124">SUM(J53:J66)</f>
        <v>8080.9742765273313</v>
      </c>
      <c r="K68" s="24">
        <f t="shared" si="124"/>
        <v>21730.000000000004</v>
      </c>
      <c r="L68" s="24">
        <f t="shared" si="124"/>
        <v>4930.9999999999982</v>
      </c>
      <c r="N68" s="31">
        <f>SUM(N53:N66)</f>
        <v>2673911.5009045098</v>
      </c>
      <c r="O68" s="31">
        <f t="shared" ref="O68:AE68" si="125">SUM(O53:O66)</f>
        <v>617272.76655698812</v>
      </c>
      <c r="P68" s="31">
        <f t="shared" si="125"/>
        <v>1136277.6350529625</v>
      </c>
      <c r="Q68" s="31">
        <f t="shared" si="125"/>
        <v>990249.75304344005</v>
      </c>
      <c r="R68" s="31">
        <f t="shared" si="125"/>
        <v>5417711.6555579007</v>
      </c>
      <c r="S68" s="31">
        <f t="shared" si="125"/>
        <v>2673911.5009045103</v>
      </c>
      <c r="T68" s="31">
        <f t="shared" si="125"/>
        <v>617272.76655698812</v>
      </c>
      <c r="U68" s="31">
        <f t="shared" si="125"/>
        <v>1136277.6350529622</v>
      </c>
      <c r="V68" s="31">
        <f t="shared" si="125"/>
        <v>990249.7530434404</v>
      </c>
      <c r="W68" s="31">
        <f t="shared" si="125"/>
        <v>2668797.9918454755</v>
      </c>
      <c r="X68" s="31">
        <f t="shared" si="125"/>
        <v>610507.60977636732</v>
      </c>
      <c r="Y68" s="31">
        <f t="shared" si="125"/>
        <v>1132994.8799049717</v>
      </c>
      <c r="Z68" s="31">
        <f t="shared" si="125"/>
        <v>987477.0950215573</v>
      </c>
      <c r="AA68" s="31">
        <f t="shared" si="125"/>
        <v>2673911.5009045093</v>
      </c>
      <c r="AB68" s="31">
        <f t="shared" si="125"/>
        <v>617272.76655698824</v>
      </c>
      <c r="AC68" s="31">
        <f t="shared" si="125"/>
        <v>1136277.6350529627</v>
      </c>
      <c r="AD68" s="31">
        <f t="shared" si="125"/>
        <v>990249.75304344017</v>
      </c>
      <c r="AE68" s="31">
        <f t="shared" si="125"/>
        <v>5417711.6555579007</v>
      </c>
      <c r="AF68" s="31"/>
      <c r="AK68" s="31">
        <f>SUM(AK53:AK65)</f>
        <v>5320393.7253784835</v>
      </c>
      <c r="AL68" s="31"/>
      <c r="AM68" s="31">
        <f>SUM(AM53:AM65)</f>
        <v>5267189.7881246991</v>
      </c>
      <c r="AU68" s="31">
        <f>SUM(AU53:AU65)</f>
        <v>58658.636772524602</v>
      </c>
      <c r="AV68" s="31">
        <f>SUM(AV53:AV65)</f>
        <v>4815097.3075000001</v>
      </c>
      <c r="AW68" s="31">
        <f>SUM(AW53:AW65)</f>
        <v>5267189.7881246973</v>
      </c>
    </row>
    <row r="69" spans="1:60" x14ac:dyDescent="0.3">
      <c r="A69" s="1"/>
      <c r="N69" s="31">
        <f>N68/$L68</f>
        <v>542.26556497759293</v>
      </c>
      <c r="O69" s="31">
        <f>O68/$L68</f>
        <v>125.18206581970966</v>
      </c>
      <c r="P69" s="31">
        <f>P68/$L68</f>
        <v>230.43553742708636</v>
      </c>
      <c r="Q69" s="31">
        <f>Q68/$L68</f>
        <v>200.82128433247627</v>
      </c>
      <c r="R69" s="31" t="str">
        <f>IFERROR(VLOOKUP($B69,#REF!,12,FALSE),"")</f>
        <v/>
      </c>
      <c r="W69" s="31">
        <f>(S68-W68)/COUNT(W53:W66)</f>
        <v>426.12575491956278</v>
      </c>
      <c r="X69" s="31">
        <f>(T68-X68)/COUNT(X53:X66)</f>
        <v>615.01425278370948</v>
      </c>
      <c r="Y69" s="31">
        <f>(U68-Y68)/COUNT(Y53:Y66)</f>
        <v>273.56292899921146</v>
      </c>
      <c r="Z69" s="31">
        <f>(V68-Z68)/COUNT(Z53:Z66)</f>
        <v>231.05483515692563</v>
      </c>
    </row>
    <row r="70" spans="1:60" x14ac:dyDescent="0.3">
      <c r="A70" s="1"/>
      <c r="N70" s="31" t="str">
        <f>IFERROR(VLOOKUP($B70,#REF!,8,FALSE),"")</f>
        <v/>
      </c>
      <c r="O70" s="31" t="str">
        <f>IFERROR(VLOOKUP($B70,#REF!,9,FALSE),"")</f>
        <v/>
      </c>
      <c r="P70" s="31" t="str">
        <f>IFERROR(VLOOKUP($B70,#REF!,10,FALSE),"")</f>
        <v/>
      </c>
      <c r="Q70" s="31" t="str">
        <f>IFERROR(VLOOKUP($B70,#REF!,11,FALSE),"")</f>
        <v/>
      </c>
      <c r="R70" s="31" t="str">
        <f>IFERROR(VLOOKUP($B70,#REF!,12,FALSE),"")</f>
        <v/>
      </c>
    </row>
    <row r="71" spans="1:60" x14ac:dyDescent="0.3">
      <c r="A71" s="1">
        <v>40305000</v>
      </c>
      <c r="B71">
        <f>VLOOKUP(C71,'NCES ID'!$A$2:$B$3136,2,FALSE)</f>
        <v>409540</v>
      </c>
      <c r="C71">
        <f>VLOOKUP(A71,'State ID'!$A$2:$B$713,2,FALSE)</f>
        <v>4213</v>
      </c>
      <c r="D71" s="147" t="s">
        <v>449</v>
      </c>
      <c r="E71" t="s">
        <v>131</v>
      </c>
      <c r="F71" s="47">
        <f>VLOOKUP(B71,'Formula counts'!$D$9:$L$234,9,FALSE)</f>
        <v>95</v>
      </c>
      <c r="G71" s="47">
        <f>VLOOKUP(B71,'Formula counts'!$D$9:$K$234,8,FALSE)</f>
        <v>25</v>
      </c>
      <c r="H71" s="4">
        <f>VLOOKUP(B71,'Formula counts'!$D$9:$M$234,10,FALSE)</f>
        <v>0.26315789473684209</v>
      </c>
      <c r="I71" s="47">
        <f>VLOOKUP($C71,'Final SEA Counts'!$A$2:$F$709,5,FALSE)</f>
        <v>30</v>
      </c>
      <c r="J71" s="47">
        <f>VLOOKUP($C71,'Final SEA Counts'!$A$2:$F$709,6,FALSE)</f>
        <v>26</v>
      </c>
      <c r="K71" s="24">
        <f t="shared" ref="K71:L78" si="126">F71-(F71/(F$83-F$79))*K$82+(F71/(F$83-F$79))*F$79</f>
        <v>95.123042108358462</v>
      </c>
      <c r="L71" s="24">
        <f t="shared" si="126"/>
        <v>24.974599465129007</v>
      </c>
      <c r="M71" s="4">
        <f t="shared" ref="M71:M78" si="127">L71/K71</f>
        <v>0.26255047054402908</v>
      </c>
      <c r="N71" s="31">
        <f>IFERROR(VLOOKUP($B71,Allocation!$D$10:$O$235,8,FALSE),"")</f>
        <v>11863.709176655524</v>
      </c>
      <c r="O71" s="31">
        <f>IFERROR(VLOOKUP($B71,Allocation!$D$10:$O$235,9,FALSE),"")</f>
        <v>2893.5084389163617</v>
      </c>
      <c r="P71" s="31">
        <f>IFERROR(VLOOKUP($B71,Allocation!$D$10:$O$235,10,FALSE),"")</f>
        <v>5374.584260490542</v>
      </c>
      <c r="Q71" s="31">
        <f>IFERROR(VLOOKUP($B71,Allocation!$D$10:$O$235,11,FALSE),"")</f>
        <v>5067.0883168901564</v>
      </c>
      <c r="R71" s="31">
        <f>IFERROR(VLOOKUP($B71,Allocation!$D$10:$O$235,12,FALSE),"")</f>
        <v>25198.890192952585</v>
      </c>
      <c r="S71" s="31">
        <f t="shared" ref="S71:V78" si="128">IF(N71=0,"",N71-(N71/(N$83-N$79)*S$82-N71/(N$83-N$79)*N$79))</f>
        <v>12071.799138757307</v>
      </c>
      <c r="T71" s="31">
        <f t="shared" si="128"/>
        <v>2948.5873568065281</v>
      </c>
      <c r="U71" s="31">
        <f t="shared" si="128"/>
        <v>5520.6699926893689</v>
      </c>
      <c r="V71" s="31">
        <f t="shared" si="128"/>
        <v>5270.7803963635524</v>
      </c>
      <c r="W71" s="31">
        <f t="shared" ref="W71:Z78" si="129">IF(S71="0","",S71)</f>
        <v>12071.799138757307</v>
      </c>
      <c r="X71" s="31">
        <f t="shared" si="129"/>
        <v>2948.5873568065281</v>
      </c>
      <c r="Y71" s="31">
        <f t="shared" si="129"/>
        <v>5520.6699926893689</v>
      </c>
      <c r="Z71" s="31">
        <f t="shared" si="129"/>
        <v>5270.7803963635524</v>
      </c>
      <c r="AA71" s="31">
        <f t="shared" ref="AA71:AD78" si="130">IF(W71="","",W71+W$84)</f>
        <v>12071.799138757307</v>
      </c>
      <c r="AB71" s="31">
        <f t="shared" si="130"/>
        <v>2948.5873568065281</v>
      </c>
      <c r="AC71" s="31">
        <f t="shared" si="130"/>
        <v>5520.6699926893689</v>
      </c>
      <c r="AD71" s="31">
        <f t="shared" si="130"/>
        <v>5270.7803963635524</v>
      </c>
      <c r="AE71" s="31">
        <f t="shared" ref="AE71:AE78" si="131">SUM(AA71:AD71)</f>
        <v>25811.836884616758</v>
      </c>
      <c r="AF71" s="31">
        <f>IFERROR(VLOOKUP(A71,'Allocations By Type'!$D$7:$F$491,3,FALSE),"")</f>
        <v>28044.12</v>
      </c>
      <c r="AG71" s="31" t="str">
        <f t="shared" ref="AG71:AG78" si="132">IF(AE71&gt;AF71,AE71*0.04,"")</f>
        <v/>
      </c>
      <c r="AH71" s="31" t="str">
        <f t="shared" ref="AH71:AH78" si="133">IF(AG71="","",IF((AE71-AF71)&gt;AG71,AG71,AE71-AF71))</f>
        <v/>
      </c>
      <c r="AI71" s="31">
        <f t="shared" ref="AI71:AI78" si="134">IF(AH71="",AE71,AE71-AH71)</f>
        <v>25811.836884616758</v>
      </c>
      <c r="AJ71" s="31">
        <f>AI71/$AI$577*'State Admin 1004(b)'!$B$30*0.01</f>
        <v>245.63832732259374</v>
      </c>
      <c r="AK71" s="31">
        <f t="shared" ref="AK71:AK78" si="135">AI71-AJ71</f>
        <v>25566.198557294163</v>
      </c>
      <c r="AL71" s="31">
        <f t="shared" ref="AL71:AL78" si="136">AK71*0.01</f>
        <v>255.66198557294163</v>
      </c>
      <c r="AM71" s="31">
        <f t="shared" ref="AM71:AM78" si="137">AK71-AL71</f>
        <v>25310.536571721223</v>
      </c>
      <c r="AP71" s="31"/>
      <c r="AQ71" s="4">
        <f t="shared" ref="AQ71:AQ80" si="138">IFERROR(AM71/AF71,"")</f>
        <v>0.90252561220395655</v>
      </c>
      <c r="AR71" s="4">
        <f>VLOOKUP(B71,Allocation!$D$10:$P$235,13,FALSE)</f>
        <v>0.9</v>
      </c>
      <c r="AS71" s="4">
        <f t="shared" ref="AS71:AS78" si="139">IF(M71&gt;0.3,0.95,IF(M71&gt;0.15,0.9,0.85))</f>
        <v>0.9</v>
      </c>
      <c r="AT71" s="4" t="str">
        <f t="shared" ref="AT71:AT78" si="140">IF(AQ71&lt;AS71,"Review","")</f>
        <v/>
      </c>
      <c r="AU71" s="31" t="str">
        <f t="shared" ref="AU71:AU78" si="141">IF(AT71="Review",AM71*AS71/AQ71-AM71,"")</f>
        <v/>
      </c>
      <c r="AV71" s="31" t="str">
        <f t="shared" ref="AV71:AV78" si="142">IF(AU71="","",AU71+AM71)</f>
        <v/>
      </c>
      <c r="AW71" s="31">
        <f t="shared" ref="AW71:AW78" si="143">IF(AV71="",AM71-AM71/($AM$83-$AV$83+$AU$83)*$AU$83,AV71)</f>
        <v>25310.536571721223</v>
      </c>
      <c r="AX71" s="4">
        <f t="shared" ref="AX71:AX78" si="144">IFERROR(AW71/AF71,"")</f>
        <v>0.90252561220395655</v>
      </c>
      <c r="AY71" s="4" t="str">
        <f t="shared" ref="AY71:AY78" si="145">IF(AX71&lt;AS71,"Manual Adjustment","")</f>
        <v/>
      </c>
      <c r="AZ71" s="174" t="str">
        <f>IFERROR(IF(VLOOKUP(A71,#REF!,11,FALSE)=0,"",VLOOKUP(A71,#REF!,11,FALSE)),"")</f>
        <v/>
      </c>
      <c r="BA71" s="31" t="str">
        <f t="shared" ref="BA71:BA80" si="146">IF(AZ71&lt;0,AW71*AZ71/100,"")</f>
        <v/>
      </c>
      <c r="BB71" s="31">
        <f t="shared" ref="BB71:BB80" si="147">IF(BA71&lt;0,AW71+BA71,AW71)</f>
        <v>25310.536571721223</v>
      </c>
      <c r="BD71" s="31">
        <f>IFERROR(VLOOKUP(A71,'Title II Hold Harmless'!A$1:B$439,2, FALSE),"")</f>
        <v>2594</v>
      </c>
      <c r="BE71" s="31">
        <f t="shared" ref="BE71:BE80" si="148">IFERROR($BD$582*(0.8*($L71/$L$579)+0.2*($K71/$K$579))+$BD71,$BD$582*(0.8*($L71/$L$579)+0.2*($K71/$K$579)))</f>
        <v>2997.4893082834383</v>
      </c>
      <c r="BF71" s="31">
        <f t="shared" ref="BF71:BF80" si="149">$BD$583*BE71</f>
        <v>3000.3895580572462</v>
      </c>
      <c r="BG71" s="31" t="str">
        <f t="shared" ref="BG71:BG80" si="150">IF(AZ71&lt;0,BF71*AZ71/100,"")</f>
        <v/>
      </c>
      <c r="BH71" s="31">
        <f t="shared" ref="BH71:BH80" si="151">IF(BG71&lt;0,BF71+BG71,BF71)</f>
        <v>3000.3895580572462</v>
      </c>
    </row>
    <row r="72" spans="1:60" x14ac:dyDescent="0.3">
      <c r="A72" s="1">
        <v>40333000</v>
      </c>
      <c r="B72">
        <f>VLOOKUP(C72,'NCES ID'!$A$2:$B$3136,2,FALSE)</f>
        <v>405760</v>
      </c>
      <c r="C72">
        <f>VLOOKUP(A72,'State ID'!$A$2:$B$713,2,FALSE)</f>
        <v>4215</v>
      </c>
      <c r="D72" s="147" t="s">
        <v>418</v>
      </c>
      <c r="E72" t="s">
        <v>131</v>
      </c>
      <c r="F72" s="47">
        <f>VLOOKUP(B72,'Formula counts'!$D$9:$L$234,9,FALSE)</f>
        <v>102</v>
      </c>
      <c r="G72" s="47">
        <f>VLOOKUP(B72,'Formula counts'!$D$9:$K$234,8,FALSE)</f>
        <v>49</v>
      </c>
      <c r="H72" s="4">
        <f>VLOOKUP(B72,'Formula counts'!$D$9:$M$234,10,FALSE)</f>
        <v>0.48039215686274511</v>
      </c>
      <c r="I72" s="47">
        <f>VLOOKUP($C72,'Final SEA Counts'!$A$2:$F$709,5,FALSE)</f>
        <v>53</v>
      </c>
      <c r="J72" s="47">
        <f>VLOOKUP($C72,'Final SEA Counts'!$A$2:$F$709,6,FALSE)</f>
        <v>47</v>
      </c>
      <c r="K72" s="24">
        <f t="shared" si="126"/>
        <v>102.13210836897434</v>
      </c>
      <c r="L72" s="24">
        <f t="shared" si="126"/>
        <v>48.950214951652853</v>
      </c>
      <c r="M72" s="4">
        <f t="shared" si="127"/>
        <v>0.47928330995390411</v>
      </c>
      <c r="N72" s="31">
        <f>IFERROR(VLOOKUP($B72,Allocation!$D$10:$O$235,8,FALSE),"")</f>
        <v>24567.93465432007</v>
      </c>
      <c r="O72" s="31">
        <f>IFERROR(VLOOKUP($B72,Allocation!$D$10:$O$235,9,FALSE),"")</f>
        <v>5817.3896631772086</v>
      </c>
      <c r="P72" s="31">
        <f>IFERROR(VLOOKUP($B72,Allocation!$D$10:$O$235,10,FALSE),"")</f>
        <v>17538.640880879015</v>
      </c>
      <c r="Q72" s="31">
        <f>IFERROR(VLOOKUP($B72,Allocation!$D$10:$O$235,11,FALSE),"")</f>
        <v>19511.131212379129</v>
      </c>
      <c r="R72" s="31">
        <f>IFERROR(VLOOKUP($B72,Allocation!$D$10:$O$235,12,FALSE),"")</f>
        <v>67435.096410755417</v>
      </c>
      <c r="S72" s="31">
        <f t="shared" si="128"/>
        <v>24998.857270089866</v>
      </c>
      <c r="T72" s="31">
        <f t="shared" si="128"/>
        <v>5928.1256552634241</v>
      </c>
      <c r="U72" s="31">
        <f t="shared" si="128"/>
        <v>18015.355929090325</v>
      </c>
      <c r="V72" s="31">
        <f t="shared" si="128"/>
        <v>20295.459931553087</v>
      </c>
      <c r="W72" s="31">
        <f t="shared" si="129"/>
        <v>24998.857270089866</v>
      </c>
      <c r="X72" s="31">
        <f t="shared" si="129"/>
        <v>5928.1256552634241</v>
      </c>
      <c r="Y72" s="31">
        <f t="shared" si="129"/>
        <v>18015.355929090325</v>
      </c>
      <c r="Z72" s="31">
        <f t="shared" si="129"/>
        <v>20295.459931553087</v>
      </c>
      <c r="AA72" s="31">
        <f t="shared" si="130"/>
        <v>24998.857270089866</v>
      </c>
      <c r="AB72" s="31">
        <f t="shared" si="130"/>
        <v>5928.1256552634241</v>
      </c>
      <c r="AC72" s="31">
        <f t="shared" si="130"/>
        <v>18015.355929090325</v>
      </c>
      <c r="AD72" s="31">
        <f t="shared" si="130"/>
        <v>20295.459931553087</v>
      </c>
      <c r="AE72" s="31">
        <f t="shared" si="131"/>
        <v>69237.798785996711</v>
      </c>
      <c r="AF72" s="31">
        <f>IFERROR(VLOOKUP(A72,'Allocations By Type'!$D$7:$F$491,3,FALSE),"")</f>
        <v>70645.320000000007</v>
      </c>
      <c r="AG72" s="31" t="str">
        <f t="shared" si="132"/>
        <v/>
      </c>
      <c r="AH72" s="31" t="str">
        <f t="shared" si="133"/>
        <v/>
      </c>
      <c r="AI72" s="31">
        <f t="shared" si="134"/>
        <v>69237.798785996711</v>
      </c>
      <c r="AJ72" s="31">
        <f>AI72/$AI$577*'State Admin 1004(b)'!$B$30*0.01</f>
        <v>658.90146281788202</v>
      </c>
      <c r="AK72" s="31">
        <f t="shared" si="135"/>
        <v>68578.897323178826</v>
      </c>
      <c r="AL72" s="31">
        <f t="shared" si="136"/>
        <v>685.7889732317883</v>
      </c>
      <c r="AM72" s="31">
        <f t="shared" si="137"/>
        <v>67893.108349947041</v>
      </c>
      <c r="AP72" s="31"/>
      <c r="AQ72" s="4">
        <f t="shared" si="138"/>
        <v>0.96104184042123431</v>
      </c>
      <c r="AR72" s="4">
        <f>VLOOKUP(B72,Allocation!$D$10:$P$235,13,FALSE)</f>
        <v>0.95</v>
      </c>
      <c r="AS72" s="4">
        <f t="shared" si="139"/>
        <v>0.95</v>
      </c>
      <c r="AT72" s="4" t="str">
        <f t="shared" si="140"/>
        <v/>
      </c>
      <c r="AU72" s="31" t="str">
        <f t="shared" si="141"/>
        <v/>
      </c>
      <c r="AV72" s="31" t="str">
        <f t="shared" si="142"/>
        <v/>
      </c>
      <c r="AW72" s="31">
        <f t="shared" si="143"/>
        <v>67893.108349947041</v>
      </c>
      <c r="AX72" s="4">
        <f t="shared" si="144"/>
        <v>0.96104184042123431</v>
      </c>
      <c r="AY72" s="4" t="str">
        <f t="shared" si="145"/>
        <v/>
      </c>
      <c r="AZ72" s="174" t="str">
        <f>IFERROR(IF(VLOOKUP(A72,#REF!,11,FALSE)=0,"",VLOOKUP(A72,#REF!,11,FALSE)),"")</f>
        <v/>
      </c>
      <c r="BA72" s="31" t="str">
        <f t="shared" si="146"/>
        <v/>
      </c>
      <c r="BB72" s="31">
        <f t="shared" si="147"/>
        <v>67893.108349947041</v>
      </c>
      <c r="BD72" s="31">
        <f>IFERROR(VLOOKUP(A72,'Title II Hold Harmless'!A$1:B$439,2, FALSE),"")</f>
        <v>2280</v>
      </c>
      <c r="BE72" s="31">
        <f t="shared" si="148"/>
        <v>3002.9871436234853</v>
      </c>
      <c r="BF72" s="31">
        <f t="shared" si="149"/>
        <v>3005.8927128810551</v>
      </c>
      <c r="BG72" s="31" t="str">
        <f t="shared" si="150"/>
        <v/>
      </c>
      <c r="BH72" s="31">
        <f t="shared" si="151"/>
        <v>3005.8927128810551</v>
      </c>
    </row>
    <row r="73" spans="1:60" x14ac:dyDescent="0.3">
      <c r="A73" s="1">
        <v>40241000</v>
      </c>
      <c r="B73">
        <f>VLOOKUP(C73,'NCES ID'!$A$2:$B$3136,2,FALSE)</f>
        <v>403730</v>
      </c>
      <c r="C73">
        <f>VLOOKUP(A73,'State ID'!$A$2:$B$713,2,FALSE)</f>
        <v>4212</v>
      </c>
      <c r="D73" s="147" t="s">
        <v>193</v>
      </c>
      <c r="E73" t="s">
        <v>131</v>
      </c>
      <c r="F73" s="47">
        <f>VLOOKUP(B73,'Formula counts'!$D$9:$L$234,9,FALSE)</f>
        <v>200</v>
      </c>
      <c r="G73" s="47">
        <f>VLOOKUP(B73,'Formula counts'!$D$9:$K$234,8,FALSE)</f>
        <v>76</v>
      </c>
      <c r="H73" s="4">
        <f>VLOOKUP(B73,'Formula counts'!$D$9:$M$234,10,FALSE)</f>
        <v>0.38</v>
      </c>
      <c r="I73" s="47">
        <f>VLOOKUP($C73,'Final SEA Counts'!$A$2:$F$709,5,FALSE)</f>
        <v>253</v>
      </c>
      <c r="J73" s="47">
        <f>VLOOKUP($C73,'Final SEA Counts'!$A$2:$F$709,6,FALSE)</f>
        <v>219</v>
      </c>
      <c r="K73" s="24">
        <f t="shared" si="126"/>
        <v>200.25903601759677</v>
      </c>
      <c r="L73" s="24">
        <f t="shared" si="126"/>
        <v>75.922782373992177</v>
      </c>
      <c r="M73" s="4">
        <f t="shared" si="127"/>
        <v>0.37912287946557799</v>
      </c>
      <c r="N73" s="31">
        <f>IFERROR(VLOOKUP($B73,Allocation!$D$10:$O$235,8,FALSE),"")</f>
        <v>49093.457666861119</v>
      </c>
      <c r="O73" s="31">
        <f>IFERROR(VLOOKUP($B73,Allocation!$D$10:$O$235,9,FALSE),"")</f>
        <v>11973.68647017792</v>
      </c>
      <c r="P73" s="31">
        <f>IFERROR(VLOOKUP($B73,Allocation!$D$10:$O$235,10,FALSE),"")</f>
        <v>27665.980525830961</v>
      </c>
      <c r="Q73" s="31">
        <f>IFERROR(VLOOKUP($B73,Allocation!$D$10:$O$235,11,FALSE),"")</f>
        <v>25724.44728871261</v>
      </c>
      <c r="R73" s="31">
        <f>IFERROR(VLOOKUP($B73,Allocation!$D$10:$O$235,12,FALSE),"")</f>
        <v>114457.57195158262</v>
      </c>
      <c r="S73" s="31">
        <f t="shared" si="128"/>
        <v>49954.55899640522</v>
      </c>
      <c r="T73" s="31">
        <f t="shared" si="128"/>
        <v>12201.609667174196</v>
      </c>
      <c r="U73" s="31">
        <f t="shared" si="128"/>
        <v>28417.965205246077</v>
      </c>
      <c r="V73" s="31">
        <f t="shared" si="128"/>
        <v>26758.545341449437</v>
      </c>
      <c r="W73" s="31">
        <f t="shared" si="129"/>
        <v>49954.55899640522</v>
      </c>
      <c r="X73" s="31">
        <f t="shared" si="129"/>
        <v>12201.609667174196</v>
      </c>
      <c r="Y73" s="31">
        <f t="shared" si="129"/>
        <v>28417.965205246077</v>
      </c>
      <c r="Z73" s="31">
        <f t="shared" si="129"/>
        <v>26758.545341449437</v>
      </c>
      <c r="AA73" s="31">
        <f t="shared" si="130"/>
        <v>49954.55899640522</v>
      </c>
      <c r="AB73" s="31">
        <f t="shared" si="130"/>
        <v>12201.609667174196</v>
      </c>
      <c r="AC73" s="31">
        <f t="shared" si="130"/>
        <v>28417.965205246077</v>
      </c>
      <c r="AD73" s="31">
        <f t="shared" si="130"/>
        <v>26758.545341449437</v>
      </c>
      <c r="AE73" s="31">
        <f t="shared" si="131"/>
        <v>117332.67921027493</v>
      </c>
      <c r="AF73" s="31">
        <f>IFERROR(VLOOKUP(A73,'Allocations By Type'!$D$7:$F$491,3,FALSE),"")</f>
        <v>120368.35</v>
      </c>
      <c r="AG73" s="31" t="str">
        <f t="shared" si="132"/>
        <v/>
      </c>
      <c r="AH73" s="31" t="str">
        <f t="shared" si="133"/>
        <v/>
      </c>
      <c r="AI73" s="31">
        <f t="shared" si="134"/>
        <v>117332.67921027493</v>
      </c>
      <c r="AJ73" s="31">
        <f>AI73/$AI$577*'State Admin 1004(b)'!$B$30*0.01</f>
        <v>1116.5963581099211</v>
      </c>
      <c r="AK73" s="31">
        <f t="shared" si="135"/>
        <v>116216.08285216501</v>
      </c>
      <c r="AL73" s="31">
        <f t="shared" si="136"/>
        <v>1162.16082852165</v>
      </c>
      <c r="AM73" s="31">
        <f t="shared" si="137"/>
        <v>115053.92202364336</v>
      </c>
      <c r="AP73" s="31"/>
      <c r="AQ73" s="4">
        <f t="shared" si="138"/>
        <v>0.95584862651721447</v>
      </c>
      <c r="AR73" s="4">
        <f>VLOOKUP(B73,Allocation!$D$10:$P$235,13,FALSE)</f>
        <v>0.95000000000000007</v>
      </c>
      <c r="AS73" s="4">
        <f t="shared" si="139"/>
        <v>0.95</v>
      </c>
      <c r="AT73" s="4" t="str">
        <f t="shared" si="140"/>
        <v/>
      </c>
      <c r="AU73" s="31" t="str">
        <f t="shared" si="141"/>
        <v/>
      </c>
      <c r="AV73" s="31" t="str">
        <f t="shared" si="142"/>
        <v/>
      </c>
      <c r="AW73" s="31">
        <f t="shared" si="143"/>
        <v>115053.92202364336</v>
      </c>
      <c r="AX73" s="4">
        <f t="shared" si="144"/>
        <v>0.95584862651721447</v>
      </c>
      <c r="AY73" s="4" t="str">
        <f t="shared" si="145"/>
        <v/>
      </c>
      <c r="AZ73" s="174" t="str">
        <f>IFERROR(IF(VLOOKUP(A73,#REF!,11,FALSE)=0,"",VLOOKUP(A73,#REF!,11,FALSE)),"")</f>
        <v/>
      </c>
      <c r="BA73" s="31" t="str">
        <f t="shared" si="146"/>
        <v/>
      </c>
      <c r="BB73" s="31">
        <f t="shared" si="147"/>
        <v>115053.92202364336</v>
      </c>
      <c r="BD73" s="31">
        <f>IFERROR(VLOOKUP(A73,'Title II Hold Harmless'!A$1:B$439,2, FALSE),"")</f>
        <v>24228</v>
      </c>
      <c r="BE73" s="31">
        <f t="shared" si="148"/>
        <v>25383.048723139487</v>
      </c>
      <c r="BF73" s="31">
        <f t="shared" si="149"/>
        <v>25407.608337452173</v>
      </c>
      <c r="BG73" s="31" t="str">
        <f t="shared" si="150"/>
        <v/>
      </c>
      <c r="BH73" s="31">
        <f t="shared" si="151"/>
        <v>25407.608337452173</v>
      </c>
    </row>
    <row r="74" spans="1:60" x14ac:dyDescent="0.3">
      <c r="A74" s="1">
        <v>40312000</v>
      </c>
      <c r="B74">
        <f>VLOOKUP(C74,'NCES ID'!$A$2:$B$3136,2,FALSE)</f>
        <v>406510</v>
      </c>
      <c r="C74">
        <f>VLOOKUP(A74,'State ID'!$A$2:$B$713,2,FALSE)</f>
        <v>4214</v>
      </c>
      <c r="D74" s="147" t="s">
        <v>347</v>
      </c>
      <c r="E74" t="s">
        <v>131</v>
      </c>
      <c r="F74" s="47">
        <f>VLOOKUP(B74,'Formula counts'!$D$9:$L$234,9,FALSE)</f>
        <v>220</v>
      </c>
      <c r="G74" s="47">
        <f>VLOOKUP(B74,'Formula counts'!$D$9:$K$234,8,FALSE)</f>
        <v>54</v>
      </c>
      <c r="H74" s="4">
        <f>VLOOKUP(B74,'Formula counts'!$D$9:$M$234,10,FALSE)</f>
        <v>0.24545454545454545</v>
      </c>
      <c r="I74" s="47">
        <f>VLOOKUP($C74,'Final SEA Counts'!$A$2:$F$709,5,FALSE)</f>
        <v>141</v>
      </c>
      <c r="J74" s="47">
        <f>VLOOKUP($C74,'Final SEA Counts'!$A$2:$F$709,6,FALSE)</f>
        <v>92</v>
      </c>
      <c r="K74" s="24">
        <f t="shared" si="126"/>
        <v>220.28493961935646</v>
      </c>
      <c r="L74" s="24">
        <f t="shared" si="126"/>
        <v>53.945134844678655</v>
      </c>
      <c r="M74" s="4">
        <f t="shared" si="127"/>
        <v>0.24488798434379438</v>
      </c>
      <c r="N74" s="31">
        <f>IFERROR(VLOOKUP($B74,Allocation!$D$10:$O$235,8,FALSE),"")</f>
        <v>29034.867195499053</v>
      </c>
      <c r="O74" s="31">
        <f>IFERROR(VLOOKUP($B74,Allocation!$D$10:$O$235,9,FALSE),"")</f>
        <v>7081.4811794532006</v>
      </c>
      <c r="P74" s="31">
        <f>IFERROR(VLOOKUP($B74,Allocation!$D$10:$O$235,10,FALSE),"")</f>
        <v>12083.426824434653</v>
      </c>
      <c r="Q74" s="31">
        <f>IFERROR(VLOOKUP($B74,Allocation!$D$10:$O$235,11,FALSE),"")</f>
        <v>10902.41644708447</v>
      </c>
      <c r="R74" s="31">
        <f>IFERROR(VLOOKUP($B74,Allocation!$D$10:$O$235,12,FALSE),"")</f>
        <v>59102.191646471379</v>
      </c>
      <c r="S74" s="31">
        <f t="shared" si="128"/>
        <v>29544.139997484996</v>
      </c>
      <c r="T74" s="31">
        <f t="shared" si="128"/>
        <v>7216.2795837633448</v>
      </c>
      <c r="U74" s="31">
        <f t="shared" si="128"/>
        <v>12411.864554603828</v>
      </c>
      <c r="V74" s="31">
        <f t="shared" si="128"/>
        <v>11340.683108036323</v>
      </c>
      <c r="W74" s="31">
        <f t="shared" si="129"/>
        <v>29544.139997484996</v>
      </c>
      <c r="X74" s="31">
        <f t="shared" si="129"/>
        <v>7216.2795837633448</v>
      </c>
      <c r="Y74" s="31">
        <f t="shared" si="129"/>
        <v>12411.864554603828</v>
      </c>
      <c r="Z74" s="31">
        <f t="shared" si="129"/>
        <v>11340.683108036323</v>
      </c>
      <c r="AA74" s="31">
        <f t="shared" si="130"/>
        <v>29544.139997484996</v>
      </c>
      <c r="AB74" s="31">
        <f t="shared" si="130"/>
        <v>7216.2795837633448</v>
      </c>
      <c r="AC74" s="31">
        <f t="shared" si="130"/>
        <v>12411.864554603828</v>
      </c>
      <c r="AD74" s="31">
        <f t="shared" si="130"/>
        <v>11340.683108036323</v>
      </c>
      <c r="AE74" s="31">
        <f t="shared" si="131"/>
        <v>60512.967243888488</v>
      </c>
      <c r="AF74" s="31">
        <f>IFERROR(VLOOKUP(A74,'Allocations By Type'!$D$7:$F$491,3,FALSE),"")</f>
        <v>65739.08</v>
      </c>
      <c r="AG74" s="31" t="str">
        <f t="shared" si="132"/>
        <v/>
      </c>
      <c r="AH74" s="31" t="str">
        <f t="shared" si="133"/>
        <v/>
      </c>
      <c r="AI74" s="31">
        <f t="shared" si="134"/>
        <v>60512.967243888488</v>
      </c>
      <c r="AJ74" s="31">
        <f>AI74/$AI$577*'State Admin 1004(b)'!$B$30*0.01</f>
        <v>575.87160966348927</v>
      </c>
      <c r="AK74" s="31">
        <f t="shared" si="135"/>
        <v>59937.095634224999</v>
      </c>
      <c r="AL74" s="31">
        <f t="shared" si="136"/>
        <v>599.37095634225</v>
      </c>
      <c r="AM74" s="31">
        <f t="shared" si="137"/>
        <v>59337.724677882747</v>
      </c>
      <c r="AP74" s="31"/>
      <c r="AQ74" s="4">
        <f t="shared" si="138"/>
        <v>0.90262481126725147</v>
      </c>
      <c r="AR74" s="4">
        <f>VLOOKUP(B74,Allocation!$D$10:$P$235,13,FALSE)</f>
        <v>0.9</v>
      </c>
      <c r="AS74" s="4">
        <f t="shared" si="139"/>
        <v>0.9</v>
      </c>
      <c r="AT74" s="4" t="str">
        <f t="shared" si="140"/>
        <v/>
      </c>
      <c r="AU74" s="31" t="str">
        <f t="shared" si="141"/>
        <v/>
      </c>
      <c r="AV74" s="31" t="str">
        <f t="shared" si="142"/>
        <v/>
      </c>
      <c r="AW74" s="31">
        <f t="shared" si="143"/>
        <v>59337.724677882747</v>
      </c>
      <c r="AX74" s="4">
        <f t="shared" si="144"/>
        <v>0.90262481126725147</v>
      </c>
      <c r="AY74" s="4" t="str">
        <f t="shared" si="145"/>
        <v/>
      </c>
      <c r="AZ74" s="174" t="str">
        <f>IFERROR(IF(VLOOKUP(A74,#REF!,11,FALSE)=0,"",VLOOKUP(A74,#REF!,11,FALSE)),"")</f>
        <v/>
      </c>
      <c r="BA74" s="31" t="str">
        <f t="shared" si="146"/>
        <v/>
      </c>
      <c r="BB74" s="31">
        <f t="shared" si="147"/>
        <v>59337.724677882747</v>
      </c>
      <c r="BD74" s="31">
        <f>IFERROR(VLOOKUP(A74,'Title II Hold Harmless'!A$1:B$439,2, FALSE),"")</f>
        <v>7132</v>
      </c>
      <c r="BE74" s="31">
        <f t="shared" si="148"/>
        <v>8015.4633682325875</v>
      </c>
      <c r="BF74" s="31">
        <f t="shared" si="149"/>
        <v>8023.2188073450607</v>
      </c>
      <c r="BG74" s="31" t="str">
        <f t="shared" si="150"/>
        <v/>
      </c>
      <c r="BH74" s="31">
        <f t="shared" si="151"/>
        <v>8023.2188073450607</v>
      </c>
    </row>
    <row r="75" spans="1:60" x14ac:dyDescent="0.3">
      <c r="A75" s="1">
        <v>40240000</v>
      </c>
      <c r="B75">
        <f>VLOOKUP(C75,'NCES ID'!$A$2:$B$3136,2,FALSE)</f>
        <v>405030</v>
      </c>
      <c r="C75">
        <f>VLOOKUP(A75,'State ID'!$A$2:$B$713,2,FALSE)</f>
        <v>4211</v>
      </c>
      <c r="D75" s="147" t="s">
        <v>285</v>
      </c>
      <c r="E75" t="s">
        <v>131</v>
      </c>
      <c r="F75" s="47">
        <f>VLOOKUP(B75,'Formula counts'!$D$9:$L$234,9,FALSE)</f>
        <v>1223</v>
      </c>
      <c r="G75" s="47">
        <f>VLOOKUP(B75,'Formula counts'!$D$9:$K$234,8,FALSE)</f>
        <v>552</v>
      </c>
      <c r="H75" s="4">
        <f>VLOOKUP(B75,'Formula counts'!$D$9:$M$234,10,FALSE)</f>
        <v>0.45134914145543747</v>
      </c>
      <c r="I75" s="47">
        <f>VLOOKUP($C75,'Final SEA Counts'!$A$2:$F$709,5,FALSE)</f>
        <v>1018</v>
      </c>
      <c r="J75" s="47">
        <f>VLOOKUP($C75,'Final SEA Counts'!$A$2:$F$709,6,FALSE)</f>
        <v>709</v>
      </c>
      <c r="K75" s="24">
        <f t="shared" si="126"/>
        <v>1224.5840052476042</v>
      </c>
      <c r="L75" s="24">
        <f t="shared" si="126"/>
        <v>551.43915619004849</v>
      </c>
      <c r="M75" s="4">
        <f t="shared" si="127"/>
        <v>0.45030733198132089</v>
      </c>
      <c r="N75" s="31">
        <f>IFERROR(VLOOKUP($B75,Allocation!$D$10:$O$235,8,FALSE),"")</f>
        <v>260399.37328869459</v>
      </c>
      <c r="O75" s="31">
        <f>IFERROR(VLOOKUP($B75,Allocation!$D$10:$O$235,9,FALSE),"")</f>
        <v>61753.943258004874</v>
      </c>
      <c r="P75" s="31">
        <f>IFERROR(VLOOKUP($B75,Allocation!$D$10:$O$235,10,FALSE),"")</f>
        <v>175195.99588286525</v>
      </c>
      <c r="Q75" s="31">
        <f>IFERROR(VLOOKUP($B75,Allocation!$D$10:$O$235,11,FALSE),"")</f>
        <v>171154.95560353203</v>
      </c>
      <c r="R75" s="31">
        <f>IFERROR(VLOOKUP($B75,Allocation!$D$10:$O$235,12,FALSE),"")</f>
        <v>668504.2680330968</v>
      </c>
      <c r="S75" s="31">
        <f t="shared" si="128"/>
        <v>264966.78933978901</v>
      </c>
      <c r="T75" s="31">
        <f t="shared" si="128"/>
        <v>62929.450584804123</v>
      </c>
      <c r="U75" s="31">
        <f t="shared" si="128"/>
        <v>179957.97078109023</v>
      </c>
      <c r="V75" s="31">
        <f t="shared" si="128"/>
        <v>178035.22029180508</v>
      </c>
      <c r="W75" s="31">
        <f t="shared" si="129"/>
        <v>264966.78933978901</v>
      </c>
      <c r="X75" s="31">
        <f t="shared" si="129"/>
        <v>62929.450584804123</v>
      </c>
      <c r="Y75" s="31">
        <f t="shared" si="129"/>
        <v>179957.97078109023</v>
      </c>
      <c r="Z75" s="31">
        <f t="shared" si="129"/>
        <v>178035.22029180508</v>
      </c>
      <c r="AA75" s="31">
        <f t="shared" si="130"/>
        <v>264966.78933978901</v>
      </c>
      <c r="AB75" s="31">
        <f t="shared" si="130"/>
        <v>62929.450584804123</v>
      </c>
      <c r="AC75" s="31">
        <f t="shared" si="130"/>
        <v>179957.97078109023</v>
      </c>
      <c r="AD75" s="31">
        <f t="shared" si="130"/>
        <v>178035.22029180508</v>
      </c>
      <c r="AE75" s="31">
        <f t="shared" si="131"/>
        <v>685889.43099748844</v>
      </c>
      <c r="AF75" s="31">
        <f>IFERROR(VLOOKUP(A75,'Allocations By Type'!$D$7:$F$491,3,FALSE),"")</f>
        <v>501466.91</v>
      </c>
      <c r="AG75" s="31">
        <f t="shared" si="132"/>
        <v>27435.57723989954</v>
      </c>
      <c r="AH75" s="31">
        <f t="shared" si="133"/>
        <v>27435.57723989954</v>
      </c>
      <c r="AI75" s="31">
        <f t="shared" si="134"/>
        <v>658453.85375758889</v>
      </c>
      <c r="AJ75" s="31">
        <f>AI75/$AI$577*'State Admin 1004(b)'!$B$30*0.01</f>
        <v>6266.1756301630739</v>
      </c>
      <c r="AK75" s="31">
        <f t="shared" si="135"/>
        <v>652187.67812742584</v>
      </c>
      <c r="AL75" s="31">
        <f t="shared" si="136"/>
        <v>6521.876781274259</v>
      </c>
      <c r="AM75" s="31">
        <f t="shared" si="137"/>
        <v>645665.80134615162</v>
      </c>
      <c r="AP75" s="31"/>
      <c r="AQ75" s="4">
        <f t="shared" si="138"/>
        <v>1.2875541505742656</v>
      </c>
      <c r="AR75" s="4">
        <f>VLOOKUP(B75,Allocation!$D$10:$P$235,13,FALSE)</f>
        <v>1.2774323232568898</v>
      </c>
      <c r="AS75" s="4">
        <f t="shared" si="139"/>
        <v>0.95</v>
      </c>
      <c r="AT75" s="4" t="str">
        <f t="shared" si="140"/>
        <v/>
      </c>
      <c r="AU75" s="31" t="str">
        <f t="shared" si="141"/>
        <v/>
      </c>
      <c r="AV75" s="31" t="str">
        <f t="shared" si="142"/>
        <v/>
      </c>
      <c r="AW75" s="31">
        <f t="shared" si="143"/>
        <v>645665.80134615162</v>
      </c>
      <c r="AX75" s="4">
        <f t="shared" si="144"/>
        <v>1.2875541505742656</v>
      </c>
      <c r="AY75" s="4" t="str">
        <f t="shared" si="145"/>
        <v/>
      </c>
      <c r="AZ75" s="174" t="str">
        <f>IFERROR(IF(VLOOKUP(A75,#REF!,11,FALSE)=0,"",VLOOKUP(A75,#REF!,11,FALSE)),"")</f>
        <v/>
      </c>
      <c r="BA75" s="31" t="str">
        <f t="shared" si="146"/>
        <v/>
      </c>
      <c r="BB75" s="31">
        <f t="shared" si="147"/>
        <v>645665.80134615162</v>
      </c>
      <c r="BD75" s="31">
        <f>IFERROR(VLOOKUP(A75,'Title II Hold Harmless'!A$1:B$439,2, FALSE),"")</f>
        <v>41772</v>
      </c>
      <c r="BE75" s="31">
        <f t="shared" si="148"/>
        <v>49976.254469946987</v>
      </c>
      <c r="BF75" s="31">
        <f t="shared" si="149"/>
        <v>50024.609478360755</v>
      </c>
      <c r="BG75" s="31" t="str">
        <f t="shared" si="150"/>
        <v/>
      </c>
      <c r="BH75" s="31">
        <f t="shared" si="151"/>
        <v>50024.609478360755</v>
      </c>
    </row>
    <row r="76" spans="1:60" x14ac:dyDescent="0.3">
      <c r="A76" s="1">
        <v>40220000</v>
      </c>
      <c r="B76">
        <f>VLOOKUP(C76,'NCES ID'!$A$2:$B$3136,2,FALSE)</f>
        <v>406960</v>
      </c>
      <c r="C76">
        <f>VLOOKUP(A76,'State ID'!$A$2:$B$713,2,FALSE)</f>
        <v>4210</v>
      </c>
      <c r="D76" s="147" t="s">
        <v>370</v>
      </c>
      <c r="E76" t="s">
        <v>131</v>
      </c>
      <c r="F76" s="47">
        <f>VLOOKUP(B76,'Formula counts'!$D$9:$L$234,9,FALSE)</f>
        <v>1250</v>
      </c>
      <c r="G76" s="47">
        <f>VLOOKUP(B76,'Formula counts'!$D$9:$K$234,8,FALSE)</f>
        <v>669</v>
      </c>
      <c r="H76" s="4">
        <f>VLOOKUP(B76,'Formula counts'!$D$9:$M$234,10,FALSE)</f>
        <v>0.53520000000000001</v>
      </c>
      <c r="I76" s="47">
        <f>VLOOKUP($C76,'Final SEA Counts'!$A$2:$F$709,5,FALSE)</f>
        <v>1442</v>
      </c>
      <c r="J76" s="47">
        <f>VLOOKUP($C76,'Final SEA Counts'!$A$2:$F$709,6,FALSE)</f>
        <v>1256</v>
      </c>
      <c r="K76" s="24">
        <f t="shared" si="126"/>
        <v>1251.6189751099798</v>
      </c>
      <c r="L76" s="24">
        <f t="shared" si="126"/>
        <v>668.32028168685224</v>
      </c>
      <c r="M76" s="4">
        <f t="shared" si="127"/>
        <v>0.53396464497362461</v>
      </c>
      <c r="N76" s="31">
        <f>IFERROR(VLOOKUP($B76,Allocation!$D$10:$O$235,8,FALSE),"")</f>
        <v>315592.71871401573</v>
      </c>
      <c r="O76" s="31">
        <f>IFERROR(VLOOKUP($B76,Allocation!$D$10:$O$235,9,FALSE),"")</f>
        <v>76032.909085629755</v>
      </c>
      <c r="P76" s="31">
        <f>IFERROR(VLOOKUP($B76,Allocation!$D$10:$O$235,10,FALSE),"")</f>
        <v>238544.13566236277</v>
      </c>
      <c r="Q76" s="31">
        <f>IFERROR(VLOOKUP($B76,Allocation!$D$10:$O$235,11,FALSE),"")</f>
        <v>269070.5166983438</v>
      </c>
      <c r="R76" s="31">
        <f>IFERROR(VLOOKUP($B76,Allocation!$D$10:$O$235,12,FALSE),"")</f>
        <v>899240.28016035201</v>
      </c>
      <c r="S76" s="31">
        <f t="shared" si="128"/>
        <v>321128.22838463559</v>
      </c>
      <c r="T76" s="31">
        <f t="shared" si="128"/>
        <v>77480.221386556121</v>
      </c>
      <c r="U76" s="31">
        <f t="shared" si="128"/>
        <v>245027.96641670505</v>
      </c>
      <c r="V76" s="31">
        <f t="shared" si="128"/>
        <v>279886.89281884214</v>
      </c>
      <c r="W76" s="31">
        <f t="shared" si="129"/>
        <v>321128.22838463559</v>
      </c>
      <c r="X76" s="31">
        <f t="shared" si="129"/>
        <v>77480.221386556121</v>
      </c>
      <c r="Y76" s="31">
        <f t="shared" si="129"/>
        <v>245027.96641670505</v>
      </c>
      <c r="Z76" s="31">
        <f t="shared" si="129"/>
        <v>279886.89281884214</v>
      </c>
      <c r="AA76" s="31">
        <f t="shared" si="130"/>
        <v>321128.22838463559</v>
      </c>
      <c r="AB76" s="31">
        <f t="shared" si="130"/>
        <v>77480.221386556121</v>
      </c>
      <c r="AC76" s="31">
        <f t="shared" si="130"/>
        <v>245027.96641670505</v>
      </c>
      <c r="AD76" s="31">
        <f t="shared" si="130"/>
        <v>279886.89281884214</v>
      </c>
      <c r="AE76" s="31">
        <f t="shared" si="131"/>
        <v>923523.30900673894</v>
      </c>
      <c r="AF76" s="31">
        <f>IFERROR(VLOOKUP(A76,'Allocations By Type'!$D$7:$F$491,3,FALSE),"")</f>
        <v>934387.34</v>
      </c>
      <c r="AG76" s="31" t="str">
        <f t="shared" si="132"/>
        <v/>
      </c>
      <c r="AH76" s="31" t="str">
        <f t="shared" si="133"/>
        <v/>
      </c>
      <c r="AI76" s="31">
        <f t="shared" si="134"/>
        <v>923523.30900673894</v>
      </c>
      <c r="AJ76" s="31">
        <f>AI76/$AI$577*'State Admin 1004(b)'!$B$30*0.01</f>
        <v>8788.7089121906338</v>
      </c>
      <c r="AK76" s="31">
        <f t="shared" si="135"/>
        <v>914734.60009454831</v>
      </c>
      <c r="AL76" s="31">
        <f t="shared" si="136"/>
        <v>9147.346000945483</v>
      </c>
      <c r="AM76" s="31">
        <f t="shared" si="137"/>
        <v>905587.25409360288</v>
      </c>
      <c r="AP76" s="31"/>
      <c r="AQ76" s="4">
        <f t="shared" si="138"/>
        <v>0.96917757264733795</v>
      </c>
      <c r="AR76" s="4">
        <f>VLOOKUP(B76,Allocation!$D$10:$P$235,13,FALSE)</f>
        <v>0.96394611599732039</v>
      </c>
      <c r="AS76" s="4">
        <f t="shared" si="139"/>
        <v>0.95</v>
      </c>
      <c r="AT76" s="4" t="str">
        <f t="shared" si="140"/>
        <v/>
      </c>
      <c r="AU76" s="31" t="str">
        <f t="shared" si="141"/>
        <v/>
      </c>
      <c r="AV76" s="31" t="str">
        <f t="shared" si="142"/>
        <v/>
      </c>
      <c r="AW76" s="31">
        <f t="shared" si="143"/>
        <v>905587.25409360288</v>
      </c>
      <c r="AX76" s="4">
        <f t="shared" si="144"/>
        <v>0.96917757264733795</v>
      </c>
      <c r="AY76" s="4" t="str">
        <f t="shared" si="145"/>
        <v/>
      </c>
      <c r="AZ76" s="174" t="str">
        <f>IFERROR(IF(VLOOKUP(A76,#REF!,11,FALSE)=0,"",VLOOKUP(A76,#REF!,11,FALSE)),"")</f>
        <v/>
      </c>
      <c r="BA76" s="31" t="str">
        <f t="shared" si="146"/>
        <v/>
      </c>
      <c r="BB76" s="31">
        <f t="shared" si="147"/>
        <v>905587.25409360288</v>
      </c>
      <c r="BD76" s="31">
        <f>IFERROR(VLOOKUP(A76,'Title II Hold Harmless'!A$1:B$439,2, FALSE),"")</f>
        <v>96589</v>
      </c>
      <c r="BE76" s="31">
        <f t="shared" si="148"/>
        <v>106345.06479262329</v>
      </c>
      <c r="BF76" s="31">
        <f t="shared" si="149"/>
        <v>106447.95998869892</v>
      </c>
      <c r="BG76" s="31" t="str">
        <f t="shared" si="150"/>
        <v/>
      </c>
      <c r="BH76" s="31">
        <f t="shared" si="151"/>
        <v>106447.95998869892</v>
      </c>
    </row>
    <row r="77" spans="1:60" x14ac:dyDescent="0.3">
      <c r="A77" s="1">
        <v>40201000</v>
      </c>
      <c r="B77">
        <f>VLOOKUP(C77,'NCES ID'!$A$2:$B$3136,2,FALSE)</f>
        <v>403500</v>
      </c>
      <c r="C77">
        <f>VLOOKUP(A77,'State ID'!$A$2:$B$713,2,FALSE)</f>
        <v>4208</v>
      </c>
      <c r="D77" s="147" t="s">
        <v>185</v>
      </c>
      <c r="E77" t="s">
        <v>131</v>
      </c>
      <c r="F77" s="47">
        <f>VLOOKUP(B77,'Formula counts'!$D$9:$L$234,9,FALSE)</f>
        <v>1641</v>
      </c>
      <c r="G77" s="47">
        <f>VLOOKUP(B77,'Formula counts'!$D$9:$K$234,8,FALSE)</f>
        <v>448</v>
      </c>
      <c r="H77" s="4">
        <f>VLOOKUP(B77,'Formula counts'!$D$9:$M$234,10,FALSE)</f>
        <v>0.27300426569165143</v>
      </c>
      <c r="I77" s="47">
        <f>VLOOKUP($C77,'Final SEA Counts'!$A$2:$F$709,5,FALSE)</f>
        <v>1557</v>
      </c>
      <c r="J77" s="47">
        <f>VLOOKUP($C77,'Final SEA Counts'!$A$2:$F$709,6,FALSE)</f>
        <v>1048</v>
      </c>
      <c r="K77" s="24">
        <f t="shared" si="126"/>
        <v>1643.1253905243816</v>
      </c>
      <c r="L77" s="24">
        <f t="shared" si="126"/>
        <v>447.54482241511175</v>
      </c>
      <c r="M77" s="4">
        <f t="shared" si="127"/>
        <v>0.27237411398790679</v>
      </c>
      <c r="N77" s="31">
        <f>IFERROR(VLOOKUP($B77,Allocation!$D$10:$O$235,8,FALSE),"")</f>
        <v>211338.62179952028</v>
      </c>
      <c r="O77" s="31">
        <f>IFERROR(VLOOKUP($B77,Allocation!$D$10:$O$235,9,FALSE),"")</f>
        <v>50119.142354322808</v>
      </c>
      <c r="P77" s="31">
        <f>IFERROR(VLOOKUP($B77,Allocation!$D$10:$O$235,10,FALSE),"")</f>
        <v>93086.391976353159</v>
      </c>
      <c r="Q77" s="31">
        <f>IFERROR(VLOOKUP($B77,Allocation!$D$10:$O$235,11,FALSE),"")</f>
        <v>73894.642731629516</v>
      </c>
      <c r="R77" s="31">
        <f>IFERROR(VLOOKUP($B77,Allocation!$D$10:$O$235,12,FALSE),"")</f>
        <v>428438.79886182572</v>
      </c>
      <c r="S77" s="31">
        <f t="shared" si="128"/>
        <v>215045.51018881428</v>
      </c>
      <c r="T77" s="31">
        <f t="shared" si="128"/>
        <v>51073.177286217848</v>
      </c>
      <c r="U77" s="31">
        <f t="shared" si="128"/>
        <v>95616.558603301048</v>
      </c>
      <c r="V77" s="31">
        <f t="shared" si="128"/>
        <v>76865.136336364449</v>
      </c>
      <c r="W77" s="31">
        <f t="shared" si="129"/>
        <v>215045.51018881428</v>
      </c>
      <c r="X77" s="31">
        <f t="shared" si="129"/>
        <v>51073.177286217848</v>
      </c>
      <c r="Y77" s="31">
        <f t="shared" si="129"/>
        <v>95616.558603301048</v>
      </c>
      <c r="Z77" s="31">
        <f t="shared" si="129"/>
        <v>76865.136336364449</v>
      </c>
      <c r="AA77" s="31">
        <f t="shared" si="130"/>
        <v>215045.51018881428</v>
      </c>
      <c r="AB77" s="31">
        <f t="shared" si="130"/>
        <v>51073.177286217848</v>
      </c>
      <c r="AC77" s="31">
        <f t="shared" si="130"/>
        <v>95616.558603301048</v>
      </c>
      <c r="AD77" s="31">
        <f t="shared" si="130"/>
        <v>76865.136336364449</v>
      </c>
      <c r="AE77" s="31">
        <f t="shared" si="131"/>
        <v>438600.38241469761</v>
      </c>
      <c r="AF77" s="31">
        <f>IFERROR(VLOOKUP(A77,'Allocations By Type'!$D$7:$F$491,3,FALSE),"")</f>
        <v>434030.43</v>
      </c>
      <c r="AG77" s="31">
        <f t="shared" si="132"/>
        <v>17544.015296587906</v>
      </c>
      <c r="AH77" s="31">
        <f t="shared" si="133"/>
        <v>4569.9524146976182</v>
      </c>
      <c r="AI77" s="31">
        <f t="shared" si="134"/>
        <v>434030.43</v>
      </c>
      <c r="AJ77" s="31">
        <f>AI77/$AI$577*'State Admin 1004(b)'!$B$30*0.01</f>
        <v>4130.4502778663473</v>
      </c>
      <c r="AK77" s="31">
        <f t="shared" si="135"/>
        <v>429899.97972213366</v>
      </c>
      <c r="AL77" s="31">
        <f t="shared" si="136"/>
        <v>4298.9997972213368</v>
      </c>
      <c r="AM77" s="31">
        <f t="shared" si="137"/>
        <v>425600.97992491233</v>
      </c>
      <c r="AP77" s="31"/>
      <c r="AQ77" s="4">
        <f t="shared" si="138"/>
        <v>0.98057866570533392</v>
      </c>
      <c r="AR77" s="4">
        <f>VLOOKUP(B77,Allocation!$D$10:$P$235,13,FALSE)</f>
        <v>0.94414987383766125</v>
      </c>
      <c r="AS77" s="4">
        <f t="shared" si="139"/>
        <v>0.9</v>
      </c>
      <c r="AT77" s="4" t="str">
        <f t="shared" si="140"/>
        <v/>
      </c>
      <c r="AU77" s="31" t="str">
        <f t="shared" si="141"/>
        <v/>
      </c>
      <c r="AV77" s="31" t="str">
        <f t="shared" si="142"/>
        <v/>
      </c>
      <c r="AW77" s="31">
        <f t="shared" si="143"/>
        <v>425600.97992491233</v>
      </c>
      <c r="AX77" s="4">
        <f t="shared" si="144"/>
        <v>0.98057866570533392</v>
      </c>
      <c r="AY77" s="4" t="str">
        <f t="shared" si="145"/>
        <v/>
      </c>
      <c r="AZ77" s="174" t="str">
        <f>IFERROR(IF(VLOOKUP(A77,#REF!,11,FALSE)=0,"",VLOOKUP(A77,#REF!,11,FALSE)),"")</f>
        <v/>
      </c>
      <c r="BA77" s="31" t="str">
        <f t="shared" si="146"/>
        <v/>
      </c>
      <c r="BB77" s="31">
        <f t="shared" si="147"/>
        <v>425600.97992491233</v>
      </c>
      <c r="BD77" s="31">
        <f>IFERROR(VLOOKUP(A77,'Title II Hold Harmless'!A$1:B$439,2, FALSE),"")</f>
        <v>59842</v>
      </c>
      <c r="BE77" s="31">
        <f t="shared" si="148"/>
        <v>67023.049702567718</v>
      </c>
      <c r="BF77" s="31">
        <f t="shared" si="149"/>
        <v>67087.898502595999</v>
      </c>
      <c r="BG77" s="31" t="str">
        <f t="shared" si="150"/>
        <v/>
      </c>
      <c r="BH77" s="31">
        <f t="shared" si="151"/>
        <v>67087.898502595999</v>
      </c>
    </row>
    <row r="78" spans="1:60" x14ac:dyDescent="0.3">
      <c r="A78" s="1">
        <v>40210000</v>
      </c>
      <c r="B78">
        <f>VLOOKUP(C78,'NCES ID'!$A$2:$B$3136,2,FALSE)</f>
        <v>406070</v>
      </c>
      <c r="C78">
        <f>VLOOKUP(A78,'State ID'!$A$2:$B$713,2,FALSE)</f>
        <v>4209</v>
      </c>
      <c r="D78" s="147" t="s">
        <v>330</v>
      </c>
      <c r="E78" t="s">
        <v>131</v>
      </c>
      <c r="F78" s="47">
        <f>VLOOKUP(B78,'Formula counts'!$D$9:$L$234,9,FALSE)</f>
        <v>2700</v>
      </c>
      <c r="G78" s="47">
        <f>VLOOKUP(B78,'Formula counts'!$D$9:$K$234,8,FALSE)</f>
        <v>724</v>
      </c>
      <c r="H78" s="4">
        <f>VLOOKUP(B78,'Formula counts'!$D$9:$M$234,10,FALSE)</f>
        <v>0.26814814814814814</v>
      </c>
      <c r="I78" s="47">
        <f>VLOOKUP($C78,'Final SEA Counts'!$A$2:$F$709,5,FALSE)</f>
        <v>2152</v>
      </c>
      <c r="J78" s="47">
        <f>VLOOKUP($C78,'Final SEA Counts'!$A$2:$F$709,6,FALSE)</f>
        <v>1358</v>
      </c>
      <c r="K78" s="24">
        <f t="shared" si="126"/>
        <v>2703.4969862375565</v>
      </c>
      <c r="L78" s="24">
        <f t="shared" si="126"/>
        <v>723.26440051013606</v>
      </c>
      <c r="M78" s="4">
        <f t="shared" si="127"/>
        <v>0.26752920539286401</v>
      </c>
      <c r="N78" s="31">
        <f>IFERROR(VLOOKUP($B78,Allocation!$D$10:$O$235,8,FALSE),"")</f>
        <v>341538.30844386737</v>
      </c>
      <c r="O78" s="31">
        <f>IFERROR(VLOOKUP($B78,Allocation!$D$10:$O$235,9,FALSE),"")</f>
        <v>80996.113983325253</v>
      </c>
      <c r="P78" s="31">
        <f>IFERROR(VLOOKUP($B78,Allocation!$D$10:$O$235,10,FALSE),"")</f>
        <v>148508.2108909188</v>
      </c>
      <c r="Q78" s="31">
        <f>IFERROR(VLOOKUP($B78,Allocation!$D$10:$O$235,11,FALSE),"")</f>
        <v>117255.902023652</v>
      </c>
      <c r="R78" s="31">
        <f>IFERROR(VLOOKUP($B78,Allocation!$D$10:$O$235,12,FALSE),"")</f>
        <v>688298.5353417634</v>
      </c>
      <c r="S78" s="31">
        <f t="shared" si="128"/>
        <v>347528.90485870861</v>
      </c>
      <c r="T78" s="31">
        <f t="shared" si="128"/>
        <v>82537.90257861992</v>
      </c>
      <c r="U78" s="31">
        <f t="shared" si="128"/>
        <v>152544.7892891813</v>
      </c>
      <c r="V78" s="31">
        <f t="shared" si="128"/>
        <v>121969.47656982944</v>
      </c>
      <c r="W78" s="31">
        <f t="shared" si="129"/>
        <v>347528.90485870861</v>
      </c>
      <c r="X78" s="31">
        <f t="shared" si="129"/>
        <v>82537.90257861992</v>
      </c>
      <c r="Y78" s="31">
        <f t="shared" si="129"/>
        <v>152544.7892891813</v>
      </c>
      <c r="Z78" s="31">
        <f t="shared" si="129"/>
        <v>121969.47656982944</v>
      </c>
      <c r="AA78" s="31">
        <f t="shared" si="130"/>
        <v>347528.90485870861</v>
      </c>
      <c r="AB78" s="31">
        <f t="shared" si="130"/>
        <v>82537.90257861992</v>
      </c>
      <c r="AC78" s="31">
        <f t="shared" si="130"/>
        <v>152544.7892891813</v>
      </c>
      <c r="AD78" s="31">
        <f t="shared" si="130"/>
        <v>121969.47656982944</v>
      </c>
      <c r="AE78" s="31">
        <f t="shared" si="131"/>
        <v>704581.07329633913</v>
      </c>
      <c r="AF78" s="31">
        <f>IFERROR(VLOOKUP(A78,'Allocations By Type'!$D$7:$F$491,3,FALSE),"")</f>
        <v>707515.77</v>
      </c>
      <c r="AG78" s="31" t="str">
        <f t="shared" si="132"/>
        <v/>
      </c>
      <c r="AH78" s="31" t="str">
        <f t="shared" si="133"/>
        <v/>
      </c>
      <c r="AI78" s="31">
        <f t="shared" si="134"/>
        <v>704581.07329633913</v>
      </c>
      <c r="AJ78" s="31">
        <f>AI78/$AI$577*'State Admin 1004(b)'!$B$30*0.01</f>
        <v>6705.1452820398626</v>
      </c>
      <c r="AK78" s="31">
        <f t="shared" si="135"/>
        <v>697875.92801429925</v>
      </c>
      <c r="AL78" s="31">
        <f t="shared" si="136"/>
        <v>6978.7592801429928</v>
      </c>
      <c r="AM78" s="31">
        <f t="shared" si="137"/>
        <v>690897.16873415629</v>
      </c>
      <c r="AP78" s="31"/>
      <c r="AQ78" s="4">
        <f t="shared" si="138"/>
        <v>0.97651133448821403</v>
      </c>
      <c r="AR78" s="4">
        <f>VLOOKUP(B78,Allocation!$D$10:$P$235,13,FALSE)</f>
        <v>0.95855848615457029</v>
      </c>
      <c r="AS78" s="4">
        <f t="shared" si="139"/>
        <v>0.9</v>
      </c>
      <c r="AT78" s="4" t="str">
        <f t="shared" si="140"/>
        <v/>
      </c>
      <c r="AU78" s="31" t="str">
        <f t="shared" si="141"/>
        <v/>
      </c>
      <c r="AV78" s="31" t="str">
        <f t="shared" si="142"/>
        <v/>
      </c>
      <c r="AW78" s="31">
        <f t="shared" si="143"/>
        <v>690897.16873415629</v>
      </c>
      <c r="AX78" s="4">
        <f t="shared" si="144"/>
        <v>0.97651133448821403</v>
      </c>
      <c r="AY78" s="4" t="str">
        <f t="shared" si="145"/>
        <v/>
      </c>
      <c r="AZ78" s="174" t="str">
        <f>IFERROR(IF(VLOOKUP(A78,#REF!,11,FALSE)=0,"",VLOOKUP(A78,#REF!,11,FALSE)),"")</f>
        <v/>
      </c>
      <c r="BA78" s="31" t="str">
        <f t="shared" si="146"/>
        <v/>
      </c>
      <c r="BB78" s="31">
        <f t="shared" si="147"/>
        <v>690897.16873415629</v>
      </c>
      <c r="BD78" s="31">
        <f>IFERROR(VLOOKUP(A78,'Title II Hold Harmless'!A$1:B$439,2, FALSE),"")</f>
        <v>91881</v>
      </c>
      <c r="BE78" s="31">
        <f t="shared" si="148"/>
        <v>103524.79125492713</v>
      </c>
      <c r="BF78" s="31">
        <f t="shared" si="149"/>
        <v>103624.95766806191</v>
      </c>
      <c r="BG78" s="31" t="str">
        <f t="shared" si="150"/>
        <v/>
      </c>
      <c r="BH78" s="31">
        <f t="shared" si="151"/>
        <v>103624.95766806191</v>
      </c>
    </row>
    <row r="79" spans="1:60" x14ac:dyDescent="0.3">
      <c r="A79" s="1"/>
      <c r="B79">
        <v>481007</v>
      </c>
      <c r="D79" s="147" t="s">
        <v>882</v>
      </c>
      <c r="E79" t="s">
        <v>131</v>
      </c>
      <c r="F79" s="47">
        <f>VLOOKUP(B79,'Formula counts'!$D$9:$L$234,9,FALSE)</f>
        <v>354</v>
      </c>
      <c r="G79" s="47">
        <f>VLOOKUP(B79,'Formula counts'!$D$9:$K$234,8,FALSE)</f>
        <v>133</v>
      </c>
      <c r="H79" s="4">
        <f>VLOOKUP(B79,'Formula counts'!$D$9:$M$234,10,FALSE)</f>
        <v>0.37570621468926552</v>
      </c>
      <c r="N79" s="31">
        <f>IFERROR(VLOOKUP($B79,Allocation!$D$10:$O$235,8,FALSE),"")</f>
        <v>87959.111653126223</v>
      </c>
      <c r="O79" s="31">
        <f>IFERROR(VLOOKUP($B79,Allocation!$D$10:$O$235,9,FALSE),"")</f>
        <v>21452.854925735432</v>
      </c>
      <c r="P79" s="31">
        <f>IFERROR(VLOOKUP($B79,Allocation!$D$10:$O$235,10,FALSE),"")</f>
        <v>58074.494239139516</v>
      </c>
      <c r="Q79" s="31">
        <f>IFERROR(VLOOKUP($B79,Allocation!$D$10:$O$235,11,FALSE),"")</f>
        <v>65506.264653698177</v>
      </c>
      <c r="R79" s="31">
        <f>IFERROR(VLOOKUP($B79,Allocation!$D$10:$O$235,12,FALSE),"")</f>
        <v>232992.72547169938</v>
      </c>
      <c r="AF79" s="31" t="str">
        <f>IFERROR(VLOOKUP(A79,'Allocations By Type'!$D$7:$F$491,3,FALSE),"")</f>
        <v/>
      </c>
      <c r="AQ79" s="4" t="str">
        <f t="shared" si="138"/>
        <v/>
      </c>
      <c r="AZ79" s="174" t="str">
        <f>IFERROR(IF(VLOOKUP(A79,#REF!,11,FALSE)=0,"",VLOOKUP(A79,#REF!,11,FALSE)),"")</f>
        <v/>
      </c>
      <c r="BA79" s="31" t="str">
        <f t="shared" si="146"/>
        <v/>
      </c>
      <c r="BB79" s="31">
        <f t="shared" si="147"/>
        <v>0</v>
      </c>
      <c r="BD79" s="31" t="str">
        <f>IFERROR(VLOOKUP(A79,'Title II Hold Harmless'!A$1:B$439,2, FALSE),"")</f>
        <v/>
      </c>
      <c r="BE79" s="31">
        <f t="shared" si="148"/>
        <v>0</v>
      </c>
      <c r="BF79" s="31">
        <f t="shared" si="149"/>
        <v>0</v>
      </c>
      <c r="BG79" s="31" t="str">
        <f t="shared" si="150"/>
        <v/>
      </c>
      <c r="BH79" s="31">
        <f t="shared" si="151"/>
        <v>0</v>
      </c>
    </row>
    <row r="80" spans="1:60" x14ac:dyDescent="0.3">
      <c r="A80" s="1">
        <v>48701000</v>
      </c>
      <c r="B80">
        <f>VLOOKUP(C80,'NCES ID'!$A$2:$B$3136,2,FALSE)</f>
        <v>400339</v>
      </c>
      <c r="C80">
        <f>VLOOKUP(A80,'State ID'!$A$2:$B$713,2,FALSE)</f>
        <v>6258</v>
      </c>
      <c r="D80" s="147" t="s">
        <v>130</v>
      </c>
      <c r="E80" t="s">
        <v>131</v>
      </c>
      <c r="I80" s="47">
        <f>VLOOKUP($C80,'Final SEA Counts'!$A$2:$F$709,5,FALSE)</f>
        <v>305</v>
      </c>
      <c r="J80" s="47">
        <f>VLOOKUP($C80,'Final SEA Counts'!$A$2:$F$709,6,FALSE)</f>
        <v>228</v>
      </c>
      <c r="K80" s="24">
        <f>I80</f>
        <v>305</v>
      </c>
      <c r="L80" s="24">
        <f>J80*$B$83</f>
        <v>124.39840115158215</v>
      </c>
      <c r="M80" s="4">
        <f>L80/K80</f>
        <v>0.40786361033305624</v>
      </c>
      <c r="N80" s="31" t="str">
        <f>IFERROR(VLOOKUP($B80,#REF!,8,FALSE),"")</f>
        <v/>
      </c>
      <c r="O80" s="31" t="str">
        <f>IFERROR(VLOOKUP($B80,#REF!,9,FALSE),"")</f>
        <v/>
      </c>
      <c r="P80" s="31" t="str">
        <f>IFERROR(VLOOKUP($B80,#REF!,10,FALSE),"")</f>
        <v/>
      </c>
      <c r="Q80" s="31" t="str">
        <f>IFERROR(VLOOKUP($B80,#REF!,11,FALSE),"")</f>
        <v/>
      </c>
      <c r="R80" s="31" t="str">
        <f>IFERROR(VLOOKUP($B80,#REF!,12,FALSE),"")</f>
        <v/>
      </c>
      <c r="S80" s="31">
        <f t="shared" ref="S80:V81" si="152">$L80*N$84</f>
        <v>60667.601199543256</v>
      </c>
      <c r="T80" s="31">
        <f t="shared" si="152"/>
        <v>14495.878177627519</v>
      </c>
      <c r="U80" s="31">
        <f t="shared" si="152"/>
        <v>35363.406119031519</v>
      </c>
      <c r="V80" s="31">
        <f t="shared" si="152"/>
        <v>34543.90334660095</v>
      </c>
      <c r="W80" s="31">
        <f>IF(AND($L80&gt;9,$L80&gt;($K80*0.02)),S80,"")</f>
        <v>60667.601199543256</v>
      </c>
      <c r="X80" s="31">
        <f>IF(W80="","",IF(OR($L80&gt;6500,$L80&gt;($K80*0.15)),T80,""))</f>
        <v>14495.878177627519</v>
      </c>
      <c r="Y80" s="31">
        <f>IF(AND($L80&gt;9,$L80&gt;($K80*0.05)),U80,"")</f>
        <v>35363.406119031519</v>
      </c>
      <c r="Z80" s="31">
        <f>IF(AND($L80&gt;9,$L80&gt;($K80*0.05)),V80,"")</f>
        <v>34543.90334660095</v>
      </c>
      <c r="AA80" s="31">
        <f t="shared" ref="AA80:AD81" si="153">IF(W80="","",W80+W$84)</f>
        <v>60667.601199543256</v>
      </c>
      <c r="AB80" s="31">
        <f t="shared" si="153"/>
        <v>14495.878177627519</v>
      </c>
      <c r="AC80" s="31">
        <f t="shared" si="153"/>
        <v>35363.406119031519</v>
      </c>
      <c r="AD80" s="31">
        <f t="shared" si="153"/>
        <v>34543.90334660095</v>
      </c>
      <c r="AE80" s="31">
        <f>SUM(AA80:AD80)</f>
        <v>145070.78884280325</v>
      </c>
      <c r="AF80" s="31">
        <f>IFERROR(VLOOKUP(A80,'Allocations By Type'!$D$7:$F$491,3,FALSE),"")</f>
        <v>142357.51999999999</v>
      </c>
      <c r="AG80" s="31">
        <f>IF(AE80&gt;AF80,AE80*0.04,"")</f>
        <v>5802.8315537121298</v>
      </c>
      <c r="AH80" s="31">
        <f>IF(AG80="","",IF((AE80-AF80)&gt;AG80,AG80,AE80-AF80))</f>
        <v>2713.2688428032561</v>
      </c>
      <c r="AI80" s="31">
        <f>IF(AH80="",AE80,AE80-AH80)</f>
        <v>142357.51999999999</v>
      </c>
      <c r="AJ80" s="31">
        <f>AI80/$AI$577*'State Admin 1004(b)'!$B$30*0.01</f>
        <v>1354.7452376561801</v>
      </c>
      <c r="AK80" s="31">
        <f>AI80-AJ80</f>
        <v>141002.77476234382</v>
      </c>
      <c r="AL80" s="31">
        <f>AK80*0.01</f>
        <v>1410.0277476234382</v>
      </c>
      <c r="AM80" s="31">
        <f>AK80-AL80</f>
        <v>139592.74701472037</v>
      </c>
      <c r="AP80" s="31"/>
      <c r="AQ80" s="4">
        <f t="shared" si="138"/>
        <v>0.98057866570533392</v>
      </c>
      <c r="AW80" s="31">
        <f>IF(AV80="",AM80-AM80/($AM$83-$AV$83+$AU$83)*$AU$83,AV80)</f>
        <v>139592.74701472037</v>
      </c>
      <c r="AX80" s="4">
        <f t="shared" ref="AX80" si="154">IFERROR(AW80/AF80,"")</f>
        <v>0.98057866570533392</v>
      </c>
      <c r="AZ80" s="174" t="str">
        <f>IFERROR(IF(VLOOKUP(A80,#REF!,11,FALSE)=0,"",VLOOKUP(A80,#REF!,11,FALSE)),"")</f>
        <v/>
      </c>
      <c r="BA80" s="31" t="str">
        <f t="shared" si="146"/>
        <v/>
      </c>
      <c r="BB80" s="31">
        <f t="shared" si="147"/>
        <v>139592.74701472037</v>
      </c>
      <c r="BD80" s="31">
        <f>IFERROR(VLOOKUP(A80,'Title II Hold Harmless'!A$1:B$439,2, FALSE),"")</f>
        <v>18040</v>
      </c>
      <c r="BE80" s="31">
        <f t="shared" si="148"/>
        <v>19913.92268965497</v>
      </c>
      <c r="BF80" s="31">
        <f t="shared" si="149"/>
        <v>19933.190598173172</v>
      </c>
      <c r="BG80" s="31" t="str">
        <f t="shared" si="150"/>
        <v/>
      </c>
      <c r="BH80" s="31">
        <f t="shared" si="151"/>
        <v>19933.190598173172</v>
      </c>
    </row>
    <row r="81" spans="1:60" s="47" customFormat="1" x14ac:dyDescent="0.3">
      <c r="A81" s="1"/>
      <c r="D81" s="191" t="s">
        <v>1411</v>
      </c>
      <c r="E81" s="47" t="s">
        <v>131</v>
      </c>
      <c r="H81" s="4"/>
      <c r="I81" s="24">
        <f>'AVA Metrics'!C5</f>
        <v>39.375516766192007</v>
      </c>
      <c r="J81" s="24">
        <f>'AVA Metrics'!D5</f>
        <v>20.60128617363344</v>
      </c>
      <c r="K81" s="24">
        <f>I81</f>
        <v>39.375516766192007</v>
      </c>
      <c r="L81" s="24">
        <f>J81*$B$83</f>
        <v>11.240206410816647</v>
      </c>
      <c r="M81" s="4">
        <f>L81/K81</f>
        <v>0.28546181317593622</v>
      </c>
      <c r="N81" s="31"/>
      <c r="O81" s="31"/>
      <c r="P81" s="31"/>
      <c r="Q81" s="31"/>
      <c r="R81" s="31"/>
      <c r="S81" s="31">
        <f t="shared" si="152"/>
        <v>5481.7132183318336</v>
      </c>
      <c r="T81" s="31">
        <f t="shared" si="152"/>
        <v>1309.7970819097918</v>
      </c>
      <c r="U81" s="31">
        <f t="shared" si="152"/>
        <v>3195.3142523359129</v>
      </c>
      <c r="V81" s="31">
        <f t="shared" si="152"/>
        <v>3121.2668350774566</v>
      </c>
      <c r="W81" s="31">
        <f>S81</f>
        <v>5481.7132183318336</v>
      </c>
      <c r="X81" s="31">
        <f t="shared" ref="X81:Z81" si="155">T81</f>
        <v>1309.7970819097918</v>
      </c>
      <c r="Y81" s="31">
        <f t="shared" si="155"/>
        <v>3195.3142523359129</v>
      </c>
      <c r="Z81" s="31">
        <f t="shared" si="155"/>
        <v>3121.2668350774566</v>
      </c>
      <c r="AA81" s="31">
        <f t="shared" si="153"/>
        <v>5481.7132183318336</v>
      </c>
      <c r="AB81" s="31">
        <f t="shared" si="153"/>
        <v>1309.7970819097918</v>
      </c>
      <c r="AC81" s="31">
        <f t="shared" si="153"/>
        <v>3195.3142523359129</v>
      </c>
      <c r="AD81" s="31">
        <f t="shared" si="153"/>
        <v>3121.2668350774566</v>
      </c>
      <c r="AE81" s="31">
        <f>SUM(AA81:AD81)</f>
        <v>13108.091387654995</v>
      </c>
      <c r="AF81" s="31"/>
      <c r="AG81" s="31"/>
      <c r="AH81" s="31"/>
      <c r="AI81" s="31"/>
      <c r="AJ81" s="31"/>
      <c r="AK81" s="31"/>
      <c r="AL81" s="31"/>
      <c r="AM81" s="31"/>
      <c r="AP81" s="31"/>
      <c r="AQ81" s="4"/>
      <c r="AR81" s="4"/>
      <c r="AS81" s="4"/>
      <c r="AT81" s="4"/>
      <c r="AW81" s="31"/>
      <c r="AX81" s="4"/>
      <c r="AZ81" s="174"/>
      <c r="BA81" s="31"/>
      <c r="BB81" s="31"/>
      <c r="BD81" s="31"/>
      <c r="BE81" s="31"/>
      <c r="BF81" s="31"/>
      <c r="BG81" s="31"/>
      <c r="BH81" s="31"/>
    </row>
    <row r="82" spans="1:60" x14ac:dyDescent="0.3">
      <c r="A82" s="1"/>
      <c r="D82" s="147" t="s">
        <v>878</v>
      </c>
      <c r="K82" s="24">
        <f>SUM(K80:K81)</f>
        <v>344.37551676619199</v>
      </c>
      <c r="L82" s="24">
        <f>SUM(L80:L81)</f>
        <v>135.63860756239879</v>
      </c>
      <c r="S82" s="31">
        <f>SUM(S80:S81)</f>
        <v>66149.314417875095</v>
      </c>
      <c r="T82" s="31">
        <f t="shared" ref="T82:V82" si="156">SUM(T80:T81)</f>
        <v>15805.675259537311</v>
      </c>
      <c r="U82" s="31">
        <f t="shared" si="156"/>
        <v>38558.720371367432</v>
      </c>
      <c r="V82" s="31">
        <f t="shared" si="156"/>
        <v>37665.170181678404</v>
      </c>
    </row>
    <row r="83" spans="1:60" x14ac:dyDescent="0.3">
      <c r="A83" s="1" t="s">
        <v>880</v>
      </c>
      <c r="B83">
        <f>G83/J83</f>
        <v>0.54560702259465854</v>
      </c>
      <c r="D83" s="147" t="s">
        <v>879</v>
      </c>
      <c r="F83">
        <f>SUM(F71:F81)</f>
        <v>7785</v>
      </c>
      <c r="G83" s="47">
        <f>SUM(G71:G81)</f>
        <v>2730</v>
      </c>
      <c r="I83" s="24">
        <f>SUM(I71:I81)</f>
        <v>6990.375516766192</v>
      </c>
      <c r="J83" s="24">
        <f>SUM(J71:J81)</f>
        <v>5003.6012861736335</v>
      </c>
      <c r="K83" s="24">
        <f>SUM(K71:K81)</f>
        <v>7785.0000000000009</v>
      </c>
      <c r="L83" s="24">
        <f>SUM(L71:L81)</f>
        <v>2730</v>
      </c>
      <c r="N83" s="31">
        <f>SUM(N71:N81)</f>
        <v>1331388.10259256</v>
      </c>
      <c r="O83" s="31">
        <f t="shared" ref="O83:AE83" si="157">SUM(O71:O81)</f>
        <v>318121.02935874282</v>
      </c>
      <c r="P83" s="31">
        <f t="shared" si="157"/>
        <v>776071.86114327458</v>
      </c>
      <c r="Q83" s="31">
        <f t="shared" si="157"/>
        <v>758087.36497592193</v>
      </c>
      <c r="R83" s="31">
        <f t="shared" si="157"/>
        <v>3183668.3580704993</v>
      </c>
      <c r="S83" s="31">
        <f t="shared" si="157"/>
        <v>1331388.10259256</v>
      </c>
      <c r="T83" s="31">
        <f t="shared" si="157"/>
        <v>318121.02935874276</v>
      </c>
      <c r="U83" s="31">
        <f t="shared" si="157"/>
        <v>776071.8611432747</v>
      </c>
      <c r="V83" s="31">
        <f t="shared" si="157"/>
        <v>758087.36497592181</v>
      </c>
      <c r="W83" s="31">
        <f t="shared" si="157"/>
        <v>1331388.10259256</v>
      </c>
      <c r="X83" s="31">
        <f t="shared" si="157"/>
        <v>318121.02935874276</v>
      </c>
      <c r="Y83" s="31">
        <f t="shared" si="157"/>
        <v>776071.8611432747</v>
      </c>
      <c r="Z83" s="31">
        <f t="shared" si="157"/>
        <v>758087.36497592181</v>
      </c>
      <c r="AA83" s="31">
        <f t="shared" si="157"/>
        <v>1331388.10259256</v>
      </c>
      <c r="AB83" s="31">
        <f t="shared" si="157"/>
        <v>318121.02935874276</v>
      </c>
      <c r="AC83" s="31">
        <f t="shared" si="157"/>
        <v>776071.8611432747</v>
      </c>
      <c r="AD83" s="31">
        <f t="shared" si="157"/>
        <v>758087.36497592181</v>
      </c>
      <c r="AE83" s="31">
        <f t="shared" si="157"/>
        <v>3183668.3580704997</v>
      </c>
      <c r="AF83" s="31"/>
      <c r="AK83" s="31">
        <f>SUM(AK71:AK80)</f>
        <v>3105999.235087614</v>
      </c>
      <c r="AL83" s="31"/>
      <c r="AM83" s="31">
        <f>SUM(AM71:AM80)</f>
        <v>3074939.2427367377</v>
      </c>
      <c r="AU83" s="31">
        <f>SUM(AU71:AU80)</f>
        <v>0</v>
      </c>
      <c r="AV83" s="31">
        <f>SUM(AV71:AV80)</f>
        <v>0</v>
      </c>
      <c r="AW83" s="31">
        <f>SUM(AW71:AW80)</f>
        <v>3074939.2427367377</v>
      </c>
    </row>
    <row r="84" spans="1:60" x14ac:dyDescent="0.3">
      <c r="A84" s="1"/>
      <c r="N84" s="31">
        <f>N83/$L83</f>
        <v>487.68794966760441</v>
      </c>
      <c r="O84" s="31">
        <f>O83/$L83</f>
        <v>116.52784958195707</v>
      </c>
      <c r="P84" s="31">
        <f>P83/$L83</f>
        <v>284.27540701218851</v>
      </c>
      <c r="Q84" s="31">
        <f>Q83/$L83</f>
        <v>277.68767947835966</v>
      </c>
      <c r="R84" s="31" t="str">
        <f>IFERROR(VLOOKUP($B84,#REF!,12,FALSE),"")</f>
        <v/>
      </c>
      <c r="W84" s="31">
        <f>(S83-W83)/COUNT(W71:W81)</f>
        <v>0</v>
      </c>
      <c r="X84" s="31">
        <f t="shared" ref="X84:Z84" si="158">(T83-X83)/COUNT(X71:X81)</f>
        <v>0</v>
      </c>
      <c r="Y84" s="31">
        <f t="shared" si="158"/>
        <v>0</v>
      </c>
      <c r="Z84" s="31">
        <f t="shared" si="158"/>
        <v>0</v>
      </c>
    </row>
    <row r="85" spans="1:60" x14ac:dyDescent="0.3">
      <c r="A85" s="1"/>
      <c r="N85" s="31" t="str">
        <f>IFERROR(VLOOKUP($B85,#REF!,8,FALSE),"")</f>
        <v/>
      </c>
      <c r="O85" s="31" t="str">
        <f>IFERROR(VLOOKUP($B85,#REF!,9,FALSE),"")</f>
        <v/>
      </c>
      <c r="P85" s="31" t="str">
        <f>IFERROR(VLOOKUP($B85,#REF!,10,FALSE),"")</f>
        <v/>
      </c>
      <c r="Q85" s="31" t="str">
        <f>IFERROR(VLOOKUP($B85,#REF!,11,FALSE),"")</f>
        <v/>
      </c>
      <c r="R85" s="31" t="str">
        <f>IFERROR(VLOOKUP($B85,#REF!,12,FALSE),"")</f>
        <v/>
      </c>
    </row>
    <row r="86" spans="1:60" x14ac:dyDescent="0.3">
      <c r="A86" s="1">
        <v>50305000</v>
      </c>
      <c r="B86">
        <f>VLOOKUP(C86,'NCES ID'!$A$2:$B$3136,2,FALSE)</f>
        <v>407860</v>
      </c>
      <c r="C86">
        <f>VLOOKUP(A86,'State ID'!$A$2:$B$713,2,FALSE)</f>
        <v>4222</v>
      </c>
      <c r="D86" s="147" t="s">
        <v>389</v>
      </c>
      <c r="E86" t="s">
        <v>133</v>
      </c>
      <c r="F86" s="47">
        <f>VLOOKUP(B86,'Formula counts'!$D$9:$L$234,9,FALSE)</f>
        <v>397</v>
      </c>
      <c r="G86" s="47">
        <f>VLOOKUP(B86,'Formula counts'!$D$9:$K$234,8,FALSE)</f>
        <v>88</v>
      </c>
      <c r="H86" s="4">
        <f>VLOOKUP(B86,'Formula counts'!$D$9:$M$234,10,FALSE)</f>
        <v>0.22166246851385391</v>
      </c>
      <c r="I86" s="47">
        <f>VLOOKUP($C86,'Final SEA Counts'!$A$2:$F$709,5,FALSE)</f>
        <v>180</v>
      </c>
      <c r="J86" s="47">
        <f>VLOOKUP($C86,'Final SEA Counts'!$A$2:$F$709,6,FALSE)</f>
        <v>119</v>
      </c>
      <c r="K86" s="24">
        <f t="shared" ref="K86:L92" si="159">F86-(F86/F$97)*K$96</f>
        <v>388.18008194867269</v>
      </c>
      <c r="L86" s="24">
        <f t="shared" si="159"/>
        <v>85.457732040431779</v>
      </c>
      <c r="M86" s="4">
        <f t="shared" ref="M86:M95" si="160">L86/K86</f>
        <v>0.22014970889653085</v>
      </c>
      <c r="N86" s="31">
        <f>IFERROR(VLOOKUP($B86,Allocation!$D$10:$O$235,8,FALSE),"")</f>
        <v>54791.900293569131</v>
      </c>
      <c r="O86" s="31">
        <f>IFERROR(VLOOKUP($B86,Allocation!$D$10:$O$235,9,FALSE),"")</f>
        <v>12983.449752426333</v>
      </c>
      <c r="P86" s="31">
        <f>IFERROR(VLOOKUP($B86,Allocation!$D$10:$O$235,10,FALSE),"")</f>
        <v>30387.618801550503</v>
      </c>
      <c r="Q86" s="31">
        <f>IFERROR(VLOOKUP($B86,Allocation!$D$10:$O$235,11,FALSE),"")</f>
        <v>30742.434636272461</v>
      </c>
      <c r="R86" s="31">
        <f>IFERROR(VLOOKUP($B86,Allocation!$D$10:$O$235,12,FALSE),"")</f>
        <v>128905.40348381843</v>
      </c>
      <c r="S86" s="31">
        <f>IF(N86=0,"",N86-(N86/N$97)*S$96)</f>
        <v>53208.994696294161</v>
      </c>
      <c r="T86" s="31">
        <f>IF(O86=0,"",O86-(O86/O$97)*T$96)</f>
        <v>12608.365567082499</v>
      </c>
      <c r="U86" s="31">
        <f>IF(P86=0,"",P86-(P86/P$97)*U$96)</f>
        <v>29509.738464655566</v>
      </c>
      <c r="V86" s="31">
        <f>IF(Q86=0,"",Q86-(Q86/Q$97)*V$96)</f>
        <v>29854.303879739327</v>
      </c>
      <c r="W86" s="31">
        <f t="shared" ref="W86:Z92" si="161">IF(S86="0","",S86)</f>
        <v>53208.994696294161</v>
      </c>
      <c r="X86" s="31">
        <f t="shared" si="161"/>
        <v>12608.365567082499</v>
      </c>
      <c r="Y86" s="31">
        <f t="shared" si="161"/>
        <v>29509.738464655566</v>
      </c>
      <c r="Z86" s="31">
        <f t="shared" si="161"/>
        <v>29854.303879739327</v>
      </c>
      <c r="AA86" s="31">
        <f>IF(W86="","",W86+W$98)</f>
        <v>53208.994696294161</v>
      </c>
      <c r="AB86" s="31">
        <f>IF(X86="","",X86+X$98)</f>
        <v>12608.365567082499</v>
      </c>
      <c r="AC86" s="31">
        <f>IF(Y86="","",Y86+Y$98)</f>
        <v>29509.738464655566</v>
      </c>
      <c r="AD86" s="31">
        <f>IF(Z86="","",Z86+Z$98)</f>
        <v>29854.303879739327</v>
      </c>
      <c r="AE86" s="31">
        <f t="shared" ref="AE86:AE94" si="162">SUM(AA86:AD86)</f>
        <v>125181.40260777155</v>
      </c>
      <c r="AF86" s="31">
        <f>IFERROR(VLOOKUP(A86,'Allocations By Type'!$D$7:$F$491,3,FALSE),"")</f>
        <v>136228.17000000001</v>
      </c>
      <c r="AG86" s="31" t="str">
        <f t="shared" ref="AG86:AG94" si="163">IF(AE86&gt;AF86,AE86*0.04,"")</f>
        <v/>
      </c>
      <c r="AH86" s="31" t="str">
        <f t="shared" ref="AH86:AH94" si="164">IF(AG86="","",IF((AE86-AF86)&gt;AG86,AG86,AE86-AF86))</f>
        <v/>
      </c>
      <c r="AI86" s="31">
        <f t="shared" ref="AI86:AI94" si="165">IF(AH86="",AE86,AE86-AH86)</f>
        <v>125181.40260777155</v>
      </c>
      <c r="AJ86" s="31">
        <f>AI86/$AI$577*'State Admin 1004(b)'!$B$30*0.01</f>
        <v>1191.2887287303083</v>
      </c>
      <c r="AK86" s="31">
        <f t="shared" ref="AK86:AK94" si="166">AI86-AJ86</f>
        <v>123990.11387904125</v>
      </c>
      <c r="AL86" s="31">
        <f t="shared" ref="AL86:AL94" si="167">AK86*0.01</f>
        <v>1239.9011387904125</v>
      </c>
      <c r="AM86" s="31">
        <f t="shared" ref="AM86:AM94" si="168">AK86-AL86</f>
        <v>122750.21274025083</v>
      </c>
      <c r="AP86" s="31"/>
      <c r="AQ86" s="4">
        <f>IFERROR(AM86/AF86,"")</f>
        <v>0.90106336112604923</v>
      </c>
      <c r="AR86" s="4">
        <f>VLOOKUP(B86,Allocation!$D$10:$P$235,13,FALSE)</f>
        <v>0.9</v>
      </c>
      <c r="AS86" s="4">
        <f t="shared" ref="AS86" si="169">IF(M86&gt;0.3,0.95,IF(M86&gt;0.15,0.9,0.85))</f>
        <v>0.9</v>
      </c>
      <c r="AT86" s="173" t="s">
        <v>1003</v>
      </c>
      <c r="AU86" s="31">
        <f t="shared" ref="AU86:AU92" si="170">IF(AT86="Review",AM86*AS86/AQ86-AM86,"")</f>
        <v>-144.85974025083124</v>
      </c>
      <c r="AV86" s="31">
        <f t="shared" ref="AV86:AV92" si="171">IF(AU86="","",AU86+AM86)</f>
        <v>122605.353</v>
      </c>
      <c r="AW86" s="31">
        <f>IF(AV86="",AM86-AM86/($AM$97-$AV$97+$AU$97)*$AU$97,AV86)</f>
        <v>122605.353</v>
      </c>
      <c r="AX86" s="4">
        <f t="shared" ref="AX86:AX92" si="172">IFERROR(AW86/AF86,"")</f>
        <v>0.89999999999999991</v>
      </c>
      <c r="AY86" s="4" t="str">
        <f>IF(AX86&lt;AS86,"Manual Adjustment","")</f>
        <v/>
      </c>
      <c r="AZ86" s="174" t="str">
        <f>IFERROR(IF(VLOOKUP(A86,#REF!,11,FALSE)=0,"",VLOOKUP(A86,#REF!,11,FALSE)),"")</f>
        <v/>
      </c>
      <c r="BA86" s="31" t="str">
        <f t="shared" ref="BA86:BA94" si="173">IF(AZ86&lt;0,AW86*AZ86/100,"")</f>
        <v/>
      </c>
      <c r="BB86" s="31">
        <f t="shared" ref="BB86:BB94" si="174">IF(BA86&lt;0,AW86+BA86,AW86)</f>
        <v>122605.353</v>
      </c>
      <c r="BD86" s="31">
        <f>IFERROR(VLOOKUP(A86,'Title II Hold Harmless'!A$1:B$439,2, FALSE),"")</f>
        <v>7614</v>
      </c>
      <c r="BE86" s="31">
        <f>IFERROR($BD$582*(0.8*($L86/$L$579)+0.2*($K86/$K$579))+$BD86,$BD$582*(0.8*($L86/$L$579)+0.2*($K86/$K$579)))</f>
        <v>9045.1064301844635</v>
      </c>
      <c r="BF86" s="31">
        <f>$BD$583*BE86</f>
        <v>9053.8581104008754</v>
      </c>
      <c r="BG86" s="31" t="str">
        <f t="shared" ref="BG86:BG94" si="175">IF(AZ86&lt;0,BF86*AZ86/100,"")</f>
        <v/>
      </c>
      <c r="BH86" s="31">
        <f t="shared" ref="BH86:BH94" si="176">IF(BG86&lt;0,BF86+BG86,BF86)</f>
        <v>9053.8581104008754</v>
      </c>
    </row>
    <row r="87" spans="1:60" s="47" customFormat="1" x14ac:dyDescent="0.3">
      <c r="A87" s="1">
        <v>50309000</v>
      </c>
      <c r="B87" s="47">
        <f>VLOOKUP(C87,'NCES ID'!$A$2:$B$3136,2,FALSE)</f>
        <v>404200</v>
      </c>
      <c r="C87" s="47">
        <v>4223</v>
      </c>
      <c r="D87" s="147" t="s">
        <v>509</v>
      </c>
      <c r="E87" s="47" t="s">
        <v>133</v>
      </c>
      <c r="F87" s="47">
        <f>VLOOKUP(B87,'Formula counts'!$D$9:$L$234,9,FALSE)</f>
        <v>6</v>
      </c>
      <c r="G87" s="47">
        <f>VLOOKUP(B87,'Formula counts'!$D$9:$K$234,8,FALSE)</f>
        <v>5</v>
      </c>
      <c r="H87" s="4"/>
      <c r="K87" s="24">
        <f t="shared" si="159"/>
        <v>5.8667014904081514</v>
      </c>
      <c r="L87" s="24">
        <f t="shared" si="159"/>
        <v>4.8555529568427147</v>
      </c>
      <c r="M87" s="4"/>
      <c r="N87" s="31">
        <f>IFERROR(VLOOKUP($B87,Allocation!$D$10:$O$235,8,FALSE),"")</f>
        <v>0</v>
      </c>
      <c r="O87" s="31">
        <f>IFERROR(VLOOKUP($B87,Allocation!$D$10:$O$235,9,FALSE),"")</f>
        <v>0</v>
      </c>
      <c r="P87" s="31">
        <f>IFERROR(VLOOKUP($B87,Allocation!$D$10:$O$235,10,FALSE),"")</f>
        <v>0</v>
      </c>
      <c r="Q87" s="31">
        <f>IFERROR(VLOOKUP($B87,Allocation!$D$10:$O$235,11,FALSE),"")</f>
        <v>0</v>
      </c>
      <c r="R87" s="31">
        <f>IFERROR(VLOOKUP($B87,Allocation!$D$10:$O$235,12,FALSE),"")</f>
        <v>0</v>
      </c>
      <c r="S87" s="31"/>
      <c r="T87" s="31"/>
      <c r="U87" s="31"/>
      <c r="V87" s="31"/>
      <c r="W87" s="31"/>
      <c r="X87" s="31"/>
      <c r="Y87" s="31"/>
      <c r="Z87" s="31"/>
      <c r="AA87" s="31"/>
      <c r="AB87" s="31"/>
      <c r="AC87" s="31"/>
      <c r="AD87" s="31"/>
      <c r="AE87" s="31"/>
      <c r="AF87" s="31" t="str">
        <f>IFERROR(VLOOKUP(A87,'Allocations By Type'!$D$7:$F$491,3,FALSE),"")</f>
        <v/>
      </c>
      <c r="AG87" s="31"/>
      <c r="AH87" s="31"/>
      <c r="AI87" s="31"/>
      <c r="AJ87" s="31"/>
      <c r="AK87" s="31"/>
      <c r="AL87" s="31"/>
      <c r="AM87" s="31"/>
      <c r="AP87" s="31"/>
      <c r="AQ87" s="4" t="str">
        <f t="shared" ref="AQ87:AQ94" si="177">IFERROR(AM87/AF87,"")</f>
        <v/>
      </c>
      <c r="AR87" s="4"/>
      <c r="AS87" s="4"/>
      <c r="AT87" s="4"/>
      <c r="AU87" s="31"/>
      <c r="AV87" s="31"/>
      <c r="AW87" s="31"/>
      <c r="AX87" s="4"/>
      <c r="AY87" s="4"/>
      <c r="AZ87" s="174"/>
      <c r="BA87" s="31"/>
      <c r="BB87" s="31"/>
      <c r="BD87" s="31"/>
      <c r="BE87" s="31"/>
      <c r="BF87" s="31"/>
      <c r="BG87" s="31"/>
      <c r="BH87" s="31"/>
    </row>
    <row r="88" spans="1:60" x14ac:dyDescent="0.3">
      <c r="A88" s="1">
        <v>50206000</v>
      </c>
      <c r="B88">
        <f>VLOOKUP(C88,'NCES ID'!$A$2:$B$3136,2,FALSE)</f>
        <v>406440</v>
      </c>
      <c r="C88">
        <f>VLOOKUP(A88,'State ID'!$A$2:$B$713,2,FALSE)</f>
        <v>4220</v>
      </c>
      <c r="D88" s="147" t="s">
        <v>345</v>
      </c>
      <c r="E88" t="s">
        <v>133</v>
      </c>
      <c r="F88" s="47">
        <f>VLOOKUP(B88,'Formula counts'!$D$9:$L$234,9,FALSE)</f>
        <v>939</v>
      </c>
      <c r="G88" s="47">
        <f>VLOOKUP(B88,'Formula counts'!$D$9:$K$234,8,FALSE)</f>
        <v>199</v>
      </c>
      <c r="H88" s="4">
        <f>VLOOKUP(B88,'Formula counts'!$D$9:$M$234,10,FALSE)</f>
        <v>0.21192758253461128</v>
      </c>
      <c r="I88" s="47">
        <f>VLOOKUP($C88,'Final SEA Counts'!$A$2:$F$709,5,FALSE)</f>
        <v>766</v>
      </c>
      <c r="J88" s="47">
        <f>VLOOKUP($C88,'Final SEA Counts'!$A$2:$F$709,6,FALSE)</f>
        <v>390</v>
      </c>
      <c r="K88" s="24">
        <f t="shared" si="159"/>
        <v>918.13878324887571</v>
      </c>
      <c r="L88" s="24">
        <f t="shared" si="159"/>
        <v>193.25100768234006</v>
      </c>
      <c r="M88" s="4">
        <f t="shared" si="160"/>
        <v>0.21048125970510972</v>
      </c>
      <c r="N88" s="31">
        <f>IFERROR(VLOOKUP($B88,Allocation!$D$10:$O$235,8,FALSE),"")</f>
        <v>93875.861022554716</v>
      </c>
      <c r="O88" s="31">
        <f>IFERROR(VLOOKUP($B88,Allocation!$D$10:$O$235,9,FALSE),"")</f>
        <v>22262.744036853215</v>
      </c>
      <c r="P88" s="31">
        <f>IFERROR(VLOOKUP($B88,Allocation!$D$10:$O$235,10,FALSE),"")</f>
        <v>33840.376060010291</v>
      </c>
      <c r="Q88" s="31">
        <f>IFERROR(VLOOKUP($B88,Allocation!$D$10:$O$235,11,FALSE),"")</f>
        <v>24782.844273663217</v>
      </c>
      <c r="R88" s="31">
        <f>IFERROR(VLOOKUP($B88,Allocation!$D$10:$O$235,12,FALSE),"")</f>
        <v>174761.82539308144</v>
      </c>
      <c r="S88" s="31">
        <f t="shared" ref="S88:V92" si="178">IF(N88=0,"",N88-(N88/N$97)*S$96)</f>
        <v>91163.842912844266</v>
      </c>
      <c r="T88" s="31">
        <f t="shared" si="178"/>
        <v>21619.586527115029</v>
      </c>
      <c r="U88" s="31">
        <f t="shared" si="178"/>
        <v>32862.747607770478</v>
      </c>
      <c r="V88" s="31">
        <f t="shared" si="178"/>
        <v>24066.882558391597</v>
      </c>
      <c r="W88" s="31">
        <f t="shared" si="161"/>
        <v>91163.842912844266</v>
      </c>
      <c r="X88" s="31">
        <f t="shared" si="161"/>
        <v>21619.586527115029</v>
      </c>
      <c r="Y88" s="31">
        <f t="shared" si="161"/>
        <v>32862.747607770478</v>
      </c>
      <c r="Z88" s="31">
        <f t="shared" si="161"/>
        <v>24066.882558391597</v>
      </c>
      <c r="AA88" s="31">
        <f t="shared" ref="AA88:AD95" si="179">IF(W88="","",W88+W$98)</f>
        <v>91163.842912844266</v>
      </c>
      <c r="AB88" s="31">
        <f t="shared" si="179"/>
        <v>21619.586527115029</v>
      </c>
      <c r="AC88" s="31">
        <f t="shared" si="179"/>
        <v>32862.747607770478</v>
      </c>
      <c r="AD88" s="31">
        <f t="shared" si="179"/>
        <v>24066.882558391597</v>
      </c>
      <c r="AE88" s="31">
        <f t="shared" si="162"/>
        <v>169713.05960612139</v>
      </c>
      <c r="AF88" s="31">
        <f>IFERROR(VLOOKUP(A88,'Allocations By Type'!$D$7:$F$491,3,FALSE),"")</f>
        <v>142759.76</v>
      </c>
      <c r="AG88" s="31">
        <f t="shared" si="163"/>
        <v>6788.5223842448559</v>
      </c>
      <c r="AH88" s="31">
        <f t="shared" si="164"/>
        <v>6788.5223842448559</v>
      </c>
      <c r="AI88" s="31">
        <f t="shared" si="165"/>
        <v>162924.53722187653</v>
      </c>
      <c r="AJ88" s="31">
        <f>AI88/$AI$577*'State Admin 1004(b)'!$B$30*0.01</f>
        <v>1550.4712423950227</v>
      </c>
      <c r="AK88" s="31">
        <f t="shared" si="166"/>
        <v>161374.0659794815</v>
      </c>
      <c r="AL88" s="31">
        <f t="shared" si="167"/>
        <v>1613.740659794815</v>
      </c>
      <c r="AM88" s="31">
        <f t="shared" si="168"/>
        <v>159760.32531968667</v>
      </c>
      <c r="AP88" s="31"/>
      <c r="AQ88" s="4">
        <f t="shared" si="177"/>
        <v>1.1190851351927649</v>
      </c>
      <c r="AR88" s="4">
        <f>VLOOKUP(B88,Allocation!$D$10:$P$235,13,FALSE)</f>
        <v>1.1712984562383548</v>
      </c>
      <c r="AS88" s="4">
        <f t="shared" ref="AS88:AS92" si="180">IF(M88&gt;0.3,0.95,IF(M88&gt;0.15,0.9,0.85))</f>
        <v>0.9</v>
      </c>
      <c r="AT88" s="4" t="str">
        <f t="shared" ref="AT88:AT92" si="181">IF(AQ88&lt;AS88,"Review","")</f>
        <v/>
      </c>
      <c r="AU88" s="31" t="str">
        <f t="shared" si="170"/>
        <v/>
      </c>
      <c r="AV88" s="31" t="str">
        <f t="shared" si="171"/>
        <v/>
      </c>
      <c r="AW88" s="31">
        <f t="shared" ref="AW88:AW94" si="182">IF(AV88="",AM88-AM88/($AM$97-$AV$97+$AU$97)*$AU$97,AV88)</f>
        <v>156421.80464746102</v>
      </c>
      <c r="AX88" s="4">
        <f t="shared" si="172"/>
        <v>1.0956995490007899</v>
      </c>
      <c r="AY88" s="4" t="str">
        <f>IF(AX88&lt;AS88,"Manual Adjustment","")</f>
        <v/>
      </c>
      <c r="AZ88" s="174" t="str">
        <f>IFERROR(IF(VLOOKUP(A88,#REF!,11,FALSE)=0,"",VLOOKUP(A88,#REF!,11,FALSE)),"")</f>
        <v/>
      </c>
      <c r="BA88" s="31" t="str">
        <f t="shared" si="173"/>
        <v/>
      </c>
      <c r="BB88" s="31">
        <f t="shared" si="174"/>
        <v>156421.80464746102</v>
      </c>
      <c r="BD88" s="31">
        <f>IFERROR(VLOOKUP(A88,'Title II Hold Harmless'!A$1:B$439,2, FALSE),"")</f>
        <v>30708</v>
      </c>
      <c r="BE88" s="31">
        <f t="shared" ref="BE88:BE94" si="183">IFERROR($BD$582*(0.8*($L88/$L$579)+0.2*($K88/$K$579))+$BD88,$BD$582*(0.8*($L88/$L$579)+0.2*($K88/$K$579)))</f>
        <v>33976.703545535987</v>
      </c>
      <c r="BF88" s="31">
        <f t="shared" ref="BF88:BF94" si="184">$BD$583*BE88</f>
        <v>34009.578033695252</v>
      </c>
      <c r="BG88" s="31" t="str">
        <f t="shared" si="175"/>
        <v/>
      </c>
      <c r="BH88" s="31">
        <f t="shared" si="176"/>
        <v>34009.578033695252</v>
      </c>
    </row>
    <row r="89" spans="1:60" x14ac:dyDescent="0.3">
      <c r="A89" s="1">
        <v>50207000</v>
      </c>
      <c r="B89">
        <f>VLOOKUP(C89,'NCES ID'!$A$2:$B$3136,2,FALSE)</f>
        <v>403200</v>
      </c>
      <c r="C89">
        <f>VLOOKUP(A89,'State ID'!$A$2:$B$713,2,FALSE)</f>
        <v>4221</v>
      </c>
      <c r="D89" s="147" t="s">
        <v>169</v>
      </c>
      <c r="E89" t="s">
        <v>133</v>
      </c>
      <c r="F89" s="47">
        <f>VLOOKUP(B89,'Formula counts'!$D$9:$L$234,9,FALSE)</f>
        <v>1435</v>
      </c>
      <c r="G89" s="47">
        <f>VLOOKUP(B89,'Formula counts'!$D$9:$K$234,8,FALSE)</f>
        <v>468</v>
      </c>
      <c r="H89" s="4">
        <f>VLOOKUP(B89,'Formula counts'!$D$9:$M$234,10,FALSE)</f>
        <v>0.32613240418118467</v>
      </c>
      <c r="I89" s="47">
        <f>VLOOKUP($C89,'Final SEA Counts'!$A$2:$F$709,5,FALSE)</f>
        <v>538</v>
      </c>
      <c r="J89" s="47">
        <f>VLOOKUP($C89,'Final SEA Counts'!$A$2:$F$709,6,FALSE)</f>
        <v>462</v>
      </c>
      <c r="K89" s="24">
        <f t="shared" si="159"/>
        <v>1403.119439789283</v>
      </c>
      <c r="L89" s="24">
        <f t="shared" si="159"/>
        <v>454.4797567604781</v>
      </c>
      <c r="M89" s="4">
        <f t="shared" si="160"/>
        <v>0.32390667812907697</v>
      </c>
      <c r="N89" s="31">
        <f>IFERROR(VLOOKUP($B89,Allocation!$D$10:$O$235,8,FALSE),"")</f>
        <v>286090.57988616941</v>
      </c>
      <c r="O89" s="31">
        <f>IFERROR(VLOOKUP($B89,Allocation!$D$10:$O$235,9,FALSE),"")</f>
        <v>70353.278197214808</v>
      </c>
      <c r="P89" s="31">
        <f>IFERROR(VLOOKUP($B89,Allocation!$D$10:$O$235,10,FALSE),"")</f>
        <v>151163.40132996711</v>
      </c>
      <c r="Q89" s="31">
        <f>IFERROR(VLOOKUP($B89,Allocation!$D$10:$O$235,11,FALSE),"")</f>
        <v>163067.83524425398</v>
      </c>
      <c r="R89" s="31">
        <f>IFERROR(VLOOKUP($B89,Allocation!$D$10:$O$235,12,FALSE),"")</f>
        <v>670675.09465760528</v>
      </c>
      <c r="S89" s="31">
        <f t="shared" si="178"/>
        <v>277825.59221822734</v>
      </c>
      <c r="T89" s="31">
        <f t="shared" si="178"/>
        <v>68320.813594812891</v>
      </c>
      <c r="U89" s="31">
        <f t="shared" si="178"/>
        <v>146796.38005882475</v>
      </c>
      <c r="V89" s="31">
        <f t="shared" si="178"/>
        <v>158356.90191723561</v>
      </c>
      <c r="W89" s="31">
        <f t="shared" si="161"/>
        <v>277825.59221822734</v>
      </c>
      <c r="X89" s="31">
        <f t="shared" si="161"/>
        <v>68320.813594812891</v>
      </c>
      <c r="Y89" s="31">
        <f t="shared" si="161"/>
        <v>146796.38005882475</v>
      </c>
      <c r="Z89" s="31">
        <f t="shared" si="161"/>
        <v>158356.90191723561</v>
      </c>
      <c r="AA89" s="31">
        <f t="shared" si="179"/>
        <v>277825.59221822734</v>
      </c>
      <c r="AB89" s="31">
        <f t="shared" si="179"/>
        <v>68320.813594812891</v>
      </c>
      <c r="AC89" s="31">
        <f t="shared" si="179"/>
        <v>146796.38005882475</v>
      </c>
      <c r="AD89" s="31">
        <f t="shared" si="179"/>
        <v>158356.90191723561</v>
      </c>
      <c r="AE89" s="31">
        <f t="shared" si="162"/>
        <v>651299.68778910057</v>
      </c>
      <c r="AF89" s="31">
        <f>IFERROR(VLOOKUP(A89,'Allocations By Type'!$D$7:$F$491,3,FALSE),"")</f>
        <v>680538.87</v>
      </c>
      <c r="AG89" s="31" t="str">
        <f t="shared" si="163"/>
        <v/>
      </c>
      <c r="AH89" s="31" t="str">
        <f t="shared" si="164"/>
        <v/>
      </c>
      <c r="AI89" s="31">
        <f t="shared" si="165"/>
        <v>651299.68778910057</v>
      </c>
      <c r="AJ89" s="31">
        <f>AI89/$AI$577*'State Admin 1004(b)'!$B$30*0.01</f>
        <v>6198.0930148210018</v>
      </c>
      <c r="AK89" s="31">
        <f t="shared" si="166"/>
        <v>645101.59477427963</v>
      </c>
      <c r="AL89" s="31">
        <f t="shared" si="167"/>
        <v>6451.015947742796</v>
      </c>
      <c r="AM89" s="31">
        <f t="shared" si="168"/>
        <v>638650.57882653677</v>
      </c>
      <c r="AP89" s="31"/>
      <c r="AQ89" s="4">
        <f t="shared" si="177"/>
        <v>0.93844834877181482</v>
      </c>
      <c r="AR89" s="4">
        <f>VLOOKUP(B89,Allocation!$D$10:$P$235,13,FALSE)</f>
        <v>0.95</v>
      </c>
      <c r="AS89" s="4">
        <f t="shared" si="180"/>
        <v>0.95</v>
      </c>
      <c r="AT89" s="4" t="str">
        <f t="shared" si="181"/>
        <v>Review</v>
      </c>
      <c r="AU89" s="31">
        <f t="shared" si="170"/>
        <v>7861.3476734631695</v>
      </c>
      <c r="AV89" s="31">
        <f t="shared" si="171"/>
        <v>646511.92649999994</v>
      </c>
      <c r="AW89" s="31">
        <f t="shared" si="182"/>
        <v>646511.92649999994</v>
      </c>
      <c r="AX89" s="4">
        <f t="shared" si="172"/>
        <v>0.95</v>
      </c>
      <c r="AY89" s="4" t="str">
        <f>IF(AX89&lt;AS89,"Manual Adjustment","")</f>
        <v/>
      </c>
      <c r="AZ89" s="174" t="str">
        <f>IFERROR(IF(VLOOKUP(A89,#REF!,11,FALSE)=0,"",VLOOKUP(A89,#REF!,11,FALSE)),"")</f>
        <v/>
      </c>
      <c r="BA89" s="31" t="str">
        <f t="shared" si="173"/>
        <v/>
      </c>
      <c r="BB89" s="31">
        <f t="shared" si="174"/>
        <v>646511.92649999994</v>
      </c>
      <c r="BD89" s="31">
        <f>IFERROR(VLOOKUP(A89,'Title II Hold Harmless'!A$1:B$439,2, FALSE),"")</f>
        <v>25665</v>
      </c>
      <c r="BE89" s="31">
        <f t="shared" si="183"/>
        <v>32743.675945350384</v>
      </c>
      <c r="BF89" s="31">
        <f t="shared" si="184"/>
        <v>32775.357405728479</v>
      </c>
      <c r="BG89" s="31" t="str">
        <f t="shared" si="175"/>
        <v/>
      </c>
      <c r="BH89" s="31">
        <f t="shared" si="176"/>
        <v>32775.357405728479</v>
      </c>
    </row>
    <row r="90" spans="1:60" x14ac:dyDescent="0.3">
      <c r="A90" s="1">
        <v>50204000</v>
      </c>
      <c r="B90">
        <f>VLOOKUP(C90,'NCES ID'!$A$2:$B$3136,2,FALSE)</f>
        <v>408410</v>
      </c>
      <c r="C90">
        <f>VLOOKUP(A90,'State ID'!$A$2:$B$713,2,FALSE)</f>
        <v>4219</v>
      </c>
      <c r="D90" s="147" t="s">
        <v>411</v>
      </c>
      <c r="E90" t="s">
        <v>133</v>
      </c>
      <c r="F90" s="47">
        <f>VLOOKUP(B90,'Formula counts'!$D$9:$L$234,9,FALSE)</f>
        <v>1557</v>
      </c>
      <c r="G90" s="47">
        <f>VLOOKUP(B90,'Formula counts'!$D$9:$K$234,8,FALSE)</f>
        <v>216</v>
      </c>
      <c r="H90" s="4">
        <f>VLOOKUP(B90,'Formula counts'!$D$9:$M$234,10,FALSE)</f>
        <v>0.13872832369942195</v>
      </c>
      <c r="I90" s="47">
        <f>VLOOKUP($C90,'Final SEA Counts'!$A$2:$F$709,5,FALSE)</f>
        <v>1578</v>
      </c>
      <c r="J90" s="47">
        <f>VLOOKUP($C90,'Final SEA Counts'!$A$2:$F$709,6,FALSE)</f>
        <v>634</v>
      </c>
      <c r="K90" s="24">
        <f t="shared" si="159"/>
        <v>1522.4090367609153</v>
      </c>
      <c r="L90" s="24">
        <f t="shared" si="159"/>
        <v>209.75988773560528</v>
      </c>
      <c r="M90" s="4">
        <f t="shared" si="160"/>
        <v>0.13778155717066118</v>
      </c>
      <c r="N90" s="31">
        <f>IFERROR(VLOOKUP($B90,Allocation!$D$10:$O$235,8,FALSE),"")</f>
        <v>110024.87522337744</v>
      </c>
      <c r="O90" s="31">
        <f>IFERROR(VLOOKUP($B90,Allocation!$D$10:$O$235,9,FALSE),"")</f>
        <v>26052.559192406061</v>
      </c>
      <c r="P90" s="31">
        <f>IFERROR(VLOOKUP($B90,Allocation!$D$10:$O$235,10,FALSE),"")</f>
        <v>36502.520130135323</v>
      </c>
      <c r="Q90" s="31">
        <f>IFERROR(VLOOKUP($B90,Allocation!$D$10:$O$235,11,FALSE),"")</f>
        <v>27680.472932454824</v>
      </c>
      <c r="R90" s="31">
        <f>IFERROR(VLOOKUP($B90,Allocation!$D$10:$O$235,12,FALSE),"")</f>
        <v>200260.42747837363</v>
      </c>
      <c r="S90" s="31">
        <f t="shared" si="178"/>
        <v>106846.32164342422</v>
      </c>
      <c r="T90" s="31">
        <f t="shared" si="178"/>
        <v>25299.916164001421</v>
      </c>
      <c r="U90" s="31">
        <f t="shared" si="178"/>
        <v>35447.983910017858</v>
      </c>
      <c r="V90" s="31">
        <f t="shared" si="178"/>
        <v>26880.800438797152</v>
      </c>
      <c r="W90" s="31">
        <f t="shared" si="161"/>
        <v>106846.32164342422</v>
      </c>
      <c r="X90" s="31">
        <f t="shared" si="161"/>
        <v>25299.916164001421</v>
      </c>
      <c r="Y90" s="31">
        <f t="shared" si="161"/>
        <v>35447.983910017858</v>
      </c>
      <c r="Z90" s="31">
        <f t="shared" si="161"/>
        <v>26880.800438797152</v>
      </c>
      <c r="AA90" s="31">
        <f t="shared" si="179"/>
        <v>106846.32164342422</v>
      </c>
      <c r="AB90" s="31">
        <f t="shared" si="179"/>
        <v>25299.916164001421</v>
      </c>
      <c r="AC90" s="31">
        <f t="shared" si="179"/>
        <v>35447.983910017858</v>
      </c>
      <c r="AD90" s="31">
        <f t="shared" si="179"/>
        <v>26880.800438797152</v>
      </c>
      <c r="AE90" s="31">
        <f t="shared" si="162"/>
        <v>194475.02215624065</v>
      </c>
      <c r="AF90" s="31">
        <f>IFERROR(VLOOKUP(A90,'Allocations By Type'!$D$7:$F$491,3,FALSE),"")</f>
        <v>224032.86</v>
      </c>
      <c r="AG90" s="31" t="str">
        <f t="shared" si="163"/>
        <v/>
      </c>
      <c r="AH90" s="31" t="str">
        <f t="shared" si="164"/>
        <v/>
      </c>
      <c r="AI90" s="31">
        <f t="shared" si="165"/>
        <v>194475.02215624065</v>
      </c>
      <c r="AJ90" s="31">
        <f>AI90/$AI$577*'State Admin 1004(b)'!$B$30*0.01</f>
        <v>1850.7214097944889</v>
      </c>
      <c r="AK90" s="31">
        <f t="shared" si="166"/>
        <v>192624.30074644616</v>
      </c>
      <c r="AL90" s="31">
        <f t="shared" si="167"/>
        <v>1926.2430074644617</v>
      </c>
      <c r="AM90" s="31">
        <f t="shared" si="168"/>
        <v>190698.0577389817</v>
      </c>
      <c r="AP90" s="31"/>
      <c r="AQ90" s="4">
        <f t="shared" si="177"/>
        <v>0.8512057460632414</v>
      </c>
      <c r="AR90" s="4">
        <f>VLOOKUP(B90,Allocation!$D$10:$P$235,13,FALSE)</f>
        <v>0.85</v>
      </c>
      <c r="AS90" s="4">
        <f t="shared" si="180"/>
        <v>0.85</v>
      </c>
      <c r="AT90" s="173" t="s">
        <v>1003</v>
      </c>
      <c r="AU90" s="31">
        <f t="shared" si="170"/>
        <v>-270.12673898169305</v>
      </c>
      <c r="AV90" s="31">
        <f t="shared" si="171"/>
        <v>190427.93100000001</v>
      </c>
      <c r="AW90" s="31">
        <f t="shared" si="182"/>
        <v>190427.93100000001</v>
      </c>
      <c r="AX90" s="4">
        <f t="shared" si="172"/>
        <v>0.85000000000000009</v>
      </c>
      <c r="AY90" s="4" t="str">
        <f>IF(AX90&lt;AS90,"Manual Adjustment","")</f>
        <v/>
      </c>
      <c r="AZ90" s="174" t="str">
        <f>IFERROR(IF(VLOOKUP(A90,#REF!,11,FALSE)=0,"",VLOOKUP(A90,#REF!,11,FALSE)),"")</f>
        <v/>
      </c>
      <c r="BA90" s="31" t="str">
        <f t="shared" si="173"/>
        <v/>
      </c>
      <c r="BB90" s="31">
        <f t="shared" si="174"/>
        <v>190427.93100000001</v>
      </c>
      <c r="BD90" s="31">
        <f>IFERROR(VLOOKUP(A90,'Title II Hold Harmless'!A$1:B$439,2, FALSE),"")</f>
        <v>32734</v>
      </c>
      <c r="BE90" s="31">
        <f t="shared" si="183"/>
        <v>36705.132407397599</v>
      </c>
      <c r="BF90" s="31">
        <f t="shared" si="184"/>
        <v>36740.646813293213</v>
      </c>
      <c r="BG90" s="31" t="str">
        <f t="shared" si="175"/>
        <v/>
      </c>
      <c r="BH90" s="31">
        <f t="shared" si="176"/>
        <v>36740.646813293213</v>
      </c>
    </row>
    <row r="91" spans="1:60" x14ac:dyDescent="0.3">
      <c r="A91" s="1">
        <v>50201000</v>
      </c>
      <c r="B91">
        <f>VLOOKUP(C91,'NCES ID'!$A$2:$B$3136,2,FALSE)</f>
        <v>407240</v>
      </c>
      <c r="C91">
        <f>VLOOKUP(A91,'State ID'!$A$2:$B$713,2,FALSE)</f>
        <v>4218</v>
      </c>
      <c r="D91" s="147" t="s">
        <v>366</v>
      </c>
      <c r="E91" t="s">
        <v>133</v>
      </c>
      <c r="F91" s="47">
        <f>VLOOKUP(B91,'Formula counts'!$D$9:$L$234,9,FALSE)</f>
        <v>3397</v>
      </c>
      <c r="G91" s="47">
        <f>VLOOKUP(B91,'Formula counts'!$D$9:$K$234,8,FALSE)</f>
        <v>748</v>
      </c>
      <c r="H91" s="4">
        <f>VLOOKUP(B91,'Formula counts'!$D$9:$M$234,10,FALSE)</f>
        <v>0.22019428907859875</v>
      </c>
      <c r="I91" s="47">
        <f>VLOOKUP($C91,'Final SEA Counts'!$A$2:$F$709,5,FALSE)</f>
        <v>2972</v>
      </c>
      <c r="J91" s="47">
        <f>VLOOKUP($C91,'Final SEA Counts'!$A$2:$F$709,6,FALSE)</f>
        <v>1649</v>
      </c>
      <c r="K91" s="24">
        <f t="shared" si="159"/>
        <v>3321.5308271527483</v>
      </c>
      <c r="L91" s="24">
        <f t="shared" si="159"/>
        <v>726.39072234367018</v>
      </c>
      <c r="M91" s="4">
        <f t="shared" si="160"/>
        <v>0.21869154921146405</v>
      </c>
      <c r="N91" s="31">
        <f>IFERROR(VLOOKUP($B91,Allocation!$D$10:$O$235,8,FALSE),"")</f>
        <v>352860.02032598463</v>
      </c>
      <c r="O91" s="31">
        <f>IFERROR(VLOOKUP($B91,Allocation!$D$10:$O$235,9,FALSE),"")</f>
        <v>83681.068038021142</v>
      </c>
      <c r="P91" s="31">
        <f>IFERROR(VLOOKUP($B91,Allocation!$D$10:$O$235,10,FALSE),"")</f>
        <v>131601.53905563828</v>
      </c>
      <c r="Q91" s="31">
        <f>IFERROR(VLOOKUP($B91,Allocation!$D$10:$O$235,11,FALSE),"")</f>
        <v>102016.7431479834</v>
      </c>
      <c r="R91" s="31">
        <f>IFERROR(VLOOKUP($B91,Allocation!$D$10:$O$235,12,FALSE),"")</f>
        <v>670159.37056762748</v>
      </c>
      <c r="S91" s="31">
        <f t="shared" si="178"/>
        <v>342666.10300908302</v>
      </c>
      <c r="T91" s="31">
        <f t="shared" si="178"/>
        <v>81263.571468753988</v>
      </c>
      <c r="U91" s="31">
        <f t="shared" si="178"/>
        <v>127799.64841733129</v>
      </c>
      <c r="V91" s="31">
        <f t="shared" si="178"/>
        <v>99069.539767930924</v>
      </c>
      <c r="W91" s="31">
        <f t="shared" si="161"/>
        <v>342666.10300908302</v>
      </c>
      <c r="X91" s="31">
        <f t="shared" si="161"/>
        <v>81263.571468753988</v>
      </c>
      <c r="Y91" s="31">
        <f t="shared" si="161"/>
        <v>127799.64841733129</v>
      </c>
      <c r="Z91" s="31">
        <f t="shared" si="161"/>
        <v>99069.539767930924</v>
      </c>
      <c r="AA91" s="31">
        <f t="shared" si="179"/>
        <v>342666.10300908302</v>
      </c>
      <c r="AB91" s="31">
        <f t="shared" si="179"/>
        <v>81263.571468753988</v>
      </c>
      <c r="AC91" s="31">
        <f t="shared" si="179"/>
        <v>127799.64841733129</v>
      </c>
      <c r="AD91" s="31">
        <f t="shared" si="179"/>
        <v>99069.539767930924</v>
      </c>
      <c r="AE91" s="31">
        <f t="shared" si="162"/>
        <v>650798.86266309931</v>
      </c>
      <c r="AF91" s="31">
        <f>IFERROR(VLOOKUP(A91,'Allocations By Type'!$D$7:$F$491,3,FALSE),"")</f>
        <v>691272.27</v>
      </c>
      <c r="AG91" s="31" t="str">
        <f t="shared" si="163"/>
        <v/>
      </c>
      <c r="AH91" s="31" t="str">
        <f t="shared" si="164"/>
        <v/>
      </c>
      <c r="AI91" s="31">
        <f t="shared" si="165"/>
        <v>650798.86266309931</v>
      </c>
      <c r="AJ91" s="31">
        <f>AI91/$AI$577*'State Admin 1004(b)'!$B$30*0.01</f>
        <v>6193.3269128662268</v>
      </c>
      <c r="AK91" s="31">
        <f t="shared" si="166"/>
        <v>644605.5357502331</v>
      </c>
      <c r="AL91" s="31">
        <f t="shared" si="167"/>
        <v>6446.0553575023314</v>
      </c>
      <c r="AM91" s="31">
        <f t="shared" si="168"/>
        <v>638159.48039273079</v>
      </c>
      <c r="AP91" s="31"/>
      <c r="AQ91" s="4">
        <f t="shared" si="177"/>
        <v>0.92316661334141292</v>
      </c>
      <c r="AR91" s="4">
        <f>VLOOKUP(B91,Allocation!$D$10:$P$235,13,FALSE)</f>
        <v>0.90920350320969623</v>
      </c>
      <c r="AS91" s="4">
        <f t="shared" si="180"/>
        <v>0.9</v>
      </c>
      <c r="AT91" s="4" t="str">
        <f t="shared" si="181"/>
        <v/>
      </c>
      <c r="AU91" s="31" t="str">
        <f t="shared" si="170"/>
        <v/>
      </c>
      <c r="AV91" s="31" t="str">
        <f t="shared" si="171"/>
        <v/>
      </c>
      <c r="AW91" s="31">
        <f t="shared" si="182"/>
        <v>624823.82516541018</v>
      </c>
      <c r="AX91" s="4">
        <f t="shared" si="172"/>
        <v>0.90387514772639466</v>
      </c>
      <c r="AY91" s="4" t="str">
        <f>IF(AX91&lt;AS91,"Manual Adjustment","")</f>
        <v/>
      </c>
      <c r="AZ91" s="174" t="str">
        <f>IFERROR(IF(VLOOKUP(A91,#REF!,11,FALSE)=0,"",VLOOKUP(A91,#REF!,11,FALSE)),"")</f>
        <v/>
      </c>
      <c r="BA91" s="31" t="str">
        <f t="shared" si="173"/>
        <v/>
      </c>
      <c r="BB91" s="31">
        <f t="shared" si="174"/>
        <v>624823.82516541018</v>
      </c>
      <c r="BD91" s="31">
        <f>IFERROR(VLOOKUP(A91,'Title II Hold Harmless'!A$1:B$439,2, FALSE),"")</f>
        <v>115868</v>
      </c>
      <c r="BE91" s="31">
        <f t="shared" si="183"/>
        <v>128050.11035483476</v>
      </c>
      <c r="BF91" s="31">
        <f t="shared" si="184"/>
        <v>128174.00647768877</v>
      </c>
      <c r="BG91" s="31" t="str">
        <f t="shared" si="175"/>
        <v/>
      </c>
      <c r="BH91" s="31">
        <f t="shared" si="176"/>
        <v>128174.00647768877</v>
      </c>
    </row>
    <row r="92" spans="1:60" x14ac:dyDescent="0.3">
      <c r="A92" s="1">
        <v>50316000</v>
      </c>
      <c r="B92">
        <v>401260</v>
      </c>
      <c r="C92">
        <f>VLOOKUP(A92,'State ID'!$A$2:$B$713,2,FALSE)</f>
        <v>4224</v>
      </c>
      <c r="D92" s="147" t="s">
        <v>537</v>
      </c>
      <c r="E92" t="s">
        <v>133</v>
      </c>
      <c r="F92" s="47">
        <f>VLOOKUP(B92,'Formula counts'!$D$9:$L$234,9,FALSE)</f>
        <v>55</v>
      </c>
      <c r="G92" s="47">
        <f>VLOOKUP(B92,'Formula counts'!$D$9:$K$234,8,FALSE)</f>
        <v>7</v>
      </c>
      <c r="H92" s="4">
        <f>VLOOKUP(B92,'Formula counts'!$D$9:$M$234,10,FALSE)</f>
        <v>0.12727272727272726</v>
      </c>
      <c r="I92" s="47">
        <f>VLOOKUP($C92,'Final SEA Counts'!$A$2:$F$709,5,FALSE)</f>
        <v>111</v>
      </c>
      <c r="J92" s="47">
        <f>VLOOKUP($C92,'Final SEA Counts'!$A$2:$F$709,6,FALSE)</f>
        <v>57</v>
      </c>
      <c r="K92" s="24">
        <f t="shared" si="159"/>
        <v>53.778096995408056</v>
      </c>
      <c r="L92" s="24">
        <f t="shared" si="159"/>
        <v>6.7977741395798006</v>
      </c>
      <c r="M92" s="4">
        <f t="shared" si="160"/>
        <v>0.12640414070732628</v>
      </c>
      <c r="N92" s="31">
        <f>IFERROR(VLOOKUP($B92,Allocation!$D$10:$O$235,8,FALSE),"")</f>
        <v>0</v>
      </c>
      <c r="O92" s="31">
        <f>IFERROR(VLOOKUP($B92,Allocation!$D$10:$O$235,9,FALSE),"")</f>
        <v>1486.3208470791089</v>
      </c>
      <c r="P92" s="31">
        <f>IFERROR(VLOOKUP($B92,Allocation!$D$10:$O$235,10,FALSE),"")</f>
        <v>0</v>
      </c>
      <c r="Q92" s="31">
        <f>IFERROR(VLOOKUP($B92,Allocation!$D$10:$O$235,11,FALSE),"")</f>
        <v>0</v>
      </c>
      <c r="R92" s="31">
        <f>IFERROR(VLOOKUP($B92,Allocation!$D$10:$O$235,12,FALSE),"")</f>
        <v>1486.3208470791089</v>
      </c>
      <c r="S92" s="31" t="str">
        <f t="shared" si="178"/>
        <v/>
      </c>
      <c r="T92" s="31">
        <f t="shared" si="178"/>
        <v>1443.3819167703873</v>
      </c>
      <c r="U92" s="31" t="str">
        <f t="shared" si="178"/>
        <v/>
      </c>
      <c r="V92" s="31" t="str">
        <f t="shared" si="178"/>
        <v/>
      </c>
      <c r="W92" s="31" t="str">
        <f t="shared" si="161"/>
        <v/>
      </c>
      <c r="X92" s="31">
        <f t="shared" si="161"/>
        <v>1443.3819167703873</v>
      </c>
      <c r="Y92" s="31" t="str">
        <f t="shared" si="161"/>
        <v/>
      </c>
      <c r="Z92" s="31" t="str">
        <f t="shared" si="161"/>
        <v/>
      </c>
      <c r="AA92" s="31" t="str">
        <f t="shared" si="179"/>
        <v/>
      </c>
      <c r="AB92" s="31">
        <f t="shared" si="179"/>
        <v>1443.3819167703873</v>
      </c>
      <c r="AC92" s="31" t="str">
        <f t="shared" si="179"/>
        <v/>
      </c>
      <c r="AD92" s="31" t="str">
        <f t="shared" si="179"/>
        <v/>
      </c>
      <c r="AE92" s="31">
        <f t="shared" si="162"/>
        <v>1443.3819167703873</v>
      </c>
      <c r="AF92" s="31">
        <f>IFERROR(VLOOKUP(A92,'Allocations By Type'!$D$7:$F$491,3,FALSE),"")</f>
        <v>13625.75</v>
      </c>
      <c r="AG92" s="31" t="str">
        <f t="shared" si="163"/>
        <v/>
      </c>
      <c r="AH92" s="31" t="str">
        <f t="shared" si="164"/>
        <v/>
      </c>
      <c r="AI92" s="31">
        <f t="shared" si="165"/>
        <v>1443.3819167703873</v>
      </c>
      <c r="AJ92" s="31">
        <f>AI92/$AI$577*'State Admin 1004(b)'!$B$30*0.01</f>
        <v>13.735942982595731</v>
      </c>
      <c r="AK92" s="31">
        <f t="shared" si="166"/>
        <v>1429.6459737877915</v>
      </c>
      <c r="AL92" s="31">
        <f t="shared" si="167"/>
        <v>14.296459737877916</v>
      </c>
      <c r="AM92" s="31">
        <f t="shared" si="168"/>
        <v>1415.3495140499135</v>
      </c>
      <c r="AP92" s="31"/>
      <c r="AQ92" s="4">
        <f t="shared" si="177"/>
        <v>0.10387314562867464</v>
      </c>
      <c r="AR92" s="4">
        <f>VLOOKUP(B92,Allocation!$D$10:$P$235,13,FALSE)</f>
        <v>0.10228381653545691</v>
      </c>
      <c r="AS92" s="4">
        <f t="shared" si="180"/>
        <v>0.85</v>
      </c>
      <c r="AT92" s="4" t="str">
        <f t="shared" si="181"/>
        <v>Review</v>
      </c>
      <c r="AU92" s="31">
        <f t="shared" si="170"/>
        <v>10166.537985950086</v>
      </c>
      <c r="AV92" s="31">
        <f t="shared" si="171"/>
        <v>11581.887500000001</v>
      </c>
      <c r="AW92" s="31">
        <f t="shared" si="182"/>
        <v>11581.887500000001</v>
      </c>
      <c r="AX92" s="4">
        <f t="shared" si="172"/>
        <v>0.85000000000000009</v>
      </c>
      <c r="AY92" s="4" t="str">
        <f>IF(AX92&lt;AS92,CONCATENATE(ROUND((AS92-AX92)*100,2),"% Adjustment"),"")</f>
        <v/>
      </c>
      <c r="AZ92" s="174" t="str">
        <f>IFERROR(IF(VLOOKUP(A92,#REF!,11,FALSE)=0,"",VLOOKUP(A92,#REF!,11,FALSE)),"")</f>
        <v/>
      </c>
      <c r="BA92" s="31" t="str">
        <f t="shared" si="173"/>
        <v/>
      </c>
      <c r="BB92" s="31">
        <f t="shared" si="174"/>
        <v>11581.887500000001</v>
      </c>
      <c r="BD92" s="31">
        <f>IFERROR(VLOOKUP(A92,'Title II Hold Harmless'!A$1:B$439,2, FALSE),"")</f>
        <v>2976</v>
      </c>
      <c r="BE92" s="31">
        <f t="shared" si="183"/>
        <v>3108.2680337787824</v>
      </c>
      <c r="BF92" s="31">
        <f t="shared" si="184"/>
        <v>3111.2754685799641</v>
      </c>
      <c r="BG92" s="31" t="str">
        <f t="shared" si="175"/>
        <v/>
      </c>
      <c r="BH92" s="31">
        <f t="shared" si="176"/>
        <v>3111.2754685799641</v>
      </c>
    </row>
    <row r="93" spans="1:60" x14ac:dyDescent="0.3">
      <c r="A93" s="1">
        <v>58703000</v>
      </c>
      <c r="B93">
        <f>VLOOKUP(C93,'NCES ID'!$A$2:$B$3136,2,FALSE)</f>
        <v>400141</v>
      </c>
      <c r="C93">
        <f>VLOOKUP(A93,'State ID'!$A$2:$B$713,2,FALSE)</f>
        <v>6357</v>
      </c>
      <c r="D93" s="147" t="s">
        <v>132</v>
      </c>
      <c r="E93" t="s">
        <v>133</v>
      </c>
      <c r="I93" s="47">
        <f>VLOOKUP($C93,'Final SEA Counts'!$A$2:$F$709,5,FALSE)</f>
        <v>110</v>
      </c>
      <c r="J93" s="47">
        <f>VLOOKUP($C93,'Final SEA Counts'!$A$2:$F$709,6,FALSE)</f>
        <v>60</v>
      </c>
      <c r="K93" s="24">
        <f>I93</f>
        <v>110</v>
      </c>
      <c r="L93" s="24">
        <f>J93*$B$97</f>
        <v>30.461958930696731</v>
      </c>
      <c r="M93" s="4">
        <f t="shared" si="160"/>
        <v>0.27692689936997028</v>
      </c>
      <c r="N93" s="31" t="str">
        <f>IFERROR(VLOOKUP($B93,#REF!,8,FALSE),"")</f>
        <v/>
      </c>
      <c r="O93" s="31" t="str">
        <f>IFERROR(VLOOKUP($B93,#REF!,9,FALSE),"")</f>
        <v/>
      </c>
      <c r="P93" s="31" t="str">
        <f>IFERROR(VLOOKUP($B93,#REF!,10,FALSE),"")</f>
        <v/>
      </c>
      <c r="Q93" s="31" t="str">
        <f>IFERROR(VLOOKUP($B93,#REF!,11,FALSE),"")</f>
        <v/>
      </c>
      <c r="R93" s="31" t="str">
        <f>IFERROR(VLOOKUP($B93,#REF!,12,FALSE),"")</f>
        <v/>
      </c>
      <c r="S93" s="31">
        <f t="shared" ref="S93:V95" si="185">$L93*N$98</f>
        <v>15796.632820535302</v>
      </c>
      <c r="T93" s="31">
        <f t="shared" si="185"/>
        <v>3815.5657246487986</v>
      </c>
      <c r="U93" s="31">
        <f t="shared" si="185"/>
        <v>6748.7133517112643</v>
      </c>
      <c r="V93" s="31">
        <f t="shared" si="185"/>
        <v>6129.1772013668606</v>
      </c>
      <c r="W93" s="31">
        <f>IF(AND($L93&gt;9,$L93&gt;($K93*0.02)),S93,"")</f>
        <v>15796.632820535302</v>
      </c>
      <c r="X93" s="31">
        <f>IF(W93="","",IF(OR($L93&gt;6500,$L93&gt;($K93*0.15)),T93,""))</f>
        <v>3815.5657246487986</v>
      </c>
      <c r="Y93" s="31">
        <f>IF(AND($L93&gt;9,$L93&gt;($K93*0.05)),U93,"")</f>
        <v>6748.7133517112643</v>
      </c>
      <c r="Z93" s="31">
        <f>IF(AND($L93&gt;9,$L93&gt;($K93*0.05)),V93,"")</f>
        <v>6129.1772013668606</v>
      </c>
      <c r="AA93" s="31">
        <f t="shared" si="179"/>
        <v>15796.632820535302</v>
      </c>
      <c r="AB93" s="31">
        <f t="shared" si="179"/>
        <v>3815.5657246487986</v>
      </c>
      <c r="AC93" s="31">
        <f t="shared" si="179"/>
        <v>6748.7133517112643</v>
      </c>
      <c r="AD93" s="31">
        <f t="shared" si="179"/>
        <v>6129.1772013668606</v>
      </c>
      <c r="AE93" s="31">
        <f t="shared" si="162"/>
        <v>32490.089098262222</v>
      </c>
      <c r="AF93" s="31">
        <f>IFERROR(VLOOKUP(A93,'Allocations By Type'!$D$7:$F$491,3,FALSE),"")</f>
        <v>29708.1</v>
      </c>
      <c r="AG93" s="31">
        <f t="shared" si="163"/>
        <v>1299.6035639304889</v>
      </c>
      <c r="AH93" s="31">
        <f t="shared" si="164"/>
        <v>1299.6035639304889</v>
      </c>
      <c r="AI93" s="31">
        <f t="shared" si="165"/>
        <v>31190.485534331732</v>
      </c>
      <c r="AJ93" s="31">
        <f>AI93/$AI$577*'State Admin 1004(b)'!$B$30*0.01</f>
        <v>296.82423336554251</v>
      </c>
      <c r="AK93" s="31">
        <f t="shared" si="166"/>
        <v>30893.661300966189</v>
      </c>
      <c r="AL93" s="31">
        <f t="shared" si="167"/>
        <v>308.93661300966187</v>
      </c>
      <c r="AM93" s="31">
        <f t="shared" si="168"/>
        <v>30584.724687956528</v>
      </c>
      <c r="AP93" s="31"/>
      <c r="AQ93" s="4">
        <f t="shared" si="177"/>
        <v>1.0295079351408043</v>
      </c>
      <c r="AW93" s="31">
        <f t="shared" si="182"/>
        <v>29945.593943694759</v>
      </c>
      <c r="AX93" s="4">
        <f t="shared" ref="AX93:AX94" si="186">IFERROR(AW93/AF93,"")</f>
        <v>1.0079942488309506</v>
      </c>
      <c r="AZ93" s="174" t="str">
        <f>IFERROR(IF(VLOOKUP(A93,#REF!,11,FALSE)=0,"",VLOOKUP(A93,#REF!,11,FALSE)),"")</f>
        <v/>
      </c>
      <c r="BA93" s="31" t="str">
        <f t="shared" si="173"/>
        <v/>
      </c>
      <c r="BB93" s="31">
        <f t="shared" si="174"/>
        <v>29945.593943694759</v>
      </c>
      <c r="BD93" s="31" t="str">
        <f>IFERROR(VLOOKUP(A93,'Title II Hold Harmless'!A$1:B$439,2, FALSE),"")</f>
        <v/>
      </c>
      <c r="BE93" s="31">
        <f t="shared" si="183"/>
        <v>487.29550747077411</v>
      </c>
      <c r="BF93" s="31">
        <f t="shared" si="184"/>
        <v>487.76699495245225</v>
      </c>
      <c r="BG93" s="31" t="str">
        <f t="shared" si="175"/>
        <v/>
      </c>
      <c r="BH93" s="31">
        <f t="shared" si="176"/>
        <v>487.76699495245225</v>
      </c>
    </row>
    <row r="94" spans="1:60" x14ac:dyDescent="0.3">
      <c r="A94" s="1">
        <v>50199000</v>
      </c>
      <c r="B94">
        <f>VLOOKUP(C94,'NCES ID'!$A$2:$B$3136,2,FALSE)</f>
        <v>402480</v>
      </c>
      <c r="C94">
        <f>VLOOKUP(A94,'State ID'!$A$2:$B$713,2,FALSE)</f>
        <v>4217</v>
      </c>
      <c r="D94" s="147" t="s">
        <v>186</v>
      </c>
      <c r="E94" t="s">
        <v>133</v>
      </c>
      <c r="I94" s="47">
        <f>VLOOKUP($C94,'Final SEA Counts'!$A$2:$F$709,5,FALSE)</f>
        <v>41</v>
      </c>
      <c r="J94" s="47">
        <f>VLOOKUP($C94,'Final SEA Counts'!$A$2:$F$709,6,FALSE)</f>
        <v>27</v>
      </c>
      <c r="K94" s="24">
        <f>I94</f>
        <v>41</v>
      </c>
      <c r="L94" s="24">
        <f>J94*$B$97</f>
        <v>13.707881518813529</v>
      </c>
      <c r="M94" s="4">
        <f t="shared" si="160"/>
        <v>0.33433857362959829</v>
      </c>
      <c r="N94" s="31" t="str">
        <f>IFERROR(VLOOKUP($B94,#REF!,8,FALSE),"")</f>
        <v/>
      </c>
      <c r="O94" s="31" t="str">
        <f>IFERROR(VLOOKUP($B94,#REF!,9,FALSE),"")</f>
        <v/>
      </c>
      <c r="P94" s="31" t="str">
        <f>IFERROR(VLOOKUP($B94,#REF!,10,FALSE),"")</f>
        <v/>
      </c>
      <c r="Q94" s="31" t="str">
        <f>IFERROR(VLOOKUP($B94,#REF!,11,FALSE),"")</f>
        <v/>
      </c>
      <c r="R94" s="31" t="str">
        <f>IFERROR(VLOOKUP($B94,#REF!,12,FALSE),"")</f>
        <v/>
      </c>
      <c r="S94" s="31">
        <f t="shared" si="185"/>
        <v>7108.4847692408857</v>
      </c>
      <c r="T94" s="31">
        <f t="shared" si="185"/>
        <v>1717.0045760919595</v>
      </c>
      <c r="U94" s="31">
        <f t="shared" si="185"/>
        <v>3036.9210082700688</v>
      </c>
      <c r="V94" s="31">
        <f t="shared" si="185"/>
        <v>2758.1297406150875</v>
      </c>
      <c r="W94" s="31">
        <f>IF(AND($L94&gt;9,$L94&gt;($K94*0.02)),S94,"")</f>
        <v>7108.4847692408857</v>
      </c>
      <c r="X94" s="31">
        <f>IF(W94="","",IF(OR($L94&gt;6500,$L94&gt;($K94*0.15)),T94,""))</f>
        <v>1717.0045760919595</v>
      </c>
      <c r="Y94" s="31">
        <f>IF(AND($L94&gt;9,$L94&gt;($K94*0.05)),U94,"")</f>
        <v>3036.9210082700688</v>
      </c>
      <c r="Z94" s="31">
        <f>IF(AND($L94&gt;9,$L94&gt;($K94*0.05)),V94,"")</f>
        <v>2758.1297406150875</v>
      </c>
      <c r="AA94" s="31">
        <f t="shared" si="179"/>
        <v>7108.4847692408857</v>
      </c>
      <c r="AB94" s="31">
        <f t="shared" si="179"/>
        <v>1717.0045760919595</v>
      </c>
      <c r="AC94" s="31">
        <f t="shared" si="179"/>
        <v>3036.9210082700688</v>
      </c>
      <c r="AD94" s="31">
        <f t="shared" si="179"/>
        <v>2758.1297406150875</v>
      </c>
      <c r="AE94" s="31">
        <f t="shared" si="162"/>
        <v>14620.540094218002</v>
      </c>
      <c r="AF94" s="31">
        <f>IFERROR(VLOOKUP(A94,'Allocations By Type'!$D$7:$F$491,3,FALSE),"")</f>
        <v>20905.7</v>
      </c>
      <c r="AG94" s="31" t="str">
        <f t="shared" si="163"/>
        <v/>
      </c>
      <c r="AH94" s="31" t="str">
        <f t="shared" si="164"/>
        <v/>
      </c>
      <c r="AI94" s="31">
        <f t="shared" si="165"/>
        <v>14620.540094218002</v>
      </c>
      <c r="AJ94" s="31">
        <f>AI94/$AI$577*'State Admin 1004(b)'!$B$30*0.01</f>
        <v>139.13635939009811</v>
      </c>
      <c r="AK94" s="31">
        <f t="shared" si="166"/>
        <v>14481.403734827903</v>
      </c>
      <c r="AL94" s="31">
        <f t="shared" si="167"/>
        <v>144.81403734827904</v>
      </c>
      <c r="AM94" s="31">
        <f t="shared" si="168"/>
        <v>14336.589697479625</v>
      </c>
      <c r="AP94" s="31"/>
      <c r="AQ94" s="4">
        <f t="shared" si="177"/>
        <v>0.68577420021714774</v>
      </c>
      <c r="AW94" s="31">
        <f t="shared" si="182"/>
        <v>14036.997161106921</v>
      </c>
      <c r="AX94" s="4">
        <f t="shared" si="186"/>
        <v>0.67144353746140628</v>
      </c>
      <c r="AZ94" s="174" t="str">
        <f>IFERROR(IF(VLOOKUP(A94,#REF!,11,FALSE)=0,"",VLOOKUP(A94,#REF!,11,FALSE)),"")</f>
        <v/>
      </c>
      <c r="BA94" s="31" t="str">
        <f t="shared" si="173"/>
        <v/>
      </c>
      <c r="BB94" s="31">
        <f t="shared" si="174"/>
        <v>14036.997161106921</v>
      </c>
      <c r="BD94" s="31">
        <f>IFERROR(VLOOKUP(A94,'Title II Hold Harmless'!A$1:B$439,2, FALSE),"")</f>
        <v>1539</v>
      </c>
      <c r="BE94" s="31">
        <f t="shared" si="183"/>
        <v>1751.4421810011686</v>
      </c>
      <c r="BF94" s="31">
        <f t="shared" si="184"/>
        <v>1753.1368058244329</v>
      </c>
      <c r="BG94" s="31" t="str">
        <f t="shared" si="175"/>
        <v/>
      </c>
      <c r="BH94" s="31">
        <f t="shared" si="176"/>
        <v>1753.1368058244329</v>
      </c>
    </row>
    <row r="95" spans="1:60" s="47" customFormat="1" x14ac:dyDescent="0.3">
      <c r="A95" s="1"/>
      <c r="D95" s="191" t="s">
        <v>1411</v>
      </c>
      <c r="E95" s="47" t="s">
        <v>133</v>
      </c>
      <c r="H95" s="4"/>
      <c r="I95" s="24">
        <f>'AVA Metrics'!C6</f>
        <v>21.977032613688561</v>
      </c>
      <c r="J95" s="24">
        <f>'AVA Metrics'!D6</f>
        <v>11.498392282958198</v>
      </c>
      <c r="K95" s="24">
        <f>I95</f>
        <v>21.977032613688561</v>
      </c>
      <c r="L95" s="24">
        <f>J95*$B$97</f>
        <v>5.837725891541881</v>
      </c>
      <c r="M95" s="4">
        <f t="shared" si="160"/>
        <v>0.2656284856175628</v>
      </c>
      <c r="N95" s="31"/>
      <c r="O95" s="31"/>
      <c r="P95" s="31"/>
      <c r="Q95" s="31"/>
      <c r="R95" s="31"/>
      <c r="S95" s="31">
        <f t="shared" si="185"/>
        <v>3027.2646820061218</v>
      </c>
      <c r="T95" s="31">
        <f t="shared" si="185"/>
        <v>731.21452472369253</v>
      </c>
      <c r="U95" s="31">
        <f t="shared" si="185"/>
        <v>1293.3225587202294</v>
      </c>
      <c r="V95" s="31">
        <f t="shared" si="185"/>
        <v>1174.5947305513339</v>
      </c>
      <c r="W95" s="31">
        <f>S95</f>
        <v>3027.2646820061218</v>
      </c>
      <c r="X95" s="31">
        <f t="shared" ref="X95:Z95" si="187">T95</f>
        <v>731.21452472369253</v>
      </c>
      <c r="Y95" s="31">
        <f t="shared" si="187"/>
        <v>1293.3225587202294</v>
      </c>
      <c r="Z95" s="31">
        <f t="shared" si="187"/>
        <v>1174.5947305513339</v>
      </c>
      <c r="AA95" s="31">
        <f t="shared" si="179"/>
        <v>3027.2646820061218</v>
      </c>
      <c r="AB95" s="31">
        <f t="shared" si="179"/>
        <v>731.21452472369253</v>
      </c>
      <c r="AC95" s="31">
        <f t="shared" si="179"/>
        <v>1293.3225587202294</v>
      </c>
      <c r="AD95" s="31">
        <f t="shared" si="179"/>
        <v>1174.5947305513339</v>
      </c>
      <c r="AE95" s="31">
        <f t="shared" ref="AE95" si="188">SUM(AA95:AD95)</f>
        <v>6226.3964960013773</v>
      </c>
      <c r="AF95" s="31"/>
      <c r="AG95" s="31"/>
      <c r="AH95" s="31"/>
      <c r="AI95" s="31"/>
      <c r="AJ95" s="31"/>
      <c r="AK95" s="31"/>
      <c r="AL95" s="31"/>
      <c r="AM95" s="31"/>
      <c r="AP95" s="31"/>
      <c r="AQ95" s="4"/>
      <c r="AR95" s="4"/>
      <c r="AS95" s="4"/>
      <c r="AT95" s="4"/>
      <c r="AW95" s="31"/>
      <c r="AX95" s="4"/>
      <c r="AZ95" s="174"/>
      <c r="BA95" s="31"/>
      <c r="BB95" s="31"/>
      <c r="BD95" s="31"/>
      <c r="BE95" s="31"/>
      <c r="BF95" s="31"/>
      <c r="BG95" s="31"/>
      <c r="BH95" s="31"/>
    </row>
    <row r="96" spans="1:60" x14ac:dyDescent="0.3">
      <c r="A96" s="1"/>
      <c r="D96" s="147" t="s">
        <v>878</v>
      </c>
      <c r="K96" s="24">
        <f>SUM(K93:K95)</f>
        <v>172.97703261368855</v>
      </c>
      <c r="L96" s="24">
        <f>SUM(L93:L95)</f>
        <v>50.00756634105214</v>
      </c>
      <c r="S96" s="31">
        <f>SUM(S93:S95)</f>
        <v>25932.382271782306</v>
      </c>
      <c r="T96" s="31">
        <f t="shared" ref="T96:V96" si="189">SUM(T93:T95)</f>
        <v>6263.7848254644505</v>
      </c>
      <c r="U96" s="31">
        <f t="shared" si="189"/>
        <v>11078.956918701562</v>
      </c>
      <c r="V96" s="31">
        <f t="shared" si="189"/>
        <v>10061.901672533282</v>
      </c>
    </row>
    <row r="97" spans="1:60" x14ac:dyDescent="0.3">
      <c r="A97" s="1" t="s">
        <v>880</v>
      </c>
      <c r="B97">
        <f>G97/J97</f>
        <v>0.50769931551161218</v>
      </c>
      <c r="D97" s="147" t="s">
        <v>879</v>
      </c>
      <c r="F97">
        <f>SUM(F86:F95)</f>
        <v>7786</v>
      </c>
      <c r="G97" s="47">
        <f>SUM(G86:G95)</f>
        <v>1731</v>
      </c>
      <c r="I97" s="24">
        <f>SUM(I86:I95)</f>
        <v>6317.9770326136886</v>
      </c>
      <c r="J97" s="24">
        <f t="shared" ref="J97:L97" si="190">SUM(J86:J95)</f>
        <v>3409.4983922829583</v>
      </c>
      <c r="K97" s="24">
        <f t="shared" si="190"/>
        <v>7786</v>
      </c>
      <c r="L97" s="24">
        <f t="shared" si="190"/>
        <v>1731</v>
      </c>
      <c r="N97" s="31">
        <f>SUM(N86:N95)</f>
        <v>897643.23675165535</v>
      </c>
      <c r="O97" s="31">
        <f t="shared" ref="O97:AE97" si="191">SUM(O86:O95)</f>
        <v>216819.42006400065</v>
      </c>
      <c r="P97" s="31">
        <f t="shared" si="191"/>
        <v>383495.45537730149</v>
      </c>
      <c r="Q97" s="31">
        <f t="shared" si="191"/>
        <v>348290.33023462788</v>
      </c>
      <c r="R97" s="31">
        <f t="shared" si="191"/>
        <v>1846248.4424275856</v>
      </c>
      <c r="S97" s="31">
        <f t="shared" si="191"/>
        <v>897643.23675165535</v>
      </c>
      <c r="T97" s="31">
        <f t="shared" si="191"/>
        <v>216819.42006400065</v>
      </c>
      <c r="U97" s="31">
        <f t="shared" si="191"/>
        <v>383495.45537730155</v>
      </c>
      <c r="V97" s="31">
        <f t="shared" si="191"/>
        <v>348290.33023462794</v>
      </c>
      <c r="W97" s="31">
        <f t="shared" si="191"/>
        <v>897643.23675165535</v>
      </c>
      <c r="X97" s="31">
        <f t="shared" si="191"/>
        <v>216819.42006400065</v>
      </c>
      <c r="Y97" s="31">
        <f t="shared" si="191"/>
        <v>383495.45537730155</v>
      </c>
      <c r="Z97" s="31">
        <f t="shared" si="191"/>
        <v>348290.33023462794</v>
      </c>
      <c r="AA97" s="31">
        <f t="shared" si="191"/>
        <v>897643.23675165535</v>
      </c>
      <c r="AB97" s="31">
        <f t="shared" si="191"/>
        <v>216819.42006400065</v>
      </c>
      <c r="AC97" s="31">
        <f t="shared" si="191"/>
        <v>383495.45537730155</v>
      </c>
      <c r="AD97" s="31">
        <f t="shared" si="191"/>
        <v>348290.33023462794</v>
      </c>
      <c r="AE97" s="31">
        <f t="shared" si="191"/>
        <v>1846248.4424275854</v>
      </c>
      <c r="AF97" s="31"/>
      <c r="AK97" s="31">
        <f>SUM(AK86:AK94)</f>
        <v>1814500.3221390636</v>
      </c>
      <c r="AL97" s="31"/>
      <c r="AM97" s="31">
        <f>SUM(AM86:AM94)</f>
        <v>1796355.3189176731</v>
      </c>
      <c r="AU97" s="31">
        <f>SUM(AU86:AU94)</f>
        <v>17612.899180180731</v>
      </c>
      <c r="AV97" s="31">
        <f>SUM(AV86:AV94)</f>
        <v>971127.09799999988</v>
      </c>
      <c r="AW97" s="31">
        <f>SUM(AW86:AW94)</f>
        <v>1796355.3189176728</v>
      </c>
    </row>
    <row r="98" spans="1:60" x14ac:dyDescent="0.3">
      <c r="A98" s="1"/>
      <c r="N98" s="31">
        <f>N97/$L97</f>
        <v>518.56917201135491</v>
      </c>
      <c r="O98" s="31">
        <f>O97/$L97</f>
        <v>125.25674180473752</v>
      </c>
      <c r="P98" s="31">
        <f>P97/$L97</f>
        <v>221.54561258076342</v>
      </c>
      <c r="Q98" s="31">
        <f>Q97/$L97</f>
        <v>201.20758534640547</v>
      </c>
      <c r="R98" s="31" t="str">
        <f>IFERROR(VLOOKUP($B98,#REF!,12,FALSE),"")</f>
        <v/>
      </c>
      <c r="W98" s="31">
        <f>(S97-W97)/COUNT(W86:W95)</f>
        <v>0</v>
      </c>
      <c r="X98" s="31">
        <f t="shared" ref="X98:Z98" si="192">(T97-X97)/COUNT(X86:X95)</f>
        <v>0</v>
      </c>
      <c r="Y98" s="31">
        <f t="shared" si="192"/>
        <v>0</v>
      </c>
      <c r="Z98" s="31">
        <f t="shared" si="192"/>
        <v>0</v>
      </c>
    </row>
    <row r="99" spans="1:60" x14ac:dyDescent="0.3">
      <c r="A99" s="1"/>
      <c r="N99" s="31" t="str">
        <f>IFERROR(VLOOKUP($B99,#REF!,8,FALSE),"")</f>
        <v/>
      </c>
      <c r="O99" s="31" t="str">
        <f>IFERROR(VLOOKUP($B99,#REF!,9,FALSE),"")</f>
        <v/>
      </c>
      <c r="P99" s="31" t="str">
        <f>IFERROR(VLOOKUP($B99,#REF!,10,FALSE),"")</f>
        <v/>
      </c>
      <c r="Q99" s="31" t="str">
        <f>IFERROR(VLOOKUP($B99,#REF!,11,FALSE),"")</f>
        <v/>
      </c>
      <c r="R99" s="31" t="str">
        <f>IFERROR(VLOOKUP($B99,#REF!,12,FALSE),"")</f>
        <v/>
      </c>
    </row>
    <row r="100" spans="1:60" x14ac:dyDescent="0.3">
      <c r="A100" s="1">
        <v>60202000</v>
      </c>
      <c r="B100">
        <f>VLOOKUP(C100,'NCES ID'!$A$2:$B$3136,2,FALSE)</f>
        <v>402600</v>
      </c>
      <c r="C100">
        <f>VLOOKUP(A100,'State ID'!$A$2:$B$713,2,FALSE)</f>
        <v>4228</v>
      </c>
      <c r="D100" s="147" t="s">
        <v>136</v>
      </c>
      <c r="E100" t="s">
        <v>107</v>
      </c>
      <c r="F100" s="47">
        <f>VLOOKUP(B100,'Formula counts'!$D$9:$L$234,9,FALSE)</f>
        <v>586</v>
      </c>
      <c r="G100" s="47">
        <f>VLOOKUP(B100,'Formula counts'!$D$9:$K$234,8,FALSE)</f>
        <v>106</v>
      </c>
      <c r="H100" s="4">
        <f>VLOOKUP(B100,'Formula counts'!$D$9:$M$234,10,FALSE)</f>
        <v>0.18088737201365188</v>
      </c>
      <c r="I100" s="47">
        <f>VLOOKUP($C100,'Final SEA Counts'!$A$2:$F$709,5,FALSE)</f>
        <v>329</v>
      </c>
      <c r="J100" s="47">
        <f>VLOOKUP($C100,'Final SEA Counts'!$A$2:$F$709,6,FALSE)</f>
        <v>211</v>
      </c>
      <c r="K100" s="24">
        <f t="shared" ref="K100:L103" si="193">F100-(F100/F$106)*K$105</f>
        <v>582.23056582282356</v>
      </c>
      <c r="L100" s="24">
        <f t="shared" si="193"/>
        <v>105.02565887749572</v>
      </c>
      <c r="M100" s="4">
        <f>L100/K100</f>
        <v>0.18038499701414798</v>
      </c>
      <c r="N100" s="31">
        <f>IFERROR(VLOOKUP($B100,Allocation!$D$10:$O$235,8,FALSE),"")</f>
        <v>50004.227479350768</v>
      </c>
      <c r="O100" s="31">
        <f>IFERROR(VLOOKUP($B100,Allocation!$D$10:$O$235,9,FALSE),"")</f>
        <v>11858.547074906737</v>
      </c>
      <c r="P100" s="31">
        <f>IFERROR(VLOOKUP($B100,Allocation!$D$10:$O$235,10,FALSE),"")</f>
        <v>16602.675388895503</v>
      </c>
      <c r="Q100" s="31">
        <f>IFERROR(VLOOKUP($B100,Allocation!$D$10:$O$235,11,FALSE),"")</f>
        <v>12465.616079235588</v>
      </c>
      <c r="R100" s="31">
        <f>IFERROR(VLOOKUP($B100,Allocation!$D$10:$O$235,12,FALSE),"")</f>
        <v>90931.066022388608</v>
      </c>
      <c r="S100" s="31">
        <f>IF(N100=0,"",N100-(N100/N$106)*S$105)</f>
        <v>49544.593751688597</v>
      </c>
      <c r="T100" s="31">
        <f>IF(O100=0,"",O100-(O100/O$106)*T$105)</f>
        <v>11749.544527093203</v>
      </c>
      <c r="U100" s="31">
        <f>IF(P100=0,"",P100-(P100/P$106)*U$105)</f>
        <v>16450.065300452196</v>
      </c>
      <c r="V100" s="31">
        <f>IF(Q100=0,"",Q100-(Q100/Q$106)*V$105)</f>
        <v>12351.0334154304</v>
      </c>
      <c r="W100" s="31">
        <f t="shared" ref="W100:Z102" si="194">IF(S100="0","",S100)</f>
        <v>49544.593751688597</v>
      </c>
      <c r="X100" s="31">
        <f t="shared" si="194"/>
        <v>11749.544527093203</v>
      </c>
      <c r="Y100" s="31">
        <f t="shared" si="194"/>
        <v>16450.065300452196</v>
      </c>
      <c r="Z100" s="31">
        <f t="shared" si="194"/>
        <v>12351.0334154304</v>
      </c>
      <c r="AA100" s="31">
        <f>IF(W100="","",W100+W$107)</f>
        <v>57322.856026590227</v>
      </c>
      <c r="AB100" s="31">
        <f>IF(X100="","",X100+X$107)</f>
        <v>13545.9078482979</v>
      </c>
      <c r="AC100" s="31">
        <f>IF(Y100="","",Y100+Y$107)</f>
        <v>18732.604678945365</v>
      </c>
      <c r="AD100" s="31">
        <f>IF(Z100="","",Z100+Z$107)</f>
        <v>13773.504941265435</v>
      </c>
      <c r="AE100" s="31">
        <f t="shared" ref="AE100:AE103" si="195">SUM(AA100:AD100)</f>
        <v>103374.87349509893</v>
      </c>
      <c r="AF100" s="31">
        <f>IFERROR(VLOOKUP(A100,'Allocations By Type'!$D$7:$F$491,3,FALSE),"")</f>
        <v>98094.32</v>
      </c>
      <c r="AG100" s="31">
        <f>IF(AE100&gt;AF100,AE100*0.04,"")</f>
        <v>4134.9949398039571</v>
      </c>
      <c r="AH100" s="31">
        <f>IF(AG100="","",IF((AE100-AF100)&gt;AG100,AG100,AE100-AF100))</f>
        <v>4134.9949398039571</v>
      </c>
      <c r="AI100" s="31">
        <f>IF(AH100="",AE100,AE100-AH100)</f>
        <v>99239.87855529497</v>
      </c>
      <c r="AJ100" s="31">
        <f>AI100/$AI$577*'State Admin 1004(b)'!$B$30*0.01</f>
        <v>944.41623356717332</v>
      </c>
      <c r="AK100" s="31">
        <f>AI100-AJ100</f>
        <v>98295.462321727799</v>
      </c>
      <c r="AL100" s="31">
        <f>AK100*0.01</f>
        <v>982.95462321727803</v>
      </c>
      <c r="AM100" s="31">
        <f>AK100-AL100</f>
        <v>97312.507698510526</v>
      </c>
      <c r="AP100" s="31"/>
      <c r="AQ100" s="4">
        <f>IFERROR(AM100/AF100,"")</f>
        <v>0.99202999417815951</v>
      </c>
      <c r="AR100" s="4">
        <f>VLOOKUP(B100,Allocation!$D$10:$P$235,13,FALSE)</f>
        <v>1.010068924576826</v>
      </c>
      <c r="AS100" s="4">
        <f t="shared" ref="AS100" si="196">IF(M100&gt;0.3,0.95,IF(M100&gt;0.15,0.9,0.85))</f>
        <v>0.9</v>
      </c>
      <c r="AT100" s="4" t="str">
        <f>IF(AQ100&lt;AS100,"Review","")</f>
        <v/>
      </c>
      <c r="AU100" s="31" t="str">
        <f>IF(AT100="Review",AM100*AS100/AQ100-AM100,"")</f>
        <v/>
      </c>
      <c r="AV100" s="31" t="str">
        <f>IF(AU100="","",AU100+AM100)</f>
        <v/>
      </c>
      <c r="AW100" s="31">
        <f>IF(AV100="",AM100-AM100/($AM$106-$AV$106+$AU$106)*$AU$106,AV100)</f>
        <v>97312.507698510526</v>
      </c>
      <c r="AX100" s="4">
        <f>IFERROR(AW100/AF100,"")</f>
        <v>0.99202999417815951</v>
      </c>
      <c r="AY100" s="4" t="str">
        <f>IF(AX100&lt;AS100,"Manual Adjustment","")</f>
        <v/>
      </c>
      <c r="AZ100" s="174" t="str">
        <f>IFERROR(IF(VLOOKUP(A100,#REF!,11,FALSE)=0,"",VLOOKUP(A100,#REF!,11,FALSE)),"")</f>
        <v/>
      </c>
      <c r="BA100" s="31" t="str">
        <f t="shared" ref="BA100:BA103" si="197">IF(AZ100&lt;0,AW100*AZ100/100,"")</f>
        <v/>
      </c>
      <c r="BB100" s="31">
        <f t="shared" ref="BB100:BB103" si="198">IF(BA100&lt;0,AW100+BA100,AW100)</f>
        <v>97312.507698510526</v>
      </c>
      <c r="BD100" s="31">
        <f>IFERROR(VLOOKUP(A100,'Title II Hold Harmless'!A$1:B$439,2, FALSE),"")</f>
        <v>13276</v>
      </c>
      <c r="BE100" s="31">
        <f>IFERROR($BD$582*(0.8*($L100/$L$579)+0.2*($K100/$K$579))+$BD100,$BD$582*(0.8*($L100/$L$579)+0.2*($K100/$K$579)))</f>
        <v>15119.435529788379</v>
      </c>
      <c r="BF100" s="31">
        <f>$BD$583*BE100</f>
        <v>15134.064485879797</v>
      </c>
      <c r="BG100" s="31" t="str">
        <f t="shared" ref="BG100:BG103" si="199">IF(AZ100&lt;0,BF100*AZ100/100,"")</f>
        <v/>
      </c>
      <c r="BH100" s="31">
        <f t="shared" ref="BH100:BH103" si="200">IF(BG100&lt;0,BF100+BG100,BF100)</f>
        <v>15134.064485879797</v>
      </c>
    </row>
    <row r="101" spans="1:60" s="47" customFormat="1" x14ac:dyDescent="0.3">
      <c r="A101" s="1">
        <v>60345000</v>
      </c>
      <c r="B101" s="47">
        <v>402710</v>
      </c>
      <c r="C101" s="47">
        <v>4232</v>
      </c>
      <c r="D101" s="147" t="s">
        <v>525</v>
      </c>
      <c r="E101" s="47" t="s">
        <v>107</v>
      </c>
      <c r="F101" s="47">
        <f>VLOOKUP(B101,'Formula counts'!$D$9:$L$234,9,FALSE)</f>
        <v>2</v>
      </c>
      <c r="G101" s="47">
        <f>VLOOKUP(B101,'Formula counts'!$D$9:$K$234,8,FALSE)</f>
        <v>0</v>
      </c>
      <c r="H101" s="4">
        <f>VLOOKUP(B101,'Formula counts'!$D$9:$M$234,10,FALSE)</f>
        <v>0</v>
      </c>
      <c r="K101" s="24">
        <f t="shared" si="193"/>
        <v>1.9871350369379646</v>
      </c>
      <c r="L101" s="24">
        <f t="shared" si="193"/>
        <v>0</v>
      </c>
      <c r="M101" s="4"/>
      <c r="N101" s="31">
        <f>IFERROR(VLOOKUP($B101,Allocation!$D$10:$O$235,8,FALSE),"")</f>
        <v>0</v>
      </c>
      <c r="O101" s="31">
        <f>IFERROR(VLOOKUP($B101,Allocation!$D$10:$O$235,9,FALSE),"")</f>
        <v>0</v>
      </c>
      <c r="P101" s="31">
        <f>IFERROR(VLOOKUP($B101,Allocation!$D$10:$O$235,10,FALSE),"")</f>
        <v>0</v>
      </c>
      <c r="Q101" s="31">
        <f>IFERROR(VLOOKUP($B101,Allocation!$D$10:$O$235,11,FALSE),"")</f>
        <v>0</v>
      </c>
      <c r="R101" s="31">
        <f>IFERROR(VLOOKUP($B101,Allocation!$D$10:$O$235,12,FALSE),"")</f>
        <v>0</v>
      </c>
      <c r="S101" s="31"/>
      <c r="T101" s="31"/>
      <c r="U101" s="31"/>
      <c r="V101" s="31"/>
      <c r="W101" s="31"/>
      <c r="X101" s="31"/>
      <c r="Y101" s="31"/>
      <c r="Z101" s="31"/>
      <c r="AA101" s="31"/>
      <c r="AB101" s="31"/>
      <c r="AC101" s="31"/>
      <c r="AD101" s="31"/>
      <c r="AE101" s="31"/>
      <c r="AF101" s="31" t="str">
        <f>IFERROR(VLOOKUP(A101,'Allocations By Type'!$D$7:$F$491,3,FALSE),"")</f>
        <v/>
      </c>
      <c r="AG101" s="31"/>
      <c r="AH101" s="31"/>
      <c r="AI101" s="31"/>
      <c r="AJ101" s="31"/>
      <c r="AK101" s="31"/>
      <c r="AL101" s="31"/>
      <c r="AM101" s="31"/>
      <c r="AP101" s="31"/>
      <c r="AQ101" s="4" t="str">
        <f t="shared" ref="AQ101:AQ103" si="201">IFERROR(AM101/AF101,"")</f>
        <v/>
      </c>
      <c r="AR101" s="4"/>
      <c r="AS101" s="4"/>
      <c r="AT101" s="4"/>
      <c r="AU101" s="31"/>
      <c r="AV101" s="31"/>
      <c r="AW101" s="31"/>
      <c r="AX101" s="4"/>
      <c r="AY101" s="4"/>
      <c r="AZ101" s="174"/>
      <c r="BA101" s="31"/>
      <c r="BB101" s="31"/>
      <c r="BD101" s="31"/>
      <c r="BE101" s="31"/>
      <c r="BF101" s="31"/>
      <c r="BG101" s="31"/>
      <c r="BH101" s="31"/>
    </row>
    <row r="102" spans="1:60" x14ac:dyDescent="0.3">
      <c r="A102" s="1">
        <v>60218000</v>
      </c>
      <c r="B102">
        <f>VLOOKUP(C102,'NCES ID'!$A$2:$B$3136,2,FALSE)</f>
        <v>405320</v>
      </c>
      <c r="C102">
        <f>VLOOKUP(A102,'State ID'!$A$2:$B$713,2,FALSE)</f>
        <v>4230</v>
      </c>
      <c r="D102" s="147" t="s">
        <v>295</v>
      </c>
      <c r="E102" t="s">
        <v>107</v>
      </c>
      <c r="F102" s="47">
        <f>VLOOKUP(B102,'Formula counts'!$D$9:$L$234,9,FALSE)</f>
        <v>789</v>
      </c>
      <c r="G102" s="47">
        <f>VLOOKUP(B102,'Formula counts'!$D$9:$K$234,8,FALSE)</f>
        <v>57</v>
      </c>
      <c r="H102" s="4">
        <f>VLOOKUP(B102,'Formula counts'!$D$9:$M$234,10,FALSE)</f>
        <v>7.2243346007604556E-2</v>
      </c>
      <c r="I102" s="47">
        <f>VLOOKUP($C102,'Final SEA Counts'!$A$2:$F$709,5,FALSE)</f>
        <v>1387</v>
      </c>
      <c r="J102" s="47">
        <f>VLOOKUP($C102,'Final SEA Counts'!$A$2:$F$709,6,FALSE)</f>
        <v>512</v>
      </c>
      <c r="K102" s="24">
        <f t="shared" si="193"/>
        <v>783.92477207202705</v>
      </c>
      <c r="L102" s="24">
        <f t="shared" si="193"/>
        <v>56.476061849219391</v>
      </c>
      <c r="M102" s="4">
        <f>L102/K102</f>
        <v>7.2042705960094808E-2</v>
      </c>
      <c r="N102" s="31">
        <f>IFERROR(VLOOKUP($B102,Allocation!$D$10:$O$235,8,FALSE),"")</f>
        <v>30186.278402475578</v>
      </c>
      <c r="O102" s="31">
        <f>IFERROR(VLOOKUP($B102,Allocation!$D$10:$O$235,9,FALSE),"")</f>
        <v>6898.8400379449413</v>
      </c>
      <c r="P102" s="31">
        <f>IFERROR(VLOOKUP($B102,Allocation!$D$10:$O$235,10,FALSE),"")</f>
        <v>8390.425544143869</v>
      </c>
      <c r="Q102" s="31">
        <f>IFERROR(VLOOKUP($B102,Allocation!$D$10:$O$235,11,FALSE),"")</f>
        <v>6369.5448944853815</v>
      </c>
      <c r="R102" s="31">
        <f>IFERROR(VLOOKUP($B102,Allocation!$D$10:$O$235,12,FALSE),"")</f>
        <v>51845.08887904977</v>
      </c>
      <c r="S102" s="31">
        <f t="shared" ref="S102:V103" si="202">IF(N102=0,"",N102-(N102/N$106)*S$105)</f>
        <v>29908.80922905204</v>
      </c>
      <c r="T102" s="31">
        <f t="shared" si="202"/>
        <v>6835.4266082605191</v>
      </c>
      <c r="U102" s="31">
        <f t="shared" si="202"/>
        <v>8313.3016135498146</v>
      </c>
      <c r="V102" s="31">
        <f t="shared" si="202"/>
        <v>6310.9966914444913</v>
      </c>
      <c r="W102" s="31">
        <f t="shared" si="194"/>
        <v>29908.80922905204</v>
      </c>
      <c r="X102" s="31">
        <f t="shared" si="194"/>
        <v>6835.4266082605191</v>
      </c>
      <c r="Y102" s="31">
        <f t="shared" si="194"/>
        <v>8313.3016135498146</v>
      </c>
      <c r="Z102" s="31">
        <f t="shared" si="194"/>
        <v>6310.9966914444913</v>
      </c>
      <c r="AA102" s="31">
        <f t="shared" ref="AA102:AD104" si="203">IF(W102="","",W102+W$107)</f>
        <v>37687.071503953674</v>
      </c>
      <c r="AB102" s="31">
        <f t="shared" si="203"/>
        <v>8631.7899294652161</v>
      </c>
      <c r="AC102" s="31">
        <f t="shared" si="203"/>
        <v>10595.840992042986</v>
      </c>
      <c r="AD102" s="31">
        <f t="shared" si="203"/>
        <v>7733.4682172795274</v>
      </c>
      <c r="AE102" s="31">
        <f t="shared" si="195"/>
        <v>64648.170642741403</v>
      </c>
      <c r="AF102" s="31">
        <f>IFERROR(VLOOKUP(A102,'Allocations By Type'!$D$7:$F$491,3,FALSE),"")</f>
        <v>71179.02</v>
      </c>
      <c r="AG102" s="31" t="str">
        <f>IF(AE102&gt;AF102,AE102*0.04,"")</f>
        <v/>
      </c>
      <c r="AH102" s="31" t="str">
        <f>IF(AG102="","",IF((AE102-AF102)&gt;AG102,AG102,AE102-AF102))</f>
        <v/>
      </c>
      <c r="AI102" s="31">
        <f>IF(AH102="",AE102,AE102-AH102)</f>
        <v>64648.170642741403</v>
      </c>
      <c r="AJ102" s="31">
        <f>AI102/$AI$577*'State Admin 1004(b)'!$B$30*0.01</f>
        <v>615.2242698625123</v>
      </c>
      <c r="AK102" s="31">
        <f>AI102-AJ102</f>
        <v>64032.946372878891</v>
      </c>
      <c r="AL102" s="31">
        <f>AK102*0.01</f>
        <v>640.32946372878894</v>
      </c>
      <c r="AM102" s="31">
        <f>AK102-AL102</f>
        <v>63392.6169091501</v>
      </c>
      <c r="AP102" s="31"/>
      <c r="AQ102" s="4">
        <f t="shared" si="201"/>
        <v>0.89060817231187073</v>
      </c>
      <c r="AR102" s="4">
        <f>VLOOKUP(B102,Allocation!$D$10:$P$235,13,FALSE)</f>
        <v>0.85</v>
      </c>
      <c r="AS102" s="4">
        <f t="shared" ref="AS102:AS103" si="204">IF(M102&gt;0.3,0.95,IF(M102&gt;0.15,0.9,0.85))</f>
        <v>0.85</v>
      </c>
      <c r="AT102" s="4" t="str">
        <f>IF(AQ102&lt;AS102,"Review","")</f>
        <v/>
      </c>
      <c r="AU102" s="31" t="str">
        <f>IF(AT102="Review",AM102*AS102/AQ102-AM102,"")</f>
        <v/>
      </c>
      <c r="AV102" s="31" t="str">
        <f>IF(AU102="","",AU102+AM102)</f>
        <v/>
      </c>
      <c r="AW102" s="31">
        <f>IF(AV102="",AM102-AM102/($AM$106-$AV$106+$AU$106)*$AU$106,AV102)</f>
        <v>63392.6169091501</v>
      </c>
      <c r="AX102" s="4">
        <f>IFERROR(AW102/AF102,"")</f>
        <v>0.89060817231187073</v>
      </c>
      <c r="AY102" s="4" t="str">
        <f>IF(AX102&lt;AS102,"Manual Adjustment","")</f>
        <v/>
      </c>
      <c r="AZ102" s="174" t="str">
        <f>IFERROR(IF(VLOOKUP(A102,#REF!,11,FALSE)=0,"",VLOOKUP(A102,#REF!,11,FALSE)),"")</f>
        <v/>
      </c>
      <c r="BA102" s="31" t="str">
        <f t="shared" si="197"/>
        <v/>
      </c>
      <c r="BB102" s="31">
        <f t="shared" si="198"/>
        <v>63392.6169091501</v>
      </c>
      <c r="BD102" s="31">
        <f>IFERROR(VLOOKUP(A102,'Title II Hold Harmless'!A$1:B$439,2, FALSE),"")</f>
        <v>13813</v>
      </c>
      <c r="BE102" s="31">
        <f>IFERROR($BD$582*(0.8*($L102/$L$579)+0.2*($K102/$K$579))+$BD102,$BD$582*(0.8*($L102/$L$579)+0.2*($K102/$K$579)))</f>
        <v>15183.212068039866</v>
      </c>
      <c r="BF102" s="31">
        <f>$BD$583*BE102</f>
        <v>15197.902731737755</v>
      </c>
      <c r="BG102" s="31" t="str">
        <f t="shared" si="199"/>
        <v/>
      </c>
      <c r="BH102" s="31">
        <f t="shared" si="200"/>
        <v>15197.902731737755</v>
      </c>
    </row>
    <row r="103" spans="1:60" x14ac:dyDescent="0.3">
      <c r="A103" s="1">
        <v>60203000</v>
      </c>
      <c r="B103">
        <v>402110</v>
      </c>
      <c r="C103">
        <v>4229</v>
      </c>
      <c r="D103" s="147" t="s">
        <v>532</v>
      </c>
      <c r="E103" t="s">
        <v>107</v>
      </c>
      <c r="F103" s="47">
        <f>VLOOKUP(B103,'Formula counts'!$D$9:$L$234,9,FALSE)</f>
        <v>616</v>
      </c>
      <c r="G103" s="47">
        <f>VLOOKUP(B103,'Formula counts'!$D$9:$K$234,8,FALSE)</f>
        <v>32</v>
      </c>
      <c r="H103" s="4">
        <f>VLOOKUP(B103,'Formula counts'!$D$9:$M$234,10,FALSE)</f>
        <v>5.1948051948051951E-2</v>
      </c>
      <c r="I103" s="47"/>
      <c r="J103" s="47"/>
      <c r="K103" s="24">
        <f t="shared" si="193"/>
        <v>612.03759137689303</v>
      </c>
      <c r="L103" s="24">
        <f t="shared" si="193"/>
        <v>31.705859283772291</v>
      </c>
      <c r="M103" s="4">
        <f>L103/K103</f>
        <v>5.1803777628174813E-2</v>
      </c>
      <c r="N103" s="31">
        <f>IFERROR(VLOOKUP($B103,Allocation!$D$10:$O$235,8,FALSE),"")</f>
        <v>23551.267660256708</v>
      </c>
      <c r="O103" s="31">
        <f>IFERROR(VLOOKUP($B103,Allocation!$D$10:$O$235,9,FALSE),"")</f>
        <v>5439.0854791913744</v>
      </c>
      <c r="P103" s="31">
        <f>IFERROR(VLOOKUP($B103,Allocation!$D$10:$O$235,10,FALSE),"")</f>
        <v>6911.144668061288</v>
      </c>
      <c r="Q103" s="31">
        <f>IFERROR(VLOOKUP($B103,Allocation!$D$10:$O$235,11,FALSE),"")</f>
        <v>4307.0041173763811</v>
      </c>
      <c r="R103" s="31">
        <f>IFERROR(VLOOKUP($B103,Allocation!$D$10:$O$235,12,FALSE),"")</f>
        <v>40208.50192488575</v>
      </c>
      <c r="S103" s="31">
        <f t="shared" si="202"/>
        <v>23334.786824704883</v>
      </c>
      <c r="T103" s="31">
        <f t="shared" si="202"/>
        <v>5389.0899636140903</v>
      </c>
      <c r="U103" s="31">
        <f t="shared" si="202"/>
        <v>6847.6181354795108</v>
      </c>
      <c r="V103" s="31">
        <f t="shared" si="202"/>
        <v>4267.4145775051065</v>
      </c>
      <c r="AA103" s="31" t="str">
        <f t="shared" si="203"/>
        <v/>
      </c>
      <c r="AB103" s="31" t="str">
        <f t="shared" si="203"/>
        <v/>
      </c>
      <c r="AC103" s="31" t="str">
        <f t="shared" si="203"/>
        <v/>
      </c>
      <c r="AD103" s="31" t="str">
        <f t="shared" si="203"/>
        <v/>
      </c>
      <c r="AE103" s="31">
        <f t="shared" si="195"/>
        <v>0</v>
      </c>
      <c r="AF103" s="31" t="str">
        <f>IFERROR(VLOOKUP(A103,'Allocations By Type'!$D$7:$F$491,3,FALSE),"")</f>
        <v/>
      </c>
      <c r="AG103" s="31" t="str">
        <f>IF(AE103&gt;AF103,AE103*0.04,"")</f>
        <v/>
      </c>
      <c r="AH103" s="31" t="str">
        <f>IF(AG103="","",IF((AE103-AF103)&gt;AG103,AG103,AE103-AF103))</f>
        <v/>
      </c>
      <c r="AI103" s="31">
        <f>IF(AH103="",AE103,AE103-AH103)</f>
        <v>0</v>
      </c>
      <c r="AJ103" s="31">
        <f>AI103/$AI$577*'State Admin 1004(b)'!$B$30*0.01</f>
        <v>0</v>
      </c>
      <c r="AK103" s="31">
        <f>AI103-AJ103</f>
        <v>0</v>
      </c>
      <c r="AL103" s="31">
        <f>AK103*0.01</f>
        <v>0</v>
      </c>
      <c r="AM103" s="31">
        <f>AK103-AL103</f>
        <v>0</v>
      </c>
      <c r="AP103" s="31"/>
      <c r="AQ103" s="4" t="str">
        <f t="shared" si="201"/>
        <v/>
      </c>
      <c r="AR103" s="4">
        <f>VLOOKUP(B103,Allocation!$D$10:$P$235,13,FALSE)</f>
        <v>0.84999999999999987</v>
      </c>
      <c r="AS103" s="4">
        <f t="shared" si="204"/>
        <v>0.85</v>
      </c>
      <c r="AT103" s="4" t="str">
        <f>IF(AQ103&lt;AS103,"Review","")</f>
        <v/>
      </c>
      <c r="AU103" s="31" t="str">
        <f>IF(AT103="Review",AM103*AS103/AQ103-AM103,"")</f>
        <v/>
      </c>
      <c r="AV103" s="31" t="str">
        <f>IF(AU103="","",AU103+AM103)</f>
        <v/>
      </c>
      <c r="AW103" s="31">
        <f>IF(AV103="",AM103-AM103/($AM$106-$AV$106+$AU$106)*$AU$106,AV103)</f>
        <v>0</v>
      </c>
      <c r="AX103" s="4" t="str">
        <f>IFERROR(AW103/AF103,"")</f>
        <v/>
      </c>
      <c r="AY103" s="4" t="str">
        <f>IF(AX103&lt;AS103,"Manual Adjustment","")</f>
        <v/>
      </c>
      <c r="AZ103" s="174" t="str">
        <f>IFERROR(IF(VLOOKUP(A103,#REF!,11,FALSE)=0,"",VLOOKUP(A103,#REF!,11,FALSE)),"")</f>
        <v/>
      </c>
      <c r="BA103" s="31" t="str">
        <f t="shared" si="197"/>
        <v/>
      </c>
      <c r="BB103" s="31">
        <f t="shared" si="198"/>
        <v>0</v>
      </c>
      <c r="BE103" s="31"/>
      <c r="BF103" s="31">
        <f>$BD$583*BE103</f>
        <v>0</v>
      </c>
      <c r="BG103" s="31" t="str">
        <f t="shared" si="199"/>
        <v/>
      </c>
      <c r="BH103" s="31">
        <f t="shared" si="200"/>
        <v>0</v>
      </c>
    </row>
    <row r="104" spans="1:60" s="47" customFormat="1" x14ac:dyDescent="0.3">
      <c r="A104" s="1"/>
      <c r="D104" s="191" t="s">
        <v>1411</v>
      </c>
      <c r="E104" s="47" t="s">
        <v>107</v>
      </c>
      <c r="H104" s="4"/>
      <c r="I104" s="24">
        <f>'AVA Metrics'!C7</f>
        <v>12.819935691318328</v>
      </c>
      <c r="J104" s="24">
        <f>'AVA Metrics'!D7</f>
        <v>6.707395498392283</v>
      </c>
      <c r="K104" s="24">
        <f>I104</f>
        <v>12.819935691318328</v>
      </c>
      <c r="L104" s="24">
        <f>J104*$B$106</f>
        <v>1.7924199895126005</v>
      </c>
      <c r="M104" s="4">
        <f>L104/K104</f>
        <v>0.1398150531072031</v>
      </c>
      <c r="N104" s="31"/>
      <c r="O104" s="31"/>
      <c r="P104" s="31"/>
      <c r="Q104" s="31"/>
      <c r="R104" s="31"/>
      <c r="S104" s="31">
        <f>$L104*N$107</f>
        <v>953.58373663753366</v>
      </c>
      <c r="T104" s="31">
        <f t="shared" ref="T104:V104" si="205">$L104*O$107</f>
        <v>222.4114930752396</v>
      </c>
      <c r="U104" s="31">
        <f t="shared" si="205"/>
        <v>293.26055161913979</v>
      </c>
      <c r="V104" s="31">
        <f t="shared" si="205"/>
        <v>212.72040671735169</v>
      </c>
      <c r="W104" s="31">
        <f>S104</f>
        <v>953.58373663753366</v>
      </c>
      <c r="X104" s="31">
        <f t="shared" ref="X104:Z104" si="206">T104</f>
        <v>222.4114930752396</v>
      </c>
      <c r="Y104" s="31">
        <f t="shared" si="206"/>
        <v>293.26055161913979</v>
      </c>
      <c r="Z104" s="31">
        <f t="shared" si="206"/>
        <v>212.72040671735169</v>
      </c>
      <c r="AA104" s="31">
        <f t="shared" si="203"/>
        <v>8731.8460115391645</v>
      </c>
      <c r="AB104" s="31">
        <f t="shared" si="203"/>
        <v>2018.774814279936</v>
      </c>
      <c r="AC104" s="31">
        <f t="shared" si="203"/>
        <v>2575.7999301123104</v>
      </c>
      <c r="AD104" s="31">
        <f t="shared" si="203"/>
        <v>1635.1919325523877</v>
      </c>
      <c r="AE104" s="31">
        <f t="shared" ref="AE104" si="207">SUM(AA104:AD104)</f>
        <v>14961.612688483798</v>
      </c>
      <c r="AF104" s="31"/>
      <c r="AG104" s="31"/>
      <c r="AH104" s="31"/>
      <c r="AI104" s="31"/>
      <c r="AJ104" s="31"/>
      <c r="AK104" s="31"/>
      <c r="AL104" s="31"/>
      <c r="AM104" s="31"/>
      <c r="AP104" s="31"/>
      <c r="AQ104" s="4"/>
      <c r="AR104" s="4"/>
      <c r="AS104" s="4"/>
      <c r="AT104" s="4"/>
      <c r="AU104" s="31"/>
      <c r="AV104" s="31"/>
      <c r="AW104" s="31"/>
      <c r="AX104" s="4"/>
      <c r="AY104" s="4"/>
      <c r="AZ104" s="174"/>
      <c r="BA104" s="31"/>
      <c r="BB104" s="31"/>
      <c r="BD104" s="31"/>
      <c r="BE104" s="31"/>
      <c r="BF104" s="31"/>
      <c r="BG104" s="31"/>
      <c r="BH104" s="31"/>
    </row>
    <row r="105" spans="1:60" x14ac:dyDescent="0.3">
      <c r="A105" s="1"/>
      <c r="D105" s="147" t="s">
        <v>878</v>
      </c>
      <c r="K105" s="24">
        <f>SUM(K104)</f>
        <v>12.819935691318328</v>
      </c>
      <c r="L105" s="24">
        <f>SUM(L104)</f>
        <v>1.7924199895126005</v>
      </c>
      <c r="S105" s="31">
        <f>SUM(S104)</f>
        <v>953.58373663753366</v>
      </c>
      <c r="T105" s="31">
        <f t="shared" ref="T105:V105" si="208">SUM(T104)</f>
        <v>222.4114930752396</v>
      </c>
      <c r="U105" s="31">
        <f t="shared" si="208"/>
        <v>293.26055161913979</v>
      </c>
      <c r="V105" s="31">
        <f t="shared" si="208"/>
        <v>212.72040671735169</v>
      </c>
      <c r="BE105" s="31"/>
    </row>
    <row r="106" spans="1:60" x14ac:dyDescent="0.3">
      <c r="A106" s="1" t="s">
        <v>880</v>
      </c>
      <c r="B106">
        <f>G106/J106</f>
        <v>0.2672304011210061</v>
      </c>
      <c r="D106" s="147" t="s">
        <v>879</v>
      </c>
      <c r="F106">
        <f>SUM(F100:F104)</f>
        <v>1993</v>
      </c>
      <c r="G106" s="47">
        <f>SUM(G100:G104)</f>
        <v>195</v>
      </c>
      <c r="I106" s="24">
        <f>SUM(I100:I104)</f>
        <v>1728.8199356913183</v>
      </c>
      <c r="J106" s="24">
        <f>SUM(J100:J104)</f>
        <v>729.70739549839232</v>
      </c>
      <c r="K106" s="24">
        <f>SUM(K100:K104)</f>
        <v>1993</v>
      </c>
      <c r="L106" s="24">
        <f>SUM(L100:L104)</f>
        <v>195.00000000000003</v>
      </c>
      <c r="N106" s="31">
        <f>SUM(N100:N104)</f>
        <v>103741.77354208306</v>
      </c>
      <c r="O106" s="31">
        <f t="shared" ref="O106:AE106" si="209">SUM(O100:O104)</f>
        <v>24196.47259204305</v>
      </c>
      <c r="P106" s="31">
        <f t="shared" si="209"/>
        <v>31904.245601100658</v>
      </c>
      <c r="Q106" s="31">
        <f t="shared" si="209"/>
        <v>23142.165091097351</v>
      </c>
      <c r="R106" s="31">
        <f t="shared" si="209"/>
        <v>182984.65682632415</v>
      </c>
      <c r="S106" s="31">
        <f t="shared" si="209"/>
        <v>103741.77354208306</v>
      </c>
      <c r="T106" s="31">
        <f t="shared" si="209"/>
        <v>24196.47259204305</v>
      </c>
      <c r="U106" s="31">
        <f t="shared" si="209"/>
        <v>31904.245601100662</v>
      </c>
      <c r="V106" s="31">
        <f t="shared" si="209"/>
        <v>23142.165091097351</v>
      </c>
      <c r="W106" s="31">
        <f t="shared" si="209"/>
        <v>80406.986717378168</v>
      </c>
      <c r="X106" s="31">
        <f t="shared" si="209"/>
        <v>18807.382628428961</v>
      </c>
      <c r="Y106" s="31">
        <f t="shared" si="209"/>
        <v>25056.62746562115</v>
      </c>
      <c r="Z106" s="31">
        <f t="shared" si="209"/>
        <v>18874.750513592244</v>
      </c>
      <c r="AA106" s="31">
        <f t="shared" si="209"/>
        <v>103741.77354208307</v>
      </c>
      <c r="AB106" s="31">
        <f t="shared" si="209"/>
        <v>24196.472592043054</v>
      </c>
      <c r="AC106" s="31">
        <f t="shared" si="209"/>
        <v>31904.245601100662</v>
      </c>
      <c r="AD106" s="31">
        <f t="shared" si="209"/>
        <v>23142.165091097351</v>
      </c>
      <c r="AE106" s="31">
        <f t="shared" si="209"/>
        <v>182984.65682632412</v>
      </c>
      <c r="AF106" s="31"/>
      <c r="AK106" s="31">
        <f>SUM(AK100:AK103)</f>
        <v>162328.40869460668</v>
      </c>
      <c r="AL106" s="31"/>
      <c r="AM106" s="31">
        <f>SUM(AM100:AM103)</f>
        <v>160705.12460766063</v>
      </c>
      <c r="AU106" s="31">
        <f>SUM(AU100:AU103)</f>
        <v>0</v>
      </c>
      <c r="AV106" s="31">
        <f>SUM(AV100:AV103)</f>
        <v>0</v>
      </c>
      <c r="AW106" s="31">
        <f>SUM(AW100:AW103)</f>
        <v>160705.12460766063</v>
      </c>
    </row>
    <row r="107" spans="1:60" x14ac:dyDescent="0.3">
      <c r="A107" s="1"/>
      <c r="N107" s="31">
        <f>N106/$L106</f>
        <v>532.00909508760537</v>
      </c>
      <c r="O107" s="31">
        <f>O106/$L106</f>
        <v>124.08447483098998</v>
      </c>
      <c r="P107" s="31">
        <f>P106/$L106</f>
        <v>163.61151590308026</v>
      </c>
      <c r="Q107" s="31">
        <f>Q106/$L106</f>
        <v>118.67776969793512</v>
      </c>
      <c r="R107" s="31" t="str">
        <f>IFERROR(VLOOKUP($B107,#REF!,12,FALSE),"")</f>
        <v/>
      </c>
      <c r="W107" s="31">
        <f>(S106-W106)/COUNT(W100:W104)</f>
        <v>7778.26227490163</v>
      </c>
      <c r="X107" s="31">
        <f>(T106-X106)/COUNT(X100:X104)</f>
        <v>1796.3633212046964</v>
      </c>
      <c r="Y107" s="31">
        <f>(U106-Y106)/COUNT(Y100:Y104)</f>
        <v>2282.5393784931707</v>
      </c>
      <c r="Z107" s="31">
        <f>(V106-Z106)/COUNT(Z100:Z104)</f>
        <v>1422.4715258350359</v>
      </c>
    </row>
    <row r="108" spans="1:60" x14ac:dyDescent="0.3">
      <c r="A108" s="1"/>
      <c r="N108" s="31" t="str">
        <f>IFERROR(VLOOKUP($B108,#REF!,8,FALSE),"")</f>
        <v/>
      </c>
      <c r="O108" s="31" t="str">
        <f>IFERROR(VLOOKUP($B108,#REF!,9,FALSE),"")</f>
        <v/>
      </c>
      <c r="P108" s="31" t="str">
        <f>IFERROR(VLOOKUP($B108,#REF!,10,FALSE),"")</f>
        <v/>
      </c>
      <c r="Q108" s="31" t="str">
        <f>IFERROR(VLOOKUP($B108,#REF!,11,FALSE),"")</f>
        <v/>
      </c>
      <c r="R108" s="31" t="str">
        <f>IFERROR(VLOOKUP($B108,#REF!,12,FALSE),"")</f>
        <v/>
      </c>
    </row>
    <row r="109" spans="1:60" x14ac:dyDescent="0.3">
      <c r="A109" s="1">
        <v>150426000</v>
      </c>
      <c r="B109">
        <f>VLOOKUP(C109,'NCES ID'!$A$2:$B$3136,2,FALSE)</f>
        <v>401290</v>
      </c>
      <c r="C109">
        <f>VLOOKUP(A109,'State ID'!$A$2:$B$713,2,FALSE)</f>
        <v>4513</v>
      </c>
      <c r="D109" s="147" t="s">
        <v>75</v>
      </c>
      <c r="E109" t="s">
        <v>70</v>
      </c>
      <c r="F109" s="47">
        <f>VLOOKUP(B109,'Formula counts'!$D$9:$L$234,9,FALSE)</f>
        <v>47</v>
      </c>
      <c r="G109" s="47">
        <f>VLOOKUP(B109,'Formula counts'!$D$9:$K$234,8,FALSE)</f>
        <v>9</v>
      </c>
      <c r="H109" s="4">
        <f>VLOOKUP(B109,'Formula counts'!$D$9:$M$234,10,FALSE)</f>
        <v>0.19148936170212766</v>
      </c>
      <c r="I109" s="47">
        <f>VLOOKUP($C109,'Final SEA Counts'!$A$2:$F$709,5,FALSE)</f>
        <v>29</v>
      </c>
      <c r="J109" s="47">
        <f>VLOOKUP($C109,'Final SEA Counts'!$A$2:$F$709,6,FALSE)</f>
        <v>25</v>
      </c>
      <c r="K109" s="24">
        <f t="shared" ref="K109:L114" si="210">F109-(F109/F$117)*K$116</f>
        <v>46.75217837503758</v>
      </c>
      <c r="L109" s="24">
        <f t="shared" si="210"/>
        <v>8.9679203998507262</v>
      </c>
      <c r="M109" s="4">
        <f t="shared" ref="M109:M115" si="211">L109/K109</f>
        <v>0.19181823631642742</v>
      </c>
      <c r="N109" s="31">
        <f>IFERROR(VLOOKUP($B109,Allocation!$D$10:$O$235,8,FALSE),"")</f>
        <v>0</v>
      </c>
      <c r="O109" s="31">
        <f>IFERROR(VLOOKUP($B109,Allocation!$D$10:$O$235,9,FALSE),"")</f>
        <v>1446.7542194581808</v>
      </c>
      <c r="P109" s="31">
        <f>IFERROR(VLOOKUP($B109,Allocation!$D$10:$O$235,10,FALSE),"")</f>
        <v>0</v>
      </c>
      <c r="Q109" s="31">
        <f>IFERROR(VLOOKUP($B109,Allocation!$D$10:$O$235,11,FALSE),"")</f>
        <v>0</v>
      </c>
      <c r="R109" s="31">
        <f>IFERROR(VLOOKUP($B109,Allocation!$D$10:$O$235,12,FALSE),"")</f>
        <v>1446.7542194581808</v>
      </c>
      <c r="S109" s="31" t="str">
        <f t="shared" ref="S109:V114" si="212">IF(N109=0,"",N109-(N109/N$117)*S$116)</f>
        <v/>
      </c>
      <c r="T109" s="31">
        <f t="shared" si="212"/>
        <v>1441.5974086943481</v>
      </c>
      <c r="U109" s="31" t="str">
        <f t="shared" si="212"/>
        <v/>
      </c>
      <c r="V109" s="31" t="str">
        <f t="shared" si="212"/>
        <v/>
      </c>
      <c r="W109" s="31" t="str">
        <f t="shared" ref="W109:Z114" si="213">IF(S109="0","",S109)</f>
        <v/>
      </c>
      <c r="X109" s="31">
        <f t="shared" si="213"/>
        <v>1441.5974086943481</v>
      </c>
      <c r="Y109" s="31" t="str">
        <f t="shared" si="213"/>
        <v/>
      </c>
      <c r="Z109" s="31" t="str">
        <f t="shared" si="213"/>
        <v/>
      </c>
      <c r="AA109" s="31" t="str">
        <f t="shared" ref="AA109:AD115" si="214">IF(W109="","",W109+W$118)</f>
        <v/>
      </c>
      <c r="AB109" s="31">
        <f t="shared" si="214"/>
        <v>1441.5974086943481</v>
      </c>
      <c r="AC109" s="31" t="str">
        <f t="shared" si="214"/>
        <v/>
      </c>
      <c r="AD109" s="31" t="str">
        <f t="shared" si="214"/>
        <v/>
      </c>
      <c r="AE109" s="31">
        <f t="shared" ref="AE109:AE114" si="215">SUM(AA109:AD109)</f>
        <v>1441.5974086943481</v>
      </c>
      <c r="AF109" s="31">
        <f>IFERROR(VLOOKUP(A109,'Allocations By Type'!$D$7:$F$491,3,FALSE),"")</f>
        <v>17460.63</v>
      </c>
      <c r="AG109" s="31" t="str">
        <f t="shared" ref="AG109:AG114" si="216">IF(AE109&gt;AF109,AE109*0.04,"")</f>
        <v/>
      </c>
      <c r="AH109" s="31" t="str">
        <f t="shared" ref="AH109:AH114" si="217">IF(AG109="","",IF((AE109-AF109)&gt;AG109,AG109,AE109-AF109))</f>
        <v/>
      </c>
      <c r="AI109" s="31">
        <f t="shared" ref="AI109:AI114" si="218">IF(AH109="",AE109,AE109-AH109)</f>
        <v>1441.5974086943481</v>
      </c>
      <c r="AJ109" s="31">
        <f>AI109/$AI$577*'State Admin 1004(b)'!$B$30*0.01</f>
        <v>13.718960712761492</v>
      </c>
      <c r="AK109" s="31">
        <f t="shared" ref="AK109:AK114" si="219">AI109-AJ109</f>
        <v>1427.8784479815865</v>
      </c>
      <c r="AL109" s="31">
        <f t="shared" ref="AL109:AL114" si="220">AK109*0.01</f>
        <v>14.278784479815865</v>
      </c>
      <c r="AM109" s="31">
        <f t="shared" ref="AM109:AM114" si="221">AK109-AL109</f>
        <v>1413.5996635017707</v>
      </c>
      <c r="AP109" s="31"/>
      <c r="AQ109" s="46">
        <f t="shared" ref="AQ109:AQ114" si="222">IFERROR(AM109/AF109,"")</f>
        <v>8.0959258829822897E-2</v>
      </c>
      <c r="AR109" s="4">
        <f>VLOOKUP(B109,Allocation!$D$10:$P$235,13,FALSE)</f>
        <v>8.0966489221608803E-2</v>
      </c>
      <c r="AS109" s="4">
        <f t="shared" ref="AS109:AS114" si="223">IF(M109&gt;0.3,0.95,IF(M109&gt;0.15,0.9,0.85))</f>
        <v>0.9</v>
      </c>
      <c r="AT109" s="4" t="str">
        <f t="shared" ref="AT109:AT114" si="224">IF(AQ109&lt;AS109,"Review","")</f>
        <v>Review</v>
      </c>
      <c r="AU109" s="31">
        <f t="shared" ref="AU109:AU114" si="225">IF(AT109="Review",AM109*AS109/AQ109-AM109,"")</f>
        <v>14300.96733649823</v>
      </c>
      <c r="AV109" s="31">
        <f t="shared" ref="AV109:AV114" si="226">IF(AU109="","",AU109+AM109)</f>
        <v>15714.567000000001</v>
      </c>
      <c r="AW109" s="31">
        <f t="shared" ref="AW109:AW114" si="227">IF(AV109="",AM109-AM109/($AM$117-$AV$117+$AU$117)*$AU$117,AV109)</f>
        <v>15714.567000000001</v>
      </c>
      <c r="AX109" s="4">
        <f t="shared" ref="AX109:AX114" si="228">IFERROR(AW109/AF109,"")</f>
        <v>0.9</v>
      </c>
      <c r="AY109" s="4" t="str">
        <f t="shared" ref="AY109:AY114" si="229">IF(AX109&lt;AS109,"Manual Adjustment","")</f>
        <v/>
      </c>
      <c r="AZ109" s="174" t="str">
        <f>IFERROR(IF(VLOOKUP(A109,#REF!,11,FALSE)=0,"",VLOOKUP(A109,#REF!,11,FALSE)),"")</f>
        <v/>
      </c>
      <c r="BA109" s="31" t="str">
        <f t="shared" ref="BA109:BA114" si="230">IF(AZ109&lt;0,AW109*AZ109/100,"")</f>
        <v/>
      </c>
      <c r="BB109" s="31">
        <f t="shared" ref="BB109:BB114" si="231">IF(BA109&lt;0,AW109+BA109,AW109)</f>
        <v>15714.567000000001</v>
      </c>
      <c r="BD109" s="31">
        <f>IFERROR(VLOOKUP(A109,'Title II Hold Harmless'!A$1:B$439,2, FALSE),"")</f>
        <v>893</v>
      </c>
      <c r="BE109" s="31">
        <f t="shared" ref="BE109:BE114" si="232">IFERROR($BD$582*(0.8*($L109/$L$579)+0.2*($K109/$K$579))+$BD109,$BD$582*(0.8*($L109/$L$579)+0.2*($K109/$K$579)))</f>
        <v>1048.0222515908001</v>
      </c>
      <c r="BF109" s="31">
        <f t="shared" ref="BF109:BF114" si="233">$BD$583*BE109</f>
        <v>1049.0362756574489</v>
      </c>
      <c r="BG109" s="31" t="str">
        <f t="shared" ref="BG109:BG114" si="234">IF(AZ109&lt;0,BF109*AZ109/100,"")</f>
        <v/>
      </c>
      <c r="BH109" s="31">
        <f t="shared" ref="BH109:BH114" si="235">IF(BG109&lt;0,BF109+BG109,BF109)</f>
        <v>1049.0362756574489</v>
      </c>
    </row>
    <row r="110" spans="1:60" x14ac:dyDescent="0.3">
      <c r="A110" s="1">
        <v>150419000</v>
      </c>
      <c r="B110">
        <f>VLOOKUP(C110,'NCES ID'!$A$2:$B$3136,2,FALSE)</f>
        <v>409120</v>
      </c>
      <c r="C110">
        <f>VLOOKUP(A110,'State ID'!$A$2:$B$713,2,FALSE)</f>
        <v>4512</v>
      </c>
      <c r="D110" s="147" t="s">
        <v>435</v>
      </c>
      <c r="E110" t="s">
        <v>70</v>
      </c>
      <c r="F110" s="47">
        <f>VLOOKUP(B110,'Formula counts'!$D$9:$L$234,9,FALSE)</f>
        <v>104</v>
      </c>
      <c r="G110" s="47">
        <f>VLOOKUP(B110,'Formula counts'!$D$9:$K$234,8,FALSE)</f>
        <v>44</v>
      </c>
      <c r="H110" s="4">
        <f>VLOOKUP(B110,'Formula counts'!$D$9:$M$234,10,FALSE)</f>
        <v>0.42307692307692307</v>
      </c>
      <c r="I110" s="47">
        <f>VLOOKUP($C110,'Final SEA Counts'!$A$2:$F$709,5,FALSE)</f>
        <v>84</v>
      </c>
      <c r="J110" s="47">
        <f>VLOOKUP($C110,'Final SEA Counts'!$A$2:$F$709,6,FALSE)</f>
        <v>83</v>
      </c>
      <c r="K110" s="24">
        <f t="shared" si="210"/>
        <v>103.45162874476401</v>
      </c>
      <c r="L110" s="24">
        <f t="shared" si="210"/>
        <v>43.843166399270217</v>
      </c>
      <c r="M110" s="4">
        <f t="shared" si="211"/>
        <v>0.42380353921193581</v>
      </c>
      <c r="N110" s="31">
        <f>IFERROR(VLOOKUP($B110,Allocation!$D$10:$O$235,8,FALSE),"")</f>
        <v>23357.164891971326</v>
      </c>
      <c r="O110" s="31">
        <f>IFERROR(VLOOKUP($B110,Allocation!$D$10:$O$235,9,FALSE),"")</f>
        <v>5577.2171190039235</v>
      </c>
      <c r="P110" s="31">
        <f>IFERROR(VLOOKUP($B110,Allocation!$D$10:$O$235,10,FALSE),"")</f>
        <v>17633.946274283171</v>
      </c>
      <c r="Q110" s="31">
        <f>IFERROR(VLOOKUP($B110,Allocation!$D$10:$O$235,11,FALSE),"")</f>
        <v>21002.957621566387</v>
      </c>
      <c r="R110" s="31">
        <f>IFERROR(VLOOKUP($B110,Allocation!$D$10:$O$235,12,FALSE),"")</f>
        <v>67571.285906824807</v>
      </c>
      <c r="S110" s="31">
        <f t="shared" si="212"/>
        <v>23273.910613042983</v>
      </c>
      <c r="T110" s="31">
        <f t="shared" si="212"/>
        <v>5557.3376862124423</v>
      </c>
      <c r="U110" s="31">
        <f t="shared" si="212"/>
        <v>17571.091835890638</v>
      </c>
      <c r="V110" s="31">
        <f t="shared" si="212"/>
        <v>20928.094679071721</v>
      </c>
      <c r="W110" s="31">
        <f t="shared" si="213"/>
        <v>23273.910613042983</v>
      </c>
      <c r="X110" s="31">
        <f t="shared" si="213"/>
        <v>5557.3376862124423</v>
      </c>
      <c r="Y110" s="31">
        <f t="shared" si="213"/>
        <v>17571.091835890638</v>
      </c>
      <c r="Z110" s="31">
        <f t="shared" si="213"/>
        <v>20928.094679071721</v>
      </c>
      <c r="AA110" s="31">
        <f t="shared" si="214"/>
        <v>23273.910613042983</v>
      </c>
      <c r="AB110" s="31">
        <f t="shared" si="214"/>
        <v>5557.3376862124423</v>
      </c>
      <c r="AC110" s="31">
        <f t="shared" si="214"/>
        <v>17571.091835890638</v>
      </c>
      <c r="AD110" s="31">
        <f t="shared" si="214"/>
        <v>20928.094679071721</v>
      </c>
      <c r="AE110" s="31">
        <f t="shared" si="215"/>
        <v>67330.434814217791</v>
      </c>
      <c r="AF110" s="31">
        <f>IFERROR(VLOOKUP(A110,'Allocations By Type'!$D$7:$F$491,3,FALSE),"")</f>
        <v>69503.88</v>
      </c>
      <c r="AG110" s="31" t="str">
        <f t="shared" si="216"/>
        <v/>
      </c>
      <c r="AH110" s="31" t="str">
        <f t="shared" si="217"/>
        <v/>
      </c>
      <c r="AI110" s="31">
        <f t="shared" si="218"/>
        <v>67330.434814217791</v>
      </c>
      <c r="AJ110" s="31">
        <f>AI110/$AI$577*'State Admin 1004(b)'!$B$30*0.01</f>
        <v>640.75003493936561</v>
      </c>
      <c r="AK110" s="31">
        <f t="shared" si="219"/>
        <v>66689.684779278425</v>
      </c>
      <c r="AL110" s="31">
        <f t="shared" si="220"/>
        <v>666.89684779278423</v>
      </c>
      <c r="AM110" s="31">
        <f t="shared" si="221"/>
        <v>66022.78793148564</v>
      </c>
      <c r="AP110" s="31"/>
      <c r="AQ110" s="46">
        <f t="shared" si="222"/>
        <v>0.94991514044231251</v>
      </c>
      <c r="AR110" s="4">
        <f>VLOOKUP(B110,Allocation!$D$10:$P$235,13,FALSE)</f>
        <v>0.95</v>
      </c>
      <c r="AS110" s="4">
        <f t="shared" si="223"/>
        <v>0.95</v>
      </c>
      <c r="AT110" s="173" t="s">
        <v>1003</v>
      </c>
      <c r="AU110" s="31">
        <f t="shared" si="225"/>
        <v>5.8980685143615119</v>
      </c>
      <c r="AV110" s="31">
        <f t="shared" si="226"/>
        <v>66028.686000000002</v>
      </c>
      <c r="AW110" s="31">
        <f t="shared" si="227"/>
        <v>66028.686000000002</v>
      </c>
      <c r="AX110" s="4">
        <f t="shared" si="228"/>
        <v>0.95</v>
      </c>
      <c r="AY110" s="4" t="str">
        <f t="shared" si="229"/>
        <v/>
      </c>
      <c r="AZ110" s="174" t="str">
        <f>IFERROR(IF(VLOOKUP(A110,#REF!,11,FALSE)=0,"",VLOOKUP(A110,#REF!,11,FALSE)),"")</f>
        <v/>
      </c>
      <c r="BA110" s="31" t="str">
        <f t="shared" si="230"/>
        <v/>
      </c>
      <c r="BB110" s="31">
        <f t="shared" si="231"/>
        <v>66028.686000000002</v>
      </c>
      <c r="BD110" s="31">
        <f>IFERROR(VLOOKUP(A110,'Title II Hold Harmless'!A$1:B$439,2, FALSE),"")</f>
        <v>5876</v>
      </c>
      <c r="BE110" s="31">
        <f t="shared" si="232"/>
        <v>6533.1943908985695</v>
      </c>
      <c r="BF110" s="31">
        <f t="shared" si="233"/>
        <v>6539.5156463245976</v>
      </c>
      <c r="BG110" s="31" t="str">
        <f t="shared" si="234"/>
        <v/>
      </c>
      <c r="BH110" s="31">
        <f t="shared" si="235"/>
        <v>6539.5156463245976</v>
      </c>
    </row>
    <row r="111" spans="1:60" x14ac:dyDescent="0.3">
      <c r="A111" s="1">
        <v>150430000</v>
      </c>
      <c r="B111">
        <f>VLOOKUP(C111,'NCES ID'!$A$2:$B$3136,2,FALSE)</f>
        <v>400005</v>
      </c>
      <c r="C111">
        <f>VLOOKUP(A111,'State ID'!$A$2:$B$713,2,FALSE)</f>
        <v>4514</v>
      </c>
      <c r="D111" s="147" t="s">
        <v>368</v>
      </c>
      <c r="E111" t="s">
        <v>70</v>
      </c>
      <c r="F111" s="47">
        <f>VLOOKUP(B111,'Formula counts'!$D$9:$L$234,9,FALSE)</f>
        <v>133</v>
      </c>
      <c r="G111" s="47">
        <f>VLOOKUP(B111,'Formula counts'!$D$9:$K$234,8,FALSE)</f>
        <v>62</v>
      </c>
      <c r="H111" s="4">
        <f>VLOOKUP(B111,'Formula counts'!$D$9:$M$234,10,FALSE)</f>
        <v>0.46616541353383456</v>
      </c>
      <c r="I111" s="47">
        <f>VLOOKUP($C111,'Final SEA Counts'!$A$2:$F$709,5,FALSE)</f>
        <v>119</v>
      </c>
      <c r="J111" s="47">
        <f>VLOOKUP($C111,'Final SEA Counts'!$A$2:$F$709,6,FALSE)</f>
        <v>118</v>
      </c>
      <c r="K111" s="24">
        <f t="shared" si="210"/>
        <v>132.29871752936165</v>
      </c>
      <c r="L111" s="24">
        <f t="shared" si="210"/>
        <v>61.779007198971669</v>
      </c>
      <c r="M111" s="4">
        <f t="shared" si="211"/>
        <v>0.46696603226906397</v>
      </c>
      <c r="N111" s="31">
        <f>IFERROR(VLOOKUP($B111,Allocation!$D$10:$O$235,8,FALSE),"")</f>
        <v>29481.521585184084</v>
      </c>
      <c r="O111" s="31">
        <f>IFERROR(VLOOKUP($B111,Allocation!$D$10:$O$235,9,FALSE),"")</f>
        <v>6980.8675958126478</v>
      </c>
      <c r="P111" s="31">
        <f>IFERROR(VLOOKUP($B111,Allocation!$D$10:$O$235,10,FALSE),"")</f>
        <v>20170.655461895029</v>
      </c>
      <c r="Q111" s="31">
        <f>IFERROR(VLOOKUP($B111,Allocation!$D$10:$O$235,11,FALSE),"")</f>
        <v>21372.208535649301</v>
      </c>
      <c r="R111" s="31">
        <f>IFERROR(VLOOKUP($B111,Allocation!$D$10:$O$235,12,FALSE),"")</f>
        <v>78005.253178541068</v>
      </c>
      <c r="S111" s="31">
        <f t="shared" si="212"/>
        <v>29376.437649156873</v>
      </c>
      <c r="T111" s="31">
        <f t="shared" si="212"/>
        <v>6955.9849912383479</v>
      </c>
      <c r="U111" s="31">
        <f t="shared" si="212"/>
        <v>20098.759177232099</v>
      </c>
      <c r="V111" s="31">
        <f t="shared" si="212"/>
        <v>21296.029435190354</v>
      </c>
      <c r="W111" s="31">
        <f t="shared" si="213"/>
        <v>29376.437649156873</v>
      </c>
      <c r="X111" s="31">
        <f t="shared" si="213"/>
        <v>6955.9849912383479</v>
      </c>
      <c r="Y111" s="31">
        <f t="shared" si="213"/>
        <v>20098.759177232099</v>
      </c>
      <c r="Z111" s="31">
        <f t="shared" si="213"/>
        <v>21296.029435190354</v>
      </c>
      <c r="AA111" s="31">
        <f t="shared" si="214"/>
        <v>29376.437649156873</v>
      </c>
      <c r="AB111" s="31">
        <f t="shared" si="214"/>
        <v>6955.9849912383479</v>
      </c>
      <c r="AC111" s="31">
        <f t="shared" si="214"/>
        <v>20098.759177232099</v>
      </c>
      <c r="AD111" s="31">
        <f t="shared" si="214"/>
        <v>21296.029435190354</v>
      </c>
      <c r="AE111" s="31">
        <f t="shared" si="215"/>
        <v>77727.21125281768</v>
      </c>
      <c r="AF111" s="31">
        <f>IFERROR(VLOOKUP(A111,'Allocations By Type'!$D$7:$F$491,3,FALSE),"")</f>
        <v>80219.56</v>
      </c>
      <c r="AG111" s="31" t="str">
        <f t="shared" si="216"/>
        <v/>
      </c>
      <c r="AH111" s="31" t="str">
        <f t="shared" si="217"/>
        <v/>
      </c>
      <c r="AI111" s="31">
        <f t="shared" si="218"/>
        <v>77727.21125281768</v>
      </c>
      <c r="AJ111" s="31">
        <f>AI111/$AI$577*'State Admin 1004(b)'!$B$30*0.01</f>
        <v>739.69095051003012</v>
      </c>
      <c r="AK111" s="31">
        <f t="shared" si="219"/>
        <v>76987.520302307646</v>
      </c>
      <c r="AL111" s="31">
        <f t="shared" si="220"/>
        <v>769.87520302307644</v>
      </c>
      <c r="AM111" s="31">
        <f t="shared" si="221"/>
        <v>76217.645099284564</v>
      </c>
      <c r="AP111" s="31"/>
      <c r="AQ111" s="46">
        <f t="shared" si="222"/>
        <v>0.95011297867109423</v>
      </c>
      <c r="AR111" s="4">
        <f>VLOOKUP(B111,Allocation!$D$10:$P$235,13,FALSE)</f>
        <v>0.9501978820421414</v>
      </c>
      <c r="AS111" s="4">
        <f t="shared" si="223"/>
        <v>0.95</v>
      </c>
      <c r="AT111" s="173" t="s">
        <v>1003</v>
      </c>
      <c r="AU111" s="31">
        <f t="shared" si="225"/>
        <v>-9.0630992845690344</v>
      </c>
      <c r="AV111" s="31">
        <f t="shared" si="226"/>
        <v>76208.581999999995</v>
      </c>
      <c r="AW111" s="31">
        <f t="shared" si="227"/>
        <v>76208.581999999995</v>
      </c>
      <c r="AX111" s="4">
        <f t="shared" si="228"/>
        <v>0.95</v>
      </c>
      <c r="AY111" s="4" t="str">
        <f t="shared" si="229"/>
        <v/>
      </c>
      <c r="AZ111" s="174" t="str">
        <f>IFERROR(IF(VLOOKUP(A111,#REF!,11,FALSE)=0,"",VLOOKUP(A111,#REF!,11,FALSE)),"")</f>
        <v/>
      </c>
      <c r="BA111" s="31" t="str">
        <f t="shared" si="230"/>
        <v/>
      </c>
      <c r="BB111" s="31">
        <f t="shared" si="231"/>
        <v>76208.581999999995</v>
      </c>
      <c r="BD111" s="31">
        <f>IFERROR(VLOOKUP(A111,'Title II Hold Harmless'!A$1:B$439,2, FALSE),"")</f>
        <v>5233</v>
      </c>
      <c r="BE111" s="31">
        <f t="shared" si="232"/>
        <v>6148.2027448981689</v>
      </c>
      <c r="BF111" s="31">
        <f t="shared" si="233"/>
        <v>6154.1514979332305</v>
      </c>
      <c r="BG111" s="31" t="str">
        <f t="shared" si="234"/>
        <v/>
      </c>
      <c r="BH111" s="31">
        <f t="shared" si="235"/>
        <v>6154.1514979332305</v>
      </c>
    </row>
    <row r="112" spans="1:60" x14ac:dyDescent="0.3">
      <c r="A112" s="1">
        <v>150404000</v>
      </c>
      <c r="B112">
        <f>VLOOKUP(C112,'NCES ID'!$A$2:$B$3136,2,FALSE)</f>
        <v>406780</v>
      </c>
      <c r="C112">
        <f>VLOOKUP(A112,'State ID'!$A$2:$B$713,2,FALSE)</f>
        <v>4511</v>
      </c>
      <c r="D112" s="147" t="s">
        <v>355</v>
      </c>
      <c r="E112" t="s">
        <v>70</v>
      </c>
      <c r="F112" s="47">
        <f>VLOOKUP(B112,'Formula counts'!$D$9:$L$234,9,FALSE)</f>
        <v>303</v>
      </c>
      <c r="G112" s="47">
        <f>VLOOKUP(B112,'Formula counts'!$D$9:$K$234,8,FALSE)</f>
        <v>55</v>
      </c>
      <c r="H112" s="4">
        <f>VLOOKUP(B112,'Formula counts'!$D$9:$M$234,10,FALSE)</f>
        <v>0.18151815181518152</v>
      </c>
      <c r="I112" s="47">
        <f>VLOOKUP($C112,'Final SEA Counts'!$A$2:$F$709,5,FALSE)</f>
        <v>226</v>
      </c>
      <c r="J112" s="47">
        <f>VLOOKUP($C112,'Final SEA Counts'!$A$2:$F$709,6,FALSE)</f>
        <v>222</v>
      </c>
      <c r="K112" s="24">
        <f t="shared" si="210"/>
        <v>301.40234143907207</v>
      </c>
      <c r="L112" s="24">
        <f t="shared" si="210"/>
        <v>54.803957999087771</v>
      </c>
      <c r="M112" s="4">
        <f t="shared" si="211"/>
        <v>0.18182990131205165</v>
      </c>
      <c r="N112" s="31">
        <f>IFERROR(VLOOKUP($B112,Allocation!$D$10:$O$235,8,FALSE),"")</f>
        <v>25945.589729851821</v>
      </c>
      <c r="O112" s="31">
        <f>IFERROR(VLOOKUP($B112,Allocation!$D$10:$O$235,9,FALSE),"")</f>
        <v>6153.0197086780227</v>
      </c>
      <c r="P112" s="31">
        <f>IFERROR(VLOOKUP($B112,Allocation!$D$10:$O$235,10,FALSE),"")</f>
        <v>9571.9792757118794</v>
      </c>
      <c r="Q112" s="31">
        <f>IFERROR(VLOOKUP($B112,Allocation!$D$10:$O$235,11,FALSE),"")</f>
        <v>8390.0699362423566</v>
      </c>
      <c r="R112" s="31">
        <f>IFERROR(VLOOKUP($B112,Allocation!$D$10:$O$235,12,FALSE),"")</f>
        <v>50060.658650484074</v>
      </c>
      <c r="S112" s="31">
        <f t="shared" si="212"/>
        <v>25853.109269388402</v>
      </c>
      <c r="T112" s="31">
        <f t="shared" si="212"/>
        <v>6131.0878851263569</v>
      </c>
      <c r="U112" s="31">
        <f t="shared" si="212"/>
        <v>9537.8609126227711</v>
      </c>
      <c r="V112" s="31">
        <f t="shared" si="212"/>
        <v>8360.1643708224565</v>
      </c>
      <c r="W112" s="31">
        <f t="shared" si="213"/>
        <v>25853.109269388402</v>
      </c>
      <c r="X112" s="31">
        <f t="shared" si="213"/>
        <v>6131.0878851263569</v>
      </c>
      <c r="Y112" s="31">
        <f t="shared" si="213"/>
        <v>9537.8609126227711</v>
      </c>
      <c r="Z112" s="31">
        <f t="shared" si="213"/>
        <v>8360.1643708224565</v>
      </c>
      <c r="AA112" s="31">
        <f t="shared" si="214"/>
        <v>25853.109269388402</v>
      </c>
      <c r="AB112" s="31">
        <f t="shared" si="214"/>
        <v>6131.0878851263569</v>
      </c>
      <c r="AC112" s="31">
        <f t="shared" si="214"/>
        <v>9537.8609126227711</v>
      </c>
      <c r="AD112" s="31">
        <f t="shared" si="214"/>
        <v>8360.1643708224565</v>
      </c>
      <c r="AE112" s="31">
        <f t="shared" si="215"/>
        <v>49882.222437959994</v>
      </c>
      <c r="AF112" s="31">
        <f>IFERROR(VLOOKUP(A112,'Allocations By Type'!$D$7:$F$491,3,FALSE),"")</f>
        <v>54054.7</v>
      </c>
      <c r="AG112" s="31" t="str">
        <f t="shared" si="216"/>
        <v/>
      </c>
      <c r="AH112" s="31" t="str">
        <f t="shared" si="217"/>
        <v/>
      </c>
      <c r="AI112" s="31">
        <f t="shared" si="218"/>
        <v>49882.222437959994</v>
      </c>
      <c r="AJ112" s="31">
        <f>AI112/$AI$577*'State Admin 1004(b)'!$B$30*0.01</f>
        <v>474.70413429183481</v>
      </c>
      <c r="AK112" s="31">
        <f t="shared" si="219"/>
        <v>49407.518303668156</v>
      </c>
      <c r="AL112" s="31">
        <f t="shared" si="220"/>
        <v>494.07518303668155</v>
      </c>
      <c r="AM112" s="31">
        <f t="shared" si="221"/>
        <v>48913.443120631477</v>
      </c>
      <c r="AP112" s="31"/>
      <c r="AQ112" s="46">
        <f t="shared" si="222"/>
        <v>0.90488788432146472</v>
      </c>
      <c r="AR112" s="4">
        <f>VLOOKUP(B112,Allocation!$D$10:$P$235,13,FALSE)</f>
        <v>0.9047847209990495</v>
      </c>
      <c r="AS112" s="4">
        <f t="shared" si="223"/>
        <v>0.9</v>
      </c>
      <c r="AT112" s="173" t="s">
        <v>1003</v>
      </c>
      <c r="AU112" s="31">
        <f t="shared" si="225"/>
        <v>-264.21312063148071</v>
      </c>
      <c r="AV112" s="31">
        <f t="shared" si="226"/>
        <v>48649.229999999996</v>
      </c>
      <c r="AW112" s="31">
        <f t="shared" si="227"/>
        <v>48649.229999999996</v>
      </c>
      <c r="AX112" s="4">
        <f t="shared" si="228"/>
        <v>0.9</v>
      </c>
      <c r="AY112" s="4" t="str">
        <f t="shared" si="229"/>
        <v/>
      </c>
      <c r="AZ112" s="174" t="str">
        <f>IFERROR(IF(VLOOKUP(A112,#REF!,11,FALSE)=0,"",VLOOKUP(A112,#REF!,11,FALSE)),"")</f>
        <v/>
      </c>
      <c r="BA112" s="31" t="str">
        <f t="shared" si="230"/>
        <v/>
      </c>
      <c r="BB112" s="31">
        <f t="shared" si="231"/>
        <v>48649.229999999996</v>
      </c>
      <c r="BD112" s="31">
        <f>IFERROR(VLOOKUP(A112,'Title II Hold Harmless'!A$1:B$439,2, FALSE),"")</f>
        <v>12530</v>
      </c>
      <c r="BE112" s="31">
        <f t="shared" si="232"/>
        <v>13489.98920106146</v>
      </c>
      <c r="BF112" s="31">
        <f t="shared" si="233"/>
        <v>13503.041570596501</v>
      </c>
      <c r="BG112" s="31" t="str">
        <f t="shared" si="234"/>
        <v/>
      </c>
      <c r="BH112" s="31">
        <f t="shared" si="235"/>
        <v>13503.041570596501</v>
      </c>
    </row>
    <row r="113" spans="1:60" x14ac:dyDescent="0.3">
      <c r="A113" s="1">
        <v>150576000</v>
      </c>
      <c r="B113">
        <f>VLOOKUP(C113,'NCES ID'!$A$2:$B$3136,2,FALSE)</f>
        <v>401160</v>
      </c>
      <c r="C113">
        <f>VLOOKUP(A113,'State ID'!$A$2:$B$713,2,FALSE)</f>
        <v>4515</v>
      </c>
      <c r="D113" s="147" t="s">
        <v>69</v>
      </c>
      <c r="E113" t="s">
        <v>70</v>
      </c>
      <c r="F113" s="47">
        <f>VLOOKUP(B113,'Formula counts'!$D$9:$L$234,9,FALSE)</f>
        <v>319</v>
      </c>
      <c r="G113" s="47">
        <f>VLOOKUP(B113,'Formula counts'!$D$9:$K$234,8,FALSE)</f>
        <v>120</v>
      </c>
      <c r="H113" s="4">
        <f>VLOOKUP(B113,'Formula counts'!$D$9:$M$234,10,FALSE)</f>
        <v>0.37617554858934171</v>
      </c>
      <c r="I113" s="47">
        <f>VLOOKUP($C113,'Final SEA Counts'!$A$2:$F$709,5,FALSE)</f>
        <v>86</v>
      </c>
      <c r="J113" s="47">
        <f>VLOOKUP($C113,'Final SEA Counts'!$A$2:$F$709,6,FALSE)</f>
        <v>86</v>
      </c>
      <c r="K113" s="24">
        <f t="shared" si="210"/>
        <v>317.31797663057421</v>
      </c>
      <c r="L113" s="24">
        <f t="shared" si="210"/>
        <v>119.57227199800968</v>
      </c>
      <c r="M113" s="4">
        <f t="shared" si="211"/>
        <v>0.37682161366236527</v>
      </c>
      <c r="N113" s="31">
        <f>IFERROR(VLOOKUP($B113,Allocation!$D$10:$O$235,8,FALSE),"")</f>
        <v>57325.180860080167</v>
      </c>
      <c r="O113" s="31">
        <f>IFERROR(VLOOKUP($B113,Allocation!$D$10:$O$235,9,FALSE),"")</f>
        <v>13573.909214080148</v>
      </c>
      <c r="P113" s="31">
        <f>IFERROR(VLOOKUP($B113,Allocation!$D$10:$O$235,10,FALSE),"")</f>
        <v>34380.312848336485</v>
      </c>
      <c r="Q113" s="31">
        <f>IFERROR(VLOOKUP($B113,Allocation!$D$10:$O$235,11,FALSE),"")</f>
        <v>36134.456260237515</v>
      </c>
      <c r="R113" s="31">
        <f>IFERROR(VLOOKUP($B113,Allocation!$D$10:$O$235,12,FALSE),"")</f>
        <v>141413.8591827343</v>
      </c>
      <c r="S113" s="31">
        <f t="shared" si="212"/>
        <v>57120.850984471697</v>
      </c>
      <c r="T113" s="31">
        <f t="shared" si="212"/>
        <v>13525.526371852344</v>
      </c>
      <c r="U113" s="31">
        <f t="shared" si="212"/>
        <v>34257.767660649639</v>
      </c>
      <c r="V113" s="31">
        <f t="shared" si="212"/>
        <v>36005.658603744196</v>
      </c>
      <c r="W113" s="31">
        <f t="shared" si="213"/>
        <v>57120.850984471697</v>
      </c>
      <c r="X113" s="31">
        <f t="shared" si="213"/>
        <v>13525.526371852344</v>
      </c>
      <c r="Y113" s="31">
        <f t="shared" si="213"/>
        <v>34257.767660649639</v>
      </c>
      <c r="Z113" s="31">
        <f t="shared" si="213"/>
        <v>36005.658603744196</v>
      </c>
      <c r="AA113" s="31">
        <f t="shared" si="214"/>
        <v>57120.850984471697</v>
      </c>
      <c r="AB113" s="31">
        <f t="shared" si="214"/>
        <v>13525.526371852344</v>
      </c>
      <c r="AC113" s="31">
        <f t="shared" si="214"/>
        <v>34257.767660649639</v>
      </c>
      <c r="AD113" s="31">
        <f t="shared" si="214"/>
        <v>36005.658603744196</v>
      </c>
      <c r="AE113" s="31">
        <f t="shared" si="215"/>
        <v>140909.80362071787</v>
      </c>
      <c r="AF113" s="31">
        <f>IFERROR(VLOOKUP(A113,'Allocations By Type'!$D$7:$F$491,3,FALSE),"")</f>
        <v>145458.41</v>
      </c>
      <c r="AG113" s="31" t="str">
        <f t="shared" si="216"/>
        <v/>
      </c>
      <c r="AH113" s="31" t="str">
        <f t="shared" si="217"/>
        <v/>
      </c>
      <c r="AI113" s="31">
        <f t="shared" si="218"/>
        <v>140909.80362071787</v>
      </c>
      <c r="AJ113" s="31">
        <f>AI113/$AI$577*'State Admin 1004(b)'!$B$30*0.01</f>
        <v>1340.9680457641796</v>
      </c>
      <c r="AK113" s="31">
        <f t="shared" si="219"/>
        <v>139568.8355749537</v>
      </c>
      <c r="AL113" s="31">
        <f t="shared" si="220"/>
        <v>1395.6883557495371</v>
      </c>
      <c r="AM113" s="31">
        <f t="shared" si="221"/>
        <v>138173.14721920417</v>
      </c>
      <c r="AP113" s="31"/>
      <c r="AQ113" s="46">
        <f t="shared" si="222"/>
        <v>0.94991514907391172</v>
      </c>
      <c r="AR113" s="4">
        <f>VLOOKUP(B113,Allocation!$D$10:$P$235,13,FALSE)</f>
        <v>0.95</v>
      </c>
      <c r="AS113" s="4">
        <f t="shared" si="223"/>
        <v>0.95</v>
      </c>
      <c r="AT113" s="173" t="s">
        <v>1003</v>
      </c>
      <c r="AU113" s="31">
        <f t="shared" si="225"/>
        <v>12.342280795826809</v>
      </c>
      <c r="AV113" s="31">
        <f t="shared" si="226"/>
        <v>138185.4895</v>
      </c>
      <c r="AW113" s="31">
        <f t="shared" si="227"/>
        <v>138185.4895</v>
      </c>
      <c r="AX113" s="4">
        <f t="shared" si="228"/>
        <v>0.95</v>
      </c>
      <c r="AY113" s="4" t="str">
        <f t="shared" si="229"/>
        <v/>
      </c>
      <c r="AZ113" s="174" t="str">
        <f>IFERROR(IF(VLOOKUP(A113,#REF!,11,FALSE)=0,"",VLOOKUP(A113,#REF!,11,FALSE)),"")</f>
        <v/>
      </c>
      <c r="BA113" s="31" t="str">
        <f t="shared" si="230"/>
        <v/>
      </c>
      <c r="BB113" s="31">
        <f t="shared" si="231"/>
        <v>138185.4895</v>
      </c>
      <c r="BD113" s="31">
        <f>IFERROR(VLOOKUP(A113,'Title II Hold Harmless'!A$1:B$439,2, FALSE),"")</f>
        <v>6923</v>
      </c>
      <c r="BE113" s="31">
        <f t="shared" si="232"/>
        <v>8743.6589150825293</v>
      </c>
      <c r="BF113" s="31">
        <f t="shared" si="233"/>
        <v>8752.1189268399175</v>
      </c>
      <c r="BG113" s="31" t="str">
        <f t="shared" si="234"/>
        <v/>
      </c>
      <c r="BH113" s="31">
        <f t="shared" si="235"/>
        <v>8752.1189268399175</v>
      </c>
    </row>
    <row r="114" spans="1:60" x14ac:dyDescent="0.3">
      <c r="A114" s="1">
        <v>150227000</v>
      </c>
      <c r="B114">
        <f>VLOOKUP(C114,'NCES ID'!$A$2:$B$3136,2,FALSE)</f>
        <v>405980</v>
      </c>
      <c r="C114">
        <f>VLOOKUP(A114,'State ID'!$A$2:$B$713,2,FALSE)</f>
        <v>4510</v>
      </c>
      <c r="D114" s="147" t="s">
        <v>325</v>
      </c>
      <c r="E114" t="s">
        <v>70</v>
      </c>
      <c r="F114" s="47">
        <f>VLOOKUP(B114,'Formula counts'!$D$9:$L$234,9,FALSE)</f>
        <v>1699</v>
      </c>
      <c r="G114" s="47">
        <f>VLOOKUP(B114,'Formula counts'!$D$9:$K$234,8,FALSE)</f>
        <v>587</v>
      </c>
      <c r="H114" s="4">
        <f>VLOOKUP(B114,'Formula counts'!$D$9:$M$234,10,FALSE)</f>
        <v>0.34549735138316656</v>
      </c>
      <c r="I114" s="47">
        <f>VLOOKUP($C114,'Final SEA Counts'!$A$2:$F$709,5,FALSE)</f>
        <v>1858</v>
      </c>
      <c r="J114" s="47">
        <f>VLOOKUP($C114,'Final SEA Counts'!$A$2:$F$709,6,FALSE)</f>
        <v>1475</v>
      </c>
      <c r="K114" s="24">
        <f t="shared" si="210"/>
        <v>1690.041511897635</v>
      </c>
      <c r="L114" s="24">
        <f t="shared" si="210"/>
        <v>584.907697190264</v>
      </c>
      <c r="M114" s="4">
        <f t="shared" si="211"/>
        <v>0.34609072799253915</v>
      </c>
      <c r="N114" s="31">
        <f>IFERROR(VLOOKUP($B114,Allocation!$D$10:$O$235,8,FALSE),"")</f>
        <v>276910.20311678207</v>
      </c>
      <c r="O114" s="31">
        <f>IFERROR(VLOOKUP($B114,Allocation!$D$10:$O$235,9,FALSE),"")</f>
        <v>65669.501254436371</v>
      </c>
      <c r="P114" s="31">
        <f>IFERROR(VLOOKUP($B114,Allocation!$D$10:$O$235,10,FALSE),"")</f>
        <v>147996.60343661351</v>
      </c>
      <c r="Q114" s="31">
        <f>IFERROR(VLOOKUP($B114,Allocation!$D$10:$O$235,11,FALSE),"")</f>
        <v>136924.83549815012</v>
      </c>
      <c r="R114" s="31">
        <f>IFERROR(VLOOKUP($B114,Allocation!$D$10:$O$235,12,FALSE),"")</f>
        <v>627501.14330598211</v>
      </c>
      <c r="S114" s="31">
        <f t="shared" si="212"/>
        <v>275923.18438419979</v>
      </c>
      <c r="T114" s="31">
        <f t="shared" si="212"/>
        <v>65435.42888307586</v>
      </c>
      <c r="U114" s="31">
        <f t="shared" si="212"/>
        <v>147469.08434086936</v>
      </c>
      <c r="V114" s="31">
        <f t="shared" si="212"/>
        <v>136436.78061222949</v>
      </c>
      <c r="W114" s="31">
        <f t="shared" si="213"/>
        <v>275923.18438419979</v>
      </c>
      <c r="X114" s="31">
        <f t="shared" si="213"/>
        <v>65435.42888307586</v>
      </c>
      <c r="Y114" s="31">
        <f t="shared" si="213"/>
        <v>147469.08434086936</v>
      </c>
      <c r="Z114" s="31">
        <f t="shared" si="213"/>
        <v>136436.78061222949</v>
      </c>
      <c r="AA114" s="31">
        <f t="shared" si="214"/>
        <v>275923.18438419979</v>
      </c>
      <c r="AB114" s="31">
        <f t="shared" si="214"/>
        <v>65435.42888307586</v>
      </c>
      <c r="AC114" s="31">
        <f t="shared" si="214"/>
        <v>147469.08434086936</v>
      </c>
      <c r="AD114" s="31">
        <f t="shared" si="214"/>
        <v>136436.78061222949</v>
      </c>
      <c r="AE114" s="31">
        <f t="shared" si="215"/>
        <v>625264.47822037444</v>
      </c>
      <c r="AF114" s="31">
        <f>IFERROR(VLOOKUP(A114,'Allocations By Type'!$D$7:$F$491,3,FALSE),"")</f>
        <v>623852.86</v>
      </c>
      <c r="AG114" s="31">
        <f t="shared" si="216"/>
        <v>25010.579128814978</v>
      </c>
      <c r="AH114" s="31">
        <f t="shared" si="217"/>
        <v>1411.6182203744538</v>
      </c>
      <c r="AI114" s="31">
        <f t="shared" si="218"/>
        <v>623852.86</v>
      </c>
      <c r="AJ114" s="31">
        <f>AI114/$AI$577*'State Admin 1004(b)'!$B$30*0.01</f>
        <v>5936.89529772075</v>
      </c>
      <c r="AK114" s="31">
        <f t="shared" si="219"/>
        <v>617915.96470227919</v>
      </c>
      <c r="AL114" s="31">
        <f t="shared" si="220"/>
        <v>6179.1596470227923</v>
      </c>
      <c r="AM114" s="31">
        <f t="shared" si="221"/>
        <v>611736.80505525635</v>
      </c>
      <c r="AP114" s="31"/>
      <c r="AQ114" s="46">
        <f t="shared" si="222"/>
        <v>0.9805786657053337</v>
      </c>
      <c r="AR114" s="4">
        <f>VLOOKUP(B114,Allocation!$D$10:$P$235,13,FALSE)</f>
        <v>0.982885251511455</v>
      </c>
      <c r="AS114" s="4">
        <f t="shared" si="223"/>
        <v>0.95</v>
      </c>
      <c r="AT114" s="4" t="str">
        <f t="shared" si="224"/>
        <v/>
      </c>
      <c r="AU114" s="31" t="str">
        <f t="shared" si="225"/>
        <v/>
      </c>
      <c r="AV114" s="31" t="str">
        <f t="shared" si="226"/>
        <v/>
      </c>
      <c r="AW114" s="31">
        <f t="shared" si="227"/>
        <v>597690.873589364</v>
      </c>
      <c r="AX114" s="4">
        <f t="shared" si="228"/>
        <v>0.95806385112887682</v>
      </c>
      <c r="AY114" s="4" t="str">
        <f t="shared" si="229"/>
        <v/>
      </c>
      <c r="AZ114" s="174" t="str">
        <f>IFERROR(IF(VLOOKUP(A114,#REF!,11,FALSE)=0,"",VLOOKUP(A114,#REF!,11,FALSE)),"")</f>
        <v/>
      </c>
      <c r="BA114" s="31" t="str">
        <f t="shared" si="230"/>
        <v/>
      </c>
      <c r="BB114" s="31">
        <f t="shared" si="231"/>
        <v>597690.873589364</v>
      </c>
      <c r="BD114" s="31">
        <f>IFERROR(VLOOKUP(A114,'Title II Hold Harmless'!A$1:B$439,2, FALSE),"")</f>
        <v>80769</v>
      </c>
      <c r="BE114" s="31">
        <f t="shared" si="232"/>
        <v>89785.980250951674</v>
      </c>
      <c r="BF114" s="31">
        <f t="shared" si="233"/>
        <v>89872.853544609243</v>
      </c>
      <c r="BG114" s="31" t="str">
        <f t="shared" si="234"/>
        <v/>
      </c>
      <c r="BH114" s="31">
        <f t="shared" si="235"/>
        <v>89872.853544609243</v>
      </c>
    </row>
    <row r="115" spans="1:60" s="47" customFormat="1" x14ac:dyDescent="0.3">
      <c r="A115" s="1"/>
      <c r="D115" s="191" t="s">
        <v>1411</v>
      </c>
      <c r="E115" s="47" t="s">
        <v>70</v>
      </c>
      <c r="H115" s="4"/>
      <c r="I115" s="24">
        <f>'AVA Metrics'!C8</f>
        <v>13.735645383555353</v>
      </c>
      <c r="J115" s="24">
        <f>'AVA Metrics'!D8</f>
        <v>7.186495176848875</v>
      </c>
      <c r="K115" s="24">
        <f>I115</f>
        <v>13.735645383555353</v>
      </c>
      <c r="L115" s="24">
        <f>J115*$B$117</f>
        <v>3.1259788145459417</v>
      </c>
      <c r="M115" s="4">
        <f t="shared" si="211"/>
        <v>0.22758150252542478</v>
      </c>
      <c r="N115" s="31"/>
      <c r="O115" s="31"/>
      <c r="P115" s="31"/>
      <c r="Q115" s="31"/>
      <c r="R115" s="31"/>
      <c r="S115" s="31">
        <f>$L115*N$118</f>
        <v>1472.1672836097378</v>
      </c>
      <c r="T115" s="31">
        <f t="shared" ref="T115:V115" si="236">$L115*O$118</f>
        <v>354.30588526959286</v>
      </c>
      <c r="U115" s="31">
        <f t="shared" si="236"/>
        <v>818.93336957555346</v>
      </c>
      <c r="V115" s="31">
        <f t="shared" si="236"/>
        <v>797.80015078747726</v>
      </c>
      <c r="W115" s="31">
        <f>S115</f>
        <v>1472.1672836097378</v>
      </c>
      <c r="X115" s="31">
        <f t="shared" ref="X115:Z115" si="237">T115</f>
        <v>354.30588526959286</v>
      </c>
      <c r="Y115" s="31">
        <f t="shared" si="237"/>
        <v>818.93336957555346</v>
      </c>
      <c r="Z115" s="31">
        <f t="shared" si="237"/>
        <v>797.80015078747726</v>
      </c>
      <c r="AA115" s="31">
        <f t="shared" si="214"/>
        <v>1472.1672836097378</v>
      </c>
      <c r="AB115" s="31">
        <f t="shared" si="214"/>
        <v>354.30588526959286</v>
      </c>
      <c r="AC115" s="31">
        <f t="shared" si="214"/>
        <v>818.93336957555346</v>
      </c>
      <c r="AD115" s="31">
        <f t="shared" si="214"/>
        <v>797.80015078747726</v>
      </c>
      <c r="AE115" s="31">
        <f t="shared" ref="AE115" si="238">SUM(AA115:AD115)</f>
        <v>3443.2066892423613</v>
      </c>
      <c r="AF115" s="31"/>
      <c r="AG115" s="31"/>
      <c r="AH115" s="31"/>
      <c r="AI115" s="31"/>
      <c r="AJ115" s="31"/>
      <c r="AK115" s="31"/>
      <c r="AL115" s="31"/>
      <c r="AM115" s="31"/>
      <c r="AP115" s="31"/>
      <c r="AQ115" s="46"/>
      <c r="AR115" s="4"/>
      <c r="AS115" s="4"/>
      <c r="AT115" s="4"/>
      <c r="AU115" s="31"/>
      <c r="AV115" s="31"/>
      <c r="AW115" s="31"/>
      <c r="AX115" s="4"/>
      <c r="AY115" s="4"/>
      <c r="AZ115" s="174"/>
      <c r="BA115" s="31"/>
      <c r="BB115" s="31"/>
      <c r="BD115" s="31"/>
      <c r="BE115" s="31"/>
      <c r="BF115" s="31"/>
      <c r="BG115" s="31"/>
      <c r="BH115" s="31"/>
    </row>
    <row r="116" spans="1:60" x14ac:dyDescent="0.3">
      <c r="A116" s="1"/>
      <c r="D116" s="147" t="s">
        <v>878</v>
      </c>
      <c r="K116" s="24">
        <f>SUM(K115)</f>
        <v>13.735645383555353</v>
      </c>
      <c r="L116" s="24">
        <f>SUM(L115)</f>
        <v>3.1259788145459417</v>
      </c>
      <c r="S116" s="31">
        <f t="shared" ref="S116:V116" si="239">SUM(S115)</f>
        <v>1472.1672836097378</v>
      </c>
      <c r="T116" s="31">
        <f t="shared" si="239"/>
        <v>354.30588526959286</v>
      </c>
      <c r="U116" s="31">
        <f t="shared" si="239"/>
        <v>818.93336957555346</v>
      </c>
      <c r="V116" s="31">
        <f t="shared" si="239"/>
        <v>797.80015078747726</v>
      </c>
    </row>
    <row r="117" spans="1:60" x14ac:dyDescent="0.3">
      <c r="A117" s="1" t="s">
        <v>880</v>
      </c>
      <c r="B117">
        <f>G117/J117</f>
        <v>0.434979602382008</v>
      </c>
      <c r="D117" s="147" t="s">
        <v>879</v>
      </c>
      <c r="F117">
        <f>SUM(F109:F115)</f>
        <v>2605</v>
      </c>
      <c r="G117" s="47">
        <f>SUM(G109:G115)</f>
        <v>877</v>
      </c>
      <c r="I117" s="24">
        <f>SUM(I109:I115)</f>
        <v>2415.7356453835555</v>
      </c>
      <c r="J117" s="24">
        <f>SUM(J109:J115)</f>
        <v>2016.1864951768489</v>
      </c>
      <c r="K117" s="24">
        <f>SUM(K109:K115)</f>
        <v>2605</v>
      </c>
      <c r="L117" s="24">
        <f>SUM(L109:L115)</f>
        <v>877</v>
      </c>
      <c r="N117" s="31">
        <f>SUM(N109:N115)</f>
        <v>413019.66018386948</v>
      </c>
      <c r="O117" s="31">
        <f t="shared" ref="O117:AE117" si="240">SUM(O109:O115)</f>
        <v>99401.269111469301</v>
      </c>
      <c r="P117" s="31">
        <f t="shared" si="240"/>
        <v>229753.49729684007</v>
      </c>
      <c r="Q117" s="31">
        <f t="shared" si="240"/>
        <v>223824.52785184566</v>
      </c>
      <c r="R117" s="31">
        <f t="shared" si="240"/>
        <v>965998.95444402448</v>
      </c>
      <c r="S117" s="31">
        <f t="shared" si="240"/>
        <v>413019.66018386948</v>
      </c>
      <c r="T117" s="31">
        <f t="shared" si="240"/>
        <v>99401.269111469301</v>
      </c>
      <c r="U117" s="31">
        <f t="shared" si="240"/>
        <v>229753.49729684007</v>
      </c>
      <c r="V117" s="31">
        <f t="shared" si="240"/>
        <v>223824.52785184569</v>
      </c>
      <c r="W117" s="31">
        <f t="shared" si="240"/>
        <v>413019.66018386948</v>
      </c>
      <c r="X117" s="31">
        <f t="shared" si="240"/>
        <v>99401.269111469301</v>
      </c>
      <c r="Y117" s="31">
        <f t="shared" si="240"/>
        <v>229753.49729684007</v>
      </c>
      <c r="Z117" s="31">
        <f t="shared" si="240"/>
        <v>223824.52785184569</v>
      </c>
      <c r="AA117" s="31">
        <f t="shared" si="240"/>
        <v>413019.66018386948</v>
      </c>
      <c r="AB117" s="31">
        <f t="shared" si="240"/>
        <v>99401.269111469301</v>
      </c>
      <c r="AC117" s="31">
        <f t="shared" si="240"/>
        <v>229753.49729684007</v>
      </c>
      <c r="AD117" s="31">
        <f t="shared" si="240"/>
        <v>223824.52785184569</v>
      </c>
      <c r="AE117" s="31">
        <f t="shared" si="240"/>
        <v>965998.95444402448</v>
      </c>
      <c r="AF117" s="31"/>
      <c r="AK117" s="31">
        <f>SUM(AK109:AK114)</f>
        <v>951997.40211046871</v>
      </c>
      <c r="AL117" s="31"/>
      <c r="AM117" s="31">
        <f>SUM(AM109:AM114)</f>
        <v>942477.42808936397</v>
      </c>
      <c r="AU117" s="31">
        <f>SUM(AU109:AU114)</f>
        <v>14045.931465892369</v>
      </c>
      <c r="AV117" s="31">
        <f>SUM(AV109:AV114)</f>
        <v>344786.55449999997</v>
      </c>
      <c r="AW117" s="31">
        <f>SUM(AW109:AW114)</f>
        <v>942477.42808936397</v>
      </c>
    </row>
    <row r="118" spans="1:60" x14ac:dyDescent="0.3">
      <c r="A118" s="1"/>
      <c r="N118" s="31">
        <f>N117/$L117</f>
        <v>470.94602073417275</v>
      </c>
      <c r="O118" s="31">
        <f>O117/$L117</f>
        <v>113.34238211113946</v>
      </c>
      <c r="P118" s="31">
        <f>P117/$L117</f>
        <v>261.97662177518822</v>
      </c>
      <c r="Q118" s="31">
        <f>Q117/$L117</f>
        <v>255.21610929514898</v>
      </c>
      <c r="R118" s="31" t="str">
        <f>IFERROR(VLOOKUP($B118,#REF!,12,FALSE),"")</f>
        <v/>
      </c>
      <c r="W118" s="31">
        <f>(S117-W117)/COUNT(W109:W115)</f>
        <v>0</v>
      </c>
      <c r="X118" s="31">
        <f t="shared" ref="X118:Z118" si="241">(T117-X117)/COUNT(X109:X115)</f>
        <v>0</v>
      </c>
      <c r="Y118" s="31">
        <f t="shared" si="241"/>
        <v>0</v>
      </c>
      <c r="Z118" s="31">
        <f t="shared" si="241"/>
        <v>0</v>
      </c>
    </row>
    <row r="119" spans="1:60" x14ac:dyDescent="0.3">
      <c r="A119" s="1"/>
      <c r="N119" s="31" t="str">
        <f>IFERROR(VLOOKUP($B119,#REF!,8,FALSE),"")</f>
        <v/>
      </c>
      <c r="O119" s="31" t="str">
        <f>IFERROR(VLOOKUP($B119,#REF!,9,FALSE),"")</f>
        <v/>
      </c>
      <c r="P119" s="31" t="str">
        <f>IFERROR(VLOOKUP($B119,#REF!,10,FALSE),"")</f>
        <v/>
      </c>
      <c r="Q119" s="31" t="str">
        <f>IFERROR(VLOOKUP($B119,#REF!,11,FALSE),"")</f>
        <v/>
      </c>
      <c r="R119" s="31" t="str">
        <f>IFERROR(VLOOKUP($B119,#REF!,12,FALSE),"")</f>
        <v/>
      </c>
    </row>
    <row r="120" spans="1:60" x14ac:dyDescent="0.3">
      <c r="A120" s="1">
        <v>70394000</v>
      </c>
      <c r="B120">
        <f>VLOOKUP(C120,'NCES ID'!$A$2:$B$3136,2,FALSE)</f>
        <v>408430</v>
      </c>
      <c r="C120">
        <f>VLOOKUP(A120,'State ID'!$A$2:$B$713,2,FALSE)</f>
        <v>4255</v>
      </c>
      <c r="D120" s="147" t="s">
        <v>318</v>
      </c>
      <c r="E120" t="s">
        <v>7</v>
      </c>
      <c r="F120" s="47">
        <f>VLOOKUP(B120,'Formula counts'!$D$9:$L$234,9,FALSE)</f>
        <v>84</v>
      </c>
      <c r="G120" s="47">
        <f>VLOOKUP(B120,'Formula counts'!$D$9:$K$234,8,FALSE)</f>
        <v>43</v>
      </c>
      <c r="H120" s="4">
        <f>VLOOKUP(B120,'Formula counts'!$D$9:$M$234,10,FALSE)</f>
        <v>0.51190476190476186</v>
      </c>
      <c r="I120" s="47">
        <f>VLOOKUP($C120,'Final SEA Counts'!$A$2:$F$709,5,FALSE)</f>
        <v>106</v>
      </c>
      <c r="J120" s="47">
        <f>VLOOKUP($C120,'Final SEA Counts'!$A$2:$F$709,6,FALSE)</f>
        <v>76</v>
      </c>
      <c r="K120" s="24">
        <f t="shared" ref="K120:K151" si="242">F120-(F120/(F$356-F$175))*K$355+(F120/(F$356-F$175))*F$175</f>
        <v>76.161829727021896</v>
      </c>
      <c r="L120" s="24">
        <f t="shared" ref="L120:L151" si="243">G120-(G120/(G$356-G$175))*L$355+(G120/(G$356-G$175))*G$175</f>
        <v>37.77354341634652</v>
      </c>
      <c r="M120" s="4">
        <f t="shared" ref="M120:M151" si="244">L120/K120</f>
        <v>0.49596423236854859</v>
      </c>
      <c r="N120" s="31">
        <f>IFERROR(VLOOKUP($B120,Allocation!$D$10:$O$235,8,FALSE),"")</f>
        <v>22121.293232653486</v>
      </c>
      <c r="O120" s="31">
        <f>IFERROR(VLOOKUP($B120,Allocation!$D$10:$O$235,9,FALSE),"")</f>
        <v>5108.8377296013678</v>
      </c>
      <c r="P120" s="31">
        <f>IFERROR(VLOOKUP($B120,Allocation!$D$10:$O$235,10,FALSE),"")</f>
        <v>17763.160178343955</v>
      </c>
      <c r="Q120" s="31">
        <f>IFERROR(VLOOKUP($B120,Allocation!$D$10:$O$235,11,FALSE),"")</f>
        <v>15765.927985134334</v>
      </c>
      <c r="R120" s="31">
        <f>IFERROR(VLOOKUP($B120,Allocation!$D$10:$O$235,12,FALSE),"")</f>
        <v>60759.219125733143</v>
      </c>
      <c r="S120" s="31">
        <f t="shared" ref="S120:S151" si="245">IF(N120=0,"",N120-(N120/(N$356-N$175)*S$355-N120/(N$356-N$175)*N$175))</f>
        <v>19457.918797820694</v>
      </c>
      <c r="T120" s="31">
        <f t="shared" ref="T120:T151" si="246">IF(O120=0,"",O120-(O120/(O$356-O$175)*T$355-O120/(O$356-O$175)*O$175))</f>
        <v>4495.9819955902985</v>
      </c>
      <c r="U120" s="31">
        <f t="shared" ref="U120:U151" si="247">IF(P120=0,"",P120-(P120/(P$356-P$175)*U$355-P120/(P$356-P$175)*P$175))</f>
        <v>15628.41841237892</v>
      </c>
      <c r="V120" s="31">
        <f t="shared" ref="V120:V151" si="248">IF(Q120=0,"",Q120-(Q120/(Q$356-Q$175)*V$355-Q120/(Q$356-Q$175)*Q$175))</f>
        <v>13879.419803135203</v>
      </c>
      <c r="W120" s="31">
        <f t="shared" ref="W120:W151" si="249">IF(S120="0","",S120)</f>
        <v>19457.918797820694</v>
      </c>
      <c r="X120" s="31">
        <f t="shared" ref="X120:X151" si="250">IF(T120="0","",T120)</f>
        <v>4495.9819955902985</v>
      </c>
      <c r="Y120" s="31">
        <f t="shared" ref="Y120:Y151" si="251">IF(U120="0","",U120)</f>
        <v>15628.41841237892</v>
      </c>
      <c r="Z120" s="31">
        <f t="shared" ref="Z120:Z151" si="252">IF(V120="0","",V120)</f>
        <v>13879.419803135203</v>
      </c>
      <c r="AA120" s="31">
        <f t="shared" ref="AA120:AA151" si="253">IF(W120="","",W120+W$357)</f>
        <v>19482.668540301729</v>
      </c>
      <c r="AB120" s="31">
        <f t="shared" ref="AB120:AB151" si="254">IF(X120="","",X120+X$357)</f>
        <v>5083.2487706199463</v>
      </c>
      <c r="AC120" s="31">
        <f t="shared" ref="AC120:AC151" si="255">IF(Y120="","",Y120+Y$357)</f>
        <v>15668.286981979016</v>
      </c>
      <c r="AD120" s="31">
        <f t="shared" ref="AD120:AD151" si="256">IF(Z120="","",Z120+Z$357)</f>
        <v>13916.511638386848</v>
      </c>
      <c r="AE120" s="31">
        <f t="shared" ref="AE120:AE151" si="257">SUM(AA120:AD120)</f>
        <v>54150.715931287545</v>
      </c>
      <c r="AF120" s="31">
        <f>IFERROR(VLOOKUP(A120,'Allocations By Type'!$D$7:$F$491,3,FALSE),"")</f>
        <v>63672.52</v>
      </c>
      <c r="AG120" s="31" t="str">
        <f t="shared" ref="AG120:AG151" si="258">IF(AE120&gt;AF120,AE120*0.04,"")</f>
        <v/>
      </c>
      <c r="AH120" s="31" t="str">
        <f t="shared" ref="AH120:AH151" si="259">IF(AG120="","",IF((AE120-AF120)&gt;AG120,AG120,AE120-AF120))</f>
        <v/>
      </c>
      <c r="AI120" s="31">
        <f t="shared" ref="AI120:AI151" si="260">IF(AH120="",AE120,AE120-AH120)</f>
        <v>54150.715931287545</v>
      </c>
      <c r="AJ120" s="31">
        <f>AI120/$AI$577*'State Admin 1004(b)'!$B$30*0.01</f>
        <v>515.32524957996213</v>
      </c>
      <c r="AK120" s="31">
        <f t="shared" ref="AK120:AK151" si="261">AI120-AJ120</f>
        <v>53635.390681707584</v>
      </c>
      <c r="AL120" s="31">
        <f t="shared" ref="AL120:AL151" si="262">AK120*0.01</f>
        <v>536.35390681707588</v>
      </c>
      <c r="AM120" s="31">
        <f t="shared" ref="AM120:AM151" si="263">AK120-AL120</f>
        <v>53099.036774890505</v>
      </c>
      <c r="AP120" s="31"/>
      <c r="AQ120" s="4">
        <f t="shared" ref="AQ120:AQ175" si="264">IFERROR(AM120/AF120,"")</f>
        <v>0.83393961437195363</v>
      </c>
      <c r="AR120" s="4">
        <f>VLOOKUP(B120,Allocation!$D$10:$P$235,13,FALSE)</f>
        <v>0.95</v>
      </c>
      <c r="AS120" s="4">
        <f t="shared" ref="AS120:AS174" si="265">IF(M120&gt;0.3,0.95,IF(M120&gt;0.15,0.9,0.85))</f>
        <v>0.95</v>
      </c>
      <c r="AT120" s="4" t="str">
        <f t="shared" ref="AT120:AT151" si="266">IF(AQ120&lt;AS120,"Review","")</f>
        <v>Review</v>
      </c>
      <c r="AU120" s="31">
        <f t="shared" ref="AU120:AU151" si="267">IF(AT120="Review",AM120*AS120/AQ120-AM120,"")</f>
        <v>7389.8572251094884</v>
      </c>
      <c r="AV120" s="31">
        <f t="shared" ref="AV120:AV151" si="268">IF(AU120="","",AU120+AM120)</f>
        <v>60488.893999999993</v>
      </c>
      <c r="AW120" s="31">
        <f t="shared" ref="AW120:AW151" si="269">IF(AV120="",AM120-AM120/($AM$356-$AV$356+$AU$356)*$AU$356,AV120)</f>
        <v>60488.893999999993</v>
      </c>
      <c r="AX120" s="4">
        <f t="shared" ref="AX120:AX151" si="270">IFERROR(AW120/AF120,"")</f>
        <v>0.95</v>
      </c>
      <c r="AY120" s="4" t="str">
        <f t="shared" ref="AY120:AY151" si="271">IF(AX120&lt;AS120,"Manual Adjustment","")</f>
        <v/>
      </c>
      <c r="AZ120" s="174" t="str">
        <f>IFERROR(IF(VLOOKUP(A120,#REF!,11,FALSE)=0,"",VLOOKUP(A120,#REF!,11,FALSE)),"")</f>
        <v/>
      </c>
      <c r="BA120" s="31" t="str">
        <f t="shared" ref="BA120:BA182" si="272">IF(AZ120&lt;0,AW120*AZ120/100,"")</f>
        <v/>
      </c>
      <c r="BB120" s="31">
        <f t="shared" ref="BB120:BB182" si="273">IF(BA120&lt;0,AW120+BA120,AW120)</f>
        <v>60488.893999999993</v>
      </c>
      <c r="BD120" s="31">
        <f>IFERROR(VLOOKUP(A120,'Title II Hold Harmless'!A$1:B$439,2, FALSE),"")</f>
        <v>5287</v>
      </c>
      <c r="BE120" s="31">
        <f t="shared" ref="BE120:BE151" si="274">IFERROR($BD$582*(0.8*($L120/$L$579)+0.2*($K120/$K$579))+$BD120,$BD$582*(0.8*($L120/$L$579)+0.2*($K120/$K$579)))</f>
        <v>5842.7761197537075</v>
      </c>
      <c r="BF120" s="31">
        <f t="shared" ref="BF120:BF151" si="275">$BD$583*BE120</f>
        <v>5848.4293543033345</v>
      </c>
      <c r="BG120" s="31" t="str">
        <f t="shared" ref="BG120:BG182" si="276">IF(AZ120&lt;0,BF120*AZ120/100,"")</f>
        <v/>
      </c>
      <c r="BH120" s="31">
        <f t="shared" ref="BH120:BH182" si="277">IF(BG120&lt;0,BF120+BG120,BF120)</f>
        <v>5848.4293543033345</v>
      </c>
    </row>
    <row r="121" spans="1:60" x14ac:dyDescent="0.3">
      <c r="A121" s="1">
        <v>70363000</v>
      </c>
      <c r="B121">
        <f>VLOOKUP(C121,'NCES ID'!$A$2:$B$3136,2,FALSE)</f>
        <v>400480</v>
      </c>
      <c r="C121">
        <f>VLOOKUP(A121,'State ID'!$A$2:$B$713,2,FALSE)</f>
        <v>4249</v>
      </c>
      <c r="D121" s="147" t="s">
        <v>16</v>
      </c>
      <c r="E121" t="s">
        <v>7</v>
      </c>
      <c r="F121" s="47">
        <f>VLOOKUP(B121,'Formula counts'!$D$9:$L$234,9,FALSE)</f>
        <v>207</v>
      </c>
      <c r="G121" s="47">
        <f>VLOOKUP(B121,'Formula counts'!$D$9:$K$234,8,FALSE)</f>
        <v>90</v>
      </c>
      <c r="H121" s="4">
        <f>VLOOKUP(B121,'Formula counts'!$D$9:$M$234,10,FALSE)</f>
        <v>0.43478260869565216</v>
      </c>
      <c r="I121" s="47">
        <f>VLOOKUP($C121,'Final SEA Counts'!$A$2:$F$709,5,FALSE)</f>
        <v>157</v>
      </c>
      <c r="J121" s="47">
        <f>VLOOKUP($C121,'Final SEA Counts'!$A$2:$F$709,6,FALSE)</f>
        <v>140</v>
      </c>
      <c r="K121" s="24">
        <f t="shared" si="242"/>
        <v>187.68450897016112</v>
      </c>
      <c r="L121" s="24">
        <f t="shared" si="243"/>
        <v>79.060904824911319</v>
      </c>
      <c r="M121" s="4">
        <f t="shared" si="244"/>
        <v>0.42124363517652252</v>
      </c>
      <c r="N121" s="31">
        <f>IFERROR(VLOOKUP($B121,Allocation!$D$10:$O$235,8,FALSE),"")</f>
        <v>45530.442179681741</v>
      </c>
      <c r="O121" s="31">
        <f>IFERROR(VLOOKUP($B121,Allocation!$D$10:$O$235,9,FALSE),"")</f>
        <v>11104.682078159465</v>
      </c>
      <c r="P121" s="31">
        <f>IFERROR(VLOOKUP($B121,Allocation!$D$10:$O$235,10,FALSE),"")</f>
        <v>27706.892711870463</v>
      </c>
      <c r="Q121" s="31">
        <f>IFERROR(VLOOKUP($B121,Allocation!$D$10:$O$235,11,FALSE),"")</f>
        <v>26706.206620344856</v>
      </c>
      <c r="R121" s="31">
        <f>IFERROR(VLOOKUP($B121,Allocation!$D$10:$O$235,12,FALSE),"")</f>
        <v>111048.22359005653</v>
      </c>
      <c r="S121" s="31">
        <f t="shared" si="245"/>
        <v>40048.637186066044</v>
      </c>
      <c r="T121" s="31">
        <f t="shared" si="246"/>
        <v>9772.5653725264983</v>
      </c>
      <c r="U121" s="31">
        <f t="shared" si="247"/>
        <v>24377.132664485904</v>
      </c>
      <c r="V121" s="31">
        <f t="shared" si="248"/>
        <v>23510.614369324518</v>
      </c>
      <c r="W121" s="31">
        <f t="shared" si="249"/>
        <v>40048.637186066044</v>
      </c>
      <c r="X121" s="31">
        <f t="shared" si="250"/>
        <v>9772.5653725264983</v>
      </c>
      <c r="Y121" s="31">
        <f t="shared" si="251"/>
        <v>24377.132664485904</v>
      </c>
      <c r="Z121" s="31">
        <f t="shared" si="252"/>
        <v>23510.614369324518</v>
      </c>
      <c r="AA121" s="31">
        <f t="shared" si="253"/>
        <v>40073.386928547079</v>
      </c>
      <c r="AB121" s="31">
        <f t="shared" si="254"/>
        <v>10359.832147556146</v>
      </c>
      <c r="AC121" s="31">
        <f t="shared" si="255"/>
        <v>24417.001234086001</v>
      </c>
      <c r="AD121" s="31">
        <f t="shared" si="256"/>
        <v>23547.706204576163</v>
      </c>
      <c r="AE121" s="31">
        <f t="shared" si="257"/>
        <v>98397.926514765393</v>
      </c>
      <c r="AF121" s="31">
        <f>IFERROR(VLOOKUP(A121,'Allocations By Type'!$D$7:$F$491,3,FALSE),"")</f>
        <v>89210.16</v>
      </c>
      <c r="AG121" s="31">
        <f t="shared" si="258"/>
        <v>3935.9170605906156</v>
      </c>
      <c r="AH121" s="31">
        <f t="shared" si="259"/>
        <v>3935.9170605906156</v>
      </c>
      <c r="AI121" s="31">
        <f t="shared" si="260"/>
        <v>94462.009454174782</v>
      </c>
      <c r="AJ121" s="31">
        <f>AI121/$AI$577*'State Admin 1004(b)'!$B$30*0.01</f>
        <v>898.94764567039635</v>
      </c>
      <c r="AK121" s="31">
        <f t="shared" si="261"/>
        <v>93563.061808504382</v>
      </c>
      <c r="AL121" s="31">
        <f t="shared" si="262"/>
        <v>935.63061808504381</v>
      </c>
      <c r="AM121" s="31">
        <f t="shared" si="263"/>
        <v>92627.431190419346</v>
      </c>
      <c r="AP121" s="31"/>
      <c r="AQ121" s="4">
        <f t="shared" si="264"/>
        <v>1.0383058520511492</v>
      </c>
      <c r="AR121" s="4">
        <f>VLOOKUP(B121,Allocation!$D$10:$P$235,13,FALSE)</f>
        <v>1.1183485565253894</v>
      </c>
      <c r="AS121" s="4">
        <f t="shared" si="265"/>
        <v>0.95</v>
      </c>
      <c r="AT121" s="4" t="str">
        <f t="shared" si="266"/>
        <v/>
      </c>
      <c r="AU121" s="31" t="str">
        <f t="shared" si="267"/>
        <v/>
      </c>
      <c r="AV121" s="31" t="str">
        <f t="shared" si="268"/>
        <v/>
      </c>
      <c r="AW121" s="31">
        <f t="shared" si="269"/>
        <v>92330.464225728443</v>
      </c>
      <c r="AX121" s="4">
        <f t="shared" si="270"/>
        <v>1.0349770051497322</v>
      </c>
      <c r="AY121" s="4" t="str">
        <f t="shared" si="271"/>
        <v/>
      </c>
      <c r="AZ121" s="174" t="str">
        <f>IFERROR(IF(VLOOKUP(A121,#REF!,11,FALSE)=0,"",VLOOKUP(A121,#REF!,11,FALSE)),"")</f>
        <v/>
      </c>
      <c r="BA121" s="31" t="str">
        <f t="shared" si="272"/>
        <v/>
      </c>
      <c r="BB121" s="31">
        <f t="shared" si="273"/>
        <v>92330.464225728443</v>
      </c>
      <c r="BD121" s="31">
        <f>IFERROR(VLOOKUP(A121,'Title II Hold Harmless'!A$1:B$439,2, FALSE),"")</f>
        <v>10600</v>
      </c>
      <c r="BE121" s="31">
        <f t="shared" si="274"/>
        <v>11786.008882342643</v>
      </c>
      <c r="BF121" s="31">
        <f t="shared" si="275"/>
        <v>11797.412549238352</v>
      </c>
      <c r="BG121" s="31" t="str">
        <f t="shared" si="276"/>
        <v/>
      </c>
      <c r="BH121" s="31">
        <f t="shared" si="277"/>
        <v>11797.412549238352</v>
      </c>
    </row>
    <row r="122" spans="1:60" x14ac:dyDescent="0.3">
      <c r="A122" s="1">
        <v>70447000</v>
      </c>
      <c r="B122">
        <f>VLOOKUP(C122,'NCES ID'!$A$2:$B$3136,2,FALSE)</f>
        <v>400840</v>
      </c>
      <c r="C122">
        <f>VLOOKUP(A122,'State ID'!$A$2:$B$713,2,FALSE)</f>
        <v>4274</v>
      </c>
      <c r="D122" s="147" t="s">
        <v>52</v>
      </c>
      <c r="E122" t="s">
        <v>7</v>
      </c>
      <c r="F122" s="47">
        <f>VLOOKUP(B122,'Formula counts'!$D$9:$L$234,9,FALSE)</f>
        <v>264</v>
      </c>
      <c r="G122" s="47">
        <f>VLOOKUP(B122,'Formula counts'!$D$9:$K$234,8,FALSE)</f>
        <v>87</v>
      </c>
      <c r="H122" s="4">
        <f>VLOOKUP(B122,'Formula counts'!$D$9:$M$234,10,FALSE)</f>
        <v>0.32954545454545453</v>
      </c>
      <c r="I122" s="47">
        <f>VLOOKUP($C122,'Final SEA Counts'!$A$2:$F$709,5,FALSE)</f>
        <v>240</v>
      </c>
      <c r="J122" s="47">
        <f>VLOOKUP($C122,'Final SEA Counts'!$A$2:$F$709,6,FALSE)</f>
        <v>192</v>
      </c>
      <c r="K122" s="24">
        <f t="shared" si="242"/>
        <v>239.36575057064027</v>
      </c>
      <c r="L122" s="24">
        <f t="shared" si="243"/>
        <v>76.425541330747606</v>
      </c>
      <c r="M122" s="4">
        <f t="shared" si="244"/>
        <v>0.31928352802584148</v>
      </c>
      <c r="N122" s="31">
        <f>IFERROR(VLOOKUP($B122,Allocation!$D$10:$O$235,8,FALSE),"")</f>
        <v>68083.955546264289</v>
      </c>
      <c r="O122" s="31">
        <f>IFERROR(VLOOKUP($B122,Allocation!$D$10:$O$235,9,FALSE),"")</f>
        <v>16579.386946745028</v>
      </c>
      <c r="P122" s="31">
        <f>IFERROR(VLOOKUP($B122,Allocation!$D$10:$O$235,10,FALSE),"")</f>
        <v>43547.209966810078</v>
      </c>
      <c r="Q122" s="31">
        <f>IFERROR(VLOOKUP($B122,Allocation!$D$10:$O$235,11,FALSE),"")</f>
        <v>48509.933665124365</v>
      </c>
      <c r="R122" s="31">
        <f>IFERROR(VLOOKUP($B122,Allocation!$D$10:$O$235,12,FALSE),"")</f>
        <v>176720.48612494377</v>
      </c>
      <c r="S122" s="31">
        <f t="shared" si="245"/>
        <v>59886.73738559433</v>
      </c>
      <c r="T122" s="31">
        <f t="shared" si="246"/>
        <v>14590.525116621136</v>
      </c>
      <c r="U122" s="31">
        <f t="shared" si="247"/>
        <v>38313.791646305741</v>
      </c>
      <c r="V122" s="31">
        <f t="shared" si="248"/>
        <v>42705.366572481231</v>
      </c>
      <c r="W122" s="31">
        <f t="shared" si="249"/>
        <v>59886.73738559433</v>
      </c>
      <c r="X122" s="31">
        <f t="shared" si="250"/>
        <v>14590.525116621136</v>
      </c>
      <c r="Y122" s="31">
        <f t="shared" si="251"/>
        <v>38313.791646305741</v>
      </c>
      <c r="Z122" s="31">
        <f t="shared" si="252"/>
        <v>42705.366572481231</v>
      </c>
      <c r="AA122" s="31">
        <f t="shared" si="253"/>
        <v>59911.487128075365</v>
      </c>
      <c r="AB122" s="31">
        <f t="shared" si="254"/>
        <v>15177.791891650784</v>
      </c>
      <c r="AC122" s="31">
        <f t="shared" si="255"/>
        <v>38353.660215905838</v>
      </c>
      <c r="AD122" s="31">
        <f t="shared" si="256"/>
        <v>42742.458407732876</v>
      </c>
      <c r="AE122" s="31">
        <f t="shared" si="257"/>
        <v>156185.39764336485</v>
      </c>
      <c r="AF122" s="31">
        <f>IFERROR(VLOOKUP(A122,'Allocations By Type'!$D$7:$F$491,3,FALSE),"")</f>
        <v>164655.72</v>
      </c>
      <c r="AG122" s="31" t="str">
        <f t="shared" si="258"/>
        <v/>
      </c>
      <c r="AH122" s="31" t="str">
        <f t="shared" si="259"/>
        <v/>
      </c>
      <c r="AI122" s="31">
        <f t="shared" si="260"/>
        <v>156185.39764336485</v>
      </c>
      <c r="AJ122" s="31">
        <f>AI122/$AI$577*'State Admin 1004(b)'!$B$30*0.01</f>
        <v>1486.3382253974733</v>
      </c>
      <c r="AK122" s="31">
        <f t="shared" si="261"/>
        <v>154699.05941796736</v>
      </c>
      <c r="AL122" s="31">
        <f t="shared" si="262"/>
        <v>1546.9905941796737</v>
      </c>
      <c r="AM122" s="31">
        <f t="shared" si="263"/>
        <v>153152.0688237877</v>
      </c>
      <c r="AP122" s="31"/>
      <c r="AQ122" s="4">
        <f t="shared" si="264"/>
        <v>0.93013512572650192</v>
      </c>
      <c r="AR122" s="4">
        <f>VLOOKUP(B122,Allocation!$D$10:$P$235,13,FALSE)</f>
        <v>0.95</v>
      </c>
      <c r="AS122" s="4">
        <f t="shared" si="265"/>
        <v>0.95</v>
      </c>
      <c r="AT122" s="4" t="str">
        <f t="shared" si="266"/>
        <v>Review</v>
      </c>
      <c r="AU122" s="31">
        <f t="shared" si="267"/>
        <v>3270.8651762123045</v>
      </c>
      <c r="AV122" s="31">
        <f t="shared" si="268"/>
        <v>156422.93400000001</v>
      </c>
      <c r="AW122" s="31">
        <f t="shared" si="269"/>
        <v>156422.93400000001</v>
      </c>
      <c r="AX122" s="4">
        <f t="shared" si="270"/>
        <v>0.95000000000000007</v>
      </c>
      <c r="AY122" s="4" t="str">
        <f t="shared" si="271"/>
        <v/>
      </c>
      <c r="AZ122" s="174" t="str">
        <f>IFERROR(IF(VLOOKUP(A122,#REF!,11,FALSE)=0,"",VLOOKUP(A122,#REF!,11,FALSE)),"")</f>
        <v/>
      </c>
      <c r="BA122" s="31" t="str">
        <f t="shared" si="272"/>
        <v/>
      </c>
      <c r="BB122" s="31">
        <f t="shared" si="273"/>
        <v>156422.93400000001</v>
      </c>
      <c r="BD122" s="31">
        <f>IFERROR(VLOOKUP(A122,'Title II Hold Harmless'!A$1:B$439,2, FALSE),"")</f>
        <v>9370</v>
      </c>
      <c r="BE122" s="31">
        <f t="shared" si="274"/>
        <v>10563.103247941888</v>
      </c>
      <c r="BF122" s="31">
        <f t="shared" si="275"/>
        <v>10573.32368066233</v>
      </c>
      <c r="BG122" s="31" t="str">
        <f t="shared" si="276"/>
        <v/>
      </c>
      <c r="BH122" s="31">
        <f t="shared" si="277"/>
        <v>10573.32368066233</v>
      </c>
    </row>
    <row r="123" spans="1:60" x14ac:dyDescent="0.3">
      <c r="A123" s="1">
        <v>70375000</v>
      </c>
      <c r="B123">
        <f>VLOOKUP(C123,'NCES ID'!$A$2:$B$3136,2,FALSE)</f>
        <v>405340</v>
      </c>
      <c r="C123">
        <f>VLOOKUP(A123,'State ID'!$A$2:$B$713,2,FALSE)</f>
        <v>4251</v>
      </c>
      <c r="D123" s="147" t="s">
        <v>297</v>
      </c>
      <c r="E123" t="s">
        <v>7</v>
      </c>
      <c r="F123" s="47">
        <f>VLOOKUP(B123,'Formula counts'!$D$9:$L$234,9,FALSE)</f>
        <v>277</v>
      </c>
      <c r="G123" s="47">
        <f>VLOOKUP(B123,'Formula counts'!$D$9:$K$234,8,FALSE)</f>
        <v>39</v>
      </c>
      <c r="H123" s="4">
        <f>VLOOKUP(B123,'Formula counts'!$D$9:$M$234,10,FALSE)</f>
        <v>0.1407942238267148</v>
      </c>
      <c r="I123" s="47">
        <f>VLOOKUP($C123,'Final SEA Counts'!$A$2:$F$709,5,FALSE)</f>
        <v>110</v>
      </c>
      <c r="J123" s="47">
        <f>VLOOKUP($C123,'Final SEA Counts'!$A$2:$F$709,6,FALSE)</f>
        <v>75</v>
      </c>
      <c r="K123" s="24">
        <f t="shared" si="242"/>
        <v>251.15270040934604</v>
      </c>
      <c r="L123" s="24">
        <f t="shared" si="243"/>
        <v>34.259725424128241</v>
      </c>
      <c r="M123" s="4">
        <f t="shared" si="244"/>
        <v>0.13640994251023131</v>
      </c>
      <c r="N123" s="31">
        <f>IFERROR(VLOOKUP($B123,Allocation!$D$10:$O$235,8,FALSE),"")</f>
        <v>24305.834557837479</v>
      </c>
      <c r="O123" s="31">
        <f>IFERROR(VLOOKUP($B123,Allocation!$D$10:$O$235,9,FALSE),"")</f>
        <v>5759.4932824315474</v>
      </c>
      <c r="P123" s="31">
        <f>IFERROR(VLOOKUP($B123,Allocation!$D$10:$O$235,10,FALSE),"")</f>
        <v>8343.8098108177437</v>
      </c>
      <c r="Q123" s="31">
        <f>IFERROR(VLOOKUP($B123,Allocation!$D$10:$O$235,11,FALSE),"")</f>
        <v>5505.4052375095171</v>
      </c>
      <c r="R123" s="31">
        <f>IFERROR(VLOOKUP($B123,Allocation!$D$10:$O$235,12,FALSE),"")</f>
        <v>43914.54288859629</v>
      </c>
      <c r="S123" s="31">
        <f t="shared" si="245"/>
        <v>21379.444237986609</v>
      </c>
      <c r="T123" s="31">
        <f t="shared" si="246"/>
        <v>5068.5849643449155</v>
      </c>
      <c r="U123" s="31">
        <f t="shared" si="247"/>
        <v>7341.0671056015353</v>
      </c>
      <c r="V123" s="31">
        <f t="shared" si="248"/>
        <v>4846.6433786721873</v>
      </c>
      <c r="W123" s="31">
        <f t="shared" si="249"/>
        <v>21379.444237986609</v>
      </c>
      <c r="X123" s="31">
        <f t="shared" si="250"/>
        <v>5068.5849643449155</v>
      </c>
      <c r="Y123" s="31">
        <f t="shared" si="251"/>
        <v>7341.0671056015353</v>
      </c>
      <c r="Z123" s="31">
        <f t="shared" si="252"/>
        <v>4846.6433786721873</v>
      </c>
      <c r="AA123" s="31">
        <f t="shared" si="253"/>
        <v>21404.193980467644</v>
      </c>
      <c r="AB123" s="31">
        <f t="shared" si="254"/>
        <v>5655.8517393745633</v>
      </c>
      <c r="AC123" s="31">
        <f t="shared" si="255"/>
        <v>7380.935675201632</v>
      </c>
      <c r="AD123" s="31">
        <f t="shared" si="256"/>
        <v>4883.7352139238319</v>
      </c>
      <c r="AE123" s="31">
        <f t="shared" si="257"/>
        <v>39324.716608967676</v>
      </c>
      <c r="AF123" s="31">
        <f>IFERROR(VLOOKUP(A123,'Allocations By Type'!$D$7:$F$491,3,FALSE),"")</f>
        <v>43913.98</v>
      </c>
      <c r="AG123" s="31" t="str">
        <f t="shared" si="258"/>
        <v/>
      </c>
      <c r="AH123" s="31" t="str">
        <f t="shared" si="259"/>
        <v/>
      </c>
      <c r="AI123" s="31">
        <f t="shared" si="260"/>
        <v>39324.716608967676</v>
      </c>
      <c r="AJ123" s="31">
        <f>AI123/$AI$577*'State Admin 1004(b)'!$B$30*0.01</f>
        <v>374.23363759201368</v>
      </c>
      <c r="AK123" s="31">
        <f t="shared" si="261"/>
        <v>38950.482971375663</v>
      </c>
      <c r="AL123" s="31">
        <f t="shared" si="262"/>
        <v>389.50482971375664</v>
      </c>
      <c r="AM123" s="31">
        <f t="shared" si="263"/>
        <v>38560.978141661908</v>
      </c>
      <c r="AP123" s="31"/>
      <c r="AQ123" s="4">
        <f t="shared" si="264"/>
        <v>0.87810255735558251</v>
      </c>
      <c r="AR123" s="4">
        <f>VLOOKUP(B123,Allocation!$D$10:$P$235,13,FALSE)</f>
        <v>0.85</v>
      </c>
      <c r="AS123" s="4">
        <f t="shared" si="265"/>
        <v>0.85</v>
      </c>
      <c r="AT123" s="4" t="str">
        <f t="shared" si="266"/>
        <v/>
      </c>
      <c r="AU123" s="31" t="str">
        <f t="shared" si="267"/>
        <v/>
      </c>
      <c r="AV123" s="31" t="str">
        <f t="shared" si="268"/>
        <v/>
      </c>
      <c r="AW123" s="31">
        <f t="shared" si="269"/>
        <v>38437.350221864581</v>
      </c>
      <c r="AX123" s="4">
        <f t="shared" si="270"/>
        <v>0.8752873281325122</v>
      </c>
      <c r="AY123" s="4" t="str">
        <f t="shared" si="271"/>
        <v/>
      </c>
      <c r="AZ123" s="174" t="str">
        <f>IFERROR(IF(VLOOKUP(A123,#REF!,11,FALSE)=0,"",VLOOKUP(A123,#REF!,11,FALSE)),"")</f>
        <v/>
      </c>
      <c r="BA123" s="31" t="str">
        <f t="shared" si="272"/>
        <v/>
      </c>
      <c r="BB123" s="31">
        <f t="shared" si="273"/>
        <v>38437.350221864581</v>
      </c>
      <c r="BD123" s="31">
        <f>IFERROR(VLOOKUP(A123,'Title II Hold Harmless'!A$1:B$439,2, FALSE),"")</f>
        <v>2507</v>
      </c>
      <c r="BE123" s="31">
        <f t="shared" si="274"/>
        <v>3157.6104760182425</v>
      </c>
      <c r="BF123" s="31">
        <f t="shared" si="275"/>
        <v>3160.6656525766834</v>
      </c>
      <c r="BG123" s="31" t="str">
        <f t="shared" si="276"/>
        <v/>
      </c>
      <c r="BH123" s="31">
        <f t="shared" si="277"/>
        <v>3160.6656525766834</v>
      </c>
    </row>
    <row r="124" spans="1:60" x14ac:dyDescent="0.3">
      <c r="A124" s="1">
        <v>70449000</v>
      </c>
      <c r="B124">
        <f>VLOOKUP(C124,'NCES ID'!$A$2:$B$3136,2,FALSE)</f>
        <v>405850</v>
      </c>
      <c r="C124">
        <f>VLOOKUP(A124,'State ID'!$A$2:$B$713,2,FALSE)</f>
        <v>4275</v>
      </c>
      <c r="D124" s="147" t="s">
        <v>317</v>
      </c>
      <c r="E124" t="s">
        <v>7</v>
      </c>
      <c r="F124" s="47">
        <f>VLOOKUP(B124,'Formula counts'!$D$9:$L$234,9,FALSE)</f>
        <v>454</v>
      </c>
      <c r="G124" s="47">
        <f>VLOOKUP(B124,'Formula counts'!$D$9:$K$234,8,FALSE)</f>
        <v>120</v>
      </c>
      <c r="H124" s="4">
        <f>VLOOKUP(B124,'Formula counts'!$D$9:$M$234,10,FALSE)</f>
        <v>0.26431718061674009</v>
      </c>
      <c r="I124" s="47">
        <f>VLOOKUP($C124,'Final SEA Counts'!$A$2:$F$709,5,FALSE)</f>
        <v>472</v>
      </c>
      <c r="J124" s="47">
        <f>VLOOKUP($C124,'Final SEA Counts'!$A$2:$F$709,6,FALSE)</f>
        <v>370</v>
      </c>
      <c r="K124" s="24">
        <f t="shared" si="242"/>
        <v>411.63655590557079</v>
      </c>
      <c r="L124" s="24">
        <f t="shared" si="243"/>
        <v>105.41453976654843</v>
      </c>
      <c r="M124" s="4">
        <f t="shared" si="244"/>
        <v>0.25608643900599165</v>
      </c>
      <c r="N124" s="31">
        <f>IFERROR(VLOOKUP($B124,Allocation!$D$10:$O$235,8,FALSE),"")</f>
        <v>56608.559410585774</v>
      </c>
      <c r="O124" s="31">
        <f>IFERROR(VLOOKUP($B124,Allocation!$D$10:$O$235,9,FALSE),"")</f>
        <v>13424.770273479318</v>
      </c>
      <c r="P124" s="31">
        <f>IFERROR(VLOOKUP($B124,Allocation!$D$10:$O$235,10,FALSE),"")</f>
        <v>24354.501030166917</v>
      </c>
      <c r="Q124" s="31">
        <f>IFERROR(VLOOKUP($B124,Allocation!$D$10:$O$235,11,FALSE),"")</f>
        <v>19723.717325603582</v>
      </c>
      <c r="R124" s="31">
        <f>IFERROR(VLOOKUP($B124,Allocation!$D$10:$O$235,12,FALSE),"")</f>
        <v>114111.54803983559</v>
      </c>
      <c r="S124" s="31">
        <f t="shared" si="245"/>
        <v>49792.96376067528</v>
      </c>
      <c r="T124" s="31">
        <f t="shared" si="246"/>
        <v>11814.335987768482</v>
      </c>
      <c r="U124" s="31">
        <f t="shared" si="247"/>
        <v>21427.624842802445</v>
      </c>
      <c r="V124" s="31">
        <f t="shared" si="248"/>
        <v>17363.630805528555</v>
      </c>
      <c r="W124" s="31">
        <f t="shared" si="249"/>
        <v>49792.96376067528</v>
      </c>
      <c r="X124" s="31">
        <f t="shared" si="250"/>
        <v>11814.335987768482</v>
      </c>
      <c r="Y124" s="31">
        <f t="shared" si="251"/>
        <v>21427.624842802445</v>
      </c>
      <c r="Z124" s="31">
        <f t="shared" si="252"/>
        <v>17363.630805528555</v>
      </c>
      <c r="AA124" s="31">
        <f t="shared" si="253"/>
        <v>49817.713503156316</v>
      </c>
      <c r="AB124" s="31">
        <f t="shared" si="254"/>
        <v>12401.602762798129</v>
      </c>
      <c r="AC124" s="31">
        <f t="shared" si="255"/>
        <v>21467.493412402542</v>
      </c>
      <c r="AD124" s="31">
        <f t="shared" si="256"/>
        <v>17400.722640780201</v>
      </c>
      <c r="AE124" s="31">
        <f t="shared" si="257"/>
        <v>101087.53231913719</v>
      </c>
      <c r="AF124" s="31">
        <f>IFERROR(VLOOKUP(A124,'Allocations By Type'!$D$7:$F$491,3,FALSE),"")</f>
        <v>101547.08</v>
      </c>
      <c r="AG124" s="31" t="str">
        <f t="shared" si="258"/>
        <v/>
      </c>
      <c r="AH124" s="31" t="str">
        <f t="shared" si="259"/>
        <v/>
      </c>
      <c r="AI124" s="31">
        <f t="shared" si="260"/>
        <v>101087.53231913719</v>
      </c>
      <c r="AJ124" s="31">
        <f>AI124/$AI$577*'State Admin 1004(b)'!$B$30*0.01</f>
        <v>961.99942929440124</v>
      </c>
      <c r="AK124" s="31">
        <f t="shared" si="261"/>
        <v>100125.53288984278</v>
      </c>
      <c r="AL124" s="31">
        <f t="shared" si="262"/>
        <v>1001.2553288984278</v>
      </c>
      <c r="AM124" s="31">
        <f t="shared" si="263"/>
        <v>99124.277560944349</v>
      </c>
      <c r="AP124" s="31"/>
      <c r="AQ124" s="4">
        <f t="shared" si="264"/>
        <v>0.97614109200327914</v>
      </c>
      <c r="AR124" s="4">
        <f>VLOOKUP(B124,Allocation!$D$10:$P$235,13,FALSE)</f>
        <v>0.99379980914842492</v>
      </c>
      <c r="AS124" s="4">
        <f t="shared" si="265"/>
        <v>0.9</v>
      </c>
      <c r="AT124" s="4" t="str">
        <f t="shared" si="266"/>
        <v/>
      </c>
      <c r="AU124" s="31" t="str">
        <f t="shared" si="267"/>
        <v/>
      </c>
      <c r="AV124" s="31" t="str">
        <f t="shared" si="268"/>
        <v/>
      </c>
      <c r="AW124" s="31">
        <f t="shared" si="269"/>
        <v>98806.481466891622</v>
      </c>
      <c r="AX124" s="4">
        <f t="shared" si="270"/>
        <v>0.97301154761802722</v>
      </c>
      <c r="AY124" s="4" t="str">
        <f t="shared" si="271"/>
        <v/>
      </c>
      <c r="AZ124" s="174" t="str">
        <f>IFERROR(IF(VLOOKUP(A124,#REF!,11,FALSE)=0,"",VLOOKUP(A124,#REF!,11,FALSE)),"")</f>
        <v/>
      </c>
      <c r="BA124" s="31" t="str">
        <f t="shared" si="272"/>
        <v/>
      </c>
      <c r="BB124" s="31">
        <f t="shared" si="273"/>
        <v>98806.481466891622</v>
      </c>
      <c r="BD124" s="31">
        <f>IFERROR(VLOOKUP(A124,'Title II Hold Harmless'!A$1:B$439,2, FALSE),"")</f>
        <v>15250</v>
      </c>
      <c r="BE124" s="31">
        <f t="shared" si="274"/>
        <v>16961.232236110984</v>
      </c>
      <c r="BF124" s="31">
        <f t="shared" si="275"/>
        <v>16977.643240420606</v>
      </c>
      <c r="BG124" s="31" t="str">
        <f t="shared" si="276"/>
        <v/>
      </c>
      <c r="BH124" s="31">
        <f t="shared" si="277"/>
        <v>16977.643240420606</v>
      </c>
    </row>
    <row r="125" spans="1:60" x14ac:dyDescent="0.3">
      <c r="A125" s="1">
        <v>70224000</v>
      </c>
      <c r="B125">
        <f>VLOOKUP(C125,'NCES ID'!$A$2:$B$3136,2,FALSE)</f>
        <v>403310</v>
      </c>
      <c r="C125">
        <f>VLOOKUP(A125,'State ID'!$A$2:$B$713,2,FALSE)</f>
        <v>4238</v>
      </c>
      <c r="D125" s="147" t="s">
        <v>180</v>
      </c>
      <c r="E125" t="s">
        <v>7</v>
      </c>
      <c r="F125" s="47">
        <f>VLOOKUP(B125,'Formula counts'!$D$9:$L$234,9,FALSE)</f>
        <v>519</v>
      </c>
      <c r="G125" s="47">
        <f>VLOOKUP(B125,'Formula counts'!$D$9:$K$234,8,FALSE)</f>
        <v>146</v>
      </c>
      <c r="H125" s="4">
        <f>VLOOKUP(B125,'Formula counts'!$D$9:$M$234,10,FALSE)</f>
        <v>0.2813102119460501</v>
      </c>
      <c r="I125" s="47">
        <f>VLOOKUP($C125,'Final SEA Counts'!$A$2:$F$709,5,FALSE)</f>
        <v>377</v>
      </c>
      <c r="J125" s="47">
        <f>VLOOKUP($C125,'Final SEA Counts'!$A$2:$F$709,6,FALSE)</f>
        <v>305</v>
      </c>
      <c r="K125" s="24">
        <f t="shared" si="242"/>
        <v>470.57130509909962</v>
      </c>
      <c r="L125" s="24">
        <f t="shared" si="243"/>
        <v>128.25435671596725</v>
      </c>
      <c r="M125" s="4">
        <f t="shared" si="244"/>
        <v>0.27255031347259395</v>
      </c>
      <c r="N125" s="31">
        <f>IFERROR(VLOOKUP($B125,Allocation!$D$10:$O$235,8,FALSE),"")</f>
        <v>109013.10750264223</v>
      </c>
      <c r="O125" s="31">
        <f>IFERROR(VLOOKUP($B125,Allocation!$D$10:$O$235,9,FALSE),"")</f>
        <v>23852.921319365727</v>
      </c>
      <c r="P125" s="31">
        <f>IFERROR(VLOOKUP($B125,Allocation!$D$10:$O$235,10,FALSE),"")</f>
        <v>43528.696170785086</v>
      </c>
      <c r="Q125" s="31">
        <f>IFERROR(VLOOKUP($B125,Allocation!$D$10:$O$235,11,FALSE),"")</f>
        <v>41675.134830841635</v>
      </c>
      <c r="R125" s="31">
        <f>IFERROR(VLOOKUP($B125,Allocation!$D$10:$O$235,12,FALSE),"")</f>
        <v>218069.85982363467</v>
      </c>
      <c r="S125" s="31">
        <f t="shared" si="245"/>
        <v>95888.073602922566</v>
      </c>
      <c r="T125" s="31">
        <f t="shared" si="246"/>
        <v>20991.52693238276</v>
      </c>
      <c r="U125" s="31">
        <f t="shared" si="247"/>
        <v>38297.502801991162</v>
      </c>
      <c r="V125" s="31">
        <f t="shared" si="248"/>
        <v>36688.401229214709</v>
      </c>
      <c r="W125" s="31">
        <f t="shared" si="249"/>
        <v>95888.073602922566</v>
      </c>
      <c r="X125" s="31">
        <f t="shared" si="250"/>
        <v>20991.52693238276</v>
      </c>
      <c r="Y125" s="31">
        <f t="shared" si="251"/>
        <v>38297.502801991162</v>
      </c>
      <c r="Z125" s="31">
        <f t="shared" si="252"/>
        <v>36688.401229214709</v>
      </c>
      <c r="AA125" s="31">
        <f t="shared" si="253"/>
        <v>95912.823345403594</v>
      </c>
      <c r="AB125" s="31">
        <f t="shared" si="254"/>
        <v>21578.793707412409</v>
      </c>
      <c r="AC125" s="31">
        <f t="shared" si="255"/>
        <v>38337.37137159126</v>
      </c>
      <c r="AD125" s="31">
        <f t="shared" si="256"/>
        <v>36725.493064466355</v>
      </c>
      <c r="AE125" s="31">
        <f t="shared" si="257"/>
        <v>192554.4814888736</v>
      </c>
      <c r="AF125" s="31">
        <f>IFERROR(VLOOKUP(A125,'Allocations By Type'!$D$7:$F$491,3,FALSE),"")</f>
        <v>218261.47</v>
      </c>
      <c r="AG125" s="31" t="str">
        <f t="shared" si="258"/>
        <v/>
      </c>
      <c r="AH125" s="31" t="str">
        <f t="shared" si="259"/>
        <v/>
      </c>
      <c r="AI125" s="31">
        <f t="shared" si="260"/>
        <v>192554.4814888736</v>
      </c>
      <c r="AJ125" s="31">
        <f>AI125/$AI$577*'State Admin 1004(b)'!$B$30*0.01</f>
        <v>1832.4445859017958</v>
      </c>
      <c r="AK125" s="31">
        <f t="shared" si="261"/>
        <v>190722.0369029718</v>
      </c>
      <c r="AL125" s="31">
        <f t="shared" si="262"/>
        <v>1907.2203690297181</v>
      </c>
      <c r="AM125" s="31">
        <f t="shared" si="263"/>
        <v>188814.81653394207</v>
      </c>
      <c r="AP125" s="31"/>
      <c r="AQ125" s="4">
        <f t="shared" si="264"/>
        <v>0.86508542499022878</v>
      </c>
      <c r="AR125" s="4">
        <f>VLOOKUP(B125,Allocation!$D$10:$P$235,13,FALSE)</f>
        <v>0.89999999999999991</v>
      </c>
      <c r="AS125" s="4">
        <f t="shared" si="265"/>
        <v>0.9</v>
      </c>
      <c r="AT125" s="4" t="str">
        <f t="shared" si="266"/>
        <v>Review</v>
      </c>
      <c r="AU125" s="31">
        <f t="shared" si="267"/>
        <v>7620.5064660579374</v>
      </c>
      <c r="AV125" s="31">
        <f t="shared" si="268"/>
        <v>196435.323</v>
      </c>
      <c r="AW125" s="31">
        <f t="shared" si="269"/>
        <v>196435.323</v>
      </c>
      <c r="AX125" s="4">
        <f t="shared" si="270"/>
        <v>0.9</v>
      </c>
      <c r="AY125" s="4" t="str">
        <f t="shared" si="271"/>
        <v/>
      </c>
      <c r="AZ125" s="174" t="str">
        <f>IFERROR(IF(VLOOKUP(A125,#REF!,11,FALSE)=0,"",VLOOKUP(A125,#REF!,11,FALSE)),"")</f>
        <v/>
      </c>
      <c r="BA125" s="31" t="str">
        <f t="shared" si="272"/>
        <v/>
      </c>
      <c r="BB125" s="31">
        <f t="shared" si="273"/>
        <v>196435.323</v>
      </c>
      <c r="BD125" s="31">
        <f>IFERROR(VLOOKUP(A125,'Title II Hold Harmless'!A$1:B$439,2, FALSE),"")</f>
        <v>32922</v>
      </c>
      <c r="BE125" s="31">
        <f t="shared" si="274"/>
        <v>34979.651477771404</v>
      </c>
      <c r="BF125" s="31">
        <f t="shared" si="275"/>
        <v>35013.496377903633</v>
      </c>
      <c r="BG125" s="31" t="str">
        <f t="shared" si="276"/>
        <v/>
      </c>
      <c r="BH125" s="31">
        <f t="shared" si="277"/>
        <v>35013.496377903633</v>
      </c>
    </row>
    <row r="126" spans="1:60" x14ac:dyDescent="0.3">
      <c r="A126" s="1">
        <v>70407000</v>
      </c>
      <c r="B126">
        <f>VLOOKUP(C126,'NCES ID'!$A$2:$B$3136,2,FALSE)</f>
        <v>409390</v>
      </c>
      <c r="C126">
        <f>VLOOKUP(A126,'State ID'!$A$2:$B$713,2,FALSE)</f>
        <v>4261</v>
      </c>
      <c r="D126" s="147" t="s">
        <v>445</v>
      </c>
      <c r="E126" t="s">
        <v>7</v>
      </c>
      <c r="F126" s="47">
        <f>VLOOKUP(B126,'Formula counts'!$D$9:$L$234,9,FALSE)</f>
        <v>608</v>
      </c>
      <c r="G126" s="47">
        <f>VLOOKUP(B126,'Formula counts'!$D$9:$K$234,8,FALSE)</f>
        <v>366</v>
      </c>
      <c r="H126" s="4">
        <f>VLOOKUP(B126,'Formula counts'!$D$9:$M$234,10,FALSE)</f>
        <v>0.60197368421052633</v>
      </c>
      <c r="I126" s="47">
        <f>VLOOKUP($C126,'Final SEA Counts'!$A$2:$F$709,5,FALSE)</f>
        <v>1240</v>
      </c>
      <c r="J126" s="47">
        <f>VLOOKUP($C126,'Final SEA Counts'!$A$2:$F$709,6,FALSE)</f>
        <v>1052</v>
      </c>
      <c r="K126" s="24">
        <f t="shared" si="242"/>
        <v>551.26657707177753</v>
      </c>
      <c r="L126" s="24">
        <f t="shared" si="243"/>
        <v>321.51434628797273</v>
      </c>
      <c r="M126" s="4">
        <f t="shared" si="244"/>
        <v>0.58322844094012616</v>
      </c>
      <c r="N126" s="31">
        <f>IFERROR(VLOOKUP($B126,Allocation!$D$10:$O$235,8,FALSE),"")</f>
        <v>271650.46575663157</v>
      </c>
      <c r="O126" s="31">
        <f>IFERROR(VLOOKUP($B126,Allocation!$D$10:$O$235,9,FALSE),"")</f>
        <v>66254.398468317828</v>
      </c>
      <c r="P126" s="31">
        <f>IFERROR(VLOOKUP($B126,Allocation!$D$10:$O$235,10,FALSE),"")</f>
        <v>191133.95576214735</v>
      </c>
      <c r="Q126" s="31">
        <f>IFERROR(VLOOKUP($B126,Allocation!$D$10:$O$235,11,FALSE),"")</f>
        <v>220759.78345148161</v>
      </c>
      <c r="R126" s="31">
        <f>IFERROR(VLOOKUP($B126,Allocation!$D$10:$O$235,12,FALSE),"")</f>
        <v>749798.60343857831</v>
      </c>
      <c r="S126" s="31">
        <f t="shared" si="245"/>
        <v>238944.10912108654</v>
      </c>
      <c r="T126" s="31">
        <f t="shared" si="246"/>
        <v>58306.526534649842</v>
      </c>
      <c r="U126" s="31">
        <f t="shared" si="247"/>
        <v>168163.85167239135</v>
      </c>
      <c r="V126" s="31">
        <f t="shared" si="248"/>
        <v>194344.26651329309</v>
      </c>
      <c r="W126" s="31">
        <f t="shared" si="249"/>
        <v>238944.10912108654</v>
      </c>
      <c r="X126" s="31">
        <f t="shared" si="250"/>
        <v>58306.526534649842</v>
      </c>
      <c r="Y126" s="31">
        <f t="shared" si="251"/>
        <v>168163.85167239135</v>
      </c>
      <c r="Z126" s="31">
        <f t="shared" si="252"/>
        <v>194344.26651329309</v>
      </c>
      <c r="AA126" s="31">
        <f t="shared" si="253"/>
        <v>238968.85886356758</v>
      </c>
      <c r="AB126" s="31">
        <f t="shared" si="254"/>
        <v>58893.793309679488</v>
      </c>
      <c r="AC126" s="31">
        <f t="shared" si="255"/>
        <v>168203.72024199145</v>
      </c>
      <c r="AD126" s="31">
        <f t="shared" si="256"/>
        <v>194381.35834854472</v>
      </c>
      <c r="AE126" s="31">
        <f t="shared" si="257"/>
        <v>660447.73076378321</v>
      </c>
      <c r="AF126" s="31">
        <f>IFERROR(VLOOKUP(A126,'Allocations By Type'!$D$7:$F$491,3,FALSE),"")</f>
        <v>698396.33</v>
      </c>
      <c r="AG126" s="31" t="str">
        <f t="shared" si="258"/>
        <v/>
      </c>
      <c r="AH126" s="31" t="str">
        <f t="shared" si="259"/>
        <v/>
      </c>
      <c r="AI126" s="31">
        <f t="shared" si="260"/>
        <v>660447.73076378321</v>
      </c>
      <c r="AJ126" s="31">
        <f>AI126/$AI$577*'State Admin 1004(b)'!$B$30*0.01</f>
        <v>6285.1503592719682</v>
      </c>
      <c r="AK126" s="31">
        <f t="shared" si="261"/>
        <v>654162.58040451119</v>
      </c>
      <c r="AL126" s="31">
        <f t="shared" si="262"/>
        <v>6541.6258040451121</v>
      </c>
      <c r="AM126" s="31">
        <f t="shared" si="263"/>
        <v>647620.95460046607</v>
      </c>
      <c r="AP126" s="31"/>
      <c r="AQ126" s="4">
        <f t="shared" si="264"/>
        <v>0.92729719040829739</v>
      </c>
      <c r="AR126" s="4">
        <f>VLOOKUP(B126,Allocation!$D$10:$P$235,13,FALSE)</f>
        <v>0.95</v>
      </c>
      <c r="AS126" s="4">
        <f t="shared" si="265"/>
        <v>0.95</v>
      </c>
      <c r="AT126" s="4" t="str">
        <f t="shared" si="266"/>
        <v>Review</v>
      </c>
      <c r="AU126" s="31">
        <f t="shared" si="267"/>
        <v>15855.558899533935</v>
      </c>
      <c r="AV126" s="31">
        <f t="shared" si="268"/>
        <v>663476.5135</v>
      </c>
      <c r="AW126" s="31">
        <f t="shared" si="269"/>
        <v>663476.5135</v>
      </c>
      <c r="AX126" s="4">
        <f t="shared" si="270"/>
        <v>0.95000000000000007</v>
      </c>
      <c r="AY126" s="4" t="str">
        <f t="shared" si="271"/>
        <v/>
      </c>
      <c r="AZ126" s="174" t="str">
        <f>IFERROR(IF(VLOOKUP(A126,#REF!,11,FALSE)=0,"",VLOOKUP(A126,#REF!,11,FALSE)),"")</f>
        <v/>
      </c>
      <c r="BA126" s="31" t="str">
        <f t="shared" si="272"/>
        <v/>
      </c>
      <c r="BB126" s="31">
        <f t="shared" si="273"/>
        <v>663476.5135</v>
      </c>
      <c r="BD126" s="31">
        <f>IFERROR(VLOOKUP(A126,'Title II Hold Harmless'!A$1:B$439,2, FALSE),"")</f>
        <v>82482</v>
      </c>
      <c r="BE126" s="31">
        <f t="shared" si="274"/>
        <v>87134.498324445463</v>
      </c>
      <c r="BF126" s="31">
        <f t="shared" si="275"/>
        <v>87218.80615111826</v>
      </c>
      <c r="BG126" s="31" t="str">
        <f t="shared" si="276"/>
        <v/>
      </c>
      <c r="BH126" s="31">
        <f t="shared" si="277"/>
        <v>87218.80615111826</v>
      </c>
    </row>
    <row r="127" spans="1:60" x14ac:dyDescent="0.3">
      <c r="A127" s="1">
        <v>70402000</v>
      </c>
      <c r="B127">
        <f>VLOOKUP(C127,'NCES ID'!$A$2:$B$3136,2,FALSE)</f>
        <v>407020</v>
      </c>
      <c r="C127">
        <f>VLOOKUP(A127,'State ID'!$A$2:$B$713,2,FALSE)</f>
        <v>4257</v>
      </c>
      <c r="D127" s="147" t="s">
        <v>360</v>
      </c>
      <c r="E127" t="s">
        <v>7</v>
      </c>
      <c r="F127" s="47">
        <f>VLOOKUP(B127,'Formula counts'!$D$9:$L$234,9,FALSE)</f>
        <v>1331</v>
      </c>
      <c r="G127" s="47">
        <f>VLOOKUP(B127,'Formula counts'!$D$9:$K$234,8,FALSE)</f>
        <v>385</v>
      </c>
      <c r="H127" s="4">
        <f>VLOOKUP(B127,'Formula counts'!$D$9:$M$234,10,FALSE)</f>
        <v>0.28925619834710742</v>
      </c>
      <c r="I127" s="47">
        <f>VLOOKUP($C127,'Final SEA Counts'!$A$2:$F$709,5,FALSE)</f>
        <v>894</v>
      </c>
      <c r="J127" s="47">
        <f>VLOOKUP($C127,'Final SEA Counts'!$A$2:$F$709,6,FALSE)</f>
        <v>797</v>
      </c>
      <c r="K127" s="24">
        <f t="shared" si="242"/>
        <v>1206.8023257936445</v>
      </c>
      <c r="L127" s="24">
        <f t="shared" si="243"/>
        <v>338.20498175100954</v>
      </c>
      <c r="M127" s="4">
        <f t="shared" si="244"/>
        <v>0.28024886472487659</v>
      </c>
      <c r="N127" s="31">
        <f>IFERROR(VLOOKUP($B127,Allocation!$D$10:$O$235,8,FALSE),"")</f>
        <v>181619.12810896264</v>
      </c>
      <c r="O127" s="31">
        <f>IFERROR(VLOOKUP($B127,Allocation!$D$10:$O$235,9,FALSE),"")</f>
        <v>43071.137960746164</v>
      </c>
      <c r="P127" s="31">
        <f>IFERROR(VLOOKUP($B127,Allocation!$D$10:$O$235,10,FALSE),"")</f>
        <v>83173.702721849113</v>
      </c>
      <c r="Q127" s="31">
        <f>IFERROR(VLOOKUP($B127,Allocation!$D$10:$O$235,11,FALSE),"")</f>
        <v>67071.912293963222</v>
      </c>
      <c r="R127" s="31">
        <f>IFERROR(VLOOKUP($B127,Allocation!$D$10:$O$235,12,FALSE),"")</f>
        <v>374935.88108552119</v>
      </c>
      <c r="S127" s="31">
        <f t="shared" si="245"/>
        <v>159752.42539883315</v>
      </c>
      <c r="T127" s="31">
        <f t="shared" si="246"/>
        <v>37904.327960757226</v>
      </c>
      <c r="U127" s="31">
        <f t="shared" si="247"/>
        <v>73178.050188874869</v>
      </c>
      <c r="V127" s="31">
        <f t="shared" si="248"/>
        <v>59046.269182806282</v>
      </c>
      <c r="W127" s="31">
        <f t="shared" si="249"/>
        <v>159752.42539883315</v>
      </c>
      <c r="X127" s="31">
        <f t="shared" si="250"/>
        <v>37904.327960757226</v>
      </c>
      <c r="Y127" s="31">
        <f t="shared" si="251"/>
        <v>73178.050188874869</v>
      </c>
      <c r="Z127" s="31">
        <f t="shared" si="252"/>
        <v>59046.269182806282</v>
      </c>
      <c r="AA127" s="31">
        <f t="shared" si="253"/>
        <v>159777.17514131419</v>
      </c>
      <c r="AB127" s="31">
        <f t="shared" si="254"/>
        <v>38491.594735786872</v>
      </c>
      <c r="AC127" s="31">
        <f t="shared" si="255"/>
        <v>73217.91875847496</v>
      </c>
      <c r="AD127" s="31">
        <f t="shared" si="256"/>
        <v>59083.361018057927</v>
      </c>
      <c r="AE127" s="31">
        <f t="shared" si="257"/>
        <v>330570.04965363396</v>
      </c>
      <c r="AF127" s="31">
        <f>IFERROR(VLOOKUP(A127,'Allocations By Type'!$D$7:$F$491,3,FALSE),"")</f>
        <v>303936.27</v>
      </c>
      <c r="AG127" s="31">
        <f t="shared" si="258"/>
        <v>13222.801986145359</v>
      </c>
      <c r="AH127" s="31">
        <f t="shared" si="259"/>
        <v>13222.801986145359</v>
      </c>
      <c r="AI127" s="31">
        <f t="shared" si="260"/>
        <v>317347.24766748858</v>
      </c>
      <c r="AJ127" s="31">
        <f>AI127/$AI$577*'State Admin 1004(b)'!$B$30*0.01</f>
        <v>3020.034856330923</v>
      </c>
      <c r="AK127" s="31">
        <f t="shared" si="261"/>
        <v>314327.21281115769</v>
      </c>
      <c r="AL127" s="31">
        <f t="shared" si="262"/>
        <v>3143.2721281115769</v>
      </c>
      <c r="AM127" s="31">
        <f t="shared" si="263"/>
        <v>311183.94068304612</v>
      </c>
      <c r="AP127" s="31"/>
      <c r="AQ127" s="4">
        <f t="shared" si="264"/>
        <v>1.0238460210196239</v>
      </c>
      <c r="AR127" s="4">
        <f>VLOOKUP(B127,Allocation!$D$10:$P$235,13,FALSE)</f>
        <v>1.0419880887595476</v>
      </c>
      <c r="AS127" s="4">
        <f t="shared" si="265"/>
        <v>0.9</v>
      </c>
      <c r="AT127" s="4" t="str">
        <f t="shared" si="266"/>
        <v/>
      </c>
      <c r="AU127" s="31" t="str">
        <f t="shared" si="267"/>
        <v/>
      </c>
      <c r="AV127" s="31" t="str">
        <f t="shared" si="268"/>
        <v/>
      </c>
      <c r="AW127" s="31">
        <f t="shared" si="269"/>
        <v>310186.27347866015</v>
      </c>
      <c r="AX127" s="4">
        <f t="shared" si="270"/>
        <v>1.0205635328704274</v>
      </c>
      <c r="AY127" s="4" t="str">
        <f t="shared" si="271"/>
        <v/>
      </c>
      <c r="AZ127" s="174" t="str">
        <f>IFERROR(IF(VLOOKUP(A127,#REF!,11,FALSE)=0,"",VLOOKUP(A127,#REF!,11,FALSE)),"")</f>
        <v/>
      </c>
      <c r="BA127" s="31" t="str">
        <f t="shared" si="272"/>
        <v/>
      </c>
      <c r="BB127" s="31">
        <f t="shared" si="273"/>
        <v>310186.27347866015</v>
      </c>
      <c r="BD127" s="31">
        <f>IFERROR(VLOOKUP(A127,'Title II Hold Harmless'!A$1:B$439,2, FALSE),"")</f>
        <v>12175</v>
      </c>
      <c r="BE127" s="31">
        <f t="shared" si="274"/>
        <v>17573.564941558896</v>
      </c>
      <c r="BF127" s="31">
        <f t="shared" si="275"/>
        <v>17590.568414300535</v>
      </c>
      <c r="BG127" s="31" t="str">
        <f t="shared" si="276"/>
        <v/>
      </c>
      <c r="BH127" s="31">
        <f t="shared" si="277"/>
        <v>17590.568414300535</v>
      </c>
    </row>
    <row r="128" spans="1:60" x14ac:dyDescent="0.3">
      <c r="A128" s="1">
        <v>70209000</v>
      </c>
      <c r="B128">
        <f>VLOOKUP(C128,'NCES ID'!$A$2:$B$3136,2,FALSE)</f>
        <v>409190</v>
      </c>
      <c r="C128">
        <f>VLOOKUP(A128,'State ID'!$A$2:$B$713,2,FALSE)</f>
        <v>4236</v>
      </c>
      <c r="D128" s="147" t="s">
        <v>442</v>
      </c>
      <c r="E128" t="s">
        <v>7</v>
      </c>
      <c r="F128" s="47">
        <f>VLOOKUP(B128,'Formula counts'!$D$9:$L$234,9,FALSE)</f>
        <v>1402</v>
      </c>
      <c r="G128" s="47">
        <f>VLOOKUP(B128,'Formula counts'!$D$9:$K$234,8,FALSE)</f>
        <v>386</v>
      </c>
      <c r="H128" s="4">
        <f>VLOOKUP(B128,'Formula counts'!$D$9:$M$234,10,FALSE)</f>
        <v>0.27532097004279599</v>
      </c>
      <c r="I128" s="47">
        <f>VLOOKUP($C128,'Final SEA Counts'!$A$2:$F$709,5,FALSE)</f>
        <v>1355</v>
      </c>
      <c r="J128" s="47">
        <f>VLOOKUP($C128,'Final SEA Counts'!$A$2:$F$709,6,FALSE)</f>
        <v>759</v>
      </c>
      <c r="K128" s="24">
        <f t="shared" si="242"/>
        <v>1271.1772056819609</v>
      </c>
      <c r="L128" s="24">
        <f t="shared" si="243"/>
        <v>339.08343624906411</v>
      </c>
      <c r="M128" s="4">
        <f t="shared" si="244"/>
        <v>0.26674757440065383</v>
      </c>
      <c r="N128" s="31">
        <f>IFERROR(VLOOKUP($B128,Allocation!$D$10:$O$235,8,FALSE),"")</f>
        <v>183054.75779896966</v>
      </c>
      <c r="O128" s="31">
        <f>IFERROR(VLOOKUP($B128,Allocation!$D$10:$O$235,9,FALSE),"")</f>
        <v>43376.525309242548</v>
      </c>
      <c r="P128" s="31">
        <f>IFERROR(VLOOKUP($B128,Allocation!$D$10:$O$235,10,FALSE),"")</f>
        <v>82642.447111801099</v>
      </c>
      <c r="Q128" s="31">
        <f>IFERROR(VLOOKUP($B128,Allocation!$D$10:$O$235,11,FALSE),"")</f>
        <v>64204.005468634474</v>
      </c>
      <c r="R128" s="31">
        <f>IFERROR(VLOOKUP($B128,Allocation!$D$10:$O$235,12,FALSE),"")</f>
        <v>373277.73568864778</v>
      </c>
      <c r="S128" s="31">
        <f t="shared" si="245"/>
        <v>161015.20717375501</v>
      </c>
      <c r="T128" s="31">
        <f t="shared" si="246"/>
        <v>38173.081069231463</v>
      </c>
      <c r="U128" s="31">
        <f t="shared" si="247"/>
        <v>72710.639836527975</v>
      </c>
      <c r="V128" s="31">
        <f t="shared" si="248"/>
        <v>56521.528309795423</v>
      </c>
      <c r="W128" s="31">
        <f t="shared" si="249"/>
        <v>161015.20717375501</v>
      </c>
      <c r="X128" s="31">
        <f t="shared" si="250"/>
        <v>38173.081069231463</v>
      </c>
      <c r="Y128" s="31">
        <f t="shared" si="251"/>
        <v>72710.639836527975</v>
      </c>
      <c r="Z128" s="31">
        <f t="shared" si="252"/>
        <v>56521.528309795423</v>
      </c>
      <c r="AA128" s="31">
        <f t="shared" si="253"/>
        <v>161039.95691623606</v>
      </c>
      <c r="AB128" s="31">
        <f t="shared" si="254"/>
        <v>38760.347844261109</v>
      </c>
      <c r="AC128" s="31">
        <f t="shared" si="255"/>
        <v>72750.508406128065</v>
      </c>
      <c r="AD128" s="31">
        <f t="shared" si="256"/>
        <v>56558.620145047069</v>
      </c>
      <c r="AE128" s="31">
        <f t="shared" si="257"/>
        <v>329109.4333116723</v>
      </c>
      <c r="AF128" s="31">
        <f>IFERROR(VLOOKUP(A128,'Allocations By Type'!$D$7:$F$491,3,FALSE),"")</f>
        <v>348275.31</v>
      </c>
      <c r="AG128" s="31" t="str">
        <f t="shared" si="258"/>
        <v/>
      </c>
      <c r="AH128" s="31" t="str">
        <f t="shared" si="259"/>
        <v/>
      </c>
      <c r="AI128" s="31">
        <f t="shared" si="260"/>
        <v>329109.4333116723</v>
      </c>
      <c r="AJ128" s="31">
        <f>AI128/$AI$577*'State Admin 1004(b)'!$B$30*0.01</f>
        <v>3131.9696876337289</v>
      </c>
      <c r="AK128" s="31">
        <f t="shared" si="261"/>
        <v>325977.46362403856</v>
      </c>
      <c r="AL128" s="31">
        <f t="shared" si="262"/>
        <v>3259.7746362403855</v>
      </c>
      <c r="AM128" s="31">
        <f t="shared" si="263"/>
        <v>322717.68898779817</v>
      </c>
      <c r="AP128" s="31"/>
      <c r="AQ128" s="4">
        <f t="shared" si="264"/>
        <v>0.9266166154235802</v>
      </c>
      <c r="AR128" s="4">
        <f>VLOOKUP(B128,Allocation!$D$10:$P$235,13,FALSE)</f>
        <v>0.90519766636914778</v>
      </c>
      <c r="AS128" s="4">
        <f t="shared" si="265"/>
        <v>0.9</v>
      </c>
      <c r="AT128" s="4" t="str">
        <f t="shared" si="266"/>
        <v/>
      </c>
      <c r="AU128" s="31" t="str">
        <f t="shared" si="267"/>
        <v/>
      </c>
      <c r="AV128" s="31" t="str">
        <f t="shared" si="268"/>
        <v/>
      </c>
      <c r="AW128" s="31">
        <f t="shared" si="269"/>
        <v>321683.04416046018</v>
      </c>
      <c r="AX128" s="4">
        <f t="shared" si="270"/>
        <v>0.92364584833894825</v>
      </c>
      <c r="AY128" s="4" t="str">
        <f t="shared" si="271"/>
        <v/>
      </c>
      <c r="AZ128" s="174" t="str">
        <f>IFERROR(IF(VLOOKUP(A128,#REF!,11,FALSE)=0,"",VLOOKUP(A128,#REF!,11,FALSE)),"")</f>
        <v/>
      </c>
      <c r="BA128" s="31" t="str">
        <f t="shared" si="272"/>
        <v/>
      </c>
      <c r="BB128" s="31">
        <f t="shared" si="273"/>
        <v>321683.04416046018</v>
      </c>
      <c r="BD128" s="31">
        <f>IFERROR(VLOOKUP(A128,'Title II Hold Harmless'!A$1:B$439,2, FALSE),"")</f>
        <v>42445</v>
      </c>
      <c r="BE128" s="31">
        <f t="shared" si="274"/>
        <v>47906.873385435203</v>
      </c>
      <c r="BF128" s="31">
        <f t="shared" si="275"/>
        <v>47953.226144164313</v>
      </c>
      <c r="BG128" s="31" t="str">
        <f t="shared" si="276"/>
        <v/>
      </c>
      <c r="BH128" s="31">
        <f t="shared" si="277"/>
        <v>47953.226144164313</v>
      </c>
    </row>
    <row r="129" spans="1:60" x14ac:dyDescent="0.3">
      <c r="A129" s="1">
        <v>70381000</v>
      </c>
      <c r="B129">
        <f>VLOOKUP(C129,'NCES ID'!$A$2:$B$3136,2,FALSE)</f>
        <v>405460</v>
      </c>
      <c r="C129">
        <f>VLOOKUP(A129,'State ID'!$A$2:$B$713,2,FALSE)</f>
        <v>4252</v>
      </c>
      <c r="D129" s="147" t="s">
        <v>301</v>
      </c>
      <c r="E129" t="s">
        <v>7</v>
      </c>
      <c r="F129" s="47">
        <f>VLOOKUP(B129,'Formula counts'!$D$9:$L$234,9,FALSE)</f>
        <v>1751</v>
      </c>
      <c r="G129" s="47">
        <f>VLOOKUP(B129,'Formula counts'!$D$9:$K$234,8,FALSE)</f>
        <v>271</v>
      </c>
      <c r="H129" s="4">
        <f>VLOOKUP(B129,'Formula counts'!$D$9:$M$234,10,FALSE)</f>
        <v>0.15476870359794404</v>
      </c>
      <c r="I129" s="47">
        <f>VLOOKUP($C129,'Final SEA Counts'!$A$2:$F$709,5,FALSE)</f>
        <v>900</v>
      </c>
      <c r="J129" s="47">
        <f>VLOOKUP($C129,'Final SEA Counts'!$A$2:$F$709,6,FALSE)</f>
        <v>611</v>
      </c>
      <c r="K129" s="24">
        <f t="shared" si="242"/>
        <v>1587.6114744287543</v>
      </c>
      <c r="L129" s="24">
        <f t="shared" si="243"/>
        <v>238.06116897278852</v>
      </c>
      <c r="M129" s="4">
        <f t="shared" si="244"/>
        <v>0.14994926202485806</v>
      </c>
      <c r="N129" s="31">
        <f>IFERROR(VLOOKUP($B129,Allocation!$D$10:$O$235,8,FALSE),"")</f>
        <v>182224.57749149131</v>
      </c>
      <c r="O129" s="31">
        <f>IFERROR(VLOOKUP($B129,Allocation!$D$10:$O$235,9,FALSE),"")</f>
        <v>43179.80637359972</v>
      </c>
      <c r="P129" s="31">
        <f>IFERROR(VLOOKUP($B129,Allocation!$D$10:$O$235,10,FALSE),"")</f>
        <v>69159.765394376474</v>
      </c>
      <c r="Q129" s="31">
        <f>IFERROR(VLOOKUP($B129,Allocation!$D$10:$O$235,11,FALSE),"")</f>
        <v>54036.15821846122</v>
      </c>
      <c r="R129" s="31">
        <f>IFERROR(VLOOKUP($B129,Allocation!$D$10:$O$235,12,FALSE),"")</f>
        <v>348600.3074779287</v>
      </c>
      <c r="S129" s="31">
        <f t="shared" si="245"/>
        <v>160284.97947682184</v>
      </c>
      <c r="T129" s="31">
        <f t="shared" si="246"/>
        <v>37999.960520164648</v>
      </c>
      <c r="U129" s="31">
        <f t="shared" si="247"/>
        <v>60848.280375415008</v>
      </c>
      <c r="V129" s="31">
        <f t="shared" si="248"/>
        <v>47570.338084115472</v>
      </c>
      <c r="W129" s="31">
        <f t="shared" si="249"/>
        <v>160284.97947682184</v>
      </c>
      <c r="X129" s="31">
        <f t="shared" si="250"/>
        <v>37999.960520164648</v>
      </c>
      <c r="Y129" s="31">
        <f t="shared" si="251"/>
        <v>60848.280375415008</v>
      </c>
      <c r="Z129" s="31">
        <f t="shared" si="252"/>
        <v>47570.338084115472</v>
      </c>
      <c r="AA129" s="31">
        <f t="shared" si="253"/>
        <v>160309.72921930288</v>
      </c>
      <c r="AB129" s="31">
        <f t="shared" si="254"/>
        <v>38587.227295194294</v>
      </c>
      <c r="AC129" s="31">
        <f t="shared" si="255"/>
        <v>60888.148945015106</v>
      </c>
      <c r="AD129" s="31">
        <f t="shared" si="256"/>
        <v>47607.429919367118</v>
      </c>
      <c r="AE129" s="31">
        <f t="shared" si="257"/>
        <v>307392.5353788794</v>
      </c>
      <c r="AF129" s="31">
        <f>IFERROR(VLOOKUP(A129,'Allocations By Type'!$D$7:$F$491,3,FALSE),"")</f>
        <v>336395.76</v>
      </c>
      <c r="AG129" s="31" t="str">
        <f t="shared" si="258"/>
        <v/>
      </c>
      <c r="AH129" s="31" t="str">
        <f t="shared" si="259"/>
        <v/>
      </c>
      <c r="AI129" s="31">
        <f t="shared" si="260"/>
        <v>307392.5353788794</v>
      </c>
      <c r="AJ129" s="31">
        <f>AI129/$AI$577*'State Admin 1004(b)'!$B$30*0.01</f>
        <v>2925.3008439286928</v>
      </c>
      <c r="AK129" s="31">
        <f t="shared" si="261"/>
        <v>304467.23453495069</v>
      </c>
      <c r="AL129" s="31">
        <f t="shared" si="262"/>
        <v>3044.6723453495069</v>
      </c>
      <c r="AM129" s="31">
        <f t="shared" si="263"/>
        <v>301422.56218960119</v>
      </c>
      <c r="AP129" s="31"/>
      <c r="AQ129" s="4">
        <f t="shared" si="264"/>
        <v>0.8960355570165367</v>
      </c>
      <c r="AR129" s="4">
        <f>VLOOKUP(B129,Allocation!$D$10:$P$235,13,FALSE)</f>
        <v>0.9</v>
      </c>
      <c r="AS129" s="4">
        <f t="shared" si="265"/>
        <v>0.85</v>
      </c>
      <c r="AT129" s="173" t="s">
        <v>1003</v>
      </c>
      <c r="AU129" s="31">
        <f t="shared" si="267"/>
        <v>-15486.166189601179</v>
      </c>
      <c r="AV129" s="31">
        <f t="shared" si="268"/>
        <v>285936.39600000001</v>
      </c>
      <c r="AW129" s="31">
        <f t="shared" si="269"/>
        <v>285936.39600000001</v>
      </c>
      <c r="AX129" s="4">
        <f t="shared" si="270"/>
        <v>0.85</v>
      </c>
      <c r="AY129" s="4" t="str">
        <f t="shared" si="271"/>
        <v/>
      </c>
      <c r="AZ129" s="174" t="str">
        <f>IFERROR(IF(VLOOKUP(A129,#REF!,11,FALSE)=0,"",VLOOKUP(A129,#REF!,11,FALSE)),"")</f>
        <v/>
      </c>
      <c r="BA129" s="31" t="str">
        <f t="shared" si="272"/>
        <v/>
      </c>
      <c r="BB129" s="31">
        <f t="shared" si="273"/>
        <v>285936.39600000001</v>
      </c>
      <c r="BD129" s="31">
        <f>IFERROR(VLOOKUP(A129,'Title II Hold Harmless'!A$1:B$439,2, FALSE),"")</f>
        <v>19266</v>
      </c>
      <c r="BE129" s="31">
        <f t="shared" si="274"/>
        <v>23660.09012558806</v>
      </c>
      <c r="BF129" s="31">
        <f t="shared" si="275"/>
        <v>23682.982674644158</v>
      </c>
      <c r="BG129" s="31" t="str">
        <f t="shared" si="276"/>
        <v/>
      </c>
      <c r="BH129" s="31">
        <f t="shared" si="277"/>
        <v>23682.982674644158</v>
      </c>
    </row>
    <row r="130" spans="1:60" x14ac:dyDescent="0.3">
      <c r="A130" s="1">
        <v>70290000</v>
      </c>
      <c r="B130">
        <f>VLOOKUP(C130,'NCES ID'!$A$2:$B$3136,2,FALSE)</f>
        <v>407170</v>
      </c>
      <c r="C130">
        <f>VLOOKUP(A130,'State ID'!$A$2:$B$713,2,FALSE)</f>
        <v>4254</v>
      </c>
      <c r="D130" s="147" t="s">
        <v>365</v>
      </c>
      <c r="E130" t="s">
        <v>7</v>
      </c>
      <c r="F130" s="47">
        <f>VLOOKUP(B130,'Formula counts'!$D$9:$L$234,9,FALSE)</f>
        <v>2072</v>
      </c>
      <c r="G130" s="47">
        <f>VLOOKUP(B130,'Formula counts'!$D$9:$K$234,8,FALSE)</f>
        <v>347</v>
      </c>
      <c r="H130" s="4">
        <f>VLOOKUP(B130,'Formula counts'!$D$9:$M$234,10,FALSE)</f>
        <v>0.16747104247104247</v>
      </c>
      <c r="I130" s="47">
        <f>VLOOKUP($C130,'Final SEA Counts'!$A$2:$F$709,5,FALSE)</f>
        <v>1372</v>
      </c>
      <c r="J130" s="47">
        <f>VLOOKUP($C130,'Final SEA Counts'!$A$2:$F$709,6,FALSE)</f>
        <v>994</v>
      </c>
      <c r="K130" s="24">
        <f t="shared" si="242"/>
        <v>1878.6584665998735</v>
      </c>
      <c r="L130" s="24">
        <f t="shared" si="243"/>
        <v>304.82371082493586</v>
      </c>
      <c r="M130" s="4">
        <f t="shared" si="244"/>
        <v>0.16225605464979859</v>
      </c>
      <c r="N130" s="31">
        <f>IFERROR(VLOOKUP($B130,Allocation!$D$10:$O$235,8,FALSE),"")</f>
        <v>163693.08429561055</v>
      </c>
      <c r="O130" s="31">
        <f>IFERROR(VLOOKUP($B130,Allocation!$D$10:$O$235,9,FALSE),"")</f>
        <v>38819.960707477709</v>
      </c>
      <c r="P130" s="31">
        <f>IFERROR(VLOOKUP($B130,Allocation!$D$10:$O$235,10,FALSE),"")</f>
        <v>51802.616027221862</v>
      </c>
      <c r="Q130" s="31">
        <f>IFERROR(VLOOKUP($B130,Allocation!$D$10:$O$235,11,FALSE),"")</f>
        <v>39490.686742125785</v>
      </c>
      <c r="R130" s="31">
        <f>IFERROR(VLOOKUP($B130,Allocation!$D$10:$O$235,12,FALSE),"")</f>
        <v>293806.34777243593</v>
      </c>
      <c r="S130" s="31">
        <f t="shared" si="245"/>
        <v>143984.65354128604</v>
      </c>
      <c r="T130" s="31">
        <f t="shared" si="246"/>
        <v>34163.121564630535</v>
      </c>
      <c r="U130" s="31">
        <f t="shared" si="247"/>
        <v>45577.07919091158</v>
      </c>
      <c r="V130" s="31">
        <f t="shared" si="248"/>
        <v>34765.338274085691</v>
      </c>
      <c r="W130" s="31">
        <f t="shared" si="249"/>
        <v>143984.65354128604</v>
      </c>
      <c r="X130" s="31">
        <f t="shared" si="250"/>
        <v>34163.121564630535</v>
      </c>
      <c r="Y130" s="31">
        <f t="shared" si="251"/>
        <v>45577.07919091158</v>
      </c>
      <c r="Z130" s="31">
        <f t="shared" si="252"/>
        <v>34765.338274085691</v>
      </c>
      <c r="AA130" s="31">
        <f t="shared" si="253"/>
        <v>144009.40328376708</v>
      </c>
      <c r="AB130" s="31">
        <f t="shared" si="254"/>
        <v>34750.388339660181</v>
      </c>
      <c r="AC130" s="31">
        <f t="shared" si="255"/>
        <v>45616.947760511677</v>
      </c>
      <c r="AD130" s="31">
        <f t="shared" si="256"/>
        <v>34802.430109337336</v>
      </c>
      <c r="AE130" s="31">
        <f t="shared" si="257"/>
        <v>259179.16949327628</v>
      </c>
      <c r="AF130" s="31">
        <f>IFERROR(VLOOKUP(A130,'Allocations By Type'!$D$7:$F$491,3,FALSE),"")</f>
        <v>253573.31</v>
      </c>
      <c r="AG130" s="31">
        <f t="shared" si="258"/>
        <v>10367.166779731051</v>
      </c>
      <c r="AH130" s="31">
        <f t="shared" si="259"/>
        <v>5605.859493276279</v>
      </c>
      <c r="AI130" s="31">
        <f t="shared" si="260"/>
        <v>253573.31</v>
      </c>
      <c r="AJ130" s="31">
        <f>AI130/$AI$577*'State Admin 1004(b)'!$B$30*0.01</f>
        <v>2413.1302239545494</v>
      </c>
      <c r="AK130" s="31">
        <f t="shared" si="261"/>
        <v>251160.17977604544</v>
      </c>
      <c r="AL130" s="31">
        <f t="shared" si="262"/>
        <v>2511.6017977604542</v>
      </c>
      <c r="AM130" s="31">
        <f t="shared" si="263"/>
        <v>248648.57797828497</v>
      </c>
      <c r="AP130" s="31"/>
      <c r="AQ130" s="4">
        <f t="shared" si="264"/>
        <v>0.98057866570533381</v>
      </c>
      <c r="AR130" s="4">
        <f>VLOOKUP(B130,Allocation!$D$10:$P$235,13,FALSE)</f>
        <v>0.9788489465139506</v>
      </c>
      <c r="AS130" s="4">
        <f t="shared" si="265"/>
        <v>0.9</v>
      </c>
      <c r="AT130" s="4" t="str">
        <f t="shared" si="266"/>
        <v/>
      </c>
      <c r="AU130" s="31" t="str">
        <f t="shared" si="267"/>
        <v/>
      </c>
      <c r="AV130" s="31" t="str">
        <f t="shared" si="268"/>
        <v/>
      </c>
      <c r="AW130" s="31">
        <f t="shared" si="269"/>
        <v>247851.40145586664</v>
      </c>
      <c r="AX130" s="4">
        <f t="shared" si="270"/>
        <v>0.97743489429493446</v>
      </c>
      <c r="AY130" s="4" t="str">
        <f t="shared" si="271"/>
        <v/>
      </c>
      <c r="AZ130" s="174" t="str">
        <f>IFERROR(IF(VLOOKUP(A130,#REF!,11,FALSE)=0,"",VLOOKUP(A130,#REF!,11,FALSE)),"")</f>
        <v/>
      </c>
      <c r="BA130" s="31" t="str">
        <f t="shared" si="272"/>
        <v/>
      </c>
      <c r="BB130" s="31">
        <f t="shared" si="273"/>
        <v>247851.40145586664</v>
      </c>
      <c r="BD130" s="31">
        <f>IFERROR(VLOOKUP(A130,'Title II Hold Harmless'!A$1:B$439,2, FALSE),"")</f>
        <v>14871</v>
      </c>
      <c r="BE130" s="31">
        <f t="shared" si="274"/>
        <v>20373.291254880209</v>
      </c>
      <c r="BF130" s="31">
        <f t="shared" si="275"/>
        <v>20393.003629896994</v>
      </c>
      <c r="BG130" s="31" t="str">
        <f t="shared" si="276"/>
        <v/>
      </c>
      <c r="BH130" s="31">
        <f t="shared" si="277"/>
        <v>20393.003629896994</v>
      </c>
    </row>
    <row r="131" spans="1:60" x14ac:dyDescent="0.3">
      <c r="A131" s="1">
        <v>70421000</v>
      </c>
      <c r="B131">
        <f>VLOOKUP(C131,'NCES ID'!$A$2:$B$3136,2,FALSE)</f>
        <v>405400</v>
      </c>
      <c r="C131">
        <f>VLOOKUP(A131,'State ID'!$A$2:$B$713,2,FALSE)</f>
        <v>4265</v>
      </c>
      <c r="D131" s="147" t="s">
        <v>299</v>
      </c>
      <c r="E131" t="s">
        <v>7</v>
      </c>
      <c r="F131" s="47">
        <f>VLOOKUP(B131,'Formula counts'!$D$9:$L$234,9,FALSE)</f>
        <v>2138</v>
      </c>
      <c r="G131" s="47">
        <f>VLOOKUP(B131,'Formula counts'!$D$9:$K$234,8,FALSE)</f>
        <v>1114</v>
      </c>
      <c r="H131" s="4">
        <f>VLOOKUP(B131,'Formula counts'!$D$9:$M$234,10,FALSE)</f>
        <v>0.52104770813844714</v>
      </c>
      <c r="I131" s="47">
        <f>VLOOKUP($C131,'Final SEA Counts'!$A$2:$F$709,5,FALSE)</f>
        <v>1778</v>
      </c>
      <c r="J131" s="47">
        <f>VLOOKUP($C131,'Final SEA Counts'!$A$2:$F$709,6,FALSE)</f>
        <v>1646</v>
      </c>
      <c r="K131" s="24">
        <f t="shared" si="242"/>
        <v>1938.4999042425336</v>
      </c>
      <c r="L131" s="24">
        <f t="shared" si="243"/>
        <v>978.59831083279119</v>
      </c>
      <c r="M131" s="4">
        <f t="shared" si="244"/>
        <v>0.50482247055626095</v>
      </c>
      <c r="N131" s="31">
        <f>IFERROR(VLOOKUP($B131,Allocation!$D$10:$O$235,8,FALSE),"")</f>
        <v>752357.23874464689</v>
      </c>
      <c r="O131" s="31">
        <f>IFERROR(VLOOKUP($B131,Allocation!$D$10:$O$235,9,FALSE),"")</f>
        <v>183496.74515547656</v>
      </c>
      <c r="P131" s="31">
        <f>IFERROR(VLOOKUP($B131,Allocation!$D$10:$O$235,10,FALSE),"")</f>
        <v>517708.46939287521</v>
      </c>
      <c r="Q131" s="31">
        <f>IFERROR(VLOOKUP($B131,Allocation!$D$10:$O$235,11,FALSE),"")</f>
        <v>593157.33807184524</v>
      </c>
      <c r="R131" s="31">
        <f>IFERROR(VLOOKUP($B131,Allocation!$D$10:$O$235,12,FALSE),"")</f>
        <v>2046719.791364844</v>
      </c>
      <c r="S131" s="31">
        <f t="shared" si="245"/>
        <v>661774.42270132259</v>
      </c>
      <c r="T131" s="31">
        <f t="shared" si="246"/>
        <v>161484.49141147744</v>
      </c>
      <c r="U131" s="31">
        <f t="shared" si="247"/>
        <v>455491.28049682622</v>
      </c>
      <c r="V131" s="31">
        <f t="shared" si="248"/>
        <v>522181.73977274983</v>
      </c>
      <c r="W131" s="31">
        <f t="shared" si="249"/>
        <v>661774.42270132259</v>
      </c>
      <c r="X131" s="31">
        <f t="shared" si="250"/>
        <v>161484.49141147744</v>
      </c>
      <c r="Y131" s="31">
        <f t="shared" si="251"/>
        <v>455491.28049682622</v>
      </c>
      <c r="Z131" s="31">
        <f t="shared" si="252"/>
        <v>522181.73977274983</v>
      </c>
      <c r="AA131" s="31">
        <f t="shared" si="253"/>
        <v>661799.17244380363</v>
      </c>
      <c r="AB131" s="31">
        <f t="shared" si="254"/>
        <v>162071.7581865071</v>
      </c>
      <c r="AC131" s="31">
        <f t="shared" si="255"/>
        <v>455531.14906642633</v>
      </c>
      <c r="AD131" s="31">
        <f t="shared" si="256"/>
        <v>522218.83160800149</v>
      </c>
      <c r="AE131" s="31">
        <f t="shared" si="257"/>
        <v>1801620.9113047384</v>
      </c>
      <c r="AF131" s="31">
        <f>IFERROR(VLOOKUP(A131,'Allocations By Type'!$D$7:$F$491,3,FALSE),"")</f>
        <v>1906262.83</v>
      </c>
      <c r="AG131" s="31" t="str">
        <f t="shared" si="258"/>
        <v/>
      </c>
      <c r="AH131" s="31" t="str">
        <f t="shared" si="259"/>
        <v/>
      </c>
      <c r="AI131" s="31">
        <f t="shared" si="260"/>
        <v>1801620.9113047384</v>
      </c>
      <c r="AJ131" s="31">
        <f>AI131/$AI$577*'State Admin 1004(b)'!$B$30*0.01</f>
        <v>17145.12411885148</v>
      </c>
      <c r="AK131" s="31">
        <f t="shared" si="261"/>
        <v>1784475.7871858869</v>
      </c>
      <c r="AL131" s="31">
        <f t="shared" si="262"/>
        <v>17844.75787185887</v>
      </c>
      <c r="AM131" s="31">
        <f t="shared" si="263"/>
        <v>1766631.0293140281</v>
      </c>
      <c r="AP131" s="31"/>
      <c r="AQ131" s="4">
        <f t="shared" si="264"/>
        <v>0.92675102378932084</v>
      </c>
      <c r="AR131" s="4">
        <f>VLOOKUP(B131,Allocation!$D$10:$P$235,13,FALSE)</f>
        <v>0.95</v>
      </c>
      <c r="AS131" s="4">
        <f t="shared" si="265"/>
        <v>0.95</v>
      </c>
      <c r="AT131" s="4" t="str">
        <f t="shared" si="266"/>
        <v>Review</v>
      </c>
      <c r="AU131" s="31">
        <f t="shared" si="267"/>
        <v>44318.659185971832</v>
      </c>
      <c r="AV131" s="31">
        <f t="shared" si="268"/>
        <v>1810949.6884999999</v>
      </c>
      <c r="AW131" s="31">
        <f t="shared" si="269"/>
        <v>1810949.6884999999</v>
      </c>
      <c r="AX131" s="4">
        <f t="shared" si="270"/>
        <v>0.95</v>
      </c>
      <c r="AY131" s="4" t="str">
        <f t="shared" si="271"/>
        <v/>
      </c>
      <c r="AZ131" s="174" t="str">
        <f>IFERROR(IF(VLOOKUP(A131,#REF!,11,FALSE)=0,"",VLOOKUP(A131,#REF!,11,FALSE)),"")</f>
        <v/>
      </c>
      <c r="BA131" s="31" t="str">
        <f t="shared" si="272"/>
        <v/>
      </c>
      <c r="BB131" s="31">
        <f t="shared" si="273"/>
        <v>1810949.6884999999</v>
      </c>
      <c r="BD131" s="31">
        <f>IFERROR(VLOOKUP(A131,'Title II Hold Harmless'!A$1:B$439,2, FALSE),"")</f>
        <v>164154</v>
      </c>
      <c r="BE131" s="31">
        <f t="shared" si="274"/>
        <v>178524.61455268488</v>
      </c>
      <c r="BF131" s="31">
        <f t="shared" si="275"/>
        <v>178697.3477702963</v>
      </c>
      <c r="BG131" s="31" t="str">
        <f t="shared" si="276"/>
        <v/>
      </c>
      <c r="BH131" s="31">
        <f t="shared" si="277"/>
        <v>178697.3477702963</v>
      </c>
    </row>
    <row r="132" spans="1:60" x14ac:dyDescent="0.3">
      <c r="A132" s="1">
        <v>70298000</v>
      </c>
      <c r="B132">
        <f>VLOOKUP(C132,'NCES ID'!$A$2:$B$3136,2,FALSE)</f>
        <v>403040</v>
      </c>
      <c r="C132">
        <f>VLOOKUP(A132,'State ID'!$A$2:$B$713,2,FALSE)</f>
        <v>4247</v>
      </c>
      <c r="D132" s="147" t="s">
        <v>171</v>
      </c>
      <c r="E132" t="s">
        <v>7</v>
      </c>
      <c r="F132" s="47">
        <f>VLOOKUP(B132,'Formula counts'!$D$9:$L$234,9,FALSE)</f>
        <v>2712</v>
      </c>
      <c r="G132" s="47">
        <f>VLOOKUP(B132,'Formula counts'!$D$9:$K$234,8,FALSE)</f>
        <v>228</v>
      </c>
      <c r="H132" s="4">
        <f>VLOOKUP(B132,'Formula counts'!$D$9:$M$234,10,FALSE)</f>
        <v>8.4070796460176997E-2</v>
      </c>
      <c r="I132" s="47">
        <f>VLOOKUP($C132,'Final SEA Counts'!$A$2:$F$709,5,FALSE)</f>
        <v>1392</v>
      </c>
      <c r="J132" s="47">
        <f>VLOOKUP($C132,'Final SEA Counts'!$A$2:$F$709,6,FALSE)</f>
        <v>477</v>
      </c>
      <c r="K132" s="24">
        <f t="shared" si="242"/>
        <v>2458.9390740438503</v>
      </c>
      <c r="L132" s="24">
        <f t="shared" si="243"/>
        <v>200.28762555644201</v>
      </c>
      <c r="M132" s="4">
        <f t="shared" si="244"/>
        <v>8.1452862200062093E-2</v>
      </c>
      <c r="N132" s="31">
        <f>IFERROR(VLOOKUP($B132,Allocation!$D$10:$O$235,8,FALSE),"")</f>
        <v>107845.9739089292</v>
      </c>
      <c r="O132" s="31">
        <f>IFERROR(VLOOKUP($B132,Allocation!$D$10:$O$235,9,FALSE),"")</f>
        <v>0</v>
      </c>
      <c r="P132" s="31">
        <f>IFERROR(VLOOKUP($B132,Allocation!$D$10:$O$235,10,FALSE),"")</f>
        <v>32346.771002557354</v>
      </c>
      <c r="Q132" s="31">
        <f>IFERROR(VLOOKUP($B132,Allocation!$D$10:$O$235,11,FALSE),"")</f>
        <v>25074.066357528889</v>
      </c>
      <c r="R132" s="31">
        <f>IFERROR(VLOOKUP($B132,Allocation!$D$10:$O$235,12,FALSE),"")</f>
        <v>165266.81126901542</v>
      </c>
      <c r="S132" s="31">
        <f t="shared" si="245"/>
        <v>94861.461349568664</v>
      </c>
      <c r="T132" s="31" t="str">
        <f t="shared" si="246"/>
        <v/>
      </c>
      <c r="U132" s="31">
        <f t="shared" si="247"/>
        <v>28459.399478573072</v>
      </c>
      <c r="V132" s="31">
        <f t="shared" si="248"/>
        <v>22073.771583629834</v>
      </c>
      <c r="W132" s="31">
        <f t="shared" si="249"/>
        <v>94861.461349568664</v>
      </c>
      <c r="X132" s="31" t="str">
        <f t="shared" si="250"/>
        <v/>
      </c>
      <c r="Y132" s="31">
        <f t="shared" si="251"/>
        <v>28459.399478573072</v>
      </c>
      <c r="Z132" s="31">
        <f t="shared" si="252"/>
        <v>22073.771583629834</v>
      </c>
      <c r="AA132" s="31">
        <f t="shared" si="253"/>
        <v>94886.211092049693</v>
      </c>
      <c r="AB132" s="31" t="str">
        <f t="shared" si="254"/>
        <v/>
      </c>
      <c r="AC132" s="31">
        <f t="shared" si="255"/>
        <v>28499.26804817317</v>
      </c>
      <c r="AD132" s="31">
        <f t="shared" si="256"/>
        <v>22110.863418881479</v>
      </c>
      <c r="AE132" s="31">
        <f t="shared" si="257"/>
        <v>145496.34255910435</v>
      </c>
      <c r="AF132" s="31">
        <f>IFERROR(VLOOKUP(A132,'Allocations By Type'!$D$7:$F$491,3,FALSE),"")</f>
        <v>166708.87</v>
      </c>
      <c r="AG132" s="31" t="str">
        <f t="shared" si="258"/>
        <v/>
      </c>
      <c r="AH132" s="31" t="str">
        <f t="shared" si="259"/>
        <v/>
      </c>
      <c r="AI132" s="31">
        <f t="shared" si="260"/>
        <v>145496.34255910435</v>
      </c>
      <c r="AJ132" s="31">
        <f>AI132/$AI$577*'State Admin 1004(b)'!$B$30*0.01</f>
        <v>1384.6158403036161</v>
      </c>
      <c r="AK132" s="31">
        <f t="shared" si="261"/>
        <v>144111.72671880072</v>
      </c>
      <c r="AL132" s="31">
        <f t="shared" si="262"/>
        <v>1441.1172671880072</v>
      </c>
      <c r="AM132" s="31">
        <f t="shared" si="263"/>
        <v>142670.60945161272</v>
      </c>
      <c r="AP132" s="31"/>
      <c r="AQ132" s="4">
        <f t="shared" si="264"/>
        <v>0.85580694927398115</v>
      </c>
      <c r="AR132" s="4">
        <f>VLOOKUP(B132,Allocation!$D$10:$P$235,13,FALSE)</f>
        <v>0.87173495142814594</v>
      </c>
      <c r="AS132" s="4">
        <f t="shared" si="265"/>
        <v>0.85</v>
      </c>
      <c r="AT132" s="4" t="str">
        <f t="shared" si="266"/>
        <v/>
      </c>
      <c r="AU132" s="31" t="str">
        <f t="shared" si="267"/>
        <v/>
      </c>
      <c r="AV132" s="31" t="str">
        <f t="shared" si="268"/>
        <v/>
      </c>
      <c r="AW132" s="31">
        <f t="shared" si="269"/>
        <v>142213.20220955773</v>
      </c>
      <c r="AX132" s="4">
        <f t="shared" si="270"/>
        <v>0.85306320059369201</v>
      </c>
      <c r="AY132" s="4" t="str">
        <f t="shared" si="271"/>
        <v/>
      </c>
      <c r="AZ132" s="174" t="str">
        <f>IFERROR(IF(VLOOKUP(A132,#REF!,11,FALSE)=0,"",VLOOKUP(A132,#REF!,11,FALSE)),"")</f>
        <v/>
      </c>
      <c r="BA132" s="31" t="str">
        <f t="shared" si="272"/>
        <v/>
      </c>
      <c r="BB132" s="31">
        <f t="shared" si="273"/>
        <v>142213.20220955773</v>
      </c>
      <c r="BD132" s="31">
        <f>IFERROR(VLOOKUP(A132,'Title II Hold Harmless'!A$1:B$439,2, FALSE),"")</f>
        <v>29483</v>
      </c>
      <c r="BE132" s="31">
        <f t="shared" si="274"/>
        <v>34083.853204365601</v>
      </c>
      <c r="BF132" s="31">
        <f t="shared" si="275"/>
        <v>34116.831366213679</v>
      </c>
      <c r="BG132" s="31" t="str">
        <f t="shared" si="276"/>
        <v/>
      </c>
      <c r="BH132" s="31">
        <f t="shared" si="277"/>
        <v>34116.831366213679</v>
      </c>
    </row>
    <row r="133" spans="1:60" x14ac:dyDescent="0.3">
      <c r="A133" s="1">
        <v>70417000</v>
      </c>
      <c r="B133">
        <f>VLOOKUP(C133,'NCES ID'!$A$2:$B$3136,2,FALSE)</f>
        <v>408490</v>
      </c>
      <c r="C133">
        <f>VLOOKUP(A133,'State ID'!$A$2:$B$713,2,FALSE)</f>
        <v>4264</v>
      </c>
      <c r="D133" s="147" t="s">
        <v>414</v>
      </c>
      <c r="E133" t="s">
        <v>7</v>
      </c>
      <c r="F133" s="47">
        <f>VLOOKUP(B133,'Formula counts'!$D$9:$L$234,9,FALSE)</f>
        <v>2742</v>
      </c>
      <c r="G133" s="47">
        <f>VLOOKUP(B133,'Formula counts'!$D$9:$K$234,8,FALSE)</f>
        <v>989</v>
      </c>
      <c r="H133" s="4">
        <f>VLOOKUP(B133,'Formula counts'!$D$9:$M$234,10,FALSE)</f>
        <v>0.36068563092633116</v>
      </c>
      <c r="I133" s="47">
        <f>VLOOKUP($C133,'Final SEA Counts'!$A$2:$F$709,5,FALSE)</f>
        <v>3090</v>
      </c>
      <c r="J133" s="47">
        <f>VLOOKUP($C133,'Final SEA Counts'!$A$2:$F$709,6,FALSE)</f>
        <v>2625</v>
      </c>
      <c r="K133" s="24">
        <f t="shared" si="242"/>
        <v>2486.1397275177865</v>
      </c>
      <c r="L133" s="24">
        <f t="shared" si="243"/>
        <v>868.79149857596997</v>
      </c>
      <c r="M133" s="4">
        <f t="shared" si="244"/>
        <v>0.34945401055289416</v>
      </c>
      <c r="N133" s="31">
        <f>IFERROR(VLOOKUP($B133,Allocation!$D$10:$O$235,8,FALSE),"")</f>
        <v>466548.87714224437</v>
      </c>
      <c r="O133" s="31">
        <f>IFERROR(VLOOKUP($B133,Allocation!$D$10:$O$235,9,FALSE),"")</f>
        <v>110642.48167059208</v>
      </c>
      <c r="P133" s="31">
        <f>IFERROR(VLOOKUP($B133,Allocation!$D$10:$O$235,10,FALSE),"")</f>
        <v>258052.71443606948</v>
      </c>
      <c r="Q133" s="31">
        <f>IFERROR(VLOOKUP($B133,Allocation!$D$10:$O$235,11,FALSE),"")</f>
        <v>229519.32649017195</v>
      </c>
      <c r="R133" s="31">
        <f>IFERROR(VLOOKUP($B133,Allocation!$D$10:$O$235,12,FALSE),"")</f>
        <v>1064763.3997390778</v>
      </c>
      <c r="S133" s="31">
        <f t="shared" si="245"/>
        <v>410377.00966089871</v>
      </c>
      <c r="T133" s="31">
        <f t="shared" si="246"/>
        <v>97369.81909919194</v>
      </c>
      <c r="U133" s="31">
        <f t="shared" si="247"/>
        <v>227040.44512157392</v>
      </c>
      <c r="V133" s="31">
        <f t="shared" si="248"/>
        <v>202055.66638980203</v>
      </c>
      <c r="W133" s="31">
        <f t="shared" si="249"/>
        <v>410377.00966089871</v>
      </c>
      <c r="X133" s="31">
        <f t="shared" si="250"/>
        <v>97369.81909919194</v>
      </c>
      <c r="Y133" s="31">
        <f t="shared" si="251"/>
        <v>227040.44512157392</v>
      </c>
      <c r="Z133" s="31">
        <f t="shared" si="252"/>
        <v>202055.66638980203</v>
      </c>
      <c r="AA133" s="31">
        <f t="shared" si="253"/>
        <v>410401.75940337975</v>
      </c>
      <c r="AB133" s="31">
        <f t="shared" si="254"/>
        <v>97957.085874221593</v>
      </c>
      <c r="AC133" s="31">
        <f t="shared" si="255"/>
        <v>227080.31369117403</v>
      </c>
      <c r="AD133" s="31">
        <f t="shared" si="256"/>
        <v>202092.75822505367</v>
      </c>
      <c r="AE133" s="31">
        <f t="shared" si="257"/>
        <v>937531.91719382897</v>
      </c>
      <c r="AF133" s="31">
        <f>IFERROR(VLOOKUP(A133,'Allocations By Type'!$D$7:$F$491,3,FALSE),"")</f>
        <v>784090</v>
      </c>
      <c r="AG133" s="31">
        <f t="shared" si="258"/>
        <v>37501.276687753161</v>
      </c>
      <c r="AH133" s="31">
        <f t="shared" si="259"/>
        <v>37501.276687753161</v>
      </c>
      <c r="AI133" s="31">
        <f t="shared" si="260"/>
        <v>900030.64050607581</v>
      </c>
      <c r="AJ133" s="31">
        <f>AI133/$AI$577*'State Admin 1004(b)'!$B$30*0.01</f>
        <v>8565.1409491416234</v>
      </c>
      <c r="AK133" s="31">
        <f t="shared" si="261"/>
        <v>891465.49955693423</v>
      </c>
      <c r="AL133" s="31">
        <f t="shared" si="262"/>
        <v>8914.6549955693426</v>
      </c>
      <c r="AM133" s="31">
        <f t="shared" si="263"/>
        <v>882550.84456136485</v>
      </c>
      <c r="AP133" s="31"/>
      <c r="AQ133" s="4">
        <f t="shared" si="264"/>
        <v>1.125573396627128</v>
      </c>
      <c r="AR133" s="4">
        <f>VLOOKUP(B133,Allocation!$D$10:$P$235,13,FALSE)</f>
        <v>1.1463169358554166</v>
      </c>
      <c r="AS133" s="4">
        <f t="shared" si="265"/>
        <v>0.95</v>
      </c>
      <c r="AT133" s="4" t="str">
        <f t="shared" si="266"/>
        <v/>
      </c>
      <c r="AU133" s="31" t="str">
        <f t="shared" si="267"/>
        <v/>
      </c>
      <c r="AV133" s="31" t="str">
        <f t="shared" si="268"/>
        <v/>
      </c>
      <c r="AW133" s="31">
        <f t="shared" si="269"/>
        <v>879721.35396525846</v>
      </c>
      <c r="AX133" s="4">
        <f t="shared" si="270"/>
        <v>1.1219647667554216</v>
      </c>
      <c r="AY133" s="4" t="str">
        <f t="shared" si="271"/>
        <v/>
      </c>
      <c r="AZ133" s="174" t="str">
        <f>IFERROR(IF(VLOOKUP(A133,#REF!,11,FALSE)=0,"",VLOOKUP(A133,#REF!,11,FALSE)),"")</f>
        <v/>
      </c>
      <c r="BA133" s="31" t="str">
        <f t="shared" si="272"/>
        <v/>
      </c>
      <c r="BB133" s="31">
        <f t="shared" si="273"/>
        <v>879721.35396525846</v>
      </c>
      <c r="BD133" s="31">
        <f>IFERROR(VLOOKUP(A133,'Title II Hold Harmless'!A$1:B$439,2, FALSE),"")</f>
        <v>64792</v>
      </c>
      <c r="BE133" s="31">
        <f t="shared" si="274"/>
        <v>78165.909846019786</v>
      </c>
      <c r="BF133" s="31">
        <f t="shared" si="275"/>
        <v>78241.540028160525</v>
      </c>
      <c r="BG133" s="31" t="str">
        <f t="shared" si="276"/>
        <v/>
      </c>
      <c r="BH133" s="31">
        <f t="shared" si="277"/>
        <v>78241.540028160525</v>
      </c>
    </row>
    <row r="134" spans="1:60" x14ac:dyDescent="0.3">
      <c r="A134" s="1">
        <v>70462000</v>
      </c>
      <c r="B134">
        <f>VLOOKUP(C134,'NCES ID'!$A$2:$B$3136,2,FALSE)</f>
        <v>408820</v>
      </c>
      <c r="C134">
        <f>VLOOKUP(A134,'State ID'!$A$2:$B$713,2,FALSE)</f>
        <v>4277</v>
      </c>
      <c r="D134" s="147" t="s">
        <v>426</v>
      </c>
      <c r="E134" t="s">
        <v>7</v>
      </c>
      <c r="F134" s="47">
        <f>VLOOKUP(B134,'Formula counts'!$D$9:$L$234,9,FALSE)</f>
        <v>2802</v>
      </c>
      <c r="G134" s="47">
        <f>VLOOKUP(B134,'Formula counts'!$D$9:$K$234,8,FALSE)</f>
        <v>737</v>
      </c>
      <c r="H134" s="4">
        <f>VLOOKUP(B134,'Formula counts'!$D$9:$M$234,10,FALSE)</f>
        <v>0.26302640970735192</v>
      </c>
      <c r="I134" s="47">
        <f>VLOOKUP($C134,'Final SEA Counts'!$A$2:$F$709,5,FALSE)</f>
        <v>2084</v>
      </c>
      <c r="J134" s="47">
        <f>VLOOKUP($C134,'Final SEA Counts'!$A$2:$F$709,6,FALSE)</f>
        <v>1866</v>
      </c>
      <c r="K134" s="24">
        <f t="shared" si="242"/>
        <v>2540.5410344656589</v>
      </c>
      <c r="L134" s="24">
        <f t="shared" si="243"/>
        <v>647.42096506621829</v>
      </c>
      <c r="M134" s="4">
        <f t="shared" si="244"/>
        <v>0.25483586223687488</v>
      </c>
      <c r="N134" s="31">
        <f>IFERROR(VLOOKUP($B134,Allocation!$D$10:$O$235,8,FALSE),"")</f>
        <v>347670.90238001407</v>
      </c>
      <c r="O134" s="31">
        <f>IFERROR(VLOOKUP($B134,Allocation!$D$10:$O$235,9,FALSE),"")</f>
        <v>82450.464096285534</v>
      </c>
      <c r="P134" s="31">
        <f>IFERROR(VLOOKUP($B134,Allocation!$D$10:$O$235,10,FALSE),"")</f>
        <v>149028.47607198029</v>
      </c>
      <c r="Q134" s="31">
        <f>IFERROR(VLOOKUP($B134,Allocation!$D$10:$O$235,11,FALSE),"")</f>
        <v>116950.82321890455</v>
      </c>
      <c r="R134" s="31">
        <f>IFERROR(VLOOKUP($B134,Allocation!$D$10:$O$235,12,FALSE),"")</f>
        <v>696100.66576718446</v>
      </c>
      <c r="S134" s="31">
        <f t="shared" si="245"/>
        <v>305811.78576348047</v>
      </c>
      <c r="T134" s="31">
        <f t="shared" si="246"/>
        <v>72559.713524878141</v>
      </c>
      <c r="U134" s="31">
        <f t="shared" si="247"/>
        <v>131118.52598456084</v>
      </c>
      <c r="V134" s="31">
        <f t="shared" si="248"/>
        <v>102956.80490916548</v>
      </c>
      <c r="W134" s="31">
        <f t="shared" si="249"/>
        <v>305811.78576348047</v>
      </c>
      <c r="X134" s="31">
        <f t="shared" si="250"/>
        <v>72559.713524878141</v>
      </c>
      <c r="Y134" s="31">
        <f t="shared" si="251"/>
        <v>131118.52598456084</v>
      </c>
      <c r="Z134" s="31">
        <f t="shared" si="252"/>
        <v>102956.80490916548</v>
      </c>
      <c r="AA134" s="31">
        <f t="shared" si="253"/>
        <v>305836.53550596151</v>
      </c>
      <c r="AB134" s="31">
        <f t="shared" si="254"/>
        <v>73146.980299907795</v>
      </c>
      <c r="AC134" s="31">
        <f t="shared" si="255"/>
        <v>131158.39455416094</v>
      </c>
      <c r="AD134" s="31">
        <f t="shared" si="256"/>
        <v>102993.89674441713</v>
      </c>
      <c r="AE134" s="31">
        <f t="shared" si="257"/>
        <v>613135.80710444739</v>
      </c>
      <c r="AF134" s="31">
        <f>IFERROR(VLOOKUP(A134,'Allocations By Type'!$D$7:$F$491,3,FALSE),"")</f>
        <v>546655.91</v>
      </c>
      <c r="AG134" s="31">
        <f t="shared" si="258"/>
        <v>24525.432284177896</v>
      </c>
      <c r="AH134" s="31">
        <f t="shared" si="259"/>
        <v>24525.432284177896</v>
      </c>
      <c r="AI134" s="31">
        <f t="shared" si="260"/>
        <v>588610.37482026953</v>
      </c>
      <c r="AJ134" s="31">
        <f>AI134/$AI$577*'State Admin 1004(b)'!$B$30*0.01</f>
        <v>5601.510212616653</v>
      </c>
      <c r="AK134" s="31">
        <f t="shared" si="261"/>
        <v>583008.86460765288</v>
      </c>
      <c r="AL134" s="31">
        <f t="shared" si="262"/>
        <v>5830.0886460765287</v>
      </c>
      <c r="AM134" s="31">
        <f t="shared" si="263"/>
        <v>577178.77596157638</v>
      </c>
      <c r="AP134" s="31"/>
      <c r="AQ134" s="4">
        <f t="shared" si="264"/>
        <v>1.0558356095730792</v>
      </c>
      <c r="AR134" s="4">
        <f>VLOOKUP(B134,Allocation!$D$10:$P$235,13,FALSE)</f>
        <v>1.0750667424163367</v>
      </c>
      <c r="AS134" s="4">
        <f t="shared" si="265"/>
        <v>0.9</v>
      </c>
      <c r="AT134" s="4" t="str">
        <f t="shared" si="266"/>
        <v/>
      </c>
      <c r="AU134" s="31" t="str">
        <f t="shared" si="267"/>
        <v/>
      </c>
      <c r="AV134" s="31" t="str">
        <f t="shared" si="268"/>
        <v/>
      </c>
      <c r="AW134" s="31">
        <f t="shared" si="269"/>
        <v>575328.31949335197</v>
      </c>
      <c r="AX134" s="4">
        <f t="shared" si="270"/>
        <v>1.0524505616217557</v>
      </c>
      <c r="AY134" s="4" t="str">
        <f t="shared" si="271"/>
        <v/>
      </c>
      <c r="AZ134" s="174" t="str">
        <f>IFERROR(IF(VLOOKUP(A134,#REF!,11,FALSE)=0,"",VLOOKUP(A134,#REF!,11,FALSE)),"")</f>
        <v/>
      </c>
      <c r="BA134" s="31" t="str">
        <f t="shared" si="272"/>
        <v/>
      </c>
      <c r="BB134" s="31">
        <f t="shared" si="273"/>
        <v>575328.31949335197</v>
      </c>
      <c r="BD134" s="31">
        <f>IFERROR(VLOOKUP(A134,'Title II Hold Harmless'!A$1:B$439,2, FALSE),"")</f>
        <v>4218</v>
      </c>
      <c r="BE134" s="31">
        <f t="shared" si="274"/>
        <v>14737.802747116459</v>
      </c>
      <c r="BF134" s="31">
        <f t="shared" si="275"/>
        <v>14752.062450717613</v>
      </c>
      <c r="BG134" s="31" t="str">
        <f t="shared" si="276"/>
        <v/>
      </c>
      <c r="BH134" s="31">
        <f t="shared" si="277"/>
        <v>14752.062450717613</v>
      </c>
    </row>
    <row r="135" spans="1:60" x14ac:dyDescent="0.3">
      <c r="A135" s="1">
        <v>70431000</v>
      </c>
      <c r="B135">
        <f>VLOOKUP(C135,'NCES ID'!$A$2:$B$3136,2,FALSE)</f>
        <v>401050</v>
      </c>
      <c r="C135">
        <f>VLOOKUP(A135,'State ID'!$A$2:$B$713,2,FALSE)</f>
        <v>4268</v>
      </c>
      <c r="D135" s="147" t="s">
        <v>65</v>
      </c>
      <c r="E135" t="s">
        <v>7</v>
      </c>
      <c r="F135" s="47">
        <f>VLOOKUP(B135,'Formula counts'!$D$9:$L$234,9,FALSE)</f>
        <v>3722</v>
      </c>
      <c r="G135" s="47">
        <f>VLOOKUP(B135,'Formula counts'!$D$9:$K$234,8,FALSE)</f>
        <v>1983</v>
      </c>
      <c r="H135" s="4">
        <f>VLOOKUP(B135,'Formula counts'!$D$9:$M$234,10,FALSE)</f>
        <v>0.53277807630306284</v>
      </c>
      <c r="I135" s="47">
        <f>VLOOKUP($C135,'Final SEA Counts'!$A$2:$F$709,5,FALSE)</f>
        <v>2497</v>
      </c>
      <c r="J135" s="47">
        <f>VLOOKUP($C135,'Final SEA Counts'!$A$2:$F$709,6,FALSE)</f>
        <v>2292</v>
      </c>
      <c r="K135" s="24">
        <f t="shared" si="242"/>
        <v>3374.6944076663749</v>
      </c>
      <c r="L135" s="24">
        <f t="shared" si="243"/>
        <v>1741.9752696422127</v>
      </c>
      <c r="M135" s="4">
        <f t="shared" si="244"/>
        <v>0.51618755928979088</v>
      </c>
      <c r="N135" s="31">
        <f>IFERROR(VLOOKUP($B135,Allocation!$D$10:$O$235,8,FALSE),"")</f>
        <v>998983.63666557847</v>
      </c>
      <c r="O135" s="31">
        <f>IFERROR(VLOOKUP($B135,Allocation!$D$10:$O$235,9,FALSE),"")</f>
        <v>236718.45255686404</v>
      </c>
      <c r="P135" s="31">
        <f>IFERROR(VLOOKUP($B135,Allocation!$D$10:$O$235,10,FALSE),"")</f>
        <v>743940.18789181765</v>
      </c>
      <c r="Q135" s="31">
        <f>IFERROR(VLOOKUP($B135,Allocation!$D$10:$O$235,11,FALSE),"")</f>
        <v>720866.52982645342</v>
      </c>
      <c r="R135" s="31">
        <f>IFERROR(VLOOKUP($B135,Allocation!$D$10:$O$235,12,FALSE),"")</f>
        <v>2700508.8069407139</v>
      </c>
      <c r="S135" s="31">
        <f t="shared" si="245"/>
        <v>878707.32864286518</v>
      </c>
      <c r="T135" s="31">
        <f t="shared" si="246"/>
        <v>208321.72737706051</v>
      </c>
      <c r="U135" s="31">
        <f t="shared" si="247"/>
        <v>654534.91458866396</v>
      </c>
      <c r="V135" s="31">
        <f t="shared" si="248"/>
        <v>634609.59601772414</v>
      </c>
      <c r="W135" s="31">
        <f t="shared" si="249"/>
        <v>878707.32864286518</v>
      </c>
      <c r="X135" s="31">
        <f t="shared" si="250"/>
        <v>208321.72737706051</v>
      </c>
      <c r="Y135" s="31">
        <f t="shared" si="251"/>
        <v>654534.91458866396</v>
      </c>
      <c r="Z135" s="31">
        <f t="shared" si="252"/>
        <v>634609.59601772414</v>
      </c>
      <c r="AA135" s="31">
        <f t="shared" si="253"/>
        <v>878732.07838534622</v>
      </c>
      <c r="AB135" s="31">
        <f t="shared" si="254"/>
        <v>208908.99415209016</v>
      </c>
      <c r="AC135" s="31">
        <f t="shared" si="255"/>
        <v>654574.78315826401</v>
      </c>
      <c r="AD135" s="31">
        <f t="shared" si="256"/>
        <v>634646.6878529758</v>
      </c>
      <c r="AE135" s="31">
        <f t="shared" si="257"/>
        <v>2376862.5435486762</v>
      </c>
      <c r="AF135" s="31">
        <f>IFERROR(VLOOKUP(A135,'Allocations By Type'!$D$7:$F$491,3,FALSE),"")</f>
        <v>2380094.4500000002</v>
      </c>
      <c r="AG135" s="31" t="str">
        <f t="shared" si="258"/>
        <v/>
      </c>
      <c r="AH135" s="31" t="str">
        <f t="shared" si="259"/>
        <v/>
      </c>
      <c r="AI135" s="31">
        <f t="shared" si="260"/>
        <v>2376862.5435486762</v>
      </c>
      <c r="AJ135" s="31">
        <f>AI135/$AI$577*'State Admin 1004(b)'!$B$30*0.01</f>
        <v>22619.410702265144</v>
      </c>
      <c r="AK135" s="31">
        <f t="shared" si="261"/>
        <v>2354243.1328464109</v>
      </c>
      <c r="AL135" s="31">
        <f t="shared" si="262"/>
        <v>23542.43132846411</v>
      </c>
      <c r="AM135" s="31">
        <f t="shared" si="263"/>
        <v>2330700.7015179466</v>
      </c>
      <c r="AP135" s="31"/>
      <c r="AQ135" s="4">
        <f t="shared" si="264"/>
        <v>0.97924714774153032</v>
      </c>
      <c r="AR135" s="4">
        <f>VLOOKUP(B135,Allocation!$D$10:$P$235,13,FALSE)</f>
        <v>0.95759859968411776</v>
      </c>
      <c r="AS135" s="4">
        <f t="shared" si="265"/>
        <v>0.95</v>
      </c>
      <c r="AT135" s="4" t="str">
        <f t="shared" si="266"/>
        <v/>
      </c>
      <c r="AU135" s="31" t="str">
        <f t="shared" si="267"/>
        <v/>
      </c>
      <c r="AV135" s="31" t="str">
        <f t="shared" si="268"/>
        <v/>
      </c>
      <c r="AW135" s="31">
        <f t="shared" si="269"/>
        <v>2323228.3890070892</v>
      </c>
      <c r="AX135" s="4">
        <f t="shared" si="270"/>
        <v>0.97610764522688964</v>
      </c>
      <c r="AY135" s="4" t="str">
        <f t="shared" si="271"/>
        <v/>
      </c>
      <c r="AZ135" s="174" t="str">
        <f>IFERROR(IF(VLOOKUP(A135,#REF!,11,FALSE)=0,"",VLOOKUP(A135,#REF!,11,FALSE)),"")</f>
        <v/>
      </c>
      <c r="BA135" s="31" t="str">
        <f t="shared" si="272"/>
        <v/>
      </c>
      <c r="BB135" s="31">
        <f t="shared" si="273"/>
        <v>2323228.3890070892</v>
      </c>
      <c r="BD135" s="31">
        <f>IFERROR(VLOOKUP(A135,'Title II Hold Harmless'!A$1:B$439,2, FALSE),"")</f>
        <v>178971</v>
      </c>
      <c r="BE135" s="31">
        <f t="shared" si="274"/>
        <v>204490.58154463582</v>
      </c>
      <c r="BF135" s="31">
        <f t="shared" si="275"/>
        <v>204688.43838476925</v>
      </c>
      <c r="BG135" s="31" t="str">
        <f t="shared" si="276"/>
        <v/>
      </c>
      <c r="BH135" s="31">
        <f t="shared" si="277"/>
        <v>204688.43838476925</v>
      </c>
    </row>
    <row r="136" spans="1:60" x14ac:dyDescent="0.3">
      <c r="A136" s="1">
        <v>70408000</v>
      </c>
      <c r="B136">
        <f>VLOOKUP(C136,'NCES ID'!$A$2:$B$3136,2,FALSE)</f>
        <v>405670</v>
      </c>
      <c r="C136">
        <f>VLOOKUP(A136,'State ID'!$A$2:$B$713,2,FALSE)</f>
        <v>4262</v>
      </c>
      <c r="D136" s="147" t="s">
        <v>312</v>
      </c>
      <c r="E136" t="s">
        <v>7</v>
      </c>
      <c r="F136" s="47">
        <f>VLOOKUP(B136,'Formula counts'!$D$9:$L$234,9,FALSE)</f>
        <v>3945</v>
      </c>
      <c r="G136" s="47">
        <f>VLOOKUP(B136,'Formula counts'!$D$9:$K$234,8,FALSE)</f>
        <v>1857</v>
      </c>
      <c r="H136" s="4">
        <f>VLOOKUP(B136,'Formula counts'!$D$9:$M$234,10,FALSE)</f>
        <v>0.47072243346007603</v>
      </c>
      <c r="I136" s="47">
        <f>VLOOKUP($C136,'Final SEA Counts'!$A$2:$F$709,5,FALSE)</f>
        <v>3071</v>
      </c>
      <c r="J136" s="47">
        <f>VLOOKUP($C136,'Final SEA Counts'!$A$2:$F$709,6,FALSE)</f>
        <v>1860</v>
      </c>
      <c r="K136" s="24">
        <f t="shared" si="242"/>
        <v>3576.8859318226359</v>
      </c>
      <c r="L136" s="24">
        <f t="shared" si="243"/>
        <v>1631.2900028873369</v>
      </c>
      <c r="M136" s="4">
        <f t="shared" si="244"/>
        <v>0.45606430676868065</v>
      </c>
      <c r="N136" s="31">
        <f>IFERROR(VLOOKUP($B136,Allocation!$D$10:$O$235,8,FALSE),"")</f>
        <v>876017.4568788152</v>
      </c>
      <c r="O136" s="31">
        <f>IFERROR(VLOOKUP($B136,Allocation!$D$10:$O$235,9,FALSE),"")</f>
        <v>207748.31998209251</v>
      </c>
      <c r="P136" s="31">
        <f>IFERROR(VLOOKUP($B136,Allocation!$D$10:$O$235,10,FALSE),"")</f>
        <v>608496.97532068857</v>
      </c>
      <c r="Q136" s="31">
        <f>IFERROR(VLOOKUP($B136,Allocation!$D$10:$O$235,11,FALSE),"")</f>
        <v>602520.49427701638</v>
      </c>
      <c r="R136" s="31">
        <f>IFERROR(VLOOKUP($B136,Allocation!$D$10:$O$235,12,FALSE),"")</f>
        <v>2294783.2464586124</v>
      </c>
      <c r="S136" s="31">
        <f t="shared" si="245"/>
        <v>770546.11419645033</v>
      </c>
      <c r="T136" s="31">
        <f t="shared" si="246"/>
        <v>182826.84941071732</v>
      </c>
      <c r="U136" s="31">
        <f t="shared" si="247"/>
        <v>535369.00177101966</v>
      </c>
      <c r="V136" s="31">
        <f t="shared" si="248"/>
        <v>530424.52610137162</v>
      </c>
      <c r="W136" s="31">
        <f t="shared" si="249"/>
        <v>770546.11419645033</v>
      </c>
      <c r="X136" s="31">
        <f t="shared" si="250"/>
        <v>182826.84941071732</v>
      </c>
      <c r="Y136" s="31">
        <f t="shared" si="251"/>
        <v>535369.00177101966</v>
      </c>
      <c r="Z136" s="31">
        <f t="shared" si="252"/>
        <v>530424.52610137162</v>
      </c>
      <c r="AA136" s="31">
        <f t="shared" si="253"/>
        <v>770570.86393893138</v>
      </c>
      <c r="AB136" s="31">
        <f t="shared" si="254"/>
        <v>183414.11618574697</v>
      </c>
      <c r="AC136" s="31">
        <f t="shared" si="255"/>
        <v>535408.8703406197</v>
      </c>
      <c r="AD136" s="31">
        <f t="shared" si="256"/>
        <v>530461.61793662328</v>
      </c>
      <c r="AE136" s="31">
        <f t="shared" si="257"/>
        <v>2019855.4684019214</v>
      </c>
      <c r="AF136" s="31">
        <f>IFERROR(VLOOKUP(A136,'Allocations By Type'!$D$7:$F$491,3,FALSE),"")</f>
        <v>1932097.26</v>
      </c>
      <c r="AG136" s="31">
        <f t="shared" si="258"/>
        <v>80794.218736076858</v>
      </c>
      <c r="AH136" s="31">
        <f t="shared" si="259"/>
        <v>80794.218736076858</v>
      </c>
      <c r="AI136" s="31">
        <f t="shared" si="260"/>
        <v>1939061.2496658445</v>
      </c>
      <c r="AJ136" s="31">
        <f>AI136/$AI$577*'State Admin 1004(b)'!$B$30*0.01</f>
        <v>18453.075000944416</v>
      </c>
      <c r="AK136" s="31">
        <f t="shared" si="261"/>
        <v>1920608.1746649002</v>
      </c>
      <c r="AL136" s="31">
        <f t="shared" si="262"/>
        <v>19206.081746649001</v>
      </c>
      <c r="AM136" s="31">
        <f t="shared" si="263"/>
        <v>1901402.0929182512</v>
      </c>
      <c r="AP136" s="31"/>
      <c r="AQ136" s="4">
        <f t="shared" si="264"/>
        <v>0.9841130321349616</v>
      </c>
      <c r="AR136" s="4">
        <f>VLOOKUP(B136,Allocation!$D$10:$P$235,13,FALSE)</f>
        <v>1.0026992881991195</v>
      </c>
      <c r="AS136" s="4">
        <f t="shared" si="265"/>
        <v>0.95</v>
      </c>
      <c r="AT136" s="4" t="str">
        <f t="shared" si="266"/>
        <v/>
      </c>
      <c r="AU136" s="31" t="str">
        <f t="shared" si="267"/>
        <v/>
      </c>
      <c r="AV136" s="31" t="str">
        <f t="shared" si="268"/>
        <v/>
      </c>
      <c r="AW136" s="31">
        <f t="shared" si="269"/>
        <v>1895306.1275985385</v>
      </c>
      <c r="AX136" s="4">
        <f t="shared" si="270"/>
        <v>0.98095792941528137</v>
      </c>
      <c r="AY136" s="4" t="str">
        <f t="shared" si="271"/>
        <v/>
      </c>
      <c r="AZ136" s="174" t="str">
        <f>IFERROR(IF(VLOOKUP(A136,#REF!,11,FALSE)=0,"",VLOOKUP(A136,#REF!,11,FALSE)),"")</f>
        <v/>
      </c>
      <c r="BA136" s="31" t="str">
        <f t="shared" si="272"/>
        <v/>
      </c>
      <c r="BB136" s="31">
        <f t="shared" si="273"/>
        <v>1895306.1275985385</v>
      </c>
      <c r="BD136" s="31">
        <f>IFERROR(VLOOKUP(A136,'Title II Hold Harmless'!A$1:B$439,2, FALSE),"")</f>
        <v>199127</v>
      </c>
      <c r="BE136" s="31">
        <f t="shared" si="274"/>
        <v>223360.36059357316</v>
      </c>
      <c r="BF136" s="31">
        <f t="shared" si="275"/>
        <v>223576.4750709456</v>
      </c>
      <c r="BG136" s="31" t="str">
        <f t="shared" si="276"/>
        <v/>
      </c>
      <c r="BH136" s="31">
        <f t="shared" si="277"/>
        <v>223576.4750709456</v>
      </c>
    </row>
    <row r="137" spans="1:60" x14ac:dyDescent="0.3">
      <c r="A137" s="1">
        <v>70425000</v>
      </c>
      <c r="B137">
        <f>VLOOKUP(C137,'NCES ID'!$A$2:$B$3136,2,FALSE)</f>
        <v>404320</v>
      </c>
      <c r="C137">
        <f>VLOOKUP(A137,'State ID'!$A$2:$B$713,2,FALSE)</f>
        <v>4266</v>
      </c>
      <c r="D137" s="147" t="s">
        <v>260</v>
      </c>
      <c r="E137" t="s">
        <v>7</v>
      </c>
      <c r="F137" s="47">
        <f>VLOOKUP(B137,'Formula counts'!$D$9:$L$234,9,FALSE)</f>
        <v>4077</v>
      </c>
      <c r="G137" s="47">
        <f>VLOOKUP(B137,'Formula counts'!$D$9:$K$234,8,FALSE)</f>
        <v>655</v>
      </c>
      <c r="H137" s="4">
        <f>VLOOKUP(B137,'Formula counts'!$D$9:$M$234,10,FALSE)</f>
        <v>0.16065734608780965</v>
      </c>
      <c r="I137" s="47">
        <f>VLOOKUP($C137,'Final SEA Counts'!$A$2:$F$709,5,FALSE)</f>
        <v>3384</v>
      </c>
      <c r="J137" s="47">
        <f>VLOOKUP($C137,'Final SEA Counts'!$A$2:$F$709,6,FALSE)</f>
        <v>1898</v>
      </c>
      <c r="K137" s="24">
        <f t="shared" si="242"/>
        <v>3696.5688071079558</v>
      </c>
      <c r="L137" s="24">
        <f t="shared" si="243"/>
        <v>575.38769622574353</v>
      </c>
      <c r="M137" s="4">
        <f t="shared" si="244"/>
        <v>0.15565453431283571</v>
      </c>
      <c r="N137" s="31">
        <f>IFERROR(VLOOKUP($B137,Allocation!$D$10:$O$235,8,FALSE),"")</f>
        <v>308988.3867827807</v>
      </c>
      <c r="O137" s="31">
        <f>IFERROR(VLOOKUP($B137,Allocation!$D$10:$O$235,9,FALSE),"")</f>
        <v>73276.871076074662</v>
      </c>
      <c r="P137" s="31">
        <f>IFERROR(VLOOKUP($B137,Allocation!$D$10:$O$235,10,FALSE),"")</f>
        <v>95033.188773373229</v>
      </c>
      <c r="Q137" s="31">
        <f>IFERROR(VLOOKUP($B137,Allocation!$D$10:$O$235,11,FALSE),"")</f>
        <v>73121.883101025276</v>
      </c>
      <c r="R137" s="31">
        <f>IFERROR(VLOOKUP($B137,Allocation!$D$10:$O$235,12,FALSE),"")</f>
        <v>550420.32973325381</v>
      </c>
      <c r="S137" s="31">
        <f t="shared" si="245"/>
        <v>271786.59386035259</v>
      </c>
      <c r="T137" s="31">
        <f t="shared" si="246"/>
        <v>64486.583933236339</v>
      </c>
      <c r="U137" s="31">
        <f t="shared" si="247"/>
        <v>83612.286456977366</v>
      </c>
      <c r="V137" s="31">
        <f t="shared" si="248"/>
        <v>64372.316891961251</v>
      </c>
      <c r="W137" s="31">
        <f t="shared" si="249"/>
        <v>271786.59386035259</v>
      </c>
      <c r="X137" s="31">
        <f t="shared" si="250"/>
        <v>64486.583933236339</v>
      </c>
      <c r="Y137" s="31">
        <f t="shared" si="251"/>
        <v>83612.286456977366</v>
      </c>
      <c r="Z137" s="31">
        <f t="shared" si="252"/>
        <v>64372.316891961251</v>
      </c>
      <c r="AA137" s="31">
        <f t="shared" si="253"/>
        <v>271811.34360283363</v>
      </c>
      <c r="AB137" s="31">
        <f t="shared" si="254"/>
        <v>65073.850708265985</v>
      </c>
      <c r="AC137" s="31">
        <f t="shared" si="255"/>
        <v>83652.155026577457</v>
      </c>
      <c r="AD137" s="31">
        <f t="shared" si="256"/>
        <v>64409.408727212896</v>
      </c>
      <c r="AE137" s="31">
        <f t="shared" si="257"/>
        <v>484946.75806488993</v>
      </c>
      <c r="AF137" s="31">
        <f>IFERROR(VLOOKUP(A137,'Allocations By Type'!$D$7:$F$491,3,FALSE),"")</f>
        <v>447218</v>
      </c>
      <c r="AG137" s="31">
        <f t="shared" si="258"/>
        <v>19397.870322595598</v>
      </c>
      <c r="AH137" s="31">
        <f t="shared" si="259"/>
        <v>19397.870322595598</v>
      </c>
      <c r="AI137" s="31">
        <f t="shared" si="260"/>
        <v>465548.88774229435</v>
      </c>
      <c r="AJ137" s="31">
        <f>AI137/$AI$577*'State Admin 1004(b)'!$B$30*0.01</f>
        <v>4430.3956585152991</v>
      </c>
      <c r="AK137" s="31">
        <f t="shared" si="261"/>
        <v>461118.49208377907</v>
      </c>
      <c r="AL137" s="31">
        <f t="shared" si="262"/>
        <v>4611.1849208377907</v>
      </c>
      <c r="AM137" s="31">
        <f t="shared" si="263"/>
        <v>456507.30716294126</v>
      </c>
      <c r="AP137" s="31"/>
      <c r="AQ137" s="4">
        <f t="shared" si="264"/>
        <v>1.0207713177084583</v>
      </c>
      <c r="AR137" s="4">
        <f>VLOOKUP(B137,Allocation!$D$10:$P$235,13,FALSE)</f>
        <v>1.0391810196565821</v>
      </c>
      <c r="AS137" s="4">
        <f t="shared" si="265"/>
        <v>0.9</v>
      </c>
      <c r="AT137" s="4" t="str">
        <f t="shared" si="266"/>
        <v/>
      </c>
      <c r="AU137" s="31" t="str">
        <f t="shared" si="267"/>
        <v/>
      </c>
      <c r="AV137" s="31" t="str">
        <f t="shared" si="268"/>
        <v/>
      </c>
      <c r="AW137" s="31">
        <f t="shared" si="269"/>
        <v>455043.72787951381</v>
      </c>
      <c r="AX137" s="4">
        <f t="shared" si="270"/>
        <v>1.0174986871716116</v>
      </c>
      <c r="AY137" s="4" t="str">
        <f t="shared" si="271"/>
        <v/>
      </c>
      <c r="AZ137" s="174" t="str">
        <f>IFERROR(IF(VLOOKUP(A137,#REF!,11,FALSE)=0,"",VLOOKUP(A137,#REF!,11,FALSE)),"")</f>
        <v/>
      </c>
      <c r="BA137" s="31" t="str">
        <f t="shared" si="272"/>
        <v/>
      </c>
      <c r="BB137" s="31">
        <f t="shared" si="273"/>
        <v>455043.72787951381</v>
      </c>
      <c r="BD137" s="31">
        <f>IFERROR(VLOOKUP(A137,'Title II Hold Harmless'!A$1:B$439,2, FALSE),"")</f>
        <v>36493</v>
      </c>
      <c r="BE137" s="31">
        <f t="shared" si="274"/>
        <v>47000.209576030757</v>
      </c>
      <c r="BF137" s="31">
        <f t="shared" si="275"/>
        <v>47045.68508342126</v>
      </c>
      <c r="BG137" s="31" t="str">
        <f t="shared" si="276"/>
        <v/>
      </c>
      <c r="BH137" s="31">
        <f t="shared" si="277"/>
        <v>47045.68508342126</v>
      </c>
    </row>
    <row r="138" spans="1:60" x14ac:dyDescent="0.3">
      <c r="A138" s="1">
        <v>70501000</v>
      </c>
      <c r="B138">
        <f>VLOOKUP(C138,'NCES ID'!$A$2:$B$3136,2,FALSE)</f>
        <v>401410</v>
      </c>
      <c r="C138">
        <f>VLOOKUP(A138,'State ID'!$A$2:$B$713,2,FALSE)</f>
        <v>4284</v>
      </c>
      <c r="D138" s="147" t="s">
        <v>80</v>
      </c>
      <c r="E138" t="s">
        <v>7</v>
      </c>
      <c r="F138" s="47">
        <f>VLOOKUP(B138,'Formula counts'!$D$9:$L$234,9,FALSE)</f>
        <v>4369</v>
      </c>
      <c r="G138" s="47">
        <f>VLOOKUP(B138,'Formula counts'!$D$9:$K$234,8,FALSE)</f>
        <v>795</v>
      </c>
      <c r="H138" s="4">
        <f>VLOOKUP(B138,'Formula counts'!$D$9:$M$234,10,FALSE)</f>
        <v>0.18196383611810482</v>
      </c>
      <c r="I138" s="47">
        <f>VLOOKUP($C138,'Final SEA Counts'!$A$2:$F$709,5,FALSE)</f>
        <v>3010</v>
      </c>
      <c r="J138" s="47">
        <f>VLOOKUP($C138,'Final SEA Counts'!$A$2:$F$709,6,FALSE)</f>
        <v>1718</v>
      </c>
      <c r="K138" s="24">
        <f t="shared" si="242"/>
        <v>3961.32183425427</v>
      </c>
      <c r="L138" s="24">
        <f t="shared" si="243"/>
        <v>698.37132595338335</v>
      </c>
      <c r="M138" s="4">
        <f t="shared" si="244"/>
        <v>0.17629754793322763</v>
      </c>
      <c r="N138" s="31">
        <f>IFERROR(VLOOKUP($B138,Allocation!$D$10:$O$235,8,FALSE),"")</f>
        <v>375031.70609513071</v>
      </c>
      <c r="O138" s="31">
        <f>IFERROR(VLOOKUP($B138,Allocation!$D$10:$O$235,9,FALSE),"")</f>
        <v>88939.103061800532</v>
      </c>
      <c r="P138" s="31">
        <f>IFERROR(VLOOKUP($B138,Allocation!$D$10:$O$235,10,FALSE),"")</f>
        <v>124951.08614032541</v>
      </c>
      <c r="Q138" s="31">
        <f>IFERROR(VLOOKUP($B138,Allocation!$D$10:$O$235,11,FALSE),"")</f>
        <v>93714.861883742953</v>
      </c>
      <c r="R138" s="31">
        <f>IFERROR(VLOOKUP($B138,Allocation!$D$10:$O$235,12,FALSE),"")</f>
        <v>682636.75718099962</v>
      </c>
      <c r="S138" s="31">
        <f t="shared" si="245"/>
        <v>329878.38491447369</v>
      </c>
      <c r="T138" s="31">
        <f t="shared" si="246"/>
        <v>78269.975918966229</v>
      </c>
      <c r="U138" s="31">
        <f t="shared" si="247"/>
        <v>109934.70957172121</v>
      </c>
      <c r="V138" s="31">
        <f t="shared" si="248"/>
        <v>82501.195686275969</v>
      </c>
      <c r="W138" s="31">
        <f t="shared" si="249"/>
        <v>329878.38491447369</v>
      </c>
      <c r="X138" s="31">
        <f t="shared" si="250"/>
        <v>78269.975918966229</v>
      </c>
      <c r="Y138" s="31">
        <f t="shared" si="251"/>
        <v>109934.70957172121</v>
      </c>
      <c r="Z138" s="31">
        <f t="shared" si="252"/>
        <v>82501.195686275969</v>
      </c>
      <c r="AA138" s="31">
        <f t="shared" si="253"/>
        <v>329903.13465695473</v>
      </c>
      <c r="AB138" s="31">
        <f t="shared" si="254"/>
        <v>78857.242693995882</v>
      </c>
      <c r="AC138" s="31">
        <f t="shared" si="255"/>
        <v>109974.5781413213</v>
      </c>
      <c r="AD138" s="31">
        <f t="shared" si="256"/>
        <v>82538.287521527614</v>
      </c>
      <c r="AE138" s="31">
        <f t="shared" si="257"/>
        <v>601273.24301379954</v>
      </c>
      <c r="AF138" s="31">
        <f>IFERROR(VLOOKUP(A138,'Allocations By Type'!$D$7:$F$491,3,FALSE),"")</f>
        <v>544807.92000000004</v>
      </c>
      <c r="AG138" s="31">
        <f t="shared" si="258"/>
        <v>24050.929720551983</v>
      </c>
      <c r="AH138" s="31">
        <f t="shared" si="259"/>
        <v>24050.929720551983</v>
      </c>
      <c r="AI138" s="31">
        <f t="shared" si="260"/>
        <v>577222.3132932476</v>
      </c>
      <c r="AJ138" s="31">
        <f>AI138/$AI$577*'State Admin 1004(b)'!$B$30*0.01</f>
        <v>5493.1357332082689</v>
      </c>
      <c r="AK138" s="31">
        <f t="shared" si="261"/>
        <v>571729.17756003933</v>
      </c>
      <c r="AL138" s="31">
        <f t="shared" si="262"/>
        <v>5717.2917756003935</v>
      </c>
      <c r="AM138" s="31">
        <f t="shared" si="263"/>
        <v>566011.88578443893</v>
      </c>
      <c r="AP138" s="31"/>
      <c r="AQ138" s="4">
        <f t="shared" si="264"/>
        <v>1.0389200762434563</v>
      </c>
      <c r="AR138" s="4">
        <f>VLOOKUP(B138,Allocation!$D$10:$P$235,13,FALSE)</f>
        <v>1.0841268476167893</v>
      </c>
      <c r="AS138" s="4">
        <f t="shared" si="265"/>
        <v>0.9</v>
      </c>
      <c r="AT138" s="4" t="str">
        <f t="shared" si="266"/>
        <v/>
      </c>
      <c r="AU138" s="31" t="str">
        <f t="shared" si="267"/>
        <v/>
      </c>
      <c r="AV138" s="31" t="str">
        <f t="shared" si="268"/>
        <v/>
      </c>
      <c r="AW138" s="31">
        <f t="shared" si="269"/>
        <v>564197.23077846307</v>
      </c>
      <c r="AX138" s="4">
        <f t="shared" si="270"/>
        <v>1.0355892601165986</v>
      </c>
      <c r="AY138" s="4" t="str">
        <f t="shared" si="271"/>
        <v/>
      </c>
      <c r="AZ138" s="174" t="str">
        <f>IFERROR(IF(VLOOKUP(A138,#REF!,11,FALSE)=0,"",VLOOKUP(A138,#REF!,11,FALSE)),"")</f>
        <v/>
      </c>
      <c r="BA138" s="31" t="str">
        <f t="shared" si="272"/>
        <v/>
      </c>
      <c r="BB138" s="31">
        <f t="shared" si="273"/>
        <v>564197.23077846307</v>
      </c>
      <c r="BD138" s="31">
        <f>IFERROR(VLOOKUP(A138,'Title II Hold Harmless'!A$1:B$439,2, FALSE),"")</f>
        <v>23527</v>
      </c>
      <c r="BE138" s="31">
        <f t="shared" si="274"/>
        <v>35857.221204427289</v>
      </c>
      <c r="BF138" s="31">
        <f t="shared" si="275"/>
        <v>35891.915205636949</v>
      </c>
      <c r="BG138" s="31" t="str">
        <f t="shared" si="276"/>
        <v/>
      </c>
      <c r="BH138" s="31">
        <f t="shared" si="277"/>
        <v>35891.915205636949</v>
      </c>
    </row>
    <row r="139" spans="1:60" x14ac:dyDescent="0.3">
      <c r="A139" s="1">
        <v>70438000</v>
      </c>
      <c r="B139">
        <f>VLOOKUP(C139,'NCES ID'!$A$2:$B$3136,2,FALSE)</f>
        <v>404500</v>
      </c>
      <c r="C139">
        <f>VLOOKUP(A139,'State ID'!$A$2:$B$713,2,FALSE)</f>
        <v>4270</v>
      </c>
      <c r="D139" s="147" t="s">
        <v>265</v>
      </c>
      <c r="E139" t="s">
        <v>7</v>
      </c>
      <c r="F139" s="47">
        <f>VLOOKUP(B139,'Formula counts'!$D$9:$L$234,9,FALSE)</f>
        <v>5307</v>
      </c>
      <c r="G139" s="47">
        <f>VLOOKUP(B139,'Formula counts'!$D$9:$K$234,8,FALSE)</f>
        <v>1095</v>
      </c>
      <c r="H139" s="4">
        <f>VLOOKUP(B139,'Formula counts'!$D$9:$M$234,10,FALSE)</f>
        <v>0.20633126059920859</v>
      </c>
      <c r="I139" s="47">
        <f>VLOOKUP($C139,'Final SEA Counts'!$A$2:$F$709,5,FALSE)</f>
        <v>5826</v>
      </c>
      <c r="J139" s="47">
        <f>VLOOKUP($C139,'Final SEA Counts'!$A$2:$F$709,6,FALSE)</f>
        <v>2271</v>
      </c>
      <c r="K139" s="24">
        <f t="shared" si="242"/>
        <v>4811.7955995393477</v>
      </c>
      <c r="L139" s="24">
        <f t="shared" si="243"/>
        <v>961.90767536975443</v>
      </c>
      <c r="M139" s="4">
        <f t="shared" si="244"/>
        <v>0.19990617961033957</v>
      </c>
      <c r="N139" s="31">
        <f>IFERROR(VLOOKUP($B139,Allocation!$D$10:$O$235,8,FALSE),"")</f>
        <v>516553.10462159506</v>
      </c>
      <c r="O139" s="31">
        <f>IFERROR(VLOOKUP($B139,Allocation!$D$10:$O$235,9,FALSE),"")</f>
        <v>122501.02874549883</v>
      </c>
      <c r="P139" s="31">
        <f>IFERROR(VLOOKUP($B139,Allocation!$D$10:$O$235,10,FALSE),"")</f>
        <v>184007.72802770566</v>
      </c>
      <c r="Q139" s="31">
        <f>IFERROR(VLOOKUP($B139,Allocation!$D$10:$O$235,11,FALSE),"")</f>
        <v>142636.24590225861</v>
      </c>
      <c r="R139" s="31">
        <f>IFERROR(VLOOKUP($B139,Allocation!$D$10:$O$235,12,FALSE),"")</f>
        <v>965698.10729705822</v>
      </c>
      <c r="S139" s="31">
        <f t="shared" si="245"/>
        <v>454360.79431616183</v>
      </c>
      <c r="T139" s="31">
        <f t="shared" si="246"/>
        <v>107805.81588838744</v>
      </c>
      <c r="U139" s="31">
        <f t="shared" si="247"/>
        <v>161894.04001626876</v>
      </c>
      <c r="V139" s="31">
        <f t="shared" si="248"/>
        <v>125568.77957880653</v>
      </c>
      <c r="W139" s="31">
        <f t="shared" si="249"/>
        <v>454360.79431616183</v>
      </c>
      <c r="X139" s="31">
        <f t="shared" si="250"/>
        <v>107805.81588838744</v>
      </c>
      <c r="Y139" s="31">
        <f t="shared" si="251"/>
        <v>161894.04001626876</v>
      </c>
      <c r="Z139" s="31">
        <f t="shared" si="252"/>
        <v>125568.77957880653</v>
      </c>
      <c r="AA139" s="31">
        <f t="shared" si="253"/>
        <v>454385.54405864287</v>
      </c>
      <c r="AB139" s="31">
        <f t="shared" si="254"/>
        <v>108393.0826634171</v>
      </c>
      <c r="AC139" s="31">
        <f t="shared" si="255"/>
        <v>161933.90858586886</v>
      </c>
      <c r="AD139" s="31">
        <f t="shared" si="256"/>
        <v>125605.87141405817</v>
      </c>
      <c r="AE139" s="31">
        <f t="shared" si="257"/>
        <v>850318.40672198695</v>
      </c>
      <c r="AF139" s="31">
        <f>IFERROR(VLOOKUP(A139,'Allocations By Type'!$D$7:$F$491,3,FALSE),"")</f>
        <v>811025.07</v>
      </c>
      <c r="AG139" s="31">
        <f t="shared" si="258"/>
        <v>34012.736268879482</v>
      </c>
      <c r="AH139" s="31">
        <f t="shared" si="259"/>
        <v>34012.736268879482</v>
      </c>
      <c r="AI139" s="31">
        <f t="shared" si="260"/>
        <v>816305.67045310745</v>
      </c>
      <c r="AJ139" s="31">
        <f>AI139/$AI$577*'State Admin 1004(b)'!$B$30*0.01</f>
        <v>7768.3723312831135</v>
      </c>
      <c r="AK139" s="31">
        <f t="shared" si="261"/>
        <v>808537.29812182439</v>
      </c>
      <c r="AL139" s="31">
        <f t="shared" si="262"/>
        <v>8085.3729812182437</v>
      </c>
      <c r="AM139" s="31">
        <f t="shared" si="263"/>
        <v>800451.92514060612</v>
      </c>
      <c r="AP139" s="31"/>
      <c r="AQ139" s="4">
        <f t="shared" si="264"/>
        <v>0.98696323301153466</v>
      </c>
      <c r="AR139" s="4">
        <f>VLOOKUP(B139,Allocation!$D$10:$P$235,13,FALSE)</f>
        <v>1.024037936784062</v>
      </c>
      <c r="AS139" s="4">
        <f t="shared" si="265"/>
        <v>0.9</v>
      </c>
      <c r="AT139" s="4" t="str">
        <f t="shared" si="266"/>
        <v/>
      </c>
      <c r="AU139" s="31" t="str">
        <f t="shared" si="267"/>
        <v/>
      </c>
      <c r="AV139" s="31" t="str">
        <f t="shared" si="268"/>
        <v/>
      </c>
      <c r="AW139" s="31">
        <f t="shared" si="269"/>
        <v>797885.64671168872</v>
      </c>
      <c r="AX139" s="4">
        <f t="shared" si="270"/>
        <v>0.9837989924425995</v>
      </c>
      <c r="AY139" s="4" t="str">
        <f t="shared" si="271"/>
        <v/>
      </c>
      <c r="AZ139" s="174" t="str">
        <f>IFERROR(IF(VLOOKUP(A139,#REF!,11,FALSE)=0,"",VLOOKUP(A139,#REF!,11,FALSE)),"")</f>
        <v/>
      </c>
      <c r="BA139" s="31" t="str">
        <f t="shared" si="272"/>
        <v/>
      </c>
      <c r="BB139" s="31">
        <f t="shared" si="273"/>
        <v>797885.64671168872</v>
      </c>
      <c r="BD139" s="31">
        <f>IFERROR(VLOOKUP(A139,'Title II Hold Harmless'!A$1:B$439,2, FALSE),"")</f>
        <v>125018</v>
      </c>
      <c r="BE139" s="31">
        <f t="shared" si="274"/>
        <v>141482.55038598643</v>
      </c>
      <c r="BF139" s="31">
        <f t="shared" si="275"/>
        <v>141619.44319611948</v>
      </c>
      <c r="BG139" s="31" t="str">
        <f t="shared" si="276"/>
        <v/>
      </c>
      <c r="BH139" s="31">
        <f t="shared" si="277"/>
        <v>141619.44319611948</v>
      </c>
    </row>
    <row r="140" spans="1:60" x14ac:dyDescent="0.3">
      <c r="A140" s="1">
        <v>70445000</v>
      </c>
      <c r="B140">
        <f>VLOOKUP(C140,'NCES ID'!$A$2:$B$3136,2,FALSE)</f>
        <v>403060</v>
      </c>
      <c r="C140">
        <f>VLOOKUP(A140,'State ID'!$A$2:$B$713,2,FALSE)</f>
        <v>4273</v>
      </c>
      <c r="D140" s="147" t="s">
        <v>172</v>
      </c>
      <c r="E140" t="s">
        <v>7</v>
      </c>
      <c r="F140" s="47">
        <f>VLOOKUP(B140,'Formula counts'!$D$9:$L$234,9,FALSE)</f>
        <v>5689</v>
      </c>
      <c r="G140" s="47">
        <f>VLOOKUP(B140,'Formula counts'!$D$9:$K$234,8,FALSE)</f>
        <v>2150</v>
      </c>
      <c r="H140" s="4">
        <f>VLOOKUP(B140,'Formula counts'!$D$9:$M$234,10,FALSE)</f>
        <v>0.37792230620495693</v>
      </c>
      <c r="I140" s="47">
        <f>VLOOKUP($C140,'Final SEA Counts'!$A$2:$F$709,5,FALSE)</f>
        <v>4625</v>
      </c>
      <c r="J140" s="47">
        <f>VLOOKUP($C140,'Final SEA Counts'!$A$2:$F$709,6,FALSE)</f>
        <v>4101</v>
      </c>
      <c r="K140" s="24">
        <f t="shared" si="242"/>
        <v>5158.1505871074714</v>
      </c>
      <c r="L140" s="24">
        <f t="shared" si="243"/>
        <v>1888.677170817326</v>
      </c>
      <c r="M140" s="4">
        <f t="shared" si="244"/>
        <v>0.36615394198416312</v>
      </c>
      <c r="N140" s="31">
        <f>IFERROR(VLOOKUP($B140,Allocation!$D$10:$O$235,8,FALSE),"")</f>
        <v>1014236.689439662</v>
      </c>
      <c r="O140" s="31">
        <f>IFERROR(VLOOKUP($B140,Allocation!$D$10:$O$235,9,FALSE),"")</f>
        <v>240527.13406650454</v>
      </c>
      <c r="P140" s="31">
        <f>IFERROR(VLOOKUP($B140,Allocation!$D$10:$O$235,10,FALSE),"")</f>
        <v>580611.78876764199</v>
      </c>
      <c r="Q140" s="31">
        <f>IFERROR(VLOOKUP($B140,Allocation!$D$10:$O$235,11,FALSE),"")</f>
        <v>524726.13589204836</v>
      </c>
      <c r="R140" s="31">
        <f>IFERROR(VLOOKUP($B140,Allocation!$D$10:$O$235,12,FALSE),"")</f>
        <v>2360101.748165857</v>
      </c>
      <c r="S140" s="31">
        <f t="shared" si="245"/>
        <v>892123.93404543237</v>
      </c>
      <c r="T140" s="31">
        <f t="shared" si="246"/>
        <v>211673.51978085205</v>
      </c>
      <c r="U140" s="31">
        <f t="shared" si="247"/>
        <v>510835.00226964918</v>
      </c>
      <c r="V140" s="31">
        <f t="shared" si="248"/>
        <v>461938.82964515238</v>
      </c>
      <c r="W140" s="31">
        <f t="shared" si="249"/>
        <v>892123.93404543237</v>
      </c>
      <c r="X140" s="31">
        <f t="shared" si="250"/>
        <v>211673.51978085205</v>
      </c>
      <c r="Y140" s="31">
        <f t="shared" si="251"/>
        <v>510835.00226964918</v>
      </c>
      <c r="Z140" s="31">
        <f t="shared" si="252"/>
        <v>461938.82964515238</v>
      </c>
      <c r="AA140" s="31">
        <f t="shared" si="253"/>
        <v>892148.68378791341</v>
      </c>
      <c r="AB140" s="31">
        <f t="shared" si="254"/>
        <v>212260.7865558817</v>
      </c>
      <c r="AC140" s="31">
        <f t="shared" si="255"/>
        <v>510874.87083924928</v>
      </c>
      <c r="AD140" s="31">
        <f t="shared" si="256"/>
        <v>461975.92148040404</v>
      </c>
      <c r="AE140" s="31">
        <f t="shared" si="257"/>
        <v>2077260.2626634485</v>
      </c>
      <c r="AF140" s="31">
        <f>IFERROR(VLOOKUP(A140,'Allocations By Type'!$D$7:$F$491,3,FALSE),"")</f>
        <v>1814955.63</v>
      </c>
      <c r="AG140" s="31">
        <f t="shared" si="258"/>
        <v>83090.410506537941</v>
      </c>
      <c r="AH140" s="31">
        <f t="shared" si="259"/>
        <v>83090.410506537941</v>
      </c>
      <c r="AI140" s="31">
        <f t="shared" si="260"/>
        <v>1994169.8521569106</v>
      </c>
      <c r="AJ140" s="31">
        <f>AI140/$AI$577*'State Admin 1004(b)'!$B$30*0.01</f>
        <v>18977.515977288054</v>
      </c>
      <c r="AK140" s="31">
        <f t="shared" si="261"/>
        <v>1975192.3361796224</v>
      </c>
      <c r="AL140" s="31">
        <f t="shared" si="262"/>
        <v>19751.923361796224</v>
      </c>
      <c r="AM140" s="31">
        <f t="shared" si="263"/>
        <v>1955440.4128178263</v>
      </c>
      <c r="AP140" s="31"/>
      <c r="AQ140" s="4">
        <f t="shared" si="264"/>
        <v>1.0774039764365073</v>
      </c>
      <c r="AR140" s="4">
        <f>VLOOKUP(B140,Allocation!$D$10:$P$235,13,FALSE)</f>
        <v>1.1222897035938062</v>
      </c>
      <c r="AS140" s="4">
        <f t="shared" si="265"/>
        <v>0.95</v>
      </c>
      <c r="AT140" s="4" t="str">
        <f t="shared" si="266"/>
        <v/>
      </c>
      <c r="AU140" s="31" t="str">
        <f t="shared" si="267"/>
        <v/>
      </c>
      <c r="AV140" s="31" t="str">
        <f t="shared" si="268"/>
        <v/>
      </c>
      <c r="AW140" s="31">
        <f t="shared" si="269"/>
        <v>1949171.198649135</v>
      </c>
      <c r="AX140" s="4">
        <f t="shared" si="270"/>
        <v>1.0739497795046016</v>
      </c>
      <c r="AY140" s="4" t="str">
        <f t="shared" si="271"/>
        <v/>
      </c>
      <c r="AZ140" s="174" t="str">
        <f>IFERROR(IF(VLOOKUP(A140,#REF!,11,FALSE)=0,"",VLOOKUP(A140,#REF!,11,FALSE)),"")</f>
        <v/>
      </c>
      <c r="BA140" s="31" t="str">
        <f t="shared" si="272"/>
        <v/>
      </c>
      <c r="BB140" s="31">
        <f t="shared" si="273"/>
        <v>1949171.198649135</v>
      </c>
      <c r="BD140" s="31">
        <f>IFERROR(VLOOKUP(A140,'Title II Hold Harmless'!A$1:B$439,2, FALSE),"")</f>
        <v>87850</v>
      </c>
      <c r="BE140" s="31">
        <f t="shared" si="274"/>
        <v>116725.33313276964</v>
      </c>
      <c r="BF140" s="31">
        <f t="shared" si="275"/>
        <v>116838.27185788217</v>
      </c>
      <c r="BG140" s="31" t="str">
        <f t="shared" si="276"/>
        <v/>
      </c>
      <c r="BH140" s="31">
        <f t="shared" si="277"/>
        <v>116838.27185788217</v>
      </c>
    </row>
    <row r="141" spans="1:60" x14ac:dyDescent="0.3">
      <c r="A141" s="1">
        <v>70433000</v>
      </c>
      <c r="B141">
        <f>VLOOKUP(C141,'NCES ID'!$A$2:$B$3136,2,FALSE)</f>
        <v>401380</v>
      </c>
      <c r="C141">
        <f>VLOOKUP(A141,'State ID'!$A$2:$B$713,2,FALSE)</f>
        <v>4269</v>
      </c>
      <c r="D141" s="147" t="s">
        <v>79</v>
      </c>
      <c r="E141" t="s">
        <v>7</v>
      </c>
      <c r="F141" s="47">
        <f>VLOOKUP(B141,'Formula counts'!$D$9:$L$234,9,FALSE)</f>
        <v>5951</v>
      </c>
      <c r="G141" s="47">
        <f>VLOOKUP(B141,'Formula counts'!$D$9:$K$234,8,FALSE)</f>
        <v>1495</v>
      </c>
      <c r="H141" s="4">
        <f>VLOOKUP(B141,'Formula counts'!$D$9:$M$234,10,FALSE)</f>
        <v>0.25121828264157287</v>
      </c>
      <c r="I141" s="47">
        <f>VLOOKUP($C141,'Final SEA Counts'!$A$2:$F$709,5,FALSE)</f>
        <v>5147</v>
      </c>
      <c r="J141" s="47">
        <f>VLOOKUP($C141,'Final SEA Counts'!$A$2:$F$709,6,FALSE)</f>
        <v>3268</v>
      </c>
      <c r="K141" s="24">
        <f t="shared" si="242"/>
        <v>5395.7029607798486</v>
      </c>
      <c r="L141" s="24">
        <f t="shared" si="243"/>
        <v>1313.2894745915826</v>
      </c>
      <c r="M141" s="4">
        <f t="shared" si="244"/>
        <v>0.24339543598630028</v>
      </c>
      <c r="N141" s="31">
        <f>IFERROR(VLOOKUP($B141,Allocation!$D$10:$O$235,8,FALSE),"")</f>
        <v>705248.30265688093</v>
      </c>
      <c r="O141" s="31">
        <f>IFERROR(VLOOKUP($B141,Allocation!$D$10:$O$235,9,FALSE),"")</f>
        <v>167250.26299042991</v>
      </c>
      <c r="P141" s="31">
        <f>IFERROR(VLOOKUP($B141,Allocation!$D$10:$O$235,10,FALSE),"")</f>
        <v>291589.2684839252</v>
      </c>
      <c r="Q141" s="31">
        <f>IFERROR(VLOOKUP($B141,Allocation!$D$10:$O$235,11,FALSE),"")</f>
        <v>225201.1818557934</v>
      </c>
      <c r="R141" s="31">
        <f>IFERROR(VLOOKUP($B141,Allocation!$D$10:$O$235,12,FALSE),"")</f>
        <v>1389289.0159870293</v>
      </c>
      <c r="S141" s="31">
        <f t="shared" si="245"/>
        <v>620337.34018507937</v>
      </c>
      <c r="T141" s="31">
        <f t="shared" si="246"/>
        <v>147186.93584761574</v>
      </c>
      <c r="U141" s="31">
        <f t="shared" si="247"/>
        <v>256546.64185160381</v>
      </c>
      <c r="V141" s="31">
        <f t="shared" si="248"/>
        <v>198254.21923060488</v>
      </c>
      <c r="W141" s="31">
        <f t="shared" si="249"/>
        <v>620337.34018507937</v>
      </c>
      <c r="X141" s="31">
        <f t="shared" si="250"/>
        <v>147186.93584761574</v>
      </c>
      <c r="Y141" s="31">
        <f t="shared" si="251"/>
        <v>256546.64185160381</v>
      </c>
      <c r="Z141" s="31">
        <f t="shared" si="252"/>
        <v>198254.21923060488</v>
      </c>
      <c r="AA141" s="31">
        <f t="shared" si="253"/>
        <v>620362.08992756042</v>
      </c>
      <c r="AB141" s="31">
        <f t="shared" si="254"/>
        <v>147774.20262264539</v>
      </c>
      <c r="AC141" s="31">
        <f t="shared" si="255"/>
        <v>256586.51042120392</v>
      </c>
      <c r="AD141" s="31">
        <f t="shared" si="256"/>
        <v>198291.31106585651</v>
      </c>
      <c r="AE141" s="31">
        <f t="shared" si="257"/>
        <v>1223014.1140372662</v>
      </c>
      <c r="AF141" s="31">
        <f>IFERROR(VLOOKUP(A141,'Allocations By Type'!$D$7:$F$491,3,FALSE),"")</f>
        <v>1091685.77</v>
      </c>
      <c r="AG141" s="31">
        <f t="shared" si="258"/>
        <v>48920.564561490653</v>
      </c>
      <c r="AH141" s="31">
        <f t="shared" si="259"/>
        <v>48920.564561490653</v>
      </c>
      <c r="AI141" s="31">
        <f t="shared" si="260"/>
        <v>1174093.5494757756</v>
      </c>
      <c r="AJ141" s="31">
        <f>AI141/$AI$577*'State Admin 1004(b)'!$B$30*0.01</f>
        <v>11173.260427093333</v>
      </c>
      <c r="AK141" s="31">
        <f t="shared" si="261"/>
        <v>1162920.2890486822</v>
      </c>
      <c r="AL141" s="31">
        <f t="shared" si="262"/>
        <v>11629.202890486822</v>
      </c>
      <c r="AM141" s="31">
        <f t="shared" si="263"/>
        <v>1151291.0861581953</v>
      </c>
      <c r="AP141" s="31"/>
      <c r="AQ141" s="4">
        <f t="shared" si="264"/>
        <v>1.0545993341638915</v>
      </c>
      <c r="AR141" s="4">
        <f>VLOOKUP(B141,Allocation!$D$10:$P$235,13,FALSE)</f>
        <v>1.074268835842084</v>
      </c>
      <c r="AS141" s="4">
        <f t="shared" si="265"/>
        <v>0.9</v>
      </c>
      <c r="AT141" s="4" t="str">
        <f t="shared" si="266"/>
        <v/>
      </c>
      <c r="AU141" s="31" t="str">
        <f t="shared" si="267"/>
        <v/>
      </c>
      <c r="AV141" s="31" t="str">
        <f t="shared" si="268"/>
        <v/>
      </c>
      <c r="AW141" s="31">
        <f t="shared" si="269"/>
        <v>1147600.004424219</v>
      </c>
      <c r="AX141" s="4">
        <f t="shared" si="270"/>
        <v>1.0512182497571796</v>
      </c>
      <c r="AY141" s="4" t="str">
        <f t="shared" si="271"/>
        <v/>
      </c>
      <c r="AZ141" s="174" t="str">
        <f>IFERROR(IF(VLOOKUP(A141,#REF!,11,FALSE)=0,"",VLOOKUP(A141,#REF!,11,FALSE)),"")</f>
        <v/>
      </c>
      <c r="BA141" s="31" t="str">
        <f t="shared" si="272"/>
        <v/>
      </c>
      <c r="BB141" s="31">
        <f t="shared" si="273"/>
        <v>1147600.004424219</v>
      </c>
      <c r="BD141" s="31">
        <f>IFERROR(VLOOKUP(A141,'Title II Hold Harmless'!A$1:B$439,2, FALSE),"")</f>
        <v>51602</v>
      </c>
      <c r="BE141" s="31">
        <f t="shared" si="274"/>
        <v>73136.303061453815</v>
      </c>
      <c r="BF141" s="31">
        <f t="shared" si="275"/>
        <v>73207.066798900676</v>
      </c>
      <c r="BG141" s="31" t="str">
        <f t="shared" si="276"/>
        <v/>
      </c>
      <c r="BH141" s="31">
        <f t="shared" si="277"/>
        <v>73207.066798900676</v>
      </c>
    </row>
    <row r="142" spans="1:60" x14ac:dyDescent="0.3">
      <c r="A142" s="1">
        <v>70465000</v>
      </c>
      <c r="B142">
        <f>VLOOKUP(C142,'NCES ID'!$A$2:$B$3136,2,FALSE)</f>
        <v>404440</v>
      </c>
      <c r="C142">
        <f>VLOOKUP(A142,'State ID'!$A$2:$B$713,2,FALSE)</f>
        <v>4278</v>
      </c>
      <c r="D142" s="147" t="s">
        <v>264</v>
      </c>
      <c r="E142" t="s">
        <v>7</v>
      </c>
      <c r="F142" s="47">
        <f>VLOOKUP(B142,'Formula counts'!$D$9:$L$234,9,FALSE)</f>
        <v>6834</v>
      </c>
      <c r="G142" s="47">
        <f>VLOOKUP(B142,'Formula counts'!$D$9:$K$234,8,FALSE)</f>
        <v>1656</v>
      </c>
      <c r="H142" s="4">
        <f>VLOOKUP(B142,'Formula counts'!$D$9:$M$234,10,FALSE)</f>
        <v>0.24231782265144863</v>
      </c>
      <c r="I142" s="47">
        <f>VLOOKUP($C142,'Final SEA Counts'!$A$2:$F$709,5,FALSE)</f>
        <v>5644</v>
      </c>
      <c r="J142" s="47">
        <f>VLOOKUP($C142,'Final SEA Counts'!$A$2:$F$709,6,FALSE)</f>
        <v>4993</v>
      </c>
      <c r="K142" s="24">
        <f t="shared" si="242"/>
        <v>6196.3088613627096</v>
      </c>
      <c r="L142" s="24">
        <f t="shared" si="243"/>
        <v>1454.7206487783683</v>
      </c>
      <c r="M142" s="4">
        <f t="shared" si="244"/>
        <v>0.2347721331080391</v>
      </c>
      <c r="N142" s="31">
        <f>IFERROR(VLOOKUP($B142,Allocation!$D$10:$O$235,8,FALSE),"")</f>
        <v>781198.11986608349</v>
      </c>
      <c r="O142" s="31">
        <f>IFERROR(VLOOKUP($B142,Allocation!$D$10:$O$235,9,FALSE),"")</f>
        <v>185261.82977401468</v>
      </c>
      <c r="P142" s="31">
        <f>IFERROR(VLOOKUP($B142,Allocation!$D$10:$O$235,10,FALSE),"")</f>
        <v>313281.17981760838</v>
      </c>
      <c r="Q142" s="31">
        <f>IFERROR(VLOOKUP($B142,Allocation!$D$10:$O$235,11,FALSE),"")</f>
        <v>238548.43180113309</v>
      </c>
      <c r="R142" s="31">
        <f>IFERROR(VLOOKUP($B142,Allocation!$D$10:$O$235,12,FALSE),"")</f>
        <v>1518289.5612588397</v>
      </c>
      <c r="S142" s="31">
        <f t="shared" si="245"/>
        <v>687142.89989731868</v>
      </c>
      <c r="T142" s="31">
        <f t="shared" si="246"/>
        <v>163037.83663120514</v>
      </c>
      <c r="U142" s="31">
        <f t="shared" si="247"/>
        <v>275631.66180769983</v>
      </c>
      <c r="V142" s="31">
        <f t="shared" si="248"/>
        <v>210004.37344819464</v>
      </c>
      <c r="W142" s="31">
        <f t="shared" si="249"/>
        <v>687142.89989731868</v>
      </c>
      <c r="X142" s="31">
        <f t="shared" si="250"/>
        <v>163037.83663120514</v>
      </c>
      <c r="Y142" s="31">
        <f t="shared" si="251"/>
        <v>275631.66180769983</v>
      </c>
      <c r="Z142" s="31">
        <f t="shared" si="252"/>
        <v>210004.37344819464</v>
      </c>
      <c r="AA142" s="31">
        <f t="shared" si="253"/>
        <v>687167.64963979973</v>
      </c>
      <c r="AB142" s="31">
        <f t="shared" si="254"/>
        <v>163625.10340623479</v>
      </c>
      <c r="AC142" s="31">
        <f t="shared" si="255"/>
        <v>275671.53037729993</v>
      </c>
      <c r="AD142" s="31">
        <f t="shared" si="256"/>
        <v>210041.46528344628</v>
      </c>
      <c r="AE142" s="31">
        <f t="shared" si="257"/>
        <v>1336505.7487067806</v>
      </c>
      <c r="AF142" s="31">
        <f>IFERROR(VLOOKUP(A142,'Allocations By Type'!$D$7:$F$491,3,FALSE),"")</f>
        <v>1207550.6599999999</v>
      </c>
      <c r="AG142" s="31">
        <f t="shared" si="258"/>
        <v>53460.229948271226</v>
      </c>
      <c r="AH142" s="31">
        <f t="shared" si="259"/>
        <v>53460.229948271226</v>
      </c>
      <c r="AI142" s="31">
        <f t="shared" si="260"/>
        <v>1283045.5187585093</v>
      </c>
      <c r="AJ142" s="31">
        <f>AI142/$AI$577*'State Admin 1004(b)'!$B$30*0.01</f>
        <v>12210.101765148716</v>
      </c>
      <c r="AK142" s="31">
        <f t="shared" si="261"/>
        <v>1270835.4169933605</v>
      </c>
      <c r="AL142" s="31">
        <f t="shared" si="262"/>
        <v>12708.354169933606</v>
      </c>
      <c r="AM142" s="31">
        <f t="shared" si="263"/>
        <v>1258127.0628234269</v>
      </c>
      <c r="AP142" s="31"/>
      <c r="AQ142" s="4">
        <f t="shared" si="264"/>
        <v>1.0418834625318552</v>
      </c>
      <c r="AR142" s="4">
        <f>VLOOKUP(B142,Allocation!$D$10:$P$235,13,FALSE)</f>
        <v>1.0611629076425073</v>
      </c>
      <c r="AS142" s="4">
        <f t="shared" si="265"/>
        <v>0.9</v>
      </c>
      <c r="AT142" s="4" t="str">
        <f t="shared" si="266"/>
        <v/>
      </c>
      <c r="AU142" s="31" t="str">
        <f t="shared" si="267"/>
        <v/>
      </c>
      <c r="AV142" s="31" t="str">
        <f t="shared" si="268"/>
        <v/>
      </c>
      <c r="AW142" s="31">
        <f t="shared" si="269"/>
        <v>1254093.4610033128</v>
      </c>
      <c r="AX142" s="4">
        <f t="shared" si="270"/>
        <v>1.0385431456791328</v>
      </c>
      <c r="AY142" s="4" t="str">
        <f t="shared" si="271"/>
        <v/>
      </c>
      <c r="AZ142" s="174" t="str">
        <f>IFERROR(IF(VLOOKUP(A142,#REF!,11,FALSE)=0,"",VLOOKUP(A142,#REF!,11,FALSE)),"")</f>
        <v/>
      </c>
      <c r="BA142" s="31" t="str">
        <f t="shared" si="272"/>
        <v/>
      </c>
      <c r="BB142" s="31">
        <f t="shared" si="273"/>
        <v>1254093.4610033128</v>
      </c>
      <c r="BD142" s="31">
        <f>IFERROR(VLOOKUP(A142,'Title II Hold Harmless'!A$1:B$439,2, FALSE),"")</f>
        <v>73111</v>
      </c>
      <c r="BE142" s="31">
        <f t="shared" si="274"/>
        <v>97141.059687158922</v>
      </c>
      <c r="BF142" s="31">
        <f t="shared" si="275"/>
        <v>97235.049459067901</v>
      </c>
      <c r="BG142" s="31" t="str">
        <f t="shared" si="276"/>
        <v/>
      </c>
      <c r="BH142" s="31">
        <f t="shared" si="277"/>
        <v>97235.049459067901</v>
      </c>
    </row>
    <row r="143" spans="1:60" x14ac:dyDescent="0.3">
      <c r="A143" s="1">
        <v>70295000</v>
      </c>
      <c r="B143">
        <f>VLOOKUP(C143,'NCES ID'!$A$2:$B$3136,2,FALSE)</f>
        <v>406810</v>
      </c>
      <c r="C143">
        <f>VLOOKUP(A143,'State ID'!$A$2:$B$713,2,FALSE)</f>
        <v>4245</v>
      </c>
      <c r="D143" s="147" t="s">
        <v>356</v>
      </c>
      <c r="E143" t="s">
        <v>7</v>
      </c>
      <c r="F143" s="47">
        <f>VLOOKUP(B143,'Formula counts'!$D$9:$L$234,9,FALSE)</f>
        <v>6958</v>
      </c>
      <c r="G143" s="47">
        <f>VLOOKUP(B143,'Formula counts'!$D$9:$K$234,8,FALSE)</f>
        <v>1295</v>
      </c>
      <c r="H143" s="4">
        <f>VLOOKUP(B143,'Formula counts'!$D$9:$M$234,10,FALSE)</f>
        <v>0.18611670020120724</v>
      </c>
      <c r="I143" s="47">
        <f>VLOOKUP($C143,'Final SEA Counts'!$A$2:$F$709,5,FALSE)</f>
        <v>5499</v>
      </c>
      <c r="J143" s="47">
        <f>VLOOKUP($C143,'Final SEA Counts'!$A$2:$F$709,6,FALSE)</f>
        <v>1639</v>
      </c>
      <c r="K143" s="24">
        <f t="shared" si="242"/>
        <v>6308.7382290549804</v>
      </c>
      <c r="L143" s="24">
        <f t="shared" si="243"/>
        <v>1137.5985749806684</v>
      </c>
      <c r="M143" s="4">
        <f t="shared" si="244"/>
        <v>0.18032109332757582</v>
      </c>
      <c r="N143" s="31">
        <f>IFERROR(VLOOKUP($B143,Allocation!$D$10:$O$235,8,FALSE),"")</f>
        <v>610900.70363923814</v>
      </c>
      <c r="O143" s="31">
        <f>IFERROR(VLOOKUP($B143,Allocation!$D$10:$O$235,9,FALSE),"")</f>
        <v>144875.64586796437</v>
      </c>
      <c r="P143" s="31">
        <f>IFERROR(VLOOKUP($B143,Allocation!$D$10:$O$235,10,FALSE),"")</f>
        <v>226569.26882054415</v>
      </c>
      <c r="Q143" s="31">
        <f>IFERROR(VLOOKUP($B143,Allocation!$D$10:$O$235,11,FALSE),"")</f>
        <v>175628.43847795454</v>
      </c>
      <c r="R143" s="31">
        <f>IFERROR(VLOOKUP($B143,Allocation!$D$10:$O$235,12,FALSE),"")</f>
        <v>1157974.0568057012</v>
      </c>
      <c r="S143" s="31">
        <f t="shared" si="245"/>
        <v>537349.06725062081</v>
      </c>
      <c r="T143" s="31">
        <f t="shared" si="246"/>
        <v>127496.37586800159</v>
      </c>
      <c r="U143" s="31">
        <f t="shared" si="247"/>
        <v>199340.61827754899</v>
      </c>
      <c r="V143" s="31">
        <f t="shared" si="248"/>
        <v>154613.21587305632</v>
      </c>
      <c r="W143" s="31">
        <f t="shared" si="249"/>
        <v>537349.06725062081</v>
      </c>
      <c r="X143" s="31">
        <f t="shared" si="250"/>
        <v>127496.37586800159</v>
      </c>
      <c r="Y143" s="31">
        <f t="shared" si="251"/>
        <v>199340.61827754899</v>
      </c>
      <c r="Z143" s="31">
        <f t="shared" si="252"/>
        <v>154613.21587305632</v>
      </c>
      <c r="AA143" s="31">
        <f t="shared" si="253"/>
        <v>537373.81699310185</v>
      </c>
      <c r="AB143" s="31">
        <f t="shared" si="254"/>
        <v>128083.64264303124</v>
      </c>
      <c r="AC143" s="31">
        <f t="shared" si="255"/>
        <v>199380.48684714909</v>
      </c>
      <c r="AD143" s="31">
        <f t="shared" si="256"/>
        <v>154650.30770830796</v>
      </c>
      <c r="AE143" s="31">
        <f t="shared" si="257"/>
        <v>1019488.2541915901</v>
      </c>
      <c r="AF143" s="31">
        <f>IFERROR(VLOOKUP(A143,'Allocations By Type'!$D$7:$F$491,3,FALSE),"")</f>
        <v>917801.44</v>
      </c>
      <c r="AG143" s="31">
        <f t="shared" si="258"/>
        <v>40779.530167663608</v>
      </c>
      <c r="AH143" s="31">
        <f t="shared" si="259"/>
        <v>40779.530167663608</v>
      </c>
      <c r="AI143" s="31">
        <f t="shared" si="260"/>
        <v>978708.72402392654</v>
      </c>
      <c r="AJ143" s="31">
        <f>AI143/$AI$577*'State Admin 1004(b)'!$B$30*0.01</f>
        <v>9313.8808748843858</v>
      </c>
      <c r="AK143" s="31">
        <f t="shared" si="261"/>
        <v>969394.84314904211</v>
      </c>
      <c r="AL143" s="31">
        <f t="shared" si="262"/>
        <v>9693.9484314904221</v>
      </c>
      <c r="AM143" s="31">
        <f t="shared" si="263"/>
        <v>959700.89471755165</v>
      </c>
      <c r="AP143" s="31"/>
      <c r="AQ143" s="4">
        <f t="shared" si="264"/>
        <v>1.0456519818900607</v>
      </c>
      <c r="AR143" s="4">
        <f>VLOOKUP(B143,Allocation!$D$10:$P$235,13,FALSE)</f>
        <v>1.0649147194587927</v>
      </c>
      <c r="AS143" s="4">
        <f t="shared" si="265"/>
        <v>0.9</v>
      </c>
      <c r="AT143" s="4" t="str">
        <f t="shared" si="266"/>
        <v/>
      </c>
      <c r="AU143" s="31" t="str">
        <f t="shared" si="267"/>
        <v/>
      </c>
      <c r="AV143" s="31" t="str">
        <f t="shared" si="268"/>
        <v/>
      </c>
      <c r="AW143" s="31">
        <f t="shared" si="269"/>
        <v>956624.05821185675</v>
      </c>
      <c r="AX143" s="4">
        <f t="shared" si="270"/>
        <v>1.0422995830251223</v>
      </c>
      <c r="AY143" s="4" t="str">
        <f t="shared" si="271"/>
        <v/>
      </c>
      <c r="AZ143" s="174" t="str">
        <f>IFERROR(IF(VLOOKUP(A143,#REF!,11,FALSE)=0,"",VLOOKUP(A143,#REF!,11,FALSE)),"")</f>
        <v/>
      </c>
      <c r="BA143" s="31" t="str">
        <f t="shared" si="272"/>
        <v/>
      </c>
      <c r="BB143" s="31">
        <f t="shared" si="273"/>
        <v>956624.05821185675</v>
      </c>
      <c r="BD143" s="31">
        <f>IFERROR(VLOOKUP(A143,'Title II Hold Harmless'!A$1:B$439,2, FALSE),"")</f>
        <v>50367</v>
      </c>
      <c r="BE143" s="31">
        <f t="shared" si="274"/>
        <v>70336.201455632108</v>
      </c>
      <c r="BF143" s="31">
        <f t="shared" si="275"/>
        <v>70404.255927685925</v>
      </c>
      <c r="BG143" s="31" t="str">
        <f t="shared" si="276"/>
        <v/>
      </c>
      <c r="BH143" s="31">
        <f t="shared" si="277"/>
        <v>70404.255927685925</v>
      </c>
    </row>
    <row r="144" spans="1:60" x14ac:dyDescent="0.3">
      <c r="A144" s="1">
        <v>70401000</v>
      </c>
      <c r="B144">
        <f>VLOOKUP(C144,'NCES ID'!$A$2:$B$3136,2,FALSE)</f>
        <v>406300</v>
      </c>
      <c r="C144">
        <f>VLOOKUP(A144,'State ID'!$A$2:$B$713,2,FALSE)</f>
        <v>4256</v>
      </c>
      <c r="D144" s="147" t="s">
        <v>337</v>
      </c>
      <c r="E144" t="s">
        <v>7</v>
      </c>
      <c r="F144" s="47">
        <f>VLOOKUP(B144,'Formula counts'!$D$9:$L$234,9,FALSE)</f>
        <v>6996</v>
      </c>
      <c r="G144" s="47">
        <f>VLOOKUP(B144,'Formula counts'!$D$9:$K$234,8,FALSE)</f>
        <v>3877</v>
      </c>
      <c r="H144" s="4">
        <f>VLOOKUP(B144,'Formula counts'!$D$9:$M$234,10,FALSE)</f>
        <v>0.55417381360777584</v>
      </c>
      <c r="I144" s="47">
        <f>VLOOKUP($C144,'Final SEA Counts'!$A$2:$F$709,5,FALSE)</f>
        <v>7097</v>
      </c>
      <c r="J144" s="47">
        <f>VLOOKUP($C144,'Final SEA Counts'!$A$2:$F$709,6,FALSE)</f>
        <v>6463</v>
      </c>
      <c r="K144" s="24">
        <f t="shared" si="242"/>
        <v>6343.192390121967</v>
      </c>
      <c r="L144" s="24">
        <f t="shared" si="243"/>
        <v>3405.7680889575686</v>
      </c>
      <c r="M144" s="4">
        <f t="shared" si="244"/>
        <v>0.53691704105668514</v>
      </c>
      <c r="N144" s="31">
        <f>IFERROR(VLOOKUP($B144,Allocation!$D$10:$O$235,8,FALSE),"")</f>
        <v>2838829.1895862445</v>
      </c>
      <c r="O144" s="31">
        <f>IFERROR(VLOOKUP($B144,Allocation!$D$10:$O$235,9,FALSE),"")</f>
        <v>694595.65084091167</v>
      </c>
      <c r="P144" s="31">
        <f>IFERROR(VLOOKUP($B144,Allocation!$D$10:$O$235,10,FALSE),"")</f>
        <v>1929821.3543588731</v>
      </c>
      <c r="Q144" s="31">
        <f>IFERROR(VLOOKUP($B144,Allocation!$D$10:$O$235,11,FALSE),"")</f>
        <v>2201124.967790613</v>
      </c>
      <c r="R144" s="31">
        <f>IFERROR(VLOOKUP($B144,Allocation!$D$10:$O$235,12,FALSE),"")</f>
        <v>7664371.1625766419</v>
      </c>
      <c r="S144" s="31">
        <f t="shared" si="245"/>
        <v>2497037.9114325596</v>
      </c>
      <c r="T144" s="31">
        <f t="shared" si="246"/>
        <v>611272.01639260852</v>
      </c>
      <c r="U144" s="31">
        <f t="shared" si="247"/>
        <v>1697899.2073625515</v>
      </c>
      <c r="V144" s="31">
        <f t="shared" si="248"/>
        <v>1937744.3240850922</v>
      </c>
      <c r="W144" s="31">
        <f t="shared" si="249"/>
        <v>2497037.9114325596</v>
      </c>
      <c r="X144" s="31">
        <f t="shared" si="250"/>
        <v>611272.01639260852</v>
      </c>
      <c r="Y144" s="31">
        <f t="shared" si="251"/>
        <v>1697899.2073625515</v>
      </c>
      <c r="Z144" s="31">
        <f t="shared" si="252"/>
        <v>1937744.3240850922</v>
      </c>
      <c r="AA144" s="31">
        <f t="shared" si="253"/>
        <v>2497062.6611750405</v>
      </c>
      <c r="AB144" s="31">
        <f t="shared" si="254"/>
        <v>611859.28316763812</v>
      </c>
      <c r="AC144" s="31">
        <f t="shared" si="255"/>
        <v>1697939.0759321516</v>
      </c>
      <c r="AD144" s="31">
        <f t="shared" si="256"/>
        <v>1937781.4159203437</v>
      </c>
      <c r="AE144" s="31">
        <f t="shared" si="257"/>
        <v>6744642.4361951742</v>
      </c>
      <c r="AF144" s="31">
        <f>IFERROR(VLOOKUP(A144,'Allocations By Type'!$D$7:$F$491,3,FALSE),"")</f>
        <v>7416850.2199999997</v>
      </c>
      <c r="AG144" s="31" t="str">
        <f t="shared" si="258"/>
        <v/>
      </c>
      <c r="AH144" s="31" t="str">
        <f t="shared" si="259"/>
        <v/>
      </c>
      <c r="AI144" s="31">
        <f t="shared" si="260"/>
        <v>6744642.4361951742</v>
      </c>
      <c r="AJ144" s="31">
        <f>AI144/$AI$577*'State Admin 1004(b)'!$B$30*0.01</f>
        <v>64185.384938773801</v>
      </c>
      <c r="AK144" s="31">
        <f t="shared" si="261"/>
        <v>6680457.0512564005</v>
      </c>
      <c r="AL144" s="31">
        <f t="shared" si="262"/>
        <v>66804.570512564009</v>
      </c>
      <c r="AM144" s="31">
        <f t="shared" si="263"/>
        <v>6613652.4807438366</v>
      </c>
      <c r="AP144" s="31"/>
      <c r="AQ144" s="4">
        <f t="shared" si="264"/>
        <v>0.89170635573975998</v>
      </c>
      <c r="AR144" s="4">
        <f>VLOOKUP(B144,Allocation!$D$10:$P$235,13,FALSE)</f>
        <v>0.95</v>
      </c>
      <c r="AS144" s="4">
        <f t="shared" si="265"/>
        <v>0.95</v>
      </c>
      <c r="AT144" s="4" t="str">
        <f t="shared" si="266"/>
        <v>Review</v>
      </c>
      <c r="AU144" s="31">
        <f t="shared" si="267"/>
        <v>432355.22825616226</v>
      </c>
      <c r="AV144" s="31">
        <f t="shared" si="268"/>
        <v>7046007.7089999989</v>
      </c>
      <c r="AW144" s="31">
        <f t="shared" si="269"/>
        <v>7046007.7089999989</v>
      </c>
      <c r="AX144" s="4">
        <f t="shared" si="270"/>
        <v>0.94999999999999984</v>
      </c>
      <c r="AY144" s="4" t="str">
        <f t="shared" si="271"/>
        <v/>
      </c>
      <c r="AZ144" s="174" t="str">
        <f>IFERROR(IF(VLOOKUP(A144,#REF!,11,FALSE)=0,"",VLOOKUP(A144,#REF!,11,FALSE)),"")</f>
        <v/>
      </c>
      <c r="BA144" s="31" t="str">
        <f t="shared" si="272"/>
        <v/>
      </c>
      <c r="BB144" s="31">
        <f t="shared" si="273"/>
        <v>7046007.7089999989</v>
      </c>
      <c r="BD144" s="31">
        <f>IFERROR(VLOOKUP(A144,'Title II Hold Harmless'!A$1:B$439,2, FALSE),"")</f>
        <v>467189</v>
      </c>
      <c r="BE144" s="31">
        <f t="shared" si="274"/>
        <v>516877.79544511938</v>
      </c>
      <c r="BF144" s="31">
        <f t="shared" si="275"/>
        <v>517377.90555566538</v>
      </c>
      <c r="BG144" s="31" t="str">
        <f t="shared" si="276"/>
        <v/>
      </c>
      <c r="BH144" s="31">
        <f t="shared" si="277"/>
        <v>517377.90555566538</v>
      </c>
    </row>
    <row r="145" spans="1:60" x14ac:dyDescent="0.3">
      <c r="A145" s="1">
        <v>70459000</v>
      </c>
      <c r="B145">
        <f>VLOOKUP(C145,'NCES ID'!$A$2:$B$3136,2,FALSE)</f>
        <v>404290</v>
      </c>
      <c r="C145">
        <f>VLOOKUP(A145,'State ID'!$A$2:$B$713,2,FALSE)</f>
        <v>4276</v>
      </c>
      <c r="D145" s="147" t="s">
        <v>247</v>
      </c>
      <c r="E145" t="s">
        <v>7</v>
      </c>
      <c r="F145" s="47">
        <f>VLOOKUP(B145,'Formula counts'!$D$9:$L$234,9,FALSE)</f>
        <v>7020</v>
      </c>
      <c r="G145" s="47">
        <f>VLOOKUP(B145,'Formula counts'!$D$9:$K$234,8,FALSE)</f>
        <v>1795</v>
      </c>
      <c r="H145" s="4">
        <f>VLOOKUP(B145,'Formula counts'!$D$9:$M$234,10,FALSE)</f>
        <v>0.25569800569800571</v>
      </c>
      <c r="I145" s="47">
        <f>VLOOKUP($C145,'Final SEA Counts'!$A$2:$F$709,5,FALSE)</f>
        <v>6775</v>
      </c>
      <c r="J145" s="47">
        <f>VLOOKUP($C145,'Final SEA Counts'!$A$2:$F$709,6,FALSE)</f>
        <v>4675</v>
      </c>
      <c r="K145" s="24">
        <f t="shared" si="242"/>
        <v>6364.9529129011162</v>
      </c>
      <c r="L145" s="24">
        <f t="shared" si="243"/>
        <v>1576.8258240079535</v>
      </c>
      <c r="M145" s="4">
        <f t="shared" si="244"/>
        <v>0.24773566208351472</v>
      </c>
      <c r="N145" s="31">
        <f>IFERROR(VLOOKUP($B145,Allocation!$D$10:$O$235,8,FALSE),"")</f>
        <v>846769.70118334552</v>
      </c>
      <c r="O145" s="31">
        <f>IFERROR(VLOOKUP($B145,Allocation!$D$10:$O$235,9,FALSE),"")</f>
        <v>200812.18867412821</v>
      </c>
      <c r="P145" s="31">
        <f>IFERROR(VLOOKUP($B145,Allocation!$D$10:$O$235,10,FALSE),"")</f>
        <v>355122.35943893809</v>
      </c>
      <c r="Q145" s="31">
        <f>IFERROR(VLOOKUP($B145,Allocation!$D$10:$O$235,11,FALSE),"")</f>
        <v>276030.16895033704</v>
      </c>
      <c r="R145" s="31">
        <f>IFERROR(VLOOKUP($B145,Allocation!$D$10:$O$235,12,FALSE),"")</f>
        <v>1678734.4182467489</v>
      </c>
      <c r="S145" s="31">
        <f t="shared" si="245"/>
        <v>744819.74958676775</v>
      </c>
      <c r="T145" s="31">
        <f t="shared" si="246"/>
        <v>176722.77581703695</v>
      </c>
      <c r="U145" s="31">
        <f t="shared" si="247"/>
        <v>312444.45049081167</v>
      </c>
      <c r="V145" s="31">
        <f t="shared" si="248"/>
        <v>243001.1475889296</v>
      </c>
      <c r="W145" s="31">
        <f t="shared" si="249"/>
        <v>744819.74958676775</v>
      </c>
      <c r="X145" s="31">
        <f t="shared" si="250"/>
        <v>176722.77581703695</v>
      </c>
      <c r="Y145" s="31">
        <f t="shared" si="251"/>
        <v>312444.45049081167</v>
      </c>
      <c r="Z145" s="31">
        <f t="shared" si="252"/>
        <v>243001.1475889296</v>
      </c>
      <c r="AA145" s="31">
        <f t="shared" si="253"/>
        <v>744844.49932924879</v>
      </c>
      <c r="AB145" s="31">
        <f t="shared" si="254"/>
        <v>177310.0425920666</v>
      </c>
      <c r="AC145" s="31">
        <f t="shared" si="255"/>
        <v>312484.31906041177</v>
      </c>
      <c r="AD145" s="31">
        <f t="shared" si="256"/>
        <v>243038.23942418123</v>
      </c>
      <c r="AE145" s="31">
        <f t="shared" si="257"/>
        <v>1477677.1004059082</v>
      </c>
      <c r="AF145" s="31">
        <f>IFERROR(VLOOKUP(A145,'Allocations By Type'!$D$7:$F$491,3,FALSE),"")</f>
        <v>1340009.8600000001</v>
      </c>
      <c r="AG145" s="31">
        <f t="shared" si="258"/>
        <v>59107.084016236331</v>
      </c>
      <c r="AH145" s="31">
        <f t="shared" si="259"/>
        <v>59107.084016236331</v>
      </c>
      <c r="AI145" s="31">
        <f t="shared" si="260"/>
        <v>1418570.0163896719</v>
      </c>
      <c r="AJ145" s="31">
        <f>AI145/$AI$577*'State Admin 1004(b)'!$B$30*0.01</f>
        <v>13499.820550300103</v>
      </c>
      <c r="AK145" s="31">
        <f t="shared" si="261"/>
        <v>1405070.1958393718</v>
      </c>
      <c r="AL145" s="31">
        <f t="shared" si="262"/>
        <v>14050.701958393718</v>
      </c>
      <c r="AM145" s="31">
        <f t="shared" si="263"/>
        <v>1391019.4938809781</v>
      </c>
      <c r="AP145" s="31"/>
      <c r="AQ145" s="4">
        <f t="shared" si="264"/>
        <v>1.0380666108538767</v>
      </c>
      <c r="AR145" s="4">
        <f>VLOOKUP(B145,Allocation!$D$10:$P$235,13,FALSE)</f>
        <v>1.0573012188415767</v>
      </c>
      <c r="AS145" s="4">
        <f t="shared" si="265"/>
        <v>0.9</v>
      </c>
      <c r="AT145" s="4" t="str">
        <f t="shared" si="266"/>
        <v/>
      </c>
      <c r="AU145" s="31" t="str">
        <f t="shared" si="267"/>
        <v/>
      </c>
      <c r="AV145" s="31" t="str">
        <f t="shared" si="268"/>
        <v/>
      </c>
      <c r="AW145" s="31">
        <f t="shared" si="269"/>
        <v>1386559.8340198025</v>
      </c>
      <c r="AX145" s="4">
        <f t="shared" si="270"/>
        <v>1.0347385309685724</v>
      </c>
      <c r="AY145" s="4" t="str">
        <f t="shared" si="271"/>
        <v/>
      </c>
      <c r="AZ145" s="174" t="str">
        <f>IFERROR(IF(VLOOKUP(A145,#REF!,11,FALSE)=0,"",VLOOKUP(A145,#REF!,11,FALSE)),"")</f>
        <v/>
      </c>
      <c r="BA145" s="31" t="str">
        <f t="shared" si="272"/>
        <v/>
      </c>
      <c r="BB145" s="31">
        <f t="shared" si="273"/>
        <v>1386559.8340198025</v>
      </c>
      <c r="BD145" s="31">
        <f>IFERROR(VLOOKUP(A145,'Title II Hold Harmless'!A$1:B$439,2, FALSE),"")</f>
        <v>78130</v>
      </c>
      <c r="BE145" s="31">
        <f t="shared" si="274"/>
        <v>103894.22328129772</v>
      </c>
      <c r="BF145" s="31">
        <f t="shared" si="275"/>
        <v>103994.74714196299</v>
      </c>
      <c r="BG145" s="31" t="str">
        <f t="shared" si="276"/>
        <v/>
      </c>
      <c r="BH145" s="31">
        <f t="shared" si="277"/>
        <v>103994.74714196299</v>
      </c>
    </row>
    <row r="146" spans="1:60" x14ac:dyDescent="0.3">
      <c r="A146" s="1">
        <v>70444000</v>
      </c>
      <c r="B146">
        <f>VLOOKUP(C146,'NCES ID'!$A$2:$B$3136,2,FALSE)</f>
        <v>400960</v>
      </c>
      <c r="C146">
        <f>VLOOKUP(A146,'State ID'!$A$2:$B$713,2,FALSE)</f>
        <v>4272</v>
      </c>
      <c r="D146" s="147" t="s">
        <v>58</v>
      </c>
      <c r="E146" t="s">
        <v>7</v>
      </c>
      <c r="F146" s="47">
        <f>VLOOKUP(B146,'Formula counts'!$D$9:$L$234,9,FALSE)</f>
        <v>7557</v>
      </c>
      <c r="G146" s="47">
        <f>VLOOKUP(B146,'Formula counts'!$D$9:$K$234,8,FALSE)</f>
        <v>1992</v>
      </c>
      <c r="H146" s="4">
        <f>VLOOKUP(B146,'Formula counts'!$D$9:$M$234,10,FALSE)</f>
        <v>0.26359666534339021</v>
      </c>
      <c r="I146" s="47">
        <f>VLOOKUP($C146,'Final SEA Counts'!$A$2:$F$709,5,FALSE)</f>
        <v>5817</v>
      </c>
      <c r="J146" s="47">
        <f>VLOOKUP($C146,'Final SEA Counts'!$A$2:$F$709,6,FALSE)</f>
        <v>4245</v>
      </c>
      <c r="K146" s="24">
        <f t="shared" si="242"/>
        <v>6851.8446100845777</v>
      </c>
      <c r="L146" s="24">
        <f t="shared" si="243"/>
        <v>1749.8813601247039</v>
      </c>
      <c r="M146" s="4">
        <f t="shared" si="244"/>
        <v>0.25538836031821566</v>
      </c>
      <c r="N146" s="31">
        <f>IFERROR(VLOOKUP($B146,Allocation!$D$10:$O$235,8,FALSE),"")</f>
        <v>939702.08621572377</v>
      </c>
      <c r="O146" s="31">
        <f>IFERROR(VLOOKUP($B146,Allocation!$D$10:$O$235,9,FALSE),"")</f>
        <v>222851.18653975677</v>
      </c>
      <c r="P146" s="31">
        <f>IFERROR(VLOOKUP($B146,Allocation!$D$10:$O$235,10,FALSE),"")</f>
        <v>403458.58269744279</v>
      </c>
      <c r="Q146" s="31">
        <f>IFERROR(VLOOKUP($B146,Allocation!$D$10:$O$235,11,FALSE),"")</f>
        <v>316838.39340427436</v>
      </c>
      <c r="R146" s="31">
        <f>IFERROR(VLOOKUP($B146,Allocation!$D$10:$O$235,12,FALSE),"")</f>
        <v>1882850.2488571978</v>
      </c>
      <c r="S146" s="31">
        <f t="shared" si="245"/>
        <v>826563.19842720963</v>
      </c>
      <c r="T146" s="31">
        <f t="shared" si="246"/>
        <v>196117.97739695688</v>
      </c>
      <c r="U146" s="31">
        <f t="shared" si="247"/>
        <v>354971.72120016697</v>
      </c>
      <c r="V146" s="31">
        <f t="shared" si="248"/>
        <v>278926.37058568664</v>
      </c>
      <c r="W146" s="31">
        <f t="shared" si="249"/>
        <v>826563.19842720963</v>
      </c>
      <c r="X146" s="31">
        <f t="shared" si="250"/>
        <v>196117.97739695688</v>
      </c>
      <c r="Y146" s="31">
        <f t="shared" si="251"/>
        <v>354971.72120016697</v>
      </c>
      <c r="Z146" s="31">
        <f t="shared" si="252"/>
        <v>278926.37058568664</v>
      </c>
      <c r="AA146" s="31">
        <f t="shared" si="253"/>
        <v>826587.94816969067</v>
      </c>
      <c r="AB146" s="31">
        <f t="shared" si="254"/>
        <v>196705.24417198653</v>
      </c>
      <c r="AC146" s="31">
        <f t="shared" si="255"/>
        <v>355011.58976976707</v>
      </c>
      <c r="AD146" s="31">
        <f t="shared" si="256"/>
        <v>278963.4624209383</v>
      </c>
      <c r="AE146" s="31">
        <f t="shared" si="257"/>
        <v>1657268.2445323826</v>
      </c>
      <c r="AF146" s="31">
        <f>IFERROR(VLOOKUP(A146,'Allocations By Type'!$D$7:$F$491,3,FALSE),"")</f>
        <v>1478636.99</v>
      </c>
      <c r="AG146" s="31">
        <f t="shared" si="258"/>
        <v>66290.729781295304</v>
      </c>
      <c r="AH146" s="31">
        <f t="shared" si="259"/>
        <v>66290.729781295304</v>
      </c>
      <c r="AI146" s="31">
        <f t="shared" si="260"/>
        <v>1590977.5147510872</v>
      </c>
      <c r="AJ146" s="31">
        <f>AI146/$AI$577*'State Admin 1004(b)'!$B$30*0.01</f>
        <v>15140.536385623327</v>
      </c>
      <c r="AK146" s="31">
        <f t="shared" si="261"/>
        <v>1575836.9783654639</v>
      </c>
      <c r="AL146" s="31">
        <f t="shared" si="262"/>
        <v>15758.36978365464</v>
      </c>
      <c r="AM146" s="31">
        <f t="shared" si="263"/>
        <v>1560078.6085818093</v>
      </c>
      <c r="AP146" s="31"/>
      <c r="AQ146" s="4">
        <f t="shared" si="264"/>
        <v>1.055078845675171</v>
      </c>
      <c r="AR146" s="4">
        <f>VLOOKUP(B146,Allocation!$D$10:$P$235,13,FALSE)</f>
        <v>1.0746577505256536</v>
      </c>
      <c r="AS146" s="4">
        <f t="shared" si="265"/>
        <v>0.9</v>
      </c>
      <c r="AT146" s="4" t="str">
        <f t="shared" si="266"/>
        <v/>
      </c>
      <c r="AU146" s="31" t="str">
        <f t="shared" si="267"/>
        <v/>
      </c>
      <c r="AV146" s="31" t="str">
        <f t="shared" si="268"/>
        <v/>
      </c>
      <c r="AW146" s="31">
        <f t="shared" si="269"/>
        <v>1555076.9389563466</v>
      </c>
      <c r="AX146" s="4">
        <f t="shared" si="270"/>
        <v>1.0516962239368479</v>
      </c>
      <c r="AY146" s="4" t="str">
        <f t="shared" si="271"/>
        <v/>
      </c>
      <c r="AZ146" s="174" t="str">
        <f>IFERROR(IF(VLOOKUP(A146,#REF!,11,FALSE)=0,"",VLOOKUP(A146,#REF!,11,FALSE)),"")</f>
        <v/>
      </c>
      <c r="BA146" s="31" t="str">
        <f t="shared" si="272"/>
        <v/>
      </c>
      <c r="BB146" s="31">
        <f t="shared" si="273"/>
        <v>1555076.9389563466</v>
      </c>
      <c r="BD146" s="31">
        <f>IFERROR(VLOOKUP(A146,'Title II Hold Harmless'!A$1:B$439,2, FALSE),"")</f>
        <v>145195</v>
      </c>
      <c r="BE146" s="31">
        <f t="shared" si="274"/>
        <v>173616.48699263827</v>
      </c>
      <c r="BF146" s="31">
        <f t="shared" si="275"/>
        <v>173784.47130395449</v>
      </c>
      <c r="BG146" s="31" t="str">
        <f t="shared" si="276"/>
        <v/>
      </c>
      <c r="BH146" s="31">
        <f t="shared" si="277"/>
        <v>173784.47130395449</v>
      </c>
    </row>
    <row r="147" spans="1:60" x14ac:dyDescent="0.3">
      <c r="A147" s="1">
        <v>70516000</v>
      </c>
      <c r="B147">
        <f>VLOOKUP(C147,'NCES ID'!$A$2:$B$3136,2,FALSE)</f>
        <v>400450</v>
      </c>
      <c r="C147">
        <f>VLOOKUP(A147,'State ID'!$A$2:$B$713,2,FALSE)</f>
        <v>4289</v>
      </c>
      <c r="D147" s="147" t="s">
        <v>15</v>
      </c>
      <c r="E147" t="s">
        <v>7</v>
      </c>
      <c r="F147" s="47">
        <f>VLOOKUP(B147,'Formula counts'!$D$9:$L$234,9,FALSE)</f>
        <v>7902</v>
      </c>
      <c r="G147" s="47">
        <f>VLOOKUP(B147,'Formula counts'!$D$9:$K$234,8,FALSE)</f>
        <v>1147</v>
      </c>
      <c r="H147" s="4">
        <f>VLOOKUP(B147,'Formula counts'!$D$9:$M$234,10,FALSE)</f>
        <v>0.145153125790939</v>
      </c>
      <c r="I147" s="47">
        <f>VLOOKUP($C147,'Final SEA Counts'!$A$2:$F$709,5,FALSE)</f>
        <v>5757</v>
      </c>
      <c r="J147" s="47">
        <f>VLOOKUP($C147,'Final SEA Counts'!$A$2:$F$709,6,FALSE)</f>
        <v>2295</v>
      </c>
      <c r="K147" s="24">
        <f t="shared" si="242"/>
        <v>7164.6521250348469</v>
      </c>
      <c r="L147" s="24">
        <f t="shared" si="243"/>
        <v>1007.587309268592</v>
      </c>
      <c r="M147" s="4">
        <f t="shared" si="244"/>
        <v>0.14063310984044342</v>
      </c>
      <c r="N147" s="31">
        <f>IFERROR(VLOOKUP($B147,Allocation!$D$10:$O$235,8,FALSE),"")</f>
        <v>541083.48036618216</v>
      </c>
      <c r="O147" s="31">
        <f>IFERROR(VLOOKUP($B147,Allocation!$D$10:$O$235,9,FALSE),"")</f>
        <v>110916.69321327854</v>
      </c>
      <c r="P147" s="31">
        <f>IFERROR(VLOOKUP($B147,Allocation!$D$10:$O$235,10,FALSE),"")</f>
        <v>195073.72863384368</v>
      </c>
      <c r="Q147" s="31">
        <f>IFERROR(VLOOKUP($B147,Allocation!$D$10:$O$235,11,FALSE),"")</f>
        <v>151214.21597193956</v>
      </c>
      <c r="R147" s="31">
        <f>IFERROR(VLOOKUP($B147,Allocation!$D$10:$O$235,12,FALSE),"")</f>
        <v>998288.11818524403</v>
      </c>
      <c r="S147" s="31">
        <f t="shared" si="245"/>
        <v>475937.7452791211</v>
      </c>
      <c r="T147" s="31">
        <f t="shared" si="246"/>
        <v>97611.136248835988</v>
      </c>
      <c r="U147" s="31">
        <f t="shared" si="247"/>
        <v>171630.15036420163</v>
      </c>
      <c r="V147" s="31">
        <f t="shared" si="248"/>
        <v>133120.33301531148</v>
      </c>
      <c r="W147" s="31">
        <f t="shared" si="249"/>
        <v>475937.7452791211</v>
      </c>
      <c r="X147" s="31">
        <f t="shared" si="250"/>
        <v>97611.136248835988</v>
      </c>
      <c r="Y147" s="31">
        <f t="shared" si="251"/>
        <v>171630.15036420163</v>
      </c>
      <c r="Z147" s="31">
        <f t="shared" si="252"/>
        <v>133120.33301531148</v>
      </c>
      <c r="AA147" s="31">
        <f t="shared" si="253"/>
        <v>475962.49502160214</v>
      </c>
      <c r="AB147" s="31">
        <f t="shared" si="254"/>
        <v>98198.403023865641</v>
      </c>
      <c r="AC147" s="31">
        <f t="shared" si="255"/>
        <v>171670.01893380174</v>
      </c>
      <c r="AD147" s="31">
        <f t="shared" si="256"/>
        <v>133157.42485056311</v>
      </c>
      <c r="AE147" s="31">
        <f t="shared" si="257"/>
        <v>878988.34182983264</v>
      </c>
      <c r="AF147" s="31">
        <f>IFERROR(VLOOKUP(A147,'Allocations By Type'!$D$7:$F$491,3,FALSE),"")</f>
        <v>837651.99</v>
      </c>
      <c r="AG147" s="31">
        <f t="shared" si="258"/>
        <v>35159.533673193306</v>
      </c>
      <c r="AH147" s="31">
        <f t="shared" si="259"/>
        <v>35159.533673193306</v>
      </c>
      <c r="AI147" s="31">
        <f t="shared" si="260"/>
        <v>843828.80815663934</v>
      </c>
      <c r="AJ147" s="31">
        <f>AI147/$AI$577*'State Admin 1004(b)'!$B$30*0.01</f>
        <v>8030.296251629683</v>
      </c>
      <c r="AK147" s="31">
        <f t="shared" si="261"/>
        <v>835798.51190500963</v>
      </c>
      <c r="AL147" s="31">
        <f t="shared" si="262"/>
        <v>8357.9851190500958</v>
      </c>
      <c r="AM147" s="31">
        <f t="shared" si="263"/>
        <v>827440.52678595949</v>
      </c>
      <c r="AP147" s="31"/>
      <c r="AQ147" s="4">
        <f t="shared" si="264"/>
        <v>0.98780942045629172</v>
      </c>
      <c r="AR147" s="4">
        <f>VLOOKUP(B147,Allocation!$D$10:$P$235,13,FALSE)</f>
        <v>1.0060861739698568</v>
      </c>
      <c r="AS147" s="4">
        <f t="shared" si="265"/>
        <v>0.85</v>
      </c>
      <c r="AT147" s="4" t="str">
        <f t="shared" si="266"/>
        <v/>
      </c>
      <c r="AU147" s="31" t="str">
        <f t="shared" si="267"/>
        <v/>
      </c>
      <c r="AV147" s="31" t="str">
        <f t="shared" si="268"/>
        <v/>
      </c>
      <c r="AW147" s="31">
        <f t="shared" si="269"/>
        <v>824787.72190360527</v>
      </c>
      <c r="AX147" s="4">
        <f t="shared" si="270"/>
        <v>0.98464246697916313</v>
      </c>
      <c r="AY147" s="4" t="str">
        <f t="shared" si="271"/>
        <v/>
      </c>
      <c r="AZ147" s="174" t="str">
        <f>IFERROR(IF(VLOOKUP(A147,#REF!,11,FALSE)=0,"",VLOOKUP(A147,#REF!,11,FALSE)),"")</f>
        <v/>
      </c>
      <c r="BA147" s="31" t="str">
        <f t="shared" si="272"/>
        <v/>
      </c>
      <c r="BB147" s="31">
        <f t="shared" si="273"/>
        <v>824787.72190360527</v>
      </c>
      <c r="BD147" s="31">
        <f>IFERROR(VLOOKUP(A147,'Title II Hold Harmless'!A$1:B$439,2, FALSE),"")</f>
        <v>84461</v>
      </c>
      <c r="BE147" s="31">
        <f t="shared" si="274"/>
        <v>103417.10573474222</v>
      </c>
      <c r="BF147" s="31">
        <f t="shared" si="275"/>
        <v>103517.16795571035</v>
      </c>
      <c r="BG147" s="31" t="str">
        <f t="shared" si="276"/>
        <v/>
      </c>
      <c r="BH147" s="31">
        <f t="shared" si="277"/>
        <v>103517.16795571035</v>
      </c>
    </row>
    <row r="148" spans="1:60" x14ac:dyDescent="0.3">
      <c r="A148" s="1">
        <v>70405000</v>
      </c>
      <c r="B148">
        <f>VLOOKUP(C148,'NCES ID'!$A$2:$B$3136,2,FALSE)</f>
        <v>403960</v>
      </c>
      <c r="C148">
        <f>VLOOKUP(A148,'State ID'!$A$2:$B$713,2,FALSE)</f>
        <v>4259</v>
      </c>
      <c r="D148" s="147" t="s">
        <v>220</v>
      </c>
      <c r="E148" t="s">
        <v>7</v>
      </c>
      <c r="F148" s="47">
        <f>VLOOKUP(B148,'Formula counts'!$D$9:$L$234,9,FALSE)</f>
        <v>8167</v>
      </c>
      <c r="G148" s="47">
        <f>VLOOKUP(B148,'Formula counts'!$D$9:$K$234,8,FALSE)</f>
        <v>4537</v>
      </c>
      <c r="H148" s="4">
        <f>VLOOKUP(B148,'Formula counts'!$D$9:$M$234,10,FALSE)</f>
        <v>0.55552834578180488</v>
      </c>
      <c r="I148" s="47">
        <f>VLOOKUP($C148,'Final SEA Counts'!$A$2:$F$709,5,FALSE)</f>
        <v>7489</v>
      </c>
      <c r="J148" s="47">
        <f>VLOOKUP($C148,'Final SEA Counts'!$A$2:$F$709,6,FALSE)</f>
        <v>7287</v>
      </c>
      <c r="K148" s="24">
        <f t="shared" si="242"/>
        <v>7404.9245640546178</v>
      </c>
      <c r="L148" s="24">
        <f t="shared" si="243"/>
        <v>3985.5480576735849</v>
      </c>
      <c r="M148" s="4">
        <f t="shared" si="244"/>
        <v>0.53822939358767352</v>
      </c>
      <c r="N148" s="31">
        <f>IFERROR(VLOOKUP($B148,Allocation!$D$10:$O$235,8,FALSE),"")</f>
        <v>2140275.2837152295</v>
      </c>
      <c r="O148" s="31">
        <f>IFERROR(VLOOKUP($B148,Allocation!$D$10:$O$235,9,FALSE),"")</f>
        <v>507568.18942313065</v>
      </c>
      <c r="P148" s="31">
        <f>IFERROR(VLOOKUP($B148,Allocation!$D$10:$O$235,10,FALSE),"")</f>
        <v>1652767.0994421782</v>
      </c>
      <c r="Q148" s="31">
        <f>IFERROR(VLOOKUP($B148,Allocation!$D$10:$O$235,11,FALSE),"")</f>
        <v>1704361.6185219369</v>
      </c>
      <c r="R148" s="31">
        <f>IFERROR(VLOOKUP($B148,Allocation!$D$10:$O$235,12,FALSE),"")</f>
        <v>6004972.1911024759</v>
      </c>
      <c r="S148" s="31">
        <f t="shared" si="245"/>
        <v>1882588.9715181971</v>
      </c>
      <c r="T148" s="31">
        <f t="shared" si="246"/>
        <v>446680.3531375468</v>
      </c>
      <c r="U148" s="31">
        <f t="shared" si="247"/>
        <v>1454140.789643229</v>
      </c>
      <c r="V148" s="31">
        <f t="shared" si="248"/>
        <v>1500422.3298572539</v>
      </c>
      <c r="W148" s="31">
        <f t="shared" si="249"/>
        <v>1882588.9715181971</v>
      </c>
      <c r="X148" s="31">
        <f t="shared" si="250"/>
        <v>446680.3531375468</v>
      </c>
      <c r="Y148" s="31">
        <f t="shared" si="251"/>
        <v>1454140.789643229</v>
      </c>
      <c r="Z148" s="31">
        <f t="shared" si="252"/>
        <v>1500422.3298572539</v>
      </c>
      <c r="AA148" s="31">
        <f t="shared" si="253"/>
        <v>1882613.721260678</v>
      </c>
      <c r="AB148" s="31">
        <f t="shared" si="254"/>
        <v>447267.61991257645</v>
      </c>
      <c r="AC148" s="31">
        <f t="shared" si="255"/>
        <v>1454180.6582128291</v>
      </c>
      <c r="AD148" s="31">
        <f t="shared" si="256"/>
        <v>1500459.4216925055</v>
      </c>
      <c r="AE148" s="31">
        <f t="shared" si="257"/>
        <v>5284521.4210785888</v>
      </c>
      <c r="AF148" s="31">
        <f>IFERROR(VLOOKUP(A148,'Allocations By Type'!$D$7:$F$491,3,FALSE),"")</f>
        <v>4376343.83</v>
      </c>
      <c r="AG148" s="31">
        <f t="shared" si="258"/>
        <v>211380.85684314356</v>
      </c>
      <c r="AH148" s="31">
        <f t="shared" si="259"/>
        <v>211380.85684314356</v>
      </c>
      <c r="AI148" s="31">
        <f t="shared" si="260"/>
        <v>5073140.5642354451</v>
      </c>
      <c r="AJ148" s="31">
        <f>AI148/$AI$577*'State Admin 1004(b)'!$B$30*0.01</f>
        <v>48278.538565144692</v>
      </c>
      <c r="AK148" s="31">
        <f t="shared" si="261"/>
        <v>5024862.0256703002</v>
      </c>
      <c r="AL148" s="31">
        <f t="shared" si="262"/>
        <v>50248.620256703005</v>
      </c>
      <c r="AM148" s="31">
        <f t="shared" si="263"/>
        <v>4974613.4054135969</v>
      </c>
      <c r="AP148" s="31"/>
      <c r="AQ148" s="4">
        <f t="shared" si="264"/>
        <v>1.1367053409543457</v>
      </c>
      <c r="AR148" s="4">
        <f>VLOOKUP(B148,Allocation!$D$10:$P$235,13,FALSE)</f>
        <v>1.1579747320481084</v>
      </c>
      <c r="AS148" s="4">
        <f t="shared" si="265"/>
        <v>0.95</v>
      </c>
      <c r="AT148" s="4" t="str">
        <f t="shared" si="266"/>
        <v/>
      </c>
      <c r="AU148" s="31" t="str">
        <f t="shared" si="267"/>
        <v/>
      </c>
      <c r="AV148" s="31" t="str">
        <f t="shared" si="268"/>
        <v/>
      </c>
      <c r="AW148" s="31">
        <f t="shared" si="269"/>
        <v>4958664.6111468161</v>
      </c>
      <c r="AX148" s="4">
        <f t="shared" si="270"/>
        <v>1.1330610216580757</v>
      </c>
      <c r="AY148" s="4" t="str">
        <f t="shared" si="271"/>
        <v/>
      </c>
      <c r="AZ148" s="174" t="str">
        <f>IFERROR(IF(VLOOKUP(A148,#REF!,11,FALSE)=0,"",VLOOKUP(A148,#REF!,11,FALSE)),"")</f>
        <v/>
      </c>
      <c r="BA148" s="31" t="str">
        <f t="shared" si="272"/>
        <v/>
      </c>
      <c r="BB148" s="31">
        <f t="shared" si="273"/>
        <v>4958664.6111468161</v>
      </c>
      <c r="BD148" s="31">
        <f>IFERROR(VLOOKUP(A148,'Title II Hold Harmless'!A$1:B$439,2, FALSE),"")</f>
        <v>465385</v>
      </c>
      <c r="BE148" s="31">
        <f t="shared" si="274"/>
        <v>523517.98711956479</v>
      </c>
      <c r="BF148" s="31">
        <f t="shared" si="275"/>
        <v>524024.52201179345</v>
      </c>
      <c r="BG148" s="31" t="str">
        <f t="shared" si="276"/>
        <v/>
      </c>
      <c r="BH148" s="31">
        <f t="shared" si="277"/>
        <v>524024.52201179345</v>
      </c>
    </row>
    <row r="149" spans="1:60" x14ac:dyDescent="0.3">
      <c r="A149" s="1">
        <v>70293000</v>
      </c>
      <c r="B149">
        <f>VLOOKUP(C149,'NCES ID'!$A$2:$B$3136,2,FALSE)</f>
        <v>400001</v>
      </c>
      <c r="C149">
        <f>VLOOKUP(A149,'State ID'!$A$2:$B$713,2,FALSE)</f>
        <v>4244</v>
      </c>
      <c r="D149" s="147" t="s">
        <v>96</v>
      </c>
      <c r="E149" t="s">
        <v>7</v>
      </c>
      <c r="F149" s="47">
        <f>VLOOKUP(B149,'Formula counts'!$D$9:$L$234,9,FALSE)</f>
        <v>8799</v>
      </c>
      <c r="G149" s="47">
        <f>VLOOKUP(B149,'Formula counts'!$D$9:$K$234,8,FALSE)</f>
        <v>606</v>
      </c>
      <c r="H149" s="4">
        <f>VLOOKUP(B149,'Formula counts'!$D$9:$M$234,10,FALSE)</f>
        <v>6.8871462666212066E-2</v>
      </c>
      <c r="I149" s="47">
        <f>VLOOKUP($C149,'Final SEA Counts'!$A$2:$F$709,5,FALSE)</f>
        <v>4895</v>
      </c>
      <c r="J149" s="47">
        <f>VLOOKUP($C149,'Final SEA Counts'!$A$2:$F$709,6,FALSE)</f>
        <v>492</v>
      </c>
      <c r="K149" s="24">
        <f t="shared" si="242"/>
        <v>7977.9516639055437</v>
      </c>
      <c r="L149" s="24">
        <f t="shared" si="243"/>
        <v>532.34342582106956</v>
      </c>
      <c r="M149" s="4">
        <f t="shared" si="244"/>
        <v>6.6726830174910462E-2</v>
      </c>
      <c r="N149" s="31">
        <f>IFERROR(VLOOKUP($B149,Allocation!$D$10:$O$235,8,FALSE),"")</f>
        <v>285873.22502345825</v>
      </c>
      <c r="O149" s="31">
        <f>IFERROR(VLOOKUP($B149,Allocation!$D$10:$O$235,9,FALSE),"")</f>
        <v>0</v>
      </c>
      <c r="P149" s="31">
        <f>IFERROR(VLOOKUP($B149,Allocation!$D$10:$O$235,10,FALSE),"")</f>
        <v>85974.312401534</v>
      </c>
      <c r="Q149" s="31">
        <f>IFERROR(VLOOKUP($B149,Allocation!$D$10:$O$235,11,FALSE),"")</f>
        <v>66644.229002905719</v>
      </c>
      <c r="R149" s="31">
        <f>IFERROR(VLOOKUP($B149,Allocation!$D$10:$O$235,12,FALSE),"")</f>
        <v>438491.76642789796</v>
      </c>
      <c r="S149" s="31">
        <f t="shared" si="245"/>
        <v>251454.46699141024</v>
      </c>
      <c r="T149" s="31" t="str">
        <f t="shared" si="246"/>
        <v/>
      </c>
      <c r="U149" s="31">
        <f t="shared" si="247"/>
        <v>75642.088087786309</v>
      </c>
      <c r="V149" s="31">
        <f t="shared" si="248"/>
        <v>58669.761314384545</v>
      </c>
      <c r="W149" s="31">
        <f t="shared" si="249"/>
        <v>251454.46699141024</v>
      </c>
      <c r="X149" s="31" t="str">
        <f t="shared" si="250"/>
        <v/>
      </c>
      <c r="Y149" s="31">
        <f t="shared" si="251"/>
        <v>75642.088087786309</v>
      </c>
      <c r="Z149" s="31">
        <f t="shared" si="252"/>
        <v>58669.761314384545</v>
      </c>
      <c r="AA149" s="31">
        <f t="shared" si="253"/>
        <v>251479.21673389128</v>
      </c>
      <c r="AB149" s="31" t="str">
        <f t="shared" si="254"/>
        <v/>
      </c>
      <c r="AC149" s="31">
        <f t="shared" si="255"/>
        <v>75681.956657386399</v>
      </c>
      <c r="AD149" s="31">
        <f t="shared" si="256"/>
        <v>58706.85314963619</v>
      </c>
      <c r="AE149" s="31">
        <f t="shared" si="257"/>
        <v>385868.02654091385</v>
      </c>
      <c r="AF149" s="31">
        <f>IFERROR(VLOOKUP(A149,'Allocations By Type'!$D$7:$F$491,3,FALSE),"")</f>
        <v>379625.13</v>
      </c>
      <c r="AG149" s="31">
        <f t="shared" si="258"/>
        <v>15434.721061636554</v>
      </c>
      <c r="AH149" s="31">
        <f t="shared" si="259"/>
        <v>6242.8965409138473</v>
      </c>
      <c r="AI149" s="31">
        <f t="shared" si="260"/>
        <v>379625.13</v>
      </c>
      <c r="AJ149" s="31">
        <f>AI149/$AI$577*'State Admin 1004(b)'!$B$30*0.01</f>
        <v>3612.7022791778636</v>
      </c>
      <c r="AK149" s="31">
        <f t="shared" si="261"/>
        <v>376012.42772082216</v>
      </c>
      <c r="AL149" s="31">
        <f t="shared" si="262"/>
        <v>3760.1242772082219</v>
      </c>
      <c r="AM149" s="31">
        <f t="shared" si="263"/>
        <v>372252.30344361393</v>
      </c>
      <c r="AP149" s="31"/>
      <c r="AQ149" s="4">
        <f t="shared" si="264"/>
        <v>0.98057866570533392</v>
      </c>
      <c r="AR149" s="4">
        <f>VLOOKUP(B149,Allocation!$D$10:$P$235,13,FALSE)</f>
        <v>0.97456550078287629</v>
      </c>
      <c r="AS149" s="4">
        <f t="shared" si="265"/>
        <v>0.85</v>
      </c>
      <c r="AT149" s="4" t="str">
        <f t="shared" si="266"/>
        <v/>
      </c>
      <c r="AU149" s="31" t="str">
        <f t="shared" si="267"/>
        <v/>
      </c>
      <c r="AV149" s="31" t="str">
        <f t="shared" si="268"/>
        <v/>
      </c>
      <c r="AW149" s="31">
        <f t="shared" si="269"/>
        <v>371058.84881325078</v>
      </c>
      <c r="AX149" s="4">
        <f t="shared" si="270"/>
        <v>0.97743489429493446</v>
      </c>
      <c r="AY149" s="4" t="str">
        <f t="shared" si="271"/>
        <v/>
      </c>
      <c r="AZ149" s="174" t="str">
        <f>IFERROR(IF(VLOOKUP(A149,#REF!,11,FALSE)=0,"",VLOOKUP(A149,#REF!,11,FALSE)),"")</f>
        <v/>
      </c>
      <c r="BA149" s="31" t="str">
        <f t="shared" si="272"/>
        <v/>
      </c>
      <c r="BB149" s="31">
        <f t="shared" si="273"/>
        <v>371058.84881325078</v>
      </c>
      <c r="BD149" s="31">
        <f>IFERROR(VLOOKUP(A149,'Title II Hold Harmless'!A$1:B$439,2, FALSE),"")</f>
        <v>47320</v>
      </c>
      <c r="BE149" s="31">
        <f t="shared" si="274"/>
        <v>60709.386703751748</v>
      </c>
      <c r="BF149" s="31">
        <f t="shared" si="275"/>
        <v>60768.12665807586</v>
      </c>
      <c r="BG149" s="31" t="str">
        <f t="shared" si="276"/>
        <v/>
      </c>
      <c r="BH149" s="31">
        <f t="shared" si="277"/>
        <v>60768.12665807586</v>
      </c>
    </row>
    <row r="150" spans="1:60" x14ac:dyDescent="0.3">
      <c r="A150" s="1">
        <v>70414000</v>
      </c>
      <c r="B150">
        <f>VLOOKUP(C150,'NCES ID'!$A$2:$B$3136,2,FALSE)</f>
        <v>402430</v>
      </c>
      <c r="C150">
        <f>VLOOKUP(A150,'State ID'!$A$2:$B$713,2,FALSE)</f>
        <v>4263</v>
      </c>
      <c r="D150" s="147" t="s">
        <v>122</v>
      </c>
      <c r="E150" t="s">
        <v>7</v>
      </c>
      <c r="F150" s="47">
        <f>VLOOKUP(B150,'Formula counts'!$D$9:$L$234,9,FALSE)</f>
        <v>9584</v>
      </c>
      <c r="G150" s="47">
        <f>VLOOKUP(B150,'Formula counts'!$D$9:$K$234,8,FALSE)</f>
        <v>4366</v>
      </c>
      <c r="H150" s="4">
        <f>VLOOKUP(B150,'Formula counts'!$D$9:$M$234,10,FALSE)</f>
        <v>0.455550918196995</v>
      </c>
      <c r="I150" s="47">
        <f>VLOOKUP($C150,'Final SEA Counts'!$A$2:$F$709,5,FALSE)</f>
        <v>6598</v>
      </c>
      <c r="J150" s="47">
        <f>VLOOKUP($C150,'Final SEA Counts'!$A$2:$F$709,6,FALSE)</f>
        <v>6159</v>
      </c>
      <c r="K150" s="24">
        <f t="shared" si="242"/>
        <v>8689.7020964735457</v>
      </c>
      <c r="L150" s="24">
        <f t="shared" si="243"/>
        <v>3835.332338506254</v>
      </c>
      <c r="M150" s="4">
        <f t="shared" si="244"/>
        <v>0.44136522701540115</v>
      </c>
      <c r="N150" s="31">
        <f>IFERROR(VLOOKUP($B150,Allocation!$D$10:$O$235,8,FALSE),"")</f>
        <v>2099180.0891512232</v>
      </c>
      <c r="O150" s="31">
        <f>IFERROR(VLOOKUP($B150,Allocation!$D$10:$O$235,9,FALSE),"")</f>
        <v>516264.97986119654</v>
      </c>
      <c r="P150" s="31">
        <f>IFERROR(VLOOKUP($B150,Allocation!$D$10:$O$235,10,FALSE),"")</f>
        <v>1396050.3121523033</v>
      </c>
      <c r="Q150" s="31">
        <f>IFERROR(VLOOKUP($B150,Allocation!$D$10:$O$235,11,FALSE),"")</f>
        <v>1416870.263918943</v>
      </c>
      <c r="R150" s="31">
        <f>IFERROR(VLOOKUP($B150,Allocation!$D$10:$O$235,12,FALSE),"")</f>
        <v>5428365.6450836658</v>
      </c>
      <c r="S150" s="31">
        <f t="shared" si="245"/>
        <v>1846441.5840034953</v>
      </c>
      <c r="T150" s="31">
        <f t="shared" si="246"/>
        <v>454333.87734372995</v>
      </c>
      <c r="U150" s="31">
        <f t="shared" si="247"/>
        <v>1228275.7225624747</v>
      </c>
      <c r="V150" s="31">
        <f t="shared" si="248"/>
        <v>1247331.4110055806</v>
      </c>
      <c r="W150" s="31">
        <f t="shared" si="249"/>
        <v>1846441.5840034953</v>
      </c>
      <c r="X150" s="31">
        <f t="shared" si="250"/>
        <v>454333.87734372995</v>
      </c>
      <c r="Y150" s="31">
        <f t="shared" si="251"/>
        <v>1228275.7225624747</v>
      </c>
      <c r="Z150" s="31">
        <f t="shared" si="252"/>
        <v>1247331.4110055806</v>
      </c>
      <c r="AA150" s="31">
        <f t="shared" si="253"/>
        <v>1846466.3337459762</v>
      </c>
      <c r="AB150" s="31">
        <f t="shared" si="254"/>
        <v>454921.14411875961</v>
      </c>
      <c r="AC150" s="31">
        <f t="shared" si="255"/>
        <v>1228315.5911320748</v>
      </c>
      <c r="AD150" s="31">
        <f t="shared" si="256"/>
        <v>1247368.5028408321</v>
      </c>
      <c r="AE150" s="31">
        <f t="shared" si="257"/>
        <v>4777071.5718376422</v>
      </c>
      <c r="AF150" s="31">
        <f>IFERROR(VLOOKUP(A150,'Allocations By Type'!$D$7:$F$491,3,FALSE),"")</f>
        <v>4993211.05</v>
      </c>
      <c r="AG150" s="31" t="str">
        <f t="shared" si="258"/>
        <v/>
      </c>
      <c r="AH150" s="31" t="str">
        <f t="shared" si="259"/>
        <v/>
      </c>
      <c r="AI150" s="31">
        <f t="shared" si="260"/>
        <v>4777071.5718376422</v>
      </c>
      <c r="AJ150" s="31">
        <f>AI150/$AI$577*'State Admin 1004(b)'!$B$30*0.01</f>
        <v>45460.998209927857</v>
      </c>
      <c r="AK150" s="31">
        <f t="shared" si="261"/>
        <v>4731610.5736277141</v>
      </c>
      <c r="AL150" s="31">
        <f t="shared" si="262"/>
        <v>47316.105736277139</v>
      </c>
      <c r="AM150" s="31">
        <f t="shared" si="263"/>
        <v>4684294.467891437</v>
      </c>
      <c r="AP150" s="31"/>
      <c r="AQ150" s="4">
        <f t="shared" si="264"/>
        <v>0.93813268075088418</v>
      </c>
      <c r="AR150" s="4">
        <f>VLOOKUP(B150,Allocation!$D$10:$P$235,13,FALSE)</f>
        <v>0.94999999999999984</v>
      </c>
      <c r="AS150" s="4">
        <f t="shared" si="265"/>
        <v>0.95</v>
      </c>
      <c r="AT150" s="4" t="str">
        <f t="shared" si="266"/>
        <v>Review</v>
      </c>
      <c r="AU150" s="31">
        <f t="shared" si="267"/>
        <v>59256.029608562589</v>
      </c>
      <c r="AV150" s="31">
        <f t="shared" si="268"/>
        <v>4743550.4974999996</v>
      </c>
      <c r="AW150" s="31">
        <f t="shared" si="269"/>
        <v>4743550.4974999996</v>
      </c>
      <c r="AX150" s="4">
        <f t="shared" si="270"/>
        <v>0.95</v>
      </c>
      <c r="AY150" s="4" t="str">
        <f t="shared" si="271"/>
        <v/>
      </c>
      <c r="AZ150" s="174" t="str">
        <f>IFERROR(IF(VLOOKUP(A150,#REF!,11,FALSE)=0,"",VLOOKUP(A150,#REF!,11,FALSE)),"")</f>
        <v/>
      </c>
      <c r="BA150" s="31" t="str">
        <f t="shared" si="272"/>
        <v/>
      </c>
      <c r="BB150" s="31">
        <f t="shared" si="273"/>
        <v>4743550.4974999996</v>
      </c>
      <c r="BD150" s="31">
        <f>IFERROR(VLOOKUP(A150,'Title II Hold Harmless'!A$1:B$439,2, FALSE),"")</f>
        <v>465459</v>
      </c>
      <c r="BE150" s="31">
        <f t="shared" si="274"/>
        <v>522659.55082789954</v>
      </c>
      <c r="BF150" s="31">
        <f t="shared" si="275"/>
        <v>523165.25513179088</v>
      </c>
      <c r="BG150" s="31" t="str">
        <f t="shared" si="276"/>
        <v/>
      </c>
      <c r="BH150" s="31">
        <f t="shared" si="277"/>
        <v>523165.25513179088</v>
      </c>
    </row>
    <row r="151" spans="1:60" x14ac:dyDescent="0.3">
      <c r="A151" s="1">
        <v>70492000</v>
      </c>
      <c r="B151">
        <f>VLOOKUP(C151,'NCES ID'!$A$2:$B$3136,2,FALSE)</f>
        <v>406210</v>
      </c>
      <c r="C151">
        <f>VLOOKUP(A151,'State ID'!$A$2:$B$713,2,FALSE)</f>
        <v>4283</v>
      </c>
      <c r="D151" s="147" t="s">
        <v>334</v>
      </c>
      <c r="E151" t="s">
        <v>7</v>
      </c>
      <c r="F151" s="47">
        <f>VLOOKUP(B151,'Formula counts'!$D$9:$L$234,9,FALSE)</f>
        <v>11337</v>
      </c>
      <c r="G151" s="47">
        <f>VLOOKUP(B151,'Formula counts'!$D$9:$K$234,8,FALSE)</f>
        <v>3264</v>
      </c>
      <c r="H151" s="4">
        <f>VLOOKUP(B151,'Formula counts'!$D$9:$M$234,10,FALSE)</f>
        <v>0.28790685366499075</v>
      </c>
      <c r="I151" s="47">
        <f>VLOOKUP($C151,'Final SEA Counts'!$A$2:$F$709,5,FALSE)</f>
        <v>10221</v>
      </c>
      <c r="J151" s="47">
        <f>VLOOKUP($C151,'Final SEA Counts'!$A$2:$F$709,6,FALSE)</f>
        <v>8114</v>
      </c>
      <c r="K151" s="24">
        <f t="shared" si="242"/>
        <v>10279.126947800563</v>
      </c>
      <c r="L151" s="24">
        <f t="shared" si="243"/>
        <v>2867.2754816501174</v>
      </c>
      <c r="M151" s="4">
        <f t="shared" si="244"/>
        <v>0.27894153814917438</v>
      </c>
      <c r="N151" s="31">
        <f>IFERROR(VLOOKUP($B151,Allocation!$D$10:$O$235,8,FALSE),"")</f>
        <v>1539752.8159679328</v>
      </c>
      <c r="O151" s="31">
        <f>IFERROR(VLOOKUP($B151,Allocation!$D$10:$O$235,9,FALSE),"")</f>
        <v>365153.75143863756</v>
      </c>
      <c r="P151" s="31">
        <f>IFERROR(VLOOKUP($B151,Allocation!$D$10:$O$235,10,FALSE),"")</f>
        <v>716665.41105008079</v>
      </c>
      <c r="Q151" s="31">
        <f>IFERROR(VLOOKUP($B151,Allocation!$D$10:$O$235,11,FALSE),"")</f>
        <v>583082.01678779884</v>
      </c>
      <c r="R151" s="31">
        <f>IFERROR(VLOOKUP($B151,Allocation!$D$10:$O$235,12,FALSE),"")</f>
        <v>3204653.9952444499</v>
      </c>
      <c r="S151" s="31">
        <f t="shared" si="245"/>
        <v>1354368.6142903676</v>
      </c>
      <c r="T151" s="31">
        <f t="shared" si="246"/>
        <v>321349.93886730279</v>
      </c>
      <c r="U151" s="31">
        <f t="shared" si="247"/>
        <v>630537.96695619228</v>
      </c>
      <c r="V151" s="31">
        <f t="shared" si="248"/>
        <v>513312.00410704099</v>
      </c>
      <c r="W151" s="31">
        <f t="shared" si="249"/>
        <v>1354368.6142903676</v>
      </c>
      <c r="X151" s="31">
        <f t="shared" si="250"/>
        <v>321349.93886730279</v>
      </c>
      <c r="Y151" s="31">
        <f t="shared" si="251"/>
        <v>630537.96695619228</v>
      </c>
      <c r="Z151" s="31">
        <f t="shared" si="252"/>
        <v>513312.00410704099</v>
      </c>
      <c r="AA151" s="31">
        <f t="shared" si="253"/>
        <v>1354393.3640328485</v>
      </c>
      <c r="AB151" s="31">
        <f t="shared" si="254"/>
        <v>321937.20564233244</v>
      </c>
      <c r="AC151" s="31">
        <f t="shared" si="255"/>
        <v>630577.83552579232</v>
      </c>
      <c r="AD151" s="31">
        <f t="shared" si="256"/>
        <v>513349.09594229265</v>
      </c>
      <c r="AE151" s="31">
        <f t="shared" si="257"/>
        <v>2820257.501143266</v>
      </c>
      <c r="AF151" s="31">
        <f>IFERROR(VLOOKUP(A151,'Allocations By Type'!$D$7:$F$491,3,FALSE),"")</f>
        <v>2460701.79</v>
      </c>
      <c r="AG151" s="31">
        <f t="shared" si="258"/>
        <v>112810.30004573065</v>
      </c>
      <c r="AH151" s="31">
        <f t="shared" si="259"/>
        <v>112810.30004573065</v>
      </c>
      <c r="AI151" s="31">
        <f t="shared" si="260"/>
        <v>2707447.2010975354</v>
      </c>
      <c r="AJ151" s="31">
        <f>AI151/$AI$577*'State Admin 1004(b)'!$B$30*0.01</f>
        <v>25765.419360301028</v>
      </c>
      <c r="AK151" s="31">
        <f t="shared" si="261"/>
        <v>2681681.7817372344</v>
      </c>
      <c r="AL151" s="31">
        <f t="shared" si="262"/>
        <v>26816.817817372346</v>
      </c>
      <c r="AM151" s="31">
        <f t="shared" si="263"/>
        <v>2654864.9639198622</v>
      </c>
      <c r="AP151" s="31"/>
      <c r="AQ151" s="4">
        <f t="shared" si="264"/>
        <v>1.0789056092489218</v>
      </c>
      <c r="AR151" s="4">
        <f>VLOOKUP(B151,Allocation!$D$10:$P$235,13,FALSE)</f>
        <v>1.0990198053712681</v>
      </c>
      <c r="AS151" s="4">
        <f t="shared" si="265"/>
        <v>0.9</v>
      </c>
      <c r="AT151" s="4" t="str">
        <f t="shared" si="266"/>
        <v/>
      </c>
      <c r="AU151" s="31" t="str">
        <f t="shared" si="267"/>
        <v/>
      </c>
      <c r="AV151" s="31" t="str">
        <f t="shared" si="268"/>
        <v/>
      </c>
      <c r="AW151" s="31">
        <f t="shared" si="269"/>
        <v>2646353.3688138858</v>
      </c>
      <c r="AX151" s="4">
        <f t="shared" si="270"/>
        <v>1.0754465980267709</v>
      </c>
      <c r="AY151" s="4" t="str">
        <f t="shared" si="271"/>
        <v/>
      </c>
      <c r="AZ151" s="174" t="str">
        <f>IFERROR(IF(VLOOKUP(A151,#REF!,11,FALSE)=0,"",VLOOKUP(A151,#REF!,11,FALSE)),"")</f>
        <v/>
      </c>
      <c r="BA151" s="31" t="str">
        <f t="shared" si="272"/>
        <v/>
      </c>
      <c r="BB151" s="31">
        <f t="shared" si="273"/>
        <v>2646353.3688138858</v>
      </c>
      <c r="BD151" s="31">
        <f>IFERROR(VLOOKUP(A151,'Title II Hold Harmless'!A$1:B$439,2, FALSE),"")</f>
        <v>211108</v>
      </c>
      <c r="BE151" s="31">
        <f t="shared" si="274"/>
        <v>256915.20374942076</v>
      </c>
      <c r="BF151" s="31">
        <f t="shared" si="275"/>
        <v>257163.78453985194</v>
      </c>
      <c r="BG151" s="31" t="str">
        <f t="shared" si="276"/>
        <v/>
      </c>
      <c r="BH151" s="31">
        <f t="shared" si="277"/>
        <v>257163.78453985194</v>
      </c>
    </row>
    <row r="152" spans="1:60" x14ac:dyDescent="0.3">
      <c r="A152" s="1">
        <v>70479000</v>
      </c>
      <c r="B152">
        <f>VLOOKUP(C152,'NCES ID'!$A$2:$B$3136,2,FALSE)</f>
        <v>404380</v>
      </c>
      <c r="C152">
        <f>VLOOKUP(A152,'State ID'!$A$2:$B$713,2,FALSE)</f>
        <v>4281</v>
      </c>
      <c r="D152" s="147" t="s">
        <v>262</v>
      </c>
      <c r="E152" t="s">
        <v>7</v>
      </c>
      <c r="F152" s="47">
        <f>VLOOKUP(B152,'Formula counts'!$D$9:$L$234,9,FALSE)</f>
        <v>11452</v>
      </c>
      <c r="G152" s="47">
        <f>VLOOKUP(B152,'Formula counts'!$D$9:$K$234,8,FALSE)</f>
        <v>1776</v>
      </c>
      <c r="H152" s="4">
        <f>VLOOKUP(B152,'Formula counts'!$D$9:$M$234,10,FALSE)</f>
        <v>0.15508208173244847</v>
      </c>
      <c r="I152" s="47">
        <f>VLOOKUP($C152,'Final SEA Counts'!$A$2:$F$709,5,FALSE)</f>
        <v>11400</v>
      </c>
      <c r="J152" s="47">
        <f>VLOOKUP($C152,'Final SEA Counts'!$A$2:$F$709,6,FALSE)</f>
        <v>4124</v>
      </c>
      <c r="K152" s="24">
        <f t="shared" ref="K152:K174" si="278">F152-(F152/(F$356-F$175))*K$355+(F152/(F$356-F$175))*F$175</f>
        <v>10383.396119450652</v>
      </c>
      <c r="L152" s="24">
        <f t="shared" ref="L152:L174" si="279">G152-(G152/(G$356-G$175))*L$355+(G152/(G$356-G$175))*G$175</f>
        <v>1560.1351885449167</v>
      </c>
      <c r="M152" s="4">
        <f t="shared" ref="M152:M174" si="280">L152/K152</f>
        <v>0.15025288167735412</v>
      </c>
      <c r="N152" s="31">
        <f>IFERROR(VLOOKUP($B152,Allocation!$D$10:$O$235,8,FALSE),"")</f>
        <v>837806.67927666986</v>
      </c>
      <c r="O152" s="31">
        <f>IFERROR(VLOOKUP($B152,Allocation!$D$10:$O$235,9,FALSE),"")</f>
        <v>198686.60004749396</v>
      </c>
      <c r="P152" s="31">
        <f>IFERROR(VLOOKUP($B152,Allocation!$D$10:$O$235,10,FALSE),"")</f>
        <v>328929.77442732116</v>
      </c>
      <c r="Q152" s="31">
        <f>IFERROR(VLOOKUP($B152,Allocation!$D$10:$O$235,11,FALSE),"")</f>
        <v>254974.66162250316</v>
      </c>
      <c r="R152" s="31">
        <f>IFERROR(VLOOKUP($B152,Allocation!$D$10:$O$235,12,FALSE),"")</f>
        <v>1620397.715373988</v>
      </c>
      <c r="S152" s="31">
        <f t="shared" ref="S152:S174" si="281">IF(N152=0,"",N152-(N152/(N$356-N$175)*S$355-N152/(N$356-N$175)*N$175))</f>
        <v>736935.86365799455</v>
      </c>
      <c r="T152" s="31">
        <f t="shared" ref="T152:T174" si="282">IF(O152=0,"",O152-(O152/(O$356-O$175)*T$355-O152/(O$356-O$175)*O$175))</f>
        <v>174852.17261897359</v>
      </c>
      <c r="U152" s="31">
        <f t="shared" ref="U152:U174" si="283">IF(P152=0,"",P152-(P152/(P$356-P$175)*U$355-P152/(P$356-P$175)*P$175))</f>
        <v>289399.63899592834</v>
      </c>
      <c r="V152" s="31">
        <f t="shared" ref="V152:V174" si="284">IF(Q152=0,"",Q152-(Q152/(Q$356-Q$175)*V$355-Q152/(Q$356-Q$175)*Q$175))</f>
        <v>224465.08516072703</v>
      </c>
      <c r="W152" s="31">
        <f t="shared" ref="W152:W174" si="285">IF(S152="0","",S152)</f>
        <v>736935.86365799455</v>
      </c>
      <c r="X152" s="31">
        <f t="shared" ref="X152:X174" si="286">IF(T152="0","",T152)</f>
        <v>174852.17261897359</v>
      </c>
      <c r="Y152" s="31">
        <f t="shared" ref="Y152:Y174" si="287">IF(U152="0","",U152)</f>
        <v>289399.63899592834</v>
      </c>
      <c r="Z152" s="31">
        <f t="shared" ref="Z152:Z174" si="288">IF(V152="0","",V152)</f>
        <v>224465.08516072703</v>
      </c>
      <c r="AA152" s="31">
        <f t="shared" ref="AA152:AA174" si="289">IF(W152="","",W152+W$357)</f>
        <v>736960.61340047559</v>
      </c>
      <c r="AB152" s="31">
        <f t="shared" ref="AB152:AB174" si="290">IF(X152="","",X152+X$357)</f>
        <v>175439.43939400325</v>
      </c>
      <c r="AC152" s="31">
        <f t="shared" ref="AC152:AC174" si="291">IF(Y152="","",Y152+Y$357)</f>
        <v>289439.50756552845</v>
      </c>
      <c r="AD152" s="31">
        <f t="shared" ref="AD152:AD174" si="292">IF(Z152="","",Z152+Z$357)</f>
        <v>224502.17699597866</v>
      </c>
      <c r="AE152" s="31">
        <f t="shared" ref="AE152:AE174" si="293">SUM(AA152:AD152)</f>
        <v>1426341.7373559859</v>
      </c>
      <c r="AF152" s="31">
        <f>IFERROR(VLOOKUP(A152,'Allocations By Type'!$D$7:$F$491,3,FALSE),"")</f>
        <v>1431885.02</v>
      </c>
      <c r="AG152" s="31" t="str">
        <f t="shared" ref="AG152:AG174" si="294">IF(AE152&gt;AF152,AE152*0.04,"")</f>
        <v/>
      </c>
      <c r="AH152" s="31" t="str">
        <f t="shared" ref="AH152:AH174" si="295">IF(AG152="","",IF((AE152-AF152)&gt;AG152,AG152,AE152-AF152))</f>
        <v/>
      </c>
      <c r="AI152" s="31">
        <f t="shared" ref="AI152:AI174" si="296">IF(AH152="",AE152,AE152-AH152)</f>
        <v>1426341.7373559859</v>
      </c>
      <c r="AJ152" s="31">
        <f>AI152/$AI$577*'State Admin 1004(b)'!$B$30*0.01</f>
        <v>13573.780127339</v>
      </c>
      <c r="AK152" s="31">
        <f t="shared" ref="AK152:AK174" si="297">AI152-AJ152</f>
        <v>1412767.9572286468</v>
      </c>
      <c r="AL152" s="31">
        <f t="shared" ref="AL152:AL174" si="298">AK152*0.01</f>
        <v>14127.679572286468</v>
      </c>
      <c r="AM152" s="31">
        <f t="shared" ref="AM152:AM174" si="299">AK152-AL152</f>
        <v>1398640.2776563603</v>
      </c>
      <c r="AP152" s="31"/>
      <c r="AQ152" s="4">
        <f t="shared" si="264"/>
        <v>0.97678253359781664</v>
      </c>
      <c r="AR152" s="4">
        <f>VLOOKUP(B152,Allocation!$D$10:$P$235,13,FALSE)</f>
        <v>0.95505283964167453</v>
      </c>
      <c r="AS152" s="4">
        <f t="shared" si="265"/>
        <v>0.9</v>
      </c>
      <c r="AT152" s="4" t="str">
        <f t="shared" ref="AT152:AT173" si="300">IF(AQ152&lt;AS152,"Review","")</f>
        <v/>
      </c>
      <c r="AU152" s="31" t="str">
        <f t="shared" ref="AU152:AU174" si="301">IF(AT152="Review",AM152*AS152/AQ152-AM152,"")</f>
        <v/>
      </c>
      <c r="AV152" s="31" t="str">
        <f t="shared" ref="AV152:AV174" si="302">IF(AU152="","",AU152+AM152)</f>
        <v/>
      </c>
      <c r="AW152" s="31">
        <f t="shared" ref="AW152:AW173" si="303">IF(AV152="",AM152-AM152/($AM$356-$AV$356+$AU$356)*$AU$356,AV152)</f>
        <v>1394156.1852810013</v>
      </c>
      <c r="AX152" s="4">
        <f t="shared" ref="AX152:AX173" si="304">IFERROR(AW152/AF152,"")</f>
        <v>0.97365093272712722</v>
      </c>
      <c r="AY152" s="4" t="str">
        <f t="shared" ref="AY152:AY173" si="305">IF(AX152&lt;AS152,"Manual Adjustment","")</f>
        <v/>
      </c>
      <c r="AZ152" s="174" t="str">
        <f>IFERROR(IF(VLOOKUP(A152,#REF!,11,FALSE)=0,"",VLOOKUP(A152,#REF!,11,FALSE)),"")</f>
        <v/>
      </c>
      <c r="BA152" s="31" t="str">
        <f t="shared" si="272"/>
        <v/>
      </c>
      <c r="BB152" s="31">
        <f t="shared" si="273"/>
        <v>1394156.1852810013</v>
      </c>
      <c r="BD152" s="31">
        <f>IFERROR(VLOOKUP(A152,'Title II Hold Harmless'!A$1:B$439,2, FALSE),"")</f>
        <v>60736</v>
      </c>
      <c r="BE152" s="31">
        <f t="shared" ref="BE152:BE183" si="306">IFERROR($BD$582*(0.8*($L152/$L$579)+0.2*($K152/$K$579))+$BD152,$BD$582*(0.8*($L152/$L$579)+0.2*($K152/$K$579)))</f>
        <v>89515.77347607768</v>
      </c>
      <c r="BF152" s="31">
        <f t="shared" ref="BF152:BF183" si="307">$BD$583*BE152</f>
        <v>89602.385328556615</v>
      </c>
      <c r="BG152" s="31" t="str">
        <f t="shared" si="276"/>
        <v/>
      </c>
      <c r="BH152" s="31">
        <f t="shared" si="277"/>
        <v>89602.385328556615</v>
      </c>
    </row>
    <row r="153" spans="1:60" x14ac:dyDescent="0.3">
      <c r="A153" s="1">
        <v>70514000</v>
      </c>
      <c r="B153">
        <f>VLOOKUP(C153,'NCES ID'!$A$2:$B$3136,2,FALSE)</f>
        <v>408520</v>
      </c>
      <c r="C153">
        <f>VLOOKUP(A153,'State ID'!$A$2:$B$713,2,FALSE)</f>
        <v>4288</v>
      </c>
      <c r="D153" s="147" t="s">
        <v>415</v>
      </c>
      <c r="E153" t="s">
        <v>7</v>
      </c>
      <c r="F153" s="47">
        <f>VLOOKUP(B153,'Formula counts'!$D$9:$L$234,9,FALSE)</f>
        <v>12367</v>
      </c>
      <c r="G153" s="47">
        <f>VLOOKUP(B153,'Formula counts'!$D$9:$K$234,8,FALSE)</f>
        <v>2998</v>
      </c>
      <c r="H153" s="4">
        <f>VLOOKUP(B153,'Formula counts'!$D$9:$M$234,10,FALSE)</f>
        <v>0.24241934179671706</v>
      </c>
      <c r="I153" s="47">
        <f>VLOOKUP($C153,'Final SEA Counts'!$A$2:$F$709,5,FALSE)</f>
        <v>8904</v>
      </c>
      <c r="J153" s="47">
        <f>VLOOKUP($C153,'Final SEA Counts'!$A$2:$F$709,6,FALSE)</f>
        <v>6022</v>
      </c>
      <c r="K153" s="24">
        <f t="shared" si="278"/>
        <v>11213.016050405711</v>
      </c>
      <c r="L153" s="24">
        <f t="shared" si="279"/>
        <v>2633.6065851676017</v>
      </c>
      <c r="M153" s="4">
        <f t="shared" si="280"/>
        <v>0.23487049098376275</v>
      </c>
      <c r="N153" s="31">
        <f>IFERROR(VLOOKUP($B153,Allocation!$D$10:$O$235,8,FALSE),"")</f>
        <v>1414270.5092744674</v>
      </c>
      <c r="O153" s="31">
        <f>IFERROR(VLOOKUP($B153,Allocation!$D$10:$O$235,9,FALSE),"")</f>
        <v>335395.51066575845</v>
      </c>
      <c r="P153" s="31">
        <f>IFERROR(VLOOKUP($B153,Allocation!$D$10:$O$235,10,FALSE),"")</f>
        <v>641189.6120441138</v>
      </c>
      <c r="Q153" s="31">
        <f>IFERROR(VLOOKUP($B153,Allocation!$D$10:$O$235,11,FALSE),"")</f>
        <v>517262.59259928548</v>
      </c>
      <c r="R153" s="31">
        <f>IFERROR(VLOOKUP($B153,Allocation!$D$10:$O$235,12,FALSE),"")</f>
        <v>2908118.2245836249</v>
      </c>
      <c r="S153" s="31">
        <f t="shared" si="281"/>
        <v>1243994.2112875369</v>
      </c>
      <c r="T153" s="31">
        <f t="shared" si="282"/>
        <v>295161.49409441603</v>
      </c>
      <c r="U153" s="31">
        <f t="shared" si="283"/>
        <v>564132.7015061886</v>
      </c>
      <c r="V153" s="31">
        <f t="shared" si="284"/>
        <v>455368.35370001267</v>
      </c>
      <c r="W153" s="31">
        <f t="shared" si="285"/>
        <v>1243994.2112875369</v>
      </c>
      <c r="X153" s="31">
        <f t="shared" si="286"/>
        <v>295161.49409441603</v>
      </c>
      <c r="Y153" s="31">
        <f t="shared" si="287"/>
        <v>564132.7015061886</v>
      </c>
      <c r="Z153" s="31">
        <f t="shared" si="288"/>
        <v>455368.35370001267</v>
      </c>
      <c r="AA153" s="31">
        <f t="shared" si="289"/>
        <v>1244018.9610300178</v>
      </c>
      <c r="AB153" s="31">
        <f t="shared" si="290"/>
        <v>295748.76086944569</v>
      </c>
      <c r="AC153" s="31">
        <f t="shared" si="291"/>
        <v>564172.57007578865</v>
      </c>
      <c r="AD153" s="31">
        <f t="shared" si="292"/>
        <v>455405.44553526433</v>
      </c>
      <c r="AE153" s="31">
        <f t="shared" si="293"/>
        <v>2559345.7375105168</v>
      </c>
      <c r="AF153" s="31">
        <f>IFERROR(VLOOKUP(A153,'Allocations By Type'!$D$7:$F$491,3,FALSE),"")</f>
        <v>2320247.31</v>
      </c>
      <c r="AG153" s="31">
        <f t="shared" si="294"/>
        <v>102373.82950042067</v>
      </c>
      <c r="AH153" s="31">
        <f t="shared" si="295"/>
        <v>102373.82950042067</v>
      </c>
      <c r="AI153" s="31">
        <f t="shared" si="296"/>
        <v>2456971.9080100963</v>
      </c>
      <c r="AJ153" s="31">
        <f>AI153/$AI$577*'State Admin 1004(b)'!$B$30*0.01</f>
        <v>23381.771412087652</v>
      </c>
      <c r="AK153" s="31">
        <f t="shared" si="297"/>
        <v>2433590.1365980087</v>
      </c>
      <c r="AL153" s="31">
        <f t="shared" si="298"/>
        <v>24335.901365980088</v>
      </c>
      <c r="AM153" s="31">
        <f t="shared" si="299"/>
        <v>2409254.2352320286</v>
      </c>
      <c r="AP153" s="31"/>
      <c r="AQ153" s="4">
        <f t="shared" si="264"/>
        <v>1.0383609647335519</v>
      </c>
      <c r="AR153" s="4">
        <f>VLOOKUP(B153,Allocation!$D$10:$P$235,13,FALSE)</f>
        <v>1.0577022883268001</v>
      </c>
      <c r="AS153" s="4">
        <f t="shared" si="265"/>
        <v>0.9</v>
      </c>
      <c r="AT153" s="4" t="str">
        <f t="shared" si="300"/>
        <v/>
      </c>
      <c r="AU153" s="31" t="str">
        <f t="shared" si="301"/>
        <v/>
      </c>
      <c r="AV153" s="31" t="str">
        <f t="shared" si="302"/>
        <v/>
      </c>
      <c r="AW153" s="31">
        <f t="shared" si="303"/>
        <v>2401530.0771914721</v>
      </c>
      <c r="AX153" s="4">
        <f t="shared" si="304"/>
        <v>1.03503194113884</v>
      </c>
      <c r="AY153" s="4" t="str">
        <f t="shared" si="305"/>
        <v/>
      </c>
      <c r="AZ153" s="174" t="str">
        <f>IFERROR(IF(VLOOKUP(A153,#REF!,11,FALSE)=0,"",VLOOKUP(A153,#REF!,11,FALSE)),"")</f>
        <v/>
      </c>
      <c r="BA153" s="31" t="str">
        <f t="shared" si="272"/>
        <v/>
      </c>
      <c r="BB153" s="31">
        <f t="shared" si="273"/>
        <v>2401530.0771914721</v>
      </c>
      <c r="BD153" s="31">
        <f>IFERROR(VLOOKUP(A153,'Title II Hold Harmless'!A$1:B$439,2, FALSE),"")</f>
        <v>119776</v>
      </c>
      <c r="BE153" s="31">
        <f t="shared" si="306"/>
        <v>163275.91430793845</v>
      </c>
      <c r="BF153" s="31">
        <f t="shared" si="307"/>
        <v>163433.89349813314</v>
      </c>
      <c r="BG153" s="31" t="str">
        <f t="shared" si="276"/>
        <v/>
      </c>
      <c r="BH153" s="31">
        <f t="shared" si="277"/>
        <v>163433.89349813314</v>
      </c>
    </row>
    <row r="154" spans="1:60" x14ac:dyDescent="0.3">
      <c r="A154" s="1">
        <v>70403000</v>
      </c>
      <c r="B154">
        <f>VLOOKUP(C154,'NCES ID'!$A$2:$B$3136,2,FALSE)</f>
        <v>408310</v>
      </c>
      <c r="C154">
        <f>VLOOKUP(A154,'State ID'!$A$2:$B$713,2,FALSE)</f>
        <v>4258</v>
      </c>
      <c r="D154" s="147" t="s">
        <v>409</v>
      </c>
      <c r="E154" t="s">
        <v>7</v>
      </c>
      <c r="F154" s="47">
        <f>VLOOKUP(B154,'Formula counts'!$D$9:$L$234,9,FALSE)</f>
        <v>12777</v>
      </c>
      <c r="G154" s="47">
        <f>VLOOKUP(B154,'Formula counts'!$D$9:$K$234,8,FALSE)</f>
        <v>4599</v>
      </c>
      <c r="H154" s="4">
        <f>VLOOKUP(B154,'Formula counts'!$D$9:$M$234,10,FALSE)</f>
        <v>0.35994364874383661</v>
      </c>
      <c r="I154" s="47">
        <f>VLOOKUP($C154,'Final SEA Counts'!$A$2:$F$709,5,FALSE)</f>
        <v>11506</v>
      </c>
      <c r="J154" s="47">
        <f>VLOOKUP($C154,'Final SEA Counts'!$A$2:$F$709,6,FALSE)</f>
        <v>8262</v>
      </c>
      <c r="K154" s="24">
        <f t="shared" si="278"/>
        <v>11584.75831454951</v>
      </c>
      <c r="L154" s="24">
        <f t="shared" si="279"/>
        <v>4040.0122365529687</v>
      </c>
      <c r="M154" s="4">
        <f t="shared" si="280"/>
        <v>0.34873513342777668</v>
      </c>
      <c r="N154" s="31">
        <f>IFERROR(VLOOKUP($B154,Allocation!$D$10:$O$235,8,FALSE),"")</f>
        <v>2169523.0394107001</v>
      </c>
      <c r="O154" s="31">
        <f>IFERROR(VLOOKUP($B154,Allocation!$D$10:$O$235,9,FALSE),"")</f>
        <v>514504.32073109515</v>
      </c>
      <c r="P154" s="31">
        <f>IFERROR(VLOOKUP($B154,Allocation!$D$10:$O$235,10,FALSE),"")</f>
        <v>1198086.6777691967</v>
      </c>
      <c r="Q154" s="31">
        <f>IFERROR(VLOOKUP($B154,Allocation!$D$10:$O$235,11,FALSE),"")</f>
        <v>1064808.15239783</v>
      </c>
      <c r="R154" s="31">
        <f>IFERROR(VLOOKUP($B154,Allocation!$D$10:$O$235,12,FALSE),"")</f>
        <v>4946922.1903088223</v>
      </c>
      <c r="S154" s="31">
        <f t="shared" si="281"/>
        <v>1908315.3361278805</v>
      </c>
      <c r="T154" s="31">
        <f t="shared" si="282"/>
        <v>452784.42673122732</v>
      </c>
      <c r="U154" s="31">
        <f t="shared" si="283"/>
        <v>1054102.9696563624</v>
      </c>
      <c r="V154" s="31">
        <f t="shared" si="284"/>
        <v>937396.09687836119</v>
      </c>
      <c r="W154" s="31">
        <f t="shared" si="285"/>
        <v>1908315.3361278805</v>
      </c>
      <c r="X154" s="31">
        <f t="shared" si="286"/>
        <v>452784.42673122732</v>
      </c>
      <c r="Y154" s="31">
        <f t="shared" si="287"/>
        <v>1054102.9696563624</v>
      </c>
      <c r="Z154" s="31">
        <f t="shared" si="288"/>
        <v>937396.09687836119</v>
      </c>
      <c r="AA154" s="31">
        <f t="shared" si="289"/>
        <v>1908340.0858703614</v>
      </c>
      <c r="AB154" s="31">
        <f t="shared" si="290"/>
        <v>453371.69350625697</v>
      </c>
      <c r="AC154" s="31">
        <f t="shared" si="291"/>
        <v>1054142.8382259626</v>
      </c>
      <c r="AD154" s="31">
        <f t="shared" si="292"/>
        <v>937433.18871361285</v>
      </c>
      <c r="AE154" s="31">
        <f t="shared" si="293"/>
        <v>4353287.8063161941</v>
      </c>
      <c r="AF154" s="31">
        <f>IFERROR(VLOOKUP(A154,'Allocations By Type'!$D$7:$F$491,3,FALSE),"")</f>
        <v>4143432.99</v>
      </c>
      <c r="AG154" s="31">
        <f t="shared" si="294"/>
        <v>174131.51225264778</v>
      </c>
      <c r="AH154" s="31">
        <f t="shared" si="295"/>
        <v>174131.51225264778</v>
      </c>
      <c r="AI154" s="31">
        <f t="shared" si="296"/>
        <v>4179156.2940635462</v>
      </c>
      <c r="AJ154" s="31">
        <f>AI154/$AI$577*'State Admin 1004(b)'!$B$30*0.01</f>
        <v>39770.937894980474</v>
      </c>
      <c r="AK154" s="31">
        <f t="shared" si="297"/>
        <v>4139385.3561685658</v>
      </c>
      <c r="AL154" s="31">
        <f t="shared" si="298"/>
        <v>41393.853561685661</v>
      </c>
      <c r="AM154" s="31">
        <f t="shared" si="299"/>
        <v>4097991.5026068799</v>
      </c>
      <c r="AP154" s="31"/>
      <c r="AQ154" s="4">
        <f t="shared" si="264"/>
        <v>0.98903288951389068</v>
      </c>
      <c r="AR154" s="4">
        <f>VLOOKUP(B154,Allocation!$D$10:$P$235,13,FALSE)</f>
        <v>1.0077706112967351</v>
      </c>
      <c r="AS154" s="4">
        <f t="shared" si="265"/>
        <v>0.95</v>
      </c>
      <c r="AT154" s="4" t="str">
        <f t="shared" si="300"/>
        <v/>
      </c>
      <c r="AU154" s="31" t="str">
        <f t="shared" si="301"/>
        <v/>
      </c>
      <c r="AV154" s="31" t="str">
        <f t="shared" si="302"/>
        <v/>
      </c>
      <c r="AW154" s="31">
        <f t="shared" si="303"/>
        <v>4084853.1905300124</v>
      </c>
      <c r="AX154" s="4">
        <f t="shared" si="304"/>
        <v>0.98586201354978642</v>
      </c>
      <c r="AY154" s="4" t="str">
        <f t="shared" si="305"/>
        <v/>
      </c>
      <c r="AZ154" s="174" t="str">
        <f>IFERROR(IF(VLOOKUP(A154,#REF!,11,FALSE)=0,"",VLOOKUP(A154,#REF!,11,FALSE)),"")</f>
        <v/>
      </c>
      <c r="BA154" s="31" t="str">
        <f t="shared" si="272"/>
        <v/>
      </c>
      <c r="BB154" s="31">
        <f t="shared" si="273"/>
        <v>4084853.1905300124</v>
      </c>
      <c r="BD154" s="31">
        <f>IFERROR(VLOOKUP(A154,'Title II Hold Harmless'!A$1:B$439,2, FALSE),"")</f>
        <v>472862</v>
      </c>
      <c r="BE154" s="31">
        <f t="shared" si="306"/>
        <v>535071.88877701981</v>
      </c>
      <c r="BF154" s="31">
        <f t="shared" si="307"/>
        <v>535589.60275855369</v>
      </c>
      <c r="BG154" s="31" t="str">
        <f t="shared" si="276"/>
        <v/>
      </c>
      <c r="BH154" s="31">
        <f t="shared" si="277"/>
        <v>535589.60275855369</v>
      </c>
    </row>
    <row r="155" spans="1:60" x14ac:dyDescent="0.3">
      <c r="A155" s="1">
        <v>70468000</v>
      </c>
      <c r="B155">
        <f>VLOOKUP(C155,'NCES ID'!$A$2:$B$3136,2,FALSE)</f>
        <v>400600</v>
      </c>
      <c r="C155">
        <f>VLOOKUP(A155,'State ID'!$A$2:$B$713,2,FALSE)</f>
        <v>4280</v>
      </c>
      <c r="D155" s="147" t="s">
        <v>22</v>
      </c>
      <c r="E155" t="s">
        <v>7</v>
      </c>
      <c r="F155" s="47">
        <f>VLOOKUP(B155,'Formula counts'!$D$9:$L$234,9,FALSE)</f>
        <v>15357</v>
      </c>
      <c r="G155" s="47">
        <f>VLOOKUP(B155,'Formula counts'!$D$9:$K$234,8,FALSE)</f>
        <v>8073</v>
      </c>
      <c r="H155" s="4">
        <f>VLOOKUP(B155,'Formula counts'!$D$9:$M$234,10,FALSE)</f>
        <v>0.52568861105684705</v>
      </c>
      <c r="I155" s="47">
        <f>VLOOKUP($C155,'Final SEA Counts'!$A$2:$F$709,5,FALSE)</f>
        <v>13942</v>
      </c>
      <c r="J155" s="47">
        <f>VLOOKUP($C155,'Final SEA Counts'!$A$2:$F$709,6,FALSE)</f>
        <v>12995</v>
      </c>
      <c r="K155" s="24">
        <f t="shared" si="278"/>
        <v>13924.01451330804</v>
      </c>
      <c r="L155" s="24">
        <f t="shared" si="279"/>
        <v>7091.7631627945448</v>
      </c>
      <c r="M155" s="4">
        <f t="shared" si="280"/>
        <v>0.50931885743271155</v>
      </c>
      <c r="N155" s="31">
        <f>IFERROR(VLOOKUP($B155,Allocation!$D$10:$O$235,8,FALSE),"")</f>
        <v>3808340.8343471568</v>
      </c>
      <c r="O155" s="31">
        <f>IFERROR(VLOOKUP($B155,Allocation!$D$10:$O$235,9,FALSE),"")</f>
        <v>903151.42014832131</v>
      </c>
      <c r="P155" s="31">
        <f>IFERROR(VLOOKUP($B155,Allocation!$D$10:$O$235,10,FALSE),"")</f>
        <v>2847767.019199349</v>
      </c>
      <c r="Q155" s="31">
        <f>IFERROR(VLOOKUP($B155,Allocation!$D$10:$O$235,11,FALSE),"")</f>
        <v>2902461.5996279204</v>
      </c>
      <c r="R155" s="31">
        <f>IFERROR(VLOOKUP($B155,Allocation!$D$10:$O$235,12,FALSE),"")</f>
        <v>10461720.873322748</v>
      </c>
      <c r="S155" s="31">
        <f t="shared" si="281"/>
        <v>3349821.6369994287</v>
      </c>
      <c r="T155" s="31">
        <f t="shared" si="282"/>
        <v>794809.45357712475</v>
      </c>
      <c r="U155" s="31">
        <f t="shared" si="283"/>
        <v>2505527.9618139328</v>
      </c>
      <c r="V155" s="31">
        <f t="shared" si="284"/>
        <v>2555160.9167376258</v>
      </c>
      <c r="W155" s="31">
        <f t="shared" si="285"/>
        <v>3349821.6369994287</v>
      </c>
      <c r="X155" s="31">
        <f t="shared" si="286"/>
        <v>794809.45357712475</v>
      </c>
      <c r="Y155" s="31">
        <f t="shared" si="287"/>
        <v>2505527.9618139328</v>
      </c>
      <c r="Z155" s="31">
        <f t="shared" si="288"/>
        <v>2555160.9167376258</v>
      </c>
      <c r="AA155" s="31">
        <f t="shared" si="289"/>
        <v>3349846.3867419097</v>
      </c>
      <c r="AB155" s="31">
        <f t="shared" si="290"/>
        <v>795396.72035215434</v>
      </c>
      <c r="AC155" s="31">
        <f t="shared" si="291"/>
        <v>2505567.8303835327</v>
      </c>
      <c r="AD155" s="31">
        <f t="shared" si="292"/>
        <v>2555198.0085728774</v>
      </c>
      <c r="AE155" s="31">
        <f t="shared" si="293"/>
        <v>9206008.9460504726</v>
      </c>
      <c r="AF155" s="31">
        <f>IFERROR(VLOOKUP(A155,'Allocations By Type'!$D$7:$F$491,3,FALSE),"")</f>
        <v>7519414.7199999997</v>
      </c>
      <c r="AG155" s="31">
        <f t="shared" si="294"/>
        <v>368240.35784201889</v>
      </c>
      <c r="AH155" s="31">
        <f t="shared" si="295"/>
        <v>368240.35784201889</v>
      </c>
      <c r="AI155" s="31">
        <f t="shared" si="296"/>
        <v>8837768.5882084537</v>
      </c>
      <c r="AJ155" s="31">
        <f>AI155/$AI$577*'State Admin 1004(b)'!$B$30*0.01</f>
        <v>84104.61847314272</v>
      </c>
      <c r="AK155" s="31">
        <f t="shared" si="297"/>
        <v>8753663.9697353113</v>
      </c>
      <c r="AL155" s="31">
        <f t="shared" si="298"/>
        <v>87536.639697353108</v>
      </c>
      <c r="AM155" s="31">
        <f t="shared" si="299"/>
        <v>8666127.3300379589</v>
      </c>
      <c r="AP155" s="31"/>
      <c r="AQ155" s="4">
        <f t="shared" si="264"/>
        <v>1.1525002480562689</v>
      </c>
      <c r="AR155" s="4">
        <f>VLOOKUP(B155,Allocation!$D$10:$P$235,13,FALSE)</f>
        <v>1.1740913627286389</v>
      </c>
      <c r="AS155" s="4">
        <f t="shared" si="265"/>
        <v>0.95</v>
      </c>
      <c r="AT155" s="4" t="str">
        <f t="shared" si="300"/>
        <v/>
      </c>
      <c r="AU155" s="31" t="str">
        <f t="shared" si="301"/>
        <v/>
      </c>
      <c r="AV155" s="31" t="str">
        <f t="shared" si="302"/>
        <v/>
      </c>
      <c r="AW155" s="31">
        <f t="shared" si="303"/>
        <v>8638343.4058186244</v>
      </c>
      <c r="AX155" s="4">
        <f t="shared" si="304"/>
        <v>1.1488052897045988</v>
      </c>
      <c r="AY155" s="4" t="str">
        <f t="shared" si="305"/>
        <v/>
      </c>
      <c r="AZ155" s="174" t="str">
        <f>IFERROR(IF(VLOOKUP(A155,#REF!,11,FALSE)=0,"",VLOOKUP(A155,#REF!,11,FALSE)),"")</f>
        <v/>
      </c>
      <c r="BA155" s="31" t="str">
        <f t="shared" si="272"/>
        <v/>
      </c>
      <c r="BB155" s="31">
        <f t="shared" si="273"/>
        <v>8638343.4058186244</v>
      </c>
      <c r="BD155" s="31">
        <f>IFERROR(VLOOKUP(A155,'Title II Hold Harmless'!A$1:B$439,2, FALSE),"")</f>
        <v>726473</v>
      </c>
      <c r="BE155" s="31">
        <f t="shared" si="306"/>
        <v>830514.9947245426</v>
      </c>
      <c r="BF155" s="31">
        <f t="shared" si="307"/>
        <v>831318.56754094514</v>
      </c>
      <c r="BG155" s="31" t="str">
        <f t="shared" si="276"/>
        <v/>
      </c>
      <c r="BH155" s="31">
        <f t="shared" si="277"/>
        <v>831318.56754094514</v>
      </c>
    </row>
    <row r="156" spans="1:60" x14ac:dyDescent="0.3">
      <c r="A156" s="1">
        <v>70513000</v>
      </c>
      <c r="B156">
        <f>VLOOKUP(C156,'NCES ID'!$A$2:$B$3136,2,FALSE)</f>
        <v>408340</v>
      </c>
      <c r="C156">
        <f>VLOOKUP(A156,'State ID'!$A$2:$B$713,2,FALSE)</f>
        <v>4287</v>
      </c>
      <c r="D156" s="147" t="s">
        <v>410</v>
      </c>
      <c r="E156" t="s">
        <v>7</v>
      </c>
      <c r="F156" s="47">
        <f>VLOOKUP(B156,'Formula counts'!$D$9:$L$234,9,FALSE)</f>
        <v>15656</v>
      </c>
      <c r="G156" s="47">
        <f>VLOOKUP(B156,'Formula counts'!$D$9:$K$234,8,FALSE)</f>
        <v>2318</v>
      </c>
      <c r="H156" s="4">
        <f>VLOOKUP(B156,'Formula counts'!$D$9:$M$234,10,FALSE)</f>
        <v>0.14805825242718446</v>
      </c>
      <c r="I156" s="47">
        <f>VLOOKUP($C156,'Final SEA Counts'!$A$2:$F$709,5,FALSE)</f>
        <v>10681</v>
      </c>
      <c r="J156" s="47">
        <f>VLOOKUP($C156,'Final SEA Counts'!$A$2:$F$709,6,FALSE)</f>
        <v>3005</v>
      </c>
      <c r="K156" s="24">
        <f t="shared" si="278"/>
        <v>14195.114359598274</v>
      </c>
      <c r="L156" s="24">
        <f t="shared" si="279"/>
        <v>2036.2575264904938</v>
      </c>
      <c r="M156" s="4">
        <f t="shared" si="280"/>
        <v>0.14344777188171384</v>
      </c>
      <c r="N156" s="31">
        <f>IFERROR(VLOOKUP($B156,Allocation!$D$10:$O$235,8,FALSE),"")</f>
        <v>1093488.6726144815</v>
      </c>
      <c r="O156" s="31">
        <f>IFERROR(VLOOKUP($B156,Allocation!$D$10:$O$235,9,FALSE),"")</f>
        <v>189002.04832976681</v>
      </c>
      <c r="P156" s="31">
        <f>IFERROR(VLOOKUP($B156,Allocation!$D$10:$O$235,10,FALSE),"")</f>
        <v>448243.96044991206</v>
      </c>
      <c r="Q156" s="31">
        <f>IFERROR(VLOOKUP($B156,Allocation!$D$10:$O$235,11,FALSE),"")</f>
        <v>349002.41046323645</v>
      </c>
      <c r="R156" s="31">
        <f>IFERROR(VLOOKUP($B156,Allocation!$D$10:$O$235,12,FALSE),"")</f>
        <v>2079737.091857397</v>
      </c>
      <c r="S156" s="31">
        <f t="shared" si="281"/>
        <v>961834.0833103772</v>
      </c>
      <c r="T156" s="31">
        <f t="shared" si="282"/>
        <v>166329.3788911599</v>
      </c>
      <c r="U156" s="31">
        <f t="shared" si="283"/>
        <v>394374.88005505095</v>
      </c>
      <c r="V156" s="31">
        <f t="shared" si="284"/>
        <v>307241.72859933885</v>
      </c>
      <c r="W156" s="31">
        <f t="shared" si="285"/>
        <v>961834.0833103772</v>
      </c>
      <c r="X156" s="31">
        <f t="shared" si="286"/>
        <v>166329.3788911599</v>
      </c>
      <c r="Y156" s="31">
        <f t="shared" si="287"/>
        <v>394374.88005505095</v>
      </c>
      <c r="Z156" s="31">
        <f t="shared" si="288"/>
        <v>307241.72859933885</v>
      </c>
      <c r="AA156" s="31">
        <f t="shared" si="289"/>
        <v>961858.83305285824</v>
      </c>
      <c r="AB156" s="31">
        <f t="shared" si="290"/>
        <v>166916.64566618955</v>
      </c>
      <c r="AC156" s="31">
        <f t="shared" si="291"/>
        <v>394414.74862465105</v>
      </c>
      <c r="AD156" s="31">
        <f t="shared" si="292"/>
        <v>307278.82043459051</v>
      </c>
      <c r="AE156" s="31">
        <f t="shared" si="293"/>
        <v>1830469.0477782893</v>
      </c>
      <c r="AF156" s="31">
        <f>IFERROR(VLOOKUP(A156,'Allocations By Type'!$D$7:$F$491,3,FALSE),"")</f>
        <v>1704385.49</v>
      </c>
      <c r="AG156" s="31">
        <f t="shared" si="294"/>
        <v>73218.761911131573</v>
      </c>
      <c r="AH156" s="31">
        <f t="shared" si="295"/>
        <v>73218.761911131573</v>
      </c>
      <c r="AI156" s="31">
        <f t="shared" si="296"/>
        <v>1757250.2858671576</v>
      </c>
      <c r="AJ156" s="31">
        <f>AI156/$AI$577*'State Admin 1004(b)'!$B$30*0.01</f>
        <v>16722.87109348697</v>
      </c>
      <c r="AK156" s="31">
        <f t="shared" si="297"/>
        <v>1740527.4147736707</v>
      </c>
      <c r="AL156" s="31">
        <f t="shared" si="298"/>
        <v>17405.274147736709</v>
      </c>
      <c r="AM156" s="31">
        <f t="shared" si="299"/>
        <v>1723122.1406259341</v>
      </c>
      <c r="AP156" s="31"/>
      <c r="AQ156" s="4">
        <f t="shared" si="264"/>
        <v>1.0109932000335993</v>
      </c>
      <c r="AR156" s="4">
        <f>VLOOKUP(B156,Allocation!$D$10:$P$235,13,FALSE)</f>
        <v>1.0729160571667424</v>
      </c>
      <c r="AS156" s="4">
        <f t="shared" si="265"/>
        <v>0.85</v>
      </c>
      <c r="AT156" s="4" t="str">
        <f t="shared" si="300"/>
        <v/>
      </c>
      <c r="AU156" s="31" t="str">
        <f t="shared" si="301"/>
        <v/>
      </c>
      <c r="AV156" s="31" t="str">
        <f t="shared" si="302"/>
        <v/>
      </c>
      <c r="AW156" s="31">
        <f t="shared" si="303"/>
        <v>1717597.7474163088</v>
      </c>
      <c r="AX156" s="4">
        <f t="shared" si="304"/>
        <v>1.0077519185030781</v>
      </c>
      <c r="AY156" s="4" t="str">
        <f t="shared" si="305"/>
        <v/>
      </c>
      <c r="AZ156" s="174" t="str">
        <f>IFERROR(IF(VLOOKUP(A156,#REF!,11,FALSE)=0,"",VLOOKUP(A156,#REF!,11,FALSE)),"")</f>
        <v/>
      </c>
      <c r="BA156" s="31" t="str">
        <f t="shared" si="272"/>
        <v/>
      </c>
      <c r="BB156" s="31">
        <f t="shared" si="273"/>
        <v>1717597.7474163088</v>
      </c>
      <c r="BD156" s="31">
        <f>IFERROR(VLOOKUP(A156,'Title II Hold Harmless'!A$1:B$439,2, FALSE),"")</f>
        <v>274770</v>
      </c>
      <c r="BE156" s="31">
        <f t="shared" si="306"/>
        <v>312850.20494004706</v>
      </c>
      <c r="BF156" s="31">
        <f t="shared" si="307"/>
        <v>313152.90618191828</v>
      </c>
      <c r="BG156" s="31" t="str">
        <f t="shared" si="276"/>
        <v/>
      </c>
      <c r="BH156" s="31">
        <f t="shared" si="277"/>
        <v>313152.90618191828</v>
      </c>
    </row>
    <row r="157" spans="1:60" x14ac:dyDescent="0.3">
      <c r="A157" s="1">
        <v>70260000</v>
      </c>
      <c r="B157">
        <f>VLOOKUP(C157,'NCES ID'!$A$2:$B$3136,2,FALSE)</f>
        <v>403780</v>
      </c>
      <c r="C157">
        <f>VLOOKUP(A157,'State ID'!$A$2:$B$713,2,FALSE)</f>
        <v>4248</v>
      </c>
      <c r="D157" s="147" t="s">
        <v>197</v>
      </c>
      <c r="E157" t="s">
        <v>7</v>
      </c>
      <c r="F157" s="47">
        <f>VLOOKUP(B157,'Formula counts'!$D$9:$L$234,9,FALSE)</f>
        <v>15704</v>
      </c>
      <c r="G157" s="47">
        <f>VLOOKUP(B157,'Formula counts'!$D$9:$K$234,8,FALSE)</f>
        <v>1300</v>
      </c>
      <c r="H157" s="4">
        <f>VLOOKUP(B157,'Formula counts'!$D$9:$M$234,10,FALSE)</f>
        <v>8.2781456953642391E-2</v>
      </c>
      <c r="I157" s="47">
        <f>VLOOKUP($C157,'Final SEA Counts'!$A$2:$F$709,5,FALSE)</f>
        <v>11083</v>
      </c>
      <c r="J157" s="47">
        <f>VLOOKUP($C157,'Final SEA Counts'!$A$2:$F$709,6,FALSE)</f>
        <v>2272</v>
      </c>
      <c r="K157" s="24">
        <f t="shared" si="278"/>
        <v>14238.635405156572</v>
      </c>
      <c r="L157" s="24">
        <f t="shared" si="279"/>
        <v>1141.9908474709412</v>
      </c>
      <c r="M157" s="4">
        <f t="shared" si="280"/>
        <v>8.0203672260430597E-2</v>
      </c>
      <c r="N157" s="31">
        <f>IFERROR(VLOOKUP($B157,Allocation!$D$10:$O$235,8,FALSE),"")</f>
        <v>613259.39361467946</v>
      </c>
      <c r="O157" s="31">
        <f>IFERROR(VLOOKUP($B157,Allocation!$D$10:$O$235,9,FALSE),"")</f>
        <v>0</v>
      </c>
      <c r="P157" s="31">
        <f>IFERROR(VLOOKUP($B157,Allocation!$D$10:$O$235,10,FALSE),"")</f>
        <v>227633.30734036522</v>
      </c>
      <c r="Q157" s="31">
        <f>IFERROR(VLOOKUP($B157,Allocation!$D$10:$O$235,11,FALSE),"")</f>
        <v>176453.24329234695</v>
      </c>
      <c r="R157" s="31">
        <f>IFERROR(VLOOKUP($B157,Allocation!$D$10:$O$235,12,FALSE),"")</f>
        <v>1017345.9442473917</v>
      </c>
      <c r="S157" s="31">
        <f t="shared" si="281"/>
        <v>539423.77407398238</v>
      </c>
      <c r="T157" s="31" t="str">
        <f t="shared" si="282"/>
        <v/>
      </c>
      <c r="U157" s="31">
        <f t="shared" si="283"/>
        <v>200276.78273408109</v>
      </c>
      <c r="V157" s="31">
        <f t="shared" si="284"/>
        <v>155339.32678041258</v>
      </c>
      <c r="W157" s="31">
        <f t="shared" si="285"/>
        <v>539423.77407398238</v>
      </c>
      <c r="X157" s="31" t="str">
        <f t="shared" si="286"/>
        <v/>
      </c>
      <c r="Y157" s="31">
        <f t="shared" si="287"/>
        <v>200276.78273408109</v>
      </c>
      <c r="Z157" s="31">
        <f t="shared" si="288"/>
        <v>155339.32678041258</v>
      </c>
      <c r="AA157" s="31">
        <f t="shared" si="289"/>
        <v>539448.52381646342</v>
      </c>
      <c r="AB157" s="31" t="str">
        <f t="shared" si="290"/>
        <v/>
      </c>
      <c r="AC157" s="31">
        <f t="shared" si="291"/>
        <v>200316.6513036812</v>
      </c>
      <c r="AD157" s="31">
        <f t="shared" si="292"/>
        <v>155376.41861566421</v>
      </c>
      <c r="AE157" s="31">
        <f t="shared" si="293"/>
        <v>895141.59373580886</v>
      </c>
      <c r="AF157" s="31">
        <f>IFERROR(VLOOKUP(A157,'Allocations By Type'!$D$7:$F$491,3,FALSE),"")</f>
        <v>882608.71</v>
      </c>
      <c r="AG157" s="31">
        <f t="shared" si="294"/>
        <v>35805.663749432359</v>
      </c>
      <c r="AH157" s="31">
        <f t="shared" si="295"/>
        <v>12532.883735808893</v>
      </c>
      <c r="AI157" s="31">
        <f t="shared" si="296"/>
        <v>882608.71</v>
      </c>
      <c r="AJ157" s="31">
        <f>AI157/$AI$577*'State Admin 1004(b)'!$B$30*0.01</f>
        <v>8399.3451598929551</v>
      </c>
      <c r="AK157" s="31">
        <f t="shared" si="297"/>
        <v>874209.36484010704</v>
      </c>
      <c r="AL157" s="31">
        <f t="shared" si="298"/>
        <v>8742.0936484010708</v>
      </c>
      <c r="AM157" s="31">
        <f t="shared" si="299"/>
        <v>865467.27119170595</v>
      </c>
      <c r="AP157" s="31"/>
      <c r="AQ157" s="4">
        <f t="shared" si="264"/>
        <v>0.98057866570533392</v>
      </c>
      <c r="AR157" s="4">
        <f>VLOOKUP(B157,Allocation!$D$10:$P$235,13,FALSE)</f>
        <v>0.97254124699917033</v>
      </c>
      <c r="AS157" s="4">
        <f t="shared" si="265"/>
        <v>0.85</v>
      </c>
      <c r="AT157" s="4" t="str">
        <f t="shared" si="300"/>
        <v/>
      </c>
      <c r="AU157" s="31" t="str">
        <f t="shared" si="301"/>
        <v/>
      </c>
      <c r="AV157" s="31" t="str">
        <f t="shared" si="302"/>
        <v/>
      </c>
      <c r="AW157" s="31">
        <f t="shared" si="303"/>
        <v>862692.55116263847</v>
      </c>
      <c r="AX157" s="4">
        <f t="shared" si="304"/>
        <v>0.97743489429493446</v>
      </c>
      <c r="AY157" s="4" t="str">
        <f t="shared" si="305"/>
        <v/>
      </c>
      <c r="AZ157" s="174" t="str">
        <f>IFERROR(IF(VLOOKUP(A157,#REF!,11,FALSE)=0,"",VLOOKUP(A157,#REF!,11,FALSE)),"")</f>
        <v/>
      </c>
      <c r="BA157" s="31" t="str">
        <f t="shared" si="272"/>
        <v/>
      </c>
      <c r="BB157" s="31">
        <f t="shared" si="273"/>
        <v>862692.55116263847</v>
      </c>
      <c r="BD157" s="31">
        <f>IFERROR(VLOOKUP(A157,'Title II Hold Harmless'!A$1:B$439,2, FALSE),"")</f>
        <v>12942</v>
      </c>
      <c r="BE157" s="31">
        <f t="shared" si="306"/>
        <v>39350.678043315791</v>
      </c>
      <c r="BF157" s="31">
        <f t="shared" si="307"/>
        <v>39388.752172480796</v>
      </c>
      <c r="BG157" s="31" t="str">
        <f t="shared" si="276"/>
        <v/>
      </c>
      <c r="BH157" s="31">
        <f t="shared" si="277"/>
        <v>39388.752172480796</v>
      </c>
    </row>
    <row r="158" spans="1:60" x14ac:dyDescent="0.3">
      <c r="A158" s="1">
        <v>70440000</v>
      </c>
      <c r="B158">
        <f>VLOOKUP(C158,'NCES ID'!$A$2:$B$3136,2,FALSE)</f>
        <v>403420</v>
      </c>
      <c r="C158">
        <f>VLOOKUP(A158,'State ID'!$A$2:$B$713,2,FALSE)</f>
        <v>4271</v>
      </c>
      <c r="D158" s="147" t="s">
        <v>183</v>
      </c>
      <c r="E158" t="s">
        <v>7</v>
      </c>
      <c r="F158" s="47">
        <f>VLOOKUP(B158,'Formula counts'!$D$9:$L$234,9,FALSE)</f>
        <v>16073</v>
      </c>
      <c r="G158" s="47">
        <f>VLOOKUP(B158,'Formula counts'!$D$9:$K$234,8,FALSE)</f>
        <v>6641</v>
      </c>
      <c r="H158" s="4">
        <f>VLOOKUP(B158,'Formula counts'!$D$9:$M$234,10,FALSE)</f>
        <v>0.41317737821190814</v>
      </c>
      <c r="I158" s="47">
        <f>VLOOKUP($C158,'Final SEA Counts'!$A$2:$F$709,5,FALSE)</f>
        <v>14156</v>
      </c>
      <c r="J158" s="47">
        <f>VLOOKUP($C158,'Final SEA Counts'!$A$2:$F$709,6,FALSE)</f>
        <v>12720</v>
      </c>
      <c r="K158" s="24">
        <f t="shared" si="278"/>
        <v>14573.203442885988</v>
      </c>
      <c r="L158" s="24">
        <f t="shared" si="279"/>
        <v>5833.8163215804007</v>
      </c>
      <c r="M158" s="4">
        <f t="shared" si="280"/>
        <v>0.40031118377258496</v>
      </c>
      <c r="N158" s="31">
        <f>IFERROR(VLOOKUP($B158,Allocation!$D$10:$O$235,8,FALSE),"")</f>
        <v>3132812.025380834</v>
      </c>
      <c r="O158" s="31">
        <f>IFERROR(VLOOKUP($B158,Allocation!$D$10:$O$235,9,FALSE),"")</f>
        <v>742949.16155146831</v>
      </c>
      <c r="P158" s="31">
        <f>IFERROR(VLOOKUP($B158,Allocation!$D$10:$O$235,10,FALSE),"")</f>
        <v>1954300.4995188683</v>
      </c>
      <c r="Q158" s="31">
        <f>IFERROR(VLOOKUP($B158,Allocation!$D$10:$O$235,11,FALSE),"")</f>
        <v>1844528.0358957867</v>
      </c>
      <c r="R158" s="31">
        <f>IFERROR(VLOOKUP($B158,Allocation!$D$10:$O$235,12,FALSE),"")</f>
        <v>7674589.7223469578</v>
      </c>
      <c r="S158" s="31">
        <f t="shared" si="281"/>
        <v>2755625.6027887044</v>
      </c>
      <c r="T158" s="31">
        <f t="shared" si="282"/>
        <v>653825.04412308778</v>
      </c>
      <c r="U158" s="31">
        <f t="shared" si="283"/>
        <v>1719436.4968480214</v>
      </c>
      <c r="V158" s="31">
        <f t="shared" si="284"/>
        <v>1623816.8138906369</v>
      </c>
      <c r="W158" s="31">
        <f t="shared" si="285"/>
        <v>2755625.6027887044</v>
      </c>
      <c r="X158" s="31">
        <f t="shared" si="286"/>
        <v>653825.04412308778</v>
      </c>
      <c r="Y158" s="31">
        <f t="shared" si="287"/>
        <v>1719436.4968480214</v>
      </c>
      <c r="Z158" s="31">
        <f t="shared" si="288"/>
        <v>1623816.8138906369</v>
      </c>
      <c r="AA158" s="31">
        <f t="shared" si="289"/>
        <v>2755650.3525311854</v>
      </c>
      <c r="AB158" s="31">
        <f t="shared" si="290"/>
        <v>654412.31089811737</v>
      </c>
      <c r="AC158" s="31">
        <f t="shared" si="291"/>
        <v>1719476.3654176216</v>
      </c>
      <c r="AD158" s="31">
        <f t="shared" si="292"/>
        <v>1623853.9057258884</v>
      </c>
      <c r="AE158" s="31">
        <f t="shared" si="293"/>
        <v>6753392.9345728122</v>
      </c>
      <c r="AF158" s="31">
        <f>IFERROR(VLOOKUP(A158,'Allocations By Type'!$D$7:$F$491,3,FALSE),"")</f>
        <v>6012671.1100000003</v>
      </c>
      <c r="AG158" s="31">
        <f t="shared" si="294"/>
        <v>270135.71738291247</v>
      </c>
      <c r="AH158" s="31">
        <f t="shared" si="295"/>
        <v>270135.71738291247</v>
      </c>
      <c r="AI158" s="31">
        <f t="shared" si="296"/>
        <v>6483257.2171898996</v>
      </c>
      <c r="AJ158" s="31">
        <f>AI158/$AI$577*'State Admin 1004(b)'!$B$30*0.01</f>
        <v>61697.912688336219</v>
      </c>
      <c r="AK158" s="31">
        <f t="shared" si="297"/>
        <v>6421559.3045015633</v>
      </c>
      <c r="AL158" s="31">
        <f t="shared" si="298"/>
        <v>64215.593045015637</v>
      </c>
      <c r="AM158" s="31">
        <f t="shared" si="299"/>
        <v>6357343.7114565475</v>
      </c>
      <c r="AP158" s="31"/>
      <c r="AQ158" s="4">
        <f t="shared" si="264"/>
        <v>1.0573243730034232</v>
      </c>
      <c r="AR158" s="4">
        <f>VLOOKUP(B158,Allocation!$D$10:$P$235,13,FALSE)</f>
        <v>1.0771179027347482</v>
      </c>
      <c r="AS158" s="4">
        <f t="shared" si="265"/>
        <v>0.95</v>
      </c>
      <c r="AT158" s="4" t="str">
        <f t="shared" si="300"/>
        <v/>
      </c>
      <c r="AU158" s="31" t="str">
        <f t="shared" si="301"/>
        <v/>
      </c>
      <c r="AV158" s="31" t="str">
        <f t="shared" si="302"/>
        <v/>
      </c>
      <c r="AW158" s="31">
        <f t="shared" si="303"/>
        <v>6336961.8327708803</v>
      </c>
      <c r="AX158" s="4">
        <f t="shared" si="304"/>
        <v>1.053934552021569</v>
      </c>
      <c r="AY158" s="4" t="str">
        <f t="shared" si="305"/>
        <v/>
      </c>
      <c r="AZ158" s="174" t="str">
        <f>IFERROR(IF(VLOOKUP(A158,#REF!,11,FALSE)=0,"",VLOOKUP(A158,#REF!,11,FALSE)),"")</f>
        <v/>
      </c>
      <c r="BA158" s="31" t="str">
        <f t="shared" si="272"/>
        <v/>
      </c>
      <c r="BB158" s="31">
        <f t="shared" si="273"/>
        <v>6336961.8327708803</v>
      </c>
      <c r="BD158" s="31">
        <f>IFERROR(VLOOKUP(A158,'Title II Hold Harmless'!A$1:B$439,2, FALSE),"")</f>
        <v>465029</v>
      </c>
      <c r="BE158" s="31">
        <f t="shared" si="306"/>
        <v>553126.09109292075</v>
      </c>
      <c r="BF158" s="31">
        <f t="shared" si="307"/>
        <v>553661.2735925368</v>
      </c>
      <c r="BG158" s="31" t="str">
        <f t="shared" si="276"/>
        <v/>
      </c>
      <c r="BH158" s="31">
        <f t="shared" si="277"/>
        <v>553661.2735925368</v>
      </c>
    </row>
    <row r="159" spans="1:60" x14ac:dyDescent="0.3">
      <c r="A159" s="1">
        <v>70466000</v>
      </c>
      <c r="B159">
        <f>VLOOKUP(C159,'NCES ID'!$A$2:$B$3136,2,FALSE)</f>
        <v>407080</v>
      </c>
      <c r="C159">
        <f>VLOOKUP(A159,'State ID'!$A$2:$B$713,2,FALSE)</f>
        <v>4279</v>
      </c>
      <c r="D159" s="147" t="s">
        <v>361</v>
      </c>
      <c r="E159" t="s">
        <v>7</v>
      </c>
      <c r="F159" s="47">
        <f>VLOOKUP(B159,'Formula counts'!$D$9:$L$234,9,FALSE)</f>
        <v>16974</v>
      </c>
      <c r="G159" s="47">
        <f>VLOOKUP(B159,'Formula counts'!$D$9:$K$234,8,FALSE)</f>
        <v>6669</v>
      </c>
      <c r="H159" s="4">
        <f>VLOOKUP(B159,'Formula counts'!$D$9:$M$234,10,FALSE)</f>
        <v>0.3928950159066808</v>
      </c>
      <c r="I159" s="47">
        <f>VLOOKUP($C159,'Final SEA Counts'!$A$2:$F$709,5,FALSE)</f>
        <v>9706</v>
      </c>
      <c r="J159" s="47">
        <f>VLOOKUP($C159,'Final SEA Counts'!$A$2:$F$709,6,FALSE)</f>
        <v>8456</v>
      </c>
      <c r="K159" s="24">
        <f t="shared" si="278"/>
        <v>15390.129735553212</v>
      </c>
      <c r="L159" s="24">
        <f t="shared" si="279"/>
        <v>5858.413047525929</v>
      </c>
      <c r="M159" s="4">
        <f t="shared" si="280"/>
        <v>0.38066040690951608</v>
      </c>
      <c r="N159" s="31">
        <f>IFERROR(VLOOKUP($B159,Allocation!$D$10:$O$235,8,FALSE),"")</f>
        <v>3146020.6892433045</v>
      </c>
      <c r="O159" s="31">
        <f>IFERROR(VLOOKUP($B159,Allocation!$D$10:$O$235,9,FALSE),"")</f>
        <v>746081.60794861347</v>
      </c>
      <c r="P159" s="31">
        <f>IFERROR(VLOOKUP($B159,Allocation!$D$10:$O$235,10,FALSE),"")</f>
        <v>1868481.7956572671</v>
      </c>
      <c r="Q159" s="31">
        <f>IFERROR(VLOOKUP($B159,Allocation!$D$10:$O$235,11,FALSE),"")</f>
        <v>1720759.964441882</v>
      </c>
      <c r="R159" s="31">
        <f>IFERROR(VLOOKUP($B159,Allocation!$D$10:$O$235,12,FALSE),"")</f>
        <v>7481344.0572910663</v>
      </c>
      <c r="S159" s="31">
        <f t="shared" si="281"/>
        <v>2767243.9609995289</v>
      </c>
      <c r="T159" s="31">
        <f t="shared" si="282"/>
        <v>656581.72252023371</v>
      </c>
      <c r="U159" s="31">
        <f t="shared" si="283"/>
        <v>1643931.3165709057</v>
      </c>
      <c r="V159" s="31">
        <f t="shared" si="284"/>
        <v>1514858.4941803783</v>
      </c>
      <c r="W159" s="31">
        <f t="shared" si="285"/>
        <v>2767243.9609995289</v>
      </c>
      <c r="X159" s="31">
        <f t="shared" si="286"/>
        <v>656581.72252023371</v>
      </c>
      <c r="Y159" s="31">
        <f t="shared" si="287"/>
        <v>1643931.3165709057</v>
      </c>
      <c r="Z159" s="31">
        <f t="shared" si="288"/>
        <v>1514858.4941803783</v>
      </c>
      <c r="AA159" s="31">
        <f t="shared" si="289"/>
        <v>2767268.7107420098</v>
      </c>
      <c r="AB159" s="31">
        <f t="shared" si="290"/>
        <v>657168.98929526331</v>
      </c>
      <c r="AC159" s="31">
        <f t="shared" si="291"/>
        <v>1643971.1851405059</v>
      </c>
      <c r="AD159" s="31">
        <f t="shared" si="292"/>
        <v>1514895.5860156298</v>
      </c>
      <c r="AE159" s="31">
        <f t="shared" si="293"/>
        <v>6583304.4711934086</v>
      </c>
      <c r="AF159" s="31">
        <f>IFERROR(VLOOKUP(A159,'Allocations By Type'!$D$7:$F$491,3,FALSE),"")</f>
        <v>6156507.8300000001</v>
      </c>
      <c r="AG159" s="31">
        <f t="shared" si="294"/>
        <v>263332.17884773633</v>
      </c>
      <c r="AH159" s="31">
        <f t="shared" si="295"/>
        <v>263332.17884773633</v>
      </c>
      <c r="AI159" s="31">
        <f t="shared" si="296"/>
        <v>6319972.2923456719</v>
      </c>
      <c r="AJ159" s="31">
        <f>AI159/$AI$577*'State Admin 1004(b)'!$B$30*0.01</f>
        <v>60144.011817389852</v>
      </c>
      <c r="AK159" s="31">
        <f t="shared" si="297"/>
        <v>6259828.2805282818</v>
      </c>
      <c r="AL159" s="31">
        <f t="shared" si="298"/>
        <v>62598.282805282819</v>
      </c>
      <c r="AM159" s="31">
        <f t="shared" si="299"/>
        <v>6197229.9977229992</v>
      </c>
      <c r="AP159" s="31"/>
      <c r="AQ159" s="4">
        <f t="shared" si="264"/>
        <v>1.0066144913394839</v>
      </c>
      <c r="AR159" s="4">
        <f>VLOOKUP(B159,Allocation!$D$10:$P$235,13,FALSE)</f>
        <v>1.02549625378812</v>
      </c>
      <c r="AS159" s="4">
        <f t="shared" si="265"/>
        <v>0.95</v>
      </c>
      <c r="AT159" s="4" t="str">
        <f t="shared" si="300"/>
        <v/>
      </c>
      <c r="AU159" s="31" t="str">
        <f t="shared" si="301"/>
        <v/>
      </c>
      <c r="AV159" s="31" t="str">
        <f t="shared" si="302"/>
        <v/>
      </c>
      <c r="AW159" s="31">
        <f t="shared" si="303"/>
        <v>6177361.4495158065</v>
      </c>
      <c r="AX159" s="4">
        <f t="shared" si="304"/>
        <v>1.0033872481107209</v>
      </c>
      <c r="AY159" s="4" t="str">
        <f t="shared" si="305"/>
        <v/>
      </c>
      <c r="AZ159" s="174" t="str">
        <f>IFERROR(IF(VLOOKUP(A159,#REF!,11,FALSE)=0,"",VLOOKUP(A159,#REF!,11,FALSE)),"")</f>
        <v/>
      </c>
      <c r="BA159" s="31" t="str">
        <f t="shared" si="272"/>
        <v/>
      </c>
      <c r="BB159" s="31">
        <f t="shared" si="273"/>
        <v>6177361.4495158065</v>
      </c>
      <c r="BD159" s="31">
        <f>IFERROR(VLOOKUP(A159,'Title II Hold Harmless'!A$1:B$439,2, FALSE),"")</f>
        <v>825234</v>
      </c>
      <c r="BE159" s="31">
        <f t="shared" si="306"/>
        <v>914310.5408144684</v>
      </c>
      <c r="BF159" s="31">
        <f t="shared" si="307"/>
        <v>915195.19082201284</v>
      </c>
      <c r="BG159" s="31" t="str">
        <f t="shared" si="276"/>
        <v/>
      </c>
      <c r="BH159" s="31">
        <f t="shared" si="277"/>
        <v>915195.19082201284</v>
      </c>
    </row>
    <row r="160" spans="1:60" x14ac:dyDescent="0.3">
      <c r="A160" s="1">
        <v>70428000</v>
      </c>
      <c r="B160">
        <f>VLOOKUP(C160,'NCES ID'!$A$2:$B$3136,2,FALSE)</f>
        <v>404230</v>
      </c>
      <c r="C160">
        <f>VLOOKUP(A160,'State ID'!$A$2:$B$713,2,FALSE)</f>
        <v>4267</v>
      </c>
      <c r="D160" s="147" t="s">
        <v>244</v>
      </c>
      <c r="E160" t="s">
        <v>7</v>
      </c>
      <c r="F160" s="47">
        <f>VLOOKUP(B160,'Formula counts'!$D$9:$L$234,9,FALSE)</f>
        <v>18861</v>
      </c>
      <c r="G160" s="47">
        <f>VLOOKUP(B160,'Formula counts'!$D$9:$K$234,8,FALSE)</f>
        <v>1750</v>
      </c>
      <c r="H160" s="4">
        <f>VLOOKUP(B160,'Formula counts'!$D$9:$M$234,10,FALSE)</f>
        <v>9.2784051746991142E-2</v>
      </c>
      <c r="I160" s="47">
        <f>VLOOKUP($C160,'Final SEA Counts'!$A$2:$F$709,5,FALSE)</f>
        <v>17120</v>
      </c>
      <c r="J160" s="47">
        <f>VLOOKUP($C160,'Final SEA Counts'!$A$2:$F$709,6,FALSE)</f>
        <v>5311</v>
      </c>
      <c r="K160" s="24">
        <f t="shared" si="278"/>
        <v>17101.05083906381</v>
      </c>
      <c r="L160" s="24">
        <f t="shared" si="279"/>
        <v>1537.295371595498</v>
      </c>
      <c r="M160" s="4">
        <f t="shared" si="280"/>
        <v>8.9894789861911004E-2</v>
      </c>
      <c r="N160" s="31">
        <f>IFERROR(VLOOKUP($B160,Allocation!$D$10:$O$235,8,FALSE),"")</f>
        <v>825541.49140437611</v>
      </c>
      <c r="O160" s="31">
        <f>IFERROR(VLOOKUP($B160,Allocation!$D$10:$O$235,9,FALSE),"")</f>
        <v>0</v>
      </c>
      <c r="P160" s="31">
        <f>IFERROR(VLOOKUP($B160,Allocation!$D$10:$O$235,10,FALSE),"")</f>
        <v>323396.77412425214</v>
      </c>
      <c r="Q160" s="31">
        <f>IFERROR(VLOOKUP($B160,Allocation!$D$10:$O$235,11,FALSE),"")</f>
        <v>250685.67658766272</v>
      </c>
      <c r="R160" s="31">
        <f>IFERROR(VLOOKUP($B160,Allocation!$D$10:$O$235,12,FALSE),"")</f>
        <v>1399623.9421162908</v>
      </c>
      <c r="S160" s="31">
        <f t="shared" si="281"/>
        <v>726147.38817651477</v>
      </c>
      <c r="T160" s="31" t="str">
        <f t="shared" si="282"/>
        <v/>
      </c>
      <c r="U160" s="31">
        <f t="shared" si="283"/>
        <v>284531.58382196195</v>
      </c>
      <c r="V160" s="31">
        <f t="shared" si="284"/>
        <v>220689.30844247458</v>
      </c>
      <c r="W160" s="31">
        <f t="shared" si="285"/>
        <v>726147.38817651477</v>
      </c>
      <c r="X160" s="31" t="str">
        <f t="shared" si="286"/>
        <v/>
      </c>
      <c r="Y160" s="31">
        <f t="shared" si="287"/>
        <v>284531.58382196195</v>
      </c>
      <c r="Z160" s="31">
        <f t="shared" si="288"/>
        <v>220689.30844247458</v>
      </c>
      <c r="AA160" s="31">
        <f t="shared" si="289"/>
        <v>726172.13791899581</v>
      </c>
      <c r="AB160" s="31" t="str">
        <f t="shared" si="290"/>
        <v/>
      </c>
      <c r="AC160" s="31">
        <f t="shared" si="291"/>
        <v>284571.45239156205</v>
      </c>
      <c r="AD160" s="31">
        <f t="shared" si="292"/>
        <v>220726.40027772621</v>
      </c>
      <c r="AE160" s="31">
        <f t="shared" si="293"/>
        <v>1231469.9905882841</v>
      </c>
      <c r="AF160" s="31">
        <f>IFERROR(VLOOKUP(A160,'Allocations By Type'!$D$7:$F$491,3,FALSE),"")</f>
        <v>1158193.27</v>
      </c>
      <c r="AG160" s="31">
        <f t="shared" si="294"/>
        <v>49258.799623531362</v>
      </c>
      <c r="AH160" s="31">
        <f t="shared" si="295"/>
        <v>49258.799623531362</v>
      </c>
      <c r="AI160" s="31">
        <f t="shared" si="296"/>
        <v>1182211.1909647528</v>
      </c>
      <c r="AJ160" s="31">
        <f>AI160/$AI$577*'State Admin 1004(b)'!$B$30*0.01</f>
        <v>11250.511956539704</v>
      </c>
      <c r="AK160" s="31">
        <f t="shared" si="297"/>
        <v>1170960.6790082131</v>
      </c>
      <c r="AL160" s="31">
        <f t="shared" si="298"/>
        <v>11709.606790082131</v>
      </c>
      <c r="AM160" s="31">
        <f t="shared" si="299"/>
        <v>1159251.072218131</v>
      </c>
      <c r="AP160" s="31"/>
      <c r="AQ160" s="4">
        <f t="shared" si="264"/>
        <v>1.0009133209849606</v>
      </c>
      <c r="AR160" s="4">
        <f>VLOOKUP(B160,Allocation!$D$10:$P$235,13,FALSE)</f>
        <v>1.0499016477295675</v>
      </c>
      <c r="AS160" s="4">
        <f t="shared" si="265"/>
        <v>0.85</v>
      </c>
      <c r="AT160" s="4" t="str">
        <f t="shared" si="300"/>
        <v/>
      </c>
      <c r="AU160" s="31" t="str">
        <f t="shared" si="301"/>
        <v/>
      </c>
      <c r="AV160" s="31" t="str">
        <f t="shared" si="302"/>
        <v/>
      </c>
      <c r="AW160" s="31">
        <f t="shared" si="303"/>
        <v>1155534.4704749219</v>
      </c>
      <c r="AX160" s="4">
        <f t="shared" si="304"/>
        <v>0.99770435591887163</v>
      </c>
      <c r="AY160" s="4" t="str">
        <f t="shared" si="305"/>
        <v/>
      </c>
      <c r="AZ160" s="174" t="str">
        <f>IFERROR(IF(VLOOKUP(A160,#REF!,11,FALSE)=0,"",VLOOKUP(A160,#REF!,11,FALSE)),"")</f>
        <v/>
      </c>
      <c r="BA160" s="31" t="str">
        <f t="shared" si="272"/>
        <v/>
      </c>
      <c r="BB160" s="31">
        <f t="shared" si="273"/>
        <v>1155534.4704749219</v>
      </c>
      <c r="BD160" s="31">
        <f>IFERROR(VLOOKUP(A160,'Title II Hold Harmless'!A$1:B$439,2, FALSE),"")</f>
        <v>228337</v>
      </c>
      <c r="BE160" s="31">
        <f t="shared" si="306"/>
        <v>262224.15133472596</v>
      </c>
      <c r="BF160" s="31">
        <f t="shared" si="307"/>
        <v>262477.86884874472</v>
      </c>
      <c r="BG160" s="31" t="str">
        <f t="shared" si="276"/>
        <v/>
      </c>
      <c r="BH160" s="31">
        <f t="shared" si="277"/>
        <v>262477.86884874472</v>
      </c>
    </row>
    <row r="161" spans="1:60" x14ac:dyDescent="0.3">
      <c r="A161" s="1">
        <v>70505000</v>
      </c>
      <c r="B161">
        <f>VLOOKUP(C161,'NCES ID'!$A$2:$B$3136,2,FALSE)</f>
        <v>403450</v>
      </c>
      <c r="C161">
        <f>VLOOKUP(A161,'State ID'!$A$2:$B$713,2,FALSE)</f>
        <v>4285</v>
      </c>
      <c r="D161" s="147" t="s">
        <v>184</v>
      </c>
      <c r="E161" t="s">
        <v>7</v>
      </c>
      <c r="F161" s="47">
        <f>VLOOKUP(B161,'Formula counts'!$D$9:$L$234,9,FALSE)</f>
        <v>20037</v>
      </c>
      <c r="G161" s="47">
        <f>VLOOKUP(B161,'Formula counts'!$D$9:$K$234,8,FALSE)</f>
        <v>5921</v>
      </c>
      <c r="H161" s="4">
        <f>VLOOKUP(B161,'Formula counts'!$D$9:$M$234,10,FALSE)</f>
        <v>0.29550331886010878</v>
      </c>
      <c r="I161" s="47">
        <f>VLOOKUP($C161,'Final SEA Counts'!$A$2:$F$709,5,FALSE)</f>
        <v>11806</v>
      </c>
      <c r="J161" s="47">
        <f>VLOOKUP($C161,'Final SEA Counts'!$A$2:$F$709,6,FALSE)</f>
        <v>7699</v>
      </c>
      <c r="K161" s="24">
        <f t="shared" si="278"/>
        <v>18167.316455242119</v>
      </c>
      <c r="L161" s="24">
        <f t="shared" si="279"/>
        <v>5201.3290829811103</v>
      </c>
      <c r="M161" s="4">
        <f t="shared" si="280"/>
        <v>0.28630145215972636</v>
      </c>
      <c r="N161" s="31">
        <f>IFERROR(VLOOKUP($B161,Allocation!$D$10:$O$235,8,FALSE),"")</f>
        <v>2793160.6689173183</v>
      </c>
      <c r="O161" s="31">
        <f>IFERROR(VLOOKUP($B161,Allocation!$D$10:$O$235,9,FALSE),"")</f>
        <v>662400.53991059237</v>
      </c>
      <c r="P161" s="31">
        <f>IFERROR(VLOOKUP($B161,Allocation!$D$10:$O$235,10,FALSE),"")</f>
        <v>1470572.1702938955</v>
      </c>
      <c r="Q161" s="31">
        <f>IFERROR(VLOOKUP($B161,Allocation!$D$10:$O$235,11,FALSE),"")</f>
        <v>1240533.934339979</v>
      </c>
      <c r="R161" s="31">
        <f>IFERROR(VLOOKUP($B161,Allocation!$D$10:$O$235,12,FALSE),"")</f>
        <v>6166667.3134617852</v>
      </c>
      <c r="S161" s="31">
        <f t="shared" si="281"/>
        <v>2456867.8202246516</v>
      </c>
      <c r="T161" s="31">
        <f t="shared" si="282"/>
        <v>582939.02819647687</v>
      </c>
      <c r="U161" s="31">
        <f t="shared" si="283"/>
        <v>1293841.6898910049</v>
      </c>
      <c r="V161" s="31">
        <f t="shared" si="284"/>
        <v>1092095.0083607035</v>
      </c>
      <c r="W161" s="31">
        <f t="shared" si="285"/>
        <v>2456867.8202246516</v>
      </c>
      <c r="X161" s="31">
        <f t="shared" si="286"/>
        <v>582939.02819647687</v>
      </c>
      <c r="Y161" s="31">
        <f t="shared" si="287"/>
        <v>1293841.6898910049</v>
      </c>
      <c r="Z161" s="31">
        <f t="shared" si="288"/>
        <v>1092095.0083607035</v>
      </c>
      <c r="AA161" s="31">
        <f t="shared" si="289"/>
        <v>2456892.5699671325</v>
      </c>
      <c r="AB161" s="31">
        <f t="shared" si="290"/>
        <v>583526.29497150646</v>
      </c>
      <c r="AC161" s="31">
        <f t="shared" si="291"/>
        <v>1293881.5584606051</v>
      </c>
      <c r="AD161" s="31">
        <f t="shared" si="292"/>
        <v>1092132.100195955</v>
      </c>
      <c r="AE161" s="31">
        <f t="shared" si="293"/>
        <v>5426432.523595199</v>
      </c>
      <c r="AF161" s="31">
        <f>IFERROR(VLOOKUP(A161,'Allocations By Type'!$D$7:$F$491,3,FALSE),"")</f>
        <v>4997499.42</v>
      </c>
      <c r="AG161" s="31">
        <f t="shared" si="294"/>
        <v>217057.30094380796</v>
      </c>
      <c r="AH161" s="31">
        <f t="shared" si="295"/>
        <v>217057.30094380796</v>
      </c>
      <c r="AI161" s="31">
        <f t="shared" si="296"/>
        <v>5209375.2226513913</v>
      </c>
      <c r="AJ161" s="31">
        <f>AI161/$AI$577*'State Admin 1004(b)'!$B$30*0.01</f>
        <v>49575.015594898498</v>
      </c>
      <c r="AK161" s="31">
        <f t="shared" si="297"/>
        <v>5159800.2070564926</v>
      </c>
      <c r="AL161" s="31">
        <f t="shared" si="298"/>
        <v>51598.002070564929</v>
      </c>
      <c r="AM161" s="31">
        <f t="shared" si="299"/>
        <v>5108202.2049859278</v>
      </c>
      <c r="AP161" s="31"/>
      <c r="AQ161" s="4">
        <f t="shared" si="264"/>
        <v>1.0221516353844675</v>
      </c>
      <c r="AR161" s="4">
        <f>VLOOKUP(B161,Allocation!$D$10:$P$235,13,FALSE)</f>
        <v>1.0412662824062511</v>
      </c>
      <c r="AS161" s="4">
        <f t="shared" si="265"/>
        <v>0.9</v>
      </c>
      <c r="AT161" s="4" t="str">
        <f t="shared" si="300"/>
        <v/>
      </c>
      <c r="AU161" s="31" t="str">
        <f t="shared" si="301"/>
        <v/>
      </c>
      <c r="AV161" s="31" t="str">
        <f t="shared" si="302"/>
        <v/>
      </c>
      <c r="AW161" s="31">
        <f t="shared" si="303"/>
        <v>5091825.120094914</v>
      </c>
      <c r="AX161" s="4">
        <f t="shared" si="304"/>
        <v>1.0188745794981831</v>
      </c>
      <c r="AY161" s="4" t="str">
        <f t="shared" si="305"/>
        <v/>
      </c>
      <c r="AZ161" s="174" t="str">
        <f>IFERROR(IF(VLOOKUP(A161,#REF!,11,FALSE)=0,"",VLOOKUP(A161,#REF!,11,FALSE)),"")</f>
        <v/>
      </c>
      <c r="BA161" s="31" t="str">
        <f t="shared" si="272"/>
        <v/>
      </c>
      <c r="BB161" s="31">
        <f t="shared" si="273"/>
        <v>5091825.120094914</v>
      </c>
      <c r="BD161" s="31">
        <f>IFERROR(VLOOKUP(A161,'Title II Hold Harmless'!A$1:B$439,2, FALSE),"")</f>
        <v>604442</v>
      </c>
      <c r="BE161" s="31">
        <f t="shared" si="306"/>
        <v>687151.9485468549</v>
      </c>
      <c r="BF161" s="31">
        <f t="shared" si="307"/>
        <v>687816.80906123179</v>
      </c>
      <c r="BG161" s="31" t="str">
        <f t="shared" si="276"/>
        <v/>
      </c>
      <c r="BH161" s="31">
        <f t="shared" si="277"/>
        <v>687816.80906123179</v>
      </c>
    </row>
    <row r="162" spans="1:60" x14ac:dyDescent="0.3">
      <c r="A162" s="1">
        <v>70483000</v>
      </c>
      <c r="B162">
        <f>VLOOKUP(C162,'NCES ID'!$A$2:$B$3136,2,FALSE)</f>
        <v>401680</v>
      </c>
      <c r="C162">
        <f>VLOOKUP(A162,'State ID'!$A$2:$B$713,2,FALSE)</f>
        <v>4282</v>
      </c>
      <c r="D162" s="147" t="s">
        <v>91</v>
      </c>
      <c r="E162" t="s">
        <v>7</v>
      </c>
      <c r="F162" s="47">
        <f>VLOOKUP(B162,'Formula counts'!$D$9:$L$234,9,FALSE)</f>
        <v>21561</v>
      </c>
      <c r="G162" s="47">
        <f>VLOOKUP(B162,'Formula counts'!$D$9:$K$234,8,FALSE)</f>
        <v>10065</v>
      </c>
      <c r="H162" s="4">
        <f>VLOOKUP(B162,'Formula counts'!$D$9:$M$234,10,FALSE)</f>
        <v>0.46681508278836786</v>
      </c>
      <c r="I162" s="47">
        <f>VLOOKUP($C162,'Final SEA Counts'!$A$2:$F$709,5,FALSE)</f>
        <v>18592</v>
      </c>
      <c r="J162" s="47">
        <f>VLOOKUP($C162,'Final SEA Counts'!$A$2:$F$709,6,FALSE)</f>
        <v>18558</v>
      </c>
      <c r="K162" s="24">
        <f t="shared" si="278"/>
        <v>19549.109651718089</v>
      </c>
      <c r="L162" s="24">
        <f t="shared" si="279"/>
        <v>8841.6445229192504</v>
      </c>
      <c r="M162" s="4">
        <f t="shared" si="280"/>
        <v>0.45227862958670323</v>
      </c>
      <c r="N162" s="31">
        <f>IFERROR(VLOOKUP($B162,Allocation!$D$10:$O$235,8,FALSE),"")</f>
        <v>4748042.9205628848</v>
      </c>
      <c r="O162" s="31">
        <f>IFERROR(VLOOKUP($B162,Allocation!$D$10:$O$235,9,FALSE),"")</f>
        <v>1126002.6066880785</v>
      </c>
      <c r="P162" s="31">
        <f>IFERROR(VLOOKUP($B162,Allocation!$D$10:$O$235,10,FALSE),"")</f>
        <v>3277870.1585504725</v>
      </c>
      <c r="Q162" s="31">
        <f>IFERROR(VLOOKUP($B162,Allocation!$D$10:$O$235,11,FALSE),"")</f>
        <v>3237425.590207452</v>
      </c>
      <c r="R162" s="31">
        <f>IFERROR(VLOOKUP($B162,Allocation!$D$10:$O$235,12,FALSE),"")</f>
        <v>12389341.276008887</v>
      </c>
      <c r="S162" s="31">
        <f t="shared" si="281"/>
        <v>4176384.8354266421</v>
      </c>
      <c r="T162" s="31">
        <f t="shared" si="282"/>
        <v>990927.43097408209</v>
      </c>
      <c r="U162" s="31">
        <f t="shared" si="283"/>
        <v>2883942.1490851836</v>
      </c>
      <c r="V162" s="31">
        <f t="shared" si="284"/>
        <v>2850044.0247012279</v>
      </c>
      <c r="W162" s="31">
        <f t="shared" si="285"/>
        <v>4176384.8354266421</v>
      </c>
      <c r="X162" s="31">
        <f t="shared" si="286"/>
        <v>990927.43097408209</v>
      </c>
      <c r="Y162" s="31">
        <f t="shared" si="287"/>
        <v>2883942.1490851836</v>
      </c>
      <c r="Z162" s="31">
        <f t="shared" si="288"/>
        <v>2850044.0247012279</v>
      </c>
      <c r="AA162" s="31">
        <f t="shared" si="289"/>
        <v>4176409.585169123</v>
      </c>
      <c r="AB162" s="31">
        <f t="shared" si="290"/>
        <v>991514.69774911168</v>
      </c>
      <c r="AC162" s="31">
        <f t="shared" si="291"/>
        <v>2883982.0176547836</v>
      </c>
      <c r="AD162" s="31">
        <f t="shared" si="292"/>
        <v>2850081.1165364794</v>
      </c>
      <c r="AE162" s="31">
        <f t="shared" si="293"/>
        <v>10901987.417109497</v>
      </c>
      <c r="AF162" s="31">
        <f>IFERROR(VLOOKUP(A162,'Allocations By Type'!$D$7:$F$491,3,FALSE),"")</f>
        <v>9535663.8599999994</v>
      </c>
      <c r="AG162" s="31">
        <f t="shared" si="294"/>
        <v>436079.49668437988</v>
      </c>
      <c r="AH162" s="31">
        <f t="shared" si="295"/>
        <v>436079.49668437988</v>
      </c>
      <c r="AI162" s="31">
        <f t="shared" si="296"/>
        <v>10465907.920425117</v>
      </c>
      <c r="AJ162" s="31">
        <f>AI162/$AI$577*'State Admin 1004(b)'!$B$30*0.01</f>
        <v>99598.805268200973</v>
      </c>
      <c r="AK162" s="31">
        <f t="shared" si="297"/>
        <v>10366309.115156917</v>
      </c>
      <c r="AL162" s="31">
        <f t="shared" si="298"/>
        <v>103663.09115156917</v>
      </c>
      <c r="AM162" s="31">
        <f t="shared" si="299"/>
        <v>10262646.024005348</v>
      </c>
      <c r="AP162" s="31"/>
      <c r="AQ162" s="4">
        <f t="shared" si="264"/>
        <v>1.0762382330877747</v>
      </c>
      <c r="AR162" s="4">
        <f>VLOOKUP(B162,Allocation!$D$10:$P$235,13,FALSE)</f>
        <v>1.0964074868151807</v>
      </c>
      <c r="AS162" s="4">
        <f t="shared" si="265"/>
        <v>0.95</v>
      </c>
      <c r="AT162" s="4" t="str">
        <f t="shared" si="300"/>
        <v/>
      </c>
      <c r="AU162" s="31" t="str">
        <f t="shared" si="301"/>
        <v/>
      </c>
      <c r="AV162" s="31" t="str">
        <f t="shared" si="302"/>
        <v/>
      </c>
      <c r="AW162" s="31">
        <f t="shared" si="303"/>
        <v>10229743.601901243</v>
      </c>
      <c r="AX162" s="4">
        <f t="shared" si="304"/>
        <v>1.0727877735720901</v>
      </c>
      <c r="AY162" s="4" t="str">
        <f t="shared" si="305"/>
        <v/>
      </c>
      <c r="AZ162" s="174" t="str">
        <f>IFERROR(IF(VLOOKUP(A162,#REF!,11,FALSE)=0,"",VLOOKUP(A162,#REF!,11,FALSE)),"")</f>
        <v/>
      </c>
      <c r="BA162" s="31" t="str">
        <f t="shared" si="272"/>
        <v/>
      </c>
      <c r="BB162" s="31">
        <f t="shared" si="273"/>
        <v>10229743.601901243</v>
      </c>
      <c r="BD162" s="31">
        <f>IFERROR(VLOOKUP(A162,'Title II Hold Harmless'!A$1:B$439,2, FALSE),"")</f>
        <v>830869</v>
      </c>
      <c r="BE162" s="31">
        <f t="shared" si="306"/>
        <v>962345.19412329304</v>
      </c>
      <c r="BF162" s="31">
        <f t="shared" si="307"/>
        <v>963276.32052426739</v>
      </c>
      <c r="BG162" s="31" t="str">
        <f t="shared" si="276"/>
        <v/>
      </c>
      <c r="BH162" s="31">
        <f t="shared" si="277"/>
        <v>963276.32052426739</v>
      </c>
    </row>
    <row r="163" spans="1:60" x14ac:dyDescent="0.3">
      <c r="A163" s="1">
        <v>70406000</v>
      </c>
      <c r="B163">
        <f>VLOOKUP(C163,'NCES ID'!$A$2:$B$3136,2,FALSE)</f>
        <v>409060</v>
      </c>
      <c r="C163">
        <f>VLOOKUP(A163,'State ID'!$A$2:$B$713,2,FALSE)</f>
        <v>4260</v>
      </c>
      <c r="D163" s="147" t="s">
        <v>433</v>
      </c>
      <c r="E163" t="s">
        <v>7</v>
      </c>
      <c r="F163" s="47">
        <f>VLOOKUP(B163,'Formula counts'!$D$9:$L$234,9,FALSE)</f>
        <v>28672</v>
      </c>
      <c r="G163" s="47">
        <f>VLOOKUP(B163,'Formula counts'!$D$9:$K$234,8,FALSE)</f>
        <v>9984</v>
      </c>
      <c r="H163" s="4">
        <f>VLOOKUP(B163,'Formula counts'!$D$9:$M$234,10,FALSE)</f>
        <v>0.3482142857142857</v>
      </c>
      <c r="I163" s="47">
        <f>VLOOKUP($C163,'Final SEA Counts'!$A$2:$F$709,5,FALSE)</f>
        <v>23943</v>
      </c>
      <c r="J163" s="47">
        <f>VLOOKUP($C163,'Final SEA Counts'!$A$2:$F$709,6,FALSE)</f>
        <v>22388</v>
      </c>
      <c r="K163" s="24">
        <f t="shared" si="278"/>
        <v>25996.571213490144</v>
      </c>
      <c r="L163" s="24">
        <f t="shared" si="279"/>
        <v>8770.4897085768298</v>
      </c>
      <c r="M163" s="4">
        <f t="shared" si="280"/>
        <v>0.33737101852976847</v>
      </c>
      <c r="N163" s="31">
        <f>IFERROR(VLOOKUP($B163,Allocation!$D$10:$O$235,8,FALSE),"")</f>
        <v>4709832.1429607375</v>
      </c>
      <c r="O163" s="31">
        <f>IFERROR(VLOOKUP($B163,Allocation!$D$10:$O$235,9,FALSE),"")</f>
        <v>1116940.8867534795</v>
      </c>
      <c r="P163" s="31">
        <f>IFERROR(VLOOKUP($B163,Allocation!$D$10:$O$235,10,FALSE),"")</f>
        <v>2774728.7160877925</v>
      </c>
      <c r="Q163" s="31">
        <f>IFERROR(VLOOKUP($B163,Allocation!$D$10:$O$235,11,FALSE),"")</f>
        <v>2509784.8229677193</v>
      </c>
      <c r="R163" s="31">
        <f>IFERROR(VLOOKUP($B163,Allocation!$D$10:$O$235,12,FALSE),"")</f>
        <v>11111286.568769729</v>
      </c>
      <c r="S163" s="31">
        <f t="shared" si="281"/>
        <v>4142774.5848881844</v>
      </c>
      <c r="T163" s="31">
        <f t="shared" si="282"/>
        <v>982952.7541823379</v>
      </c>
      <c r="U163" s="31">
        <f t="shared" si="283"/>
        <v>2441267.258780404</v>
      </c>
      <c r="V163" s="31">
        <f t="shared" si="284"/>
        <v>2209470.7781458595</v>
      </c>
      <c r="W163" s="31">
        <f t="shared" si="285"/>
        <v>4142774.5848881844</v>
      </c>
      <c r="X163" s="31">
        <f t="shared" si="286"/>
        <v>982952.7541823379</v>
      </c>
      <c r="Y163" s="31">
        <f t="shared" si="287"/>
        <v>2441267.258780404</v>
      </c>
      <c r="Z163" s="31">
        <f t="shared" si="288"/>
        <v>2209470.7781458595</v>
      </c>
      <c r="AA163" s="31">
        <f t="shared" si="289"/>
        <v>4142799.3346306654</v>
      </c>
      <c r="AB163" s="31">
        <f t="shared" si="290"/>
        <v>983540.02095736749</v>
      </c>
      <c r="AC163" s="31">
        <f t="shared" si="291"/>
        <v>2441307.1273500039</v>
      </c>
      <c r="AD163" s="31">
        <f t="shared" si="292"/>
        <v>2209507.869981111</v>
      </c>
      <c r="AE163" s="31">
        <f t="shared" si="293"/>
        <v>9777154.3529191464</v>
      </c>
      <c r="AF163" s="31">
        <f>IFERROR(VLOOKUP(A163,'Allocations By Type'!$D$7:$F$491,3,FALSE),"")</f>
        <v>8828968.0800000001</v>
      </c>
      <c r="AG163" s="31">
        <f t="shared" si="294"/>
        <v>391086.17411676585</v>
      </c>
      <c r="AH163" s="31">
        <f t="shared" si="295"/>
        <v>391086.17411676585</v>
      </c>
      <c r="AI163" s="31">
        <f t="shared" si="296"/>
        <v>9386068.1788023803</v>
      </c>
      <c r="AJ163" s="31">
        <f>AI163/$AI$577*'State Admin 1004(b)'!$B$30*0.01</f>
        <v>89322.511136389148</v>
      </c>
      <c r="AK163" s="31">
        <f t="shared" si="297"/>
        <v>9296745.6676659919</v>
      </c>
      <c r="AL163" s="31">
        <f t="shared" si="298"/>
        <v>92967.456676659916</v>
      </c>
      <c r="AM163" s="31">
        <f t="shared" si="299"/>
        <v>9203778.2109893318</v>
      </c>
      <c r="AP163" s="31"/>
      <c r="AQ163" s="4">
        <f t="shared" si="264"/>
        <v>1.0424523146525331</v>
      </c>
      <c r="AR163" s="4">
        <f>VLOOKUP(B163,Allocation!$D$10:$P$235,13,FALSE)</f>
        <v>1.0622363412769555</v>
      </c>
      <c r="AS163" s="4">
        <f t="shared" si="265"/>
        <v>0.95</v>
      </c>
      <c r="AT163" s="4" t="str">
        <f t="shared" si="300"/>
        <v/>
      </c>
      <c r="AU163" s="31" t="str">
        <f t="shared" si="301"/>
        <v/>
      </c>
      <c r="AV163" s="31" t="str">
        <f t="shared" si="302"/>
        <v/>
      </c>
      <c r="AW163" s="31">
        <f t="shared" si="303"/>
        <v>9174270.5581927542</v>
      </c>
      <c r="AX163" s="4">
        <f t="shared" si="304"/>
        <v>1.039110174038907</v>
      </c>
      <c r="AY163" s="4" t="str">
        <f t="shared" si="305"/>
        <v/>
      </c>
      <c r="AZ163" s="174" t="str">
        <f>IFERROR(IF(VLOOKUP(A163,#REF!,11,FALSE)=0,"",VLOOKUP(A163,#REF!,11,FALSE)),"")</f>
        <v/>
      </c>
      <c r="BA163" s="31" t="str">
        <f t="shared" si="272"/>
        <v/>
      </c>
      <c r="BB163" s="31">
        <f t="shared" si="273"/>
        <v>9174270.5581927542</v>
      </c>
      <c r="BD163" s="31">
        <f>IFERROR(VLOOKUP(A163,'Title II Hold Harmless'!A$1:B$439,2, FALSE),"")</f>
        <v>835453</v>
      </c>
      <c r="BE163" s="31">
        <f t="shared" si="306"/>
        <v>971186.64478319627</v>
      </c>
      <c r="BF163" s="31">
        <f t="shared" si="307"/>
        <v>972126.32581527671</v>
      </c>
      <c r="BG163" s="31" t="str">
        <f t="shared" si="276"/>
        <v/>
      </c>
      <c r="BH163" s="31">
        <f t="shared" si="277"/>
        <v>972126.32581527671</v>
      </c>
    </row>
    <row r="164" spans="1:60" x14ac:dyDescent="0.3">
      <c r="A164" s="1">
        <v>70248000</v>
      </c>
      <c r="B164">
        <f>VLOOKUP(C164,'NCES ID'!$A$2:$B$3136,2,FALSE)</f>
        <v>407570</v>
      </c>
      <c r="C164">
        <f>VLOOKUP(A164,'State ID'!$A$2:$B$713,2,FALSE)</f>
        <v>4240</v>
      </c>
      <c r="D164" s="147" t="s">
        <v>379</v>
      </c>
      <c r="E164" t="s">
        <v>7</v>
      </c>
      <c r="F164" s="47">
        <f>VLOOKUP(B164,'Formula counts'!$D$9:$L$234,9,FALSE)</f>
        <v>32138</v>
      </c>
      <c r="G164" s="47">
        <f>VLOOKUP(B164,'Formula counts'!$D$9:$K$234,8,FALSE)</f>
        <v>3627</v>
      </c>
      <c r="H164" s="4">
        <f>VLOOKUP(B164,'Formula counts'!$D$9:$M$234,10,FALSE)</f>
        <v>0.11285705395481983</v>
      </c>
      <c r="I164" s="47">
        <f>VLOOKUP($C164,'Final SEA Counts'!$A$2:$F$709,5,FALSE)</f>
        <v>21521</v>
      </c>
      <c r="J164" s="47">
        <f>VLOOKUP($C164,'Final SEA Counts'!$A$2:$F$709,6,FALSE)</f>
        <v>5505</v>
      </c>
      <c r="K164" s="24">
        <f t="shared" si="278"/>
        <v>29139.153378178926</v>
      </c>
      <c r="L164" s="24">
        <f t="shared" si="279"/>
        <v>3186.1544644439259</v>
      </c>
      <c r="M164" s="4">
        <f t="shared" si="280"/>
        <v>0.10934272602545486</v>
      </c>
      <c r="N164" s="31">
        <f>IFERROR(VLOOKUP($B164,Allocation!$D$10:$O$235,8,FALSE),"")</f>
        <v>1710993.7081849554</v>
      </c>
      <c r="O164" s="31">
        <f>IFERROR(VLOOKUP($B164,Allocation!$D$10:$O$235,9,FALSE),"")</f>
        <v>0</v>
      </c>
      <c r="P164" s="31">
        <f>IFERROR(VLOOKUP($B164,Allocation!$D$10:$O$235,10,FALSE),"")</f>
        <v>819664.33976875059</v>
      </c>
      <c r="Q164" s="31">
        <f>IFERROR(VLOOKUP($B164,Allocation!$D$10:$O$235,11,FALSE),"")</f>
        <v>672903.2610751309</v>
      </c>
      <c r="R164" s="31">
        <f>IFERROR(VLOOKUP($B164,Allocation!$D$10:$O$235,12,FALSE),"")</f>
        <v>3203561.3090288369</v>
      </c>
      <c r="S164" s="31">
        <f t="shared" si="281"/>
        <v>1504992.3296664108</v>
      </c>
      <c r="T164" s="31" t="str">
        <f t="shared" si="282"/>
        <v/>
      </c>
      <c r="U164" s="31">
        <f t="shared" si="283"/>
        <v>721158.686348491</v>
      </c>
      <c r="V164" s="31">
        <f t="shared" si="284"/>
        <v>592385.48191813601</v>
      </c>
      <c r="W164" s="31">
        <f t="shared" si="285"/>
        <v>1504992.3296664108</v>
      </c>
      <c r="X164" s="31" t="str">
        <f t="shared" si="286"/>
        <v/>
      </c>
      <c r="Y164" s="31">
        <f t="shared" si="287"/>
        <v>721158.686348491</v>
      </c>
      <c r="Z164" s="31">
        <f t="shared" si="288"/>
        <v>592385.48191813601</v>
      </c>
      <c r="AA164" s="31">
        <f t="shared" si="289"/>
        <v>1505017.0794088917</v>
      </c>
      <c r="AB164" s="31" t="str">
        <f t="shared" si="290"/>
        <v/>
      </c>
      <c r="AC164" s="31">
        <f t="shared" si="291"/>
        <v>721198.55491809105</v>
      </c>
      <c r="AD164" s="31">
        <f t="shared" si="292"/>
        <v>592422.57375338767</v>
      </c>
      <c r="AE164" s="31">
        <f t="shared" si="293"/>
        <v>2818638.2080803704</v>
      </c>
      <c r="AF164" s="31">
        <f>IFERROR(VLOOKUP(A164,'Allocations By Type'!$D$7:$F$491,3,FALSE),"")</f>
        <v>2861896.39</v>
      </c>
      <c r="AG164" s="31" t="str">
        <f t="shared" si="294"/>
        <v/>
      </c>
      <c r="AH164" s="31" t="str">
        <f t="shared" si="295"/>
        <v/>
      </c>
      <c r="AI164" s="31">
        <f t="shared" si="296"/>
        <v>2818638.2080803704</v>
      </c>
      <c r="AJ164" s="31">
        <f>AI164/$AI$577*'State Admin 1004(b)'!$B$30*0.01</f>
        <v>26823.568499034205</v>
      </c>
      <c r="AK164" s="31">
        <f t="shared" si="297"/>
        <v>2791814.6395813362</v>
      </c>
      <c r="AL164" s="31">
        <f t="shared" si="298"/>
        <v>27918.146395813361</v>
      </c>
      <c r="AM164" s="31">
        <f t="shared" si="299"/>
        <v>2763896.493185523</v>
      </c>
      <c r="AP164" s="31"/>
      <c r="AQ164" s="4">
        <f t="shared" si="264"/>
        <v>0.96575700743153836</v>
      </c>
      <c r="AR164" s="4">
        <f>VLOOKUP(B164,Allocation!$D$10:$P$235,13,FALSE)</f>
        <v>0.98407052607974033</v>
      </c>
      <c r="AS164" s="4">
        <f t="shared" si="265"/>
        <v>0.85</v>
      </c>
      <c r="AT164" s="4" t="str">
        <f t="shared" si="300"/>
        <v/>
      </c>
      <c r="AU164" s="31" t="str">
        <f t="shared" si="301"/>
        <v/>
      </c>
      <c r="AV164" s="31" t="str">
        <f t="shared" si="302"/>
        <v/>
      </c>
      <c r="AW164" s="31">
        <f t="shared" si="303"/>
        <v>2755035.3389707007</v>
      </c>
      <c r="AX164" s="4">
        <f t="shared" si="304"/>
        <v>0.9626607548048588</v>
      </c>
      <c r="AY164" s="4" t="str">
        <f t="shared" si="305"/>
        <v/>
      </c>
      <c r="AZ164" s="174" t="str">
        <f>IFERROR(IF(VLOOKUP(A164,#REF!,11,FALSE)=0,"",VLOOKUP(A164,#REF!,11,FALSE)),"")</f>
        <v/>
      </c>
      <c r="BA164" s="31" t="str">
        <f t="shared" si="272"/>
        <v/>
      </c>
      <c r="BB164" s="31">
        <f t="shared" si="273"/>
        <v>2755035.3389707007</v>
      </c>
      <c r="BD164" s="31">
        <f>IFERROR(VLOOKUP(A164,'Title II Hold Harmless'!A$1:B$439,2, FALSE),"")</f>
        <v>407972</v>
      </c>
      <c r="BE164" s="31">
        <f t="shared" si="306"/>
        <v>473132.08763719298</v>
      </c>
      <c r="BF164" s="31">
        <f t="shared" si="307"/>
        <v>473589.87116501376</v>
      </c>
      <c r="BG164" s="31" t="str">
        <f t="shared" si="276"/>
        <v/>
      </c>
      <c r="BH164" s="31">
        <f t="shared" si="277"/>
        <v>473589.87116501376</v>
      </c>
    </row>
    <row r="165" spans="1:60" x14ac:dyDescent="0.3">
      <c r="A165" s="1">
        <v>70289000</v>
      </c>
      <c r="B165">
        <f>VLOOKUP(C165,'NCES ID'!$A$2:$B$3136,2,FALSE)</f>
        <v>402690</v>
      </c>
      <c r="C165">
        <f>VLOOKUP(A165,'State ID'!$A$2:$B$713,2,FALSE)</f>
        <v>4243</v>
      </c>
      <c r="D165" s="147" t="s">
        <v>137</v>
      </c>
      <c r="E165" t="s">
        <v>7</v>
      </c>
      <c r="F165" s="47">
        <f>VLOOKUP(B165,'Formula counts'!$D$9:$L$234,9,FALSE)</f>
        <v>33811</v>
      </c>
      <c r="G165" s="47">
        <f>VLOOKUP(B165,'Formula counts'!$D$9:$K$234,8,FALSE)</f>
        <v>5870</v>
      </c>
      <c r="H165" s="4">
        <f>VLOOKUP(B165,'Formula counts'!$D$9:$M$234,10,FALSE)</f>
        <v>0.1736121380615776</v>
      </c>
      <c r="I165" s="47">
        <f>VLOOKUP($C165,'Final SEA Counts'!$A$2:$F$709,5,FALSE)</f>
        <v>23613</v>
      </c>
      <c r="J165" s="47">
        <f>VLOOKUP($C165,'Final SEA Counts'!$A$2:$F$709,6,FALSE)</f>
        <v>12417</v>
      </c>
      <c r="K165" s="24">
        <f t="shared" si="278"/>
        <v>30656.043153575447</v>
      </c>
      <c r="L165" s="24">
        <f t="shared" si="279"/>
        <v>5156.5279035803278</v>
      </c>
      <c r="M165" s="4">
        <f t="shared" si="280"/>
        <v>0.16820591874000271</v>
      </c>
      <c r="N165" s="31">
        <f>IFERROR(VLOOKUP($B165,Allocation!$D$10:$O$235,8,FALSE),"")</f>
        <v>2769102.0311678196</v>
      </c>
      <c r="O165" s="31">
        <f>IFERROR(VLOOKUP($B165,Allocation!$D$10:$O$235,9,FALSE),"")</f>
        <v>656695.01254436362</v>
      </c>
      <c r="P165" s="31">
        <f>IFERROR(VLOOKUP($B165,Allocation!$D$10:$O$235,10,FALSE),"")</f>
        <v>1456101.2464243304</v>
      </c>
      <c r="Q165" s="31">
        <f>IFERROR(VLOOKUP($B165,Allocation!$D$10:$O$235,11,FALSE),"")</f>
        <v>1227914.4206797753</v>
      </c>
      <c r="R165" s="31">
        <f>IFERROR(VLOOKUP($B165,Allocation!$D$10:$O$235,12,FALSE),"")</f>
        <v>6109812.7108162893</v>
      </c>
      <c r="S165" s="31">
        <f t="shared" si="281"/>
        <v>2435705.8106263648</v>
      </c>
      <c r="T165" s="31">
        <f t="shared" si="282"/>
        <v>577917.93540167517</v>
      </c>
      <c r="U165" s="31">
        <f t="shared" si="283"/>
        <v>1281109.8532821697</v>
      </c>
      <c r="V165" s="31">
        <f t="shared" si="284"/>
        <v>1080985.5114781531</v>
      </c>
      <c r="W165" s="31">
        <f t="shared" si="285"/>
        <v>2435705.8106263648</v>
      </c>
      <c r="X165" s="31">
        <f t="shared" si="286"/>
        <v>577917.93540167517</v>
      </c>
      <c r="Y165" s="31">
        <f t="shared" si="287"/>
        <v>1281109.8532821697</v>
      </c>
      <c r="Z165" s="31">
        <f t="shared" si="288"/>
        <v>1080985.5114781531</v>
      </c>
      <c r="AA165" s="31">
        <f t="shared" si="289"/>
        <v>2435730.5603688457</v>
      </c>
      <c r="AB165" s="31">
        <f t="shared" si="290"/>
        <v>578505.20217670477</v>
      </c>
      <c r="AC165" s="31">
        <f t="shared" si="291"/>
        <v>1281149.7218517698</v>
      </c>
      <c r="AD165" s="31">
        <f t="shared" si="292"/>
        <v>1081022.6033134046</v>
      </c>
      <c r="AE165" s="31">
        <f t="shared" si="293"/>
        <v>5376408.0877107251</v>
      </c>
      <c r="AF165" s="31">
        <f>IFERROR(VLOOKUP(A165,'Allocations By Type'!$D$7:$F$491,3,FALSE),"")</f>
        <v>4894959.03</v>
      </c>
      <c r="AG165" s="31">
        <f t="shared" si="294"/>
        <v>215056.32350842902</v>
      </c>
      <c r="AH165" s="31">
        <f t="shared" si="295"/>
        <v>215056.32350842902</v>
      </c>
      <c r="AI165" s="31">
        <f t="shared" si="296"/>
        <v>5161351.7642022958</v>
      </c>
      <c r="AJ165" s="31">
        <f>AI165/$AI$577*'State Admin 1004(b)'!$B$30*0.01</f>
        <v>49118.000386782413</v>
      </c>
      <c r="AK165" s="31">
        <f t="shared" si="297"/>
        <v>5112233.7638155138</v>
      </c>
      <c r="AL165" s="31">
        <f t="shared" si="298"/>
        <v>51122.337638155142</v>
      </c>
      <c r="AM165" s="31">
        <f t="shared" si="299"/>
        <v>5061111.4261773583</v>
      </c>
      <c r="AP165" s="31"/>
      <c r="AQ165" s="4">
        <f t="shared" si="264"/>
        <v>1.0339435723892787</v>
      </c>
      <c r="AR165" s="4">
        <f>VLOOKUP(B165,Allocation!$D$10:$P$235,13,FALSE)</f>
        <v>1.0532786183665936</v>
      </c>
      <c r="AS165" s="4">
        <f t="shared" si="265"/>
        <v>0.9</v>
      </c>
      <c r="AT165" s="4" t="str">
        <f t="shared" si="300"/>
        <v/>
      </c>
      <c r="AU165" s="31" t="str">
        <f t="shared" si="301"/>
        <v/>
      </c>
      <c r="AV165" s="31" t="str">
        <f t="shared" si="302"/>
        <v/>
      </c>
      <c r="AW165" s="31">
        <f t="shared" si="303"/>
        <v>5044885.3160620444</v>
      </c>
      <c r="AX165" s="4">
        <f t="shared" si="304"/>
        <v>1.0306287111175361</v>
      </c>
      <c r="AY165" s="4" t="str">
        <f t="shared" si="305"/>
        <v/>
      </c>
      <c r="AZ165" s="174" t="str">
        <f>IFERROR(IF(VLOOKUP(A165,#REF!,11,FALSE)=0,"",VLOOKUP(A165,#REF!,11,FALSE)),"")</f>
        <v/>
      </c>
      <c r="BA165" s="31" t="str">
        <f t="shared" si="272"/>
        <v/>
      </c>
      <c r="BB165" s="31">
        <f t="shared" si="273"/>
        <v>5044885.3160620444</v>
      </c>
      <c r="BD165" s="31">
        <f>IFERROR(VLOOKUP(A165,'Title II Hold Harmless'!A$1:B$439,2, FALSE),"")</f>
        <v>199393</v>
      </c>
      <c r="BE165" s="31">
        <f t="shared" si="306"/>
        <v>291567.39432873362</v>
      </c>
      <c r="BF165" s="31">
        <f t="shared" si="307"/>
        <v>291849.50318133732</v>
      </c>
      <c r="BG165" s="31" t="str">
        <f t="shared" si="276"/>
        <v/>
      </c>
      <c r="BH165" s="31">
        <f t="shared" si="277"/>
        <v>291849.50318133732</v>
      </c>
    </row>
    <row r="166" spans="1:60" x14ac:dyDescent="0.3">
      <c r="A166" s="1">
        <v>70211000</v>
      </c>
      <c r="B166">
        <f>VLOOKUP(C166,'NCES ID'!$A$2:$B$3136,2,FALSE)</f>
        <v>406250</v>
      </c>
      <c r="C166">
        <f>VLOOKUP(A166,'State ID'!$A$2:$B$713,2,FALSE)</f>
        <v>4237</v>
      </c>
      <c r="D166" s="147" t="s">
        <v>335</v>
      </c>
      <c r="E166" t="s">
        <v>7</v>
      </c>
      <c r="F166" s="47">
        <f>VLOOKUP(B166,'Formula counts'!$D$9:$L$234,9,FALSE)</f>
        <v>39820</v>
      </c>
      <c r="G166" s="47">
        <f>VLOOKUP(B166,'Formula counts'!$D$9:$K$234,8,FALSE)</f>
        <v>6174</v>
      </c>
      <c r="H166" s="4">
        <f>VLOOKUP(B166,'Formula counts'!$D$9:$M$234,10,FALSE)</f>
        <v>0.155047714716223</v>
      </c>
      <c r="I166" s="47">
        <f>VLOOKUP($C166,'Final SEA Counts'!$A$2:$F$709,5,FALSE)</f>
        <v>33724</v>
      </c>
      <c r="J166" s="47">
        <f>VLOOKUP($C166,'Final SEA Counts'!$A$2:$F$709,6,FALSE)</f>
        <v>14583</v>
      </c>
      <c r="K166" s="24">
        <f t="shared" si="278"/>
        <v>36104.33404440491</v>
      </c>
      <c r="L166" s="24">
        <f t="shared" si="279"/>
        <v>5423.5780709889159</v>
      </c>
      <c r="M166" s="4">
        <f t="shared" si="280"/>
        <v>0.15021958483761061</v>
      </c>
      <c r="N166" s="31">
        <f>IFERROR(VLOOKUP($B166,Allocation!$D$10:$O$235,8,FALSE),"")</f>
        <v>2912510.3816746376</v>
      </c>
      <c r="O166" s="31">
        <f>IFERROR(VLOOKUP($B166,Allocation!$D$10:$O$235,9,FALSE),"")</f>
        <v>690704.43057051103</v>
      </c>
      <c r="P166" s="31">
        <f>IFERROR(VLOOKUP($B166,Allocation!$D$10:$O$235,10,FALSE),"")</f>
        <v>1542359.3024311499</v>
      </c>
      <c r="Q166" s="31">
        <f>IFERROR(VLOOKUP($B166,Allocation!$D$10:$O$235,11,FALSE),"")</f>
        <v>1303136.6197523617</v>
      </c>
      <c r="R166" s="31">
        <f>IFERROR(VLOOKUP($B166,Allocation!$D$10:$O$235,12,FALSE),"")</f>
        <v>6448710.73442866</v>
      </c>
      <c r="S166" s="31">
        <f t="shared" si="281"/>
        <v>2561847.985486743</v>
      </c>
      <c r="T166" s="31">
        <f t="shared" si="282"/>
        <v>607847.58657068852</v>
      </c>
      <c r="U166" s="31">
        <f t="shared" si="283"/>
        <v>1357001.585225031</v>
      </c>
      <c r="V166" s="31">
        <f t="shared" si="284"/>
        <v>1147206.8262290421</v>
      </c>
      <c r="W166" s="31">
        <f t="shared" si="285"/>
        <v>2561847.985486743</v>
      </c>
      <c r="X166" s="31">
        <f t="shared" si="286"/>
        <v>607847.58657068852</v>
      </c>
      <c r="Y166" s="31">
        <f t="shared" si="287"/>
        <v>1357001.585225031</v>
      </c>
      <c r="Z166" s="31">
        <f t="shared" si="288"/>
        <v>1147206.8262290421</v>
      </c>
      <c r="AA166" s="31">
        <f t="shared" si="289"/>
        <v>2561872.735229224</v>
      </c>
      <c r="AB166" s="31">
        <f t="shared" si="290"/>
        <v>608434.85334571812</v>
      </c>
      <c r="AC166" s="31">
        <f t="shared" si="291"/>
        <v>1357041.4537946312</v>
      </c>
      <c r="AD166" s="31">
        <f t="shared" si="292"/>
        <v>1147243.9180642937</v>
      </c>
      <c r="AE166" s="31">
        <f t="shared" si="293"/>
        <v>5674592.9604338668</v>
      </c>
      <c r="AF166" s="31">
        <f>IFERROR(VLOOKUP(A166,'Allocations By Type'!$D$7:$F$491,3,FALSE),"")</f>
        <v>5061750.47</v>
      </c>
      <c r="AG166" s="31">
        <f t="shared" si="294"/>
        <v>226983.71841735468</v>
      </c>
      <c r="AH166" s="31">
        <f t="shared" si="295"/>
        <v>226983.71841735468</v>
      </c>
      <c r="AI166" s="31">
        <f t="shared" si="296"/>
        <v>5447609.242016512</v>
      </c>
      <c r="AJ166" s="31">
        <f>AI166/$AI$577*'State Admin 1004(b)'!$B$30*0.01</f>
        <v>51842.169470454835</v>
      </c>
      <c r="AK166" s="31">
        <f t="shared" si="297"/>
        <v>5395767.0725460574</v>
      </c>
      <c r="AL166" s="31">
        <f t="shared" si="298"/>
        <v>53957.670725460572</v>
      </c>
      <c r="AM166" s="31">
        <f t="shared" si="299"/>
        <v>5341809.4018205972</v>
      </c>
      <c r="AP166" s="31"/>
      <c r="AQ166" s="4">
        <f t="shared" si="264"/>
        <v>1.0553284745031293</v>
      </c>
      <c r="AR166" s="4">
        <f>VLOOKUP(B166,Allocation!$D$10:$P$235,13,FALSE)</f>
        <v>1.0752896407189134</v>
      </c>
      <c r="AS166" s="4">
        <f t="shared" si="265"/>
        <v>0.9</v>
      </c>
      <c r="AT166" s="4" t="str">
        <f t="shared" si="300"/>
        <v/>
      </c>
      <c r="AU166" s="31" t="str">
        <f t="shared" si="301"/>
        <v/>
      </c>
      <c r="AV166" s="31" t="str">
        <f t="shared" si="302"/>
        <v/>
      </c>
      <c r="AW166" s="31">
        <f t="shared" si="303"/>
        <v>5324683.3636305183</v>
      </c>
      <c r="AX166" s="4">
        <f t="shared" si="304"/>
        <v>1.051945052445566</v>
      </c>
      <c r="AY166" s="4" t="str">
        <f t="shared" si="305"/>
        <v/>
      </c>
      <c r="AZ166" s="174" t="str">
        <f>IFERROR(IF(VLOOKUP(A166,#REF!,11,FALSE)=0,"",VLOOKUP(A166,#REF!,11,FALSE)),"")</f>
        <v/>
      </c>
      <c r="BA166" s="31" t="str">
        <f t="shared" si="272"/>
        <v/>
      </c>
      <c r="BB166" s="31">
        <f t="shared" si="273"/>
        <v>5324683.3636305183</v>
      </c>
      <c r="BD166" s="31">
        <f>IFERROR(VLOOKUP(A166,'Title II Hold Harmless'!A$1:B$439,2, FALSE),"")</f>
        <v>521457</v>
      </c>
      <c r="BE166" s="31">
        <f t="shared" si="306"/>
        <v>621512.04354739515</v>
      </c>
      <c r="BF166" s="31">
        <f t="shared" si="307"/>
        <v>622113.39353677991</v>
      </c>
      <c r="BG166" s="31" t="str">
        <f t="shared" si="276"/>
        <v/>
      </c>
      <c r="BH166" s="31">
        <f t="shared" si="277"/>
        <v>622113.39353677991</v>
      </c>
    </row>
    <row r="167" spans="1:60" x14ac:dyDescent="0.3">
      <c r="A167" s="1">
        <v>70269000</v>
      </c>
      <c r="B167">
        <f>VLOOKUP(C167,'NCES ID'!$A$2:$B$3136,2,FALSE)</f>
        <v>405930</v>
      </c>
      <c r="C167">
        <f>VLOOKUP(A167,'State ID'!$A$2:$B$713,2,FALSE)</f>
        <v>4241</v>
      </c>
      <c r="D167" s="147" t="s">
        <v>321</v>
      </c>
      <c r="E167" t="s">
        <v>7</v>
      </c>
      <c r="F167" s="47">
        <f>VLOOKUP(B167,'Formula counts'!$D$9:$L$234,9,FALSE)</f>
        <v>40856</v>
      </c>
      <c r="G167" s="47">
        <f>VLOOKUP(B167,'Formula counts'!$D$9:$K$234,8,FALSE)</f>
        <v>6693</v>
      </c>
      <c r="H167" s="4">
        <f>VLOOKUP(B167,'Formula counts'!$D$9:$M$234,10,FALSE)</f>
        <v>0.16381926767182298</v>
      </c>
      <c r="I167" s="47">
        <f>VLOOKUP($C167,'Final SEA Counts'!$A$2:$F$709,5,FALSE)</f>
        <v>29907</v>
      </c>
      <c r="J167" s="47">
        <f>VLOOKUP($C167,'Final SEA Counts'!$A$2:$F$709,6,FALSE)</f>
        <v>10466</v>
      </c>
      <c r="K167" s="24">
        <f t="shared" si="278"/>
        <v>37043.663277704843</v>
      </c>
      <c r="L167" s="24">
        <f t="shared" si="279"/>
        <v>5879.4959554792385</v>
      </c>
      <c r="M167" s="4">
        <f t="shared" si="280"/>
        <v>0.15871799479987933</v>
      </c>
      <c r="N167" s="31">
        <f>IFERROR(VLOOKUP($B167,Allocation!$D$10:$O$235,8,FALSE),"")</f>
        <v>3157342.4011254222</v>
      </c>
      <c r="O167" s="31">
        <f>IFERROR(VLOOKUP($B167,Allocation!$D$10:$O$235,9,FALSE),"")</f>
        <v>748766.56200330926</v>
      </c>
      <c r="P167" s="31">
        <f>IFERROR(VLOOKUP($B167,Allocation!$D$10:$O$235,10,FALSE),"")</f>
        <v>1689622.2335743718</v>
      </c>
      <c r="Q167" s="31">
        <f>IFERROR(VLOOKUP($B167,Allocation!$D$10:$O$235,11,FALSE),"")</f>
        <v>1431558.7293532584</v>
      </c>
      <c r="R167" s="31">
        <f>IFERROR(VLOOKUP($B167,Allocation!$D$10:$O$235,12,FALSE),"")</f>
        <v>7027289.9260563618</v>
      </c>
      <c r="S167" s="31">
        <f t="shared" si="281"/>
        <v>2777202.5537516642</v>
      </c>
      <c r="T167" s="31">
        <f t="shared" si="282"/>
        <v>658944.58971778734</v>
      </c>
      <c r="U167" s="31">
        <f t="shared" si="283"/>
        <v>1486566.7460090613</v>
      </c>
      <c r="V167" s="31">
        <f t="shared" si="284"/>
        <v>1260262.2945044099</v>
      </c>
      <c r="W167" s="31">
        <f t="shared" si="285"/>
        <v>2777202.5537516642</v>
      </c>
      <c r="X167" s="31">
        <f t="shared" si="286"/>
        <v>658944.58971778734</v>
      </c>
      <c r="Y167" s="31">
        <f t="shared" si="287"/>
        <v>1486566.7460090613</v>
      </c>
      <c r="Z167" s="31">
        <f t="shared" si="288"/>
        <v>1260262.2945044099</v>
      </c>
      <c r="AA167" s="31">
        <f t="shared" si="289"/>
        <v>2777227.3034941452</v>
      </c>
      <c r="AB167" s="31">
        <f t="shared" si="290"/>
        <v>659531.85649281694</v>
      </c>
      <c r="AC167" s="31">
        <f t="shared" si="291"/>
        <v>1486606.6145786615</v>
      </c>
      <c r="AD167" s="31">
        <f t="shared" si="292"/>
        <v>1260299.3863396614</v>
      </c>
      <c r="AE167" s="31">
        <f t="shared" si="293"/>
        <v>6183665.1609052857</v>
      </c>
      <c r="AF167" s="31">
        <f>IFERROR(VLOOKUP(A167,'Allocations By Type'!$D$7:$F$491,3,FALSE),"")</f>
        <v>6050637.8799999999</v>
      </c>
      <c r="AG167" s="31">
        <f t="shared" si="294"/>
        <v>247346.60643621144</v>
      </c>
      <c r="AH167" s="31">
        <f t="shared" si="295"/>
        <v>133027.28090528585</v>
      </c>
      <c r="AI167" s="31">
        <f t="shared" si="296"/>
        <v>6050637.8799999999</v>
      </c>
      <c r="AJ167" s="31">
        <f>AI167/$AI$577*'State Admin 1004(b)'!$B$30*0.01</f>
        <v>57580.891074191837</v>
      </c>
      <c r="AK167" s="31">
        <f t="shared" si="297"/>
        <v>5993056.9889258081</v>
      </c>
      <c r="AL167" s="31">
        <f t="shared" si="298"/>
        <v>59930.569889258084</v>
      </c>
      <c r="AM167" s="31">
        <f t="shared" si="299"/>
        <v>5933126.4190365504</v>
      </c>
      <c r="AP167" s="31"/>
      <c r="AQ167" s="4">
        <f t="shared" si="264"/>
        <v>0.98057866570533392</v>
      </c>
      <c r="AR167" s="4">
        <f>VLOOKUP(B167,Allocation!$D$10:$P$235,13,FALSE)</f>
        <v>0.98924095004579937</v>
      </c>
      <c r="AS167" s="4">
        <f t="shared" si="265"/>
        <v>0.9</v>
      </c>
      <c r="AT167" s="4" t="str">
        <f t="shared" si="300"/>
        <v/>
      </c>
      <c r="AU167" s="31" t="str">
        <f t="shared" si="301"/>
        <v/>
      </c>
      <c r="AV167" s="31" t="str">
        <f t="shared" si="302"/>
        <v/>
      </c>
      <c r="AW167" s="31">
        <f t="shared" si="303"/>
        <v>5914104.5966547271</v>
      </c>
      <c r="AX167" s="4">
        <f t="shared" si="304"/>
        <v>0.97743489429493458</v>
      </c>
      <c r="AY167" s="4" t="str">
        <f t="shared" si="305"/>
        <v/>
      </c>
      <c r="AZ167" s="174" t="str">
        <f>IFERROR(IF(VLOOKUP(A167,#REF!,11,FALSE)=0,"",VLOOKUP(A167,#REF!,11,FALSE)),"")</f>
        <v/>
      </c>
      <c r="BA167" s="31" t="str">
        <f t="shared" si="272"/>
        <v/>
      </c>
      <c r="BB167" s="31">
        <f t="shared" si="273"/>
        <v>5914104.5966547271</v>
      </c>
      <c r="BD167" s="31">
        <f>IFERROR(VLOOKUP(A167,'Title II Hold Harmless'!A$1:B$439,2, FALSE),"")</f>
        <v>594744</v>
      </c>
      <c r="BE167" s="31">
        <f t="shared" si="306"/>
        <v>701523.28733833821</v>
      </c>
      <c r="BF167" s="31">
        <f t="shared" si="307"/>
        <v>702202.0529805714</v>
      </c>
      <c r="BG167" s="31" t="str">
        <f t="shared" si="276"/>
        <v/>
      </c>
      <c r="BH167" s="31">
        <f t="shared" si="277"/>
        <v>702202.0529805714</v>
      </c>
    </row>
    <row r="168" spans="1:60" x14ac:dyDescent="0.3">
      <c r="A168" s="1">
        <v>70510000</v>
      </c>
      <c r="B168">
        <f>VLOOKUP(C168,'NCES ID'!$A$2:$B$3136,2,FALSE)</f>
        <v>406330</v>
      </c>
      <c r="C168">
        <f>VLOOKUP(A168,'State ID'!$A$2:$B$713,2,FALSE)</f>
        <v>4286</v>
      </c>
      <c r="D168" s="147" t="s">
        <v>339</v>
      </c>
      <c r="E168" t="s">
        <v>7</v>
      </c>
      <c r="F168" s="47">
        <f>VLOOKUP(B168,'Formula counts'!$D$9:$L$234,9,FALSE)</f>
        <v>42512</v>
      </c>
      <c r="G168" s="47">
        <f>VLOOKUP(B168,'Formula counts'!$D$9:$K$234,8,FALSE)</f>
        <v>15031</v>
      </c>
      <c r="H168" s="4">
        <f>VLOOKUP(B168,'Formula counts'!$D$9:$M$234,10,FALSE)</f>
        <v>0.35357075649228453</v>
      </c>
      <c r="I168" s="47">
        <f>VLOOKUP($C168,'Final SEA Counts'!$A$2:$F$709,5,FALSE)</f>
        <v>20727</v>
      </c>
      <c r="J168" s="47">
        <f>VLOOKUP($C168,'Final SEA Counts'!$A$2:$F$709,6,FALSE)</f>
        <v>17580</v>
      </c>
      <c r="K168" s="24">
        <f t="shared" si="278"/>
        <v>38545.139349466132</v>
      </c>
      <c r="L168" s="24">
        <f t="shared" si="279"/>
        <v>13204.049560258245</v>
      </c>
      <c r="M168" s="4">
        <f t="shared" si="280"/>
        <v>0.34256069074092288</v>
      </c>
      <c r="N168" s="31">
        <f>IFERROR(VLOOKUP($B168,Allocation!$D$10:$O$235,8,FALSE),"")</f>
        <v>7232553.8993152212</v>
      </c>
      <c r="O168" s="31">
        <f>IFERROR(VLOOKUP($B168,Allocation!$D$10:$O$235,9,FALSE),"")</f>
        <v>1713820.8317351548</v>
      </c>
      <c r="P168" s="31">
        <f>IFERROR(VLOOKUP($B168,Allocation!$D$10:$O$235,10,FALSE),"")</f>
        <v>4564796.185933263</v>
      </c>
      <c r="Q168" s="31">
        <f>IFERROR(VLOOKUP($B168,Allocation!$D$10:$O$235,11,FALSE),"")</f>
        <v>4383040.2771750139</v>
      </c>
      <c r="R168" s="31">
        <f>IFERROR(VLOOKUP($B168,Allocation!$D$10:$O$235,12,FALSE),"")</f>
        <v>17894211.194158651</v>
      </c>
      <c r="S168" s="31">
        <f t="shared" si="281"/>
        <v>6361763.9797841124</v>
      </c>
      <c r="T168" s="31">
        <f t="shared" si="282"/>
        <v>1508231.0323741827</v>
      </c>
      <c r="U168" s="31">
        <f t="shared" si="283"/>
        <v>4016207.9294860866</v>
      </c>
      <c r="V168" s="31">
        <f t="shared" si="284"/>
        <v>3858577.565387995</v>
      </c>
      <c r="W168" s="31">
        <f t="shared" si="285"/>
        <v>6361763.9797841124</v>
      </c>
      <c r="X168" s="31">
        <f t="shared" si="286"/>
        <v>1508231.0323741827</v>
      </c>
      <c r="Y168" s="31">
        <f t="shared" si="287"/>
        <v>4016207.9294860866</v>
      </c>
      <c r="Z168" s="31">
        <f t="shared" si="288"/>
        <v>3858577.565387995</v>
      </c>
      <c r="AA168" s="31">
        <f t="shared" si="289"/>
        <v>6361788.7295265933</v>
      </c>
      <c r="AB168" s="31">
        <f t="shared" si="290"/>
        <v>1508818.2991492124</v>
      </c>
      <c r="AC168" s="31">
        <f t="shared" si="291"/>
        <v>4016247.7980556865</v>
      </c>
      <c r="AD168" s="31">
        <f t="shared" si="292"/>
        <v>3858614.6572232465</v>
      </c>
      <c r="AE168" s="31">
        <f t="shared" si="293"/>
        <v>15745469.483954739</v>
      </c>
      <c r="AF168" s="31">
        <f>IFERROR(VLOOKUP(A168,'Allocations By Type'!$D$7:$F$491,3,FALSE),"")</f>
        <v>15204994.890000001</v>
      </c>
      <c r="AG168" s="31">
        <f t="shared" si="294"/>
        <v>629818.77935818955</v>
      </c>
      <c r="AH168" s="31">
        <f t="shared" si="295"/>
        <v>540474.59395473823</v>
      </c>
      <c r="AI168" s="31">
        <f t="shared" si="296"/>
        <v>15204994.890000001</v>
      </c>
      <c r="AJ168" s="31">
        <f>AI168/$AI$577*'State Admin 1004(b)'!$B$30*0.01</f>
        <v>144698.32303775774</v>
      </c>
      <c r="AK168" s="31">
        <f t="shared" si="297"/>
        <v>15060296.566962242</v>
      </c>
      <c r="AL168" s="31">
        <f t="shared" si="298"/>
        <v>150602.96566962241</v>
      </c>
      <c r="AM168" s="31">
        <f t="shared" si="299"/>
        <v>14909693.601292619</v>
      </c>
      <c r="AP168" s="31"/>
      <c r="AQ168" s="4">
        <f t="shared" si="264"/>
        <v>0.98057866570533381</v>
      </c>
      <c r="AR168" s="4">
        <f>VLOOKUP(B168,Allocation!$D$10:$P$235,13,FALSE)</f>
        <v>0.99335402553694219</v>
      </c>
      <c r="AS168" s="4">
        <f t="shared" si="265"/>
        <v>0.95</v>
      </c>
      <c r="AT168" s="4" t="str">
        <f t="shared" si="300"/>
        <v/>
      </c>
      <c r="AU168" s="31" t="str">
        <f t="shared" si="301"/>
        <v/>
      </c>
      <c r="AV168" s="31" t="str">
        <f t="shared" si="302"/>
        <v/>
      </c>
      <c r="AW168" s="31">
        <f t="shared" si="303"/>
        <v>14861892.573062168</v>
      </c>
      <c r="AX168" s="4">
        <f t="shared" si="304"/>
        <v>0.97743489429493446</v>
      </c>
      <c r="AY168" s="4" t="str">
        <f t="shared" si="305"/>
        <v/>
      </c>
      <c r="AZ168" s="174" t="str">
        <f>IFERROR(IF(VLOOKUP(A168,#REF!,11,FALSE)=0,"",VLOOKUP(A168,#REF!,11,FALSE)),"")</f>
        <v/>
      </c>
      <c r="BA168" s="31" t="str">
        <f t="shared" si="272"/>
        <v/>
      </c>
      <c r="BB168" s="31">
        <f t="shared" si="273"/>
        <v>14861892.573062168</v>
      </c>
      <c r="BD168" s="31">
        <f>IFERROR(VLOOKUP(A168,'Title II Hold Harmless'!A$1:B$439,2, FALSE),"")</f>
        <v>941007</v>
      </c>
      <c r="BE168" s="31">
        <f t="shared" si="306"/>
        <v>1144878.0105231723</v>
      </c>
      <c r="BF168" s="31">
        <f t="shared" si="307"/>
        <v>1145985.7483162251</v>
      </c>
      <c r="BG168" s="31" t="str">
        <f t="shared" si="276"/>
        <v/>
      </c>
      <c r="BH168" s="31">
        <f t="shared" si="277"/>
        <v>1145985.7483162251</v>
      </c>
    </row>
    <row r="169" spans="1:60" x14ac:dyDescent="0.3">
      <c r="A169" s="1">
        <v>70241000</v>
      </c>
      <c r="B169">
        <f>VLOOKUP(C169,'NCES ID'!$A$2:$B$3136,2,FALSE)</f>
        <v>403400</v>
      </c>
      <c r="C169">
        <f>VLOOKUP(A169,'State ID'!$A$2:$B$713,2,FALSE)</f>
        <v>4239</v>
      </c>
      <c r="D169" s="147" t="s">
        <v>182</v>
      </c>
      <c r="E169" t="s">
        <v>7</v>
      </c>
      <c r="F169" s="47">
        <f>VLOOKUP(B169,'Formula counts'!$D$9:$L$234,9,FALSE)</f>
        <v>43787</v>
      </c>
      <c r="G169" s="47">
        <f>VLOOKUP(B169,'Formula counts'!$D$9:$K$234,8,FALSE)</f>
        <v>4160</v>
      </c>
      <c r="H169" s="4">
        <f>VLOOKUP(B169,'Formula counts'!$D$9:$M$234,10,FALSE)</f>
        <v>9.5005366889716128E-2</v>
      </c>
      <c r="I169" s="47">
        <f>VLOOKUP($C169,'Final SEA Counts'!$A$2:$F$709,5,FALSE)</f>
        <v>32427</v>
      </c>
      <c r="J169" s="47">
        <f>VLOOKUP($C169,'Final SEA Counts'!$A$2:$F$709,6,FALSE)</f>
        <v>8736</v>
      </c>
      <c r="K169" s="24">
        <f t="shared" si="278"/>
        <v>39701.167122108433</v>
      </c>
      <c r="L169" s="24">
        <f t="shared" si="279"/>
        <v>3654.3707119070123</v>
      </c>
      <c r="M169" s="4">
        <f t="shared" si="280"/>
        <v>9.2046934052777474E-2</v>
      </c>
      <c r="N169" s="31">
        <f>IFERROR(VLOOKUP($B169,Allocation!$D$10:$O$235,8,FALSE),"")</f>
        <v>1962430.0595669732</v>
      </c>
      <c r="O169" s="31">
        <f>IFERROR(VLOOKUP($B169,Allocation!$D$10:$O$235,9,FALSE),"")</f>
        <v>0</v>
      </c>
      <c r="P169" s="31">
        <f>IFERROR(VLOOKUP($B169,Allocation!$D$10:$O$235,10,FALSE),"")</f>
        <v>970899.68138597056</v>
      </c>
      <c r="Q169" s="31">
        <f>IFERROR(VLOOKUP($B169,Allocation!$D$10:$O$235,11,FALSE),"")</f>
        <v>804789.55089647532</v>
      </c>
      <c r="R169" s="31">
        <f>IFERROR(VLOOKUP($B169,Allocation!$D$10:$O$235,12,FALSE),"")</f>
        <v>3738119.2918494195</v>
      </c>
      <c r="S169" s="31">
        <f t="shared" si="281"/>
        <v>1726156.0770367428</v>
      </c>
      <c r="T169" s="31" t="str">
        <f t="shared" si="282"/>
        <v/>
      </c>
      <c r="U169" s="31">
        <f t="shared" si="283"/>
        <v>854218.86110357393</v>
      </c>
      <c r="V169" s="31">
        <f t="shared" si="284"/>
        <v>708490.61600439949</v>
      </c>
      <c r="W169" s="31">
        <f t="shared" si="285"/>
        <v>1726156.0770367428</v>
      </c>
      <c r="X169" s="31" t="str">
        <f t="shared" si="286"/>
        <v/>
      </c>
      <c r="Y169" s="31">
        <f t="shared" si="287"/>
        <v>854218.86110357393</v>
      </c>
      <c r="Z169" s="31">
        <f t="shared" si="288"/>
        <v>708490.61600439949</v>
      </c>
      <c r="AA169" s="31">
        <f t="shared" si="289"/>
        <v>1726180.8267792237</v>
      </c>
      <c r="AB169" s="31" t="str">
        <f t="shared" si="290"/>
        <v/>
      </c>
      <c r="AC169" s="31">
        <f t="shared" si="291"/>
        <v>854258.72967317398</v>
      </c>
      <c r="AD169" s="31">
        <f t="shared" si="292"/>
        <v>708527.70783965115</v>
      </c>
      <c r="AE169" s="31">
        <f t="shared" si="293"/>
        <v>3288967.2642920488</v>
      </c>
      <c r="AF169" s="31">
        <f>IFERROR(VLOOKUP(A169,'Allocations By Type'!$D$7:$F$491,3,FALSE),"")</f>
        <v>3106204.16</v>
      </c>
      <c r="AG169" s="31">
        <f t="shared" si="294"/>
        <v>131558.69057168195</v>
      </c>
      <c r="AH169" s="31">
        <f t="shared" si="295"/>
        <v>131558.69057168195</v>
      </c>
      <c r="AI169" s="31">
        <f t="shared" si="296"/>
        <v>3157408.5737203667</v>
      </c>
      <c r="AJ169" s="31">
        <f>AI169/$AI$577*'State Admin 1004(b)'!$B$30*0.01</f>
        <v>30047.47644228741</v>
      </c>
      <c r="AK169" s="31">
        <f t="shared" si="297"/>
        <v>3127361.0972780795</v>
      </c>
      <c r="AL169" s="31">
        <f t="shared" si="298"/>
        <v>31273.610972780796</v>
      </c>
      <c r="AM169" s="31">
        <f t="shared" si="299"/>
        <v>3096087.4863052987</v>
      </c>
      <c r="AP169" s="31"/>
      <c r="AQ169" s="4">
        <f t="shared" si="264"/>
        <v>0.99674307509307392</v>
      </c>
      <c r="AR169" s="4">
        <f>VLOOKUP(B169,Allocation!$D$10:$P$235,13,FALSE)</f>
        <v>1.0482852407385468</v>
      </c>
      <c r="AS169" s="4">
        <f t="shared" si="265"/>
        <v>0.85</v>
      </c>
      <c r="AT169" s="4" t="str">
        <f t="shared" si="300"/>
        <v/>
      </c>
      <c r="AU169" s="31" t="str">
        <f t="shared" si="301"/>
        <v/>
      </c>
      <c r="AV169" s="31" t="str">
        <f t="shared" si="302"/>
        <v/>
      </c>
      <c r="AW169" s="31">
        <f t="shared" si="303"/>
        <v>3086161.3155002869</v>
      </c>
      <c r="AX169" s="4">
        <f t="shared" si="304"/>
        <v>0.99354747998930204</v>
      </c>
      <c r="AY169" s="4" t="str">
        <f t="shared" si="305"/>
        <v/>
      </c>
      <c r="AZ169" s="174" t="str">
        <f>IFERROR(IF(VLOOKUP(A169,#REF!,11,FALSE)=0,"",VLOOKUP(A169,#REF!,11,FALSE)),"")</f>
        <v/>
      </c>
      <c r="BA169" s="31" t="str">
        <f t="shared" si="272"/>
        <v/>
      </c>
      <c r="BB169" s="31">
        <f t="shared" si="273"/>
        <v>3086161.3155002869</v>
      </c>
      <c r="BD169" s="31">
        <f>IFERROR(VLOOKUP(A169,'Title II Hold Harmless'!A$1:B$439,2, FALSE),"")</f>
        <v>342655</v>
      </c>
      <c r="BE169" s="31">
        <f t="shared" si="306"/>
        <v>422444.65878180345</v>
      </c>
      <c r="BF169" s="31">
        <f t="shared" si="307"/>
        <v>422853.39919755491</v>
      </c>
      <c r="BG169" s="31" t="str">
        <f t="shared" si="276"/>
        <v/>
      </c>
      <c r="BH169" s="31">
        <f t="shared" si="277"/>
        <v>422853.39919755491</v>
      </c>
    </row>
    <row r="170" spans="1:60" x14ac:dyDescent="0.3">
      <c r="A170" s="1">
        <v>70280000</v>
      </c>
      <c r="B170">
        <f>VLOOKUP(C170,'NCES ID'!$A$2:$B$3136,2,FALSE)</f>
        <v>401870</v>
      </c>
      <c r="C170">
        <f>VLOOKUP(A170,'State ID'!$A$2:$B$713,2,FALSE)</f>
        <v>4242</v>
      </c>
      <c r="D170" s="147" t="s">
        <v>101</v>
      </c>
      <c r="E170" t="s">
        <v>7</v>
      </c>
      <c r="F170" s="47">
        <f>VLOOKUP(B170,'Formula counts'!$D$9:$L$234,9,FALSE)</f>
        <v>46137</v>
      </c>
      <c r="G170" s="47">
        <f>VLOOKUP(B170,'Formula counts'!$D$9:$K$234,8,FALSE)</f>
        <v>5608</v>
      </c>
      <c r="H170" s="4">
        <f>VLOOKUP(B170,'Formula counts'!$D$9:$M$234,10,FALSE)</f>
        <v>0.12155103279363634</v>
      </c>
      <c r="I170" s="47">
        <f>VLOOKUP($C170,'Final SEA Counts'!$A$2:$F$709,5,FALSE)</f>
        <v>39390</v>
      </c>
      <c r="J170" s="47">
        <f>VLOOKUP($C170,'Final SEA Counts'!$A$2:$F$709,6,FALSE)</f>
        <v>10776</v>
      </c>
      <c r="K170" s="24">
        <f t="shared" si="278"/>
        <v>41831.884977566784</v>
      </c>
      <c r="L170" s="24">
        <f t="shared" si="279"/>
        <v>4926.3728250900294</v>
      </c>
      <c r="M170" s="4">
        <f t="shared" si="280"/>
        <v>0.11776597750093976</v>
      </c>
      <c r="N170" s="31">
        <f>IFERROR(VLOOKUP($B170,Allocation!$D$10:$O$235,8,FALSE),"")</f>
        <v>2645506.676454707</v>
      </c>
      <c r="O170" s="31">
        <f>IFERROR(VLOOKUP($B170,Allocation!$D$10:$O$235,9,FALSE),"")</f>
        <v>0</v>
      </c>
      <c r="P170" s="31">
        <f>IFERROR(VLOOKUP($B170,Allocation!$D$10:$O$235,10,FALSE),"")</f>
        <v>1381760.4218395061</v>
      </c>
      <c r="Q170" s="31">
        <f>IFERROR(VLOOKUP($B170,Allocation!$D$10:$O$235,11,FALSE),"")</f>
        <v>1163084.7622685325</v>
      </c>
      <c r="R170" s="31">
        <f>IFERROR(VLOOKUP($B170,Allocation!$D$10:$O$235,12,FALSE),"")</f>
        <v>5190351.8605627455</v>
      </c>
      <c r="S170" s="31">
        <f t="shared" si="281"/>
        <v>2326991.1730822236</v>
      </c>
      <c r="T170" s="31" t="str">
        <f t="shared" si="282"/>
        <v/>
      </c>
      <c r="U170" s="31">
        <f t="shared" si="283"/>
        <v>1215703.1632524671</v>
      </c>
      <c r="V170" s="31">
        <f t="shared" si="284"/>
        <v>1023913.1941599518</v>
      </c>
      <c r="W170" s="31">
        <f t="shared" si="285"/>
        <v>2326991.1730822236</v>
      </c>
      <c r="X170" s="31" t="str">
        <f t="shared" si="286"/>
        <v/>
      </c>
      <c r="Y170" s="31">
        <f t="shared" si="287"/>
        <v>1215703.1632524671</v>
      </c>
      <c r="Z170" s="31">
        <f t="shared" si="288"/>
        <v>1023913.1941599518</v>
      </c>
      <c r="AA170" s="31">
        <f t="shared" si="289"/>
        <v>2327015.9228247046</v>
      </c>
      <c r="AB170" s="31" t="str">
        <f t="shared" si="290"/>
        <v/>
      </c>
      <c r="AC170" s="31">
        <f t="shared" si="291"/>
        <v>1215743.0318220672</v>
      </c>
      <c r="AD170" s="31">
        <f t="shared" si="292"/>
        <v>1023950.2859952034</v>
      </c>
      <c r="AE170" s="31">
        <f t="shared" si="293"/>
        <v>4566709.2406419748</v>
      </c>
      <c r="AF170" s="31">
        <f>IFERROR(VLOOKUP(A170,'Allocations By Type'!$D$7:$F$491,3,FALSE),"")</f>
        <v>4305201.25</v>
      </c>
      <c r="AG170" s="31">
        <f t="shared" si="294"/>
        <v>182668.36962567898</v>
      </c>
      <c r="AH170" s="31">
        <f t="shared" si="295"/>
        <v>182668.36962567898</v>
      </c>
      <c r="AI170" s="31">
        <f t="shared" si="296"/>
        <v>4384040.8710162956</v>
      </c>
      <c r="AJ170" s="31">
        <f>AI170/$AI$577*'State Admin 1004(b)'!$B$30*0.01</f>
        <v>41720.72182557956</v>
      </c>
      <c r="AK170" s="31">
        <f t="shared" si="297"/>
        <v>4342320.1491907164</v>
      </c>
      <c r="AL170" s="31">
        <f t="shared" si="298"/>
        <v>43423.201491907166</v>
      </c>
      <c r="AM170" s="31">
        <f t="shared" si="299"/>
        <v>4298896.9476988092</v>
      </c>
      <c r="AP170" s="31"/>
      <c r="AQ170" s="4">
        <f t="shared" si="264"/>
        <v>0.99853565444793302</v>
      </c>
      <c r="AR170" s="4">
        <f>VLOOKUP(B170,Allocation!$D$10:$P$235,13,FALSE)</f>
        <v>1.0598872721029831</v>
      </c>
      <c r="AS170" s="4">
        <f t="shared" si="265"/>
        <v>0.85</v>
      </c>
      <c r="AT170" s="4" t="str">
        <f t="shared" si="300"/>
        <v/>
      </c>
      <c r="AU170" s="31" t="str">
        <f t="shared" si="301"/>
        <v/>
      </c>
      <c r="AV170" s="31" t="str">
        <f t="shared" si="302"/>
        <v/>
      </c>
      <c r="AW170" s="31">
        <f t="shared" si="303"/>
        <v>4285114.5253464859</v>
      </c>
      <c r="AX170" s="4">
        <f t="shared" si="304"/>
        <v>0.99533431226855795</v>
      </c>
      <c r="AY170" s="4" t="str">
        <f t="shared" si="305"/>
        <v/>
      </c>
      <c r="AZ170" s="174" t="str">
        <f>IFERROR(IF(VLOOKUP(A170,#REF!,11,FALSE)=0,"",VLOOKUP(A170,#REF!,11,FALSE)),"")</f>
        <v/>
      </c>
      <c r="BA170" s="31" t="str">
        <f t="shared" si="272"/>
        <v/>
      </c>
      <c r="BB170" s="31">
        <f t="shared" si="273"/>
        <v>4285114.5253464859</v>
      </c>
      <c r="BD170" s="31">
        <f>IFERROR(VLOOKUP(A170,'Title II Hold Harmless'!A$1:B$439,2, FALSE),"")</f>
        <v>503936</v>
      </c>
      <c r="BE170" s="31">
        <f t="shared" si="306"/>
        <v>602091.82349933661</v>
      </c>
      <c r="BF170" s="31">
        <f t="shared" si="307"/>
        <v>602674.38326696947</v>
      </c>
      <c r="BG170" s="31" t="str">
        <f t="shared" si="276"/>
        <v/>
      </c>
      <c r="BH170" s="31">
        <f t="shared" si="277"/>
        <v>602674.38326696947</v>
      </c>
    </row>
    <row r="171" spans="1:60" x14ac:dyDescent="0.3">
      <c r="A171" s="1">
        <v>70297000</v>
      </c>
      <c r="B171">
        <f>VLOOKUP(C171,'NCES ID'!$A$2:$B$3136,2,FALSE)</f>
        <v>407750</v>
      </c>
      <c r="C171">
        <f>VLOOKUP(A171,'State ID'!$A$2:$B$713,2,FALSE)</f>
        <v>4246</v>
      </c>
      <c r="D171" s="147" t="s">
        <v>127</v>
      </c>
      <c r="E171" t="s">
        <v>7</v>
      </c>
      <c r="F171" s="47">
        <f>VLOOKUP(B171,'Formula counts'!$D$9:$L$234,9,FALSE)</f>
        <v>48660</v>
      </c>
      <c r="G171" s="47">
        <f>VLOOKUP(B171,'Formula counts'!$D$9:$K$234,8,FALSE)</f>
        <v>5932</v>
      </c>
      <c r="H171" s="4">
        <f>VLOOKUP(B171,'Formula counts'!$D$9:$M$234,10,FALSE)</f>
        <v>0.12190711056309084</v>
      </c>
      <c r="I171" s="47">
        <f>VLOOKUP($C171,'Final SEA Counts'!$A$2:$F$709,5,FALSE)</f>
        <v>30855</v>
      </c>
      <c r="J171" s="47">
        <f>VLOOKUP($C171,'Final SEA Counts'!$A$2:$F$709,6,FALSE)</f>
        <v>9054</v>
      </c>
      <c r="K171" s="24">
        <f t="shared" si="278"/>
        <v>44119.45993472483</v>
      </c>
      <c r="L171" s="24">
        <f t="shared" si="279"/>
        <v>5210.9920824597102</v>
      </c>
      <c r="M171" s="4">
        <f t="shared" si="280"/>
        <v>0.11811096713716404</v>
      </c>
      <c r="N171" s="31">
        <f>IFERROR(VLOOKUP($B171,Allocation!$D$10:$O$235,8,FALSE),"")</f>
        <v>2798349.7868632902</v>
      </c>
      <c r="O171" s="31">
        <f>IFERROR(VLOOKUP($B171,Allocation!$D$10:$O$235,9,FALSE),"")</f>
        <v>0</v>
      </c>
      <c r="P171" s="31">
        <f>IFERROR(VLOOKUP($B171,Allocation!$D$10:$O$235,10,FALSE),"")</f>
        <v>1473693.349952037</v>
      </c>
      <c r="Q171" s="31">
        <f>IFERROR(VLOOKUP($B171,Allocation!$D$10:$O$235,11,FALSE),"")</f>
        <v>1243255.7902274735</v>
      </c>
      <c r="R171" s="31">
        <f>IFERROR(VLOOKUP($B171,Allocation!$D$10:$O$235,12,FALSE),"")</f>
        <v>5515298.9270428009</v>
      </c>
      <c r="S171" s="31">
        <f t="shared" si="281"/>
        <v>2461432.1752360482</v>
      </c>
      <c r="T171" s="31" t="str">
        <f t="shared" si="282"/>
        <v/>
      </c>
      <c r="U171" s="31">
        <f t="shared" si="283"/>
        <v>1296587.7722968322</v>
      </c>
      <c r="V171" s="31">
        <f t="shared" si="284"/>
        <v>1094491.1743549788</v>
      </c>
      <c r="W171" s="31">
        <f t="shared" si="285"/>
        <v>2461432.1752360482</v>
      </c>
      <c r="X171" s="31" t="str">
        <f t="shared" si="286"/>
        <v/>
      </c>
      <c r="Y171" s="31">
        <f t="shared" si="287"/>
        <v>1296587.7722968322</v>
      </c>
      <c r="Z171" s="31">
        <f t="shared" si="288"/>
        <v>1094491.1743549788</v>
      </c>
      <c r="AA171" s="31">
        <f t="shared" si="289"/>
        <v>2461456.9249785291</v>
      </c>
      <c r="AB171" s="31" t="str">
        <f t="shared" si="290"/>
        <v/>
      </c>
      <c r="AC171" s="31">
        <f t="shared" si="291"/>
        <v>1296627.6408664323</v>
      </c>
      <c r="AD171" s="31">
        <f t="shared" si="292"/>
        <v>1094528.2661902304</v>
      </c>
      <c r="AE171" s="31">
        <f t="shared" si="293"/>
        <v>4852612.8320351914</v>
      </c>
      <c r="AF171" s="31">
        <f>IFERROR(VLOOKUP(A171,'Allocations By Type'!$D$7:$F$491,3,FALSE),"")</f>
        <v>4460002.5999999996</v>
      </c>
      <c r="AG171" s="31">
        <f t="shared" si="294"/>
        <v>194104.51328140765</v>
      </c>
      <c r="AH171" s="31">
        <f t="shared" si="295"/>
        <v>194104.51328140765</v>
      </c>
      <c r="AI171" s="31">
        <f t="shared" si="296"/>
        <v>4658508.3187537836</v>
      </c>
      <c r="AJ171" s="31">
        <f>AI171/$AI$577*'State Admin 1004(b)'!$B$30*0.01</f>
        <v>44332.691096426708</v>
      </c>
      <c r="AK171" s="31">
        <f t="shared" si="297"/>
        <v>4614175.6276573567</v>
      </c>
      <c r="AL171" s="31">
        <f t="shared" si="298"/>
        <v>46141.756276573571</v>
      </c>
      <c r="AM171" s="31">
        <f t="shared" si="299"/>
        <v>4568033.8713807827</v>
      </c>
      <c r="AP171" s="31"/>
      <c r="AQ171" s="4">
        <f t="shared" si="264"/>
        <v>1.0242222440365356</v>
      </c>
      <c r="AR171" s="4">
        <f>VLOOKUP(B171,Allocation!$D$10:$P$235,13,FALSE)</f>
        <v>1.0434268296311324</v>
      </c>
      <c r="AS171" s="4">
        <f t="shared" si="265"/>
        <v>0.85</v>
      </c>
      <c r="AT171" s="4" t="str">
        <f t="shared" si="300"/>
        <v/>
      </c>
      <c r="AU171" s="31" t="str">
        <f t="shared" si="301"/>
        <v/>
      </c>
      <c r="AV171" s="31" t="str">
        <f t="shared" si="302"/>
        <v/>
      </c>
      <c r="AW171" s="31">
        <f t="shared" si="303"/>
        <v>4553388.5861131772</v>
      </c>
      <c r="AX171" s="4">
        <f t="shared" si="304"/>
        <v>1.0209385497024548</v>
      </c>
      <c r="AY171" s="4" t="str">
        <f t="shared" si="305"/>
        <v/>
      </c>
      <c r="AZ171" s="174" t="str">
        <f>IFERROR(IF(VLOOKUP(A171,#REF!,11,FALSE)=0,"",VLOOKUP(A171,#REF!,11,FALSE)),"")</f>
        <v/>
      </c>
      <c r="BA171" s="31" t="str">
        <f t="shared" si="272"/>
        <v/>
      </c>
      <c r="BB171" s="31">
        <f t="shared" si="273"/>
        <v>4553388.5861131772</v>
      </c>
      <c r="BD171" s="31">
        <f>IFERROR(VLOOKUP(A171,'Title II Hold Harmless'!A$1:B$439,2, FALSE),"")</f>
        <v>468680</v>
      </c>
      <c r="BE171" s="31">
        <f t="shared" si="306"/>
        <v>572402.72072663018</v>
      </c>
      <c r="BF171" s="31">
        <f t="shared" si="307"/>
        <v>572956.55451570381</v>
      </c>
      <c r="BG171" s="31" t="str">
        <f t="shared" si="276"/>
        <v/>
      </c>
      <c r="BH171" s="31">
        <f t="shared" si="277"/>
        <v>572956.55451570381</v>
      </c>
    </row>
    <row r="172" spans="1:60" x14ac:dyDescent="0.3">
      <c r="A172" s="1">
        <v>70204000</v>
      </c>
      <c r="B172">
        <f>VLOOKUP(C172,'NCES ID'!$A$2:$B$3136,2,FALSE)</f>
        <v>404970</v>
      </c>
      <c r="C172">
        <f>VLOOKUP(A172,'State ID'!$A$2:$B$713,2,FALSE)</f>
        <v>4235</v>
      </c>
      <c r="D172" s="147" t="s">
        <v>282</v>
      </c>
      <c r="E172" t="s">
        <v>7</v>
      </c>
      <c r="F172" s="47">
        <f>VLOOKUP(B172,'Formula counts'!$D$9:$L$234,9,FALSE)</f>
        <v>82498</v>
      </c>
      <c r="G172" s="47">
        <f>VLOOKUP(B172,'Formula counts'!$D$9:$K$234,8,FALSE)</f>
        <v>20917</v>
      </c>
      <c r="H172" s="4">
        <f>VLOOKUP(B172,'Formula counts'!$D$9:$M$234,10,FALSE)</f>
        <v>0.25354554049795147</v>
      </c>
      <c r="I172" s="47">
        <f>VLOOKUP($C172,'Final SEA Counts'!$A$2:$F$709,5,FALSE)</f>
        <v>59855</v>
      </c>
      <c r="J172" s="47">
        <f>VLOOKUP($C172,'Final SEA Counts'!$A$2:$F$709,6,FALSE)</f>
        <v>36204</v>
      </c>
      <c r="K172" s="24">
        <f t="shared" si="278"/>
        <v>74799.983676426826</v>
      </c>
      <c r="L172" s="24">
        <f t="shared" si="279"/>
        <v>18374.632735807445</v>
      </c>
      <c r="M172" s="4">
        <f t="shared" si="280"/>
        <v>0.24565022387295254</v>
      </c>
      <c r="N172" s="31">
        <f>IFERROR(VLOOKUP($B172,Allocation!$D$10:$O$235,8,FALSE),"")</f>
        <v>9867343.6432601903</v>
      </c>
      <c r="O172" s="31">
        <f>IFERROR(VLOOKUP($B172,Allocation!$D$10:$O$235,9,FALSE),"")</f>
        <v>2340049.3317530584</v>
      </c>
      <c r="P172" s="31">
        <f>IFERROR(VLOOKUP($B172,Allocation!$D$10:$O$235,10,FALSE),"")</f>
        <v>6652439.7618219992</v>
      </c>
      <c r="Q172" s="31">
        <f>IFERROR(VLOOKUP($B172,Allocation!$D$10:$O$235,11,FALSE),"")</f>
        <v>6567700.7890561568</v>
      </c>
      <c r="R172" s="31">
        <f>IFERROR(VLOOKUP($B172,Allocation!$D$10:$O$235,12,FALSE),"")</f>
        <v>25427533.525891405</v>
      </c>
      <c r="S172" s="31">
        <f t="shared" si="281"/>
        <v>8679328.524850376</v>
      </c>
      <c r="T172" s="31">
        <f t="shared" si="282"/>
        <v>2059337.2154679452</v>
      </c>
      <c r="U172" s="31">
        <f t="shared" si="283"/>
        <v>5852962.5932018897</v>
      </c>
      <c r="V172" s="31">
        <f t="shared" si="284"/>
        <v>5781827.5257024793</v>
      </c>
      <c r="W172" s="31">
        <f t="shared" si="285"/>
        <v>8679328.524850376</v>
      </c>
      <c r="X172" s="31">
        <f t="shared" si="286"/>
        <v>2059337.2154679452</v>
      </c>
      <c r="Y172" s="31">
        <f t="shared" si="287"/>
        <v>5852962.5932018897</v>
      </c>
      <c r="Z172" s="31">
        <f t="shared" si="288"/>
        <v>5781827.5257024793</v>
      </c>
      <c r="AA172" s="31">
        <f t="shared" si="289"/>
        <v>8679353.2745928578</v>
      </c>
      <c r="AB172" s="31">
        <f t="shared" si="290"/>
        <v>2059924.4822429749</v>
      </c>
      <c r="AC172" s="31">
        <f t="shared" si="291"/>
        <v>5853002.4617714901</v>
      </c>
      <c r="AD172" s="31">
        <f t="shared" si="292"/>
        <v>5781864.6175377313</v>
      </c>
      <c r="AE172" s="31">
        <f t="shared" si="293"/>
        <v>22374144.836145055</v>
      </c>
      <c r="AF172" s="31">
        <f>IFERROR(VLOOKUP(A172,'Allocations By Type'!$D$7:$F$491,3,FALSE),"")</f>
        <v>20461947.420000002</v>
      </c>
      <c r="AG172" s="31">
        <f t="shared" si="294"/>
        <v>894965.79344580218</v>
      </c>
      <c r="AH172" s="31">
        <f t="shared" si="295"/>
        <v>894965.79344580218</v>
      </c>
      <c r="AI172" s="31">
        <f t="shared" si="296"/>
        <v>21479179.042699251</v>
      </c>
      <c r="AJ172" s="31">
        <f>AI172/$AI$577*'State Admin 1004(b)'!$B$30*0.01</f>
        <v>204406.59205682456</v>
      </c>
      <c r="AK172" s="31">
        <f t="shared" si="297"/>
        <v>21274772.450642426</v>
      </c>
      <c r="AL172" s="31">
        <f t="shared" si="298"/>
        <v>212747.72450642427</v>
      </c>
      <c r="AM172" s="31">
        <f t="shared" si="299"/>
        <v>21062024.726136003</v>
      </c>
      <c r="AP172" s="31"/>
      <c r="AQ172" s="4">
        <f t="shared" si="264"/>
        <v>1.0293265002503853</v>
      </c>
      <c r="AR172" s="4">
        <f>VLOOKUP(B172,Allocation!$D$10:$P$235,13,FALSE)</f>
        <v>1.0489091582231551</v>
      </c>
      <c r="AS172" s="4">
        <f t="shared" si="265"/>
        <v>0.9</v>
      </c>
      <c r="AT172" s="4" t="str">
        <f t="shared" si="300"/>
        <v/>
      </c>
      <c r="AU172" s="31" t="str">
        <f t="shared" si="301"/>
        <v/>
      </c>
      <c r="AV172" s="31" t="str">
        <f t="shared" si="302"/>
        <v/>
      </c>
      <c r="AW172" s="31">
        <f t="shared" si="303"/>
        <v>20994499.097142715</v>
      </c>
      <c r="AX172" s="4">
        <f t="shared" si="304"/>
        <v>1.0260264414824067</v>
      </c>
      <c r="AY172" s="4" t="str">
        <f t="shared" si="305"/>
        <v/>
      </c>
      <c r="AZ172" s="174" t="str">
        <f>IFERROR(IF(VLOOKUP(A172,#REF!,11,FALSE)=0,"",VLOOKUP(A172,#REF!,11,FALSE)),"")</f>
        <v/>
      </c>
      <c r="BA172" s="31" t="str">
        <f t="shared" si="272"/>
        <v/>
      </c>
      <c r="BB172" s="31">
        <f t="shared" si="273"/>
        <v>20994499.097142715</v>
      </c>
      <c r="BD172" s="31">
        <f>IFERROR(VLOOKUP(A172,'Title II Hold Harmless'!A$1:B$439,2, FALSE),"")</f>
        <v>1953065</v>
      </c>
      <c r="BE172" s="31">
        <f t="shared" si="306"/>
        <v>2253800.3112662705</v>
      </c>
      <c r="BF172" s="31">
        <f t="shared" si="307"/>
        <v>2255980.9975575926</v>
      </c>
      <c r="BG172" s="31" t="str">
        <f t="shared" si="276"/>
        <v/>
      </c>
      <c r="BH172" s="31">
        <f t="shared" si="277"/>
        <v>2255980.9975575926</v>
      </c>
    </row>
    <row r="173" spans="1:60" x14ac:dyDescent="0.3">
      <c r="A173" s="1">
        <v>70386000</v>
      </c>
      <c r="B173">
        <f>VLOOKUP(C173,'NCES ID'!$A$2:$B$3136,2,FALSE)</f>
        <v>405100</v>
      </c>
      <c r="C173">
        <f>VLOOKUP(A173,'State ID'!$A$2:$B$713,2,FALSE)</f>
        <v>4253</v>
      </c>
      <c r="D173" s="147" t="s">
        <v>499</v>
      </c>
      <c r="E173" t="s">
        <v>7</v>
      </c>
      <c r="F173" s="47">
        <f>VLOOKUP(B173,'Formula counts'!$D$9:$L$234,9,FALSE)</f>
        <v>25</v>
      </c>
      <c r="G173" s="47">
        <f>VLOOKUP(B173,'Formula counts'!$D$9:$K$234,8,FALSE)</f>
        <v>2</v>
      </c>
      <c r="H173" s="4">
        <f>VLOOKUP(B173,'Formula counts'!$D$9:$M$234,10,FALSE)</f>
        <v>0.08</v>
      </c>
      <c r="I173" s="47">
        <f>VLOOKUP($C173,'Final SEA Counts'!$A$2:$F$709,5,FALSE)</f>
        <v>15</v>
      </c>
      <c r="J173" s="47">
        <f>VLOOKUP($C173,'Final SEA Counts'!$A$2:$F$709,6,FALSE)</f>
        <v>14</v>
      </c>
      <c r="K173" s="24">
        <f t="shared" si="278"/>
        <v>22.66721122828033</v>
      </c>
      <c r="L173" s="24">
        <f t="shared" si="279"/>
        <v>1.7569089961091406</v>
      </c>
      <c r="M173" s="4">
        <f t="shared" si="280"/>
        <v>7.7508828872480146E-2</v>
      </c>
      <c r="N173" s="31">
        <f>IFERROR(VLOOKUP($B173,Allocation!$D$10:$O$235,8,FALSE),"")</f>
        <v>0</v>
      </c>
      <c r="O173" s="31">
        <f>IFERROR(VLOOKUP($B173,Allocation!$D$10:$O$235,9,FALSE),"")</f>
        <v>1068.4014810765896</v>
      </c>
      <c r="P173" s="31">
        <f>IFERROR(VLOOKUP($B173,Allocation!$D$10:$O$235,10,FALSE),"")</f>
        <v>0</v>
      </c>
      <c r="Q173" s="31">
        <f>IFERROR(VLOOKUP($B173,Allocation!$D$10:$O$235,11,FALSE),"")</f>
        <v>0</v>
      </c>
      <c r="R173" s="31">
        <f>IFERROR(VLOOKUP($B173,Allocation!$D$10:$O$235,12,FALSE),"")</f>
        <v>1068.4014810765896</v>
      </c>
      <c r="S173" s="31" t="str">
        <f t="shared" si="281"/>
        <v/>
      </c>
      <c r="T173" s="31">
        <f t="shared" si="282"/>
        <v>940.23613142967531</v>
      </c>
      <c r="U173" s="31" t="str">
        <f t="shared" si="283"/>
        <v/>
      </c>
      <c r="V173" s="31" t="str">
        <f t="shared" si="284"/>
        <v/>
      </c>
      <c r="W173" s="31" t="str">
        <f t="shared" si="285"/>
        <v/>
      </c>
      <c r="X173" s="31">
        <f t="shared" si="286"/>
        <v>940.23613142967531</v>
      </c>
      <c r="Y173" s="31" t="str">
        <f t="shared" si="287"/>
        <v/>
      </c>
      <c r="Z173" s="31" t="str">
        <f t="shared" si="288"/>
        <v/>
      </c>
      <c r="AA173" s="31" t="str">
        <f t="shared" si="289"/>
        <v/>
      </c>
      <c r="AB173" s="31">
        <f t="shared" si="290"/>
        <v>1527.5029064593234</v>
      </c>
      <c r="AC173" s="31" t="str">
        <f t="shared" si="291"/>
        <v/>
      </c>
      <c r="AD173" s="31" t="str">
        <f t="shared" si="292"/>
        <v/>
      </c>
      <c r="AE173" s="31">
        <f t="shared" si="293"/>
        <v>1527.5029064593234</v>
      </c>
      <c r="AF173" s="31">
        <f>IFERROR(VLOOKUP(A173,'Allocations By Type'!$D$7:$F$491,3,FALSE),"")</f>
        <v>1421.49</v>
      </c>
      <c r="AG173" s="31">
        <f t="shared" si="294"/>
        <v>61.100116258372935</v>
      </c>
      <c r="AH173" s="31">
        <f t="shared" si="295"/>
        <v>61.100116258372935</v>
      </c>
      <c r="AI173" s="31">
        <f t="shared" si="296"/>
        <v>1466.4027902009504</v>
      </c>
      <c r="AJ173" s="31">
        <f>AI173/$AI$577*'State Admin 1004(b)'!$B$30*0.01</f>
        <v>13.955021108196268</v>
      </c>
      <c r="AK173" s="31">
        <f t="shared" si="297"/>
        <v>1452.4477690927542</v>
      </c>
      <c r="AL173" s="31">
        <f t="shared" si="298"/>
        <v>14.524477690927542</v>
      </c>
      <c r="AM173" s="31">
        <f t="shared" si="299"/>
        <v>1437.9232914018266</v>
      </c>
      <c r="AP173" s="31"/>
      <c r="AQ173" s="4">
        <f t="shared" si="264"/>
        <v>1.0115606099246752</v>
      </c>
      <c r="AR173" s="4">
        <f>VLOOKUP(B173,Allocation!$D$10:$P$235,13,FALSE)</f>
        <v>0.85000000000000009</v>
      </c>
      <c r="AS173" s="4">
        <f t="shared" si="265"/>
        <v>0.85</v>
      </c>
      <c r="AT173" s="4" t="str">
        <f t="shared" si="300"/>
        <v/>
      </c>
      <c r="AU173" s="31" t="str">
        <f t="shared" si="301"/>
        <v/>
      </c>
      <c r="AV173" s="31" t="str">
        <f t="shared" si="302"/>
        <v/>
      </c>
      <c r="AW173" s="31">
        <f t="shared" si="303"/>
        <v>1433.3132562338631</v>
      </c>
      <c r="AX173" s="4">
        <f t="shared" si="304"/>
        <v>1.0083175092570915</v>
      </c>
      <c r="AY173" s="4" t="str">
        <f t="shared" si="305"/>
        <v/>
      </c>
      <c r="AZ173" s="174" t="str">
        <f>IFERROR(IF(VLOOKUP(A173,#REF!,11,FALSE)=0,"",VLOOKUP(A173,#REF!,11,FALSE)),"")</f>
        <v/>
      </c>
      <c r="BA173" s="31" t="str">
        <f t="shared" si="272"/>
        <v/>
      </c>
      <c r="BB173" s="31">
        <f t="shared" si="273"/>
        <v>1433.3132562338631</v>
      </c>
      <c r="BD173" s="31">
        <f>IFERROR(VLOOKUP(A173,'Title II Hold Harmless'!A$1:B$439,2, FALSE),"")</f>
        <v>1120</v>
      </c>
      <c r="BE173" s="31">
        <f t="shared" si="306"/>
        <v>1161.2416856204093</v>
      </c>
      <c r="BF173" s="31">
        <f t="shared" si="307"/>
        <v>1162.365256245582</v>
      </c>
      <c r="BG173" s="31" t="str">
        <f t="shared" si="276"/>
        <v/>
      </c>
      <c r="BH173" s="31">
        <f t="shared" si="277"/>
        <v>1162.365256245582</v>
      </c>
    </row>
    <row r="174" spans="1:60" x14ac:dyDescent="0.3">
      <c r="A174" s="1">
        <v>70371000</v>
      </c>
      <c r="B174">
        <f>VLOOKUP(C174,'NCES ID'!$A$2:$B$3136,2,FALSE)</f>
        <v>407680</v>
      </c>
      <c r="C174">
        <f>VLOOKUP(A174,'State ID'!$A$2:$B$713,2,FALSE)</f>
        <v>4250</v>
      </c>
      <c r="D174" s="147" t="s">
        <v>476</v>
      </c>
      <c r="E174" t="s">
        <v>7</v>
      </c>
      <c r="F174" s="47">
        <f>VLOOKUP(B174,'Formula counts'!$D$9:$L$234,9,FALSE)</f>
        <v>26</v>
      </c>
      <c r="G174" s="47">
        <f>VLOOKUP(B174,'Formula counts'!$D$9:$K$234,8,FALSE)</f>
        <v>7</v>
      </c>
      <c r="H174" s="4">
        <f>VLOOKUP(B174,'Formula counts'!$D$9:$M$234,10,FALSE)</f>
        <v>0.26923076923076922</v>
      </c>
      <c r="I174" s="47">
        <f>VLOOKUP($C174,'Final SEA Counts'!$A$2:$F$709,5,FALSE)</f>
        <v>39</v>
      </c>
      <c r="J174" s="47">
        <f>VLOOKUP($C174,'Final SEA Counts'!$A$2:$F$709,6,FALSE)</f>
        <v>30</v>
      </c>
      <c r="K174" s="24">
        <f t="shared" si="278"/>
        <v>23.573899677411543</v>
      </c>
      <c r="L174" s="24">
        <f t="shared" si="279"/>
        <v>6.1491814863819911</v>
      </c>
      <c r="M174" s="4">
        <f t="shared" si="280"/>
        <v>0.26084702024392353</v>
      </c>
      <c r="N174" s="31">
        <f>IFERROR(VLOOKUP($B174,Allocation!$D$10:$O$235,8,FALSE),"")</f>
        <v>0</v>
      </c>
      <c r="O174" s="31">
        <f>IFERROR(VLOOKUP($B174,Allocation!$D$10:$O$235,9,FALSE),"")</f>
        <v>0</v>
      </c>
      <c r="P174" s="31">
        <f>IFERROR(VLOOKUP($B174,Allocation!$D$10:$O$235,10,FALSE),"")</f>
        <v>0</v>
      </c>
      <c r="Q174" s="31">
        <f>IFERROR(VLOOKUP($B174,Allocation!$D$10:$O$235,11,FALSE),"")</f>
        <v>0</v>
      </c>
      <c r="R174" s="31">
        <f>IFERROR(VLOOKUP($B174,Allocation!$D$10:$O$235,12,FALSE),"")</f>
        <v>0</v>
      </c>
      <c r="S174" s="31" t="str">
        <f t="shared" si="281"/>
        <v/>
      </c>
      <c r="T174" s="31" t="str">
        <f t="shared" si="282"/>
        <v/>
      </c>
      <c r="U174" s="31" t="str">
        <f t="shared" si="283"/>
        <v/>
      </c>
      <c r="V174" s="31" t="str">
        <f t="shared" si="284"/>
        <v/>
      </c>
      <c r="W174" s="31" t="str">
        <f t="shared" si="285"/>
        <v/>
      </c>
      <c r="X174" s="31" t="str">
        <f t="shared" si="286"/>
        <v/>
      </c>
      <c r="Y174" s="31" t="str">
        <f t="shared" si="287"/>
        <v/>
      </c>
      <c r="Z174" s="31" t="str">
        <f t="shared" si="288"/>
        <v/>
      </c>
      <c r="AA174" s="31" t="str">
        <f t="shared" si="289"/>
        <v/>
      </c>
      <c r="AB174" s="31" t="str">
        <f t="shared" si="290"/>
        <v/>
      </c>
      <c r="AC174" s="31" t="str">
        <f t="shared" si="291"/>
        <v/>
      </c>
      <c r="AD174" s="31" t="str">
        <f t="shared" si="292"/>
        <v/>
      </c>
      <c r="AE174" s="31">
        <f t="shared" si="293"/>
        <v>0</v>
      </c>
      <c r="AF174" s="31">
        <f>IFERROR(VLOOKUP(A174,'Allocations By Type'!$D$7:$F$491,3,FALSE),"")</f>
        <v>1984.15</v>
      </c>
      <c r="AG174" s="31" t="str">
        <f t="shared" si="294"/>
        <v/>
      </c>
      <c r="AH174" s="31" t="str">
        <f t="shared" si="295"/>
        <v/>
      </c>
      <c r="AI174" s="31">
        <f t="shared" si="296"/>
        <v>0</v>
      </c>
      <c r="AJ174" s="31">
        <f>AI174/$AI$577*'State Admin 1004(b)'!$B$30*0.01</f>
        <v>0</v>
      </c>
      <c r="AK174" s="31">
        <f t="shared" si="297"/>
        <v>0</v>
      </c>
      <c r="AL174" s="31">
        <f t="shared" si="298"/>
        <v>0</v>
      </c>
      <c r="AM174" s="31">
        <f t="shared" si="299"/>
        <v>0</v>
      </c>
      <c r="AP174" s="31"/>
      <c r="AQ174" s="4">
        <f t="shared" si="264"/>
        <v>0</v>
      </c>
      <c r="AR174" s="4">
        <f>VLOOKUP(B174,Allocation!$D$10:$P$235,13,FALSE)</f>
        <v>0</v>
      </c>
      <c r="AS174" s="4">
        <f t="shared" si="265"/>
        <v>0.9</v>
      </c>
      <c r="AU174" s="31" t="str">
        <f t="shared" si="301"/>
        <v/>
      </c>
      <c r="AV174" s="31" t="str">
        <f t="shared" si="302"/>
        <v/>
      </c>
      <c r="AY174" s="4"/>
      <c r="AZ174" s="174" t="str">
        <f>IFERROR(IF(VLOOKUP(A174,#REF!,11,FALSE)=0,"",VLOOKUP(A174,#REF!,11,FALSE)),"")</f>
        <v/>
      </c>
      <c r="BA174" s="31" t="str">
        <f t="shared" si="272"/>
        <v/>
      </c>
      <c r="BB174" s="31">
        <f t="shared" si="273"/>
        <v>0</v>
      </c>
      <c r="BD174" s="31">
        <f>IFERROR(VLOOKUP(A174,'Title II Hold Harmless'!A$1:B$439,2, FALSE),"")</f>
        <v>2051</v>
      </c>
      <c r="BE174" s="31">
        <f t="shared" si="306"/>
        <v>2150.4691908583495</v>
      </c>
      <c r="BF174" s="31">
        <f t="shared" si="307"/>
        <v>2152.5498981246383</v>
      </c>
      <c r="BG174" s="31" t="str">
        <f t="shared" si="276"/>
        <v/>
      </c>
      <c r="BH174" s="31">
        <f t="shared" si="277"/>
        <v>2152.5498981246383</v>
      </c>
    </row>
    <row r="175" spans="1:60" x14ac:dyDescent="0.3">
      <c r="A175" s="1"/>
      <c r="B175">
        <v>481013</v>
      </c>
      <c r="D175" s="147" t="s">
        <v>883</v>
      </c>
      <c r="E175" t="s">
        <v>7</v>
      </c>
      <c r="F175" s="47">
        <f>VLOOKUP(B175,'Formula counts'!$D$9:$L$234,9,FALSE)</f>
        <v>1497</v>
      </c>
      <c r="G175" s="47">
        <f>VLOOKUP(B175,'Formula counts'!$D$9:$K$234,8,FALSE)</f>
        <v>356</v>
      </c>
      <c r="H175" s="4">
        <f>VLOOKUP(B175,'Formula counts'!$D$9:$M$234,10,FALSE)</f>
        <v>0.23780895123580495</v>
      </c>
      <c r="N175" s="31">
        <f>IFERROR(VLOOKUP($B175,Allocation!$D$10:$O$235,8,FALSE),"")</f>
        <v>282261.30454262882</v>
      </c>
      <c r="O175" s="31">
        <f>IFERROR(VLOOKUP($B175,Allocation!$D$10:$O$235,9,FALSE),"")</f>
        <v>66884.43811855992</v>
      </c>
      <c r="P175" s="31">
        <f>IFERROR(VLOOKUP($B175,Allocation!$D$10:$O$235,10,FALSE),"")</f>
        <v>177019.96705935581</v>
      </c>
      <c r="Q175" s="31">
        <f>IFERROR(VLOOKUP($B175,Allocation!$D$10:$O$235,11,FALSE),"")</f>
        <v>191886.47853914564</v>
      </c>
      <c r="R175" s="31">
        <f>IFERROR(VLOOKUP($B175,Allocation!$D$10:$O$235,12,FALSE),"")</f>
        <v>718052.18825969019</v>
      </c>
      <c r="AF175" s="31" t="str">
        <f>IFERROR(VLOOKUP(A175,'Allocations By Type'!$D$7:$F$491,3,FALSE),"")</f>
        <v/>
      </c>
      <c r="AQ175" s="4" t="str">
        <f t="shared" si="264"/>
        <v/>
      </c>
      <c r="AZ175" s="174" t="str">
        <f>IFERROR(IF(VLOOKUP(A175,#REF!,11,FALSE)=0,"",VLOOKUP(A175,#REF!,11,FALSE)),"")</f>
        <v/>
      </c>
      <c r="BA175" s="31" t="str">
        <f t="shared" si="272"/>
        <v/>
      </c>
      <c r="BB175" s="31">
        <f t="shared" si="273"/>
        <v>0</v>
      </c>
      <c r="BD175" s="31" t="str">
        <f>IFERROR(VLOOKUP(A175,'Title II Hold Harmless'!A$1:B$439,2, FALSE),"")</f>
        <v/>
      </c>
      <c r="BE175" s="31">
        <f t="shared" si="306"/>
        <v>0</v>
      </c>
      <c r="BF175" s="31">
        <f t="shared" si="307"/>
        <v>0</v>
      </c>
      <c r="BG175" s="31" t="str">
        <f t="shared" si="276"/>
        <v/>
      </c>
      <c r="BH175" s="31">
        <f t="shared" si="277"/>
        <v>0</v>
      </c>
    </row>
    <row r="176" spans="1:60" x14ac:dyDescent="0.3">
      <c r="A176" s="1">
        <v>78604000</v>
      </c>
      <c r="B176">
        <f>VLOOKUP(C176,'NCES ID'!$A$2:$B$3136,2,FALSE)</f>
        <v>400128</v>
      </c>
      <c r="C176">
        <f>VLOOKUP(A176,'State ID'!$A$2:$B$713,2,FALSE)</f>
        <v>4296</v>
      </c>
      <c r="D176" s="147" t="s">
        <v>6</v>
      </c>
      <c r="E176" t="s">
        <v>7</v>
      </c>
      <c r="I176" s="47">
        <f>VLOOKUP($C176,'Final SEA Counts'!$A$2:$F$709,5,FALSE)</f>
        <v>115</v>
      </c>
      <c r="J176" s="47">
        <f>VLOOKUP($C176,'Final SEA Counts'!$A$2:$F$709,6,FALSE)</f>
        <v>115</v>
      </c>
      <c r="K176" s="24">
        <f t="shared" ref="K176:K207" si="308">I176</f>
        <v>115</v>
      </c>
      <c r="L176" s="24">
        <f t="shared" ref="L176:L197" si="309">J176*$B$356</f>
        <v>56.826235936587622</v>
      </c>
      <c r="M176" s="4">
        <f t="shared" ref="M176:M207" si="310">L176/K176</f>
        <v>0.49414118205728369</v>
      </c>
      <c r="N176" s="31" t="str">
        <f>IFERROR(VLOOKUP($B176,#REF!,8,FALSE),"")</f>
        <v/>
      </c>
      <c r="O176" s="31" t="str">
        <f>IFERROR(VLOOKUP($B176,#REF!,9,FALSE),"")</f>
        <v/>
      </c>
      <c r="P176" s="31" t="str">
        <f>IFERROR(VLOOKUP($B176,#REF!,10,FALSE),"")</f>
        <v/>
      </c>
      <c r="Q176" s="31" t="str">
        <f>IFERROR(VLOOKUP($B176,#REF!,11,FALSE),"")</f>
        <v/>
      </c>
      <c r="R176" s="31" t="str">
        <f>IFERROR(VLOOKUP($B176,#REF!,12,FALSE),"")</f>
        <v/>
      </c>
      <c r="S176" s="31">
        <f t="shared" ref="S176:S197" si="311">$L176*N$357</f>
        <v>27394.871208697044</v>
      </c>
      <c r="T176" s="31">
        <f t="shared" ref="T176:T197" si="312">$L176*O$357</f>
        <v>5646.2459011574911</v>
      </c>
      <c r="U176" s="31">
        <f t="shared" ref="U176:U197" si="313">$L176*P$357</f>
        <v>15977.631301855283</v>
      </c>
      <c r="V176" s="31">
        <f t="shared" ref="V176:V197" si="314">$L176*Q$357</f>
        <v>14864.833975849915</v>
      </c>
      <c r="W176" s="31">
        <f t="shared" ref="W176:W207" si="315">IF(AND($L176&gt;9,$L176&gt;($K176*0.02)),S176,"")</f>
        <v>27394.871208697044</v>
      </c>
      <c r="X176" s="31">
        <f t="shared" ref="X176:X207" si="316">IF(W176="","",IF(OR($L176&gt;6500,$L176&gt;($K176*0.15)),T176,""))</f>
        <v>5646.2459011574911</v>
      </c>
      <c r="Y176" s="31">
        <f t="shared" ref="Y176:Y207" si="317">IF(AND($L176&gt;9,$L176&gt;($K176*0.05)),U176,"")</f>
        <v>15977.631301855283</v>
      </c>
      <c r="Z176" s="31">
        <f t="shared" ref="Z176:Z207" si="318">IF(AND($L176&gt;9,$L176&gt;($K176*0.05)),V176,"")</f>
        <v>14864.833975849915</v>
      </c>
      <c r="AA176" s="31">
        <f t="shared" ref="AA176:AA197" si="319">IF(W176="","",W176+W$357)</f>
        <v>27419.62095117808</v>
      </c>
      <c r="AB176" s="31">
        <f t="shared" ref="AB176:AB197" si="320">IF(X176="","",X176+X$357)</f>
        <v>6233.5126761871388</v>
      </c>
      <c r="AC176" s="31">
        <f t="shared" ref="AC176:AC197" si="321">IF(Y176="","",Y176+Y$357)</f>
        <v>16017.499871455379</v>
      </c>
      <c r="AD176" s="31">
        <f t="shared" ref="AD176:AD197" si="322">IF(Z176="","",Z176+Z$357)</f>
        <v>14901.925811101561</v>
      </c>
      <c r="AE176" s="31">
        <f t="shared" ref="AE176:AE207" si="323">SUM(AA176:AD176)</f>
        <v>64572.559309922159</v>
      </c>
      <c r="AF176" s="31">
        <f>IFERROR(VLOOKUP(A176,'Allocations By Type'!$D$7:$F$491,3,FALSE),"")</f>
        <v>67380.19</v>
      </c>
      <c r="AG176" s="31" t="str">
        <f t="shared" ref="AG176:AG207" si="324">IF(AE176&gt;AF176,AE176*0.04,"")</f>
        <v/>
      </c>
      <c r="AH176" s="31" t="str">
        <f t="shared" ref="AH176:AH205" si="325">IF(AG176="","",IF((AE176-AF176)&gt;AG176,AG176,AE176-AF176))</f>
        <v/>
      </c>
      <c r="AI176" s="31">
        <f t="shared" ref="AI176:AI207" si="326">IF(AH176="",AE176,AE176-AH176)</f>
        <v>64572.559309922159</v>
      </c>
      <c r="AJ176" s="31">
        <f>AI176/$AI$577*'State Admin 1004(b)'!$B$30*0.01</f>
        <v>614.50471466760791</v>
      </c>
      <c r="AK176" s="31">
        <f t="shared" ref="AK176:AK207" si="327">AI176-AJ176</f>
        <v>63958.054595254551</v>
      </c>
      <c r="AL176" s="31">
        <f t="shared" ref="AL176:AL207" si="328">AK176*0.01</f>
        <v>639.58054595254555</v>
      </c>
      <c r="AM176" s="31">
        <f t="shared" ref="AM176:AM207" si="329">AK176-AL176</f>
        <v>63318.474049302007</v>
      </c>
      <c r="AP176" s="31"/>
      <c r="AQ176" s="4">
        <f t="shared" ref="AQ176:AQ240" si="330">IFERROR(AM176/AF176,"")</f>
        <v>0.93971943458903873</v>
      </c>
      <c r="AW176" s="31">
        <f t="shared" ref="AW176:AW207" si="331">IF(AV176="",AM176-AM176/($AM$356-$AV$356+$AU$356)*$AU$356,AV176)</f>
        <v>63115.472683447158</v>
      </c>
      <c r="AX176" s="4">
        <f t="shared" ref="AX176:AX239" si="332">IFERROR(AW176/AF176,"")</f>
        <v>0.9367066593823371</v>
      </c>
      <c r="AZ176" s="174" t="str">
        <f>IFERROR(IF(VLOOKUP(A176,#REF!,11,FALSE)=0,"",VLOOKUP(A176,#REF!,11,FALSE)),"")</f>
        <v/>
      </c>
      <c r="BA176" s="31" t="str">
        <f t="shared" si="272"/>
        <v/>
      </c>
      <c r="BB176" s="31">
        <f t="shared" si="273"/>
        <v>63115.472683447158</v>
      </c>
      <c r="BD176" s="31">
        <f>IFERROR(VLOOKUP(A176,'Title II Hold Harmless'!A$1:B$439,2, FALSE),"")</f>
        <v>12874</v>
      </c>
      <c r="BE176" s="31">
        <f t="shared" si="306"/>
        <v>13710.445633634521</v>
      </c>
      <c r="BF176" s="31">
        <f t="shared" si="307"/>
        <v>13723.711307923289</v>
      </c>
      <c r="BG176" s="31" t="str">
        <f t="shared" si="276"/>
        <v/>
      </c>
      <c r="BH176" s="31">
        <f t="shared" si="277"/>
        <v>13723.711307923289</v>
      </c>
    </row>
    <row r="177" spans="1:60" x14ac:dyDescent="0.3">
      <c r="A177" s="1">
        <v>78794000</v>
      </c>
      <c r="B177">
        <f>VLOOKUP(C177,'NCES ID'!$A$2:$B$3136,2,FALSE)</f>
        <v>400276</v>
      </c>
      <c r="C177">
        <f>VLOOKUP(A177,'State ID'!$A$2:$B$713,2,FALSE)</f>
        <v>79213</v>
      </c>
      <c r="D177" s="147" t="s">
        <v>11</v>
      </c>
      <c r="E177" t="s">
        <v>7</v>
      </c>
      <c r="I177" s="47">
        <f>VLOOKUP($C177,'Final SEA Counts'!$A$2:$F$709,5,FALSE)</f>
        <v>52</v>
      </c>
      <c r="J177" s="47">
        <f>VLOOKUP($C177,'Final SEA Counts'!$A$2:$F$709,6,FALSE)</f>
        <v>41</v>
      </c>
      <c r="K177" s="24">
        <f t="shared" si="308"/>
        <v>52</v>
      </c>
      <c r="L177" s="24">
        <f t="shared" si="309"/>
        <v>20.259788464348631</v>
      </c>
      <c r="M177" s="4">
        <f t="shared" si="310"/>
        <v>0.38961131662208903</v>
      </c>
      <c r="N177" s="31" t="str">
        <f>IFERROR(VLOOKUP($B177,#REF!,8,FALSE),"")</f>
        <v/>
      </c>
      <c r="O177" s="31" t="str">
        <f>IFERROR(VLOOKUP($B177,#REF!,9,FALSE),"")</f>
        <v/>
      </c>
      <c r="P177" s="31" t="str">
        <f>IFERROR(VLOOKUP($B177,#REF!,10,FALSE),"")</f>
        <v/>
      </c>
      <c r="Q177" s="31" t="str">
        <f>IFERROR(VLOOKUP($B177,#REF!,11,FALSE),"")</f>
        <v/>
      </c>
      <c r="R177" s="31" t="str">
        <f>IFERROR(VLOOKUP($B177,#REF!,12,FALSE),"")</f>
        <v/>
      </c>
      <c r="S177" s="31">
        <f t="shared" si="311"/>
        <v>9766.8671265789453</v>
      </c>
      <c r="T177" s="31">
        <f t="shared" si="312"/>
        <v>2013.0094082387577</v>
      </c>
      <c r="U177" s="31">
        <f t="shared" si="313"/>
        <v>5696.3728989223182</v>
      </c>
      <c r="V177" s="31">
        <f t="shared" si="314"/>
        <v>5299.6364609551865</v>
      </c>
      <c r="W177" s="31">
        <f t="shared" si="315"/>
        <v>9766.8671265789453</v>
      </c>
      <c r="X177" s="31">
        <f t="shared" si="316"/>
        <v>2013.0094082387577</v>
      </c>
      <c r="Y177" s="31">
        <f t="shared" si="317"/>
        <v>5696.3728989223182</v>
      </c>
      <c r="Z177" s="31">
        <f t="shared" si="318"/>
        <v>5299.6364609551865</v>
      </c>
      <c r="AA177" s="31">
        <f t="shared" si="319"/>
        <v>9791.6168690599807</v>
      </c>
      <c r="AB177" s="31">
        <f t="shared" si="320"/>
        <v>2600.2761832684059</v>
      </c>
      <c r="AC177" s="31">
        <f t="shared" si="321"/>
        <v>5736.2414685224148</v>
      </c>
      <c r="AD177" s="31">
        <f t="shared" si="322"/>
        <v>5336.7282962068311</v>
      </c>
      <c r="AE177" s="31">
        <f t="shared" si="323"/>
        <v>23464.862817057634</v>
      </c>
      <c r="AF177" s="31">
        <f>IFERROR(VLOOKUP(A177,'Allocations By Type'!$D$7:$F$491,3,FALSE),"")</f>
        <v>35791.040000000001</v>
      </c>
      <c r="AG177" s="31" t="str">
        <f t="shared" si="324"/>
        <v/>
      </c>
      <c r="AH177" s="31" t="str">
        <f t="shared" si="325"/>
        <v/>
      </c>
      <c r="AI177" s="31">
        <f t="shared" si="326"/>
        <v>23464.862817057634</v>
      </c>
      <c r="AJ177" s="31">
        <f>AI177/$AI$577*'State Admin 1004(b)'!$B$30*0.01</f>
        <v>223.30335028078889</v>
      </c>
      <c r="AK177" s="31">
        <f t="shared" si="327"/>
        <v>23241.559466776846</v>
      </c>
      <c r="AL177" s="31">
        <f t="shared" si="328"/>
        <v>232.41559466776846</v>
      </c>
      <c r="AM177" s="31">
        <f t="shared" si="329"/>
        <v>23009.143872109078</v>
      </c>
      <c r="AP177" s="31"/>
      <c r="AQ177" s="4">
        <f t="shared" si="330"/>
        <v>0.64287441415809876</v>
      </c>
      <c r="AW177" s="31">
        <f t="shared" si="331"/>
        <v>22935.375707235871</v>
      </c>
      <c r="AX177" s="4">
        <f t="shared" si="332"/>
        <v>0.6408133350479861</v>
      </c>
      <c r="AZ177" s="174" t="str">
        <f>IFERROR(IF(VLOOKUP(A177,#REF!,11,FALSE)=0,"",VLOOKUP(A177,#REF!,11,FALSE)),"")</f>
        <v/>
      </c>
      <c r="BA177" s="31" t="str">
        <f t="shared" si="272"/>
        <v/>
      </c>
      <c r="BB177" s="31">
        <f t="shared" si="273"/>
        <v>22935.375707235871</v>
      </c>
      <c r="BD177" s="31">
        <f>IFERROR(VLOOKUP(A177,'Title II Hold Harmless'!A$1:B$439,2, FALSE),"")</f>
        <v>2822</v>
      </c>
      <c r="BE177" s="31">
        <f t="shared" si="306"/>
        <v>3129.0638485758473</v>
      </c>
      <c r="BF177" s="31">
        <f t="shared" si="307"/>
        <v>3132.0914045687859</v>
      </c>
      <c r="BG177" s="31" t="str">
        <f t="shared" si="276"/>
        <v/>
      </c>
      <c r="BH177" s="31">
        <f t="shared" si="277"/>
        <v>3132.0914045687859</v>
      </c>
    </row>
    <row r="178" spans="1:60" x14ac:dyDescent="0.3">
      <c r="A178" s="1">
        <v>78701000</v>
      </c>
      <c r="B178">
        <f>VLOOKUP(C178,'NCES ID'!$A$2:$B$3136,2,FALSE)</f>
        <v>400122</v>
      </c>
      <c r="C178">
        <f>VLOOKUP(A178,'State ID'!$A$2:$B$713,2,FALSE)</f>
        <v>4325</v>
      </c>
      <c r="D178" s="147" t="s">
        <v>13</v>
      </c>
      <c r="E178" t="s">
        <v>7</v>
      </c>
      <c r="I178" s="47">
        <f>VLOOKUP($C178,'Final SEA Counts'!$A$2:$F$709,5,FALSE)</f>
        <v>404</v>
      </c>
      <c r="J178" s="47">
        <f>VLOOKUP($C178,'Final SEA Counts'!$A$2:$F$709,6,FALSE)</f>
        <v>388</v>
      </c>
      <c r="K178" s="24">
        <f t="shared" si="308"/>
        <v>404</v>
      </c>
      <c r="L178" s="24">
        <f t="shared" si="309"/>
        <v>191.72677863822608</v>
      </c>
      <c r="M178" s="4">
        <f t="shared" si="310"/>
        <v>0.47457123425303482</v>
      </c>
      <c r="N178" s="31" t="str">
        <f>IFERROR(VLOOKUP($B178,#REF!,8,FALSE),"")</f>
        <v/>
      </c>
      <c r="O178" s="31" t="str">
        <f>IFERROR(VLOOKUP($B178,#REF!,9,FALSE),"")</f>
        <v/>
      </c>
      <c r="P178" s="31" t="str">
        <f>IFERROR(VLOOKUP($B178,#REF!,10,FALSE),"")</f>
        <v/>
      </c>
      <c r="Q178" s="31" t="str">
        <f>IFERROR(VLOOKUP($B178,#REF!,11,FALSE),"")</f>
        <v/>
      </c>
      <c r="R178" s="31" t="str">
        <f>IFERROR(VLOOKUP($B178,#REF!,12,FALSE),"")</f>
        <v/>
      </c>
      <c r="S178" s="31">
        <f t="shared" si="311"/>
        <v>92427.913295430029</v>
      </c>
      <c r="T178" s="31">
        <f t="shared" si="312"/>
        <v>19049.942692600929</v>
      </c>
      <c r="U178" s="31">
        <f t="shared" si="313"/>
        <v>53907.13865321609</v>
      </c>
      <c r="V178" s="31">
        <f t="shared" si="314"/>
        <v>50152.657240258843</v>
      </c>
      <c r="W178" s="31">
        <f t="shared" si="315"/>
        <v>92427.913295430029</v>
      </c>
      <c r="X178" s="31">
        <f t="shared" si="316"/>
        <v>19049.942692600929</v>
      </c>
      <c r="Y178" s="31">
        <f t="shared" si="317"/>
        <v>53907.13865321609</v>
      </c>
      <c r="Z178" s="31">
        <f t="shared" si="318"/>
        <v>50152.657240258843</v>
      </c>
      <c r="AA178" s="31">
        <f t="shared" si="319"/>
        <v>92452.663037911057</v>
      </c>
      <c r="AB178" s="31">
        <f t="shared" si="320"/>
        <v>19637.209467630579</v>
      </c>
      <c r="AC178" s="31">
        <f t="shared" si="321"/>
        <v>53947.007222816188</v>
      </c>
      <c r="AD178" s="31">
        <f t="shared" si="322"/>
        <v>50189.749075510488</v>
      </c>
      <c r="AE178" s="31">
        <f t="shared" si="323"/>
        <v>216226.62880386831</v>
      </c>
      <c r="AF178" s="31">
        <f>IFERROR(VLOOKUP(A178,'Allocations By Type'!$D$7:$F$491,3,FALSE),"")</f>
        <v>201424.16</v>
      </c>
      <c r="AG178" s="31">
        <f t="shared" si="324"/>
        <v>8649.0651521547334</v>
      </c>
      <c r="AH178" s="31">
        <f t="shared" si="325"/>
        <v>8649.0651521547334</v>
      </c>
      <c r="AI178" s="31">
        <f t="shared" si="326"/>
        <v>207577.56365171357</v>
      </c>
      <c r="AJ178" s="31">
        <f>AI178/$AI$577*'State Admin 1004(b)'!$B$30*0.01</f>
        <v>1975.4117366011405</v>
      </c>
      <c r="AK178" s="31">
        <f t="shared" si="327"/>
        <v>205602.15191511242</v>
      </c>
      <c r="AL178" s="31">
        <f t="shared" si="328"/>
        <v>2056.0215191511243</v>
      </c>
      <c r="AM178" s="31">
        <f t="shared" si="329"/>
        <v>203546.13039596129</v>
      </c>
      <c r="AP178" s="31"/>
      <c r="AQ178" s="4">
        <f t="shared" si="330"/>
        <v>1.0105348355230142</v>
      </c>
      <c r="AW178" s="31">
        <f t="shared" si="331"/>
        <v>202893.55398591267</v>
      </c>
      <c r="AX178" s="4">
        <f t="shared" si="332"/>
        <v>1.0072950235260392</v>
      </c>
      <c r="AZ178" s="174" t="str">
        <f>IFERROR(IF(VLOOKUP(A178,#REF!,11,FALSE)=0,"",VLOOKUP(A178,#REF!,11,FALSE)),"")</f>
        <v/>
      </c>
      <c r="BA178" s="31" t="str">
        <f t="shared" si="272"/>
        <v/>
      </c>
      <c r="BB178" s="31">
        <f t="shared" si="273"/>
        <v>202893.55398591267</v>
      </c>
      <c r="BD178" s="31">
        <f>IFERROR(VLOOKUP(A178,'Title II Hold Harmless'!A$1:B$439,2, FALSE),"")</f>
        <v>11857</v>
      </c>
      <c r="BE178" s="31">
        <f t="shared" si="306"/>
        <v>14691.971628511816</v>
      </c>
      <c r="BF178" s="31">
        <f t="shared" si="307"/>
        <v>14706.186987770856</v>
      </c>
      <c r="BG178" s="31" t="str">
        <f t="shared" si="276"/>
        <v/>
      </c>
      <c r="BH178" s="31">
        <f t="shared" si="277"/>
        <v>14706.186987770856</v>
      </c>
    </row>
    <row r="179" spans="1:60" x14ac:dyDescent="0.3">
      <c r="A179" s="1">
        <v>78793000</v>
      </c>
      <c r="B179">
        <f>VLOOKUP(C179,'NCES ID'!$A$2:$B$3136,2,FALSE)</f>
        <v>400274</v>
      </c>
      <c r="C179">
        <f>VLOOKUP(A179,'State ID'!$A$2:$B$713,2,FALSE)</f>
        <v>79053</v>
      </c>
      <c r="D179" s="192" t="s">
        <v>17</v>
      </c>
      <c r="E179" t="s">
        <v>7</v>
      </c>
      <c r="I179" s="47">
        <f>VLOOKUP($C179,'AzEDS FY17 12-04-16'!$A$1:$D$712,3,FALSE)</f>
        <v>159</v>
      </c>
      <c r="J179" s="47">
        <f>VLOOKUP($C179,'AzEDS FY17 12-04-16'!$A$1:$D$712,4,FALSE)</f>
        <v>156</v>
      </c>
      <c r="K179" s="24">
        <f t="shared" si="308"/>
        <v>159</v>
      </c>
      <c r="L179" s="24">
        <f t="shared" si="309"/>
        <v>77.086024400936253</v>
      </c>
      <c r="M179" s="4">
        <f t="shared" si="310"/>
        <v>0.48481776352790096</v>
      </c>
      <c r="N179" s="31" t="str">
        <f>IFERROR(VLOOKUP($B179,#REF!,8,FALSE),"")</f>
        <v/>
      </c>
      <c r="O179" s="31" t="str">
        <f>IFERROR(VLOOKUP($B179,#REF!,9,FALSE),"")</f>
        <v/>
      </c>
      <c r="P179" s="31" t="str">
        <f>IFERROR(VLOOKUP($B179,#REF!,10,FALSE),"")</f>
        <v/>
      </c>
      <c r="Q179" s="31" t="str">
        <f>IFERROR(VLOOKUP($B179,#REF!,11,FALSE),"")</f>
        <v/>
      </c>
      <c r="R179" s="31" t="str">
        <f>IFERROR(VLOOKUP($B179,#REF!,12,FALSE),"")</f>
        <v/>
      </c>
      <c r="S179" s="31">
        <f t="shared" si="311"/>
        <v>37161.738335275986</v>
      </c>
      <c r="T179" s="31">
        <f t="shared" si="312"/>
        <v>7659.2553093962488</v>
      </c>
      <c r="U179" s="31">
        <f t="shared" si="313"/>
        <v>21674.004200777603</v>
      </c>
      <c r="V179" s="31">
        <f t="shared" si="314"/>
        <v>20164.470436805103</v>
      </c>
      <c r="W179" s="31">
        <f t="shared" si="315"/>
        <v>37161.738335275986</v>
      </c>
      <c r="X179" s="31">
        <f t="shared" si="316"/>
        <v>7659.2553093962488</v>
      </c>
      <c r="Y179" s="31">
        <f t="shared" si="317"/>
        <v>21674.004200777603</v>
      </c>
      <c r="Z179" s="31">
        <f t="shared" si="318"/>
        <v>20164.470436805103</v>
      </c>
      <c r="AA179" s="31">
        <f t="shared" si="319"/>
        <v>37186.488077757022</v>
      </c>
      <c r="AB179" s="31">
        <f t="shared" si="320"/>
        <v>8246.5220844258965</v>
      </c>
      <c r="AC179" s="31">
        <f t="shared" si="321"/>
        <v>21713.8727703777</v>
      </c>
      <c r="AD179" s="31">
        <f t="shared" si="322"/>
        <v>20201.562272056748</v>
      </c>
      <c r="AE179" s="31">
        <f t="shared" si="323"/>
        <v>87348.445204617368</v>
      </c>
      <c r="AF179" s="31">
        <f>IFERROR(VLOOKUP(A179,'Allocations By Type'!$D$7:$F$491,3,FALSE),"")</f>
        <v>110934.5</v>
      </c>
      <c r="AG179" s="31" t="str">
        <f t="shared" si="324"/>
        <v/>
      </c>
      <c r="AH179" s="31" t="str">
        <f t="shared" si="325"/>
        <v/>
      </c>
      <c r="AI179" s="31">
        <f t="shared" si="326"/>
        <v>87348.445204617368</v>
      </c>
      <c r="AJ179" s="31">
        <f>AI179/$AI$577*'State Admin 1004(b)'!$B$30*0.01</f>
        <v>831.25141655760217</v>
      </c>
      <c r="AK179" s="31">
        <f t="shared" si="327"/>
        <v>86517.193788059769</v>
      </c>
      <c r="AL179" s="31">
        <f t="shared" si="328"/>
        <v>865.17193788059774</v>
      </c>
      <c r="AM179" s="31">
        <f t="shared" si="329"/>
        <v>85652.021850179168</v>
      </c>
      <c r="AP179" s="31"/>
      <c r="AQ179" s="4">
        <f t="shared" si="330"/>
        <v>0.77209544235723937</v>
      </c>
      <c r="AW179" s="31">
        <f t="shared" si="331"/>
        <v>85377.418305402054</v>
      </c>
      <c r="AX179" s="4">
        <f t="shared" si="332"/>
        <v>0.76962007585919667</v>
      </c>
      <c r="AZ179" s="174" t="str">
        <f>IFERROR(IF(VLOOKUP(A179,#REF!,11,FALSE)=0,"",VLOOKUP(A179,#REF!,11,FALSE)),"")</f>
        <v/>
      </c>
      <c r="BA179" s="31" t="str">
        <f t="shared" si="272"/>
        <v/>
      </c>
      <c r="BB179" s="31">
        <f t="shared" si="273"/>
        <v>85377.418305402054</v>
      </c>
      <c r="BD179" s="31">
        <f>IFERROR(VLOOKUP(A179,'Title II Hold Harmless'!A$1:B$439,2, FALSE),"")</f>
        <v>3635</v>
      </c>
      <c r="BE179" s="31">
        <f t="shared" si="306"/>
        <v>4772.0710846944339</v>
      </c>
      <c r="BF179" s="31">
        <f t="shared" si="307"/>
        <v>4776.6883482308658</v>
      </c>
      <c r="BG179" s="31" t="str">
        <f t="shared" si="276"/>
        <v/>
      </c>
      <c r="BH179" s="31">
        <f t="shared" si="277"/>
        <v>4776.6883482308658</v>
      </c>
    </row>
    <row r="180" spans="1:60" x14ac:dyDescent="0.3">
      <c r="A180" s="1">
        <v>78967000</v>
      </c>
      <c r="B180">
        <f>VLOOKUP(C180,'NCES ID'!$A$2:$B$3136,2,FALSE)</f>
        <v>400396</v>
      </c>
      <c r="C180">
        <f>VLOOKUP(A180,'State ID'!$A$2:$B$713,2,FALSE)</f>
        <v>79969</v>
      </c>
      <c r="D180" s="147" t="s">
        <v>23</v>
      </c>
      <c r="E180" t="s">
        <v>7</v>
      </c>
      <c r="I180" s="47">
        <f>VLOOKUP($C180,'Final SEA Counts'!$A$2:$F$709,5,FALSE)</f>
        <v>118</v>
      </c>
      <c r="J180" s="47">
        <f>VLOOKUP($C180,'Final SEA Counts'!$A$2:$F$709,6,FALSE)</f>
        <v>101</v>
      </c>
      <c r="K180" s="24">
        <f t="shared" si="308"/>
        <v>118</v>
      </c>
      <c r="L180" s="24">
        <f t="shared" si="309"/>
        <v>49.908259387785655</v>
      </c>
      <c r="M180" s="4">
        <f t="shared" si="310"/>
        <v>0.42295135074394624</v>
      </c>
      <c r="N180" s="31" t="str">
        <f>IFERROR(VLOOKUP($B180,#REF!,8,FALSE),"")</f>
        <v/>
      </c>
      <c r="O180" s="31" t="str">
        <f>IFERROR(VLOOKUP($B180,#REF!,9,FALSE),"")</f>
        <v/>
      </c>
      <c r="P180" s="31" t="str">
        <f>IFERROR(VLOOKUP($B180,#REF!,10,FALSE),"")</f>
        <v/>
      </c>
      <c r="Q180" s="31" t="str">
        <f>IFERROR(VLOOKUP($B180,#REF!,11,FALSE),"")</f>
        <v/>
      </c>
      <c r="R180" s="31" t="str">
        <f>IFERROR(VLOOKUP($B180,#REF!,12,FALSE),"")</f>
        <v/>
      </c>
      <c r="S180" s="31">
        <f t="shared" si="311"/>
        <v>24059.843409377405</v>
      </c>
      <c r="T180" s="31">
        <f t="shared" si="312"/>
        <v>4958.8768349296233</v>
      </c>
      <c r="U180" s="31">
        <f t="shared" si="313"/>
        <v>14032.528360759858</v>
      </c>
      <c r="V180" s="31">
        <f t="shared" si="314"/>
        <v>13055.202013572534</v>
      </c>
      <c r="W180" s="31">
        <f t="shared" si="315"/>
        <v>24059.843409377405</v>
      </c>
      <c r="X180" s="31">
        <f t="shared" si="316"/>
        <v>4958.8768349296233</v>
      </c>
      <c r="Y180" s="31">
        <f t="shared" si="317"/>
        <v>14032.528360759858</v>
      </c>
      <c r="Z180" s="31">
        <f t="shared" si="318"/>
        <v>13055.202013572534</v>
      </c>
      <c r="AA180" s="31">
        <f t="shared" si="319"/>
        <v>24084.59315185844</v>
      </c>
      <c r="AB180" s="31">
        <f t="shared" si="320"/>
        <v>5546.1436099592711</v>
      </c>
      <c r="AC180" s="31">
        <f t="shared" si="321"/>
        <v>14072.396930359953</v>
      </c>
      <c r="AD180" s="31">
        <f t="shared" si="322"/>
        <v>13092.29384882418</v>
      </c>
      <c r="AE180" s="31">
        <f t="shared" si="323"/>
        <v>56795.427541001845</v>
      </c>
      <c r="AF180" s="31">
        <f>IFERROR(VLOOKUP(A180,'Allocations By Type'!$D$7:$F$491,3,FALSE),"")</f>
        <v>45845.45</v>
      </c>
      <c r="AG180" s="31">
        <f t="shared" si="324"/>
        <v>2271.8171016400738</v>
      </c>
      <c r="AH180" s="31">
        <f t="shared" si="325"/>
        <v>2271.8171016400738</v>
      </c>
      <c r="AI180" s="31">
        <f t="shared" si="326"/>
        <v>54523.610439361772</v>
      </c>
      <c r="AJ180" s="31">
        <f>AI180/$AI$577*'State Admin 1004(b)'!$B$30*0.01</f>
        <v>518.87389990037866</v>
      </c>
      <c r="AK180" s="31">
        <f t="shared" si="327"/>
        <v>54004.736539461395</v>
      </c>
      <c r="AL180" s="31">
        <f t="shared" si="328"/>
        <v>540.04736539461396</v>
      </c>
      <c r="AM180" s="31">
        <f t="shared" si="329"/>
        <v>53464.689174066778</v>
      </c>
      <c r="AP180" s="31"/>
      <c r="AQ180" s="4">
        <f t="shared" si="330"/>
        <v>1.1661940099631867</v>
      </c>
      <c r="AW180" s="31">
        <f t="shared" si="331"/>
        <v>53293.279406375761</v>
      </c>
      <c r="AX180" s="4">
        <f t="shared" si="332"/>
        <v>1.1624551489051971</v>
      </c>
      <c r="AZ180" s="174" t="str">
        <f>IFERROR(IF(VLOOKUP(A180,#REF!,11,FALSE)=0,"",VLOOKUP(A180,#REF!,11,FALSE)),"")</f>
        <v/>
      </c>
      <c r="BA180" s="31" t="str">
        <f t="shared" si="272"/>
        <v/>
      </c>
      <c r="BB180" s="31">
        <f t="shared" si="273"/>
        <v>53293.279406375761</v>
      </c>
      <c r="BD180" s="31" t="str">
        <f>IFERROR(VLOOKUP(A180,'Title II Hold Harmless'!A$1:B$439,2, FALSE),"")</f>
        <v/>
      </c>
      <c r="BE180" s="31">
        <f t="shared" si="306"/>
        <v>748.29906426124319</v>
      </c>
      <c r="BF180" s="31">
        <f t="shared" si="307"/>
        <v>749.02308825888247</v>
      </c>
      <c r="BG180" s="31" t="str">
        <f t="shared" si="276"/>
        <v/>
      </c>
      <c r="BH180" s="31">
        <f t="shared" si="277"/>
        <v>749.02308825888247</v>
      </c>
    </row>
    <row r="181" spans="1:60" x14ac:dyDescent="0.3">
      <c r="A181" s="1">
        <v>78950000</v>
      </c>
      <c r="B181">
        <f>VLOOKUP(C181,'NCES ID'!$A$2:$B$3136,2,FALSE)</f>
        <v>400385</v>
      </c>
      <c r="C181">
        <f>VLOOKUP(A181,'State ID'!$A$2:$B$713,2,FALSE)</f>
        <v>79874</v>
      </c>
      <c r="D181" s="147" t="s">
        <v>27</v>
      </c>
      <c r="E181" t="s">
        <v>7</v>
      </c>
      <c r="I181" s="47">
        <f>VLOOKUP($C181,'Final SEA Counts'!$A$2:$F$709,5,FALSE)</f>
        <v>150</v>
      </c>
      <c r="J181" s="47">
        <f>VLOOKUP($C181,'Final SEA Counts'!$A$2:$F$709,6,FALSE)</f>
        <v>139</v>
      </c>
      <c r="K181" s="24">
        <f t="shared" si="308"/>
        <v>150</v>
      </c>
      <c r="L181" s="24">
        <f t="shared" si="309"/>
        <v>68.685624305962435</v>
      </c>
      <c r="M181" s="4">
        <f t="shared" si="310"/>
        <v>0.45790416203974954</v>
      </c>
      <c r="N181" s="31" t="str">
        <f>IFERROR(VLOOKUP($B181,#REF!,8,FALSE),"")</f>
        <v/>
      </c>
      <c r="O181" s="31" t="str">
        <f>IFERROR(VLOOKUP($B181,#REF!,9,FALSE),"")</f>
        <v/>
      </c>
      <c r="P181" s="31" t="str">
        <f>IFERROR(VLOOKUP($B181,#REF!,10,FALSE),"")</f>
        <v/>
      </c>
      <c r="Q181" s="31" t="str">
        <f>IFERROR(VLOOKUP($B181,#REF!,11,FALSE),"")</f>
        <v/>
      </c>
      <c r="R181" s="31" t="str">
        <f>IFERROR(VLOOKUP($B181,#REF!,12,FALSE),"")</f>
        <v/>
      </c>
      <c r="S181" s="31">
        <f t="shared" si="311"/>
        <v>33112.061721816426</v>
      </c>
      <c r="T181" s="31">
        <f t="shared" si="312"/>
        <v>6824.5928718338373</v>
      </c>
      <c r="U181" s="31">
        <f t="shared" si="313"/>
        <v>19312.0934865903</v>
      </c>
      <c r="V181" s="31">
        <f t="shared" si="314"/>
        <v>17967.060196896855</v>
      </c>
      <c r="W181" s="31">
        <f t="shared" si="315"/>
        <v>33112.061721816426</v>
      </c>
      <c r="X181" s="31">
        <f t="shared" si="316"/>
        <v>6824.5928718338373</v>
      </c>
      <c r="Y181" s="31">
        <f t="shared" si="317"/>
        <v>19312.0934865903</v>
      </c>
      <c r="Z181" s="31">
        <f t="shared" si="318"/>
        <v>17967.060196896855</v>
      </c>
      <c r="AA181" s="31">
        <f t="shared" si="319"/>
        <v>33136.811464297461</v>
      </c>
      <c r="AB181" s="31">
        <f t="shared" si="320"/>
        <v>7411.8596468634851</v>
      </c>
      <c r="AC181" s="31">
        <f t="shared" si="321"/>
        <v>19351.962056190398</v>
      </c>
      <c r="AD181" s="31">
        <f t="shared" si="322"/>
        <v>18004.1520321485</v>
      </c>
      <c r="AE181" s="31">
        <f t="shared" si="323"/>
        <v>77904.785199499849</v>
      </c>
      <c r="AF181" s="31">
        <f>IFERROR(VLOOKUP(A181,'Allocations By Type'!$D$7:$F$491,3,FALSE),"")</f>
        <v>62250.01</v>
      </c>
      <c r="AG181" s="31">
        <f t="shared" si="324"/>
        <v>3116.191407979994</v>
      </c>
      <c r="AH181" s="31">
        <f t="shared" si="325"/>
        <v>3116.191407979994</v>
      </c>
      <c r="AI181" s="31">
        <f t="shared" si="326"/>
        <v>74788.593791519859</v>
      </c>
      <c r="AJ181" s="31">
        <f>AI181/$AI$577*'State Admin 1004(b)'!$B$30*0.01</f>
        <v>711.72559953323218</v>
      </c>
      <c r="AK181" s="31">
        <f t="shared" si="327"/>
        <v>74076.868191986621</v>
      </c>
      <c r="AL181" s="31">
        <f t="shared" si="328"/>
        <v>740.76868191986625</v>
      </c>
      <c r="AM181" s="31">
        <f t="shared" si="329"/>
        <v>73336.09951006675</v>
      </c>
      <c r="AP181" s="31"/>
      <c r="AQ181" s="4">
        <f t="shared" si="330"/>
        <v>1.1780897627175761</v>
      </c>
      <c r="AW181" s="31">
        <f t="shared" si="331"/>
        <v>73100.981267081006</v>
      </c>
      <c r="AX181" s="4">
        <f t="shared" si="332"/>
        <v>1.1743127634370019</v>
      </c>
      <c r="AZ181" s="174" t="str">
        <f>IFERROR(IF(VLOOKUP(A181,#REF!,11,FALSE)=0,"",VLOOKUP(A181,#REF!,11,FALSE)),"")</f>
        <v/>
      </c>
      <c r="BA181" s="31" t="str">
        <f t="shared" si="272"/>
        <v/>
      </c>
      <c r="BB181" s="31">
        <f t="shared" si="273"/>
        <v>73100.981267081006</v>
      </c>
      <c r="BD181" s="31" t="str">
        <f>IFERROR(VLOOKUP(A181,'Title II Hold Harmless'!A$1:B$439,2, FALSE),"")</f>
        <v/>
      </c>
      <c r="BE181" s="31">
        <f t="shared" si="306"/>
        <v>1019.8609972383083</v>
      </c>
      <c r="BF181" s="31">
        <f t="shared" si="307"/>
        <v>1020.8477736109152</v>
      </c>
      <c r="BG181" s="31" t="str">
        <f t="shared" si="276"/>
        <v/>
      </c>
      <c r="BH181" s="31">
        <f t="shared" si="277"/>
        <v>1020.8477736109152</v>
      </c>
    </row>
    <row r="182" spans="1:60" x14ac:dyDescent="0.3">
      <c r="A182" s="1">
        <v>78947000</v>
      </c>
      <c r="B182">
        <f>VLOOKUP(C182,'NCES ID'!$A$2:$B$3136,2,FALSE)</f>
        <v>400384</v>
      </c>
      <c r="C182">
        <f>VLOOKUP(A182,'State ID'!$A$2:$B$713,2,FALSE)</f>
        <v>79872</v>
      </c>
      <c r="D182" s="147" t="s">
        <v>28</v>
      </c>
      <c r="E182" t="s">
        <v>7</v>
      </c>
      <c r="I182" s="47">
        <f>VLOOKUP($C182,'Final SEA Counts'!$A$2:$F$709,5,FALSE)</f>
        <v>109</v>
      </c>
      <c r="J182" s="47">
        <f>VLOOKUP($C182,'Final SEA Counts'!$A$2:$F$709,6,FALSE)</f>
        <v>65</v>
      </c>
      <c r="K182" s="24">
        <f t="shared" si="308"/>
        <v>109</v>
      </c>
      <c r="L182" s="24">
        <f t="shared" si="309"/>
        <v>32.119176833723436</v>
      </c>
      <c r="M182" s="4">
        <f t="shared" si="310"/>
        <v>0.29467134709838017</v>
      </c>
      <c r="N182" s="31" t="str">
        <f>IFERROR(VLOOKUP($B182,#REF!,8,FALSE),"")</f>
        <v/>
      </c>
      <c r="O182" s="31" t="str">
        <f>IFERROR(VLOOKUP($B182,#REF!,9,FALSE),"")</f>
        <v/>
      </c>
      <c r="P182" s="31" t="str">
        <f>IFERROR(VLOOKUP($B182,#REF!,10,FALSE),"")</f>
        <v/>
      </c>
      <c r="Q182" s="31" t="str">
        <f>IFERROR(VLOOKUP($B182,#REF!,11,FALSE),"")</f>
        <v/>
      </c>
      <c r="R182" s="31" t="str">
        <f>IFERROR(VLOOKUP($B182,#REF!,12,FALSE),"")</f>
        <v/>
      </c>
      <c r="S182" s="31">
        <f t="shared" si="311"/>
        <v>15484.057639698327</v>
      </c>
      <c r="T182" s="31">
        <f t="shared" si="312"/>
        <v>3191.3563789151035</v>
      </c>
      <c r="U182" s="31">
        <f t="shared" si="313"/>
        <v>9030.8350836573336</v>
      </c>
      <c r="V182" s="31">
        <f t="shared" si="314"/>
        <v>8401.8626820021254</v>
      </c>
      <c r="W182" s="31">
        <f t="shared" si="315"/>
        <v>15484.057639698327</v>
      </c>
      <c r="X182" s="31">
        <f t="shared" si="316"/>
        <v>3191.3563789151035</v>
      </c>
      <c r="Y182" s="31">
        <f t="shared" si="317"/>
        <v>9030.8350836573336</v>
      </c>
      <c r="Z182" s="31">
        <f t="shared" si="318"/>
        <v>8401.8626820021254</v>
      </c>
      <c r="AA182" s="31">
        <f t="shared" si="319"/>
        <v>15508.807382179362</v>
      </c>
      <c r="AB182" s="31">
        <f t="shared" si="320"/>
        <v>3778.6231539447517</v>
      </c>
      <c r="AC182" s="31">
        <f t="shared" si="321"/>
        <v>9070.7036532574293</v>
      </c>
      <c r="AD182" s="31">
        <f t="shared" si="322"/>
        <v>8438.954517253771</v>
      </c>
      <c r="AE182" s="31">
        <f t="shared" si="323"/>
        <v>36797.08870663531</v>
      </c>
      <c r="AF182" s="31">
        <f>IFERROR(VLOOKUP(A182,'Allocations By Type'!$D$7:$F$491,3,FALSE),"")</f>
        <v>41612.019999999997</v>
      </c>
      <c r="AG182" s="31" t="str">
        <f t="shared" si="324"/>
        <v/>
      </c>
      <c r="AH182" s="31" t="str">
        <f t="shared" si="325"/>
        <v/>
      </c>
      <c r="AI182" s="31">
        <f t="shared" si="326"/>
        <v>36797.08870663531</v>
      </c>
      <c r="AJ182" s="31">
        <f>AI182/$AI$577*'State Admin 1004(b)'!$B$30*0.01</f>
        <v>350.17946846029776</v>
      </c>
      <c r="AK182" s="31">
        <f t="shared" si="327"/>
        <v>36446.909238175009</v>
      </c>
      <c r="AL182" s="31">
        <f t="shared" si="328"/>
        <v>364.4690923817501</v>
      </c>
      <c r="AM182" s="31">
        <f t="shared" si="329"/>
        <v>36082.440145793262</v>
      </c>
      <c r="AP182" s="31"/>
      <c r="AQ182" s="4">
        <f t="shared" si="330"/>
        <v>0.86711580321727388</v>
      </c>
      <c r="AW182" s="31">
        <f t="shared" si="331"/>
        <v>35966.758510331412</v>
      </c>
      <c r="AX182" s="4">
        <f t="shared" si="332"/>
        <v>0.86433579793365989</v>
      </c>
      <c r="AZ182" s="174" t="str">
        <f>IFERROR(IF(VLOOKUP(A182,#REF!,11,FALSE)=0,"",VLOOKUP(A182,#REF!,11,FALSE)),"")</f>
        <v/>
      </c>
      <c r="BA182" s="31" t="str">
        <f t="shared" si="272"/>
        <v/>
      </c>
      <c r="BB182" s="31">
        <f t="shared" si="273"/>
        <v>35966.758510331412</v>
      </c>
      <c r="BD182" s="31" t="str">
        <f>IFERROR(VLOOKUP(A182,'Title II Hold Harmless'!A$1:B$439,2, FALSE),"")</f>
        <v/>
      </c>
      <c r="BE182" s="31">
        <f t="shared" si="306"/>
        <v>508.1848053484531</v>
      </c>
      <c r="BF182" s="31">
        <f t="shared" si="307"/>
        <v>508.67650447234706</v>
      </c>
      <c r="BG182" s="31" t="str">
        <f t="shared" si="276"/>
        <v/>
      </c>
      <c r="BH182" s="31">
        <f t="shared" si="277"/>
        <v>508.67650447234706</v>
      </c>
    </row>
    <row r="183" spans="1:60" x14ac:dyDescent="0.3">
      <c r="A183" s="1">
        <v>78948000</v>
      </c>
      <c r="B183">
        <f>VLOOKUP(C183,'NCES ID'!$A$2:$B$3136,2,FALSE)</f>
        <v>400352</v>
      </c>
      <c r="C183">
        <f>VLOOKUP(A183,'State ID'!$A$2:$B$713,2,FALSE)</f>
        <v>79873</v>
      </c>
      <c r="D183" s="147" t="s">
        <v>29</v>
      </c>
      <c r="E183" t="s">
        <v>7</v>
      </c>
      <c r="I183" s="47">
        <f>VLOOKUP($C183,'Final SEA Counts'!$A$2:$F$709,5,FALSE)</f>
        <v>106</v>
      </c>
      <c r="J183" s="47">
        <f>VLOOKUP($C183,'Final SEA Counts'!$A$2:$F$709,6,FALSE)</f>
        <v>80</v>
      </c>
      <c r="K183" s="24">
        <f t="shared" si="308"/>
        <v>106</v>
      </c>
      <c r="L183" s="24">
        <f t="shared" si="309"/>
        <v>39.531294564582694</v>
      </c>
      <c r="M183" s="4">
        <f t="shared" si="310"/>
        <v>0.37293674117530845</v>
      </c>
      <c r="N183" s="31" t="str">
        <f>IFERROR(VLOOKUP($B183,#REF!,8,FALSE),"")</f>
        <v/>
      </c>
      <c r="O183" s="31" t="str">
        <f>IFERROR(VLOOKUP($B183,#REF!,9,FALSE),"")</f>
        <v/>
      </c>
      <c r="P183" s="31" t="str">
        <f>IFERROR(VLOOKUP($B183,#REF!,10,FALSE),"")</f>
        <v/>
      </c>
      <c r="Q183" s="31" t="str">
        <f>IFERROR(VLOOKUP($B183,#REF!,11,FALSE),"")</f>
        <v/>
      </c>
      <c r="R183" s="31" t="str">
        <f>IFERROR(VLOOKUP($B183,#REF!,12,FALSE),"")</f>
        <v/>
      </c>
      <c r="S183" s="31">
        <f t="shared" si="311"/>
        <v>19057.301710397944</v>
      </c>
      <c r="T183" s="31">
        <f t="shared" si="312"/>
        <v>3927.8232355878199</v>
      </c>
      <c r="U183" s="31">
        <f t="shared" si="313"/>
        <v>11114.873949116718</v>
      </c>
      <c r="V183" s="31">
        <f t="shared" si="314"/>
        <v>10340.754070156463</v>
      </c>
      <c r="W183" s="31">
        <f t="shared" si="315"/>
        <v>19057.301710397944</v>
      </c>
      <c r="X183" s="31">
        <f t="shared" si="316"/>
        <v>3927.8232355878199</v>
      </c>
      <c r="Y183" s="31">
        <f t="shared" si="317"/>
        <v>11114.873949116718</v>
      </c>
      <c r="Z183" s="31">
        <f t="shared" si="318"/>
        <v>10340.754070156463</v>
      </c>
      <c r="AA183" s="31">
        <f t="shared" si="319"/>
        <v>19082.051452878979</v>
      </c>
      <c r="AB183" s="31">
        <f t="shared" si="320"/>
        <v>4515.0900106174677</v>
      </c>
      <c r="AC183" s="31">
        <f t="shared" si="321"/>
        <v>11154.742518716814</v>
      </c>
      <c r="AD183" s="31">
        <f t="shared" si="322"/>
        <v>10377.845905408109</v>
      </c>
      <c r="AE183" s="31">
        <f t="shared" si="323"/>
        <v>45129.729887621368</v>
      </c>
      <c r="AF183" s="31">
        <f>IFERROR(VLOOKUP(A183,'Allocations By Type'!$D$7:$F$491,3,FALSE),"")</f>
        <v>78125.39</v>
      </c>
      <c r="AG183" s="31" t="str">
        <f t="shared" si="324"/>
        <v/>
      </c>
      <c r="AH183" s="31" t="str">
        <f t="shared" si="325"/>
        <v/>
      </c>
      <c r="AI183" s="31">
        <f t="shared" si="326"/>
        <v>45129.729887621368</v>
      </c>
      <c r="AJ183" s="31">
        <f>AI183/$AI$577*'State Admin 1004(b)'!$B$30*0.01</f>
        <v>429.47704232249083</v>
      </c>
      <c r="AK183" s="31">
        <f t="shared" si="327"/>
        <v>44700.252845298877</v>
      </c>
      <c r="AL183" s="31">
        <f t="shared" si="328"/>
        <v>447.00252845298877</v>
      </c>
      <c r="AM183" s="31">
        <f t="shared" si="329"/>
        <v>44253.250316845886</v>
      </c>
      <c r="AP183" s="31"/>
      <c r="AQ183" s="4">
        <f t="shared" si="330"/>
        <v>0.56643877639325557</v>
      </c>
      <c r="AW183" s="31">
        <f t="shared" si="331"/>
        <v>44111.372762266139</v>
      </c>
      <c r="AX183" s="4">
        <f t="shared" si="332"/>
        <v>0.56462275276022478</v>
      </c>
      <c r="AZ183" s="174" t="str">
        <f>IFERROR(IF(VLOOKUP(A183,#REF!,11,FALSE)=0,"",VLOOKUP(A183,#REF!,11,FALSE)),"")</f>
        <v/>
      </c>
      <c r="BA183" s="31" t="str">
        <f t="shared" ref="BA183:BA247" si="333">IF(AZ183&lt;0,AW183*AZ183/100,"")</f>
        <v/>
      </c>
      <c r="BB183" s="31">
        <f t="shared" ref="BB183:BB247" si="334">IF(BA183&lt;0,AW183+BA183,AW183)</f>
        <v>44111.372762266139</v>
      </c>
      <c r="BD183" s="31" t="str">
        <f>IFERROR(VLOOKUP(A183,'Title II Hold Harmless'!A$1:B$439,2, FALSE),"")</f>
        <v/>
      </c>
      <c r="BE183" s="31">
        <f t="shared" si="306"/>
        <v>602.80001532471294</v>
      </c>
      <c r="BF183" s="31">
        <f t="shared" si="307"/>
        <v>603.38326031019653</v>
      </c>
      <c r="BG183" s="31" t="str">
        <f t="shared" ref="BG183:BG247" si="335">IF(AZ183&lt;0,BF183*AZ183/100,"")</f>
        <v/>
      </c>
      <c r="BH183" s="31">
        <f t="shared" ref="BH183:BH247" si="336">IF(BG183&lt;0,BF183+BG183,BF183)</f>
        <v>603.38326031019653</v>
      </c>
    </row>
    <row r="184" spans="1:60" x14ac:dyDescent="0.3">
      <c r="A184" s="1">
        <v>78951000</v>
      </c>
      <c r="B184">
        <f>VLOOKUP(C184,'NCES ID'!$A$2:$B$3136,2,FALSE)</f>
        <v>400353</v>
      </c>
      <c r="C184">
        <f>VLOOKUP(A184,'State ID'!$A$2:$B$713,2,FALSE)</f>
        <v>79875</v>
      </c>
      <c r="D184" s="147" t="s">
        <v>30</v>
      </c>
      <c r="E184" t="s">
        <v>7</v>
      </c>
      <c r="I184" s="47">
        <f>VLOOKUP($C184,'Final SEA Counts'!$A$2:$F$709,5,FALSE)</f>
        <v>231</v>
      </c>
      <c r="J184" s="47">
        <f>VLOOKUP($C184,'Final SEA Counts'!$A$2:$F$709,6,FALSE)</f>
        <v>211</v>
      </c>
      <c r="K184" s="24">
        <f t="shared" si="308"/>
        <v>231</v>
      </c>
      <c r="L184" s="24">
        <f t="shared" si="309"/>
        <v>104.26378941408686</v>
      </c>
      <c r="M184" s="4">
        <f t="shared" si="310"/>
        <v>0.45135839573197772</v>
      </c>
      <c r="N184" s="31" t="str">
        <f>IFERROR(VLOOKUP($B184,#REF!,8,FALSE),"")</f>
        <v/>
      </c>
      <c r="O184" s="31" t="str">
        <f>IFERROR(VLOOKUP($B184,#REF!,9,FALSE),"")</f>
        <v/>
      </c>
      <c r="P184" s="31" t="str">
        <f>IFERROR(VLOOKUP($B184,#REF!,10,FALSE),"")</f>
        <v/>
      </c>
      <c r="Q184" s="31" t="str">
        <f>IFERROR(VLOOKUP($B184,#REF!,11,FALSE),"")</f>
        <v/>
      </c>
      <c r="R184" s="31" t="str">
        <f>IFERROR(VLOOKUP($B184,#REF!,12,FALSE),"")</f>
        <v/>
      </c>
      <c r="S184" s="31">
        <f t="shared" si="311"/>
        <v>50263.633261174575</v>
      </c>
      <c r="T184" s="31">
        <f t="shared" si="312"/>
        <v>10359.633783862875</v>
      </c>
      <c r="U184" s="31">
        <f t="shared" si="313"/>
        <v>29315.480040795344</v>
      </c>
      <c r="V184" s="31">
        <f t="shared" si="314"/>
        <v>27273.738860037669</v>
      </c>
      <c r="W184" s="31">
        <f t="shared" si="315"/>
        <v>50263.633261174575</v>
      </c>
      <c r="X184" s="31">
        <f t="shared" si="316"/>
        <v>10359.633783862875</v>
      </c>
      <c r="Y184" s="31">
        <f t="shared" si="317"/>
        <v>29315.480040795344</v>
      </c>
      <c r="Z184" s="31">
        <f t="shared" si="318"/>
        <v>27273.738860037669</v>
      </c>
      <c r="AA184" s="31">
        <f t="shared" si="319"/>
        <v>50288.38300365561</v>
      </c>
      <c r="AB184" s="31">
        <f t="shared" si="320"/>
        <v>10946.900558892523</v>
      </c>
      <c r="AC184" s="31">
        <f t="shared" si="321"/>
        <v>29355.348610395442</v>
      </c>
      <c r="AD184" s="31">
        <f t="shared" si="322"/>
        <v>27310.830695289314</v>
      </c>
      <c r="AE184" s="31">
        <f t="shared" si="323"/>
        <v>117901.46286823289</v>
      </c>
      <c r="AF184" s="31">
        <f>IFERROR(VLOOKUP(A184,'Allocations By Type'!$D$7:$F$491,3,FALSE),"")</f>
        <v>151152.13</v>
      </c>
      <c r="AG184" s="31" t="str">
        <f t="shared" si="324"/>
        <v/>
      </c>
      <c r="AH184" s="31" t="str">
        <f t="shared" si="325"/>
        <v/>
      </c>
      <c r="AI184" s="31">
        <f t="shared" si="326"/>
        <v>117901.46286823289</v>
      </c>
      <c r="AJ184" s="31">
        <f>AI184/$AI$577*'State Admin 1004(b)'!$B$30*0.01</f>
        <v>1122.0091873856434</v>
      </c>
      <c r="AK184" s="31">
        <f t="shared" si="327"/>
        <v>116779.45368084725</v>
      </c>
      <c r="AL184" s="31">
        <f t="shared" si="328"/>
        <v>1167.7945368084725</v>
      </c>
      <c r="AM184" s="31">
        <f t="shared" si="329"/>
        <v>115611.65914403877</v>
      </c>
      <c r="AP184" s="31"/>
      <c r="AQ184" s="4">
        <f t="shared" si="330"/>
        <v>0.7648695333902259</v>
      </c>
      <c r="AW184" s="31">
        <f t="shared" si="331"/>
        <v>115241.00389582936</v>
      </c>
      <c r="AX184" s="4">
        <f t="shared" si="332"/>
        <v>0.76241733342315032</v>
      </c>
      <c r="AZ184" s="174" t="str">
        <f>IFERROR(IF(VLOOKUP(A184,#REF!,11,FALSE)=0,"",VLOOKUP(A184,#REF!,11,FALSE)),"")</f>
        <v/>
      </c>
      <c r="BA184" s="31" t="str">
        <f t="shared" si="333"/>
        <v/>
      </c>
      <c r="BB184" s="31">
        <f t="shared" si="334"/>
        <v>115241.00389582936</v>
      </c>
      <c r="BD184" s="31" t="str">
        <f>IFERROR(VLOOKUP(A184,'Title II Hold Harmless'!A$1:B$439,2, FALSE),"")</f>
        <v/>
      </c>
      <c r="BE184" s="31">
        <f t="shared" ref="BE184:BE215" si="337">IFERROR($BD$582*(0.8*($L184/$L$579)+0.2*($K184/$K$579))+$BD184,$BD$582*(0.8*($L184/$L$579)+0.2*($K184/$K$579)))</f>
        <v>1550.7918955018688</v>
      </c>
      <c r="BF184" s="31">
        <f t="shared" ref="BF184:BF215" si="338">$BD$583*BE184</f>
        <v>1552.292379200584</v>
      </c>
      <c r="BG184" s="31" t="str">
        <f t="shared" si="335"/>
        <v/>
      </c>
      <c r="BH184" s="31">
        <f t="shared" si="336"/>
        <v>1552.292379200584</v>
      </c>
    </row>
    <row r="185" spans="1:60" x14ac:dyDescent="0.3">
      <c r="A185" s="1">
        <v>78983000</v>
      </c>
      <c r="B185">
        <f>VLOOKUP(C185,'NCES ID'!$A$2:$B$3136,2,FALSE)</f>
        <v>400618</v>
      </c>
      <c r="C185">
        <f>VLOOKUP(A185,'State ID'!$A$2:$B$713,2,FALSE)</f>
        <v>80989</v>
      </c>
      <c r="D185" s="147" t="s">
        <v>31</v>
      </c>
      <c r="E185" t="s">
        <v>7</v>
      </c>
      <c r="I185" s="47">
        <f>VLOOKUP($C185,'Final SEA Counts'!$A$2:$F$709,5,FALSE)</f>
        <v>351</v>
      </c>
      <c r="J185" s="47">
        <f>VLOOKUP($C185,'Final SEA Counts'!$A$2:$F$709,6,FALSE)</f>
        <v>345</v>
      </c>
      <c r="K185" s="24">
        <f t="shared" si="308"/>
        <v>351</v>
      </c>
      <c r="L185" s="24">
        <f t="shared" si="309"/>
        <v>170.47870780976288</v>
      </c>
      <c r="M185" s="4">
        <f t="shared" si="310"/>
        <v>0.48569432424433867</v>
      </c>
      <c r="N185" s="31" t="str">
        <f>IFERROR(VLOOKUP($B185,#REF!,8,FALSE),"")</f>
        <v/>
      </c>
      <c r="O185" s="31" t="str">
        <f>IFERROR(VLOOKUP($B185,#REF!,9,FALSE),"")</f>
        <v/>
      </c>
      <c r="P185" s="31" t="str">
        <f>IFERROR(VLOOKUP($B185,#REF!,10,FALSE),"")</f>
        <v/>
      </c>
      <c r="Q185" s="31" t="str">
        <f>IFERROR(VLOOKUP($B185,#REF!,11,FALSE),"")</f>
        <v/>
      </c>
      <c r="R185" s="31" t="str">
        <f>IFERROR(VLOOKUP($B185,#REF!,12,FALSE),"")</f>
        <v/>
      </c>
      <c r="S185" s="31">
        <f t="shared" si="311"/>
        <v>82184.61362609113</v>
      </c>
      <c r="T185" s="31">
        <f t="shared" si="312"/>
        <v>16938.737703472474</v>
      </c>
      <c r="U185" s="31">
        <f t="shared" si="313"/>
        <v>47932.893905565856</v>
      </c>
      <c r="V185" s="31">
        <f t="shared" si="314"/>
        <v>44594.501927549747</v>
      </c>
      <c r="W185" s="31">
        <f t="shared" si="315"/>
        <v>82184.61362609113</v>
      </c>
      <c r="X185" s="31">
        <f t="shared" si="316"/>
        <v>16938.737703472474</v>
      </c>
      <c r="Y185" s="31">
        <f t="shared" si="317"/>
        <v>47932.893905565856</v>
      </c>
      <c r="Z185" s="31">
        <f t="shared" si="318"/>
        <v>44594.501927549747</v>
      </c>
      <c r="AA185" s="31">
        <f t="shared" si="319"/>
        <v>82209.363368572158</v>
      </c>
      <c r="AB185" s="31">
        <f t="shared" si="320"/>
        <v>17526.004478502124</v>
      </c>
      <c r="AC185" s="31">
        <f t="shared" si="321"/>
        <v>47972.762475165953</v>
      </c>
      <c r="AD185" s="31">
        <f t="shared" si="322"/>
        <v>44631.593762801393</v>
      </c>
      <c r="AE185" s="31">
        <f t="shared" si="323"/>
        <v>192339.72408504161</v>
      </c>
      <c r="AF185" s="31">
        <f>IFERROR(VLOOKUP(A185,'Allocations By Type'!$D$7:$F$491,3,FALSE),"")</f>
        <v>186607.14</v>
      </c>
      <c r="AG185" s="31">
        <f t="shared" si="324"/>
        <v>7693.5889634016648</v>
      </c>
      <c r="AH185" s="31">
        <f t="shared" si="325"/>
        <v>5732.5840850415989</v>
      </c>
      <c r="AI185" s="31">
        <f t="shared" si="326"/>
        <v>186607.14</v>
      </c>
      <c r="AJ185" s="31">
        <f>AI185/$AI$577*'State Admin 1004(b)'!$B$30*0.01</f>
        <v>1775.846714860164</v>
      </c>
      <c r="AK185" s="31">
        <f t="shared" si="327"/>
        <v>184831.29328513984</v>
      </c>
      <c r="AL185" s="31">
        <f t="shared" si="328"/>
        <v>1848.3129328513985</v>
      </c>
      <c r="AM185" s="31">
        <f t="shared" si="329"/>
        <v>182982.98035228843</v>
      </c>
      <c r="AP185" s="31"/>
      <c r="AQ185" s="4">
        <f t="shared" si="330"/>
        <v>0.98057866570533381</v>
      </c>
      <c r="AW185" s="31">
        <f t="shared" si="331"/>
        <v>182396.33016058005</v>
      </c>
      <c r="AX185" s="4">
        <f t="shared" si="332"/>
        <v>0.97743489429493446</v>
      </c>
      <c r="AZ185" s="174" t="str">
        <f>IFERROR(IF(VLOOKUP(A185,#REF!,11,FALSE)=0,"",VLOOKUP(A185,#REF!,11,FALSE)),"")</f>
        <v/>
      </c>
      <c r="BA185" s="31" t="str">
        <f t="shared" si="333"/>
        <v/>
      </c>
      <c r="BB185" s="31">
        <f t="shared" si="334"/>
        <v>182396.33016058005</v>
      </c>
      <c r="BD185" s="31" t="str">
        <f>IFERROR(VLOOKUP(A185,'Title II Hold Harmless'!A$1:B$439,2, FALSE),"")</f>
        <v/>
      </c>
      <c r="BE185" s="31">
        <f t="shared" si="337"/>
        <v>2514.1656990405131</v>
      </c>
      <c r="BF185" s="31">
        <f t="shared" si="338"/>
        <v>2516.5983043811921</v>
      </c>
      <c r="BG185" s="31" t="str">
        <f t="shared" si="335"/>
        <v/>
      </c>
      <c r="BH185" s="31">
        <f t="shared" si="336"/>
        <v>2516.5983043811921</v>
      </c>
    </row>
    <row r="186" spans="1:60" x14ac:dyDescent="0.3">
      <c r="A186" s="1">
        <v>78517000</v>
      </c>
      <c r="B186">
        <f>VLOOKUP(C186,'NCES ID'!$A$2:$B$3136,2,FALSE)</f>
        <v>400447</v>
      </c>
      <c r="C186">
        <f>VLOOKUP(A186,'State ID'!$A$2:$B$713,2,FALSE)</f>
        <v>88334</v>
      </c>
      <c r="D186" s="147" t="s">
        <v>32</v>
      </c>
      <c r="E186" t="s">
        <v>7</v>
      </c>
      <c r="I186" s="47">
        <f>VLOOKUP($C186,'Final SEA Counts'!$A$2:$F$709,5,FALSE)</f>
        <v>337</v>
      </c>
      <c r="J186" s="47">
        <f>VLOOKUP($C186,'Final SEA Counts'!$A$2:$F$709,6,FALSE)</f>
        <v>271</v>
      </c>
      <c r="K186" s="24">
        <f t="shared" si="308"/>
        <v>337</v>
      </c>
      <c r="L186" s="24">
        <f t="shared" si="309"/>
        <v>133.91226033752389</v>
      </c>
      <c r="M186" s="4">
        <f t="shared" si="310"/>
        <v>0.39736575767811244</v>
      </c>
      <c r="N186" s="31" t="str">
        <f>IFERROR(VLOOKUP($B186,#REF!,8,FALSE),"")</f>
        <v/>
      </c>
      <c r="O186" s="31" t="str">
        <f>IFERROR(VLOOKUP($B186,#REF!,9,FALSE),"")</f>
        <v/>
      </c>
      <c r="P186" s="31" t="str">
        <f>IFERROR(VLOOKUP($B186,#REF!,10,FALSE),"")</f>
        <v/>
      </c>
      <c r="Q186" s="31" t="str">
        <f>IFERROR(VLOOKUP($B186,#REF!,11,FALSE),"")</f>
        <v/>
      </c>
      <c r="R186" s="31" t="str">
        <f>IFERROR(VLOOKUP($B186,#REF!,12,FALSE),"")</f>
        <v/>
      </c>
      <c r="S186" s="31">
        <f t="shared" si="311"/>
        <v>64556.609543973042</v>
      </c>
      <c r="T186" s="31">
        <f t="shared" si="312"/>
        <v>13305.501210553741</v>
      </c>
      <c r="U186" s="31">
        <f t="shared" si="313"/>
        <v>37651.635502632889</v>
      </c>
      <c r="V186" s="31">
        <f t="shared" si="314"/>
        <v>35029.304412655016</v>
      </c>
      <c r="W186" s="31">
        <f t="shared" si="315"/>
        <v>64556.609543973042</v>
      </c>
      <c r="X186" s="31">
        <f t="shared" si="316"/>
        <v>13305.501210553741</v>
      </c>
      <c r="Y186" s="31">
        <f t="shared" si="317"/>
        <v>37651.635502632889</v>
      </c>
      <c r="Z186" s="31">
        <f t="shared" si="318"/>
        <v>35029.304412655016</v>
      </c>
      <c r="AA186" s="31">
        <f t="shared" si="319"/>
        <v>64581.359286454077</v>
      </c>
      <c r="AB186" s="31">
        <f t="shared" si="320"/>
        <v>13892.767985583389</v>
      </c>
      <c r="AC186" s="31">
        <f t="shared" si="321"/>
        <v>37691.504072232987</v>
      </c>
      <c r="AD186" s="31">
        <f t="shared" si="322"/>
        <v>35066.396247906661</v>
      </c>
      <c r="AE186" s="31">
        <f t="shared" si="323"/>
        <v>151232.02759217712</v>
      </c>
      <c r="AF186" s="31">
        <f>IFERROR(VLOOKUP(A186,'Allocations By Type'!$D$7:$F$491,3,FALSE),"")</f>
        <v>194544.83</v>
      </c>
      <c r="AG186" s="31" t="str">
        <f t="shared" si="324"/>
        <v/>
      </c>
      <c r="AH186" s="31" t="str">
        <f t="shared" si="325"/>
        <v/>
      </c>
      <c r="AI186" s="31">
        <f t="shared" si="326"/>
        <v>151232.02759217712</v>
      </c>
      <c r="AJ186" s="31">
        <f>AI186/$AI$577*'State Admin 1004(b)'!$B$30*0.01</f>
        <v>1439.1994828344157</v>
      </c>
      <c r="AK186" s="31">
        <f t="shared" si="327"/>
        <v>149792.82810934272</v>
      </c>
      <c r="AL186" s="31">
        <f t="shared" si="328"/>
        <v>1497.9282810934271</v>
      </c>
      <c r="AM186" s="31">
        <f t="shared" si="329"/>
        <v>148294.8998282493</v>
      </c>
      <c r="AP186" s="31"/>
      <c r="AQ186" s="4">
        <f t="shared" si="330"/>
        <v>0.76226595087748827</v>
      </c>
      <c r="AW186" s="31">
        <f t="shared" si="331"/>
        <v>147819.46090356828</v>
      </c>
      <c r="AX186" s="4">
        <f t="shared" si="332"/>
        <v>0.75982209809208645</v>
      </c>
      <c r="AZ186" s="174" t="str">
        <f>IFERROR(IF(VLOOKUP(A186,#REF!,11,FALSE)=0,"",VLOOKUP(A186,#REF!,11,FALSE)),"")</f>
        <v/>
      </c>
      <c r="BA186" s="31" t="str">
        <f t="shared" si="333"/>
        <v/>
      </c>
      <c r="BB186" s="31">
        <f t="shared" si="334"/>
        <v>147819.46090356828</v>
      </c>
      <c r="BD186" s="31" t="str">
        <f>IFERROR(VLOOKUP(A186,'Title II Hold Harmless'!A$1:B$439,2, FALSE),"")</f>
        <v/>
      </c>
      <c r="BE186" s="31">
        <f t="shared" si="337"/>
        <v>2024.2190987669353</v>
      </c>
      <c r="BF186" s="31">
        <f t="shared" si="338"/>
        <v>2026.1776515354516</v>
      </c>
      <c r="BG186" s="31" t="str">
        <f t="shared" si="335"/>
        <v/>
      </c>
      <c r="BH186" s="31">
        <f t="shared" si="336"/>
        <v>2026.1776515354516</v>
      </c>
    </row>
    <row r="187" spans="1:60" x14ac:dyDescent="0.3">
      <c r="A187" s="1">
        <v>78953000</v>
      </c>
      <c r="B187">
        <f>VLOOKUP(C187,'NCES ID'!$A$2:$B$3136,2,FALSE)</f>
        <v>400354</v>
      </c>
      <c r="C187">
        <f>VLOOKUP(A187,'State ID'!$A$2:$B$713,2,FALSE)</f>
        <v>79877</v>
      </c>
      <c r="D187" s="147" t="s">
        <v>33</v>
      </c>
      <c r="E187" t="s">
        <v>7</v>
      </c>
      <c r="I187" s="47">
        <f>VLOOKUP($C187,'Final SEA Counts'!$A$2:$F$709,5,FALSE)</f>
        <v>218</v>
      </c>
      <c r="J187" s="47">
        <f>VLOOKUP($C187,'Final SEA Counts'!$A$2:$F$709,6,FALSE)</f>
        <v>217</v>
      </c>
      <c r="K187" s="24">
        <f t="shared" si="308"/>
        <v>218</v>
      </c>
      <c r="L187" s="24">
        <f t="shared" si="309"/>
        <v>107.22863650643056</v>
      </c>
      <c r="M187" s="4">
        <f t="shared" si="310"/>
        <v>0.49187447938729617</v>
      </c>
      <c r="N187" s="31" t="str">
        <f>IFERROR(VLOOKUP($B187,#REF!,8,FALSE),"")</f>
        <v/>
      </c>
      <c r="O187" s="31" t="str">
        <f>IFERROR(VLOOKUP($B187,#REF!,9,FALSE),"")</f>
        <v/>
      </c>
      <c r="P187" s="31" t="str">
        <f>IFERROR(VLOOKUP($B187,#REF!,10,FALSE),"")</f>
        <v/>
      </c>
      <c r="Q187" s="31" t="str">
        <f>IFERROR(VLOOKUP($B187,#REF!,11,FALSE),"")</f>
        <v/>
      </c>
      <c r="R187" s="31" t="str">
        <f>IFERROR(VLOOKUP($B187,#REF!,12,FALSE),"")</f>
        <v/>
      </c>
      <c r="S187" s="31">
        <f t="shared" si="311"/>
        <v>51692.930889454423</v>
      </c>
      <c r="T187" s="31">
        <f t="shared" si="312"/>
        <v>10654.220526531961</v>
      </c>
      <c r="U187" s="31">
        <f t="shared" si="313"/>
        <v>30149.0955869791</v>
      </c>
      <c r="V187" s="31">
        <f t="shared" si="314"/>
        <v>28049.295415299406</v>
      </c>
      <c r="W187" s="31">
        <f t="shared" si="315"/>
        <v>51692.930889454423</v>
      </c>
      <c r="X187" s="31">
        <f t="shared" si="316"/>
        <v>10654.220526531961</v>
      </c>
      <c r="Y187" s="31">
        <f t="shared" si="317"/>
        <v>30149.0955869791</v>
      </c>
      <c r="Z187" s="31">
        <f t="shared" si="318"/>
        <v>28049.295415299406</v>
      </c>
      <c r="AA187" s="31">
        <f t="shared" si="319"/>
        <v>51717.680631935458</v>
      </c>
      <c r="AB187" s="31">
        <f t="shared" si="320"/>
        <v>11241.487301561609</v>
      </c>
      <c r="AC187" s="31">
        <f t="shared" si="321"/>
        <v>30188.964156579197</v>
      </c>
      <c r="AD187" s="31">
        <f t="shared" si="322"/>
        <v>28086.387250551052</v>
      </c>
      <c r="AE187" s="31">
        <f t="shared" si="323"/>
        <v>121234.51934062732</v>
      </c>
      <c r="AF187" s="31">
        <f>IFERROR(VLOOKUP(A187,'Allocations By Type'!$D$7:$F$491,3,FALSE),"")</f>
        <v>110405.32</v>
      </c>
      <c r="AG187" s="31">
        <f t="shared" si="324"/>
        <v>4849.3807736250928</v>
      </c>
      <c r="AH187" s="31">
        <f t="shared" si="325"/>
        <v>4849.3807736250928</v>
      </c>
      <c r="AI187" s="31">
        <f t="shared" si="326"/>
        <v>116385.13856700223</v>
      </c>
      <c r="AJ187" s="31">
        <f>AI187/$AI$577*'State Admin 1004(b)'!$B$30*0.01</f>
        <v>1107.5790882532997</v>
      </c>
      <c r="AK187" s="31">
        <f t="shared" si="327"/>
        <v>115277.55947874892</v>
      </c>
      <c r="AL187" s="31">
        <f t="shared" si="328"/>
        <v>1152.7755947874894</v>
      </c>
      <c r="AM187" s="31">
        <f t="shared" si="329"/>
        <v>114124.78388396144</v>
      </c>
      <c r="AP187" s="31"/>
      <c r="AQ187" s="4">
        <f t="shared" si="330"/>
        <v>1.0336891726228541</v>
      </c>
      <c r="AW187" s="31">
        <f t="shared" si="331"/>
        <v>113758.89561273913</v>
      </c>
      <c r="AX187" s="4">
        <f t="shared" si="332"/>
        <v>1.0303751269661563</v>
      </c>
      <c r="AZ187" s="174" t="str">
        <f>IFERROR(IF(VLOOKUP(A187,#REF!,11,FALSE)=0,"",VLOOKUP(A187,#REF!,11,FALSE)),"")</f>
        <v/>
      </c>
      <c r="BA187" s="31" t="str">
        <f t="shared" si="333"/>
        <v/>
      </c>
      <c r="BB187" s="31">
        <f t="shared" si="334"/>
        <v>113758.89561273913</v>
      </c>
      <c r="BD187" s="31" t="str">
        <f>IFERROR(VLOOKUP(A187,'Title II Hold Harmless'!A$1:B$439,2, FALSE),"")</f>
        <v/>
      </c>
      <c r="BE187" s="31">
        <f t="shared" si="337"/>
        <v>1579.1413431563703</v>
      </c>
      <c r="BF187" s="31">
        <f t="shared" si="338"/>
        <v>1580.6692566373772</v>
      </c>
      <c r="BG187" s="31" t="str">
        <f t="shared" si="335"/>
        <v/>
      </c>
      <c r="BH187" s="31">
        <f t="shared" si="336"/>
        <v>1580.6692566373772</v>
      </c>
    </row>
    <row r="188" spans="1:60" x14ac:dyDescent="0.3">
      <c r="A188" s="1">
        <v>78956000</v>
      </c>
      <c r="B188">
        <f>VLOOKUP(C188,'NCES ID'!$A$2:$B$3136,2,FALSE)</f>
        <v>400355</v>
      </c>
      <c r="C188">
        <f>VLOOKUP(A188,'State ID'!$A$2:$B$713,2,FALSE)</f>
        <v>79879</v>
      </c>
      <c r="D188" s="147" t="s">
        <v>34</v>
      </c>
      <c r="E188" t="s">
        <v>7</v>
      </c>
      <c r="I188" s="47">
        <f>VLOOKUP($C188,'Final SEA Counts'!$A$2:$F$709,5,FALSE)</f>
        <v>221</v>
      </c>
      <c r="J188" s="47">
        <f>VLOOKUP($C188,'Final SEA Counts'!$A$2:$F$709,6,FALSE)</f>
        <v>212</v>
      </c>
      <c r="K188" s="24">
        <f t="shared" si="308"/>
        <v>221</v>
      </c>
      <c r="L188" s="24">
        <f t="shared" si="309"/>
        <v>104.75793059614415</v>
      </c>
      <c r="M188" s="4">
        <f t="shared" si="310"/>
        <v>0.47401778550291468</v>
      </c>
      <c r="N188" s="31" t="str">
        <f>IFERROR(VLOOKUP($B188,#REF!,8,FALSE),"")</f>
        <v/>
      </c>
      <c r="O188" s="31" t="str">
        <f>IFERROR(VLOOKUP($B188,#REF!,9,FALSE),"")</f>
        <v/>
      </c>
      <c r="P188" s="31" t="str">
        <f>IFERROR(VLOOKUP($B188,#REF!,10,FALSE),"")</f>
        <v/>
      </c>
      <c r="Q188" s="31" t="str">
        <f>IFERROR(VLOOKUP($B188,#REF!,11,FALSE),"")</f>
        <v/>
      </c>
      <c r="R188" s="31" t="str">
        <f>IFERROR(VLOOKUP($B188,#REF!,12,FALSE),"")</f>
        <v/>
      </c>
      <c r="S188" s="31">
        <f t="shared" si="311"/>
        <v>50501.849532554552</v>
      </c>
      <c r="T188" s="31">
        <f t="shared" si="312"/>
        <v>10408.731574307723</v>
      </c>
      <c r="U188" s="31">
        <f t="shared" si="313"/>
        <v>29454.415965159307</v>
      </c>
      <c r="V188" s="31">
        <f t="shared" si="314"/>
        <v>27402.998285914626</v>
      </c>
      <c r="W188" s="31">
        <f t="shared" si="315"/>
        <v>50501.849532554552</v>
      </c>
      <c r="X188" s="31">
        <f t="shared" si="316"/>
        <v>10408.731574307723</v>
      </c>
      <c r="Y188" s="31">
        <f t="shared" si="317"/>
        <v>29454.415965159307</v>
      </c>
      <c r="Z188" s="31">
        <f t="shared" si="318"/>
        <v>27402.998285914626</v>
      </c>
      <c r="AA188" s="31">
        <f t="shared" si="319"/>
        <v>50526.599275035587</v>
      </c>
      <c r="AB188" s="31">
        <f t="shared" si="320"/>
        <v>10995.998349337371</v>
      </c>
      <c r="AC188" s="31">
        <f t="shared" si="321"/>
        <v>29494.284534759405</v>
      </c>
      <c r="AD188" s="31">
        <f t="shared" si="322"/>
        <v>27440.090121166271</v>
      </c>
      <c r="AE188" s="31">
        <f t="shared" si="323"/>
        <v>118456.97228029864</v>
      </c>
      <c r="AF188" s="31">
        <f>IFERROR(VLOOKUP(A188,'Allocations By Type'!$D$7:$F$491,3,FALSE),"")</f>
        <v>121518.09</v>
      </c>
      <c r="AG188" s="31" t="str">
        <f t="shared" si="324"/>
        <v/>
      </c>
      <c r="AH188" s="31" t="str">
        <f t="shared" si="325"/>
        <v/>
      </c>
      <c r="AI188" s="31">
        <f t="shared" si="326"/>
        <v>118456.97228029864</v>
      </c>
      <c r="AJ188" s="31">
        <f>AI188/$AI$577*'State Admin 1004(b)'!$B$30*0.01</f>
        <v>1127.2956923097897</v>
      </c>
      <c r="AK188" s="31">
        <f t="shared" si="327"/>
        <v>117329.67658798884</v>
      </c>
      <c r="AL188" s="31">
        <f t="shared" si="328"/>
        <v>1173.2967658798884</v>
      </c>
      <c r="AM188" s="31">
        <f t="shared" si="329"/>
        <v>116156.37982210895</v>
      </c>
      <c r="AP188" s="31"/>
      <c r="AQ188" s="4">
        <f t="shared" si="330"/>
        <v>0.95587726750896884</v>
      </c>
      <c r="AW188" s="31">
        <f t="shared" si="331"/>
        <v>115783.97817929168</v>
      </c>
      <c r="AX188" s="4">
        <f t="shared" si="332"/>
        <v>0.95281268969329325</v>
      </c>
      <c r="AZ188" s="174" t="str">
        <f>IFERROR(IF(VLOOKUP(A188,#REF!,11,FALSE)=0,"",VLOOKUP(A188,#REF!,11,FALSE)),"")</f>
        <v/>
      </c>
      <c r="BA188" s="31" t="str">
        <f t="shared" si="333"/>
        <v/>
      </c>
      <c r="BB188" s="31">
        <f t="shared" si="334"/>
        <v>115783.97817929168</v>
      </c>
      <c r="BD188" s="31" t="str">
        <f>IFERROR(VLOOKUP(A188,'Title II Hold Harmless'!A$1:B$439,2, FALSE),"")</f>
        <v/>
      </c>
      <c r="BE188" s="31">
        <f t="shared" si="337"/>
        <v>1549.2125392099335</v>
      </c>
      <c r="BF188" s="31">
        <f t="shared" si="338"/>
        <v>1550.7114947871919</v>
      </c>
      <c r="BG188" s="31" t="str">
        <f t="shared" si="335"/>
        <v/>
      </c>
      <c r="BH188" s="31">
        <f t="shared" si="336"/>
        <v>1550.7114947871919</v>
      </c>
    </row>
    <row r="189" spans="1:60" x14ac:dyDescent="0.3">
      <c r="A189" s="1">
        <v>78665000</v>
      </c>
      <c r="B189">
        <f>VLOOKUP(C189,'NCES ID'!$A$2:$B$3136,2,FALSE)</f>
        <v>400164</v>
      </c>
      <c r="C189">
        <f>VLOOKUP(A189,'State ID'!$A$2:$B$713,2,FALSE)</f>
        <v>6378</v>
      </c>
      <c r="D189" s="147" t="s">
        <v>41</v>
      </c>
      <c r="E189" t="s">
        <v>7</v>
      </c>
      <c r="I189" s="47">
        <f>VLOOKUP($C189,'Final SEA Counts'!$A$2:$F$709,5,FALSE)</f>
        <v>73</v>
      </c>
      <c r="J189" s="47">
        <f>VLOOKUP($C189,'Final SEA Counts'!$A$2:$F$709,6,FALSE)</f>
        <v>54</v>
      </c>
      <c r="K189" s="24">
        <f t="shared" si="308"/>
        <v>73</v>
      </c>
      <c r="L189" s="24">
        <f t="shared" si="309"/>
        <v>26.683623831093318</v>
      </c>
      <c r="M189" s="4">
        <f t="shared" si="310"/>
        <v>0.36552909357662078</v>
      </c>
      <c r="N189" s="31" t="str">
        <f>IFERROR(VLOOKUP($B189,#REF!,8,FALSE),"")</f>
        <v/>
      </c>
      <c r="O189" s="31" t="str">
        <f>IFERROR(VLOOKUP($B189,#REF!,9,FALSE),"")</f>
        <v/>
      </c>
      <c r="P189" s="31" t="str">
        <f>IFERROR(VLOOKUP($B189,#REF!,10,FALSE),"")</f>
        <v/>
      </c>
      <c r="Q189" s="31" t="str">
        <f>IFERROR(VLOOKUP($B189,#REF!,11,FALSE),"")</f>
        <v/>
      </c>
      <c r="R189" s="31" t="str">
        <f>IFERROR(VLOOKUP($B189,#REF!,12,FALSE),"")</f>
        <v/>
      </c>
      <c r="S189" s="31">
        <f t="shared" si="311"/>
        <v>12863.678654518611</v>
      </c>
      <c r="T189" s="31">
        <f t="shared" si="312"/>
        <v>2651.2806840217781</v>
      </c>
      <c r="U189" s="31">
        <f t="shared" si="313"/>
        <v>7502.5399156537851</v>
      </c>
      <c r="V189" s="31">
        <f t="shared" si="314"/>
        <v>6980.0089973556114</v>
      </c>
      <c r="W189" s="31">
        <f t="shared" si="315"/>
        <v>12863.678654518611</v>
      </c>
      <c r="X189" s="31">
        <f t="shared" si="316"/>
        <v>2651.2806840217781</v>
      </c>
      <c r="Y189" s="31">
        <f t="shared" si="317"/>
        <v>7502.5399156537851</v>
      </c>
      <c r="Z189" s="31">
        <f t="shared" si="318"/>
        <v>6980.0089973556114</v>
      </c>
      <c r="AA189" s="31">
        <f t="shared" si="319"/>
        <v>12888.428396999647</v>
      </c>
      <c r="AB189" s="31">
        <f t="shared" si="320"/>
        <v>3238.5474590514264</v>
      </c>
      <c r="AC189" s="31">
        <f t="shared" si="321"/>
        <v>7542.4084852538817</v>
      </c>
      <c r="AD189" s="31">
        <f t="shared" si="322"/>
        <v>7017.1008326072561</v>
      </c>
      <c r="AE189" s="31">
        <f t="shared" si="323"/>
        <v>30686.48517391221</v>
      </c>
      <c r="AF189" s="31">
        <f>IFERROR(VLOOKUP(A189,'Allocations By Type'!$D$7:$F$491,3,FALSE),"")</f>
        <v>36320.22</v>
      </c>
      <c r="AG189" s="31" t="str">
        <f t="shared" si="324"/>
        <v/>
      </c>
      <c r="AH189" s="31" t="str">
        <f t="shared" si="325"/>
        <v/>
      </c>
      <c r="AI189" s="31">
        <f t="shared" si="326"/>
        <v>30686.48517391221</v>
      </c>
      <c r="AJ189" s="31">
        <f>AI189/$AI$577*'State Admin 1004(b)'!$B$30*0.01</f>
        <v>292.02791429468954</v>
      </c>
      <c r="AK189" s="31">
        <f t="shared" si="327"/>
        <v>30394.45725961752</v>
      </c>
      <c r="AL189" s="31">
        <f t="shared" si="328"/>
        <v>303.94457259617519</v>
      </c>
      <c r="AM189" s="31">
        <f t="shared" si="329"/>
        <v>30090.512687021346</v>
      </c>
      <c r="AP189" s="31"/>
      <c r="AQ189" s="4">
        <f t="shared" si="330"/>
        <v>0.82847826051222562</v>
      </c>
      <c r="AW189" s="31">
        <f t="shared" si="331"/>
        <v>29994.041392245956</v>
      </c>
      <c r="AX189" s="4">
        <f t="shared" si="332"/>
        <v>0.82582212861722626</v>
      </c>
      <c r="AZ189" s="174" t="str">
        <f>IFERROR(IF(VLOOKUP(A189,#REF!,11,FALSE)=0,"",VLOOKUP(A189,#REF!,11,FALSE)),"")</f>
        <v/>
      </c>
      <c r="BA189" s="31" t="str">
        <f t="shared" si="333"/>
        <v/>
      </c>
      <c r="BB189" s="31">
        <f t="shared" si="334"/>
        <v>29994.041392245956</v>
      </c>
      <c r="BD189" s="31">
        <f>IFERROR(VLOOKUP(A189,'Title II Hold Harmless'!A$1:B$439,2, FALSE),"")</f>
        <v>1363</v>
      </c>
      <c r="BE189" s="31">
        <f t="shared" si="337"/>
        <v>1771.0569698939444</v>
      </c>
      <c r="BF189" s="31">
        <f t="shared" si="338"/>
        <v>1772.7705731959281</v>
      </c>
      <c r="BG189" s="31" t="str">
        <f t="shared" si="335"/>
        <v/>
      </c>
      <c r="BH189" s="31">
        <f t="shared" si="336"/>
        <v>1772.7705731959281</v>
      </c>
    </row>
    <row r="190" spans="1:60" x14ac:dyDescent="0.3">
      <c r="A190" s="1">
        <v>78510000</v>
      </c>
      <c r="B190">
        <f>VLOOKUP(C190,'NCES ID'!$A$2:$B$3136,2,FALSE)</f>
        <v>400426</v>
      </c>
      <c r="C190">
        <f>VLOOKUP(A190,'State ID'!$A$2:$B$713,2,FALSE)</f>
        <v>87403</v>
      </c>
      <c r="D190" s="147" t="s">
        <v>42</v>
      </c>
      <c r="E190" t="s">
        <v>7</v>
      </c>
      <c r="I190" s="47">
        <f>VLOOKUP($C190,'Final SEA Counts'!$A$2:$F$709,5,FALSE)</f>
        <v>121</v>
      </c>
      <c r="J190" s="47">
        <f>VLOOKUP($C190,'Final SEA Counts'!$A$2:$F$709,6,FALSE)</f>
        <v>33</v>
      </c>
      <c r="K190" s="24">
        <f t="shared" si="308"/>
        <v>121</v>
      </c>
      <c r="L190" s="24">
        <f t="shared" si="309"/>
        <v>16.30665900789036</v>
      </c>
      <c r="M190" s="4">
        <f t="shared" si="310"/>
        <v>0.13476577692471373</v>
      </c>
      <c r="N190" s="31" t="str">
        <f>IFERROR(VLOOKUP($B190,#REF!,8,FALSE),"")</f>
        <v/>
      </c>
      <c r="O190" s="31" t="str">
        <f>IFERROR(VLOOKUP($B190,#REF!,9,FALSE),"")</f>
        <v/>
      </c>
      <c r="P190" s="31" t="str">
        <f>IFERROR(VLOOKUP($B190,#REF!,10,FALSE),"")</f>
        <v/>
      </c>
      <c r="Q190" s="31" t="str">
        <f>IFERROR(VLOOKUP($B190,#REF!,11,FALSE),"")</f>
        <v/>
      </c>
      <c r="R190" s="31" t="str">
        <f>IFERROR(VLOOKUP($B190,#REF!,12,FALSE),"")</f>
        <v/>
      </c>
      <c r="S190" s="31">
        <f t="shared" si="311"/>
        <v>7861.1369555391511</v>
      </c>
      <c r="T190" s="31">
        <f t="shared" si="312"/>
        <v>1620.2270846799756</v>
      </c>
      <c r="U190" s="31">
        <f t="shared" si="313"/>
        <v>4584.8855040106464</v>
      </c>
      <c r="V190" s="31">
        <f t="shared" si="314"/>
        <v>4265.5610539395402</v>
      </c>
      <c r="W190" s="31">
        <f t="shared" si="315"/>
        <v>7861.1369555391511</v>
      </c>
      <c r="X190" s="31" t="str">
        <f t="shared" si="316"/>
        <v/>
      </c>
      <c r="Y190" s="31">
        <f t="shared" si="317"/>
        <v>4584.8855040106464</v>
      </c>
      <c r="Z190" s="31">
        <f t="shared" si="318"/>
        <v>4265.5610539395402</v>
      </c>
      <c r="AA190" s="31">
        <f t="shared" si="319"/>
        <v>7885.8866980201865</v>
      </c>
      <c r="AB190" s="31" t="str">
        <f t="shared" si="320"/>
        <v/>
      </c>
      <c r="AC190" s="31">
        <f t="shared" si="321"/>
        <v>4624.754073610743</v>
      </c>
      <c r="AD190" s="31">
        <f t="shared" si="322"/>
        <v>4302.6528891911848</v>
      </c>
      <c r="AE190" s="31">
        <f t="shared" si="323"/>
        <v>16813.293660822113</v>
      </c>
      <c r="AF190" s="31">
        <f>IFERROR(VLOOKUP(A190,'Allocations By Type'!$D$7:$F$491,3,FALSE),"")</f>
        <v>27324.18</v>
      </c>
      <c r="AG190" s="31" t="str">
        <f t="shared" si="324"/>
        <v/>
      </c>
      <c r="AH190" s="31" t="str">
        <f t="shared" si="325"/>
        <v/>
      </c>
      <c r="AI190" s="31">
        <f t="shared" si="326"/>
        <v>16813.293660822113</v>
      </c>
      <c r="AJ190" s="31">
        <f>AI190/$AI$577*'State Admin 1004(b)'!$B$30*0.01</f>
        <v>160.00369714444028</v>
      </c>
      <c r="AK190" s="31">
        <f t="shared" si="327"/>
        <v>16653.289963677675</v>
      </c>
      <c r="AL190" s="31">
        <f t="shared" si="328"/>
        <v>166.53289963677676</v>
      </c>
      <c r="AM190" s="31">
        <f t="shared" si="329"/>
        <v>16486.757064040899</v>
      </c>
      <c r="AP190" s="31"/>
      <c r="AQ190" s="4">
        <f t="shared" si="330"/>
        <v>0.60337609633814804</v>
      </c>
      <c r="AW190" s="31">
        <f t="shared" si="331"/>
        <v>16433.899912115357</v>
      </c>
      <c r="AX190" s="4">
        <f t="shared" si="332"/>
        <v>0.60144165029345276</v>
      </c>
      <c r="AZ190" s="174" t="str">
        <f>IFERROR(IF(VLOOKUP(A190,#REF!,11,FALSE)=0,"",VLOOKUP(A190,#REF!,11,FALSE)),"")</f>
        <v/>
      </c>
      <c r="BA190" s="31" t="str">
        <f t="shared" si="333"/>
        <v/>
      </c>
      <c r="BB190" s="31">
        <f t="shared" si="334"/>
        <v>16433.899912115357</v>
      </c>
      <c r="BD190" s="31" t="str">
        <f>IFERROR(VLOOKUP(A190,'Title II Hold Harmless'!A$1:B$439,2, FALSE),"")</f>
        <v/>
      </c>
      <c r="BE190" s="31">
        <f t="shared" si="337"/>
        <v>310.84590232691909</v>
      </c>
      <c r="BF190" s="31">
        <f t="shared" si="338"/>
        <v>311.1466642864101</v>
      </c>
      <c r="BG190" s="31" t="str">
        <f t="shared" si="335"/>
        <v/>
      </c>
      <c r="BH190" s="31">
        <f t="shared" si="336"/>
        <v>311.1466642864101</v>
      </c>
    </row>
    <row r="191" spans="1:60" x14ac:dyDescent="0.3">
      <c r="A191" s="1">
        <v>78707000</v>
      </c>
      <c r="B191">
        <f>VLOOKUP(C191,'NCES ID'!$A$2:$B$3136,2,FALSE)</f>
        <v>400106</v>
      </c>
      <c r="C191">
        <f>VLOOKUP(A191,'State ID'!$A$2:$B$713,2,FALSE)</f>
        <v>4331</v>
      </c>
      <c r="D191" s="147" t="s">
        <v>42</v>
      </c>
      <c r="E191" t="s">
        <v>7</v>
      </c>
      <c r="I191" s="47">
        <f>VLOOKUP($C191,'Final SEA Counts'!$A$2:$F$709,5,FALSE)</f>
        <v>315</v>
      </c>
      <c r="J191" s="47">
        <f>VLOOKUP($C191,'Final SEA Counts'!$A$2:$F$709,6,FALSE)</f>
        <v>63</v>
      </c>
      <c r="K191" s="24">
        <f t="shared" si="308"/>
        <v>315</v>
      </c>
      <c r="L191" s="24">
        <f t="shared" si="309"/>
        <v>31.130894469608872</v>
      </c>
      <c r="M191" s="4">
        <f t="shared" si="310"/>
        <v>9.8828236411456744E-2</v>
      </c>
      <c r="N191" s="31" t="str">
        <f>IFERROR(VLOOKUP($B191,#REF!,8,FALSE),"")</f>
        <v/>
      </c>
      <c r="O191" s="31" t="str">
        <f>IFERROR(VLOOKUP($B191,#REF!,9,FALSE),"")</f>
        <v/>
      </c>
      <c r="P191" s="31" t="str">
        <f>IFERROR(VLOOKUP($B191,#REF!,10,FALSE),"")</f>
        <v/>
      </c>
      <c r="Q191" s="31" t="str">
        <f>IFERROR(VLOOKUP($B191,#REF!,11,FALSE),"")</f>
        <v/>
      </c>
      <c r="R191" s="31" t="str">
        <f>IFERROR(VLOOKUP($B191,#REF!,12,FALSE),"")</f>
        <v/>
      </c>
      <c r="S191" s="31">
        <f t="shared" si="311"/>
        <v>15007.62509693838</v>
      </c>
      <c r="T191" s="31">
        <f t="shared" si="312"/>
        <v>3093.160798025408</v>
      </c>
      <c r="U191" s="31">
        <f t="shared" si="313"/>
        <v>8752.9632349294152</v>
      </c>
      <c r="V191" s="31">
        <f t="shared" si="314"/>
        <v>8143.3438302482145</v>
      </c>
      <c r="W191" s="31">
        <f t="shared" si="315"/>
        <v>15007.62509693838</v>
      </c>
      <c r="X191" s="31" t="str">
        <f t="shared" si="316"/>
        <v/>
      </c>
      <c r="Y191" s="31">
        <f t="shared" si="317"/>
        <v>8752.9632349294152</v>
      </c>
      <c r="Z191" s="31">
        <f t="shared" si="318"/>
        <v>8143.3438302482145</v>
      </c>
      <c r="AA191" s="31">
        <f t="shared" si="319"/>
        <v>15032.374839419415</v>
      </c>
      <c r="AB191" s="31" t="str">
        <f t="shared" si="320"/>
        <v/>
      </c>
      <c r="AC191" s="31">
        <f t="shared" si="321"/>
        <v>8792.8318045295109</v>
      </c>
      <c r="AD191" s="31">
        <f t="shared" si="322"/>
        <v>8180.4356654998592</v>
      </c>
      <c r="AE191" s="31">
        <f t="shared" si="323"/>
        <v>32005.642309448787</v>
      </c>
      <c r="AF191" s="31">
        <f>IFERROR(VLOOKUP(A191,'Allocations By Type'!$D$7:$F$491,3,FALSE),"")</f>
        <v>43208.01</v>
      </c>
      <c r="AG191" s="31" t="str">
        <f t="shared" si="324"/>
        <v/>
      </c>
      <c r="AH191" s="31" t="str">
        <f t="shared" si="325"/>
        <v/>
      </c>
      <c r="AI191" s="31">
        <f t="shared" si="326"/>
        <v>32005.642309448787</v>
      </c>
      <c r="AJ191" s="31">
        <f>AI191/$AI$577*'State Admin 1004(b)'!$B$30*0.01</f>
        <v>304.5816722351787</v>
      </c>
      <c r="AK191" s="31">
        <f t="shared" si="327"/>
        <v>31701.06063721361</v>
      </c>
      <c r="AL191" s="31">
        <f t="shared" si="328"/>
        <v>317.01060637213612</v>
      </c>
      <c r="AM191" s="31">
        <f t="shared" si="329"/>
        <v>31384.050030841474</v>
      </c>
      <c r="AP191" s="31"/>
      <c r="AQ191" s="4">
        <f t="shared" si="330"/>
        <v>0.72634796258474932</v>
      </c>
      <c r="AW191" s="31">
        <f t="shared" si="331"/>
        <v>31283.43160757756</v>
      </c>
      <c r="AX191" s="4">
        <f t="shared" si="332"/>
        <v>0.72401926419609608</v>
      </c>
      <c r="AZ191" s="174" t="str">
        <f>IFERROR(IF(VLOOKUP(A191,#REF!,11,FALSE)=0,"",VLOOKUP(A191,#REF!,11,FALSE)),"")</f>
        <v/>
      </c>
      <c r="BA191" s="31" t="str">
        <f t="shared" si="333"/>
        <v/>
      </c>
      <c r="BB191" s="31">
        <f t="shared" si="334"/>
        <v>31283.43160757756</v>
      </c>
      <c r="BD191" s="31">
        <f>IFERROR(VLOOKUP(A191,'Title II Hold Harmless'!A$1:B$439,2, FALSE),"")</f>
        <v>1503</v>
      </c>
      <c r="BE191" s="31">
        <f t="shared" si="337"/>
        <v>2164.0362601777888</v>
      </c>
      <c r="BF191" s="31">
        <f t="shared" si="338"/>
        <v>2166.1300943932265</v>
      </c>
      <c r="BG191" s="31" t="str">
        <f t="shared" si="335"/>
        <v/>
      </c>
      <c r="BH191" s="31">
        <f t="shared" si="336"/>
        <v>2166.1300943932265</v>
      </c>
    </row>
    <row r="192" spans="1:60" x14ac:dyDescent="0.3">
      <c r="A192" s="1">
        <v>78993000</v>
      </c>
      <c r="B192">
        <f>VLOOKUP(C192,'NCES ID'!$A$2:$B$3136,2,FALSE)</f>
        <v>400417</v>
      </c>
      <c r="C192">
        <f>VLOOKUP(A192,'State ID'!$A$2:$B$713,2,FALSE)</f>
        <v>85816</v>
      </c>
      <c r="D192" s="147" t="s">
        <v>43</v>
      </c>
      <c r="E192" t="s">
        <v>7</v>
      </c>
      <c r="I192" s="47">
        <f>VLOOKUP($C192,'Final SEA Counts'!$A$2:$F$709,5,FALSE)</f>
        <v>353</v>
      </c>
      <c r="J192" s="47">
        <f>VLOOKUP($C192,'Final SEA Counts'!$A$2:$F$709,6,FALSE)</f>
        <v>265</v>
      </c>
      <c r="K192" s="24">
        <f t="shared" si="308"/>
        <v>353</v>
      </c>
      <c r="L192" s="24">
        <f t="shared" si="309"/>
        <v>130.94741324518017</v>
      </c>
      <c r="M192" s="4">
        <f t="shared" si="310"/>
        <v>0.37095584488719596</v>
      </c>
      <c r="N192" s="31" t="str">
        <f>IFERROR(VLOOKUP($B192,#REF!,8,FALSE),"")</f>
        <v/>
      </c>
      <c r="O192" s="31" t="str">
        <f>IFERROR(VLOOKUP($B192,#REF!,9,FALSE),"")</f>
        <v/>
      </c>
      <c r="P192" s="31" t="str">
        <f>IFERROR(VLOOKUP($B192,#REF!,10,FALSE),"")</f>
        <v/>
      </c>
      <c r="Q192" s="31" t="str">
        <f>IFERROR(VLOOKUP($B192,#REF!,11,FALSE),"")</f>
        <v/>
      </c>
      <c r="R192" s="31" t="str">
        <f>IFERROR(VLOOKUP($B192,#REF!,12,FALSE),"")</f>
        <v/>
      </c>
      <c r="S192" s="31">
        <f t="shared" si="311"/>
        <v>63127.311915693186</v>
      </c>
      <c r="T192" s="31">
        <f t="shared" si="312"/>
        <v>13010.914467884653</v>
      </c>
      <c r="U192" s="31">
        <f t="shared" si="313"/>
        <v>36818.019956449127</v>
      </c>
      <c r="V192" s="31">
        <f t="shared" si="314"/>
        <v>34253.747857393282</v>
      </c>
      <c r="W192" s="31">
        <f t="shared" si="315"/>
        <v>63127.311915693186</v>
      </c>
      <c r="X192" s="31">
        <f t="shared" si="316"/>
        <v>13010.914467884653</v>
      </c>
      <c r="Y192" s="31">
        <f t="shared" si="317"/>
        <v>36818.019956449127</v>
      </c>
      <c r="Z192" s="31">
        <f t="shared" si="318"/>
        <v>34253.747857393282</v>
      </c>
      <c r="AA192" s="31">
        <f t="shared" si="319"/>
        <v>63152.061658174222</v>
      </c>
      <c r="AB192" s="31">
        <f t="shared" si="320"/>
        <v>13598.181242914301</v>
      </c>
      <c r="AC192" s="31">
        <f t="shared" si="321"/>
        <v>36857.888526049224</v>
      </c>
      <c r="AD192" s="31">
        <f t="shared" si="322"/>
        <v>34290.839692644928</v>
      </c>
      <c r="AE192" s="31">
        <f t="shared" si="323"/>
        <v>147898.97111978268</v>
      </c>
      <c r="AF192" s="31">
        <f>IFERROR(VLOOKUP(A192,'Allocations By Type'!$D$7:$F$491,3,FALSE),"")</f>
        <v>144312.93</v>
      </c>
      <c r="AG192" s="31">
        <f t="shared" si="324"/>
        <v>5915.9588447913075</v>
      </c>
      <c r="AH192" s="31">
        <f t="shared" si="325"/>
        <v>3586.0411197826907</v>
      </c>
      <c r="AI192" s="31">
        <f t="shared" si="326"/>
        <v>144312.93</v>
      </c>
      <c r="AJ192" s="31">
        <f>AI192/$AI$577*'State Admin 1004(b)'!$B$30*0.01</f>
        <v>1373.3538955280319</v>
      </c>
      <c r="AK192" s="31">
        <f t="shared" si="327"/>
        <v>142939.57610447195</v>
      </c>
      <c r="AL192" s="31">
        <f t="shared" si="328"/>
        <v>1429.3957610447196</v>
      </c>
      <c r="AM192" s="31">
        <f t="shared" si="329"/>
        <v>141510.18034342723</v>
      </c>
      <c r="AP192" s="31"/>
      <c r="AQ192" s="4">
        <f t="shared" si="330"/>
        <v>0.98057866570533381</v>
      </c>
      <c r="AW192" s="31">
        <f t="shared" si="331"/>
        <v>141056.49347994226</v>
      </c>
      <c r="AX192" s="4">
        <f t="shared" si="332"/>
        <v>0.97743489429493446</v>
      </c>
      <c r="AZ192" s="174" t="str">
        <f>IFERROR(IF(VLOOKUP(A192,#REF!,11,FALSE)=0,"",VLOOKUP(A192,#REF!,11,FALSE)),"")</f>
        <v/>
      </c>
      <c r="BA192" s="31" t="str">
        <f t="shared" si="333"/>
        <v/>
      </c>
      <c r="BB192" s="31">
        <f t="shared" si="334"/>
        <v>141056.49347994226</v>
      </c>
      <c r="BD192" s="31" t="str">
        <f>IFERROR(VLOOKUP(A192,'Title II Hold Harmless'!A$1:B$439,2, FALSE),"")</f>
        <v/>
      </c>
      <c r="BE192" s="31">
        <f t="shared" si="337"/>
        <v>1998.2840501809089</v>
      </c>
      <c r="BF192" s="31">
        <f t="shared" si="338"/>
        <v>2000.2175092423058</v>
      </c>
      <c r="BG192" s="31" t="str">
        <f t="shared" si="335"/>
        <v/>
      </c>
      <c r="BH192" s="31">
        <f t="shared" si="336"/>
        <v>2000.2175092423058</v>
      </c>
    </row>
    <row r="193" spans="1:60" x14ac:dyDescent="0.3">
      <c r="A193" s="1">
        <v>78587000</v>
      </c>
      <c r="B193">
        <f>VLOOKUP(C193,'NCES ID'!$A$2:$B$3136,2,FALSE)</f>
        <v>400828</v>
      </c>
      <c r="C193">
        <f>VLOOKUP(A193,'State ID'!$A$2:$B$713,2,FALSE)</f>
        <v>90779</v>
      </c>
      <c r="D193" s="147" t="s">
        <v>43</v>
      </c>
      <c r="E193" t="s">
        <v>7</v>
      </c>
      <c r="I193" s="47">
        <f>VLOOKUP($C193,'Final SEA Counts'!$A$2:$F$709,5,FALSE)</f>
        <v>402</v>
      </c>
      <c r="J193" s="47">
        <f>VLOOKUP($C193,'Final SEA Counts'!$A$2:$F$709,6,FALSE)</f>
        <v>160</v>
      </c>
      <c r="K193" s="24">
        <f t="shared" si="308"/>
        <v>402</v>
      </c>
      <c r="L193" s="24">
        <f t="shared" si="309"/>
        <v>79.062589129165389</v>
      </c>
      <c r="M193" s="4">
        <f t="shared" si="310"/>
        <v>0.19667310728648107</v>
      </c>
      <c r="N193" s="31" t="str">
        <f>IFERROR(VLOOKUP($B193,#REF!,8,FALSE),"")</f>
        <v/>
      </c>
      <c r="O193" s="31" t="str">
        <f>IFERROR(VLOOKUP($B193,#REF!,9,FALSE),"")</f>
        <v/>
      </c>
      <c r="P193" s="31" t="str">
        <f>IFERROR(VLOOKUP($B193,#REF!,10,FALSE),"")</f>
        <v/>
      </c>
      <c r="Q193" s="31" t="str">
        <f>IFERROR(VLOOKUP($B193,#REF!,11,FALSE),"")</f>
        <v/>
      </c>
      <c r="R193" s="31" t="str">
        <f>IFERROR(VLOOKUP($B193,#REF!,12,FALSE),"")</f>
        <v/>
      </c>
      <c r="S193" s="31">
        <f t="shared" si="311"/>
        <v>38114.603420795887</v>
      </c>
      <c r="T193" s="31">
        <f t="shared" si="312"/>
        <v>7855.6464711756398</v>
      </c>
      <c r="U193" s="31">
        <f t="shared" si="313"/>
        <v>22229.747898233436</v>
      </c>
      <c r="V193" s="31">
        <f t="shared" si="314"/>
        <v>20681.508140312926</v>
      </c>
      <c r="W193" s="31">
        <f t="shared" si="315"/>
        <v>38114.603420795887</v>
      </c>
      <c r="X193" s="31">
        <f t="shared" si="316"/>
        <v>7855.6464711756398</v>
      </c>
      <c r="Y193" s="31">
        <f t="shared" si="317"/>
        <v>22229.747898233436</v>
      </c>
      <c r="Z193" s="31">
        <f t="shared" si="318"/>
        <v>20681.508140312926</v>
      </c>
      <c r="AA193" s="31">
        <f t="shared" si="319"/>
        <v>38139.353163276923</v>
      </c>
      <c r="AB193" s="31">
        <f t="shared" si="320"/>
        <v>8442.9132462052876</v>
      </c>
      <c r="AC193" s="31">
        <f t="shared" si="321"/>
        <v>22269.616467833534</v>
      </c>
      <c r="AD193" s="31">
        <f t="shared" si="322"/>
        <v>20718.599975564572</v>
      </c>
      <c r="AE193" s="31">
        <f t="shared" si="323"/>
        <v>89570.482852880319</v>
      </c>
      <c r="AF193" s="31">
        <f>IFERROR(VLOOKUP(A193,'Allocations By Type'!$D$7:$F$491,3,FALSE),"")</f>
        <v>81604.53</v>
      </c>
      <c r="AG193" s="31">
        <f t="shared" si="324"/>
        <v>3582.8193141152128</v>
      </c>
      <c r="AH193" s="31">
        <f t="shared" si="325"/>
        <v>3582.8193141152128</v>
      </c>
      <c r="AI193" s="31">
        <f t="shared" si="326"/>
        <v>85987.663538765104</v>
      </c>
      <c r="AJ193" s="31">
        <f>AI193/$AI$577*'State Admin 1004(b)'!$B$30*0.01</f>
        <v>818.30153880401951</v>
      </c>
      <c r="AK193" s="31">
        <f t="shared" si="327"/>
        <v>85169.361999961082</v>
      </c>
      <c r="AL193" s="31">
        <f t="shared" si="328"/>
        <v>851.69361999961086</v>
      </c>
      <c r="AM193" s="31">
        <f t="shared" si="329"/>
        <v>84317.668379961469</v>
      </c>
      <c r="AP193" s="31"/>
      <c r="AQ193" s="4">
        <f t="shared" si="330"/>
        <v>1.0332473991328848</v>
      </c>
      <c r="AW193" s="31">
        <f t="shared" si="331"/>
        <v>84047.342821681261</v>
      </c>
      <c r="AX193" s="4">
        <f t="shared" si="332"/>
        <v>1.0299347698183086</v>
      </c>
      <c r="AZ193" s="174" t="str">
        <f>IFERROR(IF(VLOOKUP(A193,#REF!,11,FALSE)=0,"",VLOOKUP(A193,#REF!,11,FALSE)),"")</f>
        <v/>
      </c>
      <c r="BA193" s="31" t="str">
        <f t="shared" si="333"/>
        <v/>
      </c>
      <c r="BB193" s="31">
        <f t="shared" si="334"/>
        <v>84047.342821681261</v>
      </c>
      <c r="BD193" s="31" t="str">
        <f>IFERROR(VLOOKUP(A193,'Title II Hold Harmless'!A$1:B$439,2, FALSE),"")</f>
        <v/>
      </c>
      <c r="BE193" s="31">
        <f t="shared" si="337"/>
        <v>1358.5119716528584</v>
      </c>
      <c r="BF193" s="31">
        <f t="shared" si="338"/>
        <v>1359.8264130514026</v>
      </c>
      <c r="BG193" s="31" t="str">
        <f t="shared" si="335"/>
        <v/>
      </c>
      <c r="BH193" s="31">
        <f t="shared" si="336"/>
        <v>1359.8264130514026</v>
      </c>
    </row>
    <row r="194" spans="1:60" x14ac:dyDescent="0.3">
      <c r="A194" s="1">
        <v>78226000</v>
      </c>
      <c r="B194" t="e">
        <f>VLOOKUP(C194,'NCES ID'!$A$2:$B$3136,2,FALSE)</f>
        <v>#N/A</v>
      </c>
      <c r="C194">
        <f>VLOOKUP(A194,'State ID'!$A$2:$B$713,2,FALSE)</f>
        <v>91958</v>
      </c>
      <c r="D194" s="147" t="s">
        <v>44</v>
      </c>
      <c r="E194" t="s">
        <v>7</v>
      </c>
      <c r="I194" s="47">
        <f>VLOOKUP($C194,'Final SEA Counts'!$A$2:$F$709,5,FALSE)</f>
        <v>107</v>
      </c>
      <c r="J194" s="47">
        <f>VLOOKUP($C194,'Final SEA Counts'!$A$2:$F$709,6,FALSE)</f>
        <v>86</v>
      </c>
      <c r="K194" s="24">
        <f t="shared" si="308"/>
        <v>107</v>
      </c>
      <c r="L194" s="24">
        <f t="shared" si="309"/>
        <v>42.496141656926397</v>
      </c>
      <c r="M194" s="4">
        <f t="shared" si="310"/>
        <v>0.39716020240118127</v>
      </c>
      <c r="N194" s="31" t="str">
        <f>IFERROR(VLOOKUP($B194,#REF!,8,FALSE),"")</f>
        <v/>
      </c>
      <c r="O194" s="31" t="str">
        <f>IFERROR(VLOOKUP($B194,#REF!,9,FALSE),"")</f>
        <v/>
      </c>
      <c r="P194" s="31" t="str">
        <f>IFERROR(VLOOKUP($B194,#REF!,10,FALSE),"")</f>
        <v/>
      </c>
      <c r="Q194" s="31" t="str">
        <f>IFERROR(VLOOKUP($B194,#REF!,11,FALSE),"")</f>
        <v/>
      </c>
      <c r="R194" s="31" t="str">
        <f>IFERROR(VLOOKUP($B194,#REF!,12,FALSE),"")</f>
        <v/>
      </c>
      <c r="S194" s="31">
        <f t="shared" si="311"/>
        <v>20486.599338677788</v>
      </c>
      <c r="T194" s="31">
        <f t="shared" si="312"/>
        <v>4222.4099782569065</v>
      </c>
      <c r="U194" s="31">
        <f t="shared" si="313"/>
        <v>11948.489495300473</v>
      </c>
      <c r="V194" s="31">
        <f t="shared" si="314"/>
        <v>11116.310625418197</v>
      </c>
      <c r="W194" s="31">
        <f t="shared" si="315"/>
        <v>20486.599338677788</v>
      </c>
      <c r="X194" s="31">
        <f t="shared" si="316"/>
        <v>4222.4099782569065</v>
      </c>
      <c r="Y194" s="31">
        <f t="shared" si="317"/>
        <v>11948.489495300473</v>
      </c>
      <c r="Z194" s="31">
        <f t="shared" si="318"/>
        <v>11116.310625418197</v>
      </c>
      <c r="AA194" s="31">
        <f t="shared" si="319"/>
        <v>20511.349081158824</v>
      </c>
      <c r="AB194" s="31">
        <f t="shared" si="320"/>
        <v>4809.6767532865542</v>
      </c>
      <c r="AC194" s="31">
        <f t="shared" si="321"/>
        <v>11988.358064900569</v>
      </c>
      <c r="AD194" s="31">
        <f t="shared" si="322"/>
        <v>11153.402460669842</v>
      </c>
      <c r="AE194" s="31">
        <f t="shared" si="323"/>
        <v>48462.786360015787</v>
      </c>
      <c r="AF194" s="31">
        <f>IFERROR(VLOOKUP(A194,'Allocations By Type'!$D$7:$F$491,3,FALSE),"")</f>
        <v>41082.839999999997</v>
      </c>
      <c r="AG194" s="31">
        <f t="shared" si="324"/>
        <v>1938.5114544006315</v>
      </c>
      <c r="AH194" s="31">
        <f t="shared" si="325"/>
        <v>1938.5114544006315</v>
      </c>
      <c r="AI194" s="31">
        <f t="shared" si="326"/>
        <v>46524.274905615159</v>
      </c>
      <c r="AJ194" s="31">
        <f>AI194/$AI$577*'State Admin 1004(b)'!$B$30*0.01</f>
        <v>442.74822899267326</v>
      </c>
      <c r="AK194" s="31">
        <f t="shared" si="327"/>
        <v>46081.526676622489</v>
      </c>
      <c r="AL194" s="31">
        <f t="shared" si="328"/>
        <v>460.81526676622491</v>
      </c>
      <c r="AM194" s="31">
        <f t="shared" si="329"/>
        <v>45620.711409856267</v>
      </c>
      <c r="AP194" s="31"/>
      <c r="AQ194" s="4">
        <f t="shared" si="330"/>
        <v>1.1104566142422547</v>
      </c>
      <c r="AW194" s="31">
        <f t="shared" si="331"/>
        <v>45474.449724518432</v>
      </c>
      <c r="AX194" s="4">
        <f t="shared" si="332"/>
        <v>1.1068964493330655</v>
      </c>
      <c r="AZ194" s="174" t="str">
        <f>IFERROR(IF(VLOOKUP(A194,#REF!,11,FALSE)=0,"",VLOOKUP(A194,#REF!,11,FALSE)),"")</f>
        <v/>
      </c>
      <c r="BA194" s="31" t="str">
        <f t="shared" si="333"/>
        <v/>
      </c>
      <c r="BB194" s="31">
        <f t="shared" si="334"/>
        <v>45474.449724518432</v>
      </c>
      <c r="BD194" s="31" t="str">
        <f>IFERROR(VLOOKUP(A194,'Title II Hold Harmless'!A$1:B$439,2, FALSE),"")</f>
        <v/>
      </c>
      <c r="BE194" s="31">
        <f t="shared" si="337"/>
        <v>642.4166586320988</v>
      </c>
      <c r="BF194" s="31">
        <f t="shared" si="338"/>
        <v>643.03823508401115</v>
      </c>
      <c r="BG194" s="31" t="str">
        <f t="shared" si="335"/>
        <v/>
      </c>
      <c r="BH194" s="31">
        <f t="shared" si="336"/>
        <v>643.03823508401115</v>
      </c>
    </row>
    <row r="195" spans="1:60" x14ac:dyDescent="0.3">
      <c r="A195" s="1">
        <v>78723000</v>
      </c>
      <c r="B195">
        <f>VLOOKUP(C195,'NCES ID'!$A$2:$B$3136,2,FALSE)</f>
        <v>400057</v>
      </c>
      <c r="C195">
        <f>VLOOKUP(A195,'State ID'!$A$2:$B$713,2,FALSE)</f>
        <v>4346</v>
      </c>
      <c r="D195" s="147" t="s">
        <v>45</v>
      </c>
      <c r="E195" t="s">
        <v>7</v>
      </c>
      <c r="I195" s="47">
        <f>VLOOKUP($C195,'Final SEA Counts'!$A$2:$F$709,5,FALSE)</f>
        <v>66</v>
      </c>
      <c r="J195" s="47">
        <f>VLOOKUP($C195,'Final SEA Counts'!$A$2:$F$709,6,FALSE)</f>
        <v>52</v>
      </c>
      <c r="K195" s="24">
        <f t="shared" si="308"/>
        <v>66</v>
      </c>
      <c r="L195" s="24">
        <f t="shared" si="309"/>
        <v>25.695341466978753</v>
      </c>
      <c r="M195" s="4">
        <f t="shared" si="310"/>
        <v>0.38932335556028413</v>
      </c>
      <c r="N195" s="31" t="str">
        <f>IFERROR(VLOOKUP($B195,#REF!,8,FALSE),"")</f>
        <v/>
      </c>
      <c r="O195" s="31" t="str">
        <f>IFERROR(VLOOKUP($B195,#REF!,9,FALSE),"")</f>
        <v/>
      </c>
      <c r="P195" s="31" t="str">
        <f>IFERROR(VLOOKUP($B195,#REF!,10,FALSE),"")</f>
        <v/>
      </c>
      <c r="Q195" s="31" t="str">
        <f>IFERROR(VLOOKUP($B195,#REF!,11,FALSE),"")</f>
        <v/>
      </c>
      <c r="R195" s="31" t="str">
        <f>IFERROR(VLOOKUP($B195,#REF!,12,FALSE),"")</f>
        <v/>
      </c>
      <c r="S195" s="31">
        <f t="shared" si="311"/>
        <v>12387.246111758664</v>
      </c>
      <c r="T195" s="31">
        <f t="shared" si="312"/>
        <v>2553.0851031320831</v>
      </c>
      <c r="U195" s="31">
        <f t="shared" si="313"/>
        <v>7224.6680669258676</v>
      </c>
      <c r="V195" s="31">
        <f t="shared" si="314"/>
        <v>6721.4901456017014</v>
      </c>
      <c r="W195" s="31">
        <f t="shared" si="315"/>
        <v>12387.246111758664</v>
      </c>
      <c r="X195" s="31">
        <f t="shared" si="316"/>
        <v>2553.0851031320831</v>
      </c>
      <c r="Y195" s="31">
        <f t="shared" si="317"/>
        <v>7224.6680669258676</v>
      </c>
      <c r="Z195" s="31">
        <f t="shared" si="318"/>
        <v>6721.4901456017014</v>
      </c>
      <c r="AA195" s="31">
        <f t="shared" si="319"/>
        <v>12411.9958542397</v>
      </c>
      <c r="AB195" s="31">
        <f t="shared" si="320"/>
        <v>3140.3518781617313</v>
      </c>
      <c r="AC195" s="31">
        <f t="shared" si="321"/>
        <v>7264.5366365259642</v>
      </c>
      <c r="AD195" s="31">
        <f t="shared" si="322"/>
        <v>6758.5819808533461</v>
      </c>
      <c r="AE195" s="31">
        <f t="shared" si="323"/>
        <v>29575.466349780741</v>
      </c>
      <c r="AF195" s="31">
        <f>IFERROR(VLOOKUP(A195,'Allocations By Type'!$D$7:$F$491,3,FALSE),"")</f>
        <v>24149.1</v>
      </c>
      <c r="AG195" s="31">
        <f t="shared" si="324"/>
        <v>1183.0186539912297</v>
      </c>
      <c r="AH195" s="31">
        <f t="shared" si="325"/>
        <v>1183.0186539912297</v>
      </c>
      <c r="AI195" s="31">
        <f t="shared" si="326"/>
        <v>28392.447695789513</v>
      </c>
      <c r="AJ195" s="31">
        <f>AI195/$AI$577*'State Admin 1004(b)'!$B$30*0.01</f>
        <v>270.19670826854127</v>
      </c>
      <c r="AK195" s="31">
        <f t="shared" si="327"/>
        <v>28122.250987520973</v>
      </c>
      <c r="AL195" s="31">
        <f t="shared" si="328"/>
        <v>281.22250987520971</v>
      </c>
      <c r="AM195" s="31">
        <f t="shared" si="329"/>
        <v>27841.028477645763</v>
      </c>
      <c r="AP195" s="31"/>
      <c r="AQ195" s="4">
        <f t="shared" si="330"/>
        <v>1.15288058261574</v>
      </c>
      <c r="AW195" s="31">
        <f t="shared" si="331"/>
        <v>27751.769112308481</v>
      </c>
      <c r="AX195" s="4">
        <f t="shared" si="332"/>
        <v>1.1491844048974282</v>
      </c>
      <c r="AZ195" s="174" t="str">
        <f>IFERROR(IF(VLOOKUP(A195,#REF!,11,FALSE)=0,"",VLOOKUP(A195,#REF!,11,FALSE)),"")</f>
        <v/>
      </c>
      <c r="BA195" s="31" t="str">
        <f t="shared" si="333"/>
        <v/>
      </c>
      <c r="BB195" s="31">
        <f t="shared" si="334"/>
        <v>27751.769112308481</v>
      </c>
      <c r="BD195" s="31">
        <f>IFERROR(VLOOKUP(A195,'Title II Hold Harmless'!A$1:B$439,2, FALSE),"")</f>
        <v>9239</v>
      </c>
      <c r="BE195" s="31">
        <f t="shared" si="337"/>
        <v>9628.4860908615374</v>
      </c>
      <c r="BF195" s="31">
        <f t="shared" si="338"/>
        <v>9637.802225711448</v>
      </c>
      <c r="BG195" s="31" t="str">
        <f t="shared" si="335"/>
        <v/>
      </c>
      <c r="BH195" s="31">
        <f t="shared" si="336"/>
        <v>9637.802225711448</v>
      </c>
    </row>
    <row r="196" spans="1:60" x14ac:dyDescent="0.3">
      <c r="A196" s="1">
        <v>78511000</v>
      </c>
      <c r="B196">
        <f>VLOOKUP(C196,'NCES ID'!$A$2:$B$3136,2,FALSE)</f>
        <v>400427</v>
      </c>
      <c r="C196">
        <f>VLOOKUP(A196,'State ID'!$A$2:$B$713,2,FALSE)</f>
        <v>87407</v>
      </c>
      <c r="D196" s="147" t="s">
        <v>47</v>
      </c>
      <c r="E196" t="s">
        <v>7</v>
      </c>
      <c r="I196" s="47">
        <f>VLOOKUP($C196,'Final SEA Counts'!$A$2:$F$709,5,FALSE)</f>
        <v>1889</v>
      </c>
      <c r="J196" s="47">
        <f>VLOOKUP($C196,'Final SEA Counts'!$A$2:$F$709,6,FALSE)</f>
        <v>898</v>
      </c>
      <c r="K196" s="24">
        <f t="shared" si="308"/>
        <v>1889</v>
      </c>
      <c r="L196" s="24">
        <f t="shared" si="309"/>
        <v>443.73878148744075</v>
      </c>
      <c r="M196" s="4">
        <f t="shared" si="310"/>
        <v>0.23490671333374311</v>
      </c>
      <c r="N196" s="31" t="str">
        <f>IFERROR(VLOOKUP($B196,#REF!,8,FALSE),"")</f>
        <v/>
      </c>
      <c r="O196" s="31" t="str">
        <f>IFERROR(VLOOKUP($B196,#REF!,9,FALSE),"")</f>
        <v/>
      </c>
      <c r="P196" s="31" t="str">
        <f>IFERROR(VLOOKUP($B196,#REF!,10,FALSE),"")</f>
        <v/>
      </c>
      <c r="Q196" s="31" t="str">
        <f>IFERROR(VLOOKUP($B196,#REF!,11,FALSE),"")</f>
        <v/>
      </c>
      <c r="R196" s="31" t="str">
        <f>IFERROR(VLOOKUP($B196,#REF!,12,FALSE),"")</f>
        <v/>
      </c>
      <c r="S196" s="31">
        <f t="shared" si="311"/>
        <v>213918.21169921692</v>
      </c>
      <c r="T196" s="31">
        <f t="shared" si="312"/>
        <v>44089.815819473275</v>
      </c>
      <c r="U196" s="31">
        <f t="shared" si="313"/>
        <v>124764.46007883517</v>
      </c>
      <c r="V196" s="31">
        <f t="shared" si="314"/>
        <v>116074.96443750629</v>
      </c>
      <c r="W196" s="31">
        <f t="shared" si="315"/>
        <v>213918.21169921692</v>
      </c>
      <c r="X196" s="31">
        <f t="shared" si="316"/>
        <v>44089.815819473275</v>
      </c>
      <c r="Y196" s="31">
        <f t="shared" si="317"/>
        <v>124764.46007883517</v>
      </c>
      <c r="Z196" s="31">
        <f t="shared" si="318"/>
        <v>116074.96443750629</v>
      </c>
      <c r="AA196" s="31">
        <f t="shared" si="319"/>
        <v>213942.96144169796</v>
      </c>
      <c r="AB196" s="31">
        <f t="shared" si="320"/>
        <v>44677.082594502921</v>
      </c>
      <c r="AC196" s="31">
        <f t="shared" si="321"/>
        <v>124804.32864843526</v>
      </c>
      <c r="AD196" s="31">
        <f t="shared" si="322"/>
        <v>116112.05627275794</v>
      </c>
      <c r="AE196" s="31">
        <f t="shared" si="323"/>
        <v>499536.42895739409</v>
      </c>
      <c r="AF196" s="31">
        <f>IFERROR(VLOOKUP(A196,'Allocations By Type'!$D$7:$F$491,3,FALSE),"")</f>
        <v>441142.38</v>
      </c>
      <c r="AG196" s="31">
        <f t="shared" si="324"/>
        <v>19981.457158295765</v>
      </c>
      <c r="AH196" s="31">
        <f t="shared" si="325"/>
        <v>19981.457158295765</v>
      </c>
      <c r="AI196" s="31">
        <f t="shared" si="326"/>
        <v>479554.9717990983</v>
      </c>
      <c r="AJ196" s="31">
        <f>AI196/$AI$577*'State Admin 1004(b)'!$B$30*0.01</f>
        <v>4563.6845474631209</v>
      </c>
      <c r="AK196" s="31">
        <f t="shared" si="327"/>
        <v>474991.28725163516</v>
      </c>
      <c r="AL196" s="31">
        <f t="shared" si="328"/>
        <v>4749.9128725163519</v>
      </c>
      <c r="AM196" s="31">
        <f t="shared" si="329"/>
        <v>470241.37437911879</v>
      </c>
      <c r="AP196" s="31"/>
      <c r="AQ196" s="4">
        <f t="shared" si="330"/>
        <v>1.0659628176715163</v>
      </c>
      <c r="AW196" s="31">
        <f t="shared" si="331"/>
        <v>468733.76316906192</v>
      </c>
      <c r="AX196" s="4">
        <f t="shared" si="332"/>
        <v>1.0625453015170792</v>
      </c>
      <c r="AZ196" s="174" t="str">
        <f>IFERROR(IF(VLOOKUP(A196,#REF!,11,FALSE)=0,"",VLOOKUP(A196,#REF!,11,FALSE)),"")</f>
        <v/>
      </c>
      <c r="BA196" s="31" t="str">
        <f t="shared" si="333"/>
        <v/>
      </c>
      <c r="BB196" s="31">
        <f t="shared" si="334"/>
        <v>468733.76316906192</v>
      </c>
      <c r="BD196" s="31" t="str">
        <f>IFERROR(VLOOKUP(A196,'Title II Hold Harmless'!A$1:B$439,2, FALSE),"")</f>
        <v/>
      </c>
      <c r="BE196" s="31">
        <f t="shared" si="337"/>
        <v>7329.1058749280619</v>
      </c>
      <c r="BF196" s="31">
        <f t="shared" si="338"/>
        <v>7336.1972222090126</v>
      </c>
      <c r="BG196" s="31" t="str">
        <f t="shared" si="335"/>
        <v/>
      </c>
      <c r="BH196" s="31">
        <f t="shared" si="336"/>
        <v>7336.1972222090126</v>
      </c>
    </row>
    <row r="197" spans="1:60" x14ac:dyDescent="0.3">
      <c r="A197" s="1">
        <v>78991000</v>
      </c>
      <c r="B197">
        <f>VLOOKUP(C197,'NCES ID'!$A$2:$B$3136,2,FALSE)</f>
        <v>400415</v>
      </c>
      <c r="C197">
        <f>VLOOKUP(A197,'State ID'!$A$2:$B$713,2,FALSE)</f>
        <v>85749</v>
      </c>
      <c r="D197" s="147" t="s">
        <v>49</v>
      </c>
      <c r="E197" t="s">
        <v>7</v>
      </c>
      <c r="I197" s="47">
        <f>VLOOKUP($C197,'Final SEA Counts'!$A$2:$F$709,5,FALSE)</f>
        <v>235</v>
      </c>
      <c r="J197" s="47">
        <f>VLOOKUP($C197,'Final SEA Counts'!$A$2:$F$709,6,FALSE)</f>
        <v>65</v>
      </c>
      <c r="K197" s="24">
        <f t="shared" si="308"/>
        <v>235</v>
      </c>
      <c r="L197" s="24">
        <f t="shared" si="309"/>
        <v>32.119176833723436</v>
      </c>
      <c r="M197" s="4">
        <f t="shared" si="310"/>
        <v>0.13667734822861036</v>
      </c>
      <c r="N197" s="31" t="str">
        <f>IFERROR(VLOOKUP($B197,#REF!,8,FALSE),"")</f>
        <v/>
      </c>
      <c r="O197" s="31" t="str">
        <f>IFERROR(VLOOKUP($B197,#REF!,9,FALSE),"")</f>
        <v/>
      </c>
      <c r="P197" s="31" t="str">
        <f>IFERROR(VLOOKUP($B197,#REF!,10,FALSE),"")</f>
        <v/>
      </c>
      <c r="Q197" s="31" t="str">
        <f>IFERROR(VLOOKUP($B197,#REF!,11,FALSE),"")</f>
        <v/>
      </c>
      <c r="R197" s="31" t="str">
        <f>IFERROR(VLOOKUP($B197,#REF!,12,FALSE),"")</f>
        <v/>
      </c>
      <c r="S197" s="31">
        <f t="shared" si="311"/>
        <v>15484.057639698327</v>
      </c>
      <c r="T197" s="31">
        <f t="shared" si="312"/>
        <v>3191.3563789151035</v>
      </c>
      <c r="U197" s="31">
        <f t="shared" si="313"/>
        <v>9030.8350836573336</v>
      </c>
      <c r="V197" s="31">
        <f t="shared" si="314"/>
        <v>8401.8626820021254</v>
      </c>
      <c r="W197" s="31">
        <f t="shared" si="315"/>
        <v>15484.057639698327</v>
      </c>
      <c r="X197" s="31" t="str">
        <f t="shared" si="316"/>
        <v/>
      </c>
      <c r="Y197" s="31">
        <f t="shared" si="317"/>
        <v>9030.8350836573336</v>
      </c>
      <c r="Z197" s="31">
        <f t="shared" si="318"/>
        <v>8401.8626820021254</v>
      </c>
      <c r="AA197" s="31">
        <f t="shared" si="319"/>
        <v>15508.807382179362</v>
      </c>
      <c r="AB197" s="31" t="str">
        <f t="shared" si="320"/>
        <v/>
      </c>
      <c r="AC197" s="31">
        <f t="shared" si="321"/>
        <v>9070.7036532574293</v>
      </c>
      <c r="AD197" s="31">
        <f t="shared" si="322"/>
        <v>8438.954517253771</v>
      </c>
      <c r="AE197" s="31">
        <f t="shared" si="323"/>
        <v>33018.465552690563</v>
      </c>
      <c r="AF197" s="31">
        <f>IFERROR(VLOOKUP(A197,'Allocations By Type'!$D$7:$F$491,3,FALSE),"")</f>
        <v>16335.41</v>
      </c>
      <c r="AG197" s="31">
        <f t="shared" si="324"/>
        <v>1320.7386221076226</v>
      </c>
      <c r="AH197" s="31">
        <f t="shared" si="325"/>
        <v>1320.7386221076226</v>
      </c>
      <c r="AI197" s="31">
        <f t="shared" si="326"/>
        <v>31697.72693058294</v>
      </c>
      <c r="AJ197" s="31">
        <f>AI197/$AI$577*'State Admin 1004(b)'!$B$30*0.01</f>
        <v>301.65139575157878</v>
      </c>
      <c r="AK197" s="31">
        <f t="shared" si="327"/>
        <v>31396.075534831361</v>
      </c>
      <c r="AL197" s="31">
        <f t="shared" si="328"/>
        <v>313.96075534831363</v>
      </c>
      <c r="AM197" s="31">
        <f t="shared" si="329"/>
        <v>31082.114779483047</v>
      </c>
      <c r="AP197" s="31"/>
      <c r="AQ197" s="4">
        <f t="shared" si="330"/>
        <v>1.9027446987546102</v>
      </c>
      <c r="AW197" s="31">
        <f t="shared" si="331"/>
        <v>30982.464371784034</v>
      </c>
      <c r="AX197" s="4">
        <f t="shared" si="332"/>
        <v>1.89664442899101</v>
      </c>
      <c r="AZ197" s="174" t="str">
        <f>IFERROR(IF(VLOOKUP(A197,#REF!,11,FALSE)=0,"",VLOOKUP(A197,#REF!,11,FALSE)),"")</f>
        <v/>
      </c>
      <c r="BA197" s="31" t="str">
        <f t="shared" si="333"/>
        <v/>
      </c>
      <c r="BB197" s="31">
        <f t="shared" si="334"/>
        <v>30982.464371784034</v>
      </c>
      <c r="BD197" s="31" t="str">
        <f>IFERROR(VLOOKUP(A197,'Title II Hold Harmless'!A$1:B$439,2, FALSE),"")</f>
        <v/>
      </c>
      <c r="BE197" s="31">
        <f t="shared" si="337"/>
        <v>609.5895662244136</v>
      </c>
      <c r="BF197" s="31">
        <f t="shared" si="338"/>
        <v>610.17938050554289</v>
      </c>
      <c r="BG197" s="31" t="str">
        <f t="shared" si="335"/>
        <v/>
      </c>
      <c r="BH197" s="31">
        <f t="shared" si="336"/>
        <v>610.17938050554289</v>
      </c>
    </row>
    <row r="198" spans="1:60" s="47" customFormat="1" x14ac:dyDescent="0.3">
      <c r="A198" s="1">
        <v>1202000</v>
      </c>
      <c r="B198" s="47">
        <f>VLOOKUP(C198,'NCES ID'!$A$2:$B$3136,2,FALSE)</f>
        <v>400463</v>
      </c>
      <c r="C198" s="47">
        <v>6393</v>
      </c>
      <c r="D198" s="191" t="s">
        <v>50</v>
      </c>
      <c r="E198" s="47" t="s">
        <v>7</v>
      </c>
      <c r="H198" s="4"/>
      <c r="I198" s="47">
        <f>VLOOKUP($C198,'Final SEA Counts'!$A$2:$F$709,5,FALSE)</f>
        <v>832</v>
      </c>
      <c r="J198" s="47">
        <f>VLOOKUP($C198,'Final SEA Counts'!$A$2:$F$709,6,FALSE)</f>
        <v>197</v>
      </c>
      <c r="K198" s="24">
        <f t="shared" ref="K198" si="339">I198</f>
        <v>832</v>
      </c>
      <c r="L198" s="24">
        <f t="shared" ref="L198" si="340">J198*$B$356</f>
        <v>97.345812865284884</v>
      </c>
      <c r="M198" s="4">
        <f t="shared" ref="M198" si="341">L198/K198</f>
        <v>0.11700217892462125</v>
      </c>
      <c r="N198" s="31"/>
      <c r="O198" s="31"/>
      <c r="P198" s="31"/>
      <c r="Q198" s="31"/>
      <c r="R198" s="31"/>
      <c r="S198" s="31">
        <f t="shared" ref="S198" si="342">$L198*N$357</f>
        <v>46928.605461854939</v>
      </c>
      <c r="T198" s="31">
        <f t="shared" ref="T198" si="343">$L198*O$357</f>
        <v>9672.2647176350056</v>
      </c>
      <c r="U198" s="31">
        <f t="shared" ref="U198" si="344">$L198*P$357</f>
        <v>27370.377099699919</v>
      </c>
      <c r="V198" s="31">
        <f t="shared" ref="V198" si="345">$L198*Q$357</f>
        <v>25464.106897760288</v>
      </c>
      <c r="W198" s="31">
        <f t="shared" ref="W198" si="346">IF(AND($L198&gt;9,$L198&gt;($K198*0.02)),S198,"")</f>
        <v>46928.605461854939</v>
      </c>
      <c r="X198" s="31" t="str">
        <f t="shared" ref="X198" si="347">IF(W198="","",IF(OR($L198&gt;6500,$L198&gt;($K198*0.15)),T198,""))</f>
        <v/>
      </c>
      <c r="Y198" s="31">
        <f t="shared" ref="Y198" si="348">IF(AND($L198&gt;9,$L198&gt;($K198*0.05)),U198,"")</f>
        <v>27370.377099699919</v>
      </c>
      <c r="Z198" s="31">
        <f t="shared" ref="Z198" si="349">IF(AND($L198&gt;9,$L198&gt;($K198*0.05)),V198,"")</f>
        <v>25464.106897760288</v>
      </c>
      <c r="AA198" s="31">
        <f t="shared" ref="AA198" si="350">IF(W198="","",W198+W$357)</f>
        <v>46953.355204335974</v>
      </c>
      <c r="AB198" s="31" t="str">
        <f t="shared" ref="AB198" si="351">IF(X198="","",X198+X$357)</f>
        <v/>
      </c>
      <c r="AC198" s="31">
        <f t="shared" ref="AC198" si="352">IF(Y198="","",Y198+Y$357)</f>
        <v>27410.245669300017</v>
      </c>
      <c r="AD198" s="31">
        <f t="shared" ref="AD198" si="353">IF(Z198="","",Z198+Z$357)</f>
        <v>25501.198733011934</v>
      </c>
      <c r="AE198" s="31">
        <f t="shared" ref="AE198" si="354">SUM(AA198:AD198)</f>
        <v>99864.799606647925</v>
      </c>
      <c r="AF198" s="31">
        <f>IFERROR(VLOOKUP(A198,'Allocations By Type'!$D$7:$F$491,3,FALSE),"")</f>
        <v>137460.96</v>
      </c>
      <c r="AG198" s="31" t="str">
        <f t="shared" ref="AG198" si="355">IF(AE198&gt;AF198,AE198*0.04,"")</f>
        <v/>
      </c>
      <c r="AH198" s="31" t="str">
        <f t="shared" ref="AH198" si="356">IF(AG198="","",IF((AE198-AF198)&gt;AG198,AG198,AE198-AF198))</f>
        <v/>
      </c>
      <c r="AI198" s="31">
        <f t="shared" ref="AI198" si="357">IF(AH198="",AE198,AE198-AH198)</f>
        <v>99864.799606647925</v>
      </c>
      <c r="AJ198" s="31">
        <f>AI198/$AI$577*'State Admin 1004(b)'!$B$30*0.01</f>
        <v>950.36329430714341</v>
      </c>
      <c r="AK198" s="31">
        <f t="shared" ref="AK198" si="358">AI198-AJ198</f>
        <v>98914.436312340782</v>
      </c>
      <c r="AL198" s="31">
        <f t="shared" ref="AL198" si="359">AK198*0.01</f>
        <v>989.14436312340786</v>
      </c>
      <c r="AM198" s="31">
        <f t="shared" ref="AM198" si="360">AK198-AL198</f>
        <v>97925.291949217368</v>
      </c>
      <c r="AP198" s="31"/>
      <c r="AQ198" s="4">
        <f t="shared" si="330"/>
        <v>0.712386207321827</v>
      </c>
      <c r="AR198" s="4"/>
      <c r="AS198" s="4"/>
      <c r="AT198" s="4"/>
      <c r="AW198" s="31">
        <f t="shared" si="331"/>
        <v>97611.339847308729</v>
      </c>
      <c r="AX198" s="4">
        <f t="shared" si="332"/>
        <v>0.71010227083608857</v>
      </c>
      <c r="AZ198" s="174"/>
      <c r="BA198" s="31"/>
      <c r="BB198" s="31">
        <f t="shared" si="334"/>
        <v>97611.339847308729</v>
      </c>
      <c r="BD198" s="31">
        <f>IFERROR(VLOOKUP(A198,'Title II Hold Harmless'!A$1:B$439,2, FALSE),"")</f>
        <v>19025</v>
      </c>
      <c r="BE198" s="31">
        <f t="shared" si="337"/>
        <v>20968.915540444657</v>
      </c>
      <c r="BF198" s="31">
        <f t="shared" si="338"/>
        <v>20989.204217500188</v>
      </c>
      <c r="BG198" s="31"/>
      <c r="BH198" s="31">
        <f t="shared" si="336"/>
        <v>20989.204217500188</v>
      </c>
    </row>
    <row r="199" spans="1:60" x14ac:dyDescent="0.3">
      <c r="A199" s="1">
        <v>78546000</v>
      </c>
      <c r="B199">
        <f>VLOOKUP(C199,'NCES ID'!$A$2:$B$3136,2,FALSE)</f>
        <v>400764</v>
      </c>
      <c r="C199">
        <f>VLOOKUP(A199,'State ID'!$A$2:$B$713,2,FALSE)</f>
        <v>89949</v>
      </c>
      <c r="D199" s="147" t="s">
        <v>56</v>
      </c>
      <c r="E199" t="s">
        <v>7</v>
      </c>
      <c r="I199" s="47">
        <f>VLOOKUP($C199,'Final SEA Counts'!$A$2:$F$709,5,FALSE)</f>
        <v>389</v>
      </c>
      <c r="J199" s="47">
        <f>VLOOKUP($C199,'Final SEA Counts'!$A$2:$F$709,6,FALSE)</f>
        <v>283</v>
      </c>
      <c r="K199" s="24">
        <f t="shared" si="308"/>
        <v>389</v>
      </c>
      <c r="L199" s="24">
        <f t="shared" ref="L199:L230" si="361">J199*$B$356</f>
        <v>139.8419545222113</v>
      </c>
      <c r="M199" s="4">
        <f t="shared" si="310"/>
        <v>0.35949088566121157</v>
      </c>
      <c r="N199" s="31" t="str">
        <f>IFERROR(VLOOKUP($B199,#REF!,8,FALSE),"")</f>
        <v/>
      </c>
      <c r="O199" s="31" t="str">
        <f>IFERROR(VLOOKUP($B199,#REF!,9,FALSE),"")</f>
        <v/>
      </c>
      <c r="P199" s="31" t="str">
        <f>IFERROR(VLOOKUP($B199,#REF!,10,FALSE),"")</f>
        <v/>
      </c>
      <c r="Q199" s="31" t="str">
        <f>IFERROR(VLOOKUP($B199,#REF!,11,FALSE),"")</f>
        <v/>
      </c>
      <c r="R199" s="31" t="str">
        <f>IFERROR(VLOOKUP($B199,#REF!,12,FALSE),"")</f>
        <v/>
      </c>
      <c r="S199" s="31">
        <f t="shared" ref="S199:S230" si="362">$L199*N$357</f>
        <v>67415.204800532738</v>
      </c>
      <c r="T199" s="31">
        <f t="shared" ref="T199:T230" si="363">$L199*O$357</f>
        <v>13894.674695891914</v>
      </c>
      <c r="U199" s="31">
        <f t="shared" ref="U199:U230" si="364">$L199*P$357</f>
        <v>39318.8665950004</v>
      </c>
      <c r="V199" s="31">
        <f t="shared" ref="V199:V230" si="365">$L199*Q$357</f>
        <v>36580.41752317849</v>
      </c>
      <c r="W199" s="31">
        <f t="shared" si="315"/>
        <v>67415.204800532738</v>
      </c>
      <c r="X199" s="31">
        <f t="shared" si="316"/>
        <v>13894.674695891914</v>
      </c>
      <c r="Y199" s="31">
        <f t="shared" si="317"/>
        <v>39318.8665950004</v>
      </c>
      <c r="Z199" s="31">
        <f t="shared" si="318"/>
        <v>36580.41752317849</v>
      </c>
      <c r="AA199" s="31">
        <f t="shared" ref="AA199:AA230" si="366">IF(W199="","",W199+W$357)</f>
        <v>67439.954543013766</v>
      </c>
      <c r="AB199" s="31">
        <f t="shared" ref="AB199:AB230" si="367">IF(X199="","",X199+X$357)</f>
        <v>14481.941470921562</v>
      </c>
      <c r="AC199" s="31">
        <f t="shared" ref="AC199:AC230" si="368">IF(Y199="","",Y199+Y$357)</f>
        <v>39358.735164600497</v>
      </c>
      <c r="AD199" s="31">
        <f t="shared" ref="AD199:AD230" si="369">IF(Z199="","",Z199+Z$357)</f>
        <v>36617.509358430136</v>
      </c>
      <c r="AE199" s="31">
        <f t="shared" si="323"/>
        <v>157898.14053696598</v>
      </c>
      <c r="AF199" s="31">
        <f>IFERROR(VLOOKUP(A199,'Allocations By Type'!$D$7:$F$491,3,FALSE),"")</f>
        <v>146502.04</v>
      </c>
      <c r="AG199" s="31">
        <f t="shared" si="324"/>
        <v>6315.9256214786392</v>
      </c>
      <c r="AH199" s="31">
        <f t="shared" si="325"/>
        <v>6315.9256214786392</v>
      </c>
      <c r="AI199" s="31">
        <f t="shared" si="326"/>
        <v>151582.21491548733</v>
      </c>
      <c r="AJ199" s="31">
        <f>AI199/$AI$577*'State Admin 1004(b)'!$B$30*0.01</f>
        <v>1442.5320402472037</v>
      </c>
      <c r="AK199" s="31">
        <f t="shared" si="327"/>
        <v>150139.68287524013</v>
      </c>
      <c r="AL199" s="31">
        <f t="shared" si="328"/>
        <v>1501.3968287524015</v>
      </c>
      <c r="AM199" s="31">
        <f t="shared" si="329"/>
        <v>148638.28604648774</v>
      </c>
      <c r="AP199" s="31"/>
      <c r="AQ199" s="4">
        <f t="shared" si="330"/>
        <v>1.0145816812277</v>
      </c>
      <c r="AW199" s="31">
        <f t="shared" si="331"/>
        <v>148161.74621291141</v>
      </c>
      <c r="AX199" s="4">
        <f t="shared" si="332"/>
        <v>1.0113288948939647</v>
      </c>
      <c r="AZ199" s="174" t="str">
        <f>IFERROR(IF(VLOOKUP(A199,#REF!,11,FALSE)=0,"",VLOOKUP(A199,#REF!,11,FALSE)),"")</f>
        <v/>
      </c>
      <c r="BA199" s="31" t="str">
        <f t="shared" si="333"/>
        <v/>
      </c>
      <c r="BB199" s="31">
        <f t="shared" si="334"/>
        <v>148161.74621291141</v>
      </c>
      <c r="BD199" s="31" t="str">
        <f>IFERROR(VLOOKUP(A199,'Title II Hold Harmless'!A$1:B$439,2, FALSE),"")</f>
        <v/>
      </c>
      <c r="BE199" s="31">
        <f t="shared" si="337"/>
        <v>2143.6923698562941</v>
      </c>
      <c r="BF199" s="31">
        <f t="shared" si="338"/>
        <v>2145.7665201438726</v>
      </c>
      <c r="BG199" s="31" t="str">
        <f t="shared" si="335"/>
        <v/>
      </c>
      <c r="BH199" s="31">
        <f t="shared" si="336"/>
        <v>2145.7665201438726</v>
      </c>
    </row>
    <row r="200" spans="1:60" x14ac:dyDescent="0.3">
      <c r="A200" s="1">
        <v>78250000</v>
      </c>
      <c r="B200">
        <f>VLOOKUP(C200,'NCES ID'!$A$2:$B$3136,2,FALSE)</f>
        <v>400890</v>
      </c>
      <c r="C200">
        <f>VLOOKUP(A200,'State ID'!$A$2:$B$713,2,FALSE)</f>
        <v>92325</v>
      </c>
      <c r="D200" s="147" t="s">
        <v>56</v>
      </c>
      <c r="E200" t="s">
        <v>7</v>
      </c>
      <c r="I200" s="47">
        <f>VLOOKUP($C200,'Final SEA Counts'!$A$2:$F$709,5,FALSE)</f>
        <v>359</v>
      </c>
      <c r="J200" s="47">
        <f>VLOOKUP($C200,'Final SEA Counts'!$A$2:$F$709,6,FALSE)</f>
        <v>259</v>
      </c>
      <c r="K200" s="24">
        <f t="shared" si="308"/>
        <v>359</v>
      </c>
      <c r="L200" s="24">
        <f t="shared" si="361"/>
        <v>127.98256615283647</v>
      </c>
      <c r="M200" s="4">
        <f t="shared" si="310"/>
        <v>0.35649739875441916</v>
      </c>
      <c r="N200" s="31" t="str">
        <f>IFERROR(VLOOKUP($B200,#REF!,8,FALSE),"")</f>
        <v/>
      </c>
      <c r="O200" s="31" t="str">
        <f>IFERROR(VLOOKUP($B200,#REF!,9,FALSE),"")</f>
        <v/>
      </c>
      <c r="P200" s="31" t="str">
        <f>IFERROR(VLOOKUP($B200,#REF!,10,FALSE),"")</f>
        <v/>
      </c>
      <c r="Q200" s="31" t="str">
        <f>IFERROR(VLOOKUP($B200,#REF!,11,FALSE),"")</f>
        <v/>
      </c>
      <c r="R200" s="31" t="str">
        <f>IFERROR(VLOOKUP($B200,#REF!,12,FALSE),"")</f>
        <v/>
      </c>
      <c r="S200" s="31">
        <f t="shared" si="362"/>
        <v>61698.014287413338</v>
      </c>
      <c r="T200" s="31">
        <f t="shared" si="363"/>
        <v>12716.327725215566</v>
      </c>
      <c r="U200" s="31">
        <f t="shared" si="364"/>
        <v>35984.404410265379</v>
      </c>
      <c r="V200" s="31">
        <f t="shared" si="365"/>
        <v>33478.191302131549</v>
      </c>
      <c r="W200" s="31">
        <f t="shared" si="315"/>
        <v>61698.014287413338</v>
      </c>
      <c r="X200" s="31">
        <f t="shared" si="316"/>
        <v>12716.327725215566</v>
      </c>
      <c r="Y200" s="31">
        <f t="shared" si="317"/>
        <v>35984.404410265379</v>
      </c>
      <c r="Z200" s="31">
        <f t="shared" si="318"/>
        <v>33478.191302131549</v>
      </c>
      <c r="AA200" s="31">
        <f t="shared" si="366"/>
        <v>61722.764029894373</v>
      </c>
      <c r="AB200" s="31">
        <f t="shared" si="367"/>
        <v>13303.594500245214</v>
      </c>
      <c r="AC200" s="31">
        <f t="shared" si="368"/>
        <v>36024.272979865476</v>
      </c>
      <c r="AD200" s="31">
        <f t="shared" si="369"/>
        <v>33515.283137383194</v>
      </c>
      <c r="AE200" s="31">
        <f t="shared" si="323"/>
        <v>144565.91464738824</v>
      </c>
      <c r="AF200" s="31">
        <f>IFERROR(VLOOKUP(A200,'Allocations By Type'!$D$7:$F$491,3,FALSE),"")</f>
        <v>123105.63</v>
      </c>
      <c r="AG200" s="31">
        <f t="shared" si="324"/>
        <v>5782.6365858955296</v>
      </c>
      <c r="AH200" s="31">
        <f t="shared" si="325"/>
        <v>5782.6365858955296</v>
      </c>
      <c r="AI200" s="31">
        <f t="shared" si="326"/>
        <v>138783.27806149272</v>
      </c>
      <c r="AJ200" s="31">
        <f>AI200/$AI$577*'State Admin 1004(b)'!$B$30*0.01</f>
        <v>1320.7309667948748</v>
      </c>
      <c r="AK200" s="31">
        <f t="shared" si="327"/>
        <v>137462.54709469783</v>
      </c>
      <c r="AL200" s="31">
        <f t="shared" si="328"/>
        <v>1374.6254709469783</v>
      </c>
      <c r="AM200" s="31">
        <f t="shared" si="329"/>
        <v>136087.92162375085</v>
      </c>
      <c r="AP200" s="31"/>
      <c r="AQ200" s="4">
        <f t="shared" si="330"/>
        <v>1.1054565223682364</v>
      </c>
      <c r="AW200" s="31">
        <f t="shared" si="331"/>
        <v>135651.61872193962</v>
      </c>
      <c r="AX200" s="4">
        <f t="shared" si="332"/>
        <v>1.1019123879382253</v>
      </c>
      <c r="AZ200" s="174" t="str">
        <f>IFERROR(IF(VLOOKUP(A200,#REF!,11,FALSE)=0,"",VLOOKUP(A200,#REF!,11,FALSE)),"")</f>
        <v/>
      </c>
      <c r="BA200" s="31" t="str">
        <f t="shared" si="333"/>
        <v/>
      </c>
      <c r="BB200" s="31">
        <f t="shared" si="334"/>
        <v>135651.61872193962</v>
      </c>
      <c r="BD200" s="31" t="str">
        <f>IFERROR(VLOOKUP(A200,'Title II Hold Harmless'!A$1:B$439,2, FALSE),"")</f>
        <v/>
      </c>
      <c r="BE200" s="31">
        <f t="shared" si="337"/>
        <v>1964.3010046999652</v>
      </c>
      <c r="BF200" s="31">
        <f t="shared" si="338"/>
        <v>1966.201583137002</v>
      </c>
      <c r="BG200" s="31" t="str">
        <f t="shared" si="335"/>
        <v/>
      </c>
      <c r="BH200" s="31">
        <f t="shared" si="336"/>
        <v>1966.201583137002</v>
      </c>
    </row>
    <row r="201" spans="1:60" x14ac:dyDescent="0.3">
      <c r="A201" s="1">
        <v>78207000</v>
      </c>
      <c r="B201">
        <f>VLOOKUP(C201,'NCES ID'!$A$2:$B$3136,2,FALSE)</f>
        <v>400858</v>
      </c>
      <c r="C201">
        <f>VLOOKUP(A201,'State ID'!$A$2:$B$713,2,FALSE)</f>
        <v>91303</v>
      </c>
      <c r="D201" s="147" t="s">
        <v>56</v>
      </c>
      <c r="E201" t="s">
        <v>7</v>
      </c>
      <c r="I201" s="47">
        <f>VLOOKUP($C201,'Final SEA Counts'!$A$2:$F$709,5,FALSE)</f>
        <v>310</v>
      </c>
      <c r="J201" s="47">
        <f>VLOOKUP($C201,'Final SEA Counts'!$A$2:$F$709,6,FALSE)</f>
        <v>216</v>
      </c>
      <c r="K201" s="24">
        <f t="shared" si="308"/>
        <v>310</v>
      </c>
      <c r="L201" s="24">
        <f t="shared" si="361"/>
        <v>106.73449532437327</v>
      </c>
      <c r="M201" s="4">
        <f t="shared" si="310"/>
        <v>0.34430482362701054</v>
      </c>
      <c r="N201" s="31" t="str">
        <f>IFERROR(VLOOKUP($B201,#REF!,8,FALSE),"")</f>
        <v/>
      </c>
      <c r="O201" s="31" t="str">
        <f>IFERROR(VLOOKUP($B201,#REF!,9,FALSE),"")</f>
        <v/>
      </c>
      <c r="P201" s="31" t="str">
        <f>IFERROR(VLOOKUP($B201,#REF!,10,FALSE),"")</f>
        <v/>
      </c>
      <c r="Q201" s="31" t="str">
        <f>IFERROR(VLOOKUP($B201,#REF!,11,FALSE),"")</f>
        <v/>
      </c>
      <c r="R201" s="31" t="str">
        <f>IFERROR(VLOOKUP($B201,#REF!,12,FALSE),"")</f>
        <v/>
      </c>
      <c r="S201" s="31">
        <f t="shared" si="362"/>
        <v>51454.714618074446</v>
      </c>
      <c r="T201" s="31">
        <f t="shared" si="363"/>
        <v>10605.122736087113</v>
      </c>
      <c r="U201" s="31">
        <f t="shared" si="364"/>
        <v>30010.15966261514</v>
      </c>
      <c r="V201" s="31">
        <f t="shared" si="365"/>
        <v>27920.035989422446</v>
      </c>
      <c r="W201" s="31">
        <f t="shared" si="315"/>
        <v>51454.714618074446</v>
      </c>
      <c r="X201" s="31">
        <f t="shared" si="316"/>
        <v>10605.122736087113</v>
      </c>
      <c r="Y201" s="31">
        <f t="shared" si="317"/>
        <v>30010.15966261514</v>
      </c>
      <c r="Z201" s="31">
        <f t="shared" si="318"/>
        <v>27920.035989422446</v>
      </c>
      <c r="AA201" s="31">
        <f t="shared" si="366"/>
        <v>51479.464360555481</v>
      </c>
      <c r="AB201" s="31">
        <f t="shared" si="367"/>
        <v>11192.38951111676</v>
      </c>
      <c r="AC201" s="31">
        <f t="shared" si="368"/>
        <v>30050.028232215238</v>
      </c>
      <c r="AD201" s="31">
        <f t="shared" si="369"/>
        <v>27957.127824674091</v>
      </c>
      <c r="AE201" s="31">
        <f t="shared" si="323"/>
        <v>120679.00992856157</v>
      </c>
      <c r="AF201" s="31">
        <f>IFERROR(VLOOKUP(A201,'Allocations By Type'!$D$7:$F$491,3,FALSE),"")</f>
        <v>150093.76999999999</v>
      </c>
      <c r="AG201" s="31" t="str">
        <f t="shared" si="324"/>
        <v/>
      </c>
      <c r="AH201" s="31" t="str">
        <f t="shared" si="325"/>
        <v/>
      </c>
      <c r="AI201" s="31">
        <f t="shared" si="326"/>
        <v>120679.00992856157</v>
      </c>
      <c r="AJ201" s="31">
        <f>AI201/$AI$577*'State Admin 1004(b)'!$B$30*0.01</f>
        <v>1148.4417120063742</v>
      </c>
      <c r="AK201" s="31">
        <f t="shared" si="327"/>
        <v>119530.5682165552</v>
      </c>
      <c r="AL201" s="31">
        <f t="shared" si="328"/>
        <v>1195.3056821655521</v>
      </c>
      <c r="AM201" s="31">
        <f t="shared" si="329"/>
        <v>118335.26253438965</v>
      </c>
      <c r="AP201" s="31"/>
      <c r="AQ201" s="4">
        <f t="shared" si="330"/>
        <v>0.78840888955210908</v>
      </c>
      <c r="AW201" s="31">
        <f t="shared" si="331"/>
        <v>117955.87531314093</v>
      </c>
      <c r="AX201" s="4">
        <f t="shared" si="332"/>
        <v>0.78588122153998086</v>
      </c>
      <c r="AZ201" s="174" t="str">
        <f>IFERROR(IF(VLOOKUP(A201,#REF!,11,FALSE)=0,"",VLOOKUP(A201,#REF!,11,FALSE)),"")</f>
        <v/>
      </c>
      <c r="BA201" s="31" t="str">
        <f t="shared" si="333"/>
        <v/>
      </c>
      <c r="BB201" s="31">
        <f t="shared" si="334"/>
        <v>117955.87531314093</v>
      </c>
      <c r="BD201" s="31" t="str">
        <f>IFERROR(VLOOKUP(A201,'Title II Hold Harmless'!A$1:B$439,2, FALSE),"")</f>
        <v/>
      </c>
      <c r="BE201" s="31">
        <f t="shared" si="337"/>
        <v>1646.7142739866285</v>
      </c>
      <c r="BF201" s="31">
        <f t="shared" si="338"/>
        <v>1648.3075683104676</v>
      </c>
      <c r="BG201" s="31" t="str">
        <f t="shared" si="335"/>
        <v/>
      </c>
      <c r="BH201" s="31">
        <f t="shared" si="336"/>
        <v>1648.3075683104676</v>
      </c>
    </row>
    <row r="202" spans="1:60" x14ac:dyDescent="0.3">
      <c r="A202" s="1">
        <v>78542000</v>
      </c>
      <c r="B202">
        <f>VLOOKUP(C202,'NCES ID'!$A$2:$B$3136,2,FALSE)</f>
        <v>400785</v>
      </c>
      <c r="C202">
        <f>VLOOKUP(A202,'State ID'!$A$2:$B$713,2,FALSE)</f>
        <v>89869</v>
      </c>
      <c r="D202" s="147" t="s">
        <v>59</v>
      </c>
      <c r="E202" t="s">
        <v>7</v>
      </c>
      <c r="I202" s="47">
        <f>VLOOKUP($C202,'Final SEA Counts'!$A$2:$F$709,5,FALSE)</f>
        <v>125</v>
      </c>
      <c r="J202" s="47">
        <f>VLOOKUP($C202,'Final SEA Counts'!$A$2:$F$709,6,FALSE)</f>
        <v>106</v>
      </c>
      <c r="K202" s="24">
        <f t="shared" si="308"/>
        <v>125</v>
      </c>
      <c r="L202" s="24">
        <f t="shared" si="361"/>
        <v>52.378965298072075</v>
      </c>
      <c r="M202" s="4">
        <f t="shared" si="310"/>
        <v>0.41903172238457659</v>
      </c>
      <c r="N202" s="31" t="str">
        <f>IFERROR(VLOOKUP($B202,#REF!,8,FALSE),"")</f>
        <v/>
      </c>
      <c r="O202" s="31" t="str">
        <f>IFERROR(VLOOKUP($B202,#REF!,9,FALSE),"")</f>
        <v/>
      </c>
      <c r="P202" s="31" t="str">
        <f>IFERROR(VLOOKUP($B202,#REF!,10,FALSE),"")</f>
        <v/>
      </c>
      <c r="Q202" s="31" t="str">
        <f>IFERROR(VLOOKUP($B202,#REF!,11,FALSE),"")</f>
        <v/>
      </c>
      <c r="R202" s="31" t="str">
        <f>IFERROR(VLOOKUP($B202,#REF!,12,FALSE),"")</f>
        <v/>
      </c>
      <c r="S202" s="31">
        <f t="shared" si="362"/>
        <v>25250.924766277276</v>
      </c>
      <c r="T202" s="31">
        <f t="shared" si="363"/>
        <v>5204.3657871538617</v>
      </c>
      <c r="U202" s="31">
        <f t="shared" si="364"/>
        <v>14727.207982579654</v>
      </c>
      <c r="V202" s="31">
        <f t="shared" si="365"/>
        <v>13701.499142957313</v>
      </c>
      <c r="W202" s="31">
        <f t="shared" si="315"/>
        <v>25250.924766277276</v>
      </c>
      <c r="X202" s="31">
        <f t="shared" si="316"/>
        <v>5204.3657871538617</v>
      </c>
      <c r="Y202" s="31">
        <f t="shared" si="317"/>
        <v>14727.207982579654</v>
      </c>
      <c r="Z202" s="31">
        <f t="shared" si="318"/>
        <v>13701.499142957313</v>
      </c>
      <c r="AA202" s="31">
        <f t="shared" si="366"/>
        <v>25275.674508758311</v>
      </c>
      <c r="AB202" s="31">
        <f t="shared" si="367"/>
        <v>5791.6325621835094</v>
      </c>
      <c r="AC202" s="31">
        <f t="shared" si="368"/>
        <v>14767.076552179749</v>
      </c>
      <c r="AD202" s="31">
        <f t="shared" si="369"/>
        <v>13738.590978208958</v>
      </c>
      <c r="AE202" s="31">
        <f t="shared" si="323"/>
        <v>59572.974601330527</v>
      </c>
      <c r="AF202" s="31">
        <f>IFERROR(VLOOKUP(A202,'Allocations By Type'!$D$7:$F$491,3,FALSE),"")</f>
        <v>59252</v>
      </c>
      <c r="AG202" s="31">
        <f t="shared" si="324"/>
        <v>2382.9189840532213</v>
      </c>
      <c r="AH202" s="31">
        <f t="shared" si="325"/>
        <v>320.97460133052664</v>
      </c>
      <c r="AI202" s="31">
        <f t="shared" si="326"/>
        <v>59252</v>
      </c>
      <c r="AJ202" s="31">
        <f>AI202/$AI$577*'State Admin 1004(b)'!$B$30*0.01</f>
        <v>563.87161578541122</v>
      </c>
      <c r="AK202" s="31">
        <f t="shared" si="327"/>
        <v>58688.128384214586</v>
      </c>
      <c r="AL202" s="31">
        <f t="shared" si="328"/>
        <v>586.88128384214588</v>
      </c>
      <c r="AM202" s="31">
        <f t="shared" si="329"/>
        <v>58101.247100372442</v>
      </c>
      <c r="AP202" s="31"/>
      <c r="AQ202" s="4">
        <f t="shared" si="330"/>
        <v>0.98057866570533392</v>
      </c>
      <c r="AW202" s="31">
        <f t="shared" si="331"/>
        <v>57914.972356763457</v>
      </c>
      <c r="AX202" s="4">
        <f t="shared" si="332"/>
        <v>0.97743489429493446</v>
      </c>
      <c r="AZ202" s="174" t="str">
        <f>IFERROR(IF(VLOOKUP(A202,#REF!,11,FALSE)=0,"",VLOOKUP(A202,#REF!,11,FALSE)),"")</f>
        <v/>
      </c>
      <c r="BA202" s="31" t="str">
        <f t="shared" si="333"/>
        <v/>
      </c>
      <c r="BB202" s="31">
        <f t="shared" si="334"/>
        <v>57914.972356763457</v>
      </c>
      <c r="BD202" s="31" t="str">
        <f>IFERROR(VLOOKUP(A202,'Title II Hold Harmless'!A$1:B$439,2, FALSE),"")</f>
        <v/>
      </c>
      <c r="BE202" s="31">
        <f t="shared" si="337"/>
        <v>786.27586510259721</v>
      </c>
      <c r="BF202" s="31">
        <f t="shared" si="338"/>
        <v>787.03663392122576</v>
      </c>
      <c r="BG202" s="31" t="str">
        <f t="shared" si="335"/>
        <v/>
      </c>
      <c r="BH202" s="31">
        <f t="shared" si="336"/>
        <v>787.03663392122576</v>
      </c>
    </row>
    <row r="203" spans="1:60" x14ac:dyDescent="0.3">
      <c r="A203" s="1">
        <v>78988000</v>
      </c>
      <c r="B203">
        <f>VLOOKUP(C203,'NCES ID'!$A$2:$B$3136,2,FALSE)</f>
        <v>400184</v>
      </c>
      <c r="C203">
        <f>VLOOKUP(A203,'State ID'!$A$2:$B$713,2,FALSE)</f>
        <v>79204</v>
      </c>
      <c r="D203" s="147" t="s">
        <v>63</v>
      </c>
      <c r="E203" t="s">
        <v>7</v>
      </c>
      <c r="I203" s="47">
        <f>VLOOKUP($C203,'Final SEA Counts'!$A$2:$F$709,5,FALSE)</f>
        <v>543</v>
      </c>
      <c r="J203" s="47">
        <f>VLOOKUP($C203,'Final SEA Counts'!$A$2:$F$709,6,FALSE)</f>
        <v>190</v>
      </c>
      <c r="K203" s="24">
        <f t="shared" si="308"/>
        <v>543</v>
      </c>
      <c r="L203" s="24">
        <f t="shared" si="361"/>
        <v>93.886824590883904</v>
      </c>
      <c r="M203" s="4">
        <f t="shared" si="310"/>
        <v>0.17290391269039393</v>
      </c>
      <c r="N203" s="31" t="str">
        <f>IFERROR(VLOOKUP($B203,#REF!,8,FALSE),"")</f>
        <v/>
      </c>
      <c r="O203" s="31" t="str">
        <f>IFERROR(VLOOKUP($B203,#REF!,9,FALSE),"")</f>
        <v/>
      </c>
      <c r="P203" s="31" t="str">
        <f>IFERROR(VLOOKUP($B203,#REF!,10,FALSE),"")</f>
        <v/>
      </c>
      <c r="Q203" s="31" t="str">
        <f>IFERROR(VLOOKUP($B203,#REF!,11,FALSE),"")</f>
        <v/>
      </c>
      <c r="R203" s="31" t="str">
        <f>IFERROR(VLOOKUP($B203,#REF!,12,FALSE),"")</f>
        <v/>
      </c>
      <c r="S203" s="31">
        <f t="shared" si="362"/>
        <v>45261.091562195121</v>
      </c>
      <c r="T203" s="31">
        <f t="shared" si="363"/>
        <v>9328.5801845210735</v>
      </c>
      <c r="U203" s="31">
        <f t="shared" si="364"/>
        <v>26397.825629152208</v>
      </c>
      <c r="V203" s="31">
        <f t="shared" si="365"/>
        <v>24559.290916621598</v>
      </c>
      <c r="W203" s="31">
        <f t="shared" si="315"/>
        <v>45261.091562195121</v>
      </c>
      <c r="X203" s="31">
        <f t="shared" si="316"/>
        <v>9328.5801845210735</v>
      </c>
      <c r="Y203" s="31">
        <f t="shared" si="317"/>
        <v>26397.825629152208</v>
      </c>
      <c r="Z203" s="31">
        <f t="shared" si="318"/>
        <v>24559.290916621598</v>
      </c>
      <c r="AA203" s="31">
        <f t="shared" si="366"/>
        <v>45285.841304676156</v>
      </c>
      <c r="AB203" s="31">
        <f t="shared" si="367"/>
        <v>9915.8469595507213</v>
      </c>
      <c r="AC203" s="31">
        <f t="shared" si="368"/>
        <v>26437.694198752306</v>
      </c>
      <c r="AD203" s="31">
        <f t="shared" si="369"/>
        <v>24596.382751873243</v>
      </c>
      <c r="AE203" s="31">
        <f t="shared" si="323"/>
        <v>106235.76521485242</v>
      </c>
      <c r="AF203" s="31">
        <f>IFERROR(VLOOKUP(A203,'Allocations By Type'!$D$7:$F$491,3,FALSE),"")</f>
        <v>95828.87</v>
      </c>
      <c r="AG203" s="31">
        <f t="shared" si="324"/>
        <v>4249.4306085940971</v>
      </c>
      <c r="AH203" s="31">
        <f t="shared" si="325"/>
        <v>4249.4306085940971</v>
      </c>
      <c r="AI203" s="31">
        <f t="shared" si="326"/>
        <v>101986.33460625833</v>
      </c>
      <c r="AJ203" s="31">
        <f>AI203/$AI$577*'State Admin 1004(b)'!$B$30*0.01</f>
        <v>970.5528806194302</v>
      </c>
      <c r="AK203" s="31">
        <f t="shared" si="327"/>
        <v>101015.7817256389</v>
      </c>
      <c r="AL203" s="31">
        <f t="shared" si="328"/>
        <v>1010.157817256389</v>
      </c>
      <c r="AM203" s="31">
        <f t="shared" si="329"/>
        <v>100005.62390838251</v>
      </c>
      <c r="AP203" s="31"/>
      <c r="AQ203" s="4">
        <f t="shared" si="330"/>
        <v>1.0435855489935602</v>
      </c>
      <c r="AW203" s="31">
        <f t="shared" si="331"/>
        <v>99685.002185395933</v>
      </c>
      <c r="AX203" s="4">
        <f t="shared" si="332"/>
        <v>1.0402397751887915</v>
      </c>
      <c r="AZ203" s="174" t="str">
        <f>IFERROR(IF(VLOOKUP(A203,#REF!,11,FALSE)=0,"",VLOOKUP(A203,#REF!,11,FALSE)),"")</f>
        <v/>
      </c>
      <c r="BA203" s="31" t="str">
        <f t="shared" si="333"/>
        <v/>
      </c>
      <c r="BB203" s="31">
        <f t="shared" si="334"/>
        <v>99685.002185395933</v>
      </c>
      <c r="BD203" s="31" t="str">
        <f>IFERROR(VLOOKUP(A203,'Title II Hold Harmless'!A$1:B$439,2, FALSE),"")</f>
        <v/>
      </c>
      <c r="BE203" s="31">
        <f t="shared" si="337"/>
        <v>1666.0479459606659</v>
      </c>
      <c r="BF203" s="31">
        <f t="shared" si="338"/>
        <v>1667.6599467658307</v>
      </c>
      <c r="BG203" s="31" t="str">
        <f t="shared" si="335"/>
        <v/>
      </c>
      <c r="BH203" s="31">
        <f t="shared" si="336"/>
        <v>1667.6599467658307</v>
      </c>
    </row>
    <row r="204" spans="1:60" x14ac:dyDescent="0.3">
      <c r="A204" s="1">
        <v>78987000</v>
      </c>
      <c r="B204">
        <f>VLOOKUP(C204,'NCES ID'!$A$2:$B$3136,2,FALSE)</f>
        <v>400100</v>
      </c>
      <c r="C204">
        <f>VLOOKUP(A204,'State ID'!$A$2:$B$713,2,FALSE)</f>
        <v>4294</v>
      </c>
      <c r="D204" s="147" t="s">
        <v>64</v>
      </c>
      <c r="E204" t="s">
        <v>7</v>
      </c>
      <c r="I204" s="47">
        <f>VLOOKUP($C204,'Final SEA Counts'!$A$2:$F$709,5,FALSE)</f>
        <v>625</v>
      </c>
      <c r="J204" s="47">
        <f>VLOOKUP($C204,'Final SEA Counts'!$A$2:$F$709,6,FALSE)</f>
        <v>544</v>
      </c>
      <c r="K204" s="24">
        <f t="shared" si="308"/>
        <v>625</v>
      </c>
      <c r="L204" s="24">
        <f t="shared" si="361"/>
        <v>268.8128030391623</v>
      </c>
      <c r="M204" s="4">
        <f t="shared" si="310"/>
        <v>0.43010048486265967</v>
      </c>
      <c r="N204" s="31" t="str">
        <f>IFERROR(VLOOKUP($B204,#REF!,8,FALSE),"")</f>
        <v/>
      </c>
      <c r="O204" s="31" t="str">
        <f>IFERROR(VLOOKUP($B204,#REF!,9,FALSE),"")</f>
        <v/>
      </c>
      <c r="P204" s="31" t="str">
        <f>IFERROR(VLOOKUP($B204,#REF!,10,FALSE),"")</f>
        <v/>
      </c>
      <c r="Q204" s="31" t="str">
        <f>IFERROR(VLOOKUP($B204,#REF!,11,FALSE),"")</f>
        <v/>
      </c>
      <c r="R204" s="31" t="str">
        <f>IFERROR(VLOOKUP($B204,#REF!,12,FALSE),"")</f>
        <v/>
      </c>
      <c r="S204" s="31">
        <f t="shared" si="362"/>
        <v>129589.65163070601</v>
      </c>
      <c r="T204" s="31">
        <f t="shared" si="363"/>
        <v>26709.198001997174</v>
      </c>
      <c r="U204" s="31">
        <f t="shared" si="364"/>
        <v>75581.142853993675</v>
      </c>
      <c r="V204" s="31">
        <f t="shared" si="365"/>
        <v>70317.127677063938</v>
      </c>
      <c r="W204" s="31">
        <f t="shared" si="315"/>
        <v>129589.65163070601</v>
      </c>
      <c r="X204" s="31">
        <f t="shared" si="316"/>
        <v>26709.198001997174</v>
      </c>
      <c r="Y204" s="31">
        <f t="shared" si="317"/>
        <v>75581.142853993675</v>
      </c>
      <c r="Z204" s="31">
        <f t="shared" si="318"/>
        <v>70317.127677063938</v>
      </c>
      <c r="AA204" s="31">
        <f t="shared" si="366"/>
        <v>129614.40137318704</v>
      </c>
      <c r="AB204" s="31">
        <f t="shared" si="367"/>
        <v>27296.464777026824</v>
      </c>
      <c r="AC204" s="31">
        <f t="shared" si="368"/>
        <v>75621.011423593765</v>
      </c>
      <c r="AD204" s="31">
        <f t="shared" si="369"/>
        <v>70354.219512315583</v>
      </c>
      <c r="AE204" s="31">
        <f t="shared" si="323"/>
        <v>302886.09708612319</v>
      </c>
      <c r="AF204" s="31">
        <f>IFERROR(VLOOKUP(A204,'Allocations By Type'!$D$7:$F$491,3,FALSE),"")</f>
        <v>143743.62</v>
      </c>
      <c r="AG204" s="31">
        <f t="shared" si="324"/>
        <v>12115.443883444928</v>
      </c>
      <c r="AH204" s="31">
        <f t="shared" si="325"/>
        <v>12115.443883444928</v>
      </c>
      <c r="AI204" s="31">
        <f t="shared" si="326"/>
        <v>290770.65320267825</v>
      </c>
      <c r="AJ204" s="31">
        <f>AI204/$AI$577*'State Admin 1004(b)'!$B$30*0.01</f>
        <v>2767.1187140412753</v>
      </c>
      <c r="AK204" s="31">
        <f t="shared" si="327"/>
        <v>288003.534488637</v>
      </c>
      <c r="AL204" s="31">
        <f t="shared" si="328"/>
        <v>2880.0353448863702</v>
      </c>
      <c r="AM204" s="31">
        <f t="shared" si="329"/>
        <v>285123.49914375064</v>
      </c>
      <c r="AP204" s="31"/>
      <c r="AQ204" s="4">
        <f t="shared" si="330"/>
        <v>1.9835558555138004</v>
      </c>
      <c r="AW204" s="31">
        <f t="shared" si="331"/>
        <v>284209.38267722889</v>
      </c>
      <c r="AX204" s="4">
        <f t="shared" si="332"/>
        <v>1.9771965021976552</v>
      </c>
      <c r="AZ204" s="174" t="str">
        <f>IFERROR(IF(VLOOKUP(A204,#REF!,11,FALSE)=0,"",VLOOKUP(A204,#REF!,11,FALSE)),"")</f>
        <v/>
      </c>
      <c r="BA204" s="31" t="str">
        <f t="shared" si="333"/>
        <v/>
      </c>
      <c r="BB204" s="31">
        <f t="shared" si="334"/>
        <v>284209.38267722889</v>
      </c>
      <c r="BD204" s="31" t="str">
        <f>IFERROR(VLOOKUP(A204,'Title II Hold Harmless'!A$1:B$439,2, FALSE),"")</f>
        <v/>
      </c>
      <c r="BE204" s="31">
        <f t="shared" si="337"/>
        <v>4021.940293954739</v>
      </c>
      <c r="BF204" s="31">
        <f t="shared" si="338"/>
        <v>4025.8317611888592</v>
      </c>
      <c r="BG204" s="31" t="str">
        <f t="shared" si="335"/>
        <v/>
      </c>
      <c r="BH204" s="31">
        <f t="shared" si="336"/>
        <v>4025.8317611888592</v>
      </c>
    </row>
    <row r="205" spans="1:60" x14ac:dyDescent="0.3">
      <c r="A205" s="1">
        <v>78972000</v>
      </c>
      <c r="B205">
        <f>VLOOKUP(C205,'NCES ID'!$A$2:$B$3136,2,FALSE)</f>
        <v>400374</v>
      </c>
      <c r="C205">
        <f>VLOOKUP(A205,'State ID'!$A$2:$B$713,2,FALSE)</f>
        <v>79983</v>
      </c>
      <c r="D205" s="147" t="s">
        <v>67</v>
      </c>
      <c r="E205" t="s">
        <v>7</v>
      </c>
      <c r="I205" s="47">
        <f>VLOOKUP($C205,'Final SEA Counts'!$A$2:$F$709,5,FALSE)</f>
        <v>371</v>
      </c>
      <c r="J205" s="47">
        <f>VLOOKUP($C205,'Final SEA Counts'!$A$2:$F$709,6,FALSE)</f>
        <v>248</v>
      </c>
      <c r="K205" s="24">
        <f t="shared" si="308"/>
        <v>371</v>
      </c>
      <c r="L205" s="24">
        <f t="shared" si="361"/>
        <v>122.54701315020635</v>
      </c>
      <c r="M205" s="4">
        <f t="shared" si="310"/>
        <v>0.33031539932670179</v>
      </c>
      <c r="N205" s="31" t="str">
        <f>IFERROR(VLOOKUP($B205,#REF!,8,FALSE),"")</f>
        <v/>
      </c>
      <c r="O205" s="31" t="str">
        <f>IFERROR(VLOOKUP($B205,#REF!,9,FALSE),"")</f>
        <v/>
      </c>
      <c r="P205" s="31" t="str">
        <f>IFERROR(VLOOKUP($B205,#REF!,10,FALSE),"")</f>
        <v/>
      </c>
      <c r="Q205" s="31" t="str">
        <f>IFERROR(VLOOKUP($B205,#REF!,11,FALSE),"")</f>
        <v/>
      </c>
      <c r="R205" s="31" t="str">
        <f>IFERROR(VLOOKUP($B205,#REF!,12,FALSE),"")</f>
        <v/>
      </c>
      <c r="S205" s="31">
        <f t="shared" si="362"/>
        <v>59077.635302233626</v>
      </c>
      <c r="T205" s="31">
        <f t="shared" si="363"/>
        <v>12176.252030322241</v>
      </c>
      <c r="U205" s="31">
        <f t="shared" si="364"/>
        <v>34456.109242261831</v>
      </c>
      <c r="V205" s="31">
        <f t="shared" si="365"/>
        <v>32056.337617485035</v>
      </c>
      <c r="W205" s="31">
        <f t="shared" si="315"/>
        <v>59077.635302233626</v>
      </c>
      <c r="X205" s="31">
        <f t="shared" si="316"/>
        <v>12176.252030322241</v>
      </c>
      <c r="Y205" s="31">
        <f t="shared" si="317"/>
        <v>34456.109242261831</v>
      </c>
      <c r="Z205" s="31">
        <f t="shared" si="318"/>
        <v>32056.337617485035</v>
      </c>
      <c r="AA205" s="31">
        <f t="shared" si="366"/>
        <v>59102.385044714661</v>
      </c>
      <c r="AB205" s="31">
        <f t="shared" si="367"/>
        <v>12763.518805351889</v>
      </c>
      <c r="AC205" s="31">
        <f t="shared" si="368"/>
        <v>34495.977811861929</v>
      </c>
      <c r="AD205" s="31">
        <f t="shared" si="369"/>
        <v>32093.42945273668</v>
      </c>
      <c r="AE205" s="31">
        <f t="shared" si="323"/>
        <v>138455.31111466515</v>
      </c>
      <c r="AF205" s="31">
        <f>IFERROR(VLOOKUP(A205,'Allocations By Type'!$D$7:$F$491,3,FALSE),"")</f>
        <v>141626.9</v>
      </c>
      <c r="AG205" s="31" t="str">
        <f t="shared" si="324"/>
        <v/>
      </c>
      <c r="AH205" s="31" t="str">
        <f t="shared" si="325"/>
        <v/>
      </c>
      <c r="AI205" s="31">
        <f t="shared" si="326"/>
        <v>138455.31111466515</v>
      </c>
      <c r="AJ205" s="31">
        <f>AI205/$AI$577*'State Admin 1004(b)'!$B$30*0.01</f>
        <v>1317.6098695790529</v>
      </c>
      <c r="AK205" s="31">
        <f t="shared" si="327"/>
        <v>137137.70124508609</v>
      </c>
      <c r="AL205" s="31">
        <f t="shared" si="328"/>
        <v>1371.377012450861</v>
      </c>
      <c r="AM205" s="31">
        <f t="shared" si="329"/>
        <v>135766.32423263523</v>
      </c>
      <c r="AP205" s="31"/>
      <c r="AQ205" s="4">
        <f t="shared" si="330"/>
        <v>0.95861961415970587</v>
      </c>
      <c r="AW205" s="31">
        <f t="shared" si="331"/>
        <v>135331.05238393499</v>
      </c>
      <c r="AX205" s="4">
        <f t="shared" si="332"/>
        <v>0.95554624427940593</v>
      </c>
      <c r="AZ205" s="174" t="str">
        <f>IFERROR(IF(VLOOKUP(A205,#REF!,11,FALSE)=0,"",VLOOKUP(A205,#REF!,11,FALSE)),"")</f>
        <v/>
      </c>
      <c r="BA205" s="31" t="str">
        <f t="shared" si="333"/>
        <v/>
      </c>
      <c r="BB205" s="31">
        <f t="shared" si="334"/>
        <v>135331.05238393499</v>
      </c>
      <c r="BD205" s="31" t="str">
        <f>IFERROR(VLOOKUP(A205,'Title II Hold Harmless'!A$1:B$439,2, FALSE),"")</f>
        <v/>
      </c>
      <c r="BE205" s="31">
        <f t="shared" si="337"/>
        <v>1902.8035543410606</v>
      </c>
      <c r="BF205" s="31">
        <f t="shared" si="338"/>
        <v>1904.644630325161</v>
      </c>
      <c r="BG205" s="31" t="str">
        <f t="shared" si="335"/>
        <v/>
      </c>
      <c r="BH205" s="31">
        <f t="shared" si="336"/>
        <v>1904.644630325161</v>
      </c>
    </row>
    <row r="206" spans="1:60" x14ac:dyDescent="0.3">
      <c r="A206" s="1">
        <v>78745000</v>
      </c>
      <c r="B206">
        <f>VLOOKUP(C206,'NCES ID'!$A$2:$B$3136,2,FALSE)</f>
        <v>400636</v>
      </c>
      <c r="C206">
        <f>VLOOKUP(A206,'State ID'!$A$2:$B$713,2,FALSE)</f>
        <v>81041</v>
      </c>
      <c r="D206" s="147" t="s">
        <v>74</v>
      </c>
      <c r="E206" t="s">
        <v>7</v>
      </c>
      <c r="I206" s="47">
        <f>VLOOKUP($C206,'Final SEA Counts'!$A$2:$F$709,5,FALSE)</f>
        <v>147</v>
      </c>
      <c r="J206" s="47">
        <f>VLOOKUP($C206,'Final SEA Counts'!$A$2:$F$709,6,FALSE)</f>
        <v>93</v>
      </c>
      <c r="K206" s="24">
        <f t="shared" si="308"/>
        <v>147</v>
      </c>
      <c r="L206" s="24">
        <f t="shared" si="361"/>
        <v>45.955129931327384</v>
      </c>
      <c r="M206" s="4">
        <f t="shared" si="310"/>
        <v>0.31261993150562845</v>
      </c>
      <c r="N206" s="31" t="str">
        <f>IFERROR(VLOOKUP($B206,#REF!,8,FALSE),"")</f>
        <v/>
      </c>
      <c r="O206" s="31" t="str">
        <f>IFERROR(VLOOKUP($B206,#REF!,9,FALSE),"")</f>
        <v/>
      </c>
      <c r="P206" s="31" t="str">
        <f>IFERROR(VLOOKUP($B206,#REF!,10,FALSE),"")</f>
        <v/>
      </c>
      <c r="Q206" s="31" t="str">
        <f>IFERROR(VLOOKUP($B206,#REF!,11,FALSE),"")</f>
        <v/>
      </c>
      <c r="R206" s="31" t="str">
        <f>IFERROR(VLOOKUP($B206,#REF!,12,FALSE),"")</f>
        <v/>
      </c>
      <c r="S206" s="31">
        <f t="shared" si="362"/>
        <v>22154.11323833761</v>
      </c>
      <c r="T206" s="31">
        <f t="shared" si="363"/>
        <v>4566.0945113708412</v>
      </c>
      <c r="U206" s="31">
        <f t="shared" si="364"/>
        <v>12921.040965848186</v>
      </c>
      <c r="V206" s="31">
        <f t="shared" si="365"/>
        <v>12021.126606556887</v>
      </c>
      <c r="W206" s="31">
        <f t="shared" si="315"/>
        <v>22154.11323833761</v>
      </c>
      <c r="X206" s="31">
        <f t="shared" si="316"/>
        <v>4566.0945113708412</v>
      </c>
      <c r="Y206" s="31">
        <f t="shared" si="317"/>
        <v>12921.040965848186</v>
      </c>
      <c r="Z206" s="31">
        <f t="shared" si="318"/>
        <v>12021.126606556887</v>
      </c>
      <c r="AA206" s="31">
        <f t="shared" si="366"/>
        <v>22178.862980818645</v>
      </c>
      <c r="AB206" s="31">
        <f t="shared" si="367"/>
        <v>5153.361286400489</v>
      </c>
      <c r="AC206" s="31">
        <f t="shared" si="368"/>
        <v>12960.909535448282</v>
      </c>
      <c r="AD206" s="31">
        <f t="shared" si="369"/>
        <v>12058.218441808533</v>
      </c>
      <c r="AE206" s="31">
        <f t="shared" si="323"/>
        <v>52351.352244475951</v>
      </c>
      <c r="AF206" s="31">
        <f>IFERROR(VLOOKUP(A206,'Allocations By Type'!$D$7:$F$491,3,FALSE),"")</f>
        <v>52139.83</v>
      </c>
      <c r="AG206" s="31">
        <f t="shared" si="324"/>
        <v>2094.0540897790379</v>
      </c>
      <c r="AH206" s="31">
        <f t="shared" ref="AH206:AH237" si="370">IF(AG206="","",IF((AE206-AF206)&gt;AG206,AG206,AE206-AF206))</f>
        <v>211.52224447594926</v>
      </c>
      <c r="AI206" s="31">
        <f t="shared" si="326"/>
        <v>52139.83</v>
      </c>
      <c r="AJ206" s="31">
        <f>AI206/$AI$577*'State Admin 1004(b)'!$B$30*0.01</f>
        <v>496.18865504753688</v>
      </c>
      <c r="AK206" s="31">
        <f t="shared" si="327"/>
        <v>51643.641344952463</v>
      </c>
      <c r="AL206" s="31">
        <f t="shared" si="328"/>
        <v>516.43641344952459</v>
      </c>
      <c r="AM206" s="31">
        <f t="shared" si="329"/>
        <v>51127.204931502936</v>
      </c>
      <c r="AP206" s="31"/>
      <c r="AQ206" s="4">
        <f t="shared" si="330"/>
        <v>0.98057866570533381</v>
      </c>
      <c r="AW206" s="31">
        <f t="shared" si="331"/>
        <v>50963.289224605855</v>
      </c>
      <c r="AX206" s="4">
        <f t="shared" si="332"/>
        <v>0.97743489429493446</v>
      </c>
      <c r="AZ206" s="174" t="str">
        <f>IFERROR(IF(VLOOKUP(A206,#REF!,11,FALSE)=0,"",VLOOKUP(A206,#REF!,11,FALSE)),"")</f>
        <v/>
      </c>
      <c r="BA206" s="31" t="str">
        <f t="shared" si="333"/>
        <v/>
      </c>
      <c r="BB206" s="31">
        <f t="shared" si="334"/>
        <v>50963.289224605855</v>
      </c>
      <c r="BD206" s="31" t="str">
        <f>IFERROR(VLOOKUP(A206,'Title II Hold Harmless'!A$1:B$439,2, FALSE),"")</f>
        <v/>
      </c>
      <c r="BE206" s="31">
        <f t="shared" si="337"/>
        <v>719.88913043264517</v>
      </c>
      <c r="BF206" s="31">
        <f t="shared" si="338"/>
        <v>720.58566612401</v>
      </c>
      <c r="BG206" s="31" t="str">
        <f t="shared" si="335"/>
        <v/>
      </c>
      <c r="BH206" s="31">
        <f t="shared" si="336"/>
        <v>720.58566612401</v>
      </c>
    </row>
    <row r="207" spans="1:60" x14ac:dyDescent="0.3">
      <c r="A207" s="1">
        <v>78613000</v>
      </c>
      <c r="B207">
        <f>VLOOKUP(C207,'NCES ID'!$A$2:$B$3136,2,FALSE)</f>
        <v>400033</v>
      </c>
      <c r="C207">
        <f>VLOOKUP(A207,'State ID'!$A$2:$B$713,2,FALSE)</f>
        <v>4305</v>
      </c>
      <c r="D207" s="147" t="s">
        <v>77</v>
      </c>
      <c r="E207" t="s">
        <v>7</v>
      </c>
      <c r="I207" s="47">
        <f>VLOOKUP($C207,'Final SEA Counts'!$A$2:$F$709,5,FALSE)</f>
        <v>265</v>
      </c>
      <c r="J207" s="47">
        <f>VLOOKUP($C207,'Final SEA Counts'!$A$2:$F$709,6,FALSE)</f>
        <v>220</v>
      </c>
      <c r="K207" s="24">
        <f t="shared" si="308"/>
        <v>265</v>
      </c>
      <c r="L207" s="24">
        <f t="shared" si="361"/>
        <v>108.71106005260241</v>
      </c>
      <c r="M207" s="4">
        <f t="shared" si="310"/>
        <v>0.41023041529283927</v>
      </c>
      <c r="N207" s="31" t="str">
        <f>IFERROR(VLOOKUP($B207,#REF!,8,FALSE),"")</f>
        <v/>
      </c>
      <c r="O207" s="31" t="str">
        <f>IFERROR(VLOOKUP($B207,#REF!,9,FALSE),"")</f>
        <v/>
      </c>
      <c r="P207" s="31" t="str">
        <f>IFERROR(VLOOKUP($B207,#REF!,10,FALSE),"")</f>
        <v/>
      </c>
      <c r="Q207" s="31" t="str">
        <f>IFERROR(VLOOKUP($B207,#REF!,11,FALSE),"")</f>
        <v/>
      </c>
      <c r="R207" s="31" t="str">
        <f>IFERROR(VLOOKUP($B207,#REF!,12,FALSE),"")</f>
        <v/>
      </c>
      <c r="S207" s="31">
        <f t="shared" si="362"/>
        <v>52407.57970359434</v>
      </c>
      <c r="T207" s="31">
        <f t="shared" si="363"/>
        <v>10801.513897866504</v>
      </c>
      <c r="U207" s="31">
        <f t="shared" si="364"/>
        <v>30565.903360070974</v>
      </c>
      <c r="V207" s="31">
        <f t="shared" si="365"/>
        <v>28437.073692930269</v>
      </c>
      <c r="W207" s="31">
        <f t="shared" si="315"/>
        <v>52407.57970359434</v>
      </c>
      <c r="X207" s="31">
        <f t="shared" si="316"/>
        <v>10801.513897866504</v>
      </c>
      <c r="Y207" s="31">
        <f t="shared" si="317"/>
        <v>30565.903360070974</v>
      </c>
      <c r="Z207" s="31">
        <f t="shared" si="318"/>
        <v>28437.073692930269</v>
      </c>
      <c r="AA207" s="31">
        <f t="shared" si="366"/>
        <v>52432.329446075375</v>
      </c>
      <c r="AB207" s="31">
        <f t="shared" si="367"/>
        <v>11388.780672896151</v>
      </c>
      <c r="AC207" s="31">
        <f t="shared" si="368"/>
        <v>30605.771929671071</v>
      </c>
      <c r="AD207" s="31">
        <f t="shared" si="369"/>
        <v>28474.165528181915</v>
      </c>
      <c r="AE207" s="31">
        <f t="shared" si="323"/>
        <v>122901.04757682451</v>
      </c>
      <c r="AF207" s="31">
        <f>IFERROR(VLOOKUP(A207,'Allocations By Type'!$D$7:$F$491,3,FALSE),"")</f>
        <v>99384.95</v>
      </c>
      <c r="AG207" s="31">
        <f t="shared" si="324"/>
        <v>4916.0419030729809</v>
      </c>
      <c r="AH207" s="31">
        <f t="shared" si="370"/>
        <v>4916.0419030729809</v>
      </c>
      <c r="AI207" s="31">
        <f t="shared" si="326"/>
        <v>117985.00567375153</v>
      </c>
      <c r="AJ207" s="31">
        <f>AI207/$AI$577*'State Admin 1004(b)'!$B$30*0.01</f>
        <v>1122.8042224348408</v>
      </c>
      <c r="AK207" s="31">
        <f t="shared" si="327"/>
        <v>116862.20145131668</v>
      </c>
      <c r="AL207" s="31">
        <f t="shared" si="328"/>
        <v>1168.6220145131667</v>
      </c>
      <c r="AM207" s="31">
        <f t="shared" si="329"/>
        <v>115693.57943680351</v>
      </c>
      <c r="AP207" s="31"/>
      <c r="AQ207" s="4">
        <f t="shared" si="330"/>
        <v>1.1640955641352491</v>
      </c>
      <c r="AW207" s="31">
        <f t="shared" si="331"/>
        <v>115322.66154911056</v>
      </c>
      <c r="AX207" s="4">
        <f t="shared" si="332"/>
        <v>1.1603634307720692</v>
      </c>
      <c r="AZ207" s="174" t="str">
        <f>IFERROR(IF(VLOOKUP(A207,#REF!,11,FALSE)=0,"",VLOOKUP(A207,#REF!,11,FALSE)),"")</f>
        <v/>
      </c>
      <c r="BA207" s="31" t="str">
        <f t="shared" si="333"/>
        <v/>
      </c>
      <c r="BB207" s="31">
        <f t="shared" si="334"/>
        <v>115322.66154911056</v>
      </c>
      <c r="BD207" s="31">
        <f>IFERROR(VLOOKUP(A207,'Title II Hold Harmless'!A$1:B$439,2, FALSE),"")</f>
        <v>6981</v>
      </c>
      <c r="BE207" s="31">
        <f t="shared" si="337"/>
        <v>8617.3728503714301</v>
      </c>
      <c r="BF207" s="31">
        <f t="shared" si="338"/>
        <v>8625.7106728253893</v>
      </c>
      <c r="BG207" s="31" t="str">
        <f t="shared" si="335"/>
        <v/>
      </c>
      <c r="BH207" s="31">
        <f t="shared" si="336"/>
        <v>8625.7106728253893</v>
      </c>
    </row>
    <row r="208" spans="1:60" x14ac:dyDescent="0.3">
      <c r="A208" s="1">
        <v>78746000</v>
      </c>
      <c r="B208">
        <f>VLOOKUP(C208,'NCES ID'!$A$2:$B$3136,2,FALSE)</f>
        <v>400609</v>
      </c>
      <c r="C208">
        <f>VLOOKUP(A208,'State ID'!$A$2:$B$713,2,FALSE)</f>
        <v>81097</v>
      </c>
      <c r="D208" s="147" t="s">
        <v>78</v>
      </c>
      <c r="E208" t="s">
        <v>7</v>
      </c>
      <c r="I208" s="47">
        <f>VLOOKUP($C208,'Final SEA Counts'!$A$2:$F$709,5,FALSE)</f>
        <v>464</v>
      </c>
      <c r="J208" s="47">
        <f>VLOOKUP($C208,'Final SEA Counts'!$A$2:$F$709,6,FALSE)</f>
        <v>436</v>
      </c>
      <c r="K208" s="24">
        <f t="shared" ref="K208:K238" si="371">I208</f>
        <v>464</v>
      </c>
      <c r="L208" s="24">
        <f t="shared" si="361"/>
        <v>215.44555537697568</v>
      </c>
      <c r="M208" s="4">
        <f t="shared" ref="M208:M239" si="372">L208/K208</f>
        <v>0.46432231762279241</v>
      </c>
      <c r="N208" s="31" t="str">
        <f>IFERROR(VLOOKUP($B208,#REF!,8,FALSE),"")</f>
        <v/>
      </c>
      <c r="O208" s="31" t="str">
        <f>IFERROR(VLOOKUP($B208,#REF!,9,FALSE),"")</f>
        <v/>
      </c>
      <c r="P208" s="31" t="str">
        <f>IFERROR(VLOOKUP($B208,#REF!,10,FALSE),"")</f>
        <v/>
      </c>
      <c r="Q208" s="31" t="str">
        <f>IFERROR(VLOOKUP($B208,#REF!,11,FALSE),"")</f>
        <v/>
      </c>
      <c r="R208" s="31" t="str">
        <f>IFERROR(VLOOKUP($B208,#REF!,12,FALSE),"")</f>
        <v/>
      </c>
      <c r="S208" s="31">
        <f t="shared" si="362"/>
        <v>103862.29432166879</v>
      </c>
      <c r="T208" s="31">
        <f t="shared" si="363"/>
        <v>21406.636633953618</v>
      </c>
      <c r="U208" s="31">
        <f t="shared" si="364"/>
        <v>60576.063022686118</v>
      </c>
      <c r="V208" s="31">
        <f t="shared" si="365"/>
        <v>56357.109682352719</v>
      </c>
      <c r="W208" s="31">
        <f t="shared" ref="W208:W237" si="373">IF(AND($L208&gt;9,$L208&gt;($K208*0.02)),S208,"")</f>
        <v>103862.29432166879</v>
      </c>
      <c r="X208" s="31">
        <f t="shared" ref="X208:X237" si="374">IF(W208="","",IF(OR($L208&gt;6500,$L208&gt;($K208*0.15)),T208,""))</f>
        <v>21406.636633953618</v>
      </c>
      <c r="Y208" s="31">
        <f t="shared" ref="Y208:Y237" si="375">IF(AND($L208&gt;9,$L208&gt;($K208*0.05)),U208,"")</f>
        <v>60576.063022686118</v>
      </c>
      <c r="Z208" s="31">
        <f t="shared" ref="Z208:Z237" si="376">IF(AND($L208&gt;9,$L208&gt;($K208*0.05)),V208,"")</f>
        <v>56357.109682352719</v>
      </c>
      <c r="AA208" s="31">
        <f t="shared" si="366"/>
        <v>103887.04406414981</v>
      </c>
      <c r="AB208" s="31">
        <f t="shared" si="367"/>
        <v>21993.903408983268</v>
      </c>
      <c r="AC208" s="31">
        <f t="shared" si="368"/>
        <v>60615.931592286215</v>
      </c>
      <c r="AD208" s="31">
        <f t="shared" si="369"/>
        <v>56394.201517604364</v>
      </c>
      <c r="AE208" s="31">
        <f t="shared" ref="AE208:AE237" si="377">SUM(AA208:AD208)</f>
        <v>242891.08058302366</v>
      </c>
      <c r="AF208" s="31">
        <f>IFERROR(VLOOKUP(A208,'Allocations By Type'!$D$7:$F$491,3,FALSE),"")</f>
        <v>225879.97</v>
      </c>
      <c r="AG208" s="31">
        <f t="shared" ref="AG208:AG237" si="378">IF(AE208&gt;AF208,AE208*0.04,"")</f>
        <v>9715.6432233209471</v>
      </c>
      <c r="AH208" s="31">
        <f t="shared" si="370"/>
        <v>9715.6432233209471</v>
      </c>
      <c r="AI208" s="31">
        <f t="shared" ref="AI208:AI237" si="379">IF(AH208="",AE208,AE208-AH208)</f>
        <v>233175.43735970272</v>
      </c>
      <c r="AJ208" s="31">
        <f>AI208/$AI$577*'State Admin 1004(b)'!$B$30*0.01</f>
        <v>2219.0138835057974</v>
      </c>
      <c r="AK208" s="31">
        <f t="shared" ref="AK208:AK237" si="380">AI208-AJ208</f>
        <v>230956.42347619691</v>
      </c>
      <c r="AL208" s="31">
        <f t="shared" ref="AL208:AL237" si="381">AK208*0.01</f>
        <v>2309.5642347619691</v>
      </c>
      <c r="AM208" s="31">
        <f t="shared" ref="AM208:AM237" si="382">AK208-AL208</f>
        <v>228646.85924143496</v>
      </c>
      <c r="AP208" s="31"/>
      <c r="AQ208" s="4">
        <f t="shared" si="330"/>
        <v>1.0122493784704989</v>
      </c>
      <c r="AW208" s="31">
        <f t="shared" ref="AW208:AW239" si="383">IF(AV208="",AM208-AM208/($AM$356-$AV$356+$AU$356)*$AU$356,AV208)</f>
        <v>227913.80896785617</v>
      </c>
      <c r="AX208" s="4">
        <f t="shared" si="332"/>
        <v>1.0090040695855245</v>
      </c>
      <c r="AZ208" s="174" t="str">
        <f>IFERROR(IF(VLOOKUP(A208,#REF!,11,FALSE)=0,"",VLOOKUP(A208,#REF!,11,FALSE)),"")</f>
        <v/>
      </c>
      <c r="BA208" s="31" t="str">
        <f t="shared" si="333"/>
        <v/>
      </c>
      <c r="BB208" s="31">
        <f t="shared" si="334"/>
        <v>227913.80896785617</v>
      </c>
      <c r="BD208" s="31" t="str">
        <f>IFERROR(VLOOKUP(A208,'Title II Hold Harmless'!A$1:B$439,2, FALSE),"")</f>
        <v/>
      </c>
      <c r="BE208" s="31">
        <f t="shared" si="337"/>
        <v>3193.7543588244739</v>
      </c>
      <c r="BF208" s="31">
        <f t="shared" si="338"/>
        <v>3196.8445067463304</v>
      </c>
      <c r="BG208" s="31" t="str">
        <f t="shared" si="335"/>
        <v/>
      </c>
      <c r="BH208" s="31">
        <f t="shared" si="336"/>
        <v>3196.8445067463304</v>
      </c>
    </row>
    <row r="209" spans="1:60" x14ac:dyDescent="0.3">
      <c r="A209" s="1">
        <v>78565000</v>
      </c>
      <c r="B209">
        <f>VLOOKUP(C209,'NCES ID'!$A$2:$B$3136,2,FALSE)</f>
        <v>400796</v>
      </c>
      <c r="C209">
        <f>VLOOKUP(A209,'State ID'!$A$2:$B$713,2,FALSE)</f>
        <v>90328</v>
      </c>
      <c r="D209" s="147" t="s">
        <v>82</v>
      </c>
      <c r="E209" t="s">
        <v>7</v>
      </c>
      <c r="I209" s="47">
        <f>VLOOKUP($C209,'Final SEA Counts'!$A$2:$F$709,5,FALSE)</f>
        <v>214</v>
      </c>
      <c r="J209" s="47">
        <f>VLOOKUP($C209,'Final SEA Counts'!$A$2:$F$709,6,FALSE)</f>
        <v>165</v>
      </c>
      <c r="K209" s="24">
        <f t="shared" si="371"/>
        <v>214</v>
      </c>
      <c r="L209" s="24">
        <f t="shared" si="361"/>
        <v>81.533295039451815</v>
      </c>
      <c r="M209" s="4">
        <f t="shared" si="372"/>
        <v>0.38099670579183093</v>
      </c>
      <c r="N209" s="31" t="str">
        <f>IFERROR(VLOOKUP($B209,#REF!,8,FALSE),"")</f>
        <v/>
      </c>
      <c r="O209" s="31" t="str">
        <f>IFERROR(VLOOKUP($B209,#REF!,9,FALSE),"")</f>
        <v/>
      </c>
      <c r="P209" s="31" t="str">
        <f>IFERROR(VLOOKUP($B209,#REF!,10,FALSE),"")</f>
        <v/>
      </c>
      <c r="Q209" s="31" t="str">
        <f>IFERROR(VLOOKUP($B209,#REF!,11,FALSE),"")</f>
        <v/>
      </c>
      <c r="R209" s="31" t="str">
        <f>IFERROR(VLOOKUP($B209,#REF!,12,FALSE),"")</f>
        <v/>
      </c>
      <c r="S209" s="31">
        <f t="shared" si="362"/>
        <v>39305.684777695766</v>
      </c>
      <c r="T209" s="31">
        <f t="shared" si="363"/>
        <v>8101.1354233998791</v>
      </c>
      <c r="U209" s="31">
        <f t="shared" si="364"/>
        <v>22924.427520053236</v>
      </c>
      <c r="V209" s="31">
        <f t="shared" si="365"/>
        <v>21327.805269697707</v>
      </c>
      <c r="W209" s="31">
        <f t="shared" si="373"/>
        <v>39305.684777695766</v>
      </c>
      <c r="X209" s="31">
        <f t="shared" si="374"/>
        <v>8101.1354233998791</v>
      </c>
      <c r="Y209" s="31">
        <f t="shared" si="375"/>
        <v>22924.427520053236</v>
      </c>
      <c r="Z209" s="31">
        <f t="shared" si="376"/>
        <v>21327.805269697707</v>
      </c>
      <c r="AA209" s="31">
        <f t="shared" si="366"/>
        <v>39330.434520176801</v>
      </c>
      <c r="AB209" s="31">
        <f t="shared" si="367"/>
        <v>8688.4021984295268</v>
      </c>
      <c r="AC209" s="31">
        <f t="shared" si="368"/>
        <v>22964.296089653333</v>
      </c>
      <c r="AD209" s="31">
        <f t="shared" si="369"/>
        <v>21364.897104949352</v>
      </c>
      <c r="AE209" s="31">
        <f t="shared" si="377"/>
        <v>92348.029913209015</v>
      </c>
      <c r="AF209" s="31">
        <f>IFERROR(VLOOKUP(A209,'Allocations By Type'!$D$7:$F$491,3,FALSE),"")</f>
        <v>92413.23</v>
      </c>
      <c r="AG209" s="31" t="str">
        <f t="shared" si="378"/>
        <v/>
      </c>
      <c r="AH209" s="31" t="str">
        <f t="shared" si="370"/>
        <v/>
      </c>
      <c r="AI209" s="31">
        <f t="shared" si="379"/>
        <v>92348.029913209015</v>
      </c>
      <c r="AJ209" s="31">
        <f>AI209/$AI$577*'State Admin 1004(b)'!$B$30*0.01</f>
        <v>878.82996087491836</v>
      </c>
      <c r="AK209" s="31">
        <f t="shared" si="380"/>
        <v>91469.199952334093</v>
      </c>
      <c r="AL209" s="31">
        <f t="shared" si="381"/>
        <v>914.691999523341</v>
      </c>
      <c r="AM209" s="31">
        <f t="shared" si="382"/>
        <v>90554.507952810745</v>
      </c>
      <c r="AP209" s="31"/>
      <c r="AQ209" s="4">
        <f t="shared" si="330"/>
        <v>0.97988684036702045</v>
      </c>
      <c r="AW209" s="31">
        <f t="shared" si="383"/>
        <v>90264.186856562897</v>
      </c>
      <c r="AX209" s="4">
        <f t="shared" si="332"/>
        <v>0.9767452869742016</v>
      </c>
      <c r="AZ209" s="174" t="str">
        <f>IFERROR(IF(VLOOKUP(A209,#REF!,11,FALSE)=0,"",VLOOKUP(A209,#REF!,11,FALSE)),"")</f>
        <v/>
      </c>
      <c r="BA209" s="31" t="str">
        <f t="shared" si="333"/>
        <v/>
      </c>
      <c r="BB209" s="31">
        <f t="shared" si="334"/>
        <v>90264.186856562897</v>
      </c>
      <c r="BD209" s="31" t="str">
        <f>IFERROR(VLOOKUP(A209,'Title II Hold Harmless'!A$1:B$439,2, FALSE),"")</f>
        <v/>
      </c>
      <c r="BE209" s="31">
        <f t="shared" si="337"/>
        <v>1239.5528330433212</v>
      </c>
      <c r="BF209" s="31">
        <f t="shared" si="338"/>
        <v>1240.7521743766572</v>
      </c>
      <c r="BG209" s="31" t="str">
        <f t="shared" si="335"/>
        <v/>
      </c>
      <c r="BH209" s="31">
        <f t="shared" si="336"/>
        <v>1240.7521743766572</v>
      </c>
    </row>
    <row r="210" spans="1:60" x14ac:dyDescent="0.3">
      <c r="A210" s="1">
        <v>78564000</v>
      </c>
      <c r="B210">
        <f>VLOOKUP(C210,'NCES ID'!$A$2:$B$3136,2,FALSE)</f>
        <v>400803</v>
      </c>
      <c r="C210">
        <f>VLOOKUP(A210,'State ID'!$A$2:$B$713,2,FALSE)</f>
        <v>90327</v>
      </c>
      <c r="D210" s="147" t="s">
        <v>83</v>
      </c>
      <c r="E210" t="s">
        <v>7</v>
      </c>
      <c r="I210" s="47">
        <f>VLOOKUP($C210,'Final SEA Counts'!$A$2:$F$709,5,FALSE)</f>
        <v>867</v>
      </c>
      <c r="J210" s="47">
        <f>VLOOKUP($C210,'Final SEA Counts'!$A$2:$F$709,6,FALSE)</f>
        <v>332</v>
      </c>
      <c r="K210" s="24">
        <f t="shared" si="371"/>
        <v>867</v>
      </c>
      <c r="L210" s="24">
        <f t="shared" si="361"/>
        <v>164.05487244301818</v>
      </c>
      <c r="M210" s="4">
        <f t="shared" si="372"/>
        <v>0.18922130616265073</v>
      </c>
      <c r="N210" s="31" t="str">
        <f>IFERROR(VLOOKUP($B210,#REF!,8,FALSE),"")</f>
        <v/>
      </c>
      <c r="O210" s="31" t="str">
        <f>IFERROR(VLOOKUP($B210,#REF!,9,FALSE),"")</f>
        <v/>
      </c>
      <c r="P210" s="31" t="str">
        <f>IFERROR(VLOOKUP($B210,#REF!,10,FALSE),"")</f>
        <v/>
      </c>
      <c r="Q210" s="31" t="str">
        <f>IFERROR(VLOOKUP($B210,#REF!,11,FALSE),"")</f>
        <v/>
      </c>
      <c r="R210" s="31" t="str">
        <f>IFERROR(VLOOKUP($B210,#REF!,12,FALSE),"")</f>
        <v/>
      </c>
      <c r="S210" s="31">
        <f t="shared" si="362"/>
        <v>79087.802098151471</v>
      </c>
      <c r="T210" s="31">
        <f t="shared" si="363"/>
        <v>16300.466427689453</v>
      </c>
      <c r="U210" s="31">
        <f t="shared" si="364"/>
        <v>46126.726888834382</v>
      </c>
      <c r="V210" s="31">
        <f t="shared" si="365"/>
        <v>42914.129391149319</v>
      </c>
      <c r="W210" s="31">
        <f t="shared" si="373"/>
        <v>79087.802098151471</v>
      </c>
      <c r="X210" s="31">
        <f t="shared" si="374"/>
        <v>16300.466427689453</v>
      </c>
      <c r="Y210" s="31">
        <f t="shared" si="375"/>
        <v>46126.726888834382</v>
      </c>
      <c r="Z210" s="31">
        <f t="shared" si="376"/>
        <v>42914.129391149319</v>
      </c>
      <c r="AA210" s="31">
        <f t="shared" si="366"/>
        <v>79112.551840632499</v>
      </c>
      <c r="AB210" s="31">
        <f t="shared" si="367"/>
        <v>16887.733202719101</v>
      </c>
      <c r="AC210" s="31">
        <f t="shared" si="368"/>
        <v>46166.59545843448</v>
      </c>
      <c r="AD210" s="31">
        <f t="shared" si="369"/>
        <v>42951.221226400965</v>
      </c>
      <c r="AE210" s="31">
        <f t="shared" si="377"/>
        <v>185118.10172818703</v>
      </c>
      <c r="AF210" s="31">
        <f>IFERROR(VLOOKUP(A210,'Allocations By Type'!$D$7:$F$491,3,FALSE),"")</f>
        <v>172030.69</v>
      </c>
      <c r="AG210" s="31">
        <f t="shared" si="378"/>
        <v>7404.724069127481</v>
      </c>
      <c r="AH210" s="31">
        <f t="shared" si="370"/>
        <v>7404.724069127481</v>
      </c>
      <c r="AI210" s="31">
        <f t="shared" si="379"/>
        <v>177713.37765905954</v>
      </c>
      <c r="AJ210" s="31">
        <f>AI210/$AI$577*'State Admin 1004(b)'!$B$30*0.01</f>
        <v>1691.2092318790403</v>
      </c>
      <c r="AK210" s="31">
        <f t="shared" si="380"/>
        <v>176022.1684271805</v>
      </c>
      <c r="AL210" s="31">
        <f t="shared" si="381"/>
        <v>1760.2216842718051</v>
      </c>
      <c r="AM210" s="31">
        <f t="shared" si="382"/>
        <v>174261.94674290868</v>
      </c>
      <c r="AP210" s="31"/>
      <c r="AQ210" s="4">
        <f t="shared" si="330"/>
        <v>1.0129701086643823</v>
      </c>
      <c r="AW210" s="31">
        <f t="shared" si="383"/>
        <v>173703.25650697862</v>
      </c>
      <c r="AX210" s="4">
        <f t="shared" si="332"/>
        <v>1.0097224890917931</v>
      </c>
      <c r="AZ210" s="174" t="str">
        <f>IFERROR(IF(VLOOKUP(A210,#REF!,11,FALSE)=0,"",VLOOKUP(A210,#REF!,11,FALSE)),"")</f>
        <v/>
      </c>
      <c r="BA210" s="31" t="str">
        <f t="shared" si="333"/>
        <v/>
      </c>
      <c r="BB210" s="31">
        <f t="shared" si="334"/>
        <v>173703.25650697862</v>
      </c>
      <c r="BD210" s="31" t="str">
        <f>IFERROR(VLOOKUP(A210,'Title II Hold Harmless'!A$1:B$439,2, FALSE),"")</f>
        <v/>
      </c>
      <c r="BE210" s="31">
        <f t="shared" si="337"/>
        <v>2845.3500109794854</v>
      </c>
      <c r="BF210" s="31">
        <f t="shared" si="338"/>
        <v>2848.1030569046011</v>
      </c>
      <c r="BG210" s="31" t="str">
        <f t="shared" si="335"/>
        <v/>
      </c>
      <c r="BH210" s="31">
        <f t="shared" si="336"/>
        <v>2848.1030569046011</v>
      </c>
    </row>
    <row r="211" spans="1:60" x14ac:dyDescent="0.3">
      <c r="A211" s="1">
        <v>98749000</v>
      </c>
      <c r="B211">
        <f>VLOOKUP(C211,'NCES ID'!$A$2:$B$3136,2,FALSE)</f>
        <v>400397</v>
      </c>
      <c r="C211">
        <f>VLOOKUP(A211,'State ID'!$A$2:$B$713,2,FALSE)</f>
        <v>79971</v>
      </c>
      <c r="D211" s="147" t="s">
        <v>84</v>
      </c>
      <c r="E211" t="s">
        <v>7</v>
      </c>
      <c r="I211" s="47">
        <f>VLOOKUP($C211,'Final SEA Counts'!$A$2:$F$709,5,FALSE)</f>
        <v>222</v>
      </c>
      <c r="J211" s="47">
        <f>VLOOKUP($C211,'Final SEA Counts'!$A$2:$F$709,6,FALSE)</f>
        <v>186</v>
      </c>
      <c r="K211" s="24">
        <f t="shared" si="371"/>
        <v>222</v>
      </c>
      <c r="L211" s="24">
        <f t="shared" si="361"/>
        <v>91.910259862654769</v>
      </c>
      <c r="M211" s="4">
        <f t="shared" si="372"/>
        <v>0.41401017956150798</v>
      </c>
      <c r="N211" s="31" t="str">
        <f>IFERROR(VLOOKUP($B211,#REF!,8,FALSE),"")</f>
        <v/>
      </c>
      <c r="O211" s="31" t="str">
        <f>IFERROR(VLOOKUP($B211,#REF!,9,FALSE),"")</f>
        <v/>
      </c>
      <c r="P211" s="31" t="str">
        <f>IFERROR(VLOOKUP($B211,#REF!,10,FALSE),"")</f>
        <v/>
      </c>
      <c r="Q211" s="31" t="str">
        <f>IFERROR(VLOOKUP($B211,#REF!,11,FALSE),"")</f>
        <v/>
      </c>
      <c r="R211" s="31" t="str">
        <f>IFERROR(VLOOKUP($B211,#REF!,12,FALSE),"")</f>
        <v/>
      </c>
      <c r="S211" s="31">
        <f t="shared" si="362"/>
        <v>44308.22647667522</v>
      </c>
      <c r="T211" s="31">
        <f t="shared" si="363"/>
        <v>9132.1890227416825</v>
      </c>
      <c r="U211" s="31">
        <f t="shared" si="364"/>
        <v>25842.081931696372</v>
      </c>
      <c r="V211" s="31">
        <f t="shared" si="365"/>
        <v>24042.253213113774</v>
      </c>
      <c r="W211" s="31">
        <f t="shared" si="373"/>
        <v>44308.22647667522</v>
      </c>
      <c r="X211" s="31">
        <f t="shared" si="374"/>
        <v>9132.1890227416825</v>
      </c>
      <c r="Y211" s="31">
        <f t="shared" si="375"/>
        <v>25842.081931696372</v>
      </c>
      <c r="Z211" s="31">
        <f t="shared" si="376"/>
        <v>24042.253213113774</v>
      </c>
      <c r="AA211" s="31">
        <f t="shared" si="366"/>
        <v>44332.976219156255</v>
      </c>
      <c r="AB211" s="31">
        <f t="shared" si="367"/>
        <v>9719.4557977713303</v>
      </c>
      <c r="AC211" s="31">
        <f t="shared" si="368"/>
        <v>25881.950501296469</v>
      </c>
      <c r="AD211" s="31">
        <f t="shared" si="369"/>
        <v>24079.34504836542</v>
      </c>
      <c r="AE211" s="31">
        <f t="shared" si="377"/>
        <v>104013.72756658947</v>
      </c>
      <c r="AF211" s="31">
        <f>IFERROR(VLOOKUP(A211,'Allocations By Type'!$D$7:$F$491,3,FALSE),"")</f>
        <v>87192.66</v>
      </c>
      <c r="AG211" s="31">
        <f t="shared" si="378"/>
        <v>4160.5491026635791</v>
      </c>
      <c r="AH211" s="31">
        <f t="shared" si="370"/>
        <v>4160.5491026635791</v>
      </c>
      <c r="AI211" s="31">
        <f t="shared" si="379"/>
        <v>99853.178463925899</v>
      </c>
      <c r="AJ211" s="31">
        <f>AI211/$AI$577*'State Admin 1004(b)'!$B$30*0.01</f>
        <v>950.25270171070883</v>
      </c>
      <c r="AK211" s="31">
        <f t="shared" si="380"/>
        <v>98902.925762215193</v>
      </c>
      <c r="AL211" s="31">
        <f t="shared" si="381"/>
        <v>989.02925762215193</v>
      </c>
      <c r="AM211" s="31">
        <f t="shared" si="382"/>
        <v>97913.896504593038</v>
      </c>
      <c r="AP211" s="31"/>
      <c r="AQ211" s="4">
        <f t="shared" si="330"/>
        <v>1.1229603100145475</v>
      </c>
      <c r="AW211" s="31">
        <f t="shared" si="383"/>
        <v>97599.98093690064</v>
      </c>
      <c r="AX211" s="4">
        <f t="shared" si="332"/>
        <v>1.1193600577950098</v>
      </c>
      <c r="AZ211" s="174" t="str">
        <f>IFERROR(IF(VLOOKUP(A211,#REF!,11,FALSE)=0,"",VLOOKUP(A211,#REF!,11,FALSE)),"")</f>
        <v/>
      </c>
      <c r="BA211" s="31" t="str">
        <f t="shared" si="333"/>
        <v/>
      </c>
      <c r="BB211" s="31">
        <f t="shared" si="334"/>
        <v>97599.98093690064</v>
      </c>
      <c r="BD211" s="31" t="str">
        <f>IFERROR(VLOOKUP(A211,'Title II Hold Harmless'!A$1:B$439,2, FALSE),"")</f>
        <v/>
      </c>
      <c r="BE211" s="31">
        <f t="shared" si="337"/>
        <v>1381.8326832218843</v>
      </c>
      <c r="BF211" s="31">
        <f t="shared" si="338"/>
        <v>1383.1696888004797</v>
      </c>
      <c r="BG211" s="31" t="str">
        <f t="shared" si="335"/>
        <v/>
      </c>
      <c r="BH211" s="31">
        <f t="shared" si="336"/>
        <v>1383.1696888004797</v>
      </c>
    </row>
    <row r="212" spans="1:60" x14ac:dyDescent="0.3">
      <c r="A212" s="1">
        <v>78909000</v>
      </c>
      <c r="B212">
        <f>VLOOKUP(C212,'NCES ID'!$A$2:$B$3136,2,FALSE)</f>
        <v>400310</v>
      </c>
      <c r="C212">
        <f>VLOOKUP(A212,'State ID'!$A$2:$B$713,2,FALSE)</f>
        <v>79055</v>
      </c>
      <c r="D212" s="147" t="s">
        <v>85</v>
      </c>
      <c r="E212" t="s">
        <v>7</v>
      </c>
      <c r="I212" s="47">
        <f>VLOOKUP($C212,'Final SEA Counts'!$A$2:$F$709,5,FALSE)</f>
        <v>710</v>
      </c>
      <c r="J212" s="47">
        <f>VLOOKUP($C212,'Final SEA Counts'!$A$2:$F$709,6,FALSE)</f>
        <v>319</v>
      </c>
      <c r="K212" s="24">
        <f t="shared" si="371"/>
        <v>710</v>
      </c>
      <c r="L212" s="24">
        <f t="shared" si="361"/>
        <v>157.63103707627349</v>
      </c>
      <c r="M212" s="4">
        <f t="shared" si="372"/>
        <v>0.22201554517784999</v>
      </c>
      <c r="N212" s="31" t="str">
        <f>IFERROR(VLOOKUP($B212,#REF!,8,FALSE),"")</f>
        <v/>
      </c>
      <c r="O212" s="31" t="str">
        <f>IFERROR(VLOOKUP($B212,#REF!,9,FALSE),"")</f>
        <v/>
      </c>
      <c r="P212" s="31" t="str">
        <f>IFERROR(VLOOKUP($B212,#REF!,10,FALSE),"")</f>
        <v/>
      </c>
      <c r="Q212" s="31" t="str">
        <f>IFERROR(VLOOKUP($B212,#REF!,11,FALSE),"")</f>
        <v/>
      </c>
      <c r="R212" s="31" t="str">
        <f>IFERROR(VLOOKUP($B212,#REF!,12,FALSE),"")</f>
        <v/>
      </c>
      <c r="S212" s="31">
        <f t="shared" si="362"/>
        <v>75990.990570211798</v>
      </c>
      <c r="T212" s="31">
        <f t="shared" si="363"/>
        <v>15662.195151906431</v>
      </c>
      <c r="U212" s="31">
        <f t="shared" si="364"/>
        <v>44320.559872102916</v>
      </c>
      <c r="V212" s="31">
        <f t="shared" si="365"/>
        <v>41233.756854748892</v>
      </c>
      <c r="W212" s="31">
        <f t="shared" si="373"/>
        <v>75990.990570211798</v>
      </c>
      <c r="X212" s="31">
        <f t="shared" si="374"/>
        <v>15662.195151906431</v>
      </c>
      <c r="Y212" s="31">
        <f t="shared" si="375"/>
        <v>44320.559872102916</v>
      </c>
      <c r="Z212" s="31">
        <f t="shared" si="376"/>
        <v>41233.756854748892</v>
      </c>
      <c r="AA212" s="31">
        <f t="shared" si="366"/>
        <v>76015.740312692826</v>
      </c>
      <c r="AB212" s="31">
        <f t="shared" si="367"/>
        <v>16249.461926936079</v>
      </c>
      <c r="AC212" s="31">
        <f t="shared" si="368"/>
        <v>44360.428441703014</v>
      </c>
      <c r="AD212" s="31">
        <f t="shared" si="369"/>
        <v>41270.848690000537</v>
      </c>
      <c r="AE212" s="31">
        <f t="shared" si="377"/>
        <v>177896.47937133245</v>
      </c>
      <c r="AF212" s="31">
        <f>IFERROR(VLOOKUP(A212,'Allocations By Type'!$D$7:$F$491,3,FALSE),"")</f>
        <v>198249.08</v>
      </c>
      <c r="AG212" s="31" t="str">
        <f t="shared" si="378"/>
        <v/>
      </c>
      <c r="AH212" s="31" t="str">
        <f t="shared" si="370"/>
        <v/>
      </c>
      <c r="AI212" s="31">
        <f t="shared" si="379"/>
        <v>177896.47937133245</v>
      </c>
      <c r="AJ212" s="31">
        <f>AI212/$AI$577*'State Admin 1004(b)'!$B$30*0.01</f>
        <v>1692.9517191934333</v>
      </c>
      <c r="AK212" s="31">
        <f t="shared" si="380"/>
        <v>176203.52765213902</v>
      </c>
      <c r="AL212" s="31">
        <f t="shared" si="381"/>
        <v>1762.0352765213902</v>
      </c>
      <c r="AM212" s="31">
        <f t="shared" si="382"/>
        <v>174441.49237561761</v>
      </c>
      <c r="AP212" s="31"/>
      <c r="AQ212" s="4">
        <f t="shared" si="330"/>
        <v>0.87991072834041717</v>
      </c>
      <c r="AW212" s="31">
        <f t="shared" si="383"/>
        <v>173882.22650975932</v>
      </c>
      <c r="AX212" s="4">
        <f t="shared" si="332"/>
        <v>0.87708970205440207</v>
      </c>
      <c r="AZ212" s="174" t="str">
        <f>IFERROR(IF(VLOOKUP(A212,#REF!,11,FALSE)=0,"",VLOOKUP(A212,#REF!,11,FALSE)),"")</f>
        <v/>
      </c>
      <c r="BA212" s="31" t="str">
        <f t="shared" si="333"/>
        <v/>
      </c>
      <c r="BB212" s="31">
        <f t="shared" si="334"/>
        <v>173882.22650975932</v>
      </c>
      <c r="BD212" s="31" t="str">
        <f>IFERROR(VLOOKUP(A212,'Title II Hold Harmless'!A$1:B$439,2, FALSE),"")</f>
        <v/>
      </c>
      <c r="BE212" s="31">
        <f t="shared" si="337"/>
        <v>2634.9041318905101</v>
      </c>
      <c r="BF212" s="31">
        <f t="shared" si="338"/>
        <v>2637.4535588697499</v>
      </c>
      <c r="BG212" s="31" t="str">
        <f t="shared" si="335"/>
        <v/>
      </c>
      <c r="BH212" s="31">
        <f t="shared" si="336"/>
        <v>2637.4535588697499</v>
      </c>
    </row>
    <row r="213" spans="1:60" s="47" customFormat="1" x14ac:dyDescent="0.3">
      <c r="A213" s="1">
        <v>78959000</v>
      </c>
      <c r="B213" s="47">
        <f>VLOOKUP(C213,'NCES ID'!$A$2:$B$3136,2,FALSE)</f>
        <v>400390</v>
      </c>
      <c r="C213" s="47">
        <f>VLOOKUP(A213,'State ID'!$A$2:$B$713,2,FALSE)</f>
        <v>79905</v>
      </c>
      <c r="D213" s="147" t="s">
        <v>786</v>
      </c>
      <c r="E213" s="47" t="s">
        <v>7</v>
      </c>
      <c r="H213" s="4"/>
      <c r="I213" s="47">
        <f>VLOOKUP($C213,'Final SEA Counts'!$A$2:$F$709,5,FALSE)</f>
        <v>535</v>
      </c>
      <c r="J213" s="47">
        <f>VLOOKUP($C213,'Final SEA Counts'!$A$2:$F$709,6,FALSE)</f>
        <v>465</v>
      </c>
      <c r="K213" s="24">
        <f t="shared" si="371"/>
        <v>535</v>
      </c>
      <c r="L213" s="24">
        <f t="shared" si="361"/>
        <v>229.77564965663692</v>
      </c>
      <c r="M213" s="4">
        <f t="shared" si="372"/>
        <v>0.42948719561988208</v>
      </c>
      <c r="N213" s="31"/>
      <c r="O213" s="31"/>
      <c r="P213" s="31"/>
      <c r="Q213" s="31"/>
      <c r="R213" s="31"/>
      <c r="S213" s="31">
        <f t="shared" si="362"/>
        <v>110770.56619168805</v>
      </c>
      <c r="T213" s="31">
        <f t="shared" si="363"/>
        <v>22830.472556854202</v>
      </c>
      <c r="U213" s="31">
        <f t="shared" si="364"/>
        <v>64605.204829240931</v>
      </c>
      <c r="V213" s="31">
        <f t="shared" si="365"/>
        <v>60105.633032784441</v>
      </c>
      <c r="W213" s="31">
        <f t="shared" si="373"/>
        <v>110770.56619168805</v>
      </c>
      <c r="X213" s="31">
        <f t="shared" ref="X213" si="384">IF(W213="","",IF(OR($L213&gt;6500,$L213&gt;($K213*0.15)),T213,""))</f>
        <v>22830.472556854202</v>
      </c>
      <c r="Y213" s="31">
        <f t="shared" ref="Y213" si="385">IF(AND($L213&gt;9,$L213&gt;($K213*0.05)),U213,"")</f>
        <v>64605.204829240931</v>
      </c>
      <c r="Z213" s="31">
        <f t="shared" ref="Z213" si="386">IF(AND($L213&gt;9,$L213&gt;($K213*0.05)),V213,"")</f>
        <v>60105.633032784441</v>
      </c>
      <c r="AA213" s="31">
        <f t="shared" si="366"/>
        <v>110795.31593416908</v>
      </c>
      <c r="AB213" s="31">
        <f t="shared" si="367"/>
        <v>23417.739331883851</v>
      </c>
      <c r="AC213" s="31">
        <f t="shared" si="368"/>
        <v>64645.073398841028</v>
      </c>
      <c r="AD213" s="31">
        <f t="shared" si="369"/>
        <v>60142.724868036086</v>
      </c>
      <c r="AE213" s="31">
        <f t="shared" ref="AE213" si="387">SUM(AA213:AD213)</f>
        <v>259000.85353293002</v>
      </c>
      <c r="AF213" s="31">
        <f>IFERROR(VLOOKUP(A213,'Allocations By Type'!$D$7:$F$491,3,FALSE),"")</f>
        <v>234472.34</v>
      </c>
      <c r="AG213" s="31">
        <f t="shared" ref="AG213" si="388">IF(AE213&gt;AF213,AE213*0.04,"")</f>
        <v>10360.034141317201</v>
      </c>
      <c r="AH213" s="31">
        <f t="shared" ref="AH213" si="389">IF(AG213="","",IF((AE213-AF213)&gt;AG213,AG213,AE213-AF213))</f>
        <v>10360.034141317201</v>
      </c>
      <c r="AI213" s="31">
        <f t="shared" ref="AI213" si="390">IF(AH213="",AE213,AE213-AH213)</f>
        <v>248640.81939161281</v>
      </c>
      <c r="AJ213" s="31">
        <f>AI213/$AI$577*'State Admin 1004(b)'!$B$30*0.01</f>
        <v>2366.1901805940274</v>
      </c>
      <c r="AK213" s="31">
        <f t="shared" ref="AK213" si="391">AI213-AJ213</f>
        <v>246274.62921101879</v>
      </c>
      <c r="AL213" s="31">
        <f t="shared" ref="AL213" si="392">AK213*0.01</f>
        <v>2462.7462921101878</v>
      </c>
      <c r="AM213" s="31">
        <f t="shared" ref="AM213" si="393">AK213-AL213</f>
        <v>243811.88291890861</v>
      </c>
      <c r="AP213" s="31"/>
      <c r="AQ213" s="4">
        <f t="shared" si="330"/>
        <v>1.0398321734619469</v>
      </c>
      <c r="AR213" s="4"/>
      <c r="AS213" s="4"/>
      <c r="AT213" s="4"/>
      <c r="AW213" s="31">
        <f t="shared" si="383"/>
        <v>243030.21301944699</v>
      </c>
      <c r="AX213" s="4">
        <f t="shared" si="332"/>
        <v>1.0364984331177272</v>
      </c>
      <c r="AZ213" s="174"/>
      <c r="BA213" s="31"/>
      <c r="BB213" s="31">
        <f t="shared" si="334"/>
        <v>243030.21301944699</v>
      </c>
      <c r="BD213" s="31"/>
      <c r="BE213" s="31">
        <f t="shared" si="337"/>
        <v>3438.4857142648762</v>
      </c>
      <c r="BF213" s="31">
        <f t="shared" si="338"/>
        <v>3441.8126543768826</v>
      </c>
      <c r="BG213" s="31"/>
      <c r="BH213" s="31">
        <f t="shared" si="336"/>
        <v>3441.8126543768826</v>
      </c>
    </row>
    <row r="214" spans="1:60" x14ac:dyDescent="0.3">
      <c r="A214" s="1">
        <v>78524000</v>
      </c>
      <c r="B214">
        <f>VLOOKUP(C214,'NCES ID'!$A$2:$B$3136,2,FALSE)</f>
        <v>400219</v>
      </c>
      <c r="C214">
        <f>VLOOKUP(A214,'State ID'!$A$2:$B$713,2,FALSE)</f>
        <v>79047</v>
      </c>
      <c r="D214" s="192" t="s">
        <v>89</v>
      </c>
      <c r="E214" s="47" t="s">
        <v>7</v>
      </c>
      <c r="I214" s="47">
        <f>VLOOKUP($C214,'AzEDS FY17 12-04-16'!$A$1:$D$712,3,FALSE)</f>
        <v>459</v>
      </c>
      <c r="J214" s="47">
        <f>VLOOKUP($C214,'AzEDS FY17 12-04-16'!$A$1:$D$712,4,FALSE)</f>
        <v>327</v>
      </c>
      <c r="K214" s="24">
        <f t="shared" si="371"/>
        <v>459</v>
      </c>
      <c r="L214" s="24">
        <f t="shared" si="361"/>
        <v>161.58416653273176</v>
      </c>
      <c r="M214" s="4">
        <f t="shared" si="372"/>
        <v>0.3520352212042086</v>
      </c>
      <c r="N214" s="31" t="str">
        <f>IFERROR(VLOOKUP($B214,#REF!,8,FALSE),"")</f>
        <v/>
      </c>
      <c r="O214" s="31" t="str">
        <f>IFERROR(VLOOKUP($B214,#REF!,9,FALSE),"")</f>
        <v/>
      </c>
      <c r="P214" s="31" t="str">
        <f>IFERROR(VLOOKUP($B214,#REF!,10,FALSE),"")</f>
        <v/>
      </c>
      <c r="Q214" s="31" t="str">
        <f>IFERROR(VLOOKUP($B214,#REF!,11,FALSE),"")</f>
        <v/>
      </c>
      <c r="R214" s="31" t="str">
        <f>IFERROR(VLOOKUP($B214,#REF!,12,FALSE),"")</f>
        <v/>
      </c>
      <c r="S214" s="31">
        <f t="shared" si="362"/>
        <v>77896.720741251585</v>
      </c>
      <c r="T214" s="31">
        <f t="shared" si="363"/>
        <v>16054.977475465214</v>
      </c>
      <c r="U214" s="31">
        <f t="shared" si="364"/>
        <v>45432.047267014583</v>
      </c>
      <c r="V214" s="31">
        <f t="shared" si="365"/>
        <v>42267.832261764539</v>
      </c>
      <c r="W214" s="31">
        <f t="shared" si="373"/>
        <v>77896.720741251585</v>
      </c>
      <c r="X214" s="31">
        <f t="shared" si="374"/>
        <v>16054.977475465214</v>
      </c>
      <c r="Y214" s="31">
        <f t="shared" si="375"/>
        <v>45432.047267014583</v>
      </c>
      <c r="Z214" s="31">
        <f t="shared" si="376"/>
        <v>42267.832261764539</v>
      </c>
      <c r="AA214" s="31">
        <f t="shared" si="366"/>
        <v>77921.470483732614</v>
      </c>
      <c r="AB214" s="31">
        <f t="shared" si="367"/>
        <v>16642.244250494863</v>
      </c>
      <c r="AC214" s="31">
        <f t="shared" si="368"/>
        <v>45471.91583661468</v>
      </c>
      <c r="AD214" s="31">
        <f t="shared" si="369"/>
        <v>42304.924097016185</v>
      </c>
      <c r="AE214" s="31">
        <f t="shared" si="377"/>
        <v>182340.55466785835</v>
      </c>
      <c r="AF214" s="31">
        <f>IFERROR(VLOOKUP(A214,'Allocations By Type'!$D$7:$F$491,3,FALSE),"")</f>
        <v>180786.17</v>
      </c>
      <c r="AG214" s="31">
        <f t="shared" si="378"/>
        <v>7293.622186714334</v>
      </c>
      <c r="AH214" s="31">
        <f t="shared" si="370"/>
        <v>1554.3846678583359</v>
      </c>
      <c r="AI214" s="31">
        <f t="shared" si="379"/>
        <v>180786.17</v>
      </c>
      <c r="AJ214" s="31">
        <f>AI214/$AI$577*'State Admin 1004(b)'!$B$30*0.01</f>
        <v>1720.4514580023633</v>
      </c>
      <c r="AK214" s="31">
        <f t="shared" si="380"/>
        <v>179065.71854199766</v>
      </c>
      <c r="AL214" s="31">
        <f t="shared" si="381"/>
        <v>1790.6571854199767</v>
      </c>
      <c r="AM214" s="31">
        <f t="shared" si="382"/>
        <v>177275.06135657767</v>
      </c>
      <c r="AP214" s="31"/>
      <c r="AQ214" s="4">
        <f t="shared" si="330"/>
        <v>0.98057866570533392</v>
      </c>
      <c r="AW214" s="31">
        <f t="shared" si="383"/>
        <v>176706.71096393609</v>
      </c>
      <c r="AX214" s="4">
        <f t="shared" si="332"/>
        <v>0.97743489429493458</v>
      </c>
      <c r="AZ214" s="174" t="str">
        <f>IFERROR(IF(VLOOKUP(A214,#REF!,11,FALSE)=0,"",VLOOKUP(A214,#REF!,11,FALSE)),"")</f>
        <v/>
      </c>
      <c r="BA214" s="31" t="str">
        <f t="shared" si="333"/>
        <v/>
      </c>
      <c r="BB214" s="31">
        <f t="shared" si="334"/>
        <v>176706.71096393609</v>
      </c>
      <c r="BD214" s="31" t="str">
        <f>IFERROR(VLOOKUP(A214,'Title II Hold Harmless'!A$1:B$439,2, FALSE),"")</f>
        <v/>
      </c>
      <c r="BE214" s="31">
        <f t="shared" si="337"/>
        <v>2484.6485346519398</v>
      </c>
      <c r="BF214" s="31">
        <f t="shared" si="338"/>
        <v>2487.0525803747059</v>
      </c>
      <c r="BG214" s="31" t="str">
        <f t="shared" si="335"/>
        <v/>
      </c>
      <c r="BH214" s="31">
        <f t="shared" si="336"/>
        <v>2487.0525803747059</v>
      </c>
    </row>
    <row r="215" spans="1:60" x14ac:dyDescent="0.3">
      <c r="A215" s="1">
        <v>78218000</v>
      </c>
      <c r="B215" t="e">
        <f>VLOOKUP(C215,'NCES ID'!$A$2:$B$3136,2,FALSE)</f>
        <v>#N/A</v>
      </c>
      <c r="C215">
        <f>VLOOKUP(A215,'State ID'!$A$2:$B$713,2,FALSE)</f>
        <v>91934</v>
      </c>
      <c r="D215" s="147" t="s">
        <v>92</v>
      </c>
      <c r="E215" t="s">
        <v>7</v>
      </c>
      <c r="I215" s="47">
        <f>VLOOKUP($C215,'Final SEA Counts'!$A$2:$F$709,5,FALSE)</f>
        <v>192</v>
      </c>
      <c r="J215" s="47">
        <f>VLOOKUP($C215,'Final SEA Counts'!$A$2:$F$709,6,FALSE)</f>
        <v>186</v>
      </c>
      <c r="K215" s="24">
        <f t="shared" si="371"/>
        <v>192</v>
      </c>
      <c r="L215" s="24">
        <f t="shared" si="361"/>
        <v>91.910259862654769</v>
      </c>
      <c r="M215" s="4">
        <f t="shared" si="372"/>
        <v>0.47869927011799357</v>
      </c>
      <c r="N215" s="31" t="str">
        <f>IFERROR(VLOOKUP($B215,#REF!,8,FALSE),"")</f>
        <v/>
      </c>
      <c r="O215" s="31" t="str">
        <f>IFERROR(VLOOKUP($B215,#REF!,9,FALSE),"")</f>
        <v/>
      </c>
      <c r="P215" s="31" t="str">
        <f>IFERROR(VLOOKUP($B215,#REF!,10,FALSE),"")</f>
        <v/>
      </c>
      <c r="Q215" s="31" t="str">
        <f>IFERROR(VLOOKUP($B215,#REF!,11,FALSE),"")</f>
        <v/>
      </c>
      <c r="R215" s="31" t="str">
        <f>IFERROR(VLOOKUP($B215,#REF!,12,FALSE),"")</f>
        <v/>
      </c>
      <c r="S215" s="31">
        <f t="shared" si="362"/>
        <v>44308.22647667522</v>
      </c>
      <c r="T215" s="31">
        <f t="shared" si="363"/>
        <v>9132.1890227416825</v>
      </c>
      <c r="U215" s="31">
        <f t="shared" si="364"/>
        <v>25842.081931696372</v>
      </c>
      <c r="V215" s="31">
        <f t="shared" si="365"/>
        <v>24042.253213113774</v>
      </c>
      <c r="W215" s="31">
        <f t="shared" si="373"/>
        <v>44308.22647667522</v>
      </c>
      <c r="X215" s="31">
        <f t="shared" si="374"/>
        <v>9132.1890227416825</v>
      </c>
      <c r="Y215" s="31">
        <f t="shared" si="375"/>
        <v>25842.081931696372</v>
      </c>
      <c r="Z215" s="31">
        <f t="shared" si="376"/>
        <v>24042.253213113774</v>
      </c>
      <c r="AA215" s="31">
        <f t="shared" si="366"/>
        <v>44332.976219156255</v>
      </c>
      <c r="AB215" s="31">
        <f t="shared" si="367"/>
        <v>9719.4557977713303</v>
      </c>
      <c r="AC215" s="31">
        <f t="shared" si="368"/>
        <v>25881.950501296469</v>
      </c>
      <c r="AD215" s="31">
        <f t="shared" si="369"/>
        <v>24079.34504836542</v>
      </c>
      <c r="AE215" s="31">
        <f t="shared" si="377"/>
        <v>104013.72756658947</v>
      </c>
      <c r="AF215" s="31">
        <f>IFERROR(VLOOKUP(A215,'Allocations By Type'!$D$7:$F$491,3,FALSE),"")</f>
        <v>68396.210000000006</v>
      </c>
      <c r="AG215" s="31">
        <f t="shared" si="378"/>
        <v>4160.5491026635791</v>
      </c>
      <c r="AH215" s="31">
        <f t="shared" si="370"/>
        <v>4160.5491026635791</v>
      </c>
      <c r="AI215" s="31">
        <f t="shared" si="379"/>
        <v>99853.178463925899</v>
      </c>
      <c r="AJ215" s="31">
        <f>AI215/$AI$577*'State Admin 1004(b)'!$B$30*0.01</f>
        <v>950.25270171070883</v>
      </c>
      <c r="AK215" s="31">
        <f t="shared" si="380"/>
        <v>98902.925762215193</v>
      </c>
      <c r="AL215" s="31">
        <f t="shared" si="381"/>
        <v>989.02925762215193</v>
      </c>
      <c r="AM215" s="31">
        <f t="shared" si="382"/>
        <v>97913.896504593038</v>
      </c>
      <c r="AP215" s="31"/>
      <c r="AQ215" s="4">
        <f t="shared" si="330"/>
        <v>1.4315690372988945</v>
      </c>
      <c r="AW215" s="31">
        <f t="shared" si="383"/>
        <v>97599.98093690064</v>
      </c>
      <c r="AX215" s="4">
        <f t="shared" si="332"/>
        <v>1.4269793741042176</v>
      </c>
      <c r="AZ215" s="174" t="str">
        <f>IFERROR(IF(VLOOKUP(A215,#REF!,11,FALSE)=0,"",VLOOKUP(A215,#REF!,11,FALSE)),"")</f>
        <v/>
      </c>
      <c r="BA215" s="31" t="str">
        <f t="shared" si="333"/>
        <v/>
      </c>
      <c r="BB215" s="31">
        <f t="shared" si="334"/>
        <v>97599.98093690064</v>
      </c>
      <c r="BD215" s="31" t="str">
        <f>IFERROR(VLOOKUP(A215,'Title II Hold Harmless'!A$1:B$439,2, FALSE),"")</f>
        <v/>
      </c>
      <c r="BE215" s="31">
        <f t="shared" si="337"/>
        <v>1357.6886925371318</v>
      </c>
      <c r="BF215" s="31">
        <f t="shared" si="338"/>
        <v>1359.0023373640045</v>
      </c>
      <c r="BG215" s="31" t="str">
        <f t="shared" si="335"/>
        <v/>
      </c>
      <c r="BH215" s="31">
        <f t="shared" si="336"/>
        <v>1359.0023373640045</v>
      </c>
    </row>
    <row r="216" spans="1:60" x14ac:dyDescent="0.3">
      <c r="A216" s="1">
        <v>78550000</v>
      </c>
      <c r="B216">
        <f>VLOOKUP(C216,'NCES ID'!$A$2:$B$3136,2,FALSE)</f>
        <v>400798</v>
      </c>
      <c r="C216">
        <f>VLOOKUP(A216,'State ID'!$A$2:$B$713,2,FALSE)</f>
        <v>90140</v>
      </c>
      <c r="D216" s="147" t="s">
        <v>99</v>
      </c>
      <c r="E216" t="s">
        <v>7</v>
      </c>
      <c r="I216" s="47">
        <f>VLOOKUP($C216,'Final SEA Counts'!$A$2:$F$709,5,FALSE)</f>
        <v>636</v>
      </c>
      <c r="J216" s="47">
        <f>VLOOKUP($C216,'Final SEA Counts'!$A$2:$F$709,6,FALSE)</f>
        <v>622</v>
      </c>
      <c r="K216" s="24">
        <f t="shared" si="371"/>
        <v>636</v>
      </c>
      <c r="L216" s="24">
        <f t="shared" si="361"/>
        <v>307.35581523963043</v>
      </c>
      <c r="M216" s="4">
        <f t="shared" si="372"/>
        <v>0.48326386043967051</v>
      </c>
      <c r="N216" s="31" t="str">
        <f>IFERROR(VLOOKUP($B216,#REF!,8,FALSE),"")</f>
        <v/>
      </c>
      <c r="O216" s="31" t="str">
        <f>IFERROR(VLOOKUP($B216,#REF!,9,FALSE),"")</f>
        <v/>
      </c>
      <c r="P216" s="31" t="str">
        <f>IFERROR(VLOOKUP($B216,#REF!,10,FALSE),"")</f>
        <v/>
      </c>
      <c r="Q216" s="31" t="str">
        <f>IFERROR(VLOOKUP($B216,#REF!,11,FALSE),"")</f>
        <v/>
      </c>
      <c r="R216" s="31" t="str">
        <f>IFERROR(VLOOKUP($B216,#REF!,12,FALSE),"")</f>
        <v/>
      </c>
      <c r="S216" s="31">
        <f t="shared" si="362"/>
        <v>148170.52079834399</v>
      </c>
      <c r="T216" s="31">
        <f t="shared" si="363"/>
        <v>30538.825656695299</v>
      </c>
      <c r="U216" s="31">
        <f t="shared" si="364"/>
        <v>86418.144954382486</v>
      </c>
      <c r="V216" s="31">
        <f t="shared" si="365"/>
        <v>80399.362895466489</v>
      </c>
      <c r="W216" s="31">
        <f t="shared" si="373"/>
        <v>148170.52079834399</v>
      </c>
      <c r="X216" s="31">
        <f t="shared" si="374"/>
        <v>30538.825656695299</v>
      </c>
      <c r="Y216" s="31">
        <f t="shared" si="375"/>
        <v>86418.144954382486</v>
      </c>
      <c r="Z216" s="31">
        <f t="shared" si="376"/>
        <v>80399.362895466489</v>
      </c>
      <c r="AA216" s="31">
        <f t="shared" si="366"/>
        <v>148195.27054082503</v>
      </c>
      <c r="AB216" s="31">
        <f t="shared" si="367"/>
        <v>31126.092431724948</v>
      </c>
      <c r="AC216" s="31">
        <f t="shared" si="368"/>
        <v>86458.013523982576</v>
      </c>
      <c r="AD216" s="31">
        <f t="shared" si="369"/>
        <v>80436.454730718135</v>
      </c>
      <c r="AE216" s="31">
        <f t="shared" si="377"/>
        <v>346215.83122725075</v>
      </c>
      <c r="AF216" s="31">
        <f>IFERROR(VLOOKUP(A216,'Allocations By Type'!$D$7:$F$491,3,FALSE),"")</f>
        <v>286622.03000000003</v>
      </c>
      <c r="AG216" s="31">
        <f t="shared" si="378"/>
        <v>13848.633249090029</v>
      </c>
      <c r="AH216" s="31">
        <f t="shared" si="370"/>
        <v>13848.633249090029</v>
      </c>
      <c r="AI216" s="31">
        <f t="shared" si="379"/>
        <v>332367.19797816069</v>
      </c>
      <c r="AJ216" s="31">
        <f>AI216/$AI$577*'State Admin 1004(b)'!$B$30*0.01</f>
        <v>3162.9722027613434</v>
      </c>
      <c r="AK216" s="31">
        <f t="shared" si="380"/>
        <v>329204.22577539936</v>
      </c>
      <c r="AL216" s="31">
        <f t="shared" si="381"/>
        <v>3292.0422577539939</v>
      </c>
      <c r="AM216" s="31">
        <f t="shared" si="382"/>
        <v>325912.18351764535</v>
      </c>
      <c r="AP216" s="31"/>
      <c r="AQ216" s="4">
        <f t="shared" si="330"/>
        <v>1.1370800196957831</v>
      </c>
      <c r="AW216" s="31">
        <f t="shared" si="383"/>
        <v>324867.29702288704</v>
      </c>
      <c r="AX216" s="4">
        <f t="shared" si="332"/>
        <v>1.1334344991656329</v>
      </c>
      <c r="AZ216" s="174" t="str">
        <f>IFERROR(IF(VLOOKUP(A216,#REF!,11,FALSE)=0,"",VLOOKUP(A216,#REF!,11,FALSE)),"")</f>
        <v/>
      </c>
      <c r="BA216" s="31" t="str">
        <f t="shared" si="333"/>
        <v/>
      </c>
      <c r="BB216" s="31">
        <f t="shared" si="334"/>
        <v>324867.29702288704</v>
      </c>
      <c r="BD216" s="31" t="str">
        <f>IFERROR(VLOOKUP(A216,'Title II Hold Harmless'!A$1:B$439,2, FALSE),"")</f>
        <v/>
      </c>
      <c r="BE216" s="31">
        <f t="shared" ref="BE216:BE247" si="394">IFERROR($BD$582*(0.8*($L216/$L$579)+0.2*($K216/$K$579))+$BD216,$BD$582*(0.8*($L216/$L$579)+0.2*($K216/$K$579)))</f>
        <v>4535.3470575717702</v>
      </c>
      <c r="BF216" s="31">
        <f t="shared" ref="BF216:BF247" si="395">$BD$583*BE216</f>
        <v>4539.735276486017</v>
      </c>
      <c r="BG216" s="31" t="str">
        <f t="shared" si="335"/>
        <v/>
      </c>
      <c r="BH216" s="31">
        <f t="shared" si="336"/>
        <v>4539.735276486017</v>
      </c>
    </row>
    <row r="217" spans="1:60" x14ac:dyDescent="0.3">
      <c r="A217" s="1">
        <v>78772000</v>
      </c>
      <c r="B217">
        <f>VLOOKUP(C217,'NCES ID'!$A$2:$B$3136,2,FALSE)</f>
        <v>400135</v>
      </c>
      <c r="C217">
        <f>VLOOKUP(A217,'State ID'!$A$2:$B$713,2,FALSE)</f>
        <v>6362</v>
      </c>
      <c r="D217" s="147" t="s">
        <v>100</v>
      </c>
      <c r="E217" t="s">
        <v>7</v>
      </c>
      <c r="I217" s="47">
        <f>VLOOKUP($C217,'Final SEA Counts'!$A$2:$F$709,5,FALSE)</f>
        <v>578</v>
      </c>
      <c r="J217" s="47">
        <f>VLOOKUP($C217,'Final SEA Counts'!$A$2:$F$709,6,FALSE)</f>
        <v>99</v>
      </c>
      <c r="K217" s="24">
        <f t="shared" si="371"/>
        <v>578</v>
      </c>
      <c r="L217" s="24">
        <f t="shared" si="361"/>
        <v>48.919977023671088</v>
      </c>
      <c r="M217" s="4">
        <f t="shared" si="372"/>
        <v>8.4636638449257937E-2</v>
      </c>
      <c r="N217" s="31" t="str">
        <f>IFERROR(VLOOKUP($B217,#REF!,8,FALSE),"")</f>
        <v/>
      </c>
      <c r="O217" s="31" t="str">
        <f>IFERROR(VLOOKUP($B217,#REF!,9,FALSE),"")</f>
        <v/>
      </c>
      <c r="P217" s="31" t="str">
        <f>IFERROR(VLOOKUP($B217,#REF!,10,FALSE),"")</f>
        <v/>
      </c>
      <c r="Q217" s="31" t="str">
        <f>IFERROR(VLOOKUP($B217,#REF!,11,FALSE),"")</f>
        <v/>
      </c>
      <c r="R217" s="31" t="str">
        <f>IFERROR(VLOOKUP($B217,#REF!,12,FALSE),"")</f>
        <v/>
      </c>
      <c r="S217" s="31">
        <f t="shared" si="362"/>
        <v>23583.410866617458</v>
      </c>
      <c r="T217" s="31">
        <f t="shared" si="363"/>
        <v>4860.6812540399278</v>
      </c>
      <c r="U217" s="31">
        <f t="shared" si="364"/>
        <v>13754.656512031941</v>
      </c>
      <c r="V217" s="31">
        <f t="shared" si="365"/>
        <v>12796.683161818622</v>
      </c>
      <c r="W217" s="31">
        <f t="shared" si="373"/>
        <v>23583.410866617458</v>
      </c>
      <c r="X217" s="31" t="str">
        <f t="shared" si="374"/>
        <v/>
      </c>
      <c r="Y217" s="31">
        <f t="shared" si="375"/>
        <v>13754.656512031941</v>
      </c>
      <c r="Z217" s="31">
        <f t="shared" si="376"/>
        <v>12796.683161818622</v>
      </c>
      <c r="AA217" s="31">
        <f t="shared" si="366"/>
        <v>23608.160609098493</v>
      </c>
      <c r="AB217" s="31" t="str">
        <f t="shared" si="367"/>
        <v/>
      </c>
      <c r="AC217" s="31">
        <f t="shared" si="368"/>
        <v>13794.525081632037</v>
      </c>
      <c r="AD217" s="31">
        <f t="shared" si="369"/>
        <v>12833.774997070268</v>
      </c>
      <c r="AE217" s="31">
        <f t="shared" si="377"/>
        <v>50236.460687800805</v>
      </c>
      <c r="AF217" s="31">
        <f>IFERROR(VLOOKUP(A217,'Allocations By Type'!$D$7:$F$491,3,FALSE),"")</f>
        <v>61442.98</v>
      </c>
      <c r="AG217" s="31" t="str">
        <f t="shared" si="378"/>
        <v/>
      </c>
      <c r="AH217" s="31" t="str">
        <f t="shared" si="370"/>
        <v/>
      </c>
      <c r="AI217" s="31">
        <f t="shared" si="379"/>
        <v>50236.460687800805</v>
      </c>
      <c r="AJ217" s="31">
        <f>AI217/$AI$577*'State Admin 1004(b)'!$B$30*0.01</f>
        <v>478.07524234406475</v>
      </c>
      <c r="AK217" s="31">
        <f t="shared" si="380"/>
        <v>49758.385445456741</v>
      </c>
      <c r="AL217" s="31">
        <f t="shared" si="381"/>
        <v>497.58385445456742</v>
      </c>
      <c r="AM217" s="31">
        <f t="shared" si="382"/>
        <v>49260.801591002171</v>
      </c>
      <c r="AP217" s="31"/>
      <c r="AQ217" s="4">
        <f t="shared" si="330"/>
        <v>0.80173197314000999</v>
      </c>
      <c r="AW217" s="31">
        <f t="shared" si="383"/>
        <v>49102.869642132209</v>
      </c>
      <c r="AX217" s="4">
        <f t="shared" si="332"/>
        <v>0.79916159082994032</v>
      </c>
      <c r="AZ217" s="174" t="str">
        <f>IFERROR(IF(VLOOKUP(A217,#REF!,11,FALSE)=0,"",VLOOKUP(A217,#REF!,11,FALSE)),"")</f>
        <v/>
      </c>
      <c r="BA217" s="31" t="str">
        <f t="shared" si="333"/>
        <v/>
      </c>
      <c r="BB217" s="31">
        <f t="shared" si="334"/>
        <v>49102.869642132209</v>
      </c>
      <c r="BD217" s="31">
        <f>IFERROR(VLOOKUP(A217,'Title II Hold Harmless'!A$1:B$439,2, FALSE),"")</f>
        <v>10461</v>
      </c>
      <c r="BE217" s="31">
        <f t="shared" si="394"/>
        <v>11566.569640221483</v>
      </c>
      <c r="BF217" s="31">
        <f t="shared" si="395"/>
        <v>11577.760986555924</v>
      </c>
      <c r="BG217" s="31" t="str">
        <f t="shared" si="335"/>
        <v/>
      </c>
      <c r="BH217" s="31">
        <f t="shared" si="336"/>
        <v>11577.760986555924</v>
      </c>
    </row>
    <row r="218" spans="1:60" x14ac:dyDescent="0.3">
      <c r="A218" s="1">
        <v>78995000</v>
      </c>
      <c r="B218">
        <f>VLOOKUP(C218,'NCES ID'!$A$2:$B$3136,2,FALSE)</f>
        <v>400402</v>
      </c>
      <c r="C218">
        <f>VLOOKUP(A218,'State ID'!$A$2:$B$713,2,FALSE)</f>
        <v>5186</v>
      </c>
      <c r="D218" s="147" t="s">
        <v>105</v>
      </c>
      <c r="E218" t="s">
        <v>7</v>
      </c>
      <c r="I218" s="47">
        <f>VLOOKUP($C218,'Final SEA Counts'!$A$2:$F$709,5,FALSE)</f>
        <v>434</v>
      </c>
      <c r="J218" s="47">
        <f>VLOOKUP($C218,'Final SEA Counts'!$A$2:$F$709,6,FALSE)</f>
        <v>373</v>
      </c>
      <c r="K218" s="24">
        <f t="shared" si="371"/>
        <v>434</v>
      </c>
      <c r="L218" s="24">
        <f t="shared" si="361"/>
        <v>184.31466090736683</v>
      </c>
      <c r="M218" s="4">
        <f t="shared" si="372"/>
        <v>0.42468815877273464</v>
      </c>
      <c r="N218" s="31" t="str">
        <f>IFERROR(VLOOKUP($B218,#REF!,8,FALSE),"")</f>
        <v/>
      </c>
      <c r="O218" s="31" t="str">
        <f>IFERROR(VLOOKUP($B218,#REF!,9,FALSE),"")</f>
        <v/>
      </c>
      <c r="P218" s="31" t="str">
        <f>IFERROR(VLOOKUP($B218,#REF!,10,FALSE),"")</f>
        <v/>
      </c>
      <c r="Q218" s="31" t="str">
        <f>IFERROR(VLOOKUP($B218,#REF!,11,FALSE),"")</f>
        <v/>
      </c>
      <c r="R218" s="31" t="str">
        <f>IFERROR(VLOOKUP($B218,#REF!,12,FALSE),"")</f>
        <v/>
      </c>
      <c r="S218" s="31">
        <f t="shared" si="362"/>
        <v>88854.669224730416</v>
      </c>
      <c r="T218" s="31">
        <f t="shared" si="363"/>
        <v>18313.475835928213</v>
      </c>
      <c r="U218" s="31">
        <f t="shared" si="364"/>
        <v>51823.099787756706</v>
      </c>
      <c r="V218" s="31">
        <f t="shared" si="365"/>
        <v>48213.765852104509</v>
      </c>
      <c r="W218" s="31">
        <f t="shared" si="373"/>
        <v>88854.669224730416</v>
      </c>
      <c r="X218" s="31">
        <f t="shared" si="374"/>
        <v>18313.475835928213</v>
      </c>
      <c r="Y218" s="31">
        <f t="shared" si="375"/>
        <v>51823.099787756706</v>
      </c>
      <c r="Z218" s="31">
        <f t="shared" si="376"/>
        <v>48213.765852104509</v>
      </c>
      <c r="AA218" s="31">
        <f t="shared" si="366"/>
        <v>88879.418967211444</v>
      </c>
      <c r="AB218" s="31">
        <f t="shared" si="367"/>
        <v>18900.742610957863</v>
      </c>
      <c r="AC218" s="31">
        <f t="shared" si="368"/>
        <v>51862.968357356804</v>
      </c>
      <c r="AD218" s="31">
        <f t="shared" si="369"/>
        <v>48250.857687356154</v>
      </c>
      <c r="AE218" s="31">
        <f t="shared" si="377"/>
        <v>207893.98762288227</v>
      </c>
      <c r="AF218" s="31">
        <f>IFERROR(VLOOKUP(A218,'Allocations By Type'!$D$7:$F$491,3,FALSE),"")</f>
        <v>163772.48000000001</v>
      </c>
      <c r="AG218" s="31">
        <f t="shared" si="378"/>
        <v>8315.7595049152915</v>
      </c>
      <c r="AH218" s="31">
        <f t="shared" si="370"/>
        <v>8315.7595049152915</v>
      </c>
      <c r="AI218" s="31">
        <f t="shared" si="379"/>
        <v>199578.22811796697</v>
      </c>
      <c r="AJ218" s="31">
        <f>AI218/$AI$577*'State Admin 1004(b)'!$B$30*0.01</f>
        <v>1899.2860656934351</v>
      </c>
      <c r="AK218" s="31">
        <f t="shared" si="380"/>
        <v>197678.94205227355</v>
      </c>
      <c r="AL218" s="31">
        <f t="shared" si="381"/>
        <v>1976.7894205227356</v>
      </c>
      <c r="AM218" s="31">
        <f t="shared" si="382"/>
        <v>195702.1526317508</v>
      </c>
      <c r="AP218" s="31"/>
      <c r="AQ218" s="4">
        <f t="shared" si="330"/>
        <v>1.1949636021372503</v>
      </c>
      <c r="AW218" s="31">
        <f t="shared" si="383"/>
        <v>195074.72430405536</v>
      </c>
      <c r="AX218" s="4">
        <f t="shared" si="332"/>
        <v>1.191132504704425</v>
      </c>
      <c r="AZ218" s="174" t="str">
        <f>IFERROR(IF(VLOOKUP(A218,#REF!,11,FALSE)=0,"",VLOOKUP(A218,#REF!,11,FALSE)),"")</f>
        <v/>
      </c>
      <c r="BA218" s="31" t="str">
        <f t="shared" si="333"/>
        <v/>
      </c>
      <c r="BB218" s="31">
        <f t="shared" si="334"/>
        <v>195074.72430405536</v>
      </c>
      <c r="BD218" s="31" t="str">
        <f>IFERROR(VLOOKUP(A218,'Title II Hold Harmless'!A$1:B$439,2, FALSE),"")</f>
        <v/>
      </c>
      <c r="BE218" s="31">
        <f t="shared" si="394"/>
        <v>2762.0860101518338</v>
      </c>
      <c r="BF218" s="31">
        <f t="shared" si="395"/>
        <v>2764.7584931875676</v>
      </c>
      <c r="BG218" s="31" t="str">
        <f t="shared" si="335"/>
        <v/>
      </c>
      <c r="BH218" s="31">
        <f t="shared" si="336"/>
        <v>2764.7584931875676</v>
      </c>
    </row>
    <row r="219" spans="1:60" x14ac:dyDescent="0.3">
      <c r="A219" s="1">
        <v>78975000</v>
      </c>
      <c r="B219">
        <f>VLOOKUP(C219,'NCES ID'!$A$2:$B$3136,2,FALSE)</f>
        <v>400376</v>
      </c>
      <c r="C219">
        <f>VLOOKUP(A219,'State ID'!$A$2:$B$713,2,FALSE)</f>
        <v>79988</v>
      </c>
      <c r="D219" s="147" t="s">
        <v>116</v>
      </c>
      <c r="E219" t="s">
        <v>7</v>
      </c>
      <c r="I219" s="47">
        <f>VLOOKUP($C219,'Final SEA Counts'!$A$2:$F$709,5,FALSE)</f>
        <v>235</v>
      </c>
      <c r="J219" s="47">
        <f>VLOOKUP($C219,'Final SEA Counts'!$A$2:$F$709,6,FALSE)</f>
        <v>216</v>
      </c>
      <c r="K219" s="24">
        <f t="shared" si="371"/>
        <v>235</v>
      </c>
      <c r="L219" s="24">
        <f t="shared" si="361"/>
        <v>106.73449532437327</v>
      </c>
      <c r="M219" s="4">
        <f t="shared" si="372"/>
        <v>0.45418934180584369</v>
      </c>
      <c r="N219" s="31" t="str">
        <f>IFERROR(VLOOKUP($B219,#REF!,8,FALSE),"")</f>
        <v/>
      </c>
      <c r="O219" s="31" t="str">
        <f>IFERROR(VLOOKUP($B219,#REF!,9,FALSE),"")</f>
        <v/>
      </c>
      <c r="P219" s="31" t="str">
        <f>IFERROR(VLOOKUP($B219,#REF!,10,FALSE),"")</f>
        <v/>
      </c>
      <c r="Q219" s="31" t="str">
        <f>IFERROR(VLOOKUP($B219,#REF!,11,FALSE),"")</f>
        <v/>
      </c>
      <c r="R219" s="31" t="str">
        <f>IFERROR(VLOOKUP($B219,#REF!,12,FALSE),"")</f>
        <v/>
      </c>
      <c r="S219" s="31">
        <f t="shared" si="362"/>
        <v>51454.714618074446</v>
      </c>
      <c r="T219" s="31">
        <f t="shared" si="363"/>
        <v>10605.122736087113</v>
      </c>
      <c r="U219" s="31">
        <f t="shared" si="364"/>
        <v>30010.15966261514</v>
      </c>
      <c r="V219" s="31">
        <f t="shared" si="365"/>
        <v>27920.035989422446</v>
      </c>
      <c r="W219" s="31">
        <f t="shared" si="373"/>
        <v>51454.714618074446</v>
      </c>
      <c r="X219" s="31">
        <f t="shared" si="374"/>
        <v>10605.122736087113</v>
      </c>
      <c r="Y219" s="31">
        <f t="shared" si="375"/>
        <v>30010.15966261514</v>
      </c>
      <c r="Z219" s="31">
        <f t="shared" si="376"/>
        <v>27920.035989422446</v>
      </c>
      <c r="AA219" s="31">
        <f t="shared" si="366"/>
        <v>51479.464360555481</v>
      </c>
      <c r="AB219" s="31">
        <f t="shared" si="367"/>
        <v>11192.38951111676</v>
      </c>
      <c r="AC219" s="31">
        <f t="shared" si="368"/>
        <v>30050.028232215238</v>
      </c>
      <c r="AD219" s="31">
        <f t="shared" si="369"/>
        <v>27957.127824674091</v>
      </c>
      <c r="AE219" s="31">
        <f t="shared" si="377"/>
        <v>120679.00992856157</v>
      </c>
      <c r="AF219" s="31">
        <f>IFERROR(VLOOKUP(A219,'Allocations By Type'!$D$7:$F$491,3,FALSE),"")</f>
        <v>117284.65</v>
      </c>
      <c r="AG219" s="31">
        <f t="shared" si="378"/>
        <v>4827.1603971424629</v>
      </c>
      <c r="AH219" s="31">
        <f t="shared" si="370"/>
        <v>3394.3599285615783</v>
      </c>
      <c r="AI219" s="31">
        <f t="shared" si="379"/>
        <v>117284.65</v>
      </c>
      <c r="AJ219" s="31">
        <f>AI219/$AI$577*'State Admin 1004(b)'!$B$30*0.01</f>
        <v>1116.1392881645586</v>
      </c>
      <c r="AK219" s="31">
        <f t="shared" si="380"/>
        <v>116168.51071183544</v>
      </c>
      <c r="AL219" s="31">
        <f t="shared" si="381"/>
        <v>1161.6851071183544</v>
      </c>
      <c r="AM219" s="31">
        <f t="shared" si="382"/>
        <v>115006.82560471709</v>
      </c>
      <c r="AP219" s="31"/>
      <c r="AQ219" s="4">
        <f t="shared" si="330"/>
        <v>0.98057866570533392</v>
      </c>
      <c r="AW219" s="31">
        <f t="shared" si="383"/>
        <v>114638.1094751684</v>
      </c>
      <c r="AX219" s="4">
        <f t="shared" si="332"/>
        <v>0.97743489429493469</v>
      </c>
      <c r="AZ219" s="174" t="str">
        <f>IFERROR(IF(VLOOKUP(A219,#REF!,11,FALSE)=0,"",VLOOKUP(A219,#REF!,11,FALSE)),"")</f>
        <v/>
      </c>
      <c r="BA219" s="31" t="str">
        <f t="shared" si="333"/>
        <v/>
      </c>
      <c r="BB219" s="31">
        <f t="shared" si="334"/>
        <v>114638.1094751684</v>
      </c>
      <c r="BD219" s="31" t="str">
        <f>IFERROR(VLOOKUP(A219,'Title II Hold Harmless'!A$1:B$439,2, FALSE),"")</f>
        <v/>
      </c>
      <c r="BE219" s="31">
        <f t="shared" si="394"/>
        <v>1586.3542972747475</v>
      </c>
      <c r="BF219" s="31">
        <f t="shared" si="395"/>
        <v>1587.8891897192798</v>
      </c>
      <c r="BG219" s="31" t="str">
        <f t="shared" si="335"/>
        <v/>
      </c>
      <c r="BH219" s="31">
        <f t="shared" si="336"/>
        <v>1587.8891897192798</v>
      </c>
    </row>
    <row r="220" spans="1:60" x14ac:dyDescent="0.3">
      <c r="A220" s="1">
        <v>78513000</v>
      </c>
      <c r="B220">
        <f>VLOOKUP(C220,'NCES ID'!$A$2:$B$3136,2,FALSE)</f>
        <v>400429</v>
      </c>
      <c r="C220">
        <f>VLOOKUP(A220,'State ID'!$A$2:$B$713,2,FALSE)</f>
        <v>79074</v>
      </c>
      <c r="D220" s="147" t="s">
        <v>118</v>
      </c>
      <c r="E220" t="s">
        <v>7</v>
      </c>
      <c r="I220" s="47">
        <f>VLOOKUP($C220,'Final SEA Counts'!$A$2:$F$709,5,FALSE)</f>
        <v>409</v>
      </c>
      <c r="J220" s="47">
        <f>VLOOKUP($C220,'Final SEA Counts'!$A$2:$F$709,6,FALSE)</f>
        <v>281</v>
      </c>
      <c r="K220" s="24">
        <f t="shared" si="371"/>
        <v>409</v>
      </c>
      <c r="L220" s="24">
        <f t="shared" si="361"/>
        <v>138.85367215809671</v>
      </c>
      <c r="M220" s="4">
        <f t="shared" si="372"/>
        <v>0.33949553094889173</v>
      </c>
      <c r="N220" s="31" t="str">
        <f>IFERROR(VLOOKUP($B220,#REF!,8,FALSE),"")</f>
        <v/>
      </c>
      <c r="O220" s="31" t="str">
        <f>IFERROR(VLOOKUP($B220,#REF!,9,FALSE),"")</f>
        <v/>
      </c>
      <c r="P220" s="31" t="str">
        <f>IFERROR(VLOOKUP($B220,#REF!,10,FALSE),"")</f>
        <v/>
      </c>
      <c r="Q220" s="31" t="str">
        <f>IFERROR(VLOOKUP($B220,#REF!,11,FALSE),"")</f>
        <v/>
      </c>
      <c r="R220" s="31" t="str">
        <f>IFERROR(VLOOKUP($B220,#REF!,12,FALSE),"")</f>
        <v/>
      </c>
      <c r="S220" s="31">
        <f t="shared" si="362"/>
        <v>66938.772257772784</v>
      </c>
      <c r="T220" s="31">
        <f t="shared" si="363"/>
        <v>13796.479115002217</v>
      </c>
      <c r="U220" s="31">
        <f t="shared" si="364"/>
        <v>39040.994746272474</v>
      </c>
      <c r="V220" s="31">
        <f t="shared" si="365"/>
        <v>36321.898671424577</v>
      </c>
      <c r="W220" s="31">
        <f t="shared" si="373"/>
        <v>66938.772257772784</v>
      </c>
      <c r="X220" s="31">
        <f t="shared" si="374"/>
        <v>13796.479115002217</v>
      </c>
      <c r="Y220" s="31">
        <f t="shared" si="375"/>
        <v>39040.994746272474</v>
      </c>
      <c r="Z220" s="31">
        <f t="shared" si="376"/>
        <v>36321.898671424577</v>
      </c>
      <c r="AA220" s="31">
        <f t="shared" si="366"/>
        <v>66963.522000253812</v>
      </c>
      <c r="AB220" s="31">
        <f t="shared" si="367"/>
        <v>14383.745890031865</v>
      </c>
      <c r="AC220" s="31">
        <f t="shared" si="368"/>
        <v>39080.863315872572</v>
      </c>
      <c r="AD220" s="31">
        <f t="shared" si="369"/>
        <v>36358.990506676222</v>
      </c>
      <c r="AE220" s="31">
        <f t="shared" si="377"/>
        <v>156787.12171283446</v>
      </c>
      <c r="AF220" s="31">
        <f>IFERROR(VLOOKUP(A220,'Allocations By Type'!$D$7:$F$491,3,FALSE),"")</f>
        <v>122245.5</v>
      </c>
      <c r="AG220" s="31">
        <f t="shared" si="378"/>
        <v>6271.4848685133784</v>
      </c>
      <c r="AH220" s="31">
        <f t="shared" si="370"/>
        <v>6271.4848685133784</v>
      </c>
      <c r="AI220" s="31">
        <f t="shared" si="379"/>
        <v>150515.63684432107</v>
      </c>
      <c r="AJ220" s="31">
        <f>AI220/$AI$577*'State Admin 1004(b)'!$B$30*0.01</f>
        <v>1432.3819507928422</v>
      </c>
      <c r="AK220" s="31">
        <f t="shared" si="380"/>
        <v>149083.25489352821</v>
      </c>
      <c r="AL220" s="31">
        <f t="shared" si="381"/>
        <v>1490.8325489352821</v>
      </c>
      <c r="AM220" s="31">
        <f t="shared" si="382"/>
        <v>147592.42234459292</v>
      </c>
      <c r="AP220" s="31"/>
      <c r="AQ220" s="4">
        <f t="shared" si="330"/>
        <v>1.2073444204047832</v>
      </c>
      <c r="AW220" s="31">
        <f t="shared" si="383"/>
        <v>147119.23558866369</v>
      </c>
      <c r="AX220" s="4">
        <f t="shared" si="332"/>
        <v>1.203473629611427</v>
      </c>
      <c r="AZ220" s="174" t="str">
        <f>IFERROR(IF(VLOOKUP(A220,#REF!,11,FALSE)=0,"",VLOOKUP(A220,#REF!,11,FALSE)),"")</f>
        <v/>
      </c>
      <c r="BA220" s="31" t="str">
        <f t="shared" si="333"/>
        <v/>
      </c>
      <c r="BB220" s="31">
        <f t="shared" si="334"/>
        <v>147119.23558866369</v>
      </c>
      <c r="BD220" s="31" t="str">
        <f>IFERROR(VLOOKUP(A220,'Title II Hold Harmless'!A$1:B$439,2, FALSE),"")</f>
        <v/>
      </c>
      <c r="BE220" s="31">
        <f t="shared" si="394"/>
        <v>2146.8510824401642</v>
      </c>
      <c r="BF220" s="31">
        <f t="shared" si="395"/>
        <v>2148.928288970656</v>
      </c>
      <c r="BG220" s="31" t="str">
        <f t="shared" si="335"/>
        <v/>
      </c>
      <c r="BH220" s="31">
        <f t="shared" si="336"/>
        <v>2148.928288970656</v>
      </c>
    </row>
    <row r="221" spans="1:60" s="47" customFormat="1" x14ac:dyDescent="0.3">
      <c r="A221" s="1">
        <v>78253000</v>
      </c>
      <c r="B221" s="47" t="e">
        <f>VLOOKUP(C221,'NCES ID'!$A$2:$B$3136,2,FALSE)</f>
        <v>#N/A</v>
      </c>
      <c r="C221" s="47">
        <v>92369</v>
      </c>
      <c r="D221" s="191" t="s">
        <v>1264</v>
      </c>
      <c r="E221" s="47" t="s">
        <v>7</v>
      </c>
      <c r="H221" s="4"/>
      <c r="I221" s="47">
        <f>VLOOKUP($C221,'Final SEA Counts'!$A$2:$F$709,5,FALSE)</f>
        <v>86</v>
      </c>
      <c r="J221" s="47">
        <f>VLOOKUP($C221,'Final SEA Counts'!$A$2:$F$709,6,FALSE)</f>
        <v>86</v>
      </c>
      <c r="K221" s="24">
        <f t="shared" ref="K221" si="396">I221</f>
        <v>86</v>
      </c>
      <c r="L221" s="24">
        <f t="shared" si="361"/>
        <v>42.496141656926397</v>
      </c>
      <c r="M221" s="4">
        <f t="shared" ref="M221" si="397">L221/K221</f>
        <v>0.49414118205728369</v>
      </c>
      <c r="N221" s="31"/>
      <c r="O221" s="31"/>
      <c r="P221" s="31"/>
      <c r="Q221" s="31"/>
      <c r="R221" s="31"/>
      <c r="S221" s="31">
        <f t="shared" si="362"/>
        <v>20486.599338677788</v>
      </c>
      <c r="T221" s="31">
        <f t="shared" si="363"/>
        <v>4222.4099782569065</v>
      </c>
      <c r="U221" s="31">
        <f t="shared" si="364"/>
        <v>11948.489495300473</v>
      </c>
      <c r="V221" s="31">
        <f t="shared" si="365"/>
        <v>11116.310625418197</v>
      </c>
      <c r="W221" s="31">
        <f t="shared" ref="W221" si="398">IF(AND($L221&gt;9,$L221&gt;($K221*0.02)),S221,"")</f>
        <v>20486.599338677788</v>
      </c>
      <c r="X221" s="31">
        <f t="shared" ref="X221" si="399">IF(W221="","",IF(OR($L221&gt;6500,$L221&gt;($K221*0.15)),T221,""))</f>
        <v>4222.4099782569065</v>
      </c>
      <c r="Y221" s="31">
        <f t="shared" ref="Y221" si="400">IF(AND($L221&gt;9,$L221&gt;($K221*0.05)),U221,"")</f>
        <v>11948.489495300473</v>
      </c>
      <c r="Z221" s="31">
        <f t="shared" ref="Z221" si="401">IF(AND($L221&gt;9,$L221&gt;($K221*0.05)),V221,"")</f>
        <v>11116.310625418197</v>
      </c>
      <c r="AA221" s="31">
        <f t="shared" si="366"/>
        <v>20511.349081158824</v>
      </c>
      <c r="AB221" s="31">
        <f t="shared" si="367"/>
        <v>4809.6767532865542</v>
      </c>
      <c r="AC221" s="31">
        <f t="shared" si="368"/>
        <v>11988.358064900569</v>
      </c>
      <c r="AD221" s="31">
        <f t="shared" si="369"/>
        <v>11153.402460669842</v>
      </c>
      <c r="AE221" s="31">
        <f t="shared" ref="AE221" si="402">SUM(AA221:AD221)</f>
        <v>48462.786360015787</v>
      </c>
      <c r="AF221" s="31" t="str">
        <f>IFERROR(VLOOKUP(A221,'Allocations By Type'!$D$7:$F$491,3,FALSE),"")</f>
        <v/>
      </c>
      <c r="AG221" s="31" t="str">
        <f t="shared" ref="AG221" si="403">IF(AE221&gt;AF221,AE221*0.04,"")</f>
        <v/>
      </c>
      <c r="AH221" s="31" t="str">
        <f t="shared" ref="AH221" si="404">IF(AG221="","",IF((AE221-AF221)&gt;AG221,AG221,AE221-AF221))</f>
        <v/>
      </c>
      <c r="AI221" s="31">
        <f t="shared" ref="AI221" si="405">IF(AH221="",AE221,AE221-AH221)</f>
        <v>48462.786360015787</v>
      </c>
      <c r="AJ221" s="31">
        <f>AI221/$AI$577*'State Admin 1004(b)'!$B$30*0.01</f>
        <v>461.196071867368</v>
      </c>
      <c r="AK221" s="31">
        <f t="shared" ref="AK221" si="406">AI221-AJ221</f>
        <v>48001.590288148422</v>
      </c>
      <c r="AL221" s="31">
        <f t="shared" ref="AL221" si="407">AK221*0.01</f>
        <v>480.01590288148424</v>
      </c>
      <c r="AM221" s="31">
        <f t="shared" ref="AM221" si="408">AK221-AL221</f>
        <v>47521.57438526694</v>
      </c>
      <c r="AP221" s="31"/>
      <c r="AQ221" s="4" t="str">
        <f t="shared" si="330"/>
        <v/>
      </c>
      <c r="AR221" s="4"/>
      <c r="AS221" s="4"/>
      <c r="AT221" s="4"/>
      <c r="AW221" s="31">
        <f t="shared" si="383"/>
        <v>47369.21846304003</v>
      </c>
      <c r="AX221" s="4" t="str">
        <f t="shared" ref="AX221" si="409">IFERROR(AW221/AF221,"")</f>
        <v/>
      </c>
      <c r="AZ221" s="174"/>
      <c r="BA221" s="31"/>
      <c r="BB221" s="31">
        <f t="shared" si="334"/>
        <v>47369.21846304003</v>
      </c>
      <c r="BD221" s="31" t="str">
        <f>IFERROR(VLOOKUP(A221,'Title II Hold Harmless'!A$1:B$439,2, FALSE),"")</f>
        <v/>
      </c>
      <c r="BE221" s="31">
        <f t="shared" si="394"/>
        <v>625.51586515277211</v>
      </c>
      <c r="BF221" s="31">
        <f t="shared" si="395"/>
        <v>626.12108907847858</v>
      </c>
      <c r="BG221" s="31"/>
      <c r="BH221" s="31">
        <f t="shared" si="336"/>
        <v>626.12108907847858</v>
      </c>
    </row>
    <row r="222" spans="1:60" x14ac:dyDescent="0.3">
      <c r="A222" s="1">
        <v>78544000</v>
      </c>
      <c r="B222">
        <f>VLOOKUP(C222,'NCES ID'!$A$2:$B$3136,2,FALSE)</f>
        <v>400778</v>
      </c>
      <c r="C222">
        <f>VLOOKUP(A222,'State ID'!$A$2:$B$713,2,FALSE)</f>
        <v>89917</v>
      </c>
      <c r="D222" s="147" t="s">
        <v>123</v>
      </c>
      <c r="E222" t="s">
        <v>7</v>
      </c>
      <c r="I222" s="47">
        <f>VLOOKUP($C222,'Final SEA Counts'!$A$2:$F$709,5,FALSE)</f>
        <v>440</v>
      </c>
      <c r="J222" s="47">
        <f>VLOOKUP($C222,'Final SEA Counts'!$A$2:$F$709,6,FALSE)</f>
        <v>147</v>
      </c>
      <c r="K222" s="24">
        <f t="shared" si="371"/>
        <v>440</v>
      </c>
      <c r="L222" s="24">
        <f t="shared" si="361"/>
        <v>72.638753762420706</v>
      </c>
      <c r="M222" s="4">
        <f t="shared" si="372"/>
        <v>0.16508807673277434</v>
      </c>
      <c r="N222" s="31" t="str">
        <f>IFERROR(VLOOKUP($B222,#REF!,8,FALSE),"")</f>
        <v/>
      </c>
      <c r="O222" s="31" t="str">
        <f>IFERROR(VLOOKUP($B222,#REF!,9,FALSE),"")</f>
        <v/>
      </c>
      <c r="P222" s="31" t="str">
        <f>IFERROR(VLOOKUP($B222,#REF!,10,FALSE),"")</f>
        <v/>
      </c>
      <c r="Q222" s="31" t="str">
        <f>IFERROR(VLOOKUP($B222,#REF!,11,FALSE),"")</f>
        <v/>
      </c>
      <c r="R222" s="31" t="str">
        <f>IFERROR(VLOOKUP($B222,#REF!,12,FALSE),"")</f>
        <v/>
      </c>
      <c r="S222" s="31">
        <f t="shared" si="362"/>
        <v>35017.791892856221</v>
      </c>
      <c r="T222" s="31">
        <f t="shared" si="363"/>
        <v>7217.3751953926194</v>
      </c>
      <c r="U222" s="31">
        <f t="shared" si="364"/>
        <v>20423.58088150197</v>
      </c>
      <c r="V222" s="31">
        <f t="shared" si="365"/>
        <v>19001.135603912502</v>
      </c>
      <c r="W222" s="31">
        <f t="shared" si="373"/>
        <v>35017.791892856221</v>
      </c>
      <c r="X222" s="31">
        <f t="shared" si="374"/>
        <v>7217.3751953926194</v>
      </c>
      <c r="Y222" s="31">
        <f t="shared" si="375"/>
        <v>20423.58088150197</v>
      </c>
      <c r="Z222" s="31">
        <f t="shared" si="376"/>
        <v>19001.135603912502</v>
      </c>
      <c r="AA222" s="31">
        <f t="shared" si="366"/>
        <v>35042.541635337257</v>
      </c>
      <c r="AB222" s="31">
        <f t="shared" si="367"/>
        <v>7804.6419704222671</v>
      </c>
      <c r="AC222" s="31">
        <f t="shared" si="368"/>
        <v>20463.449451102068</v>
      </c>
      <c r="AD222" s="31">
        <f t="shared" si="369"/>
        <v>19038.227439164148</v>
      </c>
      <c r="AE222" s="31">
        <f t="shared" si="377"/>
        <v>82348.860496025736</v>
      </c>
      <c r="AF222" s="31">
        <f>IFERROR(VLOOKUP(A222,'Allocations By Type'!$D$7:$F$491,3,FALSE),"")</f>
        <v>77363.87</v>
      </c>
      <c r="AG222" s="31">
        <f t="shared" si="378"/>
        <v>3293.9544198410294</v>
      </c>
      <c r="AH222" s="31">
        <f t="shared" si="370"/>
        <v>3293.9544198410294</v>
      </c>
      <c r="AI222" s="31">
        <f t="shared" si="379"/>
        <v>79054.906076184707</v>
      </c>
      <c r="AJ222" s="31">
        <f>AI222/$AI$577*'State Admin 1004(b)'!$B$30*0.01</f>
        <v>752.32595735067503</v>
      </c>
      <c r="AK222" s="31">
        <f t="shared" si="380"/>
        <v>78302.580118834027</v>
      </c>
      <c r="AL222" s="31">
        <f t="shared" si="381"/>
        <v>783.02580118834032</v>
      </c>
      <c r="AM222" s="31">
        <f t="shared" si="382"/>
        <v>77519.554317645685</v>
      </c>
      <c r="AP222" s="31"/>
      <c r="AQ222" s="4">
        <f t="shared" si="330"/>
        <v>1.0020123646560817</v>
      </c>
      <c r="AW222" s="31">
        <f t="shared" si="383"/>
        <v>77271.023764071564</v>
      </c>
      <c r="AX222" s="4">
        <f t="shared" si="332"/>
        <v>0.99879987601540055</v>
      </c>
      <c r="AZ222" s="174" t="str">
        <f>IFERROR(IF(VLOOKUP(A222,#REF!,11,FALSE)=0,"",VLOOKUP(A222,#REF!,11,FALSE)),"")</f>
        <v/>
      </c>
      <c r="BA222" s="31" t="str">
        <f t="shared" si="333"/>
        <v/>
      </c>
      <c r="BB222" s="31">
        <f t="shared" si="334"/>
        <v>77271.023764071564</v>
      </c>
      <c r="BD222" s="31" t="str">
        <f>IFERROR(VLOOKUP(A222,'Title II Hold Harmless'!A$1:B$439,2, FALSE),"")</f>
        <v/>
      </c>
      <c r="BE222" s="31">
        <f t="shared" si="394"/>
        <v>1305.0020320147746</v>
      </c>
      <c r="BF222" s="31">
        <f t="shared" si="395"/>
        <v>1306.2646993536407</v>
      </c>
      <c r="BG222" s="31" t="str">
        <f t="shared" si="335"/>
        <v/>
      </c>
      <c r="BH222" s="31">
        <f t="shared" si="336"/>
        <v>1306.2646993536407</v>
      </c>
    </row>
    <row r="223" spans="1:60" x14ac:dyDescent="0.3">
      <c r="A223" s="1">
        <v>78577000</v>
      </c>
      <c r="B223">
        <f>VLOOKUP(C223,'NCES ID'!$A$2:$B$3136,2,FALSE)</f>
        <v>400822</v>
      </c>
      <c r="C223">
        <f>VLOOKUP(A223,'State ID'!$A$2:$B$713,2,FALSE)</f>
        <v>90541</v>
      </c>
      <c r="D223" s="147" t="s">
        <v>126</v>
      </c>
      <c r="E223" t="s">
        <v>7</v>
      </c>
      <c r="I223" s="47">
        <f>VLOOKUP($C223,'Final SEA Counts'!$A$2:$F$709,5,FALSE)</f>
        <v>300</v>
      </c>
      <c r="J223" s="47">
        <f>VLOOKUP($C223,'Final SEA Counts'!$A$2:$F$709,6,FALSE)</f>
        <v>243</v>
      </c>
      <c r="K223" s="24">
        <f t="shared" si="371"/>
        <v>300</v>
      </c>
      <c r="L223" s="24">
        <f t="shared" si="361"/>
        <v>120.07630723991994</v>
      </c>
      <c r="M223" s="4">
        <f t="shared" si="372"/>
        <v>0.40025435746639981</v>
      </c>
      <c r="N223" s="31" t="str">
        <f>IFERROR(VLOOKUP($B223,#REF!,8,FALSE),"")</f>
        <v/>
      </c>
      <c r="O223" s="31" t="str">
        <f>IFERROR(VLOOKUP($B223,#REF!,9,FALSE),"")</f>
        <v/>
      </c>
      <c r="P223" s="31" t="str">
        <f>IFERROR(VLOOKUP($B223,#REF!,10,FALSE),"")</f>
        <v/>
      </c>
      <c r="Q223" s="31" t="str">
        <f>IFERROR(VLOOKUP($B223,#REF!,11,FALSE),"")</f>
        <v/>
      </c>
      <c r="R223" s="31" t="str">
        <f>IFERROR(VLOOKUP($B223,#REF!,12,FALSE),"")</f>
        <v/>
      </c>
      <c r="S223" s="31">
        <f t="shared" si="362"/>
        <v>57886.553945333755</v>
      </c>
      <c r="T223" s="31">
        <f t="shared" si="363"/>
        <v>11930.763078098003</v>
      </c>
      <c r="U223" s="31">
        <f t="shared" si="364"/>
        <v>33761.429620442032</v>
      </c>
      <c r="V223" s="31">
        <f t="shared" si="365"/>
        <v>31410.040488100258</v>
      </c>
      <c r="W223" s="31">
        <f t="shared" si="373"/>
        <v>57886.553945333755</v>
      </c>
      <c r="X223" s="31">
        <f t="shared" si="374"/>
        <v>11930.763078098003</v>
      </c>
      <c r="Y223" s="31">
        <f t="shared" si="375"/>
        <v>33761.429620442032</v>
      </c>
      <c r="Z223" s="31">
        <f t="shared" si="376"/>
        <v>31410.040488100258</v>
      </c>
      <c r="AA223" s="31">
        <f t="shared" si="366"/>
        <v>57911.30368781479</v>
      </c>
      <c r="AB223" s="31">
        <f t="shared" si="367"/>
        <v>12518.029853127651</v>
      </c>
      <c r="AC223" s="31">
        <f t="shared" si="368"/>
        <v>33801.298190042129</v>
      </c>
      <c r="AD223" s="31">
        <f t="shared" si="369"/>
        <v>31447.132323351903</v>
      </c>
      <c r="AE223" s="31">
        <f t="shared" si="377"/>
        <v>135677.76405433647</v>
      </c>
      <c r="AF223" s="31">
        <f>IFERROR(VLOOKUP(A223,'Allocations By Type'!$D$7:$F$491,3,FALSE),"")</f>
        <v>91764.77</v>
      </c>
      <c r="AG223" s="31">
        <f t="shared" si="378"/>
        <v>5427.1105621734587</v>
      </c>
      <c r="AH223" s="31">
        <f t="shared" si="370"/>
        <v>5427.1105621734587</v>
      </c>
      <c r="AI223" s="31">
        <f t="shared" si="379"/>
        <v>130250.65349216301</v>
      </c>
      <c r="AJ223" s="31">
        <f>AI223/$AI$577*'State Admin 1004(b)'!$B$30*0.01</f>
        <v>1239.5302511599891</v>
      </c>
      <c r="AK223" s="31">
        <f t="shared" si="380"/>
        <v>129011.12324100302</v>
      </c>
      <c r="AL223" s="31">
        <f t="shared" si="381"/>
        <v>1290.1112324100302</v>
      </c>
      <c r="AM223" s="31">
        <f t="shared" si="382"/>
        <v>127721.012008593</v>
      </c>
      <c r="AP223" s="31"/>
      <c r="AQ223" s="4">
        <f t="shared" si="330"/>
        <v>1.3918305686222827</v>
      </c>
      <c r="AW223" s="31">
        <f t="shared" si="383"/>
        <v>127311.53372795851</v>
      </c>
      <c r="AX223" s="4">
        <f t="shared" si="332"/>
        <v>1.3873683084255375</v>
      </c>
      <c r="AZ223" s="174" t="str">
        <f>IFERROR(IF(VLOOKUP(A223,#REF!,11,FALSE)=0,"",VLOOKUP(A223,#REF!,11,FALSE)),"")</f>
        <v/>
      </c>
      <c r="BA223" s="31" t="str">
        <f t="shared" si="333"/>
        <v/>
      </c>
      <c r="BB223" s="31">
        <f t="shared" si="334"/>
        <v>127311.53372795851</v>
      </c>
      <c r="BD223" s="31" t="str">
        <f>IFERROR(VLOOKUP(A223,'Title II Hold Harmless'!A$1:B$439,2, FALSE),"")</f>
        <v/>
      </c>
      <c r="BE223" s="31">
        <f t="shared" si="394"/>
        <v>1813.3195733722348</v>
      </c>
      <c r="BF223" s="31">
        <f t="shared" si="395"/>
        <v>1815.0740682650041</v>
      </c>
      <c r="BG223" s="31" t="str">
        <f t="shared" si="335"/>
        <v/>
      </c>
      <c r="BH223" s="31">
        <f t="shared" si="336"/>
        <v>1815.0740682650041</v>
      </c>
    </row>
    <row r="224" spans="1:60" x14ac:dyDescent="0.3">
      <c r="A224" s="1">
        <v>78621000</v>
      </c>
      <c r="B224">
        <f>VLOOKUP(C224,'NCES ID'!$A$2:$B$3136,2,FALSE)</f>
        <v>400610</v>
      </c>
      <c r="C224">
        <f>VLOOKUP(A224,'State ID'!$A$2:$B$713,2,FALSE)</f>
        <v>81099</v>
      </c>
      <c r="D224" s="147" t="s">
        <v>128</v>
      </c>
      <c r="E224" t="s">
        <v>7</v>
      </c>
      <c r="I224" s="47">
        <f>VLOOKUP($C224,'Final SEA Counts'!$A$2:$F$709,5,FALSE)</f>
        <v>846</v>
      </c>
      <c r="J224" s="47">
        <f>VLOOKUP($C224,'Final SEA Counts'!$A$2:$F$709,6,FALSE)</f>
        <v>256</v>
      </c>
      <c r="K224" s="24">
        <f t="shared" si="371"/>
        <v>846</v>
      </c>
      <c r="L224" s="24">
        <f t="shared" si="361"/>
        <v>126.50014260666462</v>
      </c>
      <c r="M224" s="4">
        <f t="shared" si="372"/>
        <v>0.14952735532702674</v>
      </c>
      <c r="N224" s="31" t="str">
        <f>IFERROR(VLOOKUP($B224,#REF!,8,FALSE),"")</f>
        <v/>
      </c>
      <c r="O224" s="31" t="str">
        <f>IFERROR(VLOOKUP($B224,#REF!,9,FALSE),"")</f>
        <v/>
      </c>
      <c r="P224" s="31" t="str">
        <f>IFERROR(VLOOKUP($B224,#REF!,10,FALSE),"")</f>
        <v/>
      </c>
      <c r="Q224" s="31" t="str">
        <f>IFERROR(VLOOKUP($B224,#REF!,11,FALSE),"")</f>
        <v/>
      </c>
      <c r="R224" s="31" t="str">
        <f>IFERROR(VLOOKUP($B224,#REF!,12,FALSE),"")</f>
        <v/>
      </c>
      <c r="S224" s="31">
        <f t="shared" si="362"/>
        <v>60983.365473273421</v>
      </c>
      <c r="T224" s="31">
        <f t="shared" si="363"/>
        <v>12569.034353881023</v>
      </c>
      <c r="U224" s="31">
        <f t="shared" si="364"/>
        <v>35567.596637173498</v>
      </c>
      <c r="V224" s="31">
        <f t="shared" si="365"/>
        <v>33090.413024500682</v>
      </c>
      <c r="W224" s="31">
        <f t="shared" si="373"/>
        <v>60983.365473273421</v>
      </c>
      <c r="X224" s="31" t="str">
        <f t="shared" si="374"/>
        <v/>
      </c>
      <c r="Y224" s="31">
        <f t="shared" si="375"/>
        <v>35567.596637173498</v>
      </c>
      <c r="Z224" s="31">
        <f t="shared" si="376"/>
        <v>33090.413024500682</v>
      </c>
      <c r="AA224" s="31">
        <f t="shared" si="366"/>
        <v>61008.115215754457</v>
      </c>
      <c r="AB224" s="31" t="str">
        <f t="shared" si="367"/>
        <v/>
      </c>
      <c r="AC224" s="31">
        <f t="shared" si="368"/>
        <v>35607.465206773595</v>
      </c>
      <c r="AD224" s="31">
        <f t="shared" si="369"/>
        <v>33127.504859752327</v>
      </c>
      <c r="AE224" s="31">
        <f t="shared" si="377"/>
        <v>129743.08528228039</v>
      </c>
      <c r="AF224" s="31">
        <f>IFERROR(VLOOKUP(A224,'Allocations By Type'!$D$7:$F$491,3,FALSE),"")</f>
        <v>156443.92000000001</v>
      </c>
      <c r="AG224" s="31" t="str">
        <f t="shared" si="378"/>
        <v/>
      </c>
      <c r="AH224" s="31" t="str">
        <f t="shared" si="370"/>
        <v/>
      </c>
      <c r="AI224" s="31">
        <f t="shared" si="379"/>
        <v>129743.08528228039</v>
      </c>
      <c r="AJ224" s="31">
        <f>AI224/$AI$577*'State Admin 1004(b)'!$B$30*0.01</f>
        <v>1234.6999786522622</v>
      </c>
      <c r="AK224" s="31">
        <f t="shared" si="380"/>
        <v>128508.38530362812</v>
      </c>
      <c r="AL224" s="31">
        <f t="shared" si="381"/>
        <v>1285.0838530362812</v>
      </c>
      <c r="AM224" s="31">
        <f t="shared" si="382"/>
        <v>127223.30145059184</v>
      </c>
      <c r="AP224" s="31"/>
      <c r="AQ224" s="4">
        <f t="shared" si="330"/>
        <v>0.81321985188425239</v>
      </c>
      <c r="AW224" s="31">
        <f t="shared" si="383"/>
        <v>126815.4188483844</v>
      </c>
      <c r="AX224" s="4">
        <f t="shared" si="332"/>
        <v>0.81061263901073555</v>
      </c>
      <c r="AZ224" s="174" t="str">
        <f>IFERROR(IF(VLOOKUP(A224,#REF!,11,FALSE)=0,"",VLOOKUP(A224,#REF!,11,FALSE)),"")</f>
        <v/>
      </c>
      <c r="BA224" s="31" t="str">
        <f t="shared" si="333"/>
        <v/>
      </c>
      <c r="BB224" s="31">
        <f t="shared" si="334"/>
        <v>126815.4188483844</v>
      </c>
      <c r="BD224" s="31" t="str">
        <f>IFERROR(VLOOKUP(A224,'Title II Hold Harmless'!A$1:B$439,2, FALSE),"")</f>
        <v/>
      </c>
      <c r="BE224" s="31">
        <f t="shared" si="394"/>
        <v>2336.8325316735009</v>
      </c>
      <c r="BF224" s="31">
        <f t="shared" si="395"/>
        <v>2339.0935565928171</v>
      </c>
      <c r="BG224" s="31" t="str">
        <f t="shared" si="335"/>
        <v/>
      </c>
      <c r="BH224" s="31">
        <f t="shared" si="336"/>
        <v>2339.0935565928171</v>
      </c>
    </row>
    <row r="225" spans="1:60" x14ac:dyDescent="0.3">
      <c r="A225" s="1">
        <v>78202000</v>
      </c>
      <c r="B225">
        <f>VLOOKUP(C225,'NCES ID'!$A$2:$B$3136,2,FALSE)</f>
        <v>400849</v>
      </c>
      <c r="C225">
        <f>VLOOKUP(A225,'State ID'!$A$2:$B$713,2,FALSE)</f>
        <v>91170</v>
      </c>
      <c r="D225" s="147" t="s">
        <v>138</v>
      </c>
      <c r="E225" t="s">
        <v>7</v>
      </c>
      <c r="I225" s="47">
        <f>VLOOKUP($C225,'Final SEA Counts'!$A$2:$F$709,5,FALSE)</f>
        <v>321</v>
      </c>
      <c r="J225" s="47">
        <f>VLOOKUP($C225,'Final SEA Counts'!$A$2:$F$709,6,FALSE)</f>
        <v>244</v>
      </c>
      <c r="K225" s="24">
        <f t="shared" si="371"/>
        <v>321</v>
      </c>
      <c r="L225" s="24">
        <f t="shared" si="361"/>
        <v>120.57044842197722</v>
      </c>
      <c r="M225" s="4">
        <f t="shared" si="372"/>
        <v>0.37560887358871409</v>
      </c>
      <c r="N225" s="31" t="str">
        <f>IFERROR(VLOOKUP($B225,#REF!,8,FALSE),"")</f>
        <v/>
      </c>
      <c r="O225" s="31" t="str">
        <f>IFERROR(VLOOKUP($B225,#REF!,9,FALSE),"")</f>
        <v/>
      </c>
      <c r="P225" s="31" t="str">
        <f>IFERROR(VLOOKUP($B225,#REF!,10,FALSE),"")</f>
        <v/>
      </c>
      <c r="Q225" s="31" t="str">
        <f>IFERROR(VLOOKUP($B225,#REF!,11,FALSE),"")</f>
        <v/>
      </c>
      <c r="R225" s="31" t="str">
        <f>IFERROR(VLOOKUP($B225,#REF!,12,FALSE),"")</f>
        <v/>
      </c>
      <c r="S225" s="31">
        <f t="shared" si="362"/>
        <v>58124.770216713725</v>
      </c>
      <c r="T225" s="31">
        <f t="shared" si="363"/>
        <v>11979.86086854285</v>
      </c>
      <c r="U225" s="31">
        <f t="shared" si="364"/>
        <v>33900.365544805994</v>
      </c>
      <c r="V225" s="31">
        <f t="shared" si="365"/>
        <v>31539.299913977211</v>
      </c>
      <c r="W225" s="31">
        <f t="shared" si="373"/>
        <v>58124.770216713725</v>
      </c>
      <c r="X225" s="31">
        <f t="shared" si="374"/>
        <v>11979.86086854285</v>
      </c>
      <c r="Y225" s="31">
        <f t="shared" si="375"/>
        <v>33900.365544805994</v>
      </c>
      <c r="Z225" s="31">
        <f t="shared" si="376"/>
        <v>31539.299913977211</v>
      </c>
      <c r="AA225" s="31">
        <f t="shared" si="366"/>
        <v>58149.51995919476</v>
      </c>
      <c r="AB225" s="31">
        <f t="shared" si="367"/>
        <v>12567.127643572498</v>
      </c>
      <c r="AC225" s="31">
        <f t="shared" si="368"/>
        <v>33940.234114406092</v>
      </c>
      <c r="AD225" s="31">
        <f t="shared" si="369"/>
        <v>31576.391749228856</v>
      </c>
      <c r="AE225" s="31">
        <f t="shared" si="377"/>
        <v>136233.2734664022</v>
      </c>
      <c r="AF225" s="31">
        <f>IFERROR(VLOOKUP(A225,'Allocations By Type'!$D$7:$F$491,3,FALSE),"")</f>
        <v>83636.58</v>
      </c>
      <c r="AG225" s="31">
        <f t="shared" si="378"/>
        <v>5449.3309386560877</v>
      </c>
      <c r="AH225" s="31">
        <f t="shared" si="370"/>
        <v>5449.3309386560877</v>
      </c>
      <c r="AI225" s="31">
        <f t="shared" si="379"/>
        <v>130783.94252774611</v>
      </c>
      <c r="AJ225" s="31">
        <f>AI225/$AI$577*'State Admin 1004(b)'!$B$30*0.01</f>
        <v>1244.6052958871694</v>
      </c>
      <c r="AK225" s="31">
        <f t="shared" si="380"/>
        <v>129539.33723185894</v>
      </c>
      <c r="AL225" s="31">
        <f t="shared" si="381"/>
        <v>1295.3933723185894</v>
      </c>
      <c r="AM225" s="31">
        <f t="shared" si="382"/>
        <v>128243.94385954035</v>
      </c>
      <c r="AP225" s="31"/>
      <c r="AQ225" s="4">
        <f t="shared" si="330"/>
        <v>1.5333475359650088</v>
      </c>
      <c r="AW225" s="31">
        <f t="shared" si="383"/>
        <v>127832.78904008231</v>
      </c>
      <c r="AX225" s="4">
        <f t="shared" si="332"/>
        <v>1.5284315671454083</v>
      </c>
      <c r="AZ225" s="174" t="str">
        <f>IFERROR(IF(VLOOKUP(A225,#REF!,11,FALSE)=0,"",VLOOKUP(A225,#REF!,11,FALSE)),"")</f>
        <v/>
      </c>
      <c r="BA225" s="31" t="str">
        <f t="shared" si="333"/>
        <v/>
      </c>
      <c r="BB225" s="31">
        <f t="shared" si="334"/>
        <v>127832.78904008231</v>
      </c>
      <c r="BD225" s="31" t="str">
        <f>IFERROR(VLOOKUP(A225,'Title II Hold Harmless'!A$1:B$439,2, FALSE),"")</f>
        <v/>
      </c>
      <c r="BE225" s="31">
        <f t="shared" si="394"/>
        <v>1836.6890074545438</v>
      </c>
      <c r="BF225" s="31">
        <f t="shared" si="395"/>
        <v>1838.4661136693032</v>
      </c>
      <c r="BG225" s="31" t="str">
        <f t="shared" si="335"/>
        <v/>
      </c>
      <c r="BH225" s="31">
        <f t="shared" si="336"/>
        <v>1838.4661136693032</v>
      </c>
    </row>
    <row r="226" spans="1:60" x14ac:dyDescent="0.3">
      <c r="A226" s="1">
        <v>78541000</v>
      </c>
      <c r="B226">
        <f>VLOOKUP(C226,'NCES ID'!$A$2:$B$3136,2,FALSE)</f>
        <v>400763</v>
      </c>
      <c r="C226">
        <f>VLOOKUP(A226,'State ID'!$A$2:$B$713,2,FALSE)</f>
        <v>89850</v>
      </c>
      <c r="D226" s="147" t="s">
        <v>139</v>
      </c>
      <c r="E226" t="s">
        <v>7</v>
      </c>
      <c r="I226" s="47">
        <f>VLOOKUP($C226,'Final SEA Counts'!$A$2:$F$709,5,FALSE)</f>
        <v>712</v>
      </c>
      <c r="J226" s="47">
        <f>VLOOKUP($C226,'Final SEA Counts'!$A$2:$F$709,6,FALSE)</f>
        <v>292</v>
      </c>
      <c r="K226" s="24">
        <f t="shared" si="371"/>
        <v>712</v>
      </c>
      <c r="L226" s="24">
        <f t="shared" si="361"/>
        <v>144.28922516072683</v>
      </c>
      <c r="M226" s="4">
        <f t="shared" si="372"/>
        <v>0.20265340612461633</v>
      </c>
      <c r="N226" s="31" t="str">
        <f>IFERROR(VLOOKUP($B226,#REF!,8,FALSE),"")</f>
        <v/>
      </c>
      <c r="O226" s="31" t="str">
        <f>IFERROR(VLOOKUP($B226,#REF!,9,FALSE),"")</f>
        <v/>
      </c>
      <c r="P226" s="31" t="str">
        <f>IFERROR(VLOOKUP($B226,#REF!,10,FALSE),"")</f>
        <v/>
      </c>
      <c r="Q226" s="31" t="str">
        <f>IFERROR(VLOOKUP($B226,#REF!,11,FALSE),"")</f>
        <v/>
      </c>
      <c r="R226" s="31" t="str">
        <f>IFERROR(VLOOKUP($B226,#REF!,12,FALSE),"")</f>
        <v/>
      </c>
      <c r="S226" s="31">
        <f t="shared" si="362"/>
        <v>69559.151242952488</v>
      </c>
      <c r="T226" s="31">
        <f t="shared" si="363"/>
        <v>14336.554809895542</v>
      </c>
      <c r="U226" s="31">
        <f t="shared" si="364"/>
        <v>40569.289914276022</v>
      </c>
      <c r="V226" s="31">
        <f t="shared" si="365"/>
        <v>37743.752356071083</v>
      </c>
      <c r="W226" s="31">
        <f t="shared" si="373"/>
        <v>69559.151242952488</v>
      </c>
      <c r="X226" s="31">
        <f t="shared" si="374"/>
        <v>14336.554809895542</v>
      </c>
      <c r="Y226" s="31">
        <f t="shared" si="375"/>
        <v>40569.289914276022</v>
      </c>
      <c r="Z226" s="31">
        <f t="shared" si="376"/>
        <v>37743.752356071083</v>
      </c>
      <c r="AA226" s="31">
        <f t="shared" si="366"/>
        <v>69583.900985433516</v>
      </c>
      <c r="AB226" s="31">
        <f t="shared" si="367"/>
        <v>14923.82158492519</v>
      </c>
      <c r="AC226" s="31">
        <f t="shared" si="368"/>
        <v>40609.158483876119</v>
      </c>
      <c r="AD226" s="31">
        <f t="shared" si="369"/>
        <v>37780.844191322729</v>
      </c>
      <c r="AE226" s="31">
        <f t="shared" si="377"/>
        <v>162897.72524555755</v>
      </c>
      <c r="AF226" s="31">
        <f>IFERROR(VLOOKUP(A226,'Allocations By Type'!$D$7:$F$491,3,FALSE),"")</f>
        <v>140568.54</v>
      </c>
      <c r="AG226" s="31">
        <f t="shared" si="378"/>
        <v>6515.9090098223023</v>
      </c>
      <c r="AH226" s="31">
        <f t="shared" si="370"/>
        <v>6515.9090098223023</v>
      </c>
      <c r="AI226" s="31">
        <f t="shared" si="379"/>
        <v>156381.81623573526</v>
      </c>
      <c r="AJ226" s="31">
        <f>AI226/$AI$577*'State Admin 1004(b)'!$B$30*0.01</f>
        <v>1488.207442791826</v>
      </c>
      <c r="AK226" s="31">
        <f t="shared" si="380"/>
        <v>154893.60879294344</v>
      </c>
      <c r="AL226" s="31">
        <f t="shared" si="381"/>
        <v>1548.9360879294345</v>
      </c>
      <c r="AM226" s="31">
        <f t="shared" si="382"/>
        <v>153344.672705014</v>
      </c>
      <c r="AP226" s="31"/>
      <c r="AQ226" s="4">
        <f t="shared" si="330"/>
        <v>1.0908889905594381</v>
      </c>
      <c r="AW226" s="31">
        <f t="shared" si="383"/>
        <v>152853.04402202577</v>
      </c>
      <c r="AX226" s="4">
        <f t="shared" si="332"/>
        <v>1.087391560174316</v>
      </c>
      <c r="AZ226" s="174" t="str">
        <f>IFERROR(IF(VLOOKUP(A226,#REF!,11,FALSE)=0,"",VLOOKUP(A226,#REF!,11,FALSE)),"")</f>
        <v/>
      </c>
      <c r="BA226" s="31" t="str">
        <f t="shared" si="333"/>
        <v/>
      </c>
      <c r="BB226" s="31">
        <f t="shared" si="334"/>
        <v>152853.04402202577</v>
      </c>
      <c r="BD226" s="31" t="str">
        <f>IFERROR(VLOOKUP(A226,'Title II Hold Harmless'!A$1:B$439,2, FALSE),"")</f>
        <v/>
      </c>
      <c r="BE226" s="31">
        <f t="shared" si="394"/>
        <v>2461.8604349889702</v>
      </c>
      <c r="BF226" s="31">
        <f t="shared" si="395"/>
        <v>2464.2424318654867</v>
      </c>
      <c r="BG226" s="31" t="str">
        <f t="shared" si="335"/>
        <v/>
      </c>
      <c r="BH226" s="31">
        <f t="shared" si="336"/>
        <v>2464.2424318654867</v>
      </c>
    </row>
    <row r="227" spans="1:60" x14ac:dyDescent="0.3">
      <c r="A227" s="1">
        <v>78223000</v>
      </c>
      <c r="B227" t="e">
        <f>VLOOKUP(C227,'NCES ID'!$A$2:$B$3136,2,FALSE)</f>
        <v>#N/A</v>
      </c>
      <c r="C227">
        <f>VLOOKUP(A227,'State ID'!$A$2:$B$713,2,FALSE)</f>
        <v>91939</v>
      </c>
      <c r="D227" s="147" t="s">
        <v>140</v>
      </c>
      <c r="E227" t="s">
        <v>7</v>
      </c>
      <c r="I227" s="47">
        <f>VLOOKUP($C227,'Final SEA Counts'!$A$2:$F$709,5,FALSE)</f>
        <v>169</v>
      </c>
      <c r="J227" s="47">
        <f>VLOOKUP($C227,'Final SEA Counts'!$A$2:$F$709,6,FALSE)</f>
        <v>157</v>
      </c>
      <c r="K227" s="24">
        <f t="shared" si="371"/>
        <v>169</v>
      </c>
      <c r="L227" s="24">
        <f t="shared" si="361"/>
        <v>77.580165582993544</v>
      </c>
      <c r="M227" s="4">
        <f t="shared" si="372"/>
        <v>0.45905423421889668</v>
      </c>
      <c r="N227" s="31" t="str">
        <f>IFERROR(VLOOKUP($B227,#REF!,8,FALSE),"")</f>
        <v/>
      </c>
      <c r="O227" s="31" t="str">
        <f>IFERROR(VLOOKUP($B227,#REF!,9,FALSE),"")</f>
        <v/>
      </c>
      <c r="P227" s="31" t="str">
        <f>IFERROR(VLOOKUP($B227,#REF!,10,FALSE),"")</f>
        <v/>
      </c>
      <c r="Q227" s="31" t="str">
        <f>IFERROR(VLOOKUP($B227,#REF!,11,FALSE),"")</f>
        <v/>
      </c>
      <c r="R227" s="31" t="str">
        <f>IFERROR(VLOOKUP($B227,#REF!,12,FALSE),"")</f>
        <v/>
      </c>
      <c r="S227" s="31">
        <f t="shared" si="362"/>
        <v>37399.954606655971</v>
      </c>
      <c r="T227" s="31">
        <f t="shared" si="363"/>
        <v>7708.353099841097</v>
      </c>
      <c r="U227" s="31">
        <f t="shared" si="364"/>
        <v>21812.940125141562</v>
      </c>
      <c r="V227" s="31">
        <f t="shared" si="365"/>
        <v>20293.729862682059</v>
      </c>
      <c r="W227" s="31">
        <f t="shared" si="373"/>
        <v>37399.954606655971</v>
      </c>
      <c r="X227" s="31">
        <f t="shared" si="374"/>
        <v>7708.353099841097</v>
      </c>
      <c r="Y227" s="31">
        <f t="shared" si="375"/>
        <v>21812.940125141562</v>
      </c>
      <c r="Z227" s="31">
        <f t="shared" si="376"/>
        <v>20293.729862682059</v>
      </c>
      <c r="AA227" s="31">
        <f t="shared" si="366"/>
        <v>37424.704349137006</v>
      </c>
      <c r="AB227" s="31">
        <f t="shared" si="367"/>
        <v>8295.6198748707448</v>
      </c>
      <c r="AC227" s="31">
        <f t="shared" si="368"/>
        <v>21852.80869474166</v>
      </c>
      <c r="AD227" s="31">
        <f t="shared" si="369"/>
        <v>20330.821697933705</v>
      </c>
      <c r="AE227" s="31">
        <f t="shared" si="377"/>
        <v>87903.954616683113</v>
      </c>
      <c r="AF227" s="31">
        <f>IFERROR(VLOOKUP(A227,'Allocations By Type'!$D$7:$F$491,3,FALSE),"")</f>
        <v>50615.79</v>
      </c>
      <c r="AG227" s="31">
        <f t="shared" si="378"/>
        <v>3516.1581846673248</v>
      </c>
      <c r="AH227" s="31">
        <f t="shared" si="370"/>
        <v>3516.1581846673248</v>
      </c>
      <c r="AI227" s="31">
        <f t="shared" si="379"/>
        <v>84387.796432015792</v>
      </c>
      <c r="AJ227" s="31">
        <f>AI227/$AI$577*'State Admin 1004(b)'!$B$30*0.01</f>
        <v>803.07640462247855</v>
      </c>
      <c r="AK227" s="31">
        <f t="shared" si="380"/>
        <v>83584.720027393312</v>
      </c>
      <c r="AL227" s="31">
        <f t="shared" si="381"/>
        <v>835.84720027393314</v>
      </c>
      <c r="AM227" s="31">
        <f t="shared" si="382"/>
        <v>82748.872827119383</v>
      </c>
      <c r="AP227" s="31"/>
      <c r="AQ227" s="4">
        <f t="shared" si="330"/>
        <v>1.6348430564280312</v>
      </c>
      <c r="AW227" s="31">
        <f t="shared" si="383"/>
        <v>82483.576885309812</v>
      </c>
      <c r="AX227" s="4">
        <f t="shared" si="332"/>
        <v>1.629601689222075</v>
      </c>
      <c r="AZ227" s="174" t="str">
        <f>IFERROR(IF(VLOOKUP(A227,#REF!,11,FALSE)=0,"",VLOOKUP(A227,#REF!,11,FALSE)),"")</f>
        <v/>
      </c>
      <c r="BA227" s="31" t="str">
        <f t="shared" si="333"/>
        <v/>
      </c>
      <c r="BB227" s="31">
        <f t="shared" si="334"/>
        <v>82483.576885309812</v>
      </c>
      <c r="BD227" s="31" t="str">
        <f>IFERROR(VLOOKUP(A227,'Title II Hold Harmless'!A$1:B$439,2, FALSE),"")</f>
        <v/>
      </c>
      <c r="BE227" s="31">
        <f t="shared" si="394"/>
        <v>1151.587722192334</v>
      </c>
      <c r="BF227" s="31">
        <f t="shared" si="395"/>
        <v>1152.7019520318129</v>
      </c>
      <c r="BG227" s="31" t="str">
        <f t="shared" si="335"/>
        <v/>
      </c>
      <c r="BH227" s="31">
        <f t="shared" si="336"/>
        <v>1152.7019520318129</v>
      </c>
    </row>
    <row r="228" spans="1:60" x14ac:dyDescent="0.3">
      <c r="A228" s="1">
        <v>78222000</v>
      </c>
      <c r="B228" t="e">
        <f>VLOOKUP(C228,'NCES ID'!$A$2:$B$3136,2,FALSE)</f>
        <v>#N/A</v>
      </c>
      <c r="C228">
        <f>VLOOKUP(A228,'State ID'!$A$2:$B$713,2,FALSE)</f>
        <v>91938</v>
      </c>
      <c r="D228" s="147" t="s">
        <v>140</v>
      </c>
      <c r="E228" t="s">
        <v>7</v>
      </c>
      <c r="I228" s="47">
        <f>VLOOKUP($C228,'Final SEA Counts'!$A$2:$F$709,5,FALSE)</f>
        <v>219</v>
      </c>
      <c r="J228" s="47">
        <f>VLOOKUP($C228,'Final SEA Counts'!$A$2:$F$709,6,FALSE)</f>
        <v>204</v>
      </c>
      <c r="K228" s="24">
        <f t="shared" si="371"/>
        <v>219</v>
      </c>
      <c r="L228" s="24">
        <f t="shared" si="361"/>
        <v>100.80480113968588</v>
      </c>
      <c r="M228" s="4">
        <f t="shared" si="372"/>
        <v>0.460295895615004</v>
      </c>
      <c r="N228" s="31" t="str">
        <f>IFERROR(VLOOKUP($B228,#REF!,8,FALSE),"")</f>
        <v/>
      </c>
      <c r="O228" s="31" t="str">
        <f>IFERROR(VLOOKUP($B228,#REF!,9,FALSE),"")</f>
        <v/>
      </c>
      <c r="P228" s="31" t="str">
        <f>IFERROR(VLOOKUP($B228,#REF!,10,FALSE),"")</f>
        <v/>
      </c>
      <c r="Q228" s="31" t="str">
        <f>IFERROR(VLOOKUP($B228,#REF!,11,FALSE),"")</f>
        <v/>
      </c>
      <c r="R228" s="31" t="str">
        <f>IFERROR(VLOOKUP($B228,#REF!,12,FALSE),"")</f>
        <v/>
      </c>
      <c r="S228" s="31">
        <f t="shared" si="362"/>
        <v>48596.119361514757</v>
      </c>
      <c r="T228" s="31">
        <f t="shared" si="363"/>
        <v>10015.949250748941</v>
      </c>
      <c r="U228" s="31">
        <f t="shared" si="364"/>
        <v>28342.928570247634</v>
      </c>
      <c r="V228" s="31">
        <f t="shared" si="365"/>
        <v>26368.922878898982</v>
      </c>
      <c r="W228" s="31">
        <f t="shared" si="373"/>
        <v>48596.119361514757</v>
      </c>
      <c r="X228" s="31">
        <f t="shared" si="374"/>
        <v>10015.949250748941</v>
      </c>
      <c r="Y228" s="31">
        <f t="shared" si="375"/>
        <v>28342.928570247634</v>
      </c>
      <c r="Z228" s="31">
        <f t="shared" si="376"/>
        <v>26368.922878898982</v>
      </c>
      <c r="AA228" s="31">
        <f t="shared" si="366"/>
        <v>48620.869103995792</v>
      </c>
      <c r="AB228" s="31">
        <f t="shared" si="367"/>
        <v>10603.216025778589</v>
      </c>
      <c r="AC228" s="31">
        <f t="shared" si="368"/>
        <v>28382.797139847731</v>
      </c>
      <c r="AD228" s="31">
        <f t="shared" si="369"/>
        <v>26406.014714150628</v>
      </c>
      <c r="AE228" s="31">
        <f t="shared" si="377"/>
        <v>114012.89698377275</v>
      </c>
      <c r="AF228" s="31">
        <f>IFERROR(VLOOKUP(A228,'Allocations By Type'!$D$7:$F$491,3,FALSE),"")</f>
        <v>60776.03</v>
      </c>
      <c r="AG228" s="31">
        <f t="shared" si="378"/>
        <v>4560.5158793509099</v>
      </c>
      <c r="AH228" s="31">
        <f t="shared" si="370"/>
        <v>4560.5158793509099</v>
      </c>
      <c r="AI228" s="31">
        <f t="shared" si="379"/>
        <v>109452.38110442185</v>
      </c>
      <c r="AJ228" s="31">
        <f>AI228/$AI$577*'State Admin 1004(b)'!$B$30*0.01</f>
        <v>1041.6035067999553</v>
      </c>
      <c r="AK228" s="31">
        <f t="shared" si="380"/>
        <v>108410.77759762188</v>
      </c>
      <c r="AL228" s="31">
        <f t="shared" si="381"/>
        <v>1084.1077759762188</v>
      </c>
      <c r="AM228" s="31">
        <f t="shared" si="382"/>
        <v>107326.66982164567</v>
      </c>
      <c r="AP228" s="31"/>
      <c r="AQ228" s="4">
        <f t="shared" si="330"/>
        <v>1.7659374891983841</v>
      </c>
      <c r="AW228" s="31">
        <f t="shared" si="383"/>
        <v>106982.57655512946</v>
      </c>
      <c r="AX228" s="4">
        <f t="shared" si="332"/>
        <v>1.7602758284002666</v>
      </c>
      <c r="AZ228" s="174" t="str">
        <f>IFERROR(IF(VLOOKUP(A228,#REF!,11,FALSE)=0,"",VLOOKUP(A228,#REF!,11,FALSE)),"")</f>
        <v/>
      </c>
      <c r="BA228" s="31" t="str">
        <f t="shared" si="333"/>
        <v/>
      </c>
      <c r="BB228" s="31">
        <f t="shared" si="334"/>
        <v>106982.57655512946</v>
      </c>
      <c r="BD228" s="31" t="str">
        <f>IFERROR(VLOOKUP(A228,'Title II Hold Harmless'!A$1:B$439,2, FALSE),"")</f>
        <v/>
      </c>
      <c r="BE228" s="31">
        <f t="shared" si="394"/>
        <v>1495.8538150070915</v>
      </c>
      <c r="BF228" s="31">
        <f t="shared" si="395"/>
        <v>1497.3011428346288</v>
      </c>
      <c r="BG228" s="31" t="str">
        <f t="shared" si="335"/>
        <v/>
      </c>
      <c r="BH228" s="31">
        <f t="shared" si="336"/>
        <v>1497.3011428346288</v>
      </c>
    </row>
    <row r="229" spans="1:60" x14ac:dyDescent="0.3">
      <c r="A229" s="1">
        <v>78509000</v>
      </c>
      <c r="B229">
        <f>VLOOKUP(C229,'NCES ID'!$A$2:$B$3136,2,FALSE)</f>
        <v>400425</v>
      </c>
      <c r="C229">
        <f>VLOOKUP(A229,'State ID'!$A$2:$B$713,2,FALSE)</f>
        <v>87401</v>
      </c>
      <c r="D229" s="147" t="s">
        <v>141</v>
      </c>
      <c r="E229" t="s">
        <v>7</v>
      </c>
      <c r="I229" s="47">
        <f>VLOOKUP($C229,'Final SEA Counts'!$A$2:$F$709,5,FALSE)</f>
        <v>643</v>
      </c>
      <c r="J229" s="47">
        <f>VLOOKUP($C229,'Final SEA Counts'!$A$2:$F$709,6,FALSE)</f>
        <v>371</v>
      </c>
      <c r="K229" s="24">
        <f t="shared" si="371"/>
        <v>643</v>
      </c>
      <c r="L229" s="24">
        <f t="shared" si="361"/>
        <v>183.32637854325225</v>
      </c>
      <c r="M229" s="4">
        <f t="shared" si="372"/>
        <v>0.28511100862092109</v>
      </c>
      <c r="N229" s="31" t="str">
        <f>IFERROR(VLOOKUP($B229,#REF!,8,FALSE),"")</f>
        <v/>
      </c>
      <c r="O229" s="31" t="str">
        <f>IFERROR(VLOOKUP($B229,#REF!,9,FALSE),"")</f>
        <v/>
      </c>
      <c r="P229" s="31" t="str">
        <f>IFERROR(VLOOKUP($B229,#REF!,10,FALSE),"")</f>
        <v/>
      </c>
      <c r="Q229" s="31" t="str">
        <f>IFERROR(VLOOKUP($B229,#REF!,11,FALSE),"")</f>
        <v/>
      </c>
      <c r="R229" s="31" t="str">
        <f>IFERROR(VLOOKUP($B229,#REF!,12,FALSE),"")</f>
        <v/>
      </c>
      <c r="S229" s="31">
        <f t="shared" si="362"/>
        <v>88378.236681970462</v>
      </c>
      <c r="T229" s="31">
        <f t="shared" si="363"/>
        <v>18215.280255038513</v>
      </c>
      <c r="U229" s="31">
        <f t="shared" si="364"/>
        <v>51545.22793902878</v>
      </c>
      <c r="V229" s="31">
        <f t="shared" si="365"/>
        <v>47955.247000350595</v>
      </c>
      <c r="W229" s="31">
        <f t="shared" si="373"/>
        <v>88378.236681970462</v>
      </c>
      <c r="X229" s="31">
        <f t="shared" si="374"/>
        <v>18215.280255038513</v>
      </c>
      <c r="Y229" s="31">
        <f t="shared" si="375"/>
        <v>51545.22793902878</v>
      </c>
      <c r="Z229" s="31">
        <f t="shared" si="376"/>
        <v>47955.247000350595</v>
      </c>
      <c r="AA229" s="31">
        <f t="shared" si="366"/>
        <v>88402.98642445149</v>
      </c>
      <c r="AB229" s="31">
        <f t="shared" si="367"/>
        <v>18802.547030068163</v>
      </c>
      <c r="AC229" s="31">
        <f t="shared" si="368"/>
        <v>51585.096508628878</v>
      </c>
      <c r="AD229" s="31">
        <f t="shared" si="369"/>
        <v>47992.338835602241</v>
      </c>
      <c r="AE229" s="31">
        <f t="shared" si="377"/>
        <v>206782.96879875078</v>
      </c>
      <c r="AF229" s="31">
        <f>IFERROR(VLOOKUP(A229,'Allocations By Type'!$D$7:$F$491,3,FALSE),"")</f>
        <v>183432.06</v>
      </c>
      <c r="AG229" s="31">
        <f t="shared" si="378"/>
        <v>8271.3187519500316</v>
      </c>
      <c r="AH229" s="31">
        <f t="shared" si="370"/>
        <v>8271.3187519500316</v>
      </c>
      <c r="AI229" s="31">
        <f t="shared" si="379"/>
        <v>198511.65004680076</v>
      </c>
      <c r="AJ229" s="31">
        <f>AI229/$AI$577*'State Admin 1004(b)'!$B$30*0.01</f>
        <v>1889.1359762390748</v>
      </c>
      <c r="AK229" s="31">
        <f t="shared" si="380"/>
        <v>196622.51407056168</v>
      </c>
      <c r="AL229" s="31">
        <f t="shared" si="381"/>
        <v>1966.2251407056169</v>
      </c>
      <c r="AM229" s="31">
        <f t="shared" si="382"/>
        <v>194656.28892985606</v>
      </c>
      <c r="AP229" s="31"/>
      <c r="AQ229" s="4">
        <f t="shared" si="330"/>
        <v>1.0611901154566767</v>
      </c>
      <c r="AW229" s="31">
        <f t="shared" si="383"/>
        <v>194032.21367980773</v>
      </c>
      <c r="AX229" s="4">
        <f t="shared" si="332"/>
        <v>1.0577879007617736</v>
      </c>
      <c r="AZ229" s="174" t="str">
        <f>IFERROR(IF(VLOOKUP(A229,#REF!,11,FALSE)=0,"",VLOOKUP(A229,#REF!,11,FALSE)),"")</f>
        <v/>
      </c>
      <c r="BA229" s="31" t="str">
        <f t="shared" si="333"/>
        <v/>
      </c>
      <c r="BB229" s="31">
        <f t="shared" si="334"/>
        <v>194032.21367980773</v>
      </c>
      <c r="BD229" s="31" t="str">
        <f>IFERROR(VLOOKUP(A229,'Title II Hold Harmless'!A$1:B$439,2, FALSE),"")</f>
        <v/>
      </c>
      <c r="BE229" s="31">
        <f t="shared" si="394"/>
        <v>2917.351864049645</v>
      </c>
      <c r="BF229" s="31">
        <f t="shared" si="395"/>
        <v>2920.1745760641452</v>
      </c>
      <c r="BG229" s="31" t="str">
        <f t="shared" si="335"/>
        <v/>
      </c>
      <c r="BH229" s="31">
        <f t="shared" si="336"/>
        <v>2920.1745760641452</v>
      </c>
    </row>
    <row r="230" spans="1:60" x14ac:dyDescent="0.3">
      <c r="A230" s="1">
        <v>78971000</v>
      </c>
      <c r="B230">
        <f>VLOOKUP(C230,'NCES ID'!$A$2:$B$3136,2,FALSE)</f>
        <v>400653</v>
      </c>
      <c r="C230">
        <f>VLOOKUP(A230,'State ID'!$A$2:$B$713,2,FALSE)</f>
        <v>79981</v>
      </c>
      <c r="D230" s="147" t="s">
        <v>144</v>
      </c>
      <c r="E230" t="s">
        <v>7</v>
      </c>
      <c r="I230" s="47">
        <f>VLOOKUP($C230,'Final SEA Counts'!$A$2:$F$709,5,FALSE)</f>
        <v>418</v>
      </c>
      <c r="J230" s="47">
        <f>VLOOKUP($C230,'Final SEA Counts'!$A$2:$F$709,6,FALSE)</f>
        <v>202</v>
      </c>
      <c r="K230" s="24">
        <f t="shared" si="371"/>
        <v>418</v>
      </c>
      <c r="L230" s="24">
        <f t="shared" si="361"/>
        <v>99.816518775571311</v>
      </c>
      <c r="M230" s="4">
        <f t="shared" si="372"/>
        <v>0.23879549946308926</v>
      </c>
      <c r="N230" s="31" t="str">
        <f>IFERROR(VLOOKUP($B230,#REF!,8,FALSE),"")</f>
        <v/>
      </c>
      <c r="O230" s="31" t="str">
        <f>IFERROR(VLOOKUP($B230,#REF!,9,FALSE),"")</f>
        <v/>
      </c>
      <c r="P230" s="31" t="str">
        <f>IFERROR(VLOOKUP($B230,#REF!,10,FALSE),"")</f>
        <v/>
      </c>
      <c r="Q230" s="31" t="str">
        <f>IFERROR(VLOOKUP($B230,#REF!,11,FALSE),"")</f>
        <v/>
      </c>
      <c r="R230" s="31" t="str">
        <f>IFERROR(VLOOKUP($B230,#REF!,12,FALSE),"")</f>
        <v/>
      </c>
      <c r="S230" s="31">
        <f t="shared" si="362"/>
        <v>48119.68681875481</v>
      </c>
      <c r="T230" s="31">
        <f t="shared" si="363"/>
        <v>9917.7536698592467</v>
      </c>
      <c r="U230" s="31">
        <f t="shared" si="364"/>
        <v>28065.056721519715</v>
      </c>
      <c r="V230" s="31">
        <f t="shared" si="365"/>
        <v>26110.404027145069</v>
      </c>
      <c r="W230" s="31">
        <f t="shared" si="373"/>
        <v>48119.68681875481</v>
      </c>
      <c r="X230" s="31">
        <f t="shared" si="374"/>
        <v>9917.7536698592467</v>
      </c>
      <c r="Y230" s="31">
        <f t="shared" si="375"/>
        <v>28065.056721519715</v>
      </c>
      <c r="Z230" s="31">
        <f t="shared" si="376"/>
        <v>26110.404027145069</v>
      </c>
      <c r="AA230" s="31">
        <f t="shared" si="366"/>
        <v>48144.436561235845</v>
      </c>
      <c r="AB230" s="31">
        <f t="shared" si="367"/>
        <v>10505.020444888894</v>
      </c>
      <c r="AC230" s="31">
        <f t="shared" si="368"/>
        <v>28104.925291119813</v>
      </c>
      <c r="AD230" s="31">
        <f t="shared" si="369"/>
        <v>26147.495862396714</v>
      </c>
      <c r="AE230" s="31">
        <f t="shared" si="377"/>
        <v>112901.87815964126</v>
      </c>
      <c r="AF230" s="31">
        <f>IFERROR(VLOOKUP(A230,'Allocations By Type'!$D$7:$F$491,3,FALSE),"")</f>
        <v>127325.62</v>
      </c>
      <c r="AG230" s="31" t="str">
        <f t="shared" si="378"/>
        <v/>
      </c>
      <c r="AH230" s="31" t="str">
        <f t="shared" si="370"/>
        <v/>
      </c>
      <c r="AI230" s="31">
        <f t="shared" si="379"/>
        <v>112901.87815964126</v>
      </c>
      <c r="AJ230" s="31">
        <f>AI230/$AI$577*'State Admin 1004(b)'!$B$30*0.01</f>
        <v>1074.4306430683275</v>
      </c>
      <c r="AK230" s="31">
        <f t="shared" si="380"/>
        <v>111827.44751657294</v>
      </c>
      <c r="AL230" s="31">
        <f t="shared" si="381"/>
        <v>1118.2744751657294</v>
      </c>
      <c r="AM230" s="31">
        <f t="shared" si="382"/>
        <v>110709.17304140721</v>
      </c>
      <c r="AP230" s="31"/>
      <c r="AQ230" s="4">
        <f t="shared" si="330"/>
        <v>0.86949643788427822</v>
      </c>
      <c r="AW230" s="31">
        <f t="shared" si="383"/>
        <v>110354.23534466853</v>
      </c>
      <c r="AX230" s="4">
        <f t="shared" si="332"/>
        <v>0.86670880019801622</v>
      </c>
      <c r="AZ230" s="174" t="str">
        <f>IFERROR(IF(VLOOKUP(A230,#REF!,11,FALSE)=0,"",VLOOKUP(A230,#REF!,11,FALSE)),"")</f>
        <v/>
      </c>
      <c r="BA230" s="31" t="str">
        <f t="shared" si="333"/>
        <v/>
      </c>
      <c r="BB230" s="31">
        <f t="shared" si="334"/>
        <v>110354.23534466853</v>
      </c>
      <c r="BD230" s="31" t="str">
        <f>IFERROR(VLOOKUP(A230,'Title II Hold Harmless'!A$1:B$439,2, FALSE),"")</f>
        <v/>
      </c>
      <c r="BE230" s="31">
        <f t="shared" si="394"/>
        <v>1643.0716720099851</v>
      </c>
      <c r="BF230" s="31">
        <f t="shared" si="395"/>
        <v>1644.661441899048</v>
      </c>
      <c r="BG230" s="31" t="str">
        <f t="shared" si="335"/>
        <v/>
      </c>
      <c r="BH230" s="31">
        <f t="shared" si="336"/>
        <v>1644.661441899048</v>
      </c>
    </row>
    <row r="231" spans="1:60" x14ac:dyDescent="0.3">
      <c r="A231" s="1">
        <v>78742000</v>
      </c>
      <c r="B231">
        <f>VLOOKUP(C231,'NCES ID'!$A$2:$B$3136,2,FALSE)</f>
        <v>400638</v>
      </c>
      <c r="C231">
        <f>VLOOKUP(A231,'State ID'!$A$2:$B$713,2,FALSE)</f>
        <v>81045</v>
      </c>
      <c r="D231" s="147" t="s">
        <v>145</v>
      </c>
      <c r="E231" t="s">
        <v>7</v>
      </c>
      <c r="I231" s="47">
        <f>VLOOKUP($C231,'Final SEA Counts'!$A$2:$F$709,5,FALSE)</f>
        <v>678</v>
      </c>
      <c r="J231" s="47">
        <f>VLOOKUP($C231,'Final SEA Counts'!$A$2:$F$709,6,FALSE)</f>
        <v>191</v>
      </c>
      <c r="K231" s="24">
        <f t="shared" si="371"/>
        <v>678</v>
      </c>
      <c r="L231" s="24">
        <f t="shared" ref="L231:L250" si="410">J231*$B$356</f>
        <v>94.380965772941181</v>
      </c>
      <c r="M231" s="4">
        <f t="shared" si="372"/>
        <v>0.1392049642668749</v>
      </c>
      <c r="N231" s="31" t="str">
        <f>IFERROR(VLOOKUP($B231,#REF!,8,FALSE),"")</f>
        <v/>
      </c>
      <c r="O231" s="31" t="str">
        <f>IFERROR(VLOOKUP($B231,#REF!,9,FALSE),"")</f>
        <v/>
      </c>
      <c r="P231" s="31" t="str">
        <f>IFERROR(VLOOKUP($B231,#REF!,10,FALSE),"")</f>
        <v/>
      </c>
      <c r="Q231" s="31" t="str">
        <f>IFERROR(VLOOKUP($B231,#REF!,11,FALSE),"")</f>
        <v/>
      </c>
      <c r="R231" s="31" t="str">
        <f>IFERROR(VLOOKUP($B231,#REF!,12,FALSE),"")</f>
        <v/>
      </c>
      <c r="S231" s="31">
        <f t="shared" ref="S231:S250" si="411">$L231*N$357</f>
        <v>45499.307833575091</v>
      </c>
      <c r="T231" s="31">
        <f t="shared" ref="T231:T250" si="412">$L231*O$357</f>
        <v>9377.6779749659199</v>
      </c>
      <c r="U231" s="31">
        <f t="shared" ref="U231:U250" si="413">$L231*P$357</f>
        <v>26536.761553516164</v>
      </c>
      <c r="V231" s="31">
        <f t="shared" ref="V231:V250" si="414">$L231*Q$357</f>
        <v>24688.550342498555</v>
      </c>
      <c r="W231" s="31">
        <f t="shared" si="373"/>
        <v>45499.307833575091</v>
      </c>
      <c r="X231" s="31" t="str">
        <f t="shared" si="374"/>
        <v/>
      </c>
      <c r="Y231" s="31">
        <f t="shared" si="375"/>
        <v>26536.761553516164</v>
      </c>
      <c r="Z231" s="31">
        <f t="shared" si="376"/>
        <v>24688.550342498555</v>
      </c>
      <c r="AA231" s="31">
        <f t="shared" ref="AA231:AA250" si="415">IF(W231="","",W231+W$357)</f>
        <v>45524.057576056126</v>
      </c>
      <c r="AB231" s="31" t="str">
        <f t="shared" ref="AB231:AB250" si="416">IF(X231="","",X231+X$357)</f>
        <v/>
      </c>
      <c r="AC231" s="31">
        <f t="shared" ref="AC231:AC250" si="417">IF(Y231="","",Y231+Y$357)</f>
        <v>26576.630123116262</v>
      </c>
      <c r="AD231" s="31">
        <f t="shared" ref="AD231:AD250" si="418">IF(Z231="","",Z231+Z$357)</f>
        <v>24725.6421777502</v>
      </c>
      <c r="AE231" s="31">
        <f t="shared" si="377"/>
        <v>96826.32987692258</v>
      </c>
      <c r="AF231" s="31">
        <f>IFERROR(VLOOKUP(A231,'Allocations By Type'!$D$7:$F$491,3,FALSE),"")</f>
        <v>77540.429999999993</v>
      </c>
      <c r="AG231" s="31">
        <f t="shared" si="378"/>
        <v>3873.0531950769032</v>
      </c>
      <c r="AH231" s="31">
        <f t="shared" si="370"/>
        <v>3873.0531950769032</v>
      </c>
      <c r="AI231" s="31">
        <f t="shared" si="379"/>
        <v>92953.276681845673</v>
      </c>
      <c r="AJ231" s="31">
        <f>AI231/$AI$577*'State Admin 1004(b)'!$B$30*0.01</f>
        <v>884.58979131743581</v>
      </c>
      <c r="AK231" s="31">
        <f t="shared" si="380"/>
        <v>92068.686890528232</v>
      </c>
      <c r="AL231" s="31">
        <f t="shared" si="381"/>
        <v>920.68686890528238</v>
      </c>
      <c r="AM231" s="31">
        <f t="shared" si="382"/>
        <v>91148.000021622953</v>
      </c>
      <c r="AP231" s="31"/>
      <c r="AQ231" s="4">
        <f t="shared" si="330"/>
        <v>1.175489999496043</v>
      </c>
      <c r="AW231" s="31">
        <f t="shared" si="383"/>
        <v>90855.776167887627</v>
      </c>
      <c r="AX231" s="4">
        <f t="shared" si="332"/>
        <v>1.1717213351523539</v>
      </c>
      <c r="AZ231" s="174" t="str">
        <f>IFERROR(IF(VLOOKUP(A231,#REF!,11,FALSE)=0,"",VLOOKUP(A231,#REF!,11,FALSE)),"")</f>
        <v/>
      </c>
      <c r="BA231" s="31" t="str">
        <f t="shared" si="333"/>
        <v/>
      </c>
      <c r="BB231" s="31">
        <f t="shared" si="334"/>
        <v>90855.776167887627</v>
      </c>
      <c r="BD231" s="31" t="str">
        <f>IFERROR(VLOOKUP(A231,'Title II Hold Harmless'!A$1:B$439,2, FALSE),"")</f>
        <v/>
      </c>
      <c r="BE231" s="31">
        <f t="shared" si="394"/>
        <v>1781.1645446450341</v>
      </c>
      <c r="BF231" s="31">
        <f t="shared" si="395"/>
        <v>1782.887927628735</v>
      </c>
      <c r="BG231" s="31" t="str">
        <f t="shared" si="335"/>
        <v/>
      </c>
      <c r="BH231" s="31">
        <f t="shared" si="336"/>
        <v>1782.887927628735</v>
      </c>
    </row>
    <row r="232" spans="1:60" x14ac:dyDescent="0.3">
      <c r="A232" s="1">
        <v>78740000</v>
      </c>
      <c r="B232">
        <f>VLOOKUP(C232,'NCES ID'!$A$2:$B$3136,2,FALSE)</f>
        <v>400637</v>
      </c>
      <c r="C232">
        <f>VLOOKUP(A232,'State ID'!$A$2:$B$713,2,FALSE)</f>
        <v>81043</v>
      </c>
      <c r="D232" s="147" t="s">
        <v>146</v>
      </c>
      <c r="E232" t="s">
        <v>7</v>
      </c>
      <c r="I232" s="47">
        <f>VLOOKUP($C232,'Final SEA Counts'!$A$2:$F$709,5,FALSE)</f>
        <v>341</v>
      </c>
      <c r="J232" s="47">
        <f>VLOOKUP($C232,'Final SEA Counts'!$A$2:$F$709,6,FALSE)</f>
        <v>237</v>
      </c>
      <c r="K232" s="24">
        <f t="shared" si="371"/>
        <v>341</v>
      </c>
      <c r="L232" s="24">
        <f t="shared" si="410"/>
        <v>117.11146014757624</v>
      </c>
      <c r="M232" s="4">
        <f t="shared" si="372"/>
        <v>0.34343536700168986</v>
      </c>
      <c r="N232" s="31" t="str">
        <f>IFERROR(VLOOKUP($B232,#REF!,8,FALSE),"")</f>
        <v/>
      </c>
      <c r="O232" s="31" t="str">
        <f>IFERROR(VLOOKUP($B232,#REF!,9,FALSE),"")</f>
        <v/>
      </c>
      <c r="P232" s="31" t="str">
        <f>IFERROR(VLOOKUP($B232,#REF!,10,FALSE),"")</f>
        <v/>
      </c>
      <c r="Q232" s="31" t="str">
        <f>IFERROR(VLOOKUP($B232,#REF!,11,FALSE),"")</f>
        <v/>
      </c>
      <c r="R232" s="31" t="str">
        <f>IFERROR(VLOOKUP($B232,#REF!,12,FALSE),"")</f>
        <v/>
      </c>
      <c r="S232" s="31">
        <f t="shared" si="411"/>
        <v>56457.256317053914</v>
      </c>
      <c r="T232" s="31">
        <f t="shared" si="412"/>
        <v>11636.176335428918</v>
      </c>
      <c r="U232" s="31">
        <f t="shared" si="413"/>
        <v>32927.814074258284</v>
      </c>
      <c r="V232" s="31">
        <f t="shared" si="414"/>
        <v>30634.483932838521</v>
      </c>
      <c r="W232" s="31">
        <f t="shared" si="373"/>
        <v>56457.256317053914</v>
      </c>
      <c r="X232" s="31">
        <f t="shared" si="374"/>
        <v>11636.176335428918</v>
      </c>
      <c r="Y232" s="31">
        <f t="shared" si="375"/>
        <v>32927.814074258284</v>
      </c>
      <c r="Z232" s="31">
        <f t="shared" si="376"/>
        <v>30634.483932838521</v>
      </c>
      <c r="AA232" s="31">
        <f t="shared" si="415"/>
        <v>56482.00605953495</v>
      </c>
      <c r="AB232" s="31">
        <f t="shared" si="416"/>
        <v>12223.443110458566</v>
      </c>
      <c r="AC232" s="31">
        <f t="shared" si="417"/>
        <v>32967.682643858381</v>
      </c>
      <c r="AD232" s="31">
        <f t="shared" si="418"/>
        <v>30671.575768090166</v>
      </c>
      <c r="AE232" s="31">
        <f t="shared" si="377"/>
        <v>132344.70758194206</v>
      </c>
      <c r="AF232" s="31">
        <f>IFERROR(VLOOKUP(A232,'Allocations By Type'!$D$7:$F$491,3,FALSE),"")</f>
        <v>112085.26</v>
      </c>
      <c r="AG232" s="31">
        <f t="shared" si="378"/>
        <v>5293.7883032776826</v>
      </c>
      <c r="AH232" s="31">
        <f t="shared" si="370"/>
        <v>5293.7883032776826</v>
      </c>
      <c r="AI232" s="31">
        <f t="shared" si="379"/>
        <v>127050.91927866437</v>
      </c>
      <c r="AJ232" s="31">
        <f>AI232/$AI$577*'State Admin 1004(b)'!$B$30*0.01</f>
        <v>1209.079982796907</v>
      </c>
      <c r="AK232" s="31">
        <f t="shared" si="380"/>
        <v>125841.83929586747</v>
      </c>
      <c r="AL232" s="31">
        <f t="shared" si="381"/>
        <v>1258.4183929586748</v>
      </c>
      <c r="AM232" s="31">
        <f t="shared" si="382"/>
        <v>124583.42090290879</v>
      </c>
      <c r="AP232" s="31"/>
      <c r="AQ232" s="4">
        <f t="shared" si="330"/>
        <v>1.1115058385278207</v>
      </c>
      <c r="AW232" s="31">
        <f t="shared" si="383"/>
        <v>124184.00185521557</v>
      </c>
      <c r="AX232" s="4">
        <f t="shared" si="332"/>
        <v>1.1079423097668291</v>
      </c>
      <c r="AZ232" s="174" t="str">
        <f>IFERROR(IF(VLOOKUP(A232,#REF!,11,FALSE)=0,"",VLOOKUP(A232,#REF!,11,FALSE)),"")</f>
        <v/>
      </c>
      <c r="BA232" s="31" t="str">
        <f t="shared" si="333"/>
        <v/>
      </c>
      <c r="BB232" s="31">
        <f t="shared" si="334"/>
        <v>124184.00185521557</v>
      </c>
      <c r="BD232" s="31" t="str">
        <f>IFERROR(VLOOKUP(A232,'Title II Hold Harmless'!A$1:B$439,2, FALSE),"")</f>
        <v/>
      </c>
      <c r="BE232" s="31">
        <f t="shared" si="394"/>
        <v>1807.5045170235026</v>
      </c>
      <c r="BF232" s="31">
        <f t="shared" si="395"/>
        <v>1809.253385502255</v>
      </c>
      <c r="BG232" s="31" t="str">
        <f t="shared" si="335"/>
        <v/>
      </c>
      <c r="BH232" s="31">
        <f t="shared" si="336"/>
        <v>1809.253385502255</v>
      </c>
    </row>
    <row r="233" spans="1:60" x14ac:dyDescent="0.3">
      <c r="A233" s="1">
        <v>78915000</v>
      </c>
      <c r="B233">
        <f>VLOOKUP(C233,'NCES ID'!$A$2:$B$3136,2,FALSE)</f>
        <v>400244</v>
      </c>
      <c r="C233">
        <f>VLOOKUP(A233,'State ID'!$A$2:$B$713,2,FALSE)</f>
        <v>6446</v>
      </c>
      <c r="D233" s="147" t="s">
        <v>147</v>
      </c>
      <c r="E233" t="s">
        <v>7</v>
      </c>
      <c r="I233" s="47">
        <f>VLOOKUP($C233,'Final SEA Counts'!$A$2:$F$709,5,FALSE)</f>
        <v>877</v>
      </c>
      <c r="J233" s="47">
        <f>VLOOKUP($C233,'Final SEA Counts'!$A$2:$F$709,6,FALSE)</f>
        <v>823</v>
      </c>
      <c r="K233" s="24">
        <f t="shared" si="371"/>
        <v>877</v>
      </c>
      <c r="L233" s="24">
        <f t="shared" si="410"/>
        <v>406.67819283314446</v>
      </c>
      <c r="M233" s="4">
        <f t="shared" si="372"/>
        <v>0.46371515716436085</v>
      </c>
      <c r="N233" s="31" t="str">
        <f>IFERROR(VLOOKUP($B233,#REF!,8,FALSE),"")</f>
        <v/>
      </c>
      <c r="O233" s="31" t="str">
        <f>IFERROR(VLOOKUP($B233,#REF!,9,FALSE),"")</f>
        <v/>
      </c>
      <c r="P233" s="31" t="str">
        <f>IFERROR(VLOOKUP($B233,#REF!,10,FALSE),"")</f>
        <v/>
      </c>
      <c r="Q233" s="31" t="str">
        <f>IFERROR(VLOOKUP($B233,#REF!,11,FALSE),"")</f>
        <v/>
      </c>
      <c r="R233" s="31" t="str">
        <f>IFERROR(VLOOKUP($B233,#REF!,12,FALSE),"")</f>
        <v/>
      </c>
      <c r="S233" s="31">
        <f t="shared" si="411"/>
        <v>196051.99134571885</v>
      </c>
      <c r="T233" s="31">
        <f t="shared" si="412"/>
        <v>40407.481536109699</v>
      </c>
      <c r="U233" s="31">
        <f t="shared" si="413"/>
        <v>114344.26575153825</v>
      </c>
      <c r="V233" s="31">
        <f t="shared" si="414"/>
        <v>106380.5074967346</v>
      </c>
      <c r="W233" s="31">
        <f t="shared" si="373"/>
        <v>196051.99134571885</v>
      </c>
      <c r="X233" s="31">
        <f t="shared" si="374"/>
        <v>40407.481536109699</v>
      </c>
      <c r="Y233" s="31">
        <f t="shared" si="375"/>
        <v>114344.26575153825</v>
      </c>
      <c r="Z233" s="31">
        <f t="shared" si="376"/>
        <v>106380.5074967346</v>
      </c>
      <c r="AA233" s="31">
        <f t="shared" si="415"/>
        <v>196076.74108819989</v>
      </c>
      <c r="AB233" s="31">
        <f t="shared" si="416"/>
        <v>40994.748311139345</v>
      </c>
      <c r="AC233" s="31">
        <f t="shared" si="417"/>
        <v>114384.13432113834</v>
      </c>
      <c r="AD233" s="31">
        <f t="shared" si="418"/>
        <v>106417.59933198625</v>
      </c>
      <c r="AE233" s="31">
        <f t="shared" si="377"/>
        <v>457873.22305246384</v>
      </c>
      <c r="AF233" s="31">
        <f>IFERROR(VLOOKUP(A233,'Allocations By Type'!$D$7:$F$491,3,FALSE),"")</f>
        <v>437967.3</v>
      </c>
      <c r="AG233" s="31">
        <f t="shared" si="378"/>
        <v>18314.928922098556</v>
      </c>
      <c r="AH233" s="31">
        <f t="shared" si="370"/>
        <v>18314.928922098556</v>
      </c>
      <c r="AI233" s="31">
        <f t="shared" si="379"/>
        <v>439558.29413036531</v>
      </c>
      <c r="AJ233" s="31">
        <f>AI233/$AI$577*'State Admin 1004(b)'!$B$30*0.01</f>
        <v>4183.0561929245951</v>
      </c>
      <c r="AK233" s="31">
        <f t="shared" si="380"/>
        <v>435375.23793744069</v>
      </c>
      <c r="AL233" s="31">
        <f t="shared" si="381"/>
        <v>4353.7523793744067</v>
      </c>
      <c r="AM233" s="31">
        <f t="shared" si="382"/>
        <v>431021.48555806628</v>
      </c>
      <c r="AP233" s="31"/>
      <c r="AQ233" s="4">
        <f t="shared" si="330"/>
        <v>0.98414079215061556</v>
      </c>
      <c r="AW233" s="31">
        <f t="shared" si="383"/>
        <v>429639.61475977534</v>
      </c>
      <c r="AX233" s="4">
        <f t="shared" si="332"/>
        <v>0.98098560043130012</v>
      </c>
      <c r="AZ233" s="174" t="str">
        <f>IFERROR(IF(VLOOKUP(A233,#REF!,11,FALSE)=0,"",VLOOKUP(A233,#REF!,11,FALSE)),"")</f>
        <v/>
      </c>
      <c r="BA233" s="31" t="str">
        <f t="shared" si="333"/>
        <v/>
      </c>
      <c r="BB233" s="31">
        <f t="shared" si="334"/>
        <v>429639.61475977534</v>
      </c>
      <c r="BD233" s="31">
        <f>IFERROR(VLOOKUP(A233,'Title II Hold Harmless'!A$1:B$439,2, FALSE),"")</f>
        <v>18542</v>
      </c>
      <c r="BE233" s="31">
        <f t="shared" si="394"/>
        <v>24571.500543938731</v>
      </c>
      <c r="BF233" s="31">
        <f t="shared" si="395"/>
        <v>24595.274936960832</v>
      </c>
      <c r="BG233" s="31" t="str">
        <f t="shared" si="335"/>
        <v/>
      </c>
      <c r="BH233" s="31">
        <f t="shared" si="336"/>
        <v>24595.274936960832</v>
      </c>
    </row>
    <row r="234" spans="1:60" x14ac:dyDescent="0.3">
      <c r="A234" s="1">
        <v>78917000</v>
      </c>
      <c r="B234">
        <f>VLOOKUP(C234,'NCES ID'!$A$2:$B$3136,2,FALSE)</f>
        <v>400246</v>
      </c>
      <c r="C234">
        <f>VLOOKUP(A234,'State ID'!$A$2:$B$713,2,FALSE)</f>
        <v>79211</v>
      </c>
      <c r="D234" s="147" t="s">
        <v>149</v>
      </c>
      <c r="E234" t="s">
        <v>7</v>
      </c>
      <c r="I234" s="47">
        <f>VLOOKUP($C234,'Final SEA Counts'!$A$2:$F$709,5,FALSE)</f>
        <v>540</v>
      </c>
      <c r="J234" s="47">
        <f>VLOOKUP($C234,'Final SEA Counts'!$A$2:$F$709,6,FALSE)</f>
        <v>265</v>
      </c>
      <c r="K234" s="24">
        <f t="shared" si="371"/>
        <v>540</v>
      </c>
      <c r="L234" s="24">
        <f t="shared" si="410"/>
        <v>130.94741324518017</v>
      </c>
      <c r="M234" s="4">
        <f t="shared" si="372"/>
        <v>0.24249520971329661</v>
      </c>
      <c r="N234" s="31" t="str">
        <f>IFERROR(VLOOKUP($B234,#REF!,8,FALSE),"")</f>
        <v/>
      </c>
      <c r="O234" s="31" t="str">
        <f>IFERROR(VLOOKUP($B234,#REF!,9,FALSE),"")</f>
        <v/>
      </c>
      <c r="P234" s="31" t="str">
        <f>IFERROR(VLOOKUP($B234,#REF!,10,FALSE),"")</f>
        <v/>
      </c>
      <c r="Q234" s="31" t="str">
        <f>IFERROR(VLOOKUP($B234,#REF!,11,FALSE),"")</f>
        <v/>
      </c>
      <c r="R234" s="31" t="str">
        <f>IFERROR(VLOOKUP($B234,#REF!,12,FALSE),"")</f>
        <v/>
      </c>
      <c r="S234" s="31">
        <f t="shared" si="411"/>
        <v>63127.311915693186</v>
      </c>
      <c r="T234" s="31">
        <f t="shared" si="412"/>
        <v>13010.914467884653</v>
      </c>
      <c r="U234" s="31">
        <f t="shared" si="413"/>
        <v>36818.019956449127</v>
      </c>
      <c r="V234" s="31">
        <f t="shared" si="414"/>
        <v>34253.747857393282</v>
      </c>
      <c r="W234" s="31">
        <f t="shared" si="373"/>
        <v>63127.311915693186</v>
      </c>
      <c r="X234" s="31">
        <f t="shared" si="374"/>
        <v>13010.914467884653</v>
      </c>
      <c r="Y234" s="31">
        <f t="shared" si="375"/>
        <v>36818.019956449127</v>
      </c>
      <c r="Z234" s="31">
        <f t="shared" si="376"/>
        <v>34253.747857393282</v>
      </c>
      <c r="AA234" s="31">
        <f t="shared" si="415"/>
        <v>63152.061658174222</v>
      </c>
      <c r="AB234" s="31">
        <f t="shared" si="416"/>
        <v>13598.181242914301</v>
      </c>
      <c r="AC234" s="31">
        <f t="shared" si="417"/>
        <v>36857.888526049224</v>
      </c>
      <c r="AD234" s="31">
        <f t="shared" si="418"/>
        <v>34290.839692644928</v>
      </c>
      <c r="AE234" s="31">
        <f t="shared" si="377"/>
        <v>147898.97111978268</v>
      </c>
      <c r="AF234" s="31">
        <f>IFERROR(VLOOKUP(A234,'Allocations By Type'!$D$7:$F$491,3,FALSE),"")</f>
        <v>107759.43</v>
      </c>
      <c r="AG234" s="31">
        <f t="shared" si="378"/>
        <v>5915.9588447913075</v>
      </c>
      <c r="AH234" s="31">
        <f t="shared" si="370"/>
        <v>5915.9588447913075</v>
      </c>
      <c r="AI234" s="31">
        <f t="shared" si="379"/>
        <v>141983.01227499137</v>
      </c>
      <c r="AJ234" s="31">
        <f>AI234/$AI$577*'State Admin 1004(b)'!$B$30*0.01</f>
        <v>1351.181235157957</v>
      </c>
      <c r="AK234" s="31">
        <f t="shared" si="380"/>
        <v>140631.83103983343</v>
      </c>
      <c r="AL234" s="31">
        <f t="shared" si="381"/>
        <v>1406.3183103983342</v>
      </c>
      <c r="AM234" s="31">
        <f t="shared" si="382"/>
        <v>139225.51272943508</v>
      </c>
      <c r="AP234" s="31"/>
      <c r="AQ234" s="4">
        <f t="shared" si="330"/>
        <v>1.2920030546694159</v>
      </c>
      <c r="AW234" s="31">
        <f t="shared" si="383"/>
        <v>138779.15059468258</v>
      </c>
      <c r="AX234" s="4">
        <f t="shared" si="332"/>
        <v>1.2878608451685629</v>
      </c>
      <c r="AZ234" s="174" t="str">
        <f>IFERROR(IF(VLOOKUP(A234,#REF!,11,FALSE)=0,"",VLOOKUP(A234,#REF!,11,FALSE)),"")</f>
        <v/>
      </c>
      <c r="BA234" s="31" t="str">
        <f t="shared" si="333"/>
        <v/>
      </c>
      <c r="BB234" s="31">
        <f t="shared" si="334"/>
        <v>138779.15059468258</v>
      </c>
      <c r="BD234" s="31">
        <f>IFERROR(VLOOKUP(A234,'Title II Hold Harmless'!A$1:B$439,2, FALSE),"")</f>
        <v>5031</v>
      </c>
      <c r="BE234" s="31">
        <f t="shared" si="394"/>
        <v>7179.7815921158663</v>
      </c>
      <c r="BF234" s="31">
        <f t="shared" si="395"/>
        <v>7186.7284592426249</v>
      </c>
      <c r="BG234" s="31" t="str">
        <f t="shared" si="335"/>
        <v/>
      </c>
      <c r="BH234" s="31">
        <f t="shared" si="336"/>
        <v>7186.7284592426249</v>
      </c>
    </row>
    <row r="235" spans="1:60" x14ac:dyDescent="0.3">
      <c r="A235" s="1">
        <v>78246000</v>
      </c>
      <c r="B235">
        <f>VLOOKUP(C235,'NCES ID'!$A$2:$B$3136,2,FALSE)</f>
        <v>400904</v>
      </c>
      <c r="C235">
        <f>VLOOKUP(A235,'State ID'!$A$2:$B$713,2,FALSE)</f>
        <v>92226</v>
      </c>
      <c r="D235" s="147" t="s">
        <v>150</v>
      </c>
      <c r="E235" t="s">
        <v>7</v>
      </c>
      <c r="I235" s="47">
        <f>VLOOKUP($C235,'Final SEA Counts'!$A$2:$F$709,5,FALSE)</f>
        <v>1056</v>
      </c>
      <c r="J235" s="47">
        <f>VLOOKUP($C235,'Final SEA Counts'!$A$2:$F$709,6,FALSE)</f>
        <v>521</v>
      </c>
      <c r="K235" s="24">
        <f t="shared" si="371"/>
        <v>1056</v>
      </c>
      <c r="L235" s="24">
        <f t="shared" si="410"/>
        <v>257.44755585184481</v>
      </c>
      <c r="M235" s="4">
        <f t="shared" si="372"/>
        <v>0.24379503395061061</v>
      </c>
      <c r="N235" s="31" t="str">
        <f>IFERROR(VLOOKUP($B235,#REF!,8,FALSE),"")</f>
        <v/>
      </c>
      <c r="O235" s="31" t="str">
        <f>IFERROR(VLOOKUP($B235,#REF!,9,FALSE),"")</f>
        <v/>
      </c>
      <c r="P235" s="31" t="str">
        <f>IFERROR(VLOOKUP($B235,#REF!,10,FALSE),"")</f>
        <v/>
      </c>
      <c r="Q235" s="31" t="str">
        <f>IFERROR(VLOOKUP($B235,#REF!,11,FALSE),"")</f>
        <v/>
      </c>
      <c r="R235" s="31" t="str">
        <f>IFERROR(VLOOKUP($B235,#REF!,12,FALSE),"")</f>
        <v/>
      </c>
      <c r="S235" s="31">
        <f t="shared" si="411"/>
        <v>124110.67738896661</v>
      </c>
      <c r="T235" s="31">
        <f t="shared" si="412"/>
        <v>25579.94882176568</v>
      </c>
      <c r="U235" s="31">
        <f t="shared" si="413"/>
        <v>72385.616593622632</v>
      </c>
      <c r="V235" s="31">
        <f t="shared" si="414"/>
        <v>67344.160881893957</v>
      </c>
      <c r="W235" s="31">
        <f t="shared" si="373"/>
        <v>124110.67738896661</v>
      </c>
      <c r="X235" s="31">
        <f t="shared" si="374"/>
        <v>25579.94882176568</v>
      </c>
      <c r="Y235" s="31">
        <f t="shared" si="375"/>
        <v>72385.616593622632</v>
      </c>
      <c r="Z235" s="31">
        <f t="shared" si="376"/>
        <v>67344.160881893957</v>
      </c>
      <c r="AA235" s="31">
        <f t="shared" si="415"/>
        <v>124135.42713144764</v>
      </c>
      <c r="AB235" s="31">
        <f t="shared" si="416"/>
        <v>26167.215596795329</v>
      </c>
      <c r="AC235" s="31">
        <f t="shared" si="417"/>
        <v>72425.485163222722</v>
      </c>
      <c r="AD235" s="31">
        <f t="shared" si="418"/>
        <v>67381.252717145602</v>
      </c>
      <c r="AE235" s="31">
        <f t="shared" si="377"/>
        <v>290109.38060861127</v>
      </c>
      <c r="AF235" s="31">
        <f>IFERROR(VLOOKUP(A235,'Allocations By Type'!$D$7:$F$491,3,FALSE),"")</f>
        <v>257884.73</v>
      </c>
      <c r="AG235" s="31">
        <f t="shared" si="378"/>
        <v>11604.375224344451</v>
      </c>
      <c r="AH235" s="31">
        <f t="shared" si="370"/>
        <v>11604.375224344451</v>
      </c>
      <c r="AI235" s="31">
        <f t="shared" si="379"/>
        <v>278505.00538426684</v>
      </c>
      <c r="AJ235" s="31">
        <f>AI235/$AI$577*'State Admin 1004(b)'!$B$30*0.01</f>
        <v>2650.3926853161279</v>
      </c>
      <c r="AK235" s="31">
        <f t="shared" si="380"/>
        <v>275854.61269895069</v>
      </c>
      <c r="AL235" s="31">
        <f t="shared" si="381"/>
        <v>2758.5461269895068</v>
      </c>
      <c r="AM235" s="31">
        <f t="shared" si="382"/>
        <v>273096.06657196116</v>
      </c>
      <c r="AP235" s="31"/>
      <c r="AQ235" s="4">
        <f t="shared" si="330"/>
        <v>1.0589850223856261</v>
      </c>
      <c r="AW235" s="31">
        <f t="shared" si="383"/>
        <v>272220.51049838099</v>
      </c>
      <c r="AX235" s="4">
        <f t="shared" si="332"/>
        <v>1.0555898773005326</v>
      </c>
      <c r="AZ235" s="174" t="str">
        <f>IFERROR(IF(VLOOKUP(A235,#REF!,11,FALSE)=0,"",VLOOKUP(A235,#REF!,11,FALSE)),"")</f>
        <v/>
      </c>
      <c r="BA235" s="31" t="str">
        <f t="shared" si="333"/>
        <v/>
      </c>
      <c r="BB235" s="31">
        <f t="shared" si="334"/>
        <v>272220.51049838099</v>
      </c>
      <c r="BD235" s="31" t="str">
        <f>IFERROR(VLOOKUP(A235,'Title II Hold Harmless'!A$1:B$439,2, FALSE),"")</f>
        <v/>
      </c>
      <c r="BE235" s="31">
        <f t="shared" si="394"/>
        <v>4220.0302262570895</v>
      </c>
      <c r="BF235" s="31">
        <f t="shared" si="395"/>
        <v>4224.1133573212583</v>
      </c>
      <c r="BG235" s="31" t="str">
        <f t="shared" si="335"/>
        <v/>
      </c>
      <c r="BH235" s="31">
        <f t="shared" si="336"/>
        <v>4224.1133573212583</v>
      </c>
    </row>
    <row r="236" spans="1:60" x14ac:dyDescent="0.3">
      <c r="A236" s="1">
        <v>78705000</v>
      </c>
      <c r="B236">
        <f>VLOOKUP(C236,'NCES ID'!$A$2:$B$3136,2,FALSE)</f>
        <v>400157</v>
      </c>
      <c r="C236">
        <f>VLOOKUP(A236,'State ID'!$A$2:$B$713,2,FALSE)</f>
        <v>4329</v>
      </c>
      <c r="D236" s="147" t="s">
        <v>151</v>
      </c>
      <c r="E236" t="s">
        <v>7</v>
      </c>
      <c r="I236" s="47">
        <f>VLOOKUP($C236,'Final SEA Counts'!$A$2:$F$709,5,FALSE)</f>
        <v>634</v>
      </c>
      <c r="J236" s="47">
        <f>VLOOKUP($C236,'Final SEA Counts'!$A$2:$F$709,6,FALSE)</f>
        <v>256</v>
      </c>
      <c r="K236" s="24">
        <f t="shared" si="371"/>
        <v>634</v>
      </c>
      <c r="L236" s="24">
        <f t="shared" si="410"/>
        <v>126.50014260666462</v>
      </c>
      <c r="M236" s="4">
        <f t="shared" si="372"/>
        <v>0.19952703881177386</v>
      </c>
      <c r="N236" s="31" t="str">
        <f>IFERROR(VLOOKUP($B236,#REF!,8,FALSE),"")</f>
        <v/>
      </c>
      <c r="O236" s="31" t="str">
        <f>IFERROR(VLOOKUP($B236,#REF!,9,FALSE),"")</f>
        <v/>
      </c>
      <c r="P236" s="31" t="str">
        <f>IFERROR(VLOOKUP($B236,#REF!,10,FALSE),"")</f>
        <v/>
      </c>
      <c r="Q236" s="31" t="str">
        <f>IFERROR(VLOOKUP($B236,#REF!,11,FALSE),"")</f>
        <v/>
      </c>
      <c r="R236" s="31" t="str">
        <f>IFERROR(VLOOKUP($B236,#REF!,12,FALSE),"")</f>
        <v/>
      </c>
      <c r="S236" s="31">
        <f t="shared" si="411"/>
        <v>60983.365473273421</v>
      </c>
      <c r="T236" s="31">
        <f t="shared" si="412"/>
        <v>12569.034353881023</v>
      </c>
      <c r="U236" s="31">
        <f t="shared" si="413"/>
        <v>35567.596637173498</v>
      </c>
      <c r="V236" s="31">
        <f t="shared" si="414"/>
        <v>33090.413024500682</v>
      </c>
      <c r="W236" s="31">
        <f t="shared" si="373"/>
        <v>60983.365473273421</v>
      </c>
      <c r="X236" s="31">
        <f t="shared" si="374"/>
        <v>12569.034353881023</v>
      </c>
      <c r="Y236" s="31">
        <f t="shared" si="375"/>
        <v>35567.596637173498</v>
      </c>
      <c r="Z236" s="31">
        <f t="shared" si="376"/>
        <v>33090.413024500682</v>
      </c>
      <c r="AA236" s="31">
        <f t="shared" si="415"/>
        <v>61008.115215754457</v>
      </c>
      <c r="AB236" s="31">
        <f t="shared" si="416"/>
        <v>13156.301128910671</v>
      </c>
      <c r="AC236" s="31">
        <f t="shared" si="417"/>
        <v>35607.465206773595</v>
      </c>
      <c r="AD236" s="31">
        <f t="shared" si="418"/>
        <v>33127.504859752327</v>
      </c>
      <c r="AE236" s="31">
        <f t="shared" si="377"/>
        <v>142899.38641119102</v>
      </c>
      <c r="AF236" s="31">
        <f>IFERROR(VLOOKUP(A236,'Allocations By Type'!$D$7:$F$491,3,FALSE),"")</f>
        <v>140533.93</v>
      </c>
      <c r="AG236" s="31">
        <f t="shared" si="378"/>
        <v>5715.9754564476407</v>
      </c>
      <c r="AH236" s="31">
        <f t="shared" si="370"/>
        <v>2365.4564111910295</v>
      </c>
      <c r="AI236" s="31">
        <f t="shared" si="379"/>
        <v>140533.93</v>
      </c>
      <c r="AJ236" s="31">
        <f>AI236/$AI$577*'State Admin 1004(b)'!$B$30*0.01</f>
        <v>1337.3910447204123</v>
      </c>
      <c r="AK236" s="31">
        <f t="shared" si="380"/>
        <v>139196.53895527957</v>
      </c>
      <c r="AL236" s="31">
        <f t="shared" si="381"/>
        <v>1391.9653895527956</v>
      </c>
      <c r="AM236" s="31">
        <f t="shared" si="382"/>
        <v>137804.57356572678</v>
      </c>
      <c r="AP236" s="31"/>
      <c r="AQ236" s="4">
        <f t="shared" si="330"/>
        <v>0.98057866570533381</v>
      </c>
      <c r="AW236" s="31">
        <f t="shared" si="383"/>
        <v>137362.7670144017</v>
      </c>
      <c r="AX236" s="4">
        <f t="shared" si="332"/>
        <v>0.97743489429493435</v>
      </c>
      <c r="AZ236" s="174" t="str">
        <f>IFERROR(IF(VLOOKUP(A236,#REF!,11,FALSE)=0,"",VLOOKUP(A236,#REF!,11,FALSE)),"")</f>
        <v/>
      </c>
      <c r="BA236" s="31" t="str">
        <f t="shared" si="333"/>
        <v/>
      </c>
      <c r="BB236" s="31">
        <f t="shared" si="334"/>
        <v>137362.7670144017</v>
      </c>
      <c r="BD236" s="31">
        <f>IFERROR(VLOOKUP(A236,'Title II Hold Harmless'!A$1:B$439,2, FALSE),"")</f>
        <v>660</v>
      </c>
      <c r="BE236" s="31">
        <f t="shared" si="394"/>
        <v>2826.2149975012499</v>
      </c>
      <c r="BF236" s="31">
        <f t="shared" si="395"/>
        <v>2828.9495291589888</v>
      </c>
      <c r="BG236" s="31" t="str">
        <f t="shared" si="335"/>
        <v/>
      </c>
      <c r="BH236" s="31">
        <f t="shared" si="336"/>
        <v>2828.9495291589888</v>
      </c>
    </row>
    <row r="237" spans="1:60" x14ac:dyDescent="0.3">
      <c r="A237" s="1">
        <v>78558000</v>
      </c>
      <c r="B237">
        <f>VLOOKUP(C237,'NCES ID'!$A$2:$B$3136,2,FALSE)</f>
        <v>400816</v>
      </c>
      <c r="C237">
        <f>VLOOKUP(A237,'State ID'!$A$2:$B$713,2,FALSE)</f>
        <v>90201</v>
      </c>
      <c r="D237" s="147" t="s">
        <v>152</v>
      </c>
      <c r="E237" t="s">
        <v>7</v>
      </c>
      <c r="I237" s="47">
        <f>VLOOKUP($C237,'Final SEA Counts'!$A$2:$F$709,5,FALSE)</f>
        <v>306</v>
      </c>
      <c r="J237" s="47">
        <f>VLOOKUP($C237,'Final SEA Counts'!$A$2:$F$709,6,FALSE)</f>
        <v>116</v>
      </c>
      <c r="K237" s="24">
        <f t="shared" si="371"/>
        <v>306</v>
      </c>
      <c r="L237" s="24">
        <f t="shared" si="410"/>
        <v>57.320377118644906</v>
      </c>
      <c r="M237" s="4">
        <f t="shared" si="372"/>
        <v>0.18732149385178073</v>
      </c>
      <c r="N237" s="31" t="str">
        <f>IFERROR(VLOOKUP($B237,#REF!,8,FALSE),"")</f>
        <v/>
      </c>
      <c r="O237" s="31" t="str">
        <f>IFERROR(VLOOKUP($B237,#REF!,9,FALSE),"")</f>
        <v/>
      </c>
      <c r="P237" s="31" t="str">
        <f>IFERROR(VLOOKUP($B237,#REF!,10,FALSE),"")</f>
        <v/>
      </c>
      <c r="Q237" s="31" t="str">
        <f>IFERROR(VLOOKUP($B237,#REF!,11,FALSE),"")</f>
        <v/>
      </c>
      <c r="R237" s="31" t="str">
        <f>IFERROR(VLOOKUP($B237,#REF!,12,FALSE),"")</f>
        <v/>
      </c>
      <c r="S237" s="31">
        <f t="shared" si="411"/>
        <v>27633.087480077018</v>
      </c>
      <c r="T237" s="31">
        <f t="shared" si="412"/>
        <v>5695.3436916023384</v>
      </c>
      <c r="U237" s="31">
        <f t="shared" si="413"/>
        <v>16116.567226219242</v>
      </c>
      <c r="V237" s="31">
        <f t="shared" si="414"/>
        <v>14994.09340172687</v>
      </c>
      <c r="W237" s="31">
        <f t="shared" si="373"/>
        <v>27633.087480077018</v>
      </c>
      <c r="X237" s="31">
        <f t="shared" si="374"/>
        <v>5695.3436916023384</v>
      </c>
      <c r="Y237" s="31">
        <f t="shared" si="375"/>
        <v>16116.567226219242</v>
      </c>
      <c r="Z237" s="31">
        <f t="shared" si="376"/>
        <v>14994.09340172687</v>
      </c>
      <c r="AA237" s="31">
        <f t="shared" si="415"/>
        <v>27657.837222558053</v>
      </c>
      <c r="AB237" s="31">
        <f t="shared" si="416"/>
        <v>6282.6104666319861</v>
      </c>
      <c r="AC237" s="31">
        <f t="shared" si="417"/>
        <v>16156.435795819338</v>
      </c>
      <c r="AD237" s="31">
        <f t="shared" si="418"/>
        <v>15031.185236978516</v>
      </c>
      <c r="AE237" s="31">
        <f t="shared" si="377"/>
        <v>65128.068721987889</v>
      </c>
      <c r="AF237" s="31">
        <f>IFERROR(VLOOKUP(A237,'Allocations By Type'!$D$7:$F$491,3,FALSE),"")</f>
        <v>85668.63</v>
      </c>
      <c r="AG237" s="31" t="str">
        <f t="shared" si="378"/>
        <v/>
      </c>
      <c r="AH237" s="31" t="str">
        <f t="shared" si="370"/>
        <v/>
      </c>
      <c r="AI237" s="31">
        <f t="shared" si="379"/>
        <v>65128.068721987889</v>
      </c>
      <c r="AJ237" s="31">
        <f>AI237/$AI$577*'State Admin 1004(b)'!$B$30*0.01</f>
        <v>619.79121959175404</v>
      </c>
      <c r="AK237" s="31">
        <f t="shared" si="380"/>
        <v>64508.277502396137</v>
      </c>
      <c r="AL237" s="31">
        <f t="shared" si="381"/>
        <v>645.0827750239614</v>
      </c>
      <c r="AM237" s="31">
        <f t="shared" si="382"/>
        <v>63863.194727372174</v>
      </c>
      <c r="AP237" s="31"/>
      <c r="AQ237" s="4">
        <f t="shared" si="330"/>
        <v>0.74546767851163453</v>
      </c>
      <c r="AW237" s="31">
        <f t="shared" si="383"/>
        <v>63658.446966909461</v>
      </c>
      <c r="AX237" s="4">
        <f t="shared" si="332"/>
        <v>0.7430776816077187</v>
      </c>
      <c r="AZ237" s="174" t="str">
        <f>IFERROR(IF(VLOOKUP(A237,#REF!,11,FALSE)=0,"",VLOOKUP(A237,#REF!,11,FALSE)),"")</f>
        <v/>
      </c>
      <c r="BA237" s="31" t="str">
        <f t="shared" si="333"/>
        <v/>
      </c>
      <c r="BB237" s="31">
        <f t="shared" si="334"/>
        <v>63658.446966909461</v>
      </c>
      <c r="BD237" s="31" t="str">
        <f>IFERROR(VLOOKUP(A237,'Title II Hold Harmless'!A$1:B$439,2, FALSE),"")</f>
        <v/>
      </c>
      <c r="BE237" s="31">
        <f t="shared" si="394"/>
        <v>996.63101493042745</v>
      </c>
      <c r="BF237" s="31">
        <f t="shared" si="395"/>
        <v>997.59531490895756</v>
      </c>
      <c r="BG237" s="31" t="str">
        <f t="shared" si="335"/>
        <v/>
      </c>
      <c r="BH237" s="31">
        <f t="shared" si="336"/>
        <v>997.59531490895756</v>
      </c>
    </row>
    <row r="238" spans="1:60" x14ac:dyDescent="0.3">
      <c r="A238" s="1">
        <v>78717000</v>
      </c>
      <c r="B238">
        <f>VLOOKUP(C238,'NCES ID'!$A$2:$B$3136,2,FALSE)</f>
        <v>400055</v>
      </c>
      <c r="C238">
        <f>VLOOKUP(A238,'State ID'!$A$2:$B$713,2,FALSE)</f>
        <v>4341</v>
      </c>
      <c r="D238" s="147" t="s">
        <v>153</v>
      </c>
      <c r="E238" t="s">
        <v>7</v>
      </c>
      <c r="I238" s="47">
        <f>VLOOKUP($C238,'Final SEA Counts'!$A$2:$F$709,5,FALSE)</f>
        <v>71</v>
      </c>
      <c r="J238" s="47">
        <f>VLOOKUP($C238,'Final SEA Counts'!$A$2:$F$709,6,FALSE)</f>
        <v>69</v>
      </c>
      <c r="K238" s="24">
        <f t="shared" si="371"/>
        <v>71</v>
      </c>
      <c r="L238" s="24">
        <f t="shared" si="410"/>
        <v>34.095741561952572</v>
      </c>
      <c r="M238" s="4">
        <f t="shared" si="372"/>
        <v>0.48022171214017706</v>
      </c>
      <c r="N238" s="31" t="str">
        <f>IFERROR(VLOOKUP($B238,#REF!,8,FALSE),"")</f>
        <v/>
      </c>
      <c r="O238" s="31" t="str">
        <f>IFERROR(VLOOKUP($B238,#REF!,9,FALSE),"")</f>
        <v/>
      </c>
      <c r="P238" s="31" t="str">
        <f>IFERROR(VLOOKUP($B238,#REF!,10,FALSE),"")</f>
        <v/>
      </c>
      <c r="Q238" s="31" t="str">
        <f>IFERROR(VLOOKUP($B238,#REF!,11,FALSE),"")</f>
        <v/>
      </c>
      <c r="R238" s="31" t="str">
        <f>IFERROR(VLOOKUP($B238,#REF!,12,FALSE),"")</f>
        <v/>
      </c>
      <c r="S238" s="31">
        <f t="shared" si="411"/>
        <v>16436.922725218225</v>
      </c>
      <c r="T238" s="31">
        <f t="shared" si="412"/>
        <v>3387.7475406944945</v>
      </c>
      <c r="U238" s="31">
        <f t="shared" si="413"/>
        <v>9586.5787811131686</v>
      </c>
      <c r="V238" s="31">
        <f t="shared" si="414"/>
        <v>8918.900385509949</v>
      </c>
      <c r="W238" s="31">
        <f t="shared" ref="W238:W307" si="419">IF(AND($L238&gt;9,$L238&gt;($K238*0.02)),S238,"")</f>
        <v>16436.922725218225</v>
      </c>
      <c r="X238" s="31">
        <f t="shared" ref="X238:X307" si="420">IF(W238="","",IF(OR($L238&gt;6500,$L238&gt;($K238*0.15)),T238,""))</f>
        <v>3387.7475406944945</v>
      </c>
      <c r="Y238" s="31">
        <f t="shared" ref="Y238:Y307" si="421">IF(AND($L238&gt;9,$L238&gt;($K238*0.05)),U238,"")</f>
        <v>9586.5787811131686</v>
      </c>
      <c r="Z238" s="31">
        <f t="shared" ref="Z238:Z307" si="422">IF(AND($L238&gt;9,$L238&gt;($K238*0.05)),V238,"")</f>
        <v>8918.900385509949</v>
      </c>
      <c r="AA238" s="31">
        <f t="shared" si="415"/>
        <v>16461.67246769926</v>
      </c>
      <c r="AB238" s="31">
        <f t="shared" si="416"/>
        <v>3975.0143157241428</v>
      </c>
      <c r="AC238" s="31">
        <f t="shared" si="417"/>
        <v>9626.4473507132643</v>
      </c>
      <c r="AD238" s="31">
        <f t="shared" si="418"/>
        <v>8955.9922207615946</v>
      </c>
      <c r="AE238" s="31">
        <f t="shared" ref="AE238:AE307" si="423">SUM(AA238:AD238)</f>
        <v>39019.126354898261</v>
      </c>
      <c r="AF238" s="31">
        <f>IFERROR(VLOOKUP(A238,'Allocations By Type'!$D$7:$F$491,3,FALSE),"")</f>
        <v>36899.46</v>
      </c>
      <c r="AG238" s="31">
        <f t="shared" ref="AG238:AG307" si="424">IF(AE238&gt;AF238,AE238*0.04,"")</f>
        <v>1560.7650541959304</v>
      </c>
      <c r="AH238" s="31">
        <f t="shared" ref="AH238:AH270" si="425">IF(AG238="","",IF((AE238-AF238)&gt;AG238,AG238,AE238-AF238))</f>
        <v>1560.7650541959304</v>
      </c>
      <c r="AI238" s="31">
        <f t="shared" ref="AI238:AI307" si="426">IF(AH238="",AE238,AE238-AH238)</f>
        <v>37458.36130070233</v>
      </c>
      <c r="AJ238" s="31">
        <f>AI238/$AI$577*'State Admin 1004(b)'!$B$30*0.01</f>
        <v>356.47246863060724</v>
      </c>
      <c r="AK238" s="31">
        <f t="shared" ref="AK238:AK307" si="427">AI238-AJ238</f>
        <v>37101.888832071723</v>
      </c>
      <c r="AL238" s="31">
        <f t="shared" ref="AL238:AL307" si="428">AK238*0.01</f>
        <v>371.01888832071722</v>
      </c>
      <c r="AM238" s="31">
        <f t="shared" ref="AM238:AM307" si="429">AK238-AL238</f>
        <v>36730.869943751008</v>
      </c>
      <c r="AP238" s="31"/>
      <c r="AQ238" s="4">
        <f t="shared" si="330"/>
        <v>0.99543109692529397</v>
      </c>
      <c r="AW238" s="31">
        <f t="shared" si="383"/>
        <v>36613.109418413449</v>
      </c>
      <c r="AX238" s="4">
        <f t="shared" si="332"/>
        <v>0.99223970807197315</v>
      </c>
      <c r="AZ238" s="174" t="str">
        <f>IFERROR(IF(VLOOKUP(A238,#REF!,11,FALSE)=0,"",VLOOKUP(A238,#REF!,11,FALSE)),"")</f>
        <v/>
      </c>
      <c r="BA238" s="31" t="str">
        <f t="shared" si="333"/>
        <v/>
      </c>
      <c r="BB238" s="31">
        <f t="shared" si="334"/>
        <v>36613.109418413449</v>
      </c>
      <c r="BD238" s="31">
        <f>IFERROR(VLOOKUP(A238,'Title II Hold Harmless'!A$1:B$439,2, FALSE),"")</f>
        <v>2932</v>
      </c>
      <c r="BE238" s="31">
        <f t="shared" si="394"/>
        <v>3435.4769795596958</v>
      </c>
      <c r="BF238" s="31">
        <f t="shared" si="395"/>
        <v>3438.8010085413357</v>
      </c>
      <c r="BG238" s="31" t="str">
        <f t="shared" si="335"/>
        <v/>
      </c>
      <c r="BH238" s="31">
        <f t="shared" si="336"/>
        <v>3438.8010085413357</v>
      </c>
    </row>
    <row r="239" spans="1:60" x14ac:dyDescent="0.3">
      <c r="A239" s="1">
        <v>78911000</v>
      </c>
      <c r="B239">
        <f>VLOOKUP(C239,'NCES ID'!$A$2:$B$3136,2,FALSE)</f>
        <v>400311</v>
      </c>
      <c r="C239">
        <f>VLOOKUP(A239,'State ID'!$A$2:$B$713,2,FALSE)</f>
        <v>79059</v>
      </c>
      <c r="D239" s="147" t="s">
        <v>154</v>
      </c>
      <c r="E239" t="s">
        <v>7</v>
      </c>
      <c r="I239" s="47">
        <f>VLOOKUP($C239,'Final SEA Counts'!$A$2:$F$709,5,FALSE)</f>
        <v>287</v>
      </c>
      <c r="J239" s="47">
        <f>VLOOKUP($C239,'Final SEA Counts'!$A$2:$F$709,6,FALSE)</f>
        <v>206</v>
      </c>
      <c r="K239" s="24">
        <f t="shared" ref="K239:K308" si="430">I239</f>
        <v>287</v>
      </c>
      <c r="L239" s="24">
        <f t="shared" si="410"/>
        <v>101.79308350380045</v>
      </c>
      <c r="M239" s="4">
        <f t="shared" si="372"/>
        <v>0.3546797334627193</v>
      </c>
      <c r="N239" s="31" t="str">
        <f>IFERROR(VLOOKUP($B239,#REF!,8,FALSE),"")</f>
        <v/>
      </c>
      <c r="O239" s="31" t="str">
        <f>IFERROR(VLOOKUP($B239,#REF!,9,FALSE),"")</f>
        <v/>
      </c>
      <c r="P239" s="31" t="str">
        <f>IFERROR(VLOOKUP($B239,#REF!,10,FALSE),"")</f>
        <v/>
      </c>
      <c r="Q239" s="31" t="str">
        <f>IFERROR(VLOOKUP($B239,#REF!,11,FALSE),"")</f>
        <v/>
      </c>
      <c r="R239" s="31" t="str">
        <f>IFERROR(VLOOKUP($B239,#REF!,12,FALSE),"")</f>
        <v/>
      </c>
      <c r="S239" s="31">
        <f t="shared" si="411"/>
        <v>49072.551904274711</v>
      </c>
      <c r="T239" s="31">
        <f t="shared" si="412"/>
        <v>10114.144831638638</v>
      </c>
      <c r="U239" s="31">
        <f t="shared" si="413"/>
        <v>28620.800418975552</v>
      </c>
      <c r="V239" s="31">
        <f t="shared" si="414"/>
        <v>26627.441730652892</v>
      </c>
      <c r="W239" s="31">
        <f t="shared" si="419"/>
        <v>49072.551904274711</v>
      </c>
      <c r="X239" s="31">
        <f t="shared" si="420"/>
        <v>10114.144831638638</v>
      </c>
      <c r="Y239" s="31">
        <f t="shared" si="421"/>
        <v>28620.800418975552</v>
      </c>
      <c r="Z239" s="31">
        <f t="shared" si="422"/>
        <v>26627.441730652892</v>
      </c>
      <c r="AA239" s="31">
        <f t="shared" si="415"/>
        <v>49097.301646755746</v>
      </c>
      <c r="AB239" s="31">
        <f t="shared" si="416"/>
        <v>10701.411606668285</v>
      </c>
      <c r="AC239" s="31">
        <f t="shared" si="417"/>
        <v>28660.66898857565</v>
      </c>
      <c r="AD239" s="31">
        <f t="shared" si="418"/>
        <v>26664.533565904538</v>
      </c>
      <c r="AE239" s="31">
        <f t="shared" si="423"/>
        <v>115123.91580790421</v>
      </c>
      <c r="AF239" s="31">
        <f>IFERROR(VLOOKUP(A239,'Allocations By Type'!$D$7:$F$491,3,FALSE),"")</f>
        <v>148662.13</v>
      </c>
      <c r="AG239" s="31" t="str">
        <f t="shared" si="424"/>
        <v/>
      </c>
      <c r="AH239" s="31" t="str">
        <f t="shared" si="425"/>
        <v/>
      </c>
      <c r="AI239" s="31">
        <f t="shared" si="426"/>
        <v>115123.91580790421</v>
      </c>
      <c r="AJ239" s="31">
        <f>AI239/$AI$577*'State Admin 1004(b)'!$B$30*0.01</f>
        <v>1095.5766627649125</v>
      </c>
      <c r="AK239" s="31">
        <f t="shared" si="427"/>
        <v>114028.3391451393</v>
      </c>
      <c r="AL239" s="31">
        <f t="shared" si="428"/>
        <v>1140.2833914513931</v>
      </c>
      <c r="AM239" s="31">
        <f t="shared" si="429"/>
        <v>112888.05575368791</v>
      </c>
      <c r="AP239" s="31"/>
      <c r="AQ239" s="4">
        <f t="shared" si="330"/>
        <v>0.75935987028900975</v>
      </c>
      <c r="AW239" s="31">
        <f t="shared" si="383"/>
        <v>112526.1324785178</v>
      </c>
      <c r="AX239" s="4">
        <f t="shared" si="332"/>
        <v>0.75692533450528254</v>
      </c>
      <c r="AZ239" s="174" t="str">
        <f>IFERROR(IF(VLOOKUP(A239,#REF!,11,FALSE)=0,"",VLOOKUP(A239,#REF!,11,FALSE)),"")</f>
        <v/>
      </c>
      <c r="BA239" s="31" t="str">
        <f t="shared" si="333"/>
        <v/>
      </c>
      <c r="BB239" s="31">
        <f t="shared" si="334"/>
        <v>112526.1324785178</v>
      </c>
      <c r="BD239" s="31" t="str">
        <f>IFERROR(VLOOKUP(A239,'Title II Hold Harmless'!A$1:B$439,2, FALSE),"")</f>
        <v/>
      </c>
      <c r="BE239" s="31">
        <f t="shared" si="394"/>
        <v>1563.5174750984952</v>
      </c>
      <c r="BF239" s="31">
        <f t="shared" si="395"/>
        <v>1565.0302715548389</v>
      </c>
      <c r="BG239" s="31" t="str">
        <f t="shared" si="335"/>
        <v/>
      </c>
      <c r="BH239" s="31">
        <f t="shared" si="336"/>
        <v>1565.0302715548389</v>
      </c>
    </row>
    <row r="240" spans="1:60" x14ac:dyDescent="0.3">
      <c r="A240" s="1">
        <v>78664000</v>
      </c>
      <c r="B240">
        <f>VLOOKUP(C240,'NCES ID'!$A$2:$B$3136,2,FALSE)</f>
        <v>400133</v>
      </c>
      <c r="C240">
        <f>VLOOKUP(A240,'State ID'!$A$2:$B$713,2,FALSE)</f>
        <v>6375</v>
      </c>
      <c r="D240" s="147" t="s">
        <v>157</v>
      </c>
      <c r="E240" t="s">
        <v>7</v>
      </c>
      <c r="I240" s="47">
        <f>VLOOKUP($C240,'Final SEA Counts'!$A$2:$F$709,5,FALSE)</f>
        <v>219</v>
      </c>
      <c r="J240" s="47">
        <f>VLOOKUP($C240,'Final SEA Counts'!$A$2:$F$709,6,FALSE)</f>
        <v>172</v>
      </c>
      <c r="K240" s="24">
        <f t="shared" si="430"/>
        <v>219</v>
      </c>
      <c r="L240" s="24">
        <f t="shared" si="410"/>
        <v>84.992283313852795</v>
      </c>
      <c r="M240" s="4">
        <f t="shared" ref="M240:M247" si="431">L240/K240</f>
        <v>0.38809261787147392</v>
      </c>
      <c r="N240" s="31" t="str">
        <f>IFERROR(VLOOKUP($B240,#REF!,8,FALSE),"")</f>
        <v/>
      </c>
      <c r="O240" s="31" t="str">
        <f>IFERROR(VLOOKUP($B240,#REF!,9,FALSE),"")</f>
        <v/>
      </c>
      <c r="P240" s="31" t="str">
        <f>IFERROR(VLOOKUP($B240,#REF!,10,FALSE),"")</f>
        <v/>
      </c>
      <c r="Q240" s="31" t="str">
        <f>IFERROR(VLOOKUP($B240,#REF!,11,FALSE),"")</f>
        <v/>
      </c>
      <c r="R240" s="31" t="str">
        <f>IFERROR(VLOOKUP($B240,#REF!,12,FALSE),"")</f>
        <v/>
      </c>
      <c r="S240" s="31">
        <f t="shared" si="411"/>
        <v>40973.198677355576</v>
      </c>
      <c r="T240" s="31">
        <f t="shared" si="412"/>
        <v>8444.8199565138129</v>
      </c>
      <c r="U240" s="31">
        <f t="shared" si="413"/>
        <v>23896.978990600946</v>
      </c>
      <c r="V240" s="31">
        <f t="shared" si="414"/>
        <v>22232.621250836393</v>
      </c>
      <c r="W240" s="31">
        <f t="shared" si="419"/>
        <v>40973.198677355576</v>
      </c>
      <c r="X240" s="31">
        <f t="shared" si="420"/>
        <v>8444.8199565138129</v>
      </c>
      <c r="Y240" s="31">
        <f t="shared" si="421"/>
        <v>23896.978990600946</v>
      </c>
      <c r="Z240" s="31">
        <f t="shared" si="422"/>
        <v>22232.621250836393</v>
      </c>
      <c r="AA240" s="31">
        <f t="shared" si="415"/>
        <v>40997.948419836612</v>
      </c>
      <c r="AB240" s="31">
        <f t="shared" si="416"/>
        <v>9032.0867315434607</v>
      </c>
      <c r="AC240" s="31">
        <f t="shared" si="417"/>
        <v>23936.847560201044</v>
      </c>
      <c r="AD240" s="31">
        <f t="shared" si="418"/>
        <v>22269.713086088039</v>
      </c>
      <c r="AE240" s="31">
        <f t="shared" si="423"/>
        <v>96236.595797669157</v>
      </c>
      <c r="AF240" s="31">
        <f>IFERROR(VLOOKUP(A240,'Allocations By Type'!$D$7:$F$491,3,FALSE),"")</f>
        <v>97705.02</v>
      </c>
      <c r="AG240" s="31" t="str">
        <f t="shared" si="424"/>
        <v/>
      </c>
      <c r="AH240" s="31" t="str">
        <f t="shared" si="425"/>
        <v/>
      </c>
      <c r="AI240" s="31">
        <f t="shared" si="426"/>
        <v>96236.595797669157</v>
      </c>
      <c r="AJ240" s="31">
        <f>AI240/$AI$577*'State Admin 1004(b)'!$B$30*0.01</f>
        <v>915.83549534394149</v>
      </c>
      <c r="AK240" s="31">
        <f t="shared" si="427"/>
        <v>95320.760302325216</v>
      </c>
      <c r="AL240" s="31">
        <f t="shared" si="428"/>
        <v>953.2076030232522</v>
      </c>
      <c r="AM240" s="31">
        <f t="shared" si="429"/>
        <v>94367.552699301959</v>
      </c>
      <c r="AP240" s="31"/>
      <c r="AQ240" s="4">
        <f t="shared" si="330"/>
        <v>0.96584139381274325</v>
      </c>
      <c r="AW240" s="31">
        <f t="shared" ref="AW240:AW271" si="432">IF(AV240="",AM240-AM240/($AM$356-$AV$356+$AU$356)*$AU$356,AV240)</f>
        <v>94065.006840799091</v>
      </c>
      <c r="AX240" s="4">
        <f t="shared" ref="AX240:AX309" si="433">IFERROR(AW240/AF240,"")</f>
        <v>0.96274487064020953</v>
      </c>
      <c r="AZ240" s="174" t="str">
        <f>IFERROR(IF(VLOOKUP(A240,#REF!,11,FALSE)=0,"",VLOOKUP(A240,#REF!,11,FALSE)),"")</f>
        <v/>
      </c>
      <c r="BA240" s="31" t="str">
        <f t="shared" si="333"/>
        <v/>
      </c>
      <c r="BB240" s="31">
        <f t="shared" si="334"/>
        <v>94065.006840799091</v>
      </c>
      <c r="BD240" s="31">
        <f>IFERROR(VLOOKUP(A240,'Title II Hold Harmless'!A$1:B$439,2, FALSE),"")</f>
        <v>11596</v>
      </c>
      <c r="BE240" s="31">
        <f t="shared" si="394"/>
        <v>12884.857315711657</v>
      </c>
      <c r="BF240" s="31">
        <f t="shared" si="395"/>
        <v>12897.324184037816</v>
      </c>
      <c r="BG240" s="31" t="str">
        <f t="shared" si="335"/>
        <v/>
      </c>
      <c r="BH240" s="31">
        <f t="shared" si="336"/>
        <v>12897.324184037816</v>
      </c>
    </row>
    <row r="241" spans="1:60" x14ac:dyDescent="0.3">
      <c r="A241" s="1">
        <v>78401000</v>
      </c>
      <c r="B241">
        <f>VLOOKUP(C241,'NCES ID'!$A$2:$B$3136,2,FALSE)</f>
        <v>400877</v>
      </c>
      <c r="C241">
        <f>VLOOKUP(A241,'State ID'!$A$2:$B$713,2,FALSE)</f>
        <v>91277</v>
      </c>
      <c r="D241" s="192" t="s">
        <v>158</v>
      </c>
      <c r="E241" t="s">
        <v>7</v>
      </c>
      <c r="I241" s="47">
        <f>VLOOKUP($C241,'AzEDS FY17 12-04-16'!$A$1:$D$712,3,FALSE)</f>
        <v>631</v>
      </c>
      <c r="J241" s="47">
        <f>VLOOKUP($C241,'AzEDS FY17 12-04-16'!$A$1:$D$712,4,FALSE)</f>
        <v>610</v>
      </c>
      <c r="K241" s="24">
        <f t="shared" si="430"/>
        <v>631</v>
      </c>
      <c r="L241" s="24">
        <f t="shared" si="410"/>
        <v>301.42612105494305</v>
      </c>
      <c r="M241" s="4">
        <f t="shared" si="431"/>
        <v>0.47769591292384</v>
      </c>
      <c r="N241" s="31" t="str">
        <f>IFERROR(VLOOKUP($B241,#REF!,8,FALSE),"")</f>
        <v/>
      </c>
      <c r="O241" s="31" t="str">
        <f>IFERROR(VLOOKUP($B241,#REF!,9,FALSE),"")</f>
        <v/>
      </c>
      <c r="P241" s="31" t="str">
        <f>IFERROR(VLOOKUP($B241,#REF!,10,FALSE),"")</f>
        <v/>
      </c>
      <c r="Q241" s="31" t="str">
        <f>IFERROR(VLOOKUP($B241,#REF!,11,FALSE),"")</f>
        <v/>
      </c>
      <c r="R241" s="31" t="str">
        <f>IFERROR(VLOOKUP($B241,#REF!,12,FALSE),"")</f>
        <v/>
      </c>
      <c r="S241" s="31">
        <f t="shared" si="411"/>
        <v>145311.92554178432</v>
      </c>
      <c r="T241" s="31">
        <f t="shared" si="412"/>
        <v>29949.652171357127</v>
      </c>
      <c r="U241" s="31">
        <f t="shared" si="413"/>
        <v>84750.913862014975</v>
      </c>
      <c r="V241" s="31">
        <f t="shared" si="414"/>
        <v>78848.249784943022</v>
      </c>
      <c r="W241" s="31">
        <f t="shared" si="419"/>
        <v>145311.92554178432</v>
      </c>
      <c r="X241" s="31">
        <f t="shared" si="420"/>
        <v>29949.652171357127</v>
      </c>
      <c r="Y241" s="31">
        <f t="shared" si="421"/>
        <v>84750.913862014975</v>
      </c>
      <c r="Z241" s="31">
        <f t="shared" si="422"/>
        <v>78848.249784943022</v>
      </c>
      <c r="AA241" s="31">
        <f t="shared" si="415"/>
        <v>145336.67528426537</v>
      </c>
      <c r="AB241" s="31">
        <f t="shared" si="416"/>
        <v>30536.918946386777</v>
      </c>
      <c r="AC241" s="31">
        <f t="shared" si="417"/>
        <v>84790.782431615065</v>
      </c>
      <c r="AD241" s="31">
        <f t="shared" si="418"/>
        <v>78885.341620194667</v>
      </c>
      <c r="AE241" s="31">
        <f t="shared" si="423"/>
        <v>339549.71828246186</v>
      </c>
      <c r="AF241" s="31">
        <f>IFERROR(VLOOKUP(A241,'Allocations By Type'!$D$7:$F$491,3,FALSE),"")</f>
        <v>158031.46</v>
      </c>
      <c r="AG241" s="31">
        <f t="shared" si="424"/>
        <v>13581.988731298476</v>
      </c>
      <c r="AH241" s="31">
        <f t="shared" si="425"/>
        <v>13581.988731298476</v>
      </c>
      <c r="AI241" s="31">
        <f t="shared" si="426"/>
        <v>325967.72955116339</v>
      </c>
      <c r="AJ241" s="31">
        <f>AI241/$AI$577*'State Admin 1004(b)'!$B$30*0.01</f>
        <v>3102.0716660351791</v>
      </c>
      <c r="AK241" s="31">
        <f t="shared" si="427"/>
        <v>322865.65788512822</v>
      </c>
      <c r="AL241" s="31">
        <f t="shared" si="428"/>
        <v>3228.6565788512821</v>
      </c>
      <c r="AM241" s="31">
        <f t="shared" si="429"/>
        <v>319637.00130627694</v>
      </c>
      <c r="AP241" s="31"/>
      <c r="AQ241" s="4">
        <f t="shared" ref="AQ241:AQ309" si="434">IFERROR(AM241/AF241,"")</f>
        <v>2.022616264548065</v>
      </c>
      <c r="AW241" s="31">
        <f t="shared" si="432"/>
        <v>318612.23327740119</v>
      </c>
      <c r="AX241" s="4">
        <f t="shared" si="433"/>
        <v>2.0161316821182389</v>
      </c>
      <c r="AZ241" s="174" t="str">
        <f>IFERROR(IF(VLOOKUP(A241,#REF!,11,FALSE)=0,"",VLOOKUP(A241,#REF!,11,FALSE)),"")</f>
        <v/>
      </c>
      <c r="BA241" s="31" t="str">
        <f t="shared" si="333"/>
        <v/>
      </c>
      <c r="BB241" s="31">
        <f t="shared" si="334"/>
        <v>318612.23327740119</v>
      </c>
      <c r="BD241" s="31" t="str">
        <f>IFERROR(VLOOKUP(A241,'Title II Hold Harmless'!A$1:B$439,2, FALSE),"")</f>
        <v/>
      </c>
      <c r="BE241" s="31">
        <f t="shared" si="394"/>
        <v>4453.6993718885242</v>
      </c>
      <c r="BF241" s="31">
        <f t="shared" si="395"/>
        <v>4458.0085917947417</v>
      </c>
      <c r="BG241" s="31" t="str">
        <f t="shared" si="335"/>
        <v/>
      </c>
      <c r="BH241" s="31">
        <f t="shared" si="336"/>
        <v>4458.0085917947417</v>
      </c>
    </row>
    <row r="242" spans="1:60" x14ac:dyDescent="0.3">
      <c r="A242" s="1">
        <v>78103000</v>
      </c>
      <c r="B242">
        <f>VLOOKUP(C242,'NCES ID'!$A$2:$B$3136,2,FALSE)</f>
        <v>400895</v>
      </c>
      <c r="C242">
        <f>VLOOKUP(A242,'State ID'!$A$2:$B$713,2,FALSE)</f>
        <v>92250</v>
      </c>
      <c r="D242" s="147" t="s">
        <v>159</v>
      </c>
      <c r="E242" t="s">
        <v>7</v>
      </c>
      <c r="I242" s="47">
        <f>VLOOKUP($C242,'Final SEA Counts'!$A$2:$F$709,5,FALSE)</f>
        <v>540</v>
      </c>
      <c r="J242" s="47">
        <f>VLOOKUP($C242,'Final SEA Counts'!$A$2:$F$709,6,FALSE)</f>
        <v>540</v>
      </c>
      <c r="K242" s="24">
        <f t="shared" si="430"/>
        <v>540</v>
      </c>
      <c r="L242" s="24">
        <f t="shared" si="410"/>
        <v>266.8362383109332</v>
      </c>
      <c r="M242" s="4">
        <f t="shared" si="431"/>
        <v>0.49414118205728369</v>
      </c>
      <c r="N242" s="31" t="str">
        <f>IFERROR(VLOOKUP($B242,#REF!,8,FALSE),"")</f>
        <v/>
      </c>
      <c r="O242" s="31" t="str">
        <f>IFERROR(VLOOKUP($B242,#REF!,9,FALSE),"")</f>
        <v/>
      </c>
      <c r="P242" s="31" t="str">
        <f>IFERROR(VLOOKUP($B242,#REF!,10,FALSE),"")</f>
        <v/>
      </c>
      <c r="Q242" s="31" t="str">
        <f>IFERROR(VLOOKUP($B242,#REF!,11,FALSE),"")</f>
        <v/>
      </c>
      <c r="R242" s="31" t="str">
        <f>IFERROR(VLOOKUP($B242,#REF!,12,FALSE),"")</f>
        <v/>
      </c>
      <c r="S242" s="31">
        <f t="shared" si="411"/>
        <v>128636.78654518613</v>
      </c>
      <c r="T242" s="31">
        <f t="shared" si="412"/>
        <v>26512.806840217785</v>
      </c>
      <c r="U242" s="31">
        <f t="shared" si="413"/>
        <v>75025.399156537853</v>
      </c>
      <c r="V242" s="31">
        <f t="shared" si="414"/>
        <v>69800.089973556125</v>
      </c>
      <c r="W242" s="31">
        <f t="shared" si="419"/>
        <v>128636.78654518613</v>
      </c>
      <c r="X242" s="31">
        <f t="shared" si="420"/>
        <v>26512.806840217785</v>
      </c>
      <c r="Y242" s="31">
        <f t="shared" si="421"/>
        <v>75025.399156537853</v>
      </c>
      <c r="Z242" s="31">
        <f t="shared" si="422"/>
        <v>69800.089973556125</v>
      </c>
      <c r="AA242" s="31">
        <f t="shared" si="415"/>
        <v>128661.53628766716</v>
      </c>
      <c r="AB242" s="31">
        <f t="shared" si="416"/>
        <v>27100.073615247435</v>
      </c>
      <c r="AC242" s="31">
        <f t="shared" si="417"/>
        <v>75065.267726137943</v>
      </c>
      <c r="AD242" s="31">
        <f t="shared" si="418"/>
        <v>69837.181808807771</v>
      </c>
      <c r="AE242" s="31">
        <f t="shared" si="423"/>
        <v>300664.05943786027</v>
      </c>
      <c r="AF242" s="31">
        <f>IFERROR(VLOOKUP(A242,'Allocations By Type'!$D$7:$F$491,3,FALSE),"")</f>
        <v>228941.48</v>
      </c>
      <c r="AG242" s="31">
        <f t="shared" si="424"/>
        <v>12026.56237751441</v>
      </c>
      <c r="AH242" s="31">
        <f t="shared" si="425"/>
        <v>12026.56237751441</v>
      </c>
      <c r="AI242" s="31">
        <f t="shared" si="426"/>
        <v>288637.49706034584</v>
      </c>
      <c r="AJ242" s="31">
        <f>AI242/$AI$577*'State Admin 1004(b)'!$B$30*0.01</f>
        <v>2746.8185351325537</v>
      </c>
      <c r="AK242" s="31">
        <f t="shared" si="427"/>
        <v>285890.67852521327</v>
      </c>
      <c r="AL242" s="31">
        <f t="shared" si="428"/>
        <v>2858.9067852521325</v>
      </c>
      <c r="AM242" s="31">
        <f t="shared" si="429"/>
        <v>283031.77173996111</v>
      </c>
      <c r="AP242" s="31"/>
      <c r="AQ242" s="4">
        <f t="shared" si="434"/>
        <v>1.2362625232437612</v>
      </c>
      <c r="AW242" s="31">
        <f t="shared" si="432"/>
        <v>282124.36142873357</v>
      </c>
      <c r="AX242" s="4">
        <f t="shared" si="433"/>
        <v>1.232299019944894</v>
      </c>
      <c r="AZ242" s="174" t="str">
        <f>IFERROR(IF(VLOOKUP(A242,#REF!,11,FALSE)=0,"",VLOOKUP(A242,#REF!,11,FALSE)),"")</f>
        <v/>
      </c>
      <c r="BA242" s="31" t="str">
        <f t="shared" si="333"/>
        <v/>
      </c>
      <c r="BB242" s="31">
        <f t="shared" si="334"/>
        <v>282124.36142873357</v>
      </c>
      <c r="BD242" s="31" t="str">
        <f>IFERROR(VLOOKUP(A242,'Title II Hold Harmless'!A$1:B$439,2, FALSE),"")</f>
        <v/>
      </c>
      <c r="BE242" s="31">
        <f t="shared" si="394"/>
        <v>3927.657757936011</v>
      </c>
      <c r="BF242" s="31">
        <f t="shared" si="395"/>
        <v>3931.4580011904472</v>
      </c>
      <c r="BG242" s="31" t="str">
        <f t="shared" si="335"/>
        <v/>
      </c>
      <c r="BH242" s="31">
        <f t="shared" si="336"/>
        <v>3931.4580011904472</v>
      </c>
    </row>
    <row r="243" spans="1:60" x14ac:dyDescent="0.3">
      <c r="A243" s="1">
        <v>78711000</v>
      </c>
      <c r="B243">
        <f>VLOOKUP(C243,'NCES ID'!$A$2:$B$3136,2,FALSE)</f>
        <v>400052</v>
      </c>
      <c r="C243">
        <f>VLOOKUP(A243,'State ID'!$A$2:$B$713,2,FALSE)</f>
        <v>4335</v>
      </c>
      <c r="D243" s="147" t="s">
        <v>159</v>
      </c>
      <c r="E243" t="s">
        <v>7</v>
      </c>
      <c r="I243" s="47">
        <f>VLOOKUP($C243,'Final SEA Counts'!$A$2:$F$709,5,FALSE)</f>
        <v>251</v>
      </c>
      <c r="J243" s="47">
        <f>VLOOKUP($C243,'Final SEA Counts'!$A$2:$F$709,6,FALSE)</f>
        <v>251</v>
      </c>
      <c r="K243" s="24">
        <f t="shared" si="430"/>
        <v>251</v>
      </c>
      <c r="L243" s="24">
        <f t="shared" si="410"/>
        <v>124.02943669637821</v>
      </c>
      <c r="M243" s="4">
        <f t="shared" si="431"/>
        <v>0.49414118205728369</v>
      </c>
      <c r="N243" s="31" t="str">
        <f>IFERROR(VLOOKUP($B243,#REF!,8,FALSE),"")</f>
        <v/>
      </c>
      <c r="O243" s="31" t="str">
        <f>IFERROR(VLOOKUP($B243,#REF!,9,FALSE),"")</f>
        <v/>
      </c>
      <c r="P243" s="31" t="str">
        <f>IFERROR(VLOOKUP($B243,#REF!,10,FALSE),"")</f>
        <v/>
      </c>
      <c r="Q243" s="31" t="str">
        <f>IFERROR(VLOOKUP($B243,#REF!,11,FALSE),"")</f>
        <v/>
      </c>
      <c r="R243" s="31" t="str">
        <f>IFERROR(VLOOKUP($B243,#REF!,12,FALSE),"")</f>
        <v/>
      </c>
      <c r="S243" s="31">
        <f t="shared" si="411"/>
        <v>59792.28411637355</v>
      </c>
      <c r="T243" s="31">
        <f t="shared" si="412"/>
        <v>12323.545401656786</v>
      </c>
      <c r="U243" s="31">
        <f t="shared" si="413"/>
        <v>34872.917015353705</v>
      </c>
      <c r="V243" s="31">
        <f t="shared" si="414"/>
        <v>32444.115895115901</v>
      </c>
      <c r="W243" s="31">
        <f t="shared" si="419"/>
        <v>59792.28411637355</v>
      </c>
      <c r="X243" s="31">
        <f t="shared" si="420"/>
        <v>12323.545401656786</v>
      </c>
      <c r="Y243" s="31">
        <f t="shared" si="421"/>
        <v>34872.917015353705</v>
      </c>
      <c r="Z243" s="31">
        <f t="shared" si="422"/>
        <v>32444.115895115901</v>
      </c>
      <c r="AA243" s="31">
        <f t="shared" si="415"/>
        <v>59817.033858854586</v>
      </c>
      <c r="AB243" s="31">
        <f t="shared" si="416"/>
        <v>12910.812176686433</v>
      </c>
      <c r="AC243" s="31">
        <f t="shared" si="417"/>
        <v>34912.785584953803</v>
      </c>
      <c r="AD243" s="31">
        <f t="shared" si="418"/>
        <v>32481.207730367547</v>
      </c>
      <c r="AE243" s="31">
        <f t="shared" si="423"/>
        <v>140121.83935086237</v>
      </c>
      <c r="AF243" s="31">
        <f>IFERROR(VLOOKUP(A243,'Allocations By Type'!$D$7:$F$491,3,FALSE),"")</f>
        <v>137393.47</v>
      </c>
      <c r="AG243" s="31">
        <f t="shared" si="424"/>
        <v>5604.8735740344946</v>
      </c>
      <c r="AH243" s="31">
        <f t="shared" si="425"/>
        <v>2728.3693508623692</v>
      </c>
      <c r="AI243" s="31">
        <f t="shared" si="426"/>
        <v>137393.47</v>
      </c>
      <c r="AJ243" s="31">
        <f>AI243/$AI$577*'State Admin 1004(b)'!$B$30*0.01</f>
        <v>1307.5048593678596</v>
      </c>
      <c r="AK243" s="31">
        <f t="shared" si="427"/>
        <v>136085.96514063215</v>
      </c>
      <c r="AL243" s="31">
        <f t="shared" si="428"/>
        <v>1360.8596514063215</v>
      </c>
      <c r="AM243" s="31">
        <f t="shared" si="429"/>
        <v>134725.10548922583</v>
      </c>
      <c r="AP243" s="31"/>
      <c r="AQ243" s="4">
        <f t="shared" si="434"/>
        <v>0.98057866570533392</v>
      </c>
      <c r="AW243" s="31">
        <f t="shared" si="432"/>
        <v>134293.17182626427</v>
      </c>
      <c r="AX243" s="4">
        <f t="shared" si="433"/>
        <v>0.97743489429493458</v>
      </c>
      <c r="AZ243" s="174" t="str">
        <f>IFERROR(IF(VLOOKUP(A243,#REF!,11,FALSE)=0,"",VLOOKUP(A243,#REF!,11,FALSE)),"")</f>
        <v/>
      </c>
      <c r="BA243" s="31" t="str">
        <f t="shared" si="333"/>
        <v/>
      </c>
      <c r="BB243" s="31">
        <f t="shared" si="334"/>
        <v>134293.17182626427</v>
      </c>
      <c r="BD243" s="31">
        <f>IFERROR(VLOOKUP(A243,'Title II Hold Harmless'!A$1:B$439,2, FALSE),"")</f>
        <v>41087</v>
      </c>
      <c r="BE243" s="31">
        <f t="shared" si="394"/>
        <v>42912.633513410998</v>
      </c>
      <c r="BF243" s="31">
        <f t="shared" si="395"/>
        <v>42954.15404704454</v>
      </c>
      <c r="BG243" s="31" t="str">
        <f t="shared" si="335"/>
        <v/>
      </c>
      <c r="BH243" s="31">
        <f t="shared" si="336"/>
        <v>42954.15404704454</v>
      </c>
    </row>
    <row r="244" spans="1:60" x14ac:dyDescent="0.3">
      <c r="A244" s="1">
        <v>78901000</v>
      </c>
      <c r="B244">
        <f>VLOOKUP(C244,'NCES ID'!$A$2:$B$3136,2,FALSE)</f>
        <v>400235</v>
      </c>
      <c r="C244">
        <f>VLOOKUP(A244,'State ID'!$A$2:$B$713,2,FALSE)</f>
        <v>79214</v>
      </c>
      <c r="D244" s="147" t="s">
        <v>160</v>
      </c>
      <c r="E244" t="s">
        <v>7</v>
      </c>
      <c r="I244" s="47">
        <f>VLOOKUP($C244,'Final SEA Counts'!$A$2:$F$709,5,FALSE)</f>
        <v>327</v>
      </c>
      <c r="J244" s="47">
        <f>VLOOKUP($C244,'Final SEA Counts'!$A$2:$F$709,6,FALSE)</f>
        <v>291</v>
      </c>
      <c r="K244" s="24">
        <f t="shared" si="430"/>
        <v>327</v>
      </c>
      <c r="L244" s="24">
        <f t="shared" si="410"/>
        <v>143.79508397866957</v>
      </c>
      <c r="M244" s="4">
        <f t="shared" si="431"/>
        <v>0.43974031797758278</v>
      </c>
      <c r="N244" s="31" t="str">
        <f>IFERROR(VLOOKUP($B244,#REF!,8,FALSE),"")</f>
        <v/>
      </c>
      <c r="O244" s="31" t="str">
        <f>IFERROR(VLOOKUP($B244,#REF!,9,FALSE),"")</f>
        <v/>
      </c>
      <c r="P244" s="31" t="str">
        <f>IFERROR(VLOOKUP($B244,#REF!,10,FALSE),"")</f>
        <v/>
      </c>
      <c r="Q244" s="31" t="str">
        <f>IFERROR(VLOOKUP($B244,#REF!,11,FALSE),"")</f>
        <v/>
      </c>
      <c r="R244" s="31" t="str">
        <f>IFERROR(VLOOKUP($B244,#REF!,12,FALSE),"")</f>
        <v/>
      </c>
      <c r="S244" s="31">
        <f t="shared" si="411"/>
        <v>69320.934971572526</v>
      </c>
      <c r="T244" s="31">
        <f t="shared" si="412"/>
        <v>14287.457019450696</v>
      </c>
      <c r="U244" s="31">
        <f t="shared" si="413"/>
        <v>40430.353989912066</v>
      </c>
      <c r="V244" s="31">
        <f t="shared" si="414"/>
        <v>37614.492930194137</v>
      </c>
      <c r="W244" s="31">
        <f t="shared" si="419"/>
        <v>69320.934971572526</v>
      </c>
      <c r="X244" s="31">
        <f t="shared" si="420"/>
        <v>14287.457019450696</v>
      </c>
      <c r="Y244" s="31">
        <f t="shared" si="421"/>
        <v>40430.353989912066</v>
      </c>
      <c r="Z244" s="31">
        <f t="shared" si="422"/>
        <v>37614.492930194137</v>
      </c>
      <c r="AA244" s="31">
        <f t="shared" si="415"/>
        <v>69345.684714053554</v>
      </c>
      <c r="AB244" s="31">
        <f t="shared" si="416"/>
        <v>14874.723794480344</v>
      </c>
      <c r="AC244" s="31">
        <f t="shared" si="417"/>
        <v>40470.222559512164</v>
      </c>
      <c r="AD244" s="31">
        <f t="shared" si="418"/>
        <v>37651.584765445783</v>
      </c>
      <c r="AE244" s="31">
        <f t="shared" si="423"/>
        <v>162342.21583349185</v>
      </c>
      <c r="AF244" s="31">
        <f>IFERROR(VLOOKUP(A244,'Allocations By Type'!$D$7:$F$491,3,FALSE),"")</f>
        <v>125751.52</v>
      </c>
      <c r="AG244" s="31">
        <f t="shared" si="424"/>
        <v>6493.6886333396742</v>
      </c>
      <c r="AH244" s="31">
        <f t="shared" si="425"/>
        <v>6493.6886333396742</v>
      </c>
      <c r="AI244" s="31">
        <f t="shared" si="426"/>
        <v>155848.52720015217</v>
      </c>
      <c r="AJ244" s="31">
        <f>AI244/$AI$577*'State Admin 1004(b)'!$B$30*0.01</f>
        <v>1483.1323980646462</v>
      </c>
      <c r="AK244" s="31">
        <f t="shared" si="427"/>
        <v>154365.39480208751</v>
      </c>
      <c r="AL244" s="31">
        <f t="shared" si="428"/>
        <v>1543.6539480208751</v>
      </c>
      <c r="AM244" s="31">
        <f t="shared" si="429"/>
        <v>152821.74085406662</v>
      </c>
      <c r="AP244" s="31"/>
      <c r="AQ244" s="4">
        <f t="shared" si="434"/>
        <v>1.2152675439157048</v>
      </c>
      <c r="AW244" s="31">
        <f t="shared" si="432"/>
        <v>152331.78870990194</v>
      </c>
      <c r="AX244" s="4">
        <f t="shared" si="433"/>
        <v>1.2113713512958089</v>
      </c>
      <c r="AZ244" s="174" t="str">
        <f>IFERROR(IF(VLOOKUP(A244,#REF!,11,FALSE)=0,"",VLOOKUP(A244,#REF!,11,FALSE)),"")</f>
        <v/>
      </c>
      <c r="BA244" s="31" t="str">
        <f t="shared" si="333"/>
        <v/>
      </c>
      <c r="BB244" s="31">
        <f t="shared" si="334"/>
        <v>152331.78870990194</v>
      </c>
      <c r="BD244" s="31">
        <f>IFERROR(VLOOKUP(A244,'Title II Hold Harmless'!A$1:B$439,2, FALSE),"")</f>
        <v>6472</v>
      </c>
      <c r="BE244" s="31">
        <f t="shared" si="394"/>
        <v>8617.5439139316641</v>
      </c>
      <c r="BF244" s="31">
        <f t="shared" si="395"/>
        <v>8625.8819018998256</v>
      </c>
      <c r="BG244" s="31" t="str">
        <f t="shared" si="335"/>
        <v/>
      </c>
      <c r="BH244" s="31">
        <f t="shared" si="336"/>
        <v>8625.8819018998256</v>
      </c>
    </row>
    <row r="245" spans="1:60" x14ac:dyDescent="0.3">
      <c r="A245" s="1">
        <v>78785000</v>
      </c>
      <c r="B245">
        <f>VLOOKUP(C245,'NCES ID'!$A$2:$B$3136,2,FALSE)</f>
        <v>400191</v>
      </c>
      <c r="C245">
        <f>VLOOKUP(A245,'State ID'!$A$2:$B$713,2,FALSE)</f>
        <v>78783</v>
      </c>
      <c r="D245" s="147" t="s">
        <v>161</v>
      </c>
      <c r="E245" t="s">
        <v>7</v>
      </c>
      <c r="I245" s="47">
        <f>VLOOKUP($C245,'Final SEA Counts'!$A$2:$F$709,5,FALSE)</f>
        <v>1076</v>
      </c>
      <c r="J245" s="47">
        <f>VLOOKUP($C245,'Final SEA Counts'!$A$2:$F$709,6,FALSE)</f>
        <v>941</v>
      </c>
      <c r="K245" s="24">
        <f t="shared" si="430"/>
        <v>1076</v>
      </c>
      <c r="L245" s="24">
        <f t="shared" si="410"/>
        <v>464.98685231590395</v>
      </c>
      <c r="M245" s="4">
        <f t="shared" si="431"/>
        <v>0.43214391479173231</v>
      </c>
      <c r="N245" s="31" t="str">
        <f>IFERROR(VLOOKUP($B245,#REF!,8,FALSE),"")</f>
        <v/>
      </c>
      <c r="O245" s="31" t="str">
        <f>IFERROR(VLOOKUP($B245,#REF!,9,FALSE),"")</f>
        <v/>
      </c>
      <c r="P245" s="31" t="str">
        <f>IFERROR(VLOOKUP($B245,#REF!,10,FALSE),"")</f>
        <v/>
      </c>
      <c r="Q245" s="31" t="str">
        <f>IFERROR(VLOOKUP($B245,#REF!,11,FALSE),"")</f>
        <v/>
      </c>
      <c r="R245" s="31" t="str">
        <f>IFERROR(VLOOKUP($B245,#REF!,12,FALSE),"")</f>
        <v/>
      </c>
      <c r="S245" s="31">
        <f t="shared" si="411"/>
        <v>224161.5113685558</v>
      </c>
      <c r="T245" s="31">
        <f t="shared" si="412"/>
        <v>46201.02080860173</v>
      </c>
      <c r="U245" s="31">
        <f t="shared" si="413"/>
        <v>130738.70482648541</v>
      </c>
      <c r="V245" s="31">
        <f t="shared" si="414"/>
        <v>121633.11975021538</v>
      </c>
      <c r="W245" s="31">
        <f t="shared" si="419"/>
        <v>224161.5113685558</v>
      </c>
      <c r="X245" s="31">
        <f t="shared" si="420"/>
        <v>46201.02080860173</v>
      </c>
      <c r="Y245" s="31">
        <f t="shared" si="421"/>
        <v>130738.70482648541</v>
      </c>
      <c r="Z245" s="31">
        <f t="shared" si="422"/>
        <v>121633.11975021538</v>
      </c>
      <c r="AA245" s="31">
        <f t="shared" si="415"/>
        <v>224186.26111103685</v>
      </c>
      <c r="AB245" s="31">
        <f t="shared" si="416"/>
        <v>46788.287583631376</v>
      </c>
      <c r="AC245" s="31">
        <f t="shared" si="417"/>
        <v>130778.5733960855</v>
      </c>
      <c r="AD245" s="31">
        <f t="shared" si="418"/>
        <v>121670.21158546703</v>
      </c>
      <c r="AE245" s="31">
        <f t="shared" si="423"/>
        <v>523423.33367622079</v>
      </c>
      <c r="AF245" s="31">
        <f>IFERROR(VLOOKUP(A245,'Allocations By Type'!$D$7:$F$491,3,FALSE),"")</f>
        <v>285825.40000000002</v>
      </c>
      <c r="AG245" s="31">
        <f t="shared" si="424"/>
        <v>20936.933347048831</v>
      </c>
      <c r="AH245" s="31">
        <f t="shared" si="425"/>
        <v>20936.933347048831</v>
      </c>
      <c r="AI245" s="31">
        <f t="shared" si="426"/>
        <v>502486.40032917197</v>
      </c>
      <c r="AJ245" s="31">
        <f>AI245/$AI$577*'State Admin 1004(b)'!$B$30*0.01</f>
        <v>4781.9114707318768</v>
      </c>
      <c r="AK245" s="31">
        <f t="shared" si="427"/>
        <v>497704.48885844008</v>
      </c>
      <c r="AL245" s="31">
        <f t="shared" si="428"/>
        <v>4977.0448885844007</v>
      </c>
      <c r="AM245" s="31">
        <f t="shared" si="429"/>
        <v>492727.44396985567</v>
      </c>
      <c r="AP245" s="31"/>
      <c r="AQ245" s="4">
        <f t="shared" si="434"/>
        <v>1.7238756386586203</v>
      </c>
      <c r="AW245" s="31">
        <f t="shared" si="432"/>
        <v>491147.74159038631</v>
      </c>
      <c r="AX245" s="4">
        <f t="shared" si="433"/>
        <v>1.7183488297064791</v>
      </c>
      <c r="AZ245" s="174" t="str">
        <f>IFERROR(IF(VLOOKUP(A245,#REF!,11,FALSE)=0,"",VLOOKUP(A245,#REF!,11,FALSE)),"")</f>
        <v/>
      </c>
      <c r="BA245" s="31" t="str">
        <f t="shared" si="333"/>
        <v/>
      </c>
      <c r="BB245" s="31">
        <f t="shared" si="334"/>
        <v>491147.74159038631</v>
      </c>
      <c r="BD245" s="31">
        <f>IFERROR(VLOOKUP(A245,'Title II Hold Harmless'!A$1:B$439,2, FALSE),"")</f>
        <v>849</v>
      </c>
      <c r="BE245" s="31">
        <f t="shared" si="394"/>
        <v>7801.9552732995089</v>
      </c>
      <c r="BF245" s="31">
        <f t="shared" si="395"/>
        <v>7809.5041305895465</v>
      </c>
      <c r="BG245" s="31" t="str">
        <f t="shared" si="335"/>
        <v/>
      </c>
      <c r="BH245" s="31">
        <f t="shared" si="336"/>
        <v>7809.5041305895465</v>
      </c>
    </row>
    <row r="246" spans="1:60" x14ac:dyDescent="0.3">
      <c r="A246" s="1">
        <v>78608000</v>
      </c>
      <c r="B246">
        <f>VLOOKUP(C246,'NCES ID'!$A$2:$B$3136,2,FALSE)</f>
        <v>400144</v>
      </c>
      <c r="C246">
        <f>VLOOKUP(A246,'State ID'!$A$2:$B$713,2,FALSE)</f>
        <v>4300</v>
      </c>
      <c r="D246" s="147" t="s">
        <v>165</v>
      </c>
      <c r="E246" t="s">
        <v>7</v>
      </c>
      <c r="I246" s="47">
        <f>VLOOKUP($C246,'Final SEA Counts'!$A$2:$F$709,5,FALSE)</f>
        <v>94</v>
      </c>
      <c r="J246" s="47">
        <f>VLOOKUP($C246,'Final SEA Counts'!$A$2:$F$709,6,FALSE)</f>
        <v>85</v>
      </c>
      <c r="K246" s="24">
        <f t="shared" si="430"/>
        <v>94</v>
      </c>
      <c r="L246" s="24">
        <f t="shared" si="410"/>
        <v>42.002000474869114</v>
      </c>
      <c r="M246" s="4">
        <f t="shared" si="431"/>
        <v>0.44682979228584163</v>
      </c>
      <c r="N246" s="31" t="str">
        <f>IFERROR(VLOOKUP($B246,#REF!,8,FALSE),"")</f>
        <v/>
      </c>
      <c r="O246" s="31" t="str">
        <f>IFERROR(VLOOKUP($B246,#REF!,9,FALSE),"")</f>
        <v/>
      </c>
      <c r="P246" s="31" t="str">
        <f>IFERROR(VLOOKUP($B246,#REF!,10,FALSE),"")</f>
        <v/>
      </c>
      <c r="Q246" s="31" t="str">
        <f>IFERROR(VLOOKUP($B246,#REF!,11,FALSE),"")</f>
        <v/>
      </c>
      <c r="R246" s="31" t="str">
        <f>IFERROR(VLOOKUP($B246,#REF!,12,FALSE),"")</f>
        <v/>
      </c>
      <c r="S246" s="31">
        <f t="shared" si="411"/>
        <v>20248.383067297815</v>
      </c>
      <c r="T246" s="31">
        <f t="shared" si="412"/>
        <v>4173.3121878120583</v>
      </c>
      <c r="U246" s="31">
        <f t="shared" si="413"/>
        <v>11809.553570936514</v>
      </c>
      <c r="V246" s="31">
        <f t="shared" si="414"/>
        <v>10987.051199541242</v>
      </c>
      <c r="W246" s="31">
        <f t="shared" si="419"/>
        <v>20248.383067297815</v>
      </c>
      <c r="X246" s="31">
        <f t="shared" si="420"/>
        <v>4173.3121878120583</v>
      </c>
      <c r="Y246" s="31">
        <f t="shared" si="421"/>
        <v>11809.553570936514</v>
      </c>
      <c r="Z246" s="31">
        <f t="shared" si="422"/>
        <v>10987.051199541242</v>
      </c>
      <c r="AA246" s="31">
        <f t="shared" si="415"/>
        <v>20273.13280977885</v>
      </c>
      <c r="AB246" s="31">
        <f t="shared" si="416"/>
        <v>4760.578962841706</v>
      </c>
      <c r="AC246" s="31">
        <f t="shared" si="417"/>
        <v>11849.42214053661</v>
      </c>
      <c r="AD246" s="31">
        <f t="shared" si="418"/>
        <v>11024.143034792887</v>
      </c>
      <c r="AE246" s="31">
        <f t="shared" si="423"/>
        <v>47907.276947950057</v>
      </c>
      <c r="AF246" s="31">
        <f>IFERROR(VLOOKUP(A246,'Allocations By Type'!$D$7:$F$491,3,FALSE),"")</f>
        <v>52647.839999999997</v>
      </c>
      <c r="AG246" s="31" t="str">
        <f t="shared" si="424"/>
        <v/>
      </c>
      <c r="AH246" s="31" t="str">
        <f t="shared" si="425"/>
        <v/>
      </c>
      <c r="AI246" s="31">
        <f t="shared" si="426"/>
        <v>47907.276947950057</v>
      </c>
      <c r="AJ246" s="31">
        <f>AI246/$AI$577*'State Admin 1004(b)'!$B$30*0.01</f>
        <v>455.90956694322182</v>
      </c>
      <c r="AK246" s="31">
        <f t="shared" si="427"/>
        <v>47451.367381006836</v>
      </c>
      <c r="AL246" s="31">
        <f t="shared" si="428"/>
        <v>474.51367381006838</v>
      </c>
      <c r="AM246" s="31">
        <f t="shared" si="429"/>
        <v>46976.853707196766</v>
      </c>
      <c r="AP246" s="31"/>
      <c r="AQ246" s="4">
        <f t="shared" si="434"/>
        <v>0.89228454020519676</v>
      </c>
      <c r="AW246" s="31">
        <f t="shared" si="432"/>
        <v>46826.244179577719</v>
      </c>
      <c r="AX246" s="4">
        <f t="shared" si="433"/>
        <v>0.88942384302143684</v>
      </c>
      <c r="AZ246" s="174" t="str">
        <f>IFERROR(IF(VLOOKUP(A246,#REF!,11,FALSE)=0,"",VLOOKUP(A246,#REF!,11,FALSE)),"")</f>
        <v/>
      </c>
      <c r="BA246" s="31" t="str">
        <f t="shared" si="333"/>
        <v/>
      </c>
      <c r="BB246" s="31">
        <f t="shared" si="334"/>
        <v>46826.244179577719</v>
      </c>
      <c r="BD246" s="31">
        <f>IFERROR(VLOOKUP(A246,'Title II Hold Harmless'!A$1:B$439,2, FALSE),"")</f>
        <v>3338</v>
      </c>
      <c r="BE246" s="31">
        <f t="shared" si="394"/>
        <v>3963.4856220657239</v>
      </c>
      <c r="BF246" s="31">
        <f t="shared" si="395"/>
        <v>3967.3205309166483</v>
      </c>
      <c r="BG246" s="31" t="str">
        <f t="shared" si="335"/>
        <v/>
      </c>
      <c r="BH246" s="31">
        <f t="shared" si="336"/>
        <v>3967.3205309166483</v>
      </c>
    </row>
    <row r="247" spans="1:60" x14ac:dyDescent="0.3">
      <c r="A247" s="1">
        <v>78611000</v>
      </c>
      <c r="B247">
        <f>VLOOKUP(C247,'NCES ID'!$A$2:$B$3136,2,FALSE)</f>
        <v>400102</v>
      </c>
      <c r="C247">
        <f>VLOOKUP(A247,'State ID'!$A$2:$B$713,2,FALSE)</f>
        <v>4303</v>
      </c>
      <c r="D247" s="147" t="s">
        <v>175</v>
      </c>
      <c r="E247" t="s">
        <v>7</v>
      </c>
      <c r="I247" s="47">
        <f>VLOOKUP($C247,'Final SEA Counts'!$A$2:$F$709,5,FALSE)</f>
        <v>372</v>
      </c>
      <c r="J247" s="47">
        <f>VLOOKUP($C247,'Final SEA Counts'!$A$2:$F$709,6,FALSE)</f>
        <v>372</v>
      </c>
      <c r="K247" s="24">
        <f t="shared" si="430"/>
        <v>372</v>
      </c>
      <c r="L247" s="24">
        <f t="shared" si="410"/>
        <v>183.82051972530954</v>
      </c>
      <c r="M247" s="4">
        <f t="shared" si="431"/>
        <v>0.49414118205728369</v>
      </c>
      <c r="N247" s="31" t="str">
        <f>IFERROR(VLOOKUP($B247,#REF!,8,FALSE),"")</f>
        <v/>
      </c>
      <c r="O247" s="31" t="str">
        <f>IFERROR(VLOOKUP($B247,#REF!,9,FALSE),"")</f>
        <v/>
      </c>
      <c r="P247" s="31" t="str">
        <f>IFERROR(VLOOKUP($B247,#REF!,10,FALSE),"")</f>
        <v/>
      </c>
      <c r="Q247" s="31" t="str">
        <f>IFERROR(VLOOKUP($B247,#REF!,11,FALSE),"")</f>
        <v/>
      </c>
      <c r="R247" s="31" t="str">
        <f>IFERROR(VLOOKUP($B247,#REF!,12,FALSE),"")</f>
        <v/>
      </c>
      <c r="S247" s="31">
        <f t="shared" si="411"/>
        <v>88616.452953350439</v>
      </c>
      <c r="T247" s="31">
        <f t="shared" si="412"/>
        <v>18264.378045483365</v>
      </c>
      <c r="U247" s="31">
        <f t="shared" si="413"/>
        <v>51684.163863392743</v>
      </c>
      <c r="V247" s="31">
        <f t="shared" si="414"/>
        <v>48084.506426227548</v>
      </c>
      <c r="W247" s="31">
        <f t="shared" si="419"/>
        <v>88616.452953350439</v>
      </c>
      <c r="X247" s="31">
        <f t="shared" si="420"/>
        <v>18264.378045483365</v>
      </c>
      <c r="Y247" s="31">
        <f t="shared" si="421"/>
        <v>51684.163863392743</v>
      </c>
      <c r="Z247" s="31">
        <f t="shared" si="422"/>
        <v>48084.506426227548</v>
      </c>
      <c r="AA247" s="31">
        <f t="shared" si="415"/>
        <v>88641.202695831467</v>
      </c>
      <c r="AB247" s="31">
        <f t="shared" si="416"/>
        <v>18851.644820513015</v>
      </c>
      <c r="AC247" s="31">
        <f t="shared" si="417"/>
        <v>51724.032432992841</v>
      </c>
      <c r="AD247" s="31">
        <f t="shared" si="418"/>
        <v>48121.598261479194</v>
      </c>
      <c r="AE247" s="31">
        <f t="shared" si="423"/>
        <v>207338.47821081654</v>
      </c>
      <c r="AF247" s="31">
        <f>IFERROR(VLOOKUP(A247,'Allocations By Type'!$D$7:$F$491,3,FALSE),"")</f>
        <v>196565.86</v>
      </c>
      <c r="AG247" s="31">
        <f t="shared" si="424"/>
        <v>8293.5391284326615</v>
      </c>
      <c r="AH247" s="31">
        <f t="shared" si="425"/>
        <v>8293.5391284326615</v>
      </c>
      <c r="AI247" s="31">
        <f t="shared" si="426"/>
        <v>199044.93908238388</v>
      </c>
      <c r="AJ247" s="31">
        <f>AI247/$AI$577*'State Admin 1004(b)'!$B$30*0.01</f>
        <v>1894.2110209662551</v>
      </c>
      <c r="AK247" s="31">
        <f t="shared" si="427"/>
        <v>197150.72806141761</v>
      </c>
      <c r="AL247" s="31">
        <f t="shared" si="428"/>
        <v>1971.5072806141761</v>
      </c>
      <c r="AM247" s="31">
        <f t="shared" si="429"/>
        <v>195179.22078080344</v>
      </c>
      <c r="AP247" s="31"/>
      <c r="AQ247" s="4">
        <f t="shared" si="434"/>
        <v>0.99294567622680485</v>
      </c>
      <c r="AW247" s="31">
        <f t="shared" si="432"/>
        <v>194553.46899193156</v>
      </c>
      <c r="AX247" s="4">
        <f t="shared" si="433"/>
        <v>0.98976225572401821</v>
      </c>
      <c r="AZ247" s="174" t="str">
        <f>IFERROR(IF(VLOOKUP(A247,#REF!,11,FALSE)=0,"",VLOOKUP(A247,#REF!,11,FALSE)),"")</f>
        <v/>
      </c>
      <c r="BA247" s="31" t="str">
        <f t="shared" si="333"/>
        <v/>
      </c>
      <c r="BB247" s="31">
        <f t="shared" si="334"/>
        <v>194553.46899193156</v>
      </c>
      <c r="BD247" s="31">
        <f>IFERROR(VLOOKUP(A247,'Title II Hold Harmless'!A$1:B$439,2, FALSE),"")</f>
        <v>14243</v>
      </c>
      <c r="BE247" s="31">
        <f t="shared" si="394"/>
        <v>16948.719788800365</v>
      </c>
      <c r="BF247" s="31">
        <f t="shared" si="395"/>
        <v>16965.118686570564</v>
      </c>
      <c r="BG247" s="31" t="str">
        <f t="shared" si="335"/>
        <v/>
      </c>
      <c r="BH247" s="31">
        <f t="shared" si="336"/>
        <v>16965.118686570564</v>
      </c>
    </row>
    <row r="248" spans="1:60" x14ac:dyDescent="0.3">
      <c r="A248" s="1">
        <v>78774000</v>
      </c>
      <c r="B248">
        <f>VLOOKUP(C248,'NCES ID'!$A$2:$B$3136,2,FALSE)</f>
        <v>400145</v>
      </c>
      <c r="C248">
        <f>VLOOKUP(A248,'State ID'!$A$2:$B$713,2,FALSE)</f>
        <v>6372</v>
      </c>
      <c r="D248" s="147" t="s">
        <v>178</v>
      </c>
      <c r="E248" t="s">
        <v>7</v>
      </c>
      <c r="I248" s="47">
        <f>VLOOKUP($C248,'Final SEA Counts'!$A$2:$F$709,5,FALSE)</f>
        <v>30</v>
      </c>
      <c r="J248" s="47">
        <f>VLOOKUP($C248,'Final SEA Counts'!$A$2:$F$709,6,FALSE)</f>
        <v>23</v>
      </c>
      <c r="K248" s="24">
        <f t="shared" si="430"/>
        <v>30</v>
      </c>
      <c r="L248" s="24">
        <f t="shared" si="410"/>
        <v>11.365247187317525</v>
      </c>
      <c r="M248" s="4">
        <f t="shared" ref="M248:M318" si="435">L248/K248</f>
        <v>0.37884157291058418</v>
      </c>
      <c r="N248" s="31" t="str">
        <f>IFERROR(VLOOKUP($B248,#REF!,8,FALSE),"")</f>
        <v/>
      </c>
      <c r="O248" s="31" t="str">
        <f>IFERROR(VLOOKUP($B248,#REF!,9,FALSE),"")</f>
        <v/>
      </c>
      <c r="P248" s="31" t="str">
        <f>IFERROR(VLOOKUP($B248,#REF!,10,FALSE),"")</f>
        <v/>
      </c>
      <c r="Q248" s="31" t="str">
        <f>IFERROR(VLOOKUP($B248,#REF!,11,FALSE),"")</f>
        <v/>
      </c>
      <c r="R248" s="31" t="str">
        <f>IFERROR(VLOOKUP($B248,#REF!,12,FALSE),"")</f>
        <v/>
      </c>
      <c r="S248" s="31">
        <f t="shared" si="411"/>
        <v>5478.9742417394091</v>
      </c>
      <c r="T248" s="31">
        <f t="shared" si="412"/>
        <v>1129.2491802314983</v>
      </c>
      <c r="U248" s="31">
        <f t="shared" si="413"/>
        <v>3195.5262603710567</v>
      </c>
      <c r="V248" s="31">
        <f t="shared" si="414"/>
        <v>2972.966795169983</v>
      </c>
      <c r="W248" s="31">
        <f t="shared" si="419"/>
        <v>5478.9742417394091</v>
      </c>
      <c r="X248" s="31">
        <f t="shared" si="420"/>
        <v>1129.2491802314983</v>
      </c>
      <c r="Y248" s="31">
        <f t="shared" si="421"/>
        <v>3195.5262603710567</v>
      </c>
      <c r="Z248" s="31">
        <f t="shared" si="422"/>
        <v>2972.966795169983</v>
      </c>
      <c r="AA248" s="31">
        <f t="shared" si="415"/>
        <v>5503.7239842204444</v>
      </c>
      <c r="AB248" s="31">
        <f t="shared" si="416"/>
        <v>1716.5159552611462</v>
      </c>
      <c r="AC248" s="31">
        <f t="shared" si="417"/>
        <v>3235.3948299711528</v>
      </c>
      <c r="AD248" s="31">
        <f t="shared" si="418"/>
        <v>3010.0586304216281</v>
      </c>
      <c r="AE248" s="31">
        <f t="shared" si="423"/>
        <v>13465.693399874372</v>
      </c>
      <c r="AF248" s="31">
        <f>IFERROR(VLOOKUP(A248,'Allocations By Type'!$D$7:$F$491,3,FALSE),"")</f>
        <v>13036.34</v>
      </c>
      <c r="AG248" s="31">
        <f t="shared" si="424"/>
        <v>538.62773599497484</v>
      </c>
      <c r="AH248" s="31">
        <f t="shared" si="425"/>
        <v>429.35339987437146</v>
      </c>
      <c r="AI248" s="31">
        <f t="shared" si="426"/>
        <v>13036.34</v>
      </c>
      <c r="AJ248" s="31">
        <f>AI248/$AI$577*'State Admin 1004(b)'!$B$30*0.01</f>
        <v>124.06032032214925</v>
      </c>
      <c r="AK248" s="31">
        <f t="shared" si="427"/>
        <v>12912.279679677851</v>
      </c>
      <c r="AL248" s="31">
        <f t="shared" si="428"/>
        <v>129.12279679677852</v>
      </c>
      <c r="AM248" s="31">
        <f t="shared" si="429"/>
        <v>12783.156882881072</v>
      </c>
      <c r="AP248" s="31"/>
      <c r="AQ248" s="4">
        <f t="shared" si="434"/>
        <v>0.98057866570533392</v>
      </c>
      <c r="AW248" s="31">
        <f t="shared" si="432"/>
        <v>12742.173609892827</v>
      </c>
      <c r="AX248" s="4">
        <f t="shared" si="433"/>
        <v>0.97743489429493446</v>
      </c>
      <c r="AZ248" s="174" t="str">
        <f>IFERROR(IF(VLOOKUP(A248,#REF!,11,FALSE)=0,"",VLOOKUP(A248,#REF!,11,FALSE)),"")</f>
        <v/>
      </c>
      <c r="BA248" s="31" t="str">
        <f t="shared" ref="BA248:BA318" si="436">IF(AZ248&lt;0,AW248*AZ248/100,"")</f>
        <v/>
      </c>
      <c r="BB248" s="31">
        <f t="shared" ref="BB248:BB319" si="437">IF(BA248&lt;0,AW248+BA248,AW248)</f>
        <v>12742.173609892827</v>
      </c>
      <c r="BD248" s="31">
        <f>IFERROR(VLOOKUP(A248,'Title II Hold Harmless'!A$1:B$439,2, FALSE),"")</f>
        <v>974</v>
      </c>
      <c r="BE248" s="31">
        <f t="shared" ref="BE248:BE279" si="438">IFERROR($BD$582*(0.8*($L248/$L$579)+0.2*($K248/$K$579))+$BD248,$BD$582*(0.8*($L248/$L$579)+0.2*($K248/$K$579)))</f>
        <v>1146.9227245533464</v>
      </c>
      <c r="BF248" s="31">
        <f t="shared" ref="BF248:BF279" si="439">$BD$583*BE248</f>
        <v>1148.0324407292369</v>
      </c>
      <c r="BG248" s="31" t="str">
        <f t="shared" ref="BG248:BG318" si="440">IF(AZ248&lt;0,BF248*AZ248/100,"")</f>
        <v/>
      </c>
      <c r="BH248" s="31">
        <f t="shared" ref="BH248:BH319" si="441">IF(BG248&lt;0,BF248+BG248,BF248)</f>
        <v>1148.0324407292369</v>
      </c>
    </row>
    <row r="249" spans="1:60" x14ac:dyDescent="0.3">
      <c r="A249" s="1">
        <v>78708000</v>
      </c>
      <c r="B249">
        <f>VLOOKUP(C249,'NCES ID'!$A$2:$B$3136,2,FALSE)</f>
        <v>400124</v>
      </c>
      <c r="C249">
        <f>VLOOKUP(A249,'State ID'!$A$2:$B$713,2,FALSE)</f>
        <v>4332</v>
      </c>
      <c r="D249" s="147" t="s">
        <v>179</v>
      </c>
      <c r="E249" t="s">
        <v>7</v>
      </c>
      <c r="I249" s="47">
        <f>VLOOKUP($C249,'Final SEA Counts'!$A$2:$F$709,5,FALSE)</f>
        <v>59</v>
      </c>
      <c r="J249" s="47">
        <f>VLOOKUP($C249,'Final SEA Counts'!$A$2:$F$709,6,FALSE)</f>
        <v>49</v>
      </c>
      <c r="K249" s="24">
        <f t="shared" si="430"/>
        <v>59</v>
      </c>
      <c r="L249" s="24">
        <f t="shared" si="410"/>
        <v>24.212917920806902</v>
      </c>
      <c r="M249" s="4">
        <f t="shared" si="435"/>
        <v>0.41038843933571018</v>
      </c>
      <c r="N249" s="31" t="str">
        <f>IFERROR(VLOOKUP($B249,#REF!,8,FALSE),"")</f>
        <v/>
      </c>
      <c r="O249" s="31" t="str">
        <f>IFERROR(VLOOKUP($B249,#REF!,9,FALSE),"")</f>
        <v/>
      </c>
      <c r="P249" s="31" t="str">
        <f>IFERROR(VLOOKUP($B249,#REF!,10,FALSE),"")</f>
        <v/>
      </c>
      <c r="Q249" s="31" t="str">
        <f>IFERROR(VLOOKUP($B249,#REF!,11,FALSE),"")</f>
        <v/>
      </c>
      <c r="R249" s="31" t="str">
        <f>IFERROR(VLOOKUP($B249,#REF!,12,FALSE),"")</f>
        <v/>
      </c>
      <c r="S249" s="31">
        <f t="shared" si="411"/>
        <v>11672.59729761874</v>
      </c>
      <c r="T249" s="31">
        <f t="shared" si="412"/>
        <v>2405.7917317975398</v>
      </c>
      <c r="U249" s="31">
        <f t="shared" si="413"/>
        <v>6807.8602938339909</v>
      </c>
      <c r="V249" s="31">
        <f t="shared" si="414"/>
        <v>6333.7118679708337</v>
      </c>
      <c r="W249" s="31">
        <f t="shared" si="419"/>
        <v>11672.59729761874</v>
      </c>
      <c r="X249" s="31">
        <f t="shared" si="420"/>
        <v>2405.7917317975398</v>
      </c>
      <c r="Y249" s="31">
        <f t="shared" si="421"/>
        <v>6807.8602938339909</v>
      </c>
      <c r="Z249" s="31">
        <f t="shared" si="422"/>
        <v>6333.7118679708337</v>
      </c>
      <c r="AA249" s="31">
        <f t="shared" si="415"/>
        <v>11697.347040099776</v>
      </c>
      <c r="AB249" s="31">
        <f t="shared" si="416"/>
        <v>2993.058506827188</v>
      </c>
      <c r="AC249" s="31">
        <f t="shared" si="417"/>
        <v>6847.7288634340875</v>
      </c>
      <c r="AD249" s="31">
        <f t="shared" si="418"/>
        <v>6370.8037032224784</v>
      </c>
      <c r="AE249" s="31">
        <f t="shared" si="423"/>
        <v>27908.938113583532</v>
      </c>
      <c r="AF249" s="31">
        <f>IFERROR(VLOOKUP(A249,'Allocations By Type'!$D$7:$F$491,3,FALSE),"")</f>
        <v>50107.78</v>
      </c>
      <c r="AG249" s="31" t="str">
        <f t="shared" si="424"/>
        <v/>
      </c>
      <c r="AH249" s="31" t="str">
        <f t="shared" si="425"/>
        <v/>
      </c>
      <c r="AI249" s="31">
        <f t="shared" si="426"/>
        <v>27908.938113583532</v>
      </c>
      <c r="AJ249" s="31">
        <f>AI249/$AI$577*'State Admin 1004(b)'!$B$30*0.01</f>
        <v>265.59538967395855</v>
      </c>
      <c r="AK249" s="31">
        <f t="shared" si="427"/>
        <v>27643.342723909573</v>
      </c>
      <c r="AL249" s="31">
        <f t="shared" si="428"/>
        <v>276.43342723909575</v>
      </c>
      <c r="AM249" s="31">
        <f t="shared" si="429"/>
        <v>27366.909296670477</v>
      </c>
      <c r="AP249" s="31"/>
      <c r="AQ249" s="4">
        <f t="shared" si="434"/>
        <v>0.54616088153716802</v>
      </c>
      <c r="AW249" s="31">
        <f t="shared" si="432"/>
        <v>27279.16997493439</v>
      </c>
      <c r="AX249" s="4">
        <f t="shared" si="433"/>
        <v>0.54440986958381299</v>
      </c>
      <c r="AZ249" s="174" t="str">
        <f>IFERROR(IF(VLOOKUP(A249,#REF!,11,FALSE)=0,"",VLOOKUP(A249,#REF!,11,FALSE)),"")</f>
        <v/>
      </c>
      <c r="BA249" s="31" t="str">
        <f t="shared" si="436"/>
        <v/>
      </c>
      <c r="BB249" s="31">
        <f t="shared" si="437"/>
        <v>27279.16997493439</v>
      </c>
      <c r="BD249" s="31" t="str">
        <f>IFERROR(VLOOKUP(A249,'Title II Hold Harmless'!A$1:B$439,2, FALSE),"")</f>
        <v/>
      </c>
      <c r="BE249" s="31">
        <f t="shared" si="438"/>
        <v>364.44657122614814</v>
      </c>
      <c r="BF249" s="31">
        <f t="shared" si="439"/>
        <v>364.79919503129156</v>
      </c>
      <c r="BG249" s="31" t="str">
        <f t="shared" si="440"/>
        <v/>
      </c>
      <c r="BH249" s="31">
        <f t="shared" si="441"/>
        <v>364.79919503129156</v>
      </c>
    </row>
    <row r="250" spans="1:60" x14ac:dyDescent="0.3">
      <c r="A250" s="1">
        <v>78985000</v>
      </c>
      <c r="B250">
        <f>VLOOKUP(C250,'NCES ID'!$A$2:$B$3136,2,FALSE)</f>
        <v>400649</v>
      </c>
      <c r="C250">
        <f>VLOOKUP(A250,'State ID'!$A$2:$B$713,2,FALSE)</f>
        <v>81076</v>
      </c>
      <c r="D250" s="147" t="s">
        <v>195</v>
      </c>
      <c r="E250" t="s">
        <v>7</v>
      </c>
      <c r="I250" s="47">
        <f>VLOOKUP($C250,'Final SEA Counts'!$A$2:$F$709,5,FALSE)</f>
        <v>835</v>
      </c>
      <c r="J250" s="47">
        <f>VLOOKUP($C250,'Final SEA Counts'!$A$2:$F$709,6,FALSE)</f>
        <v>602</v>
      </c>
      <c r="K250" s="24">
        <f t="shared" si="430"/>
        <v>835</v>
      </c>
      <c r="L250" s="24">
        <f t="shared" si="410"/>
        <v>297.47299159848478</v>
      </c>
      <c r="M250" s="4">
        <f t="shared" si="435"/>
        <v>0.35625507975866438</v>
      </c>
      <c r="N250" s="31" t="str">
        <f>IFERROR(VLOOKUP($B250,#REF!,8,FALSE),"")</f>
        <v/>
      </c>
      <c r="O250" s="31" t="str">
        <f>IFERROR(VLOOKUP($B250,#REF!,9,FALSE),"")</f>
        <v/>
      </c>
      <c r="P250" s="31" t="str">
        <f>IFERROR(VLOOKUP($B250,#REF!,10,FALSE),"")</f>
        <v/>
      </c>
      <c r="Q250" s="31" t="str">
        <f>IFERROR(VLOOKUP($B250,#REF!,11,FALSE),"")</f>
        <v/>
      </c>
      <c r="R250" s="31" t="str">
        <f>IFERROR(VLOOKUP($B250,#REF!,12,FALSE),"")</f>
        <v/>
      </c>
      <c r="S250" s="31">
        <f t="shared" si="411"/>
        <v>143406.19537074454</v>
      </c>
      <c r="T250" s="31">
        <f t="shared" si="412"/>
        <v>29556.869847798345</v>
      </c>
      <c r="U250" s="31">
        <f t="shared" si="413"/>
        <v>83639.426467103316</v>
      </c>
      <c r="V250" s="31">
        <f t="shared" si="414"/>
        <v>77814.174377927382</v>
      </c>
      <c r="W250" s="31">
        <f t="shared" si="419"/>
        <v>143406.19537074454</v>
      </c>
      <c r="X250" s="31">
        <f t="shared" si="420"/>
        <v>29556.869847798345</v>
      </c>
      <c r="Y250" s="31">
        <f t="shared" si="421"/>
        <v>83639.426467103316</v>
      </c>
      <c r="Z250" s="31">
        <f t="shared" si="422"/>
        <v>77814.174377927382</v>
      </c>
      <c r="AA250" s="31">
        <f t="shared" si="415"/>
        <v>143430.94511322558</v>
      </c>
      <c r="AB250" s="31">
        <f t="shared" si="416"/>
        <v>30144.136622827995</v>
      </c>
      <c r="AC250" s="31">
        <f t="shared" si="417"/>
        <v>83679.295036703406</v>
      </c>
      <c r="AD250" s="31">
        <f t="shared" si="418"/>
        <v>77851.266213179028</v>
      </c>
      <c r="AE250" s="31">
        <f t="shared" si="423"/>
        <v>335105.64298593602</v>
      </c>
      <c r="AF250" s="31">
        <f>IFERROR(VLOOKUP(A250,'Allocations By Type'!$D$7:$F$491,3,FALSE),"")</f>
        <v>295088.89</v>
      </c>
      <c r="AG250" s="31">
        <f t="shared" si="424"/>
        <v>13404.225719437442</v>
      </c>
      <c r="AH250" s="31">
        <f t="shared" si="425"/>
        <v>13404.225719437442</v>
      </c>
      <c r="AI250" s="31">
        <f t="shared" si="426"/>
        <v>321701.41726649855</v>
      </c>
      <c r="AJ250" s="31">
        <f>AI250/$AI$577*'State Admin 1004(b)'!$B$30*0.01</f>
        <v>3061.4713082177364</v>
      </c>
      <c r="AK250" s="31">
        <f t="shared" si="427"/>
        <v>318639.94595828082</v>
      </c>
      <c r="AL250" s="31">
        <f t="shared" si="428"/>
        <v>3186.399459582808</v>
      </c>
      <c r="AM250" s="31">
        <f t="shared" si="429"/>
        <v>315453.54649869801</v>
      </c>
      <c r="AP250" s="31"/>
      <c r="AQ250" s="4">
        <f t="shared" si="434"/>
        <v>1.0690119390760457</v>
      </c>
      <c r="AW250" s="31">
        <f t="shared" si="432"/>
        <v>314442.19078041066</v>
      </c>
      <c r="AX250" s="4">
        <f t="shared" si="433"/>
        <v>1.0655846473257962</v>
      </c>
      <c r="AZ250" s="174" t="str">
        <f>IFERROR(IF(VLOOKUP(A250,#REF!,11,FALSE)=0,"",VLOOKUP(A250,#REF!,11,FALSE)),"")</f>
        <v/>
      </c>
      <c r="BA250" s="31" t="str">
        <f t="shared" si="436"/>
        <v/>
      </c>
      <c r="BB250" s="31">
        <f t="shared" si="437"/>
        <v>314442.19078041066</v>
      </c>
      <c r="BD250" s="31" t="str">
        <f>IFERROR(VLOOKUP(A250,'Title II Hold Harmless'!A$1:B$439,2, FALSE),"")</f>
        <v/>
      </c>
      <c r="BE250" s="31">
        <f t="shared" si="438"/>
        <v>4566.1293837209823</v>
      </c>
      <c r="BF250" s="31">
        <f t="shared" si="439"/>
        <v>4570.5473863726411</v>
      </c>
      <c r="BG250" s="31" t="str">
        <f t="shared" si="440"/>
        <v/>
      </c>
      <c r="BH250" s="31">
        <f t="shared" si="441"/>
        <v>4570.5473863726411</v>
      </c>
    </row>
    <row r="251" spans="1:60" s="47" customFormat="1" x14ac:dyDescent="0.3">
      <c r="A251" s="1">
        <v>78204000</v>
      </c>
      <c r="B251" s="47">
        <f>VLOOKUP(C251,'NCES ID'!$A$2:$B$3136,2,FALSE)</f>
        <v>400893</v>
      </c>
      <c r="C251" s="47">
        <f>VLOOKUP(A251,'State ID'!$A$2:$B$713,2,FALSE)</f>
        <v>91275</v>
      </c>
      <c r="D251" s="191" t="s">
        <v>513</v>
      </c>
      <c r="E251" s="47" t="s">
        <v>7</v>
      </c>
      <c r="H251" s="4"/>
      <c r="I251" s="47">
        <f>VLOOKUP($C251,'Final SEA Counts'!$A$2:$F$709,5,FALSE)</f>
        <v>173</v>
      </c>
      <c r="J251" s="47">
        <f>VLOOKUP($C251,'Final SEA Counts'!$A$2:$F$709,6,FALSE)</f>
        <v>171</v>
      </c>
      <c r="K251" s="24">
        <f t="shared" ref="K251:K252" si="442">I251</f>
        <v>173</v>
      </c>
      <c r="L251" s="24">
        <f t="shared" ref="L251" si="443">J251*$B$356</f>
        <v>84.498142131795504</v>
      </c>
      <c r="M251" s="4">
        <f t="shared" ref="M251" si="444">L251/K251</f>
        <v>0.48842856723581218</v>
      </c>
      <c r="N251" s="31"/>
      <c r="O251" s="31"/>
      <c r="P251" s="31"/>
      <c r="Q251" s="31"/>
      <c r="R251" s="31"/>
      <c r="S251" s="31">
        <f t="shared" ref="S251" si="445">$L251*N$357</f>
        <v>40734.982405975599</v>
      </c>
      <c r="T251" s="31">
        <f t="shared" ref="T251" si="446">$L251*O$357</f>
        <v>8395.7221660689647</v>
      </c>
      <c r="U251" s="31">
        <f t="shared" ref="U251" si="447">$L251*P$357</f>
        <v>23758.043066236984</v>
      </c>
      <c r="V251" s="31">
        <f t="shared" ref="V251" si="448">$L251*Q$357</f>
        <v>22103.361824959436</v>
      </c>
      <c r="W251" s="31">
        <f t="shared" ref="W251" si="449">IF(AND($L251&gt;9,$L251&gt;($K251*0.02)),S251,"")</f>
        <v>40734.982405975599</v>
      </c>
      <c r="X251" s="31">
        <f t="shared" ref="X251" si="450">IF(W251="","",IF(OR($L251&gt;6500,$L251&gt;($K251*0.15)),T251,""))</f>
        <v>8395.7221660689647</v>
      </c>
      <c r="Y251" s="31">
        <f t="shared" ref="Y251" si="451">IF(AND($L251&gt;9,$L251&gt;($K251*0.05)),U251,"")</f>
        <v>23758.043066236984</v>
      </c>
      <c r="Z251" s="31">
        <f t="shared" ref="Z251" si="452">IF(AND($L251&gt;9,$L251&gt;($K251*0.05)),V251,"")</f>
        <v>22103.361824959436</v>
      </c>
      <c r="AA251" s="31">
        <f t="shared" ref="AA251" si="453">IF(W251="","",W251+W$357)</f>
        <v>40759.732148456635</v>
      </c>
      <c r="AB251" s="31">
        <f t="shared" ref="AB251" si="454">IF(X251="","",X251+X$357)</f>
        <v>8982.9889410986125</v>
      </c>
      <c r="AC251" s="31">
        <f t="shared" ref="AC251" si="455">IF(Y251="","",Y251+Y$357)</f>
        <v>23797.911635837081</v>
      </c>
      <c r="AD251" s="31">
        <f t="shared" ref="AD251" si="456">IF(Z251="","",Z251+Z$357)</f>
        <v>22140.453660211082</v>
      </c>
      <c r="AE251" s="31">
        <f t="shared" ref="AE251" si="457">SUM(AA251:AD251)</f>
        <v>95681.086385603412</v>
      </c>
      <c r="AF251" s="31">
        <f>IFERROR(VLOOKUP(A251,'Allocations By Type'!$D$7:$F$491,3,FALSE),"")</f>
        <v>84171.93</v>
      </c>
      <c r="AG251" s="31">
        <f t="shared" ref="AG251" si="458">IF(AE251&gt;AF251,AE251*0.04,"")</f>
        <v>3827.2434554241368</v>
      </c>
      <c r="AH251" s="31">
        <f t="shared" ref="AH251" si="459">IF(AG251="","",IF((AE251-AF251)&gt;AG251,AG251,AE251-AF251))</f>
        <v>3827.2434554241368</v>
      </c>
      <c r="AI251" s="31">
        <f t="shared" ref="AI251" si="460">IF(AH251="",AE251,AE251-AH251)</f>
        <v>91853.842930179278</v>
      </c>
      <c r="AJ251" s="31">
        <f>AI251/$AI$577*'State Admin 1004(b)'!$B$30*0.01</f>
        <v>874.12703080300344</v>
      </c>
      <c r="AK251" s="31">
        <f t="shared" ref="AK251" si="461">AI251-AJ251</f>
        <v>90979.715899376271</v>
      </c>
      <c r="AL251" s="31">
        <f t="shared" ref="AL251" si="462">AK251*0.01</f>
        <v>909.79715899376276</v>
      </c>
      <c r="AM251" s="31">
        <f t="shared" ref="AM251" si="463">AK251-AL251</f>
        <v>90069.918740382505</v>
      </c>
      <c r="AP251" s="31"/>
      <c r="AQ251" s="4">
        <f t="shared" si="434"/>
        <v>1.0700707318981817</v>
      </c>
      <c r="AR251" s="4"/>
      <c r="AS251" s="4"/>
      <c r="AT251" s="4"/>
      <c r="AW251" s="31">
        <f t="shared" si="432"/>
        <v>89781.151255043296</v>
      </c>
      <c r="AX251" s="4">
        <f t="shared" si="433"/>
        <v>1.0666400456190479</v>
      </c>
      <c r="AZ251" s="174"/>
      <c r="BA251" s="31"/>
      <c r="BB251" s="31">
        <f t="shared" si="437"/>
        <v>89781.151255043296</v>
      </c>
      <c r="BD251" s="31" t="str">
        <f>IFERROR(VLOOKUP(A251,'Title II Hold Harmless'!A$1:B$439,2, FALSE),"")</f>
        <v/>
      </c>
      <c r="BE251" s="31">
        <f t="shared" si="438"/>
        <v>1245.3678893920535</v>
      </c>
      <c r="BF251" s="31">
        <f t="shared" si="439"/>
        <v>1246.5728571394066</v>
      </c>
      <c r="BG251" s="31"/>
      <c r="BH251" s="31">
        <f t="shared" si="441"/>
        <v>1246.5728571394066</v>
      </c>
    </row>
    <row r="252" spans="1:60" s="47" customFormat="1" x14ac:dyDescent="0.3">
      <c r="A252" s="1">
        <v>78281000</v>
      </c>
      <c r="B252" s="47" t="e">
        <f>VLOOKUP(C252,'NCES ID'!$A$2:$B$3136,2,FALSE)</f>
        <v>#N/A</v>
      </c>
      <c r="C252" s="47">
        <v>92991</v>
      </c>
      <c r="D252" s="192" t="s">
        <v>1402</v>
      </c>
      <c r="H252" s="4"/>
      <c r="I252" s="47">
        <f>VLOOKUP($C252,'AzEDS FY17 12-04-16'!$A$1:$D$712,3,FALSE)</f>
        <v>111</v>
      </c>
      <c r="J252" s="47">
        <f>VLOOKUP($C252,'AzEDS FY17 12-04-16'!$A$1:$D$712,4,FALSE)</f>
        <v>47</v>
      </c>
      <c r="K252" s="24">
        <f t="shared" si="442"/>
        <v>111</v>
      </c>
      <c r="L252" s="24">
        <f t="shared" ref="L252" si="464">J252*$B$356</f>
        <v>23.224635556692334</v>
      </c>
      <c r="M252" s="4">
        <f t="shared" ref="M252" si="465">L252/K252</f>
        <v>0.20923095096119221</v>
      </c>
      <c r="N252" s="31"/>
      <c r="O252" s="31"/>
      <c r="P252" s="31"/>
      <c r="Q252" s="31"/>
      <c r="R252" s="31"/>
      <c r="S252" s="31">
        <f t="shared" ref="S252" si="466">$L252*N$357</f>
        <v>11196.164754858792</v>
      </c>
      <c r="T252" s="31">
        <f t="shared" ref="T252" si="467">$L252*O$357</f>
        <v>2307.5961509078443</v>
      </c>
      <c r="U252" s="31">
        <f t="shared" ref="U252" si="468">$L252*P$357</f>
        <v>6529.9884451060725</v>
      </c>
      <c r="V252" s="31">
        <f t="shared" ref="V252" si="469">$L252*Q$357</f>
        <v>6075.1930162169219</v>
      </c>
      <c r="W252" s="31">
        <f t="shared" ref="W252" si="470">IF(AND($L252&gt;9,$L252&gt;($K252*0.02)),S252,"")</f>
        <v>11196.164754858792</v>
      </c>
      <c r="X252" s="31">
        <f t="shared" ref="X252" si="471">IF(W252="","",IF(OR($L252&gt;6500,$L252&gt;($K252*0.15)),T252,""))</f>
        <v>2307.5961509078443</v>
      </c>
      <c r="Y252" s="31">
        <f t="shared" ref="Y252" si="472">IF(AND($L252&gt;9,$L252&gt;($K252*0.05)),U252,"")</f>
        <v>6529.9884451060725</v>
      </c>
      <c r="Z252" s="31">
        <f t="shared" ref="Z252" si="473">IF(AND($L252&gt;9,$L252&gt;($K252*0.05)),V252,"")</f>
        <v>6075.1930162169219</v>
      </c>
      <c r="AA252" s="31">
        <f t="shared" ref="AA252" si="474">IF(W252="","",W252+W$357)</f>
        <v>11220.914497339827</v>
      </c>
      <c r="AB252" s="31">
        <f t="shared" ref="AB252" si="475">IF(X252="","",X252+X$357)</f>
        <v>2894.8629259374925</v>
      </c>
      <c r="AC252" s="31">
        <f t="shared" ref="AC252" si="476">IF(Y252="","",Y252+Y$357)</f>
        <v>6569.8570147061691</v>
      </c>
      <c r="AD252" s="31">
        <f t="shared" ref="AD252" si="477">IF(Z252="","",Z252+Z$357)</f>
        <v>6112.2848514685666</v>
      </c>
      <c r="AE252" s="31">
        <f t="shared" ref="AE252" si="478">SUM(AA252:AD252)</f>
        <v>26797.919289452053</v>
      </c>
      <c r="AF252" s="31" t="str">
        <f>IFERROR(VLOOKUP(A252,'Allocations By Type'!$D$7:$F$491,3,FALSE),"")</f>
        <v/>
      </c>
      <c r="AG252" s="31" t="str">
        <f t="shared" ref="AG252" si="479">IF(AE252&gt;AF252,AE252*0.04,"")</f>
        <v/>
      </c>
      <c r="AH252" s="31" t="str">
        <f t="shared" ref="AH252" si="480">IF(AG252="","",IF((AE252-AF252)&gt;AG252,AG252,AE252-AF252))</f>
        <v/>
      </c>
      <c r="AI252" s="31">
        <f t="shared" ref="AI252" si="481">IF(AH252="",AE252,AE252-AH252)</f>
        <v>26797.919289452053</v>
      </c>
      <c r="AJ252" s="31">
        <f>AI252/$AI$577*'State Admin 1004(b)'!$B$30*0.01</f>
        <v>255.02237982566606</v>
      </c>
      <c r="AK252" s="31">
        <f t="shared" ref="AK252" si="482">AI252-AJ252</f>
        <v>26542.896909626386</v>
      </c>
      <c r="AL252" s="31">
        <f t="shared" ref="AL252" si="483">AK252*0.01</f>
        <v>265.42896909626387</v>
      </c>
      <c r="AM252" s="31">
        <f t="shared" ref="AM252" si="484">AK252-AL252</f>
        <v>26277.467940530121</v>
      </c>
      <c r="AP252" s="31"/>
      <c r="AQ252" s="4" t="str">
        <f t="shared" si="434"/>
        <v/>
      </c>
      <c r="AR252" s="4"/>
      <c r="AS252" s="4"/>
      <c r="AT252" s="4"/>
      <c r="AW252" s="31">
        <f t="shared" si="432"/>
        <v>26193.221408009751</v>
      </c>
      <c r="AX252" s="4" t="str">
        <f t="shared" si="433"/>
        <v/>
      </c>
      <c r="AZ252" s="174"/>
      <c r="BA252" s="31"/>
      <c r="BB252" s="31">
        <f t="shared" si="437"/>
        <v>26193.221408009751</v>
      </c>
      <c r="BD252" s="31" t="str">
        <f>IFERROR(VLOOKUP(A252,'Title II Hold Harmless'!A$1:B$439,2, FALSE),"")</f>
        <v/>
      </c>
      <c r="BE252" s="31">
        <f t="shared" si="438"/>
        <v>393.35887387375442</v>
      </c>
      <c r="BF252" s="31">
        <f t="shared" si="439"/>
        <v>393.73947205698232</v>
      </c>
      <c r="BG252" s="31"/>
      <c r="BH252" s="31">
        <f t="shared" ref="BH252" si="485">IF(BG252&lt;0,BF252+BG252,BF252)</f>
        <v>393.73947205698232</v>
      </c>
    </row>
    <row r="253" spans="1:60" x14ac:dyDescent="0.3">
      <c r="A253" s="1">
        <v>78535000</v>
      </c>
      <c r="B253">
        <f>VLOOKUP(C253,'NCES ID'!$A$2:$B$3136,2,FALSE)</f>
        <v>400780</v>
      </c>
      <c r="C253">
        <f>VLOOKUP(A253,'State ID'!$A$2:$B$713,2,FALSE)</f>
        <v>89784</v>
      </c>
      <c r="D253" s="147" t="s">
        <v>202</v>
      </c>
      <c r="E253" t="s">
        <v>7</v>
      </c>
      <c r="I253" s="47">
        <f>VLOOKUP($C253,'Final SEA Counts'!$A$2:$F$709,5,FALSE)</f>
        <v>556</v>
      </c>
      <c r="J253" s="47">
        <f>VLOOKUP($C253,'Final SEA Counts'!$A$2:$F$709,6,FALSE)</f>
        <v>437</v>
      </c>
      <c r="K253" s="24">
        <f t="shared" si="430"/>
        <v>556</v>
      </c>
      <c r="L253" s="24">
        <f t="shared" ref="L253:L284" si="486">J253*$B$356</f>
        <v>215.93969655903297</v>
      </c>
      <c r="M253" s="4">
        <f t="shared" si="435"/>
        <v>0.3883807492068938</v>
      </c>
      <c r="N253" s="31" t="str">
        <f>IFERROR(VLOOKUP($B253,#REF!,8,FALSE),"")</f>
        <v/>
      </c>
      <c r="O253" s="31" t="str">
        <f>IFERROR(VLOOKUP($B253,#REF!,9,FALSE),"")</f>
        <v/>
      </c>
      <c r="P253" s="31" t="str">
        <f>IFERROR(VLOOKUP($B253,#REF!,10,FALSE),"")</f>
        <v/>
      </c>
      <c r="Q253" s="31" t="str">
        <f>IFERROR(VLOOKUP($B253,#REF!,11,FALSE),"")</f>
        <v/>
      </c>
      <c r="R253" s="31" t="str">
        <f>IFERROR(VLOOKUP($B253,#REF!,12,FALSE),"")</f>
        <v/>
      </c>
      <c r="S253" s="31">
        <f t="shared" ref="S253:S294" si="487">$L253*N$357</f>
        <v>104100.51059304876</v>
      </c>
      <c r="T253" s="31">
        <f t="shared" ref="T253:T294" si="488">$L253*O$357</f>
        <v>21455.734424398466</v>
      </c>
      <c r="U253" s="31">
        <f t="shared" ref="U253:U294" si="489">$L253*P$357</f>
        <v>60714.998947050073</v>
      </c>
      <c r="V253" s="31">
        <f t="shared" ref="V253:V294" si="490">$L253*Q$357</f>
        <v>56486.369108229672</v>
      </c>
      <c r="W253" s="31">
        <f t="shared" si="419"/>
        <v>104100.51059304876</v>
      </c>
      <c r="X253" s="31">
        <f t="shared" si="420"/>
        <v>21455.734424398466</v>
      </c>
      <c r="Y253" s="31">
        <f t="shared" si="421"/>
        <v>60714.998947050073</v>
      </c>
      <c r="Z253" s="31">
        <f t="shared" si="422"/>
        <v>56486.369108229672</v>
      </c>
      <c r="AA253" s="31">
        <f t="shared" ref="AA253:AA294" si="491">IF(W253="","",W253+W$357)</f>
        <v>104125.26033552979</v>
      </c>
      <c r="AB253" s="31">
        <f t="shared" ref="AB253:AB294" si="492">IF(X253="","",X253+X$357)</f>
        <v>22043.001199428116</v>
      </c>
      <c r="AC253" s="31">
        <f t="shared" ref="AC253:AC294" si="493">IF(Y253="","",Y253+Y$357)</f>
        <v>60754.867516650171</v>
      </c>
      <c r="AD253" s="31">
        <f t="shared" ref="AD253:AD294" si="494">IF(Z253="","",Z253+Z$357)</f>
        <v>56523.460943481317</v>
      </c>
      <c r="AE253" s="31">
        <f t="shared" si="423"/>
        <v>243446.58999508939</v>
      </c>
      <c r="AF253" s="31">
        <f>IFERROR(VLOOKUP(A253,'Allocations By Type'!$D$7:$F$491,3,FALSE),"")</f>
        <v>216770.36</v>
      </c>
      <c r="AG253" s="31">
        <f t="shared" si="424"/>
        <v>9737.8635998035752</v>
      </c>
      <c r="AH253" s="31">
        <f t="shared" si="425"/>
        <v>9737.8635998035752</v>
      </c>
      <c r="AI253" s="31">
        <f t="shared" si="426"/>
        <v>233708.7263952858</v>
      </c>
      <c r="AJ253" s="31">
        <f>AI253/$AI$577*'State Admin 1004(b)'!$B$30*0.01</f>
        <v>2224.0889282329777</v>
      </c>
      <c r="AK253" s="31">
        <f t="shared" si="427"/>
        <v>231484.63746705282</v>
      </c>
      <c r="AL253" s="31">
        <f t="shared" si="428"/>
        <v>2314.8463746705283</v>
      </c>
      <c r="AM253" s="31">
        <f t="shared" si="429"/>
        <v>229169.79109238228</v>
      </c>
      <c r="AP253" s="31"/>
      <c r="AQ253" s="4">
        <f t="shared" si="434"/>
        <v>1.0572007680957041</v>
      </c>
      <c r="AW253" s="31">
        <f t="shared" si="432"/>
        <v>228435.06427997994</v>
      </c>
      <c r="AX253" s="4">
        <f t="shared" si="433"/>
        <v>1.0538113433957481</v>
      </c>
      <c r="AZ253" s="174" t="str">
        <f>IFERROR(IF(VLOOKUP(A253,#REF!,11,FALSE)=0,"",VLOOKUP(A253,#REF!,11,FALSE)),"")</f>
        <v/>
      </c>
      <c r="BA253" s="31" t="str">
        <f t="shared" si="436"/>
        <v/>
      </c>
      <c r="BB253" s="31">
        <f t="shared" si="437"/>
        <v>228435.06427997994</v>
      </c>
      <c r="BD253" s="31" t="str">
        <f>IFERROR(VLOOKUP(A253,'Title II Hold Harmless'!A$1:B$439,2, FALSE),"")</f>
        <v/>
      </c>
      <c r="BE253" s="31">
        <f t="shared" si="438"/>
        <v>3274.2645708606969</v>
      </c>
      <c r="BF253" s="31">
        <f t="shared" si="439"/>
        <v>3277.4326172169535</v>
      </c>
      <c r="BG253" s="31" t="str">
        <f t="shared" si="440"/>
        <v/>
      </c>
      <c r="BH253" s="31">
        <f t="shared" si="441"/>
        <v>3277.4326172169535</v>
      </c>
    </row>
    <row r="254" spans="1:60" x14ac:dyDescent="0.3">
      <c r="A254" s="1">
        <v>78553000</v>
      </c>
      <c r="B254">
        <f>VLOOKUP(C254,'NCES ID'!$A$2:$B$3136,2,FALSE)</f>
        <v>400802</v>
      </c>
      <c r="C254">
        <f>VLOOKUP(A254,'State ID'!$A$2:$B$713,2,FALSE)</f>
        <v>90162</v>
      </c>
      <c r="D254" s="147" t="s">
        <v>203</v>
      </c>
      <c r="E254" t="s">
        <v>7</v>
      </c>
      <c r="I254" s="47">
        <f>VLOOKUP($C254,'Final SEA Counts'!$A$2:$F$709,5,FALSE)</f>
        <v>203</v>
      </c>
      <c r="J254" s="47">
        <f>VLOOKUP($C254,'Final SEA Counts'!$A$2:$F$709,6,FALSE)</f>
        <v>139</v>
      </c>
      <c r="K254" s="24">
        <f t="shared" si="430"/>
        <v>203</v>
      </c>
      <c r="L254" s="24">
        <f t="shared" si="486"/>
        <v>68.685624305962435</v>
      </c>
      <c r="M254" s="4">
        <f t="shared" si="435"/>
        <v>0.33835282909341102</v>
      </c>
      <c r="N254" s="31" t="str">
        <f>IFERROR(VLOOKUP($B254,#REF!,8,FALSE),"")</f>
        <v/>
      </c>
      <c r="O254" s="31" t="str">
        <f>IFERROR(VLOOKUP($B254,#REF!,9,FALSE),"")</f>
        <v/>
      </c>
      <c r="P254" s="31" t="str">
        <f>IFERROR(VLOOKUP($B254,#REF!,10,FALSE),"")</f>
        <v/>
      </c>
      <c r="Q254" s="31" t="str">
        <f>IFERROR(VLOOKUP($B254,#REF!,11,FALSE),"")</f>
        <v/>
      </c>
      <c r="R254" s="31" t="str">
        <f>IFERROR(VLOOKUP($B254,#REF!,12,FALSE),"")</f>
        <v/>
      </c>
      <c r="S254" s="31">
        <f t="shared" si="487"/>
        <v>33112.061721816426</v>
      </c>
      <c r="T254" s="31">
        <f t="shared" si="488"/>
        <v>6824.5928718338373</v>
      </c>
      <c r="U254" s="31">
        <f t="shared" si="489"/>
        <v>19312.0934865903</v>
      </c>
      <c r="V254" s="31">
        <f t="shared" si="490"/>
        <v>17967.060196896855</v>
      </c>
      <c r="W254" s="31">
        <f t="shared" si="419"/>
        <v>33112.061721816426</v>
      </c>
      <c r="X254" s="31">
        <f t="shared" si="420"/>
        <v>6824.5928718338373</v>
      </c>
      <c r="Y254" s="31">
        <f t="shared" si="421"/>
        <v>19312.0934865903</v>
      </c>
      <c r="Z254" s="31">
        <f t="shared" si="422"/>
        <v>17967.060196896855</v>
      </c>
      <c r="AA254" s="31">
        <f t="shared" si="491"/>
        <v>33136.811464297461</v>
      </c>
      <c r="AB254" s="31">
        <f t="shared" si="492"/>
        <v>7411.8596468634851</v>
      </c>
      <c r="AC254" s="31">
        <f t="shared" si="493"/>
        <v>19351.962056190398</v>
      </c>
      <c r="AD254" s="31">
        <f t="shared" si="494"/>
        <v>18004.1520321485</v>
      </c>
      <c r="AE254" s="31">
        <f t="shared" si="423"/>
        <v>77904.785199499849</v>
      </c>
      <c r="AF254" s="31">
        <f>IFERROR(VLOOKUP(A254,'Allocations By Type'!$D$7:$F$491,3,FALSE),"")</f>
        <v>67888.2</v>
      </c>
      <c r="AG254" s="31">
        <f t="shared" si="424"/>
        <v>3116.191407979994</v>
      </c>
      <c r="AH254" s="31">
        <f t="shared" si="425"/>
        <v>3116.191407979994</v>
      </c>
      <c r="AI254" s="31">
        <f t="shared" si="426"/>
        <v>74788.593791519859</v>
      </c>
      <c r="AJ254" s="31">
        <f>AI254/$AI$577*'State Admin 1004(b)'!$B$30*0.01</f>
        <v>711.72559953323218</v>
      </c>
      <c r="AK254" s="31">
        <f t="shared" si="427"/>
        <v>74076.868191986621</v>
      </c>
      <c r="AL254" s="31">
        <f t="shared" si="428"/>
        <v>740.76868191986625</v>
      </c>
      <c r="AM254" s="31">
        <f t="shared" si="429"/>
        <v>73336.09951006675</v>
      </c>
      <c r="AP254" s="31"/>
      <c r="AQ254" s="4">
        <f t="shared" si="434"/>
        <v>1.0802481065938816</v>
      </c>
      <c r="AW254" s="31">
        <f t="shared" si="432"/>
        <v>73100.981267081006</v>
      </c>
      <c r="AX254" s="4">
        <f t="shared" si="433"/>
        <v>1.0767847912756709</v>
      </c>
      <c r="AZ254" s="174" t="str">
        <f>IFERROR(IF(VLOOKUP(A254,#REF!,11,FALSE)=0,"",VLOOKUP(A254,#REF!,11,FALSE)),"")</f>
        <v/>
      </c>
      <c r="BA254" s="31" t="str">
        <f t="shared" si="436"/>
        <v/>
      </c>
      <c r="BB254" s="31">
        <f t="shared" si="437"/>
        <v>73100.981267081006</v>
      </c>
      <c r="BD254" s="31" t="str">
        <f>IFERROR(VLOOKUP(A254,'Title II Hold Harmless'!A$1:B$439,2, FALSE),"")</f>
        <v/>
      </c>
      <c r="BE254" s="31">
        <f t="shared" si="438"/>
        <v>1062.5153807813711</v>
      </c>
      <c r="BF254" s="31">
        <f t="shared" si="439"/>
        <v>1063.5434278153548</v>
      </c>
      <c r="BG254" s="31" t="str">
        <f t="shared" si="440"/>
        <v/>
      </c>
      <c r="BH254" s="31">
        <f t="shared" si="441"/>
        <v>1063.5434278153548</v>
      </c>
    </row>
    <row r="255" spans="1:60" x14ac:dyDescent="0.3">
      <c r="A255" s="1">
        <v>78531000</v>
      </c>
      <c r="B255">
        <f>VLOOKUP(C255,'NCES ID'!$A$2:$B$3136,2,FALSE)</f>
        <v>400756</v>
      </c>
      <c r="C255">
        <f>VLOOKUP(A255,'State ID'!$A$2:$B$713,2,FALSE)</f>
        <v>89561</v>
      </c>
      <c r="D255" s="147" t="s">
        <v>204</v>
      </c>
      <c r="E255" t="s">
        <v>7</v>
      </c>
      <c r="I255" s="47">
        <f>VLOOKUP($C255,'Final SEA Counts'!$A$2:$F$709,5,FALSE)</f>
        <v>174</v>
      </c>
      <c r="J255" s="47">
        <f>VLOOKUP($C255,'Final SEA Counts'!$A$2:$F$709,6,FALSE)</f>
        <v>153</v>
      </c>
      <c r="K255" s="24">
        <f t="shared" si="430"/>
        <v>174</v>
      </c>
      <c r="L255" s="24">
        <f t="shared" si="486"/>
        <v>75.603600854764409</v>
      </c>
      <c r="M255" s="4">
        <f t="shared" si="435"/>
        <v>0.43450345318830119</v>
      </c>
      <c r="N255" s="31" t="str">
        <f>IFERROR(VLOOKUP($B255,#REF!,8,FALSE),"")</f>
        <v/>
      </c>
      <c r="O255" s="31" t="str">
        <f>IFERROR(VLOOKUP($B255,#REF!,9,FALSE),"")</f>
        <v/>
      </c>
      <c r="P255" s="31" t="str">
        <f>IFERROR(VLOOKUP($B255,#REF!,10,FALSE),"")</f>
        <v/>
      </c>
      <c r="Q255" s="31" t="str">
        <f>IFERROR(VLOOKUP($B255,#REF!,11,FALSE),"")</f>
        <v/>
      </c>
      <c r="R255" s="31" t="str">
        <f>IFERROR(VLOOKUP($B255,#REF!,12,FALSE),"")</f>
        <v/>
      </c>
      <c r="S255" s="31">
        <f t="shared" si="487"/>
        <v>36447.089521136069</v>
      </c>
      <c r="T255" s="31">
        <f t="shared" si="488"/>
        <v>7511.961938061706</v>
      </c>
      <c r="U255" s="31">
        <f t="shared" si="489"/>
        <v>21257.196427685725</v>
      </c>
      <c r="V255" s="31">
        <f t="shared" si="490"/>
        <v>19776.692159174236</v>
      </c>
      <c r="W255" s="31">
        <f t="shared" si="419"/>
        <v>36447.089521136069</v>
      </c>
      <c r="X255" s="31">
        <f t="shared" si="420"/>
        <v>7511.961938061706</v>
      </c>
      <c r="Y255" s="31">
        <f t="shared" si="421"/>
        <v>21257.196427685725</v>
      </c>
      <c r="Z255" s="31">
        <f t="shared" si="422"/>
        <v>19776.692159174236</v>
      </c>
      <c r="AA255" s="31">
        <f t="shared" si="491"/>
        <v>36471.839263617105</v>
      </c>
      <c r="AB255" s="31">
        <f t="shared" si="492"/>
        <v>8099.2287130913537</v>
      </c>
      <c r="AC255" s="31">
        <f t="shared" si="493"/>
        <v>21297.064997285823</v>
      </c>
      <c r="AD255" s="31">
        <f t="shared" si="494"/>
        <v>19813.783994425881</v>
      </c>
      <c r="AE255" s="31">
        <f t="shared" si="423"/>
        <v>85681.916968420148</v>
      </c>
      <c r="AF255" s="31">
        <f>IFERROR(VLOOKUP(A255,'Allocations By Type'!$D$7:$F$491,3,FALSE),"")</f>
        <v>76275.27</v>
      </c>
      <c r="AG255" s="31">
        <f t="shared" si="424"/>
        <v>3427.2766787368059</v>
      </c>
      <c r="AH255" s="31">
        <f t="shared" si="425"/>
        <v>3427.2766787368059</v>
      </c>
      <c r="AI255" s="31">
        <f t="shared" si="426"/>
        <v>82254.640289683346</v>
      </c>
      <c r="AJ255" s="31">
        <f>AI255/$AI$577*'State Admin 1004(b)'!$B$30*0.01</f>
        <v>782.77622571375707</v>
      </c>
      <c r="AK255" s="31">
        <f t="shared" si="427"/>
        <v>81471.864063969595</v>
      </c>
      <c r="AL255" s="31">
        <f t="shared" si="428"/>
        <v>814.71864063969599</v>
      </c>
      <c r="AM255" s="31">
        <f t="shared" si="429"/>
        <v>80657.145423329901</v>
      </c>
      <c r="AP255" s="31"/>
      <c r="AQ255" s="4">
        <f t="shared" si="434"/>
        <v>1.0574481797747801</v>
      </c>
      <c r="AW255" s="31">
        <f t="shared" si="432"/>
        <v>80398.555636814504</v>
      </c>
      <c r="AX255" s="4">
        <f t="shared" si="433"/>
        <v>1.0540579618638453</v>
      </c>
      <c r="AZ255" s="174" t="str">
        <f>IFERROR(IF(VLOOKUP(A255,#REF!,11,FALSE)=0,"",VLOOKUP(A255,#REF!,11,FALSE)),"")</f>
        <v/>
      </c>
      <c r="BA255" s="31" t="str">
        <f t="shared" si="436"/>
        <v/>
      </c>
      <c r="BB255" s="31">
        <f t="shared" si="437"/>
        <v>80398.555636814504</v>
      </c>
      <c r="BD255" s="31" t="str">
        <f>IFERROR(VLOOKUP(A255,'Title II Hold Harmless'!A$1:B$439,2, FALSE),"")</f>
        <v/>
      </c>
      <c r="BE255" s="31">
        <f t="shared" si="438"/>
        <v>1129.7371582278631</v>
      </c>
      <c r="BF255" s="31">
        <f t="shared" si="439"/>
        <v>1130.8302463428258</v>
      </c>
      <c r="BG255" s="31" t="str">
        <f t="shared" si="440"/>
        <v/>
      </c>
      <c r="BH255" s="31">
        <f t="shared" si="441"/>
        <v>1130.8302463428258</v>
      </c>
    </row>
    <row r="256" spans="1:60" x14ac:dyDescent="0.3">
      <c r="A256" s="1">
        <v>78519000</v>
      </c>
      <c r="B256">
        <f>VLOOKUP(C256,'NCES ID'!$A$2:$B$3136,2,FALSE)</f>
        <v>400445</v>
      </c>
      <c r="C256">
        <f>VLOOKUP(A256,'State ID'!$A$2:$B$713,2,FALSE)</f>
        <v>88365</v>
      </c>
      <c r="D256" s="147" t="s">
        <v>205</v>
      </c>
      <c r="E256" t="s">
        <v>7</v>
      </c>
      <c r="I256" s="47">
        <f>VLOOKUP($C256,'Final SEA Counts'!$A$2:$F$709,5,FALSE)</f>
        <v>449</v>
      </c>
      <c r="J256" s="47">
        <f>VLOOKUP($C256,'Final SEA Counts'!$A$2:$F$709,6,FALSE)</f>
        <v>382</v>
      </c>
      <c r="K256" s="24">
        <f t="shared" si="430"/>
        <v>449</v>
      </c>
      <c r="L256" s="24">
        <f t="shared" si="486"/>
        <v>188.76193154588236</v>
      </c>
      <c r="M256" s="4">
        <f t="shared" si="435"/>
        <v>0.42040519275252197</v>
      </c>
      <c r="N256" s="31" t="str">
        <f>IFERROR(VLOOKUP($B256,#REF!,8,FALSE),"")</f>
        <v/>
      </c>
      <c r="O256" s="31" t="str">
        <f>IFERROR(VLOOKUP($B256,#REF!,9,FALSE),"")</f>
        <v/>
      </c>
      <c r="P256" s="31" t="str">
        <f>IFERROR(VLOOKUP($B256,#REF!,10,FALSE),"")</f>
        <v/>
      </c>
      <c r="Q256" s="31" t="str">
        <f>IFERROR(VLOOKUP($B256,#REF!,11,FALSE),"")</f>
        <v/>
      </c>
      <c r="R256" s="31" t="str">
        <f>IFERROR(VLOOKUP($B256,#REF!,12,FALSE),"")</f>
        <v/>
      </c>
      <c r="S256" s="31">
        <f t="shared" si="487"/>
        <v>90998.615667150181</v>
      </c>
      <c r="T256" s="31">
        <f t="shared" si="488"/>
        <v>18755.35594993184</v>
      </c>
      <c r="U256" s="31">
        <f t="shared" si="489"/>
        <v>53073.523107032328</v>
      </c>
      <c r="V256" s="31">
        <f t="shared" si="490"/>
        <v>49377.100684997109</v>
      </c>
      <c r="W256" s="31">
        <f t="shared" si="419"/>
        <v>90998.615667150181</v>
      </c>
      <c r="X256" s="31">
        <f t="shared" si="420"/>
        <v>18755.35594993184</v>
      </c>
      <c r="Y256" s="31">
        <f t="shared" si="421"/>
        <v>53073.523107032328</v>
      </c>
      <c r="Z256" s="31">
        <f t="shared" si="422"/>
        <v>49377.100684997109</v>
      </c>
      <c r="AA256" s="31">
        <f t="shared" si="491"/>
        <v>91023.365409631209</v>
      </c>
      <c r="AB256" s="31">
        <f t="shared" si="492"/>
        <v>19342.622724961489</v>
      </c>
      <c r="AC256" s="31">
        <f t="shared" si="493"/>
        <v>53113.391676632426</v>
      </c>
      <c r="AD256" s="31">
        <f t="shared" si="494"/>
        <v>49414.192520248755</v>
      </c>
      <c r="AE256" s="31">
        <f t="shared" si="423"/>
        <v>212893.57233147387</v>
      </c>
      <c r="AF256" s="31">
        <f>IFERROR(VLOOKUP(A256,'Allocations By Type'!$D$7:$F$491,3,FALSE),"")</f>
        <v>219416.26</v>
      </c>
      <c r="AG256" s="31" t="str">
        <f t="shared" si="424"/>
        <v/>
      </c>
      <c r="AH256" s="31" t="str">
        <f t="shared" si="425"/>
        <v/>
      </c>
      <c r="AI256" s="31">
        <f t="shared" si="426"/>
        <v>212893.57233147387</v>
      </c>
      <c r="AJ256" s="31">
        <f>AI256/$AI$577*'State Admin 1004(b)'!$B$30*0.01</f>
        <v>2026.001529414644</v>
      </c>
      <c r="AK256" s="31">
        <f t="shared" si="427"/>
        <v>210867.57080205923</v>
      </c>
      <c r="AL256" s="31">
        <f t="shared" si="428"/>
        <v>2108.6757080205925</v>
      </c>
      <c r="AM256" s="31">
        <f t="shared" si="429"/>
        <v>208758.89509403863</v>
      </c>
      <c r="AP256" s="31"/>
      <c r="AQ256" s="4">
        <f t="shared" si="434"/>
        <v>0.95142855453847686</v>
      </c>
      <c r="AW256" s="31">
        <f t="shared" si="432"/>
        <v>208089.60636788516</v>
      </c>
      <c r="AX256" s="4">
        <f t="shared" si="433"/>
        <v>0.94837823946085476</v>
      </c>
      <c r="AZ256" s="174" t="str">
        <f>IFERROR(IF(VLOOKUP(A256,#REF!,11,FALSE)=0,"",VLOOKUP(A256,#REF!,11,FALSE)),"")</f>
        <v/>
      </c>
      <c r="BA256" s="31" t="str">
        <f t="shared" si="436"/>
        <v/>
      </c>
      <c r="BB256" s="31">
        <f t="shared" si="437"/>
        <v>208089.60636788516</v>
      </c>
      <c r="BD256" s="31" t="str">
        <f>IFERROR(VLOOKUP(A256,'Title II Hold Harmless'!A$1:B$439,2, FALSE),"")</f>
        <v/>
      </c>
      <c r="BE256" s="31">
        <f t="shared" si="438"/>
        <v>2832.3757709210508</v>
      </c>
      <c r="BF256" s="31">
        <f t="shared" si="439"/>
        <v>2835.1162634947032</v>
      </c>
      <c r="BG256" s="31" t="str">
        <f t="shared" si="440"/>
        <v/>
      </c>
      <c r="BH256" s="31">
        <f t="shared" si="441"/>
        <v>2835.1162634947032</v>
      </c>
    </row>
    <row r="257" spans="1:60" x14ac:dyDescent="0.3">
      <c r="A257" s="1">
        <v>78520000</v>
      </c>
      <c r="B257">
        <f>VLOOKUP(C257,'NCES ID'!$A$2:$B$3136,2,FALSE)</f>
        <v>400438</v>
      </c>
      <c r="C257">
        <f>VLOOKUP(A257,'State ID'!$A$2:$B$713,2,FALSE)</f>
        <v>88367</v>
      </c>
      <c r="D257" s="147" t="s">
        <v>206</v>
      </c>
      <c r="E257" t="s">
        <v>7</v>
      </c>
      <c r="I257" s="47">
        <f>VLOOKUP($C257,'Final SEA Counts'!$A$2:$F$709,5,FALSE)</f>
        <v>802</v>
      </c>
      <c r="J257" s="47">
        <f>VLOOKUP($C257,'Final SEA Counts'!$A$2:$F$709,6,FALSE)</f>
        <v>738</v>
      </c>
      <c r="K257" s="24">
        <f t="shared" si="430"/>
        <v>802</v>
      </c>
      <c r="L257" s="24">
        <f t="shared" si="486"/>
        <v>364.67619235827539</v>
      </c>
      <c r="M257" s="4">
        <f t="shared" si="435"/>
        <v>0.45470846927465758</v>
      </c>
      <c r="N257" s="31" t="str">
        <f>IFERROR(VLOOKUP($B257,#REF!,8,FALSE),"")</f>
        <v/>
      </c>
      <c r="O257" s="31" t="str">
        <f>IFERROR(VLOOKUP($B257,#REF!,9,FALSE),"")</f>
        <v/>
      </c>
      <c r="P257" s="31" t="str">
        <f>IFERROR(VLOOKUP($B257,#REF!,10,FALSE),"")</f>
        <v/>
      </c>
      <c r="Q257" s="31" t="str">
        <f>IFERROR(VLOOKUP($B257,#REF!,11,FALSE),"")</f>
        <v/>
      </c>
      <c r="R257" s="31" t="str">
        <f>IFERROR(VLOOKUP($B257,#REF!,12,FALSE),"")</f>
        <v/>
      </c>
      <c r="S257" s="31">
        <f t="shared" si="487"/>
        <v>175803.60827842104</v>
      </c>
      <c r="T257" s="31">
        <f t="shared" si="488"/>
        <v>36234.169348297641</v>
      </c>
      <c r="U257" s="31">
        <f t="shared" si="489"/>
        <v>102534.71218060174</v>
      </c>
      <c r="V257" s="31">
        <f t="shared" si="490"/>
        <v>95393.456297193377</v>
      </c>
      <c r="W257" s="31">
        <f t="shared" si="419"/>
        <v>175803.60827842104</v>
      </c>
      <c r="X257" s="31">
        <f t="shared" si="420"/>
        <v>36234.169348297641</v>
      </c>
      <c r="Y257" s="31">
        <f t="shared" si="421"/>
        <v>102534.71218060174</v>
      </c>
      <c r="Z257" s="31">
        <f t="shared" si="422"/>
        <v>95393.456297193377</v>
      </c>
      <c r="AA257" s="31">
        <f t="shared" si="491"/>
        <v>175828.35802090209</v>
      </c>
      <c r="AB257" s="31">
        <f t="shared" si="492"/>
        <v>36821.436123327287</v>
      </c>
      <c r="AC257" s="31">
        <f t="shared" si="493"/>
        <v>102574.58075020183</v>
      </c>
      <c r="AD257" s="31">
        <f t="shared" si="494"/>
        <v>95430.548132445023</v>
      </c>
      <c r="AE257" s="31">
        <f t="shared" si="423"/>
        <v>410654.92302687623</v>
      </c>
      <c r="AF257" s="31">
        <f>IFERROR(VLOOKUP(A257,'Allocations By Type'!$D$7:$F$491,3,FALSE),"")</f>
        <v>398808.03</v>
      </c>
      <c r="AG257" s="31">
        <f t="shared" si="424"/>
        <v>16426.19692107505</v>
      </c>
      <c r="AH257" s="31">
        <f t="shared" si="425"/>
        <v>11846.893026876205</v>
      </c>
      <c r="AI257" s="31">
        <f t="shared" si="426"/>
        <v>398808.03</v>
      </c>
      <c r="AJ257" s="31">
        <f>AI257/$AI$577*'State Admin 1004(b)'!$B$30*0.01</f>
        <v>3795.2563333608446</v>
      </c>
      <c r="AK257" s="31">
        <f t="shared" si="427"/>
        <v>395012.77366663917</v>
      </c>
      <c r="AL257" s="31">
        <f t="shared" si="428"/>
        <v>3950.1277366663917</v>
      </c>
      <c r="AM257" s="31">
        <f t="shared" si="429"/>
        <v>391062.64592997276</v>
      </c>
      <c r="AP257" s="31"/>
      <c r="AQ257" s="4">
        <f t="shared" si="434"/>
        <v>0.98057866570533381</v>
      </c>
      <c r="AW257" s="31">
        <f t="shared" si="432"/>
        <v>389808.88464702107</v>
      </c>
      <c r="AX257" s="4">
        <f t="shared" si="433"/>
        <v>0.97743489429493446</v>
      </c>
      <c r="AZ257" s="174" t="str">
        <f>IFERROR(IF(VLOOKUP(A257,#REF!,11,FALSE)=0,"",VLOOKUP(A257,#REF!,11,FALSE)),"")</f>
        <v/>
      </c>
      <c r="BA257" s="31" t="str">
        <f t="shared" si="436"/>
        <v/>
      </c>
      <c r="BB257" s="31">
        <f t="shared" si="437"/>
        <v>389808.88464702107</v>
      </c>
      <c r="BD257" s="31" t="str">
        <f>IFERROR(VLOOKUP(A257,'Title II Hold Harmless'!A$1:B$439,2, FALSE),"")</f>
        <v/>
      </c>
      <c r="BE257" s="31">
        <f t="shared" si="438"/>
        <v>5419.3061159733543</v>
      </c>
      <c r="BF257" s="31">
        <f t="shared" si="439"/>
        <v>5424.5496180247592</v>
      </c>
      <c r="BG257" s="31" t="str">
        <f t="shared" si="440"/>
        <v/>
      </c>
      <c r="BH257" s="31">
        <f t="shared" si="441"/>
        <v>5424.5496180247592</v>
      </c>
    </row>
    <row r="258" spans="1:60" x14ac:dyDescent="0.3">
      <c r="A258" s="1">
        <v>78536000</v>
      </c>
      <c r="B258">
        <f>VLOOKUP(C258,'NCES ID'!$A$2:$B$3136,2,FALSE)</f>
        <v>400766</v>
      </c>
      <c r="C258">
        <f>VLOOKUP(A258,'State ID'!$A$2:$B$713,2,FALSE)</f>
        <v>89786</v>
      </c>
      <c r="D258" s="147" t="s">
        <v>207</v>
      </c>
      <c r="E258" t="s">
        <v>7</v>
      </c>
      <c r="I258" s="47">
        <f>VLOOKUP($C258,'Final SEA Counts'!$A$2:$F$709,5,FALSE)</f>
        <v>728</v>
      </c>
      <c r="J258" s="47">
        <f>VLOOKUP($C258,'Final SEA Counts'!$A$2:$F$709,6,FALSE)</f>
        <v>582</v>
      </c>
      <c r="K258" s="24">
        <f t="shared" si="430"/>
        <v>728</v>
      </c>
      <c r="L258" s="24">
        <f t="shared" si="486"/>
        <v>287.59016795733913</v>
      </c>
      <c r="M258" s="4">
        <f t="shared" si="435"/>
        <v>0.39504143950183945</v>
      </c>
      <c r="N258" s="31" t="str">
        <f>IFERROR(VLOOKUP($B258,#REF!,8,FALSE),"")</f>
        <v/>
      </c>
      <c r="O258" s="31" t="str">
        <f>IFERROR(VLOOKUP($B258,#REF!,9,FALSE),"")</f>
        <v/>
      </c>
      <c r="P258" s="31" t="str">
        <f>IFERROR(VLOOKUP($B258,#REF!,10,FALSE),"")</f>
        <v/>
      </c>
      <c r="Q258" s="31" t="str">
        <f>IFERROR(VLOOKUP($B258,#REF!,11,FALSE),"")</f>
        <v/>
      </c>
      <c r="R258" s="31" t="str">
        <f>IFERROR(VLOOKUP($B258,#REF!,12,FALSE),"")</f>
        <v/>
      </c>
      <c r="S258" s="31">
        <f t="shared" si="487"/>
        <v>138641.86994314505</v>
      </c>
      <c r="T258" s="31">
        <f t="shared" si="488"/>
        <v>28574.914038901392</v>
      </c>
      <c r="U258" s="31">
        <f t="shared" si="489"/>
        <v>80860.707979824132</v>
      </c>
      <c r="V258" s="31">
        <f t="shared" si="490"/>
        <v>75228.985860388275</v>
      </c>
      <c r="W258" s="31">
        <f t="shared" si="419"/>
        <v>138641.86994314505</v>
      </c>
      <c r="X258" s="31">
        <f t="shared" si="420"/>
        <v>28574.914038901392</v>
      </c>
      <c r="Y258" s="31">
        <f t="shared" si="421"/>
        <v>80860.707979824132</v>
      </c>
      <c r="Z258" s="31">
        <f t="shared" si="422"/>
        <v>75228.985860388275</v>
      </c>
      <c r="AA258" s="31">
        <f t="shared" si="491"/>
        <v>138666.61968562609</v>
      </c>
      <c r="AB258" s="31">
        <f t="shared" si="492"/>
        <v>29162.180813931041</v>
      </c>
      <c r="AC258" s="31">
        <f t="shared" si="493"/>
        <v>80900.576549424222</v>
      </c>
      <c r="AD258" s="31">
        <f t="shared" si="494"/>
        <v>75266.07769563992</v>
      </c>
      <c r="AE258" s="31">
        <f t="shared" si="423"/>
        <v>323995.4547446213</v>
      </c>
      <c r="AF258" s="31">
        <f>IFERROR(VLOOKUP(A258,'Allocations By Type'!$D$7:$F$491,3,FALSE),"")</f>
        <v>257517.16</v>
      </c>
      <c r="AG258" s="31">
        <f t="shared" si="424"/>
        <v>12959.818189784852</v>
      </c>
      <c r="AH258" s="31">
        <f t="shared" si="425"/>
        <v>12959.818189784852</v>
      </c>
      <c r="AI258" s="31">
        <f t="shared" si="426"/>
        <v>311035.63655483647</v>
      </c>
      <c r="AJ258" s="31">
        <f>AI258/$AI$577*'State Admin 1004(b)'!$B$30*0.01</f>
        <v>2959.9704136741298</v>
      </c>
      <c r="AK258" s="31">
        <f t="shared" si="427"/>
        <v>308075.66614116234</v>
      </c>
      <c r="AL258" s="31">
        <f t="shared" si="428"/>
        <v>3080.7566614116236</v>
      </c>
      <c r="AM258" s="31">
        <f t="shared" si="429"/>
        <v>304994.90947975073</v>
      </c>
      <c r="AP258" s="31"/>
      <c r="AQ258" s="4">
        <f t="shared" si="434"/>
        <v>1.1843673232484806</v>
      </c>
      <c r="AW258" s="31">
        <f t="shared" si="432"/>
        <v>304017.08453793428</v>
      </c>
      <c r="AX258" s="4">
        <f t="shared" si="433"/>
        <v>1.1805701978770435</v>
      </c>
      <c r="AZ258" s="174" t="str">
        <f>IFERROR(IF(VLOOKUP(A258,#REF!,11,FALSE)=0,"",VLOOKUP(A258,#REF!,11,FALSE)),"")</f>
        <v/>
      </c>
      <c r="BA258" s="31" t="str">
        <f t="shared" si="436"/>
        <v/>
      </c>
      <c r="BB258" s="31">
        <f t="shared" si="437"/>
        <v>304017.08453793428</v>
      </c>
      <c r="BD258" s="31" t="str">
        <f>IFERROR(VLOOKUP(A258,'Title II Hold Harmless'!A$1:B$439,2, FALSE),"")</f>
        <v/>
      </c>
      <c r="BE258" s="31">
        <f t="shared" si="438"/>
        <v>4350.6430048857183</v>
      </c>
      <c r="BF258" s="31">
        <f t="shared" si="439"/>
        <v>4354.8525116072169</v>
      </c>
      <c r="BG258" s="31" t="str">
        <f t="shared" si="440"/>
        <v/>
      </c>
      <c r="BH258" s="31">
        <f t="shared" si="441"/>
        <v>4354.8525116072169</v>
      </c>
    </row>
    <row r="259" spans="1:60" x14ac:dyDescent="0.3">
      <c r="A259" s="1">
        <v>78532000</v>
      </c>
      <c r="B259">
        <f>VLOOKUP(C259,'NCES ID'!$A$2:$B$3136,2,FALSE)</f>
        <v>400754</v>
      </c>
      <c r="C259">
        <f>VLOOKUP(A259,'State ID'!$A$2:$B$713,2,FALSE)</f>
        <v>89563</v>
      </c>
      <c r="D259" s="147" t="s">
        <v>208</v>
      </c>
      <c r="E259" t="s">
        <v>7</v>
      </c>
      <c r="I259" s="47">
        <f>VLOOKUP($C259,'Final SEA Counts'!$A$2:$F$709,5,FALSE)</f>
        <v>343</v>
      </c>
      <c r="J259" s="47">
        <f>VLOOKUP($C259,'Final SEA Counts'!$A$2:$F$709,6,FALSE)</f>
        <v>316</v>
      </c>
      <c r="K259" s="24">
        <f t="shared" si="430"/>
        <v>343</v>
      </c>
      <c r="L259" s="24">
        <f t="shared" si="486"/>
        <v>156.14861353010164</v>
      </c>
      <c r="M259" s="4">
        <f t="shared" si="435"/>
        <v>0.45524377122478615</v>
      </c>
      <c r="N259" s="31" t="str">
        <f>IFERROR(VLOOKUP($B259,#REF!,8,FALSE),"")</f>
        <v/>
      </c>
      <c r="O259" s="31" t="str">
        <f>IFERROR(VLOOKUP($B259,#REF!,9,FALSE),"")</f>
        <v/>
      </c>
      <c r="P259" s="31" t="str">
        <f>IFERROR(VLOOKUP($B259,#REF!,10,FALSE),"")</f>
        <v/>
      </c>
      <c r="Q259" s="31" t="str">
        <f>IFERROR(VLOOKUP($B259,#REF!,11,FALSE),"")</f>
        <v/>
      </c>
      <c r="R259" s="31" t="str">
        <f>IFERROR(VLOOKUP($B259,#REF!,12,FALSE),"")</f>
        <v/>
      </c>
      <c r="S259" s="31">
        <f t="shared" si="487"/>
        <v>75276.341756071881</v>
      </c>
      <c r="T259" s="31">
        <f t="shared" si="488"/>
        <v>15514.901780571889</v>
      </c>
      <c r="U259" s="31">
        <f t="shared" si="489"/>
        <v>43903.752099011035</v>
      </c>
      <c r="V259" s="31">
        <f t="shared" si="490"/>
        <v>40845.978577118025</v>
      </c>
      <c r="W259" s="31">
        <f t="shared" si="419"/>
        <v>75276.341756071881</v>
      </c>
      <c r="X259" s="31">
        <f t="shared" si="420"/>
        <v>15514.901780571889</v>
      </c>
      <c r="Y259" s="31">
        <f t="shared" si="421"/>
        <v>43903.752099011035</v>
      </c>
      <c r="Z259" s="31">
        <f t="shared" si="422"/>
        <v>40845.978577118025</v>
      </c>
      <c r="AA259" s="31">
        <f t="shared" si="491"/>
        <v>75301.091498552909</v>
      </c>
      <c r="AB259" s="31">
        <f t="shared" si="492"/>
        <v>16102.168555601536</v>
      </c>
      <c r="AC259" s="31">
        <f t="shared" si="493"/>
        <v>43943.620668611133</v>
      </c>
      <c r="AD259" s="31">
        <f t="shared" si="494"/>
        <v>40883.070412369671</v>
      </c>
      <c r="AE259" s="31">
        <f t="shared" si="423"/>
        <v>176229.95113513526</v>
      </c>
      <c r="AF259" s="31">
        <f>IFERROR(VLOOKUP(A259,'Allocations By Type'!$D$7:$F$491,3,FALSE),"")</f>
        <v>154327.20000000001</v>
      </c>
      <c r="AG259" s="31">
        <f t="shared" si="424"/>
        <v>7049.1980454054101</v>
      </c>
      <c r="AH259" s="31">
        <f t="shared" si="425"/>
        <v>7049.1980454054101</v>
      </c>
      <c r="AI259" s="31">
        <f t="shared" si="426"/>
        <v>169180.75308972984</v>
      </c>
      <c r="AJ259" s="31">
        <f>AI259/$AI$577*'State Admin 1004(b)'!$B$30*0.01</f>
        <v>1610.0085162441549</v>
      </c>
      <c r="AK259" s="31">
        <f t="shared" si="427"/>
        <v>167570.74457348569</v>
      </c>
      <c r="AL259" s="31">
        <f t="shared" si="428"/>
        <v>1675.7074457348569</v>
      </c>
      <c r="AM259" s="31">
        <f t="shared" si="429"/>
        <v>165895.03712775084</v>
      </c>
      <c r="AP259" s="31"/>
      <c r="AQ259" s="4">
        <f t="shared" si="434"/>
        <v>1.0749565671362586</v>
      </c>
      <c r="AW259" s="31">
        <f t="shared" si="432"/>
        <v>165363.17151299751</v>
      </c>
      <c r="AX259" s="4">
        <f t="shared" si="433"/>
        <v>1.0715102166889408</v>
      </c>
      <c r="AZ259" s="174" t="str">
        <f>IFERROR(IF(VLOOKUP(A259,#REF!,11,FALSE)=0,"",VLOOKUP(A259,#REF!,11,FALSE)),"")</f>
        <v/>
      </c>
      <c r="BA259" s="31" t="str">
        <f t="shared" si="436"/>
        <v/>
      </c>
      <c r="BB259" s="31">
        <f t="shared" si="437"/>
        <v>165363.17151299751</v>
      </c>
      <c r="BD259" s="31" t="str">
        <f>IFERROR(VLOOKUP(A259,'Title II Hold Harmless'!A$1:B$439,2, FALSE),"")</f>
        <v/>
      </c>
      <c r="BE259" s="31">
        <f t="shared" si="438"/>
        <v>2320.136724038091</v>
      </c>
      <c r="BF259" s="31">
        <f t="shared" si="439"/>
        <v>2322.3815947672374</v>
      </c>
      <c r="BG259" s="31" t="str">
        <f t="shared" si="440"/>
        <v/>
      </c>
      <c r="BH259" s="31">
        <f t="shared" si="441"/>
        <v>2322.3815947672374</v>
      </c>
    </row>
    <row r="260" spans="1:60" x14ac:dyDescent="0.3">
      <c r="A260" s="1">
        <v>78523000</v>
      </c>
      <c r="B260">
        <f>VLOOKUP(C260,'NCES ID'!$A$2:$B$3136,2,FALSE)</f>
        <v>400446</v>
      </c>
      <c r="C260">
        <f>VLOOKUP(A260,'State ID'!$A$2:$B$713,2,FALSE)</f>
        <v>88374</v>
      </c>
      <c r="D260" s="147" t="s">
        <v>209</v>
      </c>
      <c r="E260" t="s">
        <v>7</v>
      </c>
      <c r="I260" s="47">
        <f>VLOOKUP($C260,'Final SEA Counts'!$A$2:$F$709,5,FALSE)</f>
        <v>243</v>
      </c>
      <c r="J260" s="47">
        <f>VLOOKUP($C260,'Final SEA Counts'!$A$2:$F$709,6,FALSE)</f>
        <v>179</v>
      </c>
      <c r="K260" s="24">
        <f t="shared" si="430"/>
        <v>243</v>
      </c>
      <c r="L260" s="24">
        <f t="shared" si="486"/>
        <v>88.451271588253775</v>
      </c>
      <c r="M260" s="4">
        <f t="shared" si="435"/>
        <v>0.36399700242079741</v>
      </c>
      <c r="N260" s="31" t="str">
        <f>IFERROR(VLOOKUP($B260,#REF!,8,FALSE),"")</f>
        <v/>
      </c>
      <c r="O260" s="31" t="str">
        <f>IFERROR(VLOOKUP($B260,#REF!,9,FALSE),"")</f>
        <v/>
      </c>
      <c r="P260" s="31" t="str">
        <f>IFERROR(VLOOKUP($B260,#REF!,10,FALSE),"")</f>
        <v/>
      </c>
      <c r="Q260" s="31" t="str">
        <f>IFERROR(VLOOKUP($B260,#REF!,11,FALSE),"")</f>
        <v/>
      </c>
      <c r="R260" s="31" t="str">
        <f>IFERROR(VLOOKUP($B260,#REF!,12,FALSE),"")</f>
        <v/>
      </c>
      <c r="S260" s="31">
        <f t="shared" si="487"/>
        <v>42640.712577015394</v>
      </c>
      <c r="T260" s="31">
        <f t="shared" si="488"/>
        <v>8788.5044896277468</v>
      </c>
      <c r="U260" s="31">
        <f t="shared" si="489"/>
        <v>24869.530461148657</v>
      </c>
      <c r="V260" s="31">
        <f t="shared" si="490"/>
        <v>23137.437231975084</v>
      </c>
      <c r="W260" s="31">
        <f t="shared" si="419"/>
        <v>42640.712577015394</v>
      </c>
      <c r="X260" s="31">
        <f t="shared" si="420"/>
        <v>8788.5044896277468</v>
      </c>
      <c r="Y260" s="31">
        <f t="shared" si="421"/>
        <v>24869.530461148657</v>
      </c>
      <c r="Z260" s="31">
        <f t="shared" si="422"/>
        <v>23137.437231975084</v>
      </c>
      <c r="AA260" s="31">
        <f t="shared" si="491"/>
        <v>42665.46231949643</v>
      </c>
      <c r="AB260" s="31">
        <f t="shared" si="492"/>
        <v>9375.7712646573946</v>
      </c>
      <c r="AC260" s="31">
        <f t="shared" si="493"/>
        <v>24909.399030748755</v>
      </c>
      <c r="AD260" s="31">
        <f t="shared" si="494"/>
        <v>23174.529067226729</v>
      </c>
      <c r="AE260" s="31">
        <f t="shared" si="423"/>
        <v>100125.1616821293</v>
      </c>
      <c r="AF260" s="31">
        <f>IFERROR(VLOOKUP(A260,'Allocations By Type'!$D$7:$F$491,3,FALSE),"")</f>
        <v>142057.97</v>
      </c>
      <c r="AG260" s="31" t="str">
        <f t="shared" si="424"/>
        <v/>
      </c>
      <c r="AH260" s="31" t="str">
        <f t="shared" si="425"/>
        <v/>
      </c>
      <c r="AI260" s="31">
        <f t="shared" si="426"/>
        <v>100125.1616821293</v>
      </c>
      <c r="AJ260" s="31">
        <f>AI260/$AI$577*'State Admin 1004(b)'!$B$30*0.01</f>
        <v>952.84102981296473</v>
      </c>
      <c r="AK260" s="31">
        <f t="shared" si="427"/>
        <v>99172.320652316339</v>
      </c>
      <c r="AL260" s="31">
        <f t="shared" si="428"/>
        <v>991.72320652316341</v>
      </c>
      <c r="AM260" s="31">
        <f t="shared" si="429"/>
        <v>98180.597445793173</v>
      </c>
      <c r="AP260" s="31"/>
      <c r="AQ260" s="4">
        <f t="shared" si="434"/>
        <v>0.69113051133838654</v>
      </c>
      <c r="AW260" s="31">
        <f t="shared" si="432"/>
        <v>97865.826825035285</v>
      </c>
      <c r="AX260" s="4">
        <f t="shared" si="433"/>
        <v>0.68891472139884358</v>
      </c>
      <c r="AZ260" s="174" t="str">
        <f>IFERROR(IF(VLOOKUP(A260,#REF!,11,FALSE)=0,"",VLOOKUP(A260,#REF!,11,FALSE)),"")</f>
        <v/>
      </c>
      <c r="BA260" s="31" t="str">
        <f t="shared" si="436"/>
        <v/>
      </c>
      <c r="BB260" s="31">
        <f t="shared" si="437"/>
        <v>97865.826825035285</v>
      </c>
      <c r="BD260" s="31" t="str">
        <f>IFERROR(VLOOKUP(A260,'Title II Hold Harmless'!A$1:B$439,2, FALSE),"")</f>
        <v/>
      </c>
      <c r="BE260" s="31">
        <f t="shared" si="438"/>
        <v>1353.4529924803346</v>
      </c>
      <c r="BF260" s="31">
        <f t="shared" si="439"/>
        <v>1354.7625390146468</v>
      </c>
      <c r="BG260" s="31" t="str">
        <f t="shared" si="440"/>
        <v/>
      </c>
      <c r="BH260" s="31">
        <f t="shared" si="441"/>
        <v>1354.7625390146468</v>
      </c>
    </row>
    <row r="261" spans="1:60" x14ac:dyDescent="0.3">
      <c r="A261" s="1">
        <v>78521000</v>
      </c>
      <c r="B261">
        <f>VLOOKUP(C261,'NCES ID'!$A$2:$B$3136,2,FALSE)</f>
        <v>400442</v>
      </c>
      <c r="C261">
        <f>VLOOKUP(A261,'State ID'!$A$2:$B$713,2,FALSE)</f>
        <v>88369</v>
      </c>
      <c r="D261" s="147" t="s">
        <v>210</v>
      </c>
      <c r="E261" t="s">
        <v>7</v>
      </c>
      <c r="I261" s="47">
        <f>VLOOKUP($C261,'Final SEA Counts'!$A$2:$F$709,5,FALSE)</f>
        <v>134</v>
      </c>
      <c r="J261" s="47">
        <f>VLOOKUP($C261,'Final SEA Counts'!$A$2:$F$709,6,FALSE)</f>
        <v>67</v>
      </c>
      <c r="K261" s="24">
        <f t="shared" si="430"/>
        <v>134</v>
      </c>
      <c r="L261" s="24">
        <f t="shared" si="486"/>
        <v>33.107459197838004</v>
      </c>
      <c r="M261" s="4">
        <f t="shared" si="435"/>
        <v>0.24707059102864182</v>
      </c>
      <c r="N261" s="31" t="str">
        <f>IFERROR(VLOOKUP($B261,#REF!,8,FALSE),"")</f>
        <v/>
      </c>
      <c r="O261" s="31" t="str">
        <f>IFERROR(VLOOKUP($B261,#REF!,9,FALSE),"")</f>
        <v/>
      </c>
      <c r="P261" s="31" t="str">
        <f>IFERROR(VLOOKUP($B261,#REF!,10,FALSE),"")</f>
        <v/>
      </c>
      <c r="Q261" s="31" t="str">
        <f>IFERROR(VLOOKUP($B261,#REF!,11,FALSE),"")</f>
        <v/>
      </c>
      <c r="R261" s="31" t="str">
        <f>IFERROR(VLOOKUP($B261,#REF!,12,FALSE),"")</f>
        <v/>
      </c>
      <c r="S261" s="31">
        <f t="shared" si="487"/>
        <v>15960.490182458276</v>
      </c>
      <c r="T261" s="31">
        <f t="shared" si="488"/>
        <v>3289.551959804799</v>
      </c>
      <c r="U261" s="31">
        <f t="shared" si="489"/>
        <v>9308.706932385252</v>
      </c>
      <c r="V261" s="31">
        <f t="shared" si="490"/>
        <v>8660.3815337560372</v>
      </c>
      <c r="W261" s="31">
        <f t="shared" si="419"/>
        <v>15960.490182458276</v>
      </c>
      <c r="X261" s="31">
        <f t="shared" si="420"/>
        <v>3289.551959804799</v>
      </c>
      <c r="Y261" s="31">
        <f t="shared" si="421"/>
        <v>9308.706932385252</v>
      </c>
      <c r="Z261" s="31">
        <f t="shared" si="422"/>
        <v>8660.3815337560372</v>
      </c>
      <c r="AA261" s="31">
        <f t="shared" si="491"/>
        <v>15985.239924939311</v>
      </c>
      <c r="AB261" s="31">
        <f t="shared" si="492"/>
        <v>3876.8187348344472</v>
      </c>
      <c r="AC261" s="31">
        <f t="shared" si="493"/>
        <v>9348.5755019853477</v>
      </c>
      <c r="AD261" s="31">
        <f t="shared" si="494"/>
        <v>8697.4733690076828</v>
      </c>
      <c r="AE261" s="31">
        <f t="shared" si="423"/>
        <v>37908.107530766785</v>
      </c>
      <c r="AF261" s="31">
        <f>IFERROR(VLOOKUP(A261,'Allocations By Type'!$D$7:$F$491,3,FALSE),"")</f>
        <v>38423.5</v>
      </c>
      <c r="AG261" s="31" t="str">
        <f t="shared" si="424"/>
        <v/>
      </c>
      <c r="AH261" s="31" t="str">
        <f t="shared" si="425"/>
        <v/>
      </c>
      <c r="AI261" s="31">
        <f t="shared" si="426"/>
        <v>37908.107530766785</v>
      </c>
      <c r="AJ261" s="31">
        <f>AI261/$AI$577*'State Admin 1004(b)'!$B$30*0.01</f>
        <v>360.75247830859007</v>
      </c>
      <c r="AK261" s="31">
        <f t="shared" si="427"/>
        <v>37547.355052458195</v>
      </c>
      <c r="AL261" s="31">
        <f t="shared" si="428"/>
        <v>375.47355052458198</v>
      </c>
      <c r="AM261" s="31">
        <f t="shared" si="429"/>
        <v>37171.881501933611</v>
      </c>
      <c r="AP261" s="31"/>
      <c r="AQ261" s="4">
        <f t="shared" si="434"/>
        <v>0.96742570307061071</v>
      </c>
      <c r="AW261" s="31">
        <f t="shared" si="432"/>
        <v>37052.70707725604</v>
      </c>
      <c r="AX261" s="4">
        <f t="shared" si="433"/>
        <v>0.96432410054409512</v>
      </c>
      <c r="AZ261" s="174" t="str">
        <f>IFERROR(IF(VLOOKUP(A261,#REF!,11,FALSE)=0,"",VLOOKUP(A261,#REF!,11,FALSE)),"")</f>
        <v/>
      </c>
      <c r="BA261" s="31" t="str">
        <f t="shared" si="436"/>
        <v/>
      </c>
      <c r="BB261" s="31">
        <f t="shared" si="437"/>
        <v>37052.70707725604</v>
      </c>
      <c r="BD261" s="31" t="str">
        <f>IFERROR(VLOOKUP(A261,'Title II Hold Harmless'!A$1:B$439,2, FALSE),"")</f>
        <v/>
      </c>
      <c r="BE261" s="31">
        <f t="shared" si="438"/>
        <v>541.24207879171149</v>
      </c>
      <c r="BF261" s="31">
        <f t="shared" si="439"/>
        <v>541.76576280027598</v>
      </c>
      <c r="BG261" s="31" t="str">
        <f t="shared" si="440"/>
        <v/>
      </c>
      <c r="BH261" s="31">
        <f t="shared" si="441"/>
        <v>541.76576280027598</v>
      </c>
    </row>
    <row r="262" spans="1:60" x14ac:dyDescent="0.3">
      <c r="A262" s="1">
        <v>78522000</v>
      </c>
      <c r="B262">
        <f>VLOOKUP(C262,'NCES ID'!$A$2:$B$3136,2,FALSE)</f>
        <v>400441</v>
      </c>
      <c r="C262">
        <f>VLOOKUP(A262,'State ID'!$A$2:$B$713,2,FALSE)</f>
        <v>88372</v>
      </c>
      <c r="D262" s="147" t="s">
        <v>211</v>
      </c>
      <c r="E262" t="s">
        <v>7</v>
      </c>
      <c r="I262" s="47">
        <f>VLOOKUP($C262,'Final SEA Counts'!$A$2:$F$709,5,FALSE)</f>
        <v>363</v>
      </c>
      <c r="J262" s="47">
        <f>VLOOKUP($C262,'Final SEA Counts'!$A$2:$F$709,6,FALSE)</f>
        <v>105</v>
      </c>
      <c r="K262" s="24">
        <f t="shared" si="430"/>
        <v>363</v>
      </c>
      <c r="L262" s="24">
        <f t="shared" si="486"/>
        <v>51.884824116014791</v>
      </c>
      <c r="M262" s="4">
        <f t="shared" si="435"/>
        <v>0.14293339976863578</v>
      </c>
      <c r="N262" s="31" t="str">
        <f>IFERROR(VLOOKUP($B262,#REF!,8,FALSE),"")</f>
        <v/>
      </c>
      <c r="O262" s="31" t="str">
        <f>IFERROR(VLOOKUP($B262,#REF!,9,FALSE),"")</f>
        <v/>
      </c>
      <c r="P262" s="31" t="str">
        <f>IFERROR(VLOOKUP($B262,#REF!,10,FALSE),"")</f>
        <v/>
      </c>
      <c r="Q262" s="31" t="str">
        <f>IFERROR(VLOOKUP($B262,#REF!,11,FALSE),"")</f>
        <v/>
      </c>
      <c r="R262" s="31" t="str">
        <f>IFERROR(VLOOKUP($B262,#REF!,12,FALSE),"")</f>
        <v/>
      </c>
      <c r="S262" s="31">
        <f t="shared" si="487"/>
        <v>25012.708494897302</v>
      </c>
      <c r="T262" s="31">
        <f t="shared" si="488"/>
        <v>5155.2679967090144</v>
      </c>
      <c r="U262" s="31">
        <f t="shared" si="489"/>
        <v>14588.272058215694</v>
      </c>
      <c r="V262" s="31">
        <f t="shared" si="490"/>
        <v>13572.239717080358</v>
      </c>
      <c r="W262" s="31">
        <f t="shared" si="419"/>
        <v>25012.708494897302</v>
      </c>
      <c r="X262" s="31" t="str">
        <f t="shared" si="420"/>
        <v/>
      </c>
      <c r="Y262" s="31">
        <f t="shared" si="421"/>
        <v>14588.272058215694</v>
      </c>
      <c r="Z262" s="31">
        <f t="shared" si="422"/>
        <v>13572.239717080358</v>
      </c>
      <c r="AA262" s="31">
        <f t="shared" si="491"/>
        <v>25037.458237378338</v>
      </c>
      <c r="AB262" s="31" t="str">
        <f t="shared" si="492"/>
        <v/>
      </c>
      <c r="AC262" s="31">
        <f t="shared" si="493"/>
        <v>14628.14062781579</v>
      </c>
      <c r="AD262" s="31">
        <f t="shared" si="494"/>
        <v>13609.331552332003</v>
      </c>
      <c r="AE262" s="31">
        <f t="shared" si="423"/>
        <v>53274.930417526135</v>
      </c>
      <c r="AF262" s="31">
        <f>IFERROR(VLOOKUP(A262,'Allocations By Type'!$D$7:$F$491,3,FALSE),"")</f>
        <v>57487.4</v>
      </c>
      <c r="AG262" s="31" t="str">
        <f t="shared" si="424"/>
        <v/>
      </c>
      <c r="AH262" s="31" t="str">
        <f t="shared" si="425"/>
        <v/>
      </c>
      <c r="AI262" s="31">
        <f t="shared" si="426"/>
        <v>53274.930417526135</v>
      </c>
      <c r="AJ262" s="31">
        <f>AI262/$AI$577*'State Admin 1004(b)'!$B$30*0.01</f>
        <v>506.9908373622124</v>
      </c>
      <c r="AK262" s="31">
        <f t="shared" si="427"/>
        <v>52767.939580163926</v>
      </c>
      <c r="AL262" s="31">
        <f t="shared" si="428"/>
        <v>527.67939580163932</v>
      </c>
      <c r="AM262" s="31">
        <f t="shared" si="429"/>
        <v>52240.260184362283</v>
      </c>
      <c r="AP262" s="31"/>
      <c r="AQ262" s="4">
        <f t="shared" si="434"/>
        <v>0.90872539346643411</v>
      </c>
      <c r="AW262" s="31">
        <f t="shared" si="432"/>
        <v>52072.775981224651</v>
      </c>
      <c r="AX262" s="4">
        <f t="shared" si="433"/>
        <v>0.90581198630003534</v>
      </c>
      <c r="AZ262" s="174" t="str">
        <f>IFERROR(IF(VLOOKUP(A262,#REF!,11,FALSE)=0,"",VLOOKUP(A262,#REF!,11,FALSE)),"")</f>
        <v/>
      </c>
      <c r="BA262" s="31" t="str">
        <f t="shared" si="436"/>
        <v/>
      </c>
      <c r="BB262" s="31">
        <f t="shared" si="437"/>
        <v>52072.775981224651</v>
      </c>
      <c r="BD262" s="31" t="str">
        <f>IFERROR(VLOOKUP(A262,'Title II Hold Harmless'!A$1:B$439,2, FALSE),"")</f>
        <v/>
      </c>
      <c r="BE262" s="31">
        <f t="shared" si="438"/>
        <v>971.34955059865149</v>
      </c>
      <c r="BF262" s="31">
        <f t="shared" si="439"/>
        <v>972.28938925182933</v>
      </c>
      <c r="BG262" s="31" t="str">
        <f t="shared" si="440"/>
        <v/>
      </c>
      <c r="BH262" s="31">
        <f t="shared" si="441"/>
        <v>972.28938925182933</v>
      </c>
    </row>
    <row r="263" spans="1:60" x14ac:dyDescent="0.3">
      <c r="A263" s="1">
        <v>78547000</v>
      </c>
      <c r="B263">
        <f>VLOOKUP(C263,'NCES ID'!$A$2:$B$3136,2,FALSE)</f>
        <v>400769</v>
      </c>
      <c r="C263">
        <f>VLOOKUP(A263,'State ID'!$A$2:$B$713,2,FALSE)</f>
        <v>90034</v>
      </c>
      <c r="D263" s="147" t="s">
        <v>212</v>
      </c>
      <c r="E263" t="s">
        <v>7</v>
      </c>
      <c r="I263" s="47">
        <f>VLOOKUP($C263,'Final SEA Counts'!$A$2:$F$709,5,FALSE)</f>
        <v>535</v>
      </c>
      <c r="J263" s="47">
        <f>VLOOKUP($C263,'Final SEA Counts'!$A$2:$F$709,6,FALSE)</f>
        <v>375</v>
      </c>
      <c r="K263" s="24">
        <f t="shared" si="430"/>
        <v>535</v>
      </c>
      <c r="L263" s="24">
        <f t="shared" si="486"/>
        <v>185.30294327148138</v>
      </c>
      <c r="M263" s="4">
        <f t="shared" si="435"/>
        <v>0.34636064162893715</v>
      </c>
      <c r="N263" s="31" t="str">
        <f>IFERROR(VLOOKUP($B263,#REF!,8,FALSE),"")</f>
        <v/>
      </c>
      <c r="O263" s="31" t="str">
        <f>IFERROR(VLOOKUP($B263,#REF!,9,FALSE),"")</f>
        <v/>
      </c>
      <c r="P263" s="31" t="str">
        <f>IFERROR(VLOOKUP($B263,#REF!,10,FALSE),"")</f>
        <v/>
      </c>
      <c r="Q263" s="31" t="str">
        <f>IFERROR(VLOOKUP($B263,#REF!,11,FALSE),"")</f>
        <v/>
      </c>
      <c r="R263" s="31" t="str">
        <f>IFERROR(VLOOKUP($B263,#REF!,12,FALSE),"")</f>
        <v/>
      </c>
      <c r="S263" s="31">
        <f t="shared" si="487"/>
        <v>89331.101767490356</v>
      </c>
      <c r="T263" s="31">
        <f t="shared" si="488"/>
        <v>18411.671416817906</v>
      </c>
      <c r="U263" s="31">
        <f t="shared" si="489"/>
        <v>52100.971636484617</v>
      </c>
      <c r="V263" s="31">
        <f t="shared" si="490"/>
        <v>48472.284703858415</v>
      </c>
      <c r="W263" s="31">
        <f t="shared" si="419"/>
        <v>89331.101767490356</v>
      </c>
      <c r="X263" s="31">
        <f t="shared" si="420"/>
        <v>18411.671416817906</v>
      </c>
      <c r="Y263" s="31">
        <f t="shared" si="421"/>
        <v>52100.971636484617</v>
      </c>
      <c r="Z263" s="31">
        <f t="shared" si="422"/>
        <v>48472.284703858415</v>
      </c>
      <c r="AA263" s="31">
        <f t="shared" si="491"/>
        <v>89355.851509971384</v>
      </c>
      <c r="AB263" s="31">
        <f t="shared" si="492"/>
        <v>18998.938191847556</v>
      </c>
      <c r="AC263" s="31">
        <f t="shared" si="493"/>
        <v>52140.840206084715</v>
      </c>
      <c r="AD263" s="31">
        <f t="shared" si="494"/>
        <v>48509.376539110061</v>
      </c>
      <c r="AE263" s="31">
        <f t="shared" si="423"/>
        <v>209005.00644701373</v>
      </c>
      <c r="AF263" s="31">
        <f>IFERROR(VLOOKUP(A263,'Allocations By Type'!$D$7:$F$491,3,FALSE),"")</f>
        <v>171790.12</v>
      </c>
      <c r="AG263" s="31">
        <f t="shared" si="424"/>
        <v>8360.2002578805495</v>
      </c>
      <c r="AH263" s="31">
        <f t="shared" si="425"/>
        <v>8360.2002578805495</v>
      </c>
      <c r="AI263" s="31">
        <f t="shared" si="426"/>
        <v>200644.80618913317</v>
      </c>
      <c r="AJ263" s="31">
        <f>AI263/$AI$577*'State Admin 1004(b)'!$B$30*0.01</f>
        <v>1909.4361551477959</v>
      </c>
      <c r="AK263" s="31">
        <f t="shared" si="427"/>
        <v>198735.37003398538</v>
      </c>
      <c r="AL263" s="31">
        <f t="shared" si="428"/>
        <v>1987.353700339854</v>
      </c>
      <c r="AM263" s="31">
        <f t="shared" si="429"/>
        <v>196748.01633364553</v>
      </c>
      <c r="AP263" s="31"/>
      <c r="AQ263" s="4">
        <f t="shared" si="434"/>
        <v>1.1452813254548373</v>
      </c>
      <c r="AW263" s="31">
        <f t="shared" si="432"/>
        <v>196117.23492830302</v>
      </c>
      <c r="AX263" s="4">
        <f t="shared" si="433"/>
        <v>1.1416095112355882</v>
      </c>
      <c r="AZ263" s="174" t="str">
        <f>IFERROR(IF(VLOOKUP(A263,#REF!,11,FALSE)=0,"",VLOOKUP(A263,#REF!,11,FALSE)),"")</f>
        <v/>
      </c>
      <c r="BA263" s="31" t="str">
        <f t="shared" si="436"/>
        <v/>
      </c>
      <c r="BB263" s="31">
        <f t="shared" si="437"/>
        <v>196117.23492830302</v>
      </c>
      <c r="BD263" s="31" t="str">
        <f>IFERROR(VLOOKUP(A263,'Title II Hold Harmless'!A$1:B$439,2, FALSE),"")</f>
        <v/>
      </c>
      <c r="BE263" s="31">
        <f t="shared" si="438"/>
        <v>2856.3080599964655</v>
      </c>
      <c r="BF263" s="31">
        <f t="shared" si="439"/>
        <v>2859.0717084879007</v>
      </c>
      <c r="BG263" s="31" t="str">
        <f t="shared" si="440"/>
        <v/>
      </c>
      <c r="BH263" s="31">
        <f t="shared" si="441"/>
        <v>2859.0717084879007</v>
      </c>
    </row>
    <row r="264" spans="1:60" x14ac:dyDescent="0.3">
      <c r="A264" s="1">
        <v>78537000</v>
      </c>
      <c r="B264">
        <f>VLOOKUP(C264,'NCES ID'!$A$2:$B$3136,2,FALSE)</f>
        <v>400783</v>
      </c>
      <c r="C264">
        <f>VLOOKUP(A264,'State ID'!$A$2:$B$713,2,FALSE)</f>
        <v>89788</v>
      </c>
      <c r="D264" s="147" t="s">
        <v>213</v>
      </c>
      <c r="E264" t="s">
        <v>7</v>
      </c>
      <c r="I264" s="47">
        <f>VLOOKUP($C264,'Final SEA Counts'!$A$2:$F$709,5,FALSE)</f>
        <v>224</v>
      </c>
      <c r="J264" s="47">
        <f>VLOOKUP($C264,'Final SEA Counts'!$A$2:$F$709,6,FALSE)</f>
        <v>116</v>
      </c>
      <c r="K264" s="24">
        <f t="shared" si="430"/>
        <v>224</v>
      </c>
      <c r="L264" s="24">
        <f t="shared" si="486"/>
        <v>57.320377118644906</v>
      </c>
      <c r="M264" s="4">
        <f t="shared" si="435"/>
        <v>0.2558945407082362</v>
      </c>
      <c r="N264" s="31" t="str">
        <f>IFERROR(VLOOKUP($B264,#REF!,8,FALSE),"")</f>
        <v/>
      </c>
      <c r="O264" s="31" t="str">
        <f>IFERROR(VLOOKUP($B264,#REF!,9,FALSE),"")</f>
        <v/>
      </c>
      <c r="P264" s="31" t="str">
        <f>IFERROR(VLOOKUP($B264,#REF!,10,FALSE),"")</f>
        <v/>
      </c>
      <c r="Q264" s="31" t="str">
        <f>IFERROR(VLOOKUP($B264,#REF!,11,FALSE),"")</f>
        <v/>
      </c>
      <c r="R264" s="31" t="str">
        <f>IFERROR(VLOOKUP($B264,#REF!,12,FALSE),"")</f>
        <v/>
      </c>
      <c r="S264" s="31">
        <f t="shared" si="487"/>
        <v>27633.087480077018</v>
      </c>
      <c r="T264" s="31">
        <f t="shared" si="488"/>
        <v>5695.3436916023384</v>
      </c>
      <c r="U264" s="31">
        <f t="shared" si="489"/>
        <v>16116.567226219242</v>
      </c>
      <c r="V264" s="31">
        <f t="shared" si="490"/>
        <v>14994.09340172687</v>
      </c>
      <c r="W264" s="31">
        <f t="shared" si="419"/>
        <v>27633.087480077018</v>
      </c>
      <c r="X264" s="31">
        <f t="shared" si="420"/>
        <v>5695.3436916023384</v>
      </c>
      <c r="Y264" s="31">
        <f t="shared" si="421"/>
        <v>16116.567226219242</v>
      </c>
      <c r="Z264" s="31">
        <f t="shared" si="422"/>
        <v>14994.09340172687</v>
      </c>
      <c r="AA264" s="31">
        <f t="shared" si="491"/>
        <v>27657.837222558053</v>
      </c>
      <c r="AB264" s="31">
        <f t="shared" si="492"/>
        <v>6282.6104666319861</v>
      </c>
      <c r="AC264" s="31">
        <f t="shared" si="493"/>
        <v>16156.435795819338</v>
      </c>
      <c r="AD264" s="31">
        <f t="shared" si="494"/>
        <v>15031.185236978516</v>
      </c>
      <c r="AE264" s="31">
        <f t="shared" si="423"/>
        <v>65128.068721987889</v>
      </c>
      <c r="AF264" s="31">
        <f>IFERROR(VLOOKUP(A264,'Allocations By Type'!$D$7:$F$491,3,FALSE),"")</f>
        <v>51631.81</v>
      </c>
      <c r="AG264" s="31">
        <f t="shared" si="424"/>
        <v>2605.1227488795157</v>
      </c>
      <c r="AH264" s="31">
        <f t="shared" si="425"/>
        <v>2605.1227488795157</v>
      </c>
      <c r="AI264" s="31">
        <f t="shared" si="426"/>
        <v>62522.945973108377</v>
      </c>
      <c r="AJ264" s="31">
        <f>AI264/$AI$577*'State Admin 1004(b)'!$B$30*0.01</f>
        <v>594.99957080808394</v>
      </c>
      <c r="AK264" s="31">
        <f t="shared" si="427"/>
        <v>61927.946402300295</v>
      </c>
      <c r="AL264" s="31">
        <f t="shared" si="428"/>
        <v>619.27946402300302</v>
      </c>
      <c r="AM264" s="31">
        <f t="shared" si="429"/>
        <v>61308.666938277289</v>
      </c>
      <c r="AP264" s="31"/>
      <c r="AQ264" s="4">
        <f t="shared" si="434"/>
        <v>1.1874204475550498</v>
      </c>
      <c r="AW264" s="31">
        <f t="shared" si="432"/>
        <v>61112.10908823309</v>
      </c>
      <c r="AX264" s="4">
        <f t="shared" si="433"/>
        <v>1.1836135337543483</v>
      </c>
      <c r="AZ264" s="174" t="str">
        <f>IFERROR(IF(VLOOKUP(A264,#REF!,11,FALSE)=0,"",VLOOKUP(A264,#REF!,11,FALSE)),"")</f>
        <v/>
      </c>
      <c r="BA264" s="31" t="str">
        <f t="shared" si="436"/>
        <v/>
      </c>
      <c r="BB264" s="31">
        <f t="shared" si="437"/>
        <v>61112.10908823309</v>
      </c>
      <c r="BD264" s="31" t="str">
        <f>IFERROR(VLOOKUP(A264,'Title II Hold Harmless'!A$1:B$439,2, FALSE),"")</f>
        <v/>
      </c>
      <c r="BE264" s="31">
        <f t="shared" si="438"/>
        <v>930.63744039210394</v>
      </c>
      <c r="BF264" s="31">
        <f t="shared" si="439"/>
        <v>931.53788764925866</v>
      </c>
      <c r="BG264" s="31" t="str">
        <f t="shared" si="440"/>
        <v/>
      </c>
      <c r="BH264" s="31">
        <f t="shared" si="441"/>
        <v>931.53788764925866</v>
      </c>
    </row>
    <row r="265" spans="1:60" x14ac:dyDescent="0.3">
      <c r="A265" s="1">
        <v>78538000</v>
      </c>
      <c r="B265">
        <f>VLOOKUP(C265,'NCES ID'!$A$2:$B$3136,2,FALSE)</f>
        <v>400770</v>
      </c>
      <c r="C265">
        <f>VLOOKUP(A265,'State ID'!$A$2:$B$713,2,FALSE)</f>
        <v>89790</v>
      </c>
      <c r="D265" s="147" t="s">
        <v>214</v>
      </c>
      <c r="E265" t="s">
        <v>7</v>
      </c>
      <c r="I265" s="47">
        <f>VLOOKUP($C265,'Final SEA Counts'!$A$2:$F$709,5,FALSE)</f>
        <v>236</v>
      </c>
      <c r="J265" s="47">
        <f>VLOOKUP($C265,'Final SEA Counts'!$A$2:$F$709,6,FALSE)</f>
        <v>64</v>
      </c>
      <c r="K265" s="24">
        <f t="shared" si="430"/>
        <v>236</v>
      </c>
      <c r="L265" s="24">
        <f t="shared" si="486"/>
        <v>31.625035651666156</v>
      </c>
      <c r="M265" s="4">
        <f t="shared" si="435"/>
        <v>0.13400438835451761</v>
      </c>
      <c r="N265" s="31" t="str">
        <f>IFERROR(VLOOKUP($B265,#REF!,8,FALSE),"")</f>
        <v/>
      </c>
      <c r="O265" s="31" t="str">
        <f>IFERROR(VLOOKUP($B265,#REF!,9,FALSE),"")</f>
        <v/>
      </c>
      <c r="P265" s="31" t="str">
        <f>IFERROR(VLOOKUP($B265,#REF!,10,FALSE),"")</f>
        <v/>
      </c>
      <c r="Q265" s="31" t="str">
        <f>IFERROR(VLOOKUP($B265,#REF!,11,FALSE),"")</f>
        <v/>
      </c>
      <c r="R265" s="31" t="str">
        <f>IFERROR(VLOOKUP($B265,#REF!,12,FALSE),"")</f>
        <v/>
      </c>
      <c r="S265" s="31">
        <f t="shared" si="487"/>
        <v>15245.841368318355</v>
      </c>
      <c r="T265" s="31">
        <f t="shared" si="488"/>
        <v>3142.2585884702557</v>
      </c>
      <c r="U265" s="31">
        <f t="shared" si="489"/>
        <v>8891.8991592933744</v>
      </c>
      <c r="V265" s="31">
        <f t="shared" si="490"/>
        <v>8272.6032561251704</v>
      </c>
      <c r="W265" s="31">
        <f t="shared" si="419"/>
        <v>15245.841368318355</v>
      </c>
      <c r="X265" s="31" t="str">
        <f t="shared" si="420"/>
        <v/>
      </c>
      <c r="Y265" s="31">
        <f t="shared" si="421"/>
        <v>8891.8991592933744</v>
      </c>
      <c r="Z265" s="31">
        <f t="shared" si="422"/>
        <v>8272.6032561251704</v>
      </c>
      <c r="AA265" s="31">
        <f t="shared" si="491"/>
        <v>15270.591110799391</v>
      </c>
      <c r="AB265" s="31" t="str">
        <f t="shared" si="492"/>
        <v/>
      </c>
      <c r="AC265" s="31">
        <f t="shared" si="493"/>
        <v>8931.7677288934701</v>
      </c>
      <c r="AD265" s="31">
        <f t="shared" si="494"/>
        <v>8309.695091376816</v>
      </c>
      <c r="AE265" s="31">
        <f t="shared" si="423"/>
        <v>32512.053931069677</v>
      </c>
      <c r="AF265" s="31">
        <f>IFERROR(VLOOKUP(A265,'Allocations By Type'!$D$7:$F$491,3,FALSE),"")</f>
        <v>40963.56</v>
      </c>
      <c r="AG265" s="31" t="str">
        <f t="shared" si="424"/>
        <v/>
      </c>
      <c r="AH265" s="31" t="str">
        <f t="shared" si="425"/>
        <v/>
      </c>
      <c r="AI265" s="31">
        <f t="shared" si="426"/>
        <v>32512.053931069677</v>
      </c>
      <c r="AJ265" s="31">
        <f>AI265/$AI$577*'State Admin 1004(b)'!$B$30*0.01</f>
        <v>309.40093807153664</v>
      </c>
      <c r="AK265" s="31">
        <f t="shared" si="427"/>
        <v>32202.652992998141</v>
      </c>
      <c r="AL265" s="31">
        <f t="shared" si="428"/>
        <v>322.02652992998139</v>
      </c>
      <c r="AM265" s="31">
        <f t="shared" si="429"/>
        <v>31880.626463068158</v>
      </c>
      <c r="AP265" s="31"/>
      <c r="AQ265" s="4">
        <f t="shared" si="434"/>
        <v>0.77826796457798497</v>
      </c>
      <c r="AW265" s="31">
        <f t="shared" si="432"/>
        <v>31778.415997426298</v>
      </c>
      <c r="AX265" s="4">
        <f t="shared" si="433"/>
        <v>0.77577280874578036</v>
      </c>
      <c r="AZ265" s="174" t="str">
        <f>IFERROR(IF(VLOOKUP(A265,#REF!,11,FALSE)=0,"",VLOOKUP(A265,#REF!,11,FALSE)),"")</f>
        <v/>
      </c>
      <c r="BA265" s="31" t="str">
        <f t="shared" si="436"/>
        <v/>
      </c>
      <c r="BB265" s="31">
        <f t="shared" si="437"/>
        <v>31778.415997426298</v>
      </c>
      <c r="BD265" s="31" t="str">
        <f>IFERROR(VLOOKUP(A265,'Title II Hold Harmless'!A$1:B$439,2, FALSE),"")</f>
        <v/>
      </c>
      <c r="BE265" s="31">
        <f t="shared" si="438"/>
        <v>603.92572531092299</v>
      </c>
      <c r="BF265" s="31">
        <f t="shared" si="439"/>
        <v>604.51005948799229</v>
      </c>
      <c r="BG265" s="31" t="str">
        <f t="shared" si="440"/>
        <v/>
      </c>
      <c r="BH265" s="31">
        <f t="shared" si="441"/>
        <v>604.51005948799229</v>
      </c>
    </row>
    <row r="266" spans="1:60" x14ac:dyDescent="0.3">
      <c r="A266" s="1">
        <v>78552000</v>
      </c>
      <c r="B266">
        <f>VLOOKUP(C266,'NCES ID'!$A$2:$B$3136,2,FALSE)</f>
        <v>400810</v>
      </c>
      <c r="C266">
        <f>VLOOKUP(A266,'State ID'!$A$2:$B$713,2,FALSE)</f>
        <v>90160</v>
      </c>
      <c r="D266" s="147" t="s">
        <v>215</v>
      </c>
      <c r="E266" t="s">
        <v>7</v>
      </c>
      <c r="I266" s="47">
        <f>VLOOKUP($C266,'Final SEA Counts'!$A$2:$F$709,5,FALSE)</f>
        <v>164</v>
      </c>
      <c r="J266" s="47">
        <f>VLOOKUP($C266,'Final SEA Counts'!$A$2:$F$709,6,FALSE)</f>
        <v>102</v>
      </c>
      <c r="K266" s="24">
        <f t="shared" si="430"/>
        <v>164</v>
      </c>
      <c r="L266" s="24">
        <f t="shared" si="486"/>
        <v>50.402400569842939</v>
      </c>
      <c r="M266" s="4">
        <f t="shared" si="435"/>
        <v>0.30733171079172522</v>
      </c>
      <c r="N266" s="31" t="str">
        <f>IFERROR(VLOOKUP($B266,#REF!,8,FALSE),"")</f>
        <v/>
      </c>
      <c r="O266" s="31" t="str">
        <f>IFERROR(VLOOKUP($B266,#REF!,9,FALSE),"")</f>
        <v/>
      </c>
      <c r="P266" s="31" t="str">
        <f>IFERROR(VLOOKUP($B266,#REF!,10,FALSE),"")</f>
        <v/>
      </c>
      <c r="Q266" s="31" t="str">
        <f>IFERROR(VLOOKUP($B266,#REF!,11,FALSE),"")</f>
        <v/>
      </c>
      <c r="R266" s="31" t="str">
        <f>IFERROR(VLOOKUP($B266,#REF!,12,FALSE),"")</f>
        <v/>
      </c>
      <c r="S266" s="31">
        <f t="shared" si="487"/>
        <v>24298.059680757378</v>
      </c>
      <c r="T266" s="31">
        <f t="shared" si="488"/>
        <v>5007.9746253744706</v>
      </c>
      <c r="U266" s="31">
        <f t="shared" si="489"/>
        <v>14171.464285123817</v>
      </c>
      <c r="V266" s="31">
        <f t="shared" si="490"/>
        <v>13184.461439449491</v>
      </c>
      <c r="W266" s="31">
        <f t="shared" si="419"/>
        <v>24298.059680757378</v>
      </c>
      <c r="X266" s="31">
        <f t="shared" si="420"/>
        <v>5007.9746253744706</v>
      </c>
      <c r="Y266" s="31">
        <f t="shared" si="421"/>
        <v>14171.464285123817</v>
      </c>
      <c r="Z266" s="31">
        <f t="shared" si="422"/>
        <v>13184.461439449491</v>
      </c>
      <c r="AA266" s="31">
        <f t="shared" si="491"/>
        <v>24322.809423238414</v>
      </c>
      <c r="AB266" s="31">
        <f t="shared" si="492"/>
        <v>5595.2414004041184</v>
      </c>
      <c r="AC266" s="31">
        <f t="shared" si="493"/>
        <v>14211.332854723913</v>
      </c>
      <c r="AD266" s="31">
        <f t="shared" si="494"/>
        <v>13221.553274701137</v>
      </c>
      <c r="AE266" s="31">
        <f t="shared" si="423"/>
        <v>57350.936953067583</v>
      </c>
      <c r="AF266" s="31">
        <f>IFERROR(VLOOKUP(A266,'Allocations By Type'!$D$7:$F$491,3,FALSE),"")</f>
        <v>28382.53</v>
      </c>
      <c r="AG266" s="31">
        <f t="shared" si="424"/>
        <v>2294.0374781227033</v>
      </c>
      <c r="AH266" s="31">
        <f t="shared" si="425"/>
        <v>2294.0374781227033</v>
      </c>
      <c r="AI266" s="31">
        <f t="shared" si="426"/>
        <v>55056.899474944883</v>
      </c>
      <c r="AJ266" s="31">
        <f>AI266/$AI$577*'State Admin 1004(b)'!$B$30*0.01</f>
        <v>523.94894462755906</v>
      </c>
      <c r="AK266" s="31">
        <f t="shared" si="427"/>
        <v>54532.950530317321</v>
      </c>
      <c r="AL266" s="31">
        <f t="shared" si="428"/>
        <v>545.32950530317316</v>
      </c>
      <c r="AM266" s="31">
        <f t="shared" si="429"/>
        <v>53987.621025014145</v>
      </c>
      <c r="AP266" s="31"/>
      <c r="AQ266" s="4">
        <f t="shared" si="434"/>
        <v>1.9021426569447526</v>
      </c>
      <c r="AW266" s="31">
        <f t="shared" si="432"/>
        <v>53814.534718499584</v>
      </c>
      <c r="AX266" s="4">
        <f t="shared" si="433"/>
        <v>1.8960443173494255</v>
      </c>
      <c r="AZ266" s="174" t="str">
        <f>IFERROR(IF(VLOOKUP(A266,#REF!,11,FALSE)=0,"",VLOOKUP(A266,#REF!,11,FALSE)),"")</f>
        <v/>
      </c>
      <c r="BA266" s="31" t="str">
        <f t="shared" si="436"/>
        <v/>
      </c>
      <c r="BB266" s="31">
        <f t="shared" si="437"/>
        <v>53814.534718499584</v>
      </c>
      <c r="BD266" s="31" t="str">
        <f>IFERROR(VLOOKUP(A266,'Title II Hold Harmless'!A$1:B$439,2, FALSE),"")</f>
        <v/>
      </c>
      <c r="BE266" s="31">
        <f t="shared" si="438"/>
        <v>791.78849058084631</v>
      </c>
      <c r="BF266" s="31">
        <f t="shared" si="439"/>
        <v>792.55459319357783</v>
      </c>
      <c r="BG266" s="31" t="str">
        <f t="shared" si="440"/>
        <v/>
      </c>
      <c r="BH266" s="31">
        <f t="shared" si="441"/>
        <v>792.55459319357783</v>
      </c>
    </row>
    <row r="267" spans="1:60" x14ac:dyDescent="0.3">
      <c r="A267" s="1">
        <v>78751000</v>
      </c>
      <c r="B267">
        <f>VLOOKUP(C267,'NCES ID'!$A$2:$B$3136,2,FALSE)</f>
        <v>400650</v>
      </c>
      <c r="C267">
        <f>VLOOKUP(A267,'State ID'!$A$2:$B$713,2,FALSE)</f>
        <v>5174</v>
      </c>
      <c r="D267" s="147" t="s">
        <v>218</v>
      </c>
      <c r="E267" t="s">
        <v>7</v>
      </c>
      <c r="I267" s="47">
        <f>VLOOKUP($C267,'Final SEA Counts'!$A$2:$F$709,5,FALSE)</f>
        <v>36</v>
      </c>
      <c r="J267" s="47">
        <f>VLOOKUP($C267,'Final SEA Counts'!$A$2:$F$709,6,FALSE)</f>
        <v>30</v>
      </c>
      <c r="K267" s="24">
        <f t="shared" si="430"/>
        <v>36</v>
      </c>
      <c r="L267" s="24">
        <f t="shared" si="486"/>
        <v>14.82423546171851</v>
      </c>
      <c r="M267" s="4">
        <f t="shared" si="435"/>
        <v>0.41178431838106971</v>
      </c>
      <c r="N267" s="31" t="str">
        <f>IFERROR(VLOOKUP($B267,#REF!,8,FALSE),"")</f>
        <v/>
      </c>
      <c r="O267" s="31" t="str">
        <f>IFERROR(VLOOKUP($B267,#REF!,9,FALSE),"")</f>
        <v/>
      </c>
      <c r="P267" s="31" t="str">
        <f>IFERROR(VLOOKUP($B267,#REF!,10,FALSE),"")</f>
        <v/>
      </c>
      <c r="Q267" s="31" t="str">
        <f>IFERROR(VLOOKUP($B267,#REF!,11,FALSE),"")</f>
        <v/>
      </c>
      <c r="R267" s="31" t="str">
        <f>IFERROR(VLOOKUP($B267,#REF!,12,FALSE),"")</f>
        <v/>
      </c>
      <c r="S267" s="31">
        <f t="shared" si="487"/>
        <v>7146.4881413992289</v>
      </c>
      <c r="T267" s="31">
        <f t="shared" si="488"/>
        <v>1472.9337133454324</v>
      </c>
      <c r="U267" s="31">
        <f t="shared" si="489"/>
        <v>4168.0777309187697</v>
      </c>
      <c r="V267" s="31">
        <f t="shared" si="490"/>
        <v>3877.7827763086734</v>
      </c>
      <c r="W267" s="31">
        <f t="shared" si="419"/>
        <v>7146.4881413992289</v>
      </c>
      <c r="X267" s="31">
        <f t="shared" si="420"/>
        <v>1472.9337133454324</v>
      </c>
      <c r="Y267" s="31">
        <f t="shared" si="421"/>
        <v>4168.0777309187697</v>
      </c>
      <c r="Z267" s="31">
        <f t="shared" si="422"/>
        <v>3877.7827763086734</v>
      </c>
      <c r="AA267" s="31">
        <f t="shared" si="491"/>
        <v>7171.2378838802642</v>
      </c>
      <c r="AB267" s="31">
        <f t="shared" si="492"/>
        <v>2060.2004883750806</v>
      </c>
      <c r="AC267" s="31">
        <f t="shared" si="493"/>
        <v>4207.9463005188663</v>
      </c>
      <c r="AD267" s="31">
        <f t="shared" si="494"/>
        <v>3914.8746115603185</v>
      </c>
      <c r="AE267" s="31">
        <f t="shared" si="423"/>
        <v>17354.25928433453</v>
      </c>
      <c r="AF267" s="31">
        <f>IFERROR(VLOOKUP(A267,'Allocations By Type'!$D$7:$F$491,3,FALSE),"")</f>
        <v>19386.490000000002</v>
      </c>
      <c r="AG267" s="31" t="str">
        <f t="shared" si="424"/>
        <v/>
      </c>
      <c r="AH267" s="31" t="str">
        <f t="shared" si="425"/>
        <v/>
      </c>
      <c r="AI267" s="31">
        <f t="shared" si="426"/>
        <v>17354.25928433453</v>
      </c>
      <c r="AJ267" s="31">
        <f>AI267/$AI$577*'State Admin 1004(b)'!$B$30*0.01</f>
        <v>165.15179611518067</v>
      </c>
      <c r="AK267" s="31">
        <f t="shared" si="427"/>
        <v>17189.10748821935</v>
      </c>
      <c r="AL267" s="31">
        <f t="shared" si="428"/>
        <v>171.89107488219349</v>
      </c>
      <c r="AM267" s="31">
        <f t="shared" si="429"/>
        <v>17017.216413337155</v>
      </c>
      <c r="AP267" s="31"/>
      <c r="AQ267" s="4">
        <f t="shared" si="434"/>
        <v>0.8777873876775607</v>
      </c>
      <c r="AW267" s="31">
        <f t="shared" si="432"/>
        <v>16962.658589150407</v>
      </c>
      <c r="AX267" s="4">
        <f t="shared" si="433"/>
        <v>0.87497316890011578</v>
      </c>
      <c r="AZ267" s="174" t="str">
        <f>IFERROR(IF(VLOOKUP(A267,#REF!,11,FALSE)=0,"",VLOOKUP(A267,#REF!,11,FALSE)),"")</f>
        <v/>
      </c>
      <c r="BA267" s="31" t="str">
        <f t="shared" si="436"/>
        <v/>
      </c>
      <c r="BB267" s="31">
        <f t="shared" si="437"/>
        <v>16962.658589150407</v>
      </c>
      <c r="BD267" s="31" t="str">
        <f>IFERROR(VLOOKUP(A267,'Title II Hold Harmless'!A$1:B$439,2, FALSE),"")</f>
        <v/>
      </c>
      <c r="BE267" s="31">
        <f t="shared" si="438"/>
        <v>223.03200691117331</v>
      </c>
      <c r="BF267" s="31">
        <f t="shared" si="439"/>
        <v>223.24780368676431</v>
      </c>
      <c r="BG267" s="31" t="str">
        <f t="shared" si="440"/>
        <v/>
      </c>
      <c r="BH267" s="31">
        <f t="shared" si="441"/>
        <v>223.24780368676431</v>
      </c>
    </row>
    <row r="268" spans="1:60" s="47" customFormat="1" x14ac:dyDescent="0.3">
      <c r="A268" s="1">
        <v>78741000</v>
      </c>
      <c r="B268" s="47">
        <f>VLOOKUP(C268,'NCES ID'!$A$2:$B$3136,2,FALSE)</f>
        <v>400061</v>
      </c>
      <c r="C268" s="47">
        <f>VLOOKUP(A268,'State ID'!$A$2:$B$713,2,FALSE)</f>
        <v>4352</v>
      </c>
      <c r="D268" s="192" t="s">
        <v>747</v>
      </c>
      <c r="E268" s="47" t="s">
        <v>7</v>
      </c>
      <c r="H268" s="4"/>
      <c r="I268" s="47">
        <f>VLOOKUP($C268,'AzEDS FY17 12-15-16'!$A$2:$D$713,3,FALSE)</f>
        <v>45</v>
      </c>
      <c r="J268" s="47">
        <f>VLOOKUP($C268,'AzEDS FY17 12-15-16'!$A$2:$D$713,4,FALSE)</f>
        <v>33</v>
      </c>
      <c r="K268" s="24">
        <f t="shared" ref="K268" si="495">I268</f>
        <v>45</v>
      </c>
      <c r="L268" s="24">
        <f t="shared" si="486"/>
        <v>16.30665900789036</v>
      </c>
      <c r="M268" s="4">
        <f t="shared" si="435"/>
        <v>0.36237020017534133</v>
      </c>
      <c r="N268" s="31"/>
      <c r="O268" s="31"/>
      <c r="P268" s="31"/>
      <c r="Q268" s="31"/>
      <c r="R268" s="31"/>
      <c r="S268" s="31">
        <f t="shared" si="487"/>
        <v>7861.1369555391511</v>
      </c>
      <c r="T268" s="31">
        <f t="shared" si="488"/>
        <v>1620.2270846799756</v>
      </c>
      <c r="U268" s="31">
        <f t="shared" si="489"/>
        <v>4584.8855040106464</v>
      </c>
      <c r="V268" s="31">
        <f t="shared" si="490"/>
        <v>4265.5610539395402</v>
      </c>
      <c r="W268" s="31">
        <f t="shared" ref="W268" si="496">IF(AND($L268&gt;9,$L268&gt;($K268*0.02)),S268,"")</f>
        <v>7861.1369555391511</v>
      </c>
      <c r="X268" s="31">
        <f t="shared" ref="X268" si="497">IF(W268="","",IF(OR($L268&gt;6500,$L268&gt;($K268*0.15)),T268,""))</f>
        <v>1620.2270846799756</v>
      </c>
      <c r="Y268" s="31">
        <f t="shared" ref="Y268" si="498">IF(AND($L268&gt;9,$L268&gt;($K268*0.05)),U268,"")</f>
        <v>4584.8855040106464</v>
      </c>
      <c r="Z268" s="31">
        <f t="shared" ref="Z268" si="499">IF(AND($L268&gt;9,$L268&gt;($K268*0.05)),V268,"")</f>
        <v>4265.5610539395402</v>
      </c>
      <c r="AA268" s="31">
        <f t="shared" si="491"/>
        <v>7885.8866980201865</v>
      </c>
      <c r="AB268" s="31">
        <f t="shared" si="492"/>
        <v>2207.4938597096238</v>
      </c>
      <c r="AC268" s="31">
        <f t="shared" si="493"/>
        <v>4624.754073610743</v>
      </c>
      <c r="AD268" s="31">
        <f t="shared" si="494"/>
        <v>4302.6528891911848</v>
      </c>
      <c r="AE268" s="31">
        <f t="shared" ref="AE268" si="500">SUM(AA268:AD268)</f>
        <v>19020.787520531736</v>
      </c>
      <c r="AF268" s="31">
        <f>IFERROR(VLOOKUP(A268,'Allocations By Type'!$D$7:$F$491,3,FALSE),"")</f>
        <v>27324.18</v>
      </c>
      <c r="AG268" s="31" t="str">
        <f t="shared" ref="AG268" si="501">IF(AE268&gt;AF268,AE268*0.04,"")</f>
        <v/>
      </c>
      <c r="AH268" s="31" t="str">
        <f t="shared" ref="AH268" si="502">IF(AG268="","",IF((AE268-AF268)&gt;AG268,AG268,AE268-AF268))</f>
        <v/>
      </c>
      <c r="AI268" s="31">
        <f t="shared" ref="AI268" si="503">IF(AH268="",AE268,AE268-AH268)</f>
        <v>19020.787520531736</v>
      </c>
      <c r="AJ268" s="31">
        <f>AI268/$AI$577*'State Admin 1004(b)'!$B$30*0.01</f>
        <v>181.01131088761923</v>
      </c>
      <c r="AK268" s="31">
        <f t="shared" ref="AK268" si="504">AI268-AJ268</f>
        <v>18839.776209644118</v>
      </c>
      <c r="AL268" s="31">
        <f t="shared" ref="AL268" si="505">AK268*0.01</f>
        <v>188.3977620964412</v>
      </c>
      <c r="AM268" s="31">
        <f t="shared" ref="AM268" si="506">AK268-AL268</f>
        <v>18651.378447547679</v>
      </c>
      <c r="AP268" s="31"/>
      <c r="AQ268" s="4">
        <f t="shared" si="434"/>
        <v>0.68259609062550741</v>
      </c>
      <c r="AR268" s="4"/>
      <c r="AS268" s="4"/>
      <c r="AT268" s="4"/>
      <c r="AW268" s="31">
        <f t="shared" si="432"/>
        <v>18591.581439537349</v>
      </c>
      <c r="AX268" s="4">
        <f t="shared" si="433"/>
        <v>0.68040766235390593</v>
      </c>
      <c r="AZ268" s="174"/>
      <c r="BA268" s="31"/>
      <c r="BB268" s="31">
        <f t="shared" si="437"/>
        <v>18591.581439537349</v>
      </c>
      <c r="BD268" s="31">
        <v>14810</v>
      </c>
      <c r="BE268" s="31">
        <f t="shared" si="438"/>
        <v>15059.681125925546</v>
      </c>
      <c r="BF268" s="31">
        <f t="shared" si="439"/>
        <v>15074.252266065525</v>
      </c>
      <c r="BG268" s="31"/>
      <c r="BH268" s="31">
        <f t="shared" si="441"/>
        <v>15074.252266065525</v>
      </c>
    </row>
    <row r="269" spans="1:60" x14ac:dyDescent="0.3">
      <c r="A269" s="1">
        <v>78928000</v>
      </c>
      <c r="B269">
        <f>VLOOKUP(C269,'NCES ID'!$A$2:$B$3136,2,FALSE)</f>
        <v>400332</v>
      </c>
      <c r="C269">
        <f>VLOOKUP(A269,'State ID'!$A$2:$B$713,2,FALSE)</f>
        <v>79475</v>
      </c>
      <c r="D269" s="192" t="s">
        <v>222</v>
      </c>
      <c r="E269" t="s">
        <v>7</v>
      </c>
      <c r="I269" s="47">
        <f>VLOOKUP($C269,'AzEDS FY17 12-04-16'!$A$1:$D$712,3,FALSE)</f>
        <v>73</v>
      </c>
      <c r="J269" s="47">
        <f>VLOOKUP($C269,'AzEDS FY17 12-04-16'!$A$1:$D$712,4,FALSE)</f>
        <v>65</v>
      </c>
      <c r="K269" s="24">
        <f t="shared" si="430"/>
        <v>73</v>
      </c>
      <c r="L269" s="24">
        <f t="shared" si="486"/>
        <v>32.119176833723436</v>
      </c>
      <c r="M269" s="4">
        <f t="shared" si="435"/>
        <v>0.4399887237496361</v>
      </c>
      <c r="N269" s="31" t="str">
        <f>IFERROR(VLOOKUP($B269,#REF!,8,FALSE),"")</f>
        <v/>
      </c>
      <c r="O269" s="31" t="str">
        <f>IFERROR(VLOOKUP($B269,#REF!,9,FALSE),"")</f>
        <v/>
      </c>
      <c r="P269" s="31" t="str">
        <f>IFERROR(VLOOKUP($B269,#REF!,10,FALSE),"")</f>
        <v/>
      </c>
      <c r="Q269" s="31" t="str">
        <f>IFERROR(VLOOKUP($B269,#REF!,11,FALSE),"")</f>
        <v/>
      </c>
      <c r="R269" s="31" t="str">
        <f>IFERROR(VLOOKUP($B269,#REF!,12,FALSE),"")</f>
        <v/>
      </c>
      <c r="S269" s="31">
        <f t="shared" si="487"/>
        <v>15484.057639698327</v>
      </c>
      <c r="T269" s="31">
        <f t="shared" si="488"/>
        <v>3191.3563789151035</v>
      </c>
      <c r="U269" s="31">
        <f t="shared" si="489"/>
        <v>9030.8350836573336</v>
      </c>
      <c r="V269" s="31">
        <f t="shared" si="490"/>
        <v>8401.8626820021254</v>
      </c>
      <c r="W269" s="31">
        <f t="shared" si="419"/>
        <v>15484.057639698327</v>
      </c>
      <c r="X269" s="31">
        <f t="shared" si="420"/>
        <v>3191.3563789151035</v>
      </c>
      <c r="Y269" s="31">
        <f t="shared" si="421"/>
        <v>9030.8350836573336</v>
      </c>
      <c r="Z269" s="31">
        <f t="shared" si="422"/>
        <v>8401.8626820021254</v>
      </c>
      <c r="AA269" s="31">
        <f t="shared" si="491"/>
        <v>15508.807382179362</v>
      </c>
      <c r="AB269" s="31">
        <f t="shared" si="492"/>
        <v>3778.6231539447517</v>
      </c>
      <c r="AC269" s="31">
        <f t="shared" si="493"/>
        <v>9070.7036532574293</v>
      </c>
      <c r="AD269" s="31">
        <f t="shared" si="494"/>
        <v>8438.954517253771</v>
      </c>
      <c r="AE269" s="31">
        <f t="shared" si="423"/>
        <v>36797.08870663531</v>
      </c>
      <c r="AF269" s="31">
        <f>IFERROR(VLOOKUP(A269,'Allocations By Type'!$D$7:$F$491,3,FALSE),"")</f>
        <v>28911.71</v>
      </c>
      <c r="AG269" s="31">
        <f t="shared" si="424"/>
        <v>1471.8835482654124</v>
      </c>
      <c r="AH269" s="31">
        <f t="shared" si="425"/>
        <v>1471.8835482654124</v>
      </c>
      <c r="AI269" s="31">
        <f t="shared" si="426"/>
        <v>35325.205158369899</v>
      </c>
      <c r="AJ269" s="31">
        <f>AI269/$AI$577*'State Admin 1004(b)'!$B$30*0.01</f>
        <v>336.17228972188582</v>
      </c>
      <c r="AK269" s="31">
        <f t="shared" si="427"/>
        <v>34989.032868648013</v>
      </c>
      <c r="AL269" s="31">
        <f t="shared" si="428"/>
        <v>349.89032868648013</v>
      </c>
      <c r="AM269" s="31">
        <f t="shared" si="429"/>
        <v>34639.142539961533</v>
      </c>
      <c r="AP269" s="31"/>
      <c r="AQ269" s="4">
        <f t="shared" si="434"/>
        <v>1.1981007882260002</v>
      </c>
      <c r="AW269" s="31">
        <f t="shared" si="432"/>
        <v>34528.088169918155</v>
      </c>
      <c r="AX269" s="4">
        <f t="shared" si="433"/>
        <v>1.1942596328587329</v>
      </c>
      <c r="AZ269" s="174" t="str">
        <f>IFERROR(IF(VLOOKUP(A269,#REF!,11,FALSE)=0,"",VLOOKUP(A269,#REF!,11,FALSE)),"")</f>
        <v/>
      </c>
      <c r="BA269" s="31" t="str">
        <f t="shared" si="436"/>
        <v/>
      </c>
      <c r="BB269" s="31">
        <f t="shared" si="437"/>
        <v>34528.088169918155</v>
      </c>
      <c r="BD269" s="31" t="str">
        <f>IFERROR(VLOOKUP(A269,'Title II Hold Harmless'!A$1:B$439,2, FALSE),"")</f>
        <v/>
      </c>
      <c r="BE269" s="31">
        <f t="shared" si="438"/>
        <v>479.21201652675006</v>
      </c>
      <c r="BF269" s="31">
        <f t="shared" si="439"/>
        <v>479.67568274857678</v>
      </c>
      <c r="BG269" s="31" t="str">
        <f t="shared" si="440"/>
        <v/>
      </c>
      <c r="BH269" s="31">
        <f t="shared" si="441"/>
        <v>479.67568274857678</v>
      </c>
    </row>
    <row r="270" spans="1:60" x14ac:dyDescent="0.3">
      <c r="A270" s="1">
        <v>78240000</v>
      </c>
      <c r="B270">
        <f>VLOOKUP(C270,'NCES ID'!$A$2:$B$3136,2,FALSE)</f>
        <v>400882</v>
      </c>
      <c r="C270">
        <f>VLOOKUP(A270,'State ID'!$A$2:$B$713,2,FALSE)</f>
        <v>91329</v>
      </c>
      <c r="D270" s="147" t="s">
        <v>225</v>
      </c>
      <c r="E270" t="s">
        <v>7</v>
      </c>
      <c r="I270" s="47">
        <f>VLOOKUP($C270,'Final SEA Counts'!$A$2:$F$709,5,FALSE)</f>
        <v>58</v>
      </c>
      <c r="J270" s="47">
        <f>VLOOKUP($C270,'Final SEA Counts'!$A$2:$F$709,6,FALSE)</f>
        <v>50</v>
      </c>
      <c r="K270" s="24">
        <f t="shared" si="430"/>
        <v>58</v>
      </c>
      <c r="L270" s="24">
        <f t="shared" si="486"/>
        <v>24.707059102864186</v>
      </c>
      <c r="M270" s="4">
        <f t="shared" si="435"/>
        <v>0.42598377763558942</v>
      </c>
      <c r="N270" s="31" t="str">
        <f>IFERROR(VLOOKUP($B270,#REF!,8,FALSE),"")</f>
        <v/>
      </c>
      <c r="O270" s="31" t="str">
        <f>IFERROR(VLOOKUP($B270,#REF!,9,FALSE),"")</f>
        <v/>
      </c>
      <c r="P270" s="31" t="str">
        <f>IFERROR(VLOOKUP($B270,#REF!,10,FALSE),"")</f>
        <v/>
      </c>
      <c r="Q270" s="31" t="str">
        <f>IFERROR(VLOOKUP($B270,#REF!,11,FALSE),"")</f>
        <v/>
      </c>
      <c r="R270" s="31" t="str">
        <f>IFERROR(VLOOKUP($B270,#REF!,12,FALSE),"")</f>
        <v/>
      </c>
      <c r="S270" s="31">
        <f t="shared" si="487"/>
        <v>11910.813568998716</v>
      </c>
      <c r="T270" s="31">
        <f t="shared" si="488"/>
        <v>2454.8895222423876</v>
      </c>
      <c r="U270" s="31">
        <f t="shared" si="489"/>
        <v>6946.7962181979492</v>
      </c>
      <c r="V270" s="31">
        <f t="shared" si="490"/>
        <v>6462.9712938477896</v>
      </c>
      <c r="W270" s="31">
        <f t="shared" si="419"/>
        <v>11910.813568998716</v>
      </c>
      <c r="X270" s="31">
        <f t="shared" si="420"/>
        <v>2454.8895222423876</v>
      </c>
      <c r="Y270" s="31">
        <f t="shared" si="421"/>
        <v>6946.7962181979492</v>
      </c>
      <c r="Z270" s="31">
        <f t="shared" si="422"/>
        <v>6462.9712938477896</v>
      </c>
      <c r="AA270" s="31">
        <f t="shared" si="491"/>
        <v>11935.563311479751</v>
      </c>
      <c r="AB270" s="31">
        <f t="shared" si="492"/>
        <v>3042.1562972720358</v>
      </c>
      <c r="AC270" s="31">
        <f t="shared" si="493"/>
        <v>6986.6647877980458</v>
      </c>
      <c r="AD270" s="31">
        <f t="shared" si="494"/>
        <v>6500.0631290994343</v>
      </c>
      <c r="AE270" s="31">
        <f t="shared" si="423"/>
        <v>28464.44752564927</v>
      </c>
      <c r="AF270" s="31">
        <f>IFERROR(VLOOKUP(A270,'Allocations By Type'!$D$7:$F$491,3,FALSE),"")</f>
        <v>22561.56</v>
      </c>
      <c r="AG270" s="31">
        <f t="shared" si="424"/>
        <v>1138.5779010259707</v>
      </c>
      <c r="AH270" s="31">
        <f t="shared" si="425"/>
        <v>1138.5779010259707</v>
      </c>
      <c r="AI270" s="31">
        <f t="shared" si="426"/>
        <v>27325.869624623298</v>
      </c>
      <c r="AJ270" s="31">
        <f>AI270/$AI$577*'State Admin 1004(b)'!$B$30*0.01</f>
        <v>260.04661881418053</v>
      </c>
      <c r="AK270" s="31">
        <f t="shared" si="427"/>
        <v>27065.823005809118</v>
      </c>
      <c r="AL270" s="31">
        <f t="shared" si="428"/>
        <v>270.65823005809119</v>
      </c>
      <c r="AM270" s="31">
        <f t="shared" si="429"/>
        <v>26795.164775751025</v>
      </c>
      <c r="AP270" s="31"/>
      <c r="AQ270" s="4">
        <f t="shared" si="434"/>
        <v>1.1876468105818492</v>
      </c>
      <c r="AW270" s="31">
        <f t="shared" si="432"/>
        <v>26709.258488060834</v>
      </c>
      <c r="AX270" s="4">
        <f t="shared" si="433"/>
        <v>1.183839171052925</v>
      </c>
      <c r="AZ270" s="174" t="str">
        <f>IFERROR(IF(VLOOKUP(A270,#REF!,11,FALSE)=0,"",VLOOKUP(A270,#REF!,11,FALSE)),"")</f>
        <v/>
      </c>
      <c r="BA270" s="31" t="str">
        <f t="shared" si="436"/>
        <v/>
      </c>
      <c r="BB270" s="31">
        <f t="shared" si="437"/>
        <v>26709.258488060834</v>
      </c>
      <c r="BD270" s="31" t="str">
        <f>IFERROR(VLOOKUP(A270,'Title II Hold Harmless'!A$1:B$439,2, FALSE),"")</f>
        <v/>
      </c>
      <c r="BE270" s="31">
        <f t="shared" si="438"/>
        <v>370.1104121396387</v>
      </c>
      <c r="BF270" s="31">
        <f t="shared" si="439"/>
        <v>370.46851604884216</v>
      </c>
      <c r="BG270" s="31" t="str">
        <f t="shared" si="440"/>
        <v/>
      </c>
      <c r="BH270" s="31">
        <f t="shared" si="441"/>
        <v>370.46851604884216</v>
      </c>
    </row>
    <row r="271" spans="1:60" x14ac:dyDescent="0.3">
      <c r="A271" s="1">
        <v>78230000</v>
      </c>
      <c r="B271">
        <f>VLOOKUP(C271,'NCES ID'!$A$2:$B$3136,2,FALSE)</f>
        <v>400894</v>
      </c>
      <c r="C271">
        <f>VLOOKUP(A271,'State ID'!$A$2:$B$713,2,FALSE)</f>
        <v>91328</v>
      </c>
      <c r="D271" s="147" t="s">
        <v>226</v>
      </c>
      <c r="E271" t="s">
        <v>7</v>
      </c>
      <c r="I271" s="47">
        <f>VLOOKUP($C271,'Final SEA Counts'!$A$2:$F$709,5,FALSE)</f>
        <v>237</v>
      </c>
      <c r="J271" s="47">
        <f>VLOOKUP($C271,'Final SEA Counts'!$A$2:$F$709,6,FALSE)</f>
        <v>149</v>
      </c>
      <c r="K271" s="24">
        <f t="shared" si="430"/>
        <v>237</v>
      </c>
      <c r="L271" s="24">
        <f t="shared" si="486"/>
        <v>73.627036126535273</v>
      </c>
      <c r="M271" s="4">
        <f t="shared" si="435"/>
        <v>0.31066259969002225</v>
      </c>
      <c r="N271" s="31" t="str">
        <f>IFERROR(VLOOKUP($B271,#REF!,8,FALSE),"")</f>
        <v/>
      </c>
      <c r="O271" s="31" t="str">
        <f>IFERROR(VLOOKUP($B271,#REF!,9,FALSE),"")</f>
        <v/>
      </c>
      <c r="P271" s="31" t="str">
        <f>IFERROR(VLOOKUP($B271,#REF!,10,FALSE),"")</f>
        <v/>
      </c>
      <c r="Q271" s="31" t="str">
        <f>IFERROR(VLOOKUP($B271,#REF!,11,FALSE),"")</f>
        <v/>
      </c>
      <c r="R271" s="31" t="str">
        <f>IFERROR(VLOOKUP($B271,#REF!,12,FALSE),"")</f>
        <v/>
      </c>
      <c r="S271" s="31">
        <f t="shared" si="487"/>
        <v>35494.224435616175</v>
      </c>
      <c r="T271" s="31">
        <f t="shared" si="488"/>
        <v>7315.5707762823149</v>
      </c>
      <c r="U271" s="31">
        <f t="shared" si="489"/>
        <v>20701.452730229888</v>
      </c>
      <c r="V271" s="31">
        <f t="shared" si="490"/>
        <v>19259.654455666412</v>
      </c>
      <c r="W271" s="31">
        <f t="shared" si="419"/>
        <v>35494.224435616175</v>
      </c>
      <c r="X271" s="31">
        <f t="shared" si="420"/>
        <v>7315.5707762823149</v>
      </c>
      <c r="Y271" s="31">
        <f t="shared" si="421"/>
        <v>20701.452730229888</v>
      </c>
      <c r="Z271" s="31">
        <f t="shared" si="422"/>
        <v>19259.654455666412</v>
      </c>
      <c r="AA271" s="31">
        <f t="shared" si="491"/>
        <v>35518.974178097211</v>
      </c>
      <c r="AB271" s="31">
        <f t="shared" si="492"/>
        <v>7902.8375513119627</v>
      </c>
      <c r="AC271" s="31">
        <f t="shared" si="493"/>
        <v>20741.321299829986</v>
      </c>
      <c r="AD271" s="31">
        <f t="shared" si="494"/>
        <v>19296.746290918058</v>
      </c>
      <c r="AE271" s="31">
        <f t="shared" si="423"/>
        <v>83459.879320157212</v>
      </c>
      <c r="AF271" s="31">
        <f>IFERROR(VLOOKUP(A271,'Allocations By Type'!$D$7:$F$491,3,FALSE),"")</f>
        <v>58743.98</v>
      </c>
      <c r="AG271" s="31">
        <f t="shared" si="424"/>
        <v>3338.3951728062884</v>
      </c>
      <c r="AH271" s="31">
        <f t="shared" ref="AH271:AH307" si="507">IF(AG271="","",IF((AE271-AF271)&gt;AG271,AG271,AE271-AF271))</f>
        <v>3338.3951728062884</v>
      </c>
      <c r="AI271" s="31">
        <f t="shared" si="426"/>
        <v>80121.48414735093</v>
      </c>
      <c r="AJ271" s="31">
        <f>AI271/$AI$577*'State Admin 1004(b)'!$B$30*0.01</f>
        <v>762.47604680503571</v>
      </c>
      <c r="AK271" s="31">
        <f t="shared" si="427"/>
        <v>79359.008100545892</v>
      </c>
      <c r="AL271" s="31">
        <f t="shared" si="428"/>
        <v>793.59008100545896</v>
      </c>
      <c r="AM271" s="31">
        <f t="shared" si="429"/>
        <v>78565.418019540433</v>
      </c>
      <c r="AP271" s="31"/>
      <c r="AQ271" s="4">
        <f t="shared" si="434"/>
        <v>1.3374207539145362</v>
      </c>
      <c r="AW271" s="31">
        <f t="shared" si="432"/>
        <v>78313.534388319225</v>
      </c>
      <c r="AX271" s="4">
        <f t="shared" si="433"/>
        <v>1.3331329335928417</v>
      </c>
      <c r="AZ271" s="174" t="str">
        <f>IFERROR(IF(VLOOKUP(A271,#REF!,11,FALSE)=0,"",VLOOKUP(A271,#REF!,11,FALSE)),"")</f>
        <v/>
      </c>
      <c r="BA271" s="31" t="str">
        <f t="shared" si="436"/>
        <v/>
      </c>
      <c r="BB271" s="31">
        <f t="shared" si="437"/>
        <v>78313.534388319225</v>
      </c>
      <c r="BD271" s="31" t="str">
        <f>IFERROR(VLOOKUP(A271,'Title II Hold Harmless'!A$1:B$439,2, FALSE),"")</f>
        <v/>
      </c>
      <c r="BE271" s="31">
        <f t="shared" si="438"/>
        <v>1154.564976253914</v>
      </c>
      <c r="BF271" s="31">
        <f t="shared" si="439"/>
        <v>1155.682086764358</v>
      </c>
      <c r="BG271" s="31" t="str">
        <f t="shared" si="440"/>
        <v/>
      </c>
      <c r="BH271" s="31">
        <f t="shared" si="441"/>
        <v>1155.682086764358</v>
      </c>
    </row>
    <row r="272" spans="1:60" x14ac:dyDescent="0.3">
      <c r="A272" s="1">
        <v>78718000</v>
      </c>
      <c r="B272">
        <f>VLOOKUP(C272,'NCES ID'!$A$2:$B$3136,2,FALSE)</f>
        <v>400149</v>
      </c>
      <c r="C272">
        <f>VLOOKUP(A272,'State ID'!$A$2:$B$713,2,FALSE)</f>
        <v>4342</v>
      </c>
      <c r="D272" s="147" t="s">
        <v>227</v>
      </c>
      <c r="E272" t="s">
        <v>7</v>
      </c>
      <c r="I272" s="47">
        <f>VLOOKUP($C272,'Final SEA Counts'!$A$2:$F$709,5,FALSE)</f>
        <v>208</v>
      </c>
      <c r="J272" s="47">
        <f>VLOOKUP($C272,'Final SEA Counts'!$A$2:$F$709,6,FALSE)</f>
        <v>191</v>
      </c>
      <c r="K272" s="24">
        <f t="shared" si="430"/>
        <v>208</v>
      </c>
      <c r="L272" s="24">
        <f t="shared" si="486"/>
        <v>94.380965772941181</v>
      </c>
      <c r="M272" s="4">
        <f t="shared" si="435"/>
        <v>0.45375464313914027</v>
      </c>
      <c r="N272" s="31" t="str">
        <f>IFERROR(VLOOKUP($B272,#REF!,8,FALSE),"")</f>
        <v/>
      </c>
      <c r="O272" s="31" t="str">
        <f>IFERROR(VLOOKUP($B272,#REF!,9,FALSE),"")</f>
        <v/>
      </c>
      <c r="P272" s="31" t="str">
        <f>IFERROR(VLOOKUP($B272,#REF!,10,FALSE),"")</f>
        <v/>
      </c>
      <c r="Q272" s="31" t="str">
        <f>IFERROR(VLOOKUP($B272,#REF!,11,FALSE),"")</f>
        <v/>
      </c>
      <c r="R272" s="31" t="str">
        <f>IFERROR(VLOOKUP($B272,#REF!,12,FALSE),"")</f>
        <v/>
      </c>
      <c r="S272" s="31">
        <f t="shared" si="487"/>
        <v>45499.307833575091</v>
      </c>
      <c r="T272" s="31">
        <f t="shared" si="488"/>
        <v>9377.6779749659199</v>
      </c>
      <c r="U272" s="31">
        <f t="shared" si="489"/>
        <v>26536.761553516164</v>
      </c>
      <c r="V272" s="31">
        <f t="shared" si="490"/>
        <v>24688.550342498555</v>
      </c>
      <c r="W272" s="31">
        <f t="shared" si="419"/>
        <v>45499.307833575091</v>
      </c>
      <c r="X272" s="31">
        <f t="shared" si="420"/>
        <v>9377.6779749659199</v>
      </c>
      <c r="Y272" s="31">
        <f t="shared" si="421"/>
        <v>26536.761553516164</v>
      </c>
      <c r="Z272" s="31">
        <f t="shared" si="422"/>
        <v>24688.550342498555</v>
      </c>
      <c r="AA272" s="31">
        <f t="shared" si="491"/>
        <v>45524.057576056126</v>
      </c>
      <c r="AB272" s="31">
        <f t="shared" si="492"/>
        <v>9964.9447499955677</v>
      </c>
      <c r="AC272" s="31">
        <f t="shared" si="493"/>
        <v>26576.630123116262</v>
      </c>
      <c r="AD272" s="31">
        <f t="shared" si="494"/>
        <v>24725.6421777502</v>
      </c>
      <c r="AE272" s="31">
        <f t="shared" si="423"/>
        <v>106791.27462691815</v>
      </c>
      <c r="AF272" s="31">
        <f>IFERROR(VLOOKUP(A272,'Allocations By Type'!$D$7:$F$491,3,FALSE),"")</f>
        <v>107005.14</v>
      </c>
      <c r="AG272" s="31" t="str">
        <f t="shared" si="424"/>
        <v/>
      </c>
      <c r="AH272" s="31" t="str">
        <f t="shared" si="507"/>
        <v/>
      </c>
      <c r="AI272" s="31">
        <f t="shared" si="426"/>
        <v>106791.27462691815</v>
      </c>
      <c r="AJ272" s="31">
        <f>AI272/$AI$577*'State Admin 1004(b)'!$B$30*0.01</f>
        <v>1016.2790889027193</v>
      </c>
      <c r="AK272" s="31">
        <f t="shared" si="427"/>
        <v>105774.99553801543</v>
      </c>
      <c r="AL272" s="31">
        <f t="shared" si="428"/>
        <v>1057.7499553801542</v>
      </c>
      <c r="AM272" s="31">
        <f t="shared" si="429"/>
        <v>104717.24558263527</v>
      </c>
      <c r="AP272" s="31"/>
      <c r="AQ272" s="4">
        <f t="shared" si="434"/>
        <v>0.97861883627866164</v>
      </c>
      <c r="AW272" s="31">
        <f t="shared" ref="AW272:AW303" si="508">IF(AV272="",AM272-AM272/($AM$356-$AV$356+$AU$356)*$AU$356,AV272)</f>
        <v>104381.51822658305</v>
      </c>
      <c r="AX272" s="4">
        <f t="shared" si="433"/>
        <v>0.97548134815377141</v>
      </c>
      <c r="AZ272" s="174" t="str">
        <f>IFERROR(IF(VLOOKUP(A272,#REF!,11,FALSE)=0,"",VLOOKUP(A272,#REF!,11,FALSE)),"")</f>
        <v/>
      </c>
      <c r="BA272" s="31" t="str">
        <f t="shared" si="436"/>
        <v/>
      </c>
      <c r="BB272" s="31">
        <f t="shared" si="437"/>
        <v>104381.51822658305</v>
      </c>
      <c r="BD272" s="31" t="str">
        <f>IFERROR(VLOOKUP(A272,'Title II Hold Harmless'!A$1:B$439,2, FALSE),"")</f>
        <v/>
      </c>
      <c r="BE272" s="31">
        <f t="shared" si="438"/>
        <v>1402.9086905839115</v>
      </c>
      <c r="BF272" s="31">
        <f t="shared" si="439"/>
        <v>1404.2660884572902</v>
      </c>
      <c r="BG272" s="31" t="str">
        <f t="shared" si="440"/>
        <v/>
      </c>
      <c r="BH272" s="31">
        <f t="shared" si="441"/>
        <v>1404.2660884572902</v>
      </c>
    </row>
    <row r="273" spans="1:60" x14ac:dyDescent="0.3">
      <c r="A273" s="1">
        <v>78570000</v>
      </c>
      <c r="B273">
        <f>VLOOKUP(C273,'NCES ID'!$A$2:$B$3136,2,FALSE)</f>
        <v>400799</v>
      </c>
      <c r="C273">
        <f>VLOOKUP(A273,'State ID'!$A$2:$B$713,2,FALSE)</f>
        <v>90333</v>
      </c>
      <c r="D273" s="147" t="s">
        <v>228</v>
      </c>
      <c r="E273" t="s">
        <v>7</v>
      </c>
      <c r="I273" s="47">
        <f>VLOOKUP($C273,'Final SEA Counts'!$A$2:$F$709,5,FALSE)</f>
        <v>154</v>
      </c>
      <c r="J273" s="47">
        <f>VLOOKUP($C273,'Final SEA Counts'!$A$2:$F$709,6,FALSE)</f>
        <v>79</v>
      </c>
      <c r="K273" s="24">
        <f t="shared" si="430"/>
        <v>154</v>
      </c>
      <c r="L273" s="24">
        <f t="shared" si="486"/>
        <v>39.03715338252541</v>
      </c>
      <c r="M273" s="4">
        <f t="shared" si="435"/>
        <v>0.25348800897743773</v>
      </c>
      <c r="N273" s="31" t="str">
        <f>IFERROR(VLOOKUP($B273,#REF!,8,FALSE),"")</f>
        <v/>
      </c>
      <c r="O273" s="31" t="str">
        <f>IFERROR(VLOOKUP($B273,#REF!,9,FALSE),"")</f>
        <v/>
      </c>
      <c r="P273" s="31" t="str">
        <f>IFERROR(VLOOKUP($B273,#REF!,10,FALSE),"")</f>
        <v/>
      </c>
      <c r="Q273" s="31" t="str">
        <f>IFERROR(VLOOKUP($B273,#REF!,11,FALSE),"")</f>
        <v/>
      </c>
      <c r="R273" s="31" t="str">
        <f>IFERROR(VLOOKUP($B273,#REF!,12,FALSE),"")</f>
        <v/>
      </c>
      <c r="S273" s="31">
        <f t="shared" si="487"/>
        <v>18819.08543901797</v>
      </c>
      <c r="T273" s="31">
        <f t="shared" si="488"/>
        <v>3878.7254451429721</v>
      </c>
      <c r="U273" s="31">
        <f t="shared" si="489"/>
        <v>10975.938024752759</v>
      </c>
      <c r="V273" s="31">
        <f t="shared" si="490"/>
        <v>10211.494644279506</v>
      </c>
      <c r="W273" s="31">
        <f t="shared" si="419"/>
        <v>18819.08543901797</v>
      </c>
      <c r="X273" s="31">
        <f t="shared" si="420"/>
        <v>3878.7254451429721</v>
      </c>
      <c r="Y273" s="31">
        <f t="shared" si="421"/>
        <v>10975.938024752759</v>
      </c>
      <c r="Z273" s="31">
        <f t="shared" si="422"/>
        <v>10211.494644279506</v>
      </c>
      <c r="AA273" s="31">
        <f t="shared" si="491"/>
        <v>18843.835181499006</v>
      </c>
      <c r="AB273" s="31">
        <f t="shared" si="492"/>
        <v>4465.9922201726204</v>
      </c>
      <c r="AC273" s="31">
        <f t="shared" si="493"/>
        <v>11015.806594352855</v>
      </c>
      <c r="AD273" s="31">
        <f t="shared" si="494"/>
        <v>10248.586479531152</v>
      </c>
      <c r="AE273" s="31">
        <f t="shared" si="423"/>
        <v>44574.22047555563</v>
      </c>
      <c r="AF273" s="31">
        <f>IFERROR(VLOOKUP(A273,'Allocations By Type'!$D$7:$F$491,3,FALSE),"")</f>
        <v>53594.6</v>
      </c>
      <c r="AG273" s="31" t="str">
        <f t="shared" si="424"/>
        <v/>
      </c>
      <c r="AH273" s="31" t="str">
        <f t="shared" si="507"/>
        <v/>
      </c>
      <c r="AI273" s="31">
        <f t="shared" si="426"/>
        <v>44574.22047555563</v>
      </c>
      <c r="AJ273" s="31">
        <f>AI273/$AI$577*'State Admin 1004(b)'!$B$30*0.01</f>
        <v>424.19053739834453</v>
      </c>
      <c r="AK273" s="31">
        <f t="shared" si="427"/>
        <v>44150.029938157284</v>
      </c>
      <c r="AL273" s="31">
        <f t="shared" si="428"/>
        <v>441.50029938157286</v>
      </c>
      <c r="AM273" s="31">
        <f t="shared" si="429"/>
        <v>43708.529638775712</v>
      </c>
      <c r="AP273" s="31"/>
      <c r="AQ273" s="4">
        <f t="shared" si="434"/>
        <v>0.81553980510677782</v>
      </c>
      <c r="AW273" s="31">
        <f t="shared" si="508"/>
        <v>43568.398478803821</v>
      </c>
      <c r="AX273" s="4">
        <f t="shared" si="433"/>
        <v>0.81292515437756463</v>
      </c>
      <c r="BA273" s="31" t="str">
        <f t="shared" si="436"/>
        <v/>
      </c>
      <c r="BB273" s="31">
        <f t="shared" si="437"/>
        <v>43568.398478803821</v>
      </c>
      <c r="BD273" s="31" t="str">
        <f>IFERROR(VLOOKUP(A273,'Title II Hold Harmless'!A$1:B$439,2, FALSE),"")</f>
        <v/>
      </c>
      <c r="BE273" s="31">
        <f t="shared" si="438"/>
        <v>634.96175981733472</v>
      </c>
      <c r="BF273" s="31">
        <f t="shared" si="439"/>
        <v>635.57612320979047</v>
      </c>
      <c r="BG273" s="31" t="str">
        <f t="shared" si="440"/>
        <v/>
      </c>
      <c r="BH273" s="31">
        <f t="shared" si="441"/>
        <v>635.57612320979047</v>
      </c>
    </row>
    <row r="274" spans="1:60" x14ac:dyDescent="0.3">
      <c r="A274" s="1">
        <v>78580000</v>
      </c>
      <c r="B274">
        <f>VLOOKUP(C274,'NCES ID'!$A$2:$B$3136,2,FALSE)</f>
        <v>400852</v>
      </c>
      <c r="C274">
        <f>VLOOKUP(A274,'State ID'!$A$2:$B$713,2,FALSE)</f>
        <v>90535</v>
      </c>
      <c r="D274" s="147" t="s">
        <v>229</v>
      </c>
      <c r="E274" t="s">
        <v>7</v>
      </c>
      <c r="I274" s="47">
        <f>VLOOKUP($C274,'Final SEA Counts'!$A$2:$F$709,5,FALSE)</f>
        <v>296</v>
      </c>
      <c r="J274" s="47">
        <f>VLOOKUP($C274,'Final SEA Counts'!$A$2:$F$709,6,FALSE)</f>
        <v>184</v>
      </c>
      <c r="K274" s="24">
        <f t="shared" si="430"/>
        <v>296</v>
      </c>
      <c r="L274" s="24">
        <f t="shared" si="486"/>
        <v>90.921977498540201</v>
      </c>
      <c r="M274" s="4">
        <f t="shared" si="435"/>
        <v>0.30716884290047364</v>
      </c>
      <c r="N274" s="31" t="str">
        <f>IFERROR(VLOOKUP($B274,#REF!,8,FALSE),"")</f>
        <v/>
      </c>
      <c r="O274" s="31" t="str">
        <f>IFERROR(VLOOKUP($B274,#REF!,9,FALSE),"")</f>
        <v/>
      </c>
      <c r="P274" s="31" t="str">
        <f>IFERROR(VLOOKUP($B274,#REF!,10,FALSE),"")</f>
        <v/>
      </c>
      <c r="Q274" s="31" t="str">
        <f>IFERROR(VLOOKUP($B274,#REF!,11,FALSE),"")</f>
        <v/>
      </c>
      <c r="R274" s="31" t="str">
        <f>IFERROR(VLOOKUP($B274,#REF!,12,FALSE),"")</f>
        <v/>
      </c>
      <c r="S274" s="31">
        <f t="shared" si="487"/>
        <v>43831.793933915273</v>
      </c>
      <c r="T274" s="31">
        <f t="shared" si="488"/>
        <v>9033.9934418519861</v>
      </c>
      <c r="U274" s="31">
        <f t="shared" si="489"/>
        <v>25564.210082968453</v>
      </c>
      <c r="V274" s="31">
        <f t="shared" si="490"/>
        <v>23783.734361359864</v>
      </c>
      <c r="W274" s="31">
        <f t="shared" si="419"/>
        <v>43831.793933915273</v>
      </c>
      <c r="X274" s="31">
        <f t="shared" si="420"/>
        <v>9033.9934418519861</v>
      </c>
      <c r="Y274" s="31">
        <f t="shared" si="421"/>
        <v>25564.210082968453</v>
      </c>
      <c r="Z274" s="31">
        <f t="shared" si="422"/>
        <v>23783.734361359864</v>
      </c>
      <c r="AA274" s="31">
        <f t="shared" si="491"/>
        <v>43856.543676396308</v>
      </c>
      <c r="AB274" s="31">
        <f t="shared" si="492"/>
        <v>9621.2602168816338</v>
      </c>
      <c r="AC274" s="31">
        <f t="shared" si="493"/>
        <v>25604.078652568551</v>
      </c>
      <c r="AD274" s="31">
        <f t="shared" si="494"/>
        <v>23820.82619661151</v>
      </c>
      <c r="AE274" s="31">
        <f t="shared" si="423"/>
        <v>102902.70874245801</v>
      </c>
      <c r="AF274" s="31">
        <f>IFERROR(VLOOKUP(A274,'Allocations By Type'!$D$7:$F$491,3,FALSE),"")</f>
        <v>81829.64</v>
      </c>
      <c r="AG274" s="31">
        <f t="shared" si="424"/>
        <v>4116.1083496983201</v>
      </c>
      <c r="AH274" s="31">
        <f t="shared" si="507"/>
        <v>4116.1083496983201</v>
      </c>
      <c r="AI274" s="31">
        <f t="shared" si="426"/>
        <v>98786.60039275969</v>
      </c>
      <c r="AJ274" s="31">
        <f>AI274/$AI$577*'State Admin 1004(b)'!$B$30*0.01</f>
        <v>940.10261225634804</v>
      </c>
      <c r="AK274" s="31">
        <f t="shared" si="427"/>
        <v>97846.497780503341</v>
      </c>
      <c r="AL274" s="31">
        <f t="shared" si="428"/>
        <v>978.46497780503341</v>
      </c>
      <c r="AM274" s="31">
        <f t="shared" si="429"/>
        <v>96868.032802698304</v>
      </c>
      <c r="AP274" s="31"/>
      <c r="AQ274" s="4">
        <f t="shared" si="434"/>
        <v>1.183776841773938</v>
      </c>
      <c r="AW274" s="31">
        <f t="shared" si="508"/>
        <v>96557.470312653008</v>
      </c>
      <c r="AX274" s="4">
        <f t="shared" si="433"/>
        <v>1.1799816095079119</v>
      </c>
      <c r="AZ274" s="174" t="str">
        <f>IFERROR(IF(VLOOKUP(A274,#REF!,11,FALSE)=0,"",VLOOKUP(A274,#REF!,11,FALSE)),"")</f>
        <v/>
      </c>
      <c r="BA274" s="31" t="str">
        <f t="shared" si="436"/>
        <v/>
      </c>
      <c r="BB274" s="31">
        <f t="shared" si="437"/>
        <v>96557.470312653008</v>
      </c>
      <c r="BD274" s="31" t="str">
        <f>IFERROR(VLOOKUP(A274,'Title II Hold Harmless'!A$1:B$439,2, FALSE),"")</f>
        <v/>
      </c>
      <c r="BE274" s="31">
        <f t="shared" si="438"/>
        <v>1428.4505790383091</v>
      </c>
      <c r="BF274" s="31">
        <f t="shared" si="439"/>
        <v>1429.8326902129188</v>
      </c>
      <c r="BG274" s="31" t="str">
        <f t="shared" si="440"/>
        <v/>
      </c>
      <c r="BH274" s="31">
        <f t="shared" si="441"/>
        <v>1429.8326902129188</v>
      </c>
    </row>
    <row r="275" spans="1:60" x14ac:dyDescent="0.3">
      <c r="A275" s="1">
        <v>78571000</v>
      </c>
      <c r="B275">
        <f>VLOOKUP(C275,'NCES ID'!$A$2:$B$3136,2,FALSE)</f>
        <v>400789</v>
      </c>
      <c r="C275">
        <f>VLOOKUP(A275,'State ID'!$A$2:$B$713,2,FALSE)</f>
        <v>90334</v>
      </c>
      <c r="D275" s="147" t="s">
        <v>230</v>
      </c>
      <c r="E275" t="s">
        <v>7</v>
      </c>
      <c r="I275" s="47">
        <f>VLOOKUP($C275,'Final SEA Counts'!$A$2:$F$709,5,FALSE)</f>
        <v>224</v>
      </c>
      <c r="J275" s="47">
        <f>VLOOKUP($C275,'Final SEA Counts'!$A$2:$F$709,6,FALSE)</f>
        <v>150</v>
      </c>
      <c r="K275" s="24">
        <f t="shared" si="430"/>
        <v>224</v>
      </c>
      <c r="L275" s="24">
        <f t="shared" si="486"/>
        <v>74.12117730859255</v>
      </c>
      <c r="M275" s="4">
        <f t="shared" si="435"/>
        <v>0.33089811298478816</v>
      </c>
      <c r="N275" s="31" t="str">
        <f>IFERROR(VLOOKUP($B275,#REF!,8,FALSE),"")</f>
        <v/>
      </c>
      <c r="O275" s="31" t="str">
        <f>IFERROR(VLOOKUP($B275,#REF!,9,FALSE),"")</f>
        <v/>
      </c>
      <c r="P275" s="31" t="str">
        <f>IFERROR(VLOOKUP($B275,#REF!,10,FALSE),"")</f>
        <v/>
      </c>
      <c r="Q275" s="31" t="str">
        <f>IFERROR(VLOOKUP($B275,#REF!,11,FALSE),"")</f>
        <v/>
      </c>
      <c r="R275" s="31" t="str">
        <f>IFERROR(VLOOKUP($B275,#REF!,12,FALSE),"")</f>
        <v/>
      </c>
      <c r="S275" s="31">
        <f t="shared" si="487"/>
        <v>35732.440706996145</v>
      </c>
      <c r="T275" s="31">
        <f t="shared" si="488"/>
        <v>7364.6685667271622</v>
      </c>
      <c r="U275" s="31">
        <f t="shared" si="489"/>
        <v>20840.388654593848</v>
      </c>
      <c r="V275" s="31">
        <f t="shared" si="490"/>
        <v>19388.913881543365</v>
      </c>
      <c r="W275" s="31">
        <f t="shared" si="419"/>
        <v>35732.440706996145</v>
      </c>
      <c r="X275" s="31">
        <f t="shared" si="420"/>
        <v>7364.6685667271622</v>
      </c>
      <c r="Y275" s="31">
        <f t="shared" si="421"/>
        <v>20840.388654593848</v>
      </c>
      <c r="Z275" s="31">
        <f t="shared" si="422"/>
        <v>19388.913881543365</v>
      </c>
      <c r="AA275" s="31">
        <f t="shared" si="491"/>
        <v>35757.190449477181</v>
      </c>
      <c r="AB275" s="31">
        <f t="shared" si="492"/>
        <v>7951.93534175681</v>
      </c>
      <c r="AC275" s="31">
        <f t="shared" si="493"/>
        <v>20880.257224193945</v>
      </c>
      <c r="AD275" s="31">
        <f t="shared" si="494"/>
        <v>19426.005716795011</v>
      </c>
      <c r="AE275" s="31">
        <f t="shared" si="423"/>
        <v>84015.388732222957</v>
      </c>
      <c r="AF275" s="31">
        <f>IFERROR(VLOOKUP(A275,'Allocations By Type'!$D$7:$F$491,3,FALSE),"")</f>
        <v>68070.98</v>
      </c>
      <c r="AG275" s="31">
        <f t="shared" si="424"/>
        <v>3360.6155492889184</v>
      </c>
      <c r="AH275" s="31">
        <f t="shared" si="507"/>
        <v>3360.6155492889184</v>
      </c>
      <c r="AI275" s="31">
        <f t="shared" si="426"/>
        <v>80654.773182934034</v>
      </c>
      <c r="AJ275" s="31">
        <f>AI275/$AI$577*'State Admin 1004(b)'!$B$30*0.01</f>
        <v>767.55109153221599</v>
      </c>
      <c r="AK275" s="31">
        <f t="shared" si="427"/>
        <v>79887.222091401811</v>
      </c>
      <c r="AL275" s="31">
        <f t="shared" si="428"/>
        <v>798.87222091401816</v>
      </c>
      <c r="AM275" s="31">
        <f t="shared" si="429"/>
        <v>79088.349870487786</v>
      </c>
      <c r="AP275" s="31"/>
      <c r="AQ275" s="4">
        <f t="shared" si="434"/>
        <v>1.1618512010622999</v>
      </c>
      <c r="AW275" s="31">
        <f t="shared" si="508"/>
        <v>78834.789700443027</v>
      </c>
      <c r="AX275" s="4">
        <f t="shared" si="433"/>
        <v>1.1581262632100058</v>
      </c>
      <c r="AZ275" s="174" t="str">
        <f>IFERROR(IF(VLOOKUP(A275,#REF!,11,FALSE)=0,"",VLOOKUP(A275,#REF!,11,FALSE)),"")</f>
        <v/>
      </c>
      <c r="BA275" s="31" t="str">
        <f t="shared" si="436"/>
        <v/>
      </c>
      <c r="BB275" s="31">
        <f t="shared" si="437"/>
        <v>78834.789700443027</v>
      </c>
      <c r="BD275" s="31" t="str">
        <f>IFERROR(VLOOKUP(A275,'Title II Hold Harmless'!A$1:B$439,2, FALSE),"")</f>
        <v/>
      </c>
      <c r="BE275" s="31">
        <f t="shared" si="438"/>
        <v>1150.5712208935036</v>
      </c>
      <c r="BF275" s="31">
        <f t="shared" si="439"/>
        <v>1151.6844672073184</v>
      </c>
      <c r="BG275" s="31" t="str">
        <f t="shared" si="440"/>
        <v/>
      </c>
      <c r="BH275" s="31">
        <f t="shared" si="441"/>
        <v>1151.6844672073184</v>
      </c>
    </row>
    <row r="276" spans="1:60" x14ac:dyDescent="0.3">
      <c r="A276" s="1">
        <v>78949000</v>
      </c>
      <c r="B276">
        <f>VLOOKUP(C276,'NCES ID'!$A$2:$B$3136,2,FALSE)</f>
        <v>400389</v>
      </c>
      <c r="C276">
        <f>VLOOKUP(A276,'State ID'!$A$2:$B$713,2,FALSE)</f>
        <v>79882</v>
      </c>
      <c r="D276" s="147" t="s">
        <v>231</v>
      </c>
      <c r="E276" t="s">
        <v>7</v>
      </c>
      <c r="I276" s="47">
        <f>VLOOKUP($C276,'Final SEA Counts'!$A$2:$F$709,5,FALSE)</f>
        <v>166</v>
      </c>
      <c r="J276" s="47">
        <f>VLOOKUP($C276,'Final SEA Counts'!$A$2:$F$709,6,FALSE)</f>
        <v>166</v>
      </c>
      <c r="K276" s="24">
        <f t="shared" si="430"/>
        <v>166</v>
      </c>
      <c r="L276" s="24">
        <f t="shared" si="486"/>
        <v>82.027436221509092</v>
      </c>
      <c r="M276" s="4">
        <f t="shared" si="435"/>
        <v>0.49414118205728369</v>
      </c>
      <c r="N276" s="31" t="str">
        <f>IFERROR(VLOOKUP($B276,#REF!,8,FALSE),"")</f>
        <v/>
      </c>
      <c r="O276" s="31" t="str">
        <f>IFERROR(VLOOKUP($B276,#REF!,9,FALSE),"")</f>
        <v/>
      </c>
      <c r="P276" s="31" t="str">
        <f>IFERROR(VLOOKUP($B276,#REF!,10,FALSE),"")</f>
        <v/>
      </c>
      <c r="Q276" s="31" t="str">
        <f>IFERROR(VLOOKUP($B276,#REF!,11,FALSE),"")</f>
        <v/>
      </c>
      <c r="R276" s="31" t="str">
        <f>IFERROR(VLOOKUP($B276,#REF!,12,FALSE),"")</f>
        <v/>
      </c>
      <c r="S276" s="31">
        <f t="shared" si="487"/>
        <v>39543.901049075736</v>
      </c>
      <c r="T276" s="31">
        <f t="shared" si="488"/>
        <v>8150.2332138447264</v>
      </c>
      <c r="U276" s="31">
        <f t="shared" si="489"/>
        <v>23063.363444417191</v>
      </c>
      <c r="V276" s="31">
        <f t="shared" si="490"/>
        <v>21457.06469557466</v>
      </c>
      <c r="W276" s="31">
        <f t="shared" si="419"/>
        <v>39543.901049075736</v>
      </c>
      <c r="X276" s="31">
        <f t="shared" si="420"/>
        <v>8150.2332138447264</v>
      </c>
      <c r="Y276" s="31">
        <f t="shared" si="421"/>
        <v>23063.363444417191</v>
      </c>
      <c r="Z276" s="31">
        <f t="shared" si="422"/>
        <v>21457.06469557466</v>
      </c>
      <c r="AA276" s="31">
        <f t="shared" si="491"/>
        <v>39568.650791556771</v>
      </c>
      <c r="AB276" s="31">
        <f t="shared" si="492"/>
        <v>8737.499988874375</v>
      </c>
      <c r="AC276" s="31">
        <f t="shared" si="493"/>
        <v>23103.232014017289</v>
      </c>
      <c r="AD276" s="31">
        <f t="shared" si="494"/>
        <v>21494.156530826305</v>
      </c>
      <c r="AE276" s="31">
        <f t="shared" si="423"/>
        <v>92903.539325274745</v>
      </c>
      <c r="AF276" s="31">
        <f>IFERROR(VLOOKUP(A276,'Allocations By Type'!$D$7:$F$491,3,FALSE),"")</f>
        <v>104584.35</v>
      </c>
      <c r="AG276" s="31" t="str">
        <f t="shared" si="424"/>
        <v/>
      </c>
      <c r="AH276" s="31" t="str">
        <f t="shared" si="507"/>
        <v/>
      </c>
      <c r="AI276" s="31">
        <f t="shared" si="426"/>
        <v>92903.539325274745</v>
      </c>
      <c r="AJ276" s="31">
        <f>AI276/$AI$577*'State Admin 1004(b)'!$B$30*0.01</f>
        <v>884.11646579906437</v>
      </c>
      <c r="AK276" s="31">
        <f t="shared" si="427"/>
        <v>92019.422859475686</v>
      </c>
      <c r="AL276" s="31">
        <f t="shared" si="428"/>
        <v>920.19422859475685</v>
      </c>
      <c r="AM276" s="31">
        <f t="shared" si="429"/>
        <v>91099.228630880927</v>
      </c>
      <c r="AP276" s="31"/>
      <c r="AQ276" s="4">
        <f t="shared" si="434"/>
        <v>0.87105985389669605</v>
      </c>
      <c r="AW276" s="31">
        <f t="shared" si="508"/>
        <v>90807.161140025215</v>
      </c>
      <c r="AX276" s="4">
        <f t="shared" si="433"/>
        <v>0.86826720384096867</v>
      </c>
      <c r="AZ276" s="174" t="str">
        <f>IFERROR(IF(VLOOKUP(A276,#REF!,11,FALSE)=0,"",VLOOKUP(A276,#REF!,11,FALSE)),"")</f>
        <v/>
      </c>
      <c r="BA276" s="31" t="str">
        <f t="shared" si="436"/>
        <v/>
      </c>
      <c r="BB276" s="31">
        <f t="shared" si="437"/>
        <v>90807.161140025215</v>
      </c>
      <c r="BD276" s="31" t="str">
        <f>IFERROR(VLOOKUP(A276,'Title II Hold Harmless'!A$1:B$439,2, FALSE),"")</f>
        <v/>
      </c>
      <c r="BE276" s="31">
        <f t="shared" si="438"/>
        <v>1207.3910885506998</v>
      </c>
      <c r="BF276" s="31">
        <f t="shared" si="439"/>
        <v>1208.5593114770636</v>
      </c>
      <c r="BG276" s="31" t="str">
        <f t="shared" si="440"/>
        <v/>
      </c>
      <c r="BH276" s="31">
        <f t="shared" si="441"/>
        <v>1208.5593114770636</v>
      </c>
    </row>
    <row r="277" spans="1:60" x14ac:dyDescent="0.3">
      <c r="A277" s="1">
        <v>78576000</v>
      </c>
      <c r="B277">
        <f>VLOOKUP(C277,'NCES ID'!$A$2:$B$3136,2,FALSE)</f>
        <v>400823</v>
      </c>
      <c r="C277">
        <f>VLOOKUP(A277,'State ID'!$A$2:$B$713,2,FALSE)</f>
        <v>90548</v>
      </c>
      <c r="D277" s="147" t="s">
        <v>232</v>
      </c>
      <c r="E277" t="s">
        <v>7</v>
      </c>
      <c r="I277" s="47">
        <f>VLOOKUP($C277,'Final SEA Counts'!$A$2:$F$709,5,FALSE)</f>
        <v>285</v>
      </c>
      <c r="J277" s="47">
        <f>VLOOKUP($C277,'Final SEA Counts'!$A$2:$F$709,6,FALSE)</f>
        <v>134</v>
      </c>
      <c r="K277" s="24">
        <f t="shared" si="430"/>
        <v>285</v>
      </c>
      <c r="L277" s="24">
        <f t="shared" si="486"/>
        <v>66.214918395676008</v>
      </c>
      <c r="M277" s="4">
        <f t="shared" si="435"/>
        <v>0.23233304700237195</v>
      </c>
      <c r="N277" s="31" t="str">
        <f>IFERROR(VLOOKUP($B277,#REF!,8,FALSE),"")</f>
        <v/>
      </c>
      <c r="O277" s="31" t="str">
        <f>IFERROR(VLOOKUP($B277,#REF!,9,FALSE),"")</f>
        <v/>
      </c>
      <c r="P277" s="31" t="str">
        <f>IFERROR(VLOOKUP($B277,#REF!,10,FALSE),"")</f>
        <v/>
      </c>
      <c r="Q277" s="31" t="str">
        <f>IFERROR(VLOOKUP($B277,#REF!,11,FALSE),"")</f>
        <v/>
      </c>
      <c r="R277" s="31" t="str">
        <f>IFERROR(VLOOKUP($B277,#REF!,12,FALSE),"")</f>
        <v/>
      </c>
      <c r="S277" s="31">
        <f t="shared" si="487"/>
        <v>31920.980364916551</v>
      </c>
      <c r="T277" s="31">
        <f t="shared" si="488"/>
        <v>6579.1039196095981</v>
      </c>
      <c r="U277" s="31">
        <f t="shared" si="489"/>
        <v>18617.413864770504</v>
      </c>
      <c r="V277" s="31">
        <f t="shared" si="490"/>
        <v>17320.763067512074</v>
      </c>
      <c r="W277" s="31">
        <f t="shared" si="419"/>
        <v>31920.980364916551</v>
      </c>
      <c r="X277" s="31">
        <f t="shared" si="420"/>
        <v>6579.1039196095981</v>
      </c>
      <c r="Y277" s="31">
        <f t="shared" si="421"/>
        <v>18617.413864770504</v>
      </c>
      <c r="Z277" s="31">
        <f t="shared" si="422"/>
        <v>17320.763067512074</v>
      </c>
      <c r="AA277" s="31">
        <f t="shared" si="491"/>
        <v>31945.730107397587</v>
      </c>
      <c r="AB277" s="31">
        <f t="shared" si="492"/>
        <v>7166.3706946392458</v>
      </c>
      <c r="AC277" s="31">
        <f t="shared" si="493"/>
        <v>18657.282434370602</v>
      </c>
      <c r="AD277" s="31">
        <f t="shared" si="494"/>
        <v>17357.85490276372</v>
      </c>
      <c r="AE277" s="31">
        <f t="shared" si="423"/>
        <v>75127.238139171153</v>
      </c>
      <c r="AF277" s="31">
        <f>IFERROR(VLOOKUP(A277,'Allocations By Type'!$D$7:$F$491,3,FALSE),"")</f>
        <v>74421.13</v>
      </c>
      <c r="AG277" s="31">
        <f t="shared" si="424"/>
        <v>3005.0895255668461</v>
      </c>
      <c r="AH277" s="31">
        <f t="shared" si="507"/>
        <v>706.10813917114865</v>
      </c>
      <c r="AI277" s="31">
        <f t="shared" si="426"/>
        <v>74421.13</v>
      </c>
      <c r="AJ277" s="31">
        <f>AI277/$AI$577*'State Admin 1004(b)'!$B$30*0.01</f>
        <v>708.22863062303611</v>
      </c>
      <c r="AK277" s="31">
        <f t="shared" si="427"/>
        <v>73712.901369376967</v>
      </c>
      <c r="AL277" s="31">
        <f t="shared" si="428"/>
        <v>737.12901369376971</v>
      </c>
      <c r="AM277" s="31">
        <f t="shared" si="429"/>
        <v>72975.772355683192</v>
      </c>
      <c r="AP277" s="31"/>
      <c r="AQ277" s="4">
        <f t="shared" si="434"/>
        <v>0.98057866570533381</v>
      </c>
      <c r="AW277" s="31">
        <f t="shared" si="508"/>
        <v>72741.809334859572</v>
      </c>
      <c r="AX277" s="4">
        <f t="shared" si="433"/>
        <v>0.97743489429493435</v>
      </c>
      <c r="AZ277" s="174" t="str">
        <f>IFERROR(IF(VLOOKUP(A277,#REF!,11,FALSE)=0,"",VLOOKUP(A277,#REF!,11,FALSE)),"")</f>
        <v/>
      </c>
      <c r="BA277" s="31" t="str">
        <f t="shared" si="436"/>
        <v/>
      </c>
      <c r="BB277" s="31">
        <f t="shared" si="437"/>
        <v>72741.809334859572</v>
      </c>
      <c r="BD277" s="31" t="str">
        <f>IFERROR(VLOOKUP(A277,'Title II Hold Harmless'!A$1:B$439,2, FALSE),"")</f>
        <v/>
      </c>
      <c r="BE277" s="31">
        <f t="shared" si="438"/>
        <v>1096.1657523047827</v>
      </c>
      <c r="BF277" s="31">
        <f t="shared" si="439"/>
        <v>1097.2263580812212</v>
      </c>
      <c r="BG277" s="31" t="str">
        <f t="shared" si="440"/>
        <v/>
      </c>
      <c r="BH277" s="31">
        <f t="shared" si="441"/>
        <v>1097.2263580812212</v>
      </c>
    </row>
    <row r="278" spans="1:60" x14ac:dyDescent="0.3">
      <c r="A278" s="1">
        <v>78999000</v>
      </c>
      <c r="B278">
        <f>VLOOKUP(C278,'NCES ID'!$A$2:$B$3136,2,FALSE)</f>
        <v>400221</v>
      </c>
      <c r="C278">
        <f>VLOOKUP(A278,'State ID'!$A$2:$B$713,2,FALSE)</f>
        <v>79233</v>
      </c>
      <c r="D278" s="147" t="s">
        <v>234</v>
      </c>
      <c r="E278" t="s">
        <v>7</v>
      </c>
      <c r="I278" s="47">
        <f>VLOOKUP($C278,'Final SEA Counts'!$A$2:$F$709,5,FALSE)</f>
        <v>339</v>
      </c>
      <c r="J278" s="47">
        <f>VLOOKUP($C278,'Final SEA Counts'!$A$2:$F$709,6,FALSE)</f>
        <v>339</v>
      </c>
      <c r="K278" s="24">
        <f t="shared" si="430"/>
        <v>339</v>
      </c>
      <c r="L278" s="24">
        <f t="shared" si="486"/>
        <v>167.51386071741916</v>
      </c>
      <c r="M278" s="4">
        <f t="shared" si="435"/>
        <v>0.49414118205728369</v>
      </c>
      <c r="N278" s="31" t="str">
        <f>IFERROR(VLOOKUP($B278,#REF!,8,FALSE),"")</f>
        <v/>
      </c>
      <c r="O278" s="31" t="str">
        <f>IFERROR(VLOOKUP($B278,#REF!,9,FALSE),"")</f>
        <v/>
      </c>
      <c r="P278" s="31" t="str">
        <f>IFERROR(VLOOKUP($B278,#REF!,10,FALSE),"")</f>
        <v/>
      </c>
      <c r="Q278" s="31" t="str">
        <f>IFERROR(VLOOKUP($B278,#REF!,11,FALSE),"")</f>
        <v/>
      </c>
      <c r="R278" s="31" t="str">
        <f>IFERROR(VLOOKUP($B278,#REF!,12,FALSE),"")</f>
        <v/>
      </c>
      <c r="S278" s="31">
        <f t="shared" si="487"/>
        <v>80755.315997811282</v>
      </c>
      <c r="T278" s="31">
        <f t="shared" si="488"/>
        <v>16644.150960803385</v>
      </c>
      <c r="U278" s="31">
        <f t="shared" si="489"/>
        <v>47099.278359382093</v>
      </c>
      <c r="V278" s="31">
        <f t="shared" si="490"/>
        <v>43818.945372288006</v>
      </c>
      <c r="W278" s="31">
        <f t="shared" si="419"/>
        <v>80755.315997811282</v>
      </c>
      <c r="X278" s="31">
        <f t="shared" si="420"/>
        <v>16644.150960803385</v>
      </c>
      <c r="Y278" s="31">
        <f t="shared" si="421"/>
        <v>47099.278359382093</v>
      </c>
      <c r="Z278" s="31">
        <f t="shared" si="422"/>
        <v>43818.945372288006</v>
      </c>
      <c r="AA278" s="31">
        <f t="shared" si="491"/>
        <v>80780.06574029231</v>
      </c>
      <c r="AB278" s="31">
        <f t="shared" si="492"/>
        <v>17231.417735833034</v>
      </c>
      <c r="AC278" s="31">
        <f t="shared" si="493"/>
        <v>47139.146928982191</v>
      </c>
      <c r="AD278" s="31">
        <f t="shared" si="494"/>
        <v>43856.037207539652</v>
      </c>
      <c r="AE278" s="31">
        <f t="shared" si="423"/>
        <v>189006.6676126472</v>
      </c>
      <c r="AF278" s="31">
        <f>IFERROR(VLOOKUP(A278,'Allocations By Type'!$D$7:$F$491,3,FALSE),"")</f>
        <v>188194.68</v>
      </c>
      <c r="AG278" s="31">
        <f t="shared" si="424"/>
        <v>7560.2667045058879</v>
      </c>
      <c r="AH278" s="31">
        <f t="shared" si="507"/>
        <v>811.98761264720815</v>
      </c>
      <c r="AI278" s="31">
        <f t="shared" si="426"/>
        <v>188194.68</v>
      </c>
      <c r="AJ278" s="31">
        <f>AI278/$AI$577*'State Admin 1004(b)'!$B$30*0.01</f>
        <v>1790.9545381391074</v>
      </c>
      <c r="AK278" s="31">
        <f t="shared" si="427"/>
        <v>186403.72546186089</v>
      </c>
      <c r="AL278" s="31">
        <f t="shared" si="428"/>
        <v>1864.0372546186088</v>
      </c>
      <c r="AM278" s="31">
        <f t="shared" si="429"/>
        <v>184539.68820724229</v>
      </c>
      <c r="AP278" s="31"/>
      <c r="AQ278" s="4">
        <f t="shared" si="434"/>
        <v>0.98057866570533392</v>
      </c>
      <c r="AW278" s="31">
        <f t="shared" si="508"/>
        <v>183948.04715266902</v>
      </c>
      <c r="AX278" s="4">
        <f t="shared" si="433"/>
        <v>0.97743489429493458</v>
      </c>
      <c r="AZ278" s="174" t="str">
        <f>IFERROR(IF(VLOOKUP(A278,#REF!,11,FALSE)=0,"",VLOOKUP(A278,#REF!,11,FALSE)),"")</f>
        <v/>
      </c>
      <c r="BA278" s="31" t="str">
        <f t="shared" si="436"/>
        <v/>
      </c>
      <c r="BB278" s="31">
        <f t="shared" si="437"/>
        <v>183948.04715266902</v>
      </c>
      <c r="BD278" s="31" t="str">
        <f>IFERROR(VLOOKUP(A278,'Title II Hold Harmless'!A$1:B$439,2, FALSE),"")</f>
        <v/>
      </c>
      <c r="BE278" s="31">
        <f t="shared" si="438"/>
        <v>2465.6962591487177</v>
      </c>
      <c r="BF278" s="31">
        <f t="shared" si="439"/>
        <v>2468.0819674140025</v>
      </c>
      <c r="BG278" s="31" t="str">
        <f t="shared" si="440"/>
        <v/>
      </c>
      <c r="BH278" s="31">
        <f t="shared" si="441"/>
        <v>2468.0819674140025</v>
      </c>
    </row>
    <row r="279" spans="1:60" x14ac:dyDescent="0.3">
      <c r="A279" s="1">
        <v>78765000</v>
      </c>
      <c r="B279">
        <f>VLOOKUP(C279,'NCES ID'!$A$2:$B$3136,2,FALSE)</f>
        <v>400227</v>
      </c>
      <c r="C279">
        <f>VLOOKUP(A279,'State ID'!$A$2:$B$713,2,FALSE)</f>
        <v>78965</v>
      </c>
      <c r="D279" s="147" t="s">
        <v>235</v>
      </c>
      <c r="E279" t="s">
        <v>7</v>
      </c>
      <c r="I279" s="47">
        <f>VLOOKUP($C279,'Final SEA Counts'!$A$2:$F$709,5,FALSE)</f>
        <v>165</v>
      </c>
      <c r="J279" s="47">
        <f>VLOOKUP($C279,'Final SEA Counts'!$A$2:$F$709,6,FALSE)</f>
        <v>146</v>
      </c>
      <c r="K279" s="24">
        <f t="shared" si="430"/>
        <v>165</v>
      </c>
      <c r="L279" s="24">
        <f t="shared" si="486"/>
        <v>72.144612580363415</v>
      </c>
      <c r="M279" s="4">
        <f t="shared" si="435"/>
        <v>0.43724007624462674</v>
      </c>
      <c r="N279" s="31" t="str">
        <f>IFERROR(VLOOKUP($B279,#REF!,8,FALSE),"")</f>
        <v/>
      </c>
      <c r="O279" s="31" t="str">
        <f>IFERROR(VLOOKUP($B279,#REF!,9,FALSE),"")</f>
        <v/>
      </c>
      <c r="P279" s="31" t="str">
        <f>IFERROR(VLOOKUP($B279,#REF!,10,FALSE),"")</f>
        <v/>
      </c>
      <c r="Q279" s="31" t="str">
        <f>IFERROR(VLOOKUP($B279,#REF!,11,FALSE),"")</f>
        <v/>
      </c>
      <c r="R279" s="31" t="str">
        <f>IFERROR(VLOOKUP($B279,#REF!,12,FALSE),"")</f>
        <v/>
      </c>
      <c r="S279" s="31">
        <f t="shared" si="487"/>
        <v>34779.575621476244</v>
      </c>
      <c r="T279" s="31">
        <f t="shared" si="488"/>
        <v>7168.2774049477712</v>
      </c>
      <c r="U279" s="31">
        <f t="shared" si="489"/>
        <v>20284.644957138011</v>
      </c>
      <c r="V279" s="31">
        <f t="shared" si="490"/>
        <v>18871.876178035542</v>
      </c>
      <c r="W279" s="31">
        <f t="shared" si="419"/>
        <v>34779.575621476244</v>
      </c>
      <c r="X279" s="31">
        <f t="shared" si="420"/>
        <v>7168.2774049477712</v>
      </c>
      <c r="Y279" s="31">
        <f t="shared" si="421"/>
        <v>20284.644957138011</v>
      </c>
      <c r="Z279" s="31">
        <f t="shared" si="422"/>
        <v>18871.876178035542</v>
      </c>
      <c r="AA279" s="31">
        <f t="shared" si="491"/>
        <v>34804.325363957279</v>
      </c>
      <c r="AB279" s="31">
        <f t="shared" si="492"/>
        <v>7755.5441799774189</v>
      </c>
      <c r="AC279" s="31">
        <f t="shared" si="493"/>
        <v>20324.513526738108</v>
      </c>
      <c r="AD279" s="31">
        <f t="shared" si="494"/>
        <v>18908.968013287187</v>
      </c>
      <c r="AE279" s="31">
        <f t="shared" si="423"/>
        <v>81793.351083959991</v>
      </c>
      <c r="AF279" s="31">
        <f>IFERROR(VLOOKUP(A279,'Allocations By Type'!$D$7:$F$491,3,FALSE),"")</f>
        <v>58545.75</v>
      </c>
      <c r="AG279" s="31">
        <f t="shared" si="424"/>
        <v>3271.7340433583995</v>
      </c>
      <c r="AH279" s="31">
        <f t="shared" si="507"/>
        <v>3271.7340433583995</v>
      </c>
      <c r="AI279" s="31">
        <f t="shared" si="426"/>
        <v>78521.617040601588</v>
      </c>
      <c r="AJ279" s="31">
        <f>AI279/$AI$577*'State Admin 1004(b)'!$B$30*0.01</f>
        <v>747.2509126234944</v>
      </c>
      <c r="AK279" s="31">
        <f t="shared" si="427"/>
        <v>77774.366127978094</v>
      </c>
      <c r="AL279" s="31">
        <f t="shared" si="428"/>
        <v>777.74366127978101</v>
      </c>
      <c r="AM279" s="31">
        <f t="shared" si="429"/>
        <v>76996.622466698318</v>
      </c>
      <c r="AP279" s="31"/>
      <c r="AQ279" s="4">
        <f t="shared" si="434"/>
        <v>1.3151530634879274</v>
      </c>
      <c r="AW279" s="31">
        <f t="shared" si="508"/>
        <v>76749.768451947748</v>
      </c>
      <c r="AX279" s="4">
        <f t="shared" si="433"/>
        <v>1.3109366342039814</v>
      </c>
      <c r="BA279" s="31" t="str">
        <f t="shared" si="436"/>
        <v/>
      </c>
      <c r="BB279" s="31">
        <f t="shared" si="437"/>
        <v>76749.768451947748</v>
      </c>
      <c r="BD279" s="31" t="str">
        <f>IFERROR(VLOOKUP(A279,'Title II Hold Harmless'!A$1:B$439,2, FALSE),"")</f>
        <v/>
      </c>
      <c r="BE279" s="31">
        <f t="shared" si="438"/>
        <v>1077.213476801561</v>
      </c>
      <c r="BF279" s="31">
        <f t="shared" si="439"/>
        <v>1078.2557451205182</v>
      </c>
      <c r="BG279" s="31" t="str">
        <f t="shared" si="440"/>
        <v/>
      </c>
      <c r="BH279" s="31">
        <f t="shared" si="441"/>
        <v>1078.2557451205182</v>
      </c>
    </row>
    <row r="280" spans="1:60" x14ac:dyDescent="0.3">
      <c r="A280" s="1">
        <v>78952000</v>
      </c>
      <c r="B280">
        <f>VLOOKUP(C280,'NCES ID'!$A$2:$B$3136,2,FALSE)</f>
        <v>400386</v>
      </c>
      <c r="C280">
        <f>VLOOKUP(A280,'State ID'!$A$2:$B$713,2,FALSE)</f>
        <v>79876</v>
      </c>
      <c r="D280" s="147" t="s">
        <v>236</v>
      </c>
      <c r="E280" t="s">
        <v>7</v>
      </c>
      <c r="I280" s="47">
        <f>VLOOKUP($C280,'Final SEA Counts'!$A$2:$F$709,5,FALSE)</f>
        <v>184</v>
      </c>
      <c r="J280" s="47">
        <f>VLOOKUP($C280,'Final SEA Counts'!$A$2:$F$709,6,FALSE)</f>
        <v>183</v>
      </c>
      <c r="K280" s="24">
        <f t="shared" si="430"/>
        <v>184</v>
      </c>
      <c r="L280" s="24">
        <f t="shared" si="486"/>
        <v>90.42783631648291</v>
      </c>
      <c r="M280" s="4">
        <f t="shared" si="435"/>
        <v>0.49145563215479843</v>
      </c>
      <c r="N280" s="31" t="str">
        <f>IFERROR(VLOOKUP($B280,#REF!,8,FALSE),"")</f>
        <v/>
      </c>
      <c r="O280" s="31" t="str">
        <f>IFERROR(VLOOKUP($B280,#REF!,9,FALSE),"")</f>
        <v/>
      </c>
      <c r="P280" s="31" t="str">
        <f>IFERROR(VLOOKUP($B280,#REF!,10,FALSE),"")</f>
        <v/>
      </c>
      <c r="Q280" s="31" t="str">
        <f>IFERROR(VLOOKUP($B280,#REF!,11,FALSE),"")</f>
        <v/>
      </c>
      <c r="R280" s="31" t="str">
        <f>IFERROR(VLOOKUP($B280,#REF!,12,FALSE),"")</f>
        <v/>
      </c>
      <c r="S280" s="31">
        <f t="shared" si="487"/>
        <v>43593.577662535296</v>
      </c>
      <c r="T280" s="31">
        <f t="shared" si="488"/>
        <v>8984.8956514071378</v>
      </c>
      <c r="U280" s="31">
        <f t="shared" si="489"/>
        <v>25425.274158604494</v>
      </c>
      <c r="V280" s="31">
        <f t="shared" si="490"/>
        <v>23654.474935482907</v>
      </c>
      <c r="W280" s="31">
        <f t="shared" si="419"/>
        <v>43593.577662535296</v>
      </c>
      <c r="X280" s="31">
        <f t="shared" si="420"/>
        <v>8984.8956514071378</v>
      </c>
      <c r="Y280" s="31">
        <f t="shared" si="421"/>
        <v>25425.274158604494</v>
      </c>
      <c r="Z280" s="31">
        <f t="shared" si="422"/>
        <v>23654.474935482907</v>
      </c>
      <c r="AA280" s="31">
        <f t="shared" si="491"/>
        <v>43618.327405016331</v>
      </c>
      <c r="AB280" s="31">
        <f t="shared" si="492"/>
        <v>9572.1624264367856</v>
      </c>
      <c r="AC280" s="31">
        <f t="shared" si="493"/>
        <v>25465.142728204592</v>
      </c>
      <c r="AD280" s="31">
        <f t="shared" si="494"/>
        <v>23691.566770734553</v>
      </c>
      <c r="AE280" s="31">
        <f t="shared" si="423"/>
        <v>102347.19933039226</v>
      </c>
      <c r="AF280" s="31">
        <f>IFERROR(VLOOKUP(A280,'Allocations By Type'!$D$7:$F$491,3,FALSE),"")</f>
        <v>91354.87</v>
      </c>
      <c r="AG280" s="31">
        <f t="shared" si="424"/>
        <v>4093.8879732156906</v>
      </c>
      <c r="AH280" s="31">
        <f t="shared" si="507"/>
        <v>4093.8879732156906</v>
      </c>
      <c r="AI280" s="31">
        <f t="shared" si="426"/>
        <v>98253.311357176572</v>
      </c>
      <c r="AJ280" s="31">
        <f>AI280/$AI$577*'State Admin 1004(b)'!$B$30*0.01</f>
        <v>935.02756752916764</v>
      </c>
      <c r="AK280" s="31">
        <f t="shared" si="427"/>
        <v>97318.283789647408</v>
      </c>
      <c r="AL280" s="31">
        <f t="shared" si="428"/>
        <v>973.1828378964741</v>
      </c>
      <c r="AM280" s="31">
        <f t="shared" si="429"/>
        <v>96345.100951750937</v>
      </c>
      <c r="AP280" s="31"/>
      <c r="AQ280" s="4">
        <f t="shared" si="434"/>
        <v>1.054624684505062</v>
      </c>
      <c r="AW280" s="31">
        <f t="shared" si="508"/>
        <v>96036.215000529177</v>
      </c>
      <c r="AX280" s="4">
        <f t="shared" si="433"/>
        <v>1.0512435188242202</v>
      </c>
      <c r="AZ280" s="174" t="str">
        <f>IFERROR(IF(VLOOKUP(A280,#REF!,11,FALSE)=0,"",VLOOKUP(A280,#REF!,11,FALSE)),"")</f>
        <v/>
      </c>
      <c r="BA280" s="31" t="str">
        <f t="shared" si="436"/>
        <v/>
      </c>
      <c r="BB280" s="31">
        <f t="shared" si="437"/>
        <v>96036.215000529177</v>
      </c>
      <c r="BD280" s="31" t="str">
        <f>IFERROR(VLOOKUP(A280,'Title II Hold Harmless'!A$1:B$439,2, FALSE),"")</f>
        <v/>
      </c>
      <c r="BE280" s="31">
        <f t="shared" ref="BE280:BE312" si="509">IFERROR($BD$582*(0.8*($L280/$L$579)+0.2*($K280/$K$579))+$BD280,$BD$582*(0.8*($L280/$L$579)+0.2*($K280/$K$579)))</f>
        <v>1331.8443732122512</v>
      </c>
      <c r="BF280" s="31">
        <f t="shared" ref="BF280:BF311" si="510">$BD$583*BE280</f>
        <v>1333.1330121179788</v>
      </c>
      <c r="BG280" s="31" t="str">
        <f t="shared" si="440"/>
        <v/>
      </c>
      <c r="BH280" s="31">
        <f t="shared" si="441"/>
        <v>1333.1330121179788</v>
      </c>
    </row>
    <row r="281" spans="1:60" x14ac:dyDescent="0.3">
      <c r="A281" s="1">
        <v>78954000</v>
      </c>
      <c r="B281">
        <f>VLOOKUP(C281,'NCES ID'!$A$2:$B$3136,2,FALSE)</f>
        <v>400387</v>
      </c>
      <c r="C281">
        <f>VLOOKUP(A281,'State ID'!$A$2:$B$713,2,FALSE)</f>
        <v>79878</v>
      </c>
      <c r="D281" s="192" t="s">
        <v>237</v>
      </c>
      <c r="E281" t="s">
        <v>7</v>
      </c>
      <c r="I281" s="47">
        <f>VLOOKUP($C281,'AzEDS FY17 12-04-16'!$A$1:$D$712,3,FALSE)</f>
        <v>27</v>
      </c>
      <c r="J281" s="47">
        <f>VLOOKUP($C281,'AzEDS FY17 12-04-16'!$A$1:$D$712,4,FALSE)</f>
        <v>27</v>
      </c>
      <c r="K281" s="24">
        <f t="shared" si="430"/>
        <v>27</v>
      </c>
      <c r="L281" s="24">
        <f t="shared" si="486"/>
        <v>13.341811915546659</v>
      </c>
      <c r="M281" s="4">
        <f t="shared" si="435"/>
        <v>0.49414118205728363</v>
      </c>
      <c r="N281" s="31" t="str">
        <f>IFERROR(VLOOKUP($B281,#REF!,8,FALSE),"")</f>
        <v/>
      </c>
      <c r="O281" s="31" t="str">
        <f>IFERROR(VLOOKUP($B281,#REF!,9,FALSE),"")</f>
        <v/>
      </c>
      <c r="P281" s="31" t="str">
        <f>IFERROR(VLOOKUP($B281,#REF!,10,FALSE),"")</f>
        <v/>
      </c>
      <c r="Q281" s="31" t="str">
        <f>IFERROR(VLOOKUP($B281,#REF!,11,FALSE),"")</f>
        <v/>
      </c>
      <c r="R281" s="31" t="str">
        <f>IFERROR(VLOOKUP($B281,#REF!,12,FALSE),"")</f>
        <v/>
      </c>
      <c r="S281" s="31">
        <f t="shared" si="487"/>
        <v>6431.8393272593057</v>
      </c>
      <c r="T281" s="31">
        <f t="shared" si="488"/>
        <v>1325.6403420108891</v>
      </c>
      <c r="U281" s="31">
        <f t="shared" si="489"/>
        <v>3751.2699578268926</v>
      </c>
      <c r="V281" s="31">
        <f t="shared" si="490"/>
        <v>3490.0044986778057</v>
      </c>
      <c r="W281" s="31">
        <f t="shared" si="419"/>
        <v>6431.8393272593057</v>
      </c>
      <c r="X281" s="31">
        <f t="shared" si="420"/>
        <v>1325.6403420108891</v>
      </c>
      <c r="Y281" s="31">
        <f t="shared" si="421"/>
        <v>3751.2699578268926</v>
      </c>
      <c r="Z281" s="31">
        <f t="shared" si="422"/>
        <v>3490.0044986778057</v>
      </c>
      <c r="AA281" s="31">
        <f t="shared" si="491"/>
        <v>6456.5890697403411</v>
      </c>
      <c r="AB281" s="31">
        <f t="shared" si="492"/>
        <v>1912.9071170405373</v>
      </c>
      <c r="AC281" s="31">
        <f t="shared" si="493"/>
        <v>3791.1385274269887</v>
      </c>
      <c r="AD281" s="31">
        <f t="shared" si="494"/>
        <v>3527.0963339294508</v>
      </c>
      <c r="AE281" s="31">
        <f t="shared" si="423"/>
        <v>15687.731048137317</v>
      </c>
      <c r="AF281" s="31">
        <f>IFERROR(VLOOKUP(A281,'Allocations By Type'!$D$7:$F$491,3,FALSE),"")</f>
        <v>0</v>
      </c>
      <c r="AG281" s="31">
        <f t="shared" si="424"/>
        <v>627.50924192549269</v>
      </c>
      <c r="AH281" s="31">
        <f t="shared" si="507"/>
        <v>627.50924192549269</v>
      </c>
      <c r="AI281" s="31">
        <f t="shared" si="426"/>
        <v>15060.221806211825</v>
      </c>
      <c r="AJ281" s="31">
        <f>AI281/$AI$577*'State Admin 1004(b)'!$B$30*0.01</f>
        <v>143.32059008903235</v>
      </c>
      <c r="AK281" s="31">
        <f t="shared" si="427"/>
        <v>14916.901216122793</v>
      </c>
      <c r="AL281" s="31">
        <f t="shared" si="428"/>
        <v>149.16901216122793</v>
      </c>
      <c r="AM281" s="31">
        <f t="shared" si="429"/>
        <v>14767.732203961565</v>
      </c>
      <c r="AP281" s="31"/>
      <c r="AQ281" s="4" t="str">
        <f t="shared" si="434"/>
        <v/>
      </c>
      <c r="AW281" s="31">
        <f t="shared" si="508"/>
        <v>14720.386309212923</v>
      </c>
      <c r="AX281" s="4" t="str">
        <f t="shared" si="433"/>
        <v/>
      </c>
      <c r="AZ281" s="174" t="str">
        <f>IFERROR(IF(VLOOKUP(A281,#REF!,11,FALSE)=0,"",VLOOKUP(A281,#REF!,11,FALSE)),"")</f>
        <v/>
      </c>
      <c r="BA281" s="31" t="str">
        <f t="shared" si="436"/>
        <v/>
      </c>
      <c r="BB281" s="31">
        <f t="shared" si="437"/>
        <v>14720.386309212923</v>
      </c>
      <c r="BD281" s="31" t="str">
        <f>IFERROR(VLOOKUP(A281,'Title II Hold Harmless'!A$1:B$439,2, FALSE),"")</f>
        <v/>
      </c>
      <c r="BE281" s="31">
        <f t="shared" si="509"/>
        <v>196.38288789680053</v>
      </c>
      <c r="BF281" s="31">
        <f t="shared" si="510"/>
        <v>196.57290005952234</v>
      </c>
      <c r="BG281" s="31" t="str">
        <f t="shared" si="440"/>
        <v/>
      </c>
      <c r="BH281" s="31">
        <f t="shared" si="441"/>
        <v>196.57290005952234</v>
      </c>
    </row>
    <row r="282" spans="1:60" x14ac:dyDescent="0.3">
      <c r="A282" s="1">
        <v>78946000</v>
      </c>
      <c r="B282">
        <f>VLOOKUP(C282,'NCES ID'!$A$2:$B$3136,2,FALSE)</f>
        <v>400351</v>
      </c>
      <c r="C282">
        <f>VLOOKUP(A282,'State ID'!$A$2:$B$713,2,FALSE)</f>
        <v>79871</v>
      </c>
      <c r="D282" s="147" t="s">
        <v>238</v>
      </c>
      <c r="E282" t="s">
        <v>7</v>
      </c>
      <c r="I282" s="47">
        <f>VLOOKUP($C282,'Final SEA Counts'!$A$2:$F$709,5,FALSE)</f>
        <v>63</v>
      </c>
      <c r="J282" s="47">
        <f>VLOOKUP($C282,'Final SEA Counts'!$A$2:$F$709,6,FALSE)</f>
        <v>61</v>
      </c>
      <c r="K282" s="24">
        <f t="shared" si="430"/>
        <v>63</v>
      </c>
      <c r="L282" s="24">
        <f t="shared" si="486"/>
        <v>30.142612105494305</v>
      </c>
      <c r="M282" s="4">
        <f t="shared" si="435"/>
        <v>0.47845416040467148</v>
      </c>
      <c r="N282" s="31" t="str">
        <f>IFERROR(VLOOKUP($B282,#REF!,8,FALSE),"")</f>
        <v/>
      </c>
      <c r="O282" s="31" t="str">
        <f>IFERROR(VLOOKUP($B282,#REF!,9,FALSE),"")</f>
        <v/>
      </c>
      <c r="P282" s="31" t="str">
        <f>IFERROR(VLOOKUP($B282,#REF!,10,FALSE),"")</f>
        <v/>
      </c>
      <c r="Q282" s="31" t="str">
        <f>IFERROR(VLOOKUP($B282,#REF!,11,FALSE),"")</f>
        <v/>
      </c>
      <c r="R282" s="31" t="str">
        <f>IFERROR(VLOOKUP($B282,#REF!,12,FALSE),"")</f>
        <v/>
      </c>
      <c r="S282" s="31">
        <f t="shared" si="487"/>
        <v>14531.192554178431</v>
      </c>
      <c r="T282" s="31">
        <f t="shared" si="488"/>
        <v>2994.9652171357125</v>
      </c>
      <c r="U282" s="31">
        <f t="shared" si="489"/>
        <v>8475.0913862014986</v>
      </c>
      <c r="V282" s="31">
        <f t="shared" si="490"/>
        <v>7884.8249784943027</v>
      </c>
      <c r="W282" s="31">
        <f t="shared" si="419"/>
        <v>14531.192554178431</v>
      </c>
      <c r="X282" s="31">
        <f t="shared" si="420"/>
        <v>2994.9652171357125</v>
      </c>
      <c r="Y282" s="31">
        <f t="shared" si="421"/>
        <v>8475.0913862014986</v>
      </c>
      <c r="Z282" s="31">
        <f t="shared" si="422"/>
        <v>7884.8249784943027</v>
      </c>
      <c r="AA282" s="31">
        <f t="shared" si="491"/>
        <v>14555.942296659467</v>
      </c>
      <c r="AB282" s="31">
        <f t="shared" si="492"/>
        <v>3582.2319921653607</v>
      </c>
      <c r="AC282" s="31">
        <f t="shared" si="493"/>
        <v>8514.9599558015943</v>
      </c>
      <c r="AD282" s="31">
        <f t="shared" si="494"/>
        <v>7921.9168137459474</v>
      </c>
      <c r="AE282" s="31">
        <f t="shared" si="423"/>
        <v>34575.051058372366</v>
      </c>
      <c r="AF282" s="31">
        <f>IFERROR(VLOOKUP(A282,'Allocations By Type'!$D$7:$F$491,3,FALSE),"")</f>
        <v>36849.4</v>
      </c>
      <c r="AG282" s="31" t="str">
        <f t="shared" si="424"/>
        <v/>
      </c>
      <c r="AH282" s="31" t="str">
        <f t="shared" si="507"/>
        <v/>
      </c>
      <c r="AI282" s="31">
        <f t="shared" si="426"/>
        <v>34575.051058372366</v>
      </c>
      <c r="AJ282" s="31">
        <f>AI282/$AI$577*'State Admin 1004(b)'!$B$30*0.01</f>
        <v>329.0334487637129</v>
      </c>
      <c r="AK282" s="31">
        <f t="shared" si="427"/>
        <v>34246.017609608651</v>
      </c>
      <c r="AL282" s="31">
        <f t="shared" si="428"/>
        <v>342.46017609608651</v>
      </c>
      <c r="AM282" s="31">
        <f t="shared" si="429"/>
        <v>33903.557433512564</v>
      </c>
      <c r="AP282" s="31"/>
      <c r="AQ282" s="4">
        <f t="shared" si="434"/>
        <v>0.92005724471802963</v>
      </c>
      <c r="AW282" s="31">
        <f t="shared" si="508"/>
        <v>33794.861376482157</v>
      </c>
      <c r="AX282" s="4">
        <f t="shared" si="433"/>
        <v>0.91710750721808643</v>
      </c>
      <c r="AZ282" s="174" t="str">
        <f>IFERROR(IF(VLOOKUP(A282,#REF!,11,FALSE)=0,"",VLOOKUP(A282,#REF!,11,FALSE)),"")</f>
        <v/>
      </c>
      <c r="BA282" s="31" t="str">
        <f t="shared" si="436"/>
        <v/>
      </c>
      <c r="BB282" s="31">
        <f t="shared" si="437"/>
        <v>33794.861376482157</v>
      </c>
      <c r="BD282" s="31" t="str">
        <f>IFERROR(VLOOKUP(A282,'Title II Hold Harmless'!A$1:B$439,2, FALSE),"")</f>
        <v/>
      </c>
      <c r="BE282" s="31">
        <f t="shared" si="509"/>
        <v>445.28945721990328</v>
      </c>
      <c r="BF282" s="31">
        <f t="shared" si="510"/>
        <v>445.72030134135258</v>
      </c>
      <c r="BG282" s="31" t="str">
        <f t="shared" si="440"/>
        <v/>
      </c>
      <c r="BH282" s="31">
        <f t="shared" si="441"/>
        <v>445.72030134135258</v>
      </c>
    </row>
    <row r="283" spans="1:60" x14ac:dyDescent="0.3">
      <c r="A283" s="1">
        <v>78567000</v>
      </c>
      <c r="B283">
        <f>VLOOKUP(C283,'NCES ID'!$A$2:$B$3136,2,FALSE)</f>
        <v>400787</v>
      </c>
      <c r="C283">
        <f>VLOOKUP(A283,'State ID'!$A$2:$B$713,2,FALSE)</f>
        <v>90330</v>
      </c>
      <c r="D283" s="147" t="s">
        <v>238</v>
      </c>
      <c r="E283" t="s">
        <v>7</v>
      </c>
      <c r="I283" s="47">
        <f>VLOOKUP($C283,'Final SEA Counts'!$A$2:$F$709,5,FALSE)</f>
        <v>310</v>
      </c>
      <c r="J283" s="47">
        <f>VLOOKUP($C283,'Final SEA Counts'!$A$2:$F$709,6,FALSE)</f>
        <v>310</v>
      </c>
      <c r="K283" s="24">
        <f t="shared" si="430"/>
        <v>310</v>
      </c>
      <c r="L283" s="24">
        <f t="shared" si="486"/>
        <v>153.18376643775795</v>
      </c>
      <c r="M283" s="4">
        <f t="shared" si="435"/>
        <v>0.49414118205728375</v>
      </c>
      <c r="N283" s="31" t="str">
        <f>IFERROR(VLOOKUP($B283,#REF!,8,FALSE),"")</f>
        <v/>
      </c>
      <c r="O283" s="31" t="str">
        <f>IFERROR(VLOOKUP($B283,#REF!,9,FALSE),"")</f>
        <v/>
      </c>
      <c r="P283" s="31" t="str">
        <f>IFERROR(VLOOKUP($B283,#REF!,10,FALSE),"")</f>
        <v/>
      </c>
      <c r="Q283" s="31" t="str">
        <f>IFERROR(VLOOKUP($B283,#REF!,11,FALSE),"")</f>
        <v/>
      </c>
      <c r="R283" s="31" t="str">
        <f>IFERROR(VLOOKUP($B283,#REF!,12,FALSE),"")</f>
        <v/>
      </c>
      <c r="S283" s="31">
        <f t="shared" si="487"/>
        <v>73847.044127792033</v>
      </c>
      <c r="T283" s="31">
        <f t="shared" si="488"/>
        <v>15220.315037902803</v>
      </c>
      <c r="U283" s="31">
        <f t="shared" si="489"/>
        <v>43070.136552827287</v>
      </c>
      <c r="V283" s="31">
        <f t="shared" si="490"/>
        <v>40070.422021856291</v>
      </c>
      <c r="W283" s="31">
        <f t="shared" si="419"/>
        <v>73847.044127792033</v>
      </c>
      <c r="X283" s="31">
        <f t="shared" si="420"/>
        <v>15220.315037902803</v>
      </c>
      <c r="Y283" s="31">
        <f t="shared" si="421"/>
        <v>43070.136552827287</v>
      </c>
      <c r="Z283" s="31">
        <f t="shared" si="422"/>
        <v>40070.422021856291</v>
      </c>
      <c r="AA283" s="31">
        <f t="shared" si="491"/>
        <v>73871.793870273061</v>
      </c>
      <c r="AB283" s="31">
        <f t="shared" si="492"/>
        <v>15807.581812932451</v>
      </c>
      <c r="AC283" s="31">
        <f t="shared" si="493"/>
        <v>43110.005122427385</v>
      </c>
      <c r="AD283" s="31">
        <f t="shared" si="494"/>
        <v>40107.513857107937</v>
      </c>
      <c r="AE283" s="31">
        <f t="shared" si="423"/>
        <v>172896.89466274081</v>
      </c>
      <c r="AF283" s="31">
        <f>IFERROR(VLOOKUP(A283,'Allocations By Type'!$D$7:$F$491,3,FALSE),"")</f>
        <v>164381.60999999999</v>
      </c>
      <c r="AG283" s="31">
        <f t="shared" si="424"/>
        <v>6915.8757865096331</v>
      </c>
      <c r="AH283" s="31">
        <f t="shared" si="507"/>
        <v>6915.8757865096331</v>
      </c>
      <c r="AI283" s="31">
        <f t="shared" si="426"/>
        <v>165981.01887623119</v>
      </c>
      <c r="AJ283" s="31">
        <f>AI283/$AI$577*'State Admin 1004(b)'!$B$30*0.01</f>
        <v>1579.5582478810725</v>
      </c>
      <c r="AK283" s="31">
        <f t="shared" si="427"/>
        <v>164401.46062835012</v>
      </c>
      <c r="AL283" s="31">
        <f t="shared" si="428"/>
        <v>1644.0146062835013</v>
      </c>
      <c r="AM283" s="31">
        <f t="shared" si="429"/>
        <v>162757.44602206661</v>
      </c>
      <c r="AP283" s="31"/>
      <c r="AQ283" s="4">
        <f t="shared" si="434"/>
        <v>0.99011955182861766</v>
      </c>
      <c r="AW283" s="31">
        <f t="shared" si="508"/>
        <v>162235.63964025455</v>
      </c>
      <c r="AX283" s="4">
        <f t="shared" si="433"/>
        <v>0.98694519198500708</v>
      </c>
      <c r="AZ283" s="174" t="str">
        <f>IFERROR(IF(VLOOKUP(A283,#REF!,11,FALSE)=0,"",VLOOKUP(A283,#REF!,11,FALSE)),"")</f>
        <v/>
      </c>
      <c r="BA283" s="31" t="str">
        <f t="shared" si="436"/>
        <v/>
      </c>
      <c r="BB283" s="31">
        <f t="shared" si="437"/>
        <v>162235.63964025455</v>
      </c>
      <c r="BD283" s="31" t="str">
        <f>IFERROR(VLOOKUP(A283,'Title II Hold Harmless'!A$1:B$439,2, FALSE),"")</f>
        <v/>
      </c>
      <c r="BE283" s="31">
        <f t="shared" si="509"/>
        <v>2254.7664906669693</v>
      </c>
      <c r="BF283" s="31">
        <f t="shared" si="510"/>
        <v>2256.9481117945161</v>
      </c>
      <c r="BG283" s="31" t="str">
        <f t="shared" si="440"/>
        <v/>
      </c>
      <c r="BH283" s="31">
        <f t="shared" si="441"/>
        <v>2256.9481117945161</v>
      </c>
    </row>
    <row r="284" spans="1:60" s="47" customFormat="1" x14ac:dyDescent="0.3">
      <c r="A284" s="1">
        <v>78759000</v>
      </c>
      <c r="B284" s="47">
        <f>VLOOKUP(C284,'NCES ID'!$A$2:$B$3136,2,FALSE)</f>
        <v>400069</v>
      </c>
      <c r="C284" s="47">
        <f>VLOOKUP(A284,'State ID'!$A$2:$B$713,2,FALSE)</f>
        <v>4360</v>
      </c>
      <c r="D284" s="191" t="s">
        <v>240</v>
      </c>
      <c r="E284" s="47" t="s">
        <v>7</v>
      </c>
      <c r="H284" s="4"/>
      <c r="I284" s="47">
        <f>VLOOKUP($C284,'Final SEA Counts'!$A$2:$F$709,5,FALSE)</f>
        <v>129</v>
      </c>
      <c r="J284" s="47">
        <f>VLOOKUP($C284,'Final SEA Counts'!$A$2:$F$709,6,FALSE)</f>
        <v>24</v>
      </c>
      <c r="K284" s="24">
        <f t="shared" ref="K284" si="511">I284</f>
        <v>129</v>
      </c>
      <c r="L284" s="24">
        <f t="shared" si="486"/>
        <v>11.859388369374809</v>
      </c>
      <c r="M284" s="4">
        <f t="shared" ref="M284" si="512">L284/K284</f>
        <v>9.1933243173448129E-2</v>
      </c>
      <c r="N284" s="31"/>
      <c r="O284" s="31"/>
      <c r="P284" s="31"/>
      <c r="Q284" s="31"/>
      <c r="R284" s="31"/>
      <c r="S284" s="31">
        <f t="shared" si="487"/>
        <v>5717.1905131193835</v>
      </c>
      <c r="T284" s="31">
        <f t="shared" si="488"/>
        <v>1178.346970676346</v>
      </c>
      <c r="U284" s="31">
        <f t="shared" si="489"/>
        <v>3334.4621847350159</v>
      </c>
      <c r="V284" s="31">
        <f t="shared" si="490"/>
        <v>3102.2262210469389</v>
      </c>
      <c r="W284" s="31"/>
      <c r="X284" s="31" t="str">
        <f t="shared" ref="X284" si="513">IF(W284="","",IF(OR($L284&gt;6500,$L284&gt;($K284*0.15)),T284,""))</f>
        <v/>
      </c>
      <c r="Y284" s="31"/>
      <c r="Z284" s="31"/>
      <c r="AA284" s="31" t="str">
        <f t="shared" si="491"/>
        <v/>
      </c>
      <c r="AB284" s="31" t="str">
        <f t="shared" si="492"/>
        <v/>
      </c>
      <c r="AC284" s="31" t="str">
        <f t="shared" si="493"/>
        <v/>
      </c>
      <c r="AD284" s="31" t="str">
        <f t="shared" si="494"/>
        <v/>
      </c>
      <c r="AE284" s="31">
        <f t="shared" ref="AE284" si="514">SUM(AA284:AD284)</f>
        <v>0</v>
      </c>
      <c r="AF284" s="31">
        <f>IFERROR(VLOOKUP(A284,'Allocations By Type'!$D$7:$F$491,3,FALSE),"")</f>
        <v>11056.86</v>
      </c>
      <c r="AG284" s="31" t="str">
        <f t="shared" ref="AG284" si="515">IF(AE284&gt;AF284,AE284*0.04,"")</f>
        <v/>
      </c>
      <c r="AH284" s="31" t="str">
        <f t="shared" ref="AH284" si="516">IF(AG284="","",IF((AE284-AF284)&gt;AG284,AG284,AE284-AF284))</f>
        <v/>
      </c>
      <c r="AI284" s="31">
        <f t="shared" ref="AI284" si="517">IF(AH284="",AE284,AE284-AH284)</f>
        <v>0</v>
      </c>
      <c r="AJ284" s="31">
        <f>AI284/$AI$577*'State Admin 1004(b)'!$B$30*0.01</f>
        <v>0</v>
      </c>
      <c r="AK284" s="31">
        <f t="shared" ref="AK284" si="518">AI284-AJ284</f>
        <v>0</v>
      </c>
      <c r="AL284" s="31">
        <f t="shared" ref="AL284" si="519">AK284*0.01</f>
        <v>0</v>
      </c>
      <c r="AM284" s="31">
        <f t="shared" ref="AM284" si="520">AK284-AL284</f>
        <v>0</v>
      </c>
      <c r="AP284" s="31"/>
      <c r="AQ284" s="4">
        <f t="shared" si="434"/>
        <v>0</v>
      </c>
      <c r="AR284" s="4"/>
      <c r="AS284" s="4"/>
      <c r="AT284" s="4"/>
      <c r="AW284" s="31">
        <f t="shared" si="508"/>
        <v>0</v>
      </c>
      <c r="AX284" s="4">
        <f t="shared" si="433"/>
        <v>0</v>
      </c>
      <c r="AZ284" s="174"/>
      <c r="BA284" s="31"/>
      <c r="BB284" s="31">
        <f t="shared" si="437"/>
        <v>0</v>
      </c>
      <c r="BD284" s="31">
        <f>IFERROR(VLOOKUP(A284,'Title II Hold Harmless'!A$1:B$439,2, FALSE),"")</f>
        <v>2095</v>
      </c>
      <c r="BE284" s="31">
        <f t="shared" si="509"/>
        <v>2354.066534416012</v>
      </c>
      <c r="BF284" s="31">
        <f t="shared" si="510"/>
        <v>2356.3442342613798</v>
      </c>
      <c r="BG284" s="31"/>
      <c r="BH284" s="31">
        <f t="shared" si="441"/>
        <v>2356.3442342613798</v>
      </c>
    </row>
    <row r="285" spans="1:60" x14ac:dyDescent="0.3">
      <c r="A285" s="1">
        <v>78101000</v>
      </c>
      <c r="B285">
        <f>VLOOKUP(C285,'NCES ID'!$A$2:$B$3136,2,FALSE)</f>
        <v>400845</v>
      </c>
      <c r="C285">
        <f>VLOOKUP(A285,'State ID'!$A$2:$B$713,2,FALSE)</f>
        <v>91174</v>
      </c>
      <c r="D285" s="147" t="s">
        <v>248</v>
      </c>
      <c r="E285" t="s">
        <v>7</v>
      </c>
      <c r="I285" s="47">
        <f>VLOOKUP($C285,'Final SEA Counts'!$A$2:$F$709,5,FALSE)</f>
        <v>377</v>
      </c>
      <c r="J285" s="47">
        <f>VLOOKUP($C285,'Final SEA Counts'!$A$2:$F$709,6,FALSE)</f>
        <v>172</v>
      </c>
      <c r="K285" s="24">
        <f t="shared" si="430"/>
        <v>377</v>
      </c>
      <c r="L285" s="24">
        <f t="shared" ref="L285:L317" si="521">J285*$B$356</f>
        <v>84.992283313852795</v>
      </c>
      <c r="M285" s="4">
        <f t="shared" si="435"/>
        <v>0.22544372231791193</v>
      </c>
      <c r="N285" s="31" t="str">
        <f>IFERROR(VLOOKUP($B285,#REF!,8,FALSE),"")</f>
        <v/>
      </c>
      <c r="O285" s="31" t="str">
        <f>IFERROR(VLOOKUP($B285,#REF!,9,FALSE),"")</f>
        <v/>
      </c>
      <c r="P285" s="31" t="str">
        <f>IFERROR(VLOOKUP($B285,#REF!,10,FALSE),"")</f>
        <v/>
      </c>
      <c r="Q285" s="31" t="str">
        <f>IFERROR(VLOOKUP($B285,#REF!,11,FALSE),"")</f>
        <v/>
      </c>
      <c r="R285" s="31" t="str">
        <f>IFERROR(VLOOKUP($B285,#REF!,12,FALSE),"")</f>
        <v/>
      </c>
      <c r="S285" s="31">
        <f t="shared" si="487"/>
        <v>40973.198677355576</v>
      </c>
      <c r="T285" s="31">
        <f t="shared" si="488"/>
        <v>8444.8199565138129</v>
      </c>
      <c r="U285" s="31">
        <f t="shared" si="489"/>
        <v>23896.978990600946</v>
      </c>
      <c r="V285" s="31">
        <f t="shared" si="490"/>
        <v>22232.621250836393</v>
      </c>
      <c r="W285" s="31">
        <f t="shared" si="419"/>
        <v>40973.198677355576</v>
      </c>
      <c r="X285" s="31">
        <f t="shared" si="420"/>
        <v>8444.8199565138129</v>
      </c>
      <c r="Y285" s="31">
        <f t="shared" si="421"/>
        <v>23896.978990600946</v>
      </c>
      <c r="Z285" s="31">
        <f t="shared" si="422"/>
        <v>22232.621250836393</v>
      </c>
      <c r="AA285" s="31">
        <f t="shared" si="491"/>
        <v>40997.948419836612</v>
      </c>
      <c r="AB285" s="31">
        <f t="shared" si="492"/>
        <v>9032.0867315434607</v>
      </c>
      <c r="AC285" s="31">
        <f t="shared" si="493"/>
        <v>23936.847560201044</v>
      </c>
      <c r="AD285" s="31">
        <f t="shared" si="494"/>
        <v>22269.713086088039</v>
      </c>
      <c r="AE285" s="31">
        <f t="shared" si="423"/>
        <v>96236.595797669157</v>
      </c>
      <c r="AF285" s="31">
        <f>IFERROR(VLOOKUP(A285,'Allocations By Type'!$D$7:$F$491,3,FALSE),"")</f>
        <v>78125.39</v>
      </c>
      <c r="AG285" s="31">
        <f t="shared" si="424"/>
        <v>3849.4638319067662</v>
      </c>
      <c r="AH285" s="31">
        <f t="shared" si="507"/>
        <v>3849.4638319067662</v>
      </c>
      <c r="AI285" s="31">
        <f t="shared" si="426"/>
        <v>92387.131965762397</v>
      </c>
      <c r="AJ285" s="31">
        <f>AI285/$AI$577*'State Admin 1004(b)'!$B$30*0.01</f>
        <v>879.20207553018395</v>
      </c>
      <c r="AK285" s="31">
        <f t="shared" si="427"/>
        <v>91507.929890232219</v>
      </c>
      <c r="AL285" s="31">
        <f t="shared" si="428"/>
        <v>915.07929890232219</v>
      </c>
      <c r="AM285" s="31">
        <f t="shared" si="429"/>
        <v>90592.850591329901</v>
      </c>
      <c r="AP285" s="31"/>
      <c r="AQ285" s="4">
        <f t="shared" si="434"/>
        <v>1.1595826989321896</v>
      </c>
      <c r="AW285" s="31">
        <f t="shared" si="508"/>
        <v>90302.406567167141</v>
      </c>
      <c r="AX285" s="4">
        <f t="shared" si="433"/>
        <v>1.1558650339814898</v>
      </c>
      <c r="AZ285" s="174" t="str">
        <f>IFERROR(IF(VLOOKUP(A285,#REF!,11,FALSE)=0,"",VLOOKUP(A285,#REF!,11,FALSE)),"")</f>
        <v/>
      </c>
      <c r="BA285" s="31" t="str">
        <f t="shared" si="436"/>
        <v/>
      </c>
      <c r="BB285" s="31">
        <f t="shared" si="437"/>
        <v>90302.406567167141</v>
      </c>
      <c r="BD285" s="31" t="str">
        <f>IFERROR(VLOOKUP(A285,'Title II Hold Harmless'!A$1:B$439,2, FALSE),"")</f>
        <v/>
      </c>
      <c r="BE285" s="31">
        <f t="shared" si="509"/>
        <v>1416.0156666513528</v>
      </c>
      <c r="BF285" s="31">
        <f t="shared" si="510"/>
        <v>1417.3857463062043</v>
      </c>
      <c r="BG285" s="31" t="str">
        <f t="shared" si="440"/>
        <v/>
      </c>
      <c r="BH285" s="31">
        <f t="shared" si="441"/>
        <v>1417.3857463062043</v>
      </c>
    </row>
    <row r="286" spans="1:60" x14ac:dyDescent="0.3">
      <c r="A286" s="1">
        <v>78968000</v>
      </c>
      <c r="B286">
        <f>VLOOKUP(C286,'NCES ID'!$A$2:$B$3136,2,FALSE)</f>
        <v>400395</v>
      </c>
      <c r="C286">
        <f>VLOOKUP(A286,'State ID'!$A$2:$B$713,2,FALSE)</f>
        <v>79967</v>
      </c>
      <c r="D286" s="147" t="s">
        <v>249</v>
      </c>
      <c r="E286" t="s">
        <v>7</v>
      </c>
      <c r="I286" s="47">
        <f>VLOOKUP($C286,'Final SEA Counts'!$A$2:$F$709,5,FALSE)</f>
        <v>614</v>
      </c>
      <c r="J286" s="47">
        <f>VLOOKUP($C286,'Final SEA Counts'!$A$2:$F$709,6,FALSE)</f>
        <v>252</v>
      </c>
      <c r="K286" s="24">
        <f t="shared" si="430"/>
        <v>614</v>
      </c>
      <c r="L286" s="24">
        <f t="shared" si="521"/>
        <v>124.52357787843549</v>
      </c>
      <c r="M286" s="4">
        <f t="shared" si="435"/>
        <v>0.20280713009517182</v>
      </c>
      <c r="N286" s="31" t="str">
        <f>IFERROR(VLOOKUP($B286,#REF!,8,FALSE),"")</f>
        <v/>
      </c>
      <c r="O286" s="31" t="str">
        <f>IFERROR(VLOOKUP($B286,#REF!,9,FALSE),"")</f>
        <v/>
      </c>
      <c r="P286" s="31" t="str">
        <f>IFERROR(VLOOKUP($B286,#REF!,10,FALSE),"")</f>
        <v/>
      </c>
      <c r="Q286" s="31" t="str">
        <f>IFERROR(VLOOKUP($B286,#REF!,11,FALSE),"")</f>
        <v/>
      </c>
      <c r="R286" s="31" t="str">
        <f>IFERROR(VLOOKUP($B286,#REF!,12,FALSE),"")</f>
        <v/>
      </c>
      <c r="S286" s="31">
        <f t="shared" si="487"/>
        <v>60030.50038775352</v>
      </c>
      <c r="T286" s="31">
        <f t="shared" si="488"/>
        <v>12372.643192101632</v>
      </c>
      <c r="U286" s="31">
        <f t="shared" si="489"/>
        <v>35011.852939717661</v>
      </c>
      <c r="V286" s="31">
        <f t="shared" si="490"/>
        <v>32573.375320992858</v>
      </c>
      <c r="W286" s="31">
        <f t="shared" si="419"/>
        <v>60030.50038775352</v>
      </c>
      <c r="X286" s="31">
        <f t="shared" si="420"/>
        <v>12372.643192101632</v>
      </c>
      <c r="Y286" s="31">
        <f t="shared" si="421"/>
        <v>35011.852939717661</v>
      </c>
      <c r="Z286" s="31">
        <f t="shared" si="422"/>
        <v>32573.375320992858</v>
      </c>
      <c r="AA286" s="31">
        <f t="shared" si="491"/>
        <v>60055.250130234555</v>
      </c>
      <c r="AB286" s="31">
        <f t="shared" si="492"/>
        <v>12959.90996713128</v>
      </c>
      <c r="AC286" s="31">
        <f t="shared" si="493"/>
        <v>35051.721509317758</v>
      </c>
      <c r="AD286" s="31">
        <f t="shared" si="494"/>
        <v>32610.467156244504</v>
      </c>
      <c r="AE286" s="31">
        <f t="shared" si="423"/>
        <v>140677.3487629281</v>
      </c>
      <c r="AF286" s="31">
        <f>IFERROR(VLOOKUP(A286,'Allocations By Type'!$D$7:$F$491,3,FALSE),"")</f>
        <v>113101.28</v>
      </c>
      <c r="AG286" s="31">
        <f t="shared" si="424"/>
        <v>5627.0939505171245</v>
      </c>
      <c r="AH286" s="31">
        <f t="shared" si="507"/>
        <v>5627.0939505171245</v>
      </c>
      <c r="AI286" s="31">
        <f t="shared" si="426"/>
        <v>135050.25481241097</v>
      </c>
      <c r="AJ286" s="31">
        <f>AI286/$AI$577*'State Admin 1004(b)'!$B$30*0.01</f>
        <v>1285.2056537046121</v>
      </c>
      <c r="AK286" s="31">
        <f t="shared" si="427"/>
        <v>133765.04915870636</v>
      </c>
      <c r="AL286" s="31">
        <f t="shared" si="428"/>
        <v>1337.6504915870637</v>
      </c>
      <c r="AM286" s="31">
        <f t="shared" si="429"/>
        <v>132427.3986671193</v>
      </c>
      <c r="AP286" s="31"/>
      <c r="AQ286" s="4">
        <f t="shared" si="434"/>
        <v>1.1708744469303911</v>
      </c>
      <c r="AW286" s="31">
        <f t="shared" si="508"/>
        <v>132002.8315370729</v>
      </c>
      <c r="AX286" s="4">
        <f t="shared" si="433"/>
        <v>1.1671205802186579</v>
      </c>
      <c r="AZ286" s="174" t="str">
        <f>IFERROR(IF(VLOOKUP(A286,#REF!,11,FALSE)=0,"",VLOOKUP(A286,#REF!,11,FALSE)),"")</f>
        <v/>
      </c>
      <c r="BA286" s="31" t="str">
        <f t="shared" si="436"/>
        <v/>
      </c>
      <c r="BB286" s="31">
        <f t="shared" si="437"/>
        <v>132002.8315370729</v>
      </c>
      <c r="BD286" s="31" t="str">
        <f>IFERROR(VLOOKUP(A286,'Title II Hold Harmless'!A$1:B$439,2, FALSE),"")</f>
        <v/>
      </c>
      <c r="BE286" s="31">
        <f t="shared" si="509"/>
        <v>2124.2444412994851</v>
      </c>
      <c r="BF286" s="31">
        <f t="shared" si="510"/>
        <v>2126.2997745556759</v>
      </c>
      <c r="BG286" s="31" t="str">
        <f t="shared" si="440"/>
        <v/>
      </c>
      <c r="BH286" s="31">
        <f t="shared" si="441"/>
        <v>2126.2997745556759</v>
      </c>
    </row>
    <row r="287" spans="1:60" x14ac:dyDescent="0.3">
      <c r="A287" s="1">
        <v>78507000</v>
      </c>
      <c r="B287">
        <f>VLOOKUP(C287,'NCES ID'!$A$2:$B$3136,2,FALSE)</f>
        <v>400423</v>
      </c>
      <c r="C287">
        <f>VLOOKUP(A287,'State ID'!$A$2:$B$713,2,FALSE)</f>
        <v>87349</v>
      </c>
      <c r="D287" s="147" t="s">
        <v>251</v>
      </c>
      <c r="E287" t="s">
        <v>7</v>
      </c>
      <c r="I287" s="47">
        <f>VLOOKUP($C287,'Final SEA Counts'!$A$2:$F$709,5,FALSE)</f>
        <v>77</v>
      </c>
      <c r="J287" s="47">
        <f>VLOOKUP($C287,'Final SEA Counts'!$A$2:$F$709,6,FALSE)</f>
        <v>35</v>
      </c>
      <c r="K287" s="24">
        <f t="shared" si="430"/>
        <v>77</v>
      </c>
      <c r="L287" s="24">
        <f t="shared" si="521"/>
        <v>17.294941372004928</v>
      </c>
      <c r="M287" s="4">
        <f t="shared" si="435"/>
        <v>0.22460962820785621</v>
      </c>
      <c r="N287" s="31" t="str">
        <f>IFERROR(VLOOKUP($B287,#REF!,8,FALSE),"")</f>
        <v/>
      </c>
      <c r="O287" s="31" t="str">
        <f>IFERROR(VLOOKUP($B287,#REF!,9,FALSE),"")</f>
        <v/>
      </c>
      <c r="P287" s="31" t="str">
        <f>IFERROR(VLOOKUP($B287,#REF!,10,FALSE),"")</f>
        <v/>
      </c>
      <c r="Q287" s="31" t="str">
        <f>IFERROR(VLOOKUP($B287,#REF!,11,FALSE),"")</f>
        <v/>
      </c>
      <c r="R287" s="31" t="str">
        <f>IFERROR(VLOOKUP($B287,#REF!,12,FALSE),"")</f>
        <v/>
      </c>
      <c r="S287" s="31">
        <f t="shared" si="487"/>
        <v>8337.569498299099</v>
      </c>
      <c r="T287" s="31">
        <f t="shared" si="488"/>
        <v>1718.4226655696712</v>
      </c>
      <c r="U287" s="31">
        <f t="shared" si="489"/>
        <v>4862.7573527385639</v>
      </c>
      <c r="V287" s="31">
        <f t="shared" si="490"/>
        <v>4524.079905693452</v>
      </c>
      <c r="W287" s="31">
        <f t="shared" si="419"/>
        <v>8337.569498299099</v>
      </c>
      <c r="X287" s="31">
        <f t="shared" si="420"/>
        <v>1718.4226655696712</v>
      </c>
      <c r="Y287" s="31">
        <f t="shared" si="421"/>
        <v>4862.7573527385639</v>
      </c>
      <c r="Z287" s="31">
        <f t="shared" si="422"/>
        <v>4524.079905693452</v>
      </c>
      <c r="AA287" s="31">
        <f t="shared" si="491"/>
        <v>8362.3192407801344</v>
      </c>
      <c r="AB287" s="31">
        <f t="shared" si="492"/>
        <v>2305.6894405993194</v>
      </c>
      <c r="AC287" s="31">
        <f t="shared" si="493"/>
        <v>4902.6259223386605</v>
      </c>
      <c r="AD287" s="31">
        <f t="shared" si="494"/>
        <v>4561.1717409450966</v>
      </c>
      <c r="AE287" s="31">
        <f t="shared" si="423"/>
        <v>20131.806344663211</v>
      </c>
      <c r="AF287" s="31">
        <f>IFERROR(VLOOKUP(A287,'Allocations By Type'!$D$7:$F$491,3,FALSE),"")</f>
        <v>26739.22</v>
      </c>
      <c r="AG287" s="31" t="str">
        <f t="shared" si="424"/>
        <v/>
      </c>
      <c r="AH287" s="31" t="str">
        <f t="shared" si="507"/>
        <v/>
      </c>
      <c r="AI287" s="31">
        <f t="shared" si="426"/>
        <v>20131.806344663211</v>
      </c>
      <c r="AJ287" s="31">
        <f>AI287/$AI$577*'State Admin 1004(b)'!$B$30*0.01</f>
        <v>191.58432073591166</v>
      </c>
      <c r="AK287" s="31">
        <f t="shared" si="427"/>
        <v>19940.222023927301</v>
      </c>
      <c r="AL287" s="31">
        <f t="shared" si="428"/>
        <v>199.40222023927302</v>
      </c>
      <c r="AM287" s="31">
        <f t="shared" si="429"/>
        <v>19740.819803688028</v>
      </c>
      <c r="AP287" s="31"/>
      <c r="AQ287" s="4">
        <f t="shared" si="434"/>
        <v>0.73827208885255546</v>
      </c>
      <c r="AW287" s="31">
        <f t="shared" si="508"/>
        <v>19677.530006461981</v>
      </c>
      <c r="AX287" s="4">
        <f t="shared" si="433"/>
        <v>0.73590516127478589</v>
      </c>
      <c r="AZ287" s="174" t="str">
        <f>IFERROR(IF(VLOOKUP(A287,#REF!,11,FALSE)=0,"",VLOOKUP(A287,#REF!,11,FALSE)),"")</f>
        <v/>
      </c>
      <c r="BA287" s="31" t="str">
        <f t="shared" si="436"/>
        <v/>
      </c>
      <c r="BB287" s="31">
        <f t="shared" si="437"/>
        <v>19677.530006461981</v>
      </c>
      <c r="BD287" s="31" t="str">
        <f>IFERROR(VLOOKUP(A287,'Title II Hold Harmless'!A$1:B$439,2, FALSE),"")</f>
        <v/>
      </c>
      <c r="BE287" s="31">
        <f t="shared" si="509"/>
        <v>288.37199719524682</v>
      </c>
      <c r="BF287" s="31">
        <f t="shared" si="510"/>
        <v>288.65101431044616</v>
      </c>
      <c r="BG287" s="31" t="str">
        <f t="shared" si="440"/>
        <v/>
      </c>
      <c r="BH287" s="31">
        <f t="shared" si="441"/>
        <v>288.65101431044616</v>
      </c>
    </row>
    <row r="288" spans="1:60" x14ac:dyDescent="0.3">
      <c r="A288" s="1">
        <v>78685000</v>
      </c>
      <c r="B288">
        <f>VLOOKUP(C288,'NCES ID'!$A$2:$B$3136,2,FALSE)</f>
        <v>400298</v>
      </c>
      <c r="C288">
        <f>VLOOKUP(A288,'State ID'!$A$2:$B$713,2,FALSE)</f>
        <v>79660</v>
      </c>
      <c r="D288" s="147" t="s">
        <v>252</v>
      </c>
      <c r="E288" t="s">
        <v>7</v>
      </c>
      <c r="I288" s="47">
        <f>VLOOKUP($C288,'Final SEA Counts'!$A$2:$F$709,5,FALSE)</f>
        <v>169</v>
      </c>
      <c r="J288" s="47">
        <f>VLOOKUP($C288,'Final SEA Counts'!$A$2:$F$709,6,FALSE)</f>
        <v>105</v>
      </c>
      <c r="K288" s="24">
        <f t="shared" si="430"/>
        <v>169</v>
      </c>
      <c r="L288" s="24">
        <f t="shared" si="521"/>
        <v>51.884824116014791</v>
      </c>
      <c r="M288" s="4">
        <f t="shared" si="435"/>
        <v>0.30701079358588634</v>
      </c>
      <c r="N288" s="31" t="str">
        <f>IFERROR(VLOOKUP($B288,#REF!,8,FALSE),"")</f>
        <v/>
      </c>
      <c r="O288" s="31" t="str">
        <f>IFERROR(VLOOKUP($B288,#REF!,9,FALSE),"")</f>
        <v/>
      </c>
      <c r="P288" s="31" t="str">
        <f>IFERROR(VLOOKUP($B288,#REF!,10,FALSE),"")</f>
        <v/>
      </c>
      <c r="Q288" s="31" t="str">
        <f>IFERROR(VLOOKUP($B288,#REF!,11,FALSE),"")</f>
        <v/>
      </c>
      <c r="R288" s="31" t="str">
        <f>IFERROR(VLOOKUP($B288,#REF!,12,FALSE),"")</f>
        <v/>
      </c>
      <c r="S288" s="31">
        <f t="shared" si="487"/>
        <v>25012.708494897302</v>
      </c>
      <c r="T288" s="31">
        <f t="shared" si="488"/>
        <v>5155.2679967090144</v>
      </c>
      <c r="U288" s="31">
        <f t="shared" si="489"/>
        <v>14588.272058215694</v>
      </c>
      <c r="V288" s="31">
        <f t="shared" si="490"/>
        <v>13572.239717080358</v>
      </c>
      <c r="W288" s="31">
        <f t="shared" si="419"/>
        <v>25012.708494897302</v>
      </c>
      <c r="X288" s="31">
        <f t="shared" si="420"/>
        <v>5155.2679967090144</v>
      </c>
      <c r="Y288" s="31">
        <f t="shared" si="421"/>
        <v>14588.272058215694</v>
      </c>
      <c r="Z288" s="31">
        <f t="shared" si="422"/>
        <v>13572.239717080358</v>
      </c>
      <c r="AA288" s="31">
        <f t="shared" si="491"/>
        <v>25037.458237378338</v>
      </c>
      <c r="AB288" s="31">
        <f t="shared" si="492"/>
        <v>5742.5347717386621</v>
      </c>
      <c r="AC288" s="31">
        <f t="shared" si="493"/>
        <v>14628.14062781579</v>
      </c>
      <c r="AD288" s="31">
        <f t="shared" si="494"/>
        <v>13609.331552332003</v>
      </c>
      <c r="AE288" s="31">
        <f t="shared" si="423"/>
        <v>59017.465189264796</v>
      </c>
      <c r="AF288" s="31">
        <f>IFERROR(VLOOKUP(A288,'Allocations By Type'!$D$7:$F$491,3,FALSE),"")</f>
        <v>90825.69</v>
      </c>
      <c r="AG288" s="31" t="str">
        <f t="shared" si="424"/>
        <v/>
      </c>
      <c r="AH288" s="31" t="str">
        <f t="shared" si="507"/>
        <v/>
      </c>
      <c r="AI288" s="31">
        <f t="shared" si="426"/>
        <v>59017.465189264796</v>
      </c>
      <c r="AJ288" s="31">
        <f>AI288/$AI$577*'State Admin 1004(b)'!$B$30*0.01</f>
        <v>561.63966542614594</v>
      </c>
      <c r="AK288" s="31">
        <f t="shared" si="427"/>
        <v>58455.825523838648</v>
      </c>
      <c r="AL288" s="31">
        <f t="shared" si="428"/>
        <v>584.55825523838655</v>
      </c>
      <c r="AM288" s="31">
        <f t="shared" si="429"/>
        <v>57871.267268600262</v>
      </c>
      <c r="AP288" s="31"/>
      <c r="AQ288" s="4">
        <f t="shared" si="434"/>
        <v>0.63716848469414611</v>
      </c>
      <c r="AW288" s="31">
        <f t="shared" si="508"/>
        <v>57685.729848824012</v>
      </c>
      <c r="AX288" s="4">
        <f t="shared" si="433"/>
        <v>0.63512569900458793</v>
      </c>
      <c r="AZ288" s="174" t="str">
        <f>IFERROR(IF(VLOOKUP(A288,#REF!,11,FALSE)=0,"",VLOOKUP(A288,#REF!,11,FALSE)),"")</f>
        <v/>
      </c>
      <c r="BA288" s="31" t="str">
        <f t="shared" si="436"/>
        <v/>
      </c>
      <c r="BB288" s="31">
        <f t="shared" si="437"/>
        <v>57685.729848824012</v>
      </c>
      <c r="BD288" s="31" t="str">
        <f>IFERROR(VLOOKUP(A288,'Title II Hold Harmless'!A$1:B$439,2, FALSE),"")</f>
        <v/>
      </c>
      <c r="BE288" s="31">
        <f t="shared" si="509"/>
        <v>815.21841083725189</v>
      </c>
      <c r="BF288" s="31">
        <f t="shared" si="510"/>
        <v>816.00718329595622</v>
      </c>
      <c r="BG288" s="31" t="str">
        <f t="shared" si="440"/>
        <v/>
      </c>
      <c r="BH288" s="31">
        <f t="shared" si="441"/>
        <v>816.00718329595622</v>
      </c>
    </row>
    <row r="289" spans="1:60" x14ac:dyDescent="0.3">
      <c r="A289" s="1">
        <v>78229000</v>
      </c>
      <c r="B289">
        <f>VLOOKUP(C289,'NCES ID'!$A$2:$B$3136,2,FALSE)</f>
        <v>400899</v>
      </c>
      <c r="C289">
        <f>VLOOKUP(A289,'State ID'!$A$2:$B$713,2,FALSE)</f>
        <v>92047</v>
      </c>
      <c r="D289" s="147" t="s">
        <v>254</v>
      </c>
      <c r="E289" t="s">
        <v>7</v>
      </c>
      <c r="I289" s="47">
        <f>VLOOKUP($C289,'Final SEA Counts'!$A$2:$F$709,5,FALSE)</f>
        <v>1061</v>
      </c>
      <c r="J289" s="47">
        <f>VLOOKUP($C289,'Final SEA Counts'!$A$2:$F$709,6,FALSE)</f>
        <v>183</v>
      </c>
      <c r="K289" s="24">
        <f t="shared" si="430"/>
        <v>1061</v>
      </c>
      <c r="L289" s="24">
        <f t="shared" si="521"/>
        <v>90.42783631648291</v>
      </c>
      <c r="M289" s="4">
        <f t="shared" si="435"/>
        <v>8.5228874944847224E-2</v>
      </c>
      <c r="N289" s="31" t="str">
        <f>IFERROR(VLOOKUP($B289,#REF!,8,FALSE),"")</f>
        <v/>
      </c>
      <c r="O289" s="31" t="str">
        <f>IFERROR(VLOOKUP($B289,#REF!,9,FALSE),"")</f>
        <v/>
      </c>
      <c r="P289" s="31" t="str">
        <f>IFERROR(VLOOKUP($B289,#REF!,10,FALSE),"")</f>
        <v/>
      </c>
      <c r="Q289" s="31" t="str">
        <f>IFERROR(VLOOKUP($B289,#REF!,11,FALSE),"")</f>
        <v/>
      </c>
      <c r="R289" s="31" t="str">
        <f>IFERROR(VLOOKUP($B289,#REF!,12,FALSE),"")</f>
        <v/>
      </c>
      <c r="S289" s="31">
        <f t="shared" si="487"/>
        <v>43593.577662535296</v>
      </c>
      <c r="T289" s="31">
        <f t="shared" si="488"/>
        <v>8984.8956514071378</v>
      </c>
      <c r="U289" s="31">
        <f t="shared" si="489"/>
        <v>25425.274158604494</v>
      </c>
      <c r="V289" s="31">
        <f t="shared" si="490"/>
        <v>23654.474935482907</v>
      </c>
      <c r="W289" s="31">
        <f t="shared" si="419"/>
        <v>43593.577662535296</v>
      </c>
      <c r="X289" s="31" t="str">
        <f t="shared" si="420"/>
        <v/>
      </c>
      <c r="Y289" s="31">
        <f t="shared" si="421"/>
        <v>25425.274158604494</v>
      </c>
      <c r="Z289" s="31">
        <f t="shared" si="422"/>
        <v>23654.474935482907</v>
      </c>
      <c r="AA289" s="31">
        <f t="shared" si="491"/>
        <v>43618.327405016331</v>
      </c>
      <c r="AB289" s="31" t="str">
        <f t="shared" si="492"/>
        <v/>
      </c>
      <c r="AC289" s="31">
        <f t="shared" si="493"/>
        <v>25465.142728204592</v>
      </c>
      <c r="AD289" s="31">
        <f t="shared" si="494"/>
        <v>23691.566770734553</v>
      </c>
      <c r="AE289" s="31">
        <f t="shared" si="423"/>
        <v>92775.036903955479</v>
      </c>
      <c r="AF289" s="31">
        <f>IFERROR(VLOOKUP(A289,'Allocations By Type'!$D$7:$F$491,3,FALSE),"")</f>
        <v>90311.039999999994</v>
      </c>
      <c r="AG289" s="31">
        <f t="shared" si="424"/>
        <v>3711.0014761582192</v>
      </c>
      <c r="AH289" s="31">
        <f t="shared" si="507"/>
        <v>2463.9969039554853</v>
      </c>
      <c r="AI289" s="31">
        <f t="shared" si="426"/>
        <v>90311.039999999994</v>
      </c>
      <c r="AJ289" s="31">
        <f>AI289/$AI$577*'State Admin 1004(b)'!$B$30*0.01</f>
        <v>859.44494781713524</v>
      </c>
      <c r="AK289" s="31">
        <f t="shared" si="427"/>
        <v>89451.595052182864</v>
      </c>
      <c r="AL289" s="31">
        <f t="shared" si="428"/>
        <v>894.5159505218287</v>
      </c>
      <c r="AM289" s="31">
        <f t="shared" si="429"/>
        <v>88557.079101661031</v>
      </c>
      <c r="AP289" s="31"/>
      <c r="AQ289" s="4">
        <f t="shared" si="434"/>
        <v>0.98057866570533392</v>
      </c>
      <c r="AW289" s="31">
        <f t="shared" si="508"/>
        <v>88273.161836065599</v>
      </c>
      <c r="AX289" s="4">
        <f t="shared" si="433"/>
        <v>0.97743489429493458</v>
      </c>
      <c r="AZ289" s="174" t="str">
        <f>IFERROR(IF(VLOOKUP(A289,#REF!,11,FALSE)=0,"",VLOOKUP(A289,#REF!,11,FALSE)),"")</f>
        <v/>
      </c>
      <c r="BA289" s="31" t="str">
        <f t="shared" si="436"/>
        <v/>
      </c>
      <c r="BB289" s="31">
        <f t="shared" si="437"/>
        <v>88273.161836065599</v>
      </c>
      <c r="BD289" s="31" t="str">
        <f>IFERROR(VLOOKUP(A289,'Title II Hold Harmless'!A$1:B$439,2, FALSE),"")</f>
        <v/>
      </c>
      <c r="BE289" s="31">
        <f t="shared" si="509"/>
        <v>2037.6537008965158</v>
      </c>
      <c r="BF289" s="31">
        <f t="shared" si="510"/>
        <v>2039.6252524442705</v>
      </c>
      <c r="BG289" s="31" t="str">
        <f t="shared" si="440"/>
        <v/>
      </c>
      <c r="BH289" s="31">
        <f t="shared" si="441"/>
        <v>2039.6252524442705</v>
      </c>
    </row>
    <row r="290" spans="1:60" x14ac:dyDescent="0.3">
      <c r="A290" s="1">
        <v>78215000</v>
      </c>
      <c r="B290">
        <f>VLOOKUP(C290,'NCES ID'!$A$2:$B$3136,2,FALSE)</f>
        <v>400871</v>
      </c>
      <c r="C290">
        <f>VLOOKUP(A290,'State ID'!$A$2:$B$713,2,FALSE)</f>
        <v>91763</v>
      </c>
      <c r="D290" s="147" t="s">
        <v>256</v>
      </c>
      <c r="E290" t="s">
        <v>7</v>
      </c>
      <c r="I290" s="47">
        <f>VLOOKUP($C290,'Final SEA Counts'!$A$2:$F$709,5,FALSE)</f>
        <v>876</v>
      </c>
      <c r="J290" s="47">
        <f>VLOOKUP($C290,'Final SEA Counts'!$A$2:$F$709,6,FALSE)</f>
        <v>303</v>
      </c>
      <c r="K290" s="24">
        <f t="shared" si="430"/>
        <v>876</v>
      </c>
      <c r="L290" s="24">
        <f t="shared" si="521"/>
        <v>149.72477816335694</v>
      </c>
      <c r="M290" s="4">
        <f t="shared" si="435"/>
        <v>0.17091869653351249</v>
      </c>
      <c r="N290" s="31" t="str">
        <f>IFERROR(VLOOKUP($B290,#REF!,8,FALSE),"")</f>
        <v/>
      </c>
      <c r="O290" s="31" t="str">
        <f>IFERROR(VLOOKUP($B290,#REF!,9,FALSE),"")</f>
        <v/>
      </c>
      <c r="P290" s="31" t="str">
        <f>IFERROR(VLOOKUP($B290,#REF!,10,FALSE),"")</f>
        <v/>
      </c>
      <c r="Q290" s="31" t="str">
        <f>IFERROR(VLOOKUP($B290,#REF!,11,FALSE),"")</f>
        <v/>
      </c>
      <c r="R290" s="31" t="str">
        <f>IFERROR(VLOOKUP($B290,#REF!,12,FALSE),"")</f>
        <v/>
      </c>
      <c r="S290" s="31">
        <f t="shared" si="487"/>
        <v>72179.530228132207</v>
      </c>
      <c r="T290" s="31">
        <f t="shared" si="488"/>
        <v>14876.630504788867</v>
      </c>
      <c r="U290" s="31">
        <f t="shared" si="489"/>
        <v>42097.585082279569</v>
      </c>
      <c r="V290" s="31">
        <f t="shared" si="490"/>
        <v>39165.606040717597</v>
      </c>
      <c r="W290" s="31">
        <f t="shared" si="419"/>
        <v>72179.530228132207</v>
      </c>
      <c r="X290" s="31">
        <f t="shared" si="420"/>
        <v>14876.630504788867</v>
      </c>
      <c r="Y290" s="31">
        <f t="shared" si="421"/>
        <v>42097.585082279569</v>
      </c>
      <c r="Z290" s="31">
        <f t="shared" si="422"/>
        <v>39165.606040717597</v>
      </c>
      <c r="AA290" s="31">
        <f t="shared" si="491"/>
        <v>72204.279970613235</v>
      </c>
      <c r="AB290" s="31">
        <f t="shared" si="492"/>
        <v>15463.897279818515</v>
      </c>
      <c r="AC290" s="31">
        <f t="shared" si="493"/>
        <v>42137.453651879667</v>
      </c>
      <c r="AD290" s="31">
        <f t="shared" si="494"/>
        <v>39202.697875969243</v>
      </c>
      <c r="AE290" s="31">
        <f t="shared" si="423"/>
        <v>169008.32877828064</v>
      </c>
      <c r="AF290" s="31">
        <f>IFERROR(VLOOKUP(A290,'Allocations By Type'!$D$7:$F$491,3,FALSE),"")</f>
        <v>169490.62</v>
      </c>
      <c r="AG290" s="31" t="str">
        <f t="shared" si="424"/>
        <v/>
      </c>
      <c r="AH290" s="31" t="str">
        <f t="shared" si="507"/>
        <v/>
      </c>
      <c r="AI290" s="31">
        <f t="shared" si="426"/>
        <v>169008.32877828064</v>
      </c>
      <c r="AJ290" s="31">
        <f>AI290/$AI$577*'State Admin 1004(b)'!$B$30*0.01</f>
        <v>1608.3676404070936</v>
      </c>
      <c r="AK290" s="31">
        <f t="shared" si="427"/>
        <v>167399.96113787356</v>
      </c>
      <c r="AL290" s="31">
        <f t="shared" si="428"/>
        <v>1673.9996113787356</v>
      </c>
      <c r="AM290" s="31">
        <f t="shared" si="429"/>
        <v>165725.96152649482</v>
      </c>
      <c r="AP290" s="31"/>
      <c r="AQ290" s="4">
        <f t="shared" si="434"/>
        <v>0.97778839635193282</v>
      </c>
      <c r="AW290" s="31">
        <f t="shared" si="508"/>
        <v>165194.6379743623</v>
      </c>
      <c r="AX290" s="4">
        <f t="shared" si="433"/>
        <v>0.97465357064811198</v>
      </c>
      <c r="AZ290" s="174" t="str">
        <f>IFERROR(IF(VLOOKUP(A290,#REF!,11,FALSE)=0,"",VLOOKUP(A290,#REF!,11,FALSE)),"")</f>
        <v/>
      </c>
      <c r="BA290" s="31" t="str">
        <f t="shared" si="436"/>
        <v/>
      </c>
      <c r="BB290" s="31">
        <f t="shared" si="437"/>
        <v>165194.6379743623</v>
      </c>
      <c r="BD290" s="31" t="str">
        <f>IFERROR(VLOOKUP(A290,'Title II Hold Harmless'!A$1:B$439,2, FALSE),"")</f>
        <v/>
      </c>
      <c r="BE290" s="31">
        <f t="shared" si="509"/>
        <v>2665.0026306984232</v>
      </c>
      <c r="BF290" s="31">
        <f t="shared" si="510"/>
        <v>2667.5811797713159</v>
      </c>
      <c r="BG290" s="31" t="str">
        <f t="shared" si="440"/>
        <v/>
      </c>
      <c r="BH290" s="31">
        <f t="shared" si="441"/>
        <v>2667.5811797713159</v>
      </c>
    </row>
    <row r="291" spans="1:60" x14ac:dyDescent="0.3">
      <c r="A291" s="1">
        <v>78784000</v>
      </c>
      <c r="B291">
        <f>VLOOKUP(C291,'NCES ID'!$A$2:$B$3136,2,FALSE)</f>
        <v>400190</v>
      </c>
      <c r="C291">
        <f>VLOOKUP(A291,'State ID'!$A$2:$B$713,2,FALSE)</f>
        <v>10968</v>
      </c>
      <c r="D291" s="147" t="s">
        <v>261</v>
      </c>
      <c r="E291" t="s">
        <v>7</v>
      </c>
      <c r="I291" s="47">
        <f>VLOOKUP($C291,'Final SEA Counts'!$A$2:$F$709,5,FALSE)</f>
        <v>512</v>
      </c>
      <c r="J291" s="47">
        <f>VLOOKUP($C291,'Final SEA Counts'!$A$2:$F$709,6,FALSE)</f>
        <v>478</v>
      </c>
      <c r="K291" s="24">
        <f t="shared" si="430"/>
        <v>512</v>
      </c>
      <c r="L291" s="24">
        <f t="shared" si="521"/>
        <v>236.19948502338161</v>
      </c>
      <c r="M291" s="4">
        <f t="shared" si="435"/>
        <v>0.46132711918629221</v>
      </c>
      <c r="N291" s="31" t="str">
        <f>IFERROR(VLOOKUP($B291,#REF!,8,FALSE),"")</f>
        <v/>
      </c>
      <c r="O291" s="31" t="str">
        <f>IFERROR(VLOOKUP($B291,#REF!,9,FALSE),"")</f>
        <v/>
      </c>
      <c r="P291" s="31" t="str">
        <f>IFERROR(VLOOKUP($B291,#REF!,10,FALSE),"")</f>
        <v/>
      </c>
      <c r="Q291" s="31" t="str">
        <f>IFERROR(VLOOKUP($B291,#REF!,11,FALSE),"")</f>
        <v/>
      </c>
      <c r="R291" s="31" t="str">
        <f>IFERROR(VLOOKUP($B291,#REF!,12,FALSE),"")</f>
        <v/>
      </c>
      <c r="S291" s="31">
        <f t="shared" si="487"/>
        <v>113867.37771962772</v>
      </c>
      <c r="T291" s="31">
        <f t="shared" si="488"/>
        <v>23468.743832637225</v>
      </c>
      <c r="U291" s="31">
        <f t="shared" si="489"/>
        <v>66411.371845972404</v>
      </c>
      <c r="V291" s="31">
        <f t="shared" si="490"/>
        <v>61786.005569184868</v>
      </c>
      <c r="W291" s="31">
        <f t="shared" si="419"/>
        <v>113867.37771962772</v>
      </c>
      <c r="X291" s="31">
        <f t="shared" si="420"/>
        <v>23468.743832637225</v>
      </c>
      <c r="Y291" s="31">
        <f t="shared" si="421"/>
        <v>66411.371845972404</v>
      </c>
      <c r="Z291" s="31">
        <f t="shared" si="422"/>
        <v>61786.005569184868</v>
      </c>
      <c r="AA291" s="31">
        <f t="shared" si="491"/>
        <v>113892.12746210875</v>
      </c>
      <c r="AB291" s="31">
        <f t="shared" si="492"/>
        <v>24056.010607666874</v>
      </c>
      <c r="AC291" s="31">
        <f t="shared" si="493"/>
        <v>66451.240415572494</v>
      </c>
      <c r="AD291" s="31">
        <f t="shared" si="494"/>
        <v>61823.097404436514</v>
      </c>
      <c r="AE291" s="31">
        <f t="shared" si="423"/>
        <v>266222.47588978463</v>
      </c>
      <c r="AF291" s="31">
        <f>IFERROR(VLOOKUP(A291,'Allocations By Type'!$D$7:$F$491,3,FALSE),"")</f>
        <v>254871.27</v>
      </c>
      <c r="AG291" s="31">
        <f t="shared" si="424"/>
        <v>10648.899035591385</v>
      </c>
      <c r="AH291" s="31">
        <f t="shared" si="507"/>
        <v>10648.899035591385</v>
      </c>
      <c r="AI291" s="31">
        <f t="shared" si="426"/>
        <v>255573.57685419323</v>
      </c>
      <c r="AJ291" s="31">
        <f>AI291/$AI$577*'State Admin 1004(b)'!$B$30*0.01</f>
        <v>2432.165762047372</v>
      </c>
      <c r="AK291" s="31">
        <f t="shared" si="427"/>
        <v>253141.41109214586</v>
      </c>
      <c r="AL291" s="31">
        <f t="shared" si="428"/>
        <v>2531.4141109214588</v>
      </c>
      <c r="AM291" s="31">
        <f t="shared" si="429"/>
        <v>250609.99698122439</v>
      </c>
      <c r="AP291" s="31"/>
      <c r="AQ291" s="4">
        <f t="shared" si="434"/>
        <v>0.9832806851130157</v>
      </c>
      <c r="AW291" s="31">
        <f t="shared" si="508"/>
        <v>249806.53207705668</v>
      </c>
      <c r="AX291" s="4">
        <f t="shared" si="433"/>
        <v>0.98012825092862244</v>
      </c>
      <c r="AZ291" s="174" t="str">
        <f>IFERROR(IF(VLOOKUP(A291,#REF!,11,FALSE)=0,"",VLOOKUP(A291,#REF!,11,FALSE)),"")</f>
        <v/>
      </c>
      <c r="BA291" s="31" t="str">
        <f t="shared" si="436"/>
        <v/>
      </c>
      <c r="BB291" s="31">
        <f t="shared" si="437"/>
        <v>249806.53207705668</v>
      </c>
      <c r="BD291" s="31">
        <f>IFERROR(VLOOKUP(A291,'Title II Hold Harmless'!A$1:B$439,2, FALSE),"")</f>
        <v>10834</v>
      </c>
      <c r="BE291" s="31">
        <f t="shared" si="509"/>
        <v>14338.067649245337</v>
      </c>
      <c r="BF291" s="31">
        <f t="shared" si="510"/>
        <v>14351.94058528606</v>
      </c>
      <c r="BG291" s="31" t="str">
        <f t="shared" si="440"/>
        <v/>
      </c>
      <c r="BH291" s="31">
        <f t="shared" si="441"/>
        <v>14351.94058528606</v>
      </c>
    </row>
    <row r="292" spans="1:60" s="47" customFormat="1" x14ac:dyDescent="0.3">
      <c r="A292" s="1">
        <v>78407000</v>
      </c>
      <c r="C292" s="47">
        <v>850099</v>
      </c>
      <c r="D292" s="191" t="s">
        <v>1404</v>
      </c>
      <c r="E292" s="47" t="s">
        <v>7</v>
      </c>
      <c r="H292" s="4"/>
      <c r="I292" s="47">
        <f>VLOOKUP($C292,'AzEDS FY17 11-14-2016'!$A$1:$D$706,3,FALSE)</f>
        <v>207</v>
      </c>
      <c r="J292" s="47">
        <f>VLOOKUP($C292,'AzEDS FY17 11-14-2016'!$A$1:$D$706,4,FALSE)</f>
        <v>33</v>
      </c>
      <c r="K292" s="24">
        <f t="shared" ref="K292:K295" si="522">I292</f>
        <v>207</v>
      </c>
      <c r="L292" s="24">
        <f t="shared" si="521"/>
        <v>16.30665900789036</v>
      </c>
      <c r="M292" s="4">
        <f t="shared" ref="M292:M295" si="523">L292/K292</f>
        <v>7.8776130472900288E-2</v>
      </c>
      <c r="N292" s="31"/>
      <c r="O292" s="31"/>
      <c r="P292" s="31"/>
      <c r="Q292" s="31"/>
      <c r="R292" s="31"/>
      <c r="S292" s="31">
        <f t="shared" si="487"/>
        <v>7861.1369555391511</v>
      </c>
      <c r="T292" s="31">
        <f t="shared" si="488"/>
        <v>1620.2270846799756</v>
      </c>
      <c r="U292" s="31">
        <f t="shared" si="489"/>
        <v>4584.8855040106464</v>
      </c>
      <c r="V292" s="31">
        <f t="shared" si="490"/>
        <v>4265.5610539395402</v>
      </c>
      <c r="W292" s="31">
        <f t="shared" ref="W292:W294" si="524">IF(AND($L292&gt;9,$L292&gt;($K292*0.02)),S292,"")</f>
        <v>7861.1369555391511</v>
      </c>
      <c r="X292" s="31" t="str">
        <f t="shared" ref="X292:X294" si="525">IF(W292="","",IF(OR($L292&gt;6500,$L292&gt;($K292*0.15)),T292,""))</f>
        <v/>
      </c>
      <c r="Y292" s="31">
        <f t="shared" ref="Y292:Y294" si="526">IF(AND($L292&gt;9,$L292&gt;($K292*0.05)),U292,"")</f>
        <v>4584.8855040106464</v>
      </c>
      <c r="Z292" s="31">
        <f t="shared" ref="Z292:Z294" si="527">IF(AND($L292&gt;9,$L292&gt;($K292*0.05)),V292,"")</f>
        <v>4265.5610539395402</v>
      </c>
      <c r="AA292" s="31">
        <f t="shared" si="491"/>
        <v>7885.8866980201865</v>
      </c>
      <c r="AB292" s="31" t="str">
        <f t="shared" si="492"/>
        <v/>
      </c>
      <c r="AC292" s="31">
        <f t="shared" si="493"/>
        <v>4624.754073610743</v>
      </c>
      <c r="AD292" s="31">
        <f t="shared" si="494"/>
        <v>4302.6528891911848</v>
      </c>
      <c r="AE292" s="31">
        <f t="shared" ref="AE292:AE294" si="528">SUM(AA292:AD292)</f>
        <v>16813.293660822113</v>
      </c>
      <c r="AF292" s="31" t="str">
        <f>IFERROR(VLOOKUP(A292,'Allocations By Type'!$D$7:$F$491,3,FALSE),"")</f>
        <v/>
      </c>
      <c r="AG292" s="31" t="str">
        <f t="shared" ref="AG292:AG294" si="529">IF(AE292&gt;AF292,AE292*0.04,"")</f>
        <v/>
      </c>
      <c r="AH292" s="31" t="str">
        <f t="shared" ref="AH292:AH294" si="530">IF(AG292="","",IF((AE292-AF292)&gt;AG292,AG292,AE292-AF292))</f>
        <v/>
      </c>
      <c r="AI292" s="31">
        <f t="shared" ref="AI292:AI294" si="531">IF(AH292="",AE292,AE292-AH292)</f>
        <v>16813.293660822113</v>
      </c>
      <c r="AJ292" s="31">
        <f>AI292/$AI$577*'State Admin 1004(b)'!$B$30*0.01</f>
        <v>160.00369714444028</v>
      </c>
      <c r="AK292" s="31">
        <f t="shared" ref="AK292:AK294" si="532">AI292-AJ292</f>
        <v>16653.289963677675</v>
      </c>
      <c r="AL292" s="31">
        <f t="shared" ref="AL292:AL294" si="533">AK292*0.01</f>
        <v>166.53289963677676</v>
      </c>
      <c r="AM292" s="31">
        <f t="shared" ref="AM292:AM294" si="534">AK292-AL292</f>
        <v>16486.757064040899</v>
      </c>
      <c r="AP292" s="31"/>
      <c r="AQ292" s="4" t="str">
        <f t="shared" si="434"/>
        <v/>
      </c>
      <c r="AR292" s="4"/>
      <c r="AS292" s="4"/>
      <c r="AT292" s="4"/>
      <c r="AW292" s="31">
        <f t="shared" si="508"/>
        <v>16433.899912115357</v>
      </c>
      <c r="AX292" s="4" t="str">
        <f t="shared" si="433"/>
        <v/>
      </c>
      <c r="AZ292" s="174"/>
      <c r="BA292" s="31"/>
      <c r="BB292" s="31">
        <f t="shared" si="437"/>
        <v>16433.899912115357</v>
      </c>
      <c r="BD292" s="31" t="str">
        <f>IFERROR(VLOOKUP(A292,'Title II Hold Harmless'!A$1:B$439,2, FALSE),"")</f>
        <v/>
      </c>
      <c r="BE292" s="31">
        <f t="shared" si="509"/>
        <v>380.05867562320958</v>
      </c>
      <c r="BF292" s="31">
        <f t="shared" si="510"/>
        <v>380.42640507097235</v>
      </c>
      <c r="BG292" s="31" t="str">
        <f t="shared" ref="BG292:BG294" si="535">IF(AZ292&lt;0,BF292*AZ292/100,"")</f>
        <v/>
      </c>
      <c r="BH292" s="31">
        <f t="shared" ref="BH292:BH295" si="536">IF(BG292&lt;0,BF292+BG292,BF292)</f>
        <v>380.42640507097235</v>
      </c>
    </row>
    <row r="293" spans="1:60" s="47" customFormat="1" x14ac:dyDescent="0.3">
      <c r="A293" s="1">
        <v>78408000</v>
      </c>
      <c r="C293" s="47">
        <v>850100</v>
      </c>
      <c r="D293" s="191" t="s">
        <v>1405</v>
      </c>
      <c r="E293" s="47" t="s">
        <v>7</v>
      </c>
      <c r="H293" s="4"/>
      <c r="I293" s="47">
        <f>VLOOKUP($C293,'AzEDS FY17 11-14-2016'!$A$1:$D$706,3,FALSE)</f>
        <v>949</v>
      </c>
      <c r="J293" s="47">
        <f>VLOOKUP($C293,'AzEDS FY17 11-14-2016'!$A$1:$D$706,4,FALSE)</f>
        <v>98</v>
      </c>
      <c r="K293" s="24">
        <f t="shared" si="522"/>
        <v>949</v>
      </c>
      <c r="L293" s="24">
        <f t="shared" si="521"/>
        <v>48.425835841613804</v>
      </c>
      <c r="M293" s="4">
        <f t="shared" si="523"/>
        <v>5.1028278020667867E-2</v>
      </c>
      <c r="N293" s="31"/>
      <c r="O293" s="31"/>
      <c r="P293" s="31"/>
      <c r="Q293" s="31"/>
      <c r="R293" s="31"/>
      <c r="S293" s="31">
        <f t="shared" si="487"/>
        <v>23345.194595237481</v>
      </c>
      <c r="T293" s="31">
        <f t="shared" si="488"/>
        <v>4811.5834635950796</v>
      </c>
      <c r="U293" s="31">
        <f t="shared" si="489"/>
        <v>13615.720587667982</v>
      </c>
      <c r="V293" s="31">
        <f t="shared" si="490"/>
        <v>12667.423735941667</v>
      </c>
      <c r="W293" s="31">
        <f t="shared" si="524"/>
        <v>23345.194595237481</v>
      </c>
      <c r="X293" s="31" t="str">
        <f t="shared" si="525"/>
        <v/>
      </c>
      <c r="Y293" s="31">
        <f t="shared" si="526"/>
        <v>13615.720587667982</v>
      </c>
      <c r="Z293" s="31">
        <f t="shared" si="527"/>
        <v>12667.423735941667</v>
      </c>
      <c r="AA293" s="31">
        <f t="shared" si="491"/>
        <v>23369.944337718516</v>
      </c>
      <c r="AB293" s="31" t="str">
        <f t="shared" si="492"/>
        <v/>
      </c>
      <c r="AC293" s="31">
        <f t="shared" si="493"/>
        <v>13655.589157268078</v>
      </c>
      <c r="AD293" s="31">
        <f t="shared" si="494"/>
        <v>12704.515571193313</v>
      </c>
      <c r="AE293" s="31">
        <f t="shared" si="528"/>
        <v>49730.049066179905</v>
      </c>
      <c r="AF293" s="31" t="str">
        <f>IFERROR(VLOOKUP(A293,'Allocations By Type'!$D$7:$F$491,3,FALSE),"")</f>
        <v/>
      </c>
      <c r="AG293" s="31" t="str">
        <f t="shared" si="529"/>
        <v/>
      </c>
      <c r="AH293" s="31" t="str">
        <f t="shared" si="530"/>
        <v/>
      </c>
      <c r="AI293" s="31">
        <f t="shared" si="531"/>
        <v>49730.049066179905</v>
      </c>
      <c r="AJ293" s="31">
        <f>AI293/$AI$577*'State Admin 1004(b)'!$B$30*0.01</f>
        <v>473.25597650770675</v>
      </c>
      <c r="AK293" s="31">
        <f t="shared" si="532"/>
        <v>49256.793089672195</v>
      </c>
      <c r="AL293" s="31">
        <f t="shared" si="533"/>
        <v>492.56793089672198</v>
      </c>
      <c r="AM293" s="31">
        <f t="shared" si="534"/>
        <v>48764.225158775473</v>
      </c>
      <c r="AP293" s="31"/>
      <c r="AQ293" s="4" t="str">
        <f t="shared" si="434"/>
        <v/>
      </c>
      <c r="AR293" s="4"/>
      <c r="AS293" s="4"/>
      <c r="AT293" s="4"/>
      <c r="AW293" s="31">
        <f t="shared" si="508"/>
        <v>48607.885252283457</v>
      </c>
      <c r="AX293" s="4" t="str">
        <f t="shared" si="433"/>
        <v/>
      </c>
      <c r="AZ293" s="174"/>
      <c r="BA293" s="31"/>
      <c r="BB293" s="31">
        <f t="shared" si="437"/>
        <v>48607.885252283457</v>
      </c>
      <c r="BD293" s="31" t="str">
        <f>IFERROR(VLOOKUP(A293,'Title II Hold Harmless'!A$1:B$439,2, FALSE),"")</f>
        <v/>
      </c>
      <c r="BE293" s="31">
        <f t="shared" si="509"/>
        <v>1397.6816844199409</v>
      </c>
      <c r="BF293" s="31">
        <f t="shared" si="510"/>
        <v>1399.0340248529467</v>
      </c>
      <c r="BG293" s="31" t="str">
        <f t="shared" si="535"/>
        <v/>
      </c>
      <c r="BH293" s="31">
        <f t="shared" si="536"/>
        <v>1399.0340248529467</v>
      </c>
    </row>
    <row r="294" spans="1:60" s="47" customFormat="1" x14ac:dyDescent="0.3">
      <c r="A294" s="1">
        <v>78409000</v>
      </c>
      <c r="C294" s="47">
        <v>850101</v>
      </c>
      <c r="D294" s="191" t="s">
        <v>1406</v>
      </c>
      <c r="E294" s="47" t="s">
        <v>7</v>
      </c>
      <c r="H294" s="4"/>
      <c r="I294" s="47">
        <f>VLOOKUP($C294,'AzEDS FY17 11-14-2016'!$A$1:$D$706,3,FALSE)</f>
        <v>441</v>
      </c>
      <c r="J294" s="47">
        <f>VLOOKUP($C294,'AzEDS FY17 11-14-2016'!$A$1:$D$706,4,FALSE)</f>
        <v>42</v>
      </c>
      <c r="K294" s="24">
        <f t="shared" si="522"/>
        <v>441</v>
      </c>
      <c r="L294" s="24">
        <f t="shared" si="521"/>
        <v>20.753929646405915</v>
      </c>
      <c r="M294" s="4">
        <f t="shared" si="523"/>
        <v>4.7061064957836539E-2</v>
      </c>
      <c r="N294" s="31"/>
      <c r="O294" s="31"/>
      <c r="P294" s="31"/>
      <c r="Q294" s="31"/>
      <c r="R294" s="31"/>
      <c r="S294" s="31">
        <f t="shared" si="487"/>
        <v>10005.083397958921</v>
      </c>
      <c r="T294" s="31">
        <f t="shared" si="488"/>
        <v>2062.1071986836055</v>
      </c>
      <c r="U294" s="31">
        <f t="shared" si="489"/>
        <v>5835.3088232862774</v>
      </c>
      <c r="V294" s="31">
        <f t="shared" si="490"/>
        <v>5428.8958868321424</v>
      </c>
      <c r="W294" s="31">
        <f t="shared" si="524"/>
        <v>10005.083397958921</v>
      </c>
      <c r="X294" s="31" t="str">
        <f t="shared" si="525"/>
        <v/>
      </c>
      <c r="Y294" s="31" t="str">
        <f t="shared" si="526"/>
        <v/>
      </c>
      <c r="Z294" s="31" t="str">
        <f t="shared" si="527"/>
        <v/>
      </c>
      <c r="AA294" s="31">
        <f t="shared" si="491"/>
        <v>10029.833140439956</v>
      </c>
      <c r="AB294" s="31" t="str">
        <f t="shared" si="492"/>
        <v/>
      </c>
      <c r="AC294" s="31" t="str">
        <f t="shared" si="493"/>
        <v/>
      </c>
      <c r="AD294" s="31" t="str">
        <f t="shared" si="494"/>
        <v/>
      </c>
      <c r="AE294" s="31">
        <f t="shared" si="528"/>
        <v>10029.833140439956</v>
      </c>
      <c r="AF294" s="31" t="str">
        <f>IFERROR(VLOOKUP(A294,'Allocations By Type'!$D$7:$F$491,3,FALSE),"")</f>
        <v/>
      </c>
      <c r="AG294" s="31" t="str">
        <f t="shared" si="529"/>
        <v/>
      </c>
      <c r="AH294" s="31" t="str">
        <f t="shared" si="530"/>
        <v/>
      </c>
      <c r="AI294" s="31">
        <f t="shared" si="531"/>
        <v>10029.833140439956</v>
      </c>
      <c r="AJ294" s="31">
        <f>AI294/$AI$577*'State Admin 1004(b)'!$B$30*0.01</f>
        <v>95.448899935157328</v>
      </c>
      <c r="AK294" s="31">
        <f t="shared" si="532"/>
        <v>9934.3842405047981</v>
      </c>
      <c r="AL294" s="31">
        <f t="shared" si="533"/>
        <v>99.34384240504798</v>
      </c>
      <c r="AM294" s="31">
        <f t="shared" si="534"/>
        <v>9835.0403980997507</v>
      </c>
      <c r="AP294" s="31"/>
      <c r="AQ294" s="4" t="str">
        <f t="shared" si="434"/>
        <v/>
      </c>
      <c r="AR294" s="4"/>
      <c r="AS294" s="4"/>
      <c r="AT294" s="4"/>
      <c r="AW294" s="31">
        <f t="shared" si="508"/>
        <v>9803.508895421759</v>
      </c>
      <c r="AX294" s="4" t="str">
        <f t="shared" si="433"/>
        <v/>
      </c>
      <c r="AZ294" s="174"/>
      <c r="BA294" s="31"/>
      <c r="BB294" s="31">
        <f t="shared" si="437"/>
        <v>9803.508895421759</v>
      </c>
      <c r="BD294" s="31" t="str">
        <f>IFERROR(VLOOKUP(A294,'Title II Hold Harmless'!A$1:B$439,2, FALSE),"")</f>
        <v/>
      </c>
      <c r="BE294" s="31">
        <f t="shared" si="509"/>
        <v>626.59956839112033</v>
      </c>
      <c r="BF294" s="31">
        <f t="shared" si="510"/>
        <v>627.20584086437736</v>
      </c>
      <c r="BG294" s="31" t="str">
        <f t="shared" si="535"/>
        <v/>
      </c>
      <c r="BH294" s="31">
        <f t="shared" si="536"/>
        <v>627.20584086437736</v>
      </c>
    </row>
    <row r="295" spans="1:60" s="47" customFormat="1" x14ac:dyDescent="0.3">
      <c r="A295" s="1">
        <v>78980000</v>
      </c>
      <c r="B295" s="47">
        <f>VLOOKUP(C295,'NCES ID'!$A$2:$B$3136,2,FALSE)</f>
        <v>400383</v>
      </c>
      <c r="C295" s="47">
        <f>VLOOKUP(A295,'State ID'!$A$2:$B$713,2,FALSE)</f>
        <v>80299</v>
      </c>
      <c r="D295" s="191" t="s">
        <v>796</v>
      </c>
      <c r="E295" s="47" t="s">
        <v>7</v>
      </c>
      <c r="H295" s="4"/>
      <c r="I295" s="47">
        <f>VLOOKUP($C295,'Final SEA Counts'!$A$2:$F$709,5,FALSE)</f>
        <v>43</v>
      </c>
      <c r="J295" s="47">
        <f>VLOOKUP($C295,'Final SEA Counts'!$A$2:$F$709,6,FALSE)</f>
        <v>31</v>
      </c>
      <c r="K295" s="24">
        <f t="shared" si="522"/>
        <v>43</v>
      </c>
      <c r="L295" s="24">
        <f t="shared" si="521"/>
        <v>15.318376643775794</v>
      </c>
      <c r="M295" s="4">
        <f t="shared" si="523"/>
        <v>0.3562413172971115</v>
      </c>
      <c r="N295" s="31"/>
      <c r="O295" s="31"/>
      <c r="P295" s="31"/>
      <c r="Q295" s="31"/>
      <c r="R295" s="31"/>
      <c r="S295" s="31">
        <f t="shared" ref="S295" si="537">$L295*N$357</f>
        <v>7384.7044127792033</v>
      </c>
      <c r="T295" s="31">
        <f t="shared" ref="T295" si="538">$L295*O$357</f>
        <v>1522.0315037902801</v>
      </c>
      <c r="U295" s="31">
        <f t="shared" ref="U295" si="539">$L295*P$357</f>
        <v>4307.0136552827289</v>
      </c>
      <c r="V295" s="31">
        <f t="shared" ref="V295" si="540">$L295*Q$357</f>
        <v>4007.0422021856293</v>
      </c>
      <c r="W295" s="31">
        <f t="shared" ref="W295" si="541">IF(AND($L295&gt;9,$L295&gt;($K295*0.02)),S295,"")</f>
        <v>7384.7044127792033</v>
      </c>
      <c r="X295" s="31">
        <f t="shared" ref="X295" si="542">IF(W295="","",IF(OR($L295&gt;6500,$L295&gt;($K295*0.15)),T295,""))</f>
        <v>1522.0315037902801</v>
      </c>
      <c r="Y295" s="31">
        <f t="shared" ref="Y295" si="543">IF(AND($L295&gt;9,$L295&gt;($K295*0.05)),U295,"")</f>
        <v>4307.0136552827289</v>
      </c>
      <c r="Z295" s="31">
        <f t="shared" ref="Z295" si="544">IF(AND($L295&gt;9,$L295&gt;($K295*0.05)),V295,"")</f>
        <v>4007.0422021856293</v>
      </c>
      <c r="AA295" s="31">
        <f t="shared" ref="AA295" si="545">IF(W295="","",W295+W$357)</f>
        <v>7409.4541552602386</v>
      </c>
      <c r="AB295" s="31">
        <f t="shared" ref="AB295" si="546">IF(X295="","",X295+X$357)</f>
        <v>2109.2982788199283</v>
      </c>
      <c r="AC295" s="31">
        <f t="shared" ref="AC295" si="547">IF(Y295="","",Y295+Y$357)</f>
        <v>4346.8822248828255</v>
      </c>
      <c r="AD295" s="31">
        <f t="shared" ref="AD295" si="548">IF(Z295="","",Z295+Z$357)</f>
        <v>4044.1340374372744</v>
      </c>
      <c r="AE295" s="31">
        <f t="shared" ref="AE295" si="549">SUM(AA295:AD295)</f>
        <v>17909.768696400268</v>
      </c>
      <c r="AF295" s="31" t="str">
        <f>IFERROR(VLOOKUP(A295,'Allocations By Type'!$D$7:$F$491,3,FALSE),"")</f>
        <v/>
      </c>
      <c r="AG295" s="31" t="str">
        <f t="shared" ref="AG295" si="550">IF(AE295&gt;AF295,AE295*0.04,"")</f>
        <v/>
      </c>
      <c r="AH295" s="31" t="str">
        <f t="shared" ref="AH295" si="551">IF(AG295="","",IF((AE295-AF295)&gt;AG295,AG295,AE295-AF295))</f>
        <v/>
      </c>
      <c r="AI295" s="31">
        <f t="shared" ref="AI295" si="552">IF(AH295="",AE295,AE295-AH295)</f>
        <v>17909.768696400268</v>
      </c>
      <c r="AJ295" s="31">
        <f>AI295/$AI$577*'State Admin 1004(b)'!$B$30*0.01</f>
        <v>170.43830103932689</v>
      </c>
      <c r="AK295" s="31">
        <f t="shared" ref="AK295" si="553">AI295-AJ295</f>
        <v>17739.330395360939</v>
      </c>
      <c r="AL295" s="31">
        <f t="shared" ref="AL295" si="554">AK295*0.01</f>
        <v>177.3933039536094</v>
      </c>
      <c r="AM295" s="31">
        <f t="shared" ref="AM295" si="555">AK295-AL295</f>
        <v>17561.93709140733</v>
      </c>
      <c r="AP295" s="31"/>
      <c r="AQ295" s="4"/>
      <c r="AR295" s="4"/>
      <c r="AS295" s="4"/>
      <c r="AT295" s="4"/>
      <c r="AW295" s="31">
        <f t="shared" si="508"/>
        <v>17505.632872612721</v>
      </c>
      <c r="AX295" s="4"/>
      <c r="AZ295" s="174"/>
      <c r="BA295" s="31"/>
      <c r="BB295" s="31">
        <f t="shared" si="437"/>
        <v>17505.632872612721</v>
      </c>
      <c r="BD295" s="31" t="str">
        <f>IFERROR(VLOOKUP(A295,'Title II Hold Harmless'!A$1:B$439,2, FALSE),"")</f>
        <v/>
      </c>
      <c r="BE295" s="31">
        <f t="shared" si="509"/>
        <v>235.13424534059791</v>
      </c>
      <c r="BF295" s="31">
        <f t="shared" si="510"/>
        <v>235.36175175404168</v>
      </c>
      <c r="BG295" s="31"/>
      <c r="BH295" s="31">
        <f t="shared" si="536"/>
        <v>235.36175175404168</v>
      </c>
    </row>
    <row r="296" spans="1:60" x14ac:dyDescent="0.3">
      <c r="A296" s="1">
        <v>78219000</v>
      </c>
      <c r="B296" t="e">
        <f>VLOOKUP(C296,'NCES ID'!$A$2:$B$3136,2,FALSE)</f>
        <v>#N/A</v>
      </c>
      <c r="C296">
        <f>VLOOKUP(A296,'State ID'!$A$2:$B$713,2,FALSE)</f>
        <v>91935</v>
      </c>
      <c r="D296" s="147" t="s">
        <v>266</v>
      </c>
      <c r="E296" t="s">
        <v>7</v>
      </c>
      <c r="I296" s="47">
        <f>VLOOKUP($C296,'Final SEA Counts'!$A$2:$F$709,5,FALSE)</f>
        <v>254</v>
      </c>
      <c r="J296" s="47">
        <f>VLOOKUP($C296,'Final SEA Counts'!$A$2:$F$709,6,FALSE)</f>
        <v>137</v>
      </c>
      <c r="K296" s="24">
        <f t="shared" si="430"/>
        <v>254</v>
      </c>
      <c r="L296" s="24">
        <f t="shared" si="521"/>
        <v>67.697341941847867</v>
      </c>
      <c r="M296" s="4">
        <f t="shared" si="435"/>
        <v>0.26652496827499161</v>
      </c>
      <c r="N296" s="31" t="str">
        <f>IFERROR(VLOOKUP($B296,#REF!,8,FALSE),"")</f>
        <v/>
      </c>
      <c r="O296" s="31" t="str">
        <f>IFERROR(VLOOKUP($B296,#REF!,9,FALSE),"")</f>
        <v/>
      </c>
      <c r="P296" s="31" t="str">
        <f>IFERROR(VLOOKUP($B296,#REF!,10,FALSE),"")</f>
        <v/>
      </c>
      <c r="Q296" s="31" t="str">
        <f>IFERROR(VLOOKUP($B296,#REF!,11,FALSE),"")</f>
        <v/>
      </c>
      <c r="R296" s="31" t="str">
        <f>IFERROR(VLOOKUP($B296,#REF!,12,FALSE),"")</f>
        <v/>
      </c>
      <c r="S296" s="31">
        <f t="shared" ref="S296:S316" si="556">$L296*N$357</f>
        <v>32635.629179056479</v>
      </c>
      <c r="T296" s="31">
        <f t="shared" ref="T296:T316" si="557">$L296*O$357</f>
        <v>6726.3972909441418</v>
      </c>
      <c r="U296" s="31">
        <f t="shared" ref="U296:U316" si="558">$L296*P$357</f>
        <v>19034.221637862382</v>
      </c>
      <c r="V296" s="31">
        <f t="shared" ref="V296:V316" si="559">$L296*Q$357</f>
        <v>17708.541345142941</v>
      </c>
      <c r="W296" s="31">
        <f t="shared" si="419"/>
        <v>32635.629179056479</v>
      </c>
      <c r="X296" s="31">
        <f t="shared" si="420"/>
        <v>6726.3972909441418</v>
      </c>
      <c r="Y296" s="31">
        <f t="shared" si="421"/>
        <v>19034.221637862382</v>
      </c>
      <c r="Z296" s="31">
        <f t="shared" si="422"/>
        <v>17708.541345142941</v>
      </c>
      <c r="AA296" s="31">
        <f t="shared" ref="AA296:AA316" si="560">IF(W296="","",W296+W$357)</f>
        <v>32660.378921537515</v>
      </c>
      <c r="AB296" s="31">
        <f t="shared" ref="AB296:AB316" si="561">IF(X296="","",X296+X$357)</f>
        <v>7313.6640659737895</v>
      </c>
      <c r="AC296" s="31">
        <f t="shared" ref="AC296:AC316" si="562">IF(Y296="","",Y296+Y$357)</f>
        <v>19074.090207462479</v>
      </c>
      <c r="AD296" s="31">
        <f t="shared" ref="AD296:AD316" si="563">IF(Z296="","",Z296+Z$357)</f>
        <v>17745.633180394587</v>
      </c>
      <c r="AE296" s="31">
        <f t="shared" si="423"/>
        <v>76793.766375368374</v>
      </c>
      <c r="AF296" s="31">
        <f>IFERROR(VLOOKUP(A296,'Allocations By Type'!$D$7:$F$491,3,FALSE),"")</f>
        <v>32327.35</v>
      </c>
      <c r="AG296" s="31">
        <f t="shared" si="424"/>
        <v>3071.750655014735</v>
      </c>
      <c r="AH296" s="31">
        <f t="shared" si="507"/>
        <v>3071.750655014735</v>
      </c>
      <c r="AI296" s="31">
        <f t="shared" si="426"/>
        <v>73722.015720353636</v>
      </c>
      <c r="AJ296" s="31">
        <f>AI296/$AI$577*'State Admin 1004(b)'!$B$30*0.01</f>
        <v>701.5755100788715</v>
      </c>
      <c r="AK296" s="31">
        <f t="shared" si="427"/>
        <v>73020.44021027477</v>
      </c>
      <c r="AL296" s="31">
        <f t="shared" si="428"/>
        <v>730.20440210274774</v>
      </c>
      <c r="AM296" s="31">
        <f t="shared" si="429"/>
        <v>72290.235808172016</v>
      </c>
      <c r="AP296" s="31"/>
      <c r="AQ296" s="4">
        <f t="shared" si="434"/>
        <v>2.2361943001258076</v>
      </c>
      <c r="AW296" s="31">
        <f t="shared" si="508"/>
        <v>72058.470642833359</v>
      </c>
      <c r="AX296" s="4">
        <f t="shared" si="433"/>
        <v>2.2290249786274892</v>
      </c>
      <c r="AZ296" s="174" t="str">
        <f>IFERROR(IF(VLOOKUP(A296,#REF!,11,FALSE)=0,"",VLOOKUP(A296,#REF!,11,FALSE)),"")</f>
        <v/>
      </c>
      <c r="BA296" s="31" t="str">
        <f t="shared" si="436"/>
        <v/>
      </c>
      <c r="BB296" s="31">
        <f t="shared" si="437"/>
        <v>72058.470642833359</v>
      </c>
      <c r="BD296" s="31" t="str">
        <f>IFERROR(VLOOKUP(A296,'Title II Hold Harmless'!A$1:B$439,2, FALSE),"")</f>
        <v/>
      </c>
      <c r="BE296" s="31">
        <f t="shared" si="509"/>
        <v>1090.6228837394856</v>
      </c>
      <c r="BF296" s="31">
        <f t="shared" si="510"/>
        <v>1091.6781264598296</v>
      </c>
      <c r="BG296" s="31" t="str">
        <f t="shared" si="440"/>
        <v/>
      </c>
      <c r="BH296" s="31">
        <f t="shared" si="441"/>
        <v>1091.6781264598296</v>
      </c>
    </row>
    <row r="297" spans="1:60" x14ac:dyDescent="0.3">
      <c r="A297" s="1">
        <v>78647000</v>
      </c>
      <c r="B297">
        <f>VLOOKUP(C297,'NCES ID'!$A$2:$B$3136,2,FALSE)</f>
        <v>400041</v>
      </c>
      <c r="C297">
        <f>VLOOKUP(A297,'State ID'!$A$2:$B$713,2,FALSE)</f>
        <v>4314</v>
      </c>
      <c r="D297" s="147" t="s">
        <v>270</v>
      </c>
      <c r="E297" t="s">
        <v>7</v>
      </c>
      <c r="I297" s="47">
        <f>VLOOKUP($C297,'Final SEA Counts'!$A$2:$F$709,5,FALSE)</f>
        <v>195</v>
      </c>
      <c r="J297" s="47">
        <f>VLOOKUP($C297,'Final SEA Counts'!$A$2:$F$709,6,FALSE)</f>
        <v>185</v>
      </c>
      <c r="K297" s="24">
        <f t="shared" si="430"/>
        <v>195</v>
      </c>
      <c r="L297" s="24">
        <f t="shared" si="521"/>
        <v>91.416118680597478</v>
      </c>
      <c r="M297" s="4">
        <f t="shared" si="435"/>
        <v>0.46880060861844858</v>
      </c>
      <c r="N297" s="31" t="str">
        <f>IFERROR(VLOOKUP($B297,#REF!,8,FALSE),"")</f>
        <v/>
      </c>
      <c r="O297" s="31" t="str">
        <f>IFERROR(VLOOKUP($B297,#REF!,9,FALSE),"")</f>
        <v/>
      </c>
      <c r="P297" s="31" t="str">
        <f>IFERROR(VLOOKUP($B297,#REF!,10,FALSE),"")</f>
        <v/>
      </c>
      <c r="Q297" s="31" t="str">
        <f>IFERROR(VLOOKUP($B297,#REF!,11,FALSE),"")</f>
        <v/>
      </c>
      <c r="R297" s="31" t="str">
        <f>IFERROR(VLOOKUP($B297,#REF!,12,FALSE),"")</f>
        <v/>
      </c>
      <c r="S297" s="31">
        <f t="shared" si="556"/>
        <v>44070.010205295242</v>
      </c>
      <c r="T297" s="31">
        <f t="shared" si="557"/>
        <v>9083.0912322968325</v>
      </c>
      <c r="U297" s="31">
        <f t="shared" si="558"/>
        <v>25703.146007332412</v>
      </c>
      <c r="V297" s="31">
        <f t="shared" si="559"/>
        <v>23912.993787236817</v>
      </c>
      <c r="W297" s="31">
        <f t="shared" si="419"/>
        <v>44070.010205295242</v>
      </c>
      <c r="X297" s="31">
        <f t="shared" si="420"/>
        <v>9083.0912322968325</v>
      </c>
      <c r="Y297" s="31">
        <f t="shared" si="421"/>
        <v>25703.146007332412</v>
      </c>
      <c r="Z297" s="31">
        <f t="shared" si="422"/>
        <v>23912.993787236817</v>
      </c>
      <c r="AA297" s="31">
        <f t="shared" si="560"/>
        <v>44094.759947776278</v>
      </c>
      <c r="AB297" s="31">
        <f t="shared" si="561"/>
        <v>9670.3580073264802</v>
      </c>
      <c r="AC297" s="31">
        <f t="shared" si="562"/>
        <v>25743.01457693251</v>
      </c>
      <c r="AD297" s="31">
        <f t="shared" si="563"/>
        <v>23950.085622488463</v>
      </c>
      <c r="AE297" s="31">
        <f t="shared" si="423"/>
        <v>103458.21815452373</v>
      </c>
      <c r="AF297" s="31">
        <f>IFERROR(VLOOKUP(A297,'Allocations By Type'!$D$7:$F$491,3,FALSE),"")</f>
        <v>111463.67999999999</v>
      </c>
      <c r="AG297" s="31" t="str">
        <f t="shared" si="424"/>
        <v/>
      </c>
      <c r="AH297" s="31" t="str">
        <f t="shared" si="507"/>
        <v/>
      </c>
      <c r="AI297" s="31">
        <f t="shared" si="426"/>
        <v>103458.21815452373</v>
      </c>
      <c r="AJ297" s="31">
        <f>AI297/$AI$577*'State Admin 1004(b)'!$B$30*0.01</f>
        <v>984.56005935784196</v>
      </c>
      <c r="AK297" s="31">
        <f t="shared" si="427"/>
        <v>102473.65809516588</v>
      </c>
      <c r="AL297" s="31">
        <f t="shared" si="428"/>
        <v>1024.7365809516589</v>
      </c>
      <c r="AM297" s="31">
        <f t="shared" si="429"/>
        <v>101448.92151421422</v>
      </c>
      <c r="AP297" s="31"/>
      <c r="AQ297" s="4">
        <f t="shared" si="434"/>
        <v>0.91015227125296982</v>
      </c>
      <c r="AW297" s="31">
        <f t="shared" si="508"/>
        <v>101123.67252580918</v>
      </c>
      <c r="AX297" s="4">
        <f t="shared" si="433"/>
        <v>0.90723428946369955</v>
      </c>
      <c r="AZ297" s="174" t="str">
        <f>IFERROR(IF(VLOOKUP(A297,#REF!,11,FALSE)=0,"",VLOOKUP(A297,#REF!,11,FALSE)),"")</f>
        <v/>
      </c>
      <c r="BA297" s="31" t="str">
        <f t="shared" si="436"/>
        <v/>
      </c>
      <c r="BB297" s="31">
        <f t="shared" si="437"/>
        <v>101123.67252580918</v>
      </c>
      <c r="BD297" s="31" t="str">
        <f>IFERROR(VLOOKUP(A297,'Title II Hold Harmless'!A$1:B$439,2, FALSE),"")</f>
        <v/>
      </c>
      <c r="BE297" s="31">
        <f t="shared" si="509"/>
        <v>1353.6344510026247</v>
      </c>
      <c r="BF297" s="31">
        <f t="shared" si="510"/>
        <v>1354.9441731088855</v>
      </c>
      <c r="BG297" s="31" t="str">
        <f t="shared" si="440"/>
        <v/>
      </c>
      <c r="BH297" s="31">
        <f t="shared" si="441"/>
        <v>1354.9441731088855</v>
      </c>
    </row>
    <row r="298" spans="1:60" x14ac:dyDescent="0.3">
      <c r="A298" s="1">
        <v>70199000</v>
      </c>
      <c r="B298">
        <f>VLOOKUP(C298,'NCES ID'!$A$2:$B$3136,2,FALSE)</f>
        <v>403860</v>
      </c>
      <c r="C298">
        <f>VLOOKUP(A298,'State ID'!$A$2:$B$713,2,FALSE)</f>
        <v>4234</v>
      </c>
      <c r="D298" s="147" t="s">
        <v>272</v>
      </c>
      <c r="E298" t="s">
        <v>7</v>
      </c>
      <c r="I298" s="47">
        <f>VLOOKUP($C298,'Final SEA Counts'!$A$2:$F$709,5,FALSE)</f>
        <v>926</v>
      </c>
      <c r="J298" s="47">
        <f>VLOOKUP($C298,'Final SEA Counts'!$A$2:$F$709,6,FALSE)</f>
        <v>799</v>
      </c>
      <c r="K298" s="24">
        <f t="shared" si="430"/>
        <v>926</v>
      </c>
      <c r="L298" s="24">
        <f t="shared" si="521"/>
        <v>394.81880446376965</v>
      </c>
      <c r="M298" s="4">
        <f t="shared" si="435"/>
        <v>0.42637019920493485</v>
      </c>
      <c r="N298" s="31" t="str">
        <f>IFERROR(VLOOKUP($B298,#REF!,8,FALSE),"")</f>
        <v/>
      </c>
      <c r="O298" s="31" t="str">
        <f>IFERROR(VLOOKUP($B298,#REF!,9,FALSE),"")</f>
        <v/>
      </c>
      <c r="P298" s="31" t="str">
        <f>IFERROR(VLOOKUP($B298,#REF!,10,FALSE),"")</f>
        <v/>
      </c>
      <c r="Q298" s="31" t="str">
        <f>IFERROR(VLOOKUP($B298,#REF!,11,FALSE),"")</f>
        <v/>
      </c>
      <c r="R298" s="31" t="str">
        <f>IFERROR(VLOOKUP($B298,#REF!,12,FALSE),"")</f>
        <v/>
      </c>
      <c r="S298" s="31">
        <f t="shared" si="556"/>
        <v>190334.80083259946</v>
      </c>
      <c r="T298" s="31">
        <f t="shared" si="557"/>
        <v>39229.134565433349</v>
      </c>
      <c r="U298" s="31">
        <f t="shared" si="558"/>
        <v>111009.80356680322</v>
      </c>
      <c r="V298" s="31">
        <f t="shared" si="559"/>
        <v>103278.28127568767</v>
      </c>
      <c r="W298" s="31">
        <f t="shared" si="419"/>
        <v>190334.80083259946</v>
      </c>
      <c r="X298" s="31">
        <f t="shared" si="420"/>
        <v>39229.134565433349</v>
      </c>
      <c r="Y298" s="31">
        <f t="shared" si="421"/>
        <v>111009.80356680322</v>
      </c>
      <c r="Z298" s="31">
        <f t="shared" si="422"/>
        <v>103278.28127568767</v>
      </c>
      <c r="AA298" s="31">
        <f t="shared" si="560"/>
        <v>190359.5505750805</v>
      </c>
      <c r="AB298" s="31">
        <f t="shared" si="561"/>
        <v>39816.401340462995</v>
      </c>
      <c r="AC298" s="31">
        <f t="shared" si="562"/>
        <v>111049.67213640331</v>
      </c>
      <c r="AD298" s="31">
        <f t="shared" si="563"/>
        <v>103315.37311093931</v>
      </c>
      <c r="AE298" s="31">
        <f t="shared" si="423"/>
        <v>444540.99716288608</v>
      </c>
      <c r="AF298" s="31">
        <f>IFERROR(VLOOKUP(A298,'Allocations By Type'!$D$7:$F$491,3,FALSE),"")</f>
        <v>169144.22</v>
      </c>
      <c r="AG298" s="31">
        <f t="shared" si="424"/>
        <v>17781.639886515444</v>
      </c>
      <c r="AH298" s="31">
        <f t="shared" si="507"/>
        <v>17781.639886515444</v>
      </c>
      <c r="AI298" s="31">
        <f t="shared" si="426"/>
        <v>426759.35727637063</v>
      </c>
      <c r="AJ298" s="31">
        <f>AI298/$AI$577*'State Admin 1004(b)'!$B$30*0.01</f>
        <v>4061.2551194722655</v>
      </c>
      <c r="AK298" s="31">
        <f t="shared" si="427"/>
        <v>422698.10215689836</v>
      </c>
      <c r="AL298" s="31">
        <f t="shared" si="428"/>
        <v>4226.981021568984</v>
      </c>
      <c r="AM298" s="31">
        <f t="shared" si="429"/>
        <v>418471.12113532936</v>
      </c>
      <c r="AP298" s="31"/>
      <c r="AQ298" s="4">
        <f t="shared" si="434"/>
        <v>2.4740491938496589</v>
      </c>
      <c r="AW298" s="31">
        <f t="shared" si="508"/>
        <v>417129.48726880352</v>
      </c>
      <c r="AX298" s="4">
        <f t="shared" si="433"/>
        <v>2.4661173007792021</v>
      </c>
      <c r="AZ298" s="174" t="str">
        <f>IFERROR(IF(VLOOKUP(A298,#REF!,11,FALSE)=0,"",VLOOKUP(A298,#REF!,11,FALSE)),"")</f>
        <v/>
      </c>
      <c r="BA298" s="31" t="str">
        <f t="shared" si="436"/>
        <v/>
      </c>
      <c r="BB298" s="31">
        <f t="shared" si="437"/>
        <v>417129.48726880352</v>
      </c>
      <c r="BD298" s="31">
        <f>IFERROR(VLOOKUP(A298,'Title II Hold Harmless'!A$1:B$439,2, FALSE),"")</f>
        <v>60777</v>
      </c>
      <c r="BE298" s="31">
        <f t="shared" si="509"/>
        <v>66690.688354252256</v>
      </c>
      <c r="BF298" s="31">
        <f t="shared" si="510"/>
        <v>66755.215574843169</v>
      </c>
      <c r="BG298" s="31" t="str">
        <f t="shared" si="440"/>
        <v/>
      </c>
      <c r="BH298" s="31">
        <f t="shared" si="441"/>
        <v>66755.215574843169</v>
      </c>
    </row>
    <row r="299" spans="1:60" x14ac:dyDescent="0.3">
      <c r="A299" s="1">
        <v>78592000</v>
      </c>
      <c r="B299">
        <f>VLOOKUP(C299,'NCES ID'!$A$2:$B$3136,2,FALSE)</f>
        <v>400875</v>
      </c>
      <c r="C299">
        <f>VLOOKUP(A299,'State ID'!$A$2:$B$713,2,FALSE)</f>
        <v>90861</v>
      </c>
      <c r="D299" s="147" t="s">
        <v>275</v>
      </c>
      <c r="E299" t="s">
        <v>7</v>
      </c>
      <c r="I299" s="47">
        <f>VLOOKUP($C299,'Final SEA Counts'!$A$2:$F$709,5,FALSE)</f>
        <v>398</v>
      </c>
      <c r="J299" s="47">
        <f>VLOOKUP($C299,'Final SEA Counts'!$A$2:$F$709,6,FALSE)</f>
        <v>311</v>
      </c>
      <c r="K299" s="24">
        <f t="shared" si="430"/>
        <v>398</v>
      </c>
      <c r="L299" s="24">
        <f t="shared" si="521"/>
        <v>153.67790761981522</v>
      </c>
      <c r="M299" s="4">
        <f t="shared" si="435"/>
        <v>0.38612539602968649</v>
      </c>
      <c r="N299" s="31" t="str">
        <f>IFERROR(VLOOKUP($B299,#REF!,8,FALSE),"")</f>
        <v/>
      </c>
      <c r="O299" s="31" t="str">
        <f>IFERROR(VLOOKUP($B299,#REF!,9,FALSE),"")</f>
        <v/>
      </c>
      <c r="P299" s="31" t="str">
        <f>IFERROR(VLOOKUP($B299,#REF!,10,FALSE),"")</f>
        <v/>
      </c>
      <c r="Q299" s="31" t="str">
        <f>IFERROR(VLOOKUP($B299,#REF!,11,FALSE),"")</f>
        <v/>
      </c>
      <c r="R299" s="31" t="str">
        <f>IFERROR(VLOOKUP($B299,#REF!,12,FALSE),"")</f>
        <v/>
      </c>
      <c r="S299" s="31">
        <f t="shared" si="556"/>
        <v>74085.260399171995</v>
      </c>
      <c r="T299" s="31">
        <f t="shared" si="557"/>
        <v>15269.412828347649</v>
      </c>
      <c r="U299" s="31">
        <f t="shared" si="558"/>
        <v>43209.072477191243</v>
      </c>
      <c r="V299" s="31">
        <f t="shared" si="559"/>
        <v>40199.681447733245</v>
      </c>
      <c r="W299" s="31">
        <f t="shared" si="419"/>
        <v>74085.260399171995</v>
      </c>
      <c r="X299" s="31">
        <f t="shared" si="420"/>
        <v>15269.412828347649</v>
      </c>
      <c r="Y299" s="31">
        <f t="shared" si="421"/>
        <v>43209.072477191243</v>
      </c>
      <c r="Z299" s="31">
        <f t="shared" si="422"/>
        <v>40199.681447733245</v>
      </c>
      <c r="AA299" s="31">
        <f t="shared" si="560"/>
        <v>74110.010141653023</v>
      </c>
      <c r="AB299" s="31">
        <f t="shared" si="561"/>
        <v>15856.679603377297</v>
      </c>
      <c r="AC299" s="31">
        <f t="shared" si="562"/>
        <v>43248.94104679134</v>
      </c>
      <c r="AD299" s="31">
        <f t="shared" si="563"/>
        <v>40236.77328298489</v>
      </c>
      <c r="AE299" s="31">
        <f t="shared" si="423"/>
        <v>173452.40407480655</v>
      </c>
      <c r="AF299" s="31">
        <f>IFERROR(VLOOKUP(A299,'Allocations By Type'!$D$7:$F$491,3,FALSE),"")</f>
        <v>131897.73000000001</v>
      </c>
      <c r="AG299" s="31">
        <f t="shared" si="424"/>
        <v>6938.0961629922622</v>
      </c>
      <c r="AH299" s="31">
        <f t="shared" si="507"/>
        <v>6938.0961629922622</v>
      </c>
      <c r="AI299" s="31">
        <f t="shared" si="426"/>
        <v>166514.30791181428</v>
      </c>
      <c r="AJ299" s="31">
        <f>AI299/$AI$577*'State Admin 1004(b)'!$B$30*0.01</f>
        <v>1584.633292608253</v>
      </c>
      <c r="AK299" s="31">
        <f t="shared" si="427"/>
        <v>164929.67461920602</v>
      </c>
      <c r="AL299" s="31">
        <f t="shared" si="428"/>
        <v>1649.2967461920603</v>
      </c>
      <c r="AM299" s="31">
        <f t="shared" si="429"/>
        <v>163280.37787301396</v>
      </c>
      <c r="AP299" s="31"/>
      <c r="AQ299" s="4">
        <f t="shared" si="434"/>
        <v>1.2379316753443288</v>
      </c>
      <c r="AW299" s="31">
        <f t="shared" si="508"/>
        <v>162756.89495237835</v>
      </c>
      <c r="AX299" s="4">
        <f t="shared" si="433"/>
        <v>1.2339628206821933</v>
      </c>
      <c r="AZ299" s="174" t="str">
        <f>IFERROR(IF(VLOOKUP(A299,#REF!,11,FALSE)=0,"",VLOOKUP(A299,#REF!,11,FALSE)),"")</f>
        <v/>
      </c>
      <c r="BA299" s="31" t="str">
        <f t="shared" si="436"/>
        <v/>
      </c>
      <c r="BB299" s="31">
        <f t="shared" si="437"/>
        <v>162756.89495237835</v>
      </c>
      <c r="BD299" s="31" t="str">
        <f>IFERROR(VLOOKUP(A299,'Title II Hold Harmless'!A$1:B$439,2, FALSE),"")</f>
        <v/>
      </c>
      <c r="BE299" s="31">
        <f t="shared" si="509"/>
        <v>2332.0575039452251</v>
      </c>
      <c r="BF299" s="31">
        <f t="shared" si="510"/>
        <v>2334.313908740276</v>
      </c>
      <c r="BG299" s="31" t="str">
        <f t="shared" si="440"/>
        <v/>
      </c>
      <c r="BH299" s="31">
        <f t="shared" si="441"/>
        <v>2334.313908740276</v>
      </c>
    </row>
    <row r="300" spans="1:60" x14ac:dyDescent="0.3">
      <c r="A300" s="1">
        <v>78743000</v>
      </c>
      <c r="B300">
        <f>VLOOKUP(C300,'NCES ID'!$A$2:$B$3136,2,FALSE)</f>
        <v>400614</v>
      </c>
      <c r="C300">
        <f>VLOOKUP(A300,'State ID'!$A$2:$B$713,2,FALSE)</f>
        <v>81174</v>
      </c>
      <c r="D300" s="147" t="s">
        <v>279</v>
      </c>
      <c r="E300" t="s">
        <v>7</v>
      </c>
      <c r="I300" s="47">
        <f>VLOOKUP($C300,'Final SEA Counts'!$A$2:$F$709,5,FALSE)</f>
        <v>90</v>
      </c>
      <c r="J300" s="47">
        <f>VLOOKUP($C300,'Final SEA Counts'!$A$2:$F$709,6,FALSE)</f>
        <v>87</v>
      </c>
      <c r="K300" s="24">
        <f t="shared" si="430"/>
        <v>90</v>
      </c>
      <c r="L300" s="24">
        <f t="shared" si="521"/>
        <v>42.990282838983681</v>
      </c>
      <c r="M300" s="4">
        <f t="shared" si="435"/>
        <v>0.47766980932204089</v>
      </c>
      <c r="N300" s="31" t="str">
        <f>IFERROR(VLOOKUP($B300,#REF!,8,FALSE),"")</f>
        <v/>
      </c>
      <c r="O300" s="31" t="str">
        <f>IFERROR(VLOOKUP($B300,#REF!,9,FALSE),"")</f>
        <v/>
      </c>
      <c r="P300" s="31" t="str">
        <f>IFERROR(VLOOKUP($B300,#REF!,10,FALSE),"")</f>
        <v/>
      </c>
      <c r="Q300" s="31" t="str">
        <f>IFERROR(VLOOKUP($B300,#REF!,11,FALSE),"")</f>
        <v/>
      </c>
      <c r="R300" s="31" t="str">
        <f>IFERROR(VLOOKUP($B300,#REF!,12,FALSE),"")</f>
        <v/>
      </c>
      <c r="S300" s="31">
        <f t="shared" si="556"/>
        <v>20724.815610057765</v>
      </c>
      <c r="T300" s="31">
        <f t="shared" si="557"/>
        <v>4271.5077687017538</v>
      </c>
      <c r="U300" s="31">
        <f t="shared" si="558"/>
        <v>12087.425419664432</v>
      </c>
      <c r="V300" s="31">
        <f t="shared" si="559"/>
        <v>11245.570051295153</v>
      </c>
      <c r="W300" s="31">
        <f t="shared" si="419"/>
        <v>20724.815610057765</v>
      </c>
      <c r="X300" s="31">
        <f t="shared" si="420"/>
        <v>4271.5077687017538</v>
      </c>
      <c r="Y300" s="31">
        <f t="shared" si="421"/>
        <v>12087.425419664432</v>
      </c>
      <c r="Z300" s="31">
        <f t="shared" si="422"/>
        <v>11245.570051295153</v>
      </c>
      <c r="AA300" s="31">
        <f t="shared" si="560"/>
        <v>20749.565352538801</v>
      </c>
      <c r="AB300" s="31">
        <f t="shared" si="561"/>
        <v>4858.7745437314015</v>
      </c>
      <c r="AC300" s="31">
        <f t="shared" si="562"/>
        <v>12127.293989264528</v>
      </c>
      <c r="AD300" s="31">
        <f t="shared" si="563"/>
        <v>11282.661886546799</v>
      </c>
      <c r="AE300" s="31">
        <f t="shared" si="423"/>
        <v>49018.295772081525</v>
      </c>
      <c r="AF300" s="31">
        <f>IFERROR(VLOOKUP(A300,'Allocations By Type'!$D$7:$F$491,3,FALSE),"")</f>
        <v>46043.68</v>
      </c>
      <c r="AG300" s="31">
        <f t="shared" si="424"/>
        <v>1960.731830883261</v>
      </c>
      <c r="AH300" s="31">
        <f t="shared" si="507"/>
        <v>1960.731830883261</v>
      </c>
      <c r="AI300" s="31">
        <f t="shared" si="426"/>
        <v>47057.563941198263</v>
      </c>
      <c r="AJ300" s="31">
        <f>AI300/$AI$577*'State Admin 1004(b)'!$B$30*0.01</f>
        <v>447.8232737198536</v>
      </c>
      <c r="AK300" s="31">
        <f t="shared" si="427"/>
        <v>46609.740667478407</v>
      </c>
      <c r="AL300" s="31">
        <f t="shared" si="428"/>
        <v>466.09740667478405</v>
      </c>
      <c r="AM300" s="31">
        <f t="shared" si="429"/>
        <v>46143.643260803619</v>
      </c>
      <c r="AP300" s="31"/>
      <c r="AQ300" s="4">
        <f t="shared" si="434"/>
        <v>1.0021710528090635</v>
      </c>
      <c r="AW300" s="31">
        <f t="shared" si="508"/>
        <v>45995.705036642241</v>
      </c>
      <c r="AX300" s="4">
        <f t="shared" si="433"/>
        <v>0.99895805540830451</v>
      </c>
      <c r="BA300" s="31" t="str">
        <f t="shared" si="436"/>
        <v/>
      </c>
      <c r="BB300" s="31">
        <f t="shared" si="437"/>
        <v>45995.705036642241</v>
      </c>
      <c r="BD300" s="31" t="str">
        <f>IFERROR(VLOOKUP(A300,'Title II Hold Harmless'!A$1:B$439,2, FALSE),"")</f>
        <v/>
      </c>
      <c r="BE300" s="31">
        <f t="shared" si="509"/>
        <v>635.20370451372139</v>
      </c>
      <c r="BF300" s="31">
        <f t="shared" si="510"/>
        <v>635.81830200210834</v>
      </c>
      <c r="BG300" s="31" t="str">
        <f t="shared" si="440"/>
        <v/>
      </c>
      <c r="BH300" s="31">
        <f t="shared" si="441"/>
        <v>635.81830200210834</v>
      </c>
    </row>
    <row r="301" spans="1:60" s="47" customFormat="1" x14ac:dyDescent="0.3">
      <c r="A301" s="1">
        <v>78906000</v>
      </c>
      <c r="B301" s="47">
        <f>VLOOKUP(C301,'NCES ID'!$A$2:$B$3136,2,FALSE)</f>
        <v>400238</v>
      </c>
      <c r="C301" s="47">
        <f>VLOOKUP(A301,'State ID'!$A$2:$B$713,2,FALSE)</f>
        <v>5181</v>
      </c>
      <c r="D301" s="192" t="s">
        <v>764</v>
      </c>
      <c r="E301" s="47" t="s">
        <v>7</v>
      </c>
      <c r="H301" s="4"/>
      <c r="I301" s="47">
        <f>VLOOKUP($C301,'AzEDS FY17 12-15-16'!$A$2:$D$713,3,FALSE)</f>
        <v>255</v>
      </c>
      <c r="J301" s="47">
        <f>VLOOKUP($C301,'AzEDS FY17 12-15-16'!$A$2:$D$713,4,FALSE)</f>
        <v>71</v>
      </c>
      <c r="K301" s="24">
        <f t="shared" ref="K301" si="564">I301</f>
        <v>255</v>
      </c>
      <c r="L301" s="24">
        <f t="shared" si="521"/>
        <v>35.08402392606714</v>
      </c>
      <c r="M301" s="4">
        <f t="shared" ref="M301" si="565">L301/K301</f>
        <v>0.13758440755320447</v>
      </c>
      <c r="N301" s="31"/>
      <c r="O301" s="31"/>
      <c r="P301" s="31"/>
      <c r="Q301" s="31"/>
      <c r="R301" s="31"/>
      <c r="S301" s="31">
        <f t="shared" si="556"/>
        <v>16913.355267978175</v>
      </c>
      <c r="T301" s="31">
        <f t="shared" si="557"/>
        <v>3485.9431215841901</v>
      </c>
      <c r="U301" s="31">
        <f t="shared" si="558"/>
        <v>9864.450629841087</v>
      </c>
      <c r="V301" s="31">
        <f t="shared" si="559"/>
        <v>9177.419237263859</v>
      </c>
      <c r="W301" s="31">
        <f t="shared" ref="W301" si="566">IF(AND($L301&gt;9,$L301&gt;($K301*0.02)),S301,"")</f>
        <v>16913.355267978175</v>
      </c>
      <c r="X301" s="31" t="str">
        <f t="shared" ref="X301" si="567">IF(W301="","",IF(OR($L301&gt;6500,$L301&gt;($K301*0.15)),T301,""))</f>
        <v/>
      </c>
      <c r="Y301" s="31">
        <f t="shared" ref="Y301" si="568">IF(AND($L301&gt;9,$L301&gt;($K301*0.05)),U301,"")</f>
        <v>9864.450629841087</v>
      </c>
      <c r="Z301" s="31">
        <f t="shared" ref="Z301" si="569">IF(AND($L301&gt;9,$L301&gt;($K301*0.05)),V301,"")</f>
        <v>9177.419237263859</v>
      </c>
      <c r="AA301" s="31">
        <f t="shared" si="560"/>
        <v>16938.10501045921</v>
      </c>
      <c r="AB301" s="31" t="str">
        <f t="shared" si="561"/>
        <v/>
      </c>
      <c r="AC301" s="31">
        <f t="shared" si="562"/>
        <v>9904.3191994411827</v>
      </c>
      <c r="AD301" s="31">
        <f t="shared" si="563"/>
        <v>9214.5110725155046</v>
      </c>
      <c r="AE301" s="31">
        <f t="shared" ref="AE301" si="570">SUM(AA301:AD301)</f>
        <v>36056.9352824159</v>
      </c>
      <c r="AF301" s="31" t="str">
        <f>IFERROR(VLOOKUP(A301,'Allocations By Type'!$D$7:$F$491,3,FALSE),"")</f>
        <v/>
      </c>
      <c r="AG301" s="31" t="str">
        <f t="shared" ref="AG301" si="571">IF(AE301&gt;AF301,AE301*0.04,"")</f>
        <v/>
      </c>
      <c r="AH301" s="31" t="str">
        <f t="shared" ref="AH301" si="572">IF(AG301="","",IF((AE301-AF301)&gt;AG301,AG301,AE301-AF301))</f>
        <v/>
      </c>
      <c r="AI301" s="31">
        <f t="shared" ref="AI301" si="573">IF(AH301="",AE301,AE301-AH301)</f>
        <v>36056.9352824159</v>
      </c>
      <c r="AJ301" s="31">
        <f>AI301/$AI$577*'State Admin 1004(b)'!$B$30*0.01</f>
        <v>343.13579892604218</v>
      </c>
      <c r="AK301" s="31">
        <f t="shared" ref="AK301" si="574">AI301-AJ301</f>
        <v>35713.799483489856</v>
      </c>
      <c r="AL301" s="31">
        <f t="shared" ref="AL301" si="575">AK301*0.01</f>
        <v>357.13799483489856</v>
      </c>
      <c r="AM301" s="31">
        <f t="shared" ref="AM301" si="576">AK301-AL301</f>
        <v>35356.661488654958</v>
      </c>
      <c r="AP301" s="31"/>
      <c r="AQ301" s="4" t="str">
        <f t="shared" si="434"/>
        <v/>
      </c>
      <c r="AR301" s="4"/>
      <c r="AS301" s="4"/>
      <c r="AT301" s="4"/>
      <c r="AW301" s="31">
        <f t="shared" si="508"/>
        <v>35243.306726367482</v>
      </c>
      <c r="AX301" s="4" t="str">
        <f t="shared" si="433"/>
        <v/>
      </c>
      <c r="AZ301" s="174"/>
      <c r="BA301" s="31"/>
      <c r="BB301" s="31">
        <f t="shared" si="437"/>
        <v>35243.306726367482</v>
      </c>
      <c r="BD301" s="31" t="str">
        <f>IFERROR(VLOOKUP(A301,'Title II Hold Harmless'!A$1:B$439,2, FALSE),"")</f>
        <v/>
      </c>
      <c r="BE301" s="31">
        <f t="shared" si="509"/>
        <v>664.49740363214266</v>
      </c>
      <c r="BF301" s="31">
        <f t="shared" si="510"/>
        <v>665.14034452245858</v>
      </c>
      <c r="BG301" s="31"/>
      <c r="BH301" s="31">
        <f t="shared" si="441"/>
        <v>665.14034452245858</v>
      </c>
    </row>
    <row r="302" spans="1:60" x14ac:dyDescent="0.3">
      <c r="A302" s="1">
        <v>78976000</v>
      </c>
      <c r="B302">
        <f>VLOOKUP(C302,'NCES ID'!$A$2:$B$3136,2,FALSE)</f>
        <v>400370</v>
      </c>
      <c r="C302">
        <f>VLOOKUP(A302,'State ID'!$A$2:$B$713,2,FALSE)</f>
        <v>79994</v>
      </c>
      <c r="D302" s="147" t="s">
        <v>286</v>
      </c>
      <c r="E302" t="s">
        <v>7</v>
      </c>
      <c r="I302" s="47">
        <f>VLOOKUP($C302,'Final SEA Counts'!$A$2:$F$709,5,FALSE)</f>
        <v>110</v>
      </c>
      <c r="J302" s="47">
        <f>VLOOKUP($C302,'Final SEA Counts'!$A$2:$F$709,6,FALSE)</f>
        <v>96</v>
      </c>
      <c r="K302" s="24">
        <f t="shared" si="430"/>
        <v>110</v>
      </c>
      <c r="L302" s="24">
        <f t="shared" si="521"/>
        <v>47.437553477499236</v>
      </c>
      <c r="M302" s="4">
        <f t="shared" si="435"/>
        <v>0.43125048615908396</v>
      </c>
      <c r="N302" s="31" t="str">
        <f>IFERROR(VLOOKUP($B302,#REF!,8,FALSE),"")</f>
        <v/>
      </c>
      <c r="O302" s="31" t="str">
        <f>IFERROR(VLOOKUP($B302,#REF!,9,FALSE),"")</f>
        <v/>
      </c>
      <c r="P302" s="31" t="str">
        <f>IFERROR(VLOOKUP($B302,#REF!,10,FALSE),"")</f>
        <v/>
      </c>
      <c r="Q302" s="31" t="str">
        <f>IFERROR(VLOOKUP($B302,#REF!,11,FALSE),"")</f>
        <v/>
      </c>
      <c r="R302" s="31" t="str">
        <f>IFERROR(VLOOKUP($B302,#REF!,12,FALSE),"")</f>
        <v/>
      </c>
      <c r="S302" s="31">
        <f t="shared" si="556"/>
        <v>22868.762052477534</v>
      </c>
      <c r="T302" s="31">
        <f t="shared" si="557"/>
        <v>4713.3878827053841</v>
      </c>
      <c r="U302" s="31">
        <f t="shared" si="558"/>
        <v>13337.848738940063</v>
      </c>
      <c r="V302" s="31">
        <f t="shared" si="559"/>
        <v>12408.904884187756</v>
      </c>
      <c r="W302" s="31">
        <f t="shared" si="419"/>
        <v>22868.762052477534</v>
      </c>
      <c r="X302" s="31">
        <f t="shared" si="420"/>
        <v>4713.3878827053841</v>
      </c>
      <c r="Y302" s="31">
        <f t="shared" si="421"/>
        <v>13337.848738940063</v>
      </c>
      <c r="Z302" s="31">
        <f t="shared" si="422"/>
        <v>12408.904884187756</v>
      </c>
      <c r="AA302" s="31">
        <f t="shared" si="560"/>
        <v>22893.511794958569</v>
      </c>
      <c r="AB302" s="31">
        <f t="shared" si="561"/>
        <v>5300.6546577350318</v>
      </c>
      <c r="AC302" s="31">
        <f t="shared" si="562"/>
        <v>13377.717308540159</v>
      </c>
      <c r="AD302" s="31">
        <f t="shared" si="563"/>
        <v>12445.996719439401</v>
      </c>
      <c r="AE302" s="31">
        <f t="shared" si="423"/>
        <v>54017.880480673164</v>
      </c>
      <c r="AF302" s="31">
        <f>IFERROR(VLOOKUP(A302,'Allocations By Type'!$D$7:$F$491,3,FALSE),"")</f>
        <v>51123.8</v>
      </c>
      <c r="AG302" s="31">
        <f t="shared" si="424"/>
        <v>2160.7152192269268</v>
      </c>
      <c r="AH302" s="31">
        <f t="shared" si="507"/>
        <v>2160.7152192269268</v>
      </c>
      <c r="AI302" s="31">
        <f t="shared" si="426"/>
        <v>51857.165261446236</v>
      </c>
      <c r="AJ302" s="31">
        <f>AI302/$AI$577*'State Admin 1004(b)'!$B$30*0.01</f>
        <v>493.4986762644769</v>
      </c>
      <c r="AK302" s="31">
        <f t="shared" si="427"/>
        <v>51363.66658518176</v>
      </c>
      <c r="AL302" s="31">
        <f t="shared" si="428"/>
        <v>513.63666585181761</v>
      </c>
      <c r="AM302" s="31">
        <f t="shared" si="429"/>
        <v>50850.029919329943</v>
      </c>
      <c r="AP302" s="31"/>
      <c r="AQ302" s="4">
        <f t="shared" si="434"/>
        <v>0.99464495830376343</v>
      </c>
      <c r="AW302" s="31">
        <f t="shared" si="508"/>
        <v>50687.002845756651</v>
      </c>
      <c r="AX302" s="4">
        <f t="shared" si="433"/>
        <v>0.99145608983989153</v>
      </c>
      <c r="AZ302" s="174" t="str">
        <f>IFERROR(IF(VLOOKUP(A302,#REF!,11,FALSE)=0,"",VLOOKUP(A302,#REF!,11,FALSE)),"")</f>
        <v/>
      </c>
      <c r="BA302" s="31" t="str">
        <f t="shared" si="436"/>
        <v/>
      </c>
      <c r="BB302" s="31">
        <f t="shared" si="437"/>
        <v>50687.002845756651</v>
      </c>
      <c r="BD302" s="31" t="str">
        <f>IFERROR(VLOOKUP(A302,'Title II Hold Harmless'!A$1:B$439,2, FALSE),"")</f>
        <v/>
      </c>
      <c r="BE302" s="31">
        <f t="shared" si="509"/>
        <v>709.51746373039748</v>
      </c>
      <c r="BF302" s="31">
        <f t="shared" si="510"/>
        <v>710.20396421532337</v>
      </c>
      <c r="BG302" s="31" t="str">
        <f t="shared" si="440"/>
        <v/>
      </c>
      <c r="BH302" s="31">
        <f t="shared" si="441"/>
        <v>710.20396421532337</v>
      </c>
    </row>
    <row r="303" spans="1:60" s="47" customFormat="1" x14ac:dyDescent="0.3">
      <c r="A303" s="1">
        <v>78977000</v>
      </c>
      <c r="B303" s="47">
        <f>VLOOKUP(C303,'NCES ID'!$A$2:$B$3136,2,FALSE)</f>
        <v>400399</v>
      </c>
      <c r="C303" s="47">
        <f>VLOOKUP(A303,'State ID'!$A$2:$B$713,2,FALSE)</f>
        <v>80011</v>
      </c>
      <c r="D303" s="191" t="s">
        <v>794</v>
      </c>
      <c r="E303" s="47" t="s">
        <v>7</v>
      </c>
      <c r="H303" s="4"/>
      <c r="I303" s="47">
        <f>VLOOKUP($C303,'AzEDS FY17 11-14-2016'!$A$1:$D$706,3,FALSE)</f>
        <v>171</v>
      </c>
      <c r="J303" s="47">
        <f>VLOOKUP($C303,'AzEDS FY17 11-14-2016'!$A$1:$D$706,4,FALSE)</f>
        <v>41</v>
      </c>
      <c r="K303" s="24">
        <f t="shared" si="430"/>
        <v>171</v>
      </c>
      <c r="L303" s="24">
        <f t="shared" si="521"/>
        <v>20.259788464348631</v>
      </c>
      <c r="M303" s="4">
        <f t="shared" ref="M303:M304" si="577">L303/K303</f>
        <v>0.11847829511314989</v>
      </c>
      <c r="N303" s="31"/>
      <c r="O303" s="31"/>
      <c r="P303" s="31"/>
      <c r="Q303" s="31"/>
      <c r="R303" s="31"/>
      <c r="S303" s="31">
        <f t="shared" si="556"/>
        <v>9766.8671265789453</v>
      </c>
      <c r="T303" s="31">
        <f t="shared" si="557"/>
        <v>2013.0094082387577</v>
      </c>
      <c r="U303" s="31">
        <f t="shared" si="558"/>
        <v>5696.3728989223182</v>
      </c>
      <c r="V303" s="31">
        <f t="shared" si="559"/>
        <v>5299.6364609551865</v>
      </c>
      <c r="W303" s="31">
        <f t="shared" ref="W303" si="578">IF(AND($L303&gt;9,$L303&gt;($K303*0.02)),S303,"")</f>
        <v>9766.8671265789453</v>
      </c>
      <c r="X303" s="31" t="str">
        <f t="shared" ref="X303" si="579">IF(W303="","",IF(OR($L303&gt;6500,$L303&gt;($K303*0.15)),T303,""))</f>
        <v/>
      </c>
      <c r="Y303" s="31">
        <f t="shared" ref="Y303" si="580">IF(AND($L303&gt;9,$L303&gt;($K303*0.05)),U303,"")</f>
        <v>5696.3728989223182</v>
      </c>
      <c r="Z303" s="31">
        <f t="shared" ref="Z303" si="581">IF(AND($L303&gt;9,$L303&gt;($K303*0.05)),V303,"")</f>
        <v>5299.6364609551865</v>
      </c>
      <c r="AA303" s="31">
        <f t="shared" si="560"/>
        <v>9791.6168690599807</v>
      </c>
      <c r="AB303" s="31" t="str">
        <f t="shared" si="561"/>
        <v/>
      </c>
      <c r="AC303" s="31">
        <f t="shared" si="562"/>
        <v>5736.2414685224148</v>
      </c>
      <c r="AD303" s="31">
        <f t="shared" si="563"/>
        <v>5336.7282962068311</v>
      </c>
      <c r="AE303" s="31">
        <f t="shared" ref="AE303" si="582">SUM(AA303:AD303)</f>
        <v>20864.586633789226</v>
      </c>
      <c r="AF303" s="31">
        <f>IFERROR(VLOOKUP(A303,'Allocations By Type'!$D$7:$F$491,3,FALSE),"")</f>
        <v>29970.07</v>
      </c>
      <c r="AG303" s="31" t="str">
        <f t="shared" ref="AG303" si="583">IF(AE303&gt;AF303,AE303*0.04,"")</f>
        <v/>
      </c>
      <c r="AH303" s="31" t="str">
        <f t="shared" ref="AH303" si="584">IF(AG303="","",IF((AE303-AF303)&gt;AG303,AG303,AE303-AF303))</f>
        <v/>
      </c>
      <c r="AI303" s="31">
        <f t="shared" ref="AI303" si="585">IF(AH303="",AE303,AE303-AH303)</f>
        <v>20864.586633789226</v>
      </c>
      <c r="AJ303" s="31">
        <f>AI303/$AI$577*'State Admin 1004(b)'!$B$30*0.01</f>
        <v>198.55782383530388</v>
      </c>
      <c r="AK303" s="31">
        <f t="shared" ref="AK303" si="586">AI303-AJ303</f>
        <v>20666.028809953921</v>
      </c>
      <c r="AL303" s="31">
        <f t="shared" ref="AL303" si="587">AK303*0.01</f>
        <v>206.66028809953923</v>
      </c>
      <c r="AM303" s="31">
        <f t="shared" ref="AM303" si="588">AK303-AL303</f>
        <v>20459.368521854383</v>
      </c>
      <c r="AP303" s="31"/>
      <c r="AQ303" s="4">
        <f t="shared" si="434"/>
        <v>0.68266001787297736</v>
      </c>
      <c r="AR303" s="4"/>
      <c r="AS303" s="4"/>
      <c r="AT303" s="4"/>
      <c r="AW303" s="31">
        <f t="shared" si="508"/>
        <v>20393.775030905275</v>
      </c>
      <c r="AX303" s="4">
        <f t="shared" si="433"/>
        <v>0.68047138464825996</v>
      </c>
      <c r="AZ303" s="174"/>
      <c r="BA303" s="31"/>
      <c r="BB303" s="31">
        <f t="shared" si="437"/>
        <v>20393.775030905275</v>
      </c>
      <c r="BD303" s="31" t="str">
        <f>IFERROR(VLOOKUP(A303,'Title II Hold Harmless'!A$1:B$439,2, FALSE),"")</f>
        <v/>
      </c>
      <c r="BE303" s="31">
        <f t="shared" si="509"/>
        <v>402.83501162536538</v>
      </c>
      <c r="BF303" s="31">
        <f t="shared" si="510"/>
        <v>403.22477853733392</v>
      </c>
      <c r="BG303" s="31"/>
      <c r="BH303" s="31">
        <f t="shared" si="441"/>
        <v>403.22477853733392</v>
      </c>
    </row>
    <row r="304" spans="1:60" x14ac:dyDescent="0.3">
      <c r="A304" s="1">
        <v>78758000</v>
      </c>
      <c r="B304">
        <f>VLOOKUP(C304,'NCES ID'!$A$2:$B$3136,2,FALSE)</f>
        <v>400068</v>
      </c>
      <c r="C304">
        <f>VLOOKUP(A304,'State ID'!$A$2:$B$713,2,FALSE)</f>
        <v>4359</v>
      </c>
      <c r="D304" s="191" t="s">
        <v>294</v>
      </c>
      <c r="E304" t="s">
        <v>7</v>
      </c>
      <c r="I304" s="47">
        <f>VLOOKUP($C304,'AzEDS FY17 11-14-2016'!$A$1:$D$706,3,FALSE)</f>
        <v>292</v>
      </c>
      <c r="J304" s="47">
        <f>VLOOKUP($C304,'AzEDS FY17 11-14-2016'!$A$1:$D$706,4,FALSE)</f>
        <v>119</v>
      </c>
      <c r="K304" s="24">
        <f t="shared" si="430"/>
        <v>292</v>
      </c>
      <c r="L304" s="24">
        <f t="shared" si="521"/>
        <v>58.802800664816758</v>
      </c>
      <c r="M304" s="4">
        <f t="shared" si="577"/>
        <v>0.20137945433156423</v>
      </c>
      <c r="N304" s="31" t="str">
        <f>IFERROR(VLOOKUP($B304,#REF!,8,FALSE),"")</f>
        <v/>
      </c>
      <c r="O304" s="31" t="str">
        <f>IFERROR(VLOOKUP($B304,#REF!,9,FALSE),"")</f>
        <v/>
      </c>
      <c r="P304" s="31" t="str">
        <f>IFERROR(VLOOKUP($B304,#REF!,10,FALSE),"")</f>
        <v/>
      </c>
      <c r="Q304" s="31" t="str">
        <f>IFERROR(VLOOKUP($B304,#REF!,11,FALSE),"")</f>
        <v/>
      </c>
      <c r="R304" s="31" t="str">
        <f>IFERROR(VLOOKUP($B304,#REF!,12,FALSE),"")</f>
        <v/>
      </c>
      <c r="S304" s="31">
        <f t="shared" si="556"/>
        <v>28347.736294216942</v>
      </c>
      <c r="T304" s="31">
        <f t="shared" si="557"/>
        <v>5842.6370629368821</v>
      </c>
      <c r="U304" s="31">
        <f t="shared" si="558"/>
        <v>16533.37499931112</v>
      </c>
      <c r="V304" s="31">
        <f t="shared" si="559"/>
        <v>15381.871679357737</v>
      </c>
      <c r="W304" s="31">
        <f t="shared" si="419"/>
        <v>28347.736294216942</v>
      </c>
      <c r="X304" s="31">
        <f t="shared" si="420"/>
        <v>5842.6370629368821</v>
      </c>
      <c r="Y304" s="31">
        <f t="shared" si="421"/>
        <v>16533.37499931112</v>
      </c>
      <c r="Z304" s="31">
        <f t="shared" si="422"/>
        <v>15381.871679357737</v>
      </c>
      <c r="AA304" s="31">
        <f t="shared" si="560"/>
        <v>28372.486036697977</v>
      </c>
      <c r="AB304" s="31">
        <f t="shared" si="561"/>
        <v>6429.9038379665299</v>
      </c>
      <c r="AC304" s="31">
        <f t="shared" si="562"/>
        <v>16573.243568911217</v>
      </c>
      <c r="AD304" s="31">
        <f t="shared" si="563"/>
        <v>15418.963514609382</v>
      </c>
      <c r="AE304" s="31">
        <f t="shared" si="423"/>
        <v>66794.59695818511</v>
      </c>
      <c r="AF304" s="31">
        <f>IFERROR(VLOOKUP(A304,'Allocations By Type'!$D$7:$F$491,3,FALSE),"")</f>
        <v>64366.73</v>
      </c>
      <c r="AG304" s="31">
        <f t="shared" si="424"/>
        <v>2671.7838783274046</v>
      </c>
      <c r="AH304" s="31">
        <f t="shared" si="507"/>
        <v>2427.8669581851063</v>
      </c>
      <c r="AI304" s="31">
        <f t="shared" si="426"/>
        <v>64366.73</v>
      </c>
      <c r="AJ304" s="31">
        <f>AI304/$AI$577*'State Admin 1004(b)'!$B$30*0.01</f>
        <v>612.54594018637863</v>
      </c>
      <c r="AK304" s="31">
        <f t="shared" si="427"/>
        <v>63754.184059813626</v>
      </c>
      <c r="AL304" s="31">
        <f t="shared" si="428"/>
        <v>637.54184059813622</v>
      </c>
      <c r="AM304" s="31">
        <f t="shared" si="429"/>
        <v>63116.642219215493</v>
      </c>
      <c r="AP304" s="31"/>
      <c r="AQ304" s="4">
        <f t="shared" si="434"/>
        <v>0.98057866570533392</v>
      </c>
      <c r="AW304" s="31">
        <f t="shared" ref="AW304" si="589">IF(AV304="",AM304-AM304/($AM$356-$AV$356+$AU$356)*$AU$356,AV304)</f>
        <v>62914.287933660598</v>
      </c>
      <c r="AX304" s="4">
        <f t="shared" si="433"/>
        <v>0.97743489429493458</v>
      </c>
      <c r="AZ304" s="174" t="str">
        <f>IFERROR(IF(VLOOKUP(A304,#REF!,11,FALSE)=0,"",VLOOKUP(A304,#REF!,11,FALSE)),"")</f>
        <v/>
      </c>
      <c r="BA304" s="31" t="str">
        <f t="shared" si="436"/>
        <v/>
      </c>
      <c r="BB304" s="31">
        <f t="shared" si="437"/>
        <v>62914.287933660598</v>
      </c>
      <c r="BD304" s="31">
        <f>IFERROR(VLOOKUP(A304,'Title II Hold Harmless'!A$1:B$439,2, FALSE),"")</f>
        <v>9889</v>
      </c>
      <c r="BE304" s="31">
        <f t="shared" si="509"/>
        <v>10893.769741086489</v>
      </c>
      <c r="BF304" s="31">
        <f t="shared" si="510"/>
        <v>10904.310113370784</v>
      </c>
      <c r="BG304" s="31" t="str">
        <f t="shared" si="440"/>
        <v/>
      </c>
      <c r="BH304" s="31">
        <f t="shared" si="441"/>
        <v>10904.310113370784</v>
      </c>
    </row>
    <row r="305" spans="1:60" x14ac:dyDescent="0.3">
      <c r="A305" s="1">
        <v>78556000</v>
      </c>
      <c r="B305">
        <f>VLOOKUP(C305,'NCES ID'!$A$2:$B$3136,2,FALSE)</f>
        <v>400793</v>
      </c>
      <c r="C305">
        <f>VLOOKUP(A305,'State ID'!$A$2:$B$713,2,FALSE)</f>
        <v>90192</v>
      </c>
      <c r="D305" s="147" t="s">
        <v>296</v>
      </c>
      <c r="E305" t="s">
        <v>7</v>
      </c>
      <c r="I305" s="47">
        <f>VLOOKUP($C305,'Final SEA Counts'!$A$2:$F$709,5,FALSE)</f>
        <v>317</v>
      </c>
      <c r="J305" s="47">
        <f>VLOOKUP($C305,'Final SEA Counts'!$A$2:$F$709,6,FALSE)</f>
        <v>235</v>
      </c>
      <c r="K305" s="24">
        <f t="shared" si="430"/>
        <v>317</v>
      </c>
      <c r="L305" s="24">
        <f t="shared" si="521"/>
        <v>116.12317778346167</v>
      </c>
      <c r="M305" s="4">
        <f t="shared" si="435"/>
        <v>0.36631917281849108</v>
      </c>
      <c r="N305" s="31" t="str">
        <f>IFERROR(VLOOKUP($B305,#REF!,8,FALSE),"")</f>
        <v/>
      </c>
      <c r="O305" s="31" t="str">
        <f>IFERROR(VLOOKUP($B305,#REF!,9,FALSE),"")</f>
        <v/>
      </c>
      <c r="P305" s="31" t="str">
        <f>IFERROR(VLOOKUP($B305,#REF!,10,FALSE),"")</f>
        <v/>
      </c>
      <c r="Q305" s="31" t="str">
        <f>IFERROR(VLOOKUP($B305,#REF!,11,FALSE),"")</f>
        <v/>
      </c>
      <c r="R305" s="31" t="str">
        <f>IFERROR(VLOOKUP($B305,#REF!,12,FALSE),"")</f>
        <v/>
      </c>
      <c r="S305" s="31">
        <f t="shared" si="556"/>
        <v>55980.82377429396</v>
      </c>
      <c r="T305" s="31">
        <f t="shared" si="557"/>
        <v>11537.980754539221</v>
      </c>
      <c r="U305" s="31">
        <f t="shared" si="558"/>
        <v>32649.942225530362</v>
      </c>
      <c r="V305" s="31">
        <f t="shared" si="559"/>
        <v>30375.965081084611</v>
      </c>
      <c r="W305" s="31">
        <f t="shared" si="419"/>
        <v>55980.82377429396</v>
      </c>
      <c r="X305" s="31">
        <f t="shared" si="420"/>
        <v>11537.980754539221</v>
      </c>
      <c r="Y305" s="31">
        <f t="shared" si="421"/>
        <v>32649.942225530362</v>
      </c>
      <c r="Z305" s="31">
        <f t="shared" si="422"/>
        <v>30375.965081084611</v>
      </c>
      <c r="AA305" s="31">
        <f t="shared" si="560"/>
        <v>56005.573516774995</v>
      </c>
      <c r="AB305" s="31">
        <f t="shared" si="561"/>
        <v>12125.247529568869</v>
      </c>
      <c r="AC305" s="31">
        <f t="shared" si="562"/>
        <v>32689.810795130459</v>
      </c>
      <c r="AD305" s="31">
        <f t="shared" si="563"/>
        <v>30413.056916336256</v>
      </c>
      <c r="AE305" s="31">
        <f t="shared" si="423"/>
        <v>131233.68875781057</v>
      </c>
      <c r="AF305" s="31">
        <f>IFERROR(VLOOKUP(A305,'Allocations By Type'!$D$7:$F$491,3,FALSE),"")</f>
        <v>123769.53</v>
      </c>
      <c r="AG305" s="31">
        <f t="shared" si="424"/>
        <v>5249.3475503124228</v>
      </c>
      <c r="AH305" s="31">
        <f t="shared" si="507"/>
        <v>5249.3475503124228</v>
      </c>
      <c r="AI305" s="31">
        <f t="shared" si="426"/>
        <v>125984.34120749815</v>
      </c>
      <c r="AJ305" s="31">
        <f>AI305/$AI$577*'State Admin 1004(b)'!$B$30*0.01</f>
        <v>1198.9298933425462</v>
      </c>
      <c r="AK305" s="31">
        <f t="shared" si="427"/>
        <v>124785.4113141556</v>
      </c>
      <c r="AL305" s="31">
        <f t="shared" si="428"/>
        <v>1247.8541131415561</v>
      </c>
      <c r="AM305" s="31">
        <f t="shared" si="429"/>
        <v>123537.55720101405</v>
      </c>
      <c r="AP305" s="31"/>
      <c r="AQ305" s="4">
        <f t="shared" si="434"/>
        <v>0.99812576811929432</v>
      </c>
      <c r="AW305" s="31">
        <f t="shared" ref="AW305:AW316" si="590">IF(AV305="",AM305-AM305/($AM$356-$AV$356+$AU$356)*$AU$356,AV305)</f>
        <v>123141.49123096792</v>
      </c>
      <c r="AX305" s="4">
        <f t="shared" si="433"/>
        <v>0.99492574005062406</v>
      </c>
      <c r="AZ305" s="174" t="str">
        <f>IFERROR(IF(VLOOKUP(A305,#REF!,11,FALSE)=0,"",VLOOKUP(A305,#REF!,11,FALSE)),"")</f>
        <v/>
      </c>
      <c r="BA305" s="31" t="str">
        <f t="shared" si="436"/>
        <v/>
      </c>
      <c r="BB305" s="31">
        <f t="shared" si="437"/>
        <v>123141.49123096792</v>
      </c>
      <c r="BD305" s="31" t="str">
        <f>IFERROR(VLOOKUP(A305,'Title II Hold Harmless'!A$1:B$439,2, FALSE),"")</f>
        <v/>
      </c>
      <c r="BE305" s="31">
        <f t="shared" si="509"/>
        <v>1775.2520432697354</v>
      </c>
      <c r="BF305" s="31">
        <f t="shared" si="510"/>
        <v>1776.9697055555414</v>
      </c>
      <c r="BG305" s="31" t="str">
        <f t="shared" si="440"/>
        <v/>
      </c>
      <c r="BH305" s="31">
        <f t="shared" si="441"/>
        <v>1776.9697055555414</v>
      </c>
    </row>
    <row r="306" spans="1:60" x14ac:dyDescent="0.3">
      <c r="A306" s="1">
        <v>78771000</v>
      </c>
      <c r="B306">
        <f>VLOOKUP(C306,'NCES ID'!$A$2:$B$3136,2,FALSE)</f>
        <v>400151</v>
      </c>
      <c r="C306">
        <f>VLOOKUP(A306,'State ID'!$A$2:$B$713,2,FALSE)</f>
        <v>4366</v>
      </c>
      <c r="D306" s="147" t="s">
        <v>302</v>
      </c>
      <c r="E306" t="s">
        <v>7</v>
      </c>
      <c r="I306" s="47">
        <f>VLOOKUP($C306,'Final SEA Counts'!$A$2:$F$709,5,FALSE)</f>
        <v>161</v>
      </c>
      <c r="J306" s="47">
        <f>VLOOKUP($C306,'Final SEA Counts'!$A$2:$F$709,6,FALSE)</f>
        <v>155</v>
      </c>
      <c r="K306" s="24">
        <f t="shared" si="430"/>
        <v>161</v>
      </c>
      <c r="L306" s="24">
        <f t="shared" si="521"/>
        <v>76.591883218878976</v>
      </c>
      <c r="M306" s="4">
        <f t="shared" si="435"/>
        <v>0.4757259827259564</v>
      </c>
      <c r="N306" s="31" t="str">
        <f>IFERROR(VLOOKUP($B306,#REF!,8,FALSE),"")</f>
        <v/>
      </c>
      <c r="O306" s="31" t="str">
        <f>IFERROR(VLOOKUP($B306,#REF!,9,FALSE),"")</f>
        <v/>
      </c>
      <c r="P306" s="31" t="str">
        <f>IFERROR(VLOOKUP($B306,#REF!,10,FALSE),"")</f>
        <v/>
      </c>
      <c r="Q306" s="31" t="str">
        <f>IFERROR(VLOOKUP($B306,#REF!,11,FALSE),"")</f>
        <v/>
      </c>
      <c r="R306" s="31" t="str">
        <f>IFERROR(VLOOKUP($B306,#REF!,12,FALSE),"")</f>
        <v/>
      </c>
      <c r="S306" s="31">
        <f t="shared" si="556"/>
        <v>36923.522063896016</v>
      </c>
      <c r="T306" s="31">
        <f t="shared" si="557"/>
        <v>7610.1575189514015</v>
      </c>
      <c r="U306" s="31">
        <f t="shared" si="558"/>
        <v>21535.068276413644</v>
      </c>
      <c r="V306" s="31">
        <f t="shared" si="559"/>
        <v>20035.211010928146</v>
      </c>
      <c r="W306" s="31">
        <f t="shared" si="419"/>
        <v>36923.522063896016</v>
      </c>
      <c r="X306" s="31">
        <f t="shared" si="420"/>
        <v>7610.1575189514015</v>
      </c>
      <c r="Y306" s="31">
        <f t="shared" si="421"/>
        <v>21535.068276413644</v>
      </c>
      <c r="Z306" s="31">
        <f t="shared" si="422"/>
        <v>20035.211010928146</v>
      </c>
      <c r="AA306" s="31">
        <f t="shared" si="560"/>
        <v>36948.271806377052</v>
      </c>
      <c r="AB306" s="31">
        <f t="shared" si="561"/>
        <v>8197.4242939810501</v>
      </c>
      <c r="AC306" s="31">
        <f t="shared" si="562"/>
        <v>21574.936846013741</v>
      </c>
      <c r="AD306" s="31">
        <f t="shared" si="563"/>
        <v>20072.302846179791</v>
      </c>
      <c r="AE306" s="31">
        <f t="shared" si="423"/>
        <v>86792.935792551638</v>
      </c>
      <c r="AF306" s="31">
        <f>IFERROR(VLOOKUP(A306,'Allocations By Type'!$D$7:$F$491,3,FALSE),"")</f>
        <v>90240.74</v>
      </c>
      <c r="AG306" s="31" t="str">
        <f t="shared" si="424"/>
        <v/>
      </c>
      <c r="AH306" s="31" t="str">
        <f t="shared" si="507"/>
        <v/>
      </c>
      <c r="AI306" s="31">
        <f t="shared" si="426"/>
        <v>86792.935792551638</v>
      </c>
      <c r="AJ306" s="31">
        <f>AI306/$AI$577*'State Admin 1004(b)'!$B$30*0.01</f>
        <v>825.96491163345604</v>
      </c>
      <c r="AK306" s="31">
        <f t="shared" si="427"/>
        <v>85966.970880918176</v>
      </c>
      <c r="AL306" s="31">
        <f t="shared" si="428"/>
        <v>859.66970880918177</v>
      </c>
      <c r="AM306" s="31">
        <f t="shared" si="429"/>
        <v>85107.301172109001</v>
      </c>
      <c r="AP306" s="31"/>
      <c r="AQ306" s="4">
        <f t="shared" si="434"/>
        <v>0.94311395465184567</v>
      </c>
      <c r="AW306" s="31">
        <f t="shared" si="590"/>
        <v>84834.444021939751</v>
      </c>
      <c r="AX306" s="4">
        <f t="shared" si="433"/>
        <v>0.94009029648847897</v>
      </c>
      <c r="AZ306" s="174" t="str">
        <f>IFERROR(IF(VLOOKUP(A306,#REF!,11,FALSE)=0,"",VLOOKUP(A306,#REF!,11,FALSE)),"")</f>
        <v/>
      </c>
      <c r="BA306" s="31" t="str">
        <f t="shared" si="436"/>
        <v/>
      </c>
      <c r="BB306" s="31">
        <f t="shared" si="437"/>
        <v>84834.444021939751</v>
      </c>
      <c r="BD306" s="31">
        <f>IFERROR(VLOOKUP(A306,'Title II Hold Harmless'!A$1:B$439,2, FALSE),"")</f>
        <v>5241</v>
      </c>
      <c r="BE306" s="31">
        <f t="shared" si="509"/>
        <v>6373.2120434704357</v>
      </c>
      <c r="BF306" s="31">
        <f t="shared" si="510"/>
        <v>6379.3785064287604</v>
      </c>
      <c r="BG306" s="31" t="str">
        <f t="shared" si="440"/>
        <v/>
      </c>
      <c r="BH306" s="31">
        <f t="shared" si="441"/>
        <v>6379.3785064287604</v>
      </c>
    </row>
    <row r="307" spans="1:60" x14ac:dyDescent="0.3">
      <c r="A307" s="1">
        <v>78760000</v>
      </c>
      <c r="B307">
        <f>VLOOKUP(C307,'NCES ID'!$A$2:$B$3136,2,FALSE)</f>
        <v>400401</v>
      </c>
      <c r="C307">
        <f>VLOOKUP(A307,'State ID'!$A$2:$B$713,2,FALSE)</f>
        <v>78882</v>
      </c>
      <c r="D307" s="147" t="s">
        <v>303</v>
      </c>
      <c r="E307" t="s">
        <v>7</v>
      </c>
      <c r="I307" s="47">
        <f>VLOOKUP($C307,'Final SEA Counts'!$A$2:$F$709,5,FALSE)</f>
        <v>188</v>
      </c>
      <c r="J307" s="47">
        <f>VLOOKUP($C307,'Final SEA Counts'!$A$2:$F$709,6,FALSE)</f>
        <v>139</v>
      </c>
      <c r="K307" s="24">
        <f t="shared" si="430"/>
        <v>188</v>
      </c>
      <c r="L307" s="24">
        <f t="shared" si="521"/>
        <v>68.685624305962435</v>
      </c>
      <c r="M307" s="4">
        <f t="shared" si="435"/>
        <v>0.36534906545724699</v>
      </c>
      <c r="N307" s="31" t="str">
        <f>IFERROR(VLOOKUP($B307,#REF!,8,FALSE),"")</f>
        <v/>
      </c>
      <c r="O307" s="31" t="str">
        <f>IFERROR(VLOOKUP($B307,#REF!,9,FALSE),"")</f>
        <v/>
      </c>
      <c r="P307" s="31" t="str">
        <f>IFERROR(VLOOKUP($B307,#REF!,10,FALSE),"")</f>
        <v/>
      </c>
      <c r="Q307" s="31" t="str">
        <f>IFERROR(VLOOKUP($B307,#REF!,11,FALSE),"")</f>
        <v/>
      </c>
      <c r="R307" s="31" t="str">
        <f>IFERROR(VLOOKUP($B307,#REF!,12,FALSE),"")</f>
        <v/>
      </c>
      <c r="S307" s="31">
        <f t="shared" si="556"/>
        <v>33112.061721816426</v>
      </c>
      <c r="T307" s="31">
        <f t="shared" si="557"/>
        <v>6824.5928718338373</v>
      </c>
      <c r="U307" s="31">
        <f t="shared" si="558"/>
        <v>19312.0934865903</v>
      </c>
      <c r="V307" s="31">
        <f t="shared" si="559"/>
        <v>17967.060196896855</v>
      </c>
      <c r="W307" s="31">
        <f t="shared" si="419"/>
        <v>33112.061721816426</v>
      </c>
      <c r="X307" s="31">
        <f t="shared" si="420"/>
        <v>6824.5928718338373</v>
      </c>
      <c r="Y307" s="31">
        <f t="shared" si="421"/>
        <v>19312.0934865903</v>
      </c>
      <c r="Z307" s="31">
        <f t="shared" si="422"/>
        <v>17967.060196896855</v>
      </c>
      <c r="AA307" s="31">
        <f t="shared" si="560"/>
        <v>33136.811464297461</v>
      </c>
      <c r="AB307" s="31">
        <f t="shared" si="561"/>
        <v>7411.8596468634851</v>
      </c>
      <c r="AC307" s="31">
        <f t="shared" si="562"/>
        <v>19351.962056190398</v>
      </c>
      <c r="AD307" s="31">
        <f t="shared" si="563"/>
        <v>18004.1520321485</v>
      </c>
      <c r="AE307" s="31">
        <f t="shared" si="423"/>
        <v>77904.785199499849</v>
      </c>
      <c r="AF307" s="31">
        <f>IFERROR(VLOOKUP(A307,'Allocations By Type'!$D$7:$F$491,3,FALSE),"")</f>
        <v>72304.42</v>
      </c>
      <c r="AG307" s="31">
        <f t="shared" si="424"/>
        <v>3116.191407979994</v>
      </c>
      <c r="AH307" s="31">
        <f t="shared" si="507"/>
        <v>3116.191407979994</v>
      </c>
      <c r="AI307" s="31">
        <f t="shared" si="426"/>
        <v>74788.593791519859</v>
      </c>
      <c r="AJ307" s="31">
        <f>AI307/$AI$577*'State Admin 1004(b)'!$B$30*0.01</f>
        <v>711.72559953323218</v>
      </c>
      <c r="AK307" s="31">
        <f t="shared" si="427"/>
        <v>74076.868191986621</v>
      </c>
      <c r="AL307" s="31">
        <f t="shared" si="428"/>
        <v>740.76868191986625</v>
      </c>
      <c r="AM307" s="31">
        <f t="shared" si="429"/>
        <v>73336.09951006675</v>
      </c>
      <c r="AP307" s="31"/>
      <c r="AQ307" s="4">
        <f t="shared" si="434"/>
        <v>1.0142685538459024</v>
      </c>
      <c r="AW307" s="31">
        <f t="shared" si="590"/>
        <v>73100.981267081006</v>
      </c>
      <c r="AX307" s="4">
        <f t="shared" si="433"/>
        <v>1.0110167714101159</v>
      </c>
      <c r="AZ307" s="174" t="str">
        <f>IFERROR(IF(VLOOKUP(A307,#REF!,11,FALSE)=0,"",VLOOKUP(A307,#REF!,11,FALSE)),"")</f>
        <v/>
      </c>
      <c r="BA307" s="31" t="str">
        <f t="shared" si="436"/>
        <v/>
      </c>
      <c r="BB307" s="31">
        <f t="shared" si="437"/>
        <v>73100.981267081006</v>
      </c>
      <c r="BD307" s="31" t="str">
        <f>IFERROR(VLOOKUP(A307,'Title II Hold Harmless'!A$1:B$439,2, FALSE),"")</f>
        <v/>
      </c>
      <c r="BE307" s="31">
        <f t="shared" si="509"/>
        <v>1050.4433854389949</v>
      </c>
      <c r="BF307" s="31">
        <f t="shared" si="510"/>
        <v>1051.4597520971172</v>
      </c>
      <c r="BG307" s="31" t="str">
        <f t="shared" si="440"/>
        <v/>
      </c>
      <c r="BH307" s="31">
        <f t="shared" si="441"/>
        <v>1051.4597520971172</v>
      </c>
    </row>
    <row r="308" spans="1:60" x14ac:dyDescent="0.3">
      <c r="A308" s="1">
        <v>78930000</v>
      </c>
      <c r="B308">
        <f>VLOOKUP(C308,'NCES ID'!$A$2:$B$3136,2,FALSE)</f>
        <v>400340</v>
      </c>
      <c r="C308">
        <f>VLOOKUP(A308,'State ID'!$A$2:$B$713,2,FALSE)</f>
        <v>10760</v>
      </c>
      <c r="D308" s="147" t="s">
        <v>304</v>
      </c>
      <c r="E308" t="s">
        <v>7</v>
      </c>
      <c r="I308" s="47">
        <f>VLOOKUP($C308,'Final SEA Counts'!$A$2:$F$709,5,FALSE)</f>
        <v>1091</v>
      </c>
      <c r="J308" s="47">
        <f>VLOOKUP($C308,'Final SEA Counts'!$A$2:$F$709,6,FALSE)</f>
        <v>525</v>
      </c>
      <c r="K308" s="24">
        <f t="shared" si="430"/>
        <v>1091</v>
      </c>
      <c r="L308" s="24">
        <f t="shared" si="521"/>
        <v>259.42412058007392</v>
      </c>
      <c r="M308" s="4">
        <f t="shared" si="435"/>
        <v>0.23778562839603476</v>
      </c>
      <c r="N308" s="31" t="str">
        <f>IFERROR(VLOOKUP($B308,#REF!,8,FALSE),"")</f>
        <v/>
      </c>
      <c r="O308" s="31" t="str">
        <f>IFERROR(VLOOKUP($B308,#REF!,9,FALSE),"")</f>
        <v/>
      </c>
      <c r="P308" s="31" t="str">
        <f>IFERROR(VLOOKUP($B308,#REF!,10,FALSE),"")</f>
        <v/>
      </c>
      <c r="Q308" s="31" t="str">
        <f>IFERROR(VLOOKUP($B308,#REF!,11,FALSE),"")</f>
        <v/>
      </c>
      <c r="R308" s="31" t="str">
        <f>IFERROR(VLOOKUP($B308,#REF!,12,FALSE),"")</f>
        <v/>
      </c>
      <c r="S308" s="31">
        <f t="shared" si="556"/>
        <v>125063.5424744865</v>
      </c>
      <c r="T308" s="31">
        <f t="shared" si="557"/>
        <v>25776.339983545065</v>
      </c>
      <c r="U308" s="31">
        <f t="shared" si="558"/>
        <v>72941.360291078468</v>
      </c>
      <c r="V308" s="31">
        <f t="shared" si="559"/>
        <v>67861.198585401784</v>
      </c>
      <c r="W308" s="31">
        <f t="shared" ref="W308:W346" si="591">IF(AND($L308&gt;9,$L308&gt;($K308*0.02)),S308,"")</f>
        <v>125063.5424744865</v>
      </c>
      <c r="X308" s="31">
        <f t="shared" ref="X308:X346" si="592">IF(W308="","",IF(OR($L308&gt;6500,$L308&gt;($K308*0.15)),T308,""))</f>
        <v>25776.339983545065</v>
      </c>
      <c r="Y308" s="31">
        <f t="shared" ref="Y308:Y346" si="593">IF(AND($L308&gt;9,$L308&gt;($K308*0.05)),U308,"")</f>
        <v>72941.360291078468</v>
      </c>
      <c r="Z308" s="31">
        <f t="shared" ref="Z308:Z346" si="594">IF(AND($L308&gt;9,$L308&gt;($K308*0.05)),V308,"")</f>
        <v>67861.198585401784</v>
      </c>
      <c r="AA308" s="31">
        <f t="shared" si="560"/>
        <v>125088.29221696753</v>
      </c>
      <c r="AB308" s="31">
        <f t="shared" si="561"/>
        <v>26363.606758574715</v>
      </c>
      <c r="AC308" s="31">
        <f t="shared" si="562"/>
        <v>72981.228860678559</v>
      </c>
      <c r="AD308" s="31">
        <f t="shared" si="563"/>
        <v>67898.290420653429</v>
      </c>
      <c r="AE308" s="31">
        <f t="shared" ref="AE308:AE346" si="595">SUM(AA308:AD308)</f>
        <v>292331.41825687425</v>
      </c>
      <c r="AF308" s="31">
        <f>IFERROR(VLOOKUP(A308,'Allocations By Type'!$D$7:$F$491,3,FALSE),"")</f>
        <v>260692.24</v>
      </c>
      <c r="AG308" s="31">
        <f t="shared" ref="AG308:AG346" si="596">IF(AE308&gt;AF308,AE308*0.04,"")</f>
        <v>11693.25673027497</v>
      </c>
      <c r="AH308" s="31">
        <f t="shared" ref="AH308:AH341" si="597">IF(AG308="","",IF((AE308-AF308)&gt;AG308,AG308,AE308-AF308))</f>
        <v>11693.25673027497</v>
      </c>
      <c r="AI308" s="31">
        <f t="shared" ref="AI308:AI346" si="598">IF(AH308="",AE308,AE308-AH308)</f>
        <v>280638.16152659926</v>
      </c>
      <c r="AJ308" s="31">
        <f>AI308/$AI$577*'State Admin 1004(b)'!$B$30*0.01</f>
        <v>2670.692864224849</v>
      </c>
      <c r="AK308" s="31">
        <f t="shared" ref="AK308:AK346" si="599">AI308-AJ308</f>
        <v>277967.46866237442</v>
      </c>
      <c r="AL308" s="31">
        <f t="shared" ref="AL308:AL346" si="600">AK308*0.01</f>
        <v>2779.674686623744</v>
      </c>
      <c r="AM308" s="31">
        <f t="shared" ref="AM308:AM346" si="601">AK308-AL308</f>
        <v>275187.79397575068</v>
      </c>
      <c r="AP308" s="31"/>
      <c r="AQ308" s="4">
        <f t="shared" si="434"/>
        <v>1.0556040869331236</v>
      </c>
      <c r="AW308" s="31">
        <f t="shared" si="590"/>
        <v>274305.53174687631</v>
      </c>
      <c r="AX308" s="4">
        <f t="shared" si="433"/>
        <v>1.0522197812519327</v>
      </c>
      <c r="AZ308" s="174" t="str">
        <f>IFERROR(IF(VLOOKUP(A308,#REF!,11,FALSE)=0,"",VLOOKUP(A308,#REF!,11,FALSE)),"")</f>
        <v/>
      </c>
      <c r="BA308" s="31" t="str">
        <f t="shared" si="436"/>
        <v/>
      </c>
      <c r="BB308" s="31">
        <f t="shared" si="437"/>
        <v>274305.53174687631</v>
      </c>
      <c r="BD308" s="31" t="str">
        <f>IFERROR(VLOOKUP(A308,'Title II Hold Harmless'!A$1:B$439,2, FALSE),"")</f>
        <v/>
      </c>
      <c r="BE308" s="31">
        <f t="shared" si="509"/>
        <v>4274.0727778012297</v>
      </c>
      <c r="BF308" s="31">
        <f t="shared" si="510"/>
        <v>4278.2081982588779</v>
      </c>
      <c r="BG308" s="31" t="str">
        <f t="shared" si="440"/>
        <v/>
      </c>
      <c r="BH308" s="31">
        <f t="shared" si="441"/>
        <v>4278.2081982588779</v>
      </c>
    </row>
    <row r="309" spans="1:60" x14ac:dyDescent="0.3">
      <c r="A309" s="1">
        <v>78261000</v>
      </c>
      <c r="B309" t="e">
        <f>VLOOKUP(C309,'NCES ID'!$A$2:$B$3136,2,FALSE)</f>
        <v>#N/A</v>
      </c>
      <c r="C309">
        <f>VLOOKUP(A309,'State ID'!$A$2:$B$713,2,FALSE)</f>
        <v>92374</v>
      </c>
      <c r="D309" s="147" t="s">
        <v>305</v>
      </c>
      <c r="E309" t="s">
        <v>7</v>
      </c>
      <c r="I309" s="47">
        <f>VLOOKUP($C309,'Final SEA Counts'!$A$2:$F$709,5,FALSE)</f>
        <v>401</v>
      </c>
      <c r="J309" s="47">
        <f>VLOOKUP($C309,'Final SEA Counts'!$A$2:$F$709,6,FALSE)</f>
        <v>255</v>
      </c>
      <c r="K309" s="24">
        <f t="shared" ref="K309:K353" si="602">I309</f>
        <v>401</v>
      </c>
      <c r="L309" s="24">
        <f t="shared" si="521"/>
        <v>126.00600142460735</v>
      </c>
      <c r="M309" s="4">
        <f t="shared" si="435"/>
        <v>0.31422942998655201</v>
      </c>
      <c r="N309" s="31" t="str">
        <f>IFERROR(VLOOKUP($B309,#REF!,8,FALSE),"")</f>
        <v/>
      </c>
      <c r="O309" s="31" t="str">
        <f>IFERROR(VLOOKUP($B309,#REF!,9,FALSE),"")</f>
        <v/>
      </c>
      <c r="P309" s="31" t="str">
        <f>IFERROR(VLOOKUP($B309,#REF!,10,FALSE),"")</f>
        <v/>
      </c>
      <c r="Q309" s="31" t="str">
        <f>IFERROR(VLOOKUP($B309,#REF!,11,FALSE),"")</f>
        <v/>
      </c>
      <c r="R309" s="31" t="str">
        <f>IFERROR(VLOOKUP($B309,#REF!,12,FALSE),"")</f>
        <v/>
      </c>
      <c r="S309" s="31">
        <f t="shared" si="556"/>
        <v>60745.149201893451</v>
      </c>
      <c r="T309" s="31">
        <f t="shared" si="557"/>
        <v>12519.936563436177</v>
      </c>
      <c r="U309" s="31">
        <f t="shared" si="558"/>
        <v>35428.660712809542</v>
      </c>
      <c r="V309" s="31">
        <f t="shared" si="559"/>
        <v>32961.153598623729</v>
      </c>
      <c r="W309" s="31">
        <f t="shared" si="591"/>
        <v>60745.149201893451</v>
      </c>
      <c r="X309" s="31">
        <f t="shared" si="592"/>
        <v>12519.936563436177</v>
      </c>
      <c r="Y309" s="31">
        <f t="shared" si="593"/>
        <v>35428.660712809542</v>
      </c>
      <c r="Z309" s="31">
        <f t="shared" si="594"/>
        <v>32961.153598623729</v>
      </c>
      <c r="AA309" s="31">
        <f t="shared" si="560"/>
        <v>60769.898944374487</v>
      </c>
      <c r="AB309" s="31">
        <f t="shared" si="561"/>
        <v>13107.203338465824</v>
      </c>
      <c r="AC309" s="31">
        <f t="shared" si="562"/>
        <v>35468.52928240964</v>
      </c>
      <c r="AD309" s="31">
        <f t="shared" si="563"/>
        <v>32998.245433875374</v>
      </c>
      <c r="AE309" s="31">
        <f t="shared" si="595"/>
        <v>142343.87699912532</v>
      </c>
      <c r="AF309" s="31">
        <f>IFERROR(VLOOKUP(A309,'Allocations By Type'!$D$7:$F$491,3,FALSE),"")</f>
        <v>98234.2</v>
      </c>
      <c r="AG309" s="31">
        <f t="shared" si="596"/>
        <v>5693.7550799650126</v>
      </c>
      <c r="AH309" s="31">
        <f t="shared" si="597"/>
        <v>5693.7550799650126</v>
      </c>
      <c r="AI309" s="31">
        <f t="shared" si="598"/>
        <v>136650.1219191603</v>
      </c>
      <c r="AJ309" s="31">
        <f>AI309/$AI$577*'State Admin 1004(b)'!$B$30*0.01</f>
        <v>1300.4307878861532</v>
      </c>
      <c r="AK309" s="31">
        <f t="shared" si="599"/>
        <v>135349.69113127416</v>
      </c>
      <c r="AL309" s="31">
        <f t="shared" si="600"/>
        <v>1353.4969113127415</v>
      </c>
      <c r="AM309" s="31">
        <f t="shared" si="601"/>
        <v>133996.19421996141</v>
      </c>
      <c r="AP309" s="31"/>
      <c r="AQ309" s="4">
        <f t="shared" si="434"/>
        <v>1.3640483072082983</v>
      </c>
      <c r="AW309" s="31">
        <f t="shared" si="590"/>
        <v>133566.59747344436</v>
      </c>
      <c r="AX309" s="4">
        <f t="shared" si="433"/>
        <v>1.3596751179675139</v>
      </c>
      <c r="AZ309" s="174" t="str">
        <f>IFERROR(IF(VLOOKUP(A309,#REF!,11,FALSE)=0,"",VLOOKUP(A309,#REF!,11,FALSE)),"")</f>
        <v/>
      </c>
      <c r="BA309" s="31" t="str">
        <f t="shared" si="436"/>
        <v/>
      </c>
      <c r="BB309" s="31">
        <f t="shared" si="437"/>
        <v>133566.59747344436</v>
      </c>
      <c r="BD309" s="31" t="str">
        <f>IFERROR(VLOOKUP(A309,'Title II Hold Harmless'!A$1:B$439,2, FALSE),"")</f>
        <v/>
      </c>
      <c r="BE309" s="31">
        <f t="shared" si="509"/>
        <v>1972.2280292466896</v>
      </c>
      <c r="BF309" s="31">
        <f t="shared" si="510"/>
        <v>1974.1362775530017</v>
      </c>
      <c r="BG309" s="31" t="str">
        <f t="shared" si="440"/>
        <v/>
      </c>
      <c r="BH309" s="31">
        <f t="shared" si="441"/>
        <v>1974.1362775530017</v>
      </c>
    </row>
    <row r="310" spans="1:60" x14ac:dyDescent="0.3">
      <c r="A310" s="1">
        <v>78945000</v>
      </c>
      <c r="B310">
        <f>VLOOKUP(C310,'NCES ID'!$A$2:$B$3136,2,FALSE)</f>
        <v>400303</v>
      </c>
      <c r="C310">
        <f>VLOOKUP(A310,'State ID'!$A$2:$B$713,2,FALSE)</f>
        <v>79701</v>
      </c>
      <c r="D310" s="147" t="s">
        <v>307</v>
      </c>
      <c r="E310" t="s">
        <v>7</v>
      </c>
      <c r="I310" s="47">
        <f>VLOOKUP($C310,'Final SEA Counts'!$A$2:$F$709,5,FALSE)</f>
        <v>69</v>
      </c>
      <c r="J310" s="47">
        <f>VLOOKUP($C310,'Final SEA Counts'!$A$2:$F$709,6,FALSE)</f>
        <v>52</v>
      </c>
      <c r="K310" s="24">
        <f t="shared" si="602"/>
        <v>69</v>
      </c>
      <c r="L310" s="24">
        <f t="shared" si="521"/>
        <v>25.695341466978753</v>
      </c>
      <c r="M310" s="4">
        <f t="shared" si="435"/>
        <v>0.3723962531446196</v>
      </c>
      <c r="N310" s="31" t="str">
        <f>IFERROR(VLOOKUP($B310,#REF!,8,FALSE),"")</f>
        <v/>
      </c>
      <c r="O310" s="31" t="str">
        <f>IFERROR(VLOOKUP($B310,#REF!,9,FALSE),"")</f>
        <v/>
      </c>
      <c r="P310" s="31" t="str">
        <f>IFERROR(VLOOKUP($B310,#REF!,10,FALSE),"")</f>
        <v/>
      </c>
      <c r="Q310" s="31" t="str">
        <f>IFERROR(VLOOKUP($B310,#REF!,11,FALSE),"")</f>
        <v/>
      </c>
      <c r="R310" s="31" t="str">
        <f>IFERROR(VLOOKUP($B310,#REF!,12,FALSE),"")</f>
        <v/>
      </c>
      <c r="S310" s="31">
        <f t="shared" si="556"/>
        <v>12387.246111758664</v>
      </c>
      <c r="T310" s="31">
        <f t="shared" si="557"/>
        <v>2553.0851031320831</v>
      </c>
      <c r="U310" s="31">
        <f t="shared" si="558"/>
        <v>7224.6680669258676</v>
      </c>
      <c r="V310" s="31">
        <f t="shared" si="559"/>
        <v>6721.4901456017014</v>
      </c>
      <c r="W310" s="31">
        <f t="shared" si="591"/>
        <v>12387.246111758664</v>
      </c>
      <c r="X310" s="31">
        <f t="shared" si="592"/>
        <v>2553.0851031320831</v>
      </c>
      <c r="Y310" s="31">
        <f t="shared" si="593"/>
        <v>7224.6680669258676</v>
      </c>
      <c r="Z310" s="31">
        <f t="shared" si="594"/>
        <v>6721.4901456017014</v>
      </c>
      <c r="AA310" s="31">
        <f t="shared" si="560"/>
        <v>12411.9958542397</v>
      </c>
      <c r="AB310" s="31">
        <f t="shared" si="561"/>
        <v>3140.3518781617313</v>
      </c>
      <c r="AC310" s="31">
        <f t="shared" si="562"/>
        <v>7264.5366365259642</v>
      </c>
      <c r="AD310" s="31">
        <f t="shared" si="563"/>
        <v>6758.5819808533461</v>
      </c>
      <c r="AE310" s="31">
        <f t="shared" si="595"/>
        <v>29575.466349780741</v>
      </c>
      <c r="AF310" s="31">
        <f>IFERROR(VLOOKUP(A310,'Allocations By Type'!$D$7:$F$491,3,FALSE),"")</f>
        <v>23691.15</v>
      </c>
      <c r="AG310" s="31">
        <f t="shared" si="596"/>
        <v>1183.0186539912297</v>
      </c>
      <c r="AH310" s="31">
        <f t="shared" si="597"/>
        <v>1183.0186539912297</v>
      </c>
      <c r="AI310" s="31">
        <f t="shared" si="598"/>
        <v>28392.447695789513</v>
      </c>
      <c r="AJ310" s="31">
        <f>AI310/$AI$577*'State Admin 1004(b)'!$B$30*0.01</f>
        <v>270.19670826854127</v>
      </c>
      <c r="AK310" s="31">
        <f t="shared" si="599"/>
        <v>28122.250987520973</v>
      </c>
      <c r="AL310" s="31">
        <f t="shared" si="600"/>
        <v>281.22250987520971</v>
      </c>
      <c r="AM310" s="31">
        <f t="shared" si="601"/>
        <v>27841.028477645763</v>
      </c>
      <c r="AP310" s="31"/>
      <c r="AQ310" s="4">
        <f t="shared" ref="AQ310:AQ353" si="603">IFERROR(AM310/AF310,"")</f>
        <v>1.1751657677084379</v>
      </c>
      <c r="AW310" s="31">
        <f t="shared" si="590"/>
        <v>27751.769112308481</v>
      </c>
      <c r="AX310" s="4">
        <f t="shared" ref="AX310:AX353" si="604">IFERROR(AW310/AF310,"")</f>
        <v>1.1713981428638323</v>
      </c>
      <c r="AZ310" s="174" t="str">
        <f>IFERROR(IF(VLOOKUP(A310,#REF!,11,FALSE)=0,"",VLOOKUP(A310,#REF!,11,FALSE)),"")</f>
        <v/>
      </c>
      <c r="BA310" s="31" t="str">
        <f t="shared" si="436"/>
        <v/>
      </c>
      <c r="BB310" s="31">
        <f t="shared" si="437"/>
        <v>27751.769112308481</v>
      </c>
      <c r="BD310" s="31">
        <f>IFERROR(VLOOKUP(A310,'Title II Hold Harmless'!A$1:B$439,2, FALSE),"")</f>
        <v>1943</v>
      </c>
      <c r="BE310" s="31">
        <f t="shared" si="509"/>
        <v>2334.9004899300126</v>
      </c>
      <c r="BF310" s="31">
        <f t="shared" si="510"/>
        <v>2337.1596454836522</v>
      </c>
      <c r="BG310" s="31" t="str">
        <f t="shared" si="440"/>
        <v/>
      </c>
      <c r="BH310" s="31">
        <f t="shared" si="441"/>
        <v>2337.1596454836522</v>
      </c>
    </row>
    <row r="311" spans="1:60" x14ac:dyDescent="0.3">
      <c r="A311" s="1">
        <v>78907000</v>
      </c>
      <c r="B311">
        <f>VLOOKUP(C311,'NCES ID'!$A$2:$B$3136,2,FALSE)</f>
        <v>400239</v>
      </c>
      <c r="C311">
        <f>VLOOKUP(A311,'State ID'!$A$2:$B$713,2,FALSE)</f>
        <v>6235</v>
      </c>
      <c r="D311" s="147" t="s">
        <v>314</v>
      </c>
      <c r="E311" t="s">
        <v>7</v>
      </c>
      <c r="I311" s="47">
        <f>VLOOKUP($C311,'Final SEA Counts'!$A$2:$F$709,5,FALSE)</f>
        <v>1184</v>
      </c>
      <c r="J311" s="47">
        <f>VLOOKUP($C311,'Final SEA Counts'!$A$2:$F$709,6,FALSE)</f>
        <v>983</v>
      </c>
      <c r="K311" s="24">
        <f t="shared" si="602"/>
        <v>1184</v>
      </c>
      <c r="L311" s="24">
        <f t="shared" si="521"/>
        <v>485.74078196230988</v>
      </c>
      <c r="M311" s="4">
        <f t="shared" si="435"/>
        <v>0.4102540388195185</v>
      </c>
      <c r="N311" s="31" t="str">
        <f>IFERROR(VLOOKUP($B311,#REF!,8,FALSE),"")</f>
        <v/>
      </c>
      <c r="O311" s="31" t="str">
        <f>IFERROR(VLOOKUP($B311,#REF!,9,FALSE),"")</f>
        <v/>
      </c>
      <c r="P311" s="31" t="str">
        <f>IFERROR(VLOOKUP($B311,#REF!,10,FALSE),"")</f>
        <v/>
      </c>
      <c r="Q311" s="31" t="str">
        <f>IFERROR(VLOOKUP($B311,#REF!,11,FALSE),"")</f>
        <v/>
      </c>
      <c r="R311" s="31" t="str">
        <f>IFERROR(VLOOKUP($B311,#REF!,12,FALSE),"")</f>
        <v/>
      </c>
      <c r="S311" s="31">
        <f t="shared" si="556"/>
        <v>234166.59476651475</v>
      </c>
      <c r="T311" s="31">
        <f t="shared" si="557"/>
        <v>48263.128007285341</v>
      </c>
      <c r="U311" s="31">
        <f t="shared" si="558"/>
        <v>136574.01364977169</v>
      </c>
      <c r="V311" s="31">
        <f t="shared" si="559"/>
        <v>127062.01563704753</v>
      </c>
      <c r="W311" s="31">
        <f t="shared" si="591"/>
        <v>234166.59476651475</v>
      </c>
      <c r="X311" s="31">
        <f t="shared" si="592"/>
        <v>48263.128007285341</v>
      </c>
      <c r="Y311" s="31">
        <f t="shared" si="593"/>
        <v>136574.01364977169</v>
      </c>
      <c r="Z311" s="31">
        <f t="shared" si="594"/>
        <v>127062.01563704753</v>
      </c>
      <c r="AA311" s="31">
        <f t="shared" si="560"/>
        <v>234191.3445089958</v>
      </c>
      <c r="AB311" s="31">
        <f t="shared" si="561"/>
        <v>48850.394782314987</v>
      </c>
      <c r="AC311" s="31">
        <f t="shared" si="562"/>
        <v>136613.88221937179</v>
      </c>
      <c r="AD311" s="31">
        <f t="shared" si="563"/>
        <v>127099.10747229918</v>
      </c>
      <c r="AE311" s="31">
        <f t="shared" si="595"/>
        <v>546754.72898298176</v>
      </c>
      <c r="AF311" s="31">
        <f>IFERROR(VLOOKUP(A311,'Allocations By Type'!$D$7:$F$491,3,FALSE),"")</f>
        <v>477126.57</v>
      </c>
      <c r="AG311" s="31">
        <f t="shared" si="596"/>
        <v>21870.18915931927</v>
      </c>
      <c r="AH311" s="31">
        <f t="shared" si="597"/>
        <v>21870.18915931927</v>
      </c>
      <c r="AI311" s="31">
        <f t="shared" si="598"/>
        <v>524884.53982366249</v>
      </c>
      <c r="AJ311" s="31">
        <f>AI311/$AI$577*'State Admin 1004(b)'!$B$30*0.01</f>
        <v>4995.0633492734523</v>
      </c>
      <c r="AK311" s="31">
        <f t="shared" si="599"/>
        <v>519889.47647438903</v>
      </c>
      <c r="AL311" s="31">
        <f t="shared" si="600"/>
        <v>5198.8947647438899</v>
      </c>
      <c r="AM311" s="31">
        <f t="shared" si="601"/>
        <v>514690.58170964516</v>
      </c>
      <c r="AP311" s="31"/>
      <c r="AQ311" s="4">
        <f t="shared" si="603"/>
        <v>1.0787296580646204</v>
      </c>
      <c r="AW311" s="31">
        <f t="shared" si="590"/>
        <v>513040.46469958691</v>
      </c>
      <c r="AX311" s="4">
        <f t="shared" si="604"/>
        <v>1.0752712109484637</v>
      </c>
      <c r="AZ311" s="174" t="str">
        <f>IFERROR(IF(VLOOKUP(A311,#REF!,11,FALSE)=0,"",VLOOKUP(A311,#REF!,11,FALSE)),"")</f>
        <v/>
      </c>
      <c r="BA311" s="31" t="str">
        <f t="shared" si="436"/>
        <v/>
      </c>
      <c r="BB311" s="31">
        <f t="shared" si="437"/>
        <v>513040.46469958691</v>
      </c>
      <c r="BD311" s="31">
        <f>IFERROR(VLOOKUP(A311,'Title II Hold Harmless'!A$1:B$439,2, FALSE),"")</f>
        <v>4097</v>
      </c>
      <c r="BE311" s="31">
        <f t="shared" si="509"/>
        <v>11408.556545089876</v>
      </c>
      <c r="BF311" s="31">
        <f t="shared" si="510"/>
        <v>11419.595004325722</v>
      </c>
      <c r="BG311" s="31" t="str">
        <f t="shared" si="440"/>
        <v/>
      </c>
      <c r="BH311" s="31">
        <f t="shared" si="441"/>
        <v>11419.595004325722</v>
      </c>
    </row>
    <row r="312" spans="1:60" x14ac:dyDescent="0.3">
      <c r="A312" s="1">
        <v>78940000</v>
      </c>
      <c r="B312">
        <f>VLOOKUP(C312,'NCES ID'!$A$2:$B$3136,2,FALSE)</f>
        <v>400290</v>
      </c>
      <c r="C312">
        <f>VLOOKUP(A312,'State ID'!$A$2:$B$713,2,FALSE)</f>
        <v>79578</v>
      </c>
      <c r="D312" s="147" t="s">
        <v>320</v>
      </c>
      <c r="E312" t="s">
        <v>7</v>
      </c>
      <c r="I312" s="47">
        <f>VLOOKUP($C312,'Final SEA Counts'!$A$2:$F$709,5,FALSE)</f>
        <v>664</v>
      </c>
      <c r="J312" s="47">
        <f>VLOOKUP($C312,'Final SEA Counts'!$A$2:$F$709,6,FALSE)</f>
        <v>653</v>
      </c>
      <c r="K312" s="24">
        <f t="shared" si="602"/>
        <v>664</v>
      </c>
      <c r="L312" s="24">
        <f t="shared" si="521"/>
        <v>322.67419188340625</v>
      </c>
      <c r="M312" s="4">
        <f t="shared" si="435"/>
        <v>0.48595510825814192</v>
      </c>
      <c r="N312" s="31" t="str">
        <f>IFERROR(VLOOKUP($B312,#REF!,8,FALSE),"")</f>
        <v/>
      </c>
      <c r="O312" s="31" t="str">
        <f>IFERROR(VLOOKUP($B312,#REF!,9,FALSE),"")</f>
        <v/>
      </c>
      <c r="P312" s="31" t="str">
        <f>IFERROR(VLOOKUP($B312,#REF!,10,FALSE),"")</f>
        <v/>
      </c>
      <c r="Q312" s="31" t="str">
        <f>IFERROR(VLOOKUP($B312,#REF!,11,FALSE),"")</f>
        <v/>
      </c>
      <c r="R312" s="31" t="str">
        <f>IFERROR(VLOOKUP($B312,#REF!,12,FALSE),"")</f>
        <v/>
      </c>
      <c r="S312" s="31">
        <f t="shared" si="556"/>
        <v>155555.22521112321</v>
      </c>
      <c r="T312" s="31">
        <f t="shared" si="557"/>
        <v>32060.857160485579</v>
      </c>
      <c r="U312" s="31">
        <f t="shared" si="558"/>
        <v>90725.158609665217</v>
      </c>
      <c r="V312" s="31">
        <f t="shared" si="559"/>
        <v>84406.405097652125</v>
      </c>
      <c r="W312" s="31">
        <f t="shared" si="591"/>
        <v>155555.22521112321</v>
      </c>
      <c r="X312" s="31">
        <f t="shared" si="592"/>
        <v>32060.857160485579</v>
      </c>
      <c r="Y312" s="31">
        <f t="shared" si="593"/>
        <v>90725.158609665217</v>
      </c>
      <c r="Z312" s="31">
        <f t="shared" si="594"/>
        <v>84406.405097652125</v>
      </c>
      <c r="AA312" s="31">
        <f t="shared" si="560"/>
        <v>155579.97495360425</v>
      </c>
      <c r="AB312" s="31">
        <f t="shared" si="561"/>
        <v>32648.123935515228</v>
      </c>
      <c r="AC312" s="31">
        <f t="shared" si="562"/>
        <v>90765.027179265307</v>
      </c>
      <c r="AD312" s="31">
        <f t="shared" si="563"/>
        <v>84443.49693290377</v>
      </c>
      <c r="AE312" s="31">
        <f t="shared" si="595"/>
        <v>363436.62300128856</v>
      </c>
      <c r="AF312" s="31">
        <f>IFERROR(VLOOKUP(A312,'Allocations By Type'!$D$7:$F$491,3,FALSE),"")</f>
        <v>351181.9</v>
      </c>
      <c r="AG312" s="31">
        <f t="shared" si="596"/>
        <v>14537.464920051543</v>
      </c>
      <c r="AH312" s="31">
        <f t="shared" si="597"/>
        <v>12254.723001288541</v>
      </c>
      <c r="AI312" s="31">
        <f t="shared" si="598"/>
        <v>351181.9</v>
      </c>
      <c r="AJ312" s="31">
        <f>AI312/$AI$577*'State Admin 1004(b)'!$B$30*0.01</f>
        <v>3342.0223011474841</v>
      </c>
      <c r="AK312" s="31">
        <f t="shared" si="599"/>
        <v>347839.87769885256</v>
      </c>
      <c r="AL312" s="31">
        <f t="shared" si="600"/>
        <v>3478.3987769885257</v>
      </c>
      <c r="AM312" s="31">
        <f t="shared" si="601"/>
        <v>344361.47892186407</v>
      </c>
      <c r="AP312" s="31"/>
      <c r="AQ312" s="4">
        <f t="shared" si="603"/>
        <v>0.98057866570533403</v>
      </c>
      <c r="AW312" s="31">
        <f t="shared" si="590"/>
        <v>343257.44330479432</v>
      </c>
      <c r="AX312" s="4">
        <f t="shared" si="604"/>
        <v>0.97743489429493458</v>
      </c>
      <c r="AZ312" s="174" t="str">
        <f>IFERROR(IF(VLOOKUP(A312,#REF!,11,FALSE)=0,"",VLOOKUP(A312,#REF!,11,FALSE)),"")</f>
        <v/>
      </c>
      <c r="BA312" s="31" t="str">
        <f t="shared" si="436"/>
        <v/>
      </c>
      <c r="BB312" s="31">
        <f t="shared" si="437"/>
        <v>343257.44330479432</v>
      </c>
      <c r="BD312" s="31" t="str">
        <f>IFERROR(VLOOKUP(A312,'Title II Hold Harmless'!A$1:B$439,2, FALSE),"")</f>
        <v/>
      </c>
      <c r="BE312" s="31">
        <f t="shared" si="509"/>
        <v>4758.409307569993</v>
      </c>
      <c r="BF312" s="31">
        <f t="shared" ref="BF312" si="605">$BD$583*BE312</f>
        <v>4763.0133525218225</v>
      </c>
      <c r="BG312" s="31" t="str">
        <f t="shared" si="440"/>
        <v/>
      </c>
      <c r="BH312" s="31">
        <f t="shared" si="441"/>
        <v>4763.0133525218225</v>
      </c>
    </row>
    <row r="313" spans="1:60" x14ac:dyDescent="0.3">
      <c r="A313" s="1">
        <v>78912000</v>
      </c>
      <c r="B313">
        <f>VLOOKUP(C313,'NCES ID'!$A$2:$B$3136,2,FALSE)</f>
        <v>400241</v>
      </c>
      <c r="C313">
        <f>VLOOKUP(A313,'State ID'!$A$2:$B$713,2,FALSE)</f>
        <v>5180</v>
      </c>
      <c r="D313" s="147" t="s">
        <v>322</v>
      </c>
      <c r="E313" t="s">
        <v>7</v>
      </c>
      <c r="I313" s="47">
        <f>VLOOKUP($C313,'Final SEA Counts'!$A$2:$F$709,5,FALSE)</f>
        <v>1940</v>
      </c>
      <c r="J313" s="47">
        <f>VLOOKUP($C313,'Final SEA Counts'!$A$2:$F$709,6,FALSE)</f>
        <v>475</v>
      </c>
      <c r="K313" s="24">
        <f t="shared" si="602"/>
        <v>1940</v>
      </c>
      <c r="L313" s="24">
        <f t="shared" si="521"/>
        <v>234.71706147720974</v>
      </c>
      <c r="M313" s="4">
        <f t="shared" si="435"/>
        <v>0.12098817601918027</v>
      </c>
      <c r="N313" s="31" t="str">
        <f>IFERROR(VLOOKUP($B313,#REF!,8,FALSE),"")</f>
        <v/>
      </c>
      <c r="O313" s="31" t="str">
        <f>IFERROR(VLOOKUP($B313,#REF!,9,FALSE),"")</f>
        <v/>
      </c>
      <c r="P313" s="31" t="str">
        <f>IFERROR(VLOOKUP($B313,#REF!,10,FALSE),"")</f>
        <v/>
      </c>
      <c r="Q313" s="31" t="str">
        <f>IFERROR(VLOOKUP($B313,#REF!,11,FALSE),"")</f>
        <v/>
      </c>
      <c r="R313" s="31" t="str">
        <f>IFERROR(VLOOKUP($B313,#REF!,12,FALSE),"")</f>
        <v/>
      </c>
      <c r="S313" s="31">
        <f t="shared" si="556"/>
        <v>113152.72890548779</v>
      </c>
      <c r="T313" s="31">
        <f t="shared" si="557"/>
        <v>23321.45046130268</v>
      </c>
      <c r="U313" s="31">
        <f t="shared" si="558"/>
        <v>65994.564072880516</v>
      </c>
      <c r="V313" s="31">
        <f t="shared" si="559"/>
        <v>61398.227291553994</v>
      </c>
      <c r="W313" s="31">
        <f t="shared" si="591"/>
        <v>113152.72890548779</v>
      </c>
      <c r="X313" s="31" t="str">
        <f t="shared" si="592"/>
        <v/>
      </c>
      <c r="Y313" s="31">
        <f t="shared" si="593"/>
        <v>65994.564072880516</v>
      </c>
      <c r="Z313" s="31">
        <f t="shared" si="594"/>
        <v>61398.227291553994</v>
      </c>
      <c r="AA313" s="31">
        <f t="shared" si="560"/>
        <v>113177.47864796882</v>
      </c>
      <c r="AB313" s="31" t="str">
        <f t="shared" si="561"/>
        <v/>
      </c>
      <c r="AC313" s="31">
        <f t="shared" si="562"/>
        <v>66034.432642480606</v>
      </c>
      <c r="AD313" s="31">
        <f t="shared" si="563"/>
        <v>61435.31912680564</v>
      </c>
      <c r="AE313" s="31">
        <f t="shared" si="595"/>
        <v>240647.23041725508</v>
      </c>
      <c r="AF313" s="31">
        <f>IFERROR(VLOOKUP(A313,'Allocations By Type'!$D$7:$F$491,3,FALSE),"")</f>
        <v>222678.57</v>
      </c>
      <c r="AG313" s="31">
        <f t="shared" si="596"/>
        <v>9625.8892166902042</v>
      </c>
      <c r="AH313" s="31">
        <f t="shared" si="597"/>
        <v>9625.8892166902042</v>
      </c>
      <c r="AI313" s="31">
        <f t="shared" si="598"/>
        <v>231021.34120056487</v>
      </c>
      <c r="AJ313" s="31">
        <f>AI313/$AI$577*'State Admin 1004(b)'!$B$30*0.01</f>
        <v>2198.5144289420659</v>
      </c>
      <c r="AK313" s="31">
        <f t="shared" si="599"/>
        <v>228822.82677162281</v>
      </c>
      <c r="AL313" s="31">
        <f t="shared" si="600"/>
        <v>2288.2282677162284</v>
      </c>
      <c r="AM313" s="31">
        <f t="shared" si="601"/>
        <v>226534.5985039066</v>
      </c>
      <c r="AP313" s="31"/>
      <c r="AQ313" s="4">
        <f t="shared" si="603"/>
        <v>1.0173165675704967</v>
      </c>
      <c r="AW313" s="31">
        <f t="shared" si="590"/>
        <v>225808.32021624816</v>
      </c>
      <c r="AX313" s="4">
        <f t="shared" si="604"/>
        <v>1.0140550130901602</v>
      </c>
      <c r="AZ313" s="174" t="str">
        <f>IFERROR(IF(VLOOKUP(A313,#REF!,11,FALSE)=0,"",VLOOKUP(A313,#REF!,11,FALSE)),"")</f>
        <v/>
      </c>
      <c r="BA313" s="31" t="str">
        <f t="shared" si="436"/>
        <v/>
      </c>
      <c r="BB313" s="31">
        <f t="shared" si="437"/>
        <v>225808.32021624816</v>
      </c>
      <c r="BD313" s="31">
        <f>IFERROR(VLOOKUP(A313,'Title II Hold Harmless'!A$1:B$439,2, FALSE),"")</f>
        <v>6602</v>
      </c>
      <c r="BE313" s="31">
        <f t="shared" ref="BE313:BE353" si="606">IFERROR($BD$582*(0.8*($L313/$L$579)+0.2*($K313/$K$579))+$BD313,$BD$582*(0.8*($L313/$L$579)+0.2*($K313/$K$579)))</f>
        <v>11235.91568403061</v>
      </c>
      <c r="BF313" s="31">
        <f t="shared" ref="BF313:BF353" si="607">$BD$583*BE313</f>
        <v>11246.787102931448</v>
      </c>
      <c r="BG313" s="31" t="str">
        <f t="shared" si="440"/>
        <v/>
      </c>
      <c r="BH313" s="31">
        <f t="shared" si="441"/>
        <v>11246.787102931448</v>
      </c>
    </row>
    <row r="314" spans="1:60" x14ac:dyDescent="0.3">
      <c r="A314" s="1">
        <v>78905000</v>
      </c>
      <c r="B314">
        <f>VLOOKUP(C314,'NCES ID'!$A$2:$B$3136,2,FALSE)</f>
        <v>400237</v>
      </c>
      <c r="C314">
        <f>VLOOKUP(A314,'State ID'!$A$2:$B$713,2,FALSE)</f>
        <v>79205</v>
      </c>
      <c r="D314" s="147" t="s">
        <v>323</v>
      </c>
      <c r="E314" t="s">
        <v>7</v>
      </c>
      <c r="I314" s="47">
        <f>VLOOKUP($C314,'Final SEA Counts'!$A$2:$F$709,5,FALSE)</f>
        <v>378</v>
      </c>
      <c r="J314" s="47">
        <f>VLOOKUP($C314,'Final SEA Counts'!$A$2:$F$709,6,FALSE)</f>
        <v>204</v>
      </c>
      <c r="K314" s="24">
        <f t="shared" si="602"/>
        <v>378</v>
      </c>
      <c r="L314" s="24">
        <f t="shared" si="521"/>
        <v>100.80480113968588</v>
      </c>
      <c r="M314" s="4">
        <f t="shared" si="435"/>
        <v>0.26667936809440707</v>
      </c>
      <c r="N314" s="31" t="str">
        <f>IFERROR(VLOOKUP($B314,#REF!,8,FALSE),"")</f>
        <v/>
      </c>
      <c r="O314" s="31" t="str">
        <f>IFERROR(VLOOKUP($B314,#REF!,9,FALSE),"")</f>
        <v/>
      </c>
      <c r="P314" s="31" t="str">
        <f>IFERROR(VLOOKUP($B314,#REF!,10,FALSE),"")</f>
        <v/>
      </c>
      <c r="Q314" s="31" t="str">
        <f>IFERROR(VLOOKUP($B314,#REF!,11,FALSE),"")</f>
        <v/>
      </c>
      <c r="R314" s="31" t="str">
        <f>IFERROR(VLOOKUP($B314,#REF!,12,FALSE),"")</f>
        <v/>
      </c>
      <c r="S314" s="31">
        <f t="shared" si="556"/>
        <v>48596.119361514757</v>
      </c>
      <c r="T314" s="31">
        <f t="shared" si="557"/>
        <v>10015.949250748941</v>
      </c>
      <c r="U314" s="31">
        <f t="shared" si="558"/>
        <v>28342.928570247634</v>
      </c>
      <c r="V314" s="31">
        <f t="shared" si="559"/>
        <v>26368.922878898982</v>
      </c>
      <c r="W314" s="31">
        <f t="shared" si="591"/>
        <v>48596.119361514757</v>
      </c>
      <c r="X314" s="31">
        <f t="shared" si="592"/>
        <v>10015.949250748941</v>
      </c>
      <c r="Y314" s="31">
        <f t="shared" si="593"/>
        <v>28342.928570247634</v>
      </c>
      <c r="Z314" s="31">
        <f t="shared" si="594"/>
        <v>26368.922878898982</v>
      </c>
      <c r="AA314" s="31">
        <f t="shared" si="560"/>
        <v>48620.869103995792</v>
      </c>
      <c r="AB314" s="31">
        <f t="shared" si="561"/>
        <v>10603.216025778589</v>
      </c>
      <c r="AC314" s="31">
        <f t="shared" si="562"/>
        <v>28382.797139847731</v>
      </c>
      <c r="AD314" s="31">
        <f t="shared" si="563"/>
        <v>26406.014714150628</v>
      </c>
      <c r="AE314" s="31">
        <f t="shared" si="595"/>
        <v>114012.89698377275</v>
      </c>
      <c r="AF314" s="31">
        <f>IFERROR(VLOOKUP(A314,'Allocations By Type'!$D$7:$F$491,3,FALSE),"")</f>
        <v>89732.72</v>
      </c>
      <c r="AG314" s="31">
        <f t="shared" si="596"/>
        <v>4560.5158793509099</v>
      </c>
      <c r="AH314" s="31">
        <f t="shared" si="597"/>
        <v>4560.5158793509099</v>
      </c>
      <c r="AI314" s="31">
        <f t="shared" si="598"/>
        <v>109452.38110442185</v>
      </c>
      <c r="AJ314" s="31">
        <f>AI314/$AI$577*'State Admin 1004(b)'!$B$30*0.01</f>
        <v>1041.6035067999553</v>
      </c>
      <c r="AK314" s="31">
        <f t="shared" si="599"/>
        <v>108410.77759762188</v>
      </c>
      <c r="AL314" s="31">
        <f t="shared" si="600"/>
        <v>1084.1077759762188</v>
      </c>
      <c r="AM314" s="31">
        <f t="shared" si="601"/>
        <v>107326.66982164567</v>
      </c>
      <c r="AP314" s="31"/>
      <c r="AQ314" s="4">
        <f t="shared" si="603"/>
        <v>1.196070617514388</v>
      </c>
      <c r="AW314" s="31">
        <f t="shared" si="590"/>
        <v>106982.57655512946</v>
      </c>
      <c r="AX314" s="4">
        <f t="shared" si="604"/>
        <v>1.1922359709493868</v>
      </c>
      <c r="AZ314" s="174" t="str">
        <f>IFERROR(IF(VLOOKUP(A314,#REF!,11,FALSE)=0,"",VLOOKUP(A314,#REF!,11,FALSE)),"")</f>
        <v/>
      </c>
      <c r="BA314" s="31" t="str">
        <f t="shared" si="436"/>
        <v/>
      </c>
      <c r="BB314" s="31">
        <f t="shared" si="437"/>
        <v>106982.57655512946</v>
      </c>
      <c r="BD314" s="31">
        <f>IFERROR(VLOOKUP(A314,'Title II Hold Harmless'!A$1:B$439,2, FALSE),"")</f>
        <v>6942</v>
      </c>
      <c r="BE314" s="31">
        <f t="shared" si="606"/>
        <v>8565.8169656362807</v>
      </c>
      <c r="BF314" s="31">
        <f t="shared" si="607"/>
        <v>8574.104904695283</v>
      </c>
      <c r="BG314" s="31" t="str">
        <f t="shared" si="440"/>
        <v/>
      </c>
      <c r="BH314" s="31">
        <f t="shared" si="441"/>
        <v>8574.104904695283</v>
      </c>
    </row>
    <row r="315" spans="1:60" x14ac:dyDescent="0.3">
      <c r="A315" s="1">
        <v>78963000</v>
      </c>
      <c r="B315">
        <f>VLOOKUP(C315,'NCES ID'!$A$2:$B$3136,2,FALSE)</f>
        <v>400364</v>
      </c>
      <c r="C315">
        <f>VLOOKUP(A315,'State ID'!$A$2:$B$713,2,FALSE)</f>
        <v>79953</v>
      </c>
      <c r="D315" s="192" t="s">
        <v>326</v>
      </c>
      <c r="E315" t="s">
        <v>7</v>
      </c>
      <c r="I315" s="47">
        <f>VLOOKUP($C315,'AzEDS FY17 12-04-16'!$A$1:$D$712,3,FALSE)</f>
        <v>130</v>
      </c>
      <c r="J315" s="47">
        <f>VLOOKUP($C315,'AzEDS FY17 12-04-16'!$A$1:$D$712,4,FALSE)</f>
        <v>100</v>
      </c>
      <c r="K315" s="24">
        <f t="shared" si="602"/>
        <v>130</v>
      </c>
      <c r="L315" s="24">
        <f t="shared" si="521"/>
        <v>49.414118205728371</v>
      </c>
      <c r="M315" s="4">
        <f t="shared" si="435"/>
        <v>0.38010860158252591</v>
      </c>
      <c r="N315" s="31" t="str">
        <f>IFERROR(VLOOKUP($B315,#REF!,8,FALSE),"")</f>
        <v/>
      </c>
      <c r="O315" s="31" t="str">
        <f>IFERROR(VLOOKUP($B315,#REF!,9,FALSE),"")</f>
        <v/>
      </c>
      <c r="P315" s="31" t="str">
        <f>IFERROR(VLOOKUP($B315,#REF!,10,FALSE),"")</f>
        <v/>
      </c>
      <c r="Q315" s="31" t="str">
        <f>IFERROR(VLOOKUP($B315,#REF!,11,FALSE),"")</f>
        <v/>
      </c>
      <c r="R315" s="31" t="str">
        <f>IFERROR(VLOOKUP($B315,#REF!,12,FALSE),"")</f>
        <v/>
      </c>
      <c r="S315" s="31">
        <f t="shared" si="556"/>
        <v>23821.627137997431</v>
      </c>
      <c r="T315" s="31">
        <f t="shared" si="557"/>
        <v>4909.7790444847751</v>
      </c>
      <c r="U315" s="31">
        <f t="shared" si="558"/>
        <v>13893.592436395898</v>
      </c>
      <c r="V315" s="31">
        <f t="shared" si="559"/>
        <v>12925.942587695579</v>
      </c>
      <c r="W315" s="31">
        <f t="shared" si="591"/>
        <v>23821.627137997431</v>
      </c>
      <c r="X315" s="31">
        <f t="shared" si="592"/>
        <v>4909.7790444847751</v>
      </c>
      <c r="Y315" s="31">
        <f t="shared" si="593"/>
        <v>13893.592436395898</v>
      </c>
      <c r="Z315" s="31">
        <f t="shared" si="594"/>
        <v>12925.942587695579</v>
      </c>
      <c r="AA315" s="31">
        <f t="shared" si="560"/>
        <v>23846.376880478467</v>
      </c>
      <c r="AB315" s="31">
        <f t="shared" si="561"/>
        <v>5497.0458195144229</v>
      </c>
      <c r="AC315" s="31">
        <f t="shared" si="562"/>
        <v>13933.461005995994</v>
      </c>
      <c r="AD315" s="31">
        <f t="shared" si="563"/>
        <v>12963.034422947225</v>
      </c>
      <c r="AE315" s="31">
        <f t="shared" si="595"/>
        <v>56239.918128936108</v>
      </c>
      <c r="AF315" s="31">
        <f>IFERROR(VLOOKUP(A315,'Allocations By Type'!$D$7:$F$491,3,FALSE),"")</f>
        <v>65954.259999999995</v>
      </c>
      <c r="AG315" s="31" t="str">
        <f t="shared" si="596"/>
        <v/>
      </c>
      <c r="AH315" s="31" t="str">
        <f t="shared" si="597"/>
        <v/>
      </c>
      <c r="AI315" s="31">
        <f t="shared" si="598"/>
        <v>56239.918128936108</v>
      </c>
      <c r="AJ315" s="31">
        <f>AI315/$AI$577*'State Admin 1004(b)'!$B$30*0.01</f>
        <v>535.20714080541495</v>
      </c>
      <c r="AK315" s="31">
        <f t="shared" si="599"/>
        <v>55704.71098813069</v>
      </c>
      <c r="AL315" s="31">
        <f t="shared" si="600"/>
        <v>557.04710988130694</v>
      </c>
      <c r="AM315" s="31">
        <f t="shared" si="601"/>
        <v>55147.663878249383</v>
      </c>
      <c r="AP315" s="31"/>
      <c r="AQ315" s="4">
        <f t="shared" si="603"/>
        <v>0.8361501422083939</v>
      </c>
      <c r="AW315" s="31">
        <f t="shared" si="590"/>
        <v>54970.858431512432</v>
      </c>
      <c r="AX315" s="4">
        <f t="shared" si="604"/>
        <v>0.83346941397739038</v>
      </c>
      <c r="AZ315" s="174" t="str">
        <f>IFERROR(IF(VLOOKUP(A315,#REF!,11,FALSE)=0,"",VLOOKUP(A315,#REF!,11,FALSE)),"")</f>
        <v/>
      </c>
      <c r="BA315" s="31" t="str">
        <f t="shared" si="436"/>
        <v/>
      </c>
      <c r="BB315" s="31">
        <f t="shared" si="437"/>
        <v>54970.858431512432</v>
      </c>
      <c r="BD315" s="31" t="str">
        <f>IFERROR(VLOOKUP(A315,'Title II Hold Harmless'!A$1:B$439,2, FALSE),"")</f>
        <v/>
      </c>
      <c r="BE315" s="31">
        <f t="shared" si="606"/>
        <v>751.48801993216193</v>
      </c>
      <c r="BF315" s="31">
        <f t="shared" si="607"/>
        <v>752.21512943470611</v>
      </c>
      <c r="BG315" s="31" t="str">
        <f t="shared" si="440"/>
        <v/>
      </c>
      <c r="BH315" s="31">
        <f t="shared" si="441"/>
        <v>752.21512943470611</v>
      </c>
    </row>
    <row r="316" spans="1:60" x14ac:dyDescent="0.3">
      <c r="A316" s="1">
        <v>78792000</v>
      </c>
      <c r="B316">
        <f>VLOOKUP(C316,'NCES ID'!$A$2:$B$3136,2,FALSE)</f>
        <v>400230</v>
      </c>
      <c r="C316">
        <f>VLOOKUP(A316,'State ID'!$A$2:$B$713,2,FALSE)</f>
        <v>79024</v>
      </c>
      <c r="D316" s="147" t="s">
        <v>329</v>
      </c>
      <c r="E316" t="s">
        <v>7</v>
      </c>
      <c r="I316" s="47">
        <f>VLOOKUP($C316,'Final SEA Counts'!$A$2:$F$709,5,FALSE)</f>
        <v>593</v>
      </c>
      <c r="J316" s="47">
        <f>VLOOKUP($C316,'Final SEA Counts'!$A$2:$F$709,6,FALSE)</f>
        <v>551</v>
      </c>
      <c r="K316" s="24">
        <f t="shared" si="602"/>
        <v>593</v>
      </c>
      <c r="L316" s="24">
        <f t="shared" si="521"/>
        <v>272.27179131356331</v>
      </c>
      <c r="M316" s="4">
        <f t="shared" si="435"/>
        <v>0.45914298703804945</v>
      </c>
      <c r="N316" s="31" t="str">
        <f>IFERROR(VLOOKUP($B316,#REF!,8,FALSE),"")</f>
        <v/>
      </c>
      <c r="O316" s="31" t="str">
        <f>IFERROR(VLOOKUP($B316,#REF!,9,FALSE),"")</f>
        <v/>
      </c>
      <c r="P316" s="31" t="str">
        <f>IFERROR(VLOOKUP($B316,#REF!,10,FALSE),"")</f>
        <v/>
      </c>
      <c r="Q316" s="31" t="str">
        <f>IFERROR(VLOOKUP($B316,#REF!,11,FALSE),"")</f>
        <v/>
      </c>
      <c r="R316" s="31" t="str">
        <f>IFERROR(VLOOKUP($B316,#REF!,12,FALSE),"")</f>
        <v/>
      </c>
      <c r="S316" s="31">
        <f t="shared" si="556"/>
        <v>131257.16553036583</v>
      </c>
      <c r="T316" s="31">
        <f t="shared" si="557"/>
        <v>27052.882535111108</v>
      </c>
      <c r="U316" s="31">
        <f t="shared" si="558"/>
        <v>76553.6943245414</v>
      </c>
      <c r="V316" s="31">
        <f t="shared" si="559"/>
        <v>71221.943658202639</v>
      </c>
      <c r="W316" s="31">
        <f t="shared" si="591"/>
        <v>131257.16553036583</v>
      </c>
      <c r="X316" s="31">
        <f t="shared" si="592"/>
        <v>27052.882535111108</v>
      </c>
      <c r="Y316" s="31">
        <f t="shared" si="593"/>
        <v>76553.6943245414</v>
      </c>
      <c r="Z316" s="31">
        <f t="shared" si="594"/>
        <v>71221.943658202639</v>
      </c>
      <c r="AA316" s="31">
        <f t="shared" si="560"/>
        <v>131281.91527284688</v>
      </c>
      <c r="AB316" s="31">
        <f t="shared" si="561"/>
        <v>27640.149310140758</v>
      </c>
      <c r="AC316" s="31">
        <f t="shared" si="562"/>
        <v>76593.562894141491</v>
      </c>
      <c r="AD316" s="31">
        <f t="shared" si="563"/>
        <v>71259.035493454285</v>
      </c>
      <c r="AE316" s="31">
        <f t="shared" si="595"/>
        <v>306774.66297058342</v>
      </c>
      <c r="AF316" s="31">
        <f>IFERROR(VLOOKUP(A316,'Allocations By Type'!$D$7:$F$491,3,FALSE),"")</f>
        <v>292972.18</v>
      </c>
      <c r="AG316" s="31">
        <f t="shared" si="596"/>
        <v>12270.986518823338</v>
      </c>
      <c r="AH316" s="31">
        <f t="shared" si="597"/>
        <v>12270.986518823338</v>
      </c>
      <c r="AI316" s="31">
        <f t="shared" si="598"/>
        <v>294503.67645176011</v>
      </c>
      <c r="AJ316" s="31">
        <f>AI316/$AI$577*'State Admin 1004(b)'!$B$30*0.01</f>
        <v>2802.6440271315387</v>
      </c>
      <c r="AK316" s="31">
        <f t="shared" si="599"/>
        <v>291701.03242462856</v>
      </c>
      <c r="AL316" s="31">
        <f t="shared" si="600"/>
        <v>2917.0103242462856</v>
      </c>
      <c r="AM316" s="31">
        <f t="shared" si="601"/>
        <v>288784.02210038225</v>
      </c>
      <c r="AP316" s="31"/>
      <c r="AQ316" s="4">
        <f t="shared" si="603"/>
        <v>0.98570458840283837</v>
      </c>
      <c r="AW316" s="31">
        <f t="shared" si="590"/>
        <v>287858.16986209573</v>
      </c>
      <c r="AX316" s="4">
        <f t="shared" si="604"/>
        <v>0.9825443830949947</v>
      </c>
      <c r="AZ316" s="174" t="str">
        <f>IFERROR(IF(VLOOKUP(A316,#REF!,11,FALSE)=0,"",VLOOKUP(A316,#REF!,11,FALSE)),"")</f>
        <v/>
      </c>
      <c r="BA316" s="31" t="str">
        <f t="shared" si="436"/>
        <v/>
      </c>
      <c r="BB316" s="31">
        <f t="shared" si="437"/>
        <v>287858.16986209573</v>
      </c>
      <c r="BD316" s="31" t="str">
        <f>IFERROR(VLOOKUP(A316,'Title II Hold Harmless'!A$1:B$439,2, FALSE),"")</f>
        <v/>
      </c>
      <c r="BE316" s="31">
        <f t="shared" si="606"/>
        <v>4041.4671881118793</v>
      </c>
      <c r="BF316" s="31">
        <f t="shared" si="607"/>
        <v>4045.3775487813177</v>
      </c>
      <c r="BG316" s="31" t="str">
        <f t="shared" si="440"/>
        <v/>
      </c>
      <c r="BH316" s="31">
        <f t="shared" si="441"/>
        <v>4045.3775487813177</v>
      </c>
    </row>
    <row r="317" spans="1:60" s="47" customFormat="1" x14ac:dyDescent="0.3">
      <c r="A317" s="1">
        <v>78238000</v>
      </c>
      <c r="B317" s="47" t="e">
        <f>VLOOKUP(C317,'NCES ID'!$A$2:$B$3136,2,FALSE)</f>
        <v>#N/A</v>
      </c>
      <c r="C317" s="47">
        <v>92972</v>
      </c>
      <c r="D317" s="191" t="s">
        <v>1396</v>
      </c>
      <c r="E317" s="47" t="s">
        <v>7</v>
      </c>
      <c r="H317" s="4"/>
      <c r="I317" s="47">
        <f>VLOOKUP($C317,'AzEDS FY17 11-14-2016'!$A$1:$D$706,3,FALSE)</f>
        <v>93</v>
      </c>
      <c r="J317" s="47">
        <f>VLOOKUP($C317,'AzEDS FY17 11-14-2016'!$A$1:$D$706,4,FALSE)</f>
        <v>90</v>
      </c>
      <c r="K317" s="24">
        <f t="shared" si="602"/>
        <v>93</v>
      </c>
      <c r="L317" s="24">
        <f t="shared" si="521"/>
        <v>44.472706385155533</v>
      </c>
      <c r="M317" s="4">
        <f t="shared" si="435"/>
        <v>0.47820114392640356</v>
      </c>
      <c r="N317" s="31"/>
      <c r="O317" s="31"/>
      <c r="P317" s="31"/>
      <c r="Q317" s="31"/>
      <c r="R317" s="31"/>
      <c r="S317" s="31">
        <f t="shared" ref="S317" si="608">$L317*N$357</f>
        <v>21439.464424197686</v>
      </c>
      <c r="T317" s="31">
        <f t="shared" ref="T317" si="609">$L317*O$357</f>
        <v>4418.8011400362975</v>
      </c>
      <c r="U317" s="31">
        <f t="shared" ref="U317" si="610">$L317*P$357</f>
        <v>12504.233192756308</v>
      </c>
      <c r="V317" s="31">
        <f t="shared" ref="V317" si="611">$L317*Q$357</f>
        <v>11633.34832892602</v>
      </c>
      <c r="W317" s="31">
        <f t="shared" ref="W317" si="612">IF(AND($L317&gt;9,$L317&gt;($K317*0.02)),S317,"")</f>
        <v>21439.464424197686</v>
      </c>
      <c r="X317" s="31">
        <f t="shared" ref="X317" si="613">IF(W317="","",IF(OR($L317&gt;6500,$L317&gt;($K317*0.15)),T317,""))</f>
        <v>4418.8011400362975</v>
      </c>
      <c r="Y317" s="31">
        <f t="shared" ref="Y317" si="614">IF(AND($L317&gt;9,$L317&gt;($K317*0.05)),U317,"")</f>
        <v>12504.233192756308</v>
      </c>
      <c r="Z317" s="31">
        <f t="shared" ref="Z317" si="615">IF(AND($L317&gt;9,$L317&gt;($K317*0.05)),V317,"")</f>
        <v>11633.34832892602</v>
      </c>
      <c r="AA317" s="31">
        <f t="shared" ref="AA317" si="616">IF(W317="","",W317+W$357)</f>
        <v>21464.214166678721</v>
      </c>
      <c r="AB317" s="31">
        <f t="shared" ref="AB317" si="617">IF(X317="","",X317+X$357)</f>
        <v>5006.0679150659453</v>
      </c>
      <c r="AC317" s="31">
        <f t="shared" ref="AC317" si="618">IF(Y317="","",Y317+Y$357)</f>
        <v>12544.101762356404</v>
      </c>
      <c r="AD317" s="31">
        <f t="shared" ref="AD317" si="619">IF(Z317="","",Z317+Z$357)</f>
        <v>11670.440164177666</v>
      </c>
      <c r="AE317" s="31">
        <f t="shared" ref="AE317" si="620">SUM(AA317:AD317)</f>
        <v>50684.824008278738</v>
      </c>
      <c r="AF317" s="31" t="str">
        <f>IFERROR(VLOOKUP(A317,'Allocations By Type'!$D$7:$F$491,3,FALSE),"")</f>
        <v/>
      </c>
      <c r="AG317" s="31" t="str">
        <f t="shared" ref="AG317" si="621">IF(AE317&gt;AF317,AE317*0.04,"")</f>
        <v/>
      </c>
      <c r="AH317" s="31" t="str">
        <f t="shared" ref="AH317" si="622">IF(AG317="","",IF((AE317-AF317)&gt;AG317,AG317,AE317-AF317))</f>
        <v/>
      </c>
      <c r="AI317" s="31">
        <f t="shared" ref="AI317" si="623">IF(AH317="",AE317,AE317-AH317)</f>
        <v>50684.824008278738</v>
      </c>
      <c r="AJ317" s="31">
        <f>AI317/$AI$577*'State Admin 1004(b)'!$B$30*0.01</f>
        <v>482.34209156395281</v>
      </c>
      <c r="AK317" s="31">
        <f t="shared" ref="AK317" si="624">AI317-AJ317</f>
        <v>50202.481916714787</v>
      </c>
      <c r="AL317" s="31">
        <f t="shared" ref="AL317" si="625">AK317*0.01</f>
        <v>502.02481916714788</v>
      </c>
      <c r="AM317" s="31">
        <f t="shared" ref="AM317" si="626">AK317-AL317</f>
        <v>49700.457097547638</v>
      </c>
      <c r="AP317" s="31"/>
      <c r="AQ317" s="4" t="str">
        <f t="shared" ref="AQ317" si="627">IFERROR(AM317/AF317,"")</f>
        <v/>
      </c>
      <c r="AR317" s="4"/>
      <c r="AS317" s="4"/>
      <c r="AT317" s="4"/>
      <c r="AW317" s="31">
        <f t="shared" ref="AW317" si="628">IF(AV317="",AM317-AM317/($AM$356-$AV$356+$AU$356)*$AU$356,AV317)</f>
        <v>49541.115596889285</v>
      </c>
      <c r="AX317" s="4" t="str">
        <f t="shared" ref="AX317" si="629">IFERROR(AW317/AF317,"")</f>
        <v/>
      </c>
      <c r="AZ317" s="174"/>
      <c r="BA317" s="31"/>
      <c r="BB317" s="31">
        <f t="shared" si="437"/>
        <v>49541.115596889285</v>
      </c>
      <c r="BD317" s="31" t="str">
        <f>IFERROR(VLOOKUP(A317,'Title II Hold Harmless'!A$1:B$439,2, FALSE),"")</f>
        <v/>
      </c>
      <c r="BE317" s="31">
        <f t="shared" si="606"/>
        <v>657.02402539114371</v>
      </c>
      <c r="BF317" s="31">
        <f t="shared" si="607"/>
        <v>657.65973534205534</v>
      </c>
      <c r="BG317" s="31" t="str">
        <f t="shared" ref="BG317" si="630">IF(AZ317&lt;0,BF317*AZ317/100,"")</f>
        <v/>
      </c>
      <c r="BH317" s="31">
        <f t="shared" ref="BH317" si="631">IF(BG317&lt;0,BF317+BG317,BF317)</f>
        <v>657.65973534205534</v>
      </c>
    </row>
    <row r="318" spans="1:60" x14ac:dyDescent="0.3">
      <c r="A318" s="1">
        <v>78714000</v>
      </c>
      <c r="B318">
        <f>VLOOKUP(C318,'NCES ID'!$A$2:$B$3136,2,FALSE)</f>
        <v>400109</v>
      </c>
      <c r="C318">
        <f>VLOOKUP(A318,'State ID'!$A$2:$B$713,2,FALSE)</f>
        <v>4338</v>
      </c>
      <c r="D318" s="147" t="s">
        <v>336</v>
      </c>
      <c r="E318" t="s">
        <v>7</v>
      </c>
      <c r="I318" s="47">
        <f>VLOOKUP($C318,'Final SEA Counts'!$A$2:$F$709,5,FALSE)</f>
        <v>412</v>
      </c>
      <c r="J318" s="47">
        <f>VLOOKUP($C318,'Final SEA Counts'!$A$2:$F$709,6,FALSE)</f>
        <v>391</v>
      </c>
      <c r="K318" s="24">
        <f t="shared" si="602"/>
        <v>412</v>
      </c>
      <c r="L318" s="24">
        <f t="shared" ref="L318:L324" si="632">J318*$B$356</f>
        <v>193.20920218439792</v>
      </c>
      <c r="M318" s="4">
        <f t="shared" si="435"/>
        <v>0.46895437423397557</v>
      </c>
      <c r="N318" s="31" t="str">
        <f>IFERROR(VLOOKUP($B318,#REF!,8,FALSE),"")</f>
        <v/>
      </c>
      <c r="O318" s="31" t="str">
        <f>IFERROR(VLOOKUP($B318,#REF!,9,FALSE),"")</f>
        <v/>
      </c>
      <c r="P318" s="31" t="str">
        <f>IFERROR(VLOOKUP($B318,#REF!,10,FALSE),"")</f>
        <v/>
      </c>
      <c r="Q318" s="31" t="str">
        <f>IFERROR(VLOOKUP($B318,#REF!,11,FALSE),"")</f>
        <v/>
      </c>
      <c r="R318" s="31" t="str">
        <f>IFERROR(VLOOKUP($B318,#REF!,12,FALSE),"")</f>
        <v/>
      </c>
      <c r="S318" s="31">
        <f t="shared" ref="S318:V324" si="633">$L318*N$357</f>
        <v>93142.562109569946</v>
      </c>
      <c r="T318" s="31">
        <f t="shared" si="633"/>
        <v>19197.23606393547</v>
      </c>
      <c r="U318" s="31">
        <f t="shared" si="633"/>
        <v>54323.946426307964</v>
      </c>
      <c r="V318" s="31">
        <f t="shared" si="633"/>
        <v>50540.435517889709</v>
      </c>
      <c r="W318" s="31">
        <f t="shared" si="591"/>
        <v>93142.562109569946</v>
      </c>
      <c r="X318" s="31">
        <f t="shared" si="592"/>
        <v>19197.23606393547</v>
      </c>
      <c r="Y318" s="31">
        <f t="shared" si="593"/>
        <v>54323.946426307964</v>
      </c>
      <c r="Z318" s="31">
        <f t="shared" si="594"/>
        <v>50540.435517889709</v>
      </c>
      <c r="AA318" s="31">
        <f t="shared" ref="AA318:AD324" si="634">IF(W318="","",W318+W$357)</f>
        <v>93167.311852050974</v>
      </c>
      <c r="AB318" s="31">
        <f t="shared" si="634"/>
        <v>19784.50283896512</v>
      </c>
      <c r="AC318" s="31">
        <f t="shared" si="634"/>
        <v>54363.814995908062</v>
      </c>
      <c r="AD318" s="31">
        <f t="shared" si="634"/>
        <v>50577.527353141355</v>
      </c>
      <c r="AE318" s="31">
        <f t="shared" si="595"/>
        <v>217893.1570400655</v>
      </c>
      <c r="AF318" s="31">
        <f>IFERROR(VLOOKUP(A318,'Allocations By Type'!$D$7:$F$491,3,FALSE),"")</f>
        <v>262279.78000000003</v>
      </c>
      <c r="AG318" s="31" t="str">
        <f t="shared" si="596"/>
        <v/>
      </c>
      <c r="AH318" s="31" t="str">
        <f t="shared" si="597"/>
        <v/>
      </c>
      <c r="AI318" s="31">
        <f t="shared" si="598"/>
        <v>217893.1570400655</v>
      </c>
      <c r="AJ318" s="31">
        <f>AI318/$AI$577*'State Admin 1004(b)'!$B$30*0.01</f>
        <v>2073.5800737319601</v>
      </c>
      <c r="AK318" s="31">
        <f t="shared" si="599"/>
        <v>215819.57696633355</v>
      </c>
      <c r="AL318" s="31">
        <f t="shared" si="600"/>
        <v>2158.1957696633353</v>
      </c>
      <c r="AM318" s="31">
        <f t="shared" si="601"/>
        <v>213661.38119667021</v>
      </c>
      <c r="AP318" s="31"/>
      <c r="AQ318" s="4">
        <f t="shared" si="603"/>
        <v>0.8146315403980825</v>
      </c>
      <c r="AW318" s="31">
        <f t="shared" ref="AW318:AW331" si="635">IF(AV318="",AM318-AM318/($AM$356-$AV$356+$AU$356)*$AU$356,AV318)</f>
        <v>212976.37491904598</v>
      </c>
      <c r="AX318" s="4">
        <f t="shared" si="604"/>
        <v>0.81201980159906328</v>
      </c>
      <c r="AZ318" s="174" t="str">
        <f>IFERROR(IF(VLOOKUP(A318,#REF!,11,FALSE)=0,"",VLOOKUP(A318,#REF!,11,FALSE)),"")</f>
        <v/>
      </c>
      <c r="BA318" s="31" t="str">
        <f t="shared" si="436"/>
        <v/>
      </c>
      <c r="BB318" s="31">
        <f t="shared" si="437"/>
        <v>212976.37491904598</v>
      </c>
      <c r="BD318" s="31">
        <f>IFERROR(VLOOKUP(A318,'Title II Hold Harmless'!A$1:B$439,2, FALSE),"")</f>
        <v>47991</v>
      </c>
      <c r="BE318" s="31">
        <f t="shared" si="606"/>
        <v>50851.815947836702</v>
      </c>
      <c r="BF318" s="31">
        <f t="shared" si="607"/>
        <v>50901.01811422738</v>
      </c>
      <c r="BG318" s="31" t="str">
        <f t="shared" si="440"/>
        <v/>
      </c>
      <c r="BH318" s="31">
        <f t="shared" si="441"/>
        <v>50901.01811422738</v>
      </c>
    </row>
    <row r="319" spans="1:60" s="47" customFormat="1" x14ac:dyDescent="0.3">
      <c r="A319" s="1">
        <v>78559000</v>
      </c>
      <c r="B319" s="47">
        <f>VLOOKUP(C319,'NCES ID'!$A$2:$B$3136,2,FALSE)</f>
        <v>400788</v>
      </c>
      <c r="C319" s="47">
        <f>VLOOKUP(A319,'State ID'!$A$2:$B$713,2,FALSE)</f>
        <v>90273</v>
      </c>
      <c r="D319" s="191" t="s">
        <v>709</v>
      </c>
      <c r="E319" s="47" t="s">
        <v>7</v>
      </c>
      <c r="H319" s="4"/>
      <c r="I319" s="47">
        <f>VLOOKUP($C319,'Final SEA Counts'!$A$2:$F$709,5,FALSE)</f>
        <v>570</v>
      </c>
      <c r="J319" s="47">
        <f>VLOOKUP($C319,'Final SEA Counts'!$A$2:$F$709,6,FALSE)</f>
        <v>558</v>
      </c>
      <c r="K319" s="24">
        <f t="shared" ref="K319" si="636">I319</f>
        <v>570</v>
      </c>
      <c r="L319" s="24">
        <f t="shared" si="632"/>
        <v>275.73077958796432</v>
      </c>
      <c r="M319" s="4">
        <f t="shared" ref="M319" si="637">L319/K319</f>
        <v>0.48373820980344617</v>
      </c>
      <c r="N319" s="31"/>
      <c r="O319" s="31"/>
      <c r="P319" s="31"/>
      <c r="Q319" s="31"/>
      <c r="R319" s="31"/>
      <c r="S319" s="31">
        <f t="shared" si="633"/>
        <v>132924.67943002566</v>
      </c>
      <c r="T319" s="31">
        <f t="shared" si="633"/>
        <v>27396.567068225046</v>
      </c>
      <c r="U319" s="31">
        <f t="shared" si="633"/>
        <v>77526.245795089126</v>
      </c>
      <c r="V319" s="31">
        <f t="shared" si="633"/>
        <v>72126.759639341326</v>
      </c>
      <c r="W319" s="31">
        <f t="shared" ref="W319" si="638">IF(AND($L319&gt;9,$L319&gt;($K319*0.02)),S319,"")</f>
        <v>132924.67943002566</v>
      </c>
      <c r="X319" s="31">
        <f t="shared" ref="X319" si="639">IF(W319="","",IF(OR($L319&gt;6500,$L319&gt;($K319*0.15)),T319,""))</f>
        <v>27396.567068225046</v>
      </c>
      <c r="Y319" s="31">
        <f t="shared" ref="Y319" si="640">IF(AND($L319&gt;9,$L319&gt;($K319*0.05)),U319,"")</f>
        <v>77526.245795089126</v>
      </c>
      <c r="Z319" s="31">
        <f t="shared" ref="Z319" si="641">IF(AND($L319&gt;9,$L319&gt;($K319*0.05)),V319,"")</f>
        <v>72126.759639341326</v>
      </c>
      <c r="AA319" s="31">
        <f t="shared" si="634"/>
        <v>132949.4291725067</v>
      </c>
      <c r="AB319" s="31">
        <f t="shared" si="634"/>
        <v>27983.833843254695</v>
      </c>
      <c r="AC319" s="31">
        <f t="shared" si="634"/>
        <v>77566.114364689216</v>
      </c>
      <c r="AD319" s="31">
        <f t="shared" si="634"/>
        <v>72163.851474592971</v>
      </c>
      <c r="AE319" s="31">
        <f t="shared" ref="AE319" si="642">SUM(AA319:AD319)</f>
        <v>310663.22885504359</v>
      </c>
      <c r="AF319" s="31">
        <f>IFERROR(VLOOKUP(A319,'Allocations By Type'!$D$7:$F$491,3,FALSE),"")</f>
        <v>259408.77</v>
      </c>
      <c r="AG319" s="31">
        <f t="shared" ref="AG319" si="643">IF(AE319&gt;AF319,AE319*0.04,"")</f>
        <v>12426.529154201744</v>
      </c>
      <c r="AH319" s="31">
        <f t="shared" ref="AH319" si="644">IF(AG319="","",IF((AE319-AF319)&gt;AG319,AG319,AE319-AF319))</f>
        <v>12426.529154201744</v>
      </c>
      <c r="AI319" s="31">
        <f t="shared" ref="AI319" si="645">IF(AH319="",AE319,AE319-AH319)</f>
        <v>298236.69970084185</v>
      </c>
      <c r="AJ319" s="31">
        <f>AI319/$AI$577*'State Admin 1004(b)'!$B$30*0.01</f>
        <v>2838.1693402218011</v>
      </c>
      <c r="AK319" s="31">
        <f t="shared" ref="AK319" si="646">AI319-AJ319</f>
        <v>295398.53036062006</v>
      </c>
      <c r="AL319" s="31">
        <f t="shared" ref="AL319" si="647">AK319*0.01</f>
        <v>2953.9853036062009</v>
      </c>
      <c r="AM319" s="31">
        <f t="shared" ref="AM319" si="648">AK319-AL319</f>
        <v>292444.54505701386</v>
      </c>
      <c r="AP319" s="31"/>
      <c r="AQ319" s="4">
        <f t="shared" si="603"/>
        <v>1.1273502628959455</v>
      </c>
      <c r="AR319" s="4"/>
      <c r="AS319" s="4"/>
      <c r="AT319" s="4"/>
      <c r="AW319" s="31">
        <f t="shared" si="635"/>
        <v>291506.95704696252</v>
      </c>
      <c r="AX319" s="4">
        <f t="shared" si="604"/>
        <v>1.1237359363253698</v>
      </c>
      <c r="AZ319" s="174"/>
      <c r="BA319" s="31"/>
      <c r="BB319" s="31">
        <f t="shared" si="437"/>
        <v>291506.95704696252</v>
      </c>
      <c r="BD319" s="31" t="str">
        <f>IFERROR(VLOOKUP(A319,'Title II Hold Harmless'!A$1:B$439,2, FALSE),"")</f>
        <v/>
      </c>
      <c r="BE319" s="31">
        <f t="shared" si="606"/>
        <v>4068.237279474446</v>
      </c>
      <c r="BF319" s="31">
        <f t="shared" si="607"/>
        <v>4072.1735418047192</v>
      </c>
      <c r="BG319" s="31"/>
      <c r="BH319" s="31">
        <f t="shared" si="441"/>
        <v>4072.1735418047192</v>
      </c>
    </row>
    <row r="320" spans="1:60" x14ac:dyDescent="0.3">
      <c r="A320" s="1">
        <v>78776000</v>
      </c>
      <c r="B320">
        <f>VLOOKUP(C320,'NCES ID'!$A$2:$B$3136,2,FALSE)</f>
        <v>400153</v>
      </c>
      <c r="C320">
        <f>VLOOKUP(A320,'State ID'!$A$2:$B$713,2,FALSE)</f>
        <v>6379</v>
      </c>
      <c r="D320" s="147" t="s">
        <v>338</v>
      </c>
      <c r="E320" t="s">
        <v>7</v>
      </c>
      <c r="I320" s="47">
        <f>VLOOKUP($C320,'Final SEA Counts'!$A$2:$F$709,5,FALSE)</f>
        <v>63</v>
      </c>
      <c r="J320" s="47">
        <f>VLOOKUP($C320,'Final SEA Counts'!$A$2:$F$709,6,FALSE)</f>
        <v>22</v>
      </c>
      <c r="K320" s="24">
        <f t="shared" si="602"/>
        <v>63</v>
      </c>
      <c r="L320" s="24">
        <f t="shared" si="632"/>
        <v>10.871106005260241</v>
      </c>
      <c r="M320" s="4">
        <f t="shared" ref="M320:M353" si="649">L320/K320</f>
        <v>0.172557238178734</v>
      </c>
      <c r="N320" s="31" t="str">
        <f>IFERROR(VLOOKUP($B320,#REF!,8,FALSE),"")</f>
        <v/>
      </c>
      <c r="O320" s="31" t="str">
        <f>IFERROR(VLOOKUP($B320,#REF!,9,FALSE),"")</f>
        <v/>
      </c>
      <c r="P320" s="31" t="str">
        <f>IFERROR(VLOOKUP($B320,#REF!,10,FALSE),"")</f>
        <v/>
      </c>
      <c r="Q320" s="31" t="str">
        <f>IFERROR(VLOOKUP($B320,#REF!,11,FALSE),"")</f>
        <v/>
      </c>
      <c r="R320" s="31" t="str">
        <f>IFERROR(VLOOKUP($B320,#REF!,12,FALSE),"")</f>
        <v/>
      </c>
      <c r="S320" s="31">
        <f t="shared" si="633"/>
        <v>5240.7579703594347</v>
      </c>
      <c r="T320" s="31">
        <f t="shared" si="633"/>
        <v>1080.1513897866505</v>
      </c>
      <c r="U320" s="31">
        <f t="shared" si="633"/>
        <v>3056.5903360070979</v>
      </c>
      <c r="V320" s="31">
        <f t="shared" si="633"/>
        <v>2843.7073692930271</v>
      </c>
      <c r="W320" s="31">
        <f t="shared" si="591"/>
        <v>5240.7579703594347</v>
      </c>
      <c r="X320" s="31">
        <f t="shared" si="592"/>
        <v>1080.1513897866505</v>
      </c>
      <c r="Y320" s="31">
        <f t="shared" si="593"/>
        <v>3056.5903360070979</v>
      </c>
      <c r="Z320" s="31">
        <f t="shared" si="594"/>
        <v>2843.7073692930271</v>
      </c>
      <c r="AA320" s="31">
        <f t="shared" si="634"/>
        <v>5265.50771284047</v>
      </c>
      <c r="AB320" s="31">
        <f t="shared" si="634"/>
        <v>1667.4181648162985</v>
      </c>
      <c r="AC320" s="31">
        <f t="shared" si="634"/>
        <v>3096.4589056071941</v>
      </c>
      <c r="AD320" s="31">
        <f t="shared" si="634"/>
        <v>2880.7992045446722</v>
      </c>
      <c r="AE320" s="31">
        <f t="shared" si="595"/>
        <v>12910.183987808634</v>
      </c>
      <c r="AF320" s="31">
        <f>IFERROR(VLOOKUP(A320,'Allocations By Type'!$D$7:$F$491,3,FALSE),"")</f>
        <v>20444.849999999999</v>
      </c>
      <c r="AG320" s="31" t="str">
        <f t="shared" si="596"/>
        <v/>
      </c>
      <c r="AH320" s="31" t="str">
        <f t="shared" si="597"/>
        <v/>
      </c>
      <c r="AI320" s="31">
        <f t="shared" si="598"/>
        <v>12910.183987808634</v>
      </c>
      <c r="AJ320" s="31">
        <f>AI320/$AI$577*'State Admin 1004(b)'!$B$30*0.01</f>
        <v>122.85975672201103</v>
      </c>
      <c r="AK320" s="31">
        <f t="shared" si="599"/>
        <v>12787.324231086623</v>
      </c>
      <c r="AL320" s="31">
        <f t="shared" si="600"/>
        <v>127.87324231086623</v>
      </c>
      <c r="AM320" s="31">
        <f t="shared" si="601"/>
        <v>12659.450988775756</v>
      </c>
      <c r="AP320" s="31"/>
      <c r="AQ320" s="4">
        <f t="shared" si="603"/>
        <v>0.6191999935815502</v>
      </c>
      <c r="AW320" s="31">
        <f t="shared" si="635"/>
        <v>12618.864321451887</v>
      </c>
      <c r="AX320" s="4">
        <f t="shared" si="604"/>
        <v>0.61721481553799062</v>
      </c>
      <c r="AZ320" s="174" t="str">
        <f>IFERROR(IF(VLOOKUP(A320,#REF!,11,FALSE)=0,"",VLOOKUP(A320,#REF!,11,FALSE)),"")</f>
        <v/>
      </c>
      <c r="BA320" s="31" t="str">
        <f t="shared" ref="BA320:BA346" si="650">IF(AZ320&lt;0,AW320*AZ320/100,"")</f>
        <v/>
      </c>
      <c r="BB320" s="31">
        <f t="shared" ref="BB320:BB353" si="651">IF(BA320&lt;0,AW320+BA320,AW320)</f>
        <v>12618.864321451887</v>
      </c>
      <c r="BD320" s="31">
        <f>IFERROR(VLOOKUP(A320,'Title II Hold Harmless'!A$1:B$439,2, FALSE),"")</f>
        <v>4642</v>
      </c>
      <c r="BE320" s="31">
        <f t="shared" si="606"/>
        <v>4835.0124737035921</v>
      </c>
      <c r="BF320" s="31">
        <f t="shared" si="607"/>
        <v>4839.6906367897673</v>
      </c>
      <c r="BG320" s="31" t="str">
        <f t="shared" ref="BG320:BG346" si="652">IF(AZ320&lt;0,BF320*AZ320/100,"")</f>
        <v/>
      </c>
      <c r="BH320" s="31">
        <f t="shared" ref="BH320:BH353" si="653">IF(BG320&lt;0,BF320+BG320,BF320)</f>
        <v>4839.6906367897673</v>
      </c>
    </row>
    <row r="321" spans="1:60" s="47" customFormat="1" x14ac:dyDescent="0.3">
      <c r="A321" s="1">
        <v>78550000</v>
      </c>
      <c r="B321" s="47">
        <f>VLOOKUP(C321,'NCES ID'!$A$2:$B$3136,2,FALSE)</f>
        <v>400798</v>
      </c>
      <c r="C321" s="47">
        <f>VLOOKUP(A321,'State ID'!$A$2:$B$713,2,FALSE)</f>
        <v>90140</v>
      </c>
      <c r="D321" s="191" t="s">
        <v>1268</v>
      </c>
      <c r="E321" s="47" t="s">
        <v>7</v>
      </c>
      <c r="H321" s="4"/>
      <c r="I321" s="47">
        <f>VLOOKUP($C321,'Final SEA Counts'!$A$2:$F$709,5,FALSE)</f>
        <v>636</v>
      </c>
      <c r="J321" s="47">
        <f>VLOOKUP($C321,'Final SEA Counts'!$A$2:$F$709,6,FALSE)</f>
        <v>622</v>
      </c>
      <c r="K321" s="24">
        <f t="shared" ref="K321" si="654">I321</f>
        <v>636</v>
      </c>
      <c r="L321" s="24">
        <f t="shared" si="632"/>
        <v>307.35581523963043</v>
      </c>
      <c r="M321" s="4">
        <f t="shared" ref="M321" si="655">L321/K321</f>
        <v>0.48326386043967051</v>
      </c>
      <c r="N321" s="31"/>
      <c r="O321" s="31"/>
      <c r="P321" s="31"/>
      <c r="Q321" s="31"/>
      <c r="R321" s="31"/>
      <c r="S321" s="31">
        <f t="shared" si="633"/>
        <v>148170.52079834399</v>
      </c>
      <c r="T321" s="31">
        <f t="shared" si="633"/>
        <v>30538.825656695299</v>
      </c>
      <c r="U321" s="31">
        <f t="shared" si="633"/>
        <v>86418.144954382486</v>
      </c>
      <c r="V321" s="31">
        <f t="shared" si="633"/>
        <v>80399.362895466489</v>
      </c>
      <c r="W321" s="31">
        <f t="shared" ref="W321" si="656">IF(AND($L321&gt;9,$L321&gt;($K321*0.02)),S321,"")</f>
        <v>148170.52079834399</v>
      </c>
      <c r="X321" s="31">
        <f t="shared" ref="X321" si="657">IF(W321="","",IF(OR($L321&gt;6500,$L321&gt;($K321*0.15)),T321,""))</f>
        <v>30538.825656695299</v>
      </c>
      <c r="Y321" s="31">
        <f t="shared" ref="Y321" si="658">IF(AND($L321&gt;9,$L321&gt;($K321*0.05)),U321,"")</f>
        <v>86418.144954382486</v>
      </c>
      <c r="Z321" s="31">
        <f t="shared" ref="Z321" si="659">IF(AND($L321&gt;9,$L321&gt;($K321*0.05)),V321,"")</f>
        <v>80399.362895466489</v>
      </c>
      <c r="AA321" s="31">
        <f t="shared" si="634"/>
        <v>148195.27054082503</v>
      </c>
      <c r="AB321" s="31">
        <f t="shared" si="634"/>
        <v>31126.092431724948</v>
      </c>
      <c r="AC321" s="31">
        <f t="shared" si="634"/>
        <v>86458.013523982576</v>
      </c>
      <c r="AD321" s="31">
        <f t="shared" si="634"/>
        <v>80436.454730718135</v>
      </c>
      <c r="AE321" s="31">
        <f t="shared" ref="AE321" si="660">SUM(AA321:AD321)</f>
        <v>346215.83122725075</v>
      </c>
      <c r="AF321" s="31">
        <f>IFERROR(VLOOKUP(A321,'Allocations By Type'!$D$7:$F$491,3,FALSE),"")</f>
        <v>286622.03000000003</v>
      </c>
      <c r="AG321" s="31">
        <f t="shared" ref="AG321" si="661">IF(AE321&gt;AF321,AE321*0.04,"")</f>
        <v>13848.633249090029</v>
      </c>
      <c r="AH321" s="31">
        <f t="shared" ref="AH321" si="662">IF(AG321="","",IF((AE321-AF321)&gt;AG321,AG321,AE321-AF321))</f>
        <v>13848.633249090029</v>
      </c>
      <c r="AI321" s="31">
        <f t="shared" ref="AI321" si="663">IF(AH321="",AE321,AE321-AH321)</f>
        <v>332367.19797816069</v>
      </c>
      <c r="AJ321" s="31">
        <f>AI321/$AI$577*'State Admin 1004(b)'!$B$30*0.01</f>
        <v>3162.9722027613434</v>
      </c>
      <c r="AK321" s="31">
        <f t="shared" ref="AK321" si="664">AI321-AJ321</f>
        <v>329204.22577539936</v>
      </c>
      <c r="AL321" s="31">
        <f t="shared" ref="AL321" si="665">AK321*0.01</f>
        <v>3292.0422577539939</v>
      </c>
      <c r="AM321" s="31">
        <f t="shared" ref="AM321" si="666">AK321-AL321</f>
        <v>325912.18351764535</v>
      </c>
      <c r="AP321" s="31"/>
      <c r="AQ321" s="4">
        <f t="shared" si="603"/>
        <v>1.1370800196957831</v>
      </c>
      <c r="AR321" s="4"/>
      <c r="AS321" s="4"/>
      <c r="AT321" s="4"/>
      <c r="AW321" s="31">
        <f t="shared" si="635"/>
        <v>324867.29702288704</v>
      </c>
      <c r="AX321" s="4">
        <f t="shared" si="604"/>
        <v>1.1334344991656329</v>
      </c>
      <c r="AZ321" s="174"/>
      <c r="BA321" s="31"/>
      <c r="BB321" s="31">
        <f t="shared" si="651"/>
        <v>324867.29702288704</v>
      </c>
      <c r="BD321" s="31" t="str">
        <f>IFERROR(VLOOKUP(A321,'Title II Hold Harmless'!A$1:B$439,2, FALSE),"")</f>
        <v/>
      </c>
      <c r="BE321" s="31">
        <f t="shared" si="606"/>
        <v>4535.3470575717702</v>
      </c>
      <c r="BF321" s="31">
        <f t="shared" si="607"/>
        <v>4539.735276486017</v>
      </c>
      <c r="BG321" s="31"/>
      <c r="BH321" s="31">
        <f t="shared" si="653"/>
        <v>4539.735276486017</v>
      </c>
    </row>
    <row r="322" spans="1:60" x14ac:dyDescent="0.3">
      <c r="A322" s="1">
        <v>78939000</v>
      </c>
      <c r="B322">
        <f>VLOOKUP(C322,'NCES ID'!$A$2:$B$3136,2,FALSE)</f>
        <v>400288</v>
      </c>
      <c r="C322">
        <f>VLOOKUP(A322,'State ID'!$A$2:$B$713,2,FALSE)</f>
        <v>79569</v>
      </c>
      <c r="D322" s="192" t="s">
        <v>351</v>
      </c>
      <c r="E322" t="s">
        <v>7</v>
      </c>
      <c r="I322" s="47">
        <f>VLOOKUP($C322,'AzEDS FY17 12-04-16'!$A$1:$D$712,3,FALSE)</f>
        <v>156</v>
      </c>
      <c r="J322" s="47">
        <f>VLOOKUP($C322,'AzEDS FY17 12-04-16'!$A$1:$D$712,4,FALSE)</f>
        <v>148</v>
      </c>
      <c r="K322" s="24">
        <f t="shared" si="602"/>
        <v>156</v>
      </c>
      <c r="L322" s="24">
        <f t="shared" si="632"/>
        <v>73.132894944477982</v>
      </c>
      <c r="M322" s="4">
        <f t="shared" si="649"/>
        <v>0.46880060861844858</v>
      </c>
      <c r="N322" s="31" t="str">
        <f>IFERROR(VLOOKUP($B322,#REF!,8,FALSE),"")</f>
        <v/>
      </c>
      <c r="O322" s="31" t="str">
        <f>IFERROR(VLOOKUP($B322,#REF!,9,FALSE),"")</f>
        <v/>
      </c>
      <c r="P322" s="31" t="str">
        <f>IFERROR(VLOOKUP($B322,#REF!,10,FALSE),"")</f>
        <v/>
      </c>
      <c r="Q322" s="31" t="str">
        <f>IFERROR(VLOOKUP($B322,#REF!,11,FALSE),"")</f>
        <v/>
      </c>
      <c r="R322" s="31" t="str">
        <f>IFERROR(VLOOKUP($B322,#REF!,12,FALSE),"")</f>
        <v/>
      </c>
      <c r="S322" s="31">
        <f t="shared" si="633"/>
        <v>35256.008164236191</v>
      </c>
      <c r="T322" s="31">
        <f t="shared" si="633"/>
        <v>7266.4729858374667</v>
      </c>
      <c r="U322" s="31">
        <f t="shared" si="633"/>
        <v>20562.516805865929</v>
      </c>
      <c r="V322" s="31">
        <f t="shared" si="633"/>
        <v>19130.395029789455</v>
      </c>
      <c r="W322" s="31">
        <f t="shared" si="591"/>
        <v>35256.008164236191</v>
      </c>
      <c r="X322" s="31">
        <f t="shared" si="592"/>
        <v>7266.4729858374667</v>
      </c>
      <c r="Y322" s="31">
        <f t="shared" si="593"/>
        <v>20562.516805865929</v>
      </c>
      <c r="Z322" s="31">
        <f t="shared" si="594"/>
        <v>19130.395029789455</v>
      </c>
      <c r="AA322" s="31">
        <f t="shared" si="634"/>
        <v>35280.757906717226</v>
      </c>
      <c r="AB322" s="31">
        <f t="shared" si="634"/>
        <v>7853.7397608671145</v>
      </c>
      <c r="AC322" s="31">
        <f t="shared" si="634"/>
        <v>20602.385375466027</v>
      </c>
      <c r="AD322" s="31">
        <f t="shared" si="634"/>
        <v>19167.486865041101</v>
      </c>
      <c r="AE322" s="31">
        <f t="shared" si="595"/>
        <v>82904.369908091467</v>
      </c>
      <c r="AF322" s="31">
        <f>IFERROR(VLOOKUP(A322,'Allocations By Type'!$D$7:$F$491,3,FALSE),"")</f>
        <v>65954.259999999995</v>
      </c>
      <c r="AG322" s="31">
        <f t="shared" si="596"/>
        <v>3316.1747963236589</v>
      </c>
      <c r="AH322" s="31">
        <f t="shared" si="597"/>
        <v>3316.1747963236589</v>
      </c>
      <c r="AI322" s="31">
        <f t="shared" si="598"/>
        <v>79588.195111767811</v>
      </c>
      <c r="AJ322" s="31">
        <f>AI322/$AI$577*'State Admin 1004(b)'!$B$30*0.01</f>
        <v>757.4010020778552</v>
      </c>
      <c r="AK322" s="31">
        <f t="shared" si="599"/>
        <v>78830.794109689959</v>
      </c>
      <c r="AL322" s="31">
        <f t="shared" si="600"/>
        <v>788.30794109689964</v>
      </c>
      <c r="AM322" s="31">
        <f t="shared" si="601"/>
        <v>78042.486168593066</v>
      </c>
      <c r="AP322" s="31"/>
      <c r="AQ322" s="4">
        <f t="shared" si="603"/>
        <v>1.1832819619019768</v>
      </c>
      <c r="AW322" s="31">
        <f t="shared" si="635"/>
        <v>77792.279076195409</v>
      </c>
      <c r="AX322" s="4">
        <f t="shared" si="604"/>
        <v>1.1794883162390939</v>
      </c>
      <c r="AZ322" s="174" t="str">
        <f>IFERROR(IF(VLOOKUP(A322,#REF!,11,FALSE)=0,"",VLOOKUP(A322,#REF!,11,FALSE)),"")</f>
        <v/>
      </c>
      <c r="BA322" s="31" t="str">
        <f t="shared" si="650"/>
        <v/>
      </c>
      <c r="BB322" s="31">
        <f t="shared" si="651"/>
        <v>77792.279076195409</v>
      </c>
      <c r="BD322" s="31">
        <f>IFERROR(VLOOKUP(A322,'Title II Hold Harmless'!A$1:B$439,2, FALSE),"")</f>
        <v>22001</v>
      </c>
      <c r="BE322" s="31">
        <f t="shared" si="606"/>
        <v>23083.907560802101</v>
      </c>
      <c r="BF322" s="31">
        <f t="shared" si="607"/>
        <v>23106.242618844448</v>
      </c>
      <c r="BG322" s="31" t="str">
        <f t="shared" si="652"/>
        <v/>
      </c>
      <c r="BH322" s="31">
        <f t="shared" si="653"/>
        <v>23106.242618844448</v>
      </c>
    </row>
    <row r="323" spans="1:60" x14ac:dyDescent="0.3">
      <c r="A323" s="1">
        <v>78560000</v>
      </c>
      <c r="B323">
        <f>VLOOKUP(C323,'NCES ID'!$A$2:$B$3136,2,FALSE)</f>
        <v>400815</v>
      </c>
      <c r="C323">
        <f>VLOOKUP(A323,'State ID'!$A$2:$B$713,2,FALSE)</f>
        <v>90275</v>
      </c>
      <c r="D323" s="147" t="s">
        <v>359</v>
      </c>
      <c r="E323" t="s">
        <v>7</v>
      </c>
      <c r="I323" s="47">
        <f>VLOOKUP($C323,'Final SEA Counts'!$A$2:$F$709,5,FALSE)</f>
        <v>121</v>
      </c>
      <c r="J323" s="47">
        <f>VLOOKUP($C323,'Final SEA Counts'!$A$2:$F$709,6,FALSE)</f>
        <v>112</v>
      </c>
      <c r="K323" s="24">
        <f t="shared" si="602"/>
        <v>121</v>
      </c>
      <c r="L323" s="24">
        <f t="shared" si="632"/>
        <v>55.343812390415771</v>
      </c>
      <c r="M323" s="4">
        <f t="shared" si="649"/>
        <v>0.45738687925963445</v>
      </c>
      <c r="N323" s="31" t="str">
        <f>IFERROR(VLOOKUP($B323,#REF!,8,FALSE),"")</f>
        <v/>
      </c>
      <c r="O323" s="31" t="str">
        <f>IFERROR(VLOOKUP($B323,#REF!,9,FALSE),"")</f>
        <v/>
      </c>
      <c r="P323" s="31" t="str">
        <f>IFERROR(VLOOKUP($B323,#REF!,10,FALSE),"")</f>
        <v/>
      </c>
      <c r="Q323" s="31" t="str">
        <f>IFERROR(VLOOKUP($B323,#REF!,11,FALSE),"")</f>
        <v/>
      </c>
      <c r="R323" s="31" t="str">
        <f>IFERROR(VLOOKUP($B323,#REF!,12,FALSE),"")</f>
        <v/>
      </c>
      <c r="S323" s="31">
        <f t="shared" si="633"/>
        <v>26680.22239455712</v>
      </c>
      <c r="T323" s="31">
        <f t="shared" si="633"/>
        <v>5498.9525298229473</v>
      </c>
      <c r="U323" s="31">
        <f t="shared" si="633"/>
        <v>15560.823528763405</v>
      </c>
      <c r="V323" s="31">
        <f t="shared" si="633"/>
        <v>14477.055698219046</v>
      </c>
      <c r="W323" s="31">
        <f t="shared" si="591"/>
        <v>26680.22239455712</v>
      </c>
      <c r="X323" s="31">
        <f t="shared" si="592"/>
        <v>5498.9525298229473</v>
      </c>
      <c r="Y323" s="31">
        <f t="shared" si="593"/>
        <v>15560.823528763405</v>
      </c>
      <c r="Z323" s="31">
        <f t="shared" si="594"/>
        <v>14477.055698219046</v>
      </c>
      <c r="AA323" s="31">
        <f t="shared" si="634"/>
        <v>26704.972137038156</v>
      </c>
      <c r="AB323" s="31">
        <f t="shared" si="634"/>
        <v>6086.2193048525951</v>
      </c>
      <c r="AC323" s="31">
        <f t="shared" si="634"/>
        <v>15600.692098363501</v>
      </c>
      <c r="AD323" s="31">
        <f t="shared" si="634"/>
        <v>14514.147533470692</v>
      </c>
      <c r="AE323" s="31">
        <f t="shared" si="595"/>
        <v>62906.031073724946</v>
      </c>
      <c r="AF323" s="31">
        <f>IFERROR(VLOOKUP(A323,'Allocations By Type'!$D$7:$F$491,3,FALSE),"")</f>
        <v>78048.44</v>
      </c>
      <c r="AG323" s="31" t="str">
        <f t="shared" si="596"/>
        <v/>
      </c>
      <c r="AH323" s="31" t="str">
        <f t="shared" si="597"/>
        <v/>
      </c>
      <c r="AI323" s="31">
        <f t="shared" si="598"/>
        <v>62906.031073724946</v>
      </c>
      <c r="AJ323" s="31">
        <f>AI323/$AI$577*'State Admin 1004(b)'!$B$30*0.01</f>
        <v>598.6451998951693</v>
      </c>
      <c r="AK323" s="31">
        <f t="shared" si="599"/>
        <v>62307.385873829779</v>
      </c>
      <c r="AL323" s="31">
        <f t="shared" si="600"/>
        <v>623.07385873829776</v>
      </c>
      <c r="AM323" s="31">
        <f t="shared" si="601"/>
        <v>61684.312015091484</v>
      </c>
      <c r="AP323" s="31"/>
      <c r="AQ323" s="4">
        <f t="shared" si="603"/>
        <v>0.79033369552410637</v>
      </c>
      <c r="AW323" s="31">
        <f t="shared" si="635"/>
        <v>61486.549833060213</v>
      </c>
      <c r="AX323" s="4">
        <f t="shared" si="604"/>
        <v>0.78779985651295803</v>
      </c>
      <c r="AZ323" s="174" t="str">
        <f>IFERROR(IF(VLOOKUP(A323,#REF!,11,FALSE)=0,"",VLOOKUP(A323,#REF!,11,FALSE)),"")</f>
        <v/>
      </c>
      <c r="BA323" s="31" t="str">
        <f t="shared" si="650"/>
        <v/>
      </c>
      <c r="BB323" s="31">
        <f t="shared" si="651"/>
        <v>61486.549833060213</v>
      </c>
      <c r="BD323" s="31" t="str">
        <f>IFERROR(VLOOKUP(A323,'Title II Hold Harmless'!A$1:B$439,2, FALSE),"")</f>
        <v/>
      </c>
      <c r="BE323" s="31">
        <f t="shared" si="606"/>
        <v>821.86850996252417</v>
      </c>
      <c r="BF323" s="31">
        <f t="shared" si="607"/>
        <v>822.6637167889611</v>
      </c>
      <c r="BG323" s="31" t="str">
        <f t="shared" si="652"/>
        <v/>
      </c>
      <c r="BH323" s="31">
        <f t="shared" si="653"/>
        <v>822.6637167889611</v>
      </c>
    </row>
    <row r="324" spans="1:60" x14ac:dyDescent="0.3">
      <c r="A324" s="1">
        <v>78735000</v>
      </c>
      <c r="B324">
        <f>VLOOKUP(C324,'NCES ID'!$A$2:$B$3136,2,FALSE)</f>
        <v>400656</v>
      </c>
      <c r="C324">
        <f>VLOOKUP(A324,'State ID'!$A$2:$B$713,2,FALSE)</f>
        <v>81033</v>
      </c>
      <c r="D324" s="147" t="s">
        <v>363</v>
      </c>
      <c r="E324" t="s">
        <v>7</v>
      </c>
      <c r="I324" s="47">
        <f>VLOOKUP($C324,'Final SEA Counts'!$A$2:$F$709,5,FALSE)</f>
        <v>66</v>
      </c>
      <c r="J324" s="47">
        <f>VLOOKUP($C324,'Final SEA Counts'!$A$2:$F$709,6,FALSE)</f>
        <v>48</v>
      </c>
      <c r="K324" s="24">
        <f t="shared" si="602"/>
        <v>66</v>
      </c>
      <c r="L324" s="24">
        <f t="shared" si="632"/>
        <v>23.718776738749618</v>
      </c>
      <c r="M324" s="4">
        <f t="shared" si="649"/>
        <v>0.35937540513256999</v>
      </c>
      <c r="N324" s="31" t="str">
        <f>IFERROR(VLOOKUP($B324,#REF!,8,FALSE),"")</f>
        <v/>
      </c>
      <c r="O324" s="31" t="str">
        <f>IFERROR(VLOOKUP($B324,#REF!,9,FALSE),"")</f>
        <v/>
      </c>
      <c r="P324" s="31" t="str">
        <f>IFERROR(VLOOKUP($B324,#REF!,10,FALSE),"")</f>
        <v/>
      </c>
      <c r="Q324" s="31" t="str">
        <f>IFERROR(VLOOKUP($B324,#REF!,11,FALSE),"")</f>
        <v/>
      </c>
      <c r="R324" s="31" t="str">
        <f>IFERROR(VLOOKUP($B324,#REF!,12,FALSE),"")</f>
        <v/>
      </c>
      <c r="S324" s="31">
        <f t="shared" si="633"/>
        <v>11434.381026238767</v>
      </c>
      <c r="T324" s="31">
        <f t="shared" si="633"/>
        <v>2356.693941352692</v>
      </c>
      <c r="U324" s="31">
        <f t="shared" si="633"/>
        <v>6668.9243694700317</v>
      </c>
      <c r="V324" s="31">
        <f t="shared" si="633"/>
        <v>6204.4524420938778</v>
      </c>
      <c r="W324" s="31">
        <f t="shared" si="591"/>
        <v>11434.381026238767</v>
      </c>
      <c r="X324" s="31">
        <f t="shared" si="592"/>
        <v>2356.693941352692</v>
      </c>
      <c r="Y324" s="31">
        <f t="shared" si="593"/>
        <v>6668.9243694700317</v>
      </c>
      <c r="Z324" s="31">
        <f t="shared" si="594"/>
        <v>6204.4524420938778</v>
      </c>
      <c r="AA324" s="31">
        <f t="shared" si="634"/>
        <v>11459.130768719802</v>
      </c>
      <c r="AB324" s="31">
        <f t="shared" si="634"/>
        <v>2943.9607163823403</v>
      </c>
      <c r="AC324" s="31">
        <f t="shared" si="634"/>
        <v>6708.7929390701283</v>
      </c>
      <c r="AD324" s="31">
        <f t="shared" si="634"/>
        <v>6241.5442773455225</v>
      </c>
      <c r="AE324" s="31">
        <f t="shared" si="595"/>
        <v>27353.428701517791</v>
      </c>
      <c r="AF324" s="31">
        <f>IFERROR(VLOOKUP(A324,'Allocations By Type'!$D$7:$F$491,3,FALSE),"")</f>
        <v>45845.45</v>
      </c>
      <c r="AG324" s="31" t="str">
        <f t="shared" si="596"/>
        <v/>
      </c>
      <c r="AH324" s="31" t="str">
        <f t="shared" si="597"/>
        <v/>
      </c>
      <c r="AI324" s="31">
        <f t="shared" si="598"/>
        <v>27353.428701517791</v>
      </c>
      <c r="AJ324" s="31">
        <f>AI324/$AI$577*'State Admin 1004(b)'!$B$30*0.01</f>
        <v>260.30888474981231</v>
      </c>
      <c r="AK324" s="31">
        <f t="shared" si="599"/>
        <v>27093.11981676798</v>
      </c>
      <c r="AL324" s="31">
        <f t="shared" si="600"/>
        <v>270.93119816767978</v>
      </c>
      <c r="AM324" s="31">
        <f t="shared" si="601"/>
        <v>26822.188618600299</v>
      </c>
      <c r="AP324" s="31"/>
      <c r="AQ324" s="4">
        <f t="shared" si="603"/>
        <v>0.58505672032012557</v>
      </c>
      <c r="AW324" s="31">
        <f t="shared" si="635"/>
        <v>26736.195691472072</v>
      </c>
      <c r="AX324" s="4">
        <f t="shared" si="604"/>
        <v>0.58318100687139229</v>
      </c>
      <c r="AZ324" s="174" t="str">
        <f>IFERROR(IF(VLOOKUP(A324,#REF!,11,FALSE)=0,"",VLOOKUP(A324,#REF!,11,FALSE)),"")</f>
        <v/>
      </c>
      <c r="BA324" s="31" t="str">
        <f t="shared" si="650"/>
        <v/>
      </c>
      <c r="BB324" s="31">
        <f t="shared" si="651"/>
        <v>26736.195691472072</v>
      </c>
      <c r="BD324" s="31" t="str">
        <f>IFERROR(VLOOKUP(A324,'Title II Hold Harmless'!A$1:B$439,2, FALSE),"")</f>
        <v/>
      </c>
      <c r="BE324" s="31">
        <f t="shared" si="606"/>
        <v>363.61152844960799</v>
      </c>
      <c r="BF324" s="31">
        <f t="shared" si="607"/>
        <v>363.96334430103593</v>
      </c>
      <c r="BG324" s="31" t="str">
        <f t="shared" si="652"/>
        <v/>
      </c>
      <c r="BH324" s="31">
        <f t="shared" si="653"/>
        <v>363.96334430103593</v>
      </c>
    </row>
    <row r="325" spans="1:60" s="47" customFormat="1" x14ac:dyDescent="0.3">
      <c r="A325" s="1">
        <v>78508000</v>
      </c>
      <c r="B325" s="47">
        <f>VLOOKUP(C325,'NCES ID'!$A$2:$B$3136,2,FALSE)</f>
        <v>400424</v>
      </c>
      <c r="C325" s="47">
        <f>VLOOKUP(A325,'State ID'!$A$2:$B$713,2,FALSE)</f>
        <v>87399</v>
      </c>
      <c r="D325" s="191" t="s">
        <v>681</v>
      </c>
      <c r="E325" s="47" t="s">
        <v>7</v>
      </c>
      <c r="H325" s="4"/>
      <c r="I325" s="47">
        <f>VLOOKUP($C325,'Final SEA Counts'!$A$2:$F$709,5,FALSE)</f>
        <v>793</v>
      </c>
      <c r="J325" s="47">
        <f>VLOOKUP($C325,'Final SEA Counts'!$A$2:$F$709,6,FALSE)</f>
        <v>254</v>
      </c>
      <c r="K325" s="24">
        <f t="shared" ref="K325" si="667">I325</f>
        <v>793</v>
      </c>
      <c r="L325" s="24">
        <f t="shared" ref="L325" si="668">J325*$B$356</f>
        <v>125.51186024255006</v>
      </c>
      <c r="M325" s="4">
        <f t="shared" ref="M325" si="669">L325/K325</f>
        <v>0.15827472918354357</v>
      </c>
      <c r="N325" s="31"/>
      <c r="O325" s="31"/>
      <c r="P325" s="31"/>
      <c r="Q325" s="31"/>
      <c r="R325" s="31"/>
      <c r="S325" s="31">
        <f t="shared" ref="S325" si="670">$L325*N$357</f>
        <v>60506.932930513474</v>
      </c>
      <c r="T325" s="31">
        <f t="shared" ref="T325" si="671">$L325*O$357</f>
        <v>12470.838772991328</v>
      </c>
      <c r="U325" s="31">
        <f t="shared" ref="U325" si="672">$L325*P$357</f>
        <v>35289.724788445579</v>
      </c>
      <c r="V325" s="31">
        <f t="shared" ref="V325" si="673">$L325*Q$357</f>
        <v>32831.894172746768</v>
      </c>
      <c r="W325" s="31">
        <f t="shared" ref="W325" si="674">IF(AND($L325&gt;9,$L325&gt;($K325*0.02)),S325,"")</f>
        <v>60506.932930513474</v>
      </c>
      <c r="X325" s="31">
        <f t="shared" ref="X325" si="675">IF(W325="","",IF(OR($L325&gt;6500,$L325&gt;($K325*0.15)),T325,""))</f>
        <v>12470.838772991328</v>
      </c>
      <c r="Y325" s="31">
        <f t="shared" ref="Y325" si="676">IF(AND($L325&gt;9,$L325&gt;($K325*0.05)),U325,"")</f>
        <v>35289.724788445579</v>
      </c>
      <c r="Z325" s="31">
        <f t="shared" ref="Z325" si="677">IF(AND($L325&gt;9,$L325&gt;($K325*0.05)),V325,"")</f>
        <v>32831.894172746768</v>
      </c>
      <c r="AA325" s="31">
        <f t="shared" ref="AA325" si="678">IF(W325="","",W325+W$357)</f>
        <v>60531.68267299451</v>
      </c>
      <c r="AB325" s="31">
        <f t="shared" ref="AB325" si="679">IF(X325="","",X325+X$357)</f>
        <v>13058.105548020976</v>
      </c>
      <c r="AC325" s="31">
        <f t="shared" ref="AC325" si="680">IF(Y325="","",Y325+Y$357)</f>
        <v>35329.593358045677</v>
      </c>
      <c r="AD325" s="31">
        <f t="shared" ref="AD325" si="681">IF(Z325="","",Z325+Z$357)</f>
        <v>32868.986007998414</v>
      </c>
      <c r="AE325" s="31">
        <f t="shared" ref="AE325" si="682">SUM(AA325:AD325)</f>
        <v>141788.36758705956</v>
      </c>
      <c r="AF325" s="31">
        <f>IFERROR(VLOOKUP(A325,'Allocations By Type'!$D$7:$F$491,3,FALSE),"")</f>
        <v>102711.62</v>
      </c>
      <c r="AG325" s="31">
        <f t="shared" ref="AG325" si="683">IF(AE325&gt;AF325,AE325*0.04,"")</f>
        <v>5671.5347034823826</v>
      </c>
      <c r="AH325" s="31">
        <f t="shared" ref="AH325" si="684">IF(AG325="","",IF((AE325-AF325)&gt;AG325,AG325,AE325-AF325))</f>
        <v>5671.5347034823826</v>
      </c>
      <c r="AI325" s="31">
        <f t="shared" ref="AI325" si="685">IF(AH325="",AE325,AE325-AH325)</f>
        <v>136116.83288357718</v>
      </c>
      <c r="AJ325" s="31">
        <f>AI325/$AI$577*'State Admin 1004(b)'!$B$30*0.01</f>
        <v>1295.3557431589727</v>
      </c>
      <c r="AK325" s="31">
        <f t="shared" ref="AK325" si="686">AI325-AJ325</f>
        <v>134821.4771404182</v>
      </c>
      <c r="AL325" s="31">
        <f t="shared" ref="AL325" si="687">AK325*0.01</f>
        <v>1348.2147714041819</v>
      </c>
      <c r="AM325" s="31">
        <f t="shared" ref="AM325" si="688">AK325-AL325</f>
        <v>133473.262369014</v>
      </c>
      <c r="AP325" s="31"/>
      <c r="AQ325" s="4">
        <f t="shared" si="603"/>
        <v>1.2994952505764588</v>
      </c>
      <c r="AR325" s="4"/>
      <c r="AS325" s="4"/>
      <c r="AT325" s="4"/>
      <c r="AW325" s="31">
        <f t="shared" si="635"/>
        <v>133045.3421613205</v>
      </c>
      <c r="AX325" s="4">
        <f t="shared" si="604"/>
        <v>1.2953290208188761</v>
      </c>
      <c r="AZ325" s="174"/>
      <c r="BA325" s="31"/>
      <c r="BB325" s="31">
        <f t="shared" si="651"/>
        <v>133045.3421613205</v>
      </c>
      <c r="BD325" s="31" t="str">
        <f>IFERROR(VLOOKUP(A325,'Title II Hold Harmless'!A$1:B$439,2, FALSE),"")</f>
        <v/>
      </c>
      <c r="BE325" s="31">
        <f t="shared" si="606"/>
        <v>2281.2408669244733</v>
      </c>
      <c r="BF325" s="31">
        <f t="shared" si="607"/>
        <v>2283.4481035908443</v>
      </c>
      <c r="BG325" s="31"/>
      <c r="BH325" s="31">
        <f t="shared" si="653"/>
        <v>2283.4481035908443</v>
      </c>
    </row>
    <row r="326" spans="1:60" s="47" customFormat="1" x14ac:dyDescent="0.3">
      <c r="A326" s="47">
        <v>78688000</v>
      </c>
      <c r="B326" s="47">
        <f>VLOOKUP(C326,'NCES ID'!$A$2:$B$3136,2,FALSE)</f>
        <v>400748</v>
      </c>
      <c r="C326" s="47">
        <f>VLOOKUP(A326,'State ID'!$A$2:$B$713,2,FALSE)</f>
        <v>89414</v>
      </c>
      <c r="D326" s="192" t="s">
        <v>732</v>
      </c>
      <c r="E326" s="47" t="s">
        <v>7</v>
      </c>
      <c r="H326" s="4"/>
      <c r="I326" s="47">
        <f>VLOOKUP($C326,'Final SEA Counts'!$A$2:$F$709,5,FALSE)</f>
        <v>166</v>
      </c>
      <c r="J326" s="47">
        <f>VLOOKUP($C326,'Final SEA Counts'!$A$2:$F$709,6,FALSE)</f>
        <v>106</v>
      </c>
      <c r="K326" s="24">
        <f t="shared" ref="K326" si="689">I326</f>
        <v>166</v>
      </c>
      <c r="L326" s="24">
        <f t="shared" ref="L326" si="690">J326*$B$356</f>
        <v>52.378965298072075</v>
      </c>
      <c r="M326" s="4">
        <f t="shared" ref="M326" si="691">L326/K326</f>
        <v>0.31553593553055465</v>
      </c>
      <c r="N326" s="31"/>
      <c r="O326" s="31"/>
      <c r="P326" s="31"/>
      <c r="Q326" s="31"/>
      <c r="R326" s="31"/>
      <c r="S326" s="31">
        <f t="shared" ref="S326" si="692">$L326*N$357</f>
        <v>25250.924766277276</v>
      </c>
      <c r="T326" s="31">
        <f t="shared" ref="T326" si="693">$L326*O$357</f>
        <v>5204.3657871538617</v>
      </c>
      <c r="U326" s="31">
        <f t="shared" ref="U326" si="694">$L326*P$357</f>
        <v>14727.207982579654</v>
      </c>
      <c r="V326" s="31">
        <f t="shared" ref="V326" si="695">$L326*Q$357</f>
        <v>13701.499142957313</v>
      </c>
      <c r="W326" s="31">
        <f t="shared" ref="W326" si="696">IF(AND($L326&gt;9,$L326&gt;($K326*0.02)),S326,"")</f>
        <v>25250.924766277276</v>
      </c>
      <c r="X326" s="31">
        <f t="shared" ref="X326" si="697">IF(W326="","",IF(OR($L326&gt;6500,$L326&gt;($K326*0.15)),T326,""))</f>
        <v>5204.3657871538617</v>
      </c>
      <c r="Y326" s="31">
        <f t="shared" ref="Y326" si="698">IF(AND($L326&gt;9,$L326&gt;($K326*0.05)),U326,"")</f>
        <v>14727.207982579654</v>
      </c>
      <c r="Z326" s="31">
        <f t="shared" ref="Z326" si="699">IF(AND($L326&gt;9,$L326&gt;($K326*0.05)),V326,"")</f>
        <v>13701.499142957313</v>
      </c>
      <c r="AA326" s="31">
        <f t="shared" ref="AA326" si="700">IF(W326="","",W326+W$357)</f>
        <v>25275.674508758311</v>
      </c>
      <c r="AB326" s="31">
        <f t="shared" ref="AB326" si="701">IF(X326="","",X326+X$357)</f>
        <v>5791.6325621835094</v>
      </c>
      <c r="AC326" s="31">
        <f t="shared" ref="AC326" si="702">IF(Y326="","",Y326+Y$357)</f>
        <v>14767.076552179749</v>
      </c>
      <c r="AD326" s="31">
        <f t="shared" ref="AD326" si="703">IF(Z326="","",Z326+Z$357)</f>
        <v>13738.590978208958</v>
      </c>
      <c r="AE326" s="31">
        <f t="shared" ref="AE326" si="704">SUM(AA326:AD326)</f>
        <v>59572.974601330527</v>
      </c>
      <c r="AF326" s="31">
        <f>IFERROR(VLOOKUP(A326,'Allocations By Type'!$D$7:$F$491,3,FALSE),"")</f>
        <v>29200.18</v>
      </c>
      <c r="AG326" s="31">
        <f t="shared" ref="AG326" si="705">IF(AE326&gt;AF326,AE326*0.04,"")</f>
        <v>2382.9189840532213</v>
      </c>
      <c r="AH326" s="31">
        <f t="shared" ref="AH326" si="706">IF(AG326="","",IF((AE326-AF326)&gt;AG326,AG326,AE326-AF326))</f>
        <v>2382.9189840532213</v>
      </c>
      <c r="AI326" s="31">
        <f t="shared" ref="AI326" si="707">IF(AH326="",AE326,AE326-AH326)</f>
        <v>57190.055617277307</v>
      </c>
      <c r="AJ326" s="31">
        <f>AI326/$AI$577*'State Admin 1004(b)'!$B$30*0.01</f>
        <v>544.24912353628042</v>
      </c>
      <c r="AK326" s="31">
        <f t="shared" ref="AK326" si="708">AI326-AJ326</f>
        <v>56645.806493741024</v>
      </c>
      <c r="AL326" s="31">
        <f t="shared" ref="AL326" si="709">AK326*0.01</f>
        <v>566.4580649374102</v>
      </c>
      <c r="AM326" s="31">
        <f t="shared" ref="AM326" si="710">AK326-AL326</f>
        <v>56079.348428803612</v>
      </c>
      <c r="AP326" s="31"/>
      <c r="AQ326" s="4">
        <f t="shared" si="603"/>
        <v>1.9205137923397599</v>
      </c>
      <c r="AR326" s="4"/>
      <c r="AS326" s="4"/>
      <c r="AT326" s="4"/>
      <c r="AW326" s="31">
        <f t="shared" si="635"/>
        <v>55899.555966994871</v>
      </c>
      <c r="AX326" s="4">
        <f t="shared" ref="AX326" si="711">IFERROR(AW326/AF326,"")</f>
        <v>1.914356554205997</v>
      </c>
      <c r="AZ326" s="174"/>
      <c r="BA326" s="31"/>
      <c r="BB326" s="31">
        <f t="shared" si="651"/>
        <v>55899.555966994871</v>
      </c>
      <c r="BD326" s="31" t="str">
        <f>IFERROR(VLOOKUP(A326,'Title II Hold Harmless'!A$1:B$439,2, FALSE),"")</f>
        <v/>
      </c>
      <c r="BE326" s="31">
        <f t="shared" si="606"/>
        <v>819.27265237175891</v>
      </c>
      <c r="BF326" s="31">
        <f t="shared" si="607"/>
        <v>820.06534755107509</v>
      </c>
      <c r="BG326" s="31"/>
      <c r="BH326" s="31">
        <f t="shared" ref="BH326" si="712">IF(BG326&lt;0,BF326+BG326,BF326)</f>
        <v>820.06534755107509</v>
      </c>
    </row>
    <row r="327" spans="1:60" x14ac:dyDescent="0.3">
      <c r="A327" s="1">
        <v>78656000</v>
      </c>
      <c r="B327">
        <f>VLOOKUP(C327,'NCES ID'!$A$2:$B$3136,2,FALSE)</f>
        <v>400047</v>
      </c>
      <c r="C327">
        <f>VLOOKUP(A327,'State ID'!$A$2:$B$713,2,FALSE)</f>
        <v>4320</v>
      </c>
      <c r="D327" s="147" t="s">
        <v>369</v>
      </c>
      <c r="E327" t="s">
        <v>7</v>
      </c>
      <c r="I327" s="47">
        <f>VLOOKUP($C327,'Final SEA Counts'!$A$2:$F$709,5,FALSE)</f>
        <v>178</v>
      </c>
      <c r="J327" s="47">
        <f>VLOOKUP($C327,'Final SEA Counts'!$A$2:$F$709,6,FALSE)</f>
        <v>91</v>
      </c>
      <c r="K327" s="24">
        <f t="shared" si="602"/>
        <v>178</v>
      </c>
      <c r="L327" s="24">
        <f>J327*$B$356</f>
        <v>44.966847567212817</v>
      </c>
      <c r="M327" s="4">
        <f t="shared" si="649"/>
        <v>0.25262273914164501</v>
      </c>
      <c r="N327" s="31" t="str">
        <f>IFERROR(VLOOKUP($B327,#REF!,8,FALSE),"")</f>
        <v/>
      </c>
      <c r="O327" s="31" t="str">
        <f>IFERROR(VLOOKUP($B327,#REF!,9,FALSE),"")</f>
        <v/>
      </c>
      <c r="P327" s="31" t="str">
        <f>IFERROR(VLOOKUP($B327,#REF!,10,FALSE),"")</f>
        <v/>
      </c>
      <c r="Q327" s="31" t="str">
        <f>IFERROR(VLOOKUP($B327,#REF!,11,FALSE),"")</f>
        <v/>
      </c>
      <c r="R327" s="31" t="str">
        <f>IFERROR(VLOOKUP($B327,#REF!,12,FALSE),"")</f>
        <v/>
      </c>
      <c r="S327" s="31">
        <f t="shared" ref="S327:V331" si="713">$L327*N$357</f>
        <v>21677.680695577663</v>
      </c>
      <c r="T327" s="31">
        <f t="shared" si="713"/>
        <v>4467.8989304811448</v>
      </c>
      <c r="U327" s="31">
        <f t="shared" si="713"/>
        <v>12643.169117120267</v>
      </c>
      <c r="V327" s="31">
        <f t="shared" si="713"/>
        <v>11762.607754802977</v>
      </c>
      <c r="W327" s="31">
        <f t="shared" si="591"/>
        <v>21677.680695577663</v>
      </c>
      <c r="X327" s="31">
        <f t="shared" si="592"/>
        <v>4467.8989304811448</v>
      </c>
      <c r="Y327" s="31">
        <f t="shared" si="593"/>
        <v>12643.169117120267</v>
      </c>
      <c r="Z327" s="31">
        <f t="shared" si="594"/>
        <v>11762.607754802977</v>
      </c>
      <c r="AA327" s="31">
        <f t="shared" ref="AA327:AD331" si="714">IF(W327="","",W327+W$357)</f>
        <v>21702.430438058698</v>
      </c>
      <c r="AB327" s="31">
        <f t="shared" si="714"/>
        <v>5055.1657055107926</v>
      </c>
      <c r="AC327" s="31">
        <f t="shared" si="714"/>
        <v>12683.037686720363</v>
      </c>
      <c r="AD327" s="31">
        <f t="shared" si="714"/>
        <v>11799.699590054623</v>
      </c>
      <c r="AE327" s="31">
        <f t="shared" si="595"/>
        <v>51240.333420344476</v>
      </c>
      <c r="AF327" s="31">
        <f>IFERROR(VLOOKUP(A327,'Allocations By Type'!$D$7:$F$491,3,FALSE),"")</f>
        <v>58545.75</v>
      </c>
      <c r="AG327" s="31" t="str">
        <f t="shared" si="596"/>
        <v/>
      </c>
      <c r="AH327" s="31" t="str">
        <f t="shared" si="597"/>
        <v/>
      </c>
      <c r="AI327" s="31">
        <f t="shared" si="598"/>
        <v>51240.333420344476</v>
      </c>
      <c r="AJ327" s="31">
        <f>AI327/$AI$577*'State Admin 1004(b)'!$B$30*0.01</f>
        <v>487.62859648809899</v>
      </c>
      <c r="AK327" s="31">
        <f t="shared" si="599"/>
        <v>50752.704823856373</v>
      </c>
      <c r="AL327" s="31">
        <f t="shared" si="600"/>
        <v>507.52704823856374</v>
      </c>
      <c r="AM327" s="31">
        <f t="shared" si="601"/>
        <v>50245.177775617813</v>
      </c>
      <c r="AP327" s="31"/>
      <c r="AQ327" s="4">
        <f t="shared" si="603"/>
        <v>0.85822075514649332</v>
      </c>
      <c r="AW327" s="31">
        <f t="shared" si="635"/>
        <v>50084.089880351603</v>
      </c>
      <c r="AX327" s="4">
        <f t="shared" si="604"/>
        <v>0.85546926771544651</v>
      </c>
      <c r="AZ327" s="174" t="str">
        <f>IFERROR(IF(VLOOKUP(A327,#REF!,11,FALSE)=0,"",VLOOKUP(A327,#REF!,11,FALSE)),"")</f>
        <v/>
      </c>
      <c r="BA327" s="31" t="str">
        <f t="shared" si="650"/>
        <v/>
      </c>
      <c r="BB327" s="31">
        <f t="shared" si="651"/>
        <v>50084.089880351603</v>
      </c>
      <c r="BD327" s="31">
        <f>IFERROR(VLOOKUP(A327,'Title II Hold Harmless'!A$1:B$439,2, FALSE),"")</f>
        <v>6052</v>
      </c>
      <c r="BE327" s="31">
        <f t="shared" si="606"/>
        <v>6783.9006396009245</v>
      </c>
      <c r="BF327" s="31">
        <f t="shared" si="607"/>
        <v>6790.4644682828703</v>
      </c>
      <c r="BG327" s="31" t="str">
        <f t="shared" si="652"/>
        <v/>
      </c>
      <c r="BH327" s="31">
        <f t="shared" si="653"/>
        <v>6790.4644682828703</v>
      </c>
    </row>
    <row r="328" spans="1:60" x14ac:dyDescent="0.3">
      <c r="A328" s="1">
        <v>78539000</v>
      </c>
      <c r="B328">
        <f>VLOOKUP(C328,'NCES ID'!$A$2:$B$3136,2,FALSE)</f>
        <v>400775</v>
      </c>
      <c r="C328">
        <f>VLOOKUP(A328,'State ID'!$A$2:$B$713,2,FALSE)</f>
        <v>89798</v>
      </c>
      <c r="D328" s="147" t="s">
        <v>373</v>
      </c>
      <c r="E328" t="s">
        <v>7</v>
      </c>
      <c r="I328" s="47">
        <f>VLOOKUP($C328,'Final SEA Counts'!$A$2:$F$709,5,FALSE)</f>
        <v>636</v>
      </c>
      <c r="J328" s="47">
        <f>VLOOKUP($C328,'Final SEA Counts'!$A$2:$F$709,6,FALSE)</f>
        <v>104</v>
      </c>
      <c r="K328" s="24">
        <f t="shared" si="602"/>
        <v>636</v>
      </c>
      <c r="L328" s="24">
        <f>J328*$B$356</f>
        <v>51.390682933957507</v>
      </c>
      <c r="M328" s="4">
        <f t="shared" si="649"/>
        <v>8.0802960587983502E-2</v>
      </c>
      <c r="N328" s="31" t="str">
        <f>IFERROR(VLOOKUP($B328,#REF!,8,FALSE),"")</f>
        <v/>
      </c>
      <c r="O328" s="31" t="str">
        <f>IFERROR(VLOOKUP($B328,#REF!,9,FALSE),"")</f>
        <v/>
      </c>
      <c r="P328" s="31" t="str">
        <f>IFERROR(VLOOKUP($B328,#REF!,10,FALSE),"")</f>
        <v/>
      </c>
      <c r="Q328" s="31" t="str">
        <f>IFERROR(VLOOKUP($B328,#REF!,11,FALSE),"")</f>
        <v/>
      </c>
      <c r="R328" s="31" t="str">
        <f>IFERROR(VLOOKUP($B328,#REF!,12,FALSE),"")</f>
        <v/>
      </c>
      <c r="S328" s="31">
        <f t="shared" si="713"/>
        <v>24774.492223517329</v>
      </c>
      <c r="T328" s="31">
        <f t="shared" si="713"/>
        <v>5106.1702062641662</v>
      </c>
      <c r="U328" s="31">
        <f t="shared" si="713"/>
        <v>14449.336133851735</v>
      </c>
      <c r="V328" s="31">
        <f t="shared" si="713"/>
        <v>13442.980291203403</v>
      </c>
      <c r="W328" s="31">
        <f t="shared" si="591"/>
        <v>24774.492223517329</v>
      </c>
      <c r="X328" s="31" t="str">
        <f t="shared" si="592"/>
        <v/>
      </c>
      <c r="Y328" s="31">
        <f t="shared" si="593"/>
        <v>14449.336133851735</v>
      </c>
      <c r="Z328" s="31">
        <f t="shared" si="594"/>
        <v>13442.980291203403</v>
      </c>
      <c r="AA328" s="31">
        <f t="shared" si="714"/>
        <v>24799.241965998364</v>
      </c>
      <c r="AB328" s="31" t="str">
        <f t="shared" si="714"/>
        <v/>
      </c>
      <c r="AC328" s="31">
        <f t="shared" si="714"/>
        <v>14489.204703451831</v>
      </c>
      <c r="AD328" s="31">
        <f t="shared" si="714"/>
        <v>13480.072126455048</v>
      </c>
      <c r="AE328" s="31">
        <f t="shared" si="595"/>
        <v>52768.518795905242</v>
      </c>
      <c r="AF328" s="31">
        <f>IFERROR(VLOOKUP(A328,'Allocations By Type'!$D$7:$F$491,3,FALSE),"")</f>
        <v>54244.97</v>
      </c>
      <c r="AG328" s="31" t="str">
        <f t="shared" si="596"/>
        <v/>
      </c>
      <c r="AH328" s="31" t="str">
        <f t="shared" si="597"/>
        <v/>
      </c>
      <c r="AI328" s="31">
        <f t="shared" si="598"/>
        <v>52768.518795905242</v>
      </c>
      <c r="AJ328" s="31">
        <f>AI328/$AI$577*'State Admin 1004(b)'!$B$30*0.01</f>
        <v>502.17157152585446</v>
      </c>
      <c r="AK328" s="31">
        <f t="shared" si="599"/>
        <v>52266.347224379388</v>
      </c>
      <c r="AL328" s="31">
        <f t="shared" si="600"/>
        <v>522.66347224379388</v>
      </c>
      <c r="AM328" s="31">
        <f t="shared" si="601"/>
        <v>51743.683752135592</v>
      </c>
      <c r="AP328" s="31"/>
      <c r="AQ328" s="4">
        <f t="shared" si="603"/>
        <v>0.95388906569836041</v>
      </c>
      <c r="AW328" s="31">
        <f t="shared" si="635"/>
        <v>51577.791591375906</v>
      </c>
      <c r="AX328" s="4">
        <f t="shared" si="604"/>
        <v>0.95083086213110457</v>
      </c>
      <c r="AZ328" s="174" t="str">
        <f>IFERROR(IF(VLOOKUP(A328,#REF!,11,FALSE)=0,"",VLOOKUP(A328,#REF!,11,FALSE)),"")</f>
        <v/>
      </c>
      <c r="BA328" s="31" t="str">
        <f t="shared" si="650"/>
        <v/>
      </c>
      <c r="BB328" s="31">
        <f t="shared" si="651"/>
        <v>51577.791591375906</v>
      </c>
      <c r="BD328" s="31" t="str">
        <f>IFERROR(VLOOKUP(A328,'Title II Hold Harmless'!A$1:B$439,2, FALSE),"")</f>
        <v/>
      </c>
      <c r="BE328" s="31">
        <f t="shared" si="606"/>
        <v>1184.591225226917</v>
      </c>
      <c r="BF328" s="31">
        <f t="shared" si="607"/>
        <v>1185.7373879249874</v>
      </c>
      <c r="BG328" s="31" t="str">
        <f t="shared" si="652"/>
        <v/>
      </c>
      <c r="BH328" s="31">
        <f t="shared" si="653"/>
        <v>1185.7373879249874</v>
      </c>
    </row>
    <row r="329" spans="1:60" x14ac:dyDescent="0.3">
      <c r="A329" s="1">
        <v>78962000</v>
      </c>
      <c r="B329">
        <f>VLOOKUP(C329,'NCES ID'!$A$2:$B$3136,2,FALSE)</f>
        <v>400363</v>
      </c>
      <c r="C329">
        <f>VLOOKUP(A329,'State ID'!$A$2:$B$713,2,FALSE)</f>
        <v>79951</v>
      </c>
      <c r="D329" s="192" t="s">
        <v>378</v>
      </c>
      <c r="E329" t="s">
        <v>7</v>
      </c>
      <c r="I329" s="47">
        <f>VLOOKUP($C329,'AzEDS FY17 12-04-16'!$A$1:$D$712,3,FALSE)</f>
        <v>50</v>
      </c>
      <c r="J329" s="47">
        <f>VLOOKUP($C329,'AzEDS FY17 12-04-16'!$A$1:$D$712,4,FALSE)</f>
        <v>39</v>
      </c>
      <c r="K329" s="24">
        <f t="shared" si="602"/>
        <v>50</v>
      </c>
      <c r="L329" s="24">
        <f>J329*$B$356</f>
        <v>19.271506100234063</v>
      </c>
      <c r="M329" s="4">
        <f t="shared" si="649"/>
        <v>0.38543012200468124</v>
      </c>
      <c r="N329" s="31" t="str">
        <f>IFERROR(VLOOKUP($B329,#REF!,8,FALSE),"")</f>
        <v/>
      </c>
      <c r="O329" s="31" t="str">
        <f>IFERROR(VLOOKUP($B329,#REF!,9,FALSE),"")</f>
        <v/>
      </c>
      <c r="P329" s="31" t="str">
        <f>IFERROR(VLOOKUP($B329,#REF!,10,FALSE),"")</f>
        <v/>
      </c>
      <c r="Q329" s="31" t="str">
        <f>IFERROR(VLOOKUP($B329,#REF!,11,FALSE),"")</f>
        <v/>
      </c>
      <c r="R329" s="31" t="str">
        <f>IFERROR(VLOOKUP($B329,#REF!,12,FALSE),"")</f>
        <v/>
      </c>
      <c r="S329" s="31">
        <f t="shared" si="713"/>
        <v>9290.4345838189965</v>
      </c>
      <c r="T329" s="31">
        <f t="shared" si="713"/>
        <v>1914.8138273490622</v>
      </c>
      <c r="U329" s="31">
        <f t="shared" si="713"/>
        <v>5418.5010501944007</v>
      </c>
      <c r="V329" s="31">
        <f t="shared" si="713"/>
        <v>5041.1176092012756</v>
      </c>
      <c r="W329" s="31">
        <f t="shared" si="591"/>
        <v>9290.4345838189965</v>
      </c>
      <c r="X329" s="31">
        <f t="shared" si="592"/>
        <v>1914.8138273490622</v>
      </c>
      <c r="Y329" s="31">
        <f t="shared" si="593"/>
        <v>5418.5010501944007</v>
      </c>
      <c r="Z329" s="31">
        <f t="shared" si="594"/>
        <v>5041.1176092012756</v>
      </c>
      <c r="AA329" s="31">
        <f t="shared" si="714"/>
        <v>9315.1843263000319</v>
      </c>
      <c r="AB329" s="31">
        <f t="shared" si="714"/>
        <v>2502.0806023787104</v>
      </c>
      <c r="AC329" s="31">
        <f t="shared" si="714"/>
        <v>5458.3696197944973</v>
      </c>
      <c r="AD329" s="31">
        <f t="shared" si="714"/>
        <v>5078.2094444529203</v>
      </c>
      <c r="AE329" s="31">
        <f t="shared" si="595"/>
        <v>22353.843992926159</v>
      </c>
      <c r="AF329" s="31">
        <f>IFERROR(VLOOKUP(A329,'Allocations By Type'!$D$7:$F$491,3,FALSE),"")</f>
        <v>19915.669999999998</v>
      </c>
      <c r="AG329" s="31">
        <f t="shared" si="596"/>
        <v>894.15375971704634</v>
      </c>
      <c r="AH329" s="31">
        <f t="shared" si="597"/>
        <v>894.15375971704634</v>
      </c>
      <c r="AI329" s="31">
        <f t="shared" si="598"/>
        <v>21459.690233209112</v>
      </c>
      <c r="AJ329" s="31">
        <f>AI329/$AI$577*'State Admin 1004(b)'!$B$30*0.01</f>
        <v>204.22112681519658</v>
      </c>
      <c r="AK329" s="31">
        <f t="shared" si="599"/>
        <v>21255.469106393917</v>
      </c>
      <c r="AL329" s="31">
        <f t="shared" si="600"/>
        <v>212.55469106393917</v>
      </c>
      <c r="AM329" s="31">
        <f t="shared" si="601"/>
        <v>21042.914415329979</v>
      </c>
      <c r="AP329" s="31"/>
      <c r="AQ329" s="4">
        <f t="shared" si="603"/>
        <v>1.0566008783701468</v>
      </c>
      <c r="AW329" s="31">
        <f t="shared" si="635"/>
        <v>20975.450054698791</v>
      </c>
      <c r="AX329" s="4">
        <f t="shared" si="604"/>
        <v>1.0532133769388021</v>
      </c>
      <c r="AZ329" s="174" t="str">
        <f>IFERROR(IF(VLOOKUP(A329,#REF!,11,FALSE)=0,"",VLOOKUP(A329,#REF!,11,FALSE)),"")</f>
        <v/>
      </c>
      <c r="BA329" s="31" t="str">
        <f t="shared" si="650"/>
        <v/>
      </c>
      <c r="BB329" s="31">
        <f t="shared" si="651"/>
        <v>20975.450054698791</v>
      </c>
      <c r="BD329" s="31" t="str">
        <f>IFERROR(VLOOKUP(A329,'Title II Hold Harmless'!A$1:B$439,2, FALSE),"")</f>
        <v/>
      </c>
      <c r="BE329" s="31">
        <f t="shared" si="606"/>
        <v>292.51696799089888</v>
      </c>
      <c r="BF329" s="31">
        <f t="shared" si="607"/>
        <v>292.79999561268426</v>
      </c>
      <c r="BG329" s="31" t="str">
        <f t="shared" si="652"/>
        <v/>
      </c>
      <c r="BH329" s="31">
        <f t="shared" si="653"/>
        <v>292.79999561268426</v>
      </c>
    </row>
    <row r="330" spans="1:60" x14ac:dyDescent="0.3">
      <c r="A330" s="1">
        <v>78566000</v>
      </c>
      <c r="B330">
        <f>VLOOKUP(C330,'NCES ID'!$A$2:$B$3136,2,FALSE)</f>
        <v>400801</v>
      </c>
      <c r="C330">
        <f>VLOOKUP(A330,'State ID'!$A$2:$B$713,2,FALSE)</f>
        <v>90329</v>
      </c>
      <c r="D330" s="147" t="s">
        <v>385</v>
      </c>
      <c r="E330" t="s">
        <v>7</v>
      </c>
      <c r="I330" s="47">
        <f>VLOOKUP($C330,'Final SEA Counts'!$A$2:$F$709,5,FALSE)</f>
        <v>118</v>
      </c>
      <c r="J330" s="47">
        <f>VLOOKUP($C330,'Final SEA Counts'!$A$2:$F$709,6,FALSE)</f>
        <v>102</v>
      </c>
      <c r="K330" s="24">
        <f t="shared" si="602"/>
        <v>118</v>
      </c>
      <c r="L330" s="24">
        <f>J330*$B$356</f>
        <v>50.402400569842939</v>
      </c>
      <c r="M330" s="4">
        <f t="shared" si="649"/>
        <v>0.42713898788002491</v>
      </c>
      <c r="N330" s="31" t="str">
        <f>IFERROR(VLOOKUP($B330,#REF!,8,FALSE),"")</f>
        <v/>
      </c>
      <c r="O330" s="31" t="str">
        <f>IFERROR(VLOOKUP($B330,#REF!,9,FALSE),"")</f>
        <v/>
      </c>
      <c r="P330" s="31" t="str">
        <f>IFERROR(VLOOKUP($B330,#REF!,10,FALSE),"")</f>
        <v/>
      </c>
      <c r="Q330" s="31" t="str">
        <f>IFERROR(VLOOKUP($B330,#REF!,11,FALSE),"")</f>
        <v/>
      </c>
      <c r="R330" s="31" t="str">
        <f>IFERROR(VLOOKUP($B330,#REF!,12,FALSE),"")</f>
        <v/>
      </c>
      <c r="S330" s="31">
        <f t="shared" si="713"/>
        <v>24298.059680757378</v>
      </c>
      <c r="T330" s="31">
        <f t="shared" si="713"/>
        <v>5007.9746253744706</v>
      </c>
      <c r="U330" s="31">
        <f t="shared" si="713"/>
        <v>14171.464285123817</v>
      </c>
      <c r="V330" s="31">
        <f t="shared" si="713"/>
        <v>13184.461439449491</v>
      </c>
      <c r="W330" s="31">
        <f t="shared" si="591"/>
        <v>24298.059680757378</v>
      </c>
      <c r="X330" s="31">
        <f t="shared" si="592"/>
        <v>5007.9746253744706</v>
      </c>
      <c r="Y330" s="31">
        <f t="shared" si="593"/>
        <v>14171.464285123817</v>
      </c>
      <c r="Z330" s="31">
        <f t="shared" si="594"/>
        <v>13184.461439449491</v>
      </c>
      <c r="AA330" s="31">
        <f t="shared" si="714"/>
        <v>24322.809423238414</v>
      </c>
      <c r="AB330" s="31">
        <f t="shared" si="714"/>
        <v>5595.2414004041184</v>
      </c>
      <c r="AC330" s="31">
        <f t="shared" si="714"/>
        <v>14211.332854723913</v>
      </c>
      <c r="AD330" s="31">
        <f t="shared" si="714"/>
        <v>13221.553274701137</v>
      </c>
      <c r="AE330" s="31">
        <f t="shared" si="595"/>
        <v>57350.936953067583</v>
      </c>
      <c r="AF330" s="31">
        <f>IFERROR(VLOOKUP(A330,'Allocations By Type'!$D$7:$F$491,3,FALSE),"")</f>
        <v>46903.81</v>
      </c>
      <c r="AG330" s="31">
        <f t="shared" si="596"/>
        <v>2294.0374781227033</v>
      </c>
      <c r="AH330" s="31">
        <f t="shared" si="597"/>
        <v>2294.0374781227033</v>
      </c>
      <c r="AI330" s="31">
        <f t="shared" si="598"/>
        <v>55056.899474944883</v>
      </c>
      <c r="AJ330" s="31">
        <f>AI330/$AI$577*'State Admin 1004(b)'!$B$30*0.01</f>
        <v>523.94894462755906</v>
      </c>
      <c r="AK330" s="31">
        <f t="shared" si="599"/>
        <v>54532.950530317321</v>
      </c>
      <c r="AL330" s="31">
        <f t="shared" si="600"/>
        <v>545.32950530317316</v>
      </c>
      <c r="AM330" s="31">
        <f t="shared" si="601"/>
        <v>53987.621025014145</v>
      </c>
      <c r="AP330" s="31"/>
      <c r="AQ330" s="4">
        <f t="shared" si="603"/>
        <v>1.1510284777508297</v>
      </c>
      <c r="AW330" s="31">
        <f t="shared" si="635"/>
        <v>53814.534718499584</v>
      </c>
      <c r="AX330" s="4">
        <f t="shared" si="604"/>
        <v>1.1473382379491044</v>
      </c>
      <c r="AZ330" s="174" t="str">
        <f>IFERROR(IF(VLOOKUP(A330,#REF!,11,FALSE)=0,"",VLOOKUP(A330,#REF!,11,FALSE)),"")</f>
        <v/>
      </c>
      <c r="BA330" s="31" t="str">
        <f t="shared" si="650"/>
        <v/>
      </c>
      <c r="BB330" s="31">
        <f t="shared" si="651"/>
        <v>53814.534718499584</v>
      </c>
      <c r="BD330" s="31" t="str">
        <f>IFERROR(VLOOKUP(A330,'Title II Hold Harmless'!A$1:B$439,2, FALSE),"")</f>
        <v/>
      </c>
      <c r="BE330" s="31">
        <f t="shared" si="606"/>
        <v>754.76770486422572</v>
      </c>
      <c r="BF330" s="31">
        <f t="shared" si="607"/>
        <v>755.49798765764911</v>
      </c>
      <c r="BG330" s="31" t="str">
        <f t="shared" si="652"/>
        <v/>
      </c>
      <c r="BH330" s="31">
        <f t="shared" si="653"/>
        <v>755.49798765764911</v>
      </c>
    </row>
    <row r="331" spans="1:60" x14ac:dyDescent="0.3">
      <c r="A331" s="1">
        <v>78914000</v>
      </c>
      <c r="B331">
        <f>VLOOKUP(C331,'NCES ID'!$A$2:$B$3136,2,FALSE)</f>
        <v>400243</v>
      </c>
      <c r="C331">
        <f>VLOOKUP(A331,'State ID'!$A$2:$B$713,2,FALSE)</f>
        <v>79084</v>
      </c>
      <c r="D331" s="147" t="s">
        <v>386</v>
      </c>
      <c r="E331" t="s">
        <v>7</v>
      </c>
      <c r="I331" s="47">
        <f>VLOOKUP($C331,'Final SEA Counts'!$A$2:$F$709,5,FALSE)</f>
        <v>94</v>
      </c>
      <c r="J331" s="47">
        <f>VLOOKUP($C331,'Final SEA Counts'!$A$2:$F$709,6,FALSE)</f>
        <v>74</v>
      </c>
      <c r="K331" s="24">
        <f t="shared" si="602"/>
        <v>94</v>
      </c>
      <c r="L331" s="24">
        <f>J331*$B$356</f>
        <v>36.566447472238991</v>
      </c>
      <c r="M331" s="4">
        <f t="shared" si="649"/>
        <v>0.38900476034296799</v>
      </c>
      <c r="N331" s="31" t="str">
        <f>IFERROR(VLOOKUP($B331,#REF!,8,FALSE),"")</f>
        <v/>
      </c>
      <c r="O331" s="31" t="str">
        <f>IFERROR(VLOOKUP($B331,#REF!,9,FALSE),"")</f>
        <v/>
      </c>
      <c r="P331" s="31" t="str">
        <f>IFERROR(VLOOKUP($B331,#REF!,10,FALSE),"")</f>
        <v/>
      </c>
      <c r="Q331" s="31" t="str">
        <f>IFERROR(VLOOKUP($B331,#REF!,11,FALSE),"")</f>
        <v/>
      </c>
      <c r="R331" s="31" t="str">
        <f>IFERROR(VLOOKUP($B331,#REF!,12,FALSE),"")</f>
        <v/>
      </c>
      <c r="S331" s="31">
        <f t="shared" si="713"/>
        <v>17628.004082118096</v>
      </c>
      <c r="T331" s="31">
        <f t="shared" si="713"/>
        <v>3633.2364929187333</v>
      </c>
      <c r="U331" s="31">
        <f t="shared" si="713"/>
        <v>10281.258402932965</v>
      </c>
      <c r="V331" s="31">
        <f t="shared" si="713"/>
        <v>9565.1975148947276</v>
      </c>
      <c r="W331" s="31">
        <f t="shared" si="591"/>
        <v>17628.004082118096</v>
      </c>
      <c r="X331" s="31">
        <f t="shared" si="592"/>
        <v>3633.2364929187333</v>
      </c>
      <c r="Y331" s="31">
        <f t="shared" si="593"/>
        <v>10281.258402932965</v>
      </c>
      <c r="Z331" s="31">
        <f t="shared" si="594"/>
        <v>9565.1975148947276</v>
      </c>
      <c r="AA331" s="31">
        <f t="shared" si="714"/>
        <v>17652.753824599131</v>
      </c>
      <c r="AB331" s="31">
        <f t="shared" si="714"/>
        <v>4220.5032679483811</v>
      </c>
      <c r="AC331" s="31">
        <f t="shared" si="714"/>
        <v>10321.12697253306</v>
      </c>
      <c r="AD331" s="31">
        <f t="shared" si="714"/>
        <v>9602.2893501463732</v>
      </c>
      <c r="AE331" s="31">
        <f t="shared" si="595"/>
        <v>41796.673415226949</v>
      </c>
      <c r="AF331" s="31">
        <f>IFERROR(VLOOKUP(A331,'Allocations By Type'!$D$7:$F$491,3,FALSE),"")</f>
        <v>61191.65</v>
      </c>
      <c r="AG331" s="31" t="str">
        <f t="shared" si="596"/>
        <v/>
      </c>
      <c r="AH331" s="31" t="str">
        <f t="shared" si="597"/>
        <v/>
      </c>
      <c r="AI331" s="31">
        <f t="shared" si="598"/>
        <v>41796.673415226949</v>
      </c>
      <c r="AJ331" s="31">
        <f>AI331/$AI$577*'State Admin 1004(b)'!$B$30*0.01</f>
        <v>397.75801277761366</v>
      </c>
      <c r="AK331" s="31">
        <f t="shared" si="599"/>
        <v>41398.915402449333</v>
      </c>
      <c r="AL331" s="31">
        <f t="shared" si="600"/>
        <v>413.98915402449336</v>
      </c>
      <c r="AM331" s="31">
        <f t="shared" si="601"/>
        <v>40984.926248424839</v>
      </c>
      <c r="AP331" s="31"/>
      <c r="AQ331" s="4">
        <f t="shared" si="603"/>
        <v>0.66977972073681358</v>
      </c>
      <c r="AW331" s="31">
        <f t="shared" si="635"/>
        <v>40853.527061492248</v>
      </c>
      <c r="AX331" s="4">
        <f t="shared" si="604"/>
        <v>0.66763238222032328</v>
      </c>
      <c r="AZ331" s="174" t="str">
        <f>IFERROR(IF(VLOOKUP(A331,#REF!,11,FALSE)=0,"",VLOOKUP(A331,#REF!,11,FALSE)),"")</f>
        <v/>
      </c>
      <c r="BA331" s="31" t="str">
        <f t="shared" si="650"/>
        <v/>
      </c>
      <c r="BB331" s="31">
        <f t="shared" si="651"/>
        <v>40853.527061492248</v>
      </c>
      <c r="BD331" s="31">
        <f>IFERROR(VLOOKUP(A331,'Title II Hold Harmless'!A$1:B$439,2, FALSE),"")</f>
        <v>3710</v>
      </c>
      <c r="BE331" s="31">
        <f t="shared" si="606"/>
        <v>4264.3305754329176</v>
      </c>
      <c r="BF331" s="31">
        <f t="shared" si="607"/>
        <v>4268.4565697284315</v>
      </c>
      <c r="BG331" s="31" t="str">
        <f t="shared" si="652"/>
        <v/>
      </c>
      <c r="BH331" s="31">
        <f t="shared" si="653"/>
        <v>4268.4565697284315</v>
      </c>
    </row>
    <row r="332" spans="1:60" s="47" customFormat="1" x14ac:dyDescent="0.3">
      <c r="A332" s="1">
        <v>78228000</v>
      </c>
      <c r="B332" s="47">
        <f>VLOOKUP(C332,'NCES ID'!$A$2:$B$3136,2,FALSE)</f>
        <v>400880</v>
      </c>
      <c r="C332" s="47">
        <f>VLOOKUP(A332,'State ID'!$A$2:$B$713,2,FALSE)</f>
        <v>92043</v>
      </c>
      <c r="D332" s="191" t="s">
        <v>396</v>
      </c>
      <c r="E332" s="47" t="s">
        <v>7</v>
      </c>
      <c r="H332" s="4"/>
      <c r="I332" s="47">
        <f>VLOOKUP($C332,'Final SEA Counts'!$A$2:$F$709,5,FALSE)</f>
        <v>147</v>
      </c>
      <c r="J332" s="47">
        <f>VLOOKUP($C332,'Final SEA Counts'!$A$2:$F$709,6,FALSE)</f>
        <v>123</v>
      </c>
      <c r="K332" s="24">
        <f t="shared" ref="K332" si="715">I332</f>
        <v>147</v>
      </c>
      <c r="L332" s="24">
        <f t="shared" ref="L332" si="716">J332*$B$356</f>
        <v>60.779365393045893</v>
      </c>
      <c r="M332" s="4">
        <f t="shared" ref="M332" si="717">L332/K332</f>
        <v>0.41346507070099248</v>
      </c>
      <c r="N332" s="31"/>
      <c r="O332" s="31"/>
      <c r="P332" s="31"/>
      <c r="Q332" s="31"/>
      <c r="R332" s="31"/>
      <c r="S332" s="31">
        <f t="shared" ref="S332" si="718">$L332*N$357</f>
        <v>29300.60137973684</v>
      </c>
      <c r="T332" s="31">
        <f t="shared" ref="T332" si="719">$L332*O$357</f>
        <v>6039.0282247162731</v>
      </c>
      <c r="U332" s="31">
        <f t="shared" ref="U332" si="720">$L332*P$357</f>
        <v>17089.118696766956</v>
      </c>
      <c r="V332" s="31">
        <f t="shared" ref="V332" si="721">$L332*Q$357</f>
        <v>15898.90938286556</v>
      </c>
      <c r="W332" s="31">
        <f t="shared" ref="W332" si="722">IF(AND($L332&gt;9,$L332&gt;($K332*0.02)),S332,"")</f>
        <v>29300.60137973684</v>
      </c>
      <c r="X332" s="31">
        <f t="shared" ref="X332" si="723">IF(W332="","",IF(OR($L332&gt;6500,$L332&gt;($K332*0.15)),T332,""))</f>
        <v>6039.0282247162731</v>
      </c>
      <c r="Y332" s="31">
        <f t="shared" ref="Y332" si="724">IF(AND($L332&gt;9,$L332&gt;($K332*0.05)),U332,"")</f>
        <v>17089.118696766956</v>
      </c>
      <c r="Z332" s="31">
        <f t="shared" ref="Z332" si="725">IF(AND($L332&gt;9,$L332&gt;($K332*0.05)),V332,"")</f>
        <v>15898.90938286556</v>
      </c>
      <c r="AA332" s="31">
        <f t="shared" ref="AA332" si="726">IF(W332="","",W332+W$357)</f>
        <v>29325.351122217875</v>
      </c>
      <c r="AB332" s="31">
        <f t="shared" ref="AB332" si="727">IF(X332="","",X332+X$357)</f>
        <v>6626.2949997459209</v>
      </c>
      <c r="AC332" s="31">
        <f t="shared" ref="AC332" si="728">IF(Y332="","",Y332+Y$357)</f>
        <v>17128.987266367054</v>
      </c>
      <c r="AD332" s="31">
        <f t="shared" ref="AD332" si="729">IF(Z332="","",Z332+Z$357)</f>
        <v>15936.001218117206</v>
      </c>
      <c r="AE332" s="31">
        <f t="shared" ref="AE332" si="730">SUM(AA332:AD332)</f>
        <v>69016.63460644806</v>
      </c>
      <c r="AF332" s="31">
        <f>IFERROR(VLOOKUP(A332,'Allocations By Type'!$D$7:$F$491,3,FALSE),"")</f>
        <v>63308.37</v>
      </c>
      <c r="AG332" s="31">
        <f t="shared" ref="AG332" si="731">IF(AE332&gt;AF332,AE332*0.04,"")</f>
        <v>2760.6653842579226</v>
      </c>
      <c r="AH332" s="31">
        <f t="shared" ref="AH332" si="732">IF(AG332="","",IF((AE332-AF332)&gt;AG332,AG332,AE332-AF332))</f>
        <v>2760.6653842579226</v>
      </c>
      <c r="AI332" s="31">
        <f t="shared" ref="AI332" si="733">IF(AH332="",AE332,AE332-AH332)</f>
        <v>66255.969222190135</v>
      </c>
      <c r="AJ332" s="31">
        <f>AI332/$AI$577*'State Admin 1004(b)'!$B$30*0.01</f>
        <v>630.5248838983465</v>
      </c>
      <c r="AK332" s="31">
        <f t="shared" ref="AK332" si="734">AI332-AJ332</f>
        <v>65625.444338291782</v>
      </c>
      <c r="AL332" s="31">
        <f t="shared" ref="AL332" si="735">AK332*0.01</f>
        <v>656.25444338291788</v>
      </c>
      <c r="AM332" s="31">
        <f t="shared" ref="AM332" si="736">AK332-AL332</f>
        <v>64969.189894908865</v>
      </c>
      <c r="AP332" s="31"/>
      <c r="AQ332" s="4">
        <f t="shared" si="603"/>
        <v>1.0262338122890995</v>
      </c>
      <c r="AR332" s="4"/>
      <c r="AS332" s="4"/>
      <c r="AT332" s="4"/>
      <c r="AW332" s="31">
        <f t="shared" ref="AW332" si="737">IF(AV332="",AM332-AM332/($AM$356-$AV$356+$AU$356)*$AU$356,AV332)</f>
        <v>64760.896273099846</v>
      </c>
      <c r="AX332" s="4">
        <f t="shared" ref="AX332" si="738">IFERROR(AW332/AF332,"")</f>
        <v>1.0229436687929234</v>
      </c>
      <c r="AZ332" s="174"/>
      <c r="BA332" s="31"/>
      <c r="BB332" s="31">
        <f t="shared" si="651"/>
        <v>64760.896273099846</v>
      </c>
      <c r="BD332" s="31" t="str">
        <f>IFERROR(VLOOKUP(A332,'Title II Hold Harmless'!A$1:B$439,2, FALSE),"")</f>
        <v/>
      </c>
      <c r="BE332" s="31">
        <f t="shared" si="606"/>
        <v>913.94834852211557</v>
      </c>
      <c r="BF332" s="31">
        <f t="shared" si="607"/>
        <v>914.83264808700415</v>
      </c>
      <c r="BG332" s="31" t="str">
        <f t="shared" ref="BG332" si="739">IF(AZ332&lt;0,BF332*AZ332/100,"")</f>
        <v/>
      </c>
      <c r="BH332" s="31">
        <f t="shared" ref="BH332" si="740">IF(BG332&lt;0,BF332+BG332,BF332)</f>
        <v>914.83264808700415</v>
      </c>
    </row>
    <row r="333" spans="1:60" x14ac:dyDescent="0.3">
      <c r="A333" s="1">
        <v>78599000</v>
      </c>
      <c r="B333">
        <f>VLOOKUP(C333,'NCES ID'!$A$2:$B$3136,2,FALSE)</f>
        <v>400853</v>
      </c>
      <c r="C333">
        <f>VLOOKUP(A333,'State ID'!$A$2:$B$713,2,FALSE)</f>
        <v>91108</v>
      </c>
      <c r="D333" s="147" t="s">
        <v>394</v>
      </c>
      <c r="E333" t="s">
        <v>7</v>
      </c>
      <c r="I333" s="47">
        <f>VLOOKUP($C333,'Final SEA Counts'!$A$2:$F$709,5,FALSE)</f>
        <v>293</v>
      </c>
      <c r="J333" s="47">
        <f>VLOOKUP($C333,'Final SEA Counts'!$A$2:$F$709,6,FALSE)</f>
        <v>229</v>
      </c>
      <c r="K333" s="24">
        <f t="shared" si="602"/>
        <v>293</v>
      </c>
      <c r="L333" s="24">
        <f t="shared" ref="L333:L348" si="741">J333*$B$356</f>
        <v>113.15833069111797</v>
      </c>
      <c r="M333" s="4">
        <f t="shared" si="649"/>
        <v>0.38620590679562444</v>
      </c>
      <c r="N333" s="31" t="str">
        <f>IFERROR(VLOOKUP($B333,#REF!,8,FALSE),"")</f>
        <v/>
      </c>
      <c r="O333" s="31" t="str">
        <f>IFERROR(VLOOKUP($B333,#REF!,9,FALSE),"")</f>
        <v/>
      </c>
      <c r="P333" s="31" t="str">
        <f>IFERROR(VLOOKUP($B333,#REF!,10,FALSE),"")</f>
        <v/>
      </c>
      <c r="Q333" s="31" t="str">
        <f>IFERROR(VLOOKUP($B333,#REF!,11,FALSE),"")</f>
        <v/>
      </c>
      <c r="R333" s="31" t="str">
        <f>IFERROR(VLOOKUP($B333,#REF!,12,FALSE),"")</f>
        <v/>
      </c>
      <c r="S333" s="31">
        <f t="shared" ref="S333:S348" si="742">$L333*N$357</f>
        <v>54551.526146014119</v>
      </c>
      <c r="T333" s="31">
        <f t="shared" ref="T333:T348" si="743">$L333*O$357</f>
        <v>11243.394011870134</v>
      </c>
      <c r="U333" s="31">
        <f t="shared" ref="U333:U348" si="744">$L333*P$357</f>
        <v>31816.32667934661</v>
      </c>
      <c r="V333" s="31">
        <f t="shared" ref="V333:V348" si="745">$L333*Q$357</f>
        <v>29600.408525822873</v>
      </c>
      <c r="W333" s="31">
        <f t="shared" si="591"/>
        <v>54551.526146014119</v>
      </c>
      <c r="X333" s="31">
        <f t="shared" si="592"/>
        <v>11243.394011870134</v>
      </c>
      <c r="Y333" s="31">
        <f t="shared" si="593"/>
        <v>31816.32667934661</v>
      </c>
      <c r="Z333" s="31">
        <f t="shared" si="594"/>
        <v>29600.408525822873</v>
      </c>
      <c r="AA333" s="31">
        <f t="shared" ref="AA333:AA348" si="746">IF(W333="","",W333+W$357)</f>
        <v>54576.275888495155</v>
      </c>
      <c r="AB333" s="31">
        <f t="shared" ref="AB333:AB348" si="747">IF(X333="","",X333+X$357)</f>
        <v>11830.660786899782</v>
      </c>
      <c r="AC333" s="31">
        <f t="shared" ref="AC333:AC348" si="748">IF(Y333="","",Y333+Y$357)</f>
        <v>31856.195248946708</v>
      </c>
      <c r="AD333" s="31">
        <f t="shared" ref="AD333:AD348" si="749">IF(Z333="","",Z333+Z$357)</f>
        <v>29637.500361074519</v>
      </c>
      <c r="AE333" s="31">
        <f t="shared" si="595"/>
        <v>127900.63228541617</v>
      </c>
      <c r="AF333" s="31">
        <f>IFERROR(VLOOKUP(A333,'Allocations By Type'!$D$7:$F$491,3,FALSE),"")</f>
        <v>119930.55</v>
      </c>
      <c r="AG333" s="31">
        <f t="shared" si="596"/>
        <v>5116.0252914166467</v>
      </c>
      <c r="AH333" s="31">
        <f t="shared" si="597"/>
        <v>5116.0252914166467</v>
      </c>
      <c r="AI333" s="31">
        <f t="shared" si="598"/>
        <v>122784.60699399952</v>
      </c>
      <c r="AJ333" s="31">
        <f>AI333/$AI$577*'State Admin 1004(b)'!$B$30*0.01</f>
        <v>1168.4796249794642</v>
      </c>
      <c r="AK333" s="31">
        <f t="shared" si="599"/>
        <v>121616.12736902006</v>
      </c>
      <c r="AL333" s="31">
        <f t="shared" si="600"/>
        <v>1216.1612736902007</v>
      </c>
      <c r="AM333" s="31">
        <f t="shared" si="601"/>
        <v>120399.96609532986</v>
      </c>
      <c r="AP333" s="31"/>
      <c r="AQ333" s="4">
        <f t="shared" si="603"/>
        <v>1.0039140660601478</v>
      </c>
      <c r="AW333" s="31">
        <f t="shared" ref="AW333:AW347" si="750">IF(AV333="",AM333-AM333/($AM$356-$AV$356+$AU$356)*$AU$356,AV333)</f>
        <v>120013.95935822501</v>
      </c>
      <c r="AX333" s="4">
        <f t="shared" si="604"/>
        <v>1.0006954804945447</v>
      </c>
      <c r="AZ333" s="174" t="str">
        <f>IFERROR(IF(VLOOKUP(A333,#REF!,11,FALSE)=0,"",VLOOKUP(A333,#REF!,11,FALSE)),"")</f>
        <v/>
      </c>
      <c r="BA333" s="31" t="str">
        <f t="shared" si="650"/>
        <v/>
      </c>
      <c r="BB333" s="31">
        <f t="shared" si="651"/>
        <v>120013.95935822501</v>
      </c>
      <c r="BD333" s="31" t="str">
        <f>IFERROR(VLOOKUP(A333,'Title II Hold Harmless'!A$1:B$439,2, FALSE),"")</f>
        <v/>
      </c>
      <c r="BE333" s="31">
        <f t="shared" si="606"/>
        <v>1717.1250071040397</v>
      </c>
      <c r="BF333" s="31">
        <f t="shared" si="607"/>
        <v>1718.7864280137628</v>
      </c>
      <c r="BG333" s="31" t="str">
        <f t="shared" si="652"/>
        <v/>
      </c>
      <c r="BH333" s="31">
        <f t="shared" si="653"/>
        <v>1718.7864280137628</v>
      </c>
    </row>
    <row r="334" spans="1:60" x14ac:dyDescent="0.3">
      <c r="A334" s="1">
        <v>78578000</v>
      </c>
      <c r="B334">
        <f>VLOOKUP(C334,'NCES ID'!$A$2:$B$3136,2,FALSE)</f>
        <v>400846</v>
      </c>
      <c r="C334">
        <f>VLOOKUP(A334,'State ID'!$A$2:$B$713,2,FALSE)</f>
        <v>90540</v>
      </c>
      <c r="D334" s="147" t="s">
        <v>395</v>
      </c>
      <c r="E334" t="s">
        <v>7</v>
      </c>
      <c r="I334" s="47">
        <f>VLOOKUP($C334,'Final SEA Counts'!$A$2:$F$709,5,FALSE)</f>
        <v>208</v>
      </c>
      <c r="J334" s="47">
        <f>VLOOKUP($C334,'Final SEA Counts'!$A$2:$F$709,6,FALSE)</f>
        <v>160</v>
      </c>
      <c r="K334" s="24">
        <f t="shared" si="602"/>
        <v>208</v>
      </c>
      <c r="L334" s="24">
        <f t="shared" si="741"/>
        <v>79.062589129165389</v>
      </c>
      <c r="M334" s="4">
        <f t="shared" si="649"/>
        <v>0.38010860158252591</v>
      </c>
      <c r="N334" s="31" t="str">
        <f>IFERROR(VLOOKUP($B334,#REF!,8,FALSE),"")</f>
        <v/>
      </c>
      <c r="O334" s="31" t="str">
        <f>IFERROR(VLOOKUP($B334,#REF!,9,FALSE),"")</f>
        <v/>
      </c>
      <c r="P334" s="31" t="str">
        <f>IFERROR(VLOOKUP($B334,#REF!,10,FALSE),"")</f>
        <v/>
      </c>
      <c r="Q334" s="31" t="str">
        <f>IFERROR(VLOOKUP($B334,#REF!,11,FALSE),"")</f>
        <v/>
      </c>
      <c r="R334" s="31" t="str">
        <f>IFERROR(VLOOKUP($B334,#REF!,12,FALSE),"")</f>
        <v/>
      </c>
      <c r="S334" s="31">
        <f t="shared" si="742"/>
        <v>38114.603420795887</v>
      </c>
      <c r="T334" s="31">
        <f t="shared" si="743"/>
        <v>7855.6464711756398</v>
      </c>
      <c r="U334" s="31">
        <f t="shared" si="744"/>
        <v>22229.747898233436</v>
      </c>
      <c r="V334" s="31">
        <f t="shared" si="745"/>
        <v>20681.508140312926</v>
      </c>
      <c r="W334" s="31">
        <f t="shared" si="591"/>
        <v>38114.603420795887</v>
      </c>
      <c r="X334" s="31">
        <f t="shared" si="592"/>
        <v>7855.6464711756398</v>
      </c>
      <c r="Y334" s="31">
        <f t="shared" si="593"/>
        <v>22229.747898233436</v>
      </c>
      <c r="Z334" s="31">
        <f t="shared" si="594"/>
        <v>20681.508140312926</v>
      </c>
      <c r="AA334" s="31">
        <f t="shared" si="746"/>
        <v>38139.353163276923</v>
      </c>
      <c r="AB334" s="31">
        <f t="shared" si="747"/>
        <v>8442.9132462052876</v>
      </c>
      <c r="AC334" s="31">
        <f t="shared" si="748"/>
        <v>22269.616467833534</v>
      </c>
      <c r="AD334" s="31">
        <f t="shared" si="749"/>
        <v>20718.599975564572</v>
      </c>
      <c r="AE334" s="31">
        <f t="shared" si="595"/>
        <v>89570.482852880319</v>
      </c>
      <c r="AF334" s="31">
        <f>IFERROR(VLOOKUP(A334,'Allocations By Type'!$D$7:$F$491,3,FALSE),"")</f>
        <v>87650.61</v>
      </c>
      <c r="AG334" s="31">
        <f t="shared" si="596"/>
        <v>3582.8193141152128</v>
      </c>
      <c r="AH334" s="31">
        <f t="shared" si="597"/>
        <v>1919.8728528803185</v>
      </c>
      <c r="AI334" s="31">
        <f t="shared" si="598"/>
        <v>87650.61</v>
      </c>
      <c r="AJ334" s="31">
        <f>AI334/$AI$577*'State Admin 1004(b)'!$B$30*0.01</f>
        <v>834.12696761758127</v>
      </c>
      <c r="AK334" s="31">
        <f t="shared" si="599"/>
        <v>86816.483032382414</v>
      </c>
      <c r="AL334" s="31">
        <f t="shared" si="600"/>
        <v>868.16483032382416</v>
      </c>
      <c r="AM334" s="31">
        <f t="shared" si="601"/>
        <v>85948.318202058595</v>
      </c>
      <c r="AP334" s="31"/>
      <c r="AQ334" s="4">
        <f t="shared" si="603"/>
        <v>0.98057866570533392</v>
      </c>
      <c r="AW334" s="31">
        <f t="shared" si="750"/>
        <v>85672.764720236533</v>
      </c>
      <c r="AX334" s="4">
        <f t="shared" si="604"/>
        <v>0.97743489429493458</v>
      </c>
      <c r="AZ334" s="174" t="str">
        <f>IFERROR(IF(VLOOKUP(A334,#REF!,11,FALSE)=0,"",VLOOKUP(A334,#REF!,11,FALSE)),"")</f>
        <v/>
      </c>
      <c r="BA334" s="31" t="str">
        <f t="shared" si="650"/>
        <v/>
      </c>
      <c r="BB334" s="31">
        <f t="shared" si="651"/>
        <v>85672.764720236533</v>
      </c>
      <c r="BD334" s="31" t="str">
        <f>IFERROR(VLOOKUP(A334,'Title II Hold Harmless'!A$1:B$439,2, FALSE),"")</f>
        <v/>
      </c>
      <c r="BE334" s="31">
        <f t="shared" si="606"/>
        <v>1202.3808318914589</v>
      </c>
      <c r="BF334" s="31">
        <f t="shared" si="607"/>
        <v>1203.5442070955296</v>
      </c>
      <c r="BG334" s="31" t="str">
        <f t="shared" si="652"/>
        <v/>
      </c>
      <c r="BH334" s="31">
        <f t="shared" si="653"/>
        <v>1203.5442070955296</v>
      </c>
    </row>
    <row r="335" spans="1:60" s="47" customFormat="1" x14ac:dyDescent="0.3">
      <c r="A335" s="1">
        <v>78992000</v>
      </c>
      <c r="B335" s="47">
        <f>VLOOKUP(C335,'NCES ID'!$A$2:$B$3136,2,FALSE)</f>
        <v>400416</v>
      </c>
      <c r="C335" s="47">
        <f>VLOOKUP(A335,'State ID'!$A$2:$B$713,2,FALSE)</f>
        <v>85807</v>
      </c>
      <c r="D335" s="191" t="s">
        <v>400</v>
      </c>
      <c r="E335" s="47" t="s">
        <v>7</v>
      </c>
      <c r="H335" s="4"/>
      <c r="I335" s="47">
        <f>VLOOKUP($C335,'Final SEA Counts'!$A$2:$F$709,5,FALSE)</f>
        <v>192</v>
      </c>
      <c r="J335" s="47">
        <f>VLOOKUP($C335,'Final SEA Counts'!$A$2:$F$709,6,FALSE)</f>
        <v>148</v>
      </c>
      <c r="K335" s="24">
        <f t="shared" si="602"/>
        <v>192</v>
      </c>
      <c r="L335" s="24">
        <f t="shared" si="741"/>
        <v>73.132894944477982</v>
      </c>
      <c r="M335" s="4">
        <f t="shared" si="649"/>
        <v>0.38090049450248947</v>
      </c>
      <c r="N335" s="31"/>
      <c r="O335" s="31"/>
      <c r="P335" s="31"/>
      <c r="Q335" s="31"/>
      <c r="R335" s="31"/>
      <c r="S335" s="31">
        <f t="shared" si="742"/>
        <v>35256.008164236191</v>
      </c>
      <c r="T335" s="31">
        <f t="shared" si="743"/>
        <v>7266.4729858374667</v>
      </c>
      <c r="U335" s="31">
        <f t="shared" si="744"/>
        <v>20562.516805865929</v>
      </c>
      <c r="V335" s="31">
        <f t="shared" si="745"/>
        <v>19130.395029789455</v>
      </c>
      <c r="W335" s="31">
        <f t="shared" ref="W335" si="751">IF(AND($L335&gt;9,$L335&gt;($K335*0.02)),S335,"")</f>
        <v>35256.008164236191</v>
      </c>
      <c r="X335" s="31">
        <f t="shared" ref="X335" si="752">IF(W335="","",IF(OR($L335&gt;6500,$L335&gt;($K335*0.15)),T335,""))</f>
        <v>7266.4729858374667</v>
      </c>
      <c r="Y335" s="31">
        <f t="shared" ref="Y335" si="753">IF(AND($L335&gt;9,$L335&gt;($K335*0.05)),U335,"")</f>
        <v>20562.516805865929</v>
      </c>
      <c r="Z335" s="31">
        <f t="shared" ref="Z335" si="754">IF(AND($L335&gt;9,$L335&gt;($K335*0.05)),V335,"")</f>
        <v>19130.395029789455</v>
      </c>
      <c r="AA335" s="31">
        <f t="shared" si="746"/>
        <v>35280.757906717226</v>
      </c>
      <c r="AB335" s="31">
        <f t="shared" si="747"/>
        <v>7853.7397608671145</v>
      </c>
      <c r="AC335" s="31">
        <f t="shared" si="748"/>
        <v>20602.385375466027</v>
      </c>
      <c r="AD335" s="31">
        <f t="shared" si="749"/>
        <v>19167.486865041101</v>
      </c>
      <c r="AE335" s="31">
        <f t="shared" ref="AE335" si="755">SUM(AA335:AD335)</f>
        <v>82904.369908091467</v>
      </c>
      <c r="AF335" s="31">
        <f>IFERROR(VLOOKUP(A335,'Allocations By Type'!$D$7:$F$491,3,FALSE),"")</f>
        <v>152210.49</v>
      </c>
      <c r="AG335" s="31" t="str">
        <f t="shared" ref="AG335" si="756">IF(AE335&gt;AF335,AE335*0.04,"")</f>
        <v/>
      </c>
      <c r="AH335" s="31" t="str">
        <f t="shared" ref="AH335" si="757">IF(AG335="","",IF((AE335-AF335)&gt;AG335,AG335,AE335-AF335))</f>
        <v/>
      </c>
      <c r="AI335" s="31">
        <f t="shared" ref="AI335" si="758">IF(AH335="",AE335,AE335-AH335)</f>
        <v>82904.369908091467</v>
      </c>
      <c r="AJ335" s="31">
        <f>AI335/$AI$577*'State Admin 1004(b)'!$B$30*0.01</f>
        <v>788.95937716443257</v>
      </c>
      <c r="AK335" s="31">
        <f t="shared" ref="AK335" si="759">AI335-AJ335</f>
        <v>82115.410530927038</v>
      </c>
      <c r="AL335" s="31">
        <f t="shared" ref="AL335" si="760">AK335*0.01</f>
        <v>821.15410530927045</v>
      </c>
      <c r="AM335" s="31">
        <f t="shared" ref="AM335" si="761">AK335-AL335</f>
        <v>81294.256425617772</v>
      </c>
      <c r="AP335" s="31"/>
      <c r="AQ335" s="4">
        <f t="shared" si="603"/>
        <v>0.53409102372390871</v>
      </c>
      <c r="AR335" s="4"/>
      <c r="AS335" s="4"/>
      <c r="AT335" s="4"/>
      <c r="AW335" s="31">
        <f t="shared" si="750"/>
        <v>81033.624037703543</v>
      </c>
      <c r="AX335" s="4">
        <f t="shared" si="604"/>
        <v>0.53237870818038591</v>
      </c>
      <c r="AZ335" s="174" t="str">
        <f>IFERROR(IF(VLOOKUP(A335,#REF!,11,FALSE)=0,"",VLOOKUP(A335,#REF!,11,FALSE)),"")</f>
        <v/>
      </c>
      <c r="BA335" s="31"/>
      <c r="BB335" s="31">
        <f t="shared" si="651"/>
        <v>81033.624037703543</v>
      </c>
      <c r="BD335" s="31" t="str">
        <f>IFERROR(VLOOKUP(A335,'Title II Hold Harmless'!A$1:B$439,2, FALSE),"")</f>
        <v/>
      </c>
      <c r="BE335" s="31">
        <f t="shared" si="606"/>
        <v>1111.8803496238029</v>
      </c>
      <c r="BF335" s="31">
        <f t="shared" si="607"/>
        <v>1112.9561602108788</v>
      </c>
      <c r="BG335" s="31"/>
      <c r="BH335" s="31">
        <f t="shared" si="653"/>
        <v>1112.9561602108788</v>
      </c>
    </row>
    <row r="336" spans="1:60" s="47" customFormat="1" x14ac:dyDescent="0.3">
      <c r="A336" s="1">
        <v>78634000</v>
      </c>
      <c r="B336" s="47">
        <f>VLOOKUP(C336,'NCES ID'!$A$2:$B$3136,2,FALSE)</f>
        <v>400040</v>
      </c>
      <c r="C336" s="47">
        <f>VLOOKUP(A336,'State ID'!$A$2:$B$713,2,FALSE)</f>
        <v>4313</v>
      </c>
      <c r="D336" s="191" t="s">
        <v>726</v>
      </c>
      <c r="E336" s="47" t="s">
        <v>7</v>
      </c>
      <c r="H336" s="4"/>
      <c r="I336" s="47">
        <f>VLOOKUP($C336,'Final SEA Counts'!$A$2:$F$709,5,FALSE)</f>
        <v>96</v>
      </c>
      <c r="J336" s="47">
        <f>VLOOKUP($C336,'Final SEA Counts'!$A$2:$F$709,6,FALSE)</f>
        <v>91</v>
      </c>
      <c r="K336" s="24">
        <f t="shared" ref="K336" si="762">I336</f>
        <v>96</v>
      </c>
      <c r="L336" s="24">
        <f t="shared" si="741"/>
        <v>44.966847567212817</v>
      </c>
      <c r="M336" s="4">
        <f t="shared" ref="M336" si="763">L336/K336</f>
        <v>0.46840466215846682</v>
      </c>
      <c r="N336" s="31"/>
      <c r="O336" s="31"/>
      <c r="P336" s="31"/>
      <c r="Q336" s="31"/>
      <c r="R336" s="31"/>
      <c r="S336" s="31">
        <f t="shared" si="742"/>
        <v>21677.680695577663</v>
      </c>
      <c r="T336" s="31">
        <f t="shared" si="743"/>
        <v>4467.8989304811448</v>
      </c>
      <c r="U336" s="31">
        <f t="shared" si="744"/>
        <v>12643.169117120267</v>
      </c>
      <c r="V336" s="31">
        <f t="shared" si="745"/>
        <v>11762.607754802977</v>
      </c>
      <c r="W336" s="31">
        <f t="shared" ref="W336" si="764">IF(AND($L336&gt;9,$L336&gt;($K336*0.02)),S336,"")</f>
        <v>21677.680695577663</v>
      </c>
      <c r="X336" s="31">
        <f t="shared" ref="X336" si="765">IF(W336="","",IF(OR($L336&gt;6500,$L336&gt;($K336*0.15)),T336,""))</f>
        <v>4467.8989304811448</v>
      </c>
      <c r="Y336" s="31">
        <f t="shared" ref="Y336" si="766">IF(AND($L336&gt;9,$L336&gt;($K336*0.05)),U336,"")</f>
        <v>12643.169117120267</v>
      </c>
      <c r="Z336" s="31">
        <f t="shared" ref="Z336" si="767">IF(AND($L336&gt;9,$L336&gt;($K336*0.05)),V336,"")</f>
        <v>11762.607754802977</v>
      </c>
      <c r="AA336" s="31">
        <f t="shared" si="746"/>
        <v>21702.430438058698</v>
      </c>
      <c r="AB336" s="31">
        <f t="shared" si="747"/>
        <v>5055.1657055107926</v>
      </c>
      <c r="AC336" s="31">
        <f t="shared" si="748"/>
        <v>12683.037686720363</v>
      </c>
      <c r="AD336" s="31">
        <f t="shared" si="749"/>
        <v>11799.699590054623</v>
      </c>
      <c r="AE336" s="31">
        <f t="shared" ref="AE336" si="768">SUM(AA336:AD336)</f>
        <v>51240.333420344476</v>
      </c>
      <c r="AF336" s="31">
        <f>IFERROR(VLOOKUP(A336,'Allocations By Type'!$D$7:$F$491,3,FALSE),"")</f>
        <v>43503.62</v>
      </c>
      <c r="AG336" s="31">
        <f t="shared" ref="AG336" si="769">IF(AE336&gt;AF336,AE336*0.04,"")</f>
        <v>2049.6133368137789</v>
      </c>
      <c r="AH336" s="31">
        <f t="shared" ref="AH336" si="770">IF(AG336="","",IF((AE336-AF336)&gt;AG336,AG336,AE336-AF336))</f>
        <v>2049.6133368137789</v>
      </c>
      <c r="AI336" s="31">
        <f t="shared" ref="AI336" si="771">IF(AH336="",AE336,AE336-AH336)</f>
        <v>49190.720083530694</v>
      </c>
      <c r="AJ336" s="31">
        <f>AI336/$AI$577*'State Admin 1004(b)'!$B$30*0.01</f>
        <v>468.12345262857502</v>
      </c>
      <c r="AK336" s="31">
        <f t="shared" ref="AK336" si="772">AI336-AJ336</f>
        <v>48722.596630902117</v>
      </c>
      <c r="AL336" s="31">
        <f t="shared" ref="AL336" si="773">AK336*0.01</f>
        <v>487.2259663090212</v>
      </c>
      <c r="AM336" s="31">
        <f t="shared" ref="AM336" si="774">AK336-AL336</f>
        <v>48235.370664593094</v>
      </c>
      <c r="AP336" s="31"/>
      <c r="AQ336" s="4">
        <f t="shared" si="603"/>
        <v>1.1087668259467394</v>
      </c>
      <c r="AR336" s="4"/>
      <c r="AS336" s="4"/>
      <c r="AT336" s="4"/>
      <c r="AW336" s="31">
        <f t="shared" si="750"/>
        <v>48080.726285137534</v>
      </c>
      <c r="AX336" s="4">
        <f t="shared" si="604"/>
        <v>1.1052120785612216</v>
      </c>
      <c r="AZ336" s="174"/>
      <c r="BA336" s="31"/>
      <c r="BB336" s="31">
        <f t="shared" si="651"/>
        <v>48080.726285137534</v>
      </c>
      <c r="BD336" s="31">
        <f>IFERROR(VLOOKUP(A336,'Title II Hold Harmless'!A$1:B$439,2, FALSE),"")</f>
        <v>7057</v>
      </c>
      <c r="BE336" s="31">
        <f t="shared" si="606"/>
        <v>7722.9070650626018</v>
      </c>
      <c r="BF336" s="31">
        <f t="shared" si="607"/>
        <v>7730.3794384941566</v>
      </c>
      <c r="BG336" s="31"/>
      <c r="BH336" s="31">
        <f t="shared" si="653"/>
        <v>7730.3794384941566</v>
      </c>
    </row>
    <row r="337" spans="1:60" x14ac:dyDescent="0.3">
      <c r="A337" s="1">
        <v>78924000</v>
      </c>
      <c r="B337">
        <f>VLOOKUP(C337,'NCES ID'!$A$2:$B$3136,2,FALSE)</f>
        <v>400326</v>
      </c>
      <c r="C337">
        <f>VLOOKUP(A337,'State ID'!$A$2:$B$713,2,FALSE)</f>
        <v>79453</v>
      </c>
      <c r="D337" s="147" t="s">
        <v>402</v>
      </c>
      <c r="E337" t="s">
        <v>7</v>
      </c>
      <c r="I337" s="47">
        <f>VLOOKUP($C337,'Final SEA Counts'!$A$2:$F$709,5,FALSE)</f>
        <v>743</v>
      </c>
      <c r="J337" s="47">
        <f>VLOOKUP($C337,'Final SEA Counts'!$A$2:$F$709,6,FALSE)</f>
        <v>580</v>
      </c>
      <c r="K337" s="24">
        <f t="shared" si="602"/>
        <v>743</v>
      </c>
      <c r="L337" s="24">
        <f t="shared" si="741"/>
        <v>286.60188559322455</v>
      </c>
      <c r="M337" s="4">
        <f t="shared" si="649"/>
        <v>0.38573605059653371</v>
      </c>
      <c r="N337" s="31" t="str">
        <f>IFERROR(VLOOKUP($B337,#REF!,8,FALSE),"")</f>
        <v/>
      </c>
      <c r="O337" s="31" t="str">
        <f>IFERROR(VLOOKUP($B337,#REF!,9,FALSE),"")</f>
        <v/>
      </c>
      <c r="P337" s="31" t="str">
        <f>IFERROR(VLOOKUP($B337,#REF!,10,FALSE),"")</f>
        <v/>
      </c>
      <c r="Q337" s="31" t="str">
        <f>IFERROR(VLOOKUP($B337,#REF!,11,FALSE),"")</f>
        <v/>
      </c>
      <c r="R337" s="31" t="str">
        <f>IFERROR(VLOOKUP($B337,#REF!,12,FALSE),"")</f>
        <v/>
      </c>
      <c r="S337" s="31">
        <f t="shared" si="742"/>
        <v>138165.4374003851</v>
      </c>
      <c r="T337" s="31">
        <f t="shared" si="743"/>
        <v>28476.718458011695</v>
      </c>
      <c r="U337" s="31">
        <f t="shared" si="744"/>
        <v>80582.836131096221</v>
      </c>
      <c r="V337" s="31">
        <f t="shared" si="745"/>
        <v>74970.467008634354</v>
      </c>
      <c r="W337" s="31">
        <f t="shared" si="591"/>
        <v>138165.4374003851</v>
      </c>
      <c r="X337" s="31">
        <f t="shared" si="592"/>
        <v>28476.718458011695</v>
      </c>
      <c r="Y337" s="31">
        <f t="shared" si="593"/>
        <v>80582.836131096221</v>
      </c>
      <c r="Z337" s="31">
        <f t="shared" si="594"/>
        <v>74970.467008634354</v>
      </c>
      <c r="AA337" s="31">
        <f t="shared" si="746"/>
        <v>138190.18714286614</v>
      </c>
      <c r="AB337" s="31">
        <f t="shared" si="747"/>
        <v>29063.985233041345</v>
      </c>
      <c r="AC337" s="31">
        <f t="shared" si="748"/>
        <v>80622.704700696311</v>
      </c>
      <c r="AD337" s="31">
        <f t="shared" si="749"/>
        <v>75007.558843886</v>
      </c>
      <c r="AE337" s="31">
        <f t="shared" si="595"/>
        <v>322884.43592048978</v>
      </c>
      <c r="AF337" s="31">
        <f>IFERROR(VLOOKUP(A337,'Allocations By Type'!$D$7:$F$491,3,FALSE),"")</f>
        <v>295088.89</v>
      </c>
      <c r="AG337" s="31">
        <f t="shared" si="596"/>
        <v>12915.377436819592</v>
      </c>
      <c r="AH337" s="31">
        <f t="shared" si="597"/>
        <v>12915.377436819592</v>
      </c>
      <c r="AI337" s="31">
        <f t="shared" si="598"/>
        <v>309969.05848367017</v>
      </c>
      <c r="AJ337" s="31">
        <f>AI337/$AI$577*'State Admin 1004(b)'!$B$30*0.01</f>
        <v>2949.8203242197687</v>
      </c>
      <c r="AK337" s="31">
        <f t="shared" si="599"/>
        <v>307019.23815945041</v>
      </c>
      <c r="AL337" s="31">
        <f t="shared" si="600"/>
        <v>3070.1923815945042</v>
      </c>
      <c r="AM337" s="31">
        <f t="shared" si="601"/>
        <v>303949.04577785591</v>
      </c>
      <c r="AP337" s="31"/>
      <c r="AQ337" s="4">
        <f t="shared" si="603"/>
        <v>1.0300253790573271</v>
      </c>
      <c r="AW337" s="31">
        <f t="shared" si="750"/>
        <v>302974.57391368656</v>
      </c>
      <c r="AX337" s="4">
        <f t="shared" si="604"/>
        <v>1.0267230796580873</v>
      </c>
      <c r="AZ337" s="174" t="str">
        <f>IFERROR(IF(VLOOKUP(A337,#REF!,11,FALSE)=0,"",VLOOKUP(A337,#REF!,11,FALSE)),"")</f>
        <v/>
      </c>
      <c r="BA337" s="31" t="str">
        <f t="shared" si="650"/>
        <v/>
      </c>
      <c r="BB337" s="31">
        <f t="shared" si="651"/>
        <v>302974.57391368656</v>
      </c>
      <c r="BD337" s="31">
        <f>IFERROR(VLOOKUP(A337,'Title II Hold Harmless'!A$1:B$439,2, FALSE),"")</f>
        <v>4431</v>
      </c>
      <c r="BE337" s="31">
        <f t="shared" si="606"/>
        <v>8780.7777190221295</v>
      </c>
      <c r="BF337" s="31">
        <f t="shared" si="607"/>
        <v>8789.2736454373044</v>
      </c>
      <c r="BG337" s="31" t="str">
        <f t="shared" si="652"/>
        <v/>
      </c>
      <c r="BH337" s="31">
        <f t="shared" si="653"/>
        <v>8789.2736454373044</v>
      </c>
    </row>
    <row r="338" spans="1:60" x14ac:dyDescent="0.3">
      <c r="A338" s="1">
        <v>78217000</v>
      </c>
      <c r="B338" t="e">
        <f>VLOOKUP(C338,'NCES ID'!$A$2:$B$3136,2,FALSE)</f>
        <v>#N/A</v>
      </c>
      <c r="C338">
        <f>VLOOKUP(A338,'State ID'!$A$2:$B$713,2,FALSE)</f>
        <v>91933</v>
      </c>
      <c r="D338" s="147" t="s">
        <v>405</v>
      </c>
      <c r="E338" t="s">
        <v>7</v>
      </c>
      <c r="I338" s="47">
        <f>VLOOKUP($C338,'Final SEA Counts'!$A$2:$F$709,5,FALSE)</f>
        <v>175</v>
      </c>
      <c r="J338" s="47">
        <f>VLOOKUP($C338,'Final SEA Counts'!$A$2:$F$709,6,FALSE)</f>
        <v>166</v>
      </c>
      <c r="K338" s="24">
        <f t="shared" si="602"/>
        <v>175</v>
      </c>
      <c r="L338" s="24">
        <f t="shared" si="741"/>
        <v>82.027436221509092</v>
      </c>
      <c r="M338" s="4">
        <f t="shared" si="649"/>
        <v>0.46872820698005196</v>
      </c>
      <c r="N338" s="31" t="str">
        <f>IFERROR(VLOOKUP($B338,#REF!,8,FALSE),"")</f>
        <v/>
      </c>
      <c r="O338" s="31" t="str">
        <f>IFERROR(VLOOKUP($B338,#REF!,9,FALSE),"")</f>
        <v/>
      </c>
      <c r="P338" s="31" t="str">
        <f>IFERROR(VLOOKUP($B338,#REF!,10,FALSE),"")</f>
        <v/>
      </c>
      <c r="Q338" s="31" t="str">
        <f>IFERROR(VLOOKUP($B338,#REF!,11,FALSE),"")</f>
        <v/>
      </c>
      <c r="R338" s="31" t="str">
        <f>IFERROR(VLOOKUP($B338,#REF!,12,FALSE),"")</f>
        <v/>
      </c>
      <c r="S338" s="31">
        <f t="shared" si="742"/>
        <v>39543.901049075736</v>
      </c>
      <c r="T338" s="31">
        <f t="shared" si="743"/>
        <v>8150.2332138447264</v>
      </c>
      <c r="U338" s="31">
        <f t="shared" si="744"/>
        <v>23063.363444417191</v>
      </c>
      <c r="V338" s="31">
        <f t="shared" si="745"/>
        <v>21457.06469557466</v>
      </c>
      <c r="W338" s="31">
        <f t="shared" si="591"/>
        <v>39543.901049075736</v>
      </c>
      <c r="X338" s="31">
        <f t="shared" si="592"/>
        <v>8150.2332138447264</v>
      </c>
      <c r="Y338" s="31">
        <f t="shared" si="593"/>
        <v>23063.363444417191</v>
      </c>
      <c r="Z338" s="31">
        <f t="shared" si="594"/>
        <v>21457.06469557466</v>
      </c>
      <c r="AA338" s="31">
        <f t="shared" si="746"/>
        <v>39568.650791556771</v>
      </c>
      <c r="AB338" s="31">
        <f t="shared" si="747"/>
        <v>8737.499988874375</v>
      </c>
      <c r="AC338" s="31">
        <f t="shared" si="748"/>
        <v>23103.232014017289</v>
      </c>
      <c r="AD338" s="31">
        <f t="shared" si="749"/>
        <v>21494.156530826305</v>
      </c>
      <c r="AE338" s="31">
        <f t="shared" si="595"/>
        <v>92903.539325274745</v>
      </c>
      <c r="AF338" s="31">
        <f>IFERROR(VLOOKUP(A338,'Allocations By Type'!$D$7:$F$491,3,FALSE),"")</f>
        <v>39495.300000000003</v>
      </c>
      <c r="AG338" s="31">
        <f t="shared" si="596"/>
        <v>3716.1415730109898</v>
      </c>
      <c r="AH338" s="31">
        <f t="shared" si="597"/>
        <v>3716.1415730109898</v>
      </c>
      <c r="AI338" s="31">
        <f t="shared" si="598"/>
        <v>89187.397752263758</v>
      </c>
      <c r="AJ338" s="31">
        <f>AI338/$AI$577*'State Admin 1004(b)'!$B$30*0.01</f>
        <v>848.75180716710179</v>
      </c>
      <c r="AK338" s="31">
        <f t="shared" si="599"/>
        <v>88338.64594509665</v>
      </c>
      <c r="AL338" s="31">
        <f t="shared" si="600"/>
        <v>883.38645945096653</v>
      </c>
      <c r="AM338" s="31">
        <f t="shared" si="601"/>
        <v>87455.259485645685</v>
      </c>
      <c r="AP338" s="31"/>
      <c r="AQ338" s="4">
        <f t="shared" si="603"/>
        <v>2.214320678299587</v>
      </c>
      <c r="AW338" s="31">
        <f t="shared" si="750"/>
        <v>87174.874694424201</v>
      </c>
      <c r="AX338" s="4">
        <f t="shared" si="604"/>
        <v>2.2072214844405331</v>
      </c>
      <c r="AZ338" s="174" t="str">
        <f>IFERROR(IF(VLOOKUP(A338,#REF!,11,FALSE)=0,"",VLOOKUP(A338,#REF!,11,FALSE)),"")</f>
        <v/>
      </c>
      <c r="BA338" s="31" t="str">
        <f t="shared" si="650"/>
        <v/>
      </c>
      <c r="BB338" s="31">
        <f t="shared" si="651"/>
        <v>87174.874694424201</v>
      </c>
      <c r="BD338" s="31" t="str">
        <f>IFERROR(VLOOKUP(A338,'Title II Hold Harmless'!A$1:B$439,2, FALSE),"")</f>
        <v/>
      </c>
      <c r="BE338" s="31">
        <f t="shared" si="606"/>
        <v>1214.6342857561253</v>
      </c>
      <c r="BF338" s="31">
        <f t="shared" si="607"/>
        <v>1215.8095169080059</v>
      </c>
      <c r="BG338" s="31" t="str">
        <f t="shared" si="652"/>
        <v/>
      </c>
      <c r="BH338" s="31">
        <f t="shared" si="653"/>
        <v>1215.8095169080059</v>
      </c>
    </row>
    <row r="339" spans="1:60" x14ac:dyDescent="0.3">
      <c r="A339" s="1">
        <v>78551000</v>
      </c>
      <c r="B339">
        <f>VLOOKUP(C339,'NCES ID'!$A$2:$B$3136,2,FALSE)</f>
        <v>400791</v>
      </c>
      <c r="C339">
        <f>VLOOKUP(A339,'State ID'!$A$2:$B$713,2,FALSE)</f>
        <v>90142</v>
      </c>
      <c r="D339" s="147" t="s">
        <v>407</v>
      </c>
      <c r="E339" t="s">
        <v>7</v>
      </c>
      <c r="I339" s="47">
        <f>VLOOKUP($C339,'Final SEA Counts'!$A$2:$F$709,5,FALSE)</f>
        <v>233</v>
      </c>
      <c r="J339" s="47">
        <f>VLOOKUP($C339,'Final SEA Counts'!$A$2:$F$709,6,FALSE)</f>
        <v>203</v>
      </c>
      <c r="K339" s="24">
        <f t="shared" si="602"/>
        <v>233</v>
      </c>
      <c r="L339" s="24">
        <f t="shared" si="741"/>
        <v>100.31065995762859</v>
      </c>
      <c r="M339" s="4">
        <f t="shared" si="649"/>
        <v>0.43051785389540165</v>
      </c>
      <c r="N339" s="31" t="str">
        <f>IFERROR(VLOOKUP($B339,#REF!,8,FALSE),"")</f>
        <v/>
      </c>
      <c r="O339" s="31" t="str">
        <f>IFERROR(VLOOKUP($B339,#REF!,9,FALSE),"")</f>
        <v/>
      </c>
      <c r="P339" s="31" t="str">
        <f>IFERROR(VLOOKUP($B339,#REF!,10,FALSE),"")</f>
        <v/>
      </c>
      <c r="Q339" s="31" t="str">
        <f>IFERROR(VLOOKUP($B339,#REF!,11,FALSE),"")</f>
        <v/>
      </c>
      <c r="R339" s="31" t="str">
        <f>IFERROR(VLOOKUP($B339,#REF!,12,FALSE),"")</f>
        <v/>
      </c>
      <c r="S339" s="31">
        <f t="shared" si="742"/>
        <v>48357.90309013478</v>
      </c>
      <c r="T339" s="31">
        <f t="shared" si="743"/>
        <v>9966.8514603040931</v>
      </c>
      <c r="U339" s="31">
        <f t="shared" si="744"/>
        <v>28203.992645883674</v>
      </c>
      <c r="V339" s="31">
        <f t="shared" si="745"/>
        <v>26239.663453022022</v>
      </c>
      <c r="W339" s="31">
        <f t="shared" si="591"/>
        <v>48357.90309013478</v>
      </c>
      <c r="X339" s="31">
        <f t="shared" si="592"/>
        <v>9966.8514603040931</v>
      </c>
      <c r="Y339" s="31">
        <f t="shared" si="593"/>
        <v>28203.992645883674</v>
      </c>
      <c r="Z339" s="31">
        <f t="shared" si="594"/>
        <v>26239.663453022022</v>
      </c>
      <c r="AA339" s="31">
        <f t="shared" si="746"/>
        <v>48382.652832615815</v>
      </c>
      <c r="AB339" s="31">
        <f t="shared" si="747"/>
        <v>10554.118235333741</v>
      </c>
      <c r="AC339" s="31">
        <f t="shared" si="748"/>
        <v>28243.861215483772</v>
      </c>
      <c r="AD339" s="31">
        <f t="shared" si="749"/>
        <v>26276.755288273667</v>
      </c>
      <c r="AE339" s="31">
        <f t="shared" si="595"/>
        <v>113457.38757170699</v>
      </c>
      <c r="AF339" s="31">
        <f>IFERROR(VLOOKUP(A339,'Allocations By Type'!$D$7:$F$491,3,FALSE),"")</f>
        <v>89732.72</v>
      </c>
      <c r="AG339" s="31">
        <f t="shared" si="596"/>
        <v>4538.29550286828</v>
      </c>
      <c r="AH339" s="31">
        <f t="shared" si="597"/>
        <v>4538.29550286828</v>
      </c>
      <c r="AI339" s="31">
        <f t="shared" si="598"/>
        <v>108919.09206883871</v>
      </c>
      <c r="AJ339" s="31">
        <f>AI339/$AI$577*'State Admin 1004(b)'!$B$30*0.01</f>
        <v>1036.5284620727748</v>
      </c>
      <c r="AK339" s="31">
        <f t="shared" si="599"/>
        <v>107882.56360676594</v>
      </c>
      <c r="AL339" s="31">
        <f t="shared" si="600"/>
        <v>1078.8256360676594</v>
      </c>
      <c r="AM339" s="31">
        <f t="shared" si="601"/>
        <v>106803.73797069828</v>
      </c>
      <c r="AP339" s="31"/>
      <c r="AQ339" s="4">
        <f t="shared" si="603"/>
        <v>1.1902429567575603</v>
      </c>
      <c r="AW339" s="31">
        <f t="shared" si="750"/>
        <v>106461.3212430056</v>
      </c>
      <c r="AX339" s="4">
        <f t="shared" si="604"/>
        <v>1.1864269938881336</v>
      </c>
      <c r="AZ339" s="174" t="str">
        <f>IFERROR(IF(VLOOKUP(A339,#REF!,11,FALSE)=0,"",VLOOKUP(A339,#REF!,11,FALSE)),"")</f>
        <v/>
      </c>
      <c r="BA339" s="31" t="str">
        <f t="shared" si="650"/>
        <v/>
      </c>
      <c r="BB339" s="31">
        <f t="shared" si="651"/>
        <v>106461.3212430056</v>
      </c>
      <c r="BD339" s="31" t="str">
        <f>IFERROR(VLOOKUP(A339,'Title II Hold Harmless'!A$1:B$439,2, FALSE),"")</f>
        <v/>
      </c>
      <c r="BE339" s="31">
        <f t="shared" si="606"/>
        <v>1500.6523700569937</v>
      </c>
      <c r="BF339" s="31">
        <f t="shared" si="607"/>
        <v>1502.1043407728841</v>
      </c>
      <c r="BG339" s="31" t="str">
        <f t="shared" si="652"/>
        <v/>
      </c>
      <c r="BH339" s="31">
        <f t="shared" si="653"/>
        <v>1502.1043407728841</v>
      </c>
    </row>
    <row r="340" spans="1:60" x14ac:dyDescent="0.3">
      <c r="A340" s="1">
        <v>78206000</v>
      </c>
      <c r="B340">
        <f>VLOOKUP(C340,'NCES ID'!$A$2:$B$3136,2,FALSE)</f>
        <v>400863</v>
      </c>
      <c r="C340">
        <f>VLOOKUP(A340,'State ID'!$A$2:$B$713,2,FALSE)</f>
        <v>91250</v>
      </c>
      <c r="D340" s="147" t="s">
        <v>413</v>
      </c>
      <c r="E340" t="s">
        <v>7</v>
      </c>
      <c r="I340" s="47">
        <f>VLOOKUP($C340,'Final SEA Counts'!$A$2:$F$709,5,FALSE)</f>
        <v>577</v>
      </c>
      <c r="J340" s="47">
        <f>VLOOKUP($C340,'Final SEA Counts'!$A$2:$F$709,6,FALSE)</f>
        <v>478</v>
      </c>
      <c r="K340" s="24">
        <f t="shared" si="602"/>
        <v>577</v>
      </c>
      <c r="L340" s="24">
        <f t="shared" si="741"/>
        <v>236.19948502338161</v>
      </c>
      <c r="M340" s="4">
        <f t="shared" si="649"/>
        <v>0.40935785965924021</v>
      </c>
      <c r="N340" s="31" t="str">
        <f>IFERROR(VLOOKUP($B340,#REF!,8,FALSE),"")</f>
        <v/>
      </c>
      <c r="O340" s="31" t="str">
        <f>IFERROR(VLOOKUP($B340,#REF!,9,FALSE),"")</f>
        <v/>
      </c>
      <c r="P340" s="31" t="str">
        <f>IFERROR(VLOOKUP($B340,#REF!,10,FALSE),"")</f>
        <v/>
      </c>
      <c r="Q340" s="31" t="str">
        <f>IFERROR(VLOOKUP($B340,#REF!,11,FALSE),"")</f>
        <v/>
      </c>
      <c r="R340" s="31" t="str">
        <f>IFERROR(VLOOKUP($B340,#REF!,12,FALSE),"")</f>
        <v/>
      </c>
      <c r="S340" s="31">
        <f t="shared" si="742"/>
        <v>113867.37771962772</v>
      </c>
      <c r="T340" s="31">
        <f t="shared" si="743"/>
        <v>23468.743832637225</v>
      </c>
      <c r="U340" s="31">
        <f t="shared" si="744"/>
        <v>66411.371845972404</v>
      </c>
      <c r="V340" s="31">
        <f t="shared" si="745"/>
        <v>61786.005569184868</v>
      </c>
      <c r="W340" s="31">
        <f t="shared" si="591"/>
        <v>113867.37771962772</v>
      </c>
      <c r="X340" s="31">
        <f t="shared" si="592"/>
        <v>23468.743832637225</v>
      </c>
      <c r="Y340" s="31">
        <f t="shared" si="593"/>
        <v>66411.371845972404</v>
      </c>
      <c r="Z340" s="31">
        <f t="shared" si="594"/>
        <v>61786.005569184868</v>
      </c>
      <c r="AA340" s="31">
        <f t="shared" si="746"/>
        <v>113892.12746210875</v>
      </c>
      <c r="AB340" s="31">
        <f t="shared" si="747"/>
        <v>24056.010607666874</v>
      </c>
      <c r="AC340" s="31">
        <f t="shared" si="748"/>
        <v>66451.240415572494</v>
      </c>
      <c r="AD340" s="31">
        <f t="shared" si="749"/>
        <v>61823.097404436514</v>
      </c>
      <c r="AE340" s="31">
        <f t="shared" si="595"/>
        <v>266222.47588978463</v>
      </c>
      <c r="AF340" s="31">
        <f>IFERROR(VLOOKUP(A340,'Allocations By Type'!$D$7:$F$491,3,FALSE),"")</f>
        <v>215211.72</v>
      </c>
      <c r="AG340" s="31">
        <f t="shared" si="596"/>
        <v>10648.899035591385</v>
      </c>
      <c r="AH340" s="31">
        <f t="shared" si="597"/>
        <v>10648.899035591385</v>
      </c>
      <c r="AI340" s="31">
        <f t="shared" si="598"/>
        <v>255573.57685419323</v>
      </c>
      <c r="AJ340" s="31">
        <f>AI340/$AI$577*'State Admin 1004(b)'!$B$30*0.01</f>
        <v>2432.165762047372</v>
      </c>
      <c r="AK340" s="31">
        <f t="shared" si="599"/>
        <v>253141.41109214586</v>
      </c>
      <c r="AL340" s="31">
        <f t="shared" si="600"/>
        <v>2531.4141109214588</v>
      </c>
      <c r="AM340" s="31">
        <f t="shared" si="601"/>
        <v>250609.99698122439</v>
      </c>
      <c r="AP340" s="31"/>
      <c r="AQ340" s="4">
        <f t="shared" si="603"/>
        <v>1.1644811768672467</v>
      </c>
      <c r="AW340" s="31">
        <f t="shared" si="750"/>
        <v>249806.53207705668</v>
      </c>
      <c r="AX340" s="4">
        <f t="shared" si="604"/>
        <v>1.1607478072154094</v>
      </c>
      <c r="AZ340" s="174" t="str">
        <f>IFERROR(IF(VLOOKUP(A340,#REF!,11,FALSE)=0,"",VLOOKUP(A340,#REF!,11,FALSE)),"")</f>
        <v/>
      </c>
      <c r="BA340" s="31" t="str">
        <f t="shared" si="650"/>
        <v/>
      </c>
      <c r="BB340" s="31">
        <f t="shared" si="651"/>
        <v>249806.53207705668</v>
      </c>
      <c r="BD340" s="31" t="str">
        <f>IFERROR(VLOOKUP(A340,'Title II Hold Harmless'!A$1:B$439,2, FALSE),"")</f>
        <v/>
      </c>
      <c r="BE340" s="31">
        <f t="shared" si="606"/>
        <v>3556.3796290623</v>
      </c>
      <c r="BF340" s="31">
        <f t="shared" si="607"/>
        <v>3559.8206385719118</v>
      </c>
      <c r="BG340" s="31" t="str">
        <f t="shared" si="652"/>
        <v/>
      </c>
      <c r="BH340" s="31">
        <f t="shared" si="653"/>
        <v>3559.8206385719118</v>
      </c>
    </row>
    <row r="341" spans="1:60" x14ac:dyDescent="0.3">
      <c r="A341" s="1">
        <v>78562000</v>
      </c>
      <c r="B341">
        <f>VLOOKUP(C341,'NCES ID'!$A$2:$B$3136,2,FALSE)</f>
        <v>400792</v>
      </c>
      <c r="C341">
        <f>VLOOKUP(A341,'State ID'!$A$2:$B$713,2,FALSE)</f>
        <v>90317</v>
      </c>
      <c r="D341" s="147" t="s">
        <v>429</v>
      </c>
      <c r="E341" t="s">
        <v>7</v>
      </c>
      <c r="I341" s="47">
        <f>VLOOKUP($C341,'Final SEA Counts'!$A$2:$F$709,5,FALSE)</f>
        <v>232</v>
      </c>
      <c r="J341" s="47">
        <f>VLOOKUP($C341,'Final SEA Counts'!$A$2:$F$709,6,FALSE)</f>
        <v>195</v>
      </c>
      <c r="K341" s="24">
        <f t="shared" si="602"/>
        <v>232</v>
      </c>
      <c r="L341" s="24">
        <f t="shared" si="741"/>
        <v>96.357530501170316</v>
      </c>
      <c r="M341" s="4">
        <f t="shared" si="649"/>
        <v>0.41533418319469961</v>
      </c>
      <c r="N341" s="31" t="str">
        <f>IFERROR(VLOOKUP($B341,#REF!,8,FALSE),"")</f>
        <v/>
      </c>
      <c r="O341" s="31" t="str">
        <f>IFERROR(VLOOKUP($B341,#REF!,9,FALSE),"")</f>
        <v/>
      </c>
      <c r="P341" s="31" t="str">
        <f>IFERROR(VLOOKUP($B341,#REF!,10,FALSE),"")</f>
        <v/>
      </c>
      <c r="Q341" s="31" t="str">
        <f>IFERROR(VLOOKUP($B341,#REF!,11,FALSE),"")</f>
        <v/>
      </c>
      <c r="R341" s="31" t="str">
        <f>IFERROR(VLOOKUP($B341,#REF!,12,FALSE),"")</f>
        <v/>
      </c>
      <c r="S341" s="31">
        <f t="shared" si="742"/>
        <v>46452.172919094985</v>
      </c>
      <c r="T341" s="31">
        <f t="shared" si="743"/>
        <v>9574.069136745311</v>
      </c>
      <c r="U341" s="31">
        <f t="shared" si="744"/>
        <v>27092.505250972001</v>
      </c>
      <c r="V341" s="31">
        <f t="shared" si="745"/>
        <v>25205.588046006378</v>
      </c>
      <c r="W341" s="31">
        <f t="shared" si="591"/>
        <v>46452.172919094985</v>
      </c>
      <c r="X341" s="31">
        <f t="shared" si="592"/>
        <v>9574.069136745311</v>
      </c>
      <c r="Y341" s="31">
        <f t="shared" si="593"/>
        <v>27092.505250972001</v>
      </c>
      <c r="Z341" s="31">
        <f t="shared" si="594"/>
        <v>25205.588046006378</v>
      </c>
      <c r="AA341" s="31">
        <f t="shared" si="746"/>
        <v>46476.92266157602</v>
      </c>
      <c r="AB341" s="31">
        <f t="shared" si="747"/>
        <v>10161.335911774959</v>
      </c>
      <c r="AC341" s="31">
        <f t="shared" si="748"/>
        <v>27132.373820572098</v>
      </c>
      <c r="AD341" s="31">
        <f t="shared" si="749"/>
        <v>25242.679881258024</v>
      </c>
      <c r="AE341" s="31">
        <f t="shared" si="595"/>
        <v>109013.3122751811</v>
      </c>
      <c r="AF341" s="31">
        <f>IFERROR(VLOOKUP(A341,'Allocations By Type'!$D$7:$F$491,3,FALSE),"")</f>
        <v>87650.61</v>
      </c>
      <c r="AG341" s="31">
        <f t="shared" si="596"/>
        <v>4360.5324910072441</v>
      </c>
      <c r="AH341" s="31">
        <f t="shared" si="597"/>
        <v>4360.5324910072441</v>
      </c>
      <c r="AI341" s="31">
        <f t="shared" si="598"/>
        <v>104652.77978417386</v>
      </c>
      <c r="AJ341" s="31">
        <f>AI341/$AI$577*'State Admin 1004(b)'!$B$30*0.01</f>
        <v>995.92810425533207</v>
      </c>
      <c r="AK341" s="31">
        <f t="shared" si="599"/>
        <v>103656.85167991853</v>
      </c>
      <c r="AL341" s="31">
        <f t="shared" si="600"/>
        <v>1036.5685167991853</v>
      </c>
      <c r="AM341" s="31">
        <f t="shared" si="601"/>
        <v>102620.28316311934</v>
      </c>
      <c r="AP341" s="31"/>
      <c r="AQ341" s="4">
        <f t="shared" si="603"/>
        <v>1.1707880089267986</v>
      </c>
      <c r="AW341" s="31">
        <f t="shared" si="750"/>
        <v>102291.27874601503</v>
      </c>
      <c r="AX341" s="4">
        <f t="shared" si="604"/>
        <v>1.1670344193384967</v>
      </c>
      <c r="AZ341" s="174" t="str">
        <f>IFERROR(IF(VLOOKUP(A341,#REF!,11,FALSE)=0,"",VLOOKUP(A341,#REF!,11,FALSE)),"")</f>
        <v/>
      </c>
      <c r="BA341" s="31" t="str">
        <f t="shared" si="650"/>
        <v/>
      </c>
      <c r="BB341" s="31">
        <f t="shared" si="651"/>
        <v>102291.27874601503</v>
      </c>
      <c r="BD341" s="31" t="str">
        <f>IFERROR(VLOOKUP(A341,'Title II Hold Harmless'!A$1:B$439,2, FALSE),"")</f>
        <v/>
      </c>
      <c r="BE341" s="31">
        <f t="shared" si="606"/>
        <v>1448.098445543643</v>
      </c>
      <c r="BF341" s="31">
        <f t="shared" si="607"/>
        <v>1449.4995672015364</v>
      </c>
      <c r="BG341" s="31" t="str">
        <f t="shared" si="652"/>
        <v/>
      </c>
      <c r="BH341" s="31">
        <f t="shared" si="653"/>
        <v>1449.4995672015364</v>
      </c>
    </row>
    <row r="342" spans="1:60" x14ac:dyDescent="0.3">
      <c r="A342" s="1">
        <v>78224000</v>
      </c>
      <c r="B342">
        <f>VLOOKUP(C342,'NCES ID'!$A$2:$B$3136,2,FALSE)</f>
        <v>400887</v>
      </c>
      <c r="C342">
        <f>VLOOKUP(A342,'State ID'!$A$2:$B$713,2,FALSE)</f>
        <v>91948</v>
      </c>
      <c r="D342" s="147" t="s">
        <v>432</v>
      </c>
      <c r="E342" t="s">
        <v>7</v>
      </c>
      <c r="I342" s="47">
        <f>VLOOKUP($C342,'Final SEA Counts'!$A$2:$F$709,5,FALSE)</f>
        <v>168</v>
      </c>
      <c r="J342" s="47">
        <f>VLOOKUP($C342,'Final SEA Counts'!$A$2:$F$709,6,FALSE)</f>
        <v>161</v>
      </c>
      <c r="K342" s="24">
        <f t="shared" si="602"/>
        <v>168</v>
      </c>
      <c r="L342" s="24">
        <f t="shared" si="741"/>
        <v>79.55673031122268</v>
      </c>
      <c r="M342" s="4">
        <f t="shared" si="649"/>
        <v>0.47355196613823025</v>
      </c>
      <c r="N342" s="31" t="str">
        <f>IFERROR(VLOOKUP($B342,#REF!,8,FALSE),"")</f>
        <v/>
      </c>
      <c r="O342" s="31" t="str">
        <f>IFERROR(VLOOKUP($B342,#REF!,9,FALSE),"")</f>
        <v/>
      </c>
      <c r="P342" s="31" t="str">
        <f>IFERROR(VLOOKUP($B342,#REF!,10,FALSE),"")</f>
        <v/>
      </c>
      <c r="Q342" s="31" t="str">
        <f>IFERROR(VLOOKUP($B342,#REF!,11,FALSE),"")</f>
        <v/>
      </c>
      <c r="R342" s="31" t="str">
        <f>IFERROR(VLOOKUP($B342,#REF!,12,FALSE),"")</f>
        <v/>
      </c>
      <c r="S342" s="31">
        <f t="shared" si="742"/>
        <v>38352.819692175864</v>
      </c>
      <c r="T342" s="31">
        <f t="shared" si="743"/>
        <v>7904.744261620488</v>
      </c>
      <c r="U342" s="31">
        <f t="shared" si="744"/>
        <v>22368.683822597399</v>
      </c>
      <c r="V342" s="31">
        <f t="shared" si="745"/>
        <v>20810.767566189883</v>
      </c>
      <c r="W342" s="31">
        <f t="shared" si="591"/>
        <v>38352.819692175864</v>
      </c>
      <c r="X342" s="31">
        <f t="shared" si="592"/>
        <v>7904.744261620488</v>
      </c>
      <c r="Y342" s="31">
        <f t="shared" si="593"/>
        <v>22368.683822597399</v>
      </c>
      <c r="Z342" s="31">
        <f t="shared" si="594"/>
        <v>20810.767566189883</v>
      </c>
      <c r="AA342" s="31">
        <f t="shared" si="746"/>
        <v>38377.5694346569</v>
      </c>
      <c r="AB342" s="31">
        <f t="shared" si="747"/>
        <v>8492.0110366501358</v>
      </c>
      <c r="AC342" s="31">
        <f t="shared" si="748"/>
        <v>22408.552392197496</v>
      </c>
      <c r="AD342" s="31">
        <f t="shared" si="749"/>
        <v>20847.859401441528</v>
      </c>
      <c r="AE342" s="31">
        <f t="shared" si="595"/>
        <v>90125.992264946064</v>
      </c>
      <c r="AF342" s="31">
        <f>IFERROR(VLOOKUP(A342,'Allocations By Type'!$D$7:$F$491,3,FALSE),"")</f>
        <v>56203.92</v>
      </c>
      <c r="AG342" s="31">
        <f t="shared" si="596"/>
        <v>3605.0396905978428</v>
      </c>
      <c r="AH342" s="31">
        <f t="shared" ref="AH342:AH346" si="775">IF(AG342="","",IF((AE342-AF342)&gt;AG342,AG342,AE342-AF342))</f>
        <v>3605.0396905978428</v>
      </c>
      <c r="AI342" s="31">
        <f t="shared" si="598"/>
        <v>86520.952574348223</v>
      </c>
      <c r="AJ342" s="31">
        <f>AI342/$AI$577*'State Admin 1004(b)'!$B$30*0.01</f>
        <v>823.37658353120003</v>
      </c>
      <c r="AK342" s="31">
        <f t="shared" si="599"/>
        <v>85697.575990817029</v>
      </c>
      <c r="AL342" s="31">
        <f t="shared" si="600"/>
        <v>856.97575990817029</v>
      </c>
      <c r="AM342" s="31">
        <f t="shared" si="601"/>
        <v>84840.600230908865</v>
      </c>
      <c r="AP342" s="31"/>
      <c r="AQ342" s="4">
        <f t="shared" si="603"/>
        <v>1.5095139312508605</v>
      </c>
      <c r="AW342" s="31">
        <f t="shared" si="750"/>
        <v>84568.598133805106</v>
      </c>
      <c r="AX342" s="4">
        <f t="shared" si="604"/>
        <v>1.5046743738480359</v>
      </c>
      <c r="AZ342" s="174" t="str">
        <f>IFERROR(IF(VLOOKUP(A342,#REF!,11,FALSE)=0,"",VLOOKUP(A342,#REF!,11,FALSE)),"")</f>
        <v/>
      </c>
      <c r="BA342" s="31" t="str">
        <f t="shared" si="650"/>
        <v/>
      </c>
      <c r="BB342" s="31">
        <f t="shared" si="651"/>
        <v>84568.598133805106</v>
      </c>
      <c r="BD342" s="31" t="str">
        <f>IFERROR(VLOOKUP(A342,'Title II Hold Harmless'!A$1:B$439,2, FALSE),"")</f>
        <v/>
      </c>
      <c r="BE342" s="31">
        <f t="shared" si="606"/>
        <v>1176.6574849147714</v>
      </c>
      <c r="BF342" s="31">
        <f t="shared" si="607"/>
        <v>1177.7959712456627</v>
      </c>
      <c r="BG342" s="31" t="str">
        <f t="shared" si="652"/>
        <v/>
      </c>
      <c r="BH342" s="31">
        <f t="shared" si="653"/>
        <v>1177.7959712456627</v>
      </c>
    </row>
    <row r="343" spans="1:60" x14ac:dyDescent="0.3">
      <c r="A343" s="1">
        <v>78935000</v>
      </c>
      <c r="B343">
        <f>VLOOKUP(C343,'NCES ID'!$A$2:$B$3136,2,FALSE)</f>
        <v>400279</v>
      </c>
      <c r="C343">
        <f>VLOOKUP(A343,'State ID'!$A$2:$B$713,2,FALSE)</f>
        <v>79497</v>
      </c>
      <c r="D343" s="147" t="s">
        <v>436</v>
      </c>
      <c r="E343" t="s">
        <v>7</v>
      </c>
      <c r="I343" s="47">
        <f>VLOOKUP($C343,'Final SEA Counts'!$A$2:$F$709,5,FALSE)</f>
        <v>323</v>
      </c>
      <c r="J343" s="47">
        <f>VLOOKUP($C343,'Final SEA Counts'!$A$2:$F$709,6,FALSE)</f>
        <v>119</v>
      </c>
      <c r="K343" s="24">
        <f t="shared" si="602"/>
        <v>323</v>
      </c>
      <c r="L343" s="24">
        <f t="shared" si="741"/>
        <v>58.802800664816758</v>
      </c>
      <c r="M343" s="4">
        <f t="shared" si="649"/>
        <v>0.18205201444215716</v>
      </c>
      <c r="N343" s="31" t="str">
        <f>IFERROR(VLOOKUP($B343,#REF!,8,FALSE),"")</f>
        <v/>
      </c>
      <c r="O343" s="31" t="str">
        <f>IFERROR(VLOOKUP($B343,#REF!,9,FALSE),"")</f>
        <v/>
      </c>
      <c r="P343" s="31" t="str">
        <f>IFERROR(VLOOKUP($B343,#REF!,10,FALSE),"")</f>
        <v/>
      </c>
      <c r="Q343" s="31" t="str">
        <f>IFERROR(VLOOKUP($B343,#REF!,11,FALSE),"")</f>
        <v/>
      </c>
      <c r="R343" s="31" t="str">
        <f>IFERROR(VLOOKUP($B343,#REF!,12,FALSE),"")</f>
        <v/>
      </c>
      <c r="S343" s="31">
        <f t="shared" si="742"/>
        <v>28347.736294216942</v>
      </c>
      <c r="T343" s="31">
        <f t="shared" si="743"/>
        <v>5842.6370629368821</v>
      </c>
      <c r="U343" s="31">
        <f t="shared" si="744"/>
        <v>16533.37499931112</v>
      </c>
      <c r="V343" s="31">
        <f t="shared" si="745"/>
        <v>15381.871679357737</v>
      </c>
      <c r="W343" s="31">
        <f t="shared" si="591"/>
        <v>28347.736294216942</v>
      </c>
      <c r="X343" s="31">
        <f t="shared" si="592"/>
        <v>5842.6370629368821</v>
      </c>
      <c r="Y343" s="31">
        <f t="shared" si="593"/>
        <v>16533.37499931112</v>
      </c>
      <c r="Z343" s="31">
        <f t="shared" si="594"/>
        <v>15381.871679357737</v>
      </c>
      <c r="AA343" s="31">
        <f t="shared" si="746"/>
        <v>28372.486036697977</v>
      </c>
      <c r="AB343" s="31">
        <f t="shared" si="747"/>
        <v>6429.9038379665299</v>
      </c>
      <c r="AC343" s="31">
        <f t="shared" si="748"/>
        <v>16573.243568911217</v>
      </c>
      <c r="AD343" s="31">
        <f t="shared" si="749"/>
        <v>15418.963514609382</v>
      </c>
      <c r="AE343" s="31">
        <f t="shared" si="595"/>
        <v>66794.59695818511</v>
      </c>
      <c r="AF343" s="31">
        <f>IFERROR(VLOOKUP(A343,'Allocations By Type'!$D$7:$F$491,3,FALSE),"")</f>
        <v>59074.93</v>
      </c>
      <c r="AG343" s="31">
        <f t="shared" si="596"/>
        <v>2671.7838783274046</v>
      </c>
      <c r="AH343" s="31">
        <f t="shared" si="775"/>
        <v>2671.7838783274046</v>
      </c>
      <c r="AI343" s="31">
        <f t="shared" si="598"/>
        <v>64122.813079857704</v>
      </c>
      <c r="AJ343" s="31">
        <f>AI343/$AI$577*'State Admin 1004(b)'!$B$30*0.01</f>
        <v>610.22470498962502</v>
      </c>
      <c r="AK343" s="31">
        <f t="shared" si="599"/>
        <v>63512.588374868079</v>
      </c>
      <c r="AL343" s="31">
        <f t="shared" si="600"/>
        <v>635.12588374868085</v>
      </c>
      <c r="AM343" s="31">
        <f t="shared" si="601"/>
        <v>62877.462491119397</v>
      </c>
      <c r="AP343" s="31"/>
      <c r="AQ343" s="4">
        <f t="shared" si="603"/>
        <v>1.0643679559352741</v>
      </c>
      <c r="AW343" s="31">
        <f t="shared" si="750"/>
        <v>62675.87502460456</v>
      </c>
      <c r="AX343" s="4">
        <f t="shared" si="604"/>
        <v>1.0609555529664541</v>
      </c>
      <c r="AZ343" s="174" t="str">
        <f>IFERROR(IF(VLOOKUP(A343,#REF!,11,FALSE)=0,"",VLOOKUP(A343,#REF!,11,FALSE)),"")</f>
        <v/>
      </c>
      <c r="BA343" s="31" t="str">
        <f t="shared" si="650"/>
        <v/>
      </c>
      <c r="BB343" s="31">
        <f t="shared" si="651"/>
        <v>62675.87502460456</v>
      </c>
      <c r="BD343" s="31">
        <f>IFERROR(VLOOKUP(A343,'Title II Hold Harmless'!A$1:B$439,2, FALSE),"")</f>
        <v>34621</v>
      </c>
      <c r="BE343" s="31">
        <f t="shared" si="606"/>
        <v>35650.718531460734</v>
      </c>
      <c r="BF343" s="31">
        <f t="shared" si="607"/>
        <v>35685.212729011742</v>
      </c>
      <c r="BG343" s="31" t="str">
        <f t="shared" si="652"/>
        <v/>
      </c>
      <c r="BH343" s="31">
        <f t="shared" si="653"/>
        <v>35685.212729011742</v>
      </c>
    </row>
    <row r="344" spans="1:60" x14ac:dyDescent="0.3">
      <c r="A344" s="1">
        <v>78974000</v>
      </c>
      <c r="B344">
        <f>VLOOKUP(C344,'NCES ID'!$A$2:$B$3136,2,FALSE)</f>
        <v>400377</v>
      </c>
      <c r="C344">
        <f>VLOOKUP(A344,'State ID'!$A$2:$B$713,2,FALSE)</f>
        <v>79990</v>
      </c>
      <c r="D344" s="147" t="s">
        <v>437</v>
      </c>
      <c r="E344" t="s">
        <v>7</v>
      </c>
      <c r="I344" s="47">
        <f>VLOOKUP($C344,'Final SEA Counts'!$A$2:$F$709,5,FALSE)</f>
        <v>89</v>
      </c>
      <c r="J344" s="47">
        <f>VLOOKUP($C344,'Final SEA Counts'!$A$2:$F$709,6,FALSE)</f>
        <v>38</v>
      </c>
      <c r="K344" s="24">
        <f t="shared" si="602"/>
        <v>89</v>
      </c>
      <c r="L344" s="24">
        <f t="shared" si="741"/>
        <v>18.777364918176779</v>
      </c>
      <c r="M344" s="4">
        <f t="shared" si="649"/>
        <v>0.21098162829412112</v>
      </c>
      <c r="N344" s="31" t="str">
        <f>IFERROR(VLOOKUP($B344,#REF!,8,FALSE),"")</f>
        <v/>
      </c>
      <c r="O344" s="31" t="str">
        <f>IFERROR(VLOOKUP($B344,#REF!,9,FALSE),"")</f>
        <v/>
      </c>
      <c r="P344" s="31" t="str">
        <f>IFERROR(VLOOKUP($B344,#REF!,10,FALSE),"")</f>
        <v/>
      </c>
      <c r="Q344" s="31" t="str">
        <f>IFERROR(VLOOKUP($B344,#REF!,11,FALSE),"")</f>
        <v/>
      </c>
      <c r="R344" s="31" t="str">
        <f>IFERROR(VLOOKUP($B344,#REF!,12,FALSE),"")</f>
        <v/>
      </c>
      <c r="S344" s="31">
        <f t="shared" si="742"/>
        <v>9052.2183124390231</v>
      </c>
      <c r="T344" s="31">
        <f t="shared" si="743"/>
        <v>1865.7160369042144</v>
      </c>
      <c r="U344" s="31">
        <f t="shared" si="744"/>
        <v>5279.5651258304415</v>
      </c>
      <c r="V344" s="31">
        <f t="shared" si="745"/>
        <v>4911.8581833243197</v>
      </c>
      <c r="W344" s="31">
        <f t="shared" si="591"/>
        <v>9052.2183124390231</v>
      </c>
      <c r="X344" s="31">
        <f t="shared" si="592"/>
        <v>1865.7160369042144</v>
      </c>
      <c r="Y344" s="31">
        <f t="shared" si="593"/>
        <v>5279.5651258304415</v>
      </c>
      <c r="Z344" s="31">
        <f t="shared" si="594"/>
        <v>4911.8581833243197</v>
      </c>
      <c r="AA344" s="31">
        <f t="shared" si="746"/>
        <v>9076.9680549200584</v>
      </c>
      <c r="AB344" s="31">
        <f t="shared" si="747"/>
        <v>2452.9828119338626</v>
      </c>
      <c r="AC344" s="31">
        <f t="shared" si="748"/>
        <v>5319.4336954305381</v>
      </c>
      <c r="AD344" s="31">
        <f t="shared" si="749"/>
        <v>4948.9500185759644</v>
      </c>
      <c r="AE344" s="31">
        <f t="shared" si="595"/>
        <v>21798.334580860424</v>
      </c>
      <c r="AF344" s="31">
        <f>IFERROR(VLOOKUP(A344,'Allocations By Type'!$D$7:$F$491,3,FALSE),"")</f>
        <v>11536.73</v>
      </c>
      <c r="AG344" s="31">
        <f t="shared" si="596"/>
        <v>871.93338323441697</v>
      </c>
      <c r="AH344" s="31">
        <f t="shared" si="775"/>
        <v>871.93338323441697</v>
      </c>
      <c r="AI344" s="31">
        <f t="shared" si="598"/>
        <v>20926.401197626008</v>
      </c>
      <c r="AJ344" s="31">
        <f>AI344/$AI$577*'State Admin 1004(b)'!$B$30*0.01</f>
        <v>199.1460820880163</v>
      </c>
      <c r="AK344" s="31">
        <f t="shared" si="599"/>
        <v>20727.255115537992</v>
      </c>
      <c r="AL344" s="31">
        <f t="shared" si="600"/>
        <v>207.27255115537992</v>
      </c>
      <c r="AM344" s="31">
        <f t="shared" si="601"/>
        <v>20519.982564382612</v>
      </c>
      <c r="AP344" s="31"/>
      <c r="AQ344" s="4">
        <f t="shared" si="603"/>
        <v>1.7786654073019488</v>
      </c>
      <c r="AW344" s="31">
        <f t="shared" si="750"/>
        <v>20454.194742574968</v>
      </c>
      <c r="AX344" s="4">
        <f t="shared" si="604"/>
        <v>1.7729629403284093</v>
      </c>
      <c r="AZ344" s="174" t="str">
        <f>IFERROR(IF(VLOOKUP(A344,#REF!,11,FALSE)=0,"",VLOOKUP(A344,#REF!,11,FALSE)),"")</f>
        <v/>
      </c>
      <c r="BA344" s="31" t="str">
        <f t="shared" si="650"/>
        <v/>
      </c>
      <c r="BB344" s="31">
        <f t="shared" si="651"/>
        <v>20454.194742574968</v>
      </c>
      <c r="BD344" s="31" t="str">
        <f>IFERROR(VLOOKUP(A344,'Title II Hold Harmless'!A$1:B$439,2, FALSE),"")</f>
        <v/>
      </c>
      <c r="BE344" s="31">
        <f t="shared" si="606"/>
        <v>317.43551527809484</v>
      </c>
      <c r="BF344" s="31">
        <f t="shared" si="607"/>
        <v>317.74265308133562</v>
      </c>
      <c r="BG344" s="31" t="str">
        <f t="shared" si="652"/>
        <v/>
      </c>
      <c r="BH344" s="31">
        <f t="shared" si="653"/>
        <v>317.74265308133562</v>
      </c>
    </row>
    <row r="345" spans="1:60" x14ac:dyDescent="0.3">
      <c r="A345" s="1">
        <v>78548000</v>
      </c>
      <c r="B345">
        <f>VLOOKUP(C345,'NCES ID'!$A$2:$B$3136,2,FALSE)</f>
        <v>400786</v>
      </c>
      <c r="C345">
        <f>VLOOKUP(A345,'State ID'!$A$2:$B$713,2,FALSE)</f>
        <v>90036</v>
      </c>
      <c r="D345" s="147" t="s">
        <v>438</v>
      </c>
      <c r="E345" t="s">
        <v>7</v>
      </c>
      <c r="I345" s="47">
        <f>VLOOKUP($C345,'Final SEA Counts'!$A$2:$F$709,5,FALSE)</f>
        <v>365</v>
      </c>
      <c r="J345" s="47">
        <f>VLOOKUP($C345,'Final SEA Counts'!$A$2:$F$709,6,FALSE)</f>
        <v>292</v>
      </c>
      <c r="K345" s="24">
        <f t="shared" si="602"/>
        <v>365</v>
      </c>
      <c r="L345" s="24">
        <f t="shared" si="741"/>
        <v>144.28922516072683</v>
      </c>
      <c r="M345" s="4">
        <f t="shared" si="649"/>
        <v>0.39531294564582692</v>
      </c>
      <c r="N345" s="31" t="str">
        <f>IFERROR(VLOOKUP($B345,#REF!,8,FALSE),"")</f>
        <v/>
      </c>
      <c r="O345" s="31" t="str">
        <f>IFERROR(VLOOKUP($B345,#REF!,9,FALSE),"")</f>
        <v/>
      </c>
      <c r="P345" s="31" t="str">
        <f>IFERROR(VLOOKUP($B345,#REF!,10,FALSE),"")</f>
        <v/>
      </c>
      <c r="Q345" s="31" t="str">
        <f>IFERROR(VLOOKUP($B345,#REF!,11,FALSE),"")</f>
        <v/>
      </c>
      <c r="R345" s="31" t="str">
        <f>IFERROR(VLOOKUP($B345,#REF!,12,FALSE),"")</f>
        <v/>
      </c>
      <c r="S345" s="31">
        <f t="shared" si="742"/>
        <v>69559.151242952488</v>
      </c>
      <c r="T345" s="31">
        <f t="shared" si="743"/>
        <v>14336.554809895542</v>
      </c>
      <c r="U345" s="31">
        <f t="shared" si="744"/>
        <v>40569.289914276022</v>
      </c>
      <c r="V345" s="31">
        <f t="shared" si="745"/>
        <v>37743.752356071083</v>
      </c>
      <c r="W345" s="31">
        <f t="shared" si="591"/>
        <v>69559.151242952488</v>
      </c>
      <c r="X345" s="31">
        <f t="shared" si="592"/>
        <v>14336.554809895542</v>
      </c>
      <c r="Y345" s="31">
        <f t="shared" si="593"/>
        <v>40569.289914276022</v>
      </c>
      <c r="Z345" s="31">
        <f t="shared" si="594"/>
        <v>37743.752356071083</v>
      </c>
      <c r="AA345" s="31">
        <f t="shared" si="746"/>
        <v>69583.900985433516</v>
      </c>
      <c r="AB345" s="31">
        <f t="shared" si="747"/>
        <v>14923.82158492519</v>
      </c>
      <c r="AC345" s="31">
        <f t="shared" si="748"/>
        <v>40609.158483876119</v>
      </c>
      <c r="AD345" s="31">
        <f t="shared" si="749"/>
        <v>37780.844191322729</v>
      </c>
      <c r="AE345" s="31">
        <f t="shared" si="595"/>
        <v>162897.72524555755</v>
      </c>
      <c r="AF345" s="31">
        <f>IFERROR(VLOOKUP(A345,'Allocations By Type'!$D$7:$F$491,3,FALSE),"")</f>
        <v>169490.62</v>
      </c>
      <c r="AG345" s="31" t="str">
        <f t="shared" si="596"/>
        <v/>
      </c>
      <c r="AH345" s="31" t="str">
        <f t="shared" si="775"/>
        <v/>
      </c>
      <c r="AI345" s="31">
        <f t="shared" si="598"/>
        <v>162897.72524555755</v>
      </c>
      <c r="AJ345" s="31">
        <f>AI345/$AI$577*'State Admin 1004(b)'!$B$30*0.01</f>
        <v>1550.2160862414853</v>
      </c>
      <c r="AK345" s="31">
        <f t="shared" si="599"/>
        <v>161347.50915931608</v>
      </c>
      <c r="AL345" s="31">
        <f t="shared" si="600"/>
        <v>1613.4750915931609</v>
      </c>
      <c r="AM345" s="31">
        <f t="shared" si="601"/>
        <v>159734.03406772291</v>
      </c>
      <c r="AP345" s="31"/>
      <c r="AQ345" s="4">
        <f t="shared" si="603"/>
        <v>0.94243583549179843</v>
      </c>
      <c r="AW345" s="31">
        <f t="shared" si="750"/>
        <v>159221.92085627685</v>
      </c>
      <c r="AX345" s="4">
        <f t="shared" si="604"/>
        <v>0.9394143514034986</v>
      </c>
      <c r="AZ345" s="174" t="str">
        <f>IFERROR(IF(VLOOKUP(A345,#REF!,11,FALSE)=0,"",VLOOKUP(A345,#REF!,11,FALSE)),"")</f>
        <v/>
      </c>
      <c r="BA345" s="31" t="str">
        <f t="shared" si="650"/>
        <v/>
      </c>
      <c r="BB345" s="31">
        <f t="shared" si="651"/>
        <v>159221.92085627685</v>
      </c>
      <c r="BD345" s="31" t="str">
        <f>IFERROR(VLOOKUP(A345,'Title II Hold Harmless'!A$1:B$439,2, FALSE),"")</f>
        <v/>
      </c>
      <c r="BE345" s="31">
        <f t="shared" si="606"/>
        <v>2182.5949427353335</v>
      </c>
      <c r="BF345" s="31">
        <f t="shared" si="607"/>
        <v>2184.7067335835909</v>
      </c>
      <c r="BG345" s="31" t="str">
        <f t="shared" si="652"/>
        <v/>
      </c>
      <c r="BH345" s="31">
        <f t="shared" si="653"/>
        <v>2184.7067335835909</v>
      </c>
    </row>
    <row r="346" spans="1:60" x14ac:dyDescent="0.3">
      <c r="A346" s="1">
        <v>78221000</v>
      </c>
      <c r="B346" t="e">
        <f>VLOOKUP(C346,'NCES ID'!$A$2:$B$3136,2,FALSE)</f>
        <v>#N/A</v>
      </c>
      <c r="C346">
        <f>VLOOKUP(A346,'State ID'!$A$2:$B$713,2,FALSE)</f>
        <v>91937</v>
      </c>
      <c r="D346" s="147" t="s">
        <v>439</v>
      </c>
      <c r="E346" t="s">
        <v>7</v>
      </c>
      <c r="I346" s="47">
        <f>VLOOKUP($C346,'Final SEA Counts'!$A$2:$F$709,5,FALSE)</f>
        <v>391</v>
      </c>
      <c r="J346" s="47">
        <f>VLOOKUP($C346,'Final SEA Counts'!$A$2:$F$709,6,FALSE)</f>
        <v>368</v>
      </c>
      <c r="K346" s="24">
        <f t="shared" si="602"/>
        <v>391</v>
      </c>
      <c r="L346" s="24">
        <f t="shared" si="741"/>
        <v>181.8439549970804</v>
      </c>
      <c r="M346" s="4">
        <f t="shared" si="649"/>
        <v>0.46507405370097288</v>
      </c>
      <c r="N346" s="31" t="str">
        <f>IFERROR(VLOOKUP($B346,#REF!,8,FALSE),"")</f>
        <v/>
      </c>
      <c r="O346" s="31" t="str">
        <f>IFERROR(VLOOKUP($B346,#REF!,9,FALSE),"")</f>
        <v/>
      </c>
      <c r="P346" s="31" t="str">
        <f>IFERROR(VLOOKUP($B346,#REF!,10,FALSE),"")</f>
        <v/>
      </c>
      <c r="Q346" s="31" t="str">
        <f>IFERROR(VLOOKUP($B346,#REF!,11,FALSE),"")</f>
        <v/>
      </c>
      <c r="R346" s="31" t="str">
        <f>IFERROR(VLOOKUP($B346,#REF!,12,FALSE),"")</f>
        <v/>
      </c>
      <c r="S346" s="31">
        <f t="shared" si="742"/>
        <v>87663.587867830545</v>
      </c>
      <c r="T346" s="31">
        <f t="shared" si="743"/>
        <v>18067.986883703972</v>
      </c>
      <c r="U346" s="31">
        <f t="shared" si="744"/>
        <v>51128.420165936906</v>
      </c>
      <c r="V346" s="31">
        <f t="shared" si="745"/>
        <v>47567.468722719728</v>
      </c>
      <c r="W346" s="31">
        <f t="shared" si="591"/>
        <v>87663.587867830545</v>
      </c>
      <c r="X346" s="31">
        <f t="shared" si="592"/>
        <v>18067.986883703972</v>
      </c>
      <c r="Y346" s="31">
        <f t="shared" si="593"/>
        <v>51128.420165936906</v>
      </c>
      <c r="Z346" s="31">
        <f t="shared" si="594"/>
        <v>47567.468722719728</v>
      </c>
      <c r="AA346" s="31">
        <f t="shared" si="746"/>
        <v>87688.337610311573</v>
      </c>
      <c r="AB346" s="31">
        <f t="shared" si="747"/>
        <v>18655.253658733622</v>
      </c>
      <c r="AC346" s="31">
        <f t="shared" si="748"/>
        <v>51168.288735537004</v>
      </c>
      <c r="AD346" s="31">
        <f t="shared" si="749"/>
        <v>47604.560557971374</v>
      </c>
      <c r="AE346" s="31">
        <f t="shared" si="595"/>
        <v>205116.44056255359</v>
      </c>
      <c r="AF346" s="31">
        <f>IFERROR(VLOOKUP(A346,'Allocations By Type'!$D$7:$F$491,3,FALSE),"")</f>
        <v>105481.1</v>
      </c>
      <c r="AG346" s="31">
        <f t="shared" si="596"/>
        <v>8204.6576225021436</v>
      </c>
      <c r="AH346" s="31">
        <f t="shared" si="775"/>
        <v>8204.6576225021436</v>
      </c>
      <c r="AI346" s="31">
        <f t="shared" si="598"/>
        <v>196911.78294005143</v>
      </c>
      <c r="AJ346" s="31">
        <f>AI346/$AI$577*'State Admin 1004(b)'!$B$30*0.01</f>
        <v>1873.9108420575333</v>
      </c>
      <c r="AK346" s="31">
        <f t="shared" si="599"/>
        <v>195037.87209799391</v>
      </c>
      <c r="AL346" s="31">
        <f t="shared" si="600"/>
        <v>1950.3787209799391</v>
      </c>
      <c r="AM346" s="31">
        <f t="shared" si="601"/>
        <v>193087.49337701398</v>
      </c>
      <c r="AP346" s="31"/>
      <c r="AQ346" s="4">
        <f t="shared" si="603"/>
        <v>1.8305411431717526</v>
      </c>
      <c r="AW346" s="31">
        <f t="shared" si="750"/>
        <v>192468.44774343629</v>
      </c>
      <c r="AX346" s="4">
        <f t="shared" si="604"/>
        <v>1.8246723606734883</v>
      </c>
      <c r="AZ346" s="174" t="str">
        <f>IFERROR(IF(VLOOKUP(A346,#REF!,11,FALSE)=0,"",VLOOKUP(A346,#REF!,11,FALSE)),"")</f>
        <v/>
      </c>
      <c r="BA346" s="31" t="str">
        <f t="shared" si="650"/>
        <v/>
      </c>
      <c r="BB346" s="31">
        <f t="shared" si="651"/>
        <v>192468.44774343629</v>
      </c>
      <c r="BD346" s="31" t="str">
        <f>IFERROR(VLOOKUP(A346,'Title II Hold Harmless'!A$1:B$439,2, FALSE),"")</f>
        <v/>
      </c>
      <c r="BE346" s="31">
        <f t="shared" si="606"/>
        <v>2695.1364204887764</v>
      </c>
      <c r="BF346" s="31">
        <f t="shared" si="607"/>
        <v>2697.7441258014537</v>
      </c>
      <c r="BG346" s="31" t="str">
        <f t="shared" si="652"/>
        <v/>
      </c>
      <c r="BH346" s="31">
        <f t="shared" si="653"/>
        <v>2697.7441258014537</v>
      </c>
    </row>
    <row r="347" spans="1:60" s="47" customFormat="1" x14ac:dyDescent="0.3">
      <c r="A347" s="1">
        <v>78725000</v>
      </c>
      <c r="B347" s="47">
        <f>VLOOKUP(C347,'NCES ID'!$A$2:$B$3136,2,FALSE)</f>
        <v>400112</v>
      </c>
      <c r="C347" s="47">
        <f>VLOOKUP(A347,'State ID'!$A$2:$B$713,2,FALSE)</f>
        <v>4348</v>
      </c>
      <c r="D347" s="147" t="s">
        <v>742</v>
      </c>
      <c r="E347" s="47" t="s">
        <v>7</v>
      </c>
      <c r="H347" s="4"/>
      <c r="I347" s="47">
        <f>VLOOKUP($C347,'Final SEA Counts'!$A$2:$F$709,5,FALSE)</f>
        <v>5491</v>
      </c>
      <c r="J347" s="47">
        <f>VLOOKUP($C347,'Final SEA Counts'!$A$2:$F$709,6,FALSE)</f>
        <v>1993</v>
      </c>
      <c r="K347" s="24">
        <f t="shared" si="602"/>
        <v>5491</v>
      </c>
      <c r="L347" s="24">
        <f t="shared" si="741"/>
        <v>984.82337584016636</v>
      </c>
      <c r="M347" s="4">
        <f t="shared" si="649"/>
        <v>0.17935228115828927</v>
      </c>
      <c r="N347" s="31"/>
      <c r="O347" s="31"/>
      <c r="P347" s="31"/>
      <c r="Q347" s="31"/>
      <c r="R347" s="31"/>
      <c r="S347" s="31">
        <f t="shared" si="742"/>
        <v>474765.02886028879</v>
      </c>
      <c r="T347" s="31">
        <f t="shared" si="743"/>
        <v>97851.896356581565</v>
      </c>
      <c r="U347" s="31">
        <f t="shared" si="744"/>
        <v>276899.29725737026</v>
      </c>
      <c r="V347" s="31">
        <f t="shared" si="745"/>
        <v>257614.03577277286</v>
      </c>
      <c r="W347" s="31">
        <f t="shared" ref="W347:W353" si="776">IF(AND($L347&gt;9,$L347&gt;($K347*0.02)),S347,"")</f>
        <v>474765.02886028879</v>
      </c>
      <c r="X347" s="31">
        <f t="shared" ref="X347:X353" si="777">IF(W347="","",IF(OR($L347&gt;6500,$L347&gt;($K347*0.15)),T347,""))</f>
        <v>97851.896356581565</v>
      </c>
      <c r="Y347" s="31">
        <f t="shared" ref="Y347:Y353" si="778">IF(AND($L347&gt;9,$L347&gt;($K347*0.05)),U347,"")</f>
        <v>276899.29725737026</v>
      </c>
      <c r="Z347" s="31">
        <f t="shared" ref="Z347:Z353" si="779">IF(AND($L347&gt;9,$L347&gt;($K347*0.05)),V347,"")</f>
        <v>257614.03577277286</v>
      </c>
      <c r="AA347" s="31">
        <f t="shared" si="746"/>
        <v>474789.77860276983</v>
      </c>
      <c r="AB347" s="31">
        <f t="shared" si="747"/>
        <v>98439.163131611218</v>
      </c>
      <c r="AC347" s="31">
        <f t="shared" si="748"/>
        <v>276939.16582697036</v>
      </c>
      <c r="AD347" s="31">
        <f t="shared" si="749"/>
        <v>257651.12760802449</v>
      </c>
      <c r="AE347" s="31">
        <f t="shared" ref="AE347:AE353" si="780">SUM(AA347:AD347)</f>
        <v>1107819.2351693758</v>
      </c>
      <c r="AF347" s="31">
        <f>IFERROR(VLOOKUP(A347,'Allocations By Type'!$D$7:$F$491,3,FALSE),"")</f>
        <v>1028638.87</v>
      </c>
      <c r="AG347" s="31">
        <f t="shared" ref="AG347:AG353" si="781">IF(AE347&gt;AF347,AE347*0.04,"")</f>
        <v>44312.769406775034</v>
      </c>
      <c r="AH347" s="31">
        <f t="shared" ref="AH347:AH353" si="782">IF(AG347="","",IF((AE347-AF347)&gt;AG347,AG347,AE347-AF347))</f>
        <v>44312.769406775034</v>
      </c>
      <c r="AI347" s="31">
        <f t="shared" ref="AI347:AI353" si="783">IF(AH347="",AE347,AE347-AH347)</f>
        <v>1063506.4657626008</v>
      </c>
      <c r="AJ347" s="31">
        <f>AI347/$AI$577*'State Admin 1004(b)'!$B$30*0.01</f>
        <v>10120.858523725608</v>
      </c>
      <c r="AK347" s="31">
        <f t="shared" ref="AK347:AK353" si="784">AI347-AJ347</f>
        <v>1053385.6072388752</v>
      </c>
      <c r="AL347" s="31">
        <f t="shared" ref="AL347:AL353" si="785">AK347*0.01</f>
        <v>10533.856072388753</v>
      </c>
      <c r="AM347" s="31">
        <f t="shared" ref="AM347:AM353" si="786">AK347-AL347</f>
        <v>1042851.7511664865</v>
      </c>
      <c r="AP347" s="31"/>
      <c r="AQ347" s="4">
        <f t="shared" si="603"/>
        <v>1.0138171729466985</v>
      </c>
      <c r="AR347" s="4"/>
      <c r="AS347" s="4"/>
      <c r="AT347" s="4"/>
      <c r="AW347" s="31">
        <f t="shared" si="750"/>
        <v>1039508.3299446472</v>
      </c>
      <c r="AX347" s="4">
        <f t="shared" si="604"/>
        <v>1.0105668376547419</v>
      </c>
      <c r="AZ347" s="174"/>
      <c r="BA347" s="31"/>
      <c r="BB347" s="31">
        <f t="shared" si="651"/>
        <v>1039508.3299446472</v>
      </c>
      <c r="BD347" s="31">
        <f>IFERROR(VLOOKUP(A347,'Title II Hold Harmless'!A$1:B$439,2, FALSE),"")</f>
        <v>4218</v>
      </c>
      <c r="BE347" s="31">
        <f t="shared" si="606"/>
        <v>21529.155816743012</v>
      </c>
      <c r="BF347" s="31">
        <f t="shared" si="607"/>
        <v>21549.986559696867</v>
      </c>
      <c r="BG347" s="31"/>
      <c r="BH347" s="31">
        <f t="shared" si="653"/>
        <v>21549.986559696867</v>
      </c>
    </row>
    <row r="348" spans="1:60" s="47" customFormat="1" x14ac:dyDescent="0.3">
      <c r="A348" s="1">
        <v>78274000</v>
      </c>
      <c r="B348" s="47" t="e">
        <f>VLOOKUP(C348,'NCES ID'!$A$2:$B$3136,2,FALSE)</f>
        <v>#N/A</v>
      </c>
      <c r="C348" s="47">
        <v>92879</v>
      </c>
      <c r="D348" s="147" t="s">
        <v>1251</v>
      </c>
      <c r="E348" s="47" t="s">
        <v>7</v>
      </c>
      <c r="H348" s="4"/>
      <c r="I348" s="47">
        <f>VLOOKUP($C348,'Final SEA Counts'!$A$2:$F$709,5,FALSE)</f>
        <v>1282</v>
      </c>
      <c r="J348" s="47">
        <f>VLOOKUP($C348,'Final SEA Counts'!$A$2:$F$709,6,FALSE)</f>
        <v>320</v>
      </c>
      <c r="K348" s="24">
        <f t="shared" si="602"/>
        <v>1282</v>
      </c>
      <c r="L348" s="24">
        <f t="shared" si="741"/>
        <v>158.12517825833078</v>
      </c>
      <c r="M348" s="4">
        <f t="shared" si="649"/>
        <v>0.12334257274440778</v>
      </c>
      <c r="N348" s="31"/>
      <c r="O348" s="31"/>
      <c r="P348" s="31"/>
      <c r="Q348" s="31"/>
      <c r="R348" s="31"/>
      <c r="S348" s="31">
        <f t="shared" si="742"/>
        <v>76229.206841591775</v>
      </c>
      <c r="T348" s="31">
        <f t="shared" si="743"/>
        <v>15711.29294235128</v>
      </c>
      <c r="U348" s="31">
        <f t="shared" si="744"/>
        <v>44459.495796466872</v>
      </c>
      <c r="V348" s="31">
        <f t="shared" si="745"/>
        <v>41363.016280625852</v>
      </c>
      <c r="W348" s="31">
        <f t="shared" si="776"/>
        <v>76229.206841591775</v>
      </c>
      <c r="X348" s="31" t="str">
        <f t="shared" si="777"/>
        <v/>
      </c>
      <c r="Y348" s="31">
        <f t="shared" si="778"/>
        <v>44459.495796466872</v>
      </c>
      <c r="Z348" s="31">
        <f t="shared" si="779"/>
        <v>41363.016280625852</v>
      </c>
      <c r="AA348" s="31">
        <f t="shared" si="746"/>
        <v>76253.956584072803</v>
      </c>
      <c r="AB348" s="31" t="str">
        <f t="shared" si="747"/>
        <v/>
      </c>
      <c r="AC348" s="31">
        <f t="shared" si="748"/>
        <v>44499.36436606697</v>
      </c>
      <c r="AD348" s="31">
        <f t="shared" si="749"/>
        <v>41400.108115877498</v>
      </c>
      <c r="AE348" s="31">
        <f t="shared" si="780"/>
        <v>162153.42906601727</v>
      </c>
      <c r="AF348" s="31">
        <f>IFERROR(VLOOKUP(A348,'Allocations By Type'!$D$7:$F$491,3,FALSE),"")</f>
        <v>147192.78</v>
      </c>
      <c r="AG348" s="31">
        <f t="shared" si="781"/>
        <v>6486.1371626406908</v>
      </c>
      <c r="AH348" s="31">
        <f t="shared" si="782"/>
        <v>6486.1371626406908</v>
      </c>
      <c r="AI348" s="31">
        <f t="shared" si="783"/>
        <v>155667.29190337658</v>
      </c>
      <c r="AJ348" s="31">
        <f>AI348/$AI$577*'State Admin 1004(b)'!$B$30*0.01</f>
        <v>1481.4076724920037</v>
      </c>
      <c r="AK348" s="31">
        <f t="shared" si="784"/>
        <v>154185.88423088458</v>
      </c>
      <c r="AL348" s="31">
        <f t="shared" si="785"/>
        <v>1541.8588423088459</v>
      </c>
      <c r="AM348" s="31">
        <f t="shared" si="786"/>
        <v>152644.02538857574</v>
      </c>
      <c r="AP348" s="31"/>
      <c r="AQ348" s="4">
        <f t="shared" si="603"/>
        <v>1.0370347335553805</v>
      </c>
      <c r="AR348" s="4"/>
      <c r="AS348" s="4"/>
      <c r="AT348" s="4"/>
      <c r="AW348" s="31">
        <f t="shared" ref="AW348" si="787">IF(AV348="",AM348-AM348/($AM$356-$AV$356+$AU$356)*$AU$356,AV348)</f>
        <v>152154.64300675562</v>
      </c>
      <c r="AX348" s="4">
        <f t="shared" si="604"/>
        <v>1.0337099619067975</v>
      </c>
      <c r="AZ348" s="174"/>
      <c r="BA348" s="31"/>
      <c r="BB348" s="31">
        <f t="shared" si="651"/>
        <v>152154.64300675562</v>
      </c>
      <c r="BD348" s="31" t="str">
        <f>IFERROR(VLOOKUP(A348,'Title II Hold Harmless'!A$1:B$439,2, FALSE),"")</f>
        <v/>
      </c>
      <c r="BE348" s="31">
        <f t="shared" si="606"/>
        <v>3101.7181948827733</v>
      </c>
      <c r="BF348" s="31">
        <f t="shared" si="607"/>
        <v>3104.7192923239768</v>
      </c>
      <c r="BG348" s="31"/>
      <c r="BH348" s="31">
        <f t="shared" si="653"/>
        <v>3104.7192923239768</v>
      </c>
    </row>
    <row r="349" spans="1:60" s="47" customFormat="1" x14ac:dyDescent="0.3">
      <c r="A349" s="1">
        <v>78254000</v>
      </c>
      <c r="B349" s="47" t="e">
        <f>VLOOKUP(C349,'NCES ID'!$A$2:$B$3136,2,FALSE)</f>
        <v>#N/A</v>
      </c>
      <c r="C349" s="47">
        <v>92379</v>
      </c>
      <c r="D349" s="147" t="s">
        <v>1252</v>
      </c>
      <c r="E349" s="47" t="s">
        <v>7</v>
      </c>
      <c r="H349" s="4"/>
      <c r="I349" s="47">
        <f>VLOOKUP($C349,'Final SEA Counts'!$A$2:$F$709,5,FALSE)</f>
        <v>103</v>
      </c>
      <c r="J349" s="47">
        <f>VLOOKUP($C349,'Final SEA Counts'!$A$2:$F$709,6,FALSE)</f>
        <v>98</v>
      </c>
      <c r="K349" s="24">
        <f t="shared" si="602"/>
        <v>103</v>
      </c>
      <c r="L349" s="24">
        <f t="shared" ref="L349:L354" si="788">J349*$B$356</f>
        <v>48.425835841613804</v>
      </c>
      <c r="M349" s="4">
        <f t="shared" si="649"/>
        <v>0.47015374603508547</v>
      </c>
      <c r="N349" s="31"/>
      <c r="O349" s="31"/>
      <c r="P349" s="31"/>
      <c r="Q349" s="31"/>
      <c r="R349" s="31"/>
      <c r="S349" s="31">
        <f t="shared" ref="S349:S354" si="789">$L349*N$357</f>
        <v>23345.194595237481</v>
      </c>
      <c r="T349" s="31">
        <f t="shared" ref="T349:T354" si="790">$L349*O$357</f>
        <v>4811.5834635950796</v>
      </c>
      <c r="U349" s="31">
        <f t="shared" ref="U349:U354" si="791">$L349*P$357</f>
        <v>13615.720587667982</v>
      </c>
      <c r="V349" s="31">
        <f t="shared" ref="V349:V354" si="792">$L349*Q$357</f>
        <v>12667.423735941667</v>
      </c>
      <c r="W349" s="31">
        <f t="shared" si="776"/>
        <v>23345.194595237481</v>
      </c>
      <c r="X349" s="31">
        <f t="shared" si="777"/>
        <v>4811.5834635950796</v>
      </c>
      <c r="Y349" s="31">
        <f t="shared" si="778"/>
        <v>13615.720587667982</v>
      </c>
      <c r="Z349" s="31">
        <f t="shared" si="779"/>
        <v>12667.423735941667</v>
      </c>
      <c r="AA349" s="31">
        <f t="shared" ref="AA349:AA354" si="793">IF(W349="","",W349+W$357)</f>
        <v>23369.944337718516</v>
      </c>
      <c r="AB349" s="31">
        <f t="shared" ref="AB349:AB354" si="794">IF(X349="","",X349+X$357)</f>
        <v>5398.8502386247274</v>
      </c>
      <c r="AC349" s="31">
        <f t="shared" ref="AC349:AC354" si="795">IF(Y349="","",Y349+Y$357)</f>
        <v>13655.589157268078</v>
      </c>
      <c r="AD349" s="31">
        <f t="shared" ref="AD349:AD354" si="796">IF(Z349="","",Z349+Z$357)</f>
        <v>12704.515571193313</v>
      </c>
      <c r="AE349" s="31">
        <f t="shared" si="780"/>
        <v>55128.899304804632</v>
      </c>
      <c r="AF349" s="31">
        <f>IFERROR(VLOOKUP(A349,'Allocations By Type'!$D$7:$F$491,3,FALSE),"")</f>
        <v>23964.78</v>
      </c>
      <c r="AG349" s="31">
        <f t="shared" si="781"/>
        <v>2205.1559721921853</v>
      </c>
      <c r="AH349" s="31">
        <f t="shared" si="782"/>
        <v>2205.1559721921853</v>
      </c>
      <c r="AI349" s="31">
        <f t="shared" si="783"/>
        <v>52923.743332612445</v>
      </c>
      <c r="AJ349" s="31">
        <f>AI349/$AI$577*'State Admin 1004(b)'!$B$30*0.01</f>
        <v>503.64876571883752</v>
      </c>
      <c r="AK349" s="31">
        <f t="shared" si="784"/>
        <v>52420.094566893604</v>
      </c>
      <c r="AL349" s="31">
        <f t="shared" si="785"/>
        <v>524.20094566893601</v>
      </c>
      <c r="AM349" s="31">
        <f t="shared" si="786"/>
        <v>51895.89362122467</v>
      </c>
      <c r="AP349" s="31"/>
      <c r="AQ349" s="4">
        <f t="shared" si="603"/>
        <v>2.1655067820870739</v>
      </c>
      <c r="AR349" s="4"/>
      <c r="AS349" s="4"/>
      <c r="AT349" s="4"/>
      <c r="AW349" s="31">
        <f t="shared" ref="AW349:AW353" si="797">IF(AV349="",AM349-AM349/($AM$356-$AV$356+$AU$356)*$AU$356,AV349)</f>
        <v>51729.513470004291</v>
      </c>
      <c r="AX349" s="4">
        <f t="shared" si="604"/>
        <v>2.1585640873817451</v>
      </c>
      <c r="AZ349" s="174"/>
      <c r="BA349" s="31"/>
      <c r="BB349" s="31">
        <f t="shared" si="651"/>
        <v>51729.513470004291</v>
      </c>
      <c r="BD349" s="31" t="str">
        <f>IFERROR(VLOOKUP(A349,'Title II Hold Harmless'!A$1:B$439,2, FALSE),"")</f>
        <v/>
      </c>
      <c r="BE349" s="31">
        <f t="shared" si="606"/>
        <v>716.82114710992005</v>
      </c>
      <c r="BF349" s="31">
        <f t="shared" si="607"/>
        <v>717.51471434434563</v>
      </c>
      <c r="BG349" s="31"/>
      <c r="BH349" s="31">
        <f t="shared" si="653"/>
        <v>717.51471434434563</v>
      </c>
    </row>
    <row r="350" spans="1:60" s="47" customFormat="1" x14ac:dyDescent="0.3">
      <c r="A350" s="1">
        <v>78585000</v>
      </c>
      <c r="B350" s="47">
        <f>VLOOKUP(C350,'NCES ID'!$A$2:$B$3136,2,FALSE)</f>
        <v>400876</v>
      </c>
      <c r="C350" s="47">
        <f>VLOOKUP(A350,'State ID'!$A$2:$B$713,2,FALSE)</f>
        <v>90884</v>
      </c>
      <c r="D350" s="147" t="s">
        <v>719</v>
      </c>
      <c r="E350" s="47" t="s">
        <v>7</v>
      </c>
      <c r="H350" s="4"/>
      <c r="I350" s="47">
        <f>VLOOKUP($C350,'Final SEA Counts'!$A$2:$F$709,5,FALSE)</f>
        <v>278</v>
      </c>
      <c r="J350" s="47">
        <f>VLOOKUP($C350,'Final SEA Counts'!$A$2:$F$709,6,FALSE)</f>
        <v>270</v>
      </c>
      <c r="K350" s="24">
        <f t="shared" si="602"/>
        <v>278</v>
      </c>
      <c r="L350" s="24">
        <f t="shared" si="788"/>
        <v>133.4181191554666</v>
      </c>
      <c r="M350" s="4">
        <f t="shared" si="649"/>
        <v>0.47992129192613886</v>
      </c>
      <c r="N350" s="31"/>
      <c r="O350" s="31"/>
      <c r="P350" s="31"/>
      <c r="Q350" s="31"/>
      <c r="R350" s="31"/>
      <c r="S350" s="31">
        <f t="shared" si="789"/>
        <v>64318.393272593064</v>
      </c>
      <c r="T350" s="31">
        <f t="shared" si="790"/>
        <v>13256.403420108893</v>
      </c>
      <c r="U350" s="31">
        <f t="shared" si="791"/>
        <v>37512.699578268926</v>
      </c>
      <c r="V350" s="31">
        <f t="shared" si="792"/>
        <v>34900.044986778063</v>
      </c>
      <c r="W350" s="31">
        <f t="shared" si="776"/>
        <v>64318.393272593064</v>
      </c>
      <c r="X350" s="31">
        <f t="shared" si="777"/>
        <v>13256.403420108893</v>
      </c>
      <c r="Y350" s="31">
        <f t="shared" si="778"/>
        <v>37512.699578268926</v>
      </c>
      <c r="Z350" s="31">
        <f t="shared" si="779"/>
        <v>34900.044986778063</v>
      </c>
      <c r="AA350" s="31">
        <f t="shared" si="793"/>
        <v>64343.1430150741</v>
      </c>
      <c r="AB350" s="31">
        <f t="shared" si="794"/>
        <v>13843.67019513854</v>
      </c>
      <c r="AC350" s="31">
        <f t="shared" si="795"/>
        <v>37552.568147869024</v>
      </c>
      <c r="AD350" s="31">
        <f t="shared" si="796"/>
        <v>34937.136822029708</v>
      </c>
      <c r="AE350" s="31">
        <f t="shared" si="780"/>
        <v>150676.51818011136</v>
      </c>
      <c r="AF350" s="31">
        <f>IFERROR(VLOOKUP(A350,'Allocations By Type'!$D$7:$F$491,3,FALSE),"")</f>
        <v>24231.38</v>
      </c>
      <c r="AG350" s="31">
        <f t="shared" si="781"/>
        <v>6027.0607272044545</v>
      </c>
      <c r="AH350" s="31">
        <f t="shared" si="782"/>
        <v>6027.0607272044545</v>
      </c>
      <c r="AI350" s="31">
        <f t="shared" si="783"/>
        <v>144649.45745290691</v>
      </c>
      <c r="AJ350" s="31">
        <f>AI350/$AI$577*'State Admin 1004(b)'!$B$30*0.01</f>
        <v>1376.5564587938586</v>
      </c>
      <c r="AK350" s="31">
        <f t="shared" si="784"/>
        <v>143272.90099411304</v>
      </c>
      <c r="AL350" s="31">
        <f t="shared" si="785"/>
        <v>1432.7290099411305</v>
      </c>
      <c r="AM350" s="31">
        <f t="shared" si="786"/>
        <v>141840.1719841719</v>
      </c>
      <c r="AP350" s="31"/>
      <c r="AQ350" s="4">
        <f t="shared" si="603"/>
        <v>5.8535738362475396</v>
      </c>
      <c r="AR350" s="4"/>
      <c r="AS350" s="4"/>
      <c r="AT350" s="4"/>
      <c r="AW350" s="31">
        <f t="shared" si="797"/>
        <v>141385.42715530167</v>
      </c>
      <c r="AX350" s="4">
        <f t="shared" si="604"/>
        <v>5.8348070623836392</v>
      </c>
      <c r="AZ350" s="174"/>
      <c r="BA350" s="31"/>
      <c r="BB350" s="31">
        <f t="shared" si="651"/>
        <v>141385.42715530167</v>
      </c>
      <c r="BD350" s="31" t="str">
        <f>IFERROR(VLOOKUP(A350,'Title II Hold Harmless'!A$1:B$439,2, FALSE),"")</f>
        <v/>
      </c>
      <c r="BE350" s="31">
        <f t="shared" si="606"/>
        <v>1970.2672764839394</v>
      </c>
      <c r="BF350" s="31">
        <f t="shared" si="607"/>
        <v>1972.1736276449503</v>
      </c>
      <c r="BG350" s="31"/>
      <c r="BH350" s="31">
        <f t="shared" si="653"/>
        <v>1972.1736276449503</v>
      </c>
    </row>
    <row r="351" spans="1:60" s="47" customFormat="1" x14ac:dyDescent="0.3">
      <c r="A351" s="1">
        <v>78263000</v>
      </c>
      <c r="B351" s="47" t="e">
        <f>VLOOKUP(C351,'NCES ID'!$A$2:$B$3136,2,FALSE)</f>
        <v>#N/A</v>
      </c>
      <c r="C351" s="47">
        <f>VLOOKUP(A351,'State ID'!$A$2:$B$713,2,FALSE)</f>
        <v>92596</v>
      </c>
      <c r="D351" s="147" t="s">
        <v>679</v>
      </c>
      <c r="E351" s="47" t="s">
        <v>7</v>
      </c>
      <c r="H351" s="4"/>
      <c r="I351" s="47">
        <f>VLOOKUP($C351,'Final SEA Counts'!$A$2:$F$709,5,FALSE)</f>
        <v>36</v>
      </c>
      <c r="J351" s="47">
        <f>VLOOKUP($C351,'Final SEA Counts'!$A$2:$F$709,6,FALSE)</f>
        <v>32</v>
      </c>
      <c r="K351" s="24">
        <f t="shared" si="602"/>
        <v>36</v>
      </c>
      <c r="L351" s="24">
        <f t="shared" si="788"/>
        <v>15.812517825833078</v>
      </c>
      <c r="M351" s="4">
        <f t="shared" si="649"/>
        <v>0.43923660627314104</v>
      </c>
      <c r="N351" s="31"/>
      <c r="O351" s="31"/>
      <c r="P351" s="31"/>
      <c r="Q351" s="31"/>
      <c r="R351" s="31"/>
      <c r="S351" s="31">
        <f t="shared" si="789"/>
        <v>7622.9206841591777</v>
      </c>
      <c r="T351" s="31">
        <f t="shared" si="790"/>
        <v>1571.1292942351279</v>
      </c>
      <c r="U351" s="31">
        <f t="shared" si="791"/>
        <v>4445.9495796466872</v>
      </c>
      <c r="V351" s="31">
        <f t="shared" si="792"/>
        <v>4136.3016280625852</v>
      </c>
      <c r="W351" s="31">
        <f t="shared" si="776"/>
        <v>7622.9206841591777</v>
      </c>
      <c r="X351" s="31">
        <f t="shared" si="777"/>
        <v>1571.1292942351279</v>
      </c>
      <c r="Y351" s="31">
        <f t="shared" si="778"/>
        <v>4445.9495796466872</v>
      </c>
      <c r="Z351" s="31">
        <f t="shared" si="779"/>
        <v>4136.3016280625852</v>
      </c>
      <c r="AA351" s="31">
        <f t="shared" si="793"/>
        <v>7647.670426640213</v>
      </c>
      <c r="AB351" s="31">
        <f t="shared" si="794"/>
        <v>2158.3960692647761</v>
      </c>
      <c r="AC351" s="31">
        <f t="shared" si="795"/>
        <v>4485.8181492467838</v>
      </c>
      <c r="AD351" s="31">
        <f t="shared" si="796"/>
        <v>4173.3934633142298</v>
      </c>
      <c r="AE351" s="31">
        <f t="shared" si="780"/>
        <v>18465.278108466006</v>
      </c>
      <c r="AF351" s="31">
        <f>IFERROR(VLOOKUP(A351,'Allocations By Type'!$D$7:$F$491,3,FALSE),"")</f>
        <v>17158.75</v>
      </c>
      <c r="AG351" s="31">
        <f t="shared" si="781"/>
        <v>738.61112433864025</v>
      </c>
      <c r="AH351" s="31">
        <f t="shared" si="782"/>
        <v>738.61112433864025</v>
      </c>
      <c r="AI351" s="31">
        <f t="shared" si="783"/>
        <v>17726.666984127365</v>
      </c>
      <c r="AJ351" s="31">
        <f>AI351/$AI$577*'State Admin 1004(b)'!$B$30*0.01</f>
        <v>168.69581372493417</v>
      </c>
      <c r="AK351" s="31">
        <f t="shared" si="784"/>
        <v>17557.97117040243</v>
      </c>
      <c r="AL351" s="31">
        <f t="shared" si="785"/>
        <v>175.57971170402431</v>
      </c>
      <c r="AM351" s="31">
        <f t="shared" si="786"/>
        <v>17382.391458698406</v>
      </c>
      <c r="AP351" s="31"/>
      <c r="AQ351" s="4">
        <f t="shared" si="603"/>
        <v>1.0130336684606049</v>
      </c>
      <c r="AR351" s="4"/>
      <c r="AS351" s="4"/>
      <c r="AT351" s="4"/>
      <c r="AW351" s="31">
        <f t="shared" si="797"/>
        <v>17326.662869832038</v>
      </c>
      <c r="AX351" s="4">
        <f t="shared" si="604"/>
        <v>1.009785845112962</v>
      </c>
      <c r="AZ351" s="174"/>
      <c r="BA351" s="31"/>
      <c r="BB351" s="31">
        <f t="shared" si="651"/>
        <v>17326.662869832038</v>
      </c>
      <c r="BD351" s="31" t="str">
        <f>IFERROR(VLOOKUP(A351,'Title II Hold Harmless'!A$1:B$439,2, FALSE),"")</f>
        <v/>
      </c>
      <c r="BE351" s="31">
        <f t="shared" si="606"/>
        <v>235.96928811713798</v>
      </c>
      <c r="BF351" s="31">
        <f t="shared" si="607"/>
        <v>236.19760248429722</v>
      </c>
      <c r="BG351" s="31"/>
      <c r="BH351" s="31">
        <f t="shared" si="653"/>
        <v>236.19760248429722</v>
      </c>
    </row>
    <row r="352" spans="1:60" s="47" customFormat="1" x14ac:dyDescent="0.3">
      <c r="A352" s="1">
        <v>78256000</v>
      </c>
      <c r="B352" s="47" t="e">
        <f>VLOOKUP(C352,'NCES ID'!$A$2:$B$3136,2,FALSE)</f>
        <v>#N/A</v>
      </c>
      <c r="C352" s="47">
        <v>92381</v>
      </c>
      <c r="D352" s="147" t="s">
        <v>1254</v>
      </c>
      <c r="E352" s="47" t="s">
        <v>7</v>
      </c>
      <c r="H352" s="4"/>
      <c r="I352" s="47">
        <f>VLOOKUP($C352,'Final SEA Counts'!$A$2:$F$709,5,FALSE)</f>
        <v>174</v>
      </c>
      <c r="J352" s="47">
        <f>VLOOKUP($C352,'Final SEA Counts'!$A$2:$F$709,6,FALSE)</f>
        <v>167</v>
      </c>
      <c r="K352" s="24">
        <f t="shared" si="602"/>
        <v>174</v>
      </c>
      <c r="L352" s="24">
        <f t="shared" si="788"/>
        <v>82.521577403566383</v>
      </c>
      <c r="M352" s="4">
        <f t="shared" si="649"/>
        <v>0.47426193910095621</v>
      </c>
      <c r="N352" s="31"/>
      <c r="O352" s="31"/>
      <c r="P352" s="31"/>
      <c r="Q352" s="31"/>
      <c r="R352" s="31"/>
      <c r="S352" s="31">
        <f t="shared" si="789"/>
        <v>39782.117320455713</v>
      </c>
      <c r="T352" s="31">
        <f t="shared" si="790"/>
        <v>8199.3310042895755</v>
      </c>
      <c r="U352" s="31">
        <f t="shared" si="791"/>
        <v>23202.299368781154</v>
      </c>
      <c r="V352" s="31">
        <f t="shared" si="792"/>
        <v>21586.324121451617</v>
      </c>
      <c r="W352" s="31">
        <f t="shared" si="776"/>
        <v>39782.117320455713</v>
      </c>
      <c r="X352" s="31">
        <f t="shared" si="777"/>
        <v>8199.3310042895755</v>
      </c>
      <c r="Y352" s="31">
        <f t="shared" si="778"/>
        <v>23202.299368781154</v>
      </c>
      <c r="Z352" s="31">
        <f t="shared" si="779"/>
        <v>21586.324121451617</v>
      </c>
      <c r="AA352" s="31">
        <f t="shared" si="793"/>
        <v>39806.867062936748</v>
      </c>
      <c r="AB352" s="31">
        <f t="shared" si="794"/>
        <v>8786.5977793192233</v>
      </c>
      <c r="AC352" s="31">
        <f t="shared" si="795"/>
        <v>23242.167938381252</v>
      </c>
      <c r="AD352" s="31">
        <f t="shared" si="796"/>
        <v>21623.415956703262</v>
      </c>
      <c r="AE352" s="31">
        <f t="shared" si="780"/>
        <v>93459.048737340476</v>
      </c>
      <c r="AF352" s="31">
        <f>IFERROR(VLOOKUP(A352,'Allocations By Type'!$D$7:$F$491,3,FALSE),"")</f>
        <v>83606.929999999993</v>
      </c>
      <c r="AG352" s="31">
        <f t="shared" si="781"/>
        <v>3738.3619494936192</v>
      </c>
      <c r="AH352" s="31">
        <f t="shared" si="782"/>
        <v>3738.3619494936192</v>
      </c>
      <c r="AI352" s="31">
        <f t="shared" si="783"/>
        <v>89720.686787846862</v>
      </c>
      <c r="AJ352" s="31">
        <f>AI352/$AI$577*'State Admin 1004(b)'!$B$30*0.01</f>
        <v>853.82685189428207</v>
      </c>
      <c r="AK352" s="31">
        <f t="shared" si="784"/>
        <v>88866.859935952583</v>
      </c>
      <c r="AL352" s="31">
        <f t="shared" si="785"/>
        <v>888.66859935952584</v>
      </c>
      <c r="AM352" s="31">
        <f t="shared" si="786"/>
        <v>87978.191336593052</v>
      </c>
      <c r="AP352" s="31"/>
      <c r="AQ352" s="4">
        <f t="shared" si="603"/>
        <v>1.0522834810056183</v>
      </c>
      <c r="AR352" s="4"/>
      <c r="AS352" s="4"/>
      <c r="AT352" s="4"/>
      <c r="AW352" s="31">
        <f t="shared" si="797"/>
        <v>87696.130006548017</v>
      </c>
      <c r="AX352" s="4">
        <f t="shared" si="604"/>
        <v>1.0489098213096453</v>
      </c>
      <c r="AZ352" s="174"/>
      <c r="BA352" s="31"/>
      <c r="BB352" s="31">
        <f t="shared" si="651"/>
        <v>87696.130006548017</v>
      </c>
      <c r="BD352" s="31" t="str">
        <f>IFERROR(VLOOKUP(A352,'Title II Hold Harmless'!A$1:B$439,2, FALSE),"")</f>
        <v/>
      </c>
      <c r="BE352" s="31">
        <f t="shared" si="606"/>
        <v>1220.2981266696161</v>
      </c>
      <c r="BF352" s="31">
        <f t="shared" si="607"/>
        <v>1221.4788379255567</v>
      </c>
      <c r="BG352" s="31"/>
      <c r="BH352" s="31">
        <f t="shared" si="653"/>
        <v>1221.4788379255567</v>
      </c>
    </row>
    <row r="353" spans="1:60" s="47" customFormat="1" x14ac:dyDescent="0.3">
      <c r="A353" s="1">
        <v>78270000</v>
      </c>
      <c r="B353" s="47" t="e">
        <f>VLOOKUP(C353,'NCES ID'!$A$2:$B$3136,2,FALSE)</f>
        <v>#N/A</v>
      </c>
      <c r="C353" s="47">
        <v>92768</v>
      </c>
      <c r="D353" s="192" t="s">
        <v>827</v>
      </c>
      <c r="E353" s="47" t="s">
        <v>7</v>
      </c>
      <c r="H353" s="4"/>
      <c r="I353" s="47">
        <f>VLOOKUP($C353,'AzEDS FY17 12-04-16'!$A$1:$D$712,3,FALSE)</f>
        <v>572</v>
      </c>
      <c r="J353" s="47">
        <f>VLOOKUP($C353,'AzEDS FY17 12-04-16'!$A$1:$D$712,4,FALSE)</f>
        <v>528</v>
      </c>
      <c r="K353" s="24">
        <f t="shared" si="602"/>
        <v>572</v>
      </c>
      <c r="L353" s="24">
        <f t="shared" si="788"/>
        <v>260.90654412624576</v>
      </c>
      <c r="M353" s="4">
        <f t="shared" si="649"/>
        <v>0.45613032189903108</v>
      </c>
      <c r="N353" s="31"/>
      <c r="O353" s="31"/>
      <c r="P353" s="31"/>
      <c r="Q353" s="31"/>
      <c r="R353" s="31"/>
      <c r="S353" s="31">
        <f t="shared" si="789"/>
        <v>125778.19128862642</v>
      </c>
      <c r="T353" s="31">
        <f t="shared" si="790"/>
        <v>25923.63335487961</v>
      </c>
      <c r="U353" s="31">
        <f t="shared" si="791"/>
        <v>73358.168064170342</v>
      </c>
      <c r="V353" s="31">
        <f t="shared" si="792"/>
        <v>68248.976863032643</v>
      </c>
      <c r="W353" s="31">
        <f t="shared" si="776"/>
        <v>125778.19128862642</v>
      </c>
      <c r="X353" s="31">
        <f t="shared" si="777"/>
        <v>25923.63335487961</v>
      </c>
      <c r="Y353" s="31">
        <f t="shared" si="778"/>
        <v>73358.168064170342</v>
      </c>
      <c r="Z353" s="31">
        <f t="shared" si="779"/>
        <v>68248.976863032643</v>
      </c>
      <c r="AA353" s="31">
        <f t="shared" si="793"/>
        <v>125802.94103110745</v>
      </c>
      <c r="AB353" s="31">
        <f t="shared" si="794"/>
        <v>26510.90012990926</v>
      </c>
      <c r="AC353" s="31">
        <f t="shared" si="795"/>
        <v>73398.036633770433</v>
      </c>
      <c r="AD353" s="31">
        <f t="shared" si="796"/>
        <v>68286.068698284289</v>
      </c>
      <c r="AE353" s="31">
        <f t="shared" si="780"/>
        <v>293997.94649307139</v>
      </c>
      <c r="AF353" s="31">
        <f>IFERROR(VLOOKUP(A353,'Allocations By Type'!$D$7:$F$491,3,FALSE),"")</f>
        <v>98307.520000000004</v>
      </c>
      <c r="AG353" s="31">
        <f t="shared" si="781"/>
        <v>11759.917859722857</v>
      </c>
      <c r="AH353" s="31">
        <f t="shared" si="782"/>
        <v>11759.917859722857</v>
      </c>
      <c r="AI353" s="31">
        <f t="shared" si="783"/>
        <v>282238.02863334853</v>
      </c>
      <c r="AJ353" s="31">
        <f>AI353/$AI$577*'State Admin 1004(b)'!$B$30*0.01</f>
        <v>2685.9179984063894</v>
      </c>
      <c r="AK353" s="31">
        <f t="shared" si="784"/>
        <v>279552.11063494213</v>
      </c>
      <c r="AL353" s="31">
        <f t="shared" si="785"/>
        <v>2795.5211063494212</v>
      </c>
      <c r="AM353" s="31">
        <f t="shared" si="786"/>
        <v>276756.58952859271</v>
      </c>
      <c r="AP353" s="31"/>
      <c r="AQ353" s="4">
        <f t="shared" si="603"/>
        <v>2.8152128090363044</v>
      </c>
      <c r="AR353" s="4"/>
      <c r="AS353" s="4"/>
      <c r="AT353" s="4"/>
      <c r="AW353" s="31">
        <f t="shared" si="797"/>
        <v>275869.29768324771</v>
      </c>
      <c r="AX353" s="4">
        <f t="shared" si="604"/>
        <v>2.8061871328179948</v>
      </c>
      <c r="AZ353" s="174"/>
      <c r="BA353" s="31"/>
      <c r="BB353" s="31">
        <f t="shared" si="651"/>
        <v>275869.29768324771</v>
      </c>
      <c r="BD353" s="31" t="str">
        <f>IFERROR(VLOOKUP(A353,'Title II Hold Harmless'!A$1:B$439,2, FALSE),"")</f>
        <v/>
      </c>
      <c r="BE353" s="31">
        <f t="shared" si="606"/>
        <v>3875.7876607639582</v>
      </c>
      <c r="BF353" s="31">
        <f t="shared" si="607"/>
        <v>3879.5377166041558</v>
      </c>
      <c r="BG353" s="31"/>
      <c r="BH353" s="31">
        <f t="shared" si="653"/>
        <v>3879.5377166041558</v>
      </c>
    </row>
    <row r="354" spans="1:60" s="47" customFormat="1" x14ac:dyDescent="0.3">
      <c r="A354" s="1"/>
      <c r="D354" s="191" t="s">
        <v>1411</v>
      </c>
      <c r="E354" s="47" t="s">
        <v>7</v>
      </c>
      <c r="H354" s="4"/>
      <c r="I354" s="24">
        <f>'AVA Metrics'!C9</f>
        <v>2097.8909049150207</v>
      </c>
      <c r="J354" s="24">
        <f>'AVA Metrics'!D9</f>
        <v>1097.6173633440515</v>
      </c>
      <c r="K354" s="24">
        <f t="shared" ref="K354" si="798">I354</f>
        <v>2097.8909049150207</v>
      </c>
      <c r="L354" s="24">
        <f t="shared" si="788"/>
        <v>542.37794136942864</v>
      </c>
      <c r="M354" s="4">
        <f t="shared" ref="M354" si="799">L354/K354</f>
        <v>0.25853486475332177</v>
      </c>
      <c r="N354" s="31"/>
      <c r="O354" s="31"/>
      <c r="P354" s="31"/>
      <c r="Q354" s="31"/>
      <c r="R354" s="31"/>
      <c r="S354" s="31">
        <f t="shared" si="789"/>
        <v>261470.31569773841</v>
      </c>
      <c r="T354" s="31">
        <f t="shared" si="790"/>
        <v>53890.587294092547</v>
      </c>
      <c r="U354" s="31">
        <f t="shared" si="791"/>
        <v>152498.48297413724</v>
      </c>
      <c r="V354" s="31">
        <f t="shared" si="792"/>
        <v>141877.39021843005</v>
      </c>
      <c r="W354" s="31">
        <f>S354</f>
        <v>261470.31569773841</v>
      </c>
      <c r="X354" s="31">
        <f>T354</f>
        <v>53890.587294092547</v>
      </c>
      <c r="Y354" s="31">
        <f>U354</f>
        <v>152498.48297413724</v>
      </c>
      <c r="Z354" s="31">
        <f>V354</f>
        <v>141877.39021843005</v>
      </c>
      <c r="AA354" s="31">
        <f t="shared" si="793"/>
        <v>261495.06544021945</v>
      </c>
      <c r="AB354" s="31">
        <f t="shared" si="794"/>
        <v>54477.854069122193</v>
      </c>
      <c r="AC354" s="31">
        <f t="shared" si="795"/>
        <v>152538.35154373734</v>
      </c>
      <c r="AD354" s="31">
        <f t="shared" si="796"/>
        <v>141914.48205368168</v>
      </c>
      <c r="AE354" s="31">
        <f t="shared" ref="AE354" si="800">SUM(AA354:AD354)</f>
        <v>610425.75310676068</v>
      </c>
      <c r="AF354" s="31"/>
      <c r="AG354" s="31"/>
      <c r="AH354" s="31"/>
      <c r="AI354" s="31"/>
      <c r="AJ354" s="31"/>
      <c r="AK354" s="31"/>
      <c r="AL354" s="31"/>
      <c r="AM354" s="31"/>
      <c r="AP354" s="31"/>
      <c r="AQ354" s="4"/>
      <c r="AR354" s="4"/>
      <c r="AS354" s="4"/>
      <c r="AT354" s="4"/>
      <c r="AW354" s="31"/>
      <c r="AX354" s="4"/>
      <c r="AZ354" s="174"/>
      <c r="BA354" s="31"/>
      <c r="BB354" s="31"/>
      <c r="BD354" s="31"/>
      <c r="BE354" s="31"/>
      <c r="BF354" s="31"/>
      <c r="BG354" s="31"/>
      <c r="BH354" s="31"/>
    </row>
    <row r="355" spans="1:60" x14ac:dyDescent="0.3">
      <c r="A355" s="1"/>
      <c r="D355" s="147" t="s">
        <v>878</v>
      </c>
      <c r="K355" s="24">
        <f>SUM(K176:K354)</f>
        <v>71418.890904915024</v>
      </c>
      <c r="L355" s="24">
        <f>SUM(L176:L354)</f>
        <v>21751.41161645011</v>
      </c>
      <c r="S355" s="31">
        <f>SUM(S176:S354)</f>
        <v>10485950.899597615</v>
      </c>
      <c r="T355" s="31">
        <f t="shared" ref="T355:V355" si="801">SUM(T176:T354)</f>
        <v>2161216.8509774017</v>
      </c>
      <c r="U355" s="31">
        <f t="shared" si="801"/>
        <v>6115767.2925996222</v>
      </c>
      <c r="V355" s="31">
        <f t="shared" si="801"/>
        <v>5689821.2082832474</v>
      </c>
      <c r="BE355" s="31"/>
    </row>
    <row r="356" spans="1:60" x14ac:dyDescent="0.3">
      <c r="A356" s="1" t="s">
        <v>880</v>
      </c>
      <c r="B356">
        <f>G356/J356</f>
        <v>0.49414118205728369</v>
      </c>
      <c r="D356" s="147" t="s">
        <v>879</v>
      </c>
      <c r="F356">
        <f>SUM(F120:F354)</f>
        <v>750835</v>
      </c>
      <c r="G356" s="47">
        <f>SUM(G120:G354)</f>
        <v>176384</v>
      </c>
      <c r="I356" s="24">
        <f>SUM(I120:I354)</f>
        <v>635249.89090491505</v>
      </c>
      <c r="J356" s="24">
        <f t="shared" ref="J356:L356" si="802">SUM(J120:J354)</f>
        <v>356950.61736334406</v>
      </c>
      <c r="K356" s="24">
        <f t="shared" si="802"/>
        <v>750835.00000000012</v>
      </c>
      <c r="L356" s="24">
        <f t="shared" si="802"/>
        <v>176384.00000000003</v>
      </c>
      <c r="N356" s="31">
        <f>SUM(N120:N354)</f>
        <v>85031445.135075748</v>
      </c>
      <c r="O356" s="31">
        <f t="shared" ref="O356:AE356" si="803">SUM(O120:O354)</f>
        <v>17525486.610464502</v>
      </c>
      <c r="P356" s="31">
        <f t="shared" si="803"/>
        <v>49593263.975662038</v>
      </c>
      <c r="Q356" s="31">
        <f t="shared" si="803"/>
        <v>46139231.866810784</v>
      </c>
      <c r="R356" s="31">
        <f t="shared" si="803"/>
        <v>198289427.58801299</v>
      </c>
      <c r="S356" s="31">
        <f t="shared" si="803"/>
        <v>85031445.135075808</v>
      </c>
      <c r="T356" s="31">
        <f t="shared" si="803"/>
        <v>17525486.610464513</v>
      </c>
      <c r="U356" s="31">
        <f t="shared" si="803"/>
        <v>49593263.975662</v>
      </c>
      <c r="V356" s="31">
        <f t="shared" si="803"/>
        <v>46139231.866810784</v>
      </c>
      <c r="W356" s="31">
        <f t="shared" si="803"/>
        <v>85025727.944562688</v>
      </c>
      <c r="X356" s="31">
        <f t="shared" si="803"/>
        <v>17404509.654808406</v>
      </c>
      <c r="Y356" s="31">
        <f t="shared" si="803"/>
        <v>49584094.204653978</v>
      </c>
      <c r="Z356" s="31">
        <f t="shared" si="803"/>
        <v>46130700.744702905</v>
      </c>
      <c r="AA356" s="31">
        <f t="shared" si="803"/>
        <v>85031445.135075703</v>
      </c>
      <c r="AB356" s="31">
        <f t="shared" si="803"/>
        <v>17525486.610464517</v>
      </c>
      <c r="AC356" s="31">
        <f t="shared" si="803"/>
        <v>49593263.975662068</v>
      </c>
      <c r="AD356" s="31">
        <f t="shared" si="803"/>
        <v>46139231.866810806</v>
      </c>
      <c r="AE356" s="31">
        <f t="shared" si="803"/>
        <v>198289427.58801299</v>
      </c>
      <c r="AF356" s="31"/>
      <c r="AK356" s="31">
        <f>SUM(AK120:AK353)</f>
        <v>189281587.91512713</v>
      </c>
      <c r="AL356" s="31"/>
      <c r="AM356" s="31">
        <f>SUM(AM120:AM353)</f>
        <v>187388772.03597555</v>
      </c>
      <c r="AU356" s="31">
        <f>SUM(AU120:AU353)</f>
        <v>554580.53862800915</v>
      </c>
      <c r="AV356" s="31">
        <f>SUM(AV120:AV353)</f>
        <v>14963267.955499999</v>
      </c>
      <c r="AW356" s="31">
        <f>SUM(AW120:AW353)</f>
        <v>187388772.03597584</v>
      </c>
    </row>
    <row r="357" spans="1:60" x14ac:dyDescent="0.3">
      <c r="A357" s="1"/>
      <c r="N357" s="31">
        <f>N356/$L356</f>
        <v>482.08139703757558</v>
      </c>
      <c r="O357" s="31">
        <f>O356/$L356</f>
        <v>99.359843355772057</v>
      </c>
      <c r="P357" s="31">
        <f>P356/$L356</f>
        <v>281.16645486927405</v>
      </c>
      <c r="Q357" s="31">
        <f>Q356/$L356</f>
        <v>261.58399779351174</v>
      </c>
      <c r="R357" s="31" t="str">
        <f>IFERROR(VLOOKUP($B357,#REF!,12,FALSE),"")</f>
        <v/>
      </c>
      <c r="W357" s="31">
        <f>(S356-W356)/COUNT(W120:W354)</f>
        <v>24.749742481035071</v>
      </c>
      <c r="X357" s="31">
        <f t="shared" ref="X357:Z357" si="804">(T356-X356)/COUNT(X120:X354)</f>
        <v>587.2667750296481</v>
      </c>
      <c r="Y357" s="31">
        <f t="shared" si="804"/>
        <v>39.868569600096215</v>
      </c>
      <c r="Z357" s="31">
        <f t="shared" si="804"/>
        <v>37.091835251644902</v>
      </c>
    </row>
    <row r="358" spans="1:60" x14ac:dyDescent="0.3">
      <c r="A358" s="1"/>
      <c r="N358" s="31" t="str">
        <f>IFERROR(VLOOKUP($B358,#REF!,8,FALSE),"")</f>
        <v/>
      </c>
      <c r="O358" s="31" t="str">
        <f>IFERROR(VLOOKUP($B358,#REF!,9,FALSE),"")</f>
        <v/>
      </c>
      <c r="P358" s="31" t="str">
        <f>IFERROR(VLOOKUP($B358,#REF!,10,FALSE),"")</f>
        <v/>
      </c>
      <c r="Q358" s="31" t="str">
        <f>IFERROR(VLOOKUP($B358,#REF!,11,FALSE),"")</f>
        <v/>
      </c>
      <c r="R358" s="31" t="str">
        <f>IFERROR(VLOOKUP($B358,#REF!,12,FALSE),"")</f>
        <v/>
      </c>
    </row>
    <row r="359" spans="1:60" x14ac:dyDescent="0.3">
      <c r="A359" s="1">
        <v>80313000</v>
      </c>
      <c r="B359">
        <f>VLOOKUP(C359,'NCES ID'!$A$2:$B$3136,2,FALSE)</f>
        <v>409570</v>
      </c>
      <c r="C359">
        <f>VLOOKUP(A359,'State ID'!$A$2:$B$713,2,FALSE)</f>
        <v>4377</v>
      </c>
      <c r="D359" s="147" t="s">
        <v>451</v>
      </c>
      <c r="E359" t="s">
        <v>5</v>
      </c>
      <c r="F359" s="47">
        <f>VLOOKUP(B359,'Formula counts'!$D$9:$L$234,9,FALSE)</f>
        <v>49</v>
      </c>
      <c r="G359" s="47">
        <f>VLOOKUP(B359,'Formula counts'!$D$9:$K$234,8,FALSE)</f>
        <v>10</v>
      </c>
      <c r="H359" s="4">
        <f>VLOOKUP(B359,'Formula counts'!$D$9:$M$234,10,FALSE)</f>
        <v>0.20408163265306123</v>
      </c>
      <c r="I359" s="47">
        <f>VLOOKUP($C359,'Final SEA Counts'!$A$2:$F$709,5,FALSE)</f>
        <v>22</v>
      </c>
      <c r="J359" s="47">
        <f>VLOOKUP($C359,'Final SEA Counts'!$A$2:$F$709,6,FALSE)</f>
        <v>19</v>
      </c>
      <c r="K359" s="24">
        <f t="shared" ref="K359:K371" si="805">F359-(F359/F$380)*K$379</f>
        <v>42.853514170422315</v>
      </c>
      <c r="L359" s="24">
        <f t="shared" ref="L359:L371" si="806">G359-(G359/G$380)*L$379</f>
        <v>8.8775108733792862</v>
      </c>
      <c r="M359" s="4">
        <f t="shared" ref="M359:M377" si="807">L359/K359</f>
        <v>0.20715946043712288</v>
      </c>
      <c r="N359" s="31">
        <f>IFERROR(VLOOKUP($B359,Allocation!$D$10:$O$235,8,FALSE),"")</f>
        <v>7343.619706400279</v>
      </c>
      <c r="O359" s="31">
        <f>IFERROR(VLOOKUP($B359,Allocation!$D$10:$O$235,9,FALSE),"")</f>
        <v>1791.0777545418489</v>
      </c>
      <c r="P359" s="31">
        <f>IFERROR(VLOOKUP($B359,Allocation!$D$10:$O$235,10,FALSE),"")</f>
        <v>4448.1614343127285</v>
      </c>
      <c r="Q359" s="31">
        <f>IFERROR(VLOOKUP($B359,Allocation!$D$10:$O$235,11,FALSE),"")</f>
        <v>4841.7484827720218</v>
      </c>
      <c r="R359" s="31">
        <f>IFERROR(VLOOKUP($B359,Allocation!$D$10:$O$235,12,FALSE),"")</f>
        <v>18424.607378026878</v>
      </c>
      <c r="S359" s="31">
        <f t="shared" ref="S359:S371" si="808">IF(N359=0,"",N359-(N359/N$380)*S$379)</f>
        <v>6519.3063793530882</v>
      </c>
      <c r="T359" s="31">
        <f t="shared" ref="T359:T371" si="809">IF(O359=0,"",O359-(O359/O$380)*T$379)</f>
        <v>1590.0312241013021</v>
      </c>
      <c r="U359" s="31">
        <f t="shared" ref="U359:U371" si="810">IF(P359=0,"",P359-(P359/P$380)*U$379)</f>
        <v>3948.8601499657648</v>
      </c>
      <c r="V359" s="31">
        <f t="shared" ref="V359:V371" si="811">IF(Q359=0,"",Q359-(Q359/Q$380)*V$379)</f>
        <v>4298.2674801976282</v>
      </c>
      <c r="W359" s="31">
        <f t="shared" ref="W359:W370" si="812">IF(S359="0","",S359)</f>
        <v>6519.3063793530882</v>
      </c>
      <c r="X359" s="31">
        <f t="shared" ref="X359:X370" si="813">IF(T359="0","",T359)</f>
        <v>1590.0312241013021</v>
      </c>
      <c r="Y359" s="31">
        <f t="shared" ref="Y359:Y370" si="814">IF(U359="0","",U359)</f>
        <v>3948.8601499657648</v>
      </c>
      <c r="Z359" s="31">
        <f t="shared" ref="Z359:Z370" si="815">IF(V359="0","",V359)</f>
        <v>4298.2674801976282</v>
      </c>
      <c r="AA359" s="31">
        <f t="shared" ref="AA359:AA378" si="816">IF(W359="","",W359+W$381)</f>
        <v>6739.7200204468772</v>
      </c>
      <c r="AB359" s="31">
        <f t="shared" ref="AB359:AB378" si="817">IF(X359="","",X359+X$381)</f>
        <v>1642.3025153624549</v>
      </c>
      <c r="AC359" s="31">
        <f t="shared" ref="AC359:AC378" si="818">IF(Y359="","",Y359+Y$381)</f>
        <v>4041.5018447956377</v>
      </c>
      <c r="AD359" s="31">
        <f t="shared" ref="AD359:AD378" si="819">IF(Z359="","",Z359+Z$381)</f>
        <v>4370.3465811816541</v>
      </c>
      <c r="AE359" s="31">
        <f t="shared" ref="AE359:AE377" si="820">SUM(AA359:AD359)</f>
        <v>16793.870961786623</v>
      </c>
      <c r="AF359" s="31">
        <f>IFERROR(VLOOKUP(A359,'Allocations By Type'!$D$7:$F$491,3,FALSE),"")</f>
        <v>22121.7</v>
      </c>
      <c r="AG359" s="31" t="str">
        <f t="shared" ref="AG359:AG377" si="821">IF(AE359&gt;AF359,AE359*0.04,"")</f>
        <v/>
      </c>
      <c r="AH359" s="31" t="str">
        <f t="shared" ref="AH359:AH377" si="822">IF(AG359="","",IF((AE359-AF359)&gt;AG359,AG359,AE359-AF359))</f>
        <v/>
      </c>
      <c r="AI359" s="31">
        <f t="shared" ref="AI359:AI377" si="823">IF(AH359="",AE359,AE359-AH359)</f>
        <v>16793.870961786623</v>
      </c>
      <c r="AJ359" s="31">
        <f>AI359/$AI$577*'State Admin 1004(b)'!$B$30*0.01</f>
        <v>159.81886104290692</v>
      </c>
      <c r="AK359" s="31">
        <f t="shared" ref="AK359:AK377" si="824">AI359-AJ359</f>
        <v>16634.052100743716</v>
      </c>
      <c r="AL359" s="31">
        <f t="shared" ref="AL359:AL377" si="825">AK359*0.01</f>
        <v>166.34052100743716</v>
      </c>
      <c r="AM359" s="31">
        <f t="shared" ref="AM359:AM377" si="826">AK359-AL359</f>
        <v>16467.711579736279</v>
      </c>
      <c r="AP359" s="31"/>
      <c r="AQ359" s="4">
        <f t="shared" ref="AQ359:AQ377" si="827">IFERROR(AM359/AF359,"")</f>
        <v>0.7444143795339544</v>
      </c>
      <c r="AR359" s="4">
        <f>VLOOKUP(B359,Allocation!$D$10:$P$235,13,FALSE)</f>
        <v>0.89999999999999991</v>
      </c>
      <c r="AS359" s="4">
        <f t="shared" ref="AS359:AS371" si="828">IF(M359&gt;0.3,0.95,IF(M359&gt;0.15,0.9,0.85))</f>
        <v>0.9</v>
      </c>
      <c r="AT359" s="4" t="str">
        <f t="shared" ref="AT359:AT371" si="829">IF(AQ359&lt;AS359,"Review","")</f>
        <v>Review</v>
      </c>
      <c r="AU359" s="31">
        <f t="shared" ref="AU359:AU371" si="830">IF(AT359="Review",AM359*AS359/AQ359-AM359,"")</f>
        <v>3441.8184202637203</v>
      </c>
      <c r="AV359" s="31">
        <f t="shared" ref="AV359:AV371" si="831">IF(AU359="","",AU359+AM359)</f>
        <v>19909.53</v>
      </c>
      <c r="AW359" s="31">
        <f t="shared" ref="AW359:AW377" si="832">IF(AV359="",AM359-AM359/($AM$380-$AV$380+$AU$380)*$AU$380,AV359)</f>
        <v>19909.53</v>
      </c>
      <c r="AX359" s="4">
        <f t="shared" ref="AX359" si="833">IFERROR(AW359/AF359,"")</f>
        <v>0.89999999999999991</v>
      </c>
      <c r="AY359" s="4" t="str">
        <f t="shared" ref="AY359" si="834">IF(AX359&lt;AS359,"Manual Adjustment","")</f>
        <v/>
      </c>
      <c r="AZ359" s="174" t="str">
        <f>IFERROR(IF(VLOOKUP(A359,#REF!,11,FALSE)=0,"",VLOOKUP(A359,#REF!,11,FALSE)),"")</f>
        <v/>
      </c>
      <c r="BA359" s="31" t="str">
        <f t="shared" ref="BA359:BA377" si="835">IF(AZ359&lt;0,AW359*AZ359/100,"")</f>
        <v/>
      </c>
      <c r="BB359" s="31">
        <f t="shared" ref="BB359:BB377" si="836">IF(BA359&lt;0,AW359+BA359,AW359)</f>
        <v>19909.53</v>
      </c>
      <c r="BD359" s="31">
        <f>IFERROR(VLOOKUP(A359,'Title II Hold Harmless'!A$1:B$439,2, FALSE),"")</f>
        <v>1625</v>
      </c>
      <c r="BE359" s="31">
        <f t="shared" ref="BE359:BE370" si="837">IFERROR($BD$582*(0.8*($L359/$L$579)+0.2*($K359/$K$579))+$BD359,$BD$582*(0.8*($L359/$L$579)+0.2*($K359/$K$579)))</f>
        <v>1775.7010863073406</v>
      </c>
      <c r="BF359" s="31">
        <f t="shared" ref="BF359:BF377" si="838">$BD$583*BE359</f>
        <v>1777.4191830690811</v>
      </c>
      <c r="BG359" s="31" t="str">
        <f t="shared" ref="BG359:BG377" si="839">IF(AZ359&lt;0,BF359*AZ359/100,"")</f>
        <v/>
      </c>
      <c r="BH359" s="31">
        <f t="shared" ref="BH359:BH377" si="840">IF(BG359&lt;0,BF359+BG359,BF359)</f>
        <v>1777.4191830690811</v>
      </c>
    </row>
    <row r="360" spans="1:60" x14ac:dyDescent="0.3">
      <c r="A360" s="1">
        <v>80306000</v>
      </c>
      <c r="B360">
        <f>VLOOKUP(C360,'NCES ID'!$A$2:$B$3136,2,FALSE)</f>
        <v>405730</v>
      </c>
      <c r="C360">
        <f>VLOOKUP(A360,'State ID'!$A$2:$B$713,2,FALSE)</f>
        <v>4373</v>
      </c>
      <c r="D360" s="147" t="s">
        <v>313</v>
      </c>
      <c r="E360" t="s">
        <v>5</v>
      </c>
      <c r="F360" s="47">
        <f>VLOOKUP(B360,'Formula counts'!$D$9:$L$234,9,FALSE)</f>
        <v>60</v>
      </c>
      <c r="G360" s="47">
        <f>VLOOKUP(B360,'Formula counts'!$D$9:$K$234,8,FALSE)</f>
        <v>10</v>
      </c>
      <c r="H360" s="4">
        <f>VLOOKUP(B360,'Formula counts'!$D$9:$M$234,10,FALSE)</f>
        <v>0.16666666666666666</v>
      </c>
      <c r="I360" s="47">
        <f>VLOOKUP($C360,'Final SEA Counts'!$A$2:$F$709,5,FALSE)</f>
        <v>16</v>
      </c>
      <c r="J360" s="47">
        <f>VLOOKUP($C360,'Final SEA Counts'!$A$2:$F$709,6,FALSE)</f>
        <v>14</v>
      </c>
      <c r="K360" s="24">
        <f t="shared" si="805"/>
        <v>52.473690820925285</v>
      </c>
      <c r="L360" s="24">
        <f t="shared" si="806"/>
        <v>8.8775108733792862</v>
      </c>
      <c r="M360" s="4">
        <f t="shared" si="807"/>
        <v>0.16918022602365035</v>
      </c>
      <c r="N360" s="31">
        <f>IFERROR(VLOOKUP($B360,Allocation!$D$10:$O$235,8,FALSE),"")</f>
        <v>9886.424313879601</v>
      </c>
      <c r="O360" s="31">
        <f>IFERROR(VLOOKUP($B360,Allocation!$D$10:$O$235,9,FALSE),"")</f>
        <v>2411.2570324303019</v>
      </c>
      <c r="P360" s="31">
        <f>IFERROR(VLOOKUP($B360,Allocation!$D$10:$O$235,10,FALSE),"")</f>
        <v>4042.7656750226997</v>
      </c>
      <c r="Q360" s="31">
        <f>IFERROR(VLOOKUP($B360,Allocation!$D$10:$O$235,11,FALSE),"")</f>
        <v>3622.1367199450947</v>
      </c>
      <c r="R360" s="31">
        <f>IFERROR(VLOOKUP($B360,Allocation!$D$10:$O$235,12,FALSE),"")</f>
        <v>19962.583741277696</v>
      </c>
      <c r="S360" s="31">
        <f t="shared" si="808"/>
        <v>8776.6839345307508</v>
      </c>
      <c r="T360" s="31">
        <f t="shared" si="809"/>
        <v>2140.5960523912277</v>
      </c>
      <c r="U360" s="31">
        <f t="shared" si="810"/>
        <v>3588.9696238538568</v>
      </c>
      <c r="V360" s="31">
        <f t="shared" si="811"/>
        <v>3215.5558116178963</v>
      </c>
      <c r="W360" s="31">
        <f t="shared" si="812"/>
        <v>8776.6839345307508</v>
      </c>
      <c r="X360" s="31">
        <f t="shared" si="813"/>
        <v>2140.5960523912277</v>
      </c>
      <c r="Y360" s="31">
        <f t="shared" si="814"/>
        <v>3588.9696238538568</v>
      </c>
      <c r="Z360" s="31">
        <f t="shared" si="815"/>
        <v>3215.5558116178963</v>
      </c>
      <c r="AA360" s="31">
        <f t="shared" si="816"/>
        <v>8997.0975756245389</v>
      </c>
      <c r="AB360" s="31">
        <f t="shared" si="817"/>
        <v>2192.8673436523804</v>
      </c>
      <c r="AC360" s="31">
        <f t="shared" si="818"/>
        <v>3681.6113186837297</v>
      </c>
      <c r="AD360" s="31">
        <f t="shared" si="819"/>
        <v>3287.6349126019227</v>
      </c>
      <c r="AE360" s="31">
        <f t="shared" si="820"/>
        <v>18159.211150562573</v>
      </c>
      <c r="AF360" s="31">
        <f>IFERROR(VLOOKUP(A360,'Allocations By Type'!$D$7:$F$491,3,FALSE),"")</f>
        <v>19255.32</v>
      </c>
      <c r="AG360" s="31" t="str">
        <f t="shared" si="821"/>
        <v/>
      </c>
      <c r="AH360" s="31" t="str">
        <f t="shared" si="822"/>
        <v/>
      </c>
      <c r="AI360" s="31">
        <f t="shared" si="823"/>
        <v>18159.211150562573</v>
      </c>
      <c r="AJ360" s="31">
        <f>AI360/$AI$577*'State Admin 1004(b)'!$B$30*0.01</f>
        <v>172.81211997664505</v>
      </c>
      <c r="AK360" s="31">
        <f t="shared" si="824"/>
        <v>17986.399030585926</v>
      </c>
      <c r="AL360" s="31">
        <f t="shared" si="825"/>
        <v>179.86399030585926</v>
      </c>
      <c r="AM360" s="31">
        <f t="shared" si="826"/>
        <v>17806.535040280069</v>
      </c>
      <c r="AP360" s="31"/>
      <c r="AQ360" s="4">
        <f t="shared" si="827"/>
        <v>0.92475923746165056</v>
      </c>
      <c r="AR360" s="4">
        <f>VLOOKUP(B360,Allocation!$D$10:$P$235,13,FALSE)</f>
        <v>0.9</v>
      </c>
      <c r="AS360" s="4">
        <f t="shared" si="828"/>
        <v>0.9</v>
      </c>
      <c r="AT360" s="4" t="str">
        <f t="shared" si="829"/>
        <v/>
      </c>
      <c r="AU360" s="31" t="str">
        <f t="shared" si="830"/>
        <v/>
      </c>
      <c r="AV360" s="31" t="str">
        <f t="shared" si="831"/>
        <v/>
      </c>
      <c r="AW360" s="31">
        <f t="shared" si="832"/>
        <v>17792.432600818895</v>
      </c>
      <c r="AX360" s="4">
        <f t="shared" ref="AX360:AX377" si="841">IFERROR(AW360/AF360,"")</f>
        <v>0.92402684561040249</v>
      </c>
      <c r="AY360" s="4" t="str">
        <f t="shared" ref="AY360:AY371" si="842">IF(AX360&lt;AS360,"Manual Adjustment","")</f>
        <v/>
      </c>
      <c r="AZ360" s="174" t="str">
        <f>IFERROR(IF(VLOOKUP(A360,#REF!,11,FALSE)=0,"",VLOOKUP(A360,#REF!,11,FALSE)),"")</f>
        <v/>
      </c>
      <c r="BA360" s="31" t="str">
        <f t="shared" si="835"/>
        <v/>
      </c>
      <c r="BB360" s="31">
        <f t="shared" si="836"/>
        <v>17792.432600818895</v>
      </c>
      <c r="BD360" s="31">
        <f>IFERROR(VLOOKUP(A360,'Title II Hold Harmless'!A$1:B$439,2, FALSE),"")</f>
        <v>1461</v>
      </c>
      <c r="BE360" s="31">
        <f t="shared" si="837"/>
        <v>1619.4434014885212</v>
      </c>
      <c r="BF360" s="31">
        <f t="shared" si="838"/>
        <v>1621.0103096158939</v>
      </c>
      <c r="BG360" s="31" t="str">
        <f t="shared" si="839"/>
        <v/>
      </c>
      <c r="BH360" s="31">
        <f t="shared" si="840"/>
        <v>1621.0103096158939</v>
      </c>
    </row>
    <row r="361" spans="1:60" x14ac:dyDescent="0.3">
      <c r="A361" s="1">
        <v>80303000</v>
      </c>
      <c r="B361">
        <f>VLOOKUP(C361,'NCES ID'!$A$2:$B$3136,2,FALSE)</f>
        <v>403660</v>
      </c>
      <c r="C361">
        <f>VLOOKUP(A361,'State ID'!$A$2:$B$713,2,FALSE)</f>
        <v>4371</v>
      </c>
      <c r="D361" s="147" t="s">
        <v>191</v>
      </c>
      <c r="E361" t="s">
        <v>5</v>
      </c>
      <c r="F361" s="47">
        <f>VLOOKUP(B361,'Formula counts'!$D$9:$L$234,9,FALSE)</f>
        <v>105</v>
      </c>
      <c r="G361" s="47">
        <f>VLOOKUP(B361,'Formula counts'!$D$9:$K$234,8,FALSE)</f>
        <v>29</v>
      </c>
      <c r="H361" s="4">
        <f>VLOOKUP(B361,'Formula counts'!$D$9:$M$234,10,FALSE)</f>
        <v>0.27619047619047621</v>
      </c>
      <c r="I361" s="47">
        <f>VLOOKUP($C361,'Final SEA Counts'!$A$2:$F$709,5,FALSE)</f>
        <v>38</v>
      </c>
      <c r="J361" s="47">
        <f>VLOOKUP($C361,'Final SEA Counts'!$A$2:$F$709,6,FALSE)</f>
        <v>38</v>
      </c>
      <c r="K361" s="24">
        <f t="shared" si="805"/>
        <v>91.828958936619244</v>
      </c>
      <c r="L361" s="24">
        <f t="shared" si="806"/>
        <v>25.74478153279993</v>
      </c>
      <c r="M361" s="4">
        <f t="shared" si="807"/>
        <v>0.28035580312490632</v>
      </c>
      <c r="N361" s="31">
        <f>IFERROR(VLOOKUP($B361,Allocation!$D$10:$O$235,8,FALSE),"")</f>
        <v>21316.896092189701</v>
      </c>
      <c r="O361" s="31">
        <f>IFERROR(VLOOKUP($B361,Allocation!$D$10:$O$235,9,FALSE),"")</f>
        <v>5199.1007041562016</v>
      </c>
      <c r="P361" s="31">
        <f>IFERROR(VLOOKUP($B361,Allocation!$D$10:$O$235,10,FALSE),"")</f>
        <v>7915.9814457321045</v>
      </c>
      <c r="Q361" s="31">
        <f>IFERROR(VLOOKUP($B361,Allocation!$D$10:$O$235,11,FALSE),"")</f>
        <v>7272.4264715040517</v>
      </c>
      <c r="R361" s="31">
        <f>IFERROR(VLOOKUP($B361,Allocation!$D$10:$O$235,12,FALSE),"")</f>
        <v>41704.404713582058</v>
      </c>
      <c r="S361" s="31">
        <f t="shared" si="808"/>
        <v>18924.097684511049</v>
      </c>
      <c r="T361" s="31">
        <f t="shared" si="809"/>
        <v>4615.5073032940581</v>
      </c>
      <c r="U361" s="31">
        <f t="shared" si="810"/>
        <v>7027.4211357955437</v>
      </c>
      <c r="V361" s="31">
        <f t="shared" si="811"/>
        <v>6456.1045076628579</v>
      </c>
      <c r="W361" s="31">
        <f t="shared" si="812"/>
        <v>18924.097684511049</v>
      </c>
      <c r="X361" s="31">
        <f t="shared" si="813"/>
        <v>4615.5073032940581</v>
      </c>
      <c r="Y361" s="31">
        <f t="shared" si="814"/>
        <v>7027.4211357955437</v>
      </c>
      <c r="Z361" s="31">
        <f t="shared" si="815"/>
        <v>6456.1045076628579</v>
      </c>
      <c r="AA361" s="31">
        <f t="shared" si="816"/>
        <v>19144.511325604839</v>
      </c>
      <c r="AB361" s="31">
        <f t="shared" si="817"/>
        <v>4667.7785945552114</v>
      </c>
      <c r="AC361" s="31">
        <f t="shared" si="818"/>
        <v>7120.0628306254166</v>
      </c>
      <c r="AD361" s="31">
        <f t="shared" si="819"/>
        <v>6528.1836086468838</v>
      </c>
      <c r="AE361" s="31">
        <f t="shared" si="820"/>
        <v>37460.53635943235</v>
      </c>
      <c r="AF361" s="31">
        <f>IFERROR(VLOOKUP(A361,'Allocations By Type'!$D$7:$F$491,3,FALSE),"")</f>
        <v>44783.18</v>
      </c>
      <c r="AG361" s="31" t="str">
        <f t="shared" si="821"/>
        <v/>
      </c>
      <c r="AH361" s="31" t="str">
        <f t="shared" si="822"/>
        <v/>
      </c>
      <c r="AI361" s="31">
        <f t="shared" si="823"/>
        <v>37460.53635943235</v>
      </c>
      <c r="AJ361" s="31">
        <f>AI361/$AI$577*'State Admin 1004(b)'!$B$30*0.01</f>
        <v>356.49316757546188</v>
      </c>
      <c r="AK361" s="31">
        <f t="shared" si="824"/>
        <v>37104.043191856887</v>
      </c>
      <c r="AL361" s="31">
        <f t="shared" si="825"/>
        <v>371.04043191856886</v>
      </c>
      <c r="AM361" s="31">
        <f t="shared" si="826"/>
        <v>36733.002759938317</v>
      </c>
      <c r="AP361" s="31"/>
      <c r="AQ361" s="4">
        <f t="shared" si="827"/>
        <v>0.82024105389430402</v>
      </c>
      <c r="AR361" s="4">
        <f>VLOOKUP(B361,Allocation!$D$10:$P$235,13,FALSE)</f>
        <v>0.90000000000000013</v>
      </c>
      <c r="AS361" s="4">
        <f t="shared" si="828"/>
        <v>0.9</v>
      </c>
      <c r="AT361" s="4" t="str">
        <f t="shared" si="829"/>
        <v>Review</v>
      </c>
      <c r="AU361" s="31">
        <f t="shared" si="830"/>
        <v>3571.8592400616835</v>
      </c>
      <c r="AV361" s="31">
        <f t="shared" si="831"/>
        <v>40304.862000000001</v>
      </c>
      <c r="AW361" s="31">
        <f t="shared" si="832"/>
        <v>40304.862000000001</v>
      </c>
      <c r="AX361" s="4">
        <f t="shared" si="841"/>
        <v>0.9</v>
      </c>
      <c r="AY361" s="4" t="str">
        <f t="shared" si="842"/>
        <v/>
      </c>
      <c r="AZ361" s="174" t="str">
        <f>IFERROR(IF(VLOOKUP(A361,#REF!,11,FALSE)=0,"",VLOOKUP(A361,#REF!,11,FALSE)),"")</f>
        <v/>
      </c>
      <c r="BA361" s="31" t="str">
        <f t="shared" si="835"/>
        <v/>
      </c>
      <c r="BB361" s="31">
        <f t="shared" si="836"/>
        <v>40304.862000000001</v>
      </c>
      <c r="BD361" s="31">
        <f>IFERROR(VLOOKUP(A361,'Title II Hold Harmless'!A$1:B$439,2, FALSE),"")</f>
        <v>2584</v>
      </c>
      <c r="BE361" s="31">
        <f t="shared" si="837"/>
        <v>2994.9204327256693</v>
      </c>
      <c r="BF361" s="31">
        <f t="shared" si="838"/>
        <v>2997.8181969590837</v>
      </c>
      <c r="BG361" s="31" t="str">
        <f t="shared" si="839"/>
        <v/>
      </c>
      <c r="BH361" s="31">
        <f t="shared" si="840"/>
        <v>2997.8181969590837</v>
      </c>
    </row>
    <row r="362" spans="1:60" x14ac:dyDescent="0.3">
      <c r="A362" s="1">
        <v>80412000</v>
      </c>
      <c r="B362">
        <f>VLOOKUP(C362,'NCES ID'!$A$2:$B$3136,2,FALSE)</f>
        <v>408640</v>
      </c>
      <c r="C362">
        <f>VLOOKUP(A362,'State ID'!$A$2:$B$713,2,FALSE)</f>
        <v>4376</v>
      </c>
      <c r="D362" s="194" t="s">
        <v>419</v>
      </c>
      <c r="E362" t="s">
        <v>5</v>
      </c>
      <c r="F362" s="47">
        <f>VLOOKUP(B362,'Formula counts'!$D$9:$L$234,9,FALSE)</f>
        <v>161</v>
      </c>
      <c r="G362" s="47">
        <f>VLOOKUP(B362,'Formula counts'!$D$9:$K$234,8,FALSE)</f>
        <v>51</v>
      </c>
      <c r="H362" s="4">
        <f>VLOOKUP(B362,'Formula counts'!$D$9:$M$234,10,FALSE)</f>
        <v>0.31677018633540371</v>
      </c>
      <c r="I362" s="47">
        <f>VLOOKUP($C362,'Final SEA Counts'!$A$2:$F$709,5,FALSE)</f>
        <v>105</v>
      </c>
      <c r="J362" s="47">
        <f>VLOOKUP($C362,'Final SEA Counts'!$A$2:$F$709,6,FALSE)</f>
        <v>96</v>
      </c>
      <c r="K362" s="24">
        <f t="shared" si="805"/>
        <v>140.80440370281616</v>
      </c>
      <c r="L362" s="24">
        <f t="shared" si="806"/>
        <v>45.275305454234363</v>
      </c>
      <c r="M362" s="4">
        <f t="shared" si="807"/>
        <v>0.3215475103306647</v>
      </c>
      <c r="N362" s="31">
        <f>IFERROR(VLOOKUP($B362,Allocation!$D$10:$O$235,8,FALSE),"")</f>
        <v>33719.453818554612</v>
      </c>
      <c r="O362" s="31">
        <f>IFERROR(VLOOKUP($B362,Allocation!$D$10:$O$235,9,FALSE),"")</f>
        <v>8224.0320229379886</v>
      </c>
      <c r="P362" s="31">
        <f>IFERROR(VLOOKUP($B362,Allocation!$D$10:$O$235,10,FALSE),"")</f>
        <v>19642.541430043879</v>
      </c>
      <c r="Q362" s="31">
        <f>IFERROR(VLOOKUP($B362,Allocation!$D$10:$O$235,11,FALSE),"")</f>
        <v>21006.707629153272</v>
      </c>
      <c r="R362" s="31">
        <f>IFERROR(VLOOKUP($B362,Allocation!$D$10:$O$235,12,FALSE),"")</f>
        <v>82592.734900689742</v>
      </c>
      <c r="S362" s="31">
        <f t="shared" si="808"/>
        <v>29934.481791862927</v>
      </c>
      <c r="T362" s="31">
        <f t="shared" si="809"/>
        <v>7300.8933706651442</v>
      </c>
      <c r="U362" s="31">
        <f t="shared" si="810"/>
        <v>17437.687512601766</v>
      </c>
      <c r="V362" s="31">
        <f t="shared" si="811"/>
        <v>18648.727539170777</v>
      </c>
      <c r="W362" s="31">
        <f t="shared" si="812"/>
        <v>29934.481791862927</v>
      </c>
      <c r="X362" s="31">
        <f t="shared" si="813"/>
        <v>7300.8933706651442</v>
      </c>
      <c r="Y362" s="31">
        <f t="shared" si="814"/>
        <v>17437.687512601766</v>
      </c>
      <c r="Z362" s="31">
        <f t="shared" si="815"/>
        <v>18648.727539170777</v>
      </c>
      <c r="AA362" s="31">
        <f t="shared" si="816"/>
        <v>30154.895432956717</v>
      </c>
      <c r="AB362" s="31">
        <f t="shared" si="817"/>
        <v>7353.1646619262974</v>
      </c>
      <c r="AC362" s="31">
        <f t="shared" si="818"/>
        <v>17530.329207431638</v>
      </c>
      <c r="AD362" s="31">
        <f t="shared" si="819"/>
        <v>18720.806640154802</v>
      </c>
      <c r="AE362" s="31">
        <f t="shared" si="820"/>
        <v>73759.195942469451</v>
      </c>
      <c r="AF362" s="31">
        <f>IFERROR(VLOOKUP(A362,'Allocations By Type'!$D$7:$F$491,3,FALSE),"")</f>
        <v>75475.98</v>
      </c>
      <c r="AG362" s="31" t="str">
        <f t="shared" si="821"/>
        <v/>
      </c>
      <c r="AH362" s="31" t="str">
        <f t="shared" si="822"/>
        <v/>
      </c>
      <c r="AI362" s="31">
        <f t="shared" si="823"/>
        <v>73759.195942469451</v>
      </c>
      <c r="AJ362" s="31">
        <f>AI362/$AI$577*'State Admin 1004(b)'!$B$30*0.01</f>
        <v>701.92933563614713</v>
      </c>
      <c r="AK362" s="31">
        <f t="shared" si="824"/>
        <v>73057.266606833306</v>
      </c>
      <c r="AL362" s="31">
        <f t="shared" si="825"/>
        <v>730.57266606833309</v>
      </c>
      <c r="AM362" s="31">
        <f t="shared" si="826"/>
        <v>72326.693940764977</v>
      </c>
      <c r="AP362" s="31"/>
      <c r="AQ362" s="4">
        <f t="shared" si="827"/>
        <v>0.95827432702119242</v>
      </c>
      <c r="AR362" s="4">
        <f>VLOOKUP(B362,Allocation!$D$10:$P$235,13,FALSE)</f>
        <v>0.95</v>
      </c>
      <c r="AS362" s="4">
        <f t="shared" si="828"/>
        <v>0.95</v>
      </c>
      <c r="AT362" s="4" t="str">
        <f t="shared" si="829"/>
        <v/>
      </c>
      <c r="AU362" s="31" t="str">
        <f t="shared" si="830"/>
        <v/>
      </c>
      <c r="AV362" s="31" t="str">
        <f t="shared" si="831"/>
        <v/>
      </c>
      <c r="AW362" s="31">
        <f t="shared" si="832"/>
        <v>72269.412565111648</v>
      </c>
      <c r="AX362" s="4">
        <f t="shared" si="841"/>
        <v>0.95751539185197265</v>
      </c>
      <c r="AY362" s="4" t="str">
        <f t="shared" si="842"/>
        <v/>
      </c>
      <c r="AZ362" s="174" t="str">
        <f>IFERROR(IF(VLOOKUP(A362,#REF!,11,FALSE)=0,"",VLOOKUP(A362,#REF!,11,FALSE)),"")</f>
        <v/>
      </c>
      <c r="BA362" s="31" t="str">
        <f t="shared" si="835"/>
        <v/>
      </c>
      <c r="BB362" s="31">
        <f t="shared" si="836"/>
        <v>72269.412565111648</v>
      </c>
      <c r="BD362" s="31">
        <f>IFERROR(VLOOKUP(A362,'Title II Hold Harmless'!A$1:B$439,2, FALSE),"")</f>
        <v>6882</v>
      </c>
      <c r="BE362" s="31">
        <f t="shared" si="837"/>
        <v>7588.0035565668049</v>
      </c>
      <c r="BF362" s="31">
        <f t="shared" si="838"/>
        <v>7595.3454028038441</v>
      </c>
      <c r="BG362" s="31" t="str">
        <f t="shared" si="839"/>
        <v/>
      </c>
      <c r="BH362" s="31">
        <f t="shared" si="840"/>
        <v>7595.3454028038441</v>
      </c>
    </row>
    <row r="363" spans="1:60" x14ac:dyDescent="0.3">
      <c r="A363" s="1">
        <v>80208000</v>
      </c>
      <c r="B363">
        <f>VLOOKUP(C363,'NCES ID'!$A$2:$B$3136,2,FALSE)</f>
        <v>406120</v>
      </c>
      <c r="C363">
        <f>VLOOKUP(A363,'State ID'!$A$2:$B$713,2,FALSE)</f>
        <v>4369</v>
      </c>
      <c r="D363" s="147" t="s">
        <v>331</v>
      </c>
      <c r="E363" t="s">
        <v>5</v>
      </c>
      <c r="F363" s="47">
        <f>VLOOKUP(B363,'Formula counts'!$D$9:$L$234,9,FALSE)</f>
        <v>292</v>
      </c>
      <c r="G363" s="47">
        <f>VLOOKUP(B363,'Formula counts'!$D$9:$K$234,8,FALSE)</f>
        <v>105</v>
      </c>
      <c r="H363" s="4">
        <f>VLOOKUP(B363,'Formula counts'!$D$9:$M$234,10,FALSE)</f>
        <v>0.3595890410958904</v>
      </c>
      <c r="I363" s="47">
        <f>VLOOKUP($C363,'Final SEA Counts'!$A$2:$F$709,5,FALSE)</f>
        <v>225</v>
      </c>
      <c r="J363" s="47">
        <f>VLOOKUP($C363,'Final SEA Counts'!$A$2:$F$709,6,FALSE)</f>
        <v>216</v>
      </c>
      <c r="K363" s="24">
        <f t="shared" si="805"/>
        <v>255.37196199516973</v>
      </c>
      <c r="L363" s="24">
        <f t="shared" si="806"/>
        <v>93.213864170482509</v>
      </c>
      <c r="M363" s="4">
        <f t="shared" si="807"/>
        <v>0.36501213148938261</v>
      </c>
      <c r="N363" s="31">
        <f>IFERROR(VLOOKUP($B363,Allocation!$D$10:$O$235,8,FALSE),"")</f>
        <v>59666.472259456496</v>
      </c>
      <c r="O363" s="31">
        <f>IFERROR(VLOOKUP($B363,Allocation!$D$10:$O$235,9,FALSE),"")</f>
        <v>13769.739440704601</v>
      </c>
      <c r="P363" s="31">
        <f>IFERROR(VLOOKUP($B363,Allocation!$D$10:$O$235,10,FALSE),"")</f>
        <v>36651.114618099185</v>
      </c>
      <c r="Q363" s="31">
        <f>IFERROR(VLOOKUP($B363,Allocation!$D$10:$O$235,11,FALSE),"")</f>
        <v>41067.362965034365</v>
      </c>
      <c r="R363" s="31">
        <f>IFERROR(VLOOKUP($B363,Allocation!$D$10:$O$235,12,FALSE),"")</f>
        <v>151154.68928329466</v>
      </c>
      <c r="S363" s="31">
        <f t="shared" si="808"/>
        <v>52968.975625950858</v>
      </c>
      <c r="T363" s="31">
        <f t="shared" si="809"/>
        <v>12224.101160845472</v>
      </c>
      <c r="U363" s="31">
        <f t="shared" si="810"/>
        <v>32537.066854364602</v>
      </c>
      <c r="V363" s="31">
        <f t="shared" si="811"/>
        <v>36457.596126310636</v>
      </c>
      <c r="W363" s="31">
        <f t="shared" si="812"/>
        <v>52968.975625950858</v>
      </c>
      <c r="X363" s="31">
        <f t="shared" si="813"/>
        <v>12224.101160845472</v>
      </c>
      <c r="Y363" s="31">
        <f t="shared" si="814"/>
        <v>32537.066854364602</v>
      </c>
      <c r="Z363" s="31">
        <f t="shared" si="815"/>
        <v>36457.596126310636</v>
      </c>
      <c r="AA363" s="31">
        <f t="shared" si="816"/>
        <v>53189.389267044644</v>
      </c>
      <c r="AB363" s="31">
        <f t="shared" si="817"/>
        <v>12276.372452106625</v>
      </c>
      <c r="AC363" s="31">
        <f t="shared" si="818"/>
        <v>32629.708549194474</v>
      </c>
      <c r="AD363" s="31">
        <f t="shared" si="819"/>
        <v>36529.675227294661</v>
      </c>
      <c r="AE363" s="31">
        <f t="shared" si="820"/>
        <v>134625.1454956404</v>
      </c>
      <c r="AF363" s="31">
        <f>IFERROR(VLOOKUP(A363,'Allocations By Type'!$D$7:$F$491,3,FALSE),"")</f>
        <v>138128.53</v>
      </c>
      <c r="AG363" s="31" t="str">
        <f t="shared" si="821"/>
        <v/>
      </c>
      <c r="AH363" s="31" t="str">
        <f t="shared" si="822"/>
        <v/>
      </c>
      <c r="AI363" s="31">
        <f t="shared" si="823"/>
        <v>134625.1454956404</v>
      </c>
      <c r="AJ363" s="31">
        <f>AI363/$AI$577*'State Admin 1004(b)'!$B$30*0.01</f>
        <v>1281.1601011944379</v>
      </c>
      <c r="AK363" s="31">
        <f t="shared" si="824"/>
        <v>133343.98539444598</v>
      </c>
      <c r="AL363" s="31">
        <f t="shared" si="825"/>
        <v>1333.4398539444599</v>
      </c>
      <c r="AM363" s="31">
        <f t="shared" si="826"/>
        <v>132010.54554050151</v>
      </c>
      <c r="AP363" s="31"/>
      <c r="AQ363" s="4">
        <f t="shared" si="827"/>
        <v>0.95570803179112607</v>
      </c>
      <c r="AR363" s="4">
        <f>VLOOKUP(B363,Allocation!$D$10:$P$235,13,FALSE)</f>
        <v>0.95000000000000007</v>
      </c>
      <c r="AS363" s="4">
        <f t="shared" si="828"/>
        <v>0.95</v>
      </c>
      <c r="AT363" s="4" t="str">
        <f t="shared" si="829"/>
        <v/>
      </c>
      <c r="AU363" s="31" t="str">
        <f t="shared" si="830"/>
        <v/>
      </c>
      <c r="AV363" s="31" t="str">
        <f t="shared" si="831"/>
        <v/>
      </c>
      <c r="AW363" s="31">
        <f t="shared" si="832"/>
        <v>131905.99568155871</v>
      </c>
      <c r="AX363" s="4">
        <f t="shared" si="841"/>
        <v>0.95495112907926194</v>
      </c>
      <c r="AY363" s="4" t="str">
        <f t="shared" si="842"/>
        <v/>
      </c>
      <c r="AZ363" s="174" t="str">
        <f>IFERROR(IF(VLOOKUP(A363,#REF!,11,FALSE)=0,"",VLOOKUP(A363,#REF!,11,FALSE)),"")</f>
        <v/>
      </c>
      <c r="BA363" s="31" t="str">
        <f t="shared" si="835"/>
        <v/>
      </c>
      <c r="BB363" s="31">
        <f t="shared" si="836"/>
        <v>131905.99568155871</v>
      </c>
      <c r="BD363" s="31">
        <f>IFERROR(VLOOKUP(A363,'Title II Hold Harmless'!A$1:B$439,2, FALSE),"")</f>
        <v>16341</v>
      </c>
      <c r="BE363" s="31">
        <f t="shared" si="837"/>
        <v>17766.755485516831</v>
      </c>
      <c r="BF363" s="31">
        <f t="shared" si="838"/>
        <v>17783.945881637937</v>
      </c>
      <c r="BG363" s="31" t="str">
        <f t="shared" si="839"/>
        <v/>
      </c>
      <c r="BH363" s="31">
        <f t="shared" si="840"/>
        <v>17783.945881637937</v>
      </c>
    </row>
    <row r="364" spans="1:60" x14ac:dyDescent="0.3">
      <c r="A364" s="1">
        <v>80209000</v>
      </c>
      <c r="B364">
        <f>VLOOKUP(C364,'NCES ID'!$A$2:$B$3136,2,FALSE)</f>
        <v>404410</v>
      </c>
      <c r="C364">
        <f>VLOOKUP(A364,'State ID'!$A$2:$B$713,2,FALSE)</f>
        <v>4374</v>
      </c>
      <c r="D364" s="147" t="s">
        <v>263</v>
      </c>
      <c r="E364" t="s">
        <v>5</v>
      </c>
      <c r="F364" s="47">
        <f>VLOOKUP(B364,'Formula counts'!$D$9:$L$234,9,FALSE)</f>
        <v>610</v>
      </c>
      <c r="G364" s="47">
        <f>VLOOKUP(B364,'Formula counts'!$D$9:$K$234,8,FALSE)</f>
        <v>167</v>
      </c>
      <c r="H364" s="4">
        <f>VLOOKUP(B364,'Formula counts'!$D$9:$M$234,10,FALSE)</f>
        <v>0.27377049180327867</v>
      </c>
      <c r="I364" s="47">
        <f>VLOOKUP($C364,'Final SEA Counts'!$A$2:$F$709,5,FALSE)</f>
        <v>367</v>
      </c>
      <c r="J364" s="47">
        <f>VLOOKUP($C364,'Final SEA Counts'!$A$2:$F$709,6,FALSE)</f>
        <v>346</v>
      </c>
      <c r="K364" s="24">
        <f t="shared" si="805"/>
        <v>533.48252334607366</v>
      </c>
      <c r="L364" s="24">
        <f t="shared" si="806"/>
        <v>148.25443158543408</v>
      </c>
      <c r="M364" s="4">
        <f t="shared" si="807"/>
        <v>0.27789932209130763</v>
      </c>
      <c r="N364" s="31">
        <f>IFERROR(VLOOKUP($B364,Allocation!$D$10:$O$235,8,FALSE),"")</f>
        <v>98520.827562676437</v>
      </c>
      <c r="O364" s="31">
        <f>IFERROR(VLOOKUP($B364,Allocation!$D$10:$O$235,9,FALSE),"")</f>
        <v>21381.837882123957</v>
      </c>
      <c r="P364" s="31">
        <f>IFERROR(VLOOKUP($B364,Allocation!$D$10:$O$235,10,FALSE),"")</f>
        <v>60295.610887983232</v>
      </c>
      <c r="Q364" s="31">
        <f>IFERROR(VLOOKUP($B364,Allocation!$D$10:$O$235,11,FALSE),"")</f>
        <v>63354.203232199317</v>
      </c>
      <c r="R364" s="31">
        <f>IFERROR(VLOOKUP($B364,Allocation!$D$10:$O$235,12,FALSE),"")</f>
        <v>243552.47956498293</v>
      </c>
      <c r="S364" s="31">
        <f t="shared" si="808"/>
        <v>87461.971794198573</v>
      </c>
      <c r="T364" s="31">
        <f t="shared" si="809"/>
        <v>18981.749829138855</v>
      </c>
      <c r="U364" s="31">
        <f t="shared" si="810"/>
        <v>53527.49412751176</v>
      </c>
      <c r="V364" s="31">
        <f t="shared" si="811"/>
        <v>56242.762806813058</v>
      </c>
      <c r="W364" s="31">
        <f t="shared" si="812"/>
        <v>87461.971794198573</v>
      </c>
      <c r="X364" s="31">
        <f t="shared" si="813"/>
        <v>18981.749829138855</v>
      </c>
      <c r="Y364" s="31">
        <f t="shared" si="814"/>
        <v>53527.49412751176</v>
      </c>
      <c r="Z364" s="31">
        <f t="shared" si="815"/>
        <v>56242.762806813058</v>
      </c>
      <c r="AA364" s="31">
        <f t="shared" si="816"/>
        <v>87682.385435292366</v>
      </c>
      <c r="AB364" s="31">
        <f t="shared" si="817"/>
        <v>19034.021120400008</v>
      </c>
      <c r="AC364" s="31">
        <f t="shared" si="818"/>
        <v>53620.135822341632</v>
      </c>
      <c r="AD364" s="31">
        <f t="shared" si="819"/>
        <v>56314.841907797083</v>
      </c>
      <c r="AE364" s="31">
        <f t="shared" si="820"/>
        <v>216651.3842858311</v>
      </c>
      <c r="AF364" s="31">
        <f>IFERROR(VLOOKUP(A364,'Allocations By Type'!$D$7:$F$491,3,FALSE),"")</f>
        <v>229981.91</v>
      </c>
      <c r="AG364" s="31" t="str">
        <f t="shared" si="821"/>
        <v/>
      </c>
      <c r="AH364" s="31" t="str">
        <f t="shared" si="822"/>
        <v/>
      </c>
      <c r="AI364" s="31">
        <f t="shared" si="823"/>
        <v>216651.3842858311</v>
      </c>
      <c r="AJ364" s="31">
        <f>AI364/$AI$577*'State Admin 1004(b)'!$B$30*0.01</f>
        <v>2061.7627442009994</v>
      </c>
      <c r="AK364" s="31">
        <f t="shared" si="824"/>
        <v>214589.6215416301</v>
      </c>
      <c r="AL364" s="31">
        <f t="shared" si="825"/>
        <v>2145.8962154163009</v>
      </c>
      <c r="AM364" s="31">
        <f t="shared" si="826"/>
        <v>212443.72532621381</v>
      </c>
      <c r="AP364" s="31"/>
      <c r="AQ364" s="4">
        <f t="shared" si="827"/>
        <v>0.92374102522330481</v>
      </c>
      <c r="AR364" s="4">
        <f>VLOOKUP(B364,Allocation!$D$10:$P$235,13,FALSE)</f>
        <v>0.9</v>
      </c>
      <c r="AS364" s="4">
        <f t="shared" si="828"/>
        <v>0.9</v>
      </c>
      <c r="AT364" s="4" t="str">
        <f t="shared" si="829"/>
        <v/>
      </c>
      <c r="AU364" s="31" t="str">
        <f t="shared" si="830"/>
        <v/>
      </c>
      <c r="AV364" s="31" t="str">
        <f t="shared" si="831"/>
        <v/>
      </c>
      <c r="AW364" s="31">
        <f t="shared" si="832"/>
        <v>212275.473907926</v>
      </c>
      <c r="AX364" s="4">
        <f t="shared" si="841"/>
        <v>0.92300943977691985</v>
      </c>
      <c r="AY364" s="4" t="str">
        <f t="shared" si="842"/>
        <v/>
      </c>
      <c r="AZ364" s="174" t="str">
        <f>IFERROR(IF(VLOOKUP(A364,#REF!,11,FALSE)=0,"",VLOOKUP(A364,#REF!,11,FALSE)),"")</f>
        <v/>
      </c>
      <c r="BA364" s="31" t="str">
        <f t="shared" si="835"/>
        <v/>
      </c>
      <c r="BB364" s="31">
        <f t="shared" si="836"/>
        <v>212275.473907926</v>
      </c>
      <c r="BD364" s="31">
        <f>IFERROR(VLOOKUP(A364,'Title II Hold Harmless'!A$1:B$439,2, FALSE),"")</f>
        <v>11874</v>
      </c>
      <c r="BE364" s="31">
        <f t="shared" si="837"/>
        <v>14244.096845674414</v>
      </c>
      <c r="BF364" s="31">
        <f t="shared" si="838"/>
        <v>14257.878859355198</v>
      </c>
      <c r="BG364" s="31" t="str">
        <f t="shared" si="839"/>
        <v/>
      </c>
      <c r="BH364" s="31">
        <f t="shared" si="840"/>
        <v>14257.878859355198</v>
      </c>
    </row>
    <row r="365" spans="1:60" x14ac:dyDescent="0.3">
      <c r="A365" s="1">
        <v>80416000</v>
      </c>
      <c r="B365">
        <f>VLOOKUP(C365,'NCES ID'!$A$2:$B$3136,2,FALSE)</f>
        <v>405190</v>
      </c>
      <c r="C365">
        <f>VLOOKUP(A365,'State ID'!$A$2:$B$713,2,FALSE)</f>
        <v>4379</v>
      </c>
      <c r="D365" s="147" t="s">
        <v>291</v>
      </c>
      <c r="E365" t="s">
        <v>5</v>
      </c>
      <c r="F365" s="47">
        <f>VLOOKUP(B365,'Formula counts'!$D$9:$L$234,9,FALSE)</f>
        <v>2045</v>
      </c>
      <c r="G365" s="47">
        <f>VLOOKUP(B365,'Formula counts'!$D$9:$K$234,8,FALSE)</f>
        <v>555</v>
      </c>
      <c r="H365" s="4">
        <f>VLOOKUP(B365,'Formula counts'!$D$9:$M$234,10,FALSE)</f>
        <v>0.27139364303178481</v>
      </c>
      <c r="I365" s="47">
        <f>VLOOKUP($C365,'Final SEA Counts'!$A$2:$F$709,5,FALSE)</f>
        <v>1302</v>
      </c>
      <c r="J365" s="47">
        <f>VLOOKUP($C365,'Final SEA Counts'!$A$2:$F$709,6,FALSE)</f>
        <v>811</v>
      </c>
      <c r="K365" s="24">
        <f t="shared" si="805"/>
        <v>1788.47829547987</v>
      </c>
      <c r="L365" s="24">
        <f t="shared" si="806"/>
        <v>492.7018534725504</v>
      </c>
      <c r="M365" s="4">
        <f t="shared" si="807"/>
        <v>0.27548662721699546</v>
      </c>
      <c r="N365" s="31">
        <f>IFERROR(VLOOKUP($B365,Allocation!$D$10:$O$235,8,FALSE),"")</f>
        <v>261814.58727395927</v>
      </c>
      <c r="O365" s="31">
        <f>IFERROR(VLOOKUP($B365,Allocation!$D$10:$O$235,9,FALSE),"")</f>
        <v>62089.562514841855</v>
      </c>
      <c r="P365" s="31">
        <f>IFERROR(VLOOKUP($B365,Allocation!$D$10:$O$235,10,FALSE),"")</f>
        <v>114835.2400112319</v>
      </c>
      <c r="Q365" s="31">
        <f>IFERROR(VLOOKUP($B365,Allocation!$D$10:$O$235,11,FALSE),"")</f>
        <v>91000.192795530762</v>
      </c>
      <c r="R365" s="31">
        <f>IFERROR(VLOOKUP($B365,Allocation!$D$10:$O$235,12,FALSE),"")</f>
        <v>529739.58259556384</v>
      </c>
      <c r="S365" s="31">
        <f t="shared" si="808"/>
        <v>232426.18453338835</v>
      </c>
      <c r="T365" s="31">
        <f t="shared" si="809"/>
        <v>55120.076634887155</v>
      </c>
      <c r="U365" s="31">
        <f t="shared" si="810"/>
        <v>101945.10918468313</v>
      </c>
      <c r="V365" s="31">
        <f t="shared" si="811"/>
        <v>80785.520102193579</v>
      </c>
      <c r="W365" s="31">
        <f t="shared" si="812"/>
        <v>232426.18453338835</v>
      </c>
      <c r="X365" s="31">
        <f t="shared" si="813"/>
        <v>55120.076634887155</v>
      </c>
      <c r="Y365" s="31">
        <f t="shared" si="814"/>
        <v>101945.10918468313</v>
      </c>
      <c r="Z365" s="31">
        <f t="shared" si="815"/>
        <v>80785.520102193579</v>
      </c>
      <c r="AA365" s="31">
        <f t="shared" si="816"/>
        <v>232646.59817448215</v>
      </c>
      <c r="AB365" s="31">
        <f t="shared" si="817"/>
        <v>55172.347926148308</v>
      </c>
      <c r="AC365" s="31">
        <f t="shared" si="818"/>
        <v>102037.750879513</v>
      </c>
      <c r="AD365" s="31">
        <f t="shared" si="819"/>
        <v>80857.599203177611</v>
      </c>
      <c r="AE365" s="31">
        <f t="shared" si="820"/>
        <v>470714.29618332104</v>
      </c>
      <c r="AF365" s="31">
        <f>IFERROR(VLOOKUP(A365,'Allocations By Type'!$D$7:$F$491,3,FALSE),"")</f>
        <v>461027.29</v>
      </c>
      <c r="AG365" s="31">
        <f t="shared" si="821"/>
        <v>18828.571847332842</v>
      </c>
      <c r="AH365" s="31">
        <f t="shared" si="822"/>
        <v>9687.0061833210639</v>
      </c>
      <c r="AI365" s="31">
        <f t="shared" si="823"/>
        <v>461027.29</v>
      </c>
      <c r="AJ365" s="31">
        <f>AI365/$AI$577*'State Admin 1004(b)'!$B$30*0.01</f>
        <v>4387.3658768222058</v>
      </c>
      <c r="AK365" s="31">
        <f t="shared" si="824"/>
        <v>456639.92412317777</v>
      </c>
      <c r="AL365" s="31">
        <f t="shared" si="825"/>
        <v>4566.3992412317775</v>
      </c>
      <c r="AM365" s="31">
        <f t="shared" si="826"/>
        <v>452073.52488194598</v>
      </c>
      <c r="AP365" s="31"/>
      <c r="AQ365" s="4">
        <f t="shared" si="827"/>
        <v>0.98057866570533381</v>
      </c>
      <c r="AR365" s="4">
        <f>VLOOKUP(B365,Allocation!$D$10:$P$235,13,FALSE)</f>
        <v>0.93014701272488487</v>
      </c>
      <c r="AS365" s="4">
        <f t="shared" si="828"/>
        <v>0.9</v>
      </c>
      <c r="AT365" s="4" t="str">
        <f t="shared" si="829"/>
        <v/>
      </c>
      <c r="AU365" s="31" t="str">
        <f t="shared" si="830"/>
        <v/>
      </c>
      <c r="AV365" s="31" t="str">
        <f t="shared" si="831"/>
        <v/>
      </c>
      <c r="AW365" s="31">
        <f t="shared" si="832"/>
        <v>451715.49118801142</v>
      </c>
      <c r="AX365" s="4">
        <f t="shared" si="841"/>
        <v>0.97980206592111163</v>
      </c>
      <c r="AY365" s="4" t="str">
        <f t="shared" si="842"/>
        <v/>
      </c>
      <c r="AZ365" s="174" t="str">
        <f>IFERROR(IF(VLOOKUP(A365,#REF!,11,FALSE)=0,"",VLOOKUP(A365,#REF!,11,FALSE)),"")</f>
        <v/>
      </c>
      <c r="BA365" s="31" t="str">
        <f t="shared" si="835"/>
        <v/>
      </c>
      <c r="BB365" s="31">
        <f t="shared" si="836"/>
        <v>451715.49118801142</v>
      </c>
      <c r="BD365" s="31">
        <f>IFERROR(VLOOKUP(A365,'Title II Hold Harmless'!A$1:B$439,2, FALSE),"")</f>
        <v>60593</v>
      </c>
      <c r="BE365" s="31">
        <f t="shared" si="837"/>
        <v>68482.165600084103</v>
      </c>
      <c r="BF365" s="31">
        <f t="shared" si="838"/>
        <v>68548.426181812509</v>
      </c>
      <c r="BG365" s="31" t="str">
        <f t="shared" si="839"/>
        <v/>
      </c>
      <c r="BH365" s="31">
        <f t="shared" si="840"/>
        <v>68548.426181812509</v>
      </c>
    </row>
    <row r="366" spans="1:60" x14ac:dyDescent="0.3">
      <c r="A366" s="1">
        <v>80214000</v>
      </c>
      <c r="B366">
        <f>VLOOKUP(C366,'NCES ID'!$A$2:$B$3136,2,FALSE)</f>
        <v>400021</v>
      </c>
      <c r="C366">
        <f>VLOOKUP(A366,'State ID'!$A$2:$B$713,2,FALSE)</f>
        <v>4370</v>
      </c>
      <c r="D366" s="147" t="s">
        <v>110</v>
      </c>
      <c r="E366" t="s">
        <v>5</v>
      </c>
      <c r="F366" s="47">
        <f>VLOOKUP(B366,'Formula counts'!$D$9:$L$234,9,FALSE)</f>
        <v>2478</v>
      </c>
      <c r="G366" s="47">
        <f>VLOOKUP(B366,'Formula counts'!$D$9:$K$234,8,FALSE)</f>
        <v>1107</v>
      </c>
      <c r="H366" s="4">
        <f>VLOOKUP(B366,'Formula counts'!$D$9:$M$234,10,FALSE)</f>
        <v>0.44673123486682809</v>
      </c>
      <c r="I366" s="47">
        <f>VLOOKUP($C366,'Final SEA Counts'!$A$2:$F$709,5,FALSE)</f>
        <v>510</v>
      </c>
      <c r="J366" s="47">
        <f>VLOOKUP($C366,'Final SEA Counts'!$A$2:$F$709,6,FALSE)</f>
        <v>442</v>
      </c>
      <c r="K366" s="24">
        <f t="shared" si="805"/>
        <v>2167.1634309042142</v>
      </c>
      <c r="L366" s="24">
        <f t="shared" si="806"/>
        <v>982.74045368308703</v>
      </c>
      <c r="M366" s="4">
        <f t="shared" si="807"/>
        <v>0.45346854771956646</v>
      </c>
      <c r="N366" s="31">
        <f>IFERROR(VLOOKUP($B366,Allocation!$D$10:$O$235,8,FALSE),"")</f>
        <v>522213.96056265361</v>
      </c>
      <c r="O366" s="31">
        <f>IFERROR(VLOOKUP($B366,Allocation!$D$10:$O$235,9,FALSE),"")</f>
        <v>123843.50577284679</v>
      </c>
      <c r="P366" s="31">
        <f>IFERROR(VLOOKUP($B366,Allocation!$D$10:$O$235,10,FALSE),"")</f>
        <v>348482.17030727433</v>
      </c>
      <c r="Q366" s="31">
        <f>IFERROR(VLOOKUP($B366,Allocation!$D$10:$O$235,11,FALSE),"")</f>
        <v>339237.50227605482</v>
      </c>
      <c r="R366" s="31">
        <f>IFERROR(VLOOKUP($B366,Allocation!$D$10:$O$235,12,FALSE),"")</f>
        <v>1333777.1389188296</v>
      </c>
      <c r="S366" s="31">
        <f t="shared" si="808"/>
        <v>463596.0113125419</v>
      </c>
      <c r="T366" s="31">
        <f t="shared" si="809"/>
        <v>109942.20690958579</v>
      </c>
      <c r="U366" s="31">
        <f t="shared" si="810"/>
        <v>309365.42560816399</v>
      </c>
      <c r="V366" s="31">
        <f t="shared" si="811"/>
        <v>301158.46151137073</v>
      </c>
      <c r="W366" s="31">
        <f t="shared" si="812"/>
        <v>463596.0113125419</v>
      </c>
      <c r="X366" s="31">
        <f t="shared" si="813"/>
        <v>109942.20690958579</v>
      </c>
      <c r="Y366" s="31">
        <f t="shared" si="814"/>
        <v>309365.42560816399</v>
      </c>
      <c r="Z366" s="31">
        <f t="shared" si="815"/>
        <v>301158.46151137073</v>
      </c>
      <c r="AA366" s="31">
        <f t="shared" si="816"/>
        <v>463816.42495363567</v>
      </c>
      <c r="AB366" s="31">
        <f t="shared" si="817"/>
        <v>109994.47820084693</v>
      </c>
      <c r="AC366" s="31">
        <f t="shared" si="818"/>
        <v>309458.06730299385</v>
      </c>
      <c r="AD366" s="31">
        <f t="shared" si="819"/>
        <v>301230.54061235476</v>
      </c>
      <c r="AE366" s="31">
        <f t="shared" si="820"/>
        <v>1184499.5110698312</v>
      </c>
      <c r="AF366" s="31">
        <f>IFERROR(VLOOKUP(A366,'Allocations By Type'!$D$7:$F$491,3,FALSE),"")</f>
        <v>999731.46</v>
      </c>
      <c r="AG366" s="31">
        <f t="shared" si="821"/>
        <v>47379.980442793247</v>
      </c>
      <c r="AH366" s="31">
        <f t="shared" si="822"/>
        <v>47379.980442793247</v>
      </c>
      <c r="AI366" s="31">
        <f t="shared" si="823"/>
        <v>1137119.5306270379</v>
      </c>
      <c r="AJ366" s="31">
        <f>AI366/$AI$577*'State Admin 1004(b)'!$B$30*0.01</f>
        <v>10821.397203061772</v>
      </c>
      <c r="AK366" s="31">
        <f t="shared" si="824"/>
        <v>1126298.1334239761</v>
      </c>
      <c r="AL366" s="31">
        <f t="shared" si="825"/>
        <v>11262.981334239761</v>
      </c>
      <c r="AM366" s="31">
        <f t="shared" si="826"/>
        <v>1115035.1520897364</v>
      </c>
      <c r="AP366" s="31"/>
      <c r="AQ366" s="4">
        <f t="shared" si="827"/>
        <v>1.1153346640604231</v>
      </c>
      <c r="AR366" s="4">
        <f>VLOOKUP(B366,Allocation!$D$10:$P$235,13,FALSE)</f>
        <v>1.1251746291938978</v>
      </c>
      <c r="AS366" s="4">
        <f t="shared" si="828"/>
        <v>0.95</v>
      </c>
      <c r="AT366" s="4" t="str">
        <f t="shared" si="829"/>
        <v/>
      </c>
      <c r="AU366" s="31" t="str">
        <f t="shared" si="830"/>
        <v/>
      </c>
      <c r="AV366" s="31" t="str">
        <f t="shared" si="831"/>
        <v/>
      </c>
      <c r="AW366" s="31">
        <f t="shared" si="832"/>
        <v>1114152.0653076165</v>
      </c>
      <c r="AX366" s="4">
        <f t="shared" si="841"/>
        <v>1.114451340070479</v>
      </c>
      <c r="AY366" s="4" t="str">
        <f t="shared" si="842"/>
        <v/>
      </c>
      <c r="AZ366" s="174" t="str">
        <f>IFERROR(IF(VLOOKUP(A366,#REF!,11,FALSE)=0,"",VLOOKUP(A366,#REF!,11,FALSE)),"")</f>
        <v/>
      </c>
      <c r="BA366" s="31" t="str">
        <f t="shared" si="835"/>
        <v/>
      </c>
      <c r="BB366" s="31">
        <f t="shared" si="836"/>
        <v>1114152.0653076165</v>
      </c>
      <c r="BD366" s="31">
        <f>IFERROR(VLOOKUP(A366,'Title II Hold Harmless'!A$1:B$439,2, FALSE),"")</f>
        <v>38690</v>
      </c>
      <c r="BE366" s="31">
        <f t="shared" si="837"/>
        <v>53298.866325285118</v>
      </c>
      <c r="BF366" s="31">
        <f t="shared" si="838"/>
        <v>53350.436158937882</v>
      </c>
      <c r="BG366" s="31" t="str">
        <f t="shared" si="839"/>
        <v/>
      </c>
      <c r="BH366" s="31">
        <f t="shared" si="840"/>
        <v>53350.436158937882</v>
      </c>
    </row>
    <row r="367" spans="1:60" x14ac:dyDescent="0.3">
      <c r="A367" s="1">
        <v>80502000</v>
      </c>
      <c r="B367">
        <f>VLOOKUP(C367,'NCES ID'!$A$2:$B$3136,2,FALSE)</f>
        <v>400082</v>
      </c>
      <c r="C367">
        <f>VLOOKUP(A367,'State ID'!$A$2:$B$713,2,FALSE)</f>
        <v>4381</v>
      </c>
      <c r="D367" s="147" t="s">
        <v>111</v>
      </c>
      <c r="E367" t="s">
        <v>5</v>
      </c>
      <c r="F367" s="47">
        <f>VLOOKUP(B367,'Formula counts'!$D$9:$L$234,9,FALSE)</f>
        <v>2863</v>
      </c>
      <c r="G367" s="47">
        <f>VLOOKUP(B367,'Formula counts'!$D$9:$K$234,8,FALSE)</f>
        <v>754</v>
      </c>
      <c r="H367" s="4">
        <f>VLOOKUP(B367,'Formula counts'!$D$9:$M$234,10,FALSE)</f>
        <v>0.26336011177086971</v>
      </c>
      <c r="I367" s="47">
        <f>VLOOKUP($C367,'Final SEA Counts'!$A$2:$F$709,5,FALSE)</f>
        <v>1459</v>
      </c>
      <c r="J367" s="47">
        <f>VLOOKUP($C367,'Final SEA Counts'!$A$2:$F$709,6,FALSE)</f>
        <v>786</v>
      </c>
      <c r="K367" s="24">
        <f t="shared" si="805"/>
        <v>2503.8696136718181</v>
      </c>
      <c r="L367" s="24">
        <f t="shared" si="806"/>
        <v>669.36431985279819</v>
      </c>
      <c r="M367" s="4">
        <f t="shared" si="807"/>
        <v>0.26733193941005734</v>
      </c>
      <c r="N367" s="31">
        <f>IFERROR(VLOOKUP($B367,Allocation!$D$10:$O$235,8,FALSE),"")</f>
        <v>355690.44829651393</v>
      </c>
      <c r="O367" s="31">
        <f>IFERROR(VLOOKUP($B367,Allocation!$D$10:$O$235,9,FALSE),"")</f>
        <v>84352.306551695088</v>
      </c>
      <c r="P367" s="31">
        <f>IFERROR(VLOOKUP($B367,Allocation!$D$10:$O$235,10,FALSE),"")</f>
        <v>154161.57665311178</v>
      </c>
      <c r="Q367" s="31">
        <f>IFERROR(VLOOKUP($B367,Allocation!$D$10:$O$235,11,FALSE),"")</f>
        <v>133815.08037937304</v>
      </c>
      <c r="R367" s="31">
        <f>IFERROR(VLOOKUP($B367,Allocation!$D$10:$O$235,12,FALSE),"")</f>
        <v>728019.41188069386</v>
      </c>
      <c r="S367" s="31">
        <f t="shared" si="808"/>
        <v>315764.58223094553</v>
      </c>
      <c r="T367" s="31">
        <f t="shared" si="809"/>
        <v>74883.851860729599</v>
      </c>
      <c r="U367" s="31">
        <f t="shared" si="810"/>
        <v>136857.10729952942</v>
      </c>
      <c r="V367" s="31">
        <f t="shared" si="811"/>
        <v>118794.48310900074</v>
      </c>
      <c r="W367" s="31">
        <f t="shared" si="812"/>
        <v>315764.58223094553</v>
      </c>
      <c r="X367" s="31">
        <f t="shared" si="813"/>
        <v>74883.851860729599</v>
      </c>
      <c r="Y367" s="31">
        <f t="shared" si="814"/>
        <v>136857.10729952942</v>
      </c>
      <c r="Z367" s="31">
        <f t="shared" si="815"/>
        <v>118794.48310900074</v>
      </c>
      <c r="AA367" s="31">
        <f t="shared" si="816"/>
        <v>315984.99587203929</v>
      </c>
      <c r="AB367" s="31">
        <f t="shared" si="817"/>
        <v>74936.123151990745</v>
      </c>
      <c r="AC367" s="31">
        <f t="shared" si="818"/>
        <v>136949.74899435931</v>
      </c>
      <c r="AD367" s="31">
        <f t="shared" si="819"/>
        <v>118866.56220998477</v>
      </c>
      <c r="AE367" s="31">
        <f t="shared" si="820"/>
        <v>646737.43022837408</v>
      </c>
      <c r="AF367" s="31">
        <f>IFERROR(VLOOKUP(A367,'Allocations By Type'!$D$7:$F$491,3,FALSE),"")</f>
        <v>669964.98</v>
      </c>
      <c r="AG367" s="31" t="str">
        <f t="shared" si="821"/>
        <v/>
      </c>
      <c r="AH367" s="31" t="str">
        <f t="shared" si="822"/>
        <v/>
      </c>
      <c r="AI367" s="31">
        <f t="shared" si="823"/>
        <v>646737.43022837408</v>
      </c>
      <c r="AJ367" s="31">
        <f>AI367/$AI$577*'State Admin 1004(b)'!$B$30*0.01</f>
        <v>6154.6762939947666</v>
      </c>
      <c r="AK367" s="31">
        <f t="shared" si="824"/>
        <v>640582.75393437932</v>
      </c>
      <c r="AL367" s="31">
        <f t="shared" si="825"/>
        <v>6405.8275393437934</v>
      </c>
      <c r="AM367" s="31">
        <f t="shared" si="826"/>
        <v>634176.92639503558</v>
      </c>
      <c r="AP367" s="31"/>
      <c r="AQ367" s="4">
        <f t="shared" si="827"/>
        <v>0.94658220254293823</v>
      </c>
      <c r="AR367" s="4">
        <f>VLOOKUP(B367,Allocation!$D$10:$P$235,13,FALSE)</f>
        <v>0.91668497762850598</v>
      </c>
      <c r="AS367" s="4">
        <f t="shared" si="828"/>
        <v>0.9</v>
      </c>
      <c r="AT367" s="4" t="str">
        <f t="shared" si="829"/>
        <v/>
      </c>
      <c r="AU367" s="31" t="str">
        <f t="shared" si="830"/>
        <v/>
      </c>
      <c r="AV367" s="31" t="str">
        <f t="shared" si="831"/>
        <v/>
      </c>
      <c r="AW367" s="31">
        <f t="shared" si="832"/>
        <v>633674.67024627177</v>
      </c>
      <c r="AX367" s="4">
        <f t="shared" si="841"/>
        <v>0.94583252731549006</v>
      </c>
      <c r="AY367" s="4" t="str">
        <f t="shared" si="842"/>
        <v/>
      </c>
      <c r="AZ367" s="174" t="str">
        <f>IFERROR(IF(VLOOKUP(A367,#REF!,11,FALSE)=0,"",VLOOKUP(A367,#REF!,11,FALSE)),"")</f>
        <v/>
      </c>
      <c r="BA367" s="31" t="str">
        <f t="shared" si="835"/>
        <v/>
      </c>
      <c r="BB367" s="31">
        <f t="shared" si="836"/>
        <v>633674.67024627177</v>
      </c>
      <c r="BD367" s="31">
        <f>IFERROR(VLOOKUP(A367,'Title II Hold Harmless'!A$1:B$439,2, FALSE),"")</f>
        <v>76494</v>
      </c>
      <c r="BE367" s="31">
        <f t="shared" si="837"/>
        <v>87271.54287987623</v>
      </c>
      <c r="BF367" s="31">
        <f t="shared" si="838"/>
        <v>87355.983305334215</v>
      </c>
      <c r="BG367" s="31" t="str">
        <f t="shared" si="839"/>
        <v/>
      </c>
      <c r="BH367" s="31">
        <f t="shared" si="840"/>
        <v>87355.983305334215</v>
      </c>
    </row>
    <row r="368" spans="1:60" x14ac:dyDescent="0.3">
      <c r="A368" s="1">
        <v>80415000</v>
      </c>
      <c r="B368">
        <f>VLOOKUP(C368,'NCES ID'!$A$2:$B$3136,2,FALSE)</f>
        <v>401500</v>
      </c>
      <c r="C368">
        <f>VLOOKUP(A368,'State ID'!$A$2:$B$713,2,FALSE)</f>
        <v>4378</v>
      </c>
      <c r="D368" s="147" t="s">
        <v>81</v>
      </c>
      <c r="E368" t="s">
        <v>5</v>
      </c>
      <c r="F368" s="47">
        <f>VLOOKUP(B368,'Formula counts'!$D$9:$L$234,9,FALSE)</f>
        <v>3664</v>
      </c>
      <c r="G368" s="47">
        <f>VLOOKUP(B368,'Formula counts'!$D$9:$K$234,8,FALSE)</f>
        <v>1470</v>
      </c>
      <c r="H368" s="4">
        <f>VLOOKUP(B368,'Formula counts'!$D$9:$M$234,10,FALSE)</f>
        <v>0.40120087336244542</v>
      </c>
      <c r="I368" s="47">
        <f>VLOOKUP($C368,'Final SEA Counts'!$A$2:$F$709,5,FALSE)</f>
        <v>2873</v>
      </c>
      <c r="J368" s="47">
        <f>VLOOKUP($C368,'Final SEA Counts'!$A$2:$F$709,6,FALSE)</f>
        <v>2505</v>
      </c>
      <c r="K368" s="24">
        <f t="shared" si="805"/>
        <v>3204.3933861311707</v>
      </c>
      <c r="L368" s="24">
        <f t="shared" si="806"/>
        <v>1304.9940983867552</v>
      </c>
      <c r="M368" s="4">
        <f t="shared" si="807"/>
        <v>0.40725152661806668</v>
      </c>
      <c r="N368" s="31">
        <f>IFERROR(VLOOKUP($B368,Allocation!$D$10:$O$235,8,FALSE),"")</f>
        <v>757317.20465644484</v>
      </c>
      <c r="O368" s="31">
        <f>IFERROR(VLOOKUP($B368,Allocation!$D$10:$O$235,9,FALSE),"")</f>
        <v>178109.08018760881</v>
      </c>
      <c r="P368" s="31">
        <f>IFERROR(VLOOKUP($B368,Allocation!$D$10:$O$235,10,FALSE),"")</f>
        <v>506131.38727728504</v>
      </c>
      <c r="Q368" s="31">
        <f>IFERROR(VLOOKUP($B368,Allocation!$D$10:$O$235,11,FALSE),"")</f>
        <v>549992.41942182183</v>
      </c>
      <c r="R368" s="31">
        <f>IFERROR(VLOOKUP($B368,Allocation!$D$10:$O$235,12,FALSE),"")</f>
        <v>1991550.0915431606</v>
      </c>
      <c r="S368" s="31">
        <f t="shared" si="808"/>
        <v>672309.17189347954</v>
      </c>
      <c r="T368" s="31">
        <f t="shared" si="809"/>
        <v>158116.52960130805</v>
      </c>
      <c r="U368" s="31">
        <f t="shared" si="810"/>
        <v>449318.68939126405</v>
      </c>
      <c r="V368" s="31">
        <f t="shared" si="811"/>
        <v>488256.36836934043</v>
      </c>
      <c r="W368" s="31">
        <f t="shared" si="812"/>
        <v>672309.17189347954</v>
      </c>
      <c r="X368" s="31">
        <f t="shared" si="813"/>
        <v>158116.52960130805</v>
      </c>
      <c r="Y368" s="31">
        <f t="shared" si="814"/>
        <v>449318.68939126405</v>
      </c>
      <c r="Z368" s="31">
        <f t="shared" si="815"/>
        <v>488256.36836934043</v>
      </c>
      <c r="AA368" s="31">
        <f t="shared" si="816"/>
        <v>672529.5855345733</v>
      </c>
      <c r="AB368" s="31">
        <f t="shared" si="817"/>
        <v>158168.80089256921</v>
      </c>
      <c r="AC368" s="31">
        <f t="shared" si="818"/>
        <v>449411.33108609391</v>
      </c>
      <c r="AD368" s="31">
        <f t="shared" si="819"/>
        <v>488328.44747032446</v>
      </c>
      <c r="AE368" s="31">
        <f t="shared" si="820"/>
        <v>1768438.1649835608</v>
      </c>
      <c r="AF368" s="31">
        <f>IFERROR(VLOOKUP(A368,'Allocations By Type'!$D$7:$F$491,3,FALSE),"")</f>
        <v>1781383.56</v>
      </c>
      <c r="AG368" s="31" t="str">
        <f t="shared" si="821"/>
        <v/>
      </c>
      <c r="AH368" s="31" t="str">
        <f t="shared" si="822"/>
        <v/>
      </c>
      <c r="AI368" s="31">
        <f t="shared" si="823"/>
        <v>1768438.1649835608</v>
      </c>
      <c r="AJ368" s="31">
        <f>AI368/$AI$577*'State Admin 1004(b)'!$B$30*0.01</f>
        <v>16829.340537127322</v>
      </c>
      <c r="AK368" s="31">
        <f t="shared" si="824"/>
        <v>1751608.8244464335</v>
      </c>
      <c r="AL368" s="31">
        <f t="shared" si="825"/>
        <v>17516.088244464336</v>
      </c>
      <c r="AM368" s="31">
        <f t="shared" si="826"/>
        <v>1734092.7362019692</v>
      </c>
      <c r="AP368" s="31"/>
      <c r="AQ368" s="4">
        <f t="shared" si="827"/>
        <v>0.97345275612736049</v>
      </c>
      <c r="AR368" s="4">
        <f>VLOOKUP(B368,Allocation!$D$10:$P$235,13,FALSE)</f>
        <v>0.95000000000000007</v>
      </c>
      <c r="AS368" s="4">
        <f t="shared" si="828"/>
        <v>0.95</v>
      </c>
      <c r="AT368" s="4" t="str">
        <f t="shared" si="829"/>
        <v/>
      </c>
      <c r="AU368" s="31" t="str">
        <f t="shared" si="830"/>
        <v/>
      </c>
      <c r="AV368" s="31" t="str">
        <f t="shared" si="831"/>
        <v/>
      </c>
      <c r="AW368" s="31">
        <f t="shared" si="832"/>
        <v>1732719.3675046326</v>
      </c>
      <c r="AX368" s="4">
        <f t="shared" si="841"/>
        <v>0.97268179992894543</v>
      </c>
      <c r="AY368" s="4" t="str">
        <f t="shared" si="842"/>
        <v/>
      </c>
      <c r="AZ368" s="174" t="str">
        <f>IFERROR(IF(VLOOKUP(A368,#REF!,11,FALSE)=0,"",VLOOKUP(A368,#REF!,11,FALSE)),"")</f>
        <v/>
      </c>
      <c r="BA368" s="31" t="str">
        <f t="shared" si="835"/>
        <v/>
      </c>
      <c r="BB368" s="31">
        <f t="shared" si="836"/>
        <v>1732719.3675046326</v>
      </c>
      <c r="BD368" s="31">
        <f>IFERROR(VLOOKUP(A368,'Title II Hold Harmless'!A$1:B$439,2, FALSE),"")</f>
        <v>150578</v>
      </c>
      <c r="BE368" s="31">
        <f t="shared" si="837"/>
        <v>170240.14573934287</v>
      </c>
      <c r="BF368" s="31">
        <f t="shared" si="838"/>
        <v>170404.86323902139</v>
      </c>
      <c r="BG368" s="31" t="str">
        <f t="shared" si="839"/>
        <v/>
      </c>
      <c r="BH368" s="31">
        <f t="shared" si="840"/>
        <v>170404.86323902139</v>
      </c>
    </row>
    <row r="369" spans="1:60" x14ac:dyDescent="0.3">
      <c r="A369" s="1">
        <v>80201000</v>
      </c>
      <c r="B369">
        <f>VLOOKUP(C369,'NCES ID'!$A$2:$B$3136,2,FALSE)</f>
        <v>404280</v>
      </c>
      <c r="C369">
        <f>VLOOKUP(A369,'State ID'!$A$2:$B$713,2,FALSE)</f>
        <v>4368</v>
      </c>
      <c r="D369" s="147" t="s">
        <v>246</v>
      </c>
      <c r="E369" t="s">
        <v>5</v>
      </c>
      <c r="F369" s="47">
        <f>VLOOKUP(B369,'Formula counts'!$D$9:$L$234,9,FALSE)</f>
        <v>6932</v>
      </c>
      <c r="G369" s="47">
        <f>VLOOKUP(B369,'Formula counts'!$D$9:$K$234,8,FALSE)</f>
        <v>1730</v>
      </c>
      <c r="H369" s="4">
        <f>VLOOKUP(B369,'Formula counts'!$D$9:$M$234,10,FALSE)</f>
        <v>0.24956722446624352</v>
      </c>
      <c r="I369" s="47">
        <f>VLOOKUP($C369,'Final SEA Counts'!$A$2:$F$709,5,FALSE)</f>
        <v>4939</v>
      </c>
      <c r="J369" s="47">
        <f>VLOOKUP($C369,'Final SEA Counts'!$A$2:$F$709,6,FALSE)</f>
        <v>2713</v>
      </c>
      <c r="K369" s="24">
        <f t="shared" si="805"/>
        <v>6062.4604128442343</v>
      </c>
      <c r="L369" s="24">
        <f t="shared" si="806"/>
        <v>1535.8093810946166</v>
      </c>
      <c r="M369" s="4">
        <f t="shared" si="807"/>
        <v>0.25333103665976497</v>
      </c>
      <c r="N369" s="31">
        <f>IFERROR(VLOOKUP($B369,Allocation!$D$10:$O$235,8,FALSE),"")</f>
        <v>816106.73150261189</v>
      </c>
      <c r="O369" s="31">
        <f>IFERROR(VLOOKUP($B369,Allocation!$D$10:$O$235,9,FALSE),"")</f>
        <v>193540.43810932699</v>
      </c>
      <c r="P369" s="31">
        <f>IFERROR(VLOOKUP($B369,Allocation!$D$10:$O$235,10,FALSE),"")</f>
        <v>335597.3093489444</v>
      </c>
      <c r="Q369" s="31">
        <f>IFERROR(VLOOKUP($B369,Allocation!$D$10:$O$235,11,FALSE),"")</f>
        <v>258548.74983381853</v>
      </c>
      <c r="R369" s="31">
        <f>IFERROR(VLOOKUP($B369,Allocation!$D$10:$O$235,12,FALSE),"")</f>
        <v>1603793.2287947019</v>
      </c>
      <c r="S369" s="31">
        <f t="shared" si="808"/>
        <v>724499.63827524672</v>
      </c>
      <c r="T369" s="31">
        <f t="shared" si="809"/>
        <v>171815.73437541412</v>
      </c>
      <c r="U369" s="31">
        <f t="shared" si="810"/>
        <v>297926.8762822086</v>
      </c>
      <c r="V369" s="31">
        <f t="shared" si="811"/>
        <v>229526.93379483448</v>
      </c>
      <c r="W369" s="31">
        <f t="shared" si="812"/>
        <v>724499.63827524672</v>
      </c>
      <c r="X369" s="31">
        <f t="shared" si="813"/>
        <v>171815.73437541412</v>
      </c>
      <c r="Y369" s="31">
        <f t="shared" si="814"/>
        <v>297926.8762822086</v>
      </c>
      <c r="Z369" s="31">
        <f t="shared" si="815"/>
        <v>229526.93379483448</v>
      </c>
      <c r="AA369" s="31">
        <f t="shared" si="816"/>
        <v>724720.05191634048</v>
      </c>
      <c r="AB369" s="31">
        <f t="shared" si="817"/>
        <v>171868.00566667528</v>
      </c>
      <c r="AC369" s="31">
        <f t="shared" si="818"/>
        <v>298019.51797703846</v>
      </c>
      <c r="AD369" s="31">
        <f t="shared" si="819"/>
        <v>229599.01289581851</v>
      </c>
      <c r="AE369" s="31">
        <f t="shared" si="820"/>
        <v>1424206.5884558728</v>
      </c>
      <c r="AF369" s="31">
        <f>IFERROR(VLOOKUP(A369,'Allocations By Type'!$D$7:$F$491,3,FALSE),"")</f>
        <v>1283192.28</v>
      </c>
      <c r="AG369" s="31">
        <f t="shared" si="821"/>
        <v>56968.263538234918</v>
      </c>
      <c r="AH369" s="31">
        <f t="shared" si="822"/>
        <v>56968.263538234918</v>
      </c>
      <c r="AI369" s="31">
        <f t="shared" si="823"/>
        <v>1367238.324917638</v>
      </c>
      <c r="AJ369" s="31">
        <f>AI369/$AI$577*'State Admin 1004(b)'!$B$30*0.01</f>
        <v>13011.322544978189</v>
      </c>
      <c r="AK369" s="31">
        <f t="shared" si="824"/>
        <v>1354227.0023726597</v>
      </c>
      <c r="AL369" s="31">
        <f t="shared" si="825"/>
        <v>13542.270023726598</v>
      </c>
      <c r="AM369" s="31">
        <f t="shared" si="826"/>
        <v>1340684.7323489331</v>
      </c>
      <c r="AP369" s="31"/>
      <c r="AQ369" s="4">
        <f t="shared" si="827"/>
        <v>1.0448042380280944</v>
      </c>
      <c r="AR369" s="4">
        <f>VLOOKUP(B369,Allocation!$D$10:$P$235,13,FALSE)</f>
        <v>1.054109600939708</v>
      </c>
      <c r="AS369" s="4">
        <f t="shared" si="828"/>
        <v>0.9</v>
      </c>
      <c r="AT369" s="4" t="str">
        <f t="shared" si="829"/>
        <v/>
      </c>
      <c r="AU369" s="31" t="str">
        <f t="shared" si="830"/>
        <v/>
      </c>
      <c r="AV369" s="31" t="str">
        <f t="shared" si="831"/>
        <v/>
      </c>
      <c r="AW369" s="31">
        <f t="shared" si="832"/>
        <v>1339622.9353608217</v>
      </c>
      <c r="AX369" s="4">
        <f t="shared" si="841"/>
        <v>1.0439767728035441</v>
      </c>
      <c r="AY369" s="4" t="str">
        <f t="shared" si="842"/>
        <v/>
      </c>
      <c r="AZ369" s="174" t="str">
        <f>IFERROR(IF(VLOOKUP(A369,#REF!,11,FALSE)=0,"",VLOOKUP(A369,#REF!,11,FALSE)),"")</f>
        <v/>
      </c>
      <c r="BA369" s="31" t="str">
        <f t="shared" si="835"/>
        <v/>
      </c>
      <c r="BB369" s="31">
        <f t="shared" si="836"/>
        <v>1339622.9353608217</v>
      </c>
      <c r="BD369" s="31">
        <f>IFERROR(VLOOKUP(A369,'Title II Hold Harmless'!A$1:B$439,2, FALSE),"")</f>
        <v>172368</v>
      </c>
      <c r="BE369" s="31">
        <f t="shared" si="837"/>
        <v>197351.84457163137</v>
      </c>
      <c r="BF369" s="31">
        <f t="shared" si="838"/>
        <v>197542.79425775626</v>
      </c>
      <c r="BG369" s="31" t="str">
        <f t="shared" si="839"/>
        <v/>
      </c>
      <c r="BH369" s="31">
        <f t="shared" si="840"/>
        <v>197542.79425775626</v>
      </c>
    </row>
    <row r="370" spans="1:60" x14ac:dyDescent="0.3">
      <c r="A370" s="1">
        <v>80220000</v>
      </c>
      <c r="B370">
        <f>VLOOKUP(C370,'NCES ID'!$A$2:$B$3136,2,FALSE)</f>
        <v>400295</v>
      </c>
      <c r="C370">
        <f>VLOOKUP(A370,'State ID'!$A$2:$B$713,2,FALSE)</f>
        <v>79598</v>
      </c>
      <c r="D370" s="147" t="s">
        <v>242</v>
      </c>
      <c r="E370" t="s">
        <v>5</v>
      </c>
      <c r="F370" s="47">
        <f>VLOOKUP(B370,'Formula counts'!$D$9:$L$234,9,FALSE)</f>
        <v>9068</v>
      </c>
      <c r="G370" s="47">
        <f>VLOOKUP(B370,'Formula counts'!$D$9:$K$234,8,FALSE)</f>
        <v>2737</v>
      </c>
      <c r="H370" s="4">
        <f>VLOOKUP(B370,'Formula counts'!$D$9:$M$234,10,FALSE)</f>
        <v>0.30183061314512571</v>
      </c>
      <c r="I370" s="47">
        <f>VLOOKUP($C370,'Final SEA Counts'!$A$2:$F$709,5,FALSE)</f>
        <v>6384</v>
      </c>
      <c r="J370" s="47">
        <f>VLOOKUP($C370,'Final SEA Counts'!$A$2:$F$709,6,FALSE)</f>
        <v>4432</v>
      </c>
      <c r="K370" s="24">
        <f t="shared" si="805"/>
        <v>7930.5238060691745</v>
      </c>
      <c r="L370" s="24">
        <f t="shared" si="806"/>
        <v>2429.774726043911</v>
      </c>
      <c r="M370" s="4">
        <f t="shared" si="807"/>
        <v>0.30638262811649608</v>
      </c>
      <c r="N370" s="31">
        <f>IFERROR(VLOOKUP($B370,Allocation!$D$10:$O$235,8,FALSE),"")</f>
        <v>1291146.892556444</v>
      </c>
      <c r="O370" s="31">
        <f>IFERROR(VLOOKUP($B370,Allocation!$D$10:$O$235,9,FALSE),"")</f>
        <v>306196.63532094099</v>
      </c>
      <c r="P370" s="31">
        <f>IFERROR(VLOOKUP($B370,Allocation!$D$10:$O$235,10,FALSE),"")</f>
        <v>607320.7694069033</v>
      </c>
      <c r="Q370" s="31">
        <f>IFERROR(VLOOKUP($B370,Allocation!$D$10:$O$235,11,FALSE),"")</f>
        <v>494919.9938546886</v>
      </c>
      <c r="R370" s="31">
        <f>IFERROR(VLOOKUP($B370,Allocation!$D$10:$O$235,12,FALSE),"")</f>
        <v>2699584.2911389768</v>
      </c>
      <c r="S370" s="31">
        <f t="shared" si="808"/>
        <v>1146217.057779971</v>
      </c>
      <c r="T370" s="31">
        <f t="shared" si="809"/>
        <v>271826.39594538056</v>
      </c>
      <c r="U370" s="31">
        <f t="shared" si="810"/>
        <v>539149.6734038858</v>
      </c>
      <c r="V370" s="31">
        <f t="shared" si="811"/>
        <v>439365.76268978073</v>
      </c>
      <c r="W370" s="31">
        <f t="shared" si="812"/>
        <v>1146217.057779971</v>
      </c>
      <c r="X370" s="31">
        <f t="shared" si="813"/>
        <v>271826.39594538056</v>
      </c>
      <c r="Y370" s="31">
        <f t="shared" si="814"/>
        <v>539149.6734038858</v>
      </c>
      <c r="Z370" s="31">
        <f t="shared" si="815"/>
        <v>439365.76268978073</v>
      </c>
      <c r="AA370" s="31">
        <f t="shared" si="816"/>
        <v>1146437.4714210648</v>
      </c>
      <c r="AB370" s="31">
        <f t="shared" si="817"/>
        <v>271878.66723664169</v>
      </c>
      <c r="AC370" s="31">
        <f t="shared" si="818"/>
        <v>539242.31509871571</v>
      </c>
      <c r="AD370" s="31">
        <f t="shared" si="819"/>
        <v>439437.84179076477</v>
      </c>
      <c r="AE370" s="31">
        <f t="shared" si="820"/>
        <v>2396996.2955471869</v>
      </c>
      <c r="AF370" s="31">
        <f>IFERROR(VLOOKUP(A370,'Allocations By Type'!$D$7:$F$491,3,FALSE),"")</f>
        <v>1881652.89</v>
      </c>
      <c r="AG370" s="31">
        <f t="shared" si="821"/>
        <v>95879.851821887481</v>
      </c>
      <c r="AH370" s="31">
        <f t="shared" si="822"/>
        <v>95879.851821887481</v>
      </c>
      <c r="AI370" s="31">
        <f t="shared" si="823"/>
        <v>2301116.4437252996</v>
      </c>
      <c r="AJ370" s="31">
        <f>AI370/$AI$577*'State Admin 1004(b)'!$B$30*0.01</f>
        <v>21898.57299726193</v>
      </c>
      <c r="AK370" s="31">
        <f t="shared" si="824"/>
        <v>2279217.8707280378</v>
      </c>
      <c r="AL370" s="31">
        <f t="shared" si="825"/>
        <v>22792.178707280378</v>
      </c>
      <c r="AM370" s="31">
        <f t="shared" si="826"/>
        <v>2256425.6920207576</v>
      </c>
      <c r="AP370" s="31"/>
      <c r="AQ370" s="4">
        <f t="shared" si="827"/>
        <v>1.1991721236219917</v>
      </c>
      <c r="AR370" s="4">
        <f>VLOOKUP(B370,Allocation!$D$10:$P$235,13,FALSE)</f>
        <v>1.2100031579699255</v>
      </c>
      <c r="AS370" s="4">
        <f t="shared" si="828"/>
        <v>0.95</v>
      </c>
      <c r="AT370" s="4" t="str">
        <f t="shared" si="829"/>
        <v/>
      </c>
      <c r="AU370" s="31" t="str">
        <f t="shared" si="830"/>
        <v/>
      </c>
      <c r="AV370" s="31" t="str">
        <f t="shared" si="831"/>
        <v/>
      </c>
      <c r="AW370" s="31">
        <f t="shared" si="832"/>
        <v>2254638.6454870901</v>
      </c>
      <c r="AX370" s="4">
        <f t="shared" si="841"/>
        <v>1.1982224019474124</v>
      </c>
      <c r="AY370" s="4" t="str">
        <f t="shared" si="842"/>
        <v/>
      </c>
      <c r="AZ370" s="174" t="str">
        <f>IFERROR(IF(VLOOKUP(A370,#REF!,11,FALSE)=0,"",VLOOKUP(A370,#REF!,11,FALSE)),"")</f>
        <v/>
      </c>
      <c r="BA370" s="31" t="str">
        <f t="shared" si="835"/>
        <v/>
      </c>
      <c r="BB370" s="31">
        <f t="shared" si="836"/>
        <v>2254638.6454870901</v>
      </c>
      <c r="BD370" s="31">
        <f>IFERROR(VLOOKUP(A370,'Title II Hold Harmless'!A$1:B$439,2, FALSE),"")</f>
        <v>228871</v>
      </c>
      <c r="BE370" s="31">
        <f t="shared" si="837"/>
        <v>267060.86936537171</v>
      </c>
      <c r="BF370" s="31">
        <f t="shared" si="838"/>
        <v>267319.26669270475</v>
      </c>
      <c r="BG370" s="31" t="str">
        <f t="shared" si="839"/>
        <v/>
      </c>
      <c r="BH370" s="31">
        <f t="shared" si="840"/>
        <v>267319.26669270475</v>
      </c>
    </row>
    <row r="371" spans="1:60" x14ac:dyDescent="0.3">
      <c r="A371" s="1">
        <v>80322000</v>
      </c>
      <c r="B371">
        <f>VLOOKUP(C371,'NCES ID'!$A$2:$B$3136,2,FALSE)</f>
        <v>408880</v>
      </c>
      <c r="C371">
        <f>VLOOKUP(A371,'State ID'!$A$2:$B$713,2,FALSE)</f>
        <v>4380</v>
      </c>
      <c r="D371" s="190" t="s">
        <v>464</v>
      </c>
      <c r="E371" t="s">
        <v>5</v>
      </c>
      <c r="F371" s="47">
        <f>VLOOKUP(B371,'Formula counts'!$D$9:$L$234,9,FALSE)</f>
        <v>39</v>
      </c>
      <c r="G371" s="47">
        <f>VLOOKUP(B371,'Formula counts'!$D$9:$K$234,8,FALSE)</f>
        <v>10</v>
      </c>
      <c r="H371" s="4">
        <f>VLOOKUP(B371,'Formula counts'!$D$9:$M$234,10,FALSE)</f>
        <v>0.25641025641025639</v>
      </c>
      <c r="I371" s="47">
        <f>VLOOKUP($C371,'Final SEA Counts'!$A$2:$F$709,5,FALSE)</f>
        <v>74</v>
      </c>
      <c r="J371" s="47">
        <f>VLOOKUP($C371,'Final SEA Counts'!$A$2:$F$709,6,FALSE)</f>
        <v>61</v>
      </c>
      <c r="K371" s="24">
        <f t="shared" si="805"/>
        <v>34.107899033601434</v>
      </c>
      <c r="L371" s="24">
        <f t="shared" si="806"/>
        <v>8.8775108733792862</v>
      </c>
      <c r="M371" s="4">
        <f t="shared" si="807"/>
        <v>0.26027727080561591</v>
      </c>
      <c r="N371" s="31">
        <f>IFERROR(VLOOKUP($B371,Allocation!$D$10:$O$235,8,FALSE),"")</f>
        <v>4717.3799508821467</v>
      </c>
      <c r="O371" s="31">
        <f>IFERROR(VLOOKUP($B371,Allocation!$D$10:$O$235,9,FALSE),"")</f>
        <v>1118.7308561232774</v>
      </c>
      <c r="P371" s="31">
        <f>IFERROR(VLOOKUP($B371,Allocation!$D$10:$O$235,10,FALSE),"")</f>
        <v>1982.7542053998498</v>
      </c>
      <c r="Q371" s="31">
        <f>IFERROR(VLOOKUP($B371,Allocation!$D$10:$O$235,11,FALSE),"")</f>
        <v>1542.6654365506768</v>
      </c>
      <c r="R371" s="31">
        <f>IFERROR(VLOOKUP($B371,Allocation!$D$10:$O$235,12,FALSE),"")</f>
        <v>9361.5304489559512</v>
      </c>
      <c r="S371" s="31">
        <f t="shared" si="808"/>
        <v>4187.8591807817702</v>
      </c>
      <c r="T371" s="31">
        <f t="shared" si="809"/>
        <v>993.15453396193129</v>
      </c>
      <c r="U371" s="31">
        <f t="shared" si="810"/>
        <v>1760.1922017675672</v>
      </c>
      <c r="V371" s="31">
        <f t="shared" si="811"/>
        <v>1369.5029186965037</v>
      </c>
      <c r="AA371" s="31" t="str">
        <f t="shared" si="816"/>
        <v/>
      </c>
      <c r="AB371" s="31" t="str">
        <f t="shared" si="817"/>
        <v/>
      </c>
      <c r="AC371" s="31" t="str">
        <f t="shared" si="818"/>
        <v/>
      </c>
      <c r="AD371" s="31" t="str">
        <f t="shared" si="819"/>
        <v/>
      </c>
      <c r="AE371" s="31">
        <f t="shared" si="820"/>
        <v>0</v>
      </c>
      <c r="AF371" s="31" t="str">
        <f>IFERROR(VLOOKUP(A371,'Allocations By Type'!$D$7:$F$491,3,FALSE),"")</f>
        <v/>
      </c>
      <c r="AG371" s="31" t="str">
        <f t="shared" si="821"/>
        <v/>
      </c>
      <c r="AH371" s="31" t="str">
        <f t="shared" si="822"/>
        <v/>
      </c>
      <c r="AI371" s="31">
        <f t="shared" si="823"/>
        <v>0</v>
      </c>
      <c r="AJ371" s="31">
        <f>AI371/$AI$577*'State Admin 1004(b)'!$B$30*0.01</f>
        <v>0</v>
      </c>
      <c r="AK371" s="31">
        <f t="shared" si="824"/>
        <v>0</v>
      </c>
      <c r="AL371" s="31">
        <f t="shared" si="825"/>
        <v>0</v>
      </c>
      <c r="AM371" s="31">
        <f t="shared" si="826"/>
        <v>0</v>
      </c>
      <c r="AP371" s="31"/>
      <c r="AQ371" s="4" t="str">
        <f t="shared" si="827"/>
        <v/>
      </c>
      <c r="AS371" s="4">
        <f t="shared" si="828"/>
        <v>0.9</v>
      </c>
      <c r="AT371" s="4" t="str">
        <f t="shared" si="829"/>
        <v/>
      </c>
      <c r="AU371" s="31" t="str">
        <f t="shared" si="830"/>
        <v/>
      </c>
      <c r="AV371" s="31" t="str">
        <f t="shared" si="831"/>
        <v/>
      </c>
      <c r="AW371" s="31">
        <f t="shared" si="832"/>
        <v>0</v>
      </c>
      <c r="AX371" s="4" t="str">
        <f t="shared" si="841"/>
        <v/>
      </c>
      <c r="AY371" s="4" t="str">
        <f t="shared" si="842"/>
        <v/>
      </c>
      <c r="AZ371" s="174" t="str">
        <f>IFERROR(IF(VLOOKUP(A371,#REF!,11,FALSE)=0,"",VLOOKUP(A371,#REF!,11,FALSE)),"")</f>
        <v/>
      </c>
      <c r="BA371" s="31" t="str">
        <f t="shared" si="835"/>
        <v/>
      </c>
      <c r="BB371" s="31">
        <f t="shared" si="836"/>
        <v>0</v>
      </c>
      <c r="BD371" s="31" t="str">
        <f>IFERROR(VLOOKUP(A371,'Title II Hold Harmless'!A$1:B$439,2, FALSE),"")</f>
        <v/>
      </c>
      <c r="BE371" s="31"/>
      <c r="BF371" s="31">
        <f t="shared" si="838"/>
        <v>0</v>
      </c>
      <c r="BG371" s="31" t="str">
        <f t="shared" si="839"/>
        <v/>
      </c>
      <c r="BH371" s="31">
        <f t="shared" si="840"/>
        <v>0</v>
      </c>
    </row>
    <row r="372" spans="1:60" x14ac:dyDescent="0.3">
      <c r="A372" s="1">
        <v>88704000</v>
      </c>
      <c r="B372">
        <f>VLOOKUP(C372,'NCES ID'!$A$2:$B$3136,2,FALSE)</f>
        <v>400414</v>
      </c>
      <c r="C372">
        <f>VLOOKUP(A372,'State ID'!$A$2:$B$713,2,FALSE)</f>
        <v>85540</v>
      </c>
      <c r="D372" s="147" t="s">
        <v>4</v>
      </c>
      <c r="E372" t="s">
        <v>5</v>
      </c>
      <c r="I372" s="47">
        <f>VLOOKUP($C372,'Final SEA Counts'!$A$2:$F$709,5,FALSE)</f>
        <v>43</v>
      </c>
      <c r="J372" s="47">
        <f>VLOOKUP($C372,'Final SEA Counts'!$A$2:$F$709,6,FALSE)</f>
        <v>39</v>
      </c>
      <c r="K372" s="24">
        <f>I372</f>
        <v>43</v>
      </c>
      <c r="L372" s="24">
        <f t="shared" ref="L372:L378" si="843">J372*$B$380</f>
        <v>24.234772350987697</v>
      </c>
      <c r="M372" s="4">
        <f t="shared" si="807"/>
        <v>0.56359935699971386</v>
      </c>
      <c r="N372" s="31" t="str">
        <f>IFERROR(VLOOKUP($B372,#REF!,8,FALSE),"")</f>
        <v/>
      </c>
      <c r="O372" s="31" t="str">
        <f>IFERROR(VLOOKUP($B372,#REF!,9,FALSE),"")</f>
        <v/>
      </c>
      <c r="P372" s="31" t="str">
        <f>IFERROR(VLOOKUP($B372,#REF!,10,FALSE),"")</f>
        <v/>
      </c>
      <c r="Q372" s="31" t="str">
        <f>IFERROR(VLOOKUP($B372,#REF!,11,FALSE),"")</f>
        <v/>
      </c>
      <c r="R372" s="31" t="str">
        <f>IFERROR(VLOOKUP($B372,#REF!,12,FALSE),"")</f>
        <v/>
      </c>
      <c r="S372" s="31">
        <f t="shared" ref="S372:V378" si="844">$L372*N$381</f>
        <v>11762.148799924173</v>
      </c>
      <c r="T372" s="31">
        <f t="shared" si="844"/>
        <v>2780.0691019525952</v>
      </c>
      <c r="U372" s="31">
        <f t="shared" si="844"/>
        <v>6107.9599597923116</v>
      </c>
      <c r="V372" s="31">
        <f t="shared" si="844"/>
        <v>5577.247040941792</v>
      </c>
      <c r="W372" s="31">
        <f t="shared" ref="W372:W377" si="845">IF(AND($L372&gt;9,$L372&gt;($K372*0.02)),S372,"")</f>
        <v>11762.148799924173</v>
      </c>
      <c r="X372" s="31">
        <f t="shared" ref="X372:X377" si="846">IF(W372="","",IF(OR($L372&gt;6500,$L372&gt;($K372*0.15)),T372,""))</f>
        <v>2780.0691019525952</v>
      </c>
      <c r="Y372" s="31">
        <f t="shared" ref="Y372:Y377" si="847">IF(AND($L372&gt;9,$L372&gt;($K372*0.05)),U372,"")</f>
        <v>6107.9599597923116</v>
      </c>
      <c r="Z372" s="31">
        <f t="shared" ref="Z372:Z377" si="848">IF(AND($L372&gt;9,$L372&gt;($K372*0.05)),V372,"")</f>
        <v>5577.247040941792</v>
      </c>
      <c r="AA372" s="31">
        <f t="shared" si="816"/>
        <v>11982.562441017961</v>
      </c>
      <c r="AB372" s="31">
        <f t="shared" si="817"/>
        <v>2832.340393213748</v>
      </c>
      <c r="AC372" s="31">
        <f t="shared" si="818"/>
        <v>6200.6016546221845</v>
      </c>
      <c r="AD372" s="31">
        <f t="shared" si="819"/>
        <v>5649.3261419258179</v>
      </c>
      <c r="AE372" s="31">
        <f t="shared" si="820"/>
        <v>26664.83063077971</v>
      </c>
      <c r="AF372" s="31">
        <f>IFERROR(VLOOKUP(A372,'Allocations By Type'!$D$7:$F$491,3,FALSE),"")</f>
        <v>21993.9</v>
      </c>
      <c r="AG372" s="31">
        <f t="shared" si="821"/>
        <v>1066.5932252311884</v>
      </c>
      <c r="AH372" s="31">
        <f t="shared" si="822"/>
        <v>1066.5932252311884</v>
      </c>
      <c r="AI372" s="31">
        <f t="shared" si="823"/>
        <v>25598.237405548523</v>
      </c>
      <c r="AJ372" s="31">
        <f>AI372/$AI$577*'State Admin 1004(b)'!$B$30*0.01</f>
        <v>243.60560803222168</v>
      </c>
      <c r="AK372" s="31">
        <f t="shared" si="824"/>
        <v>25354.6317975163</v>
      </c>
      <c r="AL372" s="31">
        <f t="shared" si="825"/>
        <v>253.54631797516302</v>
      </c>
      <c r="AM372" s="31">
        <f t="shared" si="826"/>
        <v>25101.085479541136</v>
      </c>
      <c r="AP372" s="31"/>
      <c r="AQ372" s="4">
        <f t="shared" si="827"/>
        <v>1.1412748752854716</v>
      </c>
      <c r="AW372" s="31">
        <f t="shared" si="832"/>
        <v>25081.205893895516</v>
      </c>
      <c r="AX372" s="4">
        <f t="shared" si="841"/>
        <v>1.140371007138139</v>
      </c>
      <c r="AZ372" s="174" t="str">
        <f>IFERROR(IF(VLOOKUP(A372,#REF!,11,FALSE)=0,"",VLOOKUP(A372,#REF!,11,FALSE)),"")</f>
        <v/>
      </c>
      <c r="BA372" s="31" t="str">
        <f t="shared" si="835"/>
        <v/>
      </c>
      <c r="BB372" s="31">
        <f t="shared" si="836"/>
        <v>25081.205893895516</v>
      </c>
      <c r="BD372" s="31" t="str">
        <f>IFERROR(VLOOKUP(A372,'Title II Hold Harmless'!A$1:B$439,2, FALSE),"")</f>
        <v/>
      </c>
      <c r="BE372" s="31">
        <f t="shared" ref="BE372:BE377" si="849">IFERROR($BD$582*(0.8*($L372/$L$579)+0.2*($K372/$K$579))+$BD372,$BD$582*(0.8*($L372/$L$579)+0.2*($K372/$K$579)))</f>
        <v>351.85586539217695</v>
      </c>
      <c r="BF372" s="31">
        <f t="shared" si="838"/>
        <v>352.19630693810564</v>
      </c>
      <c r="BG372" s="31" t="str">
        <f t="shared" si="839"/>
        <v/>
      </c>
      <c r="BH372" s="31">
        <f t="shared" si="840"/>
        <v>352.19630693810564</v>
      </c>
    </row>
    <row r="373" spans="1:60" s="47" customFormat="1" x14ac:dyDescent="0.3">
      <c r="A373" s="1">
        <v>88620000</v>
      </c>
      <c r="B373" s="47">
        <f>VLOOKUP(C373,'NCES ID'!$A$2:$B$3136,2,FALSE)</f>
        <v>400074</v>
      </c>
      <c r="C373" s="47">
        <f>VLOOKUP(A373,'State ID'!$A$2:$B$713,2,FALSE)</f>
        <v>4383</v>
      </c>
      <c r="D373" s="192" t="s">
        <v>241</v>
      </c>
      <c r="E373" s="47" t="s">
        <v>5</v>
      </c>
      <c r="H373" s="4"/>
      <c r="I373" s="47">
        <f>VLOOKUP($C373,'AzEDS FY17 12-04-16'!$A$1:$D$712,3,FALSE)</f>
        <v>1333</v>
      </c>
      <c r="J373" s="47">
        <f>VLOOKUP($C373,'AzEDS FY17 12-04-16'!$A$1:$D$712,4,FALSE)</f>
        <v>352</v>
      </c>
      <c r="K373" s="24">
        <f>I373</f>
        <v>1333</v>
      </c>
      <c r="L373" s="24">
        <f t="shared" si="843"/>
        <v>218.73435557814537</v>
      </c>
      <c r="M373" s="4">
        <f t="shared" ref="M373" si="850">L373/K373</f>
        <v>0.16409178963101678</v>
      </c>
      <c r="N373" s="31"/>
      <c r="O373" s="31"/>
      <c r="P373" s="31"/>
      <c r="Q373" s="31"/>
      <c r="R373" s="31"/>
      <c r="S373" s="31">
        <f t="shared" si="844"/>
        <v>106160.93275828996</v>
      </c>
      <c r="T373" s="31">
        <f t="shared" si="844"/>
        <v>25091.905740700346</v>
      </c>
      <c r="U373" s="31">
        <f t="shared" si="844"/>
        <v>55128.2539960742</v>
      </c>
      <c r="V373" s="31">
        <f t="shared" si="844"/>
        <v>50338.229702859251</v>
      </c>
      <c r="W373" s="31">
        <f t="shared" ref="W373" si="851">IF(AND($L373&gt;9,$L373&gt;($K373*0.02)),S373,"")</f>
        <v>106160.93275828996</v>
      </c>
      <c r="X373" s="31">
        <f t="shared" ref="X373" si="852">IF(W373="","",IF(OR($L373&gt;6500,$L373&gt;($K373*0.15)),T373,""))</f>
        <v>25091.905740700346</v>
      </c>
      <c r="Y373" s="31">
        <f t="shared" ref="Y373" si="853">IF(AND($L373&gt;9,$L373&gt;($K373*0.05)),U373,"")</f>
        <v>55128.2539960742</v>
      </c>
      <c r="Z373" s="31">
        <f t="shared" ref="Z373" si="854">IF(AND($L373&gt;9,$L373&gt;($K373*0.05)),V373,"")</f>
        <v>50338.229702859251</v>
      </c>
      <c r="AA373" s="31">
        <f t="shared" si="816"/>
        <v>106381.34639938375</v>
      </c>
      <c r="AB373" s="31">
        <f t="shared" si="817"/>
        <v>25144.177031961499</v>
      </c>
      <c r="AC373" s="31">
        <f t="shared" si="818"/>
        <v>55220.895690904072</v>
      </c>
      <c r="AD373" s="31">
        <f t="shared" si="819"/>
        <v>50410.308803843276</v>
      </c>
      <c r="AE373" s="31">
        <f t="shared" ref="AE373" si="855">SUM(AA373:AD373)</f>
        <v>237156.72792609257</v>
      </c>
      <c r="AF373" s="31">
        <f>IFERROR(VLOOKUP(A373,'Allocations By Type'!$D$7:$F$491,3,FALSE),"")</f>
        <v>211917.28</v>
      </c>
      <c r="AG373" s="31">
        <f t="shared" ref="AG373" si="856">IF(AE373&gt;AF373,AE373*0.04,"")</f>
        <v>9486.2691170437029</v>
      </c>
      <c r="AH373" s="31">
        <f t="shared" ref="AH373" si="857">IF(AG373="","",IF((AE373-AF373)&gt;AG373,AG373,AE373-AF373))</f>
        <v>9486.2691170437029</v>
      </c>
      <c r="AI373" s="31">
        <f t="shared" ref="AI373" si="858">IF(AH373="",AE373,AE373-AH373)</f>
        <v>227670.45880904887</v>
      </c>
      <c r="AJ373" s="31">
        <f>AI373/$AI$577*'State Admin 1004(b)'!$B$30*0.01</f>
        <v>2166.6257590505684</v>
      </c>
      <c r="AK373" s="31">
        <f t="shared" ref="AK373" si="859">AI373-AJ373</f>
        <v>225503.8330499983</v>
      </c>
      <c r="AL373" s="31">
        <f t="shared" ref="AL373" si="860">AK373*0.01</f>
        <v>2255.0383304999832</v>
      </c>
      <c r="AM373" s="31">
        <f t="shared" ref="AM373" si="861">AK373-AL373</f>
        <v>223248.79471949831</v>
      </c>
      <c r="AP373" s="31"/>
      <c r="AQ373" s="4">
        <f t="shared" si="827"/>
        <v>1.0534714050666294</v>
      </c>
      <c r="AR373" s="4"/>
      <c r="AS373" s="4"/>
      <c r="AT373" s="4"/>
      <c r="AW373" s="31">
        <f t="shared" si="832"/>
        <v>223071.98589031343</v>
      </c>
      <c r="AX373" s="4">
        <f t="shared" si="841"/>
        <v>1.052637075609471</v>
      </c>
      <c r="AZ373" s="174"/>
      <c r="BA373" s="31"/>
      <c r="BB373" s="31">
        <f t="shared" si="836"/>
        <v>223071.98589031343</v>
      </c>
      <c r="BD373" s="31">
        <f>IFERROR(VLOOKUP(A373,'Title II Hold Harmless'!A$1:B$439,2, FALSE),"")</f>
        <v>15846</v>
      </c>
      <c r="BE373" s="31">
        <f t="shared" si="849"/>
        <v>19782.177896807865</v>
      </c>
      <c r="BF373" s="31">
        <f t="shared" si="838"/>
        <v>19801.318334377433</v>
      </c>
      <c r="BG373" s="31"/>
      <c r="BH373" s="31">
        <f t="shared" si="840"/>
        <v>19801.318334377433</v>
      </c>
    </row>
    <row r="374" spans="1:60" x14ac:dyDescent="0.3">
      <c r="A374" s="1">
        <v>88759000</v>
      </c>
      <c r="B374">
        <f>VLOOKUP(C374,'NCES ID'!$A$2:$B$3136,2,FALSE)</f>
        <v>400281</v>
      </c>
      <c r="C374">
        <f>VLOOKUP(A374,'State ID'!$A$2:$B$713,2,FALSE)</f>
        <v>79499</v>
      </c>
      <c r="D374" s="147" t="s">
        <v>276</v>
      </c>
      <c r="E374" t="s">
        <v>5</v>
      </c>
      <c r="I374" s="47">
        <f>VLOOKUP($C374,'Final SEA Counts'!$A$2:$F$709,5,FALSE)</f>
        <v>529</v>
      </c>
      <c r="J374" s="47">
        <f>VLOOKUP($C374,'Final SEA Counts'!$A$2:$F$709,6,FALSE)</f>
        <v>323</v>
      </c>
      <c r="K374" s="24">
        <f t="shared" ref="K374:K377" si="862">I374</f>
        <v>529</v>
      </c>
      <c r="L374" s="24">
        <f t="shared" si="843"/>
        <v>200.71362741971862</v>
      </c>
      <c r="M374" s="4">
        <f t="shared" si="807"/>
        <v>0.37942084578396712</v>
      </c>
      <c r="N374" s="31" t="str">
        <f>IFERROR(VLOOKUP($B374,#REF!,8,FALSE),"")</f>
        <v/>
      </c>
      <c r="O374" s="31" t="str">
        <f>IFERROR(VLOOKUP($B374,#REF!,9,FALSE),"")</f>
        <v/>
      </c>
      <c r="P374" s="31" t="str">
        <f>IFERROR(VLOOKUP($B374,#REF!,10,FALSE),"")</f>
        <v/>
      </c>
      <c r="Q374" s="31" t="str">
        <f>IFERROR(VLOOKUP($B374,#REF!,11,FALSE),"")</f>
        <v/>
      </c>
      <c r="R374" s="31" t="str">
        <f>IFERROR(VLOOKUP($B374,#REF!,12,FALSE),"")</f>
        <v/>
      </c>
      <c r="S374" s="31">
        <f t="shared" si="844"/>
        <v>97414.719548089939</v>
      </c>
      <c r="T374" s="31">
        <f t="shared" si="844"/>
        <v>23024.674870017647</v>
      </c>
      <c r="U374" s="31">
        <f t="shared" si="844"/>
        <v>50586.437615715811</v>
      </c>
      <c r="V374" s="31">
        <f t="shared" si="844"/>
        <v>46191.046005748685</v>
      </c>
      <c r="W374" s="31">
        <f t="shared" si="845"/>
        <v>97414.719548089939</v>
      </c>
      <c r="X374" s="31">
        <f t="shared" si="846"/>
        <v>23024.674870017647</v>
      </c>
      <c r="Y374" s="31">
        <f t="shared" si="847"/>
        <v>50586.437615715811</v>
      </c>
      <c r="Z374" s="31">
        <f t="shared" si="848"/>
        <v>46191.046005748685</v>
      </c>
      <c r="AA374" s="31">
        <f t="shared" si="816"/>
        <v>97635.133189183733</v>
      </c>
      <c r="AB374" s="31">
        <f t="shared" si="817"/>
        <v>23076.9461612788</v>
      </c>
      <c r="AC374" s="31">
        <f t="shared" si="818"/>
        <v>50679.079310545683</v>
      </c>
      <c r="AD374" s="31">
        <f t="shared" si="819"/>
        <v>46263.12510673271</v>
      </c>
      <c r="AE374" s="31">
        <f t="shared" si="820"/>
        <v>217654.28376774094</v>
      </c>
      <c r="AF374" s="31">
        <f>IFERROR(VLOOKUP(A374,'Allocations By Type'!$D$7:$F$491,3,FALSE),"")</f>
        <v>240999.3</v>
      </c>
      <c r="AG374" s="31" t="str">
        <f t="shared" si="821"/>
        <v/>
      </c>
      <c r="AH374" s="31" t="str">
        <f t="shared" si="822"/>
        <v/>
      </c>
      <c r="AI374" s="31">
        <f t="shared" si="823"/>
        <v>217654.28376774094</v>
      </c>
      <c r="AJ374" s="31">
        <f>AI374/$AI$577*'State Admin 1004(b)'!$B$30*0.01</f>
        <v>2071.3068364060705</v>
      </c>
      <c r="AK374" s="31">
        <f t="shared" si="824"/>
        <v>215582.97693133488</v>
      </c>
      <c r="AL374" s="31">
        <f t="shared" si="825"/>
        <v>2155.8297693133491</v>
      </c>
      <c r="AM374" s="31">
        <f t="shared" si="826"/>
        <v>213427.14716202155</v>
      </c>
      <c r="AP374" s="31"/>
      <c r="AQ374" s="4">
        <f t="shared" si="827"/>
        <v>0.88559239450911909</v>
      </c>
      <c r="AW374" s="31">
        <f t="shared" si="832"/>
        <v>213258.11689221248</v>
      </c>
      <c r="AX374" s="4">
        <f t="shared" si="841"/>
        <v>0.88489102205779224</v>
      </c>
      <c r="AZ374" s="174" t="str">
        <f>IFERROR(IF(VLOOKUP(A374,#REF!,11,FALSE)=0,"",VLOOKUP(A374,#REF!,11,FALSE)),"")</f>
        <v/>
      </c>
      <c r="BA374" s="31" t="str">
        <f t="shared" si="835"/>
        <v/>
      </c>
      <c r="BB374" s="31">
        <f t="shared" si="836"/>
        <v>213258.11689221248</v>
      </c>
      <c r="BD374" s="31">
        <f>IFERROR(VLOOKUP(A374,'Title II Hold Harmless'!A$1:B$439,2, FALSE),"")</f>
        <v>6962</v>
      </c>
      <c r="BE374" s="31">
        <f t="shared" si="849"/>
        <v>10015.215487903244</v>
      </c>
      <c r="BF374" s="31">
        <f t="shared" si="838"/>
        <v>10024.905806521949</v>
      </c>
      <c r="BG374" s="31" t="str">
        <f t="shared" si="839"/>
        <v/>
      </c>
      <c r="BH374" s="31">
        <f t="shared" si="840"/>
        <v>10024.905806521949</v>
      </c>
    </row>
    <row r="375" spans="1:60" x14ac:dyDescent="0.3">
      <c r="A375" s="1">
        <v>88758000</v>
      </c>
      <c r="B375">
        <f>VLOOKUP(C375,'NCES ID'!$A$2:$B$3136,2,FALSE)</f>
        <v>400280</v>
      </c>
      <c r="C375">
        <f>VLOOKUP(A375,'State ID'!$A$2:$B$713,2,FALSE)</f>
        <v>79498</v>
      </c>
      <c r="D375" s="147" t="s">
        <v>290</v>
      </c>
      <c r="E375" t="s">
        <v>5</v>
      </c>
      <c r="I375" s="47">
        <f>VLOOKUP($C375,'Final SEA Counts'!$A$2:$F$709,5,FALSE)</f>
        <v>418</v>
      </c>
      <c r="J375" s="47">
        <f>VLOOKUP($C375,'Final SEA Counts'!$A$2:$F$709,6,FALSE)</f>
        <v>276</v>
      </c>
      <c r="K375" s="24">
        <f t="shared" si="862"/>
        <v>418</v>
      </c>
      <c r="L375" s="24">
        <f t="shared" si="843"/>
        <v>171.50761971468216</v>
      </c>
      <c r="M375" s="4">
        <f t="shared" si="807"/>
        <v>0.41030531032220613</v>
      </c>
      <c r="N375" s="31" t="str">
        <f>IFERROR(VLOOKUP($B375,#REF!,8,FALSE),"")</f>
        <v/>
      </c>
      <c r="O375" s="31" t="str">
        <f>IFERROR(VLOOKUP($B375,#REF!,9,FALSE),"")</f>
        <v/>
      </c>
      <c r="P375" s="31" t="str">
        <f>IFERROR(VLOOKUP($B375,#REF!,10,FALSE),"")</f>
        <v/>
      </c>
      <c r="Q375" s="31" t="str">
        <f>IFERROR(VLOOKUP($B375,#REF!,11,FALSE),"")</f>
        <v/>
      </c>
      <c r="R375" s="31" t="str">
        <f>IFERROR(VLOOKUP($B375,#REF!,12,FALSE),"")</f>
        <v/>
      </c>
      <c r="S375" s="31">
        <f t="shared" si="844"/>
        <v>83239.822276386447</v>
      </c>
      <c r="T375" s="31">
        <f t="shared" si="844"/>
        <v>19674.335183049134</v>
      </c>
      <c r="U375" s="31">
        <f t="shared" si="844"/>
        <v>43225.56279237636</v>
      </c>
      <c r="V375" s="31">
        <f t="shared" si="844"/>
        <v>39469.74828974191</v>
      </c>
      <c r="W375" s="31">
        <f t="shared" si="845"/>
        <v>83239.822276386447</v>
      </c>
      <c r="X375" s="31">
        <f t="shared" si="846"/>
        <v>19674.335183049134</v>
      </c>
      <c r="Y375" s="31">
        <f t="shared" si="847"/>
        <v>43225.56279237636</v>
      </c>
      <c r="Z375" s="31">
        <f t="shared" si="848"/>
        <v>39469.74828974191</v>
      </c>
      <c r="AA375" s="31">
        <f t="shared" si="816"/>
        <v>83460.23591748024</v>
      </c>
      <c r="AB375" s="31">
        <f t="shared" si="817"/>
        <v>19726.606474310287</v>
      </c>
      <c r="AC375" s="31">
        <f t="shared" si="818"/>
        <v>43318.204487206232</v>
      </c>
      <c r="AD375" s="31">
        <f t="shared" si="819"/>
        <v>39541.827390725935</v>
      </c>
      <c r="AE375" s="31">
        <f t="shared" si="820"/>
        <v>186046.8742697227</v>
      </c>
      <c r="AF375" s="31">
        <f>IFERROR(VLOOKUP(A375,'Allocations By Type'!$D$7:$F$491,3,FALSE),"")</f>
        <v>174952.08</v>
      </c>
      <c r="AG375" s="31">
        <f t="shared" si="821"/>
        <v>7441.8749707889083</v>
      </c>
      <c r="AH375" s="31">
        <f t="shared" si="822"/>
        <v>7441.8749707889083</v>
      </c>
      <c r="AI375" s="31">
        <f t="shared" si="823"/>
        <v>178604.99929893378</v>
      </c>
      <c r="AJ375" s="31">
        <f>AI375/$AI$577*'State Admin 1004(b)'!$B$30*0.01</f>
        <v>1699.6943485796601</v>
      </c>
      <c r="AK375" s="31">
        <f t="shared" si="824"/>
        <v>176905.30495035413</v>
      </c>
      <c r="AL375" s="31">
        <f t="shared" si="825"/>
        <v>1769.0530495035414</v>
      </c>
      <c r="AM375" s="31">
        <f t="shared" si="826"/>
        <v>175136.25190085059</v>
      </c>
      <c r="AP375" s="31"/>
      <c r="AQ375" s="4">
        <f t="shared" si="827"/>
        <v>1.0010526991211</v>
      </c>
      <c r="AW375" s="31">
        <f t="shared" si="832"/>
        <v>174997.54729693403</v>
      </c>
      <c r="AX375" s="4">
        <f t="shared" si="841"/>
        <v>1.0002598842890811</v>
      </c>
      <c r="AZ375" s="174" t="str">
        <f>IFERROR(IF(VLOOKUP(A375,#REF!,11,FALSE)=0,"",VLOOKUP(A375,#REF!,11,FALSE)),"")</f>
        <v/>
      </c>
      <c r="BA375" s="31" t="str">
        <f t="shared" si="835"/>
        <v/>
      </c>
      <c r="BB375" s="31">
        <f t="shared" si="836"/>
        <v>174997.54729693403</v>
      </c>
      <c r="BD375" s="31">
        <f>IFERROR(VLOOKUP(A375,'Title II Hold Harmless'!A$1:B$439,2, FALSE),"")</f>
        <v>6332</v>
      </c>
      <c r="BE375" s="31">
        <f t="shared" si="849"/>
        <v>8913.5564274730059</v>
      </c>
      <c r="BF375" s="31">
        <f t="shared" si="838"/>
        <v>8922.1808252118608</v>
      </c>
      <c r="BG375" s="31" t="str">
        <f t="shared" si="839"/>
        <v/>
      </c>
      <c r="BH375" s="31">
        <f t="shared" si="840"/>
        <v>8922.1808252118608</v>
      </c>
    </row>
    <row r="376" spans="1:60" x14ac:dyDescent="0.3">
      <c r="A376" s="1">
        <v>88702000</v>
      </c>
      <c r="B376">
        <f>VLOOKUP(C376,'NCES ID'!$A$2:$B$3136,2,FALSE)</f>
        <v>400248</v>
      </c>
      <c r="C376">
        <f>VLOOKUP(A376,'State ID'!$A$2:$B$713,2,FALSE)</f>
        <v>79218</v>
      </c>
      <c r="D376" s="147" t="s">
        <v>408</v>
      </c>
      <c r="E376" t="s">
        <v>5</v>
      </c>
      <c r="I376" s="47">
        <f>VLOOKUP($C376,'Final SEA Counts'!$A$2:$F$709,5,FALSE)</f>
        <v>447</v>
      </c>
      <c r="J376" s="47">
        <f>VLOOKUP($C376,'Final SEA Counts'!$A$2:$F$709,6,FALSE)</f>
        <v>233</v>
      </c>
      <c r="K376" s="24">
        <f t="shared" si="862"/>
        <v>447</v>
      </c>
      <c r="L376" s="24">
        <f t="shared" si="843"/>
        <v>144.78722968667009</v>
      </c>
      <c r="M376" s="4">
        <f t="shared" si="807"/>
        <v>0.32390879124534694</v>
      </c>
      <c r="N376" s="31" t="str">
        <f>IFERROR(VLOOKUP($B376,#REF!,8,FALSE),"")</f>
        <v/>
      </c>
      <c r="O376" s="31" t="str">
        <f>IFERROR(VLOOKUP($B376,#REF!,9,FALSE),"")</f>
        <v/>
      </c>
      <c r="P376" s="31" t="str">
        <f>IFERROR(VLOOKUP($B376,#REF!,10,FALSE),"")</f>
        <v/>
      </c>
      <c r="Q376" s="31" t="str">
        <f>IFERROR(VLOOKUP($B376,#REF!,11,FALSE),"")</f>
        <v/>
      </c>
      <c r="R376" s="31" t="str">
        <f>IFERROR(VLOOKUP($B376,#REF!,12,FALSE),"")</f>
        <v/>
      </c>
      <c r="S376" s="31">
        <f t="shared" si="844"/>
        <v>70271.299240572611</v>
      </c>
      <c r="T376" s="31">
        <f t="shared" si="844"/>
        <v>16609.13078858858</v>
      </c>
      <c r="U376" s="31">
        <f t="shared" si="844"/>
        <v>36491.145400810477</v>
      </c>
      <c r="V376" s="31">
        <f t="shared" si="844"/>
        <v>33320.475911267633</v>
      </c>
      <c r="W376" s="31">
        <f t="shared" si="845"/>
        <v>70271.299240572611</v>
      </c>
      <c r="X376" s="31">
        <f t="shared" si="846"/>
        <v>16609.13078858858</v>
      </c>
      <c r="Y376" s="31">
        <f t="shared" si="847"/>
        <v>36491.145400810477</v>
      </c>
      <c r="Z376" s="31">
        <f t="shared" si="848"/>
        <v>33320.475911267633</v>
      </c>
      <c r="AA376" s="31">
        <f t="shared" si="816"/>
        <v>70491.712881666404</v>
      </c>
      <c r="AB376" s="31">
        <f t="shared" si="817"/>
        <v>16661.402079849733</v>
      </c>
      <c r="AC376" s="31">
        <f t="shared" si="818"/>
        <v>36583.787095640349</v>
      </c>
      <c r="AD376" s="31">
        <f t="shared" si="819"/>
        <v>33392.555012251658</v>
      </c>
      <c r="AE376" s="31">
        <f t="shared" si="820"/>
        <v>157129.45706940815</v>
      </c>
      <c r="AF376" s="31">
        <f>IFERROR(VLOOKUP(A376,'Allocations By Type'!$D$7:$F$491,3,FALSE),"")</f>
        <v>141289.53</v>
      </c>
      <c r="AG376" s="31">
        <f t="shared" si="821"/>
        <v>6285.1782827763263</v>
      </c>
      <c r="AH376" s="31">
        <f t="shared" si="822"/>
        <v>6285.1782827763263</v>
      </c>
      <c r="AI376" s="31">
        <f t="shared" si="823"/>
        <v>150844.27878663182</v>
      </c>
      <c r="AJ376" s="31">
        <f>AI376/$AI$577*'State Admin 1004(b)'!$B$30*0.01</f>
        <v>1435.509471602699</v>
      </c>
      <c r="AK376" s="31">
        <f t="shared" si="824"/>
        <v>149408.76931502912</v>
      </c>
      <c r="AL376" s="31">
        <f t="shared" si="825"/>
        <v>1494.0876931502912</v>
      </c>
      <c r="AM376" s="31">
        <f t="shared" si="826"/>
        <v>147914.68162187882</v>
      </c>
      <c r="AP376" s="31"/>
      <c r="AQ376" s="4">
        <f t="shared" si="827"/>
        <v>1.0468906055663063</v>
      </c>
      <c r="AW376" s="31">
        <f t="shared" si="832"/>
        <v>147797.53598752196</v>
      </c>
      <c r="AX376" s="4">
        <f t="shared" si="841"/>
        <v>1.0460614879780685</v>
      </c>
      <c r="AZ376" s="174" t="str">
        <f>IFERROR(IF(VLOOKUP(A376,#REF!,11,FALSE)=0,"",VLOOKUP(A376,#REF!,11,FALSE)),"")</f>
        <v/>
      </c>
      <c r="BA376" s="31" t="str">
        <f t="shared" si="835"/>
        <v/>
      </c>
      <c r="BB376" s="31">
        <f t="shared" si="836"/>
        <v>147797.53598752196</v>
      </c>
      <c r="BD376" s="31">
        <f>IFERROR(VLOOKUP(A376,'Title II Hold Harmless'!A$1:B$439,2, FALSE),"")</f>
        <v>5798</v>
      </c>
      <c r="BE376" s="31">
        <f t="shared" si="849"/>
        <v>8053.1077316479241</v>
      </c>
      <c r="BF376" s="31">
        <f t="shared" si="838"/>
        <v>8060.8995939283395</v>
      </c>
      <c r="BG376" s="31" t="str">
        <f t="shared" si="839"/>
        <v/>
      </c>
      <c r="BH376" s="31">
        <f t="shared" si="840"/>
        <v>8060.8995939283395</v>
      </c>
    </row>
    <row r="377" spans="1:60" x14ac:dyDescent="0.3">
      <c r="A377" s="1">
        <v>88755000</v>
      </c>
      <c r="B377">
        <f>VLOOKUP(C377,'NCES ID'!$A$2:$B$3136,2,FALSE)</f>
        <v>400075</v>
      </c>
      <c r="C377">
        <f>VLOOKUP(A377,'State ID'!$A$2:$B$713,2,FALSE)</f>
        <v>4385</v>
      </c>
      <c r="D377" s="147" t="s">
        <v>450</v>
      </c>
      <c r="E377" t="s">
        <v>5</v>
      </c>
      <c r="I377" s="47">
        <f>VLOOKUP($C377,'Final SEA Counts'!$A$2:$F$709,5,FALSE)</f>
        <v>410</v>
      </c>
      <c r="J377" s="47">
        <f>VLOOKUP($C377,'Final SEA Counts'!$A$2:$F$709,6,FALSE)</f>
        <v>157</v>
      </c>
      <c r="K377" s="24">
        <f t="shared" si="862"/>
        <v>410</v>
      </c>
      <c r="L377" s="24">
        <f t="shared" si="843"/>
        <v>97.560493823206883</v>
      </c>
      <c r="M377" s="4">
        <f t="shared" si="807"/>
        <v>0.23795242395904118</v>
      </c>
      <c r="N377" s="31" t="str">
        <f>IFERROR(VLOOKUP($B377,#REF!,8,FALSE),"")</f>
        <v/>
      </c>
      <c r="O377" s="31" t="str">
        <f>IFERROR(VLOOKUP($B377,#REF!,9,FALSE),"")</f>
        <v/>
      </c>
      <c r="P377" s="31" t="str">
        <f>IFERROR(VLOOKUP($B377,#REF!,10,FALSE),"")</f>
        <v/>
      </c>
      <c r="Q377" s="31" t="str">
        <f>IFERROR(VLOOKUP($B377,#REF!,11,FALSE),"")</f>
        <v/>
      </c>
      <c r="R377" s="31" t="str">
        <f>IFERROR(VLOOKUP($B377,#REF!,12,FALSE),"")</f>
        <v/>
      </c>
      <c r="S377" s="31">
        <f t="shared" si="844"/>
        <v>47350.188758669101</v>
      </c>
      <c r="T377" s="31">
        <f t="shared" si="844"/>
        <v>11191.56023093737</v>
      </c>
      <c r="U377" s="31">
        <f t="shared" si="844"/>
        <v>24588.454197112638</v>
      </c>
      <c r="V377" s="31">
        <f t="shared" si="844"/>
        <v>22451.994498150292</v>
      </c>
      <c r="W377" s="31">
        <f t="shared" si="845"/>
        <v>47350.188758669101</v>
      </c>
      <c r="X377" s="31">
        <f t="shared" si="846"/>
        <v>11191.56023093737</v>
      </c>
      <c r="Y377" s="31">
        <f t="shared" si="847"/>
        <v>24588.454197112638</v>
      </c>
      <c r="Z377" s="31">
        <f t="shared" si="848"/>
        <v>22451.994498150292</v>
      </c>
      <c r="AA377" s="31">
        <f t="shared" si="816"/>
        <v>47570.602399762887</v>
      </c>
      <c r="AB377" s="31">
        <f t="shared" si="817"/>
        <v>11243.831522198523</v>
      </c>
      <c r="AC377" s="31">
        <f t="shared" si="818"/>
        <v>24681.09589194251</v>
      </c>
      <c r="AD377" s="31">
        <f t="shared" si="819"/>
        <v>22524.073599134317</v>
      </c>
      <c r="AE377" s="31">
        <f t="shared" si="820"/>
        <v>106019.60341303825</v>
      </c>
      <c r="AF377" s="31">
        <f>IFERROR(VLOOKUP(A377,'Allocations By Type'!$D$7:$F$491,3,FALSE),"")</f>
        <v>115695.99</v>
      </c>
      <c r="AG377" s="31" t="str">
        <f t="shared" si="821"/>
        <v/>
      </c>
      <c r="AH377" s="31" t="str">
        <f t="shared" si="822"/>
        <v/>
      </c>
      <c r="AI377" s="31">
        <f t="shared" si="823"/>
        <v>106019.60341303825</v>
      </c>
      <c r="AJ377" s="31">
        <f>AI377/$AI$577*'State Admin 1004(b)'!$B$30*0.01</f>
        <v>1008.9354803456148</v>
      </c>
      <c r="AK377" s="31">
        <f t="shared" si="824"/>
        <v>105010.66793269264</v>
      </c>
      <c r="AL377" s="31">
        <f t="shared" si="825"/>
        <v>1050.1066793269265</v>
      </c>
      <c r="AM377" s="31">
        <f t="shared" si="826"/>
        <v>103960.56125336571</v>
      </c>
      <c r="AP377" s="31"/>
      <c r="AQ377" s="4">
        <f t="shared" si="827"/>
        <v>0.89856667679982427</v>
      </c>
      <c r="AW377" s="31">
        <f t="shared" si="832"/>
        <v>103878.22645223181</v>
      </c>
      <c r="AX377" s="4">
        <f t="shared" si="841"/>
        <v>0.89785502896195291</v>
      </c>
      <c r="AZ377" s="174" t="str">
        <f>IFERROR(IF(VLOOKUP(A377,#REF!,11,FALSE)=0,"",VLOOKUP(A377,#REF!,11,FALSE)),"")</f>
        <v/>
      </c>
      <c r="BA377" s="31" t="str">
        <f t="shared" si="835"/>
        <v/>
      </c>
      <c r="BB377" s="31">
        <f t="shared" si="836"/>
        <v>103878.22645223181</v>
      </c>
      <c r="BD377" s="31">
        <f>IFERROR(VLOOKUP(A377,'Title II Hold Harmless'!A$1:B$439,2, FALSE),"")</f>
        <v>3695</v>
      </c>
      <c r="BE377" s="31">
        <f t="shared" si="849"/>
        <v>5302.1003896868224</v>
      </c>
      <c r="BF377" s="31">
        <f t="shared" si="838"/>
        <v>5307.2304882040717</v>
      </c>
      <c r="BG377" s="31" t="str">
        <f t="shared" si="839"/>
        <v/>
      </c>
      <c r="BH377" s="31">
        <f t="shared" si="840"/>
        <v>5307.2304882040717</v>
      </c>
    </row>
    <row r="378" spans="1:60" s="47" customFormat="1" x14ac:dyDescent="0.3">
      <c r="A378" s="1"/>
      <c r="D378" s="191" t="s">
        <v>1411</v>
      </c>
      <c r="E378" s="47" t="s">
        <v>5</v>
      </c>
      <c r="H378" s="4"/>
      <c r="I378" s="24">
        <f>'AVA Metrics'!C10</f>
        <v>378.18810289389069</v>
      </c>
      <c r="J378" s="24">
        <f>'AVA Metrics'!D10</f>
        <v>197.86816720257235</v>
      </c>
      <c r="K378" s="24">
        <f t="shared" ref="K378" si="863">I378</f>
        <v>378.18810289389069</v>
      </c>
      <c r="L378" s="24">
        <f t="shared" si="843"/>
        <v>122.95615352978234</v>
      </c>
      <c r="M378" s="4">
        <f t="shared" ref="M378" si="864">L378/K378</f>
        <v>0.32511904152701626</v>
      </c>
      <c r="N378" s="31"/>
      <c r="O378" s="31"/>
      <c r="P378" s="31"/>
      <c r="Q378" s="31"/>
      <c r="R378" s="31"/>
      <c r="S378" s="31">
        <f t="shared" si="844"/>
        <v>59675.764753972609</v>
      </c>
      <c r="T378" s="31">
        <f t="shared" si="844"/>
        <v>14104.799433329776</v>
      </c>
      <c r="U378" s="31">
        <f t="shared" si="844"/>
        <v>30988.995963866724</v>
      </c>
      <c r="V378" s="31">
        <f t="shared" si="844"/>
        <v>28296.40128274673</v>
      </c>
      <c r="W378" s="31">
        <f>S378</f>
        <v>59675.764753972609</v>
      </c>
      <c r="X378" s="31">
        <f>T378</f>
        <v>14104.799433329776</v>
      </c>
      <c r="Y378" s="31">
        <f>U378</f>
        <v>30988.995963866724</v>
      </c>
      <c r="Z378" s="31">
        <f>V378</f>
        <v>28296.40128274673</v>
      </c>
      <c r="AA378" s="31">
        <f t="shared" si="816"/>
        <v>59896.178395066396</v>
      </c>
      <c r="AB378" s="31">
        <f t="shared" si="817"/>
        <v>14157.070724590929</v>
      </c>
      <c r="AC378" s="31">
        <f t="shared" si="818"/>
        <v>31081.637658696596</v>
      </c>
      <c r="AD378" s="31">
        <f t="shared" si="819"/>
        <v>28368.480383730755</v>
      </c>
      <c r="AE378" s="31">
        <f t="shared" ref="AE378" si="865">SUM(AA378:AD378)</f>
        <v>133503.36716208467</v>
      </c>
      <c r="AF378" s="31"/>
      <c r="AG378" s="31"/>
      <c r="AH378" s="31"/>
      <c r="AI378" s="31"/>
      <c r="AJ378" s="31"/>
      <c r="AK378" s="31"/>
      <c r="AL378" s="31"/>
      <c r="AM378" s="31"/>
      <c r="AP378" s="31"/>
      <c r="AQ378" s="4"/>
      <c r="AR378" s="4"/>
      <c r="AS378" s="4"/>
      <c r="AT378" s="4"/>
      <c r="AW378" s="31"/>
      <c r="AX378" s="4"/>
      <c r="AZ378" s="174"/>
      <c r="BA378" s="31"/>
      <c r="BB378" s="31"/>
      <c r="BD378" s="31"/>
      <c r="BE378" s="31"/>
      <c r="BF378" s="31"/>
      <c r="BG378" s="31"/>
      <c r="BH378" s="31"/>
    </row>
    <row r="379" spans="1:60" x14ac:dyDescent="0.3">
      <c r="A379" s="1"/>
      <c r="D379" s="147" t="s">
        <v>878</v>
      </c>
      <c r="K379" s="24">
        <f>SUM(K372:K378)</f>
        <v>3558.1881028938906</v>
      </c>
      <c r="L379" s="24">
        <f>SUM(L372:L378)</f>
        <v>980.49425210319316</v>
      </c>
      <c r="S379" s="31">
        <f>SUM(S372:S378)</f>
        <v>475874.87613590475</v>
      </c>
      <c r="T379" s="31">
        <f>SUM(T372:T378)</f>
        <v>112476.47534857545</v>
      </c>
      <c r="U379" s="31">
        <f>SUM(U372:U378)</f>
        <v>247116.80992574853</v>
      </c>
      <c r="V379" s="31">
        <f>SUM(V372:V378)</f>
        <v>225645.14273145629</v>
      </c>
    </row>
    <row r="380" spans="1:60" x14ac:dyDescent="0.3">
      <c r="A380" s="1" t="s">
        <v>880</v>
      </c>
      <c r="B380">
        <f>G380/J380</f>
        <v>0.6214044192560948</v>
      </c>
      <c r="D380" s="147" t="s">
        <v>879</v>
      </c>
      <c r="F380" s="47">
        <f>SUM(F359:F378)</f>
        <v>28366</v>
      </c>
      <c r="G380">
        <f>SUM(G359:G378)</f>
        <v>8735</v>
      </c>
      <c r="I380" s="24">
        <f>SUM(I359:I378)</f>
        <v>21872.188102893891</v>
      </c>
      <c r="J380" s="24">
        <f>SUM(J359:J378)</f>
        <v>14056.868167202572</v>
      </c>
      <c r="K380" s="24">
        <f>SUM(K359:K378)</f>
        <v>28366</v>
      </c>
      <c r="L380" s="24">
        <f>SUM(L359:L378)</f>
        <v>8734.9999999999982</v>
      </c>
      <c r="N380" s="31">
        <f t="shared" ref="N380:AE380" si="866">SUM(N359:N378)</f>
        <v>4239460.8985526664</v>
      </c>
      <c r="O380" s="31">
        <f t="shared" si="866"/>
        <v>1002027.3041502787</v>
      </c>
      <c r="P380" s="31">
        <f t="shared" si="866"/>
        <v>2201507.3827013443</v>
      </c>
      <c r="Q380" s="31">
        <f t="shared" si="866"/>
        <v>2010221.1894984462</v>
      </c>
      <c r="R380" s="31">
        <f t="shared" si="866"/>
        <v>9453216.7749027368</v>
      </c>
      <c r="S380" s="31">
        <f t="shared" si="866"/>
        <v>4239460.8985526673</v>
      </c>
      <c r="T380" s="31">
        <f t="shared" si="866"/>
        <v>1002027.3041502784</v>
      </c>
      <c r="U380" s="31">
        <f t="shared" si="866"/>
        <v>2201507.3827013443</v>
      </c>
      <c r="V380" s="31">
        <f t="shared" si="866"/>
        <v>2010221.189498446</v>
      </c>
      <c r="W380" s="31">
        <f t="shared" si="866"/>
        <v>4235273.0393718854</v>
      </c>
      <c r="X380" s="31">
        <f t="shared" si="866"/>
        <v>1001034.1496163165</v>
      </c>
      <c r="Y380" s="31">
        <f t="shared" si="866"/>
        <v>2199747.1904995767</v>
      </c>
      <c r="Z380" s="31">
        <f t="shared" si="866"/>
        <v>2008851.6865797495</v>
      </c>
      <c r="AA380" s="31">
        <f t="shared" si="866"/>
        <v>4239460.8985526664</v>
      </c>
      <c r="AB380" s="31">
        <f t="shared" si="866"/>
        <v>1002027.3041502787</v>
      </c>
      <c r="AC380" s="31">
        <f t="shared" si="866"/>
        <v>2201507.3827013443</v>
      </c>
      <c r="AD380" s="31">
        <f t="shared" si="866"/>
        <v>2010221.1894984466</v>
      </c>
      <c r="AE380" s="31">
        <f t="shared" si="866"/>
        <v>9453216.7749027349</v>
      </c>
      <c r="AF380" s="31"/>
      <c r="AK380" s="31">
        <f>SUM(AK359:AK377)</f>
        <v>8999056.0608716868</v>
      </c>
      <c r="AL380" s="31"/>
      <c r="AM380" s="31">
        <f>SUM(AM359:AM377)</f>
        <v>8909065.5002629682</v>
      </c>
      <c r="AU380" s="31">
        <f>SUM(AU359:AU377)</f>
        <v>7013.6776603254038</v>
      </c>
      <c r="AV380" s="31">
        <f>SUM(AV359:AV377)</f>
        <v>60214.392</v>
      </c>
      <c r="AW380" s="31">
        <f>SUM(AW359:AW377)</f>
        <v>8909065.5002629682</v>
      </c>
    </row>
    <row r="381" spans="1:60" x14ac:dyDescent="0.3">
      <c r="A381" s="1"/>
      <c r="N381" s="31">
        <f>N380/$L380</f>
        <v>485.34183154581194</v>
      </c>
      <c r="O381" s="31">
        <f>O380/$L380</f>
        <v>114.71405886093633</v>
      </c>
      <c r="P381" s="31">
        <f>P380/$L380</f>
        <v>252.03290013753232</v>
      </c>
      <c r="Q381" s="31">
        <f>Q380/$L380</f>
        <v>230.13408007995955</v>
      </c>
      <c r="R381" s="31" t="str">
        <f>IFERROR(VLOOKUP($B381,#REF!,12,FALSE),"")</f>
        <v/>
      </c>
      <c r="W381" s="31">
        <f>(S380-W380)/COUNT(W359:W378)</f>
        <v>220.41364109378895</v>
      </c>
      <c r="X381" s="31">
        <f>(T380-X380)/COUNT(X359:X378)</f>
        <v>52.271291261152854</v>
      </c>
      <c r="Y381" s="31">
        <f>(U380-Y380)/COUNT(Y359:Y378)</f>
        <v>92.641694829872762</v>
      </c>
      <c r="Z381" s="31">
        <f>(V380-Z380)/COUNT(Z359:Z378)</f>
        <v>72.079100984026141</v>
      </c>
    </row>
    <row r="382" spans="1:60" x14ac:dyDescent="0.3">
      <c r="A382" s="1"/>
      <c r="N382" s="31" t="str">
        <f>IFERROR(VLOOKUP($B382,#REF!,8,FALSE),"")</f>
        <v/>
      </c>
      <c r="O382" s="31" t="str">
        <f>IFERROR(VLOOKUP($B382,#REF!,9,FALSE),"")</f>
        <v/>
      </c>
      <c r="P382" s="31" t="str">
        <f>IFERROR(VLOOKUP($B382,#REF!,10,FALSE),"")</f>
        <v/>
      </c>
      <c r="Q382" s="31" t="str">
        <f>IFERROR(VLOOKUP($B382,#REF!,11,FALSE),"")</f>
        <v/>
      </c>
      <c r="R382" s="31" t="str">
        <f>IFERROR(VLOOKUP($B382,#REF!,12,FALSE),"")</f>
        <v/>
      </c>
    </row>
    <row r="383" spans="1:60" x14ac:dyDescent="0.3">
      <c r="A383" s="1">
        <v>90202000</v>
      </c>
      <c r="B383">
        <f>VLOOKUP(C383,'NCES ID'!$A$2:$B$3136,2,FALSE)</f>
        <v>404010</v>
      </c>
      <c r="C383">
        <f>VLOOKUP(A383,'State ID'!$A$2:$B$713,2,FALSE)</f>
        <v>4388</v>
      </c>
      <c r="D383" s="147" t="s">
        <v>223</v>
      </c>
      <c r="E383" t="s">
        <v>73</v>
      </c>
      <c r="F383" s="47">
        <f>VLOOKUP(B383,'Formula counts'!$D$9:$L$234,9,FALSE)</f>
        <v>429</v>
      </c>
      <c r="G383" s="47">
        <f>VLOOKUP(B383,'Formula counts'!$D$9:$K$234,8,FALSE)</f>
        <v>141</v>
      </c>
      <c r="H383" s="4">
        <f>VLOOKUP(B383,'Formula counts'!$D$9:$M$234,10,FALSE)</f>
        <v>0.32867132867132864</v>
      </c>
      <c r="I383" s="47">
        <f>VLOOKUP($C383,'Final SEA Counts'!$A$2:$F$709,5,FALSE)</f>
        <v>358</v>
      </c>
      <c r="J383" s="47">
        <f>VLOOKUP($C383,'Final SEA Counts'!$A$2:$F$709,6,FALSE)</f>
        <v>160</v>
      </c>
      <c r="K383" s="24">
        <f t="shared" ref="K383:K393" si="867">F383-(F383/(F$400-F$394))*K$399+(F383/(F$400-F$394))*F$394</f>
        <v>426.55621022209101</v>
      </c>
      <c r="L383" s="24">
        <f t="shared" ref="L383:L393" si="868">G383-(G383/(G$400-G$394))*L$399+(G383/(G$400-G$394))*G$394</f>
        <v>139.56480581686446</v>
      </c>
      <c r="M383" s="4">
        <f t="shared" ref="M383:M393" si="869">L383/K383</f>
        <v>0.32718971725719004</v>
      </c>
      <c r="N383" s="31">
        <f>IFERROR(VLOOKUP($B383,Allocation!$D$10:$O$235,8,FALSE),"")</f>
        <v>92011.650745513805</v>
      </c>
      <c r="O383" s="31">
        <f>IFERROR(VLOOKUP($B383,Allocation!$D$10:$O$235,9,FALSE),"")</f>
        <v>21803.015367079588</v>
      </c>
      <c r="P383" s="31">
        <f>IFERROR(VLOOKUP($B383,Allocation!$D$10:$O$235,10,FALSE),"")</f>
        <v>59870.214096409138</v>
      </c>
      <c r="Q383" s="31">
        <f>IFERROR(VLOOKUP($B383,Allocation!$D$10:$O$235,11,FALSE),"")</f>
        <v>53598.58421114373</v>
      </c>
      <c r="R383" s="31">
        <f>IFERROR(VLOOKUP($B383,Allocation!$D$10:$O$235,12,FALSE),"")</f>
        <v>227283.46442014625</v>
      </c>
      <c r="S383" s="31">
        <f t="shared" ref="S383:S393" si="870">IF(N383=0,"",N383-(N383/(N$400-N$394)*S$399-N383/(N$400-N$394)*N$394))</f>
        <v>90976.504572190912</v>
      </c>
      <c r="T383" s="31">
        <f t="shared" ref="T383:T393" si="871">IF(O383=0,"",O383-(O383/(O$400-O$394)*T$399-O383/(O$400-O$394)*O$394))</f>
        <v>21555.948331320575</v>
      </c>
      <c r="U383" s="31">
        <f t="shared" ref="U383:U393" si="872">IF(P383=0,"",P383-(P383/(P$400-P$394)*U$399-P383/(P$400-P$394)*P$394))</f>
        <v>59148.951765849481</v>
      </c>
      <c r="V383" s="31">
        <f t="shared" ref="V383:V393" si="873">IF(Q383=0,"",Q383-(Q383/(Q$400-Q$394)*V$399-Q383/(Q$400-Q$394)*Q$394))</f>
        <v>52924.736962987918</v>
      </c>
      <c r="W383" s="31">
        <f t="shared" ref="W383:W393" si="874">IF(S383="0","",S383)</f>
        <v>90976.504572190912</v>
      </c>
      <c r="X383" s="31">
        <f t="shared" ref="X383:X393" si="875">IF(T383="0","",T383)</f>
        <v>21555.948331320575</v>
      </c>
      <c r="Y383" s="31">
        <f t="shared" ref="Y383:Y393" si="876">IF(U383="0","",U383)</f>
        <v>59148.951765849481</v>
      </c>
      <c r="Z383" s="31">
        <f t="shared" ref="Z383:Z393" si="877">IF(V383="0","",V383)</f>
        <v>52924.736962987918</v>
      </c>
      <c r="AA383" s="31">
        <f t="shared" ref="AA383:AA393" si="878">IF(W383="","",W383+W$401)</f>
        <v>90976.504572190912</v>
      </c>
      <c r="AB383" s="31">
        <f t="shared" ref="AB383:AB393" si="879">IF(X383="","",X383+X$401)</f>
        <v>21555.948331320575</v>
      </c>
      <c r="AC383" s="31">
        <f t="shared" ref="AC383:AC393" si="880">IF(Y383="","",Y383+Y$401)</f>
        <v>59148.951765849481</v>
      </c>
      <c r="AD383" s="31">
        <f t="shared" ref="AD383:AD393" si="881">IF(Z383="","",Z383+Z$401)</f>
        <v>52924.736962987918</v>
      </c>
      <c r="AE383" s="31">
        <f t="shared" ref="AE383:AE393" si="882">SUM(AA383:AD383)</f>
        <v>224606.14163234888</v>
      </c>
      <c r="AF383" s="31">
        <f>IFERROR(VLOOKUP(A383,'Allocations By Type'!$D$7:$F$491,3,FALSE),"")</f>
        <v>220627.81</v>
      </c>
      <c r="AG383" s="31">
        <f t="shared" ref="AG383:AG393" si="883">IF(AE383&gt;AF383,AE383*0.04,"")</f>
        <v>8984.2456652939563</v>
      </c>
      <c r="AH383" s="31">
        <f t="shared" ref="AH383:AH393" si="884">IF(AG383="","",IF((AE383-AF383)&gt;AG383,AG383,AE383-AF383))</f>
        <v>3978.3316323488834</v>
      </c>
      <c r="AI383" s="31">
        <f t="shared" ref="AI383:AI393" si="885">IF(AH383="",AE383,AE383-AH383)</f>
        <v>220627.81</v>
      </c>
      <c r="AJ383" s="31">
        <f>AI383/$AI$577*'State Admin 1004(b)'!$B$30*0.01</f>
        <v>2099.6043966768498</v>
      </c>
      <c r="AK383" s="31">
        <f t="shared" ref="AK383:AK393" si="886">AI383-AJ383</f>
        <v>218528.20560332315</v>
      </c>
      <c r="AL383" s="31">
        <f t="shared" ref="AL383:AL393" si="887">AK383*0.01</f>
        <v>2185.2820560332316</v>
      </c>
      <c r="AM383" s="31">
        <f t="shared" ref="AM383:AM393" si="888">AK383-AL383</f>
        <v>216342.92354728992</v>
      </c>
      <c r="AP383" s="31"/>
      <c r="AQ383" s="4">
        <f t="shared" ref="AQ383:AQ397" si="889">IFERROR(AM383/AF383,"")</f>
        <v>0.98057866570533392</v>
      </c>
      <c r="AR383" s="4">
        <f>VLOOKUP(B383,Allocation!$D$10:$P$235,13,FALSE)</f>
        <v>0.95</v>
      </c>
      <c r="AS383" s="4">
        <f t="shared" ref="AS383:AS393" si="890">IF(M383&gt;0.3,0.95,IF(M383&gt;0.15,0.9,0.85))</f>
        <v>0.95</v>
      </c>
      <c r="AT383" s="4" t="str">
        <f t="shared" ref="AT383:AT393" si="891">IF(AQ383&lt;AS383,"Review","")</f>
        <v/>
      </c>
      <c r="AU383" s="31" t="str">
        <f t="shared" ref="AU383:AU393" si="892">IF(AT383="Review",AM383*AS383/AQ383-AM383,"")</f>
        <v/>
      </c>
      <c r="AV383" s="31" t="str">
        <f t="shared" ref="AV383:AV393" si="893">IF(AU383="","",AU383+AM383)</f>
        <v/>
      </c>
      <c r="AW383" s="31">
        <f t="shared" ref="AW383:AW393" si="894">IF(AV383="",AM383-AM383/($AM$400-$AV$400+$AU$400)*$AU$400,AV383)</f>
        <v>214522.97610245101</v>
      </c>
      <c r="AX383" s="4">
        <f t="shared" ref="AX383:AX393" si="895">IFERROR(AW383/AF383,"")</f>
        <v>0.97232971719408812</v>
      </c>
      <c r="AY383" s="4" t="str">
        <f t="shared" ref="AY383:AY393" si="896">IF(AX383&lt;AS383,"Manual Adjustment","")</f>
        <v/>
      </c>
      <c r="AZ383" s="174" t="str">
        <f>IFERROR(IF(VLOOKUP(A383,#REF!,11,FALSE)=0,"",VLOOKUP(A383,#REF!,11,FALSE)),"")</f>
        <v/>
      </c>
      <c r="BA383" s="31" t="str">
        <f t="shared" ref="BA383:BA397" si="897">IF(AZ383&lt;0,AW383*AZ383/100,"")</f>
        <v/>
      </c>
      <c r="BB383" s="31">
        <f t="shared" ref="BB383:BB397" si="898">IF(BA383&lt;0,AW383+BA383,AW383)</f>
        <v>214522.97610245101</v>
      </c>
      <c r="BD383" s="31">
        <f>IFERROR(VLOOKUP(A383,'Title II Hold Harmless'!A$1:B$439,2, FALSE),"")</f>
        <v>12118</v>
      </c>
      <c r="BE383" s="31">
        <f t="shared" ref="BE383:BE397" si="899">IFERROR($BD$582*(0.8*($L383/$L$579)+0.2*($K383/$K$579))+$BD383,$BD$582*(0.8*($L383/$L$579)+0.2*($K383/$K$579)))</f>
        <v>14288.289533122686</v>
      </c>
      <c r="BF383" s="31">
        <f t="shared" ref="BF383:BF397" si="900">$BD$583*BE383</f>
        <v>14302.114305865669</v>
      </c>
      <c r="BG383" s="31" t="str">
        <f t="shared" ref="BG383:BG397" si="901">IF(AZ383&lt;0,BF383*AZ383/100,"")</f>
        <v/>
      </c>
      <c r="BH383" s="31">
        <f t="shared" ref="BH383:BH397" si="902">IF(BG383&lt;0,BF383+BG383,BF383)</f>
        <v>14302.114305865669</v>
      </c>
    </row>
    <row r="384" spans="1:60" x14ac:dyDescent="0.3">
      <c r="A384" s="1">
        <v>90206000</v>
      </c>
      <c r="B384">
        <f>VLOOKUP(C384,'NCES ID'!$A$2:$B$3136,2,FALSE)</f>
        <v>400026</v>
      </c>
      <c r="C384">
        <f>VLOOKUP(A384,'State ID'!$A$2:$B$713,2,FALSE)</f>
        <v>4392</v>
      </c>
      <c r="D384" s="147" t="s">
        <v>194</v>
      </c>
      <c r="E384" t="s">
        <v>73</v>
      </c>
      <c r="F384" s="47">
        <f>VLOOKUP(B384,'Formula counts'!$D$9:$L$234,9,FALSE)</f>
        <v>492</v>
      </c>
      <c r="G384" s="47">
        <f>VLOOKUP(B384,'Formula counts'!$D$9:$K$234,8,FALSE)</f>
        <v>139</v>
      </c>
      <c r="H384" s="4">
        <f>VLOOKUP(B384,'Formula counts'!$D$9:$M$234,10,FALSE)</f>
        <v>0.28252032520325204</v>
      </c>
      <c r="I384" s="47">
        <f>VLOOKUP($C384,'Final SEA Counts'!$A$2:$F$709,5,FALSE)</f>
        <v>410</v>
      </c>
      <c r="J384" s="47">
        <f>VLOOKUP($C384,'Final SEA Counts'!$A$2:$F$709,6,FALSE)</f>
        <v>221</v>
      </c>
      <c r="K384" s="24">
        <f t="shared" si="867"/>
        <v>489.19733200295752</v>
      </c>
      <c r="L384" s="24">
        <f t="shared" si="868"/>
        <v>137.58516318116426</v>
      </c>
      <c r="M384" s="4">
        <f t="shared" si="869"/>
        <v>0.2812467570455443</v>
      </c>
      <c r="N384" s="31">
        <f>IFERROR(VLOOKUP($B384,Allocation!$D$10:$O$235,8,FALSE),"")</f>
        <v>87584.022438962769</v>
      </c>
      <c r="O384" s="31">
        <f>IFERROR(VLOOKUP($B384,Allocation!$D$10:$O$235,9,FALSE),"")</f>
        <v>20753.847710317863</v>
      </c>
      <c r="P384" s="31">
        <f>IFERROR(VLOOKUP($B384,Allocation!$D$10:$O$235,10,FALSE),"")</f>
        <v>51464.027607008742</v>
      </c>
      <c r="Q384" s="31">
        <f>IFERROR(VLOOKUP($B384,Allocation!$D$10:$O$235,11,FALSE),"")</f>
        <v>44106.448127057316</v>
      </c>
      <c r="R384" s="31">
        <f>IFERROR(VLOOKUP($B384,Allocation!$D$10:$O$235,12,FALSE),"")</f>
        <v>203908.34588334669</v>
      </c>
      <c r="S384" s="31">
        <f t="shared" si="870"/>
        <v>86598.687810822332</v>
      </c>
      <c r="T384" s="31">
        <f t="shared" si="871"/>
        <v>20518.669614625447</v>
      </c>
      <c r="U384" s="31">
        <f t="shared" si="872"/>
        <v>50844.035428059047</v>
      </c>
      <c r="V384" s="31">
        <f t="shared" si="873"/>
        <v>43551.937049315726</v>
      </c>
      <c r="W384" s="31">
        <f t="shared" si="874"/>
        <v>86598.687810822332</v>
      </c>
      <c r="X384" s="31">
        <f t="shared" si="875"/>
        <v>20518.669614625447</v>
      </c>
      <c r="Y384" s="31">
        <f t="shared" si="876"/>
        <v>50844.035428059047</v>
      </c>
      <c r="Z384" s="31">
        <f t="shared" si="877"/>
        <v>43551.937049315726</v>
      </c>
      <c r="AA384" s="31">
        <f t="shared" si="878"/>
        <v>86598.687810822332</v>
      </c>
      <c r="AB384" s="31">
        <f t="shared" si="879"/>
        <v>20518.669614625447</v>
      </c>
      <c r="AC384" s="31">
        <f t="shared" si="880"/>
        <v>50844.035428059047</v>
      </c>
      <c r="AD384" s="31">
        <f t="shared" si="881"/>
        <v>43551.937049315726</v>
      </c>
      <c r="AE384" s="31">
        <f t="shared" si="882"/>
        <v>201513.32990282256</v>
      </c>
      <c r="AF384" s="31">
        <f>IFERROR(VLOOKUP(A384,'Allocations By Type'!$D$7:$F$491,3,FALSE),"")</f>
        <v>208944.1</v>
      </c>
      <c r="AG384" s="31" t="str">
        <f t="shared" si="883"/>
        <v/>
      </c>
      <c r="AH384" s="31" t="str">
        <f t="shared" si="884"/>
        <v/>
      </c>
      <c r="AI384" s="31">
        <f t="shared" si="885"/>
        <v>201513.32990282256</v>
      </c>
      <c r="AJ384" s="31">
        <f>AI384/$AI$577*'State Admin 1004(b)'!$B$30*0.01</f>
        <v>1917.7014604503336</v>
      </c>
      <c r="AK384" s="31">
        <f t="shared" si="886"/>
        <v>199595.62844237222</v>
      </c>
      <c r="AL384" s="31">
        <f t="shared" si="887"/>
        <v>1995.9562844237223</v>
      </c>
      <c r="AM384" s="31">
        <f t="shared" si="888"/>
        <v>197599.67215794852</v>
      </c>
      <c r="AP384" s="31"/>
      <c r="AQ384" s="4">
        <f t="shared" si="889"/>
        <v>0.94570591922886793</v>
      </c>
      <c r="AR384" s="4">
        <f>VLOOKUP(B384,Allocation!$D$10:$P$235,13,FALSE)</f>
        <v>0.9</v>
      </c>
      <c r="AS384" s="4">
        <f t="shared" si="890"/>
        <v>0.9</v>
      </c>
      <c r="AT384" s="4" t="str">
        <f t="shared" si="891"/>
        <v/>
      </c>
      <c r="AU384" s="31" t="str">
        <f t="shared" si="892"/>
        <v/>
      </c>
      <c r="AV384" s="31" t="str">
        <f t="shared" si="893"/>
        <v/>
      </c>
      <c r="AW384" s="31">
        <f t="shared" si="894"/>
        <v>195937.39907525046</v>
      </c>
      <c r="AX384" s="4">
        <f t="shared" si="895"/>
        <v>0.93775033166885524</v>
      </c>
      <c r="AY384" s="4" t="str">
        <f t="shared" si="896"/>
        <v/>
      </c>
      <c r="AZ384" s="174" t="str">
        <f>IFERROR(IF(VLOOKUP(A384,#REF!,11,FALSE)=0,"",VLOOKUP(A384,#REF!,11,FALSE)),"")</f>
        <v/>
      </c>
      <c r="BA384" s="31" t="str">
        <f t="shared" si="897"/>
        <v/>
      </c>
      <c r="BB384" s="31">
        <f t="shared" si="898"/>
        <v>195937.39907525046</v>
      </c>
      <c r="BD384" s="31">
        <f>IFERROR(VLOOKUP(A384,'Title II Hold Harmless'!A$1:B$439,2, FALSE),"")</f>
        <v>25850</v>
      </c>
      <c r="BE384" s="31">
        <f t="shared" si="899"/>
        <v>28044.788234189353</v>
      </c>
      <c r="BF384" s="31">
        <f t="shared" si="900"/>
        <v>28071.923240311953</v>
      </c>
      <c r="BG384" s="31" t="str">
        <f t="shared" si="901"/>
        <v/>
      </c>
      <c r="BH384" s="31">
        <f t="shared" si="902"/>
        <v>28071.923240311953</v>
      </c>
    </row>
    <row r="385" spans="1:60" x14ac:dyDescent="0.3">
      <c r="A385" s="1">
        <v>90225000</v>
      </c>
      <c r="B385">
        <f>VLOOKUP(C385,'NCES ID'!$A$2:$B$3136,2,FALSE)</f>
        <v>401810</v>
      </c>
      <c r="C385">
        <f>VLOOKUP(A385,'State ID'!$A$2:$B$713,2,FALSE)</f>
        <v>4395</v>
      </c>
      <c r="D385" s="147" t="s">
        <v>97</v>
      </c>
      <c r="E385" t="s">
        <v>73</v>
      </c>
      <c r="F385" s="47">
        <f>VLOOKUP(B385,'Formula counts'!$D$9:$L$234,9,FALSE)</f>
        <v>1627</v>
      </c>
      <c r="G385" s="47">
        <f>VLOOKUP(B385,'Formula counts'!$D$9:$K$234,8,FALSE)</f>
        <v>615</v>
      </c>
      <c r="H385" s="4">
        <f>VLOOKUP(B385,'Formula counts'!$D$9:$M$234,10,FALSE)</f>
        <v>0.3779963122311002</v>
      </c>
      <c r="I385" s="47">
        <f>VLOOKUP($C385,'Final SEA Counts'!$A$2:$F$709,5,FALSE)</f>
        <v>116</v>
      </c>
      <c r="J385" s="47">
        <f>VLOOKUP($C385,'Final SEA Counts'!$A$2:$F$709,6,FALSE)</f>
        <v>114</v>
      </c>
      <c r="K385" s="24">
        <f t="shared" si="867"/>
        <v>1617.7318275788862</v>
      </c>
      <c r="L385" s="24">
        <f t="shared" si="868"/>
        <v>608.74011047781312</v>
      </c>
      <c r="M385" s="4">
        <f t="shared" si="869"/>
        <v>0.3762923496342776</v>
      </c>
      <c r="N385" s="31">
        <f>IFERROR(VLOOKUP($B385,Allocation!$D$10:$O$235,8,FALSE),"")</f>
        <v>342500.11873601878</v>
      </c>
      <c r="O385" s="31">
        <f>IFERROR(VLOOKUP($B385,Allocation!$D$10:$O$235,9,FALSE),"")</f>
        <v>87456.577807395428</v>
      </c>
      <c r="P385" s="31">
        <f>IFERROR(VLOOKUP($B385,Allocation!$D$10:$O$235,10,FALSE),"")</f>
        <v>212690.86520053286</v>
      </c>
      <c r="Q385" s="31">
        <f>IFERROR(VLOOKUP($B385,Allocation!$D$10:$O$235,11,FALSE),"")</f>
        <v>237402.78257459842</v>
      </c>
      <c r="R385" s="31">
        <f>IFERROR(VLOOKUP($B385,Allocation!$D$10:$O$235,12,FALSE),"")</f>
        <v>880050.34431854554</v>
      </c>
      <c r="S385" s="31">
        <f t="shared" si="870"/>
        <v>338646.93618359609</v>
      </c>
      <c r="T385" s="31">
        <f t="shared" si="871"/>
        <v>86465.53885830006</v>
      </c>
      <c r="U385" s="31">
        <f t="shared" si="872"/>
        <v>210128.55752486203</v>
      </c>
      <c r="V385" s="31">
        <f t="shared" si="873"/>
        <v>234418.1288921012</v>
      </c>
      <c r="W385" s="31">
        <f t="shared" si="874"/>
        <v>338646.93618359609</v>
      </c>
      <c r="X385" s="31">
        <f t="shared" si="875"/>
        <v>86465.53885830006</v>
      </c>
      <c r="Y385" s="31">
        <f t="shared" si="876"/>
        <v>210128.55752486203</v>
      </c>
      <c r="Z385" s="31">
        <f t="shared" si="877"/>
        <v>234418.1288921012</v>
      </c>
      <c r="AA385" s="31">
        <f t="shared" si="878"/>
        <v>338646.93618359609</v>
      </c>
      <c r="AB385" s="31">
        <f t="shared" si="879"/>
        <v>86465.53885830006</v>
      </c>
      <c r="AC385" s="31">
        <f t="shared" si="880"/>
        <v>210128.55752486203</v>
      </c>
      <c r="AD385" s="31">
        <f t="shared" si="881"/>
        <v>234418.1288921012</v>
      </c>
      <c r="AE385" s="31">
        <f t="shared" si="882"/>
        <v>869659.16145885945</v>
      </c>
      <c r="AF385" s="31">
        <f>IFERROR(VLOOKUP(A385,'Allocations By Type'!$D$7:$F$491,3,FALSE),"")</f>
        <v>904173.04</v>
      </c>
      <c r="AG385" s="31" t="str">
        <f t="shared" si="883"/>
        <v/>
      </c>
      <c r="AH385" s="31" t="str">
        <f t="shared" si="884"/>
        <v/>
      </c>
      <c r="AI385" s="31">
        <f t="shared" si="885"/>
        <v>869659.16145885945</v>
      </c>
      <c r="AJ385" s="31">
        <f>AI385/$AI$577*'State Admin 1004(b)'!$B$30*0.01</f>
        <v>8276.1107904272067</v>
      </c>
      <c r="AK385" s="31">
        <f t="shared" si="886"/>
        <v>861383.05066843226</v>
      </c>
      <c r="AL385" s="31">
        <f t="shared" si="887"/>
        <v>8613.8305066843222</v>
      </c>
      <c r="AM385" s="31">
        <f t="shared" si="888"/>
        <v>852769.22016174789</v>
      </c>
      <c r="AP385" s="31"/>
      <c r="AQ385" s="4">
        <f t="shared" si="889"/>
        <v>0.94314824976615963</v>
      </c>
      <c r="AR385" s="4">
        <f>VLOOKUP(B385,Allocation!$D$10:$P$235,13,FALSE)</f>
        <v>0.95000000000000007</v>
      </c>
      <c r="AS385" s="4">
        <f t="shared" si="890"/>
        <v>0.95</v>
      </c>
      <c r="AT385" s="4" t="str">
        <f t="shared" si="891"/>
        <v>Review</v>
      </c>
      <c r="AU385" s="31">
        <f t="shared" si="892"/>
        <v>6195.1678382521495</v>
      </c>
      <c r="AV385" s="31">
        <f t="shared" si="893"/>
        <v>858964.38800000004</v>
      </c>
      <c r="AW385" s="31">
        <f t="shared" si="894"/>
        <v>858964.38800000004</v>
      </c>
      <c r="AX385" s="4">
        <f t="shared" si="895"/>
        <v>0.95</v>
      </c>
      <c r="AY385" s="4" t="str">
        <f t="shared" si="896"/>
        <v/>
      </c>
      <c r="AZ385" s="174" t="str">
        <f>IFERROR(IF(VLOOKUP(A385,#REF!,11,FALSE)=0,"",VLOOKUP(A385,#REF!,11,FALSE)),"")</f>
        <v/>
      </c>
      <c r="BA385" s="31" t="str">
        <f t="shared" si="897"/>
        <v/>
      </c>
      <c r="BB385" s="31">
        <f t="shared" si="898"/>
        <v>858964.38800000004</v>
      </c>
      <c r="BD385" s="31">
        <f>IFERROR(VLOOKUP(A385,'Title II Hold Harmless'!A$1:B$439,2, FALSE),"")</f>
        <v>30181</v>
      </c>
      <c r="BE385" s="31">
        <f t="shared" si="899"/>
        <v>39451.767767302787</v>
      </c>
      <c r="BF385" s="31">
        <f t="shared" si="900"/>
        <v>39489.939706808043</v>
      </c>
      <c r="BG385" s="31" t="str">
        <f t="shared" si="901"/>
        <v/>
      </c>
      <c r="BH385" s="31">
        <f t="shared" si="902"/>
        <v>39489.939706808043</v>
      </c>
    </row>
    <row r="386" spans="1:60" x14ac:dyDescent="0.3">
      <c r="A386" s="1">
        <v>90204000</v>
      </c>
      <c r="B386">
        <f>VLOOKUP(C386,'NCES ID'!$A$2:$B$3136,2,FALSE)</f>
        <v>400023</v>
      </c>
      <c r="C386">
        <f>VLOOKUP(A386,'State ID'!$A$2:$B$713,2,FALSE)</f>
        <v>4390</v>
      </c>
      <c r="D386" s="147" t="s">
        <v>348</v>
      </c>
      <c r="E386" t="s">
        <v>73</v>
      </c>
      <c r="F386" s="47">
        <f>VLOOKUP(B386,'Formula counts'!$D$9:$L$234,9,FALSE)</f>
        <v>1801</v>
      </c>
      <c r="G386" s="47">
        <f>VLOOKUP(B386,'Formula counts'!$D$9:$K$234,8,FALSE)</f>
        <v>767</v>
      </c>
      <c r="H386" s="4">
        <f>VLOOKUP(B386,'Formula counts'!$D$9:$M$234,10,FALSE)</f>
        <v>0.42587451415880068</v>
      </c>
      <c r="I386" s="47">
        <f>VLOOKUP($C386,'Final SEA Counts'!$A$2:$F$709,5,FALSE)</f>
        <v>1101</v>
      </c>
      <c r="J386" s="47">
        <f>VLOOKUP($C386,'Final SEA Counts'!$A$2:$F$709,6,FALSE)</f>
        <v>996</v>
      </c>
      <c r="K386" s="24">
        <f t="shared" si="867"/>
        <v>1790.7406401165172</v>
      </c>
      <c r="L386" s="24">
        <f t="shared" si="868"/>
        <v>759.19295079102881</v>
      </c>
      <c r="M386" s="4">
        <f t="shared" si="869"/>
        <v>0.42395472229950104</v>
      </c>
      <c r="N386" s="31">
        <f>IFERROR(VLOOKUP($B386,Allocation!$D$10:$O$235,8,FALSE),"")</f>
        <v>450547.39390480687</v>
      </c>
      <c r="O386" s="31">
        <f>IFERROR(VLOOKUP($B386,Allocation!$D$10:$O$235,9,FALSE),"")</f>
        <v>116233.91859916456</v>
      </c>
      <c r="P386" s="31">
        <f>IFERROR(VLOOKUP($B386,Allocation!$D$10:$O$235,10,FALSE),"")</f>
        <v>297042.68343332707</v>
      </c>
      <c r="Q386" s="31">
        <f>IFERROR(VLOOKUP($B386,Allocation!$D$10:$O$235,11,FALSE),"")</f>
        <v>338114.43116327788</v>
      </c>
      <c r="R386" s="31">
        <f>IFERROR(VLOOKUP($B386,Allocation!$D$10:$O$235,12,FALSE),"")</f>
        <v>1201938.4271005765</v>
      </c>
      <c r="S386" s="31">
        <f t="shared" si="870"/>
        <v>445478.66177227418</v>
      </c>
      <c r="T386" s="31">
        <f t="shared" si="871"/>
        <v>114916.78107302629</v>
      </c>
      <c r="U386" s="31">
        <f t="shared" si="872"/>
        <v>293464.1811452976</v>
      </c>
      <c r="V386" s="31">
        <f t="shared" si="873"/>
        <v>333863.61964736896</v>
      </c>
      <c r="W386" s="31">
        <f t="shared" si="874"/>
        <v>445478.66177227418</v>
      </c>
      <c r="X386" s="31">
        <f t="shared" si="875"/>
        <v>114916.78107302629</v>
      </c>
      <c r="Y386" s="31">
        <f t="shared" si="876"/>
        <v>293464.1811452976</v>
      </c>
      <c r="Z386" s="31">
        <f t="shared" si="877"/>
        <v>333863.61964736896</v>
      </c>
      <c r="AA386" s="31">
        <f t="shared" si="878"/>
        <v>445478.66177227418</v>
      </c>
      <c r="AB386" s="31">
        <f t="shared" si="879"/>
        <v>114916.78107302629</v>
      </c>
      <c r="AC386" s="31">
        <f t="shared" si="880"/>
        <v>293464.1811452976</v>
      </c>
      <c r="AD386" s="31">
        <f t="shared" si="881"/>
        <v>333863.61964736896</v>
      </c>
      <c r="AE386" s="31">
        <f t="shared" si="882"/>
        <v>1187723.2436379669</v>
      </c>
      <c r="AF386" s="31">
        <f>IFERROR(VLOOKUP(A386,'Allocations By Type'!$D$7:$F$491,3,FALSE),"")</f>
        <v>1237042.55</v>
      </c>
      <c r="AG386" s="31" t="str">
        <f t="shared" si="883"/>
        <v/>
      </c>
      <c r="AH386" s="31" t="str">
        <f t="shared" si="884"/>
        <v/>
      </c>
      <c r="AI386" s="31">
        <f t="shared" si="885"/>
        <v>1187723.2436379669</v>
      </c>
      <c r="AJ386" s="31">
        <f>AI386/$AI$577*'State Admin 1004(b)'!$B$30*0.01</f>
        <v>11302.967401877237</v>
      </c>
      <c r="AK386" s="31">
        <f t="shared" si="886"/>
        <v>1176420.2762360896</v>
      </c>
      <c r="AL386" s="31">
        <f t="shared" si="887"/>
        <v>11764.202762360897</v>
      </c>
      <c r="AM386" s="31">
        <f t="shared" si="888"/>
        <v>1164656.0734737287</v>
      </c>
      <c r="AP386" s="31"/>
      <c r="AQ386" s="4">
        <f t="shared" si="889"/>
        <v>0.94148424682217169</v>
      </c>
      <c r="AR386" s="4">
        <f>VLOOKUP(B386,Allocation!$D$10:$P$235,13,FALSE)</f>
        <v>0.95000000000000007</v>
      </c>
      <c r="AS386" s="4">
        <f t="shared" si="890"/>
        <v>0.95</v>
      </c>
      <c r="AT386" s="4" t="str">
        <f t="shared" si="891"/>
        <v>Review</v>
      </c>
      <c r="AU386" s="31">
        <f t="shared" si="892"/>
        <v>10534.349026271375</v>
      </c>
      <c r="AV386" s="31">
        <f t="shared" si="893"/>
        <v>1175190.4225000001</v>
      </c>
      <c r="AW386" s="31">
        <f t="shared" si="894"/>
        <v>1175190.4225000001</v>
      </c>
      <c r="AX386" s="4">
        <f t="shared" si="895"/>
        <v>0.95000000000000007</v>
      </c>
      <c r="AY386" s="4" t="str">
        <f t="shared" si="896"/>
        <v/>
      </c>
      <c r="AZ386" s="174" t="str">
        <f>IFERROR(IF(VLOOKUP(A386,#REF!,11,FALSE)=0,"",VLOOKUP(A386,#REF!,11,FALSE)),"")</f>
        <v/>
      </c>
      <c r="BA386" s="31" t="str">
        <f t="shared" si="897"/>
        <v/>
      </c>
      <c r="BB386" s="31">
        <f t="shared" si="898"/>
        <v>1175190.4225000001</v>
      </c>
      <c r="BD386" s="31">
        <f>IFERROR(VLOOKUP(A386,'Title II Hold Harmless'!A$1:B$439,2, FALSE),"")</f>
        <v>97468</v>
      </c>
      <c r="BE386" s="31">
        <f t="shared" si="899"/>
        <v>108847.53413210352</v>
      </c>
      <c r="BF386" s="31">
        <f t="shared" si="900"/>
        <v>108952.85061659399</v>
      </c>
      <c r="BG386" s="31" t="str">
        <f t="shared" si="901"/>
        <v/>
      </c>
      <c r="BH386" s="31">
        <f t="shared" si="902"/>
        <v>108952.85061659399</v>
      </c>
    </row>
    <row r="387" spans="1:60" x14ac:dyDescent="0.3">
      <c r="A387" s="1">
        <v>90201000</v>
      </c>
      <c r="B387">
        <f>VLOOKUP(C387,'NCES ID'!$A$2:$B$3136,2,FALSE)</f>
        <v>409460</v>
      </c>
      <c r="C387">
        <f>VLOOKUP(A387,'State ID'!$A$2:$B$713,2,FALSE)</f>
        <v>4387</v>
      </c>
      <c r="D387" s="147" t="s">
        <v>447</v>
      </c>
      <c r="E387" t="s">
        <v>73</v>
      </c>
      <c r="F387" s="47">
        <f>VLOOKUP(B387,'Formula counts'!$D$9:$L$234,9,FALSE)</f>
        <v>2196</v>
      </c>
      <c r="G387" s="47">
        <f>VLOOKUP(B387,'Formula counts'!$D$9:$K$234,8,FALSE)</f>
        <v>720</v>
      </c>
      <c r="H387" s="4">
        <f>VLOOKUP(B387,'Formula counts'!$D$9:$M$234,10,FALSE)</f>
        <v>0.32786885245901637</v>
      </c>
      <c r="I387" s="47">
        <f>VLOOKUP($C387,'Final SEA Counts'!$A$2:$F$709,5,FALSE)</f>
        <v>1956</v>
      </c>
      <c r="J387" s="47">
        <f>VLOOKUP($C387,'Final SEA Counts'!$A$2:$F$709,6,FALSE)</f>
        <v>1266</v>
      </c>
      <c r="K387" s="24">
        <f t="shared" si="867"/>
        <v>2183.4905306473474</v>
      </c>
      <c r="L387" s="24">
        <f t="shared" si="868"/>
        <v>712.67134885207383</v>
      </c>
      <c r="M387" s="4">
        <f t="shared" si="869"/>
        <v>0.32639085851257871</v>
      </c>
      <c r="N387" s="31">
        <f>IFERROR(VLOOKUP($B387,Allocation!$D$10:$O$235,8,FALSE),"")</f>
        <v>340443.10775840119</v>
      </c>
      <c r="O387" s="31">
        <f>IFERROR(VLOOKUP($B387,Allocation!$D$10:$O$235,9,FALSE),"")</f>
        <v>80671.156858194474</v>
      </c>
      <c r="P387" s="31">
        <f>IFERROR(VLOOKUP($B387,Allocation!$D$10:$O$235,10,FALSE),"")</f>
        <v>173439.76838474511</v>
      </c>
      <c r="Q387" s="31">
        <f>IFERROR(VLOOKUP($B387,Allocation!$D$10:$O$235,11,FALSE),"")</f>
        <v>148152.29855816936</v>
      </c>
      <c r="R387" s="31">
        <f>IFERROR(VLOOKUP($B387,Allocation!$D$10:$O$235,12,FALSE),"")</f>
        <v>742706.3315595102</v>
      </c>
      <c r="S387" s="31">
        <f t="shared" si="870"/>
        <v>336613.06691710651</v>
      </c>
      <c r="T387" s="31">
        <f t="shared" si="871"/>
        <v>79757.008825886121</v>
      </c>
      <c r="U387" s="31">
        <f t="shared" si="872"/>
        <v>171350.32251512675</v>
      </c>
      <c r="V387" s="31">
        <f t="shared" si="873"/>
        <v>146289.71169770104</v>
      </c>
      <c r="W387" s="31">
        <f t="shared" si="874"/>
        <v>336613.06691710651</v>
      </c>
      <c r="X387" s="31">
        <f t="shared" si="875"/>
        <v>79757.008825886121</v>
      </c>
      <c r="Y387" s="31">
        <f t="shared" si="876"/>
        <v>171350.32251512675</v>
      </c>
      <c r="Z387" s="31">
        <f t="shared" si="877"/>
        <v>146289.71169770104</v>
      </c>
      <c r="AA387" s="31">
        <f t="shared" si="878"/>
        <v>336613.06691710651</v>
      </c>
      <c r="AB387" s="31">
        <f t="shared" si="879"/>
        <v>79757.008825886121</v>
      </c>
      <c r="AC387" s="31">
        <f t="shared" si="880"/>
        <v>171350.32251512675</v>
      </c>
      <c r="AD387" s="31">
        <f t="shared" si="881"/>
        <v>146289.71169770104</v>
      </c>
      <c r="AE387" s="31">
        <f t="shared" si="882"/>
        <v>734010.10995582037</v>
      </c>
      <c r="AF387" s="31">
        <f>IFERROR(VLOOKUP(A387,'Allocations By Type'!$D$7:$F$491,3,FALSE),"")</f>
        <v>702381.83</v>
      </c>
      <c r="AG387" s="31">
        <f t="shared" si="883"/>
        <v>29360.404398232815</v>
      </c>
      <c r="AH387" s="31">
        <f t="shared" si="884"/>
        <v>29360.404398232815</v>
      </c>
      <c r="AI387" s="31">
        <f t="shared" si="885"/>
        <v>704649.70555758756</v>
      </c>
      <c r="AJ387" s="31">
        <f>AI387/$AI$577*'State Admin 1004(b)'!$B$30*0.01</f>
        <v>6705.7984209051356</v>
      </c>
      <c r="AK387" s="31">
        <f t="shared" si="886"/>
        <v>697943.90713668242</v>
      </c>
      <c r="AL387" s="31">
        <f t="shared" si="887"/>
        <v>6979.4390713668245</v>
      </c>
      <c r="AM387" s="31">
        <f t="shared" si="888"/>
        <v>690964.46806531562</v>
      </c>
      <c r="AP387" s="31"/>
      <c r="AQ387" s="4">
        <f t="shared" si="889"/>
        <v>0.9837447931494977</v>
      </c>
      <c r="AR387" s="4">
        <f>VLOOKUP(B387,Allocation!$D$10:$P$235,13,FALSE)</f>
        <v>0.97525259216685833</v>
      </c>
      <c r="AS387" s="4">
        <f t="shared" si="890"/>
        <v>0.95</v>
      </c>
      <c r="AT387" s="4" t="str">
        <f t="shared" si="891"/>
        <v/>
      </c>
      <c r="AU387" s="31" t="str">
        <f t="shared" si="892"/>
        <v/>
      </c>
      <c r="AV387" s="31" t="str">
        <f t="shared" si="893"/>
        <v/>
      </c>
      <c r="AW387" s="31">
        <f t="shared" si="894"/>
        <v>685151.84892570658</v>
      </c>
      <c r="AX387" s="4">
        <f t="shared" si="895"/>
        <v>0.97546921013846077</v>
      </c>
      <c r="AY387" s="4" t="str">
        <f t="shared" si="896"/>
        <v/>
      </c>
      <c r="AZ387" s="174" t="str">
        <f>IFERROR(IF(VLOOKUP(A387,#REF!,11,FALSE)=0,"",VLOOKUP(A387,#REF!,11,FALSE)),"")</f>
        <v/>
      </c>
      <c r="BA387" s="31" t="str">
        <f t="shared" si="897"/>
        <v/>
      </c>
      <c r="BB387" s="31">
        <f t="shared" si="898"/>
        <v>685151.84892570658</v>
      </c>
      <c r="BD387" s="31">
        <f>IFERROR(VLOOKUP(A387,'Title II Hold Harmless'!A$1:B$439,2, FALSE),"")</f>
        <v>103871</v>
      </c>
      <c r="BE387" s="31">
        <f t="shared" si="899"/>
        <v>114957.62004618892</v>
      </c>
      <c r="BF387" s="31">
        <f t="shared" si="900"/>
        <v>115068.84840340611</v>
      </c>
      <c r="BG387" s="31" t="str">
        <f t="shared" si="901"/>
        <v/>
      </c>
      <c r="BH387" s="31">
        <f t="shared" si="902"/>
        <v>115068.84840340611</v>
      </c>
    </row>
    <row r="388" spans="1:60" x14ac:dyDescent="0.3">
      <c r="A388" s="1">
        <v>90203000</v>
      </c>
      <c r="B388">
        <f>VLOOKUP(C388,'NCES ID'!$A$2:$B$3136,2,FALSE)</f>
        <v>403820</v>
      </c>
      <c r="C388">
        <f>VLOOKUP(A388,'State ID'!$A$2:$B$713,2,FALSE)</f>
        <v>4389</v>
      </c>
      <c r="D388" s="147" t="s">
        <v>199</v>
      </c>
      <c r="E388" t="s">
        <v>73</v>
      </c>
      <c r="F388" s="47">
        <f>VLOOKUP(B388,'Formula counts'!$D$9:$L$234,9,FALSE)</f>
        <v>2283</v>
      </c>
      <c r="G388" s="47">
        <f>VLOOKUP(B388,'Formula counts'!$D$9:$K$234,8,FALSE)</f>
        <v>785</v>
      </c>
      <c r="H388" s="4">
        <f>VLOOKUP(B388,'Formula counts'!$D$9:$M$234,10,FALSE)</f>
        <v>0.34384581690757776</v>
      </c>
      <c r="I388" s="47">
        <f>VLOOKUP($C388,'Final SEA Counts'!$A$2:$F$709,5,FALSE)</f>
        <v>1828</v>
      </c>
      <c r="J388" s="47">
        <f>VLOOKUP($C388,'Final SEA Counts'!$A$2:$F$709,6,FALSE)</f>
        <v>1826</v>
      </c>
      <c r="K388" s="24">
        <f t="shared" si="867"/>
        <v>2269.9949369161627</v>
      </c>
      <c r="L388" s="24">
        <f t="shared" si="868"/>
        <v>777.00973451233062</v>
      </c>
      <c r="M388" s="4">
        <f t="shared" si="869"/>
        <v>0.34229580069809107</v>
      </c>
      <c r="N388" s="31">
        <f>IFERROR(VLOOKUP($B388,Allocation!$D$10:$O$235,8,FALSE),"")</f>
        <v>470072.65803814604</v>
      </c>
      <c r="O388" s="31">
        <f>IFERROR(VLOOKUP($B388,Allocation!$D$10:$O$235,9,FALSE),"")</f>
        <v>121270.66741621455</v>
      </c>
      <c r="P388" s="31">
        <f>IFERROR(VLOOKUP($B388,Allocation!$D$10:$O$235,10,FALSE),"")</f>
        <v>266864.59255224105</v>
      </c>
      <c r="Q388" s="31">
        <f>IFERROR(VLOOKUP($B388,Allocation!$D$10:$O$235,11,FALSE),"")</f>
        <v>285059.20993818605</v>
      </c>
      <c r="R388" s="31">
        <f>IFERROR(VLOOKUP($B388,Allocation!$D$10:$O$235,12,FALSE),"")</f>
        <v>1143267.1279447877</v>
      </c>
      <c r="S388" s="31">
        <f t="shared" si="870"/>
        <v>464784.26347931207</v>
      </c>
      <c r="T388" s="31">
        <f t="shared" si="871"/>
        <v>119896.4545461782</v>
      </c>
      <c r="U388" s="31">
        <f t="shared" si="872"/>
        <v>263649.64867951442</v>
      </c>
      <c r="V388" s="31">
        <f t="shared" si="873"/>
        <v>281475.41445169295</v>
      </c>
      <c r="W388" s="31">
        <f t="shared" si="874"/>
        <v>464784.26347931207</v>
      </c>
      <c r="X388" s="31">
        <f t="shared" si="875"/>
        <v>119896.4545461782</v>
      </c>
      <c r="Y388" s="31">
        <f t="shared" si="876"/>
        <v>263649.64867951442</v>
      </c>
      <c r="Z388" s="31">
        <f t="shared" si="877"/>
        <v>281475.41445169295</v>
      </c>
      <c r="AA388" s="31">
        <f t="shared" si="878"/>
        <v>464784.26347931207</v>
      </c>
      <c r="AB388" s="31">
        <f t="shared" si="879"/>
        <v>119896.4545461782</v>
      </c>
      <c r="AC388" s="31">
        <f t="shared" si="880"/>
        <v>263649.64867951442</v>
      </c>
      <c r="AD388" s="31">
        <f t="shared" si="881"/>
        <v>281475.41445169295</v>
      </c>
      <c r="AE388" s="31">
        <f t="shared" si="882"/>
        <v>1129805.7811566978</v>
      </c>
      <c r="AF388" s="31">
        <f>IFERROR(VLOOKUP(A388,'Allocations By Type'!$D$7:$F$491,3,FALSE),"")</f>
        <v>1176719.5</v>
      </c>
      <c r="AG388" s="31" t="str">
        <f t="shared" si="883"/>
        <v/>
      </c>
      <c r="AH388" s="31" t="str">
        <f t="shared" si="884"/>
        <v/>
      </c>
      <c r="AI388" s="31">
        <f t="shared" si="885"/>
        <v>1129805.7811566978</v>
      </c>
      <c r="AJ388" s="31">
        <f>AI388/$AI$577*'State Admin 1004(b)'!$B$30*0.01</f>
        <v>10751.795911438025</v>
      </c>
      <c r="AK388" s="31">
        <f t="shared" si="886"/>
        <v>1119053.9852452597</v>
      </c>
      <c r="AL388" s="31">
        <f t="shared" si="887"/>
        <v>11190.539852452597</v>
      </c>
      <c r="AM388" s="31">
        <f t="shared" si="888"/>
        <v>1107863.445392807</v>
      </c>
      <c r="AP388" s="31"/>
      <c r="AQ388" s="4">
        <f t="shared" si="889"/>
        <v>0.94148473395130017</v>
      </c>
      <c r="AR388" s="4">
        <f>VLOOKUP(B388,Allocation!$D$10:$P$235,13,FALSE)</f>
        <v>0.95000000000000007</v>
      </c>
      <c r="AS388" s="4">
        <f t="shared" si="890"/>
        <v>0.95</v>
      </c>
      <c r="AT388" s="4" t="str">
        <f t="shared" si="891"/>
        <v>Review</v>
      </c>
      <c r="AU388" s="31">
        <f t="shared" si="892"/>
        <v>10020.079607192893</v>
      </c>
      <c r="AV388" s="31">
        <f t="shared" si="893"/>
        <v>1117883.5249999999</v>
      </c>
      <c r="AW388" s="31">
        <f t="shared" si="894"/>
        <v>1117883.5249999999</v>
      </c>
      <c r="AX388" s="4">
        <f t="shared" si="895"/>
        <v>0.95</v>
      </c>
      <c r="AY388" s="4" t="str">
        <f t="shared" si="896"/>
        <v/>
      </c>
      <c r="AZ388" s="174" t="str">
        <f>IFERROR(IF(VLOOKUP(A388,#REF!,11,FALSE)=0,"",VLOOKUP(A388,#REF!,11,FALSE)),"")</f>
        <v/>
      </c>
      <c r="BA388" s="31" t="str">
        <f t="shared" si="897"/>
        <v/>
      </c>
      <c r="BB388" s="31">
        <f t="shared" si="898"/>
        <v>1117883.5249999999</v>
      </c>
      <c r="BD388" s="31">
        <f>IFERROR(VLOOKUP(A388,'Title II Hold Harmless'!A$1:B$439,2, FALSE),"")</f>
        <v>89683</v>
      </c>
      <c r="BE388" s="31">
        <f t="shared" si="899"/>
        <v>101681.47152998335</v>
      </c>
      <c r="BF388" s="31">
        <f t="shared" si="900"/>
        <v>101779.85442128853</v>
      </c>
      <c r="BG388" s="31" t="str">
        <f t="shared" si="901"/>
        <v/>
      </c>
      <c r="BH388" s="31">
        <f t="shared" si="902"/>
        <v>101779.85442128853</v>
      </c>
    </row>
    <row r="389" spans="1:60" x14ac:dyDescent="0.3">
      <c r="A389" s="1">
        <v>90232000</v>
      </c>
      <c r="B389">
        <f>VLOOKUP(C389,'NCES ID'!$A$2:$B$3136,2,FALSE)</f>
        <v>406580</v>
      </c>
      <c r="C389">
        <f>VLOOKUP(A389,'State ID'!$A$2:$B$713,2,FALSE)</f>
        <v>4397</v>
      </c>
      <c r="D389" s="147" t="s">
        <v>72</v>
      </c>
      <c r="E389" t="s">
        <v>73</v>
      </c>
      <c r="F389" s="47">
        <f>VLOOKUP(B389,'Formula counts'!$D$9:$L$234,9,FALSE)</f>
        <v>2531</v>
      </c>
      <c r="G389" s="47">
        <f>VLOOKUP(B389,'Formula counts'!$D$9:$K$234,8,FALSE)</f>
        <v>725</v>
      </c>
      <c r="H389" s="4">
        <f>VLOOKUP(B389,'Formula counts'!$D$9:$M$234,10,FALSE)</f>
        <v>0.28644804425128406</v>
      </c>
      <c r="I389" s="47">
        <f>VLOOKUP($C389,'Final SEA Counts'!$A$2:$F$709,5,FALSE)</f>
        <v>1949</v>
      </c>
      <c r="J389" s="47">
        <f>VLOOKUP($C389,'Final SEA Counts'!$A$2:$F$709,6,FALSE)</f>
        <v>1082</v>
      </c>
      <c r="K389" s="24">
        <f t="shared" si="867"/>
        <v>2516.5822099583038</v>
      </c>
      <c r="L389" s="24">
        <f t="shared" si="868"/>
        <v>717.62045544132445</v>
      </c>
      <c r="M389" s="4">
        <f t="shared" si="869"/>
        <v>0.28515677040139864</v>
      </c>
      <c r="N389" s="31">
        <f>IFERROR(VLOOKUP($B389,Allocation!$D$10:$O$235,8,FALSE),"")</f>
        <v>386864.02328489721</v>
      </c>
      <c r="O389" s="31">
        <f>IFERROR(VLOOKUP($B389,Allocation!$D$10:$O$235,9,FALSE),"")</f>
        <v>91671.024009555651</v>
      </c>
      <c r="P389" s="31">
        <f>IFERROR(VLOOKUP($B389,Allocation!$D$10:$O$235,10,FALSE),"")</f>
        <v>198059.48479011317</v>
      </c>
      <c r="Q389" s="31">
        <f>IFERROR(VLOOKUP($B389,Allocation!$D$10:$O$235,11,FALSE),"")</f>
        <v>158649.61099362533</v>
      </c>
      <c r="R389" s="31">
        <f>IFERROR(VLOOKUP($B389,Allocation!$D$10:$O$235,12,FALSE),"")</f>
        <v>835244.14307819144</v>
      </c>
      <c r="S389" s="31">
        <f t="shared" si="870"/>
        <v>382511.73952458019</v>
      </c>
      <c r="T389" s="31">
        <f t="shared" si="871"/>
        <v>90632.227871236551</v>
      </c>
      <c r="U389" s="31">
        <f t="shared" si="872"/>
        <v>195673.44278667009</v>
      </c>
      <c r="V389" s="31">
        <f t="shared" si="873"/>
        <v>156655.05077599149</v>
      </c>
      <c r="W389" s="31">
        <f t="shared" si="874"/>
        <v>382511.73952458019</v>
      </c>
      <c r="X389" s="31">
        <f t="shared" si="875"/>
        <v>90632.227871236551</v>
      </c>
      <c r="Y389" s="31">
        <f t="shared" si="876"/>
        <v>195673.44278667009</v>
      </c>
      <c r="Z389" s="31">
        <f t="shared" si="877"/>
        <v>156655.05077599149</v>
      </c>
      <c r="AA389" s="31">
        <f t="shared" si="878"/>
        <v>382511.73952458019</v>
      </c>
      <c r="AB389" s="31">
        <f t="shared" si="879"/>
        <v>90632.227871236551</v>
      </c>
      <c r="AC389" s="31">
        <f t="shared" si="880"/>
        <v>195673.44278667009</v>
      </c>
      <c r="AD389" s="31">
        <f t="shared" si="881"/>
        <v>156655.05077599149</v>
      </c>
      <c r="AE389" s="31">
        <f t="shared" si="882"/>
        <v>825472.46095847839</v>
      </c>
      <c r="AF389" s="31">
        <f>IFERROR(VLOOKUP(A389,'Allocations By Type'!$D$7:$F$491,3,FALSE),"")</f>
        <v>855929.23</v>
      </c>
      <c r="AG389" s="31" t="str">
        <f t="shared" si="883"/>
        <v/>
      </c>
      <c r="AH389" s="31" t="str">
        <f t="shared" si="884"/>
        <v/>
      </c>
      <c r="AI389" s="31">
        <f t="shared" si="885"/>
        <v>825472.46095847839</v>
      </c>
      <c r="AJ389" s="31">
        <f>AI389/$AI$577*'State Admin 1004(b)'!$B$30*0.01</f>
        <v>7855.6080865965196</v>
      </c>
      <c r="AK389" s="31">
        <f t="shared" si="886"/>
        <v>817616.85287188191</v>
      </c>
      <c r="AL389" s="31">
        <f t="shared" si="887"/>
        <v>8176.1685287188193</v>
      </c>
      <c r="AM389" s="31">
        <f t="shared" si="888"/>
        <v>809440.68434316304</v>
      </c>
      <c r="AP389" s="31"/>
      <c r="AQ389" s="4">
        <f t="shared" si="889"/>
        <v>0.94568646095093989</v>
      </c>
      <c r="AR389" s="4">
        <f>VLOOKUP(B389,Allocation!$D$10:$P$235,13,FALSE)</f>
        <v>0.9</v>
      </c>
      <c r="AS389" s="4">
        <f t="shared" si="890"/>
        <v>0.9</v>
      </c>
      <c r="AT389" s="4" t="str">
        <f t="shared" si="891"/>
        <v/>
      </c>
      <c r="AU389" s="31" t="str">
        <f t="shared" si="892"/>
        <v/>
      </c>
      <c r="AV389" s="31" t="str">
        <f t="shared" si="893"/>
        <v/>
      </c>
      <c r="AW389" s="31">
        <f t="shared" si="894"/>
        <v>802631.40451526525</v>
      </c>
      <c r="AX389" s="4">
        <f t="shared" si="895"/>
        <v>0.93773103708032646</v>
      </c>
      <c r="AY389" s="4" t="str">
        <f t="shared" si="896"/>
        <v/>
      </c>
      <c r="AZ389" s="174" t="str">
        <f>IFERROR(IF(VLOOKUP(A389,#REF!,11,FALSE)=0,"",VLOOKUP(A389,#REF!,11,FALSE)),"")</f>
        <v/>
      </c>
      <c r="BA389" s="31" t="str">
        <f t="shared" si="897"/>
        <v/>
      </c>
      <c r="BB389" s="31">
        <f t="shared" si="898"/>
        <v>802631.40451526525</v>
      </c>
      <c r="BD389" s="31">
        <f>IFERROR(VLOOKUP(A389,'Title II Hold Harmless'!A$1:B$439,2, FALSE),"")</f>
        <v>48153</v>
      </c>
      <c r="BE389" s="31">
        <f t="shared" si="899"/>
        <v>59572.479262000634</v>
      </c>
      <c r="BF389" s="31">
        <f t="shared" si="900"/>
        <v>59630.119190532598</v>
      </c>
      <c r="BG389" s="31" t="str">
        <f t="shared" si="901"/>
        <v/>
      </c>
      <c r="BH389" s="31">
        <f t="shared" si="902"/>
        <v>59630.119190532598</v>
      </c>
    </row>
    <row r="390" spans="1:60" x14ac:dyDescent="0.3">
      <c r="A390" s="1">
        <v>90227000</v>
      </c>
      <c r="B390">
        <f>VLOOKUP(C390,'NCES ID'!$A$2:$B$3136,2,FALSE)</f>
        <v>404060</v>
      </c>
      <c r="C390">
        <f>VLOOKUP(A390,'State ID'!$A$2:$B$713,2,FALSE)</f>
        <v>4396</v>
      </c>
      <c r="D390" s="147" t="s">
        <v>239</v>
      </c>
      <c r="E390" t="s">
        <v>73</v>
      </c>
      <c r="F390" s="47">
        <f>VLOOKUP(B390,'Formula counts'!$D$9:$L$234,9,FALSE)</f>
        <v>2637</v>
      </c>
      <c r="G390" s="47">
        <f>VLOOKUP(B390,'Formula counts'!$D$9:$K$234,8,FALSE)</f>
        <v>1072</v>
      </c>
      <c r="H390" s="4">
        <f>VLOOKUP(B390,'Formula counts'!$D$9:$M$234,10,FALSE)</f>
        <v>0.40652256351915056</v>
      </c>
      <c r="I390" s="47">
        <f>VLOOKUP($C390,'Final SEA Counts'!$A$2:$F$709,5,FALSE)</f>
        <v>1543</v>
      </c>
      <c r="J390" s="47">
        <f>VLOOKUP($C390,'Final SEA Counts'!$A$2:$F$709,6,FALSE)</f>
        <v>1401</v>
      </c>
      <c r="K390" s="24">
        <f t="shared" si="867"/>
        <v>2621.9783831134127</v>
      </c>
      <c r="L390" s="24">
        <f t="shared" si="868"/>
        <v>1061.0884527353101</v>
      </c>
      <c r="M390" s="4">
        <f t="shared" si="869"/>
        <v>0.40469000796083721</v>
      </c>
      <c r="N390" s="31">
        <f>IFERROR(VLOOKUP($B390,Allocation!$D$10:$O$235,8,FALSE),"")</f>
        <v>609029.49779173429</v>
      </c>
      <c r="O390" s="31">
        <f>IFERROR(VLOOKUP($B390,Allocation!$D$10:$O$235,9,FALSE),"")</f>
        <v>151750.54430191519</v>
      </c>
      <c r="P390" s="31">
        <f>IFERROR(VLOOKUP($B390,Allocation!$D$10:$O$235,10,FALSE),"")</f>
        <v>415725.88386823435</v>
      </c>
      <c r="Q390" s="31">
        <f>IFERROR(VLOOKUP($B390,Allocation!$D$10:$O$235,11,FALSE),"")</f>
        <v>401634.54052309238</v>
      </c>
      <c r="R390" s="31">
        <f>IFERROR(VLOOKUP($B390,Allocation!$D$10:$O$235,12,FALSE),"")</f>
        <v>1578140.466484976</v>
      </c>
      <c r="S390" s="31">
        <f t="shared" si="870"/>
        <v>602177.8159778351</v>
      </c>
      <c r="T390" s="31">
        <f t="shared" si="871"/>
        <v>150030.94008551395</v>
      </c>
      <c r="U390" s="31">
        <f t="shared" si="872"/>
        <v>410717.59344538854</v>
      </c>
      <c r="V390" s="31">
        <f t="shared" si="873"/>
        <v>396585.14726244833</v>
      </c>
      <c r="W390" s="31">
        <f t="shared" si="874"/>
        <v>602177.8159778351</v>
      </c>
      <c r="X390" s="31">
        <f t="shared" si="875"/>
        <v>150030.94008551395</v>
      </c>
      <c r="Y390" s="31">
        <f t="shared" si="876"/>
        <v>410717.59344538854</v>
      </c>
      <c r="Z390" s="31">
        <f t="shared" si="877"/>
        <v>396585.14726244833</v>
      </c>
      <c r="AA390" s="31">
        <f t="shared" si="878"/>
        <v>602177.8159778351</v>
      </c>
      <c r="AB390" s="31">
        <f t="shared" si="879"/>
        <v>150030.94008551395</v>
      </c>
      <c r="AC390" s="31">
        <f t="shared" si="880"/>
        <v>410717.59344538854</v>
      </c>
      <c r="AD390" s="31">
        <f t="shared" si="881"/>
        <v>396585.14726244833</v>
      </c>
      <c r="AE390" s="31">
        <f t="shared" si="882"/>
        <v>1559511.4967711861</v>
      </c>
      <c r="AF390" s="31">
        <f>IFERROR(VLOOKUP(A390,'Allocations By Type'!$D$7:$F$491,3,FALSE),"")</f>
        <v>1584546.58</v>
      </c>
      <c r="AG390" s="31" t="str">
        <f t="shared" si="883"/>
        <v/>
      </c>
      <c r="AH390" s="31" t="str">
        <f t="shared" si="884"/>
        <v/>
      </c>
      <c r="AI390" s="31">
        <f t="shared" si="885"/>
        <v>1559511.4967711861</v>
      </c>
      <c r="AJ390" s="31">
        <f>AI390/$AI$577*'State Admin 1004(b)'!$B$30*0.01</f>
        <v>14841.09004793583</v>
      </c>
      <c r="AK390" s="31">
        <f t="shared" si="886"/>
        <v>1544670.4067232504</v>
      </c>
      <c r="AL390" s="31">
        <f t="shared" si="887"/>
        <v>15446.704067232504</v>
      </c>
      <c r="AM390" s="31">
        <f t="shared" si="888"/>
        <v>1529223.7026560178</v>
      </c>
      <c r="AP390" s="31"/>
      <c r="AQ390" s="4">
        <f t="shared" si="889"/>
        <v>0.96508598860881567</v>
      </c>
      <c r="AR390" s="4">
        <f>VLOOKUP(B390,Allocation!$D$10:$P$235,13,FALSE)</f>
        <v>0.95</v>
      </c>
      <c r="AS390" s="4">
        <f t="shared" si="890"/>
        <v>0.95</v>
      </c>
      <c r="AT390" s="4" t="str">
        <f t="shared" si="891"/>
        <v/>
      </c>
      <c r="AU390" s="31" t="str">
        <f t="shared" si="892"/>
        <v/>
      </c>
      <c r="AV390" s="31" t="str">
        <f t="shared" si="893"/>
        <v/>
      </c>
      <c r="AW390" s="31">
        <f t="shared" si="894"/>
        <v>1516359.3726164566</v>
      </c>
      <c r="AX390" s="4">
        <f t="shared" si="895"/>
        <v>0.95696736956540374</v>
      </c>
      <c r="AY390" s="4" t="str">
        <f t="shared" si="896"/>
        <v/>
      </c>
      <c r="AZ390" s="174" t="str">
        <f>IFERROR(IF(VLOOKUP(A390,#REF!,11,FALSE)=0,"",VLOOKUP(A390,#REF!,11,FALSE)),"")</f>
        <v/>
      </c>
      <c r="BA390" s="31" t="str">
        <f t="shared" si="897"/>
        <v/>
      </c>
      <c r="BB390" s="31">
        <f t="shared" si="898"/>
        <v>1516359.3726164566</v>
      </c>
      <c r="BD390" s="31">
        <f>IFERROR(VLOOKUP(A390,'Title II Hold Harmless'!A$1:B$439,2, FALSE),"")</f>
        <v>104198</v>
      </c>
      <c r="BE390" s="31">
        <f t="shared" si="899"/>
        <v>120198.52928908945</v>
      </c>
      <c r="BF390" s="31">
        <f t="shared" si="900"/>
        <v>120314.82853873793</v>
      </c>
      <c r="BG390" s="31" t="str">
        <f t="shared" si="901"/>
        <v/>
      </c>
      <c r="BH390" s="31">
        <f t="shared" si="902"/>
        <v>120314.82853873793</v>
      </c>
    </row>
    <row r="391" spans="1:60" x14ac:dyDescent="0.3">
      <c r="A391" s="1">
        <v>90220000</v>
      </c>
      <c r="B391">
        <f>VLOOKUP(C391,'NCES ID'!$A$2:$B$3136,2,FALSE)</f>
        <v>409160</v>
      </c>
      <c r="C391">
        <f>VLOOKUP(A391,'State ID'!$A$2:$B$713,2,FALSE)</f>
        <v>4394</v>
      </c>
      <c r="D391" s="147" t="s">
        <v>441</v>
      </c>
      <c r="E391" t="s">
        <v>73</v>
      </c>
      <c r="F391" s="47">
        <f>VLOOKUP(B391,'Formula counts'!$D$9:$L$234,9,FALSE)</f>
        <v>2712</v>
      </c>
      <c r="G391" s="47">
        <f>VLOOKUP(B391,'Formula counts'!$D$9:$K$234,8,FALSE)</f>
        <v>1057</v>
      </c>
      <c r="H391" s="4">
        <f>VLOOKUP(B391,'Formula counts'!$D$9:$M$234,10,FALSE)</f>
        <v>0.38974926253687314</v>
      </c>
      <c r="I391" s="47">
        <f>VLOOKUP($C391,'Final SEA Counts'!$A$2:$F$709,5,FALSE)</f>
        <v>2159</v>
      </c>
      <c r="J391" s="47">
        <f>VLOOKUP($C391,'Final SEA Counts'!$A$2:$F$709,6,FALSE)</f>
        <v>2142</v>
      </c>
      <c r="K391" s="24">
        <f t="shared" si="867"/>
        <v>2696.5511471382538</v>
      </c>
      <c r="L391" s="24">
        <f t="shared" si="868"/>
        <v>1046.2411329675585</v>
      </c>
      <c r="M391" s="4">
        <f t="shared" si="869"/>
        <v>0.38799231903236625</v>
      </c>
      <c r="N391" s="31">
        <f>IFERROR(VLOOKUP($B391,Allocation!$D$10:$O$235,8,FALSE),"")</f>
        <v>675007.12859414693</v>
      </c>
      <c r="O391" s="31">
        <f>IFERROR(VLOOKUP($B391,Allocation!$D$10:$O$235,9,FALSE),"")</f>
        <v>174140.88883942118</v>
      </c>
      <c r="P391" s="31">
        <f>IFERROR(VLOOKUP($B391,Allocation!$D$10:$O$235,10,FALSE),"")</f>
        <v>457889.60986444267</v>
      </c>
      <c r="Q391" s="31">
        <f>IFERROR(VLOOKUP($B391,Allocation!$D$10:$O$235,11,FALSE),"")</f>
        <v>526789.90361702535</v>
      </c>
      <c r="R391" s="31">
        <f>IFERROR(VLOOKUP($B391,Allocation!$D$10:$O$235,12,FALSE),"")</f>
        <v>1833827.5309150361</v>
      </c>
      <c r="S391" s="31">
        <f t="shared" si="870"/>
        <v>667413.1876044079</v>
      </c>
      <c r="T391" s="31">
        <f t="shared" si="871"/>
        <v>172167.56210063631</v>
      </c>
      <c r="U391" s="31">
        <f t="shared" si="872"/>
        <v>452373.36890665913</v>
      </c>
      <c r="V391" s="31">
        <f t="shared" si="873"/>
        <v>520167.04347746971</v>
      </c>
      <c r="W391" s="31">
        <f t="shared" si="874"/>
        <v>667413.1876044079</v>
      </c>
      <c r="X391" s="31">
        <f t="shared" si="875"/>
        <v>172167.56210063631</v>
      </c>
      <c r="Y391" s="31">
        <f t="shared" si="876"/>
        <v>452373.36890665913</v>
      </c>
      <c r="Z391" s="31">
        <f t="shared" si="877"/>
        <v>520167.04347746971</v>
      </c>
      <c r="AA391" s="31">
        <f t="shared" si="878"/>
        <v>667413.1876044079</v>
      </c>
      <c r="AB391" s="31">
        <f t="shared" si="879"/>
        <v>172167.56210063631</v>
      </c>
      <c r="AC391" s="31">
        <f t="shared" si="880"/>
        <v>452373.36890665913</v>
      </c>
      <c r="AD391" s="31">
        <f t="shared" si="881"/>
        <v>520167.04347746971</v>
      </c>
      <c r="AE391" s="31">
        <f t="shared" si="882"/>
        <v>1812121.1620891732</v>
      </c>
      <c r="AF391" s="31">
        <f>IFERROR(VLOOKUP(A391,'Allocations By Type'!$D$7:$F$491,3,FALSE),"")</f>
        <v>1887368.3</v>
      </c>
      <c r="AG391" s="31" t="str">
        <f t="shared" si="883"/>
        <v/>
      </c>
      <c r="AH391" s="31" t="str">
        <f t="shared" si="884"/>
        <v/>
      </c>
      <c r="AI391" s="31">
        <f t="shared" si="885"/>
        <v>1812121.1620891732</v>
      </c>
      <c r="AJ391" s="31">
        <f>AI391/$AI$577*'State Admin 1004(b)'!$B$30*0.01</f>
        <v>17245.049747960562</v>
      </c>
      <c r="AK391" s="31">
        <f t="shared" si="886"/>
        <v>1794876.1123412126</v>
      </c>
      <c r="AL391" s="31">
        <f t="shared" si="887"/>
        <v>17948.761123412125</v>
      </c>
      <c r="AM391" s="31">
        <f t="shared" si="888"/>
        <v>1776927.3512178005</v>
      </c>
      <c r="AP391" s="31"/>
      <c r="AQ391" s="4">
        <f t="shared" si="889"/>
        <v>0.94148415612246983</v>
      </c>
      <c r="AR391" s="4">
        <f>VLOOKUP(B391,Allocation!$D$10:$P$235,13,FALSE)</f>
        <v>0.95</v>
      </c>
      <c r="AS391" s="4">
        <f t="shared" si="890"/>
        <v>0.95</v>
      </c>
      <c r="AT391" s="4" t="str">
        <f t="shared" si="891"/>
        <v>Review</v>
      </c>
      <c r="AU391" s="31">
        <f t="shared" si="892"/>
        <v>16072.533782199491</v>
      </c>
      <c r="AV391" s="31">
        <f t="shared" si="893"/>
        <v>1792999.885</v>
      </c>
      <c r="AW391" s="31">
        <f t="shared" si="894"/>
        <v>1792999.885</v>
      </c>
      <c r="AX391" s="4">
        <f t="shared" si="895"/>
        <v>0.95</v>
      </c>
      <c r="AY391" s="4" t="str">
        <f t="shared" si="896"/>
        <v/>
      </c>
      <c r="AZ391" s="174" t="str">
        <f>IFERROR(IF(VLOOKUP(A391,#REF!,11,FALSE)=0,"",VLOOKUP(A391,#REF!,11,FALSE)),"")</f>
        <v/>
      </c>
      <c r="BA391" s="31" t="str">
        <f t="shared" si="897"/>
        <v/>
      </c>
      <c r="BB391" s="31">
        <f t="shared" si="898"/>
        <v>1792999.885</v>
      </c>
      <c r="BD391" s="31">
        <f>IFERROR(VLOOKUP(A391,'Title II Hold Harmless'!A$1:B$439,2, FALSE),"")</f>
        <v>140019</v>
      </c>
      <c r="BE391" s="31">
        <f t="shared" si="899"/>
        <v>155885.18401923127</v>
      </c>
      <c r="BF391" s="31">
        <f t="shared" si="900"/>
        <v>156036.0122368474</v>
      </c>
      <c r="BG391" s="31" t="str">
        <f t="shared" si="901"/>
        <v/>
      </c>
      <c r="BH391" s="31">
        <f t="shared" si="902"/>
        <v>156036.0122368474</v>
      </c>
    </row>
    <row r="392" spans="1:60" x14ac:dyDescent="0.3">
      <c r="A392" s="1">
        <v>90210000</v>
      </c>
      <c r="B392">
        <f>VLOOKUP(C392,'NCES ID'!$A$2:$B$3136,2,FALSE)</f>
        <v>407700</v>
      </c>
      <c r="C392">
        <f>VLOOKUP(A392,'State ID'!$A$2:$B$713,2,FALSE)</f>
        <v>4393</v>
      </c>
      <c r="D392" s="147" t="s">
        <v>383</v>
      </c>
      <c r="E392" t="s">
        <v>73</v>
      </c>
      <c r="F392" s="47">
        <f>VLOOKUP(B392,'Formula counts'!$D$9:$L$234,9,FALSE)</f>
        <v>2716</v>
      </c>
      <c r="G392" s="47">
        <f>VLOOKUP(B392,'Formula counts'!$D$9:$K$234,8,FALSE)</f>
        <v>765</v>
      </c>
      <c r="H392" s="4">
        <f>VLOOKUP(B392,'Formula counts'!$D$9:$M$234,10,FALSE)</f>
        <v>0.28166421207658321</v>
      </c>
      <c r="I392" s="47">
        <f>VLOOKUP($C392,'Final SEA Counts'!$A$2:$F$709,5,FALSE)</f>
        <v>2297</v>
      </c>
      <c r="J392" s="47">
        <f>VLOOKUP($C392,'Final SEA Counts'!$A$2:$F$709,6,FALSE)</f>
        <v>1391</v>
      </c>
      <c r="K392" s="24">
        <f t="shared" si="867"/>
        <v>2700.5283612195785</v>
      </c>
      <c r="L392" s="24">
        <f t="shared" si="868"/>
        <v>757.2133081553286</v>
      </c>
      <c r="M392" s="4">
        <f t="shared" si="869"/>
        <v>0.28039450317543246</v>
      </c>
      <c r="N392" s="31">
        <f>IFERROR(VLOOKUP($B392,Allocation!$D$10:$O$235,8,FALSE),"")</f>
        <v>442901.19403968385</v>
      </c>
      <c r="O392" s="31">
        <f>IFERROR(VLOOKUP($B392,Allocation!$D$10:$O$235,9,FALSE),"")</f>
        <v>104949.55216544622</v>
      </c>
      <c r="P392" s="31">
        <f>IFERROR(VLOOKUP($B392,Allocation!$D$10:$O$235,10,FALSE),"")</f>
        <v>239492.03821865655</v>
      </c>
      <c r="Q392" s="31">
        <f>IFERROR(VLOOKUP($B392,Allocation!$D$10:$O$235,11,FALSE),"")</f>
        <v>197072.77227882907</v>
      </c>
      <c r="R392" s="31">
        <f>IFERROR(VLOOKUP($B392,Allocation!$D$10:$O$235,12,FALSE),"")</f>
        <v>984415.55670261569</v>
      </c>
      <c r="S392" s="31">
        <f t="shared" si="870"/>
        <v>437918.48291065142</v>
      </c>
      <c r="T392" s="31">
        <f t="shared" si="871"/>
        <v>103760.28662940922</v>
      </c>
      <c r="U392" s="31">
        <f t="shared" si="872"/>
        <v>236606.85418778082</v>
      </c>
      <c r="V392" s="31">
        <f t="shared" si="873"/>
        <v>194595.15188565987</v>
      </c>
      <c r="W392" s="31">
        <f t="shared" si="874"/>
        <v>437918.48291065142</v>
      </c>
      <c r="X392" s="31">
        <f t="shared" si="875"/>
        <v>103760.28662940922</v>
      </c>
      <c r="Y392" s="31">
        <f t="shared" si="876"/>
        <v>236606.85418778082</v>
      </c>
      <c r="Z392" s="31">
        <f t="shared" si="877"/>
        <v>194595.15188565987</v>
      </c>
      <c r="AA392" s="31">
        <f t="shared" si="878"/>
        <v>437918.48291065142</v>
      </c>
      <c r="AB392" s="31">
        <f t="shared" si="879"/>
        <v>103760.28662940922</v>
      </c>
      <c r="AC392" s="31">
        <f t="shared" si="880"/>
        <v>236606.85418778082</v>
      </c>
      <c r="AD392" s="31">
        <f t="shared" si="881"/>
        <v>194595.15188565987</v>
      </c>
      <c r="AE392" s="31">
        <f t="shared" si="882"/>
        <v>972880.77561350144</v>
      </c>
      <c r="AF392" s="31">
        <f>IFERROR(VLOOKUP(A392,'Allocations By Type'!$D$7:$F$491,3,FALSE),"")</f>
        <v>1008768.28</v>
      </c>
      <c r="AG392" s="31" t="str">
        <f t="shared" si="883"/>
        <v/>
      </c>
      <c r="AH392" s="31" t="str">
        <f t="shared" si="884"/>
        <v/>
      </c>
      <c r="AI392" s="31">
        <f t="shared" si="885"/>
        <v>972880.77561350144</v>
      </c>
      <c r="AJ392" s="31">
        <f>AI392/$AI$577*'State Admin 1004(b)'!$B$30*0.01</f>
        <v>9258.4192079887453</v>
      </c>
      <c r="AK392" s="31">
        <f t="shared" si="886"/>
        <v>963622.35640551266</v>
      </c>
      <c r="AL392" s="31">
        <f t="shared" si="887"/>
        <v>9636.2235640551262</v>
      </c>
      <c r="AM392" s="31">
        <f t="shared" si="888"/>
        <v>953986.1328414575</v>
      </c>
      <c r="AP392" s="31"/>
      <c r="AQ392" s="4">
        <f t="shared" si="889"/>
        <v>0.94569402285474069</v>
      </c>
      <c r="AR392" s="4">
        <f>VLOOKUP(B392,Allocation!$D$10:$P$235,13,FALSE)</f>
        <v>0.9</v>
      </c>
      <c r="AS392" s="4">
        <f t="shared" si="890"/>
        <v>0.9</v>
      </c>
      <c r="AT392" s="4" t="str">
        <f t="shared" si="891"/>
        <v/>
      </c>
      <c r="AU392" s="31" t="str">
        <f t="shared" si="892"/>
        <v/>
      </c>
      <c r="AV392" s="31" t="str">
        <f t="shared" si="893"/>
        <v/>
      </c>
      <c r="AW392" s="31">
        <f t="shared" si="894"/>
        <v>945960.88941584085</v>
      </c>
      <c r="AX392" s="4">
        <f t="shared" si="895"/>
        <v>0.93773853537091867</v>
      </c>
      <c r="AY392" s="4" t="str">
        <f t="shared" si="896"/>
        <v/>
      </c>
      <c r="AZ392" s="174" t="str">
        <f>IFERROR(IF(VLOOKUP(A392,#REF!,11,FALSE)=0,"",VLOOKUP(A392,#REF!,11,FALSE)),"")</f>
        <v/>
      </c>
      <c r="BA392" s="31" t="str">
        <f t="shared" si="897"/>
        <v/>
      </c>
      <c r="BB392" s="31">
        <f t="shared" si="898"/>
        <v>945960.88941584085</v>
      </c>
      <c r="BD392" s="31">
        <f>IFERROR(VLOOKUP(A392,'Title II Hold Harmless'!A$1:B$439,2, FALSE),"")</f>
        <v>77274</v>
      </c>
      <c r="BE392" s="31">
        <f t="shared" si="899"/>
        <v>89359.816153258682</v>
      </c>
      <c r="BF392" s="31">
        <f t="shared" si="900"/>
        <v>89446.277107721413</v>
      </c>
      <c r="BG392" s="31" t="str">
        <f t="shared" si="901"/>
        <v/>
      </c>
      <c r="BH392" s="31">
        <f t="shared" si="902"/>
        <v>89446.277107721413</v>
      </c>
    </row>
    <row r="393" spans="1:60" x14ac:dyDescent="0.3">
      <c r="A393" s="1">
        <v>90205000</v>
      </c>
      <c r="B393">
        <f>VLOOKUP(C393,'NCES ID'!$A$2:$B$3136,2,FALSE)</f>
        <v>407820</v>
      </c>
      <c r="C393">
        <f>VLOOKUP(A393,'State ID'!$A$2:$B$713,2,FALSE)</f>
        <v>4391</v>
      </c>
      <c r="D393" s="147" t="s">
        <v>388</v>
      </c>
      <c r="E393" t="s">
        <v>73</v>
      </c>
      <c r="F393" s="47">
        <f>VLOOKUP(B393,'Formula counts'!$D$9:$L$234,9,FALSE)</f>
        <v>2740</v>
      </c>
      <c r="G393" s="47">
        <f>VLOOKUP(B393,'Formula counts'!$D$9:$K$234,8,FALSE)</f>
        <v>566</v>
      </c>
      <c r="H393" s="4">
        <f>VLOOKUP(B393,'Formula counts'!$D$9:$M$234,10,FALSE)</f>
        <v>0.20656934306569344</v>
      </c>
      <c r="I393" s="47">
        <f>VLOOKUP($C393,'Final SEA Counts'!$A$2:$F$709,5,FALSE)</f>
        <v>2215</v>
      </c>
      <c r="J393" s="47">
        <f>VLOOKUP($C393,'Final SEA Counts'!$A$2:$F$709,6,FALSE)</f>
        <v>1210</v>
      </c>
      <c r="K393" s="24">
        <f t="shared" si="867"/>
        <v>2724.3916457075279</v>
      </c>
      <c r="L393" s="24">
        <f t="shared" si="868"/>
        <v>560.23886590315817</v>
      </c>
      <c r="M393" s="4">
        <f t="shared" si="869"/>
        <v>0.20563815293805288</v>
      </c>
      <c r="N393" s="31">
        <f>IFERROR(VLOOKUP($B393,Allocation!$D$10:$O$235,8,FALSE),"")</f>
        <v>291808.37807862955</v>
      </c>
      <c r="O393" s="31">
        <f>IFERROR(VLOOKUP($B393,Allocation!$D$10:$O$235,9,FALSE),"")</f>
        <v>69146.705878452398</v>
      </c>
      <c r="P393" s="31">
        <f>IFERROR(VLOOKUP($B393,Allocation!$D$10:$O$235,10,FALSE),"")</f>
        <v>116038.71599915782</v>
      </c>
      <c r="Q393" s="31">
        <f>IFERROR(VLOOKUP($B393,Allocation!$D$10:$O$235,11,FALSE),"")</f>
        <v>102794.98769166032</v>
      </c>
      <c r="R393" s="31">
        <f>IFERROR(VLOOKUP($B393,Allocation!$D$10:$O$235,12,FALSE),"")</f>
        <v>579788.78764790006</v>
      </c>
      <c r="S393" s="31">
        <f t="shared" si="870"/>
        <v>288525.48592894839</v>
      </c>
      <c r="T393" s="31">
        <f t="shared" si="871"/>
        <v>68363.150422188104</v>
      </c>
      <c r="U393" s="31">
        <f t="shared" si="872"/>
        <v>114640.78622723602</v>
      </c>
      <c r="V393" s="31">
        <f t="shared" si="873"/>
        <v>101502.63789175956</v>
      </c>
      <c r="W393" s="31">
        <f t="shared" si="874"/>
        <v>288525.48592894839</v>
      </c>
      <c r="X393" s="31">
        <f t="shared" si="875"/>
        <v>68363.150422188104</v>
      </c>
      <c r="Y393" s="31">
        <f t="shared" si="876"/>
        <v>114640.78622723602</v>
      </c>
      <c r="Z393" s="31">
        <f t="shared" si="877"/>
        <v>101502.63789175956</v>
      </c>
      <c r="AA393" s="31">
        <f t="shared" si="878"/>
        <v>288525.48592894839</v>
      </c>
      <c r="AB393" s="31">
        <f t="shared" si="879"/>
        <v>68363.150422188104</v>
      </c>
      <c r="AC393" s="31">
        <f t="shared" si="880"/>
        <v>114640.78622723602</v>
      </c>
      <c r="AD393" s="31">
        <f t="shared" si="881"/>
        <v>101502.63789175956</v>
      </c>
      <c r="AE393" s="31">
        <f t="shared" si="882"/>
        <v>573032.06047013204</v>
      </c>
      <c r="AF393" s="31">
        <f>IFERROR(VLOOKUP(A393,'Allocations By Type'!$D$7:$F$491,3,FALSE),"")</f>
        <v>619101.9</v>
      </c>
      <c r="AG393" s="31" t="str">
        <f t="shared" si="883"/>
        <v/>
      </c>
      <c r="AH393" s="31" t="str">
        <f t="shared" si="884"/>
        <v/>
      </c>
      <c r="AI393" s="31">
        <f t="shared" si="885"/>
        <v>573032.06047013204</v>
      </c>
      <c r="AJ393" s="31">
        <f>AI393/$AI$577*'State Admin 1004(b)'!$B$30*0.01</f>
        <v>5453.2591952024704</v>
      </c>
      <c r="AK393" s="31">
        <f t="shared" si="886"/>
        <v>567578.80127492954</v>
      </c>
      <c r="AL393" s="31">
        <f t="shared" si="887"/>
        <v>5675.7880127492954</v>
      </c>
      <c r="AM393" s="31">
        <f t="shared" si="888"/>
        <v>561903.01326218026</v>
      </c>
      <c r="AP393" s="31"/>
      <c r="AQ393" s="4">
        <f t="shared" si="889"/>
        <v>0.90760989953702331</v>
      </c>
      <c r="AR393" s="4">
        <f>VLOOKUP(B393,Allocation!$D$10:$P$235,13,FALSE)</f>
        <v>0.89999999999999991</v>
      </c>
      <c r="AS393" s="4">
        <f t="shared" si="890"/>
        <v>0.9</v>
      </c>
      <c r="AT393" s="4" t="str">
        <f t="shared" si="891"/>
        <v/>
      </c>
      <c r="AU393" s="31" t="str">
        <f t="shared" si="892"/>
        <v/>
      </c>
      <c r="AV393" s="31" t="str">
        <f t="shared" si="893"/>
        <v/>
      </c>
      <c r="AW393" s="31">
        <f t="shared" si="894"/>
        <v>557176.10130006901</v>
      </c>
      <c r="AX393" s="4">
        <f t="shared" si="895"/>
        <v>0.89997478815695608</v>
      </c>
      <c r="AY393" s="4" t="str">
        <f t="shared" si="896"/>
        <v>Manual Adjustment</v>
      </c>
      <c r="AZ393" s="174" t="str">
        <f>IFERROR(IF(VLOOKUP(A393,#REF!,11,FALSE)=0,"",VLOOKUP(A393,#REF!,11,FALSE)),"")</f>
        <v/>
      </c>
      <c r="BA393" s="31" t="str">
        <f t="shared" si="897"/>
        <v/>
      </c>
      <c r="BB393" s="31">
        <f t="shared" si="898"/>
        <v>557176.10130006901</v>
      </c>
      <c r="BD393" s="31">
        <f>IFERROR(VLOOKUP(A393,'Title II Hold Harmless'!A$1:B$439,2, FALSE),"")</f>
        <v>76412</v>
      </c>
      <c r="BE393" s="31">
        <f t="shared" si="899"/>
        <v>85938.493315152009</v>
      </c>
      <c r="BF393" s="31">
        <f t="shared" si="900"/>
        <v>86021.643935609565</v>
      </c>
      <c r="BG393" s="31" t="str">
        <f t="shared" si="901"/>
        <v/>
      </c>
      <c r="BH393" s="31">
        <f t="shared" si="902"/>
        <v>86021.643935609565</v>
      </c>
    </row>
    <row r="394" spans="1:60" x14ac:dyDescent="0.3">
      <c r="A394" s="1"/>
      <c r="B394">
        <v>481017</v>
      </c>
      <c r="D394" s="147" t="s">
        <v>884</v>
      </c>
      <c r="E394" t="s">
        <v>73</v>
      </c>
      <c r="F394" s="47">
        <f>VLOOKUP(B394,'Formula counts'!$D$9:$L$234,9,FALSE)</f>
        <v>147</v>
      </c>
      <c r="G394" s="47">
        <f>VLOOKUP(B394,'Formula counts'!$D$9:$K$234,8,FALSE)</f>
        <v>48</v>
      </c>
      <c r="H394" s="4">
        <f>VLOOKUP(B394,'Formula counts'!$D$9:$M$234,10,FALSE)</f>
        <v>0.32653061224489793</v>
      </c>
      <c r="N394" s="31">
        <f>IFERROR(VLOOKUP($B394,Allocation!$D$10:$O$235,8,FALSE),"")</f>
        <v>22783.837327460558</v>
      </c>
      <c r="O394" s="31">
        <f>IFERROR(VLOOKUP($B394,Allocation!$D$10:$O$235,9,FALSE),"")</f>
        <v>5569.707582514583</v>
      </c>
      <c r="P394" s="31">
        <f>IFERROR(VLOOKUP($B394,Allocation!$D$10:$O$235,10,FALSE),"")</f>
        <v>11519.334217507767</v>
      </c>
      <c r="Q394" s="31">
        <f>IFERROR(VLOOKUP($B394,Allocation!$D$10:$O$235,11,FALSE),"")</f>
        <v>10210.39616432305</v>
      </c>
      <c r="R394" s="31">
        <f>IFERROR(VLOOKUP($B394,Allocation!$D$10:$O$235,12,FALSE),"")</f>
        <v>50083.275291805963</v>
      </c>
      <c r="AF394" s="31" t="str">
        <f>IFERROR(VLOOKUP(A394,'Allocations By Type'!$D$7:$F$491,3,FALSE),"")</f>
        <v/>
      </c>
      <c r="AQ394" s="4" t="str">
        <f t="shared" si="889"/>
        <v/>
      </c>
      <c r="AZ394" s="174" t="str">
        <f>IFERROR(IF(VLOOKUP(A394,#REF!,11,FALSE)=0,"",VLOOKUP(A394,#REF!,11,FALSE)),"")</f>
        <v/>
      </c>
      <c r="BA394" s="31" t="str">
        <f t="shared" si="897"/>
        <v/>
      </c>
      <c r="BB394" s="31">
        <f t="shared" si="898"/>
        <v>0</v>
      </c>
      <c r="BD394" s="31" t="str">
        <f>IFERROR(VLOOKUP(A394,'Title II Hold Harmless'!A$1:B$439,2, FALSE),"")</f>
        <v/>
      </c>
      <c r="BE394" s="31">
        <f t="shared" si="899"/>
        <v>0</v>
      </c>
      <c r="BF394" s="31">
        <f t="shared" si="900"/>
        <v>0</v>
      </c>
      <c r="BG394" s="31" t="str">
        <f t="shared" si="901"/>
        <v/>
      </c>
      <c r="BH394" s="31">
        <f t="shared" si="902"/>
        <v>0</v>
      </c>
    </row>
    <row r="395" spans="1:60" x14ac:dyDescent="0.3">
      <c r="A395" s="1">
        <v>98745000</v>
      </c>
      <c r="B395">
        <f>VLOOKUP(C395,'NCES ID'!$A$2:$B$3136,2,FALSE)</f>
        <v>400077</v>
      </c>
      <c r="C395">
        <f>VLOOKUP(A395,'State ID'!$A$2:$B$713,2,FALSE)</f>
        <v>4400</v>
      </c>
      <c r="D395" s="147" t="s">
        <v>88</v>
      </c>
      <c r="E395" t="s">
        <v>73</v>
      </c>
      <c r="I395" s="47">
        <f>VLOOKUP($C395,'Final SEA Counts'!$A$2:$F$709,5,FALSE)</f>
        <v>51</v>
      </c>
      <c r="J395" s="47">
        <f>VLOOKUP($C395,'Final SEA Counts'!$A$2:$F$709,6,FALSE)</f>
        <v>43</v>
      </c>
      <c r="K395" s="24">
        <f>I395</f>
        <v>51</v>
      </c>
      <c r="L395" s="24">
        <f>J395*$B$400</f>
        <v>26.49827691928699</v>
      </c>
      <c r="M395" s="4">
        <f t="shared" ref="M395:M398" si="903">L395/K395</f>
        <v>0.51957405724092143</v>
      </c>
      <c r="N395" s="31" t="str">
        <f>IFERROR(VLOOKUP($B395,#REF!,8,FALSE),"")</f>
        <v/>
      </c>
      <c r="O395" s="31" t="str">
        <f>IFERROR(VLOOKUP($B395,#REF!,9,FALSE),"")</f>
        <v/>
      </c>
      <c r="P395" s="31" t="str">
        <f>IFERROR(VLOOKUP($B395,#REF!,10,FALSE),"")</f>
        <v/>
      </c>
      <c r="Q395" s="31" t="str">
        <f>IFERROR(VLOOKUP($B395,#REF!,11,FALSE),"")</f>
        <v/>
      </c>
      <c r="R395" s="31" t="str">
        <f>IFERROR(VLOOKUP($B395,#REF!,12,FALSE),"")</f>
        <v/>
      </c>
      <c r="S395" s="31">
        <f t="shared" ref="S395:V398" si="904">$L395*N$401</f>
        <v>15080.932153892301</v>
      </c>
      <c r="T395" s="31">
        <f t="shared" si="904"/>
        <v>3743.4817884162753</v>
      </c>
      <c r="U395" s="31">
        <f t="shared" si="904"/>
        <v>8952.4687045757546</v>
      </c>
      <c r="V395" s="31">
        <f t="shared" si="904"/>
        <v>8964.9613802831209</v>
      </c>
      <c r="W395" s="31">
        <f t="shared" ref="W395:W397" si="905">IF(AND($L395&gt;9,$L395&gt;($K395*0.02)),S395,"")</f>
        <v>15080.932153892301</v>
      </c>
      <c r="X395" s="31">
        <f t="shared" ref="X395:X397" si="906">IF(W395="","",IF(OR($L395&gt;6500,$L395&gt;($K395*0.15)),T395,""))</f>
        <v>3743.4817884162753</v>
      </c>
      <c r="Y395" s="31">
        <f t="shared" ref="Y395:Y397" si="907">IF(AND($L395&gt;9,$L395&gt;($K395*0.05)),U395,"")</f>
        <v>8952.4687045757546</v>
      </c>
      <c r="Z395" s="31">
        <f t="shared" ref="Z395:Z397" si="908">IF(AND($L395&gt;9,$L395&gt;($K395*0.05)),V395,"")</f>
        <v>8964.9613802831209</v>
      </c>
      <c r="AA395" s="31">
        <f t="shared" ref="AA395:AD398" si="909">IF(W395="","",W395+W$401)</f>
        <v>15080.932153892301</v>
      </c>
      <c r="AB395" s="31">
        <f t="shared" si="909"/>
        <v>3743.4817884162753</v>
      </c>
      <c r="AC395" s="31">
        <f t="shared" si="909"/>
        <v>8952.4687045757546</v>
      </c>
      <c r="AD395" s="31">
        <f t="shared" si="909"/>
        <v>8964.9613802831209</v>
      </c>
      <c r="AE395" s="31">
        <f t="shared" ref="AE395:AE397" si="910">SUM(AA395:AD395)</f>
        <v>36741.844027167455</v>
      </c>
      <c r="AF395" s="31">
        <f>IFERROR(VLOOKUP(A395,'Allocations By Type'!$D$7:$F$491,3,FALSE),"")</f>
        <v>54112.55</v>
      </c>
      <c r="AG395" s="31" t="str">
        <f t="shared" ref="AG395:AG397" si="911">IF(AE395&gt;AF395,AE395*0.04,"")</f>
        <v/>
      </c>
      <c r="AH395" s="31" t="str">
        <f>IF(AG395="","",IF((AE395-AF395)&gt;AG395,AG395,AE395-AF395))</f>
        <v/>
      </c>
      <c r="AI395" s="31">
        <f t="shared" ref="AI395:AI397" si="912">IF(AH395="",AE395,AE395-AH395)</f>
        <v>36741.844027167455</v>
      </c>
      <c r="AJ395" s="31">
        <f>AI395/$AI$577*'State Admin 1004(b)'!$B$30*0.01</f>
        <v>349.65373250750139</v>
      </c>
      <c r="AK395" s="31">
        <f t="shared" ref="AK395:AK397" si="913">AI395-AJ395</f>
        <v>36392.190294659951</v>
      </c>
      <c r="AL395" s="31">
        <f t="shared" ref="AL395:AL397" si="914">AK395*0.01</f>
        <v>363.92190294659952</v>
      </c>
      <c r="AM395" s="31">
        <f t="shared" ref="AM395:AM397" si="915">AK395-AL395</f>
        <v>36028.268391713355</v>
      </c>
      <c r="AP395" s="31"/>
      <c r="AQ395" s="4">
        <f t="shared" si="889"/>
        <v>0.66580245047984898</v>
      </c>
      <c r="AW395" s="31">
        <f>IF(AV395="",AM395-AM395/($AM$400-$AV$400+$AU$400)*$AU$400,AV395)</f>
        <v>35725.18681212503</v>
      </c>
      <c r="AX395" s="4">
        <f t="shared" ref="AX395:AX397" si="916">IFERROR(AW395/AF395,"")</f>
        <v>0.66020150246338472</v>
      </c>
      <c r="AZ395" s="174" t="str">
        <f>IFERROR(IF(VLOOKUP(A395,#REF!,11,FALSE)=0,"",VLOOKUP(A395,#REF!,11,FALSE)),"")</f>
        <v/>
      </c>
      <c r="BA395" s="31" t="str">
        <f t="shared" si="897"/>
        <v/>
      </c>
      <c r="BB395" s="31">
        <f t="shared" si="898"/>
        <v>35725.18681212503</v>
      </c>
      <c r="BD395" s="31">
        <f>IFERROR(VLOOKUP(A395,'Title II Hold Harmless'!A$1:B$439,2, FALSE),"")</f>
        <v>14173</v>
      </c>
      <c r="BE395" s="31">
        <f t="shared" si="899"/>
        <v>14560.925060921298</v>
      </c>
      <c r="BF395" s="31">
        <f t="shared" si="900"/>
        <v>14575.013624806303</v>
      </c>
      <c r="BG395" s="31" t="str">
        <f t="shared" si="901"/>
        <v/>
      </c>
      <c r="BH395" s="31">
        <f t="shared" si="902"/>
        <v>14575.013624806303</v>
      </c>
    </row>
    <row r="396" spans="1:60" s="47" customFormat="1" x14ac:dyDescent="0.3">
      <c r="A396" s="1">
        <v>98746000</v>
      </c>
      <c r="B396" s="47">
        <f>VLOOKUP(C396,'NCES ID'!$A$2:$B$3136,2,FALSE)</f>
        <v>400154</v>
      </c>
      <c r="C396" s="47">
        <f>VLOOKUP(A396,'State ID'!$A$2:$B$713,2,FALSE)</f>
        <v>6353</v>
      </c>
      <c r="D396" s="191" t="s">
        <v>809</v>
      </c>
      <c r="E396" s="47" t="s">
        <v>73</v>
      </c>
      <c r="H396" s="4"/>
      <c r="I396" s="47">
        <f>VLOOKUP($C396,'Final SEA Counts'!$A$2:$F$709,5,FALSE)</f>
        <v>55</v>
      </c>
      <c r="J396" s="47">
        <f>VLOOKUP($C396,'Final SEA Counts'!$A$2:$F$709,6,FALSE)</f>
        <v>46</v>
      </c>
      <c r="K396" s="24">
        <f>I396</f>
        <v>55</v>
      </c>
      <c r="L396" s="24">
        <f>J396*$B$400</f>
        <v>28.346993913655851</v>
      </c>
      <c r="M396" s="4">
        <f t="shared" ref="M396" si="917">L396/K396</f>
        <v>0.51539988933919734</v>
      </c>
      <c r="N396" s="31"/>
      <c r="O396" s="31"/>
      <c r="P396" s="31"/>
      <c r="Q396" s="31"/>
      <c r="R396" s="31"/>
      <c r="S396" s="31">
        <f t="shared" si="904"/>
        <v>16133.090211140601</v>
      </c>
      <c r="T396" s="31">
        <f t="shared" si="904"/>
        <v>4004.6549364453176</v>
      </c>
      <c r="U396" s="31">
        <f t="shared" si="904"/>
        <v>9577.059544429876</v>
      </c>
      <c r="V396" s="31">
        <f t="shared" si="904"/>
        <v>9590.4238021633373</v>
      </c>
      <c r="W396" s="31">
        <f t="shared" ref="W396" si="918">IF(AND($L396&gt;9,$L396&gt;($K396*0.02)),S396,"")</f>
        <v>16133.090211140601</v>
      </c>
      <c r="X396" s="31">
        <f t="shared" ref="X396" si="919">IF(W396="","",IF(OR($L396&gt;6500,$L396&gt;($K396*0.15)),T396,""))</f>
        <v>4004.6549364453176</v>
      </c>
      <c r="Y396" s="31">
        <f t="shared" ref="Y396" si="920">IF(AND($L396&gt;9,$L396&gt;($K396*0.05)),U396,"")</f>
        <v>9577.059544429876</v>
      </c>
      <c r="Z396" s="31">
        <f t="shared" ref="Z396" si="921">IF(AND($L396&gt;9,$L396&gt;($K396*0.05)),V396,"")</f>
        <v>9590.4238021633373</v>
      </c>
      <c r="AA396" s="31">
        <f t="shared" si="909"/>
        <v>16133.090211140601</v>
      </c>
      <c r="AB396" s="31">
        <f t="shared" si="909"/>
        <v>4004.6549364453176</v>
      </c>
      <c r="AC396" s="31">
        <f t="shared" si="909"/>
        <v>9577.059544429876</v>
      </c>
      <c r="AD396" s="31">
        <f t="shared" si="909"/>
        <v>9590.4238021633373</v>
      </c>
      <c r="AE396" s="31">
        <f t="shared" ref="AE396" si="922">SUM(AA396:AD396)</f>
        <v>39305.228494179129</v>
      </c>
      <c r="AF396" s="31">
        <f>IFERROR(VLOOKUP(A396,'Allocations By Type'!$D$7:$F$491,3,FALSE),"")</f>
        <v>27750.03</v>
      </c>
      <c r="AG396" s="31">
        <f t="shared" ref="AG396" si="923">IF(AE396&gt;AF396,AE396*0.04,"")</f>
        <v>1572.2091397671652</v>
      </c>
      <c r="AH396" s="31">
        <f>IF(AG396="","",IF((AE396-AF396)&gt;AG396,AG396,AE396-AF396))</f>
        <v>1572.2091397671652</v>
      </c>
      <c r="AI396" s="31">
        <f t="shared" ref="AI396" si="924">IF(AH396="",AE396,AE396-AH396)</f>
        <v>37733.019354411961</v>
      </c>
      <c r="AJ396" s="31">
        <f>AI396/$AI$577*'State Admin 1004(b)'!$B$30*0.01</f>
        <v>359.08625180305245</v>
      </c>
      <c r="AK396" s="31">
        <f t="shared" ref="AK396" si="925">AI396-AJ396</f>
        <v>37373.933102608906</v>
      </c>
      <c r="AL396" s="31">
        <f t="shared" ref="AL396" si="926">AK396*0.01</f>
        <v>373.73933102608908</v>
      </c>
      <c r="AM396" s="31">
        <f t="shared" ref="AM396" si="927">AK396-AL396</f>
        <v>37000.193771582817</v>
      </c>
      <c r="AP396" s="31"/>
      <c r="AQ396" s="4">
        <f t="shared" si="889"/>
        <v>1.3333388746456425</v>
      </c>
      <c r="AR396" s="4"/>
      <c r="AS396" s="4"/>
      <c r="AT396" s="4"/>
      <c r="AW396" s="31">
        <f>IF(AV396="",AM396-AM396/($AM$400-$AV$400+$AU$400)*$AU$400,AV396)</f>
        <v>36688.936037754429</v>
      </c>
      <c r="AX396" s="4">
        <f t="shared" ref="AX396" si="928">IFERROR(AW396/AF396,"")</f>
        <v>1.3221223918588352</v>
      </c>
      <c r="AZ396" s="174"/>
      <c r="BA396" s="31"/>
      <c r="BB396" s="31">
        <f t="shared" si="898"/>
        <v>36688.936037754429</v>
      </c>
      <c r="BD396" s="31">
        <f>IFERROR(VLOOKUP(A396,'Title II Hold Harmless'!A$1:B$439,2, FALSE),"")</f>
        <v>27380</v>
      </c>
      <c r="BE396" s="31">
        <f t="shared" si="899"/>
        <v>27795.345209220468</v>
      </c>
      <c r="BF396" s="31">
        <f t="shared" si="900"/>
        <v>27822.238864331492</v>
      </c>
      <c r="BG396" s="31"/>
      <c r="BH396" s="31">
        <f t="shared" si="902"/>
        <v>27822.238864331492</v>
      </c>
    </row>
    <row r="397" spans="1:60" x14ac:dyDescent="0.3">
      <c r="A397" s="1">
        <v>98750000</v>
      </c>
      <c r="B397">
        <f>VLOOKUP(C397,'NCES ID'!$A$2:$B$3136,2,FALSE)</f>
        <v>400398</v>
      </c>
      <c r="C397">
        <f>VLOOKUP(A397,'State ID'!$A$2:$B$713,2,FALSE)</f>
        <v>79973</v>
      </c>
      <c r="D397" s="147" t="s">
        <v>170</v>
      </c>
      <c r="E397" t="s">
        <v>73</v>
      </c>
      <c r="I397" s="47">
        <f>VLOOKUP($C397,'Final SEA Counts'!$A$2:$F$709,5,FALSE)</f>
        <v>94</v>
      </c>
      <c r="J397" s="47">
        <f>VLOOKUP($C397,'Final SEA Counts'!$A$2:$F$709,6,FALSE)</f>
        <v>72</v>
      </c>
      <c r="K397" s="24">
        <f>I397</f>
        <v>94</v>
      </c>
      <c r="L397" s="24">
        <f>J397*$B$400</f>
        <v>44.369207864852633</v>
      </c>
      <c r="M397" s="4">
        <f t="shared" si="903"/>
        <v>0.47201284962609186</v>
      </c>
      <c r="N397" s="31" t="str">
        <f>IFERROR(VLOOKUP($B397,#REF!,8,FALSE),"")</f>
        <v/>
      </c>
      <c r="O397" s="31" t="str">
        <f>IFERROR(VLOOKUP($B397,#REF!,9,FALSE),"")</f>
        <v/>
      </c>
      <c r="P397" s="31" t="str">
        <f>IFERROR(VLOOKUP($B397,#REF!,10,FALSE),"")</f>
        <v/>
      </c>
      <c r="Q397" s="31" t="str">
        <f>IFERROR(VLOOKUP($B397,#REF!,11,FALSE),"")</f>
        <v/>
      </c>
      <c r="R397" s="31" t="str">
        <f>IFERROR(VLOOKUP($B397,#REF!,12,FALSE),"")</f>
        <v/>
      </c>
      <c r="S397" s="31">
        <f t="shared" si="904"/>
        <v>25251.793373959201</v>
      </c>
      <c r="T397" s="31">
        <f t="shared" si="904"/>
        <v>6268.1555526970187</v>
      </c>
      <c r="U397" s="31">
        <f t="shared" si="904"/>
        <v>14990.180156498936</v>
      </c>
      <c r="V397" s="31">
        <f t="shared" si="904"/>
        <v>15011.098125125223</v>
      </c>
      <c r="W397" s="31">
        <f t="shared" si="905"/>
        <v>25251.793373959201</v>
      </c>
      <c r="X397" s="31">
        <f t="shared" si="906"/>
        <v>6268.1555526970187</v>
      </c>
      <c r="Y397" s="31">
        <f t="shared" si="907"/>
        <v>14990.180156498936</v>
      </c>
      <c r="Z397" s="31">
        <f t="shared" si="908"/>
        <v>15011.098125125223</v>
      </c>
      <c r="AA397" s="31">
        <f t="shared" si="909"/>
        <v>25251.793373959201</v>
      </c>
      <c r="AB397" s="31">
        <f t="shared" si="909"/>
        <v>6268.1555526970187</v>
      </c>
      <c r="AC397" s="31">
        <f t="shared" si="909"/>
        <v>14990.180156498936</v>
      </c>
      <c r="AD397" s="31">
        <f t="shared" si="909"/>
        <v>15011.098125125223</v>
      </c>
      <c r="AE397" s="31">
        <f t="shared" si="910"/>
        <v>61521.227208280383</v>
      </c>
      <c r="AF397" s="31">
        <f>IFERROR(VLOOKUP(A397,'Allocations By Type'!$D$7:$F$491,3,FALSE),"")</f>
        <v>55500.05</v>
      </c>
      <c r="AG397" s="31">
        <f t="shared" si="911"/>
        <v>2460.8490883312152</v>
      </c>
      <c r="AH397" s="31">
        <f>IF(AG397="","",IF((AE397-AF397)&gt;AG397,AG397,AE397-AF397))</f>
        <v>2460.8490883312152</v>
      </c>
      <c r="AI397" s="31">
        <f t="shared" si="912"/>
        <v>59060.378119949164</v>
      </c>
      <c r="AJ397" s="31">
        <f>AI397/$AI$577*'State Admin 1004(b)'!$B$30*0.01</f>
        <v>562.04804630043009</v>
      </c>
      <c r="AK397" s="31">
        <f t="shared" si="913"/>
        <v>58498.330073648736</v>
      </c>
      <c r="AL397" s="31">
        <f t="shared" si="914"/>
        <v>584.98330073648742</v>
      </c>
      <c r="AM397" s="31">
        <f t="shared" si="915"/>
        <v>57913.346772912249</v>
      </c>
      <c r="AP397" s="31"/>
      <c r="AQ397" s="4">
        <f t="shared" si="889"/>
        <v>1.043482785563477</v>
      </c>
      <c r="AW397" s="31">
        <f>IF(AV397="",AM397-AM397/($AM$400-$AV$400+$AU$400)*$AU$400,AV397)</f>
        <v>57426.160754746081</v>
      </c>
      <c r="AX397" s="4">
        <f t="shared" si="916"/>
        <v>1.0347046670182474</v>
      </c>
      <c r="AZ397" s="174" t="str">
        <f>IFERROR(IF(VLOOKUP(A397,#REF!,11,FALSE)=0,"",VLOOKUP(A397,#REF!,11,FALSE)),"")</f>
        <v/>
      </c>
      <c r="BA397" s="31" t="str">
        <f t="shared" si="897"/>
        <v/>
      </c>
      <c r="BB397" s="31">
        <f t="shared" si="898"/>
        <v>57426.160754746081</v>
      </c>
      <c r="BD397" s="31" t="str">
        <f>IFERROR(VLOOKUP(A397,'Title II Hold Harmless'!A$1:B$439,2, FALSE),"")</f>
        <v/>
      </c>
      <c r="BE397" s="31">
        <f t="shared" si="899"/>
        <v>656.47395980105568</v>
      </c>
      <c r="BF397" s="31">
        <f t="shared" si="900"/>
        <v>657.10913753068508</v>
      </c>
      <c r="BG397" s="31" t="str">
        <f t="shared" si="901"/>
        <v/>
      </c>
      <c r="BH397" s="31">
        <f t="shared" si="902"/>
        <v>657.10913753068508</v>
      </c>
    </row>
    <row r="398" spans="1:60" s="47" customFormat="1" x14ac:dyDescent="0.3">
      <c r="A398" s="1"/>
      <c r="D398" s="191" t="s">
        <v>1411</v>
      </c>
      <c r="E398" s="47" t="s">
        <v>73</v>
      </c>
      <c r="H398" s="4"/>
      <c r="I398" s="24">
        <f>'AVA Metrics'!C11</f>
        <v>73.256775378961876</v>
      </c>
      <c r="J398" s="24">
        <f>'AVA Metrics'!D11</f>
        <v>38.327974276527328</v>
      </c>
      <c r="K398" s="24">
        <f>I398</f>
        <v>73.256775378961876</v>
      </c>
      <c r="L398" s="24">
        <f>J398*$B$400</f>
        <v>23.619192468249523</v>
      </c>
      <c r="M398" s="4">
        <f t="shared" si="903"/>
        <v>0.32241649111725112</v>
      </c>
      <c r="N398" s="31"/>
      <c r="O398" s="31"/>
      <c r="P398" s="31"/>
      <c r="Q398" s="31"/>
      <c r="R398" s="31"/>
      <c r="S398" s="31">
        <f t="shared" si="904"/>
        <v>13442.362317684603</v>
      </c>
      <c r="T398" s="31">
        <f t="shared" si="904"/>
        <v>3336.7458997922672</v>
      </c>
      <c r="U398" s="31">
        <f t="shared" si="904"/>
        <v>7979.7672144278004</v>
      </c>
      <c r="V398" s="31">
        <f t="shared" si="904"/>
        <v>7990.9025389198214</v>
      </c>
      <c r="W398" s="31">
        <f>S398</f>
        <v>13442.362317684603</v>
      </c>
      <c r="X398" s="31">
        <f>T398</f>
        <v>3336.7458997922672</v>
      </c>
      <c r="Y398" s="31">
        <f>U398</f>
        <v>7979.7672144278004</v>
      </c>
      <c r="Z398" s="31">
        <f>V398</f>
        <v>7990.9025389198214</v>
      </c>
      <c r="AA398" s="31">
        <f t="shared" si="909"/>
        <v>13442.362317684603</v>
      </c>
      <c r="AB398" s="31">
        <f t="shared" si="909"/>
        <v>3336.7458997922672</v>
      </c>
      <c r="AC398" s="31">
        <f t="shared" si="909"/>
        <v>7979.7672144278004</v>
      </c>
      <c r="AD398" s="31">
        <f t="shared" si="909"/>
        <v>7990.9025389198214</v>
      </c>
      <c r="AE398" s="31">
        <f t="shared" ref="AE398" si="929">SUM(AA398:AD398)</f>
        <v>32749.777970824493</v>
      </c>
      <c r="AF398" s="31"/>
      <c r="AG398" s="31"/>
      <c r="AH398" s="31"/>
      <c r="AI398" s="31"/>
      <c r="AJ398" s="31"/>
      <c r="AK398" s="31"/>
      <c r="AL398" s="31"/>
      <c r="AM398" s="31"/>
      <c r="AP398" s="31"/>
      <c r="AQ398" s="4"/>
      <c r="AR398" s="4"/>
      <c r="AS398" s="4"/>
      <c r="AT398" s="4"/>
      <c r="AW398" s="31"/>
      <c r="AX398" s="4"/>
      <c r="AZ398" s="174"/>
      <c r="BA398" s="31"/>
      <c r="BB398" s="31"/>
      <c r="BD398" s="31"/>
      <c r="BE398" s="31"/>
      <c r="BF398" s="31"/>
      <c r="BG398" s="31"/>
      <c r="BH398" s="31"/>
    </row>
    <row r="399" spans="1:60" x14ac:dyDescent="0.3">
      <c r="A399" s="1"/>
      <c r="D399" s="147" t="s">
        <v>878</v>
      </c>
      <c r="K399" s="24">
        <f>SUM(K395:K398)</f>
        <v>273.25677537896189</v>
      </c>
      <c r="L399" s="24">
        <f>SUM(L395:L398)</f>
        <v>122.83367116604499</v>
      </c>
      <c r="S399" s="31">
        <f>SUM(S395:S398)</f>
        <v>69908.178056676712</v>
      </c>
      <c r="T399" s="31">
        <f>SUM(T395:T398)</f>
        <v>17353.038177350878</v>
      </c>
      <c r="U399" s="31">
        <f>SUM(U395:U398)</f>
        <v>41499.475619932375</v>
      </c>
      <c r="V399" s="31">
        <f>SUM(V395:V398)</f>
        <v>41557.385846491503</v>
      </c>
    </row>
    <row r="400" spans="1:60" x14ac:dyDescent="0.3">
      <c r="A400" s="1" t="s">
        <v>880</v>
      </c>
      <c r="B400">
        <f>G400/J400</f>
        <v>0.61623899812295324</v>
      </c>
      <c r="D400" s="147" t="s">
        <v>879</v>
      </c>
      <c r="F400">
        <f>SUM(F383:F398)</f>
        <v>22311</v>
      </c>
      <c r="G400" s="47">
        <f>SUM(G383:G398)</f>
        <v>7400</v>
      </c>
      <c r="I400" s="24">
        <f>SUM(I383:I398)</f>
        <v>16205.256775378963</v>
      </c>
      <c r="J400" s="24">
        <f>SUM(J383:J398)</f>
        <v>12008.327974276528</v>
      </c>
      <c r="K400" s="24">
        <f>SUM(K383:K398)</f>
        <v>22311</v>
      </c>
      <c r="L400" s="24">
        <f>SUM(L383:L398)</f>
        <v>7400</v>
      </c>
      <c r="N400" s="31">
        <f>SUM(N383:N398)</f>
        <v>4211553.0107384017</v>
      </c>
      <c r="O400" s="31">
        <f t="shared" ref="O400:AE400" si="930">SUM(O383:O398)</f>
        <v>1045417.6065356717</v>
      </c>
      <c r="P400" s="31">
        <f t="shared" si="930"/>
        <v>2500097.218232376</v>
      </c>
      <c r="Q400" s="31">
        <f t="shared" si="930"/>
        <v>2503585.9658409883</v>
      </c>
      <c r="R400" s="31">
        <f t="shared" si="930"/>
        <v>10260653.801347438</v>
      </c>
      <c r="S400" s="31">
        <f t="shared" si="930"/>
        <v>4211553.0107384017</v>
      </c>
      <c r="T400" s="31">
        <f t="shared" si="930"/>
        <v>1045417.6065356716</v>
      </c>
      <c r="U400" s="31">
        <f t="shared" si="930"/>
        <v>2500097.2182323765</v>
      </c>
      <c r="V400" s="31">
        <f t="shared" si="930"/>
        <v>2503585.9658409883</v>
      </c>
      <c r="W400" s="31">
        <f t="shared" si="930"/>
        <v>4211553.0107384017</v>
      </c>
      <c r="X400" s="31">
        <f t="shared" si="930"/>
        <v>1045417.6065356716</v>
      </c>
      <c r="Y400" s="31">
        <f t="shared" si="930"/>
        <v>2500097.2182323765</v>
      </c>
      <c r="Z400" s="31">
        <f t="shared" si="930"/>
        <v>2503585.9658409883</v>
      </c>
      <c r="AA400" s="31">
        <f t="shared" si="930"/>
        <v>4211553.0107384017</v>
      </c>
      <c r="AB400" s="31">
        <f t="shared" si="930"/>
        <v>1045417.6065356716</v>
      </c>
      <c r="AC400" s="31">
        <f t="shared" si="930"/>
        <v>2500097.2182323765</v>
      </c>
      <c r="AD400" s="31">
        <f t="shared" si="930"/>
        <v>2503585.9658409883</v>
      </c>
      <c r="AE400" s="31">
        <f t="shared" si="930"/>
        <v>10260653.801347436</v>
      </c>
      <c r="AF400" s="31"/>
      <c r="AK400" s="31">
        <f>SUM(AK383:AK397)</f>
        <v>10093554.036419867</v>
      </c>
      <c r="AL400" s="31"/>
      <c r="AM400" s="31">
        <f>SUM(AM383:AM397)</f>
        <v>9992618.4960556645</v>
      </c>
      <c r="AU400" s="31">
        <f>SUM(AU383:AU397)</f>
        <v>42822.130253915908</v>
      </c>
      <c r="AV400" s="31">
        <f>SUM(AV383:AV397)</f>
        <v>4945038.2204999998</v>
      </c>
      <c r="AW400" s="31">
        <f>SUM(AW383:AW397)</f>
        <v>9992618.4960556645</v>
      </c>
    </row>
    <row r="401" spans="1:60" x14ac:dyDescent="0.3">
      <c r="A401" s="1"/>
      <c r="N401" s="31">
        <f>N400/$L400</f>
        <v>569.12878523491918</v>
      </c>
      <c r="O401" s="31">
        <f>O400/$L400</f>
        <v>141.27264953184752</v>
      </c>
      <c r="P401" s="31">
        <f>P400/$L400</f>
        <v>337.85097543680757</v>
      </c>
      <c r="Q401" s="31">
        <f>Q400/$L400</f>
        <v>338.32242781634977</v>
      </c>
      <c r="R401" s="31" t="str">
        <f>IFERROR(VLOOKUP($B401,#REF!,12,FALSE),"")</f>
        <v/>
      </c>
      <c r="W401" s="31">
        <f>(S400-W400)/COUNT(W383:W398)</f>
        <v>0</v>
      </c>
      <c r="X401" s="31">
        <f t="shared" ref="X401:Z401" si="931">(T400-X400)/COUNT(X383:X398)</f>
        <v>0</v>
      </c>
      <c r="Y401" s="31">
        <f t="shared" si="931"/>
        <v>0</v>
      </c>
      <c r="Z401" s="31">
        <f t="shared" si="931"/>
        <v>0</v>
      </c>
    </row>
    <row r="402" spans="1:60" x14ac:dyDescent="0.3">
      <c r="A402" s="1"/>
      <c r="N402" s="31" t="str">
        <f>IFERROR(VLOOKUP($B402,#REF!,8,FALSE),"")</f>
        <v/>
      </c>
      <c r="O402" s="31" t="str">
        <f>IFERROR(VLOOKUP($B402,#REF!,9,FALSE),"")</f>
        <v/>
      </c>
      <c r="P402" s="31" t="str">
        <f>IFERROR(VLOOKUP($B402,#REF!,10,FALSE),"")</f>
        <v/>
      </c>
      <c r="Q402" s="31" t="str">
        <f>IFERROR(VLOOKUP($B402,#REF!,11,FALSE),"")</f>
        <v/>
      </c>
      <c r="R402" s="31" t="str">
        <f>IFERROR(VLOOKUP($B402,#REF!,12,FALSE),"")</f>
        <v/>
      </c>
    </row>
    <row r="403" spans="1:60" x14ac:dyDescent="0.3">
      <c r="A403" s="1">
        <v>100335000</v>
      </c>
      <c r="B403">
        <f>VLOOKUP(C403,'NCES ID'!$A$2:$B$3136,2,FALSE)</f>
        <v>407380</v>
      </c>
      <c r="C403">
        <f>VLOOKUP(A403,'State ID'!$A$2:$B$713,2,FALSE)</f>
        <v>4414</v>
      </c>
      <c r="D403" s="147" t="s">
        <v>371</v>
      </c>
      <c r="E403" t="s">
        <v>9</v>
      </c>
      <c r="F403" s="47">
        <f>VLOOKUP(B403,'Formula counts'!$D$9:$L$234,9,FALSE)</f>
        <v>6</v>
      </c>
      <c r="G403" s="47">
        <f>VLOOKUP(B403,'Formula counts'!$D$9:$K$234,8,FALSE)</f>
        <v>0</v>
      </c>
      <c r="H403" s="4">
        <f>VLOOKUP(B403,'Formula counts'!$D$9:$M$234,10,FALSE)</f>
        <v>0</v>
      </c>
      <c r="I403" s="47">
        <f>VLOOKUP($C403,'Final SEA Counts'!$A$2:$F$709,5,FALSE)</f>
        <v>24</v>
      </c>
      <c r="J403" s="47">
        <f>VLOOKUP($C403,'Final SEA Counts'!$A$2:$F$709,6,FALSE)</f>
        <v>0</v>
      </c>
      <c r="K403" s="24">
        <f t="shared" ref="K403:K418" si="932">F403-(F403/(F$462-F$419))*K$461+(F403/(F$462-F$419))*F$419</f>
        <v>5.5560538818139271</v>
      </c>
      <c r="L403" s="24">
        <f t="shared" ref="L403:L418" si="933">G403-(G403/(G$462-G$419))*L$461+(G403/(G$462-G$419))*G$419</f>
        <v>0</v>
      </c>
      <c r="M403" s="4">
        <f t="shared" ref="M403:M418" si="934">L403/K403</f>
        <v>0</v>
      </c>
      <c r="N403" s="31">
        <f>IFERROR(VLOOKUP($B403,Allocation!$D$10:$O$235,8,FALSE),"")</f>
        <v>0</v>
      </c>
      <c r="O403" s="31">
        <f>IFERROR(VLOOKUP($B403,Allocation!$D$10:$O$235,9,FALSE),"")</f>
        <v>0</v>
      </c>
      <c r="P403" s="31">
        <f>IFERROR(VLOOKUP($B403,Allocation!$D$10:$O$235,10,FALSE),"")</f>
        <v>0</v>
      </c>
      <c r="Q403" s="31">
        <f>IFERROR(VLOOKUP($B403,Allocation!$D$10:$O$235,11,FALSE),"")</f>
        <v>0</v>
      </c>
      <c r="R403" s="31">
        <f>IFERROR(VLOOKUP($B403,Allocation!$D$10:$O$235,12,FALSE),"")</f>
        <v>0</v>
      </c>
      <c r="S403" s="31" t="str">
        <f t="shared" ref="S403:S418" si="935">IF(N403=0,"",N403-(N403/(N$462-N$419)*S$461-N403/(N$462-N$419)*N$419))</f>
        <v/>
      </c>
      <c r="T403" s="31" t="str">
        <f t="shared" ref="T403:T418" si="936">IF(O403=0,"",O403-(O403/(O$462-O$419)*T$461-O403/(O$462-O$419)*O$419))</f>
        <v/>
      </c>
      <c r="U403" s="31" t="str">
        <f t="shared" ref="U403:U418" si="937">IF(P403=0,"",P403-(P403/(P$462-P$419)*U$461-P403/(P$462-P$419)*P$419))</f>
        <v/>
      </c>
      <c r="V403" s="31" t="str">
        <f t="shared" ref="V403:V418" si="938">IF(Q403=0,"",Q403-(Q403/(Q$462-Q$419)*V$461-Q403/(Q$462-Q$419)*Q$419))</f>
        <v/>
      </c>
      <c r="AG403" s="31" t="str">
        <f t="shared" ref="AG403:AG418" si="939">IF(AE403&gt;AF403,AE403*0.04,"")</f>
        <v/>
      </c>
      <c r="AH403" s="31" t="str">
        <f t="shared" ref="AH403:AH418" si="940">IF(AG403="","",IF((AE403-AF403)&gt;AG403,AG403,AE403-AF403))</f>
        <v/>
      </c>
      <c r="AI403" s="31">
        <f t="shared" ref="AI403:AI418" si="941">IF(AH403="",AE403,AE403-AH403)</f>
        <v>0</v>
      </c>
      <c r="AJ403" s="31">
        <f>AI403/$AI$577*'State Admin 1004(b)'!$B$30*0.01</f>
        <v>0</v>
      </c>
      <c r="AK403" s="31">
        <f t="shared" ref="AK403:AK418" si="942">AI403-AJ403</f>
        <v>0</v>
      </c>
      <c r="AL403" s="31">
        <f t="shared" ref="AL403:AL418" si="943">AK403*0.01</f>
        <v>0</v>
      </c>
      <c r="AM403" s="31">
        <f t="shared" ref="AM403:AM418" si="944">AK403-AL403</f>
        <v>0</v>
      </c>
      <c r="AP403" s="31"/>
      <c r="AQ403" s="4" t="str">
        <f t="shared" ref="AQ403:AQ459" si="945">IFERROR(AM403/AF403,"")</f>
        <v/>
      </c>
      <c r="AR403" s="4">
        <f>VLOOKUP(B403,Allocation!$D$10:$P$235,13,FALSE)</f>
        <v>0</v>
      </c>
      <c r="AS403" s="4">
        <f t="shared" ref="AS403:AS418" si="946">IF(M403&gt;0.3,0.95,IF(M403&gt;0.15,0.9,0.85))</f>
        <v>0.85</v>
      </c>
      <c r="AT403" s="4" t="str">
        <f t="shared" ref="AT403:AT416" si="947">IF(AQ403&lt;AS403,"Review","")</f>
        <v/>
      </c>
      <c r="AU403" s="31" t="str">
        <f t="shared" ref="AU403:AU418" si="948">IF(AT403="Review",AM403*AS403/AQ403-AM403,"")</f>
        <v/>
      </c>
      <c r="AV403" s="31" t="str">
        <f t="shared" ref="AV403:AV418" si="949">IF(AU403="","",AU403+AM403)</f>
        <v/>
      </c>
      <c r="AW403" s="31">
        <f t="shared" ref="AW403:AW416" si="950">IF(AV403="",AM403-AM403/($AM$462-$AV$462+$AU$462)*$AU$462,AV403)</f>
        <v>0</v>
      </c>
      <c r="AX403" s="4" t="str">
        <f t="shared" ref="AX403:AX416" si="951">IFERROR(AW403/AF403,"")</f>
        <v/>
      </c>
      <c r="AY403" s="4" t="str">
        <f t="shared" ref="AY403:AY416" si="952">IF(AX403&lt;AS403,"Manual Adjustment","")</f>
        <v/>
      </c>
      <c r="AZ403" s="174" t="str">
        <f>IFERROR(IF(VLOOKUP(A403,#REF!,11,FALSE)=0,"",VLOOKUP(A403,#REF!,11,FALSE)),"")</f>
        <v/>
      </c>
      <c r="BA403" s="31" t="str">
        <f t="shared" ref="BA403:BA459" si="953">IF(AZ403&lt;0,AW403*AZ403/100,"")</f>
        <v/>
      </c>
      <c r="BD403" s="31">
        <f>IFERROR(VLOOKUP(A403,'Title II Hold Harmless'!A$1:B$439,2, FALSE),"")</f>
        <v>1625</v>
      </c>
      <c r="BE403" s="31">
        <f t="shared" ref="BE403:BE416" si="954">IFERROR($BD$582*(0.8*($L403/$L$579)+0.2*($K403/$K$579))+$BD403,$BD$582*(0.8*($L403/$L$579)+0.2*($K403/$K$579)))</f>
        <v>1629.4715104388833</v>
      </c>
      <c r="BF403" s="31">
        <f t="shared" ref="BF403:BF416" si="955">$BD$583*BE403</f>
        <v>1631.048121360069</v>
      </c>
      <c r="BG403" s="31" t="str">
        <f t="shared" ref="BG403:BG459" si="956">IF(AZ403&lt;0,BF403*AZ403/100,"")</f>
        <v/>
      </c>
      <c r="BH403" s="31">
        <f t="shared" ref="BH403:BH459" si="957">IF(BG403&lt;0,BF403+BG403,BF403)</f>
        <v>1631.048121360069</v>
      </c>
    </row>
    <row r="404" spans="1:60" x14ac:dyDescent="0.3">
      <c r="A404" s="1">
        <v>100215000</v>
      </c>
      <c r="B404">
        <f>VLOOKUP(C404,'NCES ID'!$A$2:$B$3136,2,FALSE)</f>
        <v>400520</v>
      </c>
      <c r="C404">
        <f>VLOOKUP(A404,'State ID'!$A$2:$B$713,2,FALSE)</f>
        <v>4409</v>
      </c>
      <c r="D404" s="147" t="s">
        <v>18</v>
      </c>
      <c r="E404" t="s">
        <v>9</v>
      </c>
      <c r="F404" s="47">
        <f>VLOOKUP(B404,'Formula counts'!$D$9:$L$234,9,FALSE)</f>
        <v>424</v>
      </c>
      <c r="G404" s="47">
        <f>VLOOKUP(B404,'Formula counts'!$D$9:$K$234,8,FALSE)</f>
        <v>155</v>
      </c>
      <c r="H404" s="4">
        <f>VLOOKUP(B404,'Formula counts'!$D$9:$M$234,10,FALSE)</f>
        <v>0.36556603773584906</v>
      </c>
      <c r="I404" s="47">
        <f>VLOOKUP($C404,'Final SEA Counts'!$A$2:$F$709,5,FALSE)</f>
        <v>411</v>
      </c>
      <c r="J404" s="47">
        <f>VLOOKUP($C404,'Final SEA Counts'!$A$2:$F$709,6,FALSE)</f>
        <v>266</v>
      </c>
      <c r="K404" s="24">
        <f t="shared" si="932"/>
        <v>392.62780764818416</v>
      </c>
      <c r="L404" s="24">
        <f t="shared" si="933"/>
        <v>137.05575612274501</v>
      </c>
      <c r="M404" s="4">
        <f t="shared" si="934"/>
        <v>0.34907297306245411</v>
      </c>
      <c r="N404" s="31">
        <f>IFERROR(VLOOKUP($B404,Allocation!$D$10:$O$235,8,FALSE),"")</f>
        <v>92631.603018787937</v>
      </c>
      <c r="O404" s="31">
        <f>IFERROR(VLOOKUP($B404,Allocation!$D$10:$O$235,9,FALSE),"")</f>
        <v>22592.455787151492</v>
      </c>
      <c r="P404" s="31">
        <f>IFERROR(VLOOKUP($B404,Allocation!$D$10:$O$235,10,FALSE),"")</f>
        <v>47814.004751882188</v>
      </c>
      <c r="Q404" s="31">
        <f>IFERROR(VLOOKUP($B404,Allocation!$D$10:$O$235,11,FALSE),"")</f>
        <v>49419.109454921185</v>
      </c>
      <c r="R404" s="31">
        <f>IFERROR(VLOOKUP($B404,Allocation!$D$10:$O$235,12,FALSE),"")</f>
        <v>212457.1730127428</v>
      </c>
      <c r="S404" s="31">
        <f t="shared" si="935"/>
        <v>81979.486364699886</v>
      </c>
      <c r="T404" s="31">
        <f t="shared" si="936"/>
        <v>19995.047776208692</v>
      </c>
      <c r="U404" s="31">
        <f t="shared" si="937"/>
        <v>42314.078554228348</v>
      </c>
      <c r="V404" s="31">
        <f t="shared" si="938"/>
        <v>43733.220821624353</v>
      </c>
      <c r="W404" s="31">
        <f t="shared" ref="W404:W418" si="958">IF(S404="0","",S404)</f>
        <v>81979.486364699886</v>
      </c>
      <c r="X404" s="31">
        <f t="shared" ref="X404:X416" si="959">IF(T404="0","",T404)</f>
        <v>19995.047776208692</v>
      </c>
      <c r="Y404" s="31">
        <f t="shared" ref="Y404:Y418" si="960">IF(U404="0","",U404)</f>
        <v>42314.078554228348</v>
      </c>
      <c r="Z404" s="31">
        <f t="shared" ref="Z404:Z418" si="961">IF(V404="0","",V404)</f>
        <v>43733.220821624353</v>
      </c>
      <c r="AA404" s="31">
        <f t="shared" ref="AA404:AA418" si="962">IF(W404="","",W404+W$463)</f>
        <v>81979.486364699886</v>
      </c>
      <c r="AB404" s="31">
        <f t="shared" ref="AB404:AB418" si="963">IF(X404="","",X404+X$463)</f>
        <v>20014.345114330776</v>
      </c>
      <c r="AC404" s="31">
        <f t="shared" ref="AC404:AC418" si="964">IF(Y404="","",Y404+Y$463)</f>
        <v>42314.078554228348</v>
      </c>
      <c r="AD404" s="31">
        <f t="shared" ref="AD404:AD418" si="965">IF(Z404="","",Z404+Z$463)</f>
        <v>43733.220821624353</v>
      </c>
      <c r="AE404" s="31">
        <f t="shared" ref="AE404:AE418" si="966">SUM(AA404:AD404)</f>
        <v>188041.13085488338</v>
      </c>
      <c r="AF404" s="31">
        <f>IFERROR(VLOOKUP(A404,'Allocations By Type'!$D$7:$F$491,3,FALSE),"")</f>
        <v>200472.71</v>
      </c>
      <c r="AG404" s="31" t="str">
        <f t="shared" si="939"/>
        <v/>
      </c>
      <c r="AH404" s="31" t="str">
        <f t="shared" si="940"/>
        <v/>
      </c>
      <c r="AI404" s="31">
        <f t="shared" si="941"/>
        <v>188041.13085488338</v>
      </c>
      <c r="AJ404" s="31">
        <f>AI404/$AI$577*'State Admin 1004(b)'!$B$30*0.01</f>
        <v>1789.4932878090026</v>
      </c>
      <c r="AK404" s="31">
        <f t="shared" si="942"/>
        <v>186251.63756707439</v>
      </c>
      <c r="AL404" s="31">
        <f t="shared" si="943"/>
        <v>1862.5163756707439</v>
      </c>
      <c r="AM404" s="31">
        <f t="shared" si="944"/>
        <v>184389.12119140365</v>
      </c>
      <c r="AP404" s="31"/>
      <c r="AQ404" s="4">
        <f t="shared" si="945"/>
        <v>0.91977167960369099</v>
      </c>
      <c r="AR404" s="4">
        <f>VLOOKUP(B404,Allocation!$D$10:$P$235,13,FALSE)</f>
        <v>0.94999999999999984</v>
      </c>
      <c r="AS404" s="4">
        <f t="shared" si="946"/>
        <v>0.95</v>
      </c>
      <c r="AT404" s="4" t="str">
        <f t="shared" si="947"/>
        <v>Review</v>
      </c>
      <c r="AU404" s="31">
        <f t="shared" si="948"/>
        <v>6059.953308596334</v>
      </c>
      <c r="AV404" s="31">
        <f t="shared" si="949"/>
        <v>190449.07449999999</v>
      </c>
      <c r="AW404" s="31">
        <f t="shared" si="950"/>
        <v>190449.07449999999</v>
      </c>
      <c r="AX404" s="4">
        <f t="shared" si="951"/>
        <v>0.95</v>
      </c>
      <c r="AY404" s="4" t="str">
        <f t="shared" si="952"/>
        <v/>
      </c>
      <c r="AZ404" s="174" t="str">
        <f>IFERROR(IF(VLOOKUP(A404,#REF!,11,FALSE)=0,"",VLOOKUP(A404,#REF!,11,FALSE)),"")</f>
        <v/>
      </c>
      <c r="BA404" s="31" t="str">
        <f t="shared" si="953"/>
        <v/>
      </c>
      <c r="BB404" s="31">
        <f t="shared" ref="BB404:BB418" si="967">IF(BA404&lt;0,AW404+BA404,AW404)</f>
        <v>190449.07449999999</v>
      </c>
      <c r="BD404" s="31">
        <f>IFERROR(VLOOKUP(A404,'Title II Hold Harmless'!A$1:B$439,2, FALSE),"")</f>
        <v>22284</v>
      </c>
      <c r="BE404" s="31">
        <f t="shared" si="954"/>
        <v>24394.138816317711</v>
      </c>
      <c r="BF404" s="31">
        <f t="shared" si="955"/>
        <v>24417.741601284699</v>
      </c>
      <c r="BG404" s="31" t="str">
        <f t="shared" si="956"/>
        <v/>
      </c>
      <c r="BH404" s="31">
        <f t="shared" si="957"/>
        <v>24417.741601284699</v>
      </c>
    </row>
    <row r="405" spans="1:60" x14ac:dyDescent="0.3">
      <c r="A405" s="1">
        <v>100339000</v>
      </c>
      <c r="B405">
        <f>VLOOKUP(C405,'NCES ID'!$A$2:$B$3136,2,FALSE)</f>
        <v>402250</v>
      </c>
      <c r="C405">
        <f>VLOOKUP(A405,'State ID'!$A$2:$B$713,2,FALSE)</f>
        <v>4416</v>
      </c>
      <c r="D405" s="147" t="s">
        <v>114</v>
      </c>
      <c r="E405" t="s">
        <v>9</v>
      </c>
      <c r="F405" s="47">
        <f>VLOOKUP(B405,'Formula counts'!$D$9:$L$234,9,FALSE)</f>
        <v>687</v>
      </c>
      <c r="G405" s="47">
        <f>VLOOKUP(B405,'Formula counts'!$D$9:$K$234,8,FALSE)</f>
        <v>95</v>
      </c>
      <c r="H405" s="4">
        <f>VLOOKUP(B405,'Formula counts'!$D$9:$M$234,10,FALSE)</f>
        <v>0.13828238719068414</v>
      </c>
      <c r="I405" s="47">
        <f>VLOOKUP($C405,'Final SEA Counts'!$A$2:$F$709,5,FALSE)</f>
        <v>546</v>
      </c>
      <c r="J405" s="47">
        <f>VLOOKUP($C405,'Final SEA Counts'!$A$2:$F$709,6,FALSE)</f>
        <v>202</v>
      </c>
      <c r="K405" s="24">
        <f t="shared" si="932"/>
        <v>636.16816946769461</v>
      </c>
      <c r="L405" s="24">
        <f t="shared" si="933"/>
        <v>84.001915042972755</v>
      </c>
      <c r="M405" s="4">
        <f t="shared" si="934"/>
        <v>0.13204356815472276</v>
      </c>
      <c r="N405" s="31">
        <f>IFERROR(VLOOKUP($B405,Allocation!$D$10:$O$235,8,FALSE),"")</f>
        <v>45891.903791033707</v>
      </c>
      <c r="O405" s="31">
        <f>IFERROR(VLOOKUP($B405,Allocation!$D$10:$O$235,9,FALSE),"")</f>
        <v>10866.647542573859</v>
      </c>
      <c r="P405" s="31">
        <f>IFERROR(VLOOKUP($B405,Allocation!$D$10:$O$235,10,FALSE),"")</f>
        <v>14730.36330696894</v>
      </c>
      <c r="Q405" s="31">
        <f>IFERROR(VLOOKUP($B405,Allocation!$D$10:$O$235,11,FALSE),"")</f>
        <v>11279.923602885163</v>
      </c>
      <c r="R405" s="31">
        <f>IFERROR(VLOOKUP($B405,Allocation!$D$10:$O$235,12,FALSE),"")</f>
        <v>82768.838243461665</v>
      </c>
      <c r="S405" s="31">
        <f t="shared" si="935"/>
        <v>40614.591332550968</v>
      </c>
      <c r="T405" s="31">
        <f t="shared" si="936"/>
        <v>9617.3315034018342</v>
      </c>
      <c r="U405" s="31">
        <f t="shared" si="937"/>
        <v>13035.966205672627</v>
      </c>
      <c r="V405" s="31">
        <f t="shared" si="938"/>
        <v>9982.1181566618761</v>
      </c>
      <c r="W405" s="31">
        <f t="shared" si="958"/>
        <v>40614.591332550968</v>
      </c>
      <c r="X405" s="31">
        <f t="shared" si="959"/>
        <v>9617.3315034018342</v>
      </c>
      <c r="Y405" s="31">
        <f t="shared" si="960"/>
        <v>13035.966205672627</v>
      </c>
      <c r="Z405" s="31">
        <f t="shared" si="961"/>
        <v>9982.1181566618761</v>
      </c>
      <c r="AA405" s="31">
        <f t="shared" si="962"/>
        <v>40614.591332550968</v>
      </c>
      <c r="AB405" s="31">
        <f t="shared" si="963"/>
        <v>9636.6288415239178</v>
      </c>
      <c r="AC405" s="31">
        <f t="shared" si="964"/>
        <v>13035.966205672627</v>
      </c>
      <c r="AD405" s="31">
        <f t="shared" si="965"/>
        <v>9982.1181566618761</v>
      </c>
      <c r="AE405" s="31">
        <f t="shared" si="966"/>
        <v>73269.304536409385</v>
      </c>
      <c r="AF405" s="31">
        <f>IFERROR(VLOOKUP(A405,'Allocations By Type'!$D$7:$F$491,3,FALSE),"")</f>
        <v>86019.46</v>
      </c>
      <c r="AG405" s="31" t="str">
        <f t="shared" si="939"/>
        <v/>
      </c>
      <c r="AH405" s="31" t="str">
        <f t="shared" si="940"/>
        <v/>
      </c>
      <c r="AI405" s="31">
        <f t="shared" si="941"/>
        <v>73269.304536409385</v>
      </c>
      <c r="AJ405" s="31">
        <f>AI405/$AI$577*'State Admin 1004(b)'!$B$30*0.01</f>
        <v>697.26728441940384</v>
      </c>
      <c r="AK405" s="31">
        <f t="shared" si="942"/>
        <v>72572.037251989983</v>
      </c>
      <c r="AL405" s="31">
        <f t="shared" si="943"/>
        <v>725.7203725198998</v>
      </c>
      <c r="AM405" s="31">
        <f t="shared" si="944"/>
        <v>71846.316879470076</v>
      </c>
      <c r="AP405" s="31"/>
      <c r="AQ405" s="4">
        <f t="shared" si="945"/>
        <v>0.83523329348347541</v>
      </c>
      <c r="AR405" s="4">
        <f>VLOOKUP(B405,Allocation!$D$10:$P$235,13,FALSE)</f>
        <v>0.84999999999999987</v>
      </c>
      <c r="AS405" s="4">
        <f t="shared" si="946"/>
        <v>0.85</v>
      </c>
      <c r="AT405" s="4" t="str">
        <f t="shared" si="947"/>
        <v>Review</v>
      </c>
      <c r="AU405" s="31">
        <f t="shared" si="948"/>
        <v>1270.2241205299215</v>
      </c>
      <c r="AV405" s="31">
        <f t="shared" si="949"/>
        <v>73116.540999999997</v>
      </c>
      <c r="AW405" s="31">
        <f t="shared" si="950"/>
        <v>73116.540999999997</v>
      </c>
      <c r="AX405" s="4">
        <f t="shared" si="951"/>
        <v>0.84999999999999987</v>
      </c>
      <c r="AY405" s="4" t="str">
        <f t="shared" si="952"/>
        <v/>
      </c>
      <c r="AZ405" s="174" t="str">
        <f>IFERROR(IF(VLOOKUP(A405,#REF!,11,FALSE)=0,"",VLOOKUP(A405,#REF!,11,FALSE)),"")</f>
        <v/>
      </c>
      <c r="BA405" s="31" t="str">
        <f t="shared" si="953"/>
        <v/>
      </c>
      <c r="BB405" s="31">
        <f t="shared" si="967"/>
        <v>73116.540999999997</v>
      </c>
      <c r="BD405" s="31">
        <f>IFERROR(VLOOKUP(A405,'Title II Hold Harmless'!A$1:B$439,2, FALSE),"")</f>
        <v>3882</v>
      </c>
      <c r="BE405" s="31">
        <f t="shared" si="954"/>
        <v>5493.6295418358741</v>
      </c>
      <c r="BF405" s="31">
        <f t="shared" si="955"/>
        <v>5498.9449562368745</v>
      </c>
      <c r="BG405" s="31" t="str">
        <f t="shared" si="956"/>
        <v/>
      </c>
      <c r="BH405" s="31">
        <f t="shared" si="957"/>
        <v>5498.9449562368745</v>
      </c>
    </row>
    <row r="406" spans="1:60" x14ac:dyDescent="0.3">
      <c r="A406" s="1">
        <v>100351000</v>
      </c>
      <c r="B406">
        <f>VLOOKUP(C406,'NCES ID'!$A$2:$B$3136,2,FALSE)</f>
        <v>404770</v>
      </c>
      <c r="C406">
        <f>VLOOKUP(A406,'State ID'!$A$2:$B$713,2,FALSE)</f>
        <v>4418</v>
      </c>
      <c r="D406" s="147" t="s">
        <v>24</v>
      </c>
      <c r="E406" t="s">
        <v>9</v>
      </c>
      <c r="F406" s="47">
        <f>VLOOKUP(B406,'Formula counts'!$D$9:$L$234,9,FALSE)</f>
        <v>1345</v>
      </c>
      <c r="G406" s="47">
        <f>VLOOKUP(B406,'Formula counts'!$D$9:$K$234,8,FALSE)</f>
        <v>363</v>
      </c>
      <c r="H406" s="4">
        <f>VLOOKUP(B406,'Formula counts'!$D$9:$M$234,10,FALSE)</f>
        <v>0.26988847583643122</v>
      </c>
      <c r="I406" s="47">
        <f>VLOOKUP($C406,'Final SEA Counts'!$A$2:$F$709,5,FALSE)</f>
        <v>635</v>
      </c>
      <c r="J406" s="47">
        <f>VLOOKUP($C406,'Final SEA Counts'!$A$2:$F$709,6,FALSE)</f>
        <v>372</v>
      </c>
      <c r="K406" s="24">
        <f t="shared" si="932"/>
        <v>1245.482078506622</v>
      </c>
      <c r="L406" s="24">
        <f t="shared" si="933"/>
        <v>320.97573853262219</v>
      </c>
      <c r="M406" s="4">
        <f t="shared" si="934"/>
        <v>0.25771204907057649</v>
      </c>
      <c r="N406" s="31">
        <f>IFERROR(VLOOKUP($B406,Allocation!$D$10:$O$235,8,FALSE),"")</f>
        <v>237198.91651672899</v>
      </c>
      <c r="O406" s="31">
        <f>IFERROR(VLOOKUP($B406,Allocation!$D$10:$O$235,9,FALSE),"")</f>
        <v>57851.811471701702</v>
      </c>
      <c r="P406" s="31">
        <f>IFERROR(VLOOKUP($B406,Allocation!$D$10:$O$235,10,FALSE),"")</f>
        <v>114161.44792941878</v>
      </c>
      <c r="Q406" s="31">
        <f>IFERROR(VLOOKUP($B406,Allocation!$D$10:$O$235,11,FALSE),"")</f>
        <v>111169.58377032138</v>
      </c>
      <c r="R406" s="31">
        <f>IFERROR(VLOOKUP($B406,Allocation!$D$10:$O$235,12,FALSE),"")</f>
        <v>520381.75968817086</v>
      </c>
      <c r="S406" s="31">
        <f t="shared" si="935"/>
        <v>209922.36675814367</v>
      </c>
      <c r="T406" s="31">
        <f t="shared" si="936"/>
        <v>51200.708113136883</v>
      </c>
      <c r="U406" s="31">
        <f t="shared" si="937"/>
        <v>101029.74014866886</v>
      </c>
      <c r="V406" s="31">
        <f t="shared" si="938"/>
        <v>98379.02805817133</v>
      </c>
      <c r="W406" s="31">
        <f t="shared" si="958"/>
        <v>209922.36675814367</v>
      </c>
      <c r="X406" s="31">
        <f t="shared" si="959"/>
        <v>51200.708113136883</v>
      </c>
      <c r="Y406" s="31">
        <f t="shared" si="960"/>
        <v>101029.74014866886</v>
      </c>
      <c r="Z406" s="31">
        <f t="shared" si="961"/>
        <v>98379.02805817133</v>
      </c>
      <c r="AA406" s="31">
        <f t="shared" si="962"/>
        <v>209922.36675814367</v>
      </c>
      <c r="AB406" s="31">
        <f t="shared" si="963"/>
        <v>51220.00545125897</v>
      </c>
      <c r="AC406" s="31">
        <f t="shared" si="964"/>
        <v>101029.74014866886</v>
      </c>
      <c r="AD406" s="31">
        <f t="shared" si="965"/>
        <v>98379.02805817133</v>
      </c>
      <c r="AE406" s="31">
        <f t="shared" si="966"/>
        <v>460551.14041624282</v>
      </c>
      <c r="AF406" s="31">
        <f>IFERROR(VLOOKUP(A406,'Allocations By Type'!$D$7:$F$491,3,FALSE),"")</f>
        <v>516274.64</v>
      </c>
      <c r="AG406" s="31" t="str">
        <f t="shared" si="939"/>
        <v/>
      </c>
      <c r="AH406" s="31" t="str">
        <f t="shared" si="940"/>
        <v/>
      </c>
      <c r="AI406" s="31">
        <f t="shared" si="941"/>
        <v>460551.14041624282</v>
      </c>
      <c r="AJ406" s="31">
        <f>AI406/$AI$577*'State Admin 1004(b)'!$B$30*0.01</f>
        <v>4382.8345996476173</v>
      </c>
      <c r="AK406" s="31">
        <f t="shared" si="942"/>
        <v>456168.30581659521</v>
      </c>
      <c r="AL406" s="31">
        <f t="shared" si="943"/>
        <v>4561.6830581659524</v>
      </c>
      <c r="AM406" s="31">
        <f t="shared" si="944"/>
        <v>451606.62275842926</v>
      </c>
      <c r="AP406" s="31"/>
      <c r="AQ406" s="4">
        <f t="shared" si="945"/>
        <v>0.87474105402200131</v>
      </c>
      <c r="AR406" s="4">
        <f>VLOOKUP(B406,Allocation!$D$10:$P$235,13,FALSE)</f>
        <v>0.9</v>
      </c>
      <c r="AS406" s="4">
        <f t="shared" si="946"/>
        <v>0.9</v>
      </c>
      <c r="AT406" s="4" t="str">
        <f t="shared" si="947"/>
        <v>Review</v>
      </c>
      <c r="AU406" s="31">
        <f t="shared" si="948"/>
        <v>13040.553241570713</v>
      </c>
      <c r="AV406" s="31">
        <f t="shared" si="949"/>
        <v>464647.17599999998</v>
      </c>
      <c r="AW406" s="31">
        <f t="shared" si="950"/>
        <v>464647.17599999998</v>
      </c>
      <c r="AX406" s="4">
        <f t="shared" si="951"/>
        <v>0.89999999999999991</v>
      </c>
      <c r="AY406" s="4" t="str">
        <f t="shared" si="952"/>
        <v/>
      </c>
      <c r="AZ406" s="174" t="str">
        <f>IFERROR(IF(VLOOKUP(A406,#REF!,11,FALSE)=0,"",VLOOKUP(A406,#REF!,11,FALSE)),"")</f>
        <v/>
      </c>
      <c r="BA406" s="31" t="str">
        <f t="shared" si="953"/>
        <v/>
      </c>
      <c r="BB406" s="31">
        <f t="shared" si="967"/>
        <v>464647.17599999998</v>
      </c>
      <c r="BD406" s="31">
        <f>IFERROR(VLOOKUP(A406,'Title II Hold Harmless'!A$1:B$439,2, FALSE),"")</f>
        <v>41111</v>
      </c>
      <c r="BE406" s="31">
        <f t="shared" si="954"/>
        <v>46315.152006469638</v>
      </c>
      <c r="BF406" s="31">
        <f t="shared" si="955"/>
        <v>46359.96467978241</v>
      </c>
      <c r="BG406" s="31" t="str">
        <f t="shared" si="956"/>
        <v/>
      </c>
      <c r="BH406" s="31">
        <f t="shared" si="957"/>
        <v>46359.96467978241</v>
      </c>
    </row>
    <row r="407" spans="1:60" x14ac:dyDescent="0.3">
      <c r="A407" s="1">
        <v>100240000</v>
      </c>
      <c r="B407">
        <f>VLOOKUP(C407,'NCES ID'!$A$2:$B$3136,2,FALSE)</f>
        <v>403950</v>
      </c>
      <c r="C407">
        <f>VLOOKUP(A407,'State ID'!$A$2:$B$713,2,FALSE)</f>
        <v>4412</v>
      </c>
      <c r="D407" s="147" t="s">
        <v>61</v>
      </c>
      <c r="E407" t="s">
        <v>9</v>
      </c>
      <c r="F407" s="47">
        <f>VLOOKUP(B407,'Formula counts'!$D$9:$L$234,9,FALSE)</f>
        <v>1626</v>
      </c>
      <c r="G407" s="47">
        <f>VLOOKUP(B407,'Formula counts'!$D$9:$K$234,8,FALSE)</f>
        <v>797</v>
      </c>
      <c r="H407" s="4">
        <f>VLOOKUP(B407,'Formula counts'!$D$9:$M$234,10,FALSE)</f>
        <v>0.49015990159901601</v>
      </c>
      <c r="I407" s="47">
        <f>VLOOKUP($C407,'Final SEA Counts'!$A$2:$F$709,5,FALSE)</f>
        <v>977</v>
      </c>
      <c r="J407" s="47">
        <f>VLOOKUP($C407,'Final SEA Counts'!$A$2:$F$709,6,FALSE)</f>
        <v>594</v>
      </c>
      <c r="K407" s="24">
        <f t="shared" si="932"/>
        <v>1505.6906019715741</v>
      </c>
      <c r="L407" s="24">
        <f t="shared" si="933"/>
        <v>704.73185567630821</v>
      </c>
      <c r="M407" s="4">
        <f t="shared" si="934"/>
        <v>0.46804559632206089</v>
      </c>
      <c r="N407" s="31">
        <f>IFERROR(VLOOKUP($B407,Allocation!$D$10:$O$235,8,FALSE),"")</f>
        <v>581757.47335230419</v>
      </c>
      <c r="O407" s="31">
        <f>IFERROR(VLOOKUP($B407,Allocation!$D$10:$O$235,9,FALSE),"")</f>
        <v>141888.18467160829</v>
      </c>
      <c r="P407" s="31">
        <f>IFERROR(VLOOKUP($B407,Allocation!$D$10:$O$235,10,FALSE),"")</f>
        <v>425772.23133670044</v>
      </c>
      <c r="Q407" s="31">
        <f>IFERROR(VLOOKUP($B407,Allocation!$D$10:$O$235,11,FALSE),"")</f>
        <v>498536.55264509562</v>
      </c>
      <c r="R407" s="31">
        <f>IFERROR(VLOOKUP($B407,Allocation!$D$10:$O$235,12,FALSE),"")</f>
        <v>1647954.4420057086</v>
      </c>
      <c r="S407" s="31">
        <f t="shared" si="935"/>
        <v>514858.61520257127</v>
      </c>
      <c r="T407" s="31">
        <f t="shared" si="936"/>
        <v>125575.59293761189</v>
      </c>
      <c r="U407" s="31">
        <f t="shared" si="937"/>
        <v>376796.70917506708</v>
      </c>
      <c r="V407" s="31">
        <f t="shared" si="938"/>
        <v>441177.70200547803</v>
      </c>
      <c r="W407" s="31">
        <f t="shared" si="958"/>
        <v>514858.61520257127</v>
      </c>
      <c r="X407" s="31">
        <f t="shared" si="959"/>
        <v>125575.59293761189</v>
      </c>
      <c r="Y407" s="31">
        <f t="shared" si="960"/>
        <v>376796.70917506708</v>
      </c>
      <c r="Z407" s="31">
        <f t="shared" si="961"/>
        <v>441177.70200547803</v>
      </c>
      <c r="AA407" s="31">
        <f t="shared" si="962"/>
        <v>514858.61520257127</v>
      </c>
      <c r="AB407" s="31">
        <f t="shared" si="963"/>
        <v>125594.89027573397</v>
      </c>
      <c r="AC407" s="31">
        <f t="shared" si="964"/>
        <v>376796.70917506708</v>
      </c>
      <c r="AD407" s="31">
        <f t="shared" si="965"/>
        <v>441177.70200547803</v>
      </c>
      <c r="AE407" s="31">
        <f t="shared" si="966"/>
        <v>1458427.9166588504</v>
      </c>
      <c r="AF407" s="31">
        <f>IFERROR(VLOOKUP(A407,'Allocations By Type'!$D$7:$F$491,3,FALSE),"")</f>
        <v>1548477.36</v>
      </c>
      <c r="AG407" s="31" t="str">
        <f t="shared" si="939"/>
        <v/>
      </c>
      <c r="AH407" s="31" t="str">
        <f t="shared" si="940"/>
        <v/>
      </c>
      <c r="AI407" s="31">
        <f t="shared" si="941"/>
        <v>1458427.9166588504</v>
      </c>
      <c r="AJ407" s="31">
        <f>AI407/$AI$577*'State Admin 1004(b)'!$B$30*0.01</f>
        <v>13879.128229814638</v>
      </c>
      <c r="AK407" s="31">
        <f t="shared" si="942"/>
        <v>1444548.7884290358</v>
      </c>
      <c r="AL407" s="31">
        <f t="shared" si="943"/>
        <v>14445.487884290358</v>
      </c>
      <c r="AM407" s="31">
        <f t="shared" si="944"/>
        <v>1430103.3005447455</v>
      </c>
      <c r="AP407" s="31"/>
      <c r="AQ407" s="4">
        <f t="shared" si="945"/>
        <v>0.92355454298973116</v>
      </c>
      <c r="AR407" s="4">
        <f>VLOOKUP(B407,Allocation!$D$10:$P$235,13,FALSE)</f>
        <v>0.95000000000000007</v>
      </c>
      <c r="AS407" s="4">
        <f t="shared" si="946"/>
        <v>0.95</v>
      </c>
      <c r="AT407" s="4" t="str">
        <f t="shared" si="947"/>
        <v>Review</v>
      </c>
      <c r="AU407" s="31">
        <f t="shared" si="948"/>
        <v>40950.191455254564</v>
      </c>
      <c r="AV407" s="31">
        <f t="shared" si="949"/>
        <v>1471053.4920000001</v>
      </c>
      <c r="AW407" s="31">
        <f t="shared" si="950"/>
        <v>1471053.4920000001</v>
      </c>
      <c r="AX407" s="4">
        <f t="shared" si="951"/>
        <v>0.95</v>
      </c>
      <c r="AY407" s="4" t="str">
        <f t="shared" si="952"/>
        <v/>
      </c>
      <c r="AZ407" s="174" t="str">
        <f>IFERROR(IF(VLOOKUP(A407,#REF!,11,FALSE)=0,"",VLOOKUP(A407,#REF!,11,FALSE)),"")</f>
        <v/>
      </c>
      <c r="BA407" s="31" t="str">
        <f t="shared" si="953"/>
        <v/>
      </c>
      <c r="BB407" s="31">
        <f t="shared" si="967"/>
        <v>1471053.4920000001</v>
      </c>
      <c r="BD407" s="31">
        <f>IFERROR(VLOOKUP(A407,'Title II Hold Harmless'!A$1:B$439,2, FALSE),"")</f>
        <v>74451</v>
      </c>
      <c r="BE407" s="31">
        <f t="shared" si="954"/>
        <v>84888.193565539885</v>
      </c>
      <c r="BF407" s="31">
        <f t="shared" si="955"/>
        <v>84970.327958315553</v>
      </c>
      <c r="BG407" s="31" t="str">
        <f t="shared" si="956"/>
        <v/>
      </c>
      <c r="BH407" s="31">
        <f t="shared" si="957"/>
        <v>84970.327958315553</v>
      </c>
    </row>
    <row r="408" spans="1:60" x14ac:dyDescent="0.3">
      <c r="A408" s="1">
        <v>100213000</v>
      </c>
      <c r="B408">
        <f>VLOOKUP(C408,'NCES ID'!$A$2:$B$3136,2,FALSE)</f>
        <v>408280</v>
      </c>
      <c r="C408">
        <f>VLOOKUP(A408,'State ID'!$A$2:$B$713,2,FALSE)</f>
        <v>4408</v>
      </c>
      <c r="D408" s="147" t="s">
        <v>406</v>
      </c>
      <c r="E408" t="s">
        <v>9</v>
      </c>
      <c r="F408" s="47">
        <f>VLOOKUP(B408,'Formula counts'!$D$9:$L$234,9,FALSE)</f>
        <v>1921</v>
      </c>
      <c r="G408" s="47">
        <f>VLOOKUP(B408,'Formula counts'!$D$9:$K$234,8,FALSE)</f>
        <v>189</v>
      </c>
      <c r="H408" s="4">
        <f>VLOOKUP(B408,'Formula counts'!$D$9:$M$234,10,FALSE)</f>
        <v>9.8386257157730347E-2</v>
      </c>
      <c r="I408" s="47">
        <f>VLOOKUP($C408,'Final SEA Counts'!$A$2:$F$709,5,FALSE)</f>
        <v>1915</v>
      </c>
      <c r="J408" s="47">
        <f>VLOOKUP($C408,'Final SEA Counts'!$A$2:$F$709,6,FALSE)</f>
        <v>315</v>
      </c>
      <c r="K408" s="24">
        <f t="shared" si="932"/>
        <v>1778.8632511607589</v>
      </c>
      <c r="L408" s="24">
        <f t="shared" si="933"/>
        <v>167.11959940128264</v>
      </c>
      <c r="M408" s="4">
        <f t="shared" si="934"/>
        <v>9.3947412366989058E-2</v>
      </c>
      <c r="N408" s="31">
        <f>IFERROR(VLOOKUP($B408,Allocation!$D$10:$O$235,8,FALSE),"")</f>
        <v>89158.481071672591</v>
      </c>
      <c r="O408" s="31">
        <f>IFERROR(VLOOKUP($B408,Allocation!$D$10:$O$235,9,FALSE),"")</f>
        <v>0</v>
      </c>
      <c r="P408" s="31">
        <f>IFERROR(VLOOKUP($B408,Allocation!$D$10:$O$235,10,FALSE),"")</f>
        <v>26813.770699488326</v>
      </c>
      <c r="Q408" s="31">
        <f>IFERROR(VLOOKUP($B408,Allocation!$D$10:$O$235,11,FALSE),"")</f>
        <v>20785.081322688417</v>
      </c>
      <c r="R408" s="31">
        <f>IFERROR(VLOOKUP($B408,Allocation!$D$10:$O$235,12,FALSE),"")</f>
        <v>136757.33309384933</v>
      </c>
      <c r="S408" s="31">
        <f t="shared" si="935"/>
        <v>78905.754031159959</v>
      </c>
      <c r="T408" s="31" t="str">
        <f t="shared" si="936"/>
        <v/>
      </c>
      <c r="U408" s="31">
        <f t="shared" si="937"/>
        <v>23729.449260753507</v>
      </c>
      <c r="V408" s="31">
        <f t="shared" si="938"/>
        <v>18393.665149100209</v>
      </c>
      <c r="W408" s="31">
        <f t="shared" si="958"/>
        <v>78905.754031159959</v>
      </c>
      <c r="X408" s="31" t="str">
        <f t="shared" si="959"/>
        <v/>
      </c>
      <c r="Y408" s="31">
        <f t="shared" si="960"/>
        <v>23729.449260753507</v>
      </c>
      <c r="Z408" s="31">
        <f t="shared" si="961"/>
        <v>18393.665149100209</v>
      </c>
      <c r="AA408" s="31">
        <f t="shared" si="962"/>
        <v>78905.754031159959</v>
      </c>
      <c r="AB408" s="31" t="str">
        <f t="shared" si="963"/>
        <v/>
      </c>
      <c r="AC408" s="31">
        <f t="shared" si="964"/>
        <v>23729.449260753507</v>
      </c>
      <c r="AD408" s="31">
        <f t="shared" si="965"/>
        <v>18393.665149100209</v>
      </c>
      <c r="AE408" s="31">
        <f t="shared" si="966"/>
        <v>121028.86844101368</v>
      </c>
      <c r="AF408" s="31">
        <f>IFERROR(VLOOKUP(A408,'Allocations By Type'!$D$7:$F$491,3,FALSE),"")</f>
        <v>92408.11</v>
      </c>
      <c r="AG408" s="31">
        <f t="shared" si="939"/>
        <v>4841.154737640547</v>
      </c>
      <c r="AH408" s="31">
        <f t="shared" si="940"/>
        <v>4841.154737640547</v>
      </c>
      <c r="AI408" s="31">
        <f t="shared" si="941"/>
        <v>116187.71370337313</v>
      </c>
      <c r="AJ408" s="31">
        <f>AI408/$AI$577*'State Admin 1004(b)'!$B$30*0.01</f>
        <v>1105.7002946792304</v>
      </c>
      <c r="AK408" s="31">
        <f t="shared" si="942"/>
        <v>115082.01340869389</v>
      </c>
      <c r="AL408" s="31">
        <f t="shared" si="943"/>
        <v>1150.8201340869389</v>
      </c>
      <c r="AM408" s="31">
        <f t="shared" si="944"/>
        <v>113931.19327460695</v>
      </c>
      <c r="AP408" s="31"/>
      <c r="AQ408" s="4">
        <f t="shared" si="945"/>
        <v>1.2329133587366623</v>
      </c>
      <c r="AR408" s="4">
        <f>VLOOKUP(B408,Allocation!$D$10:$P$235,13,FALSE)</f>
        <v>1.3069242708928939</v>
      </c>
      <c r="AS408" s="4">
        <f t="shared" si="946"/>
        <v>0.85</v>
      </c>
      <c r="AT408" s="4" t="str">
        <f t="shared" si="947"/>
        <v/>
      </c>
      <c r="AU408" s="31" t="str">
        <f t="shared" si="948"/>
        <v/>
      </c>
      <c r="AV408" s="31" t="str">
        <f t="shared" si="949"/>
        <v/>
      </c>
      <c r="AW408" s="31">
        <f t="shared" si="950"/>
        <v>113293.89140993291</v>
      </c>
      <c r="AX408" s="4">
        <f t="shared" si="951"/>
        <v>1.2260167577275729</v>
      </c>
      <c r="AY408" s="4" t="str">
        <f t="shared" si="952"/>
        <v/>
      </c>
      <c r="AZ408" s="174" t="str">
        <f>IFERROR(IF(VLOOKUP(A408,#REF!,11,FALSE)=0,"",VLOOKUP(A408,#REF!,11,FALSE)),"")</f>
        <v/>
      </c>
      <c r="BA408" s="31" t="str">
        <f t="shared" si="953"/>
        <v/>
      </c>
      <c r="BB408" s="31">
        <f t="shared" si="967"/>
        <v>113293.89140993291</v>
      </c>
      <c r="BD408" s="31">
        <f>IFERROR(VLOOKUP(A408,'Title II Hold Harmless'!A$1:B$439,2, FALSE),"")</f>
        <v>24551</v>
      </c>
      <c r="BE408" s="31">
        <f t="shared" si="954"/>
        <v>28170.336610649058</v>
      </c>
      <c r="BF408" s="31">
        <f t="shared" si="955"/>
        <v>28197.593092317682</v>
      </c>
      <c r="BG408" s="31" t="str">
        <f t="shared" si="956"/>
        <v/>
      </c>
      <c r="BH408" s="31">
        <f t="shared" si="957"/>
        <v>28197.593092317682</v>
      </c>
    </row>
    <row r="409" spans="1:60" x14ac:dyDescent="0.3">
      <c r="A409" s="1">
        <v>100216000</v>
      </c>
      <c r="B409">
        <f>VLOOKUP(C409,'NCES ID'!$A$2:$B$3136,2,FALSE)</f>
        <v>401760</v>
      </c>
      <c r="C409">
        <f>VLOOKUP(A409,'State ID'!$A$2:$B$713,2,FALSE)</f>
        <v>4410</v>
      </c>
      <c r="D409" s="147" t="s">
        <v>95</v>
      </c>
      <c r="E409" t="s">
        <v>9</v>
      </c>
      <c r="F409" s="47">
        <f>VLOOKUP(B409,'Formula counts'!$D$9:$L$234,9,FALSE)</f>
        <v>4653</v>
      </c>
      <c r="G409" s="47">
        <f>VLOOKUP(B409,'Formula counts'!$D$9:$K$234,8,FALSE)</f>
        <v>393</v>
      </c>
      <c r="H409" s="4">
        <f>VLOOKUP(B409,'Formula counts'!$D$9:$M$234,10,FALSE)</f>
        <v>8.4461637653127017E-2</v>
      </c>
      <c r="I409" s="47">
        <f>VLOOKUP($C409,'Final SEA Counts'!$A$2:$F$709,5,FALSE)</f>
        <v>4568</v>
      </c>
      <c r="J409" s="47">
        <f>VLOOKUP($C409,'Final SEA Counts'!$A$2:$F$709,6,FALSE)</f>
        <v>585</v>
      </c>
      <c r="K409" s="24">
        <f t="shared" si="932"/>
        <v>4308.7197853466996</v>
      </c>
      <c r="L409" s="24">
        <f t="shared" si="933"/>
        <v>347.50265907250838</v>
      </c>
      <c r="M409" s="4">
        <f t="shared" si="934"/>
        <v>8.0651023130887289E-2</v>
      </c>
      <c r="N409" s="31">
        <f>IFERROR(VLOOKUP($B409,Allocation!$D$10:$O$235,8,FALSE),"")</f>
        <v>185393.03206966838</v>
      </c>
      <c r="O409" s="31">
        <f>IFERROR(VLOOKUP($B409,Allocation!$D$10:$O$235,9,FALSE),"")</f>
        <v>0</v>
      </c>
      <c r="P409" s="31">
        <f>IFERROR(VLOOKUP($B409,Allocation!$D$10:$O$235,10,FALSE),"")</f>
        <v>55755.618438618607</v>
      </c>
      <c r="Q409" s="31">
        <f>IFERROR(VLOOKUP($B409,Allocation!$D$10:$O$235,11,FALSE),"")</f>
        <v>43219.772274161631</v>
      </c>
      <c r="R409" s="31">
        <f>IFERROR(VLOOKUP($B409,Allocation!$D$10:$O$235,12,FALSE),"")</f>
        <v>284368.42278244859</v>
      </c>
      <c r="S409" s="31">
        <f t="shared" si="935"/>
        <v>164073.86949336436</v>
      </c>
      <c r="T409" s="31" t="str">
        <f t="shared" si="936"/>
        <v/>
      </c>
      <c r="U409" s="31">
        <f t="shared" si="937"/>
        <v>49342.188145376364</v>
      </c>
      <c r="V409" s="31">
        <f t="shared" si="938"/>
        <v>38247.144992573456</v>
      </c>
      <c r="W409" s="31">
        <f t="shared" si="958"/>
        <v>164073.86949336436</v>
      </c>
      <c r="X409" s="31" t="str">
        <f t="shared" si="959"/>
        <v/>
      </c>
      <c r="Y409" s="31">
        <f t="shared" si="960"/>
        <v>49342.188145376364</v>
      </c>
      <c r="Z409" s="31">
        <f t="shared" si="961"/>
        <v>38247.144992573456</v>
      </c>
      <c r="AA409" s="31">
        <f t="shared" si="962"/>
        <v>164073.86949336436</v>
      </c>
      <c r="AB409" s="31" t="str">
        <f t="shared" si="963"/>
        <v/>
      </c>
      <c r="AC409" s="31">
        <f t="shared" si="964"/>
        <v>49342.188145376364</v>
      </c>
      <c r="AD409" s="31">
        <f t="shared" si="965"/>
        <v>38247.144992573456</v>
      </c>
      <c r="AE409" s="31">
        <f t="shared" si="966"/>
        <v>251663.20263131417</v>
      </c>
      <c r="AF409" s="31">
        <f>IFERROR(VLOOKUP(A409,'Allocations By Type'!$D$7:$F$491,3,FALSE),"")</f>
        <v>254701.54</v>
      </c>
      <c r="AG409" s="31" t="str">
        <f t="shared" si="939"/>
        <v/>
      </c>
      <c r="AH409" s="31" t="str">
        <f t="shared" si="940"/>
        <v/>
      </c>
      <c r="AI409" s="31">
        <f t="shared" si="941"/>
        <v>251663.20263131417</v>
      </c>
      <c r="AJ409" s="31">
        <f>AI409/$AI$577*'State Admin 1004(b)'!$B$30*0.01</f>
        <v>2394.9526885413229</v>
      </c>
      <c r="AK409" s="31">
        <f t="shared" si="942"/>
        <v>249268.24994277285</v>
      </c>
      <c r="AL409" s="31">
        <f t="shared" si="943"/>
        <v>2492.6824994277285</v>
      </c>
      <c r="AM409" s="31">
        <f t="shared" si="944"/>
        <v>246775.56744334512</v>
      </c>
      <c r="AP409" s="31"/>
      <c r="AQ409" s="4">
        <f t="shared" si="945"/>
        <v>0.96888133241497132</v>
      </c>
      <c r="AR409" s="4">
        <f>VLOOKUP(B409,Allocation!$D$10:$P$235,13,FALSE)</f>
        <v>0.98595942070423481</v>
      </c>
      <c r="AS409" s="4">
        <f t="shared" si="946"/>
        <v>0.85</v>
      </c>
      <c r="AT409" s="4" t="str">
        <f t="shared" si="947"/>
        <v/>
      </c>
      <c r="AU409" s="31" t="str">
        <f t="shared" si="948"/>
        <v/>
      </c>
      <c r="AV409" s="31" t="str">
        <f t="shared" si="949"/>
        <v/>
      </c>
      <c r="AW409" s="31">
        <f t="shared" si="950"/>
        <v>245395.16823249363</v>
      </c>
      <c r="AX409" s="4">
        <f t="shared" si="951"/>
        <v>0.96346165882033385</v>
      </c>
      <c r="AY409" s="4" t="str">
        <f t="shared" si="952"/>
        <v/>
      </c>
      <c r="AZ409" s="174" t="str">
        <f>IFERROR(IF(VLOOKUP(A409,#REF!,11,FALSE)=0,"",VLOOKUP(A409,#REF!,11,FALSE)),"")</f>
        <v/>
      </c>
      <c r="BA409" s="31" t="str">
        <f t="shared" si="953"/>
        <v/>
      </c>
      <c r="BB409" s="31">
        <f t="shared" si="967"/>
        <v>245395.16823249363</v>
      </c>
      <c r="BD409" s="31">
        <f>IFERROR(VLOOKUP(A409,'Title II Hold Harmless'!A$1:B$439,2, FALSE),"")</f>
        <v>61818</v>
      </c>
      <c r="BE409" s="31">
        <f t="shared" si="954"/>
        <v>69834.700002800397</v>
      </c>
      <c r="BF409" s="31">
        <f t="shared" si="955"/>
        <v>69902.269242272698</v>
      </c>
      <c r="BG409" s="31" t="str">
        <f t="shared" si="956"/>
        <v/>
      </c>
      <c r="BH409" s="31">
        <f t="shared" si="957"/>
        <v>69902.269242272698</v>
      </c>
    </row>
    <row r="410" spans="1:60" x14ac:dyDescent="0.3">
      <c r="A410" s="1">
        <v>100208000</v>
      </c>
      <c r="B410">
        <f>VLOOKUP(C410,'NCES ID'!$A$2:$B$3136,2,FALSE)</f>
        <v>403010</v>
      </c>
      <c r="C410">
        <f>VLOOKUP(A410,'State ID'!$A$2:$B$713,2,FALSE)</f>
        <v>4405</v>
      </c>
      <c r="D410" s="147" t="s">
        <v>167</v>
      </c>
      <c r="E410" t="s">
        <v>9</v>
      </c>
      <c r="F410" s="47">
        <f>VLOOKUP(B410,'Formula counts'!$D$9:$L$234,9,FALSE)</f>
        <v>5168</v>
      </c>
      <c r="G410" s="47">
        <f>VLOOKUP(B410,'Formula counts'!$D$9:$K$234,8,FALSE)</f>
        <v>1810</v>
      </c>
      <c r="H410" s="4">
        <f>VLOOKUP(B410,'Formula counts'!$D$9:$M$234,10,FALSE)</f>
        <v>0.35023219814241485</v>
      </c>
      <c r="I410" s="47">
        <f>VLOOKUP($C410,'Final SEA Counts'!$A$2:$F$709,5,FALSE)</f>
        <v>5191</v>
      </c>
      <c r="J410" s="47">
        <f>VLOOKUP($C410,'Final SEA Counts'!$A$2:$F$709,6,FALSE)</f>
        <v>3879</v>
      </c>
      <c r="K410" s="24">
        <f t="shared" si="932"/>
        <v>4785.6144102023954</v>
      </c>
      <c r="L410" s="24">
        <f t="shared" si="933"/>
        <v>1600.4575392397969</v>
      </c>
      <c r="M410" s="4">
        <f t="shared" si="934"/>
        <v>0.33443094283312924</v>
      </c>
      <c r="N410" s="31">
        <f>IFERROR(VLOOKUP($B410,Allocation!$D$10:$O$235,8,FALSE),"")</f>
        <v>853845.771109669</v>
      </c>
      <c r="O410" s="31">
        <f>IFERROR(VLOOKUP($B410,Allocation!$D$10:$O$235,9,FALSE),"")</f>
        <v>202490.28495831304</v>
      </c>
      <c r="P410" s="31">
        <f>IFERROR(VLOOKUP($B410,Allocation!$D$10:$O$235,10,FALSE),"")</f>
        <v>461457.04891724623</v>
      </c>
      <c r="Q410" s="31">
        <f>IFERROR(VLOOKUP($B410,Allocation!$D$10:$O$235,11,FALSE),"")</f>
        <v>405852.62116771122</v>
      </c>
      <c r="R410" s="31">
        <f>IFERROR(VLOOKUP($B410,Allocation!$D$10:$O$235,12,FALSE),"")</f>
        <v>1923645.7261529395</v>
      </c>
      <c r="S410" s="31">
        <f t="shared" si="935"/>
        <v>755658.27934602951</v>
      </c>
      <c r="T410" s="31">
        <f t="shared" si="936"/>
        <v>179210.39483729645</v>
      </c>
      <c r="U410" s="31">
        <f t="shared" si="937"/>
        <v>408376.79082963883</v>
      </c>
      <c r="V410" s="31">
        <f t="shared" si="938"/>
        <v>359157.46961715206</v>
      </c>
      <c r="W410" s="31">
        <f t="shared" si="958"/>
        <v>755658.27934602951</v>
      </c>
      <c r="X410" s="31">
        <f t="shared" si="959"/>
        <v>179210.39483729645</v>
      </c>
      <c r="Y410" s="31">
        <f t="shared" si="960"/>
        <v>408376.79082963883</v>
      </c>
      <c r="Z410" s="31">
        <f t="shared" si="961"/>
        <v>359157.46961715206</v>
      </c>
      <c r="AA410" s="31">
        <f t="shared" si="962"/>
        <v>755658.27934602951</v>
      </c>
      <c r="AB410" s="31">
        <f t="shared" si="963"/>
        <v>179229.69217541855</v>
      </c>
      <c r="AC410" s="31">
        <f t="shared" si="964"/>
        <v>408376.79082963883</v>
      </c>
      <c r="AD410" s="31">
        <f t="shared" si="965"/>
        <v>359157.46961715206</v>
      </c>
      <c r="AE410" s="31">
        <f t="shared" si="966"/>
        <v>1702422.2319682389</v>
      </c>
      <c r="AF410" s="31">
        <f>IFERROR(VLOOKUP(A410,'Allocations By Type'!$D$7:$F$491,3,FALSE),"")</f>
        <v>1619125.48</v>
      </c>
      <c r="AG410" s="31">
        <f t="shared" si="939"/>
        <v>68096.889278729563</v>
      </c>
      <c r="AH410" s="31">
        <f t="shared" si="940"/>
        <v>68096.889278729563</v>
      </c>
      <c r="AI410" s="31">
        <f t="shared" si="941"/>
        <v>1634325.3426895095</v>
      </c>
      <c r="AJ410" s="31">
        <f>AI410/$AI$577*'State Admin 1004(b)'!$B$30*0.01</f>
        <v>15553.055959315798</v>
      </c>
      <c r="AK410" s="31">
        <f t="shared" si="942"/>
        <v>1618772.2867301938</v>
      </c>
      <c r="AL410" s="31">
        <f t="shared" si="943"/>
        <v>16187.722867301938</v>
      </c>
      <c r="AM410" s="31">
        <f t="shared" si="944"/>
        <v>1602584.5638628919</v>
      </c>
      <c r="AP410" s="31"/>
      <c r="AQ410" s="4">
        <f t="shared" si="945"/>
        <v>0.98978404308904577</v>
      </c>
      <c r="AR410" s="4">
        <f>VLOOKUP(B410,Allocation!$D$10:$P$235,13,FALSE)</f>
        <v>1.0495161096116941</v>
      </c>
      <c r="AS410" s="4">
        <f t="shared" si="946"/>
        <v>0.95</v>
      </c>
      <c r="AT410" s="4" t="str">
        <f t="shared" si="947"/>
        <v/>
      </c>
      <c r="AU410" s="31" t="str">
        <f t="shared" si="948"/>
        <v/>
      </c>
      <c r="AV410" s="31" t="str">
        <f t="shared" si="949"/>
        <v/>
      </c>
      <c r="AW410" s="31">
        <f t="shared" si="950"/>
        <v>1593620.1169761999</v>
      </c>
      <c r="AX410" s="4">
        <f t="shared" si="951"/>
        <v>0.98424744509375517</v>
      </c>
      <c r="AY410" s="4" t="str">
        <f t="shared" si="952"/>
        <v/>
      </c>
      <c r="AZ410" s="174" t="str">
        <f>IFERROR(IF(VLOOKUP(A410,#REF!,11,FALSE)=0,"",VLOOKUP(A410,#REF!,11,FALSE)),"")</f>
        <v/>
      </c>
      <c r="BA410" s="31" t="str">
        <f t="shared" si="953"/>
        <v/>
      </c>
      <c r="BB410" s="31">
        <f t="shared" si="967"/>
        <v>1593620.1169761999</v>
      </c>
      <c r="BD410" s="31">
        <f>IFERROR(VLOOKUP(A410,'Title II Hold Harmless'!A$1:B$439,2, FALSE),"")</f>
        <v>186583</v>
      </c>
      <c r="BE410" s="31">
        <f t="shared" si="954"/>
        <v>211385.52719995356</v>
      </c>
      <c r="BF410" s="31">
        <f t="shared" si="955"/>
        <v>211590.05531144797</v>
      </c>
      <c r="BG410" s="31" t="str">
        <f t="shared" si="956"/>
        <v/>
      </c>
      <c r="BH410" s="31">
        <f t="shared" si="957"/>
        <v>211590.05531144797</v>
      </c>
    </row>
    <row r="411" spans="1:60" x14ac:dyDescent="0.3">
      <c r="A411" s="1">
        <v>100230000</v>
      </c>
      <c r="B411">
        <f>VLOOKUP(C411,'NCES ID'!$A$2:$B$3136,2,FALSE)</f>
        <v>407300</v>
      </c>
      <c r="C411">
        <f>VLOOKUP(A411,'State ID'!$A$2:$B$713,2,FALSE)</f>
        <v>4411</v>
      </c>
      <c r="D411" s="147" t="s">
        <v>367</v>
      </c>
      <c r="E411" t="s">
        <v>9</v>
      </c>
      <c r="F411" s="47">
        <f>VLOOKUP(B411,'Formula counts'!$D$9:$L$234,9,FALSE)</f>
        <v>5796</v>
      </c>
      <c r="G411" s="47">
        <f>VLOOKUP(B411,'Formula counts'!$D$9:$K$234,8,FALSE)</f>
        <v>765</v>
      </c>
      <c r="H411" s="4">
        <f>VLOOKUP(B411,'Formula counts'!$D$9:$M$234,10,FALSE)</f>
        <v>0.13198757763975155</v>
      </c>
      <c r="I411" s="47">
        <f>VLOOKUP($C411,'Final SEA Counts'!$A$2:$F$709,5,FALSE)</f>
        <v>5620</v>
      </c>
      <c r="J411" s="47">
        <f>VLOOKUP($C411,'Final SEA Counts'!$A$2:$F$709,6,FALSE)</f>
        <v>1964</v>
      </c>
      <c r="K411" s="24">
        <f t="shared" si="932"/>
        <v>5367.1480498322526</v>
      </c>
      <c r="L411" s="24">
        <f t="shared" si="933"/>
        <v>676.43647376709646</v>
      </c>
      <c r="M411" s="4">
        <f t="shared" si="934"/>
        <v>0.12603275845693099</v>
      </c>
      <c r="N411" s="31">
        <f>IFERROR(VLOOKUP($B411,Allocation!$D$10:$O$235,8,FALSE),"")</f>
        <v>360879.5662424842</v>
      </c>
      <c r="O411" s="31">
        <f>IFERROR(VLOOKUP($B411,Allocation!$D$10:$O$235,9,FALSE),"")</f>
        <v>0</v>
      </c>
      <c r="P411" s="31">
        <f>IFERROR(VLOOKUP($B411,Allocation!$D$10:$O$235,10,FALSE),"")</f>
        <v>113781.18571952191</v>
      </c>
      <c r="Q411" s="31">
        <f>IFERROR(VLOOKUP($B411,Allocation!$D$10:$O$235,11,FALSE),"")</f>
        <v>88199.128152360383</v>
      </c>
      <c r="R411" s="31">
        <f>IFERROR(VLOOKUP($B411,Allocation!$D$10:$O$235,12,FALSE),"")</f>
        <v>562859.88011436653</v>
      </c>
      <c r="S411" s="31">
        <f t="shared" si="935"/>
        <v>319380.43298326642</v>
      </c>
      <c r="T411" s="31" t="str">
        <f t="shared" si="936"/>
        <v/>
      </c>
      <c r="U411" s="31">
        <f t="shared" si="937"/>
        <v>100693.21855621331</v>
      </c>
      <c r="V411" s="31">
        <f t="shared" si="938"/>
        <v>78051.425659144821</v>
      </c>
      <c r="W411" s="31">
        <f t="shared" si="958"/>
        <v>319380.43298326642</v>
      </c>
      <c r="X411" s="31" t="str">
        <f t="shared" si="959"/>
        <v/>
      </c>
      <c r="Y411" s="31">
        <f t="shared" si="960"/>
        <v>100693.21855621331</v>
      </c>
      <c r="Z411" s="31">
        <f t="shared" si="961"/>
        <v>78051.425659144821</v>
      </c>
      <c r="AA411" s="31">
        <f t="shared" si="962"/>
        <v>319380.43298326642</v>
      </c>
      <c r="AB411" s="31" t="str">
        <f t="shared" si="963"/>
        <v/>
      </c>
      <c r="AC411" s="31">
        <f t="shared" si="964"/>
        <v>100693.21855621331</v>
      </c>
      <c r="AD411" s="31">
        <f t="shared" si="965"/>
        <v>78051.425659144821</v>
      </c>
      <c r="AE411" s="31">
        <f t="shared" si="966"/>
        <v>498125.07719862455</v>
      </c>
      <c r="AF411" s="31">
        <f>IFERROR(VLOOKUP(A411,'Allocations By Type'!$D$7:$F$491,3,FALSE),"")</f>
        <v>436215.96</v>
      </c>
      <c r="AG411" s="31">
        <f t="shared" si="939"/>
        <v>19925.003087944984</v>
      </c>
      <c r="AH411" s="31">
        <f t="shared" si="940"/>
        <v>19925.003087944984</v>
      </c>
      <c r="AI411" s="31">
        <f t="shared" si="941"/>
        <v>478200.07411067956</v>
      </c>
      <c r="AJ411" s="31">
        <f>AI411/$AI$577*'State Admin 1004(b)'!$B$30*0.01</f>
        <v>4550.7906645765925</v>
      </c>
      <c r="AK411" s="31">
        <f t="shared" si="942"/>
        <v>473649.28344610299</v>
      </c>
      <c r="AL411" s="31">
        <f t="shared" si="943"/>
        <v>4736.4928344610298</v>
      </c>
      <c r="AM411" s="31">
        <f t="shared" si="944"/>
        <v>468912.79061164195</v>
      </c>
      <c r="AP411" s="31"/>
      <c r="AQ411" s="4">
        <f t="shared" si="945"/>
        <v>1.0749556036685175</v>
      </c>
      <c r="AR411" s="4">
        <f>VLOOKUP(B411,Allocation!$D$10:$P$235,13,FALSE)</f>
        <v>1.139552652006026</v>
      </c>
      <c r="AS411" s="4">
        <f t="shared" si="946"/>
        <v>0.85</v>
      </c>
      <c r="AT411" s="4" t="str">
        <f t="shared" si="947"/>
        <v/>
      </c>
      <c r="AU411" s="31" t="str">
        <f t="shared" si="948"/>
        <v/>
      </c>
      <c r="AV411" s="31" t="str">
        <f t="shared" si="949"/>
        <v/>
      </c>
      <c r="AW411" s="31">
        <f t="shared" si="950"/>
        <v>466289.81276653137</v>
      </c>
      <c r="AX411" s="4">
        <f t="shared" si="951"/>
        <v>1.0689425778151982</v>
      </c>
      <c r="AY411" s="4" t="str">
        <f t="shared" si="952"/>
        <v/>
      </c>
      <c r="AZ411" s="174" t="str">
        <f>IFERROR(IF(VLOOKUP(A411,#REF!,11,FALSE)=0,"",VLOOKUP(A411,#REF!,11,FALSE)),"")</f>
        <v/>
      </c>
      <c r="BA411" s="31" t="str">
        <f t="shared" si="953"/>
        <v/>
      </c>
      <c r="BB411" s="31">
        <f t="shared" si="967"/>
        <v>466289.81276653137</v>
      </c>
      <c r="BD411" s="31">
        <f>IFERROR(VLOOKUP(A411,'Title II Hold Harmless'!A$1:B$439,2, FALSE),"")</f>
        <v>82763</v>
      </c>
      <c r="BE411" s="31">
        <f t="shared" si="954"/>
        <v>95937.487730135559</v>
      </c>
      <c r="BF411" s="31">
        <f t="shared" si="955"/>
        <v>96030.312974355824</v>
      </c>
      <c r="BG411" s="31" t="str">
        <f t="shared" si="956"/>
        <v/>
      </c>
      <c r="BH411" s="31">
        <f t="shared" si="957"/>
        <v>96030.312974355824</v>
      </c>
    </row>
    <row r="412" spans="1:60" x14ac:dyDescent="0.3">
      <c r="A412" s="1">
        <v>100220000</v>
      </c>
      <c r="B412">
        <f>VLOOKUP(C412,'NCES ID'!$A$2:$B$3136,2,FALSE)</f>
        <v>408850</v>
      </c>
      <c r="C412">
        <f>VLOOKUP(A412,'State ID'!$A$2:$B$713,2,FALSE)</f>
        <v>4413</v>
      </c>
      <c r="D412" s="147" t="s">
        <v>427</v>
      </c>
      <c r="E412" t="s">
        <v>9</v>
      </c>
      <c r="F412" s="47">
        <f>VLOOKUP(B412,'Formula counts'!$D$9:$L$234,9,FALSE)</f>
        <v>11003</v>
      </c>
      <c r="G412" s="47">
        <f>VLOOKUP(B412,'Formula counts'!$D$9:$K$234,8,FALSE)</f>
        <v>856</v>
      </c>
      <c r="H412" s="4">
        <f>VLOOKUP(B412,'Formula counts'!$D$9:$M$234,10,FALSE)</f>
        <v>7.779696446423702E-2</v>
      </c>
      <c r="I412" s="47">
        <f>VLOOKUP($C412,'Final SEA Counts'!$A$2:$F$709,5,FALSE)</f>
        <v>11569</v>
      </c>
      <c r="J412" s="47">
        <f>VLOOKUP($C412,'Final SEA Counts'!$A$2:$F$709,6,FALSE)</f>
        <v>3165</v>
      </c>
      <c r="K412" s="24">
        <f t="shared" si="932"/>
        <v>10188.876810266438</v>
      </c>
      <c r="L412" s="24">
        <f t="shared" si="933"/>
        <v>756.90146607141776</v>
      </c>
      <c r="M412" s="4">
        <f t="shared" si="934"/>
        <v>7.4287036752545138E-2</v>
      </c>
      <c r="N412" s="31">
        <f>IFERROR(VLOOKUP($B412,Allocation!$D$10:$O$235,8,FALSE),"")</f>
        <v>403807.72379551182</v>
      </c>
      <c r="O412" s="31">
        <f>IFERROR(VLOOKUP($B412,Allocation!$D$10:$O$235,9,FALSE),"")</f>
        <v>0</v>
      </c>
      <c r="P412" s="31">
        <f>IFERROR(VLOOKUP($B412,Allocation!$D$10:$O$235,10,FALSE),"")</f>
        <v>133146.68678026344</v>
      </c>
      <c r="Q412" s="31">
        <f>IFERROR(VLOOKUP($B412,Allocation!$D$10:$O$235,11,FALSE),"")</f>
        <v>103210.57577430201</v>
      </c>
      <c r="R412" s="31">
        <f>IFERROR(VLOOKUP($B412,Allocation!$D$10:$O$235,12,FALSE),"")</f>
        <v>640164.9863500772</v>
      </c>
      <c r="S412" s="31">
        <f t="shared" si="935"/>
        <v>357372.09233160276</v>
      </c>
      <c r="T412" s="31" t="str">
        <f t="shared" si="936"/>
        <v/>
      </c>
      <c r="U412" s="31">
        <f t="shared" si="937"/>
        <v>117831.15413342413</v>
      </c>
      <c r="V412" s="31">
        <f t="shared" si="938"/>
        <v>91335.739377939404</v>
      </c>
      <c r="W412" s="31">
        <f t="shared" si="958"/>
        <v>357372.09233160276</v>
      </c>
      <c r="X412" s="31" t="str">
        <f t="shared" si="959"/>
        <v/>
      </c>
      <c r="Y412" s="31">
        <f t="shared" si="960"/>
        <v>117831.15413342413</v>
      </c>
      <c r="Z412" s="31">
        <f t="shared" si="961"/>
        <v>91335.739377939404</v>
      </c>
      <c r="AA412" s="31">
        <f t="shared" si="962"/>
        <v>357372.09233160276</v>
      </c>
      <c r="AB412" s="31" t="str">
        <f t="shared" si="963"/>
        <v/>
      </c>
      <c r="AC412" s="31">
        <f t="shared" si="964"/>
        <v>117831.15413342413</v>
      </c>
      <c r="AD412" s="31">
        <f t="shared" si="965"/>
        <v>91335.739377939404</v>
      </c>
      <c r="AE412" s="31">
        <f t="shared" si="966"/>
        <v>566538.98584296624</v>
      </c>
      <c r="AF412" s="31">
        <f>IFERROR(VLOOKUP(A412,'Allocations By Type'!$D$7:$F$491,3,FALSE),"")</f>
        <v>507740.76</v>
      </c>
      <c r="AG412" s="31">
        <f t="shared" si="939"/>
        <v>22661.559433718649</v>
      </c>
      <c r="AH412" s="31">
        <f t="shared" si="940"/>
        <v>22661.559433718649</v>
      </c>
      <c r="AI412" s="31">
        <f t="shared" si="941"/>
        <v>543877.42640924756</v>
      </c>
      <c r="AJ412" s="31">
        <f>AI412/$AI$577*'State Admin 1004(b)'!$B$30*0.01</f>
        <v>5175.8091409335302</v>
      </c>
      <c r="AK412" s="31">
        <f t="shared" si="942"/>
        <v>538701.617268314</v>
      </c>
      <c r="AL412" s="31">
        <f t="shared" si="943"/>
        <v>5387.0161726831402</v>
      </c>
      <c r="AM412" s="31">
        <f t="shared" si="944"/>
        <v>533314.6010956309</v>
      </c>
      <c r="AP412" s="31"/>
      <c r="AQ412" s="4">
        <f t="shared" si="945"/>
        <v>1.0503679103793655</v>
      </c>
      <c r="AR412" s="4">
        <f>VLOOKUP(B412,Allocation!$D$10:$P$235,13,FALSE)</f>
        <v>1.1137201960808674</v>
      </c>
      <c r="AS412" s="4">
        <f t="shared" si="946"/>
        <v>0.85</v>
      </c>
      <c r="AT412" s="4" t="str">
        <f t="shared" si="947"/>
        <v/>
      </c>
      <c r="AU412" s="31" t="str">
        <f t="shared" si="948"/>
        <v/>
      </c>
      <c r="AV412" s="31" t="str">
        <f t="shared" si="949"/>
        <v/>
      </c>
      <c r="AW412" s="31">
        <f t="shared" si="950"/>
        <v>530331.37604578072</v>
      </c>
      <c r="AX412" s="4">
        <f t="shared" si="951"/>
        <v>1.0444924217740186</v>
      </c>
      <c r="AY412" s="4" t="str">
        <f t="shared" si="952"/>
        <v/>
      </c>
      <c r="AZ412" s="174" t="str">
        <f>IFERROR(IF(VLOOKUP(A412,#REF!,11,FALSE)=0,"",VLOOKUP(A412,#REF!,11,FALSE)),"")</f>
        <v/>
      </c>
      <c r="BA412" s="31" t="str">
        <f t="shared" si="953"/>
        <v/>
      </c>
      <c r="BB412" s="31">
        <f t="shared" si="967"/>
        <v>530331.37604578072</v>
      </c>
      <c r="BD412" s="31">
        <f>IFERROR(VLOOKUP(A412,'Title II Hold Harmless'!A$1:B$439,2, FALSE),"")</f>
        <v>46854</v>
      </c>
      <c r="BE412" s="31">
        <f t="shared" si="954"/>
        <v>64962.354437126647</v>
      </c>
      <c r="BF412" s="31">
        <f t="shared" si="955"/>
        <v>65025.209391518525</v>
      </c>
      <c r="BG412" s="31" t="str">
        <f t="shared" si="956"/>
        <v/>
      </c>
      <c r="BH412" s="31">
        <f t="shared" si="957"/>
        <v>65025.209391518525</v>
      </c>
    </row>
    <row r="413" spans="1:60" x14ac:dyDescent="0.3">
      <c r="A413" s="1">
        <v>100206000</v>
      </c>
      <c r="B413">
        <f>VLOOKUP(C413,'NCES ID'!$A$2:$B$3136,2,FALSE)</f>
        <v>404630</v>
      </c>
      <c r="C413">
        <f>VLOOKUP(A413,'State ID'!$A$2:$B$713,2,FALSE)</f>
        <v>4404</v>
      </c>
      <c r="D413" s="147" t="s">
        <v>269</v>
      </c>
      <c r="E413" t="s">
        <v>9</v>
      </c>
      <c r="F413" s="47">
        <f>VLOOKUP(B413,'Formula counts'!$D$9:$L$234,9,FALSE)</f>
        <v>15503</v>
      </c>
      <c r="G413" s="47">
        <f>VLOOKUP(B413,'Formula counts'!$D$9:$K$234,8,FALSE)</f>
        <v>2160</v>
      </c>
      <c r="H413" s="4">
        <f>VLOOKUP(B413,'Formula counts'!$D$9:$M$234,10,FALSE)</f>
        <v>0.1393278720247694</v>
      </c>
      <c r="I413" s="47">
        <f>VLOOKUP($C413,'Final SEA Counts'!$A$2:$F$709,5,FALSE)</f>
        <v>11397</v>
      </c>
      <c r="J413" s="47">
        <f>VLOOKUP($C413,'Final SEA Counts'!$A$2:$F$709,6,FALSE)</f>
        <v>4975</v>
      </c>
      <c r="K413" s="24">
        <f t="shared" si="932"/>
        <v>14355.917221626885</v>
      </c>
      <c r="L413" s="24">
        <f t="shared" si="933"/>
        <v>1909.9382788718017</v>
      </c>
      <c r="M413" s="4">
        <f t="shared" si="934"/>
        <v>0.13304188435933026</v>
      </c>
      <c r="N413" s="31">
        <f>IFERROR(VLOOKUP($B413,Allocation!$D$10:$O$235,8,FALSE),"")</f>
        <v>1018954.0693905442</v>
      </c>
      <c r="O413" s="31">
        <f>IFERROR(VLOOKUP($B413,Allocation!$D$10:$O$235,9,FALSE),"")</f>
        <v>137071.72622757367</v>
      </c>
      <c r="P413" s="31">
        <f>IFERROR(VLOOKUP($B413,Allocation!$D$10:$O$235,10,FALSE),"")</f>
        <v>410647.93274957128</v>
      </c>
      <c r="Q413" s="31">
        <f>IFERROR(VLOOKUP($B413,Allocation!$D$10:$O$235,11,FALSE),"")</f>
        <v>318319.67136783927</v>
      </c>
      <c r="R413" s="31">
        <f>IFERROR(VLOOKUP($B413,Allocation!$D$10:$O$235,12,FALSE),"")</f>
        <v>1884993.3997355283</v>
      </c>
      <c r="S413" s="31">
        <f t="shared" si="935"/>
        <v>901780.04607039981</v>
      </c>
      <c r="T413" s="31">
        <f t="shared" si="936"/>
        <v>121312.87277970123</v>
      </c>
      <c r="U413" s="31">
        <f t="shared" si="937"/>
        <v>363412.12108598434</v>
      </c>
      <c r="V413" s="31">
        <f t="shared" si="938"/>
        <v>281695.57552418287</v>
      </c>
      <c r="W413" s="31">
        <f t="shared" si="958"/>
        <v>901780.04607039981</v>
      </c>
      <c r="X413" s="31">
        <f t="shared" si="959"/>
        <v>121312.87277970123</v>
      </c>
      <c r="Y413" s="31">
        <f t="shared" si="960"/>
        <v>363412.12108598434</v>
      </c>
      <c r="Z413" s="31">
        <f t="shared" si="961"/>
        <v>281695.57552418287</v>
      </c>
      <c r="AA413" s="31">
        <f t="shared" si="962"/>
        <v>901780.04607039981</v>
      </c>
      <c r="AB413" s="31">
        <f t="shared" si="963"/>
        <v>121332.17011782331</v>
      </c>
      <c r="AC413" s="31">
        <f t="shared" si="964"/>
        <v>363412.12108598434</v>
      </c>
      <c r="AD413" s="31">
        <f t="shared" si="965"/>
        <v>281695.57552418287</v>
      </c>
      <c r="AE413" s="31">
        <f t="shared" si="966"/>
        <v>1668219.9127983903</v>
      </c>
      <c r="AF413" s="31">
        <f>IFERROR(VLOOKUP(A413,'Allocations By Type'!$D$7:$F$491,3,FALSE),"")</f>
        <v>1479668.85</v>
      </c>
      <c r="AG413" s="31">
        <f t="shared" si="939"/>
        <v>66728.796511935609</v>
      </c>
      <c r="AH413" s="31">
        <f t="shared" si="940"/>
        <v>66728.796511935609</v>
      </c>
      <c r="AI413" s="31">
        <f t="shared" si="941"/>
        <v>1601491.1162864547</v>
      </c>
      <c r="AJ413" s="31">
        <f>AI413/$AI$577*'State Admin 1004(b)'!$B$30*0.01</f>
        <v>15240.58906714415</v>
      </c>
      <c r="AK413" s="31">
        <f t="shared" si="942"/>
        <v>1586250.5272193106</v>
      </c>
      <c r="AL413" s="31">
        <f t="shared" si="943"/>
        <v>15862.505272193106</v>
      </c>
      <c r="AM413" s="31">
        <f t="shared" si="944"/>
        <v>1570388.0219471175</v>
      </c>
      <c r="AP413" s="31"/>
      <c r="AQ413" s="4">
        <f t="shared" si="945"/>
        <v>1.06131045601664</v>
      </c>
      <c r="AR413" s="4">
        <f>VLOOKUP(B413,Allocation!$D$10:$P$235,13,FALSE)</f>
        <v>1.1250894657380086</v>
      </c>
      <c r="AS413" s="4">
        <f t="shared" si="946"/>
        <v>0.85</v>
      </c>
      <c r="AT413" s="4" t="str">
        <f t="shared" si="947"/>
        <v/>
      </c>
      <c r="AU413" s="31" t="str">
        <f t="shared" si="948"/>
        <v/>
      </c>
      <c r="AV413" s="31" t="str">
        <f t="shared" si="949"/>
        <v/>
      </c>
      <c r="AW413" s="31">
        <f t="shared" si="950"/>
        <v>1561603.674255468</v>
      </c>
      <c r="AX413" s="4">
        <f t="shared" si="951"/>
        <v>1.0553737576184481</v>
      </c>
      <c r="AY413" s="4" t="str">
        <f t="shared" si="952"/>
        <v/>
      </c>
      <c r="AZ413" s="174" t="str">
        <f>IFERROR(IF(VLOOKUP(A413,#REF!,11,FALSE)=0,"",VLOOKUP(A413,#REF!,11,FALSE)),"")</f>
        <v/>
      </c>
      <c r="BA413" s="31" t="str">
        <f t="shared" si="953"/>
        <v/>
      </c>
      <c r="BB413" s="31">
        <f t="shared" si="967"/>
        <v>1561603.674255468</v>
      </c>
      <c r="BD413" s="31">
        <f>IFERROR(VLOOKUP(A413,'Title II Hold Harmless'!A$1:B$439,2, FALSE),"")</f>
        <v>241940</v>
      </c>
      <c r="BE413" s="31">
        <f t="shared" si="954"/>
        <v>278496.01507623855</v>
      </c>
      <c r="BF413" s="31">
        <f t="shared" si="955"/>
        <v>278765.47658941196</v>
      </c>
      <c r="BG413" s="31" t="str">
        <f t="shared" si="956"/>
        <v/>
      </c>
      <c r="BH413" s="31">
        <f t="shared" si="957"/>
        <v>278765.47658941196</v>
      </c>
    </row>
    <row r="414" spans="1:60" x14ac:dyDescent="0.3">
      <c r="A414" s="1">
        <v>100210000</v>
      </c>
      <c r="B414">
        <f>VLOOKUP(C414,'NCES ID'!$A$2:$B$3136,2,FALSE)</f>
        <v>400680</v>
      </c>
      <c r="C414">
        <f>VLOOKUP(A414,'State ID'!$A$2:$B$713,2,FALSE)</f>
        <v>4406</v>
      </c>
      <c r="D414" s="147" t="s">
        <v>36</v>
      </c>
      <c r="E414" t="s">
        <v>9</v>
      </c>
      <c r="F414" s="47">
        <f>VLOOKUP(B414,'Formula counts'!$D$9:$L$234,9,FALSE)</f>
        <v>19047</v>
      </c>
      <c r="G414" s="47">
        <f>VLOOKUP(B414,'Formula counts'!$D$9:$K$234,8,FALSE)</f>
        <v>4290</v>
      </c>
      <c r="H414" s="4">
        <f>VLOOKUP(B414,'Formula counts'!$D$9:$M$234,10,FALSE)</f>
        <v>0.22523232005040164</v>
      </c>
      <c r="I414" s="47">
        <f>VLOOKUP($C414,'Final SEA Counts'!$A$2:$F$709,5,FALSE)</f>
        <v>12395</v>
      </c>
      <c r="J414" s="47">
        <f>VLOOKUP($C414,'Final SEA Counts'!$A$2:$F$709,6,FALSE)</f>
        <v>6084</v>
      </c>
      <c r="K414" s="24">
        <f t="shared" si="932"/>
        <v>17637.693047818309</v>
      </c>
      <c r="L414" s="24">
        <f t="shared" si="933"/>
        <v>3793.3496372037171</v>
      </c>
      <c r="M414" s="4">
        <f t="shared" si="934"/>
        <v>0.21507062329066526</v>
      </c>
      <c r="N414" s="31">
        <f>IFERROR(VLOOKUP($B414,Allocation!$D$10:$O$235,8,FALSE),"")</f>
        <v>2023755.9989284412</v>
      </c>
      <c r="O414" s="31">
        <f>IFERROR(VLOOKUP($B414,Allocation!$D$10:$O$235,9,FALSE),"")</f>
        <v>479935.53727688582</v>
      </c>
      <c r="P414" s="31">
        <f>IFERROR(VLOOKUP($B414,Allocation!$D$10:$O$235,10,FALSE),"")</f>
        <v>1007786.3500730974</v>
      </c>
      <c r="Q414" s="31">
        <f>IFERROR(VLOOKUP($B414,Allocation!$D$10:$O$235,11,FALSE),"")</f>
        <v>836956.93865777878</v>
      </c>
      <c r="R414" s="31">
        <f>IFERROR(VLOOKUP($B414,Allocation!$D$10:$O$235,12,FALSE),"")</f>
        <v>4348434.8249362037</v>
      </c>
      <c r="S414" s="31">
        <f t="shared" si="935"/>
        <v>1791035.3692787101</v>
      </c>
      <c r="T414" s="31">
        <f t="shared" si="936"/>
        <v>424758.33914475254</v>
      </c>
      <c r="U414" s="31">
        <f t="shared" si="937"/>
        <v>891863.18954371754</v>
      </c>
      <c r="V414" s="31">
        <f t="shared" si="938"/>
        <v>740661.31543506426</v>
      </c>
      <c r="W414" s="31">
        <f t="shared" si="958"/>
        <v>1791035.3692787101</v>
      </c>
      <c r="X414" s="31">
        <f t="shared" si="959"/>
        <v>424758.33914475254</v>
      </c>
      <c r="Y414" s="31">
        <f t="shared" si="960"/>
        <v>891863.18954371754</v>
      </c>
      <c r="Z414" s="31">
        <f t="shared" si="961"/>
        <v>740661.31543506426</v>
      </c>
      <c r="AA414" s="31">
        <f t="shared" si="962"/>
        <v>1791035.3692787101</v>
      </c>
      <c r="AB414" s="31">
        <f t="shared" si="963"/>
        <v>424777.63648287463</v>
      </c>
      <c r="AC414" s="31">
        <f t="shared" si="964"/>
        <v>891863.18954371754</v>
      </c>
      <c r="AD414" s="31">
        <f t="shared" si="965"/>
        <v>740661.31543506426</v>
      </c>
      <c r="AE414" s="31">
        <f t="shared" si="966"/>
        <v>3848337.5107403668</v>
      </c>
      <c r="AF414" s="31">
        <f>IFERROR(VLOOKUP(A414,'Allocations By Type'!$D$7:$F$491,3,FALSE),"")</f>
        <v>3709949.86</v>
      </c>
      <c r="AG414" s="31">
        <f t="shared" si="939"/>
        <v>153933.50042961468</v>
      </c>
      <c r="AH414" s="31">
        <f t="shared" si="940"/>
        <v>138387.65074036689</v>
      </c>
      <c r="AI414" s="31">
        <f t="shared" si="941"/>
        <v>3709949.86</v>
      </c>
      <c r="AJ414" s="31">
        <f>AI414/$AI$577*'State Admin 1004(b)'!$B$30*0.01</f>
        <v>35305.735199504823</v>
      </c>
      <c r="AK414" s="31">
        <f t="shared" si="942"/>
        <v>3674644.1248004949</v>
      </c>
      <c r="AL414" s="31">
        <f t="shared" si="943"/>
        <v>36746.44124800495</v>
      </c>
      <c r="AM414" s="31">
        <f t="shared" si="944"/>
        <v>3637897.6835524901</v>
      </c>
      <c r="AP414" s="31"/>
      <c r="AQ414" s="4">
        <f t="shared" si="945"/>
        <v>0.98057866570533392</v>
      </c>
      <c r="AR414" s="4">
        <f>VLOOKUP(B414,Allocation!$D$10:$P$235,13,FALSE)</f>
        <v>1.0354054886021724</v>
      </c>
      <c r="AS414" s="4">
        <f t="shared" si="946"/>
        <v>0.9</v>
      </c>
      <c r="AT414" s="4" t="str">
        <f t="shared" si="947"/>
        <v/>
      </c>
      <c r="AU414" s="31" t="str">
        <f t="shared" si="948"/>
        <v/>
      </c>
      <c r="AV414" s="31" t="str">
        <f t="shared" si="949"/>
        <v/>
      </c>
      <c r="AW414" s="31">
        <f t="shared" si="950"/>
        <v>3617548.2172598545</v>
      </c>
      <c r="AX414" s="4">
        <f t="shared" si="951"/>
        <v>0.97509356022937055</v>
      </c>
      <c r="AY414" s="4" t="str">
        <f t="shared" si="952"/>
        <v/>
      </c>
      <c r="AZ414" s="174" t="str">
        <f>IFERROR(IF(VLOOKUP(A414,#REF!,11,FALSE)=0,"",VLOOKUP(A414,#REF!,11,FALSE)),"")</f>
        <v/>
      </c>
      <c r="BA414" s="31" t="str">
        <f t="shared" si="953"/>
        <v/>
      </c>
      <c r="BB414" s="31">
        <f t="shared" si="967"/>
        <v>3617548.2172598545</v>
      </c>
      <c r="BD414" s="31">
        <f>IFERROR(VLOOKUP(A414,'Title II Hold Harmless'!A$1:B$439,2, FALSE),"")</f>
        <v>439484</v>
      </c>
      <c r="BE414" s="31">
        <f t="shared" si="954"/>
        <v>503336.30935501639</v>
      </c>
      <c r="BF414" s="31">
        <f t="shared" si="955"/>
        <v>503823.31726971426</v>
      </c>
      <c r="BG414" s="31" t="str">
        <f t="shared" si="956"/>
        <v/>
      </c>
      <c r="BH414" s="31">
        <f t="shared" si="957"/>
        <v>503823.31726971426</v>
      </c>
    </row>
    <row r="415" spans="1:60" x14ac:dyDescent="0.3">
      <c r="A415" s="1">
        <v>100212000</v>
      </c>
      <c r="B415">
        <f>VLOOKUP(C415,'NCES ID'!$A$2:$B$3136,2,FALSE)</f>
        <v>408170</v>
      </c>
      <c r="C415">
        <f>VLOOKUP(A415,'State ID'!$A$2:$B$713,2,FALSE)</f>
        <v>4407</v>
      </c>
      <c r="D415" s="147" t="s">
        <v>403</v>
      </c>
      <c r="E415" t="s">
        <v>9</v>
      </c>
      <c r="F415" s="47">
        <f>VLOOKUP(B415,'Formula counts'!$D$9:$L$234,9,FALSE)</f>
        <v>19735</v>
      </c>
      <c r="G415" s="47">
        <f>VLOOKUP(B415,'Formula counts'!$D$9:$K$234,8,FALSE)</f>
        <v>7947</v>
      </c>
      <c r="H415" s="4">
        <f>VLOOKUP(B415,'Formula counts'!$D$9:$M$234,10,FALSE)</f>
        <v>0.40268558398783888</v>
      </c>
      <c r="I415" s="47">
        <f>VLOOKUP($C415,'Final SEA Counts'!$A$2:$F$709,5,FALSE)</f>
        <v>15802</v>
      </c>
      <c r="J415" s="47">
        <f>VLOOKUP($C415,'Final SEA Counts'!$A$2:$F$709,6,FALSE)</f>
        <v>13480</v>
      </c>
      <c r="K415" s="24">
        <f t="shared" si="932"/>
        <v>18274.787226266308</v>
      </c>
      <c r="L415" s="24">
        <f t="shared" si="933"/>
        <v>7026.9812510158372</v>
      </c>
      <c r="M415" s="4">
        <f t="shared" si="934"/>
        <v>0.38451781484579878</v>
      </c>
      <c r="N415" s="31">
        <f>IFERROR(VLOOKUP($B415,Allocation!$D$10:$O$235,8,FALSE),"")</f>
        <v>3748901.8469660431</v>
      </c>
      <c r="O415" s="31">
        <f>IFERROR(VLOOKUP($B415,Allocation!$D$10:$O$235,9,FALSE),"")</f>
        <v>889055.41136116826</v>
      </c>
      <c r="P415" s="31">
        <f>IFERROR(VLOOKUP($B415,Allocation!$D$10:$O$235,10,FALSE),"")</f>
        <v>2321707.8541870071</v>
      </c>
      <c r="Q415" s="31">
        <f>IFERROR(VLOOKUP($B415,Allocation!$D$10:$O$235,11,FALSE),"")</f>
        <v>2369415.3573870682</v>
      </c>
      <c r="R415" s="31">
        <f>IFERROR(VLOOKUP($B415,Allocation!$D$10:$O$235,12,FALSE),"")</f>
        <v>9329080.4699012861</v>
      </c>
      <c r="S415" s="31">
        <f t="shared" si="935"/>
        <v>3317799.0861673453</v>
      </c>
      <c r="T415" s="31">
        <f t="shared" si="936"/>
        <v>786842.5457303843</v>
      </c>
      <c r="U415" s="31">
        <f t="shared" si="937"/>
        <v>2054647.5667920439</v>
      </c>
      <c r="V415" s="31">
        <f t="shared" si="938"/>
        <v>2096803.5682083275</v>
      </c>
      <c r="W415" s="31">
        <f t="shared" si="958"/>
        <v>3317799.0861673453</v>
      </c>
      <c r="X415" s="31">
        <f t="shared" si="959"/>
        <v>786842.5457303843</v>
      </c>
      <c r="Y415" s="31">
        <f t="shared" si="960"/>
        <v>2054647.5667920439</v>
      </c>
      <c r="Z415" s="31">
        <f t="shared" si="961"/>
        <v>2096803.5682083275</v>
      </c>
      <c r="AA415" s="31">
        <f t="shared" si="962"/>
        <v>3317799.0861673453</v>
      </c>
      <c r="AB415" s="31">
        <f t="shared" si="963"/>
        <v>786861.84306850634</v>
      </c>
      <c r="AC415" s="31">
        <f t="shared" si="964"/>
        <v>2054647.5667920439</v>
      </c>
      <c r="AD415" s="31">
        <f t="shared" si="965"/>
        <v>2096803.5682083275</v>
      </c>
      <c r="AE415" s="31">
        <f t="shared" si="966"/>
        <v>8256112.0642362228</v>
      </c>
      <c r="AF415" s="31">
        <f>IFERROR(VLOOKUP(A415,'Allocations By Type'!$D$7:$F$491,3,FALSE),"")</f>
        <v>8664743.4700000007</v>
      </c>
      <c r="AG415" s="31" t="str">
        <f t="shared" si="939"/>
        <v/>
      </c>
      <c r="AH415" s="31" t="str">
        <f t="shared" si="940"/>
        <v/>
      </c>
      <c r="AI415" s="31">
        <f t="shared" si="941"/>
        <v>8256112.0642362228</v>
      </c>
      <c r="AJ415" s="31">
        <f>AI415/$AI$577*'State Admin 1004(b)'!$B$30*0.01</f>
        <v>78569.284577167098</v>
      </c>
      <c r="AK415" s="31">
        <f t="shared" si="942"/>
        <v>8177542.7796590561</v>
      </c>
      <c r="AL415" s="31">
        <f t="shared" si="943"/>
        <v>81775.427796590564</v>
      </c>
      <c r="AM415" s="31">
        <f t="shared" si="944"/>
        <v>8095767.351862466</v>
      </c>
      <c r="AP415" s="31"/>
      <c r="AQ415" s="4">
        <f t="shared" si="945"/>
        <v>0.93433433775535257</v>
      </c>
      <c r="AR415" s="4">
        <f>VLOOKUP(B415,Allocation!$D$10:$P$235,13,FALSE)</f>
        <v>0.95109889632793665</v>
      </c>
      <c r="AS415" s="4">
        <f t="shared" si="946"/>
        <v>0.95</v>
      </c>
      <c r="AT415" s="4" t="str">
        <f t="shared" si="947"/>
        <v>Review</v>
      </c>
      <c r="AU415" s="31">
        <f t="shared" si="948"/>
        <v>135738.94463753421</v>
      </c>
      <c r="AV415" s="31">
        <f t="shared" si="949"/>
        <v>8231506.2965000002</v>
      </c>
      <c r="AW415" s="31">
        <f t="shared" si="950"/>
        <v>8231506.2965000002</v>
      </c>
      <c r="AX415" s="4">
        <f t="shared" si="951"/>
        <v>0.95</v>
      </c>
      <c r="AY415" s="4" t="str">
        <f t="shared" si="952"/>
        <v/>
      </c>
      <c r="AZ415" s="174" t="str">
        <f>IFERROR(IF(VLOOKUP(A415,#REF!,11,FALSE)=0,"",VLOOKUP(A415,#REF!,11,FALSE)),"")</f>
        <v/>
      </c>
      <c r="BA415" s="31" t="str">
        <f t="shared" si="953"/>
        <v/>
      </c>
      <c r="BB415" s="31">
        <f t="shared" si="967"/>
        <v>8231506.2965000002</v>
      </c>
      <c r="BD415" s="31">
        <f>IFERROR(VLOOKUP(A415,'Title II Hold Harmless'!A$1:B$439,2, FALSE),"")</f>
        <v>630505</v>
      </c>
      <c r="BE415" s="31">
        <f t="shared" si="954"/>
        <v>737200.45643313183</v>
      </c>
      <c r="BF415" s="31">
        <f t="shared" si="955"/>
        <v>737913.74186541443</v>
      </c>
      <c r="BG415" s="31" t="str">
        <f t="shared" si="956"/>
        <v/>
      </c>
      <c r="BH415" s="31">
        <f t="shared" si="957"/>
        <v>737913.74186541443</v>
      </c>
    </row>
    <row r="416" spans="1:60" x14ac:dyDescent="0.3">
      <c r="A416" s="1">
        <v>100201000</v>
      </c>
      <c r="B416">
        <f>VLOOKUP(C416,'NCES ID'!$A$2:$B$3136,2,FALSE)</f>
        <v>408800</v>
      </c>
      <c r="C416">
        <f>VLOOKUP(A416,'State ID'!$A$2:$B$713,2,FALSE)</f>
        <v>4403</v>
      </c>
      <c r="D416" s="147" t="s">
        <v>424</v>
      </c>
      <c r="E416" t="s">
        <v>9</v>
      </c>
      <c r="F416" s="47">
        <f>VLOOKUP(B416,'Formula counts'!$D$9:$L$234,9,FALSE)</f>
        <v>72963</v>
      </c>
      <c r="G416" s="47">
        <f>VLOOKUP(B416,'Formula counts'!$D$9:$K$234,8,FALSE)</f>
        <v>21662</v>
      </c>
      <c r="H416" s="4">
        <f>VLOOKUP(B416,'Formula counts'!$D$9:$M$234,10,FALSE)</f>
        <v>0.29689020462426163</v>
      </c>
      <c r="I416" s="47">
        <f>VLOOKUP($C416,'Final SEA Counts'!$A$2:$F$709,5,FALSE)</f>
        <v>45158</v>
      </c>
      <c r="J416" s="47">
        <f>VLOOKUP($C416,'Final SEA Counts'!$A$2:$F$709,6,FALSE)</f>
        <v>31020</v>
      </c>
      <c r="K416" s="24">
        <f t="shared" si="932"/>
        <v>67564.393229798254</v>
      </c>
      <c r="L416" s="24">
        <f t="shared" si="933"/>
        <v>19154.205091167114</v>
      </c>
      <c r="M416" s="4">
        <f t="shared" si="934"/>
        <v>0.28349555402681309</v>
      </c>
      <c r="N416" s="31">
        <f>IFERROR(VLOOKUP($B416,Allocation!$D$10:$O$235,8,FALSE),"")</f>
        <v>10218788.449600909</v>
      </c>
      <c r="O416" s="31">
        <f>IFERROR(VLOOKUP($B416,Allocation!$D$10:$O$235,9,FALSE),"")</f>
        <v>2423394.7805342423</v>
      </c>
      <c r="P416" s="31">
        <f>IFERROR(VLOOKUP($B416,Allocation!$D$10:$O$235,10,FALSE),"")</f>
        <v>6916675.9942442058</v>
      </c>
      <c r="Q416" s="31">
        <f>IFERROR(VLOOKUP($B416,Allocation!$D$10:$O$235,11,FALSE),"")</f>
        <v>6844216.6030812077</v>
      </c>
      <c r="R416" s="31">
        <f>IFERROR(VLOOKUP($B416,Allocation!$D$10:$O$235,12,FALSE),"")</f>
        <v>26403075.827460565</v>
      </c>
      <c r="S416" s="31">
        <f t="shared" si="935"/>
        <v>9043684.8879523128</v>
      </c>
      <c r="T416" s="31">
        <f t="shared" si="936"/>
        <v>2144782.084511335</v>
      </c>
      <c r="U416" s="31">
        <f t="shared" si="937"/>
        <v>6121067.9355000854</v>
      </c>
      <c r="V416" s="31">
        <f t="shared" si="938"/>
        <v>6056759.0018312586</v>
      </c>
      <c r="W416" s="31">
        <f t="shared" si="958"/>
        <v>9043684.8879523128</v>
      </c>
      <c r="X416" s="31">
        <f t="shared" si="959"/>
        <v>2144782.084511335</v>
      </c>
      <c r="Y416" s="31">
        <f t="shared" si="960"/>
        <v>6121067.9355000854</v>
      </c>
      <c r="Z416" s="31">
        <f t="shared" si="961"/>
        <v>6056759.0018312586</v>
      </c>
      <c r="AA416" s="31">
        <f t="shared" si="962"/>
        <v>9043684.8879523128</v>
      </c>
      <c r="AB416" s="31">
        <f t="shared" si="963"/>
        <v>2144801.381849457</v>
      </c>
      <c r="AC416" s="31">
        <f t="shared" si="964"/>
        <v>6121067.9355000854</v>
      </c>
      <c r="AD416" s="31">
        <f t="shared" si="965"/>
        <v>6056759.0018312586</v>
      </c>
      <c r="AE416" s="31">
        <f t="shared" si="966"/>
        <v>23366313.207133114</v>
      </c>
      <c r="AF416" s="31">
        <f>IFERROR(VLOOKUP(A416,'Allocations By Type'!$D$7:$F$491,3,FALSE),"")</f>
        <v>21107608.199999999</v>
      </c>
      <c r="AG416" s="31">
        <f t="shared" si="939"/>
        <v>934652.52828532457</v>
      </c>
      <c r="AH416" s="31">
        <f t="shared" si="940"/>
        <v>934652.52828532457</v>
      </c>
      <c r="AI416" s="31">
        <f t="shared" si="941"/>
        <v>22431660.67884779</v>
      </c>
      <c r="AJ416" s="31">
        <f>AI416/$AI$577*'State Admin 1004(b)'!$B$30*0.01</f>
        <v>213470.88286862851</v>
      </c>
      <c r="AK416" s="31">
        <f t="shared" si="942"/>
        <v>22218189.795979161</v>
      </c>
      <c r="AL416" s="31">
        <f t="shared" si="943"/>
        <v>222181.89795979162</v>
      </c>
      <c r="AM416" s="31">
        <f t="shared" si="944"/>
        <v>21996007.89801937</v>
      </c>
      <c r="AP416" s="31"/>
      <c r="AQ416" s="4">
        <f t="shared" si="945"/>
        <v>1.0420890746882145</v>
      </c>
      <c r="AR416" s="4">
        <f>VLOOKUP(B416,Allocation!$D$10:$P$235,13,FALSE)</f>
        <v>1.1049890845080774</v>
      </c>
      <c r="AS416" s="4">
        <f t="shared" si="946"/>
        <v>0.9</v>
      </c>
      <c r="AT416" s="4" t="str">
        <f t="shared" si="947"/>
        <v/>
      </c>
      <c r="AU416" s="31" t="str">
        <f t="shared" si="948"/>
        <v/>
      </c>
      <c r="AV416" s="31" t="str">
        <f t="shared" si="949"/>
        <v/>
      </c>
      <c r="AW416" s="31">
        <f t="shared" si="950"/>
        <v>21872967.87319487</v>
      </c>
      <c r="AX416" s="4">
        <f t="shared" si="951"/>
        <v>1.0362598957656828</v>
      </c>
      <c r="AY416" s="4" t="str">
        <f t="shared" si="952"/>
        <v/>
      </c>
      <c r="AZ416" s="174" t="str">
        <f>IFERROR(IF(VLOOKUP(A416,#REF!,11,FALSE)=0,"",VLOOKUP(A416,#REF!,11,FALSE)),"")</f>
        <v/>
      </c>
      <c r="BA416" s="31" t="str">
        <f t="shared" si="953"/>
        <v/>
      </c>
      <c r="BB416" s="31">
        <f t="shared" si="967"/>
        <v>21872967.87319487</v>
      </c>
      <c r="BD416" s="31">
        <f>IFERROR(VLOOKUP(A416,'Title II Hold Harmless'!A$1:B$439,2, FALSE),"")</f>
        <v>2477452</v>
      </c>
      <c r="BE416" s="31">
        <f t="shared" si="954"/>
        <v>2782569.2370625343</v>
      </c>
      <c r="BF416" s="31">
        <f t="shared" si="955"/>
        <v>2785261.5388425919</v>
      </c>
      <c r="BG416" s="31" t="str">
        <f t="shared" si="956"/>
        <v/>
      </c>
      <c r="BH416" s="31">
        <f t="shared" si="957"/>
        <v>2785261.5388425919</v>
      </c>
    </row>
    <row r="417" spans="1:60" x14ac:dyDescent="0.3">
      <c r="A417" s="1">
        <v>100337000</v>
      </c>
      <c r="B417">
        <v>402820</v>
      </c>
      <c r="C417">
        <v>4415</v>
      </c>
      <c r="D417" s="147" t="s">
        <v>523</v>
      </c>
      <c r="E417" t="s">
        <v>9</v>
      </c>
      <c r="F417" s="47">
        <f>VLOOKUP(B417,'Formula counts'!$D$9:$L$234,9,FALSE)</f>
        <v>70</v>
      </c>
      <c r="G417" s="47">
        <f>VLOOKUP(B417,'Formula counts'!$D$9:$K$234,8,FALSE)</f>
        <v>7</v>
      </c>
      <c r="H417" s="4">
        <f>VLOOKUP(B417,'Formula counts'!$D$9:$M$234,10,FALSE)</f>
        <v>0.1</v>
      </c>
      <c r="I417" s="47"/>
      <c r="J417" s="47"/>
      <c r="K417" s="24">
        <f t="shared" si="932"/>
        <v>64.82062862116247</v>
      </c>
      <c r="L417" s="24">
        <f t="shared" si="933"/>
        <v>6.1896147926400973</v>
      </c>
      <c r="M417" s="4">
        <f t="shared" si="934"/>
        <v>9.5488348760310052E-2</v>
      </c>
      <c r="N417" s="31">
        <f>IFERROR(VLOOKUP($B417,Allocation!$D$10:$O$235,8,FALSE),"")</f>
        <v>0</v>
      </c>
      <c r="O417" s="31">
        <f>IFERROR(VLOOKUP($B417,Allocation!$D$10:$O$235,9,FALSE),"")</f>
        <v>1068.4014810765896</v>
      </c>
      <c r="P417" s="31">
        <f>IFERROR(VLOOKUP($B417,Allocation!$D$10:$O$235,10,FALSE),"")</f>
        <v>0</v>
      </c>
      <c r="Q417" s="31">
        <f>IFERROR(VLOOKUP($B417,Allocation!$D$10:$O$235,11,FALSE),"")</f>
        <v>0</v>
      </c>
      <c r="R417" s="31">
        <f>IFERROR(VLOOKUP($B417,Allocation!$D$10:$O$235,12,FALSE),"")</f>
        <v>1068.4014810765896</v>
      </c>
      <c r="S417" s="31" t="str">
        <f t="shared" si="935"/>
        <v/>
      </c>
      <c r="T417" s="31">
        <f t="shared" si="936"/>
        <v>945.56956798152487</v>
      </c>
      <c r="U417" s="31" t="str">
        <f t="shared" si="937"/>
        <v/>
      </c>
      <c r="V417" s="31" t="str">
        <f t="shared" si="938"/>
        <v/>
      </c>
      <c r="AA417" s="31" t="str">
        <f t="shared" si="962"/>
        <v/>
      </c>
      <c r="AB417" s="31" t="str">
        <f t="shared" si="963"/>
        <v/>
      </c>
      <c r="AC417" s="31" t="str">
        <f t="shared" si="964"/>
        <v/>
      </c>
      <c r="AD417" s="31" t="str">
        <f t="shared" si="965"/>
        <v/>
      </c>
      <c r="AE417" s="31">
        <f t="shared" si="966"/>
        <v>0</v>
      </c>
      <c r="AF417" s="31">
        <f>IFERROR(VLOOKUP(A417,'Allocations By Type'!$D$7:$F$491,3,FALSE),"")</f>
        <v>8633.76</v>
      </c>
      <c r="AG417" s="31" t="str">
        <f t="shared" si="939"/>
        <v/>
      </c>
      <c r="AH417" s="31" t="str">
        <f t="shared" si="940"/>
        <v/>
      </c>
      <c r="AI417" s="31">
        <f t="shared" si="941"/>
        <v>0</v>
      </c>
      <c r="AJ417" s="31">
        <f>AI417/$AI$577*'State Admin 1004(b)'!$B$30*0.01</f>
        <v>0</v>
      </c>
      <c r="AK417" s="31">
        <f t="shared" si="942"/>
        <v>0</v>
      </c>
      <c r="AL417" s="31">
        <f t="shared" si="943"/>
        <v>0</v>
      </c>
      <c r="AM417" s="31">
        <f t="shared" si="944"/>
        <v>0</v>
      </c>
      <c r="AP417" s="31"/>
      <c r="AQ417" s="4">
        <f t="shared" si="945"/>
        <v>0</v>
      </c>
      <c r="AR417" s="4">
        <f>VLOOKUP(B417,Allocation!$D$10:$P$235,13,FALSE)</f>
        <v>0.10931580427191051</v>
      </c>
      <c r="AS417" s="4">
        <f t="shared" si="946"/>
        <v>0.85</v>
      </c>
      <c r="AU417" s="31" t="str">
        <f t="shared" si="948"/>
        <v/>
      </c>
      <c r="AV417" s="31" t="str">
        <f t="shared" si="949"/>
        <v/>
      </c>
      <c r="AY417" s="4"/>
      <c r="AZ417" s="174" t="str">
        <f>IFERROR(IF(VLOOKUP(A417,#REF!,11,FALSE)=0,"",VLOOKUP(A417,#REF!,11,FALSE)),"")</f>
        <v/>
      </c>
      <c r="BA417" s="31" t="str">
        <f t="shared" si="953"/>
        <v/>
      </c>
      <c r="BB417" s="31">
        <f t="shared" si="967"/>
        <v>0</v>
      </c>
      <c r="BD417" s="31" t="str">
        <f>IFERROR(VLOOKUP(A417,'Title II Hold Harmless'!A$1:B$439,2, FALSE),"")</f>
        <v/>
      </c>
      <c r="BE417" s="31"/>
      <c r="BF417" s="31"/>
      <c r="BG417" s="31" t="str">
        <f t="shared" si="956"/>
        <v/>
      </c>
      <c r="BH417" s="31">
        <f t="shared" si="957"/>
        <v>0</v>
      </c>
    </row>
    <row r="418" spans="1:60" x14ac:dyDescent="0.3">
      <c r="A418" s="1">
        <v>100344000</v>
      </c>
      <c r="B418">
        <f>VLOOKUP(C418,'NCES ID'!$A$2:$B$3136,2,FALSE)</f>
        <v>406930</v>
      </c>
      <c r="C418">
        <v>4417</v>
      </c>
      <c r="D418" s="147" t="s">
        <v>481</v>
      </c>
      <c r="E418" t="s">
        <v>9</v>
      </c>
      <c r="F418" s="47">
        <f>VLOOKUP(B418,'Formula counts'!$D$9:$L$234,9,FALSE)</f>
        <v>15</v>
      </c>
      <c r="G418" s="47">
        <f>VLOOKUP(B418,'Formula counts'!$D$9:$K$234,8,FALSE)</f>
        <v>8</v>
      </c>
      <c r="H418" s="4">
        <f>VLOOKUP(B418,'Formula counts'!$D$9:$M$234,10,FALSE)</f>
        <v>0.53333333333333333</v>
      </c>
      <c r="I418" s="47"/>
      <c r="J418" s="47"/>
      <c r="K418" s="24">
        <f t="shared" si="932"/>
        <v>13.890134704534818</v>
      </c>
      <c r="L418" s="24">
        <f t="shared" si="933"/>
        <v>7.0738454773029682</v>
      </c>
      <c r="M418" s="4">
        <f t="shared" si="934"/>
        <v>0.50927119338832016</v>
      </c>
      <c r="N418" s="31">
        <f>IFERROR(VLOOKUP($B418,Allocation!$D$10:$O$235,8,FALSE),"")</f>
        <v>0</v>
      </c>
      <c r="O418" s="31">
        <f>IFERROR(VLOOKUP($B418,Allocation!$D$10:$O$235,9,FALSE),"")</f>
        <v>0</v>
      </c>
      <c r="P418" s="31">
        <f>IFERROR(VLOOKUP($B418,Allocation!$D$10:$O$235,10,FALSE),"")</f>
        <v>0</v>
      </c>
      <c r="Q418" s="31">
        <f>IFERROR(VLOOKUP($B418,Allocation!$D$10:$O$235,11,FALSE),"")</f>
        <v>0</v>
      </c>
      <c r="R418" s="31">
        <f>IFERROR(VLOOKUP($B418,Allocation!$D$10:$O$235,12,FALSE),"")</f>
        <v>0</v>
      </c>
      <c r="S418" s="31" t="str">
        <f t="shared" si="935"/>
        <v/>
      </c>
      <c r="T418" s="31" t="str">
        <f t="shared" si="936"/>
        <v/>
      </c>
      <c r="U418" s="31" t="str">
        <f t="shared" si="937"/>
        <v/>
      </c>
      <c r="V418" s="31" t="str">
        <f t="shared" si="938"/>
        <v/>
      </c>
      <c r="W418" s="31" t="str">
        <f t="shared" si="958"/>
        <v/>
      </c>
      <c r="Y418" s="31" t="str">
        <f t="shared" si="960"/>
        <v/>
      </c>
      <c r="Z418" s="31" t="str">
        <f t="shared" si="961"/>
        <v/>
      </c>
      <c r="AA418" s="31" t="str">
        <f t="shared" si="962"/>
        <v/>
      </c>
      <c r="AB418" s="31" t="str">
        <f t="shared" si="963"/>
        <v/>
      </c>
      <c r="AC418" s="31" t="str">
        <f t="shared" si="964"/>
        <v/>
      </c>
      <c r="AD418" s="31" t="str">
        <f t="shared" si="965"/>
        <v/>
      </c>
      <c r="AE418" s="31">
        <f t="shared" si="966"/>
        <v>0</v>
      </c>
      <c r="AF418" s="31">
        <f>IFERROR(VLOOKUP(A418,'Allocations By Type'!$D$7:$F$491,3,FALSE),"")</f>
        <v>928.16</v>
      </c>
      <c r="AG418" s="31" t="str">
        <f t="shared" si="939"/>
        <v/>
      </c>
      <c r="AH418" s="31" t="str">
        <f t="shared" si="940"/>
        <v/>
      </c>
      <c r="AI418" s="31">
        <f t="shared" si="941"/>
        <v>0</v>
      </c>
      <c r="AJ418" s="31">
        <f>AI418/$AI$577*'State Admin 1004(b)'!$B$30*0.01</f>
        <v>0</v>
      </c>
      <c r="AK418" s="31">
        <f t="shared" si="942"/>
        <v>0</v>
      </c>
      <c r="AL418" s="31">
        <f t="shared" si="943"/>
        <v>0</v>
      </c>
      <c r="AM418" s="31">
        <f t="shared" si="944"/>
        <v>0</v>
      </c>
      <c r="AP418" s="31"/>
      <c r="AQ418" s="4">
        <f t="shared" si="945"/>
        <v>0</v>
      </c>
      <c r="AR418" s="4">
        <f>VLOOKUP(B418,Allocation!$D$10:$P$235,13,FALSE)</f>
        <v>0</v>
      </c>
      <c r="AS418" s="4">
        <f t="shared" si="946"/>
        <v>0.95</v>
      </c>
      <c r="AU418" s="31" t="str">
        <f t="shared" si="948"/>
        <v/>
      </c>
      <c r="AV418" s="31" t="str">
        <f t="shared" si="949"/>
        <v/>
      </c>
      <c r="AY418" s="4"/>
      <c r="AZ418" s="174" t="str">
        <f>IFERROR(IF(VLOOKUP(A418,#REF!,11,FALSE)=0,"",VLOOKUP(A418,#REF!,11,FALSE)),"")</f>
        <v/>
      </c>
      <c r="BA418" s="31" t="str">
        <f t="shared" si="953"/>
        <v/>
      </c>
      <c r="BB418" s="31">
        <f t="shared" si="967"/>
        <v>0</v>
      </c>
      <c r="BD418" s="31" t="str">
        <f>IFERROR(VLOOKUP(A418,'Title II Hold Harmless'!A$1:B$439,2, FALSE),"")</f>
        <v/>
      </c>
      <c r="BE418" s="31"/>
      <c r="BF418" s="31"/>
      <c r="BG418" s="31" t="str">
        <f t="shared" si="956"/>
        <v/>
      </c>
      <c r="BH418" s="31">
        <f t="shared" si="957"/>
        <v>0</v>
      </c>
    </row>
    <row r="419" spans="1:60" x14ac:dyDescent="0.3">
      <c r="A419" s="1"/>
      <c r="B419">
        <v>481019</v>
      </c>
      <c r="D419" s="147" t="s">
        <v>885</v>
      </c>
      <c r="E419" t="s">
        <v>9</v>
      </c>
      <c r="F419" s="47">
        <f>VLOOKUP(B419,'Formula counts'!$D$9:$L$234,9,FALSE)</f>
        <v>45</v>
      </c>
      <c r="G419" s="47">
        <f>VLOOKUP(B419,'Formula counts'!$D$9:$K$234,8,FALSE)</f>
        <v>16</v>
      </c>
      <c r="H419" s="4">
        <f>VLOOKUP(B419,'Formula counts'!$D$9:$M$234,10,FALSE)</f>
        <v>0.35555555555555557</v>
      </c>
      <c r="N419" s="31">
        <f>IFERROR(VLOOKUP($B419,Allocation!$D$10:$O$235,8,FALSE),"")</f>
        <v>7547.8079214114341</v>
      </c>
      <c r="O419" s="31">
        <f>IFERROR(VLOOKUP($B419,Allocation!$D$10:$O$235,9,FALSE),"")</f>
        <v>1789.969369797243</v>
      </c>
      <c r="P419" s="31">
        <f>IFERROR(VLOOKUP($B419,Allocation!$D$10:$O$235,10,FALSE),"")</f>
        <v>4128.5581267819971</v>
      </c>
      <c r="Q419" s="31">
        <f>IFERROR(VLOOKUP($B419,Allocation!$D$10:$O$235,11,FALSE),"")</f>
        <v>3652.4831595738547</v>
      </c>
      <c r="R419" s="31">
        <f>IFERROR(VLOOKUP($B419,Allocation!$D$10:$O$235,12,FALSE),"")</f>
        <v>17118.818577564529</v>
      </c>
      <c r="AF419" s="31" t="str">
        <f>IFERROR(VLOOKUP(A419,'Allocations By Type'!$D$7:$F$491,3,FALSE),"")</f>
        <v/>
      </c>
      <c r="AQ419" s="4" t="str">
        <f t="shared" si="945"/>
        <v/>
      </c>
      <c r="AZ419" s="174" t="str">
        <f>IFERROR(IF(VLOOKUP(A419,#REF!,11,FALSE)=0,"",VLOOKUP(A419,#REF!,11,FALSE)),"")</f>
        <v/>
      </c>
      <c r="BA419" s="31" t="str">
        <f t="shared" si="953"/>
        <v/>
      </c>
      <c r="BB419" s="31">
        <f>IF(BA419&lt;0,AW419+BA419,AW419)</f>
        <v>0</v>
      </c>
      <c r="BD419" s="31" t="str">
        <f>IFERROR(VLOOKUP(A419,'Title II Hold Harmless'!A$1:B$439,2, FALSE),"")</f>
        <v/>
      </c>
      <c r="BE419" s="31">
        <f t="shared" ref="BE419:BE459" si="968">IFERROR($BD$582*(0.8*($L419/$L$579)+0.2*($K419/$K$579))+$BD419,$BD$582*(0.8*($L419/$L$579)+0.2*($K419/$K$579)))</f>
        <v>0</v>
      </c>
      <c r="BF419" s="31">
        <f t="shared" ref="BF419:BF459" si="969">$BD$583*BE419</f>
        <v>0</v>
      </c>
      <c r="BG419" s="31" t="str">
        <f t="shared" si="956"/>
        <v/>
      </c>
      <c r="BH419" s="31">
        <f t="shared" si="957"/>
        <v>0</v>
      </c>
    </row>
    <row r="420" spans="1:60" x14ac:dyDescent="0.3">
      <c r="A420" s="1">
        <v>108713000</v>
      </c>
      <c r="B420">
        <f>VLOOKUP(C420,'NCES ID'!$A$2:$B$3136,2,FALSE)</f>
        <v>400368</v>
      </c>
      <c r="C420">
        <f>VLOOKUP(A420,'State ID'!$A$2:$B$713,2,FALSE)</f>
        <v>79961</v>
      </c>
      <c r="D420" s="147" t="s">
        <v>8</v>
      </c>
      <c r="E420" t="s">
        <v>9</v>
      </c>
      <c r="I420" s="47">
        <f>VLOOKUP($C420,'Final SEA Counts'!$A$2:$F$709,5,FALSE)</f>
        <v>425</v>
      </c>
      <c r="J420" s="47">
        <f>VLOOKUP($C420,'Final SEA Counts'!$A$2:$F$709,6,FALSE)</f>
        <v>324</v>
      </c>
      <c r="K420" s="24">
        <f>I420</f>
        <v>425</v>
      </c>
      <c r="L420" s="24">
        <f t="shared" ref="L420:L460" si="970">J420*$B$462</f>
        <v>177.70296877104187</v>
      </c>
      <c r="M420" s="4">
        <f t="shared" ref="M420:M460" si="971">L420/K420</f>
        <v>0.41812463240245146</v>
      </c>
      <c r="N420" s="31" t="str">
        <f>IFERROR(VLOOKUP($B420,#REF!,8,FALSE),"")</f>
        <v/>
      </c>
      <c r="O420" s="31" t="str">
        <f>IFERROR(VLOOKUP($B420,#REF!,9,FALSE),"")</f>
        <v/>
      </c>
      <c r="P420" s="31" t="str">
        <f>IFERROR(VLOOKUP($B420,#REF!,10,FALSE),"")</f>
        <v/>
      </c>
      <c r="Q420" s="31" t="str">
        <f>IFERROR(VLOOKUP($B420,#REF!,11,FALSE),"")</f>
        <v/>
      </c>
      <c r="R420" s="31" t="str">
        <f>IFERROR(VLOOKUP($B420,#REF!,12,FALSE),"")</f>
        <v/>
      </c>
      <c r="S420" s="31">
        <f t="shared" ref="S420:V421" si="972">$L420*N$463</f>
        <v>85050.313922478192</v>
      </c>
      <c r="T420" s="31">
        <f t="shared" si="972"/>
        <v>18697.937839847469</v>
      </c>
      <c r="U420" s="31">
        <f t="shared" si="972"/>
        <v>51600.677941601018</v>
      </c>
      <c r="V420" s="31">
        <f t="shared" si="972"/>
        <v>50101.82407179039</v>
      </c>
      <c r="W420" s="31">
        <f t="shared" ref="W420:W459" si="973">IF(AND($L420&gt;9,$L420&gt;($K420*0.02)),S420,"")</f>
        <v>85050.313922478192</v>
      </c>
      <c r="X420" s="31">
        <f t="shared" ref="X420:X459" si="974">IF(W420="","",IF(OR($L420&gt;6500,$L420&gt;($K420*0.15)),T420,""))</f>
        <v>18697.937839847469</v>
      </c>
      <c r="Y420" s="31">
        <f t="shared" ref="Y420:Y459" si="975">IF(AND($L420&gt;9,$L420&gt;($K420*0.05)),U420,"")</f>
        <v>51600.677941601018</v>
      </c>
      <c r="Z420" s="31">
        <f t="shared" ref="Z420:Z459" si="976">IF(AND($L420&gt;9,$L420&gt;($K420*0.05)),V420,"")</f>
        <v>50101.82407179039</v>
      </c>
      <c r="AA420" s="31">
        <f t="shared" ref="AA420:AD421" si="977">IF(W420="","",W420+W$463)</f>
        <v>85050.313922478192</v>
      </c>
      <c r="AB420" s="31">
        <f t="shared" si="977"/>
        <v>18717.235177969553</v>
      </c>
      <c r="AC420" s="31">
        <f t="shared" si="977"/>
        <v>51600.677941601018</v>
      </c>
      <c r="AD420" s="31">
        <f t="shared" si="977"/>
        <v>50101.82407179039</v>
      </c>
      <c r="AE420" s="31">
        <f t="shared" ref="AE420:AE459" si="978">SUM(AA420:AD420)</f>
        <v>205470.05111383914</v>
      </c>
      <c r="AF420" s="31">
        <f>IFERROR(VLOOKUP(A420,'Allocations By Type'!$D$7:$F$491,3,FALSE),"")</f>
        <v>172792.09</v>
      </c>
      <c r="AG420" s="31">
        <f t="shared" ref="AG420:AG459" si="979">IF(AE420&gt;AF420,AE420*0.04,"")</f>
        <v>8218.8020445535658</v>
      </c>
      <c r="AH420" s="31">
        <f t="shared" ref="AH420:AH459" si="980">IF(AG420="","",IF((AE420-AF420)&gt;AG420,AG420,AE420-AF420))</f>
        <v>8218.8020445535658</v>
      </c>
      <c r="AI420" s="31">
        <f t="shared" ref="AI420:AI459" si="981">IF(AH420="",AE420,AE420-AH420)</f>
        <v>197251.24906928558</v>
      </c>
      <c r="AJ420" s="31">
        <f>AI420/$AI$577*'State Admin 1004(b)'!$B$30*0.01</f>
        <v>1877.1413712345347</v>
      </c>
      <c r="AK420" s="31">
        <f t="shared" ref="AK420:AK459" si="982">AI420-AJ420</f>
        <v>195374.10769805106</v>
      </c>
      <c r="AL420" s="31">
        <f t="shared" ref="AL420:AL459" si="983">AK420*0.01</f>
        <v>1953.7410769805106</v>
      </c>
      <c r="AM420" s="31">
        <f t="shared" ref="AM420:AM459" si="984">AK420-AL420</f>
        <v>193420.36662107054</v>
      </c>
      <c r="AP420" s="31"/>
      <c r="AQ420" s="4">
        <f t="shared" si="945"/>
        <v>1.1193820655857021</v>
      </c>
      <c r="AW420" s="31">
        <f t="shared" ref="AW420:AW443" si="985">IF(AV420="",AM420-AM420/($AM$462-$AV$462+$AU$462)*$AU$462,AV420)</f>
        <v>192338.42271465997</v>
      </c>
      <c r="AX420" s="4">
        <f t="shared" ref="AX420:AX459" si="986">IFERROR(AW420/AF420,"")</f>
        <v>1.1131205295025945</v>
      </c>
      <c r="AZ420" s="174" t="str">
        <f>IFERROR(IF(VLOOKUP(A420,#REF!,11,FALSE)=0,"",VLOOKUP(A420,#REF!,11,FALSE)),"")</f>
        <v/>
      </c>
      <c r="BA420" s="31" t="str">
        <f t="shared" si="953"/>
        <v/>
      </c>
      <c r="BB420" s="31">
        <f t="shared" ref="BB420:BB459" si="987">IF(BA420&lt;0,AW420+BA420,AW420)</f>
        <v>192338.42271465997</v>
      </c>
      <c r="BD420" s="31" t="str">
        <f>IFERROR(VLOOKUP(A420,'Title II Hold Harmless'!A$1:B$439,2, FALSE),"")</f>
        <v/>
      </c>
      <c r="BE420" s="31">
        <f t="shared" si="968"/>
        <v>2668.291313576553</v>
      </c>
      <c r="BF420" s="31">
        <f t="shared" si="969"/>
        <v>2670.8730446463746</v>
      </c>
      <c r="BG420" s="31" t="str">
        <f t="shared" si="956"/>
        <v/>
      </c>
      <c r="BH420" s="31">
        <f t="shared" si="957"/>
        <v>2670.8730446463746</v>
      </c>
    </row>
    <row r="421" spans="1:60" x14ac:dyDescent="0.3">
      <c r="A421" s="1">
        <v>78242000</v>
      </c>
      <c r="B421">
        <f>VLOOKUP(C421,'NCES ID'!$A$2:$B$3136,2,FALSE)</f>
        <v>400891</v>
      </c>
      <c r="C421">
        <f>VLOOKUP(A421,'State ID'!$A$2:$B$713,2,FALSE)</f>
        <v>90878</v>
      </c>
      <c r="D421" s="192" t="s">
        <v>10</v>
      </c>
      <c r="E421" t="s">
        <v>9</v>
      </c>
      <c r="I421" s="47">
        <f>VLOOKUP($C421,'AzEDS FY17 12-04-16'!$A$1:$D$712,3,FALSE)</f>
        <v>478</v>
      </c>
      <c r="J421" s="47">
        <f>VLOOKUP($C421,'AzEDS FY17 12-04-16'!$A$1:$D$712,4,FALSE)</f>
        <v>425</v>
      </c>
      <c r="K421" s="24">
        <f t="shared" ref="K421:K460" si="988">I421</f>
        <v>478</v>
      </c>
      <c r="L421" s="24">
        <f t="shared" si="970"/>
        <v>233.09803002374321</v>
      </c>
      <c r="M421" s="4">
        <f t="shared" si="971"/>
        <v>0.48765278247645022</v>
      </c>
      <c r="N421" s="31" t="str">
        <f>IFERROR(VLOOKUP($B421,#REF!,8,FALSE),"")</f>
        <v/>
      </c>
      <c r="O421" s="31" t="str">
        <f>IFERROR(VLOOKUP($B421,#REF!,9,FALSE),"")</f>
        <v/>
      </c>
      <c r="P421" s="31" t="str">
        <f>IFERROR(VLOOKUP($B421,#REF!,10,FALSE),"")</f>
        <v/>
      </c>
      <c r="Q421" s="31" t="str">
        <f>IFERROR(VLOOKUP($B421,#REF!,11,FALSE),"")</f>
        <v/>
      </c>
      <c r="R421" s="31" t="str">
        <f>IFERROR(VLOOKUP($B421,#REF!,12,FALSE),"")</f>
        <v/>
      </c>
      <c r="S421" s="31">
        <f t="shared" si="972"/>
        <v>111562.91178102851</v>
      </c>
      <c r="T421" s="31">
        <f t="shared" si="972"/>
        <v>24526.615993627081</v>
      </c>
      <c r="U421" s="31">
        <f t="shared" si="972"/>
        <v>67686.074460433432</v>
      </c>
      <c r="V421" s="31">
        <f t="shared" si="972"/>
        <v>65719.985279354674</v>
      </c>
      <c r="W421" s="31">
        <f t="shared" si="973"/>
        <v>111562.91178102851</v>
      </c>
      <c r="X421" s="31">
        <f t="shared" si="974"/>
        <v>24526.615993627081</v>
      </c>
      <c r="Y421" s="31">
        <f t="shared" si="975"/>
        <v>67686.074460433432</v>
      </c>
      <c r="Z421" s="31">
        <f t="shared" si="976"/>
        <v>65719.985279354674</v>
      </c>
      <c r="AA421" s="31">
        <f t="shared" si="977"/>
        <v>111562.91178102851</v>
      </c>
      <c r="AB421" s="31">
        <f t="shared" si="977"/>
        <v>24545.913331749165</v>
      </c>
      <c r="AC421" s="31">
        <f t="shared" si="977"/>
        <v>67686.074460433432</v>
      </c>
      <c r="AD421" s="31">
        <f t="shared" si="977"/>
        <v>65719.985279354674</v>
      </c>
      <c r="AE421" s="31">
        <f t="shared" si="978"/>
        <v>269514.88485256577</v>
      </c>
      <c r="AF421" s="31">
        <f>IFERROR(VLOOKUP(A421,'Allocations By Type'!$D$7:$F$491,3,FALSE),"")</f>
        <v>108774.04</v>
      </c>
      <c r="AG421" s="31">
        <f t="shared" si="979"/>
        <v>10780.595394102631</v>
      </c>
      <c r="AH421" s="31">
        <f t="shared" si="980"/>
        <v>10780.595394102631</v>
      </c>
      <c r="AI421" s="31">
        <f t="shared" si="981"/>
        <v>258734.28945846314</v>
      </c>
      <c r="AJ421" s="31">
        <f>AI421/$AI$577*'State Admin 1004(b)'!$B$30*0.01</f>
        <v>2462.2446812940307</v>
      </c>
      <c r="AK421" s="31">
        <f t="shared" si="982"/>
        <v>256272.04477716913</v>
      </c>
      <c r="AL421" s="31">
        <f t="shared" si="983"/>
        <v>2562.7204477716914</v>
      </c>
      <c r="AM421" s="31">
        <f t="shared" si="984"/>
        <v>253709.32432939744</v>
      </c>
      <c r="AP421" s="31"/>
      <c r="AQ421" s="4">
        <f t="shared" si="945"/>
        <v>2.332443700072163</v>
      </c>
      <c r="AW421" s="31">
        <f t="shared" si="985"/>
        <v>252290.13946146931</v>
      </c>
      <c r="AX421" s="4">
        <f t="shared" si="986"/>
        <v>2.319396608432208</v>
      </c>
      <c r="AZ421" s="174" t="str">
        <f>IFERROR(IF(VLOOKUP(A421,#REF!,11,FALSE)=0,"",VLOOKUP(A421,#REF!,11,FALSE)),"")</f>
        <v/>
      </c>
      <c r="BA421" s="31" t="str">
        <f t="shared" si="953"/>
        <v/>
      </c>
      <c r="BB421" s="31">
        <f t="shared" si="987"/>
        <v>252290.13946146931</v>
      </c>
      <c r="BD421" s="31" t="str">
        <f>IFERROR(VLOOKUP(A421,'Title II Hold Harmless'!A$1:B$439,2, FALSE),"")</f>
        <v/>
      </c>
      <c r="BE421" s="31">
        <f t="shared" si="968"/>
        <v>3436.104326748623</v>
      </c>
      <c r="BF421" s="31">
        <f t="shared" si="969"/>
        <v>3439.4289627261037</v>
      </c>
      <c r="BG421" s="31" t="str">
        <f t="shared" si="956"/>
        <v/>
      </c>
      <c r="BH421" s="31">
        <f t="shared" si="957"/>
        <v>3439.4289627261037</v>
      </c>
    </row>
    <row r="422" spans="1:60" s="47" customFormat="1" x14ac:dyDescent="0.3">
      <c r="A422" s="1">
        <v>108767000</v>
      </c>
      <c r="B422" s="47">
        <f>VLOOKUP(C422,'NCES ID'!$A$2:$B$3136,2,FALSE)</f>
        <v>400129</v>
      </c>
      <c r="C422" s="47">
        <f>VLOOKUP(A422,'State ID'!$A$2:$B$713,2,FALSE)</f>
        <v>6364</v>
      </c>
      <c r="D422" s="191" t="s">
        <v>12</v>
      </c>
      <c r="E422" s="47" t="s">
        <v>9</v>
      </c>
      <c r="H422" s="4"/>
      <c r="I422" s="47">
        <f>VLOOKUP($C422,'Final SEA Counts'!$A$2:$F$709,5,FALSE)</f>
        <v>199</v>
      </c>
      <c r="J422" s="47">
        <f>VLOOKUP($C422,'Final SEA Counts'!$A$2:$F$709,6,FALSE)</f>
        <v>99</v>
      </c>
      <c r="K422" s="24">
        <f t="shared" si="988"/>
        <v>199</v>
      </c>
      <c r="L422" s="24">
        <f t="shared" si="970"/>
        <v>54.298129346707242</v>
      </c>
      <c r="M422" s="4">
        <f t="shared" si="971"/>
        <v>0.27285492134023742</v>
      </c>
      <c r="N422" s="31"/>
      <c r="O422" s="31"/>
      <c r="P422" s="31"/>
      <c r="Q422" s="31"/>
      <c r="R422" s="31"/>
      <c r="S422" s="31">
        <f t="shared" ref="S422" si="989">$L422*N$463</f>
        <v>25987.595920757227</v>
      </c>
      <c r="T422" s="31">
        <f t="shared" ref="T422" si="990">$L422*O$463</f>
        <v>5713.2587843978381</v>
      </c>
      <c r="U422" s="31">
        <f t="shared" ref="U422" si="991">$L422*P$463</f>
        <v>15766.8738154892</v>
      </c>
      <c r="V422" s="31">
        <f t="shared" ref="V422" si="992">$L422*Q$463</f>
        <v>15308.89068860262</v>
      </c>
      <c r="W422" s="31">
        <f t="shared" ref="W422" si="993">IF(AND($L422&gt;9,$L422&gt;($K422*0.02)),S422,"")</f>
        <v>25987.595920757227</v>
      </c>
      <c r="X422" s="31">
        <f t="shared" ref="X422" si="994">IF(W422="","",IF(OR($L422&gt;6500,$L422&gt;($K422*0.15)),T422,""))</f>
        <v>5713.2587843978381</v>
      </c>
      <c r="Y422" s="31">
        <f t="shared" ref="Y422" si="995">IF(AND($L422&gt;9,$L422&gt;($K422*0.05)),U422,"")</f>
        <v>15766.8738154892</v>
      </c>
      <c r="Z422" s="31">
        <f t="shared" ref="Z422" si="996">IF(AND($L422&gt;9,$L422&gt;($K422*0.05)),V422,"")</f>
        <v>15308.89068860262</v>
      </c>
      <c r="AA422" s="31">
        <f t="shared" ref="AA422" si="997">IF(W422="","",W422+W$463)</f>
        <v>25987.595920757227</v>
      </c>
      <c r="AB422" s="31">
        <f t="shared" ref="AB422" si="998">IF(X422="","",X422+X$463)</f>
        <v>5732.5561225199217</v>
      </c>
      <c r="AC422" s="31">
        <f t="shared" ref="AC422" si="999">IF(Y422="","",Y422+Y$463)</f>
        <v>15766.8738154892</v>
      </c>
      <c r="AD422" s="31">
        <f t="shared" ref="AD422" si="1000">IF(Z422="","",Z422+Z$463)</f>
        <v>15308.89068860262</v>
      </c>
      <c r="AE422" s="31">
        <f t="shared" ref="AE422" si="1001">SUM(AA422:AD422)</f>
        <v>62795.916547368965</v>
      </c>
      <c r="AF422" s="31">
        <f>IFERROR(VLOOKUP(A422,'Allocations By Type'!$D$7:$F$491,3,FALSE),"")</f>
        <v>52211.54</v>
      </c>
      <c r="AG422" s="31">
        <f t="shared" ref="AG422" si="1002">IF(AE422&gt;AF422,AE422*0.04,"")</f>
        <v>2511.8366618947584</v>
      </c>
      <c r="AH422" s="31">
        <f t="shared" ref="AH422" si="1003">IF(AG422="","",IF((AE422-AF422)&gt;AG422,AG422,AE422-AF422))</f>
        <v>2511.8366618947584</v>
      </c>
      <c r="AI422" s="31">
        <f t="shared" ref="AI422" si="1004">IF(AH422="",AE422,AE422-AH422)</f>
        <v>60284.079885474202</v>
      </c>
      <c r="AJ422" s="31">
        <f>AI422/$AI$577*'State Admin 1004(b)'!$B$30*0.01</f>
        <v>573.69340328021235</v>
      </c>
      <c r="AK422" s="31">
        <f t="shared" ref="AK422" si="1005">AI422-AJ422</f>
        <v>59710.386482193993</v>
      </c>
      <c r="AL422" s="31">
        <f t="shared" ref="AL422" si="1006">AK422*0.01</f>
        <v>597.10386482193996</v>
      </c>
      <c r="AM422" s="31">
        <f t="shared" ref="AM422" si="1007">AK422-AL422</f>
        <v>59113.282617372053</v>
      </c>
      <c r="AP422" s="31"/>
      <c r="AQ422" s="4">
        <f t="shared" si="945"/>
        <v>1.1321880683345493</v>
      </c>
      <c r="AR422" s="4"/>
      <c r="AS422" s="4"/>
      <c r="AT422" s="4"/>
      <c r="AW422" s="31">
        <f t="shared" si="985"/>
        <v>58782.618080678825</v>
      </c>
      <c r="AX422" s="4">
        <f t="shared" si="986"/>
        <v>1.1258548987576085</v>
      </c>
      <c r="AZ422" s="174"/>
      <c r="BA422" s="31"/>
      <c r="BB422" s="31">
        <f t="shared" si="987"/>
        <v>58782.618080678825</v>
      </c>
      <c r="BD422" s="31">
        <f>IFERROR(VLOOKUP(A422,'Title II Hold Harmless'!A$1:B$439,2, FALSE),"")</f>
        <v>2592</v>
      </c>
      <c r="BE422" s="31">
        <f t="shared" si="968"/>
        <v>3462.954191013529</v>
      </c>
      <c r="BF422" s="31">
        <f t="shared" si="969"/>
        <v>3466.3048058368877</v>
      </c>
      <c r="BG422" s="31"/>
      <c r="BH422" s="31">
        <f t="shared" si="957"/>
        <v>3466.3048058368877</v>
      </c>
    </row>
    <row r="423" spans="1:60" x14ac:dyDescent="0.3">
      <c r="A423" s="1">
        <v>108794000</v>
      </c>
      <c r="B423">
        <f>VLOOKUP(C423,'NCES ID'!$A$2:$B$3136,2,FALSE)</f>
        <v>400619</v>
      </c>
      <c r="C423">
        <f>VLOOKUP(A423,'State ID'!$A$2:$B$713,2,FALSE)</f>
        <v>80995</v>
      </c>
      <c r="D423" s="147" t="s">
        <v>25</v>
      </c>
      <c r="E423" t="s">
        <v>9</v>
      </c>
      <c r="I423" s="47">
        <f>VLOOKUP($C423,'Final SEA Counts'!$A$2:$F$709,5,FALSE)</f>
        <v>344</v>
      </c>
      <c r="J423" s="47">
        <f>VLOOKUP($C423,'Final SEA Counts'!$A$2:$F$709,6,FALSE)</f>
        <v>344</v>
      </c>
      <c r="K423" s="24">
        <f t="shared" si="988"/>
        <v>344</v>
      </c>
      <c r="L423" s="24">
        <f t="shared" si="970"/>
        <v>188.67228783098273</v>
      </c>
      <c r="M423" s="4">
        <f t="shared" si="971"/>
        <v>0.54846595299704282</v>
      </c>
      <c r="N423" s="31" t="str">
        <f>IFERROR(VLOOKUP($B423,#REF!,8,FALSE),"")</f>
        <v/>
      </c>
      <c r="O423" s="31" t="str">
        <f>IFERROR(VLOOKUP($B423,#REF!,9,FALSE),"")</f>
        <v/>
      </c>
      <c r="P423" s="31" t="str">
        <f>IFERROR(VLOOKUP($B423,#REF!,10,FALSE),"")</f>
        <v/>
      </c>
      <c r="Q423" s="31" t="str">
        <f>IFERROR(VLOOKUP($B423,#REF!,11,FALSE),"")</f>
        <v/>
      </c>
      <c r="R423" s="31" t="str">
        <f>IFERROR(VLOOKUP($B423,#REF!,12,FALSE),"")</f>
        <v/>
      </c>
      <c r="S423" s="31">
        <f t="shared" ref="S423:S435" si="1008">$L423*N$463</f>
        <v>90300.333300408951</v>
      </c>
      <c r="T423" s="31">
        <f t="shared" ref="T423:T435" si="1009">$L423*O$463</f>
        <v>19852.131533665215</v>
      </c>
      <c r="U423" s="31">
        <f t="shared" ref="U423:U435" si="1010">$L423*P$463</f>
        <v>54785.904975033176</v>
      </c>
      <c r="V423" s="31">
        <f t="shared" ref="V423:V435" si="1011">$L423*Q$463</f>
        <v>53194.529261407079</v>
      </c>
      <c r="W423" s="31">
        <f t="shared" si="973"/>
        <v>90300.333300408951</v>
      </c>
      <c r="X423" s="31">
        <f t="shared" si="974"/>
        <v>19852.131533665215</v>
      </c>
      <c r="Y423" s="31">
        <f t="shared" si="975"/>
        <v>54785.904975033176</v>
      </c>
      <c r="Z423" s="31">
        <f t="shared" si="976"/>
        <v>53194.529261407079</v>
      </c>
      <c r="AA423" s="31">
        <f t="shared" ref="AA423:AA443" si="1012">IF(W423="","",W423+W$463)</f>
        <v>90300.333300408951</v>
      </c>
      <c r="AB423" s="31">
        <f t="shared" ref="AB423:AB443" si="1013">IF(X423="","",X423+X$463)</f>
        <v>19871.428871787299</v>
      </c>
      <c r="AC423" s="31">
        <f t="shared" ref="AC423:AC443" si="1014">IF(Y423="","",Y423+Y$463)</f>
        <v>54785.904975033176</v>
      </c>
      <c r="AD423" s="31">
        <f t="shared" ref="AD423:AD443" si="1015">IF(Z423="","",Z423+Z$463)</f>
        <v>53194.529261407079</v>
      </c>
      <c r="AE423" s="31">
        <f t="shared" si="978"/>
        <v>218152.19640863652</v>
      </c>
      <c r="AF423" s="31">
        <f>IFERROR(VLOOKUP(A423,'Allocations By Type'!$D$7:$F$491,3,FALSE),"")</f>
        <v>173925.15</v>
      </c>
      <c r="AG423" s="31">
        <f t="shared" si="979"/>
        <v>8726.0878563454608</v>
      </c>
      <c r="AH423" s="31">
        <f t="shared" si="980"/>
        <v>8726.0878563454608</v>
      </c>
      <c r="AI423" s="31">
        <f t="shared" si="981"/>
        <v>209426.10855229106</v>
      </c>
      <c r="AJ423" s="31">
        <f>AI423/$AI$577*'State Admin 1004(b)'!$B$30*0.01</f>
        <v>1993.0034128304746</v>
      </c>
      <c r="AK423" s="31">
        <f t="shared" si="982"/>
        <v>207433.10513946059</v>
      </c>
      <c r="AL423" s="31">
        <f t="shared" si="983"/>
        <v>2074.3310513946058</v>
      </c>
      <c r="AM423" s="31">
        <f t="shared" si="984"/>
        <v>205358.77408806598</v>
      </c>
      <c r="AP423" s="31"/>
      <c r="AQ423" s="4">
        <f t="shared" si="945"/>
        <v>1.1807307573865309</v>
      </c>
      <c r="AW423" s="31">
        <f t="shared" si="985"/>
        <v>204210.0497932361</v>
      </c>
      <c r="AX423" s="4">
        <f t="shared" si="986"/>
        <v>1.1741260524612807</v>
      </c>
      <c r="AZ423" s="174" t="str">
        <f>IFERROR(IF(VLOOKUP(A423,#REF!,11,FALSE)=0,"",VLOOKUP(A423,#REF!,11,FALSE)),"")</f>
        <v/>
      </c>
      <c r="BA423" s="31" t="str">
        <f t="shared" si="953"/>
        <v/>
      </c>
      <c r="BB423" s="31">
        <f t="shared" si="987"/>
        <v>204210.0497932361</v>
      </c>
      <c r="BD423" s="31" t="str">
        <f>IFERROR(VLOOKUP(A423,'Title II Hold Harmless'!A$1:B$439,2, FALSE),"")</f>
        <v/>
      </c>
      <c r="BE423" s="31">
        <f t="shared" si="968"/>
        <v>2746.6983069710886</v>
      </c>
      <c r="BF423" s="31">
        <f t="shared" si="969"/>
        <v>2749.3559014857706</v>
      </c>
      <c r="BG423" s="31" t="str">
        <f t="shared" si="956"/>
        <v/>
      </c>
      <c r="BH423" s="31">
        <f t="shared" si="957"/>
        <v>2749.3559014857706</v>
      </c>
    </row>
    <row r="424" spans="1:60" x14ac:dyDescent="0.3">
      <c r="A424" s="1">
        <v>108785000</v>
      </c>
      <c r="B424">
        <f>VLOOKUP(C424,'NCES ID'!$A$2:$B$3136,2,FALSE)</f>
        <v>400318</v>
      </c>
      <c r="C424">
        <f>VLOOKUP(A424,'State ID'!$A$2:$B$713,2,FALSE)</f>
        <v>79426</v>
      </c>
      <c r="D424" s="147" t="s">
        <v>40</v>
      </c>
      <c r="E424" t="s">
        <v>9</v>
      </c>
      <c r="I424" s="47">
        <f>VLOOKUP($C424,'Final SEA Counts'!$A$2:$F$709,5,FALSE)</f>
        <v>203</v>
      </c>
      <c r="J424" s="47">
        <f>VLOOKUP($C424,'Final SEA Counts'!$A$2:$F$709,6,FALSE)</f>
        <v>203</v>
      </c>
      <c r="K424" s="24">
        <f t="shared" si="988"/>
        <v>203</v>
      </c>
      <c r="L424" s="24">
        <f t="shared" si="970"/>
        <v>111.3385884583997</v>
      </c>
      <c r="M424" s="4">
        <f t="shared" si="971"/>
        <v>0.54846595299704282</v>
      </c>
      <c r="N424" s="31" t="str">
        <f>IFERROR(VLOOKUP($B424,#REF!,8,FALSE),"")</f>
        <v/>
      </c>
      <c r="O424" s="31" t="str">
        <f>IFERROR(VLOOKUP($B424,#REF!,9,FALSE),"")</f>
        <v/>
      </c>
      <c r="P424" s="31" t="str">
        <f>IFERROR(VLOOKUP($B424,#REF!,10,FALSE),"")</f>
        <v/>
      </c>
      <c r="Q424" s="31" t="str">
        <f>IFERROR(VLOOKUP($B424,#REF!,11,FALSE),"")</f>
        <v/>
      </c>
      <c r="R424" s="31" t="str">
        <f>IFERROR(VLOOKUP($B424,#REF!,12,FALSE),"")</f>
        <v/>
      </c>
      <c r="S424" s="31">
        <f t="shared" si="1008"/>
        <v>53287.696685997144</v>
      </c>
      <c r="T424" s="31">
        <f t="shared" si="1009"/>
        <v>11715.065992250113</v>
      </c>
      <c r="U424" s="31">
        <f t="shared" si="1010"/>
        <v>32330.054389336441</v>
      </c>
      <c r="V424" s="31">
        <f t="shared" si="1011"/>
        <v>31390.957674609414</v>
      </c>
      <c r="W424" s="31">
        <f t="shared" si="973"/>
        <v>53287.696685997144</v>
      </c>
      <c r="X424" s="31">
        <f t="shared" si="974"/>
        <v>11715.065992250113</v>
      </c>
      <c r="Y424" s="31">
        <f t="shared" si="975"/>
        <v>32330.054389336441</v>
      </c>
      <c r="Z424" s="31">
        <f t="shared" si="976"/>
        <v>31390.957674609414</v>
      </c>
      <c r="AA424" s="31">
        <f t="shared" si="1012"/>
        <v>53287.696685997144</v>
      </c>
      <c r="AB424" s="31">
        <f t="shared" si="1013"/>
        <v>11734.363330372196</v>
      </c>
      <c r="AC424" s="31">
        <f t="shared" si="1014"/>
        <v>32330.054389336441</v>
      </c>
      <c r="AD424" s="31">
        <f t="shared" si="1015"/>
        <v>31390.957674609414</v>
      </c>
      <c r="AE424" s="31">
        <f t="shared" si="978"/>
        <v>128743.07208031519</v>
      </c>
      <c r="AF424" s="31">
        <f>IFERROR(VLOOKUP(A424,'Allocations By Type'!$D$7:$F$491,3,FALSE),"")</f>
        <v>122370.79</v>
      </c>
      <c r="AG424" s="31">
        <f t="shared" si="979"/>
        <v>5149.7228832126075</v>
      </c>
      <c r="AH424" s="31">
        <f t="shared" si="980"/>
        <v>5149.7228832126075</v>
      </c>
      <c r="AI424" s="31">
        <f t="shared" si="981"/>
        <v>123593.34919710258</v>
      </c>
      <c r="AJ424" s="31">
        <f>AI424/$AI$577*'State Admin 1004(b)'!$B$30*0.01</f>
        <v>1176.1760195790991</v>
      </c>
      <c r="AK424" s="31">
        <f t="shared" si="982"/>
        <v>122417.17317752348</v>
      </c>
      <c r="AL424" s="31">
        <f t="shared" si="983"/>
        <v>1224.1717317752348</v>
      </c>
      <c r="AM424" s="31">
        <f t="shared" si="984"/>
        <v>121193.00144574825</v>
      </c>
      <c r="AP424" s="31"/>
      <c r="AQ424" s="4">
        <f t="shared" si="945"/>
        <v>0.99037524760400952</v>
      </c>
      <c r="AW424" s="31">
        <f t="shared" si="985"/>
        <v>120515.07888927456</v>
      </c>
      <c r="AX424" s="4">
        <f t="shared" si="986"/>
        <v>0.98483534256234329</v>
      </c>
      <c r="AZ424" s="174" t="str">
        <f>IFERROR(IF(VLOOKUP(A424,#REF!,11,FALSE)=0,"",VLOOKUP(A424,#REF!,11,FALSE)),"")</f>
        <v/>
      </c>
      <c r="BA424" s="31" t="str">
        <f t="shared" si="953"/>
        <v/>
      </c>
      <c r="BB424" s="31">
        <f t="shared" si="987"/>
        <v>120515.07888927456</v>
      </c>
      <c r="BD424" s="31">
        <f>IFERROR(VLOOKUP(A424,'Title II Hold Harmless'!A$1:B$439,2, FALSE),"")</f>
        <v>10135</v>
      </c>
      <c r="BE424" s="31">
        <f t="shared" si="968"/>
        <v>11755.871384637008</v>
      </c>
      <c r="BF424" s="31">
        <f t="shared" si="969"/>
        <v>11767.245891705303</v>
      </c>
      <c r="BG424" s="31" t="str">
        <f t="shared" si="956"/>
        <v/>
      </c>
      <c r="BH424" s="31">
        <f t="shared" si="957"/>
        <v>11767.245891705303</v>
      </c>
    </row>
    <row r="425" spans="1:60" x14ac:dyDescent="0.3">
      <c r="A425" s="1">
        <v>108709000</v>
      </c>
      <c r="B425">
        <f>VLOOKUP(C425,'NCES ID'!$A$2:$B$3136,2,FALSE)</f>
        <v>400361</v>
      </c>
      <c r="C425">
        <f>VLOOKUP(A425,'State ID'!$A$2:$B$713,2,FALSE)</f>
        <v>79947</v>
      </c>
      <c r="D425" s="147" t="s">
        <v>46</v>
      </c>
      <c r="E425" t="s">
        <v>9</v>
      </c>
      <c r="I425" s="47">
        <f>VLOOKUP($C425,'Final SEA Counts'!$A$2:$F$709,5,FALSE)</f>
        <v>2031</v>
      </c>
      <c r="J425" s="47">
        <f>VLOOKUP($C425,'Final SEA Counts'!$A$2:$F$709,6,FALSE)</f>
        <v>1598</v>
      </c>
      <c r="K425" s="24">
        <f t="shared" si="988"/>
        <v>2031</v>
      </c>
      <c r="L425" s="24">
        <f t="shared" si="970"/>
        <v>876.44859288927444</v>
      </c>
      <c r="M425" s="4">
        <f t="shared" si="971"/>
        <v>0.43153549625272003</v>
      </c>
      <c r="N425" s="31" t="str">
        <f>IFERROR(VLOOKUP($B425,#REF!,8,FALSE),"")</f>
        <v/>
      </c>
      <c r="O425" s="31" t="str">
        <f>IFERROR(VLOOKUP($B425,#REF!,9,FALSE),"")</f>
        <v/>
      </c>
      <c r="P425" s="31" t="str">
        <f>IFERROR(VLOOKUP($B425,#REF!,10,FALSE),"")</f>
        <v/>
      </c>
      <c r="Q425" s="31" t="str">
        <f>IFERROR(VLOOKUP($B425,#REF!,11,FALSE),"")</f>
        <v/>
      </c>
      <c r="R425" s="31" t="str">
        <f>IFERROR(VLOOKUP($B425,#REF!,12,FALSE),"")</f>
        <v/>
      </c>
      <c r="S425" s="31">
        <f t="shared" si="1008"/>
        <v>419476.54829666717</v>
      </c>
      <c r="T425" s="31">
        <f t="shared" si="1009"/>
        <v>92220.076136037824</v>
      </c>
      <c r="U425" s="31">
        <f t="shared" si="1010"/>
        <v>254499.63997122971</v>
      </c>
      <c r="V425" s="31">
        <f t="shared" si="1011"/>
        <v>247107.14465037358</v>
      </c>
      <c r="W425" s="31">
        <f t="shared" si="973"/>
        <v>419476.54829666717</v>
      </c>
      <c r="X425" s="31">
        <f t="shared" si="974"/>
        <v>92220.076136037824</v>
      </c>
      <c r="Y425" s="31">
        <f t="shared" si="975"/>
        <v>254499.63997122971</v>
      </c>
      <c r="Z425" s="31">
        <f t="shared" si="976"/>
        <v>247107.14465037358</v>
      </c>
      <c r="AA425" s="31">
        <f t="shared" si="1012"/>
        <v>419476.54829666717</v>
      </c>
      <c r="AB425" s="31">
        <f t="shared" si="1013"/>
        <v>92239.373474159904</v>
      </c>
      <c r="AC425" s="31">
        <f t="shared" si="1014"/>
        <v>254499.63997122971</v>
      </c>
      <c r="AD425" s="31">
        <f t="shared" si="1015"/>
        <v>247107.14465037358</v>
      </c>
      <c r="AE425" s="31">
        <f t="shared" si="978"/>
        <v>1013322.7063924305</v>
      </c>
      <c r="AF425" s="31">
        <f>IFERROR(VLOOKUP(A425,'Allocations By Type'!$D$7:$F$491,3,FALSE),"")</f>
        <v>796225.95</v>
      </c>
      <c r="AG425" s="31">
        <f t="shared" si="979"/>
        <v>40532.908255697221</v>
      </c>
      <c r="AH425" s="31">
        <f t="shared" si="980"/>
        <v>40532.908255697221</v>
      </c>
      <c r="AI425" s="31">
        <f t="shared" si="981"/>
        <v>972789.79813673324</v>
      </c>
      <c r="AJ425" s="31">
        <f>AI425/$AI$577*'State Admin 1004(b)'!$B$30*0.01</f>
        <v>9257.5534208958979</v>
      </c>
      <c r="AK425" s="31">
        <f t="shared" si="982"/>
        <v>963532.2447158373</v>
      </c>
      <c r="AL425" s="31">
        <f t="shared" si="983"/>
        <v>9635.3224471583726</v>
      </c>
      <c r="AM425" s="31">
        <f t="shared" si="984"/>
        <v>953896.9222686789</v>
      </c>
      <c r="AP425" s="31"/>
      <c r="AQ425" s="4">
        <f t="shared" si="945"/>
        <v>1.1980229007465519</v>
      </c>
      <c r="AW425" s="31">
        <f t="shared" si="985"/>
        <v>948561.06761995773</v>
      </c>
      <c r="AX425" s="4">
        <f t="shared" si="986"/>
        <v>1.1913214680078661</v>
      </c>
      <c r="AZ425" s="174" t="str">
        <f>IFERROR(IF(VLOOKUP(A425,#REF!,11,FALSE)=0,"",VLOOKUP(A425,#REF!,11,FALSE)),"")</f>
        <v/>
      </c>
      <c r="BA425" s="31" t="str">
        <f t="shared" si="953"/>
        <v/>
      </c>
      <c r="BB425" s="31">
        <f t="shared" si="987"/>
        <v>948561.06761995773</v>
      </c>
      <c r="BD425" s="31" t="str">
        <f>IFERROR(VLOOKUP(A425,'Title II Hold Harmless'!A$1:B$439,2, FALSE),"")</f>
        <v/>
      </c>
      <c r="BE425" s="31">
        <f t="shared" si="968"/>
        <v>13107.850052002836</v>
      </c>
      <c r="BF425" s="31">
        <f t="shared" si="969"/>
        <v>13120.532679107917</v>
      </c>
      <c r="BG425" s="31" t="str">
        <f t="shared" si="956"/>
        <v/>
      </c>
      <c r="BH425" s="31">
        <f t="shared" si="957"/>
        <v>13120.532679107917</v>
      </c>
    </row>
    <row r="426" spans="1:60" s="47" customFormat="1" x14ac:dyDescent="0.3">
      <c r="A426" s="1">
        <v>108720000</v>
      </c>
      <c r="B426" s="47">
        <f>VLOOKUP(C426,'NCES ID'!$A$2:$B$3136,2,FALSE)</f>
        <v>400407</v>
      </c>
      <c r="C426" s="47">
        <v>85448</v>
      </c>
      <c r="D426" s="192" t="s">
        <v>1272</v>
      </c>
      <c r="E426" s="47" t="s">
        <v>9</v>
      </c>
      <c r="H426" s="4"/>
      <c r="I426" s="47">
        <f>VLOOKUP($C426,'AzEDS FY17 12-15-16'!$A$2:$D$713,3,FALSE)</f>
        <v>319</v>
      </c>
      <c r="J426" s="47">
        <f>VLOOKUP($C426,'AzEDS FY17 12-15-16'!$A$2:$D$713,4,FALSE)</f>
        <v>118</v>
      </c>
      <c r="K426" s="24">
        <f t="shared" si="988"/>
        <v>319</v>
      </c>
      <c r="L426" s="24">
        <f t="shared" si="970"/>
        <v>64.718982453651051</v>
      </c>
      <c r="M426" s="4">
        <f t="shared" si="971"/>
        <v>0.20288082273871802</v>
      </c>
      <c r="N426" s="31"/>
      <c r="O426" s="31"/>
      <c r="P426" s="31"/>
      <c r="Q426" s="31"/>
      <c r="R426" s="31"/>
      <c r="S426" s="31">
        <f t="shared" si="1008"/>
        <v>30975.114329791442</v>
      </c>
      <c r="T426" s="31">
        <f t="shared" si="1009"/>
        <v>6809.742793524696</v>
      </c>
      <c r="U426" s="31">
        <f t="shared" si="1010"/>
        <v>18792.839497249752</v>
      </c>
      <c r="V426" s="31">
        <f t="shared" si="1011"/>
        <v>18246.960618738474</v>
      </c>
      <c r="W426" s="31">
        <f t="shared" ref="W426" si="1016">IF(AND($L426&gt;9,$L426&gt;($K426*0.02)),S426,"")</f>
        <v>30975.114329791442</v>
      </c>
      <c r="X426" s="31">
        <f t="shared" ref="X426" si="1017">IF(W426="","",IF(OR($L426&gt;6500,$L426&gt;($K426*0.15)),T426,""))</f>
        <v>6809.742793524696</v>
      </c>
      <c r="Y426" s="31">
        <f t="shared" ref="Y426" si="1018">IF(AND($L426&gt;9,$L426&gt;($K426*0.05)),U426,"")</f>
        <v>18792.839497249752</v>
      </c>
      <c r="Z426" s="31">
        <f t="shared" ref="Z426" si="1019">IF(AND($L426&gt;9,$L426&gt;($K426*0.05)),V426,"")</f>
        <v>18246.960618738474</v>
      </c>
      <c r="AA426" s="31">
        <f t="shared" si="1012"/>
        <v>30975.114329791442</v>
      </c>
      <c r="AB426" s="31">
        <f t="shared" si="1013"/>
        <v>6829.0401316467796</v>
      </c>
      <c r="AC426" s="31">
        <f t="shared" si="1014"/>
        <v>18792.839497249752</v>
      </c>
      <c r="AD426" s="31">
        <f t="shared" si="1015"/>
        <v>18246.960618738474</v>
      </c>
      <c r="AE426" s="31">
        <f t="shared" ref="AE426" si="1020">SUM(AA426:AD426)</f>
        <v>74843.954577426455</v>
      </c>
      <c r="AF426" s="31">
        <f>IFERROR(VLOOKUP(A426,'Allocations By Type'!$D$7:$F$491,3,FALSE),"")</f>
        <v>45141.23</v>
      </c>
      <c r="AG426" s="31">
        <f t="shared" ref="AG426" si="1021">IF(AE426&gt;AF426,AE426*0.04,"")</f>
        <v>2993.7581830970585</v>
      </c>
      <c r="AH426" s="31">
        <f t="shared" ref="AH426" si="1022">IF(AG426="","",IF((AE426-AF426)&gt;AG426,AG426,AE426-AF426))</f>
        <v>2993.7581830970585</v>
      </c>
      <c r="AI426" s="31">
        <f t="shared" ref="AI426" si="1023">IF(AH426="",AE426,AE426-AH426)</f>
        <v>71850.196394329396</v>
      </c>
      <c r="AJ426" s="31">
        <f>AI426/$AI$577*'State Admin 1004(b)'!$B$30*0.01</f>
        <v>683.76234279635526</v>
      </c>
      <c r="AK426" s="31">
        <f t="shared" ref="AK426" si="1024">AI426-AJ426</f>
        <v>71166.43405153304</v>
      </c>
      <c r="AL426" s="31">
        <f t="shared" ref="AL426" si="1025">AK426*0.01</f>
        <v>711.66434051533042</v>
      </c>
      <c r="AM426" s="31">
        <f t="shared" ref="AM426" si="1026">AK426-AL426</f>
        <v>70454.769711017711</v>
      </c>
      <c r="AP426" s="31"/>
      <c r="AQ426" s="4">
        <f t="shared" si="945"/>
        <v>1.5607631806004778</v>
      </c>
      <c r="AR426" s="4"/>
      <c r="AS426" s="4"/>
      <c r="AT426" s="4"/>
      <c r="AW426" s="31">
        <f t="shared" si="985"/>
        <v>70060.663805326127</v>
      </c>
      <c r="AX426" s="4">
        <f t="shared" si="986"/>
        <v>1.5520326718019453</v>
      </c>
      <c r="AZ426" s="174"/>
      <c r="BA426" s="31"/>
      <c r="BB426" s="31">
        <f t="shared" si="987"/>
        <v>70060.663805326127</v>
      </c>
      <c r="BD426" s="31" t="str">
        <f>IFERROR(VLOOKUP(A426,'Title II Hold Harmless'!A$1:B$439,2, FALSE),"")</f>
        <v/>
      </c>
      <c r="BE426" s="31">
        <f t="shared" si="968"/>
        <v>1103.9461335837384</v>
      </c>
      <c r="BF426" s="31">
        <f t="shared" si="969"/>
        <v>1105.01426734334</v>
      </c>
      <c r="BG426" s="31"/>
      <c r="BH426" s="31">
        <f t="shared" si="957"/>
        <v>1105.01426734334</v>
      </c>
    </row>
    <row r="427" spans="1:60" x14ac:dyDescent="0.3">
      <c r="A427" s="1">
        <v>108909000</v>
      </c>
      <c r="B427">
        <f>VLOOKUP(C427,'NCES ID'!$A$2:$B$3136,2,FALSE)</f>
        <v>400862</v>
      </c>
      <c r="C427">
        <f>VLOOKUP(A427,'State ID'!$A$2:$B$713,2,FALSE)</f>
        <v>91773</v>
      </c>
      <c r="D427" s="147" t="s">
        <v>109</v>
      </c>
      <c r="E427" t="s">
        <v>9</v>
      </c>
      <c r="I427" s="47">
        <f>VLOOKUP($C427,'Final SEA Counts'!$A$2:$F$709,5,FALSE)</f>
        <v>97</v>
      </c>
      <c r="J427" s="47">
        <f>VLOOKUP($C427,'Final SEA Counts'!$A$2:$F$709,6,FALSE)</f>
        <v>76</v>
      </c>
      <c r="K427" s="24">
        <f t="shared" si="988"/>
        <v>97</v>
      </c>
      <c r="L427" s="24">
        <f t="shared" si="970"/>
        <v>41.683412427775252</v>
      </c>
      <c r="M427" s="4">
        <f t="shared" si="971"/>
        <v>0.42972590131727062</v>
      </c>
      <c r="N427" s="31" t="str">
        <f>IFERROR(VLOOKUP($B427,#REF!,8,FALSE),"")</f>
        <v/>
      </c>
      <c r="O427" s="31" t="str">
        <f>IFERROR(VLOOKUP($B427,#REF!,9,FALSE),"")</f>
        <v/>
      </c>
      <c r="P427" s="31" t="str">
        <f>IFERROR(VLOOKUP($B427,#REF!,10,FALSE),"")</f>
        <v/>
      </c>
      <c r="Q427" s="31" t="str">
        <f>IFERROR(VLOOKUP($B427,#REF!,11,FALSE),"")</f>
        <v/>
      </c>
      <c r="R427" s="31" t="str">
        <f>IFERROR(VLOOKUP($B427,#REF!,12,FALSE),"")</f>
        <v/>
      </c>
      <c r="S427" s="31">
        <f t="shared" si="1008"/>
        <v>19950.073636136862</v>
      </c>
      <c r="T427" s="31">
        <f t="shared" si="1009"/>
        <v>4385.9360365074308</v>
      </c>
      <c r="U427" s="31">
        <f t="shared" si="1010"/>
        <v>12103.862727042213</v>
      </c>
      <c r="V427" s="31">
        <f t="shared" si="1011"/>
        <v>11752.279720543424</v>
      </c>
      <c r="W427" s="31">
        <f t="shared" si="973"/>
        <v>19950.073636136862</v>
      </c>
      <c r="X427" s="31">
        <f t="shared" si="974"/>
        <v>4385.9360365074308</v>
      </c>
      <c r="Y427" s="31">
        <f t="shared" si="975"/>
        <v>12103.862727042213</v>
      </c>
      <c r="Z427" s="31">
        <f t="shared" si="976"/>
        <v>11752.279720543424</v>
      </c>
      <c r="AA427" s="31">
        <f t="shared" si="1012"/>
        <v>19950.073636136862</v>
      </c>
      <c r="AB427" s="31">
        <f t="shared" si="1013"/>
        <v>4405.2333746295144</v>
      </c>
      <c r="AC427" s="31">
        <f t="shared" si="1014"/>
        <v>12103.862727042213</v>
      </c>
      <c r="AD427" s="31">
        <f t="shared" si="1015"/>
        <v>11752.279720543424</v>
      </c>
      <c r="AE427" s="31">
        <f t="shared" si="978"/>
        <v>48211.449458352014</v>
      </c>
      <c r="AF427" s="31">
        <f>IFERROR(VLOOKUP(A427,'Allocations By Type'!$D$7:$F$491,3,FALSE),"")</f>
        <v>39657.199999999997</v>
      </c>
      <c r="AG427" s="31">
        <f t="shared" si="979"/>
        <v>1928.4579783340805</v>
      </c>
      <c r="AH427" s="31">
        <f t="shared" si="980"/>
        <v>1928.4579783340805</v>
      </c>
      <c r="AI427" s="31">
        <f t="shared" si="981"/>
        <v>46282.991480017932</v>
      </c>
      <c r="AJ427" s="31">
        <f>AI427/$AI$577*'State Admin 1004(b)'!$B$30*0.01</f>
        <v>440.45205544488169</v>
      </c>
      <c r="AK427" s="31">
        <f t="shared" si="982"/>
        <v>45842.539424573049</v>
      </c>
      <c r="AL427" s="31">
        <f t="shared" si="983"/>
        <v>458.4253942457305</v>
      </c>
      <c r="AM427" s="31">
        <f t="shared" si="984"/>
        <v>45384.114030327321</v>
      </c>
      <c r="AP427" s="31"/>
      <c r="AQ427" s="4">
        <f t="shared" si="945"/>
        <v>1.1444104483001152</v>
      </c>
      <c r="AW427" s="31">
        <f t="shared" si="985"/>
        <v>45130.246940316305</v>
      </c>
      <c r="AX427" s="4">
        <f t="shared" si="986"/>
        <v>1.1380089098654547</v>
      </c>
      <c r="AZ427" s="174" t="str">
        <f>IFERROR(IF(VLOOKUP(A427,#REF!,11,FALSE)=0,"",VLOOKUP(A427,#REF!,11,FALSE)),"")</f>
        <v/>
      </c>
      <c r="BA427" s="31" t="str">
        <f t="shared" si="953"/>
        <v/>
      </c>
      <c r="BB427" s="31">
        <f t="shared" si="987"/>
        <v>45130.246940316305</v>
      </c>
      <c r="BD427" s="31" t="str">
        <f>IFERROR(VLOOKUP(A427,'Title II Hold Harmless'!A$1:B$439,2, FALSE),"")</f>
        <v/>
      </c>
      <c r="BE427" s="31">
        <f t="shared" si="968"/>
        <v>623.72948920549743</v>
      </c>
      <c r="BF427" s="31">
        <f t="shared" si="969"/>
        <v>624.33298470587727</v>
      </c>
      <c r="BG427" s="31" t="str">
        <f t="shared" si="956"/>
        <v/>
      </c>
      <c r="BH427" s="31">
        <f t="shared" si="957"/>
        <v>624.33298470587727</v>
      </c>
    </row>
    <row r="428" spans="1:60" x14ac:dyDescent="0.3">
      <c r="A428" s="1">
        <v>108505000</v>
      </c>
      <c r="B428">
        <f>VLOOKUP(C428,'NCES ID'!$A$2:$B$3136,2,FALSE)</f>
        <v>400814</v>
      </c>
      <c r="C428">
        <f>VLOOKUP(A428,'State ID'!$A$2:$B$713,2,FALSE)</f>
        <v>90331</v>
      </c>
      <c r="D428" s="147" t="s">
        <v>119</v>
      </c>
      <c r="E428" t="s">
        <v>9</v>
      </c>
      <c r="I428" s="47">
        <f>VLOOKUP($C428,'Final SEA Counts'!$A$2:$F$709,5,FALSE)</f>
        <v>43</v>
      </c>
      <c r="J428" s="47">
        <f>VLOOKUP($C428,'Final SEA Counts'!$A$2:$F$709,6,FALSE)</f>
        <v>41</v>
      </c>
      <c r="K428" s="24">
        <f t="shared" si="988"/>
        <v>43</v>
      </c>
      <c r="L428" s="24">
        <f t="shared" si="970"/>
        <v>22.487104072878754</v>
      </c>
      <c r="M428" s="4">
        <f t="shared" si="971"/>
        <v>0.52295590867159891</v>
      </c>
      <c r="N428" s="31" t="str">
        <f>IFERROR(VLOOKUP($B428,#REF!,8,FALSE),"")</f>
        <v/>
      </c>
      <c r="O428" s="31" t="str">
        <f>IFERROR(VLOOKUP($B428,#REF!,9,FALSE),"")</f>
        <v/>
      </c>
      <c r="P428" s="31" t="str">
        <f>IFERROR(VLOOKUP($B428,#REF!,10,FALSE),"")</f>
        <v/>
      </c>
      <c r="Q428" s="31" t="str">
        <f>IFERROR(VLOOKUP($B428,#REF!,11,FALSE),"")</f>
        <v/>
      </c>
      <c r="R428" s="31" t="str">
        <f>IFERROR(VLOOKUP($B428,#REF!,12,FALSE),"")</f>
        <v/>
      </c>
      <c r="S428" s="31">
        <f t="shared" si="1008"/>
        <v>10762.539724758042</v>
      </c>
      <c r="T428" s="31">
        <f t="shared" si="1009"/>
        <v>2366.0970723263772</v>
      </c>
      <c r="U428" s="31">
        <f t="shared" si="1010"/>
        <v>6529.7154185359304</v>
      </c>
      <c r="V428" s="31">
        <f t="shared" si="1011"/>
        <v>6340.0456387142158</v>
      </c>
      <c r="W428" s="31">
        <f t="shared" si="973"/>
        <v>10762.539724758042</v>
      </c>
      <c r="X428" s="31">
        <f t="shared" si="974"/>
        <v>2366.0970723263772</v>
      </c>
      <c r="Y428" s="31">
        <f t="shared" si="975"/>
        <v>6529.7154185359304</v>
      </c>
      <c r="Z428" s="31">
        <f t="shared" si="976"/>
        <v>6340.0456387142158</v>
      </c>
      <c r="AA428" s="31">
        <f t="shared" si="1012"/>
        <v>10762.539724758042</v>
      </c>
      <c r="AB428" s="31">
        <f t="shared" si="1013"/>
        <v>2385.3944104484608</v>
      </c>
      <c r="AC428" s="31">
        <f t="shared" si="1014"/>
        <v>6529.7154185359304</v>
      </c>
      <c r="AD428" s="31">
        <f t="shared" si="1015"/>
        <v>6340.0456387142158</v>
      </c>
      <c r="AE428" s="31">
        <f t="shared" si="978"/>
        <v>26017.695192456649</v>
      </c>
      <c r="AF428" s="31">
        <f>IFERROR(VLOOKUP(A428,'Allocations By Type'!$D$7:$F$491,3,FALSE),"")</f>
        <v>30456.73</v>
      </c>
      <c r="AG428" s="31" t="str">
        <f t="shared" si="979"/>
        <v/>
      </c>
      <c r="AH428" s="31" t="str">
        <f t="shared" si="980"/>
        <v/>
      </c>
      <c r="AI428" s="31">
        <f t="shared" si="981"/>
        <v>26017.695192456649</v>
      </c>
      <c r="AJ428" s="31">
        <f>AI428/$AI$577*'State Admin 1004(b)'!$B$30*0.01</f>
        <v>247.59737776248659</v>
      </c>
      <c r="AK428" s="31">
        <f t="shared" si="982"/>
        <v>25770.097814694163</v>
      </c>
      <c r="AL428" s="31">
        <f t="shared" si="983"/>
        <v>257.70097814694162</v>
      </c>
      <c r="AM428" s="31">
        <f t="shared" si="984"/>
        <v>25512.396836547221</v>
      </c>
      <c r="AP428" s="31"/>
      <c r="AQ428" s="4">
        <f t="shared" si="945"/>
        <v>0.83766040663417318</v>
      </c>
      <c r="AW428" s="31">
        <f t="shared" si="985"/>
        <v>25369.687034175131</v>
      </c>
      <c r="AX428" s="4">
        <f t="shared" si="986"/>
        <v>0.83297474923194748</v>
      </c>
      <c r="AZ428" s="174" t="str">
        <f>IFERROR(IF(VLOOKUP(A428,#REF!,11,FALSE)=0,"",VLOOKUP(A428,#REF!,11,FALSE)),"")</f>
        <v/>
      </c>
      <c r="BA428" s="31" t="str">
        <f t="shared" si="953"/>
        <v/>
      </c>
      <c r="BB428" s="31">
        <f t="shared" si="987"/>
        <v>25369.687034175131</v>
      </c>
      <c r="BD428" s="31" t="str">
        <f>IFERROR(VLOOKUP(A428,'Title II Hold Harmless'!A$1:B$439,2, FALSE),"")</f>
        <v/>
      </c>
      <c r="BE428" s="31">
        <f t="shared" si="968"/>
        <v>328.9777115470493</v>
      </c>
      <c r="BF428" s="31">
        <f t="shared" si="969"/>
        <v>329.29601711393337</v>
      </c>
      <c r="BG428" s="31" t="str">
        <f t="shared" si="956"/>
        <v/>
      </c>
      <c r="BH428" s="31">
        <f t="shared" si="957"/>
        <v>329.29601711393337</v>
      </c>
    </row>
    <row r="429" spans="1:60" x14ac:dyDescent="0.3">
      <c r="A429" s="1">
        <v>108793000</v>
      </c>
      <c r="B429">
        <f>VLOOKUP(C429,'NCES ID'!$A$2:$B$3136,2,FALSE)</f>
        <v>400382</v>
      </c>
      <c r="C429">
        <f>VLOOKUP(A429,'State ID'!$A$2:$B$713,2,FALSE)</f>
        <v>80032</v>
      </c>
      <c r="D429" s="147" t="s">
        <v>120</v>
      </c>
      <c r="E429" t="s">
        <v>9</v>
      </c>
      <c r="I429" s="47">
        <f>VLOOKUP($C429,'Final SEA Counts'!$A$2:$F$709,5,FALSE)</f>
        <v>57</v>
      </c>
      <c r="J429" s="47">
        <f>VLOOKUP($C429,'Final SEA Counts'!$A$2:$F$709,6,FALSE)</f>
        <v>55</v>
      </c>
      <c r="K429" s="24">
        <f t="shared" si="988"/>
        <v>57</v>
      </c>
      <c r="L429" s="24">
        <f t="shared" si="970"/>
        <v>30.165627414837356</v>
      </c>
      <c r="M429" s="4">
        <f t="shared" si="971"/>
        <v>0.52922153359363788</v>
      </c>
      <c r="N429" s="31" t="str">
        <f>IFERROR(VLOOKUP($B429,#REF!,8,FALSE),"")</f>
        <v/>
      </c>
      <c r="O429" s="31" t="str">
        <f>IFERROR(VLOOKUP($B429,#REF!,9,FALSE),"")</f>
        <v/>
      </c>
      <c r="P429" s="31" t="str">
        <f>IFERROR(VLOOKUP($B429,#REF!,10,FALSE),"")</f>
        <v/>
      </c>
      <c r="Q429" s="31" t="str">
        <f>IFERROR(VLOOKUP($B429,#REF!,11,FALSE),"")</f>
        <v/>
      </c>
      <c r="R429" s="31" t="str">
        <f>IFERROR(VLOOKUP($B429,#REF!,12,FALSE),"")</f>
        <v/>
      </c>
      <c r="S429" s="31">
        <f t="shared" si="1008"/>
        <v>14437.553289309571</v>
      </c>
      <c r="T429" s="31">
        <f t="shared" si="1009"/>
        <v>3174.0326579987991</v>
      </c>
      <c r="U429" s="31">
        <f t="shared" si="1010"/>
        <v>8759.3743419384446</v>
      </c>
      <c r="V429" s="31">
        <f t="shared" si="1011"/>
        <v>8504.9392714458991</v>
      </c>
      <c r="W429" s="31">
        <f t="shared" si="973"/>
        <v>14437.553289309571</v>
      </c>
      <c r="X429" s="31">
        <f t="shared" si="974"/>
        <v>3174.0326579987991</v>
      </c>
      <c r="Y429" s="31">
        <f t="shared" si="975"/>
        <v>8759.3743419384446</v>
      </c>
      <c r="Z429" s="31">
        <f t="shared" si="976"/>
        <v>8504.9392714458991</v>
      </c>
      <c r="AA429" s="31">
        <f t="shared" si="1012"/>
        <v>14437.553289309571</v>
      </c>
      <c r="AB429" s="31">
        <f t="shared" si="1013"/>
        <v>3193.3299961208827</v>
      </c>
      <c r="AC429" s="31">
        <f t="shared" si="1014"/>
        <v>8759.3743419384446</v>
      </c>
      <c r="AD429" s="31">
        <f t="shared" si="1015"/>
        <v>8504.9392714458991</v>
      </c>
      <c r="AE429" s="31">
        <f t="shared" si="978"/>
        <v>34895.1968988148</v>
      </c>
      <c r="AF429" s="31">
        <f>IFERROR(VLOOKUP(A429,'Allocations By Type'!$D$7:$F$491,3,FALSE),"")</f>
        <v>41356.800000000003</v>
      </c>
      <c r="AG429" s="31" t="str">
        <f t="shared" si="979"/>
        <v/>
      </c>
      <c r="AH429" s="31" t="str">
        <f t="shared" si="980"/>
        <v/>
      </c>
      <c r="AI429" s="31">
        <f t="shared" si="981"/>
        <v>34895.1968988148</v>
      </c>
      <c r="AJ429" s="31">
        <f>AI429/$AI$577*'State Admin 1004(b)'!$B$30*0.01</f>
        <v>332.08011642619272</v>
      </c>
      <c r="AK429" s="31">
        <f t="shared" si="982"/>
        <v>34563.116782388606</v>
      </c>
      <c r="AL429" s="31">
        <f t="shared" si="983"/>
        <v>345.63116782388607</v>
      </c>
      <c r="AM429" s="31">
        <f t="shared" si="984"/>
        <v>34217.485614564721</v>
      </c>
      <c r="AP429" s="31"/>
      <c r="AQ429" s="4">
        <f t="shared" si="945"/>
        <v>0.82737265974554897</v>
      </c>
      <c r="AW429" s="31">
        <f t="shared" si="985"/>
        <v>34026.081778970212</v>
      </c>
      <c r="AX429" s="4">
        <f t="shared" si="986"/>
        <v>0.82274454935996522</v>
      </c>
      <c r="AZ429" s="174" t="str">
        <f>IFERROR(IF(VLOOKUP(A429,#REF!,11,FALSE)=0,"",VLOOKUP(A429,#REF!,11,FALSE)),"")</f>
        <v/>
      </c>
      <c r="BA429" s="31" t="str">
        <f t="shared" si="953"/>
        <v/>
      </c>
      <c r="BB429" s="31">
        <f t="shared" si="987"/>
        <v>34026.081778970212</v>
      </c>
      <c r="BD429" s="31" t="str">
        <f>IFERROR(VLOOKUP(A429,'Title II Hold Harmless'!A$1:B$439,2, FALSE),"")</f>
        <v/>
      </c>
      <c r="BE429" s="31">
        <f t="shared" si="968"/>
        <v>440.76194497029127</v>
      </c>
      <c r="BF429" s="31">
        <f t="shared" si="969"/>
        <v>441.18840845347057</v>
      </c>
      <c r="BG429" s="31" t="str">
        <f t="shared" si="956"/>
        <v/>
      </c>
      <c r="BH429" s="31">
        <f t="shared" si="957"/>
        <v>441.18840845347057</v>
      </c>
    </row>
    <row r="430" spans="1:60" x14ac:dyDescent="0.3">
      <c r="A430" s="1">
        <v>108502000</v>
      </c>
      <c r="B430">
        <f>VLOOKUP(C430,'NCES ID'!$A$2:$B$3136,2,FALSE)</f>
        <v>400776</v>
      </c>
      <c r="C430">
        <f>VLOOKUP(A430,'State ID'!$A$2:$B$713,2,FALSE)</f>
        <v>89914</v>
      </c>
      <c r="D430" s="147" t="s">
        <v>124</v>
      </c>
      <c r="E430" t="s">
        <v>9</v>
      </c>
      <c r="I430" s="47">
        <f>VLOOKUP($C430,'Final SEA Counts'!$A$2:$F$709,5,FALSE)</f>
        <v>275</v>
      </c>
      <c r="J430" s="47">
        <f>VLOOKUP($C430,'Final SEA Counts'!$A$2:$F$709,6,FALSE)</f>
        <v>270</v>
      </c>
      <c r="K430" s="24">
        <f t="shared" si="988"/>
        <v>275</v>
      </c>
      <c r="L430" s="24">
        <f t="shared" si="970"/>
        <v>148.08580730920156</v>
      </c>
      <c r="M430" s="4">
        <f t="shared" si="971"/>
        <v>0.53849384476073292</v>
      </c>
      <c r="N430" s="31" t="str">
        <f>IFERROR(VLOOKUP($B430,#REF!,8,FALSE),"")</f>
        <v/>
      </c>
      <c r="O430" s="31" t="str">
        <f>IFERROR(VLOOKUP($B430,#REF!,9,FALSE),"")</f>
        <v/>
      </c>
      <c r="P430" s="31" t="str">
        <f>IFERROR(VLOOKUP($B430,#REF!,10,FALSE),"")</f>
        <v/>
      </c>
      <c r="Q430" s="31" t="str">
        <f>IFERROR(VLOOKUP($B430,#REF!,11,FALSE),"")</f>
        <v/>
      </c>
      <c r="R430" s="31" t="str">
        <f>IFERROR(VLOOKUP($B430,#REF!,12,FALSE),"")</f>
        <v/>
      </c>
      <c r="S430" s="31">
        <f t="shared" si="1008"/>
        <v>70875.261602065162</v>
      </c>
      <c r="T430" s="31">
        <f t="shared" si="1009"/>
        <v>15581.614866539558</v>
      </c>
      <c r="U430" s="31">
        <f t="shared" si="1010"/>
        <v>43000.564951334178</v>
      </c>
      <c r="V430" s="31">
        <f t="shared" si="1011"/>
        <v>41751.520059825321</v>
      </c>
      <c r="W430" s="31">
        <f t="shared" si="973"/>
        <v>70875.261602065162</v>
      </c>
      <c r="X430" s="31">
        <f t="shared" si="974"/>
        <v>15581.614866539558</v>
      </c>
      <c r="Y430" s="31">
        <f t="shared" si="975"/>
        <v>43000.564951334178</v>
      </c>
      <c r="Z430" s="31">
        <f t="shared" si="976"/>
        <v>41751.520059825321</v>
      </c>
      <c r="AA430" s="31">
        <f t="shared" si="1012"/>
        <v>70875.261602065162</v>
      </c>
      <c r="AB430" s="31">
        <f t="shared" si="1013"/>
        <v>15600.912204661641</v>
      </c>
      <c r="AC430" s="31">
        <f t="shared" si="1014"/>
        <v>43000.564951334178</v>
      </c>
      <c r="AD430" s="31">
        <f t="shared" si="1015"/>
        <v>41751.520059825321</v>
      </c>
      <c r="AE430" s="31">
        <f t="shared" si="978"/>
        <v>171228.25881788629</v>
      </c>
      <c r="AF430" s="31">
        <f>IFERROR(VLOOKUP(A430,'Allocations By Type'!$D$7:$F$491,3,FALSE),"")</f>
        <v>160441.71</v>
      </c>
      <c r="AG430" s="31">
        <f t="shared" si="979"/>
        <v>6849.1303527154523</v>
      </c>
      <c r="AH430" s="31">
        <f t="shared" si="980"/>
        <v>6849.1303527154523</v>
      </c>
      <c r="AI430" s="31">
        <f t="shared" si="981"/>
        <v>164379.12846517086</v>
      </c>
      <c r="AJ430" s="31">
        <f>AI430/$AI$577*'State Admin 1004(b)'!$B$30*0.01</f>
        <v>1564.3138589254975</v>
      </c>
      <c r="AK430" s="31">
        <f t="shared" si="982"/>
        <v>162814.81460624535</v>
      </c>
      <c r="AL430" s="31">
        <f t="shared" si="983"/>
        <v>1628.1481460624534</v>
      </c>
      <c r="AM430" s="31">
        <f t="shared" si="984"/>
        <v>161186.6664601829</v>
      </c>
      <c r="AP430" s="31"/>
      <c r="AQ430" s="4">
        <f t="shared" si="945"/>
        <v>1.0046431595635754</v>
      </c>
      <c r="AW430" s="31">
        <f t="shared" si="985"/>
        <v>160285.02960250451</v>
      </c>
      <c r="AX430" s="4">
        <f t="shared" si="986"/>
        <v>0.99902344348302274</v>
      </c>
      <c r="AZ430" s="174" t="str">
        <f>IFERROR(IF(VLOOKUP(A430,#REF!,11,FALSE)=0,"",VLOOKUP(A430,#REF!,11,FALSE)),"")</f>
        <v/>
      </c>
      <c r="BA430" s="31" t="str">
        <f t="shared" si="953"/>
        <v/>
      </c>
      <c r="BB430" s="31">
        <f t="shared" si="987"/>
        <v>160285.02960250451</v>
      </c>
      <c r="BD430" s="31" t="str">
        <f>IFERROR(VLOOKUP(A430,'Title II Hold Harmless'!A$1:B$439,2, FALSE),"")</f>
        <v/>
      </c>
      <c r="BE430" s="31">
        <f t="shared" si="968"/>
        <v>2159.862785895697</v>
      </c>
      <c r="BF430" s="31">
        <f t="shared" si="969"/>
        <v>2161.9525820257245</v>
      </c>
      <c r="BG430" s="31" t="str">
        <f t="shared" si="956"/>
        <v/>
      </c>
      <c r="BH430" s="31">
        <f t="shared" si="957"/>
        <v>2161.9525820257245</v>
      </c>
    </row>
    <row r="431" spans="1:60" x14ac:dyDescent="0.3">
      <c r="A431" s="1">
        <v>108666000</v>
      </c>
      <c r="B431">
        <f>VLOOKUP(C431,'NCES ID'!$A$2:$B$3136,2,FALSE)</f>
        <v>400223</v>
      </c>
      <c r="C431">
        <f>VLOOKUP(A431,'State ID'!$A$2:$B$713,2,FALSE)</f>
        <v>79049</v>
      </c>
      <c r="D431" s="147" t="s">
        <v>125</v>
      </c>
      <c r="E431" t="s">
        <v>9</v>
      </c>
      <c r="I431" s="47">
        <f>VLOOKUP($C431,'Final SEA Counts'!$A$2:$F$709,5,FALSE)</f>
        <v>665</v>
      </c>
      <c r="J431" s="47">
        <f>VLOOKUP($C431,'Final SEA Counts'!$A$2:$F$709,6,FALSE)</f>
        <v>229</v>
      </c>
      <c r="K431" s="24">
        <f t="shared" si="988"/>
        <v>665</v>
      </c>
      <c r="L431" s="24">
        <f t="shared" si="970"/>
        <v>125.59870323632281</v>
      </c>
      <c r="M431" s="4">
        <f t="shared" si="971"/>
        <v>0.18887023043056061</v>
      </c>
      <c r="N431" s="31" t="str">
        <f>IFERROR(VLOOKUP($B431,#REF!,8,FALSE),"")</f>
        <v/>
      </c>
      <c r="O431" s="31" t="str">
        <f>IFERROR(VLOOKUP($B431,#REF!,9,FALSE),"")</f>
        <v/>
      </c>
      <c r="P431" s="31" t="str">
        <f>IFERROR(VLOOKUP($B431,#REF!,10,FALSE),"")</f>
        <v/>
      </c>
      <c r="Q431" s="31" t="str">
        <f>IFERROR(VLOOKUP($B431,#REF!,11,FALSE),"")</f>
        <v/>
      </c>
      <c r="R431" s="31" t="str">
        <f>IFERROR(VLOOKUP($B431,#REF!,12,FALSE),"")</f>
        <v/>
      </c>
      <c r="S431" s="31">
        <f t="shared" si="1008"/>
        <v>60112.721877307122</v>
      </c>
      <c r="T431" s="31">
        <f t="shared" si="1009"/>
        <v>13215.517794213181</v>
      </c>
      <c r="U431" s="31">
        <f t="shared" si="1010"/>
        <v>36470.849532798253</v>
      </c>
      <c r="V431" s="31">
        <f t="shared" si="1011"/>
        <v>35411.47442111111</v>
      </c>
      <c r="W431" s="31">
        <f t="shared" si="973"/>
        <v>60112.721877307122</v>
      </c>
      <c r="X431" s="31">
        <f t="shared" si="974"/>
        <v>13215.517794213181</v>
      </c>
      <c r="Y431" s="31">
        <f t="shared" si="975"/>
        <v>36470.849532798253</v>
      </c>
      <c r="Z431" s="31">
        <f t="shared" si="976"/>
        <v>35411.47442111111</v>
      </c>
      <c r="AA431" s="31">
        <f t="shared" si="1012"/>
        <v>60112.721877307122</v>
      </c>
      <c r="AB431" s="31">
        <f t="shared" si="1013"/>
        <v>13234.815132335265</v>
      </c>
      <c r="AC431" s="31">
        <f t="shared" si="1014"/>
        <v>36470.849532798253</v>
      </c>
      <c r="AD431" s="31">
        <f t="shared" si="1015"/>
        <v>35411.47442111111</v>
      </c>
      <c r="AE431" s="31">
        <f t="shared" si="978"/>
        <v>145229.86096355174</v>
      </c>
      <c r="AF431" s="31">
        <f>IFERROR(VLOOKUP(A431,'Allocations By Type'!$D$7:$F$491,3,FALSE),"")</f>
        <v>130868.76</v>
      </c>
      <c r="AG431" s="31">
        <f t="shared" si="979"/>
        <v>5809.1944385420693</v>
      </c>
      <c r="AH431" s="31">
        <f t="shared" si="980"/>
        <v>5809.1944385420693</v>
      </c>
      <c r="AI431" s="31">
        <f t="shared" si="981"/>
        <v>139420.66652500967</v>
      </c>
      <c r="AJ431" s="31">
        <f>AI431/$AI$577*'State Admin 1004(b)'!$B$30*0.01</f>
        <v>1326.7966736538208</v>
      </c>
      <c r="AK431" s="31">
        <f t="shared" si="982"/>
        <v>138093.86985135585</v>
      </c>
      <c r="AL431" s="31">
        <f t="shared" si="983"/>
        <v>1380.9386985135586</v>
      </c>
      <c r="AM431" s="31">
        <f t="shared" si="984"/>
        <v>136712.9311528423</v>
      </c>
      <c r="AP431" s="31"/>
      <c r="AQ431" s="4">
        <f t="shared" si="945"/>
        <v>1.0446567320790867</v>
      </c>
      <c r="AW431" s="31">
        <f t="shared" si="985"/>
        <v>135948.1940914235</v>
      </c>
      <c r="AX431" s="4">
        <f t="shared" si="986"/>
        <v>1.0388131903398756</v>
      </c>
      <c r="AZ431" s="174" t="str">
        <f>IFERROR(IF(VLOOKUP(A431,#REF!,11,FALSE)=0,"",VLOOKUP(A431,#REF!,11,FALSE)),"")</f>
        <v/>
      </c>
      <c r="BA431" s="31" t="str">
        <f t="shared" si="953"/>
        <v/>
      </c>
      <c r="BB431" s="31">
        <f t="shared" si="987"/>
        <v>135948.1940914235</v>
      </c>
      <c r="BD431" s="31" t="str">
        <f>IFERROR(VLOOKUP(A431,'Title II Hold Harmless'!A$1:B$439,2, FALSE),"")</f>
        <v/>
      </c>
      <c r="BE431" s="31">
        <f t="shared" si="968"/>
        <v>2179.3633398985758</v>
      </c>
      <c r="BF431" s="31">
        <f t="shared" si="969"/>
        <v>2181.4720039782505</v>
      </c>
      <c r="BG431" s="31" t="str">
        <f t="shared" si="956"/>
        <v/>
      </c>
      <c r="BH431" s="31">
        <f t="shared" si="957"/>
        <v>2181.4720039782505</v>
      </c>
    </row>
    <row r="432" spans="1:60" x14ac:dyDescent="0.3">
      <c r="A432" s="1">
        <v>108506000</v>
      </c>
      <c r="B432">
        <f>VLOOKUP(C432,'NCES ID'!$A$2:$B$3136,2,FALSE)</f>
        <v>400817</v>
      </c>
      <c r="C432">
        <f>VLOOKUP(A432,'State ID'!$A$2:$B$713,2,FALSE)</f>
        <v>90506</v>
      </c>
      <c r="D432" s="147" t="s">
        <v>142</v>
      </c>
      <c r="E432" t="s">
        <v>9</v>
      </c>
      <c r="I432" s="47">
        <f>VLOOKUP($C432,'Final SEA Counts'!$A$2:$F$709,5,FALSE)</f>
        <v>78</v>
      </c>
      <c r="J432" s="47">
        <f>VLOOKUP($C432,'Final SEA Counts'!$A$2:$F$709,6,FALSE)</f>
        <v>78</v>
      </c>
      <c r="K432" s="24">
        <f t="shared" si="988"/>
        <v>78</v>
      </c>
      <c r="L432" s="24">
        <f t="shared" si="970"/>
        <v>42.780344333769342</v>
      </c>
      <c r="M432" s="4">
        <f t="shared" si="971"/>
        <v>0.54846595299704282</v>
      </c>
      <c r="N432" s="31" t="str">
        <f>IFERROR(VLOOKUP($B432,#REF!,8,FALSE),"")</f>
        <v/>
      </c>
      <c r="O432" s="31" t="str">
        <f>IFERROR(VLOOKUP($B432,#REF!,9,FALSE),"")</f>
        <v/>
      </c>
      <c r="P432" s="31" t="str">
        <f>IFERROR(VLOOKUP($B432,#REF!,10,FALSE),"")</f>
        <v/>
      </c>
      <c r="Q432" s="31" t="str">
        <f>IFERROR(VLOOKUP($B432,#REF!,11,FALSE),"")</f>
        <v/>
      </c>
      <c r="R432" s="31" t="str">
        <f>IFERROR(VLOOKUP($B432,#REF!,12,FALSE),"")</f>
        <v/>
      </c>
      <c r="S432" s="31">
        <f t="shared" si="1008"/>
        <v>20475.075573929938</v>
      </c>
      <c r="T432" s="31">
        <f t="shared" si="1009"/>
        <v>4501.3554058892059</v>
      </c>
      <c r="U432" s="31">
        <f t="shared" si="1010"/>
        <v>12422.385430385431</v>
      </c>
      <c r="V432" s="31">
        <f t="shared" si="1011"/>
        <v>12061.550239505093</v>
      </c>
      <c r="W432" s="31">
        <f t="shared" si="973"/>
        <v>20475.075573929938</v>
      </c>
      <c r="X432" s="31">
        <f t="shared" si="974"/>
        <v>4501.3554058892059</v>
      </c>
      <c r="Y432" s="31">
        <f t="shared" si="975"/>
        <v>12422.385430385431</v>
      </c>
      <c r="Z432" s="31">
        <f t="shared" si="976"/>
        <v>12061.550239505093</v>
      </c>
      <c r="AA432" s="31">
        <f t="shared" si="1012"/>
        <v>20475.075573929938</v>
      </c>
      <c r="AB432" s="31">
        <f t="shared" si="1013"/>
        <v>4520.6527440112895</v>
      </c>
      <c r="AC432" s="31">
        <f t="shared" si="1014"/>
        <v>12422.385430385431</v>
      </c>
      <c r="AD432" s="31">
        <f t="shared" si="1015"/>
        <v>12061.550239505093</v>
      </c>
      <c r="AE432" s="31">
        <f t="shared" si="978"/>
        <v>49479.663987831751</v>
      </c>
      <c r="AF432" s="31">
        <f>IFERROR(VLOOKUP(A432,'Allocations By Type'!$D$7:$F$491,3,FALSE),"")</f>
        <v>46455.58</v>
      </c>
      <c r="AG432" s="31">
        <f t="shared" si="979"/>
        <v>1979.1865595132701</v>
      </c>
      <c r="AH432" s="31">
        <f t="shared" si="980"/>
        <v>1979.1865595132701</v>
      </c>
      <c r="AI432" s="31">
        <f t="shared" si="981"/>
        <v>47500.477428318482</v>
      </c>
      <c r="AJ432" s="31">
        <f>AI432/$AI$577*'State Admin 1004(b)'!$B$30*0.01</f>
        <v>452.03825960447568</v>
      </c>
      <c r="AK432" s="31">
        <f t="shared" si="982"/>
        <v>47048.439168714009</v>
      </c>
      <c r="AL432" s="31">
        <f t="shared" si="983"/>
        <v>470.48439168714009</v>
      </c>
      <c r="AM432" s="31">
        <f t="shared" si="984"/>
        <v>46577.954777026869</v>
      </c>
      <c r="AP432" s="31"/>
      <c r="AQ432" s="4">
        <f t="shared" si="945"/>
        <v>1.0026342320347064</v>
      </c>
      <c r="AW432" s="31">
        <f t="shared" si="985"/>
        <v>46317.409648173925</v>
      </c>
      <c r="AX432" s="4">
        <f t="shared" si="986"/>
        <v>0.99702575337933408</v>
      </c>
      <c r="AZ432" s="174" t="str">
        <f>IFERROR(IF(VLOOKUP(A432,#REF!,11,FALSE)=0,"",VLOOKUP(A432,#REF!,11,FALSE)),"")</f>
        <v/>
      </c>
      <c r="BA432" s="31" t="str">
        <f t="shared" si="953"/>
        <v/>
      </c>
      <c r="BB432" s="31">
        <f t="shared" si="987"/>
        <v>46317.409648173925</v>
      </c>
      <c r="BD432" s="31" t="str">
        <f>IFERROR(VLOOKUP(A432,'Title II Hold Harmless'!A$1:B$439,2, FALSE),"")</f>
        <v/>
      </c>
      <c r="BE432" s="31">
        <f t="shared" si="968"/>
        <v>622.79787192949095</v>
      </c>
      <c r="BF432" s="31">
        <f t="shared" si="969"/>
        <v>623.40046603456415</v>
      </c>
      <c r="BG432" s="31" t="str">
        <f t="shared" si="956"/>
        <v/>
      </c>
      <c r="BH432" s="31">
        <f t="shared" si="957"/>
        <v>623.40046603456415</v>
      </c>
    </row>
    <row r="433" spans="1:60" x14ac:dyDescent="0.3">
      <c r="A433" s="1">
        <v>108653000</v>
      </c>
      <c r="B433">
        <f>VLOOKUP(C433,'NCES ID'!$A$2:$B$3136,2,FALSE)</f>
        <v>400078</v>
      </c>
      <c r="C433">
        <f>VLOOKUP(A433,'State ID'!$A$2:$B$713,2,FALSE)</f>
        <v>4421</v>
      </c>
      <c r="D433" s="147" t="s">
        <v>143</v>
      </c>
      <c r="E433" t="s">
        <v>9</v>
      </c>
      <c r="I433" s="47">
        <f>VLOOKUP($C433,'Final SEA Counts'!$A$2:$F$709,5,FALSE)</f>
        <v>115</v>
      </c>
      <c r="J433" s="47">
        <f>VLOOKUP($C433,'Final SEA Counts'!$A$2:$F$709,6,FALSE)</f>
        <v>88</v>
      </c>
      <c r="K433" s="24">
        <f t="shared" si="988"/>
        <v>115</v>
      </c>
      <c r="L433" s="24">
        <f t="shared" si="970"/>
        <v>48.265003863739764</v>
      </c>
      <c r="M433" s="4">
        <f t="shared" si="971"/>
        <v>0.41969568577165012</v>
      </c>
      <c r="N433" s="31" t="str">
        <f>IFERROR(VLOOKUP($B433,#REF!,8,FALSE),"")</f>
        <v/>
      </c>
      <c r="O433" s="31" t="str">
        <f>IFERROR(VLOOKUP($B433,#REF!,9,FALSE),"")</f>
        <v/>
      </c>
      <c r="P433" s="31" t="str">
        <f>IFERROR(VLOOKUP($B433,#REF!,10,FALSE),"")</f>
        <v/>
      </c>
      <c r="Q433" s="31" t="str">
        <f>IFERROR(VLOOKUP($B433,#REF!,11,FALSE),"")</f>
        <v/>
      </c>
      <c r="R433" s="31" t="str">
        <f>IFERROR(VLOOKUP($B433,#REF!,12,FALSE),"")</f>
        <v/>
      </c>
      <c r="S433" s="31">
        <f t="shared" si="1008"/>
        <v>23100.085262895311</v>
      </c>
      <c r="T433" s="31">
        <f t="shared" si="1009"/>
        <v>5078.452252798078</v>
      </c>
      <c r="U433" s="31">
        <f t="shared" si="1010"/>
        <v>14014.998947101511</v>
      </c>
      <c r="V433" s="31">
        <f t="shared" si="1011"/>
        <v>13607.902834313438</v>
      </c>
      <c r="W433" s="31">
        <f t="shared" si="973"/>
        <v>23100.085262895311</v>
      </c>
      <c r="X433" s="31">
        <f t="shared" si="974"/>
        <v>5078.452252798078</v>
      </c>
      <c r="Y433" s="31">
        <f t="shared" si="975"/>
        <v>14014.998947101511</v>
      </c>
      <c r="Z433" s="31">
        <f t="shared" si="976"/>
        <v>13607.902834313438</v>
      </c>
      <c r="AA433" s="31">
        <f t="shared" si="1012"/>
        <v>23100.085262895311</v>
      </c>
      <c r="AB433" s="31">
        <f t="shared" si="1013"/>
        <v>5097.7495909201616</v>
      </c>
      <c r="AC433" s="31">
        <f t="shared" si="1014"/>
        <v>14014.998947101511</v>
      </c>
      <c r="AD433" s="31">
        <f t="shared" si="1015"/>
        <v>13607.902834313438</v>
      </c>
      <c r="AE433" s="31">
        <f t="shared" si="978"/>
        <v>55820.736635230423</v>
      </c>
      <c r="AF433" s="31">
        <f>IFERROR(VLOOKUP(A433,'Allocations By Type'!$D$7:$F$491,3,FALSE),"")</f>
        <v>71949.490000000005</v>
      </c>
      <c r="AG433" s="31" t="str">
        <f t="shared" si="979"/>
        <v/>
      </c>
      <c r="AH433" s="31" t="str">
        <f t="shared" si="980"/>
        <v/>
      </c>
      <c r="AI433" s="31">
        <f t="shared" si="981"/>
        <v>55820.736635230423</v>
      </c>
      <c r="AJ433" s="31">
        <f>AI433/$AI$577*'State Admin 1004(b)'!$B$30*0.01</f>
        <v>531.21800041921415</v>
      </c>
      <c r="AK433" s="31">
        <f t="shared" si="982"/>
        <v>55289.518634811211</v>
      </c>
      <c r="AL433" s="31">
        <f t="shared" si="983"/>
        <v>552.89518634811213</v>
      </c>
      <c r="AM433" s="31">
        <f t="shared" si="984"/>
        <v>54736.623448463099</v>
      </c>
      <c r="AP433" s="31"/>
      <c r="AQ433" s="4">
        <f t="shared" si="945"/>
        <v>0.76076457871297065</v>
      </c>
      <c r="AW433" s="31">
        <f t="shared" si="985"/>
        <v>54430.440820272888</v>
      </c>
      <c r="AX433" s="4">
        <f t="shared" si="986"/>
        <v>0.75650905684352854</v>
      </c>
      <c r="AZ433" s="174" t="str">
        <f>IFERROR(IF(VLOOKUP(A433,#REF!,11,FALSE)=0,"",VLOOKUP(A433,#REF!,11,FALSE)),"")</f>
        <v/>
      </c>
      <c r="BA433" s="31" t="str">
        <f t="shared" si="953"/>
        <v/>
      </c>
      <c r="BB433" s="31">
        <f t="shared" si="987"/>
        <v>54430.440820272888</v>
      </c>
      <c r="BD433" s="31">
        <f>IFERROR(VLOOKUP(A433,'Title II Hold Harmless'!A$1:B$439,2, FALSE),"")</f>
        <v>5669</v>
      </c>
      <c r="BE433" s="31">
        <f t="shared" si="968"/>
        <v>6393.3733445623693</v>
      </c>
      <c r="BF433" s="31">
        <f t="shared" si="969"/>
        <v>6399.5593147825784</v>
      </c>
      <c r="BG433" s="31" t="str">
        <f t="shared" si="956"/>
        <v/>
      </c>
      <c r="BH433" s="31">
        <f t="shared" si="957"/>
        <v>6399.5593147825784</v>
      </c>
    </row>
    <row r="434" spans="1:60" x14ac:dyDescent="0.3">
      <c r="A434" s="1">
        <v>108770000</v>
      </c>
      <c r="B434">
        <f>VLOOKUP(C434,'NCES ID'!$A$2:$B$3136,2,FALSE)</f>
        <v>400205</v>
      </c>
      <c r="C434">
        <f>VLOOKUP(A434,'State ID'!$A$2:$B$713,2,FALSE)</f>
        <v>10974</v>
      </c>
      <c r="D434" s="147" t="s">
        <v>188</v>
      </c>
      <c r="E434" t="s">
        <v>9</v>
      </c>
      <c r="I434" s="47">
        <f>VLOOKUP($C434,'Final SEA Counts'!$A$2:$F$709,5,FALSE)</f>
        <v>294</v>
      </c>
      <c r="J434" s="47">
        <f>VLOOKUP($C434,'Final SEA Counts'!$A$2:$F$709,6,FALSE)</f>
        <v>81</v>
      </c>
      <c r="K434" s="24">
        <f t="shared" si="988"/>
        <v>294</v>
      </c>
      <c r="L434" s="24">
        <f t="shared" si="970"/>
        <v>44.425742192760467</v>
      </c>
      <c r="M434" s="4">
        <f t="shared" si="971"/>
        <v>0.1511079666420424</v>
      </c>
      <c r="N434" s="31" t="str">
        <f>IFERROR(VLOOKUP($B434,#REF!,8,FALSE),"")</f>
        <v/>
      </c>
      <c r="O434" s="31" t="str">
        <f>IFERROR(VLOOKUP($B434,#REF!,9,FALSE),"")</f>
        <v/>
      </c>
      <c r="P434" s="31" t="str">
        <f>IFERROR(VLOOKUP($B434,#REF!,10,FALSE),"")</f>
        <v/>
      </c>
      <c r="Q434" s="31" t="str">
        <f>IFERROR(VLOOKUP($B434,#REF!,11,FALSE),"")</f>
        <v/>
      </c>
      <c r="R434" s="31" t="str">
        <f>IFERROR(VLOOKUP($B434,#REF!,12,FALSE),"")</f>
        <v/>
      </c>
      <c r="S434" s="31">
        <f t="shared" si="1008"/>
        <v>21262.578480619548</v>
      </c>
      <c r="T434" s="31">
        <f t="shared" si="1009"/>
        <v>4674.4844599618673</v>
      </c>
      <c r="U434" s="31">
        <f t="shared" si="1010"/>
        <v>12900.169485400254</v>
      </c>
      <c r="V434" s="31">
        <f t="shared" si="1011"/>
        <v>12525.456017947598</v>
      </c>
      <c r="W434" s="31">
        <f t="shared" si="973"/>
        <v>21262.578480619548</v>
      </c>
      <c r="X434" s="31">
        <f t="shared" si="974"/>
        <v>4674.4844599618673</v>
      </c>
      <c r="Y434" s="31">
        <f t="shared" si="975"/>
        <v>12900.169485400254</v>
      </c>
      <c r="Z434" s="31">
        <f t="shared" si="976"/>
        <v>12525.456017947598</v>
      </c>
      <c r="AA434" s="31">
        <f t="shared" si="1012"/>
        <v>21262.578480619548</v>
      </c>
      <c r="AB434" s="31">
        <f t="shared" si="1013"/>
        <v>4693.7817980839509</v>
      </c>
      <c r="AC434" s="31">
        <f t="shared" si="1014"/>
        <v>12900.169485400254</v>
      </c>
      <c r="AD434" s="31">
        <f t="shared" si="1015"/>
        <v>12525.456017947598</v>
      </c>
      <c r="AE434" s="31">
        <f t="shared" si="978"/>
        <v>51381.98578205135</v>
      </c>
      <c r="AF434" s="31">
        <f>IFERROR(VLOOKUP(A434,'Allocations By Type'!$D$7:$F$491,3,FALSE),"")</f>
        <v>56458.31</v>
      </c>
      <c r="AG434" s="31" t="str">
        <f t="shared" si="979"/>
        <v/>
      </c>
      <c r="AH434" s="31" t="str">
        <f t="shared" si="980"/>
        <v/>
      </c>
      <c r="AI434" s="31">
        <f t="shared" si="981"/>
        <v>51381.98578205135</v>
      </c>
      <c r="AJ434" s="31">
        <f>AI434/$AI$577*'State Admin 1004(b)'!$B$30*0.01</f>
        <v>488.97663108736106</v>
      </c>
      <c r="AK434" s="31">
        <f t="shared" si="982"/>
        <v>50893.00915096399</v>
      </c>
      <c r="AL434" s="31">
        <f t="shared" si="983"/>
        <v>508.93009150963991</v>
      </c>
      <c r="AM434" s="31">
        <f t="shared" si="984"/>
        <v>50384.07905945435</v>
      </c>
      <c r="AP434" s="31"/>
      <c r="AQ434" s="4">
        <f t="shared" si="945"/>
        <v>0.89241210123814108</v>
      </c>
      <c r="AW434" s="31">
        <f t="shared" si="985"/>
        <v>50102.243447875349</v>
      </c>
      <c r="AX434" s="4">
        <f t="shared" si="986"/>
        <v>0.88742017690354802</v>
      </c>
      <c r="AZ434" s="174" t="str">
        <f>IFERROR(IF(VLOOKUP(A434,#REF!,11,FALSE)=0,"",VLOOKUP(A434,#REF!,11,FALSE)),"")</f>
        <v/>
      </c>
      <c r="BA434" s="31" t="str">
        <f t="shared" si="953"/>
        <v/>
      </c>
      <c r="BB434" s="31">
        <f t="shared" si="987"/>
        <v>50102.243447875349</v>
      </c>
      <c r="BD434" s="31">
        <f>IFERROR(VLOOKUP(A434,'Title II Hold Harmless'!A$1:B$439,2, FALSE),"")</f>
        <v>2147</v>
      </c>
      <c r="BE434" s="31">
        <f t="shared" si="968"/>
        <v>2965.1739700962144</v>
      </c>
      <c r="BF434" s="31">
        <f t="shared" si="969"/>
        <v>2968.0429528519853</v>
      </c>
      <c r="BG434" s="31" t="str">
        <f t="shared" si="956"/>
        <v/>
      </c>
      <c r="BH434" s="31">
        <f t="shared" si="957"/>
        <v>2968.0429528519853</v>
      </c>
    </row>
    <row r="435" spans="1:60" x14ac:dyDescent="0.3">
      <c r="A435" s="1">
        <v>108789000</v>
      </c>
      <c r="B435">
        <f>VLOOKUP(C435,'NCES ID'!$A$2:$B$3136,2,FALSE)</f>
        <v>400343</v>
      </c>
      <c r="C435">
        <f>VLOOKUP(A435,'State ID'!$A$2:$B$713,2,FALSE)</f>
        <v>79500</v>
      </c>
      <c r="D435" s="147" t="s">
        <v>189</v>
      </c>
      <c r="E435" t="s">
        <v>9</v>
      </c>
      <c r="I435" s="47">
        <f>VLOOKUP($C435,'Final SEA Counts'!$A$2:$F$709,5,FALSE)</f>
        <v>288</v>
      </c>
      <c r="J435" s="47">
        <f>VLOOKUP($C435,'Final SEA Counts'!$A$2:$F$709,6,FALSE)</f>
        <v>277</v>
      </c>
      <c r="K435" s="24">
        <f t="shared" si="988"/>
        <v>288</v>
      </c>
      <c r="L435" s="24">
        <f t="shared" si="970"/>
        <v>151.92506898018087</v>
      </c>
      <c r="M435" s="4">
        <f t="shared" si="971"/>
        <v>0.52751760062562802</v>
      </c>
      <c r="N435" s="31" t="str">
        <f>IFERROR(VLOOKUP($B435,#REF!,8,FALSE),"")</f>
        <v/>
      </c>
      <c r="O435" s="31" t="str">
        <f>IFERROR(VLOOKUP($B435,#REF!,9,FALSE),"")</f>
        <v/>
      </c>
      <c r="P435" s="31" t="str">
        <f>IFERROR(VLOOKUP($B435,#REF!,10,FALSE),"")</f>
        <v/>
      </c>
      <c r="Q435" s="31" t="str">
        <f>IFERROR(VLOOKUP($B435,#REF!,11,FALSE),"")</f>
        <v/>
      </c>
      <c r="R435" s="31" t="str">
        <f>IFERROR(VLOOKUP($B435,#REF!,12,FALSE),"")</f>
        <v/>
      </c>
      <c r="S435" s="31">
        <f t="shared" si="1008"/>
        <v>72712.768384340932</v>
      </c>
      <c r="T435" s="31">
        <f t="shared" si="1009"/>
        <v>15985.58265937577</v>
      </c>
      <c r="U435" s="31">
        <f t="shared" si="1010"/>
        <v>44115.394413035443</v>
      </c>
      <c r="V435" s="31">
        <f t="shared" si="1011"/>
        <v>42833.966876191167</v>
      </c>
      <c r="W435" s="31">
        <f t="shared" si="973"/>
        <v>72712.768384340932</v>
      </c>
      <c r="X435" s="31">
        <f t="shared" si="974"/>
        <v>15985.58265937577</v>
      </c>
      <c r="Y435" s="31">
        <f t="shared" si="975"/>
        <v>44115.394413035443</v>
      </c>
      <c r="Z435" s="31">
        <f t="shared" si="976"/>
        <v>42833.966876191167</v>
      </c>
      <c r="AA435" s="31">
        <f t="shared" si="1012"/>
        <v>72712.768384340932</v>
      </c>
      <c r="AB435" s="31">
        <f t="shared" si="1013"/>
        <v>16004.879997497854</v>
      </c>
      <c r="AC435" s="31">
        <f t="shared" si="1014"/>
        <v>44115.394413035443</v>
      </c>
      <c r="AD435" s="31">
        <f t="shared" si="1015"/>
        <v>42833.966876191167</v>
      </c>
      <c r="AE435" s="31">
        <f t="shared" si="978"/>
        <v>175667.0096710654</v>
      </c>
      <c r="AF435" s="31">
        <f>IFERROR(VLOOKUP(A435,'Allocations By Type'!$D$7:$F$491,3,FALSE),"")</f>
        <v>160894.93</v>
      </c>
      <c r="AG435" s="31">
        <f t="shared" si="979"/>
        <v>7026.6803868426159</v>
      </c>
      <c r="AH435" s="31">
        <f t="shared" si="980"/>
        <v>7026.6803868426159</v>
      </c>
      <c r="AI435" s="31">
        <f t="shared" si="981"/>
        <v>168640.3292842228</v>
      </c>
      <c r="AJ435" s="31">
        <f>AI435/$AI$577*'State Admin 1004(b)'!$B$30*0.01</f>
        <v>1604.8655734840765</v>
      </c>
      <c r="AK435" s="31">
        <f t="shared" si="982"/>
        <v>167035.46371073872</v>
      </c>
      <c r="AL435" s="31">
        <f t="shared" si="983"/>
        <v>1670.3546371073874</v>
      </c>
      <c r="AM435" s="31">
        <f t="shared" si="984"/>
        <v>165365.10907363135</v>
      </c>
      <c r="AP435" s="31"/>
      <c r="AQ435" s="4">
        <f t="shared" si="945"/>
        <v>1.0277832189841616</v>
      </c>
      <c r="AW435" s="31">
        <f t="shared" si="985"/>
        <v>164440.09908000618</v>
      </c>
      <c r="AX435" s="4">
        <f t="shared" si="986"/>
        <v>1.022034063348088</v>
      </c>
      <c r="AZ435" s="174" t="str">
        <f>IFERROR(IF(VLOOKUP(A435,#REF!,11,FALSE)=0,"",VLOOKUP(A435,#REF!,11,FALSE)),"")</f>
        <v/>
      </c>
      <c r="BA435" s="31" t="str">
        <f t="shared" si="953"/>
        <v/>
      </c>
      <c r="BB435" s="31">
        <f t="shared" si="987"/>
        <v>164440.09908000618</v>
      </c>
      <c r="BD435" s="31">
        <f>IFERROR(VLOOKUP(A435,'Title II Hold Harmless'!A$1:B$439,2, FALSE),"")</f>
        <v>4095</v>
      </c>
      <c r="BE435" s="31">
        <f t="shared" si="968"/>
        <v>6315.5837007442688</v>
      </c>
      <c r="BF435" s="31">
        <f t="shared" si="969"/>
        <v>6321.6944048421719</v>
      </c>
      <c r="BG435" s="31" t="str">
        <f t="shared" si="956"/>
        <v/>
      </c>
      <c r="BH435" s="31">
        <f t="shared" si="957"/>
        <v>6321.6944048421719</v>
      </c>
    </row>
    <row r="436" spans="1:60" s="47" customFormat="1" x14ac:dyDescent="0.3">
      <c r="A436" s="1">
        <v>108726000</v>
      </c>
      <c r="B436" s="47">
        <f>VLOOKUP(C436,'NCES ID'!$A$2:$B$3136,2,FALSE)</f>
        <v>400147</v>
      </c>
      <c r="C436" s="47">
        <f>VLOOKUP(A436,'State ID'!$A$2:$B$713,2,FALSE)</f>
        <v>6369</v>
      </c>
      <c r="D436" s="191" t="s">
        <v>190</v>
      </c>
      <c r="E436" s="47" t="s">
        <v>9</v>
      </c>
      <c r="H436" s="4"/>
      <c r="I436" s="47">
        <f>VLOOKUP($C436,'Final SEA Counts'!$A$2:$F$709,5,FALSE)</f>
        <v>50</v>
      </c>
      <c r="J436" s="47">
        <f>VLOOKUP($C436,'Final SEA Counts'!$A$2:$F$709,6,FALSE)</f>
        <v>50</v>
      </c>
      <c r="K436" s="24">
        <f t="shared" si="988"/>
        <v>50</v>
      </c>
      <c r="L436" s="24">
        <f t="shared" si="970"/>
        <v>27.423297649852142</v>
      </c>
      <c r="M436" s="4">
        <f t="shared" si="971"/>
        <v>0.54846595299704282</v>
      </c>
      <c r="N436" s="31"/>
      <c r="O436" s="31"/>
      <c r="P436" s="31"/>
      <c r="Q436" s="31"/>
      <c r="R436" s="31"/>
      <c r="S436" s="31">
        <f t="shared" ref="S436" si="1027">$L436*N$463</f>
        <v>13125.048444826883</v>
      </c>
      <c r="T436" s="31">
        <f t="shared" ref="T436" si="1028">$L436*O$463</f>
        <v>2885.4842345443626</v>
      </c>
      <c r="U436" s="31">
        <f t="shared" ref="U436" si="1029">$L436*P$463</f>
        <v>7963.0675835804041</v>
      </c>
      <c r="V436" s="31">
        <f t="shared" ref="V436" si="1030">$L436*Q$463</f>
        <v>7731.7629740417269</v>
      </c>
      <c r="W436" s="31">
        <f t="shared" ref="W436" si="1031">IF(AND($L436&gt;9,$L436&gt;($K436*0.02)),S436,"")</f>
        <v>13125.048444826883</v>
      </c>
      <c r="X436" s="31">
        <f t="shared" ref="X436" si="1032">IF(W436="","",IF(OR($L436&gt;6500,$L436&gt;($K436*0.15)),T436,""))</f>
        <v>2885.4842345443626</v>
      </c>
      <c r="Y436" s="31">
        <f t="shared" ref="Y436" si="1033">IF(AND($L436&gt;9,$L436&gt;($K436*0.05)),U436,"")</f>
        <v>7963.0675835804041</v>
      </c>
      <c r="Z436" s="31">
        <f t="shared" ref="Z436" si="1034">IF(AND($L436&gt;9,$L436&gt;($K436*0.05)),V436,"")</f>
        <v>7731.7629740417269</v>
      </c>
      <c r="AA436" s="31">
        <f t="shared" si="1012"/>
        <v>13125.048444826883</v>
      </c>
      <c r="AB436" s="31">
        <f t="shared" si="1013"/>
        <v>2904.7815726664462</v>
      </c>
      <c r="AC436" s="31">
        <f t="shared" si="1014"/>
        <v>7963.0675835804041</v>
      </c>
      <c r="AD436" s="31">
        <f t="shared" si="1015"/>
        <v>7731.7629740417269</v>
      </c>
      <c r="AE436" s="31">
        <f t="shared" ref="AE436" si="1035">SUM(AA436:AD436)</f>
        <v>31724.660575115464</v>
      </c>
      <c r="AF436" s="31">
        <f>IFERROR(VLOOKUP(A436,'Allocations By Type'!$D$7:$F$491,3,FALSE),"")</f>
        <v>54387.02</v>
      </c>
      <c r="AG436" s="31" t="str">
        <f t="shared" ref="AG436" si="1036">IF(AE436&gt;AF436,AE436*0.04,"")</f>
        <v/>
      </c>
      <c r="AH436" s="31" t="str">
        <f t="shared" ref="AH436" si="1037">IF(AG436="","",IF((AE436-AF436)&gt;AG436,AG436,AE436-AF436))</f>
        <v/>
      </c>
      <c r="AI436" s="31">
        <f t="shared" ref="AI436" si="1038">IF(AH436="",AE436,AE436-AH436)</f>
        <v>31724.660575115464</v>
      </c>
      <c r="AJ436" s="31">
        <f>AI436/$AI$577*'State Admin 1004(b)'!$B$30*0.01</f>
        <v>301.90770976058343</v>
      </c>
      <c r="AK436" s="31">
        <f t="shared" ref="AK436" si="1039">AI436-AJ436</f>
        <v>31422.75286535488</v>
      </c>
      <c r="AL436" s="31">
        <f t="shared" ref="AL436" si="1040">AK436*0.01</f>
        <v>314.2275286535488</v>
      </c>
      <c r="AM436" s="31">
        <f t="shared" ref="AM436" si="1041">AK436-AL436</f>
        <v>31108.525336701332</v>
      </c>
      <c r="AP436" s="31"/>
      <c r="AQ436" s="4">
        <f t="shared" si="945"/>
        <v>0.57198436937161357</v>
      </c>
      <c r="AR436" s="4"/>
      <c r="AS436" s="4"/>
      <c r="AT436" s="4"/>
      <c r="AW436" s="31">
        <f t="shared" si="985"/>
        <v>30934.512227257685</v>
      </c>
      <c r="AX436" s="4">
        <f t="shared" si="986"/>
        <v>0.56878483555925086</v>
      </c>
      <c r="AZ436" s="174"/>
      <c r="BA436" s="31"/>
      <c r="BB436" s="31">
        <f t="shared" si="987"/>
        <v>30934.512227257685</v>
      </c>
      <c r="BD436" s="31">
        <f>IFERROR(VLOOKUP(A436,'Title II Hold Harmless'!A$1:B$439,2, FALSE),"")</f>
        <v>4036</v>
      </c>
      <c r="BE436" s="31">
        <f t="shared" si="968"/>
        <v>4435.2294050830069</v>
      </c>
      <c r="BF436" s="31">
        <f t="shared" si="969"/>
        <v>4439.5207541941882</v>
      </c>
      <c r="BG436" s="31"/>
      <c r="BH436" s="31">
        <f t="shared" si="957"/>
        <v>4439.5207541941882</v>
      </c>
    </row>
    <row r="437" spans="1:60" x14ac:dyDescent="0.3">
      <c r="A437" s="1">
        <v>108775000</v>
      </c>
      <c r="B437">
        <f>VLOOKUP(C437,'NCES ID'!$A$2:$B$3136,2,FALSE)</f>
        <v>400275</v>
      </c>
      <c r="C437">
        <f>VLOOKUP(A437,'State ID'!$A$2:$B$713,2,FALSE)</f>
        <v>79061</v>
      </c>
      <c r="D437" s="147" t="s">
        <v>196</v>
      </c>
      <c r="E437" t="s">
        <v>9</v>
      </c>
      <c r="I437" s="47">
        <f>VLOOKUP($C437,'Final SEA Counts'!$A$2:$F$709,5,FALSE)</f>
        <v>46</v>
      </c>
      <c r="J437" s="47">
        <f>VLOOKUP($C437,'Final SEA Counts'!$A$2:$F$709,6,FALSE)</f>
        <v>26</v>
      </c>
      <c r="K437" s="24">
        <f t="shared" si="988"/>
        <v>46</v>
      </c>
      <c r="L437" s="24">
        <f t="shared" si="970"/>
        <v>14.260114777923114</v>
      </c>
      <c r="M437" s="4">
        <f t="shared" si="971"/>
        <v>0.3100024951722416</v>
      </c>
      <c r="N437" s="31" t="str">
        <f>IFERROR(VLOOKUP($B437,#REF!,8,FALSE),"")</f>
        <v/>
      </c>
      <c r="O437" s="31" t="str">
        <f>IFERROR(VLOOKUP($B437,#REF!,9,FALSE),"")</f>
        <v/>
      </c>
      <c r="P437" s="31" t="str">
        <f>IFERROR(VLOOKUP($B437,#REF!,10,FALSE),"")</f>
        <v/>
      </c>
      <c r="Q437" s="31" t="str">
        <f>IFERROR(VLOOKUP($B437,#REF!,11,FALSE),"")</f>
        <v/>
      </c>
      <c r="R437" s="31" t="str">
        <f>IFERROR(VLOOKUP($B437,#REF!,12,FALSE),"")</f>
        <v/>
      </c>
      <c r="S437" s="31">
        <f t="shared" ref="S437:V443" si="1042">$L437*N$463</f>
        <v>6825.0251913099792</v>
      </c>
      <c r="T437" s="31">
        <f t="shared" si="1042"/>
        <v>1500.4518019630686</v>
      </c>
      <c r="U437" s="31">
        <f t="shared" si="1042"/>
        <v>4140.7951434618099</v>
      </c>
      <c r="V437" s="31">
        <f t="shared" si="1042"/>
        <v>4020.516746501698</v>
      </c>
      <c r="W437" s="31">
        <f t="shared" si="973"/>
        <v>6825.0251913099792</v>
      </c>
      <c r="X437" s="31">
        <f t="shared" si="974"/>
        <v>1500.4518019630686</v>
      </c>
      <c r="Y437" s="31">
        <f t="shared" si="975"/>
        <v>4140.7951434618099</v>
      </c>
      <c r="Z437" s="31">
        <f t="shared" si="976"/>
        <v>4020.516746501698</v>
      </c>
      <c r="AA437" s="31">
        <f t="shared" si="1012"/>
        <v>6825.0251913099792</v>
      </c>
      <c r="AB437" s="31">
        <f t="shared" si="1013"/>
        <v>1519.7491400851525</v>
      </c>
      <c r="AC437" s="31">
        <f t="shared" si="1014"/>
        <v>4140.7951434618099</v>
      </c>
      <c r="AD437" s="31">
        <f t="shared" si="1015"/>
        <v>4020.516746501698</v>
      </c>
      <c r="AE437" s="31">
        <f t="shared" si="978"/>
        <v>16506.086221358641</v>
      </c>
      <c r="AF437" s="31">
        <f>IFERROR(VLOOKUP(A437,'Allocations By Type'!$D$7:$F$491,3,FALSE),"")</f>
        <v>10764.1</v>
      </c>
      <c r="AG437" s="31">
        <f t="shared" si="979"/>
        <v>660.24344885434562</v>
      </c>
      <c r="AH437" s="31">
        <f t="shared" si="980"/>
        <v>660.24344885434562</v>
      </c>
      <c r="AI437" s="31">
        <f t="shared" si="981"/>
        <v>15845.842772504295</v>
      </c>
      <c r="AJ437" s="31">
        <f>AI437/$AI$577*'State Admin 1004(b)'!$B$30*0.01</f>
        <v>150.79695145503234</v>
      </c>
      <c r="AK437" s="31">
        <f t="shared" si="982"/>
        <v>15695.045821049262</v>
      </c>
      <c r="AL437" s="31">
        <f t="shared" si="983"/>
        <v>156.95045821049263</v>
      </c>
      <c r="AM437" s="31">
        <f t="shared" si="984"/>
        <v>15538.095362838769</v>
      </c>
      <c r="AP437" s="31"/>
      <c r="AQ437" s="4">
        <f t="shared" si="945"/>
        <v>1.4435108706569773</v>
      </c>
      <c r="AW437" s="31">
        <f t="shared" si="985"/>
        <v>15451.179243876051</v>
      </c>
      <c r="AX437" s="4">
        <f t="shared" si="986"/>
        <v>1.4354362411976895</v>
      </c>
      <c r="AZ437" s="174" t="str">
        <f>IFERROR(IF(VLOOKUP(A437,#REF!,11,FALSE)=0,"",VLOOKUP(A437,#REF!,11,FALSE)),"")</f>
        <v/>
      </c>
      <c r="BA437" s="31" t="str">
        <f t="shared" si="953"/>
        <v/>
      </c>
      <c r="BB437" s="31">
        <f t="shared" si="987"/>
        <v>15451.179243876051</v>
      </c>
      <c r="BD437" s="31">
        <f>IFERROR(VLOOKUP(A437,'Title II Hold Harmless'!A$1:B$439,2, FALSE),"")</f>
        <v>1428</v>
      </c>
      <c r="BE437" s="31">
        <f t="shared" si="968"/>
        <v>1651.6952844329987</v>
      </c>
      <c r="BF437" s="31">
        <f t="shared" si="969"/>
        <v>1653.2933981816745</v>
      </c>
      <c r="BG437" s="31" t="str">
        <f t="shared" si="956"/>
        <v/>
      </c>
      <c r="BH437" s="31">
        <f t="shared" si="957"/>
        <v>1653.2933981816745</v>
      </c>
    </row>
    <row r="438" spans="1:60" x14ac:dyDescent="0.3">
      <c r="A438" s="1">
        <v>108513000</v>
      </c>
      <c r="B438" t="e">
        <f>VLOOKUP(C438,'NCES ID'!$A$2:$B$3136,2,FALSE)</f>
        <v>#N/A</v>
      </c>
      <c r="C438">
        <f>VLOOKUP(A438,'State ID'!$A$2:$B$713,2,FALSE)</f>
        <v>92499</v>
      </c>
      <c r="D438" s="147" t="s">
        <v>216</v>
      </c>
      <c r="E438" t="s">
        <v>9</v>
      </c>
      <c r="I438" s="47">
        <f>VLOOKUP($C438,'Final SEA Counts'!$A$2:$F$709,5,FALSE)</f>
        <v>201</v>
      </c>
      <c r="J438" s="47">
        <f>VLOOKUP($C438,'Final SEA Counts'!$A$2:$F$709,6,FALSE)</f>
        <v>173</v>
      </c>
      <c r="K438" s="24">
        <f t="shared" si="988"/>
        <v>201</v>
      </c>
      <c r="L438" s="24">
        <f t="shared" si="970"/>
        <v>94.884609868488411</v>
      </c>
      <c r="M438" s="4">
        <f t="shared" si="971"/>
        <v>0.47206273566412144</v>
      </c>
      <c r="N438" s="31" t="str">
        <f>IFERROR(VLOOKUP($B438,#REF!,8,FALSE),"")</f>
        <v/>
      </c>
      <c r="O438" s="31" t="str">
        <f>IFERROR(VLOOKUP($B438,#REF!,9,FALSE),"")</f>
        <v/>
      </c>
      <c r="P438" s="31" t="str">
        <f>IFERROR(VLOOKUP($B438,#REF!,10,FALSE),"")</f>
        <v/>
      </c>
      <c r="Q438" s="31" t="str">
        <f>IFERROR(VLOOKUP($B438,#REF!,11,FALSE),"")</f>
        <v/>
      </c>
      <c r="R438" s="31" t="str">
        <f>IFERROR(VLOOKUP($B438,#REF!,12,FALSE),"")</f>
        <v/>
      </c>
      <c r="S438" s="31">
        <f t="shared" si="1042"/>
        <v>45412.667619101012</v>
      </c>
      <c r="T438" s="31">
        <f t="shared" si="1042"/>
        <v>9983.7754515234956</v>
      </c>
      <c r="U438" s="31">
        <f t="shared" si="1042"/>
        <v>27552.2138391882</v>
      </c>
      <c r="V438" s="31">
        <f t="shared" si="1042"/>
        <v>26751.899890184377</v>
      </c>
      <c r="W438" s="31">
        <f t="shared" si="973"/>
        <v>45412.667619101012</v>
      </c>
      <c r="X438" s="31">
        <f t="shared" si="974"/>
        <v>9983.7754515234956</v>
      </c>
      <c r="Y438" s="31">
        <f t="shared" si="975"/>
        <v>27552.2138391882</v>
      </c>
      <c r="Z438" s="31">
        <f t="shared" si="976"/>
        <v>26751.899890184377</v>
      </c>
      <c r="AA438" s="31">
        <f t="shared" si="1012"/>
        <v>45412.667619101012</v>
      </c>
      <c r="AB438" s="31">
        <f t="shared" si="1013"/>
        <v>10003.072789645579</v>
      </c>
      <c r="AC438" s="31">
        <f t="shared" si="1014"/>
        <v>27552.2138391882</v>
      </c>
      <c r="AD438" s="31">
        <f t="shared" si="1015"/>
        <v>26751.899890184377</v>
      </c>
      <c r="AE438" s="31">
        <f t="shared" si="978"/>
        <v>109719.85413811916</v>
      </c>
      <c r="AF438" s="31">
        <f>IFERROR(VLOOKUP(A438,'Allocations By Type'!$D$7:$F$491,3,FALSE),"")</f>
        <v>60618.86</v>
      </c>
      <c r="AG438" s="31">
        <f t="shared" si="979"/>
        <v>4388.7941655247669</v>
      </c>
      <c r="AH438" s="31">
        <f t="shared" si="980"/>
        <v>4388.7941655247669</v>
      </c>
      <c r="AI438" s="31">
        <f t="shared" si="981"/>
        <v>105331.05997259439</v>
      </c>
      <c r="AJ438" s="31">
        <f>AI438/$AI$577*'State Admin 1004(b)'!$B$30*0.01</f>
        <v>1002.3829571851894</v>
      </c>
      <c r="AK438" s="31">
        <f t="shared" si="982"/>
        <v>104328.67701540919</v>
      </c>
      <c r="AL438" s="31">
        <f t="shared" si="983"/>
        <v>1043.286770154092</v>
      </c>
      <c r="AM438" s="31">
        <f t="shared" si="984"/>
        <v>103285.3902452551</v>
      </c>
      <c r="AP438" s="31"/>
      <c r="AQ438" s="4">
        <f t="shared" si="945"/>
        <v>1.7038491031546139</v>
      </c>
      <c r="AW438" s="31">
        <f t="shared" si="985"/>
        <v>102707.6382714104</v>
      </c>
      <c r="AX438" s="4">
        <f t="shared" si="986"/>
        <v>1.6943182084158361</v>
      </c>
      <c r="AZ438" s="174" t="str">
        <f>IFERROR(IF(VLOOKUP(A438,#REF!,11,FALSE)=0,"",VLOOKUP(A438,#REF!,11,FALSE)),"")</f>
        <v/>
      </c>
      <c r="BA438" s="31" t="str">
        <f t="shared" si="953"/>
        <v/>
      </c>
      <c r="BB438" s="31">
        <f t="shared" si="987"/>
        <v>102707.6382714104</v>
      </c>
      <c r="BD438" s="31" t="str">
        <f>IFERROR(VLOOKUP(A438,'Title II Hold Harmless'!A$1:B$439,2, FALSE),"")</f>
        <v/>
      </c>
      <c r="BE438" s="31">
        <f t="shared" si="968"/>
        <v>1403.8681328929738</v>
      </c>
      <c r="BF438" s="31">
        <f t="shared" si="969"/>
        <v>1405.2264590840389</v>
      </c>
      <c r="BG438" s="31" t="str">
        <f t="shared" si="956"/>
        <v/>
      </c>
      <c r="BH438" s="31">
        <f t="shared" si="957"/>
        <v>1405.2264590840389</v>
      </c>
    </row>
    <row r="439" spans="1:60" x14ac:dyDescent="0.3">
      <c r="A439" s="1">
        <v>108735000</v>
      </c>
      <c r="B439">
        <f>VLOOKUP(C439,'NCES ID'!$A$2:$B$3136,2,FALSE)</f>
        <v>400872</v>
      </c>
      <c r="C439">
        <f>VLOOKUP(A439,'State ID'!$A$2:$B$713,2,FALSE)</f>
        <v>90876</v>
      </c>
      <c r="D439" s="147" t="s">
        <v>217</v>
      </c>
      <c r="E439" t="s">
        <v>9</v>
      </c>
      <c r="I439" s="47">
        <f>VLOOKUP($C439,'Final SEA Counts'!$A$2:$F$709,5,FALSE)</f>
        <v>58</v>
      </c>
      <c r="J439" s="47">
        <f>VLOOKUP($C439,'Final SEA Counts'!$A$2:$F$709,6,FALSE)</f>
        <v>50</v>
      </c>
      <c r="K439" s="24">
        <f t="shared" si="988"/>
        <v>58</v>
      </c>
      <c r="L439" s="24">
        <f t="shared" si="970"/>
        <v>27.423297649852142</v>
      </c>
      <c r="M439" s="4">
        <f t="shared" si="971"/>
        <v>0.47281547672158863</v>
      </c>
      <c r="N439" s="31" t="str">
        <f>IFERROR(VLOOKUP($B439,#REF!,8,FALSE),"")</f>
        <v/>
      </c>
      <c r="O439" s="31" t="str">
        <f>IFERROR(VLOOKUP($B439,#REF!,9,FALSE),"")</f>
        <v/>
      </c>
      <c r="P439" s="31" t="str">
        <f>IFERROR(VLOOKUP($B439,#REF!,10,FALSE),"")</f>
        <v/>
      </c>
      <c r="Q439" s="31" t="str">
        <f>IFERROR(VLOOKUP($B439,#REF!,11,FALSE),"")</f>
        <v/>
      </c>
      <c r="R439" s="31" t="str">
        <f>IFERROR(VLOOKUP($B439,#REF!,12,FALSE),"")</f>
        <v/>
      </c>
      <c r="S439" s="31">
        <f t="shared" si="1042"/>
        <v>13125.048444826883</v>
      </c>
      <c r="T439" s="31">
        <f t="shared" si="1042"/>
        <v>2885.4842345443626</v>
      </c>
      <c r="U439" s="31">
        <f t="shared" si="1042"/>
        <v>7963.0675835804041</v>
      </c>
      <c r="V439" s="31">
        <f t="shared" si="1042"/>
        <v>7731.7629740417269</v>
      </c>
      <c r="W439" s="31">
        <f t="shared" si="973"/>
        <v>13125.048444826883</v>
      </c>
      <c r="X439" s="31">
        <f t="shared" si="974"/>
        <v>2885.4842345443626</v>
      </c>
      <c r="Y439" s="31">
        <f t="shared" si="975"/>
        <v>7963.0675835804041</v>
      </c>
      <c r="Z439" s="31">
        <f t="shared" si="976"/>
        <v>7731.7629740417269</v>
      </c>
      <c r="AA439" s="31">
        <f t="shared" si="1012"/>
        <v>13125.048444826883</v>
      </c>
      <c r="AB439" s="31">
        <f t="shared" si="1013"/>
        <v>2904.7815726664462</v>
      </c>
      <c r="AC439" s="31">
        <f t="shared" si="1014"/>
        <v>7963.0675835804041</v>
      </c>
      <c r="AD439" s="31">
        <f t="shared" si="1015"/>
        <v>7731.7629740417269</v>
      </c>
      <c r="AE439" s="31">
        <f t="shared" si="978"/>
        <v>31724.660575115464</v>
      </c>
      <c r="AF439" s="31">
        <f>IFERROR(VLOOKUP(A439,'Allocations By Type'!$D$7:$F$491,3,FALSE),"")</f>
        <v>14729.82</v>
      </c>
      <c r="AG439" s="31">
        <f t="shared" si="979"/>
        <v>1268.9864230046185</v>
      </c>
      <c r="AH439" s="31">
        <f t="shared" si="980"/>
        <v>1268.9864230046185</v>
      </c>
      <c r="AI439" s="31">
        <f t="shared" si="981"/>
        <v>30455.674152110845</v>
      </c>
      <c r="AJ439" s="31">
        <f>AI439/$AI$577*'State Admin 1004(b)'!$B$30*0.01</f>
        <v>289.83140137016011</v>
      </c>
      <c r="AK439" s="31">
        <f t="shared" si="982"/>
        <v>30165.842750740685</v>
      </c>
      <c r="AL439" s="31">
        <f t="shared" si="983"/>
        <v>301.65842750740688</v>
      </c>
      <c r="AM439" s="31">
        <f t="shared" si="984"/>
        <v>29864.184323233279</v>
      </c>
      <c r="AP439" s="31"/>
      <c r="AQ439" s="4">
        <f t="shared" si="945"/>
        <v>2.0274643086767714</v>
      </c>
      <c r="AW439" s="31">
        <f t="shared" si="985"/>
        <v>29697.13173816738</v>
      </c>
      <c r="AX439" s="4">
        <f t="shared" si="986"/>
        <v>2.0161231935059205</v>
      </c>
      <c r="AZ439" s="174" t="str">
        <f>IFERROR(IF(VLOOKUP(A439,#REF!,11,FALSE)=0,"",VLOOKUP(A439,#REF!,11,FALSE)),"")</f>
        <v/>
      </c>
      <c r="BA439" s="31" t="str">
        <f t="shared" si="953"/>
        <v/>
      </c>
      <c r="BB439" s="31">
        <f t="shared" si="987"/>
        <v>29697.13173816738</v>
      </c>
      <c r="BD439" s="31" t="str">
        <f>IFERROR(VLOOKUP(A439,'Title II Hold Harmless'!A$1:B$439,2, FALSE),"")</f>
        <v/>
      </c>
      <c r="BE439" s="31">
        <f t="shared" si="968"/>
        <v>405.66780259894108</v>
      </c>
      <c r="BF439" s="31">
        <f t="shared" si="969"/>
        <v>406.06031040521663</v>
      </c>
      <c r="BG439" s="31" t="str">
        <f t="shared" si="956"/>
        <v/>
      </c>
      <c r="BH439" s="31">
        <f t="shared" si="957"/>
        <v>406.06031040521663</v>
      </c>
    </row>
    <row r="440" spans="1:60" x14ac:dyDescent="0.3">
      <c r="A440" s="1">
        <v>108706000</v>
      </c>
      <c r="B440">
        <f>VLOOKUP(C440,'NCES ID'!$A$2:$B$3136,2,FALSE)</f>
        <v>400388</v>
      </c>
      <c r="C440">
        <f>VLOOKUP(A440,'State ID'!$A$2:$B$713,2,FALSE)</f>
        <v>79880</v>
      </c>
      <c r="D440" s="147" t="s">
        <v>233</v>
      </c>
      <c r="E440" t="s">
        <v>9</v>
      </c>
      <c r="I440" s="47">
        <f>VLOOKUP($C440,'Final SEA Counts'!$A$2:$F$709,5,FALSE)</f>
        <v>77</v>
      </c>
      <c r="J440" s="47">
        <f>VLOOKUP($C440,'Final SEA Counts'!$A$2:$F$709,6,FALSE)</f>
        <v>76</v>
      </c>
      <c r="K440" s="24">
        <f t="shared" si="988"/>
        <v>77</v>
      </c>
      <c r="L440" s="24">
        <f t="shared" si="970"/>
        <v>41.683412427775252</v>
      </c>
      <c r="M440" s="4">
        <f t="shared" si="971"/>
        <v>0.54134301854253575</v>
      </c>
      <c r="N440" s="31" t="str">
        <f>IFERROR(VLOOKUP($B440,#REF!,8,FALSE),"")</f>
        <v/>
      </c>
      <c r="O440" s="31" t="str">
        <f>IFERROR(VLOOKUP($B440,#REF!,9,FALSE),"")</f>
        <v/>
      </c>
      <c r="P440" s="31" t="str">
        <f>IFERROR(VLOOKUP($B440,#REF!,10,FALSE),"")</f>
        <v/>
      </c>
      <c r="Q440" s="31" t="str">
        <f>IFERROR(VLOOKUP($B440,#REF!,11,FALSE),"")</f>
        <v/>
      </c>
      <c r="R440" s="31" t="str">
        <f>IFERROR(VLOOKUP($B440,#REF!,12,FALSE),"")</f>
        <v/>
      </c>
      <c r="S440" s="31">
        <f t="shared" si="1042"/>
        <v>19950.073636136862</v>
      </c>
      <c r="T440" s="31">
        <f t="shared" si="1042"/>
        <v>4385.9360365074308</v>
      </c>
      <c r="U440" s="31">
        <f t="shared" si="1042"/>
        <v>12103.862727042213</v>
      </c>
      <c r="V440" s="31">
        <f t="shared" si="1042"/>
        <v>11752.279720543424</v>
      </c>
      <c r="W440" s="31">
        <f t="shared" si="973"/>
        <v>19950.073636136862</v>
      </c>
      <c r="X440" s="31">
        <f t="shared" si="974"/>
        <v>4385.9360365074308</v>
      </c>
      <c r="Y440" s="31">
        <f t="shared" si="975"/>
        <v>12103.862727042213</v>
      </c>
      <c r="Z440" s="31">
        <f t="shared" si="976"/>
        <v>11752.279720543424</v>
      </c>
      <c r="AA440" s="31">
        <f t="shared" si="1012"/>
        <v>19950.073636136862</v>
      </c>
      <c r="AB440" s="31">
        <f t="shared" si="1013"/>
        <v>4405.2333746295144</v>
      </c>
      <c r="AC440" s="31">
        <f t="shared" si="1014"/>
        <v>12103.862727042213</v>
      </c>
      <c r="AD440" s="31">
        <f t="shared" si="1015"/>
        <v>11752.279720543424</v>
      </c>
      <c r="AE440" s="31">
        <f t="shared" si="978"/>
        <v>48211.449458352014</v>
      </c>
      <c r="AF440" s="31">
        <f>IFERROR(VLOOKUP(A440,'Allocations By Type'!$D$7:$F$491,3,FALSE),"")</f>
        <v>14729.82</v>
      </c>
      <c r="AG440" s="31">
        <f t="shared" si="979"/>
        <v>1928.4579783340805</v>
      </c>
      <c r="AH440" s="31">
        <f t="shared" si="980"/>
        <v>1928.4579783340805</v>
      </c>
      <c r="AI440" s="31">
        <f t="shared" si="981"/>
        <v>46282.991480017932</v>
      </c>
      <c r="AJ440" s="31">
        <f>AI440/$AI$577*'State Admin 1004(b)'!$B$30*0.01</f>
        <v>440.45205544488169</v>
      </c>
      <c r="AK440" s="31">
        <f t="shared" si="982"/>
        <v>45842.539424573049</v>
      </c>
      <c r="AL440" s="31">
        <f t="shared" si="983"/>
        <v>458.4253942457305</v>
      </c>
      <c r="AM440" s="31">
        <f t="shared" si="984"/>
        <v>45384.114030327321</v>
      </c>
      <c r="AP440" s="31"/>
      <c r="AQ440" s="4">
        <f t="shared" si="945"/>
        <v>3.0811044554738158</v>
      </c>
      <c r="AW440" s="31">
        <f t="shared" si="985"/>
        <v>45130.246940316305</v>
      </c>
      <c r="AX440" s="4">
        <f t="shared" si="986"/>
        <v>3.0638695476466316</v>
      </c>
      <c r="BA440" s="31" t="str">
        <f t="shared" si="953"/>
        <v/>
      </c>
      <c r="BB440" s="31">
        <f t="shared" si="987"/>
        <v>45130.246940316305</v>
      </c>
      <c r="BD440" s="31" t="str">
        <f>IFERROR(VLOOKUP(A440,'Title II Hold Harmless'!A$1:B$439,2, FALSE),"")</f>
        <v/>
      </c>
      <c r="BE440" s="31">
        <f t="shared" si="968"/>
        <v>607.63349541566254</v>
      </c>
      <c r="BF440" s="31">
        <f t="shared" si="969"/>
        <v>608.2214170815605</v>
      </c>
      <c r="BG440" s="31" t="str">
        <f t="shared" si="956"/>
        <v/>
      </c>
      <c r="BH440" s="31">
        <f t="shared" si="957"/>
        <v>608.2214170815605</v>
      </c>
    </row>
    <row r="441" spans="1:60" x14ac:dyDescent="0.3">
      <c r="A441" s="1">
        <v>108798000</v>
      </c>
      <c r="B441">
        <f>VLOOKUP(C441,'NCES ID'!$A$2:$B$3136,2,FALSE)</f>
        <v>400781</v>
      </c>
      <c r="C441">
        <f>VLOOKUP(A441,'State ID'!$A$2:$B$713,2,FALSE)</f>
        <v>89852</v>
      </c>
      <c r="D441" s="147" t="s">
        <v>277</v>
      </c>
      <c r="E441" t="s">
        <v>9</v>
      </c>
      <c r="I441" s="47">
        <f>VLOOKUP($C441,'Final SEA Counts'!$A$2:$F$709,5,FALSE)</f>
        <v>433</v>
      </c>
      <c r="J441" s="47">
        <f>VLOOKUP($C441,'Final SEA Counts'!$A$2:$F$709,6,FALSE)</f>
        <v>334</v>
      </c>
      <c r="K441" s="24">
        <f t="shared" si="988"/>
        <v>433</v>
      </c>
      <c r="L441" s="24">
        <f t="shared" si="970"/>
        <v>183.1876283010123</v>
      </c>
      <c r="M441" s="4">
        <f t="shared" si="971"/>
        <v>0.42306611616861961</v>
      </c>
      <c r="N441" s="31" t="str">
        <f>IFERROR(VLOOKUP($B441,#REF!,8,FALSE),"")</f>
        <v/>
      </c>
      <c r="O441" s="31" t="str">
        <f>IFERROR(VLOOKUP($B441,#REF!,9,FALSE),"")</f>
        <v/>
      </c>
      <c r="P441" s="31" t="str">
        <f>IFERROR(VLOOKUP($B441,#REF!,10,FALSE),"")</f>
        <v/>
      </c>
      <c r="Q441" s="31" t="str">
        <f>IFERROR(VLOOKUP($B441,#REF!,11,FALSE),"")</f>
        <v/>
      </c>
      <c r="R441" s="31" t="str">
        <f>IFERROR(VLOOKUP($B441,#REF!,12,FALSE),"")</f>
        <v/>
      </c>
      <c r="S441" s="31">
        <f t="shared" si="1042"/>
        <v>87675.323611443571</v>
      </c>
      <c r="T441" s="31">
        <f t="shared" si="1042"/>
        <v>19275.034686756342</v>
      </c>
      <c r="U441" s="31">
        <f t="shared" si="1042"/>
        <v>53193.2914583171</v>
      </c>
      <c r="V441" s="31">
        <f t="shared" si="1042"/>
        <v>51648.176666598731</v>
      </c>
      <c r="W441" s="31">
        <f t="shared" si="973"/>
        <v>87675.323611443571</v>
      </c>
      <c r="X441" s="31">
        <f t="shared" si="974"/>
        <v>19275.034686756342</v>
      </c>
      <c r="Y441" s="31">
        <f t="shared" si="975"/>
        <v>53193.2914583171</v>
      </c>
      <c r="Z441" s="31">
        <f t="shared" si="976"/>
        <v>51648.176666598731</v>
      </c>
      <c r="AA441" s="31">
        <f t="shared" si="1012"/>
        <v>87675.323611443571</v>
      </c>
      <c r="AB441" s="31">
        <f t="shared" si="1013"/>
        <v>19294.332024878426</v>
      </c>
      <c r="AC441" s="31">
        <f t="shared" si="1014"/>
        <v>53193.2914583171</v>
      </c>
      <c r="AD441" s="31">
        <f t="shared" si="1015"/>
        <v>51648.176666598731</v>
      </c>
      <c r="AE441" s="31">
        <f t="shared" si="978"/>
        <v>211811.12376123783</v>
      </c>
      <c r="AF441" s="31">
        <f>IFERROR(VLOOKUP(A441,'Allocations By Type'!$D$7:$F$491,3,FALSE),"")</f>
        <v>183284.25</v>
      </c>
      <c r="AG441" s="31">
        <f t="shared" si="979"/>
        <v>8472.4449504495133</v>
      </c>
      <c r="AH441" s="31">
        <f t="shared" si="980"/>
        <v>8472.4449504495133</v>
      </c>
      <c r="AI441" s="31">
        <f t="shared" si="981"/>
        <v>203338.67881078832</v>
      </c>
      <c r="AJ441" s="31">
        <f>AI441/$AI$577*'State Admin 1004(b)'!$B$30*0.01</f>
        <v>1935.0723920325045</v>
      </c>
      <c r="AK441" s="31">
        <f t="shared" si="982"/>
        <v>201403.60641875581</v>
      </c>
      <c r="AL441" s="31">
        <f t="shared" si="983"/>
        <v>2014.0360641875582</v>
      </c>
      <c r="AM441" s="31">
        <f t="shared" si="984"/>
        <v>199389.57035456825</v>
      </c>
      <c r="AP441" s="31"/>
      <c r="AQ441" s="4">
        <f t="shared" si="945"/>
        <v>1.0878707273241877</v>
      </c>
      <c r="AW441" s="31">
        <f t="shared" si="985"/>
        <v>198274.23625394804</v>
      </c>
      <c r="AX441" s="4">
        <f t="shared" si="986"/>
        <v>1.0817854575826784</v>
      </c>
      <c r="AZ441" s="174" t="str">
        <f>IFERROR(IF(VLOOKUP(A441,#REF!,11,FALSE)=0,"",VLOOKUP(A441,#REF!,11,FALSE)),"")</f>
        <v/>
      </c>
      <c r="BA441" s="31" t="str">
        <f t="shared" si="953"/>
        <v/>
      </c>
      <c r="BB441" s="31">
        <f t="shared" si="987"/>
        <v>198274.23625394804</v>
      </c>
      <c r="BD441" s="31" t="str">
        <f>IFERROR(VLOOKUP(A441,'Title II Hold Harmless'!A$1:B$439,2, FALSE),"")</f>
        <v/>
      </c>
      <c r="BE441" s="31">
        <f t="shared" si="968"/>
        <v>2746.5275952141701</v>
      </c>
      <c r="BF441" s="31">
        <f t="shared" si="969"/>
        <v>2749.1850245550404</v>
      </c>
      <c r="BG441" s="31" t="str">
        <f t="shared" si="956"/>
        <v/>
      </c>
      <c r="BH441" s="31">
        <f t="shared" si="957"/>
        <v>2749.1850245550404</v>
      </c>
    </row>
    <row r="442" spans="1:60" x14ac:dyDescent="0.3">
      <c r="A442" s="1">
        <v>108707000</v>
      </c>
      <c r="B442">
        <f>VLOOKUP(C442,'NCES ID'!$A$2:$B$3136,2,FALSE)</f>
        <v>400356</v>
      </c>
      <c r="C442">
        <f>VLOOKUP(A442,'State ID'!$A$2:$B$713,2,FALSE)</f>
        <v>79881</v>
      </c>
      <c r="D442" s="147" t="s">
        <v>308</v>
      </c>
      <c r="E442" t="s">
        <v>9</v>
      </c>
      <c r="I442" s="47">
        <f>VLOOKUP($C442,'Final SEA Counts'!$A$2:$F$709,5,FALSE)</f>
        <v>161</v>
      </c>
      <c r="J442" s="47">
        <f>VLOOKUP($C442,'Final SEA Counts'!$A$2:$F$709,6,FALSE)</f>
        <v>157</v>
      </c>
      <c r="K442" s="24">
        <f t="shared" si="988"/>
        <v>161</v>
      </c>
      <c r="L442" s="24">
        <f t="shared" si="970"/>
        <v>86.109154620535719</v>
      </c>
      <c r="M442" s="4">
        <f t="shared" si="971"/>
        <v>0.53483946969276841</v>
      </c>
      <c r="N442" s="31" t="str">
        <f>IFERROR(VLOOKUP($B442,#REF!,8,FALSE),"")</f>
        <v/>
      </c>
      <c r="O442" s="31" t="str">
        <f>IFERROR(VLOOKUP($B442,#REF!,9,FALSE),"")</f>
        <v/>
      </c>
      <c r="P442" s="31" t="str">
        <f>IFERROR(VLOOKUP($B442,#REF!,10,FALSE),"")</f>
        <v/>
      </c>
      <c r="Q442" s="31" t="str">
        <f>IFERROR(VLOOKUP($B442,#REF!,11,FALSE),"")</f>
        <v/>
      </c>
      <c r="R442" s="31" t="str">
        <f>IFERROR(VLOOKUP($B442,#REF!,12,FALSE),"")</f>
        <v/>
      </c>
      <c r="S442" s="31">
        <f t="shared" si="1042"/>
        <v>41212.652116756406</v>
      </c>
      <c r="T442" s="31">
        <f t="shared" si="1042"/>
        <v>9060.4204964692981</v>
      </c>
      <c r="U442" s="31">
        <f t="shared" si="1042"/>
        <v>25004.032212442467</v>
      </c>
      <c r="V442" s="31">
        <f t="shared" si="1042"/>
        <v>24277.735738491021</v>
      </c>
      <c r="W442" s="31">
        <f t="shared" si="973"/>
        <v>41212.652116756406</v>
      </c>
      <c r="X442" s="31">
        <f t="shared" si="974"/>
        <v>9060.4204964692981</v>
      </c>
      <c r="Y442" s="31">
        <f t="shared" si="975"/>
        <v>25004.032212442467</v>
      </c>
      <c r="Z442" s="31">
        <f t="shared" si="976"/>
        <v>24277.735738491021</v>
      </c>
      <c r="AA442" s="31">
        <f t="shared" si="1012"/>
        <v>41212.652116756406</v>
      </c>
      <c r="AB442" s="31">
        <f t="shared" si="1013"/>
        <v>9079.7178345913817</v>
      </c>
      <c r="AC442" s="31">
        <f t="shared" si="1014"/>
        <v>25004.032212442467</v>
      </c>
      <c r="AD442" s="31">
        <f t="shared" si="1015"/>
        <v>24277.735738491021</v>
      </c>
      <c r="AE442" s="31">
        <f t="shared" si="978"/>
        <v>99574.137902281276</v>
      </c>
      <c r="AF442" s="31">
        <f>IFERROR(VLOOKUP(A442,'Allocations By Type'!$D$7:$F$491,3,FALSE),"")</f>
        <v>87245.84</v>
      </c>
      <c r="AG442" s="31">
        <f t="shared" si="979"/>
        <v>3982.9655160912512</v>
      </c>
      <c r="AH442" s="31">
        <f t="shared" si="980"/>
        <v>3982.9655160912512</v>
      </c>
      <c r="AI442" s="31">
        <f t="shared" si="981"/>
        <v>95591.172386190025</v>
      </c>
      <c r="AJ442" s="31">
        <f>AI442/$AI$577*'State Admin 1004(b)'!$B$30*0.01</f>
        <v>909.69332390843761</v>
      </c>
      <c r="AK442" s="31">
        <f t="shared" si="982"/>
        <v>94681.479062281593</v>
      </c>
      <c r="AL442" s="31">
        <f t="shared" si="983"/>
        <v>946.81479062281596</v>
      </c>
      <c r="AM442" s="31">
        <f t="shared" si="984"/>
        <v>93734.664271658781</v>
      </c>
      <c r="AP442" s="31"/>
      <c r="AQ442" s="4">
        <f t="shared" si="945"/>
        <v>1.0743740248435776</v>
      </c>
      <c r="AW442" s="31">
        <f t="shared" si="985"/>
        <v>93210.336608549536</v>
      </c>
      <c r="AX442" s="4">
        <f t="shared" si="986"/>
        <v>1.0683642521929932</v>
      </c>
      <c r="AZ442" s="174" t="str">
        <f>IFERROR(IF(VLOOKUP(A442,#REF!,11,FALSE)=0,"",VLOOKUP(A442,#REF!,11,FALSE)),"")</f>
        <v/>
      </c>
      <c r="BA442" s="31" t="str">
        <f t="shared" si="953"/>
        <v/>
      </c>
      <c r="BB442" s="31">
        <f t="shared" si="987"/>
        <v>93210.336608549536</v>
      </c>
      <c r="BD442" s="31" t="str">
        <f>IFERROR(VLOOKUP(A442,'Title II Hold Harmless'!A$1:B$439,2, FALSE),"")</f>
        <v/>
      </c>
      <c r="BE442" s="31">
        <f t="shared" si="968"/>
        <v>1256.7995307186093</v>
      </c>
      <c r="BF442" s="31">
        <f t="shared" si="969"/>
        <v>1258.0155592611018</v>
      </c>
      <c r="BG442" s="31" t="str">
        <f t="shared" si="956"/>
        <v/>
      </c>
      <c r="BH442" s="31">
        <f t="shared" si="957"/>
        <v>1258.0155592611018</v>
      </c>
    </row>
    <row r="443" spans="1:60" x14ac:dyDescent="0.3">
      <c r="A443" s="1">
        <v>108512000</v>
      </c>
      <c r="B443">
        <f>VLOOKUP(C443,'NCES ID'!$A$2:$B$3136,2,FALSE)</f>
        <v>400868</v>
      </c>
      <c r="C443">
        <f>VLOOKUP(A443,'State ID'!$A$2:$B$713,2,FALSE)</f>
        <v>91238</v>
      </c>
      <c r="D443" s="147" t="s">
        <v>310</v>
      </c>
      <c r="E443" t="s">
        <v>9</v>
      </c>
      <c r="I443" s="47">
        <f>VLOOKUP($C443,'Final SEA Counts'!$A$2:$F$709,5,FALSE)</f>
        <v>134</v>
      </c>
      <c r="J443" s="47">
        <f>VLOOKUP($C443,'Final SEA Counts'!$A$2:$F$709,6,FALSE)</f>
        <v>79</v>
      </c>
      <c r="K443" s="24">
        <f t="shared" si="988"/>
        <v>134</v>
      </c>
      <c r="L443" s="24">
        <f t="shared" si="970"/>
        <v>43.328810286766384</v>
      </c>
      <c r="M443" s="4">
        <f t="shared" si="971"/>
        <v>0.32334933049825659</v>
      </c>
      <c r="N443" s="31" t="str">
        <f>IFERROR(VLOOKUP($B443,#REF!,8,FALSE),"")</f>
        <v/>
      </c>
      <c r="O443" s="31" t="str">
        <f>IFERROR(VLOOKUP($B443,#REF!,9,FALSE),"")</f>
        <v/>
      </c>
      <c r="P443" s="31" t="str">
        <f>IFERROR(VLOOKUP($B443,#REF!,10,FALSE),"")</f>
        <v/>
      </c>
      <c r="Q443" s="31" t="str">
        <f>IFERROR(VLOOKUP($B443,#REF!,11,FALSE),"")</f>
        <v/>
      </c>
      <c r="R443" s="31" t="str">
        <f>IFERROR(VLOOKUP($B443,#REF!,12,FALSE),"")</f>
        <v/>
      </c>
      <c r="S443" s="31">
        <f t="shared" si="1042"/>
        <v>20737.576542826475</v>
      </c>
      <c r="T443" s="31">
        <f t="shared" si="1042"/>
        <v>4559.0650905800931</v>
      </c>
      <c r="U443" s="31">
        <f t="shared" si="1042"/>
        <v>12581.646782057038</v>
      </c>
      <c r="V443" s="31">
        <f t="shared" si="1042"/>
        <v>12216.185498985929</v>
      </c>
      <c r="W443" s="31">
        <f t="shared" si="973"/>
        <v>20737.576542826475</v>
      </c>
      <c r="X443" s="31">
        <f t="shared" si="974"/>
        <v>4559.0650905800931</v>
      </c>
      <c r="Y443" s="31">
        <f t="shared" si="975"/>
        <v>12581.646782057038</v>
      </c>
      <c r="Z443" s="31">
        <f t="shared" si="976"/>
        <v>12216.185498985929</v>
      </c>
      <c r="AA443" s="31">
        <f t="shared" si="1012"/>
        <v>20737.576542826475</v>
      </c>
      <c r="AB443" s="31">
        <f t="shared" si="1013"/>
        <v>4578.3624287021767</v>
      </c>
      <c r="AC443" s="31">
        <f t="shared" si="1014"/>
        <v>12581.646782057038</v>
      </c>
      <c r="AD443" s="31">
        <f t="shared" si="1015"/>
        <v>12216.185498985929</v>
      </c>
      <c r="AE443" s="31">
        <f t="shared" si="978"/>
        <v>50113.77125257162</v>
      </c>
      <c r="AF443" s="31">
        <f>IFERROR(VLOOKUP(A443,'Allocations By Type'!$D$7:$F$491,3,FALSE),"")</f>
        <v>38070.910000000003</v>
      </c>
      <c r="AG443" s="31">
        <f t="shared" si="979"/>
        <v>2004.5508501028648</v>
      </c>
      <c r="AH443" s="31">
        <f t="shared" si="980"/>
        <v>2004.5508501028648</v>
      </c>
      <c r="AI443" s="31">
        <f t="shared" si="981"/>
        <v>48109.220402468753</v>
      </c>
      <c r="AJ443" s="31">
        <f>AI443/$AI$577*'State Admin 1004(b)'!$B$30*0.01</f>
        <v>457.83136168427262</v>
      </c>
      <c r="AK443" s="31">
        <f t="shared" si="982"/>
        <v>47651.389040784481</v>
      </c>
      <c r="AL443" s="31">
        <f t="shared" si="983"/>
        <v>476.51389040784483</v>
      </c>
      <c r="AM443" s="31">
        <f t="shared" si="984"/>
        <v>47174.87515037664</v>
      </c>
      <c r="AP443" s="31"/>
      <c r="AQ443" s="4">
        <f t="shared" si="945"/>
        <v>1.2391317977525789</v>
      </c>
      <c r="AW443" s="31">
        <f t="shared" si="985"/>
        <v>46910.991002102732</v>
      </c>
      <c r="AX443" s="4">
        <f t="shared" si="986"/>
        <v>1.2322004123910546</v>
      </c>
      <c r="AZ443" s="174" t="str">
        <f>IFERROR(IF(VLOOKUP(A443,#REF!,11,FALSE)=0,"",VLOOKUP(A443,#REF!,11,FALSE)),"")</f>
        <v/>
      </c>
      <c r="BA443" s="31" t="str">
        <f t="shared" si="953"/>
        <v/>
      </c>
      <c r="BB443" s="31">
        <f t="shared" si="987"/>
        <v>46910.991002102732</v>
      </c>
      <c r="BD443" s="31" t="str">
        <f>IFERROR(VLOOKUP(A443,'Title II Hold Harmless'!A$1:B$439,2, FALSE),"")</f>
        <v/>
      </c>
      <c r="BE443" s="31">
        <f t="shared" si="968"/>
        <v>675.04644295319758</v>
      </c>
      <c r="BF443" s="31">
        <f t="shared" si="969"/>
        <v>675.6995906685454</v>
      </c>
      <c r="BG443" s="31" t="str">
        <f t="shared" si="956"/>
        <v/>
      </c>
      <c r="BH443" s="31">
        <f t="shared" si="957"/>
        <v>675.6995906685454</v>
      </c>
    </row>
    <row r="444" spans="1:60" s="47" customFormat="1" x14ac:dyDescent="0.3">
      <c r="A444" s="1">
        <v>100100000</v>
      </c>
      <c r="B444" s="47">
        <f>VLOOKUP(C444,'NCES ID'!$A$2:$B$3136,2,FALSE)</f>
        <v>405360</v>
      </c>
      <c r="C444" s="47">
        <f>VLOOKUP(A444,'State ID'!$A$2:$B$713,2,FALSE)</f>
        <v>4401</v>
      </c>
      <c r="D444" s="192" t="s">
        <v>486</v>
      </c>
      <c r="E444" s="47" t="s">
        <v>9</v>
      </c>
      <c r="H444" s="4"/>
      <c r="I444" s="47">
        <f>VLOOKUP($C444,'AzEDS FY17 12-04-16'!$A$1:$D$712,3,FALSE)</f>
        <v>59</v>
      </c>
      <c r="J444" s="47">
        <f>VLOOKUP($C444,'AzEDS FY17 12-04-16'!$A$1:$D$712,4,FALSE)</f>
        <v>59</v>
      </c>
      <c r="K444" s="24">
        <f t="shared" ref="K444" si="1043">I444</f>
        <v>59</v>
      </c>
      <c r="L444" s="24">
        <f t="shared" si="970"/>
        <v>32.359491226825526</v>
      </c>
      <c r="M444" s="4">
        <f t="shared" ref="M444" si="1044">L444/K444</f>
        <v>0.54846595299704282</v>
      </c>
      <c r="N444" s="31"/>
      <c r="O444" s="31"/>
      <c r="P444" s="31"/>
      <c r="Q444" s="31"/>
      <c r="R444" s="31"/>
      <c r="S444" s="31"/>
      <c r="T444" s="31"/>
      <c r="U444" s="31"/>
      <c r="V444" s="31"/>
      <c r="W444" s="31"/>
      <c r="X444" s="31"/>
      <c r="Y444" s="31"/>
      <c r="Z444" s="31"/>
      <c r="AA444" s="31"/>
      <c r="AB444" s="31"/>
      <c r="AC444" s="31"/>
      <c r="AD444" s="31"/>
      <c r="AE444" s="31"/>
      <c r="AF444" s="31"/>
      <c r="AG444" s="31"/>
      <c r="AH444" s="31"/>
      <c r="AI444" s="31"/>
      <c r="AJ444" s="31"/>
      <c r="AK444" s="31"/>
      <c r="AL444" s="31"/>
      <c r="AM444" s="31"/>
      <c r="AP444" s="31"/>
      <c r="AQ444" s="4"/>
      <c r="AR444" s="4"/>
      <c r="AS444" s="4"/>
      <c r="AT444" s="4"/>
      <c r="AW444" s="31"/>
      <c r="AX444" s="4"/>
      <c r="AZ444" s="174"/>
      <c r="BA444" s="31"/>
      <c r="BB444" s="31"/>
      <c r="BD444" s="31">
        <f>IFERROR(VLOOKUP(A444,'Title II Hold Harmless'!A$1:B$439,2, FALSE),"")</f>
        <v>11892</v>
      </c>
      <c r="BE444" s="31">
        <f t="shared" si="968"/>
        <v>12363.090697997948</v>
      </c>
      <c r="BF444" s="31">
        <f t="shared" si="969"/>
        <v>12375.052725986288</v>
      </c>
      <c r="BG444" s="31"/>
      <c r="BH444" s="31">
        <f t="shared" si="957"/>
        <v>12375.052725986288</v>
      </c>
    </row>
    <row r="445" spans="1:60" x14ac:dyDescent="0.3">
      <c r="A445" s="1">
        <v>108601000</v>
      </c>
      <c r="B445">
        <f>VLOOKUP(C445,'NCES ID'!$A$2:$B$3136,2,FALSE)</f>
        <v>400201</v>
      </c>
      <c r="C445">
        <f>VLOOKUP(A445,'State ID'!$A$2:$B$713,2,FALSE)</f>
        <v>4420</v>
      </c>
      <c r="D445" s="147" t="s">
        <v>341</v>
      </c>
      <c r="E445" t="s">
        <v>9</v>
      </c>
      <c r="I445" s="47">
        <f>VLOOKUP($C445,'Final SEA Counts'!$A$2:$F$709,5,FALSE)</f>
        <v>30</v>
      </c>
      <c r="J445" s="47">
        <f>VLOOKUP($C445,'Final SEA Counts'!$A$2:$F$709,6,FALSE)</f>
        <v>29</v>
      </c>
      <c r="K445" s="24">
        <f t="shared" si="988"/>
        <v>30</v>
      </c>
      <c r="L445" s="24">
        <f t="shared" si="970"/>
        <v>15.905512636914242</v>
      </c>
      <c r="M445" s="4">
        <f t="shared" si="971"/>
        <v>0.53018375456380806</v>
      </c>
      <c r="N445" s="31" t="str">
        <f>IFERROR(VLOOKUP($B445,#REF!,8,FALSE),"")</f>
        <v/>
      </c>
      <c r="O445" s="31" t="str">
        <f>IFERROR(VLOOKUP($B445,#REF!,9,FALSE),"")</f>
        <v/>
      </c>
      <c r="P445" s="31" t="str">
        <f>IFERROR(VLOOKUP($B445,#REF!,10,FALSE),"")</f>
        <v/>
      </c>
      <c r="Q445" s="31" t="str">
        <f>IFERROR(VLOOKUP($B445,#REF!,11,FALSE),"")</f>
        <v/>
      </c>
      <c r="R445" s="31" t="str">
        <f>IFERROR(VLOOKUP($B445,#REF!,12,FALSE),"")</f>
        <v/>
      </c>
      <c r="S445" s="31">
        <f t="shared" ref="S445:S460" si="1045">$L445*N$463</f>
        <v>7612.5280979995923</v>
      </c>
      <c r="T445" s="31">
        <f t="shared" ref="T445:T460" si="1046">$L445*O$463</f>
        <v>1673.5808560357304</v>
      </c>
      <c r="U445" s="31">
        <f t="shared" ref="U445:U460" si="1047">$L445*P$463</f>
        <v>4618.5791984766347</v>
      </c>
      <c r="V445" s="31">
        <f t="shared" ref="V445:V460" si="1048">$L445*Q$463</f>
        <v>4484.4225249442015</v>
      </c>
      <c r="W445" s="31">
        <f t="shared" si="973"/>
        <v>7612.5280979995923</v>
      </c>
      <c r="X445" s="31">
        <f t="shared" si="974"/>
        <v>1673.5808560357304</v>
      </c>
      <c r="Y445" s="31">
        <f t="shared" si="975"/>
        <v>4618.5791984766347</v>
      </c>
      <c r="Z445" s="31">
        <f t="shared" si="976"/>
        <v>4484.4225249442015</v>
      </c>
      <c r="AA445" s="31">
        <f t="shared" ref="AA445:AA460" si="1049">IF(W445="","",W445+W$463)</f>
        <v>7612.5280979995923</v>
      </c>
      <c r="AB445" s="31">
        <f t="shared" ref="AB445:AB460" si="1050">IF(X445="","",X445+X$463)</f>
        <v>1692.8781941578143</v>
      </c>
      <c r="AC445" s="31">
        <f t="shared" ref="AC445:AC460" si="1051">IF(Y445="","",Y445+Y$463)</f>
        <v>4618.5791984766347</v>
      </c>
      <c r="AD445" s="31">
        <f t="shared" ref="AD445:AD460" si="1052">IF(Z445="","",Z445+Z$463)</f>
        <v>4484.4225249442015</v>
      </c>
      <c r="AE445" s="31">
        <f t="shared" si="978"/>
        <v>18408.408015578243</v>
      </c>
      <c r="AF445" s="31">
        <f>IFERROR(VLOOKUP(A445,'Allocations By Type'!$D$7:$F$491,3,FALSE),"")</f>
        <v>13596.75</v>
      </c>
      <c r="AG445" s="31">
        <f t="shared" si="979"/>
        <v>736.33632062312972</v>
      </c>
      <c r="AH445" s="31">
        <f t="shared" si="980"/>
        <v>736.33632062312972</v>
      </c>
      <c r="AI445" s="31">
        <f t="shared" si="981"/>
        <v>17672.071694955113</v>
      </c>
      <c r="AJ445" s="31">
        <f>AI445/$AI$577*'State Admin 1004(b)'!$B$30*0.01</f>
        <v>168.17625769442333</v>
      </c>
      <c r="AK445" s="31">
        <f t="shared" si="982"/>
        <v>17503.89543726069</v>
      </c>
      <c r="AL445" s="31">
        <f t="shared" si="983"/>
        <v>175.0389543726069</v>
      </c>
      <c r="AM445" s="31">
        <f t="shared" si="984"/>
        <v>17328.856482888084</v>
      </c>
      <c r="AP445" s="31"/>
      <c r="AQ445" s="4">
        <f t="shared" si="945"/>
        <v>1.2744851882168964</v>
      </c>
      <c r="AW445" s="31">
        <f t="shared" ref="AW445:AW459" si="1053">IF(AV445="",AM445-AM445/($AM$462-$AV$462+$AU$462)*$AU$462,AV445)</f>
        <v>17231.923305662469</v>
      </c>
      <c r="AX445" s="4">
        <f t="shared" si="986"/>
        <v>1.2673560450594787</v>
      </c>
      <c r="AZ445" s="174" t="str">
        <f>IFERROR(IF(VLOOKUP(A445,#REF!,11,FALSE)=0,"",VLOOKUP(A445,#REF!,11,FALSE)),"")</f>
        <v/>
      </c>
      <c r="BA445" s="31" t="str">
        <f t="shared" si="953"/>
        <v/>
      </c>
      <c r="BB445" s="31">
        <f t="shared" si="987"/>
        <v>17231.923305662469</v>
      </c>
      <c r="BD445" s="31">
        <f>IFERROR(VLOOKUP(A445,'Title II Hold Harmless'!A$1:B$439,2, FALSE),"")</f>
        <v>3615</v>
      </c>
      <c r="BE445" s="31">
        <f t="shared" si="968"/>
        <v>3847.3578546376357</v>
      </c>
      <c r="BF445" s="31">
        <f t="shared" si="969"/>
        <v>3851.080402943925</v>
      </c>
      <c r="BG445" s="31" t="str">
        <f t="shared" si="956"/>
        <v/>
      </c>
      <c r="BH445" s="31">
        <f t="shared" si="957"/>
        <v>3851.080402943925</v>
      </c>
    </row>
    <row r="446" spans="1:60" x14ac:dyDescent="0.3">
      <c r="A446" s="1">
        <v>108799000</v>
      </c>
      <c r="B446">
        <f>VLOOKUP(C446,'NCES ID'!$A$2:$B$3136,2,FALSE)</f>
        <v>400768</v>
      </c>
      <c r="C446">
        <f>VLOOKUP(A446,'State ID'!$A$2:$B$713,2,FALSE)</f>
        <v>89864</v>
      </c>
      <c r="D446" s="147" t="s">
        <v>342</v>
      </c>
      <c r="E446" t="s">
        <v>9</v>
      </c>
      <c r="I446" s="47">
        <f>VLOOKUP($C446,'Final SEA Counts'!$A$2:$F$709,5,FALSE)</f>
        <v>99</v>
      </c>
      <c r="J446" s="47">
        <f>VLOOKUP($C446,'Final SEA Counts'!$A$2:$F$709,6,FALSE)</f>
        <v>95</v>
      </c>
      <c r="K446" s="24">
        <f t="shared" si="988"/>
        <v>99</v>
      </c>
      <c r="L446" s="24">
        <f t="shared" si="970"/>
        <v>52.104265534719069</v>
      </c>
      <c r="M446" s="4">
        <f t="shared" si="971"/>
        <v>0.52630571247190983</v>
      </c>
      <c r="N446" s="31" t="str">
        <f>IFERROR(VLOOKUP($B446,#REF!,8,FALSE),"")</f>
        <v/>
      </c>
      <c r="O446" s="31" t="str">
        <f>IFERROR(VLOOKUP($B446,#REF!,9,FALSE),"")</f>
        <v/>
      </c>
      <c r="P446" s="31" t="str">
        <f>IFERROR(VLOOKUP($B446,#REF!,10,FALSE),"")</f>
        <v/>
      </c>
      <c r="Q446" s="31" t="str">
        <f>IFERROR(VLOOKUP($B446,#REF!,11,FALSE),"")</f>
        <v/>
      </c>
      <c r="R446" s="31" t="str">
        <f>IFERROR(VLOOKUP($B446,#REF!,12,FALSE),"")</f>
        <v/>
      </c>
      <c r="S446" s="31">
        <f t="shared" si="1045"/>
        <v>24937.592045171077</v>
      </c>
      <c r="T446" s="31">
        <f t="shared" si="1046"/>
        <v>5482.4200456342887</v>
      </c>
      <c r="U446" s="31">
        <f t="shared" si="1047"/>
        <v>15129.828408802769</v>
      </c>
      <c r="V446" s="31">
        <f t="shared" si="1048"/>
        <v>14690.349650679282</v>
      </c>
      <c r="W446" s="31">
        <f t="shared" si="973"/>
        <v>24937.592045171077</v>
      </c>
      <c r="X446" s="31">
        <f t="shared" si="974"/>
        <v>5482.4200456342887</v>
      </c>
      <c r="Y446" s="31">
        <f t="shared" si="975"/>
        <v>15129.828408802769</v>
      </c>
      <c r="Z446" s="31">
        <f t="shared" si="976"/>
        <v>14690.349650679282</v>
      </c>
      <c r="AA446" s="31">
        <f t="shared" si="1049"/>
        <v>24937.592045171077</v>
      </c>
      <c r="AB446" s="31">
        <f t="shared" si="1050"/>
        <v>5501.7173837563723</v>
      </c>
      <c r="AC446" s="31">
        <f t="shared" si="1051"/>
        <v>15129.828408802769</v>
      </c>
      <c r="AD446" s="31">
        <f t="shared" si="1052"/>
        <v>14690.349650679282</v>
      </c>
      <c r="AE446" s="31">
        <f t="shared" si="978"/>
        <v>60259.487488409497</v>
      </c>
      <c r="AF446" s="31">
        <f>IFERROR(VLOOKUP(A446,'Allocations By Type'!$D$7:$F$491,3,FALSE),"")</f>
        <v>52120.89</v>
      </c>
      <c r="AG446" s="31">
        <f t="shared" si="979"/>
        <v>2410.3794995363801</v>
      </c>
      <c r="AH446" s="31">
        <f t="shared" si="980"/>
        <v>2410.3794995363801</v>
      </c>
      <c r="AI446" s="31">
        <f t="shared" si="981"/>
        <v>57849.107988873118</v>
      </c>
      <c r="AJ446" s="31">
        <f>AI446/$AI$577*'State Admin 1004(b)'!$B$30*0.01</f>
        <v>550.52099496102448</v>
      </c>
      <c r="AK446" s="31">
        <f t="shared" si="982"/>
        <v>57298.586993912097</v>
      </c>
      <c r="AL446" s="31">
        <f t="shared" si="983"/>
        <v>572.98586993912102</v>
      </c>
      <c r="AM446" s="31">
        <f t="shared" si="984"/>
        <v>56725.601123972978</v>
      </c>
      <c r="AP446" s="31"/>
      <c r="AQ446" s="4">
        <f t="shared" si="945"/>
        <v>1.0883467478006033</v>
      </c>
      <c r="AW446" s="31">
        <f t="shared" si="1053"/>
        <v>56408.292664963614</v>
      </c>
      <c r="AX446" s="4">
        <f t="shared" si="986"/>
        <v>1.082258815322678</v>
      </c>
      <c r="AZ446" s="174" t="str">
        <f>IFERROR(IF(VLOOKUP(A446,#REF!,11,FALSE)=0,"",VLOOKUP(A446,#REF!,11,FALSE)),"")</f>
        <v/>
      </c>
      <c r="BA446" s="31" t="str">
        <f t="shared" si="953"/>
        <v/>
      </c>
      <c r="BB446" s="31">
        <f t="shared" si="987"/>
        <v>56408.292664963614</v>
      </c>
      <c r="BD446" s="31" t="str">
        <f>IFERROR(VLOOKUP(A446,'Title II Hold Harmless'!A$1:B$439,2, FALSE),"")</f>
        <v/>
      </c>
      <c r="BE446" s="31">
        <f t="shared" si="968"/>
        <v>761.7550684156804</v>
      </c>
      <c r="BF446" s="31">
        <f t="shared" si="969"/>
        <v>762.49211190029416</v>
      </c>
      <c r="BG446" s="31" t="str">
        <f t="shared" si="956"/>
        <v/>
      </c>
      <c r="BH446" s="31">
        <f t="shared" si="957"/>
        <v>762.49211190029416</v>
      </c>
    </row>
    <row r="447" spans="1:60" x14ac:dyDescent="0.3">
      <c r="A447" s="1">
        <v>108711000</v>
      </c>
      <c r="B447">
        <f>VLOOKUP(C447,'NCES ID'!$A$2:$B$3136,2,FALSE)</f>
        <v>400367</v>
      </c>
      <c r="C447">
        <f>VLOOKUP(A447,'State ID'!$A$2:$B$713,2,FALSE)</f>
        <v>79959</v>
      </c>
      <c r="D447" s="147" t="s">
        <v>343</v>
      </c>
      <c r="E447" t="s">
        <v>9</v>
      </c>
      <c r="I447" s="47">
        <f>VLOOKUP($C447,'Final SEA Counts'!$A$2:$F$709,5,FALSE)</f>
        <v>147</v>
      </c>
      <c r="J447" s="47">
        <f>VLOOKUP($C447,'Final SEA Counts'!$A$2:$F$709,6,FALSE)</f>
        <v>142</v>
      </c>
      <c r="K447" s="24">
        <f t="shared" si="988"/>
        <v>147</v>
      </c>
      <c r="L447" s="24">
        <f t="shared" si="970"/>
        <v>77.882165325580075</v>
      </c>
      <c r="M447" s="4">
        <f t="shared" si="971"/>
        <v>0.52981064847333381</v>
      </c>
      <c r="N447" s="31" t="str">
        <f>IFERROR(VLOOKUP($B447,#REF!,8,FALSE),"")</f>
        <v/>
      </c>
      <c r="O447" s="31" t="str">
        <f>IFERROR(VLOOKUP($B447,#REF!,9,FALSE),"")</f>
        <v/>
      </c>
      <c r="P447" s="31" t="str">
        <f>IFERROR(VLOOKUP($B447,#REF!,10,FALSE),"")</f>
        <v/>
      </c>
      <c r="Q447" s="31" t="str">
        <f>IFERROR(VLOOKUP($B447,#REF!,11,FALSE),"")</f>
        <v/>
      </c>
      <c r="R447" s="31" t="str">
        <f>IFERROR(VLOOKUP($B447,#REF!,12,FALSE),"")</f>
        <v/>
      </c>
      <c r="S447" s="31">
        <f t="shared" si="1045"/>
        <v>37275.137583308344</v>
      </c>
      <c r="T447" s="31">
        <f t="shared" si="1046"/>
        <v>8194.7752261059886</v>
      </c>
      <c r="U447" s="31">
        <f t="shared" si="1047"/>
        <v>22615.111937368347</v>
      </c>
      <c r="V447" s="31">
        <f t="shared" si="1048"/>
        <v>21958.206846278503</v>
      </c>
      <c r="W447" s="31">
        <f t="shared" si="973"/>
        <v>37275.137583308344</v>
      </c>
      <c r="X447" s="31">
        <f t="shared" si="974"/>
        <v>8194.7752261059886</v>
      </c>
      <c r="Y447" s="31">
        <f t="shared" si="975"/>
        <v>22615.111937368347</v>
      </c>
      <c r="Z447" s="31">
        <f t="shared" si="976"/>
        <v>21958.206846278503</v>
      </c>
      <c r="AA447" s="31">
        <f t="shared" si="1049"/>
        <v>37275.137583308344</v>
      </c>
      <c r="AB447" s="31">
        <f t="shared" si="1050"/>
        <v>8214.0725642280722</v>
      </c>
      <c r="AC447" s="31">
        <f t="shared" si="1051"/>
        <v>22615.111937368347</v>
      </c>
      <c r="AD447" s="31">
        <f t="shared" si="1052"/>
        <v>21958.206846278503</v>
      </c>
      <c r="AE447" s="31">
        <f t="shared" si="978"/>
        <v>90062.528931183275</v>
      </c>
      <c r="AF447" s="31">
        <f>IFERROR(VLOOKUP(A447,'Allocations By Type'!$D$7:$F$491,3,FALSE),"")</f>
        <v>83846.649999999994</v>
      </c>
      <c r="AG447" s="31">
        <f t="shared" si="979"/>
        <v>3602.5011572473309</v>
      </c>
      <c r="AH447" s="31">
        <f t="shared" si="980"/>
        <v>3602.5011572473309</v>
      </c>
      <c r="AI447" s="31">
        <f t="shared" si="981"/>
        <v>86460.027773935944</v>
      </c>
      <c r="AJ447" s="31">
        <f>AI447/$AI$577*'State Admin 1004(b)'!$B$30*0.01</f>
        <v>822.79679271148302</v>
      </c>
      <c r="AK447" s="31">
        <f t="shared" si="982"/>
        <v>85637.230981224464</v>
      </c>
      <c r="AL447" s="31">
        <f t="shared" si="983"/>
        <v>856.37230981224468</v>
      </c>
      <c r="AM447" s="31">
        <f t="shared" si="984"/>
        <v>84780.858671412221</v>
      </c>
      <c r="AP447" s="31"/>
      <c r="AQ447" s="4">
        <f t="shared" si="945"/>
        <v>1.0111418723516352</v>
      </c>
      <c r="AW447" s="31">
        <f t="shared" si="1053"/>
        <v>84306.616299617453</v>
      </c>
      <c r="AX447" s="4">
        <f t="shared" si="986"/>
        <v>1.0054858041390737</v>
      </c>
      <c r="AZ447" s="174" t="str">
        <f>IFERROR(IF(VLOOKUP(A447,#REF!,11,FALSE)=0,"",VLOOKUP(A447,#REF!,11,FALSE)),"")</f>
        <v/>
      </c>
      <c r="BA447" s="31" t="str">
        <f t="shared" si="953"/>
        <v/>
      </c>
      <c r="BB447" s="31">
        <f t="shared" si="987"/>
        <v>84306.616299617453</v>
      </c>
      <c r="BD447" s="31" t="str">
        <f>IFERROR(VLOOKUP(A447,'Title II Hold Harmless'!A$1:B$439,2, FALSE),"")</f>
        <v/>
      </c>
      <c r="BE447" s="31">
        <f t="shared" si="968"/>
        <v>1137.8355088831988</v>
      </c>
      <c r="BF447" s="31">
        <f t="shared" si="969"/>
        <v>1138.9364326356706</v>
      </c>
      <c r="BG447" s="31" t="str">
        <f t="shared" si="956"/>
        <v/>
      </c>
      <c r="BH447" s="31">
        <f t="shared" si="957"/>
        <v>1138.9364326356706</v>
      </c>
    </row>
    <row r="448" spans="1:60" x14ac:dyDescent="0.3">
      <c r="A448" s="1">
        <v>108507000</v>
      </c>
      <c r="B448">
        <f>VLOOKUP(C448,'NCES ID'!$A$2:$B$3136,2,FALSE)</f>
        <v>400821</v>
      </c>
      <c r="C448">
        <f>VLOOKUP(A448,'State ID'!$A$2:$B$713,2,FALSE)</f>
        <v>90536</v>
      </c>
      <c r="D448" s="147" t="s">
        <v>344</v>
      </c>
      <c r="E448" t="s">
        <v>9</v>
      </c>
      <c r="I448" s="47">
        <f>VLOOKUP($C448,'Final SEA Counts'!$A$2:$F$709,5,FALSE)</f>
        <v>82</v>
      </c>
      <c r="J448" s="47">
        <f>VLOOKUP($C448,'Final SEA Counts'!$A$2:$F$709,6,FALSE)</f>
        <v>80</v>
      </c>
      <c r="K448" s="24">
        <f t="shared" si="988"/>
        <v>82</v>
      </c>
      <c r="L448" s="24">
        <f t="shared" si="970"/>
        <v>43.877276239763425</v>
      </c>
      <c r="M448" s="4">
        <f t="shared" si="971"/>
        <v>0.53508873463126128</v>
      </c>
      <c r="N448" s="31" t="str">
        <f>IFERROR(VLOOKUP($B448,#REF!,8,FALSE),"")</f>
        <v/>
      </c>
      <c r="O448" s="31" t="str">
        <f>IFERROR(VLOOKUP($B448,#REF!,9,FALSE),"")</f>
        <v/>
      </c>
      <c r="P448" s="31" t="str">
        <f>IFERROR(VLOOKUP($B448,#REF!,10,FALSE),"")</f>
        <v/>
      </c>
      <c r="Q448" s="31" t="str">
        <f>IFERROR(VLOOKUP($B448,#REF!,11,FALSE),"")</f>
        <v/>
      </c>
      <c r="R448" s="31" t="str">
        <f>IFERROR(VLOOKUP($B448,#REF!,12,FALSE),"")</f>
        <v/>
      </c>
      <c r="S448" s="31">
        <f t="shared" si="1045"/>
        <v>21000.077511723011</v>
      </c>
      <c r="T448" s="31">
        <f t="shared" si="1046"/>
        <v>4616.7747752709802</v>
      </c>
      <c r="U448" s="31">
        <f t="shared" si="1047"/>
        <v>12740.908133728646</v>
      </c>
      <c r="V448" s="31">
        <f t="shared" si="1048"/>
        <v>12370.820758466763</v>
      </c>
      <c r="W448" s="31">
        <f t="shared" si="973"/>
        <v>21000.077511723011</v>
      </c>
      <c r="X448" s="31">
        <f t="shared" si="974"/>
        <v>4616.7747752709802</v>
      </c>
      <c r="Y448" s="31">
        <f t="shared" si="975"/>
        <v>12740.908133728646</v>
      </c>
      <c r="Z448" s="31">
        <f t="shared" si="976"/>
        <v>12370.820758466763</v>
      </c>
      <c r="AA448" s="31">
        <f t="shared" si="1049"/>
        <v>21000.077511723011</v>
      </c>
      <c r="AB448" s="31">
        <f t="shared" si="1050"/>
        <v>4636.0721133930638</v>
      </c>
      <c r="AC448" s="31">
        <f t="shared" si="1051"/>
        <v>12740.908133728646</v>
      </c>
      <c r="AD448" s="31">
        <f t="shared" si="1052"/>
        <v>12370.820758466763</v>
      </c>
      <c r="AE448" s="31">
        <f t="shared" si="978"/>
        <v>50747.878517311481</v>
      </c>
      <c r="AF448" s="31">
        <f>IFERROR(VLOOKUP(A448,'Allocations By Type'!$D$7:$F$491,3,FALSE),"")</f>
        <v>67983.77</v>
      </c>
      <c r="AG448" s="31" t="str">
        <f t="shared" si="979"/>
        <v/>
      </c>
      <c r="AH448" s="31" t="str">
        <f t="shared" si="980"/>
        <v/>
      </c>
      <c r="AI448" s="31">
        <f t="shared" si="981"/>
        <v>50747.878517311481</v>
      </c>
      <c r="AJ448" s="31">
        <f>AI448/$AI$577*'State Admin 1004(b)'!$B$30*0.01</f>
        <v>482.94214975423915</v>
      </c>
      <c r="AK448" s="31">
        <f t="shared" si="982"/>
        <v>50264.936367557239</v>
      </c>
      <c r="AL448" s="31">
        <f t="shared" si="983"/>
        <v>502.64936367557237</v>
      </c>
      <c r="AM448" s="31">
        <f t="shared" si="984"/>
        <v>49762.287003881669</v>
      </c>
      <c r="AP448" s="31"/>
      <c r="AQ448" s="4">
        <f t="shared" si="945"/>
        <v>0.73197304303485478</v>
      </c>
      <c r="AW448" s="31">
        <f t="shared" si="1053"/>
        <v>49483.929537532837</v>
      </c>
      <c r="AX448" s="4">
        <f t="shared" si="986"/>
        <v>0.72787857362915931</v>
      </c>
      <c r="AZ448" s="174" t="str">
        <f>IFERROR(IF(VLOOKUP(A448,#REF!,11,FALSE)=0,"",VLOOKUP(A448,#REF!,11,FALSE)),"")</f>
        <v/>
      </c>
      <c r="BA448" s="31" t="str">
        <f t="shared" si="953"/>
        <v/>
      </c>
      <c r="BB448" s="31">
        <f t="shared" si="987"/>
        <v>49483.929537532837</v>
      </c>
      <c r="BD448" s="31" t="str">
        <f>IFERROR(VLOOKUP(A448,'Title II Hold Harmless'!A$1:B$439,2, FALSE),"")</f>
        <v/>
      </c>
      <c r="BE448" s="31">
        <f t="shared" si="968"/>
        <v>640.37664751179477</v>
      </c>
      <c r="BF448" s="31">
        <f t="shared" si="969"/>
        <v>640.99625013121545</v>
      </c>
      <c r="BG448" s="31" t="str">
        <f t="shared" si="956"/>
        <v/>
      </c>
      <c r="BH448" s="31">
        <f t="shared" si="957"/>
        <v>640.99625013121545</v>
      </c>
    </row>
    <row r="449" spans="1:60" x14ac:dyDescent="0.3">
      <c r="A449" s="1">
        <v>108744000</v>
      </c>
      <c r="B449">
        <f>VLOOKUP(C449,'NCES ID'!$A$2:$B$3136,2,FALSE)</f>
        <v>400083</v>
      </c>
      <c r="C449">
        <f>VLOOKUP(A449,'State ID'!$A$2:$B$713,2,FALSE)</f>
        <v>4431</v>
      </c>
      <c r="D449" s="147" t="s">
        <v>350</v>
      </c>
      <c r="E449" t="s">
        <v>9</v>
      </c>
      <c r="I449" s="47">
        <f>VLOOKUP($C449,'Final SEA Counts'!$A$2:$F$709,5,FALSE)</f>
        <v>324</v>
      </c>
      <c r="J449" s="47">
        <f>VLOOKUP($C449,'Final SEA Counts'!$A$2:$F$709,6,FALSE)</f>
        <v>313</v>
      </c>
      <c r="K449" s="24">
        <f t="shared" si="988"/>
        <v>324</v>
      </c>
      <c r="L449" s="24">
        <f t="shared" si="970"/>
        <v>171.66984328807439</v>
      </c>
      <c r="M449" s="4">
        <f t="shared" si="971"/>
        <v>0.52984519533356289</v>
      </c>
      <c r="N449" s="31" t="str">
        <f>IFERROR(VLOOKUP($B449,#REF!,8,FALSE),"")</f>
        <v/>
      </c>
      <c r="O449" s="31" t="str">
        <f>IFERROR(VLOOKUP($B449,#REF!,9,FALSE),"")</f>
        <v/>
      </c>
      <c r="P449" s="31" t="str">
        <f>IFERROR(VLOOKUP($B449,#REF!,10,FALSE),"")</f>
        <v/>
      </c>
      <c r="Q449" s="31" t="str">
        <f>IFERROR(VLOOKUP($B449,#REF!,11,FALSE),"")</f>
        <v/>
      </c>
      <c r="R449" s="31" t="str">
        <f>IFERROR(VLOOKUP($B449,#REF!,12,FALSE),"")</f>
        <v/>
      </c>
      <c r="S449" s="31">
        <f t="shared" si="1045"/>
        <v>82162.803264616276</v>
      </c>
      <c r="T449" s="31">
        <f t="shared" si="1046"/>
        <v>18063.13130824771</v>
      </c>
      <c r="U449" s="31">
        <f t="shared" si="1047"/>
        <v>49848.803073213327</v>
      </c>
      <c r="V449" s="31">
        <f t="shared" si="1048"/>
        <v>48400.836217501208</v>
      </c>
      <c r="W449" s="31">
        <f t="shared" si="973"/>
        <v>82162.803264616276</v>
      </c>
      <c r="X449" s="31">
        <f t="shared" si="974"/>
        <v>18063.13130824771</v>
      </c>
      <c r="Y449" s="31">
        <f t="shared" si="975"/>
        <v>49848.803073213327</v>
      </c>
      <c r="Z449" s="31">
        <f t="shared" si="976"/>
        <v>48400.836217501208</v>
      </c>
      <c r="AA449" s="31">
        <f t="shared" si="1049"/>
        <v>82162.803264616276</v>
      </c>
      <c r="AB449" s="31">
        <f t="shared" si="1050"/>
        <v>18082.428646369794</v>
      </c>
      <c r="AC449" s="31">
        <f t="shared" si="1051"/>
        <v>49848.803073213327</v>
      </c>
      <c r="AD449" s="31">
        <f t="shared" si="1052"/>
        <v>48400.836217501208</v>
      </c>
      <c r="AE449" s="31">
        <f t="shared" si="978"/>
        <v>198494.87120170059</v>
      </c>
      <c r="AF449" s="31">
        <f>IFERROR(VLOOKUP(A449,'Allocations By Type'!$D$7:$F$491,3,FALSE),"")</f>
        <v>239642.8</v>
      </c>
      <c r="AG449" s="31" t="str">
        <f t="shared" si="979"/>
        <v/>
      </c>
      <c r="AH449" s="31" t="str">
        <f t="shared" si="980"/>
        <v/>
      </c>
      <c r="AI449" s="31">
        <f t="shared" si="981"/>
        <v>198494.87120170059</v>
      </c>
      <c r="AJ449" s="31">
        <f>AI449/$AI$577*'State Admin 1004(b)'!$B$30*0.01</f>
        <v>1888.9763003716328</v>
      </c>
      <c r="AK449" s="31">
        <f t="shared" si="982"/>
        <v>196605.89490132895</v>
      </c>
      <c r="AL449" s="31">
        <f t="shared" si="983"/>
        <v>1966.0589490132895</v>
      </c>
      <c r="AM449" s="31">
        <f t="shared" si="984"/>
        <v>194639.83595231565</v>
      </c>
      <c r="AP449" s="31"/>
      <c r="AQ449" s="4">
        <f t="shared" si="945"/>
        <v>0.81220815293560111</v>
      </c>
      <c r="AW449" s="31">
        <f t="shared" si="1053"/>
        <v>193551.07064733657</v>
      </c>
      <c r="AX449" s="4">
        <f t="shared" si="986"/>
        <v>0.80766486891046418</v>
      </c>
      <c r="AZ449" s="174" t="str">
        <f>IFERROR(IF(VLOOKUP(A449,#REF!,11,FALSE)=0,"",VLOOKUP(A449,#REF!,11,FALSE)),"")</f>
        <v/>
      </c>
      <c r="BA449" s="31" t="str">
        <f t="shared" si="953"/>
        <v/>
      </c>
      <c r="BB449" s="31">
        <f t="shared" si="987"/>
        <v>193551.07064733657</v>
      </c>
      <c r="BD449" s="31">
        <f>IFERROR(VLOOKUP(A449,'Title II Hold Harmless'!A$1:B$439,2, FALSE),"")</f>
        <v>18840</v>
      </c>
      <c r="BE449" s="31">
        <f t="shared" si="968"/>
        <v>21348.028872404033</v>
      </c>
      <c r="BF449" s="31">
        <f t="shared" si="969"/>
        <v>21368.684364230921</v>
      </c>
      <c r="BG449" s="31" t="str">
        <f t="shared" si="956"/>
        <v/>
      </c>
      <c r="BH449" s="31">
        <f t="shared" si="957"/>
        <v>21368.684364230921</v>
      </c>
    </row>
    <row r="450" spans="1:60" x14ac:dyDescent="0.3">
      <c r="A450" s="1">
        <v>108778000</v>
      </c>
      <c r="B450">
        <f>VLOOKUP(C450,'NCES ID'!$A$2:$B$3136,2,FALSE)</f>
        <v>400081</v>
      </c>
      <c r="C450">
        <f>VLOOKUP(A450,'State ID'!$A$2:$B$713,2,FALSE)</f>
        <v>4425</v>
      </c>
      <c r="D450" s="147" t="s">
        <v>354</v>
      </c>
      <c r="E450" t="s">
        <v>9</v>
      </c>
      <c r="I450" s="47">
        <f>VLOOKUP($C450,'Final SEA Counts'!$A$2:$F$709,5,FALSE)</f>
        <v>420</v>
      </c>
      <c r="J450" s="47">
        <f>VLOOKUP($C450,'Final SEA Counts'!$A$2:$F$709,6,FALSE)</f>
        <v>304</v>
      </c>
      <c r="K450" s="24">
        <f t="shared" si="988"/>
        <v>420</v>
      </c>
      <c r="L450" s="24">
        <f t="shared" si="970"/>
        <v>166.73364971110101</v>
      </c>
      <c r="M450" s="4">
        <f t="shared" si="971"/>
        <v>0.39698488026452622</v>
      </c>
      <c r="N450" s="31" t="str">
        <f>IFERROR(VLOOKUP($B450,#REF!,8,FALSE),"")</f>
        <v/>
      </c>
      <c r="O450" s="31" t="str">
        <f>IFERROR(VLOOKUP($B450,#REF!,9,FALSE),"")</f>
        <v/>
      </c>
      <c r="P450" s="31" t="str">
        <f>IFERROR(VLOOKUP($B450,#REF!,10,FALSE),"")</f>
        <v/>
      </c>
      <c r="Q450" s="31" t="str">
        <f>IFERROR(VLOOKUP($B450,#REF!,11,FALSE),"")</f>
        <v/>
      </c>
      <c r="R450" s="31" t="str">
        <f>IFERROR(VLOOKUP($B450,#REF!,12,FALSE),"")</f>
        <v/>
      </c>
      <c r="S450" s="31">
        <f t="shared" si="1045"/>
        <v>79800.294544547447</v>
      </c>
      <c r="T450" s="31">
        <f t="shared" si="1046"/>
        <v>17543.744146029723</v>
      </c>
      <c r="U450" s="31">
        <f t="shared" si="1047"/>
        <v>48415.450908168852</v>
      </c>
      <c r="V450" s="31">
        <f t="shared" si="1048"/>
        <v>47009.118882173694</v>
      </c>
      <c r="W450" s="31">
        <f t="shared" si="973"/>
        <v>79800.294544547447</v>
      </c>
      <c r="X450" s="31">
        <f t="shared" si="974"/>
        <v>17543.744146029723</v>
      </c>
      <c r="Y450" s="31">
        <f t="shared" si="975"/>
        <v>48415.450908168852</v>
      </c>
      <c r="Z450" s="31">
        <f t="shared" si="976"/>
        <v>47009.118882173694</v>
      </c>
      <c r="AA450" s="31">
        <f t="shared" si="1049"/>
        <v>79800.294544547447</v>
      </c>
      <c r="AB450" s="31">
        <f t="shared" si="1050"/>
        <v>17563.041484151807</v>
      </c>
      <c r="AC450" s="31">
        <f t="shared" si="1051"/>
        <v>48415.450908168852</v>
      </c>
      <c r="AD450" s="31">
        <f t="shared" si="1052"/>
        <v>47009.118882173694</v>
      </c>
      <c r="AE450" s="31">
        <f t="shared" si="978"/>
        <v>192787.9058190418</v>
      </c>
      <c r="AF450" s="31">
        <f>IFERROR(VLOOKUP(A450,'Allocations By Type'!$D$7:$F$491,3,FALSE),"")</f>
        <v>181290.06</v>
      </c>
      <c r="AG450" s="31">
        <f t="shared" si="979"/>
        <v>7711.5162327616717</v>
      </c>
      <c r="AH450" s="31">
        <f t="shared" si="980"/>
        <v>7711.5162327616717</v>
      </c>
      <c r="AI450" s="31">
        <f t="shared" si="981"/>
        <v>185076.38958628013</v>
      </c>
      <c r="AJ450" s="31">
        <f>AI450/$AI$577*'State Admin 1004(b)'!$B$30*0.01</f>
        <v>1761.2793296385951</v>
      </c>
      <c r="AK450" s="31">
        <f t="shared" si="982"/>
        <v>183315.11025664152</v>
      </c>
      <c r="AL450" s="31">
        <f t="shared" si="983"/>
        <v>1833.1511025664151</v>
      </c>
      <c r="AM450" s="31">
        <f t="shared" si="984"/>
        <v>181481.9591540751</v>
      </c>
      <c r="AP450" s="31"/>
      <c r="AQ450" s="4">
        <f t="shared" si="945"/>
        <v>1.0010585199986977</v>
      </c>
      <c r="AW450" s="31">
        <f t="shared" si="1053"/>
        <v>180466.79563608387</v>
      </c>
      <c r="AX450" s="4">
        <f t="shared" si="986"/>
        <v>0.99545885547218571</v>
      </c>
      <c r="AZ450" s="174" t="str">
        <f>IFERROR(IF(VLOOKUP(A450,#REF!,11,FALSE)=0,"",VLOOKUP(A450,#REF!,11,FALSE)),"")</f>
        <v/>
      </c>
      <c r="BA450" s="31" t="str">
        <f t="shared" si="953"/>
        <v/>
      </c>
      <c r="BB450" s="31">
        <f t="shared" si="987"/>
        <v>180466.79563608387</v>
      </c>
      <c r="BD450" s="31">
        <f>IFERROR(VLOOKUP(A450,'Title II Hold Harmless'!A$1:B$439,2, FALSE),"")</f>
        <v>18793</v>
      </c>
      <c r="BE450" s="31">
        <f t="shared" si="968"/>
        <v>21313.671546885726</v>
      </c>
      <c r="BF450" s="31">
        <f t="shared" si="969"/>
        <v>21334.293795949983</v>
      </c>
      <c r="BG450" s="31" t="str">
        <f t="shared" si="956"/>
        <v/>
      </c>
      <c r="BH450" s="31">
        <f t="shared" si="957"/>
        <v>21334.293795949983</v>
      </c>
    </row>
    <row r="451" spans="1:60" x14ac:dyDescent="0.3">
      <c r="A451" s="1">
        <v>108503000</v>
      </c>
      <c r="B451">
        <f>VLOOKUP(C451,'NCES ID'!$A$2:$B$3136,2,FALSE)</f>
        <v>400774</v>
      </c>
      <c r="C451">
        <f>VLOOKUP(A451,'State ID'!$A$2:$B$713,2,FALSE)</f>
        <v>89915</v>
      </c>
      <c r="D451" s="147" t="s">
        <v>392</v>
      </c>
      <c r="E451" t="s">
        <v>9</v>
      </c>
      <c r="I451" s="47">
        <f>VLOOKUP($C451,'Final SEA Counts'!$A$2:$F$709,5,FALSE)</f>
        <v>320</v>
      </c>
      <c r="J451" s="47">
        <f>VLOOKUP($C451,'Final SEA Counts'!$A$2:$F$709,6,FALSE)</f>
        <v>192</v>
      </c>
      <c r="K451" s="24">
        <f t="shared" si="988"/>
        <v>320</v>
      </c>
      <c r="L451" s="24">
        <f t="shared" si="970"/>
        <v>105.30546297543222</v>
      </c>
      <c r="M451" s="4">
        <f t="shared" si="971"/>
        <v>0.32907957179822567</v>
      </c>
      <c r="N451" s="31" t="str">
        <f>IFERROR(VLOOKUP($B451,#REF!,8,FALSE),"")</f>
        <v/>
      </c>
      <c r="O451" s="31" t="str">
        <f>IFERROR(VLOOKUP($B451,#REF!,9,FALSE),"")</f>
        <v/>
      </c>
      <c r="P451" s="31" t="str">
        <f>IFERROR(VLOOKUP($B451,#REF!,10,FALSE),"")</f>
        <v/>
      </c>
      <c r="Q451" s="31" t="str">
        <f>IFERROR(VLOOKUP($B451,#REF!,11,FALSE),"")</f>
        <v/>
      </c>
      <c r="R451" s="31" t="str">
        <f>IFERROR(VLOOKUP($B451,#REF!,12,FALSE),"")</f>
        <v/>
      </c>
      <c r="S451" s="31">
        <f t="shared" si="1045"/>
        <v>50400.186028135227</v>
      </c>
      <c r="T451" s="31">
        <f t="shared" si="1046"/>
        <v>11080.259460650352</v>
      </c>
      <c r="U451" s="31">
        <f t="shared" si="1047"/>
        <v>30578.17952094875</v>
      </c>
      <c r="V451" s="31">
        <f t="shared" si="1048"/>
        <v>29689.969820320232</v>
      </c>
      <c r="W451" s="31">
        <f t="shared" si="973"/>
        <v>50400.186028135227</v>
      </c>
      <c r="X451" s="31">
        <f t="shared" si="974"/>
        <v>11080.259460650352</v>
      </c>
      <c r="Y451" s="31">
        <f t="shared" si="975"/>
        <v>30578.17952094875</v>
      </c>
      <c r="Z451" s="31">
        <f t="shared" si="976"/>
        <v>29689.969820320232</v>
      </c>
      <c r="AA451" s="31">
        <f t="shared" si="1049"/>
        <v>50400.186028135227</v>
      </c>
      <c r="AB451" s="31">
        <f t="shared" si="1050"/>
        <v>11099.556798772435</v>
      </c>
      <c r="AC451" s="31">
        <f t="shared" si="1051"/>
        <v>30578.17952094875</v>
      </c>
      <c r="AD451" s="31">
        <f t="shared" si="1052"/>
        <v>29689.969820320232</v>
      </c>
      <c r="AE451" s="31">
        <f t="shared" si="978"/>
        <v>121767.89216817664</v>
      </c>
      <c r="AF451" s="31">
        <f>IFERROR(VLOOKUP(A451,'Allocations By Type'!$D$7:$F$491,3,FALSE),"")</f>
        <v>119651.44</v>
      </c>
      <c r="AG451" s="31">
        <f t="shared" si="979"/>
        <v>4870.715686727066</v>
      </c>
      <c r="AH451" s="31">
        <f t="shared" si="980"/>
        <v>2116.4521681766346</v>
      </c>
      <c r="AI451" s="31">
        <f t="shared" si="981"/>
        <v>119651.44</v>
      </c>
      <c r="AJ451" s="31">
        <f>AI451/$AI$577*'State Admin 1004(b)'!$B$30*0.01</f>
        <v>1138.6628435133189</v>
      </c>
      <c r="AK451" s="31">
        <f t="shared" si="982"/>
        <v>118512.77715648669</v>
      </c>
      <c r="AL451" s="31">
        <f t="shared" si="983"/>
        <v>1185.1277715648669</v>
      </c>
      <c r="AM451" s="31">
        <f t="shared" si="984"/>
        <v>117327.64938492182</v>
      </c>
      <c r="AP451" s="31"/>
      <c r="AQ451" s="4">
        <f t="shared" si="945"/>
        <v>0.98057866570533392</v>
      </c>
      <c r="AW451" s="31">
        <f t="shared" si="1053"/>
        <v>116671.34861617092</v>
      </c>
      <c r="AX451" s="4">
        <f t="shared" si="986"/>
        <v>0.97509356022937055</v>
      </c>
      <c r="AZ451" s="174" t="str">
        <f>IFERROR(IF(VLOOKUP(A451,#REF!,11,FALSE)=0,"",VLOOKUP(A451,#REF!,11,FALSE)),"")</f>
        <v/>
      </c>
      <c r="BA451" s="31" t="str">
        <f t="shared" si="953"/>
        <v/>
      </c>
      <c r="BB451" s="31">
        <f t="shared" si="987"/>
        <v>116671.34861617092</v>
      </c>
      <c r="BD451" s="31" t="str">
        <f>IFERROR(VLOOKUP(A451,'Title II Hold Harmless'!A$1:B$439,2, FALSE),"")</f>
        <v/>
      </c>
      <c r="BE451" s="31">
        <f t="shared" si="968"/>
        <v>1636.0552757736912</v>
      </c>
      <c r="BF451" s="31">
        <f t="shared" si="969"/>
        <v>1637.6382568807087</v>
      </c>
      <c r="BG451" s="31" t="str">
        <f t="shared" si="956"/>
        <v/>
      </c>
      <c r="BH451" s="31">
        <f t="shared" si="957"/>
        <v>1637.6382568807087</v>
      </c>
    </row>
    <row r="452" spans="1:60" x14ac:dyDescent="0.3">
      <c r="A452" s="1">
        <v>108504000</v>
      </c>
      <c r="B452">
        <f>VLOOKUP(C452,'NCES ID'!$A$2:$B$3136,2,FALSE)</f>
        <v>400807</v>
      </c>
      <c r="C452">
        <f>VLOOKUP(A452,'State ID'!$A$2:$B$713,2,FALSE)</f>
        <v>90284</v>
      </c>
      <c r="D452" s="147" t="s">
        <v>393</v>
      </c>
      <c r="E452" t="s">
        <v>9</v>
      </c>
      <c r="I452" s="47">
        <f>VLOOKUP($C452,'Final SEA Counts'!$A$2:$F$709,5,FALSE)</f>
        <v>218</v>
      </c>
      <c r="J452" s="47">
        <f>VLOOKUP($C452,'Final SEA Counts'!$A$2:$F$709,6,FALSE)</f>
        <v>113</v>
      </c>
      <c r="K452" s="24">
        <f t="shared" si="988"/>
        <v>218</v>
      </c>
      <c r="L452" s="24">
        <f t="shared" si="970"/>
        <v>61.976652688665837</v>
      </c>
      <c r="M452" s="4">
        <f t="shared" si="971"/>
        <v>0.28429657196635705</v>
      </c>
      <c r="N452" s="31" t="str">
        <f>IFERROR(VLOOKUP($B452,#REF!,8,FALSE),"")</f>
        <v/>
      </c>
      <c r="O452" s="31" t="str">
        <f>IFERROR(VLOOKUP($B452,#REF!,9,FALSE),"")</f>
        <v/>
      </c>
      <c r="P452" s="31" t="str">
        <f>IFERROR(VLOOKUP($B452,#REF!,10,FALSE),"")</f>
        <v/>
      </c>
      <c r="Q452" s="31" t="str">
        <f>IFERROR(VLOOKUP($B452,#REF!,11,FALSE),"")</f>
        <v/>
      </c>
      <c r="R452" s="31" t="str">
        <f>IFERROR(VLOOKUP($B452,#REF!,12,FALSE),"")</f>
        <v/>
      </c>
      <c r="S452" s="31">
        <f t="shared" si="1045"/>
        <v>29662.609485308752</v>
      </c>
      <c r="T452" s="31">
        <f t="shared" si="1046"/>
        <v>6521.1943700702595</v>
      </c>
      <c r="U452" s="31">
        <f t="shared" si="1047"/>
        <v>17996.532738891714</v>
      </c>
      <c r="V452" s="31">
        <f t="shared" si="1048"/>
        <v>17473.7843213343</v>
      </c>
      <c r="W452" s="31">
        <f t="shared" si="973"/>
        <v>29662.609485308752</v>
      </c>
      <c r="X452" s="31">
        <f t="shared" si="974"/>
        <v>6521.1943700702595</v>
      </c>
      <c r="Y452" s="31">
        <f t="shared" si="975"/>
        <v>17996.532738891714</v>
      </c>
      <c r="Z452" s="31">
        <f t="shared" si="976"/>
        <v>17473.7843213343</v>
      </c>
      <c r="AA452" s="31">
        <f t="shared" si="1049"/>
        <v>29662.609485308752</v>
      </c>
      <c r="AB452" s="31">
        <f t="shared" si="1050"/>
        <v>6540.4917081923431</v>
      </c>
      <c r="AC452" s="31">
        <f t="shared" si="1051"/>
        <v>17996.532738891714</v>
      </c>
      <c r="AD452" s="31">
        <f t="shared" si="1052"/>
        <v>17473.7843213343</v>
      </c>
      <c r="AE452" s="31">
        <f t="shared" si="978"/>
        <v>71673.418253727112</v>
      </c>
      <c r="AF452" s="31">
        <f>IFERROR(VLOOKUP(A452,'Allocations By Type'!$D$7:$F$491,3,FALSE),"")</f>
        <v>34807.69</v>
      </c>
      <c r="AG452" s="31">
        <f t="shared" si="979"/>
        <v>2866.9367301490847</v>
      </c>
      <c r="AH452" s="31">
        <f t="shared" si="980"/>
        <v>2866.9367301490847</v>
      </c>
      <c r="AI452" s="31">
        <f t="shared" si="981"/>
        <v>68806.481523578026</v>
      </c>
      <c r="AJ452" s="31">
        <f>AI452/$AI$577*'State Admin 1004(b)'!$B$30*0.01</f>
        <v>654.79683239737028</v>
      </c>
      <c r="AK452" s="31">
        <f t="shared" si="982"/>
        <v>68151.68469118065</v>
      </c>
      <c r="AL452" s="31">
        <f t="shared" si="983"/>
        <v>681.51684691180651</v>
      </c>
      <c r="AM452" s="31">
        <f t="shared" si="984"/>
        <v>67470.167844268843</v>
      </c>
      <c r="AP452" s="31"/>
      <c r="AQ452" s="4">
        <f t="shared" si="945"/>
        <v>1.9383695914399617</v>
      </c>
      <c r="AW452" s="31">
        <f t="shared" si="1053"/>
        <v>67092.757035682094</v>
      </c>
      <c r="AX452" s="4">
        <f t="shared" si="986"/>
        <v>1.927526849258945</v>
      </c>
      <c r="AZ452" s="174" t="str">
        <f>IFERROR(IF(VLOOKUP(A452,#REF!,11,FALSE)=0,"",VLOOKUP(A452,#REF!,11,FALSE)),"")</f>
        <v/>
      </c>
      <c r="BA452" s="31" t="str">
        <f t="shared" si="953"/>
        <v/>
      </c>
      <c r="BB452" s="31">
        <f t="shared" si="987"/>
        <v>67092.757035682094</v>
      </c>
      <c r="BD452" s="31" t="str">
        <f>IFERROR(VLOOKUP(A452,'Title II Hold Harmless'!A$1:B$439,2, FALSE),"")</f>
        <v/>
      </c>
      <c r="BE452" s="31">
        <f t="shared" si="968"/>
        <v>986.76242288422975</v>
      </c>
      <c r="BF452" s="31">
        <f t="shared" si="969"/>
        <v>987.71717441107035</v>
      </c>
      <c r="BG452" s="31" t="str">
        <f t="shared" si="956"/>
        <v/>
      </c>
      <c r="BH452" s="31">
        <f t="shared" si="957"/>
        <v>987.71717441107035</v>
      </c>
    </row>
    <row r="453" spans="1:60" x14ac:dyDescent="0.3">
      <c r="A453" s="1">
        <v>108779000</v>
      </c>
      <c r="B453">
        <f>VLOOKUP(C453,'NCES ID'!$A$2:$B$3136,2,FALSE)</f>
        <v>400259</v>
      </c>
      <c r="C453">
        <f>VLOOKUP(A453,'State ID'!$A$2:$B$713,2,FALSE)</f>
        <v>79085</v>
      </c>
      <c r="D453" s="147" t="s">
        <v>841</v>
      </c>
      <c r="E453" t="s">
        <v>9</v>
      </c>
      <c r="I453" s="47">
        <f>VLOOKUP($C453,'Final SEA Counts'!$A$2:$F$709,5,FALSE)</f>
        <v>633</v>
      </c>
      <c r="J453" s="47">
        <f>VLOOKUP($C453,'Final SEA Counts'!$A$2:$F$709,6,FALSE)</f>
        <v>630</v>
      </c>
      <c r="K453" s="24">
        <f t="shared" si="988"/>
        <v>633</v>
      </c>
      <c r="L453" s="24">
        <f t="shared" si="970"/>
        <v>345.53355038813697</v>
      </c>
      <c r="M453" s="4">
        <f t="shared" si="971"/>
        <v>0.54586658829089574</v>
      </c>
      <c r="S453" s="31">
        <f t="shared" si="1045"/>
        <v>165375.61040481873</v>
      </c>
      <c r="T453" s="31">
        <f t="shared" si="1046"/>
        <v>36357.101355258972</v>
      </c>
      <c r="U453" s="31">
        <f t="shared" si="1047"/>
        <v>100334.65155311309</v>
      </c>
      <c r="V453" s="31">
        <f t="shared" si="1048"/>
        <v>97420.213472925752</v>
      </c>
      <c r="W453" s="31">
        <f t="shared" si="973"/>
        <v>165375.61040481873</v>
      </c>
      <c r="X453" s="31">
        <f t="shared" si="974"/>
        <v>36357.101355258972</v>
      </c>
      <c r="Y453" s="31">
        <f t="shared" si="975"/>
        <v>100334.65155311309</v>
      </c>
      <c r="Z453" s="31">
        <f t="shared" si="976"/>
        <v>97420.213472925752</v>
      </c>
      <c r="AA453" s="31">
        <f t="shared" si="1049"/>
        <v>165375.61040481873</v>
      </c>
      <c r="AB453" s="31">
        <f t="shared" si="1050"/>
        <v>36376.398693381059</v>
      </c>
      <c r="AC453" s="31">
        <f t="shared" si="1051"/>
        <v>100334.65155311309</v>
      </c>
      <c r="AD453" s="31">
        <f t="shared" si="1052"/>
        <v>97420.213472925752</v>
      </c>
      <c r="AE453" s="31">
        <f t="shared" si="978"/>
        <v>399506.87412423862</v>
      </c>
      <c r="AF453" s="31">
        <f>IFERROR(VLOOKUP(A453,'Allocations By Type'!$D$7:$F$491,3,FALSE),"")</f>
        <v>137667.14000000001</v>
      </c>
      <c r="AG453" s="31">
        <f t="shared" si="979"/>
        <v>15980.274964969545</v>
      </c>
      <c r="AH453" s="31">
        <f t="shared" si="980"/>
        <v>15980.274964969545</v>
      </c>
      <c r="AI453" s="31">
        <f t="shared" si="981"/>
        <v>383526.59915926907</v>
      </c>
      <c r="AJ453" s="31">
        <f>AI453/$AI$577*'State Admin 1004(b)'!$B$30*0.01</f>
        <v>3649.8306076524127</v>
      </c>
      <c r="AK453" s="31">
        <f t="shared" si="982"/>
        <v>379876.76855161664</v>
      </c>
      <c r="AL453" s="31">
        <f t="shared" si="983"/>
        <v>3798.7676855161662</v>
      </c>
      <c r="AM453" s="31">
        <f t="shared" si="984"/>
        <v>376078.00086610048</v>
      </c>
      <c r="AP453" s="31"/>
      <c r="AQ453" s="4">
        <f t="shared" si="945"/>
        <v>2.7317920664735276</v>
      </c>
      <c r="AW453" s="31">
        <f t="shared" si="1053"/>
        <v>373974.31701687438</v>
      </c>
      <c r="AX453" s="4">
        <f t="shared" si="986"/>
        <v>2.7165111225298526</v>
      </c>
      <c r="AZ453" s="174" t="str">
        <f>IFERROR(IF(VLOOKUP(A453,#REF!,11,FALSE)=0,"",VLOOKUP(A453,#REF!,11,FALSE)),"")</f>
        <v/>
      </c>
      <c r="BA453" s="31" t="str">
        <f t="shared" si="953"/>
        <v/>
      </c>
      <c r="BB453" s="31">
        <f t="shared" si="987"/>
        <v>373974.31701687438</v>
      </c>
      <c r="BD453" s="31">
        <f>IFERROR(VLOOKUP(A453,'Title II Hold Harmless'!A$1:B$439,2, FALSE),"")</f>
        <v>14138</v>
      </c>
      <c r="BE453" s="31">
        <f t="shared" si="968"/>
        <v>19170.704903114365</v>
      </c>
      <c r="BF453" s="31">
        <f t="shared" si="969"/>
        <v>19189.253704074337</v>
      </c>
      <c r="BG453" s="31" t="str">
        <f t="shared" si="956"/>
        <v/>
      </c>
      <c r="BH453" s="31">
        <f t="shared" si="957"/>
        <v>19189.253704074337</v>
      </c>
    </row>
    <row r="454" spans="1:60" x14ac:dyDescent="0.3">
      <c r="A454" s="1">
        <v>108227000</v>
      </c>
      <c r="B454" t="e">
        <f>VLOOKUP(C454,'NCES ID'!$A$2:$B$3136,2,FALSE)</f>
        <v>#N/A</v>
      </c>
      <c r="C454">
        <f>VLOOKUP(A454,'State ID'!$A$2:$B$713,2,FALSE)</f>
        <v>91992</v>
      </c>
      <c r="D454" s="147" t="s">
        <v>401</v>
      </c>
      <c r="E454" t="s">
        <v>9</v>
      </c>
      <c r="I454" s="47">
        <f>VLOOKUP($C454,'Final SEA Counts'!$A$2:$F$709,5,FALSE)</f>
        <v>72</v>
      </c>
      <c r="J454" s="47">
        <f>VLOOKUP($C454,'Final SEA Counts'!$A$2:$F$709,6,FALSE)</f>
        <v>63</v>
      </c>
      <c r="K454" s="24">
        <f t="shared" si="988"/>
        <v>72</v>
      </c>
      <c r="L454" s="24">
        <f t="shared" si="970"/>
        <v>34.553355038813699</v>
      </c>
      <c r="M454" s="4">
        <f t="shared" si="971"/>
        <v>0.47990770887241246</v>
      </c>
      <c r="N454" s="31" t="str">
        <f>IFERROR(VLOOKUP($B454,#REF!,8,FALSE),"")</f>
        <v/>
      </c>
      <c r="O454" s="31" t="str">
        <f>IFERROR(VLOOKUP($B454,#REF!,9,FALSE),"")</f>
        <v/>
      </c>
      <c r="P454" s="31" t="str">
        <f>IFERROR(VLOOKUP($B454,#REF!,10,FALSE),"")</f>
        <v/>
      </c>
      <c r="Q454" s="31" t="str">
        <f>IFERROR(VLOOKUP($B454,#REF!,11,FALSE),"")</f>
        <v/>
      </c>
      <c r="R454" s="31" t="str">
        <f>IFERROR(VLOOKUP($B454,#REF!,12,FALSE),"")</f>
        <v/>
      </c>
      <c r="S454" s="31">
        <f t="shared" si="1045"/>
        <v>16537.561040481873</v>
      </c>
      <c r="T454" s="31">
        <f t="shared" si="1046"/>
        <v>3635.7101355258969</v>
      </c>
      <c r="U454" s="31">
        <f t="shared" si="1047"/>
        <v>10033.465155311309</v>
      </c>
      <c r="V454" s="31">
        <f t="shared" si="1048"/>
        <v>9742.0213472925752</v>
      </c>
      <c r="W454" s="31">
        <f t="shared" si="973"/>
        <v>16537.561040481873</v>
      </c>
      <c r="X454" s="31">
        <f t="shared" si="974"/>
        <v>3635.7101355258969</v>
      </c>
      <c r="Y454" s="31">
        <f t="shared" si="975"/>
        <v>10033.465155311309</v>
      </c>
      <c r="Z454" s="31">
        <f t="shared" si="976"/>
        <v>9742.0213472925752</v>
      </c>
      <c r="AA454" s="31">
        <f t="shared" si="1049"/>
        <v>16537.561040481873</v>
      </c>
      <c r="AB454" s="31">
        <f t="shared" si="1050"/>
        <v>3655.0074736479805</v>
      </c>
      <c r="AC454" s="31">
        <f t="shared" si="1051"/>
        <v>10033.465155311309</v>
      </c>
      <c r="AD454" s="31">
        <f t="shared" si="1052"/>
        <v>9742.0213472925752</v>
      </c>
      <c r="AE454" s="31">
        <f t="shared" si="978"/>
        <v>39968.055016733735</v>
      </c>
      <c r="AF454" s="31">
        <f>IFERROR(VLOOKUP(A454,'Allocations By Type'!$D$7:$F$491,3,FALSE),"")</f>
        <v>21528.19</v>
      </c>
      <c r="AG454" s="31">
        <f t="shared" si="979"/>
        <v>1598.7222006693494</v>
      </c>
      <c r="AH454" s="31">
        <f t="shared" si="980"/>
        <v>1598.7222006693494</v>
      </c>
      <c r="AI454" s="31">
        <f t="shared" si="981"/>
        <v>38369.332816064387</v>
      </c>
      <c r="AJ454" s="31">
        <f>AI454/$AI$577*'State Admin 1004(b)'!$B$30*0.01</f>
        <v>365.14172840752087</v>
      </c>
      <c r="AK454" s="31">
        <f t="shared" si="982"/>
        <v>38004.191087656865</v>
      </c>
      <c r="AL454" s="31">
        <f t="shared" si="983"/>
        <v>380.04191087656864</v>
      </c>
      <c r="AM454" s="31">
        <f t="shared" si="984"/>
        <v>37624.149176780295</v>
      </c>
      <c r="AP454" s="31"/>
      <c r="AQ454" s="4">
        <f t="shared" si="945"/>
        <v>1.7476689483314807</v>
      </c>
      <c r="AW454" s="31">
        <f t="shared" si="1053"/>
        <v>37413.689339241835</v>
      </c>
      <c r="AX454" s="4">
        <f t="shared" si="986"/>
        <v>1.7378929366213247</v>
      </c>
      <c r="AZ454" s="174" t="str">
        <f>IFERROR(IF(VLOOKUP(A454,#REF!,11,FALSE)=0,"",VLOOKUP(A454,#REF!,11,FALSE)),"")</f>
        <v/>
      </c>
      <c r="BA454" s="31" t="str">
        <f t="shared" si="953"/>
        <v/>
      </c>
      <c r="BB454" s="31">
        <f t="shared" si="987"/>
        <v>37413.689339241835</v>
      </c>
      <c r="BD454" s="31" t="str">
        <f>IFERROR(VLOOKUP(A454,'Title II Hold Harmless'!A$1:B$439,2, FALSE),"")</f>
        <v/>
      </c>
      <c r="BE454" s="31">
        <f t="shared" si="968"/>
        <v>510.27224761001469</v>
      </c>
      <c r="BF454" s="31">
        <f t="shared" si="969"/>
        <v>510.76596645885985</v>
      </c>
      <c r="BG454" s="31" t="str">
        <f t="shared" si="956"/>
        <v/>
      </c>
      <c r="BH454" s="31">
        <f t="shared" si="957"/>
        <v>510.76596645885985</v>
      </c>
    </row>
    <row r="455" spans="1:60" x14ac:dyDescent="0.3">
      <c r="A455" s="1">
        <v>108722000</v>
      </c>
      <c r="B455">
        <f>VLOOKUP(C455,'NCES ID'!$A$2:$B$3136,2,FALSE)</f>
        <v>400131</v>
      </c>
      <c r="C455">
        <f>VLOOKUP(A455,'State ID'!$A$2:$B$713,2,FALSE)</f>
        <v>6355</v>
      </c>
      <c r="D455" s="147" t="s">
        <v>412</v>
      </c>
      <c r="E455" t="s">
        <v>9</v>
      </c>
      <c r="I455" s="47">
        <f>VLOOKUP($C455,'Final SEA Counts'!$A$2:$F$709,5,FALSE)</f>
        <v>888</v>
      </c>
      <c r="J455" s="47">
        <f>VLOOKUP($C455,'Final SEA Counts'!$A$2:$F$709,6,FALSE)</f>
        <v>581</v>
      </c>
      <c r="K455" s="24">
        <f t="shared" si="988"/>
        <v>888</v>
      </c>
      <c r="L455" s="24">
        <f t="shared" si="970"/>
        <v>318.65871869128188</v>
      </c>
      <c r="M455" s="4">
        <f t="shared" si="971"/>
        <v>0.35884990843612824</v>
      </c>
      <c r="N455" s="31" t="str">
        <f>IFERROR(VLOOKUP($B455,#REF!,8,FALSE),"")</f>
        <v/>
      </c>
      <c r="O455" s="31" t="str">
        <f>IFERROR(VLOOKUP($B455,#REF!,9,FALSE),"")</f>
        <v/>
      </c>
      <c r="P455" s="31" t="str">
        <f>IFERROR(VLOOKUP($B455,#REF!,10,FALSE),"")</f>
        <v/>
      </c>
      <c r="Q455" s="31" t="str">
        <f>IFERROR(VLOOKUP($B455,#REF!,11,FALSE),"")</f>
        <v/>
      </c>
      <c r="R455" s="31" t="str">
        <f>IFERROR(VLOOKUP($B455,#REF!,12,FALSE),"")</f>
        <v/>
      </c>
      <c r="S455" s="31">
        <f t="shared" si="1045"/>
        <v>152513.06292888836</v>
      </c>
      <c r="T455" s="31">
        <f t="shared" si="1046"/>
        <v>33529.326805405493</v>
      </c>
      <c r="U455" s="31">
        <f t="shared" si="1047"/>
        <v>92530.845321204295</v>
      </c>
      <c r="V455" s="31">
        <f t="shared" si="1048"/>
        <v>89843.085758364861</v>
      </c>
      <c r="W455" s="31">
        <f t="shared" si="973"/>
        <v>152513.06292888836</v>
      </c>
      <c r="X455" s="31">
        <f t="shared" si="974"/>
        <v>33529.326805405493</v>
      </c>
      <c r="Y455" s="31">
        <f t="shared" si="975"/>
        <v>92530.845321204295</v>
      </c>
      <c r="Z455" s="31">
        <f t="shared" si="976"/>
        <v>89843.085758364861</v>
      </c>
      <c r="AA455" s="31">
        <f t="shared" si="1049"/>
        <v>152513.06292888836</v>
      </c>
      <c r="AB455" s="31">
        <f t="shared" si="1050"/>
        <v>33548.624143527581</v>
      </c>
      <c r="AC455" s="31">
        <f t="shared" si="1051"/>
        <v>92530.845321204295</v>
      </c>
      <c r="AD455" s="31">
        <f t="shared" si="1052"/>
        <v>89843.085758364861</v>
      </c>
      <c r="AE455" s="31">
        <f t="shared" si="978"/>
        <v>368435.61815198511</v>
      </c>
      <c r="AF455" s="31">
        <f>IFERROR(VLOOKUP(A455,'Allocations By Type'!$D$7:$F$491,3,FALSE),"")</f>
        <v>276467.34999999998</v>
      </c>
      <c r="AG455" s="31">
        <f t="shared" si="979"/>
        <v>14737.424726079405</v>
      </c>
      <c r="AH455" s="31">
        <f t="shared" si="980"/>
        <v>14737.424726079405</v>
      </c>
      <c r="AI455" s="31">
        <f t="shared" si="981"/>
        <v>353698.19342590572</v>
      </c>
      <c r="AJ455" s="31">
        <f>AI455/$AI$577*'State Admin 1004(b)'!$B$30*0.01</f>
        <v>3365.968605742361</v>
      </c>
      <c r="AK455" s="31">
        <f t="shared" si="982"/>
        <v>350332.22482016333</v>
      </c>
      <c r="AL455" s="31">
        <f t="shared" si="983"/>
        <v>3503.3222482016336</v>
      </c>
      <c r="AM455" s="31">
        <f t="shared" si="984"/>
        <v>346828.90257196169</v>
      </c>
      <c r="AP455" s="31"/>
      <c r="AQ455" s="4">
        <f t="shared" si="945"/>
        <v>1.2545022136319595</v>
      </c>
      <c r="AW455" s="31">
        <f t="shared" si="1053"/>
        <v>344888.83067436289</v>
      </c>
      <c r="AX455" s="4">
        <f t="shared" si="986"/>
        <v>1.2474848501074827</v>
      </c>
      <c r="AZ455" s="174" t="str">
        <f>IFERROR(IF(VLOOKUP(A455,#REF!,11,FALSE)=0,"",VLOOKUP(A455,#REF!,11,FALSE)),"")</f>
        <v/>
      </c>
      <c r="BA455" s="31" t="str">
        <f t="shared" si="953"/>
        <v/>
      </c>
      <c r="BB455" s="31">
        <f t="shared" si="987"/>
        <v>344888.83067436289</v>
      </c>
      <c r="BD455" s="31">
        <f>IFERROR(VLOOKUP(A455,'Title II Hold Harmless'!A$1:B$439,2, FALSE),"")</f>
        <v>13356</v>
      </c>
      <c r="BE455" s="31">
        <f t="shared" si="968"/>
        <v>18242.119191738508</v>
      </c>
      <c r="BF455" s="31">
        <f t="shared" si="969"/>
        <v>18259.769530611582</v>
      </c>
      <c r="BG455" s="31" t="str">
        <f t="shared" si="956"/>
        <v/>
      </c>
      <c r="BH455" s="31">
        <f t="shared" si="957"/>
        <v>18259.769530611582</v>
      </c>
    </row>
    <row r="456" spans="1:60" x14ac:dyDescent="0.3">
      <c r="A456" s="1">
        <v>108714000</v>
      </c>
      <c r="B456">
        <f>VLOOKUP(C456,'NCES ID'!$A$2:$B$3136,2,FALSE)</f>
        <v>400373</v>
      </c>
      <c r="C456">
        <f>VLOOKUP(A456,'State ID'!$A$2:$B$713,2,FALSE)</f>
        <v>79979</v>
      </c>
      <c r="D456" s="147" t="s">
        <v>421</v>
      </c>
      <c r="E456" t="s">
        <v>9</v>
      </c>
      <c r="I456" s="47">
        <f>VLOOKUP($C456,'Final SEA Counts'!$A$2:$F$709,5,FALSE)</f>
        <v>518</v>
      </c>
      <c r="J456" s="47">
        <f>VLOOKUP($C456,'Final SEA Counts'!$A$2:$F$709,6,FALSE)</f>
        <v>430</v>
      </c>
      <c r="K456" s="24">
        <f t="shared" si="988"/>
        <v>518</v>
      </c>
      <c r="L456" s="24">
        <f t="shared" si="970"/>
        <v>235.84035978872842</v>
      </c>
      <c r="M456" s="4">
        <f t="shared" si="971"/>
        <v>0.45529026986241006</v>
      </c>
      <c r="N456" s="31" t="str">
        <f>IFERROR(VLOOKUP($B456,#REF!,8,FALSE),"")</f>
        <v/>
      </c>
      <c r="O456" s="31" t="str">
        <f>IFERROR(VLOOKUP($B456,#REF!,9,FALSE),"")</f>
        <v/>
      </c>
      <c r="P456" s="31" t="str">
        <f>IFERROR(VLOOKUP($B456,#REF!,10,FALSE),"")</f>
        <v/>
      </c>
      <c r="Q456" s="31" t="str">
        <f>IFERROR(VLOOKUP($B456,#REF!,11,FALSE),"")</f>
        <v/>
      </c>
      <c r="R456" s="31" t="str">
        <f>IFERROR(VLOOKUP($B456,#REF!,12,FALSE),"")</f>
        <v/>
      </c>
      <c r="S456" s="31">
        <f t="shared" si="1045"/>
        <v>112875.41662551119</v>
      </c>
      <c r="T456" s="31">
        <f t="shared" si="1046"/>
        <v>24815.16441708152</v>
      </c>
      <c r="U456" s="31">
        <f t="shared" si="1047"/>
        <v>68482.381218791474</v>
      </c>
      <c r="V456" s="31">
        <f t="shared" si="1048"/>
        <v>66493.161576758852</v>
      </c>
      <c r="W456" s="31">
        <f t="shared" si="973"/>
        <v>112875.41662551119</v>
      </c>
      <c r="X456" s="31">
        <f t="shared" si="974"/>
        <v>24815.16441708152</v>
      </c>
      <c r="Y456" s="31">
        <f t="shared" si="975"/>
        <v>68482.381218791474</v>
      </c>
      <c r="Z456" s="31">
        <f t="shared" si="976"/>
        <v>66493.161576758852</v>
      </c>
      <c r="AA456" s="31">
        <f t="shared" si="1049"/>
        <v>112875.41662551119</v>
      </c>
      <c r="AB456" s="31">
        <f t="shared" si="1050"/>
        <v>24834.461755203603</v>
      </c>
      <c r="AC456" s="31">
        <f t="shared" si="1051"/>
        <v>68482.381218791474</v>
      </c>
      <c r="AD456" s="31">
        <f t="shared" si="1052"/>
        <v>66493.161576758852</v>
      </c>
      <c r="AE456" s="31">
        <f t="shared" si="978"/>
        <v>272685.42117626511</v>
      </c>
      <c r="AF456" s="31">
        <f>IFERROR(VLOOKUP(A456,'Allocations By Type'!$D$7:$F$491,3,FALSE),"")</f>
        <v>228312.17</v>
      </c>
      <c r="AG456" s="31">
        <f t="shared" si="979"/>
        <v>10907.416847050605</v>
      </c>
      <c r="AH456" s="31">
        <f t="shared" si="980"/>
        <v>10907.416847050605</v>
      </c>
      <c r="AI456" s="31">
        <f t="shared" si="981"/>
        <v>261778.00432921451</v>
      </c>
      <c r="AJ456" s="31">
        <f>AI456/$AI$577*'State Admin 1004(b)'!$B$30*0.01</f>
        <v>2491.2101916930155</v>
      </c>
      <c r="AK456" s="31">
        <f t="shared" si="982"/>
        <v>259286.7941375215</v>
      </c>
      <c r="AL456" s="31">
        <f t="shared" si="983"/>
        <v>2592.8679413752152</v>
      </c>
      <c r="AM456" s="31">
        <f t="shared" si="984"/>
        <v>256693.92619614629</v>
      </c>
      <c r="AP456" s="31"/>
      <c r="AQ456" s="4">
        <f t="shared" si="945"/>
        <v>1.1243111840956455</v>
      </c>
      <c r="AW456" s="31">
        <f t="shared" si="1053"/>
        <v>255258.04623111335</v>
      </c>
      <c r="AX456" s="4">
        <f t="shared" si="986"/>
        <v>1.1180220757882215</v>
      </c>
      <c r="AZ456" s="174" t="str">
        <f>IFERROR(IF(VLOOKUP(A456,#REF!,11,FALSE)=0,"",VLOOKUP(A456,#REF!,11,FALSE)),"")</f>
        <v/>
      </c>
      <c r="BA456" s="31" t="str">
        <f t="shared" si="953"/>
        <v/>
      </c>
      <c r="BB456" s="31">
        <f t="shared" si="987"/>
        <v>255258.04623111335</v>
      </c>
      <c r="BD456" s="31" t="str">
        <f>IFERROR(VLOOKUP(A456,'Title II Hold Harmless'!A$1:B$439,2, FALSE),"")</f>
        <v/>
      </c>
      <c r="BE456" s="31">
        <f t="shared" si="968"/>
        <v>3504.195256389135</v>
      </c>
      <c r="BF456" s="31">
        <f t="shared" si="969"/>
        <v>3507.5857744042073</v>
      </c>
      <c r="BG456" s="31" t="str">
        <f t="shared" si="956"/>
        <v/>
      </c>
      <c r="BH456" s="31">
        <f t="shared" si="957"/>
        <v>3507.5857744042073</v>
      </c>
    </row>
    <row r="457" spans="1:60" x14ac:dyDescent="0.3">
      <c r="A457" s="1">
        <v>108768000</v>
      </c>
      <c r="B457">
        <f>VLOOKUP(C457,'NCES ID'!$A$2:$B$3136,2,FALSE)</f>
        <v>400159</v>
      </c>
      <c r="C457">
        <f>VLOOKUP(A457,'State ID'!$A$2:$B$713,2,FALSE)</f>
        <v>6374</v>
      </c>
      <c r="D457" s="147" t="s">
        <v>422</v>
      </c>
      <c r="E457" t="s">
        <v>9</v>
      </c>
      <c r="I457" s="47">
        <f>VLOOKUP($C457,'Final SEA Counts'!$A$2:$F$709,5,FALSE)</f>
        <v>40</v>
      </c>
      <c r="J457" s="47">
        <f>VLOOKUP($C457,'Final SEA Counts'!$A$2:$F$709,6,FALSE)</f>
        <v>39</v>
      </c>
      <c r="K457" s="24">
        <f t="shared" si="988"/>
        <v>40</v>
      </c>
      <c r="L457" s="24">
        <f t="shared" si="970"/>
        <v>21.390172166884671</v>
      </c>
      <c r="M457" s="4">
        <f t="shared" si="971"/>
        <v>0.53475430417211678</v>
      </c>
      <c r="N457" s="31" t="str">
        <f>IFERROR(VLOOKUP($B457,#REF!,8,FALSE),"")</f>
        <v/>
      </c>
      <c r="O457" s="31" t="str">
        <f>IFERROR(VLOOKUP($B457,#REF!,9,FALSE),"")</f>
        <v/>
      </c>
      <c r="P457" s="31" t="str">
        <f>IFERROR(VLOOKUP($B457,#REF!,10,FALSE),"")</f>
        <v/>
      </c>
      <c r="Q457" s="31" t="str">
        <f>IFERROR(VLOOKUP($B457,#REF!,11,FALSE),"")</f>
        <v/>
      </c>
      <c r="R457" s="31" t="str">
        <f>IFERROR(VLOOKUP($B457,#REF!,12,FALSE),"")</f>
        <v/>
      </c>
      <c r="S457" s="31">
        <f t="shared" si="1045"/>
        <v>10237.537786964969</v>
      </c>
      <c r="T457" s="31">
        <f t="shared" si="1046"/>
        <v>2250.677702944603</v>
      </c>
      <c r="U457" s="31">
        <f t="shared" si="1047"/>
        <v>6211.1927151927157</v>
      </c>
      <c r="V457" s="31">
        <f t="shared" si="1048"/>
        <v>6030.7751197525467</v>
      </c>
      <c r="W457" s="31">
        <f t="shared" si="973"/>
        <v>10237.537786964969</v>
      </c>
      <c r="X457" s="31">
        <f t="shared" si="974"/>
        <v>2250.677702944603</v>
      </c>
      <c r="Y457" s="31">
        <f t="shared" si="975"/>
        <v>6211.1927151927157</v>
      </c>
      <c r="Z457" s="31">
        <f t="shared" si="976"/>
        <v>6030.7751197525467</v>
      </c>
      <c r="AA457" s="31">
        <f t="shared" si="1049"/>
        <v>10237.537786964969</v>
      </c>
      <c r="AB457" s="31">
        <f t="shared" si="1050"/>
        <v>2269.9750410666866</v>
      </c>
      <c r="AC457" s="31">
        <f t="shared" si="1051"/>
        <v>6211.1927151927157</v>
      </c>
      <c r="AD457" s="31">
        <f t="shared" si="1052"/>
        <v>6030.7751197525467</v>
      </c>
      <c r="AE457" s="31">
        <f t="shared" si="978"/>
        <v>24749.480662976919</v>
      </c>
      <c r="AF457" s="31">
        <f>IFERROR(VLOOKUP(A457,'Allocations By Type'!$D$7:$F$491,3,FALSE),"")</f>
        <v>36824.54</v>
      </c>
      <c r="AG457" s="31" t="str">
        <f t="shared" si="979"/>
        <v/>
      </c>
      <c r="AH457" s="31" t="str">
        <f t="shared" si="980"/>
        <v/>
      </c>
      <c r="AI457" s="31">
        <f t="shared" si="981"/>
        <v>24749.480662976919</v>
      </c>
      <c r="AJ457" s="31">
        <f>AI457/$AI$577*'State Admin 1004(b)'!$B$30*0.01</f>
        <v>235.5284150962429</v>
      </c>
      <c r="AK457" s="31">
        <f t="shared" si="982"/>
        <v>24513.952247880676</v>
      </c>
      <c r="AL457" s="31">
        <f t="shared" si="983"/>
        <v>245.13952247880675</v>
      </c>
      <c r="AM457" s="31">
        <f t="shared" si="984"/>
        <v>24268.812725401869</v>
      </c>
      <c r="AP457" s="31"/>
      <c r="AQ457" s="4">
        <f t="shared" si="945"/>
        <v>0.65903912785881014</v>
      </c>
      <c r="AW457" s="31">
        <f t="shared" si="1053"/>
        <v>24133.059213490124</v>
      </c>
      <c r="AX457" s="4">
        <f t="shared" si="986"/>
        <v>0.65535263206248129</v>
      </c>
      <c r="AZ457" s="174" t="str">
        <f>IFERROR(IF(VLOOKUP(A457,#REF!,11,FALSE)=0,"",VLOOKUP(A457,#REF!,11,FALSE)),"")</f>
        <v/>
      </c>
      <c r="BA457" s="31" t="str">
        <f t="shared" si="953"/>
        <v/>
      </c>
      <c r="BB457" s="31">
        <f t="shared" si="987"/>
        <v>24133.059213490124</v>
      </c>
      <c r="BD457" s="31">
        <f>IFERROR(VLOOKUP(A457,'Title II Hold Harmless'!A$1:B$439,2, FALSE),"")</f>
        <v>4385</v>
      </c>
      <c r="BE457" s="31">
        <f t="shared" si="968"/>
        <v>4697.2037356542369</v>
      </c>
      <c r="BF457" s="31">
        <f t="shared" si="969"/>
        <v>4701.7485605629408</v>
      </c>
      <c r="BG457" s="31" t="str">
        <f t="shared" si="956"/>
        <v/>
      </c>
      <c r="BH457" s="31">
        <f t="shared" si="957"/>
        <v>4701.7485605629408</v>
      </c>
    </row>
    <row r="458" spans="1:60" x14ac:dyDescent="0.3">
      <c r="A458" s="1">
        <v>108720000</v>
      </c>
      <c r="B458">
        <f>VLOOKUP(C458,'NCES ID'!$A$2:$B$3136,2,FALSE)</f>
        <v>400407</v>
      </c>
      <c r="C458">
        <f>VLOOKUP(A458,'State ID'!$A$2:$B$713,2,FALSE)</f>
        <v>85448</v>
      </c>
      <c r="D458" s="147" t="s">
        <v>423</v>
      </c>
      <c r="E458" t="s">
        <v>9</v>
      </c>
      <c r="I458" s="47">
        <f>VLOOKUP($C458,'Final SEA Counts'!$A$2:$F$709,5,FALSE)</f>
        <v>262</v>
      </c>
      <c r="J458" s="47">
        <f>VLOOKUP($C458,'Final SEA Counts'!$A$2:$F$709,6,FALSE)</f>
        <v>90</v>
      </c>
      <c r="K458" s="24">
        <f t="shared" si="988"/>
        <v>262</v>
      </c>
      <c r="L458" s="24">
        <f t="shared" si="970"/>
        <v>49.361935769733854</v>
      </c>
      <c r="M458" s="4">
        <f t="shared" si="971"/>
        <v>0.18840433499898418</v>
      </c>
      <c r="N458" s="31" t="str">
        <f>IFERROR(VLOOKUP($B458,#REF!,8,FALSE),"")</f>
        <v/>
      </c>
      <c r="O458" s="31" t="str">
        <f>IFERROR(VLOOKUP($B458,#REF!,9,FALSE),"")</f>
        <v/>
      </c>
      <c r="P458" s="31" t="str">
        <f>IFERROR(VLOOKUP($B458,#REF!,10,FALSE),"")</f>
        <v/>
      </c>
      <c r="Q458" s="31" t="str">
        <f>IFERROR(VLOOKUP($B458,#REF!,11,FALSE),"")</f>
        <v/>
      </c>
      <c r="R458" s="31" t="str">
        <f>IFERROR(VLOOKUP($B458,#REF!,12,FALSE),"")</f>
        <v/>
      </c>
      <c r="S458" s="31">
        <f t="shared" si="1045"/>
        <v>23625.087200688387</v>
      </c>
      <c r="T458" s="31">
        <f t="shared" si="1046"/>
        <v>5193.8716221798531</v>
      </c>
      <c r="U458" s="31">
        <f t="shared" si="1047"/>
        <v>14333.521650444727</v>
      </c>
      <c r="V458" s="31">
        <f t="shared" si="1048"/>
        <v>13917.173353275108</v>
      </c>
      <c r="W458" s="31">
        <f t="shared" si="973"/>
        <v>23625.087200688387</v>
      </c>
      <c r="X458" s="31">
        <f t="shared" si="974"/>
        <v>5193.8716221798531</v>
      </c>
      <c r="Y458" s="31">
        <f t="shared" si="975"/>
        <v>14333.521650444727</v>
      </c>
      <c r="Z458" s="31">
        <f t="shared" si="976"/>
        <v>13917.173353275108</v>
      </c>
      <c r="AA458" s="31">
        <f t="shared" si="1049"/>
        <v>23625.087200688387</v>
      </c>
      <c r="AB458" s="31">
        <f t="shared" si="1050"/>
        <v>5213.1689603019367</v>
      </c>
      <c r="AC458" s="31">
        <f t="shared" si="1051"/>
        <v>14333.521650444727</v>
      </c>
      <c r="AD458" s="31">
        <f t="shared" si="1052"/>
        <v>13917.173353275108</v>
      </c>
      <c r="AE458" s="31">
        <f t="shared" si="978"/>
        <v>57088.951164710161</v>
      </c>
      <c r="AF458" s="31">
        <f>IFERROR(VLOOKUP(A458,'Allocations By Type'!$D$7:$F$491,3,FALSE),"")</f>
        <v>45141.23</v>
      </c>
      <c r="AG458" s="31">
        <f t="shared" si="979"/>
        <v>2283.5580465884063</v>
      </c>
      <c r="AH458" s="31">
        <f t="shared" si="980"/>
        <v>2283.5580465884063</v>
      </c>
      <c r="AI458" s="31">
        <f t="shared" si="981"/>
        <v>54805.393118121756</v>
      </c>
      <c r="AJ458" s="31">
        <f>AI458/$AI$577*'State Admin 1004(b)'!$B$30*0.01</f>
        <v>521.55548456203962</v>
      </c>
      <c r="AK458" s="31">
        <f t="shared" si="982"/>
        <v>54283.837633559713</v>
      </c>
      <c r="AL458" s="31">
        <f t="shared" si="983"/>
        <v>542.8383763355971</v>
      </c>
      <c r="AM458" s="31">
        <f t="shared" si="984"/>
        <v>53740.999257224117</v>
      </c>
      <c r="AP458" s="31"/>
      <c r="AQ458" s="4">
        <f t="shared" si="945"/>
        <v>1.190508084454591</v>
      </c>
      <c r="AW458" s="31">
        <f t="shared" si="1053"/>
        <v>53440.385895319581</v>
      </c>
      <c r="AX458" s="4">
        <f t="shared" si="986"/>
        <v>1.1838486876702203</v>
      </c>
      <c r="AZ458" s="174" t="str">
        <f>IFERROR(IF(VLOOKUP(A458,#REF!,11,FALSE)=0,"",VLOOKUP(A458,#REF!,11,FALSE)),"")</f>
        <v/>
      </c>
      <c r="BA458" s="31" t="str">
        <f t="shared" si="953"/>
        <v/>
      </c>
      <c r="BB458" s="31">
        <f t="shared" si="987"/>
        <v>53440.385895319581</v>
      </c>
      <c r="BD458" s="31" t="str">
        <f>IFERROR(VLOOKUP(A458,'Title II Hold Harmless'!A$1:B$439,2, FALSE),"")</f>
        <v/>
      </c>
      <c r="BE458" s="31">
        <f t="shared" si="968"/>
        <v>857.03847574199381</v>
      </c>
      <c r="BF458" s="31">
        <f t="shared" si="969"/>
        <v>857.86771160900639</v>
      </c>
      <c r="BG458" s="31" t="str">
        <f t="shared" si="956"/>
        <v/>
      </c>
      <c r="BH458" s="31">
        <f t="shared" si="957"/>
        <v>857.86771160900639</v>
      </c>
    </row>
    <row r="459" spans="1:60" x14ac:dyDescent="0.3">
      <c r="A459" s="1">
        <v>108660000</v>
      </c>
      <c r="B459">
        <f>VLOOKUP(C459,'NCES ID'!$A$2:$B$3136,2,FALSE)</f>
        <v>400079</v>
      </c>
      <c r="C459">
        <f>VLOOKUP(A459,'State ID'!$A$2:$B$713,2,FALSE)</f>
        <v>4422</v>
      </c>
      <c r="D459" s="192" t="s">
        <v>425</v>
      </c>
      <c r="E459" t="s">
        <v>9</v>
      </c>
      <c r="I459" s="47">
        <f>VLOOKUP($C459,'AzEDS FY17 12-04-16'!$A$1:$D$712,3,FALSE)</f>
        <v>141</v>
      </c>
      <c r="J459" s="47">
        <f>VLOOKUP($C459,'AzEDS FY17 12-04-16'!$A$1:$D$712,4,FALSE)</f>
        <v>86</v>
      </c>
      <c r="K459" s="24">
        <f t="shared" si="988"/>
        <v>141</v>
      </c>
      <c r="L459" s="24">
        <f t="shared" si="970"/>
        <v>47.168071957745681</v>
      </c>
      <c r="M459" s="4">
        <f t="shared" si="971"/>
        <v>0.33452533303365733</v>
      </c>
      <c r="N459" s="31" t="str">
        <f>IFERROR(VLOOKUP($B459,#REF!,8,FALSE),"")</f>
        <v/>
      </c>
      <c r="O459" s="31" t="str">
        <f>IFERROR(VLOOKUP($B459,#REF!,9,FALSE),"")</f>
        <v/>
      </c>
      <c r="P459" s="31" t="str">
        <f>IFERROR(VLOOKUP($B459,#REF!,10,FALSE),"")</f>
        <v/>
      </c>
      <c r="Q459" s="31" t="str">
        <f>IFERROR(VLOOKUP($B459,#REF!,11,FALSE),"")</f>
        <v/>
      </c>
      <c r="R459" s="31" t="str">
        <f>IFERROR(VLOOKUP($B459,#REF!,12,FALSE),"")</f>
        <v/>
      </c>
      <c r="S459" s="31">
        <f t="shared" si="1045"/>
        <v>22575.083325102238</v>
      </c>
      <c r="T459" s="31">
        <f t="shared" si="1046"/>
        <v>4963.0328834163038</v>
      </c>
      <c r="U459" s="31">
        <f t="shared" si="1047"/>
        <v>13696.476243758294</v>
      </c>
      <c r="V459" s="31">
        <f t="shared" si="1048"/>
        <v>13298.63231535177</v>
      </c>
      <c r="W459" s="31">
        <f t="shared" si="973"/>
        <v>22575.083325102238</v>
      </c>
      <c r="X459" s="31">
        <f t="shared" si="974"/>
        <v>4963.0328834163038</v>
      </c>
      <c r="Y459" s="31">
        <f t="shared" si="975"/>
        <v>13696.476243758294</v>
      </c>
      <c r="Z459" s="31">
        <f t="shared" si="976"/>
        <v>13298.63231535177</v>
      </c>
      <c r="AA459" s="31">
        <f t="shared" si="1049"/>
        <v>22575.083325102238</v>
      </c>
      <c r="AB459" s="31">
        <f t="shared" si="1050"/>
        <v>4982.3302215383874</v>
      </c>
      <c r="AC459" s="31">
        <f t="shared" si="1051"/>
        <v>13696.476243758294</v>
      </c>
      <c r="AD459" s="31">
        <f t="shared" si="1052"/>
        <v>13298.63231535177</v>
      </c>
      <c r="AE459" s="31">
        <f t="shared" si="978"/>
        <v>54552.522105750686</v>
      </c>
      <c r="AF459" s="31">
        <f>IFERROR(VLOOKUP(A459,'Allocations By Type'!$D$7:$F$491,3,FALSE),"")</f>
        <v>48155.17</v>
      </c>
      <c r="AG459" s="31">
        <f t="shared" si="979"/>
        <v>2182.1008842300275</v>
      </c>
      <c r="AH459" s="31">
        <f t="shared" si="980"/>
        <v>2182.1008842300275</v>
      </c>
      <c r="AI459" s="31">
        <f t="shared" si="981"/>
        <v>52370.421221520657</v>
      </c>
      <c r="AJ459" s="31">
        <f>AI459/$AI$577*'State Admin 1004(b)'!$B$30*0.01</f>
        <v>498.38307624285153</v>
      </c>
      <c r="AK459" s="31">
        <f t="shared" si="982"/>
        <v>51872.038145277809</v>
      </c>
      <c r="AL459" s="31">
        <f t="shared" si="983"/>
        <v>518.72038145277816</v>
      </c>
      <c r="AM459" s="31">
        <f t="shared" si="984"/>
        <v>51353.317763825034</v>
      </c>
      <c r="AP459" s="31"/>
      <c r="AQ459" s="4">
        <f t="shared" si="945"/>
        <v>1.0664133833153333</v>
      </c>
      <c r="AW459" s="31">
        <f t="shared" si="1053"/>
        <v>51066.060479604363</v>
      </c>
      <c r="AX459" s="4">
        <f t="shared" si="986"/>
        <v>1.0604481404510537</v>
      </c>
      <c r="AZ459" s="174" t="str">
        <f>IFERROR(IF(VLOOKUP(A459,#REF!,11,FALSE)=0,"",VLOOKUP(A459,#REF!,11,FALSE)),"")</f>
        <v/>
      </c>
      <c r="BA459" s="31" t="str">
        <f t="shared" si="953"/>
        <v/>
      </c>
      <c r="BB459" s="31">
        <f t="shared" si="987"/>
        <v>51066.060479604363</v>
      </c>
      <c r="BD459" s="31">
        <f>IFERROR(VLOOKUP(A459,'Title II Hold Harmless'!A$1:B$439,2, FALSE),"")</f>
        <v>5550</v>
      </c>
      <c r="BE459" s="31">
        <f t="shared" si="968"/>
        <v>6280.9385596648181</v>
      </c>
      <c r="BF459" s="31">
        <f t="shared" si="969"/>
        <v>6287.0157425213602</v>
      </c>
      <c r="BG459" s="31" t="str">
        <f t="shared" si="956"/>
        <v/>
      </c>
      <c r="BH459" s="31">
        <f t="shared" si="957"/>
        <v>6287.0157425213602</v>
      </c>
    </row>
    <row r="460" spans="1:60" s="47" customFormat="1" x14ac:dyDescent="0.3">
      <c r="A460" s="1"/>
      <c r="D460" s="191" t="s">
        <v>1411</v>
      </c>
      <c r="E460" s="47" t="s">
        <v>9</v>
      </c>
      <c r="H460" s="4"/>
      <c r="I460" s="24">
        <f>'AVA Metrics'!C12</f>
        <v>556.75149288011028</v>
      </c>
      <c r="J460" s="24">
        <f>'AVA Metrics'!D12</f>
        <v>291.29260450160768</v>
      </c>
      <c r="K460" s="24">
        <f t="shared" si="988"/>
        <v>556.75149288011028</v>
      </c>
      <c r="L460" s="24">
        <f t="shared" si="970"/>
        <v>159.76407592896496</v>
      </c>
      <c r="M460" s="4">
        <f t="shared" si="971"/>
        <v>0.28695760670976456</v>
      </c>
      <c r="N460" s="31"/>
      <c r="O460" s="31"/>
      <c r="P460" s="31"/>
      <c r="Q460" s="31"/>
      <c r="R460" s="31"/>
      <c r="S460" s="31">
        <f t="shared" si="1045"/>
        <v>76464.590914067972</v>
      </c>
      <c r="T460" s="31">
        <f t="shared" si="1046"/>
        <v>16810.404358575106</v>
      </c>
      <c r="U460" s="31">
        <f t="shared" si="1047"/>
        <v>46391.653924869192</v>
      </c>
      <c r="V460" s="31">
        <f t="shared" si="1048"/>
        <v>45044.107481954219</v>
      </c>
      <c r="W460" s="31">
        <f>S460</f>
        <v>76464.590914067972</v>
      </c>
      <c r="X460" s="31">
        <f>T460</f>
        <v>16810.404358575106</v>
      </c>
      <c r="Y460" s="31">
        <f>U460</f>
        <v>46391.653924869192</v>
      </c>
      <c r="Z460" s="31">
        <f>V460</f>
        <v>45044.107481954219</v>
      </c>
      <c r="AA460" s="31">
        <f t="shared" si="1049"/>
        <v>76464.590914067972</v>
      </c>
      <c r="AB460" s="31">
        <f t="shared" si="1050"/>
        <v>16829.70169669719</v>
      </c>
      <c r="AC460" s="31">
        <f t="shared" si="1051"/>
        <v>46391.653924869192</v>
      </c>
      <c r="AD460" s="31">
        <f t="shared" si="1052"/>
        <v>45044.107481954219</v>
      </c>
      <c r="AE460" s="31">
        <f t="shared" ref="AE460" si="1054">SUM(AA460:AD460)</f>
        <v>184730.05401758855</v>
      </c>
      <c r="AF460" s="31"/>
      <c r="AG460" s="31"/>
      <c r="AH460" s="31"/>
      <c r="AI460" s="31"/>
      <c r="AJ460" s="31"/>
      <c r="AK460" s="31"/>
      <c r="AL460" s="31"/>
      <c r="AM460" s="31"/>
      <c r="AP460" s="31"/>
      <c r="AQ460" s="4"/>
      <c r="AR460" s="4"/>
      <c r="AS460" s="4"/>
      <c r="AT460" s="4"/>
      <c r="AW460" s="31"/>
      <c r="AX460" s="4"/>
      <c r="AZ460" s="174"/>
      <c r="BA460" s="31"/>
      <c r="BB460" s="31"/>
      <c r="BD460" s="31"/>
      <c r="BE460" s="31"/>
      <c r="BF460" s="31"/>
      <c r="BG460" s="31"/>
      <c r="BH460" s="31"/>
    </row>
    <row r="461" spans="1:60" x14ac:dyDescent="0.3">
      <c r="A461" s="1"/>
      <c r="D461" s="147" t="s">
        <v>878</v>
      </c>
      <c r="K461" s="24">
        <f>SUM(K420:K460)</f>
        <v>11880.75149288011</v>
      </c>
      <c r="L461" s="24">
        <f>SUM(L420:L460)</f>
        <v>4820.0792785448375</v>
      </c>
      <c r="S461" s="31">
        <f>SUM(S420:S460)</f>
        <v>2291447.7664630525</v>
      </c>
      <c r="T461" s="31">
        <f>SUM(T420:T460)</f>
        <v>503764.72378028161</v>
      </c>
      <c r="U461" s="31">
        <f>SUM(U420:U460)</f>
        <v>1390238.939329898</v>
      </c>
      <c r="V461" s="31">
        <f>SUM(V420:V460)</f>
        <v>1349856.4269812359</v>
      </c>
    </row>
    <row r="462" spans="1:60" x14ac:dyDescent="0.3">
      <c r="A462" s="1" t="s">
        <v>880</v>
      </c>
      <c r="B462">
        <f>G462/J462</f>
        <v>0.54846595299704282</v>
      </c>
      <c r="D462" s="147" t="s">
        <v>879</v>
      </c>
      <c r="F462">
        <f>SUM(F403:F460)</f>
        <v>160007</v>
      </c>
      <c r="G462" s="47">
        <f>SUM(G403:G460)</f>
        <v>41513</v>
      </c>
      <c r="I462" s="24">
        <f>SUM(I403:I460)</f>
        <v>128088.75149288011</v>
      </c>
      <c r="J462" s="24">
        <f>SUM(J403:J460)</f>
        <v>75689.292604501607</v>
      </c>
      <c r="K462" s="24">
        <f>SUM(K403:K460)</f>
        <v>160007</v>
      </c>
      <c r="L462" s="24">
        <f>SUM(L403:L460)</f>
        <v>41512.999999999993</v>
      </c>
      <c r="N462" s="31">
        <f>SUM(N403:N460)</f>
        <v>19868512.64377521</v>
      </c>
      <c r="O462" s="31">
        <f t="shared" ref="O462:AE462" si="1055">SUM(O403:O460)</f>
        <v>4368005.2106820913</v>
      </c>
      <c r="P462" s="31">
        <f t="shared" si="1055"/>
        <v>12054379.047260772</v>
      </c>
      <c r="Q462" s="31">
        <f t="shared" si="1055"/>
        <v>11704233.401817914</v>
      </c>
      <c r="R462" s="31">
        <f t="shared" si="1055"/>
        <v>47995130.30353599</v>
      </c>
      <c r="S462" s="31">
        <f t="shared" si="1055"/>
        <v>19868512.643775214</v>
      </c>
      <c r="T462" s="31">
        <f t="shared" si="1055"/>
        <v>4368005.2106820922</v>
      </c>
      <c r="U462" s="31">
        <f t="shared" si="1055"/>
        <v>12054379.047260771</v>
      </c>
      <c r="V462" s="31">
        <f t="shared" si="1055"/>
        <v>11704233.40181792</v>
      </c>
      <c r="W462" s="31">
        <f t="shared" si="1055"/>
        <v>19868512.643775214</v>
      </c>
      <c r="X462" s="31">
        <f t="shared" si="1055"/>
        <v>4367059.6411141101</v>
      </c>
      <c r="Y462" s="31">
        <f t="shared" si="1055"/>
        <v>12054379.047260771</v>
      </c>
      <c r="Z462" s="31">
        <f t="shared" si="1055"/>
        <v>11704233.40181792</v>
      </c>
      <c r="AA462" s="31">
        <f t="shared" si="1055"/>
        <v>19868512.643775214</v>
      </c>
      <c r="AB462" s="31">
        <f t="shared" si="1055"/>
        <v>4368005.2106820932</v>
      </c>
      <c r="AC462" s="31">
        <f t="shared" si="1055"/>
        <v>12054379.047260771</v>
      </c>
      <c r="AD462" s="31">
        <f t="shared" si="1055"/>
        <v>11704233.40181792</v>
      </c>
      <c r="AE462" s="31">
        <f t="shared" si="1055"/>
        <v>47995130.30353599</v>
      </c>
      <c r="AF462" s="31"/>
      <c r="AK462" s="31">
        <f>SUM(AK403:AK459)</f>
        <v>45921549.068513297</v>
      </c>
      <c r="AL462" s="31"/>
      <c r="AM462" s="31">
        <f>SUM(AM403:AM459)</f>
        <v>45462333.577828139</v>
      </c>
      <c r="AU462" s="31">
        <f>SUM(AU403:AU459)</f>
        <v>197059.86676348574</v>
      </c>
      <c r="AV462" s="31">
        <f>SUM(AV403:AV459)</f>
        <v>10430772.58</v>
      </c>
      <c r="AW462" s="31">
        <f>SUM(AW403:AW459)</f>
        <v>45462333.577828132</v>
      </c>
    </row>
    <row r="463" spans="1:60" x14ac:dyDescent="0.3">
      <c r="A463" s="1"/>
      <c r="N463" s="31">
        <f>N462/$L462</f>
        <v>478.60941497302565</v>
      </c>
      <c r="O463" s="31">
        <f>O462/$L462</f>
        <v>105.22017706940217</v>
      </c>
      <c r="P463" s="31">
        <f>P462/$L462</f>
        <v>290.37600383640728</v>
      </c>
      <c r="Q463" s="31">
        <f>Q462/$L462</f>
        <v>281.94140153248179</v>
      </c>
      <c r="R463" s="31" t="str">
        <f>IFERROR(VLOOKUP($B463,#REF!,12,FALSE),"")</f>
        <v/>
      </c>
      <c r="W463" s="31">
        <f>(S462-W462)/COUNT(W403:W460)</f>
        <v>0</v>
      </c>
      <c r="X463" s="31">
        <f>(T462-X462)/COUNT(X403:X460)</f>
        <v>19.297338122083826</v>
      </c>
      <c r="Y463" s="31">
        <f>(U462-Y462)/COUNT(Y403:Y460)</f>
        <v>0</v>
      </c>
      <c r="Z463" s="31">
        <f>(V462-Z462)/COUNT(Z403:Z460)</f>
        <v>0</v>
      </c>
    </row>
    <row r="464" spans="1:60" x14ac:dyDescent="0.3">
      <c r="A464" s="1"/>
      <c r="N464" s="31" t="str">
        <f>IFERROR(VLOOKUP($B464,#REF!,8,FALSE),"")</f>
        <v/>
      </c>
      <c r="O464" s="31" t="str">
        <f>IFERROR(VLOOKUP($B464,#REF!,9,FALSE),"")</f>
        <v/>
      </c>
      <c r="P464" s="31" t="str">
        <f>IFERROR(VLOOKUP($B464,#REF!,10,FALSE),"")</f>
        <v/>
      </c>
      <c r="Q464" s="31" t="str">
        <f>IFERROR(VLOOKUP($B464,#REF!,11,FALSE),"")</f>
        <v/>
      </c>
      <c r="R464" s="31" t="str">
        <f>IFERROR(VLOOKUP($B464,#REF!,12,FALSE),"")</f>
        <v/>
      </c>
    </row>
    <row r="465" spans="1:60" x14ac:dyDescent="0.3">
      <c r="A465" s="1">
        <v>110433000</v>
      </c>
      <c r="B465">
        <f>VLOOKUP(C465,'NCES ID'!$A$2:$B$3136,2,FALSE)</f>
        <v>406360</v>
      </c>
      <c r="C465">
        <f>VLOOKUP(A465,'State ID'!$A$2:$B$713,2,FALSE)</f>
        <v>4452</v>
      </c>
      <c r="D465" s="147" t="s">
        <v>340</v>
      </c>
      <c r="E465" t="s">
        <v>20</v>
      </c>
      <c r="F465" s="47">
        <f>VLOOKUP(B465,'Formula counts'!$D$9:$L$234,9,FALSE)</f>
        <v>134</v>
      </c>
      <c r="G465" s="47">
        <f>VLOOKUP(B465,'Formula counts'!$D$9:$K$234,8,FALSE)</f>
        <v>34</v>
      </c>
      <c r="H465" s="4">
        <f>VLOOKUP(B465,'Formula counts'!$D$9:$M$234,10,FALSE)</f>
        <v>0.2537313432835821</v>
      </c>
      <c r="I465" s="47">
        <f>VLOOKUP($C465,'Final SEA Counts'!$A$2:$F$709,5,FALSE)</f>
        <v>174</v>
      </c>
      <c r="J465" s="47">
        <f>VLOOKUP($C465,'Final SEA Counts'!$A$2:$F$709,6,FALSE)</f>
        <v>150</v>
      </c>
      <c r="K465" s="24">
        <f t="shared" ref="K465:K482" si="1056">F465-(F465/F$497)*K$496</f>
        <v>118.19574428021605</v>
      </c>
      <c r="L465" s="24">
        <f t="shared" ref="L465:L482" si="1057">G465-(G465/G$497)*L$496</f>
        <v>30.576745965787399</v>
      </c>
      <c r="M465" s="4">
        <f t="shared" ref="M465:M495" si="1058">L465/K465</f>
        <v>0.25869582828038779</v>
      </c>
      <c r="N465" s="31">
        <f>IFERROR(VLOOKUP($B465,Allocation!$D$10:$O$235,8,FALSE),"")</f>
        <v>16039.091832999302</v>
      </c>
      <c r="O465" s="31">
        <f>IFERROR(VLOOKUP($B465,Allocation!$D$10:$O$235,9,FALSE),"")</f>
        <v>3883.3929048614332</v>
      </c>
      <c r="P465" s="31">
        <f>IFERROR(VLOOKUP($B465,Allocation!$D$10:$O$235,10,FALSE),"")</f>
        <v>6685.2192418226168</v>
      </c>
      <c r="Q465" s="31">
        <f>IFERROR(VLOOKUP($B465,Allocation!$D$10:$O$235,11,FALSE),"")</f>
        <v>5182.0067060818792</v>
      </c>
      <c r="R465" s="31">
        <f>IFERROR(VLOOKUP($B465,Allocation!$D$10:$O$235,12,FALSE),"")</f>
        <v>31789.710685765229</v>
      </c>
      <c r="S465" s="31">
        <f t="shared" ref="S465:S482" si="1059">IF(N465=0,"",N465-(N465/N$497)*S$496)</f>
        <v>14424.212838222205</v>
      </c>
      <c r="T465" s="31">
        <f t="shared" ref="T465:T482" si="1060">IF(O465=0,"",O465-(O465/O$497)*T$496)</f>
        <v>3492.3975981555659</v>
      </c>
      <c r="U465" s="31">
        <f t="shared" ref="U465:U482" si="1061">IF(P465=0,"",P465-(P465/P$497)*U$496)</f>
        <v>6012.1250142001172</v>
      </c>
      <c r="V465" s="31">
        <f t="shared" ref="V465:V482" si="1062">IF(Q465=0,"",Q465-(Q465/Q$497)*V$496)</f>
        <v>4660.2618424962457</v>
      </c>
      <c r="W465" s="31">
        <f t="shared" ref="W465:W482" si="1063">IF(S465="0","",S465)</f>
        <v>14424.212838222205</v>
      </c>
      <c r="X465" s="31">
        <f t="shared" ref="X465:X482" si="1064">IF(T465="0","",T465)</f>
        <v>3492.3975981555659</v>
      </c>
      <c r="Y465" s="31">
        <f t="shared" ref="Y465:Y482" si="1065">IF(U465="0","",U465)</f>
        <v>6012.1250142001172</v>
      </c>
      <c r="Z465" s="31">
        <f t="shared" ref="Z465:Z482" si="1066">IF(V465="0","",V465)</f>
        <v>4660.2618424962457</v>
      </c>
      <c r="AA465" s="31">
        <f t="shared" ref="AA465:AA495" si="1067">IF(W465="","",W465+W$498)</f>
        <v>14424.212838222205</v>
      </c>
      <c r="AB465" s="31">
        <f t="shared" ref="AB465:AB495" si="1068">IF(X465="","",X465+X$498)</f>
        <v>4898.4487163642434</v>
      </c>
      <c r="AC465" s="31">
        <f t="shared" ref="AC465:AC495" si="1069">IF(Y465="","",Y465+Y$498)</f>
        <v>6012.1250142001172</v>
      </c>
      <c r="AD465" s="31">
        <f t="shared" ref="AD465:AD495" si="1070">IF(Z465="","",Z465+Z$498)</f>
        <v>4660.2618424962457</v>
      </c>
      <c r="AE465" s="31">
        <f t="shared" ref="AE465:AE494" si="1071">SUM(AA465:AD465)</f>
        <v>29995.048411282809</v>
      </c>
      <c r="AF465" s="31">
        <f>IFERROR(VLOOKUP(A465,'Allocations By Type'!$D$7:$F$491,3,FALSE),"")</f>
        <v>32082.89</v>
      </c>
      <c r="AG465" s="31" t="str">
        <f t="shared" ref="AG465:AG494" si="1072">IF(AE465&gt;AF465,AE465*0.04,"")</f>
        <v/>
      </c>
      <c r="AH465" s="31" t="str">
        <f t="shared" ref="AH465:AH494" si="1073">IF(AG465="","",IF((AE465-AF465)&gt;AG465,AG465,AE465-AF465))</f>
        <v/>
      </c>
      <c r="AI465" s="31">
        <f t="shared" ref="AI465:AI494" si="1074">IF(AH465="",AE465,AE465-AH465)</f>
        <v>29995.048411282809</v>
      </c>
      <c r="AJ465" s="31">
        <f>AI465/$AI$577*'State Admin 1004(b)'!$B$30*0.01</f>
        <v>285.44785683574679</v>
      </c>
      <c r="AK465" s="31">
        <f t="shared" ref="AK465:AK494" si="1075">AI465-AJ465</f>
        <v>29709.600554447061</v>
      </c>
      <c r="AL465" s="31">
        <f t="shared" ref="AL465:AL494" si="1076">AK465*0.01</f>
        <v>297.09600554447064</v>
      </c>
      <c r="AM465" s="31">
        <f t="shared" ref="AM465:AM494" si="1077">AK465-AL465</f>
        <v>29412.504548902591</v>
      </c>
      <c r="AP465" s="31"/>
      <c r="AQ465" s="4">
        <f t="shared" ref="AQ465:AQ482" si="1078">IFERROR(AM465/AF465,"")</f>
        <v>0.91676605657727817</v>
      </c>
      <c r="AR465" s="4">
        <f>VLOOKUP(B465,Allocation!$D$10:$P$235,13,FALSE)</f>
        <v>0.9804503288084564</v>
      </c>
      <c r="AS465" s="4">
        <f t="shared" ref="AS465:AS482" si="1079">IF(M465&gt;0.3,0.95,IF(M465&gt;0.15,0.9,0.85))</f>
        <v>0.9</v>
      </c>
      <c r="AT465" s="4" t="str">
        <f t="shared" ref="AT465:AT482" si="1080">IF(AQ465&lt;AS465,"Review","")</f>
        <v/>
      </c>
      <c r="AU465" s="31" t="str">
        <f t="shared" ref="AU465:AU482" si="1081">IF(AT465="Review",AM465*AS465/AQ465-AM465,"")</f>
        <v/>
      </c>
      <c r="AV465" s="31" t="str">
        <f t="shared" ref="AV465:AV482" si="1082">IF(AU465="","",AU465+AM465)</f>
        <v/>
      </c>
      <c r="AW465" s="31">
        <f t="shared" ref="AW465:AW494" si="1083">IF(AV465="",AM465-AM465/($AM$497-$AV$497+$AU$497)*$AU$497,AV465)</f>
        <v>28942.761785780305</v>
      </c>
      <c r="AX465" s="4">
        <f t="shared" ref="AX465:AX482" si="1084">IFERROR(AW465/AF465,"")</f>
        <v>0.90212452138134391</v>
      </c>
      <c r="AY465" s="4" t="str">
        <f t="shared" ref="AY465:AY482" si="1085">IF(AX465&lt;AS465,"Manual Adjustment","")</f>
        <v/>
      </c>
      <c r="AZ465" s="174" t="str">
        <f>IFERROR(IF(VLOOKUP(A465,#REF!,11,FALSE)=0,"",VLOOKUP(A465,#REF!,11,FALSE)),"")</f>
        <v/>
      </c>
      <c r="BA465" s="31" t="str">
        <f t="shared" ref="BA465:BA494" si="1086">IF(AZ465&lt;0,AW465*AZ465/100,"")</f>
        <v/>
      </c>
      <c r="BB465" s="31">
        <f t="shared" ref="BB465:BB494" si="1087">IF(BA465&lt;0,AW465+BA465,AW465)</f>
        <v>28942.761785780305</v>
      </c>
      <c r="BD465" s="31">
        <f>IFERROR(VLOOKUP(A465,'Title II Hold Harmless'!A$1:B$439,2, FALSE),"")</f>
        <v>7612</v>
      </c>
      <c r="BE465" s="31">
        <f t="shared" ref="BE465:BE494" si="1088">IFERROR($BD$582*(0.8*($L465/$L$579)+0.2*($K465/$K$579))+$BD465,$BD$582*(0.8*($L465/$L$579)+0.2*($K465/$K$579)))</f>
        <v>8107.3940794573473</v>
      </c>
      <c r="BF465" s="31">
        <f t="shared" ref="BF465:BF494" si="1089">$BD$583*BE465</f>
        <v>8115.2384670186775</v>
      </c>
      <c r="BG465" s="31" t="str">
        <f t="shared" ref="BG465:BG494" si="1090">IF(AZ465&lt;0,BF465*AZ465/100,"")</f>
        <v/>
      </c>
      <c r="BH465" s="31">
        <f t="shared" ref="BH465:BH494" si="1091">IF(BG465&lt;0,BF465+BG465,BF465)</f>
        <v>8115.2384670186775</v>
      </c>
    </row>
    <row r="466" spans="1:60" x14ac:dyDescent="0.3">
      <c r="A466" s="1">
        <v>110215000</v>
      </c>
      <c r="B466">
        <f>VLOOKUP(C466,'NCES ID'!$A$2:$B$3136,2,FALSE)</f>
        <v>408230</v>
      </c>
      <c r="C466">
        <f>VLOOKUP(A466,'State ID'!$A$2:$B$713,2,FALSE)</f>
        <v>4440</v>
      </c>
      <c r="D466" s="147" t="s">
        <v>404</v>
      </c>
      <c r="E466" t="s">
        <v>20</v>
      </c>
      <c r="F466" s="47">
        <f>VLOOKUP(B466,'Formula counts'!$D$9:$L$234,9,FALSE)</f>
        <v>587</v>
      </c>
      <c r="G466" s="47">
        <f>VLOOKUP(B466,'Formula counts'!$D$9:$K$234,8,FALSE)</f>
        <v>139</v>
      </c>
      <c r="H466" s="4">
        <f>VLOOKUP(B466,'Formula counts'!$D$9:$M$234,10,FALSE)</f>
        <v>0.23679727427597955</v>
      </c>
      <c r="I466" s="47">
        <f>VLOOKUP($C466,'Final SEA Counts'!$A$2:$F$709,5,FALSE)</f>
        <v>332</v>
      </c>
      <c r="J466" s="47">
        <f>VLOOKUP($C466,'Final SEA Counts'!$A$2:$F$709,6,FALSE)</f>
        <v>304</v>
      </c>
      <c r="K466" s="24">
        <f t="shared" si="1056"/>
        <v>517.76792457079716</v>
      </c>
      <c r="L466" s="24">
        <f t="shared" si="1057"/>
        <v>125.00493203660142</v>
      </c>
      <c r="M466" s="4">
        <f t="shared" si="1058"/>
        <v>0.24143042877795887</v>
      </c>
      <c r="N466" s="31">
        <f>IFERROR(VLOOKUP($B466,Allocation!$D$10:$O$235,8,FALSE),"")</f>
        <v>122383.52624339383</v>
      </c>
      <c r="O466" s="31">
        <f>IFERROR(VLOOKUP($B466,Allocation!$D$10:$O$235,9,FALSE),"")</f>
        <v>29848.823896189835</v>
      </c>
      <c r="P466" s="31">
        <f>IFERROR(VLOOKUP($B466,Allocation!$D$10:$O$235,10,FALSE),"")</f>
        <v>48185.696075899381</v>
      </c>
      <c r="Q466" s="31">
        <f>IFERROR(VLOOKUP($B466,Allocation!$D$10:$O$235,11,FALSE),"")</f>
        <v>42498.906040259288</v>
      </c>
      <c r="R466" s="31">
        <f>IFERROR(VLOOKUP($B466,Allocation!$D$10:$O$235,12,FALSE),"")</f>
        <v>242916.95225574233</v>
      </c>
      <c r="S466" s="31">
        <f t="shared" si="1059"/>
        <v>110061.47036298613</v>
      </c>
      <c r="T466" s="31">
        <f t="shared" si="1060"/>
        <v>26843.526636803559</v>
      </c>
      <c r="U466" s="31">
        <f t="shared" si="1061"/>
        <v>43334.170238159233</v>
      </c>
      <c r="V466" s="31">
        <f t="shared" si="1062"/>
        <v>38219.948641672818</v>
      </c>
      <c r="W466" s="31">
        <f t="shared" si="1063"/>
        <v>110061.47036298613</v>
      </c>
      <c r="X466" s="31">
        <f t="shared" si="1064"/>
        <v>26843.526636803559</v>
      </c>
      <c r="Y466" s="31">
        <f t="shared" si="1065"/>
        <v>43334.170238159233</v>
      </c>
      <c r="Z466" s="31">
        <f t="shared" si="1066"/>
        <v>38219.948641672818</v>
      </c>
      <c r="AA466" s="31">
        <f t="shared" si="1067"/>
        <v>110061.47036298613</v>
      </c>
      <c r="AB466" s="31">
        <f t="shared" si="1068"/>
        <v>28249.577755012237</v>
      </c>
      <c r="AC466" s="31">
        <f t="shared" si="1069"/>
        <v>43334.170238159233</v>
      </c>
      <c r="AD466" s="31">
        <f t="shared" si="1070"/>
        <v>38219.948641672818</v>
      </c>
      <c r="AE466" s="31">
        <f t="shared" si="1071"/>
        <v>219865.16699783041</v>
      </c>
      <c r="AF466" s="31">
        <f>IFERROR(VLOOKUP(A466,'Allocations By Type'!$D$7:$F$491,3,FALSE),"")</f>
        <v>261817.11</v>
      </c>
      <c r="AG466" s="31" t="str">
        <f t="shared" si="1072"/>
        <v/>
      </c>
      <c r="AH466" s="31" t="str">
        <f t="shared" si="1073"/>
        <v/>
      </c>
      <c r="AI466" s="31">
        <f t="shared" si="1074"/>
        <v>219865.16699783041</v>
      </c>
      <c r="AJ466" s="31">
        <f>AI466/$AI$577*'State Admin 1004(b)'!$B$30*0.01</f>
        <v>2092.3467050900545</v>
      </c>
      <c r="AK466" s="31">
        <f t="shared" si="1075"/>
        <v>217772.82029274036</v>
      </c>
      <c r="AL466" s="31">
        <f t="shared" si="1076"/>
        <v>2177.7282029274038</v>
      </c>
      <c r="AM466" s="31">
        <f t="shared" si="1077"/>
        <v>215595.09208981297</v>
      </c>
      <c r="AP466" s="31"/>
      <c r="AQ466" s="4">
        <f t="shared" si="1078"/>
        <v>0.82345684775839512</v>
      </c>
      <c r="AR466" s="4">
        <f>VLOOKUP(B466,Allocation!$D$10:$P$235,13,FALSE)</f>
        <v>0.90000000000000013</v>
      </c>
      <c r="AS466" s="4">
        <f t="shared" si="1079"/>
        <v>0.9</v>
      </c>
      <c r="AT466" s="4" t="str">
        <f t="shared" si="1080"/>
        <v>Review</v>
      </c>
      <c r="AU466" s="31">
        <f t="shared" si="1081"/>
        <v>20040.306910187006</v>
      </c>
      <c r="AV466" s="31">
        <f t="shared" si="1082"/>
        <v>235635.39899999998</v>
      </c>
      <c r="AW466" s="31">
        <f t="shared" si="1083"/>
        <v>235635.39899999998</v>
      </c>
      <c r="AX466" s="4">
        <f t="shared" si="1084"/>
        <v>0.89999999999999991</v>
      </c>
      <c r="AY466" s="4" t="str">
        <f t="shared" si="1085"/>
        <v/>
      </c>
      <c r="AZ466" s="174" t="str">
        <f>IFERROR(IF(VLOOKUP(A466,#REF!,11,FALSE)=0,"",VLOOKUP(A466,#REF!,11,FALSE)),"")</f>
        <v/>
      </c>
      <c r="BA466" s="31" t="str">
        <f t="shared" si="1086"/>
        <v/>
      </c>
      <c r="BB466" s="31">
        <f t="shared" si="1087"/>
        <v>235635.39899999998</v>
      </c>
      <c r="BD466" s="31">
        <f>IFERROR(VLOOKUP(A466,'Title II Hold Harmless'!A$1:B$439,2, FALSE),"")</f>
        <v>25855</v>
      </c>
      <c r="BE466" s="31">
        <f t="shared" si="1088"/>
        <v>27908.098146730197</v>
      </c>
      <c r="BF466" s="31">
        <f t="shared" si="1089"/>
        <v>27935.100897036526</v>
      </c>
      <c r="BG466" s="31" t="str">
        <f t="shared" si="1090"/>
        <v/>
      </c>
      <c r="BH466" s="31">
        <f t="shared" si="1091"/>
        <v>27935.100897036526</v>
      </c>
    </row>
    <row r="467" spans="1:60" x14ac:dyDescent="0.3">
      <c r="A467" s="1">
        <v>110540000</v>
      </c>
      <c r="B467">
        <f>VLOOKUP(C467,'NCES ID'!$A$2:$B$3136,2,FALSE)</f>
        <v>407530</v>
      </c>
      <c r="C467">
        <f>VLOOKUP(A467,'State ID'!$A$2:$B$713,2,FALSE)</f>
        <v>4454</v>
      </c>
      <c r="D467" s="147" t="s">
        <v>377</v>
      </c>
      <c r="E467" t="s">
        <v>20</v>
      </c>
      <c r="F467" s="47">
        <f>VLOOKUP(B467,'Formula counts'!$D$9:$L$234,9,FALSE)</f>
        <v>729</v>
      </c>
      <c r="G467" s="47">
        <f>VLOOKUP(B467,'Formula counts'!$D$9:$K$234,8,FALSE)</f>
        <v>179</v>
      </c>
      <c r="H467" s="4">
        <f>VLOOKUP(B467,'Formula counts'!$D$9:$M$234,10,FALSE)</f>
        <v>0.24554183813443073</v>
      </c>
      <c r="I467" s="47">
        <f>VLOOKUP($C467,'Final SEA Counts'!$A$2:$F$709,5,FALSE)</f>
        <v>361</v>
      </c>
      <c r="J467" s="47">
        <f>VLOOKUP($C467,'Final SEA Counts'!$A$2:$F$709,6,FALSE)</f>
        <v>315</v>
      </c>
      <c r="K467" s="24">
        <f t="shared" si="1056"/>
        <v>643.02013119610069</v>
      </c>
      <c r="L467" s="24">
        <f t="shared" si="1057"/>
        <v>160.97757434929247</v>
      </c>
      <c r="M467" s="4">
        <f t="shared" si="1058"/>
        <v>0.25034608799860331</v>
      </c>
      <c r="N467" s="31">
        <f>IFERROR(VLOOKUP($B467,Allocation!$D$10:$O$235,8,FALSE),"")</f>
        <v>93395.284591311007</v>
      </c>
      <c r="O467" s="31">
        <f>IFERROR(VLOOKUP($B467,Allocation!$D$10:$O$235,9,FALSE),"")</f>
        <v>22388.471931773114</v>
      </c>
      <c r="P467" s="31">
        <f>IFERROR(VLOOKUP($B467,Allocation!$D$10:$O$235,10,FALSE),"")</f>
        <v>41798.92222851111</v>
      </c>
      <c r="Q467" s="31">
        <f>IFERROR(VLOOKUP($B467,Allocation!$D$10:$O$235,11,FALSE),"")</f>
        <v>31234.152928806772</v>
      </c>
      <c r="R467" s="31">
        <f>IFERROR(VLOOKUP($B467,Allocation!$D$10:$O$235,12,FALSE),"")</f>
        <v>188816.83168040201</v>
      </c>
      <c r="S467" s="31">
        <f t="shared" si="1059"/>
        <v>83991.879157380434</v>
      </c>
      <c r="T467" s="31">
        <f t="shared" si="1060"/>
        <v>20134.312318234941</v>
      </c>
      <c r="U467" s="31">
        <f t="shared" si="1061"/>
        <v>37590.441959555537</v>
      </c>
      <c r="V467" s="31">
        <f t="shared" si="1062"/>
        <v>28089.375281196444</v>
      </c>
      <c r="W467" s="31">
        <f t="shared" si="1063"/>
        <v>83991.879157380434</v>
      </c>
      <c r="X467" s="31">
        <f t="shared" si="1064"/>
        <v>20134.312318234941</v>
      </c>
      <c r="Y467" s="31">
        <f t="shared" si="1065"/>
        <v>37590.441959555537</v>
      </c>
      <c r="Z467" s="31">
        <f t="shared" si="1066"/>
        <v>28089.375281196444</v>
      </c>
      <c r="AA467" s="31">
        <f t="shared" si="1067"/>
        <v>83991.879157380434</v>
      </c>
      <c r="AB467" s="31">
        <f t="shared" si="1068"/>
        <v>21540.363436443618</v>
      </c>
      <c r="AC467" s="31">
        <f t="shared" si="1069"/>
        <v>37590.441959555537</v>
      </c>
      <c r="AD467" s="31">
        <f t="shared" si="1070"/>
        <v>28089.375281196444</v>
      </c>
      <c r="AE467" s="31">
        <f t="shared" si="1071"/>
        <v>171212.05983457604</v>
      </c>
      <c r="AF467" s="31">
        <f>IFERROR(VLOOKUP(A467,'Allocations By Type'!$D$7:$F$491,3,FALSE),"")</f>
        <v>189134.19</v>
      </c>
      <c r="AG467" s="31" t="str">
        <f t="shared" si="1072"/>
        <v/>
      </c>
      <c r="AH467" s="31" t="str">
        <f t="shared" si="1073"/>
        <v/>
      </c>
      <c r="AI467" s="31">
        <f t="shared" si="1074"/>
        <v>171212.05983457604</v>
      </c>
      <c r="AJ467" s="31">
        <f>AI467/$AI$577*'State Admin 1004(b)'!$B$30*0.01</f>
        <v>1629.339445434262</v>
      </c>
      <c r="AK467" s="31">
        <f t="shared" si="1075"/>
        <v>169582.72038914179</v>
      </c>
      <c r="AL467" s="31">
        <f t="shared" si="1076"/>
        <v>1695.8272038914179</v>
      </c>
      <c r="AM467" s="31">
        <f t="shared" si="1077"/>
        <v>167886.89318525037</v>
      </c>
      <c r="AP467" s="31"/>
      <c r="AQ467" s="4">
        <f t="shared" si="1078"/>
        <v>0.88766020139061252</v>
      </c>
      <c r="AR467" s="4">
        <f>VLOOKUP(B467,Allocation!$D$10:$P$235,13,FALSE)</f>
        <v>0.90000000000000013</v>
      </c>
      <c r="AS467" s="4">
        <f t="shared" si="1079"/>
        <v>0.9</v>
      </c>
      <c r="AT467" s="4" t="s">
        <v>1003</v>
      </c>
      <c r="AU467" s="31">
        <f t="shared" si="1081"/>
        <v>2333.8778147496341</v>
      </c>
      <c r="AV467" s="31">
        <f t="shared" si="1082"/>
        <v>170220.77100000001</v>
      </c>
      <c r="AW467" s="31">
        <f t="shared" si="1083"/>
        <v>170220.77100000001</v>
      </c>
      <c r="AX467" s="4">
        <f t="shared" si="1084"/>
        <v>0.9</v>
      </c>
      <c r="AY467" s="4" t="str">
        <f t="shared" si="1085"/>
        <v/>
      </c>
      <c r="AZ467" s="174" t="str">
        <f>IFERROR(IF(VLOOKUP(A467,#REF!,11,FALSE)=0,"",VLOOKUP(A467,#REF!,11,FALSE)),"")</f>
        <v/>
      </c>
      <c r="BA467" s="31" t="str">
        <f t="shared" si="1086"/>
        <v/>
      </c>
      <c r="BB467" s="31">
        <f t="shared" si="1087"/>
        <v>170220.77100000001</v>
      </c>
      <c r="BD467" s="31">
        <f>IFERROR(VLOOKUP(A467,'Title II Hold Harmless'!A$1:B$439,2, FALSE),"")</f>
        <v>20535</v>
      </c>
      <c r="BE467" s="31">
        <f t="shared" si="1088"/>
        <v>23159.807179214378</v>
      </c>
      <c r="BF467" s="31">
        <f t="shared" si="1089"/>
        <v>23182.215674666666</v>
      </c>
      <c r="BG467" s="31" t="str">
        <f t="shared" si="1090"/>
        <v/>
      </c>
      <c r="BH467" s="31">
        <f t="shared" si="1091"/>
        <v>23182.215674666666</v>
      </c>
    </row>
    <row r="468" spans="1:60" x14ac:dyDescent="0.3">
      <c r="A468" s="1">
        <v>110203000</v>
      </c>
      <c r="B468">
        <f>VLOOKUP(C468,'NCES ID'!$A$2:$B$3136,2,FALSE)</f>
        <v>406850</v>
      </c>
      <c r="C468">
        <f>VLOOKUP(A468,'State ID'!$A$2:$B$713,2,FALSE)</f>
        <v>4438</v>
      </c>
      <c r="D468" s="147" t="s">
        <v>357</v>
      </c>
      <c r="E468" t="s">
        <v>20</v>
      </c>
      <c r="F468" s="47">
        <f>VLOOKUP(B468,'Formula counts'!$D$9:$L$234,9,FALSE)</f>
        <v>770</v>
      </c>
      <c r="G468" s="47">
        <f>VLOOKUP(B468,'Formula counts'!$D$9:$K$234,8,FALSE)</f>
        <v>171</v>
      </c>
      <c r="H468" s="4">
        <f>VLOOKUP(B468,'Formula counts'!$D$9:$M$234,10,FALSE)</f>
        <v>0.22207792207792207</v>
      </c>
      <c r="I468" s="47">
        <f>VLOOKUP($C468,'Final SEA Counts'!$A$2:$F$709,5,FALSE)</f>
        <v>412</v>
      </c>
      <c r="J468" s="47">
        <f>VLOOKUP($C468,'Final SEA Counts'!$A$2:$F$709,6,FALSE)</f>
        <v>254</v>
      </c>
      <c r="K468" s="24">
        <f t="shared" si="1056"/>
        <v>679.1845007146743</v>
      </c>
      <c r="L468" s="24">
        <f t="shared" si="1057"/>
        <v>153.78304588675428</v>
      </c>
      <c r="M468" s="4">
        <f t="shared" si="1058"/>
        <v>0.2264230790380751</v>
      </c>
      <c r="N468" s="31">
        <f>IFERROR(VLOOKUP($B468,Allocation!$D$10:$O$235,8,FALSE),"")</f>
        <v>132533.01038550824</v>
      </c>
      <c r="O468" s="31">
        <f>IFERROR(VLOOKUP($B468,Allocation!$D$10:$O$235,9,FALSE),"")</f>
        <v>32324.240106968417</v>
      </c>
      <c r="P468" s="31">
        <f>IFERROR(VLOOKUP($B468,Allocation!$D$10:$O$235,10,FALSE),"")</f>
        <v>42250.403346056155</v>
      </c>
      <c r="Q468" s="31">
        <f>IFERROR(VLOOKUP($B468,Allocation!$D$10:$O$235,11,FALSE),"")</f>
        <v>34972.984658608686</v>
      </c>
      <c r="R468" s="31">
        <f>IFERROR(VLOOKUP($B468,Allocation!$D$10:$O$235,12,FALSE),"")</f>
        <v>242080.63849714148</v>
      </c>
      <c r="S468" s="31">
        <f t="shared" si="1059"/>
        <v>119189.06443055143</v>
      </c>
      <c r="T468" s="31">
        <f t="shared" si="1060"/>
        <v>29069.708184937932</v>
      </c>
      <c r="U468" s="31">
        <f t="shared" si="1061"/>
        <v>37996.466178365088</v>
      </c>
      <c r="V468" s="31">
        <f t="shared" si="1062"/>
        <v>31451.766693284051</v>
      </c>
      <c r="W468" s="31">
        <f t="shared" si="1063"/>
        <v>119189.06443055143</v>
      </c>
      <c r="X468" s="31">
        <f t="shared" si="1064"/>
        <v>29069.708184937932</v>
      </c>
      <c r="Y468" s="31">
        <f t="shared" si="1065"/>
        <v>37996.466178365088</v>
      </c>
      <c r="Z468" s="31">
        <f t="shared" si="1066"/>
        <v>31451.766693284051</v>
      </c>
      <c r="AA468" s="31">
        <f t="shared" si="1067"/>
        <v>119189.06443055143</v>
      </c>
      <c r="AB468" s="31">
        <f t="shared" si="1068"/>
        <v>30475.759303146609</v>
      </c>
      <c r="AC468" s="31">
        <f t="shared" si="1069"/>
        <v>37996.466178365088</v>
      </c>
      <c r="AD468" s="31">
        <f t="shared" si="1070"/>
        <v>31451.766693284051</v>
      </c>
      <c r="AE468" s="31">
        <f t="shared" si="1071"/>
        <v>219113.0566053472</v>
      </c>
      <c r="AF468" s="31">
        <f>IFERROR(VLOOKUP(A468,'Allocations By Type'!$D$7:$F$491,3,FALSE),"")</f>
        <v>260005.14</v>
      </c>
      <c r="AG468" s="31" t="str">
        <f t="shared" si="1072"/>
        <v/>
      </c>
      <c r="AH468" s="31" t="str">
        <f t="shared" si="1073"/>
        <v/>
      </c>
      <c r="AI468" s="31">
        <f t="shared" si="1074"/>
        <v>219113.0566053472</v>
      </c>
      <c r="AJ468" s="31">
        <f>AI468/$AI$577*'State Admin 1004(b)'!$B$30*0.01</f>
        <v>2085.1892470758353</v>
      </c>
      <c r="AK468" s="31">
        <f t="shared" si="1075"/>
        <v>217027.86735827135</v>
      </c>
      <c r="AL468" s="31">
        <f t="shared" si="1076"/>
        <v>2170.2786735827135</v>
      </c>
      <c r="AM468" s="31">
        <f t="shared" si="1077"/>
        <v>214857.58868468864</v>
      </c>
      <c r="AP468" s="31"/>
      <c r="AQ468" s="4">
        <f t="shared" si="1078"/>
        <v>0.82635900461309586</v>
      </c>
      <c r="AR468" s="4">
        <f>VLOOKUP(B468,Allocation!$D$10:$P$235,13,FALSE)</f>
        <v>0.89999999999999991</v>
      </c>
      <c r="AS468" s="4">
        <f t="shared" si="1079"/>
        <v>0.9</v>
      </c>
      <c r="AT468" s="4" t="str">
        <f t="shared" si="1080"/>
        <v>Review</v>
      </c>
      <c r="AU468" s="31">
        <f t="shared" si="1081"/>
        <v>19147.037315311376</v>
      </c>
      <c r="AV468" s="31">
        <f t="shared" si="1082"/>
        <v>234004.62600000002</v>
      </c>
      <c r="AW468" s="31">
        <f t="shared" si="1083"/>
        <v>234004.62600000002</v>
      </c>
      <c r="AX468" s="4">
        <f t="shared" si="1084"/>
        <v>0.9</v>
      </c>
      <c r="AY468" s="4" t="str">
        <f t="shared" si="1085"/>
        <v/>
      </c>
      <c r="AZ468" s="174" t="str">
        <f>IFERROR(IF(VLOOKUP(A468,#REF!,11,FALSE)=0,"",VLOOKUP(A468,#REF!,11,FALSE)),"")</f>
        <v/>
      </c>
      <c r="BA468" s="31" t="str">
        <f t="shared" si="1086"/>
        <v/>
      </c>
      <c r="BB468" s="31">
        <f t="shared" si="1087"/>
        <v>234004.62600000002</v>
      </c>
      <c r="BD468" s="31">
        <f>IFERROR(VLOOKUP(A468,'Title II Hold Harmless'!A$1:B$439,2, FALSE),"")</f>
        <v>17834</v>
      </c>
      <c r="BE468" s="31">
        <f t="shared" si="1088"/>
        <v>20393.731033476794</v>
      </c>
      <c r="BF468" s="31">
        <f t="shared" si="1089"/>
        <v>20413.463185199067</v>
      </c>
      <c r="BG468" s="31" t="str">
        <f t="shared" si="1090"/>
        <v/>
      </c>
      <c r="BH468" s="31">
        <f t="shared" si="1091"/>
        <v>20413.463185199067</v>
      </c>
    </row>
    <row r="469" spans="1:60" x14ac:dyDescent="0.3">
      <c r="A469" s="1">
        <v>110424000</v>
      </c>
      <c r="B469">
        <f>VLOOKUP(C469,'NCES ID'!$A$2:$B$3136,2,FALSE)</f>
        <v>408130</v>
      </c>
      <c r="C469">
        <f>VLOOKUP(A469,'State ID'!$A$2:$B$713,2,FALSE)</f>
        <v>4451</v>
      </c>
      <c r="D469" s="147" t="s">
        <v>399</v>
      </c>
      <c r="E469" t="s">
        <v>20</v>
      </c>
      <c r="F469" s="47">
        <f>VLOOKUP(B469,'Formula counts'!$D$9:$L$234,9,FALSE)</f>
        <v>818</v>
      </c>
      <c r="G469" s="47">
        <f>VLOOKUP(B469,'Formula counts'!$D$9:$K$234,8,FALSE)</f>
        <v>190</v>
      </c>
      <c r="H469" s="4">
        <f>VLOOKUP(B469,'Formula counts'!$D$9:$M$234,10,FALSE)</f>
        <v>0.23227383863080683</v>
      </c>
      <c r="I469" s="47">
        <f>VLOOKUP($C469,'Final SEA Counts'!$A$2:$F$709,5,FALSE)</f>
        <v>529</v>
      </c>
      <c r="J469" s="47">
        <f>VLOOKUP($C469,'Final SEA Counts'!$A$2:$F$709,6,FALSE)</f>
        <v>450</v>
      </c>
      <c r="K469" s="24">
        <f t="shared" si="1056"/>
        <v>721.52327478519942</v>
      </c>
      <c r="L469" s="24">
        <f t="shared" si="1057"/>
        <v>170.87005098528252</v>
      </c>
      <c r="M469" s="4">
        <f t="shared" si="1058"/>
        <v>0.23681848799146676</v>
      </c>
      <c r="N469" s="31">
        <f>IFERROR(VLOOKUP($B469,Allocation!$D$10:$O$235,8,FALSE),"")</f>
        <v>124111.95596800887</v>
      </c>
      <c r="O469" s="31">
        <f>IFERROR(VLOOKUP($B469,Allocation!$D$10:$O$235,9,FALSE),"")</f>
        <v>29439.662249653658</v>
      </c>
      <c r="P469" s="31">
        <f>IFERROR(VLOOKUP($B469,Allocation!$D$10:$O$235,10,FALSE),"")</f>
        <v>64154.371358279692</v>
      </c>
      <c r="Q469" s="31">
        <f>IFERROR(VLOOKUP($B469,Allocation!$D$10:$O$235,11,FALSE),"")</f>
        <v>51618.271078920559</v>
      </c>
      <c r="R469" s="31">
        <f>IFERROR(VLOOKUP($B469,Allocation!$D$10:$O$235,12,FALSE),"")</f>
        <v>269324.2606548628</v>
      </c>
      <c r="S469" s="31">
        <f t="shared" si="1059"/>
        <v>111615.87496914112</v>
      </c>
      <c r="T469" s="31">
        <f t="shared" si="1060"/>
        <v>26475.56099783062</v>
      </c>
      <c r="U469" s="31">
        <f t="shared" si="1061"/>
        <v>57695.056341673684</v>
      </c>
      <c r="V469" s="31">
        <f t="shared" si="1062"/>
        <v>46421.140058038371</v>
      </c>
      <c r="W469" s="31">
        <f t="shared" si="1063"/>
        <v>111615.87496914112</v>
      </c>
      <c r="X469" s="31">
        <f t="shared" si="1064"/>
        <v>26475.56099783062</v>
      </c>
      <c r="Y469" s="31">
        <f t="shared" si="1065"/>
        <v>57695.056341673684</v>
      </c>
      <c r="Z469" s="31">
        <f t="shared" si="1066"/>
        <v>46421.140058038371</v>
      </c>
      <c r="AA469" s="31">
        <f t="shared" si="1067"/>
        <v>111615.87496914112</v>
      </c>
      <c r="AB469" s="31">
        <f t="shared" si="1068"/>
        <v>27881.612116039298</v>
      </c>
      <c r="AC469" s="31">
        <f t="shared" si="1069"/>
        <v>57695.056341673684</v>
      </c>
      <c r="AD469" s="31">
        <f t="shared" si="1070"/>
        <v>46421.140058038371</v>
      </c>
      <c r="AE469" s="31">
        <f t="shared" si="1071"/>
        <v>243613.68348489248</v>
      </c>
      <c r="AF469" s="31">
        <f>IFERROR(VLOOKUP(A469,'Allocations By Type'!$D$7:$F$491,3,FALSE),"")</f>
        <v>258916.72</v>
      </c>
      <c r="AG469" s="31" t="str">
        <f t="shared" si="1072"/>
        <v/>
      </c>
      <c r="AH469" s="31" t="str">
        <f t="shared" si="1073"/>
        <v/>
      </c>
      <c r="AI469" s="31">
        <f t="shared" si="1074"/>
        <v>243613.68348489248</v>
      </c>
      <c r="AJ469" s="31">
        <f>AI469/$AI$577*'State Admin 1004(b)'!$B$30*0.01</f>
        <v>2318.3494453193484</v>
      </c>
      <c r="AK469" s="31">
        <f t="shared" si="1075"/>
        <v>241295.33403957312</v>
      </c>
      <c r="AL469" s="31">
        <f t="shared" si="1076"/>
        <v>2412.9533403957312</v>
      </c>
      <c r="AM469" s="31">
        <f t="shared" si="1077"/>
        <v>238882.38069917739</v>
      </c>
      <c r="AP469" s="31"/>
      <c r="AQ469" s="4">
        <f t="shared" si="1078"/>
        <v>0.9226224582915209</v>
      </c>
      <c r="AR469" s="4">
        <f>VLOOKUP(B469,Allocation!$D$10:$P$235,13,FALSE)</f>
        <v>0.90000000000000013</v>
      </c>
      <c r="AS469" s="4">
        <f t="shared" si="1079"/>
        <v>0.9</v>
      </c>
      <c r="AT469" s="4" t="str">
        <f t="shared" si="1080"/>
        <v/>
      </c>
      <c r="AU469" s="31" t="str">
        <f t="shared" si="1081"/>
        <v/>
      </c>
      <c r="AV469" s="31" t="str">
        <f t="shared" si="1082"/>
        <v/>
      </c>
      <c r="AW469" s="31">
        <f t="shared" si="1083"/>
        <v>235067.22550271015</v>
      </c>
      <c r="AX469" s="4">
        <f t="shared" si="1084"/>
        <v>0.9078873913693567</v>
      </c>
      <c r="AY469" s="4" t="str">
        <f t="shared" si="1085"/>
        <v/>
      </c>
      <c r="AZ469" s="174" t="str">
        <f>IFERROR(IF(VLOOKUP(A469,#REF!,11,FALSE)=0,"",VLOOKUP(A469,#REF!,11,FALSE)),"")</f>
        <v/>
      </c>
      <c r="BA469" s="31" t="str">
        <f t="shared" si="1086"/>
        <v/>
      </c>
      <c r="BB469" s="31">
        <f t="shared" si="1087"/>
        <v>235067.22550271015</v>
      </c>
      <c r="BD469" s="31">
        <f>IFERROR(VLOOKUP(A469,'Title II Hold Harmless'!A$1:B$439,2, FALSE),"")</f>
        <v>46900</v>
      </c>
      <c r="BE469" s="31">
        <f t="shared" si="1088"/>
        <v>49717.485661057108</v>
      </c>
      <c r="BF469" s="31">
        <f t="shared" si="1089"/>
        <v>49765.590295206865</v>
      </c>
      <c r="BG469" s="31" t="str">
        <f t="shared" si="1090"/>
        <v/>
      </c>
      <c r="BH469" s="31">
        <f t="shared" si="1091"/>
        <v>49765.590295206865</v>
      </c>
    </row>
    <row r="470" spans="1:60" x14ac:dyDescent="0.3">
      <c r="A470" s="1">
        <v>110302000</v>
      </c>
      <c r="B470">
        <f>VLOOKUP(C470,'NCES ID'!$A$2:$B$3136,2,FALSE)</f>
        <v>405640</v>
      </c>
      <c r="C470">
        <f>VLOOKUP(A470,'State ID'!$A$2:$B$713,2,FALSE)</f>
        <v>4444</v>
      </c>
      <c r="D470" s="147" t="s">
        <v>311</v>
      </c>
      <c r="E470" t="s">
        <v>20</v>
      </c>
      <c r="F470" s="47">
        <f>VLOOKUP(B470,'Formula counts'!$D$9:$L$234,9,FALSE)</f>
        <v>1051</v>
      </c>
      <c r="G470" s="47">
        <f>VLOOKUP(B470,'Formula counts'!$D$9:$K$234,8,FALSE)</f>
        <v>219</v>
      </c>
      <c r="H470" s="4">
        <f>VLOOKUP(B470,'Formula counts'!$D$9:$M$234,10,FALSE)</f>
        <v>0.20837297811607994</v>
      </c>
      <c r="I470" s="47">
        <f>VLOOKUP($C470,'Final SEA Counts'!$A$2:$F$709,5,FALSE)</f>
        <v>419</v>
      </c>
      <c r="J470" s="47">
        <f>VLOOKUP($C470,'Final SEA Counts'!$A$2:$F$709,6,FALSE)</f>
        <v>264</v>
      </c>
      <c r="K470" s="24">
        <f t="shared" si="1056"/>
        <v>927.04274058587362</v>
      </c>
      <c r="L470" s="24">
        <f t="shared" si="1057"/>
        <v>196.95021666198355</v>
      </c>
      <c r="M470" s="4">
        <f t="shared" si="1058"/>
        <v>0.21244998535613871</v>
      </c>
      <c r="N470" s="31">
        <f>IFERROR(VLOOKUP($B470,Allocation!$D$10:$O$235,8,FALSE),"")</f>
        <v>103310.62092431905</v>
      </c>
      <c r="O470" s="31">
        <f>IFERROR(VLOOKUP($B470,Allocation!$D$10:$O$235,9,FALSE),"")</f>
        <v>24500.205749099769</v>
      </c>
      <c r="P470" s="31">
        <f>IFERROR(VLOOKUP($B470,Allocation!$D$10:$O$235,10,FALSE),"")</f>
        <v>36949.184496961345</v>
      </c>
      <c r="Q470" s="31">
        <f>IFERROR(VLOOKUP($B470,Allocation!$D$10:$O$235,11,FALSE),"")</f>
        <v>27122.562591951377</v>
      </c>
      <c r="R470" s="31">
        <f>IFERROR(VLOOKUP($B470,Allocation!$D$10:$O$235,12,FALSE),"")</f>
        <v>191882.57376233154</v>
      </c>
      <c r="S470" s="31">
        <f t="shared" si="1059"/>
        <v>92908.900340313645</v>
      </c>
      <c r="T470" s="31">
        <f t="shared" si="1060"/>
        <v>22033.428449992574</v>
      </c>
      <c r="U470" s="31">
        <f t="shared" si="1061"/>
        <v>33228.994941370504</v>
      </c>
      <c r="V470" s="31">
        <f t="shared" si="1062"/>
        <v>24391.756068096041</v>
      </c>
      <c r="W470" s="31">
        <f t="shared" si="1063"/>
        <v>92908.900340313645</v>
      </c>
      <c r="X470" s="31">
        <f t="shared" si="1064"/>
        <v>22033.428449992574</v>
      </c>
      <c r="Y470" s="31">
        <f t="shared" si="1065"/>
        <v>33228.994941370504</v>
      </c>
      <c r="Z470" s="31">
        <f t="shared" si="1066"/>
        <v>24391.756068096041</v>
      </c>
      <c r="AA470" s="31">
        <f t="shared" si="1067"/>
        <v>92908.900340313645</v>
      </c>
      <c r="AB470" s="31">
        <f t="shared" si="1068"/>
        <v>23439.479568201252</v>
      </c>
      <c r="AC470" s="31">
        <f t="shared" si="1069"/>
        <v>33228.994941370504</v>
      </c>
      <c r="AD470" s="31">
        <f t="shared" si="1070"/>
        <v>24391.756068096041</v>
      </c>
      <c r="AE470" s="31">
        <f t="shared" si="1071"/>
        <v>173969.13091798144</v>
      </c>
      <c r="AF470" s="31">
        <f>IFERROR(VLOOKUP(A470,'Allocations By Type'!$D$7:$F$491,3,FALSE),"")</f>
        <v>100326.35</v>
      </c>
      <c r="AG470" s="31">
        <f t="shared" si="1072"/>
        <v>6958.7652367192577</v>
      </c>
      <c r="AH470" s="31">
        <f t="shared" si="1073"/>
        <v>6958.7652367192577</v>
      </c>
      <c r="AI470" s="31">
        <f t="shared" si="1074"/>
        <v>167010.36568126219</v>
      </c>
      <c r="AJ470" s="31">
        <f>AI470/$AI$577*'State Admin 1004(b)'!$B$30*0.01</f>
        <v>1589.3540260177833</v>
      </c>
      <c r="AK470" s="31">
        <f t="shared" si="1075"/>
        <v>165421.01165524439</v>
      </c>
      <c r="AL470" s="31">
        <f t="shared" si="1076"/>
        <v>1654.2101165524439</v>
      </c>
      <c r="AM470" s="31">
        <f t="shared" si="1077"/>
        <v>163766.80153869194</v>
      </c>
      <c r="AP470" s="31"/>
      <c r="AQ470" s="4">
        <f t="shared" si="1078"/>
        <v>1.632340870954559</v>
      </c>
      <c r="AR470" s="4">
        <f>VLOOKUP(B470,Allocation!$D$10:$P$235,13,FALSE)</f>
        <v>1.7155216676045286</v>
      </c>
      <c r="AS470" s="4">
        <f t="shared" si="1079"/>
        <v>0.9</v>
      </c>
      <c r="AT470" s="4" t="s">
        <v>1003</v>
      </c>
      <c r="AU470" s="31">
        <f t="shared" si="1081"/>
        <v>-73473.086538691918</v>
      </c>
      <c r="AV470" s="31">
        <f t="shared" si="1082"/>
        <v>90293.715000000026</v>
      </c>
      <c r="AW470" s="31">
        <f t="shared" si="1083"/>
        <v>90293.715000000026</v>
      </c>
      <c r="AX470" s="4">
        <f t="shared" si="1084"/>
        <v>0.90000000000000024</v>
      </c>
      <c r="AY470" s="4" t="str">
        <f t="shared" si="1085"/>
        <v/>
      </c>
      <c r="AZ470" s="174" t="str">
        <f>IFERROR(IF(VLOOKUP(A470,#REF!,11,FALSE)=0,"",VLOOKUP(A470,#REF!,11,FALSE)),"")</f>
        <v/>
      </c>
      <c r="BA470" s="31" t="str">
        <f t="shared" si="1086"/>
        <v/>
      </c>
      <c r="BB470" s="31">
        <f t="shared" si="1087"/>
        <v>90293.715000000026</v>
      </c>
      <c r="BD470" s="31">
        <f>IFERROR(VLOOKUP(A470,'Title II Hold Harmless'!A$1:B$439,2, FALSE),"")</f>
        <v>16494</v>
      </c>
      <c r="BE470" s="31">
        <f t="shared" si="1088"/>
        <v>19818.294582543884</v>
      </c>
      <c r="BF470" s="31">
        <f t="shared" si="1089"/>
        <v>19837.469965162079</v>
      </c>
      <c r="BG470" s="31" t="str">
        <f t="shared" si="1090"/>
        <v/>
      </c>
      <c r="BH470" s="31">
        <f t="shared" si="1091"/>
        <v>19837.469965162079</v>
      </c>
    </row>
    <row r="471" spans="1:60" x14ac:dyDescent="0.3">
      <c r="A471" s="1">
        <v>110411000</v>
      </c>
      <c r="B471">
        <f>VLOOKUP(C471,'NCES ID'!$A$2:$B$3136,2,FALSE)</f>
        <v>402790</v>
      </c>
      <c r="C471">
        <f>VLOOKUP(A471,'State ID'!$A$2:$B$713,2,FALSE)</f>
        <v>4448</v>
      </c>
      <c r="D471" s="147" t="s">
        <v>156</v>
      </c>
      <c r="E471" t="s">
        <v>20</v>
      </c>
      <c r="F471" s="47">
        <f>VLOOKUP(B471,'Formula counts'!$D$9:$L$234,9,FALSE)</f>
        <v>1089</v>
      </c>
      <c r="G471" s="47">
        <f>VLOOKUP(B471,'Formula counts'!$D$9:$K$234,8,FALSE)</f>
        <v>467</v>
      </c>
      <c r="H471" s="4">
        <f>VLOOKUP(B471,'Formula counts'!$D$9:$M$234,10,FALSE)</f>
        <v>0.42883379247015613</v>
      </c>
      <c r="I471" s="47">
        <f>VLOOKUP($C471,'Final SEA Counts'!$A$2:$F$709,5,FALSE)</f>
        <v>929</v>
      </c>
      <c r="J471" s="47">
        <f>VLOOKUP($C471,'Final SEA Counts'!$A$2:$F$709,6,FALSE)</f>
        <v>847</v>
      </c>
      <c r="K471" s="24">
        <f t="shared" si="1056"/>
        <v>960.56093672503937</v>
      </c>
      <c r="L471" s="24">
        <f t="shared" si="1057"/>
        <v>419.98059900066812</v>
      </c>
      <c r="M471" s="4">
        <f t="shared" si="1058"/>
        <v>0.43722431648382509</v>
      </c>
      <c r="N471" s="31">
        <f>IFERROR(VLOOKUP($B471,Allocation!$D$10:$O$235,8,FALSE),"")</f>
        <v>334653.73642910336</v>
      </c>
      <c r="O471" s="31">
        <f>IFERROR(VLOOKUP($B471,Allocation!$D$10:$O$235,9,FALSE),"")</f>
        <v>81620.629438379445</v>
      </c>
      <c r="P471" s="31">
        <f>IFERROR(VLOOKUP($B471,Allocation!$D$10:$O$235,10,FALSE),"")</f>
        <v>145920.45298771016</v>
      </c>
      <c r="Q471" s="31">
        <f>IFERROR(VLOOKUP($B471,Allocation!$D$10:$O$235,11,FALSE),"")</f>
        <v>136223.22900809362</v>
      </c>
      <c r="R471" s="31">
        <f>IFERROR(VLOOKUP($B471,Allocation!$D$10:$O$235,12,FALSE),"")</f>
        <v>698418.04786328657</v>
      </c>
      <c r="S471" s="31">
        <f t="shared" si="1059"/>
        <v>300959.47897924308</v>
      </c>
      <c r="T471" s="31">
        <f t="shared" si="1060"/>
        <v>73402.742703088137</v>
      </c>
      <c r="U471" s="31">
        <f t="shared" si="1061"/>
        <v>131228.60653581872</v>
      </c>
      <c r="V471" s="31">
        <f t="shared" si="1062"/>
        <v>122507.7372946988</v>
      </c>
      <c r="W471" s="31">
        <f t="shared" si="1063"/>
        <v>300959.47897924308</v>
      </c>
      <c r="X471" s="31">
        <f t="shared" si="1064"/>
        <v>73402.742703088137</v>
      </c>
      <c r="Y471" s="31">
        <f t="shared" si="1065"/>
        <v>131228.60653581872</v>
      </c>
      <c r="Z471" s="31">
        <f t="shared" si="1066"/>
        <v>122507.7372946988</v>
      </c>
      <c r="AA471" s="31">
        <f t="shared" si="1067"/>
        <v>300959.47897924308</v>
      </c>
      <c r="AB471" s="31">
        <f t="shared" si="1068"/>
        <v>74808.793821296815</v>
      </c>
      <c r="AC471" s="31">
        <f t="shared" si="1069"/>
        <v>131228.60653581872</v>
      </c>
      <c r="AD471" s="31">
        <f t="shared" si="1070"/>
        <v>122507.7372946988</v>
      </c>
      <c r="AE471" s="31">
        <f t="shared" si="1071"/>
        <v>629504.61663105746</v>
      </c>
      <c r="AF471" s="31">
        <f>IFERROR(VLOOKUP(A471,'Allocations By Type'!$D$7:$F$491,3,FALSE),"")</f>
        <v>700380.61</v>
      </c>
      <c r="AG471" s="31" t="str">
        <f t="shared" si="1072"/>
        <v/>
      </c>
      <c r="AH471" s="31" t="str">
        <f t="shared" si="1073"/>
        <v/>
      </c>
      <c r="AI471" s="31">
        <f t="shared" si="1074"/>
        <v>629504.61663105746</v>
      </c>
      <c r="AJ471" s="31">
        <f>AI471/$AI$577*'State Admin 1004(b)'!$B$30*0.01</f>
        <v>5990.6802356735679</v>
      </c>
      <c r="AK471" s="31">
        <f t="shared" si="1075"/>
        <v>623513.93639538391</v>
      </c>
      <c r="AL471" s="31">
        <f t="shared" si="1076"/>
        <v>6235.1393639538392</v>
      </c>
      <c r="AM471" s="31">
        <f t="shared" si="1077"/>
        <v>617278.79703143006</v>
      </c>
      <c r="AP471" s="31"/>
      <c r="AQ471" s="4">
        <f t="shared" si="1078"/>
        <v>0.88134763900935242</v>
      </c>
      <c r="AR471" s="4">
        <f>VLOOKUP(B471,Allocation!$D$10:$P$235,13,FALSE)</f>
        <v>0.95824829105847542</v>
      </c>
      <c r="AS471" s="4">
        <f t="shared" si="1079"/>
        <v>0.95</v>
      </c>
      <c r="AT471" s="4" t="str">
        <f t="shared" si="1080"/>
        <v>Review</v>
      </c>
      <c r="AU471" s="31">
        <f t="shared" si="1081"/>
        <v>48082.782468569931</v>
      </c>
      <c r="AV471" s="31">
        <f t="shared" si="1082"/>
        <v>665361.57949999999</v>
      </c>
      <c r="AW471" s="31">
        <f t="shared" si="1083"/>
        <v>665361.57949999999</v>
      </c>
      <c r="AX471" s="4">
        <f t="shared" si="1084"/>
        <v>0.95</v>
      </c>
      <c r="AY471" s="4" t="str">
        <f t="shared" si="1085"/>
        <v/>
      </c>
      <c r="AZ471" s="174" t="str">
        <f>IFERROR(IF(VLOOKUP(A471,#REF!,11,FALSE)=0,"",VLOOKUP(A471,#REF!,11,FALSE)),"")</f>
        <v/>
      </c>
      <c r="BA471" s="31" t="str">
        <f t="shared" si="1086"/>
        <v/>
      </c>
      <c r="BB471" s="31">
        <f t="shared" si="1087"/>
        <v>665361.57949999999</v>
      </c>
      <c r="BD471" s="31">
        <f>IFERROR(VLOOKUP(A471,'Title II Hold Harmless'!A$1:B$439,2, FALSE),"")</f>
        <v>79363</v>
      </c>
      <c r="BE471" s="31">
        <f t="shared" si="1088"/>
        <v>85633.887808389685</v>
      </c>
      <c r="BF471" s="31">
        <f t="shared" si="1089"/>
        <v>85716.74370484284</v>
      </c>
      <c r="BG471" s="31" t="str">
        <f t="shared" si="1090"/>
        <v/>
      </c>
      <c r="BH471" s="31">
        <f t="shared" si="1091"/>
        <v>85716.74370484284</v>
      </c>
    </row>
    <row r="472" spans="1:60" x14ac:dyDescent="0.3">
      <c r="A472" s="1">
        <v>110208000</v>
      </c>
      <c r="B472">
        <f>VLOOKUP(C472,'NCES ID'!$A$2:$B$3136,2,FALSE)</f>
        <v>404570</v>
      </c>
      <c r="C472">
        <f>VLOOKUP(A472,'State ID'!$A$2:$B$713,2,FALSE)</f>
        <v>4439</v>
      </c>
      <c r="D472" s="147" t="s">
        <v>268</v>
      </c>
      <c r="E472" t="s">
        <v>20</v>
      </c>
      <c r="F472" s="47">
        <f>VLOOKUP(B472,'Formula counts'!$D$9:$L$234,9,FALSE)</f>
        <v>1145</v>
      </c>
      <c r="G472" s="47">
        <f>VLOOKUP(B472,'Formula counts'!$D$9:$K$234,8,FALSE)</f>
        <v>231</v>
      </c>
      <c r="H472" s="4">
        <f>VLOOKUP(B472,'Formula counts'!$D$9:$M$234,10,FALSE)</f>
        <v>0.2017467248908297</v>
      </c>
      <c r="I472" s="47">
        <f>VLOOKUP($C472,'Final SEA Counts'!$A$2:$F$709,5,FALSE)</f>
        <v>664</v>
      </c>
      <c r="J472" s="47">
        <f>VLOOKUP($C472,'Final SEA Counts'!$A$2:$F$709,6,FALSE)</f>
        <v>544</v>
      </c>
      <c r="K472" s="24">
        <f t="shared" si="1056"/>
        <v>1009.956173140652</v>
      </c>
      <c r="L472" s="24">
        <f t="shared" si="1057"/>
        <v>207.74200935579086</v>
      </c>
      <c r="M472" s="4">
        <f t="shared" si="1058"/>
        <v>0.20569408344698495</v>
      </c>
      <c r="N472" s="31">
        <f>IFERROR(VLOOKUP($B472,Allocation!$D$10:$O$235,8,FALSE),"")</f>
        <v>222774.09453942039</v>
      </c>
      <c r="O472" s="31">
        <f>IFERROR(VLOOKUP($B472,Allocation!$D$10:$O$235,9,FALSE),"")</f>
        <v>54333.658464096115</v>
      </c>
      <c r="P472" s="31">
        <f>IFERROR(VLOOKUP($B472,Allocation!$D$10:$O$235,10,FALSE),"")</f>
        <v>74089.807695873169</v>
      </c>
      <c r="Q472" s="31">
        <f>IFERROR(VLOOKUP($B472,Allocation!$D$10:$O$235,11,FALSE),"")</f>
        <v>60563.838422985056</v>
      </c>
      <c r="R472" s="31">
        <f>IFERROR(VLOOKUP($B472,Allocation!$D$10:$O$235,12,FALSE),"")</f>
        <v>411761.39912237471</v>
      </c>
      <c r="S472" s="31">
        <f t="shared" si="1059"/>
        <v>200344.32048500478</v>
      </c>
      <c r="T472" s="31">
        <f t="shared" si="1060"/>
        <v>48863.131536721216</v>
      </c>
      <c r="U472" s="31">
        <f t="shared" si="1061"/>
        <v>66630.153781492758</v>
      </c>
      <c r="V472" s="31">
        <f t="shared" si="1062"/>
        <v>54466.032416841415</v>
      </c>
      <c r="W472" s="31">
        <f t="shared" si="1063"/>
        <v>200344.32048500478</v>
      </c>
      <c r="X472" s="31">
        <f t="shared" si="1064"/>
        <v>48863.131536721216</v>
      </c>
      <c r="Y472" s="31">
        <f t="shared" si="1065"/>
        <v>66630.153781492758</v>
      </c>
      <c r="Z472" s="31">
        <f t="shared" si="1066"/>
        <v>54466.032416841415</v>
      </c>
      <c r="AA472" s="31">
        <f t="shared" si="1067"/>
        <v>200344.32048500478</v>
      </c>
      <c r="AB472" s="31">
        <f t="shared" si="1068"/>
        <v>50269.182654929893</v>
      </c>
      <c r="AC472" s="31">
        <f t="shared" si="1069"/>
        <v>66630.153781492758</v>
      </c>
      <c r="AD472" s="31">
        <f t="shared" si="1070"/>
        <v>54466.032416841415</v>
      </c>
      <c r="AE472" s="31">
        <f t="shared" si="1071"/>
        <v>371709.68933826889</v>
      </c>
      <c r="AF472" s="31">
        <f>IFERROR(VLOOKUP(A472,'Allocations By Type'!$D$7:$F$491,3,FALSE),"")</f>
        <v>442716.84</v>
      </c>
      <c r="AG472" s="31" t="str">
        <f t="shared" si="1072"/>
        <v/>
      </c>
      <c r="AH472" s="31" t="str">
        <f t="shared" si="1073"/>
        <v/>
      </c>
      <c r="AI472" s="31">
        <f t="shared" si="1074"/>
        <v>371709.68933826889</v>
      </c>
      <c r="AJ472" s="31">
        <f>AI472/$AI$577*'State Admin 1004(b)'!$B$30*0.01</f>
        <v>3537.3749937599218</v>
      </c>
      <c r="AK472" s="31">
        <f t="shared" si="1075"/>
        <v>368172.31434450898</v>
      </c>
      <c r="AL472" s="31">
        <f t="shared" si="1076"/>
        <v>3681.72314344509</v>
      </c>
      <c r="AM472" s="31">
        <f t="shared" si="1077"/>
        <v>364490.59120106389</v>
      </c>
      <c r="AP472" s="31"/>
      <c r="AQ472" s="4">
        <f t="shared" si="1078"/>
        <v>0.82330410381738328</v>
      </c>
      <c r="AR472" s="4">
        <f>VLOOKUP(B472,Allocation!$D$10:$P$235,13,FALSE)</f>
        <v>0.9</v>
      </c>
      <c r="AS472" s="4">
        <f t="shared" si="1079"/>
        <v>0.9</v>
      </c>
      <c r="AT472" s="4" t="str">
        <f t="shared" si="1080"/>
        <v>Review</v>
      </c>
      <c r="AU472" s="31">
        <f t="shared" si="1081"/>
        <v>33954.564798936131</v>
      </c>
      <c r="AV472" s="31">
        <f t="shared" si="1082"/>
        <v>398445.15600000002</v>
      </c>
      <c r="AW472" s="31">
        <f t="shared" si="1083"/>
        <v>398445.15600000002</v>
      </c>
      <c r="AX472" s="4">
        <f t="shared" si="1084"/>
        <v>0.9</v>
      </c>
      <c r="AY472" s="4" t="str">
        <f t="shared" si="1085"/>
        <v/>
      </c>
      <c r="AZ472" s="174" t="str">
        <f>IFERROR(IF(VLOOKUP(A472,#REF!,11,FALSE)=0,"",VLOOKUP(A472,#REF!,11,FALSE)),"")</f>
        <v/>
      </c>
      <c r="BA472" s="31" t="str">
        <f t="shared" si="1086"/>
        <v/>
      </c>
      <c r="BB472" s="31">
        <f t="shared" si="1087"/>
        <v>398445.15600000002</v>
      </c>
      <c r="BD472" s="31">
        <f>IFERROR(VLOOKUP(A472,'Title II Hold Harmless'!A$1:B$439,2, FALSE),"")</f>
        <v>61169</v>
      </c>
      <c r="BE472" s="31">
        <f t="shared" si="1088"/>
        <v>64701.295115963861</v>
      </c>
      <c r="BF472" s="31">
        <f t="shared" si="1089"/>
        <v>64763.897479884421</v>
      </c>
      <c r="BG472" s="31" t="str">
        <f t="shared" si="1090"/>
        <v/>
      </c>
      <c r="BH472" s="31">
        <f t="shared" si="1091"/>
        <v>64763.897479884421</v>
      </c>
    </row>
    <row r="473" spans="1:60" x14ac:dyDescent="0.3">
      <c r="A473" s="1">
        <v>110418000</v>
      </c>
      <c r="B473">
        <f>VLOOKUP(C473,'NCES ID'!$A$2:$B$3136,2,FALSE)</f>
        <v>407200</v>
      </c>
      <c r="C473">
        <f>VLOOKUP(A473,'State ID'!$A$2:$B$713,2,FALSE)</f>
        <v>4449</v>
      </c>
      <c r="D473" s="147" t="s">
        <v>364</v>
      </c>
      <c r="E473" t="s">
        <v>20</v>
      </c>
      <c r="F473" s="47">
        <f>VLOOKUP(B473,'Formula counts'!$D$9:$L$234,9,FALSE)</f>
        <v>1219</v>
      </c>
      <c r="G473" s="47">
        <f>VLOOKUP(B473,'Formula counts'!$D$9:$K$234,8,FALSE)</f>
        <v>585</v>
      </c>
      <c r="H473" s="4">
        <f>VLOOKUP(B473,'Formula counts'!$D$9:$M$234,10,FALSE)</f>
        <v>0.47990155865463496</v>
      </c>
      <c r="I473" s="47">
        <f>VLOOKUP($C473,'Final SEA Counts'!$A$2:$F$709,5,FALSE)</f>
        <v>560</v>
      </c>
      <c r="J473" s="47">
        <f>VLOOKUP($C473,'Final SEA Counts'!$A$2:$F$709,6,FALSE)</f>
        <v>513</v>
      </c>
      <c r="K473" s="24">
        <f t="shared" si="1056"/>
        <v>1075.2284498327117</v>
      </c>
      <c r="L473" s="24">
        <f t="shared" si="1057"/>
        <v>526.09989382310675</v>
      </c>
      <c r="M473" s="4">
        <f t="shared" si="1058"/>
        <v>0.48929127005982725</v>
      </c>
      <c r="N473" s="31">
        <f>IFERROR(VLOOKUP($B473,Allocation!$D$10:$O$235,8,FALSE),"")</f>
        <v>589939.71629678109</v>
      </c>
      <c r="O473" s="31">
        <f>IFERROR(VLOOKUP($B473,Allocation!$D$10:$O$235,9,FALSE),"")</f>
        <v>143883.79908330459</v>
      </c>
      <c r="P473" s="31">
        <f>IFERROR(VLOOKUP($B473,Allocation!$D$10:$O$235,10,FALSE),"")</f>
        <v>366126.12463592819</v>
      </c>
      <c r="Q473" s="31">
        <f>IFERROR(VLOOKUP($B473,Allocation!$D$10:$O$235,11,FALSE),"")</f>
        <v>402724.44280113216</v>
      </c>
      <c r="R473" s="31">
        <f>IFERROR(VLOOKUP($B473,Allocation!$D$10:$O$235,12,FALSE),"")</f>
        <v>1502674.0828171459</v>
      </c>
      <c r="S473" s="31">
        <f t="shared" si="1059"/>
        <v>530542.26000986365</v>
      </c>
      <c r="T473" s="31">
        <f t="shared" si="1060"/>
        <v>129397.01097537053</v>
      </c>
      <c r="U473" s="31">
        <f t="shared" si="1061"/>
        <v>329263.10307149973</v>
      </c>
      <c r="V473" s="31">
        <f t="shared" si="1062"/>
        <v>362176.55828657339</v>
      </c>
      <c r="W473" s="31">
        <f t="shared" si="1063"/>
        <v>530542.26000986365</v>
      </c>
      <c r="X473" s="31">
        <f t="shared" si="1064"/>
        <v>129397.01097537053</v>
      </c>
      <c r="Y473" s="31">
        <f t="shared" si="1065"/>
        <v>329263.10307149973</v>
      </c>
      <c r="Z473" s="31">
        <f t="shared" si="1066"/>
        <v>362176.55828657339</v>
      </c>
      <c r="AA473" s="31">
        <f t="shared" si="1067"/>
        <v>530542.26000986365</v>
      </c>
      <c r="AB473" s="31">
        <f t="shared" si="1068"/>
        <v>130803.06209357921</v>
      </c>
      <c r="AC473" s="31">
        <f t="shared" si="1069"/>
        <v>329263.10307149973</v>
      </c>
      <c r="AD473" s="31">
        <f t="shared" si="1070"/>
        <v>362176.55828657339</v>
      </c>
      <c r="AE473" s="31">
        <f t="shared" si="1071"/>
        <v>1352784.983461516</v>
      </c>
      <c r="AF473" s="31">
        <f>IFERROR(VLOOKUP(A473,'Allocations By Type'!$D$7:$F$491,3,FALSE),"")</f>
        <v>1544570.99</v>
      </c>
      <c r="AG473" s="31" t="str">
        <f t="shared" si="1072"/>
        <v/>
      </c>
      <c r="AH473" s="31" t="str">
        <f t="shared" si="1073"/>
        <v/>
      </c>
      <c r="AI473" s="31">
        <f t="shared" si="1074"/>
        <v>1352784.983461516</v>
      </c>
      <c r="AJ473" s="31">
        <f>AI473/$AI$577*'State Admin 1004(b)'!$B$30*0.01</f>
        <v>12873.777331308409</v>
      </c>
      <c r="AK473" s="31">
        <f t="shared" si="1075"/>
        <v>1339911.2061302075</v>
      </c>
      <c r="AL473" s="31">
        <f t="shared" si="1076"/>
        <v>13399.112061302076</v>
      </c>
      <c r="AM473" s="31">
        <f t="shared" si="1077"/>
        <v>1326512.0940689053</v>
      </c>
      <c r="AP473" s="31"/>
      <c r="AQ473" s="4">
        <f t="shared" si="1078"/>
        <v>0.85882235433471743</v>
      </c>
      <c r="AR473" s="4">
        <f>VLOOKUP(B473,Allocation!$D$10:$P$235,13,FALSE)</f>
        <v>0.95</v>
      </c>
      <c r="AS473" s="4">
        <f t="shared" si="1079"/>
        <v>0.95</v>
      </c>
      <c r="AT473" s="4" t="str">
        <f t="shared" si="1080"/>
        <v>Review</v>
      </c>
      <c r="AU473" s="31">
        <f t="shared" si="1081"/>
        <v>140830.34643109469</v>
      </c>
      <c r="AV473" s="31">
        <f t="shared" si="1082"/>
        <v>1467342.4405</v>
      </c>
      <c r="AW473" s="31">
        <f t="shared" si="1083"/>
        <v>1467342.4405</v>
      </c>
      <c r="AX473" s="4">
        <f t="shared" si="1084"/>
        <v>0.95000000000000007</v>
      </c>
      <c r="AY473" s="4" t="str">
        <f t="shared" si="1085"/>
        <v/>
      </c>
      <c r="AZ473" s="174" t="str">
        <f>IFERROR(IF(VLOOKUP(A473,#REF!,11,FALSE)=0,"",VLOOKUP(A473,#REF!,11,FALSE)),"")</f>
        <v/>
      </c>
      <c r="BA473" s="31" t="str">
        <f t="shared" si="1086"/>
        <v/>
      </c>
      <c r="BB473" s="31">
        <f t="shared" si="1087"/>
        <v>1467342.4405</v>
      </c>
      <c r="BD473" s="31">
        <f>IFERROR(VLOOKUP(A473,'Title II Hold Harmless'!A$1:B$439,2, FALSE),"")</f>
        <v>47854</v>
      </c>
      <c r="BE473" s="31">
        <f t="shared" si="1088"/>
        <v>55606.345169011271</v>
      </c>
      <c r="BF473" s="31">
        <f t="shared" si="1089"/>
        <v>55660.147626138656</v>
      </c>
      <c r="BG473" s="31" t="str">
        <f t="shared" si="1090"/>
        <v/>
      </c>
      <c r="BH473" s="31">
        <f t="shared" si="1091"/>
        <v>55660.147626138656</v>
      </c>
    </row>
    <row r="474" spans="1:60" x14ac:dyDescent="0.3">
      <c r="A474" s="1">
        <v>110422000</v>
      </c>
      <c r="B474">
        <f>VLOOKUP(C474,'NCES ID'!$A$2:$B$3136,2,FALSE)</f>
        <v>408550</v>
      </c>
      <c r="C474">
        <f>VLOOKUP(A474,'State ID'!$A$2:$B$713,2,FALSE)</f>
        <v>4450</v>
      </c>
      <c r="D474" s="147" t="s">
        <v>416</v>
      </c>
      <c r="E474" t="s">
        <v>20</v>
      </c>
      <c r="F474" s="47">
        <f>VLOOKUP(B474,'Formula counts'!$D$9:$L$234,9,FALSE)</f>
        <v>1962</v>
      </c>
      <c r="G474" s="47">
        <f>VLOOKUP(B474,'Formula counts'!$D$9:$K$234,8,FALSE)</f>
        <v>291</v>
      </c>
      <c r="H474" s="4">
        <f>VLOOKUP(B474,'Formula counts'!$D$9:$M$234,10,FALSE)</f>
        <v>0.14831804281345565</v>
      </c>
      <c r="I474" s="47">
        <f>VLOOKUP($C474,'Final SEA Counts'!$A$2:$F$709,5,FALSE)</f>
        <v>1088</v>
      </c>
      <c r="J474" s="47">
        <f>VLOOKUP($C474,'Final SEA Counts'!$A$2:$F$709,6,FALSE)</f>
        <v>833</v>
      </c>
      <c r="K474" s="24">
        <f t="shared" si="1056"/>
        <v>1730.5973901327154</v>
      </c>
      <c r="L474" s="24">
        <f t="shared" si="1057"/>
        <v>261.70097282482743</v>
      </c>
      <c r="M474" s="4">
        <f t="shared" si="1058"/>
        <v>0.15122002050676744</v>
      </c>
      <c r="N474" s="31">
        <f>IFERROR(VLOOKUP($B474,Allocation!$D$10:$O$235,8,FALSE),"")</f>
        <v>147162.6091315838</v>
      </c>
      <c r="O474" s="31">
        <f>IFERROR(VLOOKUP($B474,Allocation!$D$10:$O$235,9,FALSE),"")</f>
        <v>34846.325228959533</v>
      </c>
      <c r="P474" s="31">
        <f>IFERROR(VLOOKUP($B474,Allocation!$D$10:$O$235,10,FALSE),"")</f>
        <v>49500.527454205403</v>
      </c>
      <c r="Q474" s="31">
        <f>IFERROR(VLOOKUP($B474,Allocation!$D$10:$O$235,11,FALSE),"")</f>
        <v>37567.886966246333</v>
      </c>
      <c r="R474" s="31">
        <f>IFERROR(VLOOKUP($B474,Allocation!$D$10:$O$235,12,FALSE),"")</f>
        <v>269077.34878099506</v>
      </c>
      <c r="S474" s="31">
        <f t="shared" si="1059"/>
        <v>132345.69750232066</v>
      </c>
      <c r="T474" s="31">
        <f t="shared" si="1060"/>
        <v>31337.859834326591</v>
      </c>
      <c r="U474" s="31">
        <f t="shared" si="1061"/>
        <v>44516.619209991863</v>
      </c>
      <c r="V474" s="31">
        <f t="shared" si="1062"/>
        <v>33785.404007009689</v>
      </c>
      <c r="W474" s="31">
        <f t="shared" si="1063"/>
        <v>132345.69750232066</v>
      </c>
      <c r="X474" s="31">
        <f t="shared" si="1064"/>
        <v>31337.859834326591</v>
      </c>
      <c r="Y474" s="31">
        <f t="shared" si="1065"/>
        <v>44516.619209991863</v>
      </c>
      <c r="Z474" s="31">
        <f t="shared" si="1066"/>
        <v>33785.404007009689</v>
      </c>
      <c r="AA474" s="31">
        <f t="shared" si="1067"/>
        <v>132345.69750232066</v>
      </c>
      <c r="AB474" s="31">
        <f t="shared" si="1068"/>
        <v>32743.910952535269</v>
      </c>
      <c r="AC474" s="31">
        <f t="shared" si="1069"/>
        <v>44516.619209991863</v>
      </c>
      <c r="AD474" s="31">
        <f t="shared" si="1070"/>
        <v>33785.404007009689</v>
      </c>
      <c r="AE474" s="31">
        <f t="shared" si="1071"/>
        <v>243391.63167185747</v>
      </c>
      <c r="AF474" s="31">
        <f>IFERROR(VLOOKUP(A474,'Allocations By Type'!$D$7:$F$491,3,FALSE),"")</f>
        <v>280361.95</v>
      </c>
      <c r="AG474" s="31" t="str">
        <f t="shared" si="1072"/>
        <v/>
      </c>
      <c r="AH474" s="31" t="str">
        <f t="shared" si="1073"/>
        <v/>
      </c>
      <c r="AI474" s="31">
        <f t="shared" si="1074"/>
        <v>243391.63167185747</v>
      </c>
      <c r="AJ474" s="31">
        <f>AI474/$AI$577*'State Admin 1004(b)'!$B$30*0.01</f>
        <v>2316.2362893988038</v>
      </c>
      <c r="AK474" s="31">
        <f t="shared" si="1075"/>
        <v>241075.39538245866</v>
      </c>
      <c r="AL474" s="31">
        <f t="shared" si="1076"/>
        <v>2410.7539538245869</v>
      </c>
      <c r="AM474" s="31">
        <f t="shared" si="1077"/>
        <v>238664.64142863409</v>
      </c>
      <c r="AP474" s="31"/>
      <c r="AQ474" s="4">
        <f t="shared" si="1078"/>
        <v>0.85127329663898432</v>
      </c>
      <c r="AR474" s="4">
        <f>VLOOKUP(B474,Allocation!$D$10:$P$235,13,FALSE)</f>
        <v>0.85</v>
      </c>
      <c r="AS474" s="4">
        <f t="shared" si="1079"/>
        <v>0.9</v>
      </c>
      <c r="AT474" s="4" t="str">
        <f t="shared" si="1080"/>
        <v>Review</v>
      </c>
      <c r="AU474" s="31">
        <f t="shared" si="1081"/>
        <v>13661.113571365917</v>
      </c>
      <c r="AV474" s="31">
        <f t="shared" si="1082"/>
        <v>252325.755</v>
      </c>
      <c r="AW474" s="31">
        <f t="shared" si="1083"/>
        <v>252325.755</v>
      </c>
      <c r="AX474" s="4">
        <f t="shared" si="1084"/>
        <v>0.9</v>
      </c>
      <c r="AY474" s="4" t="str">
        <f t="shared" si="1085"/>
        <v/>
      </c>
      <c r="AZ474" s="174" t="str">
        <f>IFERROR(IF(VLOOKUP(A474,#REF!,11,FALSE)=0,"",VLOOKUP(A474,#REF!,11,FALSE)),"")</f>
        <v/>
      </c>
      <c r="BA474" s="31" t="str">
        <f t="shared" si="1086"/>
        <v/>
      </c>
      <c r="BB474" s="31">
        <f t="shared" si="1087"/>
        <v>252325.755</v>
      </c>
      <c r="BD474" s="31">
        <f>IFERROR(VLOOKUP(A474,'Title II Hold Harmless'!A$1:B$439,2, FALSE),"")</f>
        <v>26977</v>
      </c>
      <c r="BE474" s="31">
        <f t="shared" si="1088"/>
        <v>31795.62608686</v>
      </c>
      <c r="BF474" s="31">
        <f t="shared" si="1089"/>
        <v>31826.390252427384</v>
      </c>
      <c r="BG474" s="31" t="str">
        <f t="shared" si="1090"/>
        <v/>
      </c>
      <c r="BH474" s="31">
        <f t="shared" si="1091"/>
        <v>31826.390252427384</v>
      </c>
    </row>
    <row r="475" spans="1:60" x14ac:dyDescent="0.3">
      <c r="A475" s="1">
        <v>110502000</v>
      </c>
      <c r="B475">
        <f>VLOOKUP(C475,'NCES ID'!$A$2:$B$3136,2,FALSE)</f>
        <v>401740</v>
      </c>
      <c r="C475">
        <f>VLOOKUP(A475,'State ID'!$A$2:$B$713,2,FALSE)</f>
        <v>4453</v>
      </c>
      <c r="D475" s="147" t="s">
        <v>94</v>
      </c>
      <c r="E475" t="s">
        <v>20</v>
      </c>
      <c r="F475" s="47">
        <f>VLOOKUP(B475,'Formula counts'!$D$9:$L$234,9,FALSE)</f>
        <v>5452</v>
      </c>
      <c r="G475" s="47">
        <f>VLOOKUP(B475,'Formula counts'!$D$9:$K$234,8,FALSE)</f>
        <v>1267</v>
      </c>
      <c r="H475" s="4">
        <f>VLOOKUP(B475,'Formula counts'!$D$9:$M$234,10,FALSE)</f>
        <v>0.23239178283198828</v>
      </c>
      <c r="I475" s="47">
        <f>VLOOKUP($C475,'Final SEA Counts'!$A$2:$F$709,5,FALSE)</f>
        <v>2754</v>
      </c>
      <c r="J475" s="47">
        <f>VLOOKUP($C475,'Final SEA Counts'!$A$2:$F$709,6,FALSE)</f>
        <v>1719</v>
      </c>
      <c r="K475" s="24">
        <f t="shared" si="1056"/>
        <v>4808.9790881771478</v>
      </c>
      <c r="L475" s="24">
        <f t="shared" si="1057"/>
        <v>1139.4334452544892</v>
      </c>
      <c r="M475" s="4">
        <f t="shared" si="1058"/>
        <v>0.23693873987844549</v>
      </c>
      <c r="N475" s="31">
        <f>IFERROR(VLOOKUP($B475,Allocation!$D$10:$O$235,8,FALSE),"")</f>
        <v>597692.03977676807</v>
      </c>
      <c r="O475" s="31">
        <f>IFERROR(VLOOKUP($B475,Allocation!$D$10:$O$235,9,FALSE),"")</f>
        <v>141743.19947081912</v>
      </c>
      <c r="P475" s="31">
        <f>IFERROR(VLOOKUP($B475,Allocation!$D$10:$O$235,10,FALSE),"")</f>
        <v>230734.04327174596</v>
      </c>
      <c r="Q475" s="31">
        <f>IFERROR(VLOOKUP($B475,Allocation!$D$10:$O$235,11,FALSE),"")</f>
        <v>190705.06039556759</v>
      </c>
      <c r="R475" s="31">
        <f>IFERROR(VLOOKUP($B475,Allocation!$D$10:$O$235,12,FALSE),"")</f>
        <v>1160874.3429149007</v>
      </c>
      <c r="S475" s="31">
        <f t="shared" si="1059"/>
        <v>537514.04900080978</v>
      </c>
      <c r="T475" s="31">
        <f t="shared" si="1060"/>
        <v>127471.93537050491</v>
      </c>
      <c r="U475" s="31">
        <f t="shared" si="1061"/>
        <v>207502.83019938745</v>
      </c>
      <c r="V475" s="31">
        <f t="shared" si="1062"/>
        <v>171504.12312074745</v>
      </c>
      <c r="W475" s="31">
        <f t="shared" si="1063"/>
        <v>537514.04900080978</v>
      </c>
      <c r="X475" s="31">
        <f t="shared" si="1064"/>
        <v>127471.93537050491</v>
      </c>
      <c r="Y475" s="31">
        <f t="shared" si="1065"/>
        <v>207502.83019938745</v>
      </c>
      <c r="Z475" s="31">
        <f t="shared" si="1066"/>
        <v>171504.12312074745</v>
      </c>
      <c r="AA475" s="31">
        <f t="shared" si="1067"/>
        <v>537514.04900080978</v>
      </c>
      <c r="AB475" s="31">
        <f t="shared" si="1068"/>
        <v>128877.98648871359</v>
      </c>
      <c r="AC475" s="31">
        <f t="shared" si="1069"/>
        <v>207502.83019938745</v>
      </c>
      <c r="AD475" s="31">
        <f t="shared" si="1070"/>
        <v>171504.12312074745</v>
      </c>
      <c r="AE475" s="31">
        <f t="shared" si="1071"/>
        <v>1045398.9888096582</v>
      </c>
      <c r="AF475" s="31">
        <f>IFERROR(VLOOKUP(A475,'Allocations By Type'!$D$7:$F$491,3,FALSE),"")</f>
        <v>1073634.33</v>
      </c>
      <c r="AG475" s="31" t="str">
        <f t="shared" si="1072"/>
        <v/>
      </c>
      <c r="AH475" s="31" t="str">
        <f t="shared" si="1073"/>
        <v/>
      </c>
      <c r="AI475" s="31">
        <f t="shared" si="1074"/>
        <v>1045398.9888096582</v>
      </c>
      <c r="AJ475" s="31">
        <f>AI475/$AI$577*'State Admin 1004(b)'!$B$30*0.01</f>
        <v>9948.5387322037568</v>
      </c>
      <c r="AK475" s="31">
        <f t="shared" si="1075"/>
        <v>1035450.4500774544</v>
      </c>
      <c r="AL475" s="31">
        <f t="shared" si="1076"/>
        <v>10354.504500774545</v>
      </c>
      <c r="AM475" s="31">
        <f t="shared" si="1077"/>
        <v>1025095.9455766799</v>
      </c>
      <c r="AP475" s="31"/>
      <c r="AQ475" s="4">
        <f t="shared" si="1078"/>
        <v>0.95479058086441759</v>
      </c>
      <c r="AR475" s="4">
        <f>VLOOKUP(B475,Allocation!$D$10:$P$235,13,FALSE)</f>
        <v>0.95434957566891387</v>
      </c>
      <c r="AS475" s="4">
        <f t="shared" si="1079"/>
        <v>0.9</v>
      </c>
      <c r="AT475" s="4" t="str">
        <f t="shared" si="1080"/>
        <v/>
      </c>
      <c r="AU475" s="31" t="str">
        <f t="shared" si="1081"/>
        <v/>
      </c>
      <c r="AV475" s="31" t="str">
        <f t="shared" si="1082"/>
        <v/>
      </c>
      <c r="AW475" s="31">
        <f t="shared" si="1083"/>
        <v>1008724.2897341783</v>
      </c>
      <c r="AX475" s="4">
        <f t="shared" si="1084"/>
        <v>0.93954176161093717</v>
      </c>
      <c r="AY475" s="4" t="str">
        <f t="shared" si="1085"/>
        <v/>
      </c>
      <c r="AZ475" s="174" t="str">
        <f>IFERROR(IF(VLOOKUP(A475,#REF!,11,FALSE)=0,"",VLOOKUP(A475,#REF!,11,FALSE)),"")</f>
        <v/>
      </c>
      <c r="BA475" s="31" t="str">
        <f t="shared" si="1086"/>
        <v/>
      </c>
      <c r="BB475" s="31">
        <f t="shared" si="1087"/>
        <v>1008724.2897341783</v>
      </c>
      <c r="BD475" s="31">
        <f>IFERROR(VLOOKUP(A475,'Title II Hold Harmless'!A$1:B$439,2, FALSE),"")</f>
        <v>108766</v>
      </c>
      <c r="BE475" s="31">
        <f t="shared" si="1088"/>
        <v>127552.21545139236</v>
      </c>
      <c r="BF475" s="31">
        <f t="shared" si="1089"/>
        <v>127675.6298312166</v>
      </c>
      <c r="BG475" s="31" t="str">
        <f t="shared" si="1090"/>
        <v/>
      </c>
      <c r="BH475" s="31">
        <f t="shared" si="1091"/>
        <v>127675.6298312166</v>
      </c>
    </row>
    <row r="476" spans="1:60" x14ac:dyDescent="0.3">
      <c r="A476" s="1">
        <v>110243000</v>
      </c>
      <c r="B476">
        <f>VLOOKUP(C476,'NCES ID'!$A$2:$B$3136,2,FALSE)</f>
        <v>400790</v>
      </c>
      <c r="C476">
        <f>VLOOKUP(A476,'State ID'!$A$2:$B$713,2,FALSE)</f>
        <v>4443</v>
      </c>
      <c r="D476" s="147" t="s">
        <v>39</v>
      </c>
      <c r="E476" t="s">
        <v>20</v>
      </c>
      <c r="F476" s="47">
        <f>VLOOKUP(B476,'Formula counts'!$D$9:$L$234,9,FALSE)</f>
        <v>7561</v>
      </c>
      <c r="G476" s="47">
        <f>VLOOKUP(B476,'Formula counts'!$D$9:$K$234,8,FALSE)</f>
        <v>2144</v>
      </c>
      <c r="H476" s="4">
        <f>VLOOKUP(B476,'Formula counts'!$D$9:$M$234,10,FALSE)</f>
        <v>0.28356037561169156</v>
      </c>
      <c r="I476" s="47">
        <f>VLOOKUP($C476,'Final SEA Counts'!$A$2:$F$709,5,FALSE)</f>
        <v>3849</v>
      </c>
      <c r="J476" s="47">
        <f>VLOOKUP($C476,'Final SEA Counts'!$A$2:$F$709,6,FALSE)</f>
        <v>2740</v>
      </c>
      <c r="K476" s="24">
        <f t="shared" si="1056"/>
        <v>6669.2389739008468</v>
      </c>
      <c r="L476" s="24">
        <f t="shared" si="1057"/>
        <v>1928.1336279602406</v>
      </c>
      <c r="M476" s="4">
        <f t="shared" si="1058"/>
        <v>0.28910849281390688</v>
      </c>
      <c r="N476" s="31">
        <f>IFERROR(VLOOKUP($B476,Allocation!$D$10:$O$235,8,FALSE),"")</f>
        <v>1011406.2614691326</v>
      </c>
      <c r="O476" s="31">
        <f>IFERROR(VLOOKUP($B476,Allocation!$D$10:$O$235,9,FALSE),"")</f>
        <v>239855.89555283054</v>
      </c>
      <c r="P476" s="31">
        <f>IFERROR(VLOOKUP($B476,Allocation!$D$10:$O$235,10,FALSE),"")</f>
        <v>457209.45325445675</v>
      </c>
      <c r="Q476" s="31">
        <f>IFERROR(VLOOKUP($B476,Allocation!$D$10:$O$235,11,FALSE),"")</f>
        <v>366806.36675307382</v>
      </c>
      <c r="R476" s="31">
        <f>IFERROR(VLOOKUP($B476,Allocation!$D$10:$O$235,12,FALSE),"")</f>
        <v>2075277.9770294935</v>
      </c>
      <c r="S476" s="31">
        <f t="shared" si="1059"/>
        <v>909573.89191612985</v>
      </c>
      <c r="T476" s="31">
        <f t="shared" si="1060"/>
        <v>215706.25843280397</v>
      </c>
      <c r="U476" s="31">
        <f t="shared" si="1061"/>
        <v>411175.80309759034</v>
      </c>
      <c r="V476" s="31">
        <f t="shared" si="1062"/>
        <v>329874.85573065246</v>
      </c>
      <c r="W476" s="31">
        <f t="shared" si="1063"/>
        <v>909573.89191612985</v>
      </c>
      <c r="X476" s="31">
        <f t="shared" si="1064"/>
        <v>215706.25843280397</v>
      </c>
      <c r="Y476" s="31">
        <f t="shared" si="1065"/>
        <v>411175.80309759034</v>
      </c>
      <c r="Z476" s="31">
        <f t="shared" si="1066"/>
        <v>329874.85573065246</v>
      </c>
      <c r="AA476" s="31">
        <f t="shared" si="1067"/>
        <v>909573.89191612985</v>
      </c>
      <c r="AB476" s="31">
        <f t="shared" si="1068"/>
        <v>217112.30955101264</v>
      </c>
      <c r="AC476" s="31">
        <f t="shared" si="1069"/>
        <v>411175.80309759034</v>
      </c>
      <c r="AD476" s="31">
        <f t="shared" si="1070"/>
        <v>329874.85573065246</v>
      </c>
      <c r="AE476" s="31">
        <f t="shared" si="1071"/>
        <v>1867736.8602953851</v>
      </c>
      <c r="AF476" s="31">
        <f>IFERROR(VLOOKUP(A476,'Allocations By Type'!$D$7:$F$491,3,FALSE),"")</f>
        <v>1674501.45</v>
      </c>
      <c r="AG476" s="31">
        <f t="shared" si="1072"/>
        <v>74709.474411815405</v>
      </c>
      <c r="AH476" s="31">
        <f t="shared" si="1073"/>
        <v>74709.474411815405</v>
      </c>
      <c r="AI476" s="31">
        <f t="shared" si="1074"/>
        <v>1793027.3858835697</v>
      </c>
      <c r="AJ476" s="31">
        <f>AI476/$AI$577*'State Admin 1004(b)'!$B$30*0.01</f>
        <v>17063.343840303456</v>
      </c>
      <c r="AK476" s="31">
        <f t="shared" si="1075"/>
        <v>1775964.0420432664</v>
      </c>
      <c r="AL476" s="31">
        <f t="shared" si="1076"/>
        <v>17759.640420432665</v>
      </c>
      <c r="AM476" s="31">
        <f t="shared" si="1077"/>
        <v>1758204.4016228337</v>
      </c>
      <c r="AP476" s="31"/>
      <c r="AQ476" s="4">
        <f t="shared" si="1078"/>
        <v>1.0499867895741946</v>
      </c>
      <c r="AR476" s="4">
        <f>VLOOKUP(B476,Allocation!$D$10:$P$235,13,FALSE)</f>
        <v>1.0494087540400179</v>
      </c>
      <c r="AS476" s="4">
        <f t="shared" si="1079"/>
        <v>0.9</v>
      </c>
      <c r="AT476" s="4" t="str">
        <f t="shared" si="1080"/>
        <v/>
      </c>
      <c r="AU476" s="31" t="str">
        <f t="shared" si="1081"/>
        <v/>
      </c>
      <c r="AV476" s="31" t="str">
        <f t="shared" si="1082"/>
        <v/>
      </c>
      <c r="AW476" s="31">
        <f t="shared" si="1083"/>
        <v>1730124.3789787609</v>
      </c>
      <c r="AX476" s="4">
        <f t="shared" si="1084"/>
        <v>1.033217605740957</v>
      </c>
      <c r="AY476" s="4" t="str">
        <f t="shared" si="1085"/>
        <v/>
      </c>
      <c r="AZ476" s="174" t="str">
        <f>IFERROR(IF(VLOOKUP(A476,#REF!,11,FALSE)=0,"",VLOOKUP(A476,#REF!,11,FALSE)),"")</f>
        <v/>
      </c>
      <c r="BA476" s="31" t="str">
        <f t="shared" si="1086"/>
        <v/>
      </c>
      <c r="BB476" s="31">
        <f t="shared" si="1087"/>
        <v>1730124.3789787609</v>
      </c>
      <c r="BD476" s="31">
        <f>IFERROR(VLOOKUP(A476,'Title II Hold Harmless'!A$1:B$439,2, FALSE),"")</f>
        <v>132776</v>
      </c>
      <c r="BE476" s="31">
        <f t="shared" si="1088"/>
        <v>163383.96817328301</v>
      </c>
      <c r="BF476" s="31">
        <f t="shared" si="1089"/>
        <v>163542.05191204028</v>
      </c>
      <c r="BG476" s="31" t="str">
        <f t="shared" si="1090"/>
        <v/>
      </c>
      <c r="BH476" s="31">
        <f t="shared" si="1091"/>
        <v>163542.05191204028</v>
      </c>
    </row>
    <row r="477" spans="1:60" x14ac:dyDescent="0.3">
      <c r="A477" s="1">
        <v>110221000</v>
      </c>
      <c r="B477">
        <f>VLOOKUP(C477,'NCES ID'!$A$2:$B$3136,2,FALSE)</f>
        <v>402320</v>
      </c>
      <c r="C477">
        <f>VLOOKUP(A477,'State ID'!$A$2:$B$713,2,FALSE)</f>
        <v>4442</v>
      </c>
      <c r="D477" s="147" t="s">
        <v>115</v>
      </c>
      <c r="E477" t="s">
        <v>20</v>
      </c>
      <c r="F477" s="47">
        <f>VLOOKUP(B477,'Formula counts'!$D$9:$L$234,9,FALSE)</f>
        <v>8139</v>
      </c>
      <c r="G477" s="47">
        <f>VLOOKUP(B477,'Formula counts'!$D$9:$K$234,8,FALSE)</f>
        <v>1830</v>
      </c>
      <c r="H477" s="4">
        <f>VLOOKUP(B477,'Formula counts'!$D$9:$M$234,10,FALSE)</f>
        <v>0.22484334684850718</v>
      </c>
      <c r="I477" s="47">
        <f>VLOOKUP($C477,'Final SEA Counts'!$A$2:$F$709,5,FALSE)</f>
        <v>2786</v>
      </c>
      <c r="J477" s="47">
        <f>VLOOKUP($C477,'Final SEA Counts'!$A$2:$F$709,6,FALSE)</f>
        <v>2098</v>
      </c>
      <c r="K477" s="24">
        <f t="shared" si="1056"/>
        <v>7179.0683783334207</v>
      </c>
      <c r="L477" s="24">
        <f t="shared" si="1057"/>
        <v>1645.748385805616</v>
      </c>
      <c r="M477" s="4">
        <f t="shared" si="1058"/>
        <v>0.22924261186486525</v>
      </c>
      <c r="N477" s="31">
        <f>IFERROR(VLOOKUP($B477,Allocation!$D$10:$O$235,8,FALSE),"")</f>
        <v>863280.53101143299</v>
      </c>
      <c r="O477" s="31">
        <f>IFERROR(VLOOKUP($B477,Allocation!$D$10:$O$235,9,FALSE),"")</f>
        <v>204727.74667055972</v>
      </c>
      <c r="P477" s="31">
        <f>IFERROR(VLOOKUP($B477,Allocation!$D$10:$O$235,10,FALSE),"")</f>
        <v>340421.3904413876</v>
      </c>
      <c r="Q477" s="31">
        <f>IFERROR(VLOOKUP($B477,Allocation!$D$10:$O$235,11,FALSE),"")</f>
        <v>263882.55361794104</v>
      </c>
      <c r="R477" s="31">
        <f>IFERROR(VLOOKUP($B477,Allocation!$D$10:$O$235,12,FALSE),"")</f>
        <v>1672312.2217413213</v>
      </c>
      <c r="S477" s="31">
        <f t="shared" si="1059"/>
        <v>776362.04393960699</v>
      </c>
      <c r="T477" s="31">
        <f t="shared" si="1060"/>
        <v>184114.9500615818</v>
      </c>
      <c r="U477" s="31">
        <f t="shared" si="1061"/>
        <v>306146.42284842453</v>
      </c>
      <c r="V477" s="31">
        <f t="shared" si="1062"/>
        <v>237313.81784644281</v>
      </c>
      <c r="W477" s="31">
        <f t="shared" si="1063"/>
        <v>776362.04393960699</v>
      </c>
      <c r="X477" s="31">
        <f t="shared" si="1064"/>
        <v>184114.9500615818</v>
      </c>
      <c r="Y477" s="31">
        <f t="shared" si="1065"/>
        <v>306146.42284842453</v>
      </c>
      <c r="Z477" s="31">
        <f t="shared" si="1066"/>
        <v>237313.81784644281</v>
      </c>
      <c r="AA477" s="31">
        <f t="shared" si="1067"/>
        <v>776362.04393960699</v>
      </c>
      <c r="AB477" s="31">
        <f t="shared" si="1068"/>
        <v>185521.00117979047</v>
      </c>
      <c r="AC477" s="31">
        <f t="shared" si="1069"/>
        <v>306146.42284842453</v>
      </c>
      <c r="AD477" s="31">
        <f t="shared" si="1070"/>
        <v>237313.81784644281</v>
      </c>
      <c r="AE477" s="31">
        <f t="shared" si="1071"/>
        <v>1505343.2858142648</v>
      </c>
      <c r="AF477" s="31">
        <f>IFERROR(VLOOKUP(A477,'Allocations By Type'!$D$7:$F$491,3,FALSE),"")</f>
        <v>1492130.68</v>
      </c>
      <c r="AG477" s="31">
        <f t="shared" si="1072"/>
        <v>60213.731432570596</v>
      </c>
      <c r="AH477" s="31">
        <f t="shared" si="1073"/>
        <v>13212.605814264854</v>
      </c>
      <c r="AI477" s="31">
        <f t="shared" si="1074"/>
        <v>1492130.68</v>
      </c>
      <c r="AJ477" s="31">
        <f>AI477/$AI$577*'State Admin 1004(b)'!$B$30*0.01</f>
        <v>14199.860553138871</v>
      </c>
      <c r="AK477" s="31">
        <f t="shared" si="1075"/>
        <v>1477930.819446861</v>
      </c>
      <c r="AL477" s="31">
        <f t="shared" si="1076"/>
        <v>14779.308194468611</v>
      </c>
      <c r="AM477" s="31">
        <f t="shared" si="1077"/>
        <v>1463151.5112523925</v>
      </c>
      <c r="AP477" s="31"/>
      <c r="AQ477" s="4">
        <f t="shared" si="1078"/>
        <v>0.98057866570533392</v>
      </c>
      <c r="AR477" s="4">
        <f>VLOOKUP(B477,Allocation!$D$10:$P$235,13,FALSE)</f>
        <v>0.96059711060111264</v>
      </c>
      <c r="AS477" s="4">
        <f t="shared" si="1079"/>
        <v>0.9</v>
      </c>
      <c r="AT477" s="4" t="str">
        <f t="shared" si="1080"/>
        <v/>
      </c>
      <c r="AU477" s="31" t="str">
        <f t="shared" si="1081"/>
        <v/>
      </c>
      <c r="AV477" s="31" t="str">
        <f t="shared" si="1082"/>
        <v/>
      </c>
      <c r="AW477" s="31">
        <f t="shared" si="1083"/>
        <v>1439783.7347130128</v>
      </c>
      <c r="AX477" s="4">
        <f t="shared" si="1084"/>
        <v>0.96491798876021562</v>
      </c>
      <c r="AY477" s="4" t="str">
        <f t="shared" si="1085"/>
        <v/>
      </c>
      <c r="AZ477" s="174" t="str">
        <f>IFERROR(IF(VLOOKUP(A477,#REF!,11,FALSE)=0,"",VLOOKUP(A477,#REF!,11,FALSE)),"")</f>
        <v/>
      </c>
      <c r="BA477" s="31" t="str">
        <f t="shared" si="1086"/>
        <v/>
      </c>
      <c r="BB477" s="31">
        <f t="shared" si="1087"/>
        <v>1439783.7347130128</v>
      </c>
      <c r="BD477" s="31">
        <f>IFERROR(VLOOKUP(A477,'Title II Hold Harmless'!A$1:B$439,2, FALSE),"")</f>
        <v>144576</v>
      </c>
      <c r="BE477" s="31">
        <f t="shared" si="1088"/>
        <v>171897.66587011487</v>
      </c>
      <c r="BF477" s="31">
        <f t="shared" si="1089"/>
        <v>172063.98711942849</v>
      </c>
      <c r="BG477" s="31" t="str">
        <f t="shared" si="1090"/>
        <v/>
      </c>
      <c r="BH477" s="31">
        <f t="shared" si="1091"/>
        <v>172063.98711942849</v>
      </c>
    </row>
    <row r="478" spans="1:60" x14ac:dyDescent="0.3">
      <c r="A478" s="1">
        <v>110244000</v>
      </c>
      <c r="B478">
        <f>VLOOKUP(C478,'NCES ID'!$A$2:$B$3136,2,FALSE)</f>
        <v>403990</v>
      </c>
      <c r="C478">
        <f>VLOOKUP(A478,'State ID'!$A$2:$B$713,2,FALSE)</f>
        <v>4445</v>
      </c>
      <c r="D478" s="147" t="s">
        <v>221</v>
      </c>
      <c r="E478" t="s">
        <v>20</v>
      </c>
      <c r="F478" s="47">
        <f>VLOOKUP(B478,'Formula counts'!$D$9:$L$234,9,FALSE)</f>
        <v>9011</v>
      </c>
      <c r="G478" s="47">
        <f>VLOOKUP(B478,'Formula counts'!$D$9:$K$234,8,FALSE)</f>
        <v>1412</v>
      </c>
      <c r="H478" s="4">
        <f>VLOOKUP(B478,'Formula counts'!$D$9:$M$234,10,FALSE)</f>
        <v>0.15669736988125624</v>
      </c>
      <c r="I478" s="47">
        <f>VLOOKUP($C478,'Final SEA Counts'!$A$2:$F$709,5,FALSE)</f>
        <v>3962</v>
      </c>
      <c r="J478" s="47">
        <f>VLOOKUP($C478,'Final SEA Counts'!$A$2:$F$709,6,FALSE)</f>
        <v>1866</v>
      </c>
      <c r="K478" s="24">
        <f t="shared" si="1056"/>
        <v>7948.2227739479604</v>
      </c>
      <c r="L478" s="24">
        <f t="shared" si="1057"/>
        <v>1269.8342736379943</v>
      </c>
      <c r="M478" s="4">
        <f t="shared" si="1058"/>
        <v>0.15976329674605425</v>
      </c>
      <c r="N478" s="31">
        <f>IFERROR(VLOOKUP($B478,Allocation!$D$10:$O$235,8,FALSE),"")</f>
        <v>751313.17826787976</v>
      </c>
      <c r="O478" s="31">
        <f>IFERROR(VLOOKUP($B478,Allocation!$D$10:$O$235,9,FALSE),"")</f>
        <v>178030.63675675506</v>
      </c>
      <c r="P478" s="31">
        <f>IFERROR(VLOOKUP($B478,Allocation!$D$10:$O$235,10,FALSE),"")</f>
        <v>269947.5633264978</v>
      </c>
      <c r="Q478" s="31">
        <f>IFERROR(VLOOKUP($B478,Allocation!$D$10:$O$235,11,FALSE),"")</f>
        <v>194928.87113473663</v>
      </c>
      <c r="R478" s="31">
        <f>IFERROR(VLOOKUP($B478,Allocation!$D$10:$O$235,12,FALSE),"")</f>
        <v>1394220.2494858692</v>
      </c>
      <c r="S478" s="31">
        <f t="shared" si="1059"/>
        <v>675668.00566603825</v>
      </c>
      <c r="T478" s="31">
        <f t="shared" si="1060"/>
        <v>160105.81041878447</v>
      </c>
      <c r="U478" s="31">
        <f t="shared" si="1061"/>
        <v>242768.17846816557</v>
      </c>
      <c r="V478" s="31">
        <f t="shared" si="1062"/>
        <v>175302.66394366324</v>
      </c>
      <c r="W478" s="31">
        <f t="shared" si="1063"/>
        <v>675668.00566603825</v>
      </c>
      <c r="X478" s="31">
        <f t="shared" si="1064"/>
        <v>160105.81041878447</v>
      </c>
      <c r="Y478" s="31">
        <f t="shared" si="1065"/>
        <v>242768.17846816557</v>
      </c>
      <c r="Z478" s="31">
        <f t="shared" si="1066"/>
        <v>175302.66394366324</v>
      </c>
      <c r="AA478" s="31">
        <f t="shared" si="1067"/>
        <v>675668.00566603825</v>
      </c>
      <c r="AB478" s="31">
        <f t="shared" si="1068"/>
        <v>161511.86153699315</v>
      </c>
      <c r="AC478" s="31">
        <f t="shared" si="1069"/>
        <v>242768.17846816557</v>
      </c>
      <c r="AD478" s="31">
        <f t="shared" si="1070"/>
        <v>175302.66394366324</v>
      </c>
      <c r="AE478" s="31">
        <f t="shared" si="1071"/>
        <v>1255250.7096148604</v>
      </c>
      <c r="AF478" s="31">
        <f>IFERROR(VLOOKUP(A478,'Allocations By Type'!$D$7:$F$491,3,FALSE),"")</f>
        <v>1304735.7</v>
      </c>
      <c r="AG478" s="31" t="str">
        <f t="shared" si="1072"/>
        <v/>
      </c>
      <c r="AH478" s="31" t="str">
        <f t="shared" si="1073"/>
        <v/>
      </c>
      <c r="AI478" s="31">
        <f t="shared" si="1074"/>
        <v>1255250.7096148604</v>
      </c>
      <c r="AJ478" s="31">
        <f>AI478/$AI$577*'State Admin 1004(b)'!$B$30*0.01</f>
        <v>11945.592483735827</v>
      </c>
      <c r="AK478" s="31">
        <f t="shared" si="1075"/>
        <v>1243305.1171311245</v>
      </c>
      <c r="AL478" s="31">
        <f t="shared" si="1076"/>
        <v>12433.051171311245</v>
      </c>
      <c r="AM478" s="31">
        <f t="shared" si="1077"/>
        <v>1230872.0659598133</v>
      </c>
      <c r="AP478" s="31"/>
      <c r="AQ478" s="4">
        <f t="shared" si="1078"/>
        <v>0.94338804859851177</v>
      </c>
      <c r="AR478" s="4">
        <f>VLOOKUP(B478,Allocation!$D$10:$P$235,13,FALSE)</f>
        <v>0.90501537388940712</v>
      </c>
      <c r="AS478" s="4">
        <f t="shared" si="1079"/>
        <v>0.9</v>
      </c>
      <c r="AT478" s="4" t="str">
        <f t="shared" si="1080"/>
        <v/>
      </c>
      <c r="AU478" s="31" t="str">
        <f t="shared" si="1081"/>
        <v/>
      </c>
      <c r="AV478" s="31" t="str">
        <f t="shared" si="1082"/>
        <v/>
      </c>
      <c r="AW478" s="31">
        <f t="shared" si="1083"/>
        <v>1211213.9901114043</v>
      </c>
      <c r="AX478" s="4">
        <f t="shared" si="1084"/>
        <v>0.92832133750261026</v>
      </c>
      <c r="AY478" s="4" t="str">
        <f t="shared" si="1085"/>
        <v/>
      </c>
      <c r="AZ478" s="174" t="str">
        <f>IFERROR(IF(VLOOKUP(A478,#REF!,11,FALSE)=0,"",VLOOKUP(A478,#REF!,11,FALSE)),"")</f>
        <v/>
      </c>
      <c r="BA478" s="31" t="str">
        <f t="shared" si="1086"/>
        <v/>
      </c>
      <c r="BB478" s="31">
        <f t="shared" si="1087"/>
        <v>1211213.9901114043</v>
      </c>
      <c r="BD478" s="31" t="str">
        <f>IFERROR(VLOOKUP(A478,'Title II Hold Harmless'!A$1:B$439,2, FALSE),"")</f>
        <v/>
      </c>
      <c r="BE478" s="31">
        <f t="shared" si="1088"/>
        <v>23019.712391069075</v>
      </c>
      <c r="BF478" s="31">
        <f t="shared" si="1089"/>
        <v>23041.98533645401</v>
      </c>
      <c r="BG478" s="31" t="str">
        <f t="shared" si="1090"/>
        <v/>
      </c>
      <c r="BH478" s="31">
        <f t="shared" si="1091"/>
        <v>23041.98533645401</v>
      </c>
    </row>
    <row r="479" spans="1:60" x14ac:dyDescent="0.3">
      <c r="A479" s="1">
        <v>110404000</v>
      </c>
      <c r="B479">
        <f>VLOOKUP(C479,'NCES ID'!$A$2:$B$3136,2,FALSE)</f>
        <v>401710</v>
      </c>
      <c r="C479">
        <f>VLOOKUP(A479,'State ID'!$A$2:$B$713,2,FALSE)</f>
        <v>4446</v>
      </c>
      <c r="D479" s="147" t="s">
        <v>93</v>
      </c>
      <c r="E479" t="s">
        <v>20</v>
      </c>
      <c r="F479" s="47">
        <f>VLOOKUP(B479,'Formula counts'!$D$9:$L$234,9,FALSE)</f>
        <v>9240</v>
      </c>
      <c r="G479" s="47">
        <f>VLOOKUP(B479,'Formula counts'!$D$9:$K$234,8,FALSE)</f>
        <v>2589</v>
      </c>
      <c r="H479" s="4">
        <f>VLOOKUP(B479,'Formula counts'!$D$9:$M$234,10,FALSE)</f>
        <v>0.28019480519480522</v>
      </c>
      <c r="I479" s="47">
        <f>VLOOKUP($C479,'Final SEA Counts'!$A$2:$F$709,5,FALSE)</f>
        <v>7119</v>
      </c>
      <c r="J479" s="47">
        <f>VLOOKUP($C479,'Final SEA Counts'!$A$2:$F$709,6,FALSE)</f>
        <v>5623</v>
      </c>
      <c r="K479" s="24">
        <f t="shared" si="1056"/>
        <v>8150.2140085760911</v>
      </c>
      <c r="L479" s="24">
        <f t="shared" si="1057"/>
        <v>2328.3292736889289</v>
      </c>
      <c r="M479" s="4">
        <f t="shared" si="1058"/>
        <v>0.28567707194423808</v>
      </c>
      <c r="N479" s="31">
        <f>IFERROR(VLOOKUP($B479,Allocation!$D$10:$O$235,8,FALSE),"")</f>
        <v>1221329.6692833884</v>
      </c>
      <c r="O479" s="31">
        <f>IFERROR(VLOOKUP($B479,Allocation!$D$10:$O$235,9,FALSE),"")</f>
        <v>289639.41865031642</v>
      </c>
      <c r="P479" s="31">
        <f>IFERROR(VLOOKUP($B479,Allocation!$D$10:$O$235,10,FALSE),"")</f>
        <v>547707.86946213129</v>
      </c>
      <c r="Q479" s="31">
        <f>IFERROR(VLOOKUP($B479,Allocation!$D$10:$O$235,11,FALSE),"")</f>
        <v>437999.72972797829</v>
      </c>
      <c r="R479" s="31">
        <f>IFERROR(VLOOKUP($B479,Allocation!$D$10:$O$235,12,FALSE),"")</f>
        <v>2496676.6871238141</v>
      </c>
      <c r="S479" s="31">
        <f t="shared" si="1059"/>
        <v>1098361.3834752147</v>
      </c>
      <c r="T479" s="31">
        <f t="shared" si="1060"/>
        <v>260477.38016909029</v>
      </c>
      <c r="U479" s="31">
        <f t="shared" si="1061"/>
        <v>492562.48200018331</v>
      </c>
      <c r="V479" s="31">
        <f t="shared" si="1062"/>
        <v>393900.190263998</v>
      </c>
      <c r="W479" s="31">
        <f t="shared" si="1063"/>
        <v>1098361.3834752147</v>
      </c>
      <c r="X479" s="31">
        <f t="shared" si="1064"/>
        <v>260477.38016909029</v>
      </c>
      <c r="Y479" s="31">
        <f t="shared" si="1065"/>
        <v>492562.48200018331</v>
      </c>
      <c r="Z479" s="31">
        <f t="shared" si="1066"/>
        <v>393900.190263998</v>
      </c>
      <c r="AA479" s="31">
        <f t="shared" si="1067"/>
        <v>1098361.3834752147</v>
      </c>
      <c r="AB479" s="31">
        <f t="shared" si="1068"/>
        <v>261883.43128729897</v>
      </c>
      <c r="AC479" s="31">
        <f t="shared" si="1069"/>
        <v>492562.48200018331</v>
      </c>
      <c r="AD479" s="31">
        <f t="shared" si="1070"/>
        <v>393900.190263998</v>
      </c>
      <c r="AE479" s="31">
        <f t="shared" si="1071"/>
        <v>2246707.4870266952</v>
      </c>
      <c r="AF479" s="31">
        <f>IFERROR(VLOOKUP(A479,'Allocations By Type'!$D$7:$F$491,3,FALSE),"")</f>
        <v>1865176.17</v>
      </c>
      <c r="AG479" s="31">
        <f t="shared" si="1072"/>
        <v>89868.299481067806</v>
      </c>
      <c r="AH479" s="31">
        <f t="shared" si="1073"/>
        <v>89868.299481067806</v>
      </c>
      <c r="AI479" s="31">
        <f t="shared" si="1074"/>
        <v>2156839.1875456274</v>
      </c>
      <c r="AJ479" s="31">
        <f>AI479/$AI$577*'State Admin 1004(b)'!$B$30*0.01</f>
        <v>20525.558591619632</v>
      </c>
      <c r="AK479" s="31">
        <f t="shared" si="1075"/>
        <v>2136313.6289540078</v>
      </c>
      <c r="AL479" s="31">
        <f t="shared" si="1076"/>
        <v>21363.136289540078</v>
      </c>
      <c r="AM479" s="31">
        <f t="shared" si="1077"/>
        <v>2114950.4926644675</v>
      </c>
      <c r="AP479" s="31"/>
      <c r="AQ479" s="4">
        <f t="shared" si="1078"/>
        <v>1.1339146010344254</v>
      </c>
      <c r="AR479" s="4">
        <f>VLOOKUP(B479,Allocation!$D$10:$P$235,13,FALSE)</f>
        <v>1.1699758311193524</v>
      </c>
      <c r="AS479" s="4">
        <f t="shared" si="1079"/>
        <v>0.9</v>
      </c>
      <c r="AT479" s="4" t="str">
        <f t="shared" si="1080"/>
        <v/>
      </c>
      <c r="AU479" s="31" t="str">
        <f t="shared" si="1081"/>
        <v/>
      </c>
      <c r="AV479" s="31" t="str">
        <f t="shared" si="1082"/>
        <v/>
      </c>
      <c r="AW479" s="31">
        <f t="shared" si="1083"/>
        <v>2081172.9309257439</v>
      </c>
      <c r="AX479" s="4">
        <f t="shared" si="1084"/>
        <v>1.1158050185284878</v>
      </c>
      <c r="AY479" s="4" t="str">
        <f t="shared" si="1085"/>
        <v/>
      </c>
      <c r="AZ479" s="174" t="str">
        <f>IFERROR(IF(VLOOKUP(A479,#REF!,11,FALSE)=0,"",VLOOKUP(A479,#REF!,11,FALSE)),"")</f>
        <v/>
      </c>
      <c r="BA479" s="31" t="str">
        <f t="shared" si="1086"/>
        <v/>
      </c>
      <c r="BB479" s="31">
        <f t="shared" si="1087"/>
        <v>2081172.9309257439</v>
      </c>
      <c r="BD479" s="31">
        <f>IFERROR(VLOOKUP(A479,'Title II Hold Harmless'!A$1:B$439,2, FALSE),"")</f>
        <v>217805</v>
      </c>
      <c r="BE479" s="31">
        <f t="shared" si="1088"/>
        <v>254843.68673359396</v>
      </c>
      <c r="BF479" s="31">
        <f t="shared" si="1089"/>
        <v>255090.26320769946</v>
      </c>
      <c r="BG479" s="31" t="str">
        <f t="shared" si="1090"/>
        <v/>
      </c>
      <c r="BH479" s="31">
        <f t="shared" si="1091"/>
        <v>255090.26320769946</v>
      </c>
    </row>
    <row r="480" spans="1:60" x14ac:dyDescent="0.3">
      <c r="A480" s="1">
        <v>110220000</v>
      </c>
      <c r="B480">
        <f>VLOOKUP(C480,'NCES ID'!$A$2:$B$3136,2,FALSE)</f>
        <v>404720</v>
      </c>
      <c r="C480">
        <f>VLOOKUP(A480,'State ID'!$A$2:$B$713,2,FALSE)</f>
        <v>4441</v>
      </c>
      <c r="D480" s="147" t="s">
        <v>273</v>
      </c>
      <c r="E480" t="s">
        <v>20</v>
      </c>
      <c r="F480" s="47">
        <f>VLOOKUP(B480,'Formula counts'!$D$9:$L$234,9,FALSE)</f>
        <v>10971</v>
      </c>
      <c r="G480" s="47">
        <f>VLOOKUP(B480,'Formula counts'!$D$9:$K$234,8,FALSE)</f>
        <v>1693</v>
      </c>
      <c r="H480" s="4">
        <f>VLOOKUP(B480,'Formula counts'!$D$9:$M$234,10,FALSE)</f>
        <v>0.15431592379910675</v>
      </c>
      <c r="I480" s="47">
        <f>VLOOKUP($C480,'Final SEA Counts'!$A$2:$F$709,5,FALSE)</f>
        <v>6043</v>
      </c>
      <c r="J480" s="47">
        <f>VLOOKUP($C480,'Final SEA Counts'!$A$2:$F$709,6,FALSE)</f>
        <v>3833</v>
      </c>
      <c r="K480" s="24">
        <f t="shared" si="1056"/>
        <v>9677.0560484944035</v>
      </c>
      <c r="L480" s="24">
        <f t="shared" si="1057"/>
        <v>1522.5420858846489</v>
      </c>
      <c r="M480" s="4">
        <f t="shared" si="1058"/>
        <v>0.15733525550071939</v>
      </c>
      <c r="N480" s="31">
        <f>IFERROR(VLOOKUP($B480,Allocation!$D$10:$O$235,8,FALSE),"")</f>
        <v>798652.42568434798</v>
      </c>
      <c r="O480" s="31">
        <f>IFERROR(VLOOKUP($B480,Allocation!$D$10:$O$235,9,FALSE),"")</f>
        <v>189401.13394167082</v>
      </c>
      <c r="P480" s="31">
        <f>IFERROR(VLOOKUP($B480,Allocation!$D$10:$O$235,10,FALSE),"")</f>
        <v>311266.7349982931</v>
      </c>
      <c r="Q480" s="31">
        <f>IFERROR(VLOOKUP($B480,Allocation!$D$10:$O$235,11,FALSE),"")</f>
        <v>241282.90170358942</v>
      </c>
      <c r="R480" s="31">
        <f>IFERROR(VLOOKUP($B480,Allocation!$D$10:$O$235,12,FALSE),"")</f>
        <v>1540603.1963279012</v>
      </c>
      <c r="S480" s="31">
        <f t="shared" si="1059"/>
        <v>718240.9510326531</v>
      </c>
      <c r="T480" s="31">
        <f t="shared" si="1060"/>
        <v>170331.48112254534</v>
      </c>
      <c r="U480" s="31">
        <f t="shared" si="1061"/>
        <v>279927.17304831982</v>
      </c>
      <c r="V480" s="31">
        <f t="shared" si="1062"/>
        <v>216989.58797878545</v>
      </c>
      <c r="W480" s="31">
        <f t="shared" si="1063"/>
        <v>718240.9510326531</v>
      </c>
      <c r="X480" s="31">
        <f t="shared" si="1064"/>
        <v>170331.48112254534</v>
      </c>
      <c r="Y480" s="31">
        <f t="shared" si="1065"/>
        <v>279927.17304831982</v>
      </c>
      <c r="Z480" s="31">
        <f t="shared" si="1066"/>
        <v>216989.58797878545</v>
      </c>
      <c r="AA480" s="31">
        <f t="shared" si="1067"/>
        <v>718240.9510326531</v>
      </c>
      <c r="AB480" s="31">
        <f t="shared" si="1068"/>
        <v>171737.53224075402</v>
      </c>
      <c r="AC480" s="31">
        <f t="shared" si="1069"/>
        <v>279927.17304831982</v>
      </c>
      <c r="AD480" s="31">
        <f t="shared" si="1070"/>
        <v>216989.58797878545</v>
      </c>
      <c r="AE480" s="31">
        <f t="shared" si="1071"/>
        <v>1386895.2443005124</v>
      </c>
      <c r="AF480" s="31">
        <f>IFERROR(VLOOKUP(A480,'Allocations By Type'!$D$7:$F$491,3,FALSE),"")</f>
        <v>1005904.04</v>
      </c>
      <c r="AG480" s="31">
        <f t="shared" si="1072"/>
        <v>55475.809772020497</v>
      </c>
      <c r="AH480" s="31">
        <f t="shared" si="1073"/>
        <v>55475.809772020497</v>
      </c>
      <c r="AI480" s="31">
        <f t="shared" si="1074"/>
        <v>1331419.4345284919</v>
      </c>
      <c r="AJ480" s="31">
        <f>AI480/$AI$577*'State Admin 1004(b)'!$B$30*0.01</f>
        <v>12670.452100109349</v>
      </c>
      <c r="AK480" s="31">
        <f t="shared" si="1075"/>
        <v>1318748.9824283826</v>
      </c>
      <c r="AL480" s="31">
        <f t="shared" si="1076"/>
        <v>13187.489824283826</v>
      </c>
      <c r="AM480" s="31">
        <f t="shared" si="1077"/>
        <v>1305561.4926040987</v>
      </c>
      <c r="AP480" s="31"/>
      <c r="AQ480" s="4">
        <f t="shared" si="1078"/>
        <v>1.2978986470758171</v>
      </c>
      <c r="AR480" s="4">
        <f>VLOOKUP(B480,Allocation!$D$10:$P$235,13,FALSE)</f>
        <v>1.2962229507256362</v>
      </c>
      <c r="AS480" s="4">
        <f t="shared" si="1079"/>
        <v>0.9</v>
      </c>
      <c r="AT480" s="4" t="str">
        <f t="shared" si="1080"/>
        <v/>
      </c>
      <c r="AU480" s="31" t="str">
        <f t="shared" si="1081"/>
        <v/>
      </c>
      <c r="AV480" s="31" t="str">
        <f t="shared" si="1082"/>
        <v/>
      </c>
      <c r="AW480" s="31">
        <f t="shared" si="1083"/>
        <v>1284710.5629614957</v>
      </c>
      <c r="AX480" s="4">
        <f t="shared" si="1084"/>
        <v>1.2771700996066142</v>
      </c>
      <c r="AY480" s="4" t="str">
        <f t="shared" si="1085"/>
        <v/>
      </c>
      <c r="AZ480" s="174" t="str">
        <f>IFERROR(IF(VLOOKUP(A480,#REF!,11,FALSE)=0,"",VLOOKUP(A480,#REF!,11,FALSE)),"")</f>
        <v/>
      </c>
      <c r="BA480" s="31" t="str">
        <f t="shared" si="1086"/>
        <v/>
      </c>
      <c r="BB480" s="31">
        <f t="shared" si="1087"/>
        <v>1284710.5629614957</v>
      </c>
      <c r="BD480" s="31">
        <f>IFERROR(VLOOKUP(A480,'Title II Hold Harmless'!A$1:B$439,2, FALSE),"")</f>
        <v>50131</v>
      </c>
      <c r="BE480" s="31">
        <f t="shared" si="1088"/>
        <v>77850.19219438202</v>
      </c>
      <c r="BF480" s="31">
        <f t="shared" si="1089"/>
        <v>77925.516900855102</v>
      </c>
      <c r="BG480" s="31" t="str">
        <f t="shared" si="1090"/>
        <v/>
      </c>
      <c r="BH480" s="31">
        <f t="shared" si="1091"/>
        <v>77925.516900855102</v>
      </c>
    </row>
    <row r="481" spans="1:60" x14ac:dyDescent="0.3">
      <c r="A481" s="1">
        <v>110201000</v>
      </c>
      <c r="B481">
        <f>VLOOKUP(C481,'NCES ID'!$A$2:$B$3136,2,FALSE)</f>
        <v>402920</v>
      </c>
      <c r="C481">
        <f>VLOOKUP(A481,'State ID'!$A$2:$B$713,2,FALSE)</f>
        <v>4437</v>
      </c>
      <c r="D481" s="147" t="s">
        <v>166</v>
      </c>
      <c r="E481" t="s">
        <v>20</v>
      </c>
      <c r="F481" s="47">
        <f>VLOOKUP(B481,'Formula counts'!$D$9:$L$234,9,FALSE)</f>
        <v>13200</v>
      </c>
      <c r="G481" s="47">
        <f>VLOOKUP(B481,'Formula counts'!$D$9:$K$234,8,FALSE)</f>
        <v>2548</v>
      </c>
      <c r="H481" s="4">
        <f>VLOOKUP(B481,'Formula counts'!$D$9:$M$234,10,FALSE)</f>
        <v>0.19303030303030302</v>
      </c>
      <c r="I481" s="47">
        <f>VLOOKUP($C481,'Final SEA Counts'!$A$2:$F$709,5,FALSE)</f>
        <v>7957</v>
      </c>
      <c r="J481" s="47">
        <f>VLOOKUP($C481,'Final SEA Counts'!$A$2:$F$709,6,FALSE)</f>
        <v>4728</v>
      </c>
      <c r="K481" s="24">
        <f t="shared" si="1056"/>
        <v>11643.162869394417</v>
      </c>
      <c r="L481" s="24">
        <f t="shared" si="1057"/>
        <v>2291.4573153184201</v>
      </c>
      <c r="M481" s="4">
        <f t="shared" si="1058"/>
        <v>0.19680711684810462</v>
      </c>
      <c r="N481" s="31">
        <f>IFERROR(VLOOKUP($B481,Allocation!$D$10:$O$235,8,FALSE),"")</f>
        <v>1201988.4114847712</v>
      </c>
      <c r="O481" s="31">
        <f>IFERROR(VLOOKUP($B481,Allocation!$D$10:$O$235,9,FALSE),"")</f>
        <v>285052.62214021088</v>
      </c>
      <c r="P481" s="31">
        <f>IFERROR(VLOOKUP($B481,Allocation!$D$10:$O$235,10,FALSE),"")</f>
        <v>513504.98966559797</v>
      </c>
      <c r="Q481" s="31">
        <f>IFERROR(VLOOKUP($B481,Allocation!$D$10:$O$235,11,FALSE),"")</f>
        <v>405913.94265631191</v>
      </c>
      <c r="R481" s="31">
        <f>IFERROR(VLOOKUP($B481,Allocation!$D$10:$O$235,12,FALSE),"")</f>
        <v>2406459.9659468918</v>
      </c>
      <c r="S481" s="31">
        <f t="shared" si="1059"/>
        <v>1080967.4797585346</v>
      </c>
      <c r="T481" s="31">
        <f t="shared" si="1060"/>
        <v>256352.40041361214</v>
      </c>
      <c r="U481" s="31">
        <f t="shared" si="1061"/>
        <v>461803.28297556681</v>
      </c>
      <c r="V481" s="31">
        <f t="shared" si="1062"/>
        <v>365044.92672274244</v>
      </c>
      <c r="W481" s="31">
        <f t="shared" si="1063"/>
        <v>1080967.4797585346</v>
      </c>
      <c r="X481" s="31">
        <f t="shared" si="1064"/>
        <v>256352.40041361214</v>
      </c>
      <c r="Y481" s="31">
        <f t="shared" si="1065"/>
        <v>461803.28297556681</v>
      </c>
      <c r="Z481" s="31">
        <f t="shared" si="1066"/>
        <v>365044.92672274244</v>
      </c>
      <c r="AA481" s="31">
        <f t="shared" si="1067"/>
        <v>1080967.4797585346</v>
      </c>
      <c r="AB481" s="31">
        <f t="shared" si="1068"/>
        <v>257758.45153182081</v>
      </c>
      <c r="AC481" s="31">
        <f t="shared" si="1069"/>
        <v>461803.28297556681</v>
      </c>
      <c r="AD481" s="31">
        <f t="shared" si="1070"/>
        <v>365044.92672274244</v>
      </c>
      <c r="AE481" s="31">
        <f t="shared" si="1071"/>
        <v>2165574.1409886647</v>
      </c>
      <c r="AF481" s="31">
        <f>IFERROR(VLOOKUP(A481,'Allocations By Type'!$D$7:$F$491,3,FALSE),"")</f>
        <v>1894165.99</v>
      </c>
      <c r="AG481" s="31">
        <f t="shared" si="1072"/>
        <v>86622.965639546586</v>
      </c>
      <c r="AH481" s="31">
        <f t="shared" si="1073"/>
        <v>86622.965639546586</v>
      </c>
      <c r="AI481" s="31">
        <f t="shared" si="1074"/>
        <v>2078951.1753491182</v>
      </c>
      <c r="AJ481" s="31">
        <f>AI481/$AI$577*'State Admin 1004(b)'!$B$30*0.01</f>
        <v>19784.337379043525</v>
      </c>
      <c r="AK481" s="31">
        <f t="shared" si="1075"/>
        <v>2059166.8379700747</v>
      </c>
      <c r="AL481" s="31">
        <f t="shared" si="1076"/>
        <v>20591.668379700746</v>
      </c>
      <c r="AM481" s="31">
        <f t="shared" si="1077"/>
        <v>2038575.169590374</v>
      </c>
      <c r="AP481" s="31"/>
      <c r="AQ481" s="4">
        <f t="shared" si="1078"/>
        <v>1.0762389253913138</v>
      </c>
      <c r="AR481" s="4">
        <f>VLOOKUP(B481,Allocation!$D$10:$P$235,13,FALSE)</f>
        <v>1.1203676453698628</v>
      </c>
      <c r="AS481" s="4">
        <f t="shared" si="1079"/>
        <v>0.9</v>
      </c>
      <c r="AT481" s="4" t="str">
        <f t="shared" si="1080"/>
        <v/>
      </c>
      <c r="AU481" s="31" t="str">
        <f t="shared" si="1081"/>
        <v/>
      </c>
      <c r="AV481" s="31" t="str">
        <f t="shared" si="1082"/>
        <v/>
      </c>
      <c r="AW481" s="31">
        <f t="shared" si="1083"/>
        <v>2006017.3868485573</v>
      </c>
      <c r="AX481" s="4">
        <f t="shared" si="1084"/>
        <v>1.0590504725768819</v>
      </c>
      <c r="AY481" s="4" t="str">
        <f t="shared" si="1085"/>
        <v/>
      </c>
      <c r="AZ481" s="174" t="str">
        <f>IFERROR(IF(VLOOKUP(A481,#REF!,11,FALSE)=0,"",VLOOKUP(A481,#REF!,11,FALSE)),"")</f>
        <v/>
      </c>
      <c r="BA481" s="31" t="str">
        <f t="shared" si="1086"/>
        <v/>
      </c>
      <c r="BB481" s="31">
        <f t="shared" si="1087"/>
        <v>2006017.3868485573</v>
      </c>
      <c r="BD481" s="31">
        <f>IFERROR(VLOOKUP(A481,'Title II Hold Harmless'!A$1:B$439,2, FALSE),"")</f>
        <v>37550</v>
      </c>
      <c r="BE481" s="31">
        <f t="shared" si="1088"/>
        <v>76917.132144320029</v>
      </c>
      <c r="BF481" s="31">
        <f t="shared" si="1089"/>
        <v>76991.554059516537</v>
      </c>
      <c r="BG481" s="31" t="str">
        <f t="shared" si="1090"/>
        <v/>
      </c>
      <c r="BH481" s="31">
        <f t="shared" si="1091"/>
        <v>76991.554059516537</v>
      </c>
    </row>
    <row r="482" spans="1:60" x14ac:dyDescent="0.3">
      <c r="A482" s="1">
        <v>110405000</v>
      </c>
      <c r="B482">
        <f>VLOOKUP(C482,'NCES ID'!$A$2:$B$3136,2,FALSE)</f>
        <v>406900</v>
      </c>
      <c r="C482">
        <f>VLOOKUP(A482,'State ID'!$A$2:$B$713,2,FALSE)</f>
        <v>4447</v>
      </c>
      <c r="D482" s="147" t="s">
        <v>482</v>
      </c>
      <c r="E482" t="s">
        <v>20</v>
      </c>
      <c r="F482" s="47">
        <f>VLOOKUP(B482,'Formula counts'!$D$9:$L$234,9,FALSE)</f>
        <v>589</v>
      </c>
      <c r="G482" s="47">
        <f>VLOOKUP(B482,'Formula counts'!$D$9:$K$234,8,FALSE)</f>
        <v>114</v>
      </c>
      <c r="H482" s="4">
        <f>VLOOKUP(B482,'Formula counts'!$D$9:$M$234,10,FALSE)</f>
        <v>0.19354838709677419</v>
      </c>
      <c r="I482" s="47">
        <f>VLOOKUP($C482,'Final SEA Counts'!$A$2:$F$709,5,FALSE)</f>
        <v>304</v>
      </c>
      <c r="J482" s="47">
        <f>VLOOKUP($C482,'Final SEA Counts'!$A$2:$F$709,6,FALSE)</f>
        <v>170</v>
      </c>
      <c r="K482" s="24">
        <f t="shared" si="1056"/>
        <v>519.53204015706899</v>
      </c>
      <c r="L482" s="24">
        <f t="shared" si="1057"/>
        <v>102.52203059116951</v>
      </c>
      <c r="M482" s="4">
        <f t="shared" si="1058"/>
        <v>0.19733533770154821</v>
      </c>
      <c r="N482" s="31">
        <f>IFERROR(VLOOKUP($B482,Allocation!$D$10:$O$235,8,FALSE),"")</f>
        <v>53778.131440056481</v>
      </c>
      <c r="O482" s="31">
        <f>IFERROR(VLOOKUP($B482,Allocation!$D$10:$O$235,9,FALSE),"")</f>
        <v>12753.531759805353</v>
      </c>
      <c r="P482" s="31">
        <f>IFERROR(VLOOKUP($B482,Allocation!$D$10:$O$235,10,FALSE),"")</f>
        <v>18539.147465478203</v>
      </c>
      <c r="Q482" s="31">
        <f>IFERROR(VLOOKUP($B482,Allocation!$D$10:$O$235,11,FALSE),"")</f>
        <v>13759.60286424695</v>
      </c>
      <c r="R482" s="31">
        <f>IFERROR(VLOOKUP($B482,Allocation!$D$10:$O$235,12,FALSE),"")</f>
        <v>98830.413529586993</v>
      </c>
      <c r="S482" s="31">
        <f t="shared" si="1059"/>
        <v>48363.537163450921</v>
      </c>
      <c r="T482" s="31">
        <f t="shared" si="1060"/>
        <v>11469.455905475583</v>
      </c>
      <c r="U482" s="31">
        <f t="shared" si="1061"/>
        <v>16672.55301394701</v>
      </c>
      <c r="V482" s="31">
        <f t="shared" si="1062"/>
        <v>12374.231805005873</v>
      </c>
      <c r="W482" s="31">
        <f t="shared" si="1063"/>
        <v>48363.537163450921</v>
      </c>
      <c r="X482" s="31">
        <f t="shared" si="1064"/>
        <v>11469.455905475583</v>
      </c>
      <c r="Y482" s="31">
        <f t="shared" si="1065"/>
        <v>16672.55301394701</v>
      </c>
      <c r="Z482" s="31">
        <f t="shared" si="1066"/>
        <v>12374.231805005873</v>
      </c>
      <c r="AA482" s="31">
        <f t="shared" si="1067"/>
        <v>48363.537163450921</v>
      </c>
      <c r="AB482" s="31">
        <f t="shared" si="1068"/>
        <v>12875.50702368426</v>
      </c>
      <c r="AC482" s="31">
        <f t="shared" si="1069"/>
        <v>16672.55301394701</v>
      </c>
      <c r="AD482" s="31">
        <f t="shared" si="1070"/>
        <v>12374.231805005873</v>
      </c>
      <c r="AE482" s="31">
        <f t="shared" si="1071"/>
        <v>90285.829006088054</v>
      </c>
      <c r="AF482" s="31">
        <f>IFERROR(VLOOKUP(A482,'Allocations By Type'!$D$7:$F$491,3,FALSE),"")</f>
        <v>93578.73</v>
      </c>
      <c r="AG482" s="31" t="str">
        <f t="shared" si="1072"/>
        <v/>
      </c>
      <c r="AH482" s="31" t="str">
        <f t="shared" si="1073"/>
        <v/>
      </c>
      <c r="AI482" s="31">
        <f t="shared" si="1074"/>
        <v>90285.829006088054</v>
      </c>
      <c r="AJ482" s="31">
        <f>AI482/$AI$577*'State Admin 1004(b)'!$B$30*0.01</f>
        <v>859.20502741153416</v>
      </c>
      <c r="AK482" s="31">
        <f t="shared" si="1075"/>
        <v>89426.623978676522</v>
      </c>
      <c r="AL482" s="31">
        <f t="shared" si="1076"/>
        <v>894.26623978676525</v>
      </c>
      <c r="AM482" s="31">
        <f t="shared" si="1077"/>
        <v>88532.357738889754</v>
      </c>
      <c r="AP482" s="31"/>
      <c r="AQ482" s="4">
        <f t="shared" si="1078"/>
        <v>0.94607351199241274</v>
      </c>
      <c r="AR482" s="4">
        <f>VLOOKUP(B482,Allocation!$D$10:$P$235,13,FALSE)</f>
        <v>0.94316465481108047</v>
      </c>
      <c r="AS482" s="4">
        <f t="shared" si="1079"/>
        <v>0.9</v>
      </c>
      <c r="AT482" s="4" t="str">
        <f t="shared" si="1080"/>
        <v/>
      </c>
      <c r="AU482" s="31" t="str">
        <f t="shared" si="1081"/>
        <v/>
      </c>
      <c r="AV482" s="31" t="str">
        <f t="shared" si="1082"/>
        <v/>
      </c>
      <c r="AW482" s="31">
        <f t="shared" si="1083"/>
        <v>87118.420538103208</v>
      </c>
      <c r="AX482" s="4">
        <f t="shared" si="1084"/>
        <v>0.93096391175754589</v>
      </c>
      <c r="AY482" s="4" t="str">
        <f t="shared" si="1085"/>
        <v/>
      </c>
      <c r="AZ482" s="174" t="str">
        <f>IFERROR(IF(VLOOKUP(A482,#REF!,11,FALSE)=0,"",VLOOKUP(A482,#REF!,11,FALSE)),"")</f>
        <v/>
      </c>
      <c r="BA482" s="31" t="str">
        <f t="shared" si="1086"/>
        <v/>
      </c>
      <c r="BB482" s="31">
        <f t="shared" si="1087"/>
        <v>87118.420538103208</v>
      </c>
      <c r="BD482" s="31">
        <f>IFERROR(VLOOKUP(A482,'Title II Hold Harmless'!A$1:B$439,2, FALSE),"")</f>
        <v>4073</v>
      </c>
      <c r="BE482" s="31">
        <f t="shared" si="1088"/>
        <v>5833.201596728768</v>
      </c>
      <c r="BF482" s="31">
        <f t="shared" si="1089"/>
        <v>5838.845567356032</v>
      </c>
      <c r="BG482" s="31" t="str">
        <f t="shared" si="1090"/>
        <v/>
      </c>
      <c r="BH482" s="31">
        <f t="shared" si="1091"/>
        <v>5838.845567356032</v>
      </c>
    </row>
    <row r="483" spans="1:60" x14ac:dyDescent="0.3">
      <c r="A483" s="1">
        <v>118705000</v>
      </c>
      <c r="B483">
        <f>VLOOKUP(C483,'NCES ID'!$A$2:$B$3136,2,FALSE)</f>
        <v>400403</v>
      </c>
      <c r="C483">
        <f>VLOOKUP(A483,'State ID'!$A$2:$B$713,2,FALSE)</f>
        <v>5978</v>
      </c>
      <c r="D483" s="192" t="s">
        <v>19</v>
      </c>
      <c r="E483" t="s">
        <v>20</v>
      </c>
      <c r="I483" s="47">
        <f>VLOOKUP($C483,'AzEDS FY17 12-04-16'!$A$1:$D$712,3,FALSE)</f>
        <v>21</v>
      </c>
      <c r="J483" s="47">
        <f>VLOOKUP($C483,'AzEDS FY17 12-04-16'!$A$1:$D$712,4,FALSE)</f>
        <v>21</v>
      </c>
      <c r="K483" s="24">
        <f>I483</f>
        <v>21</v>
      </c>
      <c r="L483" s="24">
        <f t="shared" ref="L483:L495" si="1092">J483*$B$497</f>
        <v>11.159789220933677</v>
      </c>
      <c r="M483" s="4">
        <f t="shared" si="1058"/>
        <v>0.53141853433017505</v>
      </c>
      <c r="N483" s="31" t="str">
        <f>IFERROR(VLOOKUP($B483,#REF!,8,FALSE),"")</f>
        <v/>
      </c>
      <c r="O483" s="31" t="str">
        <f>IFERROR(VLOOKUP($B483,#REF!,9,FALSE),"")</f>
        <v/>
      </c>
      <c r="P483" s="31" t="str">
        <f>IFERROR(VLOOKUP($B483,#REF!,10,FALSE),"")</f>
        <v/>
      </c>
      <c r="Q483" s="31" t="str">
        <f>IFERROR(VLOOKUP($B483,#REF!,11,FALSE),"")</f>
        <v/>
      </c>
      <c r="R483" s="31" t="str">
        <f>IFERROR(VLOOKUP($B483,#REF!,12,FALSE),"")</f>
        <v/>
      </c>
      <c r="S483" s="31">
        <f t="shared" ref="S483:S495" si="1093">$L483*N$498</f>
        <v>5811.5344215469813</v>
      </c>
      <c r="T483" s="31">
        <f t="shared" ref="T483:T495" si="1094">$L483*O$498</f>
        <v>1384.8543676829133</v>
      </c>
      <c r="U483" s="31">
        <f t="shared" ref="U483:U495" si="1095">$L483*P$498</f>
        <v>2470.6302051813873</v>
      </c>
      <c r="V483" s="31">
        <f t="shared" ref="V483:V495" si="1096">$L483*Q$498</f>
        <v>2040.9512288738335</v>
      </c>
      <c r="W483" s="31">
        <f t="shared" ref="W483" si="1097">IF(AND($L483&gt;9,$L483&gt;($K483*0.02)),S483,"")</f>
        <v>5811.5344215469813</v>
      </c>
      <c r="X483" s="31">
        <f t="shared" ref="X483" si="1098">IF(W483="","",IF(OR($L483&gt;6500,$L483&gt;($K483*0.15)),T483,""))</f>
        <v>1384.8543676829133</v>
      </c>
      <c r="Y483" s="31">
        <f t="shared" ref="Y483" si="1099">IF(AND($L483&gt;9,$L483&gt;($K483*0.05)),U483,"")</f>
        <v>2470.6302051813873</v>
      </c>
      <c r="Z483" s="31">
        <f t="shared" ref="Z483" si="1100">IF(AND($L483&gt;9,$L483&gt;($K483*0.05)),V483,"")</f>
        <v>2040.9512288738335</v>
      </c>
      <c r="AA483" s="31">
        <f t="shared" si="1067"/>
        <v>5811.5344215469813</v>
      </c>
      <c r="AB483" s="31">
        <f t="shared" si="1068"/>
        <v>2790.9054858915906</v>
      </c>
      <c r="AC483" s="31">
        <f t="shared" si="1069"/>
        <v>2470.6302051813873</v>
      </c>
      <c r="AD483" s="31">
        <f t="shared" si="1070"/>
        <v>2040.9512288738335</v>
      </c>
      <c r="AE483" s="31">
        <f t="shared" si="1071"/>
        <v>13114.021341493793</v>
      </c>
      <c r="AF483" s="31" t="str">
        <f>IFERROR(VLOOKUP(A483,'Allocations By Type'!$D$7:$F$491,3,FALSE),"")</f>
        <v/>
      </c>
      <c r="AG483" s="31" t="str">
        <f t="shared" si="1072"/>
        <v/>
      </c>
      <c r="AH483" s="31" t="str">
        <f t="shared" si="1073"/>
        <v/>
      </c>
      <c r="AI483" s="31">
        <f t="shared" si="1074"/>
        <v>13114.021341493793</v>
      </c>
      <c r="AJ483" s="31">
        <f>AI483/$AI$577*'State Admin 1004(b)'!$B$30*0.01</f>
        <v>124.79957475313022</v>
      </c>
      <c r="AK483" s="31">
        <f t="shared" si="1075"/>
        <v>12989.221766740664</v>
      </c>
      <c r="AL483" s="31">
        <f t="shared" si="1076"/>
        <v>129.89221766740664</v>
      </c>
      <c r="AM483" s="31">
        <f t="shared" si="1077"/>
        <v>12859.329549073258</v>
      </c>
      <c r="AP483" s="31"/>
      <c r="AQ483" s="4" t="str">
        <f t="shared" ref="AQ483:AQ507" si="1101">IFERROR(AM483/AF483,"")</f>
        <v/>
      </c>
      <c r="AW483" s="31">
        <f t="shared" si="1083"/>
        <v>12653.955097392736</v>
      </c>
      <c r="AZ483" s="174" t="str">
        <f>IFERROR(IF(VLOOKUP(A483,#REF!,11,FALSE)=0,"",VLOOKUP(A483,#REF!,11,FALSE)),"")</f>
        <v/>
      </c>
      <c r="BA483" s="31" t="str">
        <f t="shared" si="1086"/>
        <v/>
      </c>
      <c r="BB483" s="31">
        <f t="shared" si="1087"/>
        <v>12653.955097392736</v>
      </c>
      <c r="BD483" s="31" t="str">
        <f>IFERROR(VLOOKUP(A483,'Title II Hold Harmless'!A$1:B$439,2, FALSE),"")</f>
        <v/>
      </c>
      <c r="BE483" s="31">
        <f t="shared" si="1088"/>
        <v>162.98994430603878</v>
      </c>
      <c r="BF483" s="31">
        <f t="shared" si="1089"/>
        <v>163.14764680319206</v>
      </c>
      <c r="BG483" s="31" t="str">
        <f t="shared" si="1090"/>
        <v/>
      </c>
      <c r="BH483" s="31">
        <f t="shared" si="1091"/>
        <v>163.14764680319206</v>
      </c>
    </row>
    <row r="484" spans="1:60" x14ac:dyDescent="0.3">
      <c r="A484" s="1">
        <v>118706000</v>
      </c>
      <c r="B484">
        <f>VLOOKUP(C484,'NCES ID'!$A$2:$B$3136,2,FALSE)</f>
        <v>400404</v>
      </c>
      <c r="C484">
        <f>VLOOKUP(A484,'State ID'!$A$2:$B$713,2,FALSE)</f>
        <v>78966</v>
      </c>
      <c r="D484" s="147" t="s">
        <v>21</v>
      </c>
      <c r="E484" t="s">
        <v>20</v>
      </c>
      <c r="I484" s="47">
        <f>VLOOKUP($C484,'Final SEA Counts'!$A$2:$F$709,5,FALSE)</f>
        <v>140</v>
      </c>
      <c r="J484" s="47">
        <f>VLOOKUP($C484,'Final SEA Counts'!$A$2:$F$709,6,FALSE)</f>
        <v>120</v>
      </c>
      <c r="K484" s="24">
        <f t="shared" ref="K484:K495" si="1102">I484</f>
        <v>140</v>
      </c>
      <c r="L484" s="24">
        <f t="shared" si="1092"/>
        <v>63.770224119621005</v>
      </c>
      <c r="M484" s="4">
        <f t="shared" si="1058"/>
        <v>0.45550160085443575</v>
      </c>
      <c r="N484" s="31" t="str">
        <f>IFERROR(VLOOKUP($B484,#REF!,8,FALSE),"")</f>
        <v/>
      </c>
      <c r="O484" s="31" t="str">
        <f>IFERROR(VLOOKUP($B484,#REF!,9,FALSE),"")</f>
        <v/>
      </c>
      <c r="P484" s="31" t="str">
        <f>IFERROR(VLOOKUP($B484,#REF!,10,FALSE),"")</f>
        <v/>
      </c>
      <c r="Q484" s="31" t="str">
        <f>IFERROR(VLOOKUP($B484,#REF!,11,FALSE),"")</f>
        <v/>
      </c>
      <c r="R484" s="31" t="str">
        <f>IFERROR(VLOOKUP($B484,#REF!,12,FALSE),"")</f>
        <v/>
      </c>
      <c r="S484" s="31">
        <f t="shared" si="1093"/>
        <v>33208.768123125607</v>
      </c>
      <c r="T484" s="31">
        <f t="shared" si="1094"/>
        <v>7913.4535296166478</v>
      </c>
      <c r="U484" s="31">
        <f t="shared" si="1095"/>
        <v>14117.886886750783</v>
      </c>
      <c r="V484" s="31">
        <f t="shared" si="1096"/>
        <v>11662.578450707621</v>
      </c>
      <c r="W484" s="31">
        <f t="shared" ref="W484:W494" si="1103">IF(AND($L484&gt;9,$L484&gt;($K484*0.02)),S484,"")</f>
        <v>33208.768123125607</v>
      </c>
      <c r="X484" s="31">
        <f t="shared" ref="X484:X494" si="1104">IF(W484="","",IF(OR($L484&gt;6500,$L484&gt;($K484*0.15)),T484,""))</f>
        <v>7913.4535296166478</v>
      </c>
      <c r="Y484" s="31">
        <f t="shared" ref="Y484:Y494" si="1105">IF(AND($L484&gt;9,$L484&gt;($K484*0.05)),U484,"")</f>
        <v>14117.886886750783</v>
      </c>
      <c r="Z484" s="31">
        <f t="shared" ref="Z484:Z494" si="1106">IF(AND($L484&gt;9,$L484&gt;($K484*0.05)),V484,"")</f>
        <v>11662.578450707621</v>
      </c>
      <c r="AA484" s="31">
        <f t="shared" si="1067"/>
        <v>33208.768123125607</v>
      </c>
      <c r="AB484" s="31">
        <f t="shared" si="1068"/>
        <v>9319.5046478253244</v>
      </c>
      <c r="AC484" s="31">
        <f t="shared" si="1069"/>
        <v>14117.886886750783</v>
      </c>
      <c r="AD484" s="31">
        <f t="shared" si="1070"/>
        <v>11662.578450707621</v>
      </c>
      <c r="AE484" s="31">
        <f t="shared" si="1071"/>
        <v>68308.738108409336</v>
      </c>
      <c r="AF484" s="31">
        <f>IFERROR(VLOOKUP(A484,'Allocations By Type'!$D$7:$F$491,3,FALSE),"")</f>
        <v>71945.09</v>
      </c>
      <c r="AG484" s="31" t="str">
        <f t="shared" si="1072"/>
        <v/>
      </c>
      <c r="AH484" s="31" t="str">
        <f t="shared" si="1073"/>
        <v/>
      </c>
      <c r="AI484" s="31">
        <f t="shared" si="1074"/>
        <v>68308.738108409336</v>
      </c>
      <c r="AJ484" s="31">
        <f>AI484/$AI$577*'State Admin 1004(b)'!$B$30*0.01</f>
        <v>650.06005754153898</v>
      </c>
      <c r="AK484" s="31">
        <f t="shared" si="1075"/>
        <v>67658.678050867791</v>
      </c>
      <c r="AL484" s="31">
        <f t="shared" si="1076"/>
        <v>676.58678050867798</v>
      </c>
      <c r="AM484" s="31">
        <f t="shared" si="1077"/>
        <v>66982.091270359117</v>
      </c>
      <c r="AP484" s="31"/>
      <c r="AQ484" s="4">
        <f t="shared" si="1101"/>
        <v>0.93101685285763236</v>
      </c>
      <c r="AW484" s="31">
        <f t="shared" si="1083"/>
        <v>65912.33019031462</v>
      </c>
      <c r="AX484" s="4">
        <f t="shared" ref="AX484:AX494" si="1107">IFERROR(AW484/AF484,"")</f>
        <v>0.91614772030050451</v>
      </c>
      <c r="AZ484" s="174" t="str">
        <f>IFERROR(IF(VLOOKUP(A484,#REF!,11,FALSE)=0,"",VLOOKUP(A484,#REF!,11,FALSE)),"")</f>
        <v/>
      </c>
      <c r="BA484" s="31" t="str">
        <f t="shared" si="1086"/>
        <v/>
      </c>
      <c r="BB484" s="31">
        <f t="shared" si="1087"/>
        <v>65912.33019031462</v>
      </c>
      <c r="BD484" s="31" t="str">
        <f>IFERROR(VLOOKUP(A484,'Title II Hold Harmless'!A$1:B$439,2, FALSE),"")</f>
        <v/>
      </c>
      <c r="BE484" s="31">
        <f t="shared" si="1088"/>
        <v>947.46710411005654</v>
      </c>
      <c r="BF484" s="31">
        <f t="shared" si="1089"/>
        <v>948.38383507112849</v>
      </c>
      <c r="BG484" s="31" t="str">
        <f t="shared" si="1090"/>
        <v/>
      </c>
      <c r="BH484" s="31">
        <f t="shared" si="1091"/>
        <v>948.38383507112849</v>
      </c>
    </row>
    <row r="485" spans="1:60" x14ac:dyDescent="0.3">
      <c r="A485" s="1">
        <v>118703000</v>
      </c>
      <c r="B485">
        <f>VLOOKUP(C485,'NCES ID'!$A$2:$B$3136,2,FALSE)</f>
        <v>400357</v>
      </c>
      <c r="C485">
        <f>VLOOKUP(A485,'State ID'!$A$2:$B$713,2,FALSE)</f>
        <v>79883</v>
      </c>
      <c r="D485" s="147" t="s">
        <v>26</v>
      </c>
      <c r="E485" t="s">
        <v>20</v>
      </c>
      <c r="I485" s="47">
        <f>VLOOKUP($C485,'Final SEA Counts'!$A$2:$F$709,5,FALSE)</f>
        <v>71</v>
      </c>
      <c r="J485" s="47">
        <f>VLOOKUP($C485,'Final SEA Counts'!$A$2:$F$709,6,FALSE)</f>
        <v>54</v>
      </c>
      <c r="K485" s="24">
        <f t="shared" si="1102"/>
        <v>71</v>
      </c>
      <c r="L485" s="24">
        <f t="shared" si="1092"/>
        <v>28.696600853829452</v>
      </c>
      <c r="M485" s="4">
        <f t="shared" si="1058"/>
        <v>0.40417747681449934</v>
      </c>
      <c r="N485" s="31" t="str">
        <f>IFERROR(VLOOKUP($B485,#REF!,8,FALSE),"")</f>
        <v/>
      </c>
      <c r="O485" s="31" t="str">
        <f>IFERROR(VLOOKUP($B485,#REF!,9,FALSE),"")</f>
        <v/>
      </c>
      <c r="P485" s="31" t="str">
        <f>IFERROR(VLOOKUP($B485,#REF!,10,FALSE),"")</f>
        <v/>
      </c>
      <c r="Q485" s="31" t="str">
        <f>IFERROR(VLOOKUP($B485,#REF!,11,FALSE),"")</f>
        <v/>
      </c>
      <c r="R485" s="31" t="str">
        <f>IFERROR(VLOOKUP($B485,#REF!,12,FALSE),"")</f>
        <v/>
      </c>
      <c r="S485" s="31">
        <f t="shared" si="1093"/>
        <v>14943.945655406524</v>
      </c>
      <c r="T485" s="31">
        <f t="shared" si="1094"/>
        <v>3561.0540883274912</v>
      </c>
      <c r="U485" s="31">
        <f t="shared" si="1095"/>
        <v>6353.0490990378521</v>
      </c>
      <c r="V485" s="31">
        <f t="shared" si="1096"/>
        <v>5248.160302818429</v>
      </c>
      <c r="W485" s="31">
        <f t="shared" si="1103"/>
        <v>14943.945655406524</v>
      </c>
      <c r="X485" s="31">
        <f t="shared" si="1104"/>
        <v>3561.0540883274912</v>
      </c>
      <c r="Y485" s="31">
        <f t="shared" si="1105"/>
        <v>6353.0490990378521</v>
      </c>
      <c r="Z485" s="31">
        <f t="shared" si="1106"/>
        <v>5248.160302818429</v>
      </c>
      <c r="AA485" s="31">
        <f t="shared" si="1067"/>
        <v>14943.945655406524</v>
      </c>
      <c r="AB485" s="31">
        <f t="shared" si="1068"/>
        <v>4967.1052065361691</v>
      </c>
      <c r="AC485" s="31">
        <f t="shared" si="1069"/>
        <v>6353.0490990378521</v>
      </c>
      <c r="AD485" s="31">
        <f t="shared" si="1070"/>
        <v>5248.160302818429</v>
      </c>
      <c r="AE485" s="31">
        <f t="shared" si="1071"/>
        <v>31512.260263798973</v>
      </c>
      <c r="AF485" s="31">
        <f>IFERROR(VLOOKUP(A485,'Allocations By Type'!$D$7:$F$491,3,FALSE),"")</f>
        <v>48022.16</v>
      </c>
      <c r="AG485" s="31" t="str">
        <f t="shared" si="1072"/>
        <v/>
      </c>
      <c r="AH485" s="31" t="str">
        <f t="shared" si="1073"/>
        <v/>
      </c>
      <c r="AI485" s="31">
        <f t="shared" si="1074"/>
        <v>31512.260263798973</v>
      </c>
      <c r="AJ485" s="31">
        <f>AI485/$AI$577*'State Admin 1004(b)'!$B$30*0.01</f>
        <v>299.88640234926646</v>
      </c>
      <c r="AK485" s="31">
        <f t="shared" si="1075"/>
        <v>31212.373861449705</v>
      </c>
      <c r="AL485" s="31">
        <f t="shared" si="1076"/>
        <v>312.12373861449709</v>
      </c>
      <c r="AM485" s="31">
        <f t="shared" si="1077"/>
        <v>30900.250122835208</v>
      </c>
      <c r="AP485" s="31"/>
      <c r="AQ485" s="4">
        <f t="shared" si="1101"/>
        <v>0.6434581477142054</v>
      </c>
      <c r="AW485" s="31">
        <f t="shared" si="1083"/>
        <v>30406.746795033359</v>
      </c>
      <c r="AX485" s="4">
        <f t="shared" si="1107"/>
        <v>0.63318157273711462</v>
      </c>
      <c r="AZ485" s="174" t="str">
        <f>IFERROR(IF(VLOOKUP(A485,#REF!,11,FALSE)=0,"",VLOOKUP(A485,#REF!,11,FALSE)),"")</f>
        <v/>
      </c>
      <c r="BA485" s="31" t="str">
        <f t="shared" si="1086"/>
        <v/>
      </c>
      <c r="BB485" s="31">
        <f t="shared" si="1087"/>
        <v>30406.746795033359</v>
      </c>
      <c r="BD485" s="31" t="str">
        <f>IFERROR(VLOOKUP(A485,'Title II Hold Harmless'!A$1:B$439,2, FALSE),"")</f>
        <v/>
      </c>
      <c r="BE485" s="31">
        <f t="shared" si="1088"/>
        <v>432.79859436545945</v>
      </c>
      <c r="BF485" s="31">
        <f t="shared" si="1089"/>
        <v>433.21735283173456</v>
      </c>
      <c r="BG485" s="31" t="str">
        <f t="shared" si="1090"/>
        <v/>
      </c>
      <c r="BH485" s="31">
        <f t="shared" si="1091"/>
        <v>433.21735283173456</v>
      </c>
    </row>
    <row r="486" spans="1:60" x14ac:dyDescent="0.3">
      <c r="A486" s="1">
        <v>118711000</v>
      </c>
      <c r="B486">
        <f>VLOOKUP(C486,'NCES ID'!$A$2:$B$3136,2,FALSE)</f>
        <v>400855</v>
      </c>
      <c r="C486">
        <f>VLOOKUP(A486,'State ID'!$A$2:$B$713,2,FALSE)</f>
        <v>91133</v>
      </c>
      <c r="D486" s="147" t="s">
        <v>57</v>
      </c>
      <c r="E486" t="s">
        <v>20</v>
      </c>
      <c r="I486" s="47">
        <f>VLOOKUP($C486,'Final SEA Counts'!$A$2:$F$709,5,FALSE)</f>
        <v>1201</v>
      </c>
      <c r="J486" s="47">
        <f>VLOOKUP($C486,'Final SEA Counts'!$A$2:$F$709,6,FALSE)</f>
        <v>115</v>
      </c>
      <c r="K486" s="24">
        <f t="shared" si="1102"/>
        <v>1201</v>
      </c>
      <c r="L486" s="24">
        <f t="shared" si="1092"/>
        <v>61.113131447970133</v>
      </c>
      <c r="M486" s="4">
        <f t="shared" si="1058"/>
        <v>5.0885205202306522E-2</v>
      </c>
      <c r="N486" s="31" t="str">
        <f>IFERROR(VLOOKUP($B486,#REF!,8,FALSE),"")</f>
        <v/>
      </c>
      <c r="O486" s="31" t="str">
        <f>IFERROR(VLOOKUP($B486,#REF!,9,FALSE),"")</f>
        <v/>
      </c>
      <c r="P486" s="31" t="str">
        <f>IFERROR(VLOOKUP($B486,#REF!,10,FALSE),"")</f>
        <v/>
      </c>
      <c r="Q486" s="31" t="str">
        <f>IFERROR(VLOOKUP($B486,#REF!,11,FALSE),"")</f>
        <v/>
      </c>
      <c r="R486" s="31" t="str">
        <f>IFERROR(VLOOKUP($B486,#REF!,12,FALSE),"")</f>
        <v/>
      </c>
      <c r="S486" s="31">
        <f t="shared" si="1093"/>
        <v>31825.069451328709</v>
      </c>
      <c r="T486" s="31">
        <f t="shared" si="1094"/>
        <v>7583.726299215954</v>
      </c>
      <c r="U486" s="31">
        <f t="shared" si="1095"/>
        <v>13529.641599802833</v>
      </c>
      <c r="V486" s="31">
        <f t="shared" si="1096"/>
        <v>11176.637681928136</v>
      </c>
      <c r="W486" s="31">
        <f t="shared" si="1103"/>
        <v>31825.069451328709</v>
      </c>
      <c r="X486" s="31" t="str">
        <f t="shared" si="1104"/>
        <v/>
      </c>
      <c r="Y486" s="31">
        <f t="shared" si="1105"/>
        <v>13529.641599802833</v>
      </c>
      <c r="Z486" s="31">
        <f t="shared" si="1106"/>
        <v>11176.637681928136</v>
      </c>
      <c r="AA486" s="31">
        <f t="shared" si="1067"/>
        <v>31825.069451328709</v>
      </c>
      <c r="AB486" s="31" t="str">
        <f t="shared" si="1068"/>
        <v/>
      </c>
      <c r="AC486" s="31">
        <f t="shared" si="1069"/>
        <v>13529.641599802833</v>
      </c>
      <c r="AD486" s="31">
        <f t="shared" si="1070"/>
        <v>11176.637681928136</v>
      </c>
      <c r="AE486" s="31">
        <f t="shared" si="1071"/>
        <v>56531.348733059676</v>
      </c>
      <c r="AF486" s="31">
        <f>IFERROR(VLOOKUP(A486,'Allocations By Type'!$D$7:$F$491,3,FALSE),"")</f>
        <v>73684.89</v>
      </c>
      <c r="AG486" s="31" t="str">
        <f t="shared" si="1072"/>
        <v/>
      </c>
      <c r="AH486" s="31" t="str">
        <f t="shared" si="1073"/>
        <v/>
      </c>
      <c r="AI486" s="31">
        <f t="shared" si="1074"/>
        <v>56531.348733059676</v>
      </c>
      <c r="AJ486" s="31">
        <f>AI486/$AI$577*'State Admin 1004(b)'!$B$30*0.01</f>
        <v>537.98053994192458</v>
      </c>
      <c r="AK486" s="31">
        <f t="shared" si="1075"/>
        <v>55993.368193117749</v>
      </c>
      <c r="AL486" s="31">
        <f t="shared" si="1076"/>
        <v>559.93368193117749</v>
      </c>
      <c r="AM486" s="31">
        <f t="shared" si="1077"/>
        <v>55433.43451118657</v>
      </c>
      <c r="AP486" s="31"/>
      <c r="AQ486" s="4">
        <f t="shared" si="1101"/>
        <v>0.75230395962030439</v>
      </c>
      <c r="AW486" s="31">
        <f t="shared" si="1083"/>
        <v>54548.115321406294</v>
      </c>
      <c r="AX486" s="4">
        <f t="shared" si="1107"/>
        <v>0.74028902426815446</v>
      </c>
      <c r="AZ486" s="174" t="str">
        <f>IFERROR(IF(VLOOKUP(A486,#REF!,11,FALSE)=0,"",VLOOKUP(A486,#REF!,11,FALSE)),"")</f>
        <v/>
      </c>
      <c r="BA486" s="31" t="str">
        <f t="shared" si="1086"/>
        <v/>
      </c>
      <c r="BB486" s="31">
        <f t="shared" si="1087"/>
        <v>54548.115321406294</v>
      </c>
      <c r="BD486" s="31" t="str">
        <f>IFERROR(VLOOKUP(A486,'Title II Hold Harmless'!A$1:B$439,2, FALSE),"")</f>
        <v/>
      </c>
      <c r="BE486" s="31">
        <f t="shared" si="1088"/>
        <v>1766.5764435115864</v>
      </c>
      <c r="BF486" s="31">
        <f t="shared" si="1089"/>
        <v>1768.2857116369305</v>
      </c>
      <c r="BG486" s="31" t="str">
        <f t="shared" si="1090"/>
        <v/>
      </c>
      <c r="BH486" s="31">
        <f t="shared" si="1091"/>
        <v>1768.2857116369305</v>
      </c>
    </row>
    <row r="487" spans="1:60" x14ac:dyDescent="0.3">
      <c r="A487" s="1">
        <v>118708000</v>
      </c>
      <c r="B487">
        <f>VLOOKUP(C487,'NCES ID'!$A$2:$B$3136,2,FALSE)</f>
        <v>400824</v>
      </c>
      <c r="C487">
        <f>VLOOKUP(A487,'State ID'!$A$2:$B$713,2,FALSE)</f>
        <v>90637</v>
      </c>
      <c r="D487" s="192" t="s">
        <v>250</v>
      </c>
      <c r="E487" t="s">
        <v>20</v>
      </c>
      <c r="I487" s="47">
        <f>VLOOKUP($C487,'AzEDS FY17 12-04-16'!$A$1:$D$712,3,FALSE)</f>
        <v>668</v>
      </c>
      <c r="J487" s="47">
        <f>VLOOKUP($C487,'AzEDS FY17 12-04-16'!$A$1:$D$712,4,FALSE)</f>
        <v>361</v>
      </c>
      <c r="K487" s="24">
        <f t="shared" si="1102"/>
        <v>668</v>
      </c>
      <c r="L487" s="24">
        <f t="shared" si="1092"/>
        <v>191.84209089319319</v>
      </c>
      <c r="M487" s="4">
        <f t="shared" si="1058"/>
        <v>0.28718875882214551</v>
      </c>
      <c r="N487" s="31" t="str">
        <f>IFERROR(VLOOKUP($B487,#REF!,8,FALSE),"")</f>
        <v/>
      </c>
      <c r="O487" s="31" t="str">
        <f>IFERROR(VLOOKUP($B487,#REF!,9,FALSE),"")</f>
        <v/>
      </c>
      <c r="P487" s="31" t="str">
        <f>IFERROR(VLOOKUP($B487,#REF!,10,FALSE),"")</f>
        <v/>
      </c>
      <c r="Q487" s="31" t="str">
        <f>IFERROR(VLOOKUP($B487,#REF!,11,FALSE),"")</f>
        <v/>
      </c>
      <c r="R487" s="31" t="str">
        <f>IFERROR(VLOOKUP($B487,#REF!,12,FALSE),"")</f>
        <v/>
      </c>
      <c r="S487" s="31">
        <f t="shared" si="1093"/>
        <v>99903.044103736203</v>
      </c>
      <c r="T487" s="31">
        <f t="shared" si="1094"/>
        <v>23806.306034930079</v>
      </c>
      <c r="U487" s="31">
        <f t="shared" si="1095"/>
        <v>42471.30971764194</v>
      </c>
      <c r="V487" s="31">
        <f t="shared" si="1096"/>
        <v>35084.923505878753</v>
      </c>
      <c r="W487" s="31">
        <f t="shared" si="1103"/>
        <v>99903.044103736203</v>
      </c>
      <c r="X487" s="31">
        <f t="shared" si="1104"/>
        <v>23806.306034930079</v>
      </c>
      <c r="Y487" s="31">
        <f t="shared" si="1105"/>
        <v>42471.30971764194</v>
      </c>
      <c r="Z487" s="31">
        <f t="shared" si="1106"/>
        <v>35084.923505878753</v>
      </c>
      <c r="AA487" s="31">
        <f t="shared" si="1067"/>
        <v>99903.044103736203</v>
      </c>
      <c r="AB487" s="31">
        <f t="shared" si="1068"/>
        <v>25212.357153138757</v>
      </c>
      <c r="AC487" s="31">
        <f t="shared" si="1069"/>
        <v>42471.30971764194</v>
      </c>
      <c r="AD487" s="31">
        <f t="shared" si="1070"/>
        <v>35084.923505878753</v>
      </c>
      <c r="AE487" s="31">
        <f t="shared" si="1071"/>
        <v>202671.63448039565</v>
      </c>
      <c r="AF487" s="31">
        <f>IFERROR(VLOOKUP(A487,'Allocations By Type'!$D$7:$F$491,3,FALSE),"")</f>
        <v>97525.18</v>
      </c>
      <c r="AG487" s="31">
        <f t="shared" si="1072"/>
        <v>8106.8653792158257</v>
      </c>
      <c r="AH487" s="31">
        <f t="shared" si="1073"/>
        <v>8106.8653792158257</v>
      </c>
      <c r="AI487" s="31">
        <f t="shared" si="1074"/>
        <v>194564.76910117982</v>
      </c>
      <c r="AJ487" s="31">
        <f>AI487/$AI$577*'State Admin 1004(b)'!$B$30*0.01</f>
        <v>1851.5754865320614</v>
      </c>
      <c r="AK487" s="31">
        <f t="shared" si="1075"/>
        <v>192713.19361464775</v>
      </c>
      <c r="AL487" s="31">
        <f t="shared" si="1076"/>
        <v>1927.1319361464775</v>
      </c>
      <c r="AM487" s="31">
        <f t="shared" si="1077"/>
        <v>190786.06167850128</v>
      </c>
      <c r="AP487" s="31"/>
      <c r="AQ487" s="4">
        <f t="shared" si="1101"/>
        <v>1.9562748992465464</v>
      </c>
      <c r="AW487" s="31">
        <f t="shared" si="1083"/>
        <v>187739.04568470616</v>
      </c>
      <c r="AX487" s="4">
        <f t="shared" si="1107"/>
        <v>1.9250315219588026</v>
      </c>
      <c r="AZ487" s="174" t="str">
        <f>IFERROR(IF(VLOOKUP(A487,#REF!,11,FALSE)=0,"",VLOOKUP(A487,#REF!,11,FALSE)),"")</f>
        <v/>
      </c>
      <c r="BA487" s="31" t="str">
        <f t="shared" si="1086"/>
        <v/>
      </c>
      <c r="BB487" s="31">
        <f t="shared" si="1087"/>
        <v>187739.04568470616</v>
      </c>
      <c r="BD487" s="31" t="str">
        <f>IFERROR(VLOOKUP(A487,'Title II Hold Harmless'!A$1:B$439,2, FALSE),"")</f>
        <v/>
      </c>
      <c r="BE487" s="31">
        <f t="shared" si="1088"/>
        <v>3048.9482615539669</v>
      </c>
      <c r="BF487" s="31">
        <f t="shared" si="1089"/>
        <v>3051.8983009357548</v>
      </c>
      <c r="BG487" s="31" t="str">
        <f t="shared" si="1090"/>
        <v/>
      </c>
      <c r="BH487" s="31">
        <f t="shared" si="1091"/>
        <v>3051.8983009357548</v>
      </c>
    </row>
    <row r="488" spans="1:60" x14ac:dyDescent="0.3">
      <c r="A488" s="1">
        <v>78245000</v>
      </c>
      <c r="B488">
        <f>VLOOKUP(C488,'NCES ID'!$A$2:$B$3136,2,FALSE)</f>
        <v>400892</v>
      </c>
      <c r="C488">
        <f>VLOOKUP(A488,'State ID'!$A$2:$B$713,2,FALSE)</f>
        <v>92199</v>
      </c>
      <c r="D488" s="147" t="s">
        <v>253</v>
      </c>
      <c r="E488" t="s">
        <v>20</v>
      </c>
      <c r="I488" s="47">
        <f>VLOOKUP($C488,'Final SEA Counts'!$A$2:$F$709,5,FALSE)</f>
        <v>1087</v>
      </c>
      <c r="J488" s="47">
        <f>VLOOKUP($C488,'Final SEA Counts'!$A$2:$F$709,6,FALSE)</f>
        <v>492</v>
      </c>
      <c r="K488" s="24">
        <f t="shared" si="1102"/>
        <v>1087</v>
      </c>
      <c r="L488" s="24">
        <f t="shared" si="1092"/>
        <v>261.45791889044614</v>
      </c>
      <c r="M488" s="4">
        <f t="shared" si="1058"/>
        <v>0.24053166411264595</v>
      </c>
      <c r="N488" s="31" t="str">
        <f>IFERROR(VLOOKUP($B488,#REF!,8,FALSE),"")</f>
        <v/>
      </c>
      <c r="O488" s="31" t="str">
        <f>IFERROR(VLOOKUP($B488,#REF!,9,FALSE),"")</f>
        <v/>
      </c>
      <c r="P488" s="31" t="str">
        <f>IFERROR(VLOOKUP($B488,#REF!,10,FALSE),"")</f>
        <v/>
      </c>
      <c r="Q488" s="31" t="str">
        <f>IFERROR(VLOOKUP($B488,#REF!,11,FALSE),"")</f>
        <v/>
      </c>
      <c r="R488" s="31" t="str">
        <f>IFERROR(VLOOKUP($B488,#REF!,12,FALSE),"")</f>
        <v/>
      </c>
      <c r="S488" s="31">
        <f t="shared" si="1093"/>
        <v>136155.949304815</v>
      </c>
      <c r="T488" s="31">
        <f t="shared" si="1094"/>
        <v>32445.159471428258</v>
      </c>
      <c r="U488" s="31">
        <f t="shared" si="1095"/>
        <v>57883.336235678209</v>
      </c>
      <c r="V488" s="31">
        <f t="shared" si="1096"/>
        <v>47816.571647901241</v>
      </c>
      <c r="W488" s="31">
        <f t="shared" si="1103"/>
        <v>136155.949304815</v>
      </c>
      <c r="X488" s="31">
        <f t="shared" si="1104"/>
        <v>32445.159471428258</v>
      </c>
      <c r="Y488" s="31">
        <f t="shared" si="1105"/>
        <v>57883.336235678209</v>
      </c>
      <c r="Z488" s="31">
        <f t="shared" si="1106"/>
        <v>47816.571647901241</v>
      </c>
      <c r="AA488" s="31">
        <f t="shared" si="1067"/>
        <v>136155.949304815</v>
      </c>
      <c r="AB488" s="31">
        <f t="shared" si="1068"/>
        <v>33851.210589636932</v>
      </c>
      <c r="AC488" s="31">
        <f t="shared" si="1069"/>
        <v>57883.336235678209</v>
      </c>
      <c r="AD488" s="31">
        <f t="shared" si="1070"/>
        <v>47816.571647901241</v>
      </c>
      <c r="AE488" s="31">
        <f t="shared" si="1071"/>
        <v>275707.0677780314</v>
      </c>
      <c r="AF488" s="31">
        <f>IFERROR(VLOOKUP(A488,'Allocations By Type'!$D$7:$F$491,3,FALSE),"")</f>
        <v>215350.83</v>
      </c>
      <c r="AG488" s="31">
        <f t="shared" si="1072"/>
        <v>11028.282711121255</v>
      </c>
      <c r="AH488" s="31">
        <f t="shared" si="1073"/>
        <v>11028.282711121255</v>
      </c>
      <c r="AI488" s="31">
        <f t="shared" si="1074"/>
        <v>264678.78506691015</v>
      </c>
      <c r="AJ488" s="31">
        <f>AI488/$AI$577*'State Admin 1004(b)'!$B$30*0.01</f>
        <v>2518.8154695166104</v>
      </c>
      <c r="AK488" s="31">
        <f t="shared" si="1075"/>
        <v>262159.96959739353</v>
      </c>
      <c r="AL488" s="31">
        <f t="shared" si="1076"/>
        <v>2621.5996959739355</v>
      </c>
      <c r="AM488" s="31">
        <f t="shared" si="1077"/>
        <v>259538.36990141959</v>
      </c>
      <c r="AP488" s="31"/>
      <c r="AQ488" s="4">
        <f t="shared" si="1101"/>
        <v>1.2051886212902898</v>
      </c>
      <c r="AW488" s="31">
        <f t="shared" si="1083"/>
        <v>255393.32095426027</v>
      </c>
      <c r="AX488" s="4">
        <f t="shared" si="1107"/>
        <v>1.1859407319408068</v>
      </c>
      <c r="AZ488" s="174" t="str">
        <f>IFERROR(IF(VLOOKUP(A488,#REF!,11,FALSE)=0,"",VLOOKUP(A488,#REF!,11,FALSE)),"")</f>
        <v/>
      </c>
      <c r="BA488" s="31" t="str">
        <f t="shared" si="1086"/>
        <v/>
      </c>
      <c r="BB488" s="31">
        <f t="shared" si="1087"/>
        <v>255393.32095426027</v>
      </c>
      <c r="BD488" s="31" t="str">
        <f>IFERROR(VLOOKUP(A488,'Title II Hold Harmless'!A$1:B$439,2, FALSE),"")</f>
        <v/>
      </c>
      <c r="BE488" s="31">
        <f t="shared" si="1088"/>
        <v>4297.4773675604993</v>
      </c>
      <c r="BF488" s="31">
        <f t="shared" si="1089"/>
        <v>4301.6354333553527</v>
      </c>
      <c r="BG488" s="31" t="str">
        <f t="shared" si="1090"/>
        <v/>
      </c>
      <c r="BH488" s="31">
        <f t="shared" si="1091"/>
        <v>4301.6354333553527</v>
      </c>
    </row>
    <row r="489" spans="1:60" x14ac:dyDescent="0.3">
      <c r="A489" s="1">
        <v>78518000</v>
      </c>
      <c r="B489">
        <f>VLOOKUP(C489,'NCES ID'!$A$2:$B$3136,2,FALSE)</f>
        <v>400745</v>
      </c>
      <c r="C489">
        <f>VLOOKUP(A489,'State ID'!$A$2:$B$713,2,FALSE)</f>
        <v>88360</v>
      </c>
      <c r="D489" s="147" t="s">
        <v>255</v>
      </c>
      <c r="E489" t="s">
        <v>20</v>
      </c>
      <c r="I489" s="47">
        <f>VLOOKUP($C489,'Final SEA Counts'!$A$2:$F$709,5,FALSE)</f>
        <v>1194</v>
      </c>
      <c r="J489" s="47">
        <f>VLOOKUP($C489,'Final SEA Counts'!$A$2:$F$709,6,FALSE)</f>
        <v>384</v>
      </c>
      <c r="K489" s="24">
        <f t="shared" si="1102"/>
        <v>1194</v>
      </c>
      <c r="L489" s="24">
        <f t="shared" si="1092"/>
        <v>204.06471718278721</v>
      </c>
      <c r="M489" s="4">
        <f t="shared" si="1058"/>
        <v>0.1709084733524181</v>
      </c>
      <c r="N489" s="31" t="str">
        <f>IFERROR(VLOOKUP($B489,#REF!,8,FALSE),"")</f>
        <v/>
      </c>
      <c r="O489" s="31" t="str">
        <f>IFERROR(VLOOKUP($B489,#REF!,9,FALSE),"")</f>
        <v/>
      </c>
      <c r="P489" s="31" t="str">
        <f>IFERROR(VLOOKUP($B489,#REF!,10,FALSE),"")</f>
        <v/>
      </c>
      <c r="Q489" s="31" t="str">
        <f>IFERROR(VLOOKUP($B489,#REF!,11,FALSE),"")</f>
        <v/>
      </c>
      <c r="R489" s="31" t="str">
        <f>IFERROR(VLOOKUP($B489,#REF!,12,FALSE),"")</f>
        <v/>
      </c>
      <c r="S489" s="31">
        <f t="shared" si="1093"/>
        <v>106268.05799400194</v>
      </c>
      <c r="T489" s="31">
        <f t="shared" si="1094"/>
        <v>25323.051294773271</v>
      </c>
      <c r="U489" s="31">
        <f t="shared" si="1095"/>
        <v>45177.238037602503</v>
      </c>
      <c r="V489" s="31">
        <f t="shared" si="1096"/>
        <v>37320.251042264383</v>
      </c>
      <c r="W489" s="31">
        <f t="shared" si="1103"/>
        <v>106268.05799400194</v>
      </c>
      <c r="X489" s="31">
        <f t="shared" si="1104"/>
        <v>25323.051294773271</v>
      </c>
      <c r="Y489" s="31">
        <f t="shared" si="1105"/>
        <v>45177.238037602503</v>
      </c>
      <c r="Z489" s="31">
        <f t="shared" si="1106"/>
        <v>37320.251042264383</v>
      </c>
      <c r="AA489" s="31">
        <f t="shared" si="1067"/>
        <v>106268.05799400194</v>
      </c>
      <c r="AB489" s="31">
        <f t="shared" si="1068"/>
        <v>26729.102412981949</v>
      </c>
      <c r="AC489" s="31">
        <f t="shared" si="1069"/>
        <v>45177.238037602503</v>
      </c>
      <c r="AD489" s="31">
        <f t="shared" si="1070"/>
        <v>37320.251042264383</v>
      </c>
      <c r="AE489" s="31">
        <f t="shared" si="1071"/>
        <v>215494.64948685077</v>
      </c>
      <c r="AF489" s="31">
        <f>IFERROR(VLOOKUP(A489,'Allocations By Type'!$D$7:$F$491,3,FALSE),"")</f>
        <v>175437.79</v>
      </c>
      <c r="AG489" s="31">
        <f t="shared" si="1072"/>
        <v>8619.7859794740307</v>
      </c>
      <c r="AH489" s="31">
        <f t="shared" si="1073"/>
        <v>8619.7859794740307</v>
      </c>
      <c r="AI489" s="31">
        <f t="shared" si="1074"/>
        <v>206874.86350737675</v>
      </c>
      <c r="AJ489" s="31">
        <f>AI489/$AI$577*'State Admin 1004(b)'!$B$30*0.01</f>
        <v>1968.7244911782038</v>
      </c>
      <c r="AK489" s="31">
        <f t="shared" si="1075"/>
        <v>204906.13901619855</v>
      </c>
      <c r="AL489" s="31">
        <f t="shared" si="1076"/>
        <v>2049.0613901619854</v>
      </c>
      <c r="AM489" s="31">
        <f t="shared" si="1077"/>
        <v>202857.07762603657</v>
      </c>
      <c r="AP489" s="31"/>
      <c r="AQ489" s="4">
        <f t="shared" si="1101"/>
        <v>1.1562906579365628</v>
      </c>
      <c r="AW489" s="31">
        <f t="shared" si="1083"/>
        <v>199617.27722058207</v>
      </c>
      <c r="AX489" s="4">
        <f t="shared" si="1107"/>
        <v>1.1378237107329159</v>
      </c>
      <c r="AZ489" s="174" t="str">
        <f>IFERROR(IF(VLOOKUP(A489,#REF!,11,FALSE)=0,"",VLOOKUP(A489,#REF!,11,FALSE)),"")</f>
        <v/>
      </c>
      <c r="BA489" s="31" t="str">
        <f t="shared" si="1086"/>
        <v/>
      </c>
      <c r="BB489" s="31">
        <f t="shared" si="1087"/>
        <v>199617.27722058207</v>
      </c>
      <c r="BD489" s="31" t="str">
        <f>IFERROR(VLOOKUP(A489,'Title II Hold Harmless'!A$1:B$439,2, FALSE),"")</f>
        <v/>
      </c>
      <c r="BE489" s="31">
        <f t="shared" si="1088"/>
        <v>3632.2753015130265</v>
      </c>
      <c r="BF489" s="31">
        <f t="shared" si="1089"/>
        <v>3635.789744614628</v>
      </c>
      <c r="BG489" s="31" t="str">
        <f t="shared" si="1090"/>
        <v/>
      </c>
      <c r="BH489" s="31">
        <f t="shared" si="1091"/>
        <v>3635.789744614628</v>
      </c>
    </row>
    <row r="490" spans="1:60" x14ac:dyDescent="0.3">
      <c r="A490" s="1">
        <v>118715000</v>
      </c>
      <c r="B490" t="e">
        <f>VLOOKUP(C490,'NCES ID'!$A$2:$B$3136,2,FALSE)</f>
        <v>#N/A</v>
      </c>
      <c r="C490">
        <f>VLOOKUP(A490,'State ID'!$A$2:$B$713,2,FALSE)</f>
        <v>92610</v>
      </c>
      <c r="D490" s="147" t="s">
        <v>257</v>
      </c>
      <c r="E490" t="s">
        <v>20</v>
      </c>
      <c r="I490" s="47">
        <f>VLOOKUP($C490,'Final SEA Counts'!$A$2:$F$709,5,FALSE)</f>
        <v>987</v>
      </c>
      <c r="J490" s="47">
        <f>VLOOKUP($C490,'Final SEA Counts'!$A$2:$F$709,6,FALSE)</f>
        <v>204</v>
      </c>
      <c r="K490" s="24">
        <f t="shared" si="1102"/>
        <v>987</v>
      </c>
      <c r="L490" s="24">
        <f t="shared" si="1092"/>
        <v>108.4093810033557</v>
      </c>
      <c r="M490" s="4">
        <f t="shared" si="1058"/>
        <v>0.1098372654542611</v>
      </c>
      <c r="N490" s="31" t="str">
        <f>IFERROR(VLOOKUP($B490,#REF!,8,FALSE),"")</f>
        <v/>
      </c>
      <c r="O490" s="31" t="str">
        <f>IFERROR(VLOOKUP($B490,#REF!,9,FALSE),"")</f>
        <v/>
      </c>
      <c r="P490" s="31" t="str">
        <f>IFERROR(VLOOKUP($B490,#REF!,10,FALSE),"")</f>
        <v/>
      </c>
      <c r="Q490" s="31" t="str">
        <f>IFERROR(VLOOKUP($B490,#REF!,11,FALSE),"")</f>
        <v/>
      </c>
      <c r="R490" s="31" t="str">
        <f>IFERROR(VLOOKUP($B490,#REF!,12,FALSE),"")</f>
        <v/>
      </c>
      <c r="S490" s="31">
        <f t="shared" si="1093"/>
        <v>56454.905809313532</v>
      </c>
      <c r="T490" s="31">
        <f t="shared" si="1094"/>
        <v>13452.871000348301</v>
      </c>
      <c r="U490" s="31">
        <f t="shared" si="1095"/>
        <v>24000.40770747633</v>
      </c>
      <c r="V490" s="31">
        <f t="shared" si="1096"/>
        <v>19826.383366202954</v>
      </c>
      <c r="W490" s="31">
        <f t="shared" si="1103"/>
        <v>56454.905809313532</v>
      </c>
      <c r="X490" s="31" t="str">
        <f t="shared" si="1104"/>
        <v/>
      </c>
      <c r="Y490" s="31">
        <f t="shared" si="1105"/>
        <v>24000.40770747633</v>
      </c>
      <c r="Z490" s="31">
        <f t="shared" si="1106"/>
        <v>19826.383366202954</v>
      </c>
      <c r="AA490" s="31">
        <f t="shared" si="1067"/>
        <v>56454.905809313532</v>
      </c>
      <c r="AB490" s="31" t="str">
        <f t="shared" si="1068"/>
        <v/>
      </c>
      <c r="AC490" s="31">
        <f t="shared" si="1069"/>
        <v>24000.40770747633</v>
      </c>
      <c r="AD490" s="31">
        <f t="shared" si="1070"/>
        <v>19826.383366202954</v>
      </c>
      <c r="AE490" s="31">
        <f t="shared" si="1071"/>
        <v>100281.69688299281</v>
      </c>
      <c r="AF490" s="31">
        <f>IFERROR(VLOOKUP(A490,'Allocations By Type'!$D$7:$F$491,3,FALSE),"")</f>
        <v>136953.07</v>
      </c>
      <c r="AG490" s="31" t="str">
        <f t="shared" si="1072"/>
        <v/>
      </c>
      <c r="AH490" s="31" t="str">
        <f t="shared" si="1073"/>
        <v/>
      </c>
      <c r="AI490" s="31">
        <f t="shared" si="1074"/>
        <v>100281.69688299281</v>
      </c>
      <c r="AJ490" s="31">
        <f>AI490/$AI$577*'State Admin 1004(b)'!$B$30*0.01</f>
        <v>954.33069694045753</v>
      </c>
      <c r="AK490" s="31">
        <f t="shared" si="1075"/>
        <v>99327.366186052357</v>
      </c>
      <c r="AL490" s="31">
        <f t="shared" si="1076"/>
        <v>993.27366186052359</v>
      </c>
      <c r="AM490" s="31">
        <f t="shared" si="1077"/>
        <v>98334.09252419183</v>
      </c>
      <c r="AP490" s="31"/>
      <c r="AQ490" s="4">
        <f t="shared" si="1101"/>
        <v>0.71801305749620525</v>
      </c>
      <c r="AW490" s="31">
        <f t="shared" si="1083"/>
        <v>96763.613265798995</v>
      </c>
      <c r="AX490" s="4">
        <f t="shared" si="1107"/>
        <v>0.70654577707384725</v>
      </c>
      <c r="AZ490" s="174" t="str">
        <f>IFERROR(IF(VLOOKUP(A490,#REF!,11,FALSE)=0,"",VLOOKUP(A490,#REF!,11,FALSE)),"")</f>
        <v/>
      </c>
      <c r="BA490" s="31" t="str">
        <f t="shared" si="1086"/>
        <v/>
      </c>
      <c r="BB490" s="31">
        <f t="shared" si="1087"/>
        <v>96763.613265798995</v>
      </c>
      <c r="BD490" s="31" t="str">
        <f>IFERROR(VLOOKUP(A490,'Title II Hold Harmless'!A$1:B$439,2, FALSE),"")</f>
        <v/>
      </c>
      <c r="BE490" s="31">
        <f t="shared" si="1088"/>
        <v>2213.4890444164171</v>
      </c>
      <c r="BF490" s="31">
        <f t="shared" si="1089"/>
        <v>2215.630727151583</v>
      </c>
      <c r="BG490" s="31" t="str">
        <f t="shared" si="1090"/>
        <v/>
      </c>
      <c r="BH490" s="31">
        <f t="shared" si="1091"/>
        <v>2215.630727151583</v>
      </c>
    </row>
    <row r="491" spans="1:60" x14ac:dyDescent="0.3">
      <c r="A491" s="1">
        <v>118713000</v>
      </c>
      <c r="B491">
        <f>VLOOKUP(C491,'NCES ID'!$A$2:$B$3136,2,FALSE)</f>
        <v>400842</v>
      </c>
      <c r="C491">
        <f>VLOOKUP(A491,'State ID'!$A$2:$B$713,2,FALSE)</f>
        <v>91137</v>
      </c>
      <c r="D491" s="147" t="s">
        <v>258</v>
      </c>
      <c r="E491" t="s">
        <v>20</v>
      </c>
      <c r="I491" s="47">
        <f>VLOOKUP($C491,'Final SEA Counts'!$A$2:$F$709,5,FALSE)</f>
        <v>1230</v>
      </c>
      <c r="J491" s="47">
        <f>VLOOKUP($C491,'Final SEA Counts'!$A$2:$F$709,6,FALSE)</f>
        <v>278</v>
      </c>
      <c r="K491" s="24">
        <f t="shared" si="1102"/>
        <v>1230</v>
      </c>
      <c r="L491" s="24">
        <f t="shared" si="1092"/>
        <v>147.73435254378867</v>
      </c>
      <c r="M491" s="4">
        <f t="shared" si="1058"/>
        <v>0.12010922971039729</v>
      </c>
      <c r="N491" s="31" t="str">
        <f>IFERROR(VLOOKUP($B491,#REF!,8,FALSE),"")</f>
        <v/>
      </c>
      <c r="O491" s="31" t="str">
        <f>IFERROR(VLOOKUP($B491,#REF!,9,FALSE),"")</f>
        <v/>
      </c>
      <c r="P491" s="31" t="str">
        <f>IFERROR(VLOOKUP($B491,#REF!,10,FALSE),"")</f>
        <v/>
      </c>
      <c r="Q491" s="31" t="str">
        <f>IFERROR(VLOOKUP($B491,#REF!,11,FALSE),"")</f>
        <v/>
      </c>
      <c r="R491" s="31" t="str">
        <f>IFERROR(VLOOKUP($B491,#REF!,12,FALSE),"")</f>
        <v/>
      </c>
      <c r="S491" s="31">
        <f t="shared" si="1093"/>
        <v>76933.646151907669</v>
      </c>
      <c r="T491" s="31">
        <f t="shared" si="1094"/>
        <v>18332.83401027857</v>
      </c>
      <c r="U491" s="31">
        <f t="shared" si="1095"/>
        <v>32706.437954305984</v>
      </c>
      <c r="V491" s="31">
        <f t="shared" si="1096"/>
        <v>27018.306744139321</v>
      </c>
      <c r="W491" s="31">
        <f t="shared" si="1103"/>
        <v>76933.646151907669</v>
      </c>
      <c r="X491" s="31" t="str">
        <f t="shared" si="1104"/>
        <v/>
      </c>
      <c r="Y491" s="31">
        <f t="shared" si="1105"/>
        <v>32706.437954305984</v>
      </c>
      <c r="Z491" s="31">
        <f t="shared" si="1106"/>
        <v>27018.306744139321</v>
      </c>
      <c r="AA491" s="31">
        <f t="shared" si="1067"/>
        <v>76933.646151907669</v>
      </c>
      <c r="AB491" s="31" t="str">
        <f t="shared" si="1068"/>
        <v/>
      </c>
      <c r="AC491" s="31">
        <f t="shared" si="1069"/>
        <v>32706.437954305984</v>
      </c>
      <c r="AD491" s="31">
        <f t="shared" si="1070"/>
        <v>27018.306744139321</v>
      </c>
      <c r="AE491" s="31">
        <f t="shared" si="1071"/>
        <v>136658.39085035297</v>
      </c>
      <c r="AF491" s="31">
        <f>IFERROR(VLOOKUP(A491,'Allocations By Type'!$D$7:$F$491,3,FALSE),"")</f>
        <v>120857.87</v>
      </c>
      <c r="AG491" s="31">
        <f t="shared" si="1072"/>
        <v>5466.335634014119</v>
      </c>
      <c r="AH491" s="31">
        <f t="shared" si="1073"/>
        <v>5466.335634014119</v>
      </c>
      <c r="AI491" s="31">
        <f t="shared" si="1074"/>
        <v>131192.05521633883</v>
      </c>
      <c r="AJ491" s="31">
        <f>AI491/$AI$577*'State Admin 1004(b)'!$B$30*0.01</f>
        <v>1248.4890999973986</v>
      </c>
      <c r="AK491" s="31">
        <f t="shared" si="1075"/>
        <v>129943.56611634143</v>
      </c>
      <c r="AL491" s="31">
        <f t="shared" si="1076"/>
        <v>1299.4356611634144</v>
      </c>
      <c r="AM491" s="31">
        <f t="shared" si="1077"/>
        <v>128644.13045517802</v>
      </c>
      <c r="AP491" s="31"/>
      <c r="AQ491" s="4">
        <f t="shared" si="1101"/>
        <v>1.064424935299439</v>
      </c>
      <c r="AW491" s="31">
        <f t="shared" si="1083"/>
        <v>126589.57406066881</v>
      </c>
      <c r="AX491" s="4">
        <f t="shared" si="1107"/>
        <v>1.047425161974713</v>
      </c>
      <c r="AZ491" s="174" t="str">
        <f>IFERROR(IF(VLOOKUP(A491,#REF!,11,FALSE)=0,"",VLOOKUP(A491,#REF!,11,FALSE)),"")</f>
        <v/>
      </c>
      <c r="BA491" s="31" t="str">
        <f t="shared" si="1086"/>
        <v/>
      </c>
      <c r="BB491" s="31">
        <f t="shared" si="1087"/>
        <v>126589.57406066881</v>
      </c>
      <c r="BD491" s="31" t="str">
        <f>IFERROR(VLOOKUP(A491,'Title II Hold Harmless'!A$1:B$439,2, FALSE),"")</f>
        <v/>
      </c>
      <c r="BE491" s="31">
        <f t="shared" si="1088"/>
        <v>2923.8457099713264</v>
      </c>
      <c r="BF491" s="31">
        <f t="shared" si="1089"/>
        <v>2926.674705169261</v>
      </c>
      <c r="BG491" s="31" t="str">
        <f t="shared" si="1090"/>
        <v/>
      </c>
      <c r="BH491" s="31">
        <f t="shared" si="1091"/>
        <v>2926.674705169261</v>
      </c>
    </row>
    <row r="492" spans="1:60" s="47" customFormat="1" x14ac:dyDescent="0.3">
      <c r="A492" s="1">
        <v>118717000</v>
      </c>
      <c r="B492" s="47" t="e">
        <f>VLOOKUP(C492,'NCES ID'!$A$2:$B$3136,2,FALSE)</f>
        <v>#N/A</v>
      </c>
      <c r="C492" s="47">
        <v>92978</v>
      </c>
      <c r="D492" s="191" t="s">
        <v>1397</v>
      </c>
      <c r="E492" s="47" t="s">
        <v>20</v>
      </c>
      <c r="H492" s="4"/>
      <c r="I492" s="47">
        <f>VLOOKUP($C492,'AzEDS FY17 11-14-2016'!$A$1:$D$706,3,FALSE)</f>
        <v>435</v>
      </c>
      <c r="J492" s="47">
        <f>VLOOKUP($C492,'AzEDS FY17 11-14-2016'!$A$1:$D$706,4,FALSE)</f>
        <v>292</v>
      </c>
      <c r="K492" s="24">
        <f t="shared" ref="K492" si="1108">I492</f>
        <v>435</v>
      </c>
      <c r="L492" s="24">
        <f t="shared" si="1092"/>
        <v>155.1742120244111</v>
      </c>
      <c r="M492" s="4">
        <f t="shared" ref="M492" si="1109">L492/K492</f>
        <v>0.35672232649289909</v>
      </c>
      <c r="N492" s="31"/>
      <c r="O492" s="31"/>
      <c r="P492" s="31"/>
      <c r="Q492" s="31"/>
      <c r="R492" s="31"/>
      <c r="S492" s="31">
        <f t="shared" si="1093"/>
        <v>80808.002432938971</v>
      </c>
      <c r="T492" s="31">
        <f t="shared" si="1094"/>
        <v>19256.070255400507</v>
      </c>
      <c r="U492" s="31">
        <f t="shared" si="1095"/>
        <v>34353.524757760235</v>
      </c>
      <c r="V492" s="31">
        <f t="shared" si="1096"/>
        <v>28378.940896721873</v>
      </c>
      <c r="W492" s="31">
        <f t="shared" ref="W492" si="1110">IF(AND($L492&gt;9,$L492&gt;($K492*0.02)),S492,"")</f>
        <v>80808.002432938971</v>
      </c>
      <c r="X492" s="31">
        <f t="shared" ref="X492" si="1111">IF(W492="","",IF(OR($L492&gt;6500,$L492&gt;($K492*0.15)),T492,""))</f>
        <v>19256.070255400507</v>
      </c>
      <c r="Y492" s="31">
        <f t="shared" ref="Y492" si="1112">IF(AND($L492&gt;9,$L492&gt;($K492*0.05)),U492,"")</f>
        <v>34353.524757760235</v>
      </c>
      <c r="Z492" s="31">
        <f t="shared" ref="Z492" si="1113">IF(AND($L492&gt;9,$L492&gt;($K492*0.05)),V492,"")</f>
        <v>28378.940896721873</v>
      </c>
      <c r="AA492" s="31">
        <f t="shared" si="1067"/>
        <v>80808.002432938971</v>
      </c>
      <c r="AB492" s="31">
        <f t="shared" si="1068"/>
        <v>20662.121373609185</v>
      </c>
      <c r="AC492" s="31">
        <f t="shared" si="1069"/>
        <v>34353.524757760235</v>
      </c>
      <c r="AD492" s="31">
        <f t="shared" si="1070"/>
        <v>28378.940896721873</v>
      </c>
      <c r="AE492" s="31">
        <f t="shared" ref="AE492" si="1114">SUM(AA492:AD492)</f>
        <v>164202.58946103026</v>
      </c>
      <c r="AF492" s="31" t="str">
        <f>IFERROR(VLOOKUP(A492,'Allocations By Type'!$D$7:$F$491,3,FALSE),"")</f>
        <v/>
      </c>
      <c r="AG492" s="31" t="str">
        <f t="shared" ref="AG492" si="1115">IF(AE492&gt;AF492,AE492*0.04,"")</f>
        <v/>
      </c>
      <c r="AH492" s="31" t="str">
        <f t="shared" ref="AH492" si="1116">IF(AG492="","",IF((AE492-AF492)&gt;AG492,AG492,AE492-AF492))</f>
        <v/>
      </c>
      <c r="AI492" s="31">
        <f t="shared" ref="AI492" si="1117">IF(AH492="",AE492,AE492-AH492)</f>
        <v>164202.58946103026</v>
      </c>
      <c r="AJ492" s="31">
        <f>AI492/$AI$577*'State Admin 1004(b)'!$B$30*0.01</f>
        <v>1562.6338256183701</v>
      </c>
      <c r="AK492" s="31">
        <f t="shared" ref="AK492" si="1118">AI492-AJ492</f>
        <v>162639.9556354119</v>
      </c>
      <c r="AL492" s="31">
        <f t="shared" ref="AL492" si="1119">AK492*0.01</f>
        <v>1626.3995563541191</v>
      </c>
      <c r="AM492" s="31">
        <f t="shared" ref="AM492" si="1120">AK492-AL492</f>
        <v>161013.55607905777</v>
      </c>
      <c r="AP492" s="31"/>
      <c r="AQ492" s="4"/>
      <c r="AR492" s="4"/>
      <c r="AS492" s="4"/>
      <c r="AT492" s="4"/>
      <c r="AW492" s="31">
        <f t="shared" si="1083"/>
        <v>158442.03237195668</v>
      </c>
      <c r="AX492" s="4" t="str">
        <f t="shared" ref="AX492" si="1121">IFERROR(AW492/AF492,"")</f>
        <v/>
      </c>
      <c r="AZ492" s="174"/>
      <c r="BA492" s="31"/>
      <c r="BB492" s="31">
        <f t="shared" si="1087"/>
        <v>158442.03237195668</v>
      </c>
      <c r="BD492" s="31" t="str">
        <f>IFERROR(VLOOKUP(A492,'Title II Hold Harmless'!A$1:B$439,2, FALSE),"")</f>
        <v/>
      </c>
      <c r="BE492" s="31">
        <f t="shared" si="1088"/>
        <v>2381.4227240431928</v>
      </c>
      <c r="BF492" s="31">
        <f t="shared" si="1089"/>
        <v>2383.7268926344404</v>
      </c>
      <c r="BG492" s="31" t="str">
        <f t="shared" ref="BG492" si="1122">IF(AZ492&lt;0,BF492*AZ492/100,"")</f>
        <v/>
      </c>
      <c r="BH492" s="31">
        <f t="shared" ref="BH492" si="1123">IF(BG492&lt;0,BF492+BG492,BF492)</f>
        <v>2383.7268926344404</v>
      </c>
    </row>
    <row r="493" spans="1:60" x14ac:dyDescent="0.3">
      <c r="A493" s="1">
        <v>118712000</v>
      </c>
      <c r="B493">
        <f>VLOOKUP(C493,'NCES ID'!$A$2:$B$3136,2,FALSE)</f>
        <v>400847</v>
      </c>
      <c r="C493">
        <f>VLOOKUP(A493,'State ID'!$A$2:$B$713,2,FALSE)</f>
        <v>91135</v>
      </c>
      <c r="D493" s="147" t="s">
        <v>259</v>
      </c>
      <c r="E493" t="s">
        <v>20</v>
      </c>
      <c r="I493" s="47">
        <f>VLOOKUP($C493,'Final SEA Counts'!$A$2:$F$709,5,FALSE)</f>
        <v>1209</v>
      </c>
      <c r="J493" s="47">
        <f>VLOOKUP($C493,'Final SEA Counts'!$A$2:$F$709,6,FALSE)</f>
        <v>477</v>
      </c>
      <c r="K493" s="24">
        <f t="shared" si="1102"/>
        <v>1209</v>
      </c>
      <c r="L493" s="24">
        <f t="shared" si="1092"/>
        <v>253.48664087549349</v>
      </c>
      <c r="M493" s="4">
        <f t="shared" si="1058"/>
        <v>0.2096663696240641</v>
      </c>
      <c r="N493" s="31" t="str">
        <f>IFERROR(VLOOKUP($B493,#REF!,8,FALSE),"")</f>
        <v/>
      </c>
      <c r="O493" s="31" t="str">
        <f>IFERROR(VLOOKUP($B493,#REF!,9,FALSE),"")</f>
        <v/>
      </c>
      <c r="P493" s="31" t="str">
        <f>IFERROR(VLOOKUP($B493,#REF!,10,FALSE),"")</f>
        <v/>
      </c>
      <c r="Q493" s="31" t="str">
        <f>IFERROR(VLOOKUP($B493,#REF!,11,FALSE),"")</f>
        <v/>
      </c>
      <c r="R493" s="31" t="str">
        <f>IFERROR(VLOOKUP($B493,#REF!,12,FALSE),"")</f>
        <v/>
      </c>
      <c r="S493" s="31">
        <f t="shared" si="1093"/>
        <v>132004.8532894243</v>
      </c>
      <c r="T493" s="31">
        <f t="shared" si="1094"/>
        <v>31455.977780226174</v>
      </c>
      <c r="U493" s="31">
        <f t="shared" si="1095"/>
        <v>56118.600374834357</v>
      </c>
      <c r="V493" s="31">
        <f t="shared" si="1096"/>
        <v>46358.749341562791</v>
      </c>
      <c r="W493" s="31">
        <f t="shared" si="1103"/>
        <v>132004.8532894243</v>
      </c>
      <c r="X493" s="31">
        <f t="shared" si="1104"/>
        <v>31455.977780226174</v>
      </c>
      <c r="Y493" s="31">
        <f t="shared" si="1105"/>
        <v>56118.600374834357</v>
      </c>
      <c r="Z493" s="31">
        <f t="shared" si="1106"/>
        <v>46358.749341562791</v>
      </c>
      <c r="AA493" s="31">
        <f t="shared" si="1067"/>
        <v>132004.8532894243</v>
      </c>
      <c r="AB493" s="31">
        <f t="shared" si="1068"/>
        <v>32862.028898434852</v>
      </c>
      <c r="AC493" s="31">
        <f t="shared" si="1069"/>
        <v>56118.600374834357</v>
      </c>
      <c r="AD493" s="31">
        <f t="shared" si="1070"/>
        <v>46358.749341562791</v>
      </c>
      <c r="AE493" s="31">
        <f t="shared" si="1071"/>
        <v>267344.23190425627</v>
      </c>
      <c r="AF493" s="31">
        <f>IFERROR(VLOOKUP(A493,'Allocations By Type'!$D$7:$F$491,3,FALSE),"")</f>
        <v>186393.68</v>
      </c>
      <c r="AG493" s="31">
        <f t="shared" si="1072"/>
        <v>10693.769276170251</v>
      </c>
      <c r="AH493" s="31">
        <f t="shared" si="1073"/>
        <v>10693.769276170251</v>
      </c>
      <c r="AI493" s="31">
        <f t="shared" si="1074"/>
        <v>256650.46262808601</v>
      </c>
      <c r="AJ493" s="31">
        <f>AI493/$AI$577*'State Admin 1004(b)'!$B$30*0.01</f>
        <v>2442.4139447473867</v>
      </c>
      <c r="AK493" s="31">
        <f t="shared" si="1075"/>
        <v>254208.04868333862</v>
      </c>
      <c r="AL493" s="31">
        <f t="shared" si="1076"/>
        <v>2542.0804868333862</v>
      </c>
      <c r="AM493" s="31">
        <f t="shared" si="1077"/>
        <v>251665.96819650524</v>
      </c>
      <c r="AP493" s="31"/>
      <c r="AQ493" s="4">
        <f t="shared" si="1101"/>
        <v>1.3501850931668136</v>
      </c>
      <c r="AW493" s="31">
        <f t="shared" si="1083"/>
        <v>247646.64821347161</v>
      </c>
      <c r="AX493" s="4">
        <f t="shared" si="1107"/>
        <v>1.3286214865947794</v>
      </c>
      <c r="AZ493" s="174" t="str">
        <f>IFERROR(IF(VLOOKUP(A493,#REF!,11,FALSE)=0,"",VLOOKUP(A493,#REF!,11,FALSE)),"")</f>
        <v/>
      </c>
      <c r="BA493" s="31" t="str">
        <f t="shared" si="1086"/>
        <v/>
      </c>
      <c r="BB493" s="31">
        <f t="shared" si="1087"/>
        <v>247646.64821347161</v>
      </c>
      <c r="BD493" s="31" t="str">
        <f>IFERROR(VLOOKUP(A493,'Title II Hold Harmless'!A$1:B$439,2, FALSE),"")</f>
        <v/>
      </c>
      <c r="BE493" s="31">
        <f t="shared" si="1088"/>
        <v>4291.3135362308412</v>
      </c>
      <c r="BF493" s="31">
        <f t="shared" si="1089"/>
        <v>4295.4656381510713</v>
      </c>
      <c r="BG493" s="31" t="str">
        <f t="shared" si="1090"/>
        <v/>
      </c>
      <c r="BH493" s="31">
        <f t="shared" si="1091"/>
        <v>4295.4656381510713</v>
      </c>
    </row>
    <row r="494" spans="1:60" x14ac:dyDescent="0.3">
      <c r="A494" s="1">
        <v>110100000</v>
      </c>
      <c r="B494">
        <f>VLOOKUP(C494,'NCES ID'!$A$2:$B$3136,2,FALSE)</f>
        <v>402740</v>
      </c>
      <c r="C494">
        <f>VLOOKUP(A494,'State ID'!$A$2:$B$713,2,FALSE)</f>
        <v>4435</v>
      </c>
      <c r="D494" s="147" t="s">
        <v>274</v>
      </c>
      <c r="E494" t="s">
        <v>20</v>
      </c>
      <c r="I494" s="47">
        <f>VLOOKUP($C494,'Final SEA Counts'!$A$2:$F$709,5,FALSE)</f>
        <v>157</v>
      </c>
      <c r="J494" s="47">
        <f>VLOOKUP($C494,'Final SEA Counts'!$A$2:$F$709,6,FALSE)</f>
        <v>102</v>
      </c>
      <c r="K494" s="24">
        <f t="shared" si="1102"/>
        <v>157</v>
      </c>
      <c r="L494" s="24">
        <f t="shared" si="1092"/>
        <v>54.204690501677852</v>
      </c>
      <c r="M494" s="4">
        <f t="shared" si="1058"/>
        <v>0.34525280574317102</v>
      </c>
      <c r="N494" s="31" t="str">
        <f>IFERROR(VLOOKUP($B494,#REF!,8,FALSE),"")</f>
        <v/>
      </c>
      <c r="O494" s="31" t="str">
        <f>IFERROR(VLOOKUP($B494,#REF!,9,FALSE),"")</f>
        <v/>
      </c>
      <c r="P494" s="31" t="str">
        <f>IFERROR(VLOOKUP($B494,#REF!,10,FALSE),"")</f>
        <v/>
      </c>
      <c r="Q494" s="31" t="str">
        <f>IFERROR(VLOOKUP($B494,#REF!,11,FALSE),"")</f>
        <v/>
      </c>
      <c r="R494" s="31" t="str">
        <f>IFERROR(VLOOKUP($B494,#REF!,12,FALSE),"")</f>
        <v/>
      </c>
      <c r="S494" s="31">
        <f t="shared" si="1093"/>
        <v>28227.452904656766</v>
      </c>
      <c r="T494" s="31">
        <f t="shared" si="1094"/>
        <v>6726.4355001741505</v>
      </c>
      <c r="U494" s="31">
        <f t="shared" si="1095"/>
        <v>12000.203853738165</v>
      </c>
      <c r="V494" s="31">
        <f t="shared" si="1096"/>
        <v>9913.1916831014769</v>
      </c>
      <c r="W494" s="31">
        <f t="shared" si="1103"/>
        <v>28227.452904656766</v>
      </c>
      <c r="X494" s="31">
        <f t="shared" si="1104"/>
        <v>6726.4355001741505</v>
      </c>
      <c r="Y494" s="31">
        <f t="shared" si="1105"/>
        <v>12000.203853738165</v>
      </c>
      <c r="Z494" s="31">
        <f t="shared" si="1106"/>
        <v>9913.1916831014769</v>
      </c>
      <c r="AA494" s="31">
        <f t="shared" si="1067"/>
        <v>28227.452904656766</v>
      </c>
      <c r="AB494" s="31">
        <f t="shared" si="1068"/>
        <v>8132.4866183828281</v>
      </c>
      <c r="AC494" s="31">
        <f t="shared" si="1069"/>
        <v>12000.203853738165</v>
      </c>
      <c r="AD494" s="31">
        <f t="shared" si="1070"/>
        <v>9913.1916831014769</v>
      </c>
      <c r="AE494" s="31">
        <f t="shared" si="1071"/>
        <v>58273.335059879239</v>
      </c>
      <c r="AF494" s="31">
        <f>IFERROR(VLOOKUP(A494,'Allocations By Type'!$D$7:$F$491,3,FALSE),"")</f>
        <v>60503.69</v>
      </c>
      <c r="AG494" s="31" t="str">
        <f t="shared" si="1072"/>
        <v/>
      </c>
      <c r="AH494" s="31" t="str">
        <f t="shared" si="1073"/>
        <v/>
      </c>
      <c r="AI494" s="31">
        <f t="shared" si="1074"/>
        <v>58273.335059879239</v>
      </c>
      <c r="AJ494" s="31">
        <f>AI494/$AI$577*'State Admin 1004(b)'!$B$30*0.01</f>
        <v>554.55815158001008</v>
      </c>
      <c r="AK494" s="31">
        <f t="shared" si="1075"/>
        <v>57718.776908299231</v>
      </c>
      <c r="AL494" s="31">
        <f t="shared" si="1076"/>
        <v>577.1877690829923</v>
      </c>
      <c r="AM494" s="31">
        <f t="shared" si="1077"/>
        <v>57141.589139216238</v>
      </c>
      <c r="AP494" s="31"/>
      <c r="AQ494" s="4">
        <f t="shared" si="1101"/>
        <v>0.94443147416655471</v>
      </c>
      <c r="AW494" s="31">
        <f t="shared" si="1083"/>
        <v>56228.989264328826</v>
      </c>
      <c r="AX494" s="4">
        <f t="shared" si="1107"/>
        <v>0.92934809867511925</v>
      </c>
      <c r="AZ494" s="174" t="str">
        <f>IFERROR(IF(VLOOKUP(A494,#REF!,11,FALSE)=0,"",VLOOKUP(A494,#REF!,11,FALSE)),"")</f>
        <v/>
      </c>
      <c r="BA494" s="31" t="str">
        <f t="shared" si="1086"/>
        <v/>
      </c>
      <c r="BB494" s="31">
        <f t="shared" si="1087"/>
        <v>56228.989264328826</v>
      </c>
      <c r="BD494" s="31">
        <f>IFERROR(VLOOKUP(A494,'Title II Hold Harmless'!A$1:B$439,2, FALSE),"")</f>
        <v>9476</v>
      </c>
      <c r="BE494" s="31">
        <f t="shared" si="1088"/>
        <v>10311.929426694234</v>
      </c>
      <c r="BF494" s="31">
        <f t="shared" si="1089"/>
        <v>10321.906833754418</v>
      </c>
      <c r="BG494" s="31" t="str">
        <f t="shared" si="1090"/>
        <v/>
      </c>
      <c r="BH494" s="31">
        <f t="shared" si="1091"/>
        <v>10321.906833754418</v>
      </c>
    </row>
    <row r="495" spans="1:60" s="47" customFormat="1" x14ac:dyDescent="0.3">
      <c r="A495" s="1"/>
      <c r="D495" s="191" t="s">
        <v>1411</v>
      </c>
      <c r="E495" s="47" t="s">
        <v>20</v>
      </c>
      <c r="H495" s="4"/>
      <c r="I495" s="24">
        <f>'AVA Metrics'!C13</f>
        <v>288.4485530546624</v>
      </c>
      <c r="J495" s="24">
        <f>'AVA Metrics'!D13</f>
        <v>150.91639871382637</v>
      </c>
      <c r="K495" s="24">
        <f t="shared" si="1102"/>
        <v>288.4485530546624</v>
      </c>
      <c r="L495" s="24">
        <f t="shared" si="1092"/>
        <v>80.199771410889923</v>
      </c>
      <c r="M495" s="4">
        <f t="shared" si="1058"/>
        <v>0.27803839042205797</v>
      </c>
      <c r="N495" s="31"/>
      <c r="O495" s="31"/>
      <c r="P495" s="31"/>
      <c r="Q495" s="31"/>
      <c r="R495" s="31"/>
      <c r="S495" s="31">
        <f t="shared" si="1093"/>
        <v>41764.564090538595</v>
      </c>
      <c r="T495" s="31">
        <f t="shared" si="1094"/>
        <v>9952.2492339913551</v>
      </c>
      <c r="U495" s="31">
        <f t="shared" si="1095"/>
        <v>17755.172053313185</v>
      </c>
      <c r="V495" s="31">
        <f t="shared" si="1096"/>
        <v>14667.286162485589</v>
      </c>
      <c r="W495" s="31">
        <f>S495</f>
        <v>41764.564090538595</v>
      </c>
      <c r="X495" s="31">
        <f>T495</f>
        <v>9952.2492339913551</v>
      </c>
      <c r="Y495" s="31">
        <f>U495</f>
        <v>17755.172053313185</v>
      </c>
      <c r="Z495" s="31">
        <f>V495</f>
        <v>14667.286162485589</v>
      </c>
      <c r="AA495" s="31">
        <f t="shared" si="1067"/>
        <v>41764.564090538595</v>
      </c>
      <c r="AB495" s="31">
        <f t="shared" si="1068"/>
        <v>11358.300352200033</v>
      </c>
      <c r="AC495" s="31">
        <f t="shared" si="1069"/>
        <v>17755.172053313185</v>
      </c>
      <c r="AD495" s="31">
        <f t="shared" si="1070"/>
        <v>14667.286162485589</v>
      </c>
      <c r="AE495" s="31">
        <f t="shared" ref="AE495" si="1124">SUM(AA495:AD495)</f>
        <v>85545.322658537407</v>
      </c>
      <c r="AF495" s="31"/>
      <c r="AG495" s="31"/>
      <c r="AH495" s="31"/>
      <c r="AI495" s="31"/>
      <c r="AJ495" s="31"/>
      <c r="AK495" s="31"/>
      <c r="AL495" s="31"/>
      <c r="AM495" s="31"/>
      <c r="AP495" s="31"/>
      <c r="AQ495" s="4"/>
      <c r="AR495" s="4"/>
      <c r="AS495" s="4"/>
      <c r="AT495" s="4"/>
      <c r="AW495" s="31"/>
      <c r="AX495" s="4"/>
      <c r="AZ495" s="174"/>
      <c r="BA495" s="31"/>
      <c r="BB495" s="31"/>
      <c r="BD495" s="31"/>
      <c r="BE495" s="31"/>
      <c r="BF495" s="31"/>
      <c r="BG495" s="31"/>
      <c r="BH495" s="31"/>
    </row>
    <row r="496" spans="1:60" x14ac:dyDescent="0.3">
      <c r="A496" s="1"/>
      <c r="D496" s="147" t="s">
        <v>878</v>
      </c>
      <c r="K496" s="24">
        <f>SUM(K483:K495)</f>
        <v>8688.4485530546626</v>
      </c>
      <c r="L496" s="24">
        <f>SUM(L483:L495)</f>
        <v>1621.3135209683976</v>
      </c>
      <c r="S496" s="31">
        <f>SUM(S483:S495)</f>
        <v>844309.79373274092</v>
      </c>
      <c r="T496" s="31">
        <f>SUM(T483:T495)</f>
        <v>201194.04286639366</v>
      </c>
      <c r="U496" s="31">
        <f>SUM(U483:U495)</f>
        <v>358937.43848312378</v>
      </c>
      <c r="V496" s="31">
        <f>SUM(V483:V495)</f>
        <v>296512.93205458642</v>
      </c>
      <c r="AQ496" s="4" t="str">
        <f t="shared" si="1101"/>
        <v/>
      </c>
    </row>
    <row r="497" spans="1:60" x14ac:dyDescent="0.3">
      <c r="A497" s="1" t="s">
        <v>880</v>
      </c>
      <c r="B497">
        <f>G497/J497</f>
        <v>0.53141853433017505</v>
      </c>
      <c r="D497" s="147" t="s">
        <v>879</v>
      </c>
      <c r="F497">
        <f>SUM(F465:F495)</f>
        <v>73667</v>
      </c>
      <c r="G497" s="47">
        <f>SUM(G465:G495)</f>
        <v>16103</v>
      </c>
      <c r="I497" s="24">
        <f>SUM(I465:I495)</f>
        <v>48930.448553054659</v>
      </c>
      <c r="J497" s="24">
        <f t="shared" ref="J497:L497" si="1125">SUM(J465:J495)</f>
        <v>30301.916398713827</v>
      </c>
      <c r="K497" s="24">
        <f t="shared" si="1125"/>
        <v>73667</v>
      </c>
      <c r="L497" s="24">
        <f t="shared" si="1125"/>
        <v>16102.999999999996</v>
      </c>
      <c r="N497" s="31">
        <f>SUM(N465:N495)</f>
        <v>8385744.2947602058</v>
      </c>
      <c r="O497" s="31">
        <f t="shared" ref="O497:AE497" si="1126">SUM(O465:O495)</f>
        <v>1998273.3939962541</v>
      </c>
      <c r="P497" s="31">
        <f t="shared" si="1126"/>
        <v>3564991.9014068367</v>
      </c>
      <c r="Q497" s="31">
        <f t="shared" si="1126"/>
        <v>2944987.3100565309</v>
      </c>
      <c r="R497" s="31">
        <f t="shared" si="1126"/>
        <v>16893996.900219824</v>
      </c>
      <c r="S497" s="31">
        <f t="shared" si="1126"/>
        <v>8385744.2947602058</v>
      </c>
      <c r="T497" s="31">
        <f t="shared" si="1126"/>
        <v>1998273.3939962543</v>
      </c>
      <c r="U497" s="31">
        <f t="shared" si="1126"/>
        <v>3564991.9014068362</v>
      </c>
      <c r="V497" s="31">
        <f t="shared" si="1126"/>
        <v>2944987.3100565309</v>
      </c>
      <c r="W497" s="31">
        <f t="shared" si="1126"/>
        <v>8385744.2947602058</v>
      </c>
      <c r="X497" s="31">
        <f t="shared" si="1126"/>
        <v>1958903.9626864113</v>
      </c>
      <c r="Y497" s="31">
        <f t="shared" si="1126"/>
        <v>3564991.9014068362</v>
      </c>
      <c r="Z497" s="31">
        <f t="shared" si="1126"/>
        <v>2944987.3100565309</v>
      </c>
      <c r="AA497" s="31">
        <f t="shared" si="1126"/>
        <v>8385744.2947602058</v>
      </c>
      <c r="AB497" s="31">
        <f t="shared" si="1126"/>
        <v>1998273.3939962538</v>
      </c>
      <c r="AC497" s="31">
        <f t="shared" si="1126"/>
        <v>3564991.9014068362</v>
      </c>
      <c r="AD497" s="31">
        <f t="shared" si="1126"/>
        <v>2944987.3100565309</v>
      </c>
      <c r="AE497" s="31">
        <f t="shared" si="1126"/>
        <v>16893996.900219832</v>
      </c>
      <c r="AF497" s="31"/>
      <c r="AK497" s="31">
        <f>SUM(AK465:AK494)</f>
        <v>16281259.366201684</v>
      </c>
      <c r="AL497" s="31"/>
      <c r="AM497" s="31">
        <f>SUM(AM465:AM494)</f>
        <v>16118446.772539668</v>
      </c>
      <c r="AQ497" s="4" t="str">
        <f t="shared" si="1101"/>
        <v/>
      </c>
      <c r="AU497" s="31">
        <f>SUM(AU465:AU494)</f>
        <v>204576.94277152276</v>
      </c>
      <c r="AV497" s="31">
        <f>SUM(AV465:AV494)</f>
        <v>3513629.4419999998</v>
      </c>
      <c r="AW497" s="31">
        <f>SUM(AW465:AW494)</f>
        <v>16118446.77253967</v>
      </c>
    </row>
    <row r="498" spans="1:60" x14ac:dyDescent="0.3">
      <c r="A498" s="1"/>
      <c r="N498" s="31">
        <f>N497/$L497</f>
        <v>520.75664750420469</v>
      </c>
      <c r="O498" s="31">
        <f>O497/$L497</f>
        <v>124.09323691214398</v>
      </c>
      <c r="P498" s="31">
        <f>P497/$L497</f>
        <v>221.38681620858458</v>
      </c>
      <c r="Q498" s="31">
        <f>Q497/$L497</f>
        <v>182.88438862674852</v>
      </c>
      <c r="R498" s="31" t="str">
        <f>IFERROR(VLOOKUP($B498,#REF!,12,FALSE),"")</f>
        <v/>
      </c>
      <c r="W498" s="31">
        <f>(S497-W497)/COUNT(W465:W495)</f>
        <v>0</v>
      </c>
      <c r="X498" s="31">
        <f>(T497-X497)/COUNT(X465:X495)</f>
        <v>1406.0511182086775</v>
      </c>
      <c r="Y498" s="31">
        <f>(U497-Y497)/COUNT(Y465:Y495)</f>
        <v>0</v>
      </c>
      <c r="Z498" s="31">
        <f>(V497-Z497)/COUNT(Z465:Z495)</f>
        <v>0</v>
      </c>
      <c r="AQ498" s="4" t="str">
        <f t="shared" si="1101"/>
        <v/>
      </c>
    </row>
    <row r="499" spans="1:60" x14ac:dyDescent="0.3">
      <c r="A499" s="1"/>
      <c r="N499" s="31" t="str">
        <f>IFERROR(VLOOKUP($B499,#REF!,8,FALSE),"")</f>
        <v/>
      </c>
      <c r="O499" s="31" t="str">
        <f>IFERROR(VLOOKUP($B499,#REF!,9,FALSE),"")</f>
        <v/>
      </c>
      <c r="P499" s="31" t="str">
        <f>IFERROR(VLOOKUP($B499,#REF!,10,FALSE),"")</f>
        <v/>
      </c>
      <c r="Q499" s="31" t="str">
        <f>IFERROR(VLOOKUP($B499,#REF!,11,FALSE),"")</f>
        <v/>
      </c>
      <c r="R499" s="31" t="str">
        <f>IFERROR(VLOOKUP($B499,#REF!,12,FALSE),"")</f>
        <v/>
      </c>
      <c r="AQ499" s="4" t="str">
        <f t="shared" si="1101"/>
        <v/>
      </c>
    </row>
    <row r="500" spans="1:60" x14ac:dyDescent="0.3">
      <c r="A500" s="1">
        <v>120425000</v>
      </c>
      <c r="B500">
        <f>VLOOKUP(C500,'NCES ID'!$A$2:$B$3136,2,FALSE)</f>
        <v>407920</v>
      </c>
      <c r="C500">
        <f>VLOOKUP(A500,'State ID'!$A$2:$B$713,2,FALSE)</f>
        <v>4461</v>
      </c>
      <c r="D500" s="147" t="s">
        <v>391</v>
      </c>
      <c r="E500" t="s">
        <v>284</v>
      </c>
      <c r="F500" s="47">
        <f>VLOOKUP(B500,'Formula counts'!$D$9:$L$234,9,FALSE)</f>
        <v>120</v>
      </c>
      <c r="G500" s="47">
        <f>VLOOKUP(B500,'Formula counts'!$D$9:$K$234,8,FALSE)</f>
        <v>24</v>
      </c>
      <c r="H500" s="4">
        <f>VLOOKUP(B500,'Formula counts'!$D$9:$M$234,10,FALSE)</f>
        <v>0.2</v>
      </c>
      <c r="I500" s="47">
        <f>VLOOKUP($C500,'Final SEA Counts'!$A$2:$F$709,5,FALSE)</f>
        <v>120</v>
      </c>
      <c r="J500" s="47">
        <f>VLOOKUP($C500,'Final SEA Counts'!$A$2:$F$709,6,FALSE)</f>
        <v>46</v>
      </c>
      <c r="K500" s="24">
        <f t="shared" ref="K500:L505" si="1127">F500-(F500/(F$510-F$506))*K$507+(F500/(F$510-F$506))*F$506</f>
        <v>116.87423687423687</v>
      </c>
      <c r="L500" s="24">
        <f t="shared" si="1127"/>
        <v>23.24957760011355</v>
      </c>
      <c r="M500" s="4">
        <f t="shared" ref="M500:M505" si="1128">L500/K500</f>
        <v>0.1989281660519536</v>
      </c>
      <c r="N500" s="31">
        <f>IFERROR(VLOOKUP($B500,Allocation!$D$10:$O$235,8,FALSE),"")</f>
        <v>11321.711882117153</v>
      </c>
      <c r="O500" s="31">
        <f>IFERROR(VLOOKUP($B500,Allocation!$D$10:$O$235,9,FALSE),"")</f>
        <v>2684.9540546958642</v>
      </c>
      <c r="P500" s="31">
        <f>IFERROR(VLOOKUP($B500,Allocation!$D$10:$O$235,10,FALSE),"")</f>
        <v>4042.3486002854784</v>
      </c>
      <c r="Q500" s="31">
        <f>IFERROR(VLOOKUP($B500,Allocation!$D$10:$O$235,11,FALSE),"")</f>
        <v>3375.2839106564984</v>
      </c>
      <c r="R500" s="31">
        <f>IFERROR(VLOOKUP($B500,Allocation!$D$10:$O$235,12,FALSE),"")</f>
        <v>21424.298447754991</v>
      </c>
      <c r="S500" s="31">
        <f t="shared" ref="S500:V505" si="1129">IF(N500=0,"",N500-(N500/(N$510-N$506)*S$509-N500/(N$510-N$506)*N$506))</f>
        <v>10950.63669297362</v>
      </c>
      <c r="T500" s="31">
        <f t="shared" si="1129"/>
        <v>2596.9532431523671</v>
      </c>
      <c r="U500" s="31">
        <f t="shared" si="1129"/>
        <v>3909.8584532959289</v>
      </c>
      <c r="V500" s="31">
        <f t="shared" si="1129"/>
        <v>3264.6571672275027</v>
      </c>
      <c r="W500" s="31">
        <f t="shared" ref="W500:W505" si="1130">IF(S500="0","",S500)</f>
        <v>10950.63669297362</v>
      </c>
      <c r="X500" s="31">
        <f t="shared" ref="X500:X505" si="1131">IF(T500="0","",T500)</f>
        <v>2596.9532431523671</v>
      </c>
      <c r="Y500" s="31">
        <f t="shared" ref="Y500:Y505" si="1132">IF(U500="0","",U500)</f>
        <v>3909.8584532959289</v>
      </c>
      <c r="Z500" s="31">
        <f t="shared" ref="Z500:Z505" si="1133">IF(V500="0","",V500)</f>
        <v>3264.6571672275027</v>
      </c>
      <c r="AA500" s="31">
        <f t="shared" ref="AA500:AD505" si="1134">IF(W500="","",W500+W$511)</f>
        <v>10950.63669297362</v>
      </c>
      <c r="AB500" s="31">
        <f t="shared" si="1134"/>
        <v>2596.9532431523671</v>
      </c>
      <c r="AC500" s="31">
        <f t="shared" si="1134"/>
        <v>3909.8584532959289</v>
      </c>
      <c r="AD500" s="31">
        <f t="shared" si="1134"/>
        <v>3264.6571672275027</v>
      </c>
      <c r="AE500" s="31">
        <f t="shared" ref="AE500:AE505" si="1135">SUM(AA500:AD500)</f>
        <v>20722.105556649418</v>
      </c>
      <c r="AF500" s="31">
        <f>IFERROR(VLOOKUP(A500,'Allocations By Type'!$D$7:$F$491,3,FALSE),"")</f>
        <v>22269.3</v>
      </c>
      <c r="AG500" s="31" t="str">
        <f t="shared" ref="AG500:AG505" si="1136">IF(AE500&gt;AF500,AE500*0.04,"")</f>
        <v/>
      </c>
      <c r="AH500" s="31" t="str">
        <f t="shared" ref="AH500:AH505" si="1137">IF(AG500="","",IF((AE500-AF500)&gt;AG500,AG500,AE500-AF500))</f>
        <v/>
      </c>
      <c r="AI500" s="31">
        <f t="shared" ref="AI500:AI505" si="1138">IF(AH500="",AE500,AE500-AH500)</f>
        <v>20722.105556649418</v>
      </c>
      <c r="AJ500" s="31">
        <f>AI500/$AI$577*'State Admin 1004(b)'!$B$30*0.01</f>
        <v>197.20190276621472</v>
      </c>
      <c r="AK500" s="31">
        <f t="shared" ref="AK500:AK505" si="1139">AI500-AJ500</f>
        <v>20524.903653883204</v>
      </c>
      <c r="AL500" s="31">
        <f t="shared" ref="AL500:AL505" si="1140">AK500*0.01</f>
        <v>205.24903653883206</v>
      </c>
      <c r="AM500" s="31">
        <f t="shared" ref="AM500:AM505" si="1141">AK500-AL500</f>
        <v>20319.654617344371</v>
      </c>
      <c r="AP500" s="31"/>
      <c r="AQ500" s="4">
        <f t="shared" si="1101"/>
        <v>0.9124514294272551</v>
      </c>
      <c r="AR500" s="4">
        <f>VLOOKUP(B500,Allocation!$D$10:$P$235,13,FALSE)</f>
        <v>0.91586611796296014</v>
      </c>
      <c r="AS500" s="4">
        <f t="shared" ref="AS500:AS505" si="1142">IF(M500&gt;0.3,0.95,IF(M500&gt;0.15,0.9,0.85))</f>
        <v>0.9</v>
      </c>
      <c r="AT500" s="4" t="str">
        <f t="shared" ref="AT500:AT507" si="1143">IF(AQ500&lt;AS500,"Review","")</f>
        <v/>
      </c>
      <c r="AU500" s="31" t="str">
        <f t="shared" ref="AU500:AU505" si="1144">IF(AT500="Review",AM500*AS500/AQ500-AM500,"")</f>
        <v/>
      </c>
      <c r="AV500" s="31" t="str">
        <f t="shared" ref="AV500:AV505" si="1145">IF(AU500="","",AU500+AM500)</f>
        <v/>
      </c>
      <c r="AW500" s="31">
        <f t="shared" ref="AW500:AW505" si="1146">IF(AV500="",AM500-AM500/($AM$510-$AV$510+$AU$510)*$AU$510,AV500)</f>
        <v>20282.274028686752</v>
      </c>
      <c r="AX500" s="4">
        <f t="shared" ref="AX500:AX505" si="1147">IFERROR(AW500/AF500,"")</f>
        <v>0.9107728589891354</v>
      </c>
      <c r="AY500" s="4" t="str">
        <f t="shared" ref="AY500:AY505" si="1148">IF(AX500&lt;AS500,"Manual Adjustment","")</f>
        <v/>
      </c>
      <c r="AZ500" s="174" t="str">
        <f>IFERROR(IF(VLOOKUP(A500,#REF!,11,FALSE)=0,"",VLOOKUP(A500,#REF!,11,FALSE)),"")</f>
        <v/>
      </c>
      <c r="BA500" s="31" t="str">
        <f t="shared" ref="BA500:BA507" si="1149">IF(AZ500&lt;0,AW500*AZ500/100,"")</f>
        <v/>
      </c>
      <c r="BB500" s="31">
        <f t="shared" ref="BB500:BB507" si="1150">IF(BA500&lt;0,AW500+BA500,AW500)</f>
        <v>20282.274028686752</v>
      </c>
      <c r="BD500" s="31">
        <f>IFERROR(VLOOKUP(A500,'Title II Hold Harmless'!A$1:B$439,2, FALSE),"")</f>
        <v>3926</v>
      </c>
      <c r="BE500" s="31">
        <f t="shared" ref="BE500:BE507" si="1151">IFERROR($BD$582*(0.8*($L500/$L$579)+0.2*($K500/$K$579))+$BD500,$BD$582*(0.8*($L500/$L$579)+0.2*($K500/$K$579)))</f>
        <v>4324.4129660191493</v>
      </c>
      <c r="BF500" s="31">
        <f t="shared" ref="BF500:BF507" si="1152">$BD$583*BE500</f>
        <v>4328.5970936128288</v>
      </c>
      <c r="BG500" s="31" t="str">
        <f t="shared" ref="BG500:BG507" si="1153">IF(AZ500&lt;0,BF500*AZ500/100,"")</f>
        <v/>
      </c>
      <c r="BH500" s="31">
        <f t="shared" ref="BH500:BH507" si="1154">IF(BG500&lt;0,BF500+BG500,BF500)</f>
        <v>4328.5970936128288</v>
      </c>
    </row>
    <row r="501" spans="1:60" x14ac:dyDescent="0.3">
      <c r="A501" s="1">
        <v>120406000</v>
      </c>
      <c r="B501">
        <f>VLOOKUP(C501,'NCES ID'!$A$2:$B$3136,2,FALSE)</f>
        <v>406000</v>
      </c>
      <c r="C501">
        <f>VLOOKUP(A501,'State ID'!$A$2:$B$713,2,FALSE)</f>
        <v>4460</v>
      </c>
      <c r="D501" s="147" t="s">
        <v>327</v>
      </c>
      <c r="E501" t="s">
        <v>284</v>
      </c>
      <c r="F501" s="47">
        <f>VLOOKUP(B501,'Formula counts'!$D$9:$L$234,9,FALSE)</f>
        <v>126</v>
      </c>
      <c r="G501" s="47">
        <f>VLOOKUP(B501,'Formula counts'!$D$9:$K$234,8,FALSE)</f>
        <v>40</v>
      </c>
      <c r="H501" s="4">
        <f>VLOOKUP(B501,'Formula counts'!$D$9:$M$234,10,FALSE)</f>
        <v>0.31746031746031744</v>
      </c>
      <c r="I501" s="47">
        <f>VLOOKUP($C501,'Final SEA Counts'!$A$2:$F$709,5,FALSE)</f>
        <v>84</v>
      </c>
      <c r="J501" s="47">
        <f>VLOOKUP($C501,'Final SEA Counts'!$A$2:$F$709,6,FALSE)</f>
        <v>76</v>
      </c>
      <c r="K501" s="24">
        <f t="shared" si="1127"/>
        <v>122.71794871794872</v>
      </c>
      <c r="L501" s="24">
        <f t="shared" si="1127"/>
        <v>38.749296000189247</v>
      </c>
      <c r="M501" s="4">
        <f t="shared" si="1128"/>
        <v>0.31575899373325966</v>
      </c>
      <c r="N501" s="31">
        <f>IFERROR(VLOOKUP($B501,Allocation!$D$10:$O$235,8,FALSE),"")</f>
        <v>27532.306307151204</v>
      </c>
      <c r="O501" s="31">
        <f>IFERROR(VLOOKUP($B501,Allocation!$D$10:$O$235,9,FALSE),"")</f>
        <v>6302.1721351086398</v>
      </c>
      <c r="P501" s="31">
        <f>IFERROR(VLOOKUP($B501,Allocation!$D$10:$O$235,10,FALSE),"")</f>
        <v>18715.075528613583</v>
      </c>
      <c r="Q501" s="31">
        <f>IFERROR(VLOOKUP($B501,Allocation!$D$10:$O$235,11,FALSE),"")</f>
        <v>20459.786125287515</v>
      </c>
      <c r="R501" s="31">
        <f>IFERROR(VLOOKUP($B501,Allocation!$D$10:$O$235,12,FALSE),"")</f>
        <v>73009.340096160944</v>
      </c>
      <c r="S501" s="31">
        <f t="shared" si="1129"/>
        <v>26629.920177133088</v>
      </c>
      <c r="T501" s="31">
        <f t="shared" si="1129"/>
        <v>6095.6150577514272</v>
      </c>
      <c r="U501" s="31">
        <f t="shared" si="1129"/>
        <v>18101.678874121335</v>
      </c>
      <c r="V501" s="31">
        <f t="shared" si="1129"/>
        <v>19789.205643702466</v>
      </c>
      <c r="W501" s="31">
        <f t="shared" si="1130"/>
        <v>26629.920177133088</v>
      </c>
      <c r="X501" s="31">
        <f t="shared" si="1131"/>
        <v>6095.6150577514272</v>
      </c>
      <c r="Y501" s="31">
        <f t="shared" si="1132"/>
        <v>18101.678874121335</v>
      </c>
      <c r="Z501" s="31">
        <f t="shared" si="1133"/>
        <v>19789.205643702466</v>
      </c>
      <c r="AA501" s="31">
        <f t="shared" si="1134"/>
        <v>26629.920177133088</v>
      </c>
      <c r="AB501" s="31">
        <f t="shared" si="1134"/>
        <v>6095.6150577514272</v>
      </c>
      <c r="AC501" s="31">
        <f t="shared" si="1134"/>
        <v>18101.678874121335</v>
      </c>
      <c r="AD501" s="31">
        <f t="shared" si="1134"/>
        <v>19789.205643702466</v>
      </c>
      <c r="AE501" s="31">
        <f t="shared" si="1135"/>
        <v>70616.419752708316</v>
      </c>
      <c r="AF501" s="31">
        <f>IFERROR(VLOOKUP(A501,'Allocations By Type'!$D$7:$F$491,3,FALSE),"")</f>
        <v>73157.61</v>
      </c>
      <c r="AG501" s="31" t="str">
        <f t="shared" si="1136"/>
        <v/>
      </c>
      <c r="AH501" s="31" t="str">
        <f t="shared" si="1137"/>
        <v/>
      </c>
      <c r="AI501" s="31">
        <f t="shared" si="1138"/>
        <v>70616.419752708316</v>
      </c>
      <c r="AJ501" s="31">
        <f>AI501/$AI$577*'State Admin 1004(b)'!$B$30*0.01</f>
        <v>672.02110826538285</v>
      </c>
      <c r="AK501" s="31">
        <f t="shared" si="1139"/>
        <v>69944.398644442932</v>
      </c>
      <c r="AL501" s="31">
        <f t="shared" si="1140"/>
        <v>699.44398644442936</v>
      </c>
      <c r="AM501" s="31">
        <f t="shared" si="1141"/>
        <v>69244.954657998504</v>
      </c>
      <c r="AP501" s="31"/>
      <c r="AQ501" s="4">
        <f t="shared" si="1101"/>
        <v>0.9465174526340937</v>
      </c>
      <c r="AR501" s="4">
        <f>VLOOKUP(B501,Allocation!$D$10:$P$235,13,FALSE)</f>
        <v>0.95</v>
      </c>
      <c r="AS501" s="4">
        <f t="shared" si="1142"/>
        <v>0.95</v>
      </c>
      <c r="AT501" s="4" t="str">
        <f t="shared" si="1143"/>
        <v>Review</v>
      </c>
      <c r="AU501" s="31">
        <f t="shared" si="1144"/>
        <v>254.77484200149775</v>
      </c>
      <c r="AV501" s="31">
        <f t="shared" si="1145"/>
        <v>69499.729500000001</v>
      </c>
      <c r="AW501" s="31">
        <f t="shared" si="1146"/>
        <v>69499.729500000001</v>
      </c>
      <c r="AX501" s="4">
        <f t="shared" si="1147"/>
        <v>0.95</v>
      </c>
      <c r="AY501" s="4" t="str">
        <f t="shared" si="1148"/>
        <v/>
      </c>
      <c r="AZ501" s="174" t="str">
        <f>IFERROR(IF(VLOOKUP(A501,#REF!,11,FALSE)=0,"",VLOOKUP(A501,#REF!,11,FALSE)),"")</f>
        <v/>
      </c>
      <c r="BA501" s="31" t="str">
        <f t="shared" si="1149"/>
        <v/>
      </c>
      <c r="BB501" s="31">
        <f t="shared" si="1150"/>
        <v>69499.729500000001</v>
      </c>
      <c r="BD501" s="31">
        <f>IFERROR(VLOOKUP(A501,'Title II Hold Harmless'!A$1:B$439,2, FALSE),"")</f>
        <v>5745</v>
      </c>
      <c r="BE501" s="31">
        <f t="shared" si="1151"/>
        <v>6351.0177278118999</v>
      </c>
      <c r="BF501" s="31">
        <f t="shared" si="1152"/>
        <v>6357.1627164454321</v>
      </c>
      <c r="BG501" s="31" t="str">
        <f t="shared" si="1153"/>
        <v/>
      </c>
      <c r="BH501" s="31">
        <f t="shared" si="1154"/>
        <v>6357.1627164454321</v>
      </c>
    </row>
    <row r="502" spans="1:60" x14ac:dyDescent="0.3">
      <c r="A502" s="1">
        <v>120520000</v>
      </c>
      <c r="B502">
        <f>VLOOKUP(C502,'NCES ID'!$A$2:$B$3136,2,FALSE)</f>
        <v>406030</v>
      </c>
      <c r="C502">
        <f>VLOOKUP(A502,'State ID'!$A$2:$B$713,2,FALSE)</f>
        <v>4462</v>
      </c>
      <c r="D502" s="147" t="s">
        <v>328</v>
      </c>
      <c r="E502" t="s">
        <v>284</v>
      </c>
      <c r="F502" s="47">
        <f>VLOOKUP(B502,'Formula counts'!$D$9:$L$234,9,FALSE)</f>
        <v>129</v>
      </c>
      <c r="G502" s="47">
        <f>VLOOKUP(B502,'Formula counts'!$D$9:$K$234,8,FALSE)</f>
        <v>21</v>
      </c>
      <c r="H502" s="4">
        <f>VLOOKUP(B502,'Formula counts'!$D$9:$M$234,10,FALSE)</f>
        <v>0.16279069767441862</v>
      </c>
      <c r="I502" s="47">
        <f>VLOOKUP($C502,'Final SEA Counts'!$A$2:$F$709,5,FALSE)</f>
        <v>48</v>
      </c>
      <c r="J502" s="47">
        <f>VLOOKUP($C502,'Final SEA Counts'!$A$2:$F$709,6,FALSE)</f>
        <v>36</v>
      </c>
      <c r="K502" s="24">
        <f t="shared" si="1127"/>
        <v>125.63980463980464</v>
      </c>
      <c r="L502" s="24">
        <f t="shared" si="1127"/>
        <v>20.343380400099356</v>
      </c>
      <c r="M502" s="4">
        <f t="shared" si="1128"/>
        <v>0.1619182746934506</v>
      </c>
      <c r="N502" s="31">
        <f>IFERROR(VLOOKUP($B502,Allocation!$D$10:$O$235,8,FALSE),"")</f>
        <v>12127.440319667139</v>
      </c>
      <c r="O502" s="31">
        <f>IFERROR(VLOOKUP($B502,Allocation!$D$10:$O$235,9,FALSE),"")</f>
        <v>2871.6311301334576</v>
      </c>
      <c r="P502" s="31">
        <f>IFERROR(VLOOKUP($B502,Allocation!$D$10:$O$235,10,FALSE),"")</f>
        <v>4432.5512010169514</v>
      </c>
      <c r="Q502" s="31">
        <f>IFERROR(VLOOKUP($B502,Allocation!$D$10:$O$235,11,FALSE),"")</f>
        <v>3508.0782640729781</v>
      </c>
      <c r="R502" s="31">
        <f>IFERROR(VLOOKUP($B502,Allocation!$D$10:$O$235,12,FALSE),"")</f>
        <v>22939.700914890524</v>
      </c>
      <c r="S502" s="31">
        <f t="shared" si="1129"/>
        <v>11729.956948132527</v>
      </c>
      <c r="T502" s="31">
        <f t="shared" si="1129"/>
        <v>2777.5118771565426</v>
      </c>
      <c r="U502" s="31">
        <f t="shared" si="1129"/>
        <v>4287.2719541652659</v>
      </c>
      <c r="V502" s="31">
        <f t="shared" si="1129"/>
        <v>3393.0991143714782</v>
      </c>
      <c r="W502" s="31">
        <f t="shared" si="1130"/>
        <v>11729.956948132527</v>
      </c>
      <c r="X502" s="31">
        <f t="shared" si="1131"/>
        <v>2777.5118771565426</v>
      </c>
      <c r="Y502" s="31">
        <f t="shared" si="1132"/>
        <v>4287.2719541652659</v>
      </c>
      <c r="Z502" s="31">
        <f t="shared" si="1133"/>
        <v>3393.0991143714782</v>
      </c>
      <c r="AA502" s="31">
        <f t="shared" si="1134"/>
        <v>11729.956948132527</v>
      </c>
      <c r="AB502" s="31">
        <f t="shared" si="1134"/>
        <v>2777.5118771565426</v>
      </c>
      <c r="AC502" s="31">
        <f t="shared" si="1134"/>
        <v>4287.2719541652659</v>
      </c>
      <c r="AD502" s="31">
        <f t="shared" si="1134"/>
        <v>3393.0991143714782</v>
      </c>
      <c r="AE502" s="31">
        <f t="shared" si="1135"/>
        <v>22187.839893825814</v>
      </c>
      <c r="AF502" s="31">
        <f>IFERROR(VLOOKUP(A502,'Allocations By Type'!$D$7:$F$491,3,FALSE),"")</f>
        <v>24264.82</v>
      </c>
      <c r="AG502" s="31" t="str">
        <f t="shared" si="1136"/>
        <v/>
      </c>
      <c r="AH502" s="31" t="str">
        <f t="shared" si="1137"/>
        <v/>
      </c>
      <c r="AI502" s="31">
        <f t="shared" si="1138"/>
        <v>22187.839893825814</v>
      </c>
      <c r="AJ502" s="31">
        <f>AI502/$AI$577*'State Admin 1004(b)'!$B$30*0.01</f>
        <v>211.15056254167908</v>
      </c>
      <c r="AK502" s="31">
        <f t="shared" si="1139"/>
        <v>21976.689331284135</v>
      </c>
      <c r="AL502" s="31">
        <f t="shared" si="1140"/>
        <v>219.76689331284135</v>
      </c>
      <c r="AM502" s="31">
        <f t="shared" si="1141"/>
        <v>21756.922437971294</v>
      </c>
      <c r="AP502" s="31"/>
      <c r="AQ502" s="4">
        <f t="shared" si="1101"/>
        <v>0.89664470776916105</v>
      </c>
      <c r="AR502" s="4">
        <f>VLOOKUP(B502,Allocation!$D$10:$P$235,13,FALSE)</f>
        <v>0.89999999999999991</v>
      </c>
      <c r="AS502" s="4">
        <f t="shared" si="1142"/>
        <v>0.9</v>
      </c>
      <c r="AT502" s="4" t="str">
        <f t="shared" si="1143"/>
        <v>Review</v>
      </c>
      <c r="AU502" s="31">
        <f t="shared" si="1144"/>
        <v>81.415562028705608</v>
      </c>
      <c r="AV502" s="31">
        <f t="shared" si="1145"/>
        <v>21838.338</v>
      </c>
      <c r="AW502" s="31">
        <f t="shared" si="1146"/>
        <v>21838.338</v>
      </c>
      <c r="AX502" s="4">
        <f t="shared" si="1147"/>
        <v>0.9</v>
      </c>
      <c r="AY502" s="4" t="str">
        <f t="shared" si="1148"/>
        <v/>
      </c>
      <c r="AZ502" s="174" t="str">
        <f>IFERROR(IF(VLOOKUP(A502,#REF!,11,FALSE)=0,"",VLOOKUP(A502,#REF!,11,FALSE)),"")</f>
        <v/>
      </c>
      <c r="BA502" s="31" t="str">
        <f t="shared" si="1149"/>
        <v/>
      </c>
      <c r="BB502" s="31">
        <f t="shared" si="1150"/>
        <v>21838.338</v>
      </c>
      <c r="BD502" s="31">
        <f>IFERROR(VLOOKUP(A502,'Title II Hold Harmless'!A$1:B$439,2, FALSE),"")</f>
        <v>2942</v>
      </c>
      <c r="BE502" s="31">
        <f t="shared" si="1151"/>
        <v>3309.4234151759497</v>
      </c>
      <c r="BF502" s="31">
        <f t="shared" si="1152"/>
        <v>3312.6254798121017</v>
      </c>
      <c r="BG502" s="31" t="str">
        <f t="shared" si="1153"/>
        <v/>
      </c>
      <c r="BH502" s="31">
        <f t="shared" si="1154"/>
        <v>3312.6254798121017</v>
      </c>
    </row>
    <row r="503" spans="1:60" x14ac:dyDescent="0.3">
      <c r="A503" s="1">
        <v>120328000</v>
      </c>
      <c r="B503">
        <f>VLOOKUP(C503,'NCES ID'!$A$2:$B$3136,2,FALSE)</f>
        <v>407500</v>
      </c>
      <c r="C503">
        <f>VLOOKUP(A503,'State ID'!$A$2:$B$713,2,FALSE)</f>
        <v>4459</v>
      </c>
      <c r="D503" s="147" t="s">
        <v>375</v>
      </c>
      <c r="E503" t="s">
        <v>284</v>
      </c>
      <c r="F503" s="47">
        <f>VLOOKUP(B503,'Formula counts'!$D$9:$L$234,9,FALSE)</f>
        <v>420</v>
      </c>
      <c r="G503" s="47">
        <f>VLOOKUP(B503,'Formula counts'!$D$9:$K$234,8,FALSE)</f>
        <v>118</v>
      </c>
      <c r="H503" s="4">
        <f>VLOOKUP(B503,'Formula counts'!$D$9:$M$234,10,FALSE)</f>
        <v>0.28095238095238095</v>
      </c>
      <c r="I503" s="47">
        <f>VLOOKUP($C503,'Final SEA Counts'!$A$2:$F$709,5,FALSE)</f>
        <v>225</v>
      </c>
      <c r="J503" s="47">
        <f>VLOOKUP($C503,'Final SEA Counts'!$A$2:$F$709,6,FALSE)</f>
        <v>180</v>
      </c>
      <c r="K503" s="24">
        <f t="shared" si="1127"/>
        <v>409.05982905982904</v>
      </c>
      <c r="L503" s="24">
        <f t="shared" si="1127"/>
        <v>114.31042320055829</v>
      </c>
      <c r="M503" s="4">
        <f t="shared" si="1128"/>
        <v>0.27944670945393479</v>
      </c>
      <c r="N503" s="31">
        <f>IFERROR(VLOOKUP($B503,Allocation!$D$10:$O$235,8,FALSE),"")</f>
        <v>59779.025370725387</v>
      </c>
      <c r="O503" s="31">
        <f>IFERROR(VLOOKUP($B503,Allocation!$D$10:$O$235,9,FALSE),"")</f>
        <v>13805.763390087563</v>
      </c>
      <c r="P503" s="31">
        <f>IFERROR(VLOOKUP($B503,Allocation!$D$10:$O$235,10,FALSE),"")</f>
        <v>30775.761571274474</v>
      </c>
      <c r="Q503" s="31">
        <f>IFERROR(VLOOKUP($B503,Allocation!$D$10:$O$235,11,FALSE),"")</f>
        <v>22807.978124717542</v>
      </c>
      <c r="R503" s="31">
        <f>IFERROR(VLOOKUP($B503,Allocation!$D$10:$O$235,12,FALSE),"")</f>
        <v>127168.52845680497</v>
      </c>
      <c r="S503" s="31">
        <f t="shared" si="1129"/>
        <v>57819.735699938436</v>
      </c>
      <c r="T503" s="31">
        <f t="shared" si="1129"/>
        <v>13353.272078297563</v>
      </c>
      <c r="U503" s="31">
        <f t="shared" si="1129"/>
        <v>29767.069452537973</v>
      </c>
      <c r="V503" s="31">
        <f t="shared" si="1129"/>
        <v>22060.434388864367</v>
      </c>
      <c r="W503" s="31">
        <f t="shared" si="1130"/>
        <v>57819.735699938436</v>
      </c>
      <c r="X503" s="31">
        <f t="shared" si="1131"/>
        <v>13353.272078297563</v>
      </c>
      <c r="Y503" s="31">
        <f t="shared" si="1132"/>
        <v>29767.069452537973</v>
      </c>
      <c r="Z503" s="31">
        <f t="shared" si="1133"/>
        <v>22060.434388864367</v>
      </c>
      <c r="AA503" s="31">
        <f t="shared" si="1134"/>
        <v>57819.735699938436</v>
      </c>
      <c r="AB503" s="31">
        <f t="shared" si="1134"/>
        <v>13353.272078297563</v>
      </c>
      <c r="AC503" s="31">
        <f t="shared" si="1134"/>
        <v>29767.069452537973</v>
      </c>
      <c r="AD503" s="31">
        <f t="shared" si="1134"/>
        <v>22060.434388864367</v>
      </c>
      <c r="AE503" s="31">
        <f t="shared" si="1135"/>
        <v>123000.51161963835</v>
      </c>
      <c r="AF503" s="31">
        <f>IFERROR(VLOOKUP(A503,'Allocations By Type'!$D$7:$F$491,3,FALSE),"")</f>
        <v>134514.47</v>
      </c>
      <c r="AG503" s="31" t="str">
        <f t="shared" si="1136"/>
        <v/>
      </c>
      <c r="AH503" s="31" t="str">
        <f t="shared" si="1137"/>
        <v/>
      </c>
      <c r="AI503" s="31">
        <f t="shared" si="1138"/>
        <v>123000.51161963835</v>
      </c>
      <c r="AJ503" s="31">
        <f>AI503/$AI$577*'State Admin 1004(b)'!$B$30*0.01</f>
        <v>1170.5342811955329</v>
      </c>
      <c r="AK503" s="31">
        <f t="shared" si="1139"/>
        <v>121829.97733844281</v>
      </c>
      <c r="AL503" s="31">
        <f t="shared" si="1140"/>
        <v>1218.2997733844281</v>
      </c>
      <c r="AM503" s="31">
        <f t="shared" si="1141"/>
        <v>120611.67756505839</v>
      </c>
      <c r="AP503" s="31"/>
      <c r="AQ503" s="4">
        <f t="shared" si="1101"/>
        <v>0.89664463284179308</v>
      </c>
      <c r="AR503" s="4">
        <f>VLOOKUP(B503,Allocation!$D$10:$P$235,13,FALSE)</f>
        <v>0.90000000000000013</v>
      </c>
      <c r="AS503" s="4">
        <f t="shared" si="1142"/>
        <v>0.9</v>
      </c>
      <c r="AT503" s="4" t="str">
        <f t="shared" si="1143"/>
        <v>Review</v>
      </c>
      <c r="AU503" s="31">
        <f t="shared" si="1144"/>
        <v>451.34543494161335</v>
      </c>
      <c r="AV503" s="31">
        <f t="shared" si="1145"/>
        <v>121063.023</v>
      </c>
      <c r="AW503" s="31">
        <f t="shared" si="1146"/>
        <v>121063.023</v>
      </c>
      <c r="AX503" s="4">
        <f t="shared" si="1147"/>
        <v>0.9</v>
      </c>
      <c r="AY503" s="4" t="str">
        <f t="shared" si="1148"/>
        <v/>
      </c>
      <c r="AZ503" s="174" t="str">
        <f>IFERROR(IF(VLOOKUP(A503,#REF!,11,FALSE)=0,"",VLOOKUP(A503,#REF!,11,FALSE)),"")</f>
        <v/>
      </c>
      <c r="BA503" s="31" t="str">
        <f t="shared" si="1149"/>
        <v/>
      </c>
      <c r="BB503" s="31">
        <f t="shared" si="1150"/>
        <v>121063.023</v>
      </c>
      <c r="BD503" s="31">
        <f>IFERROR(VLOOKUP(A503,'Title II Hold Harmless'!A$1:B$439,2, FALSE),"")</f>
        <v>3955</v>
      </c>
      <c r="BE503" s="31">
        <f t="shared" si="1151"/>
        <v>5780.6115877373577</v>
      </c>
      <c r="BF503" s="31">
        <f t="shared" si="1152"/>
        <v>5786.2046743927385</v>
      </c>
      <c r="BG503" s="31" t="str">
        <f t="shared" si="1153"/>
        <v/>
      </c>
      <c r="BH503" s="31">
        <f t="shared" si="1154"/>
        <v>5786.2046743927385</v>
      </c>
    </row>
    <row r="504" spans="1:60" x14ac:dyDescent="0.3">
      <c r="A504" s="1">
        <v>120235000</v>
      </c>
      <c r="B504">
        <f>VLOOKUP(C504,'NCES ID'!$A$2:$B$3136,2,FALSE)</f>
        <v>407520</v>
      </c>
      <c r="C504">
        <f>VLOOKUP(A504,'State ID'!$A$2:$B$713,2,FALSE)</f>
        <v>4458</v>
      </c>
      <c r="D504" s="147" t="s">
        <v>376</v>
      </c>
      <c r="E504" t="s">
        <v>284</v>
      </c>
      <c r="F504" s="47">
        <f>VLOOKUP(B504,'Formula counts'!$D$9:$L$234,9,FALSE)</f>
        <v>4284</v>
      </c>
      <c r="G504" s="47">
        <f>VLOOKUP(B504,'Formula counts'!$D$9:$K$234,8,FALSE)</f>
        <v>990</v>
      </c>
      <c r="H504" s="4">
        <f>VLOOKUP(B504,'Formula counts'!$D$9:$M$234,10,FALSE)</f>
        <v>0.23109243697478993</v>
      </c>
      <c r="I504" s="47">
        <f>VLOOKUP($C504,'Final SEA Counts'!$A$2:$F$709,5,FALSE)</f>
        <v>3085</v>
      </c>
      <c r="J504" s="47">
        <f>VLOOKUP($C504,'Final SEA Counts'!$A$2:$F$709,6,FALSE)</f>
        <v>2310</v>
      </c>
      <c r="K504" s="24">
        <f t="shared" si="1127"/>
        <v>4172.4102564102568</v>
      </c>
      <c r="L504" s="24">
        <f t="shared" si="1127"/>
        <v>959.04507600468389</v>
      </c>
      <c r="M504" s="4">
        <f t="shared" si="1128"/>
        <v>0.22985397337935812</v>
      </c>
      <c r="N504" s="31">
        <f>IFERROR(VLOOKUP($B504,Allocation!$D$10:$O$235,8,FALSE),"")</f>
        <v>488727.36474165512</v>
      </c>
      <c r="O504" s="31">
        <f>IFERROR(VLOOKUP($B504,Allocation!$D$10:$O$235,9,FALSE),"")</f>
        <v>112869.92917734208</v>
      </c>
      <c r="P504" s="31">
        <f>IFERROR(VLOOKUP($B504,Allocation!$D$10:$O$235,10,FALSE),"")</f>
        <v>229901.84545707988</v>
      </c>
      <c r="Q504" s="31">
        <f>IFERROR(VLOOKUP($B504,Allocation!$D$10:$O$235,11,FALSE),"")</f>
        <v>163003.66627564994</v>
      </c>
      <c r="R504" s="31">
        <f>IFERROR(VLOOKUP($B504,Allocation!$D$10:$O$235,12,FALSE),"")</f>
        <v>994502.80565172702</v>
      </c>
      <c r="S504" s="31">
        <f t="shared" si="1129"/>
        <v>472709.06280998496</v>
      </c>
      <c r="T504" s="31">
        <f t="shared" si="1129"/>
        <v>109170.55661299916</v>
      </c>
      <c r="U504" s="31">
        <f t="shared" si="1129"/>
        <v>222366.68896522609</v>
      </c>
      <c r="V504" s="31">
        <f t="shared" si="1129"/>
        <v>157661.13354525378</v>
      </c>
      <c r="W504" s="31">
        <f t="shared" si="1130"/>
        <v>472709.06280998496</v>
      </c>
      <c r="X504" s="31">
        <f t="shared" si="1131"/>
        <v>109170.55661299916</v>
      </c>
      <c r="Y504" s="31">
        <f t="shared" si="1132"/>
        <v>222366.68896522609</v>
      </c>
      <c r="Z504" s="31">
        <f t="shared" si="1133"/>
        <v>157661.13354525378</v>
      </c>
      <c r="AA504" s="31">
        <f t="shared" si="1134"/>
        <v>472709.06280998496</v>
      </c>
      <c r="AB504" s="31">
        <f t="shared" si="1134"/>
        <v>109170.55661299916</v>
      </c>
      <c r="AC504" s="31">
        <f t="shared" si="1134"/>
        <v>222366.68896522609</v>
      </c>
      <c r="AD504" s="31">
        <f t="shared" si="1134"/>
        <v>157661.13354525378</v>
      </c>
      <c r="AE504" s="31">
        <f t="shared" si="1135"/>
        <v>961907.44193346391</v>
      </c>
      <c r="AF504" s="31">
        <f>IFERROR(VLOOKUP(A504,'Allocations By Type'!$D$7:$F$491,3,FALSE),"")</f>
        <v>1051950.67</v>
      </c>
      <c r="AG504" s="31" t="str">
        <f t="shared" si="1136"/>
        <v/>
      </c>
      <c r="AH504" s="31" t="str">
        <f t="shared" si="1137"/>
        <v/>
      </c>
      <c r="AI504" s="31">
        <f t="shared" si="1138"/>
        <v>961907.44193346391</v>
      </c>
      <c r="AJ504" s="31">
        <f>AI504/$AI$577*'State Admin 1004(b)'!$B$30*0.01</f>
        <v>9153.9914858407119</v>
      </c>
      <c r="AK504" s="31">
        <f t="shared" si="1139"/>
        <v>952753.45044762315</v>
      </c>
      <c r="AL504" s="31">
        <f t="shared" si="1140"/>
        <v>9527.5345044762325</v>
      </c>
      <c r="AM504" s="31">
        <f t="shared" si="1141"/>
        <v>943225.91594314692</v>
      </c>
      <c r="AP504" s="31"/>
      <c r="AQ504" s="4">
        <f t="shared" si="1101"/>
        <v>0.89664462682755552</v>
      </c>
      <c r="AR504" s="4">
        <f>VLOOKUP(B504,Allocation!$D$10:$P$235,13,FALSE)</f>
        <v>0.9</v>
      </c>
      <c r="AS504" s="4">
        <f t="shared" si="1142"/>
        <v>0.9</v>
      </c>
      <c r="AT504" s="4" t="str">
        <f t="shared" si="1143"/>
        <v>Review</v>
      </c>
      <c r="AU504" s="31">
        <f t="shared" si="1144"/>
        <v>3529.6870568529703</v>
      </c>
      <c r="AV504" s="31">
        <f t="shared" si="1145"/>
        <v>946755.60299999989</v>
      </c>
      <c r="AW504" s="31">
        <f t="shared" si="1146"/>
        <v>946755.60299999989</v>
      </c>
      <c r="AX504" s="4">
        <f t="shared" si="1147"/>
        <v>0.89999999999999991</v>
      </c>
      <c r="AY504" s="4" t="str">
        <f t="shared" si="1148"/>
        <v/>
      </c>
      <c r="AZ504" s="174" t="str">
        <f>IFERROR(IF(VLOOKUP(A504,#REF!,11,FALSE)=0,"",VLOOKUP(A504,#REF!,11,FALSE)),"")</f>
        <v/>
      </c>
      <c r="BA504" s="31" t="str">
        <f t="shared" si="1149"/>
        <v/>
      </c>
      <c r="BB504" s="31">
        <f t="shared" si="1150"/>
        <v>946755.60299999989</v>
      </c>
      <c r="BD504" s="31">
        <f>IFERROR(VLOOKUP(A504,'Title II Hold Harmless'!A$1:B$439,2, FALSE),"")</f>
        <v>106554</v>
      </c>
      <c r="BE504" s="31">
        <f t="shared" si="1151"/>
        <v>122466.49990830976</v>
      </c>
      <c r="BF504" s="31">
        <f t="shared" si="1152"/>
        <v>122584.9935548681</v>
      </c>
      <c r="BG504" s="31" t="str">
        <f t="shared" si="1153"/>
        <v/>
      </c>
      <c r="BH504" s="31">
        <f t="shared" si="1154"/>
        <v>122584.9935548681</v>
      </c>
    </row>
    <row r="505" spans="1:60" x14ac:dyDescent="0.3">
      <c r="A505" s="1">
        <v>120201000</v>
      </c>
      <c r="B505">
        <f>VLOOKUP(C505,'NCES ID'!$A$2:$B$3136,2,FALSE)</f>
        <v>405530</v>
      </c>
      <c r="C505">
        <f>VLOOKUP(A505,'State ID'!$A$2:$B$713,2,FALSE)</f>
        <v>4457</v>
      </c>
      <c r="D505" s="147" t="s">
        <v>306</v>
      </c>
      <c r="E505" t="s">
        <v>284</v>
      </c>
      <c r="F505" s="47">
        <f>VLOOKUP(B505,'Formula counts'!$D$9:$L$234,9,FALSE)</f>
        <v>4749</v>
      </c>
      <c r="G505" s="47">
        <f>VLOOKUP(B505,'Formula counts'!$D$9:$K$234,8,FALSE)</f>
        <v>1953</v>
      </c>
      <c r="H505" s="4">
        <f>VLOOKUP(B505,'Formula counts'!$D$9:$M$234,10,FALSE)</f>
        <v>0.41124447252053065</v>
      </c>
      <c r="I505" s="47">
        <f>VLOOKUP($C505,'Final SEA Counts'!$A$2:$F$709,5,FALSE)</f>
        <v>5233</v>
      </c>
      <c r="J505" s="47">
        <f>VLOOKUP($C505,'Final SEA Counts'!$A$2:$F$709,6,FALSE)</f>
        <v>4188</v>
      </c>
      <c r="K505" s="24">
        <f t="shared" si="1127"/>
        <v>4625.2979242979245</v>
      </c>
      <c r="L505" s="24">
        <f t="shared" si="1127"/>
        <v>1891.9343772092402</v>
      </c>
      <c r="M505" s="4">
        <f t="shared" si="1128"/>
        <v>0.40904054358756092</v>
      </c>
      <c r="N505" s="31">
        <f>IFERROR(VLOOKUP($B505,Allocation!$D$10:$O$235,8,FALSE),"")</f>
        <v>964277.33100659715</v>
      </c>
      <c r="O505" s="31">
        <f>IFERROR(VLOOKUP($B505,Allocation!$D$10:$O$235,9,FALSE),"")</f>
        <v>235183.15841841124</v>
      </c>
      <c r="P505" s="31">
        <f>IFERROR(VLOOKUP($B505,Allocation!$D$10:$O$235,10,FALSE),"")</f>
        <v>572217.13489500596</v>
      </c>
      <c r="Q505" s="31">
        <f>IFERROR(VLOOKUP($B505,Allocation!$D$10:$O$235,11,FALSE),"")</f>
        <v>570308.88390136138</v>
      </c>
      <c r="R505" s="31">
        <f>IFERROR(VLOOKUP($B505,Allocation!$D$10:$O$235,12,FALSE),"")</f>
        <v>2341986.5082213758</v>
      </c>
      <c r="S505" s="31">
        <f t="shared" si="1129"/>
        <v>932672.62345744309</v>
      </c>
      <c r="T505" s="31">
        <f t="shared" si="1129"/>
        <v>227474.90405704288</v>
      </c>
      <c r="U505" s="31">
        <f t="shared" si="1129"/>
        <v>553462.41089450184</v>
      </c>
      <c r="V505" s="31">
        <f t="shared" si="1129"/>
        <v>551616.7038523173</v>
      </c>
      <c r="W505" s="31">
        <f t="shared" si="1130"/>
        <v>932672.62345744309</v>
      </c>
      <c r="X505" s="31">
        <f t="shared" si="1131"/>
        <v>227474.90405704288</v>
      </c>
      <c r="Y505" s="31">
        <f t="shared" si="1132"/>
        <v>553462.41089450184</v>
      </c>
      <c r="Z505" s="31">
        <f t="shared" si="1133"/>
        <v>551616.7038523173</v>
      </c>
      <c r="AA505" s="31">
        <f t="shared" si="1134"/>
        <v>932672.62345744309</v>
      </c>
      <c r="AB505" s="31">
        <f t="shared" si="1134"/>
        <v>227474.90405704288</v>
      </c>
      <c r="AC505" s="31">
        <f t="shared" si="1134"/>
        <v>553462.41089450184</v>
      </c>
      <c r="AD505" s="31">
        <f t="shared" si="1134"/>
        <v>551616.7038523173</v>
      </c>
      <c r="AE505" s="31">
        <f t="shared" si="1135"/>
        <v>2265226.6422613049</v>
      </c>
      <c r="AF505" s="31">
        <f>IFERROR(VLOOKUP(A505,'Allocations By Type'!$D$7:$F$491,3,FALSE),"")</f>
        <v>2334920.88</v>
      </c>
      <c r="AG505" s="31" t="str">
        <f t="shared" si="1136"/>
        <v/>
      </c>
      <c r="AH505" s="31" t="str">
        <f t="shared" si="1137"/>
        <v/>
      </c>
      <c r="AI505" s="31">
        <f t="shared" si="1138"/>
        <v>2265226.6422613049</v>
      </c>
      <c r="AJ505" s="31">
        <f>AI505/$AI$577*'State Admin 1004(b)'!$B$30*0.01</f>
        <v>21557.027727199817</v>
      </c>
      <c r="AK505" s="31">
        <f t="shared" si="1139"/>
        <v>2243669.6145341052</v>
      </c>
      <c r="AL505" s="31">
        <f t="shared" si="1140"/>
        <v>22436.696145341051</v>
      </c>
      <c r="AM505" s="31">
        <f t="shared" si="1141"/>
        <v>2221232.9183887639</v>
      </c>
      <c r="AP505" s="31"/>
      <c r="AQ505" s="4">
        <f t="shared" si="1101"/>
        <v>0.95130971563745836</v>
      </c>
      <c r="AR505" s="4">
        <f>VLOOKUP(B505,Allocation!$D$10:$P$235,13,FALSE)</f>
        <v>0.96406059942154565</v>
      </c>
      <c r="AS505" s="4">
        <f t="shared" si="1142"/>
        <v>0.95</v>
      </c>
      <c r="AT505" s="4" t="str">
        <f t="shared" si="1143"/>
        <v/>
      </c>
      <c r="AU505" s="31" t="str">
        <f t="shared" si="1144"/>
        <v/>
      </c>
      <c r="AV505" s="31" t="str">
        <f t="shared" si="1145"/>
        <v/>
      </c>
      <c r="AW505" s="31">
        <f t="shared" si="1146"/>
        <v>2217146.6779679162</v>
      </c>
      <c r="AX505" s="4">
        <f t="shared" si="1147"/>
        <v>0.94955966044036422</v>
      </c>
      <c r="AY505" s="4" t="str">
        <f t="shared" si="1148"/>
        <v>Manual Adjustment</v>
      </c>
      <c r="AZ505" s="174" t="str">
        <f>IFERROR(IF(VLOOKUP(A505,#REF!,11,FALSE)=0,"",VLOOKUP(A505,#REF!,11,FALSE)),"")</f>
        <v/>
      </c>
      <c r="BA505" s="31" t="str">
        <f t="shared" si="1149"/>
        <v/>
      </c>
      <c r="BB505" s="31">
        <f t="shared" si="1150"/>
        <v>2217146.6779679162</v>
      </c>
      <c r="BD505" s="31">
        <f>IFERROR(VLOOKUP(A505,'Title II Hold Harmless'!A$1:B$439,2, FALSE),"")</f>
        <v>291641</v>
      </c>
      <c r="BE505" s="31">
        <f t="shared" si="1151"/>
        <v>320130.13249878667</v>
      </c>
      <c r="BF505" s="31">
        <f t="shared" si="1152"/>
        <v>320439.87750498333</v>
      </c>
      <c r="BG505" s="31" t="str">
        <f t="shared" si="1153"/>
        <v/>
      </c>
      <c r="BH505" s="31">
        <f t="shared" si="1154"/>
        <v>320439.87750498333</v>
      </c>
    </row>
    <row r="506" spans="1:60" x14ac:dyDescent="0.3">
      <c r="A506" s="1"/>
      <c r="B506">
        <v>481023</v>
      </c>
      <c r="D506" s="147" t="s">
        <v>886</v>
      </c>
      <c r="E506" t="s">
        <v>284</v>
      </c>
      <c r="F506" s="47">
        <f>VLOOKUP(B506,'Formula counts'!$D$9:$L$234,9,FALSE)</f>
        <v>0</v>
      </c>
      <c r="G506" s="47">
        <f>VLOOKUP(B506,'Formula counts'!$D$9:$K$234,8,FALSE)</f>
        <v>0</v>
      </c>
      <c r="H506" s="4">
        <f>VLOOKUP(B506,'Formula counts'!$D$9:$M$234,10,FALSE)</f>
        <v>0</v>
      </c>
      <c r="N506" s="31">
        <f>IFERROR(VLOOKUP($B506,Allocation!$D$10:$O$235,8,FALSE),"")</f>
        <v>0</v>
      </c>
      <c r="O506" s="31">
        <f>IFERROR(VLOOKUP($B506,Allocation!$D$10:$O$235,9,FALSE),"")</f>
        <v>0</v>
      </c>
      <c r="P506" s="31">
        <f>IFERROR(VLOOKUP($B506,Allocation!$D$10:$O$235,10,FALSE),"")</f>
        <v>0</v>
      </c>
      <c r="Q506" s="31">
        <f>IFERROR(VLOOKUP($B506,Allocation!$D$10:$O$235,11,FALSE),"")</f>
        <v>0</v>
      </c>
      <c r="R506" s="31">
        <f>IFERROR(VLOOKUP($B506,Allocation!$D$10:$O$235,12,FALSE),"")</f>
        <v>0</v>
      </c>
      <c r="AF506" s="31" t="str">
        <f>IFERROR(VLOOKUP(A506,'Allocations By Type'!$D$7:$F$491,3,FALSE),"")</f>
        <v/>
      </c>
      <c r="AQ506" s="4" t="str">
        <f t="shared" si="1101"/>
        <v/>
      </c>
      <c r="AR506" s="46"/>
      <c r="AS506" s="46"/>
      <c r="AZ506" s="174" t="str">
        <f>IFERROR(IF(VLOOKUP(A506,#REF!,11,FALSE)=0,"",VLOOKUP(A506,#REF!,11,FALSE)),"")</f>
        <v/>
      </c>
      <c r="BA506" s="31" t="str">
        <f t="shared" si="1149"/>
        <v/>
      </c>
      <c r="BB506" s="31">
        <f t="shared" si="1150"/>
        <v>0</v>
      </c>
      <c r="BD506" s="31" t="str">
        <f>IFERROR(VLOOKUP(A506,'Title II Hold Harmless'!A$1:B$439,2, FALSE),"")</f>
        <v/>
      </c>
      <c r="BE506" s="31">
        <f t="shared" si="1151"/>
        <v>0</v>
      </c>
      <c r="BF506" s="31">
        <f t="shared" si="1152"/>
        <v>0</v>
      </c>
      <c r="BG506" s="31" t="str">
        <f t="shared" si="1153"/>
        <v/>
      </c>
      <c r="BH506" s="31">
        <f t="shared" si="1154"/>
        <v>0</v>
      </c>
    </row>
    <row r="507" spans="1:60" x14ac:dyDescent="0.3">
      <c r="A507" s="1">
        <v>128703000</v>
      </c>
      <c r="B507">
        <f>VLOOKUP(C507,'NCES ID'!$A$2:$B$3136,2,FALSE)</f>
        <v>400150</v>
      </c>
      <c r="C507">
        <f>VLOOKUP(A507,'State ID'!$A$2:$B$713,2,FALSE)</f>
        <v>4463</v>
      </c>
      <c r="D507" s="147" t="s">
        <v>283</v>
      </c>
      <c r="E507" t="s">
        <v>284</v>
      </c>
      <c r="I507" s="47">
        <f>VLOOKUP($C507,'Final SEA Counts'!$A$2:$F$709,5,FALSE)</f>
        <v>256</v>
      </c>
      <c r="J507" s="47">
        <f>VLOOKUP($C507,'Final SEA Counts'!$A$2:$F$709,6,FALSE)</f>
        <v>221</v>
      </c>
      <c r="K507" s="24">
        <f>I507</f>
        <v>256</v>
      </c>
      <c r="L507" s="24">
        <f>J507*$B$510</f>
        <v>98.367869585115514</v>
      </c>
      <c r="M507" s="4">
        <f t="shared" ref="M507:M508" si="1155">L507/K507</f>
        <v>0.38424949056685748</v>
      </c>
      <c r="N507" s="31" t="str">
        <f>IFERROR(VLOOKUP($B507,#REF!,8,FALSE),"")</f>
        <v/>
      </c>
      <c r="O507" s="31" t="str">
        <f>IFERROR(VLOOKUP($B507,#REF!,9,FALSE),"")</f>
        <v/>
      </c>
      <c r="P507" s="31" t="str">
        <f>IFERROR(VLOOKUP($B507,#REF!,10,FALSE),"")</f>
        <v/>
      </c>
      <c r="Q507" s="31" t="str">
        <f>IFERROR(VLOOKUP($B507,#REF!,11,FALSE),"")</f>
        <v/>
      </c>
      <c r="R507" s="31" t="str">
        <f>IFERROR(VLOOKUP($B507,#REF!,12,FALSE),"")</f>
        <v/>
      </c>
      <c r="S507" s="31">
        <f t="shared" ref="S507:V508" si="1156">$L507*N$511</f>
        <v>48819.073457213744</v>
      </c>
      <c r="T507" s="31">
        <f t="shared" si="1156"/>
        <v>11667.063322432599</v>
      </c>
      <c r="U507" s="31">
        <f t="shared" si="1156"/>
        <v>26850.923359864999</v>
      </c>
      <c r="V507" s="31">
        <f t="shared" si="1156"/>
        <v>24458.896564112154</v>
      </c>
      <c r="W507" s="31">
        <f t="shared" ref="W507" si="1157">IF(AND($L507&gt;9,$L507&gt;($K507*0.02)),S507,"")</f>
        <v>48819.073457213744</v>
      </c>
      <c r="X507" s="31">
        <f t="shared" ref="X507" si="1158">IF(W507="","",IF(OR($L507&gt;6500,$L507&gt;($K507*0.15)),T507,""))</f>
        <v>11667.063322432599</v>
      </c>
      <c r="Y507" s="31">
        <f t="shared" ref="Y507" si="1159">IF(AND($L507&gt;9,$L507&gt;($K507*0.05)),U507,"")</f>
        <v>26850.923359864999</v>
      </c>
      <c r="Z507" s="31">
        <f t="shared" ref="Z507" si="1160">IF(AND($L507&gt;9,$L507&gt;($K507*0.05)),V507,"")</f>
        <v>24458.896564112154</v>
      </c>
      <c r="AA507" s="31">
        <f t="shared" ref="AA507:AD508" si="1161">IF(W507="","",W507+W$511)</f>
        <v>48819.073457213744</v>
      </c>
      <c r="AB507" s="31">
        <f t="shared" si="1161"/>
        <v>11667.063322432599</v>
      </c>
      <c r="AC507" s="31">
        <f t="shared" si="1161"/>
        <v>26850.923359864999</v>
      </c>
      <c r="AD507" s="31">
        <f t="shared" si="1161"/>
        <v>24458.896564112154</v>
      </c>
      <c r="AE507" s="31">
        <f t="shared" ref="AE507" si="1162">SUM(AA507:AD507)</f>
        <v>111795.95670362349</v>
      </c>
      <c r="AF507" s="31">
        <f>IFERROR(VLOOKUP(A507,'Allocations By Type'!$D$7:$F$491,3,FALSE),"")</f>
        <v>77689.97</v>
      </c>
      <c r="AG507" s="31">
        <f t="shared" ref="AG507" si="1163">IF(AE507&gt;AF507,AE507*0.04,"")</f>
        <v>4471.8382681449402</v>
      </c>
      <c r="AH507" s="31">
        <f>IF(AG507="","",IF((AE507-AF507)&gt;AG507,AG507,AE507-AF507))</f>
        <v>4471.8382681449402</v>
      </c>
      <c r="AI507" s="31">
        <f>IF(AH507="",AE507,AE507-AH507)</f>
        <v>107324.11843547855</v>
      </c>
      <c r="AJ507" s="31">
        <f>AI507/$AI$577*'State Admin 1004(b)'!$B$30*0.01</f>
        <v>1021.3498966272552</v>
      </c>
      <c r="AK507" s="31">
        <f>AI507-AJ507</f>
        <v>106302.76853885129</v>
      </c>
      <c r="AL507" s="31">
        <f>AK507*0.01</f>
        <v>1063.027685388513</v>
      </c>
      <c r="AM507" s="31">
        <f>AK507-AL507</f>
        <v>105239.74085346278</v>
      </c>
      <c r="AP507" s="31"/>
      <c r="AQ507" s="4">
        <f t="shared" si="1101"/>
        <v>1.3546116809346531</v>
      </c>
      <c r="AR507" s="46"/>
      <c r="AT507" s="4" t="str">
        <f t="shared" si="1143"/>
        <v/>
      </c>
      <c r="AU507" s="31"/>
      <c r="AV507" s="31"/>
      <c r="AW507" s="31">
        <f>IF(AV507="",AM507-AM507/($AM$510-$AV$510+$AU$510)*$AU$510,AV507)</f>
        <v>105046.13896714331</v>
      </c>
      <c r="AX507" s="4">
        <f>IFERROR(AW507/AF507,"")</f>
        <v>1.3521197004857037</v>
      </c>
      <c r="AZ507" s="174" t="str">
        <f>IFERROR(IF(VLOOKUP(A507,#REF!,11,FALSE)=0,"",VLOOKUP(A507,#REF!,11,FALSE)),"")</f>
        <v/>
      </c>
      <c r="BA507" s="31" t="str">
        <f t="shared" si="1149"/>
        <v/>
      </c>
      <c r="BB507" s="31">
        <f t="shared" si="1150"/>
        <v>105046.13896714331</v>
      </c>
      <c r="BD507" s="31" t="str">
        <f>IFERROR(VLOOKUP(A507,'Title II Hold Harmless'!A$1:B$439,2, FALSE),"")</f>
        <v/>
      </c>
      <c r="BE507" s="31">
        <f t="shared" si="1151"/>
        <v>1493.7303295479824</v>
      </c>
      <c r="BF507" s="31">
        <f t="shared" si="1152"/>
        <v>1495.1756027766239</v>
      </c>
      <c r="BG507" s="31" t="str">
        <f t="shared" si="1153"/>
        <v/>
      </c>
      <c r="BH507" s="31">
        <f t="shared" si="1154"/>
        <v>1495.1756027766239</v>
      </c>
    </row>
    <row r="508" spans="1:60" s="47" customFormat="1" x14ac:dyDescent="0.3">
      <c r="A508" s="1"/>
      <c r="D508" s="191" t="s">
        <v>1411</v>
      </c>
      <c r="E508" s="47" t="s">
        <v>284</v>
      </c>
      <c r="H508" s="4"/>
      <c r="I508" s="24">
        <f>'AVA Metrics'!C14</f>
        <v>21.061322921451538</v>
      </c>
      <c r="J508" s="24">
        <f>'AVA Metrics'!D14</f>
        <v>11.019292604501608</v>
      </c>
      <c r="K508" s="24">
        <f>I508</f>
        <v>21.061322921451538</v>
      </c>
      <c r="L508" s="24">
        <f>J508*$B$510</f>
        <v>4.9047255105875207</v>
      </c>
      <c r="M508" s="4">
        <f t="shared" si="1155"/>
        <v>0.23287832055373514</v>
      </c>
      <c r="N508" s="31"/>
      <c r="O508" s="31"/>
      <c r="P508" s="31"/>
      <c r="Q508" s="31"/>
      <c r="R508" s="31"/>
      <c r="S508" s="31">
        <f t="shared" si="1156"/>
        <v>2434.1703850936478</v>
      </c>
      <c r="T508" s="31">
        <f t="shared" si="1156"/>
        <v>581.73205694630542</v>
      </c>
      <c r="U508" s="31">
        <f t="shared" si="1156"/>
        <v>1338.8152995628955</v>
      </c>
      <c r="V508" s="31">
        <f t="shared" si="1156"/>
        <v>1219.5463258967914</v>
      </c>
      <c r="W508" s="31">
        <f>S508</f>
        <v>2434.1703850936478</v>
      </c>
      <c r="X508" s="31">
        <f>T508</f>
        <v>581.73205694630542</v>
      </c>
      <c r="Y508" s="31">
        <f>U508</f>
        <v>1338.8152995628955</v>
      </c>
      <c r="Z508" s="31">
        <f>V508</f>
        <v>1219.5463258967914</v>
      </c>
      <c r="AA508" s="31">
        <f t="shared" si="1161"/>
        <v>2434.1703850936478</v>
      </c>
      <c r="AB508" s="31">
        <f t="shared" si="1161"/>
        <v>581.73205694630542</v>
      </c>
      <c r="AC508" s="31">
        <f t="shared" si="1161"/>
        <v>1338.8152995628955</v>
      </c>
      <c r="AD508" s="31">
        <f t="shared" si="1161"/>
        <v>1219.5463258967914</v>
      </c>
      <c r="AE508" s="31">
        <f t="shared" ref="AE508" si="1164">SUM(AA508:AD508)</f>
        <v>5574.2640674996401</v>
      </c>
      <c r="AF508" s="31"/>
      <c r="AG508" s="31"/>
      <c r="AH508" s="31"/>
      <c r="AI508" s="31"/>
      <c r="AJ508" s="31"/>
      <c r="AK508" s="31"/>
      <c r="AL508" s="31"/>
      <c r="AM508" s="31"/>
      <c r="AP508" s="31"/>
      <c r="AQ508" s="4"/>
      <c r="AR508" s="46"/>
      <c r="AS508" s="4"/>
      <c r="AT508" s="4"/>
      <c r="AU508" s="31"/>
      <c r="AV508" s="31"/>
      <c r="AW508" s="31"/>
      <c r="AX508" s="4"/>
      <c r="AZ508" s="174"/>
      <c r="BA508" s="31"/>
      <c r="BB508" s="31"/>
      <c r="BD508" s="31"/>
      <c r="BE508" s="31"/>
      <c r="BF508" s="31"/>
      <c r="BG508" s="31"/>
      <c r="BH508" s="31"/>
    </row>
    <row r="509" spans="1:60" x14ac:dyDescent="0.3">
      <c r="A509" s="1"/>
      <c r="D509" s="147" t="s">
        <v>878</v>
      </c>
      <c r="K509" s="24">
        <f>SUM(K507:K508)</f>
        <v>277.06132292145156</v>
      </c>
      <c r="L509" s="24">
        <f>SUM(L507:L508)</f>
        <v>103.27259509570304</v>
      </c>
      <c r="S509" s="31">
        <f>SUM(S507:S508)</f>
        <v>51253.243842307391</v>
      </c>
      <c r="T509" s="31">
        <f>SUM(T507:T508)</f>
        <v>12248.795379378906</v>
      </c>
      <c r="U509" s="31">
        <f>SUM(U507:U508)</f>
        <v>28189.738659427894</v>
      </c>
      <c r="V509" s="31">
        <f>SUM(V507:V508)</f>
        <v>25678.442890008944</v>
      </c>
      <c r="BE509" s="31"/>
      <c r="BF509" s="31"/>
    </row>
    <row r="510" spans="1:60" x14ac:dyDescent="0.3">
      <c r="A510" s="1" t="s">
        <v>880</v>
      </c>
      <c r="B510">
        <f>G510/J510</f>
        <v>0.44510348228559055</v>
      </c>
      <c r="D510" s="147" t="s">
        <v>879</v>
      </c>
      <c r="F510">
        <f>SUM(F500:F508)</f>
        <v>9828</v>
      </c>
      <c r="G510" s="47">
        <f>SUM(G500:G508)</f>
        <v>3146</v>
      </c>
      <c r="I510" s="24">
        <f>SUM(I500:I508)</f>
        <v>9072.0613229214523</v>
      </c>
      <c r="J510" s="24">
        <f>SUM(J500:J508)</f>
        <v>7068.019292604502</v>
      </c>
      <c r="K510" s="24">
        <f>SUM(K500:K508)</f>
        <v>9849.0613229214523</v>
      </c>
      <c r="L510" s="24">
        <f>SUM(L500:L508)</f>
        <v>3150.9047255105875</v>
      </c>
      <c r="N510" s="31">
        <f>SUM(N500:N508)</f>
        <v>1563765.1796279131</v>
      </c>
      <c r="O510" s="31">
        <f t="shared" ref="O510:AE510" si="1165">SUM(O500:O508)</f>
        <v>373717.60830577882</v>
      </c>
      <c r="P510" s="31">
        <f t="shared" si="1165"/>
        <v>860084.71725327638</v>
      </c>
      <c r="Q510" s="31">
        <f t="shared" si="1165"/>
        <v>783463.67660174589</v>
      </c>
      <c r="R510" s="31">
        <f t="shared" si="1165"/>
        <v>3581031.1817887141</v>
      </c>
      <c r="S510" s="31">
        <f t="shared" si="1165"/>
        <v>1563765.1796279131</v>
      </c>
      <c r="T510" s="31">
        <f t="shared" si="1165"/>
        <v>373717.60830577888</v>
      </c>
      <c r="U510" s="31">
        <f t="shared" si="1165"/>
        <v>860084.71725327626</v>
      </c>
      <c r="V510" s="31">
        <f t="shared" si="1165"/>
        <v>783463.67660174577</v>
      </c>
      <c r="W510" s="31">
        <f t="shared" si="1165"/>
        <v>1563765.1796279131</v>
      </c>
      <c r="X510" s="31">
        <f t="shared" si="1165"/>
        <v>373717.60830577888</v>
      </c>
      <c r="Y510" s="31">
        <f t="shared" si="1165"/>
        <v>860084.71725327626</v>
      </c>
      <c r="Z510" s="31">
        <f t="shared" si="1165"/>
        <v>783463.67660174577</v>
      </c>
      <c r="AA510" s="31">
        <f t="shared" si="1165"/>
        <v>1563765.1796279131</v>
      </c>
      <c r="AB510" s="31">
        <f t="shared" si="1165"/>
        <v>373717.60830577888</v>
      </c>
      <c r="AC510" s="31">
        <f t="shared" si="1165"/>
        <v>860084.71725327626</v>
      </c>
      <c r="AD510" s="31">
        <f t="shared" si="1165"/>
        <v>783463.67660174577</v>
      </c>
      <c r="AE510" s="31">
        <f t="shared" si="1165"/>
        <v>3581031.1817887137</v>
      </c>
      <c r="AF510" s="31"/>
      <c r="AK510" s="31">
        <f>SUM(AK500:AK507)</f>
        <v>3537001.8024886325</v>
      </c>
      <c r="AL510" s="31"/>
      <c r="AM510" s="31">
        <f>SUM(AM500:AM507)</f>
        <v>3501631.784463746</v>
      </c>
      <c r="AU510" s="31">
        <f>SUM(AU500:AU507)</f>
        <v>4317.222895824787</v>
      </c>
      <c r="AV510" s="31">
        <f>SUM(AV500:AV507)</f>
        <v>1159156.6934999998</v>
      </c>
      <c r="AW510" s="31">
        <f>SUM(AW500:AW507)</f>
        <v>3501631.7844637465</v>
      </c>
    </row>
    <row r="511" spans="1:60" x14ac:dyDescent="0.3">
      <c r="A511" s="1"/>
      <c r="N511" s="31">
        <f>N510/$L510</f>
        <v>496.29084845607736</v>
      </c>
      <c r="O511" s="31">
        <f>O510/$L510</f>
        <v>118.60644508863081</v>
      </c>
      <c r="P511" s="31">
        <f>P510/$L510</f>
        <v>272.96436807174621</v>
      </c>
      <c r="Q511" s="31">
        <f>Q510/$L510</f>
        <v>248.64721242080392</v>
      </c>
      <c r="R511" s="31" t="str">
        <f>IFERROR(VLOOKUP($B511,#REF!,12,FALSE),"")</f>
        <v/>
      </c>
      <c r="W511" s="31">
        <f>(S510-W510)/COUNT(W500:W508)</f>
        <v>0</v>
      </c>
      <c r="X511" s="31">
        <f>(T510-X510)/COUNT(X500:X508)</f>
        <v>0</v>
      </c>
      <c r="Y511" s="31">
        <f>(U510-Y510)/COUNT(Y500:Y508)</f>
        <v>0</v>
      </c>
      <c r="Z511" s="31">
        <f>(V510-Z510)/COUNT(Z500:Z508)</f>
        <v>0</v>
      </c>
    </row>
    <row r="512" spans="1:60" x14ac:dyDescent="0.3">
      <c r="A512" s="1"/>
      <c r="N512" s="31" t="str">
        <f>IFERROR(VLOOKUP($B512,#REF!,8,FALSE),"")</f>
        <v/>
      </c>
      <c r="O512" s="31" t="str">
        <f>IFERROR(VLOOKUP($B512,#REF!,9,FALSE),"")</f>
        <v/>
      </c>
      <c r="P512" s="31" t="str">
        <f>IFERROR(VLOOKUP($B512,#REF!,10,FALSE),"")</f>
        <v/>
      </c>
      <c r="Q512" s="31" t="str">
        <f>IFERROR(VLOOKUP($B512,#REF!,11,FALSE),"")</f>
        <v/>
      </c>
      <c r="R512" s="31" t="str">
        <f>IFERROR(VLOOKUP($B512,#REF!,12,FALSE),"")</f>
        <v/>
      </c>
    </row>
    <row r="513" spans="1:60" x14ac:dyDescent="0.3">
      <c r="A513" s="1">
        <v>130352000</v>
      </c>
      <c r="B513">
        <f>VLOOKUP(C513,'NCES ID'!$A$2:$B$3136,2,FALSE)</f>
        <v>409510</v>
      </c>
      <c r="C513">
        <f>VLOOKUP(A513,'State ID'!$A$2:$B$713,2,FALSE)</f>
        <v>4485</v>
      </c>
      <c r="D513" s="147" t="s">
        <v>448</v>
      </c>
      <c r="E513" t="s">
        <v>3</v>
      </c>
      <c r="F513" s="47">
        <f>VLOOKUP(B513,'Formula counts'!$D$9:$L$234,9,FALSE)</f>
        <v>67</v>
      </c>
      <c r="G513" s="47">
        <f>VLOOKUP(B513,'Formula counts'!$D$9:$K$234,8,FALSE)</f>
        <v>21</v>
      </c>
      <c r="H513" s="4">
        <f>VLOOKUP(B513,'Formula counts'!$D$9:$M$234,10,FALSE)</f>
        <v>0.31343283582089554</v>
      </c>
      <c r="I513" s="47">
        <f>VLOOKUP($C513,'Final SEA Counts'!$A$2:$F$709,5,FALSE)</f>
        <v>33</v>
      </c>
      <c r="J513" s="47">
        <f>VLOOKUP($C513,'Final SEA Counts'!$A$2:$F$709,6,FALSE)</f>
        <v>28</v>
      </c>
      <c r="K513" s="24">
        <f t="shared" ref="K513:K534" si="1166">F513-(F513/F$554)*K$553</f>
        <v>58.297765708256229</v>
      </c>
      <c r="L513" s="24">
        <f t="shared" ref="L513:L534" si="1167">G513-(G513/G$554)*L$553</f>
        <v>17.413901485532012</v>
      </c>
      <c r="M513" s="4">
        <f t="shared" ref="M513:M552" si="1168">L513/K513</f>
        <v>0.29870615578438586</v>
      </c>
      <c r="N513" s="31">
        <f>IFERROR(VLOOKUP($B513,Allocation!$D$10:$O$235,8,FALSE),"")</f>
        <v>9906.497896852512</v>
      </c>
      <c r="O513" s="31">
        <f>IFERROR(VLOOKUP($B513,Allocation!$D$10:$O$235,9,FALSE),"")</f>
        <v>2349.3347978588808</v>
      </c>
      <c r="P513" s="31">
        <f>IFERROR(VLOOKUP($B513,Allocation!$D$10:$O$235,10,FALSE),"")</f>
        <v>4845.6846211906695</v>
      </c>
      <c r="Q513" s="31">
        <f>IFERROR(VLOOKUP($B513,Allocation!$D$10:$O$235,11,FALSE),"")</f>
        <v>4041.4721074388344</v>
      </c>
      <c r="R513" s="31">
        <f>IFERROR(VLOOKUP($B513,Allocation!$D$10:$O$235,12,FALSE),"")</f>
        <v>21142.9894233409</v>
      </c>
      <c r="S513" s="31">
        <f>IF(N513=0,"",N513-(N513/N$554)*S$553)</f>
        <v>8214.7989734485582</v>
      </c>
      <c r="T513" s="31">
        <f>IF(O513=0,"",O513-(O513/O$554)*T$553)</f>
        <v>1948.1468917355628</v>
      </c>
      <c r="U513" s="31">
        <f>IF(P513=0,"",P513-(P513/P$554)*U$553)</f>
        <v>4018.2035534938968</v>
      </c>
      <c r="V513" s="31">
        <f>IF(Q513=0,"",Q513-(Q513/Q$554)*V$553)</f>
        <v>3351.3236731173961</v>
      </c>
      <c r="W513" s="31">
        <f t="shared" ref="W513:W533" si="1169">IF(S513="0","",S513)</f>
        <v>8214.7989734485582</v>
      </c>
      <c r="X513" s="31">
        <f t="shared" ref="X513:X533" si="1170">IF(T513="0","",T513)</f>
        <v>1948.1468917355628</v>
      </c>
      <c r="Y513" s="31">
        <f t="shared" ref="Y513:Y533" si="1171">IF(U513="0","",U513)</f>
        <v>4018.2035534938968</v>
      </c>
      <c r="Z513" s="31">
        <f t="shared" ref="Z513:Z533" si="1172">IF(V513="0","",V513)</f>
        <v>3351.3236731173961</v>
      </c>
      <c r="AA513" s="31">
        <f>IF(W513="","",W513+W$555)</f>
        <v>8481.8744904874402</v>
      </c>
      <c r="AB513" s="31">
        <f>IF(X513="","",X513+X$555)</f>
        <v>2102.3902572799161</v>
      </c>
      <c r="AC513" s="31">
        <f>IF(Y513="","",Y513+Y$555)</f>
        <v>4127.523463689553</v>
      </c>
      <c r="AD513" s="31">
        <f>IF(Z513="","",Z513+Z$555)</f>
        <v>3433.3992052488152</v>
      </c>
      <c r="AE513" s="31">
        <f t="shared" ref="AE513:AE551" si="1173">SUM(AA513:AD513)</f>
        <v>18145.187416705725</v>
      </c>
      <c r="AF513" s="31">
        <f>IFERROR(VLOOKUP(A513,'Allocations By Type'!$D$7:$F$491,3,FALSE),"")</f>
        <v>12159.68</v>
      </c>
      <c r="AG513" s="31">
        <f t="shared" ref="AG513:AG551" si="1174">IF(AE513&gt;AF513,AE513*0.04,"")</f>
        <v>725.80749666822896</v>
      </c>
      <c r="AH513" s="31">
        <f t="shared" ref="AH513:AH551" si="1175">IF(AG513="","",IF((AE513-AF513)&gt;AG513,AG513,AE513-AF513))</f>
        <v>725.80749666822896</v>
      </c>
      <c r="AI513" s="31">
        <f t="shared" ref="AI513:AI551" si="1176">IF(AH513="",AE513,AE513-AH513)</f>
        <v>17419.379920037496</v>
      </c>
      <c r="AJ513" s="31">
        <f>AI513/$AI$577*'State Admin 1004(b)'!$B$30*0.01</f>
        <v>165.77151659845219</v>
      </c>
      <c r="AK513" s="31">
        <f t="shared" ref="AK513:AK551" si="1177">AI513-AJ513</f>
        <v>17253.608403439044</v>
      </c>
      <c r="AL513" s="31">
        <f t="shared" ref="AL513:AL551" si="1178">AK513*0.01</f>
        <v>172.53608403439046</v>
      </c>
      <c r="AM513" s="31">
        <f t="shared" ref="AM513:AM551" si="1179">AK513-AL513</f>
        <v>17081.072319404655</v>
      </c>
      <c r="AP513" s="31"/>
      <c r="AQ513" s="4">
        <f t="shared" ref="AQ513:AQ551" si="1180">IFERROR(AM513/AF513,"")</f>
        <v>1.4047304139093015</v>
      </c>
      <c r="AR513" s="4">
        <f>VLOOKUP(B513,Allocation!$D$10:$P$235,13,FALSE)</f>
        <v>10.584036291440183</v>
      </c>
      <c r="AS513" s="4">
        <f t="shared" ref="AS513" si="1181">IF(M513&gt;0.3,0.95,IF(M513&gt;0.15,0.9,0.85))</f>
        <v>0.9</v>
      </c>
      <c r="AT513" s="4" t="str">
        <f t="shared" ref="AT513:AT533" si="1182">IF(AQ513&lt;AS513,"Review","")</f>
        <v/>
      </c>
      <c r="AU513" s="31" t="str">
        <f t="shared" ref="AU513:AU534" si="1183">IF(AT513="Review",AM513*AS513/AQ513-AM513,"")</f>
        <v/>
      </c>
      <c r="AV513" s="31" t="str">
        <f t="shared" ref="AV513:AV534" si="1184">IF(AU513="","",AU513+AM513)</f>
        <v/>
      </c>
      <c r="AW513" s="31">
        <f>IF(AV513="",AM513-AM513/($AM$554-$AV$554+$AU$554)*$AU$554,AV513)</f>
        <v>17073.564457049317</v>
      </c>
      <c r="AX513" s="4">
        <f t="shared" ref="AX513:AX551" si="1185">IFERROR(AW513/AF513,"")</f>
        <v>1.4041129747698391</v>
      </c>
      <c r="AY513" s="4" t="str">
        <f t="shared" ref="AY513:AY533" si="1186">IF(AX513&lt;AS513,"Manual Adjustment","")</f>
        <v/>
      </c>
      <c r="AZ513" s="174" t="str">
        <f>IFERROR(IF(VLOOKUP(A513,#REF!,11,FALSE)=0,"",VLOOKUP(A513,#REF!,11,FALSE)),"")</f>
        <v/>
      </c>
      <c r="BA513" s="31" t="str">
        <f t="shared" ref="BA513:BA551" si="1187">IF(AZ513&lt;0,AW513*AZ513/100,"")</f>
        <v/>
      </c>
      <c r="BB513" s="31">
        <f t="shared" ref="BB513:BB551" si="1188">IF(BA513&lt;0,AW513+BA513,AW513)</f>
        <v>17073.564457049317</v>
      </c>
      <c r="BD513" s="31" t="str">
        <f>IFERROR(VLOOKUP(A513,'Title II Hold Harmless'!A$1:B$439,2, FALSE),"")</f>
        <v/>
      </c>
      <c r="BE513" s="31">
        <f>IFERROR($BD$582*(0.8*($L513/$L$579)+0.2*($K513/$K$579))+$BD513,$BD$582*(0.8*($L513/$L$579)+0.2*($K513/$K$579)))</f>
        <v>274.87771278413612</v>
      </c>
      <c r="BF513" s="31">
        <f>$BD$583*BE513</f>
        <v>275.14367337392838</v>
      </c>
      <c r="BG513" s="31" t="str">
        <f t="shared" ref="BG513:BG551" si="1189">IF(AZ513&lt;0,BF513*AZ513/100,"")</f>
        <v/>
      </c>
      <c r="BH513" s="31">
        <f t="shared" ref="BH513:BH551" si="1190">IF(BG513&lt;0,BF513+BG513,BF513)</f>
        <v>275.14367337392838</v>
      </c>
    </row>
    <row r="514" spans="1:60" s="47" customFormat="1" x14ac:dyDescent="0.3">
      <c r="A514" s="1">
        <v>130335000</v>
      </c>
      <c r="B514" s="47">
        <f>VLOOKUP(C514,'NCES ID'!$A$2:$B$3136,2,FALSE)</f>
        <v>408460</v>
      </c>
      <c r="C514" s="47">
        <f>VLOOKUP(A514,'State ID'!$A$2:$B$713,2,FALSE)</f>
        <v>4482</v>
      </c>
      <c r="D514" s="147" t="s">
        <v>514</v>
      </c>
      <c r="E514" s="47" t="s">
        <v>3</v>
      </c>
      <c r="F514" s="47">
        <f>VLOOKUP(B514,'Formula counts'!$D$9:$L$234,9,FALSE)</f>
        <v>22</v>
      </c>
      <c r="G514" s="47">
        <f>VLOOKUP(B514,'Formula counts'!$D$9:$K$234,8,FALSE)</f>
        <v>4</v>
      </c>
      <c r="H514" s="4">
        <f>VLOOKUP(B514,'Formula counts'!$D$9:$M$234,10,FALSE)</f>
        <v>0.18181818181818182</v>
      </c>
      <c r="I514" s="47">
        <f>VLOOKUP($C514,'Final SEA Counts'!$A$2:$F$709,5,FALSE)</f>
        <v>27</v>
      </c>
      <c r="J514" s="47">
        <f>VLOOKUP($C514,'Final SEA Counts'!$A$2:$F$709,6,FALSE)</f>
        <v>1</v>
      </c>
      <c r="K514" s="24">
        <f t="shared" si="1166"/>
        <v>19.142549934054284</v>
      </c>
      <c r="L514" s="24">
        <f t="shared" si="1167"/>
        <v>3.3169336162918119</v>
      </c>
      <c r="M514" s="4"/>
      <c r="N514" s="31">
        <f>IFERROR(VLOOKUP($B514,Allocation!$D$10:$O$235,8,FALSE),"")</f>
        <v>0</v>
      </c>
      <c r="O514" s="31">
        <f>IFERROR(VLOOKUP($B514,Allocation!$D$10:$O$235,9,FALSE),"")</f>
        <v>0</v>
      </c>
      <c r="P514" s="31">
        <f>IFERROR(VLOOKUP($B514,Allocation!$D$10:$O$235,10,FALSE),"")</f>
        <v>0</v>
      </c>
      <c r="Q514" s="31">
        <f>IFERROR(VLOOKUP($B514,Allocation!$D$10:$O$235,11,FALSE),"")</f>
        <v>0</v>
      </c>
      <c r="R514" s="31">
        <f>IFERROR(VLOOKUP($B514,Allocation!$D$10:$O$235,12,FALSE),"")</f>
        <v>0</v>
      </c>
      <c r="S514" s="31"/>
      <c r="T514" s="31"/>
      <c r="U514" s="31"/>
      <c r="V514" s="31"/>
      <c r="W514" s="31"/>
      <c r="X514" s="31"/>
      <c r="Y514" s="31"/>
      <c r="Z514" s="31"/>
      <c r="AA514" s="31"/>
      <c r="AB514" s="31"/>
      <c r="AC514" s="31"/>
      <c r="AD514" s="31"/>
      <c r="AE514" s="31"/>
      <c r="AF514" s="31" t="str">
        <f>IFERROR(VLOOKUP(A514,'Allocations By Type'!$D$7:$F$491,3,FALSE),"")</f>
        <v/>
      </c>
      <c r="AG514" s="31"/>
      <c r="AH514" s="31"/>
      <c r="AI514" s="31"/>
      <c r="AJ514" s="31">
        <f>AI514/$AI$577*'State Admin 1004(b)'!$B$30*0.01</f>
        <v>0</v>
      </c>
      <c r="AK514" s="31"/>
      <c r="AL514" s="31"/>
      <c r="AM514" s="31"/>
      <c r="AP514" s="31"/>
      <c r="AQ514" s="4" t="str">
        <f t="shared" si="1180"/>
        <v/>
      </c>
      <c r="AR514" s="4"/>
      <c r="AS514" s="4"/>
      <c r="AT514" s="4"/>
      <c r="AU514" s="31"/>
      <c r="AV514" s="31"/>
      <c r="AW514" s="31"/>
      <c r="AX514" s="4"/>
      <c r="AY514" s="4"/>
      <c r="AZ514" s="174"/>
      <c r="BA514" s="31"/>
      <c r="BB514" s="31"/>
      <c r="BD514" s="31"/>
      <c r="BE514" s="31"/>
      <c r="BF514" s="31"/>
      <c r="BG514" s="31"/>
      <c r="BH514" s="31"/>
    </row>
    <row r="515" spans="1:60" s="47" customFormat="1" x14ac:dyDescent="0.3">
      <c r="A515" s="1">
        <v>130307000</v>
      </c>
      <c r="B515" s="47">
        <f>VLOOKUP(C515,'NCES ID'!$A$2:$B$3136,2,FALSE)</f>
        <v>409030</v>
      </c>
      <c r="C515" s="47">
        <v>4476</v>
      </c>
      <c r="D515" s="147" t="s">
        <v>459</v>
      </c>
      <c r="E515" s="47" t="s">
        <v>3</v>
      </c>
      <c r="F515" s="47">
        <f>VLOOKUP(B515,'Formula counts'!$D$9:$L$234,9,FALSE)</f>
        <v>1</v>
      </c>
      <c r="G515" s="47">
        <f>VLOOKUP(B515,'Formula counts'!$D$9:$K$234,8,FALSE)</f>
        <v>0</v>
      </c>
      <c r="H515" s="4">
        <f>VLOOKUP(B515,'Formula counts'!$D$9:$M$234,10,FALSE)</f>
        <v>0</v>
      </c>
      <c r="K515" s="24">
        <f t="shared" si="1166"/>
        <v>0.87011590609337652</v>
      </c>
      <c r="L515" s="24">
        <f t="shared" si="1167"/>
        <v>0</v>
      </c>
      <c r="M515" s="4"/>
      <c r="N515" s="31">
        <f>IFERROR(VLOOKUP($B515,Allocation!$D$10:$O$235,8,FALSE),"")</f>
        <v>0</v>
      </c>
      <c r="O515" s="31">
        <f>IFERROR(VLOOKUP($B515,Allocation!$D$10:$O$235,9,FALSE),"")</f>
        <v>0</v>
      </c>
      <c r="P515" s="31">
        <f>IFERROR(VLOOKUP($B515,Allocation!$D$10:$O$235,10,FALSE),"")</f>
        <v>0</v>
      </c>
      <c r="Q515" s="31">
        <f>IFERROR(VLOOKUP($B515,Allocation!$D$10:$O$235,11,FALSE),"")</f>
        <v>0</v>
      </c>
      <c r="R515" s="31">
        <f>IFERROR(VLOOKUP($B515,Allocation!$D$10:$O$235,12,FALSE),"")</f>
        <v>0</v>
      </c>
      <c r="S515" s="31"/>
      <c r="T515" s="31"/>
      <c r="U515" s="31"/>
      <c r="V515" s="31"/>
      <c r="W515" s="31"/>
      <c r="X515" s="31"/>
      <c r="Y515" s="31"/>
      <c r="Z515" s="31"/>
      <c r="AA515" s="31"/>
      <c r="AB515" s="31"/>
      <c r="AC515" s="31"/>
      <c r="AD515" s="31"/>
      <c r="AE515" s="31"/>
      <c r="AF515" s="31" t="str">
        <f>IFERROR(VLOOKUP(A515,'Allocations By Type'!$D$7:$F$491,3,FALSE),"")</f>
        <v/>
      </c>
      <c r="AG515" s="31"/>
      <c r="AH515" s="31"/>
      <c r="AI515" s="31"/>
      <c r="AJ515" s="31">
        <f>AI515/$AI$577*'State Admin 1004(b)'!$B$30*0.01</f>
        <v>0</v>
      </c>
      <c r="AK515" s="31"/>
      <c r="AL515" s="31"/>
      <c r="AM515" s="31"/>
      <c r="AP515" s="31"/>
      <c r="AQ515" s="4" t="str">
        <f t="shared" si="1180"/>
        <v/>
      </c>
      <c r="AR515" s="4"/>
      <c r="AS515" s="4"/>
      <c r="AT515" s="4"/>
      <c r="AU515" s="31"/>
      <c r="AV515" s="31"/>
      <c r="AW515" s="31"/>
      <c r="AX515" s="4"/>
      <c r="AY515" s="4"/>
      <c r="AZ515" s="174"/>
      <c r="BA515" s="31"/>
      <c r="BB515" s="31"/>
      <c r="BD515" s="31"/>
      <c r="BE515" s="31"/>
      <c r="BF515" s="31"/>
      <c r="BG515" s="31"/>
      <c r="BH515" s="31"/>
    </row>
    <row r="516" spans="1:60" s="47" customFormat="1" x14ac:dyDescent="0.3">
      <c r="A516" s="1">
        <v>130341000</v>
      </c>
      <c r="B516" s="47">
        <f>VLOOKUP(C516,'NCES ID'!$A$2:$B$3136,2,FALSE)</f>
        <v>402460</v>
      </c>
      <c r="C516" s="47">
        <v>4483</v>
      </c>
      <c r="D516" s="147" t="s">
        <v>527</v>
      </c>
      <c r="E516" s="47" t="s">
        <v>3</v>
      </c>
      <c r="F516" s="47">
        <f>VLOOKUP(B516,'Formula counts'!$D$9:$L$234,9,FALSE)</f>
        <v>15</v>
      </c>
      <c r="G516" s="47">
        <f>VLOOKUP(B516,'Formula counts'!$D$9:$K$234,8,FALSE)</f>
        <v>3</v>
      </c>
      <c r="H516" s="4">
        <f>VLOOKUP(B516,'Formula counts'!$D$9:$M$234,10,FALSE)</f>
        <v>0.2</v>
      </c>
      <c r="I516" s="47">
        <f>VLOOKUP($C516,'Final SEA Counts'!$A$2:$F$709,5,FALSE)</f>
        <v>1</v>
      </c>
      <c r="J516" s="47">
        <f>VLOOKUP($C516,'Final SEA Counts'!$A$2:$F$709,6,FALSE)</f>
        <v>0</v>
      </c>
      <c r="K516" s="24">
        <f t="shared" si="1166"/>
        <v>13.051738591400648</v>
      </c>
      <c r="L516" s="24">
        <f t="shared" si="1167"/>
        <v>2.4877002122188587</v>
      </c>
      <c r="M516" s="4"/>
      <c r="N516" s="31">
        <f>IFERROR(VLOOKUP($B516,Allocation!$D$10:$O$235,8,FALSE),"")</f>
        <v>0</v>
      </c>
      <c r="O516" s="31">
        <f>IFERROR(VLOOKUP($B516,Allocation!$D$10:$O$235,9,FALSE),"")</f>
        <v>0</v>
      </c>
      <c r="P516" s="31">
        <f>IFERROR(VLOOKUP($B516,Allocation!$D$10:$O$235,10,FALSE),"")</f>
        <v>0</v>
      </c>
      <c r="Q516" s="31">
        <f>IFERROR(VLOOKUP($B516,Allocation!$D$10:$O$235,11,FALSE),"")</f>
        <v>0</v>
      </c>
      <c r="R516" s="31">
        <f>IFERROR(VLOOKUP($B516,Allocation!$D$10:$O$235,12,FALSE),"")</f>
        <v>0</v>
      </c>
      <c r="S516" s="31"/>
      <c r="T516" s="31"/>
      <c r="U516" s="31"/>
      <c r="V516" s="31"/>
      <c r="W516" s="31"/>
      <c r="X516" s="31"/>
      <c r="Y516" s="31"/>
      <c r="Z516" s="31"/>
      <c r="AA516" s="31"/>
      <c r="AB516" s="31"/>
      <c r="AC516" s="31"/>
      <c r="AD516" s="31"/>
      <c r="AE516" s="31"/>
      <c r="AF516" s="31" t="str">
        <f>IFERROR(VLOOKUP(A516,'Allocations By Type'!$D$7:$F$491,3,FALSE),"")</f>
        <v/>
      </c>
      <c r="AG516" s="31"/>
      <c r="AH516" s="31"/>
      <c r="AI516" s="31"/>
      <c r="AJ516" s="31">
        <f>AI516/$AI$577*'State Admin 1004(b)'!$B$30*0.01</f>
        <v>0</v>
      </c>
      <c r="AK516" s="31"/>
      <c r="AL516" s="31"/>
      <c r="AM516" s="31"/>
      <c r="AP516" s="31"/>
      <c r="AQ516" s="4" t="str">
        <f t="shared" si="1180"/>
        <v/>
      </c>
      <c r="AR516" s="4"/>
      <c r="AS516" s="4"/>
      <c r="AT516" s="4"/>
      <c r="AU516" s="31"/>
      <c r="AV516" s="31"/>
      <c r="AW516" s="31"/>
      <c r="AX516" s="4"/>
      <c r="AY516" s="4"/>
      <c r="AZ516" s="174"/>
      <c r="BA516" s="31"/>
      <c r="BB516" s="31"/>
      <c r="BD516" s="31"/>
      <c r="BE516" s="31"/>
      <c r="BF516" s="31"/>
      <c r="BG516" s="31"/>
      <c r="BH516" s="31"/>
    </row>
    <row r="517" spans="1:60" x14ac:dyDescent="0.3">
      <c r="A517" s="1">
        <v>130323000</v>
      </c>
      <c r="B517">
        <f>VLOOKUP(C517,'NCES ID'!$A$2:$B$3136,2,FALSE)</f>
        <v>404170</v>
      </c>
      <c r="C517">
        <f>VLOOKUP(A517,'State ID'!$A$2:$B$713,2,FALSE)</f>
        <v>4480</v>
      </c>
      <c r="D517" s="147" t="s">
        <v>243</v>
      </c>
      <c r="E517" t="s">
        <v>3</v>
      </c>
      <c r="F517" s="47">
        <f>VLOOKUP(B517,'Formula counts'!$D$9:$L$234,9,FALSE)</f>
        <v>144</v>
      </c>
      <c r="G517" s="47">
        <f>VLOOKUP(B517,'Formula counts'!$D$9:$K$234,8,FALSE)</f>
        <v>46</v>
      </c>
      <c r="H517" s="4">
        <f>VLOOKUP(B517,'Formula counts'!$D$9:$M$234,10,FALSE)</f>
        <v>0.31944444444444442</v>
      </c>
      <c r="I517" s="47">
        <f>VLOOKUP($C517,'Final SEA Counts'!$A$2:$F$709,5,FALSE)</f>
        <v>72</v>
      </c>
      <c r="J517" s="47">
        <f>VLOOKUP($C517,'Final SEA Counts'!$A$2:$F$709,6,FALSE)</f>
        <v>59</v>
      </c>
      <c r="K517" s="24">
        <f t="shared" si="1166"/>
        <v>125.29669047744622</v>
      </c>
      <c r="L517" s="24">
        <f t="shared" si="1167"/>
        <v>38.144736587355837</v>
      </c>
      <c r="M517" s="4">
        <f t="shared" si="1168"/>
        <v>0.30443530824321335</v>
      </c>
      <c r="N517" s="31">
        <f>IFERROR(VLOOKUP($B517,Allocation!$D$10:$O$235,8,FALSE),"")</f>
        <v>21699.94777405787</v>
      </c>
      <c r="O517" s="31">
        <f>IFERROR(VLOOKUP($B517,Allocation!$D$10:$O$235,9,FALSE),"")</f>
        <v>5146.1619381670744</v>
      </c>
      <c r="P517" s="31">
        <f>IFERROR(VLOOKUP($B517,Allocation!$D$10:$O$235,10,FALSE),"")</f>
        <v>11081.989363225906</v>
      </c>
      <c r="Q517" s="31">
        <f>IFERROR(VLOOKUP($B517,Allocation!$D$10:$O$235,11,FALSE),"")</f>
        <v>10353.461393798705</v>
      </c>
      <c r="R517" s="31">
        <f>IFERROR(VLOOKUP($B517,Allocation!$D$10:$O$235,12,FALSE),"")</f>
        <v>48281.560469249554</v>
      </c>
      <c r="S517" s="31">
        <f t="shared" ref="S517:S534" si="1191">IF(N517=0,"",N517-(N517/N$554)*S$553)</f>
        <v>17994.321560887307</v>
      </c>
      <c r="T517" s="31">
        <f t="shared" ref="T517:T534" si="1192">IF(O517=0,"",O517-(O517/O$554)*T$553)</f>
        <v>4267.3693818969487</v>
      </c>
      <c r="U517" s="31">
        <f t="shared" ref="U517:U534" si="1193">IF(P517=0,"",P517-(P517/P$554)*U$553)</f>
        <v>9189.5557635680761</v>
      </c>
      <c r="V517" s="31">
        <f t="shared" ref="V517:V534" si="1194">IF(Q517=0,"",Q517-(Q517/Q$554)*V$553)</f>
        <v>8585.4360355176013</v>
      </c>
      <c r="W517" s="31">
        <f t="shared" si="1169"/>
        <v>17994.321560887307</v>
      </c>
      <c r="X517" s="31">
        <f t="shared" si="1170"/>
        <v>4267.3693818969487</v>
      </c>
      <c r="Y517" s="31">
        <f t="shared" si="1171"/>
        <v>9189.5557635680761</v>
      </c>
      <c r="Z517" s="31">
        <f t="shared" si="1172"/>
        <v>8585.4360355176013</v>
      </c>
      <c r="AA517" s="31">
        <f t="shared" ref="AA517:AA552" si="1195">IF(W517="","",W517+W$555)</f>
        <v>18261.397077926187</v>
      </c>
      <c r="AB517" s="31">
        <f t="shared" ref="AB517:AB552" si="1196">IF(X517="","",X517+X$555)</f>
        <v>4421.6127474413015</v>
      </c>
      <c r="AC517" s="31">
        <f t="shared" ref="AC517:AC552" si="1197">IF(Y517="","",Y517+Y$555)</f>
        <v>9298.8756737637323</v>
      </c>
      <c r="AD517" s="31">
        <f t="shared" ref="AD517:AD552" si="1198">IF(Z517="","",Z517+Z$555)</f>
        <v>8667.5115676490204</v>
      </c>
      <c r="AE517" s="31">
        <f t="shared" si="1173"/>
        <v>40649.397066780235</v>
      </c>
      <c r="AF517" s="31">
        <f>IFERROR(VLOOKUP(A517,'Allocations By Type'!$D$7:$F$491,3,FALSE),"")</f>
        <v>40864.51</v>
      </c>
      <c r="AG517" s="31" t="str">
        <f t="shared" si="1174"/>
        <v/>
      </c>
      <c r="AH517" s="31" t="str">
        <f t="shared" si="1175"/>
        <v/>
      </c>
      <c r="AI517" s="31">
        <f t="shared" si="1176"/>
        <v>40649.397066780235</v>
      </c>
      <c r="AJ517" s="31">
        <f>AI517/$AI$577*'State Admin 1004(b)'!$B$30*0.01</f>
        <v>386.83995822500719</v>
      </c>
      <c r="AK517" s="31">
        <f t="shared" si="1177"/>
        <v>40262.557108555229</v>
      </c>
      <c r="AL517" s="31">
        <f t="shared" si="1178"/>
        <v>402.62557108555228</v>
      </c>
      <c r="AM517" s="31">
        <f t="shared" si="1179"/>
        <v>39859.931537469674</v>
      </c>
      <c r="AP517" s="31"/>
      <c r="AQ517" s="4">
        <f t="shared" si="1180"/>
        <v>0.97541684795607908</v>
      </c>
      <c r="AR517" s="4">
        <f>VLOOKUP(B517,Allocation!$D$10:$P$235,13,FALSE)</f>
        <v>0.98880857508134812</v>
      </c>
      <c r="AS517" s="4">
        <f t="shared" ref="AS517:AS534" si="1199">IF(M517&gt;0.3,0.95,IF(M517&gt;0.15,0.9,0.85))</f>
        <v>0.95</v>
      </c>
      <c r="AT517" s="4" t="str">
        <f t="shared" si="1182"/>
        <v/>
      </c>
      <c r="AU517" s="31" t="str">
        <f t="shared" si="1183"/>
        <v/>
      </c>
      <c r="AV517" s="31" t="str">
        <f t="shared" si="1184"/>
        <v/>
      </c>
      <c r="AW517" s="31">
        <f t="shared" ref="AW517:AW533" si="1200">IF(AV517="",AM517-AM517/($AM$554-$AV$554+$AU$554)*$AU$554,AV517)</f>
        <v>39842.411391551403</v>
      </c>
      <c r="AX517" s="4">
        <f t="shared" si="1185"/>
        <v>0.97498811050350054</v>
      </c>
      <c r="AY517" s="4" t="str">
        <f t="shared" si="1186"/>
        <v/>
      </c>
      <c r="AZ517" s="174" t="str">
        <f>IFERROR(IF(VLOOKUP(A517,#REF!,11,FALSE)=0,"",VLOOKUP(A517,#REF!,11,FALSE)),"")</f>
        <v/>
      </c>
      <c r="BA517" s="31" t="str">
        <f t="shared" si="1187"/>
        <v/>
      </c>
      <c r="BB517" s="31">
        <f t="shared" si="1188"/>
        <v>39842.411391551403</v>
      </c>
      <c r="BD517" s="31">
        <f>IFERROR(VLOOKUP(A517,'Title II Hold Harmless'!A$1:B$439,2, FALSE),"")</f>
        <v>2883</v>
      </c>
      <c r="BE517" s="31">
        <f t="shared" ref="BE517:BE533" si="1201">IFERROR($BD$582*(0.8*($L517/$L$579)+0.2*($K517/$K$579))+$BD517,$BD$582*(0.8*($L517/$L$579)+0.2*($K517/$K$579)))</f>
        <v>3483.1790088299813</v>
      </c>
      <c r="BF517" s="31">
        <f t="shared" ref="BF517:BF533" si="1202">$BD$583*BE517</f>
        <v>3486.5491923714453</v>
      </c>
      <c r="BG517" s="31" t="str">
        <f t="shared" si="1189"/>
        <v/>
      </c>
      <c r="BH517" s="31">
        <f t="shared" si="1190"/>
        <v>3486.5491923714453</v>
      </c>
    </row>
    <row r="518" spans="1:60" x14ac:dyDescent="0.3">
      <c r="A518" s="1">
        <v>130240000</v>
      </c>
      <c r="B518">
        <f>VLOOKUP(C518,'NCES ID'!$A$2:$B$3136,2,FALSE)</f>
        <v>407630</v>
      </c>
      <c r="C518">
        <f>VLOOKUP(A518,'State ID'!$A$2:$B$713,2,FALSE)</f>
        <v>4472</v>
      </c>
      <c r="D518" s="147" t="s">
        <v>382</v>
      </c>
      <c r="E518" t="s">
        <v>3</v>
      </c>
      <c r="F518" s="47">
        <f>VLOOKUP(B518,'Formula counts'!$D$9:$L$234,9,FALSE)</f>
        <v>145</v>
      </c>
      <c r="G518" s="47">
        <f>VLOOKUP(B518,'Formula counts'!$D$9:$K$234,8,FALSE)</f>
        <v>35</v>
      </c>
      <c r="H518" s="4">
        <f>VLOOKUP(B518,'Formula counts'!$D$9:$M$234,10,FALSE)</f>
        <v>0.2413793103448276</v>
      </c>
      <c r="I518" s="47">
        <f>VLOOKUP($C518,'Final SEA Counts'!$A$2:$F$709,5,FALSE)</f>
        <v>139</v>
      </c>
      <c r="J518" s="47">
        <f>VLOOKUP($C518,'Final SEA Counts'!$A$2:$F$709,6,FALSE)</f>
        <v>103</v>
      </c>
      <c r="K518" s="24">
        <f t="shared" si="1166"/>
        <v>126.16680638353959</v>
      </c>
      <c r="L518" s="24">
        <f t="shared" si="1167"/>
        <v>29.023169142553357</v>
      </c>
      <c r="M518" s="4">
        <f t="shared" si="1168"/>
        <v>0.23003807399487189</v>
      </c>
      <c r="N518" s="31">
        <f>IFERROR(VLOOKUP($B518,Allocation!$D$10:$O$235,8,FALSE),"")</f>
        <v>16510.829828087521</v>
      </c>
      <c r="O518" s="31">
        <f>IFERROR(VLOOKUP($B518,Allocation!$D$10:$O$235,9,FALSE),"")</f>
        <v>3915.5579964314697</v>
      </c>
      <c r="P518" s="31">
        <f>IFERROR(VLOOKUP($B518,Allocation!$D$10:$O$235,10,FALSE),"")</f>
        <v>6598.7590184970286</v>
      </c>
      <c r="Q518" s="31">
        <f>IFERROR(VLOOKUP($B518,Allocation!$D$10:$O$235,11,FALSE),"")</f>
        <v>5016.4903746283753</v>
      </c>
      <c r="R518" s="31">
        <f>IFERROR(VLOOKUP($B518,Allocation!$D$10:$O$235,12,FALSE),"")</f>
        <v>32041.637217644395</v>
      </c>
      <c r="S518" s="31">
        <f t="shared" si="1191"/>
        <v>13691.331622414265</v>
      </c>
      <c r="T518" s="31">
        <f t="shared" si="1192"/>
        <v>3246.9114862259394</v>
      </c>
      <c r="U518" s="31">
        <f t="shared" si="1193"/>
        <v>5471.9114035653893</v>
      </c>
      <c r="V518" s="31">
        <f t="shared" si="1194"/>
        <v>4159.8413898522913</v>
      </c>
      <c r="W518" s="31">
        <f t="shared" si="1169"/>
        <v>13691.331622414265</v>
      </c>
      <c r="X518" s="31">
        <f t="shared" si="1170"/>
        <v>3246.9114862259394</v>
      </c>
      <c r="Y518" s="31">
        <f t="shared" si="1171"/>
        <v>5471.9114035653893</v>
      </c>
      <c r="Z518" s="31">
        <f t="shared" si="1172"/>
        <v>4159.8413898522913</v>
      </c>
      <c r="AA518" s="31">
        <f t="shared" si="1195"/>
        <v>13958.407139453147</v>
      </c>
      <c r="AB518" s="31">
        <f t="shared" si="1196"/>
        <v>3401.1548517702927</v>
      </c>
      <c r="AC518" s="31">
        <f t="shared" si="1197"/>
        <v>5581.2313137610454</v>
      </c>
      <c r="AD518" s="31">
        <f t="shared" si="1198"/>
        <v>4241.9169219837104</v>
      </c>
      <c r="AE518" s="31">
        <f t="shared" si="1173"/>
        <v>27182.710226968196</v>
      </c>
      <c r="AF518" s="31">
        <f>IFERROR(VLOOKUP(A518,'Allocations By Type'!$D$7:$F$491,3,FALSE),"")</f>
        <v>21550.94</v>
      </c>
      <c r="AG518" s="31">
        <f t="shared" si="1174"/>
        <v>1087.3084090787279</v>
      </c>
      <c r="AH518" s="31">
        <f t="shared" si="1175"/>
        <v>1087.3084090787279</v>
      </c>
      <c r="AI518" s="31">
        <f t="shared" si="1176"/>
        <v>26095.401817889469</v>
      </c>
      <c r="AJ518" s="31">
        <f>AI518/$AI$577*'State Admin 1004(b)'!$B$30*0.01</f>
        <v>248.33687280805526</v>
      </c>
      <c r="AK518" s="31">
        <f t="shared" si="1177"/>
        <v>25847.064945081413</v>
      </c>
      <c r="AL518" s="31">
        <f t="shared" si="1178"/>
        <v>258.47064945081411</v>
      </c>
      <c r="AM518" s="31">
        <f t="shared" si="1179"/>
        <v>25588.594295630599</v>
      </c>
      <c r="AP518" s="31"/>
      <c r="AQ518" s="4">
        <f t="shared" si="1180"/>
        <v>1.1873539760043228</v>
      </c>
      <c r="AR518" s="4">
        <f>VLOOKUP(B518,Allocation!$D$10:$P$235,13,FALSE)</f>
        <v>1.2516067534582715</v>
      </c>
      <c r="AS518" s="4">
        <f t="shared" si="1199"/>
        <v>0.9</v>
      </c>
      <c r="AT518" s="4" t="str">
        <f t="shared" si="1182"/>
        <v/>
      </c>
      <c r="AU518" s="31" t="str">
        <f t="shared" si="1183"/>
        <v/>
      </c>
      <c r="AV518" s="31" t="str">
        <f t="shared" si="1184"/>
        <v/>
      </c>
      <c r="AW518" s="31">
        <f t="shared" si="1200"/>
        <v>25577.347013244238</v>
      </c>
      <c r="AX518" s="4">
        <f t="shared" si="1185"/>
        <v>1.1868320831130448</v>
      </c>
      <c r="AY518" s="4" t="str">
        <f t="shared" si="1186"/>
        <v/>
      </c>
      <c r="AZ518" s="174" t="str">
        <f>IFERROR(IF(VLOOKUP(A518,#REF!,11,FALSE)=0,"",VLOOKUP(A518,#REF!,11,FALSE)),"")</f>
        <v/>
      </c>
      <c r="BA518" s="31" t="str">
        <f t="shared" si="1187"/>
        <v/>
      </c>
      <c r="BB518" s="31">
        <f t="shared" si="1188"/>
        <v>25577.347013244238</v>
      </c>
      <c r="BD518" s="31">
        <f>IFERROR(VLOOKUP(A518,'Title II Hold Harmless'!A$1:B$439,2, FALSE),"")</f>
        <v>6892</v>
      </c>
      <c r="BE518" s="31">
        <f t="shared" si="1201"/>
        <v>7373.4718216750862</v>
      </c>
      <c r="BF518" s="31">
        <f t="shared" si="1202"/>
        <v>7380.6060956569472</v>
      </c>
      <c r="BG518" s="31" t="str">
        <f t="shared" si="1189"/>
        <v/>
      </c>
      <c r="BH518" s="31">
        <f t="shared" si="1190"/>
        <v>7380.6060956569472</v>
      </c>
    </row>
    <row r="519" spans="1:60" x14ac:dyDescent="0.3">
      <c r="A519" s="1">
        <v>130317000</v>
      </c>
      <c r="B519">
        <f>VLOOKUP(C519,'NCES ID'!$A$2:$B$3136,2,FALSE)</f>
        <v>402220</v>
      </c>
      <c r="C519">
        <f>VLOOKUP(A519,'State ID'!$A$2:$B$713,2,FALSE)</f>
        <v>4479</v>
      </c>
      <c r="D519" s="147" t="s">
        <v>113</v>
      </c>
      <c r="E519" t="s">
        <v>3</v>
      </c>
      <c r="F519" s="47">
        <f>VLOOKUP(B519,'Formula counts'!$D$9:$L$234,9,FALSE)</f>
        <v>211</v>
      </c>
      <c r="G519" s="47">
        <f>VLOOKUP(B519,'Formula counts'!$D$9:$K$234,8,FALSE)</f>
        <v>64</v>
      </c>
      <c r="H519" s="4">
        <f>VLOOKUP(B519,'Formula counts'!$D$9:$M$234,10,FALSE)</f>
        <v>0.30331753554502372</v>
      </c>
      <c r="I519" s="47">
        <f>VLOOKUP($C519,'Final SEA Counts'!$A$2:$F$709,5,FALSE)</f>
        <v>100</v>
      </c>
      <c r="J519" s="47">
        <f>VLOOKUP($C519,'Final SEA Counts'!$A$2:$F$709,6,FALSE)</f>
        <v>100</v>
      </c>
      <c r="K519" s="24">
        <f t="shared" si="1166"/>
        <v>183.59445618570246</v>
      </c>
      <c r="L519" s="24">
        <f t="shared" si="1167"/>
        <v>53.070937860668991</v>
      </c>
      <c r="M519" s="4">
        <f t="shared" si="1168"/>
        <v>0.28906612412625737</v>
      </c>
      <c r="N519" s="31">
        <f>IFERROR(VLOOKUP($B519,Allocation!$D$10:$O$235,8,FALSE),"")</f>
        <v>30191.231685645736</v>
      </c>
      <c r="O519" s="31">
        <f>IFERROR(VLOOKUP($B519,Allocation!$D$10:$O$235,9,FALSE),"")</f>
        <v>7159.8774791889718</v>
      </c>
      <c r="P519" s="31">
        <f>IFERROR(VLOOKUP($B519,Allocation!$D$10:$O$235,10,FALSE),"")</f>
        <v>14276.187086462571</v>
      </c>
      <c r="Q519" s="31">
        <f>IFERROR(VLOOKUP($B519,Allocation!$D$10:$O$235,11,FALSE),"")</f>
        <v>11671.378531264572</v>
      </c>
      <c r="R519" s="31">
        <f>IFERROR(VLOOKUP($B519,Allocation!$D$10:$O$235,12,FALSE),"")</f>
        <v>63298.674782561844</v>
      </c>
      <c r="S519" s="31">
        <f t="shared" si="1191"/>
        <v>25035.577823843214</v>
      </c>
      <c r="T519" s="31">
        <f t="shared" si="1192"/>
        <v>5937.2095748131451</v>
      </c>
      <c r="U519" s="31">
        <f t="shared" si="1193"/>
        <v>11838.29121488969</v>
      </c>
      <c r="V519" s="31">
        <f t="shared" si="1194"/>
        <v>9678.2969497045051</v>
      </c>
      <c r="W519" s="31">
        <f t="shared" si="1169"/>
        <v>25035.577823843214</v>
      </c>
      <c r="X519" s="31">
        <f t="shared" si="1170"/>
        <v>5937.2095748131451</v>
      </c>
      <c r="Y519" s="31">
        <f t="shared" si="1171"/>
        <v>11838.29121488969</v>
      </c>
      <c r="Z519" s="31">
        <f t="shared" si="1172"/>
        <v>9678.2969497045051</v>
      </c>
      <c r="AA519" s="31">
        <f t="shared" si="1195"/>
        <v>25302.653340882094</v>
      </c>
      <c r="AB519" s="31">
        <f t="shared" si="1196"/>
        <v>6091.4529403574979</v>
      </c>
      <c r="AC519" s="31">
        <f t="shared" si="1197"/>
        <v>11947.611125085346</v>
      </c>
      <c r="AD519" s="31">
        <f t="shared" si="1198"/>
        <v>9760.3724818359242</v>
      </c>
      <c r="AE519" s="31">
        <f t="shared" si="1173"/>
        <v>53102.089888160866</v>
      </c>
      <c r="AF519" s="31">
        <f>IFERROR(VLOOKUP(A519,'Allocations By Type'!$D$7:$F$491,3,FALSE),"")</f>
        <v>40395.17</v>
      </c>
      <c r="AG519" s="31">
        <f t="shared" si="1174"/>
        <v>2124.0835955264347</v>
      </c>
      <c r="AH519" s="31">
        <f t="shared" si="1175"/>
        <v>2124.0835955264347</v>
      </c>
      <c r="AI519" s="31">
        <f t="shared" si="1176"/>
        <v>50978.006292634433</v>
      </c>
      <c r="AJ519" s="31">
        <f>AI519/$AI$577*'State Admin 1004(b)'!$B$30*0.01</f>
        <v>485.13216056414365</v>
      </c>
      <c r="AK519" s="31">
        <f t="shared" si="1177"/>
        <v>50492.87413207029</v>
      </c>
      <c r="AL519" s="31">
        <f t="shared" si="1178"/>
        <v>504.9287413207029</v>
      </c>
      <c r="AM519" s="31">
        <f t="shared" si="1179"/>
        <v>49987.945390749584</v>
      </c>
      <c r="AP519" s="31"/>
      <c r="AQ519" s="4">
        <f t="shared" si="1180"/>
        <v>1.2374733264088154</v>
      </c>
      <c r="AR519" s="4">
        <f>VLOOKUP(B519,Allocation!$D$10:$P$235,13,FALSE)</f>
        <v>1.2583972800132186</v>
      </c>
      <c r="AS519" s="4">
        <f t="shared" si="1199"/>
        <v>0.9</v>
      </c>
      <c r="AT519" s="4" t="str">
        <f t="shared" si="1182"/>
        <v/>
      </c>
      <c r="AU519" s="31" t="str">
        <f t="shared" si="1183"/>
        <v/>
      </c>
      <c r="AV519" s="31" t="str">
        <f t="shared" si="1184"/>
        <v/>
      </c>
      <c r="AW519" s="31">
        <f t="shared" si="1200"/>
        <v>49965.973549263166</v>
      </c>
      <c r="AX519" s="4">
        <f t="shared" si="1185"/>
        <v>1.2369294039179231</v>
      </c>
      <c r="AY519" s="4" t="str">
        <f t="shared" si="1186"/>
        <v/>
      </c>
      <c r="AZ519" s="174" t="str">
        <f>IFERROR(IF(VLOOKUP(A519,#REF!,11,FALSE)=0,"",VLOOKUP(A519,#REF!,11,FALSE)),"")</f>
        <v/>
      </c>
      <c r="BA519" s="31" t="str">
        <f t="shared" si="1187"/>
        <v/>
      </c>
      <c r="BB519" s="31">
        <f t="shared" si="1188"/>
        <v>49965.973549263166</v>
      </c>
      <c r="BD519" s="31">
        <f>IFERROR(VLOOKUP(A519,'Title II Hold Harmless'!A$1:B$439,2, FALSE),"")</f>
        <v>5038</v>
      </c>
      <c r="BE519" s="31">
        <f t="shared" si="1201"/>
        <v>5880.4910517506787</v>
      </c>
      <c r="BF519" s="31">
        <f t="shared" si="1202"/>
        <v>5886.1807777475615</v>
      </c>
      <c r="BG519" s="31" t="str">
        <f t="shared" si="1189"/>
        <v/>
      </c>
      <c r="BH519" s="31">
        <f t="shared" si="1190"/>
        <v>5886.1807777475615</v>
      </c>
    </row>
    <row r="520" spans="1:60" x14ac:dyDescent="0.3">
      <c r="A520" s="1">
        <v>130231000</v>
      </c>
      <c r="B520">
        <f>VLOOKUP(C520,'NCES ID'!$A$2:$B$3136,2,FALSE)</f>
        <v>400910</v>
      </c>
      <c r="C520">
        <f>VLOOKUP(A520,'State ID'!$A$2:$B$713,2,FALSE)</f>
        <v>4471</v>
      </c>
      <c r="D520" s="147" t="s">
        <v>55</v>
      </c>
      <c r="E520" t="s">
        <v>3</v>
      </c>
      <c r="F520" s="47">
        <f>VLOOKUP(B520,'Formula counts'!$D$9:$L$234,9,FALSE)</f>
        <v>268</v>
      </c>
      <c r="G520" s="47">
        <f>VLOOKUP(B520,'Formula counts'!$D$9:$K$234,8,FALSE)</f>
        <v>83</v>
      </c>
      <c r="H520" s="4">
        <f>VLOOKUP(B520,'Formula counts'!$D$9:$M$234,10,FALSE)</f>
        <v>0.30970149253731344</v>
      </c>
      <c r="I520" s="47">
        <f>VLOOKUP($C520,'Final SEA Counts'!$A$2:$F$709,5,FALSE)</f>
        <v>205</v>
      </c>
      <c r="J520" s="47">
        <f>VLOOKUP($C520,'Final SEA Counts'!$A$2:$F$709,6,FALSE)</f>
        <v>195</v>
      </c>
      <c r="K520" s="24">
        <f t="shared" si="1166"/>
        <v>233.19106283302492</v>
      </c>
      <c r="L520" s="24">
        <f t="shared" si="1167"/>
        <v>68.826372538055097</v>
      </c>
      <c r="M520" s="4">
        <f t="shared" si="1168"/>
        <v>0.29515013012028601</v>
      </c>
      <c r="N520" s="31">
        <f>IFERROR(VLOOKUP($B520,Allocation!$D$10:$O$235,8,FALSE),"")</f>
        <v>39308.695446912105</v>
      </c>
      <c r="O520" s="31">
        <f>IFERROR(VLOOKUP($B520,Allocation!$D$10:$O$235,9,FALSE),"")</f>
        <v>9307.8234610835316</v>
      </c>
      <c r="P520" s="31">
        <f>IFERROR(VLOOKUP($B520,Allocation!$D$10:$O$235,10,FALSE),"")</f>
        <v>19630.274648131122</v>
      </c>
      <c r="Q520" s="31">
        <f>IFERROR(VLOOKUP($B520,Allocation!$D$10:$O$235,11,FALSE),"")</f>
        <v>18065.731673303406</v>
      </c>
      <c r="R520" s="31">
        <f>IFERROR(VLOOKUP($B520,Allocation!$D$10:$O$235,12,FALSE),"")</f>
        <v>86312.525229430161</v>
      </c>
      <c r="S520" s="31">
        <f t="shared" si="1191"/>
        <v>32596.083335109914</v>
      </c>
      <c r="T520" s="31">
        <f t="shared" si="1192"/>
        <v>7718.3581331443929</v>
      </c>
      <c r="U520" s="31">
        <f t="shared" si="1193"/>
        <v>16278.079469356762</v>
      </c>
      <c r="V520" s="31">
        <f t="shared" si="1194"/>
        <v>14980.70817252195</v>
      </c>
      <c r="W520" s="31">
        <f t="shared" si="1169"/>
        <v>32596.083335109914</v>
      </c>
      <c r="X520" s="31">
        <f t="shared" si="1170"/>
        <v>7718.3581331443929</v>
      </c>
      <c r="Y520" s="31">
        <f t="shared" si="1171"/>
        <v>16278.079469356762</v>
      </c>
      <c r="Z520" s="31">
        <f t="shared" si="1172"/>
        <v>14980.70817252195</v>
      </c>
      <c r="AA520" s="31">
        <f t="shared" si="1195"/>
        <v>32863.158852148794</v>
      </c>
      <c r="AB520" s="31">
        <f t="shared" si="1196"/>
        <v>7872.6014986887458</v>
      </c>
      <c r="AC520" s="31">
        <f t="shared" si="1197"/>
        <v>16387.399379552418</v>
      </c>
      <c r="AD520" s="31">
        <f t="shared" si="1198"/>
        <v>15062.78370465337</v>
      </c>
      <c r="AE520" s="31">
        <f t="shared" si="1173"/>
        <v>72185.943435043329</v>
      </c>
      <c r="AF520" s="31">
        <f>IFERROR(VLOOKUP(A520,'Allocations By Type'!$D$7:$F$491,3,FALSE),"")</f>
        <v>72777.440000000002</v>
      </c>
      <c r="AG520" s="31" t="str">
        <f t="shared" si="1174"/>
        <v/>
      </c>
      <c r="AH520" s="31" t="str">
        <f t="shared" si="1175"/>
        <v/>
      </c>
      <c r="AI520" s="31">
        <f t="shared" si="1176"/>
        <v>72185.943435043329</v>
      </c>
      <c r="AJ520" s="31">
        <f>AI520/$AI$577*'State Admin 1004(b)'!$B$30*0.01</f>
        <v>686.95747927010348</v>
      </c>
      <c r="AK520" s="31">
        <f t="shared" si="1177"/>
        <v>71498.985955773227</v>
      </c>
      <c r="AL520" s="31">
        <f t="shared" si="1178"/>
        <v>714.9898595577323</v>
      </c>
      <c r="AM520" s="31">
        <f t="shared" si="1179"/>
        <v>70783.996096215502</v>
      </c>
      <c r="AP520" s="31"/>
      <c r="AQ520" s="4">
        <f t="shared" si="1180"/>
        <v>0.97260904060675257</v>
      </c>
      <c r="AR520" s="4">
        <f>VLOOKUP(B520,Allocation!$D$10:$P$235,13,FALSE)</f>
        <v>0.94999999999999984</v>
      </c>
      <c r="AS520" s="4">
        <f t="shared" si="1199"/>
        <v>0.9</v>
      </c>
      <c r="AT520" s="4" t="str">
        <f t="shared" si="1182"/>
        <v/>
      </c>
      <c r="AU520" s="31" t="str">
        <f t="shared" si="1183"/>
        <v/>
      </c>
      <c r="AV520" s="31" t="str">
        <f t="shared" si="1184"/>
        <v/>
      </c>
      <c r="AW520" s="31">
        <f t="shared" si="1200"/>
        <v>70752.883500371769</v>
      </c>
      <c r="AX520" s="4">
        <f t="shared" si="1185"/>
        <v>0.97218153730567836</v>
      </c>
      <c r="AY520" s="4" t="str">
        <f t="shared" si="1186"/>
        <v/>
      </c>
      <c r="AZ520" s="174" t="str">
        <f>IFERROR(IF(VLOOKUP(A520,#REF!,11,FALSE)=0,"",VLOOKUP(A520,#REF!,11,FALSE)),"")</f>
        <v/>
      </c>
      <c r="BA520" s="31" t="str">
        <f t="shared" si="1187"/>
        <v/>
      </c>
      <c r="BB520" s="31">
        <f t="shared" si="1188"/>
        <v>70752.883500371769</v>
      </c>
      <c r="BD520" s="31">
        <f>IFERROR(VLOOKUP(A520,'Title II Hold Harmless'!A$1:B$439,2, FALSE),"")</f>
        <v>11263</v>
      </c>
      <c r="BE520" s="31">
        <f t="shared" si="1201"/>
        <v>12351.655627848731</v>
      </c>
      <c r="BF520" s="31">
        <f t="shared" si="1202"/>
        <v>12363.606591724341</v>
      </c>
      <c r="BG520" s="31" t="str">
        <f t="shared" si="1189"/>
        <v/>
      </c>
      <c r="BH520" s="31">
        <f t="shared" si="1190"/>
        <v>12363.606591724341</v>
      </c>
    </row>
    <row r="521" spans="1:60" x14ac:dyDescent="0.3">
      <c r="A521" s="1">
        <v>130403000</v>
      </c>
      <c r="B521">
        <f>VLOOKUP(C521,'NCES ID'!$A$2:$B$3136,2,FALSE)</f>
        <v>400004</v>
      </c>
      <c r="C521">
        <f>VLOOKUP(A521,'State ID'!$A$2:$B$713,2,FALSE)</f>
        <v>4486</v>
      </c>
      <c r="D521" s="147" t="s">
        <v>106</v>
      </c>
      <c r="E521" t="s">
        <v>3</v>
      </c>
      <c r="F521" s="47">
        <f>VLOOKUP(B521,'Formula counts'!$D$9:$L$234,9,FALSE)</f>
        <v>342</v>
      </c>
      <c r="G521" s="47">
        <f>VLOOKUP(B521,'Formula counts'!$D$9:$K$234,8,FALSE)</f>
        <v>61</v>
      </c>
      <c r="H521" s="4">
        <f>VLOOKUP(B521,'Formula counts'!$D$9:$M$234,10,FALSE)</f>
        <v>0.17836257309941519</v>
      </c>
      <c r="I521" s="47">
        <f>VLOOKUP($C521,'Final SEA Counts'!$A$2:$F$709,5,FALSE)</f>
        <v>473</v>
      </c>
      <c r="J521" s="47">
        <f>VLOOKUP($C521,'Final SEA Counts'!$A$2:$F$709,6,FALSE)</f>
        <v>246</v>
      </c>
      <c r="K521" s="24">
        <f t="shared" si="1166"/>
        <v>297.57963988393476</v>
      </c>
      <c r="L521" s="24">
        <f t="shared" si="1167"/>
        <v>50.583237648450137</v>
      </c>
      <c r="M521" s="4">
        <f t="shared" si="1168"/>
        <v>0.16998218583831595</v>
      </c>
      <c r="N521" s="31">
        <f>IFERROR(VLOOKUP($B521,Allocation!$D$10:$O$235,8,FALSE),"")</f>
        <v>34452.482760350285</v>
      </c>
      <c r="O521" s="31">
        <f>IFERROR(VLOOKUP($B521,Allocation!$D$10:$O$235,9,FALSE),"")</f>
        <v>8163.8358291771629</v>
      </c>
      <c r="P521" s="31">
        <f>IFERROR(VLOOKUP($B521,Allocation!$D$10:$O$235,10,FALSE),"")</f>
        <v>12593.657636771601</v>
      </c>
      <c r="Q521" s="31">
        <f>IFERROR(VLOOKUP($B521,Allocation!$D$10:$O$235,11,FALSE),"")</f>
        <v>8573.9706665422636</v>
      </c>
      <c r="R521" s="31">
        <f>IFERROR(VLOOKUP($B521,Allocation!$D$10:$O$235,12,FALSE),"")</f>
        <v>63783.946892841319</v>
      </c>
      <c r="S521" s="31">
        <f t="shared" si="1191"/>
        <v>28569.149558129997</v>
      </c>
      <c r="T521" s="31">
        <f t="shared" si="1192"/>
        <v>6769.7253749213178</v>
      </c>
      <c r="U521" s="31">
        <f t="shared" si="1193"/>
        <v>10443.081591869455</v>
      </c>
      <c r="V521" s="31">
        <f t="shared" si="1194"/>
        <v>7109.8228822384881</v>
      </c>
      <c r="W521" s="31">
        <f t="shared" si="1169"/>
        <v>28569.149558129997</v>
      </c>
      <c r="X521" s="31">
        <f t="shared" si="1170"/>
        <v>6769.7253749213178</v>
      </c>
      <c r="Y521" s="31">
        <f t="shared" si="1171"/>
        <v>10443.081591869455</v>
      </c>
      <c r="Z521" s="31">
        <f t="shared" si="1172"/>
        <v>7109.8228822384881</v>
      </c>
      <c r="AA521" s="31">
        <f t="shared" si="1195"/>
        <v>28836.225075168877</v>
      </c>
      <c r="AB521" s="31">
        <f t="shared" si="1196"/>
        <v>6923.9687404656706</v>
      </c>
      <c r="AC521" s="31">
        <f t="shared" si="1197"/>
        <v>10552.401502065111</v>
      </c>
      <c r="AD521" s="31">
        <f t="shared" si="1198"/>
        <v>7191.8984143699072</v>
      </c>
      <c r="AE521" s="31">
        <f t="shared" si="1173"/>
        <v>53504.493732069568</v>
      </c>
      <c r="AF521" s="31">
        <f>IFERROR(VLOOKUP(A521,'Allocations By Type'!$D$7:$F$491,3,FALSE),"")</f>
        <v>56801.26</v>
      </c>
      <c r="AG521" s="31" t="str">
        <f t="shared" si="1174"/>
        <v/>
      </c>
      <c r="AH521" s="31" t="str">
        <f t="shared" si="1175"/>
        <v/>
      </c>
      <c r="AI521" s="31">
        <f t="shared" si="1176"/>
        <v>53504.493732069568</v>
      </c>
      <c r="AJ521" s="31">
        <f>AI521/$AI$577*'State Admin 1004(b)'!$B$30*0.01</f>
        <v>509.17547648151071</v>
      </c>
      <c r="AK521" s="31">
        <f t="shared" si="1177"/>
        <v>52995.318255588056</v>
      </c>
      <c r="AL521" s="31">
        <f t="shared" si="1178"/>
        <v>529.95318255588052</v>
      </c>
      <c r="AM521" s="31">
        <f t="shared" si="1179"/>
        <v>52465.365073032175</v>
      </c>
      <c r="AP521" s="31"/>
      <c r="AQ521" s="4">
        <f t="shared" si="1180"/>
        <v>0.92366551504371863</v>
      </c>
      <c r="AR521" s="4">
        <f>VLOOKUP(B521,Allocation!$D$10:$P$235,13,FALSE)</f>
        <v>0.90000000000000013</v>
      </c>
      <c r="AS521" s="4">
        <f t="shared" si="1199"/>
        <v>0.9</v>
      </c>
      <c r="AT521" s="4" t="str">
        <f t="shared" si="1182"/>
        <v/>
      </c>
      <c r="AU521" s="31" t="str">
        <f t="shared" si="1183"/>
        <v/>
      </c>
      <c r="AV521" s="31" t="str">
        <f t="shared" si="1184"/>
        <v/>
      </c>
      <c r="AW521" s="31">
        <f t="shared" si="1200"/>
        <v>52442.304299561678</v>
      </c>
      <c r="AX521" s="4">
        <f t="shared" si="1185"/>
        <v>0.92325952451691518</v>
      </c>
      <c r="AY521" s="4" t="str">
        <f t="shared" si="1186"/>
        <v/>
      </c>
      <c r="AZ521" s="174" t="str">
        <f>IFERROR(IF(VLOOKUP(A521,#REF!,11,FALSE)=0,"",VLOOKUP(A521,#REF!,11,FALSE)),"")</f>
        <v/>
      </c>
      <c r="BA521" s="31" t="str">
        <f t="shared" si="1187"/>
        <v/>
      </c>
      <c r="BB521" s="31">
        <f t="shared" si="1188"/>
        <v>52442.304299561678</v>
      </c>
      <c r="BD521" s="31">
        <f>IFERROR(VLOOKUP(A521,'Title II Hold Harmless'!A$1:B$439,2, FALSE),"")</f>
        <v>12422</v>
      </c>
      <c r="BE521" s="31">
        <f t="shared" si="1201"/>
        <v>13323.660622334239</v>
      </c>
      <c r="BF521" s="31">
        <f t="shared" si="1202"/>
        <v>13336.552059044099</v>
      </c>
      <c r="BG521" s="31" t="str">
        <f t="shared" si="1189"/>
        <v/>
      </c>
      <c r="BH521" s="31">
        <f t="shared" si="1190"/>
        <v>13336.552059044099</v>
      </c>
    </row>
    <row r="522" spans="1:60" x14ac:dyDescent="0.3">
      <c r="A522" s="1">
        <v>130350000</v>
      </c>
      <c r="B522">
        <f>VLOOKUP(C522,'NCES ID'!$A$2:$B$3136,2,FALSE)</f>
        <v>401650</v>
      </c>
      <c r="C522">
        <f>VLOOKUP(A522,'State ID'!$A$2:$B$713,2,FALSE)</f>
        <v>4484</v>
      </c>
      <c r="D522" s="147" t="s">
        <v>87</v>
      </c>
      <c r="E522" t="s">
        <v>3</v>
      </c>
      <c r="F522" s="47">
        <f>VLOOKUP(B522,'Formula counts'!$D$9:$L$234,9,FALSE)</f>
        <v>344</v>
      </c>
      <c r="G522" s="47">
        <f>VLOOKUP(B522,'Formula counts'!$D$9:$K$234,8,FALSE)</f>
        <v>84</v>
      </c>
      <c r="H522" s="4">
        <f>VLOOKUP(B522,'Formula counts'!$D$9:$M$234,10,FALSE)</f>
        <v>0.2441860465116279</v>
      </c>
      <c r="I522" s="47">
        <f>VLOOKUP($C522,'Final SEA Counts'!$A$2:$F$709,5,FALSE)</f>
        <v>107</v>
      </c>
      <c r="J522" s="47">
        <f>VLOOKUP($C522,'Final SEA Counts'!$A$2:$F$709,6,FALSE)</f>
        <v>93</v>
      </c>
      <c r="K522" s="24">
        <f t="shared" si="1166"/>
        <v>299.31987169612154</v>
      </c>
      <c r="L522" s="24">
        <f t="shared" si="1167"/>
        <v>69.655605942128048</v>
      </c>
      <c r="M522" s="4">
        <f t="shared" si="1168"/>
        <v>0.23271293532039361</v>
      </c>
      <c r="N522" s="31">
        <f>IFERROR(VLOOKUP($B522,Allocation!$D$10:$O$235,8,FALSE),"")</f>
        <v>63214.601541456715</v>
      </c>
      <c r="O522" s="31">
        <f>IFERROR(VLOOKUP($B522,Allocation!$D$10:$O$235,9,FALSE),"")</f>
        <v>14599.198067678804</v>
      </c>
      <c r="P522" s="31">
        <f>IFERROR(VLOOKUP($B522,Allocation!$D$10:$O$235,10,FALSE),"")</f>
        <v>42731.080126424335</v>
      </c>
      <c r="Q522" s="31">
        <f>IFERROR(VLOOKUP($B522,Allocation!$D$10:$O$235,11,FALSE),"")</f>
        <v>35808.301901170715</v>
      </c>
      <c r="R522" s="31">
        <f>IFERROR(VLOOKUP($B522,Allocation!$D$10:$O$235,12,FALSE),"")</f>
        <v>156353.18163673056</v>
      </c>
      <c r="S522" s="31">
        <f t="shared" si="1191"/>
        <v>52419.659223337498</v>
      </c>
      <c r="T522" s="31">
        <f t="shared" si="1192"/>
        <v>12106.142710396574</v>
      </c>
      <c r="U522" s="31">
        <f t="shared" si="1193"/>
        <v>35434.039032948967</v>
      </c>
      <c r="V522" s="31">
        <f t="shared" si="1194"/>
        <v>29693.440079579788</v>
      </c>
      <c r="W522" s="31">
        <f t="shared" si="1169"/>
        <v>52419.659223337498</v>
      </c>
      <c r="X522" s="31">
        <f t="shared" si="1170"/>
        <v>12106.142710396574</v>
      </c>
      <c r="Y522" s="31">
        <f t="shared" si="1171"/>
        <v>35434.039032948967</v>
      </c>
      <c r="Z522" s="31">
        <f t="shared" si="1172"/>
        <v>29693.440079579788</v>
      </c>
      <c r="AA522" s="31">
        <f t="shared" si="1195"/>
        <v>52686.734740376378</v>
      </c>
      <c r="AB522" s="31">
        <f t="shared" si="1196"/>
        <v>12260.386075940927</v>
      </c>
      <c r="AC522" s="31">
        <f t="shared" si="1197"/>
        <v>35543.358943144623</v>
      </c>
      <c r="AD522" s="31">
        <f t="shared" si="1198"/>
        <v>29775.515611711209</v>
      </c>
      <c r="AE522" s="31">
        <f t="shared" si="1173"/>
        <v>130265.99537117314</v>
      </c>
      <c r="AF522" s="31">
        <f>IFERROR(VLOOKUP(A522,'Allocations By Type'!$D$7:$F$491,3,FALSE),"")</f>
        <v>144715.93</v>
      </c>
      <c r="AG522" s="31" t="str">
        <f t="shared" si="1174"/>
        <v/>
      </c>
      <c r="AH522" s="31" t="str">
        <f t="shared" si="1175"/>
        <v/>
      </c>
      <c r="AI522" s="31">
        <f t="shared" si="1176"/>
        <v>130265.99537117314</v>
      </c>
      <c r="AJ522" s="31">
        <f>AI522/$AI$577*'State Admin 1004(b)'!$B$30*0.01</f>
        <v>1239.6762521406586</v>
      </c>
      <c r="AK522" s="31">
        <f t="shared" si="1177"/>
        <v>129026.31911903247</v>
      </c>
      <c r="AL522" s="31">
        <f t="shared" si="1178"/>
        <v>1290.2631911903247</v>
      </c>
      <c r="AM522" s="31">
        <f t="shared" si="1179"/>
        <v>127736.05592784214</v>
      </c>
      <c r="AP522" s="31"/>
      <c r="AQ522" s="4">
        <f t="shared" si="1180"/>
        <v>0.88266755379205419</v>
      </c>
      <c r="AR522" s="4">
        <f>VLOOKUP(B522,Allocation!$D$10:$P$235,13,FALSE)</f>
        <v>0.9</v>
      </c>
      <c r="AS522" s="4">
        <f t="shared" si="1199"/>
        <v>0.9</v>
      </c>
      <c r="AT522" s="4" t="str">
        <f t="shared" si="1182"/>
        <v>Review</v>
      </c>
      <c r="AU522" s="31">
        <f t="shared" si="1183"/>
        <v>2508.2810721578571</v>
      </c>
      <c r="AV522" s="31">
        <f t="shared" si="1184"/>
        <v>130244.337</v>
      </c>
      <c r="AW522" s="31">
        <f t="shared" si="1200"/>
        <v>130244.337</v>
      </c>
      <c r="AX522" s="4">
        <f t="shared" si="1185"/>
        <v>0.9</v>
      </c>
      <c r="AY522" s="4" t="str">
        <f t="shared" si="1186"/>
        <v/>
      </c>
      <c r="AZ522" s="174" t="str">
        <f>IFERROR(IF(VLOOKUP(A522,#REF!,11,FALSE)=0,"",VLOOKUP(A522,#REF!,11,FALSE)),"")</f>
        <v/>
      </c>
      <c r="BA522" s="31" t="str">
        <f t="shared" si="1187"/>
        <v/>
      </c>
      <c r="BB522" s="31">
        <f t="shared" si="1188"/>
        <v>130244.337</v>
      </c>
      <c r="BD522" s="31">
        <f>IFERROR(VLOOKUP(A522,'Title II Hold Harmless'!A$1:B$439,2, FALSE),"")</f>
        <v>6198</v>
      </c>
      <c r="BE522" s="31">
        <f t="shared" si="1201"/>
        <v>7350.7312959760238</v>
      </c>
      <c r="BF522" s="31">
        <f t="shared" si="1202"/>
        <v>7357.843567142284</v>
      </c>
      <c r="BG522" s="31" t="str">
        <f t="shared" si="1189"/>
        <v/>
      </c>
      <c r="BH522" s="31">
        <f t="shared" si="1190"/>
        <v>7357.843567142284</v>
      </c>
    </row>
    <row r="523" spans="1:60" x14ac:dyDescent="0.3">
      <c r="A523" s="1">
        <v>130220000</v>
      </c>
      <c r="B523">
        <f>VLOOKUP(C523,'NCES ID'!$A$2:$B$3136,2,FALSE)</f>
        <v>401000</v>
      </c>
      <c r="C523">
        <f>VLOOKUP(A523,'State ID'!$A$2:$B$713,2,FALSE)</f>
        <v>4468</v>
      </c>
      <c r="D523" s="147" t="s">
        <v>62</v>
      </c>
      <c r="E523" t="s">
        <v>3</v>
      </c>
      <c r="F523" s="47">
        <f>VLOOKUP(B523,'Formula counts'!$D$9:$L$234,9,FALSE)</f>
        <v>467</v>
      </c>
      <c r="G523" s="47">
        <f>VLOOKUP(B523,'Formula counts'!$D$9:$K$234,8,FALSE)</f>
        <v>50</v>
      </c>
      <c r="H523" s="4">
        <f>VLOOKUP(B523,'Formula counts'!$D$9:$M$234,10,FALSE)</f>
        <v>0.10706638115631692</v>
      </c>
      <c r="I523" s="47">
        <f>VLOOKUP($C523,'Final SEA Counts'!$A$2:$F$709,5,FALSE)</f>
        <v>411</v>
      </c>
      <c r="J523" s="47">
        <f>VLOOKUP($C523,'Final SEA Counts'!$A$2:$F$709,6,FALSE)</f>
        <v>168</v>
      </c>
      <c r="K523" s="24">
        <f t="shared" si="1166"/>
        <v>406.34412814560687</v>
      </c>
      <c r="L523" s="24">
        <f t="shared" si="1167"/>
        <v>41.46167020364765</v>
      </c>
      <c r="M523" s="4">
        <f t="shared" si="1168"/>
        <v>0.10203585417331422</v>
      </c>
      <c r="N523" s="31">
        <f>IFERROR(VLOOKUP($B523,Allocation!$D$10:$O$235,8,FALSE),"")</f>
        <v>23586.899754410737</v>
      </c>
      <c r="O523" s="31">
        <f>IFERROR(VLOOKUP($B523,Allocation!$D$10:$O$235,9,FALSE),"")</f>
        <v>4979.162809995044</v>
      </c>
      <c r="P523" s="31">
        <f>IFERROR(VLOOKUP($B523,Allocation!$D$10:$O$235,10,FALSE),"")</f>
        <v>7093.5901321397687</v>
      </c>
      <c r="Q523" s="31">
        <f>IFERROR(VLOOKUP($B523,Allocation!$D$10:$O$235,11,FALSE),"")</f>
        <v>5498.6987626159835</v>
      </c>
      <c r="R523" s="31">
        <f>IFERROR(VLOOKUP($B523,Allocation!$D$10:$O$235,12,FALSE),"")</f>
        <v>41158.351459161531</v>
      </c>
      <c r="S523" s="31">
        <f t="shared" si="1191"/>
        <v>19559.045174877516</v>
      </c>
      <c r="T523" s="31">
        <f t="shared" si="1192"/>
        <v>4128.8881263656403</v>
      </c>
      <c r="U523" s="31">
        <f t="shared" si="1193"/>
        <v>5882.2418923725691</v>
      </c>
      <c r="V523" s="31">
        <f t="shared" si="1194"/>
        <v>4559.704692895787</v>
      </c>
      <c r="W523" s="31">
        <f t="shared" si="1169"/>
        <v>19559.045174877516</v>
      </c>
      <c r="X523" s="31">
        <f t="shared" si="1170"/>
        <v>4128.8881263656403</v>
      </c>
      <c r="Y523" s="31">
        <f t="shared" si="1171"/>
        <v>5882.2418923725691</v>
      </c>
      <c r="Z523" s="31">
        <f t="shared" si="1172"/>
        <v>4559.704692895787</v>
      </c>
      <c r="AA523" s="31">
        <f t="shared" si="1195"/>
        <v>19826.120691916396</v>
      </c>
      <c r="AB523" s="31">
        <f t="shared" si="1196"/>
        <v>4283.1314919099932</v>
      </c>
      <c r="AC523" s="31">
        <f t="shared" si="1197"/>
        <v>5991.5618025682252</v>
      </c>
      <c r="AD523" s="31">
        <f t="shared" si="1198"/>
        <v>4641.7802250272061</v>
      </c>
      <c r="AE523" s="31">
        <f t="shared" si="1173"/>
        <v>34742.59421142182</v>
      </c>
      <c r="AF523" s="31">
        <f>IFERROR(VLOOKUP(A523,'Allocations By Type'!$D$7:$F$491,3,FALSE),"")</f>
        <v>37009.21</v>
      </c>
      <c r="AG523" s="31" t="str">
        <f t="shared" si="1174"/>
        <v/>
      </c>
      <c r="AH523" s="31" t="str">
        <f t="shared" si="1175"/>
        <v/>
      </c>
      <c r="AI523" s="31">
        <f t="shared" si="1176"/>
        <v>34742.59421142182</v>
      </c>
      <c r="AJ523" s="31">
        <f>AI523/$AI$577*'State Admin 1004(b)'!$B$30*0.01</f>
        <v>330.62787306034051</v>
      </c>
      <c r="AK523" s="31">
        <f t="shared" si="1177"/>
        <v>34411.966338361482</v>
      </c>
      <c r="AL523" s="31">
        <f t="shared" si="1178"/>
        <v>344.11966338361481</v>
      </c>
      <c r="AM523" s="31">
        <f t="shared" si="1179"/>
        <v>34067.846674977867</v>
      </c>
      <c r="AP523" s="31"/>
      <c r="AQ523" s="4">
        <f t="shared" si="1180"/>
        <v>0.92052347712847338</v>
      </c>
      <c r="AR523" s="4">
        <f>VLOOKUP(B523,Allocation!$D$10:$P$235,13,FALSE)</f>
        <v>0.93136541996072453</v>
      </c>
      <c r="AS523" s="4">
        <f t="shared" si="1199"/>
        <v>0.85</v>
      </c>
      <c r="AT523" s="4" t="str">
        <f t="shared" si="1182"/>
        <v/>
      </c>
      <c r="AU523" s="31" t="str">
        <f t="shared" si="1183"/>
        <v/>
      </c>
      <c r="AV523" s="31" t="str">
        <f t="shared" si="1184"/>
        <v/>
      </c>
      <c r="AW523" s="31">
        <f t="shared" si="1200"/>
        <v>34052.872398258252</v>
      </c>
      <c r="AX523" s="4">
        <f t="shared" si="1185"/>
        <v>0.92011886766181317</v>
      </c>
      <c r="AY523" s="4" t="str">
        <f t="shared" si="1186"/>
        <v/>
      </c>
      <c r="AZ523" s="174" t="str">
        <f>IFERROR(IF(VLOOKUP(A523,#REF!,11,FALSE)=0,"",VLOOKUP(A523,#REF!,11,FALSE)),"")</f>
        <v/>
      </c>
      <c r="BA523" s="31" t="str">
        <f t="shared" si="1187"/>
        <v/>
      </c>
      <c r="BB523" s="31">
        <f t="shared" si="1188"/>
        <v>34052.872398258252</v>
      </c>
      <c r="BD523" s="31">
        <f>IFERROR(VLOOKUP(A523,'Title II Hold Harmless'!A$1:B$439,2, FALSE),"")</f>
        <v>5407</v>
      </c>
      <c r="BE523" s="31">
        <f t="shared" si="1201"/>
        <v>6276.78679254902</v>
      </c>
      <c r="BF523" s="31">
        <f t="shared" si="1202"/>
        <v>6282.8599583231307</v>
      </c>
      <c r="BG523" s="31" t="str">
        <f t="shared" si="1189"/>
        <v/>
      </c>
      <c r="BH523" s="31">
        <f t="shared" si="1190"/>
        <v>6282.8599583231307</v>
      </c>
    </row>
    <row r="524" spans="1:60" x14ac:dyDescent="0.3">
      <c r="A524" s="1">
        <v>130326000</v>
      </c>
      <c r="B524">
        <f>VLOOKUP(C524,'NCES ID'!$A$2:$B$3136,2,FALSE)</f>
        <v>401080</v>
      </c>
      <c r="C524">
        <f>VLOOKUP(A524,'State ID'!$A$2:$B$713,2,FALSE)</f>
        <v>4481</v>
      </c>
      <c r="D524" s="147" t="s">
        <v>66</v>
      </c>
      <c r="E524" t="s">
        <v>3</v>
      </c>
      <c r="F524" s="47">
        <f>VLOOKUP(B524,'Formula counts'!$D$9:$L$234,9,FALSE)</f>
        <v>720</v>
      </c>
      <c r="G524" s="47">
        <f>VLOOKUP(B524,'Formula counts'!$D$9:$K$234,8,FALSE)</f>
        <v>158</v>
      </c>
      <c r="H524" s="4">
        <f>VLOOKUP(B524,'Formula counts'!$D$9:$M$234,10,FALSE)</f>
        <v>0.21944444444444444</v>
      </c>
      <c r="I524" s="47">
        <f>VLOOKUP($C524,'Final SEA Counts'!$A$2:$F$709,5,FALSE)</f>
        <v>303</v>
      </c>
      <c r="J524" s="47">
        <f>VLOOKUP($C524,'Final SEA Counts'!$A$2:$F$709,6,FALSE)</f>
        <v>233</v>
      </c>
      <c r="K524" s="24">
        <f t="shared" si="1166"/>
        <v>626.48345238723107</v>
      </c>
      <c r="L524" s="24">
        <f t="shared" si="1167"/>
        <v>131.01887784352658</v>
      </c>
      <c r="M524" s="4">
        <f t="shared" si="1168"/>
        <v>0.2091338204453379</v>
      </c>
      <c r="N524" s="31">
        <f>IFERROR(VLOOKUP($B524,Allocation!$D$10:$O$235,8,FALSE),"")</f>
        <v>74534.603223937942</v>
      </c>
      <c r="O524" s="31">
        <f>IFERROR(VLOOKUP($B524,Allocation!$D$10:$O$235,9,FALSE),"")</f>
        <v>17675.947526747772</v>
      </c>
      <c r="P524" s="31">
        <f>IFERROR(VLOOKUP($B524,Allocation!$D$10:$O$235,10,FALSE),"")</f>
        <v>27291.59493078927</v>
      </c>
      <c r="Q524" s="31">
        <f>IFERROR(VLOOKUP($B524,Allocation!$D$10:$O$235,11,FALSE),"")</f>
        <v>19895.611810847655</v>
      </c>
      <c r="R524" s="31">
        <f>IFERROR(VLOOKUP($B524,Allocation!$D$10:$O$235,12,FALSE),"")</f>
        <v>139397.75749232265</v>
      </c>
      <c r="S524" s="31">
        <f t="shared" si="1191"/>
        <v>61806.582752612958</v>
      </c>
      <c r="T524" s="31">
        <f t="shared" si="1192"/>
        <v>14657.486137819951</v>
      </c>
      <c r="U524" s="31">
        <f t="shared" si="1193"/>
        <v>22631.102167038538</v>
      </c>
      <c r="V524" s="31">
        <f t="shared" si="1194"/>
        <v>16498.105908023252</v>
      </c>
      <c r="W524" s="31">
        <f t="shared" si="1169"/>
        <v>61806.582752612958</v>
      </c>
      <c r="X524" s="31">
        <f t="shared" si="1170"/>
        <v>14657.486137819951</v>
      </c>
      <c r="Y524" s="31">
        <f t="shared" si="1171"/>
        <v>22631.102167038538</v>
      </c>
      <c r="Z524" s="31">
        <f t="shared" si="1172"/>
        <v>16498.105908023252</v>
      </c>
      <c r="AA524" s="31">
        <f t="shared" si="1195"/>
        <v>62073.658269651838</v>
      </c>
      <c r="AB524" s="31">
        <f t="shared" si="1196"/>
        <v>14811.729503364304</v>
      </c>
      <c r="AC524" s="31">
        <f t="shared" si="1197"/>
        <v>22740.422077234194</v>
      </c>
      <c r="AD524" s="31">
        <f t="shared" si="1198"/>
        <v>16580.181440154673</v>
      </c>
      <c r="AE524" s="31">
        <f t="shared" si="1173"/>
        <v>116205.99129040501</v>
      </c>
      <c r="AF524" s="31">
        <f>IFERROR(VLOOKUP(A524,'Allocations By Type'!$D$7:$F$491,3,FALSE),"")</f>
        <v>110229.75999999999</v>
      </c>
      <c r="AG524" s="31">
        <f t="shared" si="1174"/>
        <v>4648.2396516162007</v>
      </c>
      <c r="AH524" s="31">
        <f t="shared" si="1175"/>
        <v>4648.2396516162007</v>
      </c>
      <c r="AI524" s="31">
        <f t="shared" si="1176"/>
        <v>111557.75163878882</v>
      </c>
      <c r="AJ524" s="31">
        <f>AI524/$AI$577*'State Admin 1004(b)'!$B$30*0.01</f>
        <v>1061.6392639902695</v>
      </c>
      <c r="AK524" s="31">
        <f t="shared" si="1177"/>
        <v>110496.11237479855</v>
      </c>
      <c r="AL524" s="31">
        <f t="shared" si="1178"/>
        <v>1104.9611237479855</v>
      </c>
      <c r="AM524" s="31">
        <f t="shared" si="1179"/>
        <v>109391.15125105057</v>
      </c>
      <c r="AP524" s="31"/>
      <c r="AQ524" s="4">
        <f t="shared" si="1180"/>
        <v>0.99239217477249864</v>
      </c>
      <c r="AR524" s="4">
        <f>VLOOKUP(B524,Allocation!$D$10:$P$235,13,FALSE)</f>
        <v>1.0115695644698313</v>
      </c>
      <c r="AS524" s="4">
        <f t="shared" si="1199"/>
        <v>0.9</v>
      </c>
      <c r="AT524" s="4" t="str">
        <f t="shared" si="1182"/>
        <v/>
      </c>
      <c r="AU524" s="31" t="str">
        <f t="shared" si="1183"/>
        <v/>
      </c>
      <c r="AV524" s="31" t="str">
        <f t="shared" si="1184"/>
        <v/>
      </c>
      <c r="AW524" s="31">
        <f t="shared" si="1200"/>
        <v>109343.06915812763</v>
      </c>
      <c r="AX524" s="4">
        <f t="shared" si="1185"/>
        <v>0.99195597593723905</v>
      </c>
      <c r="AY524" s="4" t="str">
        <f t="shared" si="1186"/>
        <v/>
      </c>
      <c r="AZ524" s="174" t="str">
        <f>IFERROR(IF(VLOOKUP(A524,#REF!,11,FALSE)=0,"",VLOOKUP(A524,#REF!,11,FALSE)),"")</f>
        <v/>
      </c>
      <c r="BA524" s="31" t="str">
        <f t="shared" si="1187"/>
        <v/>
      </c>
      <c r="BB524" s="31">
        <f t="shared" si="1188"/>
        <v>109343.06915812763</v>
      </c>
      <c r="BD524" s="31">
        <f>IFERROR(VLOOKUP(A524,'Title II Hold Harmless'!A$1:B$439,2, FALSE),"")</f>
        <v>10051</v>
      </c>
      <c r="BE524" s="31">
        <f t="shared" si="1201"/>
        <v>12270.318967427385</v>
      </c>
      <c r="BF524" s="31">
        <f t="shared" si="1202"/>
        <v>12282.191233230466</v>
      </c>
      <c r="BG524" s="31" t="str">
        <f t="shared" si="1189"/>
        <v/>
      </c>
      <c r="BH524" s="31">
        <f t="shared" si="1190"/>
        <v>12282.191233230466</v>
      </c>
    </row>
    <row r="525" spans="1:60" x14ac:dyDescent="0.3">
      <c r="A525" s="1">
        <v>130243000</v>
      </c>
      <c r="B525">
        <f>VLOOKUP(C525,'NCES ID'!$A$2:$B$3136,2,FALSE)</f>
        <v>404820</v>
      </c>
      <c r="C525">
        <f>VLOOKUP(A525,'State ID'!$A$2:$B$713,2,FALSE)</f>
        <v>4473</v>
      </c>
      <c r="D525" s="147" t="s">
        <v>278</v>
      </c>
      <c r="E525" t="s">
        <v>3</v>
      </c>
      <c r="F525" s="47">
        <f>VLOOKUP(B525,'Formula counts'!$D$9:$L$234,9,FALSE)</f>
        <v>721</v>
      </c>
      <c r="G525" s="47">
        <f>VLOOKUP(B525,'Formula counts'!$D$9:$K$234,8,FALSE)</f>
        <v>226</v>
      </c>
      <c r="H525" s="4">
        <f>VLOOKUP(B525,'Formula counts'!$D$9:$M$234,10,FALSE)</f>
        <v>0.31345353675450766</v>
      </c>
      <c r="I525" s="47">
        <f>VLOOKUP($C525,'Final SEA Counts'!$A$2:$F$709,5,FALSE)</f>
        <v>491</v>
      </c>
      <c r="J525" s="47">
        <f>VLOOKUP($C525,'Final SEA Counts'!$A$2:$F$709,6,FALSE)</f>
        <v>435</v>
      </c>
      <c r="K525" s="24">
        <f t="shared" si="1166"/>
        <v>627.35356829332454</v>
      </c>
      <c r="L525" s="24">
        <f t="shared" si="1167"/>
        <v>187.40674932048739</v>
      </c>
      <c r="M525" s="4">
        <f t="shared" si="1168"/>
        <v>0.29872588408210626</v>
      </c>
      <c r="N525" s="31">
        <f>IFERROR(VLOOKUP($B525,Allocation!$D$10:$O$235,8,FALSE),"")</f>
        <v>110413.98089461656</v>
      </c>
      <c r="O525" s="31">
        <f>IFERROR(VLOOKUP($B525,Allocation!$D$10:$O$235,9,FALSE),"")</f>
        <v>26163.618440495495</v>
      </c>
      <c r="P525" s="31">
        <f>IFERROR(VLOOKUP($B525,Allocation!$D$10:$O$235,10,FALSE),"")</f>
        <v>54245.112677979727</v>
      </c>
      <c r="Q525" s="31">
        <f>IFERROR(VLOOKUP($B525,Allocation!$D$10:$O$235,11,FALSE),"")</f>
        <v>43498.451826149794</v>
      </c>
      <c r="R525" s="31">
        <f>IFERROR(VLOOKUP($B525,Allocation!$D$10:$O$235,12,FALSE),"")</f>
        <v>234321.16383924158</v>
      </c>
      <c r="S525" s="31">
        <f t="shared" si="1191"/>
        <v>91558.961234488888</v>
      </c>
      <c r="T525" s="31">
        <f t="shared" si="1192"/>
        <v>21695.746382277968</v>
      </c>
      <c r="U525" s="31">
        <f t="shared" si="1193"/>
        <v>44981.859440282031</v>
      </c>
      <c r="V525" s="31">
        <f t="shared" si="1194"/>
        <v>36070.369279701554</v>
      </c>
      <c r="W525" s="31">
        <f t="shared" si="1169"/>
        <v>91558.961234488888</v>
      </c>
      <c r="X525" s="31">
        <f t="shared" si="1170"/>
        <v>21695.746382277968</v>
      </c>
      <c r="Y525" s="31">
        <f t="shared" si="1171"/>
        <v>44981.859440282031</v>
      </c>
      <c r="Z525" s="31">
        <f t="shared" si="1172"/>
        <v>36070.369279701554</v>
      </c>
      <c r="AA525" s="31">
        <f t="shared" si="1195"/>
        <v>91826.036751527776</v>
      </c>
      <c r="AB525" s="31">
        <f t="shared" si="1196"/>
        <v>21849.989747822321</v>
      </c>
      <c r="AC525" s="31">
        <f t="shared" si="1197"/>
        <v>45091.179350477687</v>
      </c>
      <c r="AD525" s="31">
        <f t="shared" si="1198"/>
        <v>36152.444811832975</v>
      </c>
      <c r="AE525" s="31">
        <f t="shared" si="1173"/>
        <v>194919.65066166077</v>
      </c>
      <c r="AF525" s="31">
        <f>IFERROR(VLOOKUP(A525,'Allocations By Type'!$D$7:$F$491,3,FALSE),"")</f>
        <v>196293.41</v>
      </c>
      <c r="AG525" s="31" t="str">
        <f t="shared" si="1174"/>
        <v/>
      </c>
      <c r="AH525" s="31" t="str">
        <f t="shared" si="1175"/>
        <v/>
      </c>
      <c r="AI525" s="31">
        <f t="shared" si="1176"/>
        <v>194919.65066166077</v>
      </c>
      <c r="AJ525" s="31">
        <f>AI525/$AI$577*'State Admin 1004(b)'!$B$30*0.01</f>
        <v>1854.95271664954</v>
      </c>
      <c r="AK525" s="31">
        <f t="shared" si="1177"/>
        <v>193064.69794501123</v>
      </c>
      <c r="AL525" s="31">
        <f t="shared" si="1178"/>
        <v>1930.6469794501122</v>
      </c>
      <c r="AM525" s="31">
        <f t="shared" si="1179"/>
        <v>191134.05096556112</v>
      </c>
      <c r="AP525" s="31"/>
      <c r="AQ525" s="4">
        <f t="shared" si="1180"/>
        <v>0.97371608637070961</v>
      </c>
      <c r="AR525" s="4">
        <f>VLOOKUP(B525,Allocation!$D$10:$P$235,13,FALSE)</f>
        <v>0.95366226634493578</v>
      </c>
      <c r="AS525" s="4">
        <f t="shared" si="1199"/>
        <v>0.9</v>
      </c>
      <c r="AT525" s="4" t="str">
        <f t="shared" si="1182"/>
        <v/>
      </c>
      <c r="AU525" s="31" t="str">
        <f t="shared" si="1183"/>
        <v/>
      </c>
      <c r="AV525" s="31" t="str">
        <f t="shared" si="1184"/>
        <v/>
      </c>
      <c r="AW525" s="31">
        <f t="shared" si="1200"/>
        <v>191050.03936961244</v>
      </c>
      <c r="AX525" s="4">
        <f t="shared" si="1185"/>
        <v>0.97328809647564041</v>
      </c>
      <c r="AY525" s="4" t="str">
        <f t="shared" si="1186"/>
        <v/>
      </c>
      <c r="AZ525" s="174" t="str">
        <f>IFERROR(IF(VLOOKUP(A525,#REF!,11,FALSE)=0,"",VLOOKUP(A525,#REF!,11,FALSE)),"")</f>
        <v/>
      </c>
      <c r="BA525" s="31" t="str">
        <f t="shared" si="1187"/>
        <v/>
      </c>
      <c r="BB525" s="31">
        <f t="shared" si="1188"/>
        <v>191050.03936961244</v>
      </c>
      <c r="BD525" s="31">
        <f>IFERROR(VLOOKUP(A525,'Title II Hold Harmless'!A$1:B$439,2, FALSE),"")</f>
        <v>23118</v>
      </c>
      <c r="BE525" s="31">
        <f t="shared" si="1201"/>
        <v>26076.174420009702</v>
      </c>
      <c r="BF525" s="31">
        <f t="shared" si="1202"/>
        <v>26101.404674794736</v>
      </c>
      <c r="BG525" s="31" t="str">
        <f t="shared" si="1189"/>
        <v/>
      </c>
      <c r="BH525" s="31">
        <f t="shared" si="1190"/>
        <v>26101.404674794736</v>
      </c>
    </row>
    <row r="526" spans="1:60" x14ac:dyDescent="0.3">
      <c r="A526" s="1">
        <v>130209000</v>
      </c>
      <c r="B526">
        <f>VLOOKUP(C526,'NCES ID'!$A$2:$B$3136,2,FALSE)</f>
        <v>409733</v>
      </c>
      <c r="C526">
        <f>VLOOKUP(A526,'State ID'!$A$2:$B$713,2,FALSE)</f>
        <v>4467</v>
      </c>
      <c r="D526" s="147" t="s">
        <v>381</v>
      </c>
      <c r="E526" t="s">
        <v>3</v>
      </c>
      <c r="F526" s="47">
        <f>VLOOKUP(B526,'Formula counts'!$D$9:$L$234,9,FALSE)</f>
        <v>1292</v>
      </c>
      <c r="G526" s="47">
        <f>VLOOKUP(B526,'Formula counts'!$D$9:$K$234,8,FALSE)</f>
        <v>255</v>
      </c>
      <c r="H526" s="4">
        <f>VLOOKUP(B526,'Formula counts'!$D$9:$M$234,10,FALSE)</f>
        <v>0.19736842105263158</v>
      </c>
      <c r="I526" s="47">
        <f>VLOOKUP($C526,'Final SEA Counts'!$A$2:$F$709,5,FALSE)</f>
        <v>992</v>
      </c>
      <c r="J526" s="47">
        <f>VLOOKUP($C526,'Final SEA Counts'!$A$2:$F$709,6,FALSE)</f>
        <v>426</v>
      </c>
      <c r="K526" s="24">
        <f t="shared" si="1166"/>
        <v>1124.1897506726425</v>
      </c>
      <c r="L526" s="24">
        <f t="shared" si="1167"/>
        <v>211.454518038603</v>
      </c>
      <c r="M526" s="4">
        <f t="shared" si="1168"/>
        <v>0.18809504170633318</v>
      </c>
      <c r="N526" s="31">
        <f>IFERROR(VLOOKUP($B526,Allocation!$D$10:$O$235,8,FALSE),"")</f>
        <v>153998.44703722841</v>
      </c>
      <c r="O526" s="31">
        <f>IFERROR(VLOOKUP($B526,Allocation!$D$10:$O$235,9,FALSE),"")</f>
        <v>36491.362561743714</v>
      </c>
      <c r="P526" s="31">
        <f>IFERROR(VLOOKUP($B526,Allocation!$D$10:$O$235,10,FALSE),"")</f>
        <v>63929.917279116635</v>
      </c>
      <c r="Q526" s="31">
        <f>IFERROR(VLOOKUP($B526,Allocation!$D$10:$O$235,11,FALSE),"")</f>
        <v>45998.567493658033</v>
      </c>
      <c r="R526" s="31">
        <f>IFERROR(VLOOKUP($B526,Allocation!$D$10:$O$235,12,FALSE),"")</f>
        <v>300418.29437174677</v>
      </c>
      <c r="S526" s="31">
        <f t="shared" si="1191"/>
        <v>127700.65645862928</v>
      </c>
      <c r="T526" s="31">
        <f t="shared" si="1192"/>
        <v>30259.856796335058</v>
      </c>
      <c r="U526" s="31">
        <f t="shared" si="1193"/>
        <v>53012.822927464193</v>
      </c>
      <c r="V526" s="31">
        <f t="shared" si="1194"/>
        <v>38143.548705245536</v>
      </c>
      <c r="W526" s="31">
        <f t="shared" si="1169"/>
        <v>127700.65645862928</v>
      </c>
      <c r="X526" s="31">
        <f t="shared" si="1170"/>
        <v>30259.856796335058</v>
      </c>
      <c r="Y526" s="31">
        <f t="shared" si="1171"/>
        <v>53012.822927464193</v>
      </c>
      <c r="Z526" s="31">
        <f t="shared" si="1172"/>
        <v>38143.548705245536</v>
      </c>
      <c r="AA526" s="31">
        <f t="shared" si="1195"/>
        <v>127967.73197566817</v>
      </c>
      <c r="AB526" s="31">
        <f t="shared" si="1196"/>
        <v>30414.100161879411</v>
      </c>
      <c r="AC526" s="31">
        <f t="shared" si="1197"/>
        <v>53122.142837659849</v>
      </c>
      <c r="AD526" s="31">
        <f t="shared" si="1198"/>
        <v>38225.624237376956</v>
      </c>
      <c r="AE526" s="31">
        <f t="shared" si="1173"/>
        <v>249729.59921258438</v>
      </c>
      <c r="AF526" s="31">
        <f>IFERROR(VLOOKUP(A526,'Allocations By Type'!$D$7:$F$491,3,FALSE),"")</f>
        <v>266584.48</v>
      </c>
      <c r="AG526" s="31" t="str">
        <f t="shared" si="1174"/>
        <v/>
      </c>
      <c r="AH526" s="31" t="str">
        <f t="shared" si="1175"/>
        <v/>
      </c>
      <c r="AI526" s="31">
        <f t="shared" si="1176"/>
        <v>249729.59921258438</v>
      </c>
      <c r="AJ526" s="31">
        <f>AI526/$AI$577*'State Admin 1004(b)'!$B$30*0.01</f>
        <v>2376.5515529845929</v>
      </c>
      <c r="AK526" s="31">
        <f t="shared" si="1177"/>
        <v>247353.04765959978</v>
      </c>
      <c r="AL526" s="31">
        <f t="shared" si="1178"/>
        <v>2473.5304765959977</v>
      </c>
      <c r="AM526" s="31">
        <f t="shared" si="1179"/>
        <v>244879.51718300377</v>
      </c>
      <c r="AP526" s="31"/>
      <c r="AQ526" s="4">
        <f t="shared" si="1180"/>
        <v>0.91858129619175055</v>
      </c>
      <c r="AR526" s="4">
        <f>VLOOKUP(B526,Allocation!$D$10:$P$235,13,FALSE)</f>
        <v>0.89999999999999991</v>
      </c>
      <c r="AS526" s="4">
        <f t="shared" si="1199"/>
        <v>0.9</v>
      </c>
      <c r="AT526" s="4" t="str">
        <f t="shared" si="1182"/>
        <v/>
      </c>
      <c r="AU526" s="31" t="str">
        <f t="shared" si="1183"/>
        <v/>
      </c>
      <c r="AV526" s="31" t="str">
        <f t="shared" si="1184"/>
        <v/>
      </c>
      <c r="AW526" s="31">
        <f t="shared" si="1200"/>
        <v>244771.88215434321</v>
      </c>
      <c r="AX526" s="4">
        <f t="shared" si="1185"/>
        <v>0.91817754039673738</v>
      </c>
      <c r="AY526" s="4" t="str">
        <f t="shared" si="1186"/>
        <v/>
      </c>
      <c r="AZ526" s="174" t="str">
        <f>IFERROR(IF(VLOOKUP(A526,#REF!,11,FALSE)=0,"",VLOOKUP(A526,#REF!,11,FALSE)),"")</f>
        <v/>
      </c>
      <c r="BA526" s="31" t="str">
        <f t="shared" si="1187"/>
        <v/>
      </c>
      <c r="BB526" s="31">
        <f t="shared" si="1188"/>
        <v>244771.88215434321</v>
      </c>
      <c r="BD526" s="31">
        <f>IFERROR(VLOOKUP(A526,'Title II Hold Harmless'!A$1:B$439,2, FALSE),"")</f>
        <v>29389</v>
      </c>
      <c r="BE526" s="31">
        <f t="shared" si="1201"/>
        <v>33061.829500663414</v>
      </c>
      <c r="BF526" s="31">
        <f t="shared" si="1202"/>
        <v>33093.81879359133</v>
      </c>
      <c r="BG526" s="31" t="str">
        <f t="shared" si="1189"/>
        <v/>
      </c>
      <c r="BH526" s="31">
        <f t="shared" si="1190"/>
        <v>33093.81879359133</v>
      </c>
    </row>
    <row r="527" spans="1:60" x14ac:dyDescent="0.3">
      <c r="A527" s="1">
        <v>130504000</v>
      </c>
      <c r="B527">
        <f>VLOOKUP(C527,'NCES ID'!$A$2:$B$3136,2,FALSE)</f>
        <v>405070</v>
      </c>
      <c r="C527">
        <f>VLOOKUP(A527,'State ID'!$A$2:$B$713,2,FALSE)</f>
        <v>4488</v>
      </c>
      <c r="D527" s="147" t="s">
        <v>288</v>
      </c>
      <c r="E527" t="s">
        <v>3</v>
      </c>
      <c r="F527" s="47">
        <f>VLOOKUP(B527,'Formula counts'!$D$9:$L$234,9,FALSE)</f>
        <v>1504</v>
      </c>
      <c r="G527" s="47">
        <f>VLOOKUP(B527,'Formula counts'!$D$9:$K$234,8,FALSE)</f>
        <v>268</v>
      </c>
      <c r="H527" s="4">
        <f>VLOOKUP(B527,'Formula counts'!$D$9:$M$234,10,FALSE)</f>
        <v>0.17819148936170212</v>
      </c>
      <c r="I527" s="47">
        <f>VLOOKUP($C527,'Final SEA Counts'!$A$2:$F$709,5,FALSE)</f>
        <v>862</v>
      </c>
      <c r="J527" s="47">
        <f>VLOOKUP($C527,'Final SEA Counts'!$A$2:$F$709,6,FALSE)</f>
        <v>651</v>
      </c>
      <c r="K527" s="24">
        <f t="shared" si="1166"/>
        <v>1308.6543227644383</v>
      </c>
      <c r="L527" s="24">
        <f t="shared" si="1167"/>
        <v>222.23455229155141</v>
      </c>
      <c r="M527" s="4">
        <f t="shared" si="1168"/>
        <v>0.16981914049089517</v>
      </c>
      <c r="N527" s="31">
        <f>IFERROR(VLOOKUP($B527,Allocation!$D$10:$O$235,8,FALSE),"")</f>
        <v>126425.78268364158</v>
      </c>
      <c r="O527" s="31">
        <f>IFERROR(VLOOKUP($B527,Allocation!$D$10:$O$235,9,FALSE),"")</f>
        <v>29981.986944103817</v>
      </c>
      <c r="P527" s="31">
        <f>IFERROR(VLOOKUP($B527,Allocation!$D$10:$O$235,10,FALSE),"")</f>
        <v>41604.98435069983</v>
      </c>
      <c r="Q527" s="31">
        <f>IFERROR(VLOOKUP($B527,Allocation!$D$10:$O$235,11,FALSE),"")</f>
        <v>31324.81115251033</v>
      </c>
      <c r="R527" s="31">
        <f>IFERROR(VLOOKUP($B527,Allocation!$D$10:$O$235,12,FALSE),"")</f>
        <v>229337.56513095554</v>
      </c>
      <c r="S527" s="31">
        <f t="shared" si="1191"/>
        <v>104836.4821373435</v>
      </c>
      <c r="T527" s="31">
        <f t="shared" si="1192"/>
        <v>24862.065094530044</v>
      </c>
      <c r="U527" s="31">
        <f t="shared" si="1193"/>
        <v>34500.24279953276</v>
      </c>
      <c r="V527" s="31">
        <f t="shared" si="1194"/>
        <v>25975.579783938545</v>
      </c>
      <c r="W527" s="31">
        <f t="shared" si="1169"/>
        <v>104836.4821373435</v>
      </c>
      <c r="X527" s="31">
        <f t="shared" si="1170"/>
        <v>24862.065094530044</v>
      </c>
      <c r="Y527" s="31">
        <f t="shared" si="1171"/>
        <v>34500.24279953276</v>
      </c>
      <c r="Z527" s="31">
        <f t="shared" si="1172"/>
        <v>25975.579783938545</v>
      </c>
      <c r="AA527" s="31">
        <f t="shared" si="1195"/>
        <v>105103.55765438238</v>
      </c>
      <c r="AB527" s="31">
        <f t="shared" si="1196"/>
        <v>25016.308460074397</v>
      </c>
      <c r="AC527" s="31">
        <f t="shared" si="1197"/>
        <v>34609.562709728416</v>
      </c>
      <c r="AD527" s="31">
        <f t="shared" si="1198"/>
        <v>26057.655316069966</v>
      </c>
      <c r="AE527" s="31">
        <f t="shared" si="1173"/>
        <v>190787.08414025517</v>
      </c>
      <c r="AF527" s="31">
        <f>IFERROR(VLOOKUP(A527,'Allocations By Type'!$D$7:$F$491,3,FALSE),"")</f>
        <v>182141.63</v>
      </c>
      <c r="AG527" s="31">
        <f t="shared" si="1174"/>
        <v>7631.4833656102073</v>
      </c>
      <c r="AH527" s="31">
        <f t="shared" si="1175"/>
        <v>7631.4833656102073</v>
      </c>
      <c r="AI527" s="31">
        <f t="shared" si="1176"/>
        <v>183155.60077464496</v>
      </c>
      <c r="AJ527" s="31">
        <f>AI527/$AI$577*'State Admin 1004(b)'!$B$30*0.01</f>
        <v>1743.0001442811511</v>
      </c>
      <c r="AK527" s="31">
        <f t="shared" si="1177"/>
        <v>181412.6006303638</v>
      </c>
      <c r="AL527" s="31">
        <f t="shared" si="1178"/>
        <v>1814.126006303638</v>
      </c>
      <c r="AM527" s="31">
        <f t="shared" si="1179"/>
        <v>179598.47462406015</v>
      </c>
      <c r="AP527" s="31"/>
      <c r="AQ527" s="4">
        <f t="shared" si="1180"/>
        <v>0.98603748425914572</v>
      </c>
      <c r="AR527" s="4">
        <f>VLOOKUP(B527,Allocation!$D$10:$P$235,13,FALSE)</f>
        <v>1.0482365435063135</v>
      </c>
      <c r="AS527" s="4">
        <f t="shared" si="1199"/>
        <v>0.9</v>
      </c>
      <c r="AT527" s="4" t="str">
        <f t="shared" si="1182"/>
        <v/>
      </c>
      <c r="AU527" s="31" t="str">
        <f t="shared" si="1183"/>
        <v/>
      </c>
      <c r="AV527" s="31" t="str">
        <f t="shared" si="1184"/>
        <v/>
      </c>
      <c r="AW527" s="31">
        <f t="shared" si="1200"/>
        <v>179519.53340763695</v>
      </c>
      <c r="AX527" s="4">
        <f t="shared" si="1185"/>
        <v>0.98560407858234789</v>
      </c>
      <c r="AY527" s="4" t="str">
        <f t="shared" si="1186"/>
        <v/>
      </c>
      <c r="AZ527" s="174" t="str">
        <f>IFERROR(IF(VLOOKUP(A527,#REF!,11,FALSE)=0,"",VLOOKUP(A527,#REF!,11,FALSE)),"")</f>
        <v/>
      </c>
      <c r="BA527" s="31" t="str">
        <f t="shared" si="1187"/>
        <v/>
      </c>
      <c r="BB527" s="31">
        <f t="shared" si="1188"/>
        <v>179519.53340763695</v>
      </c>
      <c r="BD527" s="31">
        <f>IFERROR(VLOOKUP(A527,'Title II Hold Harmless'!A$1:B$439,2, FALSE),"")</f>
        <v>39440</v>
      </c>
      <c r="BE527" s="31">
        <f t="shared" si="1201"/>
        <v>43402.404433746684</v>
      </c>
      <c r="BF527" s="31">
        <f t="shared" si="1202"/>
        <v>43444.398849971571</v>
      </c>
      <c r="BG527" s="31" t="str">
        <f t="shared" si="1189"/>
        <v/>
      </c>
      <c r="BH527" s="31">
        <f t="shared" si="1190"/>
        <v>43444.398849971571</v>
      </c>
    </row>
    <row r="528" spans="1:60" x14ac:dyDescent="0.3">
      <c r="A528" s="1">
        <v>130228000</v>
      </c>
      <c r="B528">
        <f>VLOOKUP(C528,'NCES ID'!$A$2:$B$3136,2,FALSE)</f>
        <v>401600</v>
      </c>
      <c r="C528">
        <f>VLOOKUP(A528,'State ID'!$A$2:$B$713,2,FALSE)</f>
        <v>4470</v>
      </c>
      <c r="D528" s="147" t="s">
        <v>86</v>
      </c>
      <c r="E528" t="s">
        <v>3</v>
      </c>
      <c r="F528" s="47">
        <f>VLOOKUP(B528,'Formula counts'!$D$9:$L$234,9,FALSE)</f>
        <v>1833</v>
      </c>
      <c r="G528" s="47">
        <f>VLOOKUP(B528,'Formula counts'!$D$9:$K$234,8,FALSE)</f>
        <v>511</v>
      </c>
      <c r="H528" s="4">
        <f>VLOOKUP(B528,'Formula counts'!$D$9:$M$234,10,FALSE)</f>
        <v>0.27877795962902346</v>
      </c>
      <c r="I528" s="47">
        <f>VLOOKUP($C528,'Final SEA Counts'!$A$2:$F$709,5,FALSE)</f>
        <v>1406</v>
      </c>
      <c r="J528" s="47">
        <f>VLOOKUP($C528,'Final SEA Counts'!$A$2:$F$709,6,FALSE)</f>
        <v>1010</v>
      </c>
      <c r="K528" s="24">
        <f t="shared" si="1166"/>
        <v>1594.9224558691592</v>
      </c>
      <c r="L528" s="24">
        <f t="shared" si="1167"/>
        <v>423.73826948127896</v>
      </c>
      <c r="M528" s="4">
        <f t="shared" si="1168"/>
        <v>0.26567954317902004</v>
      </c>
      <c r="N528" s="31">
        <f>IFERROR(VLOOKUP($B528,Allocation!$D$10:$O$235,8,FALSE),"")</f>
        <v>326236.31122552388</v>
      </c>
      <c r="O528" s="31">
        <f>IFERROR(VLOOKUP($B528,Allocation!$D$10:$O$235,9,FALSE),"")</f>
        <v>77248.811158926794</v>
      </c>
      <c r="P528" s="31">
        <f>IFERROR(VLOOKUP($B528,Allocation!$D$10:$O$235,10,FALSE),"")</f>
        <v>202368.58441210334</v>
      </c>
      <c r="Q528" s="31">
        <f>IFERROR(VLOOKUP($B528,Allocation!$D$10:$O$235,11,FALSE),"")</f>
        <v>206491.53928140851</v>
      </c>
      <c r="R528" s="31">
        <f>IFERROR(VLOOKUP($B528,Allocation!$D$10:$O$235,12,FALSE),"")</f>
        <v>812345.24607796257</v>
      </c>
      <c r="S528" s="31">
        <f t="shared" si="1191"/>
        <v>270526.04688974452</v>
      </c>
      <c r="T528" s="31">
        <f t="shared" si="1192"/>
        <v>64057.294637905587</v>
      </c>
      <c r="U528" s="31">
        <f t="shared" si="1193"/>
        <v>167810.7901294732</v>
      </c>
      <c r="V528" s="31">
        <f t="shared" si="1194"/>
        <v>171229.68203058629</v>
      </c>
      <c r="W528" s="31">
        <f t="shared" si="1169"/>
        <v>270526.04688974452</v>
      </c>
      <c r="X528" s="31">
        <f t="shared" si="1170"/>
        <v>64057.294637905587</v>
      </c>
      <c r="Y528" s="31">
        <f t="shared" si="1171"/>
        <v>167810.7901294732</v>
      </c>
      <c r="Z528" s="31">
        <f t="shared" si="1172"/>
        <v>171229.68203058629</v>
      </c>
      <c r="AA528" s="31">
        <f t="shared" si="1195"/>
        <v>270793.1224067834</v>
      </c>
      <c r="AB528" s="31">
        <f t="shared" si="1196"/>
        <v>64211.538003449939</v>
      </c>
      <c r="AC528" s="31">
        <f t="shared" si="1197"/>
        <v>167920.11003966886</v>
      </c>
      <c r="AD528" s="31">
        <f t="shared" si="1198"/>
        <v>171311.75756271771</v>
      </c>
      <c r="AE528" s="31">
        <f t="shared" si="1173"/>
        <v>674236.52801261982</v>
      </c>
      <c r="AF528" s="31">
        <f>IFERROR(VLOOKUP(A528,'Allocations By Type'!$D$7:$F$491,3,FALSE),"")</f>
        <v>720742.64</v>
      </c>
      <c r="AG528" s="31" t="str">
        <f t="shared" si="1174"/>
        <v/>
      </c>
      <c r="AH528" s="31" t="str">
        <f t="shared" si="1175"/>
        <v/>
      </c>
      <c r="AI528" s="31">
        <f t="shared" si="1176"/>
        <v>674236.52801261982</v>
      </c>
      <c r="AJ528" s="31">
        <f>AI528/$AI$577*'State Admin 1004(b)'!$B$30*0.01</f>
        <v>6416.3714384665773</v>
      </c>
      <c r="AK528" s="31">
        <f t="shared" si="1177"/>
        <v>667820.15657415322</v>
      </c>
      <c r="AL528" s="31">
        <f t="shared" si="1178"/>
        <v>6678.2015657415322</v>
      </c>
      <c r="AM528" s="31">
        <f t="shared" si="1179"/>
        <v>661141.95500841166</v>
      </c>
      <c r="AP528" s="31"/>
      <c r="AQ528" s="4">
        <f t="shared" si="1180"/>
        <v>0.91730656452962411</v>
      </c>
      <c r="AR528" s="4">
        <f>VLOOKUP(B528,Allocation!$D$10:$P$235,13,FALSE)</f>
        <v>0.9</v>
      </c>
      <c r="AS528" s="4">
        <f t="shared" si="1199"/>
        <v>0.9</v>
      </c>
      <c r="AT528" s="4" t="str">
        <f t="shared" si="1182"/>
        <v/>
      </c>
      <c r="AU528" s="31" t="str">
        <f t="shared" si="1183"/>
        <v/>
      </c>
      <c r="AV528" s="31" t="str">
        <f t="shared" si="1184"/>
        <v/>
      </c>
      <c r="AW528" s="31">
        <f t="shared" si="1200"/>
        <v>660851.35482226848</v>
      </c>
      <c r="AX528" s="4">
        <f t="shared" si="1185"/>
        <v>0.91690336903373504</v>
      </c>
      <c r="AY528" s="4" t="str">
        <f t="shared" si="1186"/>
        <v/>
      </c>
      <c r="AZ528" s="174" t="str">
        <f>IFERROR(IF(VLOOKUP(A528,#REF!,11,FALSE)=0,"",VLOOKUP(A528,#REF!,11,FALSE)),"")</f>
        <v/>
      </c>
      <c r="BA528" s="31" t="str">
        <f t="shared" si="1187"/>
        <v/>
      </c>
      <c r="BB528" s="31">
        <f t="shared" si="1188"/>
        <v>660851.35482226848</v>
      </c>
      <c r="BD528" s="31">
        <f>IFERROR(VLOOKUP(A528,'Title II Hold Harmless'!A$1:B$439,2, FALSE),"")</f>
        <v>45751</v>
      </c>
      <c r="BE528" s="31">
        <f t="shared" si="1201"/>
        <v>52581.612197319257</v>
      </c>
      <c r="BF528" s="31">
        <f t="shared" si="1202"/>
        <v>52632.488044802783</v>
      </c>
      <c r="BG528" s="31" t="str">
        <f t="shared" si="1189"/>
        <v/>
      </c>
      <c r="BH528" s="31">
        <f t="shared" si="1190"/>
        <v>52632.488044802783</v>
      </c>
    </row>
    <row r="529" spans="1:60" x14ac:dyDescent="0.3">
      <c r="A529" s="1">
        <v>130406000</v>
      </c>
      <c r="B529">
        <f>VLOOKUP(C529,'NCES ID'!$A$2:$B$3136,2,FALSE)</f>
        <v>402370</v>
      </c>
      <c r="C529">
        <f>VLOOKUP(A529,'State ID'!$A$2:$B$713,2,FALSE)</f>
        <v>4487</v>
      </c>
      <c r="D529" s="147" t="s">
        <v>117</v>
      </c>
      <c r="E529" t="s">
        <v>3</v>
      </c>
      <c r="F529" s="47">
        <f>VLOOKUP(B529,'Formula counts'!$D$9:$L$234,9,FALSE)</f>
        <v>3000</v>
      </c>
      <c r="G529" s="47">
        <f>VLOOKUP(B529,'Formula counts'!$D$9:$K$234,8,FALSE)</f>
        <v>748</v>
      </c>
      <c r="H529" s="4">
        <f>VLOOKUP(B529,'Formula counts'!$D$9:$M$234,10,FALSE)</f>
        <v>0.24933333333333332</v>
      </c>
      <c r="I529" s="47">
        <f>VLOOKUP($C529,'Final SEA Counts'!$A$2:$F$709,5,FALSE)</f>
        <v>2164</v>
      </c>
      <c r="J529" s="47">
        <f>VLOOKUP($C529,'Final SEA Counts'!$A$2:$F$709,6,FALSE)</f>
        <v>1431</v>
      </c>
      <c r="K529" s="24">
        <f t="shared" si="1166"/>
        <v>2610.3477182801298</v>
      </c>
      <c r="L529" s="24">
        <f t="shared" si="1167"/>
        <v>620.26658624656886</v>
      </c>
      <c r="M529" s="4">
        <f t="shared" si="1168"/>
        <v>0.23761837624270288</v>
      </c>
      <c r="N529" s="31">
        <f>IFERROR(VLOOKUP($B529,Allocation!$D$10:$O$235,8,FALSE),"")</f>
        <v>352860.02032598463</v>
      </c>
      <c r="O529" s="31">
        <f>IFERROR(VLOOKUP($B529,Allocation!$D$10:$O$235,9,FALSE),"")</f>
        <v>83681.068038021142</v>
      </c>
      <c r="P529" s="31">
        <f>IFERROR(VLOOKUP($B529,Allocation!$D$10:$O$235,10,FALSE),"")</f>
        <v>156203.61339108282</v>
      </c>
      <c r="Q529" s="31">
        <f>IFERROR(VLOOKUP($B529,Allocation!$D$10:$O$235,11,FALSE),"")</f>
        <v>112040.2574311405</v>
      </c>
      <c r="R529" s="31">
        <f>IFERROR(VLOOKUP($B529,Allocation!$D$10:$O$235,12,FALSE),"")</f>
        <v>704784.95918622916</v>
      </c>
      <c r="S529" s="31">
        <f t="shared" si="1191"/>
        <v>292603.31581616763</v>
      </c>
      <c r="T529" s="31">
        <f t="shared" si="1192"/>
        <v>69391.136905628664</v>
      </c>
      <c r="U529" s="31">
        <f t="shared" si="1193"/>
        <v>129529.25406078312</v>
      </c>
      <c r="V529" s="31">
        <f t="shared" si="1194"/>
        <v>92907.524062834622</v>
      </c>
      <c r="W529" s="31">
        <f t="shared" si="1169"/>
        <v>292603.31581616763</v>
      </c>
      <c r="X529" s="31">
        <f t="shared" si="1170"/>
        <v>69391.136905628664</v>
      </c>
      <c r="Y529" s="31">
        <f t="shared" si="1171"/>
        <v>129529.25406078312</v>
      </c>
      <c r="Z529" s="31">
        <f t="shared" si="1172"/>
        <v>92907.524062834622</v>
      </c>
      <c r="AA529" s="31">
        <f t="shared" si="1195"/>
        <v>292870.3913332065</v>
      </c>
      <c r="AB529" s="31">
        <f t="shared" si="1196"/>
        <v>69545.380271173024</v>
      </c>
      <c r="AC529" s="31">
        <f t="shared" si="1197"/>
        <v>129638.57397097877</v>
      </c>
      <c r="AD529" s="31">
        <f t="shared" si="1198"/>
        <v>92989.599594966043</v>
      </c>
      <c r="AE529" s="31">
        <f t="shared" si="1173"/>
        <v>585043.9451703243</v>
      </c>
      <c r="AF529" s="31">
        <f>IFERROR(VLOOKUP(A529,'Allocations By Type'!$D$7:$F$491,3,FALSE),"")</f>
        <v>618191.6</v>
      </c>
      <c r="AG529" s="31" t="str">
        <f t="shared" si="1174"/>
        <v/>
      </c>
      <c r="AH529" s="31" t="str">
        <f t="shared" si="1175"/>
        <v/>
      </c>
      <c r="AI529" s="31">
        <f t="shared" si="1176"/>
        <v>585043.9451703243</v>
      </c>
      <c r="AJ529" s="31">
        <f>AI529/$AI$577*'State Admin 1004(b)'!$B$30*0.01</f>
        <v>5567.5702873938826</v>
      </c>
      <c r="AK529" s="31">
        <f t="shared" si="1177"/>
        <v>579476.37488293042</v>
      </c>
      <c r="AL529" s="31">
        <f t="shared" si="1178"/>
        <v>5794.7637488293039</v>
      </c>
      <c r="AM529" s="31">
        <f t="shared" si="1179"/>
        <v>573681.61113410117</v>
      </c>
      <c r="AP529" s="31"/>
      <c r="AQ529" s="4">
        <f t="shared" si="1180"/>
        <v>0.9279996867218856</v>
      </c>
      <c r="AR529" s="4">
        <f>VLOOKUP(B529,Allocation!$D$10:$P$235,13,FALSE)</f>
        <v>0.94833253485435309</v>
      </c>
      <c r="AS529" s="4">
        <f t="shared" si="1199"/>
        <v>0.9</v>
      </c>
      <c r="AT529" s="4" t="str">
        <f t="shared" si="1182"/>
        <v/>
      </c>
      <c r="AU529" s="31" t="str">
        <f t="shared" si="1183"/>
        <v/>
      </c>
      <c r="AV529" s="31" t="str">
        <f t="shared" si="1184"/>
        <v/>
      </c>
      <c r="AW529" s="31">
        <f t="shared" si="1200"/>
        <v>573429.45351239899</v>
      </c>
      <c r="AX529" s="4">
        <f t="shared" si="1185"/>
        <v>0.92759179114112678</v>
      </c>
      <c r="AY529" s="4" t="str">
        <f t="shared" si="1186"/>
        <v/>
      </c>
      <c r="AZ529" s="174" t="str">
        <f>IFERROR(IF(VLOOKUP(A529,#REF!,11,FALSE)=0,"",VLOOKUP(A529,#REF!,11,FALSE)),"")</f>
        <v/>
      </c>
      <c r="BA529" s="31" t="str">
        <f t="shared" si="1187"/>
        <v/>
      </c>
      <c r="BB529" s="31">
        <f t="shared" si="1188"/>
        <v>573429.45351239899</v>
      </c>
      <c r="BD529" s="31">
        <f>IFERROR(VLOOKUP(A529,'Title II Hold Harmless'!A$1:B$439,2, FALSE),"")</f>
        <v>45215</v>
      </c>
      <c r="BE529" s="31">
        <f t="shared" si="1201"/>
        <v>55435.51405242132</v>
      </c>
      <c r="BF529" s="31">
        <f t="shared" si="1202"/>
        <v>55489.151220249463</v>
      </c>
      <c r="BG529" s="31" t="str">
        <f t="shared" si="1189"/>
        <v/>
      </c>
      <c r="BH529" s="31">
        <f t="shared" si="1190"/>
        <v>55489.151220249463</v>
      </c>
    </row>
    <row r="530" spans="1:60" x14ac:dyDescent="0.3">
      <c r="A530" s="1">
        <v>130251000</v>
      </c>
      <c r="B530">
        <f>VLOOKUP(C530,'NCES ID'!$A$2:$B$3136,2,FALSE)</f>
        <v>400003</v>
      </c>
      <c r="C530">
        <f>VLOOKUP(A530,'State ID'!$A$2:$B$713,2,FALSE)</f>
        <v>4474</v>
      </c>
      <c r="D530" s="147" t="s">
        <v>104</v>
      </c>
      <c r="E530" t="s">
        <v>3</v>
      </c>
      <c r="F530" s="47">
        <f>VLOOKUP(B530,'Formula counts'!$D$9:$L$234,9,FALSE)</f>
        <v>3542</v>
      </c>
      <c r="G530" s="47">
        <f>VLOOKUP(B530,'Formula counts'!$D$9:$K$234,8,FALSE)</f>
        <v>960</v>
      </c>
      <c r="H530" s="4">
        <f>VLOOKUP(B530,'Formula counts'!$D$9:$M$234,10,FALSE)</f>
        <v>0.27103331451157536</v>
      </c>
      <c r="I530" s="47">
        <f>VLOOKUP($C530,'Final SEA Counts'!$A$2:$F$709,5,FALSE)</f>
        <v>2111</v>
      </c>
      <c r="J530" s="47">
        <f>VLOOKUP($C530,'Final SEA Counts'!$A$2:$F$709,6,FALSE)</f>
        <v>1341</v>
      </c>
      <c r="K530" s="24">
        <f t="shared" si="1166"/>
        <v>3081.9505393827399</v>
      </c>
      <c r="L530" s="24">
        <f t="shared" si="1167"/>
        <v>796.06406791003485</v>
      </c>
      <c r="M530" s="4">
        <f t="shared" si="1168"/>
        <v>0.25829878115742649</v>
      </c>
      <c r="N530" s="31">
        <f>IFERROR(VLOOKUP($B530,Allocation!$D$10:$O$235,8,FALSE),"")</f>
        <v>452868.4752846862</v>
      </c>
      <c r="O530" s="31">
        <f>IFERROR(VLOOKUP($B530,Allocation!$D$10:$O$235,9,FALSE),"")</f>
        <v>107398.16218783455</v>
      </c>
      <c r="P530" s="31">
        <f>IFERROR(VLOOKUP($B530,Allocation!$D$10:$O$235,10,FALSE),"")</f>
        <v>198445.33330442008</v>
      </c>
      <c r="Q530" s="31">
        <f>IFERROR(VLOOKUP($B530,Allocation!$D$10:$O$235,11,FALSE),"")</f>
        <v>157193.92990491164</v>
      </c>
      <c r="R530" s="31">
        <f>IFERROR(VLOOKUP($B530,Allocation!$D$10:$O$235,12,FALSE),"")</f>
        <v>915905.90068185248</v>
      </c>
      <c r="S530" s="31">
        <f t="shared" si="1191"/>
        <v>375533.66735764832</v>
      </c>
      <c r="T530" s="31">
        <f t="shared" si="1192"/>
        <v>89058.143622197153</v>
      </c>
      <c r="U530" s="31">
        <f t="shared" si="1193"/>
        <v>164557.49925841604</v>
      </c>
      <c r="V530" s="31">
        <f t="shared" si="1194"/>
        <v>130350.45759465505</v>
      </c>
      <c r="W530" s="31">
        <f t="shared" si="1169"/>
        <v>375533.66735764832</v>
      </c>
      <c r="X530" s="31">
        <f t="shared" si="1170"/>
        <v>89058.143622197153</v>
      </c>
      <c r="Y530" s="31">
        <f t="shared" si="1171"/>
        <v>164557.49925841604</v>
      </c>
      <c r="Z530" s="31">
        <f t="shared" si="1172"/>
        <v>130350.45759465505</v>
      </c>
      <c r="AA530" s="31">
        <f t="shared" si="1195"/>
        <v>375800.74287468719</v>
      </c>
      <c r="AB530" s="31">
        <f t="shared" si="1196"/>
        <v>89212.386987741513</v>
      </c>
      <c r="AC530" s="31">
        <f t="shared" si="1197"/>
        <v>164666.81916861169</v>
      </c>
      <c r="AD530" s="31">
        <f t="shared" si="1198"/>
        <v>130432.53312678647</v>
      </c>
      <c r="AE530" s="31">
        <f t="shared" si="1173"/>
        <v>760112.48215782689</v>
      </c>
      <c r="AF530" s="31">
        <f>IFERROR(VLOOKUP(A530,'Allocations By Type'!$D$7:$F$491,3,FALSE),"")</f>
        <v>693656.92</v>
      </c>
      <c r="AG530" s="31">
        <f t="shared" si="1174"/>
        <v>30404.499286313076</v>
      </c>
      <c r="AH530" s="31">
        <f t="shared" si="1175"/>
        <v>30404.499286313076</v>
      </c>
      <c r="AI530" s="31">
        <f t="shared" si="1176"/>
        <v>729707.98287151381</v>
      </c>
      <c r="AJ530" s="31">
        <f>AI530/$AI$577*'State Admin 1004(b)'!$B$30*0.01</f>
        <v>6944.2654991101335</v>
      </c>
      <c r="AK530" s="31">
        <f t="shared" si="1177"/>
        <v>722763.71737240371</v>
      </c>
      <c r="AL530" s="31">
        <f t="shared" si="1178"/>
        <v>7227.637173724037</v>
      </c>
      <c r="AM530" s="31">
        <f t="shared" si="1179"/>
        <v>715536.0801986797</v>
      </c>
      <c r="AP530" s="31"/>
      <c r="AQ530" s="4">
        <f t="shared" si="1180"/>
        <v>1.0315417601523815</v>
      </c>
      <c r="AR530" s="4">
        <f>VLOOKUP(B530,Allocation!$D$10:$P$235,13,FALSE)</f>
        <v>1.0539105834902645</v>
      </c>
      <c r="AS530" s="4">
        <f t="shared" si="1199"/>
        <v>0.9</v>
      </c>
      <c r="AT530" s="4" t="str">
        <f t="shared" si="1182"/>
        <v/>
      </c>
      <c r="AU530" s="31" t="str">
        <f t="shared" si="1183"/>
        <v/>
      </c>
      <c r="AV530" s="31" t="str">
        <f t="shared" si="1184"/>
        <v/>
      </c>
      <c r="AW530" s="31">
        <f t="shared" si="1200"/>
        <v>715221.57146644348</v>
      </c>
      <c r="AX530" s="4">
        <f t="shared" si="1185"/>
        <v>1.0310883533987427</v>
      </c>
      <c r="AY530" s="4" t="str">
        <f t="shared" si="1186"/>
        <v/>
      </c>
      <c r="AZ530" s="174" t="str">
        <f>IFERROR(IF(VLOOKUP(A530,#REF!,11,FALSE)=0,"",VLOOKUP(A530,#REF!,11,FALSE)),"")</f>
        <v/>
      </c>
      <c r="BA530" s="31" t="str">
        <f t="shared" si="1187"/>
        <v/>
      </c>
      <c r="BB530" s="31">
        <f t="shared" si="1188"/>
        <v>715221.57146644348</v>
      </c>
      <c r="BD530" s="31">
        <f>IFERROR(VLOOKUP(A530,'Title II Hold Harmless'!A$1:B$439,2, FALSE),"")</f>
        <v>84625</v>
      </c>
      <c r="BE530" s="31">
        <f t="shared" si="1201"/>
        <v>97526.367193424448</v>
      </c>
      <c r="BF530" s="31">
        <f t="shared" si="1202"/>
        <v>97620.72977333804</v>
      </c>
      <c r="BG530" s="31" t="str">
        <f t="shared" si="1189"/>
        <v/>
      </c>
      <c r="BH530" s="31">
        <f t="shared" si="1190"/>
        <v>97620.72977333804</v>
      </c>
    </row>
    <row r="531" spans="1:60" x14ac:dyDescent="0.3">
      <c r="A531" s="1">
        <v>130201000</v>
      </c>
      <c r="B531">
        <f>VLOOKUP(C531,'NCES ID'!$A$2:$B$3136,2,FALSE)</f>
        <v>406730</v>
      </c>
      <c r="C531">
        <f>VLOOKUP(A531,'State ID'!$A$2:$B$713,2,FALSE)</f>
        <v>4466</v>
      </c>
      <c r="D531" s="147" t="s">
        <v>352</v>
      </c>
      <c r="E531" t="s">
        <v>3</v>
      </c>
      <c r="F531" s="47">
        <f>VLOOKUP(B531,'Formula counts'!$D$9:$L$234,9,FALSE)</f>
        <v>5688</v>
      </c>
      <c r="G531" s="47">
        <f>VLOOKUP(B531,'Formula counts'!$D$9:$K$234,8,FALSE)</f>
        <v>868</v>
      </c>
      <c r="H531" s="4">
        <f>VLOOKUP(B531,'Formula counts'!$D$9:$M$234,10,FALSE)</f>
        <v>0.15260196905766527</v>
      </c>
      <c r="I531" s="47">
        <f>VLOOKUP($C531,'Final SEA Counts'!$A$2:$F$709,5,FALSE)</f>
        <v>3667</v>
      </c>
      <c r="J531" s="47">
        <f>VLOOKUP($C531,'Final SEA Counts'!$A$2:$F$709,6,FALSE)</f>
        <v>1557</v>
      </c>
      <c r="K531" s="24">
        <f t="shared" si="1166"/>
        <v>4949.2192738591257</v>
      </c>
      <c r="L531" s="24">
        <f t="shared" si="1167"/>
        <v>719.77459473532326</v>
      </c>
      <c r="M531" s="4">
        <f t="shared" si="1168"/>
        <v>0.1454319469208086</v>
      </c>
      <c r="N531" s="31">
        <f>IFERROR(VLOOKUP($B531,Allocation!$D$10:$O$235,8,FALSE),"")</f>
        <v>409468.57973657042</v>
      </c>
      <c r="O531" s="31">
        <f>IFERROR(VLOOKUP($B531,Allocation!$D$10:$O$235,9,FALSE),"")</f>
        <v>97105.838311500484</v>
      </c>
      <c r="P531" s="31">
        <f>IFERROR(VLOOKUP($B531,Allocation!$D$10:$O$235,10,FALSE),"")</f>
        <v>135700.37922783376</v>
      </c>
      <c r="Q531" s="31">
        <f>IFERROR(VLOOKUP($B531,Allocation!$D$10:$O$235,11,FALSE),"")</f>
        <v>105190.10732884376</v>
      </c>
      <c r="R531" s="31">
        <f>IFERROR(VLOOKUP($B531,Allocation!$D$10:$O$235,12,FALSE),"")</f>
        <v>747464.90460474847</v>
      </c>
      <c r="S531" s="31">
        <f t="shared" si="1191"/>
        <v>339545.02423587372</v>
      </c>
      <c r="T531" s="31">
        <f t="shared" si="1192"/>
        <v>80523.40485840333</v>
      </c>
      <c r="U531" s="31">
        <f t="shared" si="1193"/>
        <v>112527.28740108723</v>
      </c>
      <c r="V531" s="31">
        <f t="shared" si="1194"/>
        <v>87227.150775096408</v>
      </c>
      <c r="W531" s="31">
        <f t="shared" si="1169"/>
        <v>339545.02423587372</v>
      </c>
      <c r="X531" s="31">
        <f t="shared" si="1170"/>
        <v>80523.40485840333</v>
      </c>
      <c r="Y531" s="31">
        <f t="shared" si="1171"/>
        <v>112527.28740108723</v>
      </c>
      <c r="Z531" s="31">
        <f t="shared" si="1172"/>
        <v>87227.150775096408</v>
      </c>
      <c r="AA531" s="31">
        <f t="shared" si="1195"/>
        <v>339812.09975291259</v>
      </c>
      <c r="AB531" s="31">
        <f t="shared" si="1196"/>
        <v>80677.64822394769</v>
      </c>
      <c r="AC531" s="31">
        <f t="shared" si="1197"/>
        <v>112636.60731128289</v>
      </c>
      <c r="AD531" s="31">
        <f t="shared" si="1198"/>
        <v>87309.226307227829</v>
      </c>
      <c r="AE531" s="31">
        <f t="shared" si="1173"/>
        <v>620435.58159537101</v>
      </c>
      <c r="AF531" s="31">
        <f>IFERROR(VLOOKUP(A531,'Allocations By Type'!$D$7:$F$491,3,FALSE),"")</f>
        <v>663304.92000000004</v>
      </c>
      <c r="AG531" s="31" t="str">
        <f t="shared" si="1174"/>
        <v/>
      </c>
      <c r="AH531" s="31" t="str">
        <f t="shared" si="1175"/>
        <v/>
      </c>
      <c r="AI531" s="31">
        <f t="shared" si="1176"/>
        <v>620435.58159537101</v>
      </c>
      <c r="AJ531" s="31">
        <f>AI531/$AI$577*'State Admin 1004(b)'!$B$30*0.01</f>
        <v>5904.374770217767</v>
      </c>
      <c r="AK531" s="31">
        <f t="shared" si="1177"/>
        <v>614531.2068251532</v>
      </c>
      <c r="AL531" s="31">
        <f t="shared" si="1178"/>
        <v>6145.3120682515319</v>
      </c>
      <c r="AM531" s="31">
        <f t="shared" si="1179"/>
        <v>608385.89475690166</v>
      </c>
      <c r="AP531" s="31"/>
      <c r="AQ531" s="4">
        <f t="shared" si="1180"/>
        <v>0.91720395313350245</v>
      </c>
      <c r="AR531" s="4">
        <f>VLOOKUP(B531,Allocation!$D$10:$P$235,13,FALSE)</f>
        <v>0.93171477111741374</v>
      </c>
      <c r="AS531" s="4">
        <f t="shared" si="1199"/>
        <v>0.85</v>
      </c>
      <c r="AT531" s="4" t="str">
        <f t="shared" si="1182"/>
        <v/>
      </c>
      <c r="AU531" s="31" t="str">
        <f t="shared" si="1183"/>
        <v/>
      </c>
      <c r="AV531" s="31" t="str">
        <f t="shared" si="1184"/>
        <v/>
      </c>
      <c r="AW531" s="31">
        <f t="shared" si="1200"/>
        <v>608118.48311720171</v>
      </c>
      <c r="AX531" s="4">
        <f t="shared" si="1185"/>
        <v>0.91680080273971387</v>
      </c>
      <c r="AY531" s="4" t="str">
        <f t="shared" si="1186"/>
        <v/>
      </c>
      <c r="AZ531" s="174" t="str">
        <f>IFERROR(IF(VLOOKUP(A531,#REF!,11,FALSE)=0,"",VLOOKUP(A531,#REF!,11,FALSE)),"")</f>
        <v/>
      </c>
      <c r="BA531" s="31" t="str">
        <f t="shared" si="1187"/>
        <v/>
      </c>
      <c r="BB531" s="31">
        <f t="shared" si="1188"/>
        <v>608118.48311720171</v>
      </c>
      <c r="BD531" s="31">
        <f>IFERROR(VLOOKUP(A531,'Title II Hold Harmless'!A$1:B$439,2, FALSE),"")</f>
        <v>109275</v>
      </c>
      <c r="BE531" s="31">
        <f t="shared" si="1201"/>
        <v>122680.46394864992</v>
      </c>
      <c r="BF531" s="31">
        <f t="shared" si="1202"/>
        <v>122799.16461818508</v>
      </c>
      <c r="BG531" s="31" t="str">
        <f t="shared" si="1189"/>
        <v/>
      </c>
      <c r="BH531" s="31">
        <f t="shared" si="1190"/>
        <v>122799.16461818508</v>
      </c>
    </row>
    <row r="532" spans="1:60" x14ac:dyDescent="0.3">
      <c r="A532" s="1">
        <v>130222000</v>
      </c>
      <c r="B532">
        <f>VLOOKUP(C532,'NCES ID'!$A$2:$B$3136,2,FALSE)</f>
        <v>403870</v>
      </c>
      <c r="C532">
        <f>VLOOKUP(A532,'State ID'!$A$2:$B$713,2,FALSE)</f>
        <v>4469</v>
      </c>
      <c r="D532" s="147" t="s">
        <v>200</v>
      </c>
      <c r="E532" t="s">
        <v>3</v>
      </c>
      <c r="F532" s="47">
        <f>VLOOKUP(B532,'Formula counts'!$D$9:$L$234,9,FALSE)</f>
        <v>8342</v>
      </c>
      <c r="G532" s="47">
        <f>VLOOKUP(B532,'Formula counts'!$D$9:$K$234,8,FALSE)</f>
        <v>1594</v>
      </c>
      <c r="H532" s="4">
        <f>VLOOKUP(B532,'Formula counts'!$D$9:$M$234,10,FALSE)</f>
        <v>0.19108127547350756</v>
      </c>
      <c r="I532" s="47">
        <f>VLOOKUP($C532,'Final SEA Counts'!$A$2:$F$709,5,FALSE)</f>
        <v>5416</v>
      </c>
      <c r="J532" s="47">
        <f>VLOOKUP($C532,'Final SEA Counts'!$A$2:$F$709,6,FALSE)</f>
        <v>3623</v>
      </c>
      <c r="K532" s="24">
        <f t="shared" si="1166"/>
        <v>7258.5068886309473</v>
      </c>
      <c r="L532" s="24">
        <f t="shared" si="1167"/>
        <v>1321.7980460922872</v>
      </c>
      <c r="M532" s="4">
        <f t="shared" si="1168"/>
        <v>0.18210329842940967</v>
      </c>
      <c r="N532" s="31">
        <f>IFERROR(VLOOKUP($B532,Allocation!$D$10:$O$235,8,FALSE),"")</f>
        <v>751950.3641706144</v>
      </c>
      <c r="O532" s="31">
        <f>IFERROR(VLOOKUP($B532,Allocation!$D$10:$O$235,9,FALSE),"")</f>
        <v>178325.69846605038</v>
      </c>
      <c r="P532" s="31">
        <f>IFERROR(VLOOKUP($B532,Allocation!$D$10:$O$235,10,FALSE),"")</f>
        <v>290198.77230583795</v>
      </c>
      <c r="Q532" s="31">
        <f>IFERROR(VLOOKUP($B532,Allocation!$D$10:$O$235,11,FALSE),"")</f>
        <v>224951.76637861991</v>
      </c>
      <c r="R532" s="31">
        <f>IFERROR(VLOOKUP($B532,Allocation!$D$10:$O$235,12,FALSE),"")</f>
        <v>1445426.6013211228</v>
      </c>
      <c r="S532" s="31">
        <f t="shared" si="1191"/>
        <v>623542.36017509527</v>
      </c>
      <c r="T532" s="31">
        <f t="shared" si="1192"/>
        <v>147873.62597268994</v>
      </c>
      <c r="U532" s="31">
        <f t="shared" si="1193"/>
        <v>240642.51581696182</v>
      </c>
      <c r="V532" s="31">
        <f t="shared" si="1194"/>
        <v>186537.51898636666</v>
      </c>
      <c r="W532" s="31">
        <f t="shared" si="1169"/>
        <v>623542.36017509527</v>
      </c>
      <c r="X532" s="31">
        <f t="shared" si="1170"/>
        <v>147873.62597268994</v>
      </c>
      <c r="Y532" s="31">
        <f t="shared" si="1171"/>
        <v>240642.51581696182</v>
      </c>
      <c r="Z532" s="31">
        <f t="shared" si="1172"/>
        <v>186537.51898636666</v>
      </c>
      <c r="AA532" s="31">
        <f t="shared" si="1195"/>
        <v>623809.4356921342</v>
      </c>
      <c r="AB532" s="31">
        <f t="shared" si="1196"/>
        <v>148027.8693382343</v>
      </c>
      <c r="AC532" s="31">
        <f t="shared" si="1197"/>
        <v>240751.83572715748</v>
      </c>
      <c r="AD532" s="31">
        <f t="shared" si="1198"/>
        <v>186619.59451849808</v>
      </c>
      <c r="AE532" s="31">
        <f t="shared" si="1173"/>
        <v>1199208.7352760241</v>
      </c>
      <c r="AF532" s="31">
        <f>IFERROR(VLOOKUP(A532,'Allocations By Type'!$D$7:$F$491,3,FALSE),"")</f>
        <v>1251012.3400000001</v>
      </c>
      <c r="AG532" s="31" t="str">
        <f t="shared" si="1174"/>
        <v/>
      </c>
      <c r="AH532" s="31" t="str">
        <f t="shared" si="1175"/>
        <v/>
      </c>
      <c r="AI532" s="31">
        <f t="shared" si="1176"/>
        <v>1199208.7352760241</v>
      </c>
      <c r="AJ532" s="31">
        <f>AI532/$AI$577*'State Admin 1004(b)'!$B$30*0.01</f>
        <v>11412.269074867871</v>
      </c>
      <c r="AK532" s="31">
        <f t="shared" si="1177"/>
        <v>1187796.4662011561</v>
      </c>
      <c r="AL532" s="31">
        <f t="shared" si="1178"/>
        <v>11877.964662011562</v>
      </c>
      <c r="AM532" s="31">
        <f t="shared" si="1179"/>
        <v>1175918.5015391447</v>
      </c>
      <c r="AP532" s="31"/>
      <c r="AQ532" s="4">
        <f t="shared" si="1180"/>
        <v>0.93997354297811686</v>
      </c>
      <c r="AR532" s="4">
        <f>VLOOKUP(B532,Allocation!$D$10:$P$235,13,FALSE)</f>
        <v>0.96091311386164757</v>
      </c>
      <c r="AS532" s="4">
        <f t="shared" si="1199"/>
        <v>0.9</v>
      </c>
      <c r="AT532" s="4" t="str">
        <f t="shared" si="1182"/>
        <v/>
      </c>
      <c r="AU532" s="31" t="str">
        <f t="shared" si="1183"/>
        <v/>
      </c>
      <c r="AV532" s="31" t="str">
        <f t="shared" si="1184"/>
        <v/>
      </c>
      <c r="AW532" s="31">
        <f t="shared" si="1200"/>
        <v>1175401.6350283329</v>
      </c>
      <c r="AX532" s="4">
        <f t="shared" si="1185"/>
        <v>0.93956038437505174</v>
      </c>
      <c r="AY532" s="4" t="str">
        <f t="shared" si="1186"/>
        <v/>
      </c>
      <c r="AZ532" s="174" t="str">
        <f>IFERROR(IF(VLOOKUP(A532,#REF!,11,FALSE)=0,"",VLOOKUP(A532,#REF!,11,FALSE)),"")</f>
        <v/>
      </c>
      <c r="BA532" s="31" t="str">
        <f t="shared" si="1187"/>
        <v/>
      </c>
      <c r="BB532" s="31">
        <f t="shared" si="1188"/>
        <v>1175401.6350283329</v>
      </c>
      <c r="BD532" s="31">
        <f>IFERROR(VLOOKUP(A532,'Title II Hold Harmless'!A$1:B$439,2, FALSE),"")</f>
        <v>146191</v>
      </c>
      <c r="BE532" s="31">
        <f t="shared" si="1201"/>
        <v>169335.87001091751</v>
      </c>
      <c r="BF532" s="31">
        <f t="shared" si="1202"/>
        <v>169499.71256986828</v>
      </c>
      <c r="BG532" s="31" t="str">
        <f t="shared" si="1189"/>
        <v/>
      </c>
      <c r="BH532" s="31">
        <f t="shared" si="1190"/>
        <v>169499.71256986828</v>
      </c>
    </row>
    <row r="533" spans="1:60" x14ac:dyDescent="0.3">
      <c r="A533" s="1">
        <v>130315000</v>
      </c>
      <c r="B533">
        <f>VLOOKUP(C533,'NCES ID'!$A$2:$B$3136,2,FALSE)</f>
        <v>407770</v>
      </c>
      <c r="C533">
        <f>VLOOKUP(A533,'State ID'!$A$2:$B$713,2,FALSE)</f>
        <v>4478</v>
      </c>
      <c r="D533" s="147" t="s">
        <v>475</v>
      </c>
      <c r="E533" t="s">
        <v>3</v>
      </c>
      <c r="F533" s="47">
        <f>VLOOKUP(B533,'Formula counts'!$D$9:$L$234,9,FALSE)</f>
        <v>110</v>
      </c>
      <c r="G533" s="47">
        <f>VLOOKUP(B533,'Formula counts'!$D$9:$K$234,8,FALSE)</f>
        <v>16</v>
      </c>
      <c r="H533" s="4">
        <f>VLOOKUP(B533,'Formula counts'!$D$9:$M$234,10,FALSE)</f>
        <v>0.14545454545454545</v>
      </c>
      <c r="I533" s="47">
        <f>VLOOKUP($C533,'Final SEA Counts'!$A$2:$F$709,5,FALSE)</f>
        <v>16</v>
      </c>
      <c r="J533" s="47">
        <f>VLOOKUP($C533,'Final SEA Counts'!$A$2:$F$709,6,FALSE)</f>
        <v>6</v>
      </c>
      <c r="K533" s="24">
        <f t="shared" si="1166"/>
        <v>95.712749670271421</v>
      </c>
      <c r="L533" s="24">
        <f t="shared" si="1167"/>
        <v>13.267734465167248</v>
      </c>
      <c r="M533" s="4">
        <f t="shared" si="1168"/>
        <v>0.13862034588781888</v>
      </c>
      <c r="N533" s="31">
        <f>IFERROR(VLOOKUP($B533,Allocation!$D$10:$O$235,8,FALSE),"")</f>
        <v>7547.8079214114341</v>
      </c>
      <c r="O533" s="31">
        <f>IFERROR(VLOOKUP($B533,Allocation!$D$10:$O$235,9,FALSE),"")</f>
        <v>1672.110952963998</v>
      </c>
      <c r="P533" s="31">
        <f>IFERROR(VLOOKUP($B533,Allocation!$D$10:$O$235,10,FALSE),"")</f>
        <v>2269.9488422847262</v>
      </c>
      <c r="Q533" s="31">
        <f>IFERROR(VLOOKUP($B533,Allocation!$D$10:$O$235,11,FALSE),"")</f>
        <v>1759.5836040371148</v>
      </c>
      <c r="R533" s="31">
        <f>IFERROR(VLOOKUP($B533,Allocation!$D$10:$O$235,12,FALSE),"")</f>
        <v>13249.451320697272</v>
      </c>
      <c r="S533" s="31">
        <f t="shared" si="1191"/>
        <v>6258.8944559608035</v>
      </c>
      <c r="T533" s="31">
        <f t="shared" si="1192"/>
        <v>1386.5702575140056</v>
      </c>
      <c r="U533" s="31">
        <f t="shared" si="1193"/>
        <v>1882.3174055592224</v>
      </c>
      <c r="V533" s="31">
        <f t="shared" si="1194"/>
        <v>1459.1055017266519</v>
      </c>
      <c r="W533" s="31">
        <f t="shared" si="1169"/>
        <v>6258.8944559608035</v>
      </c>
      <c r="X533" s="31">
        <f t="shared" si="1170"/>
        <v>1386.5702575140056</v>
      </c>
      <c r="Y533" s="31">
        <f t="shared" si="1171"/>
        <v>1882.3174055592224</v>
      </c>
      <c r="Z533" s="31">
        <f t="shared" si="1172"/>
        <v>1459.1055017266519</v>
      </c>
      <c r="AA533" s="31">
        <f t="shared" si="1195"/>
        <v>6525.9699729996846</v>
      </c>
      <c r="AB533" s="31">
        <f t="shared" si="1196"/>
        <v>1540.8136230583589</v>
      </c>
      <c r="AC533" s="31">
        <f t="shared" si="1197"/>
        <v>1991.6373157548785</v>
      </c>
      <c r="AD533" s="31">
        <f t="shared" si="1198"/>
        <v>1541.1810338580713</v>
      </c>
      <c r="AE533" s="31">
        <f t="shared" si="1173"/>
        <v>11599.601945670993</v>
      </c>
      <c r="AF533" s="31">
        <f>IFERROR(VLOOKUP(A533,'Allocations By Type'!$D$7:$F$491,3,FALSE),"")</f>
        <v>12254.12</v>
      </c>
      <c r="AG533" s="31" t="str">
        <f t="shared" si="1174"/>
        <v/>
      </c>
      <c r="AH533" s="31" t="str">
        <f t="shared" si="1175"/>
        <v/>
      </c>
      <c r="AI533" s="31">
        <f t="shared" si="1176"/>
        <v>11599.601945670993</v>
      </c>
      <c r="AJ533" s="31">
        <f>AI533/$AI$577*'State Admin 1004(b)'!$B$30*0.01</f>
        <v>110.38760365174343</v>
      </c>
      <c r="AK533" s="31">
        <f t="shared" si="1177"/>
        <v>11489.21434201925</v>
      </c>
      <c r="AL533" s="31">
        <f t="shared" si="1178"/>
        <v>114.8921434201925</v>
      </c>
      <c r="AM533" s="31">
        <f t="shared" si="1179"/>
        <v>11374.322198599057</v>
      </c>
      <c r="AP533" s="31"/>
      <c r="AQ533" s="4">
        <f t="shared" si="1180"/>
        <v>0.92820391824129811</v>
      </c>
      <c r="AR533" s="4">
        <f>VLOOKUP(B533,Allocation!$D$10:$P$235,13,FALSE)</f>
        <v>0.91860252168774204</v>
      </c>
      <c r="AS533" s="4">
        <f t="shared" si="1199"/>
        <v>0.85</v>
      </c>
      <c r="AT533" s="4" t="str">
        <f t="shared" si="1182"/>
        <v/>
      </c>
      <c r="AU533" s="31" t="str">
        <f t="shared" si="1183"/>
        <v/>
      </c>
      <c r="AV533" s="31" t="str">
        <f t="shared" si="1184"/>
        <v/>
      </c>
      <c r="AW533" s="31">
        <f t="shared" si="1200"/>
        <v>11369.322697171072</v>
      </c>
      <c r="AX533" s="4">
        <f t="shared" si="1185"/>
        <v>0.92779593289204543</v>
      </c>
      <c r="AY533" s="4" t="str">
        <f t="shared" si="1186"/>
        <v/>
      </c>
      <c r="AZ533" s="174" t="str">
        <f>IFERROR(IF(VLOOKUP(A533,#REF!,11,FALSE)=0,"",VLOOKUP(A533,#REF!,11,FALSE)),"")</f>
        <v/>
      </c>
      <c r="BA533" s="31" t="str">
        <f t="shared" si="1187"/>
        <v/>
      </c>
      <c r="BB533" s="31">
        <f t="shared" si="1188"/>
        <v>11369.322697171072</v>
      </c>
      <c r="BD533" s="31">
        <f>IFERROR(VLOOKUP(A533,'Title II Hold Harmless'!A$1:B$439,2, FALSE),"")</f>
        <v>376</v>
      </c>
      <c r="BE533" s="31">
        <f t="shared" si="1201"/>
        <v>626.71316382004079</v>
      </c>
      <c r="BF533" s="31">
        <f t="shared" si="1202"/>
        <v>627.31954620365377</v>
      </c>
      <c r="BG533" s="31" t="str">
        <f t="shared" si="1189"/>
        <v/>
      </c>
      <c r="BH533" s="31">
        <f t="shared" si="1190"/>
        <v>627.31954620365377</v>
      </c>
    </row>
    <row r="534" spans="1:60" x14ac:dyDescent="0.3">
      <c r="A534" s="1">
        <v>130302000</v>
      </c>
      <c r="B534">
        <f>VLOOKUP(C534,'NCES ID'!$A$2:$B$3136,2,FALSE)</f>
        <v>409360</v>
      </c>
      <c r="C534">
        <v>4475</v>
      </c>
      <c r="D534" s="147" t="s">
        <v>456</v>
      </c>
      <c r="E534" t="s">
        <v>3</v>
      </c>
      <c r="F534" s="47">
        <f>VLOOKUP(B534,'Formula counts'!$D$9:$L$234,9,FALSE)</f>
        <v>59</v>
      </c>
      <c r="G534" s="47">
        <f>VLOOKUP(B534,'Formula counts'!$D$9:$K$234,8,FALSE)</f>
        <v>12</v>
      </c>
      <c r="H534" s="4">
        <f>VLOOKUP(B534,'Formula counts'!$D$9:$M$234,10,FALSE)</f>
        <v>0.20338983050847459</v>
      </c>
      <c r="I534" s="47"/>
      <c r="J534" s="47"/>
      <c r="K534" s="24">
        <f t="shared" si="1166"/>
        <v>51.336838459509217</v>
      </c>
      <c r="L534" s="24">
        <f t="shared" si="1167"/>
        <v>9.9508008488754349</v>
      </c>
      <c r="M534" s="4">
        <f t="shared" si="1168"/>
        <v>0.19383353450415353</v>
      </c>
      <c r="N534" s="31">
        <f>IFERROR(VLOOKUP($B534,Allocation!$D$10:$O$235,8,FALSE),"")</f>
        <v>6641.4424598265614</v>
      </c>
      <c r="O534" s="31">
        <f>IFERROR(VLOOKUP($B534,Allocation!$D$10:$O$235,9,FALSE),"")</f>
        <v>1573.751485142586</v>
      </c>
      <c r="P534" s="31">
        <f>IFERROR(VLOOKUP($B534,Allocation!$D$10:$O$235,10,FALSE),"")</f>
        <v>2624.7971661788761</v>
      </c>
      <c r="Q534" s="31">
        <f>IFERROR(VLOOKUP($B534,Allocation!$D$10:$O$235,11,FALSE),"")</f>
        <v>1850.8510836976734</v>
      </c>
      <c r="R534" s="31">
        <f>IFERROR(VLOOKUP($B534,Allocation!$D$10:$O$235,12,FALSE),"")</f>
        <v>12690.842194845696</v>
      </c>
      <c r="S534" s="31">
        <f t="shared" si="1191"/>
        <v>5507.3059389166265</v>
      </c>
      <c r="T534" s="31">
        <f t="shared" si="1192"/>
        <v>1305.007301189652</v>
      </c>
      <c r="U534" s="31">
        <f t="shared" si="1193"/>
        <v>2176.56948911155</v>
      </c>
      <c r="V534" s="31">
        <f t="shared" si="1194"/>
        <v>1534.787544566736</v>
      </c>
      <c r="AA534" s="31" t="str">
        <f t="shared" si="1195"/>
        <v/>
      </c>
      <c r="AB534" s="31" t="str">
        <f t="shared" si="1196"/>
        <v/>
      </c>
      <c r="AC534" s="31" t="str">
        <f t="shared" si="1197"/>
        <v/>
      </c>
      <c r="AD534" s="31" t="str">
        <f t="shared" si="1198"/>
        <v/>
      </c>
      <c r="AE534" s="31">
        <f t="shared" si="1173"/>
        <v>0</v>
      </c>
      <c r="AF534" s="31">
        <f>IFERROR(VLOOKUP(A534,'Allocations By Type'!$D$7:$F$491,3,FALSE),"")</f>
        <v>11984.12</v>
      </c>
      <c r="AG534" s="31" t="str">
        <f t="shared" si="1174"/>
        <v/>
      </c>
      <c r="AH534" s="31" t="str">
        <f t="shared" si="1175"/>
        <v/>
      </c>
      <c r="AI534" s="31">
        <f t="shared" si="1176"/>
        <v>0</v>
      </c>
      <c r="AJ534" s="31">
        <f>AI534/$AI$577*'State Admin 1004(b)'!$B$30*0.01</f>
        <v>0</v>
      </c>
      <c r="AK534" s="31">
        <f t="shared" si="1177"/>
        <v>0</v>
      </c>
      <c r="AL534" s="31">
        <f t="shared" si="1178"/>
        <v>0</v>
      </c>
      <c r="AM534" s="31">
        <f t="shared" si="1179"/>
        <v>0</v>
      </c>
      <c r="AP534" s="31"/>
      <c r="AQ534" s="4">
        <f t="shared" si="1180"/>
        <v>0</v>
      </c>
      <c r="AR534" s="4">
        <f>VLOOKUP(B534,Allocation!$D$10:$P$235,13,FALSE)</f>
        <v>0.89999999999999991</v>
      </c>
      <c r="AS534" s="4">
        <f t="shared" si="1199"/>
        <v>0.9</v>
      </c>
      <c r="AU534" s="31" t="str">
        <f t="shared" si="1183"/>
        <v/>
      </c>
      <c r="AV534" s="31" t="str">
        <f t="shared" si="1184"/>
        <v/>
      </c>
      <c r="AY534" s="4"/>
      <c r="AZ534" s="174" t="str">
        <f>IFERROR(IF(VLOOKUP(A534,#REF!,11,FALSE)=0,"",VLOOKUP(A534,#REF!,11,FALSE)),"")</f>
        <v/>
      </c>
      <c r="BA534" s="31" t="str">
        <f t="shared" si="1187"/>
        <v/>
      </c>
      <c r="BB534" s="31">
        <f t="shared" si="1188"/>
        <v>0</v>
      </c>
      <c r="BD534" s="31" t="str">
        <f>IFERROR(VLOOKUP(A534,'Title II Hold Harmless'!A$1:B$439,2, FALSE),"")</f>
        <v/>
      </c>
      <c r="BE534" s="31"/>
      <c r="BF534" s="31"/>
      <c r="BG534" s="31" t="str">
        <f t="shared" si="1189"/>
        <v/>
      </c>
      <c r="BH534" s="31">
        <f t="shared" si="1190"/>
        <v>0</v>
      </c>
    </row>
    <row r="535" spans="1:60" x14ac:dyDescent="0.3">
      <c r="A535" s="1">
        <v>138760000</v>
      </c>
      <c r="B535">
        <f>VLOOKUP(C535,'NCES ID'!$A$2:$B$3136,2,FALSE)</f>
        <v>400320</v>
      </c>
      <c r="C535">
        <f>VLOOKUP(A535,'State ID'!$A$2:$B$713,2,FALSE)</f>
        <v>79437</v>
      </c>
      <c r="D535" s="147" t="s">
        <v>14</v>
      </c>
      <c r="E535" t="s">
        <v>3</v>
      </c>
      <c r="I535" s="47">
        <f>VLOOKUP($C535,'Final SEA Counts'!$A$2:$F$709,5,FALSE)</f>
        <v>449</v>
      </c>
      <c r="J535" s="47">
        <f>VLOOKUP($C535,'Final SEA Counts'!$A$2:$F$709,6,FALSE)</f>
        <v>327</v>
      </c>
      <c r="K535" s="24">
        <f>I535</f>
        <v>449</v>
      </c>
      <c r="L535" s="24">
        <f t="shared" ref="L535:L552" si="1203">J535*$B$554</f>
        <v>140.53678570314096</v>
      </c>
      <c r="M535" s="4">
        <f t="shared" si="1168"/>
        <v>0.31299952272414466</v>
      </c>
      <c r="N535" s="31" t="str">
        <f>IFERROR(VLOOKUP($B535,#REF!,8,FALSE),"")</f>
        <v/>
      </c>
      <c r="O535" s="31" t="str">
        <f>IFERROR(VLOOKUP($B535,#REF!,9,FALSE),"")</f>
        <v/>
      </c>
      <c r="P535" s="31" t="str">
        <f>IFERROR(VLOOKUP($B535,#REF!,10,FALSE),"")</f>
        <v/>
      </c>
      <c r="Q535" s="31" t="str">
        <f>IFERROR(VLOOKUP($B535,#REF!,11,FALSE),"")</f>
        <v/>
      </c>
      <c r="R535" s="31" t="str">
        <f>IFERROR(VLOOKUP($B535,#REF!,12,FALSE),"")</f>
        <v/>
      </c>
      <c r="S535" s="31">
        <f t="shared" ref="S535:S552" si="1204">$L535*N$555</f>
        <v>69766.125026902519</v>
      </c>
      <c r="T535" s="31">
        <f t="shared" ref="T535:T552" si="1205">$L535*O$555</f>
        <v>16514.619879911068</v>
      </c>
      <c r="U535" s="31">
        <f t="shared" ref="U535:U552" si="1206">$L535*P$555</f>
        <v>29968.23051387427</v>
      </c>
      <c r="V535" s="31">
        <f t="shared" ref="V535:V552" si="1207">$L535*Q$555</f>
        <v>24304.385453933981</v>
      </c>
      <c r="W535" s="31">
        <f t="shared" ref="W535:W551" si="1208">IF(AND($L535&gt;9,$L535&gt;($K535*0.02)),S535,"")</f>
        <v>69766.125026902519</v>
      </c>
      <c r="X535" s="31">
        <f t="shared" ref="X535:X551" si="1209">IF(W535="","",IF(OR($L535&gt;6500,$L535&gt;($K535*0.15)),T535,""))</f>
        <v>16514.619879911068</v>
      </c>
      <c r="Y535" s="31">
        <f t="shared" ref="Y535:Y551" si="1210">IF(AND($L535&gt;9,$L535&gt;($K535*0.05)),U535,"")</f>
        <v>29968.23051387427</v>
      </c>
      <c r="Z535" s="31">
        <f t="shared" ref="Z535:Z551" si="1211">IF(AND($L535&gt;9,$L535&gt;($K535*0.05)),V535,"")</f>
        <v>24304.385453933981</v>
      </c>
      <c r="AA535" s="31">
        <f t="shared" si="1195"/>
        <v>70033.200543941406</v>
      </c>
      <c r="AB535" s="31">
        <f t="shared" si="1196"/>
        <v>16668.863245455421</v>
      </c>
      <c r="AC535" s="31">
        <f t="shared" si="1197"/>
        <v>30077.550424069927</v>
      </c>
      <c r="AD535" s="31">
        <f t="shared" si="1198"/>
        <v>24386.460986065402</v>
      </c>
      <c r="AE535" s="31">
        <f t="shared" si="1173"/>
        <v>141166.07519953215</v>
      </c>
      <c r="AF535" s="31">
        <f>IFERROR(VLOOKUP(A535,'Allocations By Type'!$D$7:$F$491,3,FALSE),"")</f>
        <v>130560.48</v>
      </c>
      <c r="AG535" s="31">
        <f t="shared" si="1174"/>
        <v>5646.6430079812862</v>
      </c>
      <c r="AH535" s="31">
        <f t="shared" si="1175"/>
        <v>5646.6430079812862</v>
      </c>
      <c r="AI535" s="31">
        <f t="shared" si="1176"/>
        <v>135519.43219155085</v>
      </c>
      <c r="AJ535" s="31">
        <f>AI535/$AI$577*'State Admin 1004(b)'!$B$30*0.01</f>
        <v>1289.6705798989274</v>
      </c>
      <c r="AK535" s="31">
        <f t="shared" si="1177"/>
        <v>134229.76161165192</v>
      </c>
      <c r="AL535" s="31">
        <f t="shared" si="1178"/>
        <v>1342.2976161165193</v>
      </c>
      <c r="AM535" s="31">
        <f t="shared" si="1179"/>
        <v>132887.46399553539</v>
      </c>
      <c r="AP535" s="31"/>
      <c r="AQ535" s="4">
        <f t="shared" si="1180"/>
        <v>1.0178230349301365</v>
      </c>
      <c r="AW535" s="31">
        <f t="shared" ref="AW535:AW551" si="1212">IF(AV535="",AM535-AM535/($AM$554-$AV$554+$AU$554)*$AU$554,AV535)</f>
        <v>132829.05426751761</v>
      </c>
      <c r="AX535" s="4">
        <f t="shared" si="1185"/>
        <v>1.0173756581433955</v>
      </c>
      <c r="AZ535" s="174" t="str">
        <f>IFERROR(IF(VLOOKUP(A535,#REF!,11,FALSE)=0,"",VLOOKUP(A535,#REF!,11,FALSE)),"")</f>
        <v/>
      </c>
      <c r="BA535" s="31" t="str">
        <f t="shared" si="1187"/>
        <v/>
      </c>
      <c r="BB535" s="31">
        <f t="shared" si="1188"/>
        <v>132829.05426751761</v>
      </c>
      <c r="BD535" s="31" t="str">
        <f>IFERROR(VLOOKUP(A535,'Title II Hold Harmless'!A$1:B$439,2, FALSE),"")</f>
        <v/>
      </c>
      <c r="BE535" s="31">
        <f t="shared" ref="BE535:BE551" si="1213">IFERROR($BD$582*(0.8*($L535/$L$579)+0.2*($K535/$K$579))+$BD535,$BD$582*(0.8*($L535/$L$579)+0.2*($K535/$K$579)))</f>
        <v>2201.0761589673584</v>
      </c>
      <c r="BF535" s="31">
        <f t="shared" ref="BF535:BF551" si="1214">$BD$583*BE535</f>
        <v>2203.2058314951428</v>
      </c>
      <c r="BG535" s="31" t="str">
        <f t="shared" si="1189"/>
        <v/>
      </c>
      <c r="BH535" s="31">
        <f t="shared" si="1190"/>
        <v>2203.2058314951428</v>
      </c>
    </row>
    <row r="536" spans="1:60" s="47" customFormat="1" x14ac:dyDescent="0.3">
      <c r="A536" s="1">
        <v>138785000</v>
      </c>
      <c r="B536" s="47">
        <f>VLOOKUP(C536,'NCES ID'!$A$2:$B$3136,2,FALSE)</f>
        <v>400838</v>
      </c>
      <c r="C536" s="47">
        <f>VLOOKUP(A536,'State ID'!$A$2:$B$713,2,FALSE)</f>
        <v>91131</v>
      </c>
      <c r="D536" s="191" t="s">
        <v>683</v>
      </c>
      <c r="E536" s="47" t="s">
        <v>3</v>
      </c>
      <c r="H536" s="4"/>
      <c r="I536" s="47">
        <f>VLOOKUP($C536,'Final SEA Counts'!$A$2:$F$709,5,FALSE)</f>
        <v>172</v>
      </c>
      <c r="J536" s="47">
        <f>VLOOKUP($C536,'Final SEA Counts'!$A$2:$F$709,6,FALSE)</f>
        <v>60</v>
      </c>
      <c r="K536" s="24">
        <f>I536</f>
        <v>172</v>
      </c>
      <c r="L536" s="24">
        <f t="shared" si="1203"/>
        <v>25.786566184062561</v>
      </c>
      <c r="M536" s="4">
        <f t="shared" ref="M536" si="1215">L536/K536</f>
        <v>0.14992189641896839</v>
      </c>
      <c r="N536" s="31"/>
      <c r="O536" s="31"/>
      <c r="P536" s="31"/>
      <c r="Q536" s="31"/>
      <c r="R536" s="31"/>
      <c r="S536" s="31">
        <f t="shared" si="1204"/>
        <v>12801.123858147252</v>
      </c>
      <c r="T536" s="31">
        <f t="shared" si="1205"/>
        <v>3030.2054825524892</v>
      </c>
      <c r="U536" s="31">
        <f t="shared" si="1206"/>
        <v>5498.7578924539939</v>
      </c>
      <c r="V536" s="31">
        <f t="shared" si="1207"/>
        <v>4459.5202667768772</v>
      </c>
      <c r="W536" s="31">
        <f t="shared" ref="W536" si="1216">IF(AND($L536&gt;9,$L536&gt;($K536*0.02)),S536,"")</f>
        <v>12801.123858147252</v>
      </c>
      <c r="X536" s="31" t="str">
        <f t="shared" ref="X536" si="1217">IF(W536="","",IF(OR($L536&gt;6500,$L536&gt;($K536*0.15)),T536,""))</f>
        <v/>
      </c>
      <c r="Y536" s="31">
        <f t="shared" ref="Y536" si="1218">IF(AND($L536&gt;9,$L536&gt;($K536*0.05)),U536,"")</f>
        <v>5498.7578924539939</v>
      </c>
      <c r="Z536" s="31">
        <f t="shared" ref="Z536" si="1219">IF(AND($L536&gt;9,$L536&gt;($K536*0.05)),V536,"")</f>
        <v>4459.5202667768772</v>
      </c>
      <c r="AA536" s="31">
        <f t="shared" si="1195"/>
        <v>13068.199375186134</v>
      </c>
      <c r="AB536" s="31" t="str">
        <f t="shared" si="1196"/>
        <v/>
      </c>
      <c r="AC536" s="31">
        <f t="shared" si="1197"/>
        <v>5608.07780264965</v>
      </c>
      <c r="AD536" s="31">
        <f t="shared" si="1198"/>
        <v>4541.5957989082963</v>
      </c>
      <c r="AE536" s="31">
        <f t="shared" ref="AE536" si="1220">SUM(AA536:AD536)</f>
        <v>23217.872976744082</v>
      </c>
      <c r="AF536" s="31">
        <f>IFERROR(VLOOKUP(A536,'Allocations By Type'!$D$7:$F$491,3,FALSE),"")</f>
        <v>27208.02</v>
      </c>
      <c r="AG536" s="31" t="str">
        <f t="shared" ref="AG536" si="1221">IF(AE536&gt;AF536,AE536*0.04,"")</f>
        <v/>
      </c>
      <c r="AH536" s="31" t="str">
        <f t="shared" ref="AH536" si="1222">IF(AG536="","",IF((AE536-AF536)&gt;AG536,AG536,AE536-AF536))</f>
        <v/>
      </c>
      <c r="AI536" s="31">
        <f t="shared" ref="AI536" si="1223">IF(AH536="",AE536,AE536-AH536)</f>
        <v>23217.872976744082</v>
      </c>
      <c r="AJ536" s="31">
        <f>AI536/$AI$577*'State Admin 1004(b)'!$B$30*0.01</f>
        <v>220.95287164141502</v>
      </c>
      <c r="AK536" s="31">
        <f t="shared" ref="AK536" si="1224">AI536-AJ536</f>
        <v>22996.920105102668</v>
      </c>
      <c r="AL536" s="31">
        <f t="shared" ref="AL536" si="1225">AK536*0.01</f>
        <v>229.96920105102669</v>
      </c>
      <c r="AM536" s="31">
        <f t="shared" ref="AM536" si="1226">AK536-AL536</f>
        <v>22766.950904051642</v>
      </c>
      <c r="AP536" s="31"/>
      <c r="AQ536" s="4">
        <f t="shared" si="1180"/>
        <v>0.83677352868939536</v>
      </c>
      <c r="AR536" s="4"/>
      <c r="AS536" s="4"/>
      <c r="AT536" s="4"/>
      <c r="AW536" s="31">
        <f t="shared" si="1212"/>
        <v>22756.943854702393</v>
      </c>
      <c r="AX536" s="4">
        <f t="shared" si="1185"/>
        <v>0.83640573090957715</v>
      </c>
      <c r="AZ536" s="174" t="str">
        <f>IFERROR(IF(VLOOKUP(A536,#REF!,11,FALSE)=0,"",VLOOKUP(A536,#REF!,11,FALSE)),"")</f>
        <v/>
      </c>
      <c r="BA536" s="31"/>
      <c r="BB536" s="31">
        <f t="shared" si="1188"/>
        <v>22756.943854702393</v>
      </c>
      <c r="BD536" s="31" t="str">
        <f>IFERROR(VLOOKUP(A536,'Title II Hold Harmless'!A$1:B$439,2, FALSE),"")</f>
        <v/>
      </c>
      <c r="BE536" s="31">
        <f t="shared" si="1213"/>
        <v>475.98905088350995</v>
      </c>
      <c r="BF536" s="31">
        <f t="shared" si="1214"/>
        <v>476.44959869375401</v>
      </c>
      <c r="BG536" s="31"/>
      <c r="BH536" s="31">
        <f t="shared" si="1190"/>
        <v>476.44959869375401</v>
      </c>
    </row>
    <row r="537" spans="1:60" x14ac:dyDescent="0.3">
      <c r="A537" s="1">
        <v>138754000</v>
      </c>
      <c r="B537">
        <f>VLOOKUP(C537,'NCES ID'!$A$2:$B$3136,2,FALSE)</f>
        <v>400130</v>
      </c>
      <c r="C537">
        <f>VLOOKUP(A537,'State ID'!$A$2:$B$713,2,FALSE)</f>
        <v>6365</v>
      </c>
      <c r="D537" s="147" t="s">
        <v>35</v>
      </c>
      <c r="E537" t="s">
        <v>3</v>
      </c>
      <c r="I537" s="47">
        <f>VLOOKUP($C537,'Final SEA Counts'!$A$2:$F$709,5,FALSE)</f>
        <v>464</v>
      </c>
      <c r="J537" s="47">
        <f>VLOOKUP($C537,'Final SEA Counts'!$A$2:$F$709,6,FALSE)</f>
        <v>254</v>
      </c>
      <c r="K537" s="24">
        <f t="shared" ref="K537:K552" si="1227">I537</f>
        <v>464</v>
      </c>
      <c r="L537" s="24">
        <f t="shared" si="1203"/>
        <v>109.16313017919818</v>
      </c>
      <c r="M537" s="4">
        <f t="shared" si="1168"/>
        <v>0.23526536676551332</v>
      </c>
      <c r="N537" s="31" t="str">
        <f>IFERROR(VLOOKUP($B537,#REF!,8,FALSE),"")</f>
        <v/>
      </c>
      <c r="O537" s="31" t="str">
        <f>IFERROR(VLOOKUP($B537,#REF!,9,FALSE),"")</f>
        <v/>
      </c>
      <c r="P537" s="31" t="str">
        <f>IFERROR(VLOOKUP($B537,#REF!,10,FALSE),"")</f>
        <v/>
      </c>
      <c r="Q537" s="31" t="str">
        <f>IFERROR(VLOOKUP($B537,#REF!,11,FALSE),"")</f>
        <v/>
      </c>
      <c r="R537" s="31" t="str">
        <f>IFERROR(VLOOKUP($B537,#REF!,12,FALSE),"")</f>
        <v/>
      </c>
      <c r="S537" s="31">
        <f t="shared" si="1204"/>
        <v>54191.424332823364</v>
      </c>
      <c r="T537" s="31">
        <f t="shared" si="1205"/>
        <v>12827.869876138871</v>
      </c>
      <c r="U537" s="31">
        <f t="shared" si="1206"/>
        <v>23278.075078055241</v>
      </c>
      <c r="V537" s="31">
        <f t="shared" si="1207"/>
        <v>18878.63579602211</v>
      </c>
      <c r="W537" s="31">
        <f t="shared" si="1208"/>
        <v>54191.424332823364</v>
      </c>
      <c r="X537" s="31">
        <f t="shared" si="1209"/>
        <v>12827.869876138871</v>
      </c>
      <c r="Y537" s="31">
        <f t="shared" si="1210"/>
        <v>23278.075078055241</v>
      </c>
      <c r="Z537" s="31">
        <f t="shared" si="1211"/>
        <v>18878.63579602211</v>
      </c>
      <c r="AA537" s="31">
        <f t="shared" si="1195"/>
        <v>54458.499849862244</v>
      </c>
      <c r="AB537" s="31">
        <f t="shared" si="1196"/>
        <v>12982.113241683224</v>
      </c>
      <c r="AC537" s="31">
        <f t="shared" si="1197"/>
        <v>23387.394988250897</v>
      </c>
      <c r="AD537" s="31">
        <f t="shared" si="1198"/>
        <v>18960.711328153531</v>
      </c>
      <c r="AE537" s="31">
        <f t="shared" si="1173"/>
        <v>109788.71940794989</v>
      </c>
      <c r="AF537" s="31">
        <f>IFERROR(VLOOKUP(A537,'Allocations By Type'!$D$7:$F$491,3,FALSE),"")</f>
        <v>29131.86</v>
      </c>
      <c r="AG537" s="31">
        <f t="shared" si="1174"/>
        <v>4391.5487763179954</v>
      </c>
      <c r="AH537" s="31">
        <f t="shared" si="1175"/>
        <v>4391.5487763179954</v>
      </c>
      <c r="AI537" s="31">
        <f t="shared" si="1176"/>
        <v>105397.17063163189</v>
      </c>
      <c r="AJ537" s="31">
        <f>AI537/$AI$577*'State Admin 1004(b)'!$B$30*0.01</f>
        <v>1003.0120992248187</v>
      </c>
      <c r="AK537" s="31">
        <f t="shared" si="1177"/>
        <v>104394.15853240708</v>
      </c>
      <c r="AL537" s="31">
        <f t="shared" si="1178"/>
        <v>1043.9415853240707</v>
      </c>
      <c r="AM537" s="31">
        <f t="shared" si="1179"/>
        <v>103350.21694708301</v>
      </c>
      <c r="AP537" s="31"/>
      <c r="AQ537" s="4">
        <f t="shared" si="1180"/>
        <v>3.5476696972690043</v>
      </c>
      <c r="AW537" s="31">
        <f t="shared" si="1212"/>
        <v>103304.79010333904</v>
      </c>
      <c r="AX537" s="4">
        <f t="shared" si="1185"/>
        <v>3.54611034459657</v>
      </c>
      <c r="AZ537" s="174" t="str">
        <f>IFERROR(IF(VLOOKUP(A537,#REF!,11,FALSE)=0,"",VLOOKUP(A537,#REF!,11,FALSE)),"")</f>
        <v/>
      </c>
      <c r="BA537" s="31" t="str">
        <f t="shared" si="1187"/>
        <v/>
      </c>
      <c r="BB537" s="31">
        <f t="shared" si="1188"/>
        <v>103304.79010333904</v>
      </c>
      <c r="BD537" s="31" t="str">
        <f>IFERROR(VLOOKUP(A537,'Title II Hold Harmless'!A$1:B$439,2, FALSE),"")</f>
        <v/>
      </c>
      <c r="BE537" s="31">
        <f t="shared" si="1213"/>
        <v>1802.445890755771</v>
      </c>
      <c r="BF537" s="31">
        <f t="shared" si="1214"/>
        <v>1804.1898647117478</v>
      </c>
      <c r="BG537" s="31" t="str">
        <f t="shared" si="1189"/>
        <v/>
      </c>
      <c r="BH537" s="31">
        <f t="shared" si="1190"/>
        <v>1804.1898647117478</v>
      </c>
    </row>
    <row r="538" spans="1:60" s="47" customFormat="1" x14ac:dyDescent="0.3">
      <c r="A538" s="1">
        <v>138714000</v>
      </c>
      <c r="B538" s="47">
        <f>VLOOKUP(C538,'NCES ID'!$A$2:$B$3136,2,FALSE)</f>
        <v>400439</v>
      </c>
      <c r="C538" s="47">
        <f>VLOOKUP(A538,'State ID'!$A$2:$B$713,2,FALSE)</f>
        <v>88321</v>
      </c>
      <c r="D538" s="193" t="s">
        <v>867</v>
      </c>
      <c r="E538" s="47" t="s">
        <v>3</v>
      </c>
      <c r="H538" s="4"/>
      <c r="I538" s="47">
        <f>VLOOKUP($C538,'AzEDS FY17 12-15-16'!$A$2:$D$713,3,FALSE)</f>
        <v>185</v>
      </c>
      <c r="J538" s="47">
        <f>VLOOKUP($C538,'AzEDS FY17 12-15-16'!$A$2:$D$713,4,FALSE)</f>
        <v>117</v>
      </c>
      <c r="K538" s="24">
        <f t="shared" ref="K538" si="1228">I538</f>
        <v>185</v>
      </c>
      <c r="L538" s="24">
        <f t="shared" si="1203"/>
        <v>50.283804058921994</v>
      </c>
      <c r="M538" s="4">
        <f t="shared" ref="M538" si="1229">L538/K538</f>
        <v>0.27180434626444322</v>
      </c>
      <c r="N538" s="31"/>
      <c r="O538" s="31"/>
      <c r="P538" s="31"/>
      <c r="Q538" s="31"/>
      <c r="R538" s="31"/>
      <c r="S538" s="31">
        <f t="shared" si="1204"/>
        <v>24962.19152338714</v>
      </c>
      <c r="T538" s="31">
        <f t="shared" si="1205"/>
        <v>5908.9006909773534</v>
      </c>
      <c r="U538" s="31">
        <f t="shared" si="1206"/>
        <v>10722.577890285289</v>
      </c>
      <c r="V538" s="31">
        <f t="shared" si="1207"/>
        <v>8696.0645202149099</v>
      </c>
      <c r="W538" s="31">
        <f t="shared" ref="W538" si="1230">IF(AND($L538&gt;9,$L538&gt;($K538*0.02)),S538,"")</f>
        <v>24962.19152338714</v>
      </c>
      <c r="X538" s="31">
        <f t="shared" ref="X538" si="1231">IF(W538="","",IF(OR($L538&gt;6500,$L538&gt;($K538*0.15)),T538,""))</f>
        <v>5908.9006909773534</v>
      </c>
      <c r="Y538" s="31">
        <f t="shared" ref="Y538" si="1232">IF(AND($L538&gt;9,$L538&gt;($K538*0.05)),U538,"")</f>
        <v>10722.577890285289</v>
      </c>
      <c r="Z538" s="31">
        <f t="shared" ref="Z538" si="1233">IF(AND($L538&gt;9,$L538&gt;($K538*0.05)),V538,"")</f>
        <v>8696.0645202149099</v>
      </c>
      <c r="AA538" s="31">
        <f t="shared" si="1195"/>
        <v>25229.267040426021</v>
      </c>
      <c r="AB538" s="31">
        <f t="shared" si="1196"/>
        <v>6063.1440565217063</v>
      </c>
      <c r="AC538" s="31">
        <f t="shared" si="1197"/>
        <v>10831.897800480945</v>
      </c>
      <c r="AD538" s="31">
        <f t="shared" si="1198"/>
        <v>8778.140052346329</v>
      </c>
      <c r="AE538" s="31">
        <f t="shared" ref="AE538" si="1234">SUM(AA538:AD538)</f>
        <v>50902.448949775004</v>
      </c>
      <c r="AF538" s="31">
        <f>IFERROR(VLOOKUP(A538,'Allocations By Type'!$D$7:$F$491,3,FALSE),"")</f>
        <v>62585.37</v>
      </c>
      <c r="AG538" s="31" t="str">
        <f t="shared" ref="AG538" si="1235">IF(AE538&gt;AF538,AE538*0.04,"")</f>
        <v/>
      </c>
      <c r="AH538" s="31" t="str">
        <f t="shared" ref="AH538" si="1236">IF(AG538="","",IF((AE538-AF538)&gt;AG538,AG538,AE538-AF538))</f>
        <v/>
      </c>
      <c r="AI538" s="31">
        <f t="shared" ref="AI538" si="1237">IF(AH538="",AE538,AE538-AH538)</f>
        <v>50902.448949775004</v>
      </c>
      <c r="AJ538" s="31">
        <f>AI538/$AI$577*'State Admin 1004(b)'!$B$30*0.01</f>
        <v>484.41311916465332</v>
      </c>
      <c r="AK538" s="31">
        <f t="shared" ref="AK538" si="1238">AI538-AJ538</f>
        <v>50418.035830610352</v>
      </c>
      <c r="AL538" s="31">
        <f t="shared" ref="AL538" si="1239">AK538*0.01</f>
        <v>504.18035830610353</v>
      </c>
      <c r="AM538" s="31">
        <f t="shared" ref="AM538" si="1240">AK538-AL538</f>
        <v>49913.855472304247</v>
      </c>
      <c r="AP538" s="31"/>
      <c r="AQ538" s="4"/>
      <c r="AR538" s="4"/>
      <c r="AS538" s="4"/>
      <c r="AT538" s="4"/>
      <c r="AW538" s="31">
        <f t="shared" si="1212"/>
        <v>49891.916196508042</v>
      </c>
      <c r="AX538" s="4">
        <f t="shared" si="1185"/>
        <v>0.7971817726172753</v>
      </c>
      <c r="AZ538" s="174"/>
      <c r="BA538" s="31"/>
      <c r="BB538" s="31">
        <f t="shared" si="1188"/>
        <v>49891.916196508042</v>
      </c>
      <c r="BD538" s="31"/>
      <c r="BE538" s="31">
        <f t="shared" si="1213"/>
        <v>807.13677592328509</v>
      </c>
      <c r="BF538" s="31">
        <f t="shared" si="1214"/>
        <v>807.9177289179579</v>
      </c>
      <c r="BG538" s="31"/>
      <c r="BH538" s="31">
        <f t="shared" si="1190"/>
        <v>807.9177289179579</v>
      </c>
    </row>
    <row r="539" spans="1:60" x14ac:dyDescent="0.3">
      <c r="A539" s="1">
        <v>138705000</v>
      </c>
      <c r="B539">
        <f>VLOOKUP(C539,'NCES ID'!$A$2:$B$3136,2,FALSE)</f>
        <v>400641</v>
      </c>
      <c r="C539">
        <f>VLOOKUP(A539,'State ID'!$A$2:$B$713,2,FALSE)</f>
        <v>81052</v>
      </c>
      <c r="D539" s="147" t="s">
        <v>148</v>
      </c>
      <c r="E539" t="s">
        <v>3</v>
      </c>
      <c r="I539" s="47">
        <f>VLOOKUP($C539,'Final SEA Counts'!$A$2:$F$709,5,FALSE)</f>
        <v>468</v>
      </c>
      <c r="J539" s="47">
        <f>VLOOKUP($C539,'Final SEA Counts'!$A$2:$F$709,6,FALSE)</f>
        <v>468</v>
      </c>
      <c r="K539" s="24">
        <f t="shared" si="1227"/>
        <v>468</v>
      </c>
      <c r="L539" s="24">
        <f t="shared" si="1203"/>
        <v>201.13521623568798</v>
      </c>
      <c r="M539" s="4">
        <f t="shared" si="1168"/>
        <v>0.42977610306770936</v>
      </c>
      <c r="N539" s="31" t="str">
        <f>IFERROR(VLOOKUP($B539,#REF!,8,FALSE),"")</f>
        <v/>
      </c>
      <c r="O539" s="31" t="str">
        <f>IFERROR(VLOOKUP($B539,#REF!,9,FALSE),"")</f>
        <v/>
      </c>
      <c r="P539" s="31" t="str">
        <f>IFERROR(VLOOKUP($B539,#REF!,10,FALSE),"")</f>
        <v/>
      </c>
      <c r="Q539" s="31" t="str">
        <f>IFERROR(VLOOKUP($B539,#REF!,11,FALSE),"")</f>
        <v/>
      </c>
      <c r="R539" s="31" t="str">
        <f>IFERROR(VLOOKUP($B539,#REF!,12,FALSE),"")</f>
        <v/>
      </c>
      <c r="S539" s="31">
        <f t="shared" si="1204"/>
        <v>99848.766093548562</v>
      </c>
      <c r="T539" s="31">
        <f t="shared" si="1205"/>
        <v>23635.602763909414</v>
      </c>
      <c r="U539" s="31">
        <f t="shared" si="1206"/>
        <v>42890.311561141156</v>
      </c>
      <c r="V539" s="31">
        <f t="shared" si="1207"/>
        <v>34784.258080859639</v>
      </c>
      <c r="W539" s="31">
        <f t="shared" si="1208"/>
        <v>99848.766093548562</v>
      </c>
      <c r="X539" s="31">
        <f t="shared" si="1209"/>
        <v>23635.602763909414</v>
      </c>
      <c r="Y539" s="31">
        <f t="shared" si="1210"/>
        <v>42890.311561141156</v>
      </c>
      <c r="Z539" s="31">
        <f t="shared" si="1211"/>
        <v>34784.258080859639</v>
      </c>
      <c r="AA539" s="31">
        <f t="shared" si="1195"/>
        <v>100115.84161058745</v>
      </c>
      <c r="AB539" s="31">
        <f t="shared" si="1196"/>
        <v>23789.846129453766</v>
      </c>
      <c r="AC539" s="31">
        <f t="shared" si="1197"/>
        <v>42999.631471336812</v>
      </c>
      <c r="AD539" s="31">
        <f t="shared" si="1198"/>
        <v>34866.33361299106</v>
      </c>
      <c r="AE539" s="31">
        <f t="shared" si="1173"/>
        <v>201771.65282436908</v>
      </c>
      <c r="AF539" s="31">
        <f>IFERROR(VLOOKUP(A539,'Allocations By Type'!$D$7:$F$491,3,FALSE),"")</f>
        <v>187592.42</v>
      </c>
      <c r="AG539" s="31">
        <f t="shared" si="1174"/>
        <v>8070.8661129747634</v>
      </c>
      <c r="AH539" s="31">
        <f t="shared" si="1175"/>
        <v>8070.8661129747634</v>
      </c>
      <c r="AI539" s="31">
        <f t="shared" si="1176"/>
        <v>193700.78671139432</v>
      </c>
      <c r="AJ539" s="31">
        <f>AI539/$AI$577*'State Admin 1004(b)'!$B$30*0.01</f>
        <v>1843.3533987352193</v>
      </c>
      <c r="AK539" s="31">
        <f t="shared" si="1177"/>
        <v>191857.43331265909</v>
      </c>
      <c r="AL539" s="31">
        <f t="shared" si="1178"/>
        <v>1918.574333126591</v>
      </c>
      <c r="AM539" s="31">
        <f t="shared" si="1179"/>
        <v>189938.8589795325</v>
      </c>
      <c r="AP539" s="31"/>
      <c r="AQ539" s="4">
        <f t="shared" si="1180"/>
        <v>1.0125081758609036</v>
      </c>
      <c r="AW539" s="31">
        <f t="shared" si="1212"/>
        <v>189855.37272161598</v>
      </c>
      <c r="AX539" s="4">
        <f t="shared" si="1185"/>
        <v>1.0120631351821996</v>
      </c>
      <c r="AZ539" s="174" t="str">
        <f>IFERROR(IF(VLOOKUP(A539,#REF!,11,FALSE)=0,"",VLOOKUP(A539,#REF!,11,FALSE)),"")</f>
        <v/>
      </c>
      <c r="BA539" s="31" t="str">
        <f t="shared" si="1187"/>
        <v/>
      </c>
      <c r="BB539" s="31">
        <f t="shared" si="1188"/>
        <v>189855.37272161598</v>
      </c>
      <c r="BD539" s="31" t="str">
        <f>IFERROR(VLOOKUP(A539,'Title II Hold Harmless'!A$1:B$439,2, FALSE),"")</f>
        <v/>
      </c>
      <c r="BE539" s="31">
        <f t="shared" si="1213"/>
        <v>3009.641588151384</v>
      </c>
      <c r="BF539" s="31">
        <f t="shared" si="1214"/>
        <v>3012.5535959811227</v>
      </c>
      <c r="BG539" s="31" t="str">
        <f t="shared" si="1189"/>
        <v/>
      </c>
      <c r="BH539" s="31">
        <f t="shared" si="1190"/>
        <v>3012.5535959811227</v>
      </c>
    </row>
    <row r="540" spans="1:60" x14ac:dyDescent="0.3">
      <c r="A540" s="1">
        <v>138751000</v>
      </c>
      <c r="B540">
        <f>VLOOKUP(C540,'NCES ID'!$A$2:$B$3136,2,FALSE)</f>
        <v>400092</v>
      </c>
      <c r="C540">
        <f>VLOOKUP(A540,'State ID'!$A$2:$B$713,2,FALSE)</f>
        <v>4495</v>
      </c>
      <c r="D540" s="147" t="s">
        <v>173</v>
      </c>
      <c r="E540" t="s">
        <v>3</v>
      </c>
      <c r="I540" s="47">
        <f>VLOOKUP($C540,'Final SEA Counts'!$A$2:$F$709,5,FALSE)</f>
        <v>452</v>
      </c>
      <c r="J540" s="47">
        <f>VLOOKUP($C540,'Final SEA Counts'!$A$2:$F$709,6,FALSE)</f>
        <v>250</v>
      </c>
      <c r="K540" s="24">
        <f t="shared" si="1227"/>
        <v>452</v>
      </c>
      <c r="L540" s="24">
        <f t="shared" si="1203"/>
        <v>107.44402576692734</v>
      </c>
      <c r="M540" s="4">
        <f t="shared" si="1168"/>
        <v>0.23770802160824633</v>
      </c>
      <c r="N540" s="31" t="str">
        <f>IFERROR(VLOOKUP($B540,#REF!,8,FALSE),"")</f>
        <v/>
      </c>
      <c r="O540" s="31" t="str">
        <f>IFERROR(VLOOKUP($B540,#REF!,9,FALSE),"")</f>
        <v/>
      </c>
      <c r="P540" s="31" t="str">
        <f>IFERROR(VLOOKUP($B540,#REF!,10,FALSE),"")</f>
        <v/>
      </c>
      <c r="Q540" s="31" t="str">
        <f>IFERROR(VLOOKUP($B540,#REF!,11,FALSE),"")</f>
        <v/>
      </c>
      <c r="R540" s="31" t="str">
        <f>IFERROR(VLOOKUP($B540,#REF!,12,FALSE),"")</f>
        <v/>
      </c>
      <c r="S540" s="31">
        <f t="shared" si="1204"/>
        <v>53338.016075613545</v>
      </c>
      <c r="T540" s="31">
        <f t="shared" si="1205"/>
        <v>12625.856177302037</v>
      </c>
      <c r="U540" s="31">
        <f t="shared" si="1206"/>
        <v>22911.491218558309</v>
      </c>
      <c r="V540" s="31">
        <f t="shared" si="1207"/>
        <v>18581.334444903652</v>
      </c>
      <c r="W540" s="31">
        <f t="shared" si="1208"/>
        <v>53338.016075613545</v>
      </c>
      <c r="X540" s="31">
        <f t="shared" si="1209"/>
        <v>12625.856177302037</v>
      </c>
      <c r="Y540" s="31">
        <f t="shared" si="1210"/>
        <v>22911.491218558309</v>
      </c>
      <c r="Z540" s="31">
        <f t="shared" si="1211"/>
        <v>18581.334444903652</v>
      </c>
      <c r="AA540" s="31">
        <f t="shared" si="1195"/>
        <v>53605.091592652425</v>
      </c>
      <c r="AB540" s="31">
        <f t="shared" si="1196"/>
        <v>12780.09954284639</v>
      </c>
      <c r="AC540" s="31">
        <f t="shared" si="1197"/>
        <v>23020.811128753965</v>
      </c>
      <c r="AD540" s="31">
        <f t="shared" si="1198"/>
        <v>18663.409977035073</v>
      </c>
      <c r="AE540" s="31">
        <f t="shared" si="1173"/>
        <v>108069.41224128785</v>
      </c>
      <c r="AF540" s="31">
        <f>IFERROR(VLOOKUP(A540,'Allocations By Type'!$D$7:$F$491,3,FALSE),"")</f>
        <v>106431.58</v>
      </c>
      <c r="AG540" s="31">
        <f t="shared" si="1174"/>
        <v>4322.7764896515137</v>
      </c>
      <c r="AH540" s="31">
        <f t="shared" si="1175"/>
        <v>1637.8322412878479</v>
      </c>
      <c r="AI540" s="31">
        <f t="shared" si="1176"/>
        <v>106431.58</v>
      </c>
      <c r="AJ540" s="31">
        <f>AI540/$AI$577*'State Admin 1004(b)'!$B$30*0.01</f>
        <v>1012.8560552419203</v>
      </c>
      <c r="AK540" s="31">
        <f t="shared" si="1177"/>
        <v>105418.72394475808</v>
      </c>
      <c r="AL540" s="31">
        <f t="shared" si="1178"/>
        <v>1054.1872394475809</v>
      </c>
      <c r="AM540" s="31">
        <f t="shared" si="1179"/>
        <v>104364.5367053105</v>
      </c>
      <c r="AP540" s="31"/>
      <c r="AQ540" s="4">
        <f t="shared" si="1180"/>
        <v>0.98057866570533392</v>
      </c>
      <c r="AW540" s="31">
        <f t="shared" si="1212"/>
        <v>104318.66402461984</v>
      </c>
      <c r="AX540" s="4">
        <f t="shared" si="1185"/>
        <v>0.98014765941292836</v>
      </c>
      <c r="AZ540" s="174" t="str">
        <f>IFERROR(IF(VLOOKUP(A540,#REF!,11,FALSE)=0,"",VLOOKUP(A540,#REF!,11,FALSE)),"")</f>
        <v/>
      </c>
      <c r="BA540" s="31" t="str">
        <f t="shared" si="1187"/>
        <v/>
      </c>
      <c r="BB540" s="31">
        <f t="shared" si="1188"/>
        <v>104318.66402461984</v>
      </c>
      <c r="BD540" s="31">
        <f>IFERROR(VLOOKUP(A540,'Title II Hold Harmless'!A$1:B$439,2, FALSE),"")</f>
        <v>3947</v>
      </c>
      <c r="BE540" s="31">
        <f t="shared" si="1213"/>
        <v>5717.2840608624747</v>
      </c>
      <c r="BF540" s="31">
        <f t="shared" si="1214"/>
        <v>5722.8158743566846</v>
      </c>
      <c r="BG540" s="31" t="str">
        <f t="shared" si="1189"/>
        <v/>
      </c>
      <c r="BH540" s="31">
        <f t="shared" si="1190"/>
        <v>5722.8158743566846</v>
      </c>
    </row>
    <row r="541" spans="1:60" s="47" customFormat="1" x14ac:dyDescent="0.3">
      <c r="A541" s="1">
        <v>138759000</v>
      </c>
      <c r="B541" s="47">
        <f>VLOOKUP(C541,'NCES ID'!$A$2:$B$3136,2,FALSE)</f>
        <v>400267</v>
      </c>
      <c r="C541" s="47">
        <f>VLOOKUP(A541,'State ID'!$A$2:$B$713,2,FALSE)</f>
        <v>79065</v>
      </c>
      <c r="D541" s="192" t="s">
        <v>872</v>
      </c>
      <c r="E541" s="47" t="s">
        <v>3</v>
      </c>
      <c r="H541" s="4"/>
      <c r="I541" s="47">
        <f>VLOOKUP($C541,'AzEDS FY17 12-04-16'!$A$1:$D$712,3,FALSE)</f>
        <v>18</v>
      </c>
      <c r="J541" s="47">
        <f>VLOOKUP($C541,'AzEDS FY17 12-04-16'!$A$1:$D$712,4,FALSE)</f>
        <v>18</v>
      </c>
      <c r="K541" s="24">
        <f t="shared" ref="K541" si="1241">I541</f>
        <v>18</v>
      </c>
      <c r="L541" s="24">
        <f t="shared" si="1203"/>
        <v>7.7359698552187686</v>
      </c>
      <c r="M541" s="4">
        <f t="shared" ref="M541" si="1242">L541/K541</f>
        <v>0.42977610306770936</v>
      </c>
      <c r="N541" s="31"/>
      <c r="O541" s="31"/>
      <c r="P541" s="31"/>
      <c r="Q541" s="31"/>
      <c r="R541" s="31"/>
      <c r="S541" s="31">
        <f t="shared" si="1204"/>
        <v>3840.3371574441753</v>
      </c>
      <c r="T541" s="31">
        <f t="shared" si="1205"/>
        <v>909.06164476574679</v>
      </c>
      <c r="U541" s="31">
        <f t="shared" si="1206"/>
        <v>1649.6273677361983</v>
      </c>
      <c r="V541" s="31">
        <f t="shared" si="1207"/>
        <v>1337.8560800330631</v>
      </c>
      <c r="W541" s="31" t="str">
        <f t="shared" ref="W541" si="1243">IF(AND($L541&gt;9,$L541&gt;($K541*0.02)),S541,"")</f>
        <v/>
      </c>
      <c r="X541" s="31" t="str">
        <f t="shared" ref="X541" si="1244">IF(W541="","",IF(OR($L541&gt;6500,$L541&gt;($K541*0.15)),T541,""))</f>
        <v/>
      </c>
      <c r="Y541" s="31" t="str">
        <f t="shared" ref="Y541" si="1245">IF(AND($L541&gt;9,$L541&gt;($K541*0.05)),U541,"")</f>
        <v/>
      </c>
      <c r="Z541" s="31" t="str">
        <f t="shared" ref="Z541" si="1246">IF(AND($L541&gt;9,$L541&gt;($K541*0.05)),V541,"")</f>
        <v/>
      </c>
      <c r="AA541" s="31" t="str">
        <f t="shared" si="1195"/>
        <v/>
      </c>
      <c r="AB541" s="31" t="str">
        <f t="shared" si="1196"/>
        <v/>
      </c>
      <c r="AC541" s="31" t="str">
        <f t="shared" si="1197"/>
        <v/>
      </c>
      <c r="AD541" s="31" t="str">
        <f t="shared" si="1198"/>
        <v/>
      </c>
      <c r="AE541" s="31">
        <f t="shared" ref="AE541" si="1247">SUM(AA541:AD541)</f>
        <v>0</v>
      </c>
      <c r="AF541" s="31">
        <f>IFERROR(VLOOKUP(A541,'Allocations By Type'!$D$7:$F$491,3,FALSE),"")</f>
        <v>0</v>
      </c>
      <c r="AG541" s="31" t="str">
        <f t="shared" ref="AG541" si="1248">IF(AE541&gt;AF541,AE541*0.04,"")</f>
        <v/>
      </c>
      <c r="AH541" s="31" t="str">
        <f t="shared" ref="AH541" si="1249">IF(AG541="","",IF((AE541-AF541)&gt;AG541,AG541,AE541-AF541))</f>
        <v/>
      </c>
      <c r="AI541" s="31">
        <f t="shared" ref="AI541" si="1250">IF(AH541="",AE541,AE541-AH541)</f>
        <v>0</v>
      </c>
      <c r="AJ541" s="31">
        <f>AI541/$AI$577*'State Admin 1004(b)'!$B$30*0.01</f>
        <v>0</v>
      </c>
      <c r="AK541" s="31">
        <f t="shared" ref="AK541" si="1251">AI541-AJ541</f>
        <v>0</v>
      </c>
      <c r="AL541" s="31">
        <f t="shared" ref="AL541" si="1252">AK541*0.01</f>
        <v>0</v>
      </c>
      <c r="AM541" s="31">
        <f t="shared" ref="AM541" si="1253">AK541-AL541</f>
        <v>0</v>
      </c>
      <c r="AP541" s="31"/>
      <c r="AQ541" s="4" t="str">
        <f t="shared" si="1180"/>
        <v/>
      </c>
      <c r="AR541" s="4"/>
      <c r="AS541" s="4"/>
      <c r="AT541" s="4"/>
      <c r="AW541" s="31">
        <f t="shared" si="1212"/>
        <v>0</v>
      </c>
      <c r="AX541" s="4" t="str">
        <f t="shared" ref="AX541" si="1254">IFERROR(AW541/AF541,"")</f>
        <v/>
      </c>
      <c r="AZ541" s="174"/>
      <c r="BA541" s="31"/>
      <c r="BB541" s="31">
        <f t="shared" si="1188"/>
        <v>0</v>
      </c>
      <c r="BD541" s="31">
        <f>IFERROR(VLOOKUP(A541,'Title II Hold Harmless'!A$1:B$439,2, FALSE),"")</f>
        <v>1859</v>
      </c>
      <c r="BE541" s="31">
        <f t="shared" si="1213"/>
        <v>1974.7554456981302</v>
      </c>
      <c r="BF541" s="31">
        <f t="shared" si="1214"/>
        <v>1976.6661394306766</v>
      </c>
      <c r="BG541" s="31" t="str">
        <f t="shared" ref="BG541" si="1255">IF(AZ541&lt;0,BF541*AZ541/100,"")</f>
        <v/>
      </c>
      <c r="BH541" s="31">
        <f t="shared" ref="BH541" si="1256">IF(BG541&lt;0,BF541+BG541,BF541)</f>
        <v>1976.6661394306766</v>
      </c>
    </row>
    <row r="542" spans="1:60" x14ac:dyDescent="0.3">
      <c r="A542" s="1">
        <v>138503000</v>
      </c>
      <c r="B542">
        <f>VLOOKUP(C542,'NCES ID'!$A$2:$B$3136,2,FALSE)</f>
        <v>400844</v>
      </c>
      <c r="C542">
        <f>VLOOKUP(A542,'State ID'!$A$2:$B$713,2,FALSE)</f>
        <v>90900</v>
      </c>
      <c r="D542" s="147" t="s">
        <v>245</v>
      </c>
      <c r="E542" t="s">
        <v>3</v>
      </c>
      <c r="I542" s="47">
        <f>VLOOKUP($C542,'Final SEA Counts'!$A$2:$F$709,5,FALSE)</f>
        <v>98</v>
      </c>
      <c r="J542" s="47">
        <f>VLOOKUP($C542,'Final SEA Counts'!$A$2:$F$709,6,FALSE)</f>
        <v>55</v>
      </c>
      <c r="K542" s="24">
        <f t="shared" si="1227"/>
        <v>98</v>
      </c>
      <c r="L542" s="24">
        <f t="shared" si="1203"/>
        <v>23.637685668724014</v>
      </c>
      <c r="M542" s="4">
        <f t="shared" si="1168"/>
        <v>0.2412008741706532</v>
      </c>
      <c r="N542" s="31" t="str">
        <f>IFERROR(VLOOKUP($B542,#REF!,8,FALSE),"")</f>
        <v/>
      </c>
      <c r="O542" s="31" t="str">
        <f>IFERROR(VLOOKUP($B542,#REF!,9,FALSE),"")</f>
        <v/>
      </c>
      <c r="P542" s="31" t="str">
        <f>IFERROR(VLOOKUP($B542,#REF!,10,FALSE),"")</f>
        <v/>
      </c>
      <c r="Q542" s="31" t="str">
        <f>IFERROR(VLOOKUP($B542,#REF!,11,FALSE),"")</f>
        <v/>
      </c>
      <c r="R542" s="31" t="str">
        <f>IFERROR(VLOOKUP($B542,#REF!,12,FALSE),"")</f>
        <v/>
      </c>
      <c r="S542" s="31">
        <f t="shared" si="1204"/>
        <v>11734.363536634979</v>
      </c>
      <c r="T542" s="31">
        <f t="shared" si="1205"/>
        <v>2777.6883590064481</v>
      </c>
      <c r="U542" s="31">
        <f t="shared" si="1206"/>
        <v>5040.5280680828282</v>
      </c>
      <c r="V542" s="31">
        <f t="shared" si="1207"/>
        <v>4087.8935778788036</v>
      </c>
      <c r="W542" s="31">
        <f t="shared" si="1208"/>
        <v>11734.363536634979</v>
      </c>
      <c r="X542" s="31">
        <f t="shared" si="1209"/>
        <v>2777.6883590064481</v>
      </c>
      <c r="Y542" s="31">
        <f t="shared" si="1210"/>
        <v>5040.5280680828282</v>
      </c>
      <c r="Z542" s="31">
        <f t="shared" si="1211"/>
        <v>4087.8935778788036</v>
      </c>
      <c r="AA542" s="31">
        <f t="shared" si="1195"/>
        <v>12001.439053673861</v>
      </c>
      <c r="AB542" s="31">
        <f t="shared" si="1196"/>
        <v>2931.9317245508014</v>
      </c>
      <c r="AC542" s="31">
        <f t="shared" si="1197"/>
        <v>5149.8479782784843</v>
      </c>
      <c r="AD542" s="31">
        <f t="shared" si="1198"/>
        <v>4169.9691100102227</v>
      </c>
      <c r="AE542" s="31">
        <f t="shared" si="1173"/>
        <v>24253.18786651337</v>
      </c>
      <c r="AF542" s="31">
        <f>IFERROR(VLOOKUP(A542,'Allocations By Type'!$D$7:$F$491,3,FALSE),"")</f>
        <v>17965.400000000001</v>
      </c>
      <c r="AG542" s="31">
        <f t="shared" si="1174"/>
        <v>970.12751466053487</v>
      </c>
      <c r="AH542" s="31">
        <f t="shared" si="1175"/>
        <v>970.12751466053487</v>
      </c>
      <c r="AI542" s="31">
        <f t="shared" si="1176"/>
        <v>23283.060351852837</v>
      </c>
      <c r="AJ542" s="31">
        <f>AI542/$AI$577*'State Admin 1004(b)'!$B$30*0.01</f>
        <v>221.57322725019415</v>
      </c>
      <c r="AK542" s="31">
        <f t="shared" si="1177"/>
        <v>23061.487124602641</v>
      </c>
      <c r="AL542" s="31">
        <f t="shared" si="1178"/>
        <v>230.61487124602641</v>
      </c>
      <c r="AM542" s="31">
        <f t="shared" si="1179"/>
        <v>22830.872253356614</v>
      </c>
      <c r="AP542" s="31"/>
      <c r="AQ542" s="4">
        <f t="shared" si="1180"/>
        <v>1.270824599138155</v>
      </c>
      <c r="AW542" s="31">
        <f t="shared" si="1212"/>
        <v>22820.837107838506</v>
      </c>
      <c r="AX542" s="4">
        <f t="shared" si="1185"/>
        <v>1.2702660173354619</v>
      </c>
      <c r="AZ542" s="174" t="str">
        <f>IFERROR(IF(VLOOKUP(A542,#REF!,11,FALSE)=0,"",VLOOKUP(A542,#REF!,11,FALSE)),"")</f>
        <v/>
      </c>
      <c r="BA542" s="31" t="str">
        <f t="shared" si="1187"/>
        <v/>
      </c>
      <c r="BB542" s="31">
        <f t="shared" si="1188"/>
        <v>22820.837107838506</v>
      </c>
      <c r="BD542" s="31" t="str">
        <f>IFERROR(VLOOKUP(A542,'Title II Hold Harmless'!A$1:B$439,2, FALSE),"")</f>
        <v/>
      </c>
      <c r="BE542" s="31">
        <f t="shared" si="1213"/>
        <v>388.30358183687628</v>
      </c>
      <c r="BF542" s="31">
        <f t="shared" si="1214"/>
        <v>388.67928872339593</v>
      </c>
      <c r="BG542" s="31" t="str">
        <f t="shared" si="1189"/>
        <v/>
      </c>
      <c r="BH542" s="31">
        <f t="shared" si="1190"/>
        <v>388.67928872339593</v>
      </c>
    </row>
    <row r="543" spans="1:60" x14ac:dyDescent="0.3">
      <c r="A543" s="1">
        <v>138712000</v>
      </c>
      <c r="B543">
        <f>VLOOKUP(C543,'NCES ID'!$A$2:$B$3136,2,FALSE)</f>
        <v>400090</v>
      </c>
      <c r="C543">
        <f>VLOOKUP(A543,'State ID'!$A$2:$B$713,2,FALSE)</f>
        <v>4493</v>
      </c>
      <c r="D543" s="147" t="s">
        <v>287</v>
      </c>
      <c r="E543" t="s">
        <v>3</v>
      </c>
      <c r="I543" s="47">
        <f>VLOOKUP($C543,'Final SEA Counts'!$A$2:$F$709,5,FALSE)</f>
        <v>171</v>
      </c>
      <c r="J543" s="47">
        <f>VLOOKUP($C543,'Final SEA Counts'!$A$2:$F$709,6,FALSE)</f>
        <v>116</v>
      </c>
      <c r="K543" s="24">
        <f t="shared" si="1227"/>
        <v>171</v>
      </c>
      <c r="L543" s="24">
        <f t="shared" si="1203"/>
        <v>49.854027955854285</v>
      </c>
      <c r="M543" s="4">
        <f t="shared" si="1168"/>
        <v>0.2915440231336508</v>
      </c>
      <c r="N543" s="31" t="str">
        <f>IFERROR(VLOOKUP($B543,#REF!,8,FALSE),"")</f>
        <v/>
      </c>
      <c r="O543" s="31" t="str">
        <f>IFERROR(VLOOKUP($B543,#REF!,9,FALSE),"")</f>
        <v/>
      </c>
      <c r="P543" s="31" t="str">
        <f>IFERROR(VLOOKUP($B543,#REF!,10,FALSE),"")</f>
        <v/>
      </c>
      <c r="Q543" s="31" t="str">
        <f>IFERROR(VLOOKUP($B543,#REF!,11,FALSE),"")</f>
        <v/>
      </c>
      <c r="R543" s="31" t="str">
        <f>IFERROR(VLOOKUP($B543,#REF!,12,FALSE),"")</f>
        <v/>
      </c>
      <c r="S543" s="31">
        <f t="shared" si="1204"/>
        <v>24748.839459084684</v>
      </c>
      <c r="T543" s="31">
        <f t="shared" si="1205"/>
        <v>5858.3972662681454</v>
      </c>
      <c r="U543" s="31">
        <f t="shared" si="1206"/>
        <v>10630.931925411056</v>
      </c>
      <c r="V543" s="31">
        <f t="shared" si="1207"/>
        <v>8621.7391824352944</v>
      </c>
      <c r="W543" s="31">
        <f t="shared" si="1208"/>
        <v>24748.839459084684</v>
      </c>
      <c r="X543" s="31">
        <f t="shared" si="1209"/>
        <v>5858.3972662681454</v>
      </c>
      <c r="Y543" s="31">
        <f t="shared" si="1210"/>
        <v>10630.931925411056</v>
      </c>
      <c r="Z543" s="31">
        <f t="shared" si="1211"/>
        <v>8621.7391824352944</v>
      </c>
      <c r="AA543" s="31">
        <f t="shared" si="1195"/>
        <v>25015.914976123564</v>
      </c>
      <c r="AB543" s="31">
        <f t="shared" si="1196"/>
        <v>6012.6406318124982</v>
      </c>
      <c r="AC543" s="31">
        <f t="shared" si="1197"/>
        <v>10740.251835606712</v>
      </c>
      <c r="AD543" s="31">
        <f t="shared" si="1198"/>
        <v>8703.8147145667135</v>
      </c>
      <c r="AE543" s="31">
        <f t="shared" si="1173"/>
        <v>50472.622158109487</v>
      </c>
      <c r="AF543" s="31">
        <f>IFERROR(VLOOKUP(A543,'Allocations By Type'!$D$7:$F$491,3,FALSE),"")</f>
        <v>51593.17</v>
      </c>
      <c r="AG543" s="31" t="str">
        <f t="shared" si="1174"/>
        <v/>
      </c>
      <c r="AH543" s="31" t="str">
        <f t="shared" si="1175"/>
        <v/>
      </c>
      <c r="AI543" s="31">
        <f t="shared" si="1176"/>
        <v>50472.622158109487</v>
      </c>
      <c r="AJ543" s="31">
        <f>AI543/$AI$577*'State Admin 1004(b)'!$B$30*0.01</f>
        <v>480.32267280800215</v>
      </c>
      <c r="AK543" s="31">
        <f t="shared" si="1177"/>
        <v>49992.299485301482</v>
      </c>
      <c r="AL543" s="31">
        <f t="shared" si="1178"/>
        <v>499.92299485301481</v>
      </c>
      <c r="AM543" s="31">
        <f t="shared" si="1179"/>
        <v>49492.376490448471</v>
      </c>
      <c r="AP543" s="31"/>
      <c r="AQ543" s="4">
        <f t="shared" si="1180"/>
        <v>0.95928155781954227</v>
      </c>
      <c r="AW543" s="31">
        <f t="shared" si="1212"/>
        <v>49470.622472704119</v>
      </c>
      <c r="AX543" s="4">
        <f t="shared" si="1185"/>
        <v>0.95885991251757008</v>
      </c>
      <c r="AZ543" s="174" t="str">
        <f>IFERROR(IF(VLOOKUP(A543,#REF!,11,FALSE)=0,"",VLOOKUP(A543,#REF!,11,FALSE)),"")</f>
        <v/>
      </c>
      <c r="BA543" s="31" t="str">
        <f t="shared" si="1187"/>
        <v/>
      </c>
      <c r="BB543" s="31">
        <f t="shared" si="1188"/>
        <v>49470.622472704119</v>
      </c>
      <c r="BD543" s="31">
        <f>IFERROR(VLOOKUP(A543,'Title II Hold Harmless'!A$1:B$439,2, FALSE),"")</f>
        <v>4868</v>
      </c>
      <c r="BE543" s="31">
        <f t="shared" si="1213"/>
        <v>5658.2435218655519</v>
      </c>
      <c r="BF543" s="31">
        <f t="shared" si="1214"/>
        <v>5663.7182101151784</v>
      </c>
      <c r="BG543" s="31" t="str">
        <f t="shared" si="1189"/>
        <v/>
      </c>
      <c r="BH543" s="31">
        <f t="shared" si="1190"/>
        <v>5663.7182101151784</v>
      </c>
    </row>
    <row r="544" spans="1:60" x14ac:dyDescent="0.3">
      <c r="A544" s="1">
        <v>138768000</v>
      </c>
      <c r="B544">
        <f>VLOOKUP(C544,'NCES ID'!$A$2:$B$3136,2,FALSE)</f>
        <v>400208</v>
      </c>
      <c r="C544">
        <f>VLOOKUP(A544,'State ID'!$A$2:$B$713,2,FALSE)</f>
        <v>78873</v>
      </c>
      <c r="D544" s="147" t="s">
        <v>298</v>
      </c>
      <c r="E544" t="s">
        <v>3</v>
      </c>
      <c r="I544" s="47">
        <f>VLOOKUP($C544,'Final SEA Counts'!$A$2:$F$709,5,FALSE)</f>
        <v>147</v>
      </c>
      <c r="J544" s="47">
        <f>VLOOKUP($C544,'Final SEA Counts'!$A$2:$F$709,6,FALSE)</f>
        <v>78</v>
      </c>
      <c r="K544" s="24">
        <f t="shared" si="1227"/>
        <v>147</v>
      </c>
      <c r="L544" s="24">
        <f t="shared" si="1203"/>
        <v>33.522536039281327</v>
      </c>
      <c r="M544" s="4">
        <f t="shared" si="1168"/>
        <v>0.22804446285225394</v>
      </c>
      <c r="N544" s="31" t="str">
        <f>IFERROR(VLOOKUP($B544,#REF!,8,FALSE),"")</f>
        <v/>
      </c>
      <c r="O544" s="31" t="str">
        <f>IFERROR(VLOOKUP($B544,#REF!,9,FALSE),"")</f>
        <v/>
      </c>
      <c r="P544" s="31" t="str">
        <f>IFERROR(VLOOKUP($B544,#REF!,10,FALSE),"")</f>
        <v/>
      </c>
      <c r="Q544" s="31" t="str">
        <f>IFERROR(VLOOKUP($B544,#REF!,11,FALSE),"")</f>
        <v/>
      </c>
      <c r="R544" s="31" t="str">
        <f>IFERROR(VLOOKUP($B544,#REF!,12,FALSE),"")</f>
        <v/>
      </c>
      <c r="S544" s="31">
        <f t="shared" si="1204"/>
        <v>16641.461015591423</v>
      </c>
      <c r="T544" s="31">
        <f t="shared" si="1205"/>
        <v>3939.2671273182355</v>
      </c>
      <c r="U544" s="31">
        <f t="shared" si="1206"/>
        <v>7148.3852601901917</v>
      </c>
      <c r="V544" s="31">
        <f t="shared" si="1207"/>
        <v>5797.3763468099396</v>
      </c>
      <c r="W544" s="31">
        <f t="shared" si="1208"/>
        <v>16641.461015591423</v>
      </c>
      <c r="X544" s="31">
        <f t="shared" si="1209"/>
        <v>3939.2671273182355</v>
      </c>
      <c r="Y544" s="31">
        <f t="shared" si="1210"/>
        <v>7148.3852601901917</v>
      </c>
      <c r="Z544" s="31">
        <f t="shared" si="1211"/>
        <v>5797.3763468099396</v>
      </c>
      <c r="AA544" s="31">
        <f t="shared" si="1195"/>
        <v>16908.536532630304</v>
      </c>
      <c r="AB544" s="31">
        <f t="shared" si="1196"/>
        <v>4093.5104928625888</v>
      </c>
      <c r="AC544" s="31">
        <f t="shared" si="1197"/>
        <v>7257.7051703858479</v>
      </c>
      <c r="AD544" s="31">
        <f t="shared" si="1198"/>
        <v>5879.4518789413587</v>
      </c>
      <c r="AE544" s="31">
        <f t="shared" si="1173"/>
        <v>34139.204074820096</v>
      </c>
      <c r="AF544" s="31">
        <f>IFERROR(VLOOKUP(A544,'Allocations By Type'!$D$7:$F$491,3,FALSE),"")</f>
        <v>30535.22</v>
      </c>
      <c r="AG544" s="31">
        <f t="shared" si="1174"/>
        <v>1365.5681629928038</v>
      </c>
      <c r="AH544" s="31">
        <f t="shared" si="1175"/>
        <v>1365.5681629928038</v>
      </c>
      <c r="AI544" s="31">
        <f t="shared" si="1176"/>
        <v>32773.635911827296</v>
      </c>
      <c r="AJ544" s="31">
        <f>AI544/$AI$577*'State Admin 1004(b)'!$B$30*0.01</f>
        <v>311.89028280505022</v>
      </c>
      <c r="AK544" s="31">
        <f t="shared" si="1177"/>
        <v>32461.745629022247</v>
      </c>
      <c r="AL544" s="31">
        <f t="shared" si="1178"/>
        <v>324.61745629022249</v>
      </c>
      <c r="AM544" s="31">
        <f t="shared" si="1179"/>
        <v>32137.128172732024</v>
      </c>
      <c r="AP544" s="31"/>
      <c r="AQ544" s="4">
        <f t="shared" si="1180"/>
        <v>1.0524609998792223</v>
      </c>
      <c r="AW544" s="31">
        <f t="shared" si="1212"/>
        <v>32123.002529429017</v>
      </c>
      <c r="AX544" s="4">
        <f t="shared" si="1185"/>
        <v>1.0519983982243788</v>
      </c>
      <c r="AZ544" s="174" t="str">
        <f>IFERROR(IF(VLOOKUP(A544,#REF!,11,FALSE)=0,"",VLOOKUP(A544,#REF!,11,FALSE)),"")</f>
        <v/>
      </c>
      <c r="BA544" s="31" t="str">
        <f t="shared" si="1187"/>
        <v/>
      </c>
      <c r="BB544" s="31">
        <f t="shared" si="1188"/>
        <v>32123.002529429017</v>
      </c>
      <c r="BD544" s="31" t="str">
        <f>IFERROR(VLOOKUP(A544,'Title II Hold Harmless'!A$1:B$439,2, FALSE),"")</f>
        <v/>
      </c>
      <c r="BE544" s="31">
        <f t="shared" si="1213"/>
        <v>557.13810993349477</v>
      </c>
      <c r="BF544" s="31">
        <f t="shared" si="1214"/>
        <v>557.67717430074674</v>
      </c>
      <c r="BG544" s="31" t="str">
        <f t="shared" si="1189"/>
        <v/>
      </c>
      <c r="BH544" s="31">
        <f t="shared" si="1190"/>
        <v>557.67717430074674</v>
      </c>
    </row>
    <row r="545" spans="1:60" s="47" customFormat="1" x14ac:dyDescent="0.3">
      <c r="A545" s="1">
        <v>138758000</v>
      </c>
      <c r="B545" s="47">
        <f>VLOOKUP(C545,'NCES ID'!$A$2:$B$3136,2,FALSE)</f>
        <v>400266</v>
      </c>
      <c r="C545" s="47">
        <f>VLOOKUP(A545,'State ID'!$A$2:$B$713,2,FALSE)</f>
        <v>79068</v>
      </c>
      <c r="D545" s="191" t="s">
        <v>871</v>
      </c>
      <c r="E545" s="47" t="s">
        <v>3</v>
      </c>
      <c r="H545" s="4"/>
      <c r="I545" s="47">
        <f>VLOOKUP($C545,'AzEDS FY17 11-14-2016'!$A$1:$D$706,3,FALSE)</f>
        <v>39</v>
      </c>
      <c r="J545" s="47">
        <f>VLOOKUP($C545,'AzEDS FY17 11-14-2016'!$A$1:$D$706,4,FALSE)</f>
        <v>23</v>
      </c>
      <c r="K545" s="24">
        <f t="shared" ref="K545" si="1257">I545</f>
        <v>39</v>
      </c>
      <c r="L545" s="24">
        <f t="shared" si="1203"/>
        <v>9.8848503705573147</v>
      </c>
      <c r="M545" s="4">
        <f t="shared" ref="M545" si="1258">L545/K545</f>
        <v>0.25345770180916194</v>
      </c>
      <c r="N545" s="31"/>
      <c r="O545" s="31"/>
      <c r="P545" s="31"/>
      <c r="Q545" s="31"/>
      <c r="R545" s="31"/>
      <c r="S545" s="31">
        <f t="shared" si="1204"/>
        <v>4907.0974789564461</v>
      </c>
      <c r="T545" s="31">
        <f t="shared" si="1205"/>
        <v>1161.5787683117874</v>
      </c>
      <c r="U545" s="31">
        <f t="shared" si="1206"/>
        <v>2107.8571921073644</v>
      </c>
      <c r="V545" s="31">
        <f t="shared" si="1207"/>
        <v>1709.482768931136</v>
      </c>
      <c r="W545" s="31">
        <f t="shared" ref="W545" si="1259">IF(AND($L545&gt;9,$L545&gt;($K545*0.02)),S545,"")</f>
        <v>4907.0974789564461</v>
      </c>
      <c r="X545" s="31">
        <f t="shared" ref="X545" si="1260">IF(W545="","",IF(OR($L545&gt;6500,$L545&gt;($K545*0.15)),T545,""))</f>
        <v>1161.5787683117874</v>
      </c>
      <c r="Y545" s="31">
        <f t="shared" ref="Y545" si="1261">IF(AND($L545&gt;9,$L545&gt;($K545*0.05)),U545,"")</f>
        <v>2107.8571921073644</v>
      </c>
      <c r="Z545" s="31">
        <f t="shared" ref="Z545" si="1262">IF(AND($L545&gt;9,$L545&gt;($K545*0.05)),V545,"")</f>
        <v>1709.482768931136</v>
      </c>
      <c r="AA545" s="31">
        <f t="shared" si="1195"/>
        <v>5174.1729959953273</v>
      </c>
      <c r="AB545" s="31">
        <f t="shared" si="1196"/>
        <v>1315.8221338561407</v>
      </c>
      <c r="AC545" s="31">
        <f t="shared" si="1197"/>
        <v>2217.1771023030205</v>
      </c>
      <c r="AD545" s="31">
        <f t="shared" si="1198"/>
        <v>1791.5583010625553</v>
      </c>
      <c r="AE545" s="31">
        <f t="shared" ref="AE545" si="1263">SUM(AA545:AD545)</f>
        <v>10498.730533217044</v>
      </c>
      <c r="AF545" s="31">
        <f>IFERROR(VLOOKUP(A545,'Allocations By Type'!$D$7:$F$491,3,FALSE),"")</f>
        <v>20370.41</v>
      </c>
      <c r="AG545" s="31" t="str">
        <f t="shared" ref="AG545" si="1264">IF(AE545&gt;AF545,AE545*0.04,"")</f>
        <v/>
      </c>
      <c r="AH545" s="31" t="str">
        <f t="shared" ref="AH545" si="1265">IF(AG545="","",IF((AE545-AF545)&gt;AG545,AG545,AE545-AF545))</f>
        <v/>
      </c>
      <c r="AI545" s="31">
        <f t="shared" ref="AI545" si="1266">IF(AH545="",AE545,AE545-AH545)</f>
        <v>10498.730533217044</v>
      </c>
      <c r="AJ545" s="31">
        <f>AI545/$AI$577*'State Admin 1004(b)'!$B$30*0.01</f>
        <v>99.911161639450583</v>
      </c>
      <c r="AK545" s="31">
        <f t="shared" ref="AK545" si="1267">AI545-AJ545</f>
        <v>10398.819371577592</v>
      </c>
      <c r="AL545" s="31">
        <f t="shared" ref="AL545" si="1268">AK545*0.01</f>
        <v>103.98819371577592</v>
      </c>
      <c r="AM545" s="31">
        <f t="shared" ref="AM545" si="1269">AK545-AL545</f>
        <v>10294.831177861817</v>
      </c>
      <c r="AP545" s="31"/>
      <c r="AQ545" s="4">
        <f t="shared" si="1180"/>
        <v>0.50538163826166571</v>
      </c>
      <c r="AR545" s="4"/>
      <c r="AS545" s="4"/>
      <c r="AT545" s="4"/>
      <c r="AW545" s="31">
        <f t="shared" si="1212"/>
        <v>10290.306158939729</v>
      </c>
      <c r="AX545" s="4">
        <f t="shared" si="1185"/>
        <v>0.50515950140128396</v>
      </c>
      <c r="AZ545" s="174"/>
      <c r="BA545" s="31"/>
      <c r="BB545" s="31">
        <f t="shared" si="1188"/>
        <v>10290.306158939729</v>
      </c>
      <c r="BD545" s="31">
        <f>IFERROR(VLOOKUP(A545,'Title II Hold Harmless'!A$1:B$439,2, FALSE),"")</f>
        <v>3546</v>
      </c>
      <c r="BE545" s="31">
        <f t="shared" si="1213"/>
        <v>3706.7865312017011</v>
      </c>
      <c r="BF545" s="31">
        <f t="shared" si="1214"/>
        <v>3710.3730683643066</v>
      </c>
      <c r="BG545" s="31"/>
      <c r="BH545" s="31">
        <f t="shared" si="1190"/>
        <v>3710.3730683643066</v>
      </c>
    </row>
    <row r="546" spans="1:60" x14ac:dyDescent="0.3">
      <c r="A546" s="1">
        <v>138755000</v>
      </c>
      <c r="B546">
        <f>VLOOKUP(C546,'NCES ID'!$A$2:$B$3136,2,FALSE)</f>
        <v>400209</v>
      </c>
      <c r="C546">
        <f>VLOOKUP(A546,'State ID'!$A$2:$B$713,2,FALSE)</f>
        <v>10970</v>
      </c>
      <c r="D546" s="147" t="s">
        <v>324</v>
      </c>
      <c r="E546" t="s">
        <v>3</v>
      </c>
      <c r="I546" s="47">
        <f>VLOOKUP($C546,'Final SEA Counts'!$A$2:$F$709,5,FALSE)</f>
        <v>150</v>
      </c>
      <c r="J546" s="47">
        <f>VLOOKUP($C546,'Final SEA Counts'!$A$2:$F$709,6,FALSE)</f>
        <v>89</v>
      </c>
      <c r="K546" s="24">
        <f t="shared" si="1227"/>
        <v>150</v>
      </c>
      <c r="L546" s="24">
        <f t="shared" si="1203"/>
        <v>38.250073173026131</v>
      </c>
      <c r="M546" s="4">
        <f t="shared" si="1168"/>
        <v>0.2550004878201742</v>
      </c>
      <c r="N546" s="31" t="str">
        <f>IFERROR(VLOOKUP($B546,#REF!,8,FALSE),"")</f>
        <v/>
      </c>
      <c r="O546" s="31" t="str">
        <f>IFERROR(VLOOKUP($B546,#REF!,9,FALSE),"")</f>
        <v/>
      </c>
      <c r="P546" s="31" t="str">
        <f>IFERROR(VLOOKUP($B546,#REF!,10,FALSE),"")</f>
        <v/>
      </c>
      <c r="Q546" s="31" t="str">
        <f>IFERROR(VLOOKUP($B546,#REF!,11,FALSE),"")</f>
        <v/>
      </c>
      <c r="R546" s="31" t="str">
        <f>IFERROR(VLOOKUP($B546,#REF!,12,FALSE),"")</f>
        <v/>
      </c>
      <c r="S546" s="31">
        <f t="shared" si="1204"/>
        <v>18988.333722918422</v>
      </c>
      <c r="T546" s="31">
        <f t="shared" si="1205"/>
        <v>4494.8047991195253</v>
      </c>
      <c r="U546" s="31">
        <f t="shared" si="1206"/>
        <v>8156.4908738067579</v>
      </c>
      <c r="V546" s="31">
        <f t="shared" si="1207"/>
        <v>6614.9550623857003</v>
      </c>
      <c r="W546" s="31">
        <f t="shared" si="1208"/>
        <v>18988.333722918422</v>
      </c>
      <c r="X546" s="31">
        <f t="shared" si="1209"/>
        <v>4494.8047991195253</v>
      </c>
      <c r="Y546" s="31">
        <f t="shared" si="1210"/>
        <v>8156.4908738067579</v>
      </c>
      <c r="Z546" s="31">
        <f t="shared" si="1211"/>
        <v>6614.9550623857003</v>
      </c>
      <c r="AA546" s="31">
        <f t="shared" si="1195"/>
        <v>19255.409239957302</v>
      </c>
      <c r="AB546" s="31">
        <f t="shared" si="1196"/>
        <v>4649.0481646638782</v>
      </c>
      <c r="AC546" s="31">
        <f t="shared" si="1197"/>
        <v>8265.8107840024131</v>
      </c>
      <c r="AD546" s="31">
        <f t="shared" si="1198"/>
        <v>6697.0305945171194</v>
      </c>
      <c r="AE546" s="31">
        <f t="shared" si="1173"/>
        <v>38867.298783140708</v>
      </c>
      <c r="AF546" s="31">
        <f>IFERROR(VLOOKUP(A546,'Allocations By Type'!$D$7:$F$491,3,FALSE),"")</f>
        <v>55102.83</v>
      </c>
      <c r="AG546" s="31" t="str">
        <f t="shared" si="1174"/>
        <v/>
      </c>
      <c r="AH546" s="31" t="str">
        <f t="shared" si="1175"/>
        <v/>
      </c>
      <c r="AI546" s="31">
        <f t="shared" si="1176"/>
        <v>38867.298783140708</v>
      </c>
      <c r="AJ546" s="31">
        <f>AI546/$AI$577*'State Admin 1004(b)'!$B$30*0.01</f>
        <v>369.88062117842259</v>
      </c>
      <c r="AK546" s="31">
        <f t="shared" si="1177"/>
        <v>38497.418161962283</v>
      </c>
      <c r="AL546" s="31">
        <f t="shared" si="1178"/>
        <v>384.97418161962287</v>
      </c>
      <c r="AM546" s="31">
        <f t="shared" si="1179"/>
        <v>38112.443980342658</v>
      </c>
      <c r="AP546" s="31"/>
      <c r="AQ546" s="4">
        <f t="shared" si="1180"/>
        <v>0.69166037352968357</v>
      </c>
      <c r="AW546" s="31">
        <f t="shared" si="1212"/>
        <v>38095.691929998313</v>
      </c>
      <c r="AX546" s="4">
        <f t="shared" si="1185"/>
        <v>0.69135635919241012</v>
      </c>
      <c r="AZ546" s="174" t="str">
        <f>IFERROR(IF(VLOOKUP(A546,#REF!,11,FALSE)=0,"",VLOOKUP(A546,#REF!,11,FALSE)),"")</f>
        <v/>
      </c>
      <c r="BA546" s="31" t="str">
        <f t="shared" si="1187"/>
        <v/>
      </c>
      <c r="BB546" s="31">
        <f t="shared" si="1188"/>
        <v>38095.691929998313</v>
      </c>
      <c r="BD546" s="31">
        <f>IFERROR(VLOOKUP(A546,'Title II Hold Harmless'!A$1:B$439,2, FALSE),"")</f>
        <v>1963</v>
      </c>
      <c r="BE546" s="31">
        <f t="shared" si="1213"/>
        <v>2584.4391514553072</v>
      </c>
      <c r="BF546" s="31">
        <f t="shared" si="1214"/>
        <v>2586.9397505545985</v>
      </c>
      <c r="BG546" s="31" t="str">
        <f t="shared" si="1189"/>
        <v/>
      </c>
      <c r="BH546" s="31">
        <f t="shared" si="1190"/>
        <v>2586.9397505545985</v>
      </c>
    </row>
    <row r="547" spans="1:60" x14ac:dyDescent="0.3">
      <c r="A547" s="1">
        <v>78516000</v>
      </c>
      <c r="B547">
        <f>VLOOKUP(C547,'NCES ID'!$A$2:$B$3136,2,FALSE)</f>
        <v>400444</v>
      </c>
      <c r="C547">
        <f>VLOOKUP(A547,'State ID'!$A$2:$B$713,2,FALSE)</f>
        <v>88317</v>
      </c>
      <c r="D547" s="147" t="s">
        <v>353</v>
      </c>
      <c r="E547" t="s">
        <v>3</v>
      </c>
      <c r="I547" s="47">
        <f>VLOOKUP($C547,'Final SEA Counts'!$A$2:$F$709,5,FALSE)</f>
        <v>271</v>
      </c>
      <c r="J547" s="47">
        <f>VLOOKUP($C547,'Final SEA Counts'!$A$2:$F$709,6,FALSE)</f>
        <v>227</v>
      </c>
      <c r="K547" s="24">
        <f t="shared" si="1227"/>
        <v>271</v>
      </c>
      <c r="L547" s="24">
        <f t="shared" si="1203"/>
        <v>97.559175396370023</v>
      </c>
      <c r="M547" s="4">
        <f t="shared" si="1168"/>
        <v>0.35999695718217722</v>
      </c>
      <c r="N547" s="31" t="str">
        <f>IFERROR(VLOOKUP($B547,#REF!,8,FALSE),"")</f>
        <v/>
      </c>
      <c r="O547" s="31" t="str">
        <f>IFERROR(VLOOKUP($B547,#REF!,9,FALSE),"")</f>
        <v/>
      </c>
      <c r="P547" s="31" t="str">
        <f>IFERROR(VLOOKUP($B547,#REF!,10,FALSE),"")</f>
        <v/>
      </c>
      <c r="Q547" s="31" t="str">
        <f>IFERROR(VLOOKUP($B547,#REF!,11,FALSE),"")</f>
        <v/>
      </c>
      <c r="R547" s="31" t="str">
        <f>IFERROR(VLOOKUP($B547,#REF!,12,FALSE),"")</f>
        <v/>
      </c>
      <c r="S547" s="31">
        <f t="shared" si="1204"/>
        <v>48430.918596657102</v>
      </c>
      <c r="T547" s="31">
        <f t="shared" si="1205"/>
        <v>11464.27740899025</v>
      </c>
      <c r="U547" s="31">
        <f t="shared" si="1206"/>
        <v>20803.634026450945</v>
      </c>
      <c r="V547" s="31">
        <f t="shared" si="1207"/>
        <v>16871.851675972517</v>
      </c>
      <c r="W547" s="31">
        <f t="shared" si="1208"/>
        <v>48430.918596657102</v>
      </c>
      <c r="X547" s="31">
        <f t="shared" si="1209"/>
        <v>11464.27740899025</v>
      </c>
      <c r="Y547" s="31">
        <f t="shared" si="1210"/>
        <v>20803.634026450945</v>
      </c>
      <c r="Z547" s="31">
        <f t="shared" si="1211"/>
        <v>16871.851675972517</v>
      </c>
      <c r="AA547" s="31">
        <f t="shared" si="1195"/>
        <v>48697.994113695982</v>
      </c>
      <c r="AB547" s="31">
        <f t="shared" si="1196"/>
        <v>11618.520774534603</v>
      </c>
      <c r="AC547" s="31">
        <f t="shared" si="1197"/>
        <v>20912.953936646602</v>
      </c>
      <c r="AD547" s="31">
        <f t="shared" si="1198"/>
        <v>16953.927208103938</v>
      </c>
      <c r="AE547" s="31">
        <f t="shared" si="1173"/>
        <v>98183.396032981123</v>
      </c>
      <c r="AF547" s="31">
        <f>IFERROR(VLOOKUP(A547,'Allocations By Type'!$D$7:$F$491,3,FALSE),"")</f>
        <v>87433.75</v>
      </c>
      <c r="AG547" s="31">
        <f t="shared" si="1174"/>
        <v>3927.335841319245</v>
      </c>
      <c r="AH547" s="31">
        <f t="shared" si="1175"/>
        <v>3927.335841319245</v>
      </c>
      <c r="AI547" s="31">
        <f t="shared" si="1176"/>
        <v>94256.060191661876</v>
      </c>
      <c r="AJ547" s="31">
        <f>AI547/$AI$577*'State Admin 1004(b)'!$B$30*0.01</f>
        <v>896.9877296604227</v>
      </c>
      <c r="AK547" s="31">
        <f t="shared" si="1177"/>
        <v>93359.072462001452</v>
      </c>
      <c r="AL547" s="31">
        <f t="shared" si="1178"/>
        <v>933.5907246200145</v>
      </c>
      <c r="AM547" s="31">
        <f t="shared" si="1179"/>
        <v>92425.481737381444</v>
      </c>
      <c r="AP547" s="31"/>
      <c r="AQ547" s="4">
        <f t="shared" si="1180"/>
        <v>1.0570915892018979</v>
      </c>
      <c r="AW547" s="31">
        <f t="shared" si="1212"/>
        <v>92384.856782341478</v>
      </c>
      <c r="AX547" s="4">
        <f t="shared" si="1185"/>
        <v>1.0566269522048577</v>
      </c>
      <c r="AZ547" s="174" t="str">
        <f>IFERROR(IF(VLOOKUP(A547,#REF!,11,FALSE)=0,"",VLOOKUP(A547,#REF!,11,FALSE)),"")</f>
        <v/>
      </c>
      <c r="BA547" s="31" t="str">
        <f t="shared" si="1187"/>
        <v/>
      </c>
      <c r="BB547" s="31">
        <f t="shared" si="1188"/>
        <v>92384.856782341478</v>
      </c>
      <c r="BD547" s="31" t="str">
        <f>IFERROR(VLOOKUP(A547,'Title II Hold Harmless'!A$1:B$439,2, FALSE),"")</f>
        <v/>
      </c>
      <c r="BE547" s="31">
        <f t="shared" si="1213"/>
        <v>1495.215973752945</v>
      </c>
      <c r="BF547" s="31">
        <f t="shared" si="1214"/>
        <v>1496.6626844310072</v>
      </c>
      <c r="BG547" s="31" t="str">
        <f t="shared" si="1189"/>
        <v/>
      </c>
      <c r="BH547" s="31">
        <f t="shared" si="1190"/>
        <v>1496.6626844310072</v>
      </c>
    </row>
    <row r="548" spans="1:60" s="47" customFormat="1" x14ac:dyDescent="0.3">
      <c r="A548" s="1">
        <v>130199000</v>
      </c>
      <c r="B548" s="47">
        <f>VLOOKUP(C548,'NCES ID'!$A$2:$B$3136,2,FALSE)</f>
        <v>400315</v>
      </c>
      <c r="C548" s="47">
        <f>VLOOKUP(A548,'State ID'!$A$2:$B$713,2,FALSE)</f>
        <v>79379</v>
      </c>
      <c r="D548" s="191" t="s">
        <v>455</v>
      </c>
      <c r="E548" s="47" t="s">
        <v>3</v>
      </c>
      <c r="H548" s="4"/>
      <c r="I548" s="47">
        <f>VLOOKUP($C548,'Final SEA Counts'!$A$2:$F$709,5,FALSE)</f>
        <v>42</v>
      </c>
      <c r="J548" s="47">
        <f>VLOOKUP($C548,'Final SEA Counts'!$A$2:$F$709,6,FALSE)</f>
        <v>25</v>
      </c>
      <c r="K548" s="24">
        <f t="shared" ref="K548" si="1270">I548</f>
        <v>42</v>
      </c>
      <c r="L548" s="24">
        <f t="shared" si="1203"/>
        <v>10.744402576692734</v>
      </c>
      <c r="M548" s="4">
        <f t="shared" ref="M548" si="1271">L548/K548</f>
        <v>0.25581910896887461</v>
      </c>
      <c r="N548" s="31"/>
      <c r="O548" s="31"/>
      <c r="P548" s="31"/>
      <c r="Q548" s="31"/>
      <c r="R548" s="31"/>
      <c r="S548" s="31">
        <f t="shared" si="1204"/>
        <v>5333.8016075613541</v>
      </c>
      <c r="T548" s="31">
        <f t="shared" si="1205"/>
        <v>1262.5856177302037</v>
      </c>
      <c r="U548" s="31">
        <f t="shared" si="1206"/>
        <v>2291.1491218558308</v>
      </c>
      <c r="V548" s="31">
        <f t="shared" si="1207"/>
        <v>1858.1334444903653</v>
      </c>
      <c r="W548" s="31">
        <f t="shared" ref="W548" si="1272">IF(AND($L548&gt;9,$L548&gt;($K548*0.02)),S548,"")</f>
        <v>5333.8016075613541</v>
      </c>
      <c r="X548" s="31">
        <f t="shared" ref="X548" si="1273">IF(W548="","",IF(OR($L548&gt;6500,$L548&gt;($K548*0.15)),T548,""))</f>
        <v>1262.5856177302037</v>
      </c>
      <c r="Y548" s="31">
        <f t="shared" ref="Y548" si="1274">IF(AND($L548&gt;9,$L548&gt;($K548*0.05)),U548,"")</f>
        <v>2291.1491218558308</v>
      </c>
      <c r="Z548" s="31">
        <f t="shared" ref="Z548" si="1275">IF(AND($L548&gt;9,$L548&gt;($K548*0.05)),V548,"")</f>
        <v>1858.1334444903653</v>
      </c>
      <c r="AA548" s="31">
        <f t="shared" si="1195"/>
        <v>5600.8771246002352</v>
      </c>
      <c r="AB548" s="31">
        <f t="shared" si="1196"/>
        <v>1416.828983274557</v>
      </c>
      <c r="AC548" s="31">
        <f t="shared" si="1197"/>
        <v>2400.4690320514869</v>
      </c>
      <c r="AD548" s="31">
        <f t="shared" si="1198"/>
        <v>1940.2089766217846</v>
      </c>
      <c r="AE548" s="31">
        <f t="shared" ref="AE548" si="1276">SUM(AA548:AD548)</f>
        <v>11358.384116548064</v>
      </c>
      <c r="AF548" s="31" t="str">
        <f>IFERROR(VLOOKUP(A548,'Allocations By Type'!$D$7:$F$491,3,FALSE),"")</f>
        <v/>
      </c>
      <c r="AG548" s="31" t="str">
        <f t="shared" ref="AG548" si="1277">IF(AE548&gt;AF548,AE548*0.04,"")</f>
        <v/>
      </c>
      <c r="AH548" s="31" t="str">
        <f t="shared" ref="AH548" si="1278">IF(AG548="","",IF((AE548-AF548)&gt;AG548,AG548,AE548-AF548))</f>
        <v/>
      </c>
      <c r="AI548" s="31">
        <f t="shared" ref="AI548" si="1279">IF(AH548="",AE548,AE548-AH548)</f>
        <v>11358.384116548064</v>
      </c>
      <c r="AJ548" s="31">
        <f>AI548/$AI$577*'State Admin 1004(b)'!$B$30*0.01</f>
        <v>108.09205435275277</v>
      </c>
      <c r="AK548" s="31">
        <f t="shared" ref="AK548" si="1280">AI548-AJ548</f>
        <v>11250.292062195311</v>
      </c>
      <c r="AL548" s="31">
        <f t="shared" ref="AL548" si="1281">AK548*0.01</f>
        <v>112.50292062195311</v>
      </c>
      <c r="AM548" s="31">
        <f t="shared" ref="AM548" si="1282">AK548-AL548</f>
        <v>11137.789141573357</v>
      </c>
      <c r="AP548" s="31"/>
      <c r="AQ548" s="4" t="str">
        <f t="shared" si="1180"/>
        <v/>
      </c>
      <c r="AR548" s="4"/>
      <c r="AS548" s="4"/>
      <c r="AT548" s="4"/>
      <c r="AW548" s="31">
        <f t="shared" si="1212"/>
        <v>11132.893606547566</v>
      </c>
      <c r="AX548" s="4" t="str">
        <f t="shared" si="1185"/>
        <v/>
      </c>
      <c r="AZ548" s="174"/>
      <c r="BA548" s="31"/>
      <c r="BB548" s="31">
        <f t="shared" si="1188"/>
        <v>11132.893606547566</v>
      </c>
      <c r="BD548" s="31">
        <f>IFERROR(VLOOKUP(A548,'Title II Hold Harmless'!A$1:B$439,2, FALSE),"")</f>
        <v>1067</v>
      </c>
      <c r="BE548" s="31">
        <f t="shared" si="1213"/>
        <v>1241.4530470798738</v>
      </c>
      <c r="BF548" s="31">
        <f t="shared" si="1214"/>
        <v>1242.6542269836809</v>
      </c>
      <c r="BG548" s="31"/>
      <c r="BH548" s="31">
        <f t="shared" si="1190"/>
        <v>1242.6542269836809</v>
      </c>
    </row>
    <row r="549" spans="1:60" s="47" customFormat="1" x14ac:dyDescent="0.3">
      <c r="A549" s="1">
        <v>138761000</v>
      </c>
      <c r="B549" s="47">
        <f>VLOOKUP(C549,'NCES ID'!$A$2:$B$3136,2,FALSE)</f>
        <v>400328</v>
      </c>
      <c r="C549" s="47">
        <f>VLOOKUP(A549,'State ID'!$A$2:$B$713,2,FALSE)</f>
        <v>79457</v>
      </c>
      <c r="D549" s="191" t="s">
        <v>555</v>
      </c>
      <c r="E549" s="47" t="s">
        <v>3</v>
      </c>
      <c r="H549" s="4"/>
      <c r="I549" s="47">
        <f>VLOOKUP($C549,'Final SEA Counts'!$A$2:$F$709,5,FALSE)</f>
        <v>75</v>
      </c>
      <c r="J549" s="47">
        <f>VLOOKUP($C549,'Final SEA Counts'!$A$2:$F$709,6,FALSE)</f>
        <v>44</v>
      </c>
      <c r="K549" s="24">
        <f t="shared" ref="K549" si="1283">I549</f>
        <v>75</v>
      </c>
      <c r="L549" s="24">
        <f t="shared" si="1203"/>
        <v>18.910148534979211</v>
      </c>
      <c r="M549" s="4">
        <f t="shared" ref="M549" si="1284">L549/K549</f>
        <v>0.25213531379972282</v>
      </c>
      <c r="N549" s="31"/>
      <c r="O549" s="31"/>
      <c r="P549" s="31"/>
      <c r="Q549" s="31"/>
      <c r="R549" s="31"/>
      <c r="S549" s="31">
        <f t="shared" si="1204"/>
        <v>9387.4908293079843</v>
      </c>
      <c r="T549" s="31">
        <f t="shared" si="1205"/>
        <v>2222.1506872051586</v>
      </c>
      <c r="U549" s="31">
        <f t="shared" si="1206"/>
        <v>4032.422454466262</v>
      </c>
      <c r="V549" s="31">
        <f t="shared" si="1207"/>
        <v>3270.3148623030429</v>
      </c>
      <c r="W549" s="31">
        <f t="shared" ref="W549" si="1285">IF(AND($L549&gt;9,$L549&gt;($K549*0.02)),S549,"")</f>
        <v>9387.4908293079843</v>
      </c>
      <c r="X549" s="31">
        <f t="shared" ref="X549" si="1286">IF(W549="","",IF(OR($L549&gt;6500,$L549&gt;($K549*0.15)),T549,""))</f>
        <v>2222.1506872051586</v>
      </c>
      <c r="Y549" s="31">
        <f t="shared" ref="Y549" si="1287">IF(AND($L549&gt;9,$L549&gt;($K549*0.05)),U549,"")</f>
        <v>4032.422454466262</v>
      </c>
      <c r="Z549" s="31">
        <f t="shared" ref="Z549" si="1288">IF(AND($L549&gt;9,$L549&gt;($K549*0.05)),V549,"")</f>
        <v>3270.3148623030429</v>
      </c>
      <c r="AA549" s="31">
        <f t="shared" si="1195"/>
        <v>9654.5663463468663</v>
      </c>
      <c r="AB549" s="31">
        <f t="shared" si="1196"/>
        <v>2376.394052749512</v>
      </c>
      <c r="AC549" s="31">
        <f t="shared" si="1197"/>
        <v>4141.7423646619181</v>
      </c>
      <c r="AD549" s="31">
        <f t="shared" si="1198"/>
        <v>3352.390394434462</v>
      </c>
      <c r="AE549" s="31">
        <f t="shared" ref="AE549" si="1289">SUM(AA549:AD549)</f>
        <v>19525.093158192758</v>
      </c>
      <c r="AF549" s="31">
        <f>IFERROR(VLOOKUP(A549,'Allocations By Type'!$D$7:$F$491,3,FALSE),"")</f>
        <v>15844.28</v>
      </c>
      <c r="AG549" s="31">
        <f t="shared" ref="AG549" si="1290">IF(AE549&gt;AF549,AE549*0.04,"")</f>
        <v>781.0037263277103</v>
      </c>
      <c r="AH549" s="31">
        <f t="shared" ref="AH549" si="1291">IF(AG549="","",IF((AE549-AF549)&gt;AG549,AG549,AE549-AF549))</f>
        <v>781.0037263277103</v>
      </c>
      <c r="AI549" s="31">
        <f t="shared" ref="AI549" si="1292">IF(AH549="",AE549,AE549-AH549)</f>
        <v>18744.089431865046</v>
      </c>
      <c r="AJ549" s="31">
        <f>AI549/$AI$577*'State Admin 1004(b)'!$B$30*0.01</f>
        <v>178.37811372395856</v>
      </c>
      <c r="AK549" s="31">
        <f t="shared" ref="AK549" si="1293">AI549-AJ549</f>
        <v>18565.711318141086</v>
      </c>
      <c r="AL549" s="31">
        <f t="shared" ref="AL549" si="1294">AK549*0.01</f>
        <v>185.65711318141086</v>
      </c>
      <c r="AM549" s="31">
        <f t="shared" ref="AM549" si="1295">AK549-AL549</f>
        <v>18380.054204959673</v>
      </c>
      <c r="AP549" s="31"/>
      <c r="AQ549" s="4">
        <f t="shared" si="1180"/>
        <v>1.1600435112835465</v>
      </c>
      <c r="AR549" s="4"/>
      <c r="AS549" s="4"/>
      <c r="AT549" s="4"/>
      <c r="AW549" s="31">
        <f t="shared" si="1212"/>
        <v>18371.975384469126</v>
      </c>
      <c r="AX549" s="4">
        <f t="shared" ref="AX549" si="1296">IFERROR(AW549/AF549,"")</f>
        <v>1.1595336225104027</v>
      </c>
      <c r="AZ549" s="174"/>
      <c r="BA549" s="31"/>
      <c r="BB549" s="31">
        <f t="shared" si="1188"/>
        <v>18371.975384469126</v>
      </c>
      <c r="BD549" s="31" t="str">
        <f>IFERROR(VLOOKUP(A549,'Title II Hold Harmless'!A$1:B$439,2, FALSE),"")</f>
        <v/>
      </c>
      <c r="BE549" s="31">
        <f t="shared" si="1213"/>
        <v>307.90654652522909</v>
      </c>
      <c r="BF549" s="31">
        <f t="shared" si="1214"/>
        <v>308.20446448258292</v>
      </c>
      <c r="BG549" s="31"/>
      <c r="BH549" s="31">
        <f t="shared" ref="BH549" si="1297">IF(BG549&lt;0,BF549+BG549,BF549)</f>
        <v>308.20446448258292</v>
      </c>
    </row>
    <row r="550" spans="1:60" x14ac:dyDescent="0.3">
      <c r="A550" s="1">
        <v>138708000</v>
      </c>
      <c r="B550">
        <f>VLOOKUP(C550,'NCES ID'!$A$2:$B$3136,2,FALSE)</f>
        <v>400089</v>
      </c>
      <c r="C550">
        <f>VLOOKUP(A550,'State ID'!$A$2:$B$713,2,FALSE)</f>
        <v>4492</v>
      </c>
      <c r="D550" s="147" t="s">
        <v>380</v>
      </c>
      <c r="E550" t="s">
        <v>3</v>
      </c>
      <c r="I550" s="47">
        <f>VLOOKUP($C550,'Final SEA Counts'!$A$2:$F$709,5,FALSE)</f>
        <v>150</v>
      </c>
      <c r="J550" s="47">
        <f>VLOOKUP($C550,'Final SEA Counts'!$A$2:$F$709,6,FALSE)</f>
        <v>75</v>
      </c>
      <c r="K550" s="24">
        <f t="shared" si="1227"/>
        <v>150</v>
      </c>
      <c r="L550" s="24">
        <f t="shared" si="1203"/>
        <v>32.233207730078199</v>
      </c>
      <c r="M550" s="4">
        <f t="shared" si="1168"/>
        <v>0.21488805153385465</v>
      </c>
      <c r="N550" s="31" t="str">
        <f>IFERROR(VLOOKUP($B550,#REF!,8,FALSE),"")</f>
        <v/>
      </c>
      <c r="O550" s="31" t="str">
        <f>IFERROR(VLOOKUP($B550,#REF!,9,FALSE),"")</f>
        <v/>
      </c>
      <c r="P550" s="31" t="str">
        <f>IFERROR(VLOOKUP($B550,#REF!,10,FALSE),"")</f>
        <v/>
      </c>
      <c r="Q550" s="31" t="str">
        <f>IFERROR(VLOOKUP($B550,#REF!,11,FALSE),"")</f>
        <v/>
      </c>
      <c r="R550" s="31" t="str">
        <f>IFERROR(VLOOKUP($B550,#REF!,12,FALSE),"")</f>
        <v/>
      </c>
      <c r="S550" s="31">
        <f t="shared" si="1204"/>
        <v>16001.404822684062</v>
      </c>
      <c r="T550" s="31">
        <f t="shared" si="1205"/>
        <v>3787.7568531906109</v>
      </c>
      <c r="U550" s="31">
        <f t="shared" si="1206"/>
        <v>6873.4473655674919</v>
      </c>
      <c r="V550" s="31">
        <f t="shared" si="1207"/>
        <v>5574.4003334710951</v>
      </c>
      <c r="W550" s="31">
        <f t="shared" si="1208"/>
        <v>16001.404822684062</v>
      </c>
      <c r="X550" s="31">
        <f t="shared" si="1209"/>
        <v>3787.7568531906109</v>
      </c>
      <c r="Y550" s="31">
        <f t="shared" si="1210"/>
        <v>6873.4473655674919</v>
      </c>
      <c r="Z550" s="31">
        <f t="shared" si="1211"/>
        <v>5574.4003334710951</v>
      </c>
      <c r="AA550" s="31">
        <f t="shared" si="1195"/>
        <v>16268.480339722944</v>
      </c>
      <c r="AB550" s="31">
        <f t="shared" si="1196"/>
        <v>3942.0002187349642</v>
      </c>
      <c r="AC550" s="31">
        <f t="shared" si="1197"/>
        <v>6982.7672757631481</v>
      </c>
      <c r="AD550" s="31">
        <f t="shared" si="1198"/>
        <v>5656.4758656025142</v>
      </c>
      <c r="AE550" s="31">
        <f t="shared" si="1173"/>
        <v>32849.723699823568</v>
      </c>
      <c r="AF550" s="31">
        <f>IFERROR(VLOOKUP(A550,'Allocations By Type'!$D$7:$F$491,3,FALSE),"")</f>
        <v>31851.34</v>
      </c>
      <c r="AG550" s="31">
        <f t="shared" si="1174"/>
        <v>1313.9889479929427</v>
      </c>
      <c r="AH550" s="31">
        <f t="shared" si="1175"/>
        <v>998.38369982356744</v>
      </c>
      <c r="AI550" s="31">
        <f t="shared" si="1176"/>
        <v>31851.34</v>
      </c>
      <c r="AJ550" s="31">
        <f>AI550/$AI$577*'State Admin 1004(b)'!$B$30*0.01</f>
        <v>303.11325441724324</v>
      </c>
      <c r="AK550" s="31">
        <f t="shared" si="1177"/>
        <v>31548.226745582757</v>
      </c>
      <c r="AL550" s="31">
        <f t="shared" si="1178"/>
        <v>315.48226745582758</v>
      </c>
      <c r="AM550" s="31">
        <f t="shared" si="1179"/>
        <v>31232.74447812693</v>
      </c>
      <c r="AP550" s="31"/>
      <c r="AQ550" s="4">
        <f t="shared" si="1180"/>
        <v>0.98057866570533392</v>
      </c>
      <c r="AW550" s="31">
        <f t="shared" si="1212"/>
        <v>31219.016350165381</v>
      </c>
      <c r="AX550" s="4">
        <f t="shared" si="1185"/>
        <v>0.98014765941292836</v>
      </c>
      <c r="AZ550" s="174" t="str">
        <f>IFERROR(IF(VLOOKUP(A550,#REF!,11,FALSE)=0,"",VLOOKUP(A550,#REF!,11,FALSE)),"")</f>
        <v/>
      </c>
      <c r="BA550" s="31" t="str">
        <f t="shared" si="1187"/>
        <v/>
      </c>
      <c r="BB550" s="31">
        <f t="shared" si="1188"/>
        <v>31219.016350165381</v>
      </c>
      <c r="BD550" s="31">
        <f>IFERROR(VLOOKUP(A550,'Title II Hold Harmless'!A$1:B$439,2, FALSE),"")</f>
        <v>2476</v>
      </c>
      <c r="BE550" s="31">
        <f t="shared" si="1213"/>
        <v>3018.6743337874236</v>
      </c>
      <c r="BF550" s="31">
        <f t="shared" si="1214"/>
        <v>3021.5950813375725</v>
      </c>
      <c r="BG550" s="31" t="str">
        <f t="shared" si="1189"/>
        <v/>
      </c>
      <c r="BH550" s="31">
        <f t="shared" si="1190"/>
        <v>3021.5950813375725</v>
      </c>
    </row>
    <row r="551" spans="1:60" x14ac:dyDescent="0.3">
      <c r="A551" s="1">
        <v>138752000</v>
      </c>
      <c r="B551">
        <f>VLOOKUP(C551,'NCES ID'!$A$2:$B$3136,2,FALSE)</f>
        <v>400093</v>
      </c>
      <c r="C551">
        <f>VLOOKUP(A551,'State ID'!$A$2:$B$713,2,FALSE)</f>
        <v>4496</v>
      </c>
      <c r="D551" s="147" t="s">
        <v>387</v>
      </c>
      <c r="E551" t="s">
        <v>3</v>
      </c>
      <c r="I551" s="47">
        <f>VLOOKUP($C551,'Final SEA Counts'!$A$2:$F$709,5,FALSE)</f>
        <v>204</v>
      </c>
      <c r="J551" s="47">
        <f>VLOOKUP($C551,'Final SEA Counts'!$A$2:$F$709,6,FALSE)</f>
        <v>85</v>
      </c>
      <c r="K551" s="24">
        <f t="shared" si="1227"/>
        <v>204</v>
      </c>
      <c r="L551" s="24">
        <f t="shared" si="1203"/>
        <v>36.530968760755293</v>
      </c>
      <c r="M551" s="4">
        <f t="shared" si="1168"/>
        <v>0.17907337627821221</v>
      </c>
      <c r="N551" s="31" t="str">
        <f>IFERROR(VLOOKUP($B551,#REF!,8,FALSE),"")</f>
        <v/>
      </c>
      <c r="O551" s="31" t="str">
        <f>IFERROR(VLOOKUP($B551,#REF!,9,FALSE),"")</f>
        <v/>
      </c>
      <c r="P551" s="31" t="str">
        <f>IFERROR(VLOOKUP($B551,#REF!,10,FALSE),"")</f>
        <v/>
      </c>
      <c r="Q551" s="31" t="str">
        <f>IFERROR(VLOOKUP($B551,#REF!,11,FALSE),"")</f>
        <v/>
      </c>
      <c r="R551" s="31" t="str">
        <f>IFERROR(VLOOKUP($B551,#REF!,12,FALSE),"")</f>
        <v/>
      </c>
      <c r="S551" s="31">
        <f t="shared" si="1204"/>
        <v>18134.925465708606</v>
      </c>
      <c r="T551" s="31">
        <f t="shared" si="1205"/>
        <v>4292.7911002826922</v>
      </c>
      <c r="U551" s="31">
        <f t="shared" si="1206"/>
        <v>7789.9070143098243</v>
      </c>
      <c r="V551" s="31">
        <f t="shared" si="1207"/>
        <v>6317.6537112672422</v>
      </c>
      <c r="W551" s="31">
        <f t="shared" si="1208"/>
        <v>18134.925465708606</v>
      </c>
      <c r="X551" s="31">
        <f t="shared" si="1209"/>
        <v>4292.7911002826922</v>
      </c>
      <c r="Y551" s="31">
        <f t="shared" si="1210"/>
        <v>7789.9070143098243</v>
      </c>
      <c r="Z551" s="31">
        <f t="shared" si="1211"/>
        <v>6317.6537112672422</v>
      </c>
      <c r="AA551" s="31">
        <f t="shared" si="1195"/>
        <v>18402.000982747486</v>
      </c>
      <c r="AB551" s="31">
        <f t="shared" si="1196"/>
        <v>4447.0344658270451</v>
      </c>
      <c r="AC551" s="31">
        <f t="shared" si="1197"/>
        <v>7899.2269245054804</v>
      </c>
      <c r="AD551" s="31">
        <f t="shared" si="1198"/>
        <v>6399.7292433986613</v>
      </c>
      <c r="AE551" s="31">
        <f t="shared" si="1173"/>
        <v>37147.99161647867</v>
      </c>
      <c r="AF551" s="31">
        <f>IFERROR(VLOOKUP(A551,'Allocations By Type'!$D$7:$F$491,3,FALSE),"")</f>
        <v>37993.25</v>
      </c>
      <c r="AG551" s="31" t="str">
        <f t="shared" si="1174"/>
        <v/>
      </c>
      <c r="AH551" s="31" t="str">
        <f t="shared" si="1175"/>
        <v/>
      </c>
      <c r="AI551" s="31">
        <f t="shared" si="1176"/>
        <v>37147.99161647867</v>
      </c>
      <c r="AJ551" s="31">
        <f>AI551/$AI$577*'State Admin 1004(b)'!$B$30*0.01</f>
        <v>353.51883575181824</v>
      </c>
      <c r="AK551" s="31">
        <f t="shared" si="1177"/>
        <v>36794.47278072685</v>
      </c>
      <c r="AL551" s="31">
        <f t="shared" si="1178"/>
        <v>367.94472780726852</v>
      </c>
      <c r="AM551" s="31">
        <f t="shared" si="1179"/>
        <v>36426.528052919581</v>
      </c>
      <c r="AP551" s="31"/>
      <c r="AQ551" s="4">
        <f t="shared" si="1180"/>
        <v>0.95876315011007429</v>
      </c>
      <c r="AW551" s="31">
        <f t="shared" si="1212"/>
        <v>36410.51703478265</v>
      </c>
      <c r="AX551" s="4">
        <f t="shared" si="1185"/>
        <v>0.95834173267047829</v>
      </c>
      <c r="AZ551" s="174" t="str">
        <f>IFERROR(IF(VLOOKUP(A551,#REF!,11,FALSE)=0,"",VLOOKUP(A551,#REF!,11,FALSE)),"")</f>
        <v/>
      </c>
      <c r="BA551" s="31" t="str">
        <f t="shared" si="1187"/>
        <v/>
      </c>
      <c r="BB551" s="31">
        <f t="shared" si="1188"/>
        <v>36410.51703478265</v>
      </c>
      <c r="BD551" s="31">
        <f>IFERROR(VLOOKUP(A551,'Title II Hold Harmless'!A$1:B$439,2, FALSE),"")</f>
        <v>2317</v>
      </c>
      <c r="BE551" s="31">
        <f t="shared" si="1213"/>
        <v>2959.3941010684662</v>
      </c>
      <c r="BF551" s="31">
        <f t="shared" si="1214"/>
        <v>2962.2574914560528</v>
      </c>
      <c r="BG551" s="31" t="str">
        <f t="shared" si="1189"/>
        <v/>
      </c>
      <c r="BH551" s="31">
        <f t="shared" si="1190"/>
        <v>2962.2574914560528</v>
      </c>
    </row>
    <row r="552" spans="1:60" s="47" customFormat="1" x14ac:dyDescent="0.3">
      <c r="A552" s="1"/>
      <c r="D552" s="191" t="s">
        <v>1411</v>
      </c>
      <c r="E552" s="47" t="s">
        <v>3</v>
      </c>
      <c r="H552" s="4"/>
      <c r="I552" s="24">
        <f>'AVA Metrics'!C15</f>
        <v>190.46761598530088</v>
      </c>
      <c r="J552" s="24">
        <f>'AVA Metrics'!D15</f>
        <v>99.652733118971071</v>
      </c>
      <c r="K552" s="24">
        <f t="shared" si="1227"/>
        <v>190.46761598530088</v>
      </c>
      <c r="L552" s="24">
        <f t="shared" si="1203"/>
        <v>42.828363299917847</v>
      </c>
      <c r="M552" s="4">
        <f t="shared" si="1168"/>
        <v>0.22485902959599743</v>
      </c>
      <c r="N552" s="31"/>
      <c r="O552" s="31"/>
      <c r="P552" s="31"/>
      <c r="Q552" s="31"/>
      <c r="R552" s="31"/>
      <c r="S552" s="31">
        <f t="shared" si="1204"/>
        <v>21261.116324314022</v>
      </c>
      <c r="T552" s="31">
        <f t="shared" si="1205"/>
        <v>5032.8043041407691</v>
      </c>
      <c r="U552" s="31">
        <f t="shared" si="1206"/>
        <v>9132.7708790425622</v>
      </c>
      <c r="V552" s="31">
        <f t="shared" si="1207"/>
        <v>7406.7230497293131</v>
      </c>
      <c r="W552" s="31">
        <f t="shared" ref="W552" si="1298">IF(AND($L552&gt;9,$L552&gt;($K552*0.02)),S552,"")</f>
        <v>21261.116324314022</v>
      </c>
      <c r="X552" s="31">
        <f t="shared" ref="X552" si="1299">IF(W552="","",IF(OR($L552&gt;6500,$L552&gt;($K552*0.15)),T552,""))</f>
        <v>5032.8043041407691</v>
      </c>
      <c r="Y552" s="31">
        <f t="shared" ref="Y552" si="1300">IF(AND($L552&gt;9,$L552&gt;($K552*0.05)),U552,"")</f>
        <v>9132.7708790425622</v>
      </c>
      <c r="Z552" s="31">
        <f t="shared" ref="Z552" si="1301">IF(AND($L552&gt;9,$L552&gt;($K552*0.05)),V552,"")</f>
        <v>7406.7230497293131</v>
      </c>
      <c r="AA552" s="31">
        <f t="shared" si="1195"/>
        <v>21528.191841352902</v>
      </c>
      <c r="AB552" s="31">
        <f t="shared" si="1196"/>
        <v>5187.0476696851219</v>
      </c>
      <c r="AC552" s="31">
        <f t="shared" si="1197"/>
        <v>9242.0907892382183</v>
      </c>
      <c r="AD552" s="31">
        <f t="shared" si="1198"/>
        <v>7488.7985818607322</v>
      </c>
      <c r="AE552" s="31">
        <f t="shared" ref="AE552" si="1302">SUM(AA552:AD552)</f>
        <v>43446.128882136974</v>
      </c>
      <c r="AF552" s="31"/>
      <c r="AG552" s="31"/>
      <c r="AH552" s="31"/>
      <c r="AI552" s="31"/>
      <c r="AJ552" s="31"/>
      <c r="AK552" s="31"/>
      <c r="AL552" s="31"/>
      <c r="AM552" s="31"/>
      <c r="AP552" s="31"/>
      <c r="AQ552" s="4"/>
      <c r="AR552" s="4"/>
      <c r="AS552" s="4"/>
      <c r="AT552" s="4"/>
      <c r="AW552" s="31"/>
      <c r="AX552" s="4"/>
      <c r="AZ552" s="174"/>
      <c r="BA552" s="31"/>
      <c r="BB552" s="31"/>
      <c r="BD552" s="31"/>
      <c r="BE552" s="31"/>
      <c r="BF552" s="31"/>
      <c r="BG552" s="31"/>
      <c r="BH552" s="31"/>
    </row>
    <row r="553" spans="1:60" x14ac:dyDescent="0.3">
      <c r="A553" s="1"/>
      <c r="D553" s="147" t="s">
        <v>878</v>
      </c>
      <c r="K553" s="24">
        <f>SUM(K535:K552)</f>
        <v>3745.4676159853007</v>
      </c>
      <c r="L553" s="24">
        <f>SUM(L535:L552)</f>
        <v>1036.0409374893941</v>
      </c>
      <c r="S553" s="31">
        <f>SUM(S535:S552)</f>
        <v>514317.73692728567</v>
      </c>
      <c r="T553" s="31">
        <f>SUM(T535:T552)</f>
        <v>121746.21880712079</v>
      </c>
      <c r="U553" s="31">
        <f>SUM(U535:U552)</f>
        <v>220926.59570339555</v>
      </c>
      <c r="V553" s="31">
        <f>SUM(V535:V552)</f>
        <v>179172.57865841867</v>
      </c>
    </row>
    <row r="554" spans="1:60" x14ac:dyDescent="0.3">
      <c r="A554" s="1" t="s">
        <v>880</v>
      </c>
      <c r="B554">
        <f>G554/J554</f>
        <v>0.42977610306770936</v>
      </c>
      <c r="D554" s="147" t="s">
        <v>879</v>
      </c>
      <c r="F554">
        <f>SUM(F513:F552)</f>
        <v>28837</v>
      </c>
      <c r="G554" s="47">
        <f>SUM(G513:G552)</f>
        <v>6067</v>
      </c>
      <c r="I554" s="24">
        <f>SUM(I513:I552)</f>
        <v>22741.467615985301</v>
      </c>
      <c r="J554" s="24">
        <f>SUM(J513:J552)</f>
        <v>14116.652733118972</v>
      </c>
      <c r="K554" s="24">
        <f>SUM(K513:K552)</f>
        <v>28837</v>
      </c>
      <c r="L554" s="24">
        <f>SUM(L513:L552)</f>
        <v>6067.0000000000018</v>
      </c>
      <c r="N554" s="31">
        <f t="shared" ref="N554:AE554" si="1303">SUM(N513:N552)</f>
        <v>3011817.0016518151</v>
      </c>
      <c r="O554" s="31">
        <f t="shared" si="1303"/>
        <v>712939.30845311168</v>
      </c>
      <c r="P554" s="31">
        <f t="shared" si="1303"/>
        <v>1293734.2605211702</v>
      </c>
      <c r="Q554" s="31">
        <f t="shared" si="1303"/>
        <v>1049224.9827065878</v>
      </c>
      <c r="R554" s="31">
        <f t="shared" si="1303"/>
        <v>6067715.5533326855</v>
      </c>
      <c r="S554" s="31">
        <f t="shared" si="1303"/>
        <v>3011817.0016518147</v>
      </c>
      <c r="T554" s="31">
        <f t="shared" si="1303"/>
        <v>712939.30845311144</v>
      </c>
      <c r="U554" s="31">
        <f t="shared" si="1303"/>
        <v>1293734.2605211705</v>
      </c>
      <c r="V554" s="31">
        <f t="shared" si="1303"/>
        <v>1049224.982706588</v>
      </c>
      <c r="W554" s="31">
        <f t="shared" si="1303"/>
        <v>3002469.3585554538</v>
      </c>
      <c r="X554" s="31">
        <f t="shared" si="1303"/>
        <v>707695.03402460343</v>
      </c>
      <c r="Y554" s="31">
        <f t="shared" si="1303"/>
        <v>1289908.0636643225</v>
      </c>
      <c r="Z554" s="31">
        <f t="shared" si="1303"/>
        <v>1046352.3390819883</v>
      </c>
      <c r="AA554" s="31">
        <f t="shared" si="1303"/>
        <v>3011817.0016518151</v>
      </c>
      <c r="AB554" s="31">
        <f t="shared" si="1303"/>
        <v>712939.30845311168</v>
      </c>
      <c r="AC554" s="31">
        <f t="shared" si="1303"/>
        <v>1293734.2605211705</v>
      </c>
      <c r="AD554" s="31">
        <f t="shared" si="1303"/>
        <v>1049224.9827065875</v>
      </c>
      <c r="AE554" s="31">
        <f t="shared" si="1303"/>
        <v>6067715.5533326864</v>
      </c>
      <c r="AF554" s="31"/>
      <c r="AK554" s="31">
        <f>SUM(AK513:AK551)</f>
        <v>5893236.8675437924</v>
      </c>
      <c r="AL554" s="31"/>
      <c r="AM554" s="31">
        <f>SUM(AM513:AM551)</f>
        <v>5834304.4988683546</v>
      </c>
      <c r="AU554" s="31">
        <f>SUM(AU513:AU551)</f>
        <v>2508.2810721578571</v>
      </c>
      <c r="AV554" s="31">
        <f>SUM(AV513:AV551)</f>
        <v>130244.337</v>
      </c>
      <c r="AW554" s="31">
        <f>SUM(AW513:AW551)</f>
        <v>5834304.4988683537</v>
      </c>
    </row>
    <row r="555" spans="1:60" x14ac:dyDescent="0.3">
      <c r="A555" s="1"/>
      <c r="N555" s="31">
        <f>N554/$L554</f>
        <v>496.4260757626198</v>
      </c>
      <c r="O555" s="31">
        <f>O554/$L554</f>
        <v>117.5110117773383</v>
      </c>
      <c r="P555" s="31">
        <f>P554/$L554</f>
        <v>213.24118353736111</v>
      </c>
      <c r="Q555" s="31">
        <f>Q554/$L554</f>
        <v>172.93967079389935</v>
      </c>
      <c r="R555" s="31" t="str">
        <f>IFERROR(VLOOKUP($B555,#REF!,12,FALSE),"")</f>
        <v/>
      </c>
      <c r="W555" s="31">
        <f>(S554-W554)/COUNT(W513:W552)</f>
        <v>267.07551703888123</v>
      </c>
      <c r="X555" s="31">
        <f>(T554-X554)/COUNT(X513:X552)</f>
        <v>154.24336554435328</v>
      </c>
      <c r="Y555" s="31">
        <f>(U554-Y554)/COUNT(Y513:Y552)</f>
        <v>109.31991019565612</v>
      </c>
      <c r="Z555" s="31">
        <f>(V554-Z554)/COUNT(Z513:Z552)</f>
        <v>82.075532131419251</v>
      </c>
    </row>
    <row r="556" spans="1:60" x14ac:dyDescent="0.3">
      <c r="A556" s="1"/>
      <c r="N556" s="31" t="str">
        <f>IFERROR(VLOOKUP($B556,#REF!,8,FALSE),"")</f>
        <v/>
      </c>
      <c r="O556" s="31" t="str">
        <f>IFERROR(VLOOKUP($B556,#REF!,9,FALSE),"")</f>
        <v/>
      </c>
      <c r="P556" s="31" t="str">
        <f>IFERROR(VLOOKUP($B556,#REF!,10,FALSE),"")</f>
        <v/>
      </c>
      <c r="Q556" s="31" t="str">
        <f>IFERROR(VLOOKUP($B556,#REF!,11,FALSE),"")</f>
        <v/>
      </c>
      <c r="R556" s="31" t="str">
        <f>IFERROR(VLOOKUP($B556,#REF!,12,FALSE),"")</f>
        <v/>
      </c>
    </row>
    <row r="557" spans="1:60" x14ac:dyDescent="0.3">
      <c r="A557" s="1">
        <v>140416000</v>
      </c>
      <c r="B557">
        <f>VLOOKUP(C557,'NCES ID'!$A$2:$B$3136,2,FALSE)</f>
        <v>403900</v>
      </c>
      <c r="C557">
        <f>VLOOKUP(A557,'State ID'!$A$2:$B$713,2,FALSE)</f>
        <v>4502</v>
      </c>
      <c r="D557" s="147" t="s">
        <v>201</v>
      </c>
      <c r="E557" t="s">
        <v>38</v>
      </c>
      <c r="F557" s="47">
        <f>VLOOKUP(B557,'Formula counts'!$D$9:$L$234,9,FALSE)</f>
        <v>110</v>
      </c>
      <c r="G557" s="47">
        <f>VLOOKUP(B557,'Formula counts'!$D$9:$K$234,8,FALSE)</f>
        <v>23</v>
      </c>
      <c r="H557" s="4">
        <f>VLOOKUP(B557,'Formula counts'!$D$9:$M$234,10,FALSE)</f>
        <v>0.20909090909090908</v>
      </c>
      <c r="I557" s="47">
        <f>VLOOKUP($C557,'Final SEA Counts'!$A$2:$F$709,5,FALSE)</f>
        <v>103</v>
      </c>
      <c r="J557" s="47">
        <f>VLOOKUP($C557,'Final SEA Counts'!$A$2:$F$709,6,FALSE)</f>
        <v>92</v>
      </c>
      <c r="K557" s="24">
        <f t="shared" ref="K557:K565" si="1304">F557-(F557/F$572)*K$571</f>
        <v>102.27623066911652</v>
      </c>
      <c r="L557" s="24">
        <f t="shared" ref="L557:L565" si="1305">G557-(G557/G$572)*L$571</f>
        <v>21.200636838252443</v>
      </c>
      <c r="M557" s="4">
        <f t="shared" ref="M557:M570" si="1306">L557/K557</f>
        <v>0.20728801501143138</v>
      </c>
      <c r="N557" s="31">
        <f>IFERROR(VLOOKUP($B557,Allocation!$D$10:$O$235,8,FALSE),"")</f>
        <v>34502.114808960381</v>
      </c>
      <c r="O557" s="31">
        <f>IFERROR(VLOOKUP($B557,Allocation!$D$10:$O$235,9,FALSE),"")</f>
        <v>8760.6045897924414</v>
      </c>
      <c r="P557" s="31">
        <f>IFERROR(VLOOKUP($B557,Allocation!$D$10:$O$235,10,FALSE),"")</f>
        <v>22669.50258847047</v>
      </c>
      <c r="Q557" s="31">
        <f>IFERROR(VLOOKUP($B557,Allocation!$D$10:$O$235,11,FALSE),"")</f>
        <v>24972.265621564271</v>
      </c>
      <c r="R557" s="31">
        <f>IFERROR(VLOOKUP($B557,Allocation!$D$10:$O$235,12,FALSE),"")</f>
        <v>90904.487608787575</v>
      </c>
      <c r="S557" s="31">
        <f t="shared" ref="S557:S565" si="1307">IF(N557=0,"",N557-(N557/N$572)*S$571)</f>
        <v>31802.904618106979</v>
      </c>
      <c r="T557" s="31">
        <f t="shared" ref="T557:T565" si="1308">IF(O557=0,"",O557-(O557/O$572)*T$571)</f>
        <v>8075.2346257268282</v>
      </c>
      <c r="U557" s="31">
        <f t="shared" ref="U557:U565" si="1309">IF(P557=0,"",P557-(P557/P$572)*U$571)</f>
        <v>20895.995290521136</v>
      </c>
      <c r="V557" s="31">
        <f t="shared" ref="V557:V565" si="1310">IF(Q557=0,"",Q557-(Q557/Q$572)*V$571)</f>
        <v>23018.605846572194</v>
      </c>
      <c r="W557" s="31">
        <f t="shared" ref="W557:W565" si="1311">IF(S557="0","",S557)</f>
        <v>31802.904618106979</v>
      </c>
      <c r="X557" s="31">
        <f t="shared" ref="X557:X565" si="1312">IF(T557="0","",T557)</f>
        <v>8075.2346257268282</v>
      </c>
      <c r="Y557" s="31">
        <f t="shared" ref="Y557:Y565" si="1313">IF(U557="0","",U557)</f>
        <v>20895.995290521136</v>
      </c>
      <c r="Z557" s="31">
        <f t="shared" ref="Z557:Z565" si="1314">IF(V557="0","",V557)</f>
        <v>23018.605846572194</v>
      </c>
      <c r="AA557" s="31">
        <f t="shared" ref="AA557:AA570" si="1315">IF(W557="","",W557+W$573)</f>
        <v>31802.904618106979</v>
      </c>
      <c r="AB557" s="31">
        <f t="shared" ref="AB557:AB570" si="1316">IF(X557="","",X557+X$573)</f>
        <v>8075.2346257268282</v>
      </c>
      <c r="AC557" s="31">
        <f t="shared" ref="AC557:AC570" si="1317">IF(Y557="","",Y557+Y$573)</f>
        <v>20895.995290521136</v>
      </c>
      <c r="AD557" s="31">
        <f t="shared" ref="AD557:AD570" si="1318">IF(Z557="","",Z557+Z$573)</f>
        <v>23018.605846572194</v>
      </c>
      <c r="AE557" s="31">
        <f t="shared" ref="AE557:AE569" si="1319">SUM(AA557:AD557)</f>
        <v>83792.740380927135</v>
      </c>
      <c r="AF557" s="31">
        <f>IFERROR(VLOOKUP(A557,'Allocations By Type'!$D$7:$F$491,3,FALSE),"")</f>
        <v>94403.8</v>
      </c>
      <c r="AG557" s="31" t="str">
        <f t="shared" ref="AG557:AG569" si="1320">IF(AE557&gt;AF557,AE557*0.04,"")</f>
        <v/>
      </c>
      <c r="AH557" s="31" t="str">
        <f t="shared" ref="AH557:AH569" si="1321">IF(AG557="","",IF((AE557-AF557)&gt;AG557,AG557,AE557-AF557))</f>
        <v/>
      </c>
      <c r="AI557" s="31">
        <f t="shared" ref="AI557:AI569" si="1322">IF(AH557="",AE557,AE557-AH557)</f>
        <v>83792.740380927135</v>
      </c>
      <c r="AJ557" s="31">
        <f>AI557/$AI$577*'State Admin 1004(b)'!$B$30*0.01</f>
        <v>797.41355413624615</v>
      </c>
      <c r="AK557" s="31">
        <f t="shared" ref="AK557:AK569" si="1323">AI557-AJ557</f>
        <v>82995.326826790886</v>
      </c>
      <c r="AL557" s="31">
        <f t="shared" ref="AL557:AL569" si="1324">AK557*0.01</f>
        <v>829.95326826790892</v>
      </c>
      <c r="AM557" s="31">
        <f t="shared" ref="AM557:AM569" si="1325">AK557-AL557</f>
        <v>82165.373558522973</v>
      </c>
      <c r="AP557" s="31"/>
      <c r="AQ557" s="4">
        <f t="shared" ref="AQ557:AQ569" si="1326">IFERROR(AM557/AF557,"")</f>
        <v>0.87036087062727319</v>
      </c>
      <c r="AR557" s="4">
        <f>VLOOKUP(B557,Allocation!$D$10:$P$235,13,FALSE)</f>
        <v>0.90000000000000024</v>
      </c>
      <c r="AS557" s="4">
        <f t="shared" ref="AS557:AS565" si="1327">IF(M557&gt;0.3,0.95,IF(M557&gt;0.15,0.9,0.85))</f>
        <v>0.9</v>
      </c>
      <c r="AT557" s="4" t="str">
        <f t="shared" ref="AT557:AT565" si="1328">IF(AQ557&lt;AS557,"Review","")</f>
        <v>Review</v>
      </c>
      <c r="AU557" s="31">
        <f t="shared" ref="AU557:AU565" si="1329">IF(AT557="Review",AM557*AS557/AQ557-AM557,"")</f>
        <v>2798.0464414770249</v>
      </c>
      <c r="AV557" s="31">
        <f t="shared" ref="AV557:AV565" si="1330">IF(AU557="","",AU557+AM557)</f>
        <v>84963.42</v>
      </c>
      <c r="AW557" s="31">
        <f t="shared" ref="AW557:AW569" si="1331">IF(AV557="",AM557-AM557/($AM$572-$AV$572+$AU$572)*$AU$572,AV557)</f>
        <v>84963.42</v>
      </c>
      <c r="AX557" s="4">
        <f t="shared" ref="AX557:AX569" si="1332">IFERROR(AW557/AF557,"")</f>
        <v>0.89999999999999991</v>
      </c>
      <c r="AY557" s="4" t="str">
        <f t="shared" ref="AY557:AY569" si="1333">IF(AX557&lt;AS557,"Manual Adjustment","")</f>
        <v/>
      </c>
      <c r="AZ557" s="174" t="str">
        <f>IFERROR(IF(VLOOKUP(A557,#REF!,11,FALSE)=0,"",VLOOKUP(A557,#REF!,11,FALSE)),"")</f>
        <v/>
      </c>
      <c r="BA557" s="31" t="str">
        <f t="shared" ref="BA557:BA569" si="1334">IF(AZ557&lt;0,AW557*AZ557/100,"")</f>
        <v/>
      </c>
      <c r="BB557" s="31">
        <f t="shared" ref="BB557:BB569" si="1335">IF(BA557&lt;0,AW557+BA557,AW557)</f>
        <v>84963.42</v>
      </c>
      <c r="BD557" s="31">
        <f>IFERROR(VLOOKUP(A557,'Title II Hold Harmless'!A$1:B$439,2, FALSE),"")</f>
        <v>11622</v>
      </c>
      <c r="BE557" s="31">
        <f t="shared" ref="BE557:BE569" si="1336">IFERROR($BD$582*(0.8*($L557/$L$579)+0.2*($K557/$K$579))+$BD557,$BD$582*(0.8*($L557/$L$579)+0.2*($K557/$K$579)))</f>
        <v>11981.842481760805</v>
      </c>
      <c r="BF557" s="31">
        <f t="shared" ref="BF557:BF569" si="1337">$BD$583*BE557</f>
        <v>11993.435629349855</v>
      </c>
      <c r="BG557" s="31" t="str">
        <f t="shared" ref="BG557:BG569" si="1338">IF(AZ557&lt;0,BF557*AZ557/100,"")</f>
        <v/>
      </c>
      <c r="BH557" s="31">
        <f t="shared" ref="BH557:BH569" si="1339">IF(BG557&lt;0,BF557+BG557,BF557)</f>
        <v>11993.435629349855</v>
      </c>
    </row>
    <row r="558" spans="1:60" x14ac:dyDescent="0.3">
      <c r="A558" s="1">
        <v>140417000</v>
      </c>
      <c r="B558">
        <f>VLOOKUP(C558,'NCES ID'!$A$2:$B$3136,2,FALSE)</f>
        <v>405220</v>
      </c>
      <c r="C558">
        <f>VLOOKUP(A558,'State ID'!$A$2:$B$713,2,FALSE)</f>
        <v>4503</v>
      </c>
      <c r="D558" s="147" t="s">
        <v>292</v>
      </c>
      <c r="E558" t="s">
        <v>38</v>
      </c>
      <c r="F558" s="47">
        <f>VLOOKUP(B558,'Formula counts'!$D$9:$L$234,9,FALSE)</f>
        <v>174</v>
      </c>
      <c r="G558" s="47">
        <f>VLOOKUP(B558,'Formula counts'!$D$9:$K$234,8,FALSE)</f>
        <v>55</v>
      </c>
      <c r="H558" s="4">
        <f>VLOOKUP(B558,'Formula counts'!$D$9:$M$234,10,FALSE)</f>
        <v>0.31609195402298851</v>
      </c>
      <c r="I558" s="47">
        <f>VLOOKUP($C558,'Final SEA Counts'!$A$2:$F$709,5,FALSE)</f>
        <v>166</v>
      </c>
      <c r="J558" s="47">
        <f>VLOOKUP($C558,'Final SEA Counts'!$A$2:$F$709,6,FALSE)</f>
        <v>143</v>
      </c>
      <c r="K558" s="24">
        <f t="shared" si="1304"/>
        <v>161.78240124023887</v>
      </c>
      <c r="L558" s="24">
        <f t="shared" si="1305"/>
        <v>50.697175047994968</v>
      </c>
      <c r="M558" s="4">
        <f t="shared" si="1306"/>
        <v>0.31336643948504739</v>
      </c>
      <c r="N558" s="31">
        <f>IFERROR(VLOOKUP($B558,Allocation!$D$10:$O$235,8,FALSE),"")</f>
        <v>36406.469306663901</v>
      </c>
      <c r="O558" s="31">
        <f>IFERROR(VLOOKUP($B558,Allocation!$D$10:$O$235,9,FALSE),"")</f>
        <v>9244.148768042076</v>
      </c>
      <c r="P558" s="31">
        <f>IFERROR(VLOOKUP($B558,Allocation!$D$10:$O$235,10,FALSE),"")</f>
        <v>16306.666924322128</v>
      </c>
      <c r="Q558" s="31">
        <f>IFERROR(VLOOKUP($B558,Allocation!$D$10:$O$235,11,FALSE),"")</f>
        <v>14857.805604779345</v>
      </c>
      <c r="R558" s="31">
        <f>IFERROR(VLOOKUP($B558,Allocation!$D$10:$O$235,12,FALSE),"")</f>
        <v>76815.090603807446</v>
      </c>
      <c r="S558" s="31">
        <f t="shared" si="1307"/>
        <v>33558.275405807195</v>
      </c>
      <c r="T558" s="31">
        <f t="shared" si="1308"/>
        <v>8520.9496047842931</v>
      </c>
      <c r="U558" s="31">
        <f t="shared" si="1309"/>
        <v>15030.944500212885</v>
      </c>
      <c r="V558" s="31">
        <f t="shared" si="1310"/>
        <v>13695.432210446896</v>
      </c>
      <c r="W558" s="31">
        <f t="shared" si="1311"/>
        <v>33558.275405807195</v>
      </c>
      <c r="X558" s="31">
        <f t="shared" si="1312"/>
        <v>8520.9496047842931</v>
      </c>
      <c r="Y558" s="31">
        <f t="shared" si="1313"/>
        <v>15030.944500212885</v>
      </c>
      <c r="Z558" s="31">
        <f t="shared" si="1314"/>
        <v>13695.432210446896</v>
      </c>
      <c r="AA558" s="31">
        <f t="shared" si="1315"/>
        <v>33558.275405807195</v>
      </c>
      <c r="AB558" s="31">
        <f t="shared" si="1316"/>
        <v>8520.9496047842931</v>
      </c>
      <c r="AC558" s="31">
        <f t="shared" si="1317"/>
        <v>15030.944500212885</v>
      </c>
      <c r="AD558" s="31">
        <f t="shared" si="1318"/>
        <v>13695.432210446896</v>
      </c>
      <c r="AE558" s="31">
        <f t="shared" si="1319"/>
        <v>70805.601721251267</v>
      </c>
      <c r="AF558" s="31">
        <f>IFERROR(VLOOKUP(A558,'Allocations By Type'!$D$7:$F$491,3,FALSE),"")</f>
        <v>75573.509999999995</v>
      </c>
      <c r="AG558" s="31" t="str">
        <f t="shared" si="1320"/>
        <v/>
      </c>
      <c r="AH558" s="31" t="str">
        <f t="shared" si="1321"/>
        <v/>
      </c>
      <c r="AI558" s="31">
        <f t="shared" si="1322"/>
        <v>70805.601721251267</v>
      </c>
      <c r="AJ558" s="31">
        <f>AI558/$AI$577*'State Admin 1004(b)'!$B$30*0.01</f>
        <v>673.8214583342376</v>
      </c>
      <c r="AK558" s="31">
        <f t="shared" si="1323"/>
        <v>70131.780262917033</v>
      </c>
      <c r="AL558" s="31">
        <f t="shared" si="1324"/>
        <v>701.31780262917039</v>
      </c>
      <c r="AM558" s="31">
        <f t="shared" si="1325"/>
        <v>69430.462460287861</v>
      </c>
      <c r="AP558" s="31"/>
      <c r="AQ558" s="4">
        <f t="shared" si="1326"/>
        <v>0.91871427515127813</v>
      </c>
      <c r="AR558" s="4">
        <f>VLOOKUP(B558,Allocation!$D$10:$P$235,13,FALSE)</f>
        <v>0.94999999999999984</v>
      </c>
      <c r="AS558" s="4">
        <f t="shared" si="1327"/>
        <v>0.95</v>
      </c>
      <c r="AT558" s="4" t="str">
        <f t="shared" si="1328"/>
        <v>Review</v>
      </c>
      <c r="AU558" s="31">
        <f t="shared" si="1329"/>
        <v>2364.3720397121215</v>
      </c>
      <c r="AV558" s="31">
        <f t="shared" si="1330"/>
        <v>71794.834499999983</v>
      </c>
      <c r="AW558" s="31">
        <f t="shared" si="1331"/>
        <v>71794.834499999983</v>
      </c>
      <c r="AX558" s="4">
        <f t="shared" si="1332"/>
        <v>0.94999999999999984</v>
      </c>
      <c r="AY558" s="4" t="str">
        <f t="shared" si="1333"/>
        <v/>
      </c>
      <c r="AZ558" s="174" t="str">
        <f>IFERROR(IF(VLOOKUP(A558,#REF!,11,FALSE)=0,"",VLOOKUP(A558,#REF!,11,FALSE)),"")</f>
        <v/>
      </c>
      <c r="BA558" s="31" t="str">
        <f t="shared" si="1334"/>
        <v/>
      </c>
      <c r="BB558" s="31">
        <f t="shared" si="1335"/>
        <v>71794.834499999983</v>
      </c>
      <c r="BD558" s="31">
        <f>IFERROR(VLOOKUP(A558,'Title II Hold Harmless'!A$1:B$439,2, FALSE),"")</f>
        <v>6510</v>
      </c>
      <c r="BE558" s="31">
        <f t="shared" si="1336"/>
        <v>7303.8625640736036</v>
      </c>
      <c r="BF558" s="31">
        <f t="shared" si="1337"/>
        <v>7310.9294869449677</v>
      </c>
      <c r="BG558" s="31" t="str">
        <f t="shared" si="1338"/>
        <v/>
      </c>
      <c r="BH558" s="31">
        <f t="shared" si="1339"/>
        <v>7310.9294869449677</v>
      </c>
    </row>
    <row r="559" spans="1:60" x14ac:dyDescent="0.3">
      <c r="A559" s="1">
        <v>140424000</v>
      </c>
      <c r="B559">
        <f>VLOOKUP(C559,'NCES ID'!$A$2:$B$3136,2,FALSE)</f>
        <v>409090</v>
      </c>
      <c r="C559">
        <f>VLOOKUP(A559,'State ID'!$A$2:$B$713,2,FALSE)</f>
        <v>4504</v>
      </c>
      <c r="D559" s="147" t="s">
        <v>434</v>
      </c>
      <c r="E559" t="s">
        <v>38</v>
      </c>
      <c r="F559" s="47">
        <f>VLOOKUP(B559,'Formula counts'!$D$9:$L$234,9,FALSE)</f>
        <v>353</v>
      </c>
      <c r="G559" s="47">
        <f>VLOOKUP(B559,'Formula counts'!$D$9:$K$234,8,FALSE)</f>
        <v>106</v>
      </c>
      <c r="H559" s="4">
        <f>VLOOKUP(B559,'Formula counts'!$D$9:$M$234,10,FALSE)</f>
        <v>0.3002832861189802</v>
      </c>
      <c r="I559" s="47">
        <f>VLOOKUP($C559,'Final SEA Counts'!$A$2:$F$709,5,FALSE)</f>
        <v>230</v>
      </c>
      <c r="J559" s="47">
        <f>VLOOKUP($C559,'Final SEA Counts'!$A$2:$F$709,6,FALSE)</f>
        <v>198</v>
      </c>
      <c r="K559" s="24">
        <f t="shared" si="1304"/>
        <v>328.21372205634668</v>
      </c>
      <c r="L559" s="24">
        <f t="shared" si="1305"/>
        <v>97.707282819772118</v>
      </c>
      <c r="M559" s="4">
        <f t="shared" si="1306"/>
        <v>0.29769408240341044</v>
      </c>
      <c r="N559" s="31">
        <f>IFERROR(VLOOKUP($B559,Allocation!$D$10:$O$235,8,FALSE),"")</f>
        <v>51835.995953486861</v>
      </c>
      <c r="O559" s="31">
        <f>IFERROR(VLOOKUP($B559,Allocation!$D$10:$O$235,9,FALSE),"")</f>
        <v>13161.93707490196</v>
      </c>
      <c r="P559" s="31">
        <f>IFERROR(VLOOKUP($B559,Allocation!$D$10:$O$235,10,FALSE),"")</f>
        <v>23439.452730686357</v>
      </c>
      <c r="Q559" s="31">
        <f>IFERROR(VLOOKUP($B559,Allocation!$D$10:$O$235,11,FALSE),"")</f>
        <v>21197.574151137997</v>
      </c>
      <c r="R559" s="31">
        <f>IFERROR(VLOOKUP($B559,Allocation!$D$10:$O$235,12,FALSE),"")</f>
        <v>109634.95991021316</v>
      </c>
      <c r="S559" s="31">
        <f t="shared" si="1307"/>
        <v>47780.70110256513</v>
      </c>
      <c r="T559" s="31">
        <f t="shared" si="1308"/>
        <v>12132.236870127264</v>
      </c>
      <c r="U559" s="31">
        <f t="shared" si="1309"/>
        <v>21605.709783941998</v>
      </c>
      <c r="V559" s="31">
        <f t="shared" si="1310"/>
        <v>19539.22049696539</v>
      </c>
      <c r="W559" s="31">
        <f t="shared" si="1311"/>
        <v>47780.70110256513</v>
      </c>
      <c r="X559" s="31">
        <f t="shared" si="1312"/>
        <v>12132.236870127264</v>
      </c>
      <c r="Y559" s="31">
        <f t="shared" si="1313"/>
        <v>21605.709783941998</v>
      </c>
      <c r="Z559" s="31">
        <f t="shared" si="1314"/>
        <v>19539.22049696539</v>
      </c>
      <c r="AA559" s="31">
        <f t="shared" si="1315"/>
        <v>47780.70110256513</v>
      </c>
      <c r="AB559" s="31">
        <f t="shared" si="1316"/>
        <v>12132.236870127264</v>
      </c>
      <c r="AC559" s="31">
        <f t="shared" si="1317"/>
        <v>21605.709783941998</v>
      </c>
      <c r="AD559" s="31">
        <f t="shared" si="1318"/>
        <v>19539.22049696539</v>
      </c>
      <c r="AE559" s="31">
        <f t="shared" si="1319"/>
        <v>101057.86825359979</v>
      </c>
      <c r="AF559" s="31">
        <f>IFERROR(VLOOKUP(A559,'Allocations By Type'!$D$7:$F$491,3,FALSE),"")</f>
        <v>107673.59</v>
      </c>
      <c r="AG559" s="31" t="str">
        <f t="shared" si="1320"/>
        <v/>
      </c>
      <c r="AH559" s="31" t="str">
        <f t="shared" si="1321"/>
        <v/>
      </c>
      <c r="AI559" s="31">
        <f t="shared" si="1322"/>
        <v>101057.86825359979</v>
      </c>
      <c r="AJ559" s="31">
        <f>AI559/$AI$577*'State Admin 1004(b)'!$B$30*0.01</f>
        <v>961.71713123584914</v>
      </c>
      <c r="AK559" s="31">
        <f t="shared" si="1323"/>
        <v>100096.15112236394</v>
      </c>
      <c r="AL559" s="31">
        <f t="shared" si="1324"/>
        <v>1000.9615112236394</v>
      </c>
      <c r="AM559" s="31">
        <f t="shared" si="1325"/>
        <v>99095.189611140304</v>
      </c>
      <c r="AP559" s="31"/>
      <c r="AQ559" s="4">
        <f t="shared" si="1326"/>
        <v>0.92032957767211354</v>
      </c>
      <c r="AR559" s="4">
        <f>VLOOKUP(B559,Allocation!$D$10:$P$235,13,FALSE)</f>
        <v>0.95167030777368533</v>
      </c>
      <c r="AS559" s="4">
        <f t="shared" si="1327"/>
        <v>0.9</v>
      </c>
      <c r="AT559" s="4" t="str">
        <f t="shared" si="1328"/>
        <v/>
      </c>
      <c r="AU559" s="31" t="str">
        <f t="shared" si="1329"/>
        <v/>
      </c>
      <c r="AV559" s="31" t="str">
        <f t="shared" si="1330"/>
        <v/>
      </c>
      <c r="AW559" s="31">
        <f t="shared" si="1331"/>
        <v>98052.932905386726</v>
      </c>
      <c r="AX559" s="4">
        <f t="shared" si="1332"/>
        <v>0.91064979727514173</v>
      </c>
      <c r="AY559" s="4" t="str">
        <f t="shared" si="1333"/>
        <v/>
      </c>
      <c r="AZ559" s="174" t="str">
        <f>IFERROR(IF(VLOOKUP(A559,#REF!,11,FALSE)=0,"",VLOOKUP(A559,#REF!,11,FALSE)),"")</f>
        <v/>
      </c>
      <c r="BA559" s="31" t="str">
        <f t="shared" si="1334"/>
        <v/>
      </c>
      <c r="BB559" s="31">
        <f t="shared" si="1335"/>
        <v>98052.932905386726</v>
      </c>
      <c r="BD559" s="31">
        <f>IFERROR(VLOOKUP(A559,'Title II Hold Harmless'!A$1:B$439,2, FALSE),"")</f>
        <v>16068</v>
      </c>
      <c r="BE559" s="31">
        <f t="shared" si="1336"/>
        <v>17611.200385339049</v>
      </c>
      <c r="BF559" s="31">
        <f t="shared" si="1337"/>
        <v>17628.24027261835</v>
      </c>
      <c r="BG559" s="31" t="str">
        <f t="shared" si="1338"/>
        <v/>
      </c>
      <c r="BH559" s="31">
        <f t="shared" si="1339"/>
        <v>17628.24027261835</v>
      </c>
    </row>
    <row r="560" spans="1:60" x14ac:dyDescent="0.3">
      <c r="A560" s="1">
        <v>140550000</v>
      </c>
      <c r="B560">
        <f>VLOOKUP(C560,'NCES ID'!$A$2:$B$3136,2,FALSE)</f>
        <v>400720</v>
      </c>
      <c r="C560">
        <f>VLOOKUP(A560,'State ID'!$A$2:$B$713,2,FALSE)</f>
        <v>4506</v>
      </c>
      <c r="D560" s="147" t="s">
        <v>37</v>
      </c>
      <c r="E560" t="s">
        <v>38</v>
      </c>
      <c r="F560" s="47">
        <f>VLOOKUP(B560,'Formula counts'!$D$9:$L$234,9,FALSE)</f>
        <v>354</v>
      </c>
      <c r="G560" s="47">
        <f>VLOOKUP(B560,'Formula counts'!$D$9:$K$234,8,FALSE)</f>
        <v>95</v>
      </c>
      <c r="H560" s="4">
        <f>VLOOKUP(B560,'Formula counts'!$D$9:$M$234,10,FALSE)</f>
        <v>0.26836158192090398</v>
      </c>
      <c r="I560" s="47">
        <f>VLOOKUP($C560,'Final SEA Counts'!$A$2:$F$709,5,FALSE)</f>
        <v>147</v>
      </c>
      <c r="J560" s="47">
        <f>VLOOKUP($C560,'Final SEA Counts'!$A$2:$F$709,6,FALSE)</f>
        <v>125</v>
      </c>
      <c r="K560" s="24">
        <f t="shared" si="1304"/>
        <v>329.14350597152043</v>
      </c>
      <c r="L560" s="24">
        <f t="shared" si="1305"/>
        <v>87.567847810173134</v>
      </c>
      <c r="M560" s="4">
        <f t="shared" si="1306"/>
        <v>0.26604762427775214</v>
      </c>
      <c r="N560" s="31">
        <f>IFERROR(VLOOKUP($B560,Allocation!$D$10:$O$235,8,FALSE),"")</f>
        <v>44815.109533380382</v>
      </c>
      <c r="O560" s="31">
        <f>IFERROR(VLOOKUP($B560,Allocation!$D$10:$O$235,9,FALSE),"")</f>
        <v>10627.943133171131</v>
      </c>
      <c r="P560" s="31">
        <f>IFERROR(VLOOKUP($B560,Allocation!$D$10:$O$235,10,FALSE),"")</f>
        <v>19497.874546197429</v>
      </c>
      <c r="Q560" s="31">
        <f>IFERROR(VLOOKUP($B560,Allocation!$D$10:$O$235,11,FALSE),"")</f>
        <v>15398.479033047128</v>
      </c>
      <c r="R560" s="31">
        <f>IFERROR(VLOOKUP($B560,Allocation!$D$10:$O$235,12,FALSE),"")</f>
        <v>90339.406245796068</v>
      </c>
      <c r="S560" s="31">
        <f t="shared" si="1307"/>
        <v>41309.080960160973</v>
      </c>
      <c r="T560" s="31">
        <f t="shared" si="1308"/>
        <v>9796.4853349547811</v>
      </c>
      <c r="U560" s="31">
        <f t="shared" si="1309"/>
        <v>17972.493798771211</v>
      </c>
      <c r="V560" s="31">
        <f t="shared" si="1310"/>
        <v>14193.807036568556</v>
      </c>
      <c r="W560" s="31">
        <f t="shared" si="1311"/>
        <v>41309.080960160973</v>
      </c>
      <c r="X560" s="31">
        <f t="shared" si="1312"/>
        <v>9796.4853349547811</v>
      </c>
      <c r="Y560" s="31">
        <f t="shared" si="1313"/>
        <v>17972.493798771211</v>
      </c>
      <c r="Z560" s="31">
        <f t="shared" si="1314"/>
        <v>14193.807036568556</v>
      </c>
      <c r="AA560" s="31">
        <f t="shared" si="1315"/>
        <v>41309.080960160973</v>
      </c>
      <c r="AB560" s="31">
        <f t="shared" si="1316"/>
        <v>9796.4853349547811</v>
      </c>
      <c r="AC560" s="31">
        <f t="shared" si="1317"/>
        <v>17972.493798771211</v>
      </c>
      <c r="AD560" s="31">
        <f t="shared" si="1318"/>
        <v>14193.807036568556</v>
      </c>
      <c r="AE560" s="31">
        <f t="shared" si="1319"/>
        <v>83271.867130455532</v>
      </c>
      <c r="AF560" s="31">
        <f>IFERROR(VLOOKUP(A560,'Allocations By Type'!$D$7:$F$491,3,FALSE),"")</f>
        <v>83312.92</v>
      </c>
      <c r="AG560" s="31" t="str">
        <f t="shared" si="1320"/>
        <v/>
      </c>
      <c r="AH560" s="31" t="str">
        <f t="shared" si="1321"/>
        <v/>
      </c>
      <c r="AI560" s="31">
        <f t="shared" si="1322"/>
        <v>83271.867130455532</v>
      </c>
      <c r="AJ560" s="31">
        <f>AI560/$AI$577*'State Admin 1004(b)'!$B$30*0.01</f>
        <v>792.45666421923363</v>
      </c>
      <c r="AK560" s="31">
        <f t="shared" si="1323"/>
        <v>82479.410466236295</v>
      </c>
      <c r="AL560" s="31">
        <f t="shared" si="1324"/>
        <v>824.794104662363</v>
      </c>
      <c r="AM560" s="31">
        <f t="shared" si="1325"/>
        <v>81654.616361573935</v>
      </c>
      <c r="AP560" s="31"/>
      <c r="AQ560" s="4">
        <f t="shared" si="1326"/>
        <v>0.98009548052779738</v>
      </c>
      <c r="AR560" s="4">
        <f>VLOOKUP(B560,Allocation!$D$10:$P$235,13,FALSE)</f>
        <v>1.0134931565005141</v>
      </c>
      <c r="AS560" s="4">
        <f t="shared" si="1327"/>
        <v>0.9</v>
      </c>
      <c r="AT560" s="4" t="str">
        <f t="shared" si="1328"/>
        <v/>
      </c>
      <c r="AU560" s="31" t="str">
        <f t="shared" si="1329"/>
        <v/>
      </c>
      <c r="AV560" s="31" t="str">
        <f t="shared" si="1330"/>
        <v/>
      </c>
      <c r="AW560" s="31">
        <f t="shared" si="1331"/>
        <v>80795.794941558008</v>
      </c>
      <c r="AX560" s="4">
        <f t="shared" si="1332"/>
        <v>0.96978709834630705</v>
      </c>
      <c r="AY560" s="4" t="str">
        <f t="shared" si="1333"/>
        <v/>
      </c>
      <c r="AZ560" s="174" t="str">
        <f>IFERROR(IF(VLOOKUP(A560,#REF!,11,FALSE)=0,"",VLOOKUP(A560,#REF!,11,FALSE)),"")</f>
        <v/>
      </c>
      <c r="BA560" s="31" t="str">
        <f t="shared" si="1334"/>
        <v/>
      </c>
      <c r="BB560" s="31">
        <f t="shared" si="1335"/>
        <v>80795.794941558008</v>
      </c>
      <c r="BD560" s="31">
        <f>IFERROR(VLOOKUP(A560,'Title II Hold Harmless'!A$1:B$439,2, FALSE),"")</f>
        <v>13651</v>
      </c>
      <c r="BE560" s="31">
        <f t="shared" si="1336"/>
        <v>15062.216647587229</v>
      </c>
      <c r="BF560" s="31">
        <f t="shared" si="1337"/>
        <v>15076.790240995717</v>
      </c>
      <c r="BG560" s="31" t="str">
        <f t="shared" si="1338"/>
        <v/>
      </c>
      <c r="BH560" s="31">
        <f t="shared" si="1339"/>
        <v>15076.790240995717</v>
      </c>
    </row>
    <row r="561" spans="1:60" x14ac:dyDescent="0.3">
      <c r="A561" s="1">
        <v>140411000</v>
      </c>
      <c r="B561">
        <f>VLOOKUP(C561,'NCES ID'!$A$2:$B$3136,2,FALSE)</f>
        <v>407890</v>
      </c>
      <c r="C561">
        <f>VLOOKUP(A561,'State ID'!$A$2:$B$713,2,FALSE)</f>
        <v>4500</v>
      </c>
      <c r="D561" s="147" t="s">
        <v>390</v>
      </c>
      <c r="E561" t="s">
        <v>38</v>
      </c>
      <c r="F561" s="47">
        <f>VLOOKUP(B561,'Formula counts'!$D$9:$L$234,9,FALSE)</f>
        <v>3203</v>
      </c>
      <c r="G561" s="47">
        <f>VLOOKUP(B561,'Formula counts'!$D$9:$K$234,8,FALSE)</f>
        <v>1149</v>
      </c>
      <c r="H561" s="4">
        <f>VLOOKUP(B561,'Formula counts'!$D$9:$M$234,10,FALSE)</f>
        <v>0.3587261941929441</v>
      </c>
      <c r="I561" s="47">
        <f>VLOOKUP($C561,'Final SEA Counts'!$A$2:$F$709,5,FALSE)</f>
        <v>2907</v>
      </c>
      <c r="J561" s="47">
        <f>VLOOKUP($C561,'Final SEA Counts'!$A$2:$F$709,6,FALSE)</f>
        <v>2508</v>
      </c>
      <c r="K561" s="24">
        <f t="shared" si="1304"/>
        <v>2978.0978803016383</v>
      </c>
      <c r="L561" s="24">
        <f t="shared" si="1305"/>
        <v>1059.1100750935677</v>
      </c>
      <c r="M561" s="4">
        <f t="shared" si="1306"/>
        <v>0.35563306434585529</v>
      </c>
      <c r="N561" s="31">
        <f>IFERROR(VLOOKUP($B561,Allocation!$D$10:$O$235,8,FALSE),"")</f>
        <v>542026.95635635871</v>
      </c>
      <c r="O561" s="31">
        <f>IFERROR(VLOOKUP($B561,Allocation!$D$10:$O$235,9,FALSE),"")</f>
        <v>128542.17536856452</v>
      </c>
      <c r="P561" s="31">
        <f>IFERROR(VLOOKUP($B561,Allocation!$D$10:$O$235,10,FALSE),"")</f>
        <v>298544.15055462101</v>
      </c>
      <c r="Q561" s="31">
        <f>IFERROR(VLOOKUP($B561,Allocation!$D$10:$O$235,11,FALSE),"")</f>
        <v>297498.78979873087</v>
      </c>
      <c r="R561" s="31">
        <f>IFERROR(VLOOKUP($B561,Allocation!$D$10:$O$235,12,FALSE),"")</f>
        <v>1266612.072078275</v>
      </c>
      <c r="S561" s="31">
        <f t="shared" si="1307"/>
        <v>499622.46340236813</v>
      </c>
      <c r="T561" s="31">
        <f t="shared" si="1308"/>
        <v>118485.91210382151</v>
      </c>
      <c r="U561" s="31">
        <f t="shared" si="1309"/>
        <v>275188.09200404701</v>
      </c>
      <c r="V561" s="31">
        <f t="shared" si="1310"/>
        <v>274224.51314532582</v>
      </c>
      <c r="W561" s="31">
        <f t="shared" si="1311"/>
        <v>499622.46340236813</v>
      </c>
      <c r="X561" s="31">
        <f t="shared" si="1312"/>
        <v>118485.91210382151</v>
      </c>
      <c r="Y561" s="31">
        <f t="shared" si="1313"/>
        <v>275188.09200404701</v>
      </c>
      <c r="Z561" s="31">
        <f t="shared" si="1314"/>
        <v>274224.51314532582</v>
      </c>
      <c r="AA561" s="31">
        <f t="shared" si="1315"/>
        <v>499622.46340236813</v>
      </c>
      <c r="AB561" s="31">
        <f t="shared" si="1316"/>
        <v>118485.91210382151</v>
      </c>
      <c r="AC561" s="31">
        <f t="shared" si="1317"/>
        <v>275188.09200404701</v>
      </c>
      <c r="AD561" s="31">
        <f t="shared" si="1318"/>
        <v>274224.51314532582</v>
      </c>
      <c r="AE561" s="31">
        <f t="shared" si="1319"/>
        <v>1167520.9806555626</v>
      </c>
      <c r="AF561" s="31">
        <f>IFERROR(VLOOKUP(A561,'Allocations By Type'!$D$7:$F$491,3,FALSE),"")</f>
        <v>1181145.42</v>
      </c>
      <c r="AG561" s="31" t="str">
        <f t="shared" si="1320"/>
        <v/>
      </c>
      <c r="AH561" s="31" t="str">
        <f t="shared" si="1321"/>
        <v/>
      </c>
      <c r="AI561" s="31">
        <f t="shared" si="1322"/>
        <v>1167520.9806555626</v>
      </c>
      <c r="AJ561" s="31">
        <f>AI561/$AI$577*'State Admin 1004(b)'!$B$30*0.01</f>
        <v>11110.71258059846</v>
      </c>
      <c r="AK561" s="31">
        <f t="shared" si="1323"/>
        <v>1156410.2680749642</v>
      </c>
      <c r="AL561" s="31">
        <f t="shared" si="1324"/>
        <v>11564.102680749642</v>
      </c>
      <c r="AM561" s="31">
        <f t="shared" si="1325"/>
        <v>1144846.1653942144</v>
      </c>
      <c r="AP561" s="31"/>
      <c r="AQ561" s="4">
        <f t="shared" si="1326"/>
        <v>0.96926775146299471</v>
      </c>
      <c r="AR561" s="4">
        <f>VLOOKUP(B561,Allocation!$D$10:$P$235,13,FALSE)</f>
        <v>0.98173618282839403</v>
      </c>
      <c r="AS561" s="4">
        <f t="shared" si="1327"/>
        <v>0.95</v>
      </c>
      <c r="AT561" s="4" t="str">
        <f t="shared" si="1328"/>
        <v/>
      </c>
      <c r="AU561" s="31" t="str">
        <f t="shared" si="1329"/>
        <v/>
      </c>
      <c r="AV561" s="31" t="str">
        <f t="shared" si="1330"/>
        <v/>
      </c>
      <c r="AW561" s="31">
        <f t="shared" si="1331"/>
        <v>1132804.9795645014</v>
      </c>
      <c r="AX561" s="4">
        <f t="shared" si="1332"/>
        <v>0.9590732524404163</v>
      </c>
      <c r="AY561" s="4" t="str">
        <f t="shared" si="1333"/>
        <v/>
      </c>
      <c r="AZ561" s="174" t="str">
        <f>IFERROR(IF(VLOOKUP(A561,#REF!,11,FALSE)=0,"",VLOOKUP(A561,#REF!,11,FALSE)),"")</f>
        <v/>
      </c>
      <c r="BA561" s="31" t="str">
        <f t="shared" si="1334"/>
        <v/>
      </c>
      <c r="BB561" s="31">
        <f t="shared" si="1335"/>
        <v>1132804.9795645014</v>
      </c>
      <c r="BD561" s="31">
        <f>IFERROR(VLOOKUP(A561,'Title II Hold Harmless'!A$1:B$439,2, FALSE),"")</f>
        <v>121809</v>
      </c>
      <c r="BE561" s="31">
        <f t="shared" si="1336"/>
        <v>138070.23585517867</v>
      </c>
      <c r="BF561" s="31">
        <f t="shared" si="1337"/>
        <v>138203.82704738143</v>
      </c>
      <c r="BG561" s="31" t="str">
        <f t="shared" si="1338"/>
        <v/>
      </c>
      <c r="BH561" s="31">
        <f t="shared" si="1339"/>
        <v>138203.82704738143</v>
      </c>
    </row>
    <row r="562" spans="1:60" x14ac:dyDescent="0.3">
      <c r="A562" s="1">
        <v>140432000</v>
      </c>
      <c r="B562">
        <f>VLOOKUP(C562,'NCES ID'!$A$2:$B$3136,2,FALSE)</f>
        <v>403240</v>
      </c>
      <c r="C562">
        <f>VLOOKUP(A562,'State ID'!$A$2:$B$713,2,FALSE)</f>
        <v>4505</v>
      </c>
      <c r="D562" s="147" t="s">
        <v>176</v>
      </c>
      <c r="E562" t="s">
        <v>38</v>
      </c>
      <c r="F562" s="47">
        <f>VLOOKUP(B562,'Formula counts'!$D$9:$L$234,9,FALSE)</f>
        <v>4355</v>
      </c>
      <c r="G562" s="47">
        <f>VLOOKUP(B562,'Formula counts'!$D$9:$K$234,8,FALSE)</f>
        <v>1774</v>
      </c>
      <c r="H562" s="4">
        <f>VLOOKUP(B562,'Formula counts'!$D$9:$M$234,10,FALSE)</f>
        <v>0.40734787600459244</v>
      </c>
      <c r="I562" s="47">
        <f>VLOOKUP($C562,'Final SEA Counts'!$A$2:$F$709,5,FALSE)</f>
        <v>5491</v>
      </c>
      <c r="J562" s="47">
        <f>VLOOKUP($C562,'Final SEA Counts'!$A$2:$F$709,6,FALSE)</f>
        <v>5104</v>
      </c>
      <c r="K562" s="24">
        <f t="shared" si="1304"/>
        <v>4049.2089505818403</v>
      </c>
      <c r="L562" s="24">
        <f t="shared" si="1305"/>
        <v>1635.2143370026013</v>
      </c>
      <c r="M562" s="4">
        <f t="shared" si="1306"/>
        <v>0.40383550391185258</v>
      </c>
      <c r="N562" s="31">
        <f>IFERROR(VLOOKUP($B562,Allocation!$D$10:$O$235,8,FALSE),"")</f>
        <v>836863.2032864932</v>
      </c>
      <c r="O562" s="31">
        <f>IFERROR(VLOOKUP($B562,Allocation!$D$10:$O$235,9,FALSE),"")</f>
        <v>198462.85387626934</v>
      </c>
      <c r="P562" s="31">
        <f>IFERROR(VLOOKUP($B562,Allocation!$D$10:$O$235,10,FALSE),"")</f>
        <v>515113.15975048009</v>
      </c>
      <c r="Q562" s="31">
        <f>IFERROR(VLOOKUP($B562,Allocation!$D$10:$O$235,11,FALSE),"")</f>
        <v>524442.05472399737</v>
      </c>
      <c r="R562" s="31">
        <f>IFERROR(VLOOKUP($B562,Allocation!$D$10:$O$235,12,FALSE),"")</f>
        <v>2074881.27163724</v>
      </c>
      <c r="S562" s="31">
        <f t="shared" si="1307"/>
        <v>771392.73287711176</v>
      </c>
      <c r="T562" s="31">
        <f t="shared" si="1308"/>
        <v>182936.47351799769</v>
      </c>
      <c r="U562" s="31">
        <f t="shared" si="1309"/>
        <v>474814.2187162888</v>
      </c>
      <c r="V562" s="31">
        <f t="shared" si="1310"/>
        <v>483413.28456132091</v>
      </c>
      <c r="W562" s="31">
        <f t="shared" si="1311"/>
        <v>771392.73287711176</v>
      </c>
      <c r="X562" s="31">
        <f t="shared" si="1312"/>
        <v>182936.47351799769</v>
      </c>
      <c r="Y562" s="31">
        <f t="shared" si="1313"/>
        <v>474814.2187162888</v>
      </c>
      <c r="Z562" s="31">
        <f t="shared" si="1314"/>
        <v>483413.28456132091</v>
      </c>
      <c r="AA562" s="31">
        <f t="shared" si="1315"/>
        <v>771392.73287711176</v>
      </c>
      <c r="AB562" s="31">
        <f t="shared" si="1316"/>
        <v>182936.47351799769</v>
      </c>
      <c r="AC562" s="31">
        <f t="shared" si="1317"/>
        <v>474814.2187162888</v>
      </c>
      <c r="AD562" s="31">
        <f t="shared" si="1318"/>
        <v>483413.28456132091</v>
      </c>
      <c r="AE562" s="31">
        <f t="shared" si="1319"/>
        <v>1912556.709672719</v>
      </c>
      <c r="AF562" s="31">
        <f>IFERROR(VLOOKUP(A562,'Allocations By Type'!$D$7:$F$491,3,FALSE),"")</f>
        <v>1892425.91</v>
      </c>
      <c r="AG562" s="31">
        <f t="shared" si="1320"/>
        <v>76502.268386908763</v>
      </c>
      <c r="AH562" s="31">
        <f t="shared" si="1321"/>
        <v>20130.799672719091</v>
      </c>
      <c r="AI562" s="31">
        <f t="shared" si="1322"/>
        <v>1892425.91</v>
      </c>
      <c r="AJ562" s="31">
        <f>AI562/$AI$577*'State Admin 1004(b)'!$B$30*0.01</f>
        <v>18009.269824240146</v>
      </c>
      <c r="AK562" s="31">
        <f t="shared" si="1323"/>
        <v>1874416.6401757598</v>
      </c>
      <c r="AL562" s="31">
        <f t="shared" si="1324"/>
        <v>18744.166401757597</v>
      </c>
      <c r="AM562" s="31">
        <f t="shared" si="1325"/>
        <v>1855672.4737740022</v>
      </c>
      <c r="AP562" s="31"/>
      <c r="AQ562" s="4">
        <f t="shared" si="1326"/>
        <v>0.98057866570533392</v>
      </c>
      <c r="AR562" s="4">
        <f>VLOOKUP(B562,Allocation!$D$10:$P$235,13,FALSE)</f>
        <v>1.0174633224361054</v>
      </c>
      <c r="AS562" s="4">
        <f t="shared" si="1327"/>
        <v>0.95</v>
      </c>
      <c r="AT562" s="4" t="str">
        <f t="shared" si="1328"/>
        <v/>
      </c>
      <c r="AU562" s="31" t="str">
        <f t="shared" si="1329"/>
        <v/>
      </c>
      <c r="AV562" s="31" t="str">
        <f t="shared" si="1330"/>
        <v/>
      </c>
      <c r="AW562" s="31">
        <f t="shared" si="1331"/>
        <v>1836155.0069114547</v>
      </c>
      <c r="AX562" s="4">
        <f t="shared" si="1332"/>
        <v>0.97026520151135254</v>
      </c>
      <c r="AY562" s="4" t="str">
        <f t="shared" si="1333"/>
        <v/>
      </c>
      <c r="AZ562" s="174" t="str">
        <f>IFERROR(IF(VLOOKUP(A562,#REF!,11,FALSE)=0,"",VLOOKUP(A562,#REF!,11,FALSE)),"")</f>
        <v/>
      </c>
      <c r="BA562" s="31" t="str">
        <f t="shared" si="1334"/>
        <v/>
      </c>
      <c r="BB562" s="31">
        <f t="shared" si="1335"/>
        <v>1836155.0069114547</v>
      </c>
      <c r="BD562" s="31">
        <f>IFERROR(VLOOKUP(A562,'Title II Hold Harmless'!A$1:B$439,2, FALSE),"")</f>
        <v>206125</v>
      </c>
      <c r="BE562" s="31">
        <f t="shared" si="1336"/>
        <v>230789.85818684031</v>
      </c>
      <c r="BF562" s="31">
        <f t="shared" si="1337"/>
        <v>231013.16114647183</v>
      </c>
      <c r="BG562" s="31" t="str">
        <f t="shared" si="1338"/>
        <v/>
      </c>
      <c r="BH562" s="31">
        <f t="shared" si="1339"/>
        <v>231013.16114647183</v>
      </c>
    </row>
    <row r="563" spans="1:60" x14ac:dyDescent="0.3">
      <c r="A563" s="1">
        <v>140413000</v>
      </c>
      <c r="B563">
        <f>VLOOKUP(C563,'NCES ID'!$A$2:$B$3136,2,FALSE)</f>
        <v>402400</v>
      </c>
      <c r="C563">
        <f>VLOOKUP(A563,'State ID'!$A$2:$B$713,2,FALSE)</f>
        <v>4501</v>
      </c>
      <c r="D563" s="147" t="s">
        <v>121</v>
      </c>
      <c r="E563" t="s">
        <v>38</v>
      </c>
      <c r="F563" s="47">
        <f>VLOOKUP(B563,'Formula counts'!$D$9:$L$234,9,FALSE)</f>
        <v>6588</v>
      </c>
      <c r="G563" s="47">
        <f>VLOOKUP(B563,'Formula counts'!$D$9:$K$234,8,FALSE)</f>
        <v>1936</v>
      </c>
      <c r="H563" s="4">
        <f>VLOOKUP(B563,'Formula counts'!$D$9:$M$234,10,FALSE)</f>
        <v>0.29386763812993322</v>
      </c>
      <c r="I563" s="47">
        <f>VLOOKUP($C563,'Final SEA Counts'!$A$2:$F$709,5,FALSE)</f>
        <v>6526</v>
      </c>
      <c r="J563" s="47">
        <f>VLOOKUP($C563,'Final SEA Counts'!$A$2:$F$709,6,FALSE)</f>
        <v>4383</v>
      </c>
      <c r="K563" s="24">
        <f t="shared" si="1304"/>
        <v>6125.4164331649063</v>
      </c>
      <c r="L563" s="24">
        <f t="shared" si="1305"/>
        <v>1784.5405616894229</v>
      </c>
      <c r="M563" s="4">
        <f t="shared" si="1306"/>
        <v>0.29133375357589836</v>
      </c>
      <c r="N563" s="31">
        <f>IFERROR(VLOOKUP($B563,Allocation!$D$10:$O$235,8,FALSE),"")</f>
        <v>913284.75849078421</v>
      </c>
      <c r="O563" s="31">
        <f>IFERROR(VLOOKUP($B563,Allocation!$D$10:$O$235,9,FALSE),"")</f>
        <v>216586.29374546639</v>
      </c>
      <c r="P563" s="31">
        <f>IFERROR(VLOOKUP($B563,Allocation!$D$10:$O$235,10,FALSE),"")</f>
        <v>422456.93017333001</v>
      </c>
      <c r="Q563" s="31">
        <f>IFERROR(VLOOKUP($B563,Allocation!$D$10:$O$235,11,FALSE),"")</f>
        <v>342006.37203797005</v>
      </c>
      <c r="R563" s="31">
        <f>IFERROR(VLOOKUP($B563,Allocation!$D$10:$O$235,12,FALSE),"")</f>
        <v>1894334.3544475506</v>
      </c>
      <c r="S563" s="31">
        <f t="shared" si="1307"/>
        <v>841835.58672496537</v>
      </c>
      <c r="T563" s="31">
        <f t="shared" si="1308"/>
        <v>199642.05903655215</v>
      </c>
      <c r="U563" s="31">
        <f t="shared" si="1309"/>
        <v>389406.78071337997</v>
      </c>
      <c r="V563" s="31">
        <f t="shared" si="1310"/>
        <v>315250.12564979383</v>
      </c>
      <c r="W563" s="31">
        <f t="shared" si="1311"/>
        <v>841835.58672496537</v>
      </c>
      <c r="X563" s="31">
        <f t="shared" si="1312"/>
        <v>199642.05903655215</v>
      </c>
      <c r="Y563" s="31">
        <f t="shared" si="1313"/>
        <v>389406.78071337997</v>
      </c>
      <c r="Z563" s="31">
        <f t="shared" si="1314"/>
        <v>315250.12564979383</v>
      </c>
      <c r="AA563" s="31">
        <f t="shared" si="1315"/>
        <v>841835.58672496537</v>
      </c>
      <c r="AB563" s="31">
        <f t="shared" si="1316"/>
        <v>199642.05903655215</v>
      </c>
      <c r="AC563" s="31">
        <f t="shared" si="1317"/>
        <v>389406.78071337997</v>
      </c>
      <c r="AD563" s="31">
        <f t="shared" si="1318"/>
        <v>315250.12564979383</v>
      </c>
      <c r="AE563" s="31">
        <f t="shared" si="1319"/>
        <v>1746134.5521246914</v>
      </c>
      <c r="AF563" s="31">
        <f>IFERROR(VLOOKUP(A563,'Allocations By Type'!$D$7:$F$491,3,FALSE),"")</f>
        <v>1442517.99</v>
      </c>
      <c r="AG563" s="31">
        <f t="shared" si="1320"/>
        <v>69845.382084987665</v>
      </c>
      <c r="AH563" s="31">
        <f t="shared" si="1321"/>
        <v>69845.382084987665</v>
      </c>
      <c r="AI563" s="31">
        <f t="shared" si="1322"/>
        <v>1676289.1700397038</v>
      </c>
      <c r="AJ563" s="31">
        <f>AI563/$AI$577*'State Admin 1004(b)'!$B$30*0.01</f>
        <v>15952.404692396438</v>
      </c>
      <c r="AK563" s="31">
        <f t="shared" si="1323"/>
        <v>1660336.7653473073</v>
      </c>
      <c r="AL563" s="31">
        <f t="shared" si="1324"/>
        <v>16603.367653473073</v>
      </c>
      <c r="AM563" s="31">
        <f t="shared" si="1325"/>
        <v>1643733.3976938343</v>
      </c>
      <c r="AP563" s="31"/>
      <c r="AQ563" s="4">
        <f t="shared" si="1326"/>
        <v>1.1394890109438665</v>
      </c>
      <c r="AR563" s="4">
        <f>VLOOKUP(B563,Allocation!$D$10:$P$235,13,FALSE)</f>
        <v>1.1234330813136737</v>
      </c>
      <c r="AS563" s="4">
        <f t="shared" si="1327"/>
        <v>0.9</v>
      </c>
      <c r="AT563" s="4" t="str">
        <f t="shared" si="1328"/>
        <v/>
      </c>
      <c r="AU563" s="31" t="str">
        <f t="shared" si="1329"/>
        <v/>
      </c>
      <c r="AV563" s="31" t="str">
        <f t="shared" si="1330"/>
        <v/>
      </c>
      <c r="AW563" s="31">
        <f t="shared" si="1331"/>
        <v>1626445.0493598711</v>
      </c>
      <c r="AX563" s="4">
        <f t="shared" si="1332"/>
        <v>1.1275041702321307</v>
      </c>
      <c r="AY563" s="4" t="str">
        <f t="shared" si="1333"/>
        <v/>
      </c>
      <c r="AZ563" s="174" t="str">
        <f>IFERROR(IF(VLOOKUP(A563,#REF!,11,FALSE)=0,"",VLOOKUP(A563,#REF!,11,FALSE)),"")</f>
        <v/>
      </c>
      <c r="BA563" s="31" t="str">
        <f t="shared" si="1334"/>
        <v/>
      </c>
      <c r="BB563" s="31">
        <f t="shared" si="1335"/>
        <v>1626445.0493598711</v>
      </c>
      <c r="BD563" s="31">
        <f>IFERROR(VLOOKUP(A563,'Title II Hold Harmless'!A$1:B$439,2, FALSE),"")</f>
        <v>195560</v>
      </c>
      <c r="BE563" s="31">
        <f t="shared" si="1336"/>
        <v>223850.57009363486</v>
      </c>
      <c r="BF563" s="31">
        <f t="shared" si="1337"/>
        <v>224067.15887795069</v>
      </c>
      <c r="BG563" s="31" t="str">
        <f t="shared" si="1338"/>
        <v/>
      </c>
      <c r="BH563" s="31">
        <f t="shared" si="1339"/>
        <v>224067.15887795069</v>
      </c>
    </row>
    <row r="564" spans="1:60" x14ac:dyDescent="0.3">
      <c r="A564" s="1">
        <v>140401000</v>
      </c>
      <c r="B564">
        <f>VLOOKUP(C564,'NCES ID'!$A$2:$B$3136,2,FALSE)</f>
        <v>409600</v>
      </c>
      <c r="C564">
        <f>VLOOKUP(A564,'State ID'!$A$2:$B$713,2,FALSE)</f>
        <v>4499</v>
      </c>
      <c r="D564" s="147" t="s">
        <v>452</v>
      </c>
      <c r="E564" t="s">
        <v>38</v>
      </c>
      <c r="F564" s="47">
        <f>VLOOKUP(B564,'Formula counts'!$D$9:$L$234,9,FALSE)</f>
        <v>10809</v>
      </c>
      <c r="G564" s="47">
        <f>VLOOKUP(B564,'Formula counts'!$D$9:$K$234,8,FALSE)</f>
        <v>2474</v>
      </c>
      <c r="H564" s="4">
        <f>VLOOKUP(B564,'Formula counts'!$D$9:$M$234,10,FALSE)</f>
        <v>0.22888333795910815</v>
      </c>
      <c r="I564" s="47">
        <f>VLOOKUP($C564,'Final SEA Counts'!$A$2:$F$709,5,FALSE)</f>
        <v>8580</v>
      </c>
      <c r="J564" s="47">
        <f>VLOOKUP($C564,'Final SEA Counts'!$A$2:$F$709,6,FALSE)</f>
        <v>6154</v>
      </c>
      <c r="K564" s="24">
        <f t="shared" si="1304"/>
        <v>10050.034339113459</v>
      </c>
      <c r="L564" s="24">
        <f t="shared" si="1305"/>
        <v>2280.451110340719</v>
      </c>
      <c r="M564" s="4">
        <f t="shared" si="1306"/>
        <v>0.2269097829313371</v>
      </c>
      <c r="N564" s="31">
        <f>IFERROR(VLOOKUP($B564,Allocation!$D$10:$O$235,8,FALSE),"")</f>
        <v>1361732.7620650539</v>
      </c>
      <c r="O564" s="31">
        <f>IFERROR(VLOOKUP($B564,Allocation!$D$10:$O$235,9,FALSE),"")</f>
        <v>345764.3785452731</v>
      </c>
      <c r="P564" s="31">
        <f>IFERROR(VLOOKUP($B564,Allocation!$D$10:$O$235,10,FALSE),"")</f>
        <v>644737.58839358576</v>
      </c>
      <c r="Q564" s="31">
        <f>IFERROR(VLOOKUP($B564,Allocation!$D$10:$O$235,11,FALSE),"")</f>
        <v>606500.92821416596</v>
      </c>
      <c r="R564" s="31">
        <f>IFERROR(VLOOKUP($B564,Allocation!$D$10:$O$235,12,FALSE),"")</f>
        <v>2958735.6572180786</v>
      </c>
      <c r="S564" s="31">
        <f t="shared" si="1307"/>
        <v>1255200.0764909403</v>
      </c>
      <c r="T564" s="31">
        <f t="shared" si="1308"/>
        <v>318714.13135401648</v>
      </c>
      <c r="U564" s="31">
        <f t="shared" si="1309"/>
        <v>594297.71597839543</v>
      </c>
      <c r="V564" s="31">
        <f t="shared" si="1310"/>
        <v>559052.43135354551</v>
      </c>
      <c r="W564" s="31">
        <f t="shared" si="1311"/>
        <v>1255200.0764909403</v>
      </c>
      <c r="X564" s="31">
        <f t="shared" si="1312"/>
        <v>318714.13135401648</v>
      </c>
      <c r="Y564" s="31">
        <f t="shared" si="1313"/>
        <v>594297.71597839543</v>
      </c>
      <c r="Z564" s="31">
        <f t="shared" si="1314"/>
        <v>559052.43135354551</v>
      </c>
      <c r="AA564" s="31">
        <f t="shared" si="1315"/>
        <v>1255200.0764909403</v>
      </c>
      <c r="AB564" s="31">
        <f t="shared" si="1316"/>
        <v>318714.13135401648</v>
      </c>
      <c r="AC564" s="31">
        <f t="shared" si="1317"/>
        <v>594297.71597839543</v>
      </c>
      <c r="AD564" s="31">
        <f t="shared" si="1318"/>
        <v>559052.43135354551</v>
      </c>
      <c r="AE564" s="31">
        <f t="shared" si="1319"/>
        <v>2727264.3551768977</v>
      </c>
      <c r="AF564" s="31">
        <f>IFERROR(VLOOKUP(A564,'Allocations By Type'!$D$7:$F$491,3,FALSE),"")</f>
        <v>3072630.24</v>
      </c>
      <c r="AG564" s="31" t="str">
        <f t="shared" si="1320"/>
        <v/>
      </c>
      <c r="AH564" s="31" t="str">
        <f t="shared" si="1321"/>
        <v/>
      </c>
      <c r="AI564" s="31">
        <f t="shared" si="1322"/>
        <v>2727264.3551768977</v>
      </c>
      <c r="AJ564" s="31">
        <f>AI564/$AI$577*'State Admin 1004(b)'!$B$30*0.01</f>
        <v>25954.009292978379</v>
      </c>
      <c r="AK564" s="31">
        <f t="shared" si="1323"/>
        <v>2701310.3458839194</v>
      </c>
      <c r="AL564" s="31">
        <f t="shared" si="1324"/>
        <v>27013.103458839196</v>
      </c>
      <c r="AM564" s="31">
        <f t="shared" si="1325"/>
        <v>2674297.2424250804</v>
      </c>
      <c r="AP564" s="31"/>
      <c r="AQ564" s="4">
        <f t="shared" si="1326"/>
        <v>0.87036090695542989</v>
      </c>
      <c r="AR564" s="4">
        <f>VLOOKUP(B564,Allocation!$D$10:$P$235,13,FALSE)</f>
        <v>0.89999999999999991</v>
      </c>
      <c r="AS564" s="4">
        <f t="shared" si="1327"/>
        <v>0.9</v>
      </c>
      <c r="AT564" s="4" t="str">
        <f t="shared" si="1328"/>
        <v>Review</v>
      </c>
      <c r="AU564" s="31">
        <f t="shared" si="1329"/>
        <v>91069.973574920092</v>
      </c>
      <c r="AV564" s="31">
        <f t="shared" si="1330"/>
        <v>2765367.2160000005</v>
      </c>
      <c r="AW564" s="31">
        <f t="shared" si="1331"/>
        <v>2765367.2160000005</v>
      </c>
      <c r="AX564" s="4">
        <f t="shared" si="1332"/>
        <v>0.90000000000000013</v>
      </c>
      <c r="AY564" s="4" t="str">
        <f t="shared" si="1333"/>
        <v/>
      </c>
      <c r="AZ564" s="174" t="str">
        <f>IFERROR(IF(VLOOKUP(A564,#REF!,11,FALSE)=0,"",VLOOKUP(A564,#REF!,11,FALSE)),"")</f>
        <v/>
      </c>
      <c r="BA564" s="31" t="str">
        <f t="shared" si="1334"/>
        <v/>
      </c>
      <c r="BB564" s="31">
        <f t="shared" si="1335"/>
        <v>2765367.2160000005</v>
      </c>
      <c r="BD564" s="31">
        <f>IFERROR(VLOOKUP(A564,'Title II Hold Harmless'!A$1:B$439,2, FALSE),"")</f>
        <v>426906</v>
      </c>
      <c r="BE564" s="31">
        <f t="shared" si="1336"/>
        <v>464846.90416810045</v>
      </c>
      <c r="BF564" s="31">
        <f t="shared" si="1337"/>
        <v>465296.67128651624</v>
      </c>
      <c r="BG564" s="31" t="str">
        <f t="shared" si="1338"/>
        <v/>
      </c>
      <c r="BH564" s="31">
        <f t="shared" si="1339"/>
        <v>465296.67128651624</v>
      </c>
    </row>
    <row r="565" spans="1:60" x14ac:dyDescent="0.3">
      <c r="A565" s="1">
        <v>140570000</v>
      </c>
      <c r="B565">
        <f>VLOOKUP(C565,'NCES ID'!$A$2:$B$3136,2,FALSE)</f>
        <v>409630</v>
      </c>
      <c r="C565">
        <f>VLOOKUP(A565,'State ID'!$A$2:$B$713,2,FALSE)</f>
        <v>4507</v>
      </c>
      <c r="D565" s="147" t="s">
        <v>453</v>
      </c>
      <c r="E565" t="s">
        <v>38</v>
      </c>
      <c r="F565" s="47">
        <f>VLOOKUP(B565,'Formula counts'!$D$9:$L$234,9,FALSE)</f>
        <v>11974</v>
      </c>
      <c r="G565" s="47">
        <f>VLOOKUP(B565,'Formula counts'!$D$9:$K$234,8,FALSE)</f>
        <v>3858</v>
      </c>
      <c r="H565" s="4">
        <f>VLOOKUP(B565,'Formula counts'!$D$9:$M$234,10,FALSE)</f>
        <v>0.32219809587439452</v>
      </c>
      <c r="I565" s="47">
        <f>VLOOKUP($C565,'Final SEA Counts'!$A$2:$F$709,5,FALSE)</f>
        <v>7778</v>
      </c>
      <c r="J565" s="47">
        <f>VLOOKUP($C565,'Final SEA Counts'!$A$2:$F$709,6,FALSE)</f>
        <v>5428</v>
      </c>
      <c r="K565" s="24">
        <f t="shared" si="1304"/>
        <v>11133.232600290919</v>
      </c>
      <c r="L565" s="24">
        <f t="shared" si="1305"/>
        <v>3556.1763879120836</v>
      </c>
      <c r="M565" s="4">
        <f t="shared" si="1306"/>
        <v>0.3194199309030118</v>
      </c>
      <c r="N565" s="31">
        <f>IFERROR(VLOOKUP($B565,Allocation!$D$10:$O$235,8,FALSE),"")</f>
        <v>1819965.1850503334</v>
      </c>
      <c r="O565" s="31">
        <f>IFERROR(VLOOKUP($B565,Allocation!$D$10:$O$235,9,FALSE),"")</f>
        <v>431606.36429236032</v>
      </c>
      <c r="P565" s="31">
        <f>IFERROR(VLOOKUP($B565,Allocation!$D$10:$O$235,10,FALSE),"")</f>
        <v>914396.504951276</v>
      </c>
      <c r="Q565" s="31">
        <f>IFERROR(VLOOKUP($B565,Allocation!$D$10:$O$235,11,FALSE),"")</f>
        <v>774217.96249786578</v>
      </c>
      <c r="R565" s="31">
        <f>IFERROR(VLOOKUP($B565,Allocation!$D$10:$O$235,12,FALSE),"")</f>
        <v>3940186.0167918354</v>
      </c>
      <c r="S565" s="31">
        <f t="shared" si="1307"/>
        <v>1677583.5194136966</v>
      </c>
      <c r="T565" s="31">
        <f t="shared" si="1308"/>
        <v>397840.42549742683</v>
      </c>
      <c r="U565" s="31">
        <f t="shared" si="1309"/>
        <v>842860.35772344796</v>
      </c>
      <c r="V565" s="31">
        <f t="shared" si="1310"/>
        <v>713648.42854647827</v>
      </c>
      <c r="W565" s="31">
        <f t="shared" si="1311"/>
        <v>1677583.5194136966</v>
      </c>
      <c r="X565" s="31">
        <f t="shared" si="1312"/>
        <v>397840.42549742683</v>
      </c>
      <c r="Y565" s="31">
        <f t="shared" si="1313"/>
        <v>842860.35772344796</v>
      </c>
      <c r="Z565" s="31">
        <f t="shared" si="1314"/>
        <v>713648.42854647827</v>
      </c>
      <c r="AA565" s="31">
        <f t="shared" si="1315"/>
        <v>1677583.5194136966</v>
      </c>
      <c r="AB565" s="31">
        <f t="shared" si="1316"/>
        <v>397840.42549742683</v>
      </c>
      <c r="AC565" s="31">
        <f t="shared" si="1317"/>
        <v>842860.35772344796</v>
      </c>
      <c r="AD565" s="31">
        <f t="shared" si="1318"/>
        <v>713648.42854647827</v>
      </c>
      <c r="AE565" s="31">
        <f t="shared" si="1319"/>
        <v>3631932.7311810497</v>
      </c>
      <c r="AF565" s="31">
        <f>IFERROR(VLOOKUP(A565,'Allocations By Type'!$D$7:$F$491,3,FALSE),"")</f>
        <v>3225170.19</v>
      </c>
      <c r="AG565" s="31">
        <f t="shared" si="1320"/>
        <v>145277.309247242</v>
      </c>
      <c r="AH565" s="31">
        <f t="shared" si="1321"/>
        <v>145277.309247242</v>
      </c>
      <c r="AI565" s="31">
        <f t="shared" si="1322"/>
        <v>3486655.4219338079</v>
      </c>
      <c r="AJ565" s="31">
        <f>AI565/$AI$577*'State Admin 1004(b)'!$B$30*0.01</f>
        <v>33180.753838735924</v>
      </c>
      <c r="AK565" s="31">
        <f t="shared" si="1323"/>
        <v>3453474.6680950718</v>
      </c>
      <c r="AL565" s="31">
        <f t="shared" si="1324"/>
        <v>34534.746680950717</v>
      </c>
      <c r="AM565" s="31">
        <f t="shared" si="1325"/>
        <v>3418939.9214141211</v>
      </c>
      <c r="AP565" s="31"/>
      <c r="AQ565" s="4">
        <f t="shared" si="1326"/>
        <v>1.0600804670757922</v>
      </c>
      <c r="AR565" s="4">
        <f>VLOOKUP(B565,Allocation!$D$10:$P$235,13,FALSE)</f>
        <v>1.1375954794617296</v>
      </c>
      <c r="AS565" s="4">
        <f t="shared" si="1327"/>
        <v>0.95</v>
      </c>
      <c r="AT565" s="4" t="str">
        <f t="shared" si="1328"/>
        <v/>
      </c>
      <c r="AU565" s="31" t="str">
        <f t="shared" si="1329"/>
        <v/>
      </c>
      <c r="AV565" s="31" t="str">
        <f t="shared" si="1330"/>
        <v/>
      </c>
      <c r="AW565" s="31">
        <f t="shared" si="1331"/>
        <v>3382980.4255632558</v>
      </c>
      <c r="AX565" s="4">
        <f t="shared" si="1332"/>
        <v>1.0489308241941973</v>
      </c>
      <c r="AY565" s="4" t="str">
        <f t="shared" si="1333"/>
        <v/>
      </c>
      <c r="AZ565" s="174" t="str">
        <f>IFERROR(IF(VLOOKUP(A565,#REF!,11,FALSE)=0,"",VLOOKUP(A565,#REF!,11,FALSE)),"")</f>
        <v/>
      </c>
      <c r="BA565" s="31" t="str">
        <f t="shared" si="1334"/>
        <v/>
      </c>
      <c r="BB565" s="31">
        <f t="shared" si="1335"/>
        <v>3382980.4255632558</v>
      </c>
      <c r="BD565" s="31">
        <f>IFERROR(VLOOKUP(A565,'Title II Hold Harmless'!A$1:B$439,2, FALSE),"")</f>
        <v>315901</v>
      </c>
      <c r="BE565" s="31">
        <f t="shared" si="1336"/>
        <v>371413.76416874817</v>
      </c>
      <c r="BF565" s="31">
        <f t="shared" si="1337"/>
        <v>371773.12914881425</v>
      </c>
      <c r="BG565" s="31" t="str">
        <f t="shared" si="1338"/>
        <v/>
      </c>
      <c r="BH565" s="31">
        <f t="shared" si="1339"/>
        <v>371773.12914881425</v>
      </c>
    </row>
    <row r="566" spans="1:60" x14ac:dyDescent="0.3">
      <c r="A566" s="1">
        <v>148761000</v>
      </c>
      <c r="B566">
        <f>VLOOKUP(C566,'NCES ID'!$A$2:$B$3136,2,FALSE)</f>
        <v>400381</v>
      </c>
      <c r="C566">
        <f>VLOOKUP(A566,'State ID'!$A$2:$B$713,2,FALSE)</f>
        <v>80001</v>
      </c>
      <c r="D566" s="147" t="s">
        <v>90</v>
      </c>
      <c r="E566" t="s">
        <v>38</v>
      </c>
      <c r="I566" s="47">
        <f>VLOOKUP($C566,'Final SEA Counts'!$A$2:$F$709,5,FALSE)</f>
        <v>129</v>
      </c>
      <c r="J566" s="47">
        <f>VLOOKUP($C566,'Final SEA Counts'!$A$2:$F$709,6,FALSE)</f>
        <v>53</v>
      </c>
      <c r="K566" s="24">
        <f>I566</f>
        <v>129</v>
      </c>
      <c r="L566" s="24">
        <f>J566*$B$572</f>
        <v>23.217371741097704</v>
      </c>
      <c r="M566" s="4">
        <f t="shared" si="1306"/>
        <v>0.1799796258999822</v>
      </c>
      <c r="N566" s="31" t="str">
        <f>IFERROR(VLOOKUP($B566,#REF!,8,FALSE),"")</f>
        <v/>
      </c>
      <c r="O566" s="31" t="str">
        <f>IFERROR(VLOOKUP($B566,#REF!,9,FALSE),"")</f>
        <v/>
      </c>
      <c r="P566" s="31" t="str">
        <f>IFERROR(VLOOKUP($B566,#REF!,10,FALSE),"")</f>
        <v/>
      </c>
      <c r="Q566" s="31" t="str">
        <f>IFERROR(VLOOKUP($B566,#REF!,11,FALSE),"")</f>
        <v/>
      </c>
      <c r="R566" s="31" t="str">
        <f>IFERROR(VLOOKUP($B566,#REF!,12,FALSE),"")</f>
        <v/>
      </c>
      <c r="S566" s="31">
        <f t="shared" ref="S566:V570" si="1340">$L566*N$573</f>
        <v>11419.288298022509</v>
      </c>
      <c r="T566" s="31">
        <f t="shared" si="1340"/>
        <v>2758.4680804270401</v>
      </c>
      <c r="U566" s="31">
        <f t="shared" si="1340"/>
        <v>5823.9002424270693</v>
      </c>
      <c r="V566" s="31">
        <f t="shared" si="1340"/>
        <v>5305.5686757361473</v>
      </c>
      <c r="W566" s="31">
        <f t="shared" ref="W566:W569" si="1341">IF(AND($L566&gt;9,$L566&gt;($K566*0.02)),S566,"")</f>
        <v>11419.288298022509</v>
      </c>
      <c r="X566" s="31">
        <f t="shared" ref="X566:X569" si="1342">IF(W566="","",IF(OR($L566&gt;6500,$L566&gt;($K566*0.15)),T566,""))</f>
        <v>2758.4680804270401</v>
      </c>
      <c r="Y566" s="31">
        <f t="shared" ref="Y566:Y569" si="1343">IF(AND($L566&gt;9,$L566&gt;($K566*0.05)),U566,"")</f>
        <v>5823.9002424270693</v>
      </c>
      <c r="Z566" s="31">
        <f t="shared" ref="Z566:Z569" si="1344">IF(AND($L566&gt;9,$L566&gt;($K566*0.05)),V566,"")</f>
        <v>5305.5686757361473</v>
      </c>
      <c r="AA566" s="31">
        <f t="shared" si="1315"/>
        <v>11419.288298022509</v>
      </c>
      <c r="AB566" s="31">
        <f t="shared" si="1316"/>
        <v>2758.4680804270401</v>
      </c>
      <c r="AC566" s="31">
        <f t="shared" si="1317"/>
        <v>5823.9002424270693</v>
      </c>
      <c r="AD566" s="31">
        <f t="shared" si="1318"/>
        <v>5305.5686757361473</v>
      </c>
      <c r="AE566" s="31">
        <f t="shared" si="1319"/>
        <v>25307.225296612767</v>
      </c>
      <c r="AF566" s="31">
        <f>IFERROR(VLOOKUP(A566,'Allocations By Type'!$D$7:$F$491,3,FALSE),"")</f>
        <v>18745.34</v>
      </c>
      <c r="AG566" s="31">
        <f t="shared" si="1320"/>
        <v>1012.2890118645107</v>
      </c>
      <c r="AH566" s="31">
        <f t="shared" si="1321"/>
        <v>1012.2890118645107</v>
      </c>
      <c r="AI566" s="31">
        <f t="shared" si="1322"/>
        <v>24294.936284748255</v>
      </c>
      <c r="AJ566" s="31">
        <f>AI566/$AI$577*'State Admin 1004(b)'!$B$30*0.01</f>
        <v>231.20274384467379</v>
      </c>
      <c r="AK566" s="31">
        <f t="shared" si="1323"/>
        <v>24063.73354090358</v>
      </c>
      <c r="AL566" s="31">
        <f t="shared" si="1324"/>
        <v>240.63733540903581</v>
      </c>
      <c r="AM566" s="31">
        <f t="shared" si="1325"/>
        <v>23823.096205494545</v>
      </c>
      <c r="AP566" s="31"/>
      <c r="AQ566" s="4">
        <f t="shared" si="1326"/>
        <v>1.2708809872477398</v>
      </c>
      <c r="AW566" s="31">
        <f t="shared" si="1331"/>
        <v>23572.531250026736</v>
      </c>
      <c r="AX566" s="4">
        <f t="shared" si="1332"/>
        <v>1.2575142008641473</v>
      </c>
      <c r="AY566" s="4" t="str">
        <f t="shared" si="1333"/>
        <v/>
      </c>
      <c r="AZ566" s="174" t="str">
        <f>IFERROR(IF(VLOOKUP(A566,#REF!,11,FALSE)=0,"",VLOOKUP(A566,#REF!,11,FALSE)),"")</f>
        <v/>
      </c>
      <c r="BA566" s="31" t="str">
        <f t="shared" si="1334"/>
        <v/>
      </c>
      <c r="BB566" s="31">
        <f t="shared" si="1335"/>
        <v>23572.531250026736</v>
      </c>
      <c r="BD566" s="31" t="str">
        <f>IFERROR(VLOOKUP(A566,'Title II Hold Harmless'!A$1:B$439,2, FALSE),"")</f>
        <v/>
      </c>
      <c r="BE566" s="31">
        <f t="shared" si="1336"/>
        <v>407.75018005032365</v>
      </c>
      <c r="BF566" s="31">
        <f t="shared" si="1337"/>
        <v>408.14470268104435</v>
      </c>
      <c r="BG566" s="31" t="str">
        <f t="shared" si="1338"/>
        <v/>
      </c>
      <c r="BH566" s="31">
        <f t="shared" si="1339"/>
        <v>408.14470268104435</v>
      </c>
    </row>
    <row r="567" spans="1:60" s="47" customFormat="1" x14ac:dyDescent="0.3">
      <c r="A567" s="1">
        <v>148757000</v>
      </c>
      <c r="B567" s="47">
        <f>VLOOKUP(C567,'NCES ID'!$A$2:$B$3136,2,FALSE)</f>
        <v>400094</v>
      </c>
      <c r="C567" s="47">
        <f>VLOOKUP(A567,'State ID'!$A$2:$B$713,2,FALSE)</f>
        <v>4508</v>
      </c>
      <c r="D567" s="192" t="s">
        <v>542</v>
      </c>
      <c r="E567" s="47" t="s">
        <v>38</v>
      </c>
      <c r="H567" s="4"/>
      <c r="I567" s="47">
        <f>VLOOKUP($C567,'AzEDS FY17 12-04-16'!$A$1:$D$712,3,FALSE)</f>
        <v>73</v>
      </c>
      <c r="J567" s="47">
        <f>VLOOKUP($C567,'AzEDS FY17 12-04-16'!$A$1:$D$712,4,FALSE)</f>
        <v>65</v>
      </c>
      <c r="K567" s="24">
        <f>I567</f>
        <v>73</v>
      </c>
      <c r="L567" s="24">
        <f>J567*$B$572</f>
        <v>28.47413515417643</v>
      </c>
      <c r="M567" s="4">
        <f t="shared" ref="M567" si="1345">L567/K567</f>
        <v>0.39005664594762235</v>
      </c>
      <c r="N567" s="31"/>
      <c r="O567" s="31"/>
      <c r="P567" s="31"/>
      <c r="Q567" s="31"/>
      <c r="R567" s="31"/>
      <c r="S567" s="31">
        <f t="shared" si="1340"/>
        <v>14004.787535310626</v>
      </c>
      <c r="T567" s="31">
        <f t="shared" si="1340"/>
        <v>3383.0268910897662</v>
      </c>
      <c r="U567" s="31">
        <f t="shared" si="1340"/>
        <v>7142.5191652407457</v>
      </c>
      <c r="V567" s="31">
        <f t="shared" si="1340"/>
        <v>6506.8295079782947</v>
      </c>
      <c r="W567" s="31">
        <f t="shared" ref="W567" si="1346">IF(AND($L567&gt;9,$L567&gt;($K567*0.02)),S567,"")</f>
        <v>14004.787535310626</v>
      </c>
      <c r="X567" s="31">
        <f t="shared" ref="X567" si="1347">IF(W567="","",IF(OR($L567&gt;6500,$L567&gt;($K567*0.15)),T567,""))</f>
        <v>3383.0268910897662</v>
      </c>
      <c r="Y567" s="31">
        <f t="shared" ref="Y567" si="1348">IF(AND($L567&gt;9,$L567&gt;($K567*0.05)),U567,"")</f>
        <v>7142.5191652407457</v>
      </c>
      <c r="Z567" s="31">
        <f t="shared" ref="Z567" si="1349">IF(AND($L567&gt;9,$L567&gt;($K567*0.05)),V567,"")</f>
        <v>6506.8295079782947</v>
      </c>
      <c r="AA567" s="31">
        <f t="shared" si="1315"/>
        <v>14004.787535310626</v>
      </c>
      <c r="AB567" s="31">
        <f t="shared" si="1316"/>
        <v>3383.0268910897662</v>
      </c>
      <c r="AC567" s="31">
        <f t="shared" si="1317"/>
        <v>7142.5191652407457</v>
      </c>
      <c r="AD567" s="31">
        <f t="shared" si="1318"/>
        <v>6506.8295079782947</v>
      </c>
      <c r="AE567" s="31">
        <f t="shared" ref="AE567" si="1350">SUM(AA567:AD567)</f>
        <v>31037.163099619433</v>
      </c>
      <c r="AF567" s="31" t="str">
        <f>IFERROR(VLOOKUP(A567,'Allocations By Type'!$D$7:$F$491,3,FALSE),"")</f>
        <v/>
      </c>
      <c r="AG567" s="31" t="str">
        <f t="shared" ref="AG567" si="1351">IF(AE567&gt;AF567,AE567*0.04,"")</f>
        <v/>
      </c>
      <c r="AH567" s="31" t="str">
        <f t="shared" ref="AH567" si="1352">IF(AG567="","",IF((AE567-AF567)&gt;AG567,AG567,AE567-AF567))</f>
        <v/>
      </c>
      <c r="AI567" s="31">
        <f t="shared" ref="AI567" si="1353">IF(AH567="",AE567,AE567-AH567)</f>
        <v>31037.163099619433</v>
      </c>
      <c r="AJ567" s="31">
        <f>AI567/$AI$577*'State Admin 1004(b)'!$B$30*0.01</f>
        <v>295.36514052483881</v>
      </c>
      <c r="AK567" s="31">
        <f t="shared" ref="AK567" si="1354">AI567-AJ567</f>
        <v>30741.797959094594</v>
      </c>
      <c r="AL567" s="31">
        <f t="shared" ref="AL567" si="1355">AK567*0.01</f>
        <v>307.41797959094595</v>
      </c>
      <c r="AM567" s="31">
        <f t="shared" ref="AM567" si="1356">AK567-AL567</f>
        <v>30434.379979503647</v>
      </c>
      <c r="AP567" s="31"/>
      <c r="AQ567" s="4" t="str">
        <f t="shared" si="1326"/>
        <v/>
      </c>
      <c r="AR567" s="4"/>
      <c r="AS567" s="4"/>
      <c r="AT567" s="4"/>
      <c r="AW567" s="31">
        <f t="shared" si="1331"/>
        <v>30114.279309192963</v>
      </c>
      <c r="AX567" s="4" t="str">
        <f t="shared" si="1332"/>
        <v/>
      </c>
      <c r="AY567" s="4"/>
      <c r="AZ567" s="174"/>
      <c r="BA567" s="31"/>
      <c r="BB567" s="31">
        <f t="shared" si="1335"/>
        <v>30114.279309192963</v>
      </c>
      <c r="BD567" s="31">
        <f>IFERROR(VLOOKUP(A567,'Title II Hold Harmless'!A$1:B$439,2, FALSE),"")</f>
        <v>4479</v>
      </c>
      <c r="BE567" s="31">
        <f t="shared" si="1336"/>
        <v>4910.4959680287975</v>
      </c>
      <c r="BF567" s="31">
        <f t="shared" si="1337"/>
        <v>4915.2471659000303</v>
      </c>
      <c r="BG567" s="31" t="str">
        <f t="shared" ref="BG567" si="1357">IF(AZ567&lt;0,BF567*AZ567/100,"")</f>
        <v/>
      </c>
      <c r="BH567" s="31">
        <f t="shared" ref="BH567" si="1358">IF(BG567&lt;0,BF567+BG567,BF567)</f>
        <v>4915.2471659000303</v>
      </c>
    </row>
    <row r="568" spans="1:60" x14ac:dyDescent="0.3">
      <c r="A568" s="1">
        <v>148760000</v>
      </c>
      <c r="B568">
        <f>VLOOKUP(C568,'NCES ID'!$A$2:$B$3136,2,FALSE)</f>
        <v>400282</v>
      </c>
      <c r="C568">
        <f>VLOOKUP(A568,'State ID'!$A$2:$B$713,2,FALSE)</f>
        <v>79501</v>
      </c>
      <c r="D568" s="147" t="s">
        <v>192</v>
      </c>
      <c r="E568" t="s">
        <v>38</v>
      </c>
      <c r="I568" s="47">
        <f>VLOOKUP($C568,'Final SEA Counts'!$A$2:$F$709,5,FALSE)</f>
        <v>1678</v>
      </c>
      <c r="J568" s="47">
        <f>VLOOKUP($C568,'Final SEA Counts'!$A$2:$F$709,6,FALSE)</f>
        <v>1513</v>
      </c>
      <c r="K568" s="24">
        <f>I568</f>
        <v>1678</v>
      </c>
      <c r="L568" s="24">
        <f>J568*$B$572</f>
        <v>662.790253665676</v>
      </c>
      <c r="M568" s="4">
        <f t="shared" si="1306"/>
        <v>0.39498823222030749</v>
      </c>
      <c r="N568" s="31" t="str">
        <f>IFERROR(VLOOKUP($B568,#REF!,8,FALSE),"")</f>
        <v/>
      </c>
      <c r="O568" s="31" t="str">
        <f>IFERROR(VLOOKUP($B568,#REF!,9,FALSE),"")</f>
        <v/>
      </c>
      <c r="P568" s="31" t="str">
        <f>IFERROR(VLOOKUP($B568,#REF!,10,FALSE),"")</f>
        <v/>
      </c>
      <c r="Q568" s="31" t="str">
        <f>IFERROR(VLOOKUP($B568,#REF!,11,FALSE),"")</f>
        <v/>
      </c>
      <c r="R568" s="31" t="str">
        <f>IFERROR(VLOOKUP($B568,#REF!,12,FALSE),"")</f>
        <v/>
      </c>
      <c r="S568" s="31">
        <f t="shared" si="1340"/>
        <v>325988.36216807656</v>
      </c>
      <c r="T568" s="31">
        <f t="shared" si="1340"/>
        <v>78746.456711058709</v>
      </c>
      <c r="U568" s="31">
        <f t="shared" si="1340"/>
        <v>166255.86918475767</v>
      </c>
      <c r="V568" s="31">
        <f t="shared" si="1340"/>
        <v>151458.96993186401</v>
      </c>
      <c r="W568" s="31">
        <f t="shared" si="1341"/>
        <v>325988.36216807656</v>
      </c>
      <c r="X568" s="31">
        <f t="shared" si="1342"/>
        <v>78746.456711058709</v>
      </c>
      <c r="Y568" s="31">
        <f t="shared" si="1343"/>
        <v>166255.86918475767</v>
      </c>
      <c r="Z568" s="31">
        <f t="shared" si="1344"/>
        <v>151458.96993186401</v>
      </c>
      <c r="AA568" s="31">
        <f t="shared" si="1315"/>
        <v>325988.36216807656</v>
      </c>
      <c r="AB568" s="31">
        <f t="shared" si="1316"/>
        <v>78746.456711058709</v>
      </c>
      <c r="AC568" s="31">
        <f t="shared" si="1317"/>
        <v>166255.86918475767</v>
      </c>
      <c r="AD568" s="31">
        <f t="shared" si="1318"/>
        <v>151458.96993186401</v>
      </c>
      <c r="AE568" s="31">
        <f t="shared" si="1319"/>
        <v>722449.65799575695</v>
      </c>
      <c r="AF568" s="31">
        <f>IFERROR(VLOOKUP(A568,'Allocations By Type'!$D$7:$F$491,3,FALSE),"")</f>
        <v>572834.25</v>
      </c>
      <c r="AG568" s="31">
        <f t="shared" si="1320"/>
        <v>28897.986319830277</v>
      </c>
      <c r="AH568" s="31">
        <f t="shared" si="1321"/>
        <v>28897.986319830277</v>
      </c>
      <c r="AI568" s="31">
        <f t="shared" si="1322"/>
        <v>693551.67167592666</v>
      </c>
      <c r="AJ568" s="31">
        <f>AI568/$AI$577*'State Admin 1004(b)'!$B$30*0.01</f>
        <v>6600.1839893771985</v>
      </c>
      <c r="AK568" s="31">
        <f t="shared" si="1323"/>
        <v>686951.48768654943</v>
      </c>
      <c r="AL568" s="31">
        <f t="shared" si="1324"/>
        <v>6869.5148768654944</v>
      </c>
      <c r="AM568" s="31">
        <f t="shared" si="1325"/>
        <v>680081.97280968388</v>
      </c>
      <c r="AP568" s="31"/>
      <c r="AQ568" s="4">
        <f t="shared" si="1326"/>
        <v>1.187222958141354</v>
      </c>
      <c r="AW568" s="31">
        <f t="shared" si="1331"/>
        <v>672929.05247717828</v>
      </c>
      <c r="AX568" s="4">
        <f t="shared" si="1332"/>
        <v>1.1747360645373042</v>
      </c>
      <c r="AY568" s="4" t="str">
        <f t="shared" si="1333"/>
        <v/>
      </c>
      <c r="AZ568" s="174" t="str">
        <f>IFERROR(IF(VLOOKUP(A568,#REF!,11,FALSE)=0,"",VLOOKUP(A568,#REF!,11,FALSE)),"")</f>
        <v/>
      </c>
      <c r="BA568" s="31" t="str">
        <f t="shared" si="1334"/>
        <v/>
      </c>
      <c r="BB568" s="31">
        <f t="shared" si="1335"/>
        <v>672929.05247717828</v>
      </c>
      <c r="BD568" s="31" t="str">
        <f>IFERROR(VLOOKUP(A568,'Title II Hold Harmless'!A$1:B$439,2, FALSE),"")</f>
        <v/>
      </c>
      <c r="BE568" s="31">
        <f t="shared" si="1336"/>
        <v>10026.824320857881</v>
      </c>
      <c r="BF568" s="31">
        <f t="shared" si="1337"/>
        <v>10036.525871715199</v>
      </c>
      <c r="BG568" s="31" t="str">
        <f t="shared" si="1338"/>
        <v/>
      </c>
      <c r="BH568" s="31">
        <f t="shared" si="1339"/>
        <v>10036.525871715199</v>
      </c>
    </row>
    <row r="569" spans="1:60" x14ac:dyDescent="0.3">
      <c r="A569" s="1">
        <v>148759000</v>
      </c>
      <c r="B569">
        <f>VLOOKUP(C569,'NCES ID'!$A$2:$B$3136,2,FALSE)</f>
        <v>400268</v>
      </c>
      <c r="C569">
        <f>VLOOKUP(A569,'State ID'!$A$2:$B$713,2,FALSE)</f>
        <v>79064</v>
      </c>
      <c r="D569" s="192" t="s">
        <v>224</v>
      </c>
      <c r="E569" t="s">
        <v>38</v>
      </c>
      <c r="I569" s="47">
        <f>VLOOKUP($C569,'AzEDS FY17 12-04-16'!$A$1:$D$712,3,FALSE)</f>
        <v>713</v>
      </c>
      <c r="J569" s="47">
        <f>VLOOKUP($C569,'AzEDS FY17 12-04-16'!$A$1:$D$712,4,FALSE)</f>
        <v>381</v>
      </c>
      <c r="K569" s="24">
        <f>I569</f>
        <v>713</v>
      </c>
      <c r="L569" s="24">
        <f>J569*$B$572</f>
        <v>166.90223836524953</v>
      </c>
      <c r="M569" s="4">
        <f t="shared" si="1306"/>
        <v>0.23408448578576371</v>
      </c>
      <c r="N569" s="31" t="str">
        <f>IFERROR(VLOOKUP($B569,#REF!,8,FALSE),"")</f>
        <v/>
      </c>
      <c r="O569" s="31" t="str">
        <f>IFERROR(VLOOKUP($B569,#REF!,9,FALSE),"")</f>
        <v/>
      </c>
      <c r="P569" s="31" t="str">
        <f>IFERROR(VLOOKUP($B569,#REF!,10,FALSE),"")</f>
        <v/>
      </c>
      <c r="Q569" s="31" t="str">
        <f>IFERROR(VLOOKUP($B569,#REF!,11,FALSE),"")</f>
        <v/>
      </c>
      <c r="R569" s="31" t="str">
        <f>IFERROR(VLOOKUP($B569,#REF!,12,FALSE),"")</f>
        <v/>
      </c>
      <c r="S569" s="31">
        <f t="shared" si="1340"/>
        <v>82089.600783897666</v>
      </c>
      <c r="T569" s="31">
        <f t="shared" si="1340"/>
        <v>19829.742238541552</v>
      </c>
      <c r="U569" s="31">
        <f t="shared" si="1340"/>
        <v>41866.150799334217</v>
      </c>
      <c r="V569" s="31">
        <f t="shared" si="1340"/>
        <v>38140.031423688153</v>
      </c>
      <c r="W569" s="31">
        <f t="shared" si="1341"/>
        <v>82089.600783897666</v>
      </c>
      <c r="X569" s="31">
        <f t="shared" si="1342"/>
        <v>19829.742238541552</v>
      </c>
      <c r="Y569" s="31">
        <f t="shared" si="1343"/>
        <v>41866.150799334217</v>
      </c>
      <c r="Z569" s="31">
        <f t="shared" si="1344"/>
        <v>38140.031423688153</v>
      </c>
      <c r="AA569" s="31">
        <f t="shared" si="1315"/>
        <v>82089.600783897666</v>
      </c>
      <c r="AB569" s="31">
        <f t="shared" si="1316"/>
        <v>19829.742238541552</v>
      </c>
      <c r="AC569" s="31">
        <f t="shared" si="1317"/>
        <v>41866.150799334217</v>
      </c>
      <c r="AD569" s="31">
        <f t="shared" si="1318"/>
        <v>38140.031423688153</v>
      </c>
      <c r="AE569" s="31">
        <f t="shared" si="1319"/>
        <v>181925.52524546161</v>
      </c>
      <c r="AF569" s="31">
        <f>IFERROR(VLOOKUP(A569,'Allocations By Type'!$D$7:$F$491,3,FALSE),"")</f>
        <v>107251.94</v>
      </c>
      <c r="AG569" s="31">
        <f t="shared" si="1320"/>
        <v>7277.0210098184643</v>
      </c>
      <c r="AH569" s="31">
        <f t="shared" si="1321"/>
        <v>7277.0210098184643</v>
      </c>
      <c r="AI569" s="31">
        <f t="shared" si="1322"/>
        <v>174648.50423564314</v>
      </c>
      <c r="AJ569" s="31">
        <f>AI569/$AI$577*'State Admin 1004(b)'!$B$30*0.01</f>
        <v>1662.0423661286932</v>
      </c>
      <c r="AK569" s="31">
        <f t="shared" si="1323"/>
        <v>172986.46186951443</v>
      </c>
      <c r="AL569" s="31">
        <f t="shared" si="1324"/>
        <v>1729.8646186951444</v>
      </c>
      <c r="AM569" s="31">
        <f t="shared" si="1325"/>
        <v>171256.59725081929</v>
      </c>
      <c r="AP569" s="31"/>
      <c r="AQ569" s="4">
        <f t="shared" si="1326"/>
        <v>1.5967692262799096</v>
      </c>
      <c r="AW569" s="31">
        <f t="shared" si="1331"/>
        <v>169455.36615585259</v>
      </c>
      <c r="AX569" s="4">
        <f t="shared" si="1332"/>
        <v>1.5799748345424109</v>
      </c>
      <c r="AY569" s="4" t="str">
        <f t="shared" si="1333"/>
        <v/>
      </c>
      <c r="AZ569" s="174" t="str">
        <f>IFERROR(IF(VLOOKUP(A569,#REF!,11,FALSE)=0,"",VLOOKUP(A569,#REF!,11,FALSE)),"")</f>
        <v/>
      </c>
      <c r="BA569" s="31" t="str">
        <f t="shared" si="1334"/>
        <v/>
      </c>
      <c r="BB569" s="31">
        <f t="shared" si="1335"/>
        <v>169455.36615585259</v>
      </c>
      <c r="BD569" s="31">
        <f>IFERROR(VLOOKUP(A569,'Title II Hold Harmless'!A$1:B$439,2, FALSE),"")</f>
        <v>9766</v>
      </c>
      <c r="BE569" s="31">
        <f t="shared" si="1336"/>
        <v>12524.68479484051</v>
      </c>
      <c r="BF569" s="31">
        <f t="shared" si="1337"/>
        <v>12536.803174760289</v>
      </c>
      <c r="BG569" s="31" t="str">
        <f t="shared" si="1338"/>
        <v/>
      </c>
      <c r="BH569" s="31">
        <f t="shared" si="1339"/>
        <v>12536.803174760289</v>
      </c>
    </row>
    <row r="570" spans="1:60" s="47" customFormat="1" x14ac:dyDescent="0.3">
      <c r="A570" s="1"/>
      <c r="D570" s="191" t="s">
        <v>1411</v>
      </c>
      <c r="E570" s="47" t="s">
        <v>38</v>
      </c>
      <c r="H570" s="4"/>
      <c r="I570" s="24">
        <f>'AVA Metrics'!C16</f>
        <v>69.593936610013785</v>
      </c>
      <c r="J570" s="24">
        <f>'AVA Metrics'!D16</f>
        <v>36.411575562700961</v>
      </c>
      <c r="K570" s="24">
        <f>I570</f>
        <v>69.593936610013785</v>
      </c>
      <c r="L570" s="24">
        <f>J570*$B$572</f>
        <v>15.95058651921315</v>
      </c>
      <c r="M570" s="4">
        <f t="shared" si="1306"/>
        <v>0.22919506060701902</v>
      </c>
      <c r="N570" s="31"/>
      <c r="O570" s="31"/>
      <c r="P570" s="31"/>
      <c r="Q570" s="31"/>
      <c r="R570" s="31"/>
      <c r="S570" s="31">
        <f t="shared" si="1340"/>
        <v>7845.1750704851593</v>
      </c>
      <c r="T570" s="31">
        <f t="shared" si="1340"/>
        <v>1895.0975273163742</v>
      </c>
      <c r="U570" s="31">
        <f t="shared" si="1340"/>
        <v>4001.0827122031255</v>
      </c>
      <c r="V570" s="31">
        <f t="shared" si="1340"/>
        <v>3644.98329697483</v>
      </c>
      <c r="W570" s="31">
        <f t="shared" ref="W570" si="1359">IF(AND($L570&gt;9,$L570&gt;($K570*0.02)),S570,"")</f>
        <v>7845.1750704851593</v>
      </c>
      <c r="X570" s="31">
        <f t="shared" ref="X570" si="1360">IF(W570="","",IF(OR($L570&gt;6500,$L570&gt;($K570*0.15)),T570,""))</f>
        <v>1895.0975273163742</v>
      </c>
      <c r="Y570" s="31">
        <f t="shared" ref="Y570" si="1361">IF(AND($L570&gt;9,$L570&gt;($K570*0.05)),U570,"")</f>
        <v>4001.0827122031255</v>
      </c>
      <c r="Z570" s="31">
        <f t="shared" ref="Z570" si="1362">IF(AND($L570&gt;9,$L570&gt;($K570*0.05)),V570,"")</f>
        <v>3644.98329697483</v>
      </c>
      <c r="AA570" s="31">
        <f t="shared" si="1315"/>
        <v>7845.1750704851593</v>
      </c>
      <c r="AB570" s="31">
        <f t="shared" si="1316"/>
        <v>1895.0975273163742</v>
      </c>
      <c r="AC570" s="31">
        <f t="shared" si="1317"/>
        <v>4001.0827122031255</v>
      </c>
      <c r="AD570" s="31">
        <f t="shared" si="1318"/>
        <v>3644.98329697483</v>
      </c>
      <c r="AE570" s="31">
        <f t="shared" ref="AE570" si="1363">SUM(AA570:AD570)</f>
        <v>17386.338606979491</v>
      </c>
      <c r="AF570" s="31"/>
      <c r="AG570" s="31"/>
      <c r="AH570" s="31"/>
      <c r="AI570" s="31"/>
      <c r="AJ570" s="31"/>
      <c r="AK570" s="31"/>
      <c r="AL570" s="31"/>
      <c r="AM570" s="31"/>
      <c r="AP570" s="31"/>
      <c r="AQ570" s="4"/>
      <c r="AR570" s="4"/>
      <c r="AS570" s="4"/>
      <c r="AT570" s="4"/>
      <c r="AW570" s="31"/>
      <c r="AX570" s="4"/>
      <c r="AY570" s="4"/>
      <c r="AZ570" s="174"/>
      <c r="BA570" s="31"/>
      <c r="BB570" s="31"/>
      <c r="BD570" s="31"/>
      <c r="BE570" s="31"/>
      <c r="BF570" s="31"/>
      <c r="BG570" s="31"/>
      <c r="BH570" s="31"/>
    </row>
    <row r="571" spans="1:60" x14ac:dyDescent="0.3">
      <c r="A571" s="1"/>
      <c r="D571" s="147" t="s">
        <v>878</v>
      </c>
      <c r="K571" s="24">
        <f>SUM(K566:K570)</f>
        <v>2662.5939366100138</v>
      </c>
      <c r="L571" s="24">
        <f>SUM(L566:L570)</f>
        <v>897.33458544541281</v>
      </c>
      <c r="S571" s="31">
        <f>SUM(S566:S570)</f>
        <v>441347.21385579254</v>
      </c>
      <c r="T571" s="31">
        <f>SUM(T566:T570)</f>
        <v>106612.79144843345</v>
      </c>
      <c r="U571" s="31">
        <f>SUM(U566:U570)</f>
        <v>225089.52210396284</v>
      </c>
      <c r="V571" s="31">
        <f>SUM(V566:V570)</f>
        <v>205056.38283624142</v>
      </c>
    </row>
    <row r="572" spans="1:60" x14ac:dyDescent="0.3">
      <c r="A572" s="1" t="s">
        <v>880</v>
      </c>
      <c r="B572">
        <f>G572/J572</f>
        <v>0.43806361775656044</v>
      </c>
      <c r="D572" s="147" t="s">
        <v>879</v>
      </c>
      <c r="F572">
        <f>SUM(F557:F570)</f>
        <v>37920</v>
      </c>
      <c r="G572" s="47">
        <f>SUM(G557:G570)</f>
        <v>11470</v>
      </c>
      <c r="I572" s="24">
        <f>SUM(I557:I570)</f>
        <v>34590.593936610014</v>
      </c>
      <c r="J572" s="24">
        <f>SUM(J557:J570)</f>
        <v>26183.411575562703</v>
      </c>
      <c r="K572" s="24">
        <f>SUM(K557:K570)</f>
        <v>37920</v>
      </c>
      <c r="L572" s="24">
        <f>SUM(L557:L570)</f>
        <v>11470</v>
      </c>
      <c r="N572" s="31">
        <f>SUM(N557:N570)</f>
        <v>5641432.5548515152</v>
      </c>
      <c r="O572" s="31">
        <f t="shared" ref="O572:AE572" si="1364">SUM(O557:O570)</f>
        <v>1362756.6993938412</v>
      </c>
      <c r="P572" s="31">
        <f t="shared" si="1364"/>
        <v>2877161.8306129691</v>
      </c>
      <c r="Q572" s="31">
        <f t="shared" si="1364"/>
        <v>2621092.2316832589</v>
      </c>
      <c r="R572" s="31">
        <f t="shared" si="1364"/>
        <v>12502443.316541584</v>
      </c>
      <c r="S572" s="31">
        <f t="shared" si="1364"/>
        <v>5641432.5548515152</v>
      </c>
      <c r="T572" s="31">
        <f t="shared" si="1364"/>
        <v>1362756.6993938412</v>
      </c>
      <c r="U572" s="31">
        <f t="shared" si="1364"/>
        <v>2877161.8306129687</v>
      </c>
      <c r="V572" s="31">
        <f t="shared" si="1364"/>
        <v>2621092.2316832589</v>
      </c>
      <c r="W572" s="31">
        <f t="shared" si="1364"/>
        <v>5641432.5548515152</v>
      </c>
      <c r="X572" s="31">
        <f t="shared" si="1364"/>
        <v>1362756.6993938412</v>
      </c>
      <c r="Y572" s="31">
        <f t="shared" si="1364"/>
        <v>2877161.8306129687</v>
      </c>
      <c r="Z572" s="31">
        <f t="shared" si="1364"/>
        <v>2621092.2316832589</v>
      </c>
      <c r="AA572" s="31">
        <f t="shared" si="1364"/>
        <v>5641432.5548515152</v>
      </c>
      <c r="AB572" s="31">
        <f t="shared" si="1364"/>
        <v>1362756.6993938412</v>
      </c>
      <c r="AC572" s="31">
        <f t="shared" si="1364"/>
        <v>2877161.8306129687</v>
      </c>
      <c r="AD572" s="31">
        <f t="shared" si="1364"/>
        <v>2621092.2316832589</v>
      </c>
      <c r="AE572" s="31">
        <f t="shared" si="1364"/>
        <v>12502443.316541584</v>
      </c>
      <c r="AF572" s="31"/>
      <c r="AK572" s="31">
        <f>SUM(AK557:AK569)</f>
        <v>12096394.837311393</v>
      </c>
      <c r="AL572" s="31"/>
      <c r="AM572" s="31">
        <f>SUM(AM557:AM569)</f>
        <v>11975430.88893828</v>
      </c>
      <c r="AU572" s="31">
        <f>SUM(AU557:AU569)</f>
        <v>96232.392056109238</v>
      </c>
      <c r="AV572" s="31">
        <f>SUM(AV557:AV569)</f>
        <v>2922125.4705000003</v>
      </c>
      <c r="AW572" s="31">
        <f>SUM(AW557:AW569)</f>
        <v>11975430.88893828</v>
      </c>
    </row>
    <row r="573" spans="1:60" x14ac:dyDescent="0.3">
      <c r="N573" s="31">
        <f>N572/$L572</f>
        <v>491.84241977781301</v>
      </c>
      <c r="O573" s="31">
        <f>O572/$L572</f>
        <v>118.81052305090159</v>
      </c>
      <c r="P573" s="31">
        <f>P572/$L572</f>
        <v>250.8423566358299</v>
      </c>
      <c r="Q573" s="31">
        <f>Q572/$L572</f>
        <v>228.51719543881944</v>
      </c>
      <c r="W573" s="31">
        <f>(S572-W572)/COUNT(W557:W570)</f>
        <v>0</v>
      </c>
      <c r="X573" s="31">
        <f>(T572-X572)/COUNT(X557:X570)</f>
        <v>0</v>
      </c>
      <c r="Y573" s="31">
        <f>(U572-Y572)/COUNT(Y557:Y570)</f>
        <v>0</v>
      </c>
      <c r="Z573" s="31">
        <f>(V572-Z572)/COUNT(Z557:Z570)</f>
        <v>0</v>
      </c>
    </row>
    <row r="574" spans="1:60" x14ac:dyDescent="0.3">
      <c r="A574">
        <v>108796000</v>
      </c>
      <c r="B574" s="47">
        <f>VLOOKUP(C574,'NCES ID'!$A$2:$B$3136,2,FALSE)</f>
        <v>400432</v>
      </c>
      <c r="C574" s="47">
        <f>VLOOKUP(A574,'State ID'!$A$2:$B$713,2,FALSE)</f>
        <v>87405</v>
      </c>
      <c r="D574" s="191" t="s">
        <v>1407</v>
      </c>
      <c r="I574" s="24">
        <f>SUM(I17,I48,I66,I81,I95,I104,I115,I354,I378,I398,I460,I495,I508,I552,I570)</f>
        <v>3986.9999999999991</v>
      </c>
      <c r="J574" s="24">
        <f>SUM(J17,J48,J66,J81,J95,J104,J115,J354,J378,J398,J460,J495,J508,J552,J570)</f>
        <v>2085.9999999999995</v>
      </c>
      <c r="K574" s="24">
        <f>SUM(K17,K48,K66,K81,K95,K104,K115,K354,K378,K398,K460,K495,K508,K552,K570)</f>
        <v>3986.9999999999991</v>
      </c>
      <c r="L574" s="24">
        <f>SUM(L17,L48,L66,L81,L95,L104,L115,L354,L378,L398,L460,L495,L508,L552,L570)</f>
        <v>1081.3420364601195</v>
      </c>
      <c r="M574" s="4">
        <f t="shared" ref="M574" si="1365">L574/K574</f>
        <v>0.27121696424883868</v>
      </c>
      <c r="AE574" s="31">
        <f>SUM(AE17,AE48,AE66,AE81,AE95,AE104,AE115,AE354,AE378,AE398,AE460,AE495,AE508,AE552,AE570)</f>
        <v>1233561.1875874083</v>
      </c>
      <c r="AF574" s="31">
        <f>IFERROR(VLOOKUP(A574,'Allocations By Type'!$D$7:$F$491,3,FALSE),"")</f>
        <v>1021353.97</v>
      </c>
      <c r="AG574" s="31">
        <f t="shared" ref="AG574" si="1366">IF(AE574&gt;AF574,AE574*0.04,"")</f>
        <v>49342.447503496333</v>
      </c>
      <c r="AH574" s="31">
        <f t="shared" ref="AH574" si="1367">IF(AG574="","",IF((AE574-AF574)&gt;AG574,AG574,AE574-AF574))</f>
        <v>49342.447503496333</v>
      </c>
      <c r="AI574" s="31">
        <f t="shared" ref="AI574" si="1368">IF(AH574="",AE574,AE574-AH574)</f>
        <v>1184218.7400839119</v>
      </c>
      <c r="AJ574" s="31">
        <f>AI574/$AI$577*'State Admin 1004(b)'!$B$30*0.01</f>
        <v>11269.616796301885</v>
      </c>
      <c r="AK574" s="31">
        <f t="shared" ref="AK574" si="1369">AI574-AJ574</f>
        <v>1172949.12328761</v>
      </c>
      <c r="AL574" s="31">
        <f t="shared" ref="AL574" si="1370">AK574*0.01</f>
        <v>11729.4912328761</v>
      </c>
      <c r="AM574" s="31">
        <f t="shared" ref="AM574" si="1371">AK574-AL574</f>
        <v>1161219.6320547338</v>
      </c>
      <c r="AQ574" s="4">
        <f t="shared" ref="AQ574" si="1372">IFERROR(AM574/AF574,"")</f>
        <v>1.1369414190995251</v>
      </c>
      <c r="AW574" s="31">
        <f>AM574</f>
        <v>1161219.6320547338</v>
      </c>
      <c r="AX574" s="4">
        <f t="shared" ref="AX574" si="1373">IFERROR(AW574/AF574,"")</f>
        <v>1.1369414190995251</v>
      </c>
      <c r="BB574" s="31">
        <f t="shared" ref="BB574" si="1374">IF(BA574&lt;0,AW574+BA574,AW574)</f>
        <v>1161219.6320547338</v>
      </c>
      <c r="BD574" s="31" t="str">
        <f>IFERROR(VLOOKUP(A574,'Title II Hold Harmless'!A$1:B$439,2, FALSE),"")</f>
        <v/>
      </c>
      <c r="BE574" s="31">
        <f>IFERROR($BD$582*(0.8*($L574/$L$579)+0.2*($K574/$K$579))+$BD574,$BD$582*(0.8*($L574/$L$579)+0.2*($K574/$K$579)))</f>
        <v>17364.231303015556</v>
      </c>
      <c r="BF574" s="31">
        <f>$BD$583*BE574</f>
        <v>17381.032232970418</v>
      </c>
      <c r="BH574" s="31">
        <f t="shared" ref="BH574" si="1375">IF(BG574&lt;0,BF574+BG574,BF574)</f>
        <v>17381.032232970418</v>
      </c>
    </row>
    <row r="576" spans="1:60" x14ac:dyDescent="0.3">
      <c r="BH576" s="31"/>
    </row>
    <row r="577" spans="1:60" x14ac:dyDescent="0.3">
      <c r="A577" t="s">
        <v>898</v>
      </c>
      <c r="B577" s="31">
        <f>SUM(AE19,AE50,AE68,AE83,AE97,AE106,AE117,AE356,AE380,AE400,AE462,AE497,AE510,AE554,AE572)</f>
        <v>331375324.19674611</v>
      </c>
      <c r="E577" s="31">
        <f>SUM(E19,E50,E68,E83,E97,E106,E117,E356,E380,E400,E462,E497,E510,E554,E572)</f>
        <v>0</v>
      </c>
      <c r="F577" s="31">
        <f t="shared" ref="F577:H577" si="1376">SUM(AI19,AI50,AI68,AI83,AI97,AI106,AI117,AI356,AI380,AI400,AI462,AI497,AI510,AI554,AI572)</f>
        <v>0</v>
      </c>
      <c r="G577" s="31">
        <f t="shared" si="1376"/>
        <v>0</v>
      </c>
      <c r="H577" s="31">
        <f t="shared" si="1376"/>
        <v>317889504.12220895</v>
      </c>
      <c r="N577" s="31">
        <f t="shared" ref="N577:AG577" si="1377">SUM(N19,N50,N68,N83,N97,N106,N117,N356,N380,N400,N462,N497,N510,N554,N572)</f>
        <v>143458594.38472605</v>
      </c>
      <c r="O577" s="31">
        <f t="shared" si="1377"/>
        <v>31040755.430040427</v>
      </c>
      <c r="P577" s="31">
        <f t="shared" si="1377"/>
        <v>81071675.137434095</v>
      </c>
      <c r="Q577" s="31">
        <f t="shared" si="1377"/>
        <v>75804299.244545579</v>
      </c>
      <c r="R577" s="31">
        <f t="shared" si="1377"/>
        <v>331492749.00808018</v>
      </c>
      <c r="S577" s="31">
        <f t="shared" si="1377"/>
        <v>143458594.38472611</v>
      </c>
      <c r="T577" s="31">
        <f t="shared" si="1377"/>
        <v>31040755.430040441</v>
      </c>
      <c r="U577" s="31">
        <f t="shared" si="1377"/>
        <v>81071675.13743405</v>
      </c>
      <c r="V577" s="31">
        <f t="shared" si="1377"/>
        <v>75804299.244545594</v>
      </c>
      <c r="W577" s="31">
        <f t="shared" si="1377"/>
        <v>143410893.39605212</v>
      </c>
      <c r="X577" s="31">
        <f t="shared" si="1377"/>
        <v>30861071.797799803</v>
      </c>
      <c r="Y577" s="31">
        <f t="shared" si="1377"/>
        <v>81046788.604083925</v>
      </c>
      <c r="Z577" s="31">
        <f t="shared" si="1377"/>
        <v>75784485.903295025</v>
      </c>
      <c r="AA577" s="31">
        <f t="shared" si="1377"/>
        <v>143458594.38472602</v>
      </c>
      <c r="AB577" s="31">
        <f t="shared" si="1377"/>
        <v>31040755.430040445</v>
      </c>
      <c r="AC577" s="31">
        <f t="shared" si="1377"/>
        <v>81071675.137434125</v>
      </c>
      <c r="AD577" s="31">
        <f t="shared" si="1377"/>
        <v>75804299.244545609</v>
      </c>
      <c r="AE577" s="31">
        <f>SUM(AE19,AE50,AE68,AE83,AE97,AE106,AE117,AE356,AE380,AE400,AE462,AE497,AE510,AE554,AE572)+AE574</f>
        <v>332608885.38433349</v>
      </c>
      <c r="AF577" s="31">
        <f t="shared" si="1377"/>
        <v>0</v>
      </c>
      <c r="AG577" s="31">
        <f t="shared" si="1377"/>
        <v>0</v>
      </c>
      <c r="AH577" s="31">
        <f>SUM(AH6:AH574)</f>
        <v>9247340.2212497741</v>
      </c>
      <c r="AI577" s="31">
        <f>SUM(AI6:AI574)</f>
        <v>322127983.97549605</v>
      </c>
      <c r="AJ577" s="31">
        <f>SUM(AJ6:AJ574)</f>
        <v>3065530.7300000014</v>
      </c>
      <c r="AK577" s="31">
        <f>SUM(AK572,AK554,AK510,AK497,AK462,AK400,AK380,AK356,AK117,AK106,AK97,AK83,AK68,AK50,AK19,AK574)</f>
        <v>319062453.24549657</v>
      </c>
      <c r="AL577" s="31">
        <f>SUM(AL6:AL574)</f>
        <v>3190624.532454967</v>
      </c>
      <c r="AM577" s="31">
        <f>SUM(AM572,AM554,AM510,AM497,AM462,AM400,AM380,AM356,AM117,AM106,AM97,AM83,AM68,AM50,AM19,AM574)</f>
        <v>315871828.71304125</v>
      </c>
      <c r="AW577" s="31">
        <f>SUM(AW572,AW554,AW510,AW497,AW462,AW400,AW380,AW356,AW117,AW106,AW97,AW83,AW68,AW50,AW19,AW574)</f>
        <v>315871828.71304154</v>
      </c>
      <c r="BB577" s="31">
        <f>SUM(BB6:BB574)</f>
        <v>315871828.71304166</v>
      </c>
      <c r="BD577" s="31">
        <f>SUM(BD6:BD574,BD586:BD587)</f>
        <v>27639588</v>
      </c>
      <c r="BE577" s="31">
        <f>SUM(BE6:BE574,BE586:BE587)</f>
        <v>32443133.332533974</v>
      </c>
      <c r="BF577" s="31">
        <f>SUM(BF6:BF574,BF586:BF587)</f>
        <v>32474524.000000007</v>
      </c>
      <c r="BG577"/>
      <c r="BH577" s="31">
        <f>SUM(BH6:BH574,BH586:BH587)</f>
        <v>32474524.000000007</v>
      </c>
    </row>
    <row r="578" spans="1:60" x14ac:dyDescent="0.3">
      <c r="AJ578" s="31">
        <f>AJ577*100</f>
        <v>306553073.00000012</v>
      </c>
      <c r="AM578" s="31">
        <f>AK577-AM577</f>
        <v>3190624.5324553251</v>
      </c>
      <c r="BE578" s="31"/>
      <c r="BG578"/>
    </row>
    <row r="579" spans="1:60" ht="28.8" x14ac:dyDescent="0.3">
      <c r="A579" s="2" t="s">
        <v>1328</v>
      </c>
      <c r="B579" s="31">
        <f>'FY16 Title II-A Final'!K13</f>
        <v>32474524</v>
      </c>
      <c r="K579" s="24">
        <f>SUM(K19,K50,K68,K83,K97,K106,K117,K356,K380,K400,K462,K497,K510,K554,K572)</f>
        <v>1189510.0613229214</v>
      </c>
      <c r="L579" s="24">
        <f>SUM(L19,L50,L68,L83,L97,L106,L117,L356,L380,L400,L462,L497,L510,L554,L572)</f>
        <v>292518.90472551057</v>
      </c>
      <c r="BB579" s="31" t="s">
        <v>1008</v>
      </c>
      <c r="BD579" s="31">
        <f>SUM(BD6:BD569,BD586,BD587)</f>
        <v>27639588</v>
      </c>
      <c r="BE579" s="31"/>
      <c r="BG579"/>
    </row>
    <row r="580" spans="1:60" s="47" customFormat="1" x14ac:dyDescent="0.3">
      <c r="A580" s="31" t="s">
        <v>1008</v>
      </c>
      <c r="B580" s="31">
        <f>BD579</f>
        <v>27639588</v>
      </c>
      <c r="D580" s="147"/>
      <c r="H580" s="4"/>
      <c r="K580" s="24"/>
      <c r="L580" s="24"/>
      <c r="M580" s="4"/>
      <c r="N580" s="31"/>
      <c r="O580" s="31"/>
      <c r="P580" s="31"/>
      <c r="Q580" s="31"/>
      <c r="R580" s="31"/>
      <c r="S580" s="31"/>
      <c r="T580" s="31"/>
      <c r="U580" s="31"/>
      <c r="V580" s="31"/>
      <c r="W580" s="31"/>
      <c r="X580" s="31"/>
      <c r="Y580" s="31"/>
      <c r="Z580" s="31"/>
      <c r="AA580" s="31"/>
      <c r="AB580" s="31"/>
      <c r="AC580" s="31"/>
      <c r="AD580" s="31"/>
      <c r="AE580" s="31"/>
      <c r="AG580" s="31"/>
      <c r="AH580" s="31"/>
      <c r="AI580" s="31"/>
      <c r="AJ580" s="31"/>
      <c r="AQ580" s="4"/>
      <c r="AR580" s="4"/>
      <c r="AS580" s="4"/>
      <c r="AT580" s="4"/>
      <c r="AW580" s="31"/>
      <c r="AX580" s="4"/>
      <c r="AZ580" s="174"/>
      <c r="BA580" s="31"/>
      <c r="BB580" s="31"/>
      <c r="BD580" s="31"/>
      <c r="BE580" s="31"/>
    </row>
    <row r="581" spans="1:60" x14ac:dyDescent="0.3">
      <c r="A581" s="31" t="s">
        <v>1010</v>
      </c>
      <c r="B581" s="31">
        <f>BD581</f>
        <v>4834936</v>
      </c>
      <c r="BB581" s="31" t="s">
        <v>1010</v>
      </c>
      <c r="BD581" s="31">
        <f>B579-BD579</f>
        <v>4834936</v>
      </c>
      <c r="BG581"/>
    </row>
    <row r="582" spans="1:60" x14ac:dyDescent="0.3">
      <c r="A582" t="s">
        <v>1367</v>
      </c>
      <c r="B582" s="31">
        <f>B581*0.01</f>
        <v>48349.36</v>
      </c>
      <c r="BB582" s="31" t="s">
        <v>1009</v>
      </c>
      <c r="BD582" s="31">
        <f>BD581-BD581*0.01</f>
        <v>4786586.6399999997</v>
      </c>
      <c r="BG582"/>
    </row>
    <row r="583" spans="1:60" x14ac:dyDescent="0.3">
      <c r="A583" t="s">
        <v>1012</v>
      </c>
      <c r="B583" s="31">
        <f>B581-B582</f>
        <v>4786586.6399999997</v>
      </c>
      <c r="BB583" s="31" t="s">
        <v>1016</v>
      </c>
      <c r="BD583" s="1">
        <f>B579/BE577</f>
        <v>1.0009675596726211</v>
      </c>
      <c r="BG583"/>
    </row>
    <row r="586" spans="1:60" x14ac:dyDescent="0.3">
      <c r="A586">
        <v>211002000</v>
      </c>
      <c r="B586">
        <v>400120</v>
      </c>
      <c r="C586">
        <v>8336</v>
      </c>
      <c r="D586" s="191" t="s">
        <v>48</v>
      </c>
      <c r="K586" s="24">
        <v>1012</v>
      </c>
      <c r="L586" s="24">
        <v>1012</v>
      </c>
      <c r="BD586" s="31">
        <f>IFERROR(VLOOKUP(A586,'Title II Hold Harmless'!A$1:B$439,2, FALSE),"")</f>
        <v>47545</v>
      </c>
      <c r="BE586" s="31">
        <f>IFERROR($BD$582*(0.8*($L586/$L$579)+0.2*($K586/$K$579))+$BD586,$BD$582*(0.8*($L586/$L$579)+0.2*($K586/$K$579)))</f>
        <v>61607.218306135837</v>
      </c>
      <c r="BF586" s="31">
        <f t="shared" ref="BF586:BF599" si="1378">$BD$583*BE586</f>
        <v>61666.826966111221</v>
      </c>
      <c r="BG586"/>
      <c r="BH586" s="31">
        <f t="shared" ref="BH586:BH599" si="1379">IF(BG586&lt;0,BF586+BG586,BF586)</f>
        <v>61666.826966111221</v>
      </c>
    </row>
    <row r="587" spans="1:60" x14ac:dyDescent="0.3">
      <c r="A587">
        <v>217601000</v>
      </c>
      <c r="B587">
        <v>409734</v>
      </c>
      <c r="C587">
        <v>8326</v>
      </c>
      <c r="D587" s="191" t="s">
        <v>1006</v>
      </c>
      <c r="K587" s="24">
        <v>344</v>
      </c>
      <c r="L587" s="24">
        <v>344</v>
      </c>
      <c r="BD587" s="31">
        <f>IFERROR(VLOOKUP(A587,'Title II Hold Harmless'!A$1:B$439,2, FALSE),"")</f>
        <v>157229</v>
      </c>
      <c r="BE587" s="31">
        <f>IFERROR($BD$582*(0.8*($L587/$L$579)+0.2*($K587/$K$579))+$BD587,$BD$582*(0.8*($L587/$L$579)+0.2*($K587/$K$579)))</f>
        <v>162009.04258627543</v>
      </c>
      <c r="BF587" s="31">
        <f t="shared" si="1378"/>
        <v>162165.79600248186</v>
      </c>
      <c r="BG587"/>
      <c r="BH587" s="31">
        <f t="shared" si="1379"/>
        <v>162165.79600248186</v>
      </c>
    </row>
    <row r="588" spans="1:60" s="47" customFormat="1" x14ac:dyDescent="0.3">
      <c r="D588" s="147"/>
      <c r="H588" s="4"/>
      <c r="K588" s="24"/>
      <c r="L588" s="24"/>
      <c r="M588" s="4"/>
      <c r="N588" s="31"/>
      <c r="O588" s="31"/>
      <c r="P588" s="31"/>
      <c r="Q588" s="31"/>
      <c r="R588" s="31"/>
      <c r="S588" s="31"/>
      <c r="T588" s="31"/>
      <c r="U588" s="31"/>
      <c r="V588" s="31"/>
      <c r="W588" s="31"/>
      <c r="X588" s="31"/>
      <c r="Y588" s="31"/>
      <c r="Z588" s="31"/>
      <c r="AA588" s="31"/>
      <c r="AB588" s="31"/>
      <c r="AC588" s="31"/>
      <c r="AD588" s="31"/>
      <c r="AE588" s="31"/>
      <c r="AG588" s="31"/>
      <c r="AH588" s="31"/>
      <c r="AI588" s="31"/>
      <c r="AJ588" s="31"/>
      <c r="AQ588" s="4"/>
      <c r="AR588" s="4"/>
      <c r="AS588" s="4"/>
      <c r="AT588" s="4"/>
      <c r="AW588" s="31"/>
      <c r="AX588" s="4"/>
      <c r="AZ588" s="174"/>
      <c r="BA588" s="31"/>
      <c r="BB588" s="31"/>
      <c r="BD588" s="31"/>
      <c r="BE588" s="31"/>
      <c r="BF588" s="31"/>
      <c r="BG588" s="31"/>
      <c r="BH588" s="31"/>
    </row>
    <row r="589" spans="1:60" x14ac:dyDescent="0.3">
      <c r="D589" s="190" t="s">
        <v>528</v>
      </c>
      <c r="K589" s="24">
        <v>35</v>
      </c>
      <c r="L589" s="24">
        <v>35</v>
      </c>
      <c r="BD589" s="31">
        <f t="shared" ref="BD589:BD599" si="1380">L589/SUM($L$589:$L$599)*$BD$601</f>
        <v>9991.6037735849059</v>
      </c>
      <c r="BE589" s="31">
        <f t="shared" ref="BE589:BE599" si="1381">IFERROR($BD$582*(0.8*($L589/$L$579)+0.2*($K589/$K$579))+$BD589,$BD$582*(0.8*($L589/$L$579)+0.2*($K589/$K$579)))</f>
        <v>10477.945315793162</v>
      </c>
      <c r="BF589" s="31">
        <f t="shared" si="1378"/>
        <v>10488.083353132652</v>
      </c>
      <c r="BH589" s="31">
        <f t="shared" si="1379"/>
        <v>10488.083353132652</v>
      </c>
    </row>
    <row r="590" spans="1:60" x14ac:dyDescent="0.3">
      <c r="D590" s="190" t="s">
        <v>1419</v>
      </c>
      <c r="K590" s="24">
        <v>33</v>
      </c>
      <c r="L590" s="24">
        <v>33</v>
      </c>
      <c r="BD590" s="31">
        <f t="shared" si="1380"/>
        <v>9420.6549865229099</v>
      </c>
      <c r="BE590" s="31">
        <f t="shared" si="1381"/>
        <v>9879.2055834621224</v>
      </c>
      <c r="BF590" s="31">
        <f t="shared" si="1378"/>
        <v>9888.7643043822136</v>
      </c>
      <c r="BH590" s="31">
        <f t="shared" si="1379"/>
        <v>9888.7643043822136</v>
      </c>
    </row>
    <row r="591" spans="1:60" x14ac:dyDescent="0.3">
      <c r="D591" s="190" t="s">
        <v>1420</v>
      </c>
      <c r="K591" s="24">
        <v>8</v>
      </c>
      <c r="L591" s="24">
        <v>8</v>
      </c>
      <c r="BD591" s="31">
        <f t="shared" si="1380"/>
        <v>2283.7951482479784</v>
      </c>
      <c r="BE591" s="31">
        <f t="shared" si="1381"/>
        <v>2394.9589293241511</v>
      </c>
      <c r="BF591" s="31">
        <f t="shared" si="1378"/>
        <v>2397.2761950017489</v>
      </c>
      <c r="BH591" s="31">
        <f t="shared" si="1379"/>
        <v>2397.2761950017489</v>
      </c>
    </row>
    <row r="592" spans="1:60" x14ac:dyDescent="0.3">
      <c r="D592" s="190" t="s">
        <v>1421</v>
      </c>
      <c r="K592" s="24">
        <v>8</v>
      </c>
      <c r="L592" s="24">
        <v>8</v>
      </c>
      <c r="BD592" s="31">
        <f t="shared" si="1380"/>
        <v>2283.7951482479784</v>
      </c>
      <c r="BE592" s="31">
        <f t="shared" si="1381"/>
        <v>2394.9589293241511</v>
      </c>
      <c r="BF592" s="31">
        <f t="shared" si="1378"/>
        <v>2397.2761950017489</v>
      </c>
      <c r="BH592" s="31">
        <f t="shared" si="1379"/>
        <v>2397.2761950017489</v>
      </c>
    </row>
    <row r="593" spans="1:60" x14ac:dyDescent="0.3">
      <c r="D593" s="190" t="s">
        <v>1422</v>
      </c>
      <c r="K593" s="24">
        <v>15</v>
      </c>
      <c r="L593" s="24">
        <v>15</v>
      </c>
      <c r="BD593" s="31">
        <f t="shared" si="1380"/>
        <v>4282.1159029649589</v>
      </c>
      <c r="BE593" s="31">
        <f t="shared" si="1381"/>
        <v>4490.5479924827823</v>
      </c>
      <c r="BF593" s="31">
        <f t="shared" si="1378"/>
        <v>4494.8928656282778</v>
      </c>
      <c r="BH593" s="31">
        <f t="shared" si="1379"/>
        <v>4494.8928656282778</v>
      </c>
    </row>
    <row r="594" spans="1:60" x14ac:dyDescent="0.3">
      <c r="A594" s="47">
        <v>79999000</v>
      </c>
      <c r="B594" s="47"/>
      <c r="C594" s="47">
        <v>9603</v>
      </c>
      <c r="D594" s="190" t="s">
        <v>1413</v>
      </c>
      <c r="K594" s="24">
        <v>95</v>
      </c>
      <c r="L594" s="24">
        <v>95</v>
      </c>
      <c r="BD594" s="31">
        <f t="shared" si="1380"/>
        <v>27120.067385444745</v>
      </c>
      <c r="BE594" s="31">
        <f t="shared" si="1381"/>
        <v>28440.137285724297</v>
      </c>
      <c r="BF594" s="31">
        <f t="shared" si="1378"/>
        <v>28467.654815645772</v>
      </c>
      <c r="BH594" s="31">
        <f t="shared" si="1379"/>
        <v>28467.654815645772</v>
      </c>
    </row>
    <row r="595" spans="1:60" x14ac:dyDescent="0.3">
      <c r="D595" s="190" t="s">
        <v>1423</v>
      </c>
      <c r="K595" s="24">
        <v>33</v>
      </c>
      <c r="L595" s="24">
        <v>33</v>
      </c>
      <c r="BD595" s="31">
        <f t="shared" si="1380"/>
        <v>9420.6549865229099</v>
      </c>
      <c r="BE595" s="31">
        <f t="shared" si="1381"/>
        <v>9879.2055834621224</v>
      </c>
      <c r="BF595" s="31">
        <f t="shared" si="1378"/>
        <v>9888.7643043822136</v>
      </c>
      <c r="BH595" s="31">
        <f t="shared" si="1379"/>
        <v>9888.7643043822136</v>
      </c>
    </row>
    <row r="596" spans="1:60" x14ac:dyDescent="0.3">
      <c r="D596" s="190" t="s">
        <v>1424</v>
      </c>
      <c r="K596" s="24">
        <v>20</v>
      </c>
      <c r="L596" s="24">
        <v>20</v>
      </c>
      <c r="BD596" s="31">
        <f t="shared" si="1380"/>
        <v>5709.4878706199461</v>
      </c>
      <c r="BE596" s="31">
        <f t="shared" si="1381"/>
        <v>5987.3973233103779</v>
      </c>
      <c r="BF596" s="31">
        <f t="shared" si="1378"/>
        <v>5993.1904875043729</v>
      </c>
      <c r="BH596" s="31">
        <f t="shared" si="1379"/>
        <v>5993.1904875043729</v>
      </c>
    </row>
    <row r="597" spans="1:60" x14ac:dyDescent="0.3">
      <c r="D597" s="190" t="s">
        <v>1425</v>
      </c>
      <c r="K597" s="24">
        <v>11</v>
      </c>
      <c r="L597" s="24">
        <v>11</v>
      </c>
      <c r="BD597" s="31">
        <f t="shared" si="1380"/>
        <v>3140.2183288409701</v>
      </c>
      <c r="BE597" s="31">
        <f t="shared" si="1381"/>
        <v>3293.0685278207075</v>
      </c>
      <c r="BF597" s="31">
        <f t="shared" si="1378"/>
        <v>3296.2547681274045</v>
      </c>
      <c r="BH597" s="31">
        <f t="shared" si="1379"/>
        <v>3296.2547681274045</v>
      </c>
    </row>
    <row r="598" spans="1:60" x14ac:dyDescent="0.3">
      <c r="D598" s="190" t="s">
        <v>1426</v>
      </c>
      <c r="K598" s="24">
        <v>54</v>
      </c>
      <c r="L598" s="24">
        <v>54</v>
      </c>
      <c r="BD598" s="31">
        <f t="shared" si="1380"/>
        <v>15415.617250673855</v>
      </c>
      <c r="BE598" s="31">
        <f t="shared" si="1381"/>
        <v>16165.972772938021</v>
      </c>
      <c r="BF598" s="31">
        <f t="shared" si="1378"/>
        <v>16181.614316261806</v>
      </c>
      <c r="BH598" s="31">
        <f t="shared" si="1379"/>
        <v>16181.614316261806</v>
      </c>
    </row>
    <row r="599" spans="1:60" x14ac:dyDescent="0.3">
      <c r="D599" s="190" t="s">
        <v>1427</v>
      </c>
      <c r="K599" s="24">
        <v>59</v>
      </c>
      <c r="L599" s="24">
        <v>59</v>
      </c>
      <c r="BD599" s="31">
        <f t="shared" si="1380"/>
        <v>16842.989218328839</v>
      </c>
      <c r="BE599" s="31">
        <f t="shared" si="1381"/>
        <v>17662.822103765611</v>
      </c>
      <c r="BF599" s="31">
        <f t="shared" si="1378"/>
        <v>17679.911938137895</v>
      </c>
      <c r="BH599" s="31">
        <f t="shared" si="1379"/>
        <v>17679.911938137895</v>
      </c>
    </row>
    <row r="601" spans="1:60" x14ac:dyDescent="0.3">
      <c r="D601" s="190" t="s">
        <v>1428</v>
      </c>
      <c r="BD601" s="31">
        <v>105911</v>
      </c>
    </row>
  </sheetData>
  <sheetProtection algorithmName="SHA-512" hashValue="52bKVyoku011Nr7Es4a3hCbS8+5Y6mBlqjmQY90xCuz5YFHoYkHA4ZBxXSpr9SmPVPUY8gB4/shNwnmNuXjxuA==" saltValue="o8Ge3Wkj0ynMN9jPpdjhUg==" spinCount="100000" sheet="1" objects="1" scenarios="1"/>
  <sortState ref="A6:Q463">
    <sortCondition ref="E6:E463"/>
    <sortCondition ref="F6:F463"/>
  </sortState>
  <conditionalFormatting sqref="AX222:AX250 AX6:AX220 AX318:AX325 AX333:AX395 AX542:AX548 AX550:AX570 AX327:AX331 AX397:AX491 AX493:AX540 AX253:AX316">
    <cfRule type="colorScale" priority="38">
      <colorScale>
        <cfvo type="min"/>
        <cfvo type="percentile" val="50"/>
        <cfvo type="max"/>
        <color rgb="FFF8696B"/>
        <color rgb="FFFFEB84"/>
        <color rgb="FF63BE7B"/>
      </colorScale>
    </cfRule>
  </conditionalFormatting>
  <conditionalFormatting sqref="AX221">
    <cfRule type="colorScale" priority="11">
      <colorScale>
        <cfvo type="min"/>
        <cfvo type="percentile" val="50"/>
        <cfvo type="max"/>
        <color rgb="FFF8696B"/>
        <color rgb="FFFFEB84"/>
        <color rgb="FF63BE7B"/>
      </colorScale>
    </cfRule>
  </conditionalFormatting>
  <conditionalFormatting sqref="AX251:AX252">
    <cfRule type="colorScale" priority="8">
      <colorScale>
        <cfvo type="min"/>
        <cfvo type="percentile" val="50"/>
        <cfvo type="max"/>
        <color rgb="FFF8696B"/>
        <color rgb="FFFFEB84"/>
        <color rgb="FF63BE7B"/>
      </colorScale>
    </cfRule>
  </conditionalFormatting>
  <conditionalFormatting sqref="AX396">
    <cfRule type="colorScale" priority="7">
      <colorScale>
        <cfvo type="min"/>
        <cfvo type="percentile" val="50"/>
        <cfvo type="max"/>
        <color rgb="FFF8696B"/>
        <color rgb="FFFFEB84"/>
        <color rgb="FF63BE7B"/>
      </colorScale>
    </cfRule>
  </conditionalFormatting>
  <conditionalFormatting sqref="AX332">
    <cfRule type="colorScale" priority="6">
      <colorScale>
        <cfvo type="min"/>
        <cfvo type="percentile" val="50"/>
        <cfvo type="max"/>
        <color rgb="FFF8696B"/>
        <color rgb="FFFFEB84"/>
        <color rgb="FF63BE7B"/>
      </colorScale>
    </cfRule>
  </conditionalFormatting>
  <conditionalFormatting sqref="AX492">
    <cfRule type="colorScale" priority="5">
      <colorScale>
        <cfvo type="min"/>
        <cfvo type="percentile" val="50"/>
        <cfvo type="max"/>
        <color rgb="FFF8696B"/>
        <color rgb="FFFFEB84"/>
        <color rgb="FF63BE7B"/>
      </colorScale>
    </cfRule>
  </conditionalFormatting>
  <conditionalFormatting sqref="AX317">
    <cfRule type="colorScale" priority="4">
      <colorScale>
        <cfvo type="min"/>
        <cfvo type="percentile" val="50"/>
        <cfvo type="max"/>
        <color rgb="FFF8696B"/>
        <color rgb="FFFFEB84"/>
        <color rgb="FF63BE7B"/>
      </colorScale>
    </cfRule>
  </conditionalFormatting>
  <conditionalFormatting sqref="AX549">
    <cfRule type="colorScale" priority="3">
      <colorScale>
        <cfvo type="min"/>
        <cfvo type="percentile" val="50"/>
        <cfvo type="max"/>
        <color rgb="FFF8696B"/>
        <color rgb="FFFFEB84"/>
        <color rgb="FF63BE7B"/>
      </colorScale>
    </cfRule>
  </conditionalFormatting>
  <conditionalFormatting sqref="AX541">
    <cfRule type="colorScale" priority="2">
      <colorScale>
        <cfvo type="min"/>
        <cfvo type="percentile" val="50"/>
        <cfvo type="max"/>
        <color rgb="FFF8696B"/>
        <color rgb="FFFFEB84"/>
        <color rgb="FF63BE7B"/>
      </colorScale>
    </cfRule>
  </conditionalFormatting>
  <conditionalFormatting sqref="AX326">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verticalDpi="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713"/>
  <sheetViews>
    <sheetView workbookViewId="0"/>
  </sheetViews>
  <sheetFormatPr defaultColWidth="8.77734375" defaultRowHeight="14.4" x14ac:dyDescent="0.3"/>
  <cols>
    <col min="1" max="1" width="10" bestFit="1" customWidth="1"/>
    <col min="2" max="2" width="6" bestFit="1" customWidth="1"/>
  </cols>
  <sheetData>
    <row r="1" spans="1:2" x14ac:dyDescent="0.3">
      <c r="A1" t="s">
        <v>561</v>
      </c>
      <c r="B1" t="s">
        <v>560</v>
      </c>
    </row>
    <row r="2" spans="1:2" x14ac:dyDescent="0.3">
      <c r="A2">
        <v>10307000</v>
      </c>
      <c r="B2">
        <v>4161</v>
      </c>
    </row>
    <row r="3" spans="1:2" x14ac:dyDescent="0.3">
      <c r="A3">
        <v>10224000</v>
      </c>
      <c r="B3">
        <v>4158</v>
      </c>
    </row>
    <row r="4" spans="1:2" x14ac:dyDescent="0.3">
      <c r="A4">
        <v>10306000</v>
      </c>
      <c r="B4">
        <v>4160</v>
      </c>
    </row>
    <row r="5" spans="1:2" x14ac:dyDescent="0.3">
      <c r="A5">
        <v>10220000</v>
      </c>
      <c r="B5">
        <v>4157</v>
      </c>
    </row>
    <row r="6" spans="1:2" x14ac:dyDescent="0.3">
      <c r="A6">
        <v>10323000</v>
      </c>
      <c r="B6">
        <v>4163</v>
      </c>
    </row>
    <row r="7" spans="1:2" x14ac:dyDescent="0.3">
      <c r="A7">
        <v>12601000</v>
      </c>
      <c r="B7">
        <v>6476</v>
      </c>
    </row>
    <row r="8" spans="1:2" x14ac:dyDescent="0.3">
      <c r="A8">
        <v>10227000</v>
      </c>
      <c r="B8">
        <v>4159</v>
      </c>
    </row>
    <row r="9" spans="1:2" x14ac:dyDescent="0.3">
      <c r="A9">
        <v>10210000</v>
      </c>
      <c r="B9">
        <v>4155</v>
      </c>
    </row>
    <row r="10" spans="1:2" x14ac:dyDescent="0.3">
      <c r="A10">
        <v>10218000</v>
      </c>
      <c r="B10">
        <v>4156</v>
      </c>
    </row>
    <row r="11" spans="1:2" x14ac:dyDescent="0.3">
      <c r="A11">
        <v>10201000</v>
      </c>
      <c r="B11">
        <v>4153</v>
      </c>
    </row>
    <row r="12" spans="1:2" x14ac:dyDescent="0.3">
      <c r="A12">
        <v>12101000</v>
      </c>
      <c r="B12">
        <v>6470</v>
      </c>
    </row>
    <row r="13" spans="1:2" x14ac:dyDescent="0.3">
      <c r="A13">
        <v>10309000</v>
      </c>
      <c r="B13">
        <v>4162</v>
      </c>
    </row>
    <row r="14" spans="1:2" x14ac:dyDescent="0.3">
      <c r="A14">
        <v>10208000</v>
      </c>
      <c r="B14">
        <v>4154</v>
      </c>
    </row>
    <row r="15" spans="1:2" x14ac:dyDescent="0.3">
      <c r="A15">
        <v>211002000</v>
      </c>
      <c r="B15">
        <v>8336</v>
      </c>
    </row>
    <row r="16" spans="1:2" x14ac:dyDescent="0.3">
      <c r="A16">
        <v>211001000</v>
      </c>
      <c r="B16">
        <v>8326</v>
      </c>
    </row>
    <row r="17" spans="1:2" x14ac:dyDescent="0.3">
      <c r="A17">
        <v>20342000</v>
      </c>
      <c r="B17">
        <v>4178</v>
      </c>
    </row>
    <row r="18" spans="1:2" x14ac:dyDescent="0.3">
      <c r="A18">
        <v>20453000</v>
      </c>
      <c r="B18">
        <v>4187</v>
      </c>
    </row>
    <row r="19" spans="1:2" x14ac:dyDescent="0.3">
      <c r="A19">
        <v>20209000</v>
      </c>
      <c r="B19">
        <v>79226</v>
      </c>
    </row>
    <row r="20" spans="1:2" x14ac:dyDescent="0.3">
      <c r="A20">
        <v>20202000</v>
      </c>
      <c r="B20">
        <v>4169</v>
      </c>
    </row>
    <row r="21" spans="1:2" x14ac:dyDescent="0.3">
      <c r="A21">
        <v>20214000</v>
      </c>
      <c r="B21">
        <v>4171</v>
      </c>
    </row>
    <row r="22" spans="1:2" x14ac:dyDescent="0.3">
      <c r="A22">
        <v>28750000</v>
      </c>
      <c r="B22">
        <v>4191</v>
      </c>
    </row>
    <row r="23" spans="1:2" x14ac:dyDescent="0.3">
      <c r="A23">
        <v>28701000</v>
      </c>
      <c r="B23">
        <v>81027</v>
      </c>
    </row>
    <row r="24" spans="1:2" x14ac:dyDescent="0.3">
      <c r="A24">
        <v>20326000</v>
      </c>
      <c r="B24">
        <v>4177</v>
      </c>
    </row>
    <row r="25" spans="1:2" x14ac:dyDescent="0.3">
      <c r="A25">
        <v>20801000</v>
      </c>
      <c r="B25">
        <v>79403</v>
      </c>
    </row>
    <row r="26" spans="1:2" x14ac:dyDescent="0.3">
      <c r="A26">
        <v>20345000</v>
      </c>
      <c r="B26">
        <v>4179</v>
      </c>
    </row>
    <row r="27" spans="1:2" x14ac:dyDescent="0.3">
      <c r="A27">
        <v>20227000</v>
      </c>
      <c r="B27">
        <v>4174</v>
      </c>
    </row>
    <row r="28" spans="1:2" x14ac:dyDescent="0.3">
      <c r="A28">
        <v>20412000</v>
      </c>
      <c r="B28">
        <v>4185</v>
      </c>
    </row>
    <row r="29" spans="1:2" x14ac:dyDescent="0.3">
      <c r="A29">
        <v>20100000</v>
      </c>
      <c r="B29">
        <v>4167</v>
      </c>
    </row>
    <row r="30" spans="1:2" x14ac:dyDescent="0.3">
      <c r="A30">
        <v>20355000</v>
      </c>
      <c r="B30">
        <v>4181</v>
      </c>
    </row>
    <row r="31" spans="1:2" x14ac:dyDescent="0.3">
      <c r="A31">
        <v>20323000</v>
      </c>
      <c r="B31">
        <v>4176</v>
      </c>
    </row>
    <row r="32" spans="1:2" x14ac:dyDescent="0.3">
      <c r="A32">
        <v>28751000</v>
      </c>
      <c r="B32">
        <v>79503</v>
      </c>
    </row>
    <row r="33" spans="1:2" x14ac:dyDescent="0.3">
      <c r="A33">
        <v>20349000</v>
      </c>
      <c r="B33">
        <v>4180</v>
      </c>
    </row>
    <row r="34" spans="1:2" x14ac:dyDescent="0.3">
      <c r="A34">
        <v>20422000</v>
      </c>
      <c r="B34">
        <v>4186</v>
      </c>
    </row>
    <row r="35" spans="1:2" x14ac:dyDescent="0.3">
      <c r="A35">
        <v>20364000</v>
      </c>
      <c r="B35">
        <v>4188</v>
      </c>
    </row>
    <row r="36" spans="1:2" x14ac:dyDescent="0.3">
      <c r="A36">
        <v>20218000</v>
      </c>
      <c r="B36">
        <v>4172</v>
      </c>
    </row>
    <row r="37" spans="1:2" x14ac:dyDescent="0.3">
      <c r="A37">
        <v>20268000</v>
      </c>
      <c r="B37">
        <v>4175</v>
      </c>
    </row>
    <row r="38" spans="1:2" x14ac:dyDescent="0.3">
      <c r="A38">
        <v>20221000</v>
      </c>
      <c r="B38">
        <v>4173</v>
      </c>
    </row>
    <row r="39" spans="1:2" x14ac:dyDescent="0.3">
      <c r="A39">
        <v>20201000</v>
      </c>
      <c r="B39">
        <v>4168</v>
      </c>
    </row>
    <row r="40" spans="1:2" x14ac:dyDescent="0.3">
      <c r="A40">
        <v>20522000</v>
      </c>
      <c r="B40">
        <v>4190</v>
      </c>
    </row>
    <row r="41" spans="1:2" x14ac:dyDescent="0.3">
      <c r="A41">
        <v>38708000</v>
      </c>
      <c r="B41">
        <v>79671</v>
      </c>
    </row>
    <row r="42" spans="1:2" x14ac:dyDescent="0.3">
      <c r="A42">
        <v>20213000</v>
      </c>
      <c r="B42">
        <v>4170</v>
      </c>
    </row>
    <row r="43" spans="1:2" x14ac:dyDescent="0.3">
      <c r="A43">
        <v>38707000</v>
      </c>
      <c r="B43">
        <v>90862</v>
      </c>
    </row>
    <row r="44" spans="1:2" x14ac:dyDescent="0.3">
      <c r="A44">
        <v>30801000</v>
      </c>
      <c r="B44">
        <v>79381</v>
      </c>
    </row>
    <row r="45" spans="1:2" x14ac:dyDescent="0.3">
      <c r="A45">
        <v>30199000</v>
      </c>
      <c r="B45">
        <v>10386</v>
      </c>
    </row>
    <row r="46" spans="1:2" x14ac:dyDescent="0.3">
      <c r="A46">
        <v>38750000</v>
      </c>
      <c r="B46">
        <v>4202</v>
      </c>
    </row>
    <row r="47" spans="1:2" x14ac:dyDescent="0.3">
      <c r="A47">
        <v>38752000</v>
      </c>
      <c r="B47">
        <v>4207</v>
      </c>
    </row>
    <row r="48" spans="1:2" x14ac:dyDescent="0.3">
      <c r="A48">
        <v>38705000</v>
      </c>
      <c r="B48">
        <v>4205</v>
      </c>
    </row>
    <row r="49" spans="1:2" x14ac:dyDescent="0.3">
      <c r="A49">
        <v>30201000</v>
      </c>
      <c r="B49">
        <v>4192</v>
      </c>
    </row>
    <row r="50" spans="1:2" x14ac:dyDescent="0.3">
      <c r="A50">
        <v>30206000</v>
      </c>
      <c r="B50">
        <v>4195</v>
      </c>
    </row>
    <row r="51" spans="1:2" x14ac:dyDescent="0.3">
      <c r="A51">
        <v>30204000</v>
      </c>
      <c r="B51">
        <v>4194</v>
      </c>
    </row>
    <row r="52" spans="1:2" x14ac:dyDescent="0.3">
      <c r="A52">
        <v>38755000</v>
      </c>
      <c r="B52">
        <v>89951</v>
      </c>
    </row>
    <row r="53" spans="1:2" x14ac:dyDescent="0.3">
      <c r="A53">
        <v>30310000</v>
      </c>
      <c r="B53">
        <v>4199</v>
      </c>
    </row>
    <row r="54" spans="1:2" x14ac:dyDescent="0.3">
      <c r="A54">
        <v>38751000</v>
      </c>
      <c r="B54">
        <v>4203</v>
      </c>
    </row>
    <row r="55" spans="1:2" x14ac:dyDescent="0.3">
      <c r="A55">
        <v>32602000</v>
      </c>
      <c r="B55">
        <v>6719</v>
      </c>
    </row>
    <row r="56" spans="1:2" x14ac:dyDescent="0.3">
      <c r="A56">
        <v>38701000</v>
      </c>
      <c r="B56">
        <v>4204</v>
      </c>
    </row>
    <row r="57" spans="1:2" x14ac:dyDescent="0.3">
      <c r="A57">
        <v>30208000</v>
      </c>
      <c r="B57">
        <v>4196</v>
      </c>
    </row>
    <row r="58" spans="1:2" x14ac:dyDescent="0.3">
      <c r="A58">
        <v>38753000</v>
      </c>
      <c r="B58">
        <v>79086</v>
      </c>
    </row>
    <row r="59" spans="1:2" x14ac:dyDescent="0.3">
      <c r="A59">
        <v>38702000</v>
      </c>
      <c r="B59">
        <v>79866</v>
      </c>
    </row>
    <row r="60" spans="1:2" x14ac:dyDescent="0.3">
      <c r="A60">
        <v>38706000</v>
      </c>
      <c r="B60">
        <v>4201</v>
      </c>
    </row>
    <row r="61" spans="1:2" x14ac:dyDescent="0.3">
      <c r="A61">
        <v>30215000</v>
      </c>
      <c r="B61">
        <v>4197</v>
      </c>
    </row>
    <row r="62" spans="1:2" x14ac:dyDescent="0.3">
      <c r="A62">
        <v>30202000</v>
      </c>
      <c r="B62">
        <v>4193</v>
      </c>
    </row>
    <row r="63" spans="1:2" x14ac:dyDescent="0.3">
      <c r="A63">
        <v>48701000</v>
      </c>
      <c r="B63">
        <v>6258</v>
      </c>
    </row>
    <row r="64" spans="1:2" x14ac:dyDescent="0.3">
      <c r="A64">
        <v>40149000</v>
      </c>
      <c r="B64">
        <v>87600</v>
      </c>
    </row>
    <row r="65" spans="1:2" x14ac:dyDescent="0.3">
      <c r="A65">
        <v>40201000</v>
      </c>
      <c r="B65">
        <v>4208</v>
      </c>
    </row>
    <row r="66" spans="1:2" x14ac:dyDescent="0.3">
      <c r="A66">
        <v>40241000</v>
      </c>
      <c r="B66">
        <v>4212</v>
      </c>
    </row>
    <row r="67" spans="1:2" x14ac:dyDescent="0.3">
      <c r="A67">
        <v>48750000</v>
      </c>
      <c r="B67">
        <v>4216</v>
      </c>
    </row>
    <row r="68" spans="1:2" x14ac:dyDescent="0.3">
      <c r="A68">
        <v>40240000</v>
      </c>
      <c r="B68">
        <v>4211</v>
      </c>
    </row>
    <row r="69" spans="1:2" x14ac:dyDescent="0.3">
      <c r="A69">
        <v>40210000</v>
      </c>
      <c r="B69">
        <v>4209</v>
      </c>
    </row>
    <row r="70" spans="1:2" x14ac:dyDescent="0.3">
      <c r="A70">
        <v>40312000</v>
      </c>
      <c r="B70">
        <v>4214</v>
      </c>
    </row>
    <row r="71" spans="1:2" x14ac:dyDescent="0.3">
      <c r="A71">
        <v>40220000</v>
      </c>
      <c r="B71">
        <v>4210</v>
      </c>
    </row>
    <row r="72" spans="1:2" x14ac:dyDescent="0.3">
      <c r="A72">
        <v>48703000</v>
      </c>
      <c r="B72">
        <v>79131</v>
      </c>
    </row>
    <row r="73" spans="1:2" x14ac:dyDescent="0.3">
      <c r="A73">
        <v>40333000</v>
      </c>
      <c r="B73">
        <v>4215</v>
      </c>
    </row>
    <row r="74" spans="1:2" x14ac:dyDescent="0.3">
      <c r="A74">
        <v>40305000</v>
      </c>
      <c r="B74">
        <v>4213</v>
      </c>
    </row>
    <row r="75" spans="1:2" x14ac:dyDescent="0.3">
      <c r="A75">
        <v>50316000</v>
      </c>
      <c r="B75">
        <v>4224</v>
      </c>
    </row>
    <row r="76" spans="1:2" x14ac:dyDescent="0.3">
      <c r="A76">
        <v>58703000</v>
      </c>
      <c r="B76">
        <v>6357</v>
      </c>
    </row>
    <row r="77" spans="1:2" x14ac:dyDescent="0.3">
      <c r="A77">
        <v>50207000</v>
      </c>
      <c r="B77">
        <v>4221</v>
      </c>
    </row>
    <row r="78" spans="1:2" x14ac:dyDescent="0.3">
      <c r="A78">
        <v>50802000</v>
      </c>
      <c r="B78">
        <v>79387</v>
      </c>
    </row>
    <row r="79" spans="1:2" x14ac:dyDescent="0.3">
      <c r="A79">
        <v>50199000</v>
      </c>
      <c r="B79">
        <v>4217</v>
      </c>
    </row>
    <row r="80" spans="1:2" x14ac:dyDescent="0.3">
      <c r="A80">
        <v>50206000</v>
      </c>
      <c r="B80">
        <v>4220</v>
      </c>
    </row>
    <row r="81" spans="1:2" x14ac:dyDescent="0.3">
      <c r="A81">
        <v>50201000</v>
      </c>
      <c r="B81">
        <v>4218</v>
      </c>
    </row>
    <row r="82" spans="1:2" x14ac:dyDescent="0.3">
      <c r="A82">
        <v>50305000</v>
      </c>
      <c r="B82">
        <v>4222</v>
      </c>
    </row>
    <row r="83" spans="1:2" x14ac:dyDescent="0.3">
      <c r="A83">
        <v>50204000</v>
      </c>
      <c r="B83">
        <v>4219</v>
      </c>
    </row>
    <row r="84" spans="1:2" x14ac:dyDescent="0.3">
      <c r="A84">
        <v>58702000</v>
      </c>
      <c r="B84">
        <v>4225</v>
      </c>
    </row>
    <row r="85" spans="1:2" x14ac:dyDescent="0.3">
      <c r="A85">
        <v>60322000</v>
      </c>
      <c r="B85">
        <v>4231</v>
      </c>
    </row>
    <row r="86" spans="1:2" x14ac:dyDescent="0.3">
      <c r="A86">
        <v>60202000</v>
      </c>
      <c r="B86">
        <v>4228</v>
      </c>
    </row>
    <row r="87" spans="1:2" x14ac:dyDescent="0.3">
      <c r="A87">
        <v>60218000</v>
      </c>
      <c r="B87">
        <v>4230</v>
      </c>
    </row>
    <row r="88" spans="1:2" x14ac:dyDescent="0.3">
      <c r="A88">
        <v>150576000</v>
      </c>
      <c r="B88">
        <v>4515</v>
      </c>
    </row>
    <row r="89" spans="1:2" x14ac:dyDescent="0.3">
      <c r="A89">
        <v>150426000</v>
      </c>
      <c r="B89">
        <v>4513</v>
      </c>
    </row>
    <row r="90" spans="1:2" x14ac:dyDescent="0.3">
      <c r="A90">
        <v>150227000</v>
      </c>
      <c r="B90">
        <v>4510</v>
      </c>
    </row>
    <row r="91" spans="1:2" x14ac:dyDescent="0.3">
      <c r="A91">
        <v>150404000</v>
      </c>
      <c r="B91">
        <v>4511</v>
      </c>
    </row>
    <row r="92" spans="1:2" x14ac:dyDescent="0.3">
      <c r="A92">
        <v>150430000</v>
      </c>
      <c r="B92">
        <v>4514</v>
      </c>
    </row>
    <row r="93" spans="1:2" x14ac:dyDescent="0.3">
      <c r="A93">
        <v>150419000</v>
      </c>
      <c r="B93">
        <v>4512</v>
      </c>
    </row>
    <row r="94" spans="1:2" x14ac:dyDescent="0.3">
      <c r="A94">
        <v>72196000</v>
      </c>
      <c r="B94">
        <v>79004</v>
      </c>
    </row>
    <row r="95" spans="1:2" x14ac:dyDescent="0.3">
      <c r="A95">
        <v>78604000</v>
      </c>
      <c r="B95">
        <v>4296</v>
      </c>
    </row>
    <row r="96" spans="1:2" x14ac:dyDescent="0.3">
      <c r="A96">
        <v>78794000</v>
      </c>
      <c r="B96">
        <v>79213</v>
      </c>
    </row>
    <row r="97" spans="1:2" x14ac:dyDescent="0.3">
      <c r="A97">
        <v>72164000</v>
      </c>
      <c r="B97">
        <v>7355</v>
      </c>
    </row>
    <row r="98" spans="1:2" x14ac:dyDescent="0.3">
      <c r="A98">
        <v>78979000</v>
      </c>
      <c r="B98">
        <v>4297</v>
      </c>
    </row>
    <row r="99" spans="1:2" x14ac:dyDescent="0.3">
      <c r="A99">
        <v>78701000</v>
      </c>
      <c r="B99">
        <v>4325</v>
      </c>
    </row>
    <row r="100" spans="1:2" x14ac:dyDescent="0.3">
      <c r="A100">
        <v>70516000</v>
      </c>
      <c r="B100">
        <v>4289</v>
      </c>
    </row>
    <row r="101" spans="1:2" x14ac:dyDescent="0.3">
      <c r="A101">
        <v>70363000</v>
      </c>
      <c r="B101">
        <v>4249</v>
      </c>
    </row>
    <row r="102" spans="1:2" x14ac:dyDescent="0.3">
      <c r="A102">
        <v>78582000</v>
      </c>
      <c r="B102">
        <v>90758</v>
      </c>
    </row>
    <row r="103" spans="1:2" x14ac:dyDescent="0.3">
      <c r="A103">
        <v>78501000</v>
      </c>
      <c r="B103">
        <v>85875</v>
      </c>
    </row>
    <row r="104" spans="1:2" x14ac:dyDescent="0.3">
      <c r="A104">
        <v>78793000</v>
      </c>
      <c r="B104">
        <v>79053</v>
      </c>
    </row>
    <row r="105" spans="1:2" x14ac:dyDescent="0.3">
      <c r="A105">
        <v>70468000</v>
      </c>
      <c r="B105">
        <v>4280</v>
      </c>
    </row>
    <row r="106" spans="1:2" x14ac:dyDescent="0.3">
      <c r="A106">
        <v>78967000</v>
      </c>
      <c r="B106">
        <v>79969</v>
      </c>
    </row>
    <row r="107" spans="1:2" x14ac:dyDescent="0.3">
      <c r="A107">
        <v>78724000</v>
      </c>
      <c r="B107">
        <v>4347</v>
      </c>
    </row>
    <row r="108" spans="1:2" x14ac:dyDescent="0.3">
      <c r="A108">
        <v>78529000</v>
      </c>
      <c r="B108">
        <v>89550</v>
      </c>
    </row>
    <row r="109" spans="1:2" x14ac:dyDescent="0.3">
      <c r="A109">
        <v>78989000</v>
      </c>
      <c r="B109">
        <v>79215</v>
      </c>
    </row>
    <row r="110" spans="1:2" x14ac:dyDescent="0.3">
      <c r="A110">
        <v>78950000</v>
      </c>
      <c r="B110">
        <v>79874</v>
      </c>
    </row>
    <row r="111" spans="1:2" x14ac:dyDescent="0.3">
      <c r="A111">
        <v>78947000</v>
      </c>
      <c r="B111">
        <v>79872</v>
      </c>
    </row>
    <row r="112" spans="1:2" x14ac:dyDescent="0.3">
      <c r="A112">
        <v>78948000</v>
      </c>
      <c r="B112">
        <v>79873</v>
      </c>
    </row>
    <row r="113" spans="1:2" x14ac:dyDescent="0.3">
      <c r="A113">
        <v>78951000</v>
      </c>
      <c r="B113">
        <v>79875</v>
      </c>
    </row>
    <row r="114" spans="1:2" x14ac:dyDescent="0.3">
      <c r="A114">
        <v>78983000</v>
      </c>
      <c r="B114">
        <v>80989</v>
      </c>
    </row>
    <row r="115" spans="1:2" x14ac:dyDescent="0.3">
      <c r="A115">
        <v>78517000</v>
      </c>
      <c r="B115">
        <v>88334</v>
      </c>
    </row>
    <row r="116" spans="1:2" x14ac:dyDescent="0.3">
      <c r="A116">
        <v>78953000</v>
      </c>
      <c r="B116">
        <v>79877</v>
      </c>
    </row>
    <row r="117" spans="1:2" x14ac:dyDescent="0.3">
      <c r="A117">
        <v>78956000</v>
      </c>
      <c r="B117">
        <v>79879</v>
      </c>
    </row>
    <row r="118" spans="1:2" x14ac:dyDescent="0.3">
      <c r="A118">
        <v>78725000</v>
      </c>
      <c r="B118">
        <v>4348</v>
      </c>
    </row>
    <row r="119" spans="1:2" x14ac:dyDescent="0.3">
      <c r="A119">
        <v>78525000</v>
      </c>
      <c r="B119">
        <v>90532</v>
      </c>
    </row>
    <row r="120" spans="1:2" x14ac:dyDescent="0.3">
      <c r="A120">
        <v>78247000</v>
      </c>
      <c r="B120">
        <v>92312</v>
      </c>
    </row>
    <row r="121" spans="1:2" x14ac:dyDescent="0.3">
      <c r="A121">
        <v>78597000</v>
      </c>
      <c r="B121">
        <v>90917</v>
      </c>
    </row>
    <row r="122" spans="1:2" x14ac:dyDescent="0.3">
      <c r="A122">
        <v>78248000</v>
      </c>
      <c r="B122">
        <v>92314</v>
      </c>
    </row>
    <row r="123" spans="1:2" x14ac:dyDescent="0.3">
      <c r="A123">
        <v>78406000</v>
      </c>
      <c r="B123">
        <v>91878</v>
      </c>
    </row>
    <row r="124" spans="1:2" x14ac:dyDescent="0.3">
      <c r="A124">
        <v>78214000</v>
      </c>
      <c r="B124">
        <v>91758</v>
      </c>
    </row>
    <row r="125" spans="1:2" x14ac:dyDescent="0.3">
      <c r="A125">
        <v>78590000</v>
      </c>
      <c r="B125">
        <v>90857</v>
      </c>
    </row>
    <row r="126" spans="1:2" x14ac:dyDescent="0.3">
      <c r="A126">
        <v>78595000</v>
      </c>
      <c r="B126">
        <v>90915</v>
      </c>
    </row>
    <row r="127" spans="1:2" x14ac:dyDescent="0.3">
      <c r="A127">
        <v>78596000</v>
      </c>
      <c r="B127">
        <v>90916</v>
      </c>
    </row>
    <row r="128" spans="1:2" x14ac:dyDescent="0.3">
      <c r="A128">
        <v>78527000</v>
      </c>
      <c r="B128">
        <v>89486</v>
      </c>
    </row>
    <row r="129" spans="1:2" x14ac:dyDescent="0.3">
      <c r="A129">
        <v>78665000</v>
      </c>
      <c r="B129">
        <v>6378</v>
      </c>
    </row>
    <row r="130" spans="1:2" x14ac:dyDescent="0.3">
      <c r="A130">
        <v>78707000</v>
      </c>
      <c r="B130">
        <v>4331</v>
      </c>
    </row>
    <row r="131" spans="1:2" x14ac:dyDescent="0.3">
      <c r="A131">
        <v>78993000</v>
      </c>
      <c r="B131">
        <v>85816</v>
      </c>
    </row>
    <row r="132" spans="1:2" x14ac:dyDescent="0.3">
      <c r="A132">
        <v>78587000</v>
      </c>
      <c r="B132">
        <v>90779</v>
      </c>
    </row>
    <row r="133" spans="1:2" x14ac:dyDescent="0.3">
      <c r="A133">
        <v>78510000</v>
      </c>
      <c r="B133">
        <v>87403</v>
      </c>
    </row>
    <row r="134" spans="1:2" x14ac:dyDescent="0.3">
      <c r="A134">
        <v>78226000</v>
      </c>
      <c r="B134">
        <v>91958</v>
      </c>
    </row>
    <row r="135" spans="1:2" x14ac:dyDescent="0.3">
      <c r="A135">
        <v>78723000</v>
      </c>
      <c r="B135">
        <v>4346</v>
      </c>
    </row>
    <row r="136" spans="1:2" x14ac:dyDescent="0.3">
      <c r="A136">
        <v>78511000</v>
      </c>
      <c r="B136">
        <v>87407</v>
      </c>
    </row>
    <row r="137" spans="1:2" x14ac:dyDescent="0.3">
      <c r="A137">
        <v>78260000</v>
      </c>
      <c r="B137">
        <v>92566</v>
      </c>
    </row>
    <row r="138" spans="1:2" x14ac:dyDescent="0.3">
      <c r="A138">
        <v>78991000</v>
      </c>
      <c r="B138">
        <v>85749</v>
      </c>
    </row>
    <row r="139" spans="1:2" x14ac:dyDescent="0.3">
      <c r="A139">
        <v>78722000</v>
      </c>
      <c r="B139">
        <v>4345</v>
      </c>
    </row>
    <row r="140" spans="1:2" x14ac:dyDescent="0.3">
      <c r="A140">
        <v>70447000</v>
      </c>
      <c r="B140">
        <v>4274</v>
      </c>
    </row>
    <row r="141" spans="1:2" x14ac:dyDescent="0.3">
      <c r="A141">
        <v>78250000</v>
      </c>
      <c r="B141">
        <v>92325</v>
      </c>
    </row>
    <row r="142" spans="1:2" x14ac:dyDescent="0.3">
      <c r="A142">
        <v>78546000</v>
      </c>
      <c r="B142">
        <v>89949</v>
      </c>
    </row>
    <row r="143" spans="1:2" x14ac:dyDescent="0.3">
      <c r="A143">
        <v>78207000</v>
      </c>
      <c r="B143">
        <v>91303</v>
      </c>
    </row>
    <row r="144" spans="1:2" x14ac:dyDescent="0.3">
      <c r="A144">
        <v>78205000</v>
      </c>
      <c r="B144">
        <v>91307</v>
      </c>
    </row>
    <row r="145" spans="1:2" x14ac:dyDescent="0.3">
      <c r="A145">
        <v>78208000</v>
      </c>
      <c r="B145">
        <v>91305</v>
      </c>
    </row>
    <row r="146" spans="1:2" x14ac:dyDescent="0.3">
      <c r="A146">
        <v>78251000</v>
      </c>
      <c r="B146">
        <v>92327</v>
      </c>
    </row>
    <row r="147" spans="1:2" x14ac:dyDescent="0.3">
      <c r="A147">
        <v>72150000</v>
      </c>
      <c r="B147">
        <v>90099</v>
      </c>
    </row>
    <row r="148" spans="1:2" x14ac:dyDescent="0.3">
      <c r="A148">
        <v>72128000</v>
      </c>
      <c r="B148">
        <v>91877</v>
      </c>
    </row>
    <row r="149" spans="1:2" x14ac:dyDescent="0.3">
      <c r="A149">
        <v>70444000</v>
      </c>
      <c r="B149">
        <v>4272</v>
      </c>
    </row>
    <row r="150" spans="1:2" x14ac:dyDescent="0.3">
      <c r="A150">
        <v>78614000</v>
      </c>
      <c r="B150">
        <v>79929</v>
      </c>
    </row>
    <row r="151" spans="1:2" x14ac:dyDescent="0.3">
      <c r="A151">
        <v>78542000</v>
      </c>
      <c r="B151">
        <v>89869</v>
      </c>
    </row>
    <row r="152" spans="1:2" x14ac:dyDescent="0.3">
      <c r="A152">
        <v>78988000</v>
      </c>
      <c r="B152">
        <v>79204</v>
      </c>
    </row>
    <row r="153" spans="1:2" x14ac:dyDescent="0.3">
      <c r="A153">
        <v>78987000</v>
      </c>
      <c r="B153">
        <v>4294</v>
      </c>
    </row>
    <row r="154" spans="1:2" x14ac:dyDescent="0.3">
      <c r="A154">
        <v>78586000</v>
      </c>
      <c r="B154">
        <v>90885</v>
      </c>
    </row>
    <row r="155" spans="1:2" x14ac:dyDescent="0.3">
      <c r="A155">
        <v>70431000</v>
      </c>
      <c r="B155">
        <v>4268</v>
      </c>
    </row>
    <row r="156" spans="1:2" x14ac:dyDescent="0.3">
      <c r="A156">
        <v>72144000</v>
      </c>
      <c r="B156">
        <v>7340</v>
      </c>
    </row>
    <row r="157" spans="1:2" x14ac:dyDescent="0.3">
      <c r="A157">
        <v>78212000</v>
      </c>
      <c r="B157">
        <v>91339</v>
      </c>
    </row>
    <row r="158" spans="1:2" x14ac:dyDescent="0.3">
      <c r="A158">
        <v>78403000</v>
      </c>
      <c r="B158">
        <v>91280</v>
      </c>
    </row>
    <row r="159" spans="1:2" x14ac:dyDescent="0.3">
      <c r="A159">
        <v>78589000</v>
      </c>
      <c r="B159">
        <v>90842</v>
      </c>
    </row>
    <row r="160" spans="1:2" x14ac:dyDescent="0.3">
      <c r="A160">
        <v>78225000</v>
      </c>
      <c r="B160">
        <v>91949</v>
      </c>
    </row>
    <row r="161" spans="1:2" x14ac:dyDescent="0.3">
      <c r="A161">
        <v>78575000</v>
      </c>
      <c r="B161">
        <v>90508</v>
      </c>
    </row>
    <row r="162" spans="1:2" x14ac:dyDescent="0.3">
      <c r="A162">
        <v>78588000</v>
      </c>
      <c r="B162">
        <v>90841</v>
      </c>
    </row>
    <row r="163" spans="1:2" x14ac:dyDescent="0.3">
      <c r="A163">
        <v>78231000</v>
      </c>
      <c r="B163">
        <v>92349</v>
      </c>
    </row>
    <row r="164" spans="1:2" x14ac:dyDescent="0.3">
      <c r="A164">
        <v>78736000</v>
      </c>
      <c r="B164">
        <v>81078</v>
      </c>
    </row>
    <row r="165" spans="1:2" x14ac:dyDescent="0.3">
      <c r="A165">
        <v>78972000</v>
      </c>
      <c r="B165">
        <v>79983</v>
      </c>
    </row>
    <row r="166" spans="1:2" x14ac:dyDescent="0.3">
      <c r="A166">
        <v>78766000</v>
      </c>
      <c r="B166">
        <v>10972</v>
      </c>
    </row>
    <row r="167" spans="1:2" x14ac:dyDescent="0.3">
      <c r="A167">
        <v>78754000</v>
      </c>
      <c r="B167">
        <v>4355</v>
      </c>
    </row>
    <row r="168" spans="1:2" x14ac:dyDescent="0.3">
      <c r="A168">
        <v>78745000</v>
      </c>
      <c r="B168">
        <v>81041</v>
      </c>
    </row>
    <row r="169" spans="1:2" x14ac:dyDescent="0.3">
      <c r="A169">
        <v>72194000</v>
      </c>
      <c r="B169">
        <v>90773</v>
      </c>
    </row>
    <row r="170" spans="1:2" x14ac:dyDescent="0.3">
      <c r="A170">
        <v>78613000</v>
      </c>
      <c r="B170">
        <v>4305</v>
      </c>
    </row>
    <row r="171" spans="1:2" x14ac:dyDescent="0.3">
      <c r="A171">
        <v>78746000</v>
      </c>
      <c r="B171">
        <v>81097</v>
      </c>
    </row>
    <row r="172" spans="1:2" x14ac:dyDescent="0.3">
      <c r="A172">
        <v>72172000</v>
      </c>
      <c r="B172">
        <v>92367</v>
      </c>
    </row>
    <row r="173" spans="1:2" x14ac:dyDescent="0.3">
      <c r="A173">
        <v>78762000</v>
      </c>
      <c r="B173">
        <v>4362</v>
      </c>
    </row>
    <row r="174" spans="1:2" x14ac:dyDescent="0.3">
      <c r="A174">
        <v>72124000</v>
      </c>
      <c r="B174">
        <v>91301</v>
      </c>
    </row>
    <row r="175" spans="1:2" x14ac:dyDescent="0.3">
      <c r="A175">
        <v>70433000</v>
      </c>
      <c r="B175">
        <v>4269</v>
      </c>
    </row>
    <row r="176" spans="1:2" x14ac:dyDescent="0.3">
      <c r="A176">
        <v>70501000</v>
      </c>
      <c r="B176">
        <v>4284</v>
      </c>
    </row>
    <row r="177" spans="1:2" x14ac:dyDescent="0.3">
      <c r="A177">
        <v>78565000</v>
      </c>
      <c r="B177">
        <v>90328</v>
      </c>
    </row>
    <row r="178" spans="1:2" x14ac:dyDescent="0.3">
      <c r="A178">
        <v>78564000</v>
      </c>
      <c r="B178">
        <v>90327</v>
      </c>
    </row>
    <row r="179" spans="1:2" x14ac:dyDescent="0.3">
      <c r="A179">
        <v>98749000</v>
      </c>
      <c r="B179">
        <v>79971</v>
      </c>
    </row>
    <row r="180" spans="1:2" x14ac:dyDescent="0.3">
      <c r="A180">
        <v>78909000</v>
      </c>
      <c r="B180">
        <v>79055</v>
      </c>
    </row>
    <row r="181" spans="1:2" x14ac:dyDescent="0.3">
      <c r="A181">
        <v>78768000</v>
      </c>
      <c r="B181">
        <v>78888</v>
      </c>
    </row>
    <row r="182" spans="1:2" x14ac:dyDescent="0.3">
      <c r="A182">
        <v>78959000</v>
      </c>
      <c r="B182">
        <v>79905</v>
      </c>
    </row>
    <row r="183" spans="1:2" x14ac:dyDescent="0.3">
      <c r="A183">
        <v>78211000</v>
      </c>
      <c r="B183">
        <v>91330</v>
      </c>
    </row>
    <row r="184" spans="1:2" x14ac:dyDescent="0.3">
      <c r="A184">
        <v>78534000</v>
      </c>
      <c r="B184">
        <v>89758</v>
      </c>
    </row>
    <row r="185" spans="1:2" x14ac:dyDescent="0.3">
      <c r="A185">
        <v>72107000</v>
      </c>
      <c r="B185">
        <v>79302</v>
      </c>
    </row>
    <row r="186" spans="1:2" x14ac:dyDescent="0.3">
      <c r="A186">
        <v>78524000</v>
      </c>
      <c r="B186">
        <v>79047</v>
      </c>
    </row>
    <row r="187" spans="1:2" x14ac:dyDescent="0.3">
      <c r="A187">
        <v>70483000</v>
      </c>
      <c r="B187">
        <v>4282</v>
      </c>
    </row>
    <row r="188" spans="1:2" x14ac:dyDescent="0.3">
      <c r="A188">
        <v>78218000</v>
      </c>
      <c r="B188">
        <v>91934</v>
      </c>
    </row>
    <row r="189" spans="1:2" x14ac:dyDescent="0.3">
      <c r="A189">
        <v>72628000</v>
      </c>
      <c r="B189">
        <v>8840</v>
      </c>
    </row>
    <row r="190" spans="1:2" x14ac:dyDescent="0.3">
      <c r="A190">
        <v>70293000</v>
      </c>
      <c r="B190">
        <v>4244</v>
      </c>
    </row>
    <row r="191" spans="1:2" x14ac:dyDescent="0.3">
      <c r="A191">
        <v>78550000</v>
      </c>
      <c r="B191">
        <v>90140</v>
      </c>
    </row>
    <row r="192" spans="1:2" x14ac:dyDescent="0.3">
      <c r="A192">
        <v>78772000</v>
      </c>
      <c r="B192">
        <v>6362</v>
      </c>
    </row>
    <row r="193" spans="1:2" x14ac:dyDescent="0.3">
      <c r="A193">
        <v>78957000</v>
      </c>
      <c r="B193">
        <v>79886</v>
      </c>
    </row>
    <row r="194" spans="1:2" x14ac:dyDescent="0.3">
      <c r="A194">
        <v>78515000</v>
      </c>
      <c r="B194">
        <v>88299</v>
      </c>
    </row>
    <row r="195" spans="1:2" x14ac:dyDescent="0.3">
      <c r="A195">
        <v>70280000</v>
      </c>
      <c r="B195">
        <v>4242</v>
      </c>
    </row>
    <row r="196" spans="1:2" x14ac:dyDescent="0.3">
      <c r="A196">
        <v>72634000</v>
      </c>
      <c r="B196">
        <v>8929</v>
      </c>
    </row>
    <row r="197" spans="1:2" x14ac:dyDescent="0.3">
      <c r="A197">
        <v>72167000</v>
      </c>
      <c r="B197">
        <v>7363</v>
      </c>
    </row>
    <row r="198" spans="1:2" x14ac:dyDescent="0.3">
      <c r="A198">
        <v>78549000</v>
      </c>
      <c r="B198">
        <v>90138</v>
      </c>
    </row>
    <row r="199" spans="1:2" x14ac:dyDescent="0.3">
      <c r="A199">
        <v>78995000</v>
      </c>
      <c r="B199">
        <v>5186</v>
      </c>
    </row>
    <row r="200" spans="1:2" x14ac:dyDescent="0.3">
      <c r="A200">
        <v>72147000</v>
      </c>
      <c r="B200">
        <v>81205</v>
      </c>
    </row>
    <row r="201" spans="1:2" x14ac:dyDescent="0.3">
      <c r="A201">
        <v>78249000</v>
      </c>
      <c r="B201">
        <v>92316</v>
      </c>
    </row>
    <row r="202" spans="1:2" x14ac:dyDescent="0.3">
      <c r="A202">
        <v>72623000</v>
      </c>
      <c r="B202">
        <v>8823</v>
      </c>
    </row>
    <row r="203" spans="1:2" x14ac:dyDescent="0.3">
      <c r="A203">
        <v>72616000</v>
      </c>
      <c r="B203">
        <v>8821</v>
      </c>
    </row>
    <row r="204" spans="1:2" x14ac:dyDescent="0.3">
      <c r="A204">
        <v>78530000</v>
      </c>
      <c r="B204">
        <v>89556</v>
      </c>
    </row>
    <row r="205" spans="1:2" x14ac:dyDescent="0.3">
      <c r="A205">
        <v>78994000</v>
      </c>
      <c r="B205">
        <v>79077</v>
      </c>
    </row>
    <row r="206" spans="1:2" x14ac:dyDescent="0.3">
      <c r="A206">
        <v>78975000</v>
      </c>
      <c r="B206">
        <v>79988</v>
      </c>
    </row>
    <row r="207" spans="1:2" x14ac:dyDescent="0.3">
      <c r="A207">
        <v>78513000</v>
      </c>
      <c r="B207">
        <v>79074</v>
      </c>
    </row>
    <row r="208" spans="1:2" x14ac:dyDescent="0.3">
      <c r="A208">
        <v>72199000</v>
      </c>
      <c r="B208">
        <v>89936</v>
      </c>
    </row>
    <row r="209" spans="1:2" x14ac:dyDescent="0.3">
      <c r="A209">
        <v>70414000</v>
      </c>
      <c r="B209">
        <v>4263</v>
      </c>
    </row>
    <row r="210" spans="1:2" x14ac:dyDescent="0.3">
      <c r="A210">
        <v>78921000</v>
      </c>
      <c r="B210">
        <v>79443</v>
      </c>
    </row>
    <row r="211" spans="1:2" x14ac:dyDescent="0.3">
      <c r="A211">
        <v>78544000</v>
      </c>
      <c r="B211">
        <v>89917</v>
      </c>
    </row>
    <row r="212" spans="1:2" x14ac:dyDescent="0.3">
      <c r="A212">
        <v>78569000</v>
      </c>
      <c r="B212">
        <v>90332</v>
      </c>
    </row>
    <row r="213" spans="1:2" x14ac:dyDescent="0.3">
      <c r="A213">
        <v>78577000</v>
      </c>
      <c r="B213">
        <v>90541</v>
      </c>
    </row>
    <row r="214" spans="1:2" x14ac:dyDescent="0.3">
      <c r="A214">
        <v>78934000</v>
      </c>
      <c r="B214">
        <v>79496</v>
      </c>
    </row>
    <row r="215" spans="1:2" x14ac:dyDescent="0.3">
      <c r="A215">
        <v>70297000</v>
      </c>
      <c r="B215">
        <v>4246</v>
      </c>
    </row>
    <row r="216" spans="1:2" x14ac:dyDescent="0.3">
      <c r="A216">
        <v>72112000</v>
      </c>
      <c r="B216">
        <v>88618</v>
      </c>
    </row>
    <row r="217" spans="1:2" x14ac:dyDescent="0.3">
      <c r="A217">
        <v>72113000</v>
      </c>
      <c r="B217">
        <v>90050</v>
      </c>
    </row>
    <row r="218" spans="1:2" x14ac:dyDescent="0.3">
      <c r="A218">
        <v>78621000</v>
      </c>
      <c r="B218">
        <v>81099</v>
      </c>
    </row>
    <row r="219" spans="1:2" x14ac:dyDescent="0.3">
      <c r="A219">
        <v>72105000</v>
      </c>
      <c r="B219">
        <v>7301</v>
      </c>
    </row>
    <row r="220" spans="1:2" x14ac:dyDescent="0.3">
      <c r="A220">
        <v>72102000</v>
      </c>
      <c r="B220">
        <v>7295</v>
      </c>
    </row>
    <row r="221" spans="1:2" x14ac:dyDescent="0.3">
      <c r="A221">
        <v>70289000</v>
      </c>
      <c r="B221">
        <v>4243</v>
      </c>
    </row>
    <row r="222" spans="1:2" x14ac:dyDescent="0.3">
      <c r="A222">
        <v>78911000</v>
      </c>
      <c r="B222">
        <v>79059</v>
      </c>
    </row>
    <row r="223" spans="1:2" x14ac:dyDescent="0.3">
      <c r="A223">
        <v>78202000</v>
      </c>
      <c r="B223">
        <v>91170</v>
      </c>
    </row>
    <row r="224" spans="1:2" x14ac:dyDescent="0.3">
      <c r="A224">
        <v>78541000</v>
      </c>
      <c r="B224">
        <v>89850</v>
      </c>
    </row>
    <row r="225" spans="1:2" x14ac:dyDescent="0.3">
      <c r="A225">
        <v>78222000</v>
      </c>
      <c r="B225">
        <v>91938</v>
      </c>
    </row>
    <row r="226" spans="1:2" x14ac:dyDescent="0.3">
      <c r="A226">
        <v>78223000</v>
      </c>
      <c r="B226">
        <v>91939</v>
      </c>
    </row>
    <row r="227" spans="1:2" x14ac:dyDescent="0.3">
      <c r="A227">
        <v>78509000</v>
      </c>
      <c r="B227">
        <v>87401</v>
      </c>
    </row>
    <row r="228" spans="1:2" x14ac:dyDescent="0.3">
      <c r="A228">
        <v>78683000</v>
      </c>
      <c r="B228">
        <v>10971</v>
      </c>
    </row>
    <row r="229" spans="1:2" x14ac:dyDescent="0.3">
      <c r="A229">
        <v>70801000</v>
      </c>
      <c r="B229">
        <v>4516</v>
      </c>
    </row>
    <row r="230" spans="1:2" x14ac:dyDescent="0.3">
      <c r="A230">
        <v>78971000</v>
      </c>
      <c r="B230">
        <v>79981</v>
      </c>
    </row>
    <row r="231" spans="1:2" x14ac:dyDescent="0.3">
      <c r="A231">
        <v>78742000</v>
      </c>
      <c r="B231">
        <v>81045</v>
      </c>
    </row>
    <row r="232" spans="1:2" x14ac:dyDescent="0.3">
      <c r="A232">
        <v>78740000</v>
      </c>
      <c r="B232">
        <v>81043</v>
      </c>
    </row>
    <row r="233" spans="1:2" x14ac:dyDescent="0.3">
      <c r="A233">
        <v>78915000</v>
      </c>
      <c r="B233">
        <v>6446</v>
      </c>
    </row>
    <row r="234" spans="1:2" x14ac:dyDescent="0.3">
      <c r="A234">
        <v>78705000</v>
      </c>
      <c r="B234">
        <v>4329</v>
      </c>
    </row>
    <row r="235" spans="1:2" x14ac:dyDescent="0.3">
      <c r="A235">
        <v>78246000</v>
      </c>
      <c r="B235">
        <v>92226</v>
      </c>
    </row>
    <row r="236" spans="1:2" x14ac:dyDescent="0.3">
      <c r="A236">
        <v>78744000</v>
      </c>
      <c r="B236">
        <v>81050</v>
      </c>
    </row>
    <row r="237" spans="1:2" x14ac:dyDescent="0.3">
      <c r="A237">
        <v>78917000</v>
      </c>
      <c r="B237">
        <v>79211</v>
      </c>
    </row>
    <row r="238" spans="1:2" x14ac:dyDescent="0.3">
      <c r="A238">
        <v>72125000</v>
      </c>
      <c r="B238">
        <v>91344</v>
      </c>
    </row>
    <row r="239" spans="1:2" x14ac:dyDescent="0.3">
      <c r="A239">
        <v>78558000</v>
      </c>
      <c r="B239">
        <v>90201</v>
      </c>
    </row>
    <row r="240" spans="1:2" x14ac:dyDescent="0.3">
      <c r="A240">
        <v>78717000</v>
      </c>
      <c r="B240">
        <v>4341</v>
      </c>
    </row>
    <row r="241" spans="1:2" x14ac:dyDescent="0.3">
      <c r="A241">
        <v>78664000</v>
      </c>
      <c r="B241">
        <v>6375</v>
      </c>
    </row>
    <row r="242" spans="1:2" x14ac:dyDescent="0.3">
      <c r="A242">
        <v>78401000</v>
      </c>
      <c r="B242">
        <v>91277</v>
      </c>
    </row>
    <row r="243" spans="1:2" x14ac:dyDescent="0.3">
      <c r="A243">
        <v>78505000</v>
      </c>
      <c r="B243">
        <v>87336</v>
      </c>
    </row>
    <row r="244" spans="1:2" x14ac:dyDescent="0.3">
      <c r="A244">
        <v>78711000</v>
      </c>
      <c r="B244">
        <v>4335</v>
      </c>
    </row>
    <row r="245" spans="1:2" x14ac:dyDescent="0.3">
      <c r="A245">
        <v>78103000</v>
      </c>
      <c r="B245">
        <v>92250</v>
      </c>
    </row>
    <row r="246" spans="1:2" x14ac:dyDescent="0.3">
      <c r="A246">
        <v>78901000</v>
      </c>
      <c r="B246">
        <v>79214</v>
      </c>
    </row>
    <row r="247" spans="1:2" x14ac:dyDescent="0.3">
      <c r="A247">
        <v>78785000</v>
      </c>
      <c r="B247">
        <v>78783</v>
      </c>
    </row>
    <row r="248" spans="1:2" x14ac:dyDescent="0.3">
      <c r="A248">
        <v>78608000</v>
      </c>
      <c r="B248">
        <v>4300</v>
      </c>
    </row>
    <row r="249" spans="1:2" x14ac:dyDescent="0.3">
      <c r="A249">
        <v>78628000</v>
      </c>
      <c r="B249">
        <v>4309</v>
      </c>
    </row>
    <row r="250" spans="1:2" x14ac:dyDescent="0.3">
      <c r="A250">
        <v>72140000</v>
      </c>
      <c r="B250">
        <v>7334</v>
      </c>
    </row>
    <row r="251" spans="1:2" x14ac:dyDescent="0.3">
      <c r="A251">
        <v>78755000</v>
      </c>
      <c r="B251">
        <v>4356</v>
      </c>
    </row>
    <row r="252" spans="1:2" x14ac:dyDescent="0.3">
      <c r="A252">
        <v>70298000</v>
      </c>
      <c r="B252">
        <v>4247</v>
      </c>
    </row>
    <row r="253" spans="1:2" x14ac:dyDescent="0.3">
      <c r="A253">
        <v>70445000</v>
      </c>
      <c r="B253">
        <v>4273</v>
      </c>
    </row>
    <row r="254" spans="1:2" x14ac:dyDescent="0.3">
      <c r="A254">
        <v>72617000</v>
      </c>
      <c r="B254">
        <v>91827</v>
      </c>
    </row>
    <row r="255" spans="1:2" x14ac:dyDescent="0.3">
      <c r="A255">
        <v>78263000</v>
      </c>
      <c r="B255">
        <v>92596</v>
      </c>
    </row>
    <row r="256" spans="1:2" x14ac:dyDescent="0.3">
      <c r="A256">
        <v>78528000</v>
      </c>
      <c r="B256">
        <v>89506</v>
      </c>
    </row>
    <row r="257" spans="1:2" x14ac:dyDescent="0.3">
      <c r="A257">
        <v>78611000</v>
      </c>
      <c r="B257">
        <v>4303</v>
      </c>
    </row>
    <row r="258" spans="1:2" x14ac:dyDescent="0.3">
      <c r="A258">
        <v>78679000</v>
      </c>
      <c r="B258">
        <v>78997</v>
      </c>
    </row>
    <row r="259" spans="1:2" x14ac:dyDescent="0.3">
      <c r="A259">
        <v>72136000</v>
      </c>
      <c r="B259">
        <v>87275</v>
      </c>
    </row>
    <row r="260" spans="1:2" x14ac:dyDescent="0.3">
      <c r="A260">
        <v>78774000</v>
      </c>
      <c r="B260">
        <v>6372</v>
      </c>
    </row>
    <row r="261" spans="1:2" x14ac:dyDescent="0.3">
      <c r="A261">
        <v>78708000</v>
      </c>
      <c r="B261">
        <v>4332</v>
      </c>
    </row>
    <row r="262" spans="1:2" x14ac:dyDescent="0.3">
      <c r="A262">
        <v>78585000</v>
      </c>
      <c r="B262">
        <v>90884</v>
      </c>
    </row>
    <row r="263" spans="1:2" x14ac:dyDescent="0.3">
      <c r="A263">
        <v>70224000</v>
      </c>
      <c r="B263">
        <v>4238</v>
      </c>
    </row>
    <row r="264" spans="1:2" x14ac:dyDescent="0.3">
      <c r="A264">
        <v>70241000</v>
      </c>
      <c r="B264">
        <v>4239</v>
      </c>
    </row>
    <row r="265" spans="1:2" x14ac:dyDescent="0.3">
      <c r="A265">
        <v>70440000</v>
      </c>
      <c r="B265">
        <v>4271</v>
      </c>
    </row>
    <row r="266" spans="1:2" x14ac:dyDescent="0.3">
      <c r="A266">
        <v>78540000</v>
      </c>
      <c r="B266">
        <v>89829</v>
      </c>
    </row>
    <row r="267" spans="1:2" x14ac:dyDescent="0.3">
      <c r="A267">
        <v>70505000</v>
      </c>
      <c r="B267">
        <v>4285</v>
      </c>
    </row>
    <row r="268" spans="1:2" x14ac:dyDescent="0.3">
      <c r="A268">
        <v>78663000</v>
      </c>
      <c r="B268">
        <v>4324</v>
      </c>
    </row>
    <row r="269" spans="1:2" x14ac:dyDescent="0.3">
      <c r="A269">
        <v>72120000</v>
      </c>
      <c r="B269">
        <v>7317</v>
      </c>
    </row>
    <row r="270" spans="1:2" x14ac:dyDescent="0.3">
      <c r="A270">
        <v>72609000</v>
      </c>
      <c r="B270">
        <v>8816</v>
      </c>
    </row>
    <row r="271" spans="1:2" x14ac:dyDescent="0.3">
      <c r="A271">
        <v>78998000</v>
      </c>
      <c r="B271">
        <v>79081</v>
      </c>
    </row>
    <row r="272" spans="1:2" x14ac:dyDescent="0.3">
      <c r="A272">
        <v>78594000</v>
      </c>
      <c r="B272">
        <v>90906</v>
      </c>
    </row>
    <row r="273" spans="1:2" x14ac:dyDescent="0.3">
      <c r="A273">
        <v>72688000</v>
      </c>
      <c r="B273">
        <v>89760</v>
      </c>
    </row>
    <row r="274" spans="1:2" x14ac:dyDescent="0.3">
      <c r="A274">
        <v>78259000</v>
      </c>
      <c r="B274">
        <v>92520</v>
      </c>
    </row>
    <row r="275" spans="1:2" x14ac:dyDescent="0.3">
      <c r="A275">
        <v>78258000</v>
      </c>
      <c r="B275">
        <v>92519</v>
      </c>
    </row>
    <row r="276" spans="1:2" x14ac:dyDescent="0.3">
      <c r="A276">
        <v>78712000</v>
      </c>
      <c r="B276">
        <v>4336</v>
      </c>
    </row>
    <row r="277" spans="1:2" x14ac:dyDescent="0.3">
      <c r="A277">
        <v>78985000</v>
      </c>
      <c r="B277">
        <v>81076</v>
      </c>
    </row>
    <row r="278" spans="1:2" x14ac:dyDescent="0.3">
      <c r="A278">
        <v>72170000</v>
      </c>
      <c r="B278">
        <v>7372</v>
      </c>
    </row>
    <row r="279" spans="1:2" x14ac:dyDescent="0.3">
      <c r="A279">
        <v>70260000</v>
      </c>
      <c r="B279">
        <v>4248</v>
      </c>
    </row>
    <row r="280" spans="1:2" x14ac:dyDescent="0.3">
      <c r="A280">
        <v>78704000</v>
      </c>
      <c r="B280">
        <v>4328</v>
      </c>
    </row>
    <row r="281" spans="1:2" x14ac:dyDescent="0.3">
      <c r="A281">
        <v>78204000</v>
      </c>
      <c r="B281">
        <v>91275</v>
      </c>
    </row>
    <row r="282" spans="1:2" x14ac:dyDescent="0.3">
      <c r="A282">
        <v>78752000</v>
      </c>
      <c r="B282">
        <v>79264</v>
      </c>
    </row>
    <row r="283" spans="1:2" x14ac:dyDescent="0.3">
      <c r="A283">
        <v>78233000</v>
      </c>
      <c r="B283">
        <v>92620</v>
      </c>
    </row>
    <row r="284" spans="1:2" x14ac:dyDescent="0.3">
      <c r="A284">
        <v>78713000</v>
      </c>
      <c r="B284">
        <v>4337</v>
      </c>
    </row>
    <row r="285" spans="1:2" x14ac:dyDescent="0.3">
      <c r="A285">
        <v>78535000</v>
      </c>
      <c r="B285">
        <v>89784</v>
      </c>
    </row>
    <row r="286" spans="1:2" x14ac:dyDescent="0.3">
      <c r="A286">
        <v>78553000</v>
      </c>
      <c r="B286">
        <v>90162</v>
      </c>
    </row>
    <row r="287" spans="1:2" x14ac:dyDescent="0.3">
      <c r="A287">
        <v>78531000</v>
      </c>
      <c r="B287">
        <v>89561</v>
      </c>
    </row>
    <row r="288" spans="1:2" x14ac:dyDescent="0.3">
      <c r="A288">
        <v>78519000</v>
      </c>
      <c r="B288">
        <v>88365</v>
      </c>
    </row>
    <row r="289" spans="1:2" x14ac:dyDescent="0.3">
      <c r="A289">
        <v>78520000</v>
      </c>
      <c r="B289">
        <v>88367</v>
      </c>
    </row>
    <row r="290" spans="1:2" x14ac:dyDescent="0.3">
      <c r="A290">
        <v>78536000</v>
      </c>
      <c r="B290">
        <v>89786</v>
      </c>
    </row>
    <row r="291" spans="1:2" x14ac:dyDescent="0.3">
      <c r="A291">
        <v>78532000</v>
      </c>
      <c r="B291">
        <v>89563</v>
      </c>
    </row>
    <row r="292" spans="1:2" x14ac:dyDescent="0.3">
      <c r="A292">
        <v>78523000</v>
      </c>
      <c r="B292">
        <v>88374</v>
      </c>
    </row>
    <row r="293" spans="1:2" x14ac:dyDescent="0.3">
      <c r="A293">
        <v>78521000</v>
      </c>
      <c r="B293">
        <v>88369</v>
      </c>
    </row>
    <row r="294" spans="1:2" x14ac:dyDescent="0.3">
      <c r="A294">
        <v>78522000</v>
      </c>
      <c r="B294">
        <v>88372</v>
      </c>
    </row>
    <row r="295" spans="1:2" x14ac:dyDescent="0.3">
      <c r="A295">
        <v>78547000</v>
      </c>
      <c r="B295">
        <v>90034</v>
      </c>
    </row>
    <row r="296" spans="1:2" x14ac:dyDescent="0.3">
      <c r="A296">
        <v>78537000</v>
      </c>
      <c r="B296">
        <v>89788</v>
      </c>
    </row>
    <row r="297" spans="1:2" x14ac:dyDescent="0.3">
      <c r="A297">
        <v>78538000</v>
      </c>
      <c r="B297">
        <v>89790</v>
      </c>
    </row>
    <row r="298" spans="1:2" x14ac:dyDescent="0.3">
      <c r="A298">
        <v>78552000</v>
      </c>
      <c r="B298">
        <v>90160</v>
      </c>
    </row>
    <row r="299" spans="1:2" x14ac:dyDescent="0.3">
      <c r="A299">
        <v>78210000</v>
      </c>
      <c r="B299">
        <v>91326</v>
      </c>
    </row>
    <row r="300" spans="1:2" x14ac:dyDescent="0.3">
      <c r="A300">
        <v>78751000</v>
      </c>
      <c r="B300">
        <v>5174</v>
      </c>
    </row>
    <row r="301" spans="1:2" x14ac:dyDescent="0.3">
      <c r="A301">
        <v>78741000</v>
      </c>
      <c r="B301">
        <v>4352</v>
      </c>
    </row>
    <row r="302" spans="1:2" x14ac:dyDescent="0.3">
      <c r="A302">
        <v>78583000</v>
      </c>
      <c r="B302">
        <v>90877</v>
      </c>
    </row>
    <row r="303" spans="1:2" x14ac:dyDescent="0.3">
      <c r="A303">
        <v>78710000</v>
      </c>
      <c r="B303">
        <v>4334</v>
      </c>
    </row>
    <row r="304" spans="1:2" x14ac:dyDescent="0.3">
      <c r="A304">
        <v>70405000</v>
      </c>
      <c r="B304">
        <v>4259</v>
      </c>
    </row>
    <row r="305" spans="1:2" x14ac:dyDescent="0.3">
      <c r="A305">
        <v>78795000</v>
      </c>
      <c r="B305">
        <v>79063</v>
      </c>
    </row>
    <row r="306" spans="1:2" x14ac:dyDescent="0.3">
      <c r="A306">
        <v>78928000</v>
      </c>
      <c r="B306">
        <v>79475</v>
      </c>
    </row>
    <row r="307" spans="1:2" x14ac:dyDescent="0.3">
      <c r="A307">
        <v>78240000</v>
      </c>
      <c r="B307">
        <v>91329</v>
      </c>
    </row>
    <row r="308" spans="1:2" x14ac:dyDescent="0.3">
      <c r="A308">
        <v>78230000</v>
      </c>
      <c r="B308">
        <v>91328</v>
      </c>
    </row>
    <row r="309" spans="1:2" x14ac:dyDescent="0.3">
      <c r="A309">
        <v>78718000</v>
      </c>
      <c r="B309">
        <v>4342</v>
      </c>
    </row>
    <row r="310" spans="1:2" x14ac:dyDescent="0.3">
      <c r="A310">
        <v>78570000</v>
      </c>
      <c r="B310">
        <v>90333</v>
      </c>
    </row>
    <row r="311" spans="1:2" x14ac:dyDescent="0.3">
      <c r="A311">
        <v>78580000</v>
      </c>
      <c r="B311">
        <v>90535</v>
      </c>
    </row>
    <row r="312" spans="1:2" x14ac:dyDescent="0.3">
      <c r="A312">
        <v>78571000</v>
      </c>
      <c r="B312">
        <v>90334</v>
      </c>
    </row>
    <row r="313" spans="1:2" x14ac:dyDescent="0.3">
      <c r="A313">
        <v>78949000</v>
      </c>
      <c r="B313">
        <v>79882</v>
      </c>
    </row>
    <row r="314" spans="1:2" x14ac:dyDescent="0.3">
      <c r="A314">
        <v>78576000</v>
      </c>
      <c r="B314">
        <v>90548</v>
      </c>
    </row>
    <row r="315" spans="1:2" x14ac:dyDescent="0.3">
      <c r="A315">
        <v>78999000</v>
      </c>
      <c r="B315">
        <v>79233</v>
      </c>
    </row>
    <row r="316" spans="1:2" x14ac:dyDescent="0.3">
      <c r="A316">
        <v>78765000</v>
      </c>
      <c r="B316">
        <v>78965</v>
      </c>
    </row>
    <row r="317" spans="1:2" x14ac:dyDescent="0.3">
      <c r="A317">
        <v>78952000</v>
      </c>
      <c r="B317">
        <v>79876</v>
      </c>
    </row>
    <row r="318" spans="1:2" x14ac:dyDescent="0.3">
      <c r="A318">
        <v>78954000</v>
      </c>
      <c r="B318">
        <v>79878</v>
      </c>
    </row>
    <row r="319" spans="1:2" x14ac:dyDescent="0.3">
      <c r="A319">
        <v>78567000</v>
      </c>
      <c r="B319">
        <v>90330</v>
      </c>
    </row>
    <row r="320" spans="1:2" x14ac:dyDescent="0.3">
      <c r="A320">
        <v>78946000</v>
      </c>
      <c r="B320">
        <v>79871</v>
      </c>
    </row>
    <row r="321" spans="1:2" x14ac:dyDescent="0.3">
      <c r="A321">
        <v>78779000</v>
      </c>
      <c r="B321">
        <v>10878</v>
      </c>
    </row>
    <row r="322" spans="1:2" x14ac:dyDescent="0.3">
      <c r="A322">
        <v>78759000</v>
      </c>
      <c r="B322">
        <v>4360</v>
      </c>
    </row>
    <row r="323" spans="1:2" x14ac:dyDescent="0.3">
      <c r="A323">
        <v>70428000</v>
      </c>
      <c r="B323">
        <v>4267</v>
      </c>
    </row>
    <row r="324" spans="1:2" x14ac:dyDescent="0.3">
      <c r="A324">
        <v>70459000</v>
      </c>
      <c r="B324">
        <v>4276</v>
      </c>
    </row>
    <row r="325" spans="1:2" x14ac:dyDescent="0.3">
      <c r="A325">
        <v>78968000</v>
      </c>
      <c r="B325">
        <v>79967</v>
      </c>
    </row>
    <row r="326" spans="1:2" x14ac:dyDescent="0.3">
      <c r="A326">
        <v>78507000</v>
      </c>
      <c r="B326">
        <v>87349</v>
      </c>
    </row>
    <row r="327" spans="1:2" x14ac:dyDescent="0.3">
      <c r="A327">
        <v>78685000</v>
      </c>
      <c r="B327">
        <v>79660</v>
      </c>
    </row>
    <row r="328" spans="1:2" x14ac:dyDescent="0.3">
      <c r="A328">
        <v>78215000</v>
      </c>
      <c r="B328">
        <v>91763</v>
      </c>
    </row>
    <row r="329" spans="1:2" x14ac:dyDescent="0.3">
      <c r="A329">
        <v>78245000</v>
      </c>
      <c r="B329">
        <v>92199</v>
      </c>
    </row>
    <row r="330" spans="1:2" x14ac:dyDescent="0.3">
      <c r="A330">
        <v>78229000</v>
      </c>
      <c r="B330">
        <v>92047</v>
      </c>
    </row>
    <row r="331" spans="1:2" x14ac:dyDescent="0.3">
      <c r="A331">
        <v>72158000</v>
      </c>
      <c r="B331">
        <v>90403</v>
      </c>
    </row>
    <row r="332" spans="1:2" x14ac:dyDescent="0.3">
      <c r="A332">
        <v>70425000</v>
      </c>
      <c r="B332">
        <v>4266</v>
      </c>
    </row>
    <row r="333" spans="1:2" x14ac:dyDescent="0.3">
      <c r="A333">
        <v>78784000</v>
      </c>
      <c r="B333">
        <v>10968</v>
      </c>
    </row>
    <row r="334" spans="1:2" x14ac:dyDescent="0.3">
      <c r="A334">
        <v>78980000</v>
      </c>
      <c r="B334">
        <v>80299</v>
      </c>
    </row>
    <row r="335" spans="1:2" x14ac:dyDescent="0.3">
      <c r="A335">
        <v>70479000</v>
      </c>
      <c r="B335">
        <v>4281</v>
      </c>
    </row>
    <row r="336" spans="1:2" x14ac:dyDescent="0.3">
      <c r="A336">
        <v>78997000</v>
      </c>
      <c r="B336">
        <v>79050</v>
      </c>
    </row>
    <row r="337" spans="1:2" x14ac:dyDescent="0.3">
      <c r="A337">
        <v>70465000</v>
      </c>
      <c r="B337">
        <v>4278</v>
      </c>
    </row>
    <row r="338" spans="1:2" x14ac:dyDescent="0.3">
      <c r="A338">
        <v>70438000</v>
      </c>
      <c r="B338">
        <v>4270</v>
      </c>
    </row>
    <row r="339" spans="1:2" x14ac:dyDescent="0.3">
      <c r="A339">
        <v>78219000</v>
      </c>
      <c r="B339">
        <v>91935</v>
      </c>
    </row>
    <row r="340" spans="1:2" x14ac:dyDescent="0.3">
      <c r="A340">
        <v>78647000</v>
      </c>
      <c r="B340">
        <v>4314</v>
      </c>
    </row>
    <row r="341" spans="1:2" x14ac:dyDescent="0.3">
      <c r="A341">
        <v>72603000</v>
      </c>
      <c r="B341">
        <v>7432</v>
      </c>
    </row>
    <row r="342" spans="1:2" x14ac:dyDescent="0.3">
      <c r="A342">
        <v>70199000</v>
      </c>
      <c r="B342">
        <v>4234</v>
      </c>
    </row>
    <row r="343" spans="1:2" x14ac:dyDescent="0.3">
      <c r="A343">
        <v>78592000</v>
      </c>
      <c r="B343">
        <v>90861</v>
      </c>
    </row>
    <row r="344" spans="1:2" x14ac:dyDescent="0.3">
      <c r="A344">
        <v>78743000</v>
      </c>
      <c r="B344">
        <v>81174</v>
      </c>
    </row>
    <row r="345" spans="1:2" x14ac:dyDescent="0.3">
      <c r="A345">
        <v>70204000</v>
      </c>
      <c r="B345">
        <v>4235</v>
      </c>
    </row>
    <row r="346" spans="1:2" x14ac:dyDescent="0.3">
      <c r="A346">
        <v>78906000</v>
      </c>
      <c r="B346">
        <v>5181</v>
      </c>
    </row>
    <row r="347" spans="1:2" x14ac:dyDescent="0.3">
      <c r="A347">
        <v>78976000</v>
      </c>
      <c r="B347">
        <v>79994</v>
      </c>
    </row>
    <row r="348" spans="1:2" x14ac:dyDescent="0.3">
      <c r="A348">
        <v>78791000</v>
      </c>
      <c r="B348">
        <v>79207</v>
      </c>
    </row>
    <row r="349" spans="1:2" x14ac:dyDescent="0.3">
      <c r="A349">
        <v>70386000</v>
      </c>
      <c r="B349">
        <v>4253</v>
      </c>
    </row>
    <row r="350" spans="1:2" x14ac:dyDescent="0.3">
      <c r="A350">
        <v>78977000</v>
      </c>
      <c r="B350">
        <v>80011</v>
      </c>
    </row>
    <row r="351" spans="1:2" x14ac:dyDescent="0.3">
      <c r="A351">
        <v>78758000</v>
      </c>
      <c r="B351">
        <v>4359</v>
      </c>
    </row>
    <row r="352" spans="1:2" x14ac:dyDescent="0.3">
      <c r="A352">
        <v>78763000</v>
      </c>
      <c r="B352">
        <v>4363</v>
      </c>
    </row>
    <row r="353" spans="1:2" x14ac:dyDescent="0.3">
      <c r="A353">
        <v>78936000</v>
      </c>
      <c r="B353">
        <v>79548</v>
      </c>
    </row>
    <row r="354" spans="1:2" x14ac:dyDescent="0.3">
      <c r="A354">
        <v>78556000</v>
      </c>
      <c r="B354">
        <v>90192</v>
      </c>
    </row>
    <row r="355" spans="1:2" x14ac:dyDescent="0.3">
      <c r="A355">
        <v>70375000</v>
      </c>
      <c r="B355">
        <v>4251</v>
      </c>
    </row>
    <row r="356" spans="1:2" x14ac:dyDescent="0.3">
      <c r="A356">
        <v>70421000</v>
      </c>
      <c r="B356">
        <v>4265</v>
      </c>
    </row>
    <row r="357" spans="1:2" x14ac:dyDescent="0.3">
      <c r="A357">
        <v>70381000</v>
      </c>
      <c r="B357">
        <v>4252</v>
      </c>
    </row>
    <row r="358" spans="1:2" x14ac:dyDescent="0.3">
      <c r="A358">
        <v>72157000</v>
      </c>
      <c r="B358">
        <v>89524</v>
      </c>
    </row>
    <row r="359" spans="1:2" x14ac:dyDescent="0.3">
      <c r="A359">
        <v>78771000</v>
      </c>
      <c r="B359">
        <v>4366</v>
      </c>
    </row>
    <row r="360" spans="1:2" x14ac:dyDescent="0.3">
      <c r="A360">
        <v>78903000</v>
      </c>
      <c r="B360">
        <v>4316</v>
      </c>
    </row>
    <row r="361" spans="1:2" x14ac:dyDescent="0.3">
      <c r="A361">
        <v>78981000</v>
      </c>
      <c r="B361">
        <v>80985</v>
      </c>
    </row>
    <row r="362" spans="1:2" x14ac:dyDescent="0.3">
      <c r="A362">
        <v>72108000</v>
      </c>
      <c r="B362">
        <v>7303</v>
      </c>
    </row>
    <row r="363" spans="1:2" x14ac:dyDescent="0.3">
      <c r="A363">
        <v>78760000</v>
      </c>
      <c r="B363">
        <v>78882</v>
      </c>
    </row>
    <row r="364" spans="1:2" x14ac:dyDescent="0.3">
      <c r="A364">
        <v>78930000</v>
      </c>
      <c r="B364">
        <v>10760</v>
      </c>
    </row>
    <row r="365" spans="1:2" x14ac:dyDescent="0.3">
      <c r="A365">
        <v>78261000</v>
      </c>
      <c r="B365">
        <v>92374</v>
      </c>
    </row>
    <row r="366" spans="1:2" x14ac:dyDescent="0.3">
      <c r="A366">
        <v>78584000</v>
      </c>
      <c r="B366">
        <v>90879</v>
      </c>
    </row>
    <row r="367" spans="1:2" x14ac:dyDescent="0.3">
      <c r="A367">
        <v>78945000</v>
      </c>
      <c r="B367">
        <v>79701</v>
      </c>
    </row>
    <row r="368" spans="1:2" x14ac:dyDescent="0.3">
      <c r="A368">
        <v>78563000</v>
      </c>
      <c r="B368">
        <v>90326</v>
      </c>
    </row>
    <row r="369" spans="1:2" x14ac:dyDescent="0.3">
      <c r="A369">
        <v>78767000</v>
      </c>
      <c r="B369">
        <v>4323</v>
      </c>
    </row>
    <row r="370" spans="1:2" x14ac:dyDescent="0.3">
      <c r="A370">
        <v>72129000</v>
      </c>
      <c r="B370">
        <v>92191</v>
      </c>
    </row>
    <row r="371" spans="1:2" x14ac:dyDescent="0.3">
      <c r="A371">
        <v>70408000</v>
      </c>
      <c r="B371">
        <v>4262</v>
      </c>
    </row>
    <row r="372" spans="1:2" x14ac:dyDescent="0.3">
      <c r="A372">
        <v>78907000</v>
      </c>
      <c r="B372">
        <v>6235</v>
      </c>
    </row>
    <row r="373" spans="1:2" x14ac:dyDescent="0.3">
      <c r="A373">
        <v>70449000</v>
      </c>
      <c r="B373">
        <v>4275</v>
      </c>
    </row>
    <row r="374" spans="1:2" x14ac:dyDescent="0.3">
      <c r="A374">
        <v>70394000</v>
      </c>
      <c r="B374">
        <v>4255</v>
      </c>
    </row>
    <row r="375" spans="1:2" x14ac:dyDescent="0.3">
      <c r="A375">
        <v>78940000</v>
      </c>
      <c r="B375">
        <v>79578</v>
      </c>
    </row>
    <row r="376" spans="1:2" x14ac:dyDescent="0.3">
      <c r="A376">
        <v>70269000</v>
      </c>
      <c r="B376">
        <v>4241</v>
      </c>
    </row>
    <row r="377" spans="1:2" x14ac:dyDescent="0.3">
      <c r="A377">
        <v>78912000</v>
      </c>
      <c r="B377">
        <v>5180</v>
      </c>
    </row>
    <row r="378" spans="1:2" x14ac:dyDescent="0.3">
      <c r="A378">
        <v>78905000</v>
      </c>
      <c r="B378">
        <v>79205</v>
      </c>
    </row>
    <row r="379" spans="1:2" x14ac:dyDescent="0.3">
      <c r="A379">
        <v>78963000</v>
      </c>
      <c r="B379">
        <v>79953</v>
      </c>
    </row>
    <row r="380" spans="1:2" x14ac:dyDescent="0.3">
      <c r="A380">
        <v>78792000</v>
      </c>
      <c r="B380">
        <v>79024</v>
      </c>
    </row>
    <row r="381" spans="1:2" x14ac:dyDescent="0.3">
      <c r="A381">
        <v>72132000</v>
      </c>
      <c r="B381">
        <v>92253</v>
      </c>
    </row>
    <row r="382" spans="1:2" x14ac:dyDescent="0.3">
      <c r="A382">
        <v>78733000</v>
      </c>
      <c r="B382">
        <v>81024</v>
      </c>
    </row>
    <row r="383" spans="1:2" x14ac:dyDescent="0.3">
      <c r="A383">
        <v>70492000</v>
      </c>
      <c r="B383">
        <v>4283</v>
      </c>
    </row>
    <row r="384" spans="1:2" x14ac:dyDescent="0.3">
      <c r="A384">
        <v>70211000</v>
      </c>
      <c r="B384">
        <v>4237</v>
      </c>
    </row>
    <row r="385" spans="1:2" x14ac:dyDescent="0.3">
      <c r="A385">
        <v>78714000</v>
      </c>
      <c r="B385">
        <v>4338</v>
      </c>
    </row>
    <row r="386" spans="1:2" x14ac:dyDescent="0.3">
      <c r="A386">
        <v>72152000</v>
      </c>
      <c r="B386">
        <v>91383</v>
      </c>
    </row>
    <row r="387" spans="1:2" x14ac:dyDescent="0.3">
      <c r="A387">
        <v>78559000</v>
      </c>
      <c r="B387">
        <v>90273</v>
      </c>
    </row>
    <row r="388" spans="1:2" x14ac:dyDescent="0.3">
      <c r="A388">
        <v>78716000</v>
      </c>
      <c r="B388">
        <v>4340</v>
      </c>
    </row>
    <row r="389" spans="1:2" x14ac:dyDescent="0.3">
      <c r="A389">
        <v>70401000</v>
      </c>
      <c r="B389">
        <v>4256</v>
      </c>
    </row>
    <row r="390" spans="1:2" x14ac:dyDescent="0.3">
      <c r="A390">
        <v>78776000</v>
      </c>
      <c r="B390">
        <v>6379</v>
      </c>
    </row>
    <row r="391" spans="1:2" x14ac:dyDescent="0.3">
      <c r="A391">
        <v>70510000</v>
      </c>
      <c r="B391">
        <v>4286</v>
      </c>
    </row>
    <row r="392" spans="1:2" x14ac:dyDescent="0.3">
      <c r="A392">
        <v>78504000</v>
      </c>
      <c r="B392">
        <v>87334</v>
      </c>
    </row>
    <row r="393" spans="1:2" x14ac:dyDescent="0.3">
      <c r="A393">
        <v>78720000</v>
      </c>
      <c r="B393">
        <v>80999</v>
      </c>
    </row>
    <row r="394" spans="1:2" x14ac:dyDescent="0.3">
      <c r="A394">
        <v>78726000</v>
      </c>
      <c r="B394">
        <v>81001</v>
      </c>
    </row>
    <row r="395" spans="1:2" x14ac:dyDescent="0.3">
      <c r="A395">
        <v>78920000</v>
      </c>
      <c r="B395">
        <v>79439</v>
      </c>
    </row>
    <row r="396" spans="1:2" x14ac:dyDescent="0.3">
      <c r="A396">
        <v>78598000</v>
      </c>
      <c r="B396">
        <v>91053</v>
      </c>
    </row>
    <row r="397" spans="1:2" x14ac:dyDescent="0.3">
      <c r="A397">
        <v>78925000</v>
      </c>
      <c r="B397">
        <v>79455</v>
      </c>
    </row>
    <row r="398" spans="1:2" x14ac:dyDescent="0.3">
      <c r="A398">
        <v>78670000</v>
      </c>
      <c r="B398">
        <v>79217</v>
      </c>
    </row>
    <row r="399" spans="1:2" x14ac:dyDescent="0.3">
      <c r="A399">
        <v>78939000</v>
      </c>
      <c r="B399">
        <v>79569</v>
      </c>
    </row>
    <row r="400" spans="1:2" x14ac:dyDescent="0.3">
      <c r="A400">
        <v>78926000</v>
      </c>
      <c r="B400">
        <v>79461</v>
      </c>
    </row>
    <row r="401" spans="1:2" x14ac:dyDescent="0.3">
      <c r="A401">
        <v>78232000</v>
      </c>
      <c r="B401">
        <v>92616</v>
      </c>
    </row>
    <row r="402" spans="1:2" x14ac:dyDescent="0.3">
      <c r="A402">
        <v>70295000</v>
      </c>
      <c r="B402">
        <v>4245</v>
      </c>
    </row>
    <row r="403" spans="1:2" x14ac:dyDescent="0.3">
      <c r="A403">
        <v>78209000</v>
      </c>
      <c r="B403">
        <v>91317</v>
      </c>
    </row>
    <row r="404" spans="1:2" x14ac:dyDescent="0.3">
      <c r="A404">
        <v>78749000</v>
      </c>
      <c r="B404">
        <v>4306</v>
      </c>
    </row>
    <row r="405" spans="1:2" x14ac:dyDescent="0.3">
      <c r="A405">
        <v>78560000</v>
      </c>
      <c r="B405">
        <v>90275</v>
      </c>
    </row>
    <row r="406" spans="1:2" x14ac:dyDescent="0.3">
      <c r="A406">
        <v>78609000</v>
      </c>
      <c r="B406">
        <v>4301</v>
      </c>
    </row>
    <row r="407" spans="1:2" x14ac:dyDescent="0.3">
      <c r="A407">
        <v>70402000</v>
      </c>
      <c r="B407">
        <v>4257</v>
      </c>
    </row>
    <row r="408" spans="1:2" x14ac:dyDescent="0.3">
      <c r="A408">
        <v>70466000</v>
      </c>
      <c r="B408">
        <v>4279</v>
      </c>
    </row>
    <row r="409" spans="1:2" x14ac:dyDescent="0.3">
      <c r="A409">
        <v>78508000</v>
      </c>
      <c r="B409">
        <v>87399</v>
      </c>
    </row>
    <row r="410" spans="1:2" x14ac:dyDescent="0.3">
      <c r="A410">
        <v>78735000</v>
      </c>
      <c r="B410">
        <v>81033</v>
      </c>
    </row>
    <row r="411" spans="1:2" x14ac:dyDescent="0.3">
      <c r="A411">
        <v>70290000</v>
      </c>
      <c r="B411">
        <v>4254</v>
      </c>
    </row>
    <row r="412" spans="1:2" x14ac:dyDescent="0.3">
      <c r="A412">
        <v>78688000</v>
      </c>
      <c r="B412">
        <v>89414</v>
      </c>
    </row>
    <row r="413" spans="1:2" x14ac:dyDescent="0.3">
      <c r="A413">
        <v>78656000</v>
      </c>
      <c r="B413">
        <v>4320</v>
      </c>
    </row>
    <row r="414" spans="1:2" x14ac:dyDescent="0.3">
      <c r="A414">
        <v>78539000</v>
      </c>
      <c r="B414">
        <v>89798</v>
      </c>
    </row>
    <row r="415" spans="1:2" x14ac:dyDescent="0.3">
      <c r="A415">
        <v>78962000</v>
      </c>
      <c r="B415">
        <v>79951</v>
      </c>
    </row>
    <row r="416" spans="1:2" x14ac:dyDescent="0.3">
      <c r="A416">
        <v>78243000</v>
      </c>
      <c r="B416">
        <v>91110</v>
      </c>
    </row>
    <row r="417" spans="1:2" x14ac:dyDescent="0.3">
      <c r="A417">
        <v>78533000</v>
      </c>
      <c r="B417">
        <v>89756</v>
      </c>
    </row>
    <row r="418" spans="1:2" x14ac:dyDescent="0.3">
      <c r="A418">
        <v>70248000</v>
      </c>
      <c r="B418">
        <v>4240</v>
      </c>
    </row>
    <row r="419" spans="1:2" x14ac:dyDescent="0.3">
      <c r="A419">
        <v>78796000</v>
      </c>
      <c r="B419">
        <v>79072</v>
      </c>
    </row>
    <row r="420" spans="1:2" x14ac:dyDescent="0.3">
      <c r="A420">
        <v>70371000</v>
      </c>
      <c r="B420">
        <v>4250</v>
      </c>
    </row>
    <row r="421" spans="1:2" x14ac:dyDescent="0.3">
      <c r="A421">
        <v>78566000</v>
      </c>
      <c r="B421">
        <v>90329</v>
      </c>
    </row>
    <row r="422" spans="1:2" x14ac:dyDescent="0.3">
      <c r="A422">
        <v>78914000</v>
      </c>
      <c r="B422">
        <v>79084</v>
      </c>
    </row>
    <row r="423" spans="1:2" x14ac:dyDescent="0.3">
      <c r="A423">
        <v>78786000</v>
      </c>
      <c r="B423">
        <v>78868</v>
      </c>
    </row>
    <row r="424" spans="1:2" x14ac:dyDescent="0.3">
      <c r="A424">
        <v>78599000</v>
      </c>
      <c r="B424">
        <v>91108</v>
      </c>
    </row>
    <row r="425" spans="1:2" x14ac:dyDescent="0.3">
      <c r="A425">
        <v>78578000</v>
      </c>
      <c r="B425">
        <v>90540</v>
      </c>
    </row>
    <row r="426" spans="1:2" x14ac:dyDescent="0.3">
      <c r="A426">
        <v>72146000</v>
      </c>
      <c r="B426">
        <v>7347</v>
      </c>
    </row>
    <row r="427" spans="1:2" x14ac:dyDescent="0.3">
      <c r="A427">
        <v>72630000</v>
      </c>
      <c r="B427">
        <v>8870</v>
      </c>
    </row>
    <row r="428" spans="1:2" x14ac:dyDescent="0.3">
      <c r="A428">
        <v>78228000</v>
      </c>
      <c r="B428">
        <v>92043</v>
      </c>
    </row>
    <row r="429" spans="1:2" x14ac:dyDescent="0.3">
      <c r="A429">
        <v>72119000</v>
      </c>
      <c r="B429">
        <v>90052</v>
      </c>
    </row>
    <row r="430" spans="1:2" x14ac:dyDescent="0.3">
      <c r="A430">
        <v>72604000</v>
      </c>
      <c r="B430">
        <v>7481</v>
      </c>
    </row>
    <row r="431" spans="1:2" x14ac:dyDescent="0.3">
      <c r="A431">
        <v>72121000</v>
      </c>
      <c r="B431">
        <v>90471</v>
      </c>
    </row>
    <row r="432" spans="1:2" x14ac:dyDescent="0.3">
      <c r="A432">
        <v>78992000</v>
      </c>
      <c r="B432">
        <v>85807</v>
      </c>
    </row>
    <row r="433" spans="1:2" x14ac:dyDescent="0.3">
      <c r="A433">
        <v>78634000</v>
      </c>
      <c r="B433">
        <v>4313</v>
      </c>
    </row>
    <row r="434" spans="1:2" x14ac:dyDescent="0.3">
      <c r="A434">
        <v>78781000</v>
      </c>
      <c r="B434">
        <v>10966</v>
      </c>
    </row>
    <row r="435" spans="1:2" x14ac:dyDescent="0.3">
      <c r="A435">
        <v>78924000</v>
      </c>
      <c r="B435">
        <v>79453</v>
      </c>
    </row>
    <row r="436" spans="1:2" x14ac:dyDescent="0.3">
      <c r="A436">
        <v>78217000</v>
      </c>
      <c r="B436">
        <v>91933</v>
      </c>
    </row>
    <row r="437" spans="1:2" x14ac:dyDescent="0.3">
      <c r="A437">
        <v>78551000</v>
      </c>
      <c r="B437">
        <v>90142</v>
      </c>
    </row>
    <row r="438" spans="1:2" x14ac:dyDescent="0.3">
      <c r="A438">
        <v>78761000</v>
      </c>
      <c r="B438">
        <v>4361</v>
      </c>
    </row>
    <row r="439" spans="1:2" x14ac:dyDescent="0.3">
      <c r="A439">
        <v>78545000</v>
      </c>
      <c r="B439">
        <v>89947</v>
      </c>
    </row>
    <row r="440" spans="1:2" x14ac:dyDescent="0.3">
      <c r="A440">
        <v>70403000</v>
      </c>
      <c r="B440">
        <v>4258</v>
      </c>
    </row>
    <row r="441" spans="1:2" x14ac:dyDescent="0.3">
      <c r="A441">
        <v>70513000</v>
      </c>
      <c r="B441">
        <v>4287</v>
      </c>
    </row>
    <row r="442" spans="1:2" x14ac:dyDescent="0.3">
      <c r="A442">
        <v>72190000</v>
      </c>
      <c r="B442">
        <v>7407</v>
      </c>
    </row>
    <row r="443" spans="1:2" x14ac:dyDescent="0.3">
      <c r="A443">
        <v>78213000</v>
      </c>
      <c r="B443">
        <v>91340</v>
      </c>
    </row>
    <row r="444" spans="1:2" x14ac:dyDescent="0.3">
      <c r="A444">
        <v>72135000</v>
      </c>
      <c r="B444">
        <v>7332</v>
      </c>
    </row>
    <row r="445" spans="1:2" x14ac:dyDescent="0.3">
      <c r="A445">
        <v>78561000</v>
      </c>
      <c r="B445">
        <v>90287</v>
      </c>
    </row>
    <row r="446" spans="1:2" x14ac:dyDescent="0.3">
      <c r="A446">
        <v>78206000</v>
      </c>
      <c r="B446">
        <v>91250</v>
      </c>
    </row>
    <row r="447" spans="1:2" x14ac:dyDescent="0.3">
      <c r="A447">
        <v>70417000</v>
      </c>
      <c r="B447">
        <v>4264</v>
      </c>
    </row>
    <row r="448" spans="1:2" x14ac:dyDescent="0.3">
      <c r="A448">
        <v>70514000</v>
      </c>
      <c r="B448">
        <v>4288</v>
      </c>
    </row>
    <row r="449" spans="1:2" x14ac:dyDescent="0.3">
      <c r="A449">
        <v>78591000</v>
      </c>
      <c r="B449">
        <v>90859</v>
      </c>
    </row>
    <row r="450" spans="1:2" x14ac:dyDescent="0.3">
      <c r="A450">
        <v>78630000</v>
      </c>
      <c r="B450">
        <v>4310</v>
      </c>
    </row>
    <row r="451" spans="1:2" x14ac:dyDescent="0.3">
      <c r="A451">
        <v>70462000</v>
      </c>
      <c r="B451">
        <v>4277</v>
      </c>
    </row>
    <row r="452" spans="1:2" x14ac:dyDescent="0.3">
      <c r="A452">
        <v>72175000</v>
      </c>
      <c r="B452">
        <v>7380</v>
      </c>
    </row>
    <row r="453" spans="1:2" x14ac:dyDescent="0.3">
      <c r="A453">
        <v>78964000</v>
      </c>
      <c r="B453">
        <v>79957</v>
      </c>
    </row>
    <row r="454" spans="1:2" x14ac:dyDescent="0.3">
      <c r="A454">
        <v>78562000</v>
      </c>
      <c r="B454">
        <v>90317</v>
      </c>
    </row>
    <row r="455" spans="1:2" x14ac:dyDescent="0.3">
      <c r="A455">
        <v>78984000</v>
      </c>
      <c r="B455">
        <v>80992</v>
      </c>
    </row>
    <row r="456" spans="1:2" x14ac:dyDescent="0.3">
      <c r="A456">
        <v>78757000</v>
      </c>
      <c r="B456">
        <v>4358</v>
      </c>
    </row>
    <row r="457" spans="1:2" x14ac:dyDescent="0.3">
      <c r="A457">
        <v>78715000</v>
      </c>
      <c r="B457">
        <v>4339</v>
      </c>
    </row>
    <row r="458" spans="1:2" x14ac:dyDescent="0.3">
      <c r="A458">
        <v>78960000</v>
      </c>
      <c r="B458">
        <v>79907</v>
      </c>
    </row>
    <row r="459" spans="1:2" x14ac:dyDescent="0.3">
      <c r="A459">
        <v>78224000</v>
      </c>
      <c r="B459">
        <v>91948</v>
      </c>
    </row>
    <row r="460" spans="1:2" x14ac:dyDescent="0.3">
      <c r="A460">
        <v>70406000</v>
      </c>
      <c r="B460">
        <v>4260</v>
      </c>
    </row>
    <row r="461" spans="1:2" x14ac:dyDescent="0.3">
      <c r="A461">
        <v>78935000</v>
      </c>
      <c r="B461">
        <v>79497</v>
      </c>
    </row>
    <row r="462" spans="1:2" x14ac:dyDescent="0.3">
      <c r="A462">
        <v>78974000</v>
      </c>
      <c r="B462">
        <v>79990</v>
      </c>
    </row>
    <row r="463" spans="1:2" x14ac:dyDescent="0.3">
      <c r="A463">
        <v>78548000</v>
      </c>
      <c r="B463">
        <v>90036</v>
      </c>
    </row>
    <row r="464" spans="1:2" x14ac:dyDescent="0.3">
      <c r="A464">
        <v>70802000</v>
      </c>
      <c r="B464">
        <v>80923</v>
      </c>
    </row>
    <row r="465" spans="1:2" x14ac:dyDescent="0.3">
      <c r="A465">
        <v>78221000</v>
      </c>
      <c r="B465">
        <v>91937</v>
      </c>
    </row>
    <row r="466" spans="1:2" x14ac:dyDescent="0.3">
      <c r="A466">
        <v>78773000</v>
      </c>
      <c r="B466">
        <v>6363</v>
      </c>
    </row>
    <row r="467" spans="1:2" x14ac:dyDescent="0.3">
      <c r="A467">
        <v>78931000</v>
      </c>
      <c r="B467">
        <v>79483</v>
      </c>
    </row>
    <row r="468" spans="1:2" x14ac:dyDescent="0.3">
      <c r="A468">
        <v>70209000</v>
      </c>
      <c r="B468">
        <v>4236</v>
      </c>
    </row>
    <row r="469" spans="1:2" x14ac:dyDescent="0.3">
      <c r="A469">
        <v>70407000</v>
      </c>
      <c r="B469">
        <v>4261</v>
      </c>
    </row>
    <row r="470" spans="1:2" x14ac:dyDescent="0.3">
      <c r="A470">
        <v>72155000</v>
      </c>
      <c r="B470">
        <v>7351</v>
      </c>
    </row>
    <row r="471" spans="1:2" x14ac:dyDescent="0.3">
      <c r="A471">
        <v>88704000</v>
      </c>
      <c r="B471">
        <v>85540</v>
      </c>
    </row>
    <row r="472" spans="1:2" x14ac:dyDescent="0.3">
      <c r="A472">
        <v>80415000</v>
      </c>
      <c r="B472">
        <v>4378</v>
      </c>
    </row>
    <row r="473" spans="1:2" x14ac:dyDescent="0.3">
      <c r="A473">
        <v>80214000</v>
      </c>
      <c r="B473">
        <v>4370</v>
      </c>
    </row>
    <row r="474" spans="1:2" x14ac:dyDescent="0.3">
      <c r="A474">
        <v>80502000</v>
      </c>
      <c r="B474">
        <v>4381</v>
      </c>
    </row>
    <row r="475" spans="1:2" x14ac:dyDescent="0.3">
      <c r="A475">
        <v>88705000</v>
      </c>
      <c r="B475">
        <v>92302</v>
      </c>
    </row>
    <row r="476" spans="1:2" x14ac:dyDescent="0.3">
      <c r="A476">
        <v>80303000</v>
      </c>
      <c r="B476">
        <v>4371</v>
      </c>
    </row>
    <row r="477" spans="1:2" x14ac:dyDescent="0.3">
      <c r="A477">
        <v>88620000</v>
      </c>
      <c r="B477">
        <v>4383</v>
      </c>
    </row>
    <row r="478" spans="1:2" x14ac:dyDescent="0.3">
      <c r="A478">
        <v>80220000</v>
      </c>
      <c r="B478">
        <v>79598</v>
      </c>
    </row>
    <row r="479" spans="1:2" x14ac:dyDescent="0.3">
      <c r="A479">
        <v>80201000</v>
      </c>
      <c r="B479">
        <v>4368</v>
      </c>
    </row>
    <row r="480" spans="1:2" x14ac:dyDescent="0.3">
      <c r="A480">
        <v>80209000</v>
      </c>
      <c r="B480">
        <v>4374</v>
      </c>
    </row>
    <row r="481" spans="1:2" x14ac:dyDescent="0.3">
      <c r="A481">
        <v>88759000</v>
      </c>
      <c r="B481">
        <v>79499</v>
      </c>
    </row>
    <row r="482" spans="1:2" x14ac:dyDescent="0.3">
      <c r="A482">
        <v>88703000</v>
      </c>
      <c r="B482">
        <v>85516</v>
      </c>
    </row>
    <row r="483" spans="1:2" x14ac:dyDescent="0.3">
      <c r="A483">
        <v>88758000</v>
      </c>
      <c r="B483">
        <v>79498</v>
      </c>
    </row>
    <row r="484" spans="1:2" x14ac:dyDescent="0.3">
      <c r="A484">
        <v>80416000</v>
      </c>
      <c r="B484">
        <v>4379</v>
      </c>
    </row>
    <row r="485" spans="1:2" x14ac:dyDescent="0.3">
      <c r="A485">
        <v>80306000</v>
      </c>
      <c r="B485">
        <v>4373</v>
      </c>
    </row>
    <row r="486" spans="1:2" x14ac:dyDescent="0.3">
      <c r="A486">
        <v>80208000</v>
      </c>
      <c r="B486">
        <v>4369</v>
      </c>
    </row>
    <row r="487" spans="1:2" x14ac:dyDescent="0.3">
      <c r="A487">
        <v>88702000</v>
      </c>
      <c r="B487">
        <v>79218</v>
      </c>
    </row>
    <row r="488" spans="1:2" x14ac:dyDescent="0.3">
      <c r="A488">
        <v>80412000</v>
      </c>
      <c r="B488">
        <v>4376</v>
      </c>
    </row>
    <row r="489" spans="1:2" x14ac:dyDescent="0.3">
      <c r="A489">
        <v>80322000</v>
      </c>
      <c r="B489">
        <v>4380</v>
      </c>
    </row>
    <row r="490" spans="1:2" x14ac:dyDescent="0.3">
      <c r="A490">
        <v>80850000</v>
      </c>
      <c r="B490">
        <v>90123</v>
      </c>
    </row>
    <row r="491" spans="1:2" x14ac:dyDescent="0.3">
      <c r="A491">
        <v>88755000</v>
      </c>
      <c r="B491">
        <v>4385</v>
      </c>
    </row>
    <row r="492" spans="1:2" x14ac:dyDescent="0.3">
      <c r="A492">
        <v>80313000</v>
      </c>
      <c r="B492">
        <v>4377</v>
      </c>
    </row>
    <row r="493" spans="1:2" x14ac:dyDescent="0.3">
      <c r="A493">
        <v>90232000</v>
      </c>
      <c r="B493">
        <v>4397</v>
      </c>
    </row>
    <row r="494" spans="1:2" x14ac:dyDescent="0.3">
      <c r="A494">
        <v>98745000</v>
      </c>
      <c r="B494">
        <v>4400</v>
      </c>
    </row>
    <row r="495" spans="1:2" x14ac:dyDescent="0.3">
      <c r="A495">
        <v>90225000</v>
      </c>
      <c r="B495">
        <v>4395</v>
      </c>
    </row>
    <row r="496" spans="1:2" x14ac:dyDescent="0.3">
      <c r="A496">
        <v>98651000</v>
      </c>
      <c r="B496">
        <v>79269</v>
      </c>
    </row>
    <row r="497" spans="1:2" x14ac:dyDescent="0.3">
      <c r="A497">
        <v>98750000</v>
      </c>
      <c r="B497">
        <v>79973</v>
      </c>
    </row>
    <row r="498" spans="1:2" x14ac:dyDescent="0.3">
      <c r="A498">
        <v>90206000</v>
      </c>
      <c r="B498">
        <v>4392</v>
      </c>
    </row>
    <row r="499" spans="1:2" x14ac:dyDescent="0.3">
      <c r="A499">
        <v>90203000</v>
      </c>
      <c r="B499">
        <v>4389</v>
      </c>
    </row>
    <row r="500" spans="1:2" x14ac:dyDescent="0.3">
      <c r="A500">
        <v>90202000</v>
      </c>
      <c r="B500">
        <v>4388</v>
      </c>
    </row>
    <row r="501" spans="1:2" x14ac:dyDescent="0.3">
      <c r="A501">
        <v>90227000</v>
      </c>
      <c r="B501">
        <v>4396</v>
      </c>
    </row>
    <row r="502" spans="1:2" x14ac:dyDescent="0.3">
      <c r="A502">
        <v>90199000</v>
      </c>
      <c r="B502">
        <v>4386</v>
      </c>
    </row>
    <row r="503" spans="1:2" x14ac:dyDescent="0.3">
      <c r="A503">
        <v>90836000</v>
      </c>
      <c r="B503">
        <v>81114</v>
      </c>
    </row>
    <row r="504" spans="1:2" x14ac:dyDescent="0.3">
      <c r="A504">
        <v>90835000</v>
      </c>
      <c r="B504">
        <v>78786</v>
      </c>
    </row>
    <row r="505" spans="1:2" x14ac:dyDescent="0.3">
      <c r="A505">
        <v>90204000</v>
      </c>
      <c r="B505">
        <v>4390</v>
      </c>
    </row>
    <row r="506" spans="1:2" x14ac:dyDescent="0.3">
      <c r="A506">
        <v>98746000</v>
      </c>
      <c r="B506">
        <v>6353</v>
      </c>
    </row>
    <row r="507" spans="1:2" x14ac:dyDescent="0.3">
      <c r="A507">
        <v>90210000</v>
      </c>
      <c r="B507">
        <v>4393</v>
      </c>
    </row>
    <row r="508" spans="1:2" x14ac:dyDescent="0.3">
      <c r="A508">
        <v>90205000</v>
      </c>
      <c r="B508">
        <v>4391</v>
      </c>
    </row>
    <row r="509" spans="1:2" x14ac:dyDescent="0.3">
      <c r="A509">
        <v>90220000</v>
      </c>
      <c r="B509">
        <v>4394</v>
      </c>
    </row>
    <row r="510" spans="1:2" x14ac:dyDescent="0.3">
      <c r="A510">
        <v>90201000</v>
      </c>
      <c r="B510">
        <v>4387</v>
      </c>
    </row>
    <row r="511" spans="1:2" x14ac:dyDescent="0.3">
      <c r="A511">
        <v>202150000</v>
      </c>
      <c r="B511">
        <v>89638</v>
      </c>
    </row>
    <row r="512" spans="1:2" x14ac:dyDescent="0.3">
      <c r="A512">
        <v>202119000</v>
      </c>
      <c r="B512">
        <v>92385</v>
      </c>
    </row>
    <row r="513" spans="1:2" x14ac:dyDescent="0.3">
      <c r="A513">
        <v>108734000</v>
      </c>
      <c r="B513">
        <v>90199</v>
      </c>
    </row>
    <row r="514" spans="1:2" x14ac:dyDescent="0.3">
      <c r="A514">
        <v>78242000</v>
      </c>
      <c r="B514">
        <v>90878</v>
      </c>
    </row>
    <row r="515" spans="1:2" x14ac:dyDescent="0.3">
      <c r="A515">
        <v>108713000</v>
      </c>
      <c r="B515">
        <v>79961</v>
      </c>
    </row>
    <row r="516" spans="1:2" x14ac:dyDescent="0.3">
      <c r="A516">
        <v>108665000</v>
      </c>
      <c r="B516">
        <v>78897</v>
      </c>
    </row>
    <row r="517" spans="1:2" x14ac:dyDescent="0.3">
      <c r="A517">
        <v>108767000</v>
      </c>
      <c r="B517">
        <v>6364</v>
      </c>
    </row>
    <row r="518" spans="1:2" x14ac:dyDescent="0.3">
      <c r="A518">
        <v>100215000</v>
      </c>
      <c r="B518">
        <v>4409</v>
      </c>
    </row>
    <row r="519" spans="1:2" x14ac:dyDescent="0.3">
      <c r="A519">
        <v>100351000</v>
      </c>
      <c r="B519">
        <v>4418</v>
      </c>
    </row>
    <row r="520" spans="1:2" x14ac:dyDescent="0.3">
      <c r="A520">
        <v>108794000</v>
      </c>
      <c r="B520">
        <v>80995</v>
      </c>
    </row>
    <row r="521" spans="1:2" x14ac:dyDescent="0.3">
      <c r="A521">
        <v>100210000</v>
      </c>
      <c r="B521">
        <v>4406</v>
      </c>
    </row>
    <row r="522" spans="1:2" x14ac:dyDescent="0.3">
      <c r="A522">
        <v>108785000</v>
      </c>
      <c r="B522">
        <v>79426</v>
      </c>
    </row>
    <row r="523" spans="1:2" x14ac:dyDescent="0.3">
      <c r="A523">
        <v>108709000</v>
      </c>
      <c r="B523">
        <v>79947</v>
      </c>
    </row>
    <row r="524" spans="1:2" x14ac:dyDescent="0.3">
      <c r="A524">
        <v>100240000</v>
      </c>
      <c r="B524">
        <v>4412</v>
      </c>
    </row>
    <row r="525" spans="1:2" x14ac:dyDescent="0.3">
      <c r="A525">
        <v>108404000</v>
      </c>
      <c r="B525">
        <v>92318</v>
      </c>
    </row>
    <row r="526" spans="1:2" x14ac:dyDescent="0.3">
      <c r="A526">
        <v>108725000</v>
      </c>
      <c r="B526">
        <v>6361</v>
      </c>
    </row>
    <row r="527" spans="1:2" x14ac:dyDescent="0.3">
      <c r="A527">
        <v>108737000</v>
      </c>
      <c r="B527">
        <v>91309</v>
      </c>
    </row>
    <row r="528" spans="1:2" x14ac:dyDescent="0.3">
      <c r="A528">
        <v>108501000</v>
      </c>
      <c r="B528">
        <v>89871</v>
      </c>
    </row>
    <row r="529" spans="1:2" x14ac:dyDescent="0.3">
      <c r="A529">
        <v>108715000</v>
      </c>
      <c r="B529">
        <v>81029</v>
      </c>
    </row>
    <row r="530" spans="1:2" x14ac:dyDescent="0.3">
      <c r="A530">
        <v>108777000</v>
      </c>
      <c r="B530">
        <v>78858</v>
      </c>
    </row>
    <row r="531" spans="1:2" x14ac:dyDescent="0.3">
      <c r="A531">
        <v>100216000</v>
      </c>
      <c r="B531">
        <v>4410</v>
      </c>
    </row>
    <row r="532" spans="1:2" x14ac:dyDescent="0.3">
      <c r="A532">
        <v>102601000</v>
      </c>
      <c r="B532">
        <v>7927</v>
      </c>
    </row>
    <row r="533" spans="1:2" x14ac:dyDescent="0.3">
      <c r="A533">
        <v>108776000</v>
      </c>
      <c r="B533">
        <v>79056</v>
      </c>
    </row>
    <row r="534" spans="1:2" x14ac:dyDescent="0.3">
      <c r="A534">
        <v>108909000</v>
      </c>
      <c r="B534">
        <v>91773</v>
      </c>
    </row>
    <row r="535" spans="1:2" x14ac:dyDescent="0.3">
      <c r="A535">
        <v>108788000</v>
      </c>
      <c r="B535">
        <v>79467</v>
      </c>
    </row>
    <row r="536" spans="1:2" x14ac:dyDescent="0.3">
      <c r="A536">
        <v>100339000</v>
      </c>
      <c r="B536">
        <v>4416</v>
      </c>
    </row>
    <row r="537" spans="1:2" x14ac:dyDescent="0.3">
      <c r="A537">
        <v>108505000</v>
      </c>
      <c r="B537">
        <v>90331</v>
      </c>
    </row>
    <row r="538" spans="1:2" x14ac:dyDescent="0.3">
      <c r="A538">
        <v>108793000</v>
      </c>
      <c r="B538">
        <v>80032</v>
      </c>
    </row>
    <row r="539" spans="1:2" x14ac:dyDescent="0.3">
      <c r="A539">
        <v>108666000</v>
      </c>
      <c r="B539">
        <v>79049</v>
      </c>
    </row>
    <row r="540" spans="1:2" x14ac:dyDescent="0.3">
      <c r="A540">
        <v>108502000</v>
      </c>
      <c r="B540">
        <v>89914</v>
      </c>
    </row>
    <row r="541" spans="1:2" x14ac:dyDescent="0.3">
      <c r="A541">
        <v>108504000</v>
      </c>
      <c r="B541">
        <v>90284</v>
      </c>
    </row>
    <row r="542" spans="1:2" x14ac:dyDescent="0.3">
      <c r="A542">
        <v>108787000</v>
      </c>
      <c r="B542">
        <v>79441</v>
      </c>
    </row>
    <row r="543" spans="1:2" x14ac:dyDescent="0.3">
      <c r="A543">
        <v>108732000</v>
      </c>
      <c r="B543">
        <v>88308</v>
      </c>
    </row>
    <row r="544" spans="1:2" x14ac:dyDescent="0.3">
      <c r="A544">
        <v>108771000</v>
      </c>
      <c r="B544">
        <v>10969</v>
      </c>
    </row>
    <row r="545" spans="1:2" x14ac:dyDescent="0.3">
      <c r="A545">
        <v>108781000</v>
      </c>
      <c r="B545">
        <v>78833</v>
      </c>
    </row>
    <row r="546" spans="1:2" x14ac:dyDescent="0.3">
      <c r="A546">
        <v>108506000</v>
      </c>
      <c r="B546">
        <v>90506</v>
      </c>
    </row>
    <row r="547" spans="1:2" x14ac:dyDescent="0.3">
      <c r="A547">
        <v>108653000</v>
      </c>
      <c r="B547">
        <v>4421</v>
      </c>
    </row>
    <row r="548" spans="1:2" x14ac:dyDescent="0.3">
      <c r="A548">
        <v>108717000</v>
      </c>
      <c r="B548">
        <v>81123</v>
      </c>
    </row>
    <row r="549" spans="1:2" x14ac:dyDescent="0.3">
      <c r="A549">
        <v>108792000</v>
      </c>
      <c r="B549">
        <v>79640</v>
      </c>
    </row>
    <row r="550" spans="1:2" x14ac:dyDescent="0.3">
      <c r="A550">
        <v>108797000</v>
      </c>
      <c r="B550">
        <v>87440</v>
      </c>
    </row>
    <row r="551" spans="1:2" x14ac:dyDescent="0.3">
      <c r="A551">
        <v>108910000</v>
      </c>
      <c r="B551">
        <v>91959</v>
      </c>
    </row>
    <row r="552" spans="1:2" x14ac:dyDescent="0.3">
      <c r="A552">
        <v>100208000</v>
      </c>
      <c r="B552">
        <v>4405</v>
      </c>
    </row>
    <row r="553" spans="1:2" x14ac:dyDescent="0.3">
      <c r="A553">
        <v>108770000</v>
      </c>
      <c r="B553">
        <v>10974</v>
      </c>
    </row>
    <row r="554" spans="1:2" x14ac:dyDescent="0.3">
      <c r="A554">
        <v>108789000</v>
      </c>
      <c r="B554">
        <v>79500</v>
      </c>
    </row>
    <row r="555" spans="1:2" x14ac:dyDescent="0.3">
      <c r="A555">
        <v>108726000</v>
      </c>
      <c r="B555">
        <v>6369</v>
      </c>
    </row>
    <row r="556" spans="1:2" x14ac:dyDescent="0.3">
      <c r="A556">
        <v>108701000</v>
      </c>
      <c r="B556">
        <v>4426</v>
      </c>
    </row>
    <row r="557" spans="1:2" x14ac:dyDescent="0.3">
      <c r="A557">
        <v>108775000</v>
      </c>
      <c r="B557">
        <v>79061</v>
      </c>
    </row>
    <row r="558" spans="1:2" x14ac:dyDescent="0.3">
      <c r="A558">
        <v>108513000</v>
      </c>
      <c r="B558">
        <v>92499</v>
      </c>
    </row>
    <row r="559" spans="1:2" x14ac:dyDescent="0.3">
      <c r="A559">
        <v>108735000</v>
      </c>
      <c r="B559">
        <v>90876</v>
      </c>
    </row>
    <row r="560" spans="1:2" x14ac:dyDescent="0.3">
      <c r="A560">
        <v>108706000</v>
      </c>
      <c r="B560">
        <v>79880</v>
      </c>
    </row>
    <row r="561" spans="1:2" x14ac:dyDescent="0.3">
      <c r="A561">
        <v>108784000</v>
      </c>
      <c r="B561">
        <v>79420</v>
      </c>
    </row>
    <row r="562" spans="1:2" x14ac:dyDescent="0.3">
      <c r="A562">
        <v>108908000</v>
      </c>
      <c r="B562">
        <v>90754</v>
      </c>
    </row>
    <row r="563" spans="1:2" x14ac:dyDescent="0.3">
      <c r="A563">
        <v>108708000</v>
      </c>
      <c r="B563">
        <v>79926</v>
      </c>
    </row>
    <row r="564" spans="1:2" x14ac:dyDescent="0.3">
      <c r="A564">
        <v>108702000</v>
      </c>
      <c r="B564">
        <v>4427</v>
      </c>
    </row>
    <row r="565" spans="1:2" x14ac:dyDescent="0.3">
      <c r="A565">
        <v>100206000</v>
      </c>
      <c r="B565">
        <v>4404</v>
      </c>
    </row>
    <row r="566" spans="1:2" x14ac:dyDescent="0.3">
      <c r="A566">
        <v>108798000</v>
      </c>
      <c r="B566">
        <v>89852</v>
      </c>
    </row>
    <row r="567" spans="1:2" x14ac:dyDescent="0.3">
      <c r="A567">
        <v>108703000</v>
      </c>
      <c r="B567">
        <v>4428</v>
      </c>
    </row>
    <row r="568" spans="1:2" x14ac:dyDescent="0.3">
      <c r="A568">
        <v>108769000</v>
      </c>
      <c r="B568">
        <v>10879</v>
      </c>
    </row>
    <row r="569" spans="1:2" x14ac:dyDescent="0.3">
      <c r="A569">
        <v>108774000</v>
      </c>
      <c r="B569">
        <v>79058</v>
      </c>
    </row>
    <row r="570" spans="1:2" x14ac:dyDescent="0.3">
      <c r="A570">
        <v>108707000</v>
      </c>
      <c r="B570">
        <v>79881</v>
      </c>
    </row>
    <row r="571" spans="1:2" x14ac:dyDescent="0.3">
      <c r="A571">
        <v>108512000</v>
      </c>
      <c r="B571">
        <v>91238</v>
      </c>
    </row>
    <row r="572" spans="1:2" x14ac:dyDescent="0.3">
      <c r="A572">
        <v>100100000</v>
      </c>
      <c r="B572">
        <v>4401</v>
      </c>
    </row>
    <row r="573" spans="1:2" x14ac:dyDescent="0.3">
      <c r="A573">
        <v>108601000</v>
      </c>
      <c r="B573">
        <v>4420</v>
      </c>
    </row>
    <row r="574" spans="1:2" x14ac:dyDescent="0.3">
      <c r="A574">
        <v>100811000</v>
      </c>
      <c r="B574">
        <v>89380</v>
      </c>
    </row>
    <row r="575" spans="1:2" x14ac:dyDescent="0.3">
      <c r="A575">
        <v>108507000</v>
      </c>
      <c r="B575">
        <v>90536</v>
      </c>
    </row>
    <row r="576" spans="1:2" x14ac:dyDescent="0.3">
      <c r="A576">
        <v>108799000</v>
      </c>
      <c r="B576">
        <v>89864</v>
      </c>
    </row>
    <row r="577" spans="1:2" x14ac:dyDescent="0.3">
      <c r="A577">
        <v>108711000</v>
      </c>
      <c r="B577">
        <v>79959</v>
      </c>
    </row>
    <row r="578" spans="1:2" x14ac:dyDescent="0.3">
      <c r="A578">
        <v>108602000</v>
      </c>
      <c r="B578">
        <v>90997</v>
      </c>
    </row>
    <row r="579" spans="1:2" x14ac:dyDescent="0.3">
      <c r="A579">
        <v>108796000</v>
      </c>
      <c r="B579">
        <v>87405</v>
      </c>
    </row>
    <row r="580" spans="1:2" x14ac:dyDescent="0.3">
      <c r="A580">
        <v>108744000</v>
      </c>
      <c r="B580">
        <v>4431</v>
      </c>
    </row>
    <row r="581" spans="1:2" x14ac:dyDescent="0.3">
      <c r="A581">
        <v>108778000</v>
      </c>
      <c r="B581">
        <v>4425</v>
      </c>
    </row>
    <row r="582" spans="1:2" x14ac:dyDescent="0.3">
      <c r="A582">
        <v>108403000</v>
      </c>
      <c r="B582">
        <v>92049</v>
      </c>
    </row>
    <row r="583" spans="1:2" x14ac:dyDescent="0.3">
      <c r="A583">
        <v>100230000</v>
      </c>
      <c r="B583">
        <v>4411</v>
      </c>
    </row>
    <row r="584" spans="1:2" x14ac:dyDescent="0.3">
      <c r="A584">
        <v>100335000</v>
      </c>
      <c r="B584">
        <v>4414</v>
      </c>
    </row>
    <row r="585" spans="1:2" x14ac:dyDescent="0.3">
      <c r="A585">
        <v>108719000</v>
      </c>
      <c r="B585">
        <v>85454</v>
      </c>
    </row>
    <row r="586" spans="1:2" x14ac:dyDescent="0.3">
      <c r="A586">
        <v>108503000</v>
      </c>
      <c r="B586">
        <v>89915</v>
      </c>
    </row>
    <row r="587" spans="1:2" x14ac:dyDescent="0.3">
      <c r="A587">
        <v>108772000</v>
      </c>
      <c r="B587">
        <v>79000</v>
      </c>
    </row>
    <row r="588" spans="1:2" x14ac:dyDescent="0.3">
      <c r="A588">
        <v>108779000</v>
      </c>
      <c r="B588">
        <v>79085</v>
      </c>
    </row>
    <row r="589" spans="1:2" x14ac:dyDescent="0.3">
      <c r="A589">
        <v>108227000</v>
      </c>
      <c r="B589">
        <v>91992</v>
      </c>
    </row>
    <row r="590" spans="1:2" x14ac:dyDescent="0.3">
      <c r="A590">
        <v>100212000</v>
      </c>
      <c r="B590">
        <v>4407</v>
      </c>
    </row>
    <row r="591" spans="1:2" x14ac:dyDescent="0.3">
      <c r="A591">
        <v>100213000</v>
      </c>
      <c r="B591">
        <v>4408</v>
      </c>
    </row>
    <row r="592" spans="1:2" x14ac:dyDescent="0.3">
      <c r="A592">
        <v>108722000</v>
      </c>
      <c r="B592">
        <v>6355</v>
      </c>
    </row>
    <row r="593" spans="1:2" x14ac:dyDescent="0.3">
      <c r="A593">
        <v>108401000</v>
      </c>
      <c r="B593">
        <v>91279</v>
      </c>
    </row>
    <row r="594" spans="1:2" x14ac:dyDescent="0.3">
      <c r="A594">
        <v>108773000</v>
      </c>
      <c r="B594">
        <v>79073</v>
      </c>
    </row>
    <row r="595" spans="1:2" x14ac:dyDescent="0.3">
      <c r="A595">
        <v>108714000</v>
      </c>
      <c r="B595">
        <v>79979</v>
      </c>
    </row>
    <row r="596" spans="1:2" x14ac:dyDescent="0.3">
      <c r="A596">
        <v>108768000</v>
      </c>
      <c r="B596">
        <v>6374</v>
      </c>
    </row>
    <row r="597" spans="1:2" x14ac:dyDescent="0.3">
      <c r="A597">
        <v>108720000</v>
      </c>
      <c r="B597">
        <v>85448</v>
      </c>
    </row>
    <row r="598" spans="1:2" x14ac:dyDescent="0.3">
      <c r="A598">
        <v>100201000</v>
      </c>
      <c r="B598">
        <v>4403</v>
      </c>
    </row>
    <row r="599" spans="1:2" x14ac:dyDescent="0.3">
      <c r="A599">
        <v>108660000</v>
      </c>
      <c r="B599">
        <v>4422</v>
      </c>
    </row>
    <row r="600" spans="1:2" x14ac:dyDescent="0.3">
      <c r="A600">
        <v>100220000</v>
      </c>
      <c r="B600">
        <v>4413</v>
      </c>
    </row>
    <row r="601" spans="1:2" x14ac:dyDescent="0.3">
      <c r="A601">
        <v>108705000</v>
      </c>
      <c r="B601">
        <v>4430</v>
      </c>
    </row>
    <row r="602" spans="1:2" x14ac:dyDescent="0.3">
      <c r="A602">
        <v>118705000</v>
      </c>
      <c r="B602">
        <v>5978</v>
      </c>
    </row>
    <row r="603" spans="1:2" x14ac:dyDescent="0.3">
      <c r="A603">
        <v>118706000</v>
      </c>
      <c r="B603">
        <v>78966</v>
      </c>
    </row>
    <row r="604" spans="1:2" x14ac:dyDescent="0.3">
      <c r="A604">
        <v>118703000</v>
      </c>
      <c r="B604">
        <v>79883</v>
      </c>
    </row>
    <row r="605" spans="1:2" x14ac:dyDescent="0.3">
      <c r="A605">
        <v>110243000</v>
      </c>
      <c r="B605">
        <v>4443</v>
      </c>
    </row>
    <row r="606" spans="1:2" x14ac:dyDescent="0.3">
      <c r="A606">
        <v>118711000</v>
      </c>
      <c r="B606">
        <v>91133</v>
      </c>
    </row>
    <row r="607" spans="1:2" x14ac:dyDescent="0.3">
      <c r="A607">
        <v>110404000</v>
      </c>
      <c r="B607">
        <v>4446</v>
      </c>
    </row>
    <row r="608" spans="1:2" x14ac:dyDescent="0.3">
      <c r="A608">
        <v>110502000</v>
      </c>
      <c r="B608">
        <v>4453</v>
      </c>
    </row>
    <row r="609" spans="1:2" x14ac:dyDescent="0.3">
      <c r="A609">
        <v>110801000</v>
      </c>
      <c r="B609">
        <v>79385</v>
      </c>
    </row>
    <row r="610" spans="1:2" x14ac:dyDescent="0.3">
      <c r="A610">
        <v>110802000</v>
      </c>
      <c r="B610">
        <v>79391</v>
      </c>
    </row>
    <row r="611" spans="1:2" x14ac:dyDescent="0.3">
      <c r="A611">
        <v>110221000</v>
      </c>
      <c r="B611">
        <v>4442</v>
      </c>
    </row>
    <row r="612" spans="1:2" x14ac:dyDescent="0.3">
      <c r="A612">
        <v>78687000</v>
      </c>
      <c r="B612">
        <v>89412</v>
      </c>
    </row>
    <row r="613" spans="1:2" x14ac:dyDescent="0.3">
      <c r="A613">
        <v>110411000</v>
      </c>
      <c r="B613">
        <v>4448</v>
      </c>
    </row>
    <row r="614" spans="1:2" x14ac:dyDescent="0.3">
      <c r="A614">
        <v>110201000</v>
      </c>
      <c r="B614">
        <v>4437</v>
      </c>
    </row>
    <row r="615" spans="1:2" x14ac:dyDescent="0.3">
      <c r="A615">
        <v>112601000</v>
      </c>
      <c r="B615">
        <v>8059</v>
      </c>
    </row>
    <row r="616" spans="1:2" x14ac:dyDescent="0.3">
      <c r="A616">
        <v>118709000</v>
      </c>
      <c r="B616">
        <v>90894</v>
      </c>
    </row>
    <row r="617" spans="1:2" x14ac:dyDescent="0.3">
      <c r="A617">
        <v>118702000</v>
      </c>
      <c r="B617">
        <v>79062</v>
      </c>
    </row>
    <row r="618" spans="1:2" x14ac:dyDescent="0.3">
      <c r="A618">
        <v>110244000</v>
      </c>
      <c r="B618">
        <v>4445</v>
      </c>
    </row>
    <row r="619" spans="1:2" x14ac:dyDescent="0.3">
      <c r="A619">
        <v>78101000</v>
      </c>
      <c r="B619">
        <v>91174</v>
      </c>
    </row>
    <row r="620" spans="1:2" x14ac:dyDescent="0.3">
      <c r="A620">
        <v>118708000</v>
      </c>
      <c r="B620">
        <v>90637</v>
      </c>
    </row>
    <row r="621" spans="1:2" x14ac:dyDescent="0.3">
      <c r="A621">
        <v>118715000</v>
      </c>
      <c r="B621">
        <v>92610</v>
      </c>
    </row>
    <row r="622" spans="1:2" x14ac:dyDescent="0.3">
      <c r="A622">
        <v>78518000</v>
      </c>
      <c r="B622">
        <v>88360</v>
      </c>
    </row>
    <row r="623" spans="1:2" x14ac:dyDescent="0.3">
      <c r="A623">
        <v>118712000</v>
      </c>
      <c r="B623">
        <v>91135</v>
      </c>
    </row>
    <row r="624" spans="1:2" x14ac:dyDescent="0.3">
      <c r="A624">
        <v>118713000</v>
      </c>
      <c r="B624">
        <v>91137</v>
      </c>
    </row>
    <row r="625" spans="1:2" x14ac:dyDescent="0.3">
      <c r="A625">
        <v>110208000</v>
      </c>
      <c r="B625">
        <v>4439</v>
      </c>
    </row>
    <row r="626" spans="1:2" x14ac:dyDescent="0.3">
      <c r="A626">
        <v>110220000</v>
      </c>
      <c r="B626">
        <v>4441</v>
      </c>
    </row>
    <row r="627" spans="1:2" x14ac:dyDescent="0.3">
      <c r="A627">
        <v>110100000</v>
      </c>
      <c r="B627">
        <v>4435</v>
      </c>
    </row>
    <row r="628" spans="1:2" x14ac:dyDescent="0.3">
      <c r="A628">
        <v>110302000</v>
      </c>
      <c r="B628">
        <v>4444</v>
      </c>
    </row>
    <row r="629" spans="1:2" x14ac:dyDescent="0.3">
      <c r="A629">
        <v>110433000</v>
      </c>
      <c r="B629">
        <v>4452</v>
      </c>
    </row>
    <row r="630" spans="1:2" x14ac:dyDescent="0.3">
      <c r="A630">
        <v>112602000</v>
      </c>
      <c r="B630">
        <v>8066</v>
      </c>
    </row>
    <row r="631" spans="1:2" x14ac:dyDescent="0.3">
      <c r="A631">
        <v>118704000</v>
      </c>
      <c r="B631">
        <v>81011</v>
      </c>
    </row>
    <row r="632" spans="1:2" x14ac:dyDescent="0.3">
      <c r="A632">
        <v>110203000</v>
      </c>
      <c r="B632">
        <v>4438</v>
      </c>
    </row>
    <row r="633" spans="1:2" x14ac:dyDescent="0.3">
      <c r="A633">
        <v>110405000</v>
      </c>
      <c r="B633">
        <v>4447</v>
      </c>
    </row>
    <row r="634" spans="1:2" x14ac:dyDescent="0.3">
      <c r="A634">
        <v>110418000</v>
      </c>
      <c r="B634">
        <v>4449</v>
      </c>
    </row>
    <row r="635" spans="1:2" x14ac:dyDescent="0.3">
      <c r="A635">
        <v>110540000</v>
      </c>
      <c r="B635">
        <v>4454</v>
      </c>
    </row>
    <row r="636" spans="1:2" x14ac:dyDescent="0.3">
      <c r="A636">
        <v>110424000</v>
      </c>
      <c r="B636">
        <v>4451</v>
      </c>
    </row>
    <row r="637" spans="1:2" x14ac:dyDescent="0.3">
      <c r="A637">
        <v>110215000</v>
      </c>
      <c r="B637">
        <v>4440</v>
      </c>
    </row>
    <row r="638" spans="1:2" x14ac:dyDescent="0.3">
      <c r="A638">
        <v>110422000</v>
      </c>
      <c r="B638">
        <v>4450</v>
      </c>
    </row>
    <row r="639" spans="1:2" x14ac:dyDescent="0.3">
      <c r="A639">
        <v>118707000</v>
      </c>
      <c r="B639">
        <v>4455</v>
      </c>
    </row>
    <row r="640" spans="1:2" x14ac:dyDescent="0.3">
      <c r="A640">
        <v>128703000</v>
      </c>
      <c r="B640">
        <v>4463</v>
      </c>
    </row>
    <row r="641" spans="1:2" x14ac:dyDescent="0.3">
      <c r="A641">
        <v>120201000</v>
      </c>
      <c r="B641">
        <v>4457</v>
      </c>
    </row>
    <row r="642" spans="1:2" x14ac:dyDescent="0.3">
      <c r="A642">
        <v>120406000</v>
      </c>
      <c r="B642">
        <v>4460</v>
      </c>
    </row>
    <row r="643" spans="1:2" x14ac:dyDescent="0.3">
      <c r="A643">
        <v>128725000</v>
      </c>
      <c r="B643">
        <v>79069</v>
      </c>
    </row>
    <row r="644" spans="1:2" x14ac:dyDescent="0.3">
      <c r="A644">
        <v>120520000</v>
      </c>
      <c r="B644">
        <v>4462</v>
      </c>
    </row>
    <row r="645" spans="1:2" x14ac:dyDescent="0.3">
      <c r="A645">
        <v>128701000</v>
      </c>
      <c r="B645">
        <v>81009</v>
      </c>
    </row>
    <row r="646" spans="1:2" x14ac:dyDescent="0.3">
      <c r="A646">
        <v>211023000</v>
      </c>
      <c r="B646">
        <v>79590</v>
      </c>
    </row>
    <row r="647" spans="1:2" x14ac:dyDescent="0.3">
      <c r="A647">
        <v>126013000</v>
      </c>
      <c r="B647">
        <v>79473</v>
      </c>
    </row>
    <row r="648" spans="1:2" x14ac:dyDescent="0.3">
      <c r="A648">
        <v>120328000</v>
      </c>
      <c r="B648">
        <v>4459</v>
      </c>
    </row>
    <row r="649" spans="1:2" x14ac:dyDescent="0.3">
      <c r="A649">
        <v>128726000</v>
      </c>
      <c r="B649">
        <v>79066</v>
      </c>
    </row>
    <row r="650" spans="1:2" x14ac:dyDescent="0.3">
      <c r="A650">
        <v>120235000</v>
      </c>
      <c r="B650">
        <v>4458</v>
      </c>
    </row>
    <row r="651" spans="1:2" x14ac:dyDescent="0.3">
      <c r="A651">
        <v>120425000</v>
      </c>
      <c r="B651">
        <v>4461</v>
      </c>
    </row>
    <row r="652" spans="1:2" x14ac:dyDescent="0.3">
      <c r="A652">
        <v>138761000</v>
      </c>
      <c r="B652">
        <v>79457</v>
      </c>
    </row>
    <row r="653" spans="1:2" x14ac:dyDescent="0.3">
      <c r="A653">
        <v>138763000</v>
      </c>
      <c r="B653">
        <v>78830</v>
      </c>
    </row>
    <row r="654" spans="1:2" x14ac:dyDescent="0.3">
      <c r="A654">
        <v>138760000</v>
      </c>
      <c r="B654">
        <v>79437</v>
      </c>
    </row>
    <row r="655" spans="1:2" x14ac:dyDescent="0.3">
      <c r="A655">
        <v>138754000</v>
      </c>
      <c r="B655">
        <v>6365</v>
      </c>
    </row>
    <row r="656" spans="1:2" x14ac:dyDescent="0.3">
      <c r="A656">
        <v>138785000</v>
      </c>
      <c r="B656">
        <v>91131</v>
      </c>
    </row>
    <row r="657" spans="1:2" x14ac:dyDescent="0.3">
      <c r="A657">
        <v>132107000</v>
      </c>
      <c r="B657">
        <v>89922</v>
      </c>
    </row>
    <row r="658" spans="1:2" x14ac:dyDescent="0.3">
      <c r="A658">
        <v>130231000</v>
      </c>
      <c r="B658">
        <v>4471</v>
      </c>
    </row>
    <row r="659" spans="1:2" x14ac:dyDescent="0.3">
      <c r="A659">
        <v>130220000</v>
      </c>
      <c r="B659">
        <v>4468</v>
      </c>
    </row>
    <row r="660" spans="1:2" x14ac:dyDescent="0.3">
      <c r="A660">
        <v>138786000</v>
      </c>
      <c r="B660">
        <v>92320</v>
      </c>
    </row>
    <row r="661" spans="1:2" x14ac:dyDescent="0.3">
      <c r="A661">
        <v>130326000</v>
      </c>
      <c r="B661">
        <v>4481</v>
      </c>
    </row>
    <row r="662" spans="1:2" x14ac:dyDescent="0.3">
      <c r="A662">
        <v>130228000</v>
      </c>
      <c r="B662">
        <v>4470</v>
      </c>
    </row>
    <row r="663" spans="1:2" x14ac:dyDescent="0.3">
      <c r="A663">
        <v>138771000</v>
      </c>
      <c r="B663">
        <v>90136</v>
      </c>
    </row>
    <row r="664" spans="1:2" x14ac:dyDescent="0.3">
      <c r="A664">
        <v>130350000</v>
      </c>
      <c r="B664">
        <v>4484</v>
      </c>
    </row>
    <row r="665" spans="1:2" x14ac:dyDescent="0.3">
      <c r="A665">
        <v>130251000</v>
      </c>
      <c r="B665">
        <v>4474</v>
      </c>
    </row>
    <row r="666" spans="1:2" x14ac:dyDescent="0.3">
      <c r="A666">
        <v>130403000</v>
      </c>
      <c r="B666">
        <v>4486</v>
      </c>
    </row>
    <row r="667" spans="1:2" x14ac:dyDescent="0.3">
      <c r="A667">
        <v>138501000</v>
      </c>
      <c r="B667">
        <v>90533</v>
      </c>
    </row>
    <row r="668" spans="1:2" x14ac:dyDescent="0.3">
      <c r="A668">
        <v>130317000</v>
      </c>
      <c r="B668">
        <v>4479</v>
      </c>
    </row>
    <row r="669" spans="1:2" x14ac:dyDescent="0.3">
      <c r="A669">
        <v>130406000</v>
      </c>
      <c r="B669">
        <v>4487</v>
      </c>
    </row>
    <row r="670" spans="1:2" x14ac:dyDescent="0.3">
      <c r="A670">
        <v>138714000</v>
      </c>
      <c r="B670">
        <v>88321</v>
      </c>
    </row>
    <row r="671" spans="1:2" x14ac:dyDescent="0.3">
      <c r="A671">
        <v>138705000</v>
      </c>
      <c r="B671">
        <v>81052</v>
      </c>
    </row>
    <row r="672" spans="1:2" x14ac:dyDescent="0.3">
      <c r="A672">
        <v>138751000</v>
      </c>
      <c r="B672">
        <v>4495</v>
      </c>
    </row>
    <row r="673" spans="1:2" x14ac:dyDescent="0.3">
      <c r="A673">
        <v>130335000</v>
      </c>
      <c r="B673">
        <v>4482</v>
      </c>
    </row>
    <row r="674" spans="1:2" x14ac:dyDescent="0.3">
      <c r="A674">
        <v>130222000</v>
      </c>
      <c r="B674">
        <v>4469</v>
      </c>
    </row>
    <row r="675" spans="1:2" x14ac:dyDescent="0.3">
      <c r="A675">
        <v>138759000</v>
      </c>
      <c r="B675">
        <v>79065</v>
      </c>
    </row>
    <row r="676" spans="1:2" x14ac:dyDescent="0.3">
      <c r="A676">
        <v>130323000</v>
      </c>
      <c r="B676">
        <v>4480</v>
      </c>
    </row>
    <row r="677" spans="1:2" x14ac:dyDescent="0.3">
      <c r="A677">
        <v>138503000</v>
      </c>
      <c r="B677">
        <v>90900</v>
      </c>
    </row>
    <row r="678" spans="1:2" x14ac:dyDescent="0.3">
      <c r="A678">
        <v>138757000</v>
      </c>
      <c r="B678">
        <v>10965</v>
      </c>
    </row>
    <row r="679" spans="1:2" x14ac:dyDescent="0.3">
      <c r="A679">
        <v>130243000</v>
      </c>
      <c r="B679">
        <v>4473</v>
      </c>
    </row>
    <row r="680" spans="1:2" x14ac:dyDescent="0.3">
      <c r="A680">
        <v>132116000</v>
      </c>
      <c r="B680">
        <v>90048</v>
      </c>
    </row>
    <row r="681" spans="1:2" x14ac:dyDescent="0.3">
      <c r="A681">
        <v>138712000</v>
      </c>
      <c r="B681">
        <v>4493</v>
      </c>
    </row>
    <row r="682" spans="1:2" x14ac:dyDescent="0.3">
      <c r="A682">
        <v>130504000</v>
      </c>
      <c r="B682">
        <v>4488</v>
      </c>
    </row>
    <row r="683" spans="1:2" x14ac:dyDescent="0.3">
      <c r="A683">
        <v>130802000</v>
      </c>
      <c r="B683">
        <v>90090</v>
      </c>
    </row>
    <row r="684" spans="1:2" x14ac:dyDescent="0.3">
      <c r="A684">
        <v>138768000</v>
      </c>
      <c r="B684">
        <v>78873</v>
      </c>
    </row>
    <row r="685" spans="1:2" x14ac:dyDescent="0.3">
      <c r="A685">
        <v>138654000</v>
      </c>
      <c r="B685">
        <v>79234</v>
      </c>
    </row>
    <row r="686" spans="1:2" x14ac:dyDescent="0.3">
      <c r="A686">
        <v>138758000</v>
      </c>
      <c r="B686">
        <v>79068</v>
      </c>
    </row>
    <row r="687" spans="1:2" x14ac:dyDescent="0.3">
      <c r="A687">
        <v>138756000</v>
      </c>
      <c r="B687">
        <v>10967</v>
      </c>
    </row>
    <row r="688" spans="1:2" x14ac:dyDescent="0.3">
      <c r="A688">
        <v>138755000</v>
      </c>
      <c r="B688">
        <v>10970</v>
      </c>
    </row>
    <row r="689" spans="1:2" x14ac:dyDescent="0.3">
      <c r="A689">
        <v>138702000</v>
      </c>
      <c r="B689">
        <v>78890</v>
      </c>
    </row>
    <row r="690" spans="1:2" x14ac:dyDescent="0.3">
      <c r="A690">
        <v>130201000</v>
      </c>
      <c r="B690">
        <v>4466</v>
      </c>
    </row>
    <row r="691" spans="1:2" x14ac:dyDescent="0.3">
      <c r="A691">
        <v>78516000</v>
      </c>
      <c r="B691">
        <v>88317</v>
      </c>
    </row>
    <row r="692" spans="1:2" x14ac:dyDescent="0.3">
      <c r="A692">
        <v>138708000</v>
      </c>
      <c r="B692">
        <v>4492</v>
      </c>
    </row>
    <row r="693" spans="1:2" x14ac:dyDescent="0.3">
      <c r="A693">
        <v>130209000</v>
      </c>
      <c r="B693">
        <v>4467</v>
      </c>
    </row>
    <row r="694" spans="1:2" x14ac:dyDescent="0.3">
      <c r="A694">
        <v>130240000</v>
      </c>
      <c r="B694">
        <v>4472</v>
      </c>
    </row>
    <row r="695" spans="1:2" x14ac:dyDescent="0.3">
      <c r="A695">
        <v>130315000</v>
      </c>
      <c r="B695">
        <v>4478</v>
      </c>
    </row>
    <row r="696" spans="1:2" x14ac:dyDescent="0.3">
      <c r="A696">
        <v>138752000</v>
      </c>
      <c r="B696">
        <v>4496</v>
      </c>
    </row>
    <row r="697" spans="1:2" x14ac:dyDescent="0.3">
      <c r="A697">
        <v>130801000</v>
      </c>
      <c r="B697">
        <v>79397</v>
      </c>
    </row>
    <row r="698" spans="1:2" x14ac:dyDescent="0.3">
      <c r="A698">
        <v>130352000</v>
      </c>
      <c r="B698">
        <v>4485</v>
      </c>
    </row>
    <row r="699" spans="1:2" x14ac:dyDescent="0.3">
      <c r="A699">
        <v>130199000</v>
      </c>
      <c r="B699">
        <v>79379</v>
      </c>
    </row>
    <row r="700" spans="1:2" x14ac:dyDescent="0.3">
      <c r="A700">
        <v>140550000</v>
      </c>
      <c r="B700">
        <v>4506</v>
      </c>
    </row>
    <row r="701" spans="1:2" x14ac:dyDescent="0.3">
      <c r="A701">
        <v>148757000</v>
      </c>
      <c r="B701">
        <v>4508</v>
      </c>
    </row>
    <row r="702" spans="1:2" x14ac:dyDescent="0.3">
      <c r="A702">
        <v>148761000</v>
      </c>
      <c r="B702">
        <v>80001</v>
      </c>
    </row>
    <row r="703" spans="1:2" x14ac:dyDescent="0.3">
      <c r="A703">
        <v>140413000</v>
      </c>
      <c r="B703">
        <v>4501</v>
      </c>
    </row>
    <row r="704" spans="1:2" x14ac:dyDescent="0.3">
      <c r="A704">
        <v>140432000</v>
      </c>
      <c r="B704">
        <v>4505</v>
      </c>
    </row>
    <row r="705" spans="1:2" x14ac:dyDescent="0.3">
      <c r="A705">
        <v>148760000</v>
      </c>
      <c r="B705">
        <v>79501</v>
      </c>
    </row>
    <row r="706" spans="1:2" x14ac:dyDescent="0.3">
      <c r="A706">
        <v>140416000</v>
      </c>
      <c r="B706">
        <v>4502</v>
      </c>
    </row>
    <row r="707" spans="1:2" x14ac:dyDescent="0.3">
      <c r="A707">
        <v>148759000</v>
      </c>
      <c r="B707">
        <v>79064</v>
      </c>
    </row>
    <row r="708" spans="1:2" x14ac:dyDescent="0.3">
      <c r="A708">
        <v>140417000</v>
      </c>
      <c r="B708">
        <v>4503</v>
      </c>
    </row>
    <row r="709" spans="1:2" x14ac:dyDescent="0.3">
      <c r="A709">
        <v>140411000</v>
      </c>
      <c r="B709">
        <v>4500</v>
      </c>
    </row>
    <row r="710" spans="1:2" x14ac:dyDescent="0.3">
      <c r="A710">
        <v>140424000</v>
      </c>
      <c r="B710">
        <v>4504</v>
      </c>
    </row>
    <row r="711" spans="1:2" x14ac:dyDescent="0.3">
      <c r="A711">
        <v>140401000</v>
      </c>
      <c r="B711">
        <v>4499</v>
      </c>
    </row>
    <row r="712" spans="1:2" x14ac:dyDescent="0.3">
      <c r="A712">
        <v>148758000</v>
      </c>
      <c r="B712">
        <v>4509</v>
      </c>
    </row>
    <row r="713" spans="1:2" x14ac:dyDescent="0.3">
      <c r="A713">
        <v>140570000</v>
      </c>
      <c r="B713">
        <v>4507</v>
      </c>
    </row>
  </sheetData>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3136"/>
  <sheetViews>
    <sheetView workbookViewId="0">
      <selection activeCell="A5" sqref="A5"/>
    </sheetView>
  </sheetViews>
  <sheetFormatPr defaultColWidth="8.77734375" defaultRowHeight="14.4" x14ac:dyDescent="0.3"/>
  <cols>
    <col min="1" max="2" width="11.44140625" bestFit="1" customWidth="1"/>
  </cols>
  <sheetData>
    <row r="1" spans="1:2" x14ac:dyDescent="0.3">
      <c r="A1" t="s">
        <v>556</v>
      </c>
      <c r="B1" t="s">
        <v>557</v>
      </c>
    </row>
    <row r="2" spans="1:2" x14ac:dyDescent="0.3">
      <c r="A2" s="1">
        <v>79457</v>
      </c>
      <c r="B2" s="1">
        <v>400328</v>
      </c>
    </row>
    <row r="3" spans="1:2" x14ac:dyDescent="0.3">
      <c r="A3" s="1">
        <v>79457</v>
      </c>
      <c r="B3" s="1">
        <v>400328</v>
      </c>
    </row>
    <row r="4" spans="1:2" x14ac:dyDescent="0.3">
      <c r="A4" s="1">
        <v>79457</v>
      </c>
      <c r="B4" s="1">
        <v>400328</v>
      </c>
    </row>
    <row r="5" spans="1:2" x14ac:dyDescent="0.3">
      <c r="A5" s="1">
        <v>87344</v>
      </c>
      <c r="B5" s="1">
        <v>400431</v>
      </c>
    </row>
    <row r="6" spans="1:2" x14ac:dyDescent="0.3">
      <c r="A6" s="1">
        <v>87344</v>
      </c>
      <c r="B6" s="1">
        <v>400431</v>
      </c>
    </row>
    <row r="7" spans="1:2" x14ac:dyDescent="0.3">
      <c r="A7" s="1">
        <v>90199</v>
      </c>
      <c r="B7" s="1">
        <v>400797</v>
      </c>
    </row>
    <row r="8" spans="1:2" x14ac:dyDescent="0.3">
      <c r="A8" s="1">
        <v>90199</v>
      </c>
      <c r="B8" s="1">
        <v>400797</v>
      </c>
    </row>
    <row r="9" spans="1:2" x14ac:dyDescent="0.3">
      <c r="A9" s="1">
        <v>90199</v>
      </c>
      <c r="B9" s="1">
        <v>400797</v>
      </c>
    </row>
    <row r="10" spans="1:2" x14ac:dyDescent="0.3">
      <c r="A10" s="1">
        <v>85540</v>
      </c>
      <c r="B10" s="1">
        <v>400414</v>
      </c>
    </row>
    <row r="11" spans="1:2" x14ac:dyDescent="0.3">
      <c r="A11" s="1">
        <v>85540</v>
      </c>
      <c r="B11" s="1">
        <v>400414</v>
      </c>
    </row>
    <row r="12" spans="1:2" x14ac:dyDescent="0.3">
      <c r="A12" s="1">
        <v>4296</v>
      </c>
      <c r="B12" s="1">
        <v>400128</v>
      </c>
    </row>
    <row r="13" spans="1:2" x14ac:dyDescent="0.3">
      <c r="A13" s="1">
        <v>4296</v>
      </c>
      <c r="B13" s="1">
        <v>400128</v>
      </c>
    </row>
    <row r="14" spans="1:2" x14ac:dyDescent="0.3">
      <c r="A14" s="1">
        <v>4296</v>
      </c>
      <c r="B14" s="1">
        <v>400128</v>
      </c>
    </row>
    <row r="15" spans="1:2" x14ac:dyDescent="0.3">
      <c r="A15" s="1">
        <v>4296</v>
      </c>
      <c r="B15" s="1">
        <v>400128</v>
      </c>
    </row>
    <row r="16" spans="1:2" x14ac:dyDescent="0.3">
      <c r="A16" s="1">
        <v>79961</v>
      </c>
      <c r="B16" s="1">
        <v>400368</v>
      </c>
    </row>
    <row r="17" spans="1:2" x14ac:dyDescent="0.3">
      <c r="A17" s="1">
        <v>79961</v>
      </c>
      <c r="B17" s="1">
        <v>400368</v>
      </c>
    </row>
    <row r="18" spans="1:2" x14ac:dyDescent="0.3">
      <c r="A18" s="1">
        <v>90878</v>
      </c>
      <c r="B18" s="1">
        <v>400891</v>
      </c>
    </row>
    <row r="19" spans="1:2" x14ac:dyDescent="0.3">
      <c r="A19" s="1">
        <v>90878</v>
      </c>
      <c r="B19" s="1">
        <v>400891</v>
      </c>
    </row>
    <row r="20" spans="1:2" x14ac:dyDescent="0.3">
      <c r="A20" s="1">
        <v>78897</v>
      </c>
      <c r="B20" s="1">
        <v>400202</v>
      </c>
    </row>
    <row r="21" spans="1:2" x14ac:dyDescent="0.3">
      <c r="A21" s="1">
        <v>78897</v>
      </c>
      <c r="B21" s="1">
        <v>400202</v>
      </c>
    </row>
    <row r="22" spans="1:2" x14ac:dyDescent="0.3">
      <c r="A22" s="1">
        <v>78897</v>
      </c>
      <c r="B22" s="1">
        <v>400202</v>
      </c>
    </row>
    <row r="23" spans="1:2" x14ac:dyDescent="0.3">
      <c r="A23" s="1">
        <v>78897</v>
      </c>
      <c r="B23" s="1">
        <v>400202</v>
      </c>
    </row>
    <row r="24" spans="1:2" x14ac:dyDescent="0.3">
      <c r="A24" s="1">
        <v>79213</v>
      </c>
      <c r="B24" s="1">
        <v>400276</v>
      </c>
    </row>
    <row r="25" spans="1:2" x14ac:dyDescent="0.3">
      <c r="A25" s="1">
        <v>79213</v>
      </c>
      <c r="B25" s="1">
        <v>400276</v>
      </c>
    </row>
    <row r="26" spans="1:2" x14ac:dyDescent="0.3">
      <c r="A26" s="1">
        <v>6364</v>
      </c>
      <c r="B26" s="1">
        <v>400129</v>
      </c>
    </row>
    <row r="27" spans="1:2" x14ac:dyDescent="0.3">
      <c r="A27" s="1">
        <v>6364</v>
      </c>
      <c r="B27" s="1">
        <v>400129</v>
      </c>
    </row>
    <row r="28" spans="1:2" x14ac:dyDescent="0.3">
      <c r="A28" s="1">
        <v>4297</v>
      </c>
      <c r="B28" s="1">
        <v>400121</v>
      </c>
    </row>
    <row r="29" spans="1:2" x14ac:dyDescent="0.3">
      <c r="A29" s="1">
        <v>4297</v>
      </c>
      <c r="B29" s="1">
        <v>400121</v>
      </c>
    </row>
    <row r="30" spans="1:2" x14ac:dyDescent="0.3">
      <c r="A30" s="1">
        <v>78830</v>
      </c>
      <c r="B30" s="1">
        <v>400338</v>
      </c>
    </row>
    <row r="31" spans="1:2" x14ac:dyDescent="0.3">
      <c r="A31" s="1">
        <v>78830</v>
      </c>
      <c r="B31" s="1">
        <v>400338</v>
      </c>
    </row>
    <row r="32" spans="1:2" x14ac:dyDescent="0.3">
      <c r="A32" s="1">
        <v>4325</v>
      </c>
      <c r="B32" s="1">
        <v>400122</v>
      </c>
    </row>
    <row r="33" spans="1:2" x14ac:dyDescent="0.3">
      <c r="A33" s="1">
        <v>4325</v>
      </c>
      <c r="B33" s="1">
        <v>400122</v>
      </c>
    </row>
    <row r="34" spans="1:2" x14ac:dyDescent="0.3">
      <c r="A34" s="1">
        <v>79437</v>
      </c>
      <c r="B34" s="1">
        <v>400320</v>
      </c>
    </row>
    <row r="35" spans="1:2" x14ac:dyDescent="0.3">
      <c r="A35" s="1">
        <v>79437</v>
      </c>
      <c r="B35" s="1">
        <v>400320</v>
      </c>
    </row>
    <row r="36" spans="1:2" x14ac:dyDescent="0.3">
      <c r="A36" s="1">
        <v>79437</v>
      </c>
      <c r="B36" s="1">
        <v>400320</v>
      </c>
    </row>
    <row r="37" spans="1:2" x14ac:dyDescent="0.3">
      <c r="A37" s="1">
        <v>4289</v>
      </c>
      <c r="B37" s="1">
        <v>400450</v>
      </c>
    </row>
    <row r="38" spans="1:2" x14ac:dyDescent="0.3">
      <c r="A38" s="1">
        <v>4289</v>
      </c>
      <c r="B38" s="1">
        <v>400450</v>
      </c>
    </row>
    <row r="39" spans="1:2" x14ac:dyDescent="0.3">
      <c r="A39" s="1">
        <v>4289</v>
      </c>
      <c r="B39" s="1">
        <v>400450</v>
      </c>
    </row>
    <row r="40" spans="1:2" x14ac:dyDescent="0.3">
      <c r="A40" s="1">
        <v>4289</v>
      </c>
      <c r="B40" s="1">
        <v>400450</v>
      </c>
    </row>
    <row r="41" spans="1:2" x14ac:dyDescent="0.3">
      <c r="A41" s="1">
        <v>4289</v>
      </c>
      <c r="B41" s="1">
        <v>400450</v>
      </c>
    </row>
    <row r="42" spans="1:2" x14ac:dyDescent="0.3">
      <c r="A42" s="1">
        <v>4249</v>
      </c>
      <c r="B42" s="1">
        <v>400480</v>
      </c>
    </row>
    <row r="43" spans="1:2" x14ac:dyDescent="0.3">
      <c r="A43" s="1">
        <v>4249</v>
      </c>
      <c r="B43" s="1">
        <v>400480</v>
      </c>
    </row>
    <row r="44" spans="1:2" x14ac:dyDescent="0.3">
      <c r="A44" s="1">
        <v>85875</v>
      </c>
      <c r="B44" s="1">
        <v>400418</v>
      </c>
    </row>
    <row r="45" spans="1:2" x14ac:dyDescent="0.3">
      <c r="A45" s="1">
        <v>85875</v>
      </c>
      <c r="B45" s="1">
        <v>400418</v>
      </c>
    </row>
    <row r="46" spans="1:2" x14ac:dyDescent="0.3">
      <c r="A46" s="1">
        <v>85875</v>
      </c>
      <c r="B46" s="1">
        <v>400418</v>
      </c>
    </row>
    <row r="47" spans="1:2" x14ac:dyDescent="0.3">
      <c r="A47" s="1">
        <v>90758</v>
      </c>
      <c r="B47" s="1">
        <v>400827</v>
      </c>
    </row>
    <row r="48" spans="1:2" x14ac:dyDescent="0.3">
      <c r="A48" s="1">
        <v>90758</v>
      </c>
      <c r="B48" s="1">
        <v>400827</v>
      </c>
    </row>
    <row r="49" spans="1:2" x14ac:dyDescent="0.3">
      <c r="A49" s="1">
        <v>79053</v>
      </c>
      <c r="B49" s="1">
        <v>400274</v>
      </c>
    </row>
    <row r="50" spans="1:2" x14ac:dyDescent="0.3">
      <c r="A50" s="1">
        <v>79053</v>
      </c>
      <c r="B50" s="1">
        <v>400274</v>
      </c>
    </row>
    <row r="51" spans="1:2" x14ac:dyDescent="0.3">
      <c r="A51" s="1">
        <v>4409</v>
      </c>
      <c r="B51" s="1">
        <v>400520</v>
      </c>
    </row>
    <row r="52" spans="1:2" x14ac:dyDescent="0.3">
      <c r="A52" s="1">
        <v>4409</v>
      </c>
      <c r="B52" s="1">
        <v>400520</v>
      </c>
    </row>
    <row r="53" spans="1:2" x14ac:dyDescent="0.3">
      <c r="A53" s="1">
        <v>4409</v>
      </c>
      <c r="B53" s="1">
        <v>400520</v>
      </c>
    </row>
    <row r="54" spans="1:2" x14ac:dyDescent="0.3">
      <c r="A54" s="1">
        <v>5978</v>
      </c>
      <c r="B54" s="1">
        <v>400403</v>
      </c>
    </row>
    <row r="55" spans="1:2" x14ac:dyDescent="0.3">
      <c r="A55" s="1">
        <v>5978</v>
      </c>
      <c r="B55" s="1">
        <v>400403</v>
      </c>
    </row>
    <row r="56" spans="1:2" x14ac:dyDescent="0.3">
      <c r="A56" s="1">
        <v>78966</v>
      </c>
      <c r="B56" s="1">
        <v>400404</v>
      </c>
    </row>
    <row r="57" spans="1:2" x14ac:dyDescent="0.3">
      <c r="A57" s="1">
        <v>78966</v>
      </c>
      <c r="B57" s="1">
        <v>400404</v>
      </c>
    </row>
    <row r="58" spans="1:2" x14ac:dyDescent="0.3">
      <c r="A58" s="1">
        <v>4280</v>
      </c>
      <c r="B58" s="1">
        <v>400600</v>
      </c>
    </row>
    <row r="59" spans="1:2" x14ac:dyDescent="0.3">
      <c r="A59" s="1">
        <v>4280</v>
      </c>
      <c r="B59" s="1">
        <v>400600</v>
      </c>
    </row>
    <row r="60" spans="1:2" x14ac:dyDescent="0.3">
      <c r="A60" s="1">
        <v>4280</v>
      </c>
      <c r="B60" s="1">
        <v>400600</v>
      </c>
    </row>
    <row r="61" spans="1:2" x14ac:dyDescent="0.3">
      <c r="A61" s="1">
        <v>4280</v>
      </c>
      <c r="B61" s="1">
        <v>400600</v>
      </c>
    </row>
    <row r="62" spans="1:2" x14ac:dyDescent="0.3">
      <c r="A62" s="1">
        <v>4280</v>
      </c>
      <c r="B62" s="1">
        <v>400600</v>
      </c>
    </row>
    <row r="63" spans="1:2" x14ac:dyDescent="0.3">
      <c r="A63" s="1">
        <v>4280</v>
      </c>
      <c r="B63" s="1">
        <v>400600</v>
      </c>
    </row>
    <row r="64" spans="1:2" x14ac:dyDescent="0.3">
      <c r="A64" s="1">
        <v>4280</v>
      </c>
      <c r="B64" s="1">
        <v>400600</v>
      </c>
    </row>
    <row r="65" spans="1:2" x14ac:dyDescent="0.3">
      <c r="A65" s="1">
        <v>4280</v>
      </c>
      <c r="B65" s="1">
        <v>400600</v>
      </c>
    </row>
    <row r="66" spans="1:2" x14ac:dyDescent="0.3">
      <c r="A66" s="1">
        <v>4280</v>
      </c>
      <c r="B66" s="1">
        <v>400600</v>
      </c>
    </row>
    <row r="67" spans="1:2" x14ac:dyDescent="0.3">
      <c r="A67" s="1">
        <v>4280</v>
      </c>
      <c r="B67" s="1">
        <v>400600</v>
      </c>
    </row>
    <row r="68" spans="1:2" x14ac:dyDescent="0.3">
      <c r="A68" s="1">
        <v>4280</v>
      </c>
      <c r="B68" s="1">
        <v>400600</v>
      </c>
    </row>
    <row r="69" spans="1:2" x14ac:dyDescent="0.3">
      <c r="A69" s="1">
        <v>4280</v>
      </c>
      <c r="B69" s="1">
        <v>400600</v>
      </c>
    </row>
    <row r="70" spans="1:2" x14ac:dyDescent="0.3">
      <c r="A70" s="1">
        <v>4280</v>
      </c>
      <c r="B70" s="1">
        <v>400600</v>
      </c>
    </row>
    <row r="71" spans="1:2" x14ac:dyDescent="0.3">
      <c r="A71" s="1">
        <v>4280</v>
      </c>
      <c r="B71" s="1">
        <v>400600</v>
      </c>
    </row>
    <row r="72" spans="1:2" x14ac:dyDescent="0.3">
      <c r="A72" s="1">
        <v>4280</v>
      </c>
      <c r="B72" s="1">
        <v>400600</v>
      </c>
    </row>
    <row r="73" spans="1:2" x14ac:dyDescent="0.3">
      <c r="A73" s="1">
        <v>4280</v>
      </c>
      <c r="B73" s="1">
        <v>400600</v>
      </c>
    </row>
    <row r="74" spans="1:2" x14ac:dyDescent="0.3">
      <c r="A74" s="1">
        <v>79969</v>
      </c>
      <c r="B74" s="1">
        <v>400396</v>
      </c>
    </row>
    <row r="75" spans="1:2" x14ac:dyDescent="0.3">
      <c r="A75" s="1">
        <v>79969</v>
      </c>
      <c r="B75" s="1">
        <v>400396</v>
      </c>
    </row>
    <row r="76" spans="1:2" x14ac:dyDescent="0.3">
      <c r="A76" s="1">
        <v>4347</v>
      </c>
      <c r="B76" s="1">
        <v>400111</v>
      </c>
    </row>
    <row r="77" spans="1:2" x14ac:dyDescent="0.3">
      <c r="A77" s="1">
        <v>4347</v>
      </c>
      <c r="B77" s="1">
        <v>400111</v>
      </c>
    </row>
    <row r="78" spans="1:2" x14ac:dyDescent="0.3">
      <c r="A78" s="1">
        <v>81031</v>
      </c>
      <c r="B78" s="1">
        <v>400634</v>
      </c>
    </row>
    <row r="79" spans="1:2" x14ac:dyDescent="0.3">
      <c r="A79" s="1">
        <v>81031</v>
      </c>
      <c r="B79" s="1">
        <v>400634</v>
      </c>
    </row>
    <row r="80" spans="1:2" x14ac:dyDescent="0.3">
      <c r="A80" s="1">
        <v>4161</v>
      </c>
      <c r="B80" s="1">
        <v>400630</v>
      </c>
    </row>
    <row r="81" spans="1:2" x14ac:dyDescent="0.3">
      <c r="A81" s="1">
        <v>4161</v>
      </c>
      <c r="B81" s="1">
        <v>400630</v>
      </c>
    </row>
    <row r="82" spans="1:2" x14ac:dyDescent="0.3">
      <c r="A82" s="1">
        <v>4418</v>
      </c>
      <c r="B82" s="1">
        <v>404770</v>
      </c>
    </row>
    <row r="83" spans="1:2" x14ac:dyDescent="0.3">
      <c r="A83" s="1">
        <v>4418</v>
      </c>
      <c r="B83" s="1">
        <v>404770</v>
      </c>
    </row>
    <row r="84" spans="1:2" x14ac:dyDescent="0.3">
      <c r="A84" s="1">
        <v>4418</v>
      </c>
      <c r="B84" s="1">
        <v>404770</v>
      </c>
    </row>
    <row r="85" spans="1:2" x14ac:dyDescent="0.3">
      <c r="A85" s="1">
        <v>89550</v>
      </c>
      <c r="B85" s="1">
        <v>400753</v>
      </c>
    </row>
    <row r="86" spans="1:2" x14ac:dyDescent="0.3">
      <c r="A86" s="1">
        <v>89550</v>
      </c>
      <c r="B86" s="1">
        <v>400753</v>
      </c>
    </row>
    <row r="87" spans="1:2" x14ac:dyDescent="0.3">
      <c r="A87" s="1">
        <v>79215</v>
      </c>
      <c r="B87" s="1">
        <v>400218</v>
      </c>
    </row>
    <row r="88" spans="1:2" x14ac:dyDescent="0.3">
      <c r="A88" s="1">
        <v>79215</v>
      </c>
      <c r="B88" s="1">
        <v>400218</v>
      </c>
    </row>
    <row r="89" spans="1:2" x14ac:dyDescent="0.3">
      <c r="A89" s="1">
        <v>80995</v>
      </c>
      <c r="B89" s="1">
        <v>400619</v>
      </c>
    </row>
    <row r="90" spans="1:2" x14ac:dyDescent="0.3">
      <c r="A90" s="1">
        <v>80995</v>
      </c>
      <c r="B90" s="1">
        <v>400619</v>
      </c>
    </row>
    <row r="91" spans="1:2" x14ac:dyDescent="0.3">
      <c r="A91" s="1">
        <v>79883</v>
      </c>
      <c r="B91" s="1">
        <v>400357</v>
      </c>
    </row>
    <row r="92" spans="1:2" x14ac:dyDescent="0.3">
      <c r="A92" s="1">
        <v>79883</v>
      </c>
      <c r="B92" s="1">
        <v>400357</v>
      </c>
    </row>
    <row r="93" spans="1:2" x14ac:dyDescent="0.3">
      <c r="A93" s="1">
        <v>79874</v>
      </c>
      <c r="B93" s="1">
        <v>400385</v>
      </c>
    </row>
    <row r="94" spans="1:2" x14ac:dyDescent="0.3">
      <c r="A94" s="1">
        <v>79874</v>
      </c>
      <c r="B94" s="1">
        <v>400385</v>
      </c>
    </row>
    <row r="95" spans="1:2" x14ac:dyDescent="0.3">
      <c r="A95" s="1">
        <v>79872</v>
      </c>
      <c r="B95" s="1">
        <v>400384</v>
      </c>
    </row>
    <row r="96" spans="1:2" x14ac:dyDescent="0.3">
      <c r="A96" s="1">
        <v>79872</v>
      </c>
      <c r="B96" s="1">
        <v>400384</v>
      </c>
    </row>
    <row r="97" spans="1:2" x14ac:dyDescent="0.3">
      <c r="A97" s="1">
        <v>79873</v>
      </c>
      <c r="B97" s="1">
        <v>400352</v>
      </c>
    </row>
    <row r="98" spans="1:2" x14ac:dyDescent="0.3">
      <c r="A98" s="1">
        <v>79873</v>
      </c>
      <c r="B98" s="1">
        <v>400352</v>
      </c>
    </row>
    <row r="99" spans="1:2" x14ac:dyDescent="0.3">
      <c r="A99" s="1">
        <v>79875</v>
      </c>
      <c r="B99" s="1">
        <v>400353</v>
      </c>
    </row>
    <row r="100" spans="1:2" x14ac:dyDescent="0.3">
      <c r="A100" s="1">
        <v>79875</v>
      </c>
      <c r="B100" s="1">
        <v>400353</v>
      </c>
    </row>
    <row r="101" spans="1:2" x14ac:dyDescent="0.3">
      <c r="A101" s="1">
        <v>80989</v>
      </c>
      <c r="B101" s="1">
        <v>400618</v>
      </c>
    </row>
    <row r="102" spans="1:2" x14ac:dyDescent="0.3">
      <c r="A102" s="1">
        <v>80989</v>
      </c>
      <c r="B102" s="1">
        <v>400618</v>
      </c>
    </row>
    <row r="103" spans="1:2" x14ac:dyDescent="0.3">
      <c r="A103" s="1">
        <v>88334</v>
      </c>
      <c r="B103" s="1">
        <v>400447</v>
      </c>
    </row>
    <row r="104" spans="1:2" x14ac:dyDescent="0.3">
      <c r="A104" s="1">
        <v>88334</v>
      </c>
      <c r="B104" s="1">
        <v>400447</v>
      </c>
    </row>
    <row r="105" spans="1:2" x14ac:dyDescent="0.3">
      <c r="A105" s="1">
        <v>79877</v>
      </c>
      <c r="B105" s="1">
        <v>400354</v>
      </c>
    </row>
    <row r="106" spans="1:2" x14ac:dyDescent="0.3">
      <c r="A106" s="1">
        <v>79877</v>
      </c>
      <c r="B106" s="1">
        <v>400354</v>
      </c>
    </row>
    <row r="107" spans="1:2" x14ac:dyDescent="0.3">
      <c r="A107" s="1">
        <v>79879</v>
      </c>
      <c r="B107" s="1">
        <v>400355</v>
      </c>
    </row>
    <row r="108" spans="1:2" x14ac:dyDescent="0.3">
      <c r="A108" s="1">
        <v>79879</v>
      </c>
      <c r="B108" s="1">
        <v>400355</v>
      </c>
    </row>
    <row r="109" spans="1:2" x14ac:dyDescent="0.3">
      <c r="A109" s="1">
        <v>6365</v>
      </c>
      <c r="B109" s="1">
        <v>400130</v>
      </c>
    </row>
    <row r="110" spans="1:2" x14ac:dyDescent="0.3">
      <c r="A110" s="1">
        <v>6365</v>
      </c>
      <c r="B110" s="1">
        <v>400130</v>
      </c>
    </row>
    <row r="111" spans="1:2" x14ac:dyDescent="0.3">
      <c r="A111" s="1">
        <v>6365</v>
      </c>
      <c r="B111" s="1">
        <v>400130</v>
      </c>
    </row>
    <row r="112" spans="1:2" x14ac:dyDescent="0.3">
      <c r="A112" s="1">
        <v>4348</v>
      </c>
      <c r="B112" s="1">
        <v>400112</v>
      </c>
    </row>
    <row r="113" spans="1:2" x14ac:dyDescent="0.3">
      <c r="A113" s="1">
        <v>4348</v>
      </c>
      <c r="B113" s="1">
        <v>400112</v>
      </c>
    </row>
    <row r="114" spans="1:2" x14ac:dyDescent="0.3">
      <c r="A114" s="1">
        <v>4348</v>
      </c>
      <c r="B114" s="1">
        <v>400112</v>
      </c>
    </row>
    <row r="115" spans="1:2" x14ac:dyDescent="0.3">
      <c r="A115" s="1">
        <v>4348</v>
      </c>
      <c r="B115" s="1">
        <v>400112</v>
      </c>
    </row>
    <row r="116" spans="1:2" x14ac:dyDescent="0.3">
      <c r="A116" s="1">
        <v>4348</v>
      </c>
      <c r="B116" s="1">
        <v>400112</v>
      </c>
    </row>
    <row r="117" spans="1:2" x14ac:dyDescent="0.3">
      <c r="A117" s="1">
        <v>4348</v>
      </c>
      <c r="B117" s="1">
        <v>400112</v>
      </c>
    </row>
    <row r="118" spans="1:2" x14ac:dyDescent="0.3">
      <c r="A118" s="1">
        <v>4348</v>
      </c>
      <c r="B118" s="1">
        <v>400112</v>
      </c>
    </row>
    <row r="119" spans="1:2" x14ac:dyDescent="0.3">
      <c r="A119" s="1">
        <v>4406</v>
      </c>
      <c r="B119" s="1">
        <v>400680</v>
      </c>
    </row>
    <row r="120" spans="1:2" x14ac:dyDescent="0.3">
      <c r="A120" s="1">
        <v>4406</v>
      </c>
      <c r="B120" s="1">
        <v>400680</v>
      </c>
    </row>
    <row r="121" spans="1:2" x14ac:dyDescent="0.3">
      <c r="A121" s="1">
        <v>4406</v>
      </c>
      <c r="B121" s="1">
        <v>400680</v>
      </c>
    </row>
    <row r="122" spans="1:2" x14ac:dyDescent="0.3">
      <c r="A122" s="1">
        <v>4406</v>
      </c>
      <c r="B122" s="1">
        <v>400680</v>
      </c>
    </row>
    <row r="123" spans="1:2" x14ac:dyDescent="0.3">
      <c r="A123" s="1">
        <v>4406</v>
      </c>
      <c r="B123" s="1">
        <v>400680</v>
      </c>
    </row>
    <row r="124" spans="1:2" x14ac:dyDescent="0.3">
      <c r="A124" s="1">
        <v>4406</v>
      </c>
      <c r="B124" s="1">
        <v>400680</v>
      </c>
    </row>
    <row r="125" spans="1:2" x14ac:dyDescent="0.3">
      <c r="A125" s="1">
        <v>4406</v>
      </c>
      <c r="B125" s="1">
        <v>400680</v>
      </c>
    </row>
    <row r="126" spans="1:2" x14ac:dyDescent="0.3">
      <c r="A126" s="1">
        <v>4406</v>
      </c>
      <c r="B126" s="1">
        <v>400680</v>
      </c>
    </row>
    <row r="127" spans="1:2" x14ac:dyDescent="0.3">
      <c r="A127" s="1">
        <v>4406</v>
      </c>
      <c r="B127" s="1">
        <v>400680</v>
      </c>
    </row>
    <row r="128" spans="1:2" x14ac:dyDescent="0.3">
      <c r="A128" s="1">
        <v>4406</v>
      </c>
      <c r="B128" s="1">
        <v>400680</v>
      </c>
    </row>
    <row r="129" spans="1:2" x14ac:dyDescent="0.3">
      <c r="A129" s="1">
        <v>4406</v>
      </c>
      <c r="B129" s="1">
        <v>400680</v>
      </c>
    </row>
    <row r="130" spans="1:2" x14ac:dyDescent="0.3">
      <c r="A130" s="1">
        <v>4406</v>
      </c>
      <c r="B130" s="1">
        <v>400680</v>
      </c>
    </row>
    <row r="131" spans="1:2" x14ac:dyDescent="0.3">
      <c r="A131" s="1">
        <v>4406</v>
      </c>
      <c r="B131" s="1">
        <v>400680</v>
      </c>
    </row>
    <row r="132" spans="1:2" x14ac:dyDescent="0.3">
      <c r="A132" s="1">
        <v>4406</v>
      </c>
      <c r="B132" s="1">
        <v>400680</v>
      </c>
    </row>
    <row r="133" spans="1:2" x14ac:dyDescent="0.3">
      <c r="A133" s="1">
        <v>4406</v>
      </c>
      <c r="B133" s="1">
        <v>400680</v>
      </c>
    </row>
    <row r="134" spans="1:2" x14ac:dyDescent="0.3">
      <c r="A134" s="1">
        <v>4406</v>
      </c>
      <c r="B134" s="1">
        <v>400680</v>
      </c>
    </row>
    <row r="135" spans="1:2" x14ac:dyDescent="0.3">
      <c r="A135" s="1">
        <v>4406</v>
      </c>
      <c r="B135" s="1">
        <v>400680</v>
      </c>
    </row>
    <row r="136" spans="1:2" x14ac:dyDescent="0.3">
      <c r="A136" s="1">
        <v>4406</v>
      </c>
      <c r="B136" s="1">
        <v>400680</v>
      </c>
    </row>
    <row r="137" spans="1:2" x14ac:dyDescent="0.3">
      <c r="A137" s="1">
        <v>4406</v>
      </c>
      <c r="B137" s="1">
        <v>400680</v>
      </c>
    </row>
    <row r="138" spans="1:2" x14ac:dyDescent="0.3">
      <c r="A138" s="1">
        <v>4406</v>
      </c>
      <c r="B138" s="1">
        <v>400680</v>
      </c>
    </row>
    <row r="139" spans="1:2" x14ac:dyDescent="0.3">
      <c r="A139" s="1">
        <v>4406</v>
      </c>
      <c r="B139" s="1">
        <v>400680</v>
      </c>
    </row>
    <row r="140" spans="1:2" x14ac:dyDescent="0.3">
      <c r="A140" s="1">
        <v>4406</v>
      </c>
      <c r="B140" s="1">
        <v>400680</v>
      </c>
    </row>
    <row r="141" spans="1:2" x14ac:dyDescent="0.3">
      <c r="A141" s="1">
        <v>4406</v>
      </c>
      <c r="B141" s="1">
        <v>400680</v>
      </c>
    </row>
    <row r="142" spans="1:2" x14ac:dyDescent="0.3">
      <c r="A142" s="1">
        <v>4506</v>
      </c>
      <c r="B142" s="1">
        <v>400720</v>
      </c>
    </row>
    <row r="143" spans="1:2" x14ac:dyDescent="0.3">
      <c r="A143" s="1">
        <v>4506</v>
      </c>
      <c r="B143" s="1">
        <v>400720</v>
      </c>
    </row>
    <row r="144" spans="1:2" x14ac:dyDescent="0.3">
      <c r="A144" s="1">
        <v>90532</v>
      </c>
      <c r="B144" s="1">
        <v>400819</v>
      </c>
    </row>
    <row r="145" spans="1:2" x14ac:dyDescent="0.3">
      <c r="A145" s="1">
        <v>90532</v>
      </c>
      <c r="B145" s="1">
        <v>400819</v>
      </c>
    </row>
    <row r="146" spans="1:2" x14ac:dyDescent="0.3">
      <c r="A146" s="1">
        <v>79547</v>
      </c>
      <c r="B146" s="1">
        <v>400837</v>
      </c>
    </row>
    <row r="147" spans="1:2" x14ac:dyDescent="0.3">
      <c r="A147" s="1">
        <v>4178</v>
      </c>
      <c r="B147" s="1">
        <v>400750</v>
      </c>
    </row>
    <row r="148" spans="1:2" x14ac:dyDescent="0.3">
      <c r="A148" s="1">
        <v>4178</v>
      </c>
      <c r="B148" s="1">
        <v>400750</v>
      </c>
    </row>
    <row r="149" spans="1:2" x14ac:dyDescent="0.3">
      <c r="A149" s="1">
        <v>4443</v>
      </c>
      <c r="B149" s="1">
        <v>400790</v>
      </c>
    </row>
    <row r="150" spans="1:2" x14ac:dyDescent="0.3">
      <c r="A150" s="1">
        <v>4443</v>
      </c>
      <c r="B150" s="1">
        <v>400790</v>
      </c>
    </row>
    <row r="151" spans="1:2" x14ac:dyDescent="0.3">
      <c r="A151" s="1">
        <v>4443</v>
      </c>
      <c r="B151" s="1">
        <v>400790</v>
      </c>
    </row>
    <row r="152" spans="1:2" x14ac:dyDescent="0.3">
      <c r="A152" s="1">
        <v>4443</v>
      </c>
      <c r="B152" s="1">
        <v>400790</v>
      </c>
    </row>
    <row r="153" spans="1:2" x14ac:dyDescent="0.3">
      <c r="A153" s="1">
        <v>4443</v>
      </c>
      <c r="B153" s="1">
        <v>400790</v>
      </c>
    </row>
    <row r="154" spans="1:2" x14ac:dyDescent="0.3">
      <c r="A154" s="1">
        <v>4443</v>
      </c>
      <c r="B154" s="1">
        <v>400790</v>
      </c>
    </row>
    <row r="155" spans="1:2" x14ac:dyDescent="0.3">
      <c r="A155" s="1">
        <v>4443</v>
      </c>
      <c r="B155" s="1">
        <v>400790</v>
      </c>
    </row>
    <row r="156" spans="1:2" x14ac:dyDescent="0.3">
      <c r="A156" s="1">
        <v>4443</v>
      </c>
      <c r="B156" s="1">
        <v>400790</v>
      </c>
    </row>
    <row r="157" spans="1:2" x14ac:dyDescent="0.3">
      <c r="A157" s="1">
        <v>4443</v>
      </c>
      <c r="B157" s="1">
        <v>400790</v>
      </c>
    </row>
    <row r="158" spans="1:2" x14ac:dyDescent="0.3">
      <c r="A158" s="1">
        <v>79426</v>
      </c>
      <c r="B158" s="1">
        <v>400318</v>
      </c>
    </row>
    <row r="159" spans="1:2" x14ac:dyDescent="0.3">
      <c r="A159" s="1">
        <v>79426</v>
      </c>
      <c r="B159" s="1">
        <v>400318</v>
      </c>
    </row>
    <row r="160" spans="1:2" x14ac:dyDescent="0.3">
      <c r="A160" s="1">
        <v>92314</v>
      </c>
      <c r="B160" s="1">
        <v>400886</v>
      </c>
    </row>
    <row r="161" spans="1:2" x14ac:dyDescent="0.3">
      <c r="A161" s="1">
        <v>92314</v>
      </c>
      <c r="B161" s="1">
        <v>400886</v>
      </c>
    </row>
    <row r="162" spans="1:2" x14ac:dyDescent="0.3">
      <c r="A162" s="1">
        <v>90917</v>
      </c>
      <c r="B162" s="1">
        <v>400834</v>
      </c>
    </row>
    <row r="163" spans="1:2" x14ac:dyDescent="0.3">
      <c r="A163" s="1">
        <v>90917</v>
      </c>
      <c r="B163" s="1">
        <v>400834</v>
      </c>
    </row>
    <row r="164" spans="1:2" x14ac:dyDescent="0.3">
      <c r="A164" s="1">
        <v>91878</v>
      </c>
      <c r="B164" s="1">
        <v>400866</v>
      </c>
    </row>
    <row r="165" spans="1:2" x14ac:dyDescent="0.3">
      <c r="A165" s="1">
        <v>91878</v>
      </c>
      <c r="B165" s="1">
        <v>400866</v>
      </c>
    </row>
    <row r="166" spans="1:2" x14ac:dyDescent="0.3">
      <c r="A166" s="1">
        <v>92312</v>
      </c>
      <c r="B166" s="1">
        <v>400888</v>
      </c>
    </row>
    <row r="167" spans="1:2" x14ac:dyDescent="0.3">
      <c r="A167" s="1">
        <v>92312</v>
      </c>
      <c r="B167" s="1">
        <v>400888</v>
      </c>
    </row>
    <row r="168" spans="1:2" x14ac:dyDescent="0.3">
      <c r="A168" s="1">
        <v>91758</v>
      </c>
      <c r="B168" s="1">
        <v>400873</v>
      </c>
    </row>
    <row r="169" spans="1:2" x14ac:dyDescent="0.3">
      <c r="A169" s="1">
        <v>91758</v>
      </c>
      <c r="B169" s="1">
        <v>400873</v>
      </c>
    </row>
    <row r="170" spans="1:2" x14ac:dyDescent="0.3">
      <c r="A170" s="1">
        <v>90857</v>
      </c>
      <c r="B170" s="1">
        <v>400841</v>
      </c>
    </row>
    <row r="171" spans="1:2" x14ac:dyDescent="0.3">
      <c r="A171" s="1">
        <v>90857</v>
      </c>
      <c r="B171" s="1">
        <v>400841</v>
      </c>
    </row>
    <row r="172" spans="1:2" x14ac:dyDescent="0.3">
      <c r="A172" s="1">
        <v>90915</v>
      </c>
      <c r="B172" s="1">
        <v>400832</v>
      </c>
    </row>
    <row r="173" spans="1:2" x14ac:dyDescent="0.3">
      <c r="A173" s="1">
        <v>90915</v>
      </c>
      <c r="B173" s="1">
        <v>400832</v>
      </c>
    </row>
    <row r="174" spans="1:2" x14ac:dyDescent="0.3">
      <c r="A174" s="1">
        <v>90916</v>
      </c>
      <c r="B174" s="1">
        <v>400833</v>
      </c>
    </row>
    <row r="175" spans="1:2" x14ac:dyDescent="0.3">
      <c r="A175" s="1">
        <v>90916</v>
      </c>
      <c r="B175" s="1">
        <v>400833</v>
      </c>
    </row>
    <row r="176" spans="1:2" x14ac:dyDescent="0.3">
      <c r="A176" s="1">
        <v>6378</v>
      </c>
      <c r="B176" s="1">
        <v>400164</v>
      </c>
    </row>
    <row r="177" spans="1:2" x14ac:dyDescent="0.3">
      <c r="A177" s="1">
        <v>6378</v>
      </c>
      <c r="B177" s="1">
        <v>400164</v>
      </c>
    </row>
    <row r="178" spans="1:2" x14ac:dyDescent="0.3">
      <c r="A178" s="1">
        <v>6378</v>
      </c>
      <c r="B178" s="1">
        <v>400164</v>
      </c>
    </row>
    <row r="179" spans="1:2" x14ac:dyDescent="0.3">
      <c r="A179" s="1">
        <v>87403</v>
      </c>
      <c r="B179" s="1">
        <v>400426</v>
      </c>
    </row>
    <row r="180" spans="1:2" x14ac:dyDescent="0.3">
      <c r="A180" s="1">
        <v>85816</v>
      </c>
      <c r="B180" s="1">
        <v>400417</v>
      </c>
    </row>
    <row r="181" spans="1:2" x14ac:dyDescent="0.3">
      <c r="A181" s="1">
        <v>4331</v>
      </c>
      <c r="B181" s="1">
        <v>400106</v>
      </c>
    </row>
    <row r="182" spans="1:2" x14ac:dyDescent="0.3">
      <c r="A182" s="1">
        <v>91131</v>
      </c>
      <c r="B182" s="1">
        <v>400838</v>
      </c>
    </row>
    <row r="183" spans="1:2" x14ac:dyDescent="0.3">
      <c r="A183" s="1">
        <v>90779</v>
      </c>
      <c r="B183" s="1">
        <v>400828</v>
      </c>
    </row>
    <row r="184" spans="1:2" x14ac:dyDescent="0.3">
      <c r="A184" s="1">
        <v>4331</v>
      </c>
      <c r="B184" s="1">
        <v>400106</v>
      </c>
    </row>
    <row r="185" spans="1:2" x14ac:dyDescent="0.3">
      <c r="A185" s="1">
        <v>85816</v>
      </c>
      <c r="B185" s="1">
        <v>400417</v>
      </c>
    </row>
    <row r="186" spans="1:2" x14ac:dyDescent="0.3">
      <c r="A186" s="1">
        <v>91131</v>
      </c>
      <c r="B186" s="1">
        <v>400838</v>
      </c>
    </row>
    <row r="187" spans="1:2" x14ac:dyDescent="0.3">
      <c r="A187" s="1">
        <v>87403</v>
      </c>
      <c r="B187" s="1">
        <v>400426</v>
      </c>
    </row>
    <row r="188" spans="1:2" x14ac:dyDescent="0.3">
      <c r="A188" s="1">
        <v>90779</v>
      </c>
      <c r="B188" s="1">
        <v>400828</v>
      </c>
    </row>
    <row r="189" spans="1:2" x14ac:dyDescent="0.3">
      <c r="A189" s="1">
        <v>4346</v>
      </c>
      <c r="B189" s="1">
        <v>400057</v>
      </c>
    </row>
    <row r="190" spans="1:2" x14ac:dyDescent="0.3">
      <c r="A190" s="1">
        <v>4346</v>
      </c>
      <c r="B190" s="1">
        <v>400057</v>
      </c>
    </row>
    <row r="191" spans="1:2" x14ac:dyDescent="0.3">
      <c r="A191" s="1">
        <v>79947</v>
      </c>
      <c r="B191" s="1">
        <v>400361</v>
      </c>
    </row>
    <row r="192" spans="1:2" x14ac:dyDescent="0.3">
      <c r="A192" s="1">
        <v>79947</v>
      </c>
      <c r="B192" s="1">
        <v>400361</v>
      </c>
    </row>
    <row r="193" spans="1:2" x14ac:dyDescent="0.3">
      <c r="A193" s="1">
        <v>79947</v>
      </c>
      <c r="B193" s="1">
        <v>400361</v>
      </c>
    </row>
    <row r="194" spans="1:2" x14ac:dyDescent="0.3">
      <c r="A194" s="1">
        <v>79947</v>
      </c>
      <c r="B194" s="1">
        <v>400361</v>
      </c>
    </row>
    <row r="195" spans="1:2" x14ac:dyDescent="0.3">
      <c r="A195" s="1">
        <v>79947</v>
      </c>
      <c r="B195" s="1">
        <v>400361</v>
      </c>
    </row>
    <row r="196" spans="1:2" x14ac:dyDescent="0.3">
      <c r="A196" s="1">
        <v>87407</v>
      </c>
      <c r="B196" s="1">
        <v>400427</v>
      </c>
    </row>
    <row r="197" spans="1:2" x14ac:dyDescent="0.3">
      <c r="A197" s="1">
        <v>87407</v>
      </c>
      <c r="B197" s="1">
        <v>400427</v>
      </c>
    </row>
    <row r="198" spans="1:2" x14ac:dyDescent="0.3">
      <c r="A198" s="1">
        <v>8336</v>
      </c>
      <c r="B198" s="1">
        <v>400120</v>
      </c>
    </row>
    <row r="199" spans="1:2" x14ac:dyDescent="0.3">
      <c r="A199" s="1">
        <v>8336</v>
      </c>
      <c r="B199" s="1">
        <v>400120</v>
      </c>
    </row>
    <row r="200" spans="1:2" x14ac:dyDescent="0.3">
      <c r="A200" s="1">
        <v>8336</v>
      </c>
      <c r="B200" s="1">
        <v>400120</v>
      </c>
    </row>
    <row r="201" spans="1:2" x14ac:dyDescent="0.3">
      <c r="A201" s="1">
        <v>8336</v>
      </c>
      <c r="B201" s="1">
        <v>400120</v>
      </c>
    </row>
    <row r="202" spans="1:2" x14ac:dyDescent="0.3">
      <c r="A202" s="1">
        <v>8336</v>
      </c>
      <c r="B202" s="1">
        <v>400120</v>
      </c>
    </row>
    <row r="203" spans="1:2" x14ac:dyDescent="0.3">
      <c r="A203" s="1">
        <v>8336</v>
      </c>
      <c r="B203" s="1">
        <v>400120</v>
      </c>
    </row>
    <row r="204" spans="1:2" x14ac:dyDescent="0.3">
      <c r="A204" s="1">
        <v>8336</v>
      </c>
      <c r="B204" s="1">
        <v>400120</v>
      </c>
    </row>
    <row r="205" spans="1:2" x14ac:dyDescent="0.3">
      <c r="A205" s="1">
        <v>8336</v>
      </c>
      <c r="B205" s="1">
        <v>400120</v>
      </c>
    </row>
    <row r="206" spans="1:2" x14ac:dyDescent="0.3">
      <c r="A206" s="1">
        <v>8336</v>
      </c>
      <c r="B206" s="1">
        <v>400120</v>
      </c>
    </row>
    <row r="207" spans="1:2" x14ac:dyDescent="0.3">
      <c r="A207" s="1">
        <v>8336</v>
      </c>
      <c r="B207" s="1">
        <v>400120</v>
      </c>
    </row>
    <row r="208" spans="1:2" x14ac:dyDescent="0.3">
      <c r="A208" s="1">
        <v>8336</v>
      </c>
      <c r="B208" s="1">
        <v>400120</v>
      </c>
    </row>
    <row r="209" spans="1:2" x14ac:dyDescent="0.3">
      <c r="A209" s="1">
        <v>8336</v>
      </c>
      <c r="B209" s="1">
        <v>400120</v>
      </c>
    </row>
    <row r="210" spans="1:2" x14ac:dyDescent="0.3">
      <c r="A210" s="1">
        <v>8336</v>
      </c>
      <c r="B210" s="1">
        <v>400120</v>
      </c>
    </row>
    <row r="211" spans="1:2" x14ac:dyDescent="0.3">
      <c r="A211" s="1">
        <v>8336</v>
      </c>
      <c r="B211" s="1">
        <v>400120</v>
      </c>
    </row>
    <row r="212" spans="1:2" x14ac:dyDescent="0.3">
      <c r="A212" s="1">
        <v>85749</v>
      </c>
      <c r="B212" s="1">
        <v>400415</v>
      </c>
    </row>
    <row r="213" spans="1:2" x14ac:dyDescent="0.3">
      <c r="A213" s="1">
        <v>85749</v>
      </c>
      <c r="B213" s="1">
        <v>400415</v>
      </c>
    </row>
    <row r="214" spans="1:2" x14ac:dyDescent="0.3">
      <c r="A214" s="1">
        <v>79449</v>
      </c>
      <c r="B214" s="1">
        <v>400324</v>
      </c>
    </row>
    <row r="215" spans="1:2" x14ac:dyDescent="0.3">
      <c r="A215" s="1">
        <v>79449</v>
      </c>
      <c r="B215" s="1">
        <v>400324</v>
      </c>
    </row>
    <row r="216" spans="1:2" x14ac:dyDescent="0.3">
      <c r="A216" s="1">
        <v>79449</v>
      </c>
      <c r="B216" s="1">
        <v>400324</v>
      </c>
    </row>
    <row r="217" spans="1:2" x14ac:dyDescent="0.3">
      <c r="A217" s="1">
        <v>4345</v>
      </c>
      <c r="B217" s="1">
        <v>400056</v>
      </c>
    </row>
    <row r="218" spans="1:2" x14ac:dyDescent="0.3">
      <c r="A218" s="1">
        <v>4345</v>
      </c>
      <c r="B218" s="1">
        <v>400056</v>
      </c>
    </row>
    <row r="219" spans="1:2" x14ac:dyDescent="0.3">
      <c r="A219" s="1">
        <v>6415</v>
      </c>
      <c r="B219" s="1">
        <v>400455</v>
      </c>
    </row>
    <row r="220" spans="1:2" x14ac:dyDescent="0.3">
      <c r="A220" s="1">
        <v>6415</v>
      </c>
      <c r="B220" s="1">
        <v>400455</v>
      </c>
    </row>
    <row r="221" spans="1:2" x14ac:dyDescent="0.3">
      <c r="A221" s="1">
        <v>6393</v>
      </c>
      <c r="B221" s="1">
        <v>400463</v>
      </c>
    </row>
    <row r="222" spans="1:2" x14ac:dyDescent="0.3">
      <c r="A222" s="1">
        <v>6393</v>
      </c>
      <c r="B222" s="1">
        <v>400463</v>
      </c>
    </row>
    <row r="223" spans="1:2" x14ac:dyDescent="0.3">
      <c r="A223" s="1">
        <v>6393</v>
      </c>
      <c r="B223" s="1">
        <v>400463</v>
      </c>
    </row>
    <row r="224" spans="1:2" x14ac:dyDescent="0.3">
      <c r="A224" s="1">
        <v>6393</v>
      </c>
      <c r="B224" s="1">
        <v>400463</v>
      </c>
    </row>
    <row r="225" spans="1:2" x14ac:dyDescent="0.3">
      <c r="A225" s="1">
        <v>6393</v>
      </c>
      <c r="B225" s="1">
        <v>400463</v>
      </c>
    </row>
    <row r="226" spans="1:2" x14ac:dyDescent="0.3">
      <c r="A226" s="1">
        <v>6393</v>
      </c>
      <c r="B226" s="1">
        <v>400463</v>
      </c>
    </row>
    <row r="227" spans="1:2" x14ac:dyDescent="0.3">
      <c r="A227" s="1">
        <v>6393</v>
      </c>
      <c r="B227" s="1">
        <v>400463</v>
      </c>
    </row>
    <row r="228" spans="1:2" x14ac:dyDescent="0.3">
      <c r="A228" s="1">
        <v>6393</v>
      </c>
      <c r="B228" s="1">
        <v>400463</v>
      </c>
    </row>
    <row r="229" spans="1:2" x14ac:dyDescent="0.3">
      <c r="A229" s="1">
        <v>6393</v>
      </c>
      <c r="B229" s="1">
        <v>400463</v>
      </c>
    </row>
    <row r="230" spans="1:2" x14ac:dyDescent="0.3">
      <c r="A230" s="1">
        <v>6393</v>
      </c>
      <c r="B230" s="1">
        <v>400463</v>
      </c>
    </row>
    <row r="231" spans="1:2" x14ac:dyDescent="0.3">
      <c r="A231" s="1">
        <v>6393</v>
      </c>
      <c r="B231" s="1">
        <v>400463</v>
      </c>
    </row>
    <row r="232" spans="1:2" x14ac:dyDescent="0.3">
      <c r="A232" s="1">
        <v>6393</v>
      </c>
      <c r="B232" s="1">
        <v>400463</v>
      </c>
    </row>
    <row r="233" spans="1:2" x14ac:dyDescent="0.3">
      <c r="A233" s="1">
        <v>6393</v>
      </c>
      <c r="B233" s="1">
        <v>400463</v>
      </c>
    </row>
    <row r="234" spans="1:2" x14ac:dyDescent="0.3">
      <c r="A234" s="1">
        <v>9576</v>
      </c>
      <c r="B234" s="1">
        <v>400836</v>
      </c>
    </row>
    <row r="235" spans="1:2" x14ac:dyDescent="0.3">
      <c r="A235" s="1">
        <v>4274</v>
      </c>
      <c r="B235" s="1">
        <v>400840</v>
      </c>
    </row>
    <row r="236" spans="1:2" x14ac:dyDescent="0.3">
      <c r="A236" s="1">
        <v>4274</v>
      </c>
      <c r="B236" s="1">
        <v>400840</v>
      </c>
    </row>
    <row r="237" spans="1:2" x14ac:dyDescent="0.3">
      <c r="A237" s="1">
        <v>4187</v>
      </c>
      <c r="B237" s="1">
        <v>400870</v>
      </c>
    </row>
    <row r="238" spans="1:2" x14ac:dyDescent="0.3">
      <c r="A238" s="1">
        <v>4187</v>
      </c>
      <c r="B238" s="1">
        <v>400870</v>
      </c>
    </row>
    <row r="239" spans="1:2" x14ac:dyDescent="0.3">
      <c r="A239" s="1">
        <v>4471</v>
      </c>
      <c r="B239" s="1">
        <v>400910</v>
      </c>
    </row>
    <row r="240" spans="1:2" x14ac:dyDescent="0.3">
      <c r="A240" s="1">
        <v>4471</v>
      </c>
      <c r="B240" s="1">
        <v>400910</v>
      </c>
    </row>
    <row r="241" spans="1:2" x14ac:dyDescent="0.3">
      <c r="A241" s="1">
        <v>4471</v>
      </c>
      <c r="B241" s="1">
        <v>400910</v>
      </c>
    </row>
    <row r="242" spans="1:2" x14ac:dyDescent="0.3">
      <c r="A242" s="1">
        <v>4471</v>
      </c>
      <c r="B242" s="1">
        <v>400910</v>
      </c>
    </row>
    <row r="243" spans="1:2" x14ac:dyDescent="0.3">
      <c r="A243" s="1">
        <v>92325</v>
      </c>
      <c r="B243" s="1">
        <v>400890</v>
      </c>
    </row>
    <row r="244" spans="1:2" x14ac:dyDescent="0.3">
      <c r="A244" s="1">
        <v>92327</v>
      </c>
      <c r="B244" s="1">
        <v>400884</v>
      </c>
    </row>
    <row r="245" spans="1:2" x14ac:dyDescent="0.3">
      <c r="A245" s="1">
        <v>92325</v>
      </c>
      <c r="B245" s="1">
        <v>400890</v>
      </c>
    </row>
    <row r="246" spans="1:2" x14ac:dyDescent="0.3">
      <c r="A246" s="1">
        <v>92327</v>
      </c>
      <c r="B246" s="1">
        <v>400884</v>
      </c>
    </row>
    <row r="247" spans="1:2" x14ac:dyDescent="0.3">
      <c r="A247" s="1">
        <v>91133</v>
      </c>
      <c r="B247" s="1">
        <v>400855</v>
      </c>
    </row>
    <row r="248" spans="1:2" x14ac:dyDescent="0.3">
      <c r="A248" s="1">
        <v>91133</v>
      </c>
      <c r="B248" s="1">
        <v>400855</v>
      </c>
    </row>
    <row r="249" spans="1:2" x14ac:dyDescent="0.3">
      <c r="A249" s="1">
        <v>4272</v>
      </c>
      <c r="B249" s="1">
        <v>400960</v>
      </c>
    </row>
    <row r="250" spans="1:2" x14ac:dyDescent="0.3">
      <c r="A250" s="1">
        <v>4272</v>
      </c>
      <c r="B250" s="1">
        <v>400960</v>
      </c>
    </row>
    <row r="251" spans="1:2" x14ac:dyDescent="0.3">
      <c r="A251" s="1">
        <v>4272</v>
      </c>
      <c r="B251" s="1">
        <v>400960</v>
      </c>
    </row>
    <row r="252" spans="1:2" x14ac:dyDescent="0.3">
      <c r="A252" s="1">
        <v>4272</v>
      </c>
      <c r="B252" s="1">
        <v>400960</v>
      </c>
    </row>
    <row r="253" spans="1:2" x14ac:dyDescent="0.3">
      <c r="A253" s="1">
        <v>4272</v>
      </c>
      <c r="B253" s="1">
        <v>400960</v>
      </c>
    </row>
    <row r="254" spans="1:2" x14ac:dyDescent="0.3">
      <c r="A254" s="1">
        <v>4272</v>
      </c>
      <c r="B254" s="1">
        <v>400960</v>
      </c>
    </row>
    <row r="255" spans="1:2" x14ac:dyDescent="0.3">
      <c r="A255" s="1">
        <v>4272</v>
      </c>
      <c r="B255" s="1">
        <v>400960</v>
      </c>
    </row>
    <row r="256" spans="1:2" x14ac:dyDescent="0.3">
      <c r="A256" s="1">
        <v>4272</v>
      </c>
      <c r="B256" s="1">
        <v>400960</v>
      </c>
    </row>
    <row r="257" spans="1:2" x14ac:dyDescent="0.3">
      <c r="A257" s="1">
        <v>4272</v>
      </c>
      <c r="B257" s="1">
        <v>400960</v>
      </c>
    </row>
    <row r="258" spans="1:2" x14ac:dyDescent="0.3">
      <c r="A258" s="1">
        <v>4272</v>
      </c>
      <c r="B258" s="1">
        <v>400960</v>
      </c>
    </row>
    <row r="259" spans="1:2" x14ac:dyDescent="0.3">
      <c r="A259" s="1">
        <v>79929</v>
      </c>
      <c r="B259" s="1">
        <v>400394</v>
      </c>
    </row>
    <row r="260" spans="1:2" x14ac:dyDescent="0.3">
      <c r="A260" s="1">
        <v>79929</v>
      </c>
      <c r="B260" s="1">
        <v>400394</v>
      </c>
    </row>
    <row r="261" spans="1:2" x14ac:dyDescent="0.3">
      <c r="A261" s="1">
        <v>89869</v>
      </c>
      <c r="B261" s="1">
        <v>400785</v>
      </c>
    </row>
    <row r="262" spans="1:2" x14ac:dyDescent="0.3">
      <c r="A262" s="1">
        <v>89869</v>
      </c>
      <c r="B262" s="1">
        <v>400785</v>
      </c>
    </row>
    <row r="263" spans="1:2" x14ac:dyDescent="0.3">
      <c r="A263" s="1">
        <v>8326</v>
      </c>
      <c r="B263" s="1">
        <v>409734</v>
      </c>
    </row>
    <row r="264" spans="1:2" x14ac:dyDescent="0.3">
      <c r="A264" s="1">
        <v>8326</v>
      </c>
      <c r="B264" s="1">
        <v>409734</v>
      </c>
    </row>
    <row r="265" spans="1:2" x14ac:dyDescent="0.3">
      <c r="A265" s="1">
        <v>8326</v>
      </c>
      <c r="B265" s="1">
        <v>409734</v>
      </c>
    </row>
    <row r="266" spans="1:2" x14ac:dyDescent="0.3">
      <c r="A266" s="1">
        <v>8326</v>
      </c>
      <c r="B266" s="1">
        <v>409734</v>
      </c>
    </row>
    <row r="267" spans="1:2" x14ac:dyDescent="0.3">
      <c r="A267" s="1">
        <v>8326</v>
      </c>
      <c r="B267" s="1">
        <v>409734</v>
      </c>
    </row>
    <row r="268" spans="1:2" x14ac:dyDescent="0.3">
      <c r="A268" s="1">
        <v>8326</v>
      </c>
      <c r="B268" s="1">
        <v>409734</v>
      </c>
    </row>
    <row r="269" spans="1:2" x14ac:dyDescent="0.3">
      <c r="A269" s="1">
        <v>4508</v>
      </c>
      <c r="B269" s="1">
        <v>400094</v>
      </c>
    </row>
    <row r="270" spans="1:2" x14ac:dyDescent="0.3">
      <c r="A270" s="1">
        <v>4508</v>
      </c>
      <c r="B270" s="1">
        <v>400094</v>
      </c>
    </row>
    <row r="271" spans="1:2" x14ac:dyDescent="0.3">
      <c r="A271" s="1">
        <v>4412</v>
      </c>
      <c r="B271" s="1">
        <v>403950</v>
      </c>
    </row>
    <row r="272" spans="1:2" x14ac:dyDescent="0.3">
      <c r="A272" s="1">
        <v>4412</v>
      </c>
      <c r="B272" s="1">
        <v>403950</v>
      </c>
    </row>
    <row r="273" spans="1:2" x14ac:dyDescent="0.3">
      <c r="A273" s="1">
        <v>4412</v>
      </c>
      <c r="B273" s="1">
        <v>403950</v>
      </c>
    </row>
    <row r="274" spans="1:2" x14ac:dyDescent="0.3">
      <c r="A274" s="1">
        <v>4412</v>
      </c>
      <c r="B274" s="1">
        <v>403950</v>
      </c>
    </row>
    <row r="275" spans="1:2" x14ac:dyDescent="0.3">
      <c r="A275" s="1">
        <v>4412</v>
      </c>
      <c r="B275" s="1">
        <v>403950</v>
      </c>
    </row>
    <row r="276" spans="1:2" x14ac:dyDescent="0.3">
      <c r="A276" s="1">
        <v>4412</v>
      </c>
      <c r="B276" s="1">
        <v>403950</v>
      </c>
    </row>
    <row r="277" spans="1:2" x14ac:dyDescent="0.3">
      <c r="A277" s="1">
        <v>4412</v>
      </c>
      <c r="B277" s="1">
        <v>403950</v>
      </c>
    </row>
    <row r="278" spans="1:2" x14ac:dyDescent="0.3">
      <c r="A278" s="1">
        <v>4468</v>
      </c>
      <c r="B278" s="1">
        <v>401000</v>
      </c>
    </row>
    <row r="279" spans="1:2" x14ac:dyDescent="0.3">
      <c r="A279" s="1">
        <v>4468</v>
      </c>
      <c r="B279" s="1">
        <v>401000</v>
      </c>
    </row>
    <row r="280" spans="1:2" x14ac:dyDescent="0.3">
      <c r="A280" s="1">
        <v>4468</v>
      </c>
      <c r="B280" s="1">
        <v>401000</v>
      </c>
    </row>
    <row r="281" spans="1:2" x14ac:dyDescent="0.3">
      <c r="A281" s="1">
        <v>79204</v>
      </c>
      <c r="B281" s="1">
        <v>400184</v>
      </c>
    </row>
    <row r="282" spans="1:2" x14ac:dyDescent="0.3">
      <c r="A282" s="1">
        <v>79204</v>
      </c>
      <c r="B282" s="1">
        <v>400184</v>
      </c>
    </row>
    <row r="283" spans="1:2" x14ac:dyDescent="0.3">
      <c r="A283" s="1">
        <v>4294</v>
      </c>
      <c r="B283" s="1">
        <v>400100</v>
      </c>
    </row>
    <row r="284" spans="1:2" x14ac:dyDescent="0.3">
      <c r="A284" s="1">
        <v>4294</v>
      </c>
      <c r="B284" s="1">
        <v>400100</v>
      </c>
    </row>
    <row r="285" spans="1:2" x14ac:dyDescent="0.3">
      <c r="A285" s="1">
        <v>90885</v>
      </c>
      <c r="B285" s="1">
        <v>400867</v>
      </c>
    </row>
    <row r="286" spans="1:2" x14ac:dyDescent="0.3">
      <c r="A286" s="1">
        <v>90885</v>
      </c>
      <c r="B286" s="1">
        <v>400867</v>
      </c>
    </row>
    <row r="287" spans="1:2" x14ac:dyDescent="0.3">
      <c r="A287" s="1">
        <v>4268</v>
      </c>
      <c r="B287" s="1">
        <v>401050</v>
      </c>
    </row>
    <row r="288" spans="1:2" x14ac:dyDescent="0.3">
      <c r="A288" s="1">
        <v>4268</v>
      </c>
      <c r="B288" s="1">
        <v>401050</v>
      </c>
    </row>
    <row r="289" spans="1:2" x14ac:dyDescent="0.3">
      <c r="A289" s="1">
        <v>4268</v>
      </c>
      <c r="B289" s="1">
        <v>401050</v>
      </c>
    </row>
    <row r="290" spans="1:2" x14ac:dyDescent="0.3">
      <c r="A290" s="1">
        <v>4268</v>
      </c>
      <c r="B290" s="1">
        <v>401050</v>
      </c>
    </row>
    <row r="291" spans="1:2" x14ac:dyDescent="0.3">
      <c r="A291" s="1">
        <v>4268</v>
      </c>
      <c r="B291" s="1">
        <v>401050</v>
      </c>
    </row>
    <row r="292" spans="1:2" x14ac:dyDescent="0.3">
      <c r="A292" s="1">
        <v>4268</v>
      </c>
      <c r="B292" s="1">
        <v>401050</v>
      </c>
    </row>
    <row r="293" spans="1:2" x14ac:dyDescent="0.3">
      <c r="A293" s="1">
        <v>4268</v>
      </c>
      <c r="B293" s="1">
        <v>401050</v>
      </c>
    </row>
    <row r="294" spans="1:2" x14ac:dyDescent="0.3">
      <c r="A294" s="1">
        <v>91339</v>
      </c>
      <c r="B294" s="1">
        <v>400897</v>
      </c>
    </row>
    <row r="295" spans="1:2" x14ac:dyDescent="0.3">
      <c r="A295" s="1">
        <v>91280</v>
      </c>
      <c r="B295" s="1">
        <v>400843</v>
      </c>
    </row>
    <row r="296" spans="1:2" x14ac:dyDescent="0.3">
      <c r="A296" s="1">
        <v>91339</v>
      </c>
      <c r="B296" s="1">
        <v>400897</v>
      </c>
    </row>
    <row r="297" spans="1:2" x14ac:dyDescent="0.3">
      <c r="A297" s="1">
        <v>91280</v>
      </c>
      <c r="B297" s="1">
        <v>400843</v>
      </c>
    </row>
    <row r="298" spans="1:2" x14ac:dyDescent="0.3">
      <c r="A298" s="1">
        <v>91309</v>
      </c>
      <c r="B298" s="1">
        <v>400878</v>
      </c>
    </row>
    <row r="299" spans="1:2" x14ac:dyDescent="0.3">
      <c r="A299" s="1">
        <v>92337</v>
      </c>
      <c r="B299" s="1">
        <v>400901</v>
      </c>
    </row>
    <row r="300" spans="1:2" x14ac:dyDescent="0.3">
      <c r="A300" s="1">
        <v>92349</v>
      </c>
      <c r="B300" s="1">
        <v>400881</v>
      </c>
    </row>
    <row r="301" spans="1:2" x14ac:dyDescent="0.3">
      <c r="A301" s="1">
        <v>91949</v>
      </c>
      <c r="B301" s="1">
        <v>400898</v>
      </c>
    </row>
    <row r="302" spans="1:2" x14ac:dyDescent="0.3">
      <c r="A302" s="1">
        <v>90862</v>
      </c>
      <c r="B302" s="1">
        <v>400831</v>
      </c>
    </row>
    <row r="303" spans="1:2" x14ac:dyDescent="0.3">
      <c r="A303" s="1">
        <v>90841</v>
      </c>
      <c r="B303" s="1">
        <v>400829</v>
      </c>
    </row>
    <row r="304" spans="1:2" x14ac:dyDescent="0.3">
      <c r="A304" s="1">
        <v>90842</v>
      </c>
      <c r="B304" s="1">
        <v>400830</v>
      </c>
    </row>
    <row r="305" spans="1:2" x14ac:dyDescent="0.3">
      <c r="A305" s="1">
        <v>90508</v>
      </c>
      <c r="B305" s="1">
        <v>400818</v>
      </c>
    </row>
    <row r="306" spans="1:2" x14ac:dyDescent="0.3">
      <c r="A306" s="1">
        <v>6361</v>
      </c>
      <c r="B306" s="1">
        <v>400134</v>
      </c>
    </row>
    <row r="307" spans="1:2" x14ac:dyDescent="0.3">
      <c r="A307" s="1">
        <v>81078</v>
      </c>
      <c r="B307" s="1">
        <v>400608</v>
      </c>
    </row>
    <row r="308" spans="1:2" x14ac:dyDescent="0.3">
      <c r="A308" s="1">
        <v>90842</v>
      </c>
      <c r="B308" s="1">
        <v>400830</v>
      </c>
    </row>
    <row r="309" spans="1:2" x14ac:dyDescent="0.3">
      <c r="A309" s="1">
        <v>90862</v>
      </c>
      <c r="B309" s="1">
        <v>400831</v>
      </c>
    </row>
    <row r="310" spans="1:2" x14ac:dyDescent="0.3">
      <c r="A310" s="1">
        <v>91949</v>
      </c>
      <c r="B310" s="1">
        <v>400898</v>
      </c>
    </row>
    <row r="311" spans="1:2" x14ac:dyDescent="0.3">
      <c r="A311" s="1">
        <v>90508</v>
      </c>
      <c r="B311" s="1">
        <v>400818</v>
      </c>
    </row>
    <row r="312" spans="1:2" x14ac:dyDescent="0.3">
      <c r="A312" s="1">
        <v>90841</v>
      </c>
      <c r="B312" s="1">
        <v>400829</v>
      </c>
    </row>
    <row r="313" spans="1:2" x14ac:dyDescent="0.3">
      <c r="A313" s="1">
        <v>92349</v>
      </c>
      <c r="B313" s="1">
        <v>400881</v>
      </c>
    </row>
    <row r="314" spans="1:2" x14ac:dyDescent="0.3">
      <c r="A314" s="1">
        <v>81078</v>
      </c>
      <c r="B314" s="1">
        <v>400608</v>
      </c>
    </row>
    <row r="315" spans="1:2" x14ac:dyDescent="0.3">
      <c r="A315" s="1">
        <v>92337</v>
      </c>
      <c r="B315" s="1">
        <v>400901</v>
      </c>
    </row>
    <row r="316" spans="1:2" x14ac:dyDescent="0.3">
      <c r="A316" s="1">
        <v>6361</v>
      </c>
      <c r="B316" s="1">
        <v>400134</v>
      </c>
    </row>
    <row r="317" spans="1:2" x14ac:dyDescent="0.3">
      <c r="A317" s="1">
        <v>91309</v>
      </c>
      <c r="B317" s="1">
        <v>400878</v>
      </c>
    </row>
    <row r="318" spans="1:2" x14ac:dyDescent="0.3">
      <c r="A318" s="1">
        <v>92318</v>
      </c>
      <c r="B318" s="1">
        <v>400905</v>
      </c>
    </row>
    <row r="319" spans="1:2" x14ac:dyDescent="0.3">
      <c r="A319" s="1">
        <v>92320</v>
      </c>
      <c r="B319" s="1">
        <v>400903</v>
      </c>
    </row>
    <row r="320" spans="1:2" x14ac:dyDescent="0.3">
      <c r="A320" s="1">
        <v>92318</v>
      </c>
      <c r="B320" s="1">
        <v>400905</v>
      </c>
    </row>
    <row r="321" spans="1:2" x14ac:dyDescent="0.3">
      <c r="A321" s="1">
        <v>92320</v>
      </c>
      <c r="B321" s="1">
        <v>400903</v>
      </c>
    </row>
    <row r="322" spans="1:2" x14ac:dyDescent="0.3">
      <c r="A322" s="1">
        <v>4481</v>
      </c>
      <c r="B322" s="1">
        <v>401080</v>
      </c>
    </row>
    <row r="323" spans="1:2" x14ac:dyDescent="0.3">
      <c r="A323" s="1">
        <v>4481</v>
      </c>
      <c r="B323" s="1">
        <v>401080</v>
      </c>
    </row>
    <row r="324" spans="1:2" x14ac:dyDescent="0.3">
      <c r="A324" s="1">
        <v>79983</v>
      </c>
      <c r="B324" s="1">
        <v>400374</v>
      </c>
    </row>
    <row r="325" spans="1:2" x14ac:dyDescent="0.3">
      <c r="A325" s="1">
        <v>79983</v>
      </c>
      <c r="B325" s="1">
        <v>400374</v>
      </c>
    </row>
    <row r="326" spans="1:2" x14ac:dyDescent="0.3">
      <c r="A326" s="1">
        <v>10972</v>
      </c>
      <c r="B326" s="1">
        <v>400181</v>
      </c>
    </row>
    <row r="327" spans="1:2" x14ac:dyDescent="0.3">
      <c r="A327" s="1">
        <v>10972</v>
      </c>
      <c r="B327" s="1">
        <v>400181</v>
      </c>
    </row>
    <row r="328" spans="1:2" x14ac:dyDescent="0.3">
      <c r="A328" s="1">
        <v>4355</v>
      </c>
      <c r="B328" s="1">
        <v>400065</v>
      </c>
    </row>
    <row r="329" spans="1:2" x14ac:dyDescent="0.3">
      <c r="A329" s="1">
        <v>4355</v>
      </c>
      <c r="B329" s="1">
        <v>400065</v>
      </c>
    </row>
    <row r="330" spans="1:2" x14ac:dyDescent="0.3">
      <c r="A330" s="1">
        <v>4355</v>
      </c>
      <c r="B330" s="1">
        <v>400065</v>
      </c>
    </row>
    <row r="331" spans="1:2" x14ac:dyDescent="0.3">
      <c r="A331" s="1">
        <v>4355</v>
      </c>
      <c r="B331" s="1">
        <v>400065</v>
      </c>
    </row>
    <row r="332" spans="1:2" x14ac:dyDescent="0.3">
      <c r="A332" s="1">
        <v>4355</v>
      </c>
      <c r="B332" s="1">
        <v>400065</v>
      </c>
    </row>
    <row r="333" spans="1:2" x14ac:dyDescent="0.3">
      <c r="A333" s="1">
        <v>4355</v>
      </c>
      <c r="B333" s="1">
        <v>400065</v>
      </c>
    </row>
    <row r="334" spans="1:2" x14ac:dyDescent="0.3">
      <c r="A334" s="1">
        <v>79226</v>
      </c>
      <c r="B334" s="1">
        <v>400212</v>
      </c>
    </row>
    <row r="335" spans="1:2" x14ac:dyDescent="0.3">
      <c r="A335" s="1">
        <v>79226</v>
      </c>
      <c r="B335" s="1">
        <v>400212</v>
      </c>
    </row>
    <row r="336" spans="1:2" x14ac:dyDescent="0.3">
      <c r="A336" s="1">
        <v>79226</v>
      </c>
      <c r="B336" s="1">
        <v>400212</v>
      </c>
    </row>
    <row r="337" spans="1:2" x14ac:dyDescent="0.3">
      <c r="A337" s="1">
        <v>79226</v>
      </c>
      <c r="B337" s="1">
        <v>400212</v>
      </c>
    </row>
    <row r="338" spans="1:2" x14ac:dyDescent="0.3">
      <c r="A338" s="1">
        <v>79226</v>
      </c>
      <c r="B338" s="1">
        <v>400212</v>
      </c>
    </row>
    <row r="339" spans="1:2" x14ac:dyDescent="0.3">
      <c r="A339" s="1">
        <v>79226</v>
      </c>
      <c r="B339" s="1">
        <v>400212</v>
      </c>
    </row>
    <row r="340" spans="1:2" x14ac:dyDescent="0.3">
      <c r="A340" s="1">
        <v>4515</v>
      </c>
      <c r="B340" s="1">
        <v>401160</v>
      </c>
    </row>
    <row r="341" spans="1:2" x14ac:dyDescent="0.3">
      <c r="A341" s="1">
        <v>4515</v>
      </c>
      <c r="B341" s="1">
        <v>401160</v>
      </c>
    </row>
    <row r="342" spans="1:2" x14ac:dyDescent="0.3">
      <c r="A342" s="1">
        <v>4169</v>
      </c>
      <c r="B342" s="1">
        <v>401180</v>
      </c>
    </row>
    <row r="343" spans="1:2" x14ac:dyDescent="0.3">
      <c r="A343" s="1">
        <v>4169</v>
      </c>
      <c r="B343" s="1">
        <v>401180</v>
      </c>
    </row>
    <row r="344" spans="1:2" x14ac:dyDescent="0.3">
      <c r="A344" s="1">
        <v>4169</v>
      </c>
      <c r="B344" s="1">
        <v>401180</v>
      </c>
    </row>
    <row r="345" spans="1:2" x14ac:dyDescent="0.3">
      <c r="A345" s="1">
        <v>4169</v>
      </c>
      <c r="B345" s="1">
        <v>401180</v>
      </c>
    </row>
    <row r="346" spans="1:2" x14ac:dyDescent="0.3">
      <c r="A346" s="1">
        <v>4169</v>
      </c>
      <c r="B346" s="1">
        <v>401180</v>
      </c>
    </row>
    <row r="347" spans="1:2" x14ac:dyDescent="0.3">
      <c r="A347" s="1">
        <v>89871</v>
      </c>
      <c r="B347" s="1">
        <v>400771</v>
      </c>
    </row>
    <row r="348" spans="1:2" x14ac:dyDescent="0.3">
      <c r="A348" s="1">
        <v>89871</v>
      </c>
      <c r="B348" s="1">
        <v>400771</v>
      </c>
    </row>
    <row r="349" spans="1:2" x14ac:dyDescent="0.3">
      <c r="A349" s="1">
        <v>4231</v>
      </c>
      <c r="B349" s="1">
        <v>401230</v>
      </c>
    </row>
    <row r="350" spans="1:2" x14ac:dyDescent="0.3">
      <c r="A350" s="1">
        <v>4231</v>
      </c>
      <c r="B350" s="1">
        <v>401230</v>
      </c>
    </row>
    <row r="351" spans="1:2" x14ac:dyDescent="0.3">
      <c r="A351" s="1">
        <v>4397</v>
      </c>
      <c r="B351" s="1">
        <v>406580</v>
      </c>
    </row>
    <row r="352" spans="1:2" x14ac:dyDescent="0.3">
      <c r="A352" s="1">
        <v>4397</v>
      </c>
      <c r="B352" s="1">
        <v>406580</v>
      </c>
    </row>
    <row r="353" spans="1:2" x14ac:dyDescent="0.3">
      <c r="A353" s="1">
        <v>4397</v>
      </c>
      <c r="B353" s="1">
        <v>406580</v>
      </c>
    </row>
    <row r="354" spans="1:2" x14ac:dyDescent="0.3">
      <c r="A354" s="1">
        <v>4397</v>
      </c>
      <c r="B354" s="1">
        <v>406580</v>
      </c>
    </row>
    <row r="355" spans="1:2" x14ac:dyDescent="0.3">
      <c r="A355" s="1">
        <v>4397</v>
      </c>
      <c r="B355" s="1">
        <v>406580</v>
      </c>
    </row>
    <row r="356" spans="1:2" x14ac:dyDescent="0.3">
      <c r="A356" s="1">
        <v>81041</v>
      </c>
      <c r="B356" s="1">
        <v>400636</v>
      </c>
    </row>
    <row r="357" spans="1:2" x14ac:dyDescent="0.3">
      <c r="A357" s="1">
        <v>81041</v>
      </c>
      <c r="B357" s="1">
        <v>400636</v>
      </c>
    </row>
    <row r="358" spans="1:2" x14ac:dyDescent="0.3">
      <c r="A358" s="1">
        <v>81041</v>
      </c>
      <c r="B358" s="1">
        <v>400636</v>
      </c>
    </row>
    <row r="359" spans="1:2" x14ac:dyDescent="0.3">
      <c r="A359" s="1">
        <v>81041</v>
      </c>
      <c r="B359" s="1">
        <v>400636</v>
      </c>
    </row>
    <row r="360" spans="1:2" x14ac:dyDescent="0.3">
      <c r="A360" s="1">
        <v>90698</v>
      </c>
      <c r="B360" s="1">
        <v>400825</v>
      </c>
    </row>
    <row r="361" spans="1:2" x14ac:dyDescent="0.3">
      <c r="A361" s="1">
        <v>90698</v>
      </c>
      <c r="B361" s="1">
        <v>400825</v>
      </c>
    </row>
    <row r="362" spans="1:2" x14ac:dyDescent="0.3">
      <c r="A362" s="1">
        <v>4224</v>
      </c>
      <c r="B362" s="1">
        <v>401260</v>
      </c>
    </row>
    <row r="363" spans="1:2" x14ac:dyDescent="0.3">
      <c r="A363" s="1">
        <v>4224</v>
      </c>
      <c r="B363" s="1">
        <v>401260</v>
      </c>
    </row>
    <row r="364" spans="1:2" x14ac:dyDescent="0.3">
      <c r="A364" s="1">
        <v>4513</v>
      </c>
      <c r="B364" s="1">
        <v>401290</v>
      </c>
    </row>
    <row r="365" spans="1:2" x14ac:dyDescent="0.3">
      <c r="A365" s="1">
        <v>4513</v>
      </c>
      <c r="B365" s="1">
        <v>401290</v>
      </c>
    </row>
    <row r="366" spans="1:2" x14ac:dyDescent="0.3">
      <c r="A366" s="1">
        <v>4171</v>
      </c>
      <c r="B366" s="1">
        <v>401330</v>
      </c>
    </row>
    <row r="367" spans="1:2" x14ac:dyDescent="0.3">
      <c r="A367" s="1">
        <v>4171</v>
      </c>
      <c r="B367" s="1">
        <v>401330</v>
      </c>
    </row>
    <row r="368" spans="1:2" x14ac:dyDescent="0.3">
      <c r="A368" s="1">
        <v>4171</v>
      </c>
      <c r="B368" s="1">
        <v>401330</v>
      </c>
    </row>
    <row r="369" spans="1:2" x14ac:dyDescent="0.3">
      <c r="A369" s="1">
        <v>4305</v>
      </c>
      <c r="B369" s="1">
        <v>400033</v>
      </c>
    </row>
    <row r="370" spans="1:2" x14ac:dyDescent="0.3">
      <c r="A370" s="1">
        <v>4305</v>
      </c>
      <c r="B370" s="1">
        <v>400033</v>
      </c>
    </row>
    <row r="371" spans="1:2" x14ac:dyDescent="0.3">
      <c r="A371" s="1">
        <v>81097</v>
      </c>
      <c r="B371" s="1">
        <v>400609</v>
      </c>
    </row>
    <row r="372" spans="1:2" x14ac:dyDescent="0.3">
      <c r="A372" s="1">
        <v>81097</v>
      </c>
      <c r="B372" s="1">
        <v>400609</v>
      </c>
    </row>
    <row r="373" spans="1:2" x14ac:dyDescent="0.3">
      <c r="A373" s="1">
        <v>4362</v>
      </c>
      <c r="B373" s="1">
        <v>400071</v>
      </c>
    </row>
    <row r="374" spans="1:2" x14ac:dyDescent="0.3">
      <c r="A374" s="1">
        <v>4362</v>
      </c>
      <c r="B374" s="1">
        <v>400071</v>
      </c>
    </row>
    <row r="375" spans="1:2" x14ac:dyDescent="0.3">
      <c r="A375" s="1">
        <v>4362</v>
      </c>
      <c r="B375" s="1">
        <v>400071</v>
      </c>
    </row>
    <row r="376" spans="1:2" x14ac:dyDescent="0.3">
      <c r="A376" s="1">
        <v>4269</v>
      </c>
      <c r="B376" s="1">
        <v>401380</v>
      </c>
    </row>
    <row r="377" spans="1:2" x14ac:dyDescent="0.3">
      <c r="A377" s="1">
        <v>4269</v>
      </c>
      <c r="B377" s="1">
        <v>401380</v>
      </c>
    </row>
    <row r="378" spans="1:2" x14ac:dyDescent="0.3">
      <c r="A378" s="1">
        <v>4269</v>
      </c>
      <c r="B378" s="1">
        <v>401380</v>
      </c>
    </row>
    <row r="379" spans="1:2" x14ac:dyDescent="0.3">
      <c r="A379" s="1">
        <v>4269</v>
      </c>
      <c r="B379" s="1">
        <v>401380</v>
      </c>
    </row>
    <row r="380" spans="1:2" x14ac:dyDescent="0.3">
      <c r="A380" s="1">
        <v>4269</v>
      </c>
      <c r="B380" s="1">
        <v>401380</v>
      </c>
    </row>
    <row r="381" spans="1:2" x14ac:dyDescent="0.3">
      <c r="A381" s="1">
        <v>4269</v>
      </c>
      <c r="B381" s="1">
        <v>401380</v>
      </c>
    </row>
    <row r="382" spans="1:2" x14ac:dyDescent="0.3">
      <c r="A382" s="1">
        <v>4269</v>
      </c>
      <c r="B382" s="1">
        <v>401380</v>
      </c>
    </row>
    <row r="383" spans="1:2" x14ac:dyDescent="0.3">
      <c r="A383" s="1">
        <v>4284</v>
      </c>
      <c r="B383" s="1">
        <v>401410</v>
      </c>
    </row>
    <row r="384" spans="1:2" x14ac:dyDescent="0.3">
      <c r="A384" s="1">
        <v>4284</v>
      </c>
      <c r="B384" s="1">
        <v>401410</v>
      </c>
    </row>
    <row r="385" spans="1:2" x14ac:dyDescent="0.3">
      <c r="A385" s="1">
        <v>4284</v>
      </c>
      <c r="B385" s="1">
        <v>401410</v>
      </c>
    </row>
    <row r="386" spans="1:2" x14ac:dyDescent="0.3">
      <c r="A386" s="1">
        <v>4284</v>
      </c>
      <c r="B386" s="1">
        <v>401410</v>
      </c>
    </row>
    <row r="387" spans="1:2" x14ac:dyDescent="0.3">
      <c r="A387" s="1">
        <v>4284</v>
      </c>
      <c r="B387" s="1">
        <v>401410</v>
      </c>
    </row>
    <row r="388" spans="1:2" x14ac:dyDescent="0.3">
      <c r="A388" s="1">
        <v>4378</v>
      </c>
      <c r="B388" s="1">
        <v>401500</v>
      </c>
    </row>
    <row r="389" spans="1:2" x14ac:dyDescent="0.3">
      <c r="A389" s="1">
        <v>4378</v>
      </c>
      <c r="B389" s="1">
        <v>401500</v>
      </c>
    </row>
    <row r="390" spans="1:2" x14ac:dyDescent="0.3">
      <c r="A390" s="1">
        <v>4378</v>
      </c>
      <c r="B390" s="1">
        <v>401500</v>
      </c>
    </row>
    <row r="391" spans="1:2" x14ac:dyDescent="0.3">
      <c r="A391" s="1">
        <v>4378</v>
      </c>
      <c r="B391" s="1">
        <v>401500</v>
      </c>
    </row>
    <row r="392" spans="1:2" x14ac:dyDescent="0.3">
      <c r="A392" s="1">
        <v>4378</v>
      </c>
      <c r="B392" s="1">
        <v>401500</v>
      </c>
    </row>
    <row r="393" spans="1:2" x14ac:dyDescent="0.3">
      <c r="A393" s="1">
        <v>4378</v>
      </c>
      <c r="B393" s="1">
        <v>401500</v>
      </c>
    </row>
    <row r="394" spans="1:2" x14ac:dyDescent="0.3">
      <c r="A394" s="1">
        <v>4378</v>
      </c>
      <c r="B394" s="1">
        <v>401500</v>
      </c>
    </row>
    <row r="395" spans="1:2" x14ac:dyDescent="0.3">
      <c r="A395" s="1">
        <v>90328</v>
      </c>
      <c r="B395" s="1">
        <v>400796</v>
      </c>
    </row>
    <row r="396" spans="1:2" x14ac:dyDescent="0.3">
      <c r="A396" s="1">
        <v>90328</v>
      </c>
      <c r="B396" s="1">
        <v>400796</v>
      </c>
    </row>
    <row r="397" spans="1:2" x14ac:dyDescent="0.3">
      <c r="A397" s="1">
        <v>90327</v>
      </c>
      <c r="B397" s="1">
        <v>400803</v>
      </c>
    </row>
    <row r="398" spans="1:2" x14ac:dyDescent="0.3">
      <c r="A398" s="1">
        <v>90327</v>
      </c>
      <c r="B398" s="1">
        <v>400803</v>
      </c>
    </row>
    <row r="399" spans="1:2" x14ac:dyDescent="0.3">
      <c r="A399" s="1">
        <v>90327</v>
      </c>
      <c r="B399" s="1">
        <v>400803</v>
      </c>
    </row>
    <row r="400" spans="1:2" x14ac:dyDescent="0.3">
      <c r="A400" s="1">
        <v>79971</v>
      </c>
      <c r="B400" s="1">
        <v>400397</v>
      </c>
    </row>
    <row r="401" spans="1:2" x14ac:dyDescent="0.3">
      <c r="A401" s="1">
        <v>79971</v>
      </c>
      <c r="B401" s="1">
        <v>400397</v>
      </c>
    </row>
    <row r="402" spans="1:2" x14ac:dyDescent="0.3">
      <c r="A402" s="1">
        <v>79055</v>
      </c>
      <c r="B402" s="1">
        <v>400310</v>
      </c>
    </row>
    <row r="403" spans="1:2" x14ac:dyDescent="0.3">
      <c r="A403" s="1">
        <v>79055</v>
      </c>
      <c r="B403" s="1">
        <v>400310</v>
      </c>
    </row>
    <row r="404" spans="1:2" x14ac:dyDescent="0.3">
      <c r="A404" s="1">
        <v>79055</v>
      </c>
      <c r="B404" s="1">
        <v>400310</v>
      </c>
    </row>
    <row r="405" spans="1:2" x14ac:dyDescent="0.3">
      <c r="A405" s="1">
        <v>79055</v>
      </c>
      <c r="B405" s="1">
        <v>400310</v>
      </c>
    </row>
    <row r="406" spans="1:2" x14ac:dyDescent="0.3">
      <c r="A406" s="1">
        <v>78888</v>
      </c>
      <c r="B406" s="1">
        <v>400182</v>
      </c>
    </row>
    <row r="407" spans="1:2" x14ac:dyDescent="0.3">
      <c r="A407" s="1">
        <v>78888</v>
      </c>
      <c r="B407" s="1">
        <v>400182</v>
      </c>
    </row>
    <row r="408" spans="1:2" x14ac:dyDescent="0.3">
      <c r="A408" s="1">
        <v>78888</v>
      </c>
      <c r="B408" s="1">
        <v>400182</v>
      </c>
    </row>
    <row r="409" spans="1:2" x14ac:dyDescent="0.3">
      <c r="A409" s="1">
        <v>79905</v>
      </c>
      <c r="B409" s="1">
        <v>400390</v>
      </c>
    </row>
    <row r="410" spans="1:2" x14ac:dyDescent="0.3">
      <c r="A410" s="1">
        <v>79905</v>
      </c>
      <c r="B410" s="1">
        <v>400390</v>
      </c>
    </row>
    <row r="411" spans="1:2" x14ac:dyDescent="0.3">
      <c r="A411" s="1">
        <v>91330</v>
      </c>
      <c r="B411" s="1">
        <v>400883</v>
      </c>
    </row>
    <row r="412" spans="1:2" x14ac:dyDescent="0.3">
      <c r="A412" s="1">
        <v>91330</v>
      </c>
      <c r="B412" s="1">
        <v>400883</v>
      </c>
    </row>
    <row r="413" spans="1:2" x14ac:dyDescent="0.3">
      <c r="A413" s="1">
        <v>4470</v>
      </c>
      <c r="B413" s="1">
        <v>401600</v>
      </c>
    </row>
    <row r="414" spans="1:2" x14ac:dyDescent="0.3">
      <c r="A414" s="1">
        <v>4470</v>
      </c>
      <c r="B414" s="1">
        <v>401600</v>
      </c>
    </row>
    <row r="415" spans="1:2" x14ac:dyDescent="0.3">
      <c r="A415" s="1">
        <v>4470</v>
      </c>
      <c r="B415" s="1">
        <v>401600</v>
      </c>
    </row>
    <row r="416" spans="1:2" x14ac:dyDescent="0.3">
      <c r="A416" s="1">
        <v>4470</v>
      </c>
      <c r="B416" s="1">
        <v>401600</v>
      </c>
    </row>
    <row r="417" spans="1:2" x14ac:dyDescent="0.3">
      <c r="A417" s="1">
        <v>4470</v>
      </c>
      <c r="B417" s="1">
        <v>401600</v>
      </c>
    </row>
    <row r="418" spans="1:2" x14ac:dyDescent="0.3">
      <c r="A418" s="1">
        <v>90136</v>
      </c>
      <c r="B418" s="1">
        <v>400813</v>
      </c>
    </row>
    <row r="419" spans="1:2" x14ac:dyDescent="0.3">
      <c r="A419" s="1">
        <v>90136</v>
      </c>
      <c r="B419" s="1">
        <v>400813</v>
      </c>
    </row>
    <row r="420" spans="1:2" x14ac:dyDescent="0.3">
      <c r="A420" s="1">
        <v>89758</v>
      </c>
      <c r="B420" s="1">
        <v>400758</v>
      </c>
    </row>
    <row r="421" spans="1:2" x14ac:dyDescent="0.3">
      <c r="A421" s="1">
        <v>89758</v>
      </c>
      <c r="B421" s="1">
        <v>400758</v>
      </c>
    </row>
    <row r="422" spans="1:2" x14ac:dyDescent="0.3">
      <c r="A422" s="1">
        <v>4484</v>
      </c>
      <c r="B422" s="1">
        <v>401650</v>
      </c>
    </row>
    <row r="423" spans="1:2" x14ac:dyDescent="0.3">
      <c r="A423" s="1">
        <v>4484</v>
      </c>
      <c r="B423" s="1">
        <v>401650</v>
      </c>
    </row>
    <row r="424" spans="1:2" x14ac:dyDescent="0.3">
      <c r="A424" s="1">
        <v>81029</v>
      </c>
      <c r="B424" s="1">
        <v>400633</v>
      </c>
    </row>
    <row r="425" spans="1:2" x14ac:dyDescent="0.3">
      <c r="A425" s="1">
        <v>81029</v>
      </c>
      <c r="B425" s="1">
        <v>400633</v>
      </c>
    </row>
    <row r="426" spans="1:2" x14ac:dyDescent="0.3">
      <c r="A426" s="1">
        <v>78858</v>
      </c>
      <c r="B426" s="1">
        <v>400258</v>
      </c>
    </row>
    <row r="427" spans="1:2" x14ac:dyDescent="0.3">
      <c r="A427" s="1">
        <v>78858</v>
      </c>
      <c r="B427" s="1">
        <v>400258</v>
      </c>
    </row>
    <row r="428" spans="1:2" x14ac:dyDescent="0.3">
      <c r="A428" s="1">
        <v>4400</v>
      </c>
      <c r="B428" s="1">
        <v>400077</v>
      </c>
    </row>
    <row r="429" spans="1:2" x14ac:dyDescent="0.3">
      <c r="A429" s="1">
        <v>4400</v>
      </c>
      <c r="B429" s="1">
        <v>400077</v>
      </c>
    </row>
    <row r="430" spans="1:2" x14ac:dyDescent="0.3">
      <c r="A430" s="1">
        <v>4400</v>
      </c>
      <c r="B430" s="1">
        <v>400077</v>
      </c>
    </row>
    <row r="431" spans="1:2" x14ac:dyDescent="0.3">
      <c r="A431" s="1">
        <v>79047</v>
      </c>
      <c r="B431" s="1">
        <v>400219</v>
      </c>
    </row>
    <row r="432" spans="1:2" x14ac:dyDescent="0.3">
      <c r="A432" s="1">
        <v>79047</v>
      </c>
      <c r="B432" s="1">
        <v>400219</v>
      </c>
    </row>
    <row r="433" spans="1:2" x14ac:dyDescent="0.3">
      <c r="A433" s="1">
        <v>79047</v>
      </c>
      <c r="B433" s="1">
        <v>400219</v>
      </c>
    </row>
    <row r="434" spans="1:2" x14ac:dyDescent="0.3">
      <c r="A434" s="1">
        <v>79047</v>
      </c>
      <c r="B434" s="1">
        <v>400219</v>
      </c>
    </row>
    <row r="435" spans="1:2" x14ac:dyDescent="0.3">
      <c r="A435" s="1">
        <v>79047</v>
      </c>
      <c r="B435" s="1">
        <v>400219</v>
      </c>
    </row>
    <row r="436" spans="1:2" x14ac:dyDescent="0.3">
      <c r="A436" s="1">
        <v>79047</v>
      </c>
      <c r="B436" s="1">
        <v>400219</v>
      </c>
    </row>
    <row r="437" spans="1:2" x14ac:dyDescent="0.3">
      <c r="A437" s="1">
        <v>80001</v>
      </c>
      <c r="B437" s="1">
        <v>400381</v>
      </c>
    </row>
    <row r="438" spans="1:2" x14ac:dyDescent="0.3">
      <c r="A438" s="1">
        <v>80001</v>
      </c>
      <c r="B438" s="1">
        <v>400381</v>
      </c>
    </row>
    <row r="439" spans="1:2" x14ac:dyDescent="0.3">
      <c r="A439" s="1">
        <v>80001</v>
      </c>
      <c r="B439" s="1">
        <v>400381</v>
      </c>
    </row>
    <row r="440" spans="1:2" x14ac:dyDescent="0.3">
      <c r="A440" s="1">
        <v>4282</v>
      </c>
      <c r="B440" s="1">
        <v>401680</v>
      </c>
    </row>
    <row r="441" spans="1:2" x14ac:dyDescent="0.3">
      <c r="A441" s="1">
        <v>4282</v>
      </c>
      <c r="B441" s="1">
        <v>401680</v>
      </c>
    </row>
    <row r="442" spans="1:2" x14ac:dyDescent="0.3">
      <c r="A442" s="1">
        <v>4282</v>
      </c>
      <c r="B442" s="1">
        <v>401680</v>
      </c>
    </row>
    <row r="443" spans="1:2" x14ac:dyDescent="0.3">
      <c r="A443" s="1">
        <v>4282</v>
      </c>
      <c r="B443" s="1">
        <v>401680</v>
      </c>
    </row>
    <row r="444" spans="1:2" x14ac:dyDescent="0.3">
      <c r="A444" s="1">
        <v>4282</v>
      </c>
      <c r="B444" s="1">
        <v>401680</v>
      </c>
    </row>
    <row r="445" spans="1:2" x14ac:dyDescent="0.3">
      <c r="A445" s="1">
        <v>4282</v>
      </c>
      <c r="B445" s="1">
        <v>401680</v>
      </c>
    </row>
    <row r="446" spans="1:2" x14ac:dyDescent="0.3">
      <c r="A446" s="1">
        <v>4282</v>
      </c>
      <c r="B446" s="1">
        <v>401680</v>
      </c>
    </row>
    <row r="447" spans="1:2" x14ac:dyDescent="0.3">
      <c r="A447" s="1">
        <v>4282</v>
      </c>
      <c r="B447" s="1">
        <v>401680</v>
      </c>
    </row>
    <row r="448" spans="1:2" x14ac:dyDescent="0.3">
      <c r="A448" s="1">
        <v>4282</v>
      </c>
      <c r="B448" s="1">
        <v>401680</v>
      </c>
    </row>
    <row r="449" spans="1:2" x14ac:dyDescent="0.3">
      <c r="A449" s="1">
        <v>4282</v>
      </c>
      <c r="B449" s="1">
        <v>401680</v>
      </c>
    </row>
    <row r="450" spans="1:2" x14ac:dyDescent="0.3">
      <c r="A450" s="1">
        <v>4282</v>
      </c>
      <c r="B450" s="1">
        <v>401680</v>
      </c>
    </row>
    <row r="451" spans="1:2" x14ac:dyDescent="0.3">
      <c r="A451" s="1">
        <v>4282</v>
      </c>
      <c r="B451" s="1">
        <v>401680</v>
      </c>
    </row>
    <row r="452" spans="1:2" x14ac:dyDescent="0.3">
      <c r="A452" s="1">
        <v>4282</v>
      </c>
      <c r="B452" s="1">
        <v>401680</v>
      </c>
    </row>
    <row r="453" spans="1:2" x14ac:dyDescent="0.3">
      <c r="A453" s="1">
        <v>4282</v>
      </c>
      <c r="B453" s="1">
        <v>401680</v>
      </c>
    </row>
    <row r="454" spans="1:2" x14ac:dyDescent="0.3">
      <c r="A454" s="1">
        <v>4282</v>
      </c>
      <c r="B454" s="1">
        <v>401680</v>
      </c>
    </row>
    <row r="455" spans="1:2" x14ac:dyDescent="0.3">
      <c r="A455" s="1">
        <v>4282</v>
      </c>
      <c r="B455" s="1">
        <v>401680</v>
      </c>
    </row>
    <row r="456" spans="1:2" x14ac:dyDescent="0.3">
      <c r="A456" s="1">
        <v>4282</v>
      </c>
      <c r="B456" s="1">
        <v>401680</v>
      </c>
    </row>
    <row r="457" spans="1:2" x14ac:dyDescent="0.3">
      <c r="A457" s="1">
        <v>4282</v>
      </c>
      <c r="B457" s="1">
        <v>401680</v>
      </c>
    </row>
    <row r="458" spans="1:2" x14ac:dyDescent="0.3">
      <c r="A458" s="1">
        <v>4282</v>
      </c>
      <c r="B458" s="1">
        <v>401680</v>
      </c>
    </row>
    <row r="459" spans="1:2" x14ac:dyDescent="0.3">
      <c r="A459" s="1">
        <v>4282</v>
      </c>
      <c r="B459" s="1">
        <v>401680</v>
      </c>
    </row>
    <row r="460" spans="1:2" x14ac:dyDescent="0.3">
      <c r="A460" s="1">
        <v>4282</v>
      </c>
      <c r="B460" s="1">
        <v>401680</v>
      </c>
    </row>
    <row r="461" spans="1:2" x14ac:dyDescent="0.3">
      <c r="A461" s="1">
        <v>4282</v>
      </c>
      <c r="B461" s="1">
        <v>401680</v>
      </c>
    </row>
    <row r="462" spans="1:2" x14ac:dyDescent="0.3">
      <c r="A462" s="1">
        <v>4282</v>
      </c>
      <c r="B462" s="1">
        <v>401680</v>
      </c>
    </row>
    <row r="463" spans="1:2" x14ac:dyDescent="0.3">
      <c r="A463" s="1">
        <v>4282</v>
      </c>
      <c r="B463" s="1">
        <v>401680</v>
      </c>
    </row>
    <row r="464" spans="1:2" x14ac:dyDescent="0.3">
      <c r="A464" s="1">
        <v>4446</v>
      </c>
      <c r="B464" s="1">
        <v>401710</v>
      </c>
    </row>
    <row r="465" spans="1:2" x14ac:dyDescent="0.3">
      <c r="A465" s="1">
        <v>4446</v>
      </c>
      <c r="B465" s="1">
        <v>401710</v>
      </c>
    </row>
    <row r="466" spans="1:2" x14ac:dyDescent="0.3">
      <c r="A466" s="1">
        <v>4446</v>
      </c>
      <c r="B466" s="1">
        <v>401710</v>
      </c>
    </row>
    <row r="467" spans="1:2" x14ac:dyDescent="0.3">
      <c r="A467" s="1">
        <v>4446</v>
      </c>
      <c r="B467" s="1">
        <v>401710</v>
      </c>
    </row>
    <row r="468" spans="1:2" x14ac:dyDescent="0.3">
      <c r="A468" s="1">
        <v>4446</v>
      </c>
      <c r="B468" s="1">
        <v>401710</v>
      </c>
    </row>
    <row r="469" spans="1:2" x14ac:dyDescent="0.3">
      <c r="A469" s="1">
        <v>4446</v>
      </c>
      <c r="B469" s="1">
        <v>401710</v>
      </c>
    </row>
    <row r="470" spans="1:2" x14ac:dyDescent="0.3">
      <c r="A470" s="1">
        <v>4446</v>
      </c>
      <c r="B470" s="1">
        <v>401710</v>
      </c>
    </row>
    <row r="471" spans="1:2" x14ac:dyDescent="0.3">
      <c r="A471" s="1">
        <v>4446</v>
      </c>
      <c r="B471" s="1">
        <v>401710</v>
      </c>
    </row>
    <row r="472" spans="1:2" x14ac:dyDescent="0.3">
      <c r="A472" s="1">
        <v>4446</v>
      </c>
      <c r="B472" s="1">
        <v>401710</v>
      </c>
    </row>
    <row r="473" spans="1:2" x14ac:dyDescent="0.3">
      <c r="A473" s="1">
        <v>4446</v>
      </c>
      <c r="B473" s="1">
        <v>401710</v>
      </c>
    </row>
    <row r="474" spans="1:2" x14ac:dyDescent="0.3">
      <c r="A474" s="1">
        <v>4446</v>
      </c>
      <c r="B474" s="1">
        <v>401710</v>
      </c>
    </row>
    <row r="475" spans="1:2" x14ac:dyDescent="0.3">
      <c r="A475" s="1">
        <v>4446</v>
      </c>
      <c r="B475" s="1">
        <v>401710</v>
      </c>
    </row>
    <row r="476" spans="1:2" x14ac:dyDescent="0.3">
      <c r="A476" s="1">
        <v>4446</v>
      </c>
      <c r="B476" s="1">
        <v>401710</v>
      </c>
    </row>
    <row r="477" spans="1:2" x14ac:dyDescent="0.3">
      <c r="A477" s="1">
        <v>4446</v>
      </c>
      <c r="B477" s="1">
        <v>401710</v>
      </c>
    </row>
    <row r="478" spans="1:2" x14ac:dyDescent="0.3">
      <c r="A478" s="1">
        <v>4453</v>
      </c>
      <c r="B478" s="1">
        <v>401740</v>
      </c>
    </row>
    <row r="479" spans="1:2" x14ac:dyDescent="0.3">
      <c r="A479" s="1">
        <v>4453</v>
      </c>
      <c r="B479" s="1">
        <v>401740</v>
      </c>
    </row>
    <row r="480" spans="1:2" x14ac:dyDescent="0.3">
      <c r="A480" s="1">
        <v>4453</v>
      </c>
      <c r="B480" s="1">
        <v>401740</v>
      </c>
    </row>
    <row r="481" spans="1:2" x14ac:dyDescent="0.3">
      <c r="A481" s="1">
        <v>4453</v>
      </c>
      <c r="B481" s="1">
        <v>401740</v>
      </c>
    </row>
    <row r="482" spans="1:2" x14ac:dyDescent="0.3">
      <c r="A482" s="1">
        <v>4453</v>
      </c>
      <c r="B482" s="1">
        <v>401740</v>
      </c>
    </row>
    <row r="483" spans="1:2" x14ac:dyDescent="0.3">
      <c r="A483" s="1">
        <v>4410</v>
      </c>
      <c r="B483" s="1">
        <v>401760</v>
      </c>
    </row>
    <row r="484" spans="1:2" x14ac:dyDescent="0.3">
      <c r="A484" s="1">
        <v>4410</v>
      </c>
      <c r="B484" s="1">
        <v>401760</v>
      </c>
    </row>
    <row r="485" spans="1:2" x14ac:dyDescent="0.3">
      <c r="A485" s="1">
        <v>4410</v>
      </c>
      <c r="B485" s="1">
        <v>401760</v>
      </c>
    </row>
    <row r="486" spans="1:2" x14ac:dyDescent="0.3">
      <c r="A486" s="1">
        <v>4410</v>
      </c>
      <c r="B486" s="1">
        <v>401760</v>
      </c>
    </row>
    <row r="487" spans="1:2" x14ac:dyDescent="0.3">
      <c r="A487" s="1">
        <v>4410</v>
      </c>
      <c r="B487" s="1">
        <v>401760</v>
      </c>
    </row>
    <row r="488" spans="1:2" x14ac:dyDescent="0.3">
      <c r="A488" s="1">
        <v>4410</v>
      </c>
      <c r="B488" s="1">
        <v>401760</v>
      </c>
    </row>
    <row r="489" spans="1:2" x14ac:dyDescent="0.3">
      <c r="A489" s="1">
        <v>4410</v>
      </c>
      <c r="B489" s="1">
        <v>401760</v>
      </c>
    </row>
    <row r="490" spans="1:2" x14ac:dyDescent="0.3">
      <c r="A490" s="1">
        <v>4410</v>
      </c>
      <c r="B490" s="1">
        <v>401760</v>
      </c>
    </row>
    <row r="491" spans="1:2" x14ac:dyDescent="0.3">
      <c r="A491" s="1">
        <v>4410</v>
      </c>
      <c r="B491" s="1">
        <v>401760</v>
      </c>
    </row>
    <row r="492" spans="1:2" x14ac:dyDescent="0.3">
      <c r="A492" s="1">
        <v>4244</v>
      </c>
      <c r="B492" s="1">
        <v>400001</v>
      </c>
    </row>
    <row r="493" spans="1:2" x14ac:dyDescent="0.3">
      <c r="A493" s="1">
        <v>4244</v>
      </c>
      <c r="B493" s="1">
        <v>400001</v>
      </c>
    </row>
    <row r="494" spans="1:2" x14ac:dyDescent="0.3">
      <c r="A494" s="1">
        <v>4244</v>
      </c>
      <c r="B494" s="1">
        <v>400001</v>
      </c>
    </row>
    <row r="495" spans="1:2" x14ac:dyDescent="0.3">
      <c r="A495" s="1">
        <v>4244</v>
      </c>
      <c r="B495" s="1">
        <v>400001</v>
      </c>
    </row>
    <row r="496" spans="1:2" x14ac:dyDescent="0.3">
      <c r="A496" s="1">
        <v>4244</v>
      </c>
      <c r="B496" s="1">
        <v>400001</v>
      </c>
    </row>
    <row r="497" spans="1:2" x14ac:dyDescent="0.3">
      <c r="A497" s="1">
        <v>4244</v>
      </c>
      <c r="B497" s="1">
        <v>400001</v>
      </c>
    </row>
    <row r="498" spans="1:2" x14ac:dyDescent="0.3">
      <c r="A498" s="1">
        <v>4244</v>
      </c>
      <c r="B498" s="1">
        <v>400001</v>
      </c>
    </row>
    <row r="499" spans="1:2" x14ac:dyDescent="0.3">
      <c r="A499" s="1">
        <v>4244</v>
      </c>
      <c r="B499" s="1">
        <v>400001</v>
      </c>
    </row>
    <row r="500" spans="1:2" x14ac:dyDescent="0.3">
      <c r="A500" s="1">
        <v>4244</v>
      </c>
      <c r="B500" s="1">
        <v>400001</v>
      </c>
    </row>
    <row r="501" spans="1:2" x14ac:dyDescent="0.3">
      <c r="A501" s="1">
        <v>4244</v>
      </c>
      <c r="B501" s="1">
        <v>400001</v>
      </c>
    </row>
    <row r="502" spans="1:2" x14ac:dyDescent="0.3">
      <c r="A502" s="1">
        <v>4395</v>
      </c>
      <c r="B502" s="1">
        <v>401810</v>
      </c>
    </row>
    <row r="503" spans="1:2" x14ac:dyDescent="0.3">
      <c r="A503" s="1">
        <v>4395</v>
      </c>
      <c r="B503" s="1">
        <v>401810</v>
      </c>
    </row>
    <row r="504" spans="1:2" x14ac:dyDescent="0.3">
      <c r="A504" s="1">
        <v>4395</v>
      </c>
      <c r="B504" s="1">
        <v>401810</v>
      </c>
    </row>
    <row r="505" spans="1:2" x14ac:dyDescent="0.3">
      <c r="A505" s="1">
        <v>4395</v>
      </c>
      <c r="B505" s="1">
        <v>401810</v>
      </c>
    </row>
    <row r="506" spans="1:2" x14ac:dyDescent="0.3">
      <c r="A506" s="1">
        <v>4191</v>
      </c>
      <c r="B506" s="1">
        <v>400016</v>
      </c>
    </row>
    <row r="507" spans="1:2" x14ac:dyDescent="0.3">
      <c r="A507" s="1">
        <v>4191</v>
      </c>
      <c r="B507" s="1">
        <v>400016</v>
      </c>
    </row>
    <row r="508" spans="1:2" x14ac:dyDescent="0.3">
      <c r="A508" s="1">
        <v>4191</v>
      </c>
      <c r="B508" s="1">
        <v>400016</v>
      </c>
    </row>
    <row r="509" spans="1:2" x14ac:dyDescent="0.3">
      <c r="A509" s="1">
        <v>4191</v>
      </c>
      <c r="B509" s="1">
        <v>400016</v>
      </c>
    </row>
    <row r="510" spans="1:2" x14ac:dyDescent="0.3">
      <c r="A510" s="1">
        <v>4191</v>
      </c>
      <c r="B510" s="1">
        <v>400016</v>
      </c>
    </row>
    <row r="511" spans="1:2" x14ac:dyDescent="0.3">
      <c r="A511" s="1">
        <v>4191</v>
      </c>
      <c r="B511" s="1">
        <v>400016</v>
      </c>
    </row>
    <row r="512" spans="1:2" x14ac:dyDescent="0.3">
      <c r="A512" s="1">
        <v>79385</v>
      </c>
      <c r="B512" s="1">
        <v>400348</v>
      </c>
    </row>
    <row r="513" spans="1:2" x14ac:dyDescent="0.3">
      <c r="A513" s="1">
        <v>79385</v>
      </c>
      <c r="B513" s="1">
        <v>400348</v>
      </c>
    </row>
    <row r="514" spans="1:2" x14ac:dyDescent="0.3">
      <c r="A514" s="1">
        <v>79385</v>
      </c>
      <c r="B514" s="1">
        <v>400348</v>
      </c>
    </row>
    <row r="515" spans="1:2" x14ac:dyDescent="0.3">
      <c r="A515" s="1">
        <v>79385</v>
      </c>
      <c r="B515" s="1">
        <v>400348</v>
      </c>
    </row>
    <row r="516" spans="1:2" x14ac:dyDescent="0.3">
      <c r="A516" s="1">
        <v>79385</v>
      </c>
      <c r="B516" s="1">
        <v>400348</v>
      </c>
    </row>
    <row r="517" spans="1:2" x14ac:dyDescent="0.3">
      <c r="A517" s="1">
        <v>79385</v>
      </c>
      <c r="B517" s="1">
        <v>400348</v>
      </c>
    </row>
    <row r="518" spans="1:2" x14ac:dyDescent="0.3">
      <c r="A518" s="1">
        <v>79385</v>
      </c>
      <c r="B518" s="1">
        <v>400348</v>
      </c>
    </row>
    <row r="519" spans="1:2" x14ac:dyDescent="0.3">
      <c r="A519" s="1">
        <v>79385</v>
      </c>
      <c r="B519" s="1">
        <v>400348</v>
      </c>
    </row>
    <row r="520" spans="1:2" x14ac:dyDescent="0.3">
      <c r="A520" s="1">
        <v>79385</v>
      </c>
      <c r="B520" s="1">
        <v>400348</v>
      </c>
    </row>
    <row r="521" spans="1:2" x14ac:dyDescent="0.3">
      <c r="A521" s="1">
        <v>79385</v>
      </c>
      <c r="B521" s="1">
        <v>400348</v>
      </c>
    </row>
    <row r="522" spans="1:2" x14ac:dyDescent="0.3">
      <c r="A522" s="1">
        <v>79385</v>
      </c>
      <c r="B522" s="1">
        <v>400348</v>
      </c>
    </row>
    <row r="523" spans="1:2" x14ac:dyDescent="0.3">
      <c r="A523" s="1">
        <v>92316</v>
      </c>
      <c r="B523" s="1">
        <v>400900</v>
      </c>
    </row>
    <row r="524" spans="1:2" x14ac:dyDescent="0.3">
      <c r="A524" s="1">
        <v>92316</v>
      </c>
      <c r="B524" s="1">
        <v>400900</v>
      </c>
    </row>
    <row r="525" spans="1:2" x14ac:dyDescent="0.3">
      <c r="A525" s="1">
        <v>90140</v>
      </c>
      <c r="B525" s="1">
        <v>400798</v>
      </c>
    </row>
    <row r="526" spans="1:2" x14ac:dyDescent="0.3">
      <c r="A526" s="1">
        <v>90140</v>
      </c>
      <c r="B526" s="1">
        <v>400798</v>
      </c>
    </row>
    <row r="527" spans="1:2" x14ac:dyDescent="0.3">
      <c r="A527" s="1">
        <v>6362</v>
      </c>
      <c r="B527" s="1">
        <v>400135</v>
      </c>
    </row>
    <row r="528" spans="1:2" x14ac:dyDescent="0.3">
      <c r="A528" s="1">
        <v>6362</v>
      </c>
      <c r="B528" s="1">
        <v>400135</v>
      </c>
    </row>
    <row r="529" spans="1:2" x14ac:dyDescent="0.3">
      <c r="A529" s="1">
        <v>79886</v>
      </c>
      <c r="B529" s="1">
        <v>400359</v>
      </c>
    </row>
    <row r="530" spans="1:2" x14ac:dyDescent="0.3">
      <c r="A530" s="1">
        <v>79886</v>
      </c>
      <c r="B530" s="1">
        <v>400359</v>
      </c>
    </row>
    <row r="531" spans="1:2" x14ac:dyDescent="0.3">
      <c r="A531" s="1">
        <v>4477</v>
      </c>
      <c r="B531" s="1">
        <v>401830</v>
      </c>
    </row>
    <row r="532" spans="1:2" x14ac:dyDescent="0.3">
      <c r="A532" s="1">
        <v>88299</v>
      </c>
      <c r="B532" s="1">
        <v>400440</v>
      </c>
    </row>
    <row r="533" spans="1:2" x14ac:dyDescent="0.3">
      <c r="A533" s="1">
        <v>88299</v>
      </c>
      <c r="B533" s="1">
        <v>400440</v>
      </c>
    </row>
    <row r="534" spans="1:2" x14ac:dyDescent="0.3">
      <c r="A534" s="1">
        <v>4242</v>
      </c>
      <c r="B534" s="1">
        <v>401870</v>
      </c>
    </row>
    <row r="535" spans="1:2" x14ac:dyDescent="0.3">
      <c r="A535" s="1">
        <v>4242</v>
      </c>
      <c r="B535" s="1">
        <v>401870</v>
      </c>
    </row>
    <row r="536" spans="1:2" x14ac:dyDescent="0.3">
      <c r="A536" s="1">
        <v>4242</v>
      </c>
      <c r="B536" s="1">
        <v>401870</v>
      </c>
    </row>
    <row r="537" spans="1:2" x14ac:dyDescent="0.3">
      <c r="A537" s="1">
        <v>4242</v>
      </c>
      <c r="B537" s="1">
        <v>401870</v>
      </c>
    </row>
    <row r="538" spans="1:2" x14ac:dyDescent="0.3">
      <c r="A538" s="1">
        <v>4242</v>
      </c>
      <c r="B538" s="1">
        <v>401870</v>
      </c>
    </row>
    <row r="539" spans="1:2" x14ac:dyDescent="0.3">
      <c r="A539" s="1">
        <v>4242</v>
      </c>
      <c r="B539" s="1">
        <v>401870</v>
      </c>
    </row>
    <row r="540" spans="1:2" x14ac:dyDescent="0.3">
      <c r="A540" s="1">
        <v>4242</v>
      </c>
      <c r="B540" s="1">
        <v>401870</v>
      </c>
    </row>
    <row r="541" spans="1:2" x14ac:dyDescent="0.3">
      <c r="A541" s="1">
        <v>4242</v>
      </c>
      <c r="B541" s="1">
        <v>401870</v>
      </c>
    </row>
    <row r="542" spans="1:2" x14ac:dyDescent="0.3">
      <c r="A542" s="1">
        <v>4242</v>
      </c>
      <c r="B542" s="1">
        <v>401870</v>
      </c>
    </row>
    <row r="543" spans="1:2" x14ac:dyDescent="0.3">
      <c r="A543" s="1">
        <v>4242</v>
      </c>
      <c r="B543" s="1">
        <v>401870</v>
      </c>
    </row>
    <row r="544" spans="1:2" x14ac:dyDescent="0.3">
      <c r="A544" s="1">
        <v>4242</v>
      </c>
      <c r="B544" s="1">
        <v>401870</v>
      </c>
    </row>
    <row r="545" spans="1:2" x14ac:dyDescent="0.3">
      <c r="A545" s="1">
        <v>4242</v>
      </c>
      <c r="B545" s="1">
        <v>401870</v>
      </c>
    </row>
    <row r="546" spans="1:2" x14ac:dyDescent="0.3">
      <c r="A546" s="1">
        <v>4242</v>
      </c>
      <c r="B546" s="1">
        <v>401870</v>
      </c>
    </row>
    <row r="547" spans="1:2" x14ac:dyDescent="0.3">
      <c r="A547" s="1">
        <v>4242</v>
      </c>
      <c r="B547" s="1">
        <v>401870</v>
      </c>
    </row>
    <row r="548" spans="1:2" x14ac:dyDescent="0.3">
      <c r="A548" s="1">
        <v>4242</v>
      </c>
      <c r="B548" s="1">
        <v>401870</v>
      </c>
    </row>
    <row r="549" spans="1:2" x14ac:dyDescent="0.3">
      <c r="A549" s="1">
        <v>4242</v>
      </c>
      <c r="B549" s="1">
        <v>401870</v>
      </c>
    </row>
    <row r="550" spans="1:2" x14ac:dyDescent="0.3">
      <c r="A550" s="1">
        <v>4242</v>
      </c>
      <c r="B550" s="1">
        <v>401870</v>
      </c>
    </row>
    <row r="551" spans="1:2" x14ac:dyDescent="0.3">
      <c r="A551" s="1">
        <v>4242</v>
      </c>
      <c r="B551" s="1">
        <v>401870</v>
      </c>
    </row>
    <row r="552" spans="1:2" x14ac:dyDescent="0.3">
      <c r="A552" s="1">
        <v>4242</v>
      </c>
      <c r="B552" s="1">
        <v>401870</v>
      </c>
    </row>
    <row r="553" spans="1:2" x14ac:dyDescent="0.3">
      <c r="A553" s="1">
        <v>4242</v>
      </c>
      <c r="B553" s="1">
        <v>401870</v>
      </c>
    </row>
    <row r="554" spans="1:2" x14ac:dyDescent="0.3">
      <c r="A554" s="1">
        <v>4242</v>
      </c>
      <c r="B554" s="1">
        <v>401870</v>
      </c>
    </row>
    <row r="555" spans="1:2" x14ac:dyDescent="0.3">
      <c r="A555" s="1">
        <v>4242</v>
      </c>
      <c r="B555" s="1">
        <v>401870</v>
      </c>
    </row>
    <row r="556" spans="1:2" x14ac:dyDescent="0.3">
      <c r="A556" s="1">
        <v>4242</v>
      </c>
      <c r="B556" s="1">
        <v>401870</v>
      </c>
    </row>
    <row r="557" spans="1:2" x14ac:dyDescent="0.3">
      <c r="A557" s="1">
        <v>4242</v>
      </c>
      <c r="B557" s="1">
        <v>401870</v>
      </c>
    </row>
    <row r="558" spans="1:2" x14ac:dyDescent="0.3">
      <c r="A558" s="1">
        <v>4242</v>
      </c>
      <c r="B558" s="1">
        <v>401870</v>
      </c>
    </row>
    <row r="559" spans="1:2" x14ac:dyDescent="0.3">
      <c r="A559" s="1">
        <v>4242</v>
      </c>
      <c r="B559" s="1">
        <v>401870</v>
      </c>
    </row>
    <row r="560" spans="1:2" x14ac:dyDescent="0.3">
      <c r="A560" s="1">
        <v>4242</v>
      </c>
      <c r="B560" s="1">
        <v>401870</v>
      </c>
    </row>
    <row r="561" spans="1:2" x14ac:dyDescent="0.3">
      <c r="A561" s="1">
        <v>4242</v>
      </c>
      <c r="B561" s="1">
        <v>401870</v>
      </c>
    </row>
    <row r="562" spans="1:2" x14ac:dyDescent="0.3">
      <c r="A562" s="1">
        <v>4242</v>
      </c>
      <c r="B562" s="1">
        <v>401870</v>
      </c>
    </row>
    <row r="563" spans="1:2" x14ac:dyDescent="0.3">
      <c r="A563" s="1">
        <v>4242</v>
      </c>
      <c r="B563" s="1">
        <v>401870</v>
      </c>
    </row>
    <row r="564" spans="1:2" x14ac:dyDescent="0.3">
      <c r="A564" s="1">
        <v>4242</v>
      </c>
      <c r="B564" s="1">
        <v>401870</v>
      </c>
    </row>
    <row r="565" spans="1:2" x14ac:dyDescent="0.3">
      <c r="A565" s="1">
        <v>4242</v>
      </c>
      <c r="B565" s="1">
        <v>401870</v>
      </c>
    </row>
    <row r="566" spans="1:2" x14ac:dyDescent="0.3">
      <c r="A566" s="1">
        <v>4242</v>
      </c>
      <c r="B566" s="1">
        <v>401870</v>
      </c>
    </row>
    <row r="567" spans="1:2" x14ac:dyDescent="0.3">
      <c r="A567" s="1">
        <v>4242</v>
      </c>
      <c r="B567" s="1">
        <v>401870</v>
      </c>
    </row>
    <row r="568" spans="1:2" x14ac:dyDescent="0.3">
      <c r="A568" s="1">
        <v>4242</v>
      </c>
      <c r="B568" s="1">
        <v>401870</v>
      </c>
    </row>
    <row r="569" spans="1:2" x14ac:dyDescent="0.3">
      <c r="A569" s="1">
        <v>4242</v>
      </c>
      <c r="B569" s="1">
        <v>401870</v>
      </c>
    </row>
    <row r="570" spans="1:2" x14ac:dyDescent="0.3">
      <c r="A570" s="1">
        <v>4242</v>
      </c>
      <c r="B570" s="1">
        <v>401870</v>
      </c>
    </row>
    <row r="571" spans="1:2" x14ac:dyDescent="0.3">
      <c r="A571" s="1">
        <v>4242</v>
      </c>
      <c r="B571" s="1">
        <v>401870</v>
      </c>
    </row>
    <row r="572" spans="1:2" x14ac:dyDescent="0.3">
      <c r="A572" s="1">
        <v>4242</v>
      </c>
      <c r="B572" s="1">
        <v>401870</v>
      </c>
    </row>
    <row r="573" spans="1:2" x14ac:dyDescent="0.3">
      <c r="A573" s="1">
        <v>4242</v>
      </c>
      <c r="B573" s="1">
        <v>401870</v>
      </c>
    </row>
    <row r="574" spans="1:2" x14ac:dyDescent="0.3">
      <c r="A574" s="1">
        <v>4242</v>
      </c>
      <c r="B574" s="1">
        <v>401870</v>
      </c>
    </row>
    <row r="575" spans="1:2" x14ac:dyDescent="0.3">
      <c r="A575" s="1">
        <v>4242</v>
      </c>
      <c r="B575" s="1">
        <v>401870</v>
      </c>
    </row>
    <row r="576" spans="1:2" x14ac:dyDescent="0.3">
      <c r="A576" s="1">
        <v>4242</v>
      </c>
      <c r="B576" s="1">
        <v>401870</v>
      </c>
    </row>
    <row r="577" spans="1:2" x14ac:dyDescent="0.3">
      <c r="A577" s="1">
        <v>4242</v>
      </c>
      <c r="B577" s="1">
        <v>401870</v>
      </c>
    </row>
    <row r="578" spans="1:2" x14ac:dyDescent="0.3">
      <c r="A578" s="1">
        <v>4198</v>
      </c>
      <c r="B578" s="1">
        <v>401920</v>
      </c>
    </row>
    <row r="579" spans="1:2" x14ac:dyDescent="0.3">
      <c r="A579" s="1">
        <v>79056</v>
      </c>
      <c r="B579" s="1">
        <v>400257</v>
      </c>
    </row>
    <row r="580" spans="1:2" x14ac:dyDescent="0.3">
      <c r="A580" s="1">
        <v>79056</v>
      </c>
      <c r="B580" s="1">
        <v>400257</v>
      </c>
    </row>
    <row r="581" spans="1:2" x14ac:dyDescent="0.3">
      <c r="A581" s="1">
        <v>4158</v>
      </c>
      <c r="B581" s="1">
        <v>401940</v>
      </c>
    </row>
    <row r="582" spans="1:2" x14ac:dyDescent="0.3">
      <c r="A582" s="1">
        <v>4158</v>
      </c>
      <c r="B582" s="1">
        <v>401940</v>
      </c>
    </row>
    <row r="583" spans="1:2" x14ac:dyDescent="0.3">
      <c r="A583" s="1">
        <v>4158</v>
      </c>
      <c r="B583" s="1">
        <v>401940</v>
      </c>
    </row>
    <row r="584" spans="1:2" x14ac:dyDescent="0.3">
      <c r="A584" s="1">
        <v>4158</v>
      </c>
      <c r="B584" s="1">
        <v>401940</v>
      </c>
    </row>
    <row r="585" spans="1:2" x14ac:dyDescent="0.3">
      <c r="A585" s="1">
        <v>4158</v>
      </c>
      <c r="B585" s="1">
        <v>401940</v>
      </c>
    </row>
    <row r="586" spans="1:2" x14ac:dyDescent="0.3">
      <c r="A586" s="1">
        <v>4158</v>
      </c>
      <c r="B586" s="1">
        <v>401940</v>
      </c>
    </row>
    <row r="587" spans="1:2" x14ac:dyDescent="0.3">
      <c r="A587" s="1">
        <v>4158</v>
      </c>
      <c r="B587" s="1">
        <v>401940</v>
      </c>
    </row>
    <row r="588" spans="1:2" x14ac:dyDescent="0.3">
      <c r="A588" s="1">
        <v>4158</v>
      </c>
      <c r="B588" s="1">
        <v>401940</v>
      </c>
    </row>
    <row r="589" spans="1:2" x14ac:dyDescent="0.3">
      <c r="A589" s="1">
        <v>4158</v>
      </c>
      <c r="B589" s="1">
        <v>401940</v>
      </c>
    </row>
    <row r="590" spans="1:2" x14ac:dyDescent="0.3">
      <c r="A590" s="1">
        <v>4474</v>
      </c>
      <c r="B590" s="1">
        <v>400003</v>
      </c>
    </row>
    <row r="591" spans="1:2" x14ac:dyDescent="0.3">
      <c r="A591" s="1">
        <v>4474</v>
      </c>
      <c r="B591" s="1">
        <v>400003</v>
      </c>
    </row>
    <row r="592" spans="1:2" x14ac:dyDescent="0.3">
      <c r="A592" s="1">
        <v>4474</v>
      </c>
      <c r="B592" s="1">
        <v>400003</v>
      </c>
    </row>
    <row r="593" spans="1:2" x14ac:dyDescent="0.3">
      <c r="A593" s="1">
        <v>4474</v>
      </c>
      <c r="B593" s="1">
        <v>400003</v>
      </c>
    </row>
    <row r="594" spans="1:2" x14ac:dyDescent="0.3">
      <c r="A594" s="1">
        <v>4474</v>
      </c>
      <c r="B594" s="1">
        <v>400003</v>
      </c>
    </row>
    <row r="595" spans="1:2" x14ac:dyDescent="0.3">
      <c r="A595" s="1">
        <v>4474</v>
      </c>
      <c r="B595" s="1">
        <v>400003</v>
      </c>
    </row>
    <row r="596" spans="1:2" x14ac:dyDescent="0.3">
      <c r="A596" s="1">
        <v>90138</v>
      </c>
      <c r="B596" s="1">
        <v>400805</v>
      </c>
    </row>
    <row r="597" spans="1:2" x14ac:dyDescent="0.3">
      <c r="A597" s="1">
        <v>90138</v>
      </c>
      <c r="B597" s="1">
        <v>400805</v>
      </c>
    </row>
    <row r="598" spans="1:2" x14ac:dyDescent="0.3">
      <c r="A598" s="1">
        <v>5186</v>
      </c>
      <c r="B598" s="1">
        <v>400402</v>
      </c>
    </row>
    <row r="599" spans="1:2" x14ac:dyDescent="0.3">
      <c r="A599" s="1">
        <v>5186</v>
      </c>
      <c r="B599" s="1">
        <v>400402</v>
      </c>
    </row>
    <row r="600" spans="1:2" x14ac:dyDescent="0.3">
      <c r="A600" s="1">
        <v>89570</v>
      </c>
      <c r="B600" s="1">
        <v>400749</v>
      </c>
    </row>
    <row r="601" spans="1:2" x14ac:dyDescent="0.3">
      <c r="A601" s="1">
        <v>4486</v>
      </c>
      <c r="B601" s="1">
        <v>400004</v>
      </c>
    </row>
    <row r="602" spans="1:2" x14ac:dyDescent="0.3">
      <c r="A602" s="1">
        <v>4486</v>
      </c>
      <c r="B602" s="1">
        <v>400004</v>
      </c>
    </row>
    <row r="603" spans="1:2" x14ac:dyDescent="0.3">
      <c r="A603" s="1">
        <v>4229</v>
      </c>
      <c r="B603" s="1">
        <v>402110</v>
      </c>
    </row>
    <row r="604" spans="1:2" x14ac:dyDescent="0.3">
      <c r="A604" s="1">
        <v>4229</v>
      </c>
      <c r="B604" s="1">
        <v>402110</v>
      </c>
    </row>
    <row r="605" spans="1:2" x14ac:dyDescent="0.3">
      <c r="A605" s="1">
        <v>4229</v>
      </c>
      <c r="B605" s="1">
        <v>402110</v>
      </c>
    </row>
    <row r="606" spans="1:2" x14ac:dyDescent="0.3">
      <c r="A606" s="1">
        <v>79391</v>
      </c>
      <c r="B606" s="1">
        <v>400316</v>
      </c>
    </row>
    <row r="607" spans="1:2" x14ac:dyDescent="0.3">
      <c r="A607" s="1">
        <v>79391</v>
      </c>
      <c r="B607" s="1">
        <v>400316</v>
      </c>
    </row>
    <row r="608" spans="1:2" x14ac:dyDescent="0.3">
      <c r="A608" s="1">
        <v>79391</v>
      </c>
      <c r="B608" s="1">
        <v>400316</v>
      </c>
    </row>
    <row r="609" spans="1:2" x14ac:dyDescent="0.3">
      <c r="A609" s="1">
        <v>79391</v>
      </c>
      <c r="B609" s="1">
        <v>400316</v>
      </c>
    </row>
    <row r="610" spans="1:2" x14ac:dyDescent="0.3">
      <c r="A610" s="1">
        <v>79391</v>
      </c>
      <c r="B610" s="1">
        <v>400316</v>
      </c>
    </row>
    <row r="611" spans="1:2" x14ac:dyDescent="0.3">
      <c r="A611" s="1">
        <v>79391</v>
      </c>
      <c r="B611" s="1">
        <v>400316</v>
      </c>
    </row>
    <row r="612" spans="1:2" x14ac:dyDescent="0.3">
      <c r="A612" s="1">
        <v>79391</v>
      </c>
      <c r="B612" s="1">
        <v>400316</v>
      </c>
    </row>
    <row r="613" spans="1:2" x14ac:dyDescent="0.3">
      <c r="A613" s="1">
        <v>81027</v>
      </c>
      <c r="B613" s="1">
        <v>400632</v>
      </c>
    </row>
    <row r="614" spans="1:2" x14ac:dyDescent="0.3">
      <c r="A614" s="1">
        <v>81027</v>
      </c>
      <c r="B614" s="1">
        <v>400632</v>
      </c>
    </row>
    <row r="615" spans="1:2" x14ac:dyDescent="0.3">
      <c r="A615" s="1">
        <v>79462</v>
      </c>
      <c r="B615" s="1">
        <v>400457</v>
      </c>
    </row>
    <row r="616" spans="1:2" x14ac:dyDescent="0.3">
      <c r="A616" s="1">
        <v>79462</v>
      </c>
      <c r="B616" s="1">
        <v>400457</v>
      </c>
    </row>
    <row r="617" spans="1:2" x14ac:dyDescent="0.3">
      <c r="A617" s="1">
        <v>4177</v>
      </c>
      <c r="B617" s="1">
        <v>402130</v>
      </c>
    </row>
    <row r="618" spans="1:2" x14ac:dyDescent="0.3">
      <c r="A618" s="1">
        <v>4177</v>
      </c>
      <c r="B618" s="1">
        <v>402130</v>
      </c>
    </row>
    <row r="619" spans="1:2" x14ac:dyDescent="0.3">
      <c r="A619" s="1">
        <v>79403</v>
      </c>
      <c r="B619" s="1">
        <v>400345</v>
      </c>
    </row>
    <row r="620" spans="1:2" x14ac:dyDescent="0.3">
      <c r="A620" s="1">
        <v>79403</v>
      </c>
      <c r="B620" s="1">
        <v>400345</v>
      </c>
    </row>
    <row r="621" spans="1:2" x14ac:dyDescent="0.3">
      <c r="A621" s="1">
        <v>79403</v>
      </c>
      <c r="B621" s="1">
        <v>400345</v>
      </c>
    </row>
    <row r="622" spans="1:2" x14ac:dyDescent="0.3">
      <c r="A622" s="1">
        <v>79403</v>
      </c>
      <c r="B622" s="1">
        <v>400345</v>
      </c>
    </row>
    <row r="623" spans="1:2" x14ac:dyDescent="0.3">
      <c r="A623" s="1">
        <v>79403</v>
      </c>
      <c r="B623" s="1">
        <v>400345</v>
      </c>
    </row>
    <row r="624" spans="1:2" x14ac:dyDescent="0.3">
      <c r="A624" s="1">
        <v>79403</v>
      </c>
      <c r="B624" s="1">
        <v>400345</v>
      </c>
    </row>
    <row r="625" spans="1:2" x14ac:dyDescent="0.3">
      <c r="A625" s="1">
        <v>79403</v>
      </c>
      <c r="B625" s="1">
        <v>400345</v>
      </c>
    </row>
    <row r="626" spans="1:2" x14ac:dyDescent="0.3">
      <c r="A626" s="1">
        <v>79403</v>
      </c>
      <c r="B626" s="1">
        <v>400345</v>
      </c>
    </row>
    <row r="627" spans="1:2" x14ac:dyDescent="0.3">
      <c r="A627" s="1">
        <v>79403</v>
      </c>
      <c r="B627" s="1">
        <v>400345</v>
      </c>
    </row>
    <row r="628" spans="1:2" x14ac:dyDescent="0.3">
      <c r="A628" s="1">
        <v>79403</v>
      </c>
      <c r="B628" s="1">
        <v>400345</v>
      </c>
    </row>
    <row r="629" spans="1:2" x14ac:dyDescent="0.3">
      <c r="A629" s="1">
        <v>79403</v>
      </c>
      <c r="B629" s="1">
        <v>400345</v>
      </c>
    </row>
    <row r="630" spans="1:2" x14ac:dyDescent="0.3">
      <c r="A630" s="1">
        <v>79403</v>
      </c>
      <c r="B630" s="1">
        <v>400345</v>
      </c>
    </row>
    <row r="631" spans="1:2" x14ac:dyDescent="0.3">
      <c r="A631" s="1">
        <v>79381</v>
      </c>
      <c r="B631" s="1">
        <v>400347</v>
      </c>
    </row>
    <row r="632" spans="1:2" x14ac:dyDescent="0.3">
      <c r="A632" s="1">
        <v>79381</v>
      </c>
      <c r="B632" s="1">
        <v>400347</v>
      </c>
    </row>
    <row r="633" spans="1:2" x14ac:dyDescent="0.3">
      <c r="A633" s="1">
        <v>79381</v>
      </c>
      <c r="B633" s="1">
        <v>400347</v>
      </c>
    </row>
    <row r="634" spans="1:2" x14ac:dyDescent="0.3">
      <c r="A634" s="1">
        <v>79381</v>
      </c>
      <c r="B634" s="1">
        <v>400347</v>
      </c>
    </row>
    <row r="635" spans="1:2" x14ac:dyDescent="0.3">
      <c r="A635" s="1">
        <v>79381</v>
      </c>
      <c r="B635" s="1">
        <v>400347</v>
      </c>
    </row>
    <row r="636" spans="1:2" x14ac:dyDescent="0.3">
      <c r="A636" s="1">
        <v>79381</v>
      </c>
      <c r="B636" s="1">
        <v>400347</v>
      </c>
    </row>
    <row r="637" spans="1:2" x14ac:dyDescent="0.3">
      <c r="A637" s="1">
        <v>79381</v>
      </c>
      <c r="B637" s="1">
        <v>400347</v>
      </c>
    </row>
    <row r="638" spans="1:2" x14ac:dyDescent="0.3">
      <c r="A638" s="1">
        <v>79381</v>
      </c>
      <c r="B638" s="1">
        <v>400347</v>
      </c>
    </row>
    <row r="639" spans="1:2" x14ac:dyDescent="0.3">
      <c r="A639" s="1">
        <v>79381</v>
      </c>
      <c r="B639" s="1">
        <v>400347</v>
      </c>
    </row>
    <row r="640" spans="1:2" x14ac:dyDescent="0.3">
      <c r="A640" s="1">
        <v>79381</v>
      </c>
      <c r="B640" s="1">
        <v>400347</v>
      </c>
    </row>
    <row r="641" spans="1:2" x14ac:dyDescent="0.3">
      <c r="A641" s="1">
        <v>79381</v>
      </c>
      <c r="B641" s="1">
        <v>400347</v>
      </c>
    </row>
    <row r="642" spans="1:2" x14ac:dyDescent="0.3">
      <c r="A642" s="1">
        <v>10386</v>
      </c>
      <c r="B642" s="1">
        <v>400163</v>
      </c>
    </row>
    <row r="643" spans="1:2" x14ac:dyDescent="0.3">
      <c r="A643" s="1">
        <v>10386</v>
      </c>
      <c r="B643" s="1">
        <v>400163</v>
      </c>
    </row>
    <row r="644" spans="1:2" x14ac:dyDescent="0.3">
      <c r="A644" s="1">
        <v>10386</v>
      </c>
      <c r="B644" s="1">
        <v>400163</v>
      </c>
    </row>
    <row r="645" spans="1:2" x14ac:dyDescent="0.3">
      <c r="A645" s="1">
        <v>10386</v>
      </c>
      <c r="B645" s="1">
        <v>400163</v>
      </c>
    </row>
    <row r="646" spans="1:2" x14ac:dyDescent="0.3">
      <c r="A646" s="1">
        <v>10386</v>
      </c>
      <c r="B646" s="1">
        <v>400163</v>
      </c>
    </row>
    <row r="647" spans="1:2" x14ac:dyDescent="0.3">
      <c r="A647" s="1">
        <v>91773</v>
      </c>
      <c r="B647" s="1">
        <v>400862</v>
      </c>
    </row>
    <row r="648" spans="1:2" x14ac:dyDescent="0.3">
      <c r="A648" s="1">
        <v>91773</v>
      </c>
      <c r="B648" s="1">
        <v>400862</v>
      </c>
    </row>
    <row r="649" spans="1:2" x14ac:dyDescent="0.3">
      <c r="A649" s="1">
        <v>4370</v>
      </c>
      <c r="B649" s="1">
        <v>400021</v>
      </c>
    </row>
    <row r="650" spans="1:2" x14ac:dyDescent="0.3">
      <c r="A650" s="1">
        <v>4370</v>
      </c>
      <c r="B650" s="1">
        <v>400021</v>
      </c>
    </row>
    <row r="651" spans="1:2" x14ac:dyDescent="0.3">
      <c r="A651" s="1">
        <v>4370</v>
      </c>
      <c r="B651" s="1">
        <v>400021</v>
      </c>
    </row>
    <row r="652" spans="1:2" x14ac:dyDescent="0.3">
      <c r="A652" s="1">
        <v>4370</v>
      </c>
      <c r="B652" s="1">
        <v>400021</v>
      </c>
    </row>
    <row r="653" spans="1:2" x14ac:dyDescent="0.3">
      <c r="A653" s="1">
        <v>4381</v>
      </c>
      <c r="B653" s="1">
        <v>400082</v>
      </c>
    </row>
    <row r="654" spans="1:2" x14ac:dyDescent="0.3">
      <c r="A654" s="1">
        <v>4381</v>
      </c>
      <c r="B654" s="1">
        <v>400082</v>
      </c>
    </row>
    <row r="655" spans="1:2" x14ac:dyDescent="0.3">
      <c r="A655" s="1">
        <v>4381</v>
      </c>
      <c r="B655" s="1">
        <v>400082</v>
      </c>
    </row>
    <row r="656" spans="1:2" x14ac:dyDescent="0.3">
      <c r="A656" s="1">
        <v>4381</v>
      </c>
      <c r="B656" s="1">
        <v>400082</v>
      </c>
    </row>
    <row r="657" spans="1:2" x14ac:dyDescent="0.3">
      <c r="A657" s="1">
        <v>79467</v>
      </c>
      <c r="B657" s="1">
        <v>400330</v>
      </c>
    </row>
    <row r="658" spans="1:2" x14ac:dyDescent="0.3">
      <c r="A658" s="1">
        <v>79467</v>
      </c>
      <c r="B658" s="1">
        <v>400330</v>
      </c>
    </row>
    <row r="659" spans="1:2" x14ac:dyDescent="0.3">
      <c r="A659" s="1">
        <v>90533</v>
      </c>
      <c r="B659" s="1">
        <v>400820</v>
      </c>
    </row>
    <row r="660" spans="1:2" x14ac:dyDescent="0.3">
      <c r="A660" s="1">
        <v>90533</v>
      </c>
      <c r="B660" s="1">
        <v>400820</v>
      </c>
    </row>
    <row r="661" spans="1:2" x14ac:dyDescent="0.3">
      <c r="A661" s="1">
        <v>4160</v>
      </c>
      <c r="B661" s="1">
        <v>402190</v>
      </c>
    </row>
    <row r="662" spans="1:2" x14ac:dyDescent="0.3">
      <c r="A662" s="1">
        <v>4160</v>
      </c>
      <c r="B662" s="1">
        <v>402190</v>
      </c>
    </row>
    <row r="663" spans="1:2" x14ac:dyDescent="0.3">
      <c r="A663" s="1">
        <v>89556</v>
      </c>
      <c r="B663" s="1">
        <v>400751</v>
      </c>
    </row>
    <row r="664" spans="1:2" x14ac:dyDescent="0.3">
      <c r="A664" s="1">
        <v>89556</v>
      </c>
      <c r="B664" s="1">
        <v>400751</v>
      </c>
    </row>
    <row r="665" spans="1:2" x14ac:dyDescent="0.3">
      <c r="A665" s="1">
        <v>89556</v>
      </c>
      <c r="B665" s="1">
        <v>400751</v>
      </c>
    </row>
    <row r="666" spans="1:2" x14ac:dyDescent="0.3">
      <c r="A666" s="1">
        <v>89556</v>
      </c>
      <c r="B666" s="1">
        <v>400751</v>
      </c>
    </row>
    <row r="667" spans="1:2" x14ac:dyDescent="0.3">
      <c r="A667" s="1">
        <v>4479</v>
      </c>
      <c r="B667" s="1">
        <v>402220</v>
      </c>
    </row>
    <row r="668" spans="1:2" x14ac:dyDescent="0.3">
      <c r="A668" s="1">
        <v>4479</v>
      </c>
      <c r="B668" s="1">
        <v>402220</v>
      </c>
    </row>
    <row r="669" spans="1:2" x14ac:dyDescent="0.3">
      <c r="A669" s="1">
        <v>4416</v>
      </c>
      <c r="B669" s="1">
        <v>402250</v>
      </c>
    </row>
    <row r="670" spans="1:2" x14ac:dyDescent="0.3">
      <c r="A670" s="1">
        <v>4416</v>
      </c>
      <c r="B670" s="1">
        <v>402250</v>
      </c>
    </row>
    <row r="671" spans="1:2" x14ac:dyDescent="0.3">
      <c r="A671" s="1">
        <v>4442</v>
      </c>
      <c r="B671" s="1">
        <v>402320</v>
      </c>
    </row>
    <row r="672" spans="1:2" x14ac:dyDescent="0.3">
      <c r="A672" s="1">
        <v>4442</v>
      </c>
      <c r="B672" s="1">
        <v>402320</v>
      </c>
    </row>
    <row r="673" spans="1:2" x14ac:dyDescent="0.3">
      <c r="A673" s="1">
        <v>4442</v>
      </c>
      <c r="B673" s="1">
        <v>402320</v>
      </c>
    </row>
    <row r="674" spans="1:2" x14ac:dyDescent="0.3">
      <c r="A674" s="1">
        <v>4442</v>
      </c>
      <c r="B674" s="1">
        <v>402320</v>
      </c>
    </row>
    <row r="675" spans="1:2" x14ac:dyDescent="0.3">
      <c r="A675" s="1">
        <v>4442</v>
      </c>
      <c r="B675" s="1">
        <v>402320</v>
      </c>
    </row>
    <row r="676" spans="1:2" x14ac:dyDescent="0.3">
      <c r="A676" s="1">
        <v>4442</v>
      </c>
      <c r="B676" s="1">
        <v>402320</v>
      </c>
    </row>
    <row r="677" spans="1:2" x14ac:dyDescent="0.3">
      <c r="A677" s="1">
        <v>4442</v>
      </c>
      <c r="B677" s="1">
        <v>402320</v>
      </c>
    </row>
    <row r="678" spans="1:2" x14ac:dyDescent="0.3">
      <c r="A678" s="1">
        <v>4442</v>
      </c>
      <c r="B678" s="1">
        <v>402320</v>
      </c>
    </row>
    <row r="679" spans="1:2" x14ac:dyDescent="0.3">
      <c r="A679" s="1">
        <v>4442</v>
      </c>
      <c r="B679" s="1">
        <v>402320</v>
      </c>
    </row>
    <row r="680" spans="1:2" x14ac:dyDescent="0.3">
      <c r="A680" s="1">
        <v>4442</v>
      </c>
      <c r="B680" s="1">
        <v>402320</v>
      </c>
    </row>
    <row r="681" spans="1:2" x14ac:dyDescent="0.3">
      <c r="A681" s="1">
        <v>79077</v>
      </c>
      <c r="B681" s="1">
        <v>400405</v>
      </c>
    </row>
    <row r="682" spans="1:2" x14ac:dyDescent="0.3">
      <c r="A682" s="1">
        <v>79077</v>
      </c>
      <c r="B682" s="1">
        <v>400405</v>
      </c>
    </row>
    <row r="683" spans="1:2" x14ac:dyDescent="0.3">
      <c r="A683" s="1">
        <v>79988</v>
      </c>
      <c r="B683" s="1">
        <v>400376</v>
      </c>
    </row>
    <row r="684" spans="1:2" x14ac:dyDescent="0.3">
      <c r="A684" s="1">
        <v>79988</v>
      </c>
      <c r="B684" s="1">
        <v>400376</v>
      </c>
    </row>
    <row r="685" spans="1:2" x14ac:dyDescent="0.3">
      <c r="A685" s="1">
        <v>4487</v>
      </c>
      <c r="B685" s="1">
        <v>402370</v>
      </c>
    </row>
    <row r="686" spans="1:2" x14ac:dyDescent="0.3">
      <c r="A686" s="1">
        <v>4487</v>
      </c>
      <c r="B686" s="1">
        <v>402370</v>
      </c>
    </row>
    <row r="687" spans="1:2" x14ac:dyDescent="0.3">
      <c r="A687" s="1">
        <v>4487</v>
      </c>
      <c r="B687" s="1">
        <v>402370</v>
      </c>
    </row>
    <row r="688" spans="1:2" x14ac:dyDescent="0.3">
      <c r="A688" s="1">
        <v>4487</v>
      </c>
      <c r="B688" s="1">
        <v>402370</v>
      </c>
    </row>
    <row r="689" spans="1:2" x14ac:dyDescent="0.3">
      <c r="A689" s="1">
        <v>4487</v>
      </c>
      <c r="B689" s="1">
        <v>402370</v>
      </c>
    </row>
    <row r="690" spans="1:2" x14ac:dyDescent="0.3">
      <c r="A690" s="1">
        <v>4487</v>
      </c>
      <c r="B690" s="1">
        <v>402370</v>
      </c>
    </row>
    <row r="691" spans="1:2" x14ac:dyDescent="0.3">
      <c r="A691" s="1">
        <v>4487</v>
      </c>
      <c r="B691" s="1">
        <v>402370</v>
      </c>
    </row>
    <row r="692" spans="1:2" x14ac:dyDescent="0.3">
      <c r="A692" s="1">
        <v>79074</v>
      </c>
      <c r="B692" s="1">
        <v>400429</v>
      </c>
    </row>
    <row r="693" spans="1:2" x14ac:dyDescent="0.3">
      <c r="A693" s="1">
        <v>79074</v>
      </c>
      <c r="B693" s="1">
        <v>400429</v>
      </c>
    </row>
    <row r="694" spans="1:2" x14ac:dyDescent="0.3">
      <c r="A694" s="1">
        <v>90331</v>
      </c>
      <c r="B694" s="1">
        <v>400814</v>
      </c>
    </row>
    <row r="695" spans="1:2" x14ac:dyDescent="0.3">
      <c r="A695" s="1">
        <v>90331</v>
      </c>
      <c r="B695" s="1">
        <v>400814</v>
      </c>
    </row>
    <row r="696" spans="1:2" x14ac:dyDescent="0.3">
      <c r="A696" s="1">
        <v>80032</v>
      </c>
      <c r="B696" s="1">
        <v>400382</v>
      </c>
    </row>
    <row r="697" spans="1:2" x14ac:dyDescent="0.3">
      <c r="A697" s="1">
        <v>80032</v>
      </c>
      <c r="B697" s="1">
        <v>400382</v>
      </c>
    </row>
    <row r="698" spans="1:2" x14ac:dyDescent="0.3">
      <c r="A698" s="1">
        <v>4501</v>
      </c>
      <c r="B698" s="1">
        <v>402400</v>
      </c>
    </row>
    <row r="699" spans="1:2" x14ac:dyDescent="0.3">
      <c r="A699" s="1">
        <v>4501</v>
      </c>
      <c r="B699" s="1">
        <v>402400</v>
      </c>
    </row>
    <row r="700" spans="1:2" x14ac:dyDescent="0.3">
      <c r="A700" s="1">
        <v>4501</v>
      </c>
      <c r="B700" s="1">
        <v>402400</v>
      </c>
    </row>
    <row r="701" spans="1:2" x14ac:dyDescent="0.3">
      <c r="A701" s="1">
        <v>4501</v>
      </c>
      <c r="B701" s="1">
        <v>402400</v>
      </c>
    </row>
    <row r="702" spans="1:2" x14ac:dyDescent="0.3">
      <c r="A702" s="1">
        <v>4501</v>
      </c>
      <c r="B702" s="1">
        <v>402400</v>
      </c>
    </row>
    <row r="703" spans="1:2" x14ac:dyDescent="0.3">
      <c r="A703" s="1">
        <v>4501</v>
      </c>
      <c r="B703" s="1">
        <v>402400</v>
      </c>
    </row>
    <row r="704" spans="1:2" x14ac:dyDescent="0.3">
      <c r="A704" s="1">
        <v>4501</v>
      </c>
      <c r="B704" s="1">
        <v>402400</v>
      </c>
    </row>
    <row r="705" spans="1:2" x14ac:dyDescent="0.3">
      <c r="A705" s="1">
        <v>4501</v>
      </c>
      <c r="B705" s="1">
        <v>402400</v>
      </c>
    </row>
    <row r="706" spans="1:2" x14ac:dyDescent="0.3">
      <c r="A706" s="1">
        <v>4501</v>
      </c>
      <c r="B706" s="1">
        <v>402400</v>
      </c>
    </row>
    <row r="707" spans="1:2" x14ac:dyDescent="0.3">
      <c r="A707" s="1">
        <v>4501</v>
      </c>
      <c r="B707" s="1">
        <v>402400</v>
      </c>
    </row>
    <row r="708" spans="1:2" x14ac:dyDescent="0.3">
      <c r="A708" s="1">
        <v>4501</v>
      </c>
      <c r="B708" s="1">
        <v>402400</v>
      </c>
    </row>
    <row r="709" spans="1:2" x14ac:dyDescent="0.3">
      <c r="A709" s="1">
        <v>4501</v>
      </c>
      <c r="B709" s="1">
        <v>402400</v>
      </c>
    </row>
    <row r="710" spans="1:2" x14ac:dyDescent="0.3">
      <c r="A710" s="1">
        <v>4501</v>
      </c>
      <c r="B710" s="1">
        <v>402400</v>
      </c>
    </row>
    <row r="711" spans="1:2" x14ac:dyDescent="0.3">
      <c r="A711" s="1">
        <v>4263</v>
      </c>
      <c r="B711" s="1">
        <v>402430</v>
      </c>
    </row>
    <row r="712" spans="1:2" x14ac:dyDescent="0.3">
      <c r="A712" s="1">
        <v>4263</v>
      </c>
      <c r="B712" s="1">
        <v>402430</v>
      </c>
    </row>
    <row r="713" spans="1:2" x14ac:dyDescent="0.3">
      <c r="A713" s="1">
        <v>4263</v>
      </c>
      <c r="B713" s="1">
        <v>402430</v>
      </c>
    </row>
    <row r="714" spans="1:2" x14ac:dyDescent="0.3">
      <c r="A714" s="1">
        <v>4263</v>
      </c>
      <c r="B714" s="1">
        <v>402430</v>
      </c>
    </row>
    <row r="715" spans="1:2" x14ac:dyDescent="0.3">
      <c r="A715" s="1">
        <v>4263</v>
      </c>
      <c r="B715" s="1">
        <v>402430</v>
      </c>
    </row>
    <row r="716" spans="1:2" x14ac:dyDescent="0.3">
      <c r="A716" s="1">
        <v>4263</v>
      </c>
      <c r="B716" s="1">
        <v>402430</v>
      </c>
    </row>
    <row r="717" spans="1:2" x14ac:dyDescent="0.3">
      <c r="A717" s="1">
        <v>4263</v>
      </c>
      <c r="B717" s="1">
        <v>402430</v>
      </c>
    </row>
    <row r="718" spans="1:2" x14ac:dyDescent="0.3">
      <c r="A718" s="1">
        <v>4263</v>
      </c>
      <c r="B718" s="1">
        <v>402430</v>
      </c>
    </row>
    <row r="719" spans="1:2" x14ac:dyDescent="0.3">
      <c r="A719" s="1">
        <v>4263</v>
      </c>
      <c r="B719" s="1">
        <v>402430</v>
      </c>
    </row>
    <row r="720" spans="1:2" x14ac:dyDescent="0.3">
      <c r="A720" s="1">
        <v>4263</v>
      </c>
      <c r="B720" s="1">
        <v>402430</v>
      </c>
    </row>
    <row r="721" spans="1:2" x14ac:dyDescent="0.3">
      <c r="A721" s="1">
        <v>4263</v>
      </c>
      <c r="B721" s="1">
        <v>402430</v>
      </c>
    </row>
    <row r="722" spans="1:2" x14ac:dyDescent="0.3">
      <c r="A722" s="1">
        <v>79443</v>
      </c>
      <c r="B722" s="1">
        <v>400323</v>
      </c>
    </row>
    <row r="723" spans="1:2" x14ac:dyDescent="0.3">
      <c r="A723" s="1">
        <v>79443</v>
      </c>
      <c r="B723" s="1">
        <v>400323</v>
      </c>
    </row>
    <row r="724" spans="1:2" x14ac:dyDescent="0.3">
      <c r="A724" s="1">
        <v>4483</v>
      </c>
      <c r="B724" s="1">
        <v>402460</v>
      </c>
    </row>
    <row r="725" spans="1:2" x14ac:dyDescent="0.3">
      <c r="A725" s="1">
        <v>4483</v>
      </c>
      <c r="B725" s="1">
        <v>402460</v>
      </c>
    </row>
    <row r="726" spans="1:2" x14ac:dyDescent="0.3">
      <c r="A726" s="1">
        <v>79049</v>
      </c>
      <c r="B726" s="1">
        <v>400223</v>
      </c>
    </row>
    <row r="727" spans="1:2" x14ac:dyDescent="0.3">
      <c r="A727" s="1">
        <v>79049</v>
      </c>
      <c r="B727" s="1">
        <v>400223</v>
      </c>
    </row>
    <row r="728" spans="1:2" x14ac:dyDescent="0.3">
      <c r="A728" s="1">
        <v>90332</v>
      </c>
      <c r="B728" s="1">
        <v>400806</v>
      </c>
    </row>
    <row r="729" spans="1:2" x14ac:dyDescent="0.3">
      <c r="A729" s="1">
        <v>90332</v>
      </c>
      <c r="B729" s="1">
        <v>400806</v>
      </c>
    </row>
    <row r="730" spans="1:2" x14ac:dyDescent="0.3">
      <c r="A730" s="1">
        <v>89914</v>
      </c>
      <c r="B730" s="1">
        <v>400776</v>
      </c>
    </row>
    <row r="731" spans="1:2" x14ac:dyDescent="0.3">
      <c r="A731" s="1">
        <v>89914</v>
      </c>
      <c r="B731" s="1">
        <v>400776</v>
      </c>
    </row>
    <row r="732" spans="1:2" x14ac:dyDescent="0.3">
      <c r="A732" s="1">
        <v>79496</v>
      </c>
      <c r="B732" s="1">
        <v>400278</v>
      </c>
    </row>
    <row r="733" spans="1:2" x14ac:dyDescent="0.3">
      <c r="A733" s="1">
        <v>79496</v>
      </c>
      <c r="B733" s="1">
        <v>400278</v>
      </c>
    </row>
    <row r="734" spans="1:2" x14ac:dyDescent="0.3">
      <c r="A734" s="1">
        <v>4246</v>
      </c>
      <c r="B734" s="1">
        <v>407750</v>
      </c>
    </row>
    <row r="735" spans="1:2" x14ac:dyDescent="0.3">
      <c r="A735" s="1">
        <v>4246</v>
      </c>
      <c r="B735" s="1">
        <v>407750</v>
      </c>
    </row>
    <row r="736" spans="1:2" x14ac:dyDescent="0.3">
      <c r="A736" s="1">
        <v>4246</v>
      </c>
      <c r="B736" s="1">
        <v>407750</v>
      </c>
    </row>
    <row r="737" spans="1:2" x14ac:dyDescent="0.3">
      <c r="A737" s="1">
        <v>4246</v>
      </c>
      <c r="B737" s="1">
        <v>407750</v>
      </c>
    </row>
    <row r="738" spans="1:2" x14ac:dyDescent="0.3">
      <c r="A738" s="1">
        <v>4246</v>
      </c>
      <c r="B738" s="1">
        <v>407750</v>
      </c>
    </row>
    <row r="739" spans="1:2" x14ac:dyDescent="0.3">
      <c r="A739" s="1">
        <v>4246</v>
      </c>
      <c r="B739" s="1">
        <v>407750</v>
      </c>
    </row>
    <row r="740" spans="1:2" x14ac:dyDescent="0.3">
      <c r="A740" s="1">
        <v>4246</v>
      </c>
      <c r="B740" s="1">
        <v>407750</v>
      </c>
    </row>
    <row r="741" spans="1:2" x14ac:dyDescent="0.3">
      <c r="A741" s="1">
        <v>4246</v>
      </c>
      <c r="B741" s="1">
        <v>407750</v>
      </c>
    </row>
    <row r="742" spans="1:2" x14ac:dyDescent="0.3">
      <c r="A742" s="1">
        <v>4246</v>
      </c>
      <c r="B742" s="1">
        <v>407750</v>
      </c>
    </row>
    <row r="743" spans="1:2" x14ac:dyDescent="0.3">
      <c r="A743" s="1">
        <v>4246</v>
      </c>
      <c r="B743" s="1">
        <v>407750</v>
      </c>
    </row>
    <row r="744" spans="1:2" x14ac:dyDescent="0.3">
      <c r="A744" s="1">
        <v>4246</v>
      </c>
      <c r="B744" s="1">
        <v>407750</v>
      </c>
    </row>
    <row r="745" spans="1:2" x14ac:dyDescent="0.3">
      <c r="A745" s="1">
        <v>4246</v>
      </c>
      <c r="B745" s="1">
        <v>407750</v>
      </c>
    </row>
    <row r="746" spans="1:2" x14ac:dyDescent="0.3">
      <c r="A746" s="1">
        <v>4246</v>
      </c>
      <c r="B746" s="1">
        <v>407750</v>
      </c>
    </row>
    <row r="747" spans="1:2" x14ac:dyDescent="0.3">
      <c r="A747" s="1">
        <v>4246</v>
      </c>
      <c r="B747" s="1">
        <v>407750</v>
      </c>
    </row>
    <row r="748" spans="1:2" x14ac:dyDescent="0.3">
      <c r="A748" s="1">
        <v>4246</v>
      </c>
      <c r="B748" s="1">
        <v>407750</v>
      </c>
    </row>
    <row r="749" spans="1:2" x14ac:dyDescent="0.3">
      <c r="A749" s="1">
        <v>4246</v>
      </c>
      <c r="B749" s="1">
        <v>407750</v>
      </c>
    </row>
    <row r="750" spans="1:2" x14ac:dyDescent="0.3">
      <c r="A750" s="1">
        <v>4246</v>
      </c>
      <c r="B750" s="1">
        <v>407750</v>
      </c>
    </row>
    <row r="751" spans="1:2" x14ac:dyDescent="0.3">
      <c r="A751" s="1">
        <v>4246</v>
      </c>
      <c r="B751" s="1">
        <v>407750</v>
      </c>
    </row>
    <row r="752" spans="1:2" x14ac:dyDescent="0.3">
      <c r="A752" s="1">
        <v>4246</v>
      </c>
      <c r="B752" s="1">
        <v>407750</v>
      </c>
    </row>
    <row r="753" spans="1:2" x14ac:dyDescent="0.3">
      <c r="A753" s="1">
        <v>4246</v>
      </c>
      <c r="B753" s="1">
        <v>407750</v>
      </c>
    </row>
    <row r="754" spans="1:2" x14ac:dyDescent="0.3">
      <c r="A754" s="1">
        <v>4246</v>
      </c>
      <c r="B754" s="1">
        <v>407750</v>
      </c>
    </row>
    <row r="755" spans="1:2" x14ac:dyDescent="0.3">
      <c r="A755" s="1">
        <v>4246</v>
      </c>
      <c r="B755" s="1">
        <v>407750</v>
      </c>
    </row>
    <row r="756" spans="1:2" x14ac:dyDescent="0.3">
      <c r="A756" s="1">
        <v>4246</v>
      </c>
      <c r="B756" s="1">
        <v>407750</v>
      </c>
    </row>
    <row r="757" spans="1:2" x14ac:dyDescent="0.3">
      <c r="A757" s="1">
        <v>4246</v>
      </c>
      <c r="B757" s="1">
        <v>407750</v>
      </c>
    </row>
    <row r="758" spans="1:2" x14ac:dyDescent="0.3">
      <c r="A758" s="1">
        <v>4246</v>
      </c>
      <c r="B758" s="1">
        <v>407750</v>
      </c>
    </row>
    <row r="759" spans="1:2" x14ac:dyDescent="0.3">
      <c r="A759" s="1">
        <v>4246</v>
      </c>
      <c r="B759" s="1">
        <v>407750</v>
      </c>
    </row>
    <row r="760" spans="1:2" x14ac:dyDescent="0.3">
      <c r="A760" s="1">
        <v>4246</v>
      </c>
      <c r="B760" s="1">
        <v>407750</v>
      </c>
    </row>
    <row r="761" spans="1:2" x14ac:dyDescent="0.3">
      <c r="A761" s="1">
        <v>4246</v>
      </c>
      <c r="B761" s="1">
        <v>407750</v>
      </c>
    </row>
    <row r="762" spans="1:2" x14ac:dyDescent="0.3">
      <c r="A762" s="1">
        <v>4246</v>
      </c>
      <c r="B762" s="1">
        <v>407750</v>
      </c>
    </row>
    <row r="763" spans="1:2" x14ac:dyDescent="0.3">
      <c r="A763" s="1">
        <v>4246</v>
      </c>
      <c r="B763" s="1">
        <v>407750</v>
      </c>
    </row>
    <row r="764" spans="1:2" x14ac:dyDescent="0.3">
      <c r="A764" s="1">
        <v>4246</v>
      </c>
      <c r="B764" s="1">
        <v>407750</v>
      </c>
    </row>
    <row r="765" spans="1:2" x14ac:dyDescent="0.3">
      <c r="A765" s="1">
        <v>4246</v>
      </c>
      <c r="B765" s="1">
        <v>407750</v>
      </c>
    </row>
    <row r="766" spans="1:2" x14ac:dyDescent="0.3">
      <c r="A766" s="1">
        <v>4246</v>
      </c>
      <c r="B766" s="1">
        <v>407750</v>
      </c>
    </row>
    <row r="767" spans="1:2" x14ac:dyDescent="0.3">
      <c r="A767" s="1">
        <v>4246</v>
      </c>
      <c r="B767" s="1">
        <v>407750</v>
      </c>
    </row>
    <row r="768" spans="1:2" x14ac:dyDescent="0.3">
      <c r="A768" s="1">
        <v>4246</v>
      </c>
      <c r="B768" s="1">
        <v>407750</v>
      </c>
    </row>
    <row r="769" spans="1:2" x14ac:dyDescent="0.3">
      <c r="A769" s="1">
        <v>4246</v>
      </c>
      <c r="B769" s="1">
        <v>407750</v>
      </c>
    </row>
    <row r="770" spans="1:2" x14ac:dyDescent="0.3">
      <c r="A770" s="1">
        <v>4246</v>
      </c>
      <c r="B770" s="1">
        <v>407750</v>
      </c>
    </row>
    <row r="771" spans="1:2" x14ac:dyDescent="0.3">
      <c r="A771" s="1">
        <v>4246</v>
      </c>
      <c r="B771" s="1">
        <v>407750</v>
      </c>
    </row>
    <row r="772" spans="1:2" x14ac:dyDescent="0.3">
      <c r="A772" s="1">
        <v>4246</v>
      </c>
      <c r="B772" s="1">
        <v>407750</v>
      </c>
    </row>
    <row r="773" spans="1:2" x14ac:dyDescent="0.3">
      <c r="A773" s="1">
        <v>81099</v>
      </c>
      <c r="B773" s="1">
        <v>400610</v>
      </c>
    </row>
    <row r="774" spans="1:2" x14ac:dyDescent="0.3">
      <c r="A774" s="1">
        <v>81099</v>
      </c>
      <c r="B774" s="1">
        <v>400610</v>
      </c>
    </row>
    <row r="775" spans="1:2" x14ac:dyDescent="0.3">
      <c r="A775" s="1">
        <v>81099</v>
      </c>
      <c r="B775" s="1">
        <v>400610</v>
      </c>
    </row>
    <row r="776" spans="1:2" x14ac:dyDescent="0.3">
      <c r="A776" s="1">
        <v>91328</v>
      </c>
      <c r="B776" s="1">
        <v>400894</v>
      </c>
    </row>
    <row r="777" spans="1:2" x14ac:dyDescent="0.3">
      <c r="A777" s="1">
        <v>91328</v>
      </c>
      <c r="B777" s="1">
        <v>400894</v>
      </c>
    </row>
    <row r="778" spans="1:2" x14ac:dyDescent="0.3">
      <c r="A778" s="1">
        <v>79441</v>
      </c>
      <c r="B778" s="1">
        <v>400322</v>
      </c>
    </row>
    <row r="779" spans="1:2" x14ac:dyDescent="0.3">
      <c r="A779" s="1">
        <v>79441</v>
      </c>
      <c r="B779" s="1">
        <v>400322</v>
      </c>
    </row>
    <row r="780" spans="1:2" x14ac:dyDescent="0.3">
      <c r="A780" s="1">
        <v>88308</v>
      </c>
      <c r="B780" s="1">
        <v>400448</v>
      </c>
    </row>
    <row r="781" spans="1:2" x14ac:dyDescent="0.3">
      <c r="A781" s="1">
        <v>88308</v>
      </c>
      <c r="B781" s="1">
        <v>400448</v>
      </c>
    </row>
    <row r="782" spans="1:2" x14ac:dyDescent="0.3">
      <c r="A782" s="1">
        <v>10969</v>
      </c>
      <c r="B782" s="1">
        <v>400206</v>
      </c>
    </row>
    <row r="783" spans="1:2" x14ac:dyDescent="0.3">
      <c r="A783" s="1">
        <v>10969</v>
      </c>
      <c r="B783" s="1">
        <v>400206</v>
      </c>
    </row>
    <row r="784" spans="1:2" x14ac:dyDescent="0.3">
      <c r="A784" s="1">
        <v>88321</v>
      </c>
      <c r="B784" s="1">
        <v>400439</v>
      </c>
    </row>
    <row r="785" spans="1:2" x14ac:dyDescent="0.3">
      <c r="A785" s="1">
        <v>88321</v>
      </c>
      <c r="B785" s="1">
        <v>400439</v>
      </c>
    </row>
    <row r="786" spans="1:2" x14ac:dyDescent="0.3">
      <c r="A786" s="1">
        <v>6258</v>
      </c>
      <c r="B786" s="1">
        <v>400339</v>
      </c>
    </row>
    <row r="787" spans="1:2" x14ac:dyDescent="0.3">
      <c r="A787" s="1">
        <v>6258</v>
      </c>
      <c r="B787" s="1">
        <v>400339</v>
      </c>
    </row>
    <row r="788" spans="1:2" x14ac:dyDescent="0.3">
      <c r="A788" s="1">
        <v>79269</v>
      </c>
      <c r="B788" s="1">
        <v>400314</v>
      </c>
    </row>
    <row r="789" spans="1:2" x14ac:dyDescent="0.3">
      <c r="A789" s="1">
        <v>79269</v>
      </c>
      <c r="B789" s="1">
        <v>400314</v>
      </c>
    </row>
    <row r="790" spans="1:2" x14ac:dyDescent="0.3">
      <c r="A790" s="1">
        <v>6357</v>
      </c>
      <c r="B790" s="1">
        <v>400141</v>
      </c>
    </row>
    <row r="791" spans="1:2" x14ac:dyDescent="0.3">
      <c r="A791" s="1">
        <v>6357</v>
      </c>
      <c r="B791" s="1">
        <v>400141</v>
      </c>
    </row>
    <row r="792" spans="1:2" x14ac:dyDescent="0.3">
      <c r="A792" s="1">
        <v>4179</v>
      </c>
      <c r="B792" s="1">
        <v>402490</v>
      </c>
    </row>
    <row r="793" spans="1:2" x14ac:dyDescent="0.3">
      <c r="A793" s="1">
        <v>4179</v>
      </c>
      <c r="B793" s="1">
        <v>402490</v>
      </c>
    </row>
    <row r="794" spans="1:2" x14ac:dyDescent="0.3">
      <c r="A794" s="1">
        <v>4174</v>
      </c>
      <c r="B794" s="1">
        <v>402530</v>
      </c>
    </row>
    <row r="795" spans="1:2" x14ac:dyDescent="0.3">
      <c r="A795" s="1">
        <v>4174</v>
      </c>
      <c r="B795" s="1">
        <v>402530</v>
      </c>
    </row>
    <row r="796" spans="1:2" x14ac:dyDescent="0.3">
      <c r="A796" s="1">
        <v>4174</v>
      </c>
      <c r="B796" s="1">
        <v>402530</v>
      </c>
    </row>
    <row r="797" spans="1:2" x14ac:dyDescent="0.3">
      <c r="A797" s="1">
        <v>4174</v>
      </c>
      <c r="B797" s="1">
        <v>402530</v>
      </c>
    </row>
    <row r="798" spans="1:2" x14ac:dyDescent="0.3">
      <c r="A798" s="1">
        <v>4174</v>
      </c>
      <c r="B798" s="1">
        <v>402530</v>
      </c>
    </row>
    <row r="799" spans="1:2" x14ac:dyDescent="0.3">
      <c r="A799" s="1">
        <v>4174</v>
      </c>
      <c r="B799" s="1">
        <v>402530</v>
      </c>
    </row>
    <row r="800" spans="1:2" x14ac:dyDescent="0.3">
      <c r="A800" s="1">
        <v>4174</v>
      </c>
      <c r="B800" s="1">
        <v>402530</v>
      </c>
    </row>
    <row r="801" spans="1:2" x14ac:dyDescent="0.3">
      <c r="A801" s="1">
        <v>4174</v>
      </c>
      <c r="B801" s="1">
        <v>402530</v>
      </c>
    </row>
    <row r="802" spans="1:2" x14ac:dyDescent="0.3">
      <c r="A802" s="1">
        <v>4174</v>
      </c>
      <c r="B802" s="1">
        <v>402530</v>
      </c>
    </row>
    <row r="803" spans="1:2" x14ac:dyDescent="0.3">
      <c r="A803" s="1">
        <v>4174</v>
      </c>
      <c r="B803" s="1">
        <v>402530</v>
      </c>
    </row>
    <row r="804" spans="1:2" x14ac:dyDescent="0.3">
      <c r="A804" s="1">
        <v>4174</v>
      </c>
      <c r="B804" s="1">
        <v>402530</v>
      </c>
    </row>
    <row r="805" spans="1:2" x14ac:dyDescent="0.3">
      <c r="A805" s="1">
        <v>4228</v>
      </c>
      <c r="B805" s="1">
        <v>402600</v>
      </c>
    </row>
    <row r="806" spans="1:2" x14ac:dyDescent="0.3">
      <c r="A806" s="1">
        <v>4228</v>
      </c>
      <c r="B806" s="1">
        <v>402600</v>
      </c>
    </row>
    <row r="807" spans="1:2" x14ac:dyDescent="0.3">
      <c r="A807" s="1">
        <v>4228</v>
      </c>
      <c r="B807" s="1">
        <v>402600</v>
      </c>
    </row>
    <row r="808" spans="1:2" x14ac:dyDescent="0.3">
      <c r="A808" s="1">
        <v>4228</v>
      </c>
      <c r="B808" s="1">
        <v>402600</v>
      </c>
    </row>
    <row r="809" spans="1:2" x14ac:dyDescent="0.3">
      <c r="A809" s="1">
        <v>4243</v>
      </c>
      <c r="B809" s="1">
        <v>402690</v>
      </c>
    </row>
    <row r="810" spans="1:2" x14ac:dyDescent="0.3">
      <c r="A810" s="1">
        <v>4243</v>
      </c>
      <c r="B810" s="1">
        <v>402690</v>
      </c>
    </row>
    <row r="811" spans="1:2" x14ac:dyDescent="0.3">
      <c r="A811" s="1">
        <v>4243</v>
      </c>
      <c r="B811" s="1">
        <v>402690</v>
      </c>
    </row>
    <row r="812" spans="1:2" x14ac:dyDescent="0.3">
      <c r="A812" s="1">
        <v>4243</v>
      </c>
      <c r="B812" s="1">
        <v>402690</v>
      </c>
    </row>
    <row r="813" spans="1:2" x14ac:dyDescent="0.3">
      <c r="A813" s="1">
        <v>4243</v>
      </c>
      <c r="B813" s="1">
        <v>402690</v>
      </c>
    </row>
    <row r="814" spans="1:2" x14ac:dyDescent="0.3">
      <c r="A814" s="1">
        <v>4243</v>
      </c>
      <c r="B814" s="1">
        <v>402690</v>
      </c>
    </row>
    <row r="815" spans="1:2" x14ac:dyDescent="0.3">
      <c r="A815" s="1">
        <v>4243</v>
      </c>
      <c r="B815" s="1">
        <v>402690</v>
      </c>
    </row>
    <row r="816" spans="1:2" x14ac:dyDescent="0.3">
      <c r="A816" s="1">
        <v>4243</v>
      </c>
      <c r="B816" s="1">
        <v>402690</v>
      </c>
    </row>
    <row r="817" spans="1:2" x14ac:dyDescent="0.3">
      <c r="A817" s="1">
        <v>4243</v>
      </c>
      <c r="B817" s="1">
        <v>402690</v>
      </c>
    </row>
    <row r="818" spans="1:2" x14ac:dyDescent="0.3">
      <c r="A818" s="1">
        <v>4243</v>
      </c>
      <c r="B818" s="1">
        <v>402690</v>
      </c>
    </row>
    <row r="819" spans="1:2" x14ac:dyDescent="0.3">
      <c r="A819" s="1">
        <v>4243</v>
      </c>
      <c r="B819" s="1">
        <v>402690</v>
      </c>
    </row>
    <row r="820" spans="1:2" x14ac:dyDescent="0.3">
      <c r="A820" s="1">
        <v>4243</v>
      </c>
      <c r="B820" s="1">
        <v>402690</v>
      </c>
    </row>
    <row r="821" spans="1:2" x14ac:dyDescent="0.3">
      <c r="A821" s="1">
        <v>4243</v>
      </c>
      <c r="B821" s="1">
        <v>402690</v>
      </c>
    </row>
    <row r="822" spans="1:2" x14ac:dyDescent="0.3">
      <c r="A822" s="1">
        <v>4243</v>
      </c>
      <c r="B822" s="1">
        <v>402690</v>
      </c>
    </row>
    <row r="823" spans="1:2" x14ac:dyDescent="0.3">
      <c r="A823" s="1">
        <v>4243</v>
      </c>
      <c r="B823" s="1">
        <v>402690</v>
      </c>
    </row>
    <row r="824" spans="1:2" x14ac:dyDescent="0.3">
      <c r="A824" s="1">
        <v>4243</v>
      </c>
      <c r="B824" s="1">
        <v>402690</v>
      </c>
    </row>
    <row r="825" spans="1:2" x14ac:dyDescent="0.3">
      <c r="A825" s="1">
        <v>4243</v>
      </c>
      <c r="B825" s="1">
        <v>402690</v>
      </c>
    </row>
    <row r="826" spans="1:2" x14ac:dyDescent="0.3">
      <c r="A826" s="1">
        <v>4243</v>
      </c>
      <c r="B826" s="1">
        <v>402690</v>
      </c>
    </row>
    <row r="827" spans="1:2" x14ac:dyDescent="0.3">
      <c r="A827" s="1">
        <v>4243</v>
      </c>
      <c r="B827" s="1">
        <v>402690</v>
      </c>
    </row>
    <row r="828" spans="1:2" x14ac:dyDescent="0.3">
      <c r="A828" s="1">
        <v>4243</v>
      </c>
      <c r="B828" s="1">
        <v>402690</v>
      </c>
    </row>
    <row r="829" spans="1:2" x14ac:dyDescent="0.3">
      <c r="A829" s="1">
        <v>4243</v>
      </c>
      <c r="B829" s="1">
        <v>402690</v>
      </c>
    </row>
    <row r="830" spans="1:2" x14ac:dyDescent="0.3">
      <c r="A830" s="1">
        <v>4243</v>
      </c>
      <c r="B830" s="1">
        <v>402690</v>
      </c>
    </row>
    <row r="831" spans="1:2" x14ac:dyDescent="0.3">
      <c r="A831" s="1">
        <v>4243</v>
      </c>
      <c r="B831" s="1">
        <v>402690</v>
      </c>
    </row>
    <row r="832" spans="1:2" x14ac:dyDescent="0.3">
      <c r="A832" s="1">
        <v>4243</v>
      </c>
      <c r="B832" s="1">
        <v>402690</v>
      </c>
    </row>
    <row r="833" spans="1:2" x14ac:dyDescent="0.3">
      <c r="A833" s="1">
        <v>4243</v>
      </c>
      <c r="B833" s="1">
        <v>402690</v>
      </c>
    </row>
    <row r="834" spans="1:2" x14ac:dyDescent="0.3">
      <c r="A834" s="1">
        <v>4243</v>
      </c>
      <c r="B834" s="1">
        <v>402690</v>
      </c>
    </row>
    <row r="835" spans="1:2" x14ac:dyDescent="0.3">
      <c r="A835" s="1">
        <v>79059</v>
      </c>
      <c r="B835" s="1">
        <v>400311</v>
      </c>
    </row>
    <row r="836" spans="1:2" x14ac:dyDescent="0.3">
      <c r="A836" s="1">
        <v>79059</v>
      </c>
      <c r="B836" s="1">
        <v>400311</v>
      </c>
    </row>
    <row r="837" spans="1:2" x14ac:dyDescent="0.3">
      <c r="A837" s="1">
        <v>79059</v>
      </c>
      <c r="B837" s="1">
        <v>400311</v>
      </c>
    </row>
    <row r="838" spans="1:2" x14ac:dyDescent="0.3">
      <c r="A838" s="1">
        <v>79059</v>
      </c>
      <c r="B838" s="1">
        <v>400311</v>
      </c>
    </row>
    <row r="839" spans="1:2" x14ac:dyDescent="0.3">
      <c r="A839" s="1">
        <v>79059</v>
      </c>
      <c r="B839" s="1">
        <v>400311</v>
      </c>
    </row>
    <row r="840" spans="1:2" x14ac:dyDescent="0.3">
      <c r="A840" s="1">
        <v>79059</v>
      </c>
      <c r="B840" s="1">
        <v>400311</v>
      </c>
    </row>
    <row r="841" spans="1:2" x14ac:dyDescent="0.3">
      <c r="A841" s="1">
        <v>79059</v>
      </c>
      <c r="B841" s="1">
        <v>400311</v>
      </c>
    </row>
    <row r="842" spans="1:2" x14ac:dyDescent="0.3">
      <c r="A842" s="1">
        <v>79059</v>
      </c>
      <c r="B842" s="1">
        <v>400311</v>
      </c>
    </row>
    <row r="843" spans="1:2" x14ac:dyDescent="0.3">
      <c r="A843" s="1">
        <v>91170</v>
      </c>
      <c r="B843" s="1">
        <v>400849</v>
      </c>
    </row>
    <row r="844" spans="1:2" x14ac:dyDescent="0.3">
      <c r="A844" s="1">
        <v>91170</v>
      </c>
      <c r="B844" s="1">
        <v>400849</v>
      </c>
    </row>
    <row r="845" spans="1:2" x14ac:dyDescent="0.3">
      <c r="A845" s="1">
        <v>4232</v>
      </c>
      <c r="B845" s="1">
        <v>400607</v>
      </c>
    </row>
    <row r="846" spans="1:2" x14ac:dyDescent="0.3">
      <c r="A846" s="1">
        <v>89850</v>
      </c>
      <c r="B846" s="1">
        <v>400763</v>
      </c>
    </row>
    <row r="847" spans="1:2" x14ac:dyDescent="0.3">
      <c r="A847" s="1">
        <v>89850</v>
      </c>
      <c r="B847" s="1">
        <v>400763</v>
      </c>
    </row>
    <row r="848" spans="1:2" x14ac:dyDescent="0.3">
      <c r="A848" s="1">
        <v>87401</v>
      </c>
      <c r="B848" s="1">
        <v>400425</v>
      </c>
    </row>
    <row r="849" spans="1:2" x14ac:dyDescent="0.3">
      <c r="A849" s="1">
        <v>87401</v>
      </c>
      <c r="B849" s="1">
        <v>400425</v>
      </c>
    </row>
    <row r="850" spans="1:2" x14ac:dyDescent="0.3">
      <c r="A850" s="1">
        <v>10971</v>
      </c>
      <c r="B850" s="1">
        <v>400189</v>
      </c>
    </row>
    <row r="851" spans="1:2" x14ac:dyDescent="0.3">
      <c r="A851" s="1">
        <v>10971</v>
      </c>
      <c r="B851" s="1">
        <v>400189</v>
      </c>
    </row>
    <row r="852" spans="1:2" x14ac:dyDescent="0.3">
      <c r="A852" s="1">
        <v>4516</v>
      </c>
      <c r="B852" s="1">
        <v>409731</v>
      </c>
    </row>
    <row r="853" spans="1:2" x14ac:dyDescent="0.3">
      <c r="A853" s="1">
        <v>4516</v>
      </c>
      <c r="B853" s="1">
        <v>409731</v>
      </c>
    </row>
    <row r="854" spans="1:2" x14ac:dyDescent="0.3">
      <c r="A854" s="1">
        <v>4516</v>
      </c>
      <c r="B854" s="1">
        <v>409731</v>
      </c>
    </row>
    <row r="855" spans="1:2" x14ac:dyDescent="0.3">
      <c r="A855" s="1">
        <v>4516</v>
      </c>
      <c r="B855" s="1">
        <v>409731</v>
      </c>
    </row>
    <row r="856" spans="1:2" x14ac:dyDescent="0.3">
      <c r="A856" s="1">
        <v>4516</v>
      </c>
      <c r="B856" s="1">
        <v>409731</v>
      </c>
    </row>
    <row r="857" spans="1:2" x14ac:dyDescent="0.3">
      <c r="A857" s="1">
        <v>4516</v>
      </c>
      <c r="B857" s="1">
        <v>409731</v>
      </c>
    </row>
    <row r="858" spans="1:2" x14ac:dyDescent="0.3">
      <c r="A858" s="1">
        <v>4516</v>
      </c>
      <c r="B858" s="1">
        <v>409731</v>
      </c>
    </row>
    <row r="859" spans="1:2" x14ac:dyDescent="0.3">
      <c r="A859" s="1">
        <v>4516</v>
      </c>
      <c r="B859" s="1">
        <v>409731</v>
      </c>
    </row>
    <row r="860" spans="1:2" x14ac:dyDescent="0.3">
      <c r="A860" s="1">
        <v>4516</v>
      </c>
      <c r="B860" s="1">
        <v>409731</v>
      </c>
    </row>
    <row r="861" spans="1:2" x14ac:dyDescent="0.3">
      <c r="A861" s="1">
        <v>4516</v>
      </c>
      <c r="B861" s="1">
        <v>409731</v>
      </c>
    </row>
    <row r="862" spans="1:2" x14ac:dyDescent="0.3">
      <c r="A862" s="1">
        <v>4516</v>
      </c>
      <c r="B862" s="1">
        <v>409731</v>
      </c>
    </row>
    <row r="863" spans="1:2" x14ac:dyDescent="0.3">
      <c r="A863" s="1">
        <v>4516</v>
      </c>
      <c r="B863" s="1">
        <v>409731</v>
      </c>
    </row>
    <row r="864" spans="1:2" x14ac:dyDescent="0.3">
      <c r="A864" s="1">
        <v>4516</v>
      </c>
      <c r="B864" s="1">
        <v>409731</v>
      </c>
    </row>
    <row r="865" spans="1:2" x14ac:dyDescent="0.3">
      <c r="A865" s="1">
        <v>4516</v>
      </c>
      <c r="B865" s="1">
        <v>409731</v>
      </c>
    </row>
    <row r="866" spans="1:2" x14ac:dyDescent="0.3">
      <c r="A866" s="1">
        <v>4516</v>
      </c>
      <c r="B866" s="1">
        <v>409731</v>
      </c>
    </row>
    <row r="867" spans="1:2" x14ac:dyDescent="0.3">
      <c r="A867" s="1">
        <v>4516</v>
      </c>
      <c r="B867" s="1">
        <v>409731</v>
      </c>
    </row>
    <row r="868" spans="1:2" x14ac:dyDescent="0.3">
      <c r="A868" s="1">
        <v>4516</v>
      </c>
      <c r="B868" s="1">
        <v>409731</v>
      </c>
    </row>
    <row r="869" spans="1:2" x14ac:dyDescent="0.3">
      <c r="A869" s="1">
        <v>4516</v>
      </c>
      <c r="B869" s="1">
        <v>409731</v>
      </c>
    </row>
    <row r="870" spans="1:2" x14ac:dyDescent="0.3">
      <c r="A870" s="1">
        <v>4516</v>
      </c>
      <c r="B870" s="1">
        <v>409731</v>
      </c>
    </row>
    <row r="871" spans="1:2" x14ac:dyDescent="0.3">
      <c r="A871" s="1">
        <v>4516</v>
      </c>
      <c r="B871" s="1">
        <v>409731</v>
      </c>
    </row>
    <row r="872" spans="1:2" x14ac:dyDescent="0.3">
      <c r="A872" s="1">
        <v>4516</v>
      </c>
      <c r="B872" s="1">
        <v>409731</v>
      </c>
    </row>
    <row r="873" spans="1:2" x14ac:dyDescent="0.3">
      <c r="A873" s="1">
        <v>4516</v>
      </c>
      <c r="B873" s="1">
        <v>409731</v>
      </c>
    </row>
    <row r="874" spans="1:2" x14ac:dyDescent="0.3">
      <c r="A874" s="1">
        <v>4516</v>
      </c>
      <c r="B874" s="1">
        <v>409731</v>
      </c>
    </row>
    <row r="875" spans="1:2" x14ac:dyDescent="0.3">
      <c r="A875" s="1">
        <v>4516</v>
      </c>
      <c r="B875" s="1">
        <v>409731</v>
      </c>
    </row>
    <row r="876" spans="1:2" x14ac:dyDescent="0.3">
      <c r="A876" s="1">
        <v>4516</v>
      </c>
      <c r="B876" s="1">
        <v>409731</v>
      </c>
    </row>
    <row r="877" spans="1:2" x14ac:dyDescent="0.3">
      <c r="A877" s="1">
        <v>4516</v>
      </c>
      <c r="B877" s="1">
        <v>409731</v>
      </c>
    </row>
    <row r="878" spans="1:2" x14ac:dyDescent="0.3">
      <c r="A878" s="1">
        <v>4516</v>
      </c>
      <c r="B878" s="1">
        <v>409731</v>
      </c>
    </row>
    <row r="879" spans="1:2" x14ac:dyDescent="0.3">
      <c r="A879" s="1">
        <v>4516</v>
      </c>
      <c r="B879" s="1">
        <v>409731</v>
      </c>
    </row>
    <row r="880" spans="1:2" x14ac:dyDescent="0.3">
      <c r="A880" s="1">
        <v>4516</v>
      </c>
      <c r="B880" s="1">
        <v>409731</v>
      </c>
    </row>
    <row r="881" spans="1:2" x14ac:dyDescent="0.3">
      <c r="A881" s="1">
        <v>4516</v>
      </c>
      <c r="B881" s="1">
        <v>409731</v>
      </c>
    </row>
    <row r="882" spans="1:2" x14ac:dyDescent="0.3">
      <c r="A882" s="1">
        <v>4516</v>
      </c>
      <c r="B882" s="1">
        <v>409731</v>
      </c>
    </row>
    <row r="883" spans="1:2" x14ac:dyDescent="0.3">
      <c r="A883" s="1">
        <v>4516</v>
      </c>
      <c r="B883" s="1">
        <v>409731</v>
      </c>
    </row>
    <row r="884" spans="1:2" x14ac:dyDescent="0.3">
      <c r="A884" s="1">
        <v>4516</v>
      </c>
      <c r="B884" s="1">
        <v>409731</v>
      </c>
    </row>
    <row r="885" spans="1:2" x14ac:dyDescent="0.3">
      <c r="A885" s="1">
        <v>4516</v>
      </c>
      <c r="B885" s="1">
        <v>409731</v>
      </c>
    </row>
    <row r="886" spans="1:2" x14ac:dyDescent="0.3">
      <c r="A886" s="1">
        <v>4516</v>
      </c>
      <c r="B886" s="1">
        <v>409731</v>
      </c>
    </row>
    <row r="887" spans="1:2" x14ac:dyDescent="0.3">
      <c r="A887" s="1">
        <v>4516</v>
      </c>
      <c r="B887" s="1">
        <v>409731</v>
      </c>
    </row>
    <row r="888" spans="1:2" x14ac:dyDescent="0.3">
      <c r="A888" s="1">
        <v>4516</v>
      </c>
      <c r="B888" s="1">
        <v>409731</v>
      </c>
    </row>
    <row r="889" spans="1:2" x14ac:dyDescent="0.3">
      <c r="A889" s="1">
        <v>4516</v>
      </c>
      <c r="B889" s="1">
        <v>409731</v>
      </c>
    </row>
    <row r="890" spans="1:2" x14ac:dyDescent="0.3">
      <c r="A890" s="1">
        <v>4516</v>
      </c>
      <c r="B890" s="1">
        <v>409731</v>
      </c>
    </row>
    <row r="891" spans="1:2" x14ac:dyDescent="0.3">
      <c r="A891" s="1">
        <v>4516</v>
      </c>
      <c r="B891" s="1">
        <v>409731</v>
      </c>
    </row>
    <row r="892" spans="1:2" x14ac:dyDescent="0.3">
      <c r="A892" s="1">
        <v>4516</v>
      </c>
      <c r="B892" s="1">
        <v>409731</v>
      </c>
    </row>
    <row r="893" spans="1:2" x14ac:dyDescent="0.3">
      <c r="A893" s="1">
        <v>4516</v>
      </c>
      <c r="B893" s="1">
        <v>409731</v>
      </c>
    </row>
    <row r="894" spans="1:2" x14ac:dyDescent="0.3">
      <c r="A894" s="1">
        <v>4516</v>
      </c>
      <c r="B894" s="1">
        <v>409731</v>
      </c>
    </row>
    <row r="895" spans="1:2" x14ac:dyDescent="0.3">
      <c r="A895" s="1">
        <v>4516</v>
      </c>
      <c r="B895" s="1">
        <v>409731</v>
      </c>
    </row>
    <row r="896" spans="1:2" x14ac:dyDescent="0.3">
      <c r="A896" s="1">
        <v>4516</v>
      </c>
      <c r="B896" s="1">
        <v>409731</v>
      </c>
    </row>
    <row r="897" spans="1:2" x14ac:dyDescent="0.3">
      <c r="A897" s="1">
        <v>4516</v>
      </c>
      <c r="B897" s="1">
        <v>409731</v>
      </c>
    </row>
    <row r="898" spans="1:2" x14ac:dyDescent="0.3">
      <c r="A898" s="1">
        <v>4516</v>
      </c>
      <c r="B898" s="1">
        <v>409731</v>
      </c>
    </row>
    <row r="899" spans="1:2" x14ac:dyDescent="0.3">
      <c r="A899" s="1">
        <v>4516</v>
      </c>
      <c r="B899" s="1">
        <v>409731</v>
      </c>
    </row>
    <row r="900" spans="1:2" x14ac:dyDescent="0.3">
      <c r="A900" s="1">
        <v>4516</v>
      </c>
      <c r="B900" s="1">
        <v>409731</v>
      </c>
    </row>
    <row r="901" spans="1:2" x14ac:dyDescent="0.3">
      <c r="A901" s="1">
        <v>4516</v>
      </c>
      <c r="B901" s="1">
        <v>409731</v>
      </c>
    </row>
    <row r="902" spans="1:2" x14ac:dyDescent="0.3">
      <c r="A902" s="1">
        <v>4516</v>
      </c>
      <c r="B902" s="1">
        <v>409731</v>
      </c>
    </row>
    <row r="903" spans="1:2" x14ac:dyDescent="0.3">
      <c r="A903" s="1">
        <v>78833</v>
      </c>
      <c r="B903" s="1">
        <v>400261</v>
      </c>
    </row>
    <row r="904" spans="1:2" x14ac:dyDescent="0.3">
      <c r="A904" s="1">
        <v>78833</v>
      </c>
      <c r="B904" s="1">
        <v>400261</v>
      </c>
    </row>
    <row r="905" spans="1:2" x14ac:dyDescent="0.3">
      <c r="A905" s="1">
        <v>90506</v>
      </c>
      <c r="B905" s="1">
        <v>400817</v>
      </c>
    </row>
    <row r="906" spans="1:2" x14ac:dyDescent="0.3">
      <c r="A906" s="1">
        <v>90506</v>
      </c>
      <c r="B906" s="1">
        <v>400817</v>
      </c>
    </row>
    <row r="907" spans="1:2" x14ac:dyDescent="0.3">
      <c r="A907" s="1">
        <v>4421</v>
      </c>
      <c r="B907" s="1">
        <v>400078</v>
      </c>
    </row>
    <row r="908" spans="1:2" x14ac:dyDescent="0.3">
      <c r="A908" s="1">
        <v>4421</v>
      </c>
      <c r="B908" s="1">
        <v>400078</v>
      </c>
    </row>
    <row r="909" spans="1:2" x14ac:dyDescent="0.3">
      <c r="A909" s="1">
        <v>4421</v>
      </c>
      <c r="B909" s="1">
        <v>400078</v>
      </c>
    </row>
    <row r="910" spans="1:2" x14ac:dyDescent="0.3">
      <c r="A910" s="1">
        <v>4421</v>
      </c>
      <c r="B910" s="1">
        <v>400078</v>
      </c>
    </row>
    <row r="911" spans="1:2" x14ac:dyDescent="0.3">
      <c r="A911" s="1">
        <v>4421</v>
      </c>
      <c r="B911" s="1">
        <v>400078</v>
      </c>
    </row>
    <row r="912" spans="1:2" x14ac:dyDescent="0.3">
      <c r="A912" s="1">
        <v>79216</v>
      </c>
      <c r="B912" s="1">
        <v>400245</v>
      </c>
    </row>
    <row r="913" spans="1:2" x14ac:dyDescent="0.3">
      <c r="A913" s="1">
        <v>79216</v>
      </c>
      <c r="B913" s="1">
        <v>400245</v>
      </c>
    </row>
    <row r="914" spans="1:2" x14ac:dyDescent="0.3">
      <c r="A914" s="1">
        <v>79216</v>
      </c>
      <c r="B914" s="1">
        <v>400245</v>
      </c>
    </row>
    <row r="915" spans="1:2" x14ac:dyDescent="0.3">
      <c r="A915" s="1">
        <v>79981</v>
      </c>
      <c r="B915" s="1">
        <v>400653</v>
      </c>
    </row>
    <row r="916" spans="1:2" x14ac:dyDescent="0.3">
      <c r="A916" s="1">
        <v>79981</v>
      </c>
      <c r="B916" s="1">
        <v>400653</v>
      </c>
    </row>
    <row r="917" spans="1:2" x14ac:dyDescent="0.3">
      <c r="A917" s="1">
        <v>79981</v>
      </c>
      <c r="B917" s="1">
        <v>400653</v>
      </c>
    </row>
    <row r="918" spans="1:2" x14ac:dyDescent="0.3">
      <c r="A918" s="1">
        <v>81045</v>
      </c>
      <c r="B918" s="1">
        <v>400638</v>
      </c>
    </row>
    <row r="919" spans="1:2" x14ac:dyDescent="0.3">
      <c r="A919" s="1">
        <v>81045</v>
      </c>
      <c r="B919" s="1">
        <v>400638</v>
      </c>
    </row>
    <row r="920" spans="1:2" x14ac:dyDescent="0.3">
      <c r="A920" s="1">
        <v>81045</v>
      </c>
      <c r="B920" s="1">
        <v>400638</v>
      </c>
    </row>
    <row r="921" spans="1:2" x14ac:dyDescent="0.3">
      <c r="A921" s="1">
        <v>81043</v>
      </c>
      <c r="B921" s="1">
        <v>400637</v>
      </c>
    </row>
    <row r="922" spans="1:2" x14ac:dyDescent="0.3">
      <c r="A922" s="1">
        <v>81043</v>
      </c>
      <c r="B922" s="1">
        <v>400637</v>
      </c>
    </row>
    <row r="923" spans="1:2" x14ac:dyDescent="0.3">
      <c r="A923" s="1">
        <v>6446</v>
      </c>
      <c r="B923" s="1">
        <v>400244</v>
      </c>
    </row>
    <row r="924" spans="1:2" x14ac:dyDescent="0.3">
      <c r="A924" s="1">
        <v>6446</v>
      </c>
      <c r="B924" s="1">
        <v>400244</v>
      </c>
    </row>
    <row r="925" spans="1:2" x14ac:dyDescent="0.3">
      <c r="A925" s="1">
        <v>6446</v>
      </c>
      <c r="B925" s="1">
        <v>400244</v>
      </c>
    </row>
    <row r="926" spans="1:2" x14ac:dyDescent="0.3">
      <c r="A926" s="1">
        <v>4329</v>
      </c>
      <c r="B926" s="1">
        <v>400157</v>
      </c>
    </row>
    <row r="927" spans="1:2" x14ac:dyDescent="0.3">
      <c r="A927" s="1">
        <v>4329</v>
      </c>
      <c r="B927" s="1">
        <v>400157</v>
      </c>
    </row>
    <row r="928" spans="1:2" x14ac:dyDescent="0.3">
      <c r="A928" s="1">
        <v>4329</v>
      </c>
      <c r="B928" s="1">
        <v>400157</v>
      </c>
    </row>
    <row r="929" spans="1:2" x14ac:dyDescent="0.3">
      <c r="A929" s="1">
        <v>4329</v>
      </c>
      <c r="B929" s="1">
        <v>400157</v>
      </c>
    </row>
    <row r="930" spans="1:2" x14ac:dyDescent="0.3">
      <c r="A930" s="1">
        <v>92226</v>
      </c>
      <c r="B930" s="1">
        <v>400904</v>
      </c>
    </row>
    <row r="931" spans="1:2" x14ac:dyDescent="0.3">
      <c r="A931" s="1">
        <v>92226</v>
      </c>
      <c r="B931" s="1">
        <v>400904</v>
      </c>
    </row>
    <row r="932" spans="1:2" x14ac:dyDescent="0.3">
      <c r="A932" s="1">
        <v>81052</v>
      </c>
      <c r="B932" s="1">
        <v>400641</v>
      </c>
    </row>
    <row r="933" spans="1:2" x14ac:dyDescent="0.3">
      <c r="A933" s="1">
        <v>81052</v>
      </c>
      <c r="B933" s="1">
        <v>400641</v>
      </c>
    </row>
    <row r="934" spans="1:2" x14ac:dyDescent="0.3">
      <c r="A934" s="1">
        <v>81052</v>
      </c>
      <c r="B934" s="1">
        <v>400641</v>
      </c>
    </row>
    <row r="935" spans="1:2" x14ac:dyDescent="0.3">
      <c r="A935" s="1">
        <v>81052</v>
      </c>
      <c r="B935" s="1">
        <v>400641</v>
      </c>
    </row>
    <row r="936" spans="1:2" x14ac:dyDescent="0.3">
      <c r="A936" s="1">
        <v>81050</v>
      </c>
      <c r="B936" s="1">
        <v>400640</v>
      </c>
    </row>
    <row r="937" spans="1:2" x14ac:dyDescent="0.3">
      <c r="A937" s="1">
        <v>81050</v>
      </c>
      <c r="B937" s="1">
        <v>400640</v>
      </c>
    </row>
    <row r="938" spans="1:2" x14ac:dyDescent="0.3">
      <c r="A938" s="1">
        <v>79211</v>
      </c>
      <c r="B938" s="1">
        <v>400246</v>
      </c>
    </row>
    <row r="939" spans="1:2" x14ac:dyDescent="0.3">
      <c r="A939" s="1">
        <v>79211</v>
      </c>
      <c r="B939" s="1">
        <v>400246</v>
      </c>
    </row>
    <row r="940" spans="1:2" x14ac:dyDescent="0.3">
      <c r="A940" s="1">
        <v>81123</v>
      </c>
      <c r="B940" s="1">
        <v>400613</v>
      </c>
    </row>
    <row r="941" spans="1:2" x14ac:dyDescent="0.3">
      <c r="A941" s="1">
        <v>81123</v>
      </c>
      <c r="B941" s="1">
        <v>400613</v>
      </c>
    </row>
    <row r="942" spans="1:2" x14ac:dyDescent="0.3">
      <c r="A942" s="1">
        <v>81123</v>
      </c>
      <c r="B942" s="1">
        <v>400613</v>
      </c>
    </row>
    <row r="943" spans="1:2" x14ac:dyDescent="0.3">
      <c r="A943" s="1">
        <v>81123</v>
      </c>
      <c r="B943" s="1">
        <v>400613</v>
      </c>
    </row>
    <row r="944" spans="1:2" x14ac:dyDescent="0.3">
      <c r="A944" s="1">
        <v>90201</v>
      </c>
      <c r="B944" s="1">
        <v>400816</v>
      </c>
    </row>
    <row r="945" spans="1:2" x14ac:dyDescent="0.3">
      <c r="A945" s="1">
        <v>90201</v>
      </c>
      <c r="B945" s="1">
        <v>400816</v>
      </c>
    </row>
    <row r="946" spans="1:2" x14ac:dyDescent="0.3">
      <c r="A946" s="1">
        <v>90201</v>
      </c>
      <c r="B946" s="1">
        <v>400816</v>
      </c>
    </row>
    <row r="947" spans="1:2" x14ac:dyDescent="0.3">
      <c r="A947" s="1">
        <v>4341</v>
      </c>
      <c r="B947" s="1">
        <v>400055</v>
      </c>
    </row>
    <row r="948" spans="1:2" x14ac:dyDescent="0.3">
      <c r="A948" s="1">
        <v>4341</v>
      </c>
      <c r="B948" s="1">
        <v>400055</v>
      </c>
    </row>
    <row r="949" spans="1:2" x14ac:dyDescent="0.3">
      <c r="A949" s="1">
        <v>4341</v>
      </c>
      <c r="B949" s="1">
        <v>400055</v>
      </c>
    </row>
    <row r="950" spans="1:2" x14ac:dyDescent="0.3">
      <c r="A950" s="1">
        <v>89412</v>
      </c>
      <c r="B950" s="1">
        <v>400746</v>
      </c>
    </row>
    <row r="951" spans="1:2" x14ac:dyDescent="0.3">
      <c r="A951" s="1">
        <v>89412</v>
      </c>
      <c r="B951" s="1">
        <v>400746</v>
      </c>
    </row>
    <row r="952" spans="1:2" x14ac:dyDescent="0.3">
      <c r="A952" s="1">
        <v>89412</v>
      </c>
      <c r="B952" s="1">
        <v>400746</v>
      </c>
    </row>
    <row r="953" spans="1:2" x14ac:dyDescent="0.3">
      <c r="A953" s="1">
        <v>89412</v>
      </c>
      <c r="B953" s="1">
        <v>400746</v>
      </c>
    </row>
    <row r="954" spans="1:2" x14ac:dyDescent="0.3">
      <c r="A954" s="1">
        <v>79640</v>
      </c>
      <c r="B954" s="1">
        <v>400296</v>
      </c>
    </row>
    <row r="955" spans="1:2" x14ac:dyDescent="0.3">
      <c r="A955" s="1">
        <v>79640</v>
      </c>
      <c r="B955" s="1">
        <v>400296</v>
      </c>
    </row>
    <row r="956" spans="1:2" x14ac:dyDescent="0.3">
      <c r="A956" s="1">
        <v>87440</v>
      </c>
      <c r="B956" s="1">
        <v>400433</v>
      </c>
    </row>
    <row r="957" spans="1:2" x14ac:dyDescent="0.3">
      <c r="A957" s="1">
        <v>87440</v>
      </c>
      <c r="B957" s="1">
        <v>400433</v>
      </c>
    </row>
    <row r="958" spans="1:2" x14ac:dyDescent="0.3">
      <c r="A958" s="1">
        <v>4185</v>
      </c>
      <c r="B958" s="1">
        <v>402760</v>
      </c>
    </row>
    <row r="959" spans="1:2" x14ac:dyDescent="0.3">
      <c r="A959" s="1">
        <v>4185</v>
      </c>
      <c r="B959" s="1">
        <v>402760</v>
      </c>
    </row>
    <row r="960" spans="1:2" x14ac:dyDescent="0.3">
      <c r="A960" s="1">
        <v>4448</v>
      </c>
      <c r="B960" s="1">
        <v>402790</v>
      </c>
    </row>
    <row r="961" spans="1:2" x14ac:dyDescent="0.3">
      <c r="A961" s="1">
        <v>4448</v>
      </c>
      <c r="B961" s="1">
        <v>402790</v>
      </c>
    </row>
    <row r="962" spans="1:2" x14ac:dyDescent="0.3">
      <c r="A962" s="1">
        <v>4448</v>
      </c>
      <c r="B962" s="1">
        <v>402790</v>
      </c>
    </row>
    <row r="963" spans="1:2" x14ac:dyDescent="0.3">
      <c r="A963" s="1">
        <v>4448</v>
      </c>
      <c r="B963" s="1">
        <v>402790</v>
      </c>
    </row>
    <row r="964" spans="1:2" x14ac:dyDescent="0.3">
      <c r="A964" s="1">
        <v>4415</v>
      </c>
      <c r="B964" s="1">
        <v>402820</v>
      </c>
    </row>
    <row r="965" spans="1:2" x14ac:dyDescent="0.3">
      <c r="A965" s="1">
        <v>6375</v>
      </c>
      <c r="B965" s="1">
        <v>400133</v>
      </c>
    </row>
    <row r="966" spans="1:2" x14ac:dyDescent="0.3">
      <c r="A966" s="1">
        <v>6375</v>
      </c>
      <c r="B966" s="1">
        <v>400133</v>
      </c>
    </row>
    <row r="967" spans="1:2" x14ac:dyDescent="0.3">
      <c r="A967" s="1">
        <v>6375</v>
      </c>
      <c r="B967" s="1">
        <v>400133</v>
      </c>
    </row>
    <row r="968" spans="1:2" x14ac:dyDescent="0.3">
      <c r="A968" s="1">
        <v>91277</v>
      </c>
      <c r="B968" s="1">
        <v>400877</v>
      </c>
    </row>
    <row r="969" spans="1:2" x14ac:dyDescent="0.3">
      <c r="A969" s="1">
        <v>91277</v>
      </c>
      <c r="B969" s="1">
        <v>400877</v>
      </c>
    </row>
    <row r="970" spans="1:2" x14ac:dyDescent="0.3">
      <c r="A970" s="1">
        <v>87336</v>
      </c>
      <c r="B970" s="1">
        <v>400421</v>
      </c>
    </row>
    <row r="971" spans="1:2" x14ac:dyDescent="0.3">
      <c r="A971" s="1">
        <v>87336</v>
      </c>
      <c r="B971" s="1">
        <v>400421</v>
      </c>
    </row>
    <row r="972" spans="1:2" x14ac:dyDescent="0.3">
      <c r="A972" s="1">
        <v>4335</v>
      </c>
      <c r="B972" s="1">
        <v>400052</v>
      </c>
    </row>
    <row r="973" spans="1:2" x14ac:dyDescent="0.3">
      <c r="A973" s="1">
        <v>92250</v>
      </c>
      <c r="B973" s="1">
        <v>400895</v>
      </c>
    </row>
    <row r="974" spans="1:2" x14ac:dyDescent="0.3">
      <c r="A974" s="1">
        <v>4335</v>
      </c>
      <c r="B974" s="1">
        <v>400052</v>
      </c>
    </row>
    <row r="975" spans="1:2" x14ac:dyDescent="0.3">
      <c r="A975" s="1">
        <v>4335</v>
      </c>
      <c r="B975" s="1">
        <v>400052</v>
      </c>
    </row>
    <row r="976" spans="1:2" x14ac:dyDescent="0.3">
      <c r="A976" s="1">
        <v>92250</v>
      </c>
      <c r="B976" s="1">
        <v>400895</v>
      </c>
    </row>
    <row r="977" spans="1:2" x14ac:dyDescent="0.3">
      <c r="A977" s="1">
        <v>79214</v>
      </c>
      <c r="B977" s="1">
        <v>400235</v>
      </c>
    </row>
    <row r="978" spans="1:2" x14ac:dyDescent="0.3">
      <c r="A978" s="1">
        <v>79214</v>
      </c>
      <c r="B978" s="1">
        <v>400235</v>
      </c>
    </row>
    <row r="979" spans="1:2" x14ac:dyDescent="0.3">
      <c r="A979" s="1">
        <v>79214</v>
      </c>
      <c r="B979" s="1">
        <v>400235</v>
      </c>
    </row>
    <row r="980" spans="1:2" x14ac:dyDescent="0.3">
      <c r="A980" s="1">
        <v>78783</v>
      </c>
      <c r="B980" s="1">
        <v>400191</v>
      </c>
    </row>
    <row r="981" spans="1:2" x14ac:dyDescent="0.3">
      <c r="A981" s="1">
        <v>78783</v>
      </c>
      <c r="B981" s="1">
        <v>400191</v>
      </c>
    </row>
    <row r="982" spans="1:2" x14ac:dyDescent="0.3">
      <c r="A982" s="1">
        <v>4202</v>
      </c>
      <c r="B982" s="1">
        <v>400019</v>
      </c>
    </row>
    <row r="983" spans="1:2" x14ac:dyDescent="0.3">
      <c r="A983" s="1">
        <v>4202</v>
      </c>
      <c r="B983" s="1">
        <v>400019</v>
      </c>
    </row>
    <row r="984" spans="1:2" x14ac:dyDescent="0.3">
      <c r="A984" s="1">
        <v>4207</v>
      </c>
      <c r="B984" s="1">
        <v>400098</v>
      </c>
    </row>
    <row r="985" spans="1:2" x14ac:dyDescent="0.3">
      <c r="A985" s="1">
        <v>4207</v>
      </c>
      <c r="B985" s="1">
        <v>400098</v>
      </c>
    </row>
    <row r="986" spans="1:2" x14ac:dyDescent="0.3">
      <c r="A986" s="1">
        <v>4192</v>
      </c>
      <c r="B986" s="1">
        <v>402860</v>
      </c>
    </row>
    <row r="987" spans="1:2" x14ac:dyDescent="0.3">
      <c r="A987" s="1">
        <v>4192</v>
      </c>
      <c r="B987" s="1">
        <v>402860</v>
      </c>
    </row>
    <row r="988" spans="1:2" x14ac:dyDescent="0.3">
      <c r="A988" s="1">
        <v>4192</v>
      </c>
      <c r="B988" s="1">
        <v>402860</v>
      </c>
    </row>
    <row r="989" spans="1:2" x14ac:dyDescent="0.3">
      <c r="A989" s="1">
        <v>4192</v>
      </c>
      <c r="B989" s="1">
        <v>402860</v>
      </c>
    </row>
    <row r="990" spans="1:2" x14ac:dyDescent="0.3">
      <c r="A990" s="1">
        <v>4192</v>
      </c>
      <c r="B990" s="1">
        <v>402860</v>
      </c>
    </row>
    <row r="991" spans="1:2" x14ac:dyDescent="0.3">
      <c r="A991" s="1">
        <v>4192</v>
      </c>
      <c r="B991" s="1">
        <v>402860</v>
      </c>
    </row>
    <row r="992" spans="1:2" x14ac:dyDescent="0.3">
      <c r="A992" s="1">
        <v>4192</v>
      </c>
      <c r="B992" s="1">
        <v>402860</v>
      </c>
    </row>
    <row r="993" spans="1:2" x14ac:dyDescent="0.3">
      <c r="A993" s="1">
        <v>4192</v>
      </c>
      <c r="B993" s="1">
        <v>402860</v>
      </c>
    </row>
    <row r="994" spans="1:2" x14ac:dyDescent="0.3">
      <c r="A994" s="1">
        <v>4192</v>
      </c>
      <c r="B994" s="1">
        <v>402860</v>
      </c>
    </row>
    <row r="995" spans="1:2" x14ac:dyDescent="0.3">
      <c r="A995" s="1">
        <v>4192</v>
      </c>
      <c r="B995" s="1">
        <v>402860</v>
      </c>
    </row>
    <row r="996" spans="1:2" x14ac:dyDescent="0.3">
      <c r="A996" s="1">
        <v>4192</v>
      </c>
      <c r="B996" s="1">
        <v>402860</v>
      </c>
    </row>
    <row r="997" spans="1:2" x14ac:dyDescent="0.3">
      <c r="A997" s="1">
        <v>4192</v>
      </c>
      <c r="B997" s="1">
        <v>402860</v>
      </c>
    </row>
    <row r="998" spans="1:2" x14ac:dyDescent="0.3">
      <c r="A998" s="1">
        <v>4192</v>
      </c>
      <c r="B998" s="1">
        <v>402860</v>
      </c>
    </row>
    <row r="999" spans="1:2" x14ac:dyDescent="0.3">
      <c r="A999" s="1">
        <v>4192</v>
      </c>
      <c r="B999" s="1">
        <v>402860</v>
      </c>
    </row>
    <row r="1000" spans="1:2" x14ac:dyDescent="0.3">
      <c r="A1000" s="1">
        <v>4192</v>
      </c>
      <c r="B1000" s="1">
        <v>402860</v>
      </c>
    </row>
    <row r="1001" spans="1:2" x14ac:dyDescent="0.3">
      <c r="A1001" s="1">
        <v>4192</v>
      </c>
      <c r="B1001" s="1">
        <v>402860</v>
      </c>
    </row>
    <row r="1002" spans="1:2" x14ac:dyDescent="0.3">
      <c r="A1002" s="1">
        <v>4192</v>
      </c>
      <c r="B1002" s="1">
        <v>402860</v>
      </c>
    </row>
    <row r="1003" spans="1:2" x14ac:dyDescent="0.3">
      <c r="A1003" s="1">
        <v>4192</v>
      </c>
      <c r="B1003" s="1">
        <v>402860</v>
      </c>
    </row>
    <row r="1004" spans="1:2" x14ac:dyDescent="0.3">
      <c r="A1004" s="1">
        <v>4192</v>
      </c>
      <c r="B1004" s="1">
        <v>402860</v>
      </c>
    </row>
    <row r="1005" spans="1:2" x14ac:dyDescent="0.3">
      <c r="A1005" s="1">
        <v>4192</v>
      </c>
      <c r="B1005" s="1">
        <v>402860</v>
      </c>
    </row>
    <row r="1006" spans="1:2" x14ac:dyDescent="0.3">
      <c r="A1006" s="1">
        <v>4192</v>
      </c>
      <c r="B1006" s="1">
        <v>402860</v>
      </c>
    </row>
    <row r="1007" spans="1:2" x14ac:dyDescent="0.3">
      <c r="A1007" s="1">
        <v>4300</v>
      </c>
      <c r="B1007" s="1">
        <v>400144</v>
      </c>
    </row>
    <row r="1008" spans="1:2" x14ac:dyDescent="0.3">
      <c r="A1008" s="1">
        <v>4300</v>
      </c>
      <c r="B1008" s="1">
        <v>400144</v>
      </c>
    </row>
    <row r="1009" spans="1:2" x14ac:dyDescent="0.3">
      <c r="A1009" s="1">
        <v>4437</v>
      </c>
      <c r="B1009" s="1">
        <v>402920</v>
      </c>
    </row>
    <row r="1010" spans="1:2" x14ac:dyDescent="0.3">
      <c r="A1010" s="1">
        <v>4437</v>
      </c>
      <c r="B1010" s="1">
        <v>402920</v>
      </c>
    </row>
    <row r="1011" spans="1:2" x14ac:dyDescent="0.3">
      <c r="A1011" s="1">
        <v>4437</v>
      </c>
      <c r="B1011" s="1">
        <v>402920</v>
      </c>
    </row>
    <row r="1012" spans="1:2" x14ac:dyDescent="0.3">
      <c r="A1012" s="1">
        <v>4437</v>
      </c>
      <c r="B1012" s="1">
        <v>402920</v>
      </c>
    </row>
    <row r="1013" spans="1:2" x14ac:dyDescent="0.3">
      <c r="A1013" s="1">
        <v>4437</v>
      </c>
      <c r="B1013" s="1">
        <v>402920</v>
      </c>
    </row>
    <row r="1014" spans="1:2" x14ac:dyDescent="0.3">
      <c r="A1014" s="1">
        <v>4437</v>
      </c>
      <c r="B1014" s="1">
        <v>402920</v>
      </c>
    </row>
    <row r="1015" spans="1:2" x14ac:dyDescent="0.3">
      <c r="A1015" s="1">
        <v>4437</v>
      </c>
      <c r="B1015" s="1">
        <v>402920</v>
      </c>
    </row>
    <row r="1016" spans="1:2" x14ac:dyDescent="0.3">
      <c r="A1016" s="1">
        <v>4437</v>
      </c>
      <c r="B1016" s="1">
        <v>402920</v>
      </c>
    </row>
    <row r="1017" spans="1:2" x14ac:dyDescent="0.3">
      <c r="A1017" s="1">
        <v>4437</v>
      </c>
      <c r="B1017" s="1">
        <v>402920</v>
      </c>
    </row>
    <row r="1018" spans="1:2" x14ac:dyDescent="0.3">
      <c r="A1018" s="1">
        <v>4437</v>
      </c>
      <c r="B1018" s="1">
        <v>402920</v>
      </c>
    </row>
    <row r="1019" spans="1:2" x14ac:dyDescent="0.3">
      <c r="A1019" s="1">
        <v>4437</v>
      </c>
      <c r="B1019" s="1">
        <v>402920</v>
      </c>
    </row>
    <row r="1020" spans="1:2" x14ac:dyDescent="0.3">
      <c r="A1020" s="1">
        <v>4437</v>
      </c>
      <c r="B1020" s="1">
        <v>402920</v>
      </c>
    </row>
    <row r="1021" spans="1:2" x14ac:dyDescent="0.3">
      <c r="A1021" s="1">
        <v>4437</v>
      </c>
      <c r="B1021" s="1">
        <v>402920</v>
      </c>
    </row>
    <row r="1022" spans="1:2" x14ac:dyDescent="0.3">
      <c r="A1022" s="1">
        <v>4405</v>
      </c>
      <c r="B1022" s="1">
        <v>403010</v>
      </c>
    </row>
    <row r="1023" spans="1:2" x14ac:dyDescent="0.3">
      <c r="A1023" s="1">
        <v>4405</v>
      </c>
      <c r="B1023" s="1">
        <v>403010</v>
      </c>
    </row>
    <row r="1024" spans="1:2" x14ac:dyDescent="0.3">
      <c r="A1024" s="1">
        <v>4405</v>
      </c>
      <c r="B1024" s="1">
        <v>403010</v>
      </c>
    </row>
    <row r="1025" spans="1:2" x14ac:dyDescent="0.3">
      <c r="A1025" s="1">
        <v>4405</v>
      </c>
      <c r="B1025" s="1">
        <v>403010</v>
      </c>
    </row>
    <row r="1026" spans="1:2" x14ac:dyDescent="0.3">
      <c r="A1026" s="1">
        <v>4405</v>
      </c>
      <c r="B1026" s="1">
        <v>403010</v>
      </c>
    </row>
    <row r="1027" spans="1:2" x14ac:dyDescent="0.3">
      <c r="A1027" s="1">
        <v>4405</v>
      </c>
      <c r="B1027" s="1">
        <v>403010</v>
      </c>
    </row>
    <row r="1028" spans="1:2" x14ac:dyDescent="0.3">
      <c r="A1028" s="1">
        <v>4405</v>
      </c>
      <c r="B1028" s="1">
        <v>403010</v>
      </c>
    </row>
    <row r="1029" spans="1:2" x14ac:dyDescent="0.3">
      <c r="A1029" s="1">
        <v>4405</v>
      </c>
      <c r="B1029" s="1">
        <v>403010</v>
      </c>
    </row>
    <row r="1030" spans="1:2" x14ac:dyDescent="0.3">
      <c r="A1030" s="1">
        <v>4405</v>
      </c>
      <c r="B1030" s="1">
        <v>403010</v>
      </c>
    </row>
    <row r="1031" spans="1:2" x14ac:dyDescent="0.3">
      <c r="A1031" s="1">
        <v>4405</v>
      </c>
      <c r="B1031" s="1">
        <v>403010</v>
      </c>
    </row>
    <row r="1032" spans="1:2" x14ac:dyDescent="0.3">
      <c r="A1032" s="1">
        <v>4405</v>
      </c>
      <c r="B1032" s="1">
        <v>403010</v>
      </c>
    </row>
    <row r="1033" spans="1:2" x14ac:dyDescent="0.3">
      <c r="A1033" s="1">
        <v>4405</v>
      </c>
      <c r="B1033" s="1">
        <v>403010</v>
      </c>
    </row>
    <row r="1034" spans="1:2" x14ac:dyDescent="0.3">
      <c r="A1034" s="1">
        <v>4309</v>
      </c>
      <c r="B1034" s="1">
        <v>400036</v>
      </c>
    </row>
    <row r="1035" spans="1:2" x14ac:dyDescent="0.3">
      <c r="A1035" s="1">
        <v>4309</v>
      </c>
      <c r="B1035" s="1">
        <v>400036</v>
      </c>
    </row>
    <row r="1036" spans="1:2" x14ac:dyDescent="0.3">
      <c r="A1036" s="1">
        <v>4183</v>
      </c>
      <c r="B1036" s="1">
        <v>403030</v>
      </c>
    </row>
    <row r="1037" spans="1:2" x14ac:dyDescent="0.3">
      <c r="A1037" s="1">
        <v>4167</v>
      </c>
      <c r="B1037" s="1">
        <v>403150</v>
      </c>
    </row>
    <row r="1038" spans="1:2" x14ac:dyDescent="0.3">
      <c r="A1038" s="1">
        <v>4167</v>
      </c>
      <c r="B1038" s="1">
        <v>403150</v>
      </c>
    </row>
    <row r="1039" spans="1:2" x14ac:dyDescent="0.3">
      <c r="A1039" s="1">
        <v>4167</v>
      </c>
      <c r="B1039" s="1">
        <v>403150</v>
      </c>
    </row>
    <row r="1040" spans="1:2" x14ac:dyDescent="0.3">
      <c r="A1040" s="1">
        <v>4167</v>
      </c>
      <c r="B1040" s="1">
        <v>403150</v>
      </c>
    </row>
    <row r="1041" spans="1:2" x14ac:dyDescent="0.3">
      <c r="A1041" s="1">
        <v>4221</v>
      </c>
      <c r="B1041" s="1">
        <v>403200</v>
      </c>
    </row>
    <row r="1042" spans="1:2" x14ac:dyDescent="0.3">
      <c r="A1042" s="1">
        <v>4221</v>
      </c>
      <c r="B1042" s="1">
        <v>403200</v>
      </c>
    </row>
    <row r="1043" spans="1:2" x14ac:dyDescent="0.3">
      <c r="A1043" s="1">
        <v>4221</v>
      </c>
      <c r="B1043" s="1">
        <v>403200</v>
      </c>
    </row>
    <row r="1044" spans="1:2" x14ac:dyDescent="0.3">
      <c r="A1044" s="1">
        <v>4221</v>
      </c>
      <c r="B1044" s="1">
        <v>403200</v>
      </c>
    </row>
    <row r="1045" spans="1:2" x14ac:dyDescent="0.3">
      <c r="A1045" s="1">
        <v>79973</v>
      </c>
      <c r="B1045" s="1">
        <v>400398</v>
      </c>
    </row>
    <row r="1046" spans="1:2" x14ac:dyDescent="0.3">
      <c r="A1046" s="1">
        <v>79973</v>
      </c>
      <c r="B1046" s="1">
        <v>400398</v>
      </c>
    </row>
    <row r="1047" spans="1:2" x14ac:dyDescent="0.3">
      <c r="A1047" s="1">
        <v>4356</v>
      </c>
      <c r="B1047" s="1">
        <v>400113</v>
      </c>
    </row>
    <row r="1048" spans="1:2" x14ac:dyDescent="0.3">
      <c r="A1048" s="1">
        <v>4356</v>
      </c>
      <c r="B1048" s="1">
        <v>400113</v>
      </c>
    </row>
    <row r="1049" spans="1:2" x14ac:dyDescent="0.3">
      <c r="A1049" s="1">
        <v>4247</v>
      </c>
      <c r="B1049" s="1">
        <v>403040</v>
      </c>
    </row>
    <row r="1050" spans="1:2" x14ac:dyDescent="0.3">
      <c r="A1050" s="1">
        <v>4247</v>
      </c>
      <c r="B1050" s="1">
        <v>403040</v>
      </c>
    </row>
    <row r="1051" spans="1:2" x14ac:dyDescent="0.3">
      <c r="A1051" s="1">
        <v>4247</v>
      </c>
      <c r="B1051" s="1">
        <v>403040</v>
      </c>
    </row>
    <row r="1052" spans="1:2" x14ac:dyDescent="0.3">
      <c r="A1052" s="1">
        <v>4247</v>
      </c>
      <c r="B1052" s="1">
        <v>403040</v>
      </c>
    </row>
    <row r="1053" spans="1:2" x14ac:dyDescent="0.3">
      <c r="A1053" s="1">
        <v>4247</v>
      </c>
      <c r="B1053" s="1">
        <v>403040</v>
      </c>
    </row>
    <row r="1054" spans="1:2" x14ac:dyDescent="0.3">
      <c r="A1054" s="1">
        <v>4247</v>
      </c>
      <c r="B1054" s="1">
        <v>403040</v>
      </c>
    </row>
    <row r="1055" spans="1:2" x14ac:dyDescent="0.3">
      <c r="A1055" s="1">
        <v>4273</v>
      </c>
      <c r="B1055" s="1">
        <v>403060</v>
      </c>
    </row>
    <row r="1056" spans="1:2" x14ac:dyDescent="0.3">
      <c r="A1056" s="1">
        <v>4273</v>
      </c>
      <c r="B1056" s="1">
        <v>403060</v>
      </c>
    </row>
    <row r="1057" spans="1:2" x14ac:dyDescent="0.3">
      <c r="A1057" s="1">
        <v>4273</v>
      </c>
      <c r="B1057" s="1">
        <v>403060</v>
      </c>
    </row>
    <row r="1058" spans="1:2" x14ac:dyDescent="0.3">
      <c r="A1058" s="1">
        <v>4273</v>
      </c>
      <c r="B1058" s="1">
        <v>403060</v>
      </c>
    </row>
    <row r="1059" spans="1:2" x14ac:dyDescent="0.3">
      <c r="A1059" s="1">
        <v>4273</v>
      </c>
      <c r="B1059" s="1">
        <v>403060</v>
      </c>
    </row>
    <row r="1060" spans="1:2" x14ac:dyDescent="0.3">
      <c r="A1060" s="1">
        <v>4273</v>
      </c>
      <c r="B1060" s="1">
        <v>403060</v>
      </c>
    </row>
    <row r="1061" spans="1:2" x14ac:dyDescent="0.3">
      <c r="A1061" s="1">
        <v>4273</v>
      </c>
      <c r="B1061" s="1">
        <v>403060</v>
      </c>
    </row>
    <row r="1062" spans="1:2" x14ac:dyDescent="0.3">
      <c r="A1062" s="1">
        <v>4273</v>
      </c>
      <c r="B1062" s="1">
        <v>403060</v>
      </c>
    </row>
    <row r="1063" spans="1:2" x14ac:dyDescent="0.3">
      <c r="A1063" s="1">
        <v>4495</v>
      </c>
      <c r="B1063" s="1">
        <v>400092</v>
      </c>
    </row>
    <row r="1064" spans="1:2" x14ac:dyDescent="0.3">
      <c r="A1064" s="1">
        <v>4495</v>
      </c>
      <c r="B1064" s="1">
        <v>400092</v>
      </c>
    </row>
    <row r="1065" spans="1:2" x14ac:dyDescent="0.3">
      <c r="A1065" s="1">
        <v>4195</v>
      </c>
      <c r="B1065" s="1">
        <v>403080</v>
      </c>
    </row>
    <row r="1066" spans="1:2" x14ac:dyDescent="0.3">
      <c r="A1066" s="1">
        <v>4195</v>
      </c>
      <c r="B1066" s="1">
        <v>403080</v>
      </c>
    </row>
    <row r="1067" spans="1:2" x14ac:dyDescent="0.3">
      <c r="A1067" s="1">
        <v>4195</v>
      </c>
      <c r="B1067" s="1">
        <v>403080</v>
      </c>
    </row>
    <row r="1068" spans="1:2" x14ac:dyDescent="0.3">
      <c r="A1068" s="1">
        <v>4195</v>
      </c>
      <c r="B1068" s="1">
        <v>403080</v>
      </c>
    </row>
    <row r="1069" spans="1:2" x14ac:dyDescent="0.3">
      <c r="A1069" s="1">
        <v>89506</v>
      </c>
      <c r="B1069" s="1">
        <v>400755</v>
      </c>
    </row>
    <row r="1070" spans="1:2" x14ac:dyDescent="0.3">
      <c r="A1070" s="1">
        <v>89506</v>
      </c>
      <c r="B1070" s="1">
        <v>400755</v>
      </c>
    </row>
    <row r="1071" spans="1:2" x14ac:dyDescent="0.3">
      <c r="A1071" s="1">
        <v>89506</v>
      </c>
      <c r="B1071" s="1">
        <v>400755</v>
      </c>
    </row>
    <row r="1072" spans="1:2" x14ac:dyDescent="0.3">
      <c r="A1072" s="1">
        <v>4303</v>
      </c>
      <c r="B1072" s="1">
        <v>400102</v>
      </c>
    </row>
    <row r="1073" spans="1:2" x14ac:dyDescent="0.3">
      <c r="A1073" s="1">
        <v>4303</v>
      </c>
      <c r="B1073" s="1">
        <v>400102</v>
      </c>
    </row>
    <row r="1074" spans="1:2" x14ac:dyDescent="0.3">
      <c r="A1074" s="1">
        <v>4505</v>
      </c>
      <c r="B1074" s="1">
        <v>403240</v>
      </c>
    </row>
    <row r="1075" spans="1:2" x14ac:dyDescent="0.3">
      <c r="A1075" s="1">
        <v>4505</v>
      </c>
      <c r="B1075" s="1">
        <v>403240</v>
      </c>
    </row>
    <row r="1076" spans="1:2" x14ac:dyDescent="0.3">
      <c r="A1076" s="1">
        <v>4505</v>
      </c>
      <c r="B1076" s="1">
        <v>403240</v>
      </c>
    </row>
    <row r="1077" spans="1:2" x14ac:dyDescent="0.3">
      <c r="A1077" s="1">
        <v>4505</v>
      </c>
      <c r="B1077" s="1">
        <v>403240</v>
      </c>
    </row>
    <row r="1078" spans="1:2" x14ac:dyDescent="0.3">
      <c r="A1078" s="1">
        <v>4505</v>
      </c>
      <c r="B1078" s="1">
        <v>403240</v>
      </c>
    </row>
    <row r="1079" spans="1:2" x14ac:dyDescent="0.3">
      <c r="A1079" s="1">
        <v>4505</v>
      </c>
      <c r="B1079" s="1">
        <v>403240</v>
      </c>
    </row>
    <row r="1080" spans="1:2" x14ac:dyDescent="0.3">
      <c r="A1080" s="1">
        <v>4505</v>
      </c>
      <c r="B1080" s="1">
        <v>403240</v>
      </c>
    </row>
    <row r="1081" spans="1:2" x14ac:dyDescent="0.3">
      <c r="A1081" s="1">
        <v>4505</v>
      </c>
      <c r="B1081" s="1">
        <v>403240</v>
      </c>
    </row>
    <row r="1082" spans="1:2" x14ac:dyDescent="0.3">
      <c r="A1082" s="1">
        <v>4505</v>
      </c>
      <c r="B1082" s="1">
        <v>403240</v>
      </c>
    </row>
    <row r="1083" spans="1:2" x14ac:dyDescent="0.3">
      <c r="A1083" s="1">
        <v>4505</v>
      </c>
      <c r="B1083" s="1">
        <v>403240</v>
      </c>
    </row>
    <row r="1084" spans="1:2" x14ac:dyDescent="0.3">
      <c r="A1084" s="1">
        <v>4157</v>
      </c>
      <c r="B1084" s="1">
        <v>403290</v>
      </c>
    </row>
    <row r="1085" spans="1:2" x14ac:dyDescent="0.3">
      <c r="A1085" s="1">
        <v>4157</v>
      </c>
      <c r="B1085" s="1">
        <v>403290</v>
      </c>
    </row>
    <row r="1086" spans="1:2" x14ac:dyDescent="0.3">
      <c r="A1086" s="1">
        <v>4157</v>
      </c>
      <c r="B1086" s="1">
        <v>403290</v>
      </c>
    </row>
    <row r="1087" spans="1:2" x14ac:dyDescent="0.3">
      <c r="A1087" s="1">
        <v>4157</v>
      </c>
      <c r="B1087" s="1">
        <v>403290</v>
      </c>
    </row>
    <row r="1088" spans="1:2" x14ac:dyDescent="0.3">
      <c r="A1088" s="1">
        <v>4157</v>
      </c>
      <c r="B1088" s="1">
        <v>403290</v>
      </c>
    </row>
    <row r="1089" spans="1:2" x14ac:dyDescent="0.3">
      <c r="A1089" s="1">
        <v>78997</v>
      </c>
      <c r="B1089" s="1">
        <v>400273</v>
      </c>
    </row>
    <row r="1090" spans="1:2" x14ac:dyDescent="0.3">
      <c r="A1090" s="1">
        <v>78997</v>
      </c>
      <c r="B1090" s="1">
        <v>400273</v>
      </c>
    </row>
    <row r="1091" spans="1:2" x14ac:dyDescent="0.3">
      <c r="A1091" s="1">
        <v>78997</v>
      </c>
      <c r="B1091" s="1">
        <v>400273</v>
      </c>
    </row>
    <row r="1092" spans="1:2" x14ac:dyDescent="0.3">
      <c r="A1092" s="1">
        <v>78997</v>
      </c>
      <c r="B1092" s="1">
        <v>400273</v>
      </c>
    </row>
    <row r="1093" spans="1:2" x14ac:dyDescent="0.3">
      <c r="A1093" s="1">
        <v>6372</v>
      </c>
      <c r="B1093" s="1">
        <v>400145</v>
      </c>
    </row>
    <row r="1094" spans="1:2" x14ac:dyDescent="0.3">
      <c r="A1094" s="1">
        <v>6372</v>
      </c>
      <c r="B1094" s="1">
        <v>400145</v>
      </c>
    </row>
    <row r="1095" spans="1:2" x14ac:dyDescent="0.3">
      <c r="A1095" s="1">
        <v>4332</v>
      </c>
      <c r="B1095" s="1">
        <v>400124</v>
      </c>
    </row>
    <row r="1096" spans="1:2" x14ac:dyDescent="0.3">
      <c r="A1096" s="1">
        <v>4332</v>
      </c>
      <c r="B1096" s="1">
        <v>400124</v>
      </c>
    </row>
    <row r="1097" spans="1:2" x14ac:dyDescent="0.3">
      <c r="A1097" s="1">
        <v>90884</v>
      </c>
      <c r="B1097" s="1">
        <v>400876</v>
      </c>
    </row>
    <row r="1098" spans="1:2" x14ac:dyDescent="0.3">
      <c r="A1098" s="1">
        <v>90884</v>
      </c>
      <c r="B1098" s="1">
        <v>400876</v>
      </c>
    </row>
    <row r="1099" spans="1:2" x14ac:dyDescent="0.3">
      <c r="A1099" s="1">
        <v>4238</v>
      </c>
      <c r="B1099" s="1">
        <v>403310</v>
      </c>
    </row>
    <row r="1100" spans="1:2" x14ac:dyDescent="0.3">
      <c r="A1100" s="1">
        <v>4238</v>
      </c>
      <c r="B1100" s="1">
        <v>403310</v>
      </c>
    </row>
    <row r="1101" spans="1:2" x14ac:dyDescent="0.3">
      <c r="A1101" s="1">
        <v>4238</v>
      </c>
      <c r="B1101" s="1">
        <v>403310</v>
      </c>
    </row>
    <row r="1102" spans="1:2" x14ac:dyDescent="0.3">
      <c r="A1102" s="1">
        <v>79494</v>
      </c>
      <c r="B1102" s="1">
        <v>400767</v>
      </c>
    </row>
    <row r="1103" spans="1:2" x14ac:dyDescent="0.3">
      <c r="A1103" s="1">
        <v>79494</v>
      </c>
      <c r="B1103" s="1">
        <v>400767</v>
      </c>
    </row>
    <row r="1104" spans="1:2" x14ac:dyDescent="0.3">
      <c r="A1104" s="1">
        <v>87600</v>
      </c>
      <c r="B1104" s="1">
        <v>400419</v>
      </c>
    </row>
    <row r="1105" spans="1:2" x14ac:dyDescent="0.3">
      <c r="A1105" s="1">
        <v>87600</v>
      </c>
      <c r="B1105" s="1">
        <v>400419</v>
      </c>
    </row>
    <row r="1106" spans="1:2" x14ac:dyDescent="0.3">
      <c r="A1106" s="1">
        <v>87600</v>
      </c>
      <c r="B1106" s="1">
        <v>400419</v>
      </c>
    </row>
    <row r="1107" spans="1:2" x14ac:dyDescent="0.3">
      <c r="A1107" s="1">
        <v>87600</v>
      </c>
      <c r="B1107" s="1">
        <v>400419</v>
      </c>
    </row>
    <row r="1108" spans="1:2" x14ac:dyDescent="0.3">
      <c r="A1108" s="1">
        <v>79544</v>
      </c>
      <c r="B1108" s="1">
        <v>400765</v>
      </c>
    </row>
    <row r="1109" spans="1:2" x14ac:dyDescent="0.3">
      <c r="A1109" s="1">
        <v>79544</v>
      </c>
      <c r="B1109" s="1">
        <v>400765</v>
      </c>
    </row>
    <row r="1110" spans="1:2" x14ac:dyDescent="0.3">
      <c r="A1110" s="1">
        <v>79387</v>
      </c>
      <c r="B1110" s="1">
        <v>400349</v>
      </c>
    </row>
    <row r="1111" spans="1:2" x14ac:dyDescent="0.3">
      <c r="A1111" s="1">
        <v>79387</v>
      </c>
      <c r="B1111" s="1">
        <v>400349</v>
      </c>
    </row>
    <row r="1112" spans="1:2" x14ac:dyDescent="0.3">
      <c r="A1112" s="1">
        <v>79387</v>
      </c>
      <c r="B1112" s="1">
        <v>400349</v>
      </c>
    </row>
    <row r="1113" spans="1:2" x14ac:dyDescent="0.3">
      <c r="A1113" s="1">
        <v>79387</v>
      </c>
      <c r="B1113" s="1">
        <v>400349</v>
      </c>
    </row>
    <row r="1114" spans="1:2" x14ac:dyDescent="0.3">
      <c r="A1114" s="1">
        <v>79387</v>
      </c>
      <c r="B1114" s="1">
        <v>400349</v>
      </c>
    </row>
    <row r="1115" spans="1:2" x14ac:dyDescent="0.3">
      <c r="A1115" s="1">
        <v>79387</v>
      </c>
      <c r="B1115" s="1">
        <v>400349</v>
      </c>
    </row>
    <row r="1116" spans="1:2" x14ac:dyDescent="0.3">
      <c r="A1116" s="1">
        <v>79387</v>
      </c>
      <c r="B1116" s="1">
        <v>400349</v>
      </c>
    </row>
    <row r="1117" spans="1:2" x14ac:dyDescent="0.3">
      <c r="A1117" s="1">
        <v>79387</v>
      </c>
      <c r="B1117" s="1">
        <v>400349</v>
      </c>
    </row>
    <row r="1118" spans="1:2" x14ac:dyDescent="0.3">
      <c r="A1118" s="1">
        <v>79387</v>
      </c>
      <c r="B1118" s="1">
        <v>400349</v>
      </c>
    </row>
    <row r="1119" spans="1:2" x14ac:dyDescent="0.3">
      <c r="A1119" s="1">
        <v>79387</v>
      </c>
      <c r="B1119" s="1">
        <v>400349</v>
      </c>
    </row>
    <row r="1120" spans="1:2" x14ac:dyDescent="0.3">
      <c r="A1120" s="1">
        <v>4239</v>
      </c>
      <c r="B1120" s="1">
        <v>403400</v>
      </c>
    </row>
    <row r="1121" spans="1:2" x14ac:dyDescent="0.3">
      <c r="A1121" s="1">
        <v>4239</v>
      </c>
      <c r="B1121" s="1">
        <v>403400</v>
      </c>
    </row>
    <row r="1122" spans="1:2" x14ac:dyDescent="0.3">
      <c r="A1122" s="1">
        <v>4239</v>
      </c>
      <c r="B1122" s="1">
        <v>403400</v>
      </c>
    </row>
    <row r="1123" spans="1:2" x14ac:dyDescent="0.3">
      <c r="A1123" s="1">
        <v>4239</v>
      </c>
      <c r="B1123" s="1">
        <v>403400</v>
      </c>
    </row>
    <row r="1124" spans="1:2" x14ac:dyDescent="0.3">
      <c r="A1124" s="1">
        <v>4239</v>
      </c>
      <c r="B1124" s="1">
        <v>403400</v>
      </c>
    </row>
    <row r="1125" spans="1:2" x14ac:dyDescent="0.3">
      <c r="A1125" s="1">
        <v>4239</v>
      </c>
      <c r="B1125" s="1">
        <v>403400</v>
      </c>
    </row>
    <row r="1126" spans="1:2" x14ac:dyDescent="0.3">
      <c r="A1126" s="1">
        <v>4239</v>
      </c>
      <c r="B1126" s="1">
        <v>403400</v>
      </c>
    </row>
    <row r="1127" spans="1:2" x14ac:dyDescent="0.3">
      <c r="A1127" s="1">
        <v>4239</v>
      </c>
      <c r="B1127" s="1">
        <v>403400</v>
      </c>
    </row>
    <row r="1128" spans="1:2" x14ac:dyDescent="0.3">
      <c r="A1128" s="1">
        <v>4239</v>
      </c>
      <c r="B1128" s="1">
        <v>403400</v>
      </c>
    </row>
    <row r="1129" spans="1:2" x14ac:dyDescent="0.3">
      <c r="A1129" s="1">
        <v>4239</v>
      </c>
      <c r="B1129" s="1">
        <v>403400</v>
      </c>
    </row>
    <row r="1130" spans="1:2" x14ac:dyDescent="0.3">
      <c r="A1130" s="1">
        <v>4239</v>
      </c>
      <c r="B1130" s="1">
        <v>403400</v>
      </c>
    </row>
    <row r="1131" spans="1:2" x14ac:dyDescent="0.3">
      <c r="A1131" s="1">
        <v>4239</v>
      </c>
      <c r="B1131" s="1">
        <v>403400</v>
      </c>
    </row>
    <row r="1132" spans="1:2" x14ac:dyDescent="0.3">
      <c r="A1132" s="1">
        <v>4239</v>
      </c>
      <c r="B1132" s="1">
        <v>403400</v>
      </c>
    </row>
    <row r="1133" spans="1:2" x14ac:dyDescent="0.3">
      <c r="A1133" s="1">
        <v>4239</v>
      </c>
      <c r="B1133" s="1">
        <v>403400</v>
      </c>
    </row>
    <row r="1134" spans="1:2" x14ac:dyDescent="0.3">
      <c r="A1134" s="1">
        <v>4239</v>
      </c>
      <c r="B1134" s="1">
        <v>403400</v>
      </c>
    </row>
    <row r="1135" spans="1:2" x14ac:dyDescent="0.3">
      <c r="A1135" s="1">
        <v>4239</v>
      </c>
      <c r="B1135" s="1">
        <v>403400</v>
      </c>
    </row>
    <row r="1136" spans="1:2" x14ac:dyDescent="0.3">
      <c r="A1136" s="1">
        <v>4239</v>
      </c>
      <c r="B1136" s="1">
        <v>403400</v>
      </c>
    </row>
    <row r="1137" spans="1:2" x14ac:dyDescent="0.3">
      <c r="A1137" s="1">
        <v>4239</v>
      </c>
      <c r="B1137" s="1">
        <v>403400</v>
      </c>
    </row>
    <row r="1138" spans="1:2" x14ac:dyDescent="0.3">
      <c r="A1138" s="1">
        <v>4239</v>
      </c>
      <c r="B1138" s="1">
        <v>403400</v>
      </c>
    </row>
    <row r="1139" spans="1:2" x14ac:dyDescent="0.3">
      <c r="A1139" s="1">
        <v>4239</v>
      </c>
      <c r="B1139" s="1">
        <v>403400</v>
      </c>
    </row>
    <row r="1140" spans="1:2" x14ac:dyDescent="0.3">
      <c r="A1140" s="1">
        <v>4239</v>
      </c>
      <c r="B1140" s="1">
        <v>403400</v>
      </c>
    </row>
    <row r="1141" spans="1:2" x14ac:dyDescent="0.3">
      <c r="A1141" s="1">
        <v>4239</v>
      </c>
      <c r="B1141" s="1">
        <v>403400</v>
      </c>
    </row>
    <row r="1142" spans="1:2" x14ac:dyDescent="0.3">
      <c r="A1142" s="1">
        <v>4239</v>
      </c>
      <c r="B1142" s="1">
        <v>403400</v>
      </c>
    </row>
    <row r="1143" spans="1:2" x14ac:dyDescent="0.3">
      <c r="A1143" s="1">
        <v>4239</v>
      </c>
      <c r="B1143" s="1">
        <v>403400</v>
      </c>
    </row>
    <row r="1144" spans="1:2" x14ac:dyDescent="0.3">
      <c r="A1144" s="1">
        <v>4239</v>
      </c>
      <c r="B1144" s="1">
        <v>403400</v>
      </c>
    </row>
    <row r="1145" spans="1:2" x14ac:dyDescent="0.3">
      <c r="A1145" s="1">
        <v>4239</v>
      </c>
      <c r="B1145" s="1">
        <v>403400</v>
      </c>
    </row>
    <row r="1146" spans="1:2" x14ac:dyDescent="0.3">
      <c r="A1146" s="1">
        <v>4239</v>
      </c>
      <c r="B1146" s="1">
        <v>403400</v>
      </c>
    </row>
    <row r="1147" spans="1:2" x14ac:dyDescent="0.3">
      <c r="A1147" s="1">
        <v>4239</v>
      </c>
      <c r="B1147" s="1">
        <v>403400</v>
      </c>
    </row>
    <row r="1148" spans="1:2" x14ac:dyDescent="0.3">
      <c r="A1148" s="1">
        <v>4239</v>
      </c>
      <c r="B1148" s="1">
        <v>403400</v>
      </c>
    </row>
    <row r="1149" spans="1:2" x14ac:dyDescent="0.3">
      <c r="A1149" s="1">
        <v>4239</v>
      </c>
      <c r="B1149" s="1">
        <v>403400</v>
      </c>
    </row>
    <row r="1150" spans="1:2" x14ac:dyDescent="0.3">
      <c r="A1150" s="1">
        <v>4239</v>
      </c>
      <c r="B1150" s="1">
        <v>403400</v>
      </c>
    </row>
    <row r="1151" spans="1:2" x14ac:dyDescent="0.3">
      <c r="A1151" s="1">
        <v>4239</v>
      </c>
      <c r="B1151" s="1">
        <v>403400</v>
      </c>
    </row>
    <row r="1152" spans="1:2" x14ac:dyDescent="0.3">
      <c r="A1152" s="1">
        <v>4239</v>
      </c>
      <c r="B1152" s="1">
        <v>403400</v>
      </c>
    </row>
    <row r="1153" spans="1:2" x14ac:dyDescent="0.3">
      <c r="A1153" s="1">
        <v>4239</v>
      </c>
      <c r="B1153" s="1">
        <v>403400</v>
      </c>
    </row>
    <row r="1154" spans="1:2" x14ac:dyDescent="0.3">
      <c r="A1154" s="1">
        <v>4239</v>
      </c>
      <c r="B1154" s="1">
        <v>403400</v>
      </c>
    </row>
    <row r="1155" spans="1:2" x14ac:dyDescent="0.3">
      <c r="A1155" s="1">
        <v>4239</v>
      </c>
      <c r="B1155" s="1">
        <v>403400</v>
      </c>
    </row>
    <row r="1156" spans="1:2" x14ac:dyDescent="0.3">
      <c r="A1156" s="1">
        <v>4239</v>
      </c>
      <c r="B1156" s="1">
        <v>403400</v>
      </c>
    </row>
    <row r="1157" spans="1:2" x14ac:dyDescent="0.3">
      <c r="A1157" s="1">
        <v>4239</v>
      </c>
      <c r="B1157" s="1">
        <v>403400</v>
      </c>
    </row>
    <row r="1158" spans="1:2" x14ac:dyDescent="0.3">
      <c r="A1158" s="1">
        <v>4239</v>
      </c>
      <c r="B1158" s="1">
        <v>403400</v>
      </c>
    </row>
    <row r="1159" spans="1:2" x14ac:dyDescent="0.3">
      <c r="A1159" s="1">
        <v>4239</v>
      </c>
      <c r="B1159" s="1">
        <v>403400</v>
      </c>
    </row>
    <row r="1160" spans="1:2" x14ac:dyDescent="0.3">
      <c r="A1160" s="1">
        <v>4239</v>
      </c>
      <c r="B1160" s="1">
        <v>403400</v>
      </c>
    </row>
    <row r="1161" spans="1:2" x14ac:dyDescent="0.3">
      <c r="A1161" s="1">
        <v>4239</v>
      </c>
      <c r="B1161" s="1">
        <v>403400</v>
      </c>
    </row>
    <row r="1162" spans="1:2" x14ac:dyDescent="0.3">
      <c r="A1162" s="1">
        <v>4239</v>
      </c>
      <c r="B1162" s="1">
        <v>403400</v>
      </c>
    </row>
    <row r="1163" spans="1:2" x14ac:dyDescent="0.3">
      <c r="A1163" s="1">
        <v>4239</v>
      </c>
      <c r="B1163" s="1">
        <v>403400</v>
      </c>
    </row>
    <row r="1164" spans="1:2" x14ac:dyDescent="0.3">
      <c r="A1164" s="1">
        <v>4271</v>
      </c>
      <c r="B1164" s="1">
        <v>403420</v>
      </c>
    </row>
    <row r="1165" spans="1:2" x14ac:dyDescent="0.3">
      <c r="A1165" s="1">
        <v>4271</v>
      </c>
      <c r="B1165" s="1">
        <v>403420</v>
      </c>
    </row>
    <row r="1166" spans="1:2" x14ac:dyDescent="0.3">
      <c r="A1166" s="1">
        <v>4271</v>
      </c>
      <c r="B1166" s="1">
        <v>403420</v>
      </c>
    </row>
    <row r="1167" spans="1:2" x14ac:dyDescent="0.3">
      <c r="A1167" s="1">
        <v>4271</v>
      </c>
      <c r="B1167" s="1">
        <v>403420</v>
      </c>
    </row>
    <row r="1168" spans="1:2" x14ac:dyDescent="0.3">
      <c r="A1168" s="1">
        <v>4271</v>
      </c>
      <c r="B1168" s="1">
        <v>403420</v>
      </c>
    </row>
    <row r="1169" spans="1:2" x14ac:dyDescent="0.3">
      <c r="A1169" s="1">
        <v>4271</v>
      </c>
      <c r="B1169" s="1">
        <v>403420</v>
      </c>
    </row>
    <row r="1170" spans="1:2" x14ac:dyDescent="0.3">
      <c r="A1170" s="1">
        <v>4271</v>
      </c>
      <c r="B1170" s="1">
        <v>403420</v>
      </c>
    </row>
    <row r="1171" spans="1:2" x14ac:dyDescent="0.3">
      <c r="A1171" s="1">
        <v>4271</v>
      </c>
      <c r="B1171" s="1">
        <v>403420</v>
      </c>
    </row>
    <row r="1172" spans="1:2" x14ac:dyDescent="0.3">
      <c r="A1172" s="1">
        <v>4271</v>
      </c>
      <c r="B1172" s="1">
        <v>403420</v>
      </c>
    </row>
    <row r="1173" spans="1:2" x14ac:dyDescent="0.3">
      <c r="A1173" s="1">
        <v>4271</v>
      </c>
      <c r="B1173" s="1">
        <v>403420</v>
      </c>
    </row>
    <row r="1174" spans="1:2" x14ac:dyDescent="0.3">
      <c r="A1174" s="1">
        <v>4271</v>
      </c>
      <c r="B1174" s="1">
        <v>403420</v>
      </c>
    </row>
    <row r="1175" spans="1:2" x14ac:dyDescent="0.3">
      <c r="A1175" s="1">
        <v>4271</v>
      </c>
      <c r="B1175" s="1">
        <v>403420</v>
      </c>
    </row>
    <row r="1176" spans="1:2" x14ac:dyDescent="0.3">
      <c r="A1176" s="1">
        <v>4271</v>
      </c>
      <c r="B1176" s="1">
        <v>403420</v>
      </c>
    </row>
    <row r="1177" spans="1:2" x14ac:dyDescent="0.3">
      <c r="A1177" s="1">
        <v>4271</v>
      </c>
      <c r="B1177" s="1">
        <v>403420</v>
      </c>
    </row>
    <row r="1178" spans="1:2" x14ac:dyDescent="0.3">
      <c r="A1178" s="1">
        <v>4271</v>
      </c>
      <c r="B1178" s="1">
        <v>403420</v>
      </c>
    </row>
    <row r="1179" spans="1:2" x14ac:dyDescent="0.3">
      <c r="A1179" s="1">
        <v>4271</v>
      </c>
      <c r="B1179" s="1">
        <v>403420</v>
      </c>
    </row>
    <row r="1180" spans="1:2" x14ac:dyDescent="0.3">
      <c r="A1180" s="1">
        <v>4271</v>
      </c>
      <c r="B1180" s="1">
        <v>403420</v>
      </c>
    </row>
    <row r="1181" spans="1:2" x14ac:dyDescent="0.3">
      <c r="A1181" s="1">
        <v>4271</v>
      </c>
      <c r="B1181" s="1">
        <v>403420</v>
      </c>
    </row>
    <row r="1182" spans="1:2" x14ac:dyDescent="0.3">
      <c r="A1182" s="1">
        <v>89829</v>
      </c>
      <c r="B1182" s="1">
        <v>400760</v>
      </c>
    </row>
    <row r="1183" spans="1:2" x14ac:dyDescent="0.3">
      <c r="A1183" s="1">
        <v>89829</v>
      </c>
      <c r="B1183" s="1">
        <v>400760</v>
      </c>
    </row>
    <row r="1184" spans="1:2" x14ac:dyDescent="0.3">
      <c r="A1184" s="1">
        <v>4285</v>
      </c>
      <c r="B1184" s="1">
        <v>403450</v>
      </c>
    </row>
    <row r="1185" spans="1:2" x14ac:dyDescent="0.3">
      <c r="A1185" s="1">
        <v>4285</v>
      </c>
      <c r="B1185" s="1">
        <v>403450</v>
      </c>
    </row>
    <row r="1186" spans="1:2" x14ac:dyDescent="0.3">
      <c r="A1186" s="1">
        <v>4285</v>
      </c>
      <c r="B1186" s="1">
        <v>403450</v>
      </c>
    </row>
    <row r="1187" spans="1:2" x14ac:dyDescent="0.3">
      <c r="A1187" s="1">
        <v>4285</v>
      </c>
      <c r="B1187" s="1">
        <v>403450</v>
      </c>
    </row>
    <row r="1188" spans="1:2" x14ac:dyDescent="0.3">
      <c r="A1188" s="1">
        <v>4285</v>
      </c>
      <c r="B1188" s="1">
        <v>403450</v>
      </c>
    </row>
    <row r="1189" spans="1:2" x14ac:dyDescent="0.3">
      <c r="A1189" s="1">
        <v>4285</v>
      </c>
      <c r="B1189" s="1">
        <v>403450</v>
      </c>
    </row>
    <row r="1190" spans="1:2" x14ac:dyDescent="0.3">
      <c r="A1190" s="1">
        <v>4285</v>
      </c>
      <c r="B1190" s="1">
        <v>403450</v>
      </c>
    </row>
    <row r="1191" spans="1:2" x14ac:dyDescent="0.3">
      <c r="A1191" s="1">
        <v>4285</v>
      </c>
      <c r="B1191" s="1">
        <v>403450</v>
      </c>
    </row>
    <row r="1192" spans="1:2" x14ac:dyDescent="0.3">
      <c r="A1192" s="1">
        <v>4285</v>
      </c>
      <c r="B1192" s="1">
        <v>403450</v>
      </c>
    </row>
    <row r="1193" spans="1:2" x14ac:dyDescent="0.3">
      <c r="A1193" s="1">
        <v>4285</v>
      </c>
      <c r="B1193" s="1">
        <v>403450</v>
      </c>
    </row>
    <row r="1194" spans="1:2" x14ac:dyDescent="0.3">
      <c r="A1194" s="1">
        <v>4285</v>
      </c>
      <c r="B1194" s="1">
        <v>403450</v>
      </c>
    </row>
    <row r="1195" spans="1:2" x14ac:dyDescent="0.3">
      <c r="A1195" s="1">
        <v>4324</v>
      </c>
      <c r="B1195" s="1">
        <v>400104</v>
      </c>
    </row>
    <row r="1196" spans="1:2" x14ac:dyDescent="0.3">
      <c r="A1196" s="1">
        <v>4324</v>
      </c>
      <c r="B1196" s="1">
        <v>400104</v>
      </c>
    </row>
    <row r="1197" spans="1:2" x14ac:dyDescent="0.3">
      <c r="A1197" s="1">
        <v>4208</v>
      </c>
      <c r="B1197" s="1">
        <v>403500</v>
      </c>
    </row>
    <row r="1198" spans="1:2" x14ac:dyDescent="0.3">
      <c r="A1198" s="1">
        <v>4208</v>
      </c>
      <c r="B1198" s="1">
        <v>403500</v>
      </c>
    </row>
    <row r="1199" spans="1:2" x14ac:dyDescent="0.3">
      <c r="A1199" s="1">
        <v>4208</v>
      </c>
      <c r="B1199" s="1">
        <v>403500</v>
      </c>
    </row>
    <row r="1200" spans="1:2" x14ac:dyDescent="0.3">
      <c r="A1200" s="1">
        <v>4208</v>
      </c>
      <c r="B1200" s="1">
        <v>403500</v>
      </c>
    </row>
    <row r="1201" spans="1:2" x14ac:dyDescent="0.3">
      <c r="A1201" s="1">
        <v>79539</v>
      </c>
      <c r="B1201" s="1">
        <v>400456</v>
      </c>
    </row>
    <row r="1202" spans="1:2" x14ac:dyDescent="0.3">
      <c r="A1202" s="1">
        <v>79539</v>
      </c>
      <c r="B1202" s="1">
        <v>400456</v>
      </c>
    </row>
    <row r="1203" spans="1:2" x14ac:dyDescent="0.3">
      <c r="A1203" s="1">
        <v>79543</v>
      </c>
      <c r="B1203" s="1">
        <v>400762</v>
      </c>
    </row>
    <row r="1204" spans="1:2" x14ac:dyDescent="0.3">
      <c r="A1204" s="1">
        <v>79543</v>
      </c>
      <c r="B1204" s="1">
        <v>400762</v>
      </c>
    </row>
    <row r="1205" spans="1:2" x14ac:dyDescent="0.3">
      <c r="A1205" s="1">
        <v>4217</v>
      </c>
      <c r="B1205" s="1">
        <v>402480</v>
      </c>
    </row>
    <row r="1206" spans="1:2" x14ac:dyDescent="0.3">
      <c r="A1206" s="1">
        <v>4217</v>
      </c>
      <c r="B1206" s="1">
        <v>402480</v>
      </c>
    </row>
    <row r="1207" spans="1:2" x14ac:dyDescent="0.3">
      <c r="A1207" s="1">
        <v>4217</v>
      </c>
      <c r="B1207" s="1">
        <v>402480</v>
      </c>
    </row>
    <row r="1208" spans="1:2" x14ac:dyDescent="0.3">
      <c r="A1208" s="1">
        <v>4194</v>
      </c>
      <c r="B1208" s="1">
        <v>403550</v>
      </c>
    </row>
    <row r="1209" spans="1:2" x14ac:dyDescent="0.3">
      <c r="A1209" s="1">
        <v>4194</v>
      </c>
      <c r="B1209" s="1">
        <v>403550</v>
      </c>
    </row>
    <row r="1210" spans="1:2" x14ac:dyDescent="0.3">
      <c r="A1210" s="1">
        <v>4194</v>
      </c>
      <c r="B1210" s="1">
        <v>403550</v>
      </c>
    </row>
    <row r="1211" spans="1:2" x14ac:dyDescent="0.3">
      <c r="A1211" s="1">
        <v>90894</v>
      </c>
      <c r="B1211" s="1">
        <v>400854</v>
      </c>
    </row>
    <row r="1212" spans="1:2" x14ac:dyDescent="0.3">
      <c r="A1212" s="1">
        <v>90894</v>
      </c>
      <c r="B1212" s="1">
        <v>400854</v>
      </c>
    </row>
    <row r="1213" spans="1:2" x14ac:dyDescent="0.3">
      <c r="A1213" s="1">
        <v>10974</v>
      </c>
      <c r="B1213" s="1">
        <v>400205</v>
      </c>
    </row>
    <row r="1214" spans="1:2" x14ac:dyDescent="0.3">
      <c r="A1214" s="1">
        <v>10974</v>
      </c>
      <c r="B1214" s="1">
        <v>400205</v>
      </c>
    </row>
    <row r="1215" spans="1:2" x14ac:dyDescent="0.3">
      <c r="A1215" s="1">
        <v>90903</v>
      </c>
      <c r="B1215" s="1">
        <v>400865</v>
      </c>
    </row>
    <row r="1216" spans="1:2" x14ac:dyDescent="0.3">
      <c r="A1216" s="1">
        <v>90903</v>
      </c>
      <c r="B1216" s="1">
        <v>400865</v>
      </c>
    </row>
    <row r="1217" spans="1:2" x14ac:dyDescent="0.3">
      <c r="A1217" s="1">
        <v>4226</v>
      </c>
      <c r="B1217" s="1">
        <v>400178</v>
      </c>
    </row>
    <row r="1218" spans="1:2" x14ac:dyDescent="0.3">
      <c r="A1218" s="1">
        <v>4227</v>
      </c>
      <c r="B1218" s="1">
        <v>403580</v>
      </c>
    </row>
    <row r="1219" spans="1:2" x14ac:dyDescent="0.3">
      <c r="A1219" s="1">
        <v>6819</v>
      </c>
      <c r="B1219" s="1">
        <v>400860</v>
      </c>
    </row>
    <row r="1220" spans="1:2" x14ac:dyDescent="0.3">
      <c r="A1220" s="1">
        <v>79542</v>
      </c>
      <c r="B1220" s="1">
        <v>400779</v>
      </c>
    </row>
    <row r="1221" spans="1:2" x14ac:dyDescent="0.3">
      <c r="A1221" s="1">
        <v>79542</v>
      </c>
      <c r="B1221" s="1">
        <v>400779</v>
      </c>
    </row>
    <row r="1222" spans="1:2" x14ac:dyDescent="0.3">
      <c r="A1222" s="1">
        <v>79538</v>
      </c>
      <c r="B1222" s="1">
        <v>400454</v>
      </c>
    </row>
    <row r="1223" spans="1:2" x14ac:dyDescent="0.3">
      <c r="A1223" s="1">
        <v>79538</v>
      </c>
      <c r="B1223" s="1">
        <v>400454</v>
      </c>
    </row>
    <row r="1224" spans="1:2" x14ac:dyDescent="0.3">
      <c r="A1224" s="1">
        <v>79500</v>
      </c>
      <c r="B1224" s="1">
        <v>400343</v>
      </c>
    </row>
    <row r="1225" spans="1:2" x14ac:dyDescent="0.3">
      <c r="A1225" s="1">
        <v>79500</v>
      </c>
      <c r="B1225" s="1">
        <v>400343</v>
      </c>
    </row>
    <row r="1226" spans="1:2" x14ac:dyDescent="0.3">
      <c r="A1226" s="1">
        <v>79500</v>
      </c>
      <c r="B1226" s="1">
        <v>400343</v>
      </c>
    </row>
    <row r="1227" spans="1:2" x14ac:dyDescent="0.3">
      <c r="A1227" s="1">
        <v>6369</v>
      </c>
      <c r="B1227" s="1">
        <v>400147</v>
      </c>
    </row>
    <row r="1228" spans="1:2" x14ac:dyDescent="0.3">
      <c r="A1228" s="1">
        <v>6369</v>
      </c>
      <c r="B1228" s="1">
        <v>400147</v>
      </c>
    </row>
    <row r="1229" spans="1:2" x14ac:dyDescent="0.3">
      <c r="A1229" s="1">
        <v>4371</v>
      </c>
      <c r="B1229" s="1">
        <v>403660</v>
      </c>
    </row>
    <row r="1230" spans="1:2" x14ac:dyDescent="0.3">
      <c r="A1230" s="1">
        <v>4371</v>
      </c>
      <c r="B1230" s="1">
        <v>403660</v>
      </c>
    </row>
    <row r="1231" spans="1:2" x14ac:dyDescent="0.3">
      <c r="A1231" s="1">
        <v>79081</v>
      </c>
      <c r="B1231" s="1">
        <v>400406</v>
      </c>
    </row>
    <row r="1232" spans="1:2" x14ac:dyDescent="0.3">
      <c r="A1232" s="1">
        <v>90906</v>
      </c>
      <c r="B1232" s="1">
        <v>400864</v>
      </c>
    </row>
    <row r="1233" spans="1:2" x14ac:dyDescent="0.3">
      <c r="A1233" s="1">
        <v>79081</v>
      </c>
      <c r="B1233" s="1">
        <v>400406</v>
      </c>
    </row>
    <row r="1234" spans="1:2" x14ac:dyDescent="0.3">
      <c r="A1234" s="1">
        <v>90906</v>
      </c>
      <c r="B1234" s="1">
        <v>400864</v>
      </c>
    </row>
    <row r="1235" spans="1:2" x14ac:dyDescent="0.3">
      <c r="A1235" s="1">
        <v>79501</v>
      </c>
      <c r="B1235" s="1">
        <v>400282</v>
      </c>
    </row>
    <row r="1236" spans="1:2" x14ac:dyDescent="0.3">
      <c r="A1236" s="1">
        <v>79501</v>
      </c>
      <c r="B1236" s="1">
        <v>400282</v>
      </c>
    </row>
    <row r="1237" spans="1:2" x14ac:dyDescent="0.3">
      <c r="A1237" s="1">
        <v>79501</v>
      </c>
      <c r="B1237" s="1">
        <v>400282</v>
      </c>
    </row>
    <row r="1238" spans="1:2" x14ac:dyDescent="0.3">
      <c r="A1238" s="1">
        <v>89951</v>
      </c>
      <c r="B1238" s="1">
        <v>400782</v>
      </c>
    </row>
    <row r="1239" spans="1:2" x14ac:dyDescent="0.3">
      <c r="A1239" s="1">
        <v>89951</v>
      </c>
      <c r="B1239" s="1">
        <v>400782</v>
      </c>
    </row>
    <row r="1240" spans="1:2" x14ac:dyDescent="0.3">
      <c r="A1240" s="1">
        <v>4212</v>
      </c>
      <c r="B1240" s="1">
        <v>403730</v>
      </c>
    </row>
    <row r="1241" spans="1:2" x14ac:dyDescent="0.3">
      <c r="A1241" s="1">
        <v>4212</v>
      </c>
      <c r="B1241" s="1">
        <v>403730</v>
      </c>
    </row>
    <row r="1242" spans="1:2" x14ac:dyDescent="0.3">
      <c r="A1242" s="1">
        <v>4212</v>
      </c>
      <c r="B1242" s="1">
        <v>403730</v>
      </c>
    </row>
    <row r="1243" spans="1:2" x14ac:dyDescent="0.3">
      <c r="A1243" s="1">
        <v>4212</v>
      </c>
      <c r="B1243" s="1">
        <v>403730</v>
      </c>
    </row>
    <row r="1244" spans="1:2" x14ac:dyDescent="0.3">
      <c r="A1244" s="1">
        <v>4392</v>
      </c>
      <c r="B1244" s="1">
        <v>400026</v>
      </c>
    </row>
    <row r="1245" spans="1:2" x14ac:dyDescent="0.3">
      <c r="A1245" s="1">
        <v>4392</v>
      </c>
      <c r="B1245" s="1">
        <v>400026</v>
      </c>
    </row>
    <row r="1246" spans="1:2" x14ac:dyDescent="0.3">
      <c r="A1246" s="1">
        <v>4392</v>
      </c>
      <c r="B1246" s="1">
        <v>400026</v>
      </c>
    </row>
    <row r="1247" spans="1:2" x14ac:dyDescent="0.3">
      <c r="A1247" s="1">
        <v>4392</v>
      </c>
      <c r="B1247" s="1">
        <v>400026</v>
      </c>
    </row>
    <row r="1248" spans="1:2" x14ac:dyDescent="0.3">
      <c r="A1248" s="1">
        <v>4392</v>
      </c>
      <c r="B1248" s="1">
        <v>400026</v>
      </c>
    </row>
    <row r="1249" spans="1:2" x14ac:dyDescent="0.3">
      <c r="A1249" s="1">
        <v>4336</v>
      </c>
      <c r="B1249" s="1">
        <v>400053</v>
      </c>
    </row>
    <row r="1250" spans="1:2" x14ac:dyDescent="0.3">
      <c r="A1250" s="1">
        <v>4336</v>
      </c>
      <c r="B1250" s="1">
        <v>400053</v>
      </c>
    </row>
    <row r="1251" spans="1:2" x14ac:dyDescent="0.3">
      <c r="A1251" s="1">
        <v>4336</v>
      </c>
      <c r="B1251" s="1">
        <v>400053</v>
      </c>
    </row>
    <row r="1252" spans="1:2" x14ac:dyDescent="0.3">
      <c r="A1252" s="1">
        <v>81076</v>
      </c>
      <c r="B1252" s="1">
        <v>400649</v>
      </c>
    </row>
    <row r="1253" spans="1:2" x14ac:dyDescent="0.3">
      <c r="A1253" s="1">
        <v>81076</v>
      </c>
      <c r="B1253" s="1">
        <v>400649</v>
      </c>
    </row>
    <row r="1254" spans="1:2" x14ac:dyDescent="0.3">
      <c r="A1254" s="1">
        <v>81076</v>
      </c>
      <c r="B1254" s="1">
        <v>400649</v>
      </c>
    </row>
    <row r="1255" spans="1:2" x14ac:dyDescent="0.3">
      <c r="A1255" s="1">
        <v>4426</v>
      </c>
      <c r="B1255" s="1">
        <v>400115</v>
      </c>
    </row>
    <row r="1256" spans="1:2" x14ac:dyDescent="0.3">
      <c r="A1256" s="1">
        <v>4426</v>
      </c>
      <c r="B1256" s="1">
        <v>400115</v>
      </c>
    </row>
    <row r="1257" spans="1:2" x14ac:dyDescent="0.3">
      <c r="A1257" s="1">
        <v>79061</v>
      </c>
      <c r="B1257" s="1">
        <v>400275</v>
      </c>
    </row>
    <row r="1258" spans="1:2" x14ac:dyDescent="0.3">
      <c r="A1258" s="1">
        <v>79061</v>
      </c>
      <c r="B1258" s="1">
        <v>400275</v>
      </c>
    </row>
    <row r="1259" spans="1:2" x14ac:dyDescent="0.3">
      <c r="A1259" s="1">
        <v>4248</v>
      </c>
      <c r="B1259" s="1">
        <v>403780</v>
      </c>
    </row>
    <row r="1260" spans="1:2" x14ac:dyDescent="0.3">
      <c r="A1260" s="1">
        <v>4248</v>
      </c>
      <c r="B1260" s="1">
        <v>403780</v>
      </c>
    </row>
    <row r="1261" spans="1:2" x14ac:dyDescent="0.3">
      <c r="A1261" s="1">
        <v>4248</v>
      </c>
      <c r="B1261" s="1">
        <v>403780</v>
      </c>
    </row>
    <row r="1262" spans="1:2" x14ac:dyDescent="0.3">
      <c r="A1262" s="1">
        <v>4248</v>
      </c>
      <c r="B1262" s="1">
        <v>403780</v>
      </c>
    </row>
    <row r="1263" spans="1:2" x14ac:dyDescent="0.3">
      <c r="A1263" s="1">
        <v>4248</v>
      </c>
      <c r="B1263" s="1">
        <v>403780</v>
      </c>
    </row>
    <row r="1264" spans="1:2" x14ac:dyDescent="0.3">
      <c r="A1264" s="1">
        <v>4248</v>
      </c>
      <c r="B1264" s="1">
        <v>403780</v>
      </c>
    </row>
    <row r="1265" spans="1:2" x14ac:dyDescent="0.3">
      <c r="A1265" s="1">
        <v>4248</v>
      </c>
      <c r="B1265" s="1">
        <v>403780</v>
      </c>
    </row>
    <row r="1266" spans="1:2" x14ac:dyDescent="0.3">
      <c r="A1266" s="1">
        <v>4248</v>
      </c>
      <c r="B1266" s="1">
        <v>403780</v>
      </c>
    </row>
    <row r="1267" spans="1:2" x14ac:dyDescent="0.3">
      <c r="A1267" s="1">
        <v>4248</v>
      </c>
      <c r="B1267" s="1">
        <v>403780</v>
      </c>
    </row>
    <row r="1268" spans="1:2" x14ac:dyDescent="0.3">
      <c r="A1268" s="1">
        <v>4248</v>
      </c>
      <c r="B1268" s="1">
        <v>403780</v>
      </c>
    </row>
    <row r="1269" spans="1:2" x14ac:dyDescent="0.3">
      <c r="A1269" s="1">
        <v>4248</v>
      </c>
      <c r="B1269" s="1">
        <v>403780</v>
      </c>
    </row>
    <row r="1270" spans="1:2" x14ac:dyDescent="0.3">
      <c r="A1270" s="1">
        <v>4248</v>
      </c>
      <c r="B1270" s="1">
        <v>403780</v>
      </c>
    </row>
    <row r="1271" spans="1:2" x14ac:dyDescent="0.3">
      <c r="A1271" s="1">
        <v>4248</v>
      </c>
      <c r="B1271" s="1">
        <v>403780</v>
      </c>
    </row>
    <row r="1272" spans="1:2" x14ac:dyDescent="0.3">
      <c r="A1272" s="1">
        <v>4248</v>
      </c>
      <c r="B1272" s="1">
        <v>403780</v>
      </c>
    </row>
    <row r="1273" spans="1:2" x14ac:dyDescent="0.3">
      <c r="A1273" s="1">
        <v>4248</v>
      </c>
      <c r="B1273" s="1">
        <v>403780</v>
      </c>
    </row>
    <row r="1274" spans="1:2" x14ac:dyDescent="0.3">
      <c r="A1274" s="1">
        <v>4328</v>
      </c>
      <c r="B1274" s="1">
        <v>400105</v>
      </c>
    </row>
    <row r="1275" spans="1:2" x14ac:dyDescent="0.3">
      <c r="A1275" s="1">
        <v>4328</v>
      </c>
      <c r="B1275" s="1">
        <v>400105</v>
      </c>
    </row>
    <row r="1276" spans="1:2" x14ac:dyDescent="0.3">
      <c r="A1276" s="1">
        <v>4482</v>
      </c>
      <c r="B1276" s="1">
        <v>408460</v>
      </c>
    </row>
    <row r="1277" spans="1:2" x14ac:dyDescent="0.3">
      <c r="A1277" s="1">
        <v>4482</v>
      </c>
      <c r="B1277" s="1">
        <v>408460</v>
      </c>
    </row>
    <row r="1278" spans="1:2" x14ac:dyDescent="0.3">
      <c r="A1278" s="1">
        <v>91275</v>
      </c>
      <c r="B1278" s="1">
        <v>400893</v>
      </c>
    </row>
    <row r="1279" spans="1:2" x14ac:dyDescent="0.3">
      <c r="A1279" s="1">
        <v>91275</v>
      </c>
      <c r="B1279" s="1">
        <v>400893</v>
      </c>
    </row>
    <row r="1280" spans="1:2" x14ac:dyDescent="0.3">
      <c r="A1280" s="1">
        <v>4389</v>
      </c>
      <c r="B1280" s="1">
        <v>403820</v>
      </c>
    </row>
    <row r="1281" spans="1:2" x14ac:dyDescent="0.3">
      <c r="A1281" s="1">
        <v>4389</v>
      </c>
      <c r="B1281" s="1">
        <v>403820</v>
      </c>
    </row>
    <row r="1282" spans="1:2" x14ac:dyDescent="0.3">
      <c r="A1282" s="1">
        <v>4389</v>
      </c>
      <c r="B1282" s="1">
        <v>403820</v>
      </c>
    </row>
    <row r="1283" spans="1:2" x14ac:dyDescent="0.3">
      <c r="A1283" s="1">
        <v>4389</v>
      </c>
      <c r="B1283" s="1">
        <v>403820</v>
      </c>
    </row>
    <row r="1284" spans="1:2" x14ac:dyDescent="0.3">
      <c r="A1284" s="1">
        <v>4389</v>
      </c>
      <c r="B1284" s="1">
        <v>403820</v>
      </c>
    </row>
    <row r="1285" spans="1:2" x14ac:dyDescent="0.3">
      <c r="A1285" s="1">
        <v>4389</v>
      </c>
      <c r="B1285" s="1">
        <v>403820</v>
      </c>
    </row>
    <row r="1286" spans="1:2" x14ac:dyDescent="0.3">
      <c r="A1286" s="1">
        <v>79264</v>
      </c>
      <c r="B1286" s="1">
        <v>400225</v>
      </c>
    </row>
    <row r="1287" spans="1:2" x14ac:dyDescent="0.3">
      <c r="A1287" s="1">
        <v>79264</v>
      </c>
      <c r="B1287" s="1">
        <v>400225</v>
      </c>
    </row>
    <row r="1288" spans="1:2" x14ac:dyDescent="0.3">
      <c r="A1288" s="1">
        <v>4337</v>
      </c>
      <c r="B1288" s="1">
        <v>400108</v>
      </c>
    </row>
    <row r="1289" spans="1:2" x14ac:dyDescent="0.3">
      <c r="A1289" s="1">
        <v>4337</v>
      </c>
      <c r="B1289" s="1">
        <v>400108</v>
      </c>
    </row>
    <row r="1290" spans="1:2" x14ac:dyDescent="0.3">
      <c r="A1290" s="1">
        <v>4337</v>
      </c>
      <c r="B1290" s="1">
        <v>400108</v>
      </c>
    </row>
    <row r="1291" spans="1:2" x14ac:dyDescent="0.3">
      <c r="A1291" s="1">
        <v>4337</v>
      </c>
      <c r="B1291" s="1">
        <v>400108</v>
      </c>
    </row>
    <row r="1292" spans="1:2" x14ac:dyDescent="0.3">
      <c r="A1292" s="1">
        <v>4337</v>
      </c>
      <c r="B1292" s="1">
        <v>400108</v>
      </c>
    </row>
    <row r="1293" spans="1:2" x14ac:dyDescent="0.3">
      <c r="A1293" s="1">
        <v>4337</v>
      </c>
      <c r="B1293" s="1">
        <v>400108</v>
      </c>
    </row>
    <row r="1294" spans="1:2" x14ac:dyDescent="0.3">
      <c r="A1294" s="1">
        <v>4469</v>
      </c>
      <c r="B1294" s="1">
        <v>403870</v>
      </c>
    </row>
    <row r="1295" spans="1:2" x14ac:dyDescent="0.3">
      <c r="A1295" s="1">
        <v>4469</v>
      </c>
      <c r="B1295" s="1">
        <v>403870</v>
      </c>
    </row>
    <row r="1296" spans="1:2" x14ac:dyDescent="0.3">
      <c r="A1296" s="1">
        <v>4469</v>
      </c>
      <c r="B1296" s="1">
        <v>403870</v>
      </c>
    </row>
    <row r="1297" spans="1:2" x14ac:dyDescent="0.3">
      <c r="A1297" s="1">
        <v>4469</v>
      </c>
      <c r="B1297" s="1">
        <v>403870</v>
      </c>
    </row>
    <row r="1298" spans="1:2" x14ac:dyDescent="0.3">
      <c r="A1298" s="1">
        <v>4469</v>
      </c>
      <c r="B1298" s="1">
        <v>403870</v>
      </c>
    </row>
    <row r="1299" spans="1:2" x14ac:dyDescent="0.3">
      <c r="A1299" s="1">
        <v>4469</v>
      </c>
      <c r="B1299" s="1">
        <v>403870</v>
      </c>
    </row>
    <row r="1300" spans="1:2" x14ac:dyDescent="0.3">
      <c r="A1300" s="1">
        <v>4469</v>
      </c>
      <c r="B1300" s="1">
        <v>403870</v>
      </c>
    </row>
    <row r="1301" spans="1:2" x14ac:dyDescent="0.3">
      <c r="A1301" s="1">
        <v>4469</v>
      </c>
      <c r="B1301" s="1">
        <v>403870</v>
      </c>
    </row>
    <row r="1302" spans="1:2" x14ac:dyDescent="0.3">
      <c r="A1302" s="1">
        <v>4469</v>
      </c>
      <c r="B1302" s="1">
        <v>403870</v>
      </c>
    </row>
    <row r="1303" spans="1:2" x14ac:dyDescent="0.3">
      <c r="A1303" s="1">
        <v>4469</v>
      </c>
      <c r="B1303" s="1">
        <v>403870</v>
      </c>
    </row>
    <row r="1304" spans="1:2" x14ac:dyDescent="0.3">
      <c r="A1304" s="1">
        <v>4469</v>
      </c>
      <c r="B1304" s="1">
        <v>403870</v>
      </c>
    </row>
    <row r="1305" spans="1:2" x14ac:dyDescent="0.3">
      <c r="A1305" s="1">
        <v>4469</v>
      </c>
      <c r="B1305" s="1">
        <v>403870</v>
      </c>
    </row>
    <row r="1306" spans="1:2" x14ac:dyDescent="0.3">
      <c r="A1306" s="1">
        <v>4502</v>
      </c>
      <c r="B1306" s="1">
        <v>403900</v>
      </c>
    </row>
    <row r="1307" spans="1:2" x14ac:dyDescent="0.3">
      <c r="A1307" s="1">
        <v>4502</v>
      </c>
      <c r="B1307" s="1">
        <v>403900</v>
      </c>
    </row>
    <row r="1308" spans="1:2" x14ac:dyDescent="0.3">
      <c r="A1308" s="1">
        <v>89784</v>
      </c>
      <c r="B1308" s="1">
        <v>400780</v>
      </c>
    </row>
    <row r="1309" spans="1:2" x14ac:dyDescent="0.3">
      <c r="A1309" s="1">
        <v>89784</v>
      </c>
      <c r="B1309" s="1">
        <v>400780</v>
      </c>
    </row>
    <row r="1310" spans="1:2" x14ac:dyDescent="0.3">
      <c r="A1310" s="1">
        <v>90162</v>
      </c>
      <c r="B1310" s="1">
        <v>400802</v>
      </c>
    </row>
    <row r="1311" spans="1:2" x14ac:dyDescent="0.3">
      <c r="A1311" s="1">
        <v>90162</v>
      </c>
      <c r="B1311" s="1">
        <v>400802</v>
      </c>
    </row>
    <row r="1312" spans="1:2" x14ac:dyDescent="0.3">
      <c r="A1312" s="1">
        <v>89561</v>
      </c>
      <c r="B1312" s="1">
        <v>400756</v>
      </c>
    </row>
    <row r="1313" spans="1:2" x14ac:dyDescent="0.3">
      <c r="A1313" s="1">
        <v>89561</v>
      </c>
      <c r="B1313" s="1">
        <v>400756</v>
      </c>
    </row>
    <row r="1314" spans="1:2" x14ac:dyDescent="0.3">
      <c r="A1314" s="1">
        <v>88365</v>
      </c>
      <c r="B1314" s="1">
        <v>400445</v>
      </c>
    </row>
    <row r="1315" spans="1:2" x14ac:dyDescent="0.3">
      <c r="A1315" s="1">
        <v>88365</v>
      </c>
      <c r="B1315" s="1">
        <v>400445</v>
      </c>
    </row>
    <row r="1316" spans="1:2" x14ac:dyDescent="0.3">
      <c r="A1316" s="1">
        <v>88367</v>
      </c>
      <c r="B1316" s="1">
        <v>400438</v>
      </c>
    </row>
    <row r="1317" spans="1:2" x14ac:dyDescent="0.3">
      <c r="A1317" s="1">
        <v>88367</v>
      </c>
      <c r="B1317" s="1">
        <v>400438</v>
      </c>
    </row>
    <row r="1318" spans="1:2" x14ac:dyDescent="0.3">
      <c r="A1318" s="1">
        <v>89786</v>
      </c>
      <c r="B1318" s="1">
        <v>400766</v>
      </c>
    </row>
    <row r="1319" spans="1:2" x14ac:dyDescent="0.3">
      <c r="A1319" s="1">
        <v>89786</v>
      </c>
      <c r="B1319" s="1">
        <v>400766</v>
      </c>
    </row>
    <row r="1320" spans="1:2" x14ac:dyDescent="0.3">
      <c r="A1320" s="1">
        <v>89563</v>
      </c>
      <c r="B1320" s="1">
        <v>400754</v>
      </c>
    </row>
    <row r="1321" spans="1:2" x14ac:dyDescent="0.3">
      <c r="A1321" s="1">
        <v>89563</v>
      </c>
      <c r="B1321" s="1">
        <v>400754</v>
      </c>
    </row>
    <row r="1322" spans="1:2" x14ac:dyDescent="0.3">
      <c r="A1322" s="1">
        <v>88374</v>
      </c>
      <c r="B1322" s="1">
        <v>400446</v>
      </c>
    </row>
    <row r="1323" spans="1:2" x14ac:dyDescent="0.3">
      <c r="A1323" s="1">
        <v>88374</v>
      </c>
      <c r="B1323" s="1">
        <v>400446</v>
      </c>
    </row>
    <row r="1324" spans="1:2" x14ac:dyDescent="0.3">
      <c r="A1324" s="1">
        <v>88369</v>
      </c>
      <c r="B1324" s="1">
        <v>400442</v>
      </c>
    </row>
    <row r="1325" spans="1:2" x14ac:dyDescent="0.3">
      <c r="A1325" s="1">
        <v>88369</v>
      </c>
      <c r="B1325" s="1">
        <v>400442</v>
      </c>
    </row>
    <row r="1326" spans="1:2" x14ac:dyDescent="0.3">
      <c r="A1326" s="1">
        <v>88372</v>
      </c>
      <c r="B1326" s="1">
        <v>400441</v>
      </c>
    </row>
    <row r="1327" spans="1:2" x14ac:dyDescent="0.3">
      <c r="A1327" s="1">
        <v>88372</v>
      </c>
      <c r="B1327" s="1">
        <v>400441</v>
      </c>
    </row>
    <row r="1328" spans="1:2" x14ac:dyDescent="0.3">
      <c r="A1328" s="1">
        <v>90034</v>
      </c>
      <c r="B1328" s="1">
        <v>400769</v>
      </c>
    </row>
    <row r="1329" spans="1:2" x14ac:dyDescent="0.3">
      <c r="A1329" s="1">
        <v>90034</v>
      </c>
      <c r="B1329" s="1">
        <v>400769</v>
      </c>
    </row>
    <row r="1330" spans="1:2" x14ac:dyDescent="0.3">
      <c r="A1330" s="1">
        <v>89788</v>
      </c>
      <c r="B1330" s="1">
        <v>400783</v>
      </c>
    </row>
    <row r="1331" spans="1:2" x14ac:dyDescent="0.3">
      <c r="A1331" s="1">
        <v>89788</v>
      </c>
      <c r="B1331" s="1">
        <v>400783</v>
      </c>
    </row>
    <row r="1332" spans="1:2" x14ac:dyDescent="0.3">
      <c r="A1332" s="1">
        <v>89790</v>
      </c>
      <c r="B1332" s="1">
        <v>400770</v>
      </c>
    </row>
    <row r="1333" spans="1:2" x14ac:dyDescent="0.3">
      <c r="A1333" s="1">
        <v>89790</v>
      </c>
      <c r="B1333" s="1">
        <v>400770</v>
      </c>
    </row>
    <row r="1334" spans="1:2" x14ac:dyDescent="0.3">
      <c r="A1334" s="1">
        <v>90160</v>
      </c>
      <c r="B1334" s="1">
        <v>400810</v>
      </c>
    </row>
    <row r="1335" spans="1:2" x14ac:dyDescent="0.3">
      <c r="A1335" s="1">
        <v>90160</v>
      </c>
      <c r="B1335" s="1">
        <v>400810</v>
      </c>
    </row>
    <row r="1336" spans="1:2" x14ac:dyDescent="0.3">
      <c r="A1336" s="1">
        <v>91326</v>
      </c>
      <c r="B1336" s="1">
        <v>400885</v>
      </c>
    </row>
    <row r="1337" spans="1:2" x14ac:dyDescent="0.3">
      <c r="A1337" s="1">
        <v>91326</v>
      </c>
      <c r="B1337" s="1">
        <v>400885</v>
      </c>
    </row>
    <row r="1338" spans="1:2" x14ac:dyDescent="0.3">
      <c r="A1338" s="1">
        <v>90876</v>
      </c>
      <c r="B1338" s="1">
        <v>400872</v>
      </c>
    </row>
    <row r="1339" spans="1:2" x14ac:dyDescent="0.3">
      <c r="A1339" s="1">
        <v>90876</v>
      </c>
      <c r="B1339" s="1">
        <v>400872</v>
      </c>
    </row>
    <row r="1340" spans="1:2" x14ac:dyDescent="0.3">
      <c r="A1340" s="1">
        <v>5174</v>
      </c>
      <c r="B1340" s="1">
        <v>400650</v>
      </c>
    </row>
    <row r="1341" spans="1:2" x14ac:dyDescent="0.3">
      <c r="A1341" s="1">
        <v>5174</v>
      </c>
      <c r="B1341" s="1">
        <v>400650</v>
      </c>
    </row>
    <row r="1342" spans="1:2" x14ac:dyDescent="0.3">
      <c r="A1342" s="1">
        <v>4352</v>
      </c>
      <c r="B1342" s="1">
        <v>400061</v>
      </c>
    </row>
    <row r="1343" spans="1:2" x14ac:dyDescent="0.3">
      <c r="A1343" s="1">
        <v>4352</v>
      </c>
      <c r="B1343" s="1">
        <v>400061</v>
      </c>
    </row>
    <row r="1344" spans="1:2" x14ac:dyDescent="0.3">
      <c r="A1344" s="1">
        <v>90877</v>
      </c>
      <c r="B1344" s="1">
        <v>400869</v>
      </c>
    </row>
    <row r="1345" spans="1:2" x14ac:dyDescent="0.3">
      <c r="A1345" s="1">
        <v>90877</v>
      </c>
      <c r="B1345" s="1">
        <v>400869</v>
      </c>
    </row>
    <row r="1346" spans="1:2" x14ac:dyDescent="0.3">
      <c r="A1346" s="1">
        <v>4334</v>
      </c>
      <c r="B1346" s="1">
        <v>400107</v>
      </c>
    </row>
    <row r="1347" spans="1:2" x14ac:dyDescent="0.3">
      <c r="A1347" s="1">
        <v>4334</v>
      </c>
      <c r="B1347" s="1">
        <v>400107</v>
      </c>
    </row>
    <row r="1348" spans="1:2" x14ac:dyDescent="0.3">
      <c r="A1348" s="1">
        <v>4334</v>
      </c>
      <c r="B1348" s="1">
        <v>400107</v>
      </c>
    </row>
    <row r="1349" spans="1:2" x14ac:dyDescent="0.3">
      <c r="A1349" s="1">
        <v>79062</v>
      </c>
      <c r="B1349" s="1">
        <v>400312</v>
      </c>
    </row>
    <row r="1350" spans="1:2" x14ac:dyDescent="0.3">
      <c r="A1350" s="1">
        <v>79062</v>
      </c>
      <c r="B1350" s="1">
        <v>400312</v>
      </c>
    </row>
    <row r="1351" spans="1:2" x14ac:dyDescent="0.3">
      <c r="A1351" s="1">
        <v>4259</v>
      </c>
      <c r="B1351" s="1">
        <v>403960</v>
      </c>
    </row>
    <row r="1352" spans="1:2" x14ac:dyDescent="0.3">
      <c r="A1352" s="1">
        <v>4259</v>
      </c>
      <c r="B1352" s="1">
        <v>403960</v>
      </c>
    </row>
    <row r="1353" spans="1:2" x14ac:dyDescent="0.3">
      <c r="A1353" s="1">
        <v>4259</v>
      </c>
      <c r="B1353" s="1">
        <v>403960</v>
      </c>
    </row>
    <row r="1354" spans="1:2" x14ac:dyDescent="0.3">
      <c r="A1354" s="1">
        <v>4259</v>
      </c>
      <c r="B1354" s="1">
        <v>403960</v>
      </c>
    </row>
    <row r="1355" spans="1:2" x14ac:dyDescent="0.3">
      <c r="A1355" s="1">
        <v>4259</v>
      </c>
      <c r="B1355" s="1">
        <v>403960</v>
      </c>
    </row>
    <row r="1356" spans="1:2" x14ac:dyDescent="0.3">
      <c r="A1356" s="1">
        <v>4259</v>
      </c>
      <c r="B1356" s="1">
        <v>403960</v>
      </c>
    </row>
    <row r="1357" spans="1:2" x14ac:dyDescent="0.3">
      <c r="A1357" s="1">
        <v>4259</v>
      </c>
      <c r="B1357" s="1">
        <v>403960</v>
      </c>
    </row>
    <row r="1358" spans="1:2" x14ac:dyDescent="0.3">
      <c r="A1358" s="1">
        <v>4259</v>
      </c>
      <c r="B1358" s="1">
        <v>403960</v>
      </c>
    </row>
    <row r="1359" spans="1:2" x14ac:dyDescent="0.3">
      <c r="A1359" s="1">
        <v>4259</v>
      </c>
      <c r="B1359" s="1">
        <v>403960</v>
      </c>
    </row>
    <row r="1360" spans="1:2" x14ac:dyDescent="0.3">
      <c r="A1360" s="1">
        <v>4259</v>
      </c>
      <c r="B1360" s="1">
        <v>403960</v>
      </c>
    </row>
    <row r="1361" spans="1:2" x14ac:dyDescent="0.3">
      <c r="A1361" s="1">
        <v>4259</v>
      </c>
      <c r="B1361" s="1">
        <v>403960</v>
      </c>
    </row>
    <row r="1362" spans="1:2" x14ac:dyDescent="0.3">
      <c r="A1362" s="1">
        <v>4259</v>
      </c>
      <c r="B1362" s="1">
        <v>403960</v>
      </c>
    </row>
    <row r="1363" spans="1:2" x14ac:dyDescent="0.3">
      <c r="A1363" s="1">
        <v>4445</v>
      </c>
      <c r="B1363" s="1">
        <v>403990</v>
      </c>
    </row>
    <row r="1364" spans="1:2" x14ac:dyDescent="0.3">
      <c r="A1364" s="1">
        <v>4445</v>
      </c>
      <c r="B1364" s="1">
        <v>403990</v>
      </c>
    </row>
    <row r="1365" spans="1:2" x14ac:dyDescent="0.3">
      <c r="A1365" s="1">
        <v>4445</v>
      </c>
      <c r="B1365" s="1">
        <v>403990</v>
      </c>
    </row>
    <row r="1366" spans="1:2" x14ac:dyDescent="0.3">
      <c r="A1366" s="1">
        <v>4445</v>
      </c>
      <c r="B1366" s="1">
        <v>403990</v>
      </c>
    </row>
    <row r="1367" spans="1:2" x14ac:dyDescent="0.3">
      <c r="A1367" s="1">
        <v>4445</v>
      </c>
      <c r="B1367" s="1">
        <v>403990</v>
      </c>
    </row>
    <row r="1368" spans="1:2" x14ac:dyDescent="0.3">
      <c r="A1368" s="1">
        <v>4445</v>
      </c>
      <c r="B1368" s="1">
        <v>403990</v>
      </c>
    </row>
    <row r="1369" spans="1:2" x14ac:dyDescent="0.3">
      <c r="A1369" s="1">
        <v>4445</v>
      </c>
      <c r="B1369" s="1">
        <v>403990</v>
      </c>
    </row>
    <row r="1370" spans="1:2" x14ac:dyDescent="0.3">
      <c r="A1370" s="1">
        <v>4445</v>
      </c>
      <c r="B1370" s="1">
        <v>403990</v>
      </c>
    </row>
    <row r="1371" spans="1:2" x14ac:dyDescent="0.3">
      <c r="A1371" s="1">
        <v>79063</v>
      </c>
      <c r="B1371" s="1">
        <v>400231</v>
      </c>
    </row>
    <row r="1372" spans="1:2" x14ac:dyDescent="0.3">
      <c r="A1372" s="1">
        <v>79063</v>
      </c>
      <c r="B1372" s="1">
        <v>400231</v>
      </c>
    </row>
    <row r="1373" spans="1:2" x14ac:dyDescent="0.3">
      <c r="A1373" s="1">
        <v>79475</v>
      </c>
      <c r="B1373" s="1">
        <v>400332</v>
      </c>
    </row>
    <row r="1374" spans="1:2" x14ac:dyDescent="0.3">
      <c r="A1374" s="1">
        <v>79475</v>
      </c>
      <c r="B1374" s="1">
        <v>400332</v>
      </c>
    </row>
    <row r="1375" spans="1:2" x14ac:dyDescent="0.3">
      <c r="A1375" s="1">
        <v>4388</v>
      </c>
      <c r="B1375" s="1">
        <v>404010</v>
      </c>
    </row>
    <row r="1376" spans="1:2" x14ac:dyDescent="0.3">
      <c r="A1376" s="1">
        <v>4388</v>
      </c>
      <c r="B1376" s="1">
        <v>404010</v>
      </c>
    </row>
    <row r="1377" spans="1:2" x14ac:dyDescent="0.3">
      <c r="A1377" s="1">
        <v>4388</v>
      </c>
      <c r="B1377" s="1">
        <v>404010</v>
      </c>
    </row>
    <row r="1378" spans="1:2" x14ac:dyDescent="0.3">
      <c r="A1378" s="1">
        <v>4388</v>
      </c>
      <c r="B1378" s="1">
        <v>404010</v>
      </c>
    </row>
    <row r="1379" spans="1:2" x14ac:dyDescent="0.3">
      <c r="A1379" s="1">
        <v>79064</v>
      </c>
      <c r="B1379" s="1">
        <v>400268</v>
      </c>
    </row>
    <row r="1380" spans="1:2" x14ac:dyDescent="0.3">
      <c r="A1380" s="1">
        <v>79064</v>
      </c>
      <c r="B1380" s="1">
        <v>400268</v>
      </c>
    </row>
    <row r="1381" spans="1:2" x14ac:dyDescent="0.3">
      <c r="A1381" s="1">
        <v>4342</v>
      </c>
      <c r="B1381" s="1">
        <v>400149</v>
      </c>
    </row>
    <row r="1382" spans="1:2" x14ac:dyDescent="0.3">
      <c r="A1382" s="1">
        <v>4342</v>
      </c>
      <c r="B1382" s="1">
        <v>400149</v>
      </c>
    </row>
    <row r="1383" spans="1:2" x14ac:dyDescent="0.3">
      <c r="A1383" s="1">
        <v>4342</v>
      </c>
      <c r="B1383" s="1">
        <v>400149</v>
      </c>
    </row>
    <row r="1384" spans="1:2" x14ac:dyDescent="0.3">
      <c r="A1384" s="1">
        <v>90333</v>
      </c>
      <c r="B1384" s="1">
        <v>400799</v>
      </c>
    </row>
    <row r="1385" spans="1:2" x14ac:dyDescent="0.3">
      <c r="A1385" s="1">
        <v>90333</v>
      </c>
      <c r="B1385" s="1">
        <v>400799</v>
      </c>
    </row>
    <row r="1386" spans="1:2" x14ac:dyDescent="0.3">
      <c r="A1386" s="1">
        <v>90535</v>
      </c>
      <c r="B1386" s="1">
        <v>400852</v>
      </c>
    </row>
    <row r="1387" spans="1:2" x14ac:dyDescent="0.3">
      <c r="A1387" s="1">
        <v>90535</v>
      </c>
      <c r="B1387" s="1">
        <v>400852</v>
      </c>
    </row>
    <row r="1388" spans="1:2" x14ac:dyDescent="0.3">
      <c r="A1388" s="1">
        <v>90334</v>
      </c>
      <c r="B1388" s="1">
        <v>400789</v>
      </c>
    </row>
    <row r="1389" spans="1:2" x14ac:dyDescent="0.3">
      <c r="A1389" s="1">
        <v>90334</v>
      </c>
      <c r="B1389" s="1">
        <v>400789</v>
      </c>
    </row>
    <row r="1390" spans="1:2" x14ac:dyDescent="0.3">
      <c r="A1390" s="1">
        <v>79882</v>
      </c>
      <c r="B1390" s="1">
        <v>400389</v>
      </c>
    </row>
    <row r="1391" spans="1:2" x14ac:dyDescent="0.3">
      <c r="A1391" s="1">
        <v>79882</v>
      </c>
      <c r="B1391" s="1">
        <v>400389</v>
      </c>
    </row>
    <row r="1392" spans="1:2" x14ac:dyDescent="0.3">
      <c r="A1392" s="1">
        <v>90548</v>
      </c>
      <c r="B1392" s="1">
        <v>400823</v>
      </c>
    </row>
    <row r="1393" spans="1:2" x14ac:dyDescent="0.3">
      <c r="A1393" s="1">
        <v>90548</v>
      </c>
      <c r="B1393" s="1">
        <v>400823</v>
      </c>
    </row>
    <row r="1394" spans="1:2" x14ac:dyDescent="0.3">
      <c r="A1394" s="1">
        <v>79880</v>
      </c>
      <c r="B1394" s="1">
        <v>400388</v>
      </c>
    </row>
    <row r="1395" spans="1:2" x14ac:dyDescent="0.3">
      <c r="A1395" s="1">
        <v>79880</v>
      </c>
      <c r="B1395" s="1">
        <v>400388</v>
      </c>
    </row>
    <row r="1396" spans="1:2" x14ac:dyDescent="0.3">
      <c r="A1396" s="1">
        <v>79233</v>
      </c>
      <c r="B1396" s="1">
        <v>400221</v>
      </c>
    </row>
    <row r="1397" spans="1:2" x14ac:dyDescent="0.3">
      <c r="A1397" s="1">
        <v>79233</v>
      </c>
      <c r="B1397" s="1">
        <v>400221</v>
      </c>
    </row>
    <row r="1398" spans="1:2" x14ac:dyDescent="0.3">
      <c r="A1398" s="1">
        <v>78965</v>
      </c>
      <c r="B1398" s="1">
        <v>400227</v>
      </c>
    </row>
    <row r="1399" spans="1:2" x14ac:dyDescent="0.3">
      <c r="A1399" s="1">
        <v>78965</v>
      </c>
      <c r="B1399" s="1">
        <v>400227</v>
      </c>
    </row>
    <row r="1400" spans="1:2" x14ac:dyDescent="0.3">
      <c r="A1400" s="1">
        <v>79876</v>
      </c>
      <c r="B1400" s="1">
        <v>400386</v>
      </c>
    </row>
    <row r="1401" spans="1:2" x14ac:dyDescent="0.3">
      <c r="A1401" s="1">
        <v>79876</v>
      </c>
      <c r="B1401" s="1">
        <v>400386</v>
      </c>
    </row>
    <row r="1402" spans="1:2" x14ac:dyDescent="0.3">
      <c r="A1402" s="1">
        <v>79878</v>
      </c>
      <c r="B1402" s="1">
        <v>400387</v>
      </c>
    </row>
    <row r="1403" spans="1:2" x14ac:dyDescent="0.3">
      <c r="A1403" s="1">
        <v>79878</v>
      </c>
      <c r="B1403" s="1">
        <v>400387</v>
      </c>
    </row>
    <row r="1404" spans="1:2" x14ac:dyDescent="0.3">
      <c r="A1404" s="1">
        <v>79871</v>
      </c>
      <c r="B1404" s="1">
        <v>400351</v>
      </c>
    </row>
    <row r="1405" spans="1:2" x14ac:dyDescent="0.3">
      <c r="A1405" s="1">
        <v>90330</v>
      </c>
      <c r="B1405" s="1">
        <v>400787</v>
      </c>
    </row>
    <row r="1406" spans="1:2" x14ac:dyDescent="0.3">
      <c r="A1406" s="1">
        <v>90330</v>
      </c>
      <c r="B1406" s="1">
        <v>400787</v>
      </c>
    </row>
    <row r="1407" spans="1:2" x14ac:dyDescent="0.3">
      <c r="A1407" s="1">
        <v>79871</v>
      </c>
      <c r="B1407" s="1">
        <v>400351</v>
      </c>
    </row>
    <row r="1408" spans="1:2" x14ac:dyDescent="0.3">
      <c r="A1408" s="1">
        <v>4396</v>
      </c>
      <c r="B1408" s="1">
        <v>404060</v>
      </c>
    </row>
    <row r="1409" spans="1:2" x14ac:dyDescent="0.3">
      <c r="A1409" s="1">
        <v>4396</v>
      </c>
      <c r="B1409" s="1">
        <v>404060</v>
      </c>
    </row>
    <row r="1410" spans="1:2" x14ac:dyDescent="0.3">
      <c r="A1410" s="1">
        <v>4396</v>
      </c>
      <c r="B1410" s="1">
        <v>404060</v>
      </c>
    </row>
    <row r="1411" spans="1:2" x14ac:dyDescent="0.3">
      <c r="A1411" s="1">
        <v>4396</v>
      </c>
      <c r="B1411" s="1">
        <v>404060</v>
      </c>
    </row>
    <row r="1412" spans="1:2" x14ac:dyDescent="0.3">
      <c r="A1412" s="1">
        <v>79065</v>
      </c>
      <c r="B1412" s="1">
        <v>400267</v>
      </c>
    </row>
    <row r="1413" spans="1:2" x14ac:dyDescent="0.3">
      <c r="A1413" s="1">
        <v>79065</v>
      </c>
      <c r="B1413" s="1">
        <v>400267</v>
      </c>
    </row>
    <row r="1414" spans="1:2" x14ac:dyDescent="0.3">
      <c r="A1414" s="1">
        <v>10878</v>
      </c>
      <c r="B1414" s="1">
        <v>400165</v>
      </c>
    </row>
    <row r="1415" spans="1:2" x14ac:dyDescent="0.3">
      <c r="A1415" s="1">
        <v>10878</v>
      </c>
      <c r="B1415" s="1">
        <v>400165</v>
      </c>
    </row>
    <row r="1416" spans="1:2" x14ac:dyDescent="0.3">
      <c r="A1416" s="1">
        <v>79420</v>
      </c>
      <c r="B1416" s="1">
        <v>400317</v>
      </c>
    </row>
    <row r="1417" spans="1:2" x14ac:dyDescent="0.3">
      <c r="A1417" s="1">
        <v>79420</v>
      </c>
      <c r="B1417" s="1">
        <v>400317</v>
      </c>
    </row>
    <row r="1418" spans="1:2" x14ac:dyDescent="0.3">
      <c r="A1418" s="1">
        <v>4360</v>
      </c>
      <c r="B1418" s="1">
        <v>400069</v>
      </c>
    </row>
    <row r="1419" spans="1:2" x14ac:dyDescent="0.3">
      <c r="A1419" s="1">
        <v>4360</v>
      </c>
      <c r="B1419" s="1">
        <v>400069</v>
      </c>
    </row>
    <row r="1420" spans="1:2" x14ac:dyDescent="0.3">
      <c r="A1420" s="1">
        <v>78840</v>
      </c>
      <c r="B1420" s="1">
        <v>400451</v>
      </c>
    </row>
    <row r="1421" spans="1:2" x14ac:dyDescent="0.3">
      <c r="A1421" s="1">
        <v>78840</v>
      </c>
      <c r="B1421" s="1">
        <v>400451</v>
      </c>
    </row>
    <row r="1422" spans="1:2" x14ac:dyDescent="0.3">
      <c r="A1422" s="1">
        <v>4383</v>
      </c>
      <c r="B1422" s="1">
        <v>400074</v>
      </c>
    </row>
    <row r="1423" spans="1:2" x14ac:dyDescent="0.3">
      <c r="A1423" s="1">
        <v>4383</v>
      </c>
      <c r="B1423" s="1">
        <v>400074</v>
      </c>
    </row>
    <row r="1424" spans="1:2" x14ac:dyDescent="0.3">
      <c r="A1424" s="1">
        <v>4383</v>
      </c>
      <c r="B1424" s="1">
        <v>400074</v>
      </c>
    </row>
    <row r="1425" spans="1:2" x14ac:dyDescent="0.3">
      <c r="A1425" s="1">
        <v>4383</v>
      </c>
      <c r="B1425" s="1">
        <v>400074</v>
      </c>
    </row>
    <row r="1426" spans="1:2" x14ac:dyDescent="0.3">
      <c r="A1426" s="1">
        <v>4383</v>
      </c>
      <c r="B1426" s="1">
        <v>400074</v>
      </c>
    </row>
    <row r="1427" spans="1:2" x14ac:dyDescent="0.3">
      <c r="A1427" s="1">
        <v>79598</v>
      </c>
      <c r="B1427" s="1">
        <v>400295</v>
      </c>
    </row>
    <row r="1428" spans="1:2" x14ac:dyDescent="0.3">
      <c r="A1428" s="1">
        <v>79598</v>
      </c>
      <c r="B1428" s="1">
        <v>400295</v>
      </c>
    </row>
    <row r="1429" spans="1:2" x14ac:dyDescent="0.3">
      <c r="A1429" s="1">
        <v>79598</v>
      </c>
      <c r="B1429" s="1">
        <v>400295</v>
      </c>
    </row>
    <row r="1430" spans="1:2" x14ac:dyDescent="0.3">
      <c r="A1430" s="1">
        <v>79598</v>
      </c>
      <c r="B1430" s="1">
        <v>400295</v>
      </c>
    </row>
    <row r="1431" spans="1:2" x14ac:dyDescent="0.3">
      <c r="A1431" s="1">
        <v>79598</v>
      </c>
      <c r="B1431" s="1">
        <v>400295</v>
      </c>
    </row>
    <row r="1432" spans="1:2" x14ac:dyDescent="0.3">
      <c r="A1432" s="1">
        <v>79598</v>
      </c>
      <c r="B1432" s="1">
        <v>400295</v>
      </c>
    </row>
    <row r="1433" spans="1:2" x14ac:dyDescent="0.3">
      <c r="A1433" s="1">
        <v>79598</v>
      </c>
      <c r="B1433" s="1">
        <v>400295</v>
      </c>
    </row>
    <row r="1434" spans="1:2" x14ac:dyDescent="0.3">
      <c r="A1434" s="1">
        <v>79598</v>
      </c>
      <c r="B1434" s="1">
        <v>400295</v>
      </c>
    </row>
    <row r="1435" spans="1:2" x14ac:dyDescent="0.3">
      <c r="A1435" s="1">
        <v>79598</v>
      </c>
      <c r="B1435" s="1">
        <v>400295</v>
      </c>
    </row>
    <row r="1436" spans="1:2" x14ac:dyDescent="0.3">
      <c r="A1436" s="1">
        <v>79598</v>
      </c>
      <c r="B1436" s="1">
        <v>400295</v>
      </c>
    </row>
    <row r="1437" spans="1:2" x14ac:dyDescent="0.3">
      <c r="A1437" s="1">
        <v>79598</v>
      </c>
      <c r="B1437" s="1">
        <v>400295</v>
      </c>
    </row>
    <row r="1438" spans="1:2" x14ac:dyDescent="0.3">
      <c r="A1438" s="1">
        <v>79598</v>
      </c>
      <c r="B1438" s="1">
        <v>400295</v>
      </c>
    </row>
    <row r="1439" spans="1:2" x14ac:dyDescent="0.3">
      <c r="A1439" s="1">
        <v>79598</v>
      </c>
      <c r="B1439" s="1">
        <v>400295</v>
      </c>
    </row>
    <row r="1440" spans="1:2" x14ac:dyDescent="0.3">
      <c r="A1440" s="1">
        <v>4480</v>
      </c>
      <c r="B1440" s="1">
        <v>404170</v>
      </c>
    </row>
    <row r="1441" spans="1:2" x14ac:dyDescent="0.3">
      <c r="A1441" s="1">
        <v>4480</v>
      </c>
      <c r="B1441" s="1">
        <v>404170</v>
      </c>
    </row>
    <row r="1442" spans="1:2" x14ac:dyDescent="0.3">
      <c r="A1442" s="1">
        <v>4223</v>
      </c>
      <c r="B1442" s="1">
        <v>404200</v>
      </c>
    </row>
    <row r="1443" spans="1:2" x14ac:dyDescent="0.3">
      <c r="A1443" s="1">
        <v>4267</v>
      </c>
      <c r="B1443" s="1">
        <v>404230</v>
      </c>
    </row>
    <row r="1444" spans="1:2" x14ac:dyDescent="0.3">
      <c r="A1444" s="1">
        <v>4267</v>
      </c>
      <c r="B1444" s="1">
        <v>404230</v>
      </c>
    </row>
    <row r="1445" spans="1:2" x14ac:dyDescent="0.3">
      <c r="A1445" s="1">
        <v>4267</v>
      </c>
      <c r="B1445" s="1">
        <v>404230</v>
      </c>
    </row>
    <row r="1446" spans="1:2" x14ac:dyDescent="0.3">
      <c r="A1446" s="1">
        <v>4267</v>
      </c>
      <c r="B1446" s="1">
        <v>404230</v>
      </c>
    </row>
    <row r="1447" spans="1:2" x14ac:dyDescent="0.3">
      <c r="A1447" s="1">
        <v>4267</v>
      </c>
      <c r="B1447" s="1">
        <v>404230</v>
      </c>
    </row>
    <row r="1448" spans="1:2" x14ac:dyDescent="0.3">
      <c r="A1448" s="1">
        <v>4267</v>
      </c>
      <c r="B1448" s="1">
        <v>404230</v>
      </c>
    </row>
    <row r="1449" spans="1:2" x14ac:dyDescent="0.3">
      <c r="A1449" s="1">
        <v>4267</v>
      </c>
      <c r="B1449" s="1">
        <v>404230</v>
      </c>
    </row>
    <row r="1450" spans="1:2" x14ac:dyDescent="0.3">
      <c r="A1450" s="1">
        <v>4267</v>
      </c>
      <c r="B1450" s="1">
        <v>404230</v>
      </c>
    </row>
    <row r="1451" spans="1:2" x14ac:dyDescent="0.3">
      <c r="A1451" s="1">
        <v>4267</v>
      </c>
      <c r="B1451" s="1">
        <v>404230</v>
      </c>
    </row>
    <row r="1452" spans="1:2" x14ac:dyDescent="0.3">
      <c r="A1452" s="1">
        <v>4267</v>
      </c>
      <c r="B1452" s="1">
        <v>404230</v>
      </c>
    </row>
    <row r="1453" spans="1:2" x14ac:dyDescent="0.3">
      <c r="A1453" s="1">
        <v>4267</v>
      </c>
      <c r="B1453" s="1">
        <v>404230</v>
      </c>
    </row>
    <row r="1454" spans="1:2" x14ac:dyDescent="0.3">
      <c r="A1454" s="1">
        <v>4267</v>
      </c>
      <c r="B1454" s="1">
        <v>404230</v>
      </c>
    </row>
    <row r="1455" spans="1:2" x14ac:dyDescent="0.3">
      <c r="A1455" s="1">
        <v>4267</v>
      </c>
      <c r="B1455" s="1">
        <v>404230</v>
      </c>
    </row>
    <row r="1456" spans="1:2" x14ac:dyDescent="0.3">
      <c r="A1456" s="1">
        <v>4267</v>
      </c>
      <c r="B1456" s="1">
        <v>404230</v>
      </c>
    </row>
    <row r="1457" spans="1:2" x14ac:dyDescent="0.3">
      <c r="A1457" s="1">
        <v>4267</v>
      </c>
      <c r="B1457" s="1">
        <v>404230</v>
      </c>
    </row>
    <row r="1458" spans="1:2" x14ac:dyDescent="0.3">
      <c r="A1458" s="1">
        <v>4267</v>
      </c>
      <c r="B1458" s="1">
        <v>404230</v>
      </c>
    </row>
    <row r="1459" spans="1:2" x14ac:dyDescent="0.3">
      <c r="A1459" s="1">
        <v>4267</v>
      </c>
      <c r="B1459" s="1">
        <v>404230</v>
      </c>
    </row>
    <row r="1460" spans="1:2" x14ac:dyDescent="0.3">
      <c r="A1460" s="1">
        <v>4267</v>
      </c>
      <c r="B1460" s="1">
        <v>404230</v>
      </c>
    </row>
    <row r="1461" spans="1:2" x14ac:dyDescent="0.3">
      <c r="A1461" s="1">
        <v>4267</v>
      </c>
      <c r="B1461" s="1">
        <v>404230</v>
      </c>
    </row>
    <row r="1462" spans="1:2" x14ac:dyDescent="0.3">
      <c r="A1462" s="1">
        <v>4267</v>
      </c>
      <c r="B1462" s="1">
        <v>404230</v>
      </c>
    </row>
    <row r="1463" spans="1:2" x14ac:dyDescent="0.3">
      <c r="A1463" s="1">
        <v>4267</v>
      </c>
      <c r="B1463" s="1">
        <v>404230</v>
      </c>
    </row>
    <row r="1464" spans="1:2" x14ac:dyDescent="0.3">
      <c r="A1464" s="1">
        <v>4267</v>
      </c>
      <c r="B1464" s="1">
        <v>404230</v>
      </c>
    </row>
    <row r="1465" spans="1:2" x14ac:dyDescent="0.3">
      <c r="A1465" s="1">
        <v>4267</v>
      </c>
      <c r="B1465" s="1">
        <v>404230</v>
      </c>
    </row>
    <row r="1466" spans="1:2" x14ac:dyDescent="0.3">
      <c r="A1466" s="1">
        <v>4267</v>
      </c>
      <c r="B1466" s="1">
        <v>404230</v>
      </c>
    </row>
    <row r="1467" spans="1:2" x14ac:dyDescent="0.3">
      <c r="A1467" s="1">
        <v>4267</v>
      </c>
      <c r="B1467" s="1">
        <v>404230</v>
      </c>
    </row>
    <row r="1468" spans="1:2" x14ac:dyDescent="0.3">
      <c r="A1468" s="1">
        <v>4267</v>
      </c>
      <c r="B1468" s="1">
        <v>404230</v>
      </c>
    </row>
    <row r="1469" spans="1:2" x14ac:dyDescent="0.3">
      <c r="A1469" s="1">
        <v>4267</v>
      </c>
      <c r="B1469" s="1">
        <v>404230</v>
      </c>
    </row>
    <row r="1470" spans="1:2" x14ac:dyDescent="0.3">
      <c r="A1470" s="1">
        <v>90900</v>
      </c>
      <c r="B1470" s="1">
        <v>400844</v>
      </c>
    </row>
    <row r="1471" spans="1:2" x14ac:dyDescent="0.3">
      <c r="A1471" s="1">
        <v>90900</v>
      </c>
      <c r="B1471" s="1">
        <v>400844</v>
      </c>
    </row>
    <row r="1472" spans="1:2" x14ac:dyDescent="0.3">
      <c r="A1472" s="1">
        <v>4368</v>
      </c>
      <c r="B1472" s="1">
        <v>404280</v>
      </c>
    </row>
    <row r="1473" spans="1:2" x14ac:dyDescent="0.3">
      <c r="A1473" s="1">
        <v>4368</v>
      </c>
      <c r="B1473" s="1">
        <v>404280</v>
      </c>
    </row>
    <row r="1474" spans="1:2" x14ac:dyDescent="0.3">
      <c r="A1474" s="1">
        <v>4368</v>
      </c>
      <c r="B1474" s="1">
        <v>404280</v>
      </c>
    </row>
    <row r="1475" spans="1:2" x14ac:dyDescent="0.3">
      <c r="A1475" s="1">
        <v>4368</v>
      </c>
      <c r="B1475" s="1">
        <v>404280</v>
      </c>
    </row>
    <row r="1476" spans="1:2" x14ac:dyDescent="0.3">
      <c r="A1476" s="1">
        <v>4368</v>
      </c>
      <c r="B1476" s="1">
        <v>404280</v>
      </c>
    </row>
    <row r="1477" spans="1:2" x14ac:dyDescent="0.3">
      <c r="A1477" s="1">
        <v>4368</v>
      </c>
      <c r="B1477" s="1">
        <v>404280</v>
      </c>
    </row>
    <row r="1478" spans="1:2" x14ac:dyDescent="0.3">
      <c r="A1478" s="1">
        <v>4368</v>
      </c>
      <c r="B1478" s="1">
        <v>404280</v>
      </c>
    </row>
    <row r="1479" spans="1:2" x14ac:dyDescent="0.3">
      <c r="A1479" s="1">
        <v>4368</v>
      </c>
      <c r="B1479" s="1">
        <v>404280</v>
      </c>
    </row>
    <row r="1480" spans="1:2" x14ac:dyDescent="0.3">
      <c r="A1480" s="1">
        <v>4368</v>
      </c>
      <c r="B1480" s="1">
        <v>404280</v>
      </c>
    </row>
    <row r="1481" spans="1:2" x14ac:dyDescent="0.3">
      <c r="A1481" s="1">
        <v>4368</v>
      </c>
      <c r="B1481" s="1">
        <v>404280</v>
      </c>
    </row>
    <row r="1482" spans="1:2" x14ac:dyDescent="0.3">
      <c r="A1482" s="1">
        <v>4368</v>
      </c>
      <c r="B1482" s="1">
        <v>404280</v>
      </c>
    </row>
    <row r="1483" spans="1:2" x14ac:dyDescent="0.3">
      <c r="A1483" s="1">
        <v>4276</v>
      </c>
      <c r="B1483" s="1">
        <v>404290</v>
      </c>
    </row>
    <row r="1484" spans="1:2" x14ac:dyDescent="0.3">
      <c r="A1484" s="1">
        <v>4276</v>
      </c>
      <c r="B1484" s="1">
        <v>404290</v>
      </c>
    </row>
    <row r="1485" spans="1:2" x14ac:dyDescent="0.3">
      <c r="A1485" s="1">
        <v>4276</v>
      </c>
      <c r="B1485" s="1">
        <v>404290</v>
      </c>
    </row>
    <row r="1486" spans="1:2" x14ac:dyDescent="0.3">
      <c r="A1486" s="1">
        <v>4276</v>
      </c>
      <c r="B1486" s="1">
        <v>404290</v>
      </c>
    </row>
    <row r="1487" spans="1:2" x14ac:dyDescent="0.3">
      <c r="A1487" s="1">
        <v>4276</v>
      </c>
      <c r="B1487" s="1">
        <v>404290</v>
      </c>
    </row>
    <row r="1488" spans="1:2" x14ac:dyDescent="0.3">
      <c r="A1488" s="1">
        <v>4276</v>
      </c>
      <c r="B1488" s="1">
        <v>404290</v>
      </c>
    </row>
    <row r="1489" spans="1:2" x14ac:dyDescent="0.3">
      <c r="A1489" s="1">
        <v>4276</v>
      </c>
      <c r="B1489" s="1">
        <v>404290</v>
      </c>
    </row>
    <row r="1490" spans="1:2" x14ac:dyDescent="0.3">
      <c r="A1490" s="1">
        <v>4276</v>
      </c>
      <c r="B1490" s="1">
        <v>404290</v>
      </c>
    </row>
    <row r="1491" spans="1:2" x14ac:dyDescent="0.3">
      <c r="A1491" s="1">
        <v>79967</v>
      </c>
      <c r="B1491" s="1">
        <v>400395</v>
      </c>
    </row>
    <row r="1492" spans="1:2" x14ac:dyDescent="0.3">
      <c r="A1492" s="1">
        <v>91174</v>
      </c>
      <c r="B1492" s="1">
        <v>400845</v>
      </c>
    </row>
    <row r="1493" spans="1:2" x14ac:dyDescent="0.3">
      <c r="A1493" s="1">
        <v>79967</v>
      </c>
      <c r="B1493" s="1">
        <v>400395</v>
      </c>
    </row>
    <row r="1494" spans="1:2" x14ac:dyDescent="0.3">
      <c r="A1494" s="1">
        <v>79967</v>
      </c>
      <c r="B1494" s="1">
        <v>400395</v>
      </c>
    </row>
    <row r="1495" spans="1:2" x14ac:dyDescent="0.3">
      <c r="A1495" s="1">
        <v>79967</v>
      </c>
      <c r="B1495" s="1">
        <v>400395</v>
      </c>
    </row>
    <row r="1496" spans="1:2" x14ac:dyDescent="0.3">
      <c r="A1496" s="1">
        <v>91174</v>
      </c>
      <c r="B1496" s="1">
        <v>400845</v>
      </c>
    </row>
    <row r="1497" spans="1:2" x14ac:dyDescent="0.3">
      <c r="A1497" s="1">
        <v>91174</v>
      </c>
      <c r="B1497" s="1">
        <v>400845</v>
      </c>
    </row>
    <row r="1498" spans="1:2" x14ac:dyDescent="0.3">
      <c r="A1498" s="1">
        <v>79967</v>
      </c>
      <c r="B1498" s="1">
        <v>400395</v>
      </c>
    </row>
    <row r="1499" spans="1:2" x14ac:dyDescent="0.3">
      <c r="A1499" s="1">
        <v>90637</v>
      </c>
      <c r="B1499" s="1">
        <v>400824</v>
      </c>
    </row>
    <row r="1500" spans="1:2" x14ac:dyDescent="0.3">
      <c r="A1500" s="1">
        <v>90637</v>
      </c>
      <c r="B1500" s="1">
        <v>400824</v>
      </c>
    </row>
    <row r="1501" spans="1:2" x14ac:dyDescent="0.3">
      <c r="A1501" s="1">
        <v>87349</v>
      </c>
      <c r="B1501" s="1">
        <v>400423</v>
      </c>
    </row>
    <row r="1502" spans="1:2" x14ac:dyDescent="0.3">
      <c r="A1502" s="1">
        <v>87349</v>
      </c>
      <c r="B1502" s="1">
        <v>400423</v>
      </c>
    </row>
    <row r="1503" spans="1:2" x14ac:dyDescent="0.3">
      <c r="A1503" s="1">
        <v>79660</v>
      </c>
      <c r="B1503" s="1">
        <v>400298</v>
      </c>
    </row>
    <row r="1504" spans="1:2" x14ac:dyDescent="0.3">
      <c r="A1504" s="1">
        <v>79660</v>
      </c>
      <c r="B1504" s="1">
        <v>400298</v>
      </c>
    </row>
    <row r="1505" spans="1:2" x14ac:dyDescent="0.3">
      <c r="A1505" s="1">
        <v>91763</v>
      </c>
      <c r="B1505" s="1">
        <v>400871</v>
      </c>
    </row>
    <row r="1506" spans="1:2" x14ac:dyDescent="0.3">
      <c r="A1506" s="1">
        <v>91763</v>
      </c>
      <c r="B1506" s="1">
        <v>400871</v>
      </c>
    </row>
    <row r="1507" spans="1:2" x14ac:dyDescent="0.3">
      <c r="A1507" s="1">
        <v>88360</v>
      </c>
      <c r="B1507" s="1">
        <v>400745</v>
      </c>
    </row>
    <row r="1508" spans="1:2" x14ac:dyDescent="0.3">
      <c r="A1508" s="1">
        <v>88360</v>
      </c>
      <c r="B1508" s="1">
        <v>400745</v>
      </c>
    </row>
    <row r="1509" spans="1:2" x14ac:dyDescent="0.3">
      <c r="A1509" s="1">
        <v>88360</v>
      </c>
      <c r="B1509" s="1">
        <v>400745</v>
      </c>
    </row>
    <row r="1510" spans="1:2" x14ac:dyDescent="0.3">
      <c r="A1510" s="1">
        <v>92199</v>
      </c>
      <c r="B1510" s="1">
        <v>400892</v>
      </c>
    </row>
    <row r="1511" spans="1:2" x14ac:dyDescent="0.3">
      <c r="A1511" s="1">
        <v>92199</v>
      </c>
      <c r="B1511" s="1">
        <v>400892</v>
      </c>
    </row>
    <row r="1512" spans="1:2" x14ac:dyDescent="0.3">
      <c r="A1512" s="1">
        <v>91135</v>
      </c>
      <c r="B1512" s="1">
        <v>400847</v>
      </c>
    </row>
    <row r="1513" spans="1:2" x14ac:dyDescent="0.3">
      <c r="A1513" s="1">
        <v>91135</v>
      </c>
      <c r="B1513" s="1">
        <v>400847</v>
      </c>
    </row>
    <row r="1514" spans="1:2" x14ac:dyDescent="0.3">
      <c r="A1514" s="1">
        <v>92047</v>
      </c>
      <c r="B1514" s="1">
        <v>400899</v>
      </c>
    </row>
    <row r="1515" spans="1:2" x14ac:dyDescent="0.3">
      <c r="A1515" s="1">
        <v>92047</v>
      </c>
      <c r="B1515" s="1">
        <v>400899</v>
      </c>
    </row>
    <row r="1516" spans="1:2" x14ac:dyDescent="0.3">
      <c r="A1516" s="1">
        <v>91137</v>
      </c>
      <c r="B1516" s="1">
        <v>400842</v>
      </c>
    </row>
    <row r="1517" spans="1:2" x14ac:dyDescent="0.3">
      <c r="A1517" s="1">
        <v>91137</v>
      </c>
      <c r="B1517" s="1">
        <v>400842</v>
      </c>
    </row>
    <row r="1518" spans="1:2" x14ac:dyDescent="0.3">
      <c r="A1518" s="1">
        <v>80987</v>
      </c>
      <c r="B1518" s="1">
        <v>400617</v>
      </c>
    </row>
    <row r="1519" spans="1:2" x14ac:dyDescent="0.3">
      <c r="A1519" s="1">
        <v>80987</v>
      </c>
      <c r="B1519" s="1">
        <v>400617</v>
      </c>
    </row>
    <row r="1520" spans="1:2" x14ac:dyDescent="0.3">
      <c r="A1520" s="1">
        <v>4266</v>
      </c>
      <c r="B1520" s="1">
        <v>404320</v>
      </c>
    </row>
    <row r="1521" spans="1:2" x14ac:dyDescent="0.3">
      <c r="A1521" s="1">
        <v>4266</v>
      </c>
      <c r="B1521" s="1">
        <v>404320</v>
      </c>
    </row>
    <row r="1522" spans="1:2" x14ac:dyDescent="0.3">
      <c r="A1522" s="1">
        <v>4266</v>
      </c>
      <c r="B1522" s="1">
        <v>404320</v>
      </c>
    </row>
    <row r="1523" spans="1:2" x14ac:dyDescent="0.3">
      <c r="A1523" s="1">
        <v>4266</v>
      </c>
      <c r="B1523" s="1">
        <v>404320</v>
      </c>
    </row>
    <row r="1524" spans="1:2" x14ac:dyDescent="0.3">
      <c r="A1524" s="1">
        <v>4266</v>
      </c>
      <c r="B1524" s="1">
        <v>404320</v>
      </c>
    </row>
    <row r="1525" spans="1:2" x14ac:dyDescent="0.3">
      <c r="A1525" s="1">
        <v>4266</v>
      </c>
      <c r="B1525" s="1">
        <v>404320</v>
      </c>
    </row>
    <row r="1526" spans="1:2" x14ac:dyDescent="0.3">
      <c r="A1526" s="1">
        <v>4216</v>
      </c>
      <c r="B1526" s="1">
        <v>400099</v>
      </c>
    </row>
    <row r="1527" spans="1:2" x14ac:dyDescent="0.3">
      <c r="A1527" s="1">
        <v>4216</v>
      </c>
      <c r="B1527" s="1">
        <v>400099</v>
      </c>
    </row>
    <row r="1528" spans="1:2" x14ac:dyDescent="0.3">
      <c r="A1528" s="1">
        <v>10968</v>
      </c>
      <c r="B1528" s="1">
        <v>400190</v>
      </c>
    </row>
    <row r="1529" spans="1:2" x14ac:dyDescent="0.3">
      <c r="A1529" s="1">
        <v>10968</v>
      </c>
      <c r="B1529" s="1">
        <v>400190</v>
      </c>
    </row>
    <row r="1530" spans="1:2" x14ac:dyDescent="0.3">
      <c r="A1530" s="1">
        <v>10968</v>
      </c>
      <c r="B1530" s="1">
        <v>400190</v>
      </c>
    </row>
    <row r="1531" spans="1:2" x14ac:dyDescent="0.3">
      <c r="A1531" s="1">
        <v>80299</v>
      </c>
      <c r="B1531" s="1">
        <v>400383</v>
      </c>
    </row>
    <row r="1532" spans="1:2" x14ac:dyDescent="0.3">
      <c r="A1532" s="1">
        <v>80299</v>
      </c>
      <c r="B1532" s="1">
        <v>400383</v>
      </c>
    </row>
    <row r="1533" spans="1:2" x14ac:dyDescent="0.3">
      <c r="A1533" s="1">
        <v>80299</v>
      </c>
      <c r="B1533" s="1">
        <v>400383</v>
      </c>
    </row>
    <row r="1534" spans="1:2" x14ac:dyDescent="0.3">
      <c r="A1534" s="1">
        <v>79926</v>
      </c>
      <c r="B1534" s="1">
        <v>400393</v>
      </c>
    </row>
    <row r="1535" spans="1:2" x14ac:dyDescent="0.3">
      <c r="A1535" s="1">
        <v>90754</v>
      </c>
      <c r="B1535" s="1">
        <v>400826</v>
      </c>
    </row>
    <row r="1536" spans="1:2" x14ac:dyDescent="0.3">
      <c r="A1536" s="1">
        <v>90754</v>
      </c>
      <c r="B1536" s="1">
        <v>400826</v>
      </c>
    </row>
    <row r="1537" spans="1:2" x14ac:dyDescent="0.3">
      <c r="A1537" s="1">
        <v>90754</v>
      </c>
      <c r="B1537" s="1">
        <v>400826</v>
      </c>
    </row>
    <row r="1538" spans="1:2" x14ac:dyDescent="0.3">
      <c r="A1538" s="1">
        <v>79926</v>
      </c>
      <c r="B1538" s="1">
        <v>400393</v>
      </c>
    </row>
    <row r="1539" spans="1:2" x14ac:dyDescent="0.3">
      <c r="A1539" s="1">
        <v>4281</v>
      </c>
      <c r="B1539" s="1">
        <v>404380</v>
      </c>
    </row>
    <row r="1540" spans="1:2" x14ac:dyDescent="0.3">
      <c r="A1540" s="1">
        <v>4281</v>
      </c>
      <c r="B1540" s="1">
        <v>404380</v>
      </c>
    </row>
    <row r="1541" spans="1:2" x14ac:dyDescent="0.3">
      <c r="A1541" s="1">
        <v>4281</v>
      </c>
      <c r="B1541" s="1">
        <v>404380</v>
      </c>
    </row>
    <row r="1542" spans="1:2" x14ac:dyDescent="0.3">
      <c r="A1542" s="1">
        <v>4281</v>
      </c>
      <c r="B1542" s="1">
        <v>404380</v>
      </c>
    </row>
    <row r="1543" spans="1:2" x14ac:dyDescent="0.3">
      <c r="A1543" s="1">
        <v>4281</v>
      </c>
      <c r="B1543" s="1">
        <v>404380</v>
      </c>
    </row>
    <row r="1544" spans="1:2" x14ac:dyDescent="0.3">
      <c r="A1544" s="1">
        <v>4281</v>
      </c>
      <c r="B1544" s="1">
        <v>404380</v>
      </c>
    </row>
    <row r="1545" spans="1:2" x14ac:dyDescent="0.3">
      <c r="A1545" s="1">
        <v>4281</v>
      </c>
      <c r="B1545" s="1">
        <v>404380</v>
      </c>
    </row>
    <row r="1546" spans="1:2" x14ac:dyDescent="0.3">
      <c r="A1546" s="1">
        <v>4281</v>
      </c>
      <c r="B1546" s="1">
        <v>404380</v>
      </c>
    </row>
    <row r="1547" spans="1:2" x14ac:dyDescent="0.3">
      <c r="A1547" s="1">
        <v>4281</v>
      </c>
      <c r="B1547" s="1">
        <v>404380</v>
      </c>
    </row>
    <row r="1548" spans="1:2" x14ac:dyDescent="0.3">
      <c r="A1548" s="1">
        <v>4281</v>
      </c>
      <c r="B1548" s="1">
        <v>404380</v>
      </c>
    </row>
    <row r="1549" spans="1:2" x14ac:dyDescent="0.3">
      <c r="A1549" s="1">
        <v>4281</v>
      </c>
      <c r="B1549" s="1">
        <v>404380</v>
      </c>
    </row>
    <row r="1550" spans="1:2" x14ac:dyDescent="0.3">
      <c r="A1550" s="1">
        <v>4281</v>
      </c>
      <c r="B1550" s="1">
        <v>404380</v>
      </c>
    </row>
    <row r="1551" spans="1:2" x14ac:dyDescent="0.3">
      <c r="A1551" s="1">
        <v>4281</v>
      </c>
      <c r="B1551" s="1">
        <v>404380</v>
      </c>
    </row>
    <row r="1552" spans="1:2" x14ac:dyDescent="0.3">
      <c r="A1552" s="1">
        <v>4281</v>
      </c>
      <c r="B1552" s="1">
        <v>404380</v>
      </c>
    </row>
    <row r="1553" spans="1:2" x14ac:dyDescent="0.3">
      <c r="A1553" s="1">
        <v>4281</v>
      </c>
      <c r="B1553" s="1">
        <v>404380</v>
      </c>
    </row>
    <row r="1554" spans="1:2" x14ac:dyDescent="0.3">
      <c r="A1554" s="1">
        <v>79050</v>
      </c>
      <c r="B1554" s="1">
        <v>400217</v>
      </c>
    </row>
    <row r="1555" spans="1:2" x14ac:dyDescent="0.3">
      <c r="A1555" s="1">
        <v>79050</v>
      </c>
      <c r="B1555" s="1">
        <v>400217</v>
      </c>
    </row>
    <row r="1556" spans="1:2" x14ac:dyDescent="0.3">
      <c r="A1556" s="1">
        <v>5178</v>
      </c>
      <c r="B1556" s="1">
        <v>400252</v>
      </c>
    </row>
    <row r="1557" spans="1:2" x14ac:dyDescent="0.3">
      <c r="A1557" s="1">
        <v>5178</v>
      </c>
      <c r="B1557" s="1">
        <v>400252</v>
      </c>
    </row>
    <row r="1558" spans="1:2" x14ac:dyDescent="0.3">
      <c r="A1558" s="1">
        <v>4374</v>
      </c>
      <c r="B1558" s="1">
        <v>404410</v>
      </c>
    </row>
    <row r="1559" spans="1:2" x14ac:dyDescent="0.3">
      <c r="A1559" s="1">
        <v>4374</v>
      </c>
      <c r="B1559" s="1">
        <v>404410</v>
      </c>
    </row>
    <row r="1560" spans="1:2" x14ac:dyDescent="0.3">
      <c r="A1560" s="1">
        <v>4374</v>
      </c>
      <c r="B1560" s="1">
        <v>404410</v>
      </c>
    </row>
    <row r="1561" spans="1:2" x14ac:dyDescent="0.3">
      <c r="A1561" s="1">
        <v>4278</v>
      </c>
      <c r="B1561" s="1">
        <v>404440</v>
      </c>
    </row>
    <row r="1562" spans="1:2" x14ac:dyDescent="0.3">
      <c r="A1562" s="1">
        <v>4278</v>
      </c>
      <c r="B1562" s="1">
        <v>404440</v>
      </c>
    </row>
    <row r="1563" spans="1:2" x14ac:dyDescent="0.3">
      <c r="A1563" s="1">
        <v>4278</v>
      </c>
      <c r="B1563" s="1">
        <v>404440</v>
      </c>
    </row>
    <row r="1564" spans="1:2" x14ac:dyDescent="0.3">
      <c r="A1564" s="1">
        <v>4278</v>
      </c>
      <c r="B1564" s="1">
        <v>404440</v>
      </c>
    </row>
    <row r="1565" spans="1:2" x14ac:dyDescent="0.3">
      <c r="A1565" s="1">
        <v>4278</v>
      </c>
      <c r="B1565" s="1">
        <v>404440</v>
      </c>
    </row>
    <row r="1566" spans="1:2" x14ac:dyDescent="0.3">
      <c r="A1566" s="1">
        <v>4278</v>
      </c>
      <c r="B1566" s="1">
        <v>404440</v>
      </c>
    </row>
    <row r="1567" spans="1:2" x14ac:dyDescent="0.3">
      <c r="A1567" s="1">
        <v>4278</v>
      </c>
      <c r="B1567" s="1">
        <v>404440</v>
      </c>
    </row>
    <row r="1568" spans="1:2" x14ac:dyDescent="0.3">
      <c r="A1568" s="1">
        <v>4278</v>
      </c>
      <c r="B1568" s="1">
        <v>404440</v>
      </c>
    </row>
    <row r="1569" spans="1:2" x14ac:dyDescent="0.3">
      <c r="A1569" s="1">
        <v>4427</v>
      </c>
      <c r="B1569" s="1">
        <v>400125</v>
      </c>
    </row>
    <row r="1570" spans="1:2" x14ac:dyDescent="0.3">
      <c r="A1570" s="1">
        <v>4427</v>
      </c>
      <c r="B1570" s="1">
        <v>400125</v>
      </c>
    </row>
    <row r="1571" spans="1:2" x14ac:dyDescent="0.3">
      <c r="A1571" s="1">
        <v>4270</v>
      </c>
      <c r="B1571" s="1">
        <v>404500</v>
      </c>
    </row>
    <row r="1572" spans="1:2" x14ac:dyDescent="0.3">
      <c r="A1572" s="1">
        <v>4270</v>
      </c>
      <c r="B1572" s="1">
        <v>404500</v>
      </c>
    </row>
    <row r="1573" spans="1:2" x14ac:dyDescent="0.3">
      <c r="A1573" s="1">
        <v>4270</v>
      </c>
      <c r="B1573" s="1">
        <v>404500</v>
      </c>
    </row>
    <row r="1574" spans="1:2" x14ac:dyDescent="0.3">
      <c r="A1574" s="1">
        <v>4270</v>
      </c>
      <c r="B1574" s="1">
        <v>404500</v>
      </c>
    </row>
    <row r="1575" spans="1:2" x14ac:dyDescent="0.3">
      <c r="A1575" s="1">
        <v>4270</v>
      </c>
      <c r="B1575" s="1">
        <v>404500</v>
      </c>
    </row>
    <row r="1576" spans="1:2" x14ac:dyDescent="0.3">
      <c r="A1576" s="1">
        <v>4270</v>
      </c>
      <c r="B1576" s="1">
        <v>404500</v>
      </c>
    </row>
    <row r="1577" spans="1:2" x14ac:dyDescent="0.3">
      <c r="A1577" s="1">
        <v>4270</v>
      </c>
      <c r="B1577" s="1">
        <v>404500</v>
      </c>
    </row>
    <row r="1578" spans="1:2" x14ac:dyDescent="0.3">
      <c r="A1578" s="1">
        <v>4270</v>
      </c>
      <c r="B1578" s="1">
        <v>404500</v>
      </c>
    </row>
    <row r="1579" spans="1:2" x14ac:dyDescent="0.3">
      <c r="A1579" s="1">
        <v>4270</v>
      </c>
      <c r="B1579" s="1">
        <v>404500</v>
      </c>
    </row>
    <row r="1580" spans="1:2" x14ac:dyDescent="0.3">
      <c r="A1580" s="1">
        <v>4199</v>
      </c>
      <c r="B1580" s="1">
        <v>404530</v>
      </c>
    </row>
    <row r="1581" spans="1:2" x14ac:dyDescent="0.3">
      <c r="A1581" s="1">
        <v>4199</v>
      </c>
      <c r="B1581" s="1">
        <v>404530</v>
      </c>
    </row>
    <row r="1582" spans="1:2" x14ac:dyDescent="0.3">
      <c r="A1582" s="1">
        <v>4439</v>
      </c>
      <c r="B1582" s="1">
        <v>404570</v>
      </c>
    </row>
    <row r="1583" spans="1:2" x14ac:dyDescent="0.3">
      <c r="A1583" s="1">
        <v>4439</v>
      </c>
      <c r="B1583" s="1">
        <v>404570</v>
      </c>
    </row>
    <row r="1584" spans="1:2" x14ac:dyDescent="0.3">
      <c r="A1584" s="1">
        <v>4439</v>
      </c>
      <c r="B1584" s="1">
        <v>404570</v>
      </c>
    </row>
    <row r="1585" spans="1:2" x14ac:dyDescent="0.3">
      <c r="A1585" s="1">
        <v>4439</v>
      </c>
      <c r="B1585" s="1">
        <v>404570</v>
      </c>
    </row>
    <row r="1586" spans="1:2" x14ac:dyDescent="0.3">
      <c r="A1586" s="1">
        <v>4439</v>
      </c>
      <c r="B1586" s="1">
        <v>404570</v>
      </c>
    </row>
    <row r="1587" spans="1:2" x14ac:dyDescent="0.3">
      <c r="A1587" s="1">
        <v>4439</v>
      </c>
      <c r="B1587" s="1">
        <v>404570</v>
      </c>
    </row>
    <row r="1588" spans="1:2" x14ac:dyDescent="0.3">
      <c r="A1588" s="1">
        <v>4404</v>
      </c>
      <c r="B1588" s="1">
        <v>404630</v>
      </c>
    </row>
    <row r="1589" spans="1:2" x14ac:dyDescent="0.3">
      <c r="A1589" s="1">
        <v>4404</v>
      </c>
      <c r="B1589" s="1">
        <v>404630</v>
      </c>
    </row>
    <row r="1590" spans="1:2" x14ac:dyDescent="0.3">
      <c r="A1590" s="1">
        <v>4404</v>
      </c>
      <c r="B1590" s="1">
        <v>404630</v>
      </c>
    </row>
    <row r="1591" spans="1:2" x14ac:dyDescent="0.3">
      <c r="A1591" s="1">
        <v>4404</v>
      </c>
      <c r="B1591" s="1">
        <v>404630</v>
      </c>
    </row>
    <row r="1592" spans="1:2" x14ac:dyDescent="0.3">
      <c r="A1592" s="1">
        <v>4404</v>
      </c>
      <c r="B1592" s="1">
        <v>404630</v>
      </c>
    </row>
    <row r="1593" spans="1:2" x14ac:dyDescent="0.3">
      <c r="A1593" s="1">
        <v>4404</v>
      </c>
      <c r="B1593" s="1">
        <v>404630</v>
      </c>
    </row>
    <row r="1594" spans="1:2" x14ac:dyDescent="0.3">
      <c r="A1594" s="1">
        <v>4404</v>
      </c>
      <c r="B1594" s="1">
        <v>404630</v>
      </c>
    </row>
    <row r="1595" spans="1:2" x14ac:dyDescent="0.3">
      <c r="A1595" s="1">
        <v>4404</v>
      </c>
      <c r="B1595" s="1">
        <v>404630</v>
      </c>
    </row>
    <row r="1596" spans="1:2" x14ac:dyDescent="0.3">
      <c r="A1596" s="1">
        <v>4404</v>
      </c>
      <c r="B1596" s="1">
        <v>404630</v>
      </c>
    </row>
    <row r="1597" spans="1:2" x14ac:dyDescent="0.3">
      <c r="A1597" s="1">
        <v>4404</v>
      </c>
      <c r="B1597" s="1">
        <v>404630</v>
      </c>
    </row>
    <row r="1598" spans="1:2" x14ac:dyDescent="0.3">
      <c r="A1598" s="1">
        <v>4404</v>
      </c>
      <c r="B1598" s="1">
        <v>404630</v>
      </c>
    </row>
    <row r="1599" spans="1:2" x14ac:dyDescent="0.3">
      <c r="A1599" s="1">
        <v>4404</v>
      </c>
      <c r="B1599" s="1">
        <v>404630</v>
      </c>
    </row>
    <row r="1600" spans="1:2" x14ac:dyDescent="0.3">
      <c r="A1600" s="1">
        <v>4404</v>
      </c>
      <c r="B1600" s="1">
        <v>404630</v>
      </c>
    </row>
    <row r="1601" spans="1:2" x14ac:dyDescent="0.3">
      <c r="A1601" s="1">
        <v>4404</v>
      </c>
      <c r="B1601" s="1">
        <v>404630</v>
      </c>
    </row>
    <row r="1602" spans="1:2" x14ac:dyDescent="0.3">
      <c r="A1602" s="1">
        <v>4404</v>
      </c>
      <c r="B1602" s="1">
        <v>404630</v>
      </c>
    </row>
    <row r="1603" spans="1:2" x14ac:dyDescent="0.3">
      <c r="A1603" s="1">
        <v>4404</v>
      </c>
      <c r="B1603" s="1">
        <v>404630</v>
      </c>
    </row>
    <row r="1604" spans="1:2" x14ac:dyDescent="0.3">
      <c r="A1604" s="1">
        <v>4404</v>
      </c>
      <c r="B1604" s="1">
        <v>404630</v>
      </c>
    </row>
    <row r="1605" spans="1:2" x14ac:dyDescent="0.3">
      <c r="A1605" s="1">
        <v>4404</v>
      </c>
      <c r="B1605" s="1">
        <v>404630</v>
      </c>
    </row>
    <row r="1606" spans="1:2" x14ac:dyDescent="0.3">
      <c r="A1606" s="1">
        <v>4404</v>
      </c>
      <c r="B1606" s="1">
        <v>404630</v>
      </c>
    </row>
    <row r="1607" spans="1:2" x14ac:dyDescent="0.3">
      <c r="A1607" s="1">
        <v>4404</v>
      </c>
      <c r="B1607" s="1">
        <v>404630</v>
      </c>
    </row>
    <row r="1608" spans="1:2" x14ac:dyDescent="0.3">
      <c r="A1608" s="1">
        <v>4314</v>
      </c>
      <c r="B1608" s="1">
        <v>400041</v>
      </c>
    </row>
    <row r="1609" spans="1:2" x14ac:dyDescent="0.3">
      <c r="A1609" s="1">
        <v>4314</v>
      </c>
      <c r="B1609" s="1">
        <v>400041</v>
      </c>
    </row>
    <row r="1610" spans="1:2" x14ac:dyDescent="0.3">
      <c r="A1610" s="1">
        <v>4234</v>
      </c>
      <c r="B1610" s="1">
        <v>403860</v>
      </c>
    </row>
    <row r="1611" spans="1:2" x14ac:dyDescent="0.3">
      <c r="A1611" s="1">
        <v>4234</v>
      </c>
      <c r="B1611" s="1">
        <v>403860</v>
      </c>
    </row>
    <row r="1612" spans="1:2" x14ac:dyDescent="0.3">
      <c r="A1612" s="1">
        <v>4234</v>
      </c>
      <c r="B1612" s="1">
        <v>403860</v>
      </c>
    </row>
    <row r="1613" spans="1:2" x14ac:dyDescent="0.3">
      <c r="A1613" s="1">
        <v>4234</v>
      </c>
      <c r="B1613" s="1">
        <v>403860</v>
      </c>
    </row>
    <row r="1614" spans="1:2" x14ac:dyDescent="0.3">
      <c r="A1614" s="1">
        <v>4234</v>
      </c>
      <c r="B1614" s="1">
        <v>403860</v>
      </c>
    </row>
    <row r="1615" spans="1:2" x14ac:dyDescent="0.3">
      <c r="A1615" s="1">
        <v>4234</v>
      </c>
      <c r="B1615" s="1">
        <v>403860</v>
      </c>
    </row>
    <row r="1616" spans="1:2" x14ac:dyDescent="0.3">
      <c r="A1616" s="1">
        <v>4234</v>
      </c>
      <c r="B1616" s="1">
        <v>403860</v>
      </c>
    </row>
    <row r="1617" spans="1:2" x14ac:dyDescent="0.3">
      <c r="A1617" s="1">
        <v>4234</v>
      </c>
      <c r="B1617" s="1">
        <v>403860</v>
      </c>
    </row>
    <row r="1618" spans="1:2" x14ac:dyDescent="0.3">
      <c r="A1618" s="1">
        <v>4234</v>
      </c>
      <c r="B1618" s="1">
        <v>403860</v>
      </c>
    </row>
    <row r="1619" spans="1:2" x14ac:dyDescent="0.3">
      <c r="A1619" s="1">
        <v>4234</v>
      </c>
      <c r="B1619" s="1">
        <v>403860</v>
      </c>
    </row>
    <row r="1620" spans="1:2" x14ac:dyDescent="0.3">
      <c r="A1620" s="1">
        <v>4234</v>
      </c>
      <c r="B1620" s="1">
        <v>403860</v>
      </c>
    </row>
    <row r="1621" spans="1:2" x14ac:dyDescent="0.3">
      <c r="A1621" s="1">
        <v>4234</v>
      </c>
      <c r="B1621" s="1">
        <v>403860</v>
      </c>
    </row>
    <row r="1622" spans="1:2" x14ac:dyDescent="0.3">
      <c r="A1622" s="1">
        <v>4233</v>
      </c>
      <c r="B1622" s="1">
        <v>409700</v>
      </c>
    </row>
    <row r="1623" spans="1:2" x14ac:dyDescent="0.3">
      <c r="A1623" s="1">
        <v>79540</v>
      </c>
      <c r="B1623" s="1">
        <v>400459</v>
      </c>
    </row>
    <row r="1624" spans="1:2" x14ac:dyDescent="0.3">
      <c r="A1624" s="1">
        <v>79540</v>
      </c>
      <c r="B1624" s="1">
        <v>400459</v>
      </c>
    </row>
    <row r="1625" spans="1:2" x14ac:dyDescent="0.3">
      <c r="A1625" s="1">
        <v>4441</v>
      </c>
      <c r="B1625" s="1">
        <v>404720</v>
      </c>
    </row>
    <row r="1626" spans="1:2" x14ac:dyDescent="0.3">
      <c r="A1626" s="1">
        <v>4441</v>
      </c>
      <c r="B1626" s="1">
        <v>404720</v>
      </c>
    </row>
    <row r="1627" spans="1:2" x14ac:dyDescent="0.3">
      <c r="A1627" s="1">
        <v>4441</v>
      </c>
      <c r="B1627" s="1">
        <v>404720</v>
      </c>
    </row>
    <row r="1628" spans="1:2" x14ac:dyDescent="0.3">
      <c r="A1628" s="1">
        <v>4441</v>
      </c>
      <c r="B1628" s="1">
        <v>404720</v>
      </c>
    </row>
    <row r="1629" spans="1:2" x14ac:dyDescent="0.3">
      <c r="A1629" s="1">
        <v>4441</v>
      </c>
      <c r="B1629" s="1">
        <v>404720</v>
      </c>
    </row>
    <row r="1630" spans="1:2" x14ac:dyDescent="0.3">
      <c r="A1630" s="1">
        <v>4441</v>
      </c>
      <c r="B1630" s="1">
        <v>404720</v>
      </c>
    </row>
    <row r="1631" spans="1:2" x14ac:dyDescent="0.3">
      <c r="A1631" s="1">
        <v>4441</v>
      </c>
      <c r="B1631" s="1">
        <v>404720</v>
      </c>
    </row>
    <row r="1632" spans="1:2" x14ac:dyDescent="0.3">
      <c r="A1632" s="1">
        <v>4441</v>
      </c>
      <c r="B1632" s="1">
        <v>404720</v>
      </c>
    </row>
    <row r="1633" spans="1:2" x14ac:dyDescent="0.3">
      <c r="A1633" s="1">
        <v>4441</v>
      </c>
      <c r="B1633" s="1">
        <v>404720</v>
      </c>
    </row>
    <row r="1634" spans="1:2" x14ac:dyDescent="0.3">
      <c r="A1634" s="1">
        <v>4441</v>
      </c>
      <c r="B1634" s="1">
        <v>404720</v>
      </c>
    </row>
    <row r="1635" spans="1:2" x14ac:dyDescent="0.3">
      <c r="A1635" s="1">
        <v>4441</v>
      </c>
      <c r="B1635" s="1">
        <v>404720</v>
      </c>
    </row>
    <row r="1636" spans="1:2" x14ac:dyDescent="0.3">
      <c r="A1636" s="1">
        <v>4441</v>
      </c>
      <c r="B1636" s="1">
        <v>404720</v>
      </c>
    </row>
    <row r="1637" spans="1:2" x14ac:dyDescent="0.3">
      <c r="A1637" s="1">
        <v>4441</v>
      </c>
      <c r="B1637" s="1">
        <v>404720</v>
      </c>
    </row>
    <row r="1638" spans="1:2" x14ac:dyDescent="0.3">
      <c r="A1638" s="1">
        <v>4435</v>
      </c>
      <c r="B1638" s="1">
        <v>402740</v>
      </c>
    </row>
    <row r="1639" spans="1:2" x14ac:dyDescent="0.3">
      <c r="A1639" s="1">
        <v>4435</v>
      </c>
      <c r="B1639" s="1">
        <v>402740</v>
      </c>
    </row>
    <row r="1640" spans="1:2" x14ac:dyDescent="0.3">
      <c r="A1640" s="1">
        <v>4435</v>
      </c>
      <c r="B1640" s="1">
        <v>402740</v>
      </c>
    </row>
    <row r="1641" spans="1:2" x14ac:dyDescent="0.3">
      <c r="A1641" s="1">
        <v>10965</v>
      </c>
      <c r="B1641" s="1">
        <v>400211</v>
      </c>
    </row>
    <row r="1642" spans="1:2" x14ac:dyDescent="0.3">
      <c r="A1642" s="1">
        <v>10965</v>
      </c>
      <c r="B1642" s="1">
        <v>400211</v>
      </c>
    </row>
    <row r="1643" spans="1:2" x14ac:dyDescent="0.3">
      <c r="A1643" s="1">
        <v>90861</v>
      </c>
      <c r="B1643" s="1">
        <v>400875</v>
      </c>
    </row>
    <row r="1644" spans="1:2" x14ac:dyDescent="0.3">
      <c r="A1644" s="1">
        <v>90861</v>
      </c>
      <c r="B1644" s="1">
        <v>400875</v>
      </c>
    </row>
    <row r="1645" spans="1:2" x14ac:dyDescent="0.3">
      <c r="A1645" s="1">
        <v>79499</v>
      </c>
      <c r="B1645" s="1">
        <v>400281</v>
      </c>
    </row>
    <row r="1646" spans="1:2" x14ac:dyDescent="0.3">
      <c r="A1646" s="1">
        <v>79499</v>
      </c>
      <c r="B1646" s="1">
        <v>400281</v>
      </c>
    </row>
    <row r="1647" spans="1:2" x14ac:dyDescent="0.3">
      <c r="A1647" s="1">
        <v>89852</v>
      </c>
      <c r="B1647" s="1">
        <v>400781</v>
      </c>
    </row>
    <row r="1648" spans="1:2" x14ac:dyDescent="0.3">
      <c r="A1648" s="1">
        <v>89852</v>
      </c>
      <c r="B1648" s="1">
        <v>400781</v>
      </c>
    </row>
    <row r="1649" spans="1:2" x14ac:dyDescent="0.3">
      <c r="A1649" s="1">
        <v>4473</v>
      </c>
      <c r="B1649" s="1">
        <v>404820</v>
      </c>
    </row>
    <row r="1650" spans="1:2" x14ac:dyDescent="0.3">
      <c r="A1650" s="1">
        <v>4473</v>
      </c>
      <c r="B1650" s="1">
        <v>404820</v>
      </c>
    </row>
    <row r="1651" spans="1:2" x14ac:dyDescent="0.3">
      <c r="A1651" s="1">
        <v>4473</v>
      </c>
      <c r="B1651" s="1">
        <v>404820</v>
      </c>
    </row>
    <row r="1652" spans="1:2" x14ac:dyDescent="0.3">
      <c r="A1652" s="1">
        <v>4473</v>
      </c>
      <c r="B1652" s="1">
        <v>404820</v>
      </c>
    </row>
    <row r="1653" spans="1:2" x14ac:dyDescent="0.3">
      <c r="A1653" s="1">
        <v>81174</v>
      </c>
      <c r="B1653" s="1">
        <v>400614</v>
      </c>
    </row>
    <row r="1654" spans="1:2" x14ac:dyDescent="0.3">
      <c r="A1654" s="1">
        <v>81174</v>
      </c>
      <c r="B1654" s="1">
        <v>400614</v>
      </c>
    </row>
    <row r="1655" spans="1:2" x14ac:dyDescent="0.3">
      <c r="A1655" s="1">
        <v>4163</v>
      </c>
      <c r="B1655" s="1">
        <v>404860</v>
      </c>
    </row>
    <row r="1656" spans="1:2" x14ac:dyDescent="0.3">
      <c r="A1656" s="1">
        <v>4163</v>
      </c>
      <c r="B1656" s="1">
        <v>404860</v>
      </c>
    </row>
    <row r="1657" spans="1:2" x14ac:dyDescent="0.3">
      <c r="A1657" s="1">
        <v>4181</v>
      </c>
      <c r="B1657" s="1">
        <v>404920</v>
      </c>
    </row>
    <row r="1658" spans="1:2" x14ac:dyDescent="0.3">
      <c r="A1658" s="1">
        <v>4181</v>
      </c>
      <c r="B1658" s="1">
        <v>404920</v>
      </c>
    </row>
    <row r="1659" spans="1:2" x14ac:dyDescent="0.3">
      <c r="A1659" s="1">
        <v>89486</v>
      </c>
      <c r="B1659" s="1">
        <v>400757</v>
      </c>
    </row>
    <row r="1660" spans="1:2" x14ac:dyDescent="0.3">
      <c r="A1660" s="1">
        <v>89486</v>
      </c>
      <c r="B1660" s="1">
        <v>400757</v>
      </c>
    </row>
    <row r="1661" spans="1:2" x14ac:dyDescent="0.3">
      <c r="A1661" s="1">
        <v>4235</v>
      </c>
      <c r="B1661" s="1">
        <v>404970</v>
      </c>
    </row>
    <row r="1662" spans="1:2" x14ac:dyDescent="0.3">
      <c r="A1662" s="1">
        <v>4235</v>
      </c>
      <c r="B1662" s="1">
        <v>404970</v>
      </c>
    </row>
    <row r="1663" spans="1:2" x14ac:dyDescent="0.3">
      <c r="A1663" s="1">
        <v>4235</v>
      </c>
      <c r="B1663" s="1">
        <v>404970</v>
      </c>
    </row>
    <row r="1664" spans="1:2" x14ac:dyDescent="0.3">
      <c r="A1664" s="1">
        <v>4235</v>
      </c>
      <c r="B1664" s="1">
        <v>404970</v>
      </c>
    </row>
    <row r="1665" spans="1:2" x14ac:dyDescent="0.3">
      <c r="A1665" s="1">
        <v>4235</v>
      </c>
      <c r="B1665" s="1">
        <v>404970</v>
      </c>
    </row>
    <row r="1666" spans="1:2" x14ac:dyDescent="0.3">
      <c r="A1666" s="1">
        <v>4235</v>
      </c>
      <c r="B1666" s="1">
        <v>404970</v>
      </c>
    </row>
    <row r="1667" spans="1:2" x14ac:dyDescent="0.3">
      <c r="A1667" s="1">
        <v>4235</v>
      </c>
      <c r="B1667" s="1">
        <v>404970</v>
      </c>
    </row>
    <row r="1668" spans="1:2" x14ac:dyDescent="0.3">
      <c r="A1668" s="1">
        <v>4235</v>
      </c>
      <c r="B1668" s="1">
        <v>404970</v>
      </c>
    </row>
    <row r="1669" spans="1:2" x14ac:dyDescent="0.3">
      <c r="A1669" s="1">
        <v>4235</v>
      </c>
      <c r="B1669" s="1">
        <v>404970</v>
      </c>
    </row>
    <row r="1670" spans="1:2" x14ac:dyDescent="0.3">
      <c r="A1670" s="1">
        <v>4235</v>
      </c>
      <c r="B1670" s="1">
        <v>404970</v>
      </c>
    </row>
    <row r="1671" spans="1:2" x14ac:dyDescent="0.3">
      <c r="A1671" s="1">
        <v>4235</v>
      </c>
      <c r="B1671" s="1">
        <v>404970</v>
      </c>
    </row>
    <row r="1672" spans="1:2" x14ac:dyDescent="0.3">
      <c r="A1672" s="1">
        <v>4235</v>
      </c>
      <c r="B1672" s="1">
        <v>404970</v>
      </c>
    </row>
    <row r="1673" spans="1:2" x14ac:dyDescent="0.3">
      <c r="A1673" s="1">
        <v>4235</v>
      </c>
      <c r="B1673" s="1">
        <v>404970</v>
      </c>
    </row>
    <row r="1674" spans="1:2" x14ac:dyDescent="0.3">
      <c r="A1674" s="1">
        <v>4235</v>
      </c>
      <c r="B1674" s="1">
        <v>404970</v>
      </c>
    </row>
    <row r="1675" spans="1:2" x14ac:dyDescent="0.3">
      <c r="A1675" s="1">
        <v>4235</v>
      </c>
      <c r="B1675" s="1">
        <v>404970</v>
      </c>
    </row>
    <row r="1676" spans="1:2" x14ac:dyDescent="0.3">
      <c r="A1676" s="1">
        <v>4235</v>
      </c>
      <c r="B1676" s="1">
        <v>404970</v>
      </c>
    </row>
    <row r="1677" spans="1:2" x14ac:dyDescent="0.3">
      <c r="A1677" s="1">
        <v>4235</v>
      </c>
      <c r="B1677" s="1">
        <v>404970</v>
      </c>
    </row>
    <row r="1678" spans="1:2" x14ac:dyDescent="0.3">
      <c r="A1678" s="1">
        <v>4235</v>
      </c>
      <c r="B1678" s="1">
        <v>404970</v>
      </c>
    </row>
    <row r="1679" spans="1:2" x14ac:dyDescent="0.3">
      <c r="A1679" s="1">
        <v>4235</v>
      </c>
      <c r="B1679" s="1">
        <v>404970</v>
      </c>
    </row>
    <row r="1680" spans="1:2" x14ac:dyDescent="0.3">
      <c r="A1680" s="1">
        <v>4235</v>
      </c>
      <c r="B1680" s="1">
        <v>404970</v>
      </c>
    </row>
    <row r="1681" spans="1:2" x14ac:dyDescent="0.3">
      <c r="A1681" s="1">
        <v>4235</v>
      </c>
      <c r="B1681" s="1">
        <v>404970</v>
      </c>
    </row>
    <row r="1682" spans="1:2" x14ac:dyDescent="0.3">
      <c r="A1682" s="1">
        <v>4235</v>
      </c>
      <c r="B1682" s="1">
        <v>404970</v>
      </c>
    </row>
    <row r="1683" spans="1:2" x14ac:dyDescent="0.3">
      <c r="A1683" s="1">
        <v>4235</v>
      </c>
      <c r="B1683" s="1">
        <v>404970</v>
      </c>
    </row>
    <row r="1684" spans="1:2" x14ac:dyDescent="0.3">
      <c r="A1684" s="1">
        <v>4235</v>
      </c>
      <c r="B1684" s="1">
        <v>404970</v>
      </c>
    </row>
    <row r="1685" spans="1:2" x14ac:dyDescent="0.3">
      <c r="A1685" s="1">
        <v>4235</v>
      </c>
      <c r="B1685" s="1">
        <v>404970</v>
      </c>
    </row>
    <row r="1686" spans="1:2" x14ac:dyDescent="0.3">
      <c r="A1686" s="1">
        <v>4235</v>
      </c>
      <c r="B1686" s="1">
        <v>404970</v>
      </c>
    </row>
    <row r="1687" spans="1:2" x14ac:dyDescent="0.3">
      <c r="A1687" s="1">
        <v>4235</v>
      </c>
      <c r="B1687" s="1">
        <v>404970</v>
      </c>
    </row>
    <row r="1688" spans="1:2" x14ac:dyDescent="0.3">
      <c r="A1688" s="1">
        <v>4235</v>
      </c>
      <c r="B1688" s="1">
        <v>404970</v>
      </c>
    </row>
    <row r="1689" spans="1:2" x14ac:dyDescent="0.3">
      <c r="A1689" s="1">
        <v>4235</v>
      </c>
      <c r="B1689" s="1">
        <v>404970</v>
      </c>
    </row>
    <row r="1690" spans="1:2" x14ac:dyDescent="0.3">
      <c r="A1690" s="1">
        <v>4235</v>
      </c>
      <c r="B1690" s="1">
        <v>404970</v>
      </c>
    </row>
    <row r="1691" spans="1:2" x14ac:dyDescent="0.3">
      <c r="A1691" s="1">
        <v>4235</v>
      </c>
      <c r="B1691" s="1">
        <v>404970</v>
      </c>
    </row>
    <row r="1692" spans="1:2" x14ac:dyDescent="0.3">
      <c r="A1692" s="1">
        <v>4235</v>
      </c>
      <c r="B1692" s="1">
        <v>404970</v>
      </c>
    </row>
    <row r="1693" spans="1:2" x14ac:dyDescent="0.3">
      <c r="A1693" s="1">
        <v>4235</v>
      </c>
      <c r="B1693" s="1">
        <v>404970</v>
      </c>
    </row>
    <row r="1694" spans="1:2" x14ac:dyDescent="0.3">
      <c r="A1694" s="1">
        <v>4235</v>
      </c>
      <c r="B1694" s="1">
        <v>404970</v>
      </c>
    </row>
    <row r="1695" spans="1:2" x14ac:dyDescent="0.3">
      <c r="A1695" s="1">
        <v>4235</v>
      </c>
      <c r="B1695" s="1">
        <v>404970</v>
      </c>
    </row>
    <row r="1696" spans="1:2" x14ac:dyDescent="0.3">
      <c r="A1696" s="1">
        <v>4235</v>
      </c>
      <c r="B1696" s="1">
        <v>404970</v>
      </c>
    </row>
    <row r="1697" spans="1:2" x14ac:dyDescent="0.3">
      <c r="A1697" s="1">
        <v>4235</v>
      </c>
      <c r="B1697" s="1">
        <v>404970</v>
      </c>
    </row>
    <row r="1698" spans="1:2" x14ac:dyDescent="0.3">
      <c r="A1698" s="1">
        <v>4235</v>
      </c>
      <c r="B1698" s="1">
        <v>404970</v>
      </c>
    </row>
    <row r="1699" spans="1:2" x14ac:dyDescent="0.3">
      <c r="A1699" s="1">
        <v>4235</v>
      </c>
      <c r="B1699" s="1">
        <v>404970</v>
      </c>
    </row>
    <row r="1700" spans="1:2" x14ac:dyDescent="0.3">
      <c r="A1700" s="1">
        <v>4235</v>
      </c>
      <c r="B1700" s="1">
        <v>404970</v>
      </c>
    </row>
    <row r="1701" spans="1:2" x14ac:dyDescent="0.3">
      <c r="A1701" s="1">
        <v>4235</v>
      </c>
      <c r="B1701" s="1">
        <v>404970</v>
      </c>
    </row>
    <row r="1702" spans="1:2" x14ac:dyDescent="0.3">
      <c r="A1702" s="1">
        <v>4235</v>
      </c>
      <c r="B1702" s="1">
        <v>404970</v>
      </c>
    </row>
    <row r="1703" spans="1:2" x14ac:dyDescent="0.3">
      <c r="A1703" s="1">
        <v>4235</v>
      </c>
      <c r="B1703" s="1">
        <v>404970</v>
      </c>
    </row>
    <row r="1704" spans="1:2" x14ac:dyDescent="0.3">
      <c r="A1704" s="1">
        <v>4235</v>
      </c>
      <c r="B1704" s="1">
        <v>404970</v>
      </c>
    </row>
    <row r="1705" spans="1:2" x14ac:dyDescent="0.3">
      <c r="A1705" s="1">
        <v>4235</v>
      </c>
      <c r="B1705" s="1">
        <v>404970</v>
      </c>
    </row>
    <row r="1706" spans="1:2" x14ac:dyDescent="0.3">
      <c r="A1706" s="1">
        <v>4235</v>
      </c>
      <c r="B1706" s="1">
        <v>404970</v>
      </c>
    </row>
    <row r="1707" spans="1:2" x14ac:dyDescent="0.3">
      <c r="A1707" s="1">
        <v>4235</v>
      </c>
      <c r="B1707" s="1">
        <v>404970</v>
      </c>
    </row>
    <row r="1708" spans="1:2" x14ac:dyDescent="0.3">
      <c r="A1708" s="1">
        <v>4235</v>
      </c>
      <c r="B1708" s="1">
        <v>404970</v>
      </c>
    </row>
    <row r="1709" spans="1:2" x14ac:dyDescent="0.3">
      <c r="A1709" s="1">
        <v>4235</v>
      </c>
      <c r="B1709" s="1">
        <v>404970</v>
      </c>
    </row>
    <row r="1710" spans="1:2" x14ac:dyDescent="0.3">
      <c r="A1710" s="1">
        <v>4235</v>
      </c>
      <c r="B1710" s="1">
        <v>404970</v>
      </c>
    </row>
    <row r="1711" spans="1:2" x14ac:dyDescent="0.3">
      <c r="A1711" s="1">
        <v>4235</v>
      </c>
      <c r="B1711" s="1">
        <v>404970</v>
      </c>
    </row>
    <row r="1712" spans="1:2" x14ac:dyDescent="0.3">
      <c r="A1712" s="1">
        <v>4235</v>
      </c>
      <c r="B1712" s="1">
        <v>404970</v>
      </c>
    </row>
    <row r="1713" spans="1:2" x14ac:dyDescent="0.3">
      <c r="A1713" s="1">
        <v>4235</v>
      </c>
      <c r="B1713" s="1">
        <v>404970</v>
      </c>
    </row>
    <row r="1714" spans="1:2" x14ac:dyDescent="0.3">
      <c r="A1714" s="1">
        <v>4235</v>
      </c>
      <c r="B1714" s="1">
        <v>404970</v>
      </c>
    </row>
    <row r="1715" spans="1:2" x14ac:dyDescent="0.3">
      <c r="A1715" s="1">
        <v>4235</v>
      </c>
      <c r="B1715" s="1">
        <v>404970</v>
      </c>
    </row>
    <row r="1716" spans="1:2" x14ac:dyDescent="0.3">
      <c r="A1716" s="1">
        <v>4235</v>
      </c>
      <c r="B1716" s="1">
        <v>404970</v>
      </c>
    </row>
    <row r="1717" spans="1:2" x14ac:dyDescent="0.3">
      <c r="A1717" s="1">
        <v>4235</v>
      </c>
      <c r="B1717" s="1">
        <v>404970</v>
      </c>
    </row>
    <row r="1718" spans="1:2" x14ac:dyDescent="0.3">
      <c r="A1718" s="1">
        <v>4235</v>
      </c>
      <c r="B1718" s="1">
        <v>404970</v>
      </c>
    </row>
    <row r="1719" spans="1:2" x14ac:dyDescent="0.3">
      <c r="A1719" s="1">
        <v>4235</v>
      </c>
      <c r="B1719" s="1">
        <v>404970</v>
      </c>
    </row>
    <row r="1720" spans="1:2" x14ac:dyDescent="0.3">
      <c r="A1720" s="1">
        <v>4235</v>
      </c>
      <c r="B1720" s="1">
        <v>404970</v>
      </c>
    </row>
    <row r="1721" spans="1:2" x14ac:dyDescent="0.3">
      <c r="A1721" s="1">
        <v>4235</v>
      </c>
      <c r="B1721" s="1">
        <v>404970</v>
      </c>
    </row>
    <row r="1722" spans="1:2" x14ac:dyDescent="0.3">
      <c r="A1722" s="1">
        <v>4235</v>
      </c>
      <c r="B1722" s="1">
        <v>404970</v>
      </c>
    </row>
    <row r="1723" spans="1:2" x14ac:dyDescent="0.3">
      <c r="A1723" s="1">
        <v>4235</v>
      </c>
      <c r="B1723" s="1">
        <v>404970</v>
      </c>
    </row>
    <row r="1724" spans="1:2" x14ac:dyDescent="0.3">
      <c r="A1724" s="1">
        <v>4235</v>
      </c>
      <c r="B1724" s="1">
        <v>404970</v>
      </c>
    </row>
    <row r="1725" spans="1:2" x14ac:dyDescent="0.3">
      <c r="A1725" s="1">
        <v>4235</v>
      </c>
      <c r="B1725" s="1">
        <v>404970</v>
      </c>
    </row>
    <row r="1726" spans="1:2" x14ac:dyDescent="0.3">
      <c r="A1726" s="1">
        <v>4235</v>
      </c>
      <c r="B1726" s="1">
        <v>404970</v>
      </c>
    </row>
    <row r="1727" spans="1:2" x14ac:dyDescent="0.3">
      <c r="A1727" s="1">
        <v>4235</v>
      </c>
      <c r="B1727" s="1">
        <v>404970</v>
      </c>
    </row>
    <row r="1728" spans="1:2" x14ac:dyDescent="0.3">
      <c r="A1728" s="1">
        <v>4235</v>
      </c>
      <c r="B1728" s="1">
        <v>404970</v>
      </c>
    </row>
    <row r="1729" spans="1:2" x14ac:dyDescent="0.3">
      <c r="A1729" s="1">
        <v>4235</v>
      </c>
      <c r="B1729" s="1">
        <v>404970</v>
      </c>
    </row>
    <row r="1730" spans="1:2" x14ac:dyDescent="0.3">
      <c r="A1730" s="1">
        <v>4235</v>
      </c>
      <c r="B1730" s="1">
        <v>404970</v>
      </c>
    </row>
    <row r="1731" spans="1:2" x14ac:dyDescent="0.3">
      <c r="A1731" s="1">
        <v>4235</v>
      </c>
      <c r="B1731" s="1">
        <v>404970</v>
      </c>
    </row>
    <row r="1732" spans="1:2" x14ac:dyDescent="0.3">
      <c r="A1732" s="1">
        <v>4235</v>
      </c>
      <c r="B1732" s="1">
        <v>404970</v>
      </c>
    </row>
    <row r="1733" spans="1:2" x14ac:dyDescent="0.3">
      <c r="A1733" s="1">
        <v>4235</v>
      </c>
      <c r="B1733" s="1">
        <v>404970</v>
      </c>
    </row>
    <row r="1734" spans="1:2" x14ac:dyDescent="0.3">
      <c r="A1734" s="1">
        <v>4235</v>
      </c>
      <c r="B1734" s="1">
        <v>404970</v>
      </c>
    </row>
    <row r="1735" spans="1:2" x14ac:dyDescent="0.3">
      <c r="A1735" s="1">
        <v>4235</v>
      </c>
      <c r="B1735" s="1">
        <v>404970</v>
      </c>
    </row>
    <row r="1736" spans="1:2" x14ac:dyDescent="0.3">
      <c r="A1736" s="1">
        <v>4235</v>
      </c>
      <c r="B1736" s="1">
        <v>404970</v>
      </c>
    </row>
    <row r="1737" spans="1:2" x14ac:dyDescent="0.3">
      <c r="A1737" s="1">
        <v>4235</v>
      </c>
      <c r="B1737" s="1">
        <v>404970</v>
      </c>
    </row>
    <row r="1738" spans="1:2" x14ac:dyDescent="0.3">
      <c r="A1738" s="1">
        <v>4235</v>
      </c>
      <c r="B1738" s="1">
        <v>404970</v>
      </c>
    </row>
    <row r="1739" spans="1:2" x14ac:dyDescent="0.3">
      <c r="A1739" s="1">
        <v>4235</v>
      </c>
      <c r="B1739" s="1">
        <v>404970</v>
      </c>
    </row>
    <row r="1740" spans="1:2" x14ac:dyDescent="0.3">
      <c r="A1740" s="1">
        <v>4235</v>
      </c>
      <c r="B1740" s="1">
        <v>404970</v>
      </c>
    </row>
    <row r="1741" spans="1:2" x14ac:dyDescent="0.3">
      <c r="A1741" s="1">
        <v>4235</v>
      </c>
      <c r="B1741" s="1">
        <v>404970</v>
      </c>
    </row>
    <row r="1742" spans="1:2" x14ac:dyDescent="0.3">
      <c r="A1742" s="1">
        <v>4235</v>
      </c>
      <c r="B1742" s="1">
        <v>404970</v>
      </c>
    </row>
    <row r="1743" spans="1:2" x14ac:dyDescent="0.3">
      <c r="A1743" s="1">
        <v>4235</v>
      </c>
      <c r="B1743" s="1">
        <v>404970</v>
      </c>
    </row>
    <row r="1744" spans="1:2" x14ac:dyDescent="0.3">
      <c r="A1744" s="1">
        <v>4235</v>
      </c>
      <c r="B1744" s="1">
        <v>404970</v>
      </c>
    </row>
    <row r="1745" spans="1:2" x14ac:dyDescent="0.3">
      <c r="A1745" s="1">
        <v>4235</v>
      </c>
      <c r="B1745" s="1">
        <v>404970</v>
      </c>
    </row>
    <row r="1746" spans="1:2" x14ac:dyDescent="0.3">
      <c r="A1746" s="1">
        <v>4235</v>
      </c>
      <c r="B1746" s="1">
        <v>404970</v>
      </c>
    </row>
    <row r="1747" spans="1:2" x14ac:dyDescent="0.3">
      <c r="A1747" s="1">
        <v>4235</v>
      </c>
      <c r="B1747" s="1">
        <v>404970</v>
      </c>
    </row>
    <row r="1748" spans="1:2" x14ac:dyDescent="0.3">
      <c r="A1748" s="1">
        <v>4235</v>
      </c>
      <c r="B1748" s="1">
        <v>404970</v>
      </c>
    </row>
    <row r="1749" spans="1:2" x14ac:dyDescent="0.3">
      <c r="A1749" s="1">
        <v>4235</v>
      </c>
      <c r="B1749" s="1">
        <v>404970</v>
      </c>
    </row>
    <row r="1750" spans="1:2" x14ac:dyDescent="0.3">
      <c r="A1750" s="1">
        <v>4235</v>
      </c>
      <c r="B1750" s="1">
        <v>404970</v>
      </c>
    </row>
    <row r="1751" spans="1:2" x14ac:dyDescent="0.3">
      <c r="A1751" s="1">
        <v>5181</v>
      </c>
      <c r="B1751" s="1">
        <v>400238</v>
      </c>
    </row>
    <row r="1752" spans="1:2" x14ac:dyDescent="0.3">
      <c r="A1752" s="1">
        <v>5181</v>
      </c>
      <c r="B1752" s="1">
        <v>400238</v>
      </c>
    </row>
    <row r="1753" spans="1:2" x14ac:dyDescent="0.3">
      <c r="A1753" s="1">
        <v>4463</v>
      </c>
      <c r="B1753" s="1">
        <v>400150</v>
      </c>
    </row>
    <row r="1754" spans="1:2" x14ac:dyDescent="0.3">
      <c r="A1754" s="1">
        <v>4463</v>
      </c>
      <c r="B1754" s="1">
        <v>400150</v>
      </c>
    </row>
    <row r="1755" spans="1:2" x14ac:dyDescent="0.3">
      <c r="A1755" s="1">
        <v>4463</v>
      </c>
      <c r="B1755" s="1">
        <v>400150</v>
      </c>
    </row>
    <row r="1756" spans="1:2" x14ac:dyDescent="0.3">
      <c r="A1756" s="1">
        <v>4211</v>
      </c>
      <c r="B1756" s="1">
        <v>405030</v>
      </c>
    </row>
    <row r="1757" spans="1:2" x14ac:dyDescent="0.3">
      <c r="A1757" s="1">
        <v>4211</v>
      </c>
      <c r="B1757" s="1">
        <v>405030</v>
      </c>
    </row>
    <row r="1758" spans="1:2" x14ac:dyDescent="0.3">
      <c r="A1758" s="1">
        <v>4211</v>
      </c>
      <c r="B1758" s="1">
        <v>405030</v>
      </c>
    </row>
    <row r="1759" spans="1:2" x14ac:dyDescent="0.3">
      <c r="A1759" s="1">
        <v>4211</v>
      </c>
      <c r="B1759" s="1">
        <v>405030</v>
      </c>
    </row>
    <row r="1760" spans="1:2" x14ac:dyDescent="0.3">
      <c r="A1760" s="1">
        <v>4211</v>
      </c>
      <c r="B1760" s="1">
        <v>405030</v>
      </c>
    </row>
    <row r="1761" spans="1:2" x14ac:dyDescent="0.3">
      <c r="A1761" s="1">
        <v>4211</v>
      </c>
      <c r="B1761" s="1">
        <v>405030</v>
      </c>
    </row>
    <row r="1762" spans="1:2" x14ac:dyDescent="0.3">
      <c r="A1762" s="1">
        <v>79994</v>
      </c>
      <c r="B1762" s="1">
        <v>400370</v>
      </c>
    </row>
    <row r="1763" spans="1:2" x14ac:dyDescent="0.3">
      <c r="A1763" s="1">
        <v>79994</v>
      </c>
      <c r="B1763" s="1">
        <v>400370</v>
      </c>
    </row>
    <row r="1764" spans="1:2" x14ac:dyDescent="0.3">
      <c r="A1764" s="1">
        <v>79207</v>
      </c>
      <c r="B1764" s="1">
        <v>400229</v>
      </c>
    </row>
    <row r="1765" spans="1:2" x14ac:dyDescent="0.3">
      <c r="A1765" s="1">
        <v>79207</v>
      </c>
      <c r="B1765" s="1">
        <v>400229</v>
      </c>
    </row>
    <row r="1766" spans="1:2" x14ac:dyDescent="0.3">
      <c r="A1766" s="1">
        <v>4493</v>
      </c>
      <c r="B1766" s="1">
        <v>400090</v>
      </c>
    </row>
    <row r="1767" spans="1:2" x14ac:dyDescent="0.3">
      <c r="A1767" s="1">
        <v>4493</v>
      </c>
      <c r="B1767" s="1">
        <v>400090</v>
      </c>
    </row>
    <row r="1768" spans="1:2" x14ac:dyDescent="0.3">
      <c r="A1768" s="1">
        <v>4488</v>
      </c>
      <c r="B1768" s="1">
        <v>405070</v>
      </c>
    </row>
    <row r="1769" spans="1:2" x14ac:dyDescent="0.3">
      <c r="A1769" s="1">
        <v>4488</v>
      </c>
      <c r="B1769" s="1">
        <v>405070</v>
      </c>
    </row>
    <row r="1770" spans="1:2" x14ac:dyDescent="0.3">
      <c r="A1770" s="1">
        <v>4488</v>
      </c>
      <c r="B1770" s="1">
        <v>405070</v>
      </c>
    </row>
    <row r="1771" spans="1:2" x14ac:dyDescent="0.3">
      <c r="A1771" s="1">
        <v>4488</v>
      </c>
      <c r="B1771" s="1">
        <v>405070</v>
      </c>
    </row>
    <row r="1772" spans="1:2" x14ac:dyDescent="0.3">
      <c r="A1772" s="1">
        <v>78845</v>
      </c>
      <c r="B1772" s="1">
        <v>400236</v>
      </c>
    </row>
    <row r="1773" spans="1:2" x14ac:dyDescent="0.3">
      <c r="A1773" s="1">
        <v>78845</v>
      </c>
      <c r="B1773" s="1">
        <v>400236</v>
      </c>
    </row>
    <row r="1774" spans="1:2" x14ac:dyDescent="0.3">
      <c r="A1774" s="1">
        <v>78845</v>
      </c>
      <c r="B1774" s="1">
        <v>400236</v>
      </c>
    </row>
    <row r="1775" spans="1:2" x14ac:dyDescent="0.3">
      <c r="A1775" s="1">
        <v>4253</v>
      </c>
      <c r="B1775" s="1">
        <v>405100</v>
      </c>
    </row>
    <row r="1776" spans="1:2" x14ac:dyDescent="0.3">
      <c r="A1776" s="1">
        <v>4253</v>
      </c>
      <c r="B1776" s="1">
        <v>405100</v>
      </c>
    </row>
    <row r="1777" spans="1:2" x14ac:dyDescent="0.3">
      <c r="A1777" s="1">
        <v>85516</v>
      </c>
      <c r="B1777" s="1">
        <v>400413</v>
      </c>
    </row>
    <row r="1778" spans="1:2" x14ac:dyDescent="0.3">
      <c r="A1778" s="1">
        <v>85516</v>
      </c>
      <c r="B1778" s="1">
        <v>400413</v>
      </c>
    </row>
    <row r="1779" spans="1:2" x14ac:dyDescent="0.3">
      <c r="A1779" s="1">
        <v>85516</v>
      </c>
      <c r="B1779" s="1">
        <v>400413</v>
      </c>
    </row>
    <row r="1780" spans="1:2" x14ac:dyDescent="0.3">
      <c r="A1780" s="1">
        <v>79498</v>
      </c>
      <c r="B1780" s="1">
        <v>400280</v>
      </c>
    </row>
    <row r="1781" spans="1:2" x14ac:dyDescent="0.3">
      <c r="A1781" s="1">
        <v>79498</v>
      </c>
      <c r="B1781" s="1">
        <v>400280</v>
      </c>
    </row>
    <row r="1782" spans="1:2" x14ac:dyDescent="0.3">
      <c r="A1782" s="1">
        <v>79589</v>
      </c>
      <c r="B1782" s="1">
        <v>400461</v>
      </c>
    </row>
    <row r="1783" spans="1:2" x14ac:dyDescent="0.3">
      <c r="A1783" s="1">
        <v>79589</v>
      </c>
      <c r="B1783" s="1">
        <v>400461</v>
      </c>
    </row>
    <row r="1784" spans="1:2" x14ac:dyDescent="0.3">
      <c r="A1784" s="1">
        <v>4379</v>
      </c>
      <c r="B1784" s="1">
        <v>405190</v>
      </c>
    </row>
    <row r="1785" spans="1:2" x14ac:dyDescent="0.3">
      <c r="A1785" s="1">
        <v>4379</v>
      </c>
      <c r="B1785" s="1">
        <v>405190</v>
      </c>
    </row>
    <row r="1786" spans="1:2" x14ac:dyDescent="0.3">
      <c r="A1786" s="1">
        <v>4379</v>
      </c>
      <c r="B1786" s="1">
        <v>405190</v>
      </c>
    </row>
    <row r="1787" spans="1:2" x14ac:dyDescent="0.3">
      <c r="A1787" s="1">
        <v>4379</v>
      </c>
      <c r="B1787" s="1">
        <v>405190</v>
      </c>
    </row>
    <row r="1788" spans="1:2" x14ac:dyDescent="0.3">
      <c r="A1788" s="1">
        <v>4379</v>
      </c>
      <c r="B1788" s="1">
        <v>405190</v>
      </c>
    </row>
    <row r="1789" spans="1:2" x14ac:dyDescent="0.3">
      <c r="A1789" s="1">
        <v>4503</v>
      </c>
      <c r="B1789" s="1">
        <v>405220</v>
      </c>
    </row>
    <row r="1790" spans="1:2" x14ac:dyDescent="0.3">
      <c r="A1790" s="1">
        <v>4503</v>
      </c>
      <c r="B1790" s="1">
        <v>405220</v>
      </c>
    </row>
    <row r="1791" spans="1:2" x14ac:dyDescent="0.3">
      <c r="A1791" s="1">
        <v>80011</v>
      </c>
      <c r="B1791" s="1">
        <v>400399</v>
      </c>
    </row>
    <row r="1792" spans="1:2" x14ac:dyDescent="0.3">
      <c r="A1792" s="1">
        <v>80011</v>
      </c>
      <c r="B1792" s="1">
        <v>400399</v>
      </c>
    </row>
    <row r="1793" spans="1:2" x14ac:dyDescent="0.3">
      <c r="A1793" s="1">
        <v>4205</v>
      </c>
      <c r="B1793" s="1">
        <v>400020</v>
      </c>
    </row>
    <row r="1794" spans="1:2" x14ac:dyDescent="0.3">
      <c r="A1794" s="1">
        <v>4205</v>
      </c>
      <c r="B1794" s="1">
        <v>400020</v>
      </c>
    </row>
    <row r="1795" spans="1:2" x14ac:dyDescent="0.3">
      <c r="A1795" s="1">
        <v>4359</v>
      </c>
      <c r="B1795" s="1">
        <v>400068</v>
      </c>
    </row>
    <row r="1796" spans="1:2" x14ac:dyDescent="0.3">
      <c r="A1796" s="1">
        <v>4359</v>
      </c>
      <c r="B1796" s="1">
        <v>400068</v>
      </c>
    </row>
    <row r="1797" spans="1:2" x14ac:dyDescent="0.3">
      <c r="A1797" s="1">
        <v>4359</v>
      </c>
      <c r="B1797" s="1">
        <v>400068</v>
      </c>
    </row>
    <row r="1798" spans="1:2" x14ac:dyDescent="0.3">
      <c r="A1798" s="1">
        <v>4363</v>
      </c>
      <c r="B1798" s="1">
        <v>400072</v>
      </c>
    </row>
    <row r="1799" spans="1:2" x14ac:dyDescent="0.3">
      <c r="A1799" s="1">
        <v>4363</v>
      </c>
      <c r="B1799" s="1">
        <v>400072</v>
      </c>
    </row>
    <row r="1800" spans="1:2" x14ac:dyDescent="0.3">
      <c r="A1800" s="1">
        <v>4363</v>
      </c>
      <c r="B1800" s="1">
        <v>400072</v>
      </c>
    </row>
    <row r="1801" spans="1:2" x14ac:dyDescent="0.3">
      <c r="A1801" s="1">
        <v>79548</v>
      </c>
      <c r="B1801" s="1">
        <v>400285</v>
      </c>
    </row>
    <row r="1802" spans="1:2" x14ac:dyDescent="0.3">
      <c r="A1802" s="1">
        <v>79548</v>
      </c>
      <c r="B1802" s="1">
        <v>400285</v>
      </c>
    </row>
    <row r="1803" spans="1:2" x14ac:dyDescent="0.3">
      <c r="A1803" s="1">
        <v>4428</v>
      </c>
      <c r="B1803" s="1">
        <v>400126</v>
      </c>
    </row>
    <row r="1804" spans="1:2" x14ac:dyDescent="0.3">
      <c r="A1804" s="1">
        <v>4428</v>
      </c>
      <c r="B1804" s="1">
        <v>400126</v>
      </c>
    </row>
    <row r="1805" spans="1:2" x14ac:dyDescent="0.3">
      <c r="A1805" s="1">
        <v>4428</v>
      </c>
      <c r="B1805" s="1">
        <v>400126</v>
      </c>
    </row>
    <row r="1806" spans="1:2" x14ac:dyDescent="0.3">
      <c r="A1806" s="1">
        <v>4230</v>
      </c>
      <c r="B1806" s="1">
        <v>405320</v>
      </c>
    </row>
    <row r="1807" spans="1:2" x14ac:dyDescent="0.3">
      <c r="A1807" s="1">
        <v>4230</v>
      </c>
      <c r="B1807" s="1">
        <v>405320</v>
      </c>
    </row>
    <row r="1808" spans="1:2" x14ac:dyDescent="0.3">
      <c r="A1808" s="1">
        <v>4230</v>
      </c>
      <c r="B1808" s="1">
        <v>405320</v>
      </c>
    </row>
    <row r="1809" spans="1:2" x14ac:dyDescent="0.3">
      <c r="A1809" s="1">
        <v>4230</v>
      </c>
      <c r="B1809" s="1">
        <v>405320</v>
      </c>
    </row>
    <row r="1810" spans="1:2" x14ac:dyDescent="0.3">
      <c r="A1810" s="1">
        <v>90192</v>
      </c>
      <c r="B1810" s="1">
        <v>400793</v>
      </c>
    </row>
    <row r="1811" spans="1:2" x14ac:dyDescent="0.3">
      <c r="A1811" s="1">
        <v>90192</v>
      </c>
      <c r="B1811" s="1">
        <v>400793</v>
      </c>
    </row>
    <row r="1812" spans="1:2" x14ac:dyDescent="0.3">
      <c r="A1812" s="1">
        <v>4251</v>
      </c>
      <c r="B1812" s="1">
        <v>405340</v>
      </c>
    </row>
    <row r="1813" spans="1:2" x14ac:dyDescent="0.3">
      <c r="A1813" s="1">
        <v>4251</v>
      </c>
      <c r="B1813" s="1">
        <v>405340</v>
      </c>
    </row>
    <row r="1814" spans="1:2" x14ac:dyDescent="0.3">
      <c r="A1814" s="1">
        <v>90090</v>
      </c>
      <c r="B1814" s="1">
        <v>400772</v>
      </c>
    </row>
    <row r="1815" spans="1:2" x14ac:dyDescent="0.3">
      <c r="A1815" s="1">
        <v>90090</v>
      </c>
      <c r="B1815" s="1">
        <v>400772</v>
      </c>
    </row>
    <row r="1816" spans="1:2" x14ac:dyDescent="0.3">
      <c r="A1816" s="1">
        <v>90090</v>
      </c>
      <c r="B1816" s="1">
        <v>400772</v>
      </c>
    </row>
    <row r="1817" spans="1:2" x14ac:dyDescent="0.3">
      <c r="A1817" s="1">
        <v>90090</v>
      </c>
      <c r="B1817" s="1">
        <v>400772</v>
      </c>
    </row>
    <row r="1818" spans="1:2" x14ac:dyDescent="0.3">
      <c r="A1818" s="1">
        <v>90090</v>
      </c>
      <c r="B1818" s="1">
        <v>400772</v>
      </c>
    </row>
    <row r="1819" spans="1:2" x14ac:dyDescent="0.3">
      <c r="A1819" s="1">
        <v>90090</v>
      </c>
      <c r="B1819" s="1">
        <v>400772</v>
      </c>
    </row>
    <row r="1820" spans="1:2" x14ac:dyDescent="0.3">
      <c r="A1820" s="1">
        <v>90090</v>
      </c>
      <c r="B1820" s="1">
        <v>400772</v>
      </c>
    </row>
    <row r="1821" spans="1:2" x14ac:dyDescent="0.3">
      <c r="A1821" s="1">
        <v>90090</v>
      </c>
      <c r="B1821" s="1">
        <v>400772</v>
      </c>
    </row>
    <row r="1822" spans="1:2" x14ac:dyDescent="0.3">
      <c r="A1822" s="1">
        <v>90090</v>
      </c>
      <c r="B1822" s="1">
        <v>400772</v>
      </c>
    </row>
    <row r="1823" spans="1:2" x14ac:dyDescent="0.3">
      <c r="A1823" s="1">
        <v>78873</v>
      </c>
      <c r="B1823" s="1">
        <v>400208</v>
      </c>
    </row>
    <row r="1824" spans="1:2" x14ac:dyDescent="0.3">
      <c r="A1824" s="1">
        <v>78873</v>
      </c>
      <c r="B1824" s="1">
        <v>400208</v>
      </c>
    </row>
    <row r="1825" spans="1:2" x14ac:dyDescent="0.3">
      <c r="A1825" s="1">
        <v>10879</v>
      </c>
      <c r="B1825" s="1">
        <v>400204</v>
      </c>
    </row>
    <row r="1826" spans="1:2" x14ac:dyDescent="0.3">
      <c r="A1826" s="1">
        <v>10879</v>
      </c>
      <c r="B1826" s="1">
        <v>400204</v>
      </c>
    </row>
    <row r="1827" spans="1:2" x14ac:dyDescent="0.3">
      <c r="A1827" s="1">
        <v>4203</v>
      </c>
      <c r="B1827" s="1">
        <v>400096</v>
      </c>
    </row>
    <row r="1828" spans="1:2" x14ac:dyDescent="0.3">
      <c r="A1828" s="1">
        <v>4203</v>
      </c>
      <c r="B1828" s="1">
        <v>400096</v>
      </c>
    </row>
    <row r="1829" spans="1:2" x14ac:dyDescent="0.3">
      <c r="A1829" s="1">
        <v>79058</v>
      </c>
      <c r="B1829" s="1">
        <v>400256</v>
      </c>
    </row>
    <row r="1830" spans="1:2" x14ac:dyDescent="0.3">
      <c r="A1830" s="1">
        <v>79058</v>
      </c>
      <c r="B1830" s="1">
        <v>400256</v>
      </c>
    </row>
    <row r="1831" spans="1:2" x14ac:dyDescent="0.3">
      <c r="A1831" s="1">
        <v>4265</v>
      </c>
      <c r="B1831" s="1">
        <v>405400</v>
      </c>
    </row>
    <row r="1832" spans="1:2" x14ac:dyDescent="0.3">
      <c r="A1832" s="1">
        <v>4265</v>
      </c>
      <c r="B1832" s="1">
        <v>405400</v>
      </c>
    </row>
    <row r="1833" spans="1:2" x14ac:dyDescent="0.3">
      <c r="A1833" s="1">
        <v>4265</v>
      </c>
      <c r="B1833" s="1">
        <v>405400</v>
      </c>
    </row>
    <row r="1834" spans="1:2" x14ac:dyDescent="0.3">
      <c r="A1834" s="1">
        <v>4265</v>
      </c>
      <c r="B1834" s="1">
        <v>405400</v>
      </c>
    </row>
    <row r="1835" spans="1:2" x14ac:dyDescent="0.3">
      <c r="A1835" s="1">
        <v>4265</v>
      </c>
      <c r="B1835" s="1">
        <v>405400</v>
      </c>
    </row>
    <row r="1836" spans="1:2" x14ac:dyDescent="0.3">
      <c r="A1836" s="1">
        <v>4176</v>
      </c>
      <c r="B1836" s="1">
        <v>405430</v>
      </c>
    </row>
    <row r="1837" spans="1:2" x14ac:dyDescent="0.3">
      <c r="A1837" s="1">
        <v>4176</v>
      </c>
      <c r="B1837" s="1">
        <v>405430</v>
      </c>
    </row>
    <row r="1838" spans="1:2" x14ac:dyDescent="0.3">
      <c r="A1838" s="1">
        <v>4252</v>
      </c>
      <c r="B1838" s="1">
        <v>405460</v>
      </c>
    </row>
    <row r="1839" spans="1:2" x14ac:dyDescent="0.3">
      <c r="A1839" s="1">
        <v>4252</v>
      </c>
      <c r="B1839" s="1">
        <v>405460</v>
      </c>
    </row>
    <row r="1840" spans="1:2" x14ac:dyDescent="0.3">
      <c r="A1840" s="1">
        <v>4252</v>
      </c>
      <c r="B1840" s="1">
        <v>405460</v>
      </c>
    </row>
    <row r="1841" spans="1:2" x14ac:dyDescent="0.3">
      <c r="A1841" s="1">
        <v>4386</v>
      </c>
      <c r="B1841" s="1">
        <v>405500</v>
      </c>
    </row>
    <row r="1842" spans="1:2" x14ac:dyDescent="0.3">
      <c r="A1842" s="1">
        <v>4386</v>
      </c>
      <c r="B1842" s="1">
        <v>405500</v>
      </c>
    </row>
    <row r="1843" spans="1:2" x14ac:dyDescent="0.3">
      <c r="A1843" s="1">
        <v>4386</v>
      </c>
      <c r="B1843" s="1">
        <v>405500</v>
      </c>
    </row>
    <row r="1844" spans="1:2" x14ac:dyDescent="0.3">
      <c r="A1844" s="1">
        <v>79536</v>
      </c>
      <c r="B1844" s="1">
        <v>400784</v>
      </c>
    </row>
    <row r="1845" spans="1:2" x14ac:dyDescent="0.3">
      <c r="A1845" s="1">
        <v>79536</v>
      </c>
      <c r="B1845" s="1">
        <v>400784</v>
      </c>
    </row>
    <row r="1846" spans="1:2" x14ac:dyDescent="0.3">
      <c r="A1846" s="1">
        <v>78848</v>
      </c>
      <c r="B1846" s="1">
        <v>400437</v>
      </c>
    </row>
    <row r="1847" spans="1:2" x14ac:dyDescent="0.3">
      <c r="A1847" s="1">
        <v>78848</v>
      </c>
      <c r="B1847" s="1">
        <v>400437</v>
      </c>
    </row>
    <row r="1848" spans="1:2" x14ac:dyDescent="0.3">
      <c r="A1848" s="1">
        <v>4366</v>
      </c>
      <c r="B1848" s="1">
        <v>400151</v>
      </c>
    </row>
    <row r="1849" spans="1:2" x14ac:dyDescent="0.3">
      <c r="A1849" s="1">
        <v>4366</v>
      </c>
      <c r="B1849" s="1">
        <v>400151</v>
      </c>
    </row>
    <row r="1850" spans="1:2" x14ac:dyDescent="0.3">
      <c r="A1850" s="1">
        <v>4316</v>
      </c>
      <c r="B1850" s="1">
        <v>400043</v>
      </c>
    </row>
    <row r="1851" spans="1:2" x14ac:dyDescent="0.3">
      <c r="A1851" s="1">
        <v>4316</v>
      </c>
      <c r="B1851" s="1">
        <v>400043</v>
      </c>
    </row>
    <row r="1852" spans="1:2" x14ac:dyDescent="0.3">
      <c r="A1852" s="1">
        <v>80985</v>
      </c>
      <c r="B1852" s="1">
        <v>400616</v>
      </c>
    </row>
    <row r="1853" spans="1:2" x14ac:dyDescent="0.3">
      <c r="A1853" s="1">
        <v>80985</v>
      </c>
      <c r="B1853" s="1">
        <v>400616</v>
      </c>
    </row>
    <row r="1854" spans="1:2" x14ac:dyDescent="0.3">
      <c r="A1854" s="1">
        <v>79234</v>
      </c>
      <c r="B1854" s="1">
        <v>400313</v>
      </c>
    </row>
    <row r="1855" spans="1:2" x14ac:dyDescent="0.3">
      <c r="A1855" s="1">
        <v>79234</v>
      </c>
      <c r="B1855" s="1">
        <v>400313</v>
      </c>
    </row>
    <row r="1856" spans="1:2" x14ac:dyDescent="0.3">
      <c r="A1856" s="1">
        <v>79234</v>
      </c>
      <c r="B1856" s="1">
        <v>400313</v>
      </c>
    </row>
    <row r="1857" spans="1:2" x14ac:dyDescent="0.3">
      <c r="A1857" s="1">
        <v>6358</v>
      </c>
      <c r="B1857" s="1">
        <v>400152</v>
      </c>
    </row>
    <row r="1858" spans="1:2" x14ac:dyDescent="0.3">
      <c r="A1858" s="1">
        <v>6358</v>
      </c>
      <c r="B1858" s="1">
        <v>400152</v>
      </c>
    </row>
    <row r="1859" spans="1:2" x14ac:dyDescent="0.3">
      <c r="A1859" s="1">
        <v>6358</v>
      </c>
      <c r="B1859" s="1">
        <v>400152</v>
      </c>
    </row>
    <row r="1860" spans="1:2" x14ac:dyDescent="0.3">
      <c r="A1860" s="1">
        <v>78882</v>
      </c>
      <c r="B1860" s="1">
        <v>400401</v>
      </c>
    </row>
    <row r="1861" spans="1:2" x14ac:dyDescent="0.3">
      <c r="A1861" s="1">
        <v>78882</v>
      </c>
      <c r="B1861" s="1">
        <v>400401</v>
      </c>
    </row>
    <row r="1862" spans="1:2" x14ac:dyDescent="0.3">
      <c r="A1862" s="1">
        <v>78882</v>
      </c>
      <c r="B1862" s="1">
        <v>400401</v>
      </c>
    </row>
    <row r="1863" spans="1:2" x14ac:dyDescent="0.3">
      <c r="A1863" s="1">
        <v>78882</v>
      </c>
      <c r="B1863" s="1">
        <v>400401</v>
      </c>
    </row>
    <row r="1864" spans="1:2" x14ac:dyDescent="0.3">
      <c r="A1864" s="1">
        <v>10760</v>
      </c>
      <c r="B1864" s="1">
        <v>400340</v>
      </c>
    </row>
    <row r="1865" spans="1:2" x14ac:dyDescent="0.3">
      <c r="A1865" s="1">
        <v>10760</v>
      </c>
      <c r="B1865" s="1">
        <v>400340</v>
      </c>
    </row>
    <row r="1866" spans="1:2" x14ac:dyDescent="0.3">
      <c r="A1866" s="1">
        <v>10760</v>
      </c>
      <c r="B1866" s="1">
        <v>400340</v>
      </c>
    </row>
    <row r="1867" spans="1:2" x14ac:dyDescent="0.3">
      <c r="A1867" s="1">
        <v>4457</v>
      </c>
      <c r="B1867" s="1">
        <v>405530</v>
      </c>
    </row>
    <row r="1868" spans="1:2" x14ac:dyDescent="0.3">
      <c r="A1868" s="1">
        <v>4457</v>
      </c>
      <c r="B1868" s="1">
        <v>405530</v>
      </c>
    </row>
    <row r="1869" spans="1:2" x14ac:dyDescent="0.3">
      <c r="A1869" s="1">
        <v>4457</v>
      </c>
      <c r="B1869" s="1">
        <v>405530</v>
      </c>
    </row>
    <row r="1870" spans="1:2" x14ac:dyDescent="0.3">
      <c r="A1870" s="1">
        <v>4457</v>
      </c>
      <c r="B1870" s="1">
        <v>405530</v>
      </c>
    </row>
    <row r="1871" spans="1:2" x14ac:dyDescent="0.3">
      <c r="A1871" s="1">
        <v>4457</v>
      </c>
      <c r="B1871" s="1">
        <v>405530</v>
      </c>
    </row>
    <row r="1872" spans="1:2" x14ac:dyDescent="0.3">
      <c r="A1872" s="1">
        <v>4457</v>
      </c>
      <c r="B1872" s="1">
        <v>405530</v>
      </c>
    </row>
    <row r="1873" spans="1:2" x14ac:dyDescent="0.3">
      <c r="A1873" s="1">
        <v>4457</v>
      </c>
      <c r="B1873" s="1">
        <v>405530</v>
      </c>
    </row>
    <row r="1874" spans="1:2" x14ac:dyDescent="0.3">
      <c r="A1874" s="1">
        <v>4457</v>
      </c>
      <c r="B1874" s="1">
        <v>405530</v>
      </c>
    </row>
    <row r="1875" spans="1:2" x14ac:dyDescent="0.3">
      <c r="A1875" s="1">
        <v>4457</v>
      </c>
      <c r="B1875" s="1">
        <v>405530</v>
      </c>
    </row>
    <row r="1876" spans="1:2" x14ac:dyDescent="0.3">
      <c r="A1876" s="1">
        <v>4457</v>
      </c>
      <c r="B1876" s="1">
        <v>405530</v>
      </c>
    </row>
    <row r="1877" spans="1:2" x14ac:dyDescent="0.3">
      <c r="A1877" s="1">
        <v>4457</v>
      </c>
      <c r="B1877" s="1">
        <v>405530</v>
      </c>
    </row>
    <row r="1878" spans="1:2" x14ac:dyDescent="0.3">
      <c r="A1878" s="1">
        <v>4457</v>
      </c>
      <c r="B1878" s="1">
        <v>405530</v>
      </c>
    </row>
    <row r="1879" spans="1:2" x14ac:dyDescent="0.3">
      <c r="A1879" s="1">
        <v>90879</v>
      </c>
      <c r="B1879" s="1">
        <v>400861</v>
      </c>
    </row>
    <row r="1880" spans="1:2" x14ac:dyDescent="0.3">
      <c r="A1880" s="1">
        <v>90879</v>
      </c>
      <c r="B1880" s="1">
        <v>400861</v>
      </c>
    </row>
    <row r="1881" spans="1:2" x14ac:dyDescent="0.3">
      <c r="A1881" s="1">
        <v>79701</v>
      </c>
      <c r="B1881" s="1">
        <v>400303</v>
      </c>
    </row>
    <row r="1882" spans="1:2" x14ac:dyDescent="0.3">
      <c r="A1882" s="1">
        <v>79701</v>
      </c>
      <c r="B1882" s="1">
        <v>400303</v>
      </c>
    </row>
    <row r="1883" spans="1:2" x14ac:dyDescent="0.3">
      <c r="A1883" s="1">
        <v>79701</v>
      </c>
      <c r="B1883" s="1">
        <v>400303</v>
      </c>
    </row>
    <row r="1884" spans="1:2" x14ac:dyDescent="0.3">
      <c r="A1884" s="1">
        <v>81114</v>
      </c>
      <c r="B1884" s="1">
        <v>400612</v>
      </c>
    </row>
    <row r="1885" spans="1:2" x14ac:dyDescent="0.3">
      <c r="A1885" s="1">
        <v>81114</v>
      </c>
      <c r="B1885" s="1">
        <v>400612</v>
      </c>
    </row>
    <row r="1886" spans="1:2" x14ac:dyDescent="0.3">
      <c r="A1886" s="1">
        <v>81114</v>
      </c>
      <c r="B1886" s="1">
        <v>400612</v>
      </c>
    </row>
    <row r="1887" spans="1:2" x14ac:dyDescent="0.3">
      <c r="A1887" s="1">
        <v>81114</v>
      </c>
      <c r="B1887" s="1">
        <v>400612</v>
      </c>
    </row>
    <row r="1888" spans="1:2" x14ac:dyDescent="0.3">
      <c r="A1888" s="1">
        <v>81114</v>
      </c>
      <c r="B1888" s="1">
        <v>400612</v>
      </c>
    </row>
    <row r="1889" spans="1:2" x14ac:dyDescent="0.3">
      <c r="A1889" s="1">
        <v>81114</v>
      </c>
      <c r="B1889" s="1">
        <v>400612</v>
      </c>
    </row>
    <row r="1890" spans="1:2" x14ac:dyDescent="0.3">
      <c r="A1890" s="1">
        <v>81114</v>
      </c>
      <c r="B1890" s="1">
        <v>400612</v>
      </c>
    </row>
    <row r="1891" spans="1:2" x14ac:dyDescent="0.3">
      <c r="A1891" s="1">
        <v>81114</v>
      </c>
      <c r="B1891" s="1">
        <v>400612</v>
      </c>
    </row>
    <row r="1892" spans="1:2" x14ac:dyDescent="0.3">
      <c r="A1892" s="1">
        <v>81114</v>
      </c>
      <c r="B1892" s="1">
        <v>400612</v>
      </c>
    </row>
    <row r="1893" spans="1:2" x14ac:dyDescent="0.3">
      <c r="A1893" s="1">
        <v>81114</v>
      </c>
      <c r="B1893" s="1">
        <v>400612</v>
      </c>
    </row>
    <row r="1894" spans="1:2" x14ac:dyDescent="0.3">
      <c r="A1894" s="1">
        <v>81114</v>
      </c>
      <c r="B1894" s="1">
        <v>400612</v>
      </c>
    </row>
    <row r="1895" spans="1:2" x14ac:dyDescent="0.3">
      <c r="A1895" s="1">
        <v>78786</v>
      </c>
      <c r="B1895" s="1">
        <v>400197</v>
      </c>
    </row>
    <row r="1896" spans="1:2" x14ac:dyDescent="0.3">
      <c r="A1896" s="1">
        <v>78786</v>
      </c>
      <c r="B1896" s="1">
        <v>400197</v>
      </c>
    </row>
    <row r="1897" spans="1:2" x14ac:dyDescent="0.3">
      <c r="A1897" s="1">
        <v>78786</v>
      </c>
      <c r="B1897" s="1">
        <v>400197</v>
      </c>
    </row>
    <row r="1898" spans="1:2" x14ac:dyDescent="0.3">
      <c r="A1898" s="1">
        <v>78786</v>
      </c>
      <c r="B1898" s="1">
        <v>400197</v>
      </c>
    </row>
    <row r="1899" spans="1:2" x14ac:dyDescent="0.3">
      <c r="A1899" s="1">
        <v>78786</v>
      </c>
      <c r="B1899" s="1">
        <v>400197</v>
      </c>
    </row>
    <row r="1900" spans="1:2" x14ac:dyDescent="0.3">
      <c r="A1900" s="1">
        <v>78786</v>
      </c>
      <c r="B1900" s="1">
        <v>400197</v>
      </c>
    </row>
    <row r="1901" spans="1:2" x14ac:dyDescent="0.3">
      <c r="A1901" s="1">
        <v>78786</v>
      </c>
      <c r="B1901" s="1">
        <v>400197</v>
      </c>
    </row>
    <row r="1902" spans="1:2" x14ac:dyDescent="0.3">
      <c r="A1902" s="1">
        <v>78786</v>
      </c>
      <c r="B1902" s="1">
        <v>400197</v>
      </c>
    </row>
    <row r="1903" spans="1:2" x14ac:dyDescent="0.3">
      <c r="A1903" s="1">
        <v>78786</v>
      </c>
      <c r="B1903" s="1">
        <v>400197</v>
      </c>
    </row>
    <row r="1904" spans="1:2" x14ac:dyDescent="0.3">
      <c r="A1904" s="1">
        <v>78786</v>
      </c>
      <c r="B1904" s="1">
        <v>400197</v>
      </c>
    </row>
    <row r="1905" spans="1:2" x14ac:dyDescent="0.3">
      <c r="A1905" s="1">
        <v>78786</v>
      </c>
      <c r="B1905" s="1">
        <v>400197</v>
      </c>
    </row>
    <row r="1906" spans="1:2" x14ac:dyDescent="0.3">
      <c r="A1906" s="1">
        <v>78786</v>
      </c>
      <c r="B1906" s="1">
        <v>400197</v>
      </c>
    </row>
    <row r="1907" spans="1:2" x14ac:dyDescent="0.3">
      <c r="A1907" s="1">
        <v>78786</v>
      </c>
      <c r="B1907" s="1">
        <v>400197</v>
      </c>
    </row>
    <row r="1908" spans="1:2" x14ac:dyDescent="0.3">
      <c r="A1908" s="1">
        <v>4204</v>
      </c>
      <c r="B1908" s="1">
        <v>400097</v>
      </c>
    </row>
    <row r="1909" spans="1:2" x14ac:dyDescent="0.3">
      <c r="A1909" s="1">
        <v>4204</v>
      </c>
      <c r="B1909" s="1">
        <v>400097</v>
      </c>
    </row>
    <row r="1910" spans="1:2" x14ac:dyDescent="0.3">
      <c r="A1910" s="1">
        <v>79881</v>
      </c>
      <c r="B1910" s="1">
        <v>400356</v>
      </c>
    </row>
    <row r="1911" spans="1:2" x14ac:dyDescent="0.3">
      <c r="A1911" s="1">
        <v>79881</v>
      </c>
      <c r="B1911" s="1">
        <v>400356</v>
      </c>
    </row>
    <row r="1912" spans="1:2" x14ac:dyDescent="0.3">
      <c r="A1912" s="1">
        <v>90326</v>
      </c>
      <c r="B1912" s="1">
        <v>400811</v>
      </c>
    </row>
    <row r="1913" spans="1:2" x14ac:dyDescent="0.3">
      <c r="A1913" s="1">
        <v>90326</v>
      </c>
      <c r="B1913" s="1">
        <v>400811</v>
      </c>
    </row>
    <row r="1914" spans="1:2" x14ac:dyDescent="0.3">
      <c r="A1914" s="1">
        <v>90326</v>
      </c>
      <c r="B1914" s="1">
        <v>400811</v>
      </c>
    </row>
    <row r="1915" spans="1:2" x14ac:dyDescent="0.3">
      <c r="A1915" s="1">
        <v>90326</v>
      </c>
      <c r="B1915" s="1">
        <v>400811</v>
      </c>
    </row>
    <row r="1916" spans="1:2" x14ac:dyDescent="0.3">
      <c r="A1916" s="1">
        <v>90326</v>
      </c>
      <c r="B1916" s="1">
        <v>400811</v>
      </c>
    </row>
    <row r="1917" spans="1:2" x14ac:dyDescent="0.3">
      <c r="A1917" s="1">
        <v>4323</v>
      </c>
      <c r="B1917" s="1">
        <v>400103</v>
      </c>
    </row>
    <row r="1918" spans="1:2" x14ac:dyDescent="0.3">
      <c r="A1918" s="1">
        <v>4323</v>
      </c>
      <c r="B1918" s="1">
        <v>400103</v>
      </c>
    </row>
    <row r="1919" spans="1:2" x14ac:dyDescent="0.3">
      <c r="A1919" s="1">
        <v>4323</v>
      </c>
      <c r="B1919" s="1">
        <v>400103</v>
      </c>
    </row>
    <row r="1920" spans="1:2" x14ac:dyDescent="0.3">
      <c r="A1920" s="1">
        <v>4323</v>
      </c>
      <c r="B1920" s="1">
        <v>400103</v>
      </c>
    </row>
    <row r="1921" spans="1:2" x14ac:dyDescent="0.3">
      <c r="A1921" s="1">
        <v>4323</v>
      </c>
      <c r="B1921" s="1">
        <v>400103</v>
      </c>
    </row>
    <row r="1922" spans="1:2" x14ac:dyDescent="0.3">
      <c r="A1922" s="1">
        <v>4323</v>
      </c>
      <c r="B1922" s="1">
        <v>400103</v>
      </c>
    </row>
    <row r="1923" spans="1:2" x14ac:dyDescent="0.3">
      <c r="A1923" s="1">
        <v>79503</v>
      </c>
      <c r="B1923" s="1">
        <v>400284</v>
      </c>
    </row>
    <row r="1924" spans="1:2" x14ac:dyDescent="0.3">
      <c r="A1924" s="1">
        <v>79503</v>
      </c>
      <c r="B1924" s="1">
        <v>400284</v>
      </c>
    </row>
    <row r="1925" spans="1:2" x14ac:dyDescent="0.3">
      <c r="A1925" s="1">
        <v>4295</v>
      </c>
      <c r="B1925" s="1">
        <v>400101</v>
      </c>
    </row>
    <row r="1926" spans="1:2" x14ac:dyDescent="0.3">
      <c r="A1926" s="1">
        <v>4295</v>
      </c>
      <c r="B1926" s="1">
        <v>400101</v>
      </c>
    </row>
    <row r="1927" spans="1:2" x14ac:dyDescent="0.3">
      <c r="A1927" s="1">
        <v>4295</v>
      </c>
      <c r="B1927" s="1">
        <v>400101</v>
      </c>
    </row>
    <row r="1928" spans="1:2" x14ac:dyDescent="0.3">
      <c r="A1928" s="1">
        <v>4295</v>
      </c>
      <c r="B1928" s="1">
        <v>400101</v>
      </c>
    </row>
    <row r="1929" spans="1:2" x14ac:dyDescent="0.3">
      <c r="A1929" s="1">
        <v>4295</v>
      </c>
      <c r="B1929" s="1">
        <v>400101</v>
      </c>
    </row>
    <row r="1930" spans="1:2" x14ac:dyDescent="0.3">
      <c r="A1930" s="1">
        <v>4295</v>
      </c>
      <c r="B1930" s="1">
        <v>400101</v>
      </c>
    </row>
    <row r="1931" spans="1:2" x14ac:dyDescent="0.3">
      <c r="A1931" s="1">
        <v>4295</v>
      </c>
      <c r="B1931" s="1">
        <v>400101</v>
      </c>
    </row>
    <row r="1932" spans="1:2" x14ac:dyDescent="0.3">
      <c r="A1932" s="1">
        <v>91238</v>
      </c>
      <c r="B1932" s="1">
        <v>400868</v>
      </c>
    </row>
    <row r="1933" spans="1:2" x14ac:dyDescent="0.3">
      <c r="A1933" s="1">
        <v>91238</v>
      </c>
      <c r="B1933" s="1">
        <v>400868</v>
      </c>
    </row>
    <row r="1934" spans="1:2" x14ac:dyDescent="0.3">
      <c r="A1934" s="1">
        <v>4444</v>
      </c>
      <c r="B1934" s="1">
        <v>405640</v>
      </c>
    </row>
    <row r="1935" spans="1:2" x14ac:dyDescent="0.3">
      <c r="A1935" s="1">
        <v>4444</v>
      </c>
      <c r="B1935" s="1">
        <v>405640</v>
      </c>
    </row>
    <row r="1936" spans="1:2" x14ac:dyDescent="0.3">
      <c r="A1936" s="1">
        <v>4444</v>
      </c>
      <c r="B1936" s="1">
        <v>405640</v>
      </c>
    </row>
    <row r="1937" spans="1:2" x14ac:dyDescent="0.3">
      <c r="A1937" s="1">
        <v>4262</v>
      </c>
      <c r="B1937" s="1">
        <v>405670</v>
      </c>
    </row>
    <row r="1938" spans="1:2" x14ac:dyDescent="0.3">
      <c r="A1938" s="1">
        <v>4262</v>
      </c>
      <c r="B1938" s="1">
        <v>405670</v>
      </c>
    </row>
    <row r="1939" spans="1:2" x14ac:dyDescent="0.3">
      <c r="A1939" s="1">
        <v>4262</v>
      </c>
      <c r="B1939" s="1">
        <v>405670</v>
      </c>
    </row>
    <row r="1940" spans="1:2" x14ac:dyDescent="0.3">
      <c r="A1940" s="1">
        <v>4262</v>
      </c>
      <c r="B1940" s="1">
        <v>405670</v>
      </c>
    </row>
    <row r="1941" spans="1:2" x14ac:dyDescent="0.3">
      <c r="A1941" s="1">
        <v>4262</v>
      </c>
      <c r="B1941" s="1">
        <v>405670</v>
      </c>
    </row>
    <row r="1942" spans="1:2" x14ac:dyDescent="0.3">
      <c r="A1942" s="1">
        <v>4262</v>
      </c>
      <c r="B1942" s="1">
        <v>405670</v>
      </c>
    </row>
    <row r="1943" spans="1:2" x14ac:dyDescent="0.3">
      <c r="A1943" s="1">
        <v>4373</v>
      </c>
      <c r="B1943" s="1">
        <v>405730</v>
      </c>
    </row>
    <row r="1944" spans="1:2" x14ac:dyDescent="0.3">
      <c r="A1944" s="1">
        <v>4373</v>
      </c>
      <c r="B1944" s="1">
        <v>405730</v>
      </c>
    </row>
    <row r="1945" spans="1:2" x14ac:dyDescent="0.3">
      <c r="A1945" s="1">
        <v>6235</v>
      </c>
      <c r="B1945" s="1">
        <v>400239</v>
      </c>
    </row>
    <row r="1946" spans="1:2" x14ac:dyDescent="0.3">
      <c r="A1946" s="1">
        <v>6235</v>
      </c>
      <c r="B1946" s="1">
        <v>400239</v>
      </c>
    </row>
    <row r="1947" spans="1:2" x14ac:dyDescent="0.3">
      <c r="A1947" s="1">
        <v>79068</v>
      </c>
      <c r="B1947" s="1">
        <v>400266</v>
      </c>
    </row>
    <row r="1948" spans="1:2" x14ac:dyDescent="0.3">
      <c r="A1948" s="1">
        <v>79068</v>
      </c>
      <c r="B1948" s="1">
        <v>400266</v>
      </c>
    </row>
    <row r="1949" spans="1:2" x14ac:dyDescent="0.3">
      <c r="A1949" s="1">
        <v>79068</v>
      </c>
      <c r="B1949" s="1">
        <v>400266</v>
      </c>
    </row>
    <row r="1950" spans="1:2" x14ac:dyDescent="0.3">
      <c r="A1950" s="1">
        <v>4196</v>
      </c>
      <c r="B1950" s="1">
        <v>405820</v>
      </c>
    </row>
    <row r="1951" spans="1:2" x14ac:dyDescent="0.3">
      <c r="A1951" s="1">
        <v>4196</v>
      </c>
      <c r="B1951" s="1">
        <v>405820</v>
      </c>
    </row>
    <row r="1952" spans="1:2" x14ac:dyDescent="0.3">
      <c r="A1952" s="1">
        <v>4196</v>
      </c>
      <c r="B1952" s="1">
        <v>405820</v>
      </c>
    </row>
    <row r="1953" spans="1:2" x14ac:dyDescent="0.3">
      <c r="A1953" s="1">
        <v>4196</v>
      </c>
      <c r="B1953" s="1">
        <v>405820</v>
      </c>
    </row>
    <row r="1954" spans="1:2" x14ac:dyDescent="0.3">
      <c r="A1954" s="1">
        <v>4196</v>
      </c>
      <c r="B1954" s="1">
        <v>405820</v>
      </c>
    </row>
    <row r="1955" spans="1:2" x14ac:dyDescent="0.3">
      <c r="A1955" s="1">
        <v>79086</v>
      </c>
      <c r="B1955" s="1">
        <v>400213</v>
      </c>
    </row>
    <row r="1956" spans="1:2" x14ac:dyDescent="0.3">
      <c r="A1956" s="1">
        <v>79086</v>
      </c>
      <c r="B1956" s="1">
        <v>400213</v>
      </c>
    </row>
    <row r="1957" spans="1:2" x14ac:dyDescent="0.3">
      <c r="A1957" s="1">
        <v>10967</v>
      </c>
      <c r="B1957" s="1">
        <v>400210</v>
      </c>
    </row>
    <row r="1958" spans="1:2" x14ac:dyDescent="0.3">
      <c r="A1958" s="1">
        <v>10967</v>
      </c>
      <c r="B1958" s="1">
        <v>400210</v>
      </c>
    </row>
    <row r="1959" spans="1:2" x14ac:dyDescent="0.3">
      <c r="A1959" s="1">
        <v>4275</v>
      </c>
      <c r="B1959" s="1">
        <v>405850</v>
      </c>
    </row>
    <row r="1960" spans="1:2" x14ac:dyDescent="0.3">
      <c r="A1960" s="1">
        <v>4275</v>
      </c>
      <c r="B1960" s="1">
        <v>405850</v>
      </c>
    </row>
    <row r="1961" spans="1:2" x14ac:dyDescent="0.3">
      <c r="A1961" s="1">
        <v>4255</v>
      </c>
      <c r="B1961" s="1">
        <v>408430</v>
      </c>
    </row>
    <row r="1962" spans="1:2" x14ac:dyDescent="0.3">
      <c r="A1962" s="1">
        <v>4255</v>
      </c>
      <c r="B1962" s="1">
        <v>408430</v>
      </c>
    </row>
    <row r="1963" spans="1:2" x14ac:dyDescent="0.3">
      <c r="A1963" s="1">
        <v>4180</v>
      </c>
      <c r="B1963" s="1">
        <v>405880</v>
      </c>
    </row>
    <row r="1964" spans="1:2" x14ac:dyDescent="0.3">
      <c r="A1964" s="1">
        <v>4180</v>
      </c>
      <c r="B1964" s="1">
        <v>405880</v>
      </c>
    </row>
    <row r="1965" spans="1:2" x14ac:dyDescent="0.3">
      <c r="A1965" s="1">
        <v>4180</v>
      </c>
      <c r="B1965" s="1">
        <v>405880</v>
      </c>
    </row>
    <row r="1966" spans="1:2" x14ac:dyDescent="0.3">
      <c r="A1966" s="1">
        <v>4180</v>
      </c>
      <c r="B1966" s="1">
        <v>405880</v>
      </c>
    </row>
    <row r="1967" spans="1:2" x14ac:dyDescent="0.3">
      <c r="A1967" s="1">
        <v>79578</v>
      </c>
      <c r="B1967" s="1">
        <v>400290</v>
      </c>
    </row>
    <row r="1968" spans="1:2" x14ac:dyDescent="0.3">
      <c r="A1968" s="1">
        <v>79578</v>
      </c>
      <c r="B1968" s="1">
        <v>400290</v>
      </c>
    </row>
    <row r="1969" spans="1:2" x14ac:dyDescent="0.3">
      <c r="A1969" s="1">
        <v>4241</v>
      </c>
      <c r="B1969" s="1">
        <v>405930</v>
      </c>
    </row>
    <row r="1970" spans="1:2" x14ac:dyDescent="0.3">
      <c r="A1970" s="1">
        <v>4241</v>
      </c>
      <c r="B1970" s="1">
        <v>405930</v>
      </c>
    </row>
    <row r="1971" spans="1:2" x14ac:dyDescent="0.3">
      <c r="A1971" s="1">
        <v>4241</v>
      </c>
      <c r="B1971" s="1">
        <v>405930</v>
      </c>
    </row>
    <row r="1972" spans="1:2" x14ac:dyDescent="0.3">
      <c r="A1972" s="1">
        <v>4241</v>
      </c>
      <c r="B1972" s="1">
        <v>405930</v>
      </c>
    </row>
    <row r="1973" spans="1:2" x14ac:dyDescent="0.3">
      <c r="A1973" s="1">
        <v>4241</v>
      </c>
      <c r="B1973" s="1">
        <v>405930</v>
      </c>
    </row>
    <row r="1974" spans="1:2" x14ac:dyDescent="0.3">
      <c r="A1974" s="1">
        <v>4241</v>
      </c>
      <c r="B1974" s="1">
        <v>405930</v>
      </c>
    </row>
    <row r="1975" spans="1:2" x14ac:dyDescent="0.3">
      <c r="A1975" s="1">
        <v>4241</v>
      </c>
      <c r="B1975" s="1">
        <v>405930</v>
      </c>
    </row>
    <row r="1976" spans="1:2" x14ac:dyDescent="0.3">
      <c r="A1976" s="1">
        <v>4241</v>
      </c>
      <c r="B1976" s="1">
        <v>405930</v>
      </c>
    </row>
    <row r="1977" spans="1:2" x14ac:dyDescent="0.3">
      <c r="A1977" s="1">
        <v>4241</v>
      </c>
      <c r="B1977" s="1">
        <v>405930</v>
      </c>
    </row>
    <row r="1978" spans="1:2" x14ac:dyDescent="0.3">
      <c r="A1978" s="1">
        <v>4241</v>
      </c>
      <c r="B1978" s="1">
        <v>405930</v>
      </c>
    </row>
    <row r="1979" spans="1:2" x14ac:dyDescent="0.3">
      <c r="A1979" s="1">
        <v>4241</v>
      </c>
      <c r="B1979" s="1">
        <v>405930</v>
      </c>
    </row>
    <row r="1980" spans="1:2" x14ac:dyDescent="0.3">
      <c r="A1980" s="1">
        <v>4241</v>
      </c>
      <c r="B1980" s="1">
        <v>405930</v>
      </c>
    </row>
    <row r="1981" spans="1:2" x14ac:dyDescent="0.3">
      <c r="A1981" s="1">
        <v>4241</v>
      </c>
      <c r="B1981" s="1">
        <v>405930</v>
      </c>
    </row>
    <row r="1982" spans="1:2" x14ac:dyDescent="0.3">
      <c r="A1982" s="1">
        <v>4241</v>
      </c>
      <c r="B1982" s="1">
        <v>405930</v>
      </c>
    </row>
    <row r="1983" spans="1:2" x14ac:dyDescent="0.3">
      <c r="A1983" s="1">
        <v>4241</v>
      </c>
      <c r="B1983" s="1">
        <v>405930</v>
      </c>
    </row>
    <row r="1984" spans="1:2" x14ac:dyDescent="0.3">
      <c r="A1984" s="1">
        <v>4241</v>
      </c>
      <c r="B1984" s="1">
        <v>405930</v>
      </c>
    </row>
    <row r="1985" spans="1:2" x14ac:dyDescent="0.3">
      <c r="A1985" s="1">
        <v>4241</v>
      </c>
      <c r="B1985" s="1">
        <v>405930</v>
      </c>
    </row>
    <row r="1986" spans="1:2" x14ac:dyDescent="0.3">
      <c r="A1986" s="1">
        <v>4241</v>
      </c>
      <c r="B1986" s="1">
        <v>405930</v>
      </c>
    </row>
    <row r="1987" spans="1:2" x14ac:dyDescent="0.3">
      <c r="A1987" s="1">
        <v>4241</v>
      </c>
      <c r="B1987" s="1">
        <v>405930</v>
      </c>
    </row>
    <row r="1988" spans="1:2" x14ac:dyDescent="0.3">
      <c r="A1988" s="1">
        <v>4241</v>
      </c>
      <c r="B1988" s="1">
        <v>405930</v>
      </c>
    </row>
    <row r="1989" spans="1:2" x14ac:dyDescent="0.3">
      <c r="A1989" s="1">
        <v>4241</v>
      </c>
      <c r="B1989" s="1">
        <v>405930</v>
      </c>
    </row>
    <row r="1990" spans="1:2" x14ac:dyDescent="0.3">
      <c r="A1990" s="1">
        <v>4241</v>
      </c>
      <c r="B1990" s="1">
        <v>405930</v>
      </c>
    </row>
    <row r="1991" spans="1:2" x14ac:dyDescent="0.3">
      <c r="A1991" s="1">
        <v>4241</v>
      </c>
      <c r="B1991" s="1">
        <v>405930</v>
      </c>
    </row>
    <row r="1992" spans="1:2" x14ac:dyDescent="0.3">
      <c r="A1992" s="1">
        <v>4241</v>
      </c>
      <c r="B1992" s="1">
        <v>405930</v>
      </c>
    </row>
    <row r="1993" spans="1:2" x14ac:dyDescent="0.3">
      <c r="A1993" s="1">
        <v>4241</v>
      </c>
      <c r="B1993" s="1">
        <v>405930</v>
      </c>
    </row>
    <row r="1994" spans="1:2" x14ac:dyDescent="0.3">
      <c r="A1994" s="1">
        <v>4241</v>
      </c>
      <c r="B1994" s="1">
        <v>405930</v>
      </c>
    </row>
    <row r="1995" spans="1:2" x14ac:dyDescent="0.3">
      <c r="A1995" s="1">
        <v>4241</v>
      </c>
      <c r="B1995" s="1">
        <v>405930</v>
      </c>
    </row>
    <row r="1996" spans="1:2" x14ac:dyDescent="0.3">
      <c r="A1996" s="1">
        <v>4241</v>
      </c>
      <c r="B1996" s="1">
        <v>405930</v>
      </c>
    </row>
    <row r="1997" spans="1:2" x14ac:dyDescent="0.3">
      <c r="A1997" s="1">
        <v>4241</v>
      </c>
      <c r="B1997" s="1">
        <v>405930</v>
      </c>
    </row>
    <row r="1998" spans="1:2" x14ac:dyDescent="0.3">
      <c r="A1998" s="1">
        <v>4241</v>
      </c>
      <c r="B1998" s="1">
        <v>405930</v>
      </c>
    </row>
    <row r="1999" spans="1:2" x14ac:dyDescent="0.3">
      <c r="A1999" s="1">
        <v>4241</v>
      </c>
      <c r="B1999" s="1">
        <v>405930</v>
      </c>
    </row>
    <row r="2000" spans="1:2" x14ac:dyDescent="0.3">
      <c r="A2000" s="1">
        <v>4241</v>
      </c>
      <c r="B2000" s="1">
        <v>405930</v>
      </c>
    </row>
    <row r="2001" spans="1:2" x14ac:dyDescent="0.3">
      <c r="A2001" s="1">
        <v>4241</v>
      </c>
      <c r="B2001" s="1">
        <v>405930</v>
      </c>
    </row>
    <row r="2002" spans="1:2" x14ac:dyDescent="0.3">
      <c r="A2002" s="1">
        <v>4241</v>
      </c>
      <c r="B2002" s="1">
        <v>405930</v>
      </c>
    </row>
    <row r="2003" spans="1:2" x14ac:dyDescent="0.3">
      <c r="A2003" s="1">
        <v>4241</v>
      </c>
      <c r="B2003" s="1">
        <v>405930</v>
      </c>
    </row>
    <row r="2004" spans="1:2" x14ac:dyDescent="0.3">
      <c r="A2004" s="1">
        <v>4241</v>
      </c>
      <c r="B2004" s="1">
        <v>405930</v>
      </c>
    </row>
    <row r="2005" spans="1:2" x14ac:dyDescent="0.3">
      <c r="A2005" s="1">
        <v>4241</v>
      </c>
      <c r="B2005" s="1">
        <v>405930</v>
      </c>
    </row>
    <row r="2006" spans="1:2" x14ac:dyDescent="0.3">
      <c r="A2006" s="1">
        <v>4241</v>
      </c>
      <c r="B2006" s="1">
        <v>405930</v>
      </c>
    </row>
    <row r="2007" spans="1:2" x14ac:dyDescent="0.3">
      <c r="A2007" s="1">
        <v>4241</v>
      </c>
      <c r="B2007" s="1">
        <v>405930</v>
      </c>
    </row>
    <row r="2008" spans="1:2" x14ac:dyDescent="0.3">
      <c r="A2008" s="1">
        <v>4241</v>
      </c>
      <c r="B2008" s="1">
        <v>405930</v>
      </c>
    </row>
    <row r="2009" spans="1:2" x14ac:dyDescent="0.3">
      <c r="A2009" s="1">
        <v>4241</v>
      </c>
      <c r="B2009" s="1">
        <v>405930</v>
      </c>
    </row>
    <row r="2010" spans="1:2" x14ac:dyDescent="0.3">
      <c r="A2010" s="1">
        <v>4241</v>
      </c>
      <c r="B2010" s="1">
        <v>405930</v>
      </c>
    </row>
    <row r="2011" spans="1:2" x14ac:dyDescent="0.3">
      <c r="A2011" s="1">
        <v>4241</v>
      </c>
      <c r="B2011" s="1">
        <v>405930</v>
      </c>
    </row>
    <row r="2012" spans="1:2" x14ac:dyDescent="0.3">
      <c r="A2012" s="1">
        <v>4241</v>
      </c>
      <c r="B2012" s="1">
        <v>405930</v>
      </c>
    </row>
    <row r="2013" spans="1:2" x14ac:dyDescent="0.3">
      <c r="A2013" s="1">
        <v>4241</v>
      </c>
      <c r="B2013" s="1">
        <v>405930</v>
      </c>
    </row>
    <row r="2014" spans="1:2" x14ac:dyDescent="0.3">
      <c r="A2014" s="1">
        <v>4241</v>
      </c>
      <c r="B2014" s="1">
        <v>405930</v>
      </c>
    </row>
    <row r="2015" spans="1:2" x14ac:dyDescent="0.3">
      <c r="A2015" s="1">
        <v>4241</v>
      </c>
      <c r="B2015" s="1">
        <v>405930</v>
      </c>
    </row>
    <row r="2016" spans="1:2" x14ac:dyDescent="0.3">
      <c r="A2016" s="1">
        <v>4241</v>
      </c>
      <c r="B2016" s="1">
        <v>405930</v>
      </c>
    </row>
    <row r="2017" spans="1:2" x14ac:dyDescent="0.3">
      <c r="A2017" s="1">
        <v>4241</v>
      </c>
      <c r="B2017" s="1">
        <v>405930</v>
      </c>
    </row>
    <row r="2018" spans="1:2" x14ac:dyDescent="0.3">
      <c r="A2018" s="1">
        <v>4241</v>
      </c>
      <c r="B2018" s="1">
        <v>405930</v>
      </c>
    </row>
    <row r="2019" spans="1:2" x14ac:dyDescent="0.3">
      <c r="A2019" s="1">
        <v>89917</v>
      </c>
      <c r="B2019" s="1">
        <v>400778</v>
      </c>
    </row>
    <row r="2020" spans="1:2" x14ac:dyDescent="0.3">
      <c r="A2020" s="1">
        <v>89917</v>
      </c>
      <c r="B2020" s="1">
        <v>400778</v>
      </c>
    </row>
    <row r="2021" spans="1:2" x14ac:dyDescent="0.3">
      <c r="A2021" s="1">
        <v>5180</v>
      </c>
      <c r="B2021" s="1">
        <v>400241</v>
      </c>
    </row>
    <row r="2022" spans="1:2" x14ac:dyDescent="0.3">
      <c r="A2022" s="1">
        <v>5180</v>
      </c>
      <c r="B2022" s="1">
        <v>400241</v>
      </c>
    </row>
    <row r="2023" spans="1:2" x14ac:dyDescent="0.3">
      <c r="A2023" s="1">
        <v>5180</v>
      </c>
      <c r="B2023" s="1">
        <v>400241</v>
      </c>
    </row>
    <row r="2024" spans="1:2" x14ac:dyDescent="0.3">
      <c r="A2024" s="1">
        <v>79205</v>
      </c>
      <c r="B2024" s="1">
        <v>400237</v>
      </c>
    </row>
    <row r="2025" spans="1:2" x14ac:dyDescent="0.3">
      <c r="A2025" s="1">
        <v>79205</v>
      </c>
      <c r="B2025" s="1">
        <v>400237</v>
      </c>
    </row>
    <row r="2026" spans="1:2" x14ac:dyDescent="0.3">
      <c r="A2026" s="1">
        <v>10970</v>
      </c>
      <c r="B2026" s="1">
        <v>400209</v>
      </c>
    </row>
    <row r="2027" spans="1:2" x14ac:dyDescent="0.3">
      <c r="A2027" s="1">
        <v>10970</v>
      </c>
      <c r="B2027" s="1">
        <v>400209</v>
      </c>
    </row>
    <row r="2028" spans="1:2" x14ac:dyDescent="0.3">
      <c r="A2028" s="1">
        <v>10970</v>
      </c>
      <c r="B2028" s="1">
        <v>400209</v>
      </c>
    </row>
    <row r="2029" spans="1:2" x14ac:dyDescent="0.3">
      <c r="A2029" s="1">
        <v>4510</v>
      </c>
      <c r="B2029" s="1">
        <v>405980</v>
      </c>
    </row>
    <row r="2030" spans="1:2" x14ac:dyDescent="0.3">
      <c r="A2030" s="1">
        <v>4510</v>
      </c>
      <c r="B2030" s="1">
        <v>405980</v>
      </c>
    </row>
    <row r="2031" spans="1:2" x14ac:dyDescent="0.3">
      <c r="A2031" s="1">
        <v>4510</v>
      </c>
      <c r="B2031" s="1">
        <v>405980</v>
      </c>
    </row>
    <row r="2032" spans="1:2" x14ac:dyDescent="0.3">
      <c r="A2032" s="1">
        <v>4510</v>
      </c>
      <c r="B2032" s="1">
        <v>405980</v>
      </c>
    </row>
    <row r="2033" spans="1:2" x14ac:dyDescent="0.3">
      <c r="A2033" s="1">
        <v>4510</v>
      </c>
      <c r="B2033" s="1">
        <v>405980</v>
      </c>
    </row>
    <row r="2034" spans="1:2" x14ac:dyDescent="0.3">
      <c r="A2034" s="1">
        <v>4510</v>
      </c>
      <c r="B2034" s="1">
        <v>405980</v>
      </c>
    </row>
    <row r="2035" spans="1:2" x14ac:dyDescent="0.3">
      <c r="A2035" s="1">
        <v>4510</v>
      </c>
      <c r="B2035" s="1">
        <v>405980</v>
      </c>
    </row>
    <row r="2036" spans="1:2" x14ac:dyDescent="0.3">
      <c r="A2036" s="1">
        <v>79953</v>
      </c>
      <c r="B2036" s="1">
        <v>400364</v>
      </c>
    </row>
    <row r="2037" spans="1:2" x14ac:dyDescent="0.3">
      <c r="A2037" s="1">
        <v>79953</v>
      </c>
      <c r="B2037" s="1">
        <v>400364</v>
      </c>
    </row>
    <row r="2038" spans="1:2" x14ac:dyDescent="0.3">
      <c r="A2038" s="1">
        <v>79953</v>
      </c>
      <c r="B2038" s="1">
        <v>400364</v>
      </c>
    </row>
    <row r="2039" spans="1:2" x14ac:dyDescent="0.3">
      <c r="A2039" s="1">
        <v>4460</v>
      </c>
      <c r="B2039" s="1">
        <v>406000</v>
      </c>
    </row>
    <row r="2040" spans="1:2" x14ac:dyDescent="0.3">
      <c r="A2040" s="1">
        <v>4460</v>
      </c>
      <c r="B2040" s="1">
        <v>406000</v>
      </c>
    </row>
    <row r="2041" spans="1:2" x14ac:dyDescent="0.3">
      <c r="A2041" s="1">
        <v>79069</v>
      </c>
      <c r="B2041" s="1">
        <v>400263</v>
      </c>
    </row>
    <row r="2042" spans="1:2" x14ac:dyDescent="0.3">
      <c r="A2042" s="1">
        <v>79069</v>
      </c>
      <c r="B2042" s="1">
        <v>400263</v>
      </c>
    </row>
    <row r="2043" spans="1:2" x14ac:dyDescent="0.3">
      <c r="A2043" s="1">
        <v>4462</v>
      </c>
      <c r="B2043" s="1">
        <v>406030</v>
      </c>
    </row>
    <row r="2044" spans="1:2" x14ac:dyDescent="0.3">
      <c r="A2044" s="1">
        <v>4462</v>
      </c>
      <c r="B2044" s="1">
        <v>406030</v>
      </c>
    </row>
    <row r="2045" spans="1:2" x14ac:dyDescent="0.3">
      <c r="A2045" s="1">
        <v>79024</v>
      </c>
      <c r="B2045" s="1">
        <v>400230</v>
      </c>
    </row>
    <row r="2046" spans="1:2" x14ac:dyDescent="0.3">
      <c r="A2046" s="1">
        <v>79024</v>
      </c>
      <c r="B2046" s="1">
        <v>400230</v>
      </c>
    </row>
    <row r="2047" spans="1:2" x14ac:dyDescent="0.3">
      <c r="A2047" s="1">
        <v>78890</v>
      </c>
      <c r="B2047" s="1">
        <v>400344</v>
      </c>
    </row>
    <row r="2048" spans="1:2" x14ac:dyDescent="0.3">
      <c r="A2048" s="1">
        <v>78890</v>
      </c>
      <c r="B2048" s="1">
        <v>400344</v>
      </c>
    </row>
    <row r="2049" spans="1:2" x14ac:dyDescent="0.3">
      <c r="A2049" s="1">
        <v>81024</v>
      </c>
      <c r="B2049" s="1">
        <v>400631</v>
      </c>
    </row>
    <row r="2050" spans="1:2" x14ac:dyDescent="0.3">
      <c r="A2050" s="1">
        <v>81024</v>
      </c>
      <c r="B2050" s="1">
        <v>400631</v>
      </c>
    </row>
    <row r="2051" spans="1:2" x14ac:dyDescent="0.3">
      <c r="A2051" s="1">
        <v>4209</v>
      </c>
      <c r="B2051" s="1">
        <v>406070</v>
      </c>
    </row>
    <row r="2052" spans="1:2" x14ac:dyDescent="0.3">
      <c r="A2052" s="1">
        <v>4209</v>
      </c>
      <c r="B2052" s="1">
        <v>406070</v>
      </c>
    </row>
    <row r="2053" spans="1:2" x14ac:dyDescent="0.3">
      <c r="A2053" s="1">
        <v>4209</v>
      </c>
      <c r="B2053" s="1">
        <v>406070</v>
      </c>
    </row>
    <row r="2054" spans="1:2" x14ac:dyDescent="0.3">
      <c r="A2054" s="1">
        <v>4209</v>
      </c>
      <c r="B2054" s="1">
        <v>406070</v>
      </c>
    </row>
    <row r="2055" spans="1:2" x14ac:dyDescent="0.3">
      <c r="A2055" s="1">
        <v>4209</v>
      </c>
      <c r="B2055" s="1">
        <v>406070</v>
      </c>
    </row>
    <row r="2056" spans="1:2" x14ac:dyDescent="0.3">
      <c r="A2056" s="1">
        <v>4209</v>
      </c>
      <c r="B2056" s="1">
        <v>406070</v>
      </c>
    </row>
    <row r="2057" spans="1:2" x14ac:dyDescent="0.3">
      <c r="A2057" s="1">
        <v>4209</v>
      </c>
      <c r="B2057" s="1">
        <v>406070</v>
      </c>
    </row>
    <row r="2058" spans="1:2" x14ac:dyDescent="0.3">
      <c r="A2058" s="1">
        <v>4369</v>
      </c>
      <c r="B2058" s="1">
        <v>406120</v>
      </c>
    </row>
    <row r="2059" spans="1:2" x14ac:dyDescent="0.3">
      <c r="A2059" s="1">
        <v>4369</v>
      </c>
      <c r="B2059" s="1">
        <v>406120</v>
      </c>
    </row>
    <row r="2060" spans="1:2" x14ac:dyDescent="0.3">
      <c r="A2060" s="1">
        <v>4369</v>
      </c>
      <c r="B2060" s="1">
        <v>406120</v>
      </c>
    </row>
    <row r="2061" spans="1:2" x14ac:dyDescent="0.3">
      <c r="A2061" s="1">
        <v>79866</v>
      </c>
      <c r="B2061" s="1">
        <v>400350</v>
      </c>
    </row>
    <row r="2062" spans="1:2" x14ac:dyDescent="0.3">
      <c r="A2062" s="1">
        <v>79866</v>
      </c>
      <c r="B2062" s="1">
        <v>400350</v>
      </c>
    </row>
    <row r="2063" spans="1:2" x14ac:dyDescent="0.3">
      <c r="A2063" s="1">
        <v>4186</v>
      </c>
      <c r="B2063" s="1">
        <v>406150</v>
      </c>
    </row>
    <row r="2064" spans="1:2" x14ac:dyDescent="0.3">
      <c r="A2064" s="1">
        <v>4186</v>
      </c>
      <c r="B2064" s="1">
        <v>406150</v>
      </c>
    </row>
    <row r="2065" spans="1:2" x14ac:dyDescent="0.3">
      <c r="A2065" s="1">
        <v>4283</v>
      </c>
      <c r="B2065" s="1">
        <v>406210</v>
      </c>
    </row>
    <row r="2066" spans="1:2" x14ac:dyDescent="0.3">
      <c r="A2066" s="1">
        <v>4283</v>
      </c>
      <c r="B2066" s="1">
        <v>406210</v>
      </c>
    </row>
    <row r="2067" spans="1:2" x14ac:dyDescent="0.3">
      <c r="A2067" s="1">
        <v>4283</v>
      </c>
      <c r="B2067" s="1">
        <v>406210</v>
      </c>
    </row>
    <row r="2068" spans="1:2" x14ac:dyDescent="0.3">
      <c r="A2068" s="1">
        <v>4283</v>
      </c>
      <c r="B2068" s="1">
        <v>406210</v>
      </c>
    </row>
    <row r="2069" spans="1:2" x14ac:dyDescent="0.3">
      <c r="A2069" s="1">
        <v>4283</v>
      </c>
      <c r="B2069" s="1">
        <v>406210</v>
      </c>
    </row>
    <row r="2070" spans="1:2" x14ac:dyDescent="0.3">
      <c r="A2070" s="1">
        <v>4283</v>
      </c>
      <c r="B2070" s="1">
        <v>406210</v>
      </c>
    </row>
    <row r="2071" spans="1:2" x14ac:dyDescent="0.3">
      <c r="A2071" s="1">
        <v>4283</v>
      </c>
      <c r="B2071" s="1">
        <v>406210</v>
      </c>
    </row>
    <row r="2072" spans="1:2" x14ac:dyDescent="0.3">
      <c r="A2072" s="1">
        <v>4283</v>
      </c>
      <c r="B2072" s="1">
        <v>406210</v>
      </c>
    </row>
    <row r="2073" spans="1:2" x14ac:dyDescent="0.3">
      <c r="A2073" s="1">
        <v>4283</v>
      </c>
      <c r="B2073" s="1">
        <v>406210</v>
      </c>
    </row>
    <row r="2074" spans="1:2" x14ac:dyDescent="0.3">
      <c r="A2074" s="1">
        <v>4283</v>
      </c>
      <c r="B2074" s="1">
        <v>406210</v>
      </c>
    </row>
    <row r="2075" spans="1:2" x14ac:dyDescent="0.3">
      <c r="A2075" s="1">
        <v>4283</v>
      </c>
      <c r="B2075" s="1">
        <v>406210</v>
      </c>
    </row>
    <row r="2076" spans="1:2" x14ac:dyDescent="0.3">
      <c r="A2076" s="1">
        <v>4283</v>
      </c>
      <c r="B2076" s="1">
        <v>406210</v>
      </c>
    </row>
    <row r="2077" spans="1:2" x14ac:dyDescent="0.3">
      <c r="A2077" s="1">
        <v>4283</v>
      </c>
      <c r="B2077" s="1">
        <v>406210</v>
      </c>
    </row>
    <row r="2078" spans="1:2" x14ac:dyDescent="0.3">
      <c r="A2078" s="1">
        <v>4283</v>
      </c>
      <c r="B2078" s="1">
        <v>406210</v>
      </c>
    </row>
    <row r="2079" spans="1:2" x14ac:dyDescent="0.3">
      <c r="A2079" s="1">
        <v>4283</v>
      </c>
      <c r="B2079" s="1">
        <v>406210</v>
      </c>
    </row>
    <row r="2080" spans="1:2" x14ac:dyDescent="0.3">
      <c r="A2080" s="1">
        <v>4283</v>
      </c>
      <c r="B2080" s="1">
        <v>406210</v>
      </c>
    </row>
    <row r="2081" spans="1:2" x14ac:dyDescent="0.3">
      <c r="A2081" s="1">
        <v>4237</v>
      </c>
      <c r="B2081" s="1">
        <v>406250</v>
      </c>
    </row>
    <row r="2082" spans="1:2" x14ac:dyDescent="0.3">
      <c r="A2082" s="1">
        <v>4237</v>
      </c>
      <c r="B2082" s="1">
        <v>406250</v>
      </c>
    </row>
    <row r="2083" spans="1:2" x14ac:dyDescent="0.3">
      <c r="A2083" s="1">
        <v>4237</v>
      </c>
      <c r="B2083" s="1">
        <v>406250</v>
      </c>
    </row>
    <row r="2084" spans="1:2" x14ac:dyDescent="0.3">
      <c r="A2084" s="1">
        <v>4237</v>
      </c>
      <c r="B2084" s="1">
        <v>406250</v>
      </c>
    </row>
    <row r="2085" spans="1:2" x14ac:dyDescent="0.3">
      <c r="A2085" s="1">
        <v>4237</v>
      </c>
      <c r="B2085" s="1">
        <v>406250</v>
      </c>
    </row>
    <row r="2086" spans="1:2" x14ac:dyDescent="0.3">
      <c r="A2086" s="1">
        <v>4237</v>
      </c>
      <c r="B2086" s="1">
        <v>406250</v>
      </c>
    </row>
    <row r="2087" spans="1:2" x14ac:dyDescent="0.3">
      <c r="A2087" s="1">
        <v>4237</v>
      </c>
      <c r="B2087" s="1">
        <v>406250</v>
      </c>
    </row>
    <row r="2088" spans="1:2" x14ac:dyDescent="0.3">
      <c r="A2088" s="1">
        <v>4237</v>
      </c>
      <c r="B2088" s="1">
        <v>406250</v>
      </c>
    </row>
    <row r="2089" spans="1:2" x14ac:dyDescent="0.3">
      <c r="A2089" s="1">
        <v>4237</v>
      </c>
      <c r="B2089" s="1">
        <v>406250</v>
      </c>
    </row>
    <row r="2090" spans="1:2" x14ac:dyDescent="0.3">
      <c r="A2090" s="1">
        <v>4237</v>
      </c>
      <c r="B2090" s="1">
        <v>406250</v>
      </c>
    </row>
    <row r="2091" spans="1:2" x14ac:dyDescent="0.3">
      <c r="A2091" s="1">
        <v>4237</v>
      </c>
      <c r="B2091" s="1">
        <v>406250</v>
      </c>
    </row>
    <row r="2092" spans="1:2" x14ac:dyDescent="0.3">
      <c r="A2092" s="1">
        <v>4237</v>
      </c>
      <c r="B2092" s="1">
        <v>406250</v>
      </c>
    </row>
    <row r="2093" spans="1:2" x14ac:dyDescent="0.3">
      <c r="A2093" s="1">
        <v>4237</v>
      </c>
      <c r="B2093" s="1">
        <v>406250</v>
      </c>
    </row>
    <row r="2094" spans="1:2" x14ac:dyDescent="0.3">
      <c r="A2094" s="1">
        <v>4237</v>
      </c>
      <c r="B2094" s="1">
        <v>406250</v>
      </c>
    </row>
    <row r="2095" spans="1:2" x14ac:dyDescent="0.3">
      <c r="A2095" s="1">
        <v>4237</v>
      </c>
      <c r="B2095" s="1">
        <v>406250</v>
      </c>
    </row>
    <row r="2096" spans="1:2" x14ac:dyDescent="0.3">
      <c r="A2096" s="1">
        <v>4237</v>
      </c>
      <c r="B2096" s="1">
        <v>406250</v>
      </c>
    </row>
    <row r="2097" spans="1:2" x14ac:dyDescent="0.3">
      <c r="A2097" s="1">
        <v>4237</v>
      </c>
      <c r="B2097" s="1">
        <v>406250</v>
      </c>
    </row>
    <row r="2098" spans="1:2" x14ac:dyDescent="0.3">
      <c r="A2098" s="1">
        <v>4237</v>
      </c>
      <c r="B2098" s="1">
        <v>406250</v>
      </c>
    </row>
    <row r="2099" spans="1:2" x14ac:dyDescent="0.3">
      <c r="A2099" s="1">
        <v>4237</v>
      </c>
      <c r="B2099" s="1">
        <v>406250</v>
      </c>
    </row>
    <row r="2100" spans="1:2" x14ac:dyDescent="0.3">
      <c r="A2100" s="1">
        <v>4237</v>
      </c>
      <c r="B2100" s="1">
        <v>406250</v>
      </c>
    </row>
    <row r="2101" spans="1:2" x14ac:dyDescent="0.3">
      <c r="A2101" s="1">
        <v>4237</v>
      </c>
      <c r="B2101" s="1">
        <v>406250</v>
      </c>
    </row>
    <row r="2102" spans="1:2" x14ac:dyDescent="0.3">
      <c r="A2102" s="1">
        <v>4237</v>
      </c>
      <c r="B2102" s="1">
        <v>406250</v>
      </c>
    </row>
    <row r="2103" spans="1:2" x14ac:dyDescent="0.3">
      <c r="A2103" s="1">
        <v>4237</v>
      </c>
      <c r="B2103" s="1">
        <v>406250</v>
      </c>
    </row>
    <row r="2104" spans="1:2" x14ac:dyDescent="0.3">
      <c r="A2104" s="1">
        <v>4237</v>
      </c>
      <c r="B2104" s="1">
        <v>406250</v>
      </c>
    </row>
    <row r="2105" spans="1:2" x14ac:dyDescent="0.3">
      <c r="A2105" s="1">
        <v>4237</v>
      </c>
      <c r="B2105" s="1">
        <v>406250</v>
      </c>
    </row>
    <row r="2106" spans="1:2" x14ac:dyDescent="0.3">
      <c r="A2106" s="1">
        <v>4237</v>
      </c>
      <c r="B2106" s="1">
        <v>406250</v>
      </c>
    </row>
    <row r="2107" spans="1:2" x14ac:dyDescent="0.3">
      <c r="A2107" s="1">
        <v>4237</v>
      </c>
      <c r="B2107" s="1">
        <v>406250</v>
      </c>
    </row>
    <row r="2108" spans="1:2" x14ac:dyDescent="0.3">
      <c r="A2108" s="1">
        <v>4237</v>
      </c>
      <c r="B2108" s="1">
        <v>406250</v>
      </c>
    </row>
    <row r="2109" spans="1:2" x14ac:dyDescent="0.3">
      <c r="A2109" s="1">
        <v>4237</v>
      </c>
      <c r="B2109" s="1">
        <v>406250</v>
      </c>
    </row>
    <row r="2110" spans="1:2" x14ac:dyDescent="0.3">
      <c r="A2110" s="1">
        <v>4237</v>
      </c>
      <c r="B2110" s="1">
        <v>406250</v>
      </c>
    </row>
    <row r="2111" spans="1:2" x14ac:dyDescent="0.3">
      <c r="A2111" s="1">
        <v>4237</v>
      </c>
      <c r="B2111" s="1">
        <v>406250</v>
      </c>
    </row>
    <row r="2112" spans="1:2" x14ac:dyDescent="0.3">
      <c r="A2112" s="1">
        <v>4237</v>
      </c>
      <c r="B2112" s="1">
        <v>406250</v>
      </c>
    </row>
    <row r="2113" spans="1:2" x14ac:dyDescent="0.3">
      <c r="A2113" s="1">
        <v>4237</v>
      </c>
      <c r="B2113" s="1">
        <v>406250</v>
      </c>
    </row>
    <row r="2114" spans="1:2" x14ac:dyDescent="0.3">
      <c r="A2114" s="1">
        <v>4237</v>
      </c>
      <c r="B2114" s="1">
        <v>406250</v>
      </c>
    </row>
    <row r="2115" spans="1:2" x14ac:dyDescent="0.3">
      <c r="A2115" s="1">
        <v>4237</v>
      </c>
      <c r="B2115" s="1">
        <v>406250</v>
      </c>
    </row>
    <row r="2116" spans="1:2" x14ac:dyDescent="0.3">
      <c r="A2116" s="1">
        <v>4237</v>
      </c>
      <c r="B2116" s="1">
        <v>406250</v>
      </c>
    </row>
    <row r="2117" spans="1:2" x14ac:dyDescent="0.3">
      <c r="A2117" s="1">
        <v>4237</v>
      </c>
      <c r="B2117" s="1">
        <v>406250</v>
      </c>
    </row>
    <row r="2118" spans="1:2" x14ac:dyDescent="0.3">
      <c r="A2118" s="1">
        <v>4237</v>
      </c>
      <c r="B2118" s="1">
        <v>406250</v>
      </c>
    </row>
    <row r="2119" spans="1:2" x14ac:dyDescent="0.3">
      <c r="A2119" s="1">
        <v>4237</v>
      </c>
      <c r="B2119" s="1">
        <v>406250</v>
      </c>
    </row>
    <row r="2120" spans="1:2" x14ac:dyDescent="0.3">
      <c r="A2120" s="1">
        <v>4237</v>
      </c>
      <c r="B2120" s="1">
        <v>406250</v>
      </c>
    </row>
    <row r="2121" spans="1:2" x14ac:dyDescent="0.3">
      <c r="A2121" s="1">
        <v>4237</v>
      </c>
      <c r="B2121" s="1">
        <v>406250</v>
      </c>
    </row>
    <row r="2122" spans="1:2" x14ac:dyDescent="0.3">
      <c r="A2122" s="1">
        <v>4237</v>
      </c>
      <c r="B2122" s="1">
        <v>406250</v>
      </c>
    </row>
    <row r="2123" spans="1:2" x14ac:dyDescent="0.3">
      <c r="A2123" s="1">
        <v>4338</v>
      </c>
      <c r="B2123" s="1">
        <v>400109</v>
      </c>
    </row>
    <row r="2124" spans="1:2" x14ac:dyDescent="0.3">
      <c r="A2124" s="1">
        <v>4338</v>
      </c>
      <c r="B2124" s="1">
        <v>400109</v>
      </c>
    </row>
    <row r="2125" spans="1:2" x14ac:dyDescent="0.3">
      <c r="A2125" s="1">
        <v>90273</v>
      </c>
      <c r="B2125" s="1">
        <v>400788</v>
      </c>
    </row>
    <row r="2126" spans="1:2" x14ac:dyDescent="0.3">
      <c r="A2126" s="1">
        <v>90273</v>
      </c>
      <c r="B2126" s="1">
        <v>400788</v>
      </c>
    </row>
    <row r="2127" spans="1:2" x14ac:dyDescent="0.3">
      <c r="A2127" s="1">
        <v>90273</v>
      </c>
      <c r="B2127" s="1">
        <v>400788</v>
      </c>
    </row>
    <row r="2128" spans="1:2" x14ac:dyDescent="0.3">
      <c r="A2128" s="1">
        <v>4340</v>
      </c>
      <c r="B2128" s="1">
        <v>400185</v>
      </c>
    </row>
    <row r="2129" spans="1:2" x14ac:dyDescent="0.3">
      <c r="A2129" s="1">
        <v>4340</v>
      </c>
      <c r="B2129" s="1">
        <v>400185</v>
      </c>
    </row>
    <row r="2130" spans="1:2" x14ac:dyDescent="0.3">
      <c r="A2130" s="1">
        <v>4256</v>
      </c>
      <c r="B2130" s="1">
        <v>406300</v>
      </c>
    </row>
    <row r="2131" spans="1:2" x14ac:dyDescent="0.3">
      <c r="A2131" s="1">
        <v>4256</v>
      </c>
      <c r="B2131" s="1">
        <v>406300</v>
      </c>
    </row>
    <row r="2132" spans="1:2" x14ac:dyDescent="0.3">
      <c r="A2132" s="1">
        <v>4256</v>
      </c>
      <c r="B2132" s="1">
        <v>406300</v>
      </c>
    </row>
    <row r="2133" spans="1:2" x14ac:dyDescent="0.3">
      <c r="A2133" s="1">
        <v>4256</v>
      </c>
      <c r="B2133" s="1">
        <v>406300</v>
      </c>
    </row>
    <row r="2134" spans="1:2" x14ac:dyDescent="0.3">
      <c r="A2134" s="1">
        <v>4256</v>
      </c>
      <c r="B2134" s="1">
        <v>406300</v>
      </c>
    </row>
    <row r="2135" spans="1:2" x14ac:dyDescent="0.3">
      <c r="A2135" s="1">
        <v>4256</v>
      </c>
      <c r="B2135" s="1">
        <v>406300</v>
      </c>
    </row>
    <row r="2136" spans="1:2" x14ac:dyDescent="0.3">
      <c r="A2136" s="1">
        <v>4256</v>
      </c>
      <c r="B2136" s="1">
        <v>406300</v>
      </c>
    </row>
    <row r="2137" spans="1:2" x14ac:dyDescent="0.3">
      <c r="A2137" s="1">
        <v>4256</v>
      </c>
      <c r="B2137" s="1">
        <v>406300</v>
      </c>
    </row>
    <row r="2138" spans="1:2" x14ac:dyDescent="0.3">
      <c r="A2138" s="1">
        <v>4256</v>
      </c>
      <c r="B2138" s="1">
        <v>406300</v>
      </c>
    </row>
    <row r="2139" spans="1:2" x14ac:dyDescent="0.3">
      <c r="A2139" s="1">
        <v>4256</v>
      </c>
      <c r="B2139" s="1">
        <v>406300</v>
      </c>
    </row>
    <row r="2140" spans="1:2" x14ac:dyDescent="0.3">
      <c r="A2140" s="1">
        <v>4256</v>
      </c>
      <c r="B2140" s="1">
        <v>406300</v>
      </c>
    </row>
    <row r="2141" spans="1:2" x14ac:dyDescent="0.3">
      <c r="A2141" s="1">
        <v>4256</v>
      </c>
      <c r="B2141" s="1">
        <v>406300</v>
      </c>
    </row>
    <row r="2142" spans="1:2" x14ac:dyDescent="0.3">
      <c r="A2142" s="1">
        <v>4256</v>
      </c>
      <c r="B2142" s="1">
        <v>406300</v>
      </c>
    </row>
    <row r="2143" spans="1:2" x14ac:dyDescent="0.3">
      <c r="A2143" s="1">
        <v>4256</v>
      </c>
      <c r="B2143" s="1">
        <v>406300</v>
      </c>
    </row>
    <row r="2144" spans="1:2" x14ac:dyDescent="0.3">
      <c r="A2144" s="1">
        <v>4256</v>
      </c>
      <c r="B2144" s="1">
        <v>406300</v>
      </c>
    </row>
    <row r="2145" spans="1:2" x14ac:dyDescent="0.3">
      <c r="A2145" s="1">
        <v>4256</v>
      </c>
      <c r="B2145" s="1">
        <v>406300</v>
      </c>
    </row>
    <row r="2146" spans="1:2" x14ac:dyDescent="0.3">
      <c r="A2146" s="1">
        <v>4256</v>
      </c>
      <c r="B2146" s="1">
        <v>406300</v>
      </c>
    </row>
    <row r="2147" spans="1:2" x14ac:dyDescent="0.3">
      <c r="A2147" s="1">
        <v>6379</v>
      </c>
      <c r="B2147" s="1">
        <v>400153</v>
      </c>
    </row>
    <row r="2148" spans="1:2" x14ac:dyDescent="0.3">
      <c r="A2148" s="1">
        <v>6379</v>
      </c>
      <c r="B2148" s="1">
        <v>400153</v>
      </c>
    </row>
    <row r="2149" spans="1:2" x14ac:dyDescent="0.3">
      <c r="A2149" s="1">
        <v>4286</v>
      </c>
      <c r="B2149" s="1">
        <v>406330</v>
      </c>
    </row>
    <row r="2150" spans="1:2" x14ac:dyDescent="0.3">
      <c r="A2150" s="1">
        <v>4286</v>
      </c>
      <c r="B2150" s="1">
        <v>406330</v>
      </c>
    </row>
    <row r="2151" spans="1:2" x14ac:dyDescent="0.3">
      <c r="A2151" s="1">
        <v>4286</v>
      </c>
      <c r="B2151" s="1">
        <v>406330</v>
      </c>
    </row>
    <row r="2152" spans="1:2" x14ac:dyDescent="0.3">
      <c r="A2152" s="1">
        <v>4286</v>
      </c>
      <c r="B2152" s="1">
        <v>406330</v>
      </c>
    </row>
    <row r="2153" spans="1:2" x14ac:dyDescent="0.3">
      <c r="A2153" s="1">
        <v>4286</v>
      </c>
      <c r="B2153" s="1">
        <v>406330</v>
      </c>
    </row>
    <row r="2154" spans="1:2" x14ac:dyDescent="0.3">
      <c r="A2154" s="1">
        <v>4286</v>
      </c>
      <c r="B2154" s="1">
        <v>406330</v>
      </c>
    </row>
    <row r="2155" spans="1:2" x14ac:dyDescent="0.3">
      <c r="A2155" s="1">
        <v>4286</v>
      </c>
      <c r="B2155" s="1">
        <v>406330</v>
      </c>
    </row>
    <row r="2156" spans="1:2" x14ac:dyDescent="0.3">
      <c r="A2156" s="1">
        <v>4286</v>
      </c>
      <c r="B2156" s="1">
        <v>406330</v>
      </c>
    </row>
    <row r="2157" spans="1:2" x14ac:dyDescent="0.3">
      <c r="A2157" s="1">
        <v>4286</v>
      </c>
      <c r="B2157" s="1">
        <v>406330</v>
      </c>
    </row>
    <row r="2158" spans="1:2" x14ac:dyDescent="0.3">
      <c r="A2158" s="1">
        <v>4286</v>
      </c>
      <c r="B2158" s="1">
        <v>406330</v>
      </c>
    </row>
    <row r="2159" spans="1:2" x14ac:dyDescent="0.3">
      <c r="A2159" s="1">
        <v>4286</v>
      </c>
      <c r="B2159" s="1">
        <v>406330</v>
      </c>
    </row>
    <row r="2160" spans="1:2" x14ac:dyDescent="0.3">
      <c r="A2160" s="1">
        <v>4286</v>
      </c>
      <c r="B2160" s="1">
        <v>406330</v>
      </c>
    </row>
    <row r="2161" spans="1:2" x14ac:dyDescent="0.3">
      <c r="A2161" s="1">
        <v>4286</v>
      </c>
      <c r="B2161" s="1">
        <v>406330</v>
      </c>
    </row>
    <row r="2162" spans="1:2" x14ac:dyDescent="0.3">
      <c r="A2162" s="1">
        <v>4286</v>
      </c>
      <c r="B2162" s="1">
        <v>406330</v>
      </c>
    </row>
    <row r="2163" spans="1:2" x14ac:dyDescent="0.3">
      <c r="A2163" s="1">
        <v>4286</v>
      </c>
      <c r="B2163" s="1">
        <v>406330</v>
      </c>
    </row>
    <row r="2164" spans="1:2" x14ac:dyDescent="0.3">
      <c r="A2164" s="1">
        <v>4286</v>
      </c>
      <c r="B2164" s="1">
        <v>406330</v>
      </c>
    </row>
    <row r="2165" spans="1:2" x14ac:dyDescent="0.3">
      <c r="A2165" s="1">
        <v>4286</v>
      </c>
      <c r="B2165" s="1">
        <v>406330</v>
      </c>
    </row>
    <row r="2166" spans="1:2" x14ac:dyDescent="0.3">
      <c r="A2166" s="1">
        <v>4452</v>
      </c>
      <c r="B2166" s="1">
        <v>406360</v>
      </c>
    </row>
    <row r="2167" spans="1:2" x14ac:dyDescent="0.3">
      <c r="A2167" s="1">
        <v>4452</v>
      </c>
      <c r="B2167" s="1">
        <v>406360</v>
      </c>
    </row>
    <row r="2168" spans="1:2" x14ac:dyDescent="0.3">
      <c r="A2168" s="1">
        <v>87334</v>
      </c>
      <c r="B2168" s="1">
        <v>400420</v>
      </c>
    </row>
    <row r="2169" spans="1:2" x14ac:dyDescent="0.3">
      <c r="A2169" s="1">
        <v>87334</v>
      </c>
      <c r="B2169" s="1">
        <v>400420</v>
      </c>
    </row>
    <row r="2170" spans="1:2" x14ac:dyDescent="0.3">
      <c r="A2170" s="1">
        <v>87334</v>
      </c>
      <c r="B2170" s="1">
        <v>400420</v>
      </c>
    </row>
    <row r="2171" spans="1:2" x14ac:dyDescent="0.3">
      <c r="A2171" s="1">
        <v>4401</v>
      </c>
      <c r="B2171" s="1">
        <v>405360</v>
      </c>
    </row>
    <row r="2172" spans="1:2" x14ac:dyDescent="0.3">
      <c r="A2172" s="1">
        <v>4401</v>
      </c>
      <c r="B2172" s="1">
        <v>405360</v>
      </c>
    </row>
    <row r="2173" spans="1:2" x14ac:dyDescent="0.3">
      <c r="A2173" s="1">
        <v>4401</v>
      </c>
      <c r="B2173" s="1">
        <v>405360</v>
      </c>
    </row>
    <row r="2174" spans="1:2" x14ac:dyDescent="0.3">
      <c r="A2174" s="1">
        <v>4420</v>
      </c>
      <c r="B2174" s="1">
        <v>400201</v>
      </c>
    </row>
    <row r="2175" spans="1:2" x14ac:dyDescent="0.3">
      <c r="A2175" s="1">
        <v>4420</v>
      </c>
      <c r="B2175" s="1">
        <v>400201</v>
      </c>
    </row>
    <row r="2176" spans="1:2" x14ac:dyDescent="0.3">
      <c r="A2176" s="1">
        <v>89380</v>
      </c>
      <c r="B2176" s="1">
        <v>400752</v>
      </c>
    </row>
    <row r="2177" spans="1:2" x14ac:dyDescent="0.3">
      <c r="A2177" s="1">
        <v>89380</v>
      </c>
      <c r="B2177" s="1">
        <v>400752</v>
      </c>
    </row>
    <row r="2178" spans="1:2" x14ac:dyDescent="0.3">
      <c r="A2178" s="1">
        <v>89380</v>
      </c>
      <c r="B2178" s="1">
        <v>400752</v>
      </c>
    </row>
    <row r="2179" spans="1:2" x14ac:dyDescent="0.3">
      <c r="A2179" s="1">
        <v>89380</v>
      </c>
      <c r="B2179" s="1">
        <v>400752</v>
      </c>
    </row>
    <row r="2180" spans="1:2" x14ac:dyDescent="0.3">
      <c r="A2180" s="1">
        <v>89380</v>
      </c>
      <c r="B2180" s="1">
        <v>400752</v>
      </c>
    </row>
    <row r="2181" spans="1:2" x14ac:dyDescent="0.3">
      <c r="A2181" s="1">
        <v>89380</v>
      </c>
      <c r="B2181" s="1">
        <v>400752</v>
      </c>
    </row>
    <row r="2182" spans="1:2" x14ac:dyDescent="0.3">
      <c r="A2182" s="1">
        <v>89380</v>
      </c>
      <c r="B2182" s="1">
        <v>400752</v>
      </c>
    </row>
    <row r="2183" spans="1:2" x14ac:dyDescent="0.3">
      <c r="A2183" s="1">
        <v>89380</v>
      </c>
      <c r="B2183" s="1">
        <v>400752</v>
      </c>
    </row>
    <row r="2184" spans="1:2" x14ac:dyDescent="0.3">
      <c r="A2184" s="1">
        <v>89380</v>
      </c>
      <c r="B2184" s="1">
        <v>400752</v>
      </c>
    </row>
    <row r="2185" spans="1:2" x14ac:dyDescent="0.3">
      <c r="A2185" s="1">
        <v>89380</v>
      </c>
      <c r="B2185" s="1">
        <v>400752</v>
      </c>
    </row>
    <row r="2186" spans="1:2" x14ac:dyDescent="0.3">
      <c r="A2186" s="1">
        <v>89380</v>
      </c>
      <c r="B2186" s="1">
        <v>400752</v>
      </c>
    </row>
    <row r="2187" spans="1:2" x14ac:dyDescent="0.3">
      <c r="A2187" s="1">
        <v>89380</v>
      </c>
      <c r="B2187" s="1">
        <v>400752</v>
      </c>
    </row>
    <row r="2188" spans="1:2" x14ac:dyDescent="0.3">
      <c r="A2188" s="1">
        <v>89380</v>
      </c>
      <c r="B2188" s="1">
        <v>400752</v>
      </c>
    </row>
    <row r="2189" spans="1:2" x14ac:dyDescent="0.3">
      <c r="A2189" s="1">
        <v>89380</v>
      </c>
      <c r="B2189" s="1">
        <v>400752</v>
      </c>
    </row>
    <row r="2190" spans="1:2" x14ac:dyDescent="0.3">
      <c r="A2190" s="1">
        <v>89380</v>
      </c>
      <c r="B2190" s="1">
        <v>400752</v>
      </c>
    </row>
    <row r="2191" spans="1:2" x14ac:dyDescent="0.3">
      <c r="A2191" s="1">
        <v>89380</v>
      </c>
      <c r="B2191" s="1">
        <v>400752</v>
      </c>
    </row>
    <row r="2192" spans="1:2" x14ac:dyDescent="0.3">
      <c r="A2192" s="1">
        <v>89380</v>
      </c>
      <c r="B2192" s="1">
        <v>400752</v>
      </c>
    </row>
    <row r="2193" spans="1:2" x14ac:dyDescent="0.3">
      <c r="A2193" s="1">
        <v>89380</v>
      </c>
      <c r="B2193" s="1">
        <v>400752</v>
      </c>
    </row>
    <row r="2194" spans="1:2" x14ac:dyDescent="0.3">
      <c r="A2194" s="1">
        <v>89380</v>
      </c>
      <c r="B2194" s="1">
        <v>400752</v>
      </c>
    </row>
    <row r="2195" spans="1:2" x14ac:dyDescent="0.3">
      <c r="A2195" s="1">
        <v>89380</v>
      </c>
      <c r="B2195" s="1">
        <v>400752</v>
      </c>
    </row>
    <row r="2196" spans="1:2" x14ac:dyDescent="0.3">
      <c r="A2196" s="1">
        <v>89380</v>
      </c>
      <c r="B2196" s="1">
        <v>400752</v>
      </c>
    </row>
    <row r="2197" spans="1:2" x14ac:dyDescent="0.3">
      <c r="A2197" s="1">
        <v>89380</v>
      </c>
      <c r="B2197" s="1">
        <v>400752</v>
      </c>
    </row>
    <row r="2198" spans="1:2" x14ac:dyDescent="0.3">
      <c r="A2198" s="1">
        <v>89380</v>
      </c>
      <c r="B2198" s="1">
        <v>400752</v>
      </c>
    </row>
    <row r="2199" spans="1:2" x14ac:dyDescent="0.3">
      <c r="A2199" s="1">
        <v>89380</v>
      </c>
      <c r="B2199" s="1">
        <v>400752</v>
      </c>
    </row>
    <row r="2200" spans="1:2" x14ac:dyDescent="0.3">
      <c r="A2200" s="1">
        <v>89380</v>
      </c>
      <c r="B2200" s="1">
        <v>400752</v>
      </c>
    </row>
    <row r="2201" spans="1:2" x14ac:dyDescent="0.3">
      <c r="A2201" s="1">
        <v>89380</v>
      </c>
      <c r="B2201" s="1">
        <v>400752</v>
      </c>
    </row>
    <row r="2202" spans="1:2" x14ac:dyDescent="0.3">
      <c r="A2202" s="1">
        <v>89380</v>
      </c>
      <c r="B2202" s="1">
        <v>400752</v>
      </c>
    </row>
    <row r="2203" spans="1:2" x14ac:dyDescent="0.3">
      <c r="A2203" s="1">
        <v>89380</v>
      </c>
      <c r="B2203" s="1">
        <v>400752</v>
      </c>
    </row>
    <row r="2204" spans="1:2" x14ac:dyDescent="0.3">
      <c r="A2204" s="1">
        <v>89380</v>
      </c>
      <c r="B2204" s="1">
        <v>400752</v>
      </c>
    </row>
    <row r="2205" spans="1:2" x14ac:dyDescent="0.3">
      <c r="A2205" s="1">
        <v>89380</v>
      </c>
      <c r="B2205" s="1">
        <v>400752</v>
      </c>
    </row>
    <row r="2206" spans="1:2" x14ac:dyDescent="0.3">
      <c r="A2206" s="1">
        <v>89380</v>
      </c>
      <c r="B2206" s="1">
        <v>400752</v>
      </c>
    </row>
    <row r="2207" spans="1:2" x14ac:dyDescent="0.3">
      <c r="A2207" s="1">
        <v>89380</v>
      </c>
      <c r="B2207" s="1">
        <v>400752</v>
      </c>
    </row>
    <row r="2208" spans="1:2" x14ac:dyDescent="0.3">
      <c r="A2208" s="1">
        <v>89380</v>
      </c>
      <c r="B2208" s="1">
        <v>400752</v>
      </c>
    </row>
    <row r="2209" spans="1:2" x14ac:dyDescent="0.3">
      <c r="A2209" s="1">
        <v>89380</v>
      </c>
      <c r="B2209" s="1">
        <v>400752</v>
      </c>
    </row>
    <row r="2210" spans="1:2" x14ac:dyDescent="0.3">
      <c r="A2210" s="1">
        <v>89380</v>
      </c>
      <c r="B2210" s="1">
        <v>400752</v>
      </c>
    </row>
    <row r="2211" spans="1:2" x14ac:dyDescent="0.3">
      <c r="A2211" s="1">
        <v>89380</v>
      </c>
      <c r="B2211" s="1">
        <v>400752</v>
      </c>
    </row>
    <row r="2212" spans="1:2" x14ac:dyDescent="0.3">
      <c r="A2212" s="1">
        <v>89380</v>
      </c>
      <c r="B2212" s="1">
        <v>400752</v>
      </c>
    </row>
    <row r="2213" spans="1:2" x14ac:dyDescent="0.3">
      <c r="A2213" s="1">
        <v>89380</v>
      </c>
      <c r="B2213" s="1">
        <v>400752</v>
      </c>
    </row>
    <row r="2214" spans="1:2" x14ac:dyDescent="0.3">
      <c r="A2214" s="1">
        <v>89380</v>
      </c>
      <c r="B2214" s="1">
        <v>400752</v>
      </c>
    </row>
    <row r="2215" spans="1:2" x14ac:dyDescent="0.3">
      <c r="A2215" s="1">
        <v>89380</v>
      </c>
      <c r="B2215" s="1">
        <v>400752</v>
      </c>
    </row>
    <row r="2216" spans="1:2" x14ac:dyDescent="0.3">
      <c r="A2216" s="1">
        <v>89380</v>
      </c>
      <c r="B2216" s="1">
        <v>400752</v>
      </c>
    </row>
    <row r="2217" spans="1:2" x14ac:dyDescent="0.3">
      <c r="A2217" s="1">
        <v>89380</v>
      </c>
      <c r="B2217" s="1">
        <v>400752</v>
      </c>
    </row>
    <row r="2218" spans="1:2" x14ac:dyDescent="0.3">
      <c r="A2218" s="1">
        <v>89380</v>
      </c>
      <c r="B2218" s="1">
        <v>400752</v>
      </c>
    </row>
    <row r="2219" spans="1:2" x14ac:dyDescent="0.3">
      <c r="A2219" s="1">
        <v>89380</v>
      </c>
      <c r="B2219" s="1">
        <v>400752</v>
      </c>
    </row>
    <row r="2220" spans="1:2" x14ac:dyDescent="0.3">
      <c r="A2220" s="1">
        <v>89380</v>
      </c>
      <c r="B2220" s="1">
        <v>400752</v>
      </c>
    </row>
    <row r="2221" spans="1:2" x14ac:dyDescent="0.3">
      <c r="A2221" s="1">
        <v>89380</v>
      </c>
      <c r="B2221" s="1">
        <v>400752</v>
      </c>
    </row>
    <row r="2222" spans="1:2" x14ac:dyDescent="0.3">
      <c r="A2222" s="1">
        <v>89380</v>
      </c>
      <c r="B2222" s="1">
        <v>400752</v>
      </c>
    </row>
    <row r="2223" spans="1:2" x14ac:dyDescent="0.3">
      <c r="A2223" s="1">
        <v>89380</v>
      </c>
      <c r="B2223" s="1">
        <v>400752</v>
      </c>
    </row>
    <row r="2224" spans="1:2" x14ac:dyDescent="0.3">
      <c r="A2224" s="1">
        <v>90536</v>
      </c>
      <c r="B2224" s="1">
        <v>400821</v>
      </c>
    </row>
    <row r="2225" spans="1:2" x14ac:dyDescent="0.3">
      <c r="A2225" s="1">
        <v>90536</v>
      </c>
      <c r="B2225" s="1">
        <v>400821</v>
      </c>
    </row>
    <row r="2226" spans="1:2" x14ac:dyDescent="0.3">
      <c r="A2226" s="1">
        <v>89864</v>
      </c>
      <c r="B2226" s="1">
        <v>400768</v>
      </c>
    </row>
    <row r="2227" spans="1:2" x14ac:dyDescent="0.3">
      <c r="A2227" s="1">
        <v>89864</v>
      </c>
      <c r="B2227" s="1">
        <v>400768</v>
      </c>
    </row>
    <row r="2228" spans="1:2" x14ac:dyDescent="0.3">
      <c r="A2228" s="1">
        <v>79959</v>
      </c>
      <c r="B2228" s="1">
        <v>400367</v>
      </c>
    </row>
    <row r="2229" spans="1:2" x14ac:dyDescent="0.3">
      <c r="A2229" s="1">
        <v>79959</v>
      </c>
      <c r="B2229" s="1">
        <v>400367</v>
      </c>
    </row>
    <row r="2230" spans="1:2" x14ac:dyDescent="0.3">
      <c r="A2230" s="1">
        <v>90997</v>
      </c>
      <c r="B2230" s="1">
        <v>400839</v>
      </c>
    </row>
    <row r="2231" spans="1:2" x14ac:dyDescent="0.3">
      <c r="A2231" s="1">
        <v>90997</v>
      </c>
      <c r="B2231" s="1">
        <v>400839</v>
      </c>
    </row>
    <row r="2232" spans="1:2" x14ac:dyDescent="0.3">
      <c r="A2232" s="1">
        <v>4402</v>
      </c>
      <c r="B2232" s="1">
        <v>406460</v>
      </c>
    </row>
    <row r="2233" spans="1:2" x14ac:dyDescent="0.3">
      <c r="A2233" s="1">
        <v>4220</v>
      </c>
      <c r="B2233" s="1">
        <v>406440</v>
      </c>
    </row>
    <row r="2234" spans="1:2" x14ac:dyDescent="0.3">
      <c r="A2234" s="1">
        <v>4220</v>
      </c>
      <c r="B2234" s="1">
        <v>406440</v>
      </c>
    </row>
    <row r="2235" spans="1:2" x14ac:dyDescent="0.3">
      <c r="A2235" s="1">
        <v>4220</v>
      </c>
      <c r="B2235" s="1">
        <v>406440</v>
      </c>
    </row>
    <row r="2236" spans="1:2" x14ac:dyDescent="0.3">
      <c r="A2236" s="1">
        <v>4220</v>
      </c>
      <c r="B2236" s="1">
        <v>406440</v>
      </c>
    </row>
    <row r="2237" spans="1:2" x14ac:dyDescent="0.3">
      <c r="A2237" s="1">
        <v>4220</v>
      </c>
      <c r="B2237" s="1">
        <v>406440</v>
      </c>
    </row>
    <row r="2238" spans="1:2" x14ac:dyDescent="0.3">
      <c r="A2238" s="1">
        <v>79534</v>
      </c>
      <c r="B2238" s="1">
        <v>400453</v>
      </c>
    </row>
    <row r="2239" spans="1:2" x14ac:dyDescent="0.3">
      <c r="A2239" s="1">
        <v>79534</v>
      </c>
      <c r="B2239" s="1">
        <v>400453</v>
      </c>
    </row>
    <row r="2240" spans="1:2" x14ac:dyDescent="0.3">
      <c r="A2240" s="1">
        <v>4436</v>
      </c>
      <c r="B2240" s="1">
        <v>406480</v>
      </c>
    </row>
    <row r="2241" spans="1:2" x14ac:dyDescent="0.3">
      <c r="A2241" s="1">
        <v>4201</v>
      </c>
      <c r="B2241" s="1">
        <v>400018</v>
      </c>
    </row>
    <row r="2242" spans="1:2" x14ac:dyDescent="0.3">
      <c r="A2242" s="1">
        <v>4201</v>
      </c>
      <c r="B2242" s="1">
        <v>400018</v>
      </c>
    </row>
    <row r="2243" spans="1:2" x14ac:dyDescent="0.3">
      <c r="A2243" s="1">
        <v>4214</v>
      </c>
      <c r="B2243" s="1">
        <v>406510</v>
      </c>
    </row>
    <row r="2244" spans="1:2" x14ac:dyDescent="0.3">
      <c r="A2244" s="1">
        <v>4214</v>
      </c>
      <c r="B2244" s="1">
        <v>406510</v>
      </c>
    </row>
    <row r="2245" spans="1:2" x14ac:dyDescent="0.3">
      <c r="A2245" s="1">
        <v>81011</v>
      </c>
      <c r="B2245" s="1">
        <v>400626</v>
      </c>
    </row>
    <row r="2246" spans="1:2" x14ac:dyDescent="0.3">
      <c r="A2246" s="1">
        <v>81011</v>
      </c>
      <c r="B2246" s="1">
        <v>400626</v>
      </c>
    </row>
    <row r="2247" spans="1:2" x14ac:dyDescent="0.3">
      <c r="A2247" s="1">
        <v>81009</v>
      </c>
      <c r="B2247" s="1">
        <v>400625</v>
      </c>
    </row>
    <row r="2248" spans="1:2" x14ac:dyDescent="0.3">
      <c r="A2248" s="1">
        <v>81009</v>
      </c>
      <c r="B2248" s="1">
        <v>400625</v>
      </c>
    </row>
    <row r="2249" spans="1:2" x14ac:dyDescent="0.3">
      <c r="A2249" s="1">
        <v>80999</v>
      </c>
      <c r="B2249" s="1">
        <v>400620</v>
      </c>
    </row>
    <row r="2250" spans="1:2" x14ac:dyDescent="0.3">
      <c r="A2250" s="1">
        <v>80999</v>
      </c>
      <c r="B2250" s="1">
        <v>400620</v>
      </c>
    </row>
    <row r="2251" spans="1:2" x14ac:dyDescent="0.3">
      <c r="A2251" s="1">
        <v>81001</v>
      </c>
      <c r="B2251" s="1">
        <v>400621</v>
      </c>
    </row>
    <row r="2252" spans="1:2" x14ac:dyDescent="0.3">
      <c r="A2252" s="1">
        <v>81001</v>
      </c>
      <c r="B2252" s="1">
        <v>400621</v>
      </c>
    </row>
    <row r="2253" spans="1:2" x14ac:dyDescent="0.3">
      <c r="A2253" s="1">
        <v>81001</v>
      </c>
      <c r="B2253" s="1">
        <v>400621</v>
      </c>
    </row>
    <row r="2254" spans="1:2" x14ac:dyDescent="0.3">
      <c r="A2254" s="1">
        <v>79439</v>
      </c>
      <c r="B2254" s="1">
        <v>400321</v>
      </c>
    </row>
    <row r="2255" spans="1:2" x14ac:dyDescent="0.3">
      <c r="A2255" s="1">
        <v>79439</v>
      </c>
      <c r="B2255" s="1">
        <v>400321</v>
      </c>
    </row>
    <row r="2256" spans="1:2" x14ac:dyDescent="0.3">
      <c r="A2256" s="1">
        <v>4390</v>
      </c>
      <c r="B2256" s="1">
        <v>400023</v>
      </c>
    </row>
    <row r="2257" spans="1:2" x14ac:dyDescent="0.3">
      <c r="A2257" s="1">
        <v>4390</v>
      </c>
      <c r="B2257" s="1">
        <v>400023</v>
      </c>
    </row>
    <row r="2258" spans="1:2" x14ac:dyDescent="0.3">
      <c r="A2258" s="1">
        <v>4390</v>
      </c>
      <c r="B2258" s="1">
        <v>400023</v>
      </c>
    </row>
    <row r="2259" spans="1:2" x14ac:dyDescent="0.3">
      <c r="A2259" s="1">
        <v>4390</v>
      </c>
      <c r="B2259" s="1">
        <v>400023</v>
      </c>
    </row>
    <row r="2260" spans="1:2" x14ac:dyDescent="0.3">
      <c r="A2260" s="1">
        <v>91053</v>
      </c>
      <c r="B2260" s="1">
        <v>400848</v>
      </c>
    </row>
    <row r="2261" spans="1:2" x14ac:dyDescent="0.3">
      <c r="A2261" s="1">
        <v>91053</v>
      </c>
      <c r="B2261" s="1">
        <v>400848</v>
      </c>
    </row>
    <row r="2262" spans="1:2" x14ac:dyDescent="0.3">
      <c r="A2262" s="1">
        <v>79455</v>
      </c>
      <c r="B2262" s="1">
        <v>400327</v>
      </c>
    </row>
    <row r="2263" spans="1:2" x14ac:dyDescent="0.3">
      <c r="A2263" s="1">
        <v>79455</v>
      </c>
      <c r="B2263" s="1">
        <v>400327</v>
      </c>
    </row>
    <row r="2264" spans="1:2" x14ac:dyDescent="0.3">
      <c r="A2264" s="1">
        <v>79455</v>
      </c>
      <c r="B2264" s="1">
        <v>400327</v>
      </c>
    </row>
    <row r="2265" spans="1:2" x14ac:dyDescent="0.3">
      <c r="A2265" s="1">
        <v>79455</v>
      </c>
      <c r="B2265" s="1">
        <v>400327</v>
      </c>
    </row>
    <row r="2266" spans="1:2" x14ac:dyDescent="0.3">
      <c r="A2266" s="1">
        <v>4188</v>
      </c>
      <c r="B2266" s="1">
        <v>406630</v>
      </c>
    </row>
    <row r="2267" spans="1:2" x14ac:dyDescent="0.3">
      <c r="A2267" s="1">
        <v>4188</v>
      </c>
      <c r="B2267" s="1">
        <v>406630</v>
      </c>
    </row>
    <row r="2268" spans="1:2" x14ac:dyDescent="0.3">
      <c r="A2268" s="1">
        <v>4431</v>
      </c>
      <c r="B2268" s="1">
        <v>400083</v>
      </c>
    </row>
    <row r="2269" spans="1:2" x14ac:dyDescent="0.3">
      <c r="A2269" s="1">
        <v>87405</v>
      </c>
      <c r="B2269" s="1">
        <v>400432</v>
      </c>
    </row>
    <row r="2270" spans="1:2" x14ac:dyDescent="0.3">
      <c r="A2270" s="1">
        <v>87405</v>
      </c>
      <c r="B2270" s="1">
        <v>400432</v>
      </c>
    </row>
    <row r="2271" spans="1:2" x14ac:dyDescent="0.3">
      <c r="A2271" s="1">
        <v>87405</v>
      </c>
      <c r="B2271" s="1">
        <v>400432</v>
      </c>
    </row>
    <row r="2272" spans="1:2" x14ac:dyDescent="0.3">
      <c r="A2272" s="1">
        <v>4431</v>
      </c>
      <c r="B2272" s="1">
        <v>400083</v>
      </c>
    </row>
    <row r="2273" spans="1:2" x14ac:dyDescent="0.3">
      <c r="A2273" s="1">
        <v>4431</v>
      </c>
      <c r="B2273" s="1">
        <v>400083</v>
      </c>
    </row>
    <row r="2274" spans="1:2" x14ac:dyDescent="0.3">
      <c r="A2274" s="1">
        <v>4431</v>
      </c>
      <c r="B2274" s="1">
        <v>400083</v>
      </c>
    </row>
    <row r="2275" spans="1:2" x14ac:dyDescent="0.3">
      <c r="A2275" s="1">
        <v>4431</v>
      </c>
      <c r="B2275" s="1">
        <v>400083</v>
      </c>
    </row>
    <row r="2276" spans="1:2" x14ac:dyDescent="0.3">
      <c r="A2276" s="1">
        <v>4431</v>
      </c>
      <c r="B2276" s="1">
        <v>400083</v>
      </c>
    </row>
    <row r="2277" spans="1:2" x14ac:dyDescent="0.3">
      <c r="A2277" s="1">
        <v>4431</v>
      </c>
      <c r="B2277" s="1">
        <v>400083</v>
      </c>
    </row>
    <row r="2278" spans="1:2" x14ac:dyDescent="0.3">
      <c r="A2278" s="1">
        <v>4431</v>
      </c>
      <c r="B2278" s="1">
        <v>400083</v>
      </c>
    </row>
    <row r="2279" spans="1:2" x14ac:dyDescent="0.3">
      <c r="A2279" s="1">
        <v>4431</v>
      </c>
      <c r="B2279" s="1">
        <v>400083</v>
      </c>
    </row>
    <row r="2280" spans="1:2" x14ac:dyDescent="0.3">
      <c r="A2280" s="1">
        <v>4431</v>
      </c>
      <c r="B2280" s="1">
        <v>400083</v>
      </c>
    </row>
    <row r="2281" spans="1:2" x14ac:dyDescent="0.3">
      <c r="A2281" s="1">
        <v>79217</v>
      </c>
      <c r="B2281" s="1">
        <v>400216</v>
      </c>
    </row>
    <row r="2282" spans="1:2" x14ac:dyDescent="0.3">
      <c r="A2282" s="1">
        <v>79217</v>
      </c>
      <c r="B2282" s="1">
        <v>400216</v>
      </c>
    </row>
    <row r="2283" spans="1:2" x14ac:dyDescent="0.3">
      <c r="A2283" s="1">
        <v>79569</v>
      </c>
      <c r="B2283" s="1">
        <v>400288</v>
      </c>
    </row>
    <row r="2284" spans="1:2" x14ac:dyDescent="0.3">
      <c r="A2284" s="1">
        <v>79569</v>
      </c>
      <c r="B2284" s="1">
        <v>400288</v>
      </c>
    </row>
    <row r="2285" spans="1:2" x14ac:dyDescent="0.3">
      <c r="A2285" s="1">
        <v>4466</v>
      </c>
      <c r="B2285" s="1">
        <v>406730</v>
      </c>
    </row>
    <row r="2286" spans="1:2" x14ac:dyDescent="0.3">
      <c r="A2286" s="1">
        <v>4466</v>
      </c>
      <c r="B2286" s="1">
        <v>406730</v>
      </c>
    </row>
    <row r="2287" spans="1:2" x14ac:dyDescent="0.3">
      <c r="A2287" s="1">
        <v>4466</v>
      </c>
      <c r="B2287" s="1">
        <v>406730</v>
      </c>
    </row>
    <row r="2288" spans="1:2" x14ac:dyDescent="0.3">
      <c r="A2288" s="1">
        <v>4466</v>
      </c>
      <c r="B2288" s="1">
        <v>406730</v>
      </c>
    </row>
    <row r="2289" spans="1:2" x14ac:dyDescent="0.3">
      <c r="A2289" s="1">
        <v>4466</v>
      </c>
      <c r="B2289" s="1">
        <v>406730</v>
      </c>
    </row>
    <row r="2290" spans="1:2" x14ac:dyDescent="0.3">
      <c r="A2290" s="1">
        <v>4466</v>
      </c>
      <c r="B2290" s="1">
        <v>406730</v>
      </c>
    </row>
    <row r="2291" spans="1:2" x14ac:dyDescent="0.3">
      <c r="A2291" s="1">
        <v>4466</v>
      </c>
      <c r="B2291" s="1">
        <v>406730</v>
      </c>
    </row>
    <row r="2292" spans="1:2" x14ac:dyDescent="0.3">
      <c r="A2292" s="1">
        <v>4466</v>
      </c>
      <c r="B2292" s="1">
        <v>406730</v>
      </c>
    </row>
    <row r="2293" spans="1:2" x14ac:dyDescent="0.3">
      <c r="A2293" s="1">
        <v>4466</v>
      </c>
      <c r="B2293" s="1">
        <v>406730</v>
      </c>
    </row>
    <row r="2294" spans="1:2" x14ac:dyDescent="0.3">
      <c r="A2294" s="1">
        <v>4466</v>
      </c>
      <c r="B2294" s="1">
        <v>406730</v>
      </c>
    </row>
    <row r="2295" spans="1:2" x14ac:dyDescent="0.3">
      <c r="A2295" s="1">
        <v>88317</v>
      </c>
      <c r="B2295" s="1">
        <v>400444</v>
      </c>
    </row>
    <row r="2296" spans="1:2" x14ac:dyDescent="0.3">
      <c r="A2296" s="1">
        <v>88317</v>
      </c>
      <c r="B2296" s="1">
        <v>400444</v>
      </c>
    </row>
    <row r="2297" spans="1:2" x14ac:dyDescent="0.3">
      <c r="A2297" s="1">
        <v>4425</v>
      </c>
      <c r="B2297" s="1">
        <v>400081</v>
      </c>
    </row>
    <row r="2298" spans="1:2" x14ac:dyDescent="0.3">
      <c r="A2298" s="1">
        <v>4425</v>
      </c>
      <c r="B2298" s="1">
        <v>400081</v>
      </c>
    </row>
    <row r="2299" spans="1:2" x14ac:dyDescent="0.3">
      <c r="A2299" s="1">
        <v>90539</v>
      </c>
      <c r="B2299" s="1">
        <v>400856</v>
      </c>
    </row>
    <row r="2300" spans="1:2" x14ac:dyDescent="0.3">
      <c r="A2300" s="1">
        <v>90539</v>
      </c>
      <c r="B2300" s="1">
        <v>400856</v>
      </c>
    </row>
    <row r="2301" spans="1:2" x14ac:dyDescent="0.3">
      <c r="A2301" s="1">
        <v>79461</v>
      </c>
      <c r="B2301" s="1">
        <v>400329</v>
      </c>
    </row>
    <row r="2302" spans="1:2" x14ac:dyDescent="0.3">
      <c r="A2302" s="1">
        <v>79461</v>
      </c>
      <c r="B2302" s="1">
        <v>400329</v>
      </c>
    </row>
    <row r="2303" spans="1:2" x14ac:dyDescent="0.3">
      <c r="A2303" s="1">
        <v>4511</v>
      </c>
      <c r="B2303" s="1">
        <v>406780</v>
      </c>
    </row>
    <row r="2304" spans="1:2" x14ac:dyDescent="0.3">
      <c r="A2304" s="1">
        <v>4511</v>
      </c>
      <c r="B2304" s="1">
        <v>406780</v>
      </c>
    </row>
    <row r="2305" spans="1:2" x14ac:dyDescent="0.3">
      <c r="A2305" s="1">
        <v>4511</v>
      </c>
      <c r="B2305" s="1">
        <v>406780</v>
      </c>
    </row>
    <row r="2306" spans="1:2" x14ac:dyDescent="0.3">
      <c r="A2306" s="1">
        <v>4245</v>
      </c>
      <c r="B2306" s="1">
        <v>406810</v>
      </c>
    </row>
    <row r="2307" spans="1:2" x14ac:dyDescent="0.3">
      <c r="A2307" s="1">
        <v>4245</v>
      </c>
      <c r="B2307" s="1">
        <v>406810</v>
      </c>
    </row>
    <row r="2308" spans="1:2" x14ac:dyDescent="0.3">
      <c r="A2308" s="1">
        <v>4245</v>
      </c>
      <c r="B2308" s="1">
        <v>406810</v>
      </c>
    </row>
    <row r="2309" spans="1:2" x14ac:dyDescent="0.3">
      <c r="A2309" s="1">
        <v>4245</v>
      </c>
      <c r="B2309" s="1">
        <v>406810</v>
      </c>
    </row>
    <row r="2310" spans="1:2" x14ac:dyDescent="0.3">
      <c r="A2310" s="1">
        <v>4245</v>
      </c>
      <c r="B2310" s="1">
        <v>406810</v>
      </c>
    </row>
    <row r="2311" spans="1:2" x14ac:dyDescent="0.3">
      <c r="A2311" s="1">
        <v>4245</v>
      </c>
      <c r="B2311" s="1">
        <v>406810</v>
      </c>
    </row>
    <row r="2312" spans="1:2" x14ac:dyDescent="0.3">
      <c r="A2312" s="1">
        <v>4245</v>
      </c>
      <c r="B2312" s="1">
        <v>406810</v>
      </c>
    </row>
    <row r="2313" spans="1:2" x14ac:dyDescent="0.3">
      <c r="A2313" s="1">
        <v>4245</v>
      </c>
      <c r="B2313" s="1">
        <v>406810</v>
      </c>
    </row>
    <row r="2314" spans="1:2" x14ac:dyDescent="0.3">
      <c r="A2314" s="1">
        <v>79590</v>
      </c>
      <c r="B2314" s="1">
        <v>400462</v>
      </c>
    </row>
    <row r="2315" spans="1:2" x14ac:dyDescent="0.3">
      <c r="A2315" s="1">
        <v>79590</v>
      </c>
      <c r="B2315" s="1">
        <v>400462</v>
      </c>
    </row>
    <row r="2316" spans="1:2" x14ac:dyDescent="0.3">
      <c r="A2316" s="1">
        <v>4438</v>
      </c>
      <c r="B2316" s="1">
        <v>406850</v>
      </c>
    </row>
    <row r="2317" spans="1:2" x14ac:dyDescent="0.3">
      <c r="A2317" s="1">
        <v>4438</v>
      </c>
      <c r="B2317" s="1">
        <v>406850</v>
      </c>
    </row>
    <row r="2318" spans="1:2" x14ac:dyDescent="0.3">
      <c r="A2318" s="1">
        <v>4438</v>
      </c>
      <c r="B2318" s="1">
        <v>406850</v>
      </c>
    </row>
    <row r="2319" spans="1:2" x14ac:dyDescent="0.3">
      <c r="A2319" s="1">
        <v>4438</v>
      </c>
      <c r="B2319" s="1">
        <v>406850</v>
      </c>
    </row>
    <row r="2320" spans="1:2" x14ac:dyDescent="0.3">
      <c r="A2320" s="1">
        <v>4159</v>
      </c>
      <c r="B2320" s="1">
        <v>406870</v>
      </c>
    </row>
    <row r="2321" spans="1:2" x14ac:dyDescent="0.3">
      <c r="A2321" s="1">
        <v>4159</v>
      </c>
      <c r="B2321" s="1">
        <v>406870</v>
      </c>
    </row>
    <row r="2322" spans="1:2" x14ac:dyDescent="0.3">
      <c r="A2322" s="1">
        <v>4159</v>
      </c>
      <c r="B2322" s="1">
        <v>406870</v>
      </c>
    </row>
    <row r="2323" spans="1:2" x14ac:dyDescent="0.3">
      <c r="A2323" s="1">
        <v>4159</v>
      </c>
      <c r="B2323" s="1">
        <v>406870</v>
      </c>
    </row>
    <row r="2324" spans="1:2" x14ac:dyDescent="0.3">
      <c r="A2324" s="1">
        <v>4159</v>
      </c>
      <c r="B2324" s="1">
        <v>406870</v>
      </c>
    </row>
    <row r="2325" spans="1:2" x14ac:dyDescent="0.3">
      <c r="A2325" s="1">
        <v>4159</v>
      </c>
      <c r="B2325" s="1">
        <v>406870</v>
      </c>
    </row>
    <row r="2326" spans="1:2" x14ac:dyDescent="0.3">
      <c r="A2326" s="1">
        <v>4447</v>
      </c>
      <c r="B2326" s="1">
        <v>406900</v>
      </c>
    </row>
    <row r="2327" spans="1:2" x14ac:dyDescent="0.3">
      <c r="A2327" s="1">
        <v>4447</v>
      </c>
      <c r="B2327" s="1">
        <v>406900</v>
      </c>
    </row>
    <row r="2328" spans="1:2" x14ac:dyDescent="0.3">
      <c r="A2328" s="1">
        <v>4417</v>
      </c>
      <c r="B2328" s="1">
        <v>406930</v>
      </c>
    </row>
    <row r="2329" spans="1:2" x14ac:dyDescent="0.3">
      <c r="A2329" s="1">
        <v>91317</v>
      </c>
      <c r="B2329" s="1">
        <v>400850</v>
      </c>
    </row>
    <row r="2330" spans="1:2" x14ac:dyDescent="0.3">
      <c r="A2330" s="1">
        <v>91317</v>
      </c>
      <c r="B2330" s="1">
        <v>400850</v>
      </c>
    </row>
    <row r="2331" spans="1:2" x14ac:dyDescent="0.3">
      <c r="A2331" s="1">
        <v>4306</v>
      </c>
      <c r="B2331" s="1">
        <v>400034</v>
      </c>
    </row>
    <row r="2332" spans="1:2" x14ac:dyDescent="0.3">
      <c r="A2332" s="1">
        <v>4306</v>
      </c>
      <c r="B2332" s="1">
        <v>400034</v>
      </c>
    </row>
    <row r="2333" spans="1:2" x14ac:dyDescent="0.3">
      <c r="A2333" s="1">
        <v>90275</v>
      </c>
      <c r="B2333" s="1">
        <v>400815</v>
      </c>
    </row>
    <row r="2334" spans="1:2" x14ac:dyDescent="0.3">
      <c r="A2334" s="1">
        <v>90275</v>
      </c>
      <c r="B2334" s="1">
        <v>400815</v>
      </c>
    </row>
    <row r="2335" spans="1:2" x14ac:dyDescent="0.3">
      <c r="A2335" s="1">
        <v>4301</v>
      </c>
      <c r="B2335" s="1">
        <v>400031</v>
      </c>
    </row>
    <row r="2336" spans="1:2" x14ac:dyDescent="0.3">
      <c r="A2336" s="1">
        <v>4301</v>
      </c>
      <c r="B2336" s="1">
        <v>400031</v>
      </c>
    </row>
    <row r="2337" spans="1:2" x14ac:dyDescent="0.3">
      <c r="A2337" s="1">
        <v>92049</v>
      </c>
      <c r="B2337" s="1">
        <v>400889</v>
      </c>
    </row>
    <row r="2338" spans="1:2" x14ac:dyDescent="0.3">
      <c r="A2338" s="1">
        <v>4257</v>
      </c>
      <c r="B2338" s="1">
        <v>407020</v>
      </c>
    </row>
    <row r="2339" spans="1:2" x14ac:dyDescent="0.3">
      <c r="A2339" s="1">
        <v>4257</v>
      </c>
      <c r="B2339" s="1">
        <v>407020</v>
      </c>
    </row>
    <row r="2340" spans="1:2" x14ac:dyDescent="0.3">
      <c r="A2340" s="1">
        <v>4257</v>
      </c>
      <c r="B2340" s="1">
        <v>407020</v>
      </c>
    </row>
    <row r="2341" spans="1:2" x14ac:dyDescent="0.3">
      <c r="A2341" s="1">
        <v>4279</v>
      </c>
      <c r="B2341" s="1">
        <v>407080</v>
      </c>
    </row>
    <row r="2342" spans="1:2" x14ac:dyDescent="0.3">
      <c r="A2342" s="1">
        <v>4279</v>
      </c>
      <c r="B2342" s="1">
        <v>407080</v>
      </c>
    </row>
    <row r="2343" spans="1:2" x14ac:dyDescent="0.3">
      <c r="A2343" s="1">
        <v>4279</v>
      </c>
      <c r="B2343" s="1">
        <v>407080</v>
      </c>
    </row>
    <row r="2344" spans="1:2" x14ac:dyDescent="0.3">
      <c r="A2344" s="1">
        <v>4279</v>
      </c>
      <c r="B2344" s="1">
        <v>407080</v>
      </c>
    </row>
    <row r="2345" spans="1:2" x14ac:dyDescent="0.3">
      <c r="A2345" s="1">
        <v>4279</v>
      </c>
      <c r="B2345" s="1">
        <v>407080</v>
      </c>
    </row>
    <row r="2346" spans="1:2" x14ac:dyDescent="0.3">
      <c r="A2346" s="1">
        <v>4279</v>
      </c>
      <c r="B2346" s="1">
        <v>407080</v>
      </c>
    </row>
    <row r="2347" spans="1:2" x14ac:dyDescent="0.3">
      <c r="A2347" s="1">
        <v>4279</v>
      </c>
      <c r="B2347" s="1">
        <v>407080</v>
      </c>
    </row>
    <row r="2348" spans="1:2" x14ac:dyDescent="0.3">
      <c r="A2348" s="1">
        <v>4279</v>
      </c>
      <c r="B2348" s="1">
        <v>407080</v>
      </c>
    </row>
    <row r="2349" spans="1:2" x14ac:dyDescent="0.3">
      <c r="A2349" s="1">
        <v>4279</v>
      </c>
      <c r="B2349" s="1">
        <v>407080</v>
      </c>
    </row>
    <row r="2350" spans="1:2" x14ac:dyDescent="0.3">
      <c r="A2350" s="1">
        <v>4279</v>
      </c>
      <c r="B2350" s="1">
        <v>407080</v>
      </c>
    </row>
    <row r="2351" spans="1:2" x14ac:dyDescent="0.3">
      <c r="A2351" s="1">
        <v>4279</v>
      </c>
      <c r="B2351" s="1">
        <v>407080</v>
      </c>
    </row>
    <row r="2352" spans="1:2" x14ac:dyDescent="0.3">
      <c r="A2352" s="1">
        <v>4279</v>
      </c>
      <c r="B2352" s="1">
        <v>407080</v>
      </c>
    </row>
    <row r="2353" spans="1:2" x14ac:dyDescent="0.3">
      <c r="A2353" s="1">
        <v>4279</v>
      </c>
      <c r="B2353" s="1">
        <v>407080</v>
      </c>
    </row>
    <row r="2354" spans="1:2" x14ac:dyDescent="0.3">
      <c r="A2354" s="1">
        <v>4279</v>
      </c>
      <c r="B2354" s="1">
        <v>407080</v>
      </c>
    </row>
    <row r="2355" spans="1:2" x14ac:dyDescent="0.3">
      <c r="A2355" s="1">
        <v>4279</v>
      </c>
      <c r="B2355" s="1">
        <v>407080</v>
      </c>
    </row>
    <row r="2356" spans="1:2" x14ac:dyDescent="0.3">
      <c r="A2356" s="1">
        <v>4279</v>
      </c>
      <c r="B2356" s="1">
        <v>407080</v>
      </c>
    </row>
    <row r="2357" spans="1:2" x14ac:dyDescent="0.3">
      <c r="A2357" s="1">
        <v>4279</v>
      </c>
      <c r="B2357" s="1">
        <v>407080</v>
      </c>
    </row>
    <row r="2358" spans="1:2" x14ac:dyDescent="0.3">
      <c r="A2358" s="1">
        <v>4279</v>
      </c>
      <c r="B2358" s="1">
        <v>407080</v>
      </c>
    </row>
    <row r="2359" spans="1:2" x14ac:dyDescent="0.3">
      <c r="A2359" s="1">
        <v>4279</v>
      </c>
      <c r="B2359" s="1">
        <v>407080</v>
      </c>
    </row>
    <row r="2360" spans="1:2" x14ac:dyDescent="0.3">
      <c r="A2360" s="1">
        <v>4279</v>
      </c>
      <c r="B2360" s="1">
        <v>407080</v>
      </c>
    </row>
    <row r="2361" spans="1:2" x14ac:dyDescent="0.3">
      <c r="A2361" s="1">
        <v>4279</v>
      </c>
      <c r="B2361" s="1">
        <v>407080</v>
      </c>
    </row>
    <row r="2362" spans="1:2" x14ac:dyDescent="0.3">
      <c r="A2362" s="1">
        <v>87399</v>
      </c>
      <c r="B2362" s="1">
        <v>400424</v>
      </c>
    </row>
    <row r="2363" spans="1:2" x14ac:dyDescent="0.3">
      <c r="A2363" s="1">
        <v>87399</v>
      </c>
      <c r="B2363" s="1">
        <v>400424</v>
      </c>
    </row>
    <row r="2364" spans="1:2" x14ac:dyDescent="0.3">
      <c r="A2364" s="1">
        <v>4155</v>
      </c>
      <c r="B2364" s="1">
        <v>407130</v>
      </c>
    </row>
    <row r="2365" spans="1:2" x14ac:dyDescent="0.3">
      <c r="A2365" s="1">
        <v>4155</v>
      </c>
      <c r="B2365" s="1">
        <v>407130</v>
      </c>
    </row>
    <row r="2366" spans="1:2" x14ac:dyDescent="0.3">
      <c r="A2366" s="1">
        <v>4155</v>
      </c>
      <c r="B2366" s="1">
        <v>407130</v>
      </c>
    </row>
    <row r="2367" spans="1:2" x14ac:dyDescent="0.3">
      <c r="A2367" s="1">
        <v>4155</v>
      </c>
      <c r="B2367" s="1">
        <v>407130</v>
      </c>
    </row>
    <row r="2368" spans="1:2" x14ac:dyDescent="0.3">
      <c r="A2368" s="1">
        <v>81033</v>
      </c>
      <c r="B2368" s="1">
        <v>400656</v>
      </c>
    </row>
    <row r="2369" spans="1:2" x14ac:dyDescent="0.3">
      <c r="A2369" s="1">
        <v>81033</v>
      </c>
      <c r="B2369" s="1">
        <v>400656</v>
      </c>
    </row>
    <row r="2370" spans="1:2" x14ac:dyDescent="0.3">
      <c r="A2370" s="1">
        <v>81033</v>
      </c>
      <c r="B2370" s="1">
        <v>400656</v>
      </c>
    </row>
    <row r="2371" spans="1:2" x14ac:dyDescent="0.3">
      <c r="A2371" s="1">
        <v>4449</v>
      </c>
      <c r="B2371" s="1">
        <v>407200</v>
      </c>
    </row>
    <row r="2372" spans="1:2" x14ac:dyDescent="0.3">
      <c r="A2372" s="1">
        <v>4449</v>
      </c>
      <c r="B2372" s="1">
        <v>407200</v>
      </c>
    </row>
    <row r="2373" spans="1:2" x14ac:dyDescent="0.3">
      <c r="A2373" s="1">
        <v>4449</v>
      </c>
      <c r="B2373" s="1">
        <v>407200</v>
      </c>
    </row>
    <row r="2374" spans="1:2" x14ac:dyDescent="0.3">
      <c r="A2374" s="1">
        <v>4254</v>
      </c>
      <c r="B2374" s="1">
        <v>407170</v>
      </c>
    </row>
    <row r="2375" spans="1:2" x14ac:dyDescent="0.3">
      <c r="A2375" s="1">
        <v>4254</v>
      </c>
      <c r="B2375" s="1">
        <v>407170</v>
      </c>
    </row>
    <row r="2376" spans="1:2" x14ac:dyDescent="0.3">
      <c r="A2376" s="1">
        <v>4254</v>
      </c>
      <c r="B2376" s="1">
        <v>407170</v>
      </c>
    </row>
    <row r="2377" spans="1:2" x14ac:dyDescent="0.3">
      <c r="A2377" s="1">
        <v>4254</v>
      </c>
      <c r="B2377" s="1">
        <v>407170</v>
      </c>
    </row>
    <row r="2378" spans="1:2" x14ac:dyDescent="0.3">
      <c r="A2378" s="1">
        <v>4218</v>
      </c>
      <c r="B2378" s="1">
        <v>407240</v>
      </c>
    </row>
    <row r="2379" spans="1:2" x14ac:dyDescent="0.3">
      <c r="A2379" s="1">
        <v>4218</v>
      </c>
      <c r="B2379" s="1">
        <v>407240</v>
      </c>
    </row>
    <row r="2380" spans="1:2" x14ac:dyDescent="0.3">
      <c r="A2380" s="1">
        <v>4218</v>
      </c>
      <c r="B2380" s="1">
        <v>407240</v>
      </c>
    </row>
    <row r="2381" spans="1:2" x14ac:dyDescent="0.3">
      <c r="A2381" s="1">
        <v>4218</v>
      </c>
      <c r="B2381" s="1">
        <v>407240</v>
      </c>
    </row>
    <row r="2382" spans="1:2" x14ac:dyDescent="0.3">
      <c r="A2382" s="1">
        <v>4218</v>
      </c>
      <c r="B2382" s="1">
        <v>407240</v>
      </c>
    </row>
    <row r="2383" spans="1:2" x14ac:dyDescent="0.3">
      <c r="A2383" s="1">
        <v>4218</v>
      </c>
      <c r="B2383" s="1">
        <v>407240</v>
      </c>
    </row>
    <row r="2384" spans="1:2" x14ac:dyDescent="0.3">
      <c r="A2384" s="1">
        <v>4218</v>
      </c>
      <c r="B2384" s="1">
        <v>407240</v>
      </c>
    </row>
    <row r="2385" spans="1:2" x14ac:dyDescent="0.3">
      <c r="A2385" s="1">
        <v>89414</v>
      </c>
      <c r="B2385" s="1">
        <v>400748</v>
      </c>
    </row>
    <row r="2386" spans="1:2" x14ac:dyDescent="0.3">
      <c r="A2386" s="1">
        <v>89414</v>
      </c>
      <c r="B2386" s="1">
        <v>400748</v>
      </c>
    </row>
    <row r="2387" spans="1:2" x14ac:dyDescent="0.3">
      <c r="A2387" s="1">
        <v>4411</v>
      </c>
      <c r="B2387" s="1">
        <v>407300</v>
      </c>
    </row>
    <row r="2388" spans="1:2" x14ac:dyDescent="0.3">
      <c r="A2388" s="1">
        <v>4411</v>
      </c>
      <c r="B2388" s="1">
        <v>407300</v>
      </c>
    </row>
    <row r="2389" spans="1:2" x14ac:dyDescent="0.3">
      <c r="A2389" s="1">
        <v>4411</v>
      </c>
      <c r="B2389" s="1">
        <v>407300</v>
      </c>
    </row>
    <row r="2390" spans="1:2" x14ac:dyDescent="0.3">
      <c r="A2390" s="1">
        <v>4411</v>
      </c>
      <c r="B2390" s="1">
        <v>407300</v>
      </c>
    </row>
    <row r="2391" spans="1:2" x14ac:dyDescent="0.3">
      <c r="A2391" s="1">
        <v>4411</v>
      </c>
      <c r="B2391" s="1">
        <v>407300</v>
      </c>
    </row>
    <row r="2392" spans="1:2" x14ac:dyDescent="0.3">
      <c r="A2392" s="1">
        <v>4411</v>
      </c>
      <c r="B2392" s="1">
        <v>407300</v>
      </c>
    </row>
    <row r="2393" spans="1:2" x14ac:dyDescent="0.3">
      <c r="A2393" s="1">
        <v>4411</v>
      </c>
      <c r="B2393" s="1">
        <v>407300</v>
      </c>
    </row>
    <row r="2394" spans="1:2" x14ac:dyDescent="0.3">
      <c r="A2394" s="1">
        <v>4411</v>
      </c>
      <c r="B2394" s="1">
        <v>407300</v>
      </c>
    </row>
    <row r="2395" spans="1:2" x14ac:dyDescent="0.3">
      <c r="A2395" s="1">
        <v>4411</v>
      </c>
      <c r="B2395" s="1">
        <v>407300</v>
      </c>
    </row>
    <row r="2396" spans="1:2" x14ac:dyDescent="0.3">
      <c r="A2396" s="1">
        <v>4514</v>
      </c>
      <c r="B2396" s="1">
        <v>400005</v>
      </c>
    </row>
    <row r="2397" spans="1:2" x14ac:dyDescent="0.3">
      <c r="A2397" s="1">
        <v>4514</v>
      </c>
      <c r="B2397" s="1">
        <v>400005</v>
      </c>
    </row>
    <row r="2398" spans="1:2" x14ac:dyDescent="0.3">
      <c r="A2398" s="1">
        <v>4320</v>
      </c>
      <c r="B2398" s="1">
        <v>400047</v>
      </c>
    </row>
    <row r="2399" spans="1:2" x14ac:dyDescent="0.3">
      <c r="A2399" s="1">
        <v>4320</v>
      </c>
      <c r="B2399" s="1">
        <v>400047</v>
      </c>
    </row>
    <row r="2400" spans="1:2" x14ac:dyDescent="0.3">
      <c r="A2400" s="1">
        <v>4320</v>
      </c>
      <c r="B2400" s="1">
        <v>400047</v>
      </c>
    </row>
    <row r="2401" spans="1:2" x14ac:dyDescent="0.3">
      <c r="A2401" s="1">
        <v>4210</v>
      </c>
      <c r="B2401" s="1">
        <v>406960</v>
      </c>
    </row>
    <row r="2402" spans="1:2" x14ac:dyDescent="0.3">
      <c r="A2402" s="1">
        <v>4210</v>
      </c>
      <c r="B2402" s="1">
        <v>406960</v>
      </c>
    </row>
    <row r="2403" spans="1:2" x14ac:dyDescent="0.3">
      <c r="A2403" s="1">
        <v>4210</v>
      </c>
      <c r="B2403" s="1">
        <v>406960</v>
      </c>
    </row>
    <row r="2404" spans="1:2" x14ac:dyDescent="0.3">
      <c r="A2404" s="1">
        <v>4210</v>
      </c>
      <c r="B2404" s="1">
        <v>406960</v>
      </c>
    </row>
    <row r="2405" spans="1:2" x14ac:dyDescent="0.3">
      <c r="A2405" s="1">
        <v>4210</v>
      </c>
      <c r="B2405" s="1">
        <v>406960</v>
      </c>
    </row>
    <row r="2406" spans="1:2" x14ac:dyDescent="0.3">
      <c r="A2406" s="1">
        <v>4414</v>
      </c>
      <c r="B2406" s="1">
        <v>407380</v>
      </c>
    </row>
    <row r="2407" spans="1:2" x14ac:dyDescent="0.3">
      <c r="A2407" s="1">
        <v>4414</v>
      </c>
      <c r="B2407" s="1">
        <v>407380</v>
      </c>
    </row>
    <row r="2408" spans="1:2" x14ac:dyDescent="0.3">
      <c r="A2408" s="1">
        <v>4172</v>
      </c>
      <c r="B2408" s="1">
        <v>407430</v>
      </c>
    </row>
    <row r="2409" spans="1:2" x14ac:dyDescent="0.3">
      <c r="A2409" s="1">
        <v>4172</v>
      </c>
      <c r="B2409" s="1">
        <v>407430</v>
      </c>
    </row>
    <row r="2410" spans="1:2" x14ac:dyDescent="0.3">
      <c r="A2410" s="1">
        <v>89798</v>
      </c>
      <c r="B2410" s="1">
        <v>400775</v>
      </c>
    </row>
    <row r="2411" spans="1:2" x14ac:dyDescent="0.3">
      <c r="A2411" s="1">
        <v>89798</v>
      </c>
      <c r="B2411" s="1">
        <v>400775</v>
      </c>
    </row>
    <row r="2412" spans="1:2" x14ac:dyDescent="0.3">
      <c r="A2412" s="1">
        <v>89798</v>
      </c>
      <c r="B2412" s="1">
        <v>400775</v>
      </c>
    </row>
    <row r="2413" spans="1:2" x14ac:dyDescent="0.3">
      <c r="A2413" s="1">
        <v>4156</v>
      </c>
      <c r="B2413" s="1">
        <v>406740</v>
      </c>
    </row>
    <row r="2414" spans="1:2" x14ac:dyDescent="0.3">
      <c r="A2414" s="1">
        <v>4156</v>
      </c>
      <c r="B2414" s="1">
        <v>406740</v>
      </c>
    </row>
    <row r="2415" spans="1:2" x14ac:dyDescent="0.3">
      <c r="A2415" s="1">
        <v>4156</v>
      </c>
      <c r="B2415" s="1">
        <v>406740</v>
      </c>
    </row>
    <row r="2416" spans="1:2" x14ac:dyDescent="0.3">
      <c r="A2416" s="1">
        <v>4156</v>
      </c>
      <c r="B2416" s="1">
        <v>406740</v>
      </c>
    </row>
    <row r="2417" spans="1:2" x14ac:dyDescent="0.3">
      <c r="A2417" s="1">
        <v>85848</v>
      </c>
      <c r="B2417" s="1">
        <v>400434</v>
      </c>
    </row>
    <row r="2418" spans="1:2" x14ac:dyDescent="0.3">
      <c r="A2418" s="1">
        <v>85848</v>
      </c>
      <c r="B2418" s="1">
        <v>400434</v>
      </c>
    </row>
    <row r="2419" spans="1:2" x14ac:dyDescent="0.3">
      <c r="A2419" s="1">
        <v>79473</v>
      </c>
      <c r="B2419" s="1">
        <v>400777</v>
      </c>
    </row>
    <row r="2420" spans="1:2" x14ac:dyDescent="0.3">
      <c r="A2420" s="1">
        <v>79473</v>
      </c>
      <c r="B2420" s="1">
        <v>400777</v>
      </c>
    </row>
    <row r="2421" spans="1:2" x14ac:dyDescent="0.3">
      <c r="A2421" s="1">
        <v>4459</v>
      </c>
      <c r="B2421" s="1">
        <v>407500</v>
      </c>
    </row>
    <row r="2422" spans="1:2" x14ac:dyDescent="0.3">
      <c r="A2422" s="1">
        <v>4459</v>
      </c>
      <c r="B2422" s="1">
        <v>407500</v>
      </c>
    </row>
    <row r="2423" spans="1:2" x14ac:dyDescent="0.3">
      <c r="A2423" s="1">
        <v>79066</v>
      </c>
      <c r="B2423" s="1">
        <v>400264</v>
      </c>
    </row>
    <row r="2424" spans="1:2" x14ac:dyDescent="0.3">
      <c r="A2424" s="1">
        <v>79066</v>
      </c>
      <c r="B2424" s="1">
        <v>400264</v>
      </c>
    </row>
    <row r="2425" spans="1:2" x14ac:dyDescent="0.3">
      <c r="A2425" s="1">
        <v>4458</v>
      </c>
      <c r="B2425" s="1">
        <v>407520</v>
      </c>
    </row>
    <row r="2426" spans="1:2" x14ac:dyDescent="0.3">
      <c r="A2426" s="1">
        <v>4458</v>
      </c>
      <c r="B2426" s="1">
        <v>407520</v>
      </c>
    </row>
    <row r="2427" spans="1:2" x14ac:dyDescent="0.3">
      <c r="A2427" s="1">
        <v>4458</v>
      </c>
      <c r="B2427" s="1">
        <v>407520</v>
      </c>
    </row>
    <row r="2428" spans="1:2" x14ac:dyDescent="0.3">
      <c r="A2428" s="1">
        <v>4458</v>
      </c>
      <c r="B2428" s="1">
        <v>407520</v>
      </c>
    </row>
    <row r="2429" spans="1:2" x14ac:dyDescent="0.3">
      <c r="A2429" s="1">
        <v>4458</v>
      </c>
      <c r="B2429" s="1">
        <v>407520</v>
      </c>
    </row>
    <row r="2430" spans="1:2" x14ac:dyDescent="0.3">
      <c r="A2430" s="1">
        <v>4458</v>
      </c>
      <c r="B2430" s="1">
        <v>407520</v>
      </c>
    </row>
    <row r="2431" spans="1:2" x14ac:dyDescent="0.3">
      <c r="A2431" s="1">
        <v>4458</v>
      </c>
      <c r="B2431" s="1">
        <v>407520</v>
      </c>
    </row>
    <row r="2432" spans="1:2" x14ac:dyDescent="0.3">
      <c r="A2432" s="1">
        <v>4454</v>
      </c>
      <c r="B2432" s="1">
        <v>407530</v>
      </c>
    </row>
    <row r="2433" spans="1:2" x14ac:dyDescent="0.3">
      <c r="A2433" s="1">
        <v>4454</v>
      </c>
      <c r="B2433" s="1">
        <v>407530</v>
      </c>
    </row>
    <row r="2434" spans="1:2" x14ac:dyDescent="0.3">
      <c r="A2434" s="1">
        <v>4454</v>
      </c>
      <c r="B2434" s="1">
        <v>407530</v>
      </c>
    </row>
    <row r="2435" spans="1:2" x14ac:dyDescent="0.3">
      <c r="A2435" s="1">
        <v>4454</v>
      </c>
      <c r="B2435" s="1">
        <v>407530</v>
      </c>
    </row>
    <row r="2436" spans="1:2" x14ac:dyDescent="0.3">
      <c r="A2436" s="1">
        <v>85454</v>
      </c>
      <c r="B2436" s="1">
        <v>400409</v>
      </c>
    </row>
    <row r="2437" spans="1:2" x14ac:dyDescent="0.3">
      <c r="A2437" s="1">
        <v>85454</v>
      </c>
      <c r="B2437" s="1">
        <v>400409</v>
      </c>
    </row>
    <row r="2438" spans="1:2" x14ac:dyDescent="0.3">
      <c r="A2438" s="1">
        <v>79951</v>
      </c>
      <c r="B2438" s="1">
        <v>400363</v>
      </c>
    </row>
    <row r="2439" spans="1:2" x14ac:dyDescent="0.3">
      <c r="A2439" s="1">
        <v>79951</v>
      </c>
      <c r="B2439" s="1">
        <v>400363</v>
      </c>
    </row>
    <row r="2440" spans="1:2" x14ac:dyDescent="0.3">
      <c r="A2440" s="1">
        <v>79951</v>
      </c>
      <c r="B2440" s="1">
        <v>400363</v>
      </c>
    </row>
    <row r="2441" spans="1:2" x14ac:dyDescent="0.3">
      <c r="A2441" s="1">
        <v>8365</v>
      </c>
      <c r="B2441" s="1">
        <v>400906</v>
      </c>
    </row>
    <row r="2442" spans="1:2" x14ac:dyDescent="0.3">
      <c r="A2442" s="1">
        <v>91110</v>
      </c>
      <c r="B2442" s="1">
        <v>400879</v>
      </c>
    </row>
    <row r="2443" spans="1:2" x14ac:dyDescent="0.3">
      <c r="A2443" s="1">
        <v>91110</v>
      </c>
      <c r="B2443" s="1">
        <v>400879</v>
      </c>
    </row>
    <row r="2444" spans="1:2" x14ac:dyDescent="0.3">
      <c r="A2444" s="1">
        <v>89756</v>
      </c>
      <c r="B2444" s="1">
        <v>400747</v>
      </c>
    </row>
    <row r="2445" spans="1:2" x14ac:dyDescent="0.3">
      <c r="A2445" s="1">
        <v>89756</v>
      </c>
      <c r="B2445" s="1">
        <v>400747</v>
      </c>
    </row>
    <row r="2446" spans="1:2" x14ac:dyDescent="0.3">
      <c r="A2446" s="1">
        <v>4240</v>
      </c>
      <c r="B2446" s="1">
        <v>407570</v>
      </c>
    </row>
    <row r="2447" spans="1:2" x14ac:dyDescent="0.3">
      <c r="A2447" s="1">
        <v>4240</v>
      </c>
      <c r="B2447" s="1">
        <v>407570</v>
      </c>
    </row>
    <row r="2448" spans="1:2" x14ac:dyDescent="0.3">
      <c r="A2448" s="1">
        <v>4240</v>
      </c>
      <c r="B2448" s="1">
        <v>407570</v>
      </c>
    </row>
    <row r="2449" spans="1:2" x14ac:dyDescent="0.3">
      <c r="A2449" s="1">
        <v>4240</v>
      </c>
      <c r="B2449" s="1">
        <v>407570</v>
      </c>
    </row>
    <row r="2450" spans="1:2" x14ac:dyDescent="0.3">
      <c r="A2450" s="1">
        <v>4240</v>
      </c>
      <c r="B2450" s="1">
        <v>407570</v>
      </c>
    </row>
    <row r="2451" spans="1:2" x14ac:dyDescent="0.3">
      <c r="A2451" s="1">
        <v>4240</v>
      </c>
      <c r="B2451" s="1">
        <v>407570</v>
      </c>
    </row>
    <row r="2452" spans="1:2" x14ac:dyDescent="0.3">
      <c r="A2452" s="1">
        <v>4240</v>
      </c>
      <c r="B2452" s="1">
        <v>407570</v>
      </c>
    </row>
    <row r="2453" spans="1:2" x14ac:dyDescent="0.3">
      <c r="A2453" s="1">
        <v>4240</v>
      </c>
      <c r="B2453" s="1">
        <v>407570</v>
      </c>
    </row>
    <row r="2454" spans="1:2" x14ac:dyDescent="0.3">
      <c r="A2454" s="1">
        <v>4240</v>
      </c>
      <c r="B2454" s="1">
        <v>407570</v>
      </c>
    </row>
    <row r="2455" spans="1:2" x14ac:dyDescent="0.3">
      <c r="A2455" s="1">
        <v>4240</v>
      </c>
      <c r="B2455" s="1">
        <v>407570</v>
      </c>
    </row>
    <row r="2456" spans="1:2" x14ac:dyDescent="0.3">
      <c r="A2456" s="1">
        <v>4240</v>
      </c>
      <c r="B2456" s="1">
        <v>407570</v>
      </c>
    </row>
    <row r="2457" spans="1:2" x14ac:dyDescent="0.3">
      <c r="A2457" s="1">
        <v>4240</v>
      </c>
      <c r="B2457" s="1">
        <v>407570</v>
      </c>
    </row>
    <row r="2458" spans="1:2" x14ac:dyDescent="0.3">
      <c r="A2458" s="1">
        <v>4240</v>
      </c>
      <c r="B2458" s="1">
        <v>407570</v>
      </c>
    </row>
    <row r="2459" spans="1:2" x14ac:dyDescent="0.3">
      <c r="A2459" s="1">
        <v>4240</v>
      </c>
      <c r="B2459" s="1">
        <v>407570</v>
      </c>
    </row>
    <row r="2460" spans="1:2" x14ac:dyDescent="0.3">
      <c r="A2460" s="1">
        <v>4240</v>
      </c>
      <c r="B2460" s="1">
        <v>407570</v>
      </c>
    </row>
    <row r="2461" spans="1:2" x14ac:dyDescent="0.3">
      <c r="A2461" s="1">
        <v>4240</v>
      </c>
      <c r="B2461" s="1">
        <v>407570</v>
      </c>
    </row>
    <row r="2462" spans="1:2" x14ac:dyDescent="0.3">
      <c r="A2462" s="1">
        <v>4240</v>
      </c>
      <c r="B2462" s="1">
        <v>407570</v>
      </c>
    </row>
    <row r="2463" spans="1:2" x14ac:dyDescent="0.3">
      <c r="A2463" s="1">
        <v>4240</v>
      </c>
      <c r="B2463" s="1">
        <v>407570</v>
      </c>
    </row>
    <row r="2464" spans="1:2" x14ac:dyDescent="0.3">
      <c r="A2464" s="1">
        <v>4240</v>
      </c>
      <c r="B2464" s="1">
        <v>407570</v>
      </c>
    </row>
    <row r="2465" spans="1:2" x14ac:dyDescent="0.3">
      <c r="A2465" s="1">
        <v>4240</v>
      </c>
      <c r="B2465" s="1">
        <v>407570</v>
      </c>
    </row>
    <row r="2466" spans="1:2" x14ac:dyDescent="0.3">
      <c r="A2466" s="1">
        <v>4240</v>
      </c>
      <c r="B2466" s="1">
        <v>407570</v>
      </c>
    </row>
    <row r="2467" spans="1:2" x14ac:dyDescent="0.3">
      <c r="A2467" s="1">
        <v>4240</v>
      </c>
      <c r="B2467" s="1">
        <v>407570</v>
      </c>
    </row>
    <row r="2468" spans="1:2" x14ac:dyDescent="0.3">
      <c r="A2468" s="1">
        <v>4240</v>
      </c>
      <c r="B2468" s="1">
        <v>407570</v>
      </c>
    </row>
    <row r="2469" spans="1:2" x14ac:dyDescent="0.3">
      <c r="A2469" s="1">
        <v>4240</v>
      </c>
      <c r="B2469" s="1">
        <v>407570</v>
      </c>
    </row>
    <row r="2470" spans="1:2" x14ac:dyDescent="0.3">
      <c r="A2470" s="1">
        <v>4240</v>
      </c>
      <c r="B2470" s="1">
        <v>407570</v>
      </c>
    </row>
    <row r="2471" spans="1:2" x14ac:dyDescent="0.3">
      <c r="A2471" s="1">
        <v>4240</v>
      </c>
      <c r="B2471" s="1">
        <v>407570</v>
      </c>
    </row>
    <row r="2472" spans="1:2" x14ac:dyDescent="0.3">
      <c r="A2472" s="1">
        <v>4240</v>
      </c>
      <c r="B2472" s="1">
        <v>407570</v>
      </c>
    </row>
    <row r="2473" spans="1:2" x14ac:dyDescent="0.3">
      <c r="A2473" s="1">
        <v>4240</v>
      </c>
      <c r="B2473" s="1">
        <v>407570</v>
      </c>
    </row>
    <row r="2474" spans="1:2" x14ac:dyDescent="0.3">
      <c r="A2474" s="1">
        <v>4240</v>
      </c>
      <c r="B2474" s="1">
        <v>407570</v>
      </c>
    </row>
    <row r="2475" spans="1:2" x14ac:dyDescent="0.3">
      <c r="A2475" s="1">
        <v>4240</v>
      </c>
      <c r="B2475" s="1">
        <v>407570</v>
      </c>
    </row>
    <row r="2476" spans="1:2" x14ac:dyDescent="0.3">
      <c r="A2476" s="1">
        <v>4240</v>
      </c>
      <c r="B2476" s="1">
        <v>407570</v>
      </c>
    </row>
    <row r="2477" spans="1:2" x14ac:dyDescent="0.3">
      <c r="A2477" s="1">
        <v>4240</v>
      </c>
      <c r="B2477" s="1">
        <v>407570</v>
      </c>
    </row>
    <row r="2478" spans="1:2" x14ac:dyDescent="0.3">
      <c r="A2478" s="1">
        <v>4240</v>
      </c>
      <c r="B2478" s="1">
        <v>407570</v>
      </c>
    </row>
    <row r="2479" spans="1:2" x14ac:dyDescent="0.3">
      <c r="A2479" s="1">
        <v>4240</v>
      </c>
      <c r="B2479" s="1">
        <v>407570</v>
      </c>
    </row>
    <row r="2480" spans="1:2" x14ac:dyDescent="0.3">
      <c r="A2480" s="1">
        <v>4240</v>
      </c>
      <c r="B2480" s="1">
        <v>407570</v>
      </c>
    </row>
    <row r="2481" spans="1:2" x14ac:dyDescent="0.3">
      <c r="A2481" s="1">
        <v>4240</v>
      </c>
      <c r="B2481" s="1">
        <v>407570</v>
      </c>
    </row>
    <row r="2482" spans="1:2" x14ac:dyDescent="0.3">
      <c r="A2482" s="1">
        <v>4492</v>
      </c>
      <c r="B2482" s="1">
        <v>400089</v>
      </c>
    </row>
    <row r="2483" spans="1:2" x14ac:dyDescent="0.3">
      <c r="A2483" s="1">
        <v>4492</v>
      </c>
      <c r="B2483" s="1">
        <v>400089</v>
      </c>
    </row>
    <row r="2484" spans="1:2" x14ac:dyDescent="0.3">
      <c r="A2484" s="1">
        <v>4467</v>
      </c>
      <c r="B2484" s="1">
        <v>409733</v>
      </c>
    </row>
    <row r="2485" spans="1:2" x14ac:dyDescent="0.3">
      <c r="A2485" s="1">
        <v>4467</v>
      </c>
      <c r="B2485" s="1">
        <v>409733</v>
      </c>
    </row>
    <row r="2486" spans="1:2" x14ac:dyDescent="0.3">
      <c r="A2486" s="1">
        <v>4467</v>
      </c>
      <c r="B2486" s="1">
        <v>409733</v>
      </c>
    </row>
    <row r="2487" spans="1:2" x14ac:dyDescent="0.3">
      <c r="A2487" s="1">
        <v>4467</v>
      </c>
      <c r="B2487" s="1">
        <v>409733</v>
      </c>
    </row>
    <row r="2488" spans="1:2" x14ac:dyDescent="0.3">
      <c r="A2488" s="1">
        <v>4467</v>
      </c>
      <c r="B2488" s="1">
        <v>409733</v>
      </c>
    </row>
    <row r="2489" spans="1:2" x14ac:dyDescent="0.3">
      <c r="A2489" s="1">
        <v>4467</v>
      </c>
      <c r="B2489" s="1">
        <v>409733</v>
      </c>
    </row>
    <row r="2490" spans="1:2" x14ac:dyDescent="0.3">
      <c r="A2490" s="1">
        <v>79072</v>
      </c>
      <c r="B2490" s="1">
        <v>400232</v>
      </c>
    </row>
    <row r="2491" spans="1:2" x14ac:dyDescent="0.3">
      <c r="A2491" s="1">
        <v>79072</v>
      </c>
      <c r="B2491" s="1">
        <v>400232</v>
      </c>
    </row>
    <row r="2492" spans="1:2" x14ac:dyDescent="0.3">
      <c r="A2492" s="1">
        <v>4472</v>
      </c>
      <c r="B2492" s="1">
        <v>407630</v>
      </c>
    </row>
    <row r="2493" spans="1:2" x14ac:dyDescent="0.3">
      <c r="A2493" s="1">
        <v>4472</v>
      </c>
      <c r="B2493" s="1">
        <v>407630</v>
      </c>
    </row>
    <row r="2494" spans="1:2" x14ac:dyDescent="0.3">
      <c r="A2494" s="1">
        <v>4472</v>
      </c>
      <c r="B2494" s="1">
        <v>407630</v>
      </c>
    </row>
    <row r="2495" spans="1:2" x14ac:dyDescent="0.3">
      <c r="A2495" s="1">
        <v>4250</v>
      </c>
      <c r="B2495" s="1">
        <v>407680</v>
      </c>
    </row>
    <row r="2496" spans="1:2" x14ac:dyDescent="0.3">
      <c r="A2496" s="1">
        <v>4250</v>
      </c>
      <c r="B2496" s="1">
        <v>407680</v>
      </c>
    </row>
    <row r="2497" spans="1:2" x14ac:dyDescent="0.3">
      <c r="A2497" s="1">
        <v>6353</v>
      </c>
      <c r="B2497" s="1">
        <v>400154</v>
      </c>
    </row>
    <row r="2498" spans="1:2" x14ac:dyDescent="0.3">
      <c r="A2498" s="1">
        <v>6353</v>
      </c>
      <c r="B2498" s="1">
        <v>400154</v>
      </c>
    </row>
    <row r="2499" spans="1:2" x14ac:dyDescent="0.3">
      <c r="A2499" s="1">
        <v>4393</v>
      </c>
      <c r="B2499" s="1">
        <v>407700</v>
      </c>
    </row>
    <row r="2500" spans="1:2" x14ac:dyDescent="0.3">
      <c r="A2500" s="1">
        <v>4393</v>
      </c>
      <c r="B2500" s="1">
        <v>407700</v>
      </c>
    </row>
    <row r="2501" spans="1:2" x14ac:dyDescent="0.3">
      <c r="A2501" s="1">
        <v>4393</v>
      </c>
      <c r="B2501" s="1">
        <v>407700</v>
      </c>
    </row>
    <row r="2502" spans="1:2" x14ac:dyDescent="0.3">
      <c r="A2502" s="1">
        <v>4393</v>
      </c>
      <c r="B2502" s="1">
        <v>407700</v>
      </c>
    </row>
    <row r="2503" spans="1:2" x14ac:dyDescent="0.3">
      <c r="A2503" s="1">
        <v>4393</v>
      </c>
      <c r="B2503" s="1">
        <v>407700</v>
      </c>
    </row>
    <row r="2504" spans="1:2" x14ac:dyDescent="0.3">
      <c r="A2504" s="1">
        <v>4393</v>
      </c>
      <c r="B2504" s="1">
        <v>407700</v>
      </c>
    </row>
    <row r="2505" spans="1:2" x14ac:dyDescent="0.3">
      <c r="A2505" s="1">
        <v>4393</v>
      </c>
      <c r="B2505" s="1">
        <v>407700</v>
      </c>
    </row>
    <row r="2506" spans="1:2" x14ac:dyDescent="0.3">
      <c r="A2506" s="1">
        <v>4393</v>
      </c>
      <c r="B2506" s="1">
        <v>407700</v>
      </c>
    </row>
    <row r="2507" spans="1:2" x14ac:dyDescent="0.3">
      <c r="A2507" s="1">
        <v>79887</v>
      </c>
      <c r="B2507" s="1">
        <v>400360</v>
      </c>
    </row>
    <row r="2508" spans="1:2" x14ac:dyDescent="0.3">
      <c r="A2508" s="1">
        <v>79887</v>
      </c>
      <c r="B2508" s="1">
        <v>400360</v>
      </c>
    </row>
    <row r="2509" spans="1:2" x14ac:dyDescent="0.3">
      <c r="A2509" s="1">
        <v>79985</v>
      </c>
      <c r="B2509" s="1">
        <v>400375</v>
      </c>
    </row>
    <row r="2510" spans="1:2" x14ac:dyDescent="0.3">
      <c r="A2510" s="1">
        <v>79985</v>
      </c>
      <c r="B2510" s="1">
        <v>400375</v>
      </c>
    </row>
    <row r="2511" spans="1:2" x14ac:dyDescent="0.3">
      <c r="A2511" s="1">
        <v>4175</v>
      </c>
      <c r="B2511" s="1">
        <v>401460</v>
      </c>
    </row>
    <row r="2512" spans="1:2" x14ac:dyDescent="0.3">
      <c r="A2512" s="1">
        <v>4175</v>
      </c>
      <c r="B2512" s="1">
        <v>401460</v>
      </c>
    </row>
    <row r="2513" spans="1:2" x14ac:dyDescent="0.3">
      <c r="A2513" s="1">
        <v>4175</v>
      </c>
      <c r="B2513" s="1">
        <v>401460</v>
      </c>
    </row>
    <row r="2514" spans="1:2" x14ac:dyDescent="0.3">
      <c r="A2514" s="1">
        <v>4175</v>
      </c>
      <c r="B2514" s="1">
        <v>401460</v>
      </c>
    </row>
    <row r="2515" spans="1:2" x14ac:dyDescent="0.3">
      <c r="A2515" s="1">
        <v>4175</v>
      </c>
      <c r="B2515" s="1">
        <v>401460</v>
      </c>
    </row>
    <row r="2516" spans="1:2" x14ac:dyDescent="0.3">
      <c r="A2516" s="1">
        <v>4175</v>
      </c>
      <c r="B2516" s="1">
        <v>401460</v>
      </c>
    </row>
    <row r="2517" spans="1:2" x14ac:dyDescent="0.3">
      <c r="A2517" s="1">
        <v>4175</v>
      </c>
      <c r="B2517" s="1">
        <v>401460</v>
      </c>
    </row>
    <row r="2518" spans="1:2" x14ac:dyDescent="0.3">
      <c r="A2518" s="1">
        <v>4175</v>
      </c>
      <c r="B2518" s="1">
        <v>401460</v>
      </c>
    </row>
    <row r="2519" spans="1:2" x14ac:dyDescent="0.3">
      <c r="A2519" s="1">
        <v>4175</v>
      </c>
      <c r="B2519" s="1">
        <v>401460</v>
      </c>
    </row>
    <row r="2520" spans="1:2" x14ac:dyDescent="0.3">
      <c r="A2520" s="1">
        <v>4175</v>
      </c>
      <c r="B2520" s="1">
        <v>401460</v>
      </c>
    </row>
    <row r="2521" spans="1:2" x14ac:dyDescent="0.3">
      <c r="A2521" s="1">
        <v>4478</v>
      </c>
      <c r="B2521" s="1">
        <v>407770</v>
      </c>
    </row>
    <row r="2522" spans="1:2" x14ac:dyDescent="0.3">
      <c r="A2522" s="1">
        <v>4478</v>
      </c>
      <c r="B2522" s="1">
        <v>407770</v>
      </c>
    </row>
    <row r="2523" spans="1:2" x14ac:dyDescent="0.3">
      <c r="A2523" s="1">
        <v>90329</v>
      </c>
      <c r="B2523" s="1">
        <v>400801</v>
      </c>
    </row>
    <row r="2524" spans="1:2" x14ac:dyDescent="0.3">
      <c r="A2524" s="1">
        <v>90329</v>
      </c>
      <c r="B2524" s="1">
        <v>400801</v>
      </c>
    </row>
    <row r="2525" spans="1:2" x14ac:dyDescent="0.3">
      <c r="A2525" s="1">
        <v>79084</v>
      </c>
      <c r="B2525" s="1">
        <v>400243</v>
      </c>
    </row>
    <row r="2526" spans="1:2" x14ac:dyDescent="0.3">
      <c r="A2526" s="1">
        <v>79084</v>
      </c>
      <c r="B2526" s="1">
        <v>400243</v>
      </c>
    </row>
    <row r="2527" spans="1:2" x14ac:dyDescent="0.3">
      <c r="A2527" s="1">
        <v>79084</v>
      </c>
      <c r="B2527" s="1">
        <v>400243</v>
      </c>
    </row>
    <row r="2528" spans="1:2" x14ac:dyDescent="0.3">
      <c r="A2528" s="1">
        <v>79084</v>
      </c>
      <c r="B2528" s="1">
        <v>400243</v>
      </c>
    </row>
    <row r="2529" spans="1:2" x14ac:dyDescent="0.3">
      <c r="A2529" s="1">
        <v>79084</v>
      </c>
      <c r="B2529" s="1">
        <v>400243</v>
      </c>
    </row>
    <row r="2530" spans="1:2" x14ac:dyDescent="0.3">
      <c r="A2530" s="1">
        <v>4496</v>
      </c>
      <c r="B2530" s="1">
        <v>400093</v>
      </c>
    </row>
    <row r="2531" spans="1:2" x14ac:dyDescent="0.3">
      <c r="A2531" s="1">
        <v>4496</v>
      </c>
      <c r="B2531" s="1">
        <v>400093</v>
      </c>
    </row>
    <row r="2532" spans="1:2" x14ac:dyDescent="0.3">
      <c r="A2532" s="1">
        <v>4391</v>
      </c>
      <c r="B2532" s="1">
        <v>407820</v>
      </c>
    </row>
    <row r="2533" spans="1:2" x14ac:dyDescent="0.3">
      <c r="A2533" s="1">
        <v>4391</v>
      </c>
      <c r="B2533" s="1">
        <v>407820</v>
      </c>
    </row>
    <row r="2534" spans="1:2" x14ac:dyDescent="0.3">
      <c r="A2534" s="1">
        <v>4391</v>
      </c>
      <c r="B2534" s="1">
        <v>407820</v>
      </c>
    </row>
    <row r="2535" spans="1:2" x14ac:dyDescent="0.3">
      <c r="A2535" s="1">
        <v>4391</v>
      </c>
      <c r="B2535" s="1">
        <v>407820</v>
      </c>
    </row>
    <row r="2536" spans="1:2" x14ac:dyDescent="0.3">
      <c r="A2536" s="1">
        <v>4391</v>
      </c>
      <c r="B2536" s="1">
        <v>407820</v>
      </c>
    </row>
    <row r="2537" spans="1:2" x14ac:dyDescent="0.3">
      <c r="A2537" s="1">
        <v>4391</v>
      </c>
      <c r="B2537" s="1">
        <v>407820</v>
      </c>
    </row>
    <row r="2538" spans="1:2" x14ac:dyDescent="0.3">
      <c r="A2538" s="1">
        <v>4391</v>
      </c>
      <c r="B2538" s="1">
        <v>407820</v>
      </c>
    </row>
    <row r="2539" spans="1:2" x14ac:dyDescent="0.3">
      <c r="A2539" s="1">
        <v>4391</v>
      </c>
      <c r="B2539" s="1">
        <v>407820</v>
      </c>
    </row>
    <row r="2540" spans="1:2" x14ac:dyDescent="0.3">
      <c r="A2540" s="1">
        <v>4222</v>
      </c>
      <c r="B2540" s="1">
        <v>407860</v>
      </c>
    </row>
    <row r="2541" spans="1:2" x14ac:dyDescent="0.3">
      <c r="A2541" s="1">
        <v>4222</v>
      </c>
      <c r="B2541" s="1">
        <v>407860</v>
      </c>
    </row>
    <row r="2542" spans="1:2" x14ac:dyDescent="0.3">
      <c r="A2542" s="1">
        <v>4500</v>
      </c>
      <c r="B2542" s="1">
        <v>407890</v>
      </c>
    </row>
    <row r="2543" spans="1:2" x14ac:dyDescent="0.3">
      <c r="A2543" s="1">
        <v>4500</v>
      </c>
      <c r="B2543" s="1">
        <v>407890</v>
      </c>
    </row>
    <row r="2544" spans="1:2" x14ac:dyDescent="0.3">
      <c r="A2544" s="1">
        <v>4500</v>
      </c>
      <c r="B2544" s="1">
        <v>407890</v>
      </c>
    </row>
    <row r="2545" spans="1:2" x14ac:dyDescent="0.3">
      <c r="A2545" s="1">
        <v>4500</v>
      </c>
      <c r="B2545" s="1">
        <v>407890</v>
      </c>
    </row>
    <row r="2546" spans="1:2" x14ac:dyDescent="0.3">
      <c r="A2546" s="1">
        <v>4500</v>
      </c>
      <c r="B2546" s="1">
        <v>407890</v>
      </c>
    </row>
    <row r="2547" spans="1:2" x14ac:dyDescent="0.3">
      <c r="A2547" s="1">
        <v>4500</v>
      </c>
      <c r="B2547" s="1">
        <v>407890</v>
      </c>
    </row>
    <row r="2548" spans="1:2" x14ac:dyDescent="0.3">
      <c r="A2548" s="1">
        <v>4500</v>
      </c>
      <c r="B2548" s="1">
        <v>407890</v>
      </c>
    </row>
    <row r="2549" spans="1:2" x14ac:dyDescent="0.3">
      <c r="A2549" s="1">
        <v>4461</v>
      </c>
      <c r="B2549" s="1">
        <v>407920</v>
      </c>
    </row>
    <row r="2550" spans="1:2" x14ac:dyDescent="0.3">
      <c r="A2550" s="1">
        <v>4461</v>
      </c>
      <c r="B2550" s="1">
        <v>407920</v>
      </c>
    </row>
    <row r="2551" spans="1:2" x14ac:dyDescent="0.3">
      <c r="A2551" s="1">
        <v>78868</v>
      </c>
      <c r="B2551" s="1">
        <v>400192</v>
      </c>
    </row>
    <row r="2552" spans="1:2" x14ac:dyDescent="0.3">
      <c r="A2552" s="1">
        <v>78868</v>
      </c>
      <c r="B2552" s="1">
        <v>400192</v>
      </c>
    </row>
    <row r="2553" spans="1:2" x14ac:dyDescent="0.3">
      <c r="A2553" s="1">
        <v>89915</v>
      </c>
      <c r="B2553" s="1">
        <v>400774</v>
      </c>
    </row>
    <row r="2554" spans="1:2" x14ac:dyDescent="0.3">
      <c r="A2554" s="1">
        <v>89915</v>
      </c>
      <c r="B2554" s="1">
        <v>400774</v>
      </c>
    </row>
    <row r="2555" spans="1:2" x14ac:dyDescent="0.3">
      <c r="A2555" s="1">
        <v>90284</v>
      </c>
      <c r="B2555" s="1">
        <v>400807</v>
      </c>
    </row>
    <row r="2556" spans="1:2" x14ac:dyDescent="0.3">
      <c r="A2556" s="1">
        <v>90284</v>
      </c>
      <c r="B2556" s="1">
        <v>400807</v>
      </c>
    </row>
    <row r="2557" spans="1:2" x14ac:dyDescent="0.3">
      <c r="A2557" s="1">
        <v>90541</v>
      </c>
      <c r="B2557" s="1">
        <v>400822</v>
      </c>
    </row>
    <row r="2558" spans="1:2" x14ac:dyDescent="0.3">
      <c r="A2558" s="1">
        <v>90541</v>
      </c>
      <c r="B2558" s="1">
        <v>400822</v>
      </c>
    </row>
    <row r="2559" spans="1:2" x14ac:dyDescent="0.3">
      <c r="A2559" s="1">
        <v>91329</v>
      </c>
      <c r="B2559" s="1">
        <v>400882</v>
      </c>
    </row>
    <row r="2560" spans="1:2" x14ac:dyDescent="0.3">
      <c r="A2560" s="1">
        <v>91329</v>
      </c>
      <c r="B2560" s="1">
        <v>400882</v>
      </c>
    </row>
    <row r="2561" spans="1:2" x14ac:dyDescent="0.3">
      <c r="A2561" s="1">
        <v>91108</v>
      </c>
      <c r="B2561" s="1">
        <v>400853</v>
      </c>
    </row>
    <row r="2562" spans="1:2" x14ac:dyDescent="0.3">
      <c r="A2562" s="1">
        <v>91108</v>
      </c>
      <c r="B2562" s="1">
        <v>400853</v>
      </c>
    </row>
    <row r="2563" spans="1:2" x14ac:dyDescent="0.3">
      <c r="A2563" s="1">
        <v>90540</v>
      </c>
      <c r="B2563" s="1">
        <v>400846</v>
      </c>
    </row>
    <row r="2564" spans="1:2" x14ac:dyDescent="0.3">
      <c r="A2564" s="1">
        <v>90540</v>
      </c>
      <c r="B2564" s="1">
        <v>400846</v>
      </c>
    </row>
    <row r="2565" spans="1:2" x14ac:dyDescent="0.3">
      <c r="A2565" s="1">
        <v>79000</v>
      </c>
      <c r="B2565" s="1">
        <v>400254</v>
      </c>
    </row>
    <row r="2566" spans="1:2" x14ac:dyDescent="0.3">
      <c r="A2566" s="1">
        <v>79000</v>
      </c>
      <c r="B2566" s="1">
        <v>400254</v>
      </c>
    </row>
    <row r="2567" spans="1:2" x14ac:dyDescent="0.3">
      <c r="A2567" s="1">
        <v>79085</v>
      </c>
      <c r="B2567" s="1">
        <v>400259</v>
      </c>
    </row>
    <row r="2568" spans="1:2" x14ac:dyDescent="0.3">
      <c r="A2568" s="1">
        <v>79085</v>
      </c>
      <c r="B2568" s="1">
        <v>400259</v>
      </c>
    </row>
    <row r="2569" spans="1:2" x14ac:dyDescent="0.3">
      <c r="A2569" s="1">
        <v>92043</v>
      </c>
      <c r="B2569" s="1">
        <v>400880</v>
      </c>
    </row>
    <row r="2570" spans="1:2" x14ac:dyDescent="0.3">
      <c r="A2570" s="1">
        <v>92043</v>
      </c>
      <c r="B2570" s="1">
        <v>400880</v>
      </c>
    </row>
    <row r="2571" spans="1:2" x14ac:dyDescent="0.3">
      <c r="A2571" s="1">
        <v>4173</v>
      </c>
      <c r="B2571" s="1">
        <v>408020</v>
      </c>
    </row>
    <row r="2572" spans="1:2" x14ac:dyDescent="0.3">
      <c r="A2572" s="1">
        <v>4173</v>
      </c>
      <c r="B2572" s="1">
        <v>408020</v>
      </c>
    </row>
    <row r="2573" spans="1:2" x14ac:dyDescent="0.3">
      <c r="A2573" s="1">
        <v>4173</v>
      </c>
      <c r="B2573" s="1">
        <v>408020</v>
      </c>
    </row>
    <row r="2574" spans="1:2" x14ac:dyDescent="0.3">
      <c r="A2574" s="1">
        <v>4153</v>
      </c>
      <c r="B2574" s="1">
        <v>408080</v>
      </c>
    </row>
    <row r="2575" spans="1:2" x14ac:dyDescent="0.3">
      <c r="A2575" s="1">
        <v>4153</v>
      </c>
      <c r="B2575" s="1">
        <v>408080</v>
      </c>
    </row>
    <row r="2576" spans="1:2" x14ac:dyDescent="0.3">
      <c r="A2576" s="1">
        <v>4153</v>
      </c>
      <c r="B2576" s="1">
        <v>408080</v>
      </c>
    </row>
    <row r="2577" spans="1:2" x14ac:dyDescent="0.3">
      <c r="A2577" s="1">
        <v>4153</v>
      </c>
      <c r="B2577" s="1">
        <v>408080</v>
      </c>
    </row>
    <row r="2578" spans="1:2" x14ac:dyDescent="0.3">
      <c r="A2578" s="1">
        <v>4153</v>
      </c>
      <c r="B2578" s="1">
        <v>408080</v>
      </c>
    </row>
    <row r="2579" spans="1:2" x14ac:dyDescent="0.3">
      <c r="A2579" s="1">
        <v>4451</v>
      </c>
      <c r="B2579" s="1">
        <v>408130</v>
      </c>
    </row>
    <row r="2580" spans="1:2" x14ac:dyDescent="0.3">
      <c r="A2580" s="1">
        <v>4451</v>
      </c>
      <c r="B2580" s="1">
        <v>408130</v>
      </c>
    </row>
    <row r="2581" spans="1:2" x14ac:dyDescent="0.3">
      <c r="A2581" s="1">
        <v>85807</v>
      </c>
      <c r="B2581" s="1">
        <v>400416</v>
      </c>
    </row>
    <row r="2582" spans="1:2" x14ac:dyDescent="0.3">
      <c r="A2582" s="1">
        <v>85807</v>
      </c>
      <c r="B2582" s="1">
        <v>400416</v>
      </c>
    </row>
    <row r="2583" spans="1:2" x14ac:dyDescent="0.3">
      <c r="A2583" s="1">
        <v>85807</v>
      </c>
      <c r="B2583" s="1">
        <v>400416</v>
      </c>
    </row>
    <row r="2584" spans="1:2" x14ac:dyDescent="0.3">
      <c r="A2584" s="1">
        <v>85807</v>
      </c>
      <c r="B2584" s="1">
        <v>400416</v>
      </c>
    </row>
    <row r="2585" spans="1:2" x14ac:dyDescent="0.3">
      <c r="A2585" s="1">
        <v>4313</v>
      </c>
      <c r="B2585" s="1">
        <v>400040</v>
      </c>
    </row>
    <row r="2586" spans="1:2" x14ac:dyDescent="0.3">
      <c r="A2586" s="1">
        <v>4313</v>
      </c>
      <c r="B2586" s="1">
        <v>400040</v>
      </c>
    </row>
    <row r="2587" spans="1:2" x14ac:dyDescent="0.3">
      <c r="A2587" s="1">
        <v>10966</v>
      </c>
      <c r="B2587" s="1">
        <v>400187</v>
      </c>
    </row>
    <row r="2588" spans="1:2" x14ac:dyDescent="0.3">
      <c r="A2588" s="1">
        <v>10966</v>
      </c>
      <c r="B2588" s="1">
        <v>400187</v>
      </c>
    </row>
    <row r="2589" spans="1:2" x14ac:dyDescent="0.3">
      <c r="A2589" s="1">
        <v>79453</v>
      </c>
      <c r="B2589" s="1">
        <v>400326</v>
      </c>
    </row>
    <row r="2590" spans="1:2" x14ac:dyDescent="0.3">
      <c r="A2590" s="1">
        <v>79453</v>
      </c>
      <c r="B2590" s="1">
        <v>400326</v>
      </c>
    </row>
    <row r="2591" spans="1:2" x14ac:dyDescent="0.3">
      <c r="A2591" s="1">
        <v>90197</v>
      </c>
      <c r="B2591" s="1">
        <v>400804</v>
      </c>
    </row>
    <row r="2592" spans="1:2" x14ac:dyDescent="0.3">
      <c r="A2592" s="1">
        <v>90197</v>
      </c>
      <c r="B2592" s="1">
        <v>400804</v>
      </c>
    </row>
    <row r="2593" spans="1:2" x14ac:dyDescent="0.3">
      <c r="A2593" s="1">
        <v>79912</v>
      </c>
      <c r="B2593" s="1">
        <v>400392</v>
      </c>
    </row>
    <row r="2594" spans="1:2" x14ac:dyDescent="0.3">
      <c r="A2594" s="1">
        <v>79912</v>
      </c>
      <c r="B2594" s="1">
        <v>400392</v>
      </c>
    </row>
    <row r="2595" spans="1:2" x14ac:dyDescent="0.3">
      <c r="A2595" s="1">
        <v>4407</v>
      </c>
      <c r="B2595" s="1">
        <v>408170</v>
      </c>
    </row>
    <row r="2596" spans="1:2" x14ac:dyDescent="0.3">
      <c r="A2596" s="1">
        <v>4407</v>
      </c>
      <c r="B2596" s="1">
        <v>408170</v>
      </c>
    </row>
    <row r="2597" spans="1:2" x14ac:dyDescent="0.3">
      <c r="A2597" s="1">
        <v>4407</v>
      </c>
      <c r="B2597" s="1">
        <v>408170</v>
      </c>
    </row>
    <row r="2598" spans="1:2" x14ac:dyDescent="0.3">
      <c r="A2598" s="1">
        <v>4407</v>
      </c>
      <c r="B2598" s="1">
        <v>408170</v>
      </c>
    </row>
    <row r="2599" spans="1:2" x14ac:dyDescent="0.3">
      <c r="A2599" s="1">
        <v>4407</v>
      </c>
      <c r="B2599" s="1">
        <v>408170</v>
      </c>
    </row>
    <row r="2600" spans="1:2" x14ac:dyDescent="0.3">
      <c r="A2600" s="1">
        <v>4407</v>
      </c>
      <c r="B2600" s="1">
        <v>408170</v>
      </c>
    </row>
    <row r="2601" spans="1:2" x14ac:dyDescent="0.3">
      <c r="A2601" s="1">
        <v>4407</v>
      </c>
      <c r="B2601" s="1">
        <v>408170</v>
      </c>
    </row>
    <row r="2602" spans="1:2" x14ac:dyDescent="0.3">
      <c r="A2602" s="1">
        <v>4407</v>
      </c>
      <c r="B2602" s="1">
        <v>408170</v>
      </c>
    </row>
    <row r="2603" spans="1:2" x14ac:dyDescent="0.3">
      <c r="A2603" s="1">
        <v>4407</v>
      </c>
      <c r="B2603" s="1">
        <v>408170</v>
      </c>
    </row>
    <row r="2604" spans="1:2" x14ac:dyDescent="0.3">
      <c r="A2604" s="1">
        <v>4407</v>
      </c>
      <c r="B2604" s="1">
        <v>408170</v>
      </c>
    </row>
    <row r="2605" spans="1:2" x14ac:dyDescent="0.3">
      <c r="A2605" s="1">
        <v>4407</v>
      </c>
      <c r="B2605" s="1">
        <v>408170</v>
      </c>
    </row>
    <row r="2606" spans="1:2" x14ac:dyDescent="0.3">
      <c r="A2606" s="1">
        <v>4407</v>
      </c>
      <c r="B2606" s="1">
        <v>408170</v>
      </c>
    </row>
    <row r="2607" spans="1:2" x14ac:dyDescent="0.3">
      <c r="A2607" s="1">
        <v>4407</v>
      </c>
      <c r="B2607" s="1">
        <v>408170</v>
      </c>
    </row>
    <row r="2608" spans="1:2" x14ac:dyDescent="0.3">
      <c r="A2608" s="1">
        <v>4407</v>
      </c>
      <c r="B2608" s="1">
        <v>408170</v>
      </c>
    </row>
    <row r="2609" spans="1:2" x14ac:dyDescent="0.3">
      <c r="A2609" s="1">
        <v>4407</v>
      </c>
      <c r="B2609" s="1">
        <v>408170</v>
      </c>
    </row>
    <row r="2610" spans="1:2" x14ac:dyDescent="0.3">
      <c r="A2610" s="1">
        <v>4407</v>
      </c>
      <c r="B2610" s="1">
        <v>408170</v>
      </c>
    </row>
    <row r="2611" spans="1:2" x14ac:dyDescent="0.3">
      <c r="A2611" s="1">
        <v>4407</v>
      </c>
      <c r="B2611" s="1">
        <v>408170</v>
      </c>
    </row>
    <row r="2612" spans="1:2" x14ac:dyDescent="0.3">
      <c r="A2612" s="1">
        <v>4407</v>
      </c>
      <c r="B2612" s="1">
        <v>408170</v>
      </c>
    </row>
    <row r="2613" spans="1:2" x14ac:dyDescent="0.3">
      <c r="A2613" s="1">
        <v>4407</v>
      </c>
      <c r="B2613" s="1">
        <v>408170</v>
      </c>
    </row>
    <row r="2614" spans="1:2" x14ac:dyDescent="0.3">
      <c r="A2614" s="1">
        <v>4407</v>
      </c>
      <c r="B2614" s="1">
        <v>408170</v>
      </c>
    </row>
    <row r="2615" spans="1:2" x14ac:dyDescent="0.3">
      <c r="A2615" s="1">
        <v>4407</v>
      </c>
      <c r="B2615" s="1">
        <v>408170</v>
      </c>
    </row>
    <row r="2616" spans="1:2" x14ac:dyDescent="0.3">
      <c r="A2616" s="1">
        <v>4407</v>
      </c>
      <c r="B2616" s="1">
        <v>408170</v>
      </c>
    </row>
    <row r="2617" spans="1:2" x14ac:dyDescent="0.3">
      <c r="A2617" s="1">
        <v>4407</v>
      </c>
      <c r="B2617" s="1">
        <v>408170</v>
      </c>
    </row>
    <row r="2618" spans="1:2" x14ac:dyDescent="0.3">
      <c r="A2618" s="1">
        <v>4407</v>
      </c>
      <c r="B2618" s="1">
        <v>408170</v>
      </c>
    </row>
    <row r="2619" spans="1:2" x14ac:dyDescent="0.3">
      <c r="A2619" s="1">
        <v>4440</v>
      </c>
      <c r="B2619" s="1">
        <v>408230</v>
      </c>
    </row>
    <row r="2620" spans="1:2" x14ac:dyDescent="0.3">
      <c r="A2620" s="1">
        <v>4440</v>
      </c>
      <c r="B2620" s="1">
        <v>408230</v>
      </c>
    </row>
    <row r="2621" spans="1:2" x14ac:dyDescent="0.3">
      <c r="A2621" s="1">
        <v>4440</v>
      </c>
      <c r="B2621" s="1">
        <v>408230</v>
      </c>
    </row>
    <row r="2622" spans="1:2" x14ac:dyDescent="0.3">
      <c r="A2622" s="1">
        <v>4440</v>
      </c>
      <c r="B2622" s="1">
        <v>408230</v>
      </c>
    </row>
    <row r="2623" spans="1:2" x14ac:dyDescent="0.3">
      <c r="A2623" s="1">
        <v>5179</v>
      </c>
      <c r="B2623" s="1">
        <v>400260</v>
      </c>
    </row>
    <row r="2624" spans="1:2" x14ac:dyDescent="0.3">
      <c r="A2624" s="1">
        <v>5179</v>
      </c>
      <c r="B2624" s="1">
        <v>400260</v>
      </c>
    </row>
    <row r="2625" spans="1:2" x14ac:dyDescent="0.3">
      <c r="A2625" s="1">
        <v>4408</v>
      </c>
      <c r="B2625" s="1">
        <v>408280</v>
      </c>
    </row>
    <row r="2626" spans="1:2" x14ac:dyDescent="0.3">
      <c r="A2626" s="1">
        <v>4408</v>
      </c>
      <c r="B2626" s="1">
        <v>408280</v>
      </c>
    </row>
    <row r="2627" spans="1:2" x14ac:dyDescent="0.3">
      <c r="A2627" s="1">
        <v>4408</v>
      </c>
      <c r="B2627" s="1">
        <v>408280</v>
      </c>
    </row>
    <row r="2628" spans="1:2" x14ac:dyDescent="0.3">
      <c r="A2628" s="1">
        <v>4408</v>
      </c>
      <c r="B2628" s="1">
        <v>408280</v>
      </c>
    </row>
    <row r="2629" spans="1:2" x14ac:dyDescent="0.3">
      <c r="A2629" s="1">
        <v>4408</v>
      </c>
      <c r="B2629" s="1">
        <v>408280</v>
      </c>
    </row>
    <row r="2630" spans="1:2" x14ac:dyDescent="0.3">
      <c r="A2630" s="1">
        <v>90142</v>
      </c>
      <c r="B2630" s="1">
        <v>400791</v>
      </c>
    </row>
    <row r="2631" spans="1:2" x14ac:dyDescent="0.3">
      <c r="A2631" s="1">
        <v>90142</v>
      </c>
      <c r="B2631" s="1">
        <v>400791</v>
      </c>
    </row>
    <row r="2632" spans="1:2" x14ac:dyDescent="0.3">
      <c r="A2632" s="1">
        <v>79218</v>
      </c>
      <c r="B2632" s="1">
        <v>400248</v>
      </c>
    </row>
    <row r="2633" spans="1:2" x14ac:dyDescent="0.3">
      <c r="A2633" s="1">
        <v>79218</v>
      </c>
      <c r="B2633" s="1">
        <v>400248</v>
      </c>
    </row>
    <row r="2634" spans="1:2" x14ac:dyDescent="0.3">
      <c r="A2634" s="1">
        <v>79218</v>
      </c>
      <c r="B2634" s="1">
        <v>400248</v>
      </c>
    </row>
    <row r="2635" spans="1:2" x14ac:dyDescent="0.3">
      <c r="A2635" s="1">
        <v>4361</v>
      </c>
      <c r="B2635" s="1">
        <v>400070</v>
      </c>
    </row>
    <row r="2636" spans="1:2" x14ac:dyDescent="0.3">
      <c r="A2636" s="1">
        <v>4361</v>
      </c>
      <c r="B2636" s="1">
        <v>400070</v>
      </c>
    </row>
    <row r="2637" spans="1:2" x14ac:dyDescent="0.3">
      <c r="A2637" s="1">
        <v>89947</v>
      </c>
      <c r="B2637" s="1">
        <v>400761</v>
      </c>
    </row>
    <row r="2638" spans="1:2" x14ac:dyDescent="0.3">
      <c r="A2638" s="1">
        <v>89947</v>
      </c>
      <c r="B2638" s="1">
        <v>400761</v>
      </c>
    </row>
    <row r="2639" spans="1:2" x14ac:dyDescent="0.3">
      <c r="A2639" s="1">
        <v>4258</v>
      </c>
      <c r="B2639" s="1">
        <v>408310</v>
      </c>
    </row>
    <row r="2640" spans="1:2" x14ac:dyDescent="0.3">
      <c r="A2640" s="1">
        <v>4258</v>
      </c>
      <c r="B2640" s="1">
        <v>408310</v>
      </c>
    </row>
    <row r="2641" spans="1:2" x14ac:dyDescent="0.3">
      <c r="A2641" s="1">
        <v>4258</v>
      </c>
      <c r="B2641" s="1">
        <v>408310</v>
      </c>
    </row>
    <row r="2642" spans="1:2" x14ac:dyDescent="0.3">
      <c r="A2642" s="1">
        <v>4258</v>
      </c>
      <c r="B2642" s="1">
        <v>408310</v>
      </c>
    </row>
    <row r="2643" spans="1:2" x14ac:dyDescent="0.3">
      <c r="A2643" s="1">
        <v>4258</v>
      </c>
      <c r="B2643" s="1">
        <v>408310</v>
      </c>
    </row>
    <row r="2644" spans="1:2" x14ac:dyDescent="0.3">
      <c r="A2644" s="1">
        <v>4258</v>
      </c>
      <c r="B2644" s="1">
        <v>408310</v>
      </c>
    </row>
    <row r="2645" spans="1:2" x14ac:dyDescent="0.3">
      <c r="A2645" s="1">
        <v>4258</v>
      </c>
      <c r="B2645" s="1">
        <v>408310</v>
      </c>
    </row>
    <row r="2646" spans="1:2" x14ac:dyDescent="0.3">
      <c r="A2646" s="1">
        <v>4258</v>
      </c>
      <c r="B2646" s="1">
        <v>408310</v>
      </c>
    </row>
    <row r="2647" spans="1:2" x14ac:dyDescent="0.3">
      <c r="A2647" s="1">
        <v>4258</v>
      </c>
      <c r="B2647" s="1">
        <v>408310</v>
      </c>
    </row>
    <row r="2648" spans="1:2" x14ac:dyDescent="0.3">
      <c r="A2648" s="1">
        <v>4258</v>
      </c>
      <c r="B2648" s="1">
        <v>408310</v>
      </c>
    </row>
    <row r="2649" spans="1:2" x14ac:dyDescent="0.3">
      <c r="A2649" s="1">
        <v>4258</v>
      </c>
      <c r="B2649" s="1">
        <v>408310</v>
      </c>
    </row>
    <row r="2650" spans="1:2" x14ac:dyDescent="0.3">
      <c r="A2650" s="1">
        <v>4258</v>
      </c>
      <c r="B2650" s="1">
        <v>408310</v>
      </c>
    </row>
    <row r="2651" spans="1:2" x14ac:dyDescent="0.3">
      <c r="A2651" s="1">
        <v>4258</v>
      </c>
      <c r="B2651" s="1">
        <v>408310</v>
      </c>
    </row>
    <row r="2652" spans="1:2" x14ac:dyDescent="0.3">
      <c r="A2652" s="1">
        <v>4258</v>
      </c>
      <c r="B2652" s="1">
        <v>408310</v>
      </c>
    </row>
    <row r="2653" spans="1:2" x14ac:dyDescent="0.3">
      <c r="A2653" s="1">
        <v>4258</v>
      </c>
      <c r="B2653" s="1">
        <v>408310</v>
      </c>
    </row>
    <row r="2654" spans="1:2" x14ac:dyDescent="0.3">
      <c r="A2654" s="1">
        <v>4258</v>
      </c>
      <c r="B2654" s="1">
        <v>408310</v>
      </c>
    </row>
    <row r="2655" spans="1:2" x14ac:dyDescent="0.3">
      <c r="A2655" s="1">
        <v>4258</v>
      </c>
      <c r="B2655" s="1">
        <v>408310</v>
      </c>
    </row>
    <row r="2656" spans="1:2" x14ac:dyDescent="0.3">
      <c r="A2656" s="1">
        <v>4258</v>
      </c>
      <c r="B2656" s="1">
        <v>408310</v>
      </c>
    </row>
    <row r="2657" spans="1:2" x14ac:dyDescent="0.3">
      <c r="A2657" s="1">
        <v>4258</v>
      </c>
      <c r="B2657" s="1">
        <v>408310</v>
      </c>
    </row>
    <row r="2658" spans="1:2" x14ac:dyDescent="0.3">
      <c r="A2658" s="1">
        <v>4258</v>
      </c>
      <c r="B2658" s="1">
        <v>408310</v>
      </c>
    </row>
    <row r="2659" spans="1:2" x14ac:dyDescent="0.3">
      <c r="A2659" s="1">
        <v>4258</v>
      </c>
      <c r="B2659" s="1">
        <v>408310</v>
      </c>
    </row>
    <row r="2660" spans="1:2" x14ac:dyDescent="0.3">
      <c r="A2660" s="1">
        <v>4258</v>
      </c>
      <c r="B2660" s="1">
        <v>408310</v>
      </c>
    </row>
    <row r="2661" spans="1:2" x14ac:dyDescent="0.3">
      <c r="A2661" s="1">
        <v>4258</v>
      </c>
      <c r="B2661" s="1">
        <v>408310</v>
      </c>
    </row>
    <row r="2662" spans="1:2" x14ac:dyDescent="0.3">
      <c r="A2662" s="1">
        <v>4258</v>
      </c>
      <c r="B2662" s="1">
        <v>408310</v>
      </c>
    </row>
    <row r="2663" spans="1:2" x14ac:dyDescent="0.3">
      <c r="A2663" s="1">
        <v>4287</v>
      </c>
      <c r="B2663" s="1">
        <v>408340</v>
      </c>
    </row>
    <row r="2664" spans="1:2" x14ac:dyDescent="0.3">
      <c r="A2664" s="1">
        <v>4287</v>
      </c>
      <c r="B2664" s="1">
        <v>408340</v>
      </c>
    </row>
    <row r="2665" spans="1:2" x14ac:dyDescent="0.3">
      <c r="A2665" s="1">
        <v>4287</v>
      </c>
      <c r="B2665" s="1">
        <v>408340</v>
      </c>
    </row>
    <row r="2666" spans="1:2" x14ac:dyDescent="0.3">
      <c r="A2666" s="1">
        <v>4287</v>
      </c>
      <c r="B2666" s="1">
        <v>408340</v>
      </c>
    </row>
    <row r="2667" spans="1:2" x14ac:dyDescent="0.3">
      <c r="A2667" s="1">
        <v>4287</v>
      </c>
      <c r="B2667" s="1">
        <v>408340</v>
      </c>
    </row>
    <row r="2668" spans="1:2" x14ac:dyDescent="0.3">
      <c r="A2668" s="1">
        <v>4287</v>
      </c>
      <c r="B2668" s="1">
        <v>408340</v>
      </c>
    </row>
    <row r="2669" spans="1:2" x14ac:dyDescent="0.3">
      <c r="A2669" s="1">
        <v>4287</v>
      </c>
      <c r="B2669" s="1">
        <v>408340</v>
      </c>
    </row>
    <row r="2670" spans="1:2" x14ac:dyDescent="0.3">
      <c r="A2670" s="1">
        <v>4287</v>
      </c>
      <c r="B2670" s="1">
        <v>408340</v>
      </c>
    </row>
    <row r="2671" spans="1:2" x14ac:dyDescent="0.3">
      <c r="A2671" s="1">
        <v>4287</v>
      </c>
      <c r="B2671" s="1">
        <v>408340</v>
      </c>
    </row>
    <row r="2672" spans="1:2" x14ac:dyDescent="0.3">
      <c r="A2672" s="1">
        <v>4219</v>
      </c>
      <c r="B2672" s="1">
        <v>408410</v>
      </c>
    </row>
    <row r="2673" spans="1:2" x14ac:dyDescent="0.3">
      <c r="A2673" s="1">
        <v>4219</v>
      </c>
      <c r="B2673" s="1">
        <v>408410</v>
      </c>
    </row>
    <row r="2674" spans="1:2" x14ac:dyDescent="0.3">
      <c r="A2674" s="1">
        <v>4219</v>
      </c>
      <c r="B2674" s="1">
        <v>408410</v>
      </c>
    </row>
    <row r="2675" spans="1:2" x14ac:dyDescent="0.3">
      <c r="A2675" s="1">
        <v>4219</v>
      </c>
      <c r="B2675" s="1">
        <v>408410</v>
      </c>
    </row>
    <row r="2676" spans="1:2" x14ac:dyDescent="0.3">
      <c r="A2676" s="1">
        <v>4219</v>
      </c>
      <c r="B2676" s="1">
        <v>408410</v>
      </c>
    </row>
    <row r="2677" spans="1:2" x14ac:dyDescent="0.3">
      <c r="A2677" s="1">
        <v>6355</v>
      </c>
      <c r="B2677" s="1">
        <v>400131</v>
      </c>
    </row>
    <row r="2678" spans="1:2" x14ac:dyDescent="0.3">
      <c r="A2678" s="1">
        <v>6355</v>
      </c>
      <c r="B2678" s="1">
        <v>400131</v>
      </c>
    </row>
    <row r="2679" spans="1:2" x14ac:dyDescent="0.3">
      <c r="A2679" s="1">
        <v>6355</v>
      </c>
      <c r="B2679" s="1">
        <v>400131</v>
      </c>
    </row>
    <row r="2680" spans="1:2" x14ac:dyDescent="0.3">
      <c r="A2680" s="1">
        <v>6355</v>
      </c>
      <c r="B2680" s="1">
        <v>400131</v>
      </c>
    </row>
    <row r="2681" spans="1:2" x14ac:dyDescent="0.3">
      <c r="A2681" s="1">
        <v>6355</v>
      </c>
      <c r="B2681" s="1">
        <v>400131</v>
      </c>
    </row>
    <row r="2682" spans="1:2" x14ac:dyDescent="0.3">
      <c r="A2682" s="1">
        <v>91340</v>
      </c>
      <c r="B2682" s="1">
        <v>400902</v>
      </c>
    </row>
    <row r="2683" spans="1:2" x14ac:dyDescent="0.3">
      <c r="A2683" s="1">
        <v>91340</v>
      </c>
      <c r="B2683" s="1">
        <v>400902</v>
      </c>
    </row>
    <row r="2684" spans="1:2" x14ac:dyDescent="0.3">
      <c r="A2684" s="1">
        <v>90287</v>
      </c>
      <c r="B2684" s="1">
        <v>400800</v>
      </c>
    </row>
    <row r="2685" spans="1:2" x14ac:dyDescent="0.3">
      <c r="A2685" s="1">
        <v>90287</v>
      </c>
      <c r="B2685" s="1">
        <v>400800</v>
      </c>
    </row>
    <row r="2686" spans="1:2" x14ac:dyDescent="0.3">
      <c r="A2686" s="1">
        <v>90287</v>
      </c>
      <c r="B2686" s="1">
        <v>400800</v>
      </c>
    </row>
    <row r="2687" spans="1:2" x14ac:dyDescent="0.3">
      <c r="A2687" s="1">
        <v>90287</v>
      </c>
      <c r="B2687" s="1">
        <v>400800</v>
      </c>
    </row>
    <row r="2688" spans="1:2" x14ac:dyDescent="0.3">
      <c r="A2688" s="1">
        <v>90287</v>
      </c>
      <c r="B2688" s="1">
        <v>400800</v>
      </c>
    </row>
    <row r="2689" spans="1:2" x14ac:dyDescent="0.3">
      <c r="A2689" s="1">
        <v>90287</v>
      </c>
      <c r="B2689" s="1">
        <v>400800</v>
      </c>
    </row>
    <row r="2690" spans="1:2" x14ac:dyDescent="0.3">
      <c r="A2690" s="1">
        <v>91250</v>
      </c>
      <c r="B2690" s="1">
        <v>400863</v>
      </c>
    </row>
    <row r="2691" spans="1:2" x14ac:dyDescent="0.3">
      <c r="A2691" s="1">
        <v>91250</v>
      </c>
      <c r="B2691" s="1">
        <v>400863</v>
      </c>
    </row>
    <row r="2692" spans="1:2" x14ac:dyDescent="0.3">
      <c r="A2692" s="1">
        <v>91276</v>
      </c>
      <c r="B2692" s="1">
        <v>400896</v>
      </c>
    </row>
    <row r="2693" spans="1:2" x14ac:dyDescent="0.3">
      <c r="A2693" s="1">
        <v>79131</v>
      </c>
      <c r="B2693" s="1">
        <v>400214</v>
      </c>
    </row>
    <row r="2694" spans="1:2" x14ac:dyDescent="0.3">
      <c r="A2694" s="1">
        <v>79131</v>
      </c>
      <c r="B2694" s="1">
        <v>400214</v>
      </c>
    </row>
    <row r="2695" spans="1:2" x14ac:dyDescent="0.3">
      <c r="A2695" s="1">
        <v>79131</v>
      </c>
      <c r="B2695" s="1">
        <v>400214</v>
      </c>
    </row>
    <row r="2696" spans="1:2" x14ac:dyDescent="0.3">
      <c r="A2696" s="1">
        <v>4264</v>
      </c>
      <c r="B2696" s="1">
        <v>408490</v>
      </c>
    </row>
    <row r="2697" spans="1:2" x14ac:dyDescent="0.3">
      <c r="A2697" s="1">
        <v>4264</v>
      </c>
      <c r="B2697" s="1">
        <v>408490</v>
      </c>
    </row>
    <row r="2698" spans="1:2" x14ac:dyDescent="0.3">
      <c r="A2698" s="1">
        <v>4264</v>
      </c>
      <c r="B2698" s="1">
        <v>408490</v>
      </c>
    </row>
    <row r="2699" spans="1:2" x14ac:dyDescent="0.3">
      <c r="A2699" s="1">
        <v>4264</v>
      </c>
      <c r="B2699" s="1">
        <v>408490</v>
      </c>
    </row>
    <row r="2700" spans="1:2" x14ac:dyDescent="0.3">
      <c r="A2700" s="1">
        <v>4264</v>
      </c>
      <c r="B2700" s="1">
        <v>408490</v>
      </c>
    </row>
    <row r="2701" spans="1:2" x14ac:dyDescent="0.3">
      <c r="A2701" s="1">
        <v>4288</v>
      </c>
      <c r="B2701" s="1">
        <v>408520</v>
      </c>
    </row>
    <row r="2702" spans="1:2" x14ac:dyDescent="0.3">
      <c r="A2702" s="1">
        <v>4288</v>
      </c>
      <c r="B2702" s="1">
        <v>408520</v>
      </c>
    </row>
    <row r="2703" spans="1:2" x14ac:dyDescent="0.3">
      <c r="A2703" s="1">
        <v>4288</v>
      </c>
      <c r="B2703" s="1">
        <v>408520</v>
      </c>
    </row>
    <row r="2704" spans="1:2" x14ac:dyDescent="0.3">
      <c r="A2704" s="1">
        <v>4288</v>
      </c>
      <c r="B2704" s="1">
        <v>408520</v>
      </c>
    </row>
    <row r="2705" spans="1:2" x14ac:dyDescent="0.3">
      <c r="A2705" s="1">
        <v>4288</v>
      </c>
      <c r="B2705" s="1">
        <v>408520</v>
      </c>
    </row>
    <row r="2706" spans="1:2" x14ac:dyDescent="0.3">
      <c r="A2706" s="1">
        <v>4288</v>
      </c>
      <c r="B2706" s="1">
        <v>408520</v>
      </c>
    </row>
    <row r="2707" spans="1:2" x14ac:dyDescent="0.3">
      <c r="A2707" s="1">
        <v>4288</v>
      </c>
      <c r="B2707" s="1">
        <v>408520</v>
      </c>
    </row>
    <row r="2708" spans="1:2" x14ac:dyDescent="0.3">
      <c r="A2708" s="1">
        <v>4288</v>
      </c>
      <c r="B2708" s="1">
        <v>408520</v>
      </c>
    </row>
    <row r="2709" spans="1:2" x14ac:dyDescent="0.3">
      <c r="A2709" s="1">
        <v>4450</v>
      </c>
      <c r="B2709" s="1">
        <v>408550</v>
      </c>
    </row>
    <row r="2710" spans="1:2" x14ac:dyDescent="0.3">
      <c r="A2710" s="1">
        <v>4450</v>
      </c>
      <c r="B2710" s="1">
        <v>408550</v>
      </c>
    </row>
    <row r="2711" spans="1:2" x14ac:dyDescent="0.3">
      <c r="A2711" s="1">
        <v>4450</v>
      </c>
      <c r="B2711" s="1">
        <v>408550</v>
      </c>
    </row>
    <row r="2712" spans="1:2" x14ac:dyDescent="0.3">
      <c r="A2712" s="1">
        <v>4450</v>
      </c>
      <c r="B2712" s="1">
        <v>408550</v>
      </c>
    </row>
    <row r="2713" spans="1:2" x14ac:dyDescent="0.3">
      <c r="A2713" s="1">
        <v>4450</v>
      </c>
      <c r="B2713" s="1">
        <v>408550</v>
      </c>
    </row>
    <row r="2714" spans="1:2" x14ac:dyDescent="0.3">
      <c r="A2714" s="1">
        <v>4168</v>
      </c>
      <c r="B2714" s="1">
        <v>408600</v>
      </c>
    </row>
    <row r="2715" spans="1:2" x14ac:dyDescent="0.3">
      <c r="A2715" s="1">
        <v>4168</v>
      </c>
      <c r="B2715" s="1">
        <v>408600</v>
      </c>
    </row>
    <row r="2716" spans="1:2" x14ac:dyDescent="0.3">
      <c r="A2716" s="1">
        <v>4168</v>
      </c>
      <c r="B2716" s="1">
        <v>408600</v>
      </c>
    </row>
    <row r="2717" spans="1:2" x14ac:dyDescent="0.3">
      <c r="A2717" s="1">
        <v>4168</v>
      </c>
      <c r="B2717" s="1">
        <v>408600</v>
      </c>
    </row>
    <row r="2718" spans="1:2" x14ac:dyDescent="0.3">
      <c r="A2718" s="1">
        <v>4215</v>
      </c>
      <c r="B2718" s="1">
        <v>405760</v>
      </c>
    </row>
    <row r="2719" spans="1:2" x14ac:dyDescent="0.3">
      <c r="A2719" s="1">
        <v>4215</v>
      </c>
      <c r="B2719" s="1">
        <v>405760</v>
      </c>
    </row>
    <row r="2720" spans="1:2" x14ac:dyDescent="0.3">
      <c r="A2720" s="1">
        <v>4376</v>
      </c>
      <c r="B2720" s="1">
        <v>408640</v>
      </c>
    </row>
    <row r="2721" spans="1:2" x14ac:dyDescent="0.3">
      <c r="A2721" s="1">
        <v>4376</v>
      </c>
      <c r="B2721" s="1">
        <v>408640</v>
      </c>
    </row>
    <row r="2722" spans="1:2" x14ac:dyDescent="0.3">
      <c r="A2722" s="1">
        <v>4225</v>
      </c>
      <c r="B2722" s="1">
        <v>400028</v>
      </c>
    </row>
    <row r="2723" spans="1:2" x14ac:dyDescent="0.3">
      <c r="A2723" s="1">
        <v>4225</v>
      </c>
      <c r="B2723" s="1">
        <v>400028</v>
      </c>
    </row>
    <row r="2724" spans="1:2" x14ac:dyDescent="0.3">
      <c r="A2724" s="1">
        <v>90859</v>
      </c>
      <c r="B2724" s="1">
        <v>400851</v>
      </c>
    </row>
    <row r="2725" spans="1:2" x14ac:dyDescent="0.3">
      <c r="A2725" s="1">
        <v>90859</v>
      </c>
      <c r="B2725" s="1">
        <v>400851</v>
      </c>
    </row>
    <row r="2726" spans="1:2" x14ac:dyDescent="0.3">
      <c r="A2726" s="1">
        <v>4197</v>
      </c>
      <c r="B2726" s="1">
        <v>408680</v>
      </c>
    </row>
    <row r="2727" spans="1:2" x14ac:dyDescent="0.3">
      <c r="A2727" s="1">
        <v>4197</v>
      </c>
      <c r="B2727" s="1">
        <v>408680</v>
      </c>
    </row>
    <row r="2728" spans="1:2" x14ac:dyDescent="0.3">
      <c r="A2728" s="1">
        <v>4197</v>
      </c>
      <c r="B2728" s="1">
        <v>408680</v>
      </c>
    </row>
    <row r="2729" spans="1:2" x14ac:dyDescent="0.3">
      <c r="A2729" s="1">
        <v>4197</v>
      </c>
      <c r="B2729" s="1">
        <v>408680</v>
      </c>
    </row>
    <row r="2730" spans="1:2" x14ac:dyDescent="0.3">
      <c r="A2730" s="1">
        <v>4197</v>
      </c>
      <c r="B2730" s="1">
        <v>408680</v>
      </c>
    </row>
    <row r="2731" spans="1:2" x14ac:dyDescent="0.3">
      <c r="A2731" s="1">
        <v>4197</v>
      </c>
      <c r="B2731" s="1">
        <v>408680</v>
      </c>
    </row>
    <row r="2732" spans="1:2" x14ac:dyDescent="0.3">
      <c r="A2732" s="1">
        <v>4197</v>
      </c>
      <c r="B2732" s="1">
        <v>408680</v>
      </c>
    </row>
    <row r="2733" spans="1:2" x14ac:dyDescent="0.3">
      <c r="A2733" s="1">
        <v>4197</v>
      </c>
      <c r="B2733" s="1">
        <v>408680</v>
      </c>
    </row>
    <row r="2734" spans="1:2" x14ac:dyDescent="0.3">
      <c r="A2734" s="1">
        <v>91279</v>
      </c>
      <c r="B2734" s="1">
        <v>400874</v>
      </c>
    </row>
    <row r="2735" spans="1:2" x14ac:dyDescent="0.3">
      <c r="A2735" s="1">
        <v>91279</v>
      </c>
      <c r="B2735" s="1">
        <v>400874</v>
      </c>
    </row>
    <row r="2736" spans="1:2" x14ac:dyDescent="0.3">
      <c r="A2736" s="1">
        <v>79073</v>
      </c>
      <c r="B2736" s="1">
        <v>400255</v>
      </c>
    </row>
    <row r="2737" spans="1:2" x14ac:dyDescent="0.3">
      <c r="A2737" s="1">
        <v>79073</v>
      </c>
      <c r="B2737" s="1">
        <v>400255</v>
      </c>
    </row>
    <row r="2738" spans="1:2" x14ac:dyDescent="0.3">
      <c r="A2738" s="1">
        <v>79979</v>
      </c>
      <c r="B2738" s="1">
        <v>400373</v>
      </c>
    </row>
    <row r="2739" spans="1:2" x14ac:dyDescent="0.3">
      <c r="A2739" s="1">
        <v>79979</v>
      </c>
      <c r="B2739" s="1">
        <v>400373</v>
      </c>
    </row>
    <row r="2740" spans="1:2" x14ac:dyDescent="0.3">
      <c r="A2740" s="1">
        <v>79979</v>
      </c>
      <c r="B2740" s="1">
        <v>400373</v>
      </c>
    </row>
    <row r="2741" spans="1:2" x14ac:dyDescent="0.3">
      <c r="A2741" s="1">
        <v>79979</v>
      </c>
      <c r="B2741" s="1">
        <v>400373</v>
      </c>
    </row>
    <row r="2742" spans="1:2" x14ac:dyDescent="0.3">
      <c r="A2742" s="1">
        <v>79979</v>
      </c>
      <c r="B2742" s="1">
        <v>400373</v>
      </c>
    </row>
    <row r="2743" spans="1:2" x14ac:dyDescent="0.3">
      <c r="A2743" s="1">
        <v>6374</v>
      </c>
      <c r="B2743" s="1">
        <v>400159</v>
      </c>
    </row>
    <row r="2744" spans="1:2" x14ac:dyDescent="0.3">
      <c r="A2744" s="1">
        <v>6374</v>
      </c>
      <c r="B2744" s="1">
        <v>400159</v>
      </c>
    </row>
    <row r="2745" spans="1:2" x14ac:dyDescent="0.3">
      <c r="A2745" s="1">
        <v>85448</v>
      </c>
      <c r="B2745" s="1">
        <v>400407</v>
      </c>
    </row>
    <row r="2746" spans="1:2" x14ac:dyDescent="0.3">
      <c r="A2746" s="1">
        <v>85448</v>
      </c>
      <c r="B2746" s="1">
        <v>400407</v>
      </c>
    </row>
    <row r="2747" spans="1:2" x14ac:dyDescent="0.3">
      <c r="A2747" s="1">
        <v>4403</v>
      </c>
      <c r="B2747" s="1">
        <v>408800</v>
      </c>
    </row>
    <row r="2748" spans="1:2" x14ac:dyDescent="0.3">
      <c r="A2748" s="1">
        <v>4403</v>
      </c>
      <c r="B2748" s="1">
        <v>408800</v>
      </c>
    </row>
    <row r="2749" spans="1:2" x14ac:dyDescent="0.3">
      <c r="A2749" s="1">
        <v>4403</v>
      </c>
      <c r="B2749" s="1">
        <v>408800</v>
      </c>
    </row>
    <row r="2750" spans="1:2" x14ac:dyDescent="0.3">
      <c r="A2750" s="1">
        <v>4403</v>
      </c>
      <c r="B2750" s="1">
        <v>408800</v>
      </c>
    </row>
    <row r="2751" spans="1:2" x14ac:dyDescent="0.3">
      <c r="A2751" s="1">
        <v>4403</v>
      </c>
      <c r="B2751" s="1">
        <v>408800</v>
      </c>
    </row>
    <row r="2752" spans="1:2" x14ac:dyDescent="0.3">
      <c r="A2752" s="1">
        <v>4403</v>
      </c>
      <c r="B2752" s="1">
        <v>408800</v>
      </c>
    </row>
    <row r="2753" spans="1:2" x14ac:dyDescent="0.3">
      <c r="A2753" s="1">
        <v>4403</v>
      </c>
      <c r="B2753" s="1">
        <v>408800</v>
      </c>
    </row>
    <row r="2754" spans="1:2" x14ac:dyDescent="0.3">
      <c r="A2754" s="1">
        <v>4403</v>
      </c>
      <c r="B2754" s="1">
        <v>408800</v>
      </c>
    </row>
    <row r="2755" spans="1:2" x14ac:dyDescent="0.3">
      <c r="A2755" s="1">
        <v>4403</v>
      </c>
      <c r="B2755" s="1">
        <v>408800</v>
      </c>
    </row>
    <row r="2756" spans="1:2" x14ac:dyDescent="0.3">
      <c r="A2756" s="1">
        <v>4403</v>
      </c>
      <c r="B2756" s="1">
        <v>408800</v>
      </c>
    </row>
    <row r="2757" spans="1:2" x14ac:dyDescent="0.3">
      <c r="A2757" s="1">
        <v>4403</v>
      </c>
      <c r="B2757" s="1">
        <v>408800</v>
      </c>
    </row>
    <row r="2758" spans="1:2" x14ac:dyDescent="0.3">
      <c r="A2758" s="1">
        <v>4403</v>
      </c>
      <c r="B2758" s="1">
        <v>408800</v>
      </c>
    </row>
    <row r="2759" spans="1:2" x14ac:dyDescent="0.3">
      <c r="A2759" s="1">
        <v>4403</v>
      </c>
      <c r="B2759" s="1">
        <v>408800</v>
      </c>
    </row>
    <row r="2760" spans="1:2" x14ac:dyDescent="0.3">
      <c r="A2760" s="1">
        <v>4403</v>
      </c>
      <c r="B2760" s="1">
        <v>408800</v>
      </c>
    </row>
    <row r="2761" spans="1:2" x14ac:dyDescent="0.3">
      <c r="A2761" s="1">
        <v>4403</v>
      </c>
      <c r="B2761" s="1">
        <v>408800</v>
      </c>
    </row>
    <row r="2762" spans="1:2" x14ac:dyDescent="0.3">
      <c r="A2762" s="1">
        <v>4403</v>
      </c>
      <c r="B2762" s="1">
        <v>408800</v>
      </c>
    </row>
    <row r="2763" spans="1:2" x14ac:dyDescent="0.3">
      <c r="A2763" s="1">
        <v>4403</v>
      </c>
      <c r="B2763" s="1">
        <v>408800</v>
      </c>
    </row>
    <row r="2764" spans="1:2" x14ac:dyDescent="0.3">
      <c r="A2764" s="1">
        <v>4403</v>
      </c>
      <c r="B2764" s="1">
        <v>408800</v>
      </c>
    </row>
    <row r="2765" spans="1:2" x14ac:dyDescent="0.3">
      <c r="A2765" s="1">
        <v>4403</v>
      </c>
      <c r="B2765" s="1">
        <v>408800</v>
      </c>
    </row>
    <row r="2766" spans="1:2" x14ac:dyDescent="0.3">
      <c r="A2766" s="1">
        <v>4403</v>
      </c>
      <c r="B2766" s="1">
        <v>408800</v>
      </c>
    </row>
    <row r="2767" spans="1:2" x14ac:dyDescent="0.3">
      <c r="A2767" s="1">
        <v>4403</v>
      </c>
      <c r="B2767" s="1">
        <v>408800</v>
      </c>
    </row>
    <row r="2768" spans="1:2" x14ac:dyDescent="0.3">
      <c r="A2768" s="1">
        <v>4403</v>
      </c>
      <c r="B2768" s="1">
        <v>408800</v>
      </c>
    </row>
    <row r="2769" spans="1:2" x14ac:dyDescent="0.3">
      <c r="A2769" s="1">
        <v>4403</v>
      </c>
      <c r="B2769" s="1">
        <v>408800</v>
      </c>
    </row>
    <row r="2770" spans="1:2" x14ac:dyDescent="0.3">
      <c r="A2770" s="1">
        <v>4403</v>
      </c>
      <c r="B2770" s="1">
        <v>408800</v>
      </c>
    </row>
    <row r="2771" spans="1:2" x14ac:dyDescent="0.3">
      <c r="A2771" s="1">
        <v>4403</v>
      </c>
      <c r="B2771" s="1">
        <v>408800</v>
      </c>
    </row>
    <row r="2772" spans="1:2" x14ac:dyDescent="0.3">
      <c r="A2772" s="1">
        <v>4403</v>
      </c>
      <c r="B2772" s="1">
        <v>408800</v>
      </c>
    </row>
    <row r="2773" spans="1:2" x14ac:dyDescent="0.3">
      <c r="A2773" s="1">
        <v>4403</v>
      </c>
      <c r="B2773" s="1">
        <v>408800</v>
      </c>
    </row>
    <row r="2774" spans="1:2" x14ac:dyDescent="0.3">
      <c r="A2774" s="1">
        <v>4403</v>
      </c>
      <c r="B2774" s="1">
        <v>408800</v>
      </c>
    </row>
    <row r="2775" spans="1:2" x14ac:dyDescent="0.3">
      <c r="A2775" s="1">
        <v>4403</v>
      </c>
      <c r="B2775" s="1">
        <v>408800</v>
      </c>
    </row>
    <row r="2776" spans="1:2" x14ac:dyDescent="0.3">
      <c r="A2776" s="1">
        <v>4403</v>
      </c>
      <c r="B2776" s="1">
        <v>408800</v>
      </c>
    </row>
    <row r="2777" spans="1:2" x14ac:dyDescent="0.3">
      <c r="A2777" s="1">
        <v>4403</v>
      </c>
      <c r="B2777" s="1">
        <v>408800</v>
      </c>
    </row>
    <row r="2778" spans="1:2" x14ac:dyDescent="0.3">
      <c r="A2778" s="1">
        <v>4403</v>
      </c>
      <c r="B2778" s="1">
        <v>408800</v>
      </c>
    </row>
    <row r="2779" spans="1:2" x14ac:dyDescent="0.3">
      <c r="A2779" s="1">
        <v>4403</v>
      </c>
      <c r="B2779" s="1">
        <v>408800</v>
      </c>
    </row>
    <row r="2780" spans="1:2" x14ac:dyDescent="0.3">
      <c r="A2780" s="1">
        <v>4403</v>
      </c>
      <c r="B2780" s="1">
        <v>408800</v>
      </c>
    </row>
    <row r="2781" spans="1:2" x14ac:dyDescent="0.3">
      <c r="A2781" s="1">
        <v>4403</v>
      </c>
      <c r="B2781" s="1">
        <v>408800</v>
      </c>
    </row>
    <row r="2782" spans="1:2" x14ac:dyDescent="0.3">
      <c r="A2782" s="1">
        <v>4403</v>
      </c>
      <c r="B2782" s="1">
        <v>408800</v>
      </c>
    </row>
    <row r="2783" spans="1:2" x14ac:dyDescent="0.3">
      <c r="A2783" s="1">
        <v>4403</v>
      </c>
      <c r="B2783" s="1">
        <v>408800</v>
      </c>
    </row>
    <row r="2784" spans="1:2" x14ac:dyDescent="0.3">
      <c r="A2784" s="1">
        <v>4403</v>
      </c>
      <c r="B2784" s="1">
        <v>408800</v>
      </c>
    </row>
    <row r="2785" spans="1:2" x14ac:dyDescent="0.3">
      <c r="A2785" s="1">
        <v>4403</v>
      </c>
      <c r="B2785" s="1">
        <v>408800</v>
      </c>
    </row>
    <row r="2786" spans="1:2" x14ac:dyDescent="0.3">
      <c r="A2786" s="1">
        <v>4403</v>
      </c>
      <c r="B2786" s="1">
        <v>408800</v>
      </c>
    </row>
    <row r="2787" spans="1:2" x14ac:dyDescent="0.3">
      <c r="A2787" s="1">
        <v>4403</v>
      </c>
      <c r="B2787" s="1">
        <v>408800</v>
      </c>
    </row>
    <row r="2788" spans="1:2" x14ac:dyDescent="0.3">
      <c r="A2788" s="1">
        <v>4403</v>
      </c>
      <c r="B2788" s="1">
        <v>408800</v>
      </c>
    </row>
    <row r="2789" spans="1:2" x14ac:dyDescent="0.3">
      <c r="A2789" s="1">
        <v>4403</v>
      </c>
      <c r="B2789" s="1">
        <v>408800</v>
      </c>
    </row>
    <row r="2790" spans="1:2" x14ac:dyDescent="0.3">
      <c r="A2790" s="1">
        <v>4403</v>
      </c>
      <c r="B2790" s="1">
        <v>408800</v>
      </c>
    </row>
    <row r="2791" spans="1:2" x14ac:dyDescent="0.3">
      <c r="A2791" s="1">
        <v>4403</v>
      </c>
      <c r="B2791" s="1">
        <v>408800</v>
      </c>
    </row>
    <row r="2792" spans="1:2" x14ac:dyDescent="0.3">
      <c r="A2792" s="1">
        <v>4403</v>
      </c>
      <c r="B2792" s="1">
        <v>408800</v>
      </c>
    </row>
    <row r="2793" spans="1:2" x14ac:dyDescent="0.3">
      <c r="A2793" s="1">
        <v>4403</v>
      </c>
      <c r="B2793" s="1">
        <v>408800</v>
      </c>
    </row>
    <row r="2794" spans="1:2" x14ac:dyDescent="0.3">
      <c r="A2794" s="1">
        <v>4403</v>
      </c>
      <c r="B2794" s="1">
        <v>408800</v>
      </c>
    </row>
    <row r="2795" spans="1:2" x14ac:dyDescent="0.3">
      <c r="A2795" s="1">
        <v>4403</v>
      </c>
      <c r="B2795" s="1">
        <v>408800</v>
      </c>
    </row>
    <row r="2796" spans="1:2" x14ac:dyDescent="0.3">
      <c r="A2796" s="1">
        <v>4403</v>
      </c>
      <c r="B2796" s="1">
        <v>408800</v>
      </c>
    </row>
    <row r="2797" spans="1:2" x14ac:dyDescent="0.3">
      <c r="A2797" s="1">
        <v>4403</v>
      </c>
      <c r="B2797" s="1">
        <v>408800</v>
      </c>
    </row>
    <row r="2798" spans="1:2" x14ac:dyDescent="0.3">
      <c r="A2798" s="1">
        <v>4403</v>
      </c>
      <c r="B2798" s="1">
        <v>408800</v>
      </c>
    </row>
    <row r="2799" spans="1:2" x14ac:dyDescent="0.3">
      <c r="A2799" s="1">
        <v>4403</v>
      </c>
      <c r="B2799" s="1">
        <v>408800</v>
      </c>
    </row>
    <row r="2800" spans="1:2" x14ac:dyDescent="0.3">
      <c r="A2800" s="1">
        <v>4403</v>
      </c>
      <c r="B2800" s="1">
        <v>408800</v>
      </c>
    </row>
    <row r="2801" spans="1:2" x14ac:dyDescent="0.3">
      <c r="A2801" s="1">
        <v>4403</v>
      </c>
      <c r="B2801" s="1">
        <v>408800</v>
      </c>
    </row>
    <row r="2802" spans="1:2" x14ac:dyDescent="0.3">
      <c r="A2802" s="1">
        <v>4403</v>
      </c>
      <c r="B2802" s="1">
        <v>408800</v>
      </c>
    </row>
    <row r="2803" spans="1:2" x14ac:dyDescent="0.3">
      <c r="A2803" s="1">
        <v>4403</v>
      </c>
      <c r="B2803" s="1">
        <v>408800</v>
      </c>
    </row>
    <row r="2804" spans="1:2" x14ac:dyDescent="0.3">
      <c r="A2804" s="1">
        <v>4403</v>
      </c>
      <c r="B2804" s="1">
        <v>408800</v>
      </c>
    </row>
    <row r="2805" spans="1:2" x14ac:dyDescent="0.3">
      <c r="A2805" s="1">
        <v>4403</v>
      </c>
      <c r="B2805" s="1">
        <v>408800</v>
      </c>
    </row>
    <row r="2806" spans="1:2" x14ac:dyDescent="0.3">
      <c r="A2806" s="1">
        <v>4403</v>
      </c>
      <c r="B2806" s="1">
        <v>408800</v>
      </c>
    </row>
    <row r="2807" spans="1:2" x14ac:dyDescent="0.3">
      <c r="A2807" s="1">
        <v>4403</v>
      </c>
      <c r="B2807" s="1">
        <v>408800</v>
      </c>
    </row>
    <row r="2808" spans="1:2" x14ac:dyDescent="0.3">
      <c r="A2808" s="1">
        <v>4403</v>
      </c>
      <c r="B2808" s="1">
        <v>408800</v>
      </c>
    </row>
    <row r="2809" spans="1:2" x14ac:dyDescent="0.3">
      <c r="A2809" s="1">
        <v>4403</v>
      </c>
      <c r="B2809" s="1">
        <v>408800</v>
      </c>
    </row>
    <row r="2810" spans="1:2" x14ac:dyDescent="0.3">
      <c r="A2810" s="1">
        <v>4403</v>
      </c>
      <c r="B2810" s="1">
        <v>408800</v>
      </c>
    </row>
    <row r="2811" spans="1:2" x14ac:dyDescent="0.3">
      <c r="A2811" s="1">
        <v>4403</v>
      </c>
      <c r="B2811" s="1">
        <v>408800</v>
      </c>
    </row>
    <row r="2812" spans="1:2" x14ac:dyDescent="0.3">
      <c r="A2812" s="1">
        <v>4403</v>
      </c>
      <c r="B2812" s="1">
        <v>408800</v>
      </c>
    </row>
    <row r="2813" spans="1:2" x14ac:dyDescent="0.3">
      <c r="A2813" s="1">
        <v>4403</v>
      </c>
      <c r="B2813" s="1">
        <v>408800</v>
      </c>
    </row>
    <row r="2814" spans="1:2" x14ac:dyDescent="0.3">
      <c r="A2814" s="1">
        <v>4403</v>
      </c>
      <c r="B2814" s="1">
        <v>408800</v>
      </c>
    </row>
    <row r="2815" spans="1:2" x14ac:dyDescent="0.3">
      <c r="A2815" s="1">
        <v>4403</v>
      </c>
      <c r="B2815" s="1">
        <v>408800</v>
      </c>
    </row>
    <row r="2816" spans="1:2" x14ac:dyDescent="0.3">
      <c r="A2816" s="1">
        <v>4403</v>
      </c>
      <c r="B2816" s="1">
        <v>408800</v>
      </c>
    </row>
    <row r="2817" spans="1:2" x14ac:dyDescent="0.3">
      <c r="A2817" s="1">
        <v>4403</v>
      </c>
      <c r="B2817" s="1">
        <v>408800</v>
      </c>
    </row>
    <row r="2818" spans="1:2" x14ac:dyDescent="0.3">
      <c r="A2818" s="1">
        <v>4403</v>
      </c>
      <c r="B2818" s="1">
        <v>408800</v>
      </c>
    </row>
    <row r="2819" spans="1:2" x14ac:dyDescent="0.3">
      <c r="A2819" s="1">
        <v>4403</v>
      </c>
      <c r="B2819" s="1">
        <v>408800</v>
      </c>
    </row>
    <row r="2820" spans="1:2" x14ac:dyDescent="0.3">
      <c r="A2820" s="1">
        <v>4403</v>
      </c>
      <c r="B2820" s="1">
        <v>408800</v>
      </c>
    </row>
    <row r="2821" spans="1:2" x14ac:dyDescent="0.3">
      <c r="A2821" s="1">
        <v>4403</v>
      </c>
      <c r="B2821" s="1">
        <v>408800</v>
      </c>
    </row>
    <row r="2822" spans="1:2" x14ac:dyDescent="0.3">
      <c r="A2822" s="1">
        <v>4403</v>
      </c>
      <c r="B2822" s="1">
        <v>408800</v>
      </c>
    </row>
    <row r="2823" spans="1:2" x14ac:dyDescent="0.3">
      <c r="A2823" s="1">
        <v>4403</v>
      </c>
      <c r="B2823" s="1">
        <v>408800</v>
      </c>
    </row>
    <row r="2824" spans="1:2" x14ac:dyDescent="0.3">
      <c r="A2824" s="1">
        <v>4403</v>
      </c>
      <c r="B2824" s="1">
        <v>408800</v>
      </c>
    </row>
    <row r="2825" spans="1:2" x14ac:dyDescent="0.3">
      <c r="A2825" s="1">
        <v>4403</v>
      </c>
      <c r="B2825" s="1">
        <v>408800</v>
      </c>
    </row>
    <row r="2826" spans="1:2" x14ac:dyDescent="0.3">
      <c r="A2826" s="1">
        <v>4403</v>
      </c>
      <c r="B2826" s="1">
        <v>408800</v>
      </c>
    </row>
    <row r="2827" spans="1:2" x14ac:dyDescent="0.3">
      <c r="A2827" s="1">
        <v>4403</v>
      </c>
      <c r="B2827" s="1">
        <v>408800</v>
      </c>
    </row>
    <row r="2828" spans="1:2" x14ac:dyDescent="0.3">
      <c r="A2828" s="1">
        <v>4403</v>
      </c>
      <c r="B2828" s="1">
        <v>408800</v>
      </c>
    </row>
    <row r="2829" spans="1:2" x14ac:dyDescent="0.3">
      <c r="A2829" s="1">
        <v>4403</v>
      </c>
      <c r="B2829" s="1">
        <v>408800</v>
      </c>
    </row>
    <row r="2830" spans="1:2" x14ac:dyDescent="0.3">
      <c r="A2830" s="1">
        <v>4403</v>
      </c>
      <c r="B2830" s="1">
        <v>408800</v>
      </c>
    </row>
    <row r="2831" spans="1:2" x14ac:dyDescent="0.3">
      <c r="A2831" s="1">
        <v>4403</v>
      </c>
      <c r="B2831" s="1">
        <v>408800</v>
      </c>
    </row>
    <row r="2832" spans="1:2" x14ac:dyDescent="0.3">
      <c r="A2832" s="1">
        <v>4403</v>
      </c>
      <c r="B2832" s="1">
        <v>408800</v>
      </c>
    </row>
    <row r="2833" spans="1:2" x14ac:dyDescent="0.3">
      <c r="A2833" s="1">
        <v>4403</v>
      </c>
      <c r="B2833" s="1">
        <v>408800</v>
      </c>
    </row>
    <row r="2834" spans="1:2" x14ac:dyDescent="0.3">
      <c r="A2834" s="1">
        <v>4403</v>
      </c>
      <c r="B2834" s="1">
        <v>408800</v>
      </c>
    </row>
    <row r="2835" spans="1:2" x14ac:dyDescent="0.3">
      <c r="A2835" s="1">
        <v>4403</v>
      </c>
      <c r="B2835" s="1">
        <v>408800</v>
      </c>
    </row>
    <row r="2836" spans="1:2" x14ac:dyDescent="0.3">
      <c r="A2836" s="1">
        <v>4403</v>
      </c>
      <c r="B2836" s="1">
        <v>408800</v>
      </c>
    </row>
    <row r="2837" spans="1:2" x14ac:dyDescent="0.3">
      <c r="A2837" s="1">
        <v>4403</v>
      </c>
      <c r="B2837" s="1">
        <v>408800</v>
      </c>
    </row>
    <row r="2838" spans="1:2" x14ac:dyDescent="0.3">
      <c r="A2838" s="1">
        <v>4403</v>
      </c>
      <c r="B2838" s="1">
        <v>408800</v>
      </c>
    </row>
    <row r="2839" spans="1:2" x14ac:dyDescent="0.3">
      <c r="A2839" s="1">
        <v>4403</v>
      </c>
      <c r="B2839" s="1">
        <v>408800</v>
      </c>
    </row>
    <row r="2840" spans="1:2" x14ac:dyDescent="0.3">
      <c r="A2840" s="1">
        <v>4403</v>
      </c>
      <c r="B2840" s="1">
        <v>408800</v>
      </c>
    </row>
    <row r="2841" spans="1:2" x14ac:dyDescent="0.3">
      <c r="A2841" s="1">
        <v>4403</v>
      </c>
      <c r="B2841" s="1">
        <v>408800</v>
      </c>
    </row>
    <row r="2842" spans="1:2" x14ac:dyDescent="0.3">
      <c r="A2842" s="1">
        <v>4403</v>
      </c>
      <c r="B2842" s="1">
        <v>408800</v>
      </c>
    </row>
    <row r="2843" spans="1:2" x14ac:dyDescent="0.3">
      <c r="A2843" s="1">
        <v>4403</v>
      </c>
      <c r="B2843" s="1">
        <v>408800</v>
      </c>
    </row>
    <row r="2844" spans="1:2" x14ac:dyDescent="0.3">
      <c r="A2844" s="1">
        <v>4403</v>
      </c>
      <c r="B2844" s="1">
        <v>408800</v>
      </c>
    </row>
    <row r="2845" spans="1:2" x14ac:dyDescent="0.3">
      <c r="A2845" s="1">
        <v>4403</v>
      </c>
      <c r="B2845" s="1">
        <v>408800</v>
      </c>
    </row>
    <row r="2846" spans="1:2" x14ac:dyDescent="0.3">
      <c r="A2846" s="1">
        <v>4403</v>
      </c>
      <c r="B2846" s="1">
        <v>408800</v>
      </c>
    </row>
    <row r="2847" spans="1:2" x14ac:dyDescent="0.3">
      <c r="A2847" s="1">
        <v>4403</v>
      </c>
      <c r="B2847" s="1">
        <v>408800</v>
      </c>
    </row>
    <row r="2848" spans="1:2" x14ac:dyDescent="0.3">
      <c r="A2848" s="1">
        <v>4403</v>
      </c>
      <c r="B2848" s="1">
        <v>408800</v>
      </c>
    </row>
    <row r="2849" spans="1:2" x14ac:dyDescent="0.3">
      <c r="A2849" s="1">
        <v>4403</v>
      </c>
      <c r="B2849" s="1">
        <v>408800</v>
      </c>
    </row>
    <row r="2850" spans="1:2" x14ac:dyDescent="0.3">
      <c r="A2850" s="1">
        <v>4403</v>
      </c>
      <c r="B2850" s="1">
        <v>408800</v>
      </c>
    </row>
    <row r="2851" spans="1:2" x14ac:dyDescent="0.3">
      <c r="A2851" s="1">
        <v>4403</v>
      </c>
      <c r="B2851" s="1">
        <v>408800</v>
      </c>
    </row>
    <row r="2852" spans="1:2" x14ac:dyDescent="0.3">
      <c r="A2852" s="1">
        <v>4403</v>
      </c>
      <c r="B2852" s="1">
        <v>408800</v>
      </c>
    </row>
    <row r="2853" spans="1:2" x14ac:dyDescent="0.3">
      <c r="A2853" s="1">
        <v>4403</v>
      </c>
      <c r="B2853" s="1">
        <v>408800</v>
      </c>
    </row>
    <row r="2854" spans="1:2" x14ac:dyDescent="0.3">
      <c r="A2854" s="1">
        <v>4403</v>
      </c>
      <c r="B2854" s="1">
        <v>408800</v>
      </c>
    </row>
    <row r="2855" spans="1:2" x14ac:dyDescent="0.3">
      <c r="A2855" s="1">
        <v>4403</v>
      </c>
      <c r="B2855" s="1">
        <v>408800</v>
      </c>
    </row>
    <row r="2856" spans="1:2" x14ac:dyDescent="0.3">
      <c r="A2856" s="1">
        <v>4403</v>
      </c>
      <c r="B2856" s="1">
        <v>408800</v>
      </c>
    </row>
    <row r="2857" spans="1:2" x14ac:dyDescent="0.3">
      <c r="A2857" s="1">
        <v>4403</v>
      </c>
      <c r="B2857" s="1">
        <v>408800</v>
      </c>
    </row>
    <row r="2858" spans="1:2" x14ac:dyDescent="0.3">
      <c r="A2858" s="1">
        <v>4403</v>
      </c>
      <c r="B2858" s="1">
        <v>408800</v>
      </c>
    </row>
    <row r="2859" spans="1:2" x14ac:dyDescent="0.3">
      <c r="A2859" s="1">
        <v>4403</v>
      </c>
      <c r="B2859" s="1">
        <v>408800</v>
      </c>
    </row>
    <row r="2860" spans="1:2" x14ac:dyDescent="0.3">
      <c r="A2860" s="1">
        <v>4403</v>
      </c>
      <c r="B2860" s="1">
        <v>408800</v>
      </c>
    </row>
    <row r="2861" spans="1:2" x14ac:dyDescent="0.3">
      <c r="A2861" s="1">
        <v>4403</v>
      </c>
      <c r="B2861" s="1">
        <v>408800</v>
      </c>
    </row>
    <row r="2862" spans="1:2" x14ac:dyDescent="0.3">
      <c r="A2862" s="1">
        <v>4403</v>
      </c>
      <c r="B2862" s="1">
        <v>408800</v>
      </c>
    </row>
    <row r="2863" spans="1:2" x14ac:dyDescent="0.3">
      <c r="A2863" s="1">
        <v>4403</v>
      </c>
      <c r="B2863" s="1">
        <v>408800</v>
      </c>
    </row>
    <row r="2864" spans="1:2" x14ac:dyDescent="0.3">
      <c r="A2864" s="1">
        <v>4403</v>
      </c>
      <c r="B2864" s="1">
        <v>408800</v>
      </c>
    </row>
    <row r="2865" spans="1:2" x14ac:dyDescent="0.3">
      <c r="A2865" s="1">
        <v>4403</v>
      </c>
      <c r="B2865" s="1">
        <v>408800</v>
      </c>
    </row>
    <row r="2866" spans="1:2" x14ac:dyDescent="0.3">
      <c r="A2866" s="1">
        <v>4403</v>
      </c>
      <c r="B2866" s="1">
        <v>408800</v>
      </c>
    </row>
    <row r="2867" spans="1:2" x14ac:dyDescent="0.3">
      <c r="A2867" s="1">
        <v>4422</v>
      </c>
      <c r="B2867" s="1">
        <v>400079</v>
      </c>
    </row>
    <row r="2868" spans="1:2" x14ac:dyDescent="0.3">
      <c r="A2868" s="1">
        <v>4422</v>
      </c>
      <c r="B2868" s="1">
        <v>400079</v>
      </c>
    </row>
    <row r="2869" spans="1:2" x14ac:dyDescent="0.3">
      <c r="A2869" s="1">
        <v>4422</v>
      </c>
      <c r="B2869" s="1">
        <v>400079</v>
      </c>
    </row>
    <row r="2870" spans="1:2" x14ac:dyDescent="0.3">
      <c r="A2870" s="1">
        <v>4310</v>
      </c>
      <c r="B2870" s="1">
        <v>400037</v>
      </c>
    </row>
    <row r="2871" spans="1:2" x14ac:dyDescent="0.3">
      <c r="A2871" s="1">
        <v>4310</v>
      </c>
      <c r="B2871" s="1">
        <v>400037</v>
      </c>
    </row>
    <row r="2872" spans="1:2" x14ac:dyDescent="0.3">
      <c r="A2872" s="1">
        <v>4310</v>
      </c>
      <c r="B2872" s="1">
        <v>400037</v>
      </c>
    </row>
    <row r="2873" spans="1:2" x14ac:dyDescent="0.3">
      <c r="A2873" s="1">
        <v>4277</v>
      </c>
      <c r="B2873" s="1">
        <v>408820</v>
      </c>
    </row>
    <row r="2874" spans="1:2" x14ac:dyDescent="0.3">
      <c r="A2874" s="1">
        <v>4277</v>
      </c>
      <c r="B2874" s="1">
        <v>408820</v>
      </c>
    </row>
    <row r="2875" spans="1:2" x14ac:dyDescent="0.3">
      <c r="A2875" s="1">
        <v>4277</v>
      </c>
      <c r="B2875" s="1">
        <v>408820</v>
      </c>
    </row>
    <row r="2876" spans="1:2" x14ac:dyDescent="0.3">
      <c r="A2876" s="1">
        <v>4277</v>
      </c>
      <c r="B2876" s="1">
        <v>408820</v>
      </c>
    </row>
    <row r="2877" spans="1:2" x14ac:dyDescent="0.3">
      <c r="A2877" s="1">
        <v>91303</v>
      </c>
      <c r="B2877" s="1">
        <v>400858</v>
      </c>
    </row>
    <row r="2878" spans="1:2" x14ac:dyDescent="0.3">
      <c r="A2878" s="1">
        <v>91305</v>
      </c>
      <c r="B2878" s="1">
        <v>400859</v>
      </c>
    </row>
    <row r="2879" spans="1:2" x14ac:dyDescent="0.3">
      <c r="A2879" s="1">
        <v>91307</v>
      </c>
      <c r="B2879" s="1">
        <v>400857</v>
      </c>
    </row>
    <row r="2880" spans="1:2" x14ac:dyDescent="0.3">
      <c r="A2880" s="1">
        <v>89949</v>
      </c>
      <c r="B2880" s="1">
        <v>400764</v>
      </c>
    </row>
    <row r="2881" spans="1:2" x14ac:dyDescent="0.3">
      <c r="A2881" s="1">
        <v>89949</v>
      </c>
      <c r="B2881" s="1">
        <v>400764</v>
      </c>
    </row>
    <row r="2882" spans="1:2" x14ac:dyDescent="0.3">
      <c r="A2882" s="1">
        <v>91303</v>
      </c>
      <c r="B2882" s="1">
        <v>400858</v>
      </c>
    </row>
    <row r="2883" spans="1:2" x14ac:dyDescent="0.3">
      <c r="A2883" s="1">
        <v>91307</v>
      </c>
      <c r="B2883" s="1">
        <v>400857</v>
      </c>
    </row>
    <row r="2884" spans="1:2" x14ac:dyDescent="0.3">
      <c r="A2884" s="1">
        <v>91305</v>
      </c>
      <c r="B2884" s="1">
        <v>400859</v>
      </c>
    </row>
    <row r="2885" spans="1:2" x14ac:dyDescent="0.3">
      <c r="A2885" s="1">
        <v>91307</v>
      </c>
      <c r="B2885" s="1">
        <v>400857</v>
      </c>
    </row>
    <row r="2886" spans="1:2" x14ac:dyDescent="0.3">
      <c r="A2886" s="1">
        <v>90367</v>
      </c>
      <c r="B2886" s="1">
        <v>400809</v>
      </c>
    </row>
    <row r="2887" spans="1:2" x14ac:dyDescent="0.3">
      <c r="A2887" s="1">
        <v>90367</v>
      </c>
      <c r="B2887" s="1">
        <v>400809</v>
      </c>
    </row>
    <row r="2888" spans="1:2" x14ac:dyDescent="0.3">
      <c r="A2888" s="1">
        <v>4413</v>
      </c>
      <c r="B2888" s="1">
        <v>408850</v>
      </c>
    </row>
    <row r="2889" spans="1:2" x14ac:dyDescent="0.3">
      <c r="A2889" s="1">
        <v>4413</v>
      </c>
      <c r="B2889" s="1">
        <v>408850</v>
      </c>
    </row>
    <row r="2890" spans="1:2" x14ac:dyDescent="0.3">
      <c r="A2890" s="1">
        <v>4413</v>
      </c>
      <c r="B2890" s="1">
        <v>408850</v>
      </c>
    </row>
    <row r="2891" spans="1:2" x14ac:dyDescent="0.3">
      <c r="A2891" s="1">
        <v>4413</v>
      </c>
      <c r="B2891" s="1">
        <v>408850</v>
      </c>
    </row>
    <row r="2892" spans="1:2" x14ac:dyDescent="0.3">
      <c r="A2892" s="1">
        <v>4413</v>
      </c>
      <c r="B2892" s="1">
        <v>408850</v>
      </c>
    </row>
    <row r="2893" spans="1:2" x14ac:dyDescent="0.3">
      <c r="A2893" s="1">
        <v>4413</v>
      </c>
      <c r="B2893" s="1">
        <v>408850</v>
      </c>
    </row>
    <row r="2894" spans="1:2" x14ac:dyDescent="0.3">
      <c r="A2894" s="1">
        <v>4413</v>
      </c>
      <c r="B2894" s="1">
        <v>408850</v>
      </c>
    </row>
    <row r="2895" spans="1:2" x14ac:dyDescent="0.3">
      <c r="A2895" s="1">
        <v>4413</v>
      </c>
      <c r="B2895" s="1">
        <v>408850</v>
      </c>
    </row>
    <row r="2896" spans="1:2" x14ac:dyDescent="0.3">
      <c r="A2896" s="1">
        <v>4413</v>
      </c>
      <c r="B2896" s="1">
        <v>408850</v>
      </c>
    </row>
    <row r="2897" spans="1:2" x14ac:dyDescent="0.3">
      <c r="A2897" s="1">
        <v>4413</v>
      </c>
      <c r="B2897" s="1">
        <v>408850</v>
      </c>
    </row>
    <row r="2898" spans="1:2" x14ac:dyDescent="0.3">
      <c r="A2898" s="1">
        <v>4413</v>
      </c>
      <c r="B2898" s="1">
        <v>408850</v>
      </c>
    </row>
    <row r="2899" spans="1:2" x14ac:dyDescent="0.3">
      <c r="A2899" s="1">
        <v>4413</v>
      </c>
      <c r="B2899" s="1">
        <v>408850</v>
      </c>
    </row>
    <row r="2900" spans="1:2" x14ac:dyDescent="0.3">
      <c r="A2900" s="1">
        <v>4413</v>
      </c>
      <c r="B2900" s="1">
        <v>408850</v>
      </c>
    </row>
    <row r="2901" spans="1:2" x14ac:dyDescent="0.3">
      <c r="A2901" s="1">
        <v>4413</v>
      </c>
      <c r="B2901" s="1">
        <v>408850</v>
      </c>
    </row>
    <row r="2902" spans="1:2" x14ac:dyDescent="0.3">
      <c r="A2902" s="1">
        <v>4413</v>
      </c>
      <c r="B2902" s="1">
        <v>408850</v>
      </c>
    </row>
    <row r="2903" spans="1:2" x14ac:dyDescent="0.3">
      <c r="A2903" s="1">
        <v>4413</v>
      </c>
      <c r="B2903" s="1">
        <v>408850</v>
      </c>
    </row>
    <row r="2904" spans="1:2" x14ac:dyDescent="0.3">
      <c r="A2904" s="1">
        <v>4413</v>
      </c>
      <c r="B2904" s="1">
        <v>408850</v>
      </c>
    </row>
    <row r="2905" spans="1:2" x14ac:dyDescent="0.3">
      <c r="A2905" s="1">
        <v>4413</v>
      </c>
      <c r="B2905" s="1">
        <v>408850</v>
      </c>
    </row>
    <row r="2906" spans="1:2" x14ac:dyDescent="0.3">
      <c r="A2906" s="1">
        <v>4413</v>
      </c>
      <c r="B2906" s="1">
        <v>408850</v>
      </c>
    </row>
    <row r="2907" spans="1:2" x14ac:dyDescent="0.3">
      <c r="A2907" s="1">
        <v>4413</v>
      </c>
      <c r="B2907" s="1">
        <v>408850</v>
      </c>
    </row>
    <row r="2908" spans="1:2" x14ac:dyDescent="0.3">
      <c r="A2908" s="1">
        <v>4380</v>
      </c>
      <c r="B2908" s="1">
        <v>408880</v>
      </c>
    </row>
    <row r="2909" spans="1:2" x14ac:dyDescent="0.3">
      <c r="A2909" s="1">
        <v>4380</v>
      </c>
      <c r="B2909" s="1">
        <v>408880</v>
      </c>
    </row>
    <row r="2910" spans="1:2" x14ac:dyDescent="0.3">
      <c r="A2910" s="1">
        <v>79397</v>
      </c>
      <c r="B2910" s="1">
        <v>400341</v>
      </c>
    </row>
    <row r="2911" spans="1:2" x14ac:dyDescent="0.3">
      <c r="A2911" s="1">
        <v>79397</v>
      </c>
      <c r="B2911" s="1">
        <v>400341</v>
      </c>
    </row>
    <row r="2912" spans="1:2" x14ac:dyDescent="0.3">
      <c r="A2912" s="1">
        <v>79397</v>
      </c>
      <c r="B2912" s="1">
        <v>400341</v>
      </c>
    </row>
    <row r="2913" spans="1:2" x14ac:dyDescent="0.3">
      <c r="A2913" s="1">
        <v>79397</v>
      </c>
      <c r="B2913" s="1">
        <v>400341</v>
      </c>
    </row>
    <row r="2914" spans="1:2" x14ac:dyDescent="0.3">
      <c r="A2914" s="1">
        <v>79397</v>
      </c>
      <c r="B2914" s="1">
        <v>400341</v>
      </c>
    </row>
    <row r="2915" spans="1:2" x14ac:dyDescent="0.3">
      <c r="A2915" s="1">
        <v>79397</v>
      </c>
      <c r="B2915" s="1">
        <v>400341</v>
      </c>
    </row>
    <row r="2916" spans="1:2" x14ac:dyDescent="0.3">
      <c r="A2916" s="1">
        <v>79397</v>
      </c>
      <c r="B2916" s="1">
        <v>400341</v>
      </c>
    </row>
    <row r="2917" spans="1:2" x14ac:dyDescent="0.3">
      <c r="A2917" s="1">
        <v>79957</v>
      </c>
      <c r="B2917" s="1">
        <v>400366</v>
      </c>
    </row>
    <row r="2918" spans="1:2" x14ac:dyDescent="0.3">
      <c r="A2918" s="1">
        <v>79957</v>
      </c>
      <c r="B2918" s="1">
        <v>400366</v>
      </c>
    </row>
    <row r="2919" spans="1:2" x14ac:dyDescent="0.3">
      <c r="A2919" s="1">
        <v>4190</v>
      </c>
      <c r="B2919" s="1">
        <v>408910</v>
      </c>
    </row>
    <row r="2920" spans="1:2" x14ac:dyDescent="0.3">
      <c r="A2920" s="1">
        <v>4190</v>
      </c>
      <c r="B2920" s="1">
        <v>408910</v>
      </c>
    </row>
    <row r="2921" spans="1:2" x14ac:dyDescent="0.3">
      <c r="A2921" s="1">
        <v>4455</v>
      </c>
      <c r="B2921" s="1">
        <v>400207</v>
      </c>
    </row>
    <row r="2922" spans="1:2" x14ac:dyDescent="0.3">
      <c r="A2922" s="1">
        <v>4455</v>
      </c>
      <c r="B2922" s="1">
        <v>400207</v>
      </c>
    </row>
    <row r="2923" spans="1:2" x14ac:dyDescent="0.3">
      <c r="A2923" s="1">
        <v>90317</v>
      </c>
      <c r="B2923" s="1">
        <v>400792</v>
      </c>
    </row>
    <row r="2924" spans="1:2" x14ac:dyDescent="0.3">
      <c r="A2924" s="1">
        <v>90317</v>
      </c>
      <c r="B2924" s="1">
        <v>400792</v>
      </c>
    </row>
    <row r="2925" spans="1:2" x14ac:dyDescent="0.3">
      <c r="A2925" s="1">
        <v>80992</v>
      </c>
      <c r="B2925" s="1">
        <v>400655</v>
      </c>
    </row>
    <row r="2926" spans="1:2" x14ac:dyDescent="0.3">
      <c r="A2926" s="1">
        <v>80992</v>
      </c>
      <c r="B2926" s="1">
        <v>400655</v>
      </c>
    </row>
    <row r="2927" spans="1:2" x14ac:dyDescent="0.3">
      <c r="A2927" s="1">
        <v>4162</v>
      </c>
      <c r="B2927" s="1">
        <v>400022</v>
      </c>
    </row>
    <row r="2928" spans="1:2" x14ac:dyDescent="0.3">
      <c r="A2928" s="1">
        <v>4162</v>
      </c>
      <c r="B2928" s="1">
        <v>400022</v>
      </c>
    </row>
    <row r="2929" spans="1:2" x14ac:dyDescent="0.3">
      <c r="A2929" s="1">
        <v>4358</v>
      </c>
      <c r="B2929" s="1">
        <v>400067</v>
      </c>
    </row>
    <row r="2930" spans="1:2" x14ac:dyDescent="0.3">
      <c r="A2930" s="1">
        <v>4358</v>
      </c>
      <c r="B2930" s="1">
        <v>400067</v>
      </c>
    </row>
    <row r="2931" spans="1:2" x14ac:dyDescent="0.3">
      <c r="A2931" s="1">
        <v>4339</v>
      </c>
      <c r="B2931" s="1">
        <v>400054</v>
      </c>
    </row>
    <row r="2932" spans="1:2" x14ac:dyDescent="0.3">
      <c r="A2932" s="1">
        <v>4339</v>
      </c>
      <c r="B2932" s="1">
        <v>400054</v>
      </c>
    </row>
    <row r="2933" spans="1:2" x14ac:dyDescent="0.3">
      <c r="A2933" s="1">
        <v>4430</v>
      </c>
      <c r="B2933" s="1">
        <v>400160</v>
      </c>
    </row>
    <row r="2934" spans="1:2" x14ac:dyDescent="0.3">
      <c r="A2934" s="1">
        <v>4430</v>
      </c>
      <c r="B2934" s="1">
        <v>400160</v>
      </c>
    </row>
    <row r="2935" spans="1:2" x14ac:dyDescent="0.3">
      <c r="A2935" s="1">
        <v>79671</v>
      </c>
      <c r="B2935" s="1">
        <v>400299</v>
      </c>
    </row>
    <row r="2936" spans="1:2" x14ac:dyDescent="0.3">
      <c r="A2936" s="1">
        <v>79671</v>
      </c>
      <c r="B2936" s="1">
        <v>400299</v>
      </c>
    </row>
    <row r="2937" spans="1:2" x14ac:dyDescent="0.3">
      <c r="A2937" s="1">
        <v>79907</v>
      </c>
      <c r="B2937" s="1">
        <v>400391</v>
      </c>
    </row>
    <row r="2938" spans="1:2" x14ac:dyDescent="0.3">
      <c r="A2938" s="1">
        <v>79907</v>
      </c>
      <c r="B2938" s="1">
        <v>400391</v>
      </c>
    </row>
    <row r="2939" spans="1:2" x14ac:dyDescent="0.3">
      <c r="A2939" s="1">
        <v>91948</v>
      </c>
      <c r="B2939" s="1">
        <v>400887</v>
      </c>
    </row>
    <row r="2940" spans="1:2" x14ac:dyDescent="0.3">
      <c r="A2940" s="1">
        <v>91948</v>
      </c>
      <c r="B2940" s="1">
        <v>400887</v>
      </c>
    </row>
    <row r="2941" spans="1:2" x14ac:dyDescent="0.3">
      <c r="A2941" s="1">
        <v>4476</v>
      </c>
      <c r="B2941" s="1">
        <v>409030</v>
      </c>
    </row>
    <row r="2942" spans="1:2" x14ac:dyDescent="0.3">
      <c r="A2942" s="1">
        <v>4260</v>
      </c>
      <c r="B2942" s="1">
        <v>409060</v>
      </c>
    </row>
    <row r="2943" spans="1:2" x14ac:dyDescent="0.3">
      <c r="A2943" s="1">
        <v>4260</v>
      </c>
      <c r="B2943" s="1">
        <v>409060</v>
      </c>
    </row>
    <row r="2944" spans="1:2" x14ac:dyDescent="0.3">
      <c r="A2944" s="1">
        <v>4260</v>
      </c>
      <c r="B2944" s="1">
        <v>409060</v>
      </c>
    </row>
    <row r="2945" spans="1:2" x14ac:dyDescent="0.3">
      <c r="A2945" s="1">
        <v>4260</v>
      </c>
      <c r="B2945" s="1">
        <v>409060</v>
      </c>
    </row>
    <row r="2946" spans="1:2" x14ac:dyDescent="0.3">
      <c r="A2946" s="1">
        <v>4260</v>
      </c>
      <c r="B2946" s="1">
        <v>409060</v>
      </c>
    </row>
    <row r="2947" spans="1:2" x14ac:dyDescent="0.3">
      <c r="A2947" s="1">
        <v>4260</v>
      </c>
      <c r="B2947" s="1">
        <v>409060</v>
      </c>
    </row>
    <row r="2948" spans="1:2" x14ac:dyDescent="0.3">
      <c r="A2948" s="1">
        <v>4260</v>
      </c>
      <c r="B2948" s="1">
        <v>409060</v>
      </c>
    </row>
    <row r="2949" spans="1:2" x14ac:dyDescent="0.3">
      <c r="A2949" s="1">
        <v>4260</v>
      </c>
      <c r="B2949" s="1">
        <v>409060</v>
      </c>
    </row>
    <row r="2950" spans="1:2" x14ac:dyDescent="0.3">
      <c r="A2950" s="1">
        <v>4260</v>
      </c>
      <c r="B2950" s="1">
        <v>409060</v>
      </c>
    </row>
    <row r="2951" spans="1:2" x14ac:dyDescent="0.3">
      <c r="A2951" s="1">
        <v>4260</v>
      </c>
      <c r="B2951" s="1">
        <v>409060</v>
      </c>
    </row>
    <row r="2952" spans="1:2" x14ac:dyDescent="0.3">
      <c r="A2952" s="1">
        <v>4260</v>
      </c>
      <c r="B2952" s="1">
        <v>409060</v>
      </c>
    </row>
    <row r="2953" spans="1:2" x14ac:dyDescent="0.3">
      <c r="A2953" s="1">
        <v>4260</v>
      </c>
      <c r="B2953" s="1">
        <v>409060</v>
      </c>
    </row>
    <row r="2954" spans="1:2" x14ac:dyDescent="0.3">
      <c r="A2954" s="1">
        <v>4260</v>
      </c>
      <c r="B2954" s="1">
        <v>409060</v>
      </c>
    </row>
    <row r="2955" spans="1:2" x14ac:dyDescent="0.3">
      <c r="A2955" s="1">
        <v>4260</v>
      </c>
      <c r="B2955" s="1">
        <v>409060</v>
      </c>
    </row>
    <row r="2956" spans="1:2" x14ac:dyDescent="0.3">
      <c r="A2956" s="1">
        <v>4260</v>
      </c>
      <c r="B2956" s="1">
        <v>409060</v>
      </c>
    </row>
    <row r="2957" spans="1:2" x14ac:dyDescent="0.3">
      <c r="A2957" s="1">
        <v>4260</v>
      </c>
      <c r="B2957" s="1">
        <v>409060</v>
      </c>
    </row>
    <row r="2958" spans="1:2" x14ac:dyDescent="0.3">
      <c r="A2958" s="1">
        <v>4260</v>
      </c>
      <c r="B2958" s="1">
        <v>409060</v>
      </c>
    </row>
    <row r="2959" spans="1:2" x14ac:dyDescent="0.3">
      <c r="A2959" s="1">
        <v>4260</v>
      </c>
      <c r="B2959" s="1">
        <v>409060</v>
      </c>
    </row>
    <row r="2960" spans="1:2" x14ac:dyDescent="0.3">
      <c r="A2960" s="1">
        <v>4260</v>
      </c>
      <c r="B2960" s="1">
        <v>409060</v>
      </c>
    </row>
    <row r="2961" spans="1:2" x14ac:dyDescent="0.3">
      <c r="A2961" s="1">
        <v>4260</v>
      </c>
      <c r="B2961" s="1">
        <v>409060</v>
      </c>
    </row>
    <row r="2962" spans="1:2" x14ac:dyDescent="0.3">
      <c r="A2962" s="1">
        <v>4260</v>
      </c>
      <c r="B2962" s="1">
        <v>409060</v>
      </c>
    </row>
    <row r="2963" spans="1:2" x14ac:dyDescent="0.3">
      <c r="A2963" s="1">
        <v>4260</v>
      </c>
      <c r="B2963" s="1">
        <v>409060</v>
      </c>
    </row>
    <row r="2964" spans="1:2" x14ac:dyDescent="0.3">
      <c r="A2964" s="1">
        <v>4260</v>
      </c>
      <c r="B2964" s="1">
        <v>409060</v>
      </c>
    </row>
    <row r="2965" spans="1:2" x14ac:dyDescent="0.3">
      <c r="A2965" s="1">
        <v>4260</v>
      </c>
      <c r="B2965" s="1">
        <v>409060</v>
      </c>
    </row>
    <row r="2966" spans="1:2" x14ac:dyDescent="0.3">
      <c r="A2966" s="1">
        <v>4260</v>
      </c>
      <c r="B2966" s="1">
        <v>409060</v>
      </c>
    </row>
    <row r="2967" spans="1:2" x14ac:dyDescent="0.3">
      <c r="A2967" s="1">
        <v>4260</v>
      </c>
      <c r="B2967" s="1">
        <v>409060</v>
      </c>
    </row>
    <row r="2968" spans="1:2" x14ac:dyDescent="0.3">
      <c r="A2968" s="1">
        <v>4260</v>
      </c>
      <c r="B2968" s="1">
        <v>409060</v>
      </c>
    </row>
    <row r="2969" spans="1:2" x14ac:dyDescent="0.3">
      <c r="A2969" s="1">
        <v>4260</v>
      </c>
      <c r="B2969" s="1">
        <v>409060</v>
      </c>
    </row>
    <row r="2970" spans="1:2" x14ac:dyDescent="0.3">
      <c r="A2970" s="1">
        <v>4260</v>
      </c>
      <c r="B2970" s="1">
        <v>409060</v>
      </c>
    </row>
    <row r="2971" spans="1:2" x14ac:dyDescent="0.3">
      <c r="A2971" s="1">
        <v>4260</v>
      </c>
      <c r="B2971" s="1">
        <v>409060</v>
      </c>
    </row>
    <row r="2972" spans="1:2" x14ac:dyDescent="0.3">
      <c r="A2972" s="1">
        <v>4260</v>
      </c>
      <c r="B2972" s="1">
        <v>409060</v>
      </c>
    </row>
    <row r="2973" spans="1:2" x14ac:dyDescent="0.3">
      <c r="A2973" s="1">
        <v>4260</v>
      </c>
      <c r="B2973" s="1">
        <v>409060</v>
      </c>
    </row>
    <row r="2974" spans="1:2" x14ac:dyDescent="0.3">
      <c r="A2974" s="1">
        <v>4260</v>
      </c>
      <c r="B2974" s="1">
        <v>409060</v>
      </c>
    </row>
    <row r="2975" spans="1:2" x14ac:dyDescent="0.3">
      <c r="A2975" s="1">
        <v>4504</v>
      </c>
      <c r="B2975" s="1">
        <v>409090</v>
      </c>
    </row>
    <row r="2976" spans="1:2" x14ac:dyDescent="0.3">
      <c r="A2976" s="1">
        <v>4504</v>
      </c>
      <c r="B2976" s="1">
        <v>409090</v>
      </c>
    </row>
    <row r="2977" spans="1:2" x14ac:dyDescent="0.3">
      <c r="A2977" s="1">
        <v>4512</v>
      </c>
      <c r="B2977" s="1">
        <v>409120</v>
      </c>
    </row>
    <row r="2978" spans="1:2" x14ac:dyDescent="0.3">
      <c r="A2978" s="1">
        <v>4512</v>
      </c>
      <c r="B2978" s="1">
        <v>409120</v>
      </c>
    </row>
    <row r="2979" spans="1:2" x14ac:dyDescent="0.3">
      <c r="A2979" s="1">
        <v>79497</v>
      </c>
      <c r="B2979" s="1">
        <v>400279</v>
      </c>
    </row>
    <row r="2980" spans="1:2" x14ac:dyDescent="0.3">
      <c r="A2980" s="1">
        <v>79497</v>
      </c>
      <c r="B2980" s="1">
        <v>400279</v>
      </c>
    </row>
    <row r="2981" spans="1:2" x14ac:dyDescent="0.3">
      <c r="A2981" s="1">
        <v>79990</v>
      </c>
      <c r="B2981" s="1">
        <v>400377</v>
      </c>
    </row>
    <row r="2982" spans="1:2" x14ac:dyDescent="0.3">
      <c r="A2982" s="1">
        <v>79990</v>
      </c>
      <c r="B2982" s="1">
        <v>400377</v>
      </c>
    </row>
    <row r="2983" spans="1:2" x14ac:dyDescent="0.3">
      <c r="A2983" s="1">
        <v>90036</v>
      </c>
      <c r="B2983" s="1">
        <v>400786</v>
      </c>
    </row>
    <row r="2984" spans="1:2" x14ac:dyDescent="0.3">
      <c r="A2984" s="1">
        <v>90036</v>
      </c>
      <c r="B2984" s="1">
        <v>400786</v>
      </c>
    </row>
    <row r="2985" spans="1:2" x14ac:dyDescent="0.3">
      <c r="A2985" s="1">
        <v>80923</v>
      </c>
      <c r="B2985" s="1">
        <v>400615</v>
      </c>
    </row>
    <row r="2986" spans="1:2" x14ac:dyDescent="0.3">
      <c r="A2986" s="1">
        <v>80923</v>
      </c>
      <c r="B2986" s="1">
        <v>400615</v>
      </c>
    </row>
    <row r="2987" spans="1:2" x14ac:dyDescent="0.3">
      <c r="A2987" s="1">
        <v>80923</v>
      </c>
      <c r="B2987" s="1">
        <v>400615</v>
      </c>
    </row>
    <row r="2988" spans="1:2" x14ac:dyDescent="0.3">
      <c r="A2988" s="1">
        <v>80923</v>
      </c>
      <c r="B2988" s="1">
        <v>400615</v>
      </c>
    </row>
    <row r="2989" spans="1:2" x14ac:dyDescent="0.3">
      <c r="A2989" s="1">
        <v>80923</v>
      </c>
      <c r="B2989" s="1">
        <v>400615</v>
      </c>
    </row>
    <row r="2990" spans="1:2" x14ac:dyDescent="0.3">
      <c r="A2990" s="1">
        <v>80923</v>
      </c>
      <c r="B2990" s="1">
        <v>400615</v>
      </c>
    </row>
    <row r="2991" spans="1:2" x14ac:dyDescent="0.3">
      <c r="A2991" s="1">
        <v>80923</v>
      </c>
      <c r="B2991" s="1">
        <v>400615</v>
      </c>
    </row>
    <row r="2992" spans="1:2" x14ac:dyDescent="0.3">
      <c r="A2992" s="1">
        <v>80923</v>
      </c>
      <c r="B2992" s="1">
        <v>400615</v>
      </c>
    </row>
    <row r="2993" spans="1:2" x14ac:dyDescent="0.3">
      <c r="A2993" s="1">
        <v>80923</v>
      </c>
      <c r="B2993" s="1">
        <v>400615</v>
      </c>
    </row>
    <row r="2994" spans="1:2" x14ac:dyDescent="0.3">
      <c r="A2994" s="1">
        <v>80923</v>
      </c>
      <c r="B2994" s="1">
        <v>400615</v>
      </c>
    </row>
    <row r="2995" spans="1:2" x14ac:dyDescent="0.3">
      <c r="A2995" s="1">
        <v>80923</v>
      </c>
      <c r="B2995" s="1">
        <v>400615</v>
      </c>
    </row>
    <row r="2996" spans="1:2" x14ac:dyDescent="0.3">
      <c r="A2996" s="1">
        <v>80923</v>
      </c>
      <c r="B2996" s="1">
        <v>400615</v>
      </c>
    </row>
    <row r="2997" spans="1:2" x14ac:dyDescent="0.3">
      <c r="A2997" s="1">
        <v>80923</v>
      </c>
      <c r="B2997" s="1">
        <v>400615</v>
      </c>
    </row>
    <row r="2998" spans="1:2" x14ac:dyDescent="0.3">
      <c r="A2998" s="1">
        <v>80923</v>
      </c>
      <c r="B2998" s="1">
        <v>400615</v>
      </c>
    </row>
    <row r="2999" spans="1:2" x14ac:dyDescent="0.3">
      <c r="A2999" s="1">
        <v>80923</v>
      </c>
      <c r="B2999" s="1">
        <v>400615</v>
      </c>
    </row>
    <row r="3000" spans="1:2" x14ac:dyDescent="0.3">
      <c r="A3000" s="1">
        <v>80923</v>
      </c>
      <c r="B3000" s="1">
        <v>400615</v>
      </c>
    </row>
    <row r="3001" spans="1:2" x14ac:dyDescent="0.3">
      <c r="A3001" s="1">
        <v>80923</v>
      </c>
      <c r="B3001" s="1">
        <v>400615</v>
      </c>
    </row>
    <row r="3002" spans="1:2" x14ac:dyDescent="0.3">
      <c r="A3002" s="1">
        <v>80923</v>
      </c>
      <c r="B3002" s="1">
        <v>400615</v>
      </c>
    </row>
    <row r="3003" spans="1:2" x14ac:dyDescent="0.3">
      <c r="A3003" s="1">
        <v>80923</v>
      </c>
      <c r="B3003" s="1">
        <v>400615</v>
      </c>
    </row>
    <row r="3004" spans="1:2" x14ac:dyDescent="0.3">
      <c r="A3004" s="1">
        <v>80923</v>
      </c>
      <c r="B3004" s="1">
        <v>400615</v>
      </c>
    </row>
    <row r="3005" spans="1:2" x14ac:dyDescent="0.3">
      <c r="A3005" s="1">
        <v>80923</v>
      </c>
      <c r="B3005" s="1">
        <v>400615</v>
      </c>
    </row>
    <row r="3006" spans="1:2" x14ac:dyDescent="0.3">
      <c r="A3006" s="1">
        <v>80923</v>
      </c>
      <c r="B3006" s="1">
        <v>400615</v>
      </c>
    </row>
    <row r="3007" spans="1:2" x14ac:dyDescent="0.3">
      <c r="A3007" s="1">
        <v>80923</v>
      </c>
      <c r="B3007" s="1">
        <v>400615</v>
      </c>
    </row>
    <row r="3008" spans="1:2" x14ac:dyDescent="0.3">
      <c r="A3008" s="1">
        <v>80923</v>
      </c>
      <c r="B3008" s="1">
        <v>400615</v>
      </c>
    </row>
    <row r="3009" spans="1:2" x14ac:dyDescent="0.3">
      <c r="A3009" s="1">
        <v>80923</v>
      </c>
      <c r="B3009" s="1">
        <v>400615</v>
      </c>
    </row>
    <row r="3010" spans="1:2" x14ac:dyDescent="0.3">
      <c r="A3010" s="1">
        <v>80923</v>
      </c>
      <c r="B3010" s="1">
        <v>400615</v>
      </c>
    </row>
    <row r="3011" spans="1:2" x14ac:dyDescent="0.3">
      <c r="A3011" s="1">
        <v>80923</v>
      </c>
      <c r="B3011" s="1">
        <v>400615</v>
      </c>
    </row>
    <row r="3012" spans="1:2" x14ac:dyDescent="0.3">
      <c r="A3012" s="1">
        <v>80923</v>
      </c>
      <c r="B3012" s="1">
        <v>400615</v>
      </c>
    </row>
    <row r="3013" spans="1:2" x14ac:dyDescent="0.3">
      <c r="A3013" s="1">
        <v>80923</v>
      </c>
      <c r="B3013" s="1">
        <v>400615</v>
      </c>
    </row>
    <row r="3014" spans="1:2" x14ac:dyDescent="0.3">
      <c r="A3014" s="1">
        <v>80923</v>
      </c>
      <c r="B3014" s="1">
        <v>400615</v>
      </c>
    </row>
    <row r="3015" spans="1:2" x14ac:dyDescent="0.3">
      <c r="A3015" s="1">
        <v>80923</v>
      </c>
      <c r="B3015" s="1">
        <v>400615</v>
      </c>
    </row>
    <row r="3016" spans="1:2" x14ac:dyDescent="0.3">
      <c r="A3016" s="1">
        <v>80923</v>
      </c>
      <c r="B3016" s="1">
        <v>400615</v>
      </c>
    </row>
    <row r="3017" spans="1:2" x14ac:dyDescent="0.3">
      <c r="A3017" s="1">
        <v>80923</v>
      </c>
      <c r="B3017" s="1">
        <v>400615</v>
      </c>
    </row>
    <row r="3018" spans="1:2" x14ac:dyDescent="0.3">
      <c r="A3018" s="1">
        <v>80923</v>
      </c>
      <c r="B3018" s="1">
        <v>400615</v>
      </c>
    </row>
    <row r="3019" spans="1:2" x14ac:dyDescent="0.3">
      <c r="A3019" s="1">
        <v>80923</v>
      </c>
      <c r="B3019" s="1">
        <v>400615</v>
      </c>
    </row>
    <row r="3020" spans="1:2" x14ac:dyDescent="0.3">
      <c r="A3020" s="1">
        <v>80923</v>
      </c>
      <c r="B3020" s="1">
        <v>400615</v>
      </c>
    </row>
    <row r="3021" spans="1:2" x14ac:dyDescent="0.3">
      <c r="A3021" s="1">
        <v>80923</v>
      </c>
      <c r="B3021" s="1">
        <v>400615</v>
      </c>
    </row>
    <row r="3022" spans="1:2" x14ac:dyDescent="0.3">
      <c r="A3022" s="1">
        <v>80923</v>
      </c>
      <c r="B3022" s="1">
        <v>400615</v>
      </c>
    </row>
    <row r="3023" spans="1:2" x14ac:dyDescent="0.3">
      <c r="A3023" s="1">
        <v>80923</v>
      </c>
      <c r="B3023" s="1">
        <v>400615</v>
      </c>
    </row>
    <row r="3024" spans="1:2" x14ac:dyDescent="0.3">
      <c r="A3024" s="1">
        <v>80923</v>
      </c>
      <c r="B3024" s="1">
        <v>400615</v>
      </c>
    </row>
    <row r="3025" spans="1:2" x14ac:dyDescent="0.3">
      <c r="A3025" s="1">
        <v>80923</v>
      </c>
      <c r="B3025" s="1">
        <v>400615</v>
      </c>
    </row>
    <row r="3026" spans="1:2" x14ac:dyDescent="0.3">
      <c r="A3026" s="1">
        <v>80923</v>
      </c>
      <c r="B3026" s="1">
        <v>400615</v>
      </c>
    </row>
    <row r="3027" spans="1:2" x14ac:dyDescent="0.3">
      <c r="A3027" s="1">
        <v>80923</v>
      </c>
      <c r="B3027" s="1">
        <v>400615</v>
      </c>
    </row>
    <row r="3028" spans="1:2" x14ac:dyDescent="0.3">
      <c r="A3028" s="1">
        <v>80923</v>
      </c>
      <c r="B3028" s="1">
        <v>400615</v>
      </c>
    </row>
    <row r="3029" spans="1:2" x14ac:dyDescent="0.3">
      <c r="A3029" s="1">
        <v>80923</v>
      </c>
      <c r="B3029" s="1">
        <v>400615</v>
      </c>
    </row>
    <row r="3030" spans="1:2" x14ac:dyDescent="0.3">
      <c r="A3030" s="1">
        <v>80923</v>
      </c>
      <c r="B3030" s="1">
        <v>400615</v>
      </c>
    </row>
    <row r="3031" spans="1:2" x14ac:dyDescent="0.3">
      <c r="A3031" s="1">
        <v>80923</v>
      </c>
      <c r="B3031" s="1">
        <v>400615</v>
      </c>
    </row>
    <row r="3032" spans="1:2" x14ac:dyDescent="0.3">
      <c r="A3032" s="1">
        <v>80923</v>
      </c>
      <c r="B3032" s="1">
        <v>400615</v>
      </c>
    </row>
    <row r="3033" spans="1:2" x14ac:dyDescent="0.3">
      <c r="A3033" s="1">
        <v>80923</v>
      </c>
      <c r="B3033" s="1">
        <v>400615</v>
      </c>
    </row>
    <row r="3034" spans="1:2" x14ac:dyDescent="0.3">
      <c r="A3034" s="1">
        <v>90123</v>
      </c>
      <c r="B3034" s="1">
        <v>400794</v>
      </c>
    </row>
    <row r="3035" spans="1:2" x14ac:dyDescent="0.3">
      <c r="A3035" s="1">
        <v>90123</v>
      </c>
      <c r="B3035" s="1">
        <v>400794</v>
      </c>
    </row>
    <row r="3036" spans="1:2" x14ac:dyDescent="0.3">
      <c r="A3036" s="1">
        <v>90123</v>
      </c>
      <c r="B3036" s="1">
        <v>400794</v>
      </c>
    </row>
    <row r="3037" spans="1:2" x14ac:dyDescent="0.3">
      <c r="A3037" s="1">
        <v>90123</v>
      </c>
      <c r="B3037" s="1">
        <v>400794</v>
      </c>
    </row>
    <row r="3038" spans="1:2" x14ac:dyDescent="0.3">
      <c r="A3038" s="1">
        <v>90123</v>
      </c>
      <c r="B3038" s="1">
        <v>400794</v>
      </c>
    </row>
    <row r="3039" spans="1:2" x14ac:dyDescent="0.3">
      <c r="A3039" s="1">
        <v>90123</v>
      </c>
      <c r="B3039" s="1">
        <v>400794</v>
      </c>
    </row>
    <row r="3040" spans="1:2" x14ac:dyDescent="0.3">
      <c r="A3040" s="1">
        <v>90123</v>
      </c>
      <c r="B3040" s="1">
        <v>400794</v>
      </c>
    </row>
    <row r="3041" spans="1:2" x14ac:dyDescent="0.3">
      <c r="A3041" s="1">
        <v>90123</v>
      </c>
      <c r="B3041" s="1">
        <v>400794</v>
      </c>
    </row>
    <row r="3042" spans="1:2" x14ac:dyDescent="0.3">
      <c r="A3042" s="1">
        <v>90123</v>
      </c>
      <c r="B3042" s="1">
        <v>400794</v>
      </c>
    </row>
    <row r="3043" spans="1:2" x14ac:dyDescent="0.3">
      <c r="A3043" s="1">
        <v>6363</v>
      </c>
      <c r="B3043" s="1">
        <v>400161</v>
      </c>
    </row>
    <row r="3044" spans="1:2" x14ac:dyDescent="0.3">
      <c r="A3044" s="1">
        <v>6363</v>
      </c>
      <c r="B3044" s="1">
        <v>400161</v>
      </c>
    </row>
    <row r="3045" spans="1:2" x14ac:dyDescent="0.3">
      <c r="A3045" s="1">
        <v>79483</v>
      </c>
      <c r="B3045" s="1">
        <v>400334</v>
      </c>
    </row>
    <row r="3046" spans="1:2" x14ac:dyDescent="0.3">
      <c r="A3046" s="1">
        <v>79483</v>
      </c>
      <c r="B3046" s="1">
        <v>400334</v>
      </c>
    </row>
    <row r="3047" spans="1:2" x14ac:dyDescent="0.3">
      <c r="A3047" s="1">
        <v>4394</v>
      </c>
      <c r="B3047" s="1">
        <v>409160</v>
      </c>
    </row>
    <row r="3048" spans="1:2" x14ac:dyDescent="0.3">
      <c r="A3048" s="1">
        <v>4394</v>
      </c>
      <c r="B3048" s="1">
        <v>409160</v>
      </c>
    </row>
    <row r="3049" spans="1:2" x14ac:dyDescent="0.3">
      <c r="A3049" s="1">
        <v>4394</v>
      </c>
      <c r="B3049" s="1">
        <v>409160</v>
      </c>
    </row>
    <row r="3050" spans="1:2" x14ac:dyDescent="0.3">
      <c r="A3050" s="1">
        <v>4394</v>
      </c>
      <c r="B3050" s="1">
        <v>409160</v>
      </c>
    </row>
    <row r="3051" spans="1:2" x14ac:dyDescent="0.3">
      <c r="A3051" s="1">
        <v>4394</v>
      </c>
      <c r="B3051" s="1">
        <v>409160</v>
      </c>
    </row>
    <row r="3052" spans="1:2" x14ac:dyDescent="0.3">
      <c r="A3052" s="1">
        <v>4394</v>
      </c>
      <c r="B3052" s="1">
        <v>409160</v>
      </c>
    </row>
    <row r="3053" spans="1:2" x14ac:dyDescent="0.3">
      <c r="A3053" s="1">
        <v>4236</v>
      </c>
      <c r="B3053" s="1">
        <v>409190</v>
      </c>
    </row>
    <row r="3054" spans="1:2" x14ac:dyDescent="0.3">
      <c r="A3054" s="1">
        <v>4236</v>
      </c>
      <c r="B3054" s="1">
        <v>409190</v>
      </c>
    </row>
    <row r="3055" spans="1:2" x14ac:dyDescent="0.3">
      <c r="A3055" s="1">
        <v>4236</v>
      </c>
      <c r="B3055" s="1">
        <v>409190</v>
      </c>
    </row>
    <row r="3056" spans="1:2" x14ac:dyDescent="0.3">
      <c r="A3056" s="1">
        <v>4236</v>
      </c>
      <c r="B3056" s="1">
        <v>409190</v>
      </c>
    </row>
    <row r="3057" spans="1:2" x14ac:dyDescent="0.3">
      <c r="A3057" s="1">
        <v>4236</v>
      </c>
      <c r="B3057" s="1">
        <v>409190</v>
      </c>
    </row>
    <row r="3058" spans="1:2" x14ac:dyDescent="0.3">
      <c r="A3058" s="1">
        <v>4236</v>
      </c>
      <c r="B3058" s="1">
        <v>409190</v>
      </c>
    </row>
    <row r="3059" spans="1:2" x14ac:dyDescent="0.3">
      <c r="A3059" s="1">
        <v>88227</v>
      </c>
      <c r="B3059" s="1">
        <v>400436</v>
      </c>
    </row>
    <row r="3060" spans="1:2" x14ac:dyDescent="0.3">
      <c r="A3060" s="1">
        <v>88227</v>
      </c>
      <c r="B3060" s="1">
        <v>400436</v>
      </c>
    </row>
    <row r="3061" spans="1:2" x14ac:dyDescent="0.3">
      <c r="A3061" s="1">
        <v>4170</v>
      </c>
      <c r="B3061" s="1">
        <v>409250</v>
      </c>
    </row>
    <row r="3062" spans="1:2" x14ac:dyDescent="0.3">
      <c r="A3062" s="1">
        <v>4170</v>
      </c>
      <c r="B3062" s="1">
        <v>409250</v>
      </c>
    </row>
    <row r="3063" spans="1:2" x14ac:dyDescent="0.3">
      <c r="A3063" s="1">
        <v>4170</v>
      </c>
      <c r="B3063" s="1">
        <v>409250</v>
      </c>
    </row>
    <row r="3064" spans="1:2" x14ac:dyDescent="0.3">
      <c r="A3064" s="1">
        <v>4170</v>
      </c>
      <c r="B3064" s="1">
        <v>409250</v>
      </c>
    </row>
    <row r="3065" spans="1:2" x14ac:dyDescent="0.3">
      <c r="A3065" s="1">
        <v>4193</v>
      </c>
      <c r="B3065" s="1">
        <v>409310</v>
      </c>
    </row>
    <row r="3066" spans="1:2" x14ac:dyDescent="0.3">
      <c r="A3066" s="1">
        <v>4193</v>
      </c>
      <c r="B3066" s="1">
        <v>409310</v>
      </c>
    </row>
    <row r="3067" spans="1:2" x14ac:dyDescent="0.3">
      <c r="A3067" s="1">
        <v>4193</v>
      </c>
      <c r="B3067" s="1">
        <v>409310</v>
      </c>
    </row>
    <row r="3068" spans="1:2" x14ac:dyDescent="0.3">
      <c r="A3068" s="1">
        <v>4475</v>
      </c>
      <c r="B3068" s="1">
        <v>409360</v>
      </c>
    </row>
    <row r="3069" spans="1:2" x14ac:dyDescent="0.3">
      <c r="A3069" s="1">
        <v>4261</v>
      </c>
      <c r="B3069" s="1">
        <v>409390</v>
      </c>
    </row>
    <row r="3070" spans="1:2" x14ac:dyDescent="0.3">
      <c r="A3070" s="1">
        <v>4261</v>
      </c>
      <c r="B3070" s="1">
        <v>409390</v>
      </c>
    </row>
    <row r="3071" spans="1:2" x14ac:dyDescent="0.3">
      <c r="A3071" s="1">
        <v>4261</v>
      </c>
      <c r="B3071" s="1">
        <v>409390</v>
      </c>
    </row>
    <row r="3072" spans="1:2" x14ac:dyDescent="0.3">
      <c r="A3072" s="1">
        <v>4154</v>
      </c>
      <c r="B3072" s="1">
        <v>409430</v>
      </c>
    </row>
    <row r="3073" spans="1:2" x14ac:dyDescent="0.3">
      <c r="A3073" s="1">
        <v>4154</v>
      </c>
      <c r="B3073" s="1">
        <v>409430</v>
      </c>
    </row>
    <row r="3074" spans="1:2" x14ac:dyDescent="0.3">
      <c r="A3074" s="1">
        <v>4154</v>
      </c>
      <c r="B3074" s="1">
        <v>409430</v>
      </c>
    </row>
    <row r="3075" spans="1:2" x14ac:dyDescent="0.3">
      <c r="A3075" s="1">
        <v>4154</v>
      </c>
      <c r="B3075" s="1">
        <v>409430</v>
      </c>
    </row>
    <row r="3076" spans="1:2" x14ac:dyDescent="0.3">
      <c r="A3076" s="1">
        <v>4154</v>
      </c>
      <c r="B3076" s="1">
        <v>409430</v>
      </c>
    </row>
    <row r="3077" spans="1:2" x14ac:dyDescent="0.3">
      <c r="A3077" s="1">
        <v>4154</v>
      </c>
      <c r="B3077" s="1">
        <v>409430</v>
      </c>
    </row>
    <row r="3078" spans="1:2" x14ac:dyDescent="0.3">
      <c r="A3078" s="1">
        <v>4154</v>
      </c>
      <c r="B3078" s="1">
        <v>409430</v>
      </c>
    </row>
    <row r="3079" spans="1:2" x14ac:dyDescent="0.3">
      <c r="A3079" s="1">
        <v>4154</v>
      </c>
      <c r="B3079" s="1">
        <v>409430</v>
      </c>
    </row>
    <row r="3080" spans="1:2" x14ac:dyDescent="0.3">
      <c r="A3080" s="1">
        <v>4154</v>
      </c>
      <c r="B3080" s="1">
        <v>409430</v>
      </c>
    </row>
    <row r="3081" spans="1:2" x14ac:dyDescent="0.3">
      <c r="A3081" s="1">
        <v>4154</v>
      </c>
      <c r="B3081" s="1">
        <v>409430</v>
      </c>
    </row>
    <row r="3082" spans="1:2" x14ac:dyDescent="0.3">
      <c r="A3082" s="1">
        <v>4387</v>
      </c>
      <c r="B3082" s="1">
        <v>409460</v>
      </c>
    </row>
    <row r="3083" spans="1:2" x14ac:dyDescent="0.3">
      <c r="A3083" s="1">
        <v>4387</v>
      </c>
      <c r="B3083" s="1">
        <v>409460</v>
      </c>
    </row>
    <row r="3084" spans="1:2" x14ac:dyDescent="0.3">
      <c r="A3084" s="1">
        <v>4387</v>
      </c>
      <c r="B3084" s="1">
        <v>409460</v>
      </c>
    </row>
    <row r="3085" spans="1:2" x14ac:dyDescent="0.3">
      <c r="A3085" s="1">
        <v>4387</v>
      </c>
      <c r="B3085" s="1">
        <v>409460</v>
      </c>
    </row>
    <row r="3086" spans="1:2" x14ac:dyDescent="0.3">
      <c r="A3086" s="1">
        <v>4387</v>
      </c>
      <c r="B3086" s="1">
        <v>409460</v>
      </c>
    </row>
    <row r="3087" spans="1:2" x14ac:dyDescent="0.3">
      <c r="A3087" s="1">
        <v>4387</v>
      </c>
      <c r="B3087" s="1">
        <v>409460</v>
      </c>
    </row>
    <row r="3088" spans="1:2" x14ac:dyDescent="0.3">
      <c r="A3088" s="1">
        <v>4387</v>
      </c>
      <c r="B3088" s="1">
        <v>409460</v>
      </c>
    </row>
    <row r="3089" spans="1:2" x14ac:dyDescent="0.3">
      <c r="A3089" s="1">
        <v>4485</v>
      </c>
      <c r="B3089" s="1">
        <v>409510</v>
      </c>
    </row>
    <row r="3090" spans="1:2" x14ac:dyDescent="0.3">
      <c r="A3090" s="1">
        <v>4485</v>
      </c>
      <c r="B3090" s="1">
        <v>409510</v>
      </c>
    </row>
    <row r="3091" spans="1:2" x14ac:dyDescent="0.3">
      <c r="A3091" s="1">
        <v>79379</v>
      </c>
      <c r="B3091" s="1">
        <v>400315</v>
      </c>
    </row>
    <row r="3092" spans="1:2" x14ac:dyDescent="0.3">
      <c r="A3092" s="1">
        <v>79379</v>
      </c>
      <c r="B3092" s="1">
        <v>400315</v>
      </c>
    </row>
    <row r="3093" spans="1:2" x14ac:dyDescent="0.3">
      <c r="A3093" s="1">
        <v>79379</v>
      </c>
      <c r="B3093" s="1">
        <v>400315</v>
      </c>
    </row>
    <row r="3094" spans="1:2" x14ac:dyDescent="0.3">
      <c r="A3094" s="1">
        <v>79533</v>
      </c>
      <c r="B3094" s="1">
        <v>400460</v>
      </c>
    </row>
    <row r="3095" spans="1:2" x14ac:dyDescent="0.3">
      <c r="A3095" s="1">
        <v>79533</v>
      </c>
      <c r="B3095" s="1">
        <v>400460</v>
      </c>
    </row>
    <row r="3096" spans="1:2" x14ac:dyDescent="0.3">
      <c r="A3096" s="1">
        <v>4213</v>
      </c>
      <c r="B3096" s="1">
        <v>409540</v>
      </c>
    </row>
    <row r="3097" spans="1:2" x14ac:dyDescent="0.3">
      <c r="A3097" s="1">
        <v>4213</v>
      </c>
      <c r="B3097" s="1">
        <v>409540</v>
      </c>
    </row>
    <row r="3098" spans="1:2" x14ac:dyDescent="0.3">
      <c r="A3098" s="1">
        <v>4213</v>
      </c>
      <c r="B3098" s="1">
        <v>409540</v>
      </c>
    </row>
    <row r="3099" spans="1:2" x14ac:dyDescent="0.3">
      <c r="A3099" s="1">
        <v>4385</v>
      </c>
      <c r="B3099" s="1">
        <v>400075</v>
      </c>
    </row>
    <row r="3100" spans="1:2" x14ac:dyDescent="0.3">
      <c r="A3100" s="1">
        <v>4385</v>
      </c>
      <c r="B3100" s="1">
        <v>400075</v>
      </c>
    </row>
    <row r="3101" spans="1:2" x14ac:dyDescent="0.3">
      <c r="A3101" s="1">
        <v>4377</v>
      </c>
      <c r="B3101" s="1">
        <v>409570</v>
      </c>
    </row>
    <row r="3102" spans="1:2" x14ac:dyDescent="0.3">
      <c r="A3102" s="1">
        <v>4377</v>
      </c>
      <c r="B3102" s="1">
        <v>409570</v>
      </c>
    </row>
    <row r="3103" spans="1:2" x14ac:dyDescent="0.3">
      <c r="A3103" s="1">
        <v>79196</v>
      </c>
      <c r="B3103" s="1">
        <v>400835</v>
      </c>
    </row>
    <row r="3104" spans="1:2" x14ac:dyDescent="0.3">
      <c r="A3104" s="1">
        <v>79524</v>
      </c>
      <c r="B3104" s="1">
        <v>400458</v>
      </c>
    </row>
    <row r="3105" spans="1:2" x14ac:dyDescent="0.3">
      <c r="A3105" s="1">
        <v>79524</v>
      </c>
      <c r="B3105" s="1">
        <v>400458</v>
      </c>
    </row>
    <row r="3106" spans="1:2" x14ac:dyDescent="0.3">
      <c r="A3106" s="1">
        <v>79472</v>
      </c>
      <c r="B3106" s="1">
        <v>400773</v>
      </c>
    </row>
    <row r="3107" spans="1:2" x14ac:dyDescent="0.3">
      <c r="A3107" s="1">
        <v>79472</v>
      </c>
      <c r="B3107" s="1">
        <v>400773</v>
      </c>
    </row>
    <row r="3108" spans="1:2" x14ac:dyDescent="0.3">
      <c r="A3108" s="1">
        <v>4499</v>
      </c>
      <c r="B3108" s="1">
        <v>409600</v>
      </c>
    </row>
    <row r="3109" spans="1:2" x14ac:dyDescent="0.3">
      <c r="A3109" s="1">
        <v>4499</v>
      </c>
      <c r="B3109" s="1">
        <v>409600</v>
      </c>
    </row>
    <row r="3110" spans="1:2" x14ac:dyDescent="0.3">
      <c r="A3110" s="1">
        <v>4499</v>
      </c>
      <c r="B3110" s="1">
        <v>409600</v>
      </c>
    </row>
    <row r="3111" spans="1:2" x14ac:dyDescent="0.3">
      <c r="A3111" s="1">
        <v>4499</v>
      </c>
      <c r="B3111" s="1">
        <v>409600</v>
      </c>
    </row>
    <row r="3112" spans="1:2" x14ac:dyDescent="0.3">
      <c r="A3112" s="1">
        <v>4499</v>
      </c>
      <c r="B3112" s="1">
        <v>409600</v>
      </c>
    </row>
    <row r="3113" spans="1:2" x14ac:dyDescent="0.3">
      <c r="A3113" s="1">
        <v>4499</v>
      </c>
      <c r="B3113" s="1">
        <v>409600</v>
      </c>
    </row>
    <row r="3114" spans="1:2" x14ac:dyDescent="0.3">
      <c r="A3114" s="1">
        <v>4499</v>
      </c>
      <c r="B3114" s="1">
        <v>409600</v>
      </c>
    </row>
    <row r="3115" spans="1:2" x14ac:dyDescent="0.3">
      <c r="A3115" s="1">
        <v>4499</v>
      </c>
      <c r="B3115" s="1">
        <v>409600</v>
      </c>
    </row>
    <row r="3116" spans="1:2" x14ac:dyDescent="0.3">
      <c r="A3116" s="1">
        <v>4499</v>
      </c>
      <c r="B3116" s="1">
        <v>409600</v>
      </c>
    </row>
    <row r="3117" spans="1:2" x14ac:dyDescent="0.3">
      <c r="A3117" s="1">
        <v>4499</v>
      </c>
      <c r="B3117" s="1">
        <v>409600</v>
      </c>
    </row>
    <row r="3118" spans="1:2" x14ac:dyDescent="0.3">
      <c r="A3118" s="1">
        <v>4499</v>
      </c>
      <c r="B3118" s="1">
        <v>409600</v>
      </c>
    </row>
    <row r="3119" spans="1:2" x14ac:dyDescent="0.3">
      <c r="A3119" s="1">
        <v>4499</v>
      </c>
      <c r="B3119" s="1">
        <v>409600</v>
      </c>
    </row>
    <row r="3120" spans="1:2" x14ac:dyDescent="0.3">
      <c r="A3120" s="1">
        <v>4499</v>
      </c>
      <c r="B3120" s="1">
        <v>409600</v>
      </c>
    </row>
    <row r="3121" spans="1:2" x14ac:dyDescent="0.3">
      <c r="A3121" s="1">
        <v>4499</v>
      </c>
      <c r="B3121" s="1">
        <v>409600</v>
      </c>
    </row>
    <row r="3122" spans="1:2" x14ac:dyDescent="0.3">
      <c r="A3122" s="1">
        <v>4499</v>
      </c>
      <c r="B3122" s="1">
        <v>409600</v>
      </c>
    </row>
    <row r="3123" spans="1:2" x14ac:dyDescent="0.3">
      <c r="A3123" s="1">
        <v>4499</v>
      </c>
      <c r="B3123" s="1">
        <v>409600</v>
      </c>
    </row>
    <row r="3124" spans="1:2" x14ac:dyDescent="0.3">
      <c r="A3124" s="1">
        <v>4499</v>
      </c>
      <c r="B3124" s="1">
        <v>409600</v>
      </c>
    </row>
    <row r="3125" spans="1:2" x14ac:dyDescent="0.3">
      <c r="A3125" s="1">
        <v>4499</v>
      </c>
      <c r="B3125" s="1">
        <v>409600</v>
      </c>
    </row>
    <row r="3126" spans="1:2" x14ac:dyDescent="0.3">
      <c r="A3126" s="1">
        <v>4499</v>
      </c>
      <c r="B3126" s="1">
        <v>409600</v>
      </c>
    </row>
    <row r="3127" spans="1:2" x14ac:dyDescent="0.3">
      <c r="A3127" s="1">
        <v>4509</v>
      </c>
      <c r="B3127" s="1">
        <v>400095</v>
      </c>
    </row>
    <row r="3128" spans="1:2" x14ac:dyDescent="0.3">
      <c r="A3128" s="1">
        <v>4509</v>
      </c>
      <c r="B3128" s="1">
        <v>400095</v>
      </c>
    </row>
    <row r="3129" spans="1:2" x14ac:dyDescent="0.3">
      <c r="A3129" s="1">
        <v>4507</v>
      </c>
      <c r="B3129" s="1">
        <v>409630</v>
      </c>
    </row>
    <row r="3130" spans="1:2" x14ac:dyDescent="0.3">
      <c r="A3130" s="1">
        <v>4507</v>
      </c>
      <c r="B3130" s="1">
        <v>409630</v>
      </c>
    </row>
    <row r="3131" spans="1:2" x14ac:dyDescent="0.3">
      <c r="A3131" s="1">
        <v>4507</v>
      </c>
      <c r="B3131" s="1">
        <v>409630</v>
      </c>
    </row>
    <row r="3132" spans="1:2" x14ac:dyDescent="0.3">
      <c r="A3132" s="1">
        <v>4507</v>
      </c>
      <c r="B3132" s="1">
        <v>409630</v>
      </c>
    </row>
    <row r="3133" spans="1:2" x14ac:dyDescent="0.3">
      <c r="A3133" s="1">
        <v>4507</v>
      </c>
      <c r="B3133" s="1">
        <v>409630</v>
      </c>
    </row>
    <row r="3134" spans="1:2" x14ac:dyDescent="0.3">
      <c r="A3134" s="1">
        <v>4507</v>
      </c>
      <c r="B3134" s="1">
        <v>409630</v>
      </c>
    </row>
    <row r="3135" spans="1:2" x14ac:dyDescent="0.3">
      <c r="A3135" s="1">
        <v>4507</v>
      </c>
      <c r="B3135" s="1">
        <v>409630</v>
      </c>
    </row>
    <row r="3136" spans="1:2" x14ac:dyDescent="0.3">
      <c r="A3136" s="1">
        <v>4507</v>
      </c>
      <c r="B3136" s="1">
        <v>409630</v>
      </c>
    </row>
  </sheetData>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7"/>
  <sheetViews>
    <sheetView workbookViewId="0">
      <selection activeCell="D16" sqref="D16"/>
    </sheetView>
  </sheetViews>
  <sheetFormatPr defaultColWidth="8.77734375" defaultRowHeight="14.4" x14ac:dyDescent="0.3"/>
  <cols>
    <col min="1" max="1" width="10.109375" bestFit="1" customWidth="1"/>
    <col min="2" max="2" width="19.109375" bestFit="1" customWidth="1"/>
    <col min="3" max="3" width="8.77734375" style="24"/>
    <col min="4" max="4" width="13.44140625" style="24" bestFit="1" customWidth="1"/>
  </cols>
  <sheetData>
    <row r="1" spans="1:4" x14ac:dyDescent="0.3">
      <c r="A1" t="s">
        <v>2</v>
      </c>
      <c r="B1" t="s">
        <v>1408</v>
      </c>
      <c r="C1" s="24" t="s">
        <v>1409</v>
      </c>
      <c r="D1" s="24" t="s">
        <v>1410</v>
      </c>
    </row>
    <row r="2" spans="1:4" x14ac:dyDescent="0.3">
      <c r="A2" t="s">
        <v>103</v>
      </c>
      <c r="B2">
        <v>50</v>
      </c>
      <c r="C2" s="24">
        <f>$B2/$B$17*'Final SEA Counts'!$E$509</f>
        <v>45.785484611851167</v>
      </c>
      <c r="D2" s="24">
        <f>$B2/$B$17*'Final SEA Counts'!$F$509</f>
        <v>23.95498392282958</v>
      </c>
    </row>
    <row r="3" spans="1:4" x14ac:dyDescent="0.3">
      <c r="A3" t="s">
        <v>54</v>
      </c>
      <c r="B3">
        <v>121</v>
      </c>
      <c r="C3" s="24">
        <f>$B3/$B$17*'Final SEA Counts'!$E$509</f>
        <v>110.80087276067982</v>
      </c>
      <c r="D3" s="24">
        <f>$B3/$B$17*'Final SEA Counts'!$F$509</f>
        <v>57.971061093247584</v>
      </c>
    </row>
    <row r="4" spans="1:4" x14ac:dyDescent="0.3">
      <c r="A4" t="s">
        <v>163</v>
      </c>
      <c r="B4">
        <v>73</v>
      </c>
      <c r="C4" s="24">
        <f>$B4/$B$17*'Final SEA Counts'!$E$509</f>
        <v>66.846807533302709</v>
      </c>
      <c r="D4" s="24">
        <f>$B4/$B$17*'Final SEA Counts'!$F$509</f>
        <v>34.974276527331192</v>
      </c>
    </row>
    <row r="5" spans="1:4" x14ac:dyDescent="0.3">
      <c r="A5" t="s">
        <v>131</v>
      </c>
      <c r="B5">
        <v>43</v>
      </c>
      <c r="C5" s="24">
        <f>$B5/$B$17*'Final SEA Counts'!$E$509</f>
        <v>39.375516766192007</v>
      </c>
      <c r="D5" s="24">
        <f>$B5/$B$17*'Final SEA Counts'!$F$509</f>
        <v>20.60128617363344</v>
      </c>
    </row>
    <row r="6" spans="1:4" x14ac:dyDescent="0.3">
      <c r="A6" t="s">
        <v>133</v>
      </c>
      <c r="B6">
        <v>24</v>
      </c>
      <c r="C6" s="24">
        <f>$B6/$B$17*'Final SEA Counts'!$E$509</f>
        <v>21.977032613688561</v>
      </c>
      <c r="D6" s="24">
        <f>$B6/$B$17*'Final SEA Counts'!$F$509</f>
        <v>11.498392282958198</v>
      </c>
    </row>
    <row r="7" spans="1:4" x14ac:dyDescent="0.3">
      <c r="A7" t="s">
        <v>107</v>
      </c>
      <c r="B7">
        <v>14</v>
      </c>
      <c r="C7" s="24">
        <f>$B7/$B$17*'Final SEA Counts'!$E$509</f>
        <v>12.819935691318328</v>
      </c>
      <c r="D7" s="24">
        <f>$B7/$B$17*'Final SEA Counts'!$F$509</f>
        <v>6.707395498392283</v>
      </c>
    </row>
    <row r="8" spans="1:4" x14ac:dyDescent="0.3">
      <c r="A8" t="s">
        <v>70</v>
      </c>
      <c r="B8">
        <v>15</v>
      </c>
      <c r="C8" s="24">
        <f>$B8/$B$17*'Final SEA Counts'!$E$509</f>
        <v>13.735645383555353</v>
      </c>
      <c r="D8" s="24">
        <f>$B8/$B$17*'Final SEA Counts'!$F$509</f>
        <v>7.186495176848875</v>
      </c>
    </row>
    <row r="9" spans="1:4" x14ac:dyDescent="0.3">
      <c r="A9" t="s">
        <v>7</v>
      </c>
      <c r="B9">
        <v>2291</v>
      </c>
      <c r="C9" s="24">
        <f>$B9/$B$17*'Final SEA Counts'!$E$509</f>
        <v>2097.8909049150207</v>
      </c>
      <c r="D9" s="24">
        <f>$B9/$B$17*'Final SEA Counts'!$F$509</f>
        <v>1097.6173633440515</v>
      </c>
    </row>
    <row r="10" spans="1:4" x14ac:dyDescent="0.3">
      <c r="A10" t="s">
        <v>5</v>
      </c>
      <c r="B10">
        <v>413</v>
      </c>
      <c r="C10" s="24">
        <f>$B10/$B$17*'Final SEA Counts'!$E$509</f>
        <v>378.18810289389069</v>
      </c>
      <c r="D10" s="24">
        <f>$B10/$B$17*'Final SEA Counts'!$F$509</f>
        <v>197.86816720257235</v>
      </c>
    </row>
    <row r="11" spans="1:4" x14ac:dyDescent="0.3">
      <c r="A11" t="s">
        <v>73</v>
      </c>
      <c r="B11">
        <v>80</v>
      </c>
      <c r="C11" s="24">
        <f>$B11/$B$17*'Final SEA Counts'!$E$509</f>
        <v>73.256775378961876</v>
      </c>
      <c r="D11" s="24">
        <f>$B11/$B$17*'Final SEA Counts'!$F$509</f>
        <v>38.327974276527328</v>
      </c>
    </row>
    <row r="12" spans="1:4" x14ac:dyDescent="0.3">
      <c r="A12" t="s">
        <v>9</v>
      </c>
      <c r="B12">
        <v>608</v>
      </c>
      <c r="C12" s="24">
        <f>$B12/$B$17*'Final SEA Counts'!$E$509</f>
        <v>556.75149288011028</v>
      </c>
      <c r="D12" s="24">
        <f>$B12/$B$17*'Final SEA Counts'!$F$509</f>
        <v>291.29260450160768</v>
      </c>
    </row>
    <row r="13" spans="1:4" x14ac:dyDescent="0.3">
      <c r="A13" t="s">
        <v>20</v>
      </c>
      <c r="B13">
        <v>315</v>
      </c>
      <c r="C13" s="24">
        <f>$B13/$B$17*'Final SEA Counts'!$E$509</f>
        <v>288.4485530546624</v>
      </c>
      <c r="D13" s="24">
        <f>$B13/$B$17*'Final SEA Counts'!$F$509</f>
        <v>150.91639871382637</v>
      </c>
    </row>
    <row r="14" spans="1:4" x14ac:dyDescent="0.3">
      <c r="A14" t="s">
        <v>284</v>
      </c>
      <c r="B14">
        <v>23</v>
      </c>
      <c r="C14" s="24">
        <f>$B14/$B$17*'Final SEA Counts'!$E$509</f>
        <v>21.061322921451538</v>
      </c>
      <c r="D14" s="24">
        <f>$B14/$B$17*'Final SEA Counts'!$F$509</f>
        <v>11.019292604501608</v>
      </c>
    </row>
    <row r="15" spans="1:4" x14ac:dyDescent="0.3">
      <c r="A15" t="s">
        <v>3</v>
      </c>
      <c r="B15">
        <v>208</v>
      </c>
      <c r="C15" s="24">
        <f>$B15/$B$17*'Final SEA Counts'!$E$509</f>
        <v>190.46761598530088</v>
      </c>
      <c r="D15" s="24">
        <f>$B15/$B$17*'Final SEA Counts'!$F$509</f>
        <v>99.652733118971071</v>
      </c>
    </row>
    <row r="16" spans="1:4" x14ac:dyDescent="0.3">
      <c r="A16" t="s">
        <v>38</v>
      </c>
      <c r="B16">
        <v>76</v>
      </c>
      <c r="C16" s="24">
        <f>$B16/$B$17*'Final SEA Counts'!$E$509</f>
        <v>69.593936610013785</v>
      </c>
      <c r="D16" s="24">
        <f>$B16/$B$17*'Final SEA Counts'!$F$509</f>
        <v>36.411575562700961</v>
      </c>
    </row>
    <row r="17" spans="2:4" x14ac:dyDescent="0.3">
      <c r="B17">
        <v>4354</v>
      </c>
      <c r="C17" s="24">
        <f>SUM(C2:C16)</f>
        <v>3986.9999999999991</v>
      </c>
      <c r="D17" s="24">
        <f>SUM(D2:D16)</f>
        <v>2085.9999999999995</v>
      </c>
    </row>
  </sheetData>
  <pageMargins left="0.7" right="0.7" top="0.75" bottom="0.75" header="0.3" footer="0.3"/>
  <pageSetup orientation="portrait" verticalDpi="0"/>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26"/>
  <sheetViews>
    <sheetView workbookViewId="0"/>
  </sheetViews>
  <sheetFormatPr defaultColWidth="8.77734375" defaultRowHeight="14.4" x14ac:dyDescent="0.3"/>
  <cols>
    <col min="3" max="3" width="8.77734375" style="47"/>
    <col min="4" max="4" width="41.44140625" bestFit="1" customWidth="1"/>
    <col min="5" max="5" width="18" bestFit="1" customWidth="1"/>
    <col min="6" max="6" width="12.6640625" bestFit="1" customWidth="1"/>
  </cols>
  <sheetData>
    <row r="1" spans="1:6" x14ac:dyDescent="0.3">
      <c r="E1" t="s">
        <v>1383</v>
      </c>
    </row>
    <row r="2" spans="1:6" x14ac:dyDescent="0.3">
      <c r="D2" t="s">
        <v>1382</v>
      </c>
      <c r="E2" t="s">
        <v>1381</v>
      </c>
    </row>
    <row r="3" spans="1:6" x14ac:dyDescent="0.3">
      <c r="A3" t="s">
        <v>1019</v>
      </c>
      <c r="B3" t="s">
        <v>1380</v>
      </c>
      <c r="C3" s="47" t="s">
        <v>559</v>
      </c>
      <c r="D3" t="s">
        <v>1379</v>
      </c>
      <c r="E3" t="s">
        <v>1378</v>
      </c>
      <c r="F3" t="s">
        <v>1377</v>
      </c>
    </row>
    <row r="4" spans="1:6" x14ac:dyDescent="0.3">
      <c r="A4" t="s">
        <v>1122</v>
      </c>
      <c r="B4">
        <v>401080</v>
      </c>
      <c r="C4" s="47">
        <v>4481</v>
      </c>
      <c r="D4" t="s">
        <v>66</v>
      </c>
      <c r="E4">
        <v>40</v>
      </c>
      <c r="F4" s="31">
        <f>E4/$E$25*$E$26</f>
        <v>52612.364324315771</v>
      </c>
    </row>
    <row r="5" spans="1:6" x14ac:dyDescent="0.3">
      <c r="A5" t="s">
        <v>1122</v>
      </c>
      <c r="B5">
        <v>401680</v>
      </c>
      <c r="C5" s="47">
        <v>4282</v>
      </c>
      <c r="D5" t="s">
        <v>91</v>
      </c>
      <c r="E5">
        <v>13</v>
      </c>
      <c r="F5" s="31">
        <f t="shared" ref="F5:F24" si="0">E5/$E$25*$E$26</f>
        <v>17099.018405402625</v>
      </c>
    </row>
    <row r="6" spans="1:6" x14ac:dyDescent="0.3">
      <c r="A6" t="s">
        <v>1122</v>
      </c>
      <c r="B6">
        <v>401870</v>
      </c>
      <c r="C6" s="47">
        <v>4242</v>
      </c>
      <c r="D6" t="s">
        <v>591</v>
      </c>
      <c r="E6">
        <v>3</v>
      </c>
      <c r="F6" s="31">
        <f t="shared" si="0"/>
        <v>3945.9273243236826</v>
      </c>
    </row>
    <row r="7" spans="1:6" x14ac:dyDescent="0.3">
      <c r="A7" t="s">
        <v>1122</v>
      </c>
      <c r="B7">
        <v>402860</v>
      </c>
      <c r="C7" s="47">
        <v>4192</v>
      </c>
      <c r="D7" t="s">
        <v>164</v>
      </c>
      <c r="E7">
        <v>35</v>
      </c>
      <c r="F7" s="31">
        <f t="shared" si="0"/>
        <v>46035.818783776296</v>
      </c>
    </row>
    <row r="8" spans="1:6" x14ac:dyDescent="0.3">
      <c r="A8" t="s">
        <v>1122</v>
      </c>
      <c r="B8">
        <v>403500</v>
      </c>
      <c r="C8" s="47">
        <v>4208</v>
      </c>
      <c r="D8" t="s">
        <v>185</v>
      </c>
      <c r="E8">
        <v>8</v>
      </c>
      <c r="F8" s="31">
        <f t="shared" si="0"/>
        <v>10522.472864863154</v>
      </c>
    </row>
    <row r="9" spans="1:6" x14ac:dyDescent="0.3">
      <c r="A9" t="s">
        <v>1122</v>
      </c>
      <c r="B9">
        <v>403820</v>
      </c>
      <c r="C9" s="47">
        <v>4389</v>
      </c>
      <c r="D9" t="s">
        <v>199</v>
      </c>
      <c r="E9">
        <v>20</v>
      </c>
      <c r="F9" s="31">
        <f t="shared" si="0"/>
        <v>26306.182162157886</v>
      </c>
    </row>
    <row r="10" spans="1:6" x14ac:dyDescent="0.3">
      <c r="A10" t="s">
        <v>1122</v>
      </c>
      <c r="B10">
        <v>403870</v>
      </c>
      <c r="C10" s="47">
        <v>4469</v>
      </c>
      <c r="D10" t="s">
        <v>200</v>
      </c>
      <c r="E10">
        <v>148</v>
      </c>
      <c r="F10" s="31">
        <f t="shared" si="0"/>
        <v>194665.74799996833</v>
      </c>
    </row>
    <row r="11" spans="1:6" x14ac:dyDescent="0.3">
      <c r="A11" t="s">
        <v>1122</v>
      </c>
      <c r="B11">
        <v>403950</v>
      </c>
      <c r="C11" s="47">
        <v>4412</v>
      </c>
      <c r="D11" t="s">
        <v>588</v>
      </c>
      <c r="E11">
        <v>13</v>
      </c>
      <c r="F11" s="31">
        <f t="shared" si="0"/>
        <v>17099.018405402625</v>
      </c>
    </row>
    <row r="12" spans="1:6" x14ac:dyDescent="0.3">
      <c r="A12" t="s">
        <v>1122</v>
      </c>
      <c r="B12">
        <v>404280</v>
      </c>
      <c r="C12" s="47">
        <v>4368</v>
      </c>
      <c r="D12" t="s">
        <v>246</v>
      </c>
      <c r="E12">
        <v>6</v>
      </c>
      <c r="F12" s="31">
        <f t="shared" si="0"/>
        <v>7891.8546486473651</v>
      </c>
    </row>
    <row r="13" spans="1:6" x14ac:dyDescent="0.3">
      <c r="A13" t="s">
        <v>1122</v>
      </c>
      <c r="B13">
        <v>404630</v>
      </c>
      <c r="C13" s="47">
        <v>4404</v>
      </c>
      <c r="D13" t="s">
        <v>269</v>
      </c>
      <c r="E13">
        <v>7</v>
      </c>
      <c r="F13" s="31">
        <f t="shared" si="0"/>
        <v>9207.1637567552607</v>
      </c>
    </row>
    <row r="14" spans="1:6" x14ac:dyDescent="0.3">
      <c r="A14" t="s">
        <v>1122</v>
      </c>
      <c r="B14">
        <v>404970</v>
      </c>
      <c r="C14" s="47">
        <v>4235</v>
      </c>
      <c r="D14" t="s">
        <v>282</v>
      </c>
      <c r="E14">
        <v>138</v>
      </c>
      <c r="F14" s="31">
        <f t="shared" si="0"/>
        <v>181512.65691888941</v>
      </c>
    </row>
    <row r="15" spans="1:6" x14ac:dyDescent="0.3">
      <c r="A15" t="s">
        <v>1122</v>
      </c>
      <c r="B15">
        <v>405530</v>
      </c>
      <c r="C15" s="47">
        <v>4457</v>
      </c>
      <c r="D15" t="s">
        <v>306</v>
      </c>
      <c r="E15">
        <v>7</v>
      </c>
      <c r="F15" s="31">
        <f t="shared" si="0"/>
        <v>9207.1637567552607</v>
      </c>
    </row>
    <row r="16" spans="1:6" x14ac:dyDescent="0.3">
      <c r="A16" t="s">
        <v>1122</v>
      </c>
      <c r="B16">
        <v>405670</v>
      </c>
      <c r="C16" s="47">
        <v>4262</v>
      </c>
      <c r="D16" t="s">
        <v>312</v>
      </c>
      <c r="E16">
        <v>8</v>
      </c>
      <c r="F16" s="31">
        <f t="shared" si="0"/>
        <v>10522.472864863154</v>
      </c>
    </row>
    <row r="17" spans="1:6" x14ac:dyDescent="0.3">
      <c r="A17" t="s">
        <v>1122</v>
      </c>
      <c r="B17">
        <v>406120</v>
      </c>
      <c r="C17" s="47">
        <v>4369</v>
      </c>
      <c r="D17" t="s">
        <v>331</v>
      </c>
      <c r="E17">
        <v>8</v>
      </c>
      <c r="F17" s="31">
        <f t="shared" si="0"/>
        <v>10522.472864863154</v>
      </c>
    </row>
    <row r="18" spans="1:6" x14ac:dyDescent="0.3">
      <c r="A18" t="s">
        <v>1122</v>
      </c>
      <c r="B18">
        <v>406250</v>
      </c>
      <c r="C18" s="47">
        <v>4237</v>
      </c>
      <c r="D18" t="s">
        <v>335</v>
      </c>
      <c r="E18">
        <v>19</v>
      </c>
      <c r="F18" s="31">
        <f t="shared" si="0"/>
        <v>24990.873054049989</v>
      </c>
    </row>
    <row r="19" spans="1:6" x14ac:dyDescent="0.3">
      <c r="A19" t="s">
        <v>1122</v>
      </c>
      <c r="B19">
        <v>406330</v>
      </c>
      <c r="C19" s="47">
        <v>4286</v>
      </c>
      <c r="D19" t="s">
        <v>339</v>
      </c>
      <c r="E19">
        <v>250</v>
      </c>
      <c r="F19" s="31">
        <f t="shared" si="0"/>
        <v>328827.27702697355</v>
      </c>
    </row>
    <row r="20" spans="1:6" x14ac:dyDescent="0.3">
      <c r="A20" t="s">
        <v>1122</v>
      </c>
      <c r="B20">
        <v>406730</v>
      </c>
      <c r="C20" s="47">
        <v>4466</v>
      </c>
      <c r="D20" t="s">
        <v>352</v>
      </c>
      <c r="E20">
        <v>44</v>
      </c>
      <c r="F20" s="31">
        <f t="shared" si="0"/>
        <v>57873.600756747343</v>
      </c>
    </row>
    <row r="21" spans="1:6" x14ac:dyDescent="0.3">
      <c r="A21" t="s">
        <v>1122</v>
      </c>
      <c r="B21">
        <v>406960</v>
      </c>
      <c r="C21" s="47">
        <v>4210</v>
      </c>
      <c r="D21" t="s">
        <v>370</v>
      </c>
      <c r="E21">
        <v>20</v>
      </c>
      <c r="F21" s="31">
        <f t="shared" si="0"/>
        <v>26306.182162157886</v>
      </c>
    </row>
    <row r="22" spans="1:6" x14ac:dyDescent="0.3">
      <c r="A22" t="s">
        <v>1122</v>
      </c>
      <c r="B22">
        <v>407240</v>
      </c>
      <c r="C22" s="47">
        <v>4218</v>
      </c>
      <c r="D22" t="s">
        <v>366</v>
      </c>
      <c r="E22">
        <v>10</v>
      </c>
      <c r="F22" s="31">
        <f t="shared" si="0"/>
        <v>13153.091081078943</v>
      </c>
    </row>
    <row r="23" spans="1:6" x14ac:dyDescent="0.3">
      <c r="A23" t="s">
        <v>1122</v>
      </c>
      <c r="B23">
        <v>407570</v>
      </c>
      <c r="C23" s="47">
        <v>4240</v>
      </c>
      <c r="D23" t="s">
        <v>379</v>
      </c>
      <c r="E23">
        <v>44</v>
      </c>
      <c r="F23" s="31">
        <f t="shared" si="0"/>
        <v>57873.600756747343</v>
      </c>
    </row>
    <row r="24" spans="1:6" x14ac:dyDescent="0.3">
      <c r="A24" t="s">
        <v>1122</v>
      </c>
      <c r="B24">
        <v>409630</v>
      </c>
      <c r="C24" s="47">
        <v>4507</v>
      </c>
      <c r="D24" t="s">
        <v>453</v>
      </c>
      <c r="E24">
        <v>54</v>
      </c>
      <c r="F24" s="31">
        <f t="shared" si="0"/>
        <v>71026.691837826293</v>
      </c>
    </row>
    <row r="25" spans="1:6" x14ac:dyDescent="0.3">
      <c r="E25">
        <f>SUM(E4:E24)</f>
        <v>895</v>
      </c>
      <c r="F25" s="31">
        <f>SUM(F4:F24)</f>
        <v>1177201.6517565651</v>
      </c>
    </row>
    <row r="26" spans="1:6" x14ac:dyDescent="0.3">
      <c r="E26" s="31">
        <f>Allocation!O235</f>
        <v>1177201.6517565653</v>
      </c>
    </row>
  </sheetData>
  <pageMargins left="0.7" right="0.7" top="0.75" bottom="0.75" header="0.3" footer="0.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30"/>
  <sheetViews>
    <sheetView workbookViewId="0"/>
  </sheetViews>
  <sheetFormatPr defaultColWidth="8.77734375" defaultRowHeight="14.4" x14ac:dyDescent="0.3"/>
  <cols>
    <col min="3" max="3" width="37.33203125" bestFit="1" customWidth="1"/>
    <col min="5" max="5" width="14.6640625" style="31" bestFit="1" customWidth="1"/>
    <col min="6" max="6" width="16" bestFit="1" customWidth="1"/>
    <col min="7" max="7" width="11.109375" bestFit="1" customWidth="1"/>
  </cols>
  <sheetData>
    <row r="1" spans="1:7" x14ac:dyDescent="0.3">
      <c r="A1" t="s">
        <v>1373</v>
      </c>
    </row>
    <row r="2" spans="1:7" x14ac:dyDescent="0.3">
      <c r="A2" t="s">
        <v>1250</v>
      </c>
    </row>
    <row r="3" spans="1:7" x14ac:dyDescent="0.3">
      <c r="A3" t="s">
        <v>557</v>
      </c>
      <c r="B3" t="s">
        <v>559</v>
      </c>
      <c r="C3" t="s">
        <v>1114</v>
      </c>
      <c r="D3" t="s">
        <v>1244</v>
      </c>
      <c r="E3" s="31" t="s">
        <v>1376</v>
      </c>
      <c r="F3" t="s">
        <v>922</v>
      </c>
      <c r="G3" t="s">
        <v>1377</v>
      </c>
    </row>
    <row r="4" spans="1:7" x14ac:dyDescent="0.3">
      <c r="A4" t="s">
        <v>1219</v>
      </c>
      <c r="B4">
        <v>4412</v>
      </c>
      <c r="C4" t="s">
        <v>61</v>
      </c>
      <c r="D4">
        <v>854.43179999999995</v>
      </c>
      <c r="E4" s="31">
        <f>D4/$D$29*$E$30</f>
        <v>19920.586878444872</v>
      </c>
      <c r="F4" s="31">
        <f>E4*0.05</f>
        <v>996.0293439222437</v>
      </c>
      <c r="G4" s="31">
        <f>E4-F4</f>
        <v>18924.557534522628</v>
      </c>
    </row>
    <row r="5" spans="1:7" x14ac:dyDescent="0.3">
      <c r="A5" t="s">
        <v>1216</v>
      </c>
      <c r="B5">
        <v>4397</v>
      </c>
      <c r="C5" t="s">
        <v>806</v>
      </c>
      <c r="D5">
        <v>1891.2511</v>
      </c>
      <c r="E5" s="31">
        <f t="shared" ref="E5:E28" si="0">D5/$D$29*$E$30</f>
        <v>44093.433608749619</v>
      </c>
      <c r="F5" s="31">
        <f t="shared" ref="F5:F28" si="1">E5*0.05</f>
        <v>2204.671680437481</v>
      </c>
      <c r="G5" s="31">
        <f t="shared" ref="G5:G28" si="2">E5-F5</f>
        <v>41888.761928312138</v>
      </c>
    </row>
    <row r="6" spans="1:7" x14ac:dyDescent="0.3">
      <c r="A6" t="s">
        <v>1211</v>
      </c>
      <c r="B6">
        <v>4400</v>
      </c>
      <c r="C6" t="s">
        <v>88</v>
      </c>
      <c r="D6">
        <v>20.3139</v>
      </c>
      <c r="E6" s="31">
        <f t="shared" si="0"/>
        <v>473.60691606988564</v>
      </c>
      <c r="F6" s="31">
        <f t="shared" si="1"/>
        <v>23.680345803494284</v>
      </c>
      <c r="G6" s="31">
        <f t="shared" si="2"/>
        <v>449.92657026639137</v>
      </c>
    </row>
    <row r="7" spans="1:7" x14ac:dyDescent="0.3">
      <c r="A7" t="s">
        <v>1374</v>
      </c>
      <c r="B7">
        <v>4158</v>
      </c>
      <c r="C7" t="s">
        <v>102</v>
      </c>
      <c r="D7">
        <v>2979.7035999999998</v>
      </c>
      <c r="E7" s="31">
        <f t="shared" si="0"/>
        <v>69470.078753874739</v>
      </c>
      <c r="F7" s="31">
        <f t="shared" si="1"/>
        <v>3473.503937693737</v>
      </c>
      <c r="G7" s="31">
        <f t="shared" si="2"/>
        <v>65996.574816181004</v>
      </c>
    </row>
    <row r="8" spans="1:7" x14ac:dyDescent="0.3">
      <c r="A8" t="s">
        <v>1208</v>
      </c>
      <c r="B8">
        <v>6258</v>
      </c>
      <c r="C8" t="s">
        <v>130</v>
      </c>
      <c r="D8">
        <v>258.80599999999998</v>
      </c>
      <c r="E8" s="31">
        <f t="shared" si="0"/>
        <v>6033.9133066709401</v>
      </c>
      <c r="F8" s="31">
        <f t="shared" si="1"/>
        <v>301.69566533354703</v>
      </c>
      <c r="G8" s="31">
        <f t="shared" si="2"/>
        <v>5732.2176413373927</v>
      </c>
    </row>
    <row r="9" spans="1:7" x14ac:dyDescent="0.3">
      <c r="A9" t="s">
        <v>1206</v>
      </c>
      <c r="B9">
        <v>79211</v>
      </c>
      <c r="C9" t="s">
        <v>149</v>
      </c>
      <c r="D9">
        <v>266.76010000000002</v>
      </c>
      <c r="E9" s="31">
        <f t="shared" si="0"/>
        <v>6219.35858163594</v>
      </c>
      <c r="F9" s="31">
        <f t="shared" si="1"/>
        <v>310.96792908179702</v>
      </c>
      <c r="G9" s="31">
        <f t="shared" si="2"/>
        <v>5908.3906525541433</v>
      </c>
    </row>
    <row r="10" spans="1:7" x14ac:dyDescent="0.3">
      <c r="A10" t="s">
        <v>1203</v>
      </c>
      <c r="B10">
        <v>79973</v>
      </c>
      <c r="C10" t="s">
        <v>170</v>
      </c>
      <c r="D10">
        <v>100.6756</v>
      </c>
      <c r="E10" s="31">
        <f t="shared" si="0"/>
        <v>2347.1938150471046</v>
      </c>
      <c r="F10" s="31">
        <f t="shared" si="1"/>
        <v>117.35969075235523</v>
      </c>
      <c r="G10" s="31">
        <f t="shared" si="2"/>
        <v>2229.8341242947495</v>
      </c>
    </row>
    <row r="11" spans="1:7" x14ac:dyDescent="0.3">
      <c r="A11" t="s">
        <v>1198</v>
      </c>
      <c r="B11">
        <v>4208</v>
      </c>
      <c r="C11" t="s">
        <v>185</v>
      </c>
      <c r="D11">
        <v>1458.0584999999999</v>
      </c>
      <c r="E11" s="31">
        <f t="shared" si="0"/>
        <v>33993.796840315415</v>
      </c>
      <c r="F11" s="31">
        <f t="shared" si="1"/>
        <v>1699.6898420157709</v>
      </c>
      <c r="G11" s="31">
        <f t="shared" si="2"/>
        <v>32294.106998299645</v>
      </c>
    </row>
    <row r="12" spans="1:7" x14ac:dyDescent="0.3">
      <c r="A12" t="s">
        <v>1195</v>
      </c>
      <c r="B12">
        <v>4389</v>
      </c>
      <c r="C12" t="s">
        <v>199</v>
      </c>
      <c r="D12">
        <v>402.04330000000004</v>
      </c>
      <c r="E12" s="31">
        <f t="shared" si="0"/>
        <v>9373.4087220848724</v>
      </c>
      <c r="F12" s="31">
        <f t="shared" si="1"/>
        <v>468.67043610424366</v>
      </c>
      <c r="G12" s="31">
        <f t="shared" si="2"/>
        <v>8904.7382859806294</v>
      </c>
    </row>
    <row r="13" spans="1:7" x14ac:dyDescent="0.3">
      <c r="A13" t="s">
        <v>1192</v>
      </c>
      <c r="B13">
        <v>89786</v>
      </c>
      <c r="C13" t="s">
        <v>207</v>
      </c>
      <c r="D13">
        <v>617.68089999999995</v>
      </c>
      <c r="E13" s="31">
        <f t="shared" si="0"/>
        <v>14400.87556620203</v>
      </c>
      <c r="F13" s="31">
        <f t="shared" si="1"/>
        <v>720.04377831010152</v>
      </c>
      <c r="G13" s="31">
        <f t="shared" si="2"/>
        <v>13680.83178789193</v>
      </c>
    </row>
    <row r="14" spans="1:7" x14ac:dyDescent="0.3">
      <c r="A14" t="s">
        <v>1189</v>
      </c>
      <c r="B14">
        <v>4396</v>
      </c>
      <c r="C14" t="s">
        <v>239</v>
      </c>
      <c r="D14">
        <v>1510.6865</v>
      </c>
      <c r="E14" s="31">
        <f t="shared" si="0"/>
        <v>35220.788446010338</v>
      </c>
      <c r="F14" s="31">
        <f t="shared" si="1"/>
        <v>1761.0394223005169</v>
      </c>
      <c r="G14" s="31">
        <f t="shared" si="2"/>
        <v>33459.749023709825</v>
      </c>
    </row>
    <row r="15" spans="1:7" x14ac:dyDescent="0.3">
      <c r="A15" t="s">
        <v>1183</v>
      </c>
      <c r="B15">
        <v>4211</v>
      </c>
      <c r="C15" t="s">
        <v>285</v>
      </c>
      <c r="D15">
        <v>956.31859999999995</v>
      </c>
      <c r="E15" s="31">
        <f t="shared" si="0"/>
        <v>22296.019126128933</v>
      </c>
      <c r="F15" s="31">
        <f t="shared" si="1"/>
        <v>1114.8009563064468</v>
      </c>
      <c r="G15" s="31">
        <f t="shared" si="2"/>
        <v>21181.218169822485</v>
      </c>
    </row>
    <row r="16" spans="1:7" x14ac:dyDescent="0.3">
      <c r="A16" t="s">
        <v>1177</v>
      </c>
      <c r="B16">
        <v>4457</v>
      </c>
      <c r="C16" t="s">
        <v>306</v>
      </c>
      <c r="D16">
        <v>5133.7595999999994</v>
      </c>
      <c r="E16" s="31">
        <f t="shared" si="0"/>
        <v>119690.65772698347</v>
      </c>
      <c r="F16" s="31">
        <f t="shared" si="1"/>
        <v>5984.5328863491741</v>
      </c>
      <c r="G16" s="31">
        <f t="shared" si="2"/>
        <v>113706.12484063429</v>
      </c>
    </row>
    <row r="17" spans="1:7" x14ac:dyDescent="0.3">
      <c r="A17" t="s">
        <v>1174</v>
      </c>
      <c r="B17">
        <v>4180</v>
      </c>
      <c r="C17" t="s">
        <v>319</v>
      </c>
      <c r="D17">
        <v>917.92410000000007</v>
      </c>
      <c r="E17" s="31">
        <f t="shared" si="0"/>
        <v>21400.873401327433</v>
      </c>
      <c r="F17" s="31">
        <f t="shared" si="1"/>
        <v>1070.0436700663718</v>
      </c>
      <c r="G17" s="31">
        <f t="shared" si="2"/>
        <v>20330.829731261063</v>
      </c>
    </row>
    <row r="18" spans="1:7" x14ac:dyDescent="0.3">
      <c r="A18" t="s">
        <v>1170</v>
      </c>
      <c r="B18">
        <v>4510</v>
      </c>
      <c r="C18" t="s">
        <v>325</v>
      </c>
      <c r="D18">
        <v>1235.1398999999999</v>
      </c>
      <c r="E18" s="31">
        <f t="shared" si="0"/>
        <v>28796.577661299252</v>
      </c>
      <c r="F18" s="31">
        <f t="shared" si="1"/>
        <v>1439.8288830649626</v>
      </c>
      <c r="G18" s="31">
        <f t="shared" si="2"/>
        <v>27356.748778234291</v>
      </c>
    </row>
    <row r="19" spans="1:7" x14ac:dyDescent="0.3">
      <c r="A19" t="s">
        <v>1167</v>
      </c>
      <c r="B19">
        <v>4209</v>
      </c>
      <c r="C19" t="s">
        <v>330</v>
      </c>
      <c r="D19">
        <v>2075.4694999999997</v>
      </c>
      <c r="E19" s="31">
        <f t="shared" si="0"/>
        <v>48388.37984296996</v>
      </c>
      <c r="F19" s="31">
        <f t="shared" si="1"/>
        <v>2419.4189921484981</v>
      </c>
      <c r="G19" s="31">
        <f t="shared" si="2"/>
        <v>45968.960850821459</v>
      </c>
    </row>
    <row r="20" spans="1:7" x14ac:dyDescent="0.3">
      <c r="A20" t="s">
        <v>1154</v>
      </c>
      <c r="B20">
        <v>4210</v>
      </c>
      <c r="C20" t="s">
        <v>370</v>
      </c>
      <c r="D20">
        <v>1301.2208000000001</v>
      </c>
      <c r="E20" s="31">
        <f t="shared" si="0"/>
        <v>30337.215907038506</v>
      </c>
      <c r="F20" s="31">
        <f t="shared" si="1"/>
        <v>1516.8607953519254</v>
      </c>
      <c r="G20" s="31">
        <f t="shared" si="2"/>
        <v>28820.355111686582</v>
      </c>
    </row>
    <row r="21" spans="1:7" x14ac:dyDescent="0.3">
      <c r="A21" t="s">
        <v>1151</v>
      </c>
      <c r="B21">
        <v>4458</v>
      </c>
      <c r="C21" t="s">
        <v>376</v>
      </c>
      <c r="D21">
        <v>3095.4960000000001</v>
      </c>
      <c r="E21" s="31">
        <f t="shared" si="0"/>
        <v>72169.712082203157</v>
      </c>
      <c r="F21" s="31">
        <f t="shared" si="1"/>
        <v>3608.485604110158</v>
      </c>
      <c r="G21" s="31">
        <f t="shared" si="2"/>
        <v>68561.226478092998</v>
      </c>
    </row>
    <row r="22" spans="1:7" x14ac:dyDescent="0.3">
      <c r="A22" t="s">
        <v>1148</v>
      </c>
      <c r="B22">
        <v>4393</v>
      </c>
      <c r="C22" t="s">
        <v>383</v>
      </c>
      <c r="D22">
        <v>2129.0953999999997</v>
      </c>
      <c r="E22" s="31">
        <f t="shared" si="0"/>
        <v>49638.636914259667</v>
      </c>
      <c r="F22" s="31">
        <f t="shared" si="1"/>
        <v>2481.9318457129834</v>
      </c>
      <c r="G22" s="31">
        <f t="shared" si="2"/>
        <v>47156.705068546682</v>
      </c>
    </row>
    <row r="23" spans="1:7" x14ac:dyDescent="0.3">
      <c r="A23" t="s">
        <v>1144</v>
      </c>
      <c r="B23">
        <v>4391</v>
      </c>
      <c r="C23" t="s">
        <v>388</v>
      </c>
      <c r="D23">
        <v>2310.7013000000002</v>
      </c>
      <c r="E23" s="31">
        <f t="shared" si="0"/>
        <v>53872.674210844583</v>
      </c>
      <c r="F23" s="31">
        <f t="shared" si="1"/>
        <v>2693.6337105422294</v>
      </c>
      <c r="G23" s="31">
        <f t="shared" si="2"/>
        <v>51179.040500302355</v>
      </c>
    </row>
    <row r="24" spans="1:7" x14ac:dyDescent="0.3">
      <c r="A24" t="s">
        <v>1375</v>
      </c>
      <c r="B24">
        <v>4153</v>
      </c>
      <c r="C24" t="s">
        <v>472</v>
      </c>
      <c r="D24">
        <v>770.04200000000003</v>
      </c>
      <c r="E24" s="31">
        <f t="shared" si="0"/>
        <v>17953.087140543517</v>
      </c>
      <c r="F24" s="31">
        <f t="shared" si="1"/>
        <v>897.65435702717593</v>
      </c>
      <c r="G24" s="31">
        <f t="shared" si="2"/>
        <v>17055.432783516342</v>
      </c>
    </row>
    <row r="25" spans="1:7" x14ac:dyDescent="0.3">
      <c r="A25" t="s">
        <v>1134</v>
      </c>
      <c r="B25">
        <v>4394</v>
      </c>
      <c r="C25" t="s">
        <v>441</v>
      </c>
      <c r="D25">
        <v>1903.1836000000001</v>
      </c>
      <c r="E25" s="31">
        <f t="shared" si="0"/>
        <v>44371.632995672073</v>
      </c>
      <c r="F25" s="31">
        <f t="shared" si="1"/>
        <v>2218.5816497836036</v>
      </c>
      <c r="G25" s="31">
        <f t="shared" si="2"/>
        <v>42153.051345888467</v>
      </c>
    </row>
    <row r="26" spans="1:7" x14ac:dyDescent="0.3">
      <c r="A26" t="s">
        <v>1131</v>
      </c>
      <c r="B26">
        <v>4236</v>
      </c>
      <c r="C26" t="s">
        <v>442</v>
      </c>
      <c r="D26">
        <v>1260.5042000000001</v>
      </c>
      <c r="E26" s="31">
        <f t="shared" si="0"/>
        <v>29387.931753879777</v>
      </c>
      <c r="F26" s="31">
        <f t="shared" si="1"/>
        <v>1469.396587693989</v>
      </c>
      <c r="G26" s="31">
        <f t="shared" si="2"/>
        <v>27918.535166185789</v>
      </c>
    </row>
    <row r="27" spans="1:7" x14ac:dyDescent="0.3">
      <c r="A27" t="s">
        <v>1127</v>
      </c>
      <c r="B27">
        <v>4154</v>
      </c>
      <c r="C27" t="s">
        <v>446</v>
      </c>
      <c r="D27">
        <v>1665.5428999999999</v>
      </c>
      <c r="E27" s="31">
        <f t="shared" si="0"/>
        <v>38831.176507273049</v>
      </c>
      <c r="F27" s="31">
        <f t="shared" si="1"/>
        <v>1941.5588253636524</v>
      </c>
      <c r="G27" s="31">
        <f t="shared" si="2"/>
        <v>36889.617681909396</v>
      </c>
    </row>
    <row r="28" spans="1:7" x14ac:dyDescent="0.3">
      <c r="A28" t="s">
        <v>1123</v>
      </c>
      <c r="B28">
        <v>4387</v>
      </c>
      <c r="C28" t="s">
        <v>447</v>
      </c>
      <c r="D28">
        <v>1997.3634999999999</v>
      </c>
      <c r="E28" s="31">
        <f t="shared" si="0"/>
        <v>46567.383294470936</v>
      </c>
      <c r="F28" s="31">
        <f t="shared" si="1"/>
        <v>2328.3691647235469</v>
      </c>
      <c r="G28" s="31">
        <f t="shared" si="2"/>
        <v>44239.014129747389</v>
      </c>
    </row>
    <row r="29" spans="1:7" x14ac:dyDescent="0.3">
      <c r="D29">
        <f>SUM(D4:D28)</f>
        <v>37112.172699999996</v>
      </c>
      <c r="E29" s="31">
        <f>SUM(E4:E28)</f>
        <v>865248.99999999988</v>
      </c>
      <c r="F29" s="31">
        <f>SUM(F4:F28)</f>
        <v>43262.450000000004</v>
      </c>
      <c r="G29" s="31">
        <f>E29-F29</f>
        <v>821986.54999999993</v>
      </c>
    </row>
    <row r="30" spans="1:7" x14ac:dyDescent="0.3">
      <c r="E30" s="31">
        <v>865249</v>
      </c>
    </row>
  </sheetData>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1"/>
  <sheetViews>
    <sheetView workbookViewId="0"/>
  </sheetViews>
  <sheetFormatPr defaultColWidth="8.77734375" defaultRowHeight="14.4" x14ac:dyDescent="0.3"/>
  <cols>
    <col min="1" max="1" width="10" bestFit="1" customWidth="1"/>
  </cols>
  <sheetData>
    <row r="1" spans="1:11" x14ac:dyDescent="0.3">
      <c r="A1">
        <v>40149000</v>
      </c>
      <c r="B1">
        <v>400419</v>
      </c>
      <c r="C1">
        <v>87600</v>
      </c>
      <c r="D1" t="s">
        <v>181</v>
      </c>
      <c r="H1" s="962" t="s">
        <v>1327</v>
      </c>
      <c r="I1" s="962"/>
      <c r="J1" s="962"/>
      <c r="K1" s="962"/>
    </row>
    <row r="2" spans="1:11" x14ac:dyDescent="0.3">
      <c r="A2">
        <v>78741000</v>
      </c>
      <c r="B2">
        <v>400061</v>
      </c>
      <c r="C2">
        <v>4352</v>
      </c>
      <c r="D2" t="s">
        <v>219</v>
      </c>
      <c r="H2" s="962"/>
      <c r="I2" s="962"/>
      <c r="J2" s="962"/>
      <c r="K2" s="962"/>
    </row>
    <row r="3" spans="1:11" x14ac:dyDescent="0.3">
      <c r="A3">
        <v>78977000</v>
      </c>
      <c r="B3">
        <v>400399</v>
      </c>
      <c r="C3">
        <v>80011</v>
      </c>
      <c r="D3" t="s">
        <v>293</v>
      </c>
      <c r="H3" s="962"/>
      <c r="I3" s="962"/>
      <c r="J3" s="962"/>
      <c r="K3" s="962"/>
    </row>
    <row r="4" spans="1:11" x14ac:dyDescent="0.3">
      <c r="A4">
        <v>88620000</v>
      </c>
      <c r="B4">
        <v>400074</v>
      </c>
      <c r="C4">
        <v>4383</v>
      </c>
      <c r="D4" t="s">
        <v>241</v>
      </c>
      <c r="H4" s="962"/>
      <c r="I4" s="962"/>
      <c r="J4" s="962"/>
      <c r="K4" s="962"/>
    </row>
    <row r="5" spans="1:11" x14ac:dyDescent="0.3">
      <c r="A5">
        <v>88703000</v>
      </c>
      <c r="B5">
        <v>400413</v>
      </c>
      <c r="C5">
        <v>85516</v>
      </c>
      <c r="D5" t="s">
        <v>289</v>
      </c>
      <c r="H5" s="962"/>
      <c r="I5" s="962"/>
      <c r="J5" s="962"/>
      <c r="K5" s="962"/>
    </row>
    <row r="6" spans="1:11" x14ac:dyDescent="0.3">
      <c r="A6">
        <v>138758000</v>
      </c>
      <c r="B6">
        <v>400266</v>
      </c>
      <c r="C6">
        <v>79068</v>
      </c>
      <c r="D6" t="s">
        <v>871</v>
      </c>
      <c r="H6" s="962"/>
      <c r="I6" s="962"/>
      <c r="J6" s="962"/>
      <c r="K6" s="962"/>
    </row>
    <row r="7" spans="1:11" x14ac:dyDescent="0.3">
      <c r="A7">
        <v>138714000</v>
      </c>
      <c r="B7">
        <v>400439</v>
      </c>
      <c r="C7">
        <v>88321</v>
      </c>
      <c r="D7" t="s">
        <v>129</v>
      </c>
      <c r="H7" s="962"/>
      <c r="I7" s="962"/>
      <c r="J7" s="962"/>
      <c r="K7" s="962"/>
    </row>
    <row r="9" spans="1:11" x14ac:dyDescent="0.3">
      <c r="A9">
        <v>108726000</v>
      </c>
      <c r="B9">
        <v>400147</v>
      </c>
      <c r="C9">
        <v>6369</v>
      </c>
      <c r="D9" t="s">
        <v>190</v>
      </c>
      <c r="H9" s="963" t="s">
        <v>1384</v>
      </c>
      <c r="I9" s="963"/>
      <c r="J9" s="963"/>
      <c r="K9" s="963"/>
    </row>
    <row r="10" spans="1:11" x14ac:dyDescent="0.3">
      <c r="A10">
        <v>78714000</v>
      </c>
      <c r="B10">
        <v>400109</v>
      </c>
      <c r="C10">
        <v>4338</v>
      </c>
      <c r="D10" t="s">
        <v>336</v>
      </c>
      <c r="H10" s="963"/>
      <c r="I10" s="963"/>
      <c r="J10" s="963"/>
      <c r="K10" s="963"/>
    </row>
    <row r="11" spans="1:11" x14ac:dyDescent="0.3">
      <c r="A11">
        <v>78992000</v>
      </c>
      <c r="B11">
        <v>400416</v>
      </c>
      <c r="C11">
        <v>85807</v>
      </c>
      <c r="D11" t="s">
        <v>400</v>
      </c>
      <c r="H11" s="963"/>
      <c r="I11" s="963"/>
      <c r="J11" s="963"/>
      <c r="K11" s="963"/>
    </row>
  </sheetData>
  <mergeCells count="2">
    <mergeCell ref="H1:K7"/>
    <mergeCell ref="H9:K11"/>
  </mergeCells>
  <pageMargins left="0.7" right="0.7" top="0.75" bottom="0.75" header="0.3" footer="0.3"/>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706"/>
  <sheetViews>
    <sheetView topLeftCell="A347" workbookViewId="0">
      <selection activeCell="B367" sqref="B367"/>
    </sheetView>
  </sheetViews>
  <sheetFormatPr defaultColWidth="8.77734375" defaultRowHeight="14.4" x14ac:dyDescent="0.3"/>
  <cols>
    <col min="1" max="1" width="8.44140625" bestFit="1" customWidth="1"/>
    <col min="2" max="2" width="74.6640625" bestFit="1" customWidth="1"/>
    <col min="3" max="3" width="20.6640625" bestFit="1" customWidth="1"/>
    <col min="4" max="4" width="20.44140625" bestFit="1" customWidth="1"/>
  </cols>
  <sheetData>
    <row r="1" spans="1:4" x14ac:dyDescent="0.3">
      <c r="A1" t="s">
        <v>1385</v>
      </c>
      <c r="B1" t="s">
        <v>1297</v>
      </c>
      <c r="C1" t="s">
        <v>1296</v>
      </c>
      <c r="D1" t="s">
        <v>1386</v>
      </c>
    </row>
    <row r="2" spans="1:4" x14ac:dyDescent="0.3">
      <c r="A2">
        <v>4153</v>
      </c>
      <c r="B2" t="s">
        <v>472</v>
      </c>
      <c r="C2">
        <v>736</v>
      </c>
      <c r="D2">
        <v>0</v>
      </c>
    </row>
    <row r="3" spans="1:4" x14ac:dyDescent="0.3">
      <c r="A3">
        <v>4154</v>
      </c>
      <c r="B3" t="s">
        <v>446</v>
      </c>
      <c r="C3">
        <v>1702</v>
      </c>
      <c r="D3">
        <v>0</v>
      </c>
    </row>
    <row r="4" spans="1:4" x14ac:dyDescent="0.3">
      <c r="A4">
        <v>4155</v>
      </c>
      <c r="B4" t="s">
        <v>362</v>
      </c>
      <c r="C4">
        <v>1169</v>
      </c>
      <c r="D4">
        <v>1</v>
      </c>
    </row>
    <row r="5" spans="1:4" x14ac:dyDescent="0.3">
      <c r="A5">
        <v>4156</v>
      </c>
      <c r="B5" t="s">
        <v>374</v>
      </c>
      <c r="C5">
        <v>616</v>
      </c>
      <c r="D5">
        <v>2</v>
      </c>
    </row>
    <row r="6" spans="1:4" x14ac:dyDescent="0.3">
      <c r="A6">
        <v>4157</v>
      </c>
      <c r="B6" t="s">
        <v>177</v>
      </c>
      <c r="C6">
        <v>1222</v>
      </c>
      <c r="D6">
        <v>976</v>
      </c>
    </row>
    <row r="7" spans="1:4" x14ac:dyDescent="0.3">
      <c r="A7">
        <v>4158</v>
      </c>
      <c r="B7" t="s">
        <v>102</v>
      </c>
      <c r="C7">
        <v>3127</v>
      </c>
      <c r="D7">
        <v>0</v>
      </c>
    </row>
    <row r="8" spans="1:4" x14ac:dyDescent="0.3">
      <c r="A8">
        <v>4159</v>
      </c>
      <c r="B8" t="s">
        <v>358</v>
      </c>
      <c r="C8">
        <v>465</v>
      </c>
      <c r="D8">
        <v>6</v>
      </c>
    </row>
    <row r="9" spans="1:4" x14ac:dyDescent="0.3">
      <c r="A9">
        <v>4160</v>
      </c>
      <c r="B9" t="s">
        <v>112</v>
      </c>
      <c r="C9">
        <v>164</v>
      </c>
      <c r="D9">
        <v>159</v>
      </c>
    </row>
    <row r="10" spans="1:4" x14ac:dyDescent="0.3">
      <c r="A10">
        <v>4161</v>
      </c>
      <c r="B10" t="s">
        <v>554</v>
      </c>
      <c r="C10">
        <v>60</v>
      </c>
      <c r="D10">
        <v>44</v>
      </c>
    </row>
    <row r="11" spans="1:4" x14ac:dyDescent="0.3">
      <c r="A11">
        <v>4162</v>
      </c>
      <c r="B11" t="s">
        <v>430</v>
      </c>
      <c r="C11">
        <v>72</v>
      </c>
      <c r="D11">
        <v>66</v>
      </c>
    </row>
    <row r="12" spans="1:4" x14ac:dyDescent="0.3">
      <c r="A12">
        <v>4163</v>
      </c>
      <c r="B12" t="s">
        <v>280</v>
      </c>
      <c r="C12">
        <v>129</v>
      </c>
      <c r="D12">
        <v>125</v>
      </c>
    </row>
    <row r="13" spans="1:4" x14ac:dyDescent="0.3">
      <c r="A13">
        <v>4167</v>
      </c>
      <c r="B13" t="s">
        <v>168</v>
      </c>
      <c r="C13">
        <v>899</v>
      </c>
      <c r="D13">
        <v>149</v>
      </c>
    </row>
    <row r="14" spans="1:4" x14ac:dyDescent="0.3">
      <c r="A14">
        <v>4168</v>
      </c>
      <c r="B14" t="s">
        <v>417</v>
      </c>
      <c r="C14">
        <v>692</v>
      </c>
      <c r="D14">
        <v>572</v>
      </c>
    </row>
    <row r="15" spans="1:4" x14ac:dyDescent="0.3">
      <c r="A15">
        <v>4169</v>
      </c>
      <c r="B15" t="s">
        <v>71</v>
      </c>
      <c r="C15">
        <v>654</v>
      </c>
      <c r="D15">
        <v>9</v>
      </c>
    </row>
    <row r="16" spans="1:4" x14ac:dyDescent="0.3">
      <c r="A16">
        <v>4170</v>
      </c>
      <c r="B16" t="s">
        <v>443</v>
      </c>
      <c r="C16">
        <v>1037</v>
      </c>
      <c r="D16">
        <v>757</v>
      </c>
    </row>
    <row r="17" spans="1:4" x14ac:dyDescent="0.3">
      <c r="A17">
        <v>4171</v>
      </c>
      <c r="B17" t="s">
        <v>76</v>
      </c>
      <c r="C17">
        <v>53</v>
      </c>
      <c r="D17">
        <v>16</v>
      </c>
    </row>
    <row r="18" spans="1:4" x14ac:dyDescent="0.3">
      <c r="A18">
        <v>4172</v>
      </c>
      <c r="B18" t="s">
        <v>372</v>
      </c>
      <c r="C18">
        <v>100</v>
      </c>
      <c r="D18">
        <v>59</v>
      </c>
    </row>
    <row r="19" spans="1:4" x14ac:dyDescent="0.3">
      <c r="A19">
        <v>4173</v>
      </c>
      <c r="B19" t="s">
        <v>473</v>
      </c>
      <c r="C19">
        <v>324</v>
      </c>
      <c r="D19">
        <v>145</v>
      </c>
    </row>
    <row r="20" spans="1:4" x14ac:dyDescent="0.3">
      <c r="A20">
        <v>4174</v>
      </c>
      <c r="B20" t="s">
        <v>135</v>
      </c>
      <c r="C20">
        <v>3489</v>
      </c>
      <c r="D20">
        <v>2987</v>
      </c>
    </row>
    <row r="21" spans="1:4" x14ac:dyDescent="0.3">
      <c r="A21">
        <v>4175</v>
      </c>
      <c r="B21" t="s">
        <v>384</v>
      </c>
      <c r="C21">
        <v>5221</v>
      </c>
      <c r="D21">
        <v>422</v>
      </c>
    </row>
    <row r="22" spans="1:4" x14ac:dyDescent="0.3">
      <c r="A22">
        <v>4176</v>
      </c>
      <c r="B22" t="s">
        <v>300</v>
      </c>
      <c r="C22">
        <v>302</v>
      </c>
      <c r="D22">
        <v>274</v>
      </c>
    </row>
    <row r="23" spans="1:4" x14ac:dyDescent="0.3">
      <c r="A23">
        <v>4177</v>
      </c>
      <c r="B23" t="s">
        <v>530</v>
      </c>
      <c r="C23">
        <v>87</v>
      </c>
      <c r="D23">
        <v>0</v>
      </c>
    </row>
    <row r="24" spans="1:4" x14ac:dyDescent="0.3">
      <c r="A24">
        <v>4178</v>
      </c>
      <c r="B24" t="s">
        <v>550</v>
      </c>
      <c r="C24">
        <v>3</v>
      </c>
      <c r="D24">
        <v>0</v>
      </c>
    </row>
    <row r="25" spans="1:4" x14ac:dyDescent="0.3">
      <c r="A25">
        <v>4179</v>
      </c>
      <c r="B25" t="s">
        <v>134</v>
      </c>
      <c r="C25">
        <v>43</v>
      </c>
      <c r="D25">
        <v>0</v>
      </c>
    </row>
    <row r="26" spans="1:4" x14ac:dyDescent="0.3">
      <c r="A26">
        <v>4180</v>
      </c>
      <c r="B26" t="s">
        <v>319</v>
      </c>
      <c r="C26">
        <v>1019</v>
      </c>
      <c r="D26">
        <v>496</v>
      </c>
    </row>
    <row r="27" spans="1:4" x14ac:dyDescent="0.3">
      <c r="A27">
        <v>4181</v>
      </c>
      <c r="B27" t="s">
        <v>281</v>
      </c>
      <c r="C27">
        <v>61</v>
      </c>
      <c r="D27">
        <v>25</v>
      </c>
    </row>
    <row r="28" spans="1:4" x14ac:dyDescent="0.3">
      <c r="A28">
        <v>4185</v>
      </c>
      <c r="B28" t="s">
        <v>155</v>
      </c>
      <c r="C28">
        <v>112</v>
      </c>
      <c r="D28">
        <v>0</v>
      </c>
    </row>
    <row r="29" spans="1:4" x14ac:dyDescent="0.3">
      <c r="A29">
        <v>4186</v>
      </c>
      <c r="B29" t="s">
        <v>333</v>
      </c>
      <c r="C29">
        <v>98</v>
      </c>
      <c r="D29">
        <v>0</v>
      </c>
    </row>
    <row r="30" spans="1:4" x14ac:dyDescent="0.3">
      <c r="A30">
        <v>4187</v>
      </c>
      <c r="B30" t="s">
        <v>53</v>
      </c>
      <c r="C30">
        <v>14</v>
      </c>
      <c r="D30">
        <v>0</v>
      </c>
    </row>
    <row r="31" spans="1:4" x14ac:dyDescent="0.3">
      <c r="A31">
        <v>4188</v>
      </c>
      <c r="B31" t="s">
        <v>349</v>
      </c>
      <c r="C31">
        <v>93</v>
      </c>
      <c r="D31">
        <v>45</v>
      </c>
    </row>
    <row r="32" spans="1:4" x14ac:dyDescent="0.3">
      <c r="A32">
        <v>4190</v>
      </c>
      <c r="B32" t="s">
        <v>428</v>
      </c>
      <c r="C32">
        <v>56</v>
      </c>
      <c r="D32">
        <v>8</v>
      </c>
    </row>
    <row r="33" spans="1:4" x14ac:dyDescent="0.3">
      <c r="A33">
        <v>4191</v>
      </c>
      <c r="B33" t="s">
        <v>621</v>
      </c>
      <c r="C33">
        <v>1102</v>
      </c>
      <c r="D33">
        <v>892</v>
      </c>
    </row>
    <row r="34" spans="1:4" x14ac:dyDescent="0.3">
      <c r="A34">
        <v>4192</v>
      </c>
      <c r="B34" t="s">
        <v>164</v>
      </c>
      <c r="C34">
        <v>8821</v>
      </c>
      <c r="D34">
        <v>4593</v>
      </c>
    </row>
    <row r="35" spans="1:4" x14ac:dyDescent="0.3">
      <c r="A35">
        <v>4193</v>
      </c>
      <c r="B35" t="s">
        <v>444</v>
      </c>
      <c r="C35">
        <v>553</v>
      </c>
      <c r="D35">
        <v>373</v>
      </c>
    </row>
    <row r="36" spans="1:4" x14ac:dyDescent="0.3">
      <c r="A36">
        <v>4194</v>
      </c>
      <c r="B36" t="s">
        <v>187</v>
      </c>
      <c r="C36">
        <v>262</v>
      </c>
      <c r="D36">
        <v>149</v>
      </c>
    </row>
    <row r="37" spans="1:4" x14ac:dyDescent="0.3">
      <c r="A37">
        <v>4195</v>
      </c>
      <c r="B37" t="s">
        <v>174</v>
      </c>
      <c r="C37">
        <v>174</v>
      </c>
      <c r="D37">
        <v>1</v>
      </c>
    </row>
    <row r="38" spans="1:4" x14ac:dyDescent="0.3">
      <c r="A38">
        <v>4196</v>
      </c>
      <c r="B38" t="s">
        <v>315</v>
      </c>
      <c r="C38">
        <v>2421</v>
      </c>
      <c r="D38">
        <v>1136</v>
      </c>
    </row>
    <row r="39" spans="1:4" x14ac:dyDescent="0.3">
      <c r="A39">
        <v>4197</v>
      </c>
      <c r="B39" t="s">
        <v>622</v>
      </c>
      <c r="C39">
        <v>1472</v>
      </c>
      <c r="D39">
        <v>6</v>
      </c>
    </row>
    <row r="40" spans="1:4" x14ac:dyDescent="0.3">
      <c r="A40">
        <v>4199</v>
      </c>
      <c r="B40" t="s">
        <v>267</v>
      </c>
      <c r="C40">
        <v>118</v>
      </c>
      <c r="D40">
        <v>1</v>
      </c>
    </row>
    <row r="41" spans="1:4" x14ac:dyDescent="0.3">
      <c r="A41">
        <v>4201</v>
      </c>
      <c r="B41" t="s">
        <v>626</v>
      </c>
      <c r="C41">
        <v>275</v>
      </c>
      <c r="D41">
        <v>99</v>
      </c>
    </row>
    <row r="42" spans="1:4" x14ac:dyDescent="0.3">
      <c r="A42">
        <v>4202</v>
      </c>
      <c r="B42" t="s">
        <v>522</v>
      </c>
      <c r="C42">
        <v>251</v>
      </c>
      <c r="D42">
        <v>0</v>
      </c>
    </row>
    <row r="43" spans="1:4" x14ac:dyDescent="0.3">
      <c r="A43">
        <v>4203</v>
      </c>
      <c r="B43" t="s">
        <v>628</v>
      </c>
      <c r="C43">
        <v>194</v>
      </c>
      <c r="D43">
        <v>0</v>
      </c>
    </row>
    <row r="44" spans="1:4" x14ac:dyDescent="0.3">
      <c r="A44">
        <v>4204</v>
      </c>
      <c r="B44" t="s">
        <v>491</v>
      </c>
      <c r="C44">
        <v>555</v>
      </c>
      <c r="D44">
        <v>0</v>
      </c>
    </row>
    <row r="45" spans="1:4" x14ac:dyDescent="0.3">
      <c r="A45">
        <v>4205</v>
      </c>
      <c r="B45" t="s">
        <v>625</v>
      </c>
      <c r="C45">
        <v>164</v>
      </c>
      <c r="D45">
        <v>0</v>
      </c>
    </row>
    <row r="46" spans="1:4" x14ac:dyDescent="0.3">
      <c r="A46">
        <v>4207</v>
      </c>
      <c r="B46" t="s">
        <v>162</v>
      </c>
      <c r="C46">
        <v>295</v>
      </c>
      <c r="D46">
        <v>69</v>
      </c>
    </row>
    <row r="47" spans="1:4" x14ac:dyDescent="0.3">
      <c r="A47">
        <v>4208</v>
      </c>
      <c r="B47" t="s">
        <v>185</v>
      </c>
      <c r="C47">
        <v>1435</v>
      </c>
      <c r="D47">
        <v>892</v>
      </c>
    </row>
    <row r="48" spans="1:4" x14ac:dyDescent="0.3">
      <c r="A48">
        <v>4209</v>
      </c>
      <c r="B48" t="s">
        <v>330</v>
      </c>
      <c r="C48">
        <v>2050</v>
      </c>
      <c r="D48">
        <v>1069</v>
      </c>
    </row>
    <row r="49" spans="1:4" x14ac:dyDescent="0.3">
      <c r="A49">
        <v>4210</v>
      </c>
      <c r="B49" t="s">
        <v>370</v>
      </c>
      <c r="C49">
        <v>1493</v>
      </c>
      <c r="D49">
        <v>2</v>
      </c>
    </row>
    <row r="50" spans="1:4" x14ac:dyDescent="0.3">
      <c r="A50">
        <v>4211</v>
      </c>
      <c r="B50" t="s">
        <v>285</v>
      </c>
      <c r="C50">
        <v>1060</v>
      </c>
      <c r="D50">
        <v>778</v>
      </c>
    </row>
    <row r="51" spans="1:4" x14ac:dyDescent="0.3">
      <c r="A51">
        <v>4212</v>
      </c>
      <c r="B51" t="s">
        <v>193</v>
      </c>
      <c r="C51">
        <v>232</v>
      </c>
      <c r="D51">
        <v>199</v>
      </c>
    </row>
    <row r="52" spans="1:4" x14ac:dyDescent="0.3">
      <c r="A52">
        <v>4213</v>
      </c>
      <c r="B52" t="s">
        <v>449</v>
      </c>
      <c r="C52">
        <v>33</v>
      </c>
      <c r="D52">
        <v>13</v>
      </c>
    </row>
    <row r="53" spans="1:4" x14ac:dyDescent="0.3">
      <c r="A53">
        <v>4214</v>
      </c>
      <c r="B53" t="s">
        <v>347</v>
      </c>
      <c r="C53">
        <v>118</v>
      </c>
      <c r="D53">
        <v>77</v>
      </c>
    </row>
    <row r="54" spans="1:4" x14ac:dyDescent="0.3">
      <c r="A54">
        <v>4215</v>
      </c>
      <c r="B54" t="s">
        <v>418</v>
      </c>
      <c r="C54">
        <v>69</v>
      </c>
      <c r="D54">
        <v>51</v>
      </c>
    </row>
    <row r="55" spans="1:4" x14ac:dyDescent="0.3">
      <c r="A55">
        <v>4216</v>
      </c>
      <c r="B55" t="s">
        <v>488</v>
      </c>
      <c r="C55">
        <v>39</v>
      </c>
      <c r="D55">
        <v>21</v>
      </c>
    </row>
    <row r="56" spans="1:4" x14ac:dyDescent="0.3">
      <c r="A56">
        <v>4217</v>
      </c>
      <c r="B56" t="s">
        <v>186</v>
      </c>
      <c r="C56">
        <v>35</v>
      </c>
      <c r="D56">
        <v>26</v>
      </c>
    </row>
    <row r="57" spans="1:4" x14ac:dyDescent="0.3">
      <c r="A57">
        <v>4218</v>
      </c>
      <c r="B57" t="s">
        <v>366</v>
      </c>
      <c r="C57">
        <v>2716</v>
      </c>
      <c r="D57">
        <v>1483</v>
      </c>
    </row>
    <row r="58" spans="1:4" x14ac:dyDescent="0.3">
      <c r="A58">
        <v>4219</v>
      </c>
      <c r="B58" t="s">
        <v>411</v>
      </c>
      <c r="C58">
        <v>1548</v>
      </c>
      <c r="D58">
        <v>645</v>
      </c>
    </row>
    <row r="59" spans="1:4" x14ac:dyDescent="0.3">
      <c r="A59">
        <v>4220</v>
      </c>
      <c r="B59" t="s">
        <v>345</v>
      </c>
      <c r="C59">
        <v>704</v>
      </c>
      <c r="D59">
        <v>340</v>
      </c>
    </row>
    <row r="60" spans="1:4" x14ac:dyDescent="0.3">
      <c r="A60">
        <v>4221</v>
      </c>
      <c r="B60" t="s">
        <v>169</v>
      </c>
      <c r="C60">
        <v>553</v>
      </c>
      <c r="D60">
        <v>0</v>
      </c>
    </row>
    <row r="61" spans="1:4" x14ac:dyDescent="0.3">
      <c r="A61">
        <v>4222</v>
      </c>
      <c r="B61" t="s">
        <v>389</v>
      </c>
      <c r="C61">
        <v>189</v>
      </c>
      <c r="D61">
        <v>0</v>
      </c>
    </row>
    <row r="62" spans="1:4" x14ac:dyDescent="0.3">
      <c r="A62">
        <v>4224</v>
      </c>
      <c r="B62" t="s">
        <v>537</v>
      </c>
      <c r="C62">
        <v>105</v>
      </c>
      <c r="D62">
        <v>55</v>
      </c>
    </row>
    <row r="63" spans="1:4" x14ac:dyDescent="0.3">
      <c r="A63">
        <v>4225</v>
      </c>
      <c r="B63" t="s">
        <v>466</v>
      </c>
      <c r="C63">
        <v>98</v>
      </c>
      <c r="D63">
        <v>36</v>
      </c>
    </row>
    <row r="64" spans="1:4" x14ac:dyDescent="0.3">
      <c r="A64">
        <v>4228</v>
      </c>
      <c r="B64" t="s">
        <v>136</v>
      </c>
      <c r="C64">
        <v>337</v>
      </c>
      <c r="D64">
        <v>169</v>
      </c>
    </row>
    <row r="65" spans="1:4" x14ac:dyDescent="0.3">
      <c r="A65">
        <v>4230</v>
      </c>
      <c r="B65" t="s">
        <v>295</v>
      </c>
      <c r="C65">
        <v>1272</v>
      </c>
      <c r="D65">
        <v>0</v>
      </c>
    </row>
    <row r="66" spans="1:4" x14ac:dyDescent="0.3">
      <c r="A66">
        <v>4231</v>
      </c>
      <c r="B66" t="s">
        <v>538</v>
      </c>
      <c r="C66">
        <v>11</v>
      </c>
      <c r="D66">
        <v>2</v>
      </c>
    </row>
    <row r="67" spans="1:4" x14ac:dyDescent="0.3">
      <c r="A67">
        <v>4234</v>
      </c>
      <c r="B67" t="s">
        <v>272</v>
      </c>
      <c r="C67">
        <v>306</v>
      </c>
      <c r="D67">
        <v>306</v>
      </c>
    </row>
    <row r="68" spans="1:4" x14ac:dyDescent="0.3">
      <c r="A68">
        <v>4235</v>
      </c>
      <c r="B68" t="s">
        <v>282</v>
      </c>
      <c r="C68">
        <v>1119</v>
      </c>
      <c r="D68">
        <v>599</v>
      </c>
    </row>
    <row r="69" spans="1:4" x14ac:dyDescent="0.3">
      <c r="A69">
        <v>4236</v>
      </c>
      <c r="B69" t="s">
        <v>442</v>
      </c>
      <c r="C69">
        <v>899</v>
      </c>
      <c r="D69">
        <v>456</v>
      </c>
    </row>
    <row r="70" spans="1:4" x14ac:dyDescent="0.3">
      <c r="A70">
        <v>4237</v>
      </c>
      <c r="B70" t="s">
        <v>335</v>
      </c>
      <c r="C70">
        <v>32449</v>
      </c>
      <c r="D70">
        <v>13536</v>
      </c>
    </row>
    <row r="71" spans="1:4" x14ac:dyDescent="0.3">
      <c r="A71">
        <v>4238</v>
      </c>
      <c r="B71" t="s">
        <v>180</v>
      </c>
      <c r="C71">
        <v>359</v>
      </c>
      <c r="D71">
        <v>4</v>
      </c>
    </row>
    <row r="72" spans="1:4" x14ac:dyDescent="0.3">
      <c r="A72">
        <v>4239</v>
      </c>
      <c r="B72" t="s">
        <v>182</v>
      </c>
      <c r="C72">
        <v>30833</v>
      </c>
      <c r="D72">
        <v>102</v>
      </c>
    </row>
    <row r="73" spans="1:4" x14ac:dyDescent="0.3">
      <c r="A73">
        <v>4240</v>
      </c>
      <c r="B73" t="s">
        <v>379</v>
      </c>
      <c r="C73">
        <v>19356</v>
      </c>
      <c r="D73">
        <v>4858</v>
      </c>
    </row>
    <row r="74" spans="1:4" x14ac:dyDescent="0.3">
      <c r="A74">
        <v>4241</v>
      </c>
      <c r="B74" t="s">
        <v>321</v>
      </c>
      <c r="C74">
        <v>28726</v>
      </c>
      <c r="D74">
        <v>10204</v>
      </c>
    </row>
    <row r="75" spans="1:4" x14ac:dyDescent="0.3">
      <c r="A75">
        <v>4242</v>
      </c>
      <c r="B75" t="s">
        <v>101</v>
      </c>
      <c r="C75">
        <v>40202</v>
      </c>
      <c r="D75">
        <v>10551</v>
      </c>
    </row>
    <row r="76" spans="1:4" x14ac:dyDescent="0.3">
      <c r="A76">
        <v>4243</v>
      </c>
      <c r="B76" t="s">
        <v>137</v>
      </c>
      <c r="C76">
        <v>22218</v>
      </c>
      <c r="D76">
        <v>8710</v>
      </c>
    </row>
    <row r="77" spans="1:4" x14ac:dyDescent="0.3">
      <c r="A77">
        <v>4244</v>
      </c>
      <c r="B77" t="s">
        <v>96</v>
      </c>
      <c r="C77">
        <v>4897</v>
      </c>
      <c r="D77">
        <v>324</v>
      </c>
    </row>
    <row r="78" spans="1:4" x14ac:dyDescent="0.3">
      <c r="A78">
        <v>4245</v>
      </c>
      <c r="B78" t="s">
        <v>356</v>
      </c>
      <c r="C78">
        <v>5604</v>
      </c>
      <c r="D78">
        <v>16</v>
      </c>
    </row>
    <row r="79" spans="1:4" x14ac:dyDescent="0.3">
      <c r="A79">
        <v>4246</v>
      </c>
      <c r="B79" t="s">
        <v>127</v>
      </c>
      <c r="C79">
        <v>30569</v>
      </c>
      <c r="D79">
        <v>8716</v>
      </c>
    </row>
    <row r="80" spans="1:4" x14ac:dyDescent="0.3">
      <c r="A80">
        <v>4247</v>
      </c>
      <c r="B80" t="s">
        <v>171</v>
      </c>
      <c r="C80">
        <v>1295</v>
      </c>
      <c r="D80">
        <v>338</v>
      </c>
    </row>
    <row r="81" spans="1:4" x14ac:dyDescent="0.3">
      <c r="A81">
        <v>4248</v>
      </c>
      <c r="B81" t="s">
        <v>197</v>
      </c>
      <c r="C81">
        <v>9796</v>
      </c>
      <c r="D81">
        <v>1548</v>
      </c>
    </row>
    <row r="82" spans="1:4" x14ac:dyDescent="0.3">
      <c r="A82">
        <v>4249</v>
      </c>
      <c r="B82" t="s">
        <v>16</v>
      </c>
      <c r="C82">
        <v>152</v>
      </c>
      <c r="D82">
        <v>134</v>
      </c>
    </row>
    <row r="83" spans="1:4" x14ac:dyDescent="0.3">
      <c r="A83">
        <v>4250</v>
      </c>
      <c r="B83" t="s">
        <v>476</v>
      </c>
      <c r="C83">
        <v>34</v>
      </c>
      <c r="D83">
        <v>0</v>
      </c>
    </row>
    <row r="84" spans="1:4" x14ac:dyDescent="0.3">
      <c r="A84">
        <v>4251</v>
      </c>
      <c r="B84" t="s">
        <v>297</v>
      </c>
      <c r="C84">
        <v>111</v>
      </c>
      <c r="D84">
        <v>1</v>
      </c>
    </row>
    <row r="85" spans="1:4" x14ac:dyDescent="0.3">
      <c r="A85">
        <v>4252</v>
      </c>
      <c r="B85" t="s">
        <v>301</v>
      </c>
      <c r="C85">
        <v>827</v>
      </c>
      <c r="D85">
        <v>502</v>
      </c>
    </row>
    <row r="86" spans="1:4" x14ac:dyDescent="0.3">
      <c r="A86">
        <v>4253</v>
      </c>
      <c r="B86" t="s">
        <v>499</v>
      </c>
      <c r="C86">
        <v>24</v>
      </c>
      <c r="D86">
        <v>1</v>
      </c>
    </row>
    <row r="87" spans="1:4" x14ac:dyDescent="0.3">
      <c r="A87">
        <v>4254</v>
      </c>
      <c r="B87" t="s">
        <v>365</v>
      </c>
      <c r="C87">
        <v>1411</v>
      </c>
      <c r="D87">
        <v>170</v>
      </c>
    </row>
    <row r="88" spans="1:4" x14ac:dyDescent="0.3">
      <c r="A88">
        <v>4255</v>
      </c>
      <c r="B88" t="s">
        <v>318</v>
      </c>
      <c r="C88">
        <v>101</v>
      </c>
      <c r="D88">
        <v>0</v>
      </c>
    </row>
    <row r="89" spans="1:4" x14ac:dyDescent="0.3">
      <c r="A89">
        <v>4256</v>
      </c>
      <c r="B89" t="s">
        <v>337</v>
      </c>
      <c r="C89">
        <v>6545</v>
      </c>
      <c r="D89">
        <v>172</v>
      </c>
    </row>
    <row r="90" spans="1:4" x14ac:dyDescent="0.3">
      <c r="A90">
        <v>4257</v>
      </c>
      <c r="B90" t="s">
        <v>360</v>
      </c>
      <c r="C90">
        <v>936</v>
      </c>
      <c r="D90">
        <v>684</v>
      </c>
    </row>
    <row r="91" spans="1:4" x14ac:dyDescent="0.3">
      <c r="A91">
        <v>4258</v>
      </c>
      <c r="B91" t="s">
        <v>409</v>
      </c>
      <c r="C91">
        <v>11365</v>
      </c>
      <c r="D91">
        <v>7376</v>
      </c>
    </row>
    <row r="92" spans="1:4" x14ac:dyDescent="0.3">
      <c r="A92">
        <v>4259</v>
      </c>
      <c r="B92" t="s">
        <v>220</v>
      </c>
      <c r="C92">
        <v>6950</v>
      </c>
      <c r="D92">
        <v>47</v>
      </c>
    </row>
    <row r="93" spans="1:4" x14ac:dyDescent="0.3">
      <c r="A93">
        <v>4260</v>
      </c>
      <c r="B93" t="s">
        <v>433</v>
      </c>
      <c r="C93">
        <v>22945</v>
      </c>
      <c r="D93">
        <v>20617</v>
      </c>
    </row>
    <row r="94" spans="1:4" x14ac:dyDescent="0.3">
      <c r="A94">
        <v>4261</v>
      </c>
      <c r="B94" t="s">
        <v>445</v>
      </c>
      <c r="C94">
        <v>1188</v>
      </c>
      <c r="D94">
        <v>39</v>
      </c>
    </row>
    <row r="95" spans="1:4" x14ac:dyDescent="0.3">
      <c r="A95">
        <v>4262</v>
      </c>
      <c r="B95" t="s">
        <v>312</v>
      </c>
      <c r="C95">
        <v>2955</v>
      </c>
      <c r="D95">
        <v>63</v>
      </c>
    </row>
    <row r="96" spans="1:4" x14ac:dyDescent="0.3">
      <c r="A96">
        <v>4263</v>
      </c>
      <c r="B96" t="s">
        <v>122</v>
      </c>
      <c r="C96">
        <v>6357</v>
      </c>
      <c r="D96">
        <v>5143</v>
      </c>
    </row>
    <row r="97" spans="1:4" x14ac:dyDescent="0.3">
      <c r="A97">
        <v>4264</v>
      </c>
      <c r="B97" t="s">
        <v>414</v>
      </c>
      <c r="C97">
        <v>3045</v>
      </c>
      <c r="D97">
        <v>2319</v>
      </c>
    </row>
    <row r="98" spans="1:4" x14ac:dyDescent="0.3">
      <c r="A98">
        <v>4265</v>
      </c>
      <c r="B98" t="s">
        <v>299</v>
      </c>
      <c r="C98">
        <v>151</v>
      </c>
      <c r="D98">
        <v>119</v>
      </c>
    </row>
    <row r="99" spans="1:4" x14ac:dyDescent="0.3">
      <c r="A99">
        <v>4266</v>
      </c>
      <c r="B99" t="s">
        <v>260</v>
      </c>
      <c r="C99">
        <v>3372</v>
      </c>
      <c r="D99">
        <v>1629</v>
      </c>
    </row>
    <row r="100" spans="1:4" x14ac:dyDescent="0.3">
      <c r="A100">
        <v>4267</v>
      </c>
      <c r="B100" t="s">
        <v>244</v>
      </c>
      <c r="C100">
        <v>16708</v>
      </c>
      <c r="D100">
        <v>4805</v>
      </c>
    </row>
    <row r="101" spans="1:4" x14ac:dyDescent="0.3">
      <c r="A101">
        <v>4268</v>
      </c>
      <c r="B101" t="s">
        <v>65</v>
      </c>
      <c r="C101">
        <v>2403</v>
      </c>
      <c r="D101">
        <v>796</v>
      </c>
    </row>
    <row r="102" spans="1:4" x14ac:dyDescent="0.3">
      <c r="A102">
        <v>4269</v>
      </c>
      <c r="B102" t="s">
        <v>79</v>
      </c>
      <c r="C102">
        <v>4800</v>
      </c>
      <c r="D102">
        <v>1043</v>
      </c>
    </row>
    <row r="103" spans="1:4" x14ac:dyDescent="0.3">
      <c r="A103">
        <v>4270</v>
      </c>
      <c r="B103" t="s">
        <v>265</v>
      </c>
      <c r="C103">
        <v>5821</v>
      </c>
      <c r="D103">
        <v>1770</v>
      </c>
    </row>
    <row r="104" spans="1:4" x14ac:dyDescent="0.3">
      <c r="A104">
        <v>4271</v>
      </c>
      <c r="B104" t="s">
        <v>183</v>
      </c>
      <c r="C104">
        <v>12864</v>
      </c>
      <c r="D104">
        <v>9929</v>
      </c>
    </row>
    <row r="105" spans="1:4" x14ac:dyDescent="0.3">
      <c r="A105">
        <v>4272</v>
      </c>
      <c r="B105" t="s">
        <v>58</v>
      </c>
      <c r="C105">
        <v>5546</v>
      </c>
      <c r="D105">
        <v>3832</v>
      </c>
    </row>
    <row r="106" spans="1:4" x14ac:dyDescent="0.3">
      <c r="A106">
        <v>4273</v>
      </c>
      <c r="B106" t="s">
        <v>172</v>
      </c>
      <c r="C106">
        <v>4655</v>
      </c>
      <c r="D106">
        <v>2028</v>
      </c>
    </row>
    <row r="107" spans="1:4" x14ac:dyDescent="0.3">
      <c r="A107">
        <v>4274</v>
      </c>
      <c r="B107" t="s">
        <v>52</v>
      </c>
      <c r="C107">
        <v>256</v>
      </c>
      <c r="D107">
        <v>3</v>
      </c>
    </row>
    <row r="108" spans="1:4" x14ac:dyDescent="0.3">
      <c r="A108">
        <v>4275</v>
      </c>
      <c r="B108" t="s">
        <v>317</v>
      </c>
      <c r="C108">
        <v>445</v>
      </c>
      <c r="D108">
        <v>29</v>
      </c>
    </row>
    <row r="109" spans="1:4" x14ac:dyDescent="0.3">
      <c r="A109">
        <v>4276</v>
      </c>
      <c r="B109" t="s">
        <v>247</v>
      </c>
      <c r="C109">
        <v>6675</v>
      </c>
      <c r="D109">
        <v>2636</v>
      </c>
    </row>
    <row r="110" spans="1:4" x14ac:dyDescent="0.3">
      <c r="A110">
        <v>4277</v>
      </c>
      <c r="B110" t="s">
        <v>426</v>
      </c>
      <c r="C110">
        <v>1944</v>
      </c>
      <c r="D110">
        <v>899</v>
      </c>
    </row>
    <row r="111" spans="1:4" x14ac:dyDescent="0.3">
      <c r="A111">
        <v>4278</v>
      </c>
      <c r="B111" t="s">
        <v>264</v>
      </c>
      <c r="C111">
        <v>5543</v>
      </c>
      <c r="D111">
        <v>3891</v>
      </c>
    </row>
    <row r="112" spans="1:4" x14ac:dyDescent="0.3">
      <c r="A112">
        <v>4279</v>
      </c>
      <c r="B112" t="s">
        <v>361</v>
      </c>
      <c r="C112">
        <v>9192</v>
      </c>
      <c r="D112">
        <v>611</v>
      </c>
    </row>
    <row r="113" spans="1:4" x14ac:dyDescent="0.3">
      <c r="A113">
        <v>4280</v>
      </c>
      <c r="B113" t="s">
        <v>22</v>
      </c>
      <c r="C113">
        <v>12972</v>
      </c>
      <c r="D113">
        <v>250</v>
      </c>
    </row>
    <row r="114" spans="1:4" x14ac:dyDescent="0.3">
      <c r="A114">
        <v>4281</v>
      </c>
      <c r="B114" t="s">
        <v>262</v>
      </c>
      <c r="C114">
        <v>11281</v>
      </c>
      <c r="D114">
        <v>337</v>
      </c>
    </row>
    <row r="115" spans="1:4" x14ac:dyDescent="0.3">
      <c r="A115">
        <v>4282</v>
      </c>
      <c r="B115" t="s">
        <v>91</v>
      </c>
      <c r="C115">
        <v>17779</v>
      </c>
      <c r="D115">
        <v>17778</v>
      </c>
    </row>
    <row r="116" spans="1:4" x14ac:dyDescent="0.3">
      <c r="A116">
        <v>4283</v>
      </c>
      <c r="B116" t="s">
        <v>334</v>
      </c>
      <c r="C116">
        <v>10002</v>
      </c>
      <c r="D116">
        <v>8322</v>
      </c>
    </row>
    <row r="117" spans="1:4" x14ac:dyDescent="0.3">
      <c r="A117">
        <v>4284</v>
      </c>
      <c r="B117" t="s">
        <v>80</v>
      </c>
      <c r="C117">
        <v>2</v>
      </c>
      <c r="D117">
        <v>0</v>
      </c>
    </row>
    <row r="118" spans="1:4" x14ac:dyDescent="0.3">
      <c r="A118">
        <v>4285</v>
      </c>
      <c r="B118" t="s">
        <v>184</v>
      </c>
      <c r="C118">
        <v>11456</v>
      </c>
      <c r="D118">
        <v>191</v>
      </c>
    </row>
    <row r="119" spans="1:4" x14ac:dyDescent="0.3">
      <c r="A119">
        <v>4286</v>
      </c>
      <c r="B119" t="s">
        <v>339</v>
      </c>
      <c r="C119">
        <v>19846</v>
      </c>
      <c r="D119">
        <v>10462</v>
      </c>
    </row>
    <row r="120" spans="1:4" x14ac:dyDescent="0.3">
      <c r="A120">
        <v>4287</v>
      </c>
      <c r="B120" t="s">
        <v>410</v>
      </c>
      <c r="C120">
        <v>9897</v>
      </c>
      <c r="D120">
        <v>89</v>
      </c>
    </row>
    <row r="121" spans="1:4" x14ac:dyDescent="0.3">
      <c r="A121">
        <v>4288</v>
      </c>
      <c r="B121" t="s">
        <v>415</v>
      </c>
      <c r="C121">
        <v>6285</v>
      </c>
      <c r="D121">
        <v>91</v>
      </c>
    </row>
    <row r="122" spans="1:4" x14ac:dyDescent="0.3">
      <c r="A122">
        <v>4289</v>
      </c>
      <c r="B122" t="s">
        <v>15</v>
      </c>
      <c r="C122">
        <v>5713</v>
      </c>
      <c r="D122">
        <v>43</v>
      </c>
    </row>
    <row r="123" spans="1:4" x14ac:dyDescent="0.3">
      <c r="A123">
        <v>4294</v>
      </c>
      <c r="B123" t="s">
        <v>64</v>
      </c>
      <c r="C123">
        <v>626</v>
      </c>
      <c r="D123">
        <v>2</v>
      </c>
    </row>
    <row r="124" spans="1:4" x14ac:dyDescent="0.3">
      <c r="A124">
        <v>4296</v>
      </c>
      <c r="B124" t="s">
        <v>722</v>
      </c>
      <c r="C124">
        <v>55</v>
      </c>
      <c r="D124">
        <v>55</v>
      </c>
    </row>
    <row r="125" spans="1:4" x14ac:dyDescent="0.3">
      <c r="A125">
        <v>4297</v>
      </c>
      <c r="B125" t="s">
        <v>795</v>
      </c>
      <c r="C125">
        <v>48</v>
      </c>
      <c r="D125">
        <v>0</v>
      </c>
    </row>
    <row r="126" spans="1:4" x14ac:dyDescent="0.3">
      <c r="A126">
        <v>4300</v>
      </c>
      <c r="B126" t="s">
        <v>723</v>
      </c>
      <c r="C126">
        <v>97</v>
      </c>
      <c r="D126">
        <v>47</v>
      </c>
    </row>
    <row r="127" spans="1:4" x14ac:dyDescent="0.3">
      <c r="A127">
        <v>4301</v>
      </c>
      <c r="B127" t="s">
        <v>1270</v>
      </c>
      <c r="C127">
        <v>600</v>
      </c>
      <c r="D127">
        <v>83</v>
      </c>
    </row>
    <row r="128" spans="1:4" x14ac:dyDescent="0.3">
      <c r="A128">
        <v>4303</v>
      </c>
      <c r="B128" t="s">
        <v>724</v>
      </c>
      <c r="C128">
        <v>381</v>
      </c>
      <c r="D128">
        <v>295</v>
      </c>
    </row>
    <row r="129" spans="1:4" x14ac:dyDescent="0.3">
      <c r="A129">
        <v>4305</v>
      </c>
      <c r="B129" t="s">
        <v>77</v>
      </c>
      <c r="C129">
        <v>236</v>
      </c>
      <c r="D129">
        <v>123</v>
      </c>
    </row>
    <row r="130" spans="1:4" x14ac:dyDescent="0.3">
      <c r="A130">
        <v>4306</v>
      </c>
      <c r="B130" t="s">
        <v>751</v>
      </c>
      <c r="C130">
        <v>789</v>
      </c>
      <c r="D130">
        <v>1</v>
      </c>
    </row>
    <row r="131" spans="1:4" x14ac:dyDescent="0.3">
      <c r="A131">
        <v>4309</v>
      </c>
      <c r="B131" t="s">
        <v>521</v>
      </c>
      <c r="C131">
        <v>292</v>
      </c>
      <c r="D131">
        <v>0</v>
      </c>
    </row>
    <row r="132" spans="1:4" x14ac:dyDescent="0.3">
      <c r="A132">
        <v>4310</v>
      </c>
      <c r="B132" t="s">
        <v>725</v>
      </c>
      <c r="C132">
        <v>296</v>
      </c>
      <c r="D132">
        <v>199</v>
      </c>
    </row>
    <row r="133" spans="1:4" x14ac:dyDescent="0.3">
      <c r="A133">
        <v>4313</v>
      </c>
      <c r="B133" t="s">
        <v>726</v>
      </c>
      <c r="C133">
        <v>92</v>
      </c>
      <c r="D133">
        <v>92</v>
      </c>
    </row>
    <row r="134" spans="1:4" x14ac:dyDescent="0.3">
      <c r="A134">
        <v>4316</v>
      </c>
      <c r="B134" t="s">
        <v>495</v>
      </c>
      <c r="C134">
        <v>126</v>
      </c>
      <c r="D134">
        <v>0</v>
      </c>
    </row>
    <row r="135" spans="1:4" x14ac:dyDescent="0.3">
      <c r="A135">
        <v>4320</v>
      </c>
      <c r="B135" t="s">
        <v>369</v>
      </c>
      <c r="C135">
        <v>176</v>
      </c>
      <c r="D135">
        <v>85</v>
      </c>
    </row>
    <row r="136" spans="1:4" x14ac:dyDescent="0.3">
      <c r="A136">
        <v>4323</v>
      </c>
      <c r="B136" t="s">
        <v>1387</v>
      </c>
      <c r="C136">
        <v>494</v>
      </c>
      <c r="D136">
        <v>18</v>
      </c>
    </row>
    <row r="137" spans="1:4" x14ac:dyDescent="0.3">
      <c r="A137">
        <v>4324</v>
      </c>
      <c r="B137" t="s">
        <v>517</v>
      </c>
      <c r="C137">
        <v>38</v>
      </c>
      <c r="D137">
        <v>0</v>
      </c>
    </row>
    <row r="138" spans="1:4" x14ac:dyDescent="0.3">
      <c r="A138">
        <v>4325</v>
      </c>
      <c r="B138" t="s">
        <v>13</v>
      </c>
      <c r="C138">
        <v>398</v>
      </c>
      <c r="D138">
        <v>161</v>
      </c>
    </row>
    <row r="139" spans="1:4" x14ac:dyDescent="0.3">
      <c r="A139">
        <v>4329</v>
      </c>
      <c r="B139" t="s">
        <v>151</v>
      </c>
      <c r="C139">
        <v>390</v>
      </c>
      <c r="D139">
        <v>165</v>
      </c>
    </row>
    <row r="140" spans="1:4" x14ac:dyDescent="0.3">
      <c r="A140">
        <v>4331</v>
      </c>
      <c r="B140" t="s">
        <v>683</v>
      </c>
      <c r="C140">
        <v>273</v>
      </c>
      <c r="D140">
        <v>35</v>
      </c>
    </row>
    <row r="141" spans="1:4" x14ac:dyDescent="0.3">
      <c r="A141">
        <v>4332</v>
      </c>
      <c r="B141" t="s">
        <v>733</v>
      </c>
      <c r="C141">
        <v>50</v>
      </c>
      <c r="D141">
        <v>38</v>
      </c>
    </row>
    <row r="142" spans="1:4" x14ac:dyDescent="0.3">
      <c r="A142">
        <v>4334</v>
      </c>
      <c r="B142" t="s">
        <v>734</v>
      </c>
      <c r="C142">
        <v>65</v>
      </c>
      <c r="D142">
        <v>3</v>
      </c>
    </row>
    <row r="143" spans="1:4" x14ac:dyDescent="0.3">
      <c r="A143">
        <v>4335</v>
      </c>
      <c r="B143" t="s">
        <v>159</v>
      </c>
      <c r="C143">
        <v>280</v>
      </c>
      <c r="D143">
        <v>273</v>
      </c>
    </row>
    <row r="144" spans="1:4" x14ac:dyDescent="0.3">
      <c r="A144">
        <v>4336</v>
      </c>
      <c r="B144" t="s">
        <v>735</v>
      </c>
      <c r="C144">
        <v>590</v>
      </c>
      <c r="D144">
        <v>0</v>
      </c>
    </row>
    <row r="145" spans="1:4" x14ac:dyDescent="0.3">
      <c r="A145">
        <v>4337</v>
      </c>
      <c r="B145" t="s">
        <v>736</v>
      </c>
      <c r="C145">
        <v>39</v>
      </c>
      <c r="D145">
        <v>0</v>
      </c>
    </row>
    <row r="146" spans="1:4" x14ac:dyDescent="0.3">
      <c r="A146">
        <v>4338</v>
      </c>
      <c r="B146" t="s">
        <v>737</v>
      </c>
      <c r="C146">
        <v>358</v>
      </c>
      <c r="D146">
        <v>285</v>
      </c>
    </row>
    <row r="147" spans="1:4" x14ac:dyDescent="0.3">
      <c r="A147">
        <v>4339</v>
      </c>
      <c r="B147" t="s">
        <v>461</v>
      </c>
      <c r="C147">
        <v>496</v>
      </c>
      <c r="D147">
        <v>63</v>
      </c>
    </row>
    <row r="148" spans="1:4" x14ac:dyDescent="0.3">
      <c r="A148">
        <v>4340</v>
      </c>
      <c r="B148" t="s">
        <v>738</v>
      </c>
      <c r="C148">
        <v>708</v>
      </c>
      <c r="D148">
        <v>4</v>
      </c>
    </row>
    <row r="149" spans="1:4" x14ac:dyDescent="0.3">
      <c r="A149">
        <v>4341</v>
      </c>
      <c r="B149" t="s">
        <v>739</v>
      </c>
      <c r="C149">
        <v>71</v>
      </c>
      <c r="D149">
        <v>66</v>
      </c>
    </row>
    <row r="150" spans="1:4" x14ac:dyDescent="0.3">
      <c r="A150">
        <v>4342</v>
      </c>
      <c r="B150" t="s">
        <v>227</v>
      </c>
      <c r="C150">
        <v>265</v>
      </c>
      <c r="D150">
        <v>226</v>
      </c>
    </row>
    <row r="151" spans="1:4" x14ac:dyDescent="0.3">
      <c r="A151">
        <v>4345</v>
      </c>
      <c r="B151" t="s">
        <v>544</v>
      </c>
      <c r="C151">
        <v>750</v>
      </c>
      <c r="D151">
        <v>2</v>
      </c>
    </row>
    <row r="152" spans="1:4" x14ac:dyDescent="0.3">
      <c r="A152">
        <v>4346</v>
      </c>
      <c r="B152" t="s">
        <v>740</v>
      </c>
      <c r="C152">
        <v>18</v>
      </c>
      <c r="D152">
        <v>6</v>
      </c>
    </row>
    <row r="153" spans="1:4" x14ac:dyDescent="0.3">
      <c r="A153">
        <v>4347</v>
      </c>
      <c r="B153" t="s">
        <v>741</v>
      </c>
      <c r="C153">
        <v>371</v>
      </c>
      <c r="D153">
        <v>0</v>
      </c>
    </row>
    <row r="154" spans="1:4" x14ac:dyDescent="0.3">
      <c r="A154">
        <v>4348</v>
      </c>
      <c r="B154" t="s">
        <v>742</v>
      </c>
      <c r="C154">
        <v>5723</v>
      </c>
      <c r="D154">
        <v>1821</v>
      </c>
    </row>
    <row r="155" spans="1:4" x14ac:dyDescent="0.3">
      <c r="A155">
        <v>4352</v>
      </c>
      <c r="B155" t="s">
        <v>747</v>
      </c>
      <c r="C155">
        <v>28</v>
      </c>
      <c r="D155">
        <v>23</v>
      </c>
    </row>
    <row r="156" spans="1:4" x14ac:dyDescent="0.3">
      <c r="A156">
        <v>4355</v>
      </c>
      <c r="B156" t="s">
        <v>540</v>
      </c>
      <c r="C156">
        <v>2991</v>
      </c>
      <c r="D156">
        <v>0</v>
      </c>
    </row>
    <row r="157" spans="1:4" x14ac:dyDescent="0.3">
      <c r="A157">
        <v>4356</v>
      </c>
      <c r="B157" t="s">
        <v>520</v>
      </c>
      <c r="C157">
        <v>83</v>
      </c>
      <c r="D157">
        <v>0</v>
      </c>
    </row>
    <row r="158" spans="1:4" x14ac:dyDescent="0.3">
      <c r="A158">
        <v>4358</v>
      </c>
      <c r="B158" t="s">
        <v>752</v>
      </c>
      <c r="C158">
        <v>23</v>
      </c>
      <c r="D158">
        <v>23</v>
      </c>
    </row>
    <row r="159" spans="1:4" x14ac:dyDescent="0.3">
      <c r="A159">
        <v>4359</v>
      </c>
      <c r="B159" t="s">
        <v>753</v>
      </c>
      <c r="C159">
        <v>292</v>
      </c>
      <c r="D159">
        <v>119</v>
      </c>
    </row>
    <row r="160" spans="1:4" x14ac:dyDescent="0.3">
      <c r="A160">
        <v>4360</v>
      </c>
      <c r="B160" t="s">
        <v>240</v>
      </c>
      <c r="C160">
        <v>138</v>
      </c>
      <c r="D160">
        <v>23</v>
      </c>
    </row>
    <row r="161" spans="1:4" x14ac:dyDescent="0.3">
      <c r="A161">
        <v>4361</v>
      </c>
      <c r="B161" t="s">
        <v>470</v>
      </c>
      <c r="C161">
        <v>384</v>
      </c>
      <c r="D161">
        <v>0</v>
      </c>
    </row>
    <row r="162" spans="1:4" x14ac:dyDescent="0.3">
      <c r="A162">
        <v>4362</v>
      </c>
      <c r="B162" t="s">
        <v>754</v>
      </c>
      <c r="C162">
        <v>261</v>
      </c>
      <c r="D162">
        <v>0</v>
      </c>
    </row>
    <row r="163" spans="1:4" x14ac:dyDescent="0.3">
      <c r="A163">
        <v>4363</v>
      </c>
      <c r="B163" t="s">
        <v>498</v>
      </c>
      <c r="C163">
        <v>443</v>
      </c>
      <c r="D163">
        <v>85</v>
      </c>
    </row>
    <row r="164" spans="1:4" x14ac:dyDescent="0.3">
      <c r="A164">
        <v>4366</v>
      </c>
      <c r="B164" t="s">
        <v>302</v>
      </c>
      <c r="C164">
        <v>165</v>
      </c>
      <c r="D164">
        <v>8</v>
      </c>
    </row>
    <row r="165" spans="1:4" x14ac:dyDescent="0.3">
      <c r="A165">
        <v>4368</v>
      </c>
      <c r="B165" t="s">
        <v>246</v>
      </c>
      <c r="C165">
        <v>4886</v>
      </c>
      <c r="D165">
        <v>25</v>
      </c>
    </row>
    <row r="166" spans="1:4" x14ac:dyDescent="0.3">
      <c r="A166">
        <v>4369</v>
      </c>
      <c r="B166" t="s">
        <v>331</v>
      </c>
      <c r="C166">
        <v>195</v>
      </c>
      <c r="D166">
        <v>195</v>
      </c>
    </row>
    <row r="167" spans="1:4" x14ac:dyDescent="0.3">
      <c r="A167">
        <v>4370</v>
      </c>
      <c r="B167" t="s">
        <v>110</v>
      </c>
      <c r="C167">
        <v>436</v>
      </c>
      <c r="D167">
        <v>348</v>
      </c>
    </row>
    <row r="168" spans="1:4" x14ac:dyDescent="0.3">
      <c r="A168">
        <v>4371</v>
      </c>
      <c r="B168" t="s">
        <v>191</v>
      </c>
      <c r="C168">
        <v>41</v>
      </c>
      <c r="D168">
        <v>41</v>
      </c>
    </row>
    <row r="169" spans="1:4" x14ac:dyDescent="0.3">
      <c r="A169">
        <v>4373</v>
      </c>
      <c r="B169" t="s">
        <v>800</v>
      </c>
      <c r="C169">
        <v>18</v>
      </c>
      <c r="D169">
        <v>1</v>
      </c>
    </row>
    <row r="170" spans="1:4" x14ac:dyDescent="0.3">
      <c r="A170">
        <v>4374</v>
      </c>
      <c r="B170" t="s">
        <v>263</v>
      </c>
      <c r="C170">
        <v>327</v>
      </c>
      <c r="D170">
        <v>224</v>
      </c>
    </row>
    <row r="171" spans="1:4" x14ac:dyDescent="0.3">
      <c r="A171">
        <v>4376</v>
      </c>
      <c r="B171" t="s">
        <v>419</v>
      </c>
      <c r="C171">
        <v>95</v>
      </c>
      <c r="D171">
        <v>53</v>
      </c>
    </row>
    <row r="172" spans="1:4" x14ac:dyDescent="0.3">
      <c r="A172">
        <v>4377</v>
      </c>
      <c r="B172" t="s">
        <v>451</v>
      </c>
      <c r="C172">
        <v>36</v>
      </c>
      <c r="D172">
        <v>0</v>
      </c>
    </row>
    <row r="173" spans="1:4" x14ac:dyDescent="0.3">
      <c r="A173">
        <v>4378</v>
      </c>
      <c r="B173" t="s">
        <v>81</v>
      </c>
      <c r="C173">
        <v>2756</v>
      </c>
      <c r="D173">
        <v>37</v>
      </c>
    </row>
    <row r="174" spans="1:4" x14ac:dyDescent="0.3">
      <c r="A174">
        <v>4379</v>
      </c>
      <c r="B174" t="s">
        <v>291</v>
      </c>
      <c r="C174">
        <v>1119</v>
      </c>
      <c r="D174">
        <v>9</v>
      </c>
    </row>
    <row r="175" spans="1:4" x14ac:dyDescent="0.3">
      <c r="A175">
        <v>4380</v>
      </c>
      <c r="B175" t="s">
        <v>464</v>
      </c>
      <c r="C175">
        <v>104</v>
      </c>
      <c r="D175">
        <v>55</v>
      </c>
    </row>
    <row r="176" spans="1:4" x14ac:dyDescent="0.3">
      <c r="A176">
        <v>4381</v>
      </c>
      <c r="B176" t="s">
        <v>111</v>
      </c>
      <c r="C176">
        <v>1316</v>
      </c>
      <c r="D176">
        <v>826</v>
      </c>
    </row>
    <row r="177" spans="1:4" x14ac:dyDescent="0.3">
      <c r="A177">
        <v>4383</v>
      </c>
      <c r="B177" t="s">
        <v>241</v>
      </c>
      <c r="C177">
        <v>1243</v>
      </c>
      <c r="D177">
        <v>237</v>
      </c>
    </row>
    <row r="178" spans="1:4" x14ac:dyDescent="0.3">
      <c r="A178">
        <v>4385</v>
      </c>
      <c r="B178" t="s">
        <v>450</v>
      </c>
      <c r="C178">
        <v>418</v>
      </c>
      <c r="D178">
        <v>0</v>
      </c>
    </row>
    <row r="179" spans="1:4" x14ac:dyDescent="0.3">
      <c r="A179">
        <v>4386</v>
      </c>
      <c r="B179" t="s">
        <v>496</v>
      </c>
      <c r="C179">
        <v>4</v>
      </c>
      <c r="D179">
        <v>0</v>
      </c>
    </row>
    <row r="180" spans="1:4" x14ac:dyDescent="0.3">
      <c r="A180">
        <v>4387</v>
      </c>
      <c r="B180" t="s">
        <v>447</v>
      </c>
      <c r="C180">
        <v>1921</v>
      </c>
      <c r="D180">
        <v>5</v>
      </c>
    </row>
    <row r="181" spans="1:4" x14ac:dyDescent="0.3">
      <c r="A181">
        <v>4388</v>
      </c>
      <c r="B181" t="s">
        <v>223</v>
      </c>
      <c r="C181">
        <v>346</v>
      </c>
      <c r="D181">
        <v>149</v>
      </c>
    </row>
    <row r="182" spans="1:4" x14ac:dyDescent="0.3">
      <c r="A182">
        <v>4389</v>
      </c>
      <c r="B182" t="s">
        <v>199</v>
      </c>
      <c r="C182">
        <v>1773</v>
      </c>
      <c r="D182">
        <v>1771</v>
      </c>
    </row>
    <row r="183" spans="1:4" x14ac:dyDescent="0.3">
      <c r="A183">
        <v>4390</v>
      </c>
      <c r="B183" t="s">
        <v>348</v>
      </c>
      <c r="C183">
        <v>1028</v>
      </c>
      <c r="D183">
        <v>1</v>
      </c>
    </row>
    <row r="184" spans="1:4" x14ac:dyDescent="0.3">
      <c r="A184">
        <v>4391</v>
      </c>
      <c r="B184" t="s">
        <v>388</v>
      </c>
      <c r="C184">
        <v>2280</v>
      </c>
      <c r="D184">
        <v>1250</v>
      </c>
    </row>
    <row r="185" spans="1:4" x14ac:dyDescent="0.3">
      <c r="A185">
        <v>4392</v>
      </c>
      <c r="B185" t="s">
        <v>194</v>
      </c>
      <c r="C185">
        <v>426</v>
      </c>
      <c r="D185">
        <v>239</v>
      </c>
    </row>
    <row r="186" spans="1:4" x14ac:dyDescent="0.3">
      <c r="A186">
        <v>4393</v>
      </c>
      <c r="B186" t="s">
        <v>383</v>
      </c>
      <c r="C186">
        <v>2222</v>
      </c>
      <c r="D186">
        <v>1254</v>
      </c>
    </row>
    <row r="187" spans="1:4" x14ac:dyDescent="0.3">
      <c r="A187">
        <v>4394</v>
      </c>
      <c r="B187" t="s">
        <v>441</v>
      </c>
      <c r="C187">
        <v>2036</v>
      </c>
      <c r="D187">
        <v>0</v>
      </c>
    </row>
    <row r="188" spans="1:4" x14ac:dyDescent="0.3">
      <c r="A188">
        <v>4395</v>
      </c>
      <c r="B188" t="s">
        <v>97</v>
      </c>
      <c r="C188">
        <v>120</v>
      </c>
      <c r="D188">
        <v>47</v>
      </c>
    </row>
    <row r="189" spans="1:4" x14ac:dyDescent="0.3">
      <c r="A189">
        <v>4396</v>
      </c>
      <c r="B189" t="s">
        <v>1294</v>
      </c>
      <c r="C189">
        <v>1492</v>
      </c>
      <c r="D189">
        <v>1265</v>
      </c>
    </row>
    <row r="190" spans="1:4" x14ac:dyDescent="0.3">
      <c r="A190">
        <v>4397</v>
      </c>
      <c r="B190" t="s">
        <v>806</v>
      </c>
      <c r="C190">
        <v>1898</v>
      </c>
      <c r="D190">
        <v>8</v>
      </c>
    </row>
    <row r="191" spans="1:4" x14ac:dyDescent="0.3">
      <c r="A191">
        <v>4400</v>
      </c>
      <c r="B191" t="s">
        <v>808</v>
      </c>
      <c r="C191">
        <v>22</v>
      </c>
      <c r="D191">
        <v>2</v>
      </c>
    </row>
    <row r="192" spans="1:4" x14ac:dyDescent="0.3">
      <c r="A192">
        <v>4401</v>
      </c>
      <c r="B192" t="s">
        <v>486</v>
      </c>
      <c r="C192">
        <v>41</v>
      </c>
      <c r="D192">
        <v>2</v>
      </c>
    </row>
    <row r="193" spans="1:4" x14ac:dyDescent="0.3">
      <c r="A193">
        <v>4403</v>
      </c>
      <c r="B193" t="s">
        <v>424</v>
      </c>
      <c r="C193">
        <v>37689</v>
      </c>
      <c r="D193">
        <v>966</v>
      </c>
    </row>
    <row r="194" spans="1:4" x14ac:dyDescent="0.3">
      <c r="A194">
        <v>4404</v>
      </c>
      <c r="B194" t="s">
        <v>269</v>
      </c>
      <c r="C194">
        <v>9809</v>
      </c>
      <c r="D194">
        <v>4194</v>
      </c>
    </row>
    <row r="195" spans="1:4" x14ac:dyDescent="0.3">
      <c r="A195">
        <v>4405</v>
      </c>
      <c r="B195" t="s">
        <v>167</v>
      </c>
      <c r="C195">
        <v>5033</v>
      </c>
      <c r="D195">
        <v>3583</v>
      </c>
    </row>
    <row r="196" spans="1:4" x14ac:dyDescent="0.3">
      <c r="A196">
        <v>4406</v>
      </c>
      <c r="B196" t="s">
        <v>36</v>
      </c>
      <c r="C196">
        <v>12163</v>
      </c>
      <c r="D196">
        <v>20</v>
      </c>
    </row>
    <row r="197" spans="1:4" x14ac:dyDescent="0.3">
      <c r="A197">
        <v>4407</v>
      </c>
      <c r="B197" t="s">
        <v>403</v>
      </c>
      <c r="C197">
        <v>14690</v>
      </c>
      <c r="D197">
        <v>197</v>
      </c>
    </row>
    <row r="198" spans="1:4" x14ac:dyDescent="0.3">
      <c r="A198">
        <v>4408</v>
      </c>
      <c r="B198" t="s">
        <v>406</v>
      </c>
      <c r="C198">
        <v>1790</v>
      </c>
      <c r="D198">
        <v>270</v>
      </c>
    </row>
    <row r="199" spans="1:4" x14ac:dyDescent="0.3">
      <c r="A199">
        <v>4409</v>
      </c>
      <c r="B199" t="s">
        <v>18</v>
      </c>
      <c r="C199">
        <v>388</v>
      </c>
      <c r="D199">
        <v>309</v>
      </c>
    </row>
    <row r="200" spans="1:4" x14ac:dyDescent="0.3">
      <c r="A200">
        <v>4410</v>
      </c>
      <c r="B200" t="s">
        <v>95</v>
      </c>
      <c r="C200">
        <v>4181</v>
      </c>
      <c r="D200">
        <v>531</v>
      </c>
    </row>
    <row r="201" spans="1:4" x14ac:dyDescent="0.3">
      <c r="A201">
        <v>4411</v>
      </c>
      <c r="B201" t="s">
        <v>367</v>
      </c>
      <c r="C201">
        <v>5807</v>
      </c>
      <c r="D201">
        <v>201</v>
      </c>
    </row>
    <row r="202" spans="1:4" x14ac:dyDescent="0.3">
      <c r="A202">
        <v>4412</v>
      </c>
      <c r="B202" t="s">
        <v>61</v>
      </c>
      <c r="C202">
        <v>756</v>
      </c>
      <c r="D202">
        <v>66</v>
      </c>
    </row>
    <row r="203" spans="1:4" x14ac:dyDescent="0.3">
      <c r="A203">
        <v>4413</v>
      </c>
      <c r="B203" t="s">
        <v>427</v>
      </c>
      <c r="C203">
        <v>11630</v>
      </c>
      <c r="D203">
        <v>2396</v>
      </c>
    </row>
    <row r="204" spans="1:4" x14ac:dyDescent="0.3">
      <c r="A204">
        <v>4414</v>
      </c>
      <c r="B204" t="s">
        <v>371</v>
      </c>
      <c r="C204">
        <v>21</v>
      </c>
      <c r="D204">
        <v>16</v>
      </c>
    </row>
    <row r="205" spans="1:4" x14ac:dyDescent="0.3">
      <c r="A205">
        <v>4416</v>
      </c>
      <c r="B205" t="s">
        <v>114</v>
      </c>
      <c r="C205">
        <v>533</v>
      </c>
      <c r="D205">
        <v>35</v>
      </c>
    </row>
    <row r="206" spans="1:4" x14ac:dyDescent="0.3">
      <c r="A206">
        <v>4418</v>
      </c>
      <c r="B206" t="s">
        <v>24</v>
      </c>
      <c r="C206">
        <v>600</v>
      </c>
      <c r="D206">
        <v>597</v>
      </c>
    </row>
    <row r="207" spans="1:4" x14ac:dyDescent="0.3">
      <c r="A207">
        <v>4420</v>
      </c>
      <c r="B207" t="s">
        <v>1271</v>
      </c>
      <c r="C207">
        <v>25</v>
      </c>
      <c r="D207">
        <v>19</v>
      </c>
    </row>
    <row r="208" spans="1:4" x14ac:dyDescent="0.3">
      <c r="A208">
        <v>4421</v>
      </c>
      <c r="B208" t="s">
        <v>819</v>
      </c>
      <c r="C208">
        <v>88</v>
      </c>
      <c r="D208">
        <v>63</v>
      </c>
    </row>
    <row r="209" spans="1:4" x14ac:dyDescent="0.3">
      <c r="A209">
        <v>4422</v>
      </c>
      <c r="B209" t="s">
        <v>425</v>
      </c>
      <c r="C209">
        <v>86</v>
      </c>
      <c r="D209">
        <v>1</v>
      </c>
    </row>
    <row r="210" spans="1:4" x14ac:dyDescent="0.3">
      <c r="A210">
        <v>4425</v>
      </c>
      <c r="B210" t="s">
        <v>354</v>
      </c>
      <c r="C210">
        <v>405</v>
      </c>
      <c r="D210">
        <v>283</v>
      </c>
    </row>
    <row r="211" spans="1:4" x14ac:dyDescent="0.3">
      <c r="A211">
        <v>4426</v>
      </c>
      <c r="B211" t="s">
        <v>515</v>
      </c>
      <c r="C211">
        <v>218</v>
      </c>
      <c r="D211">
        <v>0</v>
      </c>
    </row>
    <row r="212" spans="1:4" x14ac:dyDescent="0.3">
      <c r="A212">
        <v>4428</v>
      </c>
      <c r="B212" t="s">
        <v>822</v>
      </c>
      <c r="C212">
        <v>90</v>
      </c>
      <c r="D212">
        <v>18</v>
      </c>
    </row>
    <row r="213" spans="1:4" x14ac:dyDescent="0.3">
      <c r="A213">
        <v>4430</v>
      </c>
      <c r="B213" t="s">
        <v>823</v>
      </c>
      <c r="C213">
        <v>27</v>
      </c>
      <c r="D213">
        <v>8</v>
      </c>
    </row>
    <row r="214" spans="1:4" x14ac:dyDescent="0.3">
      <c r="A214">
        <v>4431</v>
      </c>
      <c r="B214" t="s">
        <v>836</v>
      </c>
      <c r="C214">
        <v>300</v>
      </c>
      <c r="D214">
        <v>274</v>
      </c>
    </row>
    <row r="215" spans="1:4" x14ac:dyDescent="0.3">
      <c r="A215">
        <v>4435</v>
      </c>
      <c r="B215" t="s">
        <v>274</v>
      </c>
      <c r="C215">
        <v>148</v>
      </c>
      <c r="D215">
        <v>0</v>
      </c>
    </row>
    <row r="216" spans="1:4" x14ac:dyDescent="0.3">
      <c r="A216">
        <v>4437</v>
      </c>
      <c r="B216" t="s">
        <v>166</v>
      </c>
      <c r="C216">
        <v>8228</v>
      </c>
      <c r="D216">
        <v>3529</v>
      </c>
    </row>
    <row r="217" spans="1:4" x14ac:dyDescent="0.3">
      <c r="A217">
        <v>4438</v>
      </c>
      <c r="B217" t="s">
        <v>357</v>
      </c>
      <c r="C217">
        <v>379</v>
      </c>
      <c r="D217">
        <v>235</v>
      </c>
    </row>
    <row r="218" spans="1:4" x14ac:dyDescent="0.3">
      <c r="A218">
        <v>4439</v>
      </c>
      <c r="B218" t="s">
        <v>268</v>
      </c>
      <c r="C218">
        <v>641</v>
      </c>
      <c r="D218">
        <v>512</v>
      </c>
    </row>
    <row r="219" spans="1:4" x14ac:dyDescent="0.3">
      <c r="A219">
        <v>4440</v>
      </c>
      <c r="B219" t="s">
        <v>404</v>
      </c>
      <c r="C219">
        <v>332</v>
      </c>
      <c r="D219">
        <v>151</v>
      </c>
    </row>
    <row r="220" spans="1:4" x14ac:dyDescent="0.3">
      <c r="A220">
        <v>4441</v>
      </c>
      <c r="B220" t="s">
        <v>273</v>
      </c>
      <c r="C220">
        <v>5944</v>
      </c>
      <c r="D220">
        <v>3045</v>
      </c>
    </row>
    <row r="221" spans="1:4" x14ac:dyDescent="0.3">
      <c r="A221">
        <v>4442</v>
      </c>
      <c r="B221" t="s">
        <v>115</v>
      </c>
      <c r="C221">
        <v>1817</v>
      </c>
      <c r="D221">
        <v>1407</v>
      </c>
    </row>
    <row r="222" spans="1:4" x14ac:dyDescent="0.3">
      <c r="A222">
        <v>4443</v>
      </c>
      <c r="B222" t="s">
        <v>39</v>
      </c>
      <c r="C222">
        <v>2965</v>
      </c>
      <c r="D222">
        <v>2005</v>
      </c>
    </row>
    <row r="223" spans="1:4" x14ac:dyDescent="0.3">
      <c r="A223">
        <v>4444</v>
      </c>
      <c r="B223" t="s">
        <v>311</v>
      </c>
      <c r="C223">
        <v>383</v>
      </c>
      <c r="D223">
        <v>0</v>
      </c>
    </row>
    <row r="224" spans="1:4" x14ac:dyDescent="0.3">
      <c r="A224">
        <v>4445</v>
      </c>
      <c r="B224" t="s">
        <v>221</v>
      </c>
      <c r="C224">
        <v>4057</v>
      </c>
      <c r="D224">
        <v>1938</v>
      </c>
    </row>
    <row r="225" spans="1:4" x14ac:dyDescent="0.3">
      <c r="A225">
        <v>4446</v>
      </c>
      <c r="B225" t="s">
        <v>93</v>
      </c>
      <c r="C225">
        <v>6780</v>
      </c>
      <c r="D225">
        <v>81</v>
      </c>
    </row>
    <row r="226" spans="1:4" x14ac:dyDescent="0.3">
      <c r="A226">
        <v>4447</v>
      </c>
      <c r="B226" t="s">
        <v>482</v>
      </c>
      <c r="C226">
        <v>339</v>
      </c>
      <c r="D226">
        <v>1</v>
      </c>
    </row>
    <row r="227" spans="1:4" x14ac:dyDescent="0.3">
      <c r="A227">
        <v>4448</v>
      </c>
      <c r="B227" t="s">
        <v>156</v>
      </c>
      <c r="C227">
        <v>864</v>
      </c>
      <c r="D227">
        <v>473</v>
      </c>
    </row>
    <row r="228" spans="1:4" x14ac:dyDescent="0.3">
      <c r="A228">
        <v>4449</v>
      </c>
      <c r="B228" t="s">
        <v>364</v>
      </c>
      <c r="C228">
        <v>542</v>
      </c>
      <c r="D228">
        <v>280</v>
      </c>
    </row>
    <row r="229" spans="1:4" x14ac:dyDescent="0.3">
      <c r="A229">
        <v>4450</v>
      </c>
      <c r="B229" t="s">
        <v>849</v>
      </c>
      <c r="C229">
        <v>1009</v>
      </c>
      <c r="D229">
        <v>673</v>
      </c>
    </row>
    <row r="230" spans="1:4" x14ac:dyDescent="0.3">
      <c r="A230">
        <v>4451</v>
      </c>
      <c r="B230" t="s">
        <v>399</v>
      </c>
      <c r="C230">
        <v>495</v>
      </c>
      <c r="D230">
        <v>44</v>
      </c>
    </row>
    <row r="231" spans="1:4" x14ac:dyDescent="0.3">
      <c r="A231">
        <v>4452</v>
      </c>
      <c r="B231" t="s">
        <v>340</v>
      </c>
      <c r="C231">
        <v>187</v>
      </c>
      <c r="D231">
        <v>0</v>
      </c>
    </row>
    <row r="232" spans="1:4" x14ac:dyDescent="0.3">
      <c r="A232">
        <v>4453</v>
      </c>
      <c r="B232" t="s">
        <v>94</v>
      </c>
      <c r="C232">
        <v>2561</v>
      </c>
      <c r="D232">
        <v>1580</v>
      </c>
    </row>
    <row r="233" spans="1:4" x14ac:dyDescent="0.3">
      <c r="A233">
        <v>4454</v>
      </c>
      <c r="B233" t="s">
        <v>377</v>
      </c>
      <c r="C233">
        <v>321</v>
      </c>
      <c r="D233">
        <v>150</v>
      </c>
    </row>
    <row r="234" spans="1:4" x14ac:dyDescent="0.3">
      <c r="A234">
        <v>4457</v>
      </c>
      <c r="B234" t="s">
        <v>306</v>
      </c>
      <c r="C234">
        <v>5249</v>
      </c>
      <c r="D234">
        <v>50</v>
      </c>
    </row>
    <row r="235" spans="1:4" x14ac:dyDescent="0.3">
      <c r="A235">
        <v>4458</v>
      </c>
      <c r="B235" t="s">
        <v>376</v>
      </c>
      <c r="C235">
        <v>2495</v>
      </c>
      <c r="D235">
        <v>1253</v>
      </c>
    </row>
    <row r="236" spans="1:4" x14ac:dyDescent="0.3">
      <c r="A236">
        <v>4459</v>
      </c>
      <c r="B236" t="s">
        <v>375</v>
      </c>
      <c r="C236">
        <v>225</v>
      </c>
      <c r="D236">
        <v>0</v>
      </c>
    </row>
    <row r="237" spans="1:4" x14ac:dyDescent="0.3">
      <c r="A237">
        <v>4460</v>
      </c>
      <c r="B237" t="s">
        <v>327</v>
      </c>
      <c r="C237">
        <v>77</v>
      </c>
      <c r="D237">
        <v>0</v>
      </c>
    </row>
    <row r="238" spans="1:4" x14ac:dyDescent="0.3">
      <c r="A238">
        <v>4461</v>
      </c>
      <c r="B238" t="s">
        <v>391</v>
      </c>
      <c r="C238">
        <v>110</v>
      </c>
      <c r="D238">
        <v>32</v>
      </c>
    </row>
    <row r="239" spans="1:4" x14ac:dyDescent="0.3">
      <c r="A239">
        <v>4462</v>
      </c>
      <c r="B239" t="s">
        <v>328</v>
      </c>
      <c r="C239">
        <v>55</v>
      </c>
      <c r="D239">
        <v>0</v>
      </c>
    </row>
    <row r="240" spans="1:4" x14ac:dyDescent="0.3">
      <c r="A240">
        <v>4463</v>
      </c>
      <c r="B240" t="s">
        <v>857</v>
      </c>
      <c r="C240">
        <v>277</v>
      </c>
      <c r="D240">
        <v>175</v>
      </c>
    </row>
    <row r="241" spans="1:4" x14ac:dyDescent="0.3">
      <c r="A241">
        <v>4466</v>
      </c>
      <c r="B241" t="s">
        <v>352</v>
      </c>
      <c r="C241">
        <v>3487</v>
      </c>
      <c r="D241">
        <v>1456</v>
      </c>
    </row>
    <row r="242" spans="1:4" x14ac:dyDescent="0.3">
      <c r="A242">
        <v>4467</v>
      </c>
      <c r="B242" t="s">
        <v>381</v>
      </c>
      <c r="C242">
        <v>953</v>
      </c>
      <c r="D242">
        <v>534</v>
      </c>
    </row>
    <row r="243" spans="1:4" x14ac:dyDescent="0.3">
      <c r="A243">
        <v>4469</v>
      </c>
      <c r="B243" t="s">
        <v>200</v>
      </c>
      <c r="C243">
        <v>5154</v>
      </c>
      <c r="D243">
        <v>2800</v>
      </c>
    </row>
    <row r="244" spans="1:4" x14ac:dyDescent="0.3">
      <c r="A244">
        <v>4470</v>
      </c>
      <c r="B244" t="s">
        <v>86</v>
      </c>
      <c r="C244">
        <v>1433</v>
      </c>
      <c r="D244">
        <v>1017</v>
      </c>
    </row>
    <row r="245" spans="1:4" x14ac:dyDescent="0.3">
      <c r="A245">
        <v>4471</v>
      </c>
      <c r="B245" t="s">
        <v>55</v>
      </c>
      <c r="C245">
        <v>217</v>
      </c>
      <c r="D245">
        <v>217</v>
      </c>
    </row>
    <row r="246" spans="1:4" x14ac:dyDescent="0.3">
      <c r="A246">
        <v>4472</v>
      </c>
      <c r="B246" t="s">
        <v>382</v>
      </c>
      <c r="C246">
        <v>111</v>
      </c>
      <c r="D246">
        <v>62</v>
      </c>
    </row>
    <row r="247" spans="1:4" x14ac:dyDescent="0.3">
      <c r="A247">
        <v>4473</v>
      </c>
      <c r="B247" t="s">
        <v>278</v>
      </c>
      <c r="C247">
        <v>449</v>
      </c>
      <c r="D247">
        <v>389</v>
      </c>
    </row>
    <row r="248" spans="1:4" x14ac:dyDescent="0.3">
      <c r="A248">
        <v>4474</v>
      </c>
      <c r="B248" t="s">
        <v>104</v>
      </c>
      <c r="C248">
        <v>2028</v>
      </c>
      <c r="D248">
        <v>1136</v>
      </c>
    </row>
    <row r="249" spans="1:4" x14ac:dyDescent="0.3">
      <c r="A249">
        <v>4478</v>
      </c>
      <c r="B249" t="s">
        <v>475</v>
      </c>
      <c r="C249">
        <v>14</v>
      </c>
      <c r="D249">
        <v>0</v>
      </c>
    </row>
    <row r="250" spans="1:4" x14ac:dyDescent="0.3">
      <c r="A250">
        <v>4479</v>
      </c>
      <c r="B250" t="s">
        <v>113</v>
      </c>
      <c r="C250">
        <v>97</v>
      </c>
      <c r="D250">
        <v>0</v>
      </c>
    </row>
    <row r="251" spans="1:4" x14ac:dyDescent="0.3">
      <c r="A251">
        <v>4480</v>
      </c>
      <c r="B251" t="s">
        <v>243</v>
      </c>
      <c r="C251">
        <v>75</v>
      </c>
      <c r="D251">
        <v>56</v>
      </c>
    </row>
    <row r="252" spans="1:4" x14ac:dyDescent="0.3">
      <c r="A252">
        <v>4481</v>
      </c>
      <c r="B252" t="s">
        <v>66</v>
      </c>
      <c r="C252">
        <v>276</v>
      </c>
      <c r="D252">
        <v>219</v>
      </c>
    </row>
    <row r="253" spans="1:4" x14ac:dyDescent="0.3">
      <c r="A253">
        <v>4482</v>
      </c>
      <c r="B253" t="s">
        <v>514</v>
      </c>
      <c r="C253">
        <v>21</v>
      </c>
      <c r="D253">
        <v>0</v>
      </c>
    </row>
    <row r="254" spans="1:4" x14ac:dyDescent="0.3">
      <c r="A254">
        <v>4483</v>
      </c>
      <c r="B254" t="s">
        <v>527</v>
      </c>
      <c r="C254">
        <v>4</v>
      </c>
      <c r="D254">
        <v>0</v>
      </c>
    </row>
    <row r="255" spans="1:4" x14ac:dyDescent="0.3">
      <c r="A255">
        <v>4484</v>
      </c>
      <c r="B255" t="s">
        <v>87</v>
      </c>
      <c r="C255">
        <v>126</v>
      </c>
      <c r="D255">
        <v>72</v>
      </c>
    </row>
    <row r="256" spans="1:4" x14ac:dyDescent="0.3">
      <c r="A256">
        <v>4485</v>
      </c>
      <c r="B256" t="s">
        <v>448</v>
      </c>
      <c r="C256">
        <v>37</v>
      </c>
      <c r="D256">
        <v>31</v>
      </c>
    </row>
    <row r="257" spans="1:4" x14ac:dyDescent="0.3">
      <c r="A257">
        <v>4486</v>
      </c>
      <c r="B257" t="s">
        <v>106</v>
      </c>
      <c r="C257">
        <v>452</v>
      </c>
      <c r="D257">
        <v>239</v>
      </c>
    </row>
    <row r="258" spans="1:4" x14ac:dyDescent="0.3">
      <c r="A258">
        <v>4487</v>
      </c>
      <c r="B258" t="s">
        <v>117</v>
      </c>
      <c r="C258">
        <v>2055</v>
      </c>
      <c r="D258">
        <v>1326</v>
      </c>
    </row>
    <row r="259" spans="1:4" x14ac:dyDescent="0.3">
      <c r="A259">
        <v>4488</v>
      </c>
      <c r="B259" t="s">
        <v>288</v>
      </c>
      <c r="C259">
        <v>912</v>
      </c>
      <c r="D259">
        <v>506</v>
      </c>
    </row>
    <row r="260" spans="1:4" x14ac:dyDescent="0.3">
      <c r="A260">
        <v>4492</v>
      </c>
      <c r="B260" t="s">
        <v>866</v>
      </c>
      <c r="C260">
        <v>144</v>
      </c>
      <c r="D260">
        <v>72</v>
      </c>
    </row>
    <row r="261" spans="1:4" x14ac:dyDescent="0.3">
      <c r="A261">
        <v>4493</v>
      </c>
      <c r="B261" t="s">
        <v>287</v>
      </c>
      <c r="C261">
        <v>168</v>
      </c>
      <c r="D261">
        <v>93</v>
      </c>
    </row>
    <row r="262" spans="1:4" x14ac:dyDescent="0.3">
      <c r="A262">
        <v>4495</v>
      </c>
      <c r="B262" t="s">
        <v>679</v>
      </c>
      <c r="C262">
        <v>445</v>
      </c>
      <c r="D262">
        <v>239</v>
      </c>
    </row>
    <row r="263" spans="1:4" x14ac:dyDescent="0.3">
      <c r="A263">
        <v>4496</v>
      </c>
      <c r="B263" t="s">
        <v>868</v>
      </c>
      <c r="C263">
        <v>228</v>
      </c>
      <c r="D263">
        <v>65</v>
      </c>
    </row>
    <row r="264" spans="1:4" x14ac:dyDescent="0.3">
      <c r="A264">
        <v>4499</v>
      </c>
      <c r="B264" t="s">
        <v>452</v>
      </c>
      <c r="C264">
        <v>8491</v>
      </c>
      <c r="D264">
        <v>6246</v>
      </c>
    </row>
    <row r="265" spans="1:4" x14ac:dyDescent="0.3">
      <c r="A265">
        <v>4500</v>
      </c>
      <c r="B265" t="s">
        <v>390</v>
      </c>
      <c r="C265">
        <v>2922</v>
      </c>
      <c r="D265">
        <v>2</v>
      </c>
    </row>
    <row r="266" spans="1:4" x14ac:dyDescent="0.3">
      <c r="A266">
        <v>4501</v>
      </c>
      <c r="B266" t="s">
        <v>121</v>
      </c>
      <c r="C266">
        <v>6197</v>
      </c>
      <c r="D266">
        <v>5494</v>
      </c>
    </row>
    <row r="267" spans="1:4" x14ac:dyDescent="0.3">
      <c r="A267">
        <v>4502</v>
      </c>
      <c r="B267" t="s">
        <v>201</v>
      </c>
      <c r="C267">
        <v>83</v>
      </c>
      <c r="D267">
        <v>0</v>
      </c>
    </row>
    <row r="268" spans="1:4" x14ac:dyDescent="0.3">
      <c r="A268">
        <v>4503</v>
      </c>
      <c r="B268" t="s">
        <v>292</v>
      </c>
      <c r="C268">
        <v>176</v>
      </c>
      <c r="D268">
        <v>142</v>
      </c>
    </row>
    <row r="269" spans="1:4" x14ac:dyDescent="0.3">
      <c r="A269">
        <v>4504</v>
      </c>
      <c r="B269" t="s">
        <v>434</v>
      </c>
      <c r="C269">
        <v>206</v>
      </c>
      <c r="D269">
        <v>158</v>
      </c>
    </row>
    <row r="270" spans="1:4" x14ac:dyDescent="0.3">
      <c r="A270">
        <v>4505</v>
      </c>
      <c r="B270" t="s">
        <v>176</v>
      </c>
      <c r="C270">
        <v>5236</v>
      </c>
      <c r="D270">
        <v>49</v>
      </c>
    </row>
    <row r="271" spans="1:4" x14ac:dyDescent="0.3">
      <c r="A271">
        <v>4506</v>
      </c>
      <c r="B271" t="s">
        <v>37</v>
      </c>
      <c r="C271">
        <v>147</v>
      </c>
      <c r="D271">
        <v>21</v>
      </c>
    </row>
    <row r="272" spans="1:4" x14ac:dyDescent="0.3">
      <c r="A272">
        <v>4507</v>
      </c>
      <c r="B272" t="s">
        <v>453</v>
      </c>
      <c r="C272">
        <v>7866</v>
      </c>
      <c r="D272">
        <v>719</v>
      </c>
    </row>
    <row r="273" spans="1:4" x14ac:dyDescent="0.3">
      <c r="A273">
        <v>4508</v>
      </c>
      <c r="B273" t="s">
        <v>542</v>
      </c>
      <c r="C273">
        <v>43</v>
      </c>
      <c r="D273">
        <v>38</v>
      </c>
    </row>
    <row r="274" spans="1:4" x14ac:dyDescent="0.3">
      <c r="A274">
        <v>4509</v>
      </c>
      <c r="B274" t="s">
        <v>874</v>
      </c>
      <c r="C274">
        <v>18</v>
      </c>
      <c r="D274">
        <v>18</v>
      </c>
    </row>
    <row r="275" spans="1:4" x14ac:dyDescent="0.3">
      <c r="A275">
        <v>4510</v>
      </c>
      <c r="B275" t="s">
        <v>325</v>
      </c>
      <c r="C275">
        <v>1792</v>
      </c>
      <c r="D275">
        <v>1427</v>
      </c>
    </row>
    <row r="276" spans="1:4" x14ac:dyDescent="0.3">
      <c r="A276">
        <v>4511</v>
      </c>
      <c r="B276" t="s">
        <v>355</v>
      </c>
      <c r="C276">
        <v>190</v>
      </c>
      <c r="D276">
        <v>190</v>
      </c>
    </row>
    <row r="277" spans="1:4" x14ac:dyDescent="0.3">
      <c r="A277">
        <v>4512</v>
      </c>
      <c r="B277" t="s">
        <v>435</v>
      </c>
      <c r="C277">
        <v>76</v>
      </c>
      <c r="D277">
        <v>76</v>
      </c>
    </row>
    <row r="278" spans="1:4" x14ac:dyDescent="0.3">
      <c r="A278">
        <v>4513</v>
      </c>
      <c r="B278" t="s">
        <v>75</v>
      </c>
      <c r="C278">
        <v>24</v>
      </c>
      <c r="D278">
        <v>17</v>
      </c>
    </row>
    <row r="279" spans="1:4" x14ac:dyDescent="0.3">
      <c r="A279">
        <v>4514</v>
      </c>
      <c r="B279" t="s">
        <v>368</v>
      </c>
      <c r="C279">
        <v>127</v>
      </c>
      <c r="D279">
        <v>99</v>
      </c>
    </row>
    <row r="280" spans="1:4" x14ac:dyDescent="0.3">
      <c r="A280">
        <v>4515</v>
      </c>
      <c r="B280" t="s">
        <v>69</v>
      </c>
      <c r="C280">
        <v>94</v>
      </c>
      <c r="D280">
        <v>94</v>
      </c>
    </row>
    <row r="281" spans="1:4" x14ac:dyDescent="0.3">
      <c r="A281">
        <v>4516</v>
      </c>
      <c r="B281" t="s">
        <v>524</v>
      </c>
      <c r="C281">
        <v>341</v>
      </c>
      <c r="D281">
        <v>135</v>
      </c>
    </row>
    <row r="282" spans="1:4" x14ac:dyDescent="0.3">
      <c r="A282">
        <v>5174</v>
      </c>
      <c r="B282" t="s">
        <v>218</v>
      </c>
      <c r="C282">
        <v>30</v>
      </c>
      <c r="D282">
        <v>20</v>
      </c>
    </row>
    <row r="283" spans="1:4" x14ac:dyDescent="0.3">
      <c r="A283">
        <v>5180</v>
      </c>
      <c r="B283" t="s">
        <v>766</v>
      </c>
      <c r="C283">
        <v>1929</v>
      </c>
      <c r="D283">
        <v>448</v>
      </c>
    </row>
    <row r="284" spans="1:4" x14ac:dyDescent="0.3">
      <c r="A284">
        <v>5181</v>
      </c>
      <c r="B284" t="s">
        <v>764</v>
      </c>
      <c r="C284">
        <v>206</v>
      </c>
      <c r="D284">
        <v>0</v>
      </c>
    </row>
    <row r="285" spans="1:4" x14ac:dyDescent="0.3">
      <c r="A285">
        <v>5186</v>
      </c>
      <c r="B285" t="s">
        <v>105</v>
      </c>
      <c r="C285">
        <v>425</v>
      </c>
      <c r="D285">
        <v>330</v>
      </c>
    </row>
    <row r="286" spans="1:4" x14ac:dyDescent="0.3">
      <c r="A286">
        <v>5978</v>
      </c>
      <c r="B286" t="s">
        <v>854</v>
      </c>
      <c r="C286">
        <v>178</v>
      </c>
      <c r="D286">
        <v>166</v>
      </c>
    </row>
    <row r="287" spans="1:4" x14ac:dyDescent="0.3">
      <c r="A287">
        <v>6235</v>
      </c>
      <c r="B287" t="s">
        <v>314</v>
      </c>
      <c r="C287">
        <v>1107</v>
      </c>
      <c r="D287">
        <v>721</v>
      </c>
    </row>
    <row r="288" spans="1:4" x14ac:dyDescent="0.3">
      <c r="A288">
        <v>6258</v>
      </c>
      <c r="B288" t="s">
        <v>631</v>
      </c>
      <c r="C288">
        <v>319</v>
      </c>
      <c r="D288">
        <v>179</v>
      </c>
    </row>
    <row r="289" spans="1:4" x14ac:dyDescent="0.3">
      <c r="A289">
        <v>6353</v>
      </c>
      <c r="B289" t="s">
        <v>809</v>
      </c>
      <c r="C289">
        <v>30</v>
      </c>
      <c r="D289">
        <v>0</v>
      </c>
    </row>
    <row r="290" spans="1:4" x14ac:dyDescent="0.3">
      <c r="A290">
        <v>6355</v>
      </c>
      <c r="B290" t="s">
        <v>832</v>
      </c>
      <c r="C290">
        <v>843</v>
      </c>
      <c r="D290">
        <v>305</v>
      </c>
    </row>
    <row r="291" spans="1:4" x14ac:dyDescent="0.3">
      <c r="A291">
        <v>6357</v>
      </c>
      <c r="B291" t="s">
        <v>132</v>
      </c>
      <c r="C291">
        <v>106</v>
      </c>
      <c r="D291">
        <v>39</v>
      </c>
    </row>
    <row r="292" spans="1:4" x14ac:dyDescent="0.3">
      <c r="A292">
        <v>6361</v>
      </c>
      <c r="B292" t="s">
        <v>1266</v>
      </c>
      <c r="C292">
        <v>799</v>
      </c>
      <c r="D292">
        <v>1</v>
      </c>
    </row>
    <row r="293" spans="1:4" x14ac:dyDescent="0.3">
      <c r="A293">
        <v>6362</v>
      </c>
      <c r="B293" t="s">
        <v>759</v>
      </c>
      <c r="C293">
        <v>547</v>
      </c>
      <c r="D293">
        <v>113</v>
      </c>
    </row>
    <row r="294" spans="1:4" x14ac:dyDescent="0.3">
      <c r="A294">
        <v>6364</v>
      </c>
      <c r="B294" t="s">
        <v>12</v>
      </c>
      <c r="C294">
        <v>167</v>
      </c>
      <c r="D294">
        <v>67</v>
      </c>
    </row>
    <row r="295" spans="1:4" x14ac:dyDescent="0.3">
      <c r="A295">
        <v>6365</v>
      </c>
      <c r="B295" t="s">
        <v>35</v>
      </c>
      <c r="C295">
        <v>417</v>
      </c>
      <c r="D295">
        <v>217</v>
      </c>
    </row>
    <row r="296" spans="1:4" x14ac:dyDescent="0.3">
      <c r="A296">
        <v>6369</v>
      </c>
      <c r="B296" t="s">
        <v>190</v>
      </c>
      <c r="C296">
        <v>43</v>
      </c>
      <c r="D296">
        <v>1</v>
      </c>
    </row>
    <row r="297" spans="1:4" x14ac:dyDescent="0.3">
      <c r="A297">
        <v>6372</v>
      </c>
      <c r="B297" t="s">
        <v>760</v>
      </c>
      <c r="C297">
        <v>32</v>
      </c>
      <c r="D297">
        <v>23</v>
      </c>
    </row>
    <row r="298" spans="1:4" x14ac:dyDescent="0.3">
      <c r="A298">
        <v>6374</v>
      </c>
      <c r="B298" t="s">
        <v>422</v>
      </c>
      <c r="C298">
        <v>23</v>
      </c>
      <c r="D298">
        <v>18</v>
      </c>
    </row>
    <row r="299" spans="1:4" x14ac:dyDescent="0.3">
      <c r="A299">
        <v>6375</v>
      </c>
      <c r="B299" t="s">
        <v>728</v>
      </c>
      <c r="C299">
        <v>201</v>
      </c>
      <c r="D299">
        <v>154</v>
      </c>
    </row>
    <row r="300" spans="1:4" x14ac:dyDescent="0.3">
      <c r="A300">
        <v>6378</v>
      </c>
      <c r="B300" t="s">
        <v>729</v>
      </c>
      <c r="C300">
        <v>46</v>
      </c>
      <c r="D300">
        <v>41</v>
      </c>
    </row>
    <row r="301" spans="1:4" x14ac:dyDescent="0.3">
      <c r="A301">
        <v>6379</v>
      </c>
      <c r="B301" t="s">
        <v>338</v>
      </c>
      <c r="C301">
        <v>58</v>
      </c>
      <c r="D301">
        <v>34</v>
      </c>
    </row>
    <row r="302" spans="1:4" x14ac:dyDescent="0.3">
      <c r="A302">
        <v>6393</v>
      </c>
      <c r="B302" t="s">
        <v>50</v>
      </c>
      <c r="C302">
        <v>596</v>
      </c>
      <c r="D302">
        <v>24</v>
      </c>
    </row>
    <row r="303" spans="1:4" x14ac:dyDescent="0.3">
      <c r="A303">
        <v>6446</v>
      </c>
      <c r="B303" t="s">
        <v>768</v>
      </c>
      <c r="C303">
        <v>940</v>
      </c>
      <c r="D303">
        <v>867</v>
      </c>
    </row>
    <row r="304" spans="1:4" x14ac:dyDescent="0.3">
      <c r="A304">
        <v>6470</v>
      </c>
      <c r="B304" t="s">
        <v>620</v>
      </c>
      <c r="C304">
        <v>2</v>
      </c>
      <c r="D304">
        <v>0</v>
      </c>
    </row>
    <row r="305" spans="1:4" x14ac:dyDescent="0.3">
      <c r="A305">
        <v>6719</v>
      </c>
      <c r="B305" t="s">
        <v>623</v>
      </c>
      <c r="C305">
        <v>2</v>
      </c>
      <c r="D305">
        <v>0</v>
      </c>
    </row>
    <row r="306" spans="1:4" x14ac:dyDescent="0.3">
      <c r="A306">
        <v>7295</v>
      </c>
      <c r="B306" t="s">
        <v>632</v>
      </c>
      <c r="C306">
        <v>5</v>
      </c>
      <c r="D306">
        <v>4</v>
      </c>
    </row>
    <row r="307" spans="1:4" x14ac:dyDescent="0.3">
      <c r="A307">
        <v>7301</v>
      </c>
      <c r="B307" t="s">
        <v>1388</v>
      </c>
      <c r="C307">
        <v>2</v>
      </c>
      <c r="D307">
        <v>0</v>
      </c>
    </row>
    <row r="308" spans="1:4" x14ac:dyDescent="0.3">
      <c r="A308">
        <v>7303</v>
      </c>
      <c r="B308" t="s">
        <v>634</v>
      </c>
      <c r="C308">
        <v>4</v>
      </c>
      <c r="D308">
        <v>0</v>
      </c>
    </row>
    <row r="309" spans="1:4" x14ac:dyDescent="0.3">
      <c r="A309">
        <v>7317</v>
      </c>
      <c r="B309" t="s">
        <v>638</v>
      </c>
      <c r="C309">
        <v>7</v>
      </c>
      <c r="D309">
        <v>2</v>
      </c>
    </row>
    <row r="310" spans="1:4" x14ac:dyDescent="0.3">
      <c r="A310">
        <v>7332</v>
      </c>
      <c r="B310" t="s">
        <v>644</v>
      </c>
      <c r="C310">
        <v>2</v>
      </c>
      <c r="D310">
        <v>1</v>
      </c>
    </row>
    <row r="311" spans="1:4" x14ac:dyDescent="0.3">
      <c r="A311">
        <v>7334</v>
      </c>
      <c r="B311" t="s">
        <v>646</v>
      </c>
      <c r="C311">
        <v>12</v>
      </c>
      <c r="D311">
        <v>0</v>
      </c>
    </row>
    <row r="312" spans="1:4" x14ac:dyDescent="0.3">
      <c r="A312">
        <v>7340</v>
      </c>
      <c r="B312" t="s">
        <v>647</v>
      </c>
      <c r="C312">
        <v>10</v>
      </c>
      <c r="D312">
        <v>1</v>
      </c>
    </row>
    <row r="313" spans="1:4" x14ac:dyDescent="0.3">
      <c r="A313">
        <v>7347</v>
      </c>
      <c r="B313" t="s">
        <v>648</v>
      </c>
      <c r="C313">
        <v>49</v>
      </c>
      <c r="D313">
        <v>10</v>
      </c>
    </row>
    <row r="314" spans="1:4" x14ac:dyDescent="0.3">
      <c r="A314">
        <v>7351</v>
      </c>
      <c r="B314" t="s">
        <v>652</v>
      </c>
      <c r="C314">
        <v>8</v>
      </c>
      <c r="D314">
        <v>2</v>
      </c>
    </row>
    <row r="315" spans="1:4" x14ac:dyDescent="0.3">
      <c r="A315">
        <v>7355</v>
      </c>
      <c r="B315" t="s">
        <v>655</v>
      </c>
      <c r="C315">
        <v>85</v>
      </c>
      <c r="D315">
        <v>7</v>
      </c>
    </row>
    <row r="316" spans="1:4" x14ac:dyDescent="0.3">
      <c r="A316">
        <v>7363</v>
      </c>
      <c r="B316" t="s">
        <v>656</v>
      </c>
      <c r="C316">
        <v>3</v>
      </c>
      <c r="D316">
        <v>3</v>
      </c>
    </row>
    <row r="317" spans="1:4" x14ac:dyDescent="0.3">
      <c r="A317">
        <v>7372</v>
      </c>
      <c r="B317" t="s">
        <v>657</v>
      </c>
      <c r="C317">
        <v>39</v>
      </c>
      <c r="D317">
        <v>1</v>
      </c>
    </row>
    <row r="318" spans="1:4" x14ac:dyDescent="0.3">
      <c r="A318">
        <v>7380</v>
      </c>
      <c r="B318" t="s">
        <v>659</v>
      </c>
      <c r="C318">
        <v>9</v>
      </c>
      <c r="D318">
        <v>0</v>
      </c>
    </row>
    <row r="319" spans="1:4" x14ac:dyDescent="0.3">
      <c r="A319">
        <v>7407</v>
      </c>
      <c r="B319" t="s">
        <v>660</v>
      </c>
      <c r="C319">
        <v>289</v>
      </c>
      <c r="D319">
        <v>47</v>
      </c>
    </row>
    <row r="320" spans="1:4" x14ac:dyDescent="0.3">
      <c r="A320">
        <v>7927</v>
      </c>
      <c r="B320" t="s">
        <v>812</v>
      </c>
      <c r="C320">
        <v>3</v>
      </c>
      <c r="D320">
        <v>0</v>
      </c>
    </row>
    <row r="321" spans="1:4" x14ac:dyDescent="0.3">
      <c r="A321">
        <v>8066</v>
      </c>
      <c r="B321" t="s">
        <v>851</v>
      </c>
      <c r="C321">
        <v>1</v>
      </c>
      <c r="D321">
        <v>0</v>
      </c>
    </row>
    <row r="322" spans="1:4" x14ac:dyDescent="0.3">
      <c r="A322">
        <v>8326</v>
      </c>
      <c r="B322" t="s">
        <v>60</v>
      </c>
      <c r="C322">
        <v>68</v>
      </c>
      <c r="D322">
        <v>0</v>
      </c>
    </row>
    <row r="323" spans="1:4" x14ac:dyDescent="0.3">
      <c r="A323">
        <v>8336</v>
      </c>
      <c r="B323" t="s">
        <v>48</v>
      </c>
      <c r="C323">
        <v>21</v>
      </c>
      <c r="D323">
        <v>0</v>
      </c>
    </row>
    <row r="324" spans="1:4" x14ac:dyDescent="0.3">
      <c r="A324">
        <v>8823</v>
      </c>
      <c r="B324" t="s">
        <v>664</v>
      </c>
      <c r="C324">
        <v>25</v>
      </c>
      <c r="D324">
        <v>0</v>
      </c>
    </row>
    <row r="325" spans="1:4" x14ac:dyDescent="0.3">
      <c r="A325">
        <v>8929</v>
      </c>
      <c r="B325" t="s">
        <v>1389</v>
      </c>
      <c r="C325">
        <v>1</v>
      </c>
      <c r="D325">
        <v>0</v>
      </c>
    </row>
    <row r="326" spans="1:4" x14ac:dyDescent="0.3">
      <c r="A326">
        <v>10386</v>
      </c>
      <c r="B326" t="s">
        <v>528</v>
      </c>
      <c r="C326">
        <v>16</v>
      </c>
      <c r="D326">
        <v>2</v>
      </c>
    </row>
    <row r="327" spans="1:4" x14ac:dyDescent="0.3">
      <c r="A327">
        <v>10760</v>
      </c>
      <c r="B327" t="s">
        <v>772</v>
      </c>
      <c r="C327">
        <v>1122</v>
      </c>
      <c r="D327">
        <v>545</v>
      </c>
    </row>
    <row r="328" spans="1:4" x14ac:dyDescent="0.3">
      <c r="A328">
        <v>10878</v>
      </c>
      <c r="B328" t="s">
        <v>761</v>
      </c>
      <c r="C328">
        <v>233</v>
      </c>
      <c r="D328">
        <v>0</v>
      </c>
    </row>
    <row r="329" spans="1:4" x14ac:dyDescent="0.3">
      <c r="A329">
        <v>10879</v>
      </c>
      <c r="B329" t="s">
        <v>837</v>
      </c>
      <c r="C329">
        <v>97</v>
      </c>
      <c r="D329">
        <v>67</v>
      </c>
    </row>
    <row r="330" spans="1:4" x14ac:dyDescent="0.3">
      <c r="A330">
        <v>10965</v>
      </c>
      <c r="B330" t="s">
        <v>870</v>
      </c>
      <c r="C330">
        <v>160</v>
      </c>
      <c r="D330">
        <v>0</v>
      </c>
    </row>
    <row r="331" spans="1:4" x14ac:dyDescent="0.3">
      <c r="A331">
        <v>10966</v>
      </c>
      <c r="B331" t="s">
        <v>471</v>
      </c>
      <c r="C331">
        <v>207</v>
      </c>
      <c r="D331">
        <v>0</v>
      </c>
    </row>
    <row r="332" spans="1:4" x14ac:dyDescent="0.3">
      <c r="A332">
        <v>10967</v>
      </c>
      <c r="B332" t="s">
        <v>490</v>
      </c>
      <c r="C332">
        <v>101</v>
      </c>
      <c r="D332">
        <v>0</v>
      </c>
    </row>
    <row r="333" spans="1:4" x14ac:dyDescent="0.3">
      <c r="A333">
        <v>10968</v>
      </c>
      <c r="B333" t="s">
        <v>261</v>
      </c>
      <c r="C333">
        <v>528</v>
      </c>
      <c r="D333">
        <v>246</v>
      </c>
    </row>
    <row r="334" spans="1:4" x14ac:dyDescent="0.3">
      <c r="A334">
        <v>10969</v>
      </c>
      <c r="B334" t="s">
        <v>526</v>
      </c>
      <c r="C334">
        <v>72</v>
      </c>
      <c r="D334">
        <v>0</v>
      </c>
    </row>
    <row r="335" spans="1:4" x14ac:dyDescent="0.3">
      <c r="A335">
        <v>10970</v>
      </c>
      <c r="B335" t="s">
        <v>869</v>
      </c>
      <c r="C335">
        <v>131</v>
      </c>
      <c r="D335">
        <v>64</v>
      </c>
    </row>
    <row r="336" spans="1:4" x14ac:dyDescent="0.3">
      <c r="A336">
        <v>10971</v>
      </c>
      <c r="B336" t="s">
        <v>501</v>
      </c>
      <c r="C336">
        <v>12</v>
      </c>
      <c r="D336">
        <v>0</v>
      </c>
    </row>
    <row r="337" spans="1:4" x14ac:dyDescent="0.3">
      <c r="A337">
        <v>10972</v>
      </c>
      <c r="B337" t="s">
        <v>756</v>
      </c>
      <c r="C337">
        <v>425</v>
      </c>
      <c r="D337">
        <v>0</v>
      </c>
    </row>
    <row r="338" spans="1:4" x14ac:dyDescent="0.3">
      <c r="A338">
        <v>10974</v>
      </c>
      <c r="B338" t="s">
        <v>188</v>
      </c>
      <c r="C338">
        <v>291</v>
      </c>
      <c r="D338">
        <v>0</v>
      </c>
    </row>
    <row r="339" spans="1:4" x14ac:dyDescent="0.3">
      <c r="A339">
        <v>60691</v>
      </c>
      <c r="B339" t="s">
        <v>1414</v>
      </c>
      <c r="C339">
        <v>1</v>
      </c>
      <c r="D339">
        <v>0</v>
      </c>
    </row>
    <row r="340" spans="1:4" x14ac:dyDescent="0.3">
      <c r="A340">
        <v>78783</v>
      </c>
      <c r="B340" t="s">
        <v>762</v>
      </c>
      <c r="C340">
        <v>1103</v>
      </c>
      <c r="D340">
        <v>847</v>
      </c>
    </row>
    <row r="341" spans="1:4" x14ac:dyDescent="0.3">
      <c r="A341">
        <v>78786</v>
      </c>
      <c r="B341" t="s">
        <v>492</v>
      </c>
      <c r="C341">
        <v>8</v>
      </c>
      <c r="D341">
        <v>0</v>
      </c>
    </row>
    <row r="342" spans="1:4" x14ac:dyDescent="0.3">
      <c r="A342">
        <v>78833</v>
      </c>
      <c r="B342" t="s">
        <v>842</v>
      </c>
      <c r="C342">
        <v>53</v>
      </c>
      <c r="D342">
        <v>0</v>
      </c>
    </row>
    <row r="343" spans="1:4" x14ac:dyDescent="0.3">
      <c r="A343">
        <v>78858</v>
      </c>
      <c r="B343" t="s">
        <v>840</v>
      </c>
      <c r="C343">
        <v>115</v>
      </c>
      <c r="D343">
        <v>0</v>
      </c>
    </row>
    <row r="344" spans="1:4" x14ac:dyDescent="0.3">
      <c r="A344">
        <v>78868</v>
      </c>
      <c r="B344" t="s">
        <v>474</v>
      </c>
      <c r="C344">
        <v>33</v>
      </c>
      <c r="D344">
        <v>8</v>
      </c>
    </row>
    <row r="345" spans="1:4" x14ac:dyDescent="0.3">
      <c r="A345">
        <v>78873</v>
      </c>
      <c r="B345" t="s">
        <v>873</v>
      </c>
      <c r="C345">
        <v>150</v>
      </c>
      <c r="D345">
        <v>75</v>
      </c>
    </row>
    <row r="346" spans="1:4" x14ac:dyDescent="0.3">
      <c r="A346">
        <v>78882</v>
      </c>
      <c r="B346" t="s">
        <v>303</v>
      </c>
      <c r="C346">
        <v>202</v>
      </c>
      <c r="D346">
        <v>83</v>
      </c>
    </row>
    <row r="347" spans="1:4" x14ac:dyDescent="0.3">
      <c r="A347">
        <v>78888</v>
      </c>
      <c r="B347" t="s">
        <v>758</v>
      </c>
      <c r="C347">
        <v>328</v>
      </c>
      <c r="D347">
        <v>66</v>
      </c>
    </row>
    <row r="348" spans="1:4" x14ac:dyDescent="0.3">
      <c r="A348">
        <v>78890</v>
      </c>
      <c r="B348" t="s">
        <v>864</v>
      </c>
      <c r="C348">
        <v>6</v>
      </c>
      <c r="D348">
        <v>0</v>
      </c>
    </row>
    <row r="349" spans="1:4" x14ac:dyDescent="0.3">
      <c r="A349">
        <v>78897</v>
      </c>
      <c r="B349" t="s">
        <v>820</v>
      </c>
      <c r="C349">
        <v>654</v>
      </c>
      <c r="D349">
        <v>0</v>
      </c>
    </row>
    <row r="350" spans="1:4" x14ac:dyDescent="0.3">
      <c r="A350">
        <v>78965</v>
      </c>
      <c r="B350" t="s">
        <v>755</v>
      </c>
      <c r="C350">
        <v>139</v>
      </c>
      <c r="D350">
        <v>139</v>
      </c>
    </row>
    <row r="351" spans="1:4" x14ac:dyDescent="0.3">
      <c r="A351">
        <v>78966</v>
      </c>
      <c r="B351" t="s">
        <v>855</v>
      </c>
      <c r="C351">
        <v>155</v>
      </c>
      <c r="D351">
        <v>141</v>
      </c>
    </row>
    <row r="352" spans="1:4" x14ac:dyDescent="0.3">
      <c r="A352">
        <v>78997</v>
      </c>
      <c r="B352" t="s">
        <v>730</v>
      </c>
      <c r="C352">
        <v>79</v>
      </c>
      <c r="D352">
        <v>4</v>
      </c>
    </row>
    <row r="353" spans="1:4" x14ac:dyDescent="0.3">
      <c r="A353">
        <v>79000</v>
      </c>
      <c r="B353" t="s">
        <v>838</v>
      </c>
      <c r="C353">
        <v>47</v>
      </c>
      <c r="D353">
        <v>0</v>
      </c>
    </row>
    <row r="354" spans="1:4" x14ac:dyDescent="0.3">
      <c r="A354">
        <v>79004</v>
      </c>
      <c r="B354" t="s">
        <v>1292</v>
      </c>
      <c r="C354">
        <v>70</v>
      </c>
      <c r="D354">
        <v>8</v>
      </c>
    </row>
    <row r="355" spans="1:4" x14ac:dyDescent="0.3">
      <c r="A355">
        <v>79024</v>
      </c>
      <c r="B355" t="s">
        <v>329</v>
      </c>
      <c r="C355">
        <v>608</v>
      </c>
      <c r="D355">
        <v>4</v>
      </c>
    </row>
    <row r="356" spans="1:4" x14ac:dyDescent="0.3">
      <c r="A356">
        <v>79047</v>
      </c>
      <c r="B356" t="s">
        <v>89</v>
      </c>
      <c r="C356">
        <v>360</v>
      </c>
      <c r="D356">
        <v>273</v>
      </c>
    </row>
    <row r="357" spans="1:4" x14ac:dyDescent="0.3">
      <c r="A357">
        <v>79049</v>
      </c>
      <c r="B357" t="s">
        <v>125</v>
      </c>
      <c r="C357">
        <v>629</v>
      </c>
      <c r="D357">
        <v>205</v>
      </c>
    </row>
    <row r="358" spans="1:4" x14ac:dyDescent="0.3">
      <c r="A358">
        <v>79050</v>
      </c>
      <c r="B358" t="s">
        <v>502</v>
      </c>
      <c r="C358">
        <v>263</v>
      </c>
      <c r="D358">
        <v>0</v>
      </c>
    </row>
    <row r="359" spans="1:4" x14ac:dyDescent="0.3">
      <c r="A359">
        <v>79053</v>
      </c>
      <c r="B359" t="s">
        <v>17</v>
      </c>
      <c r="C359">
        <v>83</v>
      </c>
      <c r="D359">
        <v>1</v>
      </c>
    </row>
    <row r="360" spans="1:4" x14ac:dyDescent="0.3">
      <c r="A360">
        <v>79055</v>
      </c>
      <c r="B360" t="s">
        <v>85</v>
      </c>
      <c r="C360">
        <v>581</v>
      </c>
      <c r="D360">
        <v>289</v>
      </c>
    </row>
    <row r="361" spans="1:4" x14ac:dyDescent="0.3">
      <c r="A361">
        <v>79059</v>
      </c>
      <c r="B361" t="s">
        <v>765</v>
      </c>
      <c r="C361">
        <v>263</v>
      </c>
      <c r="D361">
        <v>175</v>
      </c>
    </row>
    <row r="362" spans="1:4" x14ac:dyDescent="0.3">
      <c r="A362">
        <v>79061</v>
      </c>
      <c r="B362" t="s">
        <v>196</v>
      </c>
      <c r="C362">
        <v>45</v>
      </c>
      <c r="D362">
        <v>12</v>
      </c>
    </row>
    <row r="363" spans="1:4" x14ac:dyDescent="0.3">
      <c r="A363">
        <v>79063</v>
      </c>
      <c r="B363" t="s">
        <v>511</v>
      </c>
      <c r="C363">
        <v>146</v>
      </c>
      <c r="D363">
        <v>0</v>
      </c>
    </row>
    <row r="364" spans="1:4" x14ac:dyDescent="0.3">
      <c r="A364">
        <v>79064</v>
      </c>
      <c r="B364" t="s">
        <v>224</v>
      </c>
      <c r="C364">
        <v>713</v>
      </c>
      <c r="D364">
        <v>381</v>
      </c>
    </row>
    <row r="365" spans="1:4" x14ac:dyDescent="0.3">
      <c r="A365">
        <v>79065</v>
      </c>
      <c r="B365" t="s">
        <v>872</v>
      </c>
      <c r="C365">
        <v>9</v>
      </c>
      <c r="D365">
        <v>9</v>
      </c>
    </row>
    <row r="366" spans="1:4" x14ac:dyDescent="0.3">
      <c r="A366">
        <v>79066</v>
      </c>
      <c r="B366" t="s">
        <v>858</v>
      </c>
      <c r="C366">
        <v>53</v>
      </c>
      <c r="D366">
        <v>38</v>
      </c>
    </row>
    <row r="367" spans="1:4" x14ac:dyDescent="0.3">
      <c r="A367">
        <v>79068</v>
      </c>
      <c r="B367" t="s">
        <v>871</v>
      </c>
      <c r="C367">
        <v>39</v>
      </c>
      <c r="D367">
        <v>23</v>
      </c>
    </row>
    <row r="368" spans="1:4" x14ac:dyDescent="0.3">
      <c r="A368">
        <v>79069</v>
      </c>
      <c r="B368" t="s">
        <v>489</v>
      </c>
      <c r="C368">
        <v>32</v>
      </c>
      <c r="D368">
        <v>1</v>
      </c>
    </row>
    <row r="369" spans="1:4" x14ac:dyDescent="0.3">
      <c r="A369">
        <v>79072</v>
      </c>
      <c r="B369" t="s">
        <v>477</v>
      </c>
      <c r="C369">
        <v>459</v>
      </c>
      <c r="D369">
        <v>0</v>
      </c>
    </row>
    <row r="370" spans="1:4" x14ac:dyDescent="0.3">
      <c r="A370">
        <v>79073</v>
      </c>
      <c r="B370" t="s">
        <v>839</v>
      </c>
      <c r="C370">
        <v>698</v>
      </c>
      <c r="D370">
        <v>153</v>
      </c>
    </row>
    <row r="371" spans="1:4" x14ac:dyDescent="0.3">
      <c r="A371">
        <v>79074</v>
      </c>
      <c r="B371" t="s">
        <v>118</v>
      </c>
      <c r="C371">
        <v>431</v>
      </c>
      <c r="D371">
        <v>162</v>
      </c>
    </row>
    <row r="372" spans="1:4" x14ac:dyDescent="0.3">
      <c r="A372">
        <v>79077</v>
      </c>
      <c r="B372" t="s">
        <v>798</v>
      </c>
      <c r="C372">
        <v>91</v>
      </c>
      <c r="D372">
        <v>91</v>
      </c>
    </row>
    <row r="373" spans="1:4" x14ac:dyDescent="0.3">
      <c r="A373">
        <v>79081</v>
      </c>
      <c r="B373" t="s">
        <v>720</v>
      </c>
      <c r="C373">
        <v>701</v>
      </c>
      <c r="D373">
        <v>98</v>
      </c>
    </row>
    <row r="374" spans="1:4" x14ac:dyDescent="0.3">
      <c r="A374">
        <v>79084</v>
      </c>
      <c r="B374" t="s">
        <v>767</v>
      </c>
      <c r="C374">
        <v>101</v>
      </c>
      <c r="D374">
        <v>0</v>
      </c>
    </row>
    <row r="375" spans="1:4" x14ac:dyDescent="0.3">
      <c r="A375">
        <v>79085</v>
      </c>
      <c r="B375" t="s">
        <v>841</v>
      </c>
      <c r="C375">
        <v>638</v>
      </c>
      <c r="D375">
        <v>302</v>
      </c>
    </row>
    <row r="376" spans="1:4" x14ac:dyDescent="0.3">
      <c r="A376">
        <v>79086</v>
      </c>
      <c r="B376" t="s">
        <v>629</v>
      </c>
      <c r="C376">
        <v>115</v>
      </c>
      <c r="D376">
        <v>56</v>
      </c>
    </row>
    <row r="377" spans="1:4" x14ac:dyDescent="0.3">
      <c r="A377">
        <v>79131</v>
      </c>
      <c r="B377" t="s">
        <v>467</v>
      </c>
      <c r="C377">
        <v>35</v>
      </c>
      <c r="D377">
        <v>32</v>
      </c>
    </row>
    <row r="378" spans="1:4" x14ac:dyDescent="0.3">
      <c r="A378">
        <v>79204</v>
      </c>
      <c r="B378" t="s">
        <v>63</v>
      </c>
      <c r="C378">
        <v>472</v>
      </c>
      <c r="D378">
        <v>61</v>
      </c>
    </row>
    <row r="379" spans="1:4" x14ac:dyDescent="0.3">
      <c r="A379">
        <v>79205</v>
      </c>
      <c r="B379" t="s">
        <v>323</v>
      </c>
      <c r="C379">
        <v>332</v>
      </c>
      <c r="D379">
        <v>39</v>
      </c>
    </row>
    <row r="380" spans="1:4" x14ac:dyDescent="0.3">
      <c r="A380">
        <v>79207</v>
      </c>
      <c r="B380" t="s">
        <v>500</v>
      </c>
      <c r="C380">
        <v>251</v>
      </c>
      <c r="D380">
        <v>47</v>
      </c>
    </row>
    <row r="381" spans="1:4" x14ac:dyDescent="0.3">
      <c r="A381">
        <v>79211</v>
      </c>
      <c r="B381" t="s">
        <v>769</v>
      </c>
      <c r="C381">
        <v>481</v>
      </c>
      <c r="D381">
        <v>220</v>
      </c>
    </row>
    <row r="382" spans="1:4" x14ac:dyDescent="0.3">
      <c r="A382">
        <v>79213</v>
      </c>
      <c r="B382" t="s">
        <v>11</v>
      </c>
      <c r="C382">
        <v>56</v>
      </c>
      <c r="D382">
        <v>51</v>
      </c>
    </row>
    <row r="383" spans="1:4" x14ac:dyDescent="0.3">
      <c r="A383">
        <v>79214</v>
      </c>
      <c r="B383" t="s">
        <v>763</v>
      </c>
      <c r="C383">
        <v>301</v>
      </c>
      <c r="D383">
        <v>265</v>
      </c>
    </row>
    <row r="384" spans="1:4" x14ac:dyDescent="0.3">
      <c r="A384">
        <v>79215</v>
      </c>
      <c r="B384" t="s">
        <v>552</v>
      </c>
      <c r="C384">
        <v>837</v>
      </c>
      <c r="D384">
        <v>733</v>
      </c>
    </row>
    <row r="385" spans="1:4" x14ac:dyDescent="0.3">
      <c r="A385">
        <v>79218</v>
      </c>
      <c r="B385" t="s">
        <v>801</v>
      </c>
      <c r="C385">
        <v>410</v>
      </c>
      <c r="D385">
        <v>155</v>
      </c>
    </row>
    <row r="386" spans="1:4" x14ac:dyDescent="0.3">
      <c r="A386">
        <v>79226</v>
      </c>
      <c r="B386" t="s">
        <v>68</v>
      </c>
      <c r="C386">
        <v>1132</v>
      </c>
      <c r="D386">
        <v>541</v>
      </c>
    </row>
    <row r="387" spans="1:4" x14ac:dyDescent="0.3">
      <c r="A387">
        <v>79233</v>
      </c>
      <c r="B387" t="s">
        <v>799</v>
      </c>
      <c r="C387">
        <v>291</v>
      </c>
      <c r="D387">
        <v>291</v>
      </c>
    </row>
    <row r="388" spans="1:4" x14ac:dyDescent="0.3">
      <c r="A388">
        <v>79241</v>
      </c>
      <c r="B388" t="s">
        <v>1255</v>
      </c>
      <c r="C388">
        <v>6</v>
      </c>
      <c r="D388">
        <v>2</v>
      </c>
    </row>
    <row r="389" spans="1:4" x14ac:dyDescent="0.3">
      <c r="A389">
        <v>79264</v>
      </c>
      <c r="B389" t="s">
        <v>671</v>
      </c>
      <c r="C389">
        <v>523</v>
      </c>
      <c r="D389">
        <v>0</v>
      </c>
    </row>
    <row r="390" spans="1:4" x14ac:dyDescent="0.3">
      <c r="A390">
        <v>79302</v>
      </c>
      <c r="B390" t="s">
        <v>633</v>
      </c>
      <c r="C390">
        <v>52</v>
      </c>
      <c r="D390">
        <v>17</v>
      </c>
    </row>
    <row r="391" spans="1:4" x14ac:dyDescent="0.3">
      <c r="A391">
        <v>79379</v>
      </c>
      <c r="B391" t="s">
        <v>455</v>
      </c>
      <c r="C391">
        <v>41</v>
      </c>
      <c r="D391">
        <v>23</v>
      </c>
    </row>
    <row r="392" spans="1:4" x14ac:dyDescent="0.3">
      <c r="A392">
        <v>79381</v>
      </c>
      <c r="B392" t="s">
        <v>529</v>
      </c>
      <c r="C392">
        <v>8</v>
      </c>
      <c r="D392">
        <v>0</v>
      </c>
    </row>
    <row r="393" spans="1:4" x14ac:dyDescent="0.3">
      <c r="A393">
        <v>79385</v>
      </c>
      <c r="B393" t="s">
        <v>535</v>
      </c>
      <c r="C393">
        <v>1</v>
      </c>
      <c r="D393">
        <v>0</v>
      </c>
    </row>
    <row r="394" spans="1:4" x14ac:dyDescent="0.3">
      <c r="A394">
        <v>79387</v>
      </c>
      <c r="B394" t="s">
        <v>519</v>
      </c>
      <c r="C394">
        <v>6</v>
      </c>
      <c r="D394">
        <v>0</v>
      </c>
    </row>
    <row r="395" spans="1:4" x14ac:dyDescent="0.3">
      <c r="A395">
        <v>79391</v>
      </c>
      <c r="B395" t="s">
        <v>531</v>
      </c>
      <c r="C395">
        <v>2</v>
      </c>
      <c r="D395">
        <v>0</v>
      </c>
    </row>
    <row r="396" spans="1:4" x14ac:dyDescent="0.3">
      <c r="A396">
        <v>79397</v>
      </c>
      <c r="B396" t="s">
        <v>463</v>
      </c>
      <c r="C396">
        <v>2</v>
      </c>
      <c r="D396">
        <v>0</v>
      </c>
    </row>
    <row r="397" spans="1:4" x14ac:dyDescent="0.3">
      <c r="A397">
        <v>79420</v>
      </c>
      <c r="B397" t="s">
        <v>510</v>
      </c>
      <c r="C397">
        <v>2</v>
      </c>
      <c r="D397">
        <v>0</v>
      </c>
    </row>
    <row r="398" spans="1:4" x14ac:dyDescent="0.3">
      <c r="A398">
        <v>79426</v>
      </c>
      <c r="B398" t="s">
        <v>40</v>
      </c>
      <c r="C398">
        <v>232</v>
      </c>
      <c r="D398">
        <v>162</v>
      </c>
    </row>
    <row r="399" spans="1:4" x14ac:dyDescent="0.3">
      <c r="A399">
        <v>79437</v>
      </c>
      <c r="B399" t="s">
        <v>14</v>
      </c>
      <c r="C399">
        <v>452</v>
      </c>
      <c r="D399">
        <v>298</v>
      </c>
    </row>
    <row r="400" spans="1:4" x14ac:dyDescent="0.3">
      <c r="A400">
        <v>79439</v>
      </c>
      <c r="B400" t="s">
        <v>770</v>
      </c>
      <c r="C400">
        <v>13</v>
      </c>
      <c r="D400">
        <v>1</v>
      </c>
    </row>
    <row r="401" spans="1:4" x14ac:dyDescent="0.3">
      <c r="A401">
        <v>79441</v>
      </c>
      <c r="B401" t="s">
        <v>843</v>
      </c>
      <c r="C401">
        <v>61</v>
      </c>
      <c r="D401">
        <v>55</v>
      </c>
    </row>
    <row r="402" spans="1:4" x14ac:dyDescent="0.3">
      <c r="A402">
        <v>79443</v>
      </c>
      <c r="B402" t="s">
        <v>771</v>
      </c>
      <c r="C402">
        <v>281</v>
      </c>
      <c r="D402">
        <v>1</v>
      </c>
    </row>
    <row r="403" spans="1:4" x14ac:dyDescent="0.3">
      <c r="A403">
        <v>79453</v>
      </c>
      <c r="B403" t="s">
        <v>402</v>
      </c>
      <c r="C403">
        <v>773</v>
      </c>
      <c r="D403">
        <v>85</v>
      </c>
    </row>
    <row r="404" spans="1:4" x14ac:dyDescent="0.3">
      <c r="A404">
        <v>79455</v>
      </c>
      <c r="B404" t="s">
        <v>484</v>
      </c>
      <c r="C404">
        <v>1234</v>
      </c>
      <c r="D404">
        <v>558</v>
      </c>
    </row>
    <row r="405" spans="1:4" x14ac:dyDescent="0.3">
      <c r="A405">
        <v>79457</v>
      </c>
      <c r="B405" t="s">
        <v>555</v>
      </c>
      <c r="C405">
        <v>64</v>
      </c>
      <c r="D405">
        <v>0</v>
      </c>
    </row>
    <row r="406" spans="1:4" x14ac:dyDescent="0.3">
      <c r="A406">
        <v>79461</v>
      </c>
      <c r="B406" t="s">
        <v>1253</v>
      </c>
      <c r="C406">
        <v>2035</v>
      </c>
      <c r="D406">
        <v>505</v>
      </c>
    </row>
    <row r="407" spans="1:4" x14ac:dyDescent="0.3">
      <c r="A407">
        <v>79467</v>
      </c>
      <c r="B407" t="s">
        <v>844</v>
      </c>
      <c r="C407">
        <v>157</v>
      </c>
      <c r="D407">
        <v>1</v>
      </c>
    </row>
    <row r="408" spans="1:4" x14ac:dyDescent="0.3">
      <c r="A408">
        <v>79475</v>
      </c>
      <c r="B408" t="s">
        <v>222</v>
      </c>
      <c r="C408">
        <v>37</v>
      </c>
      <c r="D408">
        <v>26</v>
      </c>
    </row>
    <row r="409" spans="1:4" x14ac:dyDescent="0.3">
      <c r="A409">
        <v>79496</v>
      </c>
      <c r="B409" t="s">
        <v>773</v>
      </c>
      <c r="C409">
        <v>8</v>
      </c>
      <c r="D409">
        <v>0</v>
      </c>
    </row>
    <row r="410" spans="1:4" x14ac:dyDescent="0.3">
      <c r="A410">
        <v>79497</v>
      </c>
      <c r="B410" t="s">
        <v>774</v>
      </c>
      <c r="C410">
        <v>287</v>
      </c>
      <c r="D410">
        <v>110</v>
      </c>
    </row>
    <row r="411" spans="1:4" x14ac:dyDescent="0.3">
      <c r="A411">
        <v>79498</v>
      </c>
      <c r="B411" t="s">
        <v>290</v>
      </c>
      <c r="C411">
        <v>404</v>
      </c>
      <c r="D411">
        <v>88</v>
      </c>
    </row>
    <row r="412" spans="1:4" x14ac:dyDescent="0.3">
      <c r="A412">
        <v>79499</v>
      </c>
      <c r="B412" t="s">
        <v>805</v>
      </c>
      <c r="C412">
        <v>71</v>
      </c>
      <c r="D412">
        <v>0</v>
      </c>
    </row>
    <row r="413" spans="1:4" x14ac:dyDescent="0.3">
      <c r="A413">
        <v>79500</v>
      </c>
      <c r="B413" t="s">
        <v>845</v>
      </c>
      <c r="C413">
        <v>238</v>
      </c>
      <c r="D413">
        <v>226</v>
      </c>
    </row>
    <row r="414" spans="1:4" x14ac:dyDescent="0.3">
      <c r="A414">
        <v>79501</v>
      </c>
      <c r="B414" t="s">
        <v>875</v>
      </c>
      <c r="C414">
        <v>1742</v>
      </c>
      <c r="D414">
        <v>1025</v>
      </c>
    </row>
    <row r="415" spans="1:4" x14ac:dyDescent="0.3">
      <c r="A415">
        <v>79503</v>
      </c>
      <c r="B415" t="s">
        <v>309</v>
      </c>
      <c r="C415">
        <v>349</v>
      </c>
      <c r="D415">
        <v>0</v>
      </c>
    </row>
    <row r="416" spans="1:4" x14ac:dyDescent="0.3">
      <c r="A416">
        <v>79540</v>
      </c>
      <c r="B416" t="s">
        <v>1291</v>
      </c>
      <c r="C416">
        <v>14</v>
      </c>
      <c r="D416">
        <v>1</v>
      </c>
    </row>
    <row r="417" spans="1:4" x14ac:dyDescent="0.3">
      <c r="A417">
        <v>79548</v>
      </c>
      <c r="B417" t="s">
        <v>775</v>
      </c>
      <c r="C417">
        <v>48</v>
      </c>
      <c r="D417">
        <v>0</v>
      </c>
    </row>
    <row r="418" spans="1:4" x14ac:dyDescent="0.3">
      <c r="A418">
        <v>79569</v>
      </c>
      <c r="B418" t="s">
        <v>351</v>
      </c>
      <c r="C418">
        <v>66</v>
      </c>
      <c r="D418">
        <v>63</v>
      </c>
    </row>
    <row r="419" spans="1:4" x14ac:dyDescent="0.3">
      <c r="A419">
        <v>79578</v>
      </c>
      <c r="B419" t="s">
        <v>320</v>
      </c>
      <c r="C419">
        <v>607</v>
      </c>
      <c r="D419">
        <v>605</v>
      </c>
    </row>
    <row r="420" spans="1:4" x14ac:dyDescent="0.3">
      <c r="A420">
        <v>79598</v>
      </c>
      <c r="B420" t="s">
        <v>242</v>
      </c>
      <c r="C420">
        <v>6006</v>
      </c>
      <c r="D420">
        <v>305</v>
      </c>
    </row>
    <row r="421" spans="1:4" x14ac:dyDescent="0.3">
      <c r="A421">
        <v>79701</v>
      </c>
      <c r="B421" t="s">
        <v>776</v>
      </c>
      <c r="C421">
        <v>19</v>
      </c>
      <c r="D421">
        <v>0</v>
      </c>
    </row>
    <row r="422" spans="1:4" x14ac:dyDescent="0.3">
      <c r="A422">
        <v>79866</v>
      </c>
      <c r="B422" t="s">
        <v>624</v>
      </c>
      <c r="C422">
        <v>167</v>
      </c>
      <c r="D422">
        <v>73</v>
      </c>
    </row>
    <row r="423" spans="1:4" x14ac:dyDescent="0.3">
      <c r="A423">
        <v>79871</v>
      </c>
      <c r="B423" t="s">
        <v>1390</v>
      </c>
      <c r="C423">
        <v>54</v>
      </c>
      <c r="D423">
        <v>54</v>
      </c>
    </row>
    <row r="424" spans="1:4" x14ac:dyDescent="0.3">
      <c r="A424">
        <v>79872</v>
      </c>
      <c r="B424" t="s">
        <v>778</v>
      </c>
      <c r="C424">
        <v>90</v>
      </c>
      <c r="D424">
        <v>28</v>
      </c>
    </row>
    <row r="425" spans="1:4" x14ac:dyDescent="0.3">
      <c r="A425">
        <v>79873</v>
      </c>
      <c r="B425" t="s">
        <v>779</v>
      </c>
      <c r="C425">
        <v>103</v>
      </c>
      <c r="D425">
        <v>64</v>
      </c>
    </row>
    <row r="426" spans="1:4" x14ac:dyDescent="0.3">
      <c r="A426">
        <v>79874</v>
      </c>
      <c r="B426" t="s">
        <v>1391</v>
      </c>
      <c r="C426">
        <v>135</v>
      </c>
      <c r="D426">
        <v>117</v>
      </c>
    </row>
    <row r="427" spans="1:4" x14ac:dyDescent="0.3">
      <c r="A427">
        <v>79875</v>
      </c>
      <c r="B427" t="s">
        <v>781</v>
      </c>
      <c r="C427">
        <v>191</v>
      </c>
      <c r="D427">
        <v>172</v>
      </c>
    </row>
    <row r="428" spans="1:4" x14ac:dyDescent="0.3">
      <c r="A428">
        <v>79876</v>
      </c>
      <c r="B428" t="s">
        <v>236</v>
      </c>
      <c r="C428">
        <v>135</v>
      </c>
      <c r="D428">
        <v>135</v>
      </c>
    </row>
    <row r="429" spans="1:4" x14ac:dyDescent="0.3">
      <c r="A429">
        <v>79877</v>
      </c>
      <c r="B429" t="s">
        <v>782</v>
      </c>
      <c r="C429">
        <v>148</v>
      </c>
      <c r="D429">
        <v>148</v>
      </c>
    </row>
    <row r="430" spans="1:4" x14ac:dyDescent="0.3">
      <c r="A430">
        <v>79878</v>
      </c>
      <c r="B430" t="s">
        <v>783</v>
      </c>
      <c r="C430">
        <v>16</v>
      </c>
      <c r="D430">
        <v>16</v>
      </c>
    </row>
    <row r="431" spans="1:4" x14ac:dyDescent="0.3">
      <c r="A431">
        <v>79879</v>
      </c>
      <c r="B431" t="s">
        <v>784</v>
      </c>
      <c r="C431">
        <v>201</v>
      </c>
      <c r="D431">
        <v>201</v>
      </c>
    </row>
    <row r="432" spans="1:4" x14ac:dyDescent="0.3">
      <c r="A432">
        <v>79880</v>
      </c>
      <c r="B432" t="s">
        <v>233</v>
      </c>
      <c r="C432">
        <v>57</v>
      </c>
      <c r="D432">
        <v>43</v>
      </c>
    </row>
    <row r="433" spans="1:4" x14ac:dyDescent="0.3">
      <c r="A433">
        <v>79881</v>
      </c>
      <c r="B433" t="s">
        <v>824</v>
      </c>
      <c r="C433">
        <v>168</v>
      </c>
      <c r="D433">
        <v>162</v>
      </c>
    </row>
    <row r="434" spans="1:4" x14ac:dyDescent="0.3">
      <c r="A434">
        <v>79882</v>
      </c>
      <c r="B434" t="s">
        <v>231</v>
      </c>
      <c r="C434">
        <v>151</v>
      </c>
      <c r="D434">
        <v>151</v>
      </c>
    </row>
    <row r="435" spans="1:4" x14ac:dyDescent="0.3">
      <c r="A435">
        <v>79883</v>
      </c>
      <c r="B435" t="s">
        <v>852</v>
      </c>
      <c r="C435">
        <v>69</v>
      </c>
      <c r="D435">
        <v>69</v>
      </c>
    </row>
    <row r="436" spans="1:4" x14ac:dyDescent="0.3">
      <c r="A436">
        <v>79886</v>
      </c>
      <c r="B436" t="s">
        <v>785</v>
      </c>
      <c r="C436">
        <v>329</v>
      </c>
      <c r="D436">
        <v>0</v>
      </c>
    </row>
    <row r="437" spans="1:4" x14ac:dyDescent="0.3">
      <c r="A437">
        <v>79905</v>
      </c>
      <c r="B437" t="s">
        <v>786</v>
      </c>
      <c r="C437">
        <v>546</v>
      </c>
      <c r="D437">
        <v>200</v>
      </c>
    </row>
    <row r="438" spans="1:4" x14ac:dyDescent="0.3">
      <c r="A438">
        <v>79926</v>
      </c>
      <c r="B438" t="s">
        <v>825</v>
      </c>
      <c r="C438">
        <v>12</v>
      </c>
      <c r="D438">
        <v>6</v>
      </c>
    </row>
    <row r="439" spans="1:4" x14ac:dyDescent="0.3">
      <c r="A439">
        <v>79929</v>
      </c>
      <c r="B439" t="s">
        <v>543</v>
      </c>
      <c r="C439">
        <v>68</v>
      </c>
      <c r="D439">
        <v>35</v>
      </c>
    </row>
    <row r="440" spans="1:4" x14ac:dyDescent="0.3">
      <c r="A440">
        <v>79947</v>
      </c>
      <c r="B440" t="s">
        <v>46</v>
      </c>
      <c r="C440">
        <v>1992</v>
      </c>
      <c r="D440">
        <v>855</v>
      </c>
    </row>
    <row r="441" spans="1:4" x14ac:dyDescent="0.3">
      <c r="A441">
        <v>79951</v>
      </c>
      <c r="B441" t="s">
        <v>787</v>
      </c>
      <c r="C441">
        <v>29</v>
      </c>
      <c r="D441">
        <v>23</v>
      </c>
    </row>
    <row r="442" spans="1:4" x14ac:dyDescent="0.3">
      <c r="A442">
        <v>79953</v>
      </c>
      <c r="B442" t="s">
        <v>788</v>
      </c>
      <c r="C442">
        <v>80</v>
      </c>
      <c r="D442">
        <v>65</v>
      </c>
    </row>
    <row r="443" spans="1:4" x14ac:dyDescent="0.3">
      <c r="A443">
        <v>79957</v>
      </c>
      <c r="B443" t="s">
        <v>789</v>
      </c>
      <c r="C443">
        <v>303</v>
      </c>
      <c r="D443">
        <v>26</v>
      </c>
    </row>
    <row r="444" spans="1:4" x14ac:dyDescent="0.3">
      <c r="A444">
        <v>79959</v>
      </c>
      <c r="B444" t="s">
        <v>826</v>
      </c>
      <c r="C444">
        <v>174</v>
      </c>
      <c r="D444">
        <v>47</v>
      </c>
    </row>
    <row r="445" spans="1:4" x14ac:dyDescent="0.3">
      <c r="A445">
        <v>79961</v>
      </c>
      <c r="B445" t="s">
        <v>827</v>
      </c>
      <c r="C445">
        <v>409</v>
      </c>
      <c r="D445">
        <v>308</v>
      </c>
    </row>
    <row r="446" spans="1:4" x14ac:dyDescent="0.3">
      <c r="A446">
        <v>79967</v>
      </c>
      <c r="B446" t="s">
        <v>249</v>
      </c>
      <c r="C446">
        <v>674</v>
      </c>
      <c r="D446">
        <v>209</v>
      </c>
    </row>
    <row r="447" spans="1:4" x14ac:dyDescent="0.3">
      <c r="A447">
        <v>79969</v>
      </c>
      <c r="B447" t="s">
        <v>23</v>
      </c>
      <c r="C447">
        <v>116</v>
      </c>
      <c r="D447">
        <v>57</v>
      </c>
    </row>
    <row r="448" spans="1:4" x14ac:dyDescent="0.3">
      <c r="A448">
        <v>79971</v>
      </c>
      <c r="B448" t="s">
        <v>810</v>
      </c>
      <c r="C448">
        <v>185</v>
      </c>
      <c r="D448">
        <v>157</v>
      </c>
    </row>
    <row r="449" spans="1:4" x14ac:dyDescent="0.3">
      <c r="A449">
        <v>79973</v>
      </c>
      <c r="B449" t="s">
        <v>811</v>
      </c>
      <c r="C449">
        <v>74</v>
      </c>
      <c r="D449">
        <v>0</v>
      </c>
    </row>
    <row r="450" spans="1:4" x14ac:dyDescent="0.3">
      <c r="A450">
        <v>79979</v>
      </c>
      <c r="B450" t="s">
        <v>828</v>
      </c>
      <c r="C450">
        <v>527</v>
      </c>
      <c r="D450">
        <v>274</v>
      </c>
    </row>
    <row r="451" spans="1:4" x14ac:dyDescent="0.3">
      <c r="A451">
        <v>79981</v>
      </c>
      <c r="B451" t="s">
        <v>790</v>
      </c>
      <c r="C451">
        <v>350</v>
      </c>
      <c r="D451">
        <v>201</v>
      </c>
    </row>
    <row r="452" spans="1:4" x14ac:dyDescent="0.3">
      <c r="A452">
        <v>79983</v>
      </c>
      <c r="B452" t="s">
        <v>791</v>
      </c>
      <c r="C452">
        <v>332</v>
      </c>
      <c r="D452">
        <v>224</v>
      </c>
    </row>
    <row r="453" spans="1:4" x14ac:dyDescent="0.3">
      <c r="A453">
        <v>79988</v>
      </c>
      <c r="B453" t="s">
        <v>793</v>
      </c>
      <c r="C453">
        <v>222</v>
      </c>
      <c r="D453">
        <v>0</v>
      </c>
    </row>
    <row r="454" spans="1:4" x14ac:dyDescent="0.3">
      <c r="A454">
        <v>79990</v>
      </c>
      <c r="B454" t="s">
        <v>792</v>
      </c>
      <c r="C454">
        <v>84</v>
      </c>
      <c r="D454">
        <v>26</v>
      </c>
    </row>
    <row r="455" spans="1:4" x14ac:dyDescent="0.3">
      <c r="A455">
        <v>79994</v>
      </c>
      <c r="B455" t="s">
        <v>286</v>
      </c>
      <c r="C455">
        <v>112</v>
      </c>
      <c r="D455">
        <v>47</v>
      </c>
    </row>
    <row r="456" spans="1:4" x14ac:dyDescent="0.3">
      <c r="A456">
        <v>80001</v>
      </c>
      <c r="B456" t="s">
        <v>90</v>
      </c>
      <c r="C456">
        <v>172</v>
      </c>
      <c r="D456">
        <v>97</v>
      </c>
    </row>
    <row r="457" spans="1:4" x14ac:dyDescent="0.3">
      <c r="A457">
        <v>80011</v>
      </c>
      <c r="B457" t="s">
        <v>794</v>
      </c>
      <c r="C457">
        <v>171</v>
      </c>
      <c r="D457">
        <v>41</v>
      </c>
    </row>
    <row r="458" spans="1:4" x14ac:dyDescent="0.3">
      <c r="A458">
        <v>80032</v>
      </c>
      <c r="B458" t="s">
        <v>120</v>
      </c>
      <c r="C458">
        <v>41</v>
      </c>
      <c r="D458">
        <v>17</v>
      </c>
    </row>
    <row r="459" spans="1:4" x14ac:dyDescent="0.3">
      <c r="A459">
        <v>80299</v>
      </c>
      <c r="B459" t="s">
        <v>796</v>
      </c>
      <c r="C459">
        <v>34</v>
      </c>
      <c r="D459">
        <v>28</v>
      </c>
    </row>
    <row r="460" spans="1:4" x14ac:dyDescent="0.3">
      <c r="A460">
        <v>80923</v>
      </c>
      <c r="B460" t="s">
        <v>458</v>
      </c>
      <c r="C460">
        <v>56</v>
      </c>
      <c r="D460">
        <v>15</v>
      </c>
    </row>
    <row r="461" spans="1:4" x14ac:dyDescent="0.3">
      <c r="A461">
        <v>80985</v>
      </c>
      <c r="B461" t="s">
        <v>494</v>
      </c>
      <c r="C461">
        <v>63</v>
      </c>
      <c r="D461">
        <v>0</v>
      </c>
    </row>
    <row r="462" spans="1:4" x14ac:dyDescent="0.3">
      <c r="A462">
        <v>80989</v>
      </c>
      <c r="B462" t="s">
        <v>797</v>
      </c>
      <c r="C462">
        <v>282</v>
      </c>
      <c r="D462">
        <v>249</v>
      </c>
    </row>
    <row r="463" spans="1:4" x14ac:dyDescent="0.3">
      <c r="A463">
        <v>80992</v>
      </c>
      <c r="B463" t="s">
        <v>462</v>
      </c>
      <c r="C463">
        <v>611</v>
      </c>
      <c r="D463">
        <v>1</v>
      </c>
    </row>
    <row r="464" spans="1:4" x14ac:dyDescent="0.3">
      <c r="A464">
        <v>80995</v>
      </c>
      <c r="B464" t="s">
        <v>846</v>
      </c>
      <c r="C464">
        <v>328</v>
      </c>
      <c r="D464">
        <v>328</v>
      </c>
    </row>
    <row r="465" spans="1:4" x14ac:dyDescent="0.3">
      <c r="A465">
        <v>81001</v>
      </c>
      <c r="B465" t="s">
        <v>743</v>
      </c>
      <c r="C465">
        <v>266</v>
      </c>
      <c r="D465">
        <v>5</v>
      </c>
    </row>
    <row r="466" spans="1:4" x14ac:dyDescent="0.3">
      <c r="A466">
        <v>81009</v>
      </c>
      <c r="B466" t="s">
        <v>856</v>
      </c>
      <c r="C466">
        <v>57</v>
      </c>
      <c r="D466">
        <v>0</v>
      </c>
    </row>
    <row r="467" spans="1:4" x14ac:dyDescent="0.3">
      <c r="A467">
        <v>81011</v>
      </c>
      <c r="B467" t="s">
        <v>853</v>
      </c>
      <c r="C467">
        <v>15</v>
      </c>
      <c r="D467">
        <v>0</v>
      </c>
    </row>
    <row r="468" spans="1:4" x14ac:dyDescent="0.3">
      <c r="A468">
        <v>81024</v>
      </c>
      <c r="B468" t="s">
        <v>744</v>
      </c>
      <c r="C468">
        <v>54</v>
      </c>
      <c r="D468">
        <v>0</v>
      </c>
    </row>
    <row r="469" spans="1:4" x14ac:dyDescent="0.3">
      <c r="A469">
        <v>81027</v>
      </c>
      <c r="B469" t="s">
        <v>108</v>
      </c>
      <c r="C469">
        <v>320</v>
      </c>
      <c r="D469">
        <v>135</v>
      </c>
    </row>
    <row r="470" spans="1:4" x14ac:dyDescent="0.3">
      <c r="A470">
        <v>81029</v>
      </c>
      <c r="B470" t="s">
        <v>829</v>
      </c>
      <c r="C470">
        <v>116</v>
      </c>
      <c r="D470">
        <v>93</v>
      </c>
    </row>
    <row r="471" spans="1:4" x14ac:dyDescent="0.3">
      <c r="A471">
        <v>81033</v>
      </c>
      <c r="B471" t="s">
        <v>745</v>
      </c>
      <c r="C471">
        <v>68</v>
      </c>
      <c r="D471">
        <v>44</v>
      </c>
    </row>
    <row r="472" spans="1:4" x14ac:dyDescent="0.3">
      <c r="A472">
        <v>81041</v>
      </c>
      <c r="B472" t="s">
        <v>74</v>
      </c>
      <c r="C472">
        <v>135</v>
      </c>
      <c r="D472">
        <v>80</v>
      </c>
    </row>
    <row r="473" spans="1:4" x14ac:dyDescent="0.3">
      <c r="A473">
        <v>81043</v>
      </c>
      <c r="B473" t="s">
        <v>746</v>
      </c>
      <c r="C473">
        <v>302</v>
      </c>
      <c r="D473">
        <v>233</v>
      </c>
    </row>
    <row r="474" spans="1:4" x14ac:dyDescent="0.3">
      <c r="A474">
        <v>81045</v>
      </c>
      <c r="B474" t="s">
        <v>748</v>
      </c>
      <c r="C474">
        <v>1041</v>
      </c>
      <c r="D474">
        <v>197</v>
      </c>
    </row>
    <row r="475" spans="1:4" x14ac:dyDescent="0.3">
      <c r="A475">
        <v>81050</v>
      </c>
      <c r="B475" t="s">
        <v>749</v>
      </c>
      <c r="C475">
        <v>55</v>
      </c>
      <c r="D475">
        <v>40</v>
      </c>
    </row>
    <row r="476" spans="1:4" x14ac:dyDescent="0.3">
      <c r="A476">
        <v>81052</v>
      </c>
      <c r="B476" t="s">
        <v>865</v>
      </c>
      <c r="C476">
        <v>199</v>
      </c>
      <c r="D476">
        <v>177</v>
      </c>
    </row>
    <row r="477" spans="1:4" x14ac:dyDescent="0.3">
      <c r="A477">
        <v>81076</v>
      </c>
      <c r="B477" t="s">
        <v>195</v>
      </c>
      <c r="C477">
        <v>924</v>
      </c>
      <c r="D477">
        <v>592</v>
      </c>
    </row>
    <row r="478" spans="1:4" x14ac:dyDescent="0.3">
      <c r="A478">
        <v>81078</v>
      </c>
      <c r="B478" t="s">
        <v>1266</v>
      </c>
      <c r="C478">
        <v>1018</v>
      </c>
      <c r="D478">
        <v>1</v>
      </c>
    </row>
    <row r="479" spans="1:4" x14ac:dyDescent="0.3">
      <c r="A479">
        <v>81097</v>
      </c>
      <c r="B479" t="s">
        <v>750</v>
      </c>
      <c r="C479">
        <v>557</v>
      </c>
      <c r="D479">
        <v>0</v>
      </c>
    </row>
    <row r="480" spans="1:4" x14ac:dyDescent="0.3">
      <c r="A480">
        <v>81099</v>
      </c>
      <c r="B480" t="s">
        <v>128</v>
      </c>
      <c r="C480">
        <v>781</v>
      </c>
      <c r="D480">
        <v>225</v>
      </c>
    </row>
    <row r="481" spans="1:4" x14ac:dyDescent="0.3">
      <c r="A481">
        <v>81114</v>
      </c>
      <c r="B481" t="s">
        <v>807</v>
      </c>
      <c r="C481">
        <v>2</v>
      </c>
      <c r="D481">
        <v>0</v>
      </c>
    </row>
    <row r="482" spans="1:4" x14ac:dyDescent="0.3">
      <c r="A482">
        <v>81123</v>
      </c>
      <c r="B482" t="s">
        <v>830</v>
      </c>
      <c r="C482">
        <v>183</v>
      </c>
      <c r="D482">
        <v>0</v>
      </c>
    </row>
    <row r="483" spans="1:4" x14ac:dyDescent="0.3">
      <c r="A483">
        <v>81174</v>
      </c>
      <c r="B483" t="s">
        <v>279</v>
      </c>
      <c r="C483">
        <v>112</v>
      </c>
      <c r="D483">
        <v>62</v>
      </c>
    </row>
    <row r="484" spans="1:4" x14ac:dyDescent="0.3">
      <c r="A484">
        <v>81205</v>
      </c>
      <c r="B484" t="s">
        <v>649</v>
      </c>
      <c r="C484">
        <v>20</v>
      </c>
      <c r="D484">
        <v>0</v>
      </c>
    </row>
    <row r="485" spans="1:4" x14ac:dyDescent="0.3">
      <c r="A485">
        <v>85448</v>
      </c>
      <c r="B485" t="s">
        <v>1272</v>
      </c>
      <c r="C485">
        <v>279</v>
      </c>
      <c r="D485">
        <v>2</v>
      </c>
    </row>
    <row r="486" spans="1:4" x14ac:dyDescent="0.3">
      <c r="A486">
        <v>85454</v>
      </c>
      <c r="B486" t="s">
        <v>831</v>
      </c>
      <c r="C486">
        <v>147</v>
      </c>
      <c r="D486">
        <v>0</v>
      </c>
    </row>
    <row r="487" spans="1:4" x14ac:dyDescent="0.3">
      <c r="A487">
        <v>85516</v>
      </c>
      <c r="B487" t="s">
        <v>802</v>
      </c>
      <c r="C487">
        <v>483</v>
      </c>
      <c r="D487">
        <v>16</v>
      </c>
    </row>
    <row r="488" spans="1:4" x14ac:dyDescent="0.3">
      <c r="A488">
        <v>85540</v>
      </c>
      <c r="B488" t="s">
        <v>803</v>
      </c>
      <c r="C488">
        <v>66</v>
      </c>
      <c r="D488">
        <v>45</v>
      </c>
    </row>
    <row r="489" spans="1:4" x14ac:dyDescent="0.3">
      <c r="A489">
        <v>85749</v>
      </c>
      <c r="B489" t="s">
        <v>49</v>
      </c>
      <c r="C489">
        <v>311</v>
      </c>
      <c r="D489">
        <v>70</v>
      </c>
    </row>
    <row r="490" spans="1:4" x14ac:dyDescent="0.3">
      <c r="A490">
        <v>85807</v>
      </c>
      <c r="B490" t="s">
        <v>400</v>
      </c>
      <c r="C490">
        <v>128</v>
      </c>
      <c r="D490">
        <v>46</v>
      </c>
    </row>
    <row r="491" spans="1:4" x14ac:dyDescent="0.3">
      <c r="A491">
        <v>85816</v>
      </c>
      <c r="B491" t="s">
        <v>683</v>
      </c>
      <c r="C491">
        <v>355</v>
      </c>
      <c r="D491">
        <v>1</v>
      </c>
    </row>
    <row r="492" spans="1:4" x14ac:dyDescent="0.3">
      <c r="A492">
        <v>87275</v>
      </c>
      <c r="B492" t="s">
        <v>645</v>
      </c>
      <c r="C492">
        <v>7</v>
      </c>
      <c r="D492">
        <v>0</v>
      </c>
    </row>
    <row r="493" spans="1:4" x14ac:dyDescent="0.3">
      <c r="A493">
        <v>87334</v>
      </c>
      <c r="B493" t="s">
        <v>487</v>
      </c>
      <c r="C493">
        <v>33</v>
      </c>
      <c r="D493">
        <v>0</v>
      </c>
    </row>
    <row r="494" spans="1:4" x14ac:dyDescent="0.3">
      <c r="A494">
        <v>87349</v>
      </c>
      <c r="B494" t="s">
        <v>251</v>
      </c>
      <c r="C494">
        <v>59</v>
      </c>
      <c r="D494">
        <v>9</v>
      </c>
    </row>
    <row r="495" spans="1:4" x14ac:dyDescent="0.3">
      <c r="A495">
        <v>87399</v>
      </c>
      <c r="B495" t="s">
        <v>681</v>
      </c>
      <c r="C495">
        <v>765</v>
      </c>
      <c r="D495">
        <v>170</v>
      </c>
    </row>
    <row r="496" spans="1:4" x14ac:dyDescent="0.3">
      <c r="A496">
        <v>87401</v>
      </c>
      <c r="B496" t="s">
        <v>682</v>
      </c>
      <c r="C496">
        <v>629</v>
      </c>
      <c r="D496">
        <v>352</v>
      </c>
    </row>
    <row r="497" spans="1:4" x14ac:dyDescent="0.3">
      <c r="A497">
        <v>87403</v>
      </c>
      <c r="B497" t="s">
        <v>683</v>
      </c>
      <c r="C497">
        <v>121</v>
      </c>
      <c r="D497">
        <v>37</v>
      </c>
    </row>
    <row r="498" spans="1:4" x14ac:dyDescent="0.3">
      <c r="A498">
        <v>87405</v>
      </c>
      <c r="B498" t="s">
        <v>836</v>
      </c>
      <c r="C498">
        <v>3823</v>
      </c>
      <c r="D498">
        <v>661</v>
      </c>
    </row>
    <row r="499" spans="1:4" x14ac:dyDescent="0.3">
      <c r="A499">
        <v>87407</v>
      </c>
      <c r="B499" t="s">
        <v>684</v>
      </c>
      <c r="C499">
        <v>1939</v>
      </c>
      <c r="D499">
        <v>888</v>
      </c>
    </row>
    <row r="500" spans="1:4" x14ac:dyDescent="0.3">
      <c r="A500">
        <v>87600</v>
      </c>
      <c r="B500" t="s">
        <v>181</v>
      </c>
      <c r="C500">
        <v>4</v>
      </c>
      <c r="D500">
        <v>4</v>
      </c>
    </row>
    <row r="501" spans="1:4" x14ac:dyDescent="0.3">
      <c r="A501">
        <v>88299</v>
      </c>
      <c r="B501" t="s">
        <v>534</v>
      </c>
      <c r="C501">
        <v>622</v>
      </c>
      <c r="D501">
        <v>1</v>
      </c>
    </row>
    <row r="502" spans="1:4" x14ac:dyDescent="0.3">
      <c r="A502">
        <v>88308</v>
      </c>
      <c r="B502" t="s">
        <v>833</v>
      </c>
      <c r="C502">
        <v>67</v>
      </c>
      <c r="D502">
        <v>28</v>
      </c>
    </row>
    <row r="503" spans="1:4" x14ac:dyDescent="0.3">
      <c r="A503">
        <v>88317</v>
      </c>
      <c r="B503" t="s">
        <v>353</v>
      </c>
      <c r="C503">
        <v>271</v>
      </c>
      <c r="D503">
        <v>237</v>
      </c>
    </row>
    <row r="504" spans="1:4" x14ac:dyDescent="0.3">
      <c r="A504">
        <v>88321</v>
      </c>
      <c r="B504" t="s">
        <v>867</v>
      </c>
      <c r="C504">
        <v>187</v>
      </c>
      <c r="D504">
        <v>118</v>
      </c>
    </row>
    <row r="505" spans="1:4" x14ac:dyDescent="0.3">
      <c r="A505">
        <v>88334</v>
      </c>
      <c r="B505" t="s">
        <v>685</v>
      </c>
      <c r="C505">
        <v>313</v>
      </c>
      <c r="D505">
        <v>192</v>
      </c>
    </row>
    <row r="506" spans="1:4" x14ac:dyDescent="0.3">
      <c r="A506">
        <v>88360</v>
      </c>
      <c r="B506" t="s">
        <v>507</v>
      </c>
      <c r="C506">
        <v>1178</v>
      </c>
      <c r="D506">
        <v>27</v>
      </c>
    </row>
    <row r="507" spans="1:4" x14ac:dyDescent="0.3">
      <c r="A507">
        <v>88365</v>
      </c>
      <c r="B507" t="s">
        <v>686</v>
      </c>
      <c r="C507">
        <v>378</v>
      </c>
      <c r="D507">
        <v>3</v>
      </c>
    </row>
    <row r="508" spans="1:4" x14ac:dyDescent="0.3">
      <c r="A508">
        <v>88367</v>
      </c>
      <c r="B508" t="s">
        <v>687</v>
      </c>
      <c r="C508">
        <v>777</v>
      </c>
      <c r="D508">
        <v>7</v>
      </c>
    </row>
    <row r="509" spans="1:4" x14ac:dyDescent="0.3">
      <c r="A509">
        <v>88369</v>
      </c>
      <c r="B509" t="s">
        <v>688</v>
      </c>
      <c r="C509">
        <v>118</v>
      </c>
      <c r="D509">
        <v>59</v>
      </c>
    </row>
    <row r="510" spans="1:4" x14ac:dyDescent="0.3">
      <c r="A510">
        <v>88372</v>
      </c>
      <c r="B510" t="s">
        <v>689</v>
      </c>
      <c r="C510">
        <v>381</v>
      </c>
      <c r="D510">
        <v>124</v>
      </c>
    </row>
    <row r="511" spans="1:4" x14ac:dyDescent="0.3">
      <c r="A511">
        <v>88374</v>
      </c>
      <c r="B511" t="s">
        <v>690</v>
      </c>
      <c r="C511">
        <v>280</v>
      </c>
      <c r="D511">
        <v>6</v>
      </c>
    </row>
    <row r="512" spans="1:4" x14ac:dyDescent="0.3">
      <c r="A512">
        <v>88618</v>
      </c>
      <c r="B512" t="s">
        <v>635</v>
      </c>
      <c r="C512">
        <v>93</v>
      </c>
      <c r="D512">
        <v>34</v>
      </c>
    </row>
    <row r="513" spans="1:4" x14ac:dyDescent="0.3">
      <c r="A513">
        <v>89380</v>
      </c>
      <c r="B513" t="s">
        <v>485</v>
      </c>
      <c r="C513">
        <v>1</v>
      </c>
      <c r="D513">
        <v>0</v>
      </c>
    </row>
    <row r="514" spans="1:4" x14ac:dyDescent="0.3">
      <c r="A514">
        <v>89412</v>
      </c>
      <c r="B514" t="s">
        <v>731</v>
      </c>
      <c r="C514">
        <v>3489</v>
      </c>
      <c r="D514">
        <v>68</v>
      </c>
    </row>
    <row r="515" spans="1:4" x14ac:dyDescent="0.3">
      <c r="A515">
        <v>89414</v>
      </c>
      <c r="B515" t="s">
        <v>732</v>
      </c>
      <c r="C515">
        <v>141</v>
      </c>
      <c r="D515">
        <v>33</v>
      </c>
    </row>
    <row r="516" spans="1:4" x14ac:dyDescent="0.3">
      <c r="A516">
        <v>89418</v>
      </c>
      <c r="B516" t="s">
        <v>1392</v>
      </c>
      <c r="C516">
        <v>22</v>
      </c>
      <c r="D516">
        <v>0</v>
      </c>
    </row>
    <row r="517" spans="1:4" x14ac:dyDescent="0.3">
      <c r="A517">
        <v>89486</v>
      </c>
      <c r="B517" t="s">
        <v>691</v>
      </c>
      <c r="C517">
        <v>494</v>
      </c>
      <c r="D517">
        <v>0</v>
      </c>
    </row>
    <row r="518" spans="1:4" x14ac:dyDescent="0.3">
      <c r="A518">
        <v>89506</v>
      </c>
      <c r="B518" t="s">
        <v>692</v>
      </c>
      <c r="C518">
        <v>487</v>
      </c>
      <c r="D518">
        <v>36</v>
      </c>
    </row>
    <row r="519" spans="1:4" x14ac:dyDescent="0.3">
      <c r="A519">
        <v>89524</v>
      </c>
      <c r="B519" t="s">
        <v>653</v>
      </c>
      <c r="C519">
        <v>1</v>
      </c>
      <c r="D519">
        <v>0</v>
      </c>
    </row>
    <row r="520" spans="1:4" x14ac:dyDescent="0.3">
      <c r="A520">
        <v>89550</v>
      </c>
      <c r="B520" t="s">
        <v>553</v>
      </c>
      <c r="C520">
        <v>56</v>
      </c>
      <c r="D520">
        <v>0</v>
      </c>
    </row>
    <row r="521" spans="1:4" x14ac:dyDescent="0.3">
      <c r="A521">
        <v>89556</v>
      </c>
      <c r="B521" t="s">
        <v>693</v>
      </c>
      <c r="C521">
        <v>116</v>
      </c>
      <c r="D521">
        <v>100</v>
      </c>
    </row>
    <row r="522" spans="1:4" x14ac:dyDescent="0.3">
      <c r="A522">
        <v>89561</v>
      </c>
      <c r="B522" t="s">
        <v>694</v>
      </c>
      <c r="C522">
        <v>166</v>
      </c>
      <c r="D522">
        <v>2</v>
      </c>
    </row>
    <row r="523" spans="1:4" x14ac:dyDescent="0.3">
      <c r="A523">
        <v>89563</v>
      </c>
      <c r="B523" t="s">
        <v>695</v>
      </c>
      <c r="C523">
        <v>379</v>
      </c>
      <c r="D523">
        <v>1</v>
      </c>
    </row>
    <row r="524" spans="1:4" x14ac:dyDescent="0.3">
      <c r="A524">
        <v>89756</v>
      </c>
      <c r="B524" t="s">
        <v>478</v>
      </c>
      <c r="C524">
        <v>772</v>
      </c>
      <c r="D524">
        <v>0</v>
      </c>
    </row>
    <row r="525" spans="1:4" x14ac:dyDescent="0.3">
      <c r="A525">
        <v>89758</v>
      </c>
      <c r="B525" t="s">
        <v>696</v>
      </c>
      <c r="C525">
        <v>605</v>
      </c>
      <c r="D525">
        <v>0</v>
      </c>
    </row>
    <row r="526" spans="1:4" x14ac:dyDescent="0.3">
      <c r="A526">
        <v>89760</v>
      </c>
      <c r="B526" t="s">
        <v>666</v>
      </c>
      <c r="C526">
        <v>54</v>
      </c>
      <c r="D526">
        <v>0</v>
      </c>
    </row>
    <row r="527" spans="1:4" x14ac:dyDescent="0.3">
      <c r="A527">
        <v>89784</v>
      </c>
      <c r="B527" t="s">
        <v>697</v>
      </c>
      <c r="C527">
        <v>544</v>
      </c>
      <c r="D527">
        <v>422</v>
      </c>
    </row>
    <row r="528" spans="1:4" x14ac:dyDescent="0.3">
      <c r="A528">
        <v>89786</v>
      </c>
      <c r="B528" t="s">
        <v>698</v>
      </c>
      <c r="C528">
        <v>634</v>
      </c>
      <c r="D528">
        <v>427</v>
      </c>
    </row>
    <row r="529" spans="1:4" x14ac:dyDescent="0.3">
      <c r="A529">
        <v>89788</v>
      </c>
      <c r="B529" t="s">
        <v>699</v>
      </c>
      <c r="C529">
        <v>264</v>
      </c>
      <c r="D529">
        <v>78</v>
      </c>
    </row>
    <row r="530" spans="1:4" x14ac:dyDescent="0.3">
      <c r="A530">
        <v>89790</v>
      </c>
      <c r="B530" t="s">
        <v>700</v>
      </c>
      <c r="C530">
        <v>256</v>
      </c>
      <c r="D530">
        <v>85</v>
      </c>
    </row>
    <row r="531" spans="1:4" x14ac:dyDescent="0.3">
      <c r="A531">
        <v>89798</v>
      </c>
      <c r="B531" t="s">
        <v>701</v>
      </c>
      <c r="C531">
        <v>684</v>
      </c>
      <c r="D531">
        <v>114</v>
      </c>
    </row>
    <row r="532" spans="1:4" x14ac:dyDescent="0.3">
      <c r="A532">
        <v>89829</v>
      </c>
      <c r="B532" t="s">
        <v>518</v>
      </c>
      <c r="C532">
        <v>483</v>
      </c>
      <c r="D532">
        <v>0</v>
      </c>
    </row>
    <row r="533" spans="1:4" x14ac:dyDescent="0.3">
      <c r="A533">
        <v>89850</v>
      </c>
      <c r="B533" t="s">
        <v>668</v>
      </c>
      <c r="C533">
        <v>720</v>
      </c>
      <c r="D533">
        <v>309</v>
      </c>
    </row>
    <row r="534" spans="1:4" x14ac:dyDescent="0.3">
      <c r="A534">
        <v>89852</v>
      </c>
      <c r="B534" t="s">
        <v>847</v>
      </c>
      <c r="C534">
        <v>466</v>
      </c>
      <c r="D534">
        <v>367</v>
      </c>
    </row>
    <row r="535" spans="1:4" x14ac:dyDescent="0.3">
      <c r="A535">
        <v>89864</v>
      </c>
      <c r="B535" t="s">
        <v>342</v>
      </c>
      <c r="C535">
        <v>104</v>
      </c>
      <c r="D535">
        <v>70</v>
      </c>
    </row>
    <row r="536" spans="1:4" x14ac:dyDescent="0.3">
      <c r="A536">
        <v>89869</v>
      </c>
      <c r="B536" t="s">
        <v>702</v>
      </c>
      <c r="C536">
        <v>128</v>
      </c>
      <c r="D536">
        <v>3</v>
      </c>
    </row>
    <row r="537" spans="1:4" x14ac:dyDescent="0.3">
      <c r="A537">
        <v>89871</v>
      </c>
      <c r="B537" t="s">
        <v>539</v>
      </c>
      <c r="C537">
        <v>57</v>
      </c>
      <c r="D537">
        <v>0</v>
      </c>
    </row>
    <row r="538" spans="1:4" x14ac:dyDescent="0.3">
      <c r="A538">
        <v>89914</v>
      </c>
      <c r="B538" t="s">
        <v>815</v>
      </c>
      <c r="C538">
        <v>305</v>
      </c>
      <c r="D538">
        <v>280</v>
      </c>
    </row>
    <row r="539" spans="1:4" x14ac:dyDescent="0.3">
      <c r="A539">
        <v>89915</v>
      </c>
      <c r="B539" t="s">
        <v>392</v>
      </c>
      <c r="C539">
        <v>322</v>
      </c>
      <c r="D539">
        <v>165</v>
      </c>
    </row>
    <row r="540" spans="1:4" x14ac:dyDescent="0.3">
      <c r="A540">
        <v>89917</v>
      </c>
      <c r="B540" t="s">
        <v>123</v>
      </c>
      <c r="C540">
        <v>451</v>
      </c>
      <c r="D540">
        <v>179</v>
      </c>
    </row>
    <row r="541" spans="1:4" x14ac:dyDescent="0.3">
      <c r="A541">
        <v>89922</v>
      </c>
      <c r="B541" t="s">
        <v>1393</v>
      </c>
      <c r="C541">
        <v>6</v>
      </c>
      <c r="D541">
        <v>1</v>
      </c>
    </row>
    <row r="542" spans="1:4" x14ac:dyDescent="0.3">
      <c r="A542">
        <v>89949</v>
      </c>
      <c r="B542" t="s">
        <v>56</v>
      </c>
      <c r="C542">
        <v>389</v>
      </c>
      <c r="D542">
        <v>255</v>
      </c>
    </row>
    <row r="543" spans="1:4" x14ac:dyDescent="0.3">
      <c r="A543">
        <v>89951</v>
      </c>
      <c r="B543" t="s">
        <v>630</v>
      </c>
      <c r="C543">
        <v>84</v>
      </c>
      <c r="D543">
        <v>8</v>
      </c>
    </row>
    <row r="544" spans="1:4" x14ac:dyDescent="0.3">
      <c r="A544">
        <v>90034</v>
      </c>
      <c r="B544" t="s">
        <v>703</v>
      </c>
      <c r="C544">
        <v>545</v>
      </c>
      <c r="D544">
        <v>323</v>
      </c>
    </row>
    <row r="545" spans="1:4" x14ac:dyDescent="0.3">
      <c r="A545">
        <v>90036</v>
      </c>
      <c r="B545" t="s">
        <v>704</v>
      </c>
      <c r="C545">
        <v>341</v>
      </c>
      <c r="D545">
        <v>286</v>
      </c>
    </row>
    <row r="546" spans="1:4" x14ac:dyDescent="0.3">
      <c r="A546">
        <v>90048</v>
      </c>
      <c r="B546" t="s">
        <v>860</v>
      </c>
      <c r="C546">
        <v>5</v>
      </c>
      <c r="D546">
        <v>1</v>
      </c>
    </row>
    <row r="547" spans="1:4" x14ac:dyDescent="0.3">
      <c r="A547">
        <v>90050</v>
      </c>
      <c r="B547" t="s">
        <v>636</v>
      </c>
      <c r="C547">
        <v>58</v>
      </c>
      <c r="D547">
        <v>6</v>
      </c>
    </row>
    <row r="548" spans="1:4" x14ac:dyDescent="0.3">
      <c r="A548">
        <v>90090</v>
      </c>
      <c r="B548" t="s">
        <v>497</v>
      </c>
      <c r="C548">
        <v>30</v>
      </c>
      <c r="D548">
        <v>0</v>
      </c>
    </row>
    <row r="549" spans="1:4" x14ac:dyDescent="0.3">
      <c r="A549">
        <v>90099</v>
      </c>
      <c r="B549" t="s">
        <v>650</v>
      </c>
      <c r="C549">
        <v>20</v>
      </c>
      <c r="D549">
        <v>7</v>
      </c>
    </row>
    <row r="550" spans="1:4" x14ac:dyDescent="0.3">
      <c r="A550">
        <v>90123</v>
      </c>
      <c r="B550" t="s">
        <v>457</v>
      </c>
      <c r="C550">
        <v>1</v>
      </c>
      <c r="D550">
        <v>0</v>
      </c>
    </row>
    <row r="551" spans="1:4" x14ac:dyDescent="0.3">
      <c r="A551">
        <v>90138</v>
      </c>
      <c r="B551" t="s">
        <v>705</v>
      </c>
      <c r="C551">
        <v>974</v>
      </c>
      <c r="D551">
        <v>0</v>
      </c>
    </row>
    <row r="552" spans="1:4" x14ac:dyDescent="0.3">
      <c r="A552">
        <v>90140</v>
      </c>
      <c r="B552" t="s">
        <v>1268</v>
      </c>
      <c r="C552">
        <v>606</v>
      </c>
      <c r="D552">
        <v>144</v>
      </c>
    </row>
    <row r="553" spans="1:4" x14ac:dyDescent="0.3">
      <c r="A553">
        <v>90142</v>
      </c>
      <c r="B553" t="s">
        <v>407</v>
      </c>
      <c r="C553">
        <v>204</v>
      </c>
      <c r="D553">
        <v>100</v>
      </c>
    </row>
    <row r="554" spans="1:4" x14ac:dyDescent="0.3">
      <c r="A554">
        <v>90160</v>
      </c>
      <c r="B554" t="s">
        <v>706</v>
      </c>
      <c r="C554">
        <v>192</v>
      </c>
      <c r="D554">
        <v>82</v>
      </c>
    </row>
    <row r="555" spans="1:4" x14ac:dyDescent="0.3">
      <c r="A555">
        <v>90162</v>
      </c>
      <c r="B555" t="s">
        <v>707</v>
      </c>
      <c r="C555">
        <v>218</v>
      </c>
      <c r="D555">
        <v>156</v>
      </c>
    </row>
    <row r="556" spans="1:4" x14ac:dyDescent="0.3">
      <c r="A556">
        <v>90192</v>
      </c>
      <c r="B556" t="s">
        <v>708</v>
      </c>
      <c r="C556">
        <v>286</v>
      </c>
      <c r="D556">
        <v>147</v>
      </c>
    </row>
    <row r="557" spans="1:4" x14ac:dyDescent="0.3">
      <c r="A557">
        <v>90199</v>
      </c>
      <c r="B557" t="s">
        <v>834</v>
      </c>
      <c r="C557">
        <v>615</v>
      </c>
      <c r="D557">
        <v>1</v>
      </c>
    </row>
    <row r="558" spans="1:4" x14ac:dyDescent="0.3">
      <c r="A558">
        <v>90201</v>
      </c>
      <c r="B558" t="s">
        <v>152</v>
      </c>
      <c r="C558">
        <v>252</v>
      </c>
      <c r="D558">
        <v>53</v>
      </c>
    </row>
    <row r="559" spans="1:4" x14ac:dyDescent="0.3">
      <c r="A559">
        <v>90273</v>
      </c>
      <c r="B559" t="s">
        <v>709</v>
      </c>
      <c r="C559">
        <v>180</v>
      </c>
      <c r="D559">
        <v>172</v>
      </c>
    </row>
    <row r="560" spans="1:4" x14ac:dyDescent="0.3">
      <c r="A560">
        <v>90275</v>
      </c>
      <c r="B560" t="s">
        <v>359</v>
      </c>
      <c r="C560">
        <v>107</v>
      </c>
      <c r="D560">
        <v>100</v>
      </c>
    </row>
    <row r="561" spans="1:4" x14ac:dyDescent="0.3">
      <c r="A561">
        <v>90284</v>
      </c>
      <c r="B561" t="s">
        <v>816</v>
      </c>
      <c r="C561">
        <v>200</v>
      </c>
      <c r="D561">
        <v>51</v>
      </c>
    </row>
    <row r="562" spans="1:4" x14ac:dyDescent="0.3">
      <c r="A562">
        <v>90287</v>
      </c>
      <c r="B562" t="s">
        <v>710</v>
      </c>
      <c r="C562">
        <v>2091</v>
      </c>
      <c r="D562">
        <v>0</v>
      </c>
    </row>
    <row r="563" spans="1:4" x14ac:dyDescent="0.3">
      <c r="A563">
        <v>90317</v>
      </c>
      <c r="B563" t="s">
        <v>711</v>
      </c>
      <c r="C563">
        <v>205</v>
      </c>
      <c r="D563">
        <v>8</v>
      </c>
    </row>
    <row r="564" spans="1:4" x14ac:dyDescent="0.3">
      <c r="A564">
        <v>90327</v>
      </c>
      <c r="B564" t="s">
        <v>712</v>
      </c>
      <c r="C564">
        <v>824</v>
      </c>
      <c r="D564">
        <v>272</v>
      </c>
    </row>
    <row r="565" spans="1:4" x14ac:dyDescent="0.3">
      <c r="A565">
        <v>90328</v>
      </c>
      <c r="B565" t="s">
        <v>713</v>
      </c>
      <c r="C565">
        <v>238</v>
      </c>
      <c r="D565">
        <v>178</v>
      </c>
    </row>
    <row r="566" spans="1:4" x14ac:dyDescent="0.3">
      <c r="A566">
        <v>90329</v>
      </c>
      <c r="B566" t="s">
        <v>714</v>
      </c>
      <c r="C566">
        <v>134</v>
      </c>
      <c r="D566">
        <v>4</v>
      </c>
    </row>
    <row r="567" spans="1:4" x14ac:dyDescent="0.3">
      <c r="A567">
        <v>90330</v>
      </c>
      <c r="B567" t="s">
        <v>715</v>
      </c>
      <c r="C567">
        <v>276</v>
      </c>
      <c r="D567">
        <v>276</v>
      </c>
    </row>
    <row r="568" spans="1:4" x14ac:dyDescent="0.3">
      <c r="A568">
        <v>90331</v>
      </c>
      <c r="B568" t="s">
        <v>119</v>
      </c>
      <c r="C568">
        <v>32</v>
      </c>
      <c r="D568">
        <v>11</v>
      </c>
    </row>
    <row r="569" spans="1:4" x14ac:dyDescent="0.3">
      <c r="A569">
        <v>90333</v>
      </c>
      <c r="B569" t="s">
        <v>228</v>
      </c>
      <c r="C569">
        <v>155</v>
      </c>
      <c r="D569">
        <v>91</v>
      </c>
    </row>
    <row r="570" spans="1:4" x14ac:dyDescent="0.3">
      <c r="A570">
        <v>90334</v>
      </c>
      <c r="B570" t="s">
        <v>230</v>
      </c>
      <c r="C570">
        <v>235</v>
      </c>
      <c r="D570">
        <v>173</v>
      </c>
    </row>
    <row r="571" spans="1:4" x14ac:dyDescent="0.3">
      <c r="A571">
        <v>90403</v>
      </c>
      <c r="B571" t="s">
        <v>654</v>
      </c>
      <c r="C571">
        <v>1</v>
      </c>
      <c r="D571">
        <v>0</v>
      </c>
    </row>
    <row r="572" spans="1:4" x14ac:dyDescent="0.3">
      <c r="A572">
        <v>90471</v>
      </c>
      <c r="B572" t="s">
        <v>639</v>
      </c>
      <c r="C572">
        <v>3</v>
      </c>
      <c r="D572">
        <v>1</v>
      </c>
    </row>
    <row r="573" spans="1:4" x14ac:dyDescent="0.3">
      <c r="A573">
        <v>90506</v>
      </c>
      <c r="B573" t="s">
        <v>142</v>
      </c>
      <c r="C573">
        <v>65</v>
      </c>
      <c r="D573">
        <v>65</v>
      </c>
    </row>
    <row r="574" spans="1:4" x14ac:dyDescent="0.3">
      <c r="A574">
        <v>90508</v>
      </c>
      <c r="B574" t="s">
        <v>1266</v>
      </c>
      <c r="C574">
        <v>502</v>
      </c>
      <c r="D574">
        <v>1</v>
      </c>
    </row>
    <row r="575" spans="1:4" x14ac:dyDescent="0.3">
      <c r="A575">
        <v>90532</v>
      </c>
      <c r="B575" t="s">
        <v>551</v>
      </c>
      <c r="C575">
        <v>755</v>
      </c>
      <c r="D575">
        <v>0</v>
      </c>
    </row>
    <row r="576" spans="1:4" x14ac:dyDescent="0.3">
      <c r="A576">
        <v>90533</v>
      </c>
      <c r="B576" t="s">
        <v>861</v>
      </c>
      <c r="C576">
        <v>119</v>
      </c>
      <c r="D576">
        <v>47</v>
      </c>
    </row>
    <row r="577" spans="1:4" x14ac:dyDescent="0.3">
      <c r="A577">
        <v>90535</v>
      </c>
      <c r="B577" t="s">
        <v>229</v>
      </c>
      <c r="C577">
        <v>272</v>
      </c>
      <c r="D577">
        <v>146</v>
      </c>
    </row>
    <row r="578" spans="1:4" x14ac:dyDescent="0.3">
      <c r="A578">
        <v>90536</v>
      </c>
      <c r="B578" t="s">
        <v>344</v>
      </c>
      <c r="C578">
        <v>93</v>
      </c>
      <c r="D578">
        <v>17</v>
      </c>
    </row>
    <row r="579" spans="1:4" x14ac:dyDescent="0.3">
      <c r="A579">
        <v>90540</v>
      </c>
      <c r="B579" t="s">
        <v>717</v>
      </c>
      <c r="C579">
        <v>235</v>
      </c>
      <c r="D579">
        <v>3</v>
      </c>
    </row>
    <row r="580" spans="1:4" x14ac:dyDescent="0.3">
      <c r="A580">
        <v>90541</v>
      </c>
      <c r="B580" t="s">
        <v>126</v>
      </c>
      <c r="C580">
        <v>325</v>
      </c>
      <c r="D580">
        <v>150</v>
      </c>
    </row>
    <row r="581" spans="1:4" x14ac:dyDescent="0.3">
      <c r="A581">
        <v>90548</v>
      </c>
      <c r="B581" t="s">
        <v>716</v>
      </c>
      <c r="C581">
        <v>249</v>
      </c>
      <c r="D581">
        <v>65</v>
      </c>
    </row>
    <row r="582" spans="1:4" x14ac:dyDescent="0.3">
      <c r="A582">
        <v>90637</v>
      </c>
      <c r="B582" t="s">
        <v>250</v>
      </c>
      <c r="C582">
        <v>668</v>
      </c>
      <c r="D582">
        <v>282</v>
      </c>
    </row>
    <row r="583" spans="1:4" x14ac:dyDescent="0.3">
      <c r="A583">
        <v>90754</v>
      </c>
      <c r="B583" t="s">
        <v>825</v>
      </c>
      <c r="C583">
        <v>31</v>
      </c>
      <c r="D583">
        <v>24</v>
      </c>
    </row>
    <row r="584" spans="1:4" x14ac:dyDescent="0.3">
      <c r="A584">
        <v>90758</v>
      </c>
      <c r="B584" t="s">
        <v>718</v>
      </c>
      <c r="C584">
        <v>136</v>
      </c>
      <c r="D584">
        <v>5</v>
      </c>
    </row>
    <row r="585" spans="1:4" x14ac:dyDescent="0.3">
      <c r="A585">
        <v>90779</v>
      </c>
      <c r="B585" t="s">
        <v>683</v>
      </c>
      <c r="C585">
        <v>360</v>
      </c>
      <c r="D585">
        <v>137</v>
      </c>
    </row>
    <row r="586" spans="1:4" x14ac:dyDescent="0.3">
      <c r="A586">
        <v>90841</v>
      </c>
      <c r="B586" t="s">
        <v>1266</v>
      </c>
      <c r="C586">
        <v>744</v>
      </c>
      <c r="D586">
        <v>1</v>
      </c>
    </row>
    <row r="587" spans="1:4" x14ac:dyDescent="0.3">
      <c r="A587">
        <v>90842</v>
      </c>
      <c r="B587" t="s">
        <v>1266</v>
      </c>
      <c r="C587">
        <v>845</v>
      </c>
      <c r="D587">
        <v>0</v>
      </c>
    </row>
    <row r="588" spans="1:4" x14ac:dyDescent="0.3">
      <c r="A588">
        <v>90857</v>
      </c>
      <c r="B588" t="s">
        <v>546</v>
      </c>
      <c r="C588">
        <v>403</v>
      </c>
      <c r="D588">
        <v>0</v>
      </c>
    </row>
    <row r="589" spans="1:4" x14ac:dyDescent="0.3">
      <c r="A589">
        <v>90859</v>
      </c>
      <c r="B589" t="s">
        <v>465</v>
      </c>
      <c r="C589">
        <v>566</v>
      </c>
      <c r="D589">
        <v>0</v>
      </c>
    </row>
    <row r="590" spans="1:4" x14ac:dyDescent="0.3">
      <c r="A590">
        <v>90861</v>
      </c>
      <c r="B590" t="s">
        <v>275</v>
      </c>
      <c r="C590">
        <v>450</v>
      </c>
      <c r="D590">
        <v>280</v>
      </c>
    </row>
    <row r="591" spans="1:4" x14ac:dyDescent="0.3">
      <c r="A591">
        <v>90862</v>
      </c>
      <c r="B591" t="s">
        <v>1266</v>
      </c>
      <c r="C591">
        <v>605</v>
      </c>
      <c r="D591">
        <v>1</v>
      </c>
    </row>
    <row r="592" spans="1:4" x14ac:dyDescent="0.3">
      <c r="A592">
        <v>90876</v>
      </c>
      <c r="B592" t="s">
        <v>835</v>
      </c>
      <c r="C592">
        <v>51</v>
      </c>
      <c r="D592">
        <v>39</v>
      </c>
    </row>
    <row r="593" spans="1:4" x14ac:dyDescent="0.3">
      <c r="A593">
        <v>90878</v>
      </c>
      <c r="B593" t="s">
        <v>10</v>
      </c>
      <c r="C593">
        <v>478</v>
      </c>
      <c r="D593">
        <v>425</v>
      </c>
    </row>
    <row r="594" spans="1:4" x14ac:dyDescent="0.3">
      <c r="A594">
        <v>90879</v>
      </c>
      <c r="B594" t="s">
        <v>493</v>
      </c>
      <c r="C594">
        <v>400</v>
      </c>
      <c r="D594">
        <v>0</v>
      </c>
    </row>
    <row r="595" spans="1:4" x14ac:dyDescent="0.3">
      <c r="A595">
        <v>90884</v>
      </c>
      <c r="B595" t="s">
        <v>719</v>
      </c>
      <c r="C595">
        <v>209</v>
      </c>
      <c r="D595">
        <v>110</v>
      </c>
    </row>
    <row r="596" spans="1:4" x14ac:dyDescent="0.3">
      <c r="A596">
        <v>90885</v>
      </c>
      <c r="B596" t="s">
        <v>541</v>
      </c>
      <c r="C596">
        <v>332</v>
      </c>
      <c r="D596">
        <v>0</v>
      </c>
    </row>
    <row r="597" spans="1:4" x14ac:dyDescent="0.3">
      <c r="A597">
        <v>90894</v>
      </c>
      <c r="B597" t="s">
        <v>516</v>
      </c>
      <c r="C597">
        <v>34</v>
      </c>
      <c r="D597">
        <v>1</v>
      </c>
    </row>
    <row r="598" spans="1:4" x14ac:dyDescent="0.3">
      <c r="A598">
        <v>90900</v>
      </c>
      <c r="B598" t="s">
        <v>862</v>
      </c>
      <c r="C598">
        <v>94</v>
      </c>
      <c r="D598">
        <v>49</v>
      </c>
    </row>
    <row r="599" spans="1:4" x14ac:dyDescent="0.3">
      <c r="A599">
        <v>90906</v>
      </c>
      <c r="B599" t="s">
        <v>1290</v>
      </c>
      <c r="C599">
        <v>506</v>
      </c>
      <c r="D599">
        <v>269</v>
      </c>
    </row>
    <row r="600" spans="1:4" x14ac:dyDescent="0.3">
      <c r="A600">
        <v>90915</v>
      </c>
      <c r="B600" t="s">
        <v>1269</v>
      </c>
      <c r="C600">
        <v>541</v>
      </c>
      <c r="D600">
        <v>0</v>
      </c>
    </row>
    <row r="601" spans="1:4" x14ac:dyDescent="0.3">
      <c r="A601">
        <v>90916</v>
      </c>
      <c r="B601" t="s">
        <v>545</v>
      </c>
      <c r="C601">
        <v>536</v>
      </c>
      <c r="D601">
        <v>0</v>
      </c>
    </row>
    <row r="602" spans="1:4" x14ac:dyDescent="0.3">
      <c r="A602">
        <v>90917</v>
      </c>
      <c r="B602" t="s">
        <v>549</v>
      </c>
      <c r="C602">
        <v>532</v>
      </c>
      <c r="D602">
        <v>0</v>
      </c>
    </row>
    <row r="603" spans="1:4" x14ac:dyDescent="0.3">
      <c r="A603">
        <v>90997</v>
      </c>
      <c r="B603" t="s">
        <v>818</v>
      </c>
      <c r="C603">
        <v>144</v>
      </c>
      <c r="D603">
        <v>132</v>
      </c>
    </row>
    <row r="604" spans="1:4" x14ac:dyDescent="0.3">
      <c r="A604">
        <v>91053</v>
      </c>
      <c r="B604" t="s">
        <v>721</v>
      </c>
      <c r="C604">
        <v>130</v>
      </c>
      <c r="D604">
        <v>14</v>
      </c>
    </row>
    <row r="605" spans="1:4" x14ac:dyDescent="0.3">
      <c r="A605">
        <v>91108</v>
      </c>
      <c r="B605" t="s">
        <v>394</v>
      </c>
      <c r="C605">
        <v>305</v>
      </c>
      <c r="D605">
        <v>3</v>
      </c>
    </row>
    <row r="606" spans="1:4" x14ac:dyDescent="0.3">
      <c r="A606">
        <v>91110</v>
      </c>
      <c r="B606" t="s">
        <v>479</v>
      </c>
      <c r="C606">
        <v>133</v>
      </c>
      <c r="D606">
        <v>1</v>
      </c>
    </row>
    <row r="607" spans="1:4" x14ac:dyDescent="0.3">
      <c r="A607">
        <v>91131</v>
      </c>
      <c r="B607" t="s">
        <v>683</v>
      </c>
      <c r="C607">
        <v>156</v>
      </c>
      <c r="D607">
        <v>64</v>
      </c>
    </row>
    <row r="608" spans="1:4" x14ac:dyDescent="0.3">
      <c r="A608">
        <v>91133</v>
      </c>
      <c r="B608" t="s">
        <v>57</v>
      </c>
      <c r="C608">
        <v>1191</v>
      </c>
      <c r="D608">
        <v>8</v>
      </c>
    </row>
    <row r="609" spans="1:4" x14ac:dyDescent="0.3">
      <c r="A609">
        <v>91135</v>
      </c>
      <c r="B609" t="s">
        <v>505</v>
      </c>
      <c r="C609">
        <v>1299</v>
      </c>
      <c r="D609">
        <v>42</v>
      </c>
    </row>
    <row r="610" spans="1:4" x14ac:dyDescent="0.3">
      <c r="A610">
        <v>91137</v>
      </c>
      <c r="B610" t="s">
        <v>503</v>
      </c>
      <c r="C610">
        <v>1251</v>
      </c>
      <c r="D610">
        <v>318</v>
      </c>
    </row>
    <row r="611" spans="1:4" x14ac:dyDescent="0.3">
      <c r="A611">
        <v>91170</v>
      </c>
      <c r="B611" t="s">
        <v>1260</v>
      </c>
      <c r="C611">
        <v>319</v>
      </c>
      <c r="D611">
        <v>254</v>
      </c>
    </row>
    <row r="612" spans="1:4" x14ac:dyDescent="0.3">
      <c r="A612">
        <v>91174</v>
      </c>
      <c r="B612" t="s">
        <v>248</v>
      </c>
      <c r="C612">
        <v>317</v>
      </c>
      <c r="D612">
        <v>130</v>
      </c>
    </row>
    <row r="613" spans="1:4" x14ac:dyDescent="0.3">
      <c r="A613">
        <v>91238</v>
      </c>
      <c r="B613" t="s">
        <v>817</v>
      </c>
      <c r="C613">
        <v>142</v>
      </c>
      <c r="D613">
        <v>70</v>
      </c>
    </row>
    <row r="614" spans="1:4" x14ac:dyDescent="0.3">
      <c r="A614">
        <v>91250</v>
      </c>
      <c r="B614" t="s">
        <v>667</v>
      </c>
      <c r="C614">
        <v>700</v>
      </c>
      <c r="D614">
        <v>553</v>
      </c>
    </row>
    <row r="615" spans="1:4" x14ac:dyDescent="0.3">
      <c r="A615">
        <v>91275</v>
      </c>
      <c r="B615" t="s">
        <v>513</v>
      </c>
      <c r="C615">
        <v>151</v>
      </c>
      <c r="D615">
        <v>120</v>
      </c>
    </row>
    <row r="616" spans="1:4" x14ac:dyDescent="0.3">
      <c r="A616">
        <v>91277</v>
      </c>
      <c r="B616" t="s">
        <v>158</v>
      </c>
      <c r="C616">
        <v>631</v>
      </c>
      <c r="D616">
        <v>610</v>
      </c>
    </row>
    <row r="617" spans="1:4" x14ac:dyDescent="0.3">
      <c r="A617">
        <v>91279</v>
      </c>
      <c r="B617" t="s">
        <v>1288</v>
      </c>
      <c r="C617">
        <v>16</v>
      </c>
      <c r="D617">
        <v>0</v>
      </c>
    </row>
    <row r="618" spans="1:4" x14ac:dyDescent="0.3">
      <c r="A618">
        <v>91280</v>
      </c>
      <c r="B618" t="s">
        <v>1266</v>
      </c>
      <c r="C618">
        <v>741</v>
      </c>
      <c r="D618">
        <v>0</v>
      </c>
    </row>
    <row r="619" spans="1:4" x14ac:dyDescent="0.3">
      <c r="A619">
        <v>91301</v>
      </c>
      <c r="B619" t="s">
        <v>640</v>
      </c>
      <c r="C619">
        <v>1</v>
      </c>
      <c r="D619">
        <v>0</v>
      </c>
    </row>
    <row r="620" spans="1:4" x14ac:dyDescent="0.3">
      <c r="A620">
        <v>91303</v>
      </c>
      <c r="B620" t="s">
        <v>56</v>
      </c>
      <c r="C620">
        <v>305</v>
      </c>
      <c r="D620">
        <v>182</v>
      </c>
    </row>
    <row r="621" spans="1:4" x14ac:dyDescent="0.3">
      <c r="A621">
        <v>91305</v>
      </c>
      <c r="B621" t="s">
        <v>56</v>
      </c>
      <c r="C621">
        <v>194</v>
      </c>
      <c r="D621">
        <v>39</v>
      </c>
    </row>
    <row r="622" spans="1:4" x14ac:dyDescent="0.3">
      <c r="A622">
        <v>91307</v>
      </c>
      <c r="B622" t="s">
        <v>56</v>
      </c>
      <c r="C622">
        <v>368</v>
      </c>
      <c r="D622">
        <v>54</v>
      </c>
    </row>
    <row r="623" spans="1:4" x14ac:dyDescent="0.3">
      <c r="A623">
        <v>91309</v>
      </c>
      <c r="B623" t="s">
        <v>1266</v>
      </c>
      <c r="C623">
        <v>1008</v>
      </c>
      <c r="D623">
        <v>0</v>
      </c>
    </row>
    <row r="624" spans="1:4" x14ac:dyDescent="0.3">
      <c r="A624">
        <v>91317</v>
      </c>
      <c r="B624" t="s">
        <v>480</v>
      </c>
      <c r="C624">
        <v>591</v>
      </c>
      <c r="D624">
        <v>8</v>
      </c>
    </row>
    <row r="625" spans="1:4" x14ac:dyDescent="0.3">
      <c r="A625">
        <v>91326</v>
      </c>
      <c r="B625" t="s">
        <v>512</v>
      </c>
      <c r="C625">
        <v>335</v>
      </c>
      <c r="D625">
        <v>136</v>
      </c>
    </row>
    <row r="626" spans="1:4" x14ac:dyDescent="0.3">
      <c r="A626">
        <v>91328</v>
      </c>
      <c r="B626" t="s">
        <v>226</v>
      </c>
      <c r="C626">
        <v>203</v>
      </c>
      <c r="D626">
        <v>121</v>
      </c>
    </row>
    <row r="627" spans="1:4" x14ac:dyDescent="0.3">
      <c r="A627">
        <v>91329</v>
      </c>
      <c r="B627" t="s">
        <v>225</v>
      </c>
      <c r="C627">
        <v>28</v>
      </c>
      <c r="D627">
        <v>28</v>
      </c>
    </row>
    <row r="628" spans="1:4" x14ac:dyDescent="0.3">
      <c r="A628">
        <v>91330</v>
      </c>
      <c r="B628" t="s">
        <v>536</v>
      </c>
      <c r="C628">
        <v>82</v>
      </c>
      <c r="D628">
        <v>28</v>
      </c>
    </row>
    <row r="629" spans="1:4" x14ac:dyDescent="0.3">
      <c r="A629">
        <v>91339</v>
      </c>
      <c r="B629" t="s">
        <v>1266</v>
      </c>
      <c r="C629">
        <v>743</v>
      </c>
      <c r="D629">
        <v>0</v>
      </c>
    </row>
    <row r="630" spans="1:4" x14ac:dyDescent="0.3">
      <c r="A630">
        <v>91340</v>
      </c>
      <c r="B630" t="s">
        <v>468</v>
      </c>
      <c r="C630">
        <v>43</v>
      </c>
      <c r="D630">
        <v>0</v>
      </c>
    </row>
    <row r="631" spans="1:4" x14ac:dyDescent="0.3">
      <c r="A631">
        <v>91758</v>
      </c>
      <c r="B631" t="s">
        <v>547</v>
      </c>
      <c r="C631">
        <v>511</v>
      </c>
      <c r="D631">
        <v>2</v>
      </c>
    </row>
    <row r="632" spans="1:4" x14ac:dyDescent="0.3">
      <c r="A632">
        <v>91763</v>
      </c>
      <c r="B632" t="s">
        <v>508</v>
      </c>
      <c r="C632">
        <v>940</v>
      </c>
      <c r="D632">
        <v>52</v>
      </c>
    </row>
    <row r="633" spans="1:4" x14ac:dyDescent="0.3">
      <c r="A633">
        <v>91773</v>
      </c>
      <c r="B633" t="s">
        <v>848</v>
      </c>
      <c r="C633">
        <v>78</v>
      </c>
      <c r="D633">
        <v>39</v>
      </c>
    </row>
    <row r="634" spans="1:4" x14ac:dyDescent="0.3">
      <c r="A634">
        <v>91827</v>
      </c>
      <c r="B634" t="s">
        <v>663</v>
      </c>
      <c r="C634">
        <v>7</v>
      </c>
      <c r="D634">
        <v>0</v>
      </c>
    </row>
    <row r="635" spans="1:4" x14ac:dyDescent="0.3">
      <c r="A635">
        <v>91877</v>
      </c>
      <c r="B635" t="s">
        <v>642</v>
      </c>
      <c r="C635">
        <v>6</v>
      </c>
      <c r="D635">
        <v>0</v>
      </c>
    </row>
    <row r="636" spans="1:4" x14ac:dyDescent="0.3">
      <c r="A636">
        <v>91878</v>
      </c>
      <c r="B636" t="s">
        <v>548</v>
      </c>
      <c r="C636">
        <v>537</v>
      </c>
      <c r="D636">
        <v>0</v>
      </c>
    </row>
    <row r="637" spans="1:4" x14ac:dyDescent="0.3">
      <c r="A637">
        <v>91933</v>
      </c>
      <c r="B637" t="s">
        <v>405</v>
      </c>
      <c r="C637">
        <v>117</v>
      </c>
      <c r="D637">
        <v>102</v>
      </c>
    </row>
    <row r="638" spans="1:4" x14ac:dyDescent="0.3">
      <c r="A638">
        <v>91934</v>
      </c>
      <c r="B638" t="s">
        <v>92</v>
      </c>
      <c r="C638">
        <v>172</v>
      </c>
      <c r="D638">
        <v>165</v>
      </c>
    </row>
    <row r="639" spans="1:4" x14ac:dyDescent="0.3">
      <c r="A639">
        <v>91935</v>
      </c>
      <c r="B639" t="s">
        <v>266</v>
      </c>
      <c r="C639">
        <v>340</v>
      </c>
      <c r="D639">
        <v>171</v>
      </c>
    </row>
    <row r="640" spans="1:4" x14ac:dyDescent="0.3">
      <c r="A640">
        <v>91937</v>
      </c>
      <c r="B640" t="s">
        <v>439</v>
      </c>
      <c r="C640">
        <v>409</v>
      </c>
      <c r="D640">
        <v>2</v>
      </c>
    </row>
    <row r="641" spans="1:4" x14ac:dyDescent="0.3">
      <c r="A641">
        <v>91938</v>
      </c>
      <c r="B641" t="s">
        <v>1261</v>
      </c>
      <c r="C641">
        <v>281</v>
      </c>
      <c r="D641">
        <v>152</v>
      </c>
    </row>
    <row r="642" spans="1:4" x14ac:dyDescent="0.3">
      <c r="A642">
        <v>91939</v>
      </c>
      <c r="B642" t="s">
        <v>1286</v>
      </c>
      <c r="C642">
        <v>197</v>
      </c>
      <c r="D642">
        <v>175</v>
      </c>
    </row>
    <row r="643" spans="1:4" x14ac:dyDescent="0.3">
      <c r="A643">
        <v>91948</v>
      </c>
      <c r="B643" t="s">
        <v>432</v>
      </c>
      <c r="C643">
        <v>225</v>
      </c>
      <c r="D643">
        <v>146</v>
      </c>
    </row>
    <row r="644" spans="1:4" x14ac:dyDescent="0.3">
      <c r="A644">
        <v>91949</v>
      </c>
      <c r="B644" t="s">
        <v>1266</v>
      </c>
      <c r="C644">
        <v>633</v>
      </c>
      <c r="D644">
        <v>0</v>
      </c>
    </row>
    <row r="645" spans="1:4" x14ac:dyDescent="0.3">
      <c r="A645">
        <v>91958</v>
      </c>
      <c r="B645" t="s">
        <v>669</v>
      </c>
      <c r="C645">
        <v>151</v>
      </c>
      <c r="D645">
        <v>113</v>
      </c>
    </row>
    <row r="646" spans="1:4" x14ac:dyDescent="0.3">
      <c r="A646">
        <v>92043</v>
      </c>
      <c r="B646" t="s">
        <v>396</v>
      </c>
      <c r="C646">
        <v>138</v>
      </c>
      <c r="D646">
        <v>6</v>
      </c>
    </row>
    <row r="647" spans="1:4" x14ac:dyDescent="0.3">
      <c r="A647">
        <v>92047</v>
      </c>
      <c r="B647" t="s">
        <v>504</v>
      </c>
      <c r="C647">
        <v>1147</v>
      </c>
      <c r="D647">
        <v>9</v>
      </c>
    </row>
    <row r="648" spans="1:4" x14ac:dyDescent="0.3">
      <c r="A648">
        <v>92049</v>
      </c>
      <c r="B648" t="s">
        <v>814</v>
      </c>
      <c r="C648">
        <v>86</v>
      </c>
      <c r="D648">
        <v>27</v>
      </c>
    </row>
    <row r="649" spans="1:4" x14ac:dyDescent="0.3">
      <c r="A649">
        <v>92191</v>
      </c>
      <c r="B649" t="s">
        <v>1256</v>
      </c>
      <c r="C649">
        <v>2</v>
      </c>
      <c r="D649">
        <v>0</v>
      </c>
    </row>
    <row r="650" spans="1:4" x14ac:dyDescent="0.3">
      <c r="A650">
        <v>92199</v>
      </c>
      <c r="B650" t="s">
        <v>506</v>
      </c>
      <c r="C650">
        <v>1174</v>
      </c>
      <c r="D650">
        <v>61</v>
      </c>
    </row>
    <row r="651" spans="1:4" x14ac:dyDescent="0.3">
      <c r="A651">
        <v>92226</v>
      </c>
      <c r="B651" t="s">
        <v>672</v>
      </c>
      <c r="C651">
        <v>1019</v>
      </c>
      <c r="D651">
        <v>501</v>
      </c>
    </row>
    <row r="652" spans="1:4" x14ac:dyDescent="0.3">
      <c r="A652">
        <v>92250</v>
      </c>
      <c r="B652" t="s">
        <v>159</v>
      </c>
      <c r="C652">
        <v>530</v>
      </c>
      <c r="D652">
        <v>523</v>
      </c>
    </row>
    <row r="653" spans="1:4" x14ac:dyDescent="0.3">
      <c r="A653">
        <v>92253</v>
      </c>
      <c r="B653" t="s">
        <v>643</v>
      </c>
      <c r="C653">
        <v>6</v>
      </c>
      <c r="D653">
        <v>0</v>
      </c>
    </row>
    <row r="654" spans="1:4" x14ac:dyDescent="0.3">
      <c r="A654">
        <v>92302</v>
      </c>
      <c r="B654" t="s">
        <v>804</v>
      </c>
      <c r="C654">
        <v>328</v>
      </c>
      <c r="D654">
        <v>174</v>
      </c>
    </row>
    <row r="655" spans="1:4" x14ac:dyDescent="0.3">
      <c r="A655">
        <v>92312</v>
      </c>
      <c r="B655" t="s">
        <v>673</v>
      </c>
      <c r="C655">
        <v>533</v>
      </c>
      <c r="D655">
        <v>0</v>
      </c>
    </row>
    <row r="656" spans="1:4" x14ac:dyDescent="0.3">
      <c r="A656">
        <v>92314</v>
      </c>
      <c r="B656" t="s">
        <v>674</v>
      </c>
      <c r="C656">
        <v>515</v>
      </c>
      <c r="D656">
        <v>0</v>
      </c>
    </row>
    <row r="657" spans="1:4" x14ac:dyDescent="0.3">
      <c r="A657">
        <v>92316</v>
      </c>
      <c r="B657" t="s">
        <v>675</v>
      </c>
      <c r="C657">
        <v>421</v>
      </c>
      <c r="D657">
        <v>2</v>
      </c>
    </row>
    <row r="658" spans="1:4" x14ac:dyDescent="0.3">
      <c r="A658">
        <v>92318</v>
      </c>
      <c r="B658" t="s">
        <v>1266</v>
      </c>
      <c r="C658">
        <v>760</v>
      </c>
      <c r="D658">
        <v>0</v>
      </c>
    </row>
    <row r="659" spans="1:4" x14ac:dyDescent="0.3">
      <c r="A659">
        <v>92320</v>
      </c>
      <c r="B659" t="s">
        <v>1266</v>
      </c>
      <c r="C659">
        <v>772</v>
      </c>
      <c r="D659">
        <v>0</v>
      </c>
    </row>
    <row r="660" spans="1:4" x14ac:dyDescent="0.3">
      <c r="A660">
        <v>92325</v>
      </c>
      <c r="B660" t="s">
        <v>56</v>
      </c>
      <c r="C660">
        <v>358</v>
      </c>
      <c r="D660">
        <v>228</v>
      </c>
    </row>
    <row r="661" spans="1:4" x14ac:dyDescent="0.3">
      <c r="A661">
        <v>92327</v>
      </c>
      <c r="B661" t="s">
        <v>56</v>
      </c>
      <c r="C661">
        <v>300</v>
      </c>
      <c r="D661">
        <v>67</v>
      </c>
    </row>
    <row r="662" spans="1:4" x14ac:dyDescent="0.3">
      <c r="A662">
        <v>92349</v>
      </c>
      <c r="B662" t="s">
        <v>1266</v>
      </c>
      <c r="C662">
        <v>859</v>
      </c>
      <c r="D662">
        <v>6</v>
      </c>
    </row>
    <row r="663" spans="1:4" x14ac:dyDescent="0.3">
      <c r="A663">
        <v>92367</v>
      </c>
      <c r="B663" t="s">
        <v>658</v>
      </c>
      <c r="C663">
        <v>2</v>
      </c>
      <c r="D663">
        <v>0</v>
      </c>
    </row>
    <row r="664" spans="1:4" x14ac:dyDescent="0.3">
      <c r="A664">
        <v>92369</v>
      </c>
      <c r="B664" t="s">
        <v>1264</v>
      </c>
      <c r="C664">
        <v>62</v>
      </c>
      <c r="D664">
        <v>4</v>
      </c>
    </row>
    <row r="665" spans="1:4" x14ac:dyDescent="0.3">
      <c r="A665">
        <v>92374</v>
      </c>
      <c r="B665" t="s">
        <v>305</v>
      </c>
      <c r="C665">
        <v>423</v>
      </c>
      <c r="D665">
        <v>237</v>
      </c>
    </row>
    <row r="666" spans="1:4" x14ac:dyDescent="0.3">
      <c r="A666">
        <v>92379</v>
      </c>
      <c r="B666" t="s">
        <v>1252</v>
      </c>
      <c r="C666">
        <v>164</v>
      </c>
      <c r="D666">
        <v>135</v>
      </c>
    </row>
    <row r="667" spans="1:4" x14ac:dyDescent="0.3">
      <c r="A667">
        <v>92381</v>
      </c>
      <c r="B667" t="s">
        <v>1254</v>
      </c>
      <c r="C667">
        <v>311</v>
      </c>
      <c r="D667">
        <v>293</v>
      </c>
    </row>
    <row r="668" spans="1:4" x14ac:dyDescent="0.3">
      <c r="A668">
        <v>92499</v>
      </c>
      <c r="B668" t="s">
        <v>216</v>
      </c>
      <c r="C668">
        <v>167</v>
      </c>
      <c r="D668">
        <v>141</v>
      </c>
    </row>
    <row r="669" spans="1:4" x14ac:dyDescent="0.3">
      <c r="A669">
        <v>92519</v>
      </c>
      <c r="B669" t="s">
        <v>676</v>
      </c>
      <c r="C669">
        <v>395</v>
      </c>
      <c r="D669">
        <v>2</v>
      </c>
    </row>
    <row r="670" spans="1:4" x14ac:dyDescent="0.3">
      <c r="A670">
        <v>92520</v>
      </c>
      <c r="B670" t="s">
        <v>677</v>
      </c>
      <c r="C670">
        <v>411</v>
      </c>
      <c r="D670">
        <v>1</v>
      </c>
    </row>
    <row r="671" spans="1:4" x14ac:dyDescent="0.3">
      <c r="A671">
        <v>92566</v>
      </c>
      <c r="B671" t="s">
        <v>678</v>
      </c>
      <c r="C671">
        <v>41</v>
      </c>
      <c r="D671">
        <v>0</v>
      </c>
    </row>
    <row r="672" spans="1:4" x14ac:dyDescent="0.3">
      <c r="A672">
        <v>92596</v>
      </c>
      <c r="B672" t="s">
        <v>679</v>
      </c>
      <c r="C672">
        <v>64</v>
      </c>
      <c r="D672">
        <v>53</v>
      </c>
    </row>
    <row r="673" spans="1:4" x14ac:dyDescent="0.3">
      <c r="A673">
        <v>92610</v>
      </c>
      <c r="B673" t="s">
        <v>257</v>
      </c>
      <c r="C673">
        <v>1088</v>
      </c>
      <c r="D673">
        <v>21</v>
      </c>
    </row>
    <row r="674" spans="1:4" x14ac:dyDescent="0.3">
      <c r="A674">
        <v>92616</v>
      </c>
      <c r="B674" t="s">
        <v>670</v>
      </c>
      <c r="C674">
        <v>36</v>
      </c>
      <c r="D674">
        <v>12</v>
      </c>
    </row>
    <row r="675" spans="1:4" x14ac:dyDescent="0.3">
      <c r="A675">
        <v>92620</v>
      </c>
      <c r="B675" t="s">
        <v>671</v>
      </c>
      <c r="C675">
        <v>774</v>
      </c>
      <c r="D675">
        <v>4</v>
      </c>
    </row>
    <row r="676" spans="1:4" x14ac:dyDescent="0.3">
      <c r="A676">
        <v>92633</v>
      </c>
      <c r="B676" t="s">
        <v>1275</v>
      </c>
      <c r="C676">
        <v>3</v>
      </c>
      <c r="D676">
        <v>2</v>
      </c>
    </row>
    <row r="677" spans="1:4" x14ac:dyDescent="0.3">
      <c r="A677">
        <v>92656</v>
      </c>
      <c r="B677" t="s">
        <v>1262</v>
      </c>
      <c r="C677">
        <v>509</v>
      </c>
      <c r="D677">
        <v>0</v>
      </c>
    </row>
    <row r="678" spans="1:4" x14ac:dyDescent="0.3">
      <c r="A678">
        <v>92657</v>
      </c>
      <c r="B678" t="s">
        <v>1263</v>
      </c>
      <c r="C678">
        <v>279</v>
      </c>
      <c r="D678">
        <v>0</v>
      </c>
    </row>
    <row r="679" spans="1:4" x14ac:dyDescent="0.3">
      <c r="A679">
        <v>92704</v>
      </c>
      <c r="B679" t="s">
        <v>1265</v>
      </c>
      <c r="C679">
        <v>461</v>
      </c>
      <c r="D679">
        <v>1</v>
      </c>
    </row>
    <row r="680" spans="1:4" x14ac:dyDescent="0.3">
      <c r="A680">
        <v>92716</v>
      </c>
      <c r="B680" t="s">
        <v>1394</v>
      </c>
      <c r="C680">
        <v>168</v>
      </c>
      <c r="D680">
        <v>166</v>
      </c>
    </row>
    <row r="681" spans="1:4" x14ac:dyDescent="0.3">
      <c r="A681">
        <v>92730</v>
      </c>
      <c r="B681" t="s">
        <v>1273</v>
      </c>
      <c r="C681">
        <v>974</v>
      </c>
      <c r="D681">
        <v>3</v>
      </c>
    </row>
    <row r="682" spans="1:4" x14ac:dyDescent="0.3">
      <c r="A682">
        <v>92734</v>
      </c>
      <c r="B682" t="s">
        <v>1266</v>
      </c>
      <c r="C682">
        <v>185</v>
      </c>
      <c r="D682">
        <v>0</v>
      </c>
    </row>
    <row r="683" spans="1:4" x14ac:dyDescent="0.3">
      <c r="A683">
        <v>92736</v>
      </c>
      <c r="B683" t="s">
        <v>1266</v>
      </c>
      <c r="C683">
        <v>579</v>
      </c>
      <c r="D683">
        <v>1</v>
      </c>
    </row>
    <row r="684" spans="1:4" x14ac:dyDescent="0.3">
      <c r="A684">
        <v>92768</v>
      </c>
      <c r="B684" t="s">
        <v>827</v>
      </c>
      <c r="C684">
        <v>572</v>
      </c>
      <c r="D684">
        <v>501</v>
      </c>
    </row>
    <row r="685" spans="1:4" x14ac:dyDescent="0.3">
      <c r="A685">
        <v>92783</v>
      </c>
      <c r="B685" t="s">
        <v>1279</v>
      </c>
      <c r="C685">
        <v>11</v>
      </c>
      <c r="D685">
        <v>6</v>
      </c>
    </row>
    <row r="686" spans="1:4" x14ac:dyDescent="0.3">
      <c r="A686">
        <v>92863</v>
      </c>
      <c r="B686" t="s">
        <v>1266</v>
      </c>
      <c r="C686">
        <v>516</v>
      </c>
      <c r="D686">
        <v>2</v>
      </c>
    </row>
    <row r="687" spans="1:4" x14ac:dyDescent="0.3">
      <c r="A687">
        <v>92865</v>
      </c>
      <c r="B687" t="s">
        <v>1266</v>
      </c>
      <c r="C687">
        <v>433</v>
      </c>
      <c r="D687">
        <v>0</v>
      </c>
    </row>
    <row r="688" spans="1:4" x14ac:dyDescent="0.3">
      <c r="A688">
        <v>92879</v>
      </c>
      <c r="B688" t="s">
        <v>1251</v>
      </c>
      <c r="C688">
        <v>1349</v>
      </c>
      <c r="D688">
        <v>23</v>
      </c>
    </row>
    <row r="689" spans="1:4" x14ac:dyDescent="0.3">
      <c r="A689">
        <v>92902</v>
      </c>
      <c r="B689" t="s">
        <v>1267</v>
      </c>
      <c r="C689">
        <v>39</v>
      </c>
      <c r="D689">
        <v>34</v>
      </c>
    </row>
    <row r="690" spans="1:4" x14ac:dyDescent="0.3">
      <c r="A690">
        <v>92918</v>
      </c>
      <c r="B690" t="s">
        <v>1257</v>
      </c>
      <c r="C690">
        <v>7</v>
      </c>
      <c r="D690">
        <v>2</v>
      </c>
    </row>
    <row r="691" spans="1:4" x14ac:dyDescent="0.3">
      <c r="A691">
        <v>92923</v>
      </c>
      <c r="B691" t="s">
        <v>641</v>
      </c>
      <c r="C691">
        <v>1</v>
      </c>
      <c r="D691">
        <v>0</v>
      </c>
    </row>
    <row r="692" spans="1:4" x14ac:dyDescent="0.3">
      <c r="A692">
        <v>92925</v>
      </c>
      <c r="B692" t="s">
        <v>1395</v>
      </c>
      <c r="C692">
        <v>1</v>
      </c>
      <c r="D692">
        <v>0</v>
      </c>
    </row>
    <row r="693" spans="1:4" x14ac:dyDescent="0.3">
      <c r="A693">
        <v>92932</v>
      </c>
      <c r="B693" t="s">
        <v>1258</v>
      </c>
      <c r="C693">
        <v>5</v>
      </c>
      <c r="D693">
        <v>0</v>
      </c>
    </row>
    <row r="694" spans="1:4" x14ac:dyDescent="0.3">
      <c r="A694">
        <v>92972</v>
      </c>
      <c r="B694" t="s">
        <v>1396</v>
      </c>
      <c r="C694">
        <v>93</v>
      </c>
      <c r="D694">
        <v>90</v>
      </c>
    </row>
    <row r="695" spans="1:4" x14ac:dyDescent="0.3">
      <c r="A695">
        <v>92978</v>
      </c>
      <c r="B695" t="s">
        <v>1397</v>
      </c>
      <c r="C695">
        <v>435</v>
      </c>
      <c r="D695">
        <v>292</v>
      </c>
    </row>
    <row r="696" spans="1:4" x14ac:dyDescent="0.3">
      <c r="A696">
        <v>92983</v>
      </c>
      <c r="B696" t="s">
        <v>1398</v>
      </c>
      <c r="C696">
        <v>9</v>
      </c>
      <c r="D696">
        <v>1</v>
      </c>
    </row>
    <row r="697" spans="1:4" x14ac:dyDescent="0.3">
      <c r="A697">
        <v>92987</v>
      </c>
      <c r="B697" t="s">
        <v>1399</v>
      </c>
      <c r="C697">
        <v>55</v>
      </c>
      <c r="D697">
        <v>26</v>
      </c>
    </row>
    <row r="698" spans="1:4" x14ac:dyDescent="0.3">
      <c r="A698">
        <v>92988</v>
      </c>
      <c r="B698" t="s">
        <v>1400</v>
      </c>
      <c r="C698">
        <v>24</v>
      </c>
      <c r="D698">
        <v>0</v>
      </c>
    </row>
    <row r="699" spans="1:4" x14ac:dyDescent="0.3">
      <c r="A699">
        <v>92989</v>
      </c>
      <c r="B699" t="s">
        <v>1401</v>
      </c>
      <c r="C699">
        <v>76</v>
      </c>
      <c r="D699">
        <v>13</v>
      </c>
    </row>
    <row r="700" spans="1:4" x14ac:dyDescent="0.3">
      <c r="A700">
        <v>92991</v>
      </c>
      <c r="B700" t="s">
        <v>1402</v>
      </c>
      <c r="C700">
        <v>84</v>
      </c>
      <c r="D700">
        <v>8</v>
      </c>
    </row>
    <row r="701" spans="1:4" x14ac:dyDescent="0.3">
      <c r="A701">
        <v>92997</v>
      </c>
      <c r="B701" t="s">
        <v>1266</v>
      </c>
      <c r="C701">
        <v>509</v>
      </c>
      <c r="D701">
        <v>0</v>
      </c>
    </row>
    <row r="702" spans="1:4" x14ac:dyDescent="0.3">
      <c r="A702">
        <v>123733</v>
      </c>
      <c r="B702" t="s">
        <v>1403</v>
      </c>
      <c r="C702">
        <v>227</v>
      </c>
      <c r="D702">
        <v>0</v>
      </c>
    </row>
    <row r="703" spans="1:4" x14ac:dyDescent="0.3">
      <c r="A703">
        <v>346763</v>
      </c>
      <c r="B703" t="s">
        <v>1285</v>
      </c>
      <c r="C703">
        <v>97</v>
      </c>
      <c r="D703">
        <v>89</v>
      </c>
    </row>
    <row r="704" spans="1:4" x14ac:dyDescent="0.3">
      <c r="A704">
        <v>850099</v>
      </c>
      <c r="B704" t="s">
        <v>1404</v>
      </c>
      <c r="C704">
        <v>207</v>
      </c>
      <c r="D704">
        <v>33</v>
      </c>
    </row>
    <row r="705" spans="1:4" x14ac:dyDescent="0.3">
      <c r="A705">
        <v>850100</v>
      </c>
      <c r="B705" t="s">
        <v>1405</v>
      </c>
      <c r="C705">
        <v>949</v>
      </c>
      <c r="D705">
        <v>98</v>
      </c>
    </row>
    <row r="706" spans="1:4" x14ac:dyDescent="0.3">
      <c r="A706">
        <v>850101</v>
      </c>
      <c r="B706" t="s">
        <v>1406</v>
      </c>
      <c r="C706">
        <v>441</v>
      </c>
      <c r="D706">
        <v>42</v>
      </c>
    </row>
  </sheetData>
  <pageMargins left="0.7" right="0.7" top="0.75" bottom="0.75" header="0.3" footer="0.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709"/>
  <sheetViews>
    <sheetView workbookViewId="0"/>
  </sheetViews>
  <sheetFormatPr defaultColWidth="9.109375" defaultRowHeight="14.4" x14ac:dyDescent="0.3"/>
  <cols>
    <col min="1" max="1" width="10.77734375" style="47" bestFit="1" customWidth="1"/>
    <col min="2" max="2" width="10" style="47" bestFit="1" customWidth="1"/>
    <col min="3" max="3" width="77.109375" style="47" bestFit="1" customWidth="1"/>
    <col min="4" max="4" width="32.6640625" style="47" bestFit="1" customWidth="1"/>
    <col min="5" max="5" width="20.6640625" style="47" bestFit="1" customWidth="1"/>
    <col min="6" max="6" width="14.44140625" style="47" bestFit="1" customWidth="1"/>
    <col min="7" max="16384" width="9.109375" style="47"/>
  </cols>
  <sheetData>
    <row r="1" spans="1:6" x14ac:dyDescent="0.3">
      <c r="A1" s="47" t="s">
        <v>619</v>
      </c>
      <c r="B1" s="47" t="s">
        <v>1298</v>
      </c>
      <c r="C1" s="47" t="s">
        <v>1297</v>
      </c>
      <c r="D1" s="47" t="s">
        <v>2</v>
      </c>
      <c r="E1" s="47" t="s">
        <v>1296</v>
      </c>
      <c r="F1" s="47" t="s">
        <v>1295</v>
      </c>
    </row>
    <row r="2" spans="1:6" x14ac:dyDescent="0.3">
      <c r="A2" s="47">
        <v>4153</v>
      </c>
      <c r="B2" s="47">
        <v>10201000</v>
      </c>
      <c r="C2" s="47" t="s">
        <v>472</v>
      </c>
      <c r="D2" s="47" t="s">
        <v>103</v>
      </c>
      <c r="E2" s="47">
        <v>746</v>
      </c>
      <c r="F2" s="47">
        <v>387</v>
      </c>
    </row>
    <row r="3" spans="1:6" x14ac:dyDescent="0.3">
      <c r="A3" s="47">
        <v>4154</v>
      </c>
      <c r="B3" s="47">
        <v>10208000</v>
      </c>
      <c r="C3" s="47" t="s">
        <v>446</v>
      </c>
      <c r="D3" s="47" t="s">
        <v>103</v>
      </c>
      <c r="E3" s="47">
        <v>1743</v>
      </c>
      <c r="F3" s="47">
        <v>1355</v>
      </c>
    </row>
    <row r="4" spans="1:6" x14ac:dyDescent="0.3">
      <c r="A4" s="47">
        <v>4155</v>
      </c>
      <c r="B4" s="47">
        <v>10210000</v>
      </c>
      <c r="C4" s="47" t="s">
        <v>362</v>
      </c>
      <c r="D4" s="47" t="s">
        <v>103</v>
      </c>
      <c r="E4" s="47">
        <v>1228</v>
      </c>
      <c r="F4" s="47">
        <v>569</v>
      </c>
    </row>
    <row r="5" spans="1:6" x14ac:dyDescent="0.3">
      <c r="A5" s="47">
        <v>4156</v>
      </c>
      <c r="B5" s="47">
        <v>10218000</v>
      </c>
      <c r="C5" s="47" t="s">
        <v>374</v>
      </c>
      <c r="D5" s="47" t="s">
        <v>103</v>
      </c>
      <c r="E5" s="47">
        <v>676</v>
      </c>
      <c r="F5" s="47">
        <v>650</v>
      </c>
    </row>
    <row r="6" spans="1:6" x14ac:dyDescent="0.3">
      <c r="A6" s="47">
        <v>4157</v>
      </c>
      <c r="B6" s="47">
        <v>10220000</v>
      </c>
      <c r="C6" s="47" t="s">
        <v>177</v>
      </c>
      <c r="D6" s="47" t="s">
        <v>103</v>
      </c>
      <c r="E6" s="47">
        <v>1323</v>
      </c>
      <c r="F6" s="47">
        <v>1321</v>
      </c>
    </row>
    <row r="7" spans="1:6" x14ac:dyDescent="0.3">
      <c r="A7" s="47">
        <v>4158</v>
      </c>
      <c r="B7" s="47">
        <v>10224000</v>
      </c>
      <c r="C7" s="47" t="s">
        <v>102</v>
      </c>
      <c r="D7" s="47" t="s">
        <v>103</v>
      </c>
      <c r="E7" s="47">
        <v>3142</v>
      </c>
      <c r="F7" s="47">
        <v>2471</v>
      </c>
    </row>
    <row r="8" spans="1:6" x14ac:dyDescent="0.3">
      <c r="A8" s="47">
        <v>4159</v>
      </c>
      <c r="B8" s="47">
        <v>10227000</v>
      </c>
      <c r="C8" s="47" t="s">
        <v>358</v>
      </c>
      <c r="D8" s="47" t="s">
        <v>103</v>
      </c>
      <c r="E8" s="47">
        <v>617</v>
      </c>
      <c r="F8" s="47">
        <v>576</v>
      </c>
    </row>
    <row r="9" spans="1:6" x14ac:dyDescent="0.3">
      <c r="A9" s="47">
        <v>4160</v>
      </c>
      <c r="B9" s="47">
        <v>10306000</v>
      </c>
      <c r="C9" s="47" t="s">
        <v>112</v>
      </c>
      <c r="D9" s="47" t="s">
        <v>103</v>
      </c>
      <c r="E9" s="47">
        <v>165</v>
      </c>
      <c r="F9" s="47">
        <v>159</v>
      </c>
    </row>
    <row r="10" spans="1:6" x14ac:dyDescent="0.3">
      <c r="A10" s="47">
        <v>4161</v>
      </c>
      <c r="B10" s="47">
        <v>10307000</v>
      </c>
      <c r="C10" s="47" t="s">
        <v>554</v>
      </c>
      <c r="D10" s="47" t="s">
        <v>103</v>
      </c>
      <c r="E10" s="47">
        <v>62</v>
      </c>
      <c r="F10" s="47">
        <v>37</v>
      </c>
    </row>
    <row r="11" spans="1:6" x14ac:dyDescent="0.3">
      <c r="A11" s="47">
        <v>4162</v>
      </c>
      <c r="B11" s="47">
        <v>10309000</v>
      </c>
      <c r="C11" s="47" t="s">
        <v>430</v>
      </c>
      <c r="D11" s="47" t="s">
        <v>103</v>
      </c>
      <c r="E11" s="47">
        <v>108</v>
      </c>
      <c r="F11" s="47">
        <v>71</v>
      </c>
    </row>
    <row r="12" spans="1:6" x14ac:dyDescent="0.3">
      <c r="A12" s="47">
        <v>4163</v>
      </c>
      <c r="B12" s="47">
        <v>10323000</v>
      </c>
      <c r="C12" s="47" t="s">
        <v>280</v>
      </c>
      <c r="D12" s="47" t="s">
        <v>103</v>
      </c>
      <c r="E12" s="47">
        <v>130</v>
      </c>
      <c r="F12" s="47">
        <v>120</v>
      </c>
    </row>
    <row r="13" spans="1:6" x14ac:dyDescent="0.3">
      <c r="A13" s="47">
        <v>4167</v>
      </c>
      <c r="B13" s="47">
        <v>20100000</v>
      </c>
      <c r="C13" s="47" t="s">
        <v>168</v>
      </c>
      <c r="D13" s="47" t="s">
        <v>54</v>
      </c>
      <c r="E13" s="47">
        <v>1038</v>
      </c>
      <c r="F13" s="47">
        <v>352</v>
      </c>
    </row>
    <row r="14" spans="1:6" x14ac:dyDescent="0.3">
      <c r="A14" s="47">
        <v>4168</v>
      </c>
      <c r="B14" s="47">
        <v>20201000</v>
      </c>
      <c r="C14" s="47" t="s">
        <v>417</v>
      </c>
      <c r="D14" s="47" t="s">
        <v>54</v>
      </c>
      <c r="E14" s="47">
        <v>774</v>
      </c>
      <c r="F14" s="47">
        <v>516</v>
      </c>
    </row>
    <row r="15" spans="1:6" x14ac:dyDescent="0.3">
      <c r="A15" s="47">
        <v>4169</v>
      </c>
      <c r="B15" s="47">
        <v>20202000</v>
      </c>
      <c r="C15" s="47" t="s">
        <v>71</v>
      </c>
      <c r="D15" s="47" t="s">
        <v>54</v>
      </c>
      <c r="E15" s="47">
        <v>651</v>
      </c>
      <c r="F15" s="47">
        <v>457</v>
      </c>
    </row>
    <row r="16" spans="1:6" x14ac:dyDescent="0.3">
      <c r="A16" s="47">
        <v>4170</v>
      </c>
      <c r="B16" s="47">
        <v>20213000</v>
      </c>
      <c r="C16" s="47" t="s">
        <v>443</v>
      </c>
      <c r="D16" s="47" t="s">
        <v>54</v>
      </c>
      <c r="E16" s="47">
        <v>1035</v>
      </c>
      <c r="F16" s="47">
        <v>817</v>
      </c>
    </row>
    <row r="17" spans="1:6" x14ac:dyDescent="0.3">
      <c r="A17" s="47">
        <v>4171</v>
      </c>
      <c r="B17" s="47">
        <v>20214000</v>
      </c>
      <c r="C17" s="47" t="s">
        <v>76</v>
      </c>
      <c r="D17" s="47" t="s">
        <v>54</v>
      </c>
      <c r="E17" s="47">
        <v>45</v>
      </c>
      <c r="F17" s="47">
        <v>39</v>
      </c>
    </row>
    <row r="18" spans="1:6" x14ac:dyDescent="0.3">
      <c r="A18" s="47">
        <v>4172</v>
      </c>
      <c r="B18" s="47">
        <v>20218000</v>
      </c>
      <c r="C18" s="47" t="s">
        <v>372</v>
      </c>
      <c r="D18" s="47" t="s">
        <v>54</v>
      </c>
      <c r="E18" s="47">
        <v>100</v>
      </c>
      <c r="F18" s="47">
        <v>65</v>
      </c>
    </row>
    <row r="19" spans="1:6" x14ac:dyDescent="0.3">
      <c r="A19" s="47">
        <v>4173</v>
      </c>
      <c r="B19" s="47">
        <v>20221000</v>
      </c>
      <c r="C19" s="47" t="s">
        <v>473</v>
      </c>
      <c r="D19" s="47" t="s">
        <v>54</v>
      </c>
      <c r="E19" s="47">
        <v>351</v>
      </c>
      <c r="F19" s="47">
        <v>270</v>
      </c>
    </row>
    <row r="20" spans="1:6" x14ac:dyDescent="0.3">
      <c r="A20" s="47">
        <v>4174</v>
      </c>
      <c r="B20" s="47">
        <v>20227000</v>
      </c>
      <c r="C20" s="47" t="s">
        <v>135</v>
      </c>
      <c r="D20" s="47" t="s">
        <v>54</v>
      </c>
      <c r="E20" s="47">
        <v>3452</v>
      </c>
      <c r="F20" s="47">
        <v>2996</v>
      </c>
    </row>
    <row r="21" spans="1:6" x14ac:dyDescent="0.3">
      <c r="A21" s="47">
        <v>4175</v>
      </c>
      <c r="B21" s="47">
        <v>20268000</v>
      </c>
      <c r="C21" s="47" t="s">
        <v>384</v>
      </c>
      <c r="D21" s="47" t="s">
        <v>54</v>
      </c>
      <c r="E21" s="47">
        <v>5497</v>
      </c>
      <c r="F21" s="47">
        <v>2381</v>
      </c>
    </row>
    <row r="22" spans="1:6" x14ac:dyDescent="0.3">
      <c r="A22" s="47">
        <v>4176</v>
      </c>
      <c r="B22" s="47">
        <v>20323000</v>
      </c>
      <c r="C22" s="47" t="s">
        <v>300</v>
      </c>
      <c r="D22" s="47" t="s">
        <v>54</v>
      </c>
      <c r="E22" s="47">
        <v>298</v>
      </c>
      <c r="F22" s="47">
        <v>266</v>
      </c>
    </row>
    <row r="23" spans="1:6" x14ac:dyDescent="0.3">
      <c r="A23" s="47">
        <v>4177</v>
      </c>
      <c r="B23" s="47">
        <v>20326000</v>
      </c>
      <c r="C23" s="47" t="s">
        <v>530</v>
      </c>
      <c r="D23" s="47" t="s">
        <v>54</v>
      </c>
      <c r="E23" s="47">
        <v>85</v>
      </c>
      <c r="F23" s="47">
        <v>46</v>
      </c>
    </row>
    <row r="24" spans="1:6" x14ac:dyDescent="0.3">
      <c r="A24" s="47">
        <v>4178</v>
      </c>
      <c r="B24" s="47">
        <v>20342000</v>
      </c>
      <c r="C24" s="47" t="s">
        <v>550</v>
      </c>
      <c r="D24" s="47" t="s">
        <v>54</v>
      </c>
      <c r="E24" s="47">
        <v>9</v>
      </c>
      <c r="F24" s="47">
        <v>0</v>
      </c>
    </row>
    <row r="25" spans="1:6" x14ac:dyDescent="0.3">
      <c r="A25" s="47">
        <v>4179</v>
      </c>
      <c r="B25" s="47">
        <v>20345000</v>
      </c>
      <c r="C25" s="47" t="s">
        <v>134</v>
      </c>
      <c r="D25" s="47" t="s">
        <v>54</v>
      </c>
      <c r="E25" s="47">
        <v>42</v>
      </c>
      <c r="F25" s="47">
        <v>25</v>
      </c>
    </row>
    <row r="26" spans="1:6" x14ac:dyDescent="0.3">
      <c r="A26" s="47">
        <v>4180</v>
      </c>
      <c r="B26" s="47">
        <v>20349000</v>
      </c>
      <c r="C26" s="47" t="s">
        <v>319</v>
      </c>
      <c r="D26" s="47" t="s">
        <v>54</v>
      </c>
      <c r="E26" s="47">
        <v>1052</v>
      </c>
      <c r="F26" s="47">
        <v>545</v>
      </c>
    </row>
    <row r="27" spans="1:6" x14ac:dyDescent="0.3">
      <c r="A27" s="47">
        <v>4181</v>
      </c>
      <c r="B27" s="47">
        <v>20355000</v>
      </c>
      <c r="C27" s="47" t="s">
        <v>281</v>
      </c>
      <c r="D27" s="47" t="s">
        <v>54</v>
      </c>
      <c r="E27" s="47">
        <v>62</v>
      </c>
      <c r="F27" s="47">
        <v>35</v>
      </c>
    </row>
    <row r="28" spans="1:6" x14ac:dyDescent="0.3">
      <c r="A28" s="47">
        <v>4185</v>
      </c>
      <c r="B28" s="47">
        <v>20412000</v>
      </c>
      <c r="C28" s="47" t="s">
        <v>155</v>
      </c>
      <c r="D28" s="47" t="s">
        <v>54</v>
      </c>
      <c r="E28" s="47">
        <v>122</v>
      </c>
      <c r="F28" s="47">
        <v>102</v>
      </c>
    </row>
    <row r="29" spans="1:6" x14ac:dyDescent="0.3">
      <c r="A29" s="47">
        <v>4186</v>
      </c>
      <c r="B29" s="47">
        <v>20422000</v>
      </c>
      <c r="C29" s="47" t="s">
        <v>333</v>
      </c>
      <c r="D29" s="47" t="s">
        <v>54</v>
      </c>
      <c r="E29" s="47">
        <v>104</v>
      </c>
      <c r="F29" s="47">
        <v>63</v>
      </c>
    </row>
    <row r="30" spans="1:6" x14ac:dyDescent="0.3">
      <c r="A30" s="47">
        <v>4187</v>
      </c>
      <c r="B30" s="47">
        <v>20453000</v>
      </c>
      <c r="C30" s="47" t="s">
        <v>53</v>
      </c>
      <c r="D30" s="47" t="s">
        <v>54</v>
      </c>
      <c r="E30" s="47">
        <v>25</v>
      </c>
      <c r="F30" s="47">
        <v>25</v>
      </c>
    </row>
    <row r="31" spans="1:6" x14ac:dyDescent="0.3">
      <c r="A31" s="47">
        <v>4188</v>
      </c>
      <c r="B31" s="47">
        <v>20364000</v>
      </c>
      <c r="C31" s="47" t="s">
        <v>349</v>
      </c>
      <c r="D31" s="47" t="s">
        <v>54</v>
      </c>
      <c r="E31" s="47">
        <v>101</v>
      </c>
      <c r="F31" s="47">
        <v>54</v>
      </c>
    </row>
    <row r="32" spans="1:6" x14ac:dyDescent="0.3">
      <c r="A32" s="47">
        <v>4190</v>
      </c>
      <c r="B32" s="47">
        <v>20522000</v>
      </c>
      <c r="C32" s="47" t="s">
        <v>428</v>
      </c>
      <c r="D32" s="47" t="s">
        <v>54</v>
      </c>
      <c r="E32" s="47">
        <v>80</v>
      </c>
      <c r="F32" s="47">
        <v>61</v>
      </c>
    </row>
    <row r="33" spans="1:6" x14ac:dyDescent="0.3">
      <c r="A33" s="47">
        <v>4191</v>
      </c>
      <c r="B33" s="47">
        <v>28750000</v>
      </c>
      <c r="C33" s="47" t="s">
        <v>621</v>
      </c>
      <c r="D33" s="47" t="s">
        <v>54</v>
      </c>
      <c r="E33" s="47">
        <v>1147</v>
      </c>
      <c r="F33" s="47">
        <v>971</v>
      </c>
    </row>
    <row r="34" spans="1:6" x14ac:dyDescent="0.3">
      <c r="A34" s="47">
        <v>4192</v>
      </c>
      <c r="B34" s="47">
        <v>30201000</v>
      </c>
      <c r="C34" s="47" t="s">
        <v>164</v>
      </c>
      <c r="D34" s="47" t="s">
        <v>163</v>
      </c>
      <c r="E34" s="47">
        <v>9226</v>
      </c>
      <c r="F34" s="47">
        <v>3876</v>
      </c>
    </row>
    <row r="35" spans="1:6" x14ac:dyDescent="0.3">
      <c r="A35" s="47">
        <v>4193</v>
      </c>
      <c r="B35" s="47">
        <v>30202000</v>
      </c>
      <c r="C35" s="47" t="s">
        <v>444</v>
      </c>
      <c r="D35" s="47" t="s">
        <v>163</v>
      </c>
      <c r="E35" s="47">
        <v>546</v>
      </c>
      <c r="F35" s="47">
        <v>341</v>
      </c>
    </row>
    <row r="36" spans="1:6" x14ac:dyDescent="0.3">
      <c r="A36" s="47">
        <v>4194</v>
      </c>
      <c r="B36" s="47">
        <v>30204000</v>
      </c>
      <c r="C36" s="47" t="s">
        <v>187</v>
      </c>
      <c r="D36" s="47" t="s">
        <v>163</v>
      </c>
      <c r="E36" s="47">
        <v>276</v>
      </c>
      <c r="F36" s="47">
        <v>190</v>
      </c>
    </row>
    <row r="37" spans="1:6" x14ac:dyDescent="0.3">
      <c r="A37" s="47">
        <v>4195</v>
      </c>
      <c r="B37" s="47">
        <v>30206000</v>
      </c>
      <c r="C37" s="47" t="s">
        <v>174</v>
      </c>
      <c r="D37" s="47" t="s">
        <v>163</v>
      </c>
      <c r="E37" s="47">
        <v>206</v>
      </c>
      <c r="F37" s="47">
        <v>137</v>
      </c>
    </row>
    <row r="38" spans="1:6" x14ac:dyDescent="0.3">
      <c r="A38" s="47">
        <v>4196</v>
      </c>
      <c r="B38" s="47">
        <v>30208000</v>
      </c>
      <c r="C38" s="47" t="s">
        <v>315</v>
      </c>
      <c r="D38" s="47" t="s">
        <v>163</v>
      </c>
      <c r="E38" s="47">
        <v>2499</v>
      </c>
      <c r="F38" s="47">
        <v>1601</v>
      </c>
    </row>
    <row r="39" spans="1:6" x14ac:dyDescent="0.3">
      <c r="A39" s="47">
        <v>4197</v>
      </c>
      <c r="B39" s="47">
        <v>30215000</v>
      </c>
      <c r="C39" s="47" t="s">
        <v>622</v>
      </c>
      <c r="D39" s="47" t="s">
        <v>163</v>
      </c>
      <c r="E39" s="47">
        <v>1556</v>
      </c>
      <c r="F39" s="47">
        <v>1436</v>
      </c>
    </row>
    <row r="40" spans="1:6" x14ac:dyDescent="0.3">
      <c r="A40" s="47">
        <v>4199</v>
      </c>
      <c r="B40" s="47">
        <v>30310000</v>
      </c>
      <c r="C40" s="47" t="s">
        <v>267</v>
      </c>
      <c r="D40" s="47" t="s">
        <v>163</v>
      </c>
      <c r="E40" s="47">
        <v>123</v>
      </c>
      <c r="F40" s="47">
        <v>59</v>
      </c>
    </row>
    <row r="41" spans="1:6" x14ac:dyDescent="0.3">
      <c r="A41" s="47">
        <v>4201</v>
      </c>
      <c r="B41" s="47">
        <v>38706000</v>
      </c>
      <c r="C41" s="47" t="s">
        <v>626</v>
      </c>
      <c r="D41" s="47" t="s">
        <v>163</v>
      </c>
      <c r="E41" s="47">
        <v>247</v>
      </c>
      <c r="F41" s="47">
        <v>99</v>
      </c>
    </row>
    <row r="42" spans="1:6" x14ac:dyDescent="0.3">
      <c r="A42" s="47">
        <v>4202</v>
      </c>
      <c r="B42" s="47">
        <v>38750000</v>
      </c>
      <c r="C42" s="47" t="s">
        <v>522</v>
      </c>
      <c r="D42" s="47" t="s">
        <v>163</v>
      </c>
      <c r="E42" s="47">
        <v>258</v>
      </c>
      <c r="F42" s="47">
        <v>1</v>
      </c>
    </row>
    <row r="43" spans="1:6" x14ac:dyDescent="0.3">
      <c r="A43" s="47">
        <v>4203</v>
      </c>
      <c r="B43" s="47">
        <v>38751000</v>
      </c>
      <c r="C43" s="47" t="s">
        <v>628</v>
      </c>
      <c r="D43" s="47" t="s">
        <v>163</v>
      </c>
      <c r="E43" s="47">
        <v>196</v>
      </c>
      <c r="F43" s="47">
        <v>0</v>
      </c>
    </row>
    <row r="44" spans="1:6" x14ac:dyDescent="0.3">
      <c r="A44" s="47">
        <v>4204</v>
      </c>
      <c r="B44" s="47">
        <v>38701000</v>
      </c>
      <c r="C44" s="47" t="s">
        <v>491</v>
      </c>
      <c r="D44" s="47" t="s">
        <v>163</v>
      </c>
      <c r="E44" s="47">
        <v>555</v>
      </c>
      <c r="F44" s="47">
        <v>2</v>
      </c>
    </row>
    <row r="45" spans="1:6" x14ac:dyDescent="0.3">
      <c r="A45" s="47">
        <v>4205</v>
      </c>
      <c r="B45" s="47">
        <v>38705000</v>
      </c>
      <c r="C45" s="47" t="s">
        <v>625</v>
      </c>
      <c r="D45" s="47" t="s">
        <v>163</v>
      </c>
      <c r="E45" s="47">
        <v>215</v>
      </c>
      <c r="F45" s="47">
        <v>0</v>
      </c>
    </row>
    <row r="46" spans="1:6" x14ac:dyDescent="0.3">
      <c r="A46" s="47">
        <v>4207</v>
      </c>
      <c r="B46" s="47">
        <v>38752000</v>
      </c>
      <c r="C46" s="47" t="s">
        <v>162</v>
      </c>
      <c r="D46" s="47" t="s">
        <v>163</v>
      </c>
      <c r="E46" s="47">
        <v>298</v>
      </c>
      <c r="F46" s="47">
        <v>73</v>
      </c>
    </row>
    <row r="47" spans="1:6" x14ac:dyDescent="0.3">
      <c r="A47" s="47">
        <v>4208</v>
      </c>
      <c r="B47" s="47">
        <v>40201000</v>
      </c>
      <c r="C47" s="47" t="s">
        <v>185</v>
      </c>
      <c r="D47" s="47" t="s">
        <v>131</v>
      </c>
      <c r="E47" s="47">
        <v>1557</v>
      </c>
      <c r="F47" s="47">
        <v>1048</v>
      </c>
    </row>
    <row r="48" spans="1:6" x14ac:dyDescent="0.3">
      <c r="A48" s="47">
        <v>4209</v>
      </c>
      <c r="B48" s="47">
        <v>40210000</v>
      </c>
      <c r="C48" s="47" t="s">
        <v>330</v>
      </c>
      <c r="D48" s="47" t="s">
        <v>131</v>
      </c>
      <c r="E48" s="47">
        <v>2152</v>
      </c>
      <c r="F48" s="47">
        <v>1358</v>
      </c>
    </row>
    <row r="49" spans="1:6" x14ac:dyDescent="0.3">
      <c r="A49" s="47">
        <v>4210</v>
      </c>
      <c r="B49" s="47">
        <v>40220000</v>
      </c>
      <c r="C49" s="47" t="s">
        <v>370</v>
      </c>
      <c r="D49" s="47" t="s">
        <v>131</v>
      </c>
      <c r="E49" s="47">
        <v>1442</v>
      </c>
      <c r="F49" s="47">
        <v>1256</v>
      </c>
    </row>
    <row r="50" spans="1:6" x14ac:dyDescent="0.3">
      <c r="A50" s="47">
        <v>4211</v>
      </c>
      <c r="B50" s="47">
        <v>40240000</v>
      </c>
      <c r="C50" s="47" t="s">
        <v>285</v>
      </c>
      <c r="D50" s="47" t="s">
        <v>131</v>
      </c>
      <c r="E50" s="47">
        <v>1018</v>
      </c>
      <c r="F50" s="47">
        <v>709</v>
      </c>
    </row>
    <row r="51" spans="1:6" x14ac:dyDescent="0.3">
      <c r="A51" s="47">
        <v>4212</v>
      </c>
      <c r="B51" s="47">
        <v>40241000</v>
      </c>
      <c r="C51" s="47" t="s">
        <v>193</v>
      </c>
      <c r="D51" s="47" t="s">
        <v>131</v>
      </c>
      <c r="E51" s="47">
        <v>253</v>
      </c>
      <c r="F51" s="47">
        <v>219</v>
      </c>
    </row>
    <row r="52" spans="1:6" x14ac:dyDescent="0.3">
      <c r="A52" s="47">
        <v>4213</v>
      </c>
      <c r="B52" s="47">
        <v>40305000</v>
      </c>
      <c r="C52" s="47" t="s">
        <v>449</v>
      </c>
      <c r="D52" s="47" t="s">
        <v>131</v>
      </c>
      <c r="E52" s="47">
        <v>30</v>
      </c>
      <c r="F52" s="47">
        <v>26</v>
      </c>
    </row>
    <row r="53" spans="1:6" x14ac:dyDescent="0.3">
      <c r="A53" s="47">
        <v>4214</v>
      </c>
      <c r="B53" s="47">
        <v>40312000</v>
      </c>
      <c r="C53" s="47" t="s">
        <v>347</v>
      </c>
      <c r="D53" s="47" t="s">
        <v>131</v>
      </c>
      <c r="E53" s="47">
        <v>141</v>
      </c>
      <c r="F53" s="47">
        <v>92</v>
      </c>
    </row>
    <row r="54" spans="1:6" x14ac:dyDescent="0.3">
      <c r="A54" s="47">
        <v>4215</v>
      </c>
      <c r="B54" s="47">
        <v>40333000</v>
      </c>
      <c r="C54" s="47" t="s">
        <v>418</v>
      </c>
      <c r="D54" s="47" t="s">
        <v>131</v>
      </c>
      <c r="E54" s="47">
        <v>53</v>
      </c>
      <c r="F54" s="47">
        <v>47</v>
      </c>
    </row>
    <row r="55" spans="1:6" x14ac:dyDescent="0.3">
      <c r="A55" s="47">
        <v>4216</v>
      </c>
      <c r="B55" s="47">
        <v>48750000</v>
      </c>
      <c r="C55" s="47" t="s">
        <v>488</v>
      </c>
      <c r="D55" s="47" t="s">
        <v>131</v>
      </c>
      <c r="E55" s="47">
        <v>61</v>
      </c>
      <c r="F55" s="47">
        <v>13</v>
      </c>
    </row>
    <row r="56" spans="1:6" x14ac:dyDescent="0.3">
      <c r="A56" s="47">
        <v>4217</v>
      </c>
      <c r="B56" s="47">
        <v>50199000</v>
      </c>
      <c r="C56" s="47" t="s">
        <v>186</v>
      </c>
      <c r="D56" s="47" t="s">
        <v>133</v>
      </c>
      <c r="E56" s="47">
        <v>41</v>
      </c>
      <c r="F56" s="47">
        <v>27</v>
      </c>
    </row>
    <row r="57" spans="1:6" x14ac:dyDescent="0.3">
      <c r="A57" s="47">
        <v>4218</v>
      </c>
      <c r="B57" s="47">
        <v>50201000</v>
      </c>
      <c r="C57" s="47" t="s">
        <v>366</v>
      </c>
      <c r="D57" s="47" t="s">
        <v>133</v>
      </c>
      <c r="E57" s="47">
        <v>2972</v>
      </c>
      <c r="F57" s="47">
        <v>1649</v>
      </c>
    </row>
    <row r="58" spans="1:6" x14ac:dyDescent="0.3">
      <c r="A58" s="47">
        <v>4219</v>
      </c>
      <c r="B58" s="47">
        <v>50204000</v>
      </c>
      <c r="C58" s="47" t="s">
        <v>411</v>
      </c>
      <c r="D58" s="47" t="s">
        <v>133</v>
      </c>
      <c r="E58" s="47">
        <v>1578</v>
      </c>
      <c r="F58" s="47">
        <v>634</v>
      </c>
    </row>
    <row r="59" spans="1:6" x14ac:dyDescent="0.3">
      <c r="A59" s="47">
        <v>4220</v>
      </c>
      <c r="B59" s="47">
        <v>50206000</v>
      </c>
      <c r="C59" s="47" t="s">
        <v>345</v>
      </c>
      <c r="D59" s="47" t="s">
        <v>133</v>
      </c>
      <c r="E59" s="47">
        <v>766</v>
      </c>
      <c r="F59" s="47">
        <v>390</v>
      </c>
    </row>
    <row r="60" spans="1:6" x14ac:dyDescent="0.3">
      <c r="A60" s="47">
        <v>4221</v>
      </c>
      <c r="B60" s="47">
        <v>50207000</v>
      </c>
      <c r="C60" s="47" t="s">
        <v>169</v>
      </c>
      <c r="D60" s="47" t="s">
        <v>133</v>
      </c>
      <c r="E60" s="47">
        <v>538</v>
      </c>
      <c r="F60" s="47">
        <v>462</v>
      </c>
    </row>
    <row r="61" spans="1:6" x14ac:dyDescent="0.3">
      <c r="A61" s="47">
        <v>4222</v>
      </c>
      <c r="B61" s="47">
        <v>50305000</v>
      </c>
      <c r="C61" s="47" t="s">
        <v>389</v>
      </c>
      <c r="D61" s="47" t="s">
        <v>133</v>
      </c>
      <c r="E61" s="47">
        <v>180</v>
      </c>
      <c r="F61" s="47">
        <v>119</v>
      </c>
    </row>
    <row r="62" spans="1:6" x14ac:dyDescent="0.3">
      <c r="A62" s="47">
        <v>4224</v>
      </c>
      <c r="B62" s="47">
        <v>50316000</v>
      </c>
      <c r="C62" s="47" t="s">
        <v>537</v>
      </c>
      <c r="D62" s="47" t="s">
        <v>133</v>
      </c>
      <c r="E62" s="47">
        <v>111</v>
      </c>
      <c r="F62" s="47">
        <v>57</v>
      </c>
    </row>
    <row r="63" spans="1:6" x14ac:dyDescent="0.3">
      <c r="A63" s="47">
        <v>4225</v>
      </c>
      <c r="B63" s="47">
        <v>58702000</v>
      </c>
      <c r="C63" s="47" t="s">
        <v>466</v>
      </c>
      <c r="D63" s="47" t="s">
        <v>133</v>
      </c>
      <c r="E63" s="47">
        <v>106</v>
      </c>
      <c r="F63" s="47">
        <v>23</v>
      </c>
    </row>
    <row r="64" spans="1:6" x14ac:dyDescent="0.3">
      <c r="A64" s="47">
        <v>4228</v>
      </c>
      <c r="B64" s="47">
        <v>60202000</v>
      </c>
      <c r="C64" s="47" t="s">
        <v>136</v>
      </c>
      <c r="D64" s="47" t="s">
        <v>107</v>
      </c>
      <c r="E64" s="47">
        <v>329</v>
      </c>
      <c r="F64" s="47">
        <v>211</v>
      </c>
    </row>
    <row r="65" spans="1:6" x14ac:dyDescent="0.3">
      <c r="A65" s="47">
        <v>4230</v>
      </c>
      <c r="B65" s="47">
        <v>60218000</v>
      </c>
      <c r="C65" s="47" t="s">
        <v>295</v>
      </c>
      <c r="D65" s="47" t="s">
        <v>107</v>
      </c>
      <c r="E65" s="47">
        <v>1387</v>
      </c>
      <c r="F65" s="47">
        <v>512</v>
      </c>
    </row>
    <row r="66" spans="1:6" x14ac:dyDescent="0.3">
      <c r="A66" s="47">
        <v>4231</v>
      </c>
      <c r="B66" s="47">
        <v>60322000</v>
      </c>
      <c r="C66" s="47" t="s">
        <v>538</v>
      </c>
      <c r="D66" s="47" t="s">
        <v>107</v>
      </c>
      <c r="E66" s="47">
        <v>13</v>
      </c>
      <c r="F66" s="47">
        <v>0</v>
      </c>
    </row>
    <row r="67" spans="1:6" x14ac:dyDescent="0.3">
      <c r="A67" s="47">
        <v>4234</v>
      </c>
      <c r="B67" s="47">
        <v>70199000</v>
      </c>
      <c r="C67" s="47" t="s">
        <v>272</v>
      </c>
      <c r="D67" s="47" t="s">
        <v>7</v>
      </c>
      <c r="E67" s="47">
        <v>926</v>
      </c>
      <c r="F67" s="47">
        <v>799</v>
      </c>
    </row>
    <row r="68" spans="1:6" x14ac:dyDescent="0.3">
      <c r="A68" s="47">
        <v>4235</v>
      </c>
      <c r="B68" s="47">
        <v>70204000</v>
      </c>
      <c r="C68" s="47" t="s">
        <v>282</v>
      </c>
      <c r="D68" s="47" t="s">
        <v>7</v>
      </c>
      <c r="E68" s="47">
        <v>59855</v>
      </c>
      <c r="F68" s="47">
        <v>36204</v>
      </c>
    </row>
    <row r="69" spans="1:6" x14ac:dyDescent="0.3">
      <c r="A69" s="47">
        <v>4236</v>
      </c>
      <c r="B69" s="47">
        <v>70209000</v>
      </c>
      <c r="C69" s="47" t="s">
        <v>442</v>
      </c>
      <c r="D69" s="47" t="s">
        <v>7</v>
      </c>
      <c r="E69" s="47">
        <v>1355</v>
      </c>
      <c r="F69" s="47">
        <v>759</v>
      </c>
    </row>
    <row r="70" spans="1:6" x14ac:dyDescent="0.3">
      <c r="A70" s="47">
        <v>4237</v>
      </c>
      <c r="B70" s="47">
        <v>70211000</v>
      </c>
      <c r="C70" s="47" t="s">
        <v>335</v>
      </c>
      <c r="D70" s="47" t="s">
        <v>7</v>
      </c>
      <c r="E70" s="47">
        <v>33724</v>
      </c>
      <c r="F70" s="47">
        <v>14583</v>
      </c>
    </row>
    <row r="71" spans="1:6" x14ac:dyDescent="0.3">
      <c r="A71" s="47">
        <v>4238</v>
      </c>
      <c r="B71" s="47">
        <v>70224000</v>
      </c>
      <c r="C71" s="47" t="s">
        <v>180</v>
      </c>
      <c r="D71" s="47" t="s">
        <v>7</v>
      </c>
      <c r="E71" s="47">
        <v>377</v>
      </c>
      <c r="F71" s="47">
        <v>305</v>
      </c>
    </row>
    <row r="72" spans="1:6" x14ac:dyDescent="0.3">
      <c r="A72" s="47">
        <v>4239</v>
      </c>
      <c r="B72" s="47">
        <v>70241000</v>
      </c>
      <c r="C72" s="47" t="s">
        <v>182</v>
      </c>
      <c r="D72" s="47" t="s">
        <v>7</v>
      </c>
      <c r="E72" s="47">
        <v>32427</v>
      </c>
      <c r="F72" s="47">
        <v>8736</v>
      </c>
    </row>
    <row r="73" spans="1:6" x14ac:dyDescent="0.3">
      <c r="A73" s="47">
        <v>4240</v>
      </c>
      <c r="B73" s="47">
        <v>70248000</v>
      </c>
      <c r="C73" s="47" t="s">
        <v>379</v>
      </c>
      <c r="D73" s="47" t="s">
        <v>7</v>
      </c>
      <c r="E73" s="47">
        <v>21521</v>
      </c>
      <c r="F73" s="47">
        <v>5505</v>
      </c>
    </row>
    <row r="74" spans="1:6" x14ac:dyDescent="0.3">
      <c r="A74" s="47">
        <v>4241</v>
      </c>
      <c r="B74" s="47">
        <v>70269000</v>
      </c>
      <c r="C74" s="47" t="s">
        <v>321</v>
      </c>
      <c r="D74" s="47" t="s">
        <v>7</v>
      </c>
      <c r="E74" s="47">
        <v>29907</v>
      </c>
      <c r="F74" s="47">
        <v>10466</v>
      </c>
    </row>
    <row r="75" spans="1:6" x14ac:dyDescent="0.3">
      <c r="A75" s="47">
        <v>4242</v>
      </c>
      <c r="B75" s="47">
        <v>70280000</v>
      </c>
      <c r="C75" s="47" t="s">
        <v>101</v>
      </c>
      <c r="D75" s="47" t="s">
        <v>7</v>
      </c>
      <c r="E75" s="47">
        <v>39390</v>
      </c>
      <c r="F75" s="47">
        <v>10776</v>
      </c>
    </row>
    <row r="76" spans="1:6" x14ac:dyDescent="0.3">
      <c r="A76" s="47">
        <v>4243</v>
      </c>
      <c r="B76" s="47">
        <v>70289000</v>
      </c>
      <c r="C76" s="47" t="s">
        <v>137</v>
      </c>
      <c r="D76" s="47" t="s">
        <v>7</v>
      </c>
      <c r="E76" s="47">
        <v>23613</v>
      </c>
      <c r="F76" s="47">
        <v>12417</v>
      </c>
    </row>
    <row r="77" spans="1:6" x14ac:dyDescent="0.3">
      <c r="A77" s="47">
        <v>4244</v>
      </c>
      <c r="B77" s="47">
        <v>70293000</v>
      </c>
      <c r="C77" s="47" t="s">
        <v>96</v>
      </c>
      <c r="D77" s="47" t="s">
        <v>7</v>
      </c>
      <c r="E77" s="47">
        <v>4895</v>
      </c>
      <c r="F77" s="47">
        <v>492</v>
      </c>
    </row>
    <row r="78" spans="1:6" x14ac:dyDescent="0.3">
      <c r="A78" s="47">
        <v>4245</v>
      </c>
      <c r="B78" s="47">
        <v>70295000</v>
      </c>
      <c r="C78" s="47" t="s">
        <v>356</v>
      </c>
      <c r="D78" s="47" t="s">
        <v>7</v>
      </c>
      <c r="E78" s="47">
        <v>5499</v>
      </c>
      <c r="F78" s="47">
        <v>1639</v>
      </c>
    </row>
    <row r="79" spans="1:6" x14ac:dyDescent="0.3">
      <c r="A79" s="47">
        <v>4246</v>
      </c>
      <c r="B79" s="47">
        <v>70297000</v>
      </c>
      <c r="C79" s="47" t="s">
        <v>127</v>
      </c>
      <c r="D79" s="47" t="s">
        <v>7</v>
      </c>
      <c r="E79" s="47">
        <v>30855</v>
      </c>
      <c r="F79" s="47">
        <v>9054</v>
      </c>
    </row>
    <row r="80" spans="1:6" x14ac:dyDescent="0.3">
      <c r="A80" s="47">
        <v>4247</v>
      </c>
      <c r="B80" s="47">
        <v>70298000</v>
      </c>
      <c r="C80" s="47" t="s">
        <v>171</v>
      </c>
      <c r="D80" s="47" t="s">
        <v>7</v>
      </c>
      <c r="E80" s="47">
        <v>1392</v>
      </c>
      <c r="F80" s="47">
        <v>477</v>
      </c>
    </row>
    <row r="81" spans="1:6" x14ac:dyDescent="0.3">
      <c r="A81" s="47">
        <v>4248</v>
      </c>
      <c r="B81" s="47">
        <v>70260000</v>
      </c>
      <c r="C81" s="47" t="s">
        <v>197</v>
      </c>
      <c r="D81" s="47" t="s">
        <v>7</v>
      </c>
      <c r="E81" s="47">
        <v>11083</v>
      </c>
      <c r="F81" s="47">
        <v>2272</v>
      </c>
    </row>
    <row r="82" spans="1:6" x14ac:dyDescent="0.3">
      <c r="A82" s="47">
        <v>4249</v>
      </c>
      <c r="B82" s="47">
        <v>70363000</v>
      </c>
      <c r="C82" s="47" t="s">
        <v>16</v>
      </c>
      <c r="D82" s="47" t="s">
        <v>7</v>
      </c>
      <c r="E82" s="47">
        <v>157</v>
      </c>
      <c r="F82" s="47">
        <v>140</v>
      </c>
    </row>
    <row r="83" spans="1:6" x14ac:dyDescent="0.3">
      <c r="A83" s="47">
        <v>4250</v>
      </c>
      <c r="B83" s="47">
        <v>70371000</v>
      </c>
      <c r="C83" s="47" t="s">
        <v>476</v>
      </c>
      <c r="D83" s="47" t="s">
        <v>7</v>
      </c>
      <c r="E83" s="47">
        <v>39</v>
      </c>
      <c r="F83" s="47">
        <v>30</v>
      </c>
    </row>
    <row r="84" spans="1:6" x14ac:dyDescent="0.3">
      <c r="A84" s="47">
        <v>4251</v>
      </c>
      <c r="B84" s="47">
        <v>70375000</v>
      </c>
      <c r="C84" s="47" t="s">
        <v>297</v>
      </c>
      <c r="D84" s="47" t="s">
        <v>7</v>
      </c>
      <c r="E84" s="47">
        <v>110</v>
      </c>
      <c r="F84" s="47">
        <v>75</v>
      </c>
    </row>
    <row r="85" spans="1:6" x14ac:dyDescent="0.3">
      <c r="A85" s="47">
        <v>4252</v>
      </c>
      <c r="B85" s="47">
        <v>70381000</v>
      </c>
      <c r="C85" s="47" t="s">
        <v>301</v>
      </c>
      <c r="D85" s="47" t="s">
        <v>7</v>
      </c>
      <c r="E85" s="47">
        <v>900</v>
      </c>
      <c r="F85" s="47">
        <v>611</v>
      </c>
    </row>
    <row r="86" spans="1:6" x14ac:dyDescent="0.3">
      <c r="A86" s="47">
        <v>4253</v>
      </c>
      <c r="B86" s="47">
        <v>70386000</v>
      </c>
      <c r="C86" s="47" t="s">
        <v>499</v>
      </c>
      <c r="D86" s="47" t="s">
        <v>7</v>
      </c>
      <c r="E86" s="47">
        <v>15</v>
      </c>
      <c r="F86" s="47">
        <v>14</v>
      </c>
    </row>
    <row r="87" spans="1:6" x14ac:dyDescent="0.3">
      <c r="A87" s="47">
        <v>4254</v>
      </c>
      <c r="B87" s="47">
        <v>70290000</v>
      </c>
      <c r="C87" s="47" t="s">
        <v>365</v>
      </c>
      <c r="D87" s="47" t="s">
        <v>7</v>
      </c>
      <c r="E87" s="47">
        <v>1372</v>
      </c>
      <c r="F87" s="47">
        <v>994</v>
      </c>
    </row>
    <row r="88" spans="1:6" x14ac:dyDescent="0.3">
      <c r="A88" s="47">
        <v>4255</v>
      </c>
      <c r="B88" s="47">
        <v>70394000</v>
      </c>
      <c r="C88" s="47" t="s">
        <v>318</v>
      </c>
      <c r="D88" s="47" t="s">
        <v>7</v>
      </c>
      <c r="E88" s="47">
        <v>106</v>
      </c>
      <c r="F88" s="47">
        <v>76</v>
      </c>
    </row>
    <row r="89" spans="1:6" x14ac:dyDescent="0.3">
      <c r="A89" s="47">
        <v>4256</v>
      </c>
      <c r="B89" s="47">
        <v>70401000</v>
      </c>
      <c r="C89" s="47" t="s">
        <v>337</v>
      </c>
      <c r="D89" s="47" t="s">
        <v>7</v>
      </c>
      <c r="E89" s="47">
        <v>7097</v>
      </c>
      <c r="F89" s="47">
        <v>6463</v>
      </c>
    </row>
    <row r="90" spans="1:6" x14ac:dyDescent="0.3">
      <c r="A90" s="47">
        <v>4257</v>
      </c>
      <c r="B90" s="47">
        <v>70402000</v>
      </c>
      <c r="C90" s="47" t="s">
        <v>360</v>
      </c>
      <c r="D90" s="47" t="s">
        <v>7</v>
      </c>
      <c r="E90" s="47">
        <v>894</v>
      </c>
      <c r="F90" s="47">
        <v>797</v>
      </c>
    </row>
    <row r="91" spans="1:6" x14ac:dyDescent="0.3">
      <c r="A91" s="47">
        <v>4258</v>
      </c>
      <c r="B91" s="47">
        <v>70403000</v>
      </c>
      <c r="C91" s="47" t="s">
        <v>409</v>
      </c>
      <c r="D91" s="47" t="s">
        <v>7</v>
      </c>
      <c r="E91" s="47">
        <v>11506</v>
      </c>
      <c r="F91" s="47">
        <v>8262</v>
      </c>
    </row>
    <row r="92" spans="1:6" x14ac:dyDescent="0.3">
      <c r="A92" s="47">
        <v>4259</v>
      </c>
      <c r="B92" s="47">
        <v>70405000</v>
      </c>
      <c r="C92" s="47" t="s">
        <v>220</v>
      </c>
      <c r="D92" s="47" t="s">
        <v>7</v>
      </c>
      <c r="E92" s="47">
        <v>7489</v>
      </c>
      <c r="F92" s="47">
        <v>7287</v>
      </c>
    </row>
    <row r="93" spans="1:6" x14ac:dyDescent="0.3">
      <c r="A93" s="47">
        <v>4260</v>
      </c>
      <c r="B93" s="47">
        <v>70406000</v>
      </c>
      <c r="C93" s="47" t="s">
        <v>433</v>
      </c>
      <c r="D93" s="47" t="s">
        <v>7</v>
      </c>
      <c r="E93" s="47">
        <v>23943</v>
      </c>
      <c r="F93" s="47">
        <v>22388</v>
      </c>
    </row>
    <row r="94" spans="1:6" x14ac:dyDescent="0.3">
      <c r="A94" s="47">
        <v>4261</v>
      </c>
      <c r="B94" s="47">
        <v>70407000</v>
      </c>
      <c r="C94" s="47" t="s">
        <v>445</v>
      </c>
      <c r="D94" s="47" t="s">
        <v>7</v>
      </c>
      <c r="E94" s="47">
        <v>1240</v>
      </c>
      <c r="F94" s="47">
        <v>1052</v>
      </c>
    </row>
    <row r="95" spans="1:6" x14ac:dyDescent="0.3">
      <c r="A95" s="47">
        <v>4262</v>
      </c>
      <c r="B95" s="47">
        <v>70408000</v>
      </c>
      <c r="C95" s="47" t="s">
        <v>312</v>
      </c>
      <c r="D95" s="47" t="s">
        <v>7</v>
      </c>
      <c r="E95" s="47">
        <v>3071</v>
      </c>
      <c r="F95" s="47">
        <v>1860</v>
      </c>
    </row>
    <row r="96" spans="1:6" x14ac:dyDescent="0.3">
      <c r="A96" s="47">
        <v>4263</v>
      </c>
      <c r="B96" s="47">
        <v>70414000</v>
      </c>
      <c r="C96" s="47" t="s">
        <v>122</v>
      </c>
      <c r="D96" s="47" t="s">
        <v>7</v>
      </c>
      <c r="E96" s="47">
        <v>6598</v>
      </c>
      <c r="F96" s="47">
        <v>6159</v>
      </c>
    </row>
    <row r="97" spans="1:6" x14ac:dyDescent="0.3">
      <c r="A97" s="47">
        <v>4264</v>
      </c>
      <c r="B97" s="47">
        <v>70417000</v>
      </c>
      <c r="C97" s="47" t="s">
        <v>414</v>
      </c>
      <c r="D97" s="47" t="s">
        <v>7</v>
      </c>
      <c r="E97" s="47">
        <v>3090</v>
      </c>
      <c r="F97" s="47">
        <v>2625</v>
      </c>
    </row>
    <row r="98" spans="1:6" x14ac:dyDescent="0.3">
      <c r="A98" s="47">
        <v>4265</v>
      </c>
      <c r="B98" s="47">
        <v>70421000</v>
      </c>
      <c r="C98" s="47" t="s">
        <v>299</v>
      </c>
      <c r="D98" s="47" t="s">
        <v>7</v>
      </c>
      <c r="E98" s="47">
        <v>1778</v>
      </c>
      <c r="F98" s="47">
        <v>1646</v>
      </c>
    </row>
    <row r="99" spans="1:6" x14ac:dyDescent="0.3">
      <c r="A99" s="47">
        <v>4266</v>
      </c>
      <c r="B99" s="47">
        <v>70425000</v>
      </c>
      <c r="C99" s="47" t="s">
        <v>260</v>
      </c>
      <c r="D99" s="47" t="s">
        <v>7</v>
      </c>
      <c r="E99" s="47">
        <v>3384</v>
      </c>
      <c r="F99" s="47">
        <v>1898</v>
      </c>
    </row>
    <row r="100" spans="1:6" x14ac:dyDescent="0.3">
      <c r="A100" s="47">
        <v>4267</v>
      </c>
      <c r="B100" s="47">
        <v>70428000</v>
      </c>
      <c r="C100" s="47" t="s">
        <v>244</v>
      </c>
      <c r="D100" s="47" t="s">
        <v>7</v>
      </c>
      <c r="E100" s="47">
        <v>17120</v>
      </c>
      <c r="F100" s="47">
        <v>5311</v>
      </c>
    </row>
    <row r="101" spans="1:6" x14ac:dyDescent="0.3">
      <c r="A101" s="47">
        <v>4268</v>
      </c>
      <c r="B101" s="47">
        <v>70431000</v>
      </c>
      <c r="C101" s="47" t="s">
        <v>65</v>
      </c>
      <c r="D101" s="47" t="s">
        <v>7</v>
      </c>
      <c r="E101" s="47">
        <v>2497</v>
      </c>
      <c r="F101" s="47">
        <v>2292</v>
      </c>
    </row>
    <row r="102" spans="1:6" x14ac:dyDescent="0.3">
      <c r="A102" s="47">
        <v>4269</v>
      </c>
      <c r="B102" s="47">
        <v>70433000</v>
      </c>
      <c r="C102" s="47" t="s">
        <v>79</v>
      </c>
      <c r="D102" s="47" t="s">
        <v>7</v>
      </c>
      <c r="E102" s="47">
        <v>5147</v>
      </c>
      <c r="F102" s="47">
        <v>3268</v>
      </c>
    </row>
    <row r="103" spans="1:6" x14ac:dyDescent="0.3">
      <c r="A103" s="47">
        <v>4270</v>
      </c>
      <c r="B103" s="47">
        <v>70438000</v>
      </c>
      <c r="C103" s="47" t="s">
        <v>265</v>
      </c>
      <c r="D103" s="47" t="s">
        <v>7</v>
      </c>
      <c r="E103" s="47">
        <v>5826</v>
      </c>
      <c r="F103" s="47">
        <v>2271</v>
      </c>
    </row>
    <row r="104" spans="1:6" x14ac:dyDescent="0.3">
      <c r="A104" s="47">
        <v>4271</v>
      </c>
      <c r="B104" s="47">
        <v>70440000</v>
      </c>
      <c r="C104" s="47" t="s">
        <v>183</v>
      </c>
      <c r="D104" s="47" t="s">
        <v>7</v>
      </c>
      <c r="E104" s="47">
        <v>14156</v>
      </c>
      <c r="F104" s="47">
        <v>12720</v>
      </c>
    </row>
    <row r="105" spans="1:6" x14ac:dyDescent="0.3">
      <c r="A105" s="47">
        <v>4272</v>
      </c>
      <c r="B105" s="47">
        <v>70444000</v>
      </c>
      <c r="C105" s="47" t="s">
        <v>58</v>
      </c>
      <c r="D105" s="47" t="s">
        <v>7</v>
      </c>
      <c r="E105" s="47">
        <v>5817</v>
      </c>
      <c r="F105" s="47">
        <v>4245</v>
      </c>
    </row>
    <row r="106" spans="1:6" x14ac:dyDescent="0.3">
      <c r="A106" s="47">
        <v>4273</v>
      </c>
      <c r="B106" s="47">
        <v>70445000</v>
      </c>
      <c r="C106" s="47" t="s">
        <v>172</v>
      </c>
      <c r="D106" s="47" t="s">
        <v>7</v>
      </c>
      <c r="E106" s="47">
        <v>4625</v>
      </c>
      <c r="F106" s="47">
        <v>4101</v>
      </c>
    </row>
    <row r="107" spans="1:6" x14ac:dyDescent="0.3">
      <c r="A107" s="47">
        <v>4274</v>
      </c>
      <c r="B107" s="47">
        <v>70447000</v>
      </c>
      <c r="C107" s="47" t="s">
        <v>52</v>
      </c>
      <c r="D107" s="47" t="s">
        <v>7</v>
      </c>
      <c r="E107" s="47">
        <v>240</v>
      </c>
      <c r="F107" s="47">
        <v>192</v>
      </c>
    </row>
    <row r="108" spans="1:6" x14ac:dyDescent="0.3">
      <c r="A108" s="47">
        <v>4275</v>
      </c>
      <c r="B108" s="47">
        <v>70449000</v>
      </c>
      <c r="C108" s="47" t="s">
        <v>317</v>
      </c>
      <c r="D108" s="47" t="s">
        <v>7</v>
      </c>
      <c r="E108" s="47">
        <v>472</v>
      </c>
      <c r="F108" s="47">
        <v>370</v>
      </c>
    </row>
    <row r="109" spans="1:6" x14ac:dyDescent="0.3">
      <c r="A109" s="47">
        <v>4276</v>
      </c>
      <c r="B109" s="47">
        <v>70459000</v>
      </c>
      <c r="C109" s="47" t="s">
        <v>247</v>
      </c>
      <c r="D109" s="47" t="s">
        <v>7</v>
      </c>
      <c r="E109" s="47">
        <v>6775</v>
      </c>
      <c r="F109" s="47">
        <v>4675</v>
      </c>
    </row>
    <row r="110" spans="1:6" x14ac:dyDescent="0.3">
      <c r="A110" s="47">
        <v>4277</v>
      </c>
      <c r="B110" s="47">
        <v>70462000</v>
      </c>
      <c r="C110" s="47" t="s">
        <v>426</v>
      </c>
      <c r="D110" s="47" t="s">
        <v>7</v>
      </c>
      <c r="E110" s="47">
        <v>2084</v>
      </c>
      <c r="F110" s="47">
        <v>1866</v>
      </c>
    </row>
    <row r="111" spans="1:6" x14ac:dyDescent="0.3">
      <c r="A111" s="47">
        <v>4278</v>
      </c>
      <c r="B111" s="47">
        <v>70465000</v>
      </c>
      <c r="C111" s="47" t="s">
        <v>264</v>
      </c>
      <c r="D111" s="47" t="s">
        <v>7</v>
      </c>
      <c r="E111" s="47">
        <v>5644</v>
      </c>
      <c r="F111" s="47">
        <v>4993</v>
      </c>
    </row>
    <row r="112" spans="1:6" x14ac:dyDescent="0.3">
      <c r="A112" s="47">
        <v>4279</v>
      </c>
      <c r="B112" s="47">
        <v>70466000</v>
      </c>
      <c r="C112" s="47" t="s">
        <v>361</v>
      </c>
      <c r="D112" s="47" t="s">
        <v>7</v>
      </c>
      <c r="E112" s="47">
        <v>9706</v>
      </c>
      <c r="F112" s="47">
        <v>8456</v>
      </c>
    </row>
    <row r="113" spans="1:6" x14ac:dyDescent="0.3">
      <c r="A113" s="47">
        <v>4280</v>
      </c>
      <c r="B113" s="47">
        <v>70468000</v>
      </c>
      <c r="C113" s="47" t="s">
        <v>22</v>
      </c>
      <c r="D113" s="47" t="s">
        <v>7</v>
      </c>
      <c r="E113" s="47">
        <v>13942</v>
      </c>
      <c r="F113" s="47">
        <v>12995</v>
      </c>
    </row>
    <row r="114" spans="1:6" x14ac:dyDescent="0.3">
      <c r="A114" s="47">
        <v>4281</v>
      </c>
      <c r="B114" s="47">
        <v>70479000</v>
      </c>
      <c r="C114" s="47" t="s">
        <v>262</v>
      </c>
      <c r="D114" s="47" t="s">
        <v>7</v>
      </c>
      <c r="E114" s="47">
        <v>11400</v>
      </c>
      <c r="F114" s="47">
        <v>4124</v>
      </c>
    </row>
    <row r="115" spans="1:6" x14ac:dyDescent="0.3">
      <c r="A115" s="47">
        <v>4282</v>
      </c>
      <c r="B115" s="47">
        <v>70483000</v>
      </c>
      <c r="C115" s="47" t="s">
        <v>91</v>
      </c>
      <c r="D115" s="47" t="s">
        <v>7</v>
      </c>
      <c r="E115" s="47">
        <v>18592</v>
      </c>
      <c r="F115" s="47">
        <v>18558</v>
      </c>
    </row>
    <row r="116" spans="1:6" x14ac:dyDescent="0.3">
      <c r="A116" s="47">
        <v>4283</v>
      </c>
      <c r="B116" s="47">
        <v>70492000</v>
      </c>
      <c r="C116" s="47" t="s">
        <v>334</v>
      </c>
      <c r="D116" s="47" t="s">
        <v>7</v>
      </c>
      <c r="E116" s="47">
        <v>10221</v>
      </c>
      <c r="F116" s="47">
        <v>8114</v>
      </c>
    </row>
    <row r="117" spans="1:6" x14ac:dyDescent="0.3">
      <c r="A117" s="47">
        <v>4284</v>
      </c>
      <c r="B117" s="47">
        <v>70501000</v>
      </c>
      <c r="C117" s="47" t="s">
        <v>80</v>
      </c>
      <c r="D117" s="47" t="s">
        <v>7</v>
      </c>
      <c r="E117" s="47">
        <v>3010</v>
      </c>
      <c r="F117" s="47">
        <v>1718</v>
      </c>
    </row>
    <row r="118" spans="1:6" x14ac:dyDescent="0.3">
      <c r="A118" s="47">
        <v>4285</v>
      </c>
      <c r="B118" s="47">
        <v>70505000</v>
      </c>
      <c r="C118" s="47" t="s">
        <v>184</v>
      </c>
      <c r="D118" s="47" t="s">
        <v>7</v>
      </c>
      <c r="E118" s="47">
        <v>11806</v>
      </c>
      <c r="F118" s="47">
        <v>7699</v>
      </c>
    </row>
    <row r="119" spans="1:6" x14ac:dyDescent="0.3">
      <c r="A119" s="47">
        <v>4286</v>
      </c>
      <c r="B119" s="47">
        <v>70510000</v>
      </c>
      <c r="C119" s="47" t="s">
        <v>339</v>
      </c>
      <c r="D119" s="47" t="s">
        <v>7</v>
      </c>
      <c r="E119" s="47">
        <v>20727</v>
      </c>
      <c r="F119" s="47">
        <v>17580</v>
      </c>
    </row>
    <row r="120" spans="1:6" x14ac:dyDescent="0.3">
      <c r="A120" s="47">
        <v>4287</v>
      </c>
      <c r="B120" s="47">
        <v>70513000</v>
      </c>
      <c r="C120" s="47" t="s">
        <v>410</v>
      </c>
      <c r="D120" s="47" t="s">
        <v>7</v>
      </c>
      <c r="E120" s="47">
        <v>10681</v>
      </c>
      <c r="F120" s="47">
        <v>3005</v>
      </c>
    </row>
    <row r="121" spans="1:6" x14ac:dyDescent="0.3">
      <c r="A121" s="47">
        <v>4288</v>
      </c>
      <c r="B121" s="47">
        <v>70514000</v>
      </c>
      <c r="C121" s="47" t="s">
        <v>415</v>
      </c>
      <c r="D121" s="47" t="s">
        <v>7</v>
      </c>
      <c r="E121" s="47">
        <v>8904</v>
      </c>
      <c r="F121" s="47">
        <v>6022</v>
      </c>
    </row>
    <row r="122" spans="1:6" x14ac:dyDescent="0.3">
      <c r="A122" s="47">
        <v>4289</v>
      </c>
      <c r="B122" s="47">
        <v>70516000</v>
      </c>
      <c r="C122" s="47" t="s">
        <v>15</v>
      </c>
      <c r="D122" s="47" t="s">
        <v>7</v>
      </c>
      <c r="E122" s="47">
        <v>5757</v>
      </c>
      <c r="F122" s="47">
        <v>2295</v>
      </c>
    </row>
    <row r="123" spans="1:6" x14ac:dyDescent="0.3">
      <c r="A123" s="47">
        <v>4294</v>
      </c>
      <c r="B123" s="47">
        <v>78987000</v>
      </c>
      <c r="C123" s="47" t="s">
        <v>64</v>
      </c>
      <c r="D123" s="47" t="s">
        <v>7</v>
      </c>
      <c r="E123" s="47">
        <v>625</v>
      </c>
      <c r="F123" s="47">
        <v>544</v>
      </c>
    </row>
    <row r="124" spans="1:6" x14ac:dyDescent="0.3">
      <c r="A124" s="47">
        <v>4296</v>
      </c>
      <c r="B124" s="47">
        <v>78604000</v>
      </c>
      <c r="C124" s="47" t="s">
        <v>722</v>
      </c>
      <c r="D124" s="47" t="s">
        <v>7</v>
      </c>
      <c r="E124" s="47">
        <v>115</v>
      </c>
      <c r="F124" s="47">
        <v>115</v>
      </c>
    </row>
    <row r="125" spans="1:6" x14ac:dyDescent="0.3">
      <c r="A125" s="47">
        <v>4297</v>
      </c>
      <c r="B125" s="47">
        <v>78979000</v>
      </c>
      <c r="C125" s="47" t="s">
        <v>795</v>
      </c>
      <c r="D125" s="47" t="s">
        <v>7</v>
      </c>
      <c r="E125" s="47">
        <v>69</v>
      </c>
      <c r="F125" s="47">
        <v>1</v>
      </c>
    </row>
    <row r="126" spans="1:6" x14ac:dyDescent="0.3">
      <c r="A126" s="47">
        <v>4300</v>
      </c>
      <c r="B126" s="47">
        <v>78608000</v>
      </c>
      <c r="C126" s="47" t="s">
        <v>723</v>
      </c>
      <c r="D126" s="47" t="s">
        <v>7</v>
      </c>
      <c r="E126" s="47">
        <v>94</v>
      </c>
      <c r="F126" s="47">
        <v>85</v>
      </c>
    </row>
    <row r="127" spans="1:6" x14ac:dyDescent="0.3">
      <c r="A127" s="47">
        <v>4301</v>
      </c>
      <c r="B127" s="47">
        <v>78609000</v>
      </c>
      <c r="C127" s="47" t="s">
        <v>1270</v>
      </c>
      <c r="D127" s="47" t="s">
        <v>7</v>
      </c>
      <c r="E127" s="47">
        <v>583</v>
      </c>
      <c r="F127" s="47">
        <v>58</v>
      </c>
    </row>
    <row r="128" spans="1:6" x14ac:dyDescent="0.3">
      <c r="A128" s="47">
        <v>4303</v>
      </c>
      <c r="B128" s="47">
        <v>78611000</v>
      </c>
      <c r="C128" s="47" t="s">
        <v>724</v>
      </c>
      <c r="D128" s="47" t="s">
        <v>7</v>
      </c>
      <c r="E128" s="47">
        <v>372</v>
      </c>
      <c r="F128" s="47">
        <v>372</v>
      </c>
    </row>
    <row r="129" spans="1:6" x14ac:dyDescent="0.3">
      <c r="A129" s="47">
        <v>4305</v>
      </c>
      <c r="B129" s="47">
        <v>78613000</v>
      </c>
      <c r="C129" s="47" t="s">
        <v>77</v>
      </c>
      <c r="D129" s="47" t="s">
        <v>7</v>
      </c>
      <c r="E129" s="47">
        <v>265</v>
      </c>
      <c r="F129" s="47">
        <v>220</v>
      </c>
    </row>
    <row r="130" spans="1:6" x14ac:dyDescent="0.3">
      <c r="A130" s="47">
        <v>4306</v>
      </c>
      <c r="B130" s="47">
        <v>78749000</v>
      </c>
      <c r="C130" s="47" t="s">
        <v>751</v>
      </c>
      <c r="D130" s="47" t="s">
        <v>7</v>
      </c>
      <c r="E130" s="47">
        <v>795</v>
      </c>
      <c r="F130" s="47">
        <v>1</v>
      </c>
    </row>
    <row r="131" spans="1:6" x14ac:dyDescent="0.3">
      <c r="A131" s="47">
        <v>4309</v>
      </c>
      <c r="B131" s="47">
        <v>78628000</v>
      </c>
      <c r="C131" s="47" t="s">
        <v>521</v>
      </c>
      <c r="D131" s="47" t="s">
        <v>7</v>
      </c>
      <c r="E131" s="47">
        <v>303</v>
      </c>
      <c r="F131" s="47">
        <v>0</v>
      </c>
    </row>
    <row r="132" spans="1:6" x14ac:dyDescent="0.3">
      <c r="A132" s="47">
        <v>4310</v>
      </c>
      <c r="B132" s="47">
        <v>78630000</v>
      </c>
      <c r="C132" s="47" t="s">
        <v>725</v>
      </c>
      <c r="D132" s="47" t="s">
        <v>7</v>
      </c>
      <c r="E132" s="47">
        <v>334</v>
      </c>
      <c r="F132" s="47">
        <v>232</v>
      </c>
    </row>
    <row r="133" spans="1:6" x14ac:dyDescent="0.3">
      <c r="A133" s="47">
        <v>4313</v>
      </c>
      <c r="B133" s="47">
        <v>78634000</v>
      </c>
      <c r="C133" s="47" t="s">
        <v>726</v>
      </c>
      <c r="D133" s="47" t="s">
        <v>7</v>
      </c>
      <c r="E133" s="47">
        <v>96</v>
      </c>
      <c r="F133" s="47">
        <v>91</v>
      </c>
    </row>
    <row r="134" spans="1:6" x14ac:dyDescent="0.3">
      <c r="A134" s="47">
        <v>4314</v>
      </c>
      <c r="B134" s="47">
        <v>78647000</v>
      </c>
      <c r="C134" s="47" t="s">
        <v>727</v>
      </c>
      <c r="D134" s="47" t="s">
        <v>7</v>
      </c>
      <c r="E134" s="47">
        <v>195</v>
      </c>
      <c r="F134" s="47">
        <v>185</v>
      </c>
    </row>
    <row r="135" spans="1:6" x14ac:dyDescent="0.3">
      <c r="A135" s="47">
        <v>4316</v>
      </c>
      <c r="B135" s="47">
        <v>78903000</v>
      </c>
      <c r="C135" s="47" t="s">
        <v>495</v>
      </c>
      <c r="D135" s="47" t="s">
        <v>7</v>
      </c>
      <c r="E135" s="47">
        <v>153</v>
      </c>
      <c r="F135" s="47">
        <v>1</v>
      </c>
    </row>
    <row r="136" spans="1:6" x14ac:dyDescent="0.3">
      <c r="A136" s="47">
        <v>4320</v>
      </c>
      <c r="B136" s="47">
        <v>78656000</v>
      </c>
      <c r="C136" s="47" t="s">
        <v>369</v>
      </c>
      <c r="D136" s="47" t="s">
        <v>7</v>
      </c>
      <c r="E136" s="47">
        <v>178</v>
      </c>
      <c r="F136" s="47">
        <v>91</v>
      </c>
    </row>
    <row r="137" spans="1:6" x14ac:dyDescent="0.3">
      <c r="A137" s="47">
        <v>4323</v>
      </c>
      <c r="B137" s="47">
        <v>78767000</v>
      </c>
      <c r="C137" s="47" t="s">
        <v>757</v>
      </c>
      <c r="D137" s="47" t="s">
        <v>7</v>
      </c>
      <c r="E137" s="47">
        <v>447</v>
      </c>
      <c r="F137" s="47">
        <v>42</v>
      </c>
    </row>
    <row r="138" spans="1:6" x14ac:dyDescent="0.3">
      <c r="A138" s="47">
        <v>4324</v>
      </c>
      <c r="B138" s="47">
        <v>78663000</v>
      </c>
      <c r="C138" s="47" t="s">
        <v>517</v>
      </c>
      <c r="D138" s="47" t="s">
        <v>7</v>
      </c>
      <c r="E138" s="47">
        <v>57</v>
      </c>
      <c r="F138" s="47">
        <v>0</v>
      </c>
    </row>
    <row r="139" spans="1:6" x14ac:dyDescent="0.3">
      <c r="A139" s="47">
        <v>4325</v>
      </c>
      <c r="B139" s="47">
        <v>78701000</v>
      </c>
      <c r="C139" s="47" t="s">
        <v>13</v>
      </c>
      <c r="D139" s="47" t="s">
        <v>7</v>
      </c>
      <c r="E139" s="47">
        <v>404</v>
      </c>
      <c r="F139" s="47">
        <v>388</v>
      </c>
    </row>
    <row r="140" spans="1:6" x14ac:dyDescent="0.3">
      <c r="A140" s="47">
        <v>4328</v>
      </c>
      <c r="B140" s="47">
        <v>78704000</v>
      </c>
      <c r="C140" s="47" t="s">
        <v>198</v>
      </c>
      <c r="D140" s="47" t="s">
        <v>7</v>
      </c>
      <c r="E140" s="47">
        <v>181</v>
      </c>
      <c r="F140" s="47">
        <v>33</v>
      </c>
    </row>
    <row r="141" spans="1:6" x14ac:dyDescent="0.3">
      <c r="A141" s="47">
        <v>4329</v>
      </c>
      <c r="B141" s="47">
        <v>78705000</v>
      </c>
      <c r="C141" s="47" t="s">
        <v>151</v>
      </c>
      <c r="D141" s="47" t="s">
        <v>7</v>
      </c>
      <c r="E141" s="47">
        <v>634</v>
      </c>
      <c r="F141" s="47">
        <v>256</v>
      </c>
    </row>
    <row r="142" spans="1:6" x14ac:dyDescent="0.3">
      <c r="A142" s="47">
        <v>4331</v>
      </c>
      <c r="B142" s="47">
        <v>78707000</v>
      </c>
      <c r="C142" s="47" t="s">
        <v>683</v>
      </c>
      <c r="D142" s="47" t="s">
        <v>7</v>
      </c>
      <c r="E142" s="47">
        <v>315</v>
      </c>
      <c r="F142" s="47">
        <v>63</v>
      </c>
    </row>
    <row r="143" spans="1:6" x14ac:dyDescent="0.3">
      <c r="A143" s="47">
        <v>4332</v>
      </c>
      <c r="B143" s="47">
        <v>78708000</v>
      </c>
      <c r="C143" s="47" t="s">
        <v>733</v>
      </c>
      <c r="D143" s="47" t="s">
        <v>7</v>
      </c>
      <c r="E143" s="47">
        <v>59</v>
      </c>
      <c r="F143" s="47">
        <v>49</v>
      </c>
    </row>
    <row r="144" spans="1:6" x14ac:dyDescent="0.3">
      <c r="A144" s="47">
        <v>4334</v>
      </c>
      <c r="B144" s="47">
        <v>78710000</v>
      </c>
      <c r="C144" s="47" t="s">
        <v>734</v>
      </c>
      <c r="D144" s="47" t="s">
        <v>7</v>
      </c>
      <c r="E144" s="47">
        <v>123</v>
      </c>
      <c r="F144" s="47">
        <v>7</v>
      </c>
    </row>
    <row r="145" spans="1:6" x14ac:dyDescent="0.3">
      <c r="A145" s="47">
        <v>4335</v>
      </c>
      <c r="B145" s="47">
        <v>78711000</v>
      </c>
      <c r="C145" s="47" t="s">
        <v>159</v>
      </c>
      <c r="D145" s="47" t="s">
        <v>7</v>
      </c>
      <c r="E145" s="47">
        <v>251</v>
      </c>
      <c r="F145" s="47">
        <v>251</v>
      </c>
    </row>
    <row r="146" spans="1:6" x14ac:dyDescent="0.3">
      <c r="A146" s="47">
        <v>4336</v>
      </c>
      <c r="B146" s="47">
        <v>78712000</v>
      </c>
      <c r="C146" s="47" t="s">
        <v>735</v>
      </c>
      <c r="D146" s="47" t="s">
        <v>7</v>
      </c>
      <c r="E146" s="47">
        <v>587</v>
      </c>
      <c r="F146" s="47">
        <v>1</v>
      </c>
    </row>
    <row r="147" spans="1:6" x14ac:dyDescent="0.3">
      <c r="A147" s="47">
        <v>4337</v>
      </c>
      <c r="B147" s="47">
        <v>78713000</v>
      </c>
      <c r="C147" s="47" t="s">
        <v>736</v>
      </c>
      <c r="D147" s="47" t="s">
        <v>7</v>
      </c>
      <c r="E147" s="47">
        <v>62</v>
      </c>
      <c r="F147" s="47">
        <v>1</v>
      </c>
    </row>
    <row r="148" spans="1:6" x14ac:dyDescent="0.3">
      <c r="A148" s="47">
        <v>4338</v>
      </c>
      <c r="B148" s="47">
        <v>78714000</v>
      </c>
      <c r="C148" s="47" t="s">
        <v>737</v>
      </c>
      <c r="D148" s="47" t="s">
        <v>7</v>
      </c>
      <c r="E148" s="47">
        <v>412</v>
      </c>
      <c r="F148" s="47">
        <v>391</v>
      </c>
    </row>
    <row r="149" spans="1:6" x14ac:dyDescent="0.3">
      <c r="A149" s="47">
        <v>4339</v>
      </c>
      <c r="B149" s="47">
        <v>78715000</v>
      </c>
      <c r="C149" s="47" t="s">
        <v>461</v>
      </c>
      <c r="D149" s="47" t="s">
        <v>7</v>
      </c>
      <c r="E149" s="47">
        <v>498</v>
      </c>
      <c r="F149" s="47">
        <v>85</v>
      </c>
    </row>
    <row r="150" spans="1:6" x14ac:dyDescent="0.3">
      <c r="A150" s="47">
        <v>4340</v>
      </c>
      <c r="B150" s="47">
        <v>78716000</v>
      </c>
      <c r="C150" s="47" t="s">
        <v>738</v>
      </c>
      <c r="D150" s="47" t="s">
        <v>7</v>
      </c>
      <c r="E150" s="47">
        <v>710</v>
      </c>
      <c r="F150" s="47">
        <v>632</v>
      </c>
    </row>
    <row r="151" spans="1:6" x14ac:dyDescent="0.3">
      <c r="A151" s="47">
        <v>4341</v>
      </c>
      <c r="B151" s="47">
        <v>78717000</v>
      </c>
      <c r="C151" s="47" t="s">
        <v>739</v>
      </c>
      <c r="D151" s="47" t="s">
        <v>7</v>
      </c>
      <c r="E151" s="47">
        <v>71</v>
      </c>
      <c r="F151" s="47">
        <v>69</v>
      </c>
    </row>
    <row r="152" spans="1:6" x14ac:dyDescent="0.3">
      <c r="A152" s="47">
        <v>4342</v>
      </c>
      <c r="B152" s="47">
        <v>78718000</v>
      </c>
      <c r="C152" s="47" t="s">
        <v>227</v>
      </c>
      <c r="D152" s="47" t="s">
        <v>7</v>
      </c>
      <c r="E152" s="47">
        <v>208</v>
      </c>
      <c r="F152" s="47">
        <v>191</v>
      </c>
    </row>
    <row r="153" spans="1:6" x14ac:dyDescent="0.3">
      <c r="A153" s="47">
        <v>4345</v>
      </c>
      <c r="B153" s="47">
        <v>78722000</v>
      </c>
      <c r="C153" s="47" t="s">
        <v>544</v>
      </c>
      <c r="D153" s="47" t="s">
        <v>7</v>
      </c>
      <c r="E153" s="47">
        <v>760</v>
      </c>
      <c r="F153" s="47">
        <v>0</v>
      </c>
    </row>
    <row r="154" spans="1:6" x14ac:dyDescent="0.3">
      <c r="A154" s="47">
        <v>4346</v>
      </c>
      <c r="B154" s="47">
        <v>78723000</v>
      </c>
      <c r="C154" s="47" t="s">
        <v>740</v>
      </c>
      <c r="D154" s="47" t="s">
        <v>7</v>
      </c>
      <c r="E154" s="47">
        <v>66</v>
      </c>
      <c r="F154" s="47">
        <v>52</v>
      </c>
    </row>
    <row r="155" spans="1:6" x14ac:dyDescent="0.3">
      <c r="A155" s="47">
        <v>4347</v>
      </c>
      <c r="B155" s="47">
        <v>78724000</v>
      </c>
      <c r="C155" s="47" t="s">
        <v>741</v>
      </c>
      <c r="D155" s="47" t="s">
        <v>7</v>
      </c>
      <c r="E155" s="47">
        <v>390</v>
      </c>
      <c r="F155" s="47">
        <v>1</v>
      </c>
    </row>
    <row r="156" spans="1:6" x14ac:dyDescent="0.3">
      <c r="A156" s="47">
        <v>4348</v>
      </c>
      <c r="B156" s="47">
        <v>78725000</v>
      </c>
      <c r="C156" s="47" t="s">
        <v>742</v>
      </c>
      <c r="D156" s="47" t="s">
        <v>7</v>
      </c>
      <c r="E156" s="47">
        <v>5491</v>
      </c>
      <c r="F156" s="47">
        <v>1993</v>
      </c>
    </row>
    <row r="157" spans="1:6" x14ac:dyDescent="0.3">
      <c r="A157" s="47">
        <v>4352</v>
      </c>
      <c r="B157" s="47">
        <v>78741000</v>
      </c>
      <c r="C157" s="47" t="s">
        <v>747</v>
      </c>
      <c r="D157" s="47" t="s">
        <v>7</v>
      </c>
      <c r="E157" s="47">
        <v>37</v>
      </c>
      <c r="F157" s="47">
        <v>17</v>
      </c>
    </row>
    <row r="158" spans="1:6" x14ac:dyDescent="0.3">
      <c r="A158" s="47">
        <v>4355</v>
      </c>
      <c r="B158" s="47">
        <v>78754000</v>
      </c>
      <c r="C158" s="47" t="s">
        <v>540</v>
      </c>
      <c r="D158" s="47" t="s">
        <v>7</v>
      </c>
      <c r="E158" s="47">
        <v>2936</v>
      </c>
      <c r="F158" s="47">
        <v>16</v>
      </c>
    </row>
    <row r="159" spans="1:6" x14ac:dyDescent="0.3">
      <c r="A159" s="47">
        <v>4356</v>
      </c>
      <c r="B159" s="47">
        <v>78755000</v>
      </c>
      <c r="C159" s="47" t="s">
        <v>520</v>
      </c>
      <c r="D159" s="47" t="s">
        <v>7</v>
      </c>
      <c r="E159" s="47">
        <v>116</v>
      </c>
      <c r="F159" s="47">
        <v>0</v>
      </c>
    </row>
    <row r="160" spans="1:6" x14ac:dyDescent="0.3">
      <c r="A160" s="47">
        <v>4358</v>
      </c>
      <c r="B160" s="47">
        <v>78757000</v>
      </c>
      <c r="C160" s="47" t="s">
        <v>752</v>
      </c>
      <c r="D160" s="47" t="s">
        <v>7</v>
      </c>
      <c r="E160" s="47">
        <v>18</v>
      </c>
      <c r="F160" s="47">
        <v>18</v>
      </c>
    </row>
    <row r="161" spans="1:6" x14ac:dyDescent="0.3">
      <c r="A161" s="47">
        <v>4359</v>
      </c>
      <c r="B161" s="47">
        <v>78758000</v>
      </c>
      <c r="C161" s="47" t="s">
        <v>753</v>
      </c>
      <c r="D161" s="47" t="s">
        <v>7</v>
      </c>
      <c r="E161" s="47">
        <v>278</v>
      </c>
      <c r="F161" s="47">
        <v>63</v>
      </c>
    </row>
    <row r="162" spans="1:6" x14ac:dyDescent="0.3">
      <c r="A162" s="47">
        <v>4360</v>
      </c>
      <c r="B162" s="47">
        <v>78759000</v>
      </c>
      <c r="C162" s="47" t="s">
        <v>240</v>
      </c>
      <c r="D162" s="47" t="s">
        <v>7</v>
      </c>
      <c r="E162" s="47">
        <v>129</v>
      </c>
      <c r="F162" s="47">
        <v>24</v>
      </c>
    </row>
    <row r="163" spans="1:6" x14ac:dyDescent="0.3">
      <c r="A163" s="47">
        <v>4361</v>
      </c>
      <c r="B163" s="47">
        <v>78761000</v>
      </c>
      <c r="C163" s="47" t="s">
        <v>470</v>
      </c>
      <c r="D163" s="47" t="s">
        <v>7</v>
      </c>
      <c r="E163" s="47">
        <v>295</v>
      </c>
      <c r="F163" s="47">
        <v>11</v>
      </c>
    </row>
    <row r="164" spans="1:6" x14ac:dyDescent="0.3">
      <c r="A164" s="47">
        <v>4362</v>
      </c>
      <c r="B164" s="47">
        <v>78762000</v>
      </c>
      <c r="C164" s="47" t="s">
        <v>754</v>
      </c>
      <c r="D164" s="47" t="s">
        <v>7</v>
      </c>
      <c r="E164" s="47">
        <v>325</v>
      </c>
      <c r="F164" s="47">
        <v>1</v>
      </c>
    </row>
    <row r="165" spans="1:6" x14ac:dyDescent="0.3">
      <c r="A165" s="47">
        <v>4363</v>
      </c>
      <c r="B165" s="47">
        <v>78763000</v>
      </c>
      <c r="C165" s="47" t="s">
        <v>498</v>
      </c>
      <c r="D165" s="47" t="s">
        <v>7</v>
      </c>
      <c r="E165" s="47">
        <v>438</v>
      </c>
      <c r="F165" s="47">
        <v>0</v>
      </c>
    </row>
    <row r="166" spans="1:6" x14ac:dyDescent="0.3">
      <c r="A166" s="47">
        <v>4366</v>
      </c>
      <c r="B166" s="47">
        <v>78771000</v>
      </c>
      <c r="C166" s="47" t="s">
        <v>302</v>
      </c>
      <c r="D166" s="47" t="s">
        <v>7</v>
      </c>
      <c r="E166" s="47">
        <v>161</v>
      </c>
      <c r="F166" s="47">
        <v>155</v>
      </c>
    </row>
    <row r="167" spans="1:6" x14ac:dyDescent="0.3">
      <c r="A167" s="47">
        <v>4368</v>
      </c>
      <c r="B167" s="47">
        <v>80201000</v>
      </c>
      <c r="C167" s="47" t="s">
        <v>246</v>
      </c>
      <c r="D167" s="47" t="s">
        <v>5</v>
      </c>
      <c r="E167" s="47">
        <v>4939</v>
      </c>
      <c r="F167" s="47">
        <v>2713</v>
      </c>
    </row>
    <row r="168" spans="1:6" x14ac:dyDescent="0.3">
      <c r="A168" s="47">
        <v>4369</v>
      </c>
      <c r="B168" s="47">
        <v>80208000</v>
      </c>
      <c r="C168" s="47" t="s">
        <v>331</v>
      </c>
      <c r="D168" s="47" t="s">
        <v>5</v>
      </c>
      <c r="E168" s="47">
        <v>225</v>
      </c>
      <c r="F168" s="47">
        <v>216</v>
      </c>
    </row>
    <row r="169" spans="1:6" x14ac:dyDescent="0.3">
      <c r="A169" s="47">
        <v>4370</v>
      </c>
      <c r="B169" s="47">
        <v>80214000</v>
      </c>
      <c r="C169" s="47" t="s">
        <v>110</v>
      </c>
      <c r="D169" s="47" t="s">
        <v>5</v>
      </c>
      <c r="E169" s="47">
        <v>510</v>
      </c>
      <c r="F169" s="47">
        <v>442</v>
      </c>
    </row>
    <row r="170" spans="1:6" x14ac:dyDescent="0.3">
      <c r="A170" s="47">
        <v>4371</v>
      </c>
      <c r="B170" s="47">
        <v>80303000</v>
      </c>
      <c r="C170" s="47" t="s">
        <v>191</v>
      </c>
      <c r="D170" s="47" t="s">
        <v>5</v>
      </c>
      <c r="E170" s="47">
        <v>38</v>
      </c>
      <c r="F170" s="47">
        <v>38</v>
      </c>
    </row>
    <row r="171" spans="1:6" x14ac:dyDescent="0.3">
      <c r="A171" s="47">
        <v>4373</v>
      </c>
      <c r="B171" s="47">
        <v>80306000</v>
      </c>
      <c r="C171" s="47" t="s">
        <v>800</v>
      </c>
      <c r="D171" s="47" t="s">
        <v>5</v>
      </c>
      <c r="E171" s="47">
        <v>16</v>
      </c>
      <c r="F171" s="47">
        <v>14</v>
      </c>
    </row>
    <row r="172" spans="1:6" x14ac:dyDescent="0.3">
      <c r="A172" s="47">
        <v>4374</v>
      </c>
      <c r="B172" s="47">
        <v>80209000</v>
      </c>
      <c r="C172" s="47" t="s">
        <v>263</v>
      </c>
      <c r="D172" s="47" t="s">
        <v>5</v>
      </c>
      <c r="E172" s="47">
        <v>367</v>
      </c>
      <c r="F172" s="47">
        <v>346</v>
      </c>
    </row>
    <row r="173" spans="1:6" x14ac:dyDescent="0.3">
      <c r="A173" s="47">
        <v>4376</v>
      </c>
      <c r="B173" s="47">
        <v>80412000</v>
      </c>
      <c r="C173" s="47" t="s">
        <v>419</v>
      </c>
      <c r="D173" s="47" t="s">
        <v>5</v>
      </c>
      <c r="E173" s="47">
        <v>105</v>
      </c>
      <c r="F173" s="47">
        <v>96</v>
      </c>
    </row>
    <row r="174" spans="1:6" x14ac:dyDescent="0.3">
      <c r="A174" s="47">
        <v>4377</v>
      </c>
      <c r="B174" s="47">
        <v>80313000</v>
      </c>
      <c r="C174" s="47" t="s">
        <v>451</v>
      </c>
      <c r="D174" s="47" t="s">
        <v>5</v>
      </c>
      <c r="E174" s="47">
        <v>22</v>
      </c>
      <c r="F174" s="47">
        <v>19</v>
      </c>
    </row>
    <row r="175" spans="1:6" x14ac:dyDescent="0.3">
      <c r="A175" s="47">
        <v>4378</v>
      </c>
      <c r="B175" s="47">
        <v>80415000</v>
      </c>
      <c r="C175" s="47" t="s">
        <v>81</v>
      </c>
      <c r="D175" s="47" t="s">
        <v>5</v>
      </c>
      <c r="E175" s="47">
        <v>2873</v>
      </c>
      <c r="F175" s="47">
        <v>2505</v>
      </c>
    </row>
    <row r="176" spans="1:6" x14ac:dyDescent="0.3">
      <c r="A176" s="47">
        <v>4379</v>
      </c>
      <c r="B176" s="47">
        <v>80416000</v>
      </c>
      <c r="C176" s="47" t="s">
        <v>291</v>
      </c>
      <c r="D176" s="47" t="s">
        <v>5</v>
      </c>
      <c r="E176" s="47">
        <v>1302</v>
      </c>
      <c r="F176" s="47">
        <v>811</v>
      </c>
    </row>
    <row r="177" spans="1:6" x14ac:dyDescent="0.3">
      <c r="A177" s="47">
        <v>4380</v>
      </c>
      <c r="B177" s="47">
        <v>80322000</v>
      </c>
      <c r="C177" s="47" t="s">
        <v>464</v>
      </c>
      <c r="D177" s="47" t="s">
        <v>5</v>
      </c>
      <c r="E177" s="47">
        <v>74</v>
      </c>
      <c r="F177" s="47">
        <v>61</v>
      </c>
    </row>
    <row r="178" spans="1:6" x14ac:dyDescent="0.3">
      <c r="A178" s="47">
        <v>4381</v>
      </c>
      <c r="B178" s="47">
        <v>80502000</v>
      </c>
      <c r="C178" s="47" t="s">
        <v>111</v>
      </c>
      <c r="D178" s="47" t="s">
        <v>5</v>
      </c>
      <c r="E178" s="47">
        <v>1459</v>
      </c>
      <c r="F178" s="47">
        <v>786</v>
      </c>
    </row>
    <row r="179" spans="1:6" x14ac:dyDescent="0.3">
      <c r="A179" s="47">
        <v>4383</v>
      </c>
      <c r="B179" s="47">
        <v>88620000</v>
      </c>
      <c r="C179" s="47" t="s">
        <v>241</v>
      </c>
      <c r="D179" s="47" t="s">
        <v>5</v>
      </c>
      <c r="E179" s="47">
        <v>1269</v>
      </c>
      <c r="F179" s="47">
        <v>6</v>
      </c>
    </row>
    <row r="180" spans="1:6" x14ac:dyDescent="0.3">
      <c r="A180" s="47">
        <v>4385</v>
      </c>
      <c r="B180" s="47">
        <v>88755000</v>
      </c>
      <c r="C180" s="47" t="s">
        <v>450</v>
      </c>
      <c r="D180" s="47" t="s">
        <v>5</v>
      </c>
      <c r="E180" s="47">
        <v>410</v>
      </c>
      <c r="F180" s="47">
        <v>157</v>
      </c>
    </row>
    <row r="181" spans="1:6" x14ac:dyDescent="0.3">
      <c r="A181" s="47">
        <v>4386</v>
      </c>
      <c r="B181" s="47">
        <v>90199000</v>
      </c>
      <c r="C181" s="47" t="s">
        <v>496</v>
      </c>
      <c r="D181" s="47" t="s">
        <v>73</v>
      </c>
      <c r="E181" s="47">
        <v>4</v>
      </c>
      <c r="F181" s="47">
        <v>1</v>
      </c>
    </row>
    <row r="182" spans="1:6" x14ac:dyDescent="0.3">
      <c r="A182" s="47">
        <v>4387</v>
      </c>
      <c r="B182" s="47">
        <v>90201000</v>
      </c>
      <c r="C182" s="47" t="s">
        <v>447</v>
      </c>
      <c r="D182" s="47" t="s">
        <v>73</v>
      </c>
      <c r="E182" s="47">
        <v>1956</v>
      </c>
      <c r="F182" s="47">
        <v>1266</v>
      </c>
    </row>
    <row r="183" spans="1:6" x14ac:dyDescent="0.3">
      <c r="A183" s="47">
        <v>4388</v>
      </c>
      <c r="B183" s="47">
        <v>90202000</v>
      </c>
      <c r="C183" s="47" t="s">
        <v>223</v>
      </c>
      <c r="D183" s="47" t="s">
        <v>73</v>
      </c>
      <c r="E183" s="47">
        <v>358</v>
      </c>
      <c r="F183" s="47">
        <v>160</v>
      </c>
    </row>
    <row r="184" spans="1:6" x14ac:dyDescent="0.3">
      <c r="A184" s="47">
        <v>4389</v>
      </c>
      <c r="B184" s="47">
        <v>90203000</v>
      </c>
      <c r="C184" s="47" t="s">
        <v>199</v>
      </c>
      <c r="D184" s="47" t="s">
        <v>73</v>
      </c>
      <c r="E184" s="47">
        <v>1828</v>
      </c>
      <c r="F184" s="47">
        <v>1826</v>
      </c>
    </row>
    <row r="185" spans="1:6" x14ac:dyDescent="0.3">
      <c r="A185" s="47">
        <v>4390</v>
      </c>
      <c r="B185" s="47">
        <v>90204000</v>
      </c>
      <c r="C185" s="47" t="s">
        <v>348</v>
      </c>
      <c r="D185" s="47" t="s">
        <v>73</v>
      </c>
      <c r="E185" s="47">
        <v>1101</v>
      </c>
      <c r="F185" s="47">
        <v>996</v>
      </c>
    </row>
    <row r="186" spans="1:6" x14ac:dyDescent="0.3">
      <c r="A186" s="47">
        <v>4391</v>
      </c>
      <c r="B186" s="47">
        <v>90205000</v>
      </c>
      <c r="C186" s="47" t="s">
        <v>388</v>
      </c>
      <c r="D186" s="47" t="s">
        <v>73</v>
      </c>
      <c r="E186" s="47">
        <v>2215</v>
      </c>
      <c r="F186" s="47">
        <v>1210</v>
      </c>
    </row>
    <row r="187" spans="1:6" x14ac:dyDescent="0.3">
      <c r="A187" s="47">
        <v>4392</v>
      </c>
      <c r="B187" s="47">
        <v>90206000</v>
      </c>
      <c r="C187" s="47" t="s">
        <v>194</v>
      </c>
      <c r="D187" s="47" t="s">
        <v>73</v>
      </c>
      <c r="E187" s="47">
        <v>410</v>
      </c>
      <c r="F187" s="47">
        <v>221</v>
      </c>
    </row>
    <row r="188" spans="1:6" x14ac:dyDescent="0.3">
      <c r="A188" s="47">
        <v>4393</v>
      </c>
      <c r="B188" s="47">
        <v>90210000</v>
      </c>
      <c r="C188" s="47" t="s">
        <v>383</v>
      </c>
      <c r="D188" s="47" t="s">
        <v>73</v>
      </c>
      <c r="E188" s="47">
        <v>2297</v>
      </c>
      <c r="F188" s="47">
        <v>1391</v>
      </c>
    </row>
    <row r="189" spans="1:6" x14ac:dyDescent="0.3">
      <c r="A189" s="47">
        <v>4394</v>
      </c>
      <c r="B189" s="47">
        <v>90220000</v>
      </c>
      <c r="C189" s="47" t="s">
        <v>441</v>
      </c>
      <c r="D189" s="47" t="s">
        <v>73</v>
      </c>
      <c r="E189" s="47">
        <v>2159</v>
      </c>
      <c r="F189" s="47">
        <v>2142</v>
      </c>
    </row>
    <row r="190" spans="1:6" x14ac:dyDescent="0.3">
      <c r="A190" s="47">
        <v>4395</v>
      </c>
      <c r="B190" s="47">
        <v>90225000</v>
      </c>
      <c r="C190" s="48" t="s">
        <v>97</v>
      </c>
      <c r="D190" s="47" t="s">
        <v>73</v>
      </c>
      <c r="E190" s="47">
        <v>116</v>
      </c>
      <c r="F190" s="47">
        <v>114</v>
      </c>
    </row>
    <row r="191" spans="1:6" x14ac:dyDescent="0.3">
      <c r="A191" s="47">
        <v>4396</v>
      </c>
      <c r="B191" s="47">
        <v>90227000</v>
      </c>
      <c r="C191" s="47" t="s">
        <v>1294</v>
      </c>
      <c r="D191" s="47" t="s">
        <v>73</v>
      </c>
      <c r="E191" s="47">
        <v>1543</v>
      </c>
      <c r="F191" s="47">
        <v>1401</v>
      </c>
    </row>
    <row r="192" spans="1:6" x14ac:dyDescent="0.3">
      <c r="A192" s="47">
        <v>4397</v>
      </c>
      <c r="B192" s="47">
        <v>90232000</v>
      </c>
      <c r="C192" s="47" t="s">
        <v>806</v>
      </c>
      <c r="D192" s="47" t="s">
        <v>73</v>
      </c>
      <c r="E192" s="47">
        <v>1949</v>
      </c>
      <c r="F192" s="47">
        <v>1082</v>
      </c>
    </row>
    <row r="193" spans="1:6" x14ac:dyDescent="0.3">
      <c r="A193" s="47">
        <v>4400</v>
      </c>
      <c r="B193" s="47">
        <v>98745000</v>
      </c>
      <c r="C193" s="47" t="s">
        <v>808</v>
      </c>
      <c r="D193" s="47" t="s">
        <v>73</v>
      </c>
      <c r="E193" s="47">
        <v>51</v>
      </c>
      <c r="F193" s="47">
        <v>43</v>
      </c>
    </row>
    <row r="194" spans="1:6" x14ac:dyDescent="0.3">
      <c r="A194" s="47">
        <v>4401</v>
      </c>
      <c r="B194" s="47">
        <v>100100000</v>
      </c>
      <c r="C194" s="47" t="s">
        <v>486</v>
      </c>
      <c r="D194" s="47" t="s">
        <v>9</v>
      </c>
      <c r="E194" s="47">
        <v>26</v>
      </c>
      <c r="F194" s="47">
        <v>4</v>
      </c>
    </row>
    <row r="195" spans="1:6" x14ac:dyDescent="0.3">
      <c r="A195" s="47">
        <v>4403</v>
      </c>
      <c r="B195" s="47">
        <v>100201000</v>
      </c>
      <c r="C195" s="47" t="s">
        <v>424</v>
      </c>
      <c r="D195" s="47" t="s">
        <v>9</v>
      </c>
      <c r="E195" s="47">
        <v>45158</v>
      </c>
      <c r="F195" s="47">
        <v>31020</v>
      </c>
    </row>
    <row r="196" spans="1:6" x14ac:dyDescent="0.3">
      <c r="A196" s="47">
        <v>4404</v>
      </c>
      <c r="B196" s="47">
        <v>100206000</v>
      </c>
      <c r="C196" s="47" t="s">
        <v>269</v>
      </c>
      <c r="D196" s="47" t="s">
        <v>9</v>
      </c>
      <c r="E196" s="47">
        <v>11397</v>
      </c>
      <c r="F196" s="47">
        <v>4975</v>
      </c>
    </row>
    <row r="197" spans="1:6" x14ac:dyDescent="0.3">
      <c r="A197" s="47">
        <v>4405</v>
      </c>
      <c r="B197" s="47">
        <v>100208000</v>
      </c>
      <c r="C197" s="47" t="s">
        <v>167</v>
      </c>
      <c r="D197" s="47" t="s">
        <v>9</v>
      </c>
      <c r="E197" s="47">
        <v>5191</v>
      </c>
      <c r="F197" s="47">
        <v>3879</v>
      </c>
    </row>
    <row r="198" spans="1:6" x14ac:dyDescent="0.3">
      <c r="A198" s="47">
        <v>4406</v>
      </c>
      <c r="B198" s="47">
        <v>100210000</v>
      </c>
      <c r="C198" s="47" t="s">
        <v>36</v>
      </c>
      <c r="D198" s="47" t="s">
        <v>9</v>
      </c>
      <c r="E198" s="47">
        <v>12395</v>
      </c>
      <c r="F198" s="47">
        <v>6084</v>
      </c>
    </row>
    <row r="199" spans="1:6" x14ac:dyDescent="0.3">
      <c r="A199" s="47">
        <v>4407</v>
      </c>
      <c r="B199" s="47">
        <v>100212000</v>
      </c>
      <c r="C199" s="47" t="s">
        <v>403</v>
      </c>
      <c r="D199" s="47" t="s">
        <v>9</v>
      </c>
      <c r="E199" s="47">
        <v>15802</v>
      </c>
      <c r="F199" s="47">
        <v>13480</v>
      </c>
    </row>
    <row r="200" spans="1:6" x14ac:dyDescent="0.3">
      <c r="A200" s="47">
        <v>4408</v>
      </c>
      <c r="B200" s="47">
        <v>100213000</v>
      </c>
      <c r="C200" s="47" t="s">
        <v>406</v>
      </c>
      <c r="D200" s="47" t="s">
        <v>9</v>
      </c>
      <c r="E200" s="47">
        <v>1915</v>
      </c>
      <c r="F200" s="47">
        <v>315</v>
      </c>
    </row>
    <row r="201" spans="1:6" x14ac:dyDescent="0.3">
      <c r="A201" s="47">
        <v>4409</v>
      </c>
      <c r="B201" s="47">
        <v>100215000</v>
      </c>
      <c r="C201" s="47" t="s">
        <v>18</v>
      </c>
      <c r="D201" s="47" t="s">
        <v>9</v>
      </c>
      <c r="E201" s="47">
        <v>411</v>
      </c>
      <c r="F201" s="47">
        <v>266</v>
      </c>
    </row>
    <row r="202" spans="1:6" x14ac:dyDescent="0.3">
      <c r="A202" s="47">
        <v>4410</v>
      </c>
      <c r="B202" s="47">
        <v>100216000</v>
      </c>
      <c r="C202" s="47" t="s">
        <v>95</v>
      </c>
      <c r="D202" s="47" t="s">
        <v>9</v>
      </c>
      <c r="E202" s="47">
        <v>4568</v>
      </c>
      <c r="F202" s="47">
        <v>585</v>
      </c>
    </row>
    <row r="203" spans="1:6" x14ac:dyDescent="0.3">
      <c r="A203" s="47">
        <v>4411</v>
      </c>
      <c r="B203" s="47">
        <v>100230000</v>
      </c>
      <c r="C203" s="47" t="s">
        <v>367</v>
      </c>
      <c r="D203" s="47" t="s">
        <v>9</v>
      </c>
      <c r="E203" s="47">
        <v>5620</v>
      </c>
      <c r="F203" s="47">
        <v>1964</v>
      </c>
    </row>
    <row r="204" spans="1:6" x14ac:dyDescent="0.3">
      <c r="A204" s="47">
        <v>4412</v>
      </c>
      <c r="B204" s="47">
        <v>100240000</v>
      </c>
      <c r="C204" s="47" t="s">
        <v>61</v>
      </c>
      <c r="D204" s="47" t="s">
        <v>9</v>
      </c>
      <c r="E204" s="47">
        <v>977</v>
      </c>
      <c r="F204" s="47">
        <v>594</v>
      </c>
    </row>
    <row r="205" spans="1:6" x14ac:dyDescent="0.3">
      <c r="A205" s="47">
        <v>4413</v>
      </c>
      <c r="B205" s="47">
        <v>100220000</v>
      </c>
      <c r="C205" s="47" t="s">
        <v>427</v>
      </c>
      <c r="D205" s="47" t="s">
        <v>9</v>
      </c>
      <c r="E205" s="47">
        <v>11569</v>
      </c>
      <c r="F205" s="47">
        <v>3165</v>
      </c>
    </row>
    <row r="206" spans="1:6" x14ac:dyDescent="0.3">
      <c r="A206" s="47">
        <v>4414</v>
      </c>
      <c r="B206" s="47">
        <v>100335000</v>
      </c>
      <c r="C206" s="47" t="s">
        <v>371</v>
      </c>
      <c r="D206" s="47" t="s">
        <v>9</v>
      </c>
      <c r="E206" s="47">
        <v>24</v>
      </c>
      <c r="F206" s="47">
        <v>0</v>
      </c>
    </row>
    <row r="207" spans="1:6" x14ac:dyDescent="0.3">
      <c r="A207" s="47">
        <v>4416</v>
      </c>
      <c r="B207" s="47">
        <v>100339000</v>
      </c>
      <c r="C207" s="47" t="s">
        <v>114</v>
      </c>
      <c r="D207" s="47" t="s">
        <v>9</v>
      </c>
      <c r="E207" s="47">
        <v>546</v>
      </c>
      <c r="F207" s="47">
        <v>202</v>
      </c>
    </row>
    <row r="208" spans="1:6" x14ac:dyDescent="0.3">
      <c r="A208" s="47">
        <v>4418</v>
      </c>
      <c r="B208" s="47">
        <v>100351000</v>
      </c>
      <c r="C208" s="47" t="s">
        <v>24</v>
      </c>
      <c r="D208" s="47" t="s">
        <v>9</v>
      </c>
      <c r="E208" s="47">
        <v>635</v>
      </c>
      <c r="F208" s="47">
        <v>372</v>
      </c>
    </row>
    <row r="209" spans="1:6" x14ac:dyDescent="0.3">
      <c r="A209" s="47">
        <v>4420</v>
      </c>
      <c r="B209" s="47">
        <v>108601000</v>
      </c>
      <c r="C209" s="47" t="s">
        <v>1271</v>
      </c>
      <c r="D209" s="47" t="s">
        <v>9</v>
      </c>
      <c r="E209" s="47">
        <v>30</v>
      </c>
      <c r="F209" s="47">
        <v>29</v>
      </c>
    </row>
    <row r="210" spans="1:6" x14ac:dyDescent="0.3">
      <c r="A210" s="47">
        <v>4421</v>
      </c>
      <c r="B210" s="47">
        <v>108653000</v>
      </c>
      <c r="C210" s="47" t="s">
        <v>819</v>
      </c>
      <c r="D210" s="47" t="s">
        <v>9</v>
      </c>
      <c r="E210" s="47">
        <v>115</v>
      </c>
      <c r="F210" s="47">
        <v>88</v>
      </c>
    </row>
    <row r="211" spans="1:6" x14ac:dyDescent="0.3">
      <c r="A211" s="47">
        <v>4422</v>
      </c>
      <c r="B211" s="47">
        <v>108660000</v>
      </c>
      <c r="C211" s="47" t="s">
        <v>425</v>
      </c>
      <c r="D211" s="47" t="s">
        <v>9</v>
      </c>
      <c r="E211" s="47">
        <v>66</v>
      </c>
      <c r="F211" s="47">
        <v>66</v>
      </c>
    </row>
    <row r="212" spans="1:6" x14ac:dyDescent="0.3">
      <c r="A212" s="47">
        <v>4425</v>
      </c>
      <c r="B212" s="47">
        <v>108778000</v>
      </c>
      <c r="C212" s="47" t="s">
        <v>354</v>
      </c>
      <c r="D212" s="47" t="s">
        <v>9</v>
      </c>
      <c r="E212" s="47">
        <v>420</v>
      </c>
      <c r="F212" s="47">
        <v>304</v>
      </c>
    </row>
    <row r="213" spans="1:6" x14ac:dyDescent="0.3">
      <c r="A213" s="47">
        <v>4426</v>
      </c>
      <c r="B213" s="47">
        <v>108701000</v>
      </c>
      <c r="C213" s="47" t="s">
        <v>515</v>
      </c>
      <c r="D213" s="47" t="s">
        <v>9</v>
      </c>
      <c r="E213" s="47">
        <v>221</v>
      </c>
      <c r="F213" s="47">
        <v>0</v>
      </c>
    </row>
    <row r="214" spans="1:6" x14ac:dyDescent="0.3">
      <c r="A214" s="47">
        <v>4427</v>
      </c>
      <c r="B214" s="47">
        <v>108702000</v>
      </c>
      <c r="C214" s="47" t="s">
        <v>821</v>
      </c>
      <c r="D214" s="47" t="s">
        <v>9</v>
      </c>
      <c r="E214" s="47">
        <v>64</v>
      </c>
      <c r="F214" s="47">
        <v>63</v>
      </c>
    </row>
    <row r="215" spans="1:6" x14ac:dyDescent="0.3">
      <c r="A215" s="47">
        <v>4428</v>
      </c>
      <c r="B215" s="47">
        <v>108703000</v>
      </c>
      <c r="C215" s="47" t="s">
        <v>822</v>
      </c>
      <c r="D215" s="47" t="s">
        <v>9</v>
      </c>
      <c r="E215" s="47">
        <v>90</v>
      </c>
      <c r="F215" s="47">
        <v>23</v>
      </c>
    </row>
    <row r="216" spans="1:6" x14ac:dyDescent="0.3">
      <c r="A216" s="47">
        <v>4430</v>
      </c>
      <c r="B216" s="47">
        <v>108705000</v>
      </c>
      <c r="C216" s="47" t="s">
        <v>823</v>
      </c>
      <c r="D216" s="47" t="s">
        <v>9</v>
      </c>
      <c r="E216" s="47">
        <v>26</v>
      </c>
      <c r="F216" s="47">
        <v>10</v>
      </c>
    </row>
    <row r="217" spans="1:6" x14ac:dyDescent="0.3">
      <c r="A217" s="47">
        <v>4431</v>
      </c>
      <c r="B217" s="47">
        <v>108744000</v>
      </c>
      <c r="C217" s="47" t="s">
        <v>836</v>
      </c>
      <c r="D217" s="47" t="s">
        <v>9</v>
      </c>
      <c r="E217" s="47">
        <v>324</v>
      </c>
      <c r="F217" s="47">
        <v>313</v>
      </c>
    </row>
    <row r="218" spans="1:6" x14ac:dyDescent="0.3">
      <c r="A218" s="47">
        <v>4435</v>
      </c>
      <c r="B218" s="47">
        <v>110100000</v>
      </c>
      <c r="C218" s="47" t="s">
        <v>274</v>
      </c>
      <c r="D218" s="47" t="s">
        <v>20</v>
      </c>
      <c r="E218" s="47">
        <v>157</v>
      </c>
      <c r="F218" s="47">
        <v>102</v>
      </c>
    </row>
    <row r="219" spans="1:6" x14ac:dyDescent="0.3">
      <c r="A219" s="47">
        <v>4437</v>
      </c>
      <c r="B219" s="47">
        <v>110201000</v>
      </c>
      <c r="C219" s="47" t="s">
        <v>166</v>
      </c>
      <c r="D219" s="47" t="s">
        <v>20</v>
      </c>
      <c r="E219" s="47">
        <v>7957</v>
      </c>
      <c r="F219" s="47">
        <v>4728</v>
      </c>
    </row>
    <row r="220" spans="1:6" x14ac:dyDescent="0.3">
      <c r="A220" s="47">
        <v>4438</v>
      </c>
      <c r="B220" s="47">
        <v>110203000</v>
      </c>
      <c r="C220" s="47" t="s">
        <v>357</v>
      </c>
      <c r="D220" s="47" t="s">
        <v>20</v>
      </c>
      <c r="E220" s="47">
        <v>412</v>
      </c>
      <c r="F220" s="47">
        <v>254</v>
      </c>
    </row>
    <row r="221" spans="1:6" x14ac:dyDescent="0.3">
      <c r="A221" s="47">
        <v>4439</v>
      </c>
      <c r="B221" s="47">
        <v>110208000</v>
      </c>
      <c r="C221" s="47" t="s">
        <v>268</v>
      </c>
      <c r="D221" s="47" t="s">
        <v>20</v>
      </c>
      <c r="E221" s="47">
        <v>664</v>
      </c>
      <c r="F221" s="47">
        <v>544</v>
      </c>
    </row>
    <row r="222" spans="1:6" x14ac:dyDescent="0.3">
      <c r="A222" s="47">
        <v>4440</v>
      </c>
      <c r="B222" s="47">
        <v>110215000</v>
      </c>
      <c r="C222" s="47" t="s">
        <v>404</v>
      </c>
      <c r="D222" s="47" t="s">
        <v>20</v>
      </c>
      <c r="E222" s="47">
        <v>332</v>
      </c>
      <c r="F222" s="47">
        <v>304</v>
      </c>
    </row>
    <row r="223" spans="1:6" x14ac:dyDescent="0.3">
      <c r="A223" s="47">
        <v>4441</v>
      </c>
      <c r="B223" s="47">
        <v>110220000</v>
      </c>
      <c r="C223" s="47" t="s">
        <v>273</v>
      </c>
      <c r="D223" s="47" t="s">
        <v>20</v>
      </c>
      <c r="E223" s="47">
        <v>6043</v>
      </c>
      <c r="F223" s="47">
        <v>3833</v>
      </c>
    </row>
    <row r="224" spans="1:6" x14ac:dyDescent="0.3">
      <c r="A224" s="47">
        <v>4442</v>
      </c>
      <c r="B224" s="47">
        <v>110221000</v>
      </c>
      <c r="C224" s="47" t="s">
        <v>115</v>
      </c>
      <c r="D224" s="47" t="s">
        <v>20</v>
      </c>
      <c r="E224" s="47">
        <v>2786</v>
      </c>
      <c r="F224" s="47">
        <v>2098</v>
      </c>
    </row>
    <row r="225" spans="1:6" x14ac:dyDescent="0.3">
      <c r="A225" s="47">
        <v>4443</v>
      </c>
      <c r="B225" s="47">
        <v>110243000</v>
      </c>
      <c r="C225" s="47" t="s">
        <v>39</v>
      </c>
      <c r="D225" s="47" t="s">
        <v>20</v>
      </c>
      <c r="E225" s="47">
        <v>3849</v>
      </c>
      <c r="F225" s="47">
        <v>2740</v>
      </c>
    </row>
    <row r="226" spans="1:6" x14ac:dyDescent="0.3">
      <c r="A226" s="47">
        <v>4444</v>
      </c>
      <c r="B226" s="47">
        <v>110302000</v>
      </c>
      <c r="C226" s="47" t="s">
        <v>311</v>
      </c>
      <c r="D226" s="47" t="s">
        <v>20</v>
      </c>
      <c r="E226" s="47">
        <v>419</v>
      </c>
      <c r="F226" s="47">
        <v>264</v>
      </c>
    </row>
    <row r="227" spans="1:6" x14ac:dyDescent="0.3">
      <c r="A227" s="47">
        <v>4445</v>
      </c>
      <c r="B227" s="47">
        <v>110244000</v>
      </c>
      <c r="C227" s="47" t="s">
        <v>221</v>
      </c>
      <c r="D227" s="47" t="s">
        <v>20</v>
      </c>
      <c r="E227" s="47">
        <v>3962</v>
      </c>
      <c r="F227" s="47">
        <v>1866</v>
      </c>
    </row>
    <row r="228" spans="1:6" x14ac:dyDescent="0.3">
      <c r="A228" s="47">
        <v>4446</v>
      </c>
      <c r="B228" s="47">
        <v>110404000</v>
      </c>
      <c r="C228" s="47" t="s">
        <v>93</v>
      </c>
      <c r="D228" s="47" t="s">
        <v>20</v>
      </c>
      <c r="E228" s="47">
        <v>7119</v>
      </c>
      <c r="F228" s="47">
        <v>5623</v>
      </c>
    </row>
    <row r="229" spans="1:6" x14ac:dyDescent="0.3">
      <c r="A229" s="47">
        <v>4447</v>
      </c>
      <c r="B229" s="47">
        <v>110405000</v>
      </c>
      <c r="C229" s="47" t="s">
        <v>482</v>
      </c>
      <c r="D229" s="47" t="s">
        <v>20</v>
      </c>
      <c r="E229" s="47">
        <v>304</v>
      </c>
      <c r="F229" s="47">
        <v>170</v>
      </c>
    </row>
    <row r="230" spans="1:6" x14ac:dyDescent="0.3">
      <c r="A230" s="47">
        <v>4448</v>
      </c>
      <c r="B230" s="47">
        <v>110411000</v>
      </c>
      <c r="C230" s="47" t="s">
        <v>156</v>
      </c>
      <c r="D230" s="47" t="s">
        <v>20</v>
      </c>
      <c r="E230" s="47">
        <v>929</v>
      </c>
      <c r="F230" s="47">
        <v>847</v>
      </c>
    </row>
    <row r="231" spans="1:6" x14ac:dyDescent="0.3">
      <c r="A231" s="47">
        <v>4449</v>
      </c>
      <c r="B231" s="47">
        <v>110418000</v>
      </c>
      <c r="C231" s="47" t="s">
        <v>364</v>
      </c>
      <c r="D231" s="47" t="s">
        <v>20</v>
      </c>
      <c r="E231" s="47">
        <v>560</v>
      </c>
      <c r="F231" s="47">
        <v>513</v>
      </c>
    </row>
    <row r="232" spans="1:6" x14ac:dyDescent="0.3">
      <c r="A232" s="47">
        <v>4450</v>
      </c>
      <c r="B232" s="47">
        <v>110422000</v>
      </c>
      <c r="C232" s="47" t="s">
        <v>849</v>
      </c>
      <c r="D232" s="47" t="s">
        <v>20</v>
      </c>
      <c r="E232" s="47">
        <v>1088</v>
      </c>
      <c r="F232" s="47">
        <v>833</v>
      </c>
    </row>
    <row r="233" spans="1:6" x14ac:dyDescent="0.3">
      <c r="A233" s="47">
        <v>4451</v>
      </c>
      <c r="B233" s="47">
        <v>110424000</v>
      </c>
      <c r="C233" s="47" t="s">
        <v>399</v>
      </c>
      <c r="D233" s="47" t="s">
        <v>20</v>
      </c>
      <c r="E233" s="47">
        <v>529</v>
      </c>
      <c r="F233" s="47">
        <v>450</v>
      </c>
    </row>
    <row r="234" spans="1:6" x14ac:dyDescent="0.3">
      <c r="A234" s="47">
        <v>4452</v>
      </c>
      <c r="B234" s="47">
        <v>110433000</v>
      </c>
      <c r="C234" s="47" t="s">
        <v>340</v>
      </c>
      <c r="D234" s="47" t="s">
        <v>20</v>
      </c>
      <c r="E234" s="47">
        <v>174</v>
      </c>
      <c r="F234" s="47">
        <v>150</v>
      </c>
    </row>
    <row r="235" spans="1:6" x14ac:dyDescent="0.3">
      <c r="A235" s="47">
        <v>4453</v>
      </c>
      <c r="B235" s="47">
        <v>110502000</v>
      </c>
      <c r="C235" s="47" t="s">
        <v>94</v>
      </c>
      <c r="D235" s="47" t="s">
        <v>20</v>
      </c>
      <c r="E235" s="47">
        <v>2754</v>
      </c>
      <c r="F235" s="47">
        <v>1719</v>
      </c>
    </row>
    <row r="236" spans="1:6" x14ac:dyDescent="0.3">
      <c r="A236" s="47">
        <v>4454</v>
      </c>
      <c r="B236" s="47">
        <v>110540000</v>
      </c>
      <c r="C236" s="47" t="s">
        <v>377</v>
      </c>
      <c r="D236" s="47" t="s">
        <v>20</v>
      </c>
      <c r="E236" s="47">
        <v>361</v>
      </c>
      <c r="F236" s="47">
        <v>315</v>
      </c>
    </row>
    <row r="237" spans="1:6" x14ac:dyDescent="0.3">
      <c r="A237" s="47">
        <v>4457</v>
      </c>
      <c r="B237" s="47">
        <v>120201000</v>
      </c>
      <c r="C237" s="47" t="s">
        <v>306</v>
      </c>
      <c r="D237" s="47" t="s">
        <v>284</v>
      </c>
      <c r="E237" s="47">
        <v>5233</v>
      </c>
      <c r="F237" s="47">
        <v>4188</v>
      </c>
    </row>
    <row r="238" spans="1:6" x14ac:dyDescent="0.3">
      <c r="A238" s="47">
        <v>4458</v>
      </c>
      <c r="B238" s="47">
        <v>120235000</v>
      </c>
      <c r="C238" s="47" t="s">
        <v>376</v>
      </c>
      <c r="D238" s="47" t="s">
        <v>284</v>
      </c>
      <c r="E238" s="47">
        <v>3085</v>
      </c>
      <c r="F238" s="47">
        <v>2310</v>
      </c>
    </row>
    <row r="239" spans="1:6" x14ac:dyDescent="0.3">
      <c r="A239" s="47">
        <v>4459</v>
      </c>
      <c r="B239" s="47">
        <v>120328000</v>
      </c>
      <c r="C239" s="47" t="s">
        <v>375</v>
      </c>
      <c r="D239" s="47" t="s">
        <v>284</v>
      </c>
      <c r="E239" s="47">
        <v>225</v>
      </c>
      <c r="F239" s="47">
        <v>180</v>
      </c>
    </row>
    <row r="240" spans="1:6" x14ac:dyDescent="0.3">
      <c r="A240" s="47">
        <v>4460</v>
      </c>
      <c r="B240" s="47">
        <v>120406000</v>
      </c>
      <c r="C240" s="47" t="s">
        <v>327</v>
      </c>
      <c r="D240" s="47" t="s">
        <v>284</v>
      </c>
      <c r="E240" s="47">
        <v>84</v>
      </c>
      <c r="F240" s="47">
        <v>76</v>
      </c>
    </row>
    <row r="241" spans="1:6" x14ac:dyDescent="0.3">
      <c r="A241" s="47">
        <v>4461</v>
      </c>
      <c r="B241" s="47">
        <v>120425000</v>
      </c>
      <c r="C241" s="47" t="s">
        <v>391</v>
      </c>
      <c r="D241" s="47" t="s">
        <v>284</v>
      </c>
      <c r="E241" s="47">
        <v>120</v>
      </c>
      <c r="F241" s="47">
        <v>46</v>
      </c>
    </row>
    <row r="242" spans="1:6" x14ac:dyDescent="0.3">
      <c r="A242" s="47">
        <v>4462</v>
      </c>
      <c r="B242" s="47">
        <v>120520000</v>
      </c>
      <c r="C242" s="47" t="s">
        <v>328</v>
      </c>
      <c r="D242" s="47" t="s">
        <v>284</v>
      </c>
      <c r="E242" s="47">
        <v>48</v>
      </c>
      <c r="F242" s="47">
        <v>36</v>
      </c>
    </row>
    <row r="243" spans="1:6" x14ac:dyDescent="0.3">
      <c r="A243" s="47">
        <v>4463</v>
      </c>
      <c r="B243" s="47">
        <v>128703000</v>
      </c>
      <c r="C243" s="47" t="s">
        <v>857</v>
      </c>
      <c r="D243" s="47" t="s">
        <v>284</v>
      </c>
      <c r="E243" s="47">
        <v>256</v>
      </c>
      <c r="F243" s="47">
        <v>221</v>
      </c>
    </row>
    <row r="244" spans="1:6" x14ac:dyDescent="0.3">
      <c r="A244" s="47">
        <v>4466</v>
      </c>
      <c r="B244" s="47">
        <v>130201000</v>
      </c>
      <c r="C244" s="47" t="s">
        <v>352</v>
      </c>
      <c r="D244" s="47" t="s">
        <v>3</v>
      </c>
      <c r="E244" s="47">
        <v>3667</v>
      </c>
      <c r="F244" s="47">
        <v>1557</v>
      </c>
    </row>
    <row r="245" spans="1:6" x14ac:dyDescent="0.3">
      <c r="A245" s="47">
        <v>4467</v>
      </c>
      <c r="B245" s="47">
        <v>130209000</v>
      </c>
      <c r="C245" s="47" t="s">
        <v>381</v>
      </c>
      <c r="D245" s="47" t="s">
        <v>3</v>
      </c>
      <c r="E245" s="47">
        <v>992</v>
      </c>
      <c r="F245" s="47">
        <v>426</v>
      </c>
    </row>
    <row r="246" spans="1:6" x14ac:dyDescent="0.3">
      <c r="A246" s="47">
        <v>4468</v>
      </c>
      <c r="B246" s="47">
        <v>130220000</v>
      </c>
      <c r="C246" s="47" t="s">
        <v>62</v>
      </c>
      <c r="D246" s="47" t="s">
        <v>3</v>
      </c>
      <c r="E246" s="47">
        <v>411</v>
      </c>
      <c r="F246" s="47">
        <v>168</v>
      </c>
    </row>
    <row r="247" spans="1:6" x14ac:dyDescent="0.3">
      <c r="A247" s="47">
        <v>4469</v>
      </c>
      <c r="B247" s="47">
        <v>130222000</v>
      </c>
      <c r="C247" s="47" t="s">
        <v>200</v>
      </c>
      <c r="D247" s="47" t="s">
        <v>3</v>
      </c>
      <c r="E247" s="47">
        <v>5416</v>
      </c>
      <c r="F247" s="47">
        <v>3623</v>
      </c>
    </row>
    <row r="248" spans="1:6" x14ac:dyDescent="0.3">
      <c r="A248" s="47">
        <v>4470</v>
      </c>
      <c r="B248" s="47">
        <v>130228000</v>
      </c>
      <c r="C248" s="47" t="s">
        <v>86</v>
      </c>
      <c r="D248" s="47" t="s">
        <v>3</v>
      </c>
      <c r="E248" s="47">
        <v>1406</v>
      </c>
      <c r="F248" s="47">
        <v>1010</v>
      </c>
    </row>
    <row r="249" spans="1:6" x14ac:dyDescent="0.3">
      <c r="A249" s="47">
        <v>4471</v>
      </c>
      <c r="B249" s="47">
        <v>130231000</v>
      </c>
      <c r="C249" s="47" t="s">
        <v>55</v>
      </c>
      <c r="D249" s="47" t="s">
        <v>3</v>
      </c>
      <c r="E249" s="47">
        <v>205</v>
      </c>
      <c r="F249" s="47">
        <v>195</v>
      </c>
    </row>
    <row r="250" spans="1:6" x14ac:dyDescent="0.3">
      <c r="A250" s="47">
        <v>4472</v>
      </c>
      <c r="B250" s="47">
        <v>130240000</v>
      </c>
      <c r="C250" s="47" t="s">
        <v>382</v>
      </c>
      <c r="D250" s="47" t="s">
        <v>3</v>
      </c>
      <c r="E250" s="47">
        <v>139</v>
      </c>
      <c r="F250" s="47">
        <v>103</v>
      </c>
    </row>
    <row r="251" spans="1:6" x14ac:dyDescent="0.3">
      <c r="A251" s="47">
        <v>4473</v>
      </c>
      <c r="B251" s="47">
        <v>130243000</v>
      </c>
      <c r="C251" s="47" t="s">
        <v>278</v>
      </c>
      <c r="D251" s="47" t="s">
        <v>3</v>
      </c>
      <c r="E251" s="47">
        <v>491</v>
      </c>
      <c r="F251" s="47">
        <v>435</v>
      </c>
    </row>
    <row r="252" spans="1:6" x14ac:dyDescent="0.3">
      <c r="A252" s="47">
        <v>4474</v>
      </c>
      <c r="B252" s="47">
        <v>130251000</v>
      </c>
      <c r="C252" s="47" t="s">
        <v>104</v>
      </c>
      <c r="D252" s="47" t="s">
        <v>3</v>
      </c>
      <c r="E252" s="47">
        <v>2111</v>
      </c>
      <c r="F252" s="47">
        <v>1341</v>
      </c>
    </row>
    <row r="253" spans="1:6" x14ac:dyDescent="0.3">
      <c r="A253" s="47">
        <v>4478</v>
      </c>
      <c r="B253" s="47">
        <v>130315000</v>
      </c>
      <c r="C253" s="47" t="s">
        <v>475</v>
      </c>
      <c r="D253" s="47" t="s">
        <v>3</v>
      </c>
      <c r="E253" s="47">
        <v>16</v>
      </c>
      <c r="F253" s="47">
        <v>6</v>
      </c>
    </row>
    <row r="254" spans="1:6" x14ac:dyDescent="0.3">
      <c r="A254" s="47">
        <v>4479</v>
      </c>
      <c r="B254" s="47">
        <v>130317000</v>
      </c>
      <c r="C254" s="47" t="s">
        <v>113</v>
      </c>
      <c r="D254" s="47" t="s">
        <v>3</v>
      </c>
      <c r="E254" s="47">
        <v>100</v>
      </c>
      <c r="F254" s="47">
        <v>100</v>
      </c>
    </row>
    <row r="255" spans="1:6" x14ac:dyDescent="0.3">
      <c r="A255" s="47">
        <v>4480</v>
      </c>
      <c r="B255" s="47">
        <v>130323000</v>
      </c>
      <c r="C255" s="47" t="s">
        <v>243</v>
      </c>
      <c r="D255" s="47" t="s">
        <v>3</v>
      </c>
      <c r="E255" s="47">
        <v>72</v>
      </c>
      <c r="F255" s="47">
        <v>59</v>
      </c>
    </row>
    <row r="256" spans="1:6" x14ac:dyDescent="0.3">
      <c r="A256" s="47">
        <v>4481</v>
      </c>
      <c r="B256" s="47">
        <v>130326000</v>
      </c>
      <c r="C256" s="47" t="s">
        <v>66</v>
      </c>
      <c r="D256" s="47" t="s">
        <v>3</v>
      </c>
      <c r="E256" s="47">
        <v>303</v>
      </c>
      <c r="F256" s="47">
        <v>233</v>
      </c>
    </row>
    <row r="257" spans="1:6" x14ac:dyDescent="0.3">
      <c r="A257" s="47">
        <v>4482</v>
      </c>
      <c r="B257" s="47">
        <v>130335000</v>
      </c>
      <c r="C257" s="47" t="s">
        <v>514</v>
      </c>
      <c r="D257" s="47" t="s">
        <v>3</v>
      </c>
      <c r="E257" s="47">
        <v>27</v>
      </c>
      <c r="F257" s="47">
        <v>1</v>
      </c>
    </row>
    <row r="258" spans="1:6" x14ac:dyDescent="0.3">
      <c r="A258" s="47">
        <v>4483</v>
      </c>
      <c r="B258" s="47">
        <v>130341000</v>
      </c>
      <c r="C258" s="47" t="s">
        <v>527</v>
      </c>
      <c r="D258" s="47" t="s">
        <v>3</v>
      </c>
      <c r="E258" s="47">
        <v>1</v>
      </c>
      <c r="F258" s="47">
        <v>0</v>
      </c>
    </row>
    <row r="259" spans="1:6" x14ac:dyDescent="0.3">
      <c r="A259" s="47">
        <v>4484</v>
      </c>
      <c r="B259" s="47">
        <v>130350000</v>
      </c>
      <c r="C259" s="47" t="s">
        <v>87</v>
      </c>
      <c r="D259" s="47" t="s">
        <v>3</v>
      </c>
      <c r="E259" s="47">
        <v>107</v>
      </c>
      <c r="F259" s="47">
        <v>93</v>
      </c>
    </row>
    <row r="260" spans="1:6" x14ac:dyDescent="0.3">
      <c r="A260" s="47">
        <v>4485</v>
      </c>
      <c r="B260" s="47">
        <v>130352000</v>
      </c>
      <c r="C260" s="47" t="s">
        <v>448</v>
      </c>
      <c r="D260" s="47" t="s">
        <v>3</v>
      </c>
      <c r="E260" s="47">
        <v>33</v>
      </c>
      <c r="F260" s="47">
        <v>28</v>
      </c>
    </row>
    <row r="261" spans="1:6" x14ac:dyDescent="0.3">
      <c r="A261" s="47">
        <v>4486</v>
      </c>
      <c r="B261" s="47">
        <v>130403000</v>
      </c>
      <c r="C261" s="47" t="s">
        <v>106</v>
      </c>
      <c r="D261" s="47" t="s">
        <v>3</v>
      </c>
      <c r="E261" s="47">
        <v>473</v>
      </c>
      <c r="F261" s="47">
        <v>246</v>
      </c>
    </row>
    <row r="262" spans="1:6" x14ac:dyDescent="0.3">
      <c r="A262" s="47">
        <v>4487</v>
      </c>
      <c r="B262" s="47">
        <v>130406000</v>
      </c>
      <c r="C262" s="47" t="s">
        <v>117</v>
      </c>
      <c r="D262" s="47" t="s">
        <v>3</v>
      </c>
      <c r="E262" s="47">
        <v>2164</v>
      </c>
      <c r="F262" s="47">
        <v>1431</v>
      </c>
    </row>
    <row r="263" spans="1:6" x14ac:dyDescent="0.3">
      <c r="A263" s="47">
        <v>4488</v>
      </c>
      <c r="B263" s="47">
        <v>130504000</v>
      </c>
      <c r="C263" s="47" t="s">
        <v>288</v>
      </c>
      <c r="D263" s="47" t="s">
        <v>3</v>
      </c>
      <c r="E263" s="47">
        <v>862</v>
      </c>
      <c r="F263" s="47">
        <v>651</v>
      </c>
    </row>
    <row r="264" spans="1:6" x14ac:dyDescent="0.3">
      <c r="A264" s="47">
        <v>4492</v>
      </c>
      <c r="B264" s="47">
        <v>138708000</v>
      </c>
      <c r="C264" s="47" t="s">
        <v>866</v>
      </c>
      <c r="D264" s="47" t="s">
        <v>3</v>
      </c>
      <c r="E264" s="47">
        <v>150</v>
      </c>
      <c r="F264" s="47">
        <v>75</v>
      </c>
    </row>
    <row r="265" spans="1:6" x14ac:dyDescent="0.3">
      <c r="A265" s="47">
        <v>4493</v>
      </c>
      <c r="B265" s="47">
        <v>138712000</v>
      </c>
      <c r="C265" s="47" t="s">
        <v>287</v>
      </c>
      <c r="D265" s="47" t="s">
        <v>3</v>
      </c>
      <c r="E265" s="47">
        <v>171</v>
      </c>
      <c r="F265" s="47">
        <v>116</v>
      </c>
    </row>
    <row r="266" spans="1:6" x14ac:dyDescent="0.3">
      <c r="A266" s="47">
        <v>4495</v>
      </c>
      <c r="B266" s="47">
        <v>138751000</v>
      </c>
      <c r="C266" s="47" t="s">
        <v>679</v>
      </c>
      <c r="D266" s="47" t="s">
        <v>3</v>
      </c>
      <c r="E266" s="47">
        <v>452</v>
      </c>
      <c r="F266" s="47">
        <v>250</v>
      </c>
    </row>
    <row r="267" spans="1:6" x14ac:dyDescent="0.3">
      <c r="A267" s="47">
        <v>4496</v>
      </c>
      <c r="B267" s="47">
        <v>138752000</v>
      </c>
      <c r="C267" s="47" t="s">
        <v>868</v>
      </c>
      <c r="D267" s="47" t="s">
        <v>3</v>
      </c>
      <c r="E267" s="47">
        <v>204</v>
      </c>
      <c r="F267" s="47">
        <v>85</v>
      </c>
    </row>
    <row r="268" spans="1:6" x14ac:dyDescent="0.3">
      <c r="A268" s="47">
        <v>4499</v>
      </c>
      <c r="B268" s="47">
        <v>140401000</v>
      </c>
      <c r="C268" s="47" t="s">
        <v>452</v>
      </c>
      <c r="D268" s="47" t="s">
        <v>38</v>
      </c>
      <c r="E268" s="47">
        <v>8580</v>
      </c>
      <c r="F268" s="47">
        <v>6154</v>
      </c>
    </row>
    <row r="269" spans="1:6" x14ac:dyDescent="0.3">
      <c r="A269" s="47">
        <v>4500</v>
      </c>
      <c r="B269" s="47">
        <v>140411000</v>
      </c>
      <c r="C269" s="47" t="s">
        <v>390</v>
      </c>
      <c r="D269" s="47" t="s">
        <v>38</v>
      </c>
      <c r="E269" s="47">
        <v>2907</v>
      </c>
      <c r="F269" s="47">
        <v>2508</v>
      </c>
    </row>
    <row r="270" spans="1:6" x14ac:dyDescent="0.3">
      <c r="A270" s="47">
        <v>4501</v>
      </c>
      <c r="B270" s="47">
        <v>140413000</v>
      </c>
      <c r="C270" s="47" t="s">
        <v>121</v>
      </c>
      <c r="D270" s="47" t="s">
        <v>38</v>
      </c>
      <c r="E270" s="47">
        <v>6526</v>
      </c>
      <c r="F270" s="47">
        <v>4383</v>
      </c>
    </row>
    <row r="271" spans="1:6" x14ac:dyDescent="0.3">
      <c r="A271" s="47">
        <v>4502</v>
      </c>
      <c r="B271" s="47">
        <v>140416000</v>
      </c>
      <c r="C271" s="47" t="s">
        <v>201</v>
      </c>
      <c r="D271" s="47" t="s">
        <v>38</v>
      </c>
      <c r="E271" s="47">
        <v>103</v>
      </c>
      <c r="F271" s="47">
        <v>92</v>
      </c>
    </row>
    <row r="272" spans="1:6" x14ac:dyDescent="0.3">
      <c r="A272" s="47">
        <v>4503</v>
      </c>
      <c r="B272" s="47">
        <v>140417000</v>
      </c>
      <c r="C272" s="47" t="s">
        <v>292</v>
      </c>
      <c r="D272" s="47" t="s">
        <v>38</v>
      </c>
      <c r="E272" s="47">
        <v>166</v>
      </c>
      <c r="F272" s="47">
        <v>143</v>
      </c>
    </row>
    <row r="273" spans="1:6" x14ac:dyDescent="0.3">
      <c r="A273" s="47">
        <v>4504</v>
      </c>
      <c r="B273" s="47">
        <v>140424000</v>
      </c>
      <c r="C273" s="47" t="s">
        <v>434</v>
      </c>
      <c r="D273" s="47" t="s">
        <v>38</v>
      </c>
      <c r="E273" s="47">
        <v>230</v>
      </c>
      <c r="F273" s="47">
        <v>198</v>
      </c>
    </row>
    <row r="274" spans="1:6" x14ac:dyDescent="0.3">
      <c r="A274" s="47">
        <v>4505</v>
      </c>
      <c r="B274" s="47">
        <v>140432000</v>
      </c>
      <c r="C274" s="47" t="s">
        <v>176</v>
      </c>
      <c r="D274" s="47" t="s">
        <v>38</v>
      </c>
      <c r="E274" s="47">
        <v>5491</v>
      </c>
      <c r="F274" s="47">
        <v>5104</v>
      </c>
    </row>
    <row r="275" spans="1:6" x14ac:dyDescent="0.3">
      <c r="A275" s="47">
        <v>4506</v>
      </c>
      <c r="B275" s="47">
        <v>140550000</v>
      </c>
      <c r="C275" s="47" t="s">
        <v>37</v>
      </c>
      <c r="D275" s="47" t="s">
        <v>38</v>
      </c>
      <c r="E275" s="47">
        <v>147</v>
      </c>
      <c r="F275" s="47">
        <v>125</v>
      </c>
    </row>
    <row r="276" spans="1:6" x14ac:dyDescent="0.3">
      <c r="A276" s="47">
        <v>4507</v>
      </c>
      <c r="B276" s="47">
        <v>140570000</v>
      </c>
      <c r="C276" s="47" t="s">
        <v>453</v>
      </c>
      <c r="D276" s="47" t="s">
        <v>38</v>
      </c>
      <c r="E276" s="47">
        <v>7778</v>
      </c>
      <c r="F276" s="47">
        <v>5428</v>
      </c>
    </row>
    <row r="277" spans="1:6" x14ac:dyDescent="0.3">
      <c r="A277" s="47">
        <v>4508</v>
      </c>
      <c r="B277" s="47">
        <v>148757000</v>
      </c>
      <c r="C277" s="47" t="s">
        <v>542</v>
      </c>
      <c r="D277" s="47" t="s">
        <v>38</v>
      </c>
      <c r="E277" s="47">
        <v>70</v>
      </c>
      <c r="F277" s="47">
        <v>65</v>
      </c>
    </row>
    <row r="278" spans="1:6" x14ac:dyDescent="0.3">
      <c r="A278" s="47">
        <v>4509</v>
      </c>
      <c r="B278" s="47">
        <v>148758000</v>
      </c>
      <c r="C278" s="47" t="s">
        <v>874</v>
      </c>
      <c r="D278" s="47" t="s">
        <v>38</v>
      </c>
      <c r="E278" s="47">
        <v>17</v>
      </c>
      <c r="F278" s="47">
        <v>11</v>
      </c>
    </row>
    <row r="279" spans="1:6" x14ac:dyDescent="0.3">
      <c r="A279" s="47">
        <v>4510</v>
      </c>
      <c r="B279" s="47">
        <v>150227000</v>
      </c>
      <c r="C279" s="47" t="s">
        <v>325</v>
      </c>
      <c r="D279" s="47" t="s">
        <v>70</v>
      </c>
      <c r="E279" s="47">
        <v>1858</v>
      </c>
      <c r="F279" s="47">
        <v>1475</v>
      </c>
    </row>
    <row r="280" spans="1:6" x14ac:dyDescent="0.3">
      <c r="A280" s="47">
        <v>4511</v>
      </c>
      <c r="B280" s="47">
        <v>150404000</v>
      </c>
      <c r="C280" s="47" t="s">
        <v>355</v>
      </c>
      <c r="D280" s="47" t="s">
        <v>70</v>
      </c>
      <c r="E280" s="47">
        <v>226</v>
      </c>
      <c r="F280" s="47">
        <v>222</v>
      </c>
    </row>
    <row r="281" spans="1:6" x14ac:dyDescent="0.3">
      <c r="A281" s="47">
        <v>4512</v>
      </c>
      <c r="B281" s="47">
        <v>150419000</v>
      </c>
      <c r="C281" s="47" t="s">
        <v>435</v>
      </c>
      <c r="D281" s="47" t="s">
        <v>70</v>
      </c>
      <c r="E281" s="47">
        <v>84</v>
      </c>
      <c r="F281" s="47">
        <v>83</v>
      </c>
    </row>
    <row r="282" spans="1:6" x14ac:dyDescent="0.3">
      <c r="A282" s="47">
        <v>4513</v>
      </c>
      <c r="B282" s="47">
        <v>150426000</v>
      </c>
      <c r="C282" s="47" t="s">
        <v>75</v>
      </c>
      <c r="D282" s="47" t="s">
        <v>70</v>
      </c>
      <c r="E282" s="47">
        <v>29</v>
      </c>
      <c r="F282" s="47">
        <v>25</v>
      </c>
    </row>
    <row r="283" spans="1:6" x14ac:dyDescent="0.3">
      <c r="A283" s="47">
        <v>4514</v>
      </c>
      <c r="B283" s="47">
        <v>150430000</v>
      </c>
      <c r="C283" s="47" t="s">
        <v>368</v>
      </c>
      <c r="D283" s="47" t="s">
        <v>70</v>
      </c>
      <c r="E283" s="47">
        <v>119</v>
      </c>
      <c r="F283" s="47">
        <v>118</v>
      </c>
    </row>
    <row r="284" spans="1:6" x14ac:dyDescent="0.3">
      <c r="A284" s="47">
        <v>4515</v>
      </c>
      <c r="B284" s="47">
        <v>150576000</v>
      </c>
      <c r="C284" s="47" t="s">
        <v>69</v>
      </c>
      <c r="D284" s="47" t="s">
        <v>70</v>
      </c>
      <c r="E284" s="47">
        <v>86</v>
      </c>
      <c r="F284" s="47">
        <v>86</v>
      </c>
    </row>
    <row r="285" spans="1:6" x14ac:dyDescent="0.3">
      <c r="A285" s="47">
        <v>4516</v>
      </c>
      <c r="B285" s="47">
        <v>70801000</v>
      </c>
      <c r="C285" s="47" t="s">
        <v>524</v>
      </c>
      <c r="D285" s="47" t="s">
        <v>7</v>
      </c>
      <c r="E285" s="47">
        <v>1465</v>
      </c>
      <c r="F285" s="47">
        <v>490</v>
      </c>
    </row>
    <row r="286" spans="1:6" x14ac:dyDescent="0.3">
      <c r="A286" s="47">
        <v>5174</v>
      </c>
      <c r="B286" s="47">
        <v>78751000</v>
      </c>
      <c r="C286" s="47" t="s">
        <v>218</v>
      </c>
      <c r="D286" s="47" t="s">
        <v>7</v>
      </c>
      <c r="E286" s="47">
        <v>36</v>
      </c>
      <c r="F286" s="47">
        <v>30</v>
      </c>
    </row>
    <row r="287" spans="1:6" x14ac:dyDescent="0.3">
      <c r="A287" s="47">
        <v>5180</v>
      </c>
      <c r="B287" s="47">
        <v>78912000</v>
      </c>
      <c r="C287" s="47" t="s">
        <v>766</v>
      </c>
      <c r="D287" s="47" t="s">
        <v>7</v>
      </c>
      <c r="E287" s="47">
        <v>1940</v>
      </c>
      <c r="F287" s="47">
        <v>475</v>
      </c>
    </row>
    <row r="288" spans="1:6" x14ac:dyDescent="0.3">
      <c r="A288" s="47">
        <v>5181</v>
      </c>
      <c r="B288" s="47">
        <v>78906000</v>
      </c>
      <c r="C288" s="47" t="s">
        <v>764</v>
      </c>
      <c r="D288" s="47" t="s">
        <v>7</v>
      </c>
      <c r="E288" s="47">
        <v>208</v>
      </c>
      <c r="F288" s="47">
        <v>1</v>
      </c>
    </row>
    <row r="289" spans="1:6" x14ac:dyDescent="0.3">
      <c r="A289" s="47">
        <v>5186</v>
      </c>
      <c r="B289" s="47">
        <v>78995000</v>
      </c>
      <c r="C289" s="47" t="s">
        <v>105</v>
      </c>
      <c r="D289" s="47" t="s">
        <v>7</v>
      </c>
      <c r="E289" s="47">
        <v>434</v>
      </c>
      <c r="F289" s="47">
        <v>373</v>
      </c>
    </row>
    <row r="290" spans="1:6" x14ac:dyDescent="0.3">
      <c r="A290" s="47">
        <v>5978</v>
      </c>
      <c r="B290" s="47">
        <v>118705000</v>
      </c>
      <c r="C290" s="47" t="s">
        <v>854</v>
      </c>
      <c r="D290" s="47" t="s">
        <v>20</v>
      </c>
      <c r="E290" s="47">
        <v>159</v>
      </c>
      <c r="F290" s="47">
        <v>140</v>
      </c>
    </row>
    <row r="291" spans="1:6" x14ac:dyDescent="0.3">
      <c r="A291" s="47">
        <v>6235</v>
      </c>
      <c r="B291" s="47">
        <v>78907000</v>
      </c>
      <c r="C291" s="47" t="s">
        <v>314</v>
      </c>
      <c r="D291" s="47" t="s">
        <v>7</v>
      </c>
      <c r="E291" s="47">
        <v>1184</v>
      </c>
      <c r="F291" s="47">
        <v>983</v>
      </c>
    </row>
    <row r="292" spans="1:6" x14ac:dyDescent="0.3">
      <c r="A292" s="47">
        <v>6258</v>
      </c>
      <c r="B292" s="47">
        <v>48701000</v>
      </c>
      <c r="C292" s="47" t="s">
        <v>631</v>
      </c>
      <c r="D292" s="47" t="s">
        <v>131</v>
      </c>
      <c r="E292" s="47">
        <v>305</v>
      </c>
      <c r="F292" s="47">
        <v>228</v>
      </c>
    </row>
    <row r="293" spans="1:6" x14ac:dyDescent="0.3">
      <c r="A293" s="47">
        <v>6353</v>
      </c>
      <c r="B293" s="47">
        <v>98746000</v>
      </c>
      <c r="C293" s="47" t="s">
        <v>809</v>
      </c>
      <c r="D293" s="47" t="s">
        <v>73</v>
      </c>
      <c r="E293" s="47">
        <v>55</v>
      </c>
      <c r="F293" s="47">
        <v>46</v>
      </c>
    </row>
    <row r="294" spans="1:6" x14ac:dyDescent="0.3">
      <c r="A294" s="47">
        <v>6355</v>
      </c>
      <c r="B294" s="47">
        <v>108722000</v>
      </c>
      <c r="C294" s="47" t="s">
        <v>832</v>
      </c>
      <c r="D294" s="47" t="s">
        <v>9</v>
      </c>
      <c r="E294" s="47">
        <v>888</v>
      </c>
      <c r="F294" s="47">
        <v>581</v>
      </c>
    </row>
    <row r="295" spans="1:6" x14ac:dyDescent="0.3">
      <c r="A295" s="47">
        <v>6357</v>
      </c>
      <c r="B295" s="47">
        <v>58703000</v>
      </c>
      <c r="C295" s="47" t="s">
        <v>132</v>
      </c>
      <c r="D295" s="47" t="s">
        <v>133</v>
      </c>
      <c r="E295" s="47">
        <v>110</v>
      </c>
      <c r="F295" s="47">
        <v>60</v>
      </c>
    </row>
    <row r="296" spans="1:6" x14ac:dyDescent="0.3">
      <c r="A296" s="47">
        <v>6361</v>
      </c>
      <c r="B296" s="47">
        <v>108725000</v>
      </c>
      <c r="C296" s="47" t="s">
        <v>1266</v>
      </c>
      <c r="D296" s="47" t="s">
        <v>9</v>
      </c>
      <c r="E296" s="47">
        <v>917</v>
      </c>
      <c r="F296" s="47">
        <v>2</v>
      </c>
    </row>
    <row r="297" spans="1:6" x14ac:dyDescent="0.3">
      <c r="A297" s="47">
        <v>6362</v>
      </c>
      <c r="B297" s="47">
        <v>78772000</v>
      </c>
      <c r="C297" s="47" t="s">
        <v>759</v>
      </c>
      <c r="D297" s="47" t="s">
        <v>7</v>
      </c>
      <c r="E297" s="47">
        <v>578</v>
      </c>
      <c r="F297" s="47">
        <v>99</v>
      </c>
    </row>
    <row r="298" spans="1:6" x14ac:dyDescent="0.3">
      <c r="A298" s="47">
        <v>6364</v>
      </c>
      <c r="B298" s="47">
        <v>108767000</v>
      </c>
      <c r="C298" s="47" t="s">
        <v>12</v>
      </c>
      <c r="D298" s="47" t="s">
        <v>9</v>
      </c>
      <c r="E298" s="47">
        <v>199</v>
      </c>
      <c r="F298" s="47">
        <v>99</v>
      </c>
    </row>
    <row r="299" spans="1:6" x14ac:dyDescent="0.3">
      <c r="A299" s="47">
        <v>6365</v>
      </c>
      <c r="B299" s="47">
        <v>138754000</v>
      </c>
      <c r="C299" s="47" t="s">
        <v>35</v>
      </c>
      <c r="D299" s="47" t="s">
        <v>3</v>
      </c>
      <c r="E299" s="47">
        <v>464</v>
      </c>
      <c r="F299" s="47">
        <v>254</v>
      </c>
    </row>
    <row r="300" spans="1:6" x14ac:dyDescent="0.3">
      <c r="A300" s="47">
        <v>6369</v>
      </c>
      <c r="B300" s="47">
        <v>108726000</v>
      </c>
      <c r="C300" s="47" t="s">
        <v>190</v>
      </c>
      <c r="D300" s="47" t="s">
        <v>9</v>
      </c>
      <c r="E300" s="47">
        <v>50</v>
      </c>
      <c r="F300" s="47">
        <v>50</v>
      </c>
    </row>
    <row r="301" spans="1:6" x14ac:dyDescent="0.3">
      <c r="A301" s="47">
        <v>6372</v>
      </c>
      <c r="B301" s="47">
        <v>78774000</v>
      </c>
      <c r="C301" s="47" t="s">
        <v>760</v>
      </c>
      <c r="D301" s="47" t="s">
        <v>7</v>
      </c>
      <c r="E301" s="47">
        <v>30</v>
      </c>
      <c r="F301" s="47">
        <v>23</v>
      </c>
    </row>
    <row r="302" spans="1:6" x14ac:dyDescent="0.3">
      <c r="A302" s="47">
        <v>6374</v>
      </c>
      <c r="B302" s="47">
        <v>108768000</v>
      </c>
      <c r="C302" s="47" t="s">
        <v>422</v>
      </c>
      <c r="D302" s="47" t="s">
        <v>9</v>
      </c>
      <c r="E302" s="47">
        <v>40</v>
      </c>
      <c r="F302" s="47">
        <v>39</v>
      </c>
    </row>
    <row r="303" spans="1:6" x14ac:dyDescent="0.3">
      <c r="A303" s="47">
        <v>6375</v>
      </c>
      <c r="B303" s="47">
        <v>78664000</v>
      </c>
      <c r="C303" s="47" t="s">
        <v>728</v>
      </c>
      <c r="D303" s="47" t="s">
        <v>7</v>
      </c>
      <c r="E303" s="47">
        <v>219</v>
      </c>
      <c r="F303" s="47">
        <v>172</v>
      </c>
    </row>
    <row r="304" spans="1:6" x14ac:dyDescent="0.3">
      <c r="A304" s="47">
        <v>6378</v>
      </c>
      <c r="B304" s="47">
        <v>78665000</v>
      </c>
      <c r="C304" s="47" t="s">
        <v>729</v>
      </c>
      <c r="D304" s="47" t="s">
        <v>7</v>
      </c>
      <c r="E304" s="47">
        <v>73</v>
      </c>
      <c r="F304" s="47">
        <v>54</v>
      </c>
    </row>
    <row r="305" spans="1:6" x14ac:dyDescent="0.3">
      <c r="A305" s="47">
        <v>6379</v>
      </c>
      <c r="B305" s="47">
        <v>78776000</v>
      </c>
      <c r="C305" s="47" t="s">
        <v>338</v>
      </c>
      <c r="D305" s="47" t="s">
        <v>7</v>
      </c>
      <c r="E305" s="47">
        <v>63</v>
      </c>
      <c r="F305" s="47">
        <v>22</v>
      </c>
    </row>
    <row r="306" spans="1:6" x14ac:dyDescent="0.3">
      <c r="A306" s="47">
        <v>6393</v>
      </c>
      <c r="B306" s="47">
        <v>1202000</v>
      </c>
      <c r="C306" s="47" t="s">
        <v>50</v>
      </c>
      <c r="D306" s="47" t="s">
        <v>1293</v>
      </c>
      <c r="E306" s="47">
        <v>832</v>
      </c>
      <c r="F306" s="47">
        <v>197</v>
      </c>
    </row>
    <row r="307" spans="1:6" x14ac:dyDescent="0.3">
      <c r="A307" s="47">
        <v>6446</v>
      </c>
      <c r="B307" s="47">
        <v>78915000</v>
      </c>
      <c r="C307" s="47" t="s">
        <v>768</v>
      </c>
      <c r="D307" s="47" t="s">
        <v>7</v>
      </c>
      <c r="E307" s="47">
        <v>877</v>
      </c>
      <c r="F307" s="47">
        <v>823</v>
      </c>
    </row>
    <row r="308" spans="1:6" x14ac:dyDescent="0.3">
      <c r="A308" s="47">
        <v>6470</v>
      </c>
      <c r="B308" s="47">
        <v>12101000</v>
      </c>
      <c r="C308" s="47" t="s">
        <v>620</v>
      </c>
      <c r="D308" s="47" t="s">
        <v>103</v>
      </c>
      <c r="E308" s="47">
        <v>8</v>
      </c>
      <c r="F308" s="47">
        <v>7</v>
      </c>
    </row>
    <row r="309" spans="1:6" x14ac:dyDescent="0.3">
      <c r="A309" s="47">
        <v>6719</v>
      </c>
      <c r="B309" s="47">
        <v>32602000</v>
      </c>
      <c r="C309" s="47" t="s">
        <v>623</v>
      </c>
      <c r="D309" s="47" t="s">
        <v>163</v>
      </c>
      <c r="E309" s="47">
        <v>1</v>
      </c>
      <c r="F309" s="47">
        <v>0</v>
      </c>
    </row>
    <row r="310" spans="1:6" x14ac:dyDescent="0.3">
      <c r="A310" s="47">
        <v>7295</v>
      </c>
      <c r="B310" s="47">
        <v>72102000</v>
      </c>
      <c r="C310" s="47" t="s">
        <v>632</v>
      </c>
      <c r="D310" s="47" t="s">
        <v>7</v>
      </c>
      <c r="E310" s="47">
        <v>18</v>
      </c>
      <c r="F310" s="47">
        <v>7</v>
      </c>
    </row>
    <row r="311" spans="1:6" x14ac:dyDescent="0.3">
      <c r="A311" s="47">
        <v>7303</v>
      </c>
      <c r="B311" s="47">
        <v>72108000</v>
      </c>
      <c r="C311" s="47" t="s">
        <v>634</v>
      </c>
      <c r="D311" s="47" t="s">
        <v>7</v>
      </c>
      <c r="E311" s="47">
        <v>9</v>
      </c>
      <c r="F311" s="47">
        <v>0</v>
      </c>
    </row>
    <row r="312" spans="1:6" x14ac:dyDescent="0.3">
      <c r="A312" s="47">
        <v>7317</v>
      </c>
      <c r="B312" s="47">
        <v>72120000</v>
      </c>
      <c r="C312" s="47" t="s">
        <v>638</v>
      </c>
      <c r="D312" s="47" t="s">
        <v>7</v>
      </c>
      <c r="E312" s="47">
        <v>6</v>
      </c>
      <c r="F312" s="47">
        <v>1</v>
      </c>
    </row>
    <row r="313" spans="1:6" x14ac:dyDescent="0.3">
      <c r="A313" s="47">
        <v>7332</v>
      </c>
      <c r="B313" s="47">
        <v>72135000</v>
      </c>
      <c r="C313" s="47" t="s">
        <v>644</v>
      </c>
      <c r="D313" s="47" t="s">
        <v>7</v>
      </c>
      <c r="E313" s="47">
        <v>5</v>
      </c>
      <c r="F313" s="47">
        <v>5</v>
      </c>
    </row>
    <row r="314" spans="1:6" x14ac:dyDescent="0.3">
      <c r="A314" s="47">
        <v>7334</v>
      </c>
      <c r="B314" s="47">
        <v>72140000</v>
      </c>
      <c r="C314" s="47" t="s">
        <v>646</v>
      </c>
      <c r="D314" s="47" t="s">
        <v>7</v>
      </c>
      <c r="E314" s="47">
        <v>25</v>
      </c>
      <c r="F314" s="47">
        <v>3</v>
      </c>
    </row>
    <row r="315" spans="1:6" x14ac:dyDescent="0.3">
      <c r="A315" s="47">
        <v>7340</v>
      </c>
      <c r="B315" s="47">
        <v>72144000</v>
      </c>
      <c r="C315" s="47" t="s">
        <v>647</v>
      </c>
      <c r="D315" s="47" t="s">
        <v>7</v>
      </c>
      <c r="E315" s="47">
        <v>17</v>
      </c>
      <c r="F315" s="47">
        <v>4</v>
      </c>
    </row>
    <row r="316" spans="1:6" x14ac:dyDescent="0.3">
      <c r="A316" s="47">
        <v>7347</v>
      </c>
      <c r="B316" s="47">
        <v>72146000</v>
      </c>
      <c r="C316" s="47" t="s">
        <v>648</v>
      </c>
      <c r="D316" s="47" t="s">
        <v>7</v>
      </c>
      <c r="E316" s="47">
        <v>77</v>
      </c>
      <c r="F316" s="47">
        <v>60</v>
      </c>
    </row>
    <row r="317" spans="1:6" x14ac:dyDescent="0.3">
      <c r="A317" s="47">
        <v>7351</v>
      </c>
      <c r="B317" s="47">
        <v>72155000</v>
      </c>
      <c r="C317" s="47" t="s">
        <v>652</v>
      </c>
      <c r="D317" s="47" t="s">
        <v>7</v>
      </c>
      <c r="E317" s="47">
        <v>35</v>
      </c>
      <c r="F317" s="47">
        <v>20</v>
      </c>
    </row>
    <row r="318" spans="1:6" x14ac:dyDescent="0.3">
      <c r="A318" s="47">
        <v>7355</v>
      </c>
      <c r="B318" s="47">
        <v>72164000</v>
      </c>
      <c r="C318" s="47" t="s">
        <v>655</v>
      </c>
      <c r="D318" s="47" t="s">
        <v>7</v>
      </c>
      <c r="E318" s="47">
        <v>145</v>
      </c>
      <c r="F318" s="47">
        <v>26</v>
      </c>
    </row>
    <row r="319" spans="1:6" x14ac:dyDescent="0.3">
      <c r="A319" s="47">
        <v>7363</v>
      </c>
      <c r="B319" s="47">
        <v>72167000</v>
      </c>
      <c r="C319" s="47" t="s">
        <v>656</v>
      </c>
      <c r="D319" s="47" t="s">
        <v>7</v>
      </c>
      <c r="E319" s="47">
        <v>26</v>
      </c>
      <c r="F319" s="47">
        <v>14</v>
      </c>
    </row>
    <row r="320" spans="1:6" x14ac:dyDescent="0.3">
      <c r="A320" s="47">
        <v>7372</v>
      </c>
      <c r="B320" s="47">
        <v>72170000</v>
      </c>
      <c r="C320" s="47" t="s">
        <v>657</v>
      </c>
      <c r="D320" s="47" t="s">
        <v>7</v>
      </c>
      <c r="E320" s="47">
        <v>45</v>
      </c>
      <c r="F320" s="47">
        <v>13</v>
      </c>
    </row>
    <row r="321" spans="1:6" x14ac:dyDescent="0.3">
      <c r="A321" s="47">
        <v>7380</v>
      </c>
      <c r="B321" s="47">
        <v>72175000</v>
      </c>
      <c r="C321" s="47" t="s">
        <v>659</v>
      </c>
      <c r="D321" s="47" t="s">
        <v>7</v>
      </c>
      <c r="E321" s="47">
        <v>16</v>
      </c>
      <c r="F321" s="47">
        <v>2</v>
      </c>
    </row>
    <row r="322" spans="1:6" x14ac:dyDescent="0.3">
      <c r="A322" s="47">
        <v>7407</v>
      </c>
      <c r="B322" s="47">
        <v>72190000</v>
      </c>
      <c r="C322" s="47" t="s">
        <v>660</v>
      </c>
      <c r="D322" s="47" t="s">
        <v>7</v>
      </c>
      <c r="E322" s="47">
        <v>422</v>
      </c>
      <c r="F322" s="47">
        <v>280</v>
      </c>
    </row>
    <row r="323" spans="1:6" x14ac:dyDescent="0.3">
      <c r="A323" s="47">
        <v>7432</v>
      </c>
      <c r="B323" s="47">
        <v>72603000</v>
      </c>
      <c r="C323" s="47" t="s">
        <v>661</v>
      </c>
      <c r="D323" s="47" t="s">
        <v>7</v>
      </c>
      <c r="E323" s="47">
        <v>3</v>
      </c>
      <c r="F323" s="47">
        <v>2</v>
      </c>
    </row>
    <row r="324" spans="1:6" x14ac:dyDescent="0.3">
      <c r="A324" s="47">
        <v>7927</v>
      </c>
      <c r="B324" s="47">
        <v>102601000</v>
      </c>
      <c r="C324" s="47" t="s">
        <v>812</v>
      </c>
      <c r="D324" s="47" t="s">
        <v>9</v>
      </c>
      <c r="E324" s="47">
        <v>7</v>
      </c>
      <c r="F324" s="47">
        <v>0</v>
      </c>
    </row>
    <row r="325" spans="1:6" x14ac:dyDescent="0.3">
      <c r="A325" s="47">
        <v>8059</v>
      </c>
      <c r="B325" s="47">
        <v>112601000</v>
      </c>
      <c r="C325" s="47" t="s">
        <v>850</v>
      </c>
      <c r="D325" s="47" t="s">
        <v>20</v>
      </c>
      <c r="E325" s="47">
        <v>3</v>
      </c>
      <c r="F325" s="47">
        <v>0</v>
      </c>
    </row>
    <row r="326" spans="1:6" x14ac:dyDescent="0.3">
      <c r="A326" s="47">
        <v>8066</v>
      </c>
      <c r="B326" s="47">
        <v>112602000</v>
      </c>
      <c r="C326" s="47" t="s">
        <v>851</v>
      </c>
      <c r="D326" s="47" t="s">
        <v>20</v>
      </c>
      <c r="E326" s="47">
        <v>4</v>
      </c>
      <c r="F326" s="47">
        <v>0</v>
      </c>
    </row>
    <row r="327" spans="1:6" x14ac:dyDescent="0.3">
      <c r="A327" s="47">
        <v>8326</v>
      </c>
      <c r="B327" s="47">
        <v>211001000</v>
      </c>
      <c r="C327" s="47" t="s">
        <v>60</v>
      </c>
      <c r="D327" s="47" t="s">
        <v>1277</v>
      </c>
      <c r="E327" s="47">
        <v>130</v>
      </c>
      <c r="F327" s="47">
        <v>130</v>
      </c>
    </row>
    <row r="328" spans="1:6" x14ac:dyDescent="0.3">
      <c r="A328" s="47">
        <v>8336</v>
      </c>
      <c r="B328" s="47">
        <v>211002000</v>
      </c>
      <c r="C328" s="47" t="s">
        <v>48</v>
      </c>
      <c r="D328" s="47" t="s">
        <v>1277</v>
      </c>
      <c r="E328" s="47">
        <v>5</v>
      </c>
      <c r="F328" s="47">
        <v>1</v>
      </c>
    </row>
    <row r="329" spans="1:6" x14ac:dyDescent="0.3">
      <c r="A329" s="47">
        <v>8821</v>
      </c>
      <c r="B329" s="47">
        <v>72616000</v>
      </c>
      <c r="C329" s="47" t="s">
        <v>662</v>
      </c>
      <c r="D329" s="47" t="s">
        <v>7</v>
      </c>
      <c r="E329" s="47">
        <v>2</v>
      </c>
      <c r="F329" s="47">
        <v>0</v>
      </c>
    </row>
    <row r="330" spans="1:6" x14ac:dyDescent="0.3">
      <c r="A330" s="47">
        <v>8823</v>
      </c>
      <c r="B330" s="47">
        <v>72623000</v>
      </c>
      <c r="C330" s="47" t="s">
        <v>664</v>
      </c>
      <c r="D330" s="47" t="s">
        <v>7</v>
      </c>
      <c r="E330" s="47">
        <v>24</v>
      </c>
      <c r="F330" s="47">
        <v>0</v>
      </c>
    </row>
    <row r="331" spans="1:6" x14ac:dyDescent="0.3">
      <c r="A331" s="47">
        <v>8870</v>
      </c>
      <c r="B331" s="47">
        <v>72630000</v>
      </c>
      <c r="C331" s="47" t="s">
        <v>665</v>
      </c>
      <c r="D331" s="47" t="s">
        <v>7</v>
      </c>
      <c r="E331" s="47">
        <v>3</v>
      </c>
      <c r="F331" s="47">
        <v>0</v>
      </c>
    </row>
    <row r="332" spans="1:6" x14ac:dyDescent="0.3">
      <c r="A332" s="47">
        <v>10386</v>
      </c>
      <c r="B332" s="47">
        <v>30199000</v>
      </c>
      <c r="C332" s="47" t="s">
        <v>528</v>
      </c>
      <c r="D332" s="47" t="s">
        <v>163</v>
      </c>
      <c r="E332" s="47">
        <v>15</v>
      </c>
      <c r="F332" s="47">
        <v>5</v>
      </c>
    </row>
    <row r="333" spans="1:6" x14ac:dyDescent="0.3">
      <c r="A333" s="47">
        <v>10760</v>
      </c>
      <c r="B333" s="47">
        <v>78930000</v>
      </c>
      <c r="C333" s="47" t="s">
        <v>772</v>
      </c>
      <c r="D333" s="47" t="s">
        <v>7</v>
      </c>
      <c r="E333" s="47">
        <v>1091</v>
      </c>
      <c r="F333" s="47">
        <v>525</v>
      </c>
    </row>
    <row r="334" spans="1:6" x14ac:dyDescent="0.3">
      <c r="A334" s="47">
        <v>10878</v>
      </c>
      <c r="B334" s="47">
        <v>78779000</v>
      </c>
      <c r="C334" s="47" t="s">
        <v>761</v>
      </c>
      <c r="D334" s="47" t="s">
        <v>7</v>
      </c>
      <c r="E334" s="47">
        <v>239</v>
      </c>
      <c r="F334" s="47">
        <v>0</v>
      </c>
    </row>
    <row r="335" spans="1:6" x14ac:dyDescent="0.3">
      <c r="A335" s="47">
        <v>10879</v>
      </c>
      <c r="B335" s="47">
        <v>108769000</v>
      </c>
      <c r="C335" s="47" t="s">
        <v>837</v>
      </c>
      <c r="D335" s="47" t="s">
        <v>9</v>
      </c>
      <c r="E335" s="47">
        <v>112</v>
      </c>
      <c r="F335" s="47">
        <v>74</v>
      </c>
    </row>
    <row r="336" spans="1:6" x14ac:dyDescent="0.3">
      <c r="A336" s="47">
        <v>10965</v>
      </c>
      <c r="B336" s="47">
        <v>138757000</v>
      </c>
      <c r="C336" s="47" t="s">
        <v>870</v>
      </c>
      <c r="D336" s="47" t="s">
        <v>3</v>
      </c>
      <c r="E336" s="47">
        <v>167</v>
      </c>
      <c r="F336" s="47">
        <v>9</v>
      </c>
    </row>
    <row r="337" spans="1:6" x14ac:dyDescent="0.3">
      <c r="A337" s="47">
        <v>10966</v>
      </c>
      <c r="B337" s="47">
        <v>78781000</v>
      </c>
      <c r="C337" s="47" t="s">
        <v>471</v>
      </c>
      <c r="D337" s="47" t="s">
        <v>7</v>
      </c>
      <c r="E337" s="47">
        <v>201</v>
      </c>
      <c r="F337" s="47">
        <v>0</v>
      </c>
    </row>
    <row r="338" spans="1:6" x14ac:dyDescent="0.3">
      <c r="A338" s="47">
        <v>10967</v>
      </c>
      <c r="B338" s="47">
        <v>138756000</v>
      </c>
      <c r="C338" s="47" t="s">
        <v>490</v>
      </c>
      <c r="D338" s="47" t="s">
        <v>3</v>
      </c>
      <c r="E338" s="47">
        <v>105</v>
      </c>
      <c r="F338" s="47">
        <v>6</v>
      </c>
    </row>
    <row r="339" spans="1:6" x14ac:dyDescent="0.3">
      <c r="A339" s="47">
        <v>10968</v>
      </c>
      <c r="B339" s="47">
        <v>78784000</v>
      </c>
      <c r="C339" s="47" t="s">
        <v>261</v>
      </c>
      <c r="D339" s="47" t="s">
        <v>7</v>
      </c>
      <c r="E339" s="47">
        <v>512</v>
      </c>
      <c r="F339" s="47">
        <v>478</v>
      </c>
    </row>
    <row r="340" spans="1:6" x14ac:dyDescent="0.3">
      <c r="A340" s="47">
        <v>10969</v>
      </c>
      <c r="B340" s="47">
        <v>108771000</v>
      </c>
      <c r="C340" s="47" t="s">
        <v>526</v>
      </c>
      <c r="D340" s="47" t="s">
        <v>9</v>
      </c>
      <c r="E340" s="47">
        <v>94</v>
      </c>
      <c r="F340" s="47">
        <v>1</v>
      </c>
    </row>
    <row r="341" spans="1:6" x14ac:dyDescent="0.3">
      <c r="A341" s="47">
        <v>10970</v>
      </c>
      <c r="B341" s="47">
        <v>138755000</v>
      </c>
      <c r="C341" s="47" t="s">
        <v>869</v>
      </c>
      <c r="D341" s="47" t="s">
        <v>3</v>
      </c>
      <c r="E341" s="47">
        <v>150</v>
      </c>
      <c r="F341" s="47">
        <v>89</v>
      </c>
    </row>
    <row r="342" spans="1:6" x14ac:dyDescent="0.3">
      <c r="A342" s="47">
        <v>10971</v>
      </c>
      <c r="B342" s="47">
        <v>78683000</v>
      </c>
      <c r="C342" s="47" t="s">
        <v>501</v>
      </c>
      <c r="D342" s="47" t="s">
        <v>7</v>
      </c>
      <c r="E342" s="47">
        <v>13</v>
      </c>
      <c r="F342" s="47">
        <v>0</v>
      </c>
    </row>
    <row r="343" spans="1:6" x14ac:dyDescent="0.3">
      <c r="A343" s="47">
        <v>10972</v>
      </c>
      <c r="B343" s="47">
        <v>78766000</v>
      </c>
      <c r="C343" s="47" t="s">
        <v>756</v>
      </c>
      <c r="D343" s="47" t="s">
        <v>7</v>
      </c>
      <c r="E343" s="47">
        <v>424</v>
      </c>
      <c r="F343" s="47">
        <v>0</v>
      </c>
    </row>
    <row r="344" spans="1:6" x14ac:dyDescent="0.3">
      <c r="A344" s="47">
        <v>10974</v>
      </c>
      <c r="B344" s="47">
        <v>108770000</v>
      </c>
      <c r="C344" s="47" t="s">
        <v>188</v>
      </c>
      <c r="D344" s="47" t="s">
        <v>9</v>
      </c>
      <c r="E344" s="47">
        <v>294</v>
      </c>
      <c r="F344" s="47">
        <v>81</v>
      </c>
    </row>
    <row r="345" spans="1:6" x14ac:dyDescent="0.3">
      <c r="A345" s="47">
        <v>78783</v>
      </c>
      <c r="B345" s="47">
        <v>78785000</v>
      </c>
      <c r="C345" s="47" t="s">
        <v>762</v>
      </c>
      <c r="D345" s="47" t="s">
        <v>7</v>
      </c>
      <c r="E345" s="47">
        <v>1076</v>
      </c>
      <c r="F345" s="47">
        <v>941</v>
      </c>
    </row>
    <row r="346" spans="1:6" x14ac:dyDescent="0.3">
      <c r="A346" s="47">
        <v>78786</v>
      </c>
      <c r="B346" s="47">
        <v>90835000</v>
      </c>
      <c r="C346" s="47" t="s">
        <v>492</v>
      </c>
      <c r="D346" s="47" t="s">
        <v>73</v>
      </c>
      <c r="E346" s="47">
        <v>188</v>
      </c>
      <c r="F346" s="47">
        <v>57</v>
      </c>
    </row>
    <row r="347" spans="1:6" x14ac:dyDescent="0.3">
      <c r="A347" s="47">
        <v>78833</v>
      </c>
      <c r="B347" s="47">
        <v>108781000</v>
      </c>
      <c r="C347" s="47" t="s">
        <v>842</v>
      </c>
      <c r="D347" s="47" t="s">
        <v>9</v>
      </c>
      <c r="E347" s="47">
        <v>48</v>
      </c>
      <c r="F347" s="47">
        <v>0</v>
      </c>
    </row>
    <row r="348" spans="1:6" x14ac:dyDescent="0.3">
      <c r="A348" s="47">
        <v>78858</v>
      </c>
      <c r="B348" s="47">
        <v>108777000</v>
      </c>
      <c r="C348" s="47" t="s">
        <v>840</v>
      </c>
      <c r="D348" s="47" t="s">
        <v>9</v>
      </c>
      <c r="E348" s="47">
        <v>127</v>
      </c>
      <c r="F348" s="47">
        <v>0</v>
      </c>
    </row>
    <row r="349" spans="1:6" x14ac:dyDescent="0.3">
      <c r="A349" s="47">
        <v>78868</v>
      </c>
      <c r="B349" s="47">
        <v>78786000</v>
      </c>
      <c r="C349" s="47" t="s">
        <v>474</v>
      </c>
      <c r="D349" s="47" t="s">
        <v>7</v>
      </c>
      <c r="E349" s="47">
        <v>24</v>
      </c>
      <c r="F349" s="47">
        <v>8</v>
      </c>
    </row>
    <row r="350" spans="1:6" x14ac:dyDescent="0.3">
      <c r="A350" s="47">
        <v>78873</v>
      </c>
      <c r="B350" s="47">
        <v>138768000</v>
      </c>
      <c r="C350" s="47" t="s">
        <v>873</v>
      </c>
      <c r="D350" s="47" t="s">
        <v>3</v>
      </c>
      <c r="E350" s="47">
        <v>147</v>
      </c>
      <c r="F350" s="47">
        <v>78</v>
      </c>
    </row>
    <row r="351" spans="1:6" x14ac:dyDescent="0.3">
      <c r="A351" s="47">
        <v>78882</v>
      </c>
      <c r="B351" s="47">
        <v>78760000</v>
      </c>
      <c r="C351" s="47" t="s">
        <v>303</v>
      </c>
      <c r="D351" s="47" t="s">
        <v>7</v>
      </c>
      <c r="E351" s="47">
        <v>188</v>
      </c>
      <c r="F351" s="47">
        <v>139</v>
      </c>
    </row>
    <row r="352" spans="1:6" x14ac:dyDescent="0.3">
      <c r="A352" s="47">
        <v>78888</v>
      </c>
      <c r="B352" s="47">
        <v>78768000</v>
      </c>
      <c r="C352" s="47" t="s">
        <v>758</v>
      </c>
      <c r="D352" s="47" t="s">
        <v>7</v>
      </c>
      <c r="E352" s="47">
        <v>487</v>
      </c>
      <c r="F352" s="47">
        <v>105</v>
      </c>
    </row>
    <row r="353" spans="1:6" x14ac:dyDescent="0.3">
      <c r="A353" s="47">
        <v>78890</v>
      </c>
      <c r="B353" s="47">
        <v>78280000</v>
      </c>
      <c r="C353" s="47" t="s">
        <v>864</v>
      </c>
      <c r="D353" s="47" t="s">
        <v>7</v>
      </c>
      <c r="E353" s="47">
        <v>3</v>
      </c>
      <c r="F353" s="47">
        <v>0</v>
      </c>
    </row>
    <row r="354" spans="1:6" x14ac:dyDescent="0.3">
      <c r="A354" s="47">
        <v>78897</v>
      </c>
      <c r="B354" s="47">
        <v>108665000</v>
      </c>
      <c r="C354" s="47" t="s">
        <v>820</v>
      </c>
      <c r="D354" s="47" t="s">
        <v>9</v>
      </c>
      <c r="E354" s="47">
        <v>681</v>
      </c>
      <c r="F354" s="47">
        <v>6</v>
      </c>
    </row>
    <row r="355" spans="1:6" x14ac:dyDescent="0.3">
      <c r="A355" s="47">
        <v>78965</v>
      </c>
      <c r="B355" s="47">
        <v>78765000</v>
      </c>
      <c r="C355" s="47" t="s">
        <v>755</v>
      </c>
      <c r="D355" s="47" t="s">
        <v>7</v>
      </c>
      <c r="E355" s="47">
        <v>165</v>
      </c>
      <c r="F355" s="47">
        <v>146</v>
      </c>
    </row>
    <row r="356" spans="1:6" x14ac:dyDescent="0.3">
      <c r="A356" s="47">
        <v>78966</v>
      </c>
      <c r="B356" s="47">
        <v>118706000</v>
      </c>
      <c r="C356" s="47" t="s">
        <v>855</v>
      </c>
      <c r="D356" s="47" t="s">
        <v>20</v>
      </c>
      <c r="E356" s="47">
        <v>140</v>
      </c>
      <c r="F356" s="47">
        <v>120</v>
      </c>
    </row>
    <row r="357" spans="1:6" x14ac:dyDescent="0.3">
      <c r="A357" s="47">
        <v>78997</v>
      </c>
      <c r="B357" s="47">
        <v>78679000</v>
      </c>
      <c r="C357" s="47" t="s">
        <v>730</v>
      </c>
      <c r="D357" s="47" t="s">
        <v>7</v>
      </c>
      <c r="E357" s="47">
        <v>55</v>
      </c>
      <c r="F357" s="47">
        <v>0</v>
      </c>
    </row>
    <row r="358" spans="1:6" x14ac:dyDescent="0.3">
      <c r="A358" s="47">
        <v>79000</v>
      </c>
      <c r="B358" s="47">
        <v>108772000</v>
      </c>
      <c r="C358" s="47" t="s">
        <v>838</v>
      </c>
      <c r="D358" s="47" t="s">
        <v>9</v>
      </c>
      <c r="E358" s="47">
        <v>67</v>
      </c>
      <c r="F358" s="47">
        <v>54</v>
      </c>
    </row>
    <row r="359" spans="1:6" x14ac:dyDescent="0.3">
      <c r="A359" s="47">
        <v>79004</v>
      </c>
      <c r="B359" s="47">
        <v>72196000</v>
      </c>
      <c r="C359" s="47" t="s">
        <v>1292</v>
      </c>
      <c r="D359" s="47" t="s">
        <v>7</v>
      </c>
      <c r="E359" s="47">
        <v>87</v>
      </c>
      <c r="F359" s="47">
        <v>40</v>
      </c>
    </row>
    <row r="360" spans="1:6" x14ac:dyDescent="0.3">
      <c r="A360" s="47">
        <v>79024</v>
      </c>
      <c r="B360" s="47">
        <v>78792000</v>
      </c>
      <c r="C360" s="47" t="s">
        <v>329</v>
      </c>
      <c r="D360" s="47" t="s">
        <v>7</v>
      </c>
      <c r="E360" s="47">
        <v>593</v>
      </c>
      <c r="F360" s="47">
        <v>551</v>
      </c>
    </row>
    <row r="361" spans="1:6" x14ac:dyDescent="0.3">
      <c r="A361" s="47">
        <v>79047</v>
      </c>
      <c r="B361" s="47">
        <v>78524000</v>
      </c>
      <c r="C361" s="47" t="s">
        <v>89</v>
      </c>
      <c r="D361" s="47" t="s">
        <v>7</v>
      </c>
      <c r="E361" s="47">
        <v>371</v>
      </c>
      <c r="F361" s="47">
        <v>292</v>
      </c>
    </row>
    <row r="362" spans="1:6" x14ac:dyDescent="0.3">
      <c r="A362" s="47">
        <v>79049</v>
      </c>
      <c r="B362" s="47">
        <v>108666000</v>
      </c>
      <c r="C362" s="47" t="s">
        <v>125</v>
      </c>
      <c r="D362" s="47" t="s">
        <v>9</v>
      </c>
      <c r="E362" s="47">
        <v>665</v>
      </c>
      <c r="F362" s="47">
        <v>229</v>
      </c>
    </row>
    <row r="363" spans="1:6" x14ac:dyDescent="0.3">
      <c r="A363" s="47">
        <v>79050</v>
      </c>
      <c r="B363" s="47">
        <v>78997000</v>
      </c>
      <c r="C363" s="47" t="s">
        <v>502</v>
      </c>
      <c r="D363" s="47" t="s">
        <v>7</v>
      </c>
      <c r="E363" s="47">
        <v>271</v>
      </c>
      <c r="F363" s="47">
        <v>0</v>
      </c>
    </row>
    <row r="364" spans="1:6" x14ac:dyDescent="0.3">
      <c r="A364" s="47">
        <v>79053</v>
      </c>
      <c r="B364" s="47">
        <v>78793000</v>
      </c>
      <c r="C364" s="47" t="s">
        <v>17</v>
      </c>
      <c r="D364" s="47" t="s">
        <v>7</v>
      </c>
      <c r="E364" s="47">
        <v>139</v>
      </c>
      <c r="F364" s="47">
        <v>105</v>
      </c>
    </row>
    <row r="365" spans="1:6" x14ac:dyDescent="0.3">
      <c r="A365" s="47">
        <v>79055</v>
      </c>
      <c r="B365" s="47">
        <v>78909000</v>
      </c>
      <c r="C365" s="47" t="s">
        <v>85</v>
      </c>
      <c r="D365" s="47" t="s">
        <v>7</v>
      </c>
      <c r="E365" s="47">
        <v>710</v>
      </c>
      <c r="F365" s="47">
        <v>319</v>
      </c>
    </row>
    <row r="366" spans="1:6" x14ac:dyDescent="0.3">
      <c r="A366" s="47">
        <v>79059</v>
      </c>
      <c r="B366" s="47">
        <v>78911000</v>
      </c>
      <c r="C366" s="47" t="s">
        <v>765</v>
      </c>
      <c r="D366" s="47" t="s">
        <v>7</v>
      </c>
      <c r="E366" s="47">
        <v>287</v>
      </c>
      <c r="F366" s="47">
        <v>206</v>
      </c>
    </row>
    <row r="367" spans="1:6" x14ac:dyDescent="0.3">
      <c r="A367" s="47">
        <v>79061</v>
      </c>
      <c r="B367" s="47">
        <v>108775000</v>
      </c>
      <c r="C367" s="47" t="s">
        <v>196</v>
      </c>
      <c r="D367" s="47" t="s">
        <v>9</v>
      </c>
      <c r="E367" s="47">
        <v>46</v>
      </c>
      <c r="F367" s="47">
        <v>26</v>
      </c>
    </row>
    <row r="368" spans="1:6" x14ac:dyDescent="0.3">
      <c r="A368" s="47">
        <v>79063</v>
      </c>
      <c r="B368" s="47">
        <v>78795000</v>
      </c>
      <c r="C368" s="47" t="s">
        <v>511</v>
      </c>
      <c r="D368" s="47" t="s">
        <v>7</v>
      </c>
      <c r="E368" s="47">
        <v>147</v>
      </c>
      <c r="F368" s="47">
        <v>2</v>
      </c>
    </row>
    <row r="369" spans="1:6" x14ac:dyDescent="0.3">
      <c r="A369" s="47">
        <v>79064</v>
      </c>
      <c r="B369" s="47">
        <v>148759000</v>
      </c>
      <c r="C369" s="47" t="s">
        <v>224</v>
      </c>
      <c r="D369" s="47" t="s">
        <v>38</v>
      </c>
      <c r="E369" s="47">
        <v>643</v>
      </c>
      <c r="F369" s="47">
        <v>322</v>
      </c>
    </row>
    <row r="370" spans="1:6" x14ac:dyDescent="0.3">
      <c r="A370" s="47">
        <v>79065</v>
      </c>
      <c r="B370" s="47">
        <v>138759000</v>
      </c>
      <c r="C370" s="47" t="s">
        <v>872</v>
      </c>
      <c r="D370" s="47" t="s">
        <v>3</v>
      </c>
      <c r="E370" s="47">
        <v>10</v>
      </c>
      <c r="F370" s="47">
        <v>8</v>
      </c>
    </row>
    <row r="371" spans="1:6" x14ac:dyDescent="0.3">
      <c r="A371" s="47">
        <v>79066</v>
      </c>
      <c r="B371" s="47">
        <v>128726000</v>
      </c>
      <c r="C371" s="47" t="s">
        <v>858</v>
      </c>
      <c r="D371" s="47" t="s">
        <v>284</v>
      </c>
      <c r="E371" s="47">
        <v>49</v>
      </c>
      <c r="F371" s="47">
        <v>15</v>
      </c>
    </row>
    <row r="372" spans="1:6" x14ac:dyDescent="0.3">
      <c r="A372" s="47">
        <v>79068</v>
      </c>
      <c r="B372" s="47">
        <v>138758000</v>
      </c>
      <c r="C372" s="47" t="s">
        <v>871</v>
      </c>
      <c r="D372" s="47" t="s">
        <v>3</v>
      </c>
      <c r="E372" s="47">
        <v>27</v>
      </c>
      <c r="F372" s="47">
        <v>5</v>
      </c>
    </row>
    <row r="373" spans="1:6" x14ac:dyDescent="0.3">
      <c r="A373" s="47">
        <v>79069</v>
      </c>
      <c r="B373" s="47">
        <v>128725000</v>
      </c>
      <c r="C373" s="47" t="s">
        <v>489</v>
      </c>
      <c r="D373" s="47" t="s">
        <v>284</v>
      </c>
      <c r="E373" s="47">
        <v>26</v>
      </c>
      <c r="F373" s="47">
        <v>0</v>
      </c>
    </row>
    <row r="374" spans="1:6" x14ac:dyDescent="0.3">
      <c r="A374" s="47">
        <v>79072</v>
      </c>
      <c r="B374" s="47">
        <v>78796000</v>
      </c>
      <c r="C374" s="47" t="s">
        <v>477</v>
      </c>
      <c r="D374" s="47" t="s">
        <v>7</v>
      </c>
      <c r="E374" s="47">
        <v>465</v>
      </c>
      <c r="F374" s="47">
        <v>0</v>
      </c>
    </row>
    <row r="375" spans="1:6" x14ac:dyDescent="0.3">
      <c r="A375" s="47">
        <v>79073</v>
      </c>
      <c r="B375" s="47">
        <v>108773000</v>
      </c>
      <c r="C375" s="47" t="s">
        <v>839</v>
      </c>
      <c r="D375" s="47" t="s">
        <v>9</v>
      </c>
      <c r="E375" s="47">
        <v>716</v>
      </c>
      <c r="F375" s="47">
        <v>0</v>
      </c>
    </row>
    <row r="376" spans="1:6" x14ac:dyDescent="0.3">
      <c r="A376" s="47">
        <v>79074</v>
      </c>
      <c r="B376" s="47">
        <v>78513000</v>
      </c>
      <c r="C376" s="47" t="s">
        <v>118</v>
      </c>
      <c r="D376" s="47" t="s">
        <v>7</v>
      </c>
      <c r="E376" s="47">
        <v>409</v>
      </c>
      <c r="F376" s="47">
        <v>281</v>
      </c>
    </row>
    <row r="377" spans="1:6" x14ac:dyDescent="0.3">
      <c r="A377" s="47">
        <v>79077</v>
      </c>
      <c r="B377" s="47">
        <v>78994000</v>
      </c>
      <c r="C377" s="47" t="s">
        <v>798</v>
      </c>
      <c r="D377" s="47" t="s">
        <v>7</v>
      </c>
      <c r="E377" s="47">
        <v>114</v>
      </c>
      <c r="F377" s="47">
        <v>114</v>
      </c>
    </row>
    <row r="378" spans="1:6" x14ac:dyDescent="0.3">
      <c r="A378" s="47">
        <v>79081</v>
      </c>
      <c r="B378" s="47">
        <v>78998000</v>
      </c>
      <c r="C378" s="47" t="s">
        <v>720</v>
      </c>
      <c r="D378" s="47" t="s">
        <v>7</v>
      </c>
      <c r="E378" s="47">
        <v>769</v>
      </c>
      <c r="F378" s="47">
        <v>92</v>
      </c>
    </row>
    <row r="379" spans="1:6" x14ac:dyDescent="0.3">
      <c r="A379" s="47">
        <v>79084</v>
      </c>
      <c r="B379" s="47">
        <v>78914000</v>
      </c>
      <c r="C379" s="48" t="s">
        <v>767</v>
      </c>
      <c r="D379" s="47" t="s">
        <v>7</v>
      </c>
      <c r="E379" s="47">
        <v>94</v>
      </c>
      <c r="F379" s="47">
        <v>74</v>
      </c>
    </row>
    <row r="380" spans="1:6" x14ac:dyDescent="0.3">
      <c r="A380" s="47">
        <v>79085</v>
      </c>
      <c r="B380" s="47">
        <v>108779000</v>
      </c>
      <c r="C380" s="47" t="s">
        <v>841</v>
      </c>
      <c r="D380" s="47" t="s">
        <v>9</v>
      </c>
      <c r="E380" s="47">
        <v>633</v>
      </c>
      <c r="F380" s="47">
        <v>630</v>
      </c>
    </row>
    <row r="381" spans="1:6" x14ac:dyDescent="0.3">
      <c r="A381" s="47">
        <v>79086</v>
      </c>
      <c r="B381" s="47">
        <v>38753000</v>
      </c>
      <c r="C381" s="47" t="s">
        <v>629</v>
      </c>
      <c r="D381" s="47" t="s">
        <v>163</v>
      </c>
      <c r="E381" s="47">
        <v>106</v>
      </c>
      <c r="F381" s="47">
        <v>78</v>
      </c>
    </row>
    <row r="382" spans="1:6" x14ac:dyDescent="0.3">
      <c r="A382" s="47">
        <v>79131</v>
      </c>
      <c r="B382" s="47">
        <v>48703000</v>
      </c>
      <c r="C382" s="47" t="s">
        <v>467</v>
      </c>
      <c r="D382" s="47" t="s">
        <v>131</v>
      </c>
      <c r="E382" s="47">
        <v>28</v>
      </c>
      <c r="F382" s="47">
        <v>5</v>
      </c>
    </row>
    <row r="383" spans="1:6" x14ac:dyDescent="0.3">
      <c r="A383" s="47">
        <v>79204</v>
      </c>
      <c r="B383" s="47">
        <v>78988000</v>
      </c>
      <c r="C383" s="47" t="s">
        <v>63</v>
      </c>
      <c r="D383" s="47" t="s">
        <v>7</v>
      </c>
      <c r="E383" s="47">
        <v>543</v>
      </c>
      <c r="F383" s="47">
        <v>190</v>
      </c>
    </row>
    <row r="384" spans="1:6" x14ac:dyDescent="0.3">
      <c r="A384" s="47">
        <v>79205</v>
      </c>
      <c r="B384" s="47">
        <v>78905000</v>
      </c>
      <c r="C384" s="47" t="s">
        <v>323</v>
      </c>
      <c r="D384" s="47" t="s">
        <v>7</v>
      </c>
      <c r="E384" s="47">
        <v>378</v>
      </c>
      <c r="F384" s="47">
        <v>204</v>
      </c>
    </row>
    <row r="385" spans="1:6" x14ac:dyDescent="0.3">
      <c r="A385" s="47">
        <v>79207</v>
      </c>
      <c r="B385" s="47">
        <v>78791000</v>
      </c>
      <c r="C385" s="47" t="s">
        <v>500</v>
      </c>
      <c r="D385" s="47" t="s">
        <v>7</v>
      </c>
      <c r="E385" s="47">
        <v>238</v>
      </c>
      <c r="F385" s="47">
        <v>52</v>
      </c>
    </row>
    <row r="386" spans="1:6" x14ac:dyDescent="0.3">
      <c r="A386" s="47">
        <v>79211</v>
      </c>
      <c r="B386" s="47">
        <v>78917000</v>
      </c>
      <c r="C386" s="47" t="s">
        <v>769</v>
      </c>
      <c r="D386" s="47" t="s">
        <v>7</v>
      </c>
      <c r="E386" s="47">
        <v>540</v>
      </c>
      <c r="F386" s="47">
        <v>265</v>
      </c>
    </row>
    <row r="387" spans="1:6" x14ac:dyDescent="0.3">
      <c r="A387" s="47">
        <v>79213</v>
      </c>
      <c r="B387" s="47">
        <v>78794000</v>
      </c>
      <c r="C387" s="48" t="s">
        <v>11</v>
      </c>
      <c r="D387" s="47" t="s">
        <v>7</v>
      </c>
      <c r="E387" s="47">
        <v>52</v>
      </c>
      <c r="F387" s="47">
        <v>41</v>
      </c>
    </row>
    <row r="388" spans="1:6" x14ac:dyDescent="0.3">
      <c r="A388" s="47">
        <v>79214</v>
      </c>
      <c r="B388" s="47">
        <v>78901000</v>
      </c>
      <c r="C388" s="47" t="s">
        <v>763</v>
      </c>
      <c r="D388" s="47" t="s">
        <v>7</v>
      </c>
      <c r="E388" s="47">
        <v>327</v>
      </c>
      <c r="F388" s="47">
        <v>291</v>
      </c>
    </row>
    <row r="389" spans="1:6" x14ac:dyDescent="0.3">
      <c r="A389" s="47">
        <v>79215</v>
      </c>
      <c r="B389" s="47">
        <v>78989000</v>
      </c>
      <c r="C389" s="47" t="s">
        <v>552</v>
      </c>
      <c r="D389" s="47" t="s">
        <v>7</v>
      </c>
      <c r="E389" s="47">
        <v>835</v>
      </c>
      <c r="F389" s="47">
        <v>714</v>
      </c>
    </row>
    <row r="390" spans="1:6" x14ac:dyDescent="0.3">
      <c r="A390" s="47">
        <v>79218</v>
      </c>
      <c r="B390" s="47">
        <v>88702000</v>
      </c>
      <c r="C390" s="47" t="s">
        <v>801</v>
      </c>
      <c r="D390" s="47" t="s">
        <v>5</v>
      </c>
      <c r="E390" s="47">
        <v>447</v>
      </c>
      <c r="F390" s="47">
        <v>233</v>
      </c>
    </row>
    <row r="391" spans="1:6" x14ac:dyDescent="0.3">
      <c r="A391" s="47">
        <v>79226</v>
      </c>
      <c r="B391" s="47">
        <v>20209000</v>
      </c>
      <c r="C391" s="47" t="s">
        <v>68</v>
      </c>
      <c r="D391" s="47" t="s">
        <v>54</v>
      </c>
      <c r="E391" s="47">
        <v>1234</v>
      </c>
      <c r="F391" s="47">
        <v>628</v>
      </c>
    </row>
    <row r="392" spans="1:6" x14ac:dyDescent="0.3">
      <c r="A392" s="47">
        <v>79233</v>
      </c>
      <c r="B392" s="47">
        <v>78999000</v>
      </c>
      <c r="C392" s="47" t="s">
        <v>799</v>
      </c>
      <c r="D392" s="47" t="s">
        <v>7</v>
      </c>
      <c r="E392" s="47">
        <v>339</v>
      </c>
      <c r="F392" s="47">
        <v>339</v>
      </c>
    </row>
    <row r="393" spans="1:6" x14ac:dyDescent="0.3">
      <c r="A393" s="47">
        <v>79241</v>
      </c>
      <c r="B393" s="47">
        <v>72106000</v>
      </c>
      <c r="C393" s="47" t="s">
        <v>1255</v>
      </c>
      <c r="D393" s="47" t="s">
        <v>7</v>
      </c>
      <c r="E393" s="47">
        <v>14</v>
      </c>
      <c r="F393" s="47">
        <v>5</v>
      </c>
    </row>
    <row r="394" spans="1:6" x14ac:dyDescent="0.3">
      <c r="A394" s="47">
        <v>79264</v>
      </c>
      <c r="B394" s="47">
        <v>78752000</v>
      </c>
      <c r="C394" s="47" t="s">
        <v>671</v>
      </c>
      <c r="D394" s="47" t="s">
        <v>7</v>
      </c>
      <c r="E394" s="47">
        <v>603</v>
      </c>
      <c r="F394" s="47">
        <v>1</v>
      </c>
    </row>
    <row r="395" spans="1:6" x14ac:dyDescent="0.3">
      <c r="A395" s="47">
        <v>79302</v>
      </c>
      <c r="B395" s="47">
        <v>72107000</v>
      </c>
      <c r="C395" s="47" t="s">
        <v>633</v>
      </c>
      <c r="D395" s="47" t="s">
        <v>7</v>
      </c>
      <c r="E395" s="47">
        <v>100</v>
      </c>
      <c r="F395" s="47">
        <v>88</v>
      </c>
    </row>
    <row r="396" spans="1:6" x14ac:dyDescent="0.3">
      <c r="A396" s="47">
        <v>79379</v>
      </c>
      <c r="B396" s="47">
        <v>130199000</v>
      </c>
      <c r="C396" s="47" t="s">
        <v>455</v>
      </c>
      <c r="D396" s="47" t="s">
        <v>3</v>
      </c>
      <c r="E396" s="47">
        <v>42</v>
      </c>
      <c r="F396" s="47">
        <v>25</v>
      </c>
    </row>
    <row r="397" spans="1:6" x14ac:dyDescent="0.3">
      <c r="A397" s="47">
        <v>79381</v>
      </c>
      <c r="B397" s="47">
        <v>30801000</v>
      </c>
      <c r="C397" s="47" t="s">
        <v>529</v>
      </c>
      <c r="D397" s="47" t="s">
        <v>163</v>
      </c>
      <c r="E397" s="47">
        <v>68</v>
      </c>
      <c r="F397" s="47">
        <v>18</v>
      </c>
    </row>
    <row r="398" spans="1:6" x14ac:dyDescent="0.3">
      <c r="A398" s="47">
        <v>79385</v>
      </c>
      <c r="B398" s="47">
        <v>110801000</v>
      </c>
      <c r="C398" s="47" t="s">
        <v>535</v>
      </c>
      <c r="D398" s="47" t="s">
        <v>20</v>
      </c>
      <c r="E398" s="47">
        <v>248</v>
      </c>
      <c r="F398" s="47">
        <v>114</v>
      </c>
    </row>
    <row r="399" spans="1:6" x14ac:dyDescent="0.3">
      <c r="A399" s="47">
        <v>79387</v>
      </c>
      <c r="B399" s="47">
        <v>50802000</v>
      </c>
      <c r="C399" s="47" t="s">
        <v>519</v>
      </c>
      <c r="D399" s="47" t="s">
        <v>133</v>
      </c>
      <c r="E399" s="47">
        <v>117</v>
      </c>
      <c r="F399" s="47">
        <v>27</v>
      </c>
    </row>
    <row r="400" spans="1:6" x14ac:dyDescent="0.3">
      <c r="A400" s="47">
        <v>79391</v>
      </c>
      <c r="B400" s="47">
        <v>110802000</v>
      </c>
      <c r="C400" s="47" t="s">
        <v>531</v>
      </c>
      <c r="D400" s="47" t="s">
        <v>20</v>
      </c>
      <c r="E400" s="47">
        <v>66</v>
      </c>
      <c r="F400" s="47">
        <v>36</v>
      </c>
    </row>
    <row r="401" spans="1:6" x14ac:dyDescent="0.3">
      <c r="A401" s="47">
        <v>79397</v>
      </c>
      <c r="B401" s="47">
        <v>130801000</v>
      </c>
      <c r="C401" s="47" t="s">
        <v>463</v>
      </c>
      <c r="D401" s="47" t="s">
        <v>3</v>
      </c>
      <c r="E401" s="47">
        <v>6</v>
      </c>
      <c r="F401" s="47">
        <v>2</v>
      </c>
    </row>
    <row r="402" spans="1:6" x14ac:dyDescent="0.3">
      <c r="A402" s="47">
        <v>79420</v>
      </c>
      <c r="B402" s="47">
        <v>108784000</v>
      </c>
      <c r="C402" s="47" t="s">
        <v>510</v>
      </c>
      <c r="D402" s="47" t="s">
        <v>9</v>
      </c>
      <c r="E402" s="47">
        <v>289</v>
      </c>
      <c r="F402" s="47">
        <v>0</v>
      </c>
    </row>
    <row r="403" spans="1:6" x14ac:dyDescent="0.3">
      <c r="A403" s="47">
        <v>79426</v>
      </c>
      <c r="B403" s="47">
        <v>108785000</v>
      </c>
      <c r="C403" s="47" t="s">
        <v>40</v>
      </c>
      <c r="D403" s="47" t="s">
        <v>9</v>
      </c>
      <c r="E403" s="47">
        <v>203</v>
      </c>
      <c r="F403" s="47">
        <v>203</v>
      </c>
    </row>
    <row r="404" spans="1:6" x14ac:dyDescent="0.3">
      <c r="A404" s="47">
        <v>79437</v>
      </c>
      <c r="B404" s="47">
        <v>138760000</v>
      </c>
      <c r="C404" s="47" t="s">
        <v>14</v>
      </c>
      <c r="D404" s="47" t="s">
        <v>3</v>
      </c>
      <c r="E404" s="47">
        <v>449</v>
      </c>
      <c r="F404" s="47">
        <v>327</v>
      </c>
    </row>
    <row r="405" spans="1:6" x14ac:dyDescent="0.3">
      <c r="A405" s="47">
        <v>79439</v>
      </c>
      <c r="B405" s="47">
        <v>78920000</v>
      </c>
      <c r="C405" s="47" t="s">
        <v>770</v>
      </c>
      <c r="D405" s="47" t="s">
        <v>7</v>
      </c>
      <c r="E405" s="47">
        <v>23</v>
      </c>
      <c r="F405" s="47">
        <v>0</v>
      </c>
    </row>
    <row r="406" spans="1:6" x14ac:dyDescent="0.3">
      <c r="A406" s="47">
        <v>79441</v>
      </c>
      <c r="B406" s="47">
        <v>108787000</v>
      </c>
      <c r="C406" s="47" t="s">
        <v>843</v>
      </c>
      <c r="D406" s="47" t="s">
        <v>9</v>
      </c>
      <c r="E406" s="47">
        <v>68</v>
      </c>
      <c r="F406" s="47">
        <v>59</v>
      </c>
    </row>
    <row r="407" spans="1:6" x14ac:dyDescent="0.3">
      <c r="A407" s="47">
        <v>79443</v>
      </c>
      <c r="B407" s="47">
        <v>78921000</v>
      </c>
      <c r="C407" s="47" t="s">
        <v>771</v>
      </c>
      <c r="D407" s="47" t="s">
        <v>7</v>
      </c>
      <c r="E407" s="47">
        <v>288</v>
      </c>
      <c r="F407" s="47">
        <v>0</v>
      </c>
    </row>
    <row r="408" spans="1:6" x14ac:dyDescent="0.3">
      <c r="A408" s="47">
        <v>79453</v>
      </c>
      <c r="B408" s="47">
        <v>78924000</v>
      </c>
      <c r="C408" s="47" t="s">
        <v>402</v>
      </c>
      <c r="D408" s="47" t="s">
        <v>7</v>
      </c>
      <c r="E408" s="47">
        <v>743</v>
      </c>
      <c r="F408" s="47">
        <v>580</v>
      </c>
    </row>
    <row r="409" spans="1:6" x14ac:dyDescent="0.3">
      <c r="A409" s="47">
        <v>79455</v>
      </c>
      <c r="B409" s="47">
        <v>78925000</v>
      </c>
      <c r="C409" s="47" t="s">
        <v>484</v>
      </c>
      <c r="D409" s="47" t="s">
        <v>7</v>
      </c>
      <c r="E409" s="47">
        <v>1328</v>
      </c>
      <c r="F409" s="47">
        <v>535</v>
      </c>
    </row>
    <row r="410" spans="1:6" x14ac:dyDescent="0.3">
      <c r="A410" s="47">
        <v>79457</v>
      </c>
      <c r="B410" s="47">
        <v>138761000</v>
      </c>
      <c r="C410" s="47" t="s">
        <v>555</v>
      </c>
      <c r="D410" s="47" t="s">
        <v>3</v>
      </c>
      <c r="E410" s="47">
        <v>75</v>
      </c>
      <c r="F410" s="47">
        <v>44</v>
      </c>
    </row>
    <row r="411" spans="1:6" x14ac:dyDescent="0.3">
      <c r="A411" s="47">
        <v>79461</v>
      </c>
      <c r="B411" s="47">
        <v>78926000</v>
      </c>
      <c r="C411" s="47" t="s">
        <v>1253</v>
      </c>
      <c r="D411" s="47" t="s">
        <v>7</v>
      </c>
      <c r="E411" s="47">
        <v>2298</v>
      </c>
      <c r="F411" s="47">
        <v>864</v>
      </c>
    </row>
    <row r="412" spans="1:6" x14ac:dyDescent="0.3">
      <c r="A412" s="47">
        <v>79467</v>
      </c>
      <c r="B412" s="47">
        <v>108788000</v>
      </c>
      <c r="C412" s="47" t="s">
        <v>844</v>
      </c>
      <c r="D412" s="47" t="s">
        <v>9</v>
      </c>
      <c r="E412" s="47">
        <v>177</v>
      </c>
      <c r="F412" s="47">
        <v>6</v>
      </c>
    </row>
    <row r="413" spans="1:6" x14ac:dyDescent="0.3">
      <c r="A413" s="47">
        <v>79475</v>
      </c>
      <c r="B413" s="47">
        <v>78928000</v>
      </c>
      <c r="C413" s="47" t="s">
        <v>222</v>
      </c>
      <c r="D413" s="47" t="s">
        <v>7</v>
      </c>
      <c r="E413" s="47">
        <v>41</v>
      </c>
      <c r="F413" s="47">
        <v>26</v>
      </c>
    </row>
    <row r="414" spans="1:6" x14ac:dyDescent="0.3">
      <c r="A414" s="47">
        <v>79494</v>
      </c>
      <c r="B414" s="47">
        <v>211014000</v>
      </c>
      <c r="C414" s="47" t="s">
        <v>1276</v>
      </c>
      <c r="D414" s="47" t="s">
        <v>131</v>
      </c>
      <c r="E414" s="47">
        <v>3</v>
      </c>
      <c r="F414" s="47">
        <v>1</v>
      </c>
    </row>
    <row r="415" spans="1:6" x14ac:dyDescent="0.3">
      <c r="A415" s="47">
        <v>79496</v>
      </c>
      <c r="B415" s="47">
        <v>78934000</v>
      </c>
      <c r="C415" s="47" t="s">
        <v>773</v>
      </c>
      <c r="D415" s="47" t="s">
        <v>7</v>
      </c>
      <c r="E415" s="47">
        <v>115</v>
      </c>
      <c r="F415" s="47">
        <v>44</v>
      </c>
    </row>
    <row r="416" spans="1:6" x14ac:dyDescent="0.3">
      <c r="A416" s="47">
        <v>79497</v>
      </c>
      <c r="B416" s="47">
        <v>78935000</v>
      </c>
      <c r="C416" s="47" t="s">
        <v>774</v>
      </c>
      <c r="D416" s="47" t="s">
        <v>7</v>
      </c>
      <c r="E416" s="47">
        <v>323</v>
      </c>
      <c r="F416" s="47">
        <v>119</v>
      </c>
    </row>
    <row r="417" spans="1:6" x14ac:dyDescent="0.3">
      <c r="A417" s="47">
        <v>79498</v>
      </c>
      <c r="B417" s="47">
        <v>88758000</v>
      </c>
      <c r="C417" s="47" t="s">
        <v>290</v>
      </c>
      <c r="D417" s="47" t="s">
        <v>5</v>
      </c>
      <c r="E417" s="47">
        <v>418</v>
      </c>
      <c r="F417" s="47">
        <v>276</v>
      </c>
    </row>
    <row r="418" spans="1:6" x14ac:dyDescent="0.3">
      <c r="A418" s="47">
        <v>79499</v>
      </c>
      <c r="B418" s="47">
        <v>88759000</v>
      </c>
      <c r="C418" s="47" t="s">
        <v>805</v>
      </c>
      <c r="D418" s="47" t="s">
        <v>5</v>
      </c>
      <c r="E418" s="47">
        <v>529</v>
      </c>
      <c r="F418" s="47">
        <v>323</v>
      </c>
    </row>
    <row r="419" spans="1:6" x14ac:dyDescent="0.3">
      <c r="A419" s="47">
        <v>79500</v>
      </c>
      <c r="B419" s="47">
        <v>108789000</v>
      </c>
      <c r="C419" s="47" t="s">
        <v>845</v>
      </c>
      <c r="D419" s="47" t="s">
        <v>9</v>
      </c>
      <c r="E419" s="47">
        <v>288</v>
      </c>
      <c r="F419" s="47">
        <v>277</v>
      </c>
    </row>
    <row r="420" spans="1:6" x14ac:dyDescent="0.3">
      <c r="A420" s="47">
        <v>79501</v>
      </c>
      <c r="B420" s="47">
        <v>148760000</v>
      </c>
      <c r="C420" s="47" t="s">
        <v>875</v>
      </c>
      <c r="D420" s="47" t="s">
        <v>38</v>
      </c>
      <c r="E420" s="47">
        <v>1678</v>
      </c>
      <c r="F420" s="47">
        <v>1513</v>
      </c>
    </row>
    <row r="421" spans="1:6" x14ac:dyDescent="0.3">
      <c r="A421" s="47">
        <v>79503</v>
      </c>
      <c r="B421" s="47">
        <v>28751000</v>
      </c>
      <c r="C421" s="47" t="s">
        <v>309</v>
      </c>
      <c r="D421" s="47" t="s">
        <v>54</v>
      </c>
      <c r="E421" s="47">
        <v>395</v>
      </c>
      <c r="F421" s="47">
        <v>366</v>
      </c>
    </row>
    <row r="422" spans="1:6" x14ac:dyDescent="0.3">
      <c r="A422" s="47">
        <v>79540</v>
      </c>
      <c r="B422" s="47">
        <v>76008000</v>
      </c>
      <c r="C422" s="47" t="s">
        <v>1291</v>
      </c>
      <c r="D422" s="47" t="s">
        <v>7</v>
      </c>
      <c r="E422" s="47">
        <v>16</v>
      </c>
      <c r="F422" s="47">
        <v>2</v>
      </c>
    </row>
    <row r="423" spans="1:6" x14ac:dyDescent="0.3">
      <c r="A423" s="47">
        <v>79548</v>
      </c>
      <c r="B423" s="47">
        <v>78936000</v>
      </c>
      <c r="C423" s="47" t="s">
        <v>775</v>
      </c>
      <c r="D423" s="47" t="s">
        <v>7</v>
      </c>
      <c r="E423" s="47">
        <v>50</v>
      </c>
      <c r="F423" s="47">
        <v>0</v>
      </c>
    </row>
    <row r="424" spans="1:6" x14ac:dyDescent="0.3">
      <c r="A424" s="47">
        <v>79569</v>
      </c>
      <c r="B424" s="47">
        <v>78939000</v>
      </c>
      <c r="C424" s="47" t="s">
        <v>351</v>
      </c>
      <c r="D424" s="47" t="s">
        <v>7</v>
      </c>
      <c r="E424" s="47">
        <v>93</v>
      </c>
      <c r="F424" s="47">
        <v>92</v>
      </c>
    </row>
    <row r="425" spans="1:6" x14ac:dyDescent="0.3">
      <c r="A425" s="47">
        <v>79578</v>
      </c>
      <c r="B425" s="47">
        <v>78940000</v>
      </c>
      <c r="C425" s="47" t="s">
        <v>320</v>
      </c>
      <c r="D425" s="47" t="s">
        <v>7</v>
      </c>
      <c r="E425" s="47">
        <v>664</v>
      </c>
      <c r="F425" s="47">
        <v>653</v>
      </c>
    </row>
    <row r="426" spans="1:6" x14ac:dyDescent="0.3">
      <c r="A426" s="47">
        <v>79590</v>
      </c>
      <c r="B426" s="47">
        <v>211023000</v>
      </c>
      <c r="C426" s="47" t="s">
        <v>483</v>
      </c>
      <c r="D426" s="47" t="s">
        <v>284</v>
      </c>
      <c r="E426" s="47">
        <v>2</v>
      </c>
      <c r="F426" s="47">
        <v>0</v>
      </c>
    </row>
    <row r="427" spans="1:6" x14ac:dyDescent="0.3">
      <c r="A427" s="47">
        <v>79598</v>
      </c>
      <c r="B427" s="47">
        <v>80220000</v>
      </c>
      <c r="C427" s="47" t="s">
        <v>242</v>
      </c>
      <c r="D427" s="47" t="s">
        <v>5</v>
      </c>
      <c r="E427" s="47">
        <v>6384</v>
      </c>
      <c r="F427" s="47">
        <v>4432</v>
      </c>
    </row>
    <row r="428" spans="1:6" x14ac:dyDescent="0.3">
      <c r="A428" s="47">
        <v>79640</v>
      </c>
      <c r="B428" s="47">
        <v>108792000</v>
      </c>
      <c r="C428" s="47" t="s">
        <v>1274</v>
      </c>
      <c r="D428" s="47" t="s">
        <v>9</v>
      </c>
      <c r="E428" s="47">
        <v>53</v>
      </c>
      <c r="F428" s="47">
        <v>21</v>
      </c>
    </row>
    <row r="429" spans="1:6" x14ac:dyDescent="0.3">
      <c r="A429" s="47">
        <v>79660</v>
      </c>
      <c r="B429" s="47">
        <v>78685000</v>
      </c>
      <c r="C429" s="47" t="s">
        <v>252</v>
      </c>
      <c r="D429" s="47" t="s">
        <v>7</v>
      </c>
      <c r="E429" s="47">
        <v>169</v>
      </c>
      <c r="F429" s="47">
        <v>105</v>
      </c>
    </row>
    <row r="430" spans="1:6" x14ac:dyDescent="0.3">
      <c r="A430" s="47">
        <v>79671</v>
      </c>
      <c r="B430" s="47">
        <v>38708000</v>
      </c>
      <c r="C430" s="47" t="s">
        <v>627</v>
      </c>
      <c r="D430" s="47" t="s">
        <v>54</v>
      </c>
      <c r="E430" s="47">
        <v>47</v>
      </c>
      <c r="F430" s="47">
        <v>41</v>
      </c>
    </row>
    <row r="431" spans="1:6" x14ac:dyDescent="0.3">
      <c r="A431" s="47">
        <v>79701</v>
      </c>
      <c r="B431" s="47">
        <v>78945000</v>
      </c>
      <c r="C431" s="47" t="s">
        <v>776</v>
      </c>
      <c r="D431" s="47" t="s">
        <v>7</v>
      </c>
      <c r="E431" s="47">
        <v>69</v>
      </c>
      <c r="F431" s="47">
        <v>52</v>
      </c>
    </row>
    <row r="432" spans="1:6" x14ac:dyDescent="0.3">
      <c r="A432" s="47">
        <v>79866</v>
      </c>
      <c r="B432" s="47">
        <v>38702000</v>
      </c>
      <c r="C432" s="47" t="s">
        <v>624</v>
      </c>
      <c r="D432" s="47" t="s">
        <v>163</v>
      </c>
      <c r="E432" s="47">
        <v>186</v>
      </c>
      <c r="F432" s="47">
        <v>156</v>
      </c>
    </row>
    <row r="433" spans="1:6" x14ac:dyDescent="0.3">
      <c r="A433" s="47">
        <v>79871</v>
      </c>
      <c r="B433" s="47">
        <v>78946000</v>
      </c>
      <c r="C433" s="47" t="s">
        <v>777</v>
      </c>
      <c r="D433" s="47" t="s">
        <v>7</v>
      </c>
      <c r="E433" s="47">
        <v>63</v>
      </c>
      <c r="F433" s="47">
        <v>61</v>
      </c>
    </row>
    <row r="434" spans="1:6" x14ac:dyDescent="0.3">
      <c r="A434" s="47">
        <v>79872</v>
      </c>
      <c r="B434" s="47">
        <v>78947000</v>
      </c>
      <c r="C434" s="47" t="s">
        <v>778</v>
      </c>
      <c r="D434" s="47" t="s">
        <v>7</v>
      </c>
      <c r="E434" s="47">
        <v>109</v>
      </c>
      <c r="F434" s="47">
        <v>65</v>
      </c>
    </row>
    <row r="435" spans="1:6" x14ac:dyDescent="0.3">
      <c r="A435" s="47">
        <v>79873</v>
      </c>
      <c r="B435" s="47">
        <v>78948000</v>
      </c>
      <c r="C435" s="47" t="s">
        <v>779</v>
      </c>
      <c r="D435" s="47" t="s">
        <v>7</v>
      </c>
      <c r="E435" s="47">
        <v>106</v>
      </c>
      <c r="F435" s="47">
        <v>80</v>
      </c>
    </row>
    <row r="436" spans="1:6" x14ac:dyDescent="0.3">
      <c r="A436" s="47">
        <v>79874</v>
      </c>
      <c r="B436" s="47">
        <v>78950000</v>
      </c>
      <c r="C436" s="47" t="s">
        <v>780</v>
      </c>
      <c r="D436" s="47" t="s">
        <v>7</v>
      </c>
      <c r="E436" s="47">
        <v>150</v>
      </c>
      <c r="F436" s="47">
        <v>139</v>
      </c>
    </row>
    <row r="437" spans="1:6" x14ac:dyDescent="0.3">
      <c r="A437" s="47">
        <v>79875</v>
      </c>
      <c r="B437" s="47">
        <v>78951000</v>
      </c>
      <c r="C437" s="47" t="s">
        <v>781</v>
      </c>
      <c r="D437" s="47" t="s">
        <v>7</v>
      </c>
      <c r="E437" s="47">
        <v>231</v>
      </c>
      <c r="F437" s="47">
        <v>211</v>
      </c>
    </row>
    <row r="438" spans="1:6" x14ac:dyDescent="0.3">
      <c r="A438" s="47">
        <v>79876</v>
      </c>
      <c r="B438" s="47">
        <v>78952000</v>
      </c>
      <c r="C438" s="47" t="s">
        <v>236</v>
      </c>
      <c r="D438" s="47" t="s">
        <v>7</v>
      </c>
      <c r="E438" s="47">
        <v>184</v>
      </c>
      <c r="F438" s="47">
        <v>183</v>
      </c>
    </row>
    <row r="439" spans="1:6" x14ac:dyDescent="0.3">
      <c r="A439" s="47">
        <v>79877</v>
      </c>
      <c r="B439" s="47">
        <v>78953000</v>
      </c>
      <c r="C439" s="47" t="s">
        <v>782</v>
      </c>
      <c r="D439" s="47" t="s">
        <v>7</v>
      </c>
      <c r="E439" s="47">
        <v>218</v>
      </c>
      <c r="F439" s="47">
        <v>217</v>
      </c>
    </row>
    <row r="440" spans="1:6" x14ac:dyDescent="0.3">
      <c r="A440" s="47">
        <v>79878</v>
      </c>
      <c r="B440" s="47">
        <v>78954000</v>
      </c>
      <c r="C440" s="47" t="s">
        <v>783</v>
      </c>
      <c r="D440" s="47" t="s">
        <v>7</v>
      </c>
      <c r="E440" s="47">
        <v>18</v>
      </c>
      <c r="F440" s="47">
        <v>13</v>
      </c>
    </row>
    <row r="441" spans="1:6" x14ac:dyDescent="0.3">
      <c r="A441" s="47">
        <v>79879</v>
      </c>
      <c r="B441" s="47">
        <v>78956000</v>
      </c>
      <c r="C441" s="47" t="s">
        <v>784</v>
      </c>
      <c r="D441" s="47" t="s">
        <v>7</v>
      </c>
      <c r="E441" s="47">
        <v>221</v>
      </c>
      <c r="F441" s="47">
        <v>212</v>
      </c>
    </row>
    <row r="442" spans="1:6" x14ac:dyDescent="0.3">
      <c r="A442" s="47">
        <v>79880</v>
      </c>
      <c r="B442" s="47">
        <v>108706000</v>
      </c>
      <c r="C442" s="47" t="s">
        <v>233</v>
      </c>
      <c r="D442" s="47" t="s">
        <v>9</v>
      </c>
      <c r="E442" s="47">
        <v>77</v>
      </c>
      <c r="F442" s="47">
        <v>76</v>
      </c>
    </row>
    <row r="443" spans="1:6" x14ac:dyDescent="0.3">
      <c r="A443" s="47">
        <v>79881</v>
      </c>
      <c r="B443" s="47">
        <v>108707000</v>
      </c>
      <c r="C443" s="47" t="s">
        <v>824</v>
      </c>
      <c r="D443" s="47" t="s">
        <v>9</v>
      </c>
      <c r="E443" s="47">
        <v>161</v>
      </c>
      <c r="F443" s="47">
        <v>157</v>
      </c>
    </row>
    <row r="444" spans="1:6" x14ac:dyDescent="0.3">
      <c r="A444" s="47">
        <v>79882</v>
      </c>
      <c r="B444" s="47">
        <v>78949000</v>
      </c>
      <c r="C444" s="47" t="s">
        <v>231</v>
      </c>
      <c r="D444" s="47" t="s">
        <v>7</v>
      </c>
      <c r="E444" s="47">
        <v>166</v>
      </c>
      <c r="F444" s="47">
        <v>166</v>
      </c>
    </row>
    <row r="445" spans="1:6" x14ac:dyDescent="0.3">
      <c r="A445" s="47">
        <v>79883</v>
      </c>
      <c r="B445" s="47">
        <v>118703000</v>
      </c>
      <c r="C445" s="47" t="s">
        <v>852</v>
      </c>
      <c r="D445" s="47" t="s">
        <v>20</v>
      </c>
      <c r="E445" s="47">
        <v>71</v>
      </c>
      <c r="F445" s="47">
        <v>54</v>
      </c>
    </row>
    <row r="446" spans="1:6" x14ac:dyDescent="0.3">
      <c r="A446" s="47">
        <v>79886</v>
      </c>
      <c r="B446" s="47">
        <v>78957000</v>
      </c>
      <c r="C446" s="47" t="s">
        <v>785</v>
      </c>
      <c r="D446" s="47" t="s">
        <v>7</v>
      </c>
      <c r="E446" s="47">
        <v>344</v>
      </c>
      <c r="F446" s="47">
        <v>0</v>
      </c>
    </row>
    <row r="447" spans="1:6" x14ac:dyDescent="0.3">
      <c r="A447" s="47">
        <v>79905</v>
      </c>
      <c r="B447" s="47">
        <v>78959000</v>
      </c>
      <c r="C447" s="47" t="s">
        <v>786</v>
      </c>
      <c r="D447" s="47" t="s">
        <v>7</v>
      </c>
      <c r="E447" s="47">
        <v>535</v>
      </c>
      <c r="F447" s="47">
        <v>465</v>
      </c>
    </row>
    <row r="448" spans="1:6" x14ac:dyDescent="0.3">
      <c r="A448" s="47">
        <v>79907</v>
      </c>
      <c r="B448" s="47">
        <v>78960000</v>
      </c>
      <c r="C448" s="47" t="s">
        <v>460</v>
      </c>
      <c r="D448" s="47" t="s">
        <v>7</v>
      </c>
      <c r="E448" s="47">
        <v>9</v>
      </c>
      <c r="F448" s="47">
        <v>7</v>
      </c>
    </row>
    <row r="449" spans="1:6" x14ac:dyDescent="0.3">
      <c r="A449" s="47">
        <v>79926</v>
      </c>
      <c r="B449" s="47">
        <v>108708000</v>
      </c>
      <c r="C449" s="47" t="s">
        <v>825</v>
      </c>
      <c r="D449" s="47" t="s">
        <v>9</v>
      </c>
      <c r="E449" s="47">
        <v>22</v>
      </c>
      <c r="F449" s="47">
        <v>17</v>
      </c>
    </row>
    <row r="450" spans="1:6" x14ac:dyDescent="0.3">
      <c r="A450" s="47">
        <v>79929</v>
      </c>
      <c r="B450" s="47">
        <v>78614000</v>
      </c>
      <c r="C450" s="47" t="s">
        <v>543</v>
      </c>
      <c r="D450" s="47" t="s">
        <v>7</v>
      </c>
      <c r="E450" s="47">
        <v>62</v>
      </c>
      <c r="F450" s="47">
        <v>59</v>
      </c>
    </row>
    <row r="451" spans="1:6" x14ac:dyDescent="0.3">
      <c r="A451" s="47">
        <v>79947</v>
      </c>
      <c r="B451" s="47">
        <v>108709000</v>
      </c>
      <c r="C451" s="47" t="s">
        <v>46</v>
      </c>
      <c r="D451" s="47" t="s">
        <v>9</v>
      </c>
      <c r="E451" s="47">
        <v>2031</v>
      </c>
      <c r="F451" s="47">
        <v>1598</v>
      </c>
    </row>
    <row r="452" spans="1:6" x14ac:dyDescent="0.3">
      <c r="A452" s="47">
        <v>79951</v>
      </c>
      <c r="B452" s="47">
        <v>78962000</v>
      </c>
      <c r="C452" s="47" t="s">
        <v>787</v>
      </c>
      <c r="D452" s="47" t="s">
        <v>7</v>
      </c>
      <c r="E452" s="47">
        <v>33</v>
      </c>
      <c r="F452" s="47">
        <v>23</v>
      </c>
    </row>
    <row r="453" spans="1:6" x14ac:dyDescent="0.3">
      <c r="A453" s="47">
        <v>79953</v>
      </c>
      <c r="B453" s="47">
        <v>78963000</v>
      </c>
      <c r="C453" s="47" t="s">
        <v>788</v>
      </c>
      <c r="D453" s="47" t="s">
        <v>7</v>
      </c>
      <c r="E453" s="47">
        <v>110</v>
      </c>
      <c r="F453" s="47">
        <v>75</v>
      </c>
    </row>
    <row r="454" spans="1:6" x14ac:dyDescent="0.3">
      <c r="A454" s="47">
        <v>79957</v>
      </c>
      <c r="B454" s="47">
        <v>78964000</v>
      </c>
      <c r="C454" s="47" t="s">
        <v>789</v>
      </c>
      <c r="D454" s="47" t="s">
        <v>7</v>
      </c>
      <c r="E454" s="47">
        <v>308</v>
      </c>
      <c r="F454" s="47">
        <v>17</v>
      </c>
    </row>
    <row r="455" spans="1:6" x14ac:dyDescent="0.3">
      <c r="A455" s="47">
        <v>79959</v>
      </c>
      <c r="B455" s="47">
        <v>108711000</v>
      </c>
      <c r="C455" s="47" t="s">
        <v>826</v>
      </c>
      <c r="D455" s="47" t="s">
        <v>9</v>
      </c>
      <c r="E455" s="47">
        <v>147</v>
      </c>
      <c r="F455" s="47">
        <v>142</v>
      </c>
    </row>
    <row r="456" spans="1:6" x14ac:dyDescent="0.3">
      <c r="A456" s="47">
        <v>79961</v>
      </c>
      <c r="B456" s="47">
        <v>108713000</v>
      </c>
      <c r="C456" s="47" t="s">
        <v>827</v>
      </c>
      <c r="D456" s="47" t="s">
        <v>9</v>
      </c>
      <c r="E456" s="47">
        <v>425</v>
      </c>
      <c r="F456" s="47">
        <v>324</v>
      </c>
    </row>
    <row r="457" spans="1:6" x14ac:dyDescent="0.3">
      <c r="A457" s="47">
        <v>79967</v>
      </c>
      <c r="B457" s="47">
        <v>78968000</v>
      </c>
      <c r="C457" s="47" t="s">
        <v>249</v>
      </c>
      <c r="D457" s="47" t="s">
        <v>7</v>
      </c>
      <c r="E457" s="47">
        <v>614</v>
      </c>
      <c r="F457" s="47">
        <v>252</v>
      </c>
    </row>
    <row r="458" spans="1:6" x14ac:dyDescent="0.3">
      <c r="A458" s="47">
        <v>79969</v>
      </c>
      <c r="B458" s="47">
        <v>78967000</v>
      </c>
      <c r="C458" s="47" t="s">
        <v>23</v>
      </c>
      <c r="D458" s="47" t="s">
        <v>7</v>
      </c>
      <c r="E458" s="47">
        <v>118</v>
      </c>
      <c r="F458" s="47">
        <v>101</v>
      </c>
    </row>
    <row r="459" spans="1:6" x14ac:dyDescent="0.3">
      <c r="A459" s="47">
        <v>79971</v>
      </c>
      <c r="B459" s="47">
        <v>98749000</v>
      </c>
      <c r="C459" s="47" t="s">
        <v>810</v>
      </c>
      <c r="D459" s="47" t="s">
        <v>7</v>
      </c>
      <c r="E459" s="47">
        <v>222</v>
      </c>
      <c r="F459" s="47">
        <v>186</v>
      </c>
    </row>
    <row r="460" spans="1:6" x14ac:dyDescent="0.3">
      <c r="A460" s="47">
        <v>79973</v>
      </c>
      <c r="B460" s="47">
        <v>98750000</v>
      </c>
      <c r="C460" s="47" t="s">
        <v>811</v>
      </c>
      <c r="D460" s="47" t="s">
        <v>73</v>
      </c>
      <c r="E460" s="47">
        <v>94</v>
      </c>
      <c r="F460" s="47">
        <v>72</v>
      </c>
    </row>
    <row r="461" spans="1:6" x14ac:dyDescent="0.3">
      <c r="A461" s="47">
        <v>79979</v>
      </c>
      <c r="B461" s="47">
        <v>108714000</v>
      </c>
      <c r="C461" s="47" t="s">
        <v>828</v>
      </c>
      <c r="D461" s="47" t="s">
        <v>9</v>
      </c>
      <c r="E461" s="47">
        <v>518</v>
      </c>
      <c r="F461" s="47">
        <v>430</v>
      </c>
    </row>
    <row r="462" spans="1:6" x14ac:dyDescent="0.3">
      <c r="A462" s="47">
        <v>79981</v>
      </c>
      <c r="B462" s="47">
        <v>78971000</v>
      </c>
      <c r="C462" s="47" t="s">
        <v>790</v>
      </c>
      <c r="D462" s="47" t="s">
        <v>7</v>
      </c>
      <c r="E462" s="47">
        <v>418</v>
      </c>
      <c r="F462" s="47">
        <v>202</v>
      </c>
    </row>
    <row r="463" spans="1:6" x14ac:dyDescent="0.3">
      <c r="A463" s="47">
        <v>79983</v>
      </c>
      <c r="B463" s="47">
        <v>78972000</v>
      </c>
      <c r="C463" s="47" t="s">
        <v>791</v>
      </c>
      <c r="D463" s="47" t="s">
        <v>7</v>
      </c>
      <c r="E463" s="47">
        <v>371</v>
      </c>
      <c r="F463" s="47">
        <v>248</v>
      </c>
    </row>
    <row r="464" spans="1:6" x14ac:dyDescent="0.3">
      <c r="A464" s="47">
        <v>79988</v>
      </c>
      <c r="B464" s="47">
        <v>78975000</v>
      </c>
      <c r="C464" s="47" t="s">
        <v>793</v>
      </c>
      <c r="D464" s="47" t="s">
        <v>7</v>
      </c>
      <c r="E464" s="47">
        <v>235</v>
      </c>
      <c r="F464" s="47">
        <v>216</v>
      </c>
    </row>
    <row r="465" spans="1:6" x14ac:dyDescent="0.3">
      <c r="A465" s="47">
        <v>79990</v>
      </c>
      <c r="B465" s="47">
        <v>78974000</v>
      </c>
      <c r="C465" s="47" t="s">
        <v>792</v>
      </c>
      <c r="D465" s="47" t="s">
        <v>7</v>
      </c>
      <c r="E465" s="47">
        <v>89</v>
      </c>
      <c r="F465" s="47">
        <v>38</v>
      </c>
    </row>
    <row r="466" spans="1:6" x14ac:dyDescent="0.3">
      <c r="A466" s="47">
        <v>79994</v>
      </c>
      <c r="B466" s="47">
        <v>78976000</v>
      </c>
      <c r="C466" s="47" t="s">
        <v>286</v>
      </c>
      <c r="D466" s="47" t="s">
        <v>7</v>
      </c>
      <c r="E466" s="47">
        <v>110</v>
      </c>
      <c r="F466" s="47">
        <v>96</v>
      </c>
    </row>
    <row r="467" spans="1:6" x14ac:dyDescent="0.3">
      <c r="A467" s="47">
        <v>80001</v>
      </c>
      <c r="B467" s="47">
        <v>148761000</v>
      </c>
      <c r="C467" s="47" t="s">
        <v>90</v>
      </c>
      <c r="D467" s="47" t="s">
        <v>38</v>
      </c>
      <c r="E467" s="47">
        <v>129</v>
      </c>
      <c r="F467" s="47">
        <v>53</v>
      </c>
    </row>
    <row r="468" spans="1:6" x14ac:dyDescent="0.3">
      <c r="A468" s="47">
        <v>80011</v>
      </c>
      <c r="B468" s="47">
        <v>78977000</v>
      </c>
      <c r="C468" s="47" t="s">
        <v>794</v>
      </c>
      <c r="D468" s="47" t="s">
        <v>7</v>
      </c>
      <c r="E468" s="47">
        <v>177</v>
      </c>
      <c r="F468" s="47">
        <v>17</v>
      </c>
    </row>
    <row r="469" spans="1:6" x14ac:dyDescent="0.3">
      <c r="A469" s="47">
        <v>80032</v>
      </c>
      <c r="B469" s="47">
        <v>108793000</v>
      </c>
      <c r="C469" s="47" t="s">
        <v>120</v>
      </c>
      <c r="D469" s="47" t="s">
        <v>9</v>
      </c>
      <c r="E469" s="47">
        <v>57</v>
      </c>
      <c r="F469" s="47">
        <v>55</v>
      </c>
    </row>
    <row r="470" spans="1:6" x14ac:dyDescent="0.3">
      <c r="A470" s="47">
        <v>80299</v>
      </c>
      <c r="B470" s="47">
        <v>78980000</v>
      </c>
      <c r="C470" s="47" t="s">
        <v>796</v>
      </c>
      <c r="D470" s="47" t="s">
        <v>7</v>
      </c>
      <c r="E470" s="47">
        <v>43</v>
      </c>
      <c r="F470" s="47">
        <v>31</v>
      </c>
    </row>
    <row r="471" spans="1:6" x14ac:dyDescent="0.3">
      <c r="A471" s="47">
        <v>80923</v>
      </c>
      <c r="B471" s="47">
        <v>70802000</v>
      </c>
      <c r="C471" s="47" t="s">
        <v>458</v>
      </c>
      <c r="D471" s="47" t="s">
        <v>7</v>
      </c>
      <c r="E471" s="47">
        <v>629</v>
      </c>
      <c r="F471" s="47">
        <v>253</v>
      </c>
    </row>
    <row r="472" spans="1:6" x14ac:dyDescent="0.3">
      <c r="A472" s="47">
        <v>80985</v>
      </c>
      <c r="B472" s="47">
        <v>78981000</v>
      </c>
      <c r="C472" s="47" t="s">
        <v>494</v>
      </c>
      <c r="D472" s="47" t="s">
        <v>7</v>
      </c>
      <c r="E472" s="47">
        <v>74</v>
      </c>
      <c r="F472" s="47">
        <v>1</v>
      </c>
    </row>
    <row r="473" spans="1:6" x14ac:dyDescent="0.3">
      <c r="A473" s="47">
        <v>80989</v>
      </c>
      <c r="B473" s="47">
        <v>78983000</v>
      </c>
      <c r="C473" s="47" t="s">
        <v>797</v>
      </c>
      <c r="D473" s="47" t="s">
        <v>7</v>
      </c>
      <c r="E473" s="47">
        <v>351</v>
      </c>
      <c r="F473" s="47">
        <v>345</v>
      </c>
    </row>
    <row r="474" spans="1:6" x14ac:dyDescent="0.3">
      <c r="A474" s="47">
        <v>80992</v>
      </c>
      <c r="B474" s="47">
        <v>78984000</v>
      </c>
      <c r="C474" s="47" t="s">
        <v>462</v>
      </c>
      <c r="D474" s="47" t="s">
        <v>7</v>
      </c>
      <c r="E474" s="47">
        <v>648</v>
      </c>
      <c r="F474" s="47">
        <v>1</v>
      </c>
    </row>
    <row r="475" spans="1:6" x14ac:dyDescent="0.3">
      <c r="A475" s="47">
        <v>80995</v>
      </c>
      <c r="B475" s="47">
        <v>108794000</v>
      </c>
      <c r="C475" s="47" t="s">
        <v>846</v>
      </c>
      <c r="D475" s="47" t="s">
        <v>9</v>
      </c>
      <c r="E475" s="47">
        <v>344</v>
      </c>
      <c r="F475" s="47">
        <v>344</v>
      </c>
    </row>
    <row r="476" spans="1:6" x14ac:dyDescent="0.3">
      <c r="A476" s="47">
        <v>81001</v>
      </c>
      <c r="B476" s="47">
        <v>78726000</v>
      </c>
      <c r="C476" s="47" t="s">
        <v>743</v>
      </c>
      <c r="D476" s="47" t="s">
        <v>7</v>
      </c>
      <c r="E476" s="47">
        <v>415</v>
      </c>
      <c r="F476" s="47">
        <v>46</v>
      </c>
    </row>
    <row r="477" spans="1:6" x14ac:dyDescent="0.3">
      <c r="A477" s="47">
        <v>81009</v>
      </c>
      <c r="B477" s="47">
        <v>128701000</v>
      </c>
      <c r="C477" s="47" t="s">
        <v>856</v>
      </c>
      <c r="D477" s="47" t="s">
        <v>284</v>
      </c>
      <c r="E477" s="47">
        <v>49</v>
      </c>
      <c r="F477" s="47">
        <v>2</v>
      </c>
    </row>
    <row r="478" spans="1:6" x14ac:dyDescent="0.3">
      <c r="A478" s="47">
        <v>81011</v>
      </c>
      <c r="B478" s="47">
        <v>118704000</v>
      </c>
      <c r="C478" s="47" t="s">
        <v>853</v>
      </c>
      <c r="D478" s="47" t="s">
        <v>20</v>
      </c>
      <c r="E478" s="47">
        <v>25</v>
      </c>
      <c r="F478" s="47">
        <v>0</v>
      </c>
    </row>
    <row r="479" spans="1:6" x14ac:dyDescent="0.3">
      <c r="A479" s="47">
        <v>81024</v>
      </c>
      <c r="B479" s="47">
        <v>78733000</v>
      </c>
      <c r="C479" s="47" t="s">
        <v>744</v>
      </c>
      <c r="D479" s="47" t="s">
        <v>7</v>
      </c>
      <c r="E479" s="47">
        <v>72</v>
      </c>
      <c r="F479" s="47">
        <v>0</v>
      </c>
    </row>
    <row r="480" spans="1:6" x14ac:dyDescent="0.3">
      <c r="A480" s="47">
        <v>81027</v>
      </c>
      <c r="B480" s="47">
        <v>28701000</v>
      </c>
      <c r="C480" s="47" t="s">
        <v>108</v>
      </c>
      <c r="D480" s="47" t="s">
        <v>54</v>
      </c>
      <c r="E480" s="47">
        <v>359</v>
      </c>
      <c r="F480" s="47">
        <v>238</v>
      </c>
    </row>
    <row r="481" spans="1:6" x14ac:dyDescent="0.3">
      <c r="A481" s="47">
        <v>81029</v>
      </c>
      <c r="B481" s="47">
        <v>108715000</v>
      </c>
      <c r="C481" s="47" t="s">
        <v>829</v>
      </c>
      <c r="D481" s="47" t="s">
        <v>9</v>
      </c>
      <c r="E481" s="47">
        <v>149</v>
      </c>
      <c r="F481" s="47">
        <v>114</v>
      </c>
    </row>
    <row r="482" spans="1:6" x14ac:dyDescent="0.3">
      <c r="A482" s="47">
        <v>81033</v>
      </c>
      <c r="B482" s="47">
        <v>78735000</v>
      </c>
      <c r="C482" s="47" t="s">
        <v>745</v>
      </c>
      <c r="D482" s="47" t="s">
        <v>7</v>
      </c>
      <c r="E482" s="47">
        <v>66</v>
      </c>
      <c r="F482" s="47">
        <v>48</v>
      </c>
    </row>
    <row r="483" spans="1:6" x14ac:dyDescent="0.3">
      <c r="A483" s="47">
        <v>81041</v>
      </c>
      <c r="B483" s="47">
        <v>78745000</v>
      </c>
      <c r="C483" s="47" t="s">
        <v>74</v>
      </c>
      <c r="D483" s="47" t="s">
        <v>7</v>
      </c>
      <c r="E483" s="47">
        <v>147</v>
      </c>
      <c r="F483" s="47">
        <v>93</v>
      </c>
    </row>
    <row r="484" spans="1:6" x14ac:dyDescent="0.3">
      <c r="A484" s="47">
        <v>81043</v>
      </c>
      <c r="B484" s="47">
        <v>78740000</v>
      </c>
      <c r="C484" s="47" t="s">
        <v>746</v>
      </c>
      <c r="D484" s="47" t="s">
        <v>7</v>
      </c>
      <c r="E484" s="47">
        <v>341</v>
      </c>
      <c r="F484" s="47">
        <v>237</v>
      </c>
    </row>
    <row r="485" spans="1:6" x14ac:dyDescent="0.3">
      <c r="A485" s="47">
        <v>81045</v>
      </c>
      <c r="B485" s="47">
        <v>78742000</v>
      </c>
      <c r="C485" s="47" t="s">
        <v>748</v>
      </c>
      <c r="D485" s="47" t="s">
        <v>7</v>
      </c>
      <c r="E485" s="47">
        <v>678</v>
      </c>
      <c r="F485" s="47">
        <v>191</v>
      </c>
    </row>
    <row r="486" spans="1:6" x14ac:dyDescent="0.3">
      <c r="A486" s="47">
        <v>81050</v>
      </c>
      <c r="B486" s="47">
        <v>78744000</v>
      </c>
      <c r="C486" s="47" t="s">
        <v>749</v>
      </c>
      <c r="D486" s="47" t="s">
        <v>7</v>
      </c>
      <c r="E486" s="47">
        <v>53</v>
      </c>
      <c r="F486" s="47">
        <v>38</v>
      </c>
    </row>
    <row r="487" spans="1:6" x14ac:dyDescent="0.3">
      <c r="A487" s="47">
        <v>81052</v>
      </c>
      <c r="B487" s="47">
        <v>138705000</v>
      </c>
      <c r="C487" s="47" t="s">
        <v>865</v>
      </c>
      <c r="D487" s="47" t="s">
        <v>3</v>
      </c>
      <c r="E487" s="47">
        <v>468</v>
      </c>
      <c r="F487" s="47">
        <v>468</v>
      </c>
    </row>
    <row r="488" spans="1:6" x14ac:dyDescent="0.3">
      <c r="A488" s="47">
        <v>81076</v>
      </c>
      <c r="B488" s="47">
        <v>78985000</v>
      </c>
      <c r="C488" s="47" t="s">
        <v>195</v>
      </c>
      <c r="D488" s="47" t="s">
        <v>7</v>
      </c>
      <c r="E488" s="47">
        <v>835</v>
      </c>
      <c r="F488" s="47">
        <v>602</v>
      </c>
    </row>
    <row r="489" spans="1:6" x14ac:dyDescent="0.3">
      <c r="A489" s="47">
        <v>81078</v>
      </c>
      <c r="B489" s="47">
        <v>78736000</v>
      </c>
      <c r="C489" s="47" t="s">
        <v>1266</v>
      </c>
      <c r="D489" s="47" t="s">
        <v>7</v>
      </c>
      <c r="E489" s="47">
        <v>681</v>
      </c>
      <c r="F489" s="47">
        <v>0</v>
      </c>
    </row>
    <row r="490" spans="1:6" x14ac:dyDescent="0.3">
      <c r="A490" s="47">
        <v>81097</v>
      </c>
      <c r="B490" s="47">
        <v>78746000</v>
      </c>
      <c r="C490" s="48" t="s">
        <v>750</v>
      </c>
      <c r="D490" s="47" t="s">
        <v>7</v>
      </c>
      <c r="E490" s="47">
        <v>464</v>
      </c>
      <c r="F490" s="47">
        <v>436</v>
      </c>
    </row>
    <row r="491" spans="1:6" x14ac:dyDescent="0.3">
      <c r="A491" s="47">
        <v>81099</v>
      </c>
      <c r="B491" s="47">
        <v>78621000</v>
      </c>
      <c r="C491" s="47" t="s">
        <v>128</v>
      </c>
      <c r="D491" s="47" t="s">
        <v>7</v>
      </c>
      <c r="E491" s="47">
        <v>846</v>
      </c>
      <c r="F491" s="47">
        <v>256</v>
      </c>
    </row>
    <row r="492" spans="1:6" x14ac:dyDescent="0.3">
      <c r="A492" s="47">
        <v>81114</v>
      </c>
      <c r="B492" s="47">
        <v>90836000</v>
      </c>
      <c r="C492" s="47" t="s">
        <v>807</v>
      </c>
      <c r="D492" s="47" t="s">
        <v>73</v>
      </c>
      <c r="E492" s="47">
        <v>107</v>
      </c>
      <c r="F492" s="47">
        <v>91</v>
      </c>
    </row>
    <row r="493" spans="1:6" x14ac:dyDescent="0.3">
      <c r="A493" s="47">
        <v>81123</v>
      </c>
      <c r="B493" s="47">
        <v>108717000</v>
      </c>
      <c r="C493" s="47" t="s">
        <v>830</v>
      </c>
      <c r="D493" s="47" t="s">
        <v>9</v>
      </c>
      <c r="E493" s="47">
        <v>179</v>
      </c>
      <c r="F493" s="47">
        <v>140</v>
      </c>
    </row>
    <row r="494" spans="1:6" x14ac:dyDescent="0.3">
      <c r="A494" s="47">
        <v>81174</v>
      </c>
      <c r="B494" s="47">
        <v>78743000</v>
      </c>
      <c r="C494" s="47" t="s">
        <v>279</v>
      </c>
      <c r="D494" s="47" t="s">
        <v>7</v>
      </c>
      <c r="E494" s="47">
        <v>90</v>
      </c>
      <c r="F494" s="47">
        <v>87</v>
      </c>
    </row>
    <row r="495" spans="1:6" x14ac:dyDescent="0.3">
      <c r="A495" s="47">
        <v>81205</v>
      </c>
      <c r="B495" s="47">
        <v>72147000</v>
      </c>
      <c r="C495" s="47" t="s">
        <v>649</v>
      </c>
      <c r="D495" s="47" t="s">
        <v>7</v>
      </c>
      <c r="E495" s="47">
        <v>24</v>
      </c>
      <c r="F495" s="47">
        <v>1</v>
      </c>
    </row>
    <row r="496" spans="1:6" x14ac:dyDescent="0.3">
      <c r="A496" s="47">
        <v>85448</v>
      </c>
      <c r="B496" s="47">
        <v>108720000</v>
      </c>
      <c r="C496" s="47" t="s">
        <v>1272</v>
      </c>
      <c r="D496" s="47" t="s">
        <v>9</v>
      </c>
      <c r="E496" s="47">
        <v>262</v>
      </c>
      <c r="F496" s="47">
        <v>90</v>
      </c>
    </row>
    <row r="497" spans="1:6" x14ac:dyDescent="0.3">
      <c r="A497" s="47">
        <v>85454</v>
      </c>
      <c r="B497" s="47">
        <v>108719000</v>
      </c>
      <c r="C497" s="47" t="s">
        <v>831</v>
      </c>
      <c r="D497" s="47" t="s">
        <v>9</v>
      </c>
      <c r="E497" s="47">
        <v>172</v>
      </c>
      <c r="F497" s="47">
        <v>38</v>
      </c>
    </row>
    <row r="498" spans="1:6" x14ac:dyDescent="0.3">
      <c r="A498" s="47">
        <v>85516</v>
      </c>
      <c r="B498" s="47">
        <v>88703000</v>
      </c>
      <c r="C498" s="47" t="s">
        <v>802</v>
      </c>
      <c r="D498" s="47" t="s">
        <v>5</v>
      </c>
      <c r="E498" s="47">
        <v>480</v>
      </c>
      <c r="F498" s="47">
        <v>20</v>
      </c>
    </row>
    <row r="499" spans="1:6" x14ac:dyDescent="0.3">
      <c r="A499" s="47">
        <v>85540</v>
      </c>
      <c r="B499" s="47">
        <v>88704000</v>
      </c>
      <c r="C499" s="47" t="s">
        <v>803</v>
      </c>
      <c r="D499" s="47" t="s">
        <v>5</v>
      </c>
      <c r="E499" s="47">
        <v>43</v>
      </c>
      <c r="F499" s="47">
        <v>39</v>
      </c>
    </row>
    <row r="500" spans="1:6" x14ac:dyDescent="0.3">
      <c r="A500" s="47">
        <v>85749</v>
      </c>
      <c r="B500" s="47">
        <v>78991000</v>
      </c>
      <c r="C500" s="47" t="s">
        <v>49</v>
      </c>
      <c r="D500" s="47" t="s">
        <v>7</v>
      </c>
      <c r="E500" s="47">
        <v>235</v>
      </c>
      <c r="F500" s="47">
        <v>65</v>
      </c>
    </row>
    <row r="501" spans="1:6" x14ac:dyDescent="0.3">
      <c r="A501" s="47">
        <v>85807</v>
      </c>
      <c r="B501" s="47">
        <v>78992000</v>
      </c>
      <c r="C501" s="47" t="s">
        <v>400</v>
      </c>
      <c r="D501" s="47" t="s">
        <v>7</v>
      </c>
      <c r="E501" s="47">
        <v>192</v>
      </c>
      <c r="F501" s="47">
        <v>148</v>
      </c>
    </row>
    <row r="502" spans="1:6" x14ac:dyDescent="0.3">
      <c r="A502" s="47">
        <v>85816</v>
      </c>
      <c r="B502" s="47">
        <v>78993000</v>
      </c>
      <c r="C502" s="47" t="s">
        <v>683</v>
      </c>
      <c r="D502" s="47" t="s">
        <v>7</v>
      </c>
      <c r="E502" s="47">
        <v>353</v>
      </c>
      <c r="F502" s="47">
        <v>265</v>
      </c>
    </row>
    <row r="503" spans="1:6" x14ac:dyDescent="0.3">
      <c r="A503" s="47">
        <v>87275</v>
      </c>
      <c r="B503" s="47">
        <v>72136000</v>
      </c>
      <c r="C503" s="47" t="s">
        <v>645</v>
      </c>
      <c r="D503" s="47" t="s">
        <v>7</v>
      </c>
      <c r="E503" s="47">
        <v>9</v>
      </c>
      <c r="F503" s="47">
        <v>1</v>
      </c>
    </row>
    <row r="504" spans="1:6" x14ac:dyDescent="0.3">
      <c r="A504" s="47">
        <v>87334</v>
      </c>
      <c r="B504" s="47">
        <v>78504000</v>
      </c>
      <c r="C504" s="47" t="s">
        <v>487</v>
      </c>
      <c r="D504" s="47" t="s">
        <v>7</v>
      </c>
      <c r="E504" s="47">
        <v>50</v>
      </c>
      <c r="F504" s="47">
        <v>19</v>
      </c>
    </row>
    <row r="505" spans="1:6" x14ac:dyDescent="0.3">
      <c r="A505" s="47">
        <v>87349</v>
      </c>
      <c r="B505" s="47">
        <v>78507000</v>
      </c>
      <c r="C505" s="47" t="s">
        <v>251</v>
      </c>
      <c r="D505" s="47" t="s">
        <v>7</v>
      </c>
      <c r="E505" s="47">
        <v>77</v>
      </c>
      <c r="F505" s="47">
        <v>35</v>
      </c>
    </row>
    <row r="506" spans="1:6" x14ac:dyDescent="0.3">
      <c r="A506" s="47">
        <v>87399</v>
      </c>
      <c r="B506" s="47">
        <v>78508000</v>
      </c>
      <c r="C506" s="47" t="s">
        <v>681</v>
      </c>
      <c r="D506" s="47" t="s">
        <v>7</v>
      </c>
      <c r="E506" s="47">
        <v>793</v>
      </c>
      <c r="F506" s="47">
        <v>254</v>
      </c>
    </row>
    <row r="507" spans="1:6" x14ac:dyDescent="0.3">
      <c r="A507" s="47">
        <v>87401</v>
      </c>
      <c r="B507" s="47">
        <v>78509000</v>
      </c>
      <c r="C507" s="47" t="s">
        <v>682</v>
      </c>
      <c r="D507" s="47" t="s">
        <v>7</v>
      </c>
      <c r="E507" s="47">
        <v>643</v>
      </c>
      <c r="F507" s="47">
        <v>371</v>
      </c>
    </row>
    <row r="508" spans="1:6" x14ac:dyDescent="0.3">
      <c r="A508" s="47">
        <v>87403</v>
      </c>
      <c r="B508" s="47">
        <v>78510000</v>
      </c>
      <c r="C508" s="47" t="s">
        <v>683</v>
      </c>
      <c r="D508" s="47" t="s">
        <v>7</v>
      </c>
      <c r="E508" s="47">
        <v>121</v>
      </c>
      <c r="F508" s="47">
        <v>33</v>
      </c>
    </row>
    <row r="509" spans="1:6" x14ac:dyDescent="0.3">
      <c r="A509" s="47">
        <v>87405</v>
      </c>
      <c r="B509" s="47">
        <v>108796000</v>
      </c>
      <c r="C509" s="47" t="s">
        <v>836</v>
      </c>
      <c r="D509" s="47" t="s">
        <v>9</v>
      </c>
      <c r="E509" s="47">
        <v>3987</v>
      </c>
      <c r="F509" s="47">
        <v>2086</v>
      </c>
    </row>
    <row r="510" spans="1:6" x14ac:dyDescent="0.3">
      <c r="A510" s="47">
        <v>87407</v>
      </c>
      <c r="B510" s="47">
        <v>78511000</v>
      </c>
      <c r="C510" s="47" t="s">
        <v>684</v>
      </c>
      <c r="D510" s="47" t="s">
        <v>7</v>
      </c>
      <c r="E510" s="47">
        <v>1889</v>
      </c>
      <c r="F510" s="47">
        <v>898</v>
      </c>
    </row>
    <row r="511" spans="1:6" x14ac:dyDescent="0.3">
      <c r="A511" s="47">
        <v>87600</v>
      </c>
      <c r="B511" s="47">
        <v>40149000</v>
      </c>
      <c r="C511" s="47" t="s">
        <v>181</v>
      </c>
      <c r="D511" s="47" t="s">
        <v>131</v>
      </c>
      <c r="E511" s="47">
        <v>12</v>
      </c>
      <c r="F511" s="47">
        <v>12</v>
      </c>
    </row>
    <row r="512" spans="1:6" x14ac:dyDescent="0.3">
      <c r="A512" s="47">
        <v>88299</v>
      </c>
      <c r="B512" s="47">
        <v>78515000</v>
      </c>
      <c r="C512" s="47" t="s">
        <v>534</v>
      </c>
      <c r="D512" s="47" t="s">
        <v>7</v>
      </c>
      <c r="E512" s="47">
        <v>630</v>
      </c>
      <c r="F512" s="47">
        <v>0</v>
      </c>
    </row>
    <row r="513" spans="1:6" x14ac:dyDescent="0.3">
      <c r="A513" s="47">
        <v>88308</v>
      </c>
      <c r="B513" s="47">
        <v>108732000</v>
      </c>
      <c r="C513" s="47" t="s">
        <v>833</v>
      </c>
      <c r="D513" s="47" t="s">
        <v>9</v>
      </c>
      <c r="E513" s="47">
        <v>65</v>
      </c>
      <c r="F513" s="47">
        <v>26</v>
      </c>
    </row>
    <row r="514" spans="1:6" x14ac:dyDescent="0.3">
      <c r="A514" s="47">
        <v>88317</v>
      </c>
      <c r="B514" s="47">
        <v>78516000</v>
      </c>
      <c r="C514" s="47" t="s">
        <v>353</v>
      </c>
      <c r="D514" s="47" t="s">
        <v>3</v>
      </c>
      <c r="E514" s="47">
        <v>271</v>
      </c>
      <c r="F514" s="47">
        <v>227</v>
      </c>
    </row>
    <row r="515" spans="1:6" x14ac:dyDescent="0.3">
      <c r="A515" s="47">
        <v>88321</v>
      </c>
      <c r="B515" s="47">
        <v>138714000</v>
      </c>
      <c r="C515" s="47" t="s">
        <v>867</v>
      </c>
      <c r="D515" s="47" t="s">
        <v>3</v>
      </c>
      <c r="E515" s="47">
        <v>178</v>
      </c>
      <c r="F515" s="47">
        <v>17</v>
      </c>
    </row>
    <row r="516" spans="1:6" x14ac:dyDescent="0.3">
      <c r="A516" s="47">
        <v>88334</v>
      </c>
      <c r="B516" s="47">
        <v>78517000</v>
      </c>
      <c r="C516" s="47" t="s">
        <v>685</v>
      </c>
      <c r="D516" s="47" t="s">
        <v>7</v>
      </c>
      <c r="E516" s="47">
        <v>337</v>
      </c>
      <c r="F516" s="47">
        <v>271</v>
      </c>
    </row>
    <row r="517" spans="1:6" x14ac:dyDescent="0.3">
      <c r="A517" s="47">
        <v>88360</v>
      </c>
      <c r="B517" s="47">
        <v>78518000</v>
      </c>
      <c r="C517" s="47" t="s">
        <v>507</v>
      </c>
      <c r="D517" s="47" t="s">
        <v>20</v>
      </c>
      <c r="E517" s="47">
        <v>1194</v>
      </c>
      <c r="F517" s="47">
        <v>384</v>
      </c>
    </row>
    <row r="518" spans="1:6" x14ac:dyDescent="0.3">
      <c r="A518" s="47">
        <v>88365</v>
      </c>
      <c r="B518" s="47">
        <v>78519000</v>
      </c>
      <c r="C518" s="47" t="s">
        <v>686</v>
      </c>
      <c r="D518" s="47" t="s">
        <v>7</v>
      </c>
      <c r="E518" s="47">
        <v>449</v>
      </c>
      <c r="F518" s="47">
        <v>382</v>
      </c>
    </row>
    <row r="519" spans="1:6" x14ac:dyDescent="0.3">
      <c r="A519" s="47">
        <v>88367</v>
      </c>
      <c r="B519" s="47">
        <v>78520000</v>
      </c>
      <c r="C519" s="47" t="s">
        <v>687</v>
      </c>
      <c r="D519" s="47" t="s">
        <v>7</v>
      </c>
      <c r="E519" s="47">
        <v>802</v>
      </c>
      <c r="F519" s="47">
        <v>738</v>
      </c>
    </row>
    <row r="520" spans="1:6" x14ac:dyDescent="0.3">
      <c r="A520" s="47">
        <v>88369</v>
      </c>
      <c r="B520" s="47">
        <v>78521000</v>
      </c>
      <c r="C520" s="47" t="s">
        <v>688</v>
      </c>
      <c r="D520" s="47" t="s">
        <v>7</v>
      </c>
      <c r="E520" s="47">
        <v>134</v>
      </c>
      <c r="F520" s="47">
        <v>67</v>
      </c>
    </row>
    <row r="521" spans="1:6" x14ac:dyDescent="0.3">
      <c r="A521" s="47">
        <v>88372</v>
      </c>
      <c r="B521" s="47">
        <v>78522000</v>
      </c>
      <c r="C521" s="47" t="s">
        <v>689</v>
      </c>
      <c r="D521" s="47" t="s">
        <v>7</v>
      </c>
      <c r="E521" s="47">
        <v>363</v>
      </c>
      <c r="F521" s="47">
        <v>105</v>
      </c>
    </row>
    <row r="522" spans="1:6" x14ac:dyDescent="0.3">
      <c r="A522" s="47">
        <v>88374</v>
      </c>
      <c r="B522" s="47">
        <v>78523000</v>
      </c>
      <c r="C522" s="47" t="s">
        <v>690</v>
      </c>
      <c r="D522" s="47" t="s">
        <v>7</v>
      </c>
      <c r="E522" s="47">
        <v>243</v>
      </c>
      <c r="F522" s="47">
        <v>179</v>
      </c>
    </row>
    <row r="523" spans="1:6" x14ac:dyDescent="0.3">
      <c r="A523" s="47">
        <v>88618</v>
      </c>
      <c r="B523" s="47">
        <v>72112000</v>
      </c>
      <c r="C523" s="47" t="s">
        <v>635</v>
      </c>
      <c r="D523" s="47" t="s">
        <v>7</v>
      </c>
      <c r="E523" s="47">
        <v>143</v>
      </c>
      <c r="F523" s="47">
        <v>73</v>
      </c>
    </row>
    <row r="524" spans="1:6" x14ac:dyDescent="0.3">
      <c r="A524" s="47">
        <v>89380</v>
      </c>
      <c r="B524" s="47">
        <v>100811000</v>
      </c>
      <c r="C524" s="47" t="s">
        <v>485</v>
      </c>
      <c r="D524" s="47" t="s">
        <v>9</v>
      </c>
      <c r="E524" s="47">
        <v>835</v>
      </c>
      <c r="F524" s="47">
        <v>256</v>
      </c>
    </row>
    <row r="525" spans="1:6" x14ac:dyDescent="0.3">
      <c r="A525" s="47">
        <v>89412</v>
      </c>
      <c r="B525" s="47">
        <v>78687000</v>
      </c>
      <c r="C525" s="47" t="s">
        <v>731</v>
      </c>
      <c r="D525" s="47" t="s">
        <v>20</v>
      </c>
      <c r="E525" s="47">
        <v>3753</v>
      </c>
      <c r="F525" s="47">
        <v>79</v>
      </c>
    </row>
    <row r="526" spans="1:6" x14ac:dyDescent="0.3">
      <c r="A526" s="47">
        <v>89414</v>
      </c>
      <c r="B526" s="47">
        <v>78688000</v>
      </c>
      <c r="C526" s="47" t="s">
        <v>732</v>
      </c>
      <c r="D526" s="47" t="s">
        <v>7</v>
      </c>
      <c r="E526" s="47">
        <v>166</v>
      </c>
      <c r="F526" s="47">
        <v>106</v>
      </c>
    </row>
    <row r="527" spans="1:6" x14ac:dyDescent="0.3">
      <c r="A527" s="47">
        <v>89486</v>
      </c>
      <c r="B527" s="47">
        <v>78527000</v>
      </c>
      <c r="C527" s="47" t="s">
        <v>691</v>
      </c>
      <c r="D527" s="47" t="s">
        <v>7</v>
      </c>
      <c r="E527" s="47">
        <v>484</v>
      </c>
      <c r="F527" s="47">
        <v>1</v>
      </c>
    </row>
    <row r="528" spans="1:6" x14ac:dyDescent="0.3">
      <c r="A528" s="47">
        <v>89506</v>
      </c>
      <c r="B528" s="47">
        <v>78528000</v>
      </c>
      <c r="C528" s="47" t="s">
        <v>692</v>
      </c>
      <c r="D528" s="47" t="s">
        <v>7</v>
      </c>
      <c r="E528" s="47">
        <v>480</v>
      </c>
      <c r="F528" s="47">
        <v>18</v>
      </c>
    </row>
    <row r="529" spans="1:6" x14ac:dyDescent="0.3">
      <c r="A529" s="47">
        <v>89524</v>
      </c>
      <c r="B529" s="47">
        <v>72157000</v>
      </c>
      <c r="C529" s="47" t="s">
        <v>653</v>
      </c>
      <c r="D529" s="47" t="s">
        <v>7</v>
      </c>
      <c r="E529" s="47">
        <v>4</v>
      </c>
      <c r="F529" s="47">
        <v>0</v>
      </c>
    </row>
    <row r="530" spans="1:6" x14ac:dyDescent="0.3">
      <c r="A530" s="47">
        <v>89550</v>
      </c>
      <c r="B530" s="47">
        <v>78529000</v>
      </c>
      <c r="C530" s="47" t="s">
        <v>553</v>
      </c>
      <c r="D530" s="47" t="s">
        <v>7</v>
      </c>
      <c r="E530" s="47">
        <v>61</v>
      </c>
      <c r="F530" s="47">
        <v>0</v>
      </c>
    </row>
    <row r="531" spans="1:6" x14ac:dyDescent="0.3">
      <c r="A531" s="47">
        <v>89556</v>
      </c>
      <c r="B531" s="47">
        <v>78530000</v>
      </c>
      <c r="C531" s="47" t="s">
        <v>693</v>
      </c>
      <c r="D531" s="47" t="s">
        <v>7</v>
      </c>
      <c r="E531" s="47">
        <v>112</v>
      </c>
      <c r="F531" s="47">
        <v>111</v>
      </c>
    </row>
    <row r="532" spans="1:6" x14ac:dyDescent="0.3">
      <c r="A532" s="47">
        <v>89561</v>
      </c>
      <c r="B532" s="47">
        <v>78531000</v>
      </c>
      <c r="C532" s="47" t="s">
        <v>694</v>
      </c>
      <c r="D532" s="47" t="s">
        <v>7</v>
      </c>
      <c r="E532" s="47">
        <v>174</v>
      </c>
      <c r="F532" s="47">
        <v>153</v>
      </c>
    </row>
    <row r="533" spans="1:6" x14ac:dyDescent="0.3">
      <c r="A533" s="47">
        <v>89563</v>
      </c>
      <c r="B533" s="47">
        <v>78532000</v>
      </c>
      <c r="C533" s="47" t="s">
        <v>695</v>
      </c>
      <c r="D533" s="47" t="s">
        <v>7</v>
      </c>
      <c r="E533" s="47">
        <v>343</v>
      </c>
      <c r="F533" s="47">
        <v>316</v>
      </c>
    </row>
    <row r="534" spans="1:6" x14ac:dyDescent="0.3">
      <c r="A534" s="47">
        <v>89638</v>
      </c>
      <c r="B534" s="47">
        <v>202150000</v>
      </c>
      <c r="C534" s="47" t="s">
        <v>876</v>
      </c>
      <c r="D534" s="47" t="s">
        <v>1278</v>
      </c>
      <c r="E534" s="47">
        <v>1</v>
      </c>
      <c r="F534" s="47">
        <v>0</v>
      </c>
    </row>
    <row r="535" spans="1:6" x14ac:dyDescent="0.3">
      <c r="A535" s="47">
        <v>89756</v>
      </c>
      <c r="B535" s="47">
        <v>78533000</v>
      </c>
      <c r="C535" s="47" t="s">
        <v>478</v>
      </c>
      <c r="D535" s="47" t="s">
        <v>7</v>
      </c>
      <c r="E535" s="47">
        <v>811</v>
      </c>
      <c r="F535" s="47">
        <v>0</v>
      </c>
    </row>
    <row r="536" spans="1:6" x14ac:dyDescent="0.3">
      <c r="A536" s="47">
        <v>89758</v>
      </c>
      <c r="B536" s="47">
        <v>78534000</v>
      </c>
      <c r="C536" s="47" t="s">
        <v>696</v>
      </c>
      <c r="D536" s="47" t="s">
        <v>7</v>
      </c>
      <c r="E536" s="47">
        <v>585</v>
      </c>
      <c r="F536" s="47">
        <v>0</v>
      </c>
    </row>
    <row r="537" spans="1:6" x14ac:dyDescent="0.3">
      <c r="A537" s="47">
        <v>89760</v>
      </c>
      <c r="B537" s="47">
        <v>72688000</v>
      </c>
      <c r="C537" s="47" t="s">
        <v>666</v>
      </c>
      <c r="D537" s="47" t="s">
        <v>7</v>
      </c>
      <c r="E537" s="47">
        <v>63</v>
      </c>
      <c r="F537" s="47">
        <v>42</v>
      </c>
    </row>
    <row r="538" spans="1:6" x14ac:dyDescent="0.3">
      <c r="A538" s="47">
        <v>89784</v>
      </c>
      <c r="B538" s="47">
        <v>78535000</v>
      </c>
      <c r="C538" s="47" t="s">
        <v>697</v>
      </c>
      <c r="D538" s="47" t="s">
        <v>7</v>
      </c>
      <c r="E538" s="47">
        <v>556</v>
      </c>
      <c r="F538" s="47">
        <v>437</v>
      </c>
    </row>
    <row r="539" spans="1:6" x14ac:dyDescent="0.3">
      <c r="A539" s="47">
        <v>89786</v>
      </c>
      <c r="B539" s="47">
        <v>78536000</v>
      </c>
      <c r="C539" s="47" t="s">
        <v>698</v>
      </c>
      <c r="D539" s="47" t="s">
        <v>7</v>
      </c>
      <c r="E539" s="47">
        <v>728</v>
      </c>
      <c r="F539" s="47">
        <v>582</v>
      </c>
    </row>
    <row r="540" spans="1:6" x14ac:dyDescent="0.3">
      <c r="A540" s="47">
        <v>89788</v>
      </c>
      <c r="B540" s="47">
        <v>78537000</v>
      </c>
      <c r="C540" s="47" t="s">
        <v>699</v>
      </c>
      <c r="D540" s="47" t="s">
        <v>7</v>
      </c>
      <c r="E540" s="47">
        <v>224</v>
      </c>
      <c r="F540" s="47">
        <v>116</v>
      </c>
    </row>
    <row r="541" spans="1:6" x14ac:dyDescent="0.3">
      <c r="A541" s="47">
        <v>89790</v>
      </c>
      <c r="B541" s="47">
        <v>78538000</v>
      </c>
      <c r="C541" s="47" t="s">
        <v>700</v>
      </c>
      <c r="D541" s="47" t="s">
        <v>7</v>
      </c>
      <c r="E541" s="47">
        <v>236</v>
      </c>
      <c r="F541" s="47">
        <v>64</v>
      </c>
    </row>
    <row r="542" spans="1:6" x14ac:dyDescent="0.3">
      <c r="A542" s="47">
        <v>89798</v>
      </c>
      <c r="B542" s="47">
        <v>78539000</v>
      </c>
      <c r="C542" s="47" t="s">
        <v>701</v>
      </c>
      <c r="D542" s="47" t="s">
        <v>7</v>
      </c>
      <c r="E542" s="47">
        <v>636</v>
      </c>
      <c r="F542" s="47">
        <v>104</v>
      </c>
    </row>
    <row r="543" spans="1:6" x14ac:dyDescent="0.3">
      <c r="A543" s="47">
        <v>89829</v>
      </c>
      <c r="B543" s="47">
        <v>78540000</v>
      </c>
      <c r="C543" s="47" t="s">
        <v>518</v>
      </c>
      <c r="D543" s="47" t="s">
        <v>7</v>
      </c>
      <c r="E543" s="47">
        <v>457</v>
      </c>
      <c r="F543" s="47">
        <v>0</v>
      </c>
    </row>
    <row r="544" spans="1:6" x14ac:dyDescent="0.3">
      <c r="A544" s="47">
        <v>89850</v>
      </c>
      <c r="B544" s="47">
        <v>78541000</v>
      </c>
      <c r="C544" s="47" t="s">
        <v>668</v>
      </c>
      <c r="D544" s="47" t="s">
        <v>7</v>
      </c>
      <c r="E544" s="47">
        <v>712</v>
      </c>
      <c r="F544" s="47">
        <v>292</v>
      </c>
    </row>
    <row r="545" spans="1:6" x14ac:dyDescent="0.3">
      <c r="A545" s="47">
        <v>89852</v>
      </c>
      <c r="B545" s="47">
        <v>108798000</v>
      </c>
      <c r="C545" s="47" t="s">
        <v>847</v>
      </c>
      <c r="D545" s="47" t="s">
        <v>9</v>
      </c>
      <c r="E545" s="47">
        <v>433</v>
      </c>
      <c r="F545" s="47">
        <v>334</v>
      </c>
    </row>
    <row r="546" spans="1:6" x14ac:dyDescent="0.3">
      <c r="A546" s="47">
        <v>89864</v>
      </c>
      <c r="B546" s="47">
        <v>108799000</v>
      </c>
      <c r="C546" s="47" t="s">
        <v>342</v>
      </c>
      <c r="D546" s="47" t="s">
        <v>9</v>
      </c>
      <c r="E546" s="47">
        <v>99</v>
      </c>
      <c r="F546" s="47">
        <v>95</v>
      </c>
    </row>
    <row r="547" spans="1:6" x14ac:dyDescent="0.3">
      <c r="A547" s="47">
        <v>89869</v>
      </c>
      <c r="B547" s="47">
        <v>78542000</v>
      </c>
      <c r="C547" s="47" t="s">
        <v>702</v>
      </c>
      <c r="D547" s="47" t="s">
        <v>7</v>
      </c>
      <c r="E547" s="47">
        <v>125</v>
      </c>
      <c r="F547" s="47">
        <v>106</v>
      </c>
    </row>
    <row r="548" spans="1:6" x14ac:dyDescent="0.3">
      <c r="A548" s="47">
        <v>89871</v>
      </c>
      <c r="B548" s="47">
        <v>108501000</v>
      </c>
      <c r="C548" s="47" t="s">
        <v>539</v>
      </c>
      <c r="D548" s="47" t="s">
        <v>9</v>
      </c>
      <c r="E548" s="47">
        <v>29</v>
      </c>
      <c r="F548" s="47">
        <v>1</v>
      </c>
    </row>
    <row r="549" spans="1:6" x14ac:dyDescent="0.3">
      <c r="A549" s="47">
        <v>89914</v>
      </c>
      <c r="B549" s="47">
        <v>108502000</v>
      </c>
      <c r="C549" s="47" t="s">
        <v>815</v>
      </c>
      <c r="D549" s="47" t="s">
        <v>9</v>
      </c>
      <c r="E549" s="47">
        <v>275</v>
      </c>
      <c r="F549" s="47">
        <v>270</v>
      </c>
    </row>
    <row r="550" spans="1:6" x14ac:dyDescent="0.3">
      <c r="A550" s="47">
        <v>89915</v>
      </c>
      <c r="B550" s="47">
        <v>108503000</v>
      </c>
      <c r="C550" s="47" t="s">
        <v>392</v>
      </c>
      <c r="D550" s="47" t="s">
        <v>9</v>
      </c>
      <c r="E550" s="47">
        <v>320</v>
      </c>
      <c r="F550" s="47">
        <v>192</v>
      </c>
    </row>
    <row r="551" spans="1:6" x14ac:dyDescent="0.3">
      <c r="A551" s="47">
        <v>89917</v>
      </c>
      <c r="B551" s="47">
        <v>78544000</v>
      </c>
      <c r="C551" s="47" t="s">
        <v>123</v>
      </c>
      <c r="D551" s="47" t="s">
        <v>7</v>
      </c>
      <c r="E551" s="47">
        <v>440</v>
      </c>
      <c r="F551" s="47">
        <v>147</v>
      </c>
    </row>
    <row r="552" spans="1:6" x14ac:dyDescent="0.3">
      <c r="A552" s="47">
        <v>89922</v>
      </c>
      <c r="B552" s="47">
        <v>132107000</v>
      </c>
      <c r="C552" s="47" t="s">
        <v>859</v>
      </c>
      <c r="D552" s="47" t="s">
        <v>3</v>
      </c>
      <c r="E552" s="47">
        <v>4</v>
      </c>
      <c r="F552" s="47">
        <v>1</v>
      </c>
    </row>
    <row r="553" spans="1:6" x14ac:dyDescent="0.3">
      <c r="A553" s="47">
        <v>89947</v>
      </c>
      <c r="B553" s="47">
        <v>78545000</v>
      </c>
      <c r="C553" s="47" t="s">
        <v>469</v>
      </c>
      <c r="D553" s="47" t="s">
        <v>7</v>
      </c>
      <c r="E553" s="47">
        <v>66</v>
      </c>
      <c r="F553" s="47">
        <v>0</v>
      </c>
    </row>
    <row r="554" spans="1:6" x14ac:dyDescent="0.3">
      <c r="A554" s="47">
        <v>89949</v>
      </c>
      <c r="B554" s="47">
        <v>78546000</v>
      </c>
      <c r="C554" s="47" t="s">
        <v>56</v>
      </c>
      <c r="D554" s="47" t="s">
        <v>7</v>
      </c>
      <c r="E554" s="47">
        <v>389</v>
      </c>
      <c r="F554" s="47">
        <v>283</v>
      </c>
    </row>
    <row r="555" spans="1:6" x14ac:dyDescent="0.3">
      <c r="A555" s="47">
        <v>89951</v>
      </c>
      <c r="B555" s="47">
        <v>38755000</v>
      </c>
      <c r="C555" s="47" t="s">
        <v>630</v>
      </c>
      <c r="D555" s="47" t="s">
        <v>163</v>
      </c>
      <c r="E555" s="47">
        <v>90</v>
      </c>
      <c r="F555" s="47">
        <v>10</v>
      </c>
    </row>
    <row r="556" spans="1:6" x14ac:dyDescent="0.3">
      <c r="A556" s="47">
        <v>90034</v>
      </c>
      <c r="B556" s="47">
        <v>78547000</v>
      </c>
      <c r="C556" s="47" t="s">
        <v>703</v>
      </c>
      <c r="D556" s="47" t="s">
        <v>7</v>
      </c>
      <c r="E556" s="47">
        <v>535</v>
      </c>
      <c r="F556" s="47">
        <v>375</v>
      </c>
    </row>
    <row r="557" spans="1:6" x14ac:dyDescent="0.3">
      <c r="A557" s="47">
        <v>90036</v>
      </c>
      <c r="B557" s="47">
        <v>78548000</v>
      </c>
      <c r="C557" s="47" t="s">
        <v>704</v>
      </c>
      <c r="D557" s="47" t="s">
        <v>7</v>
      </c>
      <c r="E557" s="47">
        <v>365</v>
      </c>
      <c r="F557" s="47">
        <v>292</v>
      </c>
    </row>
    <row r="558" spans="1:6" x14ac:dyDescent="0.3">
      <c r="A558" s="47">
        <v>90048</v>
      </c>
      <c r="B558" s="47">
        <v>132116000</v>
      </c>
      <c r="C558" s="47" t="s">
        <v>860</v>
      </c>
      <c r="D558" s="47" t="s">
        <v>3</v>
      </c>
      <c r="E558" s="47">
        <v>9</v>
      </c>
      <c r="F558" s="47">
        <v>9</v>
      </c>
    </row>
    <row r="559" spans="1:6" x14ac:dyDescent="0.3">
      <c r="A559" s="47">
        <v>90050</v>
      </c>
      <c r="B559" s="47">
        <v>72113000</v>
      </c>
      <c r="C559" s="47" t="s">
        <v>636</v>
      </c>
      <c r="D559" s="47" t="s">
        <v>7</v>
      </c>
      <c r="E559" s="47">
        <v>82</v>
      </c>
      <c r="F559" s="47">
        <v>10</v>
      </c>
    </row>
    <row r="560" spans="1:6" x14ac:dyDescent="0.3">
      <c r="A560" s="47">
        <v>90052</v>
      </c>
      <c r="B560" s="47">
        <v>72119000</v>
      </c>
      <c r="C560" s="47" t="s">
        <v>637</v>
      </c>
      <c r="D560" s="47" t="s">
        <v>7</v>
      </c>
      <c r="E560" s="47">
        <v>4</v>
      </c>
      <c r="F560" s="47">
        <v>0</v>
      </c>
    </row>
    <row r="561" spans="1:6" x14ac:dyDescent="0.3">
      <c r="A561" s="47">
        <v>90090</v>
      </c>
      <c r="B561" s="47">
        <v>130802000</v>
      </c>
      <c r="C561" s="47" t="s">
        <v>497</v>
      </c>
      <c r="D561" s="47" t="s">
        <v>3</v>
      </c>
      <c r="E561" s="47">
        <v>209</v>
      </c>
      <c r="F561" s="47">
        <v>89</v>
      </c>
    </row>
    <row r="562" spans="1:6" x14ac:dyDescent="0.3">
      <c r="A562" s="47">
        <v>90099</v>
      </c>
      <c r="B562" s="47">
        <v>72150000</v>
      </c>
      <c r="C562" s="47" t="s">
        <v>650</v>
      </c>
      <c r="D562" s="47" t="s">
        <v>7</v>
      </c>
      <c r="E562" s="47">
        <v>32</v>
      </c>
      <c r="F562" s="47">
        <v>9</v>
      </c>
    </row>
    <row r="563" spans="1:6" x14ac:dyDescent="0.3">
      <c r="A563" s="47">
        <v>90123</v>
      </c>
      <c r="B563" s="47">
        <v>80850000</v>
      </c>
      <c r="C563" s="47" t="s">
        <v>457</v>
      </c>
      <c r="D563" s="47" t="s">
        <v>5</v>
      </c>
      <c r="E563" s="47">
        <v>54</v>
      </c>
      <c r="F563" s="47">
        <v>20</v>
      </c>
    </row>
    <row r="564" spans="1:6" x14ac:dyDescent="0.3">
      <c r="A564" s="47">
        <v>90138</v>
      </c>
      <c r="B564" s="47">
        <v>78549000</v>
      </c>
      <c r="C564" s="47" t="s">
        <v>705</v>
      </c>
      <c r="D564" s="47" t="s">
        <v>7</v>
      </c>
      <c r="E564" s="47">
        <v>932</v>
      </c>
      <c r="F564" s="47">
        <v>60</v>
      </c>
    </row>
    <row r="565" spans="1:6" x14ac:dyDescent="0.3">
      <c r="A565" s="47">
        <v>90140</v>
      </c>
      <c r="B565" s="47">
        <v>78550000</v>
      </c>
      <c r="C565" s="47" t="s">
        <v>1268</v>
      </c>
      <c r="D565" s="47" t="s">
        <v>7</v>
      </c>
      <c r="E565" s="47">
        <v>636</v>
      </c>
      <c r="F565" s="47">
        <v>622</v>
      </c>
    </row>
    <row r="566" spans="1:6" x14ac:dyDescent="0.3">
      <c r="A566" s="47">
        <v>90142</v>
      </c>
      <c r="B566" s="47">
        <v>78551000</v>
      </c>
      <c r="C566" s="47" t="s">
        <v>407</v>
      </c>
      <c r="D566" s="47" t="s">
        <v>7</v>
      </c>
      <c r="E566" s="47">
        <v>233</v>
      </c>
      <c r="F566" s="47">
        <v>203</v>
      </c>
    </row>
    <row r="567" spans="1:6" x14ac:dyDescent="0.3">
      <c r="A567" s="47">
        <v>90160</v>
      </c>
      <c r="B567" s="47">
        <v>78552000</v>
      </c>
      <c r="C567" s="47" t="s">
        <v>706</v>
      </c>
      <c r="D567" s="47" t="s">
        <v>7</v>
      </c>
      <c r="E567" s="47">
        <v>164</v>
      </c>
      <c r="F567" s="47">
        <v>102</v>
      </c>
    </row>
    <row r="568" spans="1:6" x14ac:dyDescent="0.3">
      <c r="A568" s="47">
        <v>90162</v>
      </c>
      <c r="B568" s="47">
        <v>78553000</v>
      </c>
      <c r="C568" s="47" t="s">
        <v>707</v>
      </c>
      <c r="D568" s="47" t="s">
        <v>7</v>
      </c>
      <c r="E568" s="47">
        <v>203</v>
      </c>
      <c r="F568" s="47">
        <v>139</v>
      </c>
    </row>
    <row r="569" spans="1:6" x14ac:dyDescent="0.3">
      <c r="A569" s="47">
        <v>90192</v>
      </c>
      <c r="B569" s="47">
        <v>78556000</v>
      </c>
      <c r="C569" s="47" t="s">
        <v>708</v>
      </c>
      <c r="D569" s="47" t="s">
        <v>7</v>
      </c>
      <c r="E569" s="47">
        <v>317</v>
      </c>
      <c r="F569" s="47">
        <v>235</v>
      </c>
    </row>
    <row r="570" spans="1:6" x14ac:dyDescent="0.3">
      <c r="A570" s="47">
        <v>90199</v>
      </c>
      <c r="B570" s="47">
        <v>108734000</v>
      </c>
      <c r="C570" s="47" t="s">
        <v>834</v>
      </c>
      <c r="D570" s="47" t="s">
        <v>9</v>
      </c>
      <c r="E570" s="47">
        <v>662</v>
      </c>
      <c r="F570" s="47">
        <v>68</v>
      </c>
    </row>
    <row r="571" spans="1:6" x14ac:dyDescent="0.3">
      <c r="A571" s="47">
        <v>90201</v>
      </c>
      <c r="B571" s="47">
        <v>78558000</v>
      </c>
      <c r="C571" s="47" t="s">
        <v>152</v>
      </c>
      <c r="D571" s="47" t="s">
        <v>7</v>
      </c>
      <c r="E571" s="47">
        <v>306</v>
      </c>
      <c r="F571" s="47">
        <v>116</v>
      </c>
    </row>
    <row r="572" spans="1:6" x14ac:dyDescent="0.3">
      <c r="A572" s="47">
        <v>90275</v>
      </c>
      <c r="B572" s="47">
        <v>78560000</v>
      </c>
      <c r="C572" s="47" t="s">
        <v>359</v>
      </c>
      <c r="D572" s="47" t="s">
        <v>7</v>
      </c>
      <c r="E572" s="47">
        <v>121</v>
      </c>
      <c r="F572" s="47">
        <v>112</v>
      </c>
    </row>
    <row r="573" spans="1:6" x14ac:dyDescent="0.3">
      <c r="A573" s="47">
        <v>90284</v>
      </c>
      <c r="B573" s="47">
        <v>108504000</v>
      </c>
      <c r="C573" s="47" t="s">
        <v>816</v>
      </c>
      <c r="D573" s="47" t="s">
        <v>9</v>
      </c>
      <c r="E573" s="47">
        <v>218</v>
      </c>
      <c r="F573" s="47">
        <v>113</v>
      </c>
    </row>
    <row r="574" spans="1:6" x14ac:dyDescent="0.3">
      <c r="A574" s="47">
        <v>90287</v>
      </c>
      <c r="B574" s="47">
        <v>78561000</v>
      </c>
      <c r="C574" s="47" t="s">
        <v>710</v>
      </c>
      <c r="D574" s="47" t="s">
        <v>7</v>
      </c>
      <c r="E574" s="47">
        <v>2813</v>
      </c>
      <c r="F574" s="47">
        <v>14</v>
      </c>
    </row>
    <row r="575" spans="1:6" x14ac:dyDescent="0.3">
      <c r="A575" s="47">
        <v>90317</v>
      </c>
      <c r="B575" s="47">
        <v>78562000</v>
      </c>
      <c r="C575" s="47" t="s">
        <v>711</v>
      </c>
      <c r="D575" s="47" t="s">
        <v>7</v>
      </c>
      <c r="E575" s="47">
        <v>232</v>
      </c>
      <c r="F575" s="47">
        <v>195</v>
      </c>
    </row>
    <row r="576" spans="1:6" x14ac:dyDescent="0.3">
      <c r="A576" s="47">
        <v>90327</v>
      </c>
      <c r="B576" s="47">
        <v>78564000</v>
      </c>
      <c r="C576" s="47" t="s">
        <v>712</v>
      </c>
      <c r="D576" s="47" t="s">
        <v>7</v>
      </c>
      <c r="E576" s="47">
        <v>867</v>
      </c>
      <c r="F576" s="47">
        <v>332</v>
      </c>
    </row>
    <row r="577" spans="1:6" x14ac:dyDescent="0.3">
      <c r="A577" s="47">
        <v>90328</v>
      </c>
      <c r="B577" s="47">
        <v>78565000</v>
      </c>
      <c r="C577" s="47" t="s">
        <v>713</v>
      </c>
      <c r="D577" s="47" t="s">
        <v>7</v>
      </c>
      <c r="E577" s="47">
        <v>214</v>
      </c>
      <c r="F577" s="47">
        <v>165</v>
      </c>
    </row>
    <row r="578" spans="1:6" x14ac:dyDescent="0.3">
      <c r="A578" s="47">
        <v>90329</v>
      </c>
      <c r="B578" s="47">
        <v>78566000</v>
      </c>
      <c r="C578" s="47" t="s">
        <v>714</v>
      </c>
      <c r="D578" s="47" t="s">
        <v>7</v>
      </c>
      <c r="E578" s="47">
        <v>118</v>
      </c>
      <c r="F578" s="47">
        <v>102</v>
      </c>
    </row>
    <row r="579" spans="1:6" x14ac:dyDescent="0.3">
      <c r="A579" s="47">
        <v>90330</v>
      </c>
      <c r="B579" s="47">
        <v>78567000</v>
      </c>
      <c r="C579" s="47" t="s">
        <v>715</v>
      </c>
      <c r="D579" s="47" t="s">
        <v>7</v>
      </c>
      <c r="E579" s="47">
        <v>310</v>
      </c>
      <c r="F579" s="47">
        <v>310</v>
      </c>
    </row>
    <row r="580" spans="1:6" x14ac:dyDescent="0.3">
      <c r="A580" s="47">
        <v>90331</v>
      </c>
      <c r="B580" s="47">
        <v>108505000</v>
      </c>
      <c r="C580" s="47" t="s">
        <v>119</v>
      </c>
      <c r="D580" s="47" t="s">
        <v>9</v>
      </c>
      <c r="E580" s="47">
        <v>43</v>
      </c>
      <c r="F580" s="47">
        <v>41</v>
      </c>
    </row>
    <row r="581" spans="1:6" x14ac:dyDescent="0.3">
      <c r="A581" s="47">
        <v>90333</v>
      </c>
      <c r="B581" s="47">
        <v>78570000</v>
      </c>
      <c r="C581" s="47" t="s">
        <v>228</v>
      </c>
      <c r="D581" s="47" t="s">
        <v>7</v>
      </c>
      <c r="E581" s="47">
        <v>154</v>
      </c>
      <c r="F581" s="47">
        <v>79</v>
      </c>
    </row>
    <row r="582" spans="1:6" x14ac:dyDescent="0.3">
      <c r="A582" s="47">
        <v>90334</v>
      </c>
      <c r="B582" s="47">
        <v>78571000</v>
      </c>
      <c r="C582" s="47" t="s">
        <v>230</v>
      </c>
      <c r="D582" s="47" t="s">
        <v>7</v>
      </c>
      <c r="E582" s="47">
        <v>224</v>
      </c>
      <c r="F582" s="47">
        <v>150</v>
      </c>
    </row>
    <row r="583" spans="1:6" x14ac:dyDescent="0.3">
      <c r="A583" s="47">
        <v>90403</v>
      </c>
      <c r="B583" s="47">
        <v>72158000</v>
      </c>
      <c r="C583" s="47" t="s">
        <v>654</v>
      </c>
      <c r="D583" s="47" t="s">
        <v>7</v>
      </c>
      <c r="E583" s="47">
        <v>2</v>
      </c>
      <c r="F583" s="47">
        <v>0</v>
      </c>
    </row>
    <row r="584" spans="1:6" x14ac:dyDescent="0.3">
      <c r="A584" s="47">
        <v>90471</v>
      </c>
      <c r="B584" s="47">
        <v>72121000</v>
      </c>
      <c r="C584" s="47" t="s">
        <v>639</v>
      </c>
      <c r="D584" s="47" t="s">
        <v>7</v>
      </c>
      <c r="E584" s="47">
        <v>3</v>
      </c>
      <c r="F584" s="47">
        <v>0</v>
      </c>
    </row>
    <row r="585" spans="1:6" x14ac:dyDescent="0.3">
      <c r="A585" s="47">
        <v>90506</v>
      </c>
      <c r="B585" s="47">
        <v>108506000</v>
      </c>
      <c r="C585" s="47" t="s">
        <v>142</v>
      </c>
      <c r="D585" s="47" t="s">
        <v>9</v>
      </c>
      <c r="E585" s="47">
        <v>78</v>
      </c>
      <c r="F585" s="47">
        <v>78</v>
      </c>
    </row>
    <row r="586" spans="1:6" x14ac:dyDescent="0.3">
      <c r="A586" s="47">
        <v>90508</v>
      </c>
      <c r="B586" s="47">
        <v>78575000</v>
      </c>
      <c r="C586" s="47" t="s">
        <v>1266</v>
      </c>
      <c r="D586" s="47" t="s">
        <v>7</v>
      </c>
      <c r="E586" s="47">
        <v>528</v>
      </c>
      <c r="F586" s="47">
        <v>1</v>
      </c>
    </row>
    <row r="587" spans="1:6" x14ac:dyDescent="0.3">
      <c r="A587" s="47">
        <v>90532</v>
      </c>
      <c r="B587" s="47">
        <v>78525000</v>
      </c>
      <c r="C587" s="47" t="s">
        <v>551</v>
      </c>
      <c r="D587" s="47" t="s">
        <v>7</v>
      </c>
      <c r="E587" s="47">
        <v>744</v>
      </c>
      <c r="F587" s="47">
        <v>5</v>
      </c>
    </row>
    <row r="588" spans="1:6" x14ac:dyDescent="0.3">
      <c r="A588" s="47">
        <v>90533</v>
      </c>
      <c r="B588" s="47">
        <v>138501000</v>
      </c>
      <c r="C588" s="47" t="s">
        <v>861</v>
      </c>
      <c r="D588" s="47" t="s">
        <v>3</v>
      </c>
      <c r="E588" s="47">
        <v>131</v>
      </c>
      <c r="F588" s="47">
        <v>57</v>
      </c>
    </row>
    <row r="589" spans="1:6" x14ac:dyDescent="0.3">
      <c r="A589" s="47">
        <v>90535</v>
      </c>
      <c r="B589" s="47">
        <v>78580000</v>
      </c>
      <c r="C589" s="47" t="s">
        <v>229</v>
      </c>
      <c r="D589" s="47" t="s">
        <v>7</v>
      </c>
      <c r="E589" s="47">
        <v>296</v>
      </c>
      <c r="F589" s="47">
        <v>184</v>
      </c>
    </row>
    <row r="590" spans="1:6" x14ac:dyDescent="0.3">
      <c r="A590" s="47">
        <v>90536</v>
      </c>
      <c r="B590" s="47">
        <v>108507000</v>
      </c>
      <c r="C590" s="47" t="s">
        <v>344</v>
      </c>
      <c r="D590" s="47" t="s">
        <v>9</v>
      </c>
      <c r="E590" s="47">
        <v>82</v>
      </c>
      <c r="F590" s="47">
        <v>80</v>
      </c>
    </row>
    <row r="591" spans="1:6" x14ac:dyDescent="0.3">
      <c r="A591" s="47">
        <v>90540</v>
      </c>
      <c r="B591" s="47">
        <v>78578000</v>
      </c>
      <c r="C591" s="47" t="s">
        <v>717</v>
      </c>
      <c r="D591" s="47" t="s">
        <v>7</v>
      </c>
      <c r="E591" s="47">
        <v>208</v>
      </c>
      <c r="F591" s="47">
        <v>160</v>
      </c>
    </row>
    <row r="592" spans="1:6" x14ac:dyDescent="0.3">
      <c r="A592" s="47">
        <v>90541</v>
      </c>
      <c r="B592" s="47">
        <v>78577000</v>
      </c>
      <c r="C592" s="47" t="s">
        <v>126</v>
      </c>
      <c r="D592" s="47" t="s">
        <v>7</v>
      </c>
      <c r="E592" s="47">
        <v>300</v>
      </c>
      <c r="F592" s="47">
        <v>243</v>
      </c>
    </row>
    <row r="593" spans="1:6" x14ac:dyDescent="0.3">
      <c r="A593" s="47">
        <v>90548</v>
      </c>
      <c r="B593" s="47">
        <v>78576000</v>
      </c>
      <c r="C593" s="47" t="s">
        <v>716</v>
      </c>
      <c r="D593" s="47" t="s">
        <v>7</v>
      </c>
      <c r="E593" s="47">
        <v>285</v>
      </c>
      <c r="F593" s="47">
        <v>134</v>
      </c>
    </row>
    <row r="594" spans="1:6" x14ac:dyDescent="0.3">
      <c r="A594" s="47">
        <v>90637</v>
      </c>
      <c r="B594" s="47">
        <v>118708000</v>
      </c>
      <c r="C594" s="47" t="s">
        <v>250</v>
      </c>
      <c r="D594" s="47" t="s">
        <v>20</v>
      </c>
      <c r="E594" s="47">
        <v>421</v>
      </c>
      <c r="F594" s="47">
        <v>247</v>
      </c>
    </row>
    <row r="595" spans="1:6" x14ac:dyDescent="0.3">
      <c r="A595" s="47">
        <v>90754</v>
      </c>
      <c r="B595" s="47">
        <v>108908000</v>
      </c>
      <c r="C595" s="47" t="s">
        <v>825</v>
      </c>
      <c r="D595" s="47" t="s">
        <v>9</v>
      </c>
      <c r="E595" s="47">
        <v>51</v>
      </c>
      <c r="F595" s="47">
        <v>42</v>
      </c>
    </row>
    <row r="596" spans="1:6" x14ac:dyDescent="0.3">
      <c r="A596" s="47">
        <v>90758</v>
      </c>
      <c r="B596" s="47">
        <v>78582000</v>
      </c>
      <c r="C596" s="47" t="s">
        <v>718</v>
      </c>
      <c r="D596" s="47" t="s">
        <v>7</v>
      </c>
      <c r="E596" s="47">
        <v>83</v>
      </c>
      <c r="F596" s="47">
        <v>37</v>
      </c>
    </row>
    <row r="597" spans="1:6" x14ac:dyDescent="0.3">
      <c r="A597" s="47">
        <v>90779</v>
      </c>
      <c r="B597" s="47">
        <v>78587000</v>
      </c>
      <c r="C597" s="47" t="s">
        <v>683</v>
      </c>
      <c r="D597" s="47" t="s">
        <v>7</v>
      </c>
      <c r="E597" s="47">
        <v>402</v>
      </c>
      <c r="F597" s="47">
        <v>160</v>
      </c>
    </row>
    <row r="598" spans="1:6" x14ac:dyDescent="0.3">
      <c r="A598" s="47">
        <v>90841</v>
      </c>
      <c r="B598" s="47">
        <v>78588000</v>
      </c>
      <c r="C598" s="47" t="s">
        <v>1266</v>
      </c>
      <c r="D598" s="47" t="s">
        <v>7</v>
      </c>
      <c r="E598" s="47">
        <v>758</v>
      </c>
      <c r="F598" s="47">
        <v>1</v>
      </c>
    </row>
    <row r="599" spans="1:6" x14ac:dyDescent="0.3">
      <c r="A599" s="47">
        <v>90842</v>
      </c>
      <c r="B599" s="47">
        <v>78589000</v>
      </c>
      <c r="C599" s="47" t="s">
        <v>1266</v>
      </c>
      <c r="D599" s="47" t="s">
        <v>7</v>
      </c>
      <c r="E599" s="47">
        <v>712</v>
      </c>
      <c r="F599" s="47">
        <v>0</v>
      </c>
    </row>
    <row r="600" spans="1:6" x14ac:dyDescent="0.3">
      <c r="A600" s="47">
        <v>90857</v>
      </c>
      <c r="B600" s="47">
        <v>78590000</v>
      </c>
      <c r="C600" s="47" t="s">
        <v>546</v>
      </c>
      <c r="D600" s="47" t="s">
        <v>7</v>
      </c>
      <c r="E600" s="47">
        <v>408</v>
      </c>
      <c r="F600" s="47">
        <v>0</v>
      </c>
    </row>
    <row r="601" spans="1:6" x14ac:dyDescent="0.3">
      <c r="A601" s="47">
        <v>90859</v>
      </c>
      <c r="B601" s="47">
        <v>78591000</v>
      </c>
      <c r="C601" s="47" t="s">
        <v>465</v>
      </c>
      <c r="D601" s="47" t="s">
        <v>7</v>
      </c>
      <c r="E601" s="47">
        <v>461</v>
      </c>
      <c r="F601" s="47">
        <v>2</v>
      </c>
    </row>
    <row r="602" spans="1:6" x14ac:dyDescent="0.3">
      <c r="A602" s="47">
        <v>90861</v>
      </c>
      <c r="B602" s="47">
        <v>78592000</v>
      </c>
      <c r="C602" s="47" t="s">
        <v>275</v>
      </c>
      <c r="D602" s="47" t="s">
        <v>7</v>
      </c>
      <c r="E602" s="47">
        <v>398</v>
      </c>
      <c r="F602" s="47">
        <v>311</v>
      </c>
    </row>
    <row r="603" spans="1:6" x14ac:dyDescent="0.3">
      <c r="A603" s="47">
        <v>90862</v>
      </c>
      <c r="B603" s="47">
        <v>38707000</v>
      </c>
      <c r="C603" s="47" t="s">
        <v>1266</v>
      </c>
      <c r="D603" s="47" t="s">
        <v>163</v>
      </c>
      <c r="E603" s="47">
        <v>560</v>
      </c>
      <c r="F603" s="47">
        <v>2</v>
      </c>
    </row>
    <row r="604" spans="1:6" x14ac:dyDescent="0.3">
      <c r="A604" s="47">
        <v>90876</v>
      </c>
      <c r="B604" s="47">
        <v>108735000</v>
      </c>
      <c r="C604" s="47" t="s">
        <v>835</v>
      </c>
      <c r="D604" s="47" t="s">
        <v>9</v>
      </c>
      <c r="E604" s="47">
        <v>58</v>
      </c>
      <c r="F604" s="47">
        <v>50</v>
      </c>
    </row>
    <row r="605" spans="1:6" x14ac:dyDescent="0.3">
      <c r="A605" s="47">
        <v>90878</v>
      </c>
      <c r="B605" s="47">
        <v>78242000</v>
      </c>
      <c r="C605" s="47" t="s">
        <v>10</v>
      </c>
      <c r="D605" s="47" t="s">
        <v>9</v>
      </c>
      <c r="E605" s="47">
        <v>298</v>
      </c>
      <c r="F605" s="47">
        <v>271</v>
      </c>
    </row>
    <row r="606" spans="1:6" x14ac:dyDescent="0.3">
      <c r="A606" s="47">
        <v>90879</v>
      </c>
      <c r="B606" s="47">
        <v>78584000</v>
      </c>
      <c r="C606" s="47" t="s">
        <v>493</v>
      </c>
      <c r="D606" s="47" t="s">
        <v>7</v>
      </c>
      <c r="E606" s="47">
        <v>357</v>
      </c>
      <c r="F606" s="47">
        <v>3</v>
      </c>
    </row>
    <row r="607" spans="1:6" x14ac:dyDescent="0.3">
      <c r="A607" s="47">
        <v>90884</v>
      </c>
      <c r="B607" s="47">
        <v>78585000</v>
      </c>
      <c r="C607" s="47" t="s">
        <v>719</v>
      </c>
      <c r="D607" s="47" t="s">
        <v>7</v>
      </c>
      <c r="E607" s="47">
        <v>278</v>
      </c>
      <c r="F607" s="47">
        <v>270</v>
      </c>
    </row>
    <row r="608" spans="1:6" x14ac:dyDescent="0.3">
      <c r="A608" s="47">
        <v>90885</v>
      </c>
      <c r="B608" s="47">
        <v>78586000</v>
      </c>
      <c r="C608" s="47" t="s">
        <v>541</v>
      </c>
      <c r="D608" s="47" t="s">
        <v>7</v>
      </c>
      <c r="E608" s="47">
        <v>386</v>
      </c>
      <c r="F608" s="47">
        <v>2</v>
      </c>
    </row>
    <row r="609" spans="1:6" x14ac:dyDescent="0.3">
      <c r="A609" s="47">
        <v>90894</v>
      </c>
      <c r="B609" s="47">
        <v>118709000</v>
      </c>
      <c r="C609" s="47" t="s">
        <v>516</v>
      </c>
      <c r="D609" s="47" t="s">
        <v>20</v>
      </c>
      <c r="E609" s="47">
        <v>47</v>
      </c>
      <c r="F609" s="47">
        <v>4</v>
      </c>
    </row>
    <row r="610" spans="1:6" x14ac:dyDescent="0.3">
      <c r="A610" s="47">
        <v>90900</v>
      </c>
      <c r="B610" s="47">
        <v>138503000</v>
      </c>
      <c r="C610" s="47" t="s">
        <v>862</v>
      </c>
      <c r="D610" s="47" t="s">
        <v>3</v>
      </c>
      <c r="E610" s="47">
        <v>98</v>
      </c>
      <c r="F610" s="47">
        <v>55</v>
      </c>
    </row>
    <row r="611" spans="1:6" x14ac:dyDescent="0.3">
      <c r="A611" s="47">
        <v>90906</v>
      </c>
      <c r="B611" s="47">
        <v>78594000</v>
      </c>
      <c r="C611" s="47" t="s">
        <v>1290</v>
      </c>
      <c r="D611" s="47" t="s">
        <v>7</v>
      </c>
      <c r="E611" s="47">
        <v>456</v>
      </c>
      <c r="F611" s="47">
        <v>255</v>
      </c>
    </row>
    <row r="612" spans="1:6" x14ac:dyDescent="0.3">
      <c r="A612" s="47">
        <v>90915</v>
      </c>
      <c r="B612" s="47">
        <v>78595000</v>
      </c>
      <c r="C612" s="47" t="s">
        <v>1269</v>
      </c>
      <c r="D612" s="47" t="s">
        <v>7</v>
      </c>
      <c r="E612" s="47">
        <v>545</v>
      </c>
      <c r="F612" s="47">
        <v>0</v>
      </c>
    </row>
    <row r="613" spans="1:6" x14ac:dyDescent="0.3">
      <c r="A613" s="47">
        <v>90916</v>
      </c>
      <c r="B613" s="47">
        <v>78596000</v>
      </c>
      <c r="C613" s="47" t="s">
        <v>545</v>
      </c>
      <c r="D613" s="47" t="s">
        <v>7</v>
      </c>
      <c r="E613" s="47">
        <v>539</v>
      </c>
      <c r="F613" s="47">
        <v>1</v>
      </c>
    </row>
    <row r="614" spans="1:6" x14ac:dyDescent="0.3">
      <c r="A614" s="47">
        <v>90917</v>
      </c>
      <c r="B614" s="47">
        <v>78597000</v>
      </c>
      <c r="C614" s="47" t="s">
        <v>549</v>
      </c>
      <c r="D614" s="47" t="s">
        <v>7</v>
      </c>
      <c r="E614" s="47">
        <v>520</v>
      </c>
      <c r="F614" s="47">
        <v>5</v>
      </c>
    </row>
    <row r="615" spans="1:6" x14ac:dyDescent="0.3">
      <c r="A615" s="47">
        <v>90997</v>
      </c>
      <c r="B615" s="47">
        <v>108602000</v>
      </c>
      <c r="C615" s="47" t="s">
        <v>818</v>
      </c>
      <c r="D615" s="47" t="s">
        <v>9</v>
      </c>
      <c r="E615" s="47">
        <v>166</v>
      </c>
      <c r="F615" s="47">
        <v>149</v>
      </c>
    </row>
    <row r="616" spans="1:6" x14ac:dyDescent="0.3">
      <c r="A616" s="47">
        <v>91053</v>
      </c>
      <c r="B616" s="47">
        <v>78598000</v>
      </c>
      <c r="C616" s="47" t="s">
        <v>721</v>
      </c>
      <c r="D616" s="47" t="s">
        <v>7</v>
      </c>
      <c r="E616" s="47">
        <v>154</v>
      </c>
      <c r="F616" s="47">
        <v>0</v>
      </c>
    </row>
    <row r="617" spans="1:6" x14ac:dyDescent="0.3">
      <c r="A617" s="47">
        <v>91108</v>
      </c>
      <c r="B617" s="47">
        <v>78599000</v>
      </c>
      <c r="C617" s="47" t="s">
        <v>394</v>
      </c>
      <c r="D617" s="47" t="s">
        <v>7</v>
      </c>
      <c r="E617" s="47">
        <v>293</v>
      </c>
      <c r="F617" s="47">
        <v>229</v>
      </c>
    </row>
    <row r="618" spans="1:6" x14ac:dyDescent="0.3">
      <c r="A618" s="47">
        <v>91110</v>
      </c>
      <c r="B618" s="47">
        <v>78243000</v>
      </c>
      <c r="C618" s="47" t="s">
        <v>479</v>
      </c>
      <c r="D618" s="47" t="s">
        <v>7</v>
      </c>
      <c r="E618" s="47">
        <v>76</v>
      </c>
      <c r="F618" s="47">
        <v>0</v>
      </c>
    </row>
    <row r="619" spans="1:6" x14ac:dyDescent="0.3">
      <c r="A619" s="47">
        <v>91131</v>
      </c>
      <c r="B619" s="47">
        <v>138785000</v>
      </c>
      <c r="C619" s="47" t="s">
        <v>683</v>
      </c>
      <c r="D619" s="47" t="s">
        <v>3</v>
      </c>
      <c r="E619" s="47">
        <v>172</v>
      </c>
      <c r="F619" s="47">
        <v>60</v>
      </c>
    </row>
    <row r="620" spans="1:6" x14ac:dyDescent="0.3">
      <c r="A620" s="47">
        <v>91133</v>
      </c>
      <c r="B620" s="47">
        <v>118711000</v>
      </c>
      <c r="C620" s="47" t="s">
        <v>57</v>
      </c>
      <c r="D620" s="47" t="s">
        <v>20</v>
      </c>
      <c r="E620" s="47">
        <v>1201</v>
      </c>
      <c r="F620" s="47">
        <v>115</v>
      </c>
    </row>
    <row r="621" spans="1:6" x14ac:dyDescent="0.3">
      <c r="A621" s="47">
        <v>91135</v>
      </c>
      <c r="B621" s="47">
        <v>118712000</v>
      </c>
      <c r="C621" s="47" t="s">
        <v>505</v>
      </c>
      <c r="D621" s="47" t="s">
        <v>20</v>
      </c>
      <c r="E621" s="47">
        <v>1209</v>
      </c>
      <c r="F621" s="47">
        <v>477</v>
      </c>
    </row>
    <row r="622" spans="1:6" x14ac:dyDescent="0.3">
      <c r="A622" s="47">
        <v>91137</v>
      </c>
      <c r="B622" s="47">
        <v>118713000</v>
      </c>
      <c r="C622" s="47" t="s">
        <v>503</v>
      </c>
      <c r="D622" s="47" t="s">
        <v>20</v>
      </c>
      <c r="E622" s="47">
        <v>1230</v>
      </c>
      <c r="F622" s="47">
        <v>278</v>
      </c>
    </row>
    <row r="623" spans="1:6" x14ac:dyDescent="0.3">
      <c r="A623" s="47">
        <v>91170</v>
      </c>
      <c r="B623" s="47">
        <v>78202000</v>
      </c>
      <c r="C623" s="47" t="s">
        <v>1260</v>
      </c>
      <c r="D623" s="47" t="s">
        <v>7</v>
      </c>
      <c r="E623" s="47">
        <v>321</v>
      </c>
      <c r="F623" s="47">
        <v>244</v>
      </c>
    </row>
    <row r="624" spans="1:6" x14ac:dyDescent="0.3">
      <c r="A624" s="47">
        <v>91174</v>
      </c>
      <c r="B624" s="47">
        <v>78101000</v>
      </c>
      <c r="C624" s="47" t="s">
        <v>248</v>
      </c>
      <c r="D624" s="47" t="s">
        <v>20</v>
      </c>
      <c r="E624" s="47">
        <v>377</v>
      </c>
      <c r="F624" s="47">
        <v>172</v>
      </c>
    </row>
    <row r="625" spans="1:6" x14ac:dyDescent="0.3">
      <c r="A625" s="47">
        <v>91237</v>
      </c>
      <c r="B625" s="47">
        <v>108511000</v>
      </c>
      <c r="C625" s="47" t="s">
        <v>1289</v>
      </c>
      <c r="D625" s="47" t="s">
        <v>9</v>
      </c>
      <c r="E625" s="47">
        <v>20</v>
      </c>
      <c r="F625" s="47">
        <v>20</v>
      </c>
    </row>
    <row r="626" spans="1:6" x14ac:dyDescent="0.3">
      <c r="A626" s="47">
        <v>91238</v>
      </c>
      <c r="B626" s="47">
        <v>108512000</v>
      </c>
      <c r="C626" s="47" t="s">
        <v>817</v>
      </c>
      <c r="D626" s="47" t="s">
        <v>9</v>
      </c>
      <c r="E626" s="47">
        <v>134</v>
      </c>
      <c r="F626" s="47">
        <v>79</v>
      </c>
    </row>
    <row r="627" spans="1:6" x14ac:dyDescent="0.3">
      <c r="A627" s="47">
        <v>91250</v>
      </c>
      <c r="B627" s="47">
        <v>78206000</v>
      </c>
      <c r="C627" s="47" t="s">
        <v>667</v>
      </c>
      <c r="D627" s="47" t="s">
        <v>7</v>
      </c>
      <c r="E627" s="47">
        <v>577</v>
      </c>
      <c r="F627" s="47">
        <v>478</v>
      </c>
    </row>
    <row r="628" spans="1:6" x14ac:dyDescent="0.3">
      <c r="A628" s="47">
        <v>91275</v>
      </c>
      <c r="B628" s="47">
        <v>78204000</v>
      </c>
      <c r="C628" s="47" t="s">
        <v>513</v>
      </c>
      <c r="D628" s="47" t="s">
        <v>7</v>
      </c>
      <c r="E628" s="47">
        <v>173</v>
      </c>
      <c r="F628" s="47">
        <v>171</v>
      </c>
    </row>
    <row r="629" spans="1:6" x14ac:dyDescent="0.3">
      <c r="A629" s="47">
        <v>91277</v>
      </c>
      <c r="B629" s="47">
        <v>78401000</v>
      </c>
      <c r="C629" s="47" t="s">
        <v>158</v>
      </c>
      <c r="D629" s="47" t="s">
        <v>7</v>
      </c>
      <c r="E629" s="47">
        <v>531</v>
      </c>
      <c r="F629" s="47">
        <v>504</v>
      </c>
    </row>
    <row r="630" spans="1:6" x14ac:dyDescent="0.3">
      <c r="A630" s="47">
        <v>91279</v>
      </c>
      <c r="B630" s="47">
        <v>108401000</v>
      </c>
      <c r="C630" s="47" t="s">
        <v>1288</v>
      </c>
      <c r="D630" s="47" t="s">
        <v>9</v>
      </c>
      <c r="E630" s="47">
        <v>43</v>
      </c>
      <c r="F630" s="47">
        <v>43</v>
      </c>
    </row>
    <row r="631" spans="1:6" x14ac:dyDescent="0.3">
      <c r="A631" s="47">
        <v>91280</v>
      </c>
      <c r="B631" s="47">
        <v>78403000</v>
      </c>
      <c r="C631" s="47" t="s">
        <v>1266</v>
      </c>
      <c r="D631" s="47" t="s">
        <v>7</v>
      </c>
      <c r="E631" s="47">
        <v>744</v>
      </c>
      <c r="F631" s="47">
        <v>1</v>
      </c>
    </row>
    <row r="632" spans="1:6" x14ac:dyDescent="0.3">
      <c r="A632" s="47">
        <v>91301</v>
      </c>
      <c r="B632" s="47">
        <v>72124000</v>
      </c>
      <c r="C632" s="47" t="s">
        <v>640</v>
      </c>
      <c r="D632" s="47" t="s">
        <v>7</v>
      </c>
      <c r="E632" s="47">
        <v>3</v>
      </c>
      <c r="F632" s="47">
        <v>0</v>
      </c>
    </row>
    <row r="633" spans="1:6" x14ac:dyDescent="0.3">
      <c r="A633" s="47">
        <v>91303</v>
      </c>
      <c r="B633" s="47">
        <v>78207000</v>
      </c>
      <c r="C633" s="47" t="s">
        <v>56</v>
      </c>
      <c r="D633" s="47" t="s">
        <v>7</v>
      </c>
      <c r="E633" s="47">
        <v>310</v>
      </c>
      <c r="F633" s="47">
        <v>216</v>
      </c>
    </row>
    <row r="634" spans="1:6" x14ac:dyDescent="0.3">
      <c r="A634" s="47">
        <v>91305</v>
      </c>
      <c r="B634" s="47">
        <v>78208000</v>
      </c>
      <c r="C634" s="47" t="s">
        <v>56</v>
      </c>
      <c r="D634" s="47" t="s">
        <v>7</v>
      </c>
      <c r="E634" s="47">
        <v>161</v>
      </c>
      <c r="F634" s="47">
        <v>22</v>
      </c>
    </row>
    <row r="635" spans="1:6" x14ac:dyDescent="0.3">
      <c r="A635" s="47">
        <v>91307</v>
      </c>
      <c r="B635" s="47">
        <v>78205000</v>
      </c>
      <c r="C635" s="47" t="s">
        <v>56</v>
      </c>
      <c r="D635" s="47" t="s">
        <v>7</v>
      </c>
      <c r="E635" s="47">
        <v>374</v>
      </c>
      <c r="F635" s="47">
        <v>55</v>
      </c>
    </row>
    <row r="636" spans="1:6" x14ac:dyDescent="0.3">
      <c r="A636" s="47">
        <v>91309</v>
      </c>
      <c r="B636" s="47">
        <v>108737000</v>
      </c>
      <c r="C636" s="47" t="s">
        <v>1266</v>
      </c>
      <c r="D636" s="47" t="s">
        <v>9</v>
      </c>
      <c r="E636" s="47">
        <v>923</v>
      </c>
      <c r="F636" s="47">
        <v>2</v>
      </c>
    </row>
    <row r="637" spans="1:6" x14ac:dyDescent="0.3">
      <c r="A637" s="47">
        <v>91317</v>
      </c>
      <c r="B637" s="47">
        <v>78209000</v>
      </c>
      <c r="C637" s="47" t="s">
        <v>480</v>
      </c>
      <c r="D637" s="47" t="s">
        <v>7</v>
      </c>
      <c r="E637" s="47">
        <v>634</v>
      </c>
      <c r="F637" s="47">
        <v>3</v>
      </c>
    </row>
    <row r="638" spans="1:6" x14ac:dyDescent="0.3">
      <c r="A638" s="47">
        <v>91326</v>
      </c>
      <c r="B638" s="47">
        <v>78210000</v>
      </c>
      <c r="C638" s="47" t="s">
        <v>512</v>
      </c>
      <c r="D638" s="47" t="s">
        <v>7</v>
      </c>
      <c r="E638" s="47">
        <v>289</v>
      </c>
      <c r="F638" s="47">
        <v>154</v>
      </c>
    </row>
    <row r="639" spans="1:6" x14ac:dyDescent="0.3">
      <c r="A639" s="47">
        <v>91328</v>
      </c>
      <c r="B639" s="47">
        <v>78230000</v>
      </c>
      <c r="C639" s="47" t="s">
        <v>226</v>
      </c>
      <c r="D639" s="47" t="s">
        <v>7</v>
      </c>
      <c r="E639" s="47">
        <v>237</v>
      </c>
      <c r="F639" s="47">
        <v>149</v>
      </c>
    </row>
    <row r="640" spans="1:6" x14ac:dyDescent="0.3">
      <c r="A640" s="47">
        <v>91329</v>
      </c>
      <c r="B640" s="47">
        <v>78240000</v>
      </c>
      <c r="C640" s="47" t="s">
        <v>225</v>
      </c>
      <c r="D640" s="47" t="s">
        <v>7</v>
      </c>
      <c r="E640" s="47">
        <v>58</v>
      </c>
      <c r="F640" s="47">
        <v>50</v>
      </c>
    </row>
    <row r="641" spans="1:6" x14ac:dyDescent="0.3">
      <c r="A641" s="47">
        <v>91330</v>
      </c>
      <c r="B641" s="47">
        <v>78211000</v>
      </c>
      <c r="C641" s="47" t="s">
        <v>536</v>
      </c>
      <c r="D641" s="47" t="s">
        <v>7</v>
      </c>
      <c r="E641" s="47">
        <v>64</v>
      </c>
      <c r="F641" s="47">
        <v>25</v>
      </c>
    </row>
    <row r="642" spans="1:6" x14ac:dyDescent="0.3">
      <c r="A642" s="47">
        <v>91339</v>
      </c>
      <c r="B642" s="47">
        <v>78212000</v>
      </c>
      <c r="C642" s="47" t="s">
        <v>1266</v>
      </c>
      <c r="D642" s="47" t="s">
        <v>7</v>
      </c>
      <c r="E642" s="47">
        <v>768</v>
      </c>
      <c r="F642" s="47">
        <v>3</v>
      </c>
    </row>
    <row r="643" spans="1:6" x14ac:dyDescent="0.3">
      <c r="A643" s="47">
        <v>91340</v>
      </c>
      <c r="B643" s="47">
        <v>78213000</v>
      </c>
      <c r="C643" s="47" t="s">
        <v>468</v>
      </c>
      <c r="D643" s="47" t="s">
        <v>7</v>
      </c>
      <c r="E643" s="47">
        <v>42</v>
      </c>
      <c r="F643" s="47">
        <v>0</v>
      </c>
    </row>
    <row r="644" spans="1:6" x14ac:dyDescent="0.3">
      <c r="A644" s="47">
        <v>91383</v>
      </c>
      <c r="B644" s="47">
        <v>72152000</v>
      </c>
      <c r="C644" s="47" t="s">
        <v>651</v>
      </c>
      <c r="D644" s="47" t="s">
        <v>7</v>
      </c>
      <c r="E644" s="47">
        <v>10</v>
      </c>
      <c r="F644" s="47">
        <v>3</v>
      </c>
    </row>
    <row r="645" spans="1:6" x14ac:dyDescent="0.3">
      <c r="A645" s="47">
        <v>91758</v>
      </c>
      <c r="B645" s="47">
        <v>78214000</v>
      </c>
      <c r="C645" s="47" t="s">
        <v>547</v>
      </c>
      <c r="D645" s="47" t="s">
        <v>7</v>
      </c>
      <c r="E645" s="47">
        <v>500</v>
      </c>
      <c r="F645" s="47">
        <v>1</v>
      </c>
    </row>
    <row r="646" spans="1:6" x14ac:dyDescent="0.3">
      <c r="A646" s="47">
        <v>91763</v>
      </c>
      <c r="B646" s="47">
        <v>78215000</v>
      </c>
      <c r="C646" s="47" t="s">
        <v>508</v>
      </c>
      <c r="D646" s="47" t="s">
        <v>7</v>
      </c>
      <c r="E646" s="47">
        <v>876</v>
      </c>
      <c r="F646" s="47">
        <v>303</v>
      </c>
    </row>
    <row r="647" spans="1:6" x14ac:dyDescent="0.3">
      <c r="A647" s="47">
        <v>91773</v>
      </c>
      <c r="B647" s="47">
        <v>108909000</v>
      </c>
      <c r="C647" s="47" t="s">
        <v>848</v>
      </c>
      <c r="D647" s="47" t="s">
        <v>9</v>
      </c>
      <c r="E647" s="47">
        <v>97</v>
      </c>
      <c r="F647" s="47">
        <v>76</v>
      </c>
    </row>
    <row r="648" spans="1:6" x14ac:dyDescent="0.3">
      <c r="A648" s="47">
        <v>91808</v>
      </c>
      <c r="B648" s="47">
        <v>72177000</v>
      </c>
      <c r="C648" s="47" t="s">
        <v>1287</v>
      </c>
      <c r="D648" s="47" t="s">
        <v>7</v>
      </c>
      <c r="E648" s="47">
        <v>1</v>
      </c>
      <c r="F648" s="47">
        <v>0</v>
      </c>
    </row>
    <row r="649" spans="1:6" x14ac:dyDescent="0.3">
      <c r="A649" s="47">
        <v>91827</v>
      </c>
      <c r="B649" s="47">
        <v>72617000</v>
      </c>
      <c r="C649" s="47" t="s">
        <v>663</v>
      </c>
      <c r="D649" s="47" t="s">
        <v>7</v>
      </c>
      <c r="E649" s="47">
        <v>3</v>
      </c>
      <c r="F649" s="47">
        <v>0</v>
      </c>
    </row>
    <row r="650" spans="1:6" x14ac:dyDescent="0.3">
      <c r="A650" s="47">
        <v>91877</v>
      </c>
      <c r="B650" s="47">
        <v>72128000</v>
      </c>
      <c r="C650" s="47" t="s">
        <v>642</v>
      </c>
      <c r="D650" s="47" t="s">
        <v>7</v>
      </c>
      <c r="E650" s="47">
        <v>8</v>
      </c>
      <c r="F650" s="47">
        <v>2</v>
      </c>
    </row>
    <row r="651" spans="1:6" x14ac:dyDescent="0.3">
      <c r="A651" s="47">
        <v>91878</v>
      </c>
      <c r="B651" s="47">
        <v>78406000</v>
      </c>
      <c r="C651" s="47" t="s">
        <v>548</v>
      </c>
      <c r="D651" s="47" t="s">
        <v>7</v>
      </c>
      <c r="E651" s="47">
        <v>532</v>
      </c>
      <c r="F651" s="47">
        <v>0</v>
      </c>
    </row>
    <row r="652" spans="1:6" x14ac:dyDescent="0.3">
      <c r="A652" s="47">
        <v>91933</v>
      </c>
      <c r="B652" s="47">
        <v>78217000</v>
      </c>
      <c r="C652" s="47" t="s">
        <v>405</v>
      </c>
      <c r="D652" s="47" t="s">
        <v>7</v>
      </c>
      <c r="E652" s="47">
        <v>175</v>
      </c>
      <c r="F652" s="47">
        <v>166</v>
      </c>
    </row>
    <row r="653" spans="1:6" x14ac:dyDescent="0.3">
      <c r="A653" s="47">
        <v>91934</v>
      </c>
      <c r="B653" s="47">
        <v>78218000</v>
      </c>
      <c r="C653" s="47" t="s">
        <v>92</v>
      </c>
      <c r="D653" s="47" t="s">
        <v>7</v>
      </c>
      <c r="E653" s="47">
        <v>192</v>
      </c>
      <c r="F653" s="47">
        <v>186</v>
      </c>
    </row>
    <row r="654" spans="1:6" x14ac:dyDescent="0.3">
      <c r="A654" s="47">
        <v>91935</v>
      </c>
      <c r="B654" s="47">
        <v>78219000</v>
      </c>
      <c r="C654" s="47" t="s">
        <v>266</v>
      </c>
      <c r="D654" s="47" t="s">
        <v>7</v>
      </c>
      <c r="E654" s="47">
        <v>254</v>
      </c>
      <c r="F654" s="47">
        <v>137</v>
      </c>
    </row>
    <row r="655" spans="1:6" x14ac:dyDescent="0.3">
      <c r="A655" s="47">
        <v>91937</v>
      </c>
      <c r="B655" s="47">
        <v>78221000</v>
      </c>
      <c r="C655" s="47" t="s">
        <v>439</v>
      </c>
      <c r="D655" s="47" t="s">
        <v>7</v>
      </c>
      <c r="E655" s="47">
        <v>391</v>
      </c>
      <c r="F655" s="47">
        <v>368</v>
      </c>
    </row>
    <row r="656" spans="1:6" x14ac:dyDescent="0.3">
      <c r="A656" s="47">
        <v>91938</v>
      </c>
      <c r="B656" s="47">
        <v>78222000</v>
      </c>
      <c r="C656" s="47" t="s">
        <v>1261</v>
      </c>
      <c r="D656" s="47" t="s">
        <v>7</v>
      </c>
      <c r="E656" s="47">
        <v>219</v>
      </c>
      <c r="F656" s="47">
        <v>204</v>
      </c>
    </row>
    <row r="657" spans="1:6" x14ac:dyDescent="0.3">
      <c r="A657" s="47">
        <v>91939</v>
      </c>
      <c r="B657" s="47">
        <v>78223000</v>
      </c>
      <c r="C657" s="47" t="s">
        <v>1286</v>
      </c>
      <c r="D657" s="47" t="s">
        <v>7</v>
      </c>
      <c r="E657" s="47">
        <v>169</v>
      </c>
      <c r="F657" s="47">
        <v>157</v>
      </c>
    </row>
    <row r="658" spans="1:6" x14ac:dyDescent="0.3">
      <c r="A658" s="47">
        <v>91948</v>
      </c>
      <c r="B658" s="47">
        <v>78224000</v>
      </c>
      <c r="C658" s="47" t="s">
        <v>432</v>
      </c>
      <c r="D658" s="47" t="s">
        <v>7</v>
      </c>
      <c r="E658" s="47">
        <v>168</v>
      </c>
      <c r="F658" s="47">
        <v>161</v>
      </c>
    </row>
    <row r="659" spans="1:6" x14ac:dyDescent="0.3">
      <c r="A659" s="47">
        <v>91949</v>
      </c>
      <c r="B659" s="47">
        <v>78225000</v>
      </c>
      <c r="C659" s="47" t="s">
        <v>1266</v>
      </c>
      <c r="D659" s="47" t="s">
        <v>7</v>
      </c>
      <c r="E659" s="47">
        <v>663</v>
      </c>
      <c r="F659" s="47">
        <v>4</v>
      </c>
    </row>
    <row r="660" spans="1:6" x14ac:dyDescent="0.3">
      <c r="A660" s="47">
        <v>91958</v>
      </c>
      <c r="B660" s="47">
        <v>78226000</v>
      </c>
      <c r="C660" s="47" t="s">
        <v>669</v>
      </c>
      <c r="D660" s="47" t="s">
        <v>7</v>
      </c>
      <c r="E660" s="47">
        <v>107</v>
      </c>
      <c r="F660" s="47">
        <v>86</v>
      </c>
    </row>
    <row r="661" spans="1:6" x14ac:dyDescent="0.3">
      <c r="A661" s="47">
        <v>91992</v>
      </c>
      <c r="B661" s="47">
        <v>108227000</v>
      </c>
      <c r="C661" s="47" t="s">
        <v>813</v>
      </c>
      <c r="D661" s="47" t="s">
        <v>9</v>
      </c>
      <c r="E661" s="47">
        <v>72</v>
      </c>
      <c r="F661" s="47">
        <v>63</v>
      </c>
    </row>
    <row r="662" spans="1:6" x14ac:dyDescent="0.3">
      <c r="A662" s="47">
        <v>92043</v>
      </c>
      <c r="B662" s="47">
        <v>78228000</v>
      </c>
      <c r="C662" s="47" t="s">
        <v>396</v>
      </c>
      <c r="D662" s="47" t="s">
        <v>7</v>
      </c>
      <c r="E662" s="47">
        <v>147</v>
      </c>
      <c r="F662" s="47">
        <v>123</v>
      </c>
    </row>
    <row r="663" spans="1:6" x14ac:dyDescent="0.3">
      <c r="A663" s="47">
        <v>92047</v>
      </c>
      <c r="B663" s="47">
        <v>78229000</v>
      </c>
      <c r="C663" s="47" t="s">
        <v>504</v>
      </c>
      <c r="D663" s="47" t="s">
        <v>7</v>
      </c>
      <c r="E663" s="47">
        <v>1061</v>
      </c>
      <c r="F663" s="47">
        <v>183</v>
      </c>
    </row>
    <row r="664" spans="1:6" x14ac:dyDescent="0.3">
      <c r="A664" s="47">
        <v>92049</v>
      </c>
      <c r="B664" s="47">
        <v>108403000</v>
      </c>
      <c r="C664" s="47" t="s">
        <v>814</v>
      </c>
      <c r="D664" s="47" t="s">
        <v>9</v>
      </c>
      <c r="E664" s="47">
        <v>92</v>
      </c>
      <c r="F664" s="47">
        <v>60</v>
      </c>
    </row>
    <row r="665" spans="1:6" x14ac:dyDescent="0.3">
      <c r="A665" s="47">
        <v>92191</v>
      </c>
      <c r="B665" s="47">
        <v>72129000</v>
      </c>
      <c r="C665" s="47" t="s">
        <v>1256</v>
      </c>
      <c r="D665" s="47" t="s">
        <v>7</v>
      </c>
      <c r="E665" s="47">
        <v>5</v>
      </c>
      <c r="F665" s="47">
        <v>3</v>
      </c>
    </row>
    <row r="666" spans="1:6" x14ac:dyDescent="0.3">
      <c r="A666" s="47">
        <v>92199</v>
      </c>
      <c r="B666" s="47">
        <v>78245000</v>
      </c>
      <c r="C666" s="47" t="s">
        <v>506</v>
      </c>
      <c r="D666" s="47" t="s">
        <v>7</v>
      </c>
      <c r="E666" s="47">
        <v>1087</v>
      </c>
      <c r="F666" s="47">
        <v>492</v>
      </c>
    </row>
    <row r="667" spans="1:6" x14ac:dyDescent="0.3">
      <c r="A667" s="47">
        <v>92226</v>
      </c>
      <c r="B667" s="47">
        <v>78246000</v>
      </c>
      <c r="C667" s="47" t="s">
        <v>672</v>
      </c>
      <c r="D667" s="47" t="s">
        <v>7</v>
      </c>
      <c r="E667" s="47">
        <v>1056</v>
      </c>
      <c r="F667" s="47">
        <v>521</v>
      </c>
    </row>
    <row r="668" spans="1:6" x14ac:dyDescent="0.3">
      <c r="A668" s="47">
        <v>92250</v>
      </c>
      <c r="B668" s="47">
        <v>78103000</v>
      </c>
      <c r="C668" s="47" t="s">
        <v>159</v>
      </c>
      <c r="D668" s="47" t="s">
        <v>7</v>
      </c>
      <c r="E668" s="47">
        <v>540</v>
      </c>
      <c r="F668" s="47">
        <v>540</v>
      </c>
    </row>
    <row r="669" spans="1:6" x14ac:dyDescent="0.3">
      <c r="A669" s="47">
        <v>92253</v>
      </c>
      <c r="B669" s="47">
        <v>72132000</v>
      </c>
      <c r="C669" s="47" t="s">
        <v>643</v>
      </c>
      <c r="D669" s="47" t="s">
        <v>7</v>
      </c>
      <c r="E669" s="47">
        <v>8</v>
      </c>
      <c r="F669" s="47">
        <v>0</v>
      </c>
    </row>
    <row r="670" spans="1:6" x14ac:dyDescent="0.3">
      <c r="A670" s="47">
        <v>92302</v>
      </c>
      <c r="B670" s="47">
        <v>88705000</v>
      </c>
      <c r="C670" s="47" t="s">
        <v>804</v>
      </c>
      <c r="D670" s="47" t="s">
        <v>5</v>
      </c>
      <c r="E670" s="47">
        <v>207</v>
      </c>
      <c r="F670" s="47">
        <v>98</v>
      </c>
    </row>
    <row r="671" spans="1:6" x14ac:dyDescent="0.3">
      <c r="A671" s="47">
        <v>92312</v>
      </c>
      <c r="B671" s="47">
        <v>78247000</v>
      </c>
      <c r="C671" s="47" t="s">
        <v>673</v>
      </c>
      <c r="D671" s="47" t="s">
        <v>7</v>
      </c>
      <c r="E671" s="47">
        <v>539</v>
      </c>
      <c r="F671" s="47">
        <v>0</v>
      </c>
    </row>
    <row r="672" spans="1:6" x14ac:dyDescent="0.3">
      <c r="A672" s="47">
        <v>92314</v>
      </c>
      <c r="B672" s="47">
        <v>78248000</v>
      </c>
      <c r="C672" s="47" t="s">
        <v>674</v>
      </c>
      <c r="D672" s="47" t="s">
        <v>7</v>
      </c>
      <c r="E672" s="47">
        <v>524</v>
      </c>
      <c r="F672" s="47">
        <v>0</v>
      </c>
    </row>
    <row r="673" spans="1:6" x14ac:dyDescent="0.3">
      <c r="A673" s="47">
        <v>92316</v>
      </c>
      <c r="B673" s="47">
        <v>78249000</v>
      </c>
      <c r="C673" s="47" t="s">
        <v>675</v>
      </c>
      <c r="D673" s="47" t="s">
        <v>7</v>
      </c>
      <c r="E673" s="47">
        <v>316</v>
      </c>
      <c r="F673" s="47">
        <v>1</v>
      </c>
    </row>
    <row r="674" spans="1:6" x14ac:dyDescent="0.3">
      <c r="A674" s="47">
        <v>92318</v>
      </c>
      <c r="B674" s="47">
        <v>108404000</v>
      </c>
      <c r="C674" s="47" t="s">
        <v>1266</v>
      </c>
      <c r="D674" s="47" t="s">
        <v>9</v>
      </c>
      <c r="E674" s="47">
        <v>768</v>
      </c>
      <c r="F674" s="47">
        <v>3</v>
      </c>
    </row>
    <row r="675" spans="1:6" x14ac:dyDescent="0.3">
      <c r="A675" s="47">
        <v>92320</v>
      </c>
      <c r="B675" s="47">
        <v>138786000</v>
      </c>
      <c r="C675" s="47" t="s">
        <v>1266</v>
      </c>
      <c r="D675" s="47" t="s">
        <v>3</v>
      </c>
      <c r="E675" s="47">
        <v>742</v>
      </c>
      <c r="F675" s="47">
        <v>11</v>
      </c>
    </row>
    <row r="676" spans="1:6" x14ac:dyDescent="0.3">
      <c r="A676" s="47">
        <v>92325</v>
      </c>
      <c r="B676" s="47">
        <v>78250000</v>
      </c>
      <c r="C676" s="47" t="s">
        <v>56</v>
      </c>
      <c r="D676" s="47" t="s">
        <v>7</v>
      </c>
      <c r="E676" s="47">
        <v>359</v>
      </c>
      <c r="F676" s="47">
        <v>259</v>
      </c>
    </row>
    <row r="677" spans="1:6" x14ac:dyDescent="0.3">
      <c r="A677" s="47">
        <v>92327</v>
      </c>
      <c r="B677" s="47">
        <v>78251000</v>
      </c>
      <c r="C677" s="47" t="s">
        <v>56</v>
      </c>
      <c r="D677" s="47" t="s">
        <v>7</v>
      </c>
      <c r="E677" s="47">
        <v>300</v>
      </c>
      <c r="F677" s="47">
        <v>58</v>
      </c>
    </row>
    <row r="678" spans="1:6" x14ac:dyDescent="0.3">
      <c r="A678" s="47">
        <v>92349</v>
      </c>
      <c r="B678" s="47">
        <v>78231000</v>
      </c>
      <c r="C678" s="47" t="s">
        <v>1266</v>
      </c>
      <c r="D678" s="47" t="s">
        <v>7</v>
      </c>
      <c r="E678" s="47">
        <v>863</v>
      </c>
      <c r="F678" s="47">
        <v>12</v>
      </c>
    </row>
    <row r="679" spans="1:6" x14ac:dyDescent="0.3">
      <c r="A679" s="47">
        <v>92367</v>
      </c>
      <c r="B679" s="47">
        <v>72172000</v>
      </c>
      <c r="C679" s="47" t="s">
        <v>658</v>
      </c>
      <c r="D679" s="47" t="s">
        <v>7</v>
      </c>
      <c r="E679" s="47">
        <v>2</v>
      </c>
      <c r="F679" s="47">
        <v>0</v>
      </c>
    </row>
    <row r="680" spans="1:6" x14ac:dyDescent="0.3">
      <c r="A680" s="47">
        <v>92369</v>
      </c>
      <c r="B680" s="47">
        <v>78253000</v>
      </c>
      <c r="C680" s="47" t="s">
        <v>1264</v>
      </c>
      <c r="D680" s="47" t="s">
        <v>7</v>
      </c>
      <c r="E680" s="47">
        <v>86</v>
      </c>
      <c r="F680" s="47">
        <v>86</v>
      </c>
    </row>
    <row r="681" spans="1:6" x14ac:dyDescent="0.3">
      <c r="A681" s="47">
        <v>92374</v>
      </c>
      <c r="B681" s="47">
        <v>78261000</v>
      </c>
      <c r="C681" s="47" t="s">
        <v>305</v>
      </c>
      <c r="D681" s="47" t="s">
        <v>7</v>
      </c>
      <c r="E681" s="47">
        <v>401</v>
      </c>
      <c r="F681" s="47">
        <v>255</v>
      </c>
    </row>
    <row r="682" spans="1:6" x14ac:dyDescent="0.3">
      <c r="A682" s="47">
        <v>92379</v>
      </c>
      <c r="B682" s="47">
        <v>78254000</v>
      </c>
      <c r="C682" s="47" t="s">
        <v>1252</v>
      </c>
      <c r="D682" s="47" t="s">
        <v>7</v>
      </c>
      <c r="E682" s="47">
        <v>103</v>
      </c>
      <c r="F682" s="47">
        <v>98</v>
      </c>
    </row>
    <row r="683" spans="1:6" x14ac:dyDescent="0.3">
      <c r="A683" s="47">
        <v>92381</v>
      </c>
      <c r="B683" s="47">
        <v>78256000</v>
      </c>
      <c r="C683" s="47" t="s">
        <v>1254</v>
      </c>
      <c r="D683" s="47" t="s">
        <v>7</v>
      </c>
      <c r="E683" s="47">
        <v>174</v>
      </c>
      <c r="F683" s="47">
        <v>167</v>
      </c>
    </row>
    <row r="684" spans="1:6" x14ac:dyDescent="0.3">
      <c r="A684" s="47">
        <v>92499</v>
      </c>
      <c r="B684" s="47">
        <v>108513000</v>
      </c>
      <c r="C684" s="47" t="s">
        <v>216</v>
      </c>
      <c r="D684" s="47" t="s">
        <v>9</v>
      </c>
      <c r="E684" s="47">
        <v>201</v>
      </c>
      <c r="F684" s="47">
        <v>173</v>
      </c>
    </row>
    <row r="685" spans="1:6" x14ac:dyDescent="0.3">
      <c r="A685" s="47">
        <v>92519</v>
      </c>
      <c r="B685" s="47">
        <v>78258000</v>
      </c>
      <c r="C685" s="47" t="s">
        <v>676</v>
      </c>
      <c r="D685" s="47" t="s">
        <v>7</v>
      </c>
      <c r="E685" s="47">
        <v>333</v>
      </c>
      <c r="F685" s="47">
        <v>0</v>
      </c>
    </row>
    <row r="686" spans="1:6" x14ac:dyDescent="0.3">
      <c r="A686" s="47">
        <v>92520</v>
      </c>
      <c r="B686" s="47">
        <v>78259000</v>
      </c>
      <c r="C686" s="47" t="s">
        <v>677</v>
      </c>
      <c r="D686" s="47" t="s">
        <v>7</v>
      </c>
      <c r="E686" s="47">
        <v>353</v>
      </c>
      <c r="F686" s="47">
        <v>2</v>
      </c>
    </row>
    <row r="687" spans="1:6" x14ac:dyDescent="0.3">
      <c r="A687" s="47">
        <v>92566</v>
      </c>
      <c r="B687" s="47">
        <v>78260000</v>
      </c>
      <c r="C687" s="47" t="s">
        <v>678</v>
      </c>
      <c r="D687" s="47" t="s">
        <v>7</v>
      </c>
      <c r="E687" s="47">
        <v>40</v>
      </c>
      <c r="F687" s="47">
        <v>0</v>
      </c>
    </row>
    <row r="688" spans="1:6" x14ac:dyDescent="0.3">
      <c r="A688" s="47">
        <v>92596</v>
      </c>
      <c r="B688" s="47">
        <v>78263000</v>
      </c>
      <c r="C688" s="47" t="s">
        <v>679</v>
      </c>
      <c r="D688" s="47" t="s">
        <v>7</v>
      </c>
      <c r="E688" s="47">
        <v>36</v>
      </c>
      <c r="F688" s="47">
        <v>32</v>
      </c>
    </row>
    <row r="689" spans="1:6" x14ac:dyDescent="0.3">
      <c r="A689" s="47">
        <v>92610</v>
      </c>
      <c r="B689" s="47">
        <v>118715000</v>
      </c>
      <c r="C689" s="47" t="s">
        <v>257</v>
      </c>
      <c r="D689" s="47" t="s">
        <v>20</v>
      </c>
      <c r="E689" s="47">
        <v>987</v>
      </c>
      <c r="F689" s="47">
        <v>204</v>
      </c>
    </row>
    <row r="690" spans="1:6" x14ac:dyDescent="0.3">
      <c r="A690" s="47">
        <v>92616</v>
      </c>
      <c r="B690" s="47">
        <v>78232000</v>
      </c>
      <c r="C690" s="47" t="s">
        <v>670</v>
      </c>
      <c r="D690" s="47" t="s">
        <v>7</v>
      </c>
      <c r="E690" s="47">
        <v>64</v>
      </c>
      <c r="F690" s="47">
        <v>12</v>
      </c>
    </row>
    <row r="691" spans="1:6" x14ac:dyDescent="0.3">
      <c r="A691" s="47">
        <v>92620</v>
      </c>
      <c r="B691" s="47">
        <v>78233000</v>
      </c>
      <c r="C691" s="47" t="s">
        <v>671</v>
      </c>
      <c r="D691" s="47" t="s">
        <v>7</v>
      </c>
      <c r="E691" s="47">
        <v>831</v>
      </c>
      <c r="F691" s="47">
        <v>1</v>
      </c>
    </row>
    <row r="692" spans="1:6" x14ac:dyDescent="0.3">
      <c r="A692" s="47">
        <v>92633</v>
      </c>
      <c r="B692" s="47">
        <v>132117000</v>
      </c>
      <c r="C692" s="47" t="s">
        <v>1275</v>
      </c>
      <c r="D692" s="47" t="s">
        <v>284</v>
      </c>
      <c r="E692" s="47">
        <v>2</v>
      </c>
      <c r="F692" s="47">
        <v>0</v>
      </c>
    </row>
    <row r="693" spans="1:6" x14ac:dyDescent="0.3">
      <c r="A693" s="47">
        <v>92656</v>
      </c>
      <c r="B693" s="47">
        <v>78234000</v>
      </c>
      <c r="C693" s="47" t="s">
        <v>1262</v>
      </c>
      <c r="D693" s="47" t="s">
        <v>7</v>
      </c>
      <c r="E693" s="47">
        <v>532</v>
      </c>
      <c r="F693" s="47">
        <v>2</v>
      </c>
    </row>
    <row r="694" spans="1:6" x14ac:dyDescent="0.3">
      <c r="A694" s="47">
        <v>92657</v>
      </c>
      <c r="B694" s="47">
        <v>78235000</v>
      </c>
      <c r="C694" s="47" t="s">
        <v>1263</v>
      </c>
      <c r="D694" s="47" t="s">
        <v>7</v>
      </c>
      <c r="E694" s="47">
        <v>173</v>
      </c>
      <c r="F694" s="47">
        <v>1</v>
      </c>
    </row>
    <row r="695" spans="1:6" x14ac:dyDescent="0.3">
      <c r="A695" s="47">
        <v>92704</v>
      </c>
      <c r="B695" s="47">
        <v>78266000</v>
      </c>
      <c r="C695" s="47" t="s">
        <v>1265</v>
      </c>
      <c r="D695" s="47" t="s">
        <v>7</v>
      </c>
      <c r="E695" s="47">
        <v>440</v>
      </c>
      <c r="F695" s="47">
        <v>5</v>
      </c>
    </row>
    <row r="696" spans="1:6" x14ac:dyDescent="0.3">
      <c r="A696" s="47">
        <v>92730</v>
      </c>
      <c r="B696" s="47">
        <v>108738000</v>
      </c>
      <c r="C696" s="47" t="s">
        <v>1273</v>
      </c>
      <c r="D696" s="47" t="s">
        <v>9</v>
      </c>
      <c r="E696" s="47">
        <v>544</v>
      </c>
      <c r="F696" s="47">
        <v>10</v>
      </c>
    </row>
    <row r="697" spans="1:6" x14ac:dyDescent="0.3">
      <c r="A697" s="47">
        <v>92734</v>
      </c>
      <c r="B697" s="47">
        <v>78269000</v>
      </c>
      <c r="C697" s="47" t="s">
        <v>1266</v>
      </c>
      <c r="D697" s="47" t="s">
        <v>7</v>
      </c>
      <c r="E697" s="47">
        <v>129</v>
      </c>
      <c r="F697" s="47">
        <v>2</v>
      </c>
    </row>
    <row r="698" spans="1:6" x14ac:dyDescent="0.3">
      <c r="A698" s="47">
        <v>92736</v>
      </c>
      <c r="B698" s="47">
        <v>78268000</v>
      </c>
      <c r="C698" s="47" t="s">
        <v>1266</v>
      </c>
      <c r="D698" s="47" t="s">
        <v>7</v>
      </c>
      <c r="E698" s="47">
        <v>408</v>
      </c>
      <c r="F698" s="47">
        <v>1</v>
      </c>
    </row>
    <row r="699" spans="1:6" x14ac:dyDescent="0.3">
      <c r="A699" s="47">
        <v>92768</v>
      </c>
      <c r="B699" s="47">
        <v>78270000</v>
      </c>
      <c r="C699" s="47" t="s">
        <v>827</v>
      </c>
      <c r="D699" s="47" t="s">
        <v>7</v>
      </c>
      <c r="E699" s="47">
        <v>372</v>
      </c>
      <c r="F699" s="47">
        <v>345</v>
      </c>
    </row>
    <row r="700" spans="1:6" x14ac:dyDescent="0.3">
      <c r="A700" s="47">
        <v>92783</v>
      </c>
      <c r="B700" s="47">
        <v>78271000</v>
      </c>
      <c r="C700" s="47" t="s">
        <v>1279</v>
      </c>
      <c r="D700" s="47" t="s">
        <v>7</v>
      </c>
      <c r="E700" s="47">
        <v>13</v>
      </c>
      <c r="F700" s="47">
        <v>4</v>
      </c>
    </row>
    <row r="701" spans="1:6" x14ac:dyDescent="0.3">
      <c r="A701" s="47">
        <v>92863</v>
      </c>
      <c r="B701" s="47">
        <v>78272000</v>
      </c>
      <c r="C701" s="47" t="s">
        <v>1266</v>
      </c>
      <c r="D701" s="47" t="s">
        <v>7</v>
      </c>
      <c r="E701" s="47">
        <v>182</v>
      </c>
      <c r="F701" s="47">
        <v>0</v>
      </c>
    </row>
    <row r="702" spans="1:6" x14ac:dyDescent="0.3">
      <c r="A702" s="47">
        <v>92865</v>
      </c>
      <c r="B702" s="47">
        <v>78273000</v>
      </c>
      <c r="C702" s="47" t="s">
        <v>1266</v>
      </c>
      <c r="D702" s="47" t="s">
        <v>7</v>
      </c>
      <c r="E702" s="47">
        <v>439</v>
      </c>
      <c r="F702" s="47">
        <v>0</v>
      </c>
    </row>
    <row r="703" spans="1:6" x14ac:dyDescent="0.3">
      <c r="A703" s="47">
        <v>92879</v>
      </c>
      <c r="B703" s="47">
        <v>78274000</v>
      </c>
      <c r="C703" s="47" t="s">
        <v>1251</v>
      </c>
      <c r="D703" s="47" t="s">
        <v>7</v>
      </c>
      <c r="E703" s="47">
        <v>1282</v>
      </c>
      <c r="F703" s="47">
        <v>320</v>
      </c>
    </row>
    <row r="704" spans="1:6" x14ac:dyDescent="0.3">
      <c r="A704" s="47">
        <v>92902</v>
      </c>
      <c r="B704" s="47">
        <v>78275000</v>
      </c>
      <c r="C704" s="47" t="s">
        <v>1267</v>
      </c>
      <c r="D704" s="47" t="s">
        <v>7</v>
      </c>
      <c r="E704" s="47">
        <v>26</v>
      </c>
      <c r="F704" s="47">
        <v>25</v>
      </c>
    </row>
    <row r="705" spans="1:6" x14ac:dyDescent="0.3">
      <c r="A705" s="47">
        <v>92918</v>
      </c>
      <c r="B705" s="47">
        <v>72139000</v>
      </c>
      <c r="C705" s="47" t="s">
        <v>1257</v>
      </c>
      <c r="D705" s="47" t="s">
        <v>7</v>
      </c>
      <c r="E705" s="47">
        <v>2</v>
      </c>
      <c r="F705" s="47">
        <v>0</v>
      </c>
    </row>
    <row r="706" spans="1:6" x14ac:dyDescent="0.3">
      <c r="A706" s="47">
        <v>92923</v>
      </c>
      <c r="B706" s="47">
        <v>72125000</v>
      </c>
      <c r="C706" s="47" t="s">
        <v>641</v>
      </c>
      <c r="D706" s="47" t="s">
        <v>7</v>
      </c>
      <c r="E706" s="47">
        <v>9</v>
      </c>
      <c r="F706" s="47">
        <v>0</v>
      </c>
    </row>
    <row r="707" spans="1:6" x14ac:dyDescent="0.3">
      <c r="A707" s="47">
        <v>92924</v>
      </c>
      <c r="B707" s="47">
        <v>72199000</v>
      </c>
      <c r="C707" s="47" t="s">
        <v>1259</v>
      </c>
      <c r="D707" s="47" t="s">
        <v>7</v>
      </c>
      <c r="E707" s="47">
        <v>8</v>
      </c>
      <c r="F707" s="47">
        <v>7</v>
      </c>
    </row>
    <row r="708" spans="1:6" x14ac:dyDescent="0.3">
      <c r="A708" s="47">
        <v>92932</v>
      </c>
      <c r="B708" s="47">
        <v>72142000</v>
      </c>
      <c r="C708" s="47" t="s">
        <v>1258</v>
      </c>
      <c r="D708" s="47" t="s">
        <v>7</v>
      </c>
      <c r="E708" s="47">
        <v>7</v>
      </c>
      <c r="F708" s="47">
        <v>0</v>
      </c>
    </row>
    <row r="709" spans="1:6" x14ac:dyDescent="0.3">
      <c r="A709" s="47">
        <v>90273</v>
      </c>
      <c r="B709" s="47">
        <v>78559000</v>
      </c>
      <c r="C709" s="47" t="s">
        <v>709</v>
      </c>
      <c r="D709" s="47" t="s">
        <v>7</v>
      </c>
      <c r="E709" s="47">
        <v>570</v>
      </c>
      <c r="F709" s="47">
        <v>558</v>
      </c>
    </row>
  </sheetData>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2:S236"/>
  <sheetViews>
    <sheetView topLeftCell="D1" workbookViewId="0">
      <selection activeCell="D1" sqref="D1"/>
    </sheetView>
  </sheetViews>
  <sheetFormatPr defaultColWidth="9.109375" defaultRowHeight="14.4" x14ac:dyDescent="0.3"/>
  <cols>
    <col min="1" max="2" width="9.109375" style="47" hidden="1" customWidth="1"/>
    <col min="3" max="3" width="17.6640625" style="47" hidden="1" customWidth="1"/>
    <col min="4" max="4" width="9.109375" style="47"/>
    <col min="5" max="5" width="34.6640625" style="47" customWidth="1"/>
    <col min="6" max="6" width="10.33203125" style="3" customWidth="1"/>
    <col min="7" max="10" width="9.109375" style="3"/>
    <col min="11" max="11" width="10" style="3" customWidth="1"/>
    <col min="12" max="12" width="10.109375" style="3" bestFit="1" customWidth="1"/>
    <col min="13" max="13" width="10" style="4" bestFit="1" customWidth="1"/>
    <col min="14" max="15" width="10.44140625" style="3" bestFit="1" customWidth="1"/>
    <col min="16" max="16" width="13.44140625" style="3" bestFit="1" customWidth="1"/>
    <col min="17" max="18" width="10.77734375" style="47" bestFit="1" customWidth="1"/>
    <col min="19" max="16384" width="9.109375" style="47"/>
  </cols>
  <sheetData>
    <row r="2" spans="1:19" x14ac:dyDescent="0.3">
      <c r="A2" s="11"/>
      <c r="B2" s="11"/>
      <c r="C2" s="11"/>
      <c r="D2" s="11"/>
      <c r="E2" s="23" t="s">
        <v>1284</v>
      </c>
      <c r="F2" s="14"/>
      <c r="G2" s="14"/>
      <c r="H2" s="14"/>
      <c r="I2" s="14"/>
      <c r="J2" s="14"/>
      <c r="K2" s="14"/>
      <c r="L2" s="14"/>
      <c r="M2" s="15"/>
      <c r="N2" s="14"/>
      <c r="O2" s="14"/>
      <c r="P2" s="14"/>
      <c r="Q2" s="13"/>
      <c r="R2" s="13"/>
    </row>
    <row r="3" spans="1:19" x14ac:dyDescent="0.3">
      <c r="A3" s="11"/>
      <c r="B3" s="11"/>
      <c r="C3" s="11"/>
      <c r="D3" s="11"/>
      <c r="E3" s="11"/>
      <c r="F3" s="14"/>
      <c r="G3" s="14"/>
      <c r="H3" s="14"/>
      <c r="I3" s="14"/>
      <c r="J3" s="14"/>
      <c r="K3" s="14"/>
      <c r="L3" s="14"/>
      <c r="M3" s="15"/>
      <c r="N3" s="14"/>
      <c r="O3" s="14"/>
      <c r="P3" s="14"/>
      <c r="Q3" s="13"/>
      <c r="R3" s="13"/>
    </row>
    <row r="4" spans="1:19" x14ac:dyDescent="0.3">
      <c r="A4" s="12" t="s">
        <v>618</v>
      </c>
      <c r="B4" s="12" t="s">
        <v>618</v>
      </c>
      <c r="C4" s="12" t="s">
        <v>618</v>
      </c>
      <c r="D4" s="11"/>
      <c r="E4" s="14" t="s">
        <v>572</v>
      </c>
      <c r="F4" s="14"/>
      <c r="G4" s="14"/>
      <c r="H4" s="14"/>
      <c r="I4" s="14"/>
      <c r="J4" s="14"/>
      <c r="K4" s="14"/>
      <c r="L4" s="14"/>
      <c r="M4" s="15"/>
      <c r="N4" s="14"/>
      <c r="O4" s="14"/>
      <c r="P4" s="10" t="s">
        <v>617</v>
      </c>
      <c r="Q4" s="13"/>
      <c r="R4" s="13"/>
    </row>
    <row r="5" spans="1:19" x14ac:dyDescent="0.3">
      <c r="A5" s="11"/>
      <c r="B5" s="22"/>
      <c r="C5" s="22"/>
      <c r="D5" s="11"/>
      <c r="E5" s="11"/>
      <c r="F5" s="14"/>
      <c r="G5" s="14"/>
      <c r="H5" s="14"/>
      <c r="I5" s="14"/>
      <c r="J5" s="14"/>
      <c r="K5" s="10" t="s">
        <v>616</v>
      </c>
      <c r="L5" s="14"/>
      <c r="M5" s="15"/>
      <c r="N5" s="14"/>
      <c r="O5" s="14"/>
      <c r="P5" s="10" t="s">
        <v>594</v>
      </c>
      <c r="Q5" s="13" t="s">
        <v>615</v>
      </c>
      <c r="R5" s="13" t="s">
        <v>615</v>
      </c>
    </row>
    <row r="6" spans="1:19" x14ac:dyDescent="0.3">
      <c r="A6" s="11"/>
      <c r="B6" s="11"/>
      <c r="C6" s="11"/>
      <c r="D6" s="11"/>
      <c r="E6" s="12" t="s">
        <v>614</v>
      </c>
      <c r="F6" s="21">
        <v>2014</v>
      </c>
      <c r="G6" s="14"/>
      <c r="H6" s="14"/>
      <c r="I6" s="14"/>
      <c r="J6" s="14"/>
      <c r="K6" s="10" t="s">
        <v>596</v>
      </c>
      <c r="L6" s="20" t="s">
        <v>613</v>
      </c>
      <c r="M6" s="19" t="s">
        <v>612</v>
      </c>
      <c r="N6" s="10" t="s">
        <v>611</v>
      </c>
      <c r="O6" s="10" t="s">
        <v>610</v>
      </c>
      <c r="P6" s="10" t="s">
        <v>609</v>
      </c>
      <c r="Q6" s="18" t="s">
        <v>608</v>
      </c>
      <c r="R6" s="18" t="s">
        <v>608</v>
      </c>
    </row>
    <row r="7" spans="1:19" x14ac:dyDescent="0.3">
      <c r="A7" s="11" t="s">
        <v>607</v>
      </c>
      <c r="B7" s="11" t="s">
        <v>606</v>
      </c>
      <c r="C7" s="11" t="s">
        <v>605</v>
      </c>
      <c r="D7" s="12" t="s">
        <v>560</v>
      </c>
      <c r="E7" s="12" t="s">
        <v>604</v>
      </c>
      <c r="F7" s="10" t="s">
        <v>603</v>
      </c>
      <c r="G7" s="10" t="s">
        <v>602</v>
      </c>
      <c r="H7" s="10" t="s">
        <v>601</v>
      </c>
      <c r="I7" s="10" t="s">
        <v>600</v>
      </c>
      <c r="J7" s="10" t="s">
        <v>599</v>
      </c>
      <c r="K7" s="10" t="s">
        <v>598</v>
      </c>
      <c r="L7" s="10" t="s">
        <v>597</v>
      </c>
      <c r="M7" s="19" t="s">
        <v>596</v>
      </c>
      <c r="N7" s="10" t="s">
        <v>595</v>
      </c>
      <c r="O7" s="10" t="s">
        <v>595</v>
      </c>
      <c r="P7" s="10" t="s">
        <v>595</v>
      </c>
      <c r="Q7" s="18" t="s">
        <v>594</v>
      </c>
      <c r="R7" s="18" t="s">
        <v>593</v>
      </c>
      <c r="S7" s="10" t="s">
        <v>1299</v>
      </c>
    </row>
    <row r="8" spans="1:19" x14ac:dyDescent="0.3">
      <c r="A8" s="11"/>
      <c r="B8" s="11"/>
      <c r="C8" s="11"/>
      <c r="D8" s="12"/>
      <c r="E8" s="11"/>
      <c r="F8" s="8"/>
      <c r="G8" s="10"/>
      <c r="H8" s="10"/>
      <c r="I8" s="10"/>
      <c r="J8" s="10"/>
      <c r="K8" s="8"/>
      <c r="L8" s="8"/>
      <c r="M8" s="9"/>
      <c r="N8" s="8"/>
      <c r="O8" s="8"/>
      <c r="P8" s="8"/>
      <c r="Q8" s="7"/>
      <c r="R8" s="7"/>
    </row>
    <row r="9" spans="1:19" x14ac:dyDescent="0.3">
      <c r="A9" s="17">
        <v>1</v>
      </c>
      <c r="B9" s="17">
        <v>4</v>
      </c>
      <c r="C9" s="17" t="s">
        <v>572</v>
      </c>
      <c r="D9" s="16">
        <v>400450</v>
      </c>
      <c r="E9" s="17" t="s">
        <v>15</v>
      </c>
      <c r="F9" s="14">
        <v>1097</v>
      </c>
      <c r="G9" s="14">
        <v>0</v>
      </c>
      <c r="H9" s="14"/>
      <c r="I9" s="14">
        <v>50</v>
      </c>
      <c r="J9" s="14">
        <v>0</v>
      </c>
      <c r="K9" s="14">
        <v>1147</v>
      </c>
      <c r="L9" s="14">
        <v>7902</v>
      </c>
      <c r="M9" s="15">
        <v>0.145153125790939</v>
      </c>
      <c r="N9" s="14">
        <v>1147</v>
      </c>
      <c r="O9" s="14">
        <v>0</v>
      </c>
      <c r="P9" s="14">
        <v>1147</v>
      </c>
      <c r="Q9" s="13">
        <v>1375</v>
      </c>
      <c r="R9" s="13">
        <v>1375</v>
      </c>
      <c r="S9" s="47">
        <f>VLOOKUP(D9,'Original Title I &amp; II'!B:B,1,FALSE)</f>
        <v>400450</v>
      </c>
    </row>
    <row r="10" spans="1:19" x14ac:dyDescent="0.3">
      <c r="A10" s="17">
        <v>1</v>
      </c>
      <c r="B10" s="17">
        <v>4</v>
      </c>
      <c r="C10" s="17" t="s">
        <v>572</v>
      </c>
      <c r="D10" s="16">
        <v>400480</v>
      </c>
      <c r="E10" s="17" t="s">
        <v>16</v>
      </c>
      <c r="F10" s="14">
        <v>86</v>
      </c>
      <c r="G10" s="14">
        <v>0</v>
      </c>
      <c r="H10" s="14"/>
      <c r="I10" s="14">
        <v>4</v>
      </c>
      <c r="J10" s="14">
        <v>0</v>
      </c>
      <c r="K10" s="14">
        <v>90</v>
      </c>
      <c r="L10" s="14">
        <v>207</v>
      </c>
      <c r="M10" s="15">
        <v>0.43478260869565216</v>
      </c>
      <c r="N10" s="14">
        <v>90</v>
      </c>
      <c r="O10" s="14">
        <v>90</v>
      </c>
      <c r="P10" s="14">
        <v>90</v>
      </c>
      <c r="Q10" s="13">
        <v>195.295275</v>
      </c>
      <c r="R10" s="13">
        <v>242.84115000000003</v>
      </c>
      <c r="S10" s="47">
        <f>VLOOKUP(D10,'Original Title I &amp; II'!B:B,1,FALSE)</f>
        <v>400480</v>
      </c>
    </row>
    <row r="11" spans="1:19" x14ac:dyDescent="0.3">
      <c r="A11" s="17">
        <v>1</v>
      </c>
      <c r="B11" s="17">
        <v>4</v>
      </c>
      <c r="C11" s="17" t="s">
        <v>572</v>
      </c>
      <c r="D11" s="16">
        <v>400520</v>
      </c>
      <c r="E11" s="17" t="s">
        <v>18</v>
      </c>
      <c r="F11" s="14">
        <v>148</v>
      </c>
      <c r="G11" s="14">
        <v>0</v>
      </c>
      <c r="H11" s="14"/>
      <c r="I11" s="14">
        <v>7</v>
      </c>
      <c r="J11" s="14">
        <v>0</v>
      </c>
      <c r="K11" s="14">
        <v>155</v>
      </c>
      <c r="L11" s="14">
        <v>424</v>
      </c>
      <c r="M11" s="15">
        <v>0.36556603773584906</v>
      </c>
      <c r="N11" s="14">
        <v>155</v>
      </c>
      <c r="O11" s="14">
        <v>155</v>
      </c>
      <c r="P11" s="14">
        <v>155</v>
      </c>
      <c r="Q11" s="13">
        <v>287.98700000000002</v>
      </c>
      <c r="R11" s="13">
        <v>332.03319999999997</v>
      </c>
      <c r="S11" s="47">
        <f>VLOOKUP(D11,'Original Title I &amp; II'!B:B,1,FALSE)</f>
        <v>400520</v>
      </c>
    </row>
    <row r="12" spans="1:19" x14ac:dyDescent="0.3">
      <c r="A12" s="17">
        <v>1</v>
      </c>
      <c r="B12" s="17">
        <v>4</v>
      </c>
      <c r="C12" s="17" t="s">
        <v>572</v>
      </c>
      <c r="D12" s="16">
        <v>400600</v>
      </c>
      <c r="E12" s="17" t="s">
        <v>22</v>
      </c>
      <c r="F12" s="14">
        <v>7714</v>
      </c>
      <c r="G12" s="14">
        <v>10</v>
      </c>
      <c r="H12" s="14"/>
      <c r="I12" s="14">
        <v>349</v>
      </c>
      <c r="J12" s="14">
        <v>0</v>
      </c>
      <c r="K12" s="14">
        <v>8073</v>
      </c>
      <c r="L12" s="14">
        <v>15357</v>
      </c>
      <c r="M12" s="15">
        <v>0.52568861105684705</v>
      </c>
      <c r="N12" s="14">
        <v>8073</v>
      </c>
      <c r="O12" s="14">
        <v>8073</v>
      </c>
      <c r="P12" s="14">
        <v>8073</v>
      </c>
      <c r="Q12" s="13">
        <v>20072.819025000004</v>
      </c>
      <c r="R12" s="13">
        <v>26392.258650000003</v>
      </c>
      <c r="S12" s="47">
        <f>VLOOKUP(D12,'Original Title I &amp; II'!B:B,1,FALSE)</f>
        <v>400600</v>
      </c>
    </row>
    <row r="13" spans="1:19" x14ac:dyDescent="0.3">
      <c r="A13" s="17">
        <v>1</v>
      </c>
      <c r="B13" s="17">
        <v>4</v>
      </c>
      <c r="C13" s="17" t="s">
        <v>572</v>
      </c>
      <c r="D13" s="16">
        <v>400630</v>
      </c>
      <c r="E13" s="17" t="s">
        <v>554</v>
      </c>
      <c r="F13" s="14">
        <v>12</v>
      </c>
      <c r="G13" s="14">
        <v>0</v>
      </c>
      <c r="H13" s="14"/>
      <c r="I13" s="14">
        <v>0</v>
      </c>
      <c r="J13" s="14">
        <v>0</v>
      </c>
      <c r="K13" s="14">
        <v>12</v>
      </c>
      <c r="L13" s="14">
        <v>47</v>
      </c>
      <c r="M13" s="15">
        <v>0.25531914893617019</v>
      </c>
      <c r="N13" s="14">
        <v>12</v>
      </c>
      <c r="O13" s="14">
        <v>12</v>
      </c>
      <c r="P13" s="14">
        <v>12</v>
      </c>
      <c r="Q13" s="13">
        <v>16.714275000000001</v>
      </c>
      <c r="R13" s="13">
        <v>16.751149999999996</v>
      </c>
      <c r="S13" s="47">
        <f>VLOOKUP(D13,'Original Title I &amp; II'!B:B,1,FALSE)</f>
        <v>400630</v>
      </c>
    </row>
    <row r="14" spans="1:19" x14ac:dyDescent="0.3">
      <c r="A14" s="17">
        <v>1</v>
      </c>
      <c r="B14" s="17">
        <v>4</v>
      </c>
      <c r="C14" s="17" t="s">
        <v>572</v>
      </c>
      <c r="D14" s="16">
        <v>404770</v>
      </c>
      <c r="E14" s="17" t="s">
        <v>24</v>
      </c>
      <c r="F14" s="14">
        <v>346</v>
      </c>
      <c r="G14" s="14">
        <v>0</v>
      </c>
      <c r="H14" s="14"/>
      <c r="I14" s="14">
        <v>17</v>
      </c>
      <c r="J14" s="14">
        <v>0</v>
      </c>
      <c r="K14" s="14">
        <v>363</v>
      </c>
      <c r="L14" s="14">
        <v>1345</v>
      </c>
      <c r="M14" s="15">
        <v>0.26988847583643122</v>
      </c>
      <c r="N14" s="14">
        <v>363</v>
      </c>
      <c r="O14" s="14">
        <v>363</v>
      </c>
      <c r="P14" s="14">
        <v>363</v>
      </c>
      <c r="Q14" s="13">
        <v>527.30212500000005</v>
      </c>
      <c r="R14" s="13">
        <v>538.15525000000002</v>
      </c>
      <c r="S14" s="47">
        <f>VLOOKUP(D14,'Original Title I &amp; II'!B:B,1,FALSE)</f>
        <v>404770</v>
      </c>
    </row>
    <row r="15" spans="1:19" x14ac:dyDescent="0.3">
      <c r="A15" s="17">
        <v>1</v>
      </c>
      <c r="B15" s="17">
        <v>4</v>
      </c>
      <c r="C15" s="17" t="s">
        <v>572</v>
      </c>
      <c r="D15" s="16">
        <v>400680</v>
      </c>
      <c r="E15" s="17" t="s">
        <v>36</v>
      </c>
      <c r="F15" s="14">
        <v>3986</v>
      </c>
      <c r="G15" s="14">
        <v>111</v>
      </c>
      <c r="H15" s="14"/>
      <c r="I15" s="14">
        <v>193</v>
      </c>
      <c r="J15" s="14">
        <v>0</v>
      </c>
      <c r="K15" s="14">
        <v>4290</v>
      </c>
      <c r="L15" s="14">
        <v>19047</v>
      </c>
      <c r="M15" s="15">
        <v>0.22523232005040164</v>
      </c>
      <c r="N15" s="14">
        <v>4290</v>
      </c>
      <c r="O15" s="14">
        <v>4290</v>
      </c>
      <c r="P15" s="14">
        <v>4290</v>
      </c>
      <c r="Q15" s="13">
        <v>7103.5</v>
      </c>
      <c r="R15" s="13">
        <v>7610.5</v>
      </c>
      <c r="S15" s="47">
        <f>VLOOKUP(D15,'Original Title I &amp; II'!B:B,1,FALSE)</f>
        <v>400680</v>
      </c>
    </row>
    <row r="16" spans="1:19" x14ac:dyDescent="0.3">
      <c r="A16" s="17">
        <v>1</v>
      </c>
      <c r="B16" s="17">
        <v>4</v>
      </c>
      <c r="C16" s="17" t="s">
        <v>572</v>
      </c>
      <c r="D16" s="16">
        <v>400720</v>
      </c>
      <c r="E16" s="17" t="s">
        <v>37</v>
      </c>
      <c r="F16" s="14">
        <v>93</v>
      </c>
      <c r="G16" s="14">
        <v>0</v>
      </c>
      <c r="H16" s="14"/>
      <c r="I16" s="14">
        <v>2</v>
      </c>
      <c r="J16" s="14">
        <v>0</v>
      </c>
      <c r="K16" s="14">
        <v>95</v>
      </c>
      <c r="L16" s="14">
        <v>354</v>
      </c>
      <c r="M16" s="15">
        <v>0.26836158192090398</v>
      </c>
      <c r="N16" s="14">
        <v>95</v>
      </c>
      <c r="O16" s="14">
        <v>95</v>
      </c>
      <c r="P16" s="14">
        <v>95</v>
      </c>
      <c r="Q16" s="13">
        <v>137.43305000000001</v>
      </c>
      <c r="R16" s="13">
        <v>140.01930000000004</v>
      </c>
      <c r="S16" s="47">
        <f>VLOOKUP(D16,'Original Title I &amp; II'!B:B,1,FALSE)</f>
        <v>400720</v>
      </c>
    </row>
    <row r="17" spans="1:19" x14ac:dyDescent="0.3">
      <c r="A17" s="17">
        <v>1</v>
      </c>
      <c r="B17" s="17">
        <v>4</v>
      </c>
      <c r="C17" s="17" t="s">
        <v>572</v>
      </c>
      <c r="D17" s="16">
        <v>400750</v>
      </c>
      <c r="E17" s="172" t="s">
        <v>550</v>
      </c>
      <c r="F17" s="14">
        <v>8</v>
      </c>
      <c r="G17" s="14">
        <v>0</v>
      </c>
      <c r="H17" s="14"/>
      <c r="I17" s="14">
        <v>0</v>
      </c>
      <c r="J17" s="14">
        <v>0</v>
      </c>
      <c r="K17" s="14">
        <v>8</v>
      </c>
      <c r="L17" s="14">
        <v>22</v>
      </c>
      <c r="M17" s="15">
        <v>0.36363636363636365</v>
      </c>
      <c r="N17" s="14">
        <v>0</v>
      </c>
      <c r="O17" s="14">
        <v>0</v>
      </c>
      <c r="P17" s="14">
        <v>0</v>
      </c>
      <c r="Q17" s="13">
        <v>0</v>
      </c>
      <c r="R17" s="13">
        <v>0</v>
      </c>
      <c r="S17" s="47">
        <f>VLOOKUP(D17,'Original Title I &amp; II'!B:B,1,FALSE)</f>
        <v>400750</v>
      </c>
    </row>
    <row r="18" spans="1:19" x14ac:dyDescent="0.3">
      <c r="A18" s="17">
        <v>1</v>
      </c>
      <c r="B18" s="17">
        <v>4</v>
      </c>
      <c r="C18" s="17" t="s">
        <v>572</v>
      </c>
      <c r="D18" s="16">
        <v>400790</v>
      </c>
      <c r="E18" s="17" t="s">
        <v>39</v>
      </c>
      <c r="F18" s="14">
        <v>2034</v>
      </c>
      <c r="G18" s="14">
        <v>0</v>
      </c>
      <c r="H18" s="14"/>
      <c r="I18" s="14">
        <v>110</v>
      </c>
      <c r="J18" s="14">
        <v>0</v>
      </c>
      <c r="K18" s="14">
        <v>2144</v>
      </c>
      <c r="L18" s="14">
        <v>7561</v>
      </c>
      <c r="M18" s="15">
        <v>0.28356037561169156</v>
      </c>
      <c r="N18" s="14">
        <v>2144</v>
      </c>
      <c r="O18" s="14">
        <v>2144</v>
      </c>
      <c r="P18" s="14">
        <v>2144</v>
      </c>
      <c r="Q18" s="13">
        <v>3222.6943249999995</v>
      </c>
      <c r="R18" s="13">
        <v>3335.3924499999994</v>
      </c>
      <c r="S18" s="47">
        <f>VLOOKUP(D18,'Original Title I &amp; II'!B:B,1,FALSE)</f>
        <v>400790</v>
      </c>
    </row>
    <row r="19" spans="1:19" x14ac:dyDescent="0.3">
      <c r="A19" s="17">
        <v>1</v>
      </c>
      <c r="B19" s="17">
        <v>4</v>
      </c>
      <c r="C19" s="17" t="s">
        <v>572</v>
      </c>
      <c r="D19" s="16">
        <v>400840</v>
      </c>
      <c r="E19" s="17" t="s">
        <v>52</v>
      </c>
      <c r="F19" s="14">
        <v>83</v>
      </c>
      <c r="G19" s="14">
        <v>0</v>
      </c>
      <c r="H19" s="14"/>
      <c r="I19" s="14">
        <v>4</v>
      </c>
      <c r="J19" s="14">
        <v>0</v>
      </c>
      <c r="K19" s="14">
        <v>87</v>
      </c>
      <c r="L19" s="14">
        <v>264</v>
      </c>
      <c r="M19" s="15">
        <v>0.32954545454545453</v>
      </c>
      <c r="N19" s="14">
        <v>87</v>
      </c>
      <c r="O19" s="14">
        <v>87</v>
      </c>
      <c r="P19" s="14">
        <v>87</v>
      </c>
      <c r="Q19" s="13">
        <v>148.40700000000001</v>
      </c>
      <c r="R19" s="13">
        <v>163.9452</v>
      </c>
      <c r="S19" s="47">
        <f>VLOOKUP(D19,'Original Title I &amp; II'!B:B,1,FALSE)</f>
        <v>400840</v>
      </c>
    </row>
    <row r="20" spans="1:19" x14ac:dyDescent="0.3">
      <c r="A20" s="17">
        <v>1</v>
      </c>
      <c r="B20" s="17">
        <v>4</v>
      </c>
      <c r="C20" s="17" t="s">
        <v>572</v>
      </c>
      <c r="D20" s="16">
        <v>400870</v>
      </c>
      <c r="E20" s="17" t="s">
        <v>53</v>
      </c>
      <c r="F20" s="14">
        <v>22</v>
      </c>
      <c r="G20" s="14">
        <v>0</v>
      </c>
      <c r="H20" s="14"/>
      <c r="I20" s="14">
        <v>1</v>
      </c>
      <c r="J20" s="14">
        <v>0</v>
      </c>
      <c r="K20" s="14">
        <v>23</v>
      </c>
      <c r="L20" s="14">
        <v>49</v>
      </c>
      <c r="M20" s="15">
        <v>0.46938775510204084</v>
      </c>
      <c r="N20" s="14">
        <v>23</v>
      </c>
      <c r="O20" s="14">
        <v>23</v>
      </c>
      <c r="P20" s="14">
        <v>23</v>
      </c>
      <c r="Q20" s="13">
        <v>53.011925000000005</v>
      </c>
      <c r="R20" s="13">
        <v>67.658050000000003</v>
      </c>
      <c r="S20" s="47">
        <f>VLOOKUP(D20,'Original Title I &amp; II'!B:B,1,FALSE)</f>
        <v>400870</v>
      </c>
    </row>
    <row r="21" spans="1:19" x14ac:dyDescent="0.3">
      <c r="A21" s="17">
        <v>1</v>
      </c>
      <c r="B21" s="17">
        <v>4</v>
      </c>
      <c r="C21" s="17" t="s">
        <v>572</v>
      </c>
      <c r="D21" s="16">
        <v>400910</v>
      </c>
      <c r="E21" s="17" t="s">
        <v>55</v>
      </c>
      <c r="F21" s="14">
        <v>80</v>
      </c>
      <c r="G21" s="14">
        <v>0</v>
      </c>
      <c r="H21" s="14"/>
      <c r="I21" s="14">
        <v>3</v>
      </c>
      <c r="J21" s="14">
        <v>0</v>
      </c>
      <c r="K21" s="14">
        <v>83</v>
      </c>
      <c r="L21" s="14">
        <v>268</v>
      </c>
      <c r="M21" s="15">
        <v>0.30970149253731344</v>
      </c>
      <c r="N21" s="14">
        <v>83</v>
      </c>
      <c r="O21" s="14">
        <v>83</v>
      </c>
      <c r="P21" s="14">
        <v>83</v>
      </c>
      <c r="Q21" s="13">
        <v>133.37150000000003</v>
      </c>
      <c r="R21" s="13">
        <v>142.49740000000003</v>
      </c>
      <c r="S21" s="47">
        <f>VLOOKUP(D21,'Original Title I &amp; II'!B:B,1,FALSE)</f>
        <v>400910</v>
      </c>
    </row>
    <row r="22" spans="1:19" x14ac:dyDescent="0.3">
      <c r="A22" s="17">
        <v>1</v>
      </c>
      <c r="B22" s="17">
        <v>4</v>
      </c>
      <c r="C22" s="17" t="s">
        <v>572</v>
      </c>
      <c r="D22" s="16">
        <v>400960</v>
      </c>
      <c r="E22" s="17" t="s">
        <v>58</v>
      </c>
      <c r="F22" s="14">
        <v>1906</v>
      </c>
      <c r="G22" s="14">
        <v>0</v>
      </c>
      <c r="H22" s="14"/>
      <c r="I22" s="14">
        <v>86</v>
      </c>
      <c r="J22" s="14">
        <v>0</v>
      </c>
      <c r="K22" s="14">
        <v>1992</v>
      </c>
      <c r="L22" s="14">
        <v>7557</v>
      </c>
      <c r="M22" s="15">
        <v>0.26359666534339021</v>
      </c>
      <c r="N22" s="14">
        <v>1992</v>
      </c>
      <c r="O22" s="14">
        <v>1992</v>
      </c>
      <c r="P22" s="14">
        <v>1992</v>
      </c>
      <c r="Q22" s="13">
        <v>2843.8250249999996</v>
      </c>
      <c r="R22" s="13">
        <v>2881.0306499999997</v>
      </c>
      <c r="S22" s="47">
        <f>VLOOKUP(D22,'Original Title I &amp; II'!B:B,1,FALSE)</f>
        <v>400960</v>
      </c>
    </row>
    <row r="23" spans="1:19" x14ac:dyDescent="0.3">
      <c r="A23" s="17">
        <v>1</v>
      </c>
      <c r="B23" s="17">
        <v>4</v>
      </c>
      <c r="C23" s="17" t="s">
        <v>572</v>
      </c>
      <c r="D23" s="16">
        <v>401000</v>
      </c>
      <c r="E23" s="17" t="s">
        <v>592</v>
      </c>
      <c r="F23" s="14">
        <v>48</v>
      </c>
      <c r="G23" s="14">
        <v>0</v>
      </c>
      <c r="H23" s="14"/>
      <c r="I23" s="14">
        <v>2</v>
      </c>
      <c r="J23" s="14">
        <v>0</v>
      </c>
      <c r="K23" s="14">
        <v>50</v>
      </c>
      <c r="L23" s="14">
        <v>467</v>
      </c>
      <c r="M23" s="15">
        <v>0.10706638115631692</v>
      </c>
      <c r="N23" s="14">
        <v>50</v>
      </c>
      <c r="O23" s="14">
        <v>0</v>
      </c>
      <c r="P23" s="14">
        <v>50</v>
      </c>
      <c r="Q23" s="13">
        <v>50</v>
      </c>
      <c r="R23" s="13">
        <v>50</v>
      </c>
      <c r="S23" s="47">
        <f>VLOOKUP(D23,'Original Title I &amp; II'!B:B,1,FALSE)</f>
        <v>401000</v>
      </c>
    </row>
    <row r="24" spans="1:19" x14ac:dyDescent="0.3">
      <c r="A24" s="17">
        <v>1</v>
      </c>
      <c r="B24" s="17">
        <v>4</v>
      </c>
      <c r="C24" s="17" t="s">
        <v>572</v>
      </c>
      <c r="D24" s="16">
        <v>401050</v>
      </c>
      <c r="E24" s="17" t="s">
        <v>65</v>
      </c>
      <c r="F24" s="14">
        <v>1897</v>
      </c>
      <c r="G24" s="14">
        <v>0</v>
      </c>
      <c r="H24" s="14"/>
      <c r="I24" s="14">
        <v>86</v>
      </c>
      <c r="J24" s="14">
        <v>0</v>
      </c>
      <c r="K24" s="14">
        <v>1983</v>
      </c>
      <c r="L24" s="14">
        <v>3722</v>
      </c>
      <c r="M24" s="15">
        <v>0.53277807630306284</v>
      </c>
      <c r="N24" s="14">
        <v>1983</v>
      </c>
      <c r="O24" s="14">
        <v>1983</v>
      </c>
      <c r="P24" s="14">
        <v>1983</v>
      </c>
      <c r="Q24" s="13">
        <v>4970.4976500000002</v>
      </c>
      <c r="R24" s="13">
        <v>6554.8829000000005</v>
      </c>
      <c r="S24" s="47">
        <f>VLOOKUP(D24,'Original Title I &amp; II'!B:B,1,FALSE)</f>
        <v>401050</v>
      </c>
    </row>
    <row r="25" spans="1:19" x14ac:dyDescent="0.3">
      <c r="A25" s="17">
        <v>1</v>
      </c>
      <c r="B25" s="17">
        <v>4</v>
      </c>
      <c r="C25" s="17" t="s">
        <v>572</v>
      </c>
      <c r="D25" s="16">
        <v>401080</v>
      </c>
      <c r="E25" s="17" t="s">
        <v>66</v>
      </c>
      <c r="F25" s="14">
        <v>150</v>
      </c>
      <c r="G25" s="14">
        <v>0</v>
      </c>
      <c r="H25" s="14"/>
      <c r="I25" s="14">
        <v>8</v>
      </c>
      <c r="J25" s="14">
        <v>0</v>
      </c>
      <c r="K25" s="14">
        <v>158</v>
      </c>
      <c r="L25" s="14">
        <v>720</v>
      </c>
      <c r="M25" s="15">
        <v>0.21944444444444444</v>
      </c>
      <c r="N25" s="14">
        <v>158</v>
      </c>
      <c r="O25" s="14">
        <v>158</v>
      </c>
      <c r="P25" s="14">
        <v>158</v>
      </c>
      <c r="Q25" s="13">
        <v>192.36799999999999</v>
      </c>
      <c r="R25" s="13">
        <v>180.91200000000001</v>
      </c>
      <c r="S25" s="47">
        <f>VLOOKUP(D25,'Original Title I &amp; II'!B:B,1,FALSE)</f>
        <v>401080</v>
      </c>
    </row>
    <row r="26" spans="1:19" x14ac:dyDescent="0.3">
      <c r="A26" s="17">
        <v>1</v>
      </c>
      <c r="B26" s="17">
        <v>4</v>
      </c>
      <c r="C26" s="17" t="s">
        <v>572</v>
      </c>
      <c r="D26" s="16">
        <v>400212</v>
      </c>
      <c r="E26" s="17" t="s">
        <v>68</v>
      </c>
      <c r="F26" s="14">
        <v>303</v>
      </c>
      <c r="G26" s="14">
        <v>0</v>
      </c>
      <c r="H26" s="14"/>
      <c r="I26" s="14">
        <v>8</v>
      </c>
      <c r="J26" s="14">
        <v>0</v>
      </c>
      <c r="K26" s="14">
        <v>311</v>
      </c>
      <c r="L26" s="14">
        <v>1145</v>
      </c>
      <c r="M26" s="15">
        <v>0.27161572052401745</v>
      </c>
      <c r="N26" s="14">
        <v>311</v>
      </c>
      <c r="O26" s="14">
        <v>311</v>
      </c>
      <c r="P26" s="14">
        <v>311</v>
      </c>
      <c r="Q26" s="13">
        <v>453.8371249999999</v>
      </c>
      <c r="R26" s="13">
        <v>464.06524999999993</v>
      </c>
      <c r="S26" s="47">
        <f>VLOOKUP(D26,'Original Title I &amp; II'!B:B,1,FALSE)</f>
        <v>400212</v>
      </c>
    </row>
    <row r="27" spans="1:19" x14ac:dyDescent="0.3">
      <c r="A27" s="17">
        <v>1</v>
      </c>
      <c r="B27" s="17">
        <v>4</v>
      </c>
      <c r="C27" s="17" t="s">
        <v>572</v>
      </c>
      <c r="D27" s="16">
        <v>401160</v>
      </c>
      <c r="E27" s="17" t="s">
        <v>69</v>
      </c>
      <c r="F27" s="14">
        <v>116</v>
      </c>
      <c r="G27" s="14">
        <v>0</v>
      </c>
      <c r="H27" s="14"/>
      <c r="I27" s="14">
        <v>4</v>
      </c>
      <c r="J27" s="14">
        <v>0</v>
      </c>
      <c r="K27" s="14">
        <v>120</v>
      </c>
      <c r="L27" s="14">
        <v>319</v>
      </c>
      <c r="M27" s="15">
        <v>0.37617554858934171</v>
      </c>
      <c r="N27" s="14">
        <v>120</v>
      </c>
      <c r="O27" s="14">
        <v>120</v>
      </c>
      <c r="P27" s="14">
        <v>120</v>
      </c>
      <c r="Q27" s="13">
        <v>227.66887500000001</v>
      </c>
      <c r="R27" s="13">
        <v>265.03795000000002</v>
      </c>
      <c r="S27" s="47">
        <f>VLOOKUP(D27,'Original Title I &amp; II'!B:B,1,FALSE)</f>
        <v>401160</v>
      </c>
    </row>
    <row r="28" spans="1:19" x14ac:dyDescent="0.3">
      <c r="A28" s="17">
        <v>1</v>
      </c>
      <c r="B28" s="17">
        <v>4</v>
      </c>
      <c r="C28" s="17" t="s">
        <v>572</v>
      </c>
      <c r="D28" s="16">
        <v>401180</v>
      </c>
      <c r="E28" s="17" t="s">
        <v>71</v>
      </c>
      <c r="F28" s="14">
        <v>256</v>
      </c>
      <c r="G28" s="14">
        <v>0</v>
      </c>
      <c r="H28" s="14"/>
      <c r="I28" s="14">
        <v>7</v>
      </c>
      <c r="J28" s="14">
        <v>0</v>
      </c>
      <c r="K28" s="14">
        <v>263</v>
      </c>
      <c r="L28" s="14">
        <v>787</v>
      </c>
      <c r="M28" s="15">
        <v>0.33418043202033038</v>
      </c>
      <c r="N28" s="14">
        <v>263</v>
      </c>
      <c r="O28" s="14">
        <v>263</v>
      </c>
      <c r="P28" s="14">
        <v>263</v>
      </c>
      <c r="Q28" s="13">
        <v>454.26537500000006</v>
      </c>
      <c r="R28" s="13">
        <v>505.14535000000012</v>
      </c>
      <c r="S28" s="47">
        <f>VLOOKUP(D28,'Original Title I &amp; II'!B:B,1,FALSE)</f>
        <v>401180</v>
      </c>
    </row>
    <row r="29" spans="1:19" x14ac:dyDescent="0.3">
      <c r="A29" s="17">
        <v>1</v>
      </c>
      <c r="B29" s="17">
        <v>4</v>
      </c>
      <c r="C29" s="17" t="s">
        <v>572</v>
      </c>
      <c r="D29" s="16">
        <v>401230</v>
      </c>
      <c r="E29" s="17" t="s">
        <v>538</v>
      </c>
      <c r="F29" s="14">
        <v>0</v>
      </c>
      <c r="G29" s="14">
        <v>0</v>
      </c>
      <c r="H29" s="14"/>
      <c r="I29" s="14">
        <v>0</v>
      </c>
      <c r="J29" s="14">
        <v>0</v>
      </c>
      <c r="K29" s="14">
        <v>0</v>
      </c>
      <c r="L29" s="14">
        <v>0</v>
      </c>
      <c r="M29" s="15">
        <v>0</v>
      </c>
      <c r="N29" s="14">
        <v>0</v>
      </c>
      <c r="O29" s="14">
        <v>0</v>
      </c>
      <c r="P29" s="14">
        <v>0</v>
      </c>
      <c r="Q29" s="13">
        <v>0</v>
      </c>
      <c r="R29" s="13">
        <v>0</v>
      </c>
      <c r="S29" s="47" t="e">
        <f>VLOOKUP(D29,'Original Title I &amp; II'!B:B,1,FALSE)</f>
        <v>#N/A</v>
      </c>
    </row>
    <row r="30" spans="1:19" x14ac:dyDescent="0.3">
      <c r="A30" s="17">
        <v>1</v>
      </c>
      <c r="B30" s="17">
        <v>4</v>
      </c>
      <c r="C30" s="17" t="s">
        <v>572</v>
      </c>
      <c r="D30" s="16">
        <v>406580</v>
      </c>
      <c r="E30" s="17" t="s">
        <v>72</v>
      </c>
      <c r="F30" s="14">
        <v>715</v>
      </c>
      <c r="G30" s="14">
        <v>0</v>
      </c>
      <c r="H30" s="14"/>
      <c r="I30" s="14">
        <v>10</v>
      </c>
      <c r="J30" s="14">
        <v>0</v>
      </c>
      <c r="K30" s="14">
        <v>725</v>
      </c>
      <c r="L30" s="14">
        <v>2531</v>
      </c>
      <c r="M30" s="15">
        <v>0.28644804425128406</v>
      </c>
      <c r="N30" s="14">
        <v>725</v>
      </c>
      <c r="O30" s="14">
        <v>725</v>
      </c>
      <c r="P30" s="14">
        <v>725</v>
      </c>
      <c r="Q30" s="13">
        <v>1097.049575</v>
      </c>
      <c r="R30" s="13">
        <v>1138.42895</v>
      </c>
      <c r="S30" s="47">
        <f>VLOOKUP(D30,'Original Title I &amp; II'!B:B,1,FALSE)</f>
        <v>406580</v>
      </c>
    </row>
    <row r="31" spans="1:19" x14ac:dyDescent="0.3">
      <c r="A31" s="17">
        <v>1</v>
      </c>
      <c r="B31" s="17">
        <v>4</v>
      </c>
      <c r="C31" s="17" t="s">
        <v>572</v>
      </c>
      <c r="D31" s="16">
        <v>401260</v>
      </c>
      <c r="E31" s="17" t="s">
        <v>537</v>
      </c>
      <c r="F31" s="14">
        <v>7</v>
      </c>
      <c r="G31" s="14">
        <v>0</v>
      </c>
      <c r="H31" s="14"/>
      <c r="I31" s="14">
        <v>0</v>
      </c>
      <c r="J31" s="14">
        <v>0</v>
      </c>
      <c r="K31" s="14">
        <v>7</v>
      </c>
      <c r="L31" s="14">
        <v>55</v>
      </c>
      <c r="M31" s="15">
        <v>0.12727272727272726</v>
      </c>
      <c r="N31" s="14">
        <v>0</v>
      </c>
      <c r="O31" s="14">
        <v>0</v>
      </c>
      <c r="P31" s="14">
        <v>0</v>
      </c>
      <c r="Q31" s="13">
        <v>0</v>
      </c>
      <c r="R31" s="13">
        <v>0</v>
      </c>
      <c r="S31" s="47">
        <f>VLOOKUP(D31,'Original Title I &amp; II'!B:B,1,FALSE)</f>
        <v>401260</v>
      </c>
    </row>
    <row r="32" spans="1:19" x14ac:dyDescent="0.3">
      <c r="A32" s="17">
        <v>1</v>
      </c>
      <c r="B32" s="17">
        <v>4</v>
      </c>
      <c r="C32" s="17" t="s">
        <v>572</v>
      </c>
      <c r="D32" s="16">
        <v>401290</v>
      </c>
      <c r="E32" s="17" t="s">
        <v>75</v>
      </c>
      <c r="F32" s="14">
        <v>9</v>
      </c>
      <c r="G32" s="14">
        <v>0</v>
      </c>
      <c r="H32" s="14"/>
      <c r="I32" s="14">
        <v>0</v>
      </c>
      <c r="J32" s="14">
        <v>0</v>
      </c>
      <c r="K32" s="14">
        <v>9</v>
      </c>
      <c r="L32" s="14">
        <v>47</v>
      </c>
      <c r="M32" s="15">
        <v>0.19148936170212766</v>
      </c>
      <c r="N32" s="14">
        <v>0</v>
      </c>
      <c r="O32" s="14">
        <v>0</v>
      </c>
      <c r="P32" s="14">
        <v>0</v>
      </c>
      <c r="Q32" s="13">
        <v>0</v>
      </c>
      <c r="R32" s="13">
        <v>0</v>
      </c>
      <c r="S32" s="47">
        <f>VLOOKUP(D32,'Original Title I &amp; II'!B:B,1,FALSE)</f>
        <v>401290</v>
      </c>
    </row>
    <row r="33" spans="1:19" x14ac:dyDescent="0.3">
      <c r="A33" s="17">
        <v>1</v>
      </c>
      <c r="B33" s="17">
        <v>4</v>
      </c>
      <c r="C33" s="17" t="s">
        <v>572</v>
      </c>
      <c r="D33" s="16">
        <v>401330</v>
      </c>
      <c r="E33" s="17" t="s">
        <v>76</v>
      </c>
      <c r="F33" s="14">
        <v>14</v>
      </c>
      <c r="G33" s="14">
        <v>0</v>
      </c>
      <c r="H33" s="14"/>
      <c r="I33" s="14">
        <v>0</v>
      </c>
      <c r="J33" s="14">
        <v>0</v>
      </c>
      <c r="K33" s="14">
        <v>14</v>
      </c>
      <c r="L33" s="14">
        <v>82</v>
      </c>
      <c r="M33" s="15">
        <v>0.17073170731707318</v>
      </c>
      <c r="N33" s="14">
        <v>14</v>
      </c>
      <c r="O33" s="14">
        <v>14</v>
      </c>
      <c r="P33" s="14">
        <v>14</v>
      </c>
      <c r="Q33" s="13">
        <v>14.918300000000002</v>
      </c>
      <c r="R33" s="13">
        <v>14.612200000000001</v>
      </c>
      <c r="S33" s="47">
        <f>VLOOKUP(D33,'Original Title I &amp; II'!B:B,1,FALSE)</f>
        <v>401330</v>
      </c>
    </row>
    <row r="34" spans="1:19" x14ac:dyDescent="0.3">
      <c r="A34" s="17">
        <v>1</v>
      </c>
      <c r="B34" s="17">
        <v>4</v>
      </c>
      <c r="C34" s="17" t="s">
        <v>572</v>
      </c>
      <c r="D34" s="16">
        <v>401380</v>
      </c>
      <c r="E34" s="17" t="s">
        <v>79</v>
      </c>
      <c r="F34" s="14">
        <v>1430</v>
      </c>
      <c r="G34" s="14">
        <v>0</v>
      </c>
      <c r="H34" s="14"/>
      <c r="I34" s="14">
        <v>65</v>
      </c>
      <c r="J34" s="14">
        <v>0</v>
      </c>
      <c r="K34" s="14">
        <v>1495</v>
      </c>
      <c r="L34" s="14">
        <v>5951</v>
      </c>
      <c r="M34" s="15">
        <v>0.25121828264157287</v>
      </c>
      <c r="N34" s="14">
        <v>1495</v>
      </c>
      <c r="O34" s="14">
        <v>1495</v>
      </c>
      <c r="P34" s="14">
        <v>1495</v>
      </c>
      <c r="Q34" s="13">
        <v>2055.3010750000003</v>
      </c>
      <c r="R34" s="13">
        <v>2047.7679500000006</v>
      </c>
      <c r="S34" s="47">
        <f>VLOOKUP(D34,'Original Title I &amp; II'!B:B,1,FALSE)</f>
        <v>401380</v>
      </c>
    </row>
    <row r="35" spans="1:19" x14ac:dyDescent="0.3">
      <c r="A35" s="17">
        <v>1</v>
      </c>
      <c r="B35" s="17">
        <v>4</v>
      </c>
      <c r="C35" s="17" t="s">
        <v>572</v>
      </c>
      <c r="D35" s="16">
        <v>401410</v>
      </c>
      <c r="E35" s="17" t="s">
        <v>80</v>
      </c>
      <c r="F35" s="14">
        <v>761</v>
      </c>
      <c r="G35" s="14">
        <v>0</v>
      </c>
      <c r="H35" s="14"/>
      <c r="I35" s="14">
        <v>34</v>
      </c>
      <c r="J35" s="14">
        <v>0</v>
      </c>
      <c r="K35" s="14">
        <v>795</v>
      </c>
      <c r="L35" s="14">
        <v>4369</v>
      </c>
      <c r="M35" s="15">
        <v>0.18196383611810482</v>
      </c>
      <c r="N35" s="14">
        <v>795</v>
      </c>
      <c r="O35" s="14">
        <v>795</v>
      </c>
      <c r="P35" s="14">
        <v>795</v>
      </c>
      <c r="Q35" s="13">
        <v>880.73235</v>
      </c>
      <c r="R35" s="13">
        <v>852.1549</v>
      </c>
      <c r="S35" s="47">
        <f>VLOOKUP(D35,'Original Title I &amp; II'!B:B,1,FALSE)</f>
        <v>401410</v>
      </c>
    </row>
    <row r="36" spans="1:19" x14ac:dyDescent="0.3">
      <c r="A36" s="17">
        <v>1</v>
      </c>
      <c r="B36" s="17">
        <v>4</v>
      </c>
      <c r="C36" s="17" t="s">
        <v>572</v>
      </c>
      <c r="D36" s="16">
        <v>401500</v>
      </c>
      <c r="E36" s="17" t="s">
        <v>81</v>
      </c>
      <c r="F36" s="14">
        <v>1410</v>
      </c>
      <c r="G36" s="14">
        <v>0</v>
      </c>
      <c r="H36" s="14"/>
      <c r="I36" s="14">
        <v>60</v>
      </c>
      <c r="J36" s="14">
        <v>0</v>
      </c>
      <c r="K36" s="14">
        <v>1470</v>
      </c>
      <c r="L36" s="14">
        <v>3664</v>
      </c>
      <c r="M36" s="15">
        <v>0.40120087336244542</v>
      </c>
      <c r="N36" s="14">
        <v>1470</v>
      </c>
      <c r="O36" s="14">
        <v>1470</v>
      </c>
      <c r="P36" s="14">
        <v>1470</v>
      </c>
      <c r="Q36" s="13">
        <v>2964.6468000000013</v>
      </c>
      <c r="R36" s="13">
        <v>3560.1448000000019</v>
      </c>
      <c r="S36" s="47">
        <f>VLOOKUP(D36,'Original Title I &amp; II'!B:B,1,FALSE)</f>
        <v>401500</v>
      </c>
    </row>
    <row r="37" spans="1:19" x14ac:dyDescent="0.3">
      <c r="A37" s="17">
        <v>1</v>
      </c>
      <c r="B37" s="17">
        <v>4</v>
      </c>
      <c r="C37" s="17" t="s">
        <v>572</v>
      </c>
      <c r="D37" s="16">
        <v>401600</v>
      </c>
      <c r="E37" s="17" t="s">
        <v>86</v>
      </c>
      <c r="F37" s="14">
        <v>486</v>
      </c>
      <c r="G37" s="14">
        <v>0</v>
      </c>
      <c r="H37" s="14"/>
      <c r="I37" s="14">
        <v>25</v>
      </c>
      <c r="J37" s="14">
        <v>0</v>
      </c>
      <c r="K37" s="14">
        <v>511</v>
      </c>
      <c r="L37" s="14">
        <v>1833</v>
      </c>
      <c r="M37" s="15">
        <v>0.27877795962902346</v>
      </c>
      <c r="N37" s="14">
        <v>511</v>
      </c>
      <c r="O37" s="14">
        <v>511</v>
      </c>
      <c r="P37" s="14">
        <v>511</v>
      </c>
      <c r="Q37" s="13">
        <v>759.3567250000001</v>
      </c>
      <c r="R37" s="13">
        <v>782.29485</v>
      </c>
      <c r="S37" s="47">
        <f>VLOOKUP(D37,'Original Title I &amp; II'!B:B,1,FALSE)</f>
        <v>401600</v>
      </c>
    </row>
    <row r="38" spans="1:19" x14ac:dyDescent="0.3">
      <c r="A38" s="17">
        <v>1</v>
      </c>
      <c r="B38" s="17">
        <v>4</v>
      </c>
      <c r="C38" s="17" t="s">
        <v>572</v>
      </c>
      <c r="D38" s="16">
        <v>401650</v>
      </c>
      <c r="E38" s="17" t="s">
        <v>87</v>
      </c>
      <c r="F38" s="14">
        <v>80</v>
      </c>
      <c r="G38" s="14">
        <v>0</v>
      </c>
      <c r="H38" s="14"/>
      <c r="I38" s="14">
        <v>4</v>
      </c>
      <c r="J38" s="14">
        <v>0</v>
      </c>
      <c r="K38" s="14">
        <v>84</v>
      </c>
      <c r="L38" s="14">
        <v>344</v>
      </c>
      <c r="M38" s="15">
        <v>0.2441860465116279</v>
      </c>
      <c r="N38" s="14">
        <v>84</v>
      </c>
      <c r="O38" s="14">
        <v>84</v>
      </c>
      <c r="P38" s="14">
        <v>84</v>
      </c>
      <c r="Q38" s="13">
        <v>112.75979999999996</v>
      </c>
      <c r="R38" s="13">
        <v>111.11479999999996</v>
      </c>
      <c r="S38" s="47">
        <f>VLOOKUP(D38,'Original Title I &amp; II'!B:B,1,FALSE)</f>
        <v>401650</v>
      </c>
    </row>
    <row r="39" spans="1:19" x14ac:dyDescent="0.3">
      <c r="A39" s="17">
        <v>1</v>
      </c>
      <c r="B39" s="17">
        <v>4</v>
      </c>
      <c r="C39" s="17" t="s">
        <v>572</v>
      </c>
      <c r="D39" s="16">
        <v>401680</v>
      </c>
      <c r="E39" s="17" t="s">
        <v>91</v>
      </c>
      <c r="F39" s="14">
        <v>9625</v>
      </c>
      <c r="G39" s="14">
        <v>5</v>
      </c>
      <c r="H39" s="14"/>
      <c r="I39" s="14">
        <v>435</v>
      </c>
      <c r="J39" s="14">
        <v>0</v>
      </c>
      <c r="K39" s="14">
        <v>10065</v>
      </c>
      <c r="L39" s="14">
        <v>21561</v>
      </c>
      <c r="M39" s="15">
        <v>0.46681508278836786</v>
      </c>
      <c r="N39" s="14">
        <v>10065</v>
      </c>
      <c r="O39" s="14">
        <v>10065</v>
      </c>
      <c r="P39" s="14">
        <v>10065</v>
      </c>
      <c r="Q39" s="13">
        <v>23104.451324999995</v>
      </c>
      <c r="R39" s="13">
        <v>29438.106449999996</v>
      </c>
      <c r="S39" s="47">
        <f>VLOOKUP(D39,'Original Title I &amp; II'!B:B,1,FALSE)</f>
        <v>401680</v>
      </c>
    </row>
    <row r="40" spans="1:19" x14ac:dyDescent="0.3">
      <c r="A40" s="17">
        <v>1</v>
      </c>
      <c r="B40" s="17">
        <v>4</v>
      </c>
      <c r="C40" s="17" t="s">
        <v>572</v>
      </c>
      <c r="D40" s="16">
        <v>401710</v>
      </c>
      <c r="E40" s="17" t="s">
        <v>93</v>
      </c>
      <c r="F40" s="14">
        <v>2447</v>
      </c>
      <c r="G40" s="14">
        <v>8</v>
      </c>
      <c r="H40" s="14"/>
      <c r="I40" s="14">
        <v>134</v>
      </c>
      <c r="J40" s="14">
        <v>0</v>
      </c>
      <c r="K40" s="14">
        <v>2589</v>
      </c>
      <c r="L40" s="14">
        <v>9240</v>
      </c>
      <c r="M40" s="15">
        <v>0.28019480519480522</v>
      </c>
      <c r="N40" s="14">
        <v>2589</v>
      </c>
      <c r="O40" s="14">
        <v>2589</v>
      </c>
      <c r="P40" s="14">
        <v>2589</v>
      </c>
      <c r="Q40" s="13">
        <v>3860.5830000000005</v>
      </c>
      <c r="R40" s="13">
        <v>3982.7580000000007</v>
      </c>
      <c r="S40" s="47">
        <f>VLOOKUP(D40,'Original Title I &amp; II'!B:B,1,FALSE)</f>
        <v>401710</v>
      </c>
    </row>
    <row r="41" spans="1:19" x14ac:dyDescent="0.3">
      <c r="A41" s="17">
        <v>1</v>
      </c>
      <c r="B41" s="17">
        <v>4</v>
      </c>
      <c r="C41" s="17" t="s">
        <v>572</v>
      </c>
      <c r="D41" s="16">
        <v>401740</v>
      </c>
      <c r="E41" s="17" t="s">
        <v>94</v>
      </c>
      <c r="F41" s="14">
        <v>1202</v>
      </c>
      <c r="G41" s="14">
        <v>0</v>
      </c>
      <c r="H41" s="14"/>
      <c r="I41" s="14">
        <v>65</v>
      </c>
      <c r="J41" s="14">
        <v>0</v>
      </c>
      <c r="K41" s="14">
        <v>1267</v>
      </c>
      <c r="L41" s="14">
        <v>5452</v>
      </c>
      <c r="M41" s="15">
        <v>0.23239178283198828</v>
      </c>
      <c r="N41" s="14">
        <v>1267</v>
      </c>
      <c r="O41" s="14">
        <v>1267</v>
      </c>
      <c r="P41" s="14">
        <v>1267</v>
      </c>
      <c r="Q41" s="13">
        <v>1626.3559000000002</v>
      </c>
      <c r="R41" s="13">
        <v>1568.1334000000002</v>
      </c>
      <c r="S41" s="47">
        <f>VLOOKUP(D41,'Original Title I &amp; II'!B:B,1,FALSE)</f>
        <v>401740</v>
      </c>
    </row>
    <row r="42" spans="1:19" x14ac:dyDescent="0.3">
      <c r="A42" s="17">
        <v>1</v>
      </c>
      <c r="B42" s="17">
        <v>4</v>
      </c>
      <c r="C42" s="17" t="s">
        <v>572</v>
      </c>
      <c r="D42" s="16">
        <v>401760</v>
      </c>
      <c r="E42" s="17" t="s">
        <v>95</v>
      </c>
      <c r="F42" s="14">
        <v>375</v>
      </c>
      <c r="G42" s="14">
        <v>0</v>
      </c>
      <c r="H42" s="14"/>
      <c r="I42" s="14">
        <v>18</v>
      </c>
      <c r="J42" s="14">
        <v>0</v>
      </c>
      <c r="K42" s="14">
        <v>393</v>
      </c>
      <c r="L42" s="14">
        <v>4653</v>
      </c>
      <c r="M42" s="15">
        <v>8.4461637653127017E-2</v>
      </c>
      <c r="N42" s="14">
        <v>393</v>
      </c>
      <c r="O42" s="14">
        <v>0</v>
      </c>
      <c r="P42" s="14">
        <v>393</v>
      </c>
      <c r="Q42" s="13">
        <v>393.00000000000006</v>
      </c>
      <c r="R42" s="13">
        <v>393.00000000000006</v>
      </c>
      <c r="S42" s="47">
        <f>VLOOKUP(D42,'Original Title I &amp; II'!B:B,1,FALSE)</f>
        <v>401760</v>
      </c>
    </row>
    <row r="43" spans="1:19" x14ac:dyDescent="0.3">
      <c r="A43" s="17">
        <v>1</v>
      </c>
      <c r="B43" s="17">
        <v>4</v>
      </c>
      <c r="C43" s="17" t="s">
        <v>572</v>
      </c>
      <c r="D43" s="16">
        <v>400001</v>
      </c>
      <c r="E43" s="17" t="s">
        <v>96</v>
      </c>
      <c r="F43" s="14">
        <v>580</v>
      </c>
      <c r="G43" s="14">
        <v>0</v>
      </c>
      <c r="H43" s="14"/>
      <c r="I43" s="14">
        <v>26</v>
      </c>
      <c r="J43" s="14">
        <v>0</v>
      </c>
      <c r="K43" s="14">
        <v>606</v>
      </c>
      <c r="L43" s="14">
        <v>8799</v>
      </c>
      <c r="M43" s="15">
        <v>6.8871462666212066E-2</v>
      </c>
      <c r="N43" s="14">
        <v>606</v>
      </c>
      <c r="O43" s="14">
        <v>0</v>
      </c>
      <c r="P43" s="14">
        <v>606</v>
      </c>
      <c r="Q43" s="13">
        <v>606</v>
      </c>
      <c r="R43" s="13">
        <v>606</v>
      </c>
      <c r="S43" s="47">
        <f>VLOOKUP(D43,'Original Title I &amp; II'!B:B,1,FALSE)</f>
        <v>400001</v>
      </c>
    </row>
    <row r="44" spans="1:19" x14ac:dyDescent="0.3">
      <c r="A44" s="17">
        <v>1</v>
      </c>
      <c r="B44" s="17">
        <v>4</v>
      </c>
      <c r="C44" s="17" t="s">
        <v>572</v>
      </c>
      <c r="D44" s="16">
        <v>401810</v>
      </c>
      <c r="E44" s="17" t="s">
        <v>97</v>
      </c>
      <c r="F44" s="14">
        <v>607</v>
      </c>
      <c r="G44" s="14">
        <v>0</v>
      </c>
      <c r="H44" s="14"/>
      <c r="I44" s="14">
        <v>8</v>
      </c>
      <c r="J44" s="14">
        <v>0</v>
      </c>
      <c r="K44" s="14">
        <v>615</v>
      </c>
      <c r="L44" s="14">
        <v>1627</v>
      </c>
      <c r="M44" s="15">
        <v>0.3779963122311002</v>
      </c>
      <c r="N44" s="14">
        <v>615</v>
      </c>
      <c r="O44" s="14">
        <v>615</v>
      </c>
      <c r="P44" s="14">
        <v>615</v>
      </c>
      <c r="Q44" s="13">
        <v>1170.810375</v>
      </c>
      <c r="R44" s="13">
        <v>1365.1073500000002</v>
      </c>
      <c r="S44" s="47">
        <f>VLOOKUP(D44,'Original Title I &amp; II'!B:B,1,FALSE)</f>
        <v>401810</v>
      </c>
    </row>
    <row r="45" spans="1:19" x14ac:dyDescent="0.3">
      <c r="A45" s="17">
        <v>1</v>
      </c>
      <c r="B45" s="17">
        <v>4</v>
      </c>
      <c r="C45" s="17" t="s">
        <v>572</v>
      </c>
      <c r="D45" s="16">
        <v>401870</v>
      </c>
      <c r="E45" s="17" t="s">
        <v>591</v>
      </c>
      <c r="F45" s="14">
        <v>5344</v>
      </c>
      <c r="G45" s="14">
        <v>22</v>
      </c>
      <c r="H45" s="14"/>
      <c r="I45" s="14">
        <v>242</v>
      </c>
      <c r="J45" s="14">
        <v>0</v>
      </c>
      <c r="K45" s="14">
        <v>5608</v>
      </c>
      <c r="L45" s="14">
        <v>46137</v>
      </c>
      <c r="M45" s="15">
        <v>0.12155103279363634</v>
      </c>
      <c r="N45" s="14">
        <v>5608</v>
      </c>
      <c r="O45" s="14">
        <v>0</v>
      </c>
      <c r="P45" s="14">
        <v>5608</v>
      </c>
      <c r="Q45" s="13">
        <v>9739.5</v>
      </c>
      <c r="R45" s="13">
        <v>10576</v>
      </c>
      <c r="S45" s="47">
        <f>VLOOKUP(D45,'Original Title I &amp; II'!B:B,1,FALSE)</f>
        <v>401870</v>
      </c>
    </row>
    <row r="46" spans="1:19" x14ac:dyDescent="0.3">
      <c r="A46" s="17">
        <v>1</v>
      </c>
      <c r="B46" s="17">
        <v>4</v>
      </c>
      <c r="C46" s="17" t="s">
        <v>572</v>
      </c>
      <c r="D46" s="16">
        <v>401920</v>
      </c>
      <c r="E46" s="17" t="s">
        <v>533</v>
      </c>
      <c r="F46" s="14">
        <v>10</v>
      </c>
      <c r="G46" s="14">
        <v>0</v>
      </c>
      <c r="H46" s="14"/>
      <c r="I46" s="14">
        <v>0</v>
      </c>
      <c r="J46" s="14">
        <v>0</v>
      </c>
      <c r="K46" s="14">
        <v>10</v>
      </c>
      <c r="L46" s="14">
        <v>28</v>
      </c>
      <c r="M46" s="15">
        <v>0.35714285714285715</v>
      </c>
      <c r="N46" s="14">
        <v>10</v>
      </c>
      <c r="O46" s="14">
        <v>10</v>
      </c>
      <c r="P46" s="14">
        <v>10</v>
      </c>
      <c r="Q46" s="13">
        <v>18.2515</v>
      </c>
      <c r="R46" s="13">
        <v>20.865400000000001</v>
      </c>
      <c r="S46" s="47">
        <f>VLOOKUP(D46,'Original Title I &amp; II'!B:B,1,FALSE)</f>
        <v>401920</v>
      </c>
    </row>
    <row r="47" spans="1:19" x14ac:dyDescent="0.3">
      <c r="A47" s="17">
        <v>1</v>
      </c>
      <c r="B47" s="17">
        <v>4</v>
      </c>
      <c r="C47" s="17" t="s">
        <v>572</v>
      </c>
      <c r="D47" s="16">
        <v>401940</v>
      </c>
      <c r="E47" s="17" t="s">
        <v>102</v>
      </c>
      <c r="F47" s="14">
        <v>1896</v>
      </c>
      <c r="G47" s="14">
        <v>0</v>
      </c>
      <c r="H47" s="14"/>
      <c r="I47" s="14">
        <v>13</v>
      </c>
      <c r="J47" s="14">
        <v>0</v>
      </c>
      <c r="K47" s="14">
        <v>1909</v>
      </c>
      <c r="L47" s="14">
        <v>4862</v>
      </c>
      <c r="M47" s="15">
        <v>0.39263677498971616</v>
      </c>
      <c r="N47" s="14">
        <v>1909</v>
      </c>
      <c r="O47" s="14">
        <v>1909</v>
      </c>
      <c r="P47" s="14">
        <v>1909</v>
      </c>
      <c r="Q47" s="13">
        <v>3767.4281500000002</v>
      </c>
      <c r="R47" s="13">
        <v>4474.3559000000005</v>
      </c>
      <c r="S47" s="47">
        <f>VLOOKUP(D47,'Original Title I &amp; II'!B:B,1,FALSE)</f>
        <v>401940</v>
      </c>
    </row>
    <row r="48" spans="1:19" x14ac:dyDescent="0.3">
      <c r="A48" s="17">
        <v>1</v>
      </c>
      <c r="B48" s="17">
        <v>4</v>
      </c>
      <c r="C48" s="17" t="s">
        <v>572</v>
      </c>
      <c r="D48" s="16">
        <v>400003</v>
      </c>
      <c r="E48" s="17" t="s">
        <v>104</v>
      </c>
      <c r="F48" s="14">
        <v>914</v>
      </c>
      <c r="G48" s="14">
        <v>0</v>
      </c>
      <c r="H48" s="14"/>
      <c r="I48" s="14">
        <v>46</v>
      </c>
      <c r="J48" s="14">
        <v>0</v>
      </c>
      <c r="K48" s="14">
        <v>960</v>
      </c>
      <c r="L48" s="14">
        <v>3542</v>
      </c>
      <c r="M48" s="15">
        <v>0.27103331451157536</v>
      </c>
      <c r="N48" s="14">
        <v>960</v>
      </c>
      <c r="O48" s="14">
        <v>960</v>
      </c>
      <c r="P48" s="14">
        <v>960</v>
      </c>
      <c r="Q48" s="13">
        <v>1398.7651499999999</v>
      </c>
      <c r="R48" s="13">
        <v>1429.3738999999998</v>
      </c>
      <c r="S48" s="47">
        <f>VLOOKUP(D48,'Original Title I &amp; II'!B:B,1,FALSE)</f>
        <v>400003</v>
      </c>
    </row>
    <row r="49" spans="1:19" x14ac:dyDescent="0.3">
      <c r="A49" s="17">
        <v>1</v>
      </c>
      <c r="B49" s="17">
        <v>4</v>
      </c>
      <c r="C49" s="17" t="s">
        <v>572</v>
      </c>
      <c r="D49" s="16">
        <v>400004</v>
      </c>
      <c r="E49" s="17" t="s">
        <v>106</v>
      </c>
      <c r="F49" s="14">
        <v>58</v>
      </c>
      <c r="G49" s="14">
        <v>0</v>
      </c>
      <c r="H49" s="14"/>
      <c r="I49" s="14">
        <v>3</v>
      </c>
      <c r="J49" s="14">
        <v>0</v>
      </c>
      <c r="K49" s="14">
        <v>61</v>
      </c>
      <c r="L49" s="14">
        <v>342</v>
      </c>
      <c r="M49" s="15">
        <v>0.17836257309941519</v>
      </c>
      <c r="N49" s="14">
        <v>61</v>
      </c>
      <c r="O49" s="14">
        <v>61</v>
      </c>
      <c r="P49" s="14">
        <v>61</v>
      </c>
      <c r="Q49" s="13">
        <v>66.787300000000002</v>
      </c>
      <c r="R49" s="13">
        <v>64.858199999999997</v>
      </c>
      <c r="S49" s="47">
        <f>VLOOKUP(D49,'Original Title I &amp; II'!B:B,1,FALSE)</f>
        <v>400004</v>
      </c>
    </row>
    <row r="50" spans="1:19" x14ac:dyDescent="0.3">
      <c r="A50" s="17">
        <v>1</v>
      </c>
      <c r="B50" s="17">
        <v>4</v>
      </c>
      <c r="C50" s="17" t="s">
        <v>572</v>
      </c>
      <c r="D50" s="16">
        <v>402110</v>
      </c>
      <c r="E50" s="17" t="s">
        <v>532</v>
      </c>
      <c r="F50" s="14">
        <v>32</v>
      </c>
      <c r="G50" s="14">
        <v>0</v>
      </c>
      <c r="H50" s="14"/>
      <c r="I50" s="14">
        <v>0</v>
      </c>
      <c r="J50" s="14">
        <v>0</v>
      </c>
      <c r="K50" s="14">
        <v>32</v>
      </c>
      <c r="L50" s="14">
        <v>616</v>
      </c>
      <c r="M50" s="15">
        <v>5.1948051948051951E-2</v>
      </c>
      <c r="N50" s="14">
        <v>32</v>
      </c>
      <c r="O50" s="14">
        <v>0</v>
      </c>
      <c r="P50" s="14">
        <v>32</v>
      </c>
      <c r="Q50" s="13">
        <v>32</v>
      </c>
      <c r="R50" s="13">
        <v>32</v>
      </c>
      <c r="S50" s="47">
        <f>VLOOKUP(D50,'Original Title I &amp; II'!B:B,1,FALSE)</f>
        <v>402110</v>
      </c>
    </row>
    <row r="51" spans="1:19" x14ac:dyDescent="0.3">
      <c r="A51" s="17">
        <v>1</v>
      </c>
      <c r="B51" s="17">
        <v>4</v>
      </c>
      <c r="C51" s="17" t="s">
        <v>572</v>
      </c>
      <c r="D51" s="16">
        <v>402130</v>
      </c>
      <c r="E51" s="17" t="s">
        <v>530</v>
      </c>
      <c r="F51" s="14">
        <v>8</v>
      </c>
      <c r="G51" s="14">
        <v>0</v>
      </c>
      <c r="H51" s="14"/>
      <c r="I51" s="14">
        <v>0</v>
      </c>
      <c r="J51" s="14">
        <v>0</v>
      </c>
      <c r="K51" s="14">
        <v>8</v>
      </c>
      <c r="L51" s="14">
        <v>32</v>
      </c>
      <c r="M51" s="15">
        <v>0.25</v>
      </c>
      <c r="N51" s="14">
        <v>0</v>
      </c>
      <c r="O51" s="14">
        <v>0</v>
      </c>
      <c r="P51" s="14">
        <v>0</v>
      </c>
      <c r="Q51" s="13">
        <v>0</v>
      </c>
      <c r="R51" s="13">
        <v>0</v>
      </c>
      <c r="S51" s="47">
        <f>VLOOKUP(D51,'Original Title I &amp; II'!B:B,1,FALSE)</f>
        <v>402130</v>
      </c>
    </row>
    <row r="52" spans="1:19" x14ac:dyDescent="0.3">
      <c r="A52" s="17">
        <v>1</v>
      </c>
      <c r="B52" s="17">
        <v>4</v>
      </c>
      <c r="C52" s="17" t="s">
        <v>572</v>
      </c>
      <c r="D52" s="16">
        <v>400021</v>
      </c>
      <c r="E52" s="17" t="s">
        <v>110</v>
      </c>
      <c r="F52" s="14">
        <v>1062</v>
      </c>
      <c r="G52" s="14">
        <v>0</v>
      </c>
      <c r="H52" s="14"/>
      <c r="I52" s="14">
        <v>45</v>
      </c>
      <c r="J52" s="14">
        <v>0</v>
      </c>
      <c r="K52" s="14">
        <v>1107</v>
      </c>
      <c r="L52" s="14">
        <v>2478</v>
      </c>
      <c r="M52" s="15">
        <v>0.44673123486682809</v>
      </c>
      <c r="N52" s="14">
        <v>1107</v>
      </c>
      <c r="O52" s="14">
        <v>1107</v>
      </c>
      <c r="P52" s="14">
        <v>1107</v>
      </c>
      <c r="Q52" s="13">
        <v>2456.3173500000003</v>
      </c>
      <c r="R52" s="13">
        <v>3084.7071000000005</v>
      </c>
      <c r="S52" s="47">
        <f>VLOOKUP(D52,'Original Title I &amp; II'!B:B,1,FALSE)</f>
        <v>400021</v>
      </c>
    </row>
    <row r="53" spans="1:19" x14ac:dyDescent="0.3">
      <c r="A53" s="17">
        <v>1</v>
      </c>
      <c r="B53" s="17">
        <v>4</v>
      </c>
      <c r="C53" s="17" t="s">
        <v>572</v>
      </c>
      <c r="D53" s="16">
        <v>400082</v>
      </c>
      <c r="E53" s="17" t="s">
        <v>111</v>
      </c>
      <c r="F53" s="14">
        <v>723</v>
      </c>
      <c r="G53" s="14">
        <v>0</v>
      </c>
      <c r="H53" s="14"/>
      <c r="I53" s="14">
        <v>31</v>
      </c>
      <c r="J53" s="14">
        <v>0</v>
      </c>
      <c r="K53" s="14">
        <v>754</v>
      </c>
      <c r="L53" s="14">
        <v>2863</v>
      </c>
      <c r="M53" s="15">
        <v>0.26336011177086971</v>
      </c>
      <c r="N53" s="14">
        <v>754</v>
      </c>
      <c r="O53" s="14">
        <v>754</v>
      </c>
      <c r="P53" s="14">
        <v>754</v>
      </c>
      <c r="Q53" s="13">
        <v>1075.7014749999998</v>
      </c>
      <c r="R53" s="13">
        <v>1089.4583499999999</v>
      </c>
      <c r="S53" s="47">
        <f>VLOOKUP(D53,'Original Title I &amp; II'!B:B,1,FALSE)</f>
        <v>400082</v>
      </c>
    </row>
    <row r="54" spans="1:19" x14ac:dyDescent="0.3">
      <c r="A54" s="17">
        <v>1</v>
      </c>
      <c r="B54" s="17">
        <v>4</v>
      </c>
      <c r="C54" s="17" t="s">
        <v>572</v>
      </c>
      <c r="D54" s="16">
        <v>402190</v>
      </c>
      <c r="E54" s="17" t="s">
        <v>112</v>
      </c>
      <c r="F54" s="14">
        <v>110</v>
      </c>
      <c r="G54" s="14">
        <v>0</v>
      </c>
      <c r="H54" s="14"/>
      <c r="I54" s="14">
        <v>1</v>
      </c>
      <c r="J54" s="14">
        <v>0</v>
      </c>
      <c r="K54" s="14">
        <v>111</v>
      </c>
      <c r="L54" s="14">
        <v>291</v>
      </c>
      <c r="M54" s="15">
        <v>0.38144329896907214</v>
      </c>
      <c r="N54" s="14">
        <v>111</v>
      </c>
      <c r="O54" s="14">
        <v>111</v>
      </c>
      <c r="P54" s="14">
        <v>111</v>
      </c>
      <c r="Q54" s="13">
        <v>212.66737499999999</v>
      </c>
      <c r="R54" s="13">
        <v>248.67255</v>
      </c>
      <c r="S54" s="47">
        <f>VLOOKUP(D54,'Original Title I &amp; II'!B:B,1,FALSE)</f>
        <v>402190</v>
      </c>
    </row>
    <row r="55" spans="1:19" x14ac:dyDescent="0.3">
      <c r="A55" s="17">
        <v>1</v>
      </c>
      <c r="B55" s="17">
        <v>4</v>
      </c>
      <c r="C55" s="17" t="s">
        <v>572</v>
      </c>
      <c r="D55" s="16">
        <v>402220</v>
      </c>
      <c r="E55" s="17" t="s">
        <v>113</v>
      </c>
      <c r="F55" s="14">
        <v>61</v>
      </c>
      <c r="G55" s="14">
        <v>0</v>
      </c>
      <c r="H55" s="14"/>
      <c r="I55" s="14">
        <v>3</v>
      </c>
      <c r="J55" s="14">
        <v>0</v>
      </c>
      <c r="K55" s="14">
        <v>64</v>
      </c>
      <c r="L55" s="14">
        <v>211</v>
      </c>
      <c r="M55" s="15">
        <v>0.30331753554502372</v>
      </c>
      <c r="N55" s="14">
        <v>64</v>
      </c>
      <c r="O55" s="14">
        <v>64</v>
      </c>
      <c r="P55" s="14">
        <v>64</v>
      </c>
      <c r="Q55" s="13">
        <v>100.62737500000004</v>
      </c>
      <c r="R55" s="13">
        <v>106.12855000000003</v>
      </c>
      <c r="S55" s="47">
        <f>VLOOKUP(D55,'Original Title I &amp; II'!B:B,1,FALSE)</f>
        <v>402220</v>
      </c>
    </row>
    <row r="56" spans="1:19" x14ac:dyDescent="0.3">
      <c r="A56" s="17">
        <v>1</v>
      </c>
      <c r="B56" s="17">
        <v>4</v>
      </c>
      <c r="C56" s="17" t="s">
        <v>572</v>
      </c>
      <c r="D56" s="16">
        <v>402250</v>
      </c>
      <c r="E56" s="17" t="s">
        <v>114</v>
      </c>
      <c r="F56" s="14">
        <v>91</v>
      </c>
      <c r="G56" s="14">
        <v>0</v>
      </c>
      <c r="H56" s="14"/>
      <c r="I56" s="14">
        <v>4</v>
      </c>
      <c r="J56" s="14">
        <v>0</v>
      </c>
      <c r="K56" s="14">
        <v>95</v>
      </c>
      <c r="L56" s="14">
        <v>687</v>
      </c>
      <c r="M56" s="15">
        <v>0.13828238719068414</v>
      </c>
      <c r="N56" s="14">
        <v>95</v>
      </c>
      <c r="O56" s="14">
        <v>0</v>
      </c>
      <c r="P56" s="14">
        <v>95</v>
      </c>
      <c r="Q56" s="13">
        <v>95</v>
      </c>
      <c r="R56" s="13">
        <v>95</v>
      </c>
      <c r="S56" s="47">
        <f>VLOOKUP(D56,'Original Title I &amp; II'!B:B,1,FALSE)</f>
        <v>402250</v>
      </c>
    </row>
    <row r="57" spans="1:19" x14ac:dyDescent="0.3">
      <c r="A57" s="17">
        <v>1</v>
      </c>
      <c r="B57" s="17">
        <v>4</v>
      </c>
      <c r="C57" s="17" t="s">
        <v>572</v>
      </c>
      <c r="D57" s="16">
        <v>402320</v>
      </c>
      <c r="E57" s="17" t="s">
        <v>115</v>
      </c>
      <c r="F57" s="14">
        <v>1736</v>
      </c>
      <c r="G57" s="14">
        <v>0</v>
      </c>
      <c r="H57" s="14"/>
      <c r="I57" s="14">
        <v>94</v>
      </c>
      <c r="J57" s="14">
        <v>0</v>
      </c>
      <c r="K57" s="14">
        <v>1830</v>
      </c>
      <c r="L57" s="14">
        <v>8139</v>
      </c>
      <c r="M57" s="15">
        <v>0.22484334684850718</v>
      </c>
      <c r="N57" s="14">
        <v>1830</v>
      </c>
      <c r="O57" s="14">
        <v>1830</v>
      </c>
      <c r="P57" s="14">
        <v>1830</v>
      </c>
      <c r="Q57" s="13">
        <v>2399.5</v>
      </c>
      <c r="R57" s="13">
        <v>2399.5</v>
      </c>
      <c r="S57" s="47">
        <f>VLOOKUP(D57,'Original Title I &amp; II'!B:B,1,FALSE)</f>
        <v>402320</v>
      </c>
    </row>
    <row r="58" spans="1:19" x14ac:dyDescent="0.3">
      <c r="A58" s="17">
        <v>1</v>
      </c>
      <c r="B58" s="17">
        <v>4</v>
      </c>
      <c r="C58" s="17" t="s">
        <v>572</v>
      </c>
      <c r="D58" s="16">
        <v>402370</v>
      </c>
      <c r="E58" s="17" t="s">
        <v>117</v>
      </c>
      <c r="F58" s="14">
        <v>712</v>
      </c>
      <c r="G58" s="14">
        <v>0</v>
      </c>
      <c r="H58" s="14"/>
      <c r="I58" s="14">
        <v>36</v>
      </c>
      <c r="J58" s="14">
        <v>0</v>
      </c>
      <c r="K58" s="14">
        <v>748</v>
      </c>
      <c r="L58" s="14">
        <v>3000</v>
      </c>
      <c r="M58" s="15">
        <v>0.24933333333333332</v>
      </c>
      <c r="N58" s="14">
        <v>748</v>
      </c>
      <c r="O58" s="14">
        <v>748</v>
      </c>
      <c r="P58" s="14">
        <v>748</v>
      </c>
      <c r="Q58" s="13">
        <v>1021.9749999999999</v>
      </c>
      <c r="R58" s="13">
        <v>1015.35</v>
      </c>
      <c r="S58" s="47">
        <f>VLOOKUP(D58,'Original Title I &amp; II'!B:B,1,FALSE)</f>
        <v>402370</v>
      </c>
    </row>
    <row r="59" spans="1:19" x14ac:dyDescent="0.3">
      <c r="A59" s="17">
        <v>1</v>
      </c>
      <c r="B59" s="17">
        <v>4</v>
      </c>
      <c r="C59" s="17" t="s">
        <v>572</v>
      </c>
      <c r="D59" s="16">
        <v>402400</v>
      </c>
      <c r="E59" s="17" t="s">
        <v>121</v>
      </c>
      <c r="F59" s="14">
        <v>1900</v>
      </c>
      <c r="G59" s="14">
        <v>0</v>
      </c>
      <c r="H59" s="14"/>
      <c r="I59" s="14">
        <v>36</v>
      </c>
      <c r="J59" s="14">
        <v>0</v>
      </c>
      <c r="K59" s="14">
        <v>1936</v>
      </c>
      <c r="L59" s="14">
        <v>6588</v>
      </c>
      <c r="M59" s="15">
        <v>0.29386763812993322</v>
      </c>
      <c r="N59" s="14">
        <v>1936</v>
      </c>
      <c r="O59" s="14">
        <v>1936</v>
      </c>
      <c r="P59" s="14">
        <v>1936</v>
      </c>
      <c r="Q59" s="13">
        <v>2977.7371000000003</v>
      </c>
      <c r="R59" s="13">
        <v>3109.8846000000003</v>
      </c>
      <c r="S59" s="47">
        <f>VLOOKUP(D59,'Original Title I &amp; II'!B:B,1,FALSE)</f>
        <v>402400</v>
      </c>
    </row>
    <row r="60" spans="1:19" x14ac:dyDescent="0.3">
      <c r="A60" s="17">
        <v>1</v>
      </c>
      <c r="B60" s="17">
        <v>4</v>
      </c>
      <c r="C60" s="17" t="s">
        <v>572</v>
      </c>
      <c r="D60" s="16">
        <v>402430</v>
      </c>
      <c r="E60" s="17" t="s">
        <v>122</v>
      </c>
      <c r="F60" s="14">
        <v>4168</v>
      </c>
      <c r="G60" s="14">
        <v>9</v>
      </c>
      <c r="H60" s="14"/>
      <c r="I60" s="14">
        <v>189</v>
      </c>
      <c r="J60" s="14">
        <v>0</v>
      </c>
      <c r="K60" s="14">
        <v>4366</v>
      </c>
      <c r="L60" s="14">
        <v>9584</v>
      </c>
      <c r="M60" s="15">
        <v>0.455550918196995</v>
      </c>
      <c r="N60" s="14">
        <v>4366</v>
      </c>
      <c r="O60" s="14">
        <v>4366</v>
      </c>
      <c r="P60" s="14">
        <v>4366</v>
      </c>
      <c r="Q60" s="13">
        <v>9838.2508000000016</v>
      </c>
      <c r="R60" s="13">
        <v>12437.688800000002</v>
      </c>
      <c r="S60" s="47">
        <f>VLOOKUP(D60,'Original Title I &amp; II'!B:B,1,FALSE)</f>
        <v>402430</v>
      </c>
    </row>
    <row r="61" spans="1:19" x14ac:dyDescent="0.3">
      <c r="A61" s="17">
        <v>1</v>
      </c>
      <c r="B61" s="17">
        <v>4</v>
      </c>
      <c r="C61" s="17" t="s">
        <v>572</v>
      </c>
      <c r="D61" s="16">
        <v>402460</v>
      </c>
      <c r="E61" s="172" t="s">
        <v>527</v>
      </c>
      <c r="F61" s="14">
        <v>3</v>
      </c>
      <c r="G61" s="14">
        <v>0</v>
      </c>
      <c r="H61" s="14"/>
      <c r="I61" s="14">
        <v>0</v>
      </c>
      <c r="J61" s="14">
        <v>0</v>
      </c>
      <c r="K61" s="14">
        <v>3</v>
      </c>
      <c r="L61" s="14">
        <v>15</v>
      </c>
      <c r="M61" s="15">
        <v>0.2</v>
      </c>
      <c r="N61" s="14">
        <v>0</v>
      </c>
      <c r="O61" s="14">
        <v>0</v>
      </c>
      <c r="P61" s="14">
        <v>0</v>
      </c>
      <c r="Q61" s="13">
        <v>0</v>
      </c>
      <c r="R61" s="13">
        <v>0</v>
      </c>
      <c r="S61" s="47">
        <f>VLOOKUP(D61,'Original Title I &amp; II'!B:B,1,FALSE)</f>
        <v>402460</v>
      </c>
    </row>
    <row r="62" spans="1:19" x14ac:dyDescent="0.3">
      <c r="A62" s="17">
        <v>1</v>
      </c>
      <c r="B62" s="17">
        <v>4</v>
      </c>
      <c r="C62" s="17" t="s">
        <v>572</v>
      </c>
      <c r="D62" s="16">
        <v>407750</v>
      </c>
      <c r="E62" s="17" t="s">
        <v>127</v>
      </c>
      <c r="F62" s="14">
        <v>5514</v>
      </c>
      <c r="G62" s="14">
        <v>169</v>
      </c>
      <c r="H62" s="14"/>
      <c r="I62" s="14">
        <v>249</v>
      </c>
      <c r="J62" s="14">
        <v>0</v>
      </c>
      <c r="K62" s="14">
        <v>5932</v>
      </c>
      <c r="L62" s="14">
        <v>48660</v>
      </c>
      <c r="M62" s="15">
        <v>0.12190711056309084</v>
      </c>
      <c r="N62" s="14">
        <v>5932</v>
      </c>
      <c r="O62" s="14">
        <v>0</v>
      </c>
      <c r="P62" s="14">
        <v>5932</v>
      </c>
      <c r="Q62" s="13">
        <v>10387.5</v>
      </c>
      <c r="R62" s="13">
        <v>11305</v>
      </c>
      <c r="S62" s="47">
        <f>VLOOKUP(D62,'Original Title I &amp; II'!B:B,1,FALSE)</f>
        <v>407750</v>
      </c>
    </row>
    <row r="63" spans="1:19" x14ac:dyDescent="0.3">
      <c r="A63" s="17">
        <v>1</v>
      </c>
      <c r="B63" s="17">
        <v>4</v>
      </c>
      <c r="C63" s="17" t="s">
        <v>572</v>
      </c>
      <c r="D63" s="16">
        <v>402490</v>
      </c>
      <c r="E63" s="17" t="s">
        <v>134</v>
      </c>
      <c r="F63" s="14">
        <v>25</v>
      </c>
      <c r="G63" s="14">
        <v>0</v>
      </c>
      <c r="H63" s="14"/>
      <c r="I63" s="14">
        <v>1</v>
      </c>
      <c r="J63" s="14">
        <v>0</v>
      </c>
      <c r="K63" s="14">
        <v>26</v>
      </c>
      <c r="L63" s="14">
        <v>83</v>
      </c>
      <c r="M63" s="15">
        <v>0.31325301204819278</v>
      </c>
      <c r="N63" s="14">
        <v>26</v>
      </c>
      <c r="O63" s="14">
        <v>26</v>
      </c>
      <c r="P63" s="14">
        <v>26</v>
      </c>
      <c r="Q63" s="13">
        <v>42.263375000000003</v>
      </c>
      <c r="R63" s="13">
        <v>45.45815000000001</v>
      </c>
      <c r="S63" s="47">
        <f>VLOOKUP(D63,'Original Title I &amp; II'!B:B,1,FALSE)</f>
        <v>402490</v>
      </c>
    </row>
    <row r="64" spans="1:19" x14ac:dyDescent="0.3">
      <c r="A64" s="17">
        <v>1</v>
      </c>
      <c r="B64" s="17">
        <v>4</v>
      </c>
      <c r="C64" s="17" t="s">
        <v>572</v>
      </c>
      <c r="D64" s="16">
        <v>402530</v>
      </c>
      <c r="E64" s="17" t="s">
        <v>135</v>
      </c>
      <c r="F64" s="14">
        <v>1744</v>
      </c>
      <c r="G64" s="14">
        <v>0</v>
      </c>
      <c r="H64" s="14"/>
      <c r="I64" s="14">
        <v>44</v>
      </c>
      <c r="J64" s="14">
        <v>0</v>
      </c>
      <c r="K64" s="14">
        <v>1788</v>
      </c>
      <c r="L64" s="14">
        <v>4327</v>
      </c>
      <c r="M64" s="15">
        <v>0.41321932054541255</v>
      </c>
      <c r="N64" s="14">
        <v>1788</v>
      </c>
      <c r="O64" s="14">
        <v>1788</v>
      </c>
      <c r="P64" s="14">
        <v>1788</v>
      </c>
      <c r="Q64" s="13">
        <v>3709.1142749999999</v>
      </c>
      <c r="R64" s="13">
        <v>4516.3751500000008</v>
      </c>
      <c r="S64" s="47">
        <f>VLOOKUP(D64,'Original Title I &amp; II'!B:B,1,FALSE)</f>
        <v>402530</v>
      </c>
    </row>
    <row r="65" spans="1:19" x14ac:dyDescent="0.3">
      <c r="A65" s="17">
        <v>1</v>
      </c>
      <c r="B65" s="17">
        <v>4</v>
      </c>
      <c r="C65" s="17" t="s">
        <v>572</v>
      </c>
      <c r="D65" s="16">
        <v>402600</v>
      </c>
      <c r="E65" s="17" t="s">
        <v>136</v>
      </c>
      <c r="F65" s="14">
        <v>106</v>
      </c>
      <c r="G65" s="14">
        <v>0</v>
      </c>
      <c r="H65" s="14"/>
      <c r="I65" s="14">
        <v>0</v>
      </c>
      <c r="J65" s="14">
        <v>0</v>
      </c>
      <c r="K65" s="14">
        <v>106</v>
      </c>
      <c r="L65" s="14">
        <v>586</v>
      </c>
      <c r="M65" s="15">
        <v>0.18088737201365188</v>
      </c>
      <c r="N65" s="14">
        <v>106</v>
      </c>
      <c r="O65" s="14">
        <v>106</v>
      </c>
      <c r="P65" s="14">
        <v>106</v>
      </c>
      <c r="Q65" s="13">
        <v>117.02590000000001</v>
      </c>
      <c r="R65" s="13">
        <v>113.35060000000001</v>
      </c>
      <c r="S65" s="47">
        <f>VLOOKUP(D65,'Original Title I &amp; II'!B:B,1,FALSE)</f>
        <v>402600</v>
      </c>
    </row>
    <row r="66" spans="1:19" x14ac:dyDescent="0.3">
      <c r="A66" s="17">
        <v>1</v>
      </c>
      <c r="B66" s="17">
        <v>4</v>
      </c>
      <c r="C66" s="17" t="s">
        <v>572</v>
      </c>
      <c r="D66" s="16">
        <v>402690</v>
      </c>
      <c r="E66" s="17" t="s">
        <v>137</v>
      </c>
      <c r="F66" s="14">
        <v>5616</v>
      </c>
      <c r="G66" s="14">
        <v>0</v>
      </c>
      <c r="H66" s="14"/>
      <c r="I66" s="14">
        <v>254</v>
      </c>
      <c r="J66" s="14">
        <v>0</v>
      </c>
      <c r="K66" s="14">
        <v>5870</v>
      </c>
      <c r="L66" s="14">
        <v>33811</v>
      </c>
      <c r="M66" s="15">
        <v>0.1736121380615776</v>
      </c>
      <c r="N66" s="14">
        <v>5870</v>
      </c>
      <c r="O66" s="14">
        <v>5870</v>
      </c>
      <c r="P66" s="14">
        <v>5870</v>
      </c>
      <c r="Q66" s="13">
        <v>10263.5</v>
      </c>
      <c r="R66" s="13">
        <v>11165.5</v>
      </c>
      <c r="S66" s="47">
        <f>VLOOKUP(D66,'Original Title I &amp; II'!B:B,1,FALSE)</f>
        <v>402690</v>
      </c>
    </row>
    <row r="67" spans="1:19" x14ac:dyDescent="0.3">
      <c r="A67" s="17">
        <v>1</v>
      </c>
      <c r="B67" s="17">
        <v>4</v>
      </c>
      <c r="C67" s="17" t="s">
        <v>572</v>
      </c>
      <c r="D67" s="16">
        <v>402710</v>
      </c>
      <c r="E67" s="172" t="s">
        <v>525</v>
      </c>
      <c r="F67" s="14">
        <v>0</v>
      </c>
      <c r="G67" s="14">
        <v>0</v>
      </c>
      <c r="H67" s="14"/>
      <c r="I67" s="14">
        <v>0</v>
      </c>
      <c r="J67" s="14">
        <v>0</v>
      </c>
      <c r="K67" s="14">
        <v>0</v>
      </c>
      <c r="L67" s="14">
        <v>2</v>
      </c>
      <c r="M67" s="15">
        <v>0</v>
      </c>
      <c r="N67" s="14">
        <v>0</v>
      </c>
      <c r="O67" s="14">
        <v>0</v>
      </c>
      <c r="P67" s="14">
        <v>0</v>
      </c>
      <c r="Q67" s="13">
        <v>0</v>
      </c>
      <c r="R67" s="13">
        <v>0</v>
      </c>
      <c r="S67" s="47">
        <f>VLOOKUP(D67,'Original Title I &amp; II'!B:B,1,FALSE)</f>
        <v>402710</v>
      </c>
    </row>
    <row r="68" spans="1:19" x14ac:dyDescent="0.3">
      <c r="A68" s="17">
        <v>1</v>
      </c>
      <c r="B68" s="17">
        <v>4</v>
      </c>
      <c r="C68" s="17" t="s">
        <v>572</v>
      </c>
      <c r="D68" s="16">
        <v>402760</v>
      </c>
      <c r="E68" s="17" t="s">
        <v>155</v>
      </c>
      <c r="F68" s="14">
        <v>16</v>
      </c>
      <c r="G68" s="14">
        <v>0</v>
      </c>
      <c r="H68" s="14"/>
      <c r="I68" s="14">
        <v>0</v>
      </c>
      <c r="J68" s="14">
        <v>0</v>
      </c>
      <c r="K68" s="14">
        <v>16</v>
      </c>
      <c r="L68" s="14">
        <v>119</v>
      </c>
      <c r="M68" s="15">
        <v>0.13445378151260504</v>
      </c>
      <c r="N68" s="14">
        <v>16</v>
      </c>
      <c r="O68" s="14">
        <v>0</v>
      </c>
      <c r="P68" s="14">
        <v>16</v>
      </c>
      <c r="Q68" s="13">
        <v>16</v>
      </c>
      <c r="R68" s="13">
        <v>16</v>
      </c>
      <c r="S68" s="47">
        <f>VLOOKUP(D68,'Original Title I &amp; II'!B:B,1,FALSE)</f>
        <v>402760</v>
      </c>
    </row>
    <row r="69" spans="1:19" x14ac:dyDescent="0.3">
      <c r="A69" s="17">
        <v>1</v>
      </c>
      <c r="B69" s="17">
        <v>4</v>
      </c>
      <c r="C69" s="17" t="s">
        <v>572</v>
      </c>
      <c r="D69" s="16">
        <v>402790</v>
      </c>
      <c r="E69" s="17" t="s">
        <v>156</v>
      </c>
      <c r="F69" s="14">
        <v>443</v>
      </c>
      <c r="G69" s="14">
        <v>0</v>
      </c>
      <c r="H69" s="14"/>
      <c r="I69" s="14">
        <v>24</v>
      </c>
      <c r="J69" s="14">
        <v>0</v>
      </c>
      <c r="K69" s="14">
        <v>467</v>
      </c>
      <c r="L69" s="14">
        <v>1089</v>
      </c>
      <c r="M69" s="15">
        <v>0.42883379247015613</v>
      </c>
      <c r="N69" s="14">
        <v>467</v>
      </c>
      <c r="O69" s="14">
        <v>467</v>
      </c>
      <c r="P69" s="14">
        <v>467</v>
      </c>
      <c r="Q69" s="13">
        <v>1001.5099250000001</v>
      </c>
      <c r="R69" s="13">
        <v>1238.6860500000003</v>
      </c>
      <c r="S69" s="47">
        <f>VLOOKUP(D69,'Original Title I &amp; II'!B:B,1,FALSE)</f>
        <v>402790</v>
      </c>
    </row>
    <row r="70" spans="1:19" x14ac:dyDescent="0.3">
      <c r="A70" s="17">
        <v>1</v>
      </c>
      <c r="B70" s="17">
        <v>4</v>
      </c>
      <c r="C70" s="17" t="s">
        <v>572</v>
      </c>
      <c r="D70" s="16">
        <v>402820</v>
      </c>
      <c r="E70" s="17" t="s">
        <v>523</v>
      </c>
      <c r="F70" s="14">
        <v>7</v>
      </c>
      <c r="G70" s="14">
        <v>0</v>
      </c>
      <c r="H70" s="14"/>
      <c r="I70" s="14">
        <v>0</v>
      </c>
      <c r="J70" s="14">
        <v>0</v>
      </c>
      <c r="K70" s="14">
        <v>7</v>
      </c>
      <c r="L70" s="14">
        <v>70</v>
      </c>
      <c r="M70" s="15">
        <v>0.1</v>
      </c>
      <c r="N70" s="14">
        <v>0</v>
      </c>
      <c r="O70" s="14">
        <v>0</v>
      </c>
      <c r="P70" s="14">
        <v>0</v>
      </c>
      <c r="Q70" s="13">
        <v>0</v>
      </c>
      <c r="R70" s="13">
        <v>0</v>
      </c>
      <c r="S70" s="47">
        <f>VLOOKUP(D70,'Original Title I &amp; II'!B:B,1,FALSE)</f>
        <v>402820</v>
      </c>
    </row>
    <row r="71" spans="1:19" x14ac:dyDescent="0.3">
      <c r="A71" s="17">
        <v>1</v>
      </c>
      <c r="B71" s="17">
        <v>4</v>
      </c>
      <c r="C71" s="17" t="s">
        <v>572</v>
      </c>
      <c r="D71" s="16">
        <v>402860</v>
      </c>
      <c r="E71" s="17" t="s">
        <v>164</v>
      </c>
      <c r="F71" s="14">
        <v>2451</v>
      </c>
      <c r="G71" s="14">
        <v>34</v>
      </c>
      <c r="H71" s="14"/>
      <c r="I71" s="14">
        <v>35</v>
      </c>
      <c r="J71" s="14">
        <v>0</v>
      </c>
      <c r="K71" s="14">
        <v>2520</v>
      </c>
      <c r="L71" s="14">
        <v>13267</v>
      </c>
      <c r="M71" s="15">
        <v>0.18994497625687798</v>
      </c>
      <c r="N71" s="14">
        <v>2520</v>
      </c>
      <c r="O71" s="14">
        <v>2520</v>
      </c>
      <c r="P71" s="14">
        <v>2520</v>
      </c>
      <c r="Q71" s="13">
        <v>3563.5</v>
      </c>
      <c r="R71" s="13">
        <v>3628</v>
      </c>
      <c r="S71" s="47">
        <f>VLOOKUP(D71,'Original Title I &amp; II'!B:B,1,FALSE)</f>
        <v>402860</v>
      </c>
    </row>
    <row r="72" spans="1:19" x14ac:dyDescent="0.3">
      <c r="A72" s="17">
        <v>1</v>
      </c>
      <c r="B72" s="17">
        <v>4</v>
      </c>
      <c r="C72" s="17" t="s">
        <v>572</v>
      </c>
      <c r="D72" s="16">
        <v>402920</v>
      </c>
      <c r="E72" s="17" t="s">
        <v>166</v>
      </c>
      <c r="F72" s="14">
        <v>2417</v>
      </c>
      <c r="G72" s="14">
        <v>0</v>
      </c>
      <c r="H72" s="14"/>
      <c r="I72" s="14">
        <v>131</v>
      </c>
      <c r="J72" s="14">
        <v>0</v>
      </c>
      <c r="K72" s="14">
        <v>2548</v>
      </c>
      <c r="L72" s="14">
        <v>13200</v>
      </c>
      <c r="M72" s="15">
        <v>0.19303030303030302</v>
      </c>
      <c r="N72" s="14">
        <v>2548</v>
      </c>
      <c r="O72" s="14">
        <v>2548</v>
      </c>
      <c r="P72" s="14">
        <v>2548</v>
      </c>
      <c r="Q72" s="13">
        <v>3619.5</v>
      </c>
      <c r="R72" s="13">
        <v>3691</v>
      </c>
      <c r="S72" s="47">
        <f>VLOOKUP(D72,'Original Title I &amp; II'!B:B,1,FALSE)</f>
        <v>402920</v>
      </c>
    </row>
    <row r="73" spans="1:19" x14ac:dyDescent="0.3">
      <c r="A73" s="17">
        <v>1</v>
      </c>
      <c r="B73" s="17">
        <v>4</v>
      </c>
      <c r="C73" s="17" t="s">
        <v>572</v>
      </c>
      <c r="D73" s="16">
        <v>403010</v>
      </c>
      <c r="E73" s="17" t="s">
        <v>167</v>
      </c>
      <c r="F73" s="14">
        <v>1726</v>
      </c>
      <c r="G73" s="14">
        <v>0</v>
      </c>
      <c r="H73" s="14"/>
      <c r="I73" s="14">
        <v>84</v>
      </c>
      <c r="J73" s="14">
        <v>0</v>
      </c>
      <c r="K73" s="14">
        <v>1810</v>
      </c>
      <c r="L73" s="14">
        <v>5168</v>
      </c>
      <c r="M73" s="15">
        <v>0.35023219814241485</v>
      </c>
      <c r="N73" s="14">
        <v>1810</v>
      </c>
      <c r="O73" s="14">
        <v>1810</v>
      </c>
      <c r="P73" s="14">
        <v>1810</v>
      </c>
      <c r="Q73" s="13">
        <v>3252.634</v>
      </c>
      <c r="R73" s="13">
        <v>3690.4423999999999</v>
      </c>
      <c r="S73" s="47">
        <f>VLOOKUP(D73,'Original Title I &amp; II'!B:B,1,FALSE)</f>
        <v>403010</v>
      </c>
    </row>
    <row r="74" spans="1:19" x14ac:dyDescent="0.3">
      <c r="A74" s="17">
        <v>1</v>
      </c>
      <c r="B74" s="17">
        <v>4</v>
      </c>
      <c r="C74" s="17" t="s">
        <v>572</v>
      </c>
      <c r="D74" s="16">
        <v>403150</v>
      </c>
      <c r="E74" s="17" t="s">
        <v>168</v>
      </c>
      <c r="F74" s="14">
        <v>101</v>
      </c>
      <c r="G74" s="14">
        <v>0</v>
      </c>
      <c r="H74" s="14"/>
      <c r="I74" s="14">
        <v>3</v>
      </c>
      <c r="J74" s="14">
        <v>0</v>
      </c>
      <c r="K74" s="14">
        <v>104</v>
      </c>
      <c r="L74" s="14">
        <v>685</v>
      </c>
      <c r="M74" s="15">
        <v>0.15182481751824817</v>
      </c>
      <c r="N74" s="14">
        <v>104</v>
      </c>
      <c r="O74" s="14">
        <v>104</v>
      </c>
      <c r="P74" s="14">
        <v>104</v>
      </c>
      <c r="Q74" s="13">
        <v>104</v>
      </c>
      <c r="R74" s="13">
        <v>104</v>
      </c>
      <c r="S74" s="47">
        <f>VLOOKUP(D74,'Original Title I &amp; II'!B:B,1,FALSE)</f>
        <v>403150</v>
      </c>
    </row>
    <row r="75" spans="1:19" x14ac:dyDescent="0.3">
      <c r="A75" s="17">
        <v>1</v>
      </c>
      <c r="B75" s="17">
        <v>4</v>
      </c>
      <c r="C75" s="17" t="s">
        <v>572</v>
      </c>
      <c r="D75" s="16">
        <v>403200</v>
      </c>
      <c r="E75" s="17" t="s">
        <v>169</v>
      </c>
      <c r="F75" s="14">
        <v>457</v>
      </c>
      <c r="G75" s="14">
        <v>0</v>
      </c>
      <c r="H75" s="14"/>
      <c r="I75" s="14">
        <v>11</v>
      </c>
      <c r="J75" s="14">
        <v>0</v>
      </c>
      <c r="K75" s="14">
        <v>468</v>
      </c>
      <c r="L75" s="14">
        <v>1435</v>
      </c>
      <c r="M75" s="15">
        <v>0.32613240418118467</v>
      </c>
      <c r="N75" s="14">
        <v>468</v>
      </c>
      <c r="O75" s="14">
        <v>468</v>
      </c>
      <c r="P75" s="14">
        <v>468</v>
      </c>
      <c r="Q75" s="13">
        <v>790.76437499999997</v>
      </c>
      <c r="R75" s="13">
        <v>869.10175000000004</v>
      </c>
      <c r="S75" s="47">
        <f>VLOOKUP(D75,'Original Title I &amp; II'!B:B,1,FALSE)</f>
        <v>403200</v>
      </c>
    </row>
    <row r="76" spans="1:19" x14ac:dyDescent="0.3">
      <c r="A76" s="17">
        <v>1</v>
      </c>
      <c r="B76" s="17">
        <v>4</v>
      </c>
      <c r="C76" s="17" t="s">
        <v>572</v>
      </c>
      <c r="D76" s="16">
        <v>403040</v>
      </c>
      <c r="E76" s="17" t="s">
        <v>171</v>
      </c>
      <c r="F76" s="14">
        <v>218</v>
      </c>
      <c r="G76" s="14">
        <v>0</v>
      </c>
      <c r="H76" s="14"/>
      <c r="I76" s="14">
        <v>10</v>
      </c>
      <c r="J76" s="14">
        <v>0</v>
      </c>
      <c r="K76" s="14">
        <v>228</v>
      </c>
      <c r="L76" s="14">
        <v>2712</v>
      </c>
      <c r="M76" s="15">
        <v>8.4070796460176997E-2</v>
      </c>
      <c r="N76" s="14">
        <v>228</v>
      </c>
      <c r="O76" s="14">
        <v>0</v>
      </c>
      <c r="P76" s="14">
        <v>228</v>
      </c>
      <c r="Q76" s="13">
        <v>228.00000000000003</v>
      </c>
      <c r="R76" s="13">
        <v>228.00000000000003</v>
      </c>
      <c r="S76" s="47">
        <f>VLOOKUP(D76,'Original Title I &amp; II'!B:B,1,FALSE)</f>
        <v>403040</v>
      </c>
    </row>
    <row r="77" spans="1:19" x14ac:dyDescent="0.3">
      <c r="A77" s="17">
        <v>1</v>
      </c>
      <c r="B77" s="17">
        <v>4</v>
      </c>
      <c r="C77" s="17" t="s">
        <v>572</v>
      </c>
      <c r="D77" s="16">
        <v>403060</v>
      </c>
      <c r="E77" s="17" t="s">
        <v>172</v>
      </c>
      <c r="F77" s="14">
        <v>2057</v>
      </c>
      <c r="G77" s="14">
        <v>0</v>
      </c>
      <c r="H77" s="14"/>
      <c r="I77" s="14">
        <v>93</v>
      </c>
      <c r="J77" s="14">
        <v>0</v>
      </c>
      <c r="K77" s="14">
        <v>2150</v>
      </c>
      <c r="L77" s="14">
        <v>5689</v>
      </c>
      <c r="M77" s="15">
        <v>0.37792230620495693</v>
      </c>
      <c r="N77" s="14">
        <v>2150</v>
      </c>
      <c r="O77" s="14">
        <v>2150</v>
      </c>
      <c r="P77" s="14">
        <v>2150</v>
      </c>
      <c r="Q77" s="13">
        <v>4092.5101249999998</v>
      </c>
      <c r="R77" s="13">
        <v>4771.3664499999995</v>
      </c>
      <c r="S77" s="47">
        <f>VLOOKUP(D77,'Original Title I &amp; II'!B:B,1,FALSE)</f>
        <v>403060</v>
      </c>
    </row>
    <row r="78" spans="1:19" x14ac:dyDescent="0.3">
      <c r="A78" s="17">
        <v>1</v>
      </c>
      <c r="B78" s="17">
        <v>4</v>
      </c>
      <c r="C78" s="17" t="s">
        <v>572</v>
      </c>
      <c r="D78" s="16">
        <v>403080</v>
      </c>
      <c r="E78" s="17" t="s">
        <v>174</v>
      </c>
      <c r="F78" s="14">
        <v>91</v>
      </c>
      <c r="G78" s="14">
        <v>0</v>
      </c>
      <c r="H78" s="14"/>
      <c r="I78" s="14">
        <v>3</v>
      </c>
      <c r="J78" s="14">
        <v>0</v>
      </c>
      <c r="K78" s="14">
        <v>94</v>
      </c>
      <c r="L78" s="14">
        <v>474</v>
      </c>
      <c r="M78" s="15">
        <v>0.19831223628691982</v>
      </c>
      <c r="N78" s="14">
        <v>94</v>
      </c>
      <c r="O78" s="14">
        <v>94</v>
      </c>
      <c r="P78" s="14">
        <v>94</v>
      </c>
      <c r="Q78" s="13">
        <v>109.1131</v>
      </c>
      <c r="R78" s="13">
        <v>104.0754</v>
      </c>
      <c r="S78" s="47">
        <f>VLOOKUP(D78,'Original Title I &amp; II'!B:B,1,FALSE)</f>
        <v>403080</v>
      </c>
    </row>
    <row r="79" spans="1:19" x14ac:dyDescent="0.3">
      <c r="A79" s="17">
        <v>1</v>
      </c>
      <c r="B79" s="17">
        <v>4</v>
      </c>
      <c r="C79" s="17" t="s">
        <v>572</v>
      </c>
      <c r="D79" s="16">
        <v>403240</v>
      </c>
      <c r="E79" s="17" t="s">
        <v>176</v>
      </c>
      <c r="F79" s="14">
        <v>1741</v>
      </c>
      <c r="G79" s="14">
        <v>0</v>
      </c>
      <c r="H79" s="14"/>
      <c r="I79" s="14">
        <v>33</v>
      </c>
      <c r="J79" s="14">
        <v>0</v>
      </c>
      <c r="K79" s="14">
        <v>1774</v>
      </c>
      <c r="L79" s="14">
        <v>4355</v>
      </c>
      <c r="M79" s="15">
        <v>0.40734787600459244</v>
      </c>
      <c r="N79" s="14">
        <v>1774</v>
      </c>
      <c r="O79" s="14">
        <v>1774</v>
      </c>
      <c r="P79" s="14">
        <v>1774</v>
      </c>
      <c r="Q79" s="13">
        <v>3630.8353750000001</v>
      </c>
      <c r="R79" s="13">
        <v>4392.1797500000002</v>
      </c>
      <c r="S79" s="47">
        <f>VLOOKUP(D79,'Original Title I &amp; II'!B:B,1,FALSE)</f>
        <v>403240</v>
      </c>
    </row>
    <row r="80" spans="1:19" x14ac:dyDescent="0.3">
      <c r="A80" s="17">
        <v>1</v>
      </c>
      <c r="B80" s="17">
        <v>4</v>
      </c>
      <c r="C80" s="17" t="s">
        <v>572</v>
      </c>
      <c r="D80" s="16">
        <v>403290</v>
      </c>
      <c r="E80" s="17" t="s">
        <v>590</v>
      </c>
      <c r="F80" s="14">
        <v>661</v>
      </c>
      <c r="G80" s="14">
        <v>3</v>
      </c>
      <c r="H80" s="14"/>
      <c r="I80" s="14">
        <v>4</v>
      </c>
      <c r="J80" s="14">
        <v>0</v>
      </c>
      <c r="K80" s="14">
        <v>668</v>
      </c>
      <c r="L80" s="14">
        <v>1613</v>
      </c>
      <c r="M80" s="15">
        <v>0.41413515189088657</v>
      </c>
      <c r="N80" s="14">
        <v>668</v>
      </c>
      <c r="O80" s="14">
        <v>668</v>
      </c>
      <c r="P80" s="14">
        <v>668</v>
      </c>
      <c r="Q80" s="13">
        <v>1388.5762250000002</v>
      </c>
      <c r="R80" s="13">
        <v>1692.4578499999998</v>
      </c>
      <c r="S80" s="47">
        <f>VLOOKUP(D80,'Original Title I &amp; II'!B:B,1,FALSE)</f>
        <v>403290</v>
      </c>
    </row>
    <row r="81" spans="1:19" x14ac:dyDescent="0.3">
      <c r="A81" s="17">
        <v>1</v>
      </c>
      <c r="B81" s="17">
        <v>4</v>
      </c>
      <c r="C81" s="17" t="s">
        <v>572</v>
      </c>
      <c r="D81" s="16">
        <v>403310</v>
      </c>
      <c r="E81" s="17" t="s">
        <v>180</v>
      </c>
      <c r="F81" s="14">
        <v>140</v>
      </c>
      <c r="G81" s="14">
        <v>0</v>
      </c>
      <c r="H81" s="14"/>
      <c r="I81" s="14">
        <v>6</v>
      </c>
      <c r="J81" s="14">
        <v>0</v>
      </c>
      <c r="K81" s="14">
        <v>146</v>
      </c>
      <c r="L81" s="14">
        <v>519</v>
      </c>
      <c r="M81" s="15">
        <v>0.2813102119460501</v>
      </c>
      <c r="N81" s="14">
        <v>146</v>
      </c>
      <c r="O81" s="14">
        <v>146</v>
      </c>
      <c r="P81" s="14">
        <v>146</v>
      </c>
      <c r="Q81" s="13">
        <v>218.29167500000003</v>
      </c>
      <c r="R81" s="13">
        <v>225.44355000000004</v>
      </c>
      <c r="S81" s="47">
        <f>VLOOKUP(D81,'Original Title I &amp; II'!B:B,1,FALSE)</f>
        <v>403310</v>
      </c>
    </row>
    <row r="82" spans="1:19" x14ac:dyDescent="0.3">
      <c r="A82" s="17">
        <v>1</v>
      </c>
      <c r="B82" s="17">
        <v>4</v>
      </c>
      <c r="C82" s="17" t="s">
        <v>572</v>
      </c>
      <c r="D82" s="16">
        <v>403400</v>
      </c>
      <c r="E82" s="17" t="s">
        <v>182</v>
      </c>
      <c r="F82" s="14">
        <v>3980</v>
      </c>
      <c r="G82" s="14">
        <v>0</v>
      </c>
      <c r="H82" s="14"/>
      <c r="I82" s="14">
        <v>180</v>
      </c>
      <c r="J82" s="14">
        <v>0</v>
      </c>
      <c r="K82" s="14">
        <v>4160</v>
      </c>
      <c r="L82" s="14">
        <v>43787</v>
      </c>
      <c r="M82" s="15">
        <v>9.5005366889716128E-2</v>
      </c>
      <c r="N82" s="14">
        <v>4160</v>
      </c>
      <c r="O82" s="14">
        <v>0</v>
      </c>
      <c r="P82" s="14">
        <v>4160</v>
      </c>
      <c r="Q82" s="13">
        <v>6843.5</v>
      </c>
      <c r="R82" s="13">
        <v>7318</v>
      </c>
      <c r="S82" s="47">
        <f>VLOOKUP(D82,'Original Title I &amp; II'!B:B,1,FALSE)</f>
        <v>403400</v>
      </c>
    </row>
    <row r="83" spans="1:19" x14ac:dyDescent="0.3">
      <c r="A83" s="17">
        <v>1</v>
      </c>
      <c r="B83" s="17">
        <v>4</v>
      </c>
      <c r="C83" s="17" t="s">
        <v>572</v>
      </c>
      <c r="D83" s="16">
        <v>403420</v>
      </c>
      <c r="E83" s="17" t="s">
        <v>183</v>
      </c>
      <c r="F83" s="14">
        <v>6255</v>
      </c>
      <c r="G83" s="14">
        <v>103</v>
      </c>
      <c r="H83" s="14"/>
      <c r="I83" s="14">
        <v>283</v>
      </c>
      <c r="J83" s="14">
        <v>0</v>
      </c>
      <c r="K83" s="14">
        <v>6641</v>
      </c>
      <c r="L83" s="14">
        <v>16073</v>
      </c>
      <c r="M83" s="15">
        <v>0.41317737821190814</v>
      </c>
      <c r="N83" s="14">
        <v>6641</v>
      </c>
      <c r="O83" s="14">
        <v>6641</v>
      </c>
      <c r="P83" s="14">
        <v>6641</v>
      </c>
      <c r="Q83" s="13">
        <v>13775.115725</v>
      </c>
      <c r="R83" s="13">
        <v>16772.404850000003</v>
      </c>
      <c r="S83" s="47">
        <f>VLOOKUP(D83,'Original Title I &amp; II'!B:B,1,FALSE)</f>
        <v>403420</v>
      </c>
    </row>
    <row r="84" spans="1:19" x14ac:dyDescent="0.3">
      <c r="A84" s="17">
        <v>1</v>
      </c>
      <c r="B84" s="17">
        <v>4</v>
      </c>
      <c r="C84" s="17" t="s">
        <v>572</v>
      </c>
      <c r="D84" s="16">
        <v>403450</v>
      </c>
      <c r="E84" s="17" t="s">
        <v>184</v>
      </c>
      <c r="F84" s="14">
        <v>5665</v>
      </c>
      <c r="G84" s="14">
        <v>0</v>
      </c>
      <c r="H84" s="14"/>
      <c r="I84" s="14">
        <v>256</v>
      </c>
      <c r="J84" s="14">
        <v>0</v>
      </c>
      <c r="K84" s="14">
        <v>5921</v>
      </c>
      <c r="L84" s="14">
        <v>20037</v>
      </c>
      <c r="M84" s="15">
        <v>0.29550331886010878</v>
      </c>
      <c r="N84" s="14">
        <v>5921</v>
      </c>
      <c r="O84" s="14">
        <v>5921</v>
      </c>
      <c r="P84" s="14">
        <v>5921</v>
      </c>
      <c r="Q84" s="13">
        <v>10365.5</v>
      </c>
      <c r="R84" s="13">
        <v>11280.25</v>
      </c>
      <c r="S84" s="47">
        <f>VLOOKUP(D84,'Original Title I &amp; II'!B:B,1,FALSE)</f>
        <v>403450</v>
      </c>
    </row>
    <row r="85" spans="1:19" x14ac:dyDescent="0.3">
      <c r="A85" s="17">
        <v>1</v>
      </c>
      <c r="B85" s="17">
        <v>4</v>
      </c>
      <c r="C85" s="17" t="s">
        <v>572</v>
      </c>
      <c r="D85" s="16">
        <v>403500</v>
      </c>
      <c r="E85" s="17" t="s">
        <v>185</v>
      </c>
      <c r="F85" s="14">
        <v>436</v>
      </c>
      <c r="G85" s="14">
        <v>0</v>
      </c>
      <c r="H85" s="14"/>
      <c r="I85" s="14">
        <v>12</v>
      </c>
      <c r="J85" s="14">
        <v>0</v>
      </c>
      <c r="K85" s="14">
        <v>448</v>
      </c>
      <c r="L85" s="14">
        <v>1641</v>
      </c>
      <c r="M85" s="15">
        <v>0.27300426569165143</v>
      </c>
      <c r="N85" s="14">
        <v>448</v>
      </c>
      <c r="O85" s="14">
        <v>448</v>
      </c>
      <c r="P85" s="14">
        <v>448</v>
      </c>
      <c r="Q85" s="13">
        <v>656.13032499999986</v>
      </c>
      <c r="R85" s="13">
        <v>671.92845</v>
      </c>
      <c r="S85" s="47">
        <f>VLOOKUP(D85,'Original Title I &amp; II'!B:B,1,FALSE)</f>
        <v>403500</v>
      </c>
    </row>
    <row r="86" spans="1:19" x14ac:dyDescent="0.3">
      <c r="A86" s="17">
        <v>1</v>
      </c>
      <c r="B86" s="17">
        <v>4</v>
      </c>
      <c r="C86" s="17" t="s">
        <v>572</v>
      </c>
      <c r="D86" s="16">
        <v>403550</v>
      </c>
      <c r="E86" s="17" t="s">
        <v>187</v>
      </c>
      <c r="F86" s="14">
        <v>50</v>
      </c>
      <c r="G86" s="14">
        <v>0</v>
      </c>
      <c r="H86" s="14"/>
      <c r="I86" s="14">
        <v>1</v>
      </c>
      <c r="J86" s="14">
        <v>0</v>
      </c>
      <c r="K86" s="14">
        <v>51</v>
      </c>
      <c r="L86" s="14">
        <v>203</v>
      </c>
      <c r="M86" s="15">
        <v>0.25123152709359609</v>
      </c>
      <c r="N86" s="14">
        <v>51</v>
      </c>
      <c r="O86" s="14">
        <v>51</v>
      </c>
      <c r="P86" s="14">
        <v>51</v>
      </c>
      <c r="Q86" s="13">
        <v>70.116975000000025</v>
      </c>
      <c r="R86" s="13">
        <v>69.861350000000016</v>
      </c>
      <c r="S86" s="47">
        <f>VLOOKUP(D86,'Original Title I &amp; II'!B:B,1,FALSE)</f>
        <v>403550</v>
      </c>
    </row>
    <row r="87" spans="1:19" x14ac:dyDescent="0.3">
      <c r="A87" s="17">
        <v>1</v>
      </c>
      <c r="B87" s="17">
        <v>4</v>
      </c>
      <c r="C87" s="17" t="s">
        <v>572</v>
      </c>
      <c r="D87" s="16">
        <v>403660</v>
      </c>
      <c r="E87" s="17" t="s">
        <v>191</v>
      </c>
      <c r="F87" s="14">
        <v>28</v>
      </c>
      <c r="G87" s="14">
        <v>0</v>
      </c>
      <c r="H87" s="14"/>
      <c r="I87" s="14">
        <v>1</v>
      </c>
      <c r="J87" s="14">
        <v>0</v>
      </c>
      <c r="K87" s="14">
        <v>29</v>
      </c>
      <c r="L87" s="14">
        <v>105</v>
      </c>
      <c r="M87" s="15">
        <v>0.27619047619047621</v>
      </c>
      <c r="N87" s="14">
        <v>29</v>
      </c>
      <c r="O87" s="14">
        <v>29</v>
      </c>
      <c r="P87" s="14">
        <v>29</v>
      </c>
      <c r="Q87" s="13">
        <v>42.819125000000007</v>
      </c>
      <c r="R87" s="13">
        <v>43.997250000000008</v>
      </c>
      <c r="S87" s="47">
        <f>VLOOKUP(D87,'Original Title I &amp; II'!B:B,1,FALSE)</f>
        <v>403660</v>
      </c>
    </row>
    <row r="88" spans="1:19" x14ac:dyDescent="0.3">
      <c r="A88" s="17">
        <v>1</v>
      </c>
      <c r="B88" s="17">
        <v>4</v>
      </c>
      <c r="C88" s="17" t="s">
        <v>572</v>
      </c>
      <c r="D88" s="16">
        <v>403730</v>
      </c>
      <c r="E88" s="17" t="s">
        <v>193</v>
      </c>
      <c r="F88" s="14">
        <v>74</v>
      </c>
      <c r="G88" s="14">
        <v>0</v>
      </c>
      <c r="H88" s="14"/>
      <c r="I88" s="14">
        <v>2</v>
      </c>
      <c r="J88" s="14">
        <v>0</v>
      </c>
      <c r="K88" s="14">
        <v>76</v>
      </c>
      <c r="L88" s="14">
        <v>200</v>
      </c>
      <c r="M88" s="15">
        <v>0.38</v>
      </c>
      <c r="N88" s="14">
        <v>76</v>
      </c>
      <c r="O88" s="14">
        <v>76</v>
      </c>
      <c r="P88" s="14">
        <v>76</v>
      </c>
      <c r="Q88" s="13">
        <v>145.22499999999999</v>
      </c>
      <c r="R88" s="13">
        <v>169.61</v>
      </c>
      <c r="S88" s="47">
        <f>VLOOKUP(D88,'Original Title I &amp; II'!B:B,1,FALSE)</f>
        <v>403730</v>
      </c>
    </row>
    <row r="89" spans="1:19" x14ac:dyDescent="0.3">
      <c r="A89" s="17">
        <v>1</v>
      </c>
      <c r="B89" s="17">
        <v>4</v>
      </c>
      <c r="C89" s="17" t="s">
        <v>572</v>
      </c>
      <c r="D89" s="16">
        <v>400026</v>
      </c>
      <c r="E89" s="17" t="s">
        <v>194</v>
      </c>
      <c r="F89" s="14">
        <v>137</v>
      </c>
      <c r="G89" s="14">
        <v>0</v>
      </c>
      <c r="H89" s="14"/>
      <c r="I89" s="14">
        <v>2</v>
      </c>
      <c r="J89" s="14">
        <v>0</v>
      </c>
      <c r="K89" s="14">
        <v>139</v>
      </c>
      <c r="L89" s="14">
        <v>492</v>
      </c>
      <c r="M89" s="15">
        <v>0.28252032520325204</v>
      </c>
      <c r="N89" s="14">
        <v>139</v>
      </c>
      <c r="O89" s="14">
        <v>139</v>
      </c>
      <c r="P89" s="14">
        <v>139</v>
      </c>
      <c r="Q89" s="13">
        <v>208.42390000000003</v>
      </c>
      <c r="R89" s="13">
        <v>215.50140000000002</v>
      </c>
      <c r="S89" s="47">
        <f>VLOOKUP(D89,'Original Title I &amp; II'!B:B,1,FALSE)</f>
        <v>400026</v>
      </c>
    </row>
    <row r="90" spans="1:19" x14ac:dyDescent="0.3">
      <c r="A90" s="17">
        <v>1</v>
      </c>
      <c r="B90" s="17">
        <v>4</v>
      </c>
      <c r="C90" s="17" t="s">
        <v>572</v>
      </c>
      <c r="D90" s="16">
        <v>403780</v>
      </c>
      <c r="E90" s="17" t="s">
        <v>589</v>
      </c>
      <c r="F90" s="14">
        <v>1244</v>
      </c>
      <c r="G90" s="14">
        <v>0</v>
      </c>
      <c r="H90" s="14"/>
      <c r="I90" s="14">
        <v>56</v>
      </c>
      <c r="J90" s="14">
        <v>0</v>
      </c>
      <c r="K90" s="14">
        <v>1300</v>
      </c>
      <c r="L90" s="14">
        <v>15704</v>
      </c>
      <c r="M90" s="15">
        <v>8.2781456953642391E-2</v>
      </c>
      <c r="N90" s="14">
        <v>1300</v>
      </c>
      <c r="O90" s="14">
        <v>0</v>
      </c>
      <c r="P90" s="14">
        <v>1300</v>
      </c>
      <c r="Q90" s="13">
        <v>1604.5</v>
      </c>
      <c r="R90" s="13">
        <v>1604.5</v>
      </c>
      <c r="S90" s="47">
        <f>VLOOKUP(D90,'Original Title I &amp; II'!B:B,1,FALSE)</f>
        <v>403780</v>
      </c>
    </row>
    <row r="91" spans="1:19" x14ac:dyDescent="0.3">
      <c r="A91" s="17">
        <v>1</v>
      </c>
      <c r="B91" s="17">
        <v>4</v>
      </c>
      <c r="C91" s="17" t="s">
        <v>572</v>
      </c>
      <c r="D91" s="16">
        <v>408460</v>
      </c>
      <c r="E91" s="172" t="s">
        <v>514</v>
      </c>
      <c r="F91" s="14">
        <v>4</v>
      </c>
      <c r="G91" s="14">
        <v>0</v>
      </c>
      <c r="H91" s="14"/>
      <c r="I91" s="14">
        <v>0</v>
      </c>
      <c r="J91" s="14">
        <v>0</v>
      </c>
      <c r="K91" s="14">
        <v>4</v>
      </c>
      <c r="L91" s="14">
        <v>22</v>
      </c>
      <c r="M91" s="15">
        <v>0.18181818181818182</v>
      </c>
      <c r="N91" s="14">
        <v>0</v>
      </c>
      <c r="O91" s="14">
        <v>0</v>
      </c>
      <c r="P91" s="14">
        <v>0</v>
      </c>
      <c r="Q91" s="13">
        <v>0</v>
      </c>
      <c r="R91" s="13">
        <v>0</v>
      </c>
      <c r="S91" s="47">
        <f>VLOOKUP(D91,'Original Title I &amp; II'!B:B,1,FALSE)</f>
        <v>408460</v>
      </c>
    </row>
    <row r="92" spans="1:19" x14ac:dyDescent="0.3">
      <c r="A92" s="17">
        <v>1</v>
      </c>
      <c r="B92" s="17">
        <v>4</v>
      </c>
      <c r="C92" s="17" t="s">
        <v>572</v>
      </c>
      <c r="D92" s="16">
        <v>403820</v>
      </c>
      <c r="E92" s="17" t="s">
        <v>199</v>
      </c>
      <c r="F92" s="14">
        <v>774</v>
      </c>
      <c r="G92" s="14">
        <v>0</v>
      </c>
      <c r="H92" s="14"/>
      <c r="I92" s="14">
        <v>11</v>
      </c>
      <c r="J92" s="14">
        <v>0</v>
      </c>
      <c r="K92" s="14">
        <v>785</v>
      </c>
      <c r="L92" s="14">
        <v>2283</v>
      </c>
      <c r="M92" s="15">
        <v>0.34384581690757776</v>
      </c>
      <c r="N92" s="14">
        <v>785</v>
      </c>
      <c r="O92" s="14">
        <v>785</v>
      </c>
      <c r="P92" s="14">
        <v>785</v>
      </c>
      <c r="Q92" s="13">
        <v>1389.4883750000001</v>
      </c>
      <c r="R92" s="13">
        <v>1564.6681500000002</v>
      </c>
      <c r="S92" s="47">
        <f>VLOOKUP(D92,'Original Title I &amp; II'!B:B,1,FALSE)</f>
        <v>403820</v>
      </c>
    </row>
    <row r="93" spans="1:19" x14ac:dyDescent="0.3">
      <c r="A93" s="17">
        <v>1</v>
      </c>
      <c r="B93" s="17">
        <v>4</v>
      </c>
      <c r="C93" s="17" t="s">
        <v>572</v>
      </c>
      <c r="D93" s="16">
        <v>403870</v>
      </c>
      <c r="E93" s="17" t="s">
        <v>200</v>
      </c>
      <c r="F93" s="14">
        <v>1516</v>
      </c>
      <c r="G93" s="14">
        <v>0</v>
      </c>
      <c r="H93" s="14"/>
      <c r="I93" s="14">
        <v>78</v>
      </c>
      <c r="J93" s="14">
        <v>0</v>
      </c>
      <c r="K93" s="14">
        <v>1594</v>
      </c>
      <c r="L93" s="14">
        <v>8342</v>
      </c>
      <c r="M93" s="15">
        <v>0.19108127547350756</v>
      </c>
      <c r="N93" s="14">
        <v>1594</v>
      </c>
      <c r="O93" s="14">
        <v>1594</v>
      </c>
      <c r="P93" s="14">
        <v>1594</v>
      </c>
      <c r="Q93" s="13">
        <v>2045.5</v>
      </c>
      <c r="R93" s="13">
        <v>2045.5</v>
      </c>
      <c r="S93" s="47">
        <f>VLOOKUP(D93,'Original Title I &amp; II'!B:B,1,FALSE)</f>
        <v>403870</v>
      </c>
    </row>
    <row r="94" spans="1:19" x14ac:dyDescent="0.3">
      <c r="A94" s="17">
        <v>1</v>
      </c>
      <c r="B94" s="17">
        <v>4</v>
      </c>
      <c r="C94" s="17" t="s">
        <v>572</v>
      </c>
      <c r="D94" s="16">
        <v>403900</v>
      </c>
      <c r="E94" s="17" t="s">
        <v>201</v>
      </c>
      <c r="F94" s="14">
        <v>23</v>
      </c>
      <c r="G94" s="14">
        <v>0</v>
      </c>
      <c r="H94" s="14"/>
      <c r="I94" s="14">
        <v>0</v>
      </c>
      <c r="J94" s="14">
        <v>0</v>
      </c>
      <c r="K94" s="14">
        <v>23</v>
      </c>
      <c r="L94" s="14">
        <v>110</v>
      </c>
      <c r="M94" s="15">
        <v>0.20909090909090908</v>
      </c>
      <c r="N94" s="14">
        <v>23</v>
      </c>
      <c r="O94" s="14">
        <v>23</v>
      </c>
      <c r="P94" s="14">
        <v>23</v>
      </c>
      <c r="Q94" s="13">
        <v>27.396499999999996</v>
      </c>
      <c r="R94" s="13">
        <v>25.930999999999997</v>
      </c>
      <c r="S94" s="47">
        <f>VLOOKUP(D94,'Original Title I &amp; II'!B:B,1,FALSE)</f>
        <v>403900</v>
      </c>
    </row>
    <row r="95" spans="1:19" x14ac:dyDescent="0.3">
      <c r="A95" s="17">
        <v>1</v>
      </c>
      <c r="B95" s="17">
        <v>4</v>
      </c>
      <c r="C95" s="17" t="s">
        <v>572</v>
      </c>
      <c r="D95" s="16">
        <v>403950</v>
      </c>
      <c r="E95" s="17" t="s">
        <v>588</v>
      </c>
      <c r="F95" s="14">
        <v>659</v>
      </c>
      <c r="G95" s="14">
        <v>106</v>
      </c>
      <c r="H95" s="14"/>
      <c r="I95" s="14">
        <v>32</v>
      </c>
      <c r="J95" s="14">
        <v>0</v>
      </c>
      <c r="K95" s="14">
        <v>797</v>
      </c>
      <c r="L95" s="14">
        <v>1626</v>
      </c>
      <c r="M95" s="15">
        <v>0.49015990159901601</v>
      </c>
      <c r="N95" s="14">
        <v>797</v>
      </c>
      <c r="O95" s="14">
        <v>797</v>
      </c>
      <c r="P95" s="14">
        <v>797</v>
      </c>
      <c r="Q95" s="13">
        <v>1894.23245</v>
      </c>
      <c r="R95" s="13">
        <v>2447.7956999999997</v>
      </c>
      <c r="S95" s="47">
        <f>VLOOKUP(D95,'Original Title I &amp; II'!B:B,1,FALSE)</f>
        <v>403950</v>
      </c>
    </row>
    <row r="96" spans="1:19" x14ac:dyDescent="0.3">
      <c r="A96" s="17">
        <v>1</v>
      </c>
      <c r="B96" s="17">
        <v>4</v>
      </c>
      <c r="C96" s="17" t="s">
        <v>572</v>
      </c>
      <c r="D96" s="16">
        <v>403960</v>
      </c>
      <c r="E96" s="17" t="s">
        <v>220</v>
      </c>
      <c r="F96" s="14">
        <v>4341</v>
      </c>
      <c r="G96" s="14">
        <v>0</v>
      </c>
      <c r="H96" s="14"/>
      <c r="I96" s="14">
        <v>196</v>
      </c>
      <c r="J96" s="14">
        <v>0</v>
      </c>
      <c r="K96" s="14">
        <v>4537</v>
      </c>
      <c r="L96" s="14">
        <v>8167</v>
      </c>
      <c r="M96" s="15">
        <v>0.55552834578180488</v>
      </c>
      <c r="N96" s="14">
        <v>4537</v>
      </c>
      <c r="O96" s="14">
        <v>4537</v>
      </c>
      <c r="P96" s="14">
        <v>4537</v>
      </c>
      <c r="Q96" s="13">
        <v>11649.722275000002</v>
      </c>
      <c r="R96" s="13">
        <v>15497.863150000001</v>
      </c>
      <c r="S96" s="47">
        <f>VLOOKUP(D96,'Original Title I &amp; II'!B:B,1,FALSE)</f>
        <v>403960</v>
      </c>
    </row>
    <row r="97" spans="1:19" x14ac:dyDescent="0.3">
      <c r="A97" s="17">
        <v>1</v>
      </c>
      <c r="B97" s="17">
        <v>4</v>
      </c>
      <c r="C97" s="17" t="s">
        <v>572</v>
      </c>
      <c r="D97" s="16">
        <v>403990</v>
      </c>
      <c r="E97" s="17" t="s">
        <v>587</v>
      </c>
      <c r="F97" s="14">
        <v>1339</v>
      </c>
      <c r="G97" s="14">
        <v>0</v>
      </c>
      <c r="H97" s="14"/>
      <c r="I97" s="14">
        <v>73</v>
      </c>
      <c r="J97" s="14">
        <v>0</v>
      </c>
      <c r="K97" s="14">
        <v>1412</v>
      </c>
      <c r="L97" s="14">
        <v>9011</v>
      </c>
      <c r="M97" s="15">
        <v>0.15669736988125624</v>
      </c>
      <c r="N97" s="14">
        <v>1412</v>
      </c>
      <c r="O97" s="14">
        <v>1412</v>
      </c>
      <c r="P97" s="14">
        <v>1412</v>
      </c>
      <c r="Q97" s="13">
        <v>1772.5</v>
      </c>
      <c r="R97" s="13">
        <v>1772.5</v>
      </c>
      <c r="S97" s="47">
        <f>VLOOKUP(D97,'Original Title I &amp; II'!B:B,1,FALSE)</f>
        <v>403990</v>
      </c>
    </row>
    <row r="98" spans="1:19" x14ac:dyDescent="0.3">
      <c r="A98" s="17">
        <v>1</v>
      </c>
      <c r="B98" s="17">
        <v>4</v>
      </c>
      <c r="C98" s="17" t="s">
        <v>572</v>
      </c>
      <c r="D98" s="16">
        <v>404010</v>
      </c>
      <c r="E98" s="17" t="s">
        <v>223</v>
      </c>
      <c r="F98" s="14">
        <v>139</v>
      </c>
      <c r="G98" s="14">
        <v>0</v>
      </c>
      <c r="H98" s="14"/>
      <c r="I98" s="14">
        <v>2</v>
      </c>
      <c r="J98" s="14">
        <v>0</v>
      </c>
      <c r="K98" s="14">
        <v>141</v>
      </c>
      <c r="L98" s="14">
        <v>429</v>
      </c>
      <c r="M98" s="15">
        <v>0.32867132867132864</v>
      </c>
      <c r="N98" s="14">
        <v>141</v>
      </c>
      <c r="O98" s="14">
        <v>141</v>
      </c>
      <c r="P98" s="14">
        <v>141</v>
      </c>
      <c r="Q98" s="13">
        <v>239.94262499999996</v>
      </c>
      <c r="R98" s="13">
        <v>264.7234499999999</v>
      </c>
      <c r="S98" s="47">
        <f>VLOOKUP(D98,'Original Title I &amp; II'!B:B,1,FALSE)</f>
        <v>404010</v>
      </c>
    </row>
    <row r="99" spans="1:19" x14ac:dyDescent="0.3">
      <c r="A99" s="17">
        <v>1</v>
      </c>
      <c r="B99" s="17">
        <v>4</v>
      </c>
      <c r="C99" s="17" t="s">
        <v>572</v>
      </c>
      <c r="D99" s="16">
        <v>404060</v>
      </c>
      <c r="E99" s="17" t="s">
        <v>239</v>
      </c>
      <c r="F99" s="14">
        <v>1057</v>
      </c>
      <c r="G99" s="14">
        <v>0</v>
      </c>
      <c r="H99" s="14"/>
      <c r="I99" s="14">
        <v>15</v>
      </c>
      <c r="J99" s="14">
        <v>0</v>
      </c>
      <c r="K99" s="14">
        <v>1072</v>
      </c>
      <c r="L99" s="14">
        <v>2637</v>
      </c>
      <c r="M99" s="15">
        <v>0.40652256351915056</v>
      </c>
      <c r="N99" s="14">
        <v>1072</v>
      </c>
      <c r="O99" s="14">
        <v>1072</v>
      </c>
      <c r="P99" s="14">
        <v>1072</v>
      </c>
      <c r="Q99" s="13">
        <v>2189.8050250000001</v>
      </c>
      <c r="R99" s="13">
        <v>2646.4546500000006</v>
      </c>
      <c r="S99" s="47">
        <f>VLOOKUP(D99,'Original Title I &amp; II'!B:B,1,FALSE)</f>
        <v>404060</v>
      </c>
    </row>
    <row r="100" spans="1:19" x14ac:dyDescent="0.3">
      <c r="A100" s="17">
        <v>1</v>
      </c>
      <c r="B100" s="17">
        <v>4</v>
      </c>
      <c r="C100" s="17" t="s">
        <v>572</v>
      </c>
      <c r="D100" s="16">
        <v>400295</v>
      </c>
      <c r="E100" s="17" t="s">
        <v>242</v>
      </c>
      <c r="F100" s="14">
        <v>2624</v>
      </c>
      <c r="G100" s="14">
        <v>0</v>
      </c>
      <c r="H100" s="14"/>
      <c r="I100" s="14">
        <v>113</v>
      </c>
      <c r="J100" s="14">
        <v>0</v>
      </c>
      <c r="K100" s="14">
        <v>2737</v>
      </c>
      <c r="L100" s="14">
        <v>9068</v>
      </c>
      <c r="M100" s="15">
        <v>0.30183061314512571</v>
      </c>
      <c r="N100" s="14">
        <v>2737</v>
      </c>
      <c r="O100" s="14">
        <v>2737</v>
      </c>
      <c r="P100" s="14">
        <v>2737</v>
      </c>
      <c r="Q100" s="13">
        <v>4280.7714999999998</v>
      </c>
      <c r="R100" s="13">
        <v>4500.3374000000003</v>
      </c>
      <c r="S100" s="47">
        <f>VLOOKUP(D100,'Original Title I &amp; II'!B:B,1,FALSE)</f>
        <v>400295</v>
      </c>
    </row>
    <row r="101" spans="1:19" x14ac:dyDescent="0.3">
      <c r="A101" s="17">
        <v>1</v>
      </c>
      <c r="B101" s="17">
        <v>4</v>
      </c>
      <c r="C101" s="17" t="s">
        <v>572</v>
      </c>
      <c r="D101" s="16">
        <v>404170</v>
      </c>
      <c r="E101" s="17" t="s">
        <v>243</v>
      </c>
      <c r="F101" s="14">
        <v>44</v>
      </c>
      <c r="G101" s="14">
        <v>0</v>
      </c>
      <c r="H101" s="14"/>
      <c r="I101" s="14">
        <v>2</v>
      </c>
      <c r="J101" s="14">
        <v>0</v>
      </c>
      <c r="K101" s="14">
        <v>46</v>
      </c>
      <c r="L101" s="14">
        <v>144</v>
      </c>
      <c r="M101" s="15">
        <v>0.31944444444444442</v>
      </c>
      <c r="N101" s="14">
        <v>46</v>
      </c>
      <c r="O101" s="14">
        <v>46</v>
      </c>
      <c r="P101" s="14">
        <v>46</v>
      </c>
      <c r="Q101" s="13">
        <v>76.222000000000008</v>
      </c>
      <c r="R101" s="13">
        <v>82.879199999999997</v>
      </c>
      <c r="S101" s="47">
        <f>VLOOKUP(D101,'Original Title I &amp; II'!B:B,1,FALSE)</f>
        <v>404170</v>
      </c>
    </row>
    <row r="102" spans="1:19" x14ac:dyDescent="0.3">
      <c r="A102" s="17">
        <v>1</v>
      </c>
      <c r="B102" s="17">
        <v>4</v>
      </c>
      <c r="C102" s="17" t="s">
        <v>572</v>
      </c>
      <c r="D102" s="16">
        <v>404200</v>
      </c>
      <c r="E102" s="172" t="s">
        <v>509</v>
      </c>
      <c r="F102" s="14">
        <v>5</v>
      </c>
      <c r="G102" s="14">
        <v>0</v>
      </c>
      <c r="H102" s="14"/>
      <c r="I102" s="14">
        <v>0</v>
      </c>
      <c r="J102" s="14">
        <v>0</v>
      </c>
      <c r="K102" s="14">
        <v>5</v>
      </c>
      <c r="L102" s="14">
        <v>6</v>
      </c>
      <c r="M102" s="15">
        <v>0.83333333333333337</v>
      </c>
      <c r="N102" s="14">
        <v>0</v>
      </c>
      <c r="O102" s="14">
        <v>0</v>
      </c>
      <c r="P102" s="14">
        <v>0</v>
      </c>
      <c r="Q102" s="13">
        <v>0</v>
      </c>
      <c r="R102" s="13">
        <v>0</v>
      </c>
      <c r="S102" s="47">
        <f>VLOOKUP(D102,'Original Title I &amp; II'!B:B,1,FALSE)</f>
        <v>404200</v>
      </c>
    </row>
    <row r="103" spans="1:19" x14ac:dyDescent="0.3">
      <c r="A103" s="17">
        <v>1</v>
      </c>
      <c r="B103" s="17">
        <v>4</v>
      </c>
      <c r="C103" s="17" t="s">
        <v>572</v>
      </c>
      <c r="D103" s="16">
        <v>404230</v>
      </c>
      <c r="E103" s="17" t="s">
        <v>244</v>
      </c>
      <c r="F103" s="14">
        <v>1674</v>
      </c>
      <c r="G103" s="14">
        <v>0</v>
      </c>
      <c r="H103" s="14"/>
      <c r="I103" s="14">
        <v>76</v>
      </c>
      <c r="J103" s="14">
        <v>0</v>
      </c>
      <c r="K103" s="14">
        <v>1750</v>
      </c>
      <c r="L103" s="14">
        <v>18861</v>
      </c>
      <c r="M103" s="15">
        <v>9.2784051746991142E-2</v>
      </c>
      <c r="N103" s="14">
        <v>1750</v>
      </c>
      <c r="O103" s="14">
        <v>0</v>
      </c>
      <c r="P103" s="14">
        <v>1750</v>
      </c>
      <c r="Q103" s="13">
        <v>2279.5</v>
      </c>
      <c r="R103" s="13">
        <v>2279.5</v>
      </c>
      <c r="S103" s="47">
        <f>VLOOKUP(D103,'Original Title I &amp; II'!B:B,1,FALSE)</f>
        <v>404230</v>
      </c>
    </row>
    <row r="104" spans="1:19" x14ac:dyDescent="0.3">
      <c r="A104" s="17">
        <v>1</v>
      </c>
      <c r="B104" s="17">
        <v>4</v>
      </c>
      <c r="C104" s="17" t="s">
        <v>572</v>
      </c>
      <c r="D104" s="16">
        <v>404280</v>
      </c>
      <c r="E104" s="17" t="s">
        <v>246</v>
      </c>
      <c r="F104" s="14">
        <v>1658</v>
      </c>
      <c r="G104" s="14">
        <v>0</v>
      </c>
      <c r="H104" s="14"/>
      <c r="I104" s="14">
        <v>72</v>
      </c>
      <c r="J104" s="14">
        <v>0</v>
      </c>
      <c r="K104" s="14">
        <v>1730</v>
      </c>
      <c r="L104" s="14">
        <v>6932</v>
      </c>
      <c r="M104" s="15">
        <v>0.24956722446624352</v>
      </c>
      <c r="N104" s="14">
        <v>1730</v>
      </c>
      <c r="O104" s="14">
        <v>1730</v>
      </c>
      <c r="P104" s="14">
        <v>1730</v>
      </c>
      <c r="Q104" s="13">
        <v>2365.4969000000001</v>
      </c>
      <c r="R104" s="13">
        <v>2350.9994000000006</v>
      </c>
      <c r="S104" s="47">
        <f>VLOOKUP(D104,'Original Title I &amp; II'!B:B,1,FALSE)</f>
        <v>404280</v>
      </c>
    </row>
    <row r="105" spans="1:19" x14ac:dyDescent="0.3">
      <c r="A105" s="17">
        <v>1</v>
      </c>
      <c r="B105" s="17">
        <v>4</v>
      </c>
      <c r="C105" s="17" t="s">
        <v>572</v>
      </c>
      <c r="D105" s="16">
        <v>404290</v>
      </c>
      <c r="E105" s="17" t="s">
        <v>247</v>
      </c>
      <c r="F105" s="14">
        <v>1717</v>
      </c>
      <c r="G105" s="14">
        <v>0</v>
      </c>
      <c r="H105" s="14"/>
      <c r="I105" s="14">
        <v>78</v>
      </c>
      <c r="J105" s="14">
        <v>0</v>
      </c>
      <c r="K105" s="14">
        <v>1795</v>
      </c>
      <c r="L105" s="14">
        <v>7020</v>
      </c>
      <c r="M105" s="15">
        <v>0.25569800569800571</v>
      </c>
      <c r="N105" s="14">
        <v>1795</v>
      </c>
      <c r="O105" s="14">
        <v>1795</v>
      </c>
      <c r="P105" s="14">
        <v>1795</v>
      </c>
      <c r="Q105" s="13">
        <v>2503.1215000000002</v>
      </c>
      <c r="R105" s="13">
        <v>2509.9590000000003</v>
      </c>
      <c r="S105" s="47">
        <f>VLOOKUP(D105,'Original Title I &amp; II'!B:B,1,FALSE)</f>
        <v>404290</v>
      </c>
    </row>
    <row r="106" spans="1:19" x14ac:dyDescent="0.3">
      <c r="A106" s="17">
        <v>1</v>
      </c>
      <c r="B106" s="17">
        <v>4</v>
      </c>
      <c r="C106" s="17" t="s">
        <v>572</v>
      </c>
      <c r="D106" s="16">
        <v>404320</v>
      </c>
      <c r="E106" s="17" t="s">
        <v>260</v>
      </c>
      <c r="F106" s="14">
        <v>627</v>
      </c>
      <c r="G106" s="14">
        <v>0</v>
      </c>
      <c r="H106" s="14"/>
      <c r="I106" s="14">
        <v>28</v>
      </c>
      <c r="J106" s="14">
        <v>0</v>
      </c>
      <c r="K106" s="14">
        <v>655</v>
      </c>
      <c r="L106" s="14">
        <v>4077</v>
      </c>
      <c r="M106" s="15">
        <v>0.16065734608780965</v>
      </c>
      <c r="N106" s="14">
        <v>655</v>
      </c>
      <c r="O106" s="14">
        <v>655</v>
      </c>
      <c r="P106" s="14">
        <v>655</v>
      </c>
      <c r="Q106" s="13">
        <v>669.85254999999995</v>
      </c>
      <c r="R106" s="13">
        <v>664.90170000000001</v>
      </c>
      <c r="S106" s="47">
        <f>VLOOKUP(D106,'Original Title I &amp; II'!B:B,1,FALSE)</f>
        <v>404320</v>
      </c>
    </row>
    <row r="107" spans="1:19" x14ac:dyDescent="0.3">
      <c r="A107" s="17">
        <v>1</v>
      </c>
      <c r="B107" s="17">
        <v>4</v>
      </c>
      <c r="C107" s="17" t="s">
        <v>572</v>
      </c>
      <c r="D107" s="16">
        <v>404380</v>
      </c>
      <c r="E107" s="17" t="s">
        <v>262</v>
      </c>
      <c r="F107" s="14">
        <v>1699</v>
      </c>
      <c r="G107" s="14">
        <v>0</v>
      </c>
      <c r="H107" s="14"/>
      <c r="I107" s="14">
        <v>77</v>
      </c>
      <c r="J107" s="14">
        <v>0</v>
      </c>
      <c r="K107" s="14">
        <v>1776</v>
      </c>
      <c r="L107" s="14">
        <v>11452</v>
      </c>
      <c r="M107" s="15">
        <v>0.15508208173244847</v>
      </c>
      <c r="N107" s="14">
        <v>1776</v>
      </c>
      <c r="O107" s="14">
        <v>1776</v>
      </c>
      <c r="P107" s="14">
        <v>1776</v>
      </c>
      <c r="Q107" s="13">
        <v>2318.5</v>
      </c>
      <c r="R107" s="13">
        <v>2318.5</v>
      </c>
      <c r="S107" s="47">
        <f>VLOOKUP(D107,'Original Title I &amp; II'!B:B,1,FALSE)</f>
        <v>404380</v>
      </c>
    </row>
    <row r="108" spans="1:19" x14ac:dyDescent="0.3">
      <c r="A108" s="17">
        <v>1</v>
      </c>
      <c r="B108" s="17">
        <v>4</v>
      </c>
      <c r="C108" s="17" t="s">
        <v>572</v>
      </c>
      <c r="D108" s="16">
        <v>404410</v>
      </c>
      <c r="E108" s="17" t="s">
        <v>263</v>
      </c>
      <c r="F108" s="14">
        <v>160</v>
      </c>
      <c r="G108" s="14">
        <v>0</v>
      </c>
      <c r="H108" s="14"/>
      <c r="I108" s="14">
        <v>7</v>
      </c>
      <c r="J108" s="14">
        <v>0</v>
      </c>
      <c r="K108" s="14">
        <v>167</v>
      </c>
      <c r="L108" s="14">
        <v>610</v>
      </c>
      <c r="M108" s="15">
        <v>0.27377049180327867</v>
      </c>
      <c r="N108" s="14">
        <v>167</v>
      </c>
      <c r="O108" s="14">
        <v>167</v>
      </c>
      <c r="P108" s="14">
        <v>167</v>
      </c>
      <c r="Q108" s="13">
        <v>245.06824999999998</v>
      </c>
      <c r="R108" s="13">
        <v>251.17449999999997</v>
      </c>
      <c r="S108" s="47">
        <f>VLOOKUP(D108,'Original Title I &amp; II'!B:B,1,FALSE)</f>
        <v>404410</v>
      </c>
    </row>
    <row r="109" spans="1:19" x14ac:dyDescent="0.3">
      <c r="A109" s="17">
        <v>1</v>
      </c>
      <c r="B109" s="17">
        <v>4</v>
      </c>
      <c r="C109" s="17" t="s">
        <v>572</v>
      </c>
      <c r="D109" s="16">
        <v>404440</v>
      </c>
      <c r="E109" s="17" t="s">
        <v>264</v>
      </c>
      <c r="F109" s="14">
        <v>1548</v>
      </c>
      <c r="G109" s="14">
        <v>38</v>
      </c>
      <c r="H109" s="14"/>
      <c r="I109" s="14">
        <v>70</v>
      </c>
      <c r="J109" s="14">
        <v>0</v>
      </c>
      <c r="K109" s="14">
        <v>1656</v>
      </c>
      <c r="L109" s="14">
        <v>6834</v>
      </c>
      <c r="M109" s="15">
        <v>0.24231782265144863</v>
      </c>
      <c r="N109" s="14">
        <v>1656</v>
      </c>
      <c r="O109" s="14">
        <v>1656</v>
      </c>
      <c r="P109" s="14">
        <v>1656</v>
      </c>
      <c r="Q109" s="13">
        <v>2208.1990500000006</v>
      </c>
      <c r="R109" s="13">
        <v>2169.1353000000008</v>
      </c>
      <c r="S109" s="47">
        <f>VLOOKUP(D109,'Original Title I &amp; II'!B:B,1,FALSE)</f>
        <v>404440</v>
      </c>
    </row>
    <row r="110" spans="1:19" x14ac:dyDescent="0.3">
      <c r="A110" s="17">
        <v>1</v>
      </c>
      <c r="B110" s="17">
        <v>4</v>
      </c>
      <c r="C110" s="17" t="s">
        <v>572</v>
      </c>
      <c r="D110" s="16">
        <v>404500</v>
      </c>
      <c r="E110" s="17" t="s">
        <v>265</v>
      </c>
      <c r="F110" s="14">
        <v>1024</v>
      </c>
      <c r="G110" s="14">
        <v>25</v>
      </c>
      <c r="H110" s="14"/>
      <c r="I110" s="14">
        <v>46</v>
      </c>
      <c r="J110" s="14">
        <v>0</v>
      </c>
      <c r="K110" s="14">
        <v>1095</v>
      </c>
      <c r="L110" s="14">
        <v>5307</v>
      </c>
      <c r="M110" s="15">
        <v>0.20633126059920859</v>
      </c>
      <c r="N110" s="14">
        <v>1095</v>
      </c>
      <c r="O110" s="14">
        <v>1095</v>
      </c>
      <c r="P110" s="14">
        <v>1095</v>
      </c>
      <c r="Q110" s="13">
        <v>1297</v>
      </c>
      <c r="R110" s="13">
        <v>1297</v>
      </c>
      <c r="S110" s="47">
        <f>VLOOKUP(D110,'Original Title I &amp; II'!B:B,1,FALSE)</f>
        <v>404500</v>
      </c>
    </row>
    <row r="111" spans="1:19" x14ac:dyDescent="0.3">
      <c r="A111" s="17">
        <v>1</v>
      </c>
      <c r="B111" s="17">
        <v>4</v>
      </c>
      <c r="C111" s="17" t="s">
        <v>572</v>
      </c>
      <c r="D111" s="16">
        <v>404530</v>
      </c>
      <c r="E111" s="17" t="s">
        <v>267</v>
      </c>
      <c r="F111" s="14">
        <v>24</v>
      </c>
      <c r="G111" s="14">
        <v>0</v>
      </c>
      <c r="H111" s="14"/>
      <c r="I111" s="14">
        <v>0</v>
      </c>
      <c r="J111" s="14">
        <v>0</v>
      </c>
      <c r="K111" s="14">
        <v>24</v>
      </c>
      <c r="L111" s="14">
        <v>157</v>
      </c>
      <c r="M111" s="15">
        <v>0.15286624203821655</v>
      </c>
      <c r="N111" s="14">
        <v>24</v>
      </c>
      <c r="O111" s="14">
        <v>24</v>
      </c>
      <c r="P111" s="14">
        <v>24</v>
      </c>
      <c r="Q111" s="13">
        <v>24</v>
      </c>
      <c r="R111" s="13">
        <v>24</v>
      </c>
      <c r="S111" s="47">
        <f>VLOOKUP(D111,'Original Title I &amp; II'!B:B,1,FALSE)</f>
        <v>404530</v>
      </c>
    </row>
    <row r="112" spans="1:19" x14ac:dyDescent="0.3">
      <c r="A112" s="17">
        <v>1</v>
      </c>
      <c r="B112" s="17">
        <v>4</v>
      </c>
      <c r="C112" s="17" t="s">
        <v>572</v>
      </c>
      <c r="D112" s="16">
        <v>404570</v>
      </c>
      <c r="E112" s="17" t="s">
        <v>268</v>
      </c>
      <c r="F112" s="14">
        <v>219</v>
      </c>
      <c r="G112" s="14">
        <v>0</v>
      </c>
      <c r="H112" s="14"/>
      <c r="I112" s="14">
        <v>12</v>
      </c>
      <c r="J112" s="14">
        <v>0</v>
      </c>
      <c r="K112" s="14">
        <v>231</v>
      </c>
      <c r="L112" s="14">
        <v>1145</v>
      </c>
      <c r="M112" s="15">
        <v>0.2017467248908297</v>
      </c>
      <c r="N112" s="14">
        <v>231</v>
      </c>
      <c r="O112" s="14">
        <v>231</v>
      </c>
      <c r="P112" s="14">
        <v>231</v>
      </c>
      <c r="Q112" s="13">
        <v>270.45674999999994</v>
      </c>
      <c r="R112" s="13">
        <v>257.30449999999996</v>
      </c>
      <c r="S112" s="47">
        <f>VLOOKUP(D112,'Original Title I &amp; II'!B:B,1,FALSE)</f>
        <v>404570</v>
      </c>
    </row>
    <row r="113" spans="1:19" x14ac:dyDescent="0.3">
      <c r="A113" s="17">
        <v>1</v>
      </c>
      <c r="B113" s="17">
        <v>4</v>
      </c>
      <c r="C113" s="17" t="s">
        <v>572</v>
      </c>
      <c r="D113" s="16">
        <v>404630</v>
      </c>
      <c r="E113" s="17" t="s">
        <v>269</v>
      </c>
      <c r="F113" s="14">
        <v>2029</v>
      </c>
      <c r="G113" s="14">
        <v>33</v>
      </c>
      <c r="H113" s="14"/>
      <c r="I113" s="14">
        <v>98</v>
      </c>
      <c r="J113" s="14">
        <v>0</v>
      </c>
      <c r="K113" s="14">
        <v>2160</v>
      </c>
      <c r="L113" s="14">
        <v>15503</v>
      </c>
      <c r="M113" s="15">
        <v>0.1393278720247694</v>
      </c>
      <c r="N113" s="14">
        <v>2160</v>
      </c>
      <c r="O113" s="14">
        <v>0</v>
      </c>
      <c r="P113" s="14">
        <v>2160</v>
      </c>
      <c r="Q113" s="13">
        <v>2894.5</v>
      </c>
      <c r="R113" s="13">
        <v>2894.5</v>
      </c>
      <c r="S113" s="47">
        <f>VLOOKUP(D113,'Original Title I &amp; II'!B:B,1,FALSE)</f>
        <v>404630</v>
      </c>
    </row>
    <row r="114" spans="1:19" x14ac:dyDescent="0.3">
      <c r="A114" s="17">
        <v>1</v>
      </c>
      <c r="B114" s="17">
        <v>4</v>
      </c>
      <c r="C114" s="17" t="s">
        <v>572</v>
      </c>
      <c r="D114" s="16">
        <v>404720</v>
      </c>
      <c r="E114" s="17" t="s">
        <v>273</v>
      </c>
      <c r="F114" s="14">
        <v>1606</v>
      </c>
      <c r="G114" s="14">
        <v>0</v>
      </c>
      <c r="H114" s="14"/>
      <c r="I114" s="14">
        <v>87</v>
      </c>
      <c r="J114" s="14">
        <v>0</v>
      </c>
      <c r="K114" s="14">
        <v>1693</v>
      </c>
      <c r="L114" s="14">
        <v>10971</v>
      </c>
      <c r="M114" s="15">
        <v>0.15431592379910675</v>
      </c>
      <c r="N114" s="14">
        <v>1693</v>
      </c>
      <c r="O114" s="14">
        <v>1693</v>
      </c>
      <c r="P114" s="14">
        <v>1693</v>
      </c>
      <c r="Q114" s="13">
        <v>2194</v>
      </c>
      <c r="R114" s="13">
        <v>2194</v>
      </c>
      <c r="S114" s="47">
        <f>VLOOKUP(D114,'Original Title I &amp; II'!B:B,1,FALSE)</f>
        <v>404720</v>
      </c>
    </row>
    <row r="115" spans="1:19" x14ac:dyDescent="0.3">
      <c r="A115" s="17">
        <v>1</v>
      </c>
      <c r="B115" s="17">
        <v>4</v>
      </c>
      <c r="C115" s="17" t="s">
        <v>572</v>
      </c>
      <c r="D115" s="16">
        <v>404820</v>
      </c>
      <c r="E115" s="17" t="s">
        <v>586</v>
      </c>
      <c r="F115" s="14">
        <v>215</v>
      </c>
      <c r="G115" s="14">
        <v>0</v>
      </c>
      <c r="H115" s="14"/>
      <c r="I115" s="14">
        <v>11</v>
      </c>
      <c r="J115" s="14">
        <v>0</v>
      </c>
      <c r="K115" s="14">
        <v>226</v>
      </c>
      <c r="L115" s="14">
        <v>721</v>
      </c>
      <c r="M115" s="15">
        <v>0.31345353675450766</v>
      </c>
      <c r="N115" s="14">
        <v>226</v>
      </c>
      <c r="O115" s="14">
        <v>226</v>
      </c>
      <c r="P115" s="14">
        <v>226</v>
      </c>
      <c r="Q115" s="13">
        <v>367.60112500000014</v>
      </c>
      <c r="R115" s="13">
        <v>395.53405000000015</v>
      </c>
      <c r="S115" s="47">
        <f>VLOOKUP(D115,'Original Title I &amp; II'!B:B,1,FALSE)</f>
        <v>404820</v>
      </c>
    </row>
    <row r="116" spans="1:19" x14ac:dyDescent="0.3">
      <c r="A116" s="17">
        <v>1</v>
      </c>
      <c r="B116" s="17">
        <v>4</v>
      </c>
      <c r="C116" s="17" t="s">
        <v>572</v>
      </c>
      <c r="D116" s="16">
        <v>404860</v>
      </c>
      <c r="E116" s="17" t="s">
        <v>585</v>
      </c>
      <c r="F116" s="14">
        <v>68</v>
      </c>
      <c r="G116" s="14">
        <v>0</v>
      </c>
      <c r="H116" s="14"/>
      <c r="I116" s="14">
        <v>0</v>
      </c>
      <c r="J116" s="14">
        <v>0</v>
      </c>
      <c r="K116" s="14">
        <v>68</v>
      </c>
      <c r="L116" s="14">
        <v>159</v>
      </c>
      <c r="M116" s="15">
        <v>0.42767295597484278</v>
      </c>
      <c r="N116" s="14">
        <v>68</v>
      </c>
      <c r="O116" s="14">
        <v>68</v>
      </c>
      <c r="P116" s="14">
        <v>68</v>
      </c>
      <c r="Q116" s="13">
        <v>145.487675</v>
      </c>
      <c r="R116" s="13">
        <v>179.74754999999999</v>
      </c>
      <c r="S116" s="47">
        <f>VLOOKUP(D116,'Original Title I &amp; II'!B:B,1,FALSE)</f>
        <v>404860</v>
      </c>
    </row>
    <row r="117" spans="1:19" x14ac:dyDescent="0.3">
      <c r="A117" s="17">
        <v>1</v>
      </c>
      <c r="B117" s="17">
        <v>4</v>
      </c>
      <c r="C117" s="17" t="s">
        <v>572</v>
      </c>
      <c r="D117" s="16">
        <v>404920</v>
      </c>
      <c r="E117" s="17" t="s">
        <v>281</v>
      </c>
      <c r="F117" s="14">
        <v>20</v>
      </c>
      <c r="G117" s="14">
        <v>0</v>
      </c>
      <c r="H117" s="14"/>
      <c r="I117" s="14">
        <v>1</v>
      </c>
      <c r="J117" s="14">
        <v>0</v>
      </c>
      <c r="K117" s="14">
        <v>21</v>
      </c>
      <c r="L117" s="14">
        <v>105</v>
      </c>
      <c r="M117" s="15">
        <v>0.2</v>
      </c>
      <c r="N117" s="14">
        <v>21</v>
      </c>
      <c r="O117" s="14">
        <v>21</v>
      </c>
      <c r="P117" s="14">
        <v>21</v>
      </c>
      <c r="Q117" s="13">
        <v>24.48075</v>
      </c>
      <c r="R117" s="13">
        <v>23.320500000000003</v>
      </c>
      <c r="S117" s="47">
        <f>VLOOKUP(D117,'Original Title I &amp; II'!B:B,1,FALSE)</f>
        <v>404920</v>
      </c>
    </row>
    <row r="118" spans="1:19" x14ac:dyDescent="0.3">
      <c r="A118" s="17">
        <v>1</v>
      </c>
      <c r="B118" s="17">
        <v>4</v>
      </c>
      <c r="C118" s="17" t="s">
        <v>572</v>
      </c>
      <c r="D118" s="16">
        <v>404970</v>
      </c>
      <c r="E118" s="17" t="s">
        <v>282</v>
      </c>
      <c r="F118" s="14">
        <v>19794</v>
      </c>
      <c r="G118" s="14">
        <v>228</v>
      </c>
      <c r="H118" s="14"/>
      <c r="I118" s="14">
        <v>895</v>
      </c>
      <c r="J118" s="14">
        <v>0</v>
      </c>
      <c r="K118" s="14">
        <v>20917</v>
      </c>
      <c r="L118" s="14">
        <v>82498</v>
      </c>
      <c r="M118" s="15">
        <v>0.25354554049795147</v>
      </c>
      <c r="N118" s="14">
        <v>20917</v>
      </c>
      <c r="O118" s="14">
        <v>20917</v>
      </c>
      <c r="P118" s="14">
        <v>20917</v>
      </c>
      <c r="Q118" s="13">
        <v>46890.5</v>
      </c>
      <c r="R118" s="13">
        <v>59720.5</v>
      </c>
      <c r="S118" s="47">
        <f>VLOOKUP(D118,'Original Title I &amp; II'!B:B,1,FALSE)</f>
        <v>404970</v>
      </c>
    </row>
    <row r="119" spans="1:19" x14ac:dyDescent="0.3">
      <c r="A119" s="17">
        <v>1</v>
      </c>
      <c r="B119" s="17">
        <v>4</v>
      </c>
      <c r="C119" s="17" t="s">
        <v>572</v>
      </c>
      <c r="D119" s="16">
        <v>405030</v>
      </c>
      <c r="E119" s="17" t="s">
        <v>285</v>
      </c>
      <c r="F119" s="14">
        <v>537</v>
      </c>
      <c r="G119" s="14">
        <v>0</v>
      </c>
      <c r="H119" s="14"/>
      <c r="I119" s="14">
        <v>15</v>
      </c>
      <c r="J119" s="14">
        <v>0</v>
      </c>
      <c r="K119" s="14">
        <v>552</v>
      </c>
      <c r="L119" s="14">
        <v>1223</v>
      </c>
      <c r="M119" s="15">
        <v>0.45134914145543747</v>
      </c>
      <c r="N119" s="14">
        <v>552</v>
      </c>
      <c r="O119" s="14">
        <v>552</v>
      </c>
      <c r="P119" s="14">
        <v>552</v>
      </c>
      <c r="Q119" s="13">
        <v>1234.8894749999999</v>
      </c>
      <c r="R119" s="13">
        <v>1556.3223500000004</v>
      </c>
      <c r="S119" s="47">
        <f>VLOOKUP(D119,'Original Title I &amp; II'!B:B,1,FALSE)</f>
        <v>405030</v>
      </c>
    </row>
    <row r="120" spans="1:19" x14ac:dyDescent="0.3">
      <c r="A120" s="17">
        <v>1</v>
      </c>
      <c r="B120" s="17">
        <v>4</v>
      </c>
      <c r="C120" s="17" t="s">
        <v>572</v>
      </c>
      <c r="D120" s="16">
        <v>405070</v>
      </c>
      <c r="E120" s="17" t="s">
        <v>288</v>
      </c>
      <c r="F120" s="14">
        <v>255</v>
      </c>
      <c r="G120" s="14">
        <v>0</v>
      </c>
      <c r="H120" s="14"/>
      <c r="I120" s="14">
        <v>13</v>
      </c>
      <c r="J120" s="14">
        <v>0</v>
      </c>
      <c r="K120" s="14">
        <v>268</v>
      </c>
      <c r="L120" s="14">
        <v>1504</v>
      </c>
      <c r="M120" s="15">
        <v>0.17819148936170212</v>
      </c>
      <c r="N120" s="14">
        <v>268</v>
      </c>
      <c r="O120" s="14">
        <v>268</v>
      </c>
      <c r="P120" s="14">
        <v>268</v>
      </c>
      <c r="Q120" s="13">
        <v>293.25759999999997</v>
      </c>
      <c r="R120" s="13">
        <v>284.83839999999998</v>
      </c>
      <c r="S120" s="47">
        <f>VLOOKUP(D120,'Original Title I &amp; II'!B:B,1,FALSE)</f>
        <v>405070</v>
      </c>
    </row>
    <row r="121" spans="1:19" x14ac:dyDescent="0.3">
      <c r="A121" s="17">
        <v>1</v>
      </c>
      <c r="B121" s="17">
        <v>4</v>
      </c>
      <c r="C121" s="17" t="s">
        <v>572</v>
      </c>
      <c r="D121" s="16">
        <v>405100</v>
      </c>
      <c r="E121" s="17" t="s">
        <v>499</v>
      </c>
      <c r="F121" s="14">
        <v>2</v>
      </c>
      <c r="G121" s="14">
        <v>0</v>
      </c>
      <c r="H121" s="14"/>
      <c r="I121" s="14">
        <v>0</v>
      </c>
      <c r="J121" s="14">
        <v>0</v>
      </c>
      <c r="K121" s="14">
        <v>2</v>
      </c>
      <c r="L121" s="14">
        <v>25</v>
      </c>
      <c r="M121" s="15">
        <v>0.08</v>
      </c>
      <c r="N121" s="14">
        <v>0</v>
      </c>
      <c r="O121" s="14">
        <v>0</v>
      </c>
      <c r="P121" s="14">
        <v>0</v>
      </c>
      <c r="Q121" s="13">
        <v>0</v>
      </c>
      <c r="R121" s="13">
        <v>0</v>
      </c>
      <c r="S121" s="47">
        <f>VLOOKUP(D121,'Original Title I &amp; II'!B:B,1,FALSE)</f>
        <v>405100</v>
      </c>
    </row>
    <row r="122" spans="1:19" x14ac:dyDescent="0.3">
      <c r="A122" s="17">
        <v>1</v>
      </c>
      <c r="B122" s="17">
        <v>4</v>
      </c>
      <c r="C122" s="17" t="s">
        <v>572</v>
      </c>
      <c r="D122" s="16">
        <v>405190</v>
      </c>
      <c r="E122" s="17" t="s">
        <v>291</v>
      </c>
      <c r="F122" s="14">
        <v>532</v>
      </c>
      <c r="G122" s="14">
        <v>0</v>
      </c>
      <c r="H122" s="14"/>
      <c r="I122" s="14">
        <v>23</v>
      </c>
      <c r="J122" s="14">
        <v>0</v>
      </c>
      <c r="K122" s="14">
        <v>555</v>
      </c>
      <c r="L122" s="14">
        <v>2045</v>
      </c>
      <c r="M122" s="15">
        <v>0.27139364303178481</v>
      </c>
      <c r="N122" s="14">
        <v>555</v>
      </c>
      <c r="O122" s="14">
        <v>555</v>
      </c>
      <c r="P122" s="14">
        <v>555</v>
      </c>
      <c r="Q122" s="13">
        <v>809.42962499999987</v>
      </c>
      <c r="R122" s="13">
        <v>827.47024999999996</v>
      </c>
      <c r="S122" s="47">
        <f>VLOOKUP(D122,'Original Title I &amp; II'!B:B,1,FALSE)</f>
        <v>405190</v>
      </c>
    </row>
    <row r="123" spans="1:19" x14ac:dyDescent="0.3">
      <c r="A123" s="17">
        <v>1</v>
      </c>
      <c r="B123" s="17">
        <v>4</v>
      </c>
      <c r="C123" s="17" t="s">
        <v>572</v>
      </c>
      <c r="D123" s="16">
        <v>405220</v>
      </c>
      <c r="E123" s="17" t="s">
        <v>292</v>
      </c>
      <c r="F123" s="14">
        <v>54</v>
      </c>
      <c r="G123" s="14">
        <v>0</v>
      </c>
      <c r="H123" s="14"/>
      <c r="I123" s="14">
        <v>1</v>
      </c>
      <c r="J123" s="14">
        <v>0</v>
      </c>
      <c r="K123" s="14">
        <v>55</v>
      </c>
      <c r="L123" s="14">
        <v>174</v>
      </c>
      <c r="M123" s="15">
        <v>0.31609195402298851</v>
      </c>
      <c r="N123" s="14">
        <v>55</v>
      </c>
      <c r="O123" s="14">
        <v>55</v>
      </c>
      <c r="P123" s="14">
        <v>55</v>
      </c>
      <c r="Q123" s="13">
        <v>90.205750000000009</v>
      </c>
      <c r="R123" s="13">
        <v>97.520700000000005</v>
      </c>
      <c r="S123" s="47">
        <f>VLOOKUP(D123,'Original Title I &amp; II'!B:B,1,FALSE)</f>
        <v>405220</v>
      </c>
    </row>
    <row r="124" spans="1:19" x14ac:dyDescent="0.3">
      <c r="A124" s="17">
        <v>1</v>
      </c>
      <c r="B124" s="17">
        <v>4</v>
      </c>
      <c r="C124" s="17" t="s">
        <v>572</v>
      </c>
      <c r="D124" s="16">
        <v>405320</v>
      </c>
      <c r="E124" s="17" t="s">
        <v>295</v>
      </c>
      <c r="F124" s="14">
        <v>57</v>
      </c>
      <c r="G124" s="14">
        <v>0</v>
      </c>
      <c r="H124" s="14"/>
      <c r="I124" s="14">
        <v>0</v>
      </c>
      <c r="J124" s="14">
        <v>0</v>
      </c>
      <c r="K124" s="14">
        <v>57</v>
      </c>
      <c r="L124" s="14">
        <v>789</v>
      </c>
      <c r="M124" s="15">
        <v>7.2243346007604556E-2</v>
      </c>
      <c r="N124" s="14">
        <v>57</v>
      </c>
      <c r="O124" s="14">
        <v>0</v>
      </c>
      <c r="P124" s="14">
        <v>57</v>
      </c>
      <c r="Q124" s="13">
        <v>57</v>
      </c>
      <c r="R124" s="13">
        <v>57</v>
      </c>
      <c r="S124" s="47">
        <f>VLOOKUP(D124,'Original Title I &amp; II'!B:B,1,FALSE)</f>
        <v>405320</v>
      </c>
    </row>
    <row r="125" spans="1:19" x14ac:dyDescent="0.3">
      <c r="A125" s="17">
        <v>1</v>
      </c>
      <c r="B125" s="17">
        <v>4</v>
      </c>
      <c r="C125" s="17" t="s">
        <v>572</v>
      </c>
      <c r="D125" s="16">
        <v>405340</v>
      </c>
      <c r="E125" s="17" t="s">
        <v>297</v>
      </c>
      <c r="F125" s="14">
        <v>37</v>
      </c>
      <c r="G125" s="14">
        <v>0</v>
      </c>
      <c r="H125" s="14"/>
      <c r="I125" s="14">
        <v>2</v>
      </c>
      <c r="J125" s="14">
        <v>0</v>
      </c>
      <c r="K125" s="14">
        <v>39</v>
      </c>
      <c r="L125" s="14">
        <v>277</v>
      </c>
      <c r="M125" s="15">
        <v>0.1407942238267148</v>
      </c>
      <c r="N125" s="14">
        <v>39</v>
      </c>
      <c r="O125" s="14">
        <v>0</v>
      </c>
      <c r="P125" s="14">
        <v>39</v>
      </c>
      <c r="Q125" s="13">
        <v>39</v>
      </c>
      <c r="R125" s="13">
        <v>39</v>
      </c>
      <c r="S125" s="47">
        <f>VLOOKUP(D125,'Original Title I &amp; II'!B:B,1,FALSE)</f>
        <v>405340</v>
      </c>
    </row>
    <row r="126" spans="1:19" x14ac:dyDescent="0.3">
      <c r="A126" s="17">
        <v>1</v>
      </c>
      <c r="B126" s="17">
        <v>4</v>
      </c>
      <c r="C126" s="17" t="s">
        <v>572</v>
      </c>
      <c r="D126" s="16">
        <v>405400</v>
      </c>
      <c r="E126" s="17" t="s">
        <v>299</v>
      </c>
      <c r="F126" s="14">
        <v>1066</v>
      </c>
      <c r="G126" s="14">
        <v>0</v>
      </c>
      <c r="H126" s="14"/>
      <c r="I126" s="14">
        <v>48</v>
      </c>
      <c r="J126" s="14">
        <v>0</v>
      </c>
      <c r="K126" s="14">
        <v>1114</v>
      </c>
      <c r="L126" s="14">
        <v>2138</v>
      </c>
      <c r="M126" s="15">
        <v>0.52104770813844714</v>
      </c>
      <c r="N126" s="14">
        <v>1114</v>
      </c>
      <c r="O126" s="14">
        <v>1114</v>
      </c>
      <c r="P126" s="14">
        <v>1114</v>
      </c>
      <c r="Q126" s="13">
        <v>2754.8468499999999</v>
      </c>
      <c r="R126" s="13">
        <v>3614.7941000000005</v>
      </c>
      <c r="S126" s="47">
        <f>VLOOKUP(D126,'Original Title I &amp; II'!B:B,1,FALSE)</f>
        <v>405400</v>
      </c>
    </row>
    <row r="127" spans="1:19" x14ac:dyDescent="0.3">
      <c r="A127" s="17">
        <v>1</v>
      </c>
      <c r="B127" s="17">
        <v>4</v>
      </c>
      <c r="C127" s="17" t="s">
        <v>572</v>
      </c>
      <c r="D127" s="16">
        <v>405430</v>
      </c>
      <c r="E127" s="17" t="s">
        <v>300</v>
      </c>
      <c r="F127" s="14">
        <v>121</v>
      </c>
      <c r="G127" s="14">
        <v>0</v>
      </c>
      <c r="H127" s="14"/>
      <c r="I127" s="14">
        <v>3</v>
      </c>
      <c r="J127" s="14">
        <v>0</v>
      </c>
      <c r="K127" s="14">
        <v>124</v>
      </c>
      <c r="L127" s="14">
        <v>371</v>
      </c>
      <c r="M127" s="15">
        <v>0.33423180592991913</v>
      </c>
      <c r="N127" s="14">
        <v>124</v>
      </c>
      <c r="O127" s="14">
        <v>124</v>
      </c>
      <c r="P127" s="14">
        <v>124</v>
      </c>
      <c r="Q127" s="13">
        <v>214.20737500000001</v>
      </c>
      <c r="R127" s="13">
        <v>238.21655000000001</v>
      </c>
      <c r="S127" s="47">
        <f>VLOOKUP(D127,'Original Title I &amp; II'!B:B,1,FALSE)</f>
        <v>405430</v>
      </c>
    </row>
    <row r="128" spans="1:19" x14ac:dyDescent="0.3">
      <c r="A128" s="17">
        <v>1</v>
      </c>
      <c r="B128" s="17">
        <v>4</v>
      </c>
      <c r="C128" s="17" t="s">
        <v>572</v>
      </c>
      <c r="D128" s="16">
        <v>405460</v>
      </c>
      <c r="E128" s="17" t="s">
        <v>301</v>
      </c>
      <c r="F128" s="14">
        <v>259</v>
      </c>
      <c r="G128" s="14">
        <v>0</v>
      </c>
      <c r="H128" s="14"/>
      <c r="I128" s="14">
        <v>12</v>
      </c>
      <c r="J128" s="14">
        <v>0</v>
      </c>
      <c r="K128" s="14">
        <v>271</v>
      </c>
      <c r="L128" s="14">
        <v>1751</v>
      </c>
      <c r="M128" s="15">
        <v>0.15476870359794404</v>
      </c>
      <c r="N128" s="14">
        <v>271</v>
      </c>
      <c r="O128" s="14">
        <v>271</v>
      </c>
      <c r="P128" s="14">
        <v>271</v>
      </c>
      <c r="Q128" s="13">
        <v>271</v>
      </c>
      <c r="R128" s="13">
        <v>271</v>
      </c>
      <c r="S128" s="47">
        <f>VLOOKUP(D128,'Original Title I &amp; II'!B:B,1,FALSE)</f>
        <v>405460</v>
      </c>
    </row>
    <row r="129" spans="1:19" x14ac:dyDescent="0.3">
      <c r="A129" s="17">
        <v>1</v>
      </c>
      <c r="B129" s="17">
        <v>4</v>
      </c>
      <c r="C129" s="17" t="s">
        <v>572</v>
      </c>
      <c r="D129" s="16">
        <v>405530</v>
      </c>
      <c r="E129" s="17" t="s">
        <v>306</v>
      </c>
      <c r="F129" s="14">
        <v>1926</v>
      </c>
      <c r="G129" s="14">
        <v>0</v>
      </c>
      <c r="H129" s="14"/>
      <c r="I129" s="14">
        <v>27</v>
      </c>
      <c r="J129" s="14">
        <v>0</v>
      </c>
      <c r="K129" s="14">
        <v>1953</v>
      </c>
      <c r="L129" s="14">
        <v>4749</v>
      </c>
      <c r="M129" s="15">
        <v>0.41124447252053065</v>
      </c>
      <c r="N129" s="14">
        <v>1953</v>
      </c>
      <c r="O129" s="14">
        <v>1953</v>
      </c>
      <c r="P129" s="14">
        <v>1953</v>
      </c>
      <c r="Q129" s="13">
        <v>4033.3394250000006</v>
      </c>
      <c r="R129" s="13">
        <v>4900.5730500000009</v>
      </c>
      <c r="S129" s="47">
        <f>VLOOKUP(D129,'Original Title I &amp; II'!B:B,1,FALSE)</f>
        <v>405530</v>
      </c>
    </row>
    <row r="130" spans="1:19" x14ac:dyDescent="0.3">
      <c r="A130" s="17">
        <v>1</v>
      </c>
      <c r="B130" s="17">
        <v>4</v>
      </c>
      <c r="C130" s="17" t="s">
        <v>572</v>
      </c>
      <c r="D130" s="16">
        <v>405640</v>
      </c>
      <c r="E130" s="17" t="s">
        <v>311</v>
      </c>
      <c r="F130" s="14">
        <v>208</v>
      </c>
      <c r="G130" s="14">
        <v>0</v>
      </c>
      <c r="H130" s="14"/>
      <c r="I130" s="14">
        <v>11</v>
      </c>
      <c r="J130" s="14">
        <v>0</v>
      </c>
      <c r="K130" s="14">
        <v>219</v>
      </c>
      <c r="L130" s="14">
        <v>1051</v>
      </c>
      <c r="M130" s="15">
        <v>0.20837297811607994</v>
      </c>
      <c r="N130" s="14">
        <v>219</v>
      </c>
      <c r="O130" s="14">
        <v>219</v>
      </c>
      <c r="P130" s="14">
        <v>219</v>
      </c>
      <c r="Q130" s="13">
        <v>260.44065000000001</v>
      </c>
      <c r="R130" s="13">
        <v>246.62710000000004</v>
      </c>
      <c r="S130" s="47">
        <f>VLOOKUP(D130,'Original Title I &amp; II'!B:B,1,FALSE)</f>
        <v>405640</v>
      </c>
    </row>
    <row r="131" spans="1:19" x14ac:dyDescent="0.3">
      <c r="A131" s="17">
        <v>1</v>
      </c>
      <c r="B131" s="17">
        <v>4</v>
      </c>
      <c r="C131" s="17" t="s">
        <v>572</v>
      </c>
      <c r="D131" s="16">
        <v>405670</v>
      </c>
      <c r="E131" s="17" t="s">
        <v>312</v>
      </c>
      <c r="F131" s="14">
        <v>1770</v>
      </c>
      <c r="G131" s="14">
        <v>7</v>
      </c>
      <c r="H131" s="14"/>
      <c r="I131" s="14">
        <v>80</v>
      </c>
      <c r="J131" s="14">
        <v>0</v>
      </c>
      <c r="K131" s="14">
        <v>1857</v>
      </c>
      <c r="L131" s="14">
        <v>3945</v>
      </c>
      <c r="M131" s="15">
        <v>0.47072243346007603</v>
      </c>
      <c r="N131" s="14">
        <v>1857</v>
      </c>
      <c r="O131" s="14">
        <v>1857</v>
      </c>
      <c r="P131" s="14">
        <v>1857</v>
      </c>
      <c r="Q131" s="13">
        <v>4289.0621249999995</v>
      </c>
      <c r="R131" s="13">
        <v>5478.7552499999993</v>
      </c>
      <c r="S131" s="47">
        <f>VLOOKUP(D131,'Original Title I &amp; II'!B:B,1,FALSE)</f>
        <v>405670</v>
      </c>
    </row>
    <row r="132" spans="1:19" x14ac:dyDescent="0.3">
      <c r="A132" s="17">
        <v>1</v>
      </c>
      <c r="B132" s="17">
        <v>4</v>
      </c>
      <c r="C132" s="17" t="s">
        <v>572</v>
      </c>
      <c r="D132" s="16">
        <v>405730</v>
      </c>
      <c r="E132" s="17" t="s">
        <v>313</v>
      </c>
      <c r="F132" s="14">
        <v>10</v>
      </c>
      <c r="G132" s="14">
        <v>0</v>
      </c>
      <c r="H132" s="14"/>
      <c r="I132" s="14">
        <v>0</v>
      </c>
      <c r="J132" s="14">
        <v>0</v>
      </c>
      <c r="K132" s="14">
        <v>10</v>
      </c>
      <c r="L132" s="14">
        <v>60</v>
      </c>
      <c r="M132" s="15">
        <v>0.16666666666666666</v>
      </c>
      <c r="N132" s="14">
        <v>10</v>
      </c>
      <c r="O132" s="14">
        <v>10</v>
      </c>
      <c r="P132" s="14">
        <v>10</v>
      </c>
      <c r="Q132" s="13">
        <v>10.488999999999995</v>
      </c>
      <c r="R132" s="13">
        <v>10.325999999999997</v>
      </c>
      <c r="S132" s="47">
        <f>VLOOKUP(D132,'Original Title I &amp; II'!B:B,1,FALSE)</f>
        <v>405730</v>
      </c>
    </row>
    <row r="133" spans="1:19" x14ac:dyDescent="0.3">
      <c r="A133" s="17">
        <v>1</v>
      </c>
      <c r="B133" s="17">
        <v>4</v>
      </c>
      <c r="C133" s="17" t="s">
        <v>572</v>
      </c>
      <c r="D133" s="16">
        <v>405820</v>
      </c>
      <c r="E133" s="17" t="s">
        <v>315</v>
      </c>
      <c r="F133" s="14">
        <v>722</v>
      </c>
      <c r="G133" s="14">
        <v>0</v>
      </c>
      <c r="H133" s="14"/>
      <c r="I133" s="14">
        <v>10</v>
      </c>
      <c r="J133" s="14">
        <v>0</v>
      </c>
      <c r="K133" s="14">
        <v>732</v>
      </c>
      <c r="L133" s="14">
        <v>2900</v>
      </c>
      <c r="M133" s="15">
        <v>0.2524137931034483</v>
      </c>
      <c r="N133" s="14">
        <v>732</v>
      </c>
      <c r="O133" s="14">
        <v>732</v>
      </c>
      <c r="P133" s="14">
        <v>732</v>
      </c>
      <c r="Q133" s="13">
        <v>1010.2425000000003</v>
      </c>
      <c r="R133" s="13">
        <v>1008.3050000000003</v>
      </c>
      <c r="S133" s="47">
        <f>VLOOKUP(D133,'Original Title I &amp; II'!B:B,1,FALSE)</f>
        <v>405820</v>
      </c>
    </row>
    <row r="134" spans="1:19" x14ac:dyDescent="0.3">
      <c r="A134" s="17">
        <v>1</v>
      </c>
      <c r="B134" s="17">
        <v>4</v>
      </c>
      <c r="C134" s="17" t="s">
        <v>572</v>
      </c>
      <c r="D134" s="16">
        <v>405850</v>
      </c>
      <c r="E134" s="17" t="s">
        <v>317</v>
      </c>
      <c r="F134" s="14">
        <v>115</v>
      </c>
      <c r="G134" s="14">
        <v>0</v>
      </c>
      <c r="H134" s="14"/>
      <c r="I134" s="14">
        <v>5</v>
      </c>
      <c r="J134" s="14">
        <v>0</v>
      </c>
      <c r="K134" s="14">
        <v>120</v>
      </c>
      <c r="L134" s="14">
        <v>454</v>
      </c>
      <c r="M134" s="15">
        <v>0.26431718061674009</v>
      </c>
      <c r="N134" s="14">
        <v>120</v>
      </c>
      <c r="O134" s="14">
        <v>120</v>
      </c>
      <c r="P134" s="14">
        <v>120</v>
      </c>
      <c r="Q134" s="13">
        <v>171.66555</v>
      </c>
      <c r="R134" s="13">
        <v>174.0643</v>
      </c>
      <c r="S134" s="47">
        <f>VLOOKUP(D134,'Original Title I &amp; II'!B:B,1,FALSE)</f>
        <v>405850</v>
      </c>
    </row>
    <row r="135" spans="1:19" x14ac:dyDescent="0.3">
      <c r="A135" s="17">
        <v>1</v>
      </c>
      <c r="B135" s="17">
        <v>4</v>
      </c>
      <c r="C135" s="17" t="s">
        <v>572</v>
      </c>
      <c r="D135" s="16">
        <v>408430</v>
      </c>
      <c r="E135" s="17" t="s">
        <v>318</v>
      </c>
      <c r="F135" s="14">
        <v>41</v>
      </c>
      <c r="G135" s="14">
        <v>0</v>
      </c>
      <c r="H135" s="14"/>
      <c r="I135" s="14">
        <v>2</v>
      </c>
      <c r="J135" s="14">
        <v>0</v>
      </c>
      <c r="K135" s="14">
        <v>43</v>
      </c>
      <c r="L135" s="14">
        <v>84</v>
      </c>
      <c r="M135" s="15">
        <v>0.51190476190476186</v>
      </c>
      <c r="N135" s="14">
        <v>43</v>
      </c>
      <c r="O135" s="14">
        <v>43</v>
      </c>
      <c r="P135" s="14">
        <v>43</v>
      </c>
      <c r="Q135" s="13">
        <v>105.16329999999999</v>
      </c>
      <c r="R135" s="13">
        <v>137.41379999999998</v>
      </c>
      <c r="S135" s="47">
        <f>VLOOKUP(D135,'Original Title I &amp; II'!B:B,1,FALSE)</f>
        <v>408430</v>
      </c>
    </row>
    <row r="136" spans="1:19" x14ac:dyDescent="0.3">
      <c r="A136" s="17">
        <v>1</v>
      </c>
      <c r="B136" s="17">
        <v>4</v>
      </c>
      <c r="C136" s="17" t="s">
        <v>572</v>
      </c>
      <c r="D136" s="16">
        <v>405880</v>
      </c>
      <c r="E136" s="17" t="s">
        <v>319</v>
      </c>
      <c r="F136" s="14">
        <v>436</v>
      </c>
      <c r="G136" s="14">
        <v>0</v>
      </c>
      <c r="H136" s="14"/>
      <c r="I136" s="14">
        <v>11</v>
      </c>
      <c r="J136" s="14">
        <v>0</v>
      </c>
      <c r="K136" s="14">
        <v>447</v>
      </c>
      <c r="L136" s="14">
        <v>1648</v>
      </c>
      <c r="M136" s="15">
        <v>0.27123786407766992</v>
      </c>
      <c r="N136" s="14">
        <v>447</v>
      </c>
      <c r="O136" s="14">
        <v>447</v>
      </c>
      <c r="P136" s="14">
        <v>447</v>
      </c>
      <c r="Q136" s="13">
        <v>651.65160000000014</v>
      </c>
      <c r="R136" s="13">
        <v>666.06160000000011</v>
      </c>
      <c r="S136" s="47">
        <f>VLOOKUP(D136,'Original Title I &amp; II'!B:B,1,FALSE)</f>
        <v>405880</v>
      </c>
    </row>
    <row r="137" spans="1:19" x14ac:dyDescent="0.3">
      <c r="A137" s="17">
        <v>1</v>
      </c>
      <c r="B137" s="17">
        <v>4</v>
      </c>
      <c r="C137" s="17" t="s">
        <v>572</v>
      </c>
      <c r="D137" s="16">
        <v>405930</v>
      </c>
      <c r="E137" s="17" t="s">
        <v>321</v>
      </c>
      <c r="F137" s="14">
        <v>6348</v>
      </c>
      <c r="G137" s="14">
        <v>58</v>
      </c>
      <c r="H137" s="14"/>
      <c r="I137" s="14">
        <v>287</v>
      </c>
      <c r="J137" s="14">
        <v>0</v>
      </c>
      <c r="K137" s="14">
        <v>6693</v>
      </c>
      <c r="L137" s="14">
        <v>40856</v>
      </c>
      <c r="M137" s="15">
        <v>0.16381926767182298</v>
      </c>
      <c r="N137" s="14">
        <v>6693</v>
      </c>
      <c r="O137" s="14">
        <v>6693</v>
      </c>
      <c r="P137" s="14">
        <v>6693</v>
      </c>
      <c r="Q137" s="13">
        <v>11909.5</v>
      </c>
      <c r="R137" s="13">
        <v>13017.25</v>
      </c>
      <c r="S137" s="47">
        <f>VLOOKUP(D137,'Original Title I &amp; II'!B:B,1,FALSE)</f>
        <v>405930</v>
      </c>
    </row>
    <row r="138" spans="1:19" x14ac:dyDescent="0.3">
      <c r="A138" s="17">
        <v>1</v>
      </c>
      <c r="B138" s="17">
        <v>4</v>
      </c>
      <c r="C138" s="17" t="s">
        <v>572</v>
      </c>
      <c r="D138" s="16">
        <v>405980</v>
      </c>
      <c r="E138" s="17" t="s">
        <v>325</v>
      </c>
      <c r="F138" s="14">
        <v>565</v>
      </c>
      <c r="G138" s="14">
        <v>0</v>
      </c>
      <c r="H138" s="14"/>
      <c r="I138" s="14">
        <v>22</v>
      </c>
      <c r="J138" s="14">
        <v>0</v>
      </c>
      <c r="K138" s="14">
        <v>587</v>
      </c>
      <c r="L138" s="14">
        <v>1699</v>
      </c>
      <c r="M138" s="15">
        <v>0.34549735138316656</v>
      </c>
      <c r="N138" s="14">
        <v>587</v>
      </c>
      <c r="O138" s="14">
        <v>587</v>
      </c>
      <c r="P138" s="14">
        <v>587</v>
      </c>
      <c r="Q138" s="13">
        <v>1043.1713750000001</v>
      </c>
      <c r="R138" s="13">
        <v>1177.0469500000002</v>
      </c>
      <c r="S138" s="47">
        <f>VLOOKUP(D138,'Original Title I &amp; II'!B:B,1,FALSE)</f>
        <v>405980</v>
      </c>
    </row>
    <row r="139" spans="1:19" x14ac:dyDescent="0.3">
      <c r="A139" s="17">
        <v>1</v>
      </c>
      <c r="B139" s="17">
        <v>4</v>
      </c>
      <c r="C139" s="17" t="s">
        <v>572</v>
      </c>
      <c r="D139" s="16">
        <v>406000</v>
      </c>
      <c r="E139" s="17" t="s">
        <v>327</v>
      </c>
      <c r="F139" s="14">
        <v>39</v>
      </c>
      <c r="G139" s="14">
        <v>0</v>
      </c>
      <c r="H139" s="14"/>
      <c r="I139" s="14">
        <v>1</v>
      </c>
      <c r="J139" s="14">
        <v>0</v>
      </c>
      <c r="K139" s="14">
        <v>40</v>
      </c>
      <c r="L139" s="14">
        <v>126</v>
      </c>
      <c r="M139" s="15">
        <v>0.31746031746031744</v>
      </c>
      <c r="N139" s="14">
        <v>40</v>
      </c>
      <c r="O139" s="14">
        <v>40</v>
      </c>
      <c r="P139" s="14">
        <v>40</v>
      </c>
      <c r="Q139" s="13">
        <v>65.881749999999997</v>
      </c>
      <c r="R139" s="13">
        <v>71.394299999999987</v>
      </c>
      <c r="S139" s="47">
        <f>VLOOKUP(D139,'Original Title I &amp; II'!B:B,1,FALSE)</f>
        <v>406000</v>
      </c>
    </row>
    <row r="140" spans="1:19" x14ac:dyDescent="0.3">
      <c r="A140" s="17">
        <v>1</v>
      </c>
      <c r="B140" s="17">
        <v>4</v>
      </c>
      <c r="C140" s="17" t="s">
        <v>572</v>
      </c>
      <c r="D140" s="16">
        <v>406030</v>
      </c>
      <c r="E140" s="17" t="s">
        <v>328</v>
      </c>
      <c r="F140" s="14">
        <v>21</v>
      </c>
      <c r="G140" s="14">
        <v>0</v>
      </c>
      <c r="H140" s="14"/>
      <c r="I140" s="14">
        <v>0</v>
      </c>
      <c r="J140" s="14">
        <v>0</v>
      </c>
      <c r="K140" s="14">
        <v>21</v>
      </c>
      <c r="L140" s="14">
        <v>129</v>
      </c>
      <c r="M140" s="15">
        <v>0.16279069767441862</v>
      </c>
      <c r="N140" s="14">
        <v>21</v>
      </c>
      <c r="O140" s="14">
        <v>21</v>
      </c>
      <c r="P140" s="14">
        <v>21</v>
      </c>
      <c r="Q140" s="13">
        <v>21.676350000000003</v>
      </c>
      <c r="R140" s="13">
        <v>21.450900000000001</v>
      </c>
      <c r="S140" s="47">
        <f>VLOOKUP(D140,'Original Title I &amp; II'!B:B,1,FALSE)</f>
        <v>406030</v>
      </c>
    </row>
    <row r="141" spans="1:19" x14ac:dyDescent="0.3">
      <c r="A141" s="17">
        <v>1</v>
      </c>
      <c r="B141" s="17">
        <v>4</v>
      </c>
      <c r="C141" s="17" t="s">
        <v>572</v>
      </c>
      <c r="D141" s="16">
        <v>406070</v>
      </c>
      <c r="E141" s="17" t="s">
        <v>330</v>
      </c>
      <c r="F141" s="14">
        <v>705</v>
      </c>
      <c r="G141" s="14">
        <v>0</v>
      </c>
      <c r="H141" s="14"/>
      <c r="I141" s="14">
        <v>19</v>
      </c>
      <c r="J141" s="14">
        <v>0</v>
      </c>
      <c r="K141" s="14">
        <v>724</v>
      </c>
      <c r="L141" s="14">
        <v>2700</v>
      </c>
      <c r="M141" s="15">
        <v>0.26814814814814814</v>
      </c>
      <c r="N141" s="14">
        <v>724</v>
      </c>
      <c r="O141" s="14">
        <v>724</v>
      </c>
      <c r="P141" s="14">
        <v>724</v>
      </c>
      <c r="Q141" s="13">
        <v>1046.7775000000001</v>
      </c>
      <c r="R141" s="13">
        <v>1066.2149999999999</v>
      </c>
      <c r="S141" s="47">
        <f>VLOOKUP(D141,'Original Title I &amp; II'!B:B,1,FALSE)</f>
        <v>406070</v>
      </c>
    </row>
    <row r="142" spans="1:19" x14ac:dyDescent="0.3">
      <c r="A142" s="17">
        <v>1</v>
      </c>
      <c r="B142" s="17">
        <v>4</v>
      </c>
      <c r="C142" s="17" t="s">
        <v>572</v>
      </c>
      <c r="D142" s="16">
        <v>406120</v>
      </c>
      <c r="E142" s="17" t="s">
        <v>331</v>
      </c>
      <c r="F142" s="14">
        <v>101</v>
      </c>
      <c r="G142" s="14">
        <v>0</v>
      </c>
      <c r="H142" s="14"/>
      <c r="I142" s="14">
        <v>4</v>
      </c>
      <c r="J142" s="14">
        <v>0</v>
      </c>
      <c r="K142" s="14">
        <v>105</v>
      </c>
      <c r="L142" s="14">
        <v>292</v>
      </c>
      <c r="M142" s="15">
        <v>0.3595890410958904</v>
      </c>
      <c r="N142" s="14">
        <v>105</v>
      </c>
      <c r="O142" s="14">
        <v>105</v>
      </c>
      <c r="P142" s="14">
        <v>105</v>
      </c>
      <c r="Q142" s="13">
        <v>192.6585</v>
      </c>
      <c r="R142" s="13">
        <v>220.81060000000002</v>
      </c>
      <c r="S142" s="47">
        <f>VLOOKUP(D142,'Original Title I &amp; II'!B:B,1,FALSE)</f>
        <v>406120</v>
      </c>
    </row>
    <row r="143" spans="1:19" x14ac:dyDescent="0.3">
      <c r="A143" s="17">
        <v>1</v>
      </c>
      <c r="B143" s="17">
        <v>4</v>
      </c>
      <c r="C143" s="17" t="s">
        <v>572</v>
      </c>
      <c r="D143" s="16">
        <v>406150</v>
      </c>
      <c r="E143" s="17" t="s">
        <v>333</v>
      </c>
      <c r="F143" s="14">
        <v>31</v>
      </c>
      <c r="G143" s="14">
        <v>0</v>
      </c>
      <c r="H143" s="14"/>
      <c r="I143" s="14">
        <v>1</v>
      </c>
      <c r="J143" s="14">
        <v>0</v>
      </c>
      <c r="K143" s="14">
        <v>32</v>
      </c>
      <c r="L143" s="14">
        <v>115</v>
      </c>
      <c r="M143" s="15">
        <v>0.27826086956521739</v>
      </c>
      <c r="N143" s="14">
        <v>32</v>
      </c>
      <c r="O143" s="14">
        <v>32</v>
      </c>
      <c r="P143" s="14">
        <v>32</v>
      </c>
      <c r="Q143" s="13">
        <v>47.492374999999996</v>
      </c>
      <c r="R143" s="13">
        <v>48.90175</v>
      </c>
      <c r="S143" s="47">
        <f>VLOOKUP(D143,'Original Title I &amp; II'!B:B,1,FALSE)</f>
        <v>406150</v>
      </c>
    </row>
    <row r="144" spans="1:19" x14ac:dyDescent="0.3">
      <c r="A144" s="17">
        <v>1</v>
      </c>
      <c r="B144" s="17">
        <v>4</v>
      </c>
      <c r="C144" s="17" t="s">
        <v>572</v>
      </c>
      <c r="D144" s="16">
        <v>406210</v>
      </c>
      <c r="E144" s="17" t="s">
        <v>334</v>
      </c>
      <c r="F144" s="14">
        <v>3086</v>
      </c>
      <c r="G144" s="14">
        <v>38</v>
      </c>
      <c r="H144" s="14"/>
      <c r="I144" s="14">
        <v>140</v>
      </c>
      <c r="J144" s="14">
        <v>0</v>
      </c>
      <c r="K144" s="14">
        <v>3264</v>
      </c>
      <c r="L144" s="14">
        <v>11337</v>
      </c>
      <c r="M144" s="15">
        <v>0.28790685366499075</v>
      </c>
      <c r="N144" s="14">
        <v>3264</v>
      </c>
      <c r="O144" s="14">
        <v>3264</v>
      </c>
      <c r="P144" s="14">
        <v>3264</v>
      </c>
      <c r="Q144" s="13">
        <v>5051.5</v>
      </c>
      <c r="R144" s="13">
        <v>5302</v>
      </c>
      <c r="S144" s="47">
        <f>VLOOKUP(D144,'Original Title I &amp; II'!B:B,1,FALSE)</f>
        <v>406210</v>
      </c>
    </row>
    <row r="145" spans="1:19" x14ac:dyDescent="0.3">
      <c r="A145" s="17">
        <v>1</v>
      </c>
      <c r="B145" s="17">
        <v>4</v>
      </c>
      <c r="C145" s="17" t="s">
        <v>572</v>
      </c>
      <c r="D145" s="16">
        <v>406250</v>
      </c>
      <c r="E145" s="17" t="s">
        <v>335</v>
      </c>
      <c r="F145" s="14">
        <v>5852</v>
      </c>
      <c r="G145" s="14">
        <v>57</v>
      </c>
      <c r="H145" s="14"/>
      <c r="I145" s="14">
        <v>265</v>
      </c>
      <c r="J145" s="14">
        <v>0</v>
      </c>
      <c r="K145" s="14">
        <v>6174</v>
      </c>
      <c r="L145" s="14">
        <v>39820</v>
      </c>
      <c r="M145" s="15">
        <v>0.155047714716223</v>
      </c>
      <c r="N145" s="14">
        <v>6174</v>
      </c>
      <c r="O145" s="14">
        <v>6174</v>
      </c>
      <c r="P145" s="14">
        <v>6174</v>
      </c>
      <c r="Q145" s="13">
        <v>10871.5</v>
      </c>
      <c r="R145" s="13">
        <v>11849.5</v>
      </c>
      <c r="S145" s="47">
        <f>VLOOKUP(D145,'Original Title I &amp; II'!B:B,1,FALSE)</f>
        <v>406250</v>
      </c>
    </row>
    <row r="146" spans="1:19" x14ac:dyDescent="0.3">
      <c r="A146" s="17">
        <v>1</v>
      </c>
      <c r="B146" s="17">
        <v>4</v>
      </c>
      <c r="C146" s="17" t="s">
        <v>572</v>
      </c>
      <c r="D146" s="16">
        <v>406300</v>
      </c>
      <c r="E146" s="17" t="s">
        <v>337</v>
      </c>
      <c r="F146" s="14">
        <v>3709</v>
      </c>
      <c r="G146" s="14">
        <v>0</v>
      </c>
      <c r="H146" s="14"/>
      <c r="I146" s="14">
        <v>168</v>
      </c>
      <c r="J146" s="14">
        <v>0</v>
      </c>
      <c r="K146" s="14">
        <v>3877</v>
      </c>
      <c r="L146" s="14">
        <v>6996</v>
      </c>
      <c r="M146" s="15">
        <v>0.55417381360777584</v>
      </c>
      <c r="N146" s="14">
        <v>3877</v>
      </c>
      <c r="O146" s="14">
        <v>3877</v>
      </c>
      <c r="P146" s="14">
        <v>3877</v>
      </c>
      <c r="Q146" s="13">
        <v>9941.457699999999</v>
      </c>
      <c r="R146" s="13">
        <v>13218.8922</v>
      </c>
      <c r="S146" s="47">
        <f>VLOOKUP(D146,'Original Title I &amp; II'!B:B,1,FALSE)</f>
        <v>406300</v>
      </c>
    </row>
    <row r="147" spans="1:19" x14ac:dyDescent="0.3">
      <c r="A147" s="17">
        <v>1</v>
      </c>
      <c r="B147" s="17">
        <v>4</v>
      </c>
      <c r="C147" s="17" t="s">
        <v>572</v>
      </c>
      <c r="D147" s="16">
        <v>406330</v>
      </c>
      <c r="E147" s="17" t="s">
        <v>339</v>
      </c>
      <c r="F147" s="14">
        <v>14344</v>
      </c>
      <c r="G147" s="14">
        <v>38</v>
      </c>
      <c r="H147" s="14"/>
      <c r="I147" s="14">
        <v>649</v>
      </c>
      <c r="J147" s="14">
        <v>0</v>
      </c>
      <c r="K147" s="14">
        <v>15031</v>
      </c>
      <c r="L147" s="14">
        <v>42512</v>
      </c>
      <c r="M147" s="15">
        <v>0.35357075649228453</v>
      </c>
      <c r="N147" s="14">
        <v>15031</v>
      </c>
      <c r="O147" s="14">
        <v>15031</v>
      </c>
      <c r="P147" s="14">
        <v>15031</v>
      </c>
      <c r="Q147" s="13">
        <v>32175.5</v>
      </c>
      <c r="R147" s="13">
        <v>39855.25</v>
      </c>
      <c r="S147" s="47">
        <f>VLOOKUP(D147,'Original Title I &amp; II'!B:B,1,FALSE)</f>
        <v>406330</v>
      </c>
    </row>
    <row r="148" spans="1:19" x14ac:dyDescent="0.3">
      <c r="A148" s="17">
        <v>1</v>
      </c>
      <c r="B148" s="17">
        <v>4</v>
      </c>
      <c r="C148" s="17" t="s">
        <v>572</v>
      </c>
      <c r="D148" s="16">
        <v>406360</v>
      </c>
      <c r="E148" s="17" t="s">
        <v>340</v>
      </c>
      <c r="F148" s="14">
        <v>32</v>
      </c>
      <c r="G148" s="14">
        <v>0</v>
      </c>
      <c r="H148" s="14"/>
      <c r="I148" s="14">
        <v>2</v>
      </c>
      <c r="J148" s="14">
        <v>0</v>
      </c>
      <c r="K148" s="14">
        <v>34</v>
      </c>
      <c r="L148" s="14">
        <v>134</v>
      </c>
      <c r="M148" s="15">
        <v>0.2537313432835821</v>
      </c>
      <c r="N148" s="14">
        <v>34</v>
      </c>
      <c r="O148" s="14">
        <v>34</v>
      </c>
      <c r="P148" s="14">
        <v>34</v>
      </c>
      <c r="Q148" s="13">
        <v>47.121550000000006</v>
      </c>
      <c r="R148" s="13">
        <v>47.120300000000007</v>
      </c>
      <c r="S148" s="47">
        <f>VLOOKUP(D148,'Original Title I &amp; II'!B:B,1,FALSE)</f>
        <v>406360</v>
      </c>
    </row>
    <row r="149" spans="1:19" x14ac:dyDescent="0.3">
      <c r="A149" s="17">
        <v>1</v>
      </c>
      <c r="B149" s="17">
        <v>4</v>
      </c>
      <c r="C149" s="17" t="s">
        <v>572</v>
      </c>
      <c r="D149" s="16">
        <v>406440</v>
      </c>
      <c r="E149" s="17" t="s">
        <v>345</v>
      </c>
      <c r="F149" s="14">
        <v>194</v>
      </c>
      <c r="G149" s="14">
        <v>0</v>
      </c>
      <c r="H149" s="14"/>
      <c r="I149" s="14">
        <v>5</v>
      </c>
      <c r="J149" s="14">
        <v>0</v>
      </c>
      <c r="K149" s="14">
        <v>199</v>
      </c>
      <c r="L149" s="14">
        <v>939</v>
      </c>
      <c r="M149" s="15">
        <v>0.21192758253461128</v>
      </c>
      <c r="N149" s="14">
        <v>199</v>
      </c>
      <c r="O149" s="14">
        <v>199</v>
      </c>
      <c r="P149" s="14">
        <v>199</v>
      </c>
      <c r="Q149" s="13">
        <v>238.52785000000006</v>
      </c>
      <c r="R149" s="13">
        <v>225.35190000000003</v>
      </c>
      <c r="S149" s="47">
        <f>VLOOKUP(D149,'Original Title I &amp; II'!B:B,1,FALSE)</f>
        <v>406440</v>
      </c>
    </row>
    <row r="150" spans="1:19" x14ac:dyDescent="0.3">
      <c r="A150" s="17">
        <v>1</v>
      </c>
      <c r="B150" s="17">
        <v>4</v>
      </c>
      <c r="C150" s="17" t="s">
        <v>572</v>
      </c>
      <c r="D150" s="16">
        <v>406510</v>
      </c>
      <c r="E150" s="17" t="s">
        <v>347</v>
      </c>
      <c r="F150" s="14">
        <v>53</v>
      </c>
      <c r="G150" s="14">
        <v>0</v>
      </c>
      <c r="H150" s="14"/>
      <c r="I150" s="14">
        <v>1</v>
      </c>
      <c r="J150" s="14">
        <v>0</v>
      </c>
      <c r="K150" s="14">
        <v>54</v>
      </c>
      <c r="L150" s="14">
        <v>220</v>
      </c>
      <c r="M150" s="15">
        <v>0.24545454545454545</v>
      </c>
      <c r="N150" s="14">
        <v>54</v>
      </c>
      <c r="O150" s="14">
        <v>54</v>
      </c>
      <c r="P150" s="14">
        <v>54</v>
      </c>
      <c r="Q150" s="13">
        <v>72.811500000000024</v>
      </c>
      <c r="R150" s="13">
        <v>71.899000000000015</v>
      </c>
      <c r="S150" s="47">
        <f>VLOOKUP(D150,'Original Title I &amp; II'!B:B,1,FALSE)</f>
        <v>406510</v>
      </c>
    </row>
    <row r="151" spans="1:19" x14ac:dyDescent="0.3">
      <c r="A151" s="17">
        <v>1</v>
      </c>
      <c r="B151" s="17">
        <v>4</v>
      </c>
      <c r="C151" s="17" t="s">
        <v>572</v>
      </c>
      <c r="D151" s="16">
        <v>400023</v>
      </c>
      <c r="E151" s="17" t="s">
        <v>348</v>
      </c>
      <c r="F151" s="14">
        <v>757</v>
      </c>
      <c r="G151" s="14">
        <v>0</v>
      </c>
      <c r="H151" s="14"/>
      <c r="I151" s="14">
        <v>10</v>
      </c>
      <c r="J151" s="14">
        <v>0</v>
      </c>
      <c r="K151" s="14">
        <v>767</v>
      </c>
      <c r="L151" s="14">
        <v>1801</v>
      </c>
      <c r="M151" s="15">
        <v>0.42587451415880068</v>
      </c>
      <c r="N151" s="14">
        <v>767</v>
      </c>
      <c r="O151" s="14">
        <v>767</v>
      </c>
      <c r="P151" s="14">
        <v>767</v>
      </c>
      <c r="Q151" s="13">
        <v>1634.989325</v>
      </c>
      <c r="R151" s="13">
        <v>2016.5744499999998</v>
      </c>
      <c r="S151" s="47">
        <f>VLOOKUP(D151,'Original Title I &amp; II'!B:B,1,FALSE)</f>
        <v>400023</v>
      </c>
    </row>
    <row r="152" spans="1:19" x14ac:dyDescent="0.3">
      <c r="A152" s="17">
        <v>1</v>
      </c>
      <c r="B152" s="17">
        <v>4</v>
      </c>
      <c r="C152" s="17" t="s">
        <v>572</v>
      </c>
      <c r="D152" s="16">
        <v>406630</v>
      </c>
      <c r="E152" s="17" t="s">
        <v>349</v>
      </c>
      <c r="F152" s="14">
        <v>37</v>
      </c>
      <c r="G152" s="14">
        <v>0</v>
      </c>
      <c r="H152" s="14"/>
      <c r="I152" s="14">
        <v>1</v>
      </c>
      <c r="J152" s="14">
        <v>0</v>
      </c>
      <c r="K152" s="14">
        <v>38</v>
      </c>
      <c r="L152" s="14">
        <v>162</v>
      </c>
      <c r="M152" s="15">
        <v>0.23456790123456789</v>
      </c>
      <c r="N152" s="14">
        <v>38</v>
      </c>
      <c r="O152" s="14">
        <v>38</v>
      </c>
      <c r="P152" s="14">
        <v>38</v>
      </c>
      <c r="Q152" s="13">
        <v>49.206649999999996</v>
      </c>
      <c r="R152" s="13">
        <v>47.652899999999995</v>
      </c>
      <c r="S152" s="47">
        <f>VLOOKUP(D152,'Original Title I &amp; II'!B:B,1,FALSE)</f>
        <v>406630</v>
      </c>
    </row>
    <row r="153" spans="1:19" x14ac:dyDescent="0.3">
      <c r="A153" s="17">
        <v>1</v>
      </c>
      <c r="B153" s="17">
        <v>4</v>
      </c>
      <c r="C153" s="17" t="s">
        <v>572</v>
      </c>
      <c r="D153" s="16">
        <v>406730</v>
      </c>
      <c r="E153" s="17" t="s">
        <v>352</v>
      </c>
      <c r="F153" s="14">
        <v>826</v>
      </c>
      <c r="G153" s="14">
        <v>0</v>
      </c>
      <c r="H153" s="14"/>
      <c r="I153" s="14">
        <v>42</v>
      </c>
      <c r="J153" s="14">
        <v>0</v>
      </c>
      <c r="K153" s="14">
        <v>868</v>
      </c>
      <c r="L153" s="14">
        <v>5688</v>
      </c>
      <c r="M153" s="15">
        <v>0.15260196905766527</v>
      </c>
      <c r="N153" s="14">
        <v>868</v>
      </c>
      <c r="O153" s="14">
        <v>868</v>
      </c>
      <c r="P153" s="14">
        <v>868</v>
      </c>
      <c r="Q153" s="13">
        <v>956.5</v>
      </c>
      <c r="R153" s="13">
        <v>956.5</v>
      </c>
      <c r="S153" s="47">
        <f>VLOOKUP(D153,'Original Title I &amp; II'!B:B,1,FALSE)</f>
        <v>406730</v>
      </c>
    </row>
    <row r="154" spans="1:19" x14ac:dyDescent="0.3">
      <c r="A154" s="17">
        <v>1</v>
      </c>
      <c r="B154" s="17">
        <v>4</v>
      </c>
      <c r="C154" s="17" t="s">
        <v>572</v>
      </c>
      <c r="D154" s="16">
        <v>406780</v>
      </c>
      <c r="E154" s="17" t="s">
        <v>355</v>
      </c>
      <c r="F154" s="14">
        <v>53</v>
      </c>
      <c r="G154" s="14">
        <v>0</v>
      </c>
      <c r="H154" s="14"/>
      <c r="I154" s="14">
        <v>2</v>
      </c>
      <c r="J154" s="14">
        <v>0</v>
      </c>
      <c r="K154" s="14">
        <v>55</v>
      </c>
      <c r="L154" s="14">
        <v>303</v>
      </c>
      <c r="M154" s="15">
        <v>0.18151815181518152</v>
      </c>
      <c r="N154" s="14">
        <v>55</v>
      </c>
      <c r="O154" s="14">
        <v>55</v>
      </c>
      <c r="P154" s="14">
        <v>55</v>
      </c>
      <c r="Q154" s="13">
        <v>60.844450000000009</v>
      </c>
      <c r="R154" s="13">
        <v>58.896300000000004</v>
      </c>
      <c r="S154" s="47">
        <f>VLOOKUP(D154,'Original Title I &amp; II'!B:B,1,FALSE)</f>
        <v>406780</v>
      </c>
    </row>
    <row r="155" spans="1:19" x14ac:dyDescent="0.3">
      <c r="A155" s="17">
        <v>1</v>
      </c>
      <c r="B155" s="17">
        <v>4</v>
      </c>
      <c r="C155" s="17" t="s">
        <v>572</v>
      </c>
      <c r="D155" s="16">
        <v>406810</v>
      </c>
      <c r="E155" s="17" t="s">
        <v>356</v>
      </c>
      <c r="F155" s="14">
        <v>872</v>
      </c>
      <c r="G155" s="14">
        <v>384</v>
      </c>
      <c r="H155" s="14"/>
      <c r="I155" s="14">
        <v>39</v>
      </c>
      <c r="J155" s="14">
        <v>0</v>
      </c>
      <c r="K155" s="14">
        <v>1295</v>
      </c>
      <c r="L155" s="14">
        <v>6958</v>
      </c>
      <c r="M155" s="15">
        <v>0.18611670020120724</v>
      </c>
      <c r="N155" s="14">
        <v>1295</v>
      </c>
      <c r="O155" s="14">
        <v>1295</v>
      </c>
      <c r="P155" s="14">
        <v>1295</v>
      </c>
      <c r="Q155" s="13">
        <v>1597</v>
      </c>
      <c r="R155" s="13">
        <v>1597</v>
      </c>
      <c r="S155" s="47">
        <f>VLOOKUP(D155,'Original Title I &amp; II'!B:B,1,FALSE)</f>
        <v>406810</v>
      </c>
    </row>
    <row r="156" spans="1:19" x14ac:dyDescent="0.3">
      <c r="A156" s="17">
        <v>1</v>
      </c>
      <c r="B156" s="17">
        <v>4</v>
      </c>
      <c r="C156" s="17" t="s">
        <v>572</v>
      </c>
      <c r="D156" s="16">
        <v>406850</v>
      </c>
      <c r="E156" s="17" t="s">
        <v>357</v>
      </c>
      <c r="F156" s="14">
        <v>162</v>
      </c>
      <c r="G156" s="14">
        <v>0</v>
      </c>
      <c r="H156" s="14"/>
      <c r="I156" s="14">
        <v>9</v>
      </c>
      <c r="J156" s="14">
        <v>0</v>
      </c>
      <c r="K156" s="14">
        <v>171</v>
      </c>
      <c r="L156" s="14">
        <v>770</v>
      </c>
      <c r="M156" s="15">
        <v>0.22207792207792207</v>
      </c>
      <c r="N156" s="14">
        <v>171</v>
      </c>
      <c r="O156" s="14">
        <v>171</v>
      </c>
      <c r="P156" s="14">
        <v>171</v>
      </c>
      <c r="Q156" s="13">
        <v>209.84024999999997</v>
      </c>
      <c r="R156" s="13">
        <v>197.64649999999997</v>
      </c>
      <c r="S156" s="47">
        <f>VLOOKUP(D156,'Original Title I &amp; II'!B:B,1,FALSE)</f>
        <v>406850</v>
      </c>
    </row>
    <row r="157" spans="1:19" x14ac:dyDescent="0.3">
      <c r="A157" s="17">
        <v>1</v>
      </c>
      <c r="B157" s="17">
        <v>4</v>
      </c>
      <c r="C157" s="17" t="s">
        <v>572</v>
      </c>
      <c r="D157" s="16">
        <v>406870</v>
      </c>
      <c r="E157" s="17" t="s">
        <v>358</v>
      </c>
      <c r="F157" s="14">
        <v>815</v>
      </c>
      <c r="G157" s="14">
        <v>0</v>
      </c>
      <c r="H157" s="14"/>
      <c r="I157" s="14">
        <v>5</v>
      </c>
      <c r="J157" s="14">
        <v>0</v>
      </c>
      <c r="K157" s="14">
        <v>820</v>
      </c>
      <c r="L157" s="14">
        <v>2060</v>
      </c>
      <c r="M157" s="15">
        <v>0.39805825242718446</v>
      </c>
      <c r="N157" s="14">
        <v>820</v>
      </c>
      <c r="O157" s="14">
        <v>820</v>
      </c>
      <c r="P157" s="14">
        <v>820</v>
      </c>
      <c r="Q157" s="13">
        <v>1640.9095000000007</v>
      </c>
      <c r="R157" s="13">
        <v>1962.7670000000005</v>
      </c>
      <c r="S157" s="47">
        <f>VLOOKUP(D157,'Original Title I &amp; II'!B:B,1,FALSE)</f>
        <v>406870</v>
      </c>
    </row>
    <row r="158" spans="1:19" x14ac:dyDescent="0.3">
      <c r="A158" s="17">
        <v>1</v>
      </c>
      <c r="B158" s="17">
        <v>4</v>
      </c>
      <c r="C158" s="17" t="s">
        <v>572</v>
      </c>
      <c r="D158" s="16">
        <v>406900</v>
      </c>
      <c r="E158" s="17" t="s">
        <v>482</v>
      </c>
      <c r="F158" s="14">
        <v>108</v>
      </c>
      <c r="G158" s="14">
        <v>0</v>
      </c>
      <c r="H158" s="14"/>
      <c r="I158" s="14">
        <v>6</v>
      </c>
      <c r="J158" s="14">
        <v>0</v>
      </c>
      <c r="K158" s="14">
        <v>114</v>
      </c>
      <c r="L158" s="14">
        <v>589</v>
      </c>
      <c r="M158" s="15">
        <v>0.19354838709677419</v>
      </c>
      <c r="N158" s="14">
        <v>114</v>
      </c>
      <c r="O158" s="14">
        <v>114</v>
      </c>
      <c r="P158" s="14">
        <v>114</v>
      </c>
      <c r="Q158" s="13">
        <v>130.67534999999998</v>
      </c>
      <c r="R158" s="13">
        <v>125.11689999999999</v>
      </c>
      <c r="S158" s="47">
        <f>VLOOKUP(D158,'Original Title I &amp; II'!B:B,1,FALSE)</f>
        <v>406900</v>
      </c>
    </row>
    <row r="159" spans="1:19" x14ac:dyDescent="0.3">
      <c r="A159" s="17">
        <v>1</v>
      </c>
      <c r="B159" s="17">
        <v>4</v>
      </c>
      <c r="C159" s="17" t="s">
        <v>572</v>
      </c>
      <c r="D159" s="16">
        <v>406930</v>
      </c>
      <c r="E159" s="17" t="s">
        <v>481</v>
      </c>
      <c r="F159" s="14">
        <v>8</v>
      </c>
      <c r="G159" s="14">
        <v>0</v>
      </c>
      <c r="H159" s="14"/>
      <c r="I159" s="14">
        <v>0</v>
      </c>
      <c r="J159" s="14">
        <v>0</v>
      </c>
      <c r="K159" s="14">
        <v>8</v>
      </c>
      <c r="L159" s="14">
        <v>15</v>
      </c>
      <c r="M159" s="15">
        <v>0.53333333333333333</v>
      </c>
      <c r="N159" s="14">
        <v>0</v>
      </c>
      <c r="O159" s="14">
        <v>0</v>
      </c>
      <c r="P159" s="14">
        <v>0</v>
      </c>
      <c r="Q159" s="13">
        <v>0</v>
      </c>
      <c r="R159" s="13">
        <v>0</v>
      </c>
      <c r="S159" s="47">
        <f>VLOOKUP(D159,'Original Title I &amp; II'!B:B,1,FALSE)</f>
        <v>406930</v>
      </c>
    </row>
    <row r="160" spans="1:19" x14ac:dyDescent="0.3">
      <c r="A160" s="17">
        <v>1</v>
      </c>
      <c r="B160" s="17">
        <v>4</v>
      </c>
      <c r="C160" s="17" t="s">
        <v>572</v>
      </c>
      <c r="D160" s="16">
        <v>407020</v>
      </c>
      <c r="E160" s="17" t="s">
        <v>360</v>
      </c>
      <c r="F160" s="14">
        <v>368</v>
      </c>
      <c r="G160" s="14">
        <v>0</v>
      </c>
      <c r="H160" s="14"/>
      <c r="I160" s="14">
        <v>17</v>
      </c>
      <c r="J160" s="14">
        <v>0</v>
      </c>
      <c r="K160" s="14">
        <v>385</v>
      </c>
      <c r="L160" s="14">
        <v>1331</v>
      </c>
      <c r="M160" s="15">
        <v>0.28925619834710742</v>
      </c>
      <c r="N160" s="14">
        <v>385</v>
      </c>
      <c r="O160" s="14">
        <v>385</v>
      </c>
      <c r="P160" s="14">
        <v>385</v>
      </c>
      <c r="Q160" s="13">
        <v>586.25957499999993</v>
      </c>
      <c r="R160" s="13">
        <v>609.88894999999991</v>
      </c>
      <c r="S160" s="47">
        <f>VLOOKUP(D160,'Original Title I &amp; II'!B:B,1,FALSE)</f>
        <v>407020</v>
      </c>
    </row>
    <row r="161" spans="1:19" x14ac:dyDescent="0.3">
      <c r="A161" s="17">
        <v>1</v>
      </c>
      <c r="B161" s="17">
        <v>4</v>
      </c>
      <c r="C161" s="17" t="s">
        <v>572</v>
      </c>
      <c r="D161" s="16">
        <v>407080</v>
      </c>
      <c r="E161" s="17" t="s">
        <v>361</v>
      </c>
      <c r="F161" s="14">
        <v>6380</v>
      </c>
      <c r="G161" s="14">
        <v>0</v>
      </c>
      <c r="H161" s="14"/>
      <c r="I161" s="14">
        <v>289</v>
      </c>
      <c r="J161" s="14">
        <v>0</v>
      </c>
      <c r="K161" s="14">
        <v>6669</v>
      </c>
      <c r="L161" s="14">
        <v>16974</v>
      </c>
      <c r="M161" s="15">
        <v>0.3928950159066808</v>
      </c>
      <c r="N161" s="14">
        <v>6669</v>
      </c>
      <c r="O161" s="14">
        <v>6669</v>
      </c>
      <c r="P161" s="14">
        <v>6669</v>
      </c>
      <c r="Q161" s="13">
        <v>13170.212549999998</v>
      </c>
      <c r="R161" s="13">
        <v>15646.9743</v>
      </c>
      <c r="S161" s="47">
        <f>VLOOKUP(D161,'Original Title I &amp; II'!B:B,1,FALSE)</f>
        <v>407080</v>
      </c>
    </row>
    <row r="162" spans="1:19" x14ac:dyDescent="0.3">
      <c r="A162" s="17">
        <v>1</v>
      </c>
      <c r="B162" s="17">
        <v>4</v>
      </c>
      <c r="C162" s="17" t="s">
        <v>572</v>
      </c>
      <c r="D162" s="16">
        <v>407130</v>
      </c>
      <c r="E162" s="17" t="s">
        <v>362</v>
      </c>
      <c r="F162" s="14">
        <v>372</v>
      </c>
      <c r="G162" s="14">
        <v>0</v>
      </c>
      <c r="H162" s="14"/>
      <c r="I162" s="14">
        <v>2</v>
      </c>
      <c r="J162" s="14">
        <v>0</v>
      </c>
      <c r="K162" s="14">
        <v>374</v>
      </c>
      <c r="L162" s="14">
        <v>1477</v>
      </c>
      <c r="M162" s="15">
        <v>0.25321597833446174</v>
      </c>
      <c r="N162" s="14">
        <v>374</v>
      </c>
      <c r="O162" s="14">
        <v>374</v>
      </c>
      <c r="P162" s="14">
        <v>374</v>
      </c>
      <c r="Q162" s="13">
        <v>517.48902499999997</v>
      </c>
      <c r="R162" s="13">
        <v>517.09465</v>
      </c>
      <c r="S162" s="47">
        <f>VLOOKUP(D162,'Original Title I &amp; II'!B:B,1,FALSE)</f>
        <v>407130</v>
      </c>
    </row>
    <row r="163" spans="1:19" x14ac:dyDescent="0.3">
      <c r="A163" s="17">
        <v>1</v>
      </c>
      <c r="B163" s="17">
        <v>4</v>
      </c>
      <c r="C163" s="17" t="s">
        <v>572</v>
      </c>
      <c r="D163" s="16">
        <v>407140</v>
      </c>
      <c r="E163" s="17" t="s">
        <v>584</v>
      </c>
      <c r="F163" s="14">
        <v>0</v>
      </c>
      <c r="G163" s="14">
        <v>0</v>
      </c>
      <c r="H163" s="14"/>
      <c r="I163" s="14">
        <v>0</v>
      </c>
      <c r="J163" s="14">
        <v>0</v>
      </c>
      <c r="K163" s="14">
        <v>0</v>
      </c>
      <c r="L163" s="14">
        <v>0</v>
      </c>
      <c r="M163" s="15">
        <v>0</v>
      </c>
      <c r="N163" s="14">
        <v>0</v>
      </c>
      <c r="O163" s="14">
        <v>0</v>
      </c>
      <c r="P163" s="14">
        <v>0</v>
      </c>
      <c r="Q163" s="13">
        <v>0</v>
      </c>
      <c r="R163" s="13">
        <v>0</v>
      </c>
      <c r="S163" s="47" t="e">
        <f>VLOOKUP(D163,'Original Title I &amp; II'!B:B,1,FALSE)</f>
        <v>#N/A</v>
      </c>
    </row>
    <row r="164" spans="1:19" x14ac:dyDescent="0.3">
      <c r="A164" s="17">
        <v>1</v>
      </c>
      <c r="B164" s="17">
        <v>4</v>
      </c>
      <c r="C164" s="17" t="s">
        <v>572</v>
      </c>
      <c r="D164" s="16">
        <v>407200</v>
      </c>
      <c r="E164" s="17" t="s">
        <v>364</v>
      </c>
      <c r="F164" s="14">
        <v>555</v>
      </c>
      <c r="G164" s="14">
        <v>0</v>
      </c>
      <c r="H164" s="14"/>
      <c r="I164" s="14">
        <v>30</v>
      </c>
      <c r="J164" s="14">
        <v>0</v>
      </c>
      <c r="K164" s="14">
        <v>585</v>
      </c>
      <c r="L164" s="14">
        <v>1219</v>
      </c>
      <c r="M164" s="15">
        <v>0.47990155865463496</v>
      </c>
      <c r="N164" s="14">
        <v>585</v>
      </c>
      <c r="O164" s="14">
        <v>585</v>
      </c>
      <c r="P164" s="14">
        <v>585</v>
      </c>
      <c r="Q164" s="13">
        <v>1370.0721750000002</v>
      </c>
      <c r="R164" s="13">
        <v>1760.0645500000005</v>
      </c>
      <c r="S164" s="47">
        <f>VLOOKUP(D164,'Original Title I &amp; II'!B:B,1,FALSE)</f>
        <v>407200</v>
      </c>
    </row>
    <row r="165" spans="1:19" x14ac:dyDescent="0.3">
      <c r="A165" s="17">
        <v>1</v>
      </c>
      <c r="B165" s="17">
        <v>4</v>
      </c>
      <c r="C165" s="17" t="s">
        <v>572</v>
      </c>
      <c r="D165" s="16">
        <v>407170</v>
      </c>
      <c r="E165" s="17" t="s">
        <v>365</v>
      </c>
      <c r="F165" s="14">
        <v>332</v>
      </c>
      <c r="G165" s="14">
        <v>0</v>
      </c>
      <c r="H165" s="14"/>
      <c r="I165" s="14">
        <v>15</v>
      </c>
      <c r="J165" s="14">
        <v>0</v>
      </c>
      <c r="K165" s="14">
        <v>347</v>
      </c>
      <c r="L165" s="14">
        <v>2072</v>
      </c>
      <c r="M165" s="15">
        <v>0.16747104247104247</v>
      </c>
      <c r="N165" s="14">
        <v>347</v>
      </c>
      <c r="O165" s="14">
        <v>347</v>
      </c>
      <c r="P165" s="14">
        <v>347</v>
      </c>
      <c r="Q165" s="13">
        <v>365.13679999999999</v>
      </c>
      <c r="R165" s="13">
        <v>359.09119999999996</v>
      </c>
      <c r="S165" s="47">
        <f>VLOOKUP(D165,'Original Title I &amp; II'!B:B,1,FALSE)</f>
        <v>407170</v>
      </c>
    </row>
    <row r="166" spans="1:19" x14ac:dyDescent="0.3">
      <c r="A166" s="17">
        <v>1</v>
      </c>
      <c r="B166" s="17">
        <v>4</v>
      </c>
      <c r="C166" s="17" t="s">
        <v>572</v>
      </c>
      <c r="D166" s="16">
        <v>407240</v>
      </c>
      <c r="E166" s="17" t="s">
        <v>366</v>
      </c>
      <c r="F166" s="14">
        <v>729</v>
      </c>
      <c r="G166" s="14">
        <v>0</v>
      </c>
      <c r="H166" s="14"/>
      <c r="I166" s="14">
        <v>19</v>
      </c>
      <c r="J166" s="14">
        <v>0</v>
      </c>
      <c r="K166" s="14">
        <v>748</v>
      </c>
      <c r="L166" s="14">
        <v>3397</v>
      </c>
      <c r="M166" s="15">
        <v>0.22019428907859875</v>
      </c>
      <c r="N166" s="14">
        <v>748</v>
      </c>
      <c r="O166" s="14">
        <v>748</v>
      </c>
      <c r="P166" s="14">
        <v>748</v>
      </c>
      <c r="Q166" s="13">
        <v>912.06055000000003</v>
      </c>
      <c r="R166" s="13">
        <v>857.3737000000001</v>
      </c>
      <c r="S166" s="47">
        <f>VLOOKUP(D166,'Original Title I &amp; II'!B:B,1,FALSE)</f>
        <v>407240</v>
      </c>
    </row>
    <row r="167" spans="1:19" x14ac:dyDescent="0.3">
      <c r="A167" s="17">
        <v>1</v>
      </c>
      <c r="B167" s="17">
        <v>4</v>
      </c>
      <c r="C167" s="17" t="s">
        <v>572</v>
      </c>
      <c r="D167" s="16">
        <v>407300</v>
      </c>
      <c r="E167" s="17" t="s">
        <v>367</v>
      </c>
      <c r="F167" s="14">
        <v>730</v>
      </c>
      <c r="G167" s="14">
        <v>0</v>
      </c>
      <c r="H167" s="14"/>
      <c r="I167" s="14">
        <v>35</v>
      </c>
      <c r="J167" s="14">
        <v>0</v>
      </c>
      <c r="K167" s="14">
        <v>765</v>
      </c>
      <c r="L167" s="14">
        <v>5796</v>
      </c>
      <c r="M167" s="15">
        <v>0.13198757763975155</v>
      </c>
      <c r="N167" s="14">
        <v>765</v>
      </c>
      <c r="O167" s="14">
        <v>0</v>
      </c>
      <c r="P167" s="14">
        <v>765</v>
      </c>
      <c r="Q167" s="13">
        <v>802</v>
      </c>
      <c r="R167" s="13">
        <v>802</v>
      </c>
      <c r="S167" s="47">
        <f>VLOOKUP(D167,'Original Title I &amp; II'!B:B,1,FALSE)</f>
        <v>407300</v>
      </c>
    </row>
    <row r="168" spans="1:19" x14ac:dyDescent="0.3">
      <c r="A168" s="17">
        <v>1</v>
      </c>
      <c r="B168" s="17">
        <v>4</v>
      </c>
      <c r="C168" s="17" t="s">
        <v>572</v>
      </c>
      <c r="D168" s="16">
        <v>400005</v>
      </c>
      <c r="E168" s="17" t="s">
        <v>368</v>
      </c>
      <c r="F168" s="14">
        <v>60</v>
      </c>
      <c r="G168" s="14">
        <v>0</v>
      </c>
      <c r="H168" s="14"/>
      <c r="I168" s="14">
        <v>2</v>
      </c>
      <c r="J168" s="14">
        <v>0</v>
      </c>
      <c r="K168" s="14">
        <v>62</v>
      </c>
      <c r="L168" s="14">
        <v>133</v>
      </c>
      <c r="M168" s="15">
        <v>0.46616541353383456</v>
      </c>
      <c r="N168" s="14">
        <v>62</v>
      </c>
      <c r="O168" s="14">
        <v>62</v>
      </c>
      <c r="P168" s="14">
        <v>62</v>
      </c>
      <c r="Q168" s="13">
        <v>142.17522499999998</v>
      </c>
      <c r="R168" s="13">
        <v>181.07184999999998</v>
      </c>
      <c r="S168" s="47">
        <f>VLOOKUP(D168,'Original Title I &amp; II'!B:B,1,FALSE)</f>
        <v>400005</v>
      </c>
    </row>
    <row r="169" spans="1:19" x14ac:dyDescent="0.3">
      <c r="A169" s="17">
        <v>1</v>
      </c>
      <c r="B169" s="17">
        <v>4</v>
      </c>
      <c r="C169" s="17" t="s">
        <v>572</v>
      </c>
      <c r="D169" s="16">
        <v>406960</v>
      </c>
      <c r="E169" s="17" t="s">
        <v>370</v>
      </c>
      <c r="F169" s="14">
        <v>651</v>
      </c>
      <c r="G169" s="14">
        <v>0</v>
      </c>
      <c r="H169" s="14"/>
      <c r="I169" s="14">
        <v>18</v>
      </c>
      <c r="J169" s="14">
        <v>0</v>
      </c>
      <c r="K169" s="14">
        <v>669</v>
      </c>
      <c r="L169" s="14">
        <v>1250</v>
      </c>
      <c r="M169" s="15">
        <v>0.53520000000000001</v>
      </c>
      <c r="N169" s="14">
        <v>669</v>
      </c>
      <c r="O169" s="14">
        <v>669</v>
      </c>
      <c r="P169" s="14">
        <v>669</v>
      </c>
      <c r="Q169" s="13">
        <v>1681.40625</v>
      </c>
      <c r="R169" s="13">
        <v>2219.5625</v>
      </c>
      <c r="S169" s="47">
        <f>VLOOKUP(D169,'Original Title I &amp; II'!B:B,1,FALSE)</f>
        <v>406960</v>
      </c>
    </row>
    <row r="170" spans="1:19" x14ac:dyDescent="0.3">
      <c r="A170" s="17">
        <v>1</v>
      </c>
      <c r="B170" s="17">
        <v>4</v>
      </c>
      <c r="C170" s="17" t="s">
        <v>572</v>
      </c>
      <c r="D170" s="16">
        <v>407380</v>
      </c>
      <c r="E170" s="17" t="s">
        <v>371</v>
      </c>
      <c r="F170" s="14">
        <v>0</v>
      </c>
      <c r="G170" s="14">
        <v>0</v>
      </c>
      <c r="H170" s="14"/>
      <c r="I170" s="14">
        <v>0</v>
      </c>
      <c r="J170" s="14">
        <v>0</v>
      </c>
      <c r="K170" s="14">
        <v>0</v>
      </c>
      <c r="L170" s="14">
        <v>6</v>
      </c>
      <c r="M170" s="15">
        <v>0</v>
      </c>
      <c r="N170" s="14">
        <v>0</v>
      </c>
      <c r="O170" s="14">
        <v>0</v>
      </c>
      <c r="P170" s="14">
        <v>0</v>
      </c>
      <c r="Q170" s="13">
        <v>0</v>
      </c>
      <c r="R170" s="13">
        <v>0</v>
      </c>
      <c r="S170" s="47">
        <f>VLOOKUP(D170,'Original Title I &amp; II'!B:B,1,FALSE)</f>
        <v>407380</v>
      </c>
    </row>
    <row r="171" spans="1:19" x14ac:dyDescent="0.3">
      <c r="A171" s="17">
        <v>1</v>
      </c>
      <c r="B171" s="17">
        <v>4</v>
      </c>
      <c r="C171" s="17" t="s">
        <v>572</v>
      </c>
      <c r="D171" s="16">
        <v>407430</v>
      </c>
      <c r="E171" s="17" t="s">
        <v>372</v>
      </c>
      <c r="F171" s="14">
        <v>18</v>
      </c>
      <c r="G171" s="14">
        <v>0</v>
      </c>
      <c r="H171" s="14"/>
      <c r="I171" s="14">
        <v>0</v>
      </c>
      <c r="J171" s="14">
        <v>0</v>
      </c>
      <c r="K171" s="14">
        <v>18</v>
      </c>
      <c r="L171" s="14">
        <v>81</v>
      </c>
      <c r="M171" s="15">
        <v>0.22222222222222221</v>
      </c>
      <c r="N171" s="14">
        <v>18</v>
      </c>
      <c r="O171" s="14">
        <v>18</v>
      </c>
      <c r="P171" s="14">
        <v>18</v>
      </c>
      <c r="Q171" s="13">
        <v>22.103324999999998</v>
      </c>
      <c r="R171" s="13">
        <v>20.826449999999998</v>
      </c>
      <c r="S171" s="47">
        <f>VLOOKUP(D171,'Original Title I &amp; II'!B:B,1,FALSE)</f>
        <v>407430</v>
      </c>
    </row>
    <row r="172" spans="1:19" x14ac:dyDescent="0.3">
      <c r="A172" s="17">
        <v>1</v>
      </c>
      <c r="B172" s="17">
        <v>4</v>
      </c>
      <c r="C172" s="17" t="s">
        <v>572</v>
      </c>
      <c r="D172" s="16">
        <v>406740</v>
      </c>
      <c r="E172" s="17" t="s">
        <v>374</v>
      </c>
      <c r="F172" s="14">
        <v>589</v>
      </c>
      <c r="G172" s="14">
        <v>0</v>
      </c>
      <c r="H172" s="14"/>
      <c r="I172" s="14">
        <v>4</v>
      </c>
      <c r="J172" s="14">
        <v>0</v>
      </c>
      <c r="K172" s="14">
        <v>593</v>
      </c>
      <c r="L172" s="14">
        <v>1356</v>
      </c>
      <c r="M172" s="15">
        <v>0.43731563421828906</v>
      </c>
      <c r="N172" s="14">
        <v>593</v>
      </c>
      <c r="O172" s="14">
        <v>593</v>
      </c>
      <c r="P172" s="14">
        <v>593</v>
      </c>
      <c r="Q172" s="13">
        <v>1293.0646999999999</v>
      </c>
      <c r="R172" s="13">
        <v>1611.3942000000004</v>
      </c>
      <c r="S172" s="47">
        <f>VLOOKUP(D172,'Original Title I &amp; II'!B:B,1,FALSE)</f>
        <v>406740</v>
      </c>
    </row>
    <row r="173" spans="1:19" x14ac:dyDescent="0.3">
      <c r="A173" s="17">
        <v>1</v>
      </c>
      <c r="B173" s="17">
        <v>4</v>
      </c>
      <c r="C173" s="17" t="s">
        <v>572</v>
      </c>
      <c r="D173" s="16">
        <v>407500</v>
      </c>
      <c r="E173" s="17" t="s">
        <v>375</v>
      </c>
      <c r="F173" s="14">
        <v>116</v>
      </c>
      <c r="G173" s="14">
        <v>0</v>
      </c>
      <c r="H173" s="14"/>
      <c r="I173" s="14">
        <v>2</v>
      </c>
      <c r="J173" s="14">
        <v>0</v>
      </c>
      <c r="K173" s="14">
        <v>118</v>
      </c>
      <c r="L173" s="14">
        <v>420</v>
      </c>
      <c r="M173" s="15">
        <v>0.28095238095238095</v>
      </c>
      <c r="N173" s="14">
        <v>118</v>
      </c>
      <c r="O173" s="14">
        <v>118</v>
      </c>
      <c r="P173" s="14">
        <v>118</v>
      </c>
      <c r="Q173" s="13">
        <v>176.2765</v>
      </c>
      <c r="R173" s="13">
        <v>181.989</v>
      </c>
      <c r="S173" s="47">
        <f>VLOOKUP(D173,'Original Title I &amp; II'!B:B,1,FALSE)</f>
        <v>407500</v>
      </c>
    </row>
    <row r="174" spans="1:19" x14ac:dyDescent="0.3">
      <c r="A174" s="17">
        <v>1</v>
      </c>
      <c r="B174" s="17">
        <v>4</v>
      </c>
      <c r="C174" s="17" t="s">
        <v>572</v>
      </c>
      <c r="D174" s="16">
        <v>407520</v>
      </c>
      <c r="E174" s="17" t="s">
        <v>376</v>
      </c>
      <c r="F174" s="14">
        <v>976</v>
      </c>
      <c r="G174" s="14">
        <v>0</v>
      </c>
      <c r="H174" s="14"/>
      <c r="I174" s="14">
        <v>14</v>
      </c>
      <c r="J174" s="14">
        <v>0</v>
      </c>
      <c r="K174" s="14">
        <v>990</v>
      </c>
      <c r="L174" s="14">
        <v>4284</v>
      </c>
      <c r="M174" s="15">
        <v>0.23109243697478993</v>
      </c>
      <c r="N174" s="14">
        <v>990</v>
      </c>
      <c r="O174" s="14">
        <v>990</v>
      </c>
      <c r="P174" s="14">
        <v>990</v>
      </c>
      <c r="Q174" s="13">
        <v>1264.0202999999999</v>
      </c>
      <c r="R174" s="13">
        <v>1215.4877999999997</v>
      </c>
      <c r="S174" s="47">
        <f>VLOOKUP(D174,'Original Title I &amp; II'!B:B,1,FALSE)</f>
        <v>407520</v>
      </c>
    </row>
    <row r="175" spans="1:19" x14ac:dyDescent="0.3">
      <c r="A175" s="17">
        <v>1</v>
      </c>
      <c r="B175" s="17">
        <v>4</v>
      </c>
      <c r="C175" s="17" t="s">
        <v>572</v>
      </c>
      <c r="D175" s="16">
        <v>407530</v>
      </c>
      <c r="E175" s="17" t="s">
        <v>377</v>
      </c>
      <c r="F175" s="14">
        <v>170</v>
      </c>
      <c r="G175" s="14">
        <v>0</v>
      </c>
      <c r="H175" s="14"/>
      <c r="I175" s="14">
        <v>9</v>
      </c>
      <c r="J175" s="14">
        <v>0</v>
      </c>
      <c r="K175" s="14">
        <v>179</v>
      </c>
      <c r="L175" s="14">
        <v>729</v>
      </c>
      <c r="M175" s="15">
        <v>0.24554183813443073</v>
      </c>
      <c r="N175" s="14">
        <v>179</v>
      </c>
      <c r="O175" s="14">
        <v>179</v>
      </c>
      <c r="P175" s="14">
        <v>179</v>
      </c>
      <c r="Q175" s="13">
        <v>241.42992499999991</v>
      </c>
      <c r="R175" s="13">
        <v>238.43804999999995</v>
      </c>
      <c r="S175" s="47">
        <f>VLOOKUP(D175,'Original Title I &amp; II'!B:B,1,FALSE)</f>
        <v>407530</v>
      </c>
    </row>
    <row r="176" spans="1:19" x14ac:dyDescent="0.3">
      <c r="A176" s="17">
        <v>1</v>
      </c>
      <c r="B176" s="17">
        <v>4</v>
      </c>
      <c r="C176" s="17" t="s">
        <v>572</v>
      </c>
      <c r="D176" s="16">
        <v>407570</v>
      </c>
      <c r="E176" s="17" t="s">
        <v>379</v>
      </c>
      <c r="F176" s="14">
        <v>3418</v>
      </c>
      <c r="G176" s="14">
        <v>54</v>
      </c>
      <c r="H176" s="14"/>
      <c r="I176" s="14">
        <v>155</v>
      </c>
      <c r="J176" s="14">
        <v>0</v>
      </c>
      <c r="K176" s="14">
        <v>3627</v>
      </c>
      <c r="L176" s="14">
        <v>32138</v>
      </c>
      <c r="M176" s="15">
        <v>0.11285705395481983</v>
      </c>
      <c r="N176" s="14">
        <v>3627</v>
      </c>
      <c r="O176" s="14">
        <v>0</v>
      </c>
      <c r="P176" s="14">
        <v>3627</v>
      </c>
      <c r="Q176" s="13">
        <v>5777.5</v>
      </c>
      <c r="R176" s="13">
        <v>6118.75</v>
      </c>
      <c r="S176" s="47">
        <f>VLOOKUP(D176,'Original Title I &amp; II'!B:B,1,FALSE)</f>
        <v>407570</v>
      </c>
    </row>
    <row r="177" spans="1:19" x14ac:dyDescent="0.3">
      <c r="A177" s="17">
        <v>1</v>
      </c>
      <c r="B177" s="17">
        <v>4</v>
      </c>
      <c r="C177" s="17" t="s">
        <v>572</v>
      </c>
      <c r="D177" s="16">
        <v>409733</v>
      </c>
      <c r="E177" s="17" t="s">
        <v>583</v>
      </c>
      <c r="F177" s="14">
        <v>243</v>
      </c>
      <c r="G177" s="14">
        <v>0</v>
      </c>
      <c r="H177" s="14"/>
      <c r="I177" s="14">
        <v>12</v>
      </c>
      <c r="J177" s="14">
        <v>0</v>
      </c>
      <c r="K177" s="14">
        <v>255</v>
      </c>
      <c r="L177" s="14">
        <v>1292</v>
      </c>
      <c r="M177" s="15">
        <v>0.19736842105263158</v>
      </c>
      <c r="N177" s="14">
        <v>255</v>
      </c>
      <c r="O177" s="14">
        <v>255</v>
      </c>
      <c r="P177" s="14">
        <v>255</v>
      </c>
      <c r="Q177" s="13">
        <v>295.27980000000002</v>
      </c>
      <c r="R177" s="13">
        <v>281.85320000000002</v>
      </c>
      <c r="S177" s="47">
        <f>VLOOKUP(D177,'Original Title I &amp; II'!B:B,1,FALSE)</f>
        <v>409733</v>
      </c>
    </row>
    <row r="178" spans="1:19" x14ac:dyDescent="0.3">
      <c r="A178" s="17">
        <v>1</v>
      </c>
      <c r="B178" s="17">
        <v>4</v>
      </c>
      <c r="C178" s="17" t="s">
        <v>572</v>
      </c>
      <c r="D178" s="16">
        <v>407630</v>
      </c>
      <c r="E178" s="17" t="s">
        <v>382</v>
      </c>
      <c r="F178" s="14">
        <v>33</v>
      </c>
      <c r="G178" s="14">
        <v>0</v>
      </c>
      <c r="H178" s="14"/>
      <c r="I178" s="14">
        <v>2</v>
      </c>
      <c r="J178" s="14">
        <v>0</v>
      </c>
      <c r="K178" s="14">
        <v>35</v>
      </c>
      <c r="L178" s="14">
        <v>145</v>
      </c>
      <c r="M178" s="15">
        <v>0.2413793103448276</v>
      </c>
      <c r="N178" s="14">
        <v>35</v>
      </c>
      <c r="O178" s="14">
        <v>35</v>
      </c>
      <c r="P178" s="14">
        <v>35</v>
      </c>
      <c r="Q178" s="13">
        <v>46.512124999999997</v>
      </c>
      <c r="R178" s="13">
        <v>45.615250000000003</v>
      </c>
      <c r="S178" s="47">
        <f>VLOOKUP(D178,'Original Title I &amp; II'!B:B,1,FALSE)</f>
        <v>407630</v>
      </c>
    </row>
    <row r="179" spans="1:19" x14ac:dyDescent="0.3">
      <c r="A179" s="17">
        <v>1</v>
      </c>
      <c r="B179" s="17">
        <v>4</v>
      </c>
      <c r="C179" s="17" t="s">
        <v>572</v>
      </c>
      <c r="D179" s="16">
        <v>407680</v>
      </c>
      <c r="E179" s="17" t="s">
        <v>476</v>
      </c>
      <c r="F179" s="14">
        <v>7</v>
      </c>
      <c r="G179" s="14">
        <v>0</v>
      </c>
      <c r="H179" s="14"/>
      <c r="I179" s="14">
        <v>0</v>
      </c>
      <c r="J179" s="14">
        <v>0</v>
      </c>
      <c r="K179" s="14">
        <v>7</v>
      </c>
      <c r="L179" s="14">
        <v>26</v>
      </c>
      <c r="M179" s="15">
        <v>0.26923076923076922</v>
      </c>
      <c r="N179" s="14">
        <v>0</v>
      </c>
      <c r="O179" s="14">
        <v>0</v>
      </c>
      <c r="P179" s="14">
        <v>0</v>
      </c>
      <c r="Q179" s="13">
        <v>0</v>
      </c>
      <c r="R179" s="13">
        <v>0</v>
      </c>
      <c r="S179" s="47">
        <f>VLOOKUP(D179,'Original Title I &amp; II'!B:B,1,FALSE)</f>
        <v>407680</v>
      </c>
    </row>
    <row r="180" spans="1:19" x14ac:dyDescent="0.3">
      <c r="A180" s="17">
        <v>1</v>
      </c>
      <c r="B180" s="17">
        <v>4</v>
      </c>
      <c r="C180" s="17" t="s">
        <v>572</v>
      </c>
      <c r="D180" s="16">
        <v>407700</v>
      </c>
      <c r="E180" s="17" t="s">
        <v>383</v>
      </c>
      <c r="F180" s="14">
        <v>755</v>
      </c>
      <c r="G180" s="14">
        <v>0</v>
      </c>
      <c r="H180" s="14"/>
      <c r="I180" s="14">
        <v>10</v>
      </c>
      <c r="J180" s="14">
        <v>0</v>
      </c>
      <c r="K180" s="14">
        <v>765</v>
      </c>
      <c r="L180" s="14">
        <v>2716</v>
      </c>
      <c r="M180" s="15">
        <v>0.28166421207658321</v>
      </c>
      <c r="N180" s="14">
        <v>765</v>
      </c>
      <c r="O180" s="14">
        <v>765</v>
      </c>
      <c r="P180" s="14">
        <v>765</v>
      </c>
      <c r="Q180" s="13">
        <v>1144.7547000000002</v>
      </c>
      <c r="R180" s="13">
        <v>1182.6622000000002</v>
      </c>
      <c r="S180" s="47">
        <f>VLOOKUP(D180,'Original Title I &amp; II'!B:B,1,FALSE)</f>
        <v>407700</v>
      </c>
    </row>
    <row r="181" spans="1:19" x14ac:dyDescent="0.3">
      <c r="A181" s="17">
        <v>1</v>
      </c>
      <c r="B181" s="17">
        <v>4</v>
      </c>
      <c r="C181" s="17" t="s">
        <v>572</v>
      </c>
      <c r="D181" s="16">
        <v>401460</v>
      </c>
      <c r="E181" s="17" t="s">
        <v>384</v>
      </c>
      <c r="F181" s="14">
        <v>1375</v>
      </c>
      <c r="G181" s="14">
        <v>24</v>
      </c>
      <c r="H181" s="14"/>
      <c r="I181" s="14">
        <v>35</v>
      </c>
      <c r="J181" s="14">
        <v>0</v>
      </c>
      <c r="K181" s="14">
        <v>1434</v>
      </c>
      <c r="L181" s="14">
        <v>7226</v>
      </c>
      <c r="M181" s="15">
        <v>0.19845004151674508</v>
      </c>
      <c r="N181" s="14">
        <v>1434</v>
      </c>
      <c r="O181" s="14">
        <v>1434</v>
      </c>
      <c r="P181" s="14">
        <v>1434</v>
      </c>
      <c r="Q181" s="13">
        <v>1805.5</v>
      </c>
      <c r="R181" s="13">
        <v>1805.5</v>
      </c>
      <c r="S181" s="47">
        <f>VLOOKUP(D181,'Original Title I &amp; II'!B:B,1,FALSE)</f>
        <v>401460</v>
      </c>
    </row>
    <row r="182" spans="1:19" x14ac:dyDescent="0.3">
      <c r="A182" s="17">
        <v>1</v>
      </c>
      <c r="B182" s="17">
        <v>4</v>
      </c>
      <c r="C182" s="17" t="s">
        <v>572</v>
      </c>
      <c r="D182" s="16">
        <v>407770</v>
      </c>
      <c r="E182" s="17" t="s">
        <v>475</v>
      </c>
      <c r="F182" s="14">
        <v>15</v>
      </c>
      <c r="G182" s="14">
        <v>0</v>
      </c>
      <c r="H182" s="14"/>
      <c r="I182" s="14">
        <v>1</v>
      </c>
      <c r="J182" s="14">
        <v>0</v>
      </c>
      <c r="K182" s="14">
        <v>16</v>
      </c>
      <c r="L182" s="14">
        <v>110</v>
      </c>
      <c r="M182" s="15">
        <v>0.14545454545454545</v>
      </c>
      <c r="N182" s="14">
        <v>16</v>
      </c>
      <c r="O182" s="14">
        <v>0</v>
      </c>
      <c r="P182" s="14">
        <v>16</v>
      </c>
      <c r="Q182" s="13">
        <v>16</v>
      </c>
      <c r="R182" s="13">
        <v>16</v>
      </c>
      <c r="S182" s="47">
        <f>VLOOKUP(D182,'Original Title I &amp; II'!B:B,1,FALSE)</f>
        <v>407770</v>
      </c>
    </row>
    <row r="183" spans="1:19" x14ac:dyDescent="0.3">
      <c r="A183" s="17">
        <v>1</v>
      </c>
      <c r="B183" s="17">
        <v>4</v>
      </c>
      <c r="C183" s="17" t="s">
        <v>572</v>
      </c>
      <c r="D183" s="16">
        <v>407820</v>
      </c>
      <c r="E183" s="17" t="s">
        <v>388</v>
      </c>
      <c r="F183" s="14">
        <v>558</v>
      </c>
      <c r="G183" s="14">
        <v>0</v>
      </c>
      <c r="H183" s="14"/>
      <c r="I183" s="14">
        <v>8</v>
      </c>
      <c r="J183" s="14">
        <v>0</v>
      </c>
      <c r="K183" s="14">
        <v>566</v>
      </c>
      <c r="L183" s="14">
        <v>2740</v>
      </c>
      <c r="M183" s="15">
        <v>0.20656934306569344</v>
      </c>
      <c r="N183" s="14">
        <v>566</v>
      </c>
      <c r="O183" s="14">
        <v>566</v>
      </c>
      <c r="P183" s="14">
        <v>566</v>
      </c>
      <c r="Q183" s="13">
        <v>670.33100000000002</v>
      </c>
      <c r="R183" s="13">
        <v>635.55400000000009</v>
      </c>
      <c r="S183" s="47">
        <f>VLOOKUP(D183,'Original Title I &amp; II'!B:B,1,FALSE)</f>
        <v>407820</v>
      </c>
    </row>
    <row r="184" spans="1:19" x14ac:dyDescent="0.3">
      <c r="A184" s="17">
        <v>1</v>
      </c>
      <c r="B184" s="17">
        <v>4</v>
      </c>
      <c r="C184" s="17" t="s">
        <v>572</v>
      </c>
      <c r="D184" s="16">
        <v>407860</v>
      </c>
      <c r="E184" s="17" t="s">
        <v>389</v>
      </c>
      <c r="F184" s="14">
        <v>86</v>
      </c>
      <c r="G184" s="14">
        <v>0</v>
      </c>
      <c r="H184" s="14"/>
      <c r="I184" s="14">
        <v>2</v>
      </c>
      <c r="J184" s="14">
        <v>0</v>
      </c>
      <c r="K184" s="14">
        <v>88</v>
      </c>
      <c r="L184" s="14">
        <v>397</v>
      </c>
      <c r="M184" s="15">
        <v>0.22166246851385391</v>
      </c>
      <c r="N184" s="14">
        <v>88</v>
      </c>
      <c r="O184" s="14">
        <v>88</v>
      </c>
      <c r="P184" s="14">
        <v>88</v>
      </c>
      <c r="Q184" s="13">
        <v>107.778025</v>
      </c>
      <c r="R184" s="13">
        <v>101.40864999999999</v>
      </c>
      <c r="S184" s="47">
        <f>VLOOKUP(D184,'Original Title I &amp; II'!B:B,1,FALSE)</f>
        <v>407860</v>
      </c>
    </row>
    <row r="185" spans="1:19" x14ac:dyDescent="0.3">
      <c r="A185" s="17">
        <v>1</v>
      </c>
      <c r="B185" s="17">
        <v>4</v>
      </c>
      <c r="C185" s="17" t="s">
        <v>572</v>
      </c>
      <c r="D185" s="16">
        <v>407890</v>
      </c>
      <c r="E185" s="17" t="s">
        <v>390</v>
      </c>
      <c r="F185" s="14">
        <v>1128</v>
      </c>
      <c r="G185" s="14">
        <v>0</v>
      </c>
      <c r="H185" s="14"/>
      <c r="I185" s="14">
        <v>21</v>
      </c>
      <c r="J185" s="14">
        <v>0</v>
      </c>
      <c r="K185" s="14">
        <v>1149</v>
      </c>
      <c r="L185" s="14">
        <v>3203</v>
      </c>
      <c r="M185" s="15">
        <v>0.3587261941929441</v>
      </c>
      <c r="N185" s="14">
        <v>1149</v>
      </c>
      <c r="O185" s="14">
        <v>1149</v>
      </c>
      <c r="P185" s="14">
        <v>1149</v>
      </c>
      <c r="Q185" s="13">
        <v>2104.3233749999999</v>
      </c>
      <c r="R185" s="13">
        <v>2409.6741499999998</v>
      </c>
      <c r="S185" s="47">
        <f>VLOOKUP(D185,'Original Title I &amp; II'!B:B,1,FALSE)</f>
        <v>407890</v>
      </c>
    </row>
    <row r="186" spans="1:19" x14ac:dyDescent="0.3">
      <c r="A186" s="17">
        <v>1</v>
      </c>
      <c r="B186" s="17">
        <v>4</v>
      </c>
      <c r="C186" s="17" t="s">
        <v>572</v>
      </c>
      <c r="D186" s="16">
        <v>407920</v>
      </c>
      <c r="E186" s="17" t="s">
        <v>391</v>
      </c>
      <c r="F186" s="14">
        <v>24</v>
      </c>
      <c r="G186" s="14">
        <v>0</v>
      </c>
      <c r="H186" s="14"/>
      <c r="I186" s="14">
        <v>0</v>
      </c>
      <c r="J186" s="14">
        <v>0</v>
      </c>
      <c r="K186" s="14">
        <v>24</v>
      </c>
      <c r="L186" s="14">
        <v>120</v>
      </c>
      <c r="M186" s="15">
        <v>0.2</v>
      </c>
      <c r="N186" s="14">
        <v>24</v>
      </c>
      <c r="O186" s="14">
        <v>24</v>
      </c>
      <c r="P186" s="14">
        <v>24</v>
      </c>
      <c r="Q186" s="13">
        <v>27.978000000000002</v>
      </c>
      <c r="R186" s="13">
        <v>26.652000000000001</v>
      </c>
      <c r="S186" s="47">
        <f>VLOOKUP(D186,'Original Title I &amp; II'!B:B,1,FALSE)</f>
        <v>407920</v>
      </c>
    </row>
    <row r="187" spans="1:19" x14ac:dyDescent="0.3">
      <c r="A187" s="17">
        <v>1</v>
      </c>
      <c r="B187" s="17">
        <v>4</v>
      </c>
      <c r="C187" s="17" t="s">
        <v>572</v>
      </c>
      <c r="D187" s="16">
        <v>408020</v>
      </c>
      <c r="E187" s="17" t="s">
        <v>397</v>
      </c>
      <c r="F187" s="14">
        <v>99</v>
      </c>
      <c r="G187" s="14">
        <v>0</v>
      </c>
      <c r="H187" s="14"/>
      <c r="I187" s="14">
        <v>3</v>
      </c>
      <c r="J187" s="14">
        <v>0</v>
      </c>
      <c r="K187" s="14">
        <v>102</v>
      </c>
      <c r="L187" s="14">
        <v>518</v>
      </c>
      <c r="M187" s="15">
        <v>0.19691119691119691</v>
      </c>
      <c r="N187" s="14">
        <v>102</v>
      </c>
      <c r="O187" s="14">
        <v>102</v>
      </c>
      <c r="P187" s="14">
        <v>102</v>
      </c>
      <c r="Q187" s="13">
        <v>117.9717</v>
      </c>
      <c r="R187" s="13">
        <v>112.64779999999999</v>
      </c>
      <c r="S187" s="47">
        <f>VLOOKUP(D187,'Original Title I &amp; II'!B:B,1,FALSE)</f>
        <v>408020</v>
      </c>
    </row>
    <row r="188" spans="1:19" x14ac:dyDescent="0.3">
      <c r="A188" s="17">
        <v>1</v>
      </c>
      <c r="B188" s="17">
        <v>4</v>
      </c>
      <c r="C188" s="17" t="s">
        <v>572</v>
      </c>
      <c r="D188" s="16">
        <v>408080</v>
      </c>
      <c r="E188" s="17" t="s">
        <v>398</v>
      </c>
      <c r="F188" s="14">
        <v>253</v>
      </c>
      <c r="G188" s="14">
        <v>0</v>
      </c>
      <c r="H188" s="14"/>
      <c r="I188" s="14">
        <v>2</v>
      </c>
      <c r="J188" s="14">
        <v>0</v>
      </c>
      <c r="K188" s="14">
        <v>255</v>
      </c>
      <c r="L188" s="14">
        <v>830</v>
      </c>
      <c r="M188" s="15">
        <v>0.30722891566265059</v>
      </c>
      <c r="N188" s="14">
        <v>255</v>
      </c>
      <c r="O188" s="14">
        <v>255</v>
      </c>
      <c r="P188" s="14">
        <v>255</v>
      </c>
      <c r="Q188" s="13">
        <v>406.38374999999996</v>
      </c>
      <c r="R188" s="13">
        <v>432.08149999999995</v>
      </c>
      <c r="S188" s="47">
        <f>VLOOKUP(D188,'Original Title I &amp; II'!B:B,1,FALSE)</f>
        <v>408080</v>
      </c>
    </row>
    <row r="189" spans="1:19" x14ac:dyDescent="0.3">
      <c r="A189" s="17">
        <v>1</v>
      </c>
      <c r="B189" s="17">
        <v>4</v>
      </c>
      <c r="C189" s="17" t="s">
        <v>572</v>
      </c>
      <c r="D189" s="16">
        <v>408130</v>
      </c>
      <c r="E189" s="17" t="s">
        <v>399</v>
      </c>
      <c r="F189" s="14">
        <v>180</v>
      </c>
      <c r="G189" s="14">
        <v>0</v>
      </c>
      <c r="H189" s="14"/>
      <c r="I189" s="14">
        <v>10</v>
      </c>
      <c r="J189" s="14">
        <v>0</v>
      </c>
      <c r="K189" s="14">
        <v>190</v>
      </c>
      <c r="L189" s="14">
        <v>818</v>
      </c>
      <c r="M189" s="15">
        <v>0.23227383863080683</v>
      </c>
      <c r="N189" s="14">
        <v>190</v>
      </c>
      <c r="O189" s="14">
        <v>190</v>
      </c>
      <c r="P189" s="14">
        <v>190</v>
      </c>
      <c r="Q189" s="13">
        <v>243.77184999999994</v>
      </c>
      <c r="R189" s="13">
        <v>234.98809999999995</v>
      </c>
      <c r="S189" s="47">
        <f>VLOOKUP(D189,'Original Title I &amp; II'!B:B,1,FALSE)</f>
        <v>408130</v>
      </c>
    </row>
    <row r="190" spans="1:19" x14ac:dyDescent="0.3">
      <c r="A190" s="17">
        <v>1</v>
      </c>
      <c r="B190" s="17">
        <v>4</v>
      </c>
      <c r="C190" s="17" t="s">
        <v>572</v>
      </c>
      <c r="D190" s="16">
        <v>408170</v>
      </c>
      <c r="E190" s="17" t="s">
        <v>403</v>
      </c>
      <c r="F190" s="14">
        <v>7579</v>
      </c>
      <c r="G190" s="14">
        <v>0</v>
      </c>
      <c r="H190" s="14"/>
      <c r="I190" s="14">
        <v>368</v>
      </c>
      <c r="J190" s="14">
        <v>0</v>
      </c>
      <c r="K190" s="14">
        <v>7947</v>
      </c>
      <c r="L190" s="14">
        <v>19735</v>
      </c>
      <c r="M190" s="15">
        <v>0.40268558398783888</v>
      </c>
      <c r="N190" s="14">
        <v>7947</v>
      </c>
      <c r="O190" s="14">
        <v>7947</v>
      </c>
      <c r="P190" s="14">
        <v>7947</v>
      </c>
      <c r="Q190" s="13">
        <v>16085.353875000001</v>
      </c>
      <c r="R190" s="13">
        <v>19351.420750000001</v>
      </c>
      <c r="S190" s="47">
        <f>VLOOKUP(D190,'Original Title I &amp; II'!B:B,1,FALSE)</f>
        <v>408170</v>
      </c>
    </row>
    <row r="191" spans="1:19" x14ac:dyDescent="0.3">
      <c r="A191" s="17">
        <v>1</v>
      </c>
      <c r="B191" s="17">
        <v>4</v>
      </c>
      <c r="C191" s="17" t="s">
        <v>572</v>
      </c>
      <c r="D191" s="16">
        <v>408230</v>
      </c>
      <c r="E191" s="17" t="s">
        <v>404</v>
      </c>
      <c r="F191" s="14">
        <v>132</v>
      </c>
      <c r="G191" s="14">
        <v>0</v>
      </c>
      <c r="H191" s="14"/>
      <c r="I191" s="14">
        <v>7</v>
      </c>
      <c r="J191" s="14">
        <v>0</v>
      </c>
      <c r="K191" s="14">
        <v>139</v>
      </c>
      <c r="L191" s="14">
        <v>587</v>
      </c>
      <c r="M191" s="15">
        <v>0.23679727427597955</v>
      </c>
      <c r="N191" s="14">
        <v>139</v>
      </c>
      <c r="O191" s="14">
        <v>139</v>
      </c>
      <c r="P191" s="14">
        <v>139</v>
      </c>
      <c r="Q191" s="13">
        <v>181.56977499999994</v>
      </c>
      <c r="R191" s="13">
        <v>176.59414999999993</v>
      </c>
      <c r="S191" s="47">
        <f>VLOOKUP(D191,'Original Title I &amp; II'!B:B,1,FALSE)</f>
        <v>408230</v>
      </c>
    </row>
    <row r="192" spans="1:19" x14ac:dyDescent="0.3">
      <c r="A192" s="17">
        <v>1</v>
      </c>
      <c r="B192" s="17">
        <v>4</v>
      </c>
      <c r="C192" s="17" t="s">
        <v>572</v>
      </c>
      <c r="D192" s="16">
        <v>408280</v>
      </c>
      <c r="E192" s="17" t="s">
        <v>406</v>
      </c>
      <c r="F192" s="14">
        <v>158</v>
      </c>
      <c r="G192" s="14">
        <v>23</v>
      </c>
      <c r="H192" s="14"/>
      <c r="I192" s="14">
        <v>8</v>
      </c>
      <c r="J192" s="14">
        <v>0</v>
      </c>
      <c r="K192" s="14">
        <v>189</v>
      </c>
      <c r="L192" s="14">
        <v>1921</v>
      </c>
      <c r="M192" s="15">
        <v>9.8386257157730347E-2</v>
      </c>
      <c r="N192" s="14">
        <v>189</v>
      </c>
      <c r="O192" s="14">
        <v>0</v>
      </c>
      <c r="P192" s="14">
        <v>189</v>
      </c>
      <c r="Q192" s="13">
        <v>189</v>
      </c>
      <c r="R192" s="13">
        <v>189</v>
      </c>
      <c r="S192" s="47">
        <f>VLOOKUP(D192,'Original Title I &amp; II'!B:B,1,FALSE)</f>
        <v>408280</v>
      </c>
    </row>
    <row r="193" spans="1:19" x14ac:dyDescent="0.3">
      <c r="A193" s="17">
        <v>1</v>
      </c>
      <c r="B193" s="17">
        <v>4</v>
      </c>
      <c r="C193" s="17" t="s">
        <v>572</v>
      </c>
      <c r="D193" s="16">
        <v>408310</v>
      </c>
      <c r="E193" s="17" t="s">
        <v>409</v>
      </c>
      <c r="F193" s="14">
        <v>4400</v>
      </c>
      <c r="G193" s="14">
        <v>0</v>
      </c>
      <c r="H193" s="14"/>
      <c r="I193" s="14">
        <v>199</v>
      </c>
      <c r="J193" s="14">
        <v>0</v>
      </c>
      <c r="K193" s="14">
        <v>4599</v>
      </c>
      <c r="L193" s="14">
        <v>12777</v>
      </c>
      <c r="M193" s="15">
        <v>0.35994364874383661</v>
      </c>
      <c r="N193" s="14">
        <v>4599</v>
      </c>
      <c r="O193" s="14">
        <v>4599</v>
      </c>
      <c r="P193" s="14">
        <v>4599</v>
      </c>
      <c r="Q193" s="13">
        <v>8444.8541250000017</v>
      </c>
      <c r="R193" s="13">
        <v>9682.3648500000018</v>
      </c>
      <c r="S193" s="47">
        <f>VLOOKUP(D193,'Original Title I &amp; II'!B:B,1,FALSE)</f>
        <v>408310</v>
      </c>
    </row>
    <row r="194" spans="1:19" x14ac:dyDescent="0.3">
      <c r="A194" s="17">
        <v>1</v>
      </c>
      <c r="B194" s="17">
        <v>4</v>
      </c>
      <c r="C194" s="17" t="s">
        <v>572</v>
      </c>
      <c r="D194" s="16">
        <v>408340</v>
      </c>
      <c r="E194" s="17" t="s">
        <v>410</v>
      </c>
      <c r="F194" s="14">
        <v>2218</v>
      </c>
      <c r="G194" s="14">
        <v>0</v>
      </c>
      <c r="H194" s="14"/>
      <c r="I194" s="14">
        <v>100</v>
      </c>
      <c r="J194" s="14">
        <v>0</v>
      </c>
      <c r="K194" s="14">
        <v>2318</v>
      </c>
      <c r="L194" s="14">
        <v>15656</v>
      </c>
      <c r="M194" s="15">
        <v>0.14805825242718446</v>
      </c>
      <c r="N194" s="14">
        <v>2318</v>
      </c>
      <c r="O194" s="14">
        <v>0</v>
      </c>
      <c r="P194" s="14">
        <v>2318</v>
      </c>
      <c r="Q194" s="13">
        <v>3159.5</v>
      </c>
      <c r="R194" s="13">
        <v>3173.5</v>
      </c>
      <c r="S194" s="47">
        <f>VLOOKUP(D194,'Original Title I &amp; II'!B:B,1,FALSE)</f>
        <v>408340</v>
      </c>
    </row>
    <row r="195" spans="1:19" x14ac:dyDescent="0.3">
      <c r="A195" s="17">
        <v>1</v>
      </c>
      <c r="B195" s="17">
        <v>4</v>
      </c>
      <c r="C195" s="17" t="s">
        <v>572</v>
      </c>
      <c r="D195" s="16">
        <v>408410</v>
      </c>
      <c r="E195" s="17" t="s">
        <v>411</v>
      </c>
      <c r="F195" s="14">
        <v>211</v>
      </c>
      <c r="G195" s="14">
        <v>0</v>
      </c>
      <c r="H195" s="14"/>
      <c r="I195" s="14">
        <v>5</v>
      </c>
      <c r="J195" s="14">
        <v>0</v>
      </c>
      <c r="K195" s="14">
        <v>216</v>
      </c>
      <c r="L195" s="14">
        <v>1557</v>
      </c>
      <c r="M195" s="15">
        <v>0.13872832369942195</v>
      </c>
      <c r="N195" s="14">
        <v>216</v>
      </c>
      <c r="O195" s="14">
        <v>0</v>
      </c>
      <c r="P195" s="14">
        <v>216</v>
      </c>
      <c r="Q195" s="13">
        <v>216</v>
      </c>
      <c r="R195" s="13">
        <v>216</v>
      </c>
      <c r="S195" s="47">
        <f>VLOOKUP(D195,'Original Title I &amp; II'!B:B,1,FALSE)</f>
        <v>408410</v>
      </c>
    </row>
    <row r="196" spans="1:19" x14ac:dyDescent="0.3">
      <c r="A196" s="17">
        <v>1</v>
      </c>
      <c r="B196" s="17">
        <v>4</v>
      </c>
      <c r="C196" s="17" t="s">
        <v>572</v>
      </c>
      <c r="D196" s="16">
        <v>408490</v>
      </c>
      <c r="E196" s="17" t="s">
        <v>414</v>
      </c>
      <c r="F196" s="14">
        <v>917</v>
      </c>
      <c r="G196" s="14">
        <v>31</v>
      </c>
      <c r="H196" s="14"/>
      <c r="I196" s="14">
        <v>41</v>
      </c>
      <c r="J196" s="14">
        <v>0</v>
      </c>
      <c r="K196" s="14">
        <v>989</v>
      </c>
      <c r="L196" s="14">
        <v>2742</v>
      </c>
      <c r="M196" s="15">
        <v>0.36068563092633116</v>
      </c>
      <c r="N196" s="14">
        <v>989</v>
      </c>
      <c r="O196" s="14">
        <v>989</v>
      </c>
      <c r="P196" s="14">
        <v>989</v>
      </c>
      <c r="Q196" s="13">
        <v>1818.9147499999997</v>
      </c>
      <c r="R196" s="13">
        <v>2087.0330999999996</v>
      </c>
      <c r="S196" s="47">
        <f>VLOOKUP(D196,'Original Title I &amp; II'!B:B,1,FALSE)</f>
        <v>408490</v>
      </c>
    </row>
    <row r="197" spans="1:19" x14ac:dyDescent="0.3">
      <c r="A197" s="17">
        <v>1</v>
      </c>
      <c r="B197" s="17">
        <v>4</v>
      </c>
      <c r="C197" s="17" t="s">
        <v>572</v>
      </c>
      <c r="D197" s="16">
        <v>408520</v>
      </c>
      <c r="E197" s="17" t="s">
        <v>415</v>
      </c>
      <c r="F197" s="14">
        <v>2767</v>
      </c>
      <c r="G197" s="14">
        <v>106</v>
      </c>
      <c r="H197" s="14"/>
      <c r="I197" s="14">
        <v>125</v>
      </c>
      <c r="J197" s="14">
        <v>0</v>
      </c>
      <c r="K197" s="14">
        <v>2998</v>
      </c>
      <c r="L197" s="14">
        <v>12367</v>
      </c>
      <c r="M197" s="15">
        <v>0.24241934179671706</v>
      </c>
      <c r="N197" s="14">
        <v>2998</v>
      </c>
      <c r="O197" s="14">
        <v>2998</v>
      </c>
      <c r="P197" s="14">
        <v>2998</v>
      </c>
      <c r="Q197" s="13">
        <v>4519.5</v>
      </c>
      <c r="R197" s="13">
        <v>4703.5</v>
      </c>
      <c r="S197" s="47">
        <f>VLOOKUP(D197,'Original Title I &amp; II'!B:B,1,FALSE)</f>
        <v>408520</v>
      </c>
    </row>
    <row r="198" spans="1:19" x14ac:dyDescent="0.3">
      <c r="A198" s="17">
        <v>1</v>
      </c>
      <c r="B198" s="17">
        <v>4</v>
      </c>
      <c r="C198" s="17" t="s">
        <v>572</v>
      </c>
      <c r="D198" s="16">
        <v>408550</v>
      </c>
      <c r="E198" s="17" t="s">
        <v>416</v>
      </c>
      <c r="F198" s="14">
        <v>276</v>
      </c>
      <c r="G198" s="14">
        <v>0</v>
      </c>
      <c r="H198" s="14"/>
      <c r="I198" s="14">
        <v>15</v>
      </c>
      <c r="J198" s="14">
        <v>0</v>
      </c>
      <c r="K198" s="14">
        <v>291</v>
      </c>
      <c r="L198" s="14">
        <v>1962</v>
      </c>
      <c r="M198" s="15">
        <v>0.14831804281345565</v>
      </c>
      <c r="N198" s="14">
        <v>291</v>
      </c>
      <c r="O198" s="14">
        <v>0</v>
      </c>
      <c r="P198" s="14">
        <v>291</v>
      </c>
      <c r="Q198" s="13">
        <v>291</v>
      </c>
      <c r="R198" s="13">
        <v>291</v>
      </c>
      <c r="S198" s="47">
        <f>VLOOKUP(D198,'Original Title I &amp; II'!B:B,1,FALSE)</f>
        <v>408550</v>
      </c>
    </row>
    <row r="199" spans="1:19" x14ac:dyDescent="0.3">
      <c r="A199" s="17">
        <v>1</v>
      </c>
      <c r="B199" s="17">
        <v>4</v>
      </c>
      <c r="C199" s="17" t="s">
        <v>572</v>
      </c>
      <c r="D199" s="16">
        <v>408600</v>
      </c>
      <c r="E199" s="17" t="s">
        <v>417</v>
      </c>
      <c r="F199" s="14">
        <v>197</v>
      </c>
      <c r="G199" s="14">
        <v>0</v>
      </c>
      <c r="H199" s="14"/>
      <c r="I199" s="14">
        <v>5</v>
      </c>
      <c r="J199" s="14">
        <v>0</v>
      </c>
      <c r="K199" s="14">
        <v>202</v>
      </c>
      <c r="L199" s="14">
        <v>1051</v>
      </c>
      <c r="M199" s="15">
        <v>0.19219790675547099</v>
      </c>
      <c r="N199" s="14">
        <v>202</v>
      </c>
      <c r="O199" s="14">
        <v>202</v>
      </c>
      <c r="P199" s="14">
        <v>202</v>
      </c>
      <c r="Q199" s="13">
        <v>230.69065000000003</v>
      </c>
      <c r="R199" s="13">
        <v>221.12710000000004</v>
      </c>
      <c r="S199" s="47">
        <f>VLOOKUP(D199,'Original Title I &amp; II'!B:B,1,FALSE)</f>
        <v>408600</v>
      </c>
    </row>
    <row r="200" spans="1:19" x14ac:dyDescent="0.3">
      <c r="A200" s="17">
        <v>1</v>
      </c>
      <c r="B200" s="17">
        <v>4</v>
      </c>
      <c r="C200" s="17" t="s">
        <v>572</v>
      </c>
      <c r="D200" s="16">
        <v>405760</v>
      </c>
      <c r="E200" s="17" t="s">
        <v>418</v>
      </c>
      <c r="F200" s="14">
        <v>48</v>
      </c>
      <c r="G200" s="14">
        <v>0</v>
      </c>
      <c r="H200" s="14"/>
      <c r="I200" s="14">
        <v>1</v>
      </c>
      <c r="J200" s="14">
        <v>0</v>
      </c>
      <c r="K200" s="14">
        <v>49</v>
      </c>
      <c r="L200" s="14">
        <v>102</v>
      </c>
      <c r="M200" s="15">
        <v>0.48039215686274511</v>
      </c>
      <c r="N200" s="14">
        <v>49</v>
      </c>
      <c r="O200" s="14">
        <v>49</v>
      </c>
      <c r="P200" s="14">
        <v>49</v>
      </c>
      <c r="Q200" s="13">
        <v>114.84115000000001</v>
      </c>
      <c r="R200" s="13">
        <v>147.57390000000004</v>
      </c>
      <c r="S200" s="47">
        <f>VLOOKUP(D200,'Original Title I &amp; II'!B:B,1,FALSE)</f>
        <v>405760</v>
      </c>
    </row>
    <row r="201" spans="1:19" x14ac:dyDescent="0.3">
      <c r="A201" s="17">
        <v>1</v>
      </c>
      <c r="B201" s="17">
        <v>4</v>
      </c>
      <c r="C201" s="17" t="s">
        <v>572</v>
      </c>
      <c r="D201" s="16">
        <v>408640</v>
      </c>
      <c r="E201" s="17" t="s">
        <v>419</v>
      </c>
      <c r="F201" s="14">
        <v>49</v>
      </c>
      <c r="G201" s="14">
        <v>0</v>
      </c>
      <c r="H201" s="14"/>
      <c r="I201" s="14">
        <v>2</v>
      </c>
      <c r="J201" s="14">
        <v>0</v>
      </c>
      <c r="K201" s="14">
        <v>51</v>
      </c>
      <c r="L201" s="14">
        <v>161</v>
      </c>
      <c r="M201" s="15">
        <v>0.31677018633540371</v>
      </c>
      <c r="N201" s="14">
        <v>51</v>
      </c>
      <c r="O201" s="14">
        <v>51</v>
      </c>
      <c r="P201" s="14">
        <v>51</v>
      </c>
      <c r="Q201" s="13">
        <v>83.821124999999995</v>
      </c>
      <c r="R201" s="13">
        <v>90.726049999999987</v>
      </c>
      <c r="S201" s="47">
        <f>VLOOKUP(D201,'Original Title I &amp; II'!B:B,1,FALSE)</f>
        <v>408640</v>
      </c>
    </row>
    <row r="202" spans="1:19" x14ac:dyDescent="0.3">
      <c r="A202" s="17">
        <v>1</v>
      </c>
      <c r="B202" s="17">
        <v>4</v>
      </c>
      <c r="C202" s="17" t="s">
        <v>572</v>
      </c>
      <c r="D202" s="16">
        <v>408680</v>
      </c>
      <c r="E202" s="17" t="s">
        <v>420</v>
      </c>
      <c r="F202" s="14">
        <v>1199</v>
      </c>
      <c r="G202" s="14">
        <v>0</v>
      </c>
      <c r="H202" s="14"/>
      <c r="I202" s="14">
        <v>17</v>
      </c>
      <c r="J202" s="14">
        <v>0</v>
      </c>
      <c r="K202" s="14">
        <v>1216</v>
      </c>
      <c r="L202" s="14">
        <v>3711</v>
      </c>
      <c r="M202" s="15">
        <v>0.32767448127189436</v>
      </c>
      <c r="N202" s="14">
        <v>1216</v>
      </c>
      <c r="O202" s="14">
        <v>1216</v>
      </c>
      <c r="P202" s="14">
        <v>1216</v>
      </c>
      <c r="Q202" s="13">
        <v>2063.5648750000009</v>
      </c>
      <c r="R202" s="13">
        <v>2273.303550000001</v>
      </c>
      <c r="S202" s="47">
        <f>VLOOKUP(D202,'Original Title I &amp; II'!B:B,1,FALSE)</f>
        <v>408680</v>
      </c>
    </row>
    <row r="203" spans="1:19" x14ac:dyDescent="0.3">
      <c r="A203" s="17">
        <v>1</v>
      </c>
      <c r="B203" s="17">
        <v>4</v>
      </c>
      <c r="C203" s="17" t="s">
        <v>572</v>
      </c>
      <c r="D203" s="16">
        <v>408800</v>
      </c>
      <c r="E203" s="17" t="s">
        <v>424</v>
      </c>
      <c r="F203" s="14">
        <v>20444</v>
      </c>
      <c r="G203" s="14">
        <v>226</v>
      </c>
      <c r="H203" s="14"/>
      <c r="I203" s="14">
        <v>992</v>
      </c>
      <c r="J203" s="14">
        <v>0</v>
      </c>
      <c r="K203" s="14">
        <v>21662</v>
      </c>
      <c r="L203" s="14">
        <v>72963</v>
      </c>
      <c r="M203" s="15">
        <v>0.29689020462426163</v>
      </c>
      <c r="N203" s="14">
        <v>21662</v>
      </c>
      <c r="O203" s="14">
        <v>21662</v>
      </c>
      <c r="P203" s="14">
        <v>21662</v>
      </c>
      <c r="Q203" s="13">
        <v>48753</v>
      </c>
      <c r="R203" s="13">
        <v>62234.875</v>
      </c>
      <c r="S203" s="47">
        <f>VLOOKUP(D203,'Original Title I &amp; II'!B:B,1,FALSE)</f>
        <v>408800</v>
      </c>
    </row>
    <row r="204" spans="1:19" x14ac:dyDescent="0.3">
      <c r="A204" s="17">
        <v>1</v>
      </c>
      <c r="B204" s="17">
        <v>4</v>
      </c>
      <c r="C204" s="17" t="s">
        <v>572</v>
      </c>
      <c r="D204" s="16">
        <v>408820</v>
      </c>
      <c r="E204" s="17" t="s">
        <v>426</v>
      </c>
      <c r="F204" s="14">
        <v>705</v>
      </c>
      <c r="G204" s="14">
        <v>0</v>
      </c>
      <c r="H204" s="14"/>
      <c r="I204" s="14">
        <v>32</v>
      </c>
      <c r="J204" s="14">
        <v>0</v>
      </c>
      <c r="K204" s="14">
        <v>737</v>
      </c>
      <c r="L204" s="14">
        <v>2802</v>
      </c>
      <c r="M204" s="15">
        <v>0.26302640970735192</v>
      </c>
      <c r="N204" s="14">
        <v>737</v>
      </c>
      <c r="O204" s="14">
        <v>737</v>
      </c>
      <c r="P204" s="14">
        <v>737</v>
      </c>
      <c r="Q204" s="13">
        <v>1050.4446500000001</v>
      </c>
      <c r="R204" s="13">
        <v>1063.4409000000001</v>
      </c>
      <c r="S204" s="47">
        <f>VLOOKUP(D204,'Original Title I &amp; II'!B:B,1,FALSE)</f>
        <v>408820</v>
      </c>
    </row>
    <row r="205" spans="1:19" x14ac:dyDescent="0.3">
      <c r="A205" s="17">
        <v>1</v>
      </c>
      <c r="B205" s="17">
        <v>4</v>
      </c>
      <c r="C205" s="17" t="s">
        <v>572</v>
      </c>
      <c r="D205" s="16">
        <v>408850</v>
      </c>
      <c r="E205" s="17" t="s">
        <v>427</v>
      </c>
      <c r="F205" s="14">
        <v>816</v>
      </c>
      <c r="G205" s="14">
        <v>0</v>
      </c>
      <c r="H205" s="14"/>
      <c r="I205" s="14">
        <v>40</v>
      </c>
      <c r="J205" s="14">
        <v>0</v>
      </c>
      <c r="K205" s="14">
        <v>856</v>
      </c>
      <c r="L205" s="14">
        <v>11003</v>
      </c>
      <c r="M205" s="15">
        <v>7.779696446423702E-2</v>
      </c>
      <c r="N205" s="14">
        <v>856</v>
      </c>
      <c r="O205" s="14">
        <v>0</v>
      </c>
      <c r="P205" s="14">
        <v>856</v>
      </c>
      <c r="Q205" s="13">
        <v>938.5</v>
      </c>
      <c r="R205" s="13">
        <v>938.5</v>
      </c>
      <c r="S205" s="47">
        <f>VLOOKUP(D205,'Original Title I &amp; II'!B:B,1,FALSE)</f>
        <v>408850</v>
      </c>
    </row>
    <row r="206" spans="1:19" x14ac:dyDescent="0.3">
      <c r="A206" s="17">
        <v>1</v>
      </c>
      <c r="B206" s="17">
        <v>4</v>
      </c>
      <c r="C206" s="17" t="s">
        <v>572</v>
      </c>
      <c r="D206" s="16">
        <v>408880</v>
      </c>
      <c r="E206" s="17" t="s">
        <v>464</v>
      </c>
      <c r="F206" s="14">
        <v>10</v>
      </c>
      <c r="G206" s="14">
        <v>0</v>
      </c>
      <c r="H206" s="14"/>
      <c r="I206" s="14">
        <v>0</v>
      </c>
      <c r="J206" s="14">
        <v>0</v>
      </c>
      <c r="K206" s="14">
        <v>10</v>
      </c>
      <c r="L206" s="14">
        <v>39</v>
      </c>
      <c r="M206" s="15">
        <v>0.25641025641025639</v>
      </c>
      <c r="N206" s="14">
        <v>10</v>
      </c>
      <c r="O206" s="14">
        <v>10</v>
      </c>
      <c r="P206" s="14">
        <v>10</v>
      </c>
      <c r="Q206" s="13">
        <v>13.975674999999997</v>
      </c>
      <c r="R206" s="13">
        <v>14.027549999999998</v>
      </c>
      <c r="S206" s="47">
        <f>VLOOKUP(D206,'Original Title I &amp; II'!B:B,1,FALSE)</f>
        <v>408880</v>
      </c>
    </row>
    <row r="207" spans="1:19" x14ac:dyDescent="0.3">
      <c r="A207" s="17">
        <v>1</v>
      </c>
      <c r="B207" s="17">
        <v>4</v>
      </c>
      <c r="C207" s="17" t="s">
        <v>572</v>
      </c>
      <c r="D207" s="16">
        <v>408910</v>
      </c>
      <c r="E207" s="17" t="s">
        <v>428</v>
      </c>
      <c r="F207" s="14">
        <v>43</v>
      </c>
      <c r="G207" s="14">
        <v>0</v>
      </c>
      <c r="H207" s="14"/>
      <c r="I207" s="14">
        <v>1</v>
      </c>
      <c r="J207" s="14">
        <v>0</v>
      </c>
      <c r="K207" s="14">
        <v>44</v>
      </c>
      <c r="L207" s="14">
        <v>174</v>
      </c>
      <c r="M207" s="15">
        <v>0.25287356321839083</v>
      </c>
      <c r="N207" s="14">
        <v>44</v>
      </c>
      <c r="O207" s="14">
        <v>44</v>
      </c>
      <c r="P207" s="14">
        <v>44</v>
      </c>
      <c r="Q207" s="13">
        <v>60.814550000000011</v>
      </c>
      <c r="R207" s="13">
        <v>60.73830000000001</v>
      </c>
      <c r="S207" s="47">
        <f>VLOOKUP(D207,'Original Title I &amp; II'!B:B,1,FALSE)</f>
        <v>408910</v>
      </c>
    </row>
    <row r="208" spans="1:19" x14ac:dyDescent="0.3">
      <c r="A208" s="17">
        <v>1</v>
      </c>
      <c r="B208" s="17">
        <v>4</v>
      </c>
      <c r="C208" s="17" t="s">
        <v>572</v>
      </c>
      <c r="D208" s="16">
        <v>400022</v>
      </c>
      <c r="E208" s="17" t="s">
        <v>430</v>
      </c>
      <c r="F208" s="14">
        <v>89</v>
      </c>
      <c r="G208" s="14">
        <v>0</v>
      </c>
      <c r="H208" s="14"/>
      <c r="I208" s="14">
        <v>1</v>
      </c>
      <c r="J208" s="14">
        <v>0</v>
      </c>
      <c r="K208" s="14">
        <v>90</v>
      </c>
      <c r="L208" s="14">
        <v>275</v>
      </c>
      <c r="M208" s="15">
        <v>0.32727272727272727</v>
      </c>
      <c r="N208" s="14">
        <v>90</v>
      </c>
      <c r="O208" s="14">
        <v>90</v>
      </c>
      <c r="P208" s="14">
        <v>90</v>
      </c>
      <c r="Q208" s="13">
        <v>152.55937500000002</v>
      </c>
      <c r="R208" s="13">
        <v>167.96375000000003</v>
      </c>
      <c r="S208" s="47">
        <f>VLOOKUP(D208,'Original Title I &amp; II'!B:B,1,FALSE)</f>
        <v>400022</v>
      </c>
    </row>
    <row r="209" spans="1:19" x14ac:dyDescent="0.3">
      <c r="A209" s="17">
        <v>1</v>
      </c>
      <c r="B209" s="17">
        <v>4</v>
      </c>
      <c r="C209" s="17" t="s">
        <v>572</v>
      </c>
      <c r="D209" s="16">
        <v>409030</v>
      </c>
      <c r="E209" s="172" t="s">
        <v>459</v>
      </c>
      <c r="F209" s="14">
        <v>0</v>
      </c>
      <c r="G209" s="14">
        <v>0</v>
      </c>
      <c r="H209" s="14"/>
      <c r="I209" s="14">
        <v>0</v>
      </c>
      <c r="J209" s="14">
        <v>0</v>
      </c>
      <c r="K209" s="14">
        <v>0</v>
      </c>
      <c r="L209" s="14">
        <v>1</v>
      </c>
      <c r="M209" s="15">
        <v>0</v>
      </c>
      <c r="N209" s="14">
        <v>0</v>
      </c>
      <c r="O209" s="14">
        <v>0</v>
      </c>
      <c r="P209" s="14">
        <v>0</v>
      </c>
      <c r="Q209" s="13">
        <v>0</v>
      </c>
      <c r="R209" s="13">
        <v>0</v>
      </c>
      <c r="S209" s="47">
        <f>VLOOKUP(D209,'Original Title I &amp; II'!B:B,1,FALSE)</f>
        <v>409030</v>
      </c>
    </row>
    <row r="210" spans="1:19" x14ac:dyDescent="0.3">
      <c r="A210" s="17">
        <v>1</v>
      </c>
      <c r="B210" s="17">
        <v>4</v>
      </c>
      <c r="C210" s="17" t="s">
        <v>572</v>
      </c>
      <c r="D210" s="16">
        <v>409060</v>
      </c>
      <c r="E210" s="17" t="s">
        <v>582</v>
      </c>
      <c r="F210" s="14">
        <v>9485</v>
      </c>
      <c r="G210" s="14">
        <v>70</v>
      </c>
      <c r="H210" s="14"/>
      <c r="I210" s="14">
        <v>429</v>
      </c>
      <c r="J210" s="14">
        <v>0</v>
      </c>
      <c r="K210" s="14">
        <v>9984</v>
      </c>
      <c r="L210" s="14">
        <v>28672</v>
      </c>
      <c r="M210" s="15">
        <v>0.3482142857142857</v>
      </c>
      <c r="N210" s="14">
        <v>9984</v>
      </c>
      <c r="O210" s="14">
        <v>9984</v>
      </c>
      <c r="P210" s="14">
        <v>9984</v>
      </c>
      <c r="Q210" s="13">
        <v>19558</v>
      </c>
      <c r="R210" s="13">
        <v>22821.625</v>
      </c>
      <c r="S210" s="47">
        <f>VLOOKUP(D210,'Original Title I &amp; II'!B:B,1,FALSE)</f>
        <v>409060</v>
      </c>
    </row>
    <row r="211" spans="1:19" x14ac:dyDescent="0.3">
      <c r="A211" s="17">
        <v>1</v>
      </c>
      <c r="B211" s="17">
        <v>4</v>
      </c>
      <c r="C211" s="17" t="s">
        <v>572</v>
      </c>
      <c r="D211" s="16">
        <v>409090</v>
      </c>
      <c r="E211" s="17" t="s">
        <v>434</v>
      </c>
      <c r="F211" s="14">
        <v>104</v>
      </c>
      <c r="G211" s="14">
        <v>0</v>
      </c>
      <c r="H211" s="14"/>
      <c r="I211" s="14">
        <v>2</v>
      </c>
      <c r="J211" s="14">
        <v>0</v>
      </c>
      <c r="K211" s="14">
        <v>106</v>
      </c>
      <c r="L211" s="14">
        <v>353</v>
      </c>
      <c r="M211" s="15">
        <v>0.3002832861189802</v>
      </c>
      <c r="N211" s="14">
        <v>106</v>
      </c>
      <c r="O211" s="14">
        <v>106</v>
      </c>
      <c r="P211" s="14">
        <v>106</v>
      </c>
      <c r="Q211" s="13">
        <v>165.21572500000002</v>
      </c>
      <c r="R211" s="13">
        <v>173.42885000000001</v>
      </c>
      <c r="S211" s="47">
        <f>VLOOKUP(D211,'Original Title I &amp; II'!B:B,1,FALSE)</f>
        <v>409090</v>
      </c>
    </row>
    <row r="212" spans="1:19" x14ac:dyDescent="0.3">
      <c r="A212" s="17">
        <v>1</v>
      </c>
      <c r="B212" s="17">
        <v>4</v>
      </c>
      <c r="C212" s="17" t="s">
        <v>572</v>
      </c>
      <c r="D212" s="16">
        <v>409120</v>
      </c>
      <c r="E212" s="17" t="s">
        <v>435</v>
      </c>
      <c r="F212" s="14">
        <v>42</v>
      </c>
      <c r="G212" s="14">
        <v>0</v>
      </c>
      <c r="H212" s="14"/>
      <c r="I212" s="14">
        <v>2</v>
      </c>
      <c r="J212" s="14">
        <v>0</v>
      </c>
      <c r="K212" s="14">
        <v>44</v>
      </c>
      <c r="L212" s="14">
        <v>104</v>
      </c>
      <c r="M212" s="15">
        <v>0.42307692307692307</v>
      </c>
      <c r="N212" s="14">
        <v>44</v>
      </c>
      <c r="O212" s="14">
        <v>44</v>
      </c>
      <c r="P212" s="14">
        <v>44</v>
      </c>
      <c r="Q212" s="13">
        <v>93.249799999999993</v>
      </c>
      <c r="R212" s="13">
        <v>114.70280000000001</v>
      </c>
      <c r="S212" s="47">
        <f>VLOOKUP(D212,'Original Title I &amp; II'!B:B,1,FALSE)</f>
        <v>409120</v>
      </c>
    </row>
    <row r="213" spans="1:19" x14ac:dyDescent="0.3">
      <c r="A213" s="17">
        <v>1</v>
      </c>
      <c r="B213" s="17">
        <v>4</v>
      </c>
      <c r="C213" s="17" t="s">
        <v>572</v>
      </c>
      <c r="D213" s="16">
        <v>409160</v>
      </c>
      <c r="E213" s="17" t="s">
        <v>441</v>
      </c>
      <c r="F213" s="14">
        <v>1043</v>
      </c>
      <c r="G213" s="14">
        <v>0</v>
      </c>
      <c r="H213" s="14"/>
      <c r="I213" s="14">
        <v>14</v>
      </c>
      <c r="J213" s="14">
        <v>0</v>
      </c>
      <c r="K213" s="14">
        <v>1057</v>
      </c>
      <c r="L213" s="14">
        <v>2712</v>
      </c>
      <c r="M213" s="15">
        <v>0.38974926253687314</v>
      </c>
      <c r="N213" s="14">
        <v>1057</v>
      </c>
      <c r="O213" s="14">
        <v>1057</v>
      </c>
      <c r="P213" s="14">
        <v>1057</v>
      </c>
      <c r="Q213" s="13">
        <v>2070.1293999999994</v>
      </c>
      <c r="R213" s="13">
        <v>2448.7883999999999</v>
      </c>
      <c r="S213" s="47">
        <f>VLOOKUP(D213,'Original Title I &amp; II'!B:B,1,FALSE)</f>
        <v>409160</v>
      </c>
    </row>
    <row r="214" spans="1:19" x14ac:dyDescent="0.3">
      <c r="A214" s="17">
        <v>1</v>
      </c>
      <c r="B214" s="17">
        <v>4</v>
      </c>
      <c r="C214" s="17" t="s">
        <v>572</v>
      </c>
      <c r="D214" s="16">
        <v>409190</v>
      </c>
      <c r="E214" s="17" t="s">
        <v>442</v>
      </c>
      <c r="F214" s="14">
        <v>370</v>
      </c>
      <c r="G214" s="14">
        <v>0</v>
      </c>
      <c r="H214" s="14"/>
      <c r="I214" s="14">
        <v>16</v>
      </c>
      <c r="J214" s="14">
        <v>0</v>
      </c>
      <c r="K214" s="14">
        <v>386</v>
      </c>
      <c r="L214" s="14">
        <v>1402</v>
      </c>
      <c r="M214" s="15">
        <v>0.27532097004279599</v>
      </c>
      <c r="N214" s="14">
        <v>386</v>
      </c>
      <c r="O214" s="14">
        <v>386</v>
      </c>
      <c r="P214" s="14">
        <v>386</v>
      </c>
      <c r="Q214" s="13">
        <v>568.68964999999992</v>
      </c>
      <c r="R214" s="13">
        <v>583.81089999999995</v>
      </c>
      <c r="S214" s="47">
        <f>VLOOKUP(D214,'Original Title I &amp; II'!B:B,1,FALSE)</f>
        <v>409190</v>
      </c>
    </row>
    <row r="215" spans="1:19" x14ac:dyDescent="0.3">
      <c r="A215" s="17">
        <v>1</v>
      </c>
      <c r="B215" s="17">
        <v>4</v>
      </c>
      <c r="C215" s="17" t="s">
        <v>572</v>
      </c>
      <c r="D215" s="16">
        <v>409250</v>
      </c>
      <c r="E215" s="17" t="s">
        <v>443</v>
      </c>
      <c r="F215" s="14">
        <v>334</v>
      </c>
      <c r="G215" s="14">
        <v>0</v>
      </c>
      <c r="H215" s="14"/>
      <c r="I215" s="14">
        <v>9</v>
      </c>
      <c r="J215" s="14">
        <v>0</v>
      </c>
      <c r="K215" s="14">
        <v>343</v>
      </c>
      <c r="L215" s="14">
        <v>1495</v>
      </c>
      <c r="M215" s="15">
        <v>0.2294314381270903</v>
      </c>
      <c r="N215" s="14">
        <v>343</v>
      </c>
      <c r="O215" s="14">
        <v>343</v>
      </c>
      <c r="P215" s="14">
        <v>343</v>
      </c>
      <c r="Q215" s="13">
        <v>434.90087499999987</v>
      </c>
      <c r="R215" s="13">
        <v>416.72274999999985</v>
      </c>
      <c r="S215" s="47">
        <f>VLOOKUP(D215,'Original Title I &amp; II'!B:B,1,FALSE)</f>
        <v>409250</v>
      </c>
    </row>
    <row r="216" spans="1:19" x14ac:dyDescent="0.3">
      <c r="A216" s="17">
        <v>1</v>
      </c>
      <c r="B216" s="17">
        <v>4</v>
      </c>
      <c r="C216" s="17" t="s">
        <v>572</v>
      </c>
      <c r="D216" s="16">
        <v>409310</v>
      </c>
      <c r="E216" s="17" t="s">
        <v>444</v>
      </c>
      <c r="F216" s="14">
        <v>260</v>
      </c>
      <c r="G216" s="14">
        <v>0</v>
      </c>
      <c r="H216" s="14"/>
      <c r="I216" s="14">
        <v>4</v>
      </c>
      <c r="J216" s="14">
        <v>0</v>
      </c>
      <c r="K216" s="14">
        <v>264</v>
      </c>
      <c r="L216" s="14">
        <v>899</v>
      </c>
      <c r="M216" s="15">
        <v>0.29365962180200222</v>
      </c>
      <c r="N216" s="14">
        <v>264</v>
      </c>
      <c r="O216" s="14">
        <v>264</v>
      </c>
      <c r="P216" s="14">
        <v>264</v>
      </c>
      <c r="Q216" s="13">
        <v>405.87517500000001</v>
      </c>
      <c r="R216" s="13">
        <v>423.81455000000005</v>
      </c>
      <c r="S216" s="47">
        <f>VLOOKUP(D216,'Original Title I &amp; II'!B:B,1,FALSE)</f>
        <v>409310</v>
      </c>
    </row>
    <row r="217" spans="1:19" x14ac:dyDescent="0.3">
      <c r="A217" s="17">
        <v>1</v>
      </c>
      <c r="B217" s="17">
        <v>4</v>
      </c>
      <c r="C217" s="17" t="s">
        <v>572</v>
      </c>
      <c r="D217" s="16">
        <v>409360</v>
      </c>
      <c r="E217" s="17" t="s">
        <v>456</v>
      </c>
      <c r="F217" s="14">
        <v>11</v>
      </c>
      <c r="G217" s="14">
        <v>0</v>
      </c>
      <c r="H217" s="14"/>
      <c r="I217" s="14">
        <v>1</v>
      </c>
      <c r="J217" s="14">
        <v>0</v>
      </c>
      <c r="K217" s="14">
        <v>12</v>
      </c>
      <c r="L217" s="14">
        <v>59</v>
      </c>
      <c r="M217" s="15">
        <v>0.20338983050847459</v>
      </c>
      <c r="N217" s="14">
        <v>12</v>
      </c>
      <c r="O217" s="14">
        <v>12</v>
      </c>
      <c r="P217" s="14">
        <v>12</v>
      </c>
      <c r="Q217" s="13">
        <v>14.105850000000002</v>
      </c>
      <c r="R217" s="13">
        <v>13.403900000000002</v>
      </c>
      <c r="S217" s="47">
        <f>VLOOKUP(D217,'Original Title I &amp; II'!B:B,1,FALSE)</f>
        <v>409360</v>
      </c>
    </row>
    <row r="218" spans="1:19" x14ac:dyDescent="0.3">
      <c r="A218" s="17">
        <v>1</v>
      </c>
      <c r="B218" s="17">
        <v>4</v>
      </c>
      <c r="C218" s="17" t="s">
        <v>572</v>
      </c>
      <c r="D218" s="16">
        <v>409390</v>
      </c>
      <c r="E218" s="17" t="s">
        <v>445</v>
      </c>
      <c r="F218" s="14">
        <v>350</v>
      </c>
      <c r="G218" s="14">
        <v>0</v>
      </c>
      <c r="H218" s="14"/>
      <c r="I218" s="14">
        <v>16</v>
      </c>
      <c r="J218" s="14">
        <v>0</v>
      </c>
      <c r="K218" s="14">
        <v>366</v>
      </c>
      <c r="L218" s="14">
        <v>608</v>
      </c>
      <c r="M218" s="15">
        <v>0.60197368421052633</v>
      </c>
      <c r="N218" s="14">
        <v>366</v>
      </c>
      <c r="O218" s="14">
        <v>366</v>
      </c>
      <c r="P218" s="14">
        <v>366</v>
      </c>
      <c r="Q218" s="13">
        <v>980.2296</v>
      </c>
      <c r="R218" s="13">
        <v>1323.1856</v>
      </c>
      <c r="S218" s="47">
        <f>VLOOKUP(D218,'Original Title I &amp; II'!B:B,1,FALSE)</f>
        <v>409390</v>
      </c>
    </row>
    <row r="219" spans="1:19" x14ac:dyDescent="0.3">
      <c r="A219" s="17">
        <v>1</v>
      </c>
      <c r="B219" s="17">
        <v>4</v>
      </c>
      <c r="C219" s="17" t="s">
        <v>572</v>
      </c>
      <c r="D219" s="16">
        <v>409430</v>
      </c>
      <c r="E219" s="17" t="s">
        <v>446</v>
      </c>
      <c r="F219" s="14">
        <v>941</v>
      </c>
      <c r="G219" s="14">
        <v>18</v>
      </c>
      <c r="H219" s="14"/>
      <c r="I219" s="14">
        <v>6</v>
      </c>
      <c r="J219" s="14">
        <v>0</v>
      </c>
      <c r="K219" s="14">
        <v>965</v>
      </c>
      <c r="L219" s="14">
        <v>2567</v>
      </c>
      <c r="M219" s="15">
        <v>0.37592520451889366</v>
      </c>
      <c r="N219" s="14">
        <v>965</v>
      </c>
      <c r="O219" s="14">
        <v>965</v>
      </c>
      <c r="P219" s="14">
        <v>965</v>
      </c>
      <c r="Q219" s="13">
        <v>1829.9678750000003</v>
      </c>
      <c r="R219" s="13">
        <v>2129.8743500000005</v>
      </c>
      <c r="S219" s="47">
        <f>VLOOKUP(D219,'Original Title I &amp; II'!B:B,1,FALSE)</f>
        <v>409430</v>
      </c>
    </row>
    <row r="220" spans="1:19" x14ac:dyDescent="0.3">
      <c r="A220" s="17">
        <v>1</v>
      </c>
      <c r="B220" s="17">
        <v>4</v>
      </c>
      <c r="C220" s="17" t="s">
        <v>572</v>
      </c>
      <c r="D220" s="16">
        <v>409460</v>
      </c>
      <c r="E220" s="17" t="s">
        <v>447</v>
      </c>
      <c r="F220" s="14">
        <v>710</v>
      </c>
      <c r="G220" s="14">
        <v>0</v>
      </c>
      <c r="H220" s="14"/>
      <c r="I220" s="14">
        <v>10</v>
      </c>
      <c r="J220" s="14">
        <v>0</v>
      </c>
      <c r="K220" s="14">
        <v>720</v>
      </c>
      <c r="L220" s="14">
        <v>2196</v>
      </c>
      <c r="M220" s="15">
        <v>0.32786885245901637</v>
      </c>
      <c r="N220" s="14">
        <v>720</v>
      </c>
      <c r="O220" s="14">
        <v>720</v>
      </c>
      <c r="P220" s="14">
        <v>720</v>
      </c>
      <c r="Q220" s="13">
        <v>1222.5105000000001</v>
      </c>
      <c r="R220" s="13">
        <v>1347.1578</v>
      </c>
      <c r="S220" s="47">
        <f>VLOOKUP(D220,'Original Title I &amp; II'!B:B,1,FALSE)</f>
        <v>409460</v>
      </c>
    </row>
    <row r="221" spans="1:19" x14ac:dyDescent="0.3">
      <c r="A221" s="17">
        <v>1</v>
      </c>
      <c r="B221" s="17">
        <v>4</v>
      </c>
      <c r="C221" s="17" t="s">
        <v>572</v>
      </c>
      <c r="D221" s="16">
        <v>409510</v>
      </c>
      <c r="E221" s="17" t="s">
        <v>448</v>
      </c>
      <c r="F221" s="14">
        <v>20</v>
      </c>
      <c r="G221" s="14">
        <v>0</v>
      </c>
      <c r="H221" s="14"/>
      <c r="I221" s="14">
        <v>1</v>
      </c>
      <c r="J221" s="14">
        <v>0</v>
      </c>
      <c r="K221" s="14">
        <v>21</v>
      </c>
      <c r="L221" s="14">
        <v>67</v>
      </c>
      <c r="M221" s="15">
        <v>0.31343283582089554</v>
      </c>
      <c r="N221" s="14">
        <v>21</v>
      </c>
      <c r="O221" s="14">
        <v>21</v>
      </c>
      <c r="P221" s="14">
        <v>21</v>
      </c>
      <c r="Q221" s="13">
        <v>34.155375000000014</v>
      </c>
      <c r="R221" s="13">
        <v>36.749350000000014</v>
      </c>
      <c r="S221" s="47">
        <f>VLOOKUP(D221,'Original Title I &amp; II'!B:B,1,FALSE)</f>
        <v>409510</v>
      </c>
    </row>
    <row r="222" spans="1:19" x14ac:dyDescent="0.3">
      <c r="A222" s="17">
        <v>1</v>
      </c>
      <c r="B222" s="17">
        <v>4</v>
      </c>
      <c r="C222" s="17" t="s">
        <v>572</v>
      </c>
      <c r="D222" s="16">
        <v>409540</v>
      </c>
      <c r="E222" s="17" t="s">
        <v>581</v>
      </c>
      <c r="F222" s="14">
        <v>24</v>
      </c>
      <c r="G222" s="14">
        <v>0</v>
      </c>
      <c r="H222" s="14"/>
      <c r="I222" s="14">
        <v>1</v>
      </c>
      <c r="J222" s="14">
        <v>0</v>
      </c>
      <c r="K222" s="14">
        <v>25</v>
      </c>
      <c r="L222" s="14">
        <v>95</v>
      </c>
      <c r="M222" s="15">
        <v>0.26315789473684209</v>
      </c>
      <c r="N222" s="14">
        <v>25</v>
      </c>
      <c r="O222" s="14">
        <v>25</v>
      </c>
      <c r="P222" s="14">
        <v>25</v>
      </c>
      <c r="Q222" s="13">
        <v>35.645874999999997</v>
      </c>
      <c r="R222" s="13">
        <v>36.092750000000002</v>
      </c>
      <c r="S222" s="47">
        <f>VLOOKUP(D222,'Original Title I &amp; II'!B:B,1,FALSE)</f>
        <v>409540</v>
      </c>
    </row>
    <row r="223" spans="1:19" x14ac:dyDescent="0.3">
      <c r="A223" s="17">
        <v>1</v>
      </c>
      <c r="B223" s="17">
        <v>4</v>
      </c>
      <c r="C223" s="17" t="s">
        <v>572</v>
      </c>
      <c r="D223" s="16">
        <v>409570</v>
      </c>
      <c r="E223" s="17" t="s">
        <v>451</v>
      </c>
      <c r="F223" s="14">
        <v>10</v>
      </c>
      <c r="G223" s="14">
        <v>0</v>
      </c>
      <c r="H223" s="14"/>
      <c r="I223" s="14">
        <v>0</v>
      </c>
      <c r="J223" s="14">
        <v>0</v>
      </c>
      <c r="K223" s="14">
        <v>10</v>
      </c>
      <c r="L223" s="14">
        <v>49</v>
      </c>
      <c r="M223" s="15">
        <v>0.20408163265306123</v>
      </c>
      <c r="N223" s="14">
        <v>10</v>
      </c>
      <c r="O223" s="14">
        <v>10</v>
      </c>
      <c r="P223" s="14">
        <v>10</v>
      </c>
      <c r="Q223" s="13">
        <v>11.774350000000002</v>
      </c>
      <c r="R223" s="13">
        <v>11.1829</v>
      </c>
      <c r="S223" s="47">
        <f>VLOOKUP(D223,'Original Title I &amp; II'!B:B,1,FALSE)</f>
        <v>409570</v>
      </c>
    </row>
    <row r="224" spans="1:19" x14ac:dyDescent="0.3">
      <c r="A224" s="17">
        <v>1</v>
      </c>
      <c r="B224" s="17">
        <v>4</v>
      </c>
      <c r="C224" s="17" t="s">
        <v>572</v>
      </c>
      <c r="D224" s="16">
        <v>409600</v>
      </c>
      <c r="E224" s="17" t="s">
        <v>452</v>
      </c>
      <c r="F224" s="14">
        <v>2428</v>
      </c>
      <c r="G224" s="14">
        <v>0</v>
      </c>
      <c r="H224" s="14"/>
      <c r="I224" s="14">
        <v>46</v>
      </c>
      <c r="J224" s="14">
        <v>0</v>
      </c>
      <c r="K224" s="14">
        <v>2474</v>
      </c>
      <c r="L224" s="14">
        <v>10809</v>
      </c>
      <c r="M224" s="15">
        <v>0.22888333795910815</v>
      </c>
      <c r="N224" s="14">
        <v>2474</v>
      </c>
      <c r="O224" s="14">
        <v>2474</v>
      </c>
      <c r="P224" s="14">
        <v>2474</v>
      </c>
      <c r="Q224" s="13">
        <v>3471.5</v>
      </c>
      <c r="R224" s="13">
        <v>3524.5</v>
      </c>
      <c r="S224" s="47">
        <f>VLOOKUP(D224,'Original Title I &amp; II'!B:B,1,FALSE)</f>
        <v>409600</v>
      </c>
    </row>
    <row r="225" spans="1:19" x14ac:dyDescent="0.3">
      <c r="A225" s="17">
        <v>1</v>
      </c>
      <c r="B225" s="17">
        <v>4</v>
      </c>
      <c r="C225" s="17" t="s">
        <v>572</v>
      </c>
      <c r="D225" s="16">
        <v>409630</v>
      </c>
      <c r="E225" s="17" t="s">
        <v>453</v>
      </c>
      <c r="F225" s="14">
        <v>3738</v>
      </c>
      <c r="G225" s="14">
        <v>50</v>
      </c>
      <c r="H225" s="14"/>
      <c r="I225" s="14">
        <v>70</v>
      </c>
      <c r="J225" s="14">
        <v>0</v>
      </c>
      <c r="K225" s="14">
        <v>3858</v>
      </c>
      <c r="L225" s="14">
        <v>11974</v>
      </c>
      <c r="M225" s="15">
        <v>0.32219809587439452</v>
      </c>
      <c r="N225" s="14">
        <v>3858</v>
      </c>
      <c r="O225" s="14">
        <v>3858</v>
      </c>
      <c r="P225" s="14">
        <v>3858</v>
      </c>
      <c r="Q225" s="13">
        <v>6445.2307499999997</v>
      </c>
      <c r="R225" s="13">
        <v>7040.0107000000007</v>
      </c>
      <c r="S225" s="47">
        <f>VLOOKUP(D225,'Original Title I &amp; II'!B:B,1,FALSE)</f>
        <v>409630</v>
      </c>
    </row>
    <row r="226" spans="1:19" x14ac:dyDescent="0.3">
      <c r="A226" s="17">
        <v>2</v>
      </c>
      <c r="B226" s="17">
        <v>4</v>
      </c>
      <c r="C226" s="17" t="s">
        <v>572</v>
      </c>
      <c r="D226" s="16">
        <v>481003</v>
      </c>
      <c r="E226" s="17" t="s">
        <v>580</v>
      </c>
      <c r="F226" s="14">
        <v>1</v>
      </c>
      <c r="G226" s="14">
        <v>0</v>
      </c>
      <c r="H226" s="14"/>
      <c r="I226" s="14">
        <v>0</v>
      </c>
      <c r="J226" s="14">
        <v>0</v>
      </c>
      <c r="K226" s="14">
        <v>1</v>
      </c>
      <c r="L226" s="14">
        <v>5</v>
      </c>
      <c r="M226" s="15">
        <v>0.2</v>
      </c>
      <c r="N226" s="14">
        <v>0</v>
      </c>
      <c r="O226" s="14">
        <v>0</v>
      </c>
      <c r="P226" s="14">
        <v>0</v>
      </c>
      <c r="Q226" s="13">
        <v>0</v>
      </c>
      <c r="R226" s="13">
        <v>0</v>
      </c>
      <c r="S226" s="47">
        <f>VLOOKUP(D226,'Original Title I &amp; II'!B:B,1,FALSE)</f>
        <v>481003</v>
      </c>
    </row>
    <row r="227" spans="1:19" x14ac:dyDescent="0.3">
      <c r="A227" s="17">
        <v>2</v>
      </c>
      <c r="B227" s="17">
        <v>4</v>
      </c>
      <c r="C227" s="17" t="s">
        <v>572</v>
      </c>
      <c r="D227" s="16">
        <v>481005</v>
      </c>
      <c r="E227" s="17" t="s">
        <v>579</v>
      </c>
      <c r="F227" s="14">
        <v>20</v>
      </c>
      <c r="G227" s="14">
        <v>0</v>
      </c>
      <c r="H227" s="14"/>
      <c r="I227" s="14">
        <v>0</v>
      </c>
      <c r="J227" s="14">
        <v>0</v>
      </c>
      <c r="K227" s="14">
        <v>20</v>
      </c>
      <c r="L227" s="14">
        <v>91</v>
      </c>
      <c r="M227" s="15">
        <v>0.21978021978021978</v>
      </c>
      <c r="N227" s="14">
        <v>20</v>
      </c>
      <c r="O227" s="14">
        <v>20</v>
      </c>
      <c r="P227" s="14">
        <v>20</v>
      </c>
      <c r="Q227" s="13">
        <v>24.36665</v>
      </c>
      <c r="R227" s="13">
        <v>22.911099999999998</v>
      </c>
      <c r="S227" s="47">
        <f>VLOOKUP(D227,'Original Title I &amp; II'!B:B,1,FALSE)</f>
        <v>481005</v>
      </c>
    </row>
    <row r="228" spans="1:19" x14ac:dyDescent="0.3">
      <c r="A228" s="17">
        <v>2</v>
      </c>
      <c r="B228" s="17">
        <v>4</v>
      </c>
      <c r="C228" s="17" t="s">
        <v>572</v>
      </c>
      <c r="D228" s="16">
        <v>481007</v>
      </c>
      <c r="E228" s="17" t="s">
        <v>578</v>
      </c>
      <c r="F228" s="14">
        <v>129</v>
      </c>
      <c r="G228" s="14">
        <v>0</v>
      </c>
      <c r="H228" s="14"/>
      <c r="I228" s="14">
        <v>4</v>
      </c>
      <c r="J228" s="14">
        <v>0</v>
      </c>
      <c r="K228" s="14">
        <v>133</v>
      </c>
      <c r="L228" s="14">
        <v>354</v>
      </c>
      <c r="M228" s="15">
        <v>0.37570621468926552</v>
      </c>
      <c r="N228" s="14">
        <v>133</v>
      </c>
      <c r="O228" s="14">
        <v>133</v>
      </c>
      <c r="P228" s="14">
        <v>133</v>
      </c>
      <c r="Q228" s="13">
        <v>252.10824999999997</v>
      </c>
      <c r="R228" s="13">
        <v>293.36969999999997</v>
      </c>
      <c r="S228" s="47">
        <f>VLOOKUP(D228,'Original Title I &amp; II'!B:B,1,FALSE)</f>
        <v>481007</v>
      </c>
    </row>
    <row r="229" spans="1:19" x14ac:dyDescent="0.3">
      <c r="A229" s="17">
        <v>2</v>
      </c>
      <c r="B229" s="17">
        <v>4</v>
      </c>
      <c r="C229" s="17" t="s">
        <v>572</v>
      </c>
      <c r="D229" s="16">
        <v>481013</v>
      </c>
      <c r="E229" s="17" t="s">
        <v>577</v>
      </c>
      <c r="F229" s="14">
        <v>341</v>
      </c>
      <c r="G229" s="14">
        <v>0</v>
      </c>
      <c r="H229" s="14"/>
      <c r="I229" s="14">
        <v>15</v>
      </c>
      <c r="J229" s="14">
        <v>0</v>
      </c>
      <c r="K229" s="14">
        <v>356</v>
      </c>
      <c r="L229" s="14">
        <v>1497</v>
      </c>
      <c r="M229" s="15">
        <v>0.23780895123580495</v>
      </c>
      <c r="N229" s="14">
        <v>356</v>
      </c>
      <c r="O229" s="14">
        <v>356</v>
      </c>
      <c r="P229" s="14">
        <v>356</v>
      </c>
      <c r="Q229" s="13">
        <v>466.83552500000008</v>
      </c>
      <c r="R229" s="13">
        <v>454.90365000000008</v>
      </c>
      <c r="S229" s="47">
        <f>VLOOKUP(D229,'Original Title I &amp; II'!B:B,1,FALSE)</f>
        <v>481013</v>
      </c>
    </row>
    <row r="230" spans="1:19" x14ac:dyDescent="0.3">
      <c r="A230" s="17">
        <v>2</v>
      </c>
      <c r="B230" s="17">
        <v>4</v>
      </c>
      <c r="C230" s="17" t="s">
        <v>572</v>
      </c>
      <c r="D230" s="16">
        <v>481017</v>
      </c>
      <c r="E230" s="17" t="s">
        <v>576</v>
      </c>
      <c r="F230" s="14">
        <v>47</v>
      </c>
      <c r="G230" s="14">
        <v>0</v>
      </c>
      <c r="H230" s="14"/>
      <c r="I230" s="14">
        <v>1</v>
      </c>
      <c r="J230" s="14">
        <v>0</v>
      </c>
      <c r="K230" s="14">
        <v>48</v>
      </c>
      <c r="L230" s="14">
        <v>147</v>
      </c>
      <c r="M230" s="15">
        <v>0.32653061224489793</v>
      </c>
      <c r="N230" s="14">
        <v>48</v>
      </c>
      <c r="O230" s="14">
        <v>48</v>
      </c>
      <c r="P230" s="14">
        <v>48</v>
      </c>
      <c r="Q230" s="13">
        <v>81.195375000000027</v>
      </c>
      <c r="R230" s="13">
        <v>89.293350000000032</v>
      </c>
      <c r="S230" s="47">
        <f>VLOOKUP(D230,'Original Title I &amp; II'!B:B,1,FALSE)</f>
        <v>481017</v>
      </c>
    </row>
    <row r="231" spans="1:19" x14ac:dyDescent="0.3">
      <c r="A231" s="17">
        <v>2</v>
      </c>
      <c r="B231" s="17">
        <v>4</v>
      </c>
      <c r="C231" s="17" t="s">
        <v>572</v>
      </c>
      <c r="D231" s="16">
        <v>481019</v>
      </c>
      <c r="E231" s="17" t="s">
        <v>575</v>
      </c>
      <c r="F231" s="14">
        <v>15</v>
      </c>
      <c r="G231" s="14">
        <v>0</v>
      </c>
      <c r="H231" s="14"/>
      <c r="I231" s="14">
        <v>1</v>
      </c>
      <c r="J231" s="14">
        <v>0</v>
      </c>
      <c r="K231" s="14">
        <v>16</v>
      </c>
      <c r="L231" s="14">
        <v>45</v>
      </c>
      <c r="M231" s="15">
        <v>0.35555555555555557</v>
      </c>
      <c r="N231" s="14">
        <v>16</v>
      </c>
      <c r="O231" s="14">
        <v>16</v>
      </c>
      <c r="P231" s="14">
        <v>16</v>
      </c>
      <c r="Q231" s="13">
        <v>29.100625000000001</v>
      </c>
      <c r="R231" s="13">
        <v>33.212250000000004</v>
      </c>
      <c r="S231" s="47">
        <f>VLOOKUP(D231,'Original Title I &amp; II'!B:B,1,FALSE)</f>
        <v>481019</v>
      </c>
    </row>
    <row r="232" spans="1:19" x14ac:dyDescent="0.3">
      <c r="A232" s="17">
        <v>2</v>
      </c>
      <c r="B232" s="17">
        <v>4</v>
      </c>
      <c r="C232" s="17" t="s">
        <v>572</v>
      </c>
      <c r="D232" s="16">
        <v>481023</v>
      </c>
      <c r="E232" s="17" t="s">
        <v>574</v>
      </c>
      <c r="F232" s="14">
        <v>0</v>
      </c>
      <c r="G232" s="14">
        <v>0</v>
      </c>
      <c r="H232" s="14"/>
      <c r="I232" s="14">
        <v>0</v>
      </c>
      <c r="J232" s="14">
        <v>0</v>
      </c>
      <c r="K232" s="14">
        <v>0</v>
      </c>
      <c r="L232" s="14">
        <v>0</v>
      </c>
      <c r="M232" s="15">
        <v>0</v>
      </c>
      <c r="N232" s="14">
        <v>0</v>
      </c>
      <c r="O232" s="14">
        <v>0</v>
      </c>
      <c r="P232" s="14">
        <v>0</v>
      </c>
      <c r="Q232" s="13">
        <v>0</v>
      </c>
      <c r="R232" s="13">
        <v>0</v>
      </c>
      <c r="S232" s="47">
        <f>VLOOKUP(D232,'Original Title I &amp; II'!B:B,1,FALSE)</f>
        <v>481023</v>
      </c>
    </row>
    <row r="233" spans="1:19" x14ac:dyDescent="0.3">
      <c r="A233" s="17">
        <v>3</v>
      </c>
      <c r="B233" s="17">
        <v>4</v>
      </c>
      <c r="C233" s="17" t="s">
        <v>572</v>
      </c>
      <c r="D233" s="16">
        <v>499998</v>
      </c>
      <c r="E233" s="17" t="s">
        <v>573</v>
      </c>
      <c r="F233" s="14">
        <v>0</v>
      </c>
      <c r="G233" s="14">
        <v>0</v>
      </c>
      <c r="H233" s="14"/>
      <c r="I233" s="14">
        <v>0</v>
      </c>
      <c r="J233" s="14">
        <v>0</v>
      </c>
      <c r="K233" s="14">
        <v>0</v>
      </c>
      <c r="L233" s="14">
        <v>0</v>
      </c>
      <c r="M233" s="15">
        <v>0</v>
      </c>
      <c r="N233" s="14">
        <v>0</v>
      </c>
      <c r="O233" s="14">
        <v>0</v>
      </c>
      <c r="P233" s="14">
        <v>0</v>
      </c>
      <c r="Q233" s="13">
        <v>0</v>
      </c>
      <c r="R233" s="13">
        <v>0</v>
      </c>
    </row>
    <row r="234" spans="1:19" x14ac:dyDescent="0.3">
      <c r="A234" s="17">
        <v>4</v>
      </c>
      <c r="B234" s="17">
        <v>4</v>
      </c>
      <c r="C234" s="17" t="s">
        <v>572</v>
      </c>
      <c r="D234" s="16">
        <v>499999</v>
      </c>
      <c r="E234" s="17" t="s">
        <v>571</v>
      </c>
      <c r="F234" s="14">
        <v>0</v>
      </c>
      <c r="G234" s="14">
        <v>0</v>
      </c>
      <c r="H234" s="14">
        <v>1315</v>
      </c>
      <c r="I234" s="14">
        <v>0</v>
      </c>
      <c r="J234" s="14">
        <v>0</v>
      </c>
      <c r="K234" s="14">
        <v>1315</v>
      </c>
      <c r="L234" s="14">
        <v>1315</v>
      </c>
      <c r="M234" s="15">
        <v>1</v>
      </c>
      <c r="N234" s="14">
        <v>1315</v>
      </c>
      <c r="O234" s="14">
        <v>1315</v>
      </c>
      <c r="P234" s="14">
        <v>1315</v>
      </c>
      <c r="Q234" s="13">
        <v>1627</v>
      </c>
      <c r="R234" s="13">
        <v>1627</v>
      </c>
    </row>
    <row r="235" spans="1:19" x14ac:dyDescent="0.3">
      <c r="A235" s="11"/>
      <c r="B235" s="11"/>
      <c r="C235" s="11"/>
      <c r="D235" s="12"/>
      <c r="E235" s="11"/>
      <c r="F235" s="8"/>
      <c r="G235" s="10"/>
      <c r="H235" s="10"/>
      <c r="I235" s="10"/>
      <c r="J235" s="10"/>
      <c r="K235" s="8"/>
      <c r="L235" s="8"/>
      <c r="M235" s="9"/>
      <c r="N235" s="8"/>
      <c r="O235" s="8"/>
      <c r="P235" s="8"/>
      <c r="Q235" s="7"/>
      <c r="R235" s="7"/>
    </row>
    <row r="236" spans="1:19" x14ac:dyDescent="0.3">
      <c r="E236" s="6" t="s">
        <v>570</v>
      </c>
      <c r="F236" s="5"/>
      <c r="G236" s="5"/>
      <c r="H236" s="5"/>
      <c r="I236" s="5"/>
      <c r="J236" s="5"/>
      <c r="K236" s="5">
        <f>SUM(K9:K235)</f>
        <v>293829</v>
      </c>
      <c r="L236" s="5">
        <f>SUM(L9:L235)</f>
        <v>1190804</v>
      </c>
    </row>
  </sheetData>
  <pageMargins left="0.25" right="0.25" top="0.75" bottom="0.75" header="0.3" footer="0.3"/>
  <pageSetup scale="62" fitToHeight="0" orientation="landscape" horizontalDpi="4294967294" verticalDpi="4294967294"/>
  <headerFooter>
    <oddHeader>&amp;R&amp;P</oddHead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L514"/>
  <sheetViews>
    <sheetView zoomScale="70" zoomScaleNormal="70" zoomScalePageLayoutView="70" workbookViewId="0">
      <pane xSplit="3" ySplit="4" topLeftCell="D5" activePane="bottomRight" state="frozen"/>
      <selection pane="topRight" activeCell="E1" sqref="E1"/>
      <selection pane="bottomLeft" activeCell="A3" sqref="A3"/>
      <selection pane="bottomRight" activeCell="D5" sqref="D5"/>
    </sheetView>
  </sheetViews>
  <sheetFormatPr defaultColWidth="8.77734375" defaultRowHeight="13.2" outlineLevelCol="1" x14ac:dyDescent="0.25"/>
  <cols>
    <col min="1" max="1" width="2.77734375" style="6" customWidth="1"/>
    <col min="2" max="2" width="11.77734375" style="6" customWidth="1"/>
    <col min="3" max="3" width="56.109375" style="6" customWidth="1"/>
    <col min="4" max="4" width="13.109375" style="6" customWidth="1"/>
    <col min="5" max="7" width="12" style="6" customWidth="1"/>
    <col min="8" max="8" width="13.109375" style="6" customWidth="1"/>
    <col min="9" max="12" width="8.77734375" style="6"/>
    <col min="13" max="13" width="2.33203125" style="6" customWidth="1"/>
    <col min="14" max="14" width="8.77734375" style="6"/>
    <col min="15" max="15" width="2.33203125" style="6" customWidth="1"/>
    <col min="16" max="20" width="13.44140625" style="6" customWidth="1"/>
    <col min="21" max="21" width="2.44140625" style="6" customWidth="1"/>
    <col min="22" max="26" width="13.44140625" style="6" customWidth="1"/>
    <col min="27" max="27" width="2.33203125" style="6" customWidth="1"/>
    <col min="28" max="33" width="13.109375" style="6" customWidth="1"/>
    <col min="34" max="45" width="13.109375" style="6" hidden="1" customWidth="1" outlineLevel="1"/>
    <col min="46" max="46" width="13.109375" style="6" customWidth="1" collapsed="1"/>
    <col min="47" max="49" width="13.109375" style="6" customWidth="1"/>
    <col min="50" max="50" width="3.77734375" style="6" customWidth="1"/>
    <col min="51" max="56" width="13.109375" style="6" customWidth="1"/>
    <col min="57" max="68" width="13.109375" style="6" hidden="1" customWidth="1" outlineLevel="1"/>
    <col min="69" max="69" width="13.109375" style="6" customWidth="1" collapsed="1"/>
    <col min="70" max="72" width="13.109375" style="6" customWidth="1"/>
    <col min="73" max="73" width="13.33203125" style="6" customWidth="1"/>
    <col min="74" max="79" width="13.109375" style="6" customWidth="1"/>
    <col min="80" max="91" width="13.109375" style="6" hidden="1" customWidth="1" outlineLevel="1"/>
    <col min="92" max="92" width="13.109375" style="6" customWidth="1" collapsed="1"/>
    <col min="93" max="95" width="13.109375" style="6" customWidth="1"/>
    <col min="96" max="96" width="4.6640625" style="6" customWidth="1"/>
    <col min="97" max="102" width="13.109375" style="6" customWidth="1"/>
    <col min="103" max="114" width="13.109375" style="6" hidden="1" customWidth="1" outlineLevel="1"/>
    <col min="115" max="115" width="13.109375" style="6" customWidth="1" collapsed="1"/>
    <col min="116" max="118" width="13.109375" style="6" customWidth="1"/>
    <col min="119" max="119" width="2" style="6" customWidth="1"/>
    <col min="120" max="120" width="3.33203125" style="807" customWidth="1"/>
    <col min="121" max="121" width="3.33203125" style="6" customWidth="1"/>
    <col min="122" max="122" width="15.109375" style="6" customWidth="1"/>
    <col min="123" max="123" width="3.33203125" style="6" customWidth="1"/>
    <col min="124" max="124" width="16.33203125" style="6" customWidth="1"/>
    <col min="125" max="125" width="3.33203125" style="6" customWidth="1"/>
    <col min="126" max="126" width="13.109375" style="6" customWidth="1"/>
    <col min="127" max="127" width="4.109375" style="6" customWidth="1"/>
    <col min="128" max="152" width="16.44140625" style="6" customWidth="1" outlineLevel="1"/>
    <col min="153" max="153" width="4.33203125" style="6" customWidth="1"/>
    <col min="154" max="154" width="16.44140625" style="6" customWidth="1"/>
    <col min="155" max="155" width="15.6640625" style="6" customWidth="1"/>
    <col min="156" max="156" width="3.77734375" style="6" customWidth="1"/>
    <col min="157" max="157" width="4.77734375" style="809" customWidth="1"/>
    <col min="158" max="158" width="3.77734375" style="6" customWidth="1"/>
    <col min="159" max="159" width="8.77734375" style="6"/>
    <col min="160" max="160" width="3.77734375" style="6" customWidth="1"/>
    <col min="161" max="167" width="8.77734375" style="6"/>
    <col min="168" max="168" width="8.77734375" style="955"/>
    <col min="169" max="16384" width="8.77734375" style="6"/>
  </cols>
  <sheetData>
    <row r="1" spans="1:168" ht="15.6" x14ac:dyDescent="0.3">
      <c r="A1" s="603"/>
      <c r="DR1" s="808" t="s">
        <v>1600</v>
      </c>
      <c r="EA1" s="6" t="s">
        <v>1601</v>
      </c>
      <c r="ED1" s="6" t="s">
        <v>1601</v>
      </c>
    </row>
    <row r="2" spans="1:168" ht="13.8" thickBot="1" x14ac:dyDescent="0.3">
      <c r="P2" s="604">
        <f t="shared" ref="P2:T2" si="0">P500</f>
        <v>144342915.73710898</v>
      </c>
      <c r="Q2" s="604">
        <f t="shared" si="0"/>
        <v>31458698.270372361</v>
      </c>
      <c r="R2" s="604">
        <f t="shared" si="0"/>
        <v>81683541.747701183</v>
      </c>
      <c r="S2" s="604">
        <f t="shared" si="0"/>
        <v>76362474.111216456</v>
      </c>
      <c r="T2" s="604">
        <f t="shared" si="0"/>
        <v>333847629.86639875</v>
      </c>
      <c r="V2" s="604">
        <f t="shared" ref="V2:Z2" si="1">V500</f>
        <v>144342915.73710909</v>
      </c>
      <c r="W2" s="604">
        <f t="shared" si="1"/>
        <v>31458698.270372357</v>
      </c>
      <c r="X2" s="604">
        <f t="shared" si="1"/>
        <v>81683541.747701317</v>
      </c>
      <c r="Y2" s="604">
        <f t="shared" si="1"/>
        <v>76362474.11121653</v>
      </c>
      <c r="Z2" s="604">
        <f t="shared" si="1"/>
        <v>333847629.86639893</v>
      </c>
      <c r="AB2" s="604">
        <f t="shared" ref="AB2" si="2">AB500</f>
        <v>144342915.73710898</v>
      </c>
      <c r="AC2" s="604"/>
      <c r="AD2" s="604">
        <f>AD500</f>
        <v>1645514.7021847963</v>
      </c>
      <c r="AE2" s="604">
        <f>AE500</f>
        <v>132748281.12198737</v>
      </c>
      <c r="AF2" s="604">
        <f t="shared" ref="AF2:AW2" si="3">AF500</f>
        <v>-1645514.7021847961</v>
      </c>
      <c r="AG2" s="604">
        <f t="shared" si="3"/>
        <v>144342915.73710892</v>
      </c>
      <c r="AH2" s="604">
        <f t="shared" si="3"/>
        <v>-134322.54643949342</v>
      </c>
      <c r="AI2" s="604">
        <f t="shared" si="3"/>
        <v>106628921.81105068</v>
      </c>
      <c r="AJ2" s="604">
        <f t="shared" si="3"/>
        <v>-134322.54643949351</v>
      </c>
      <c r="AK2" s="604">
        <f t="shared" si="3"/>
        <v>144342915.73710898</v>
      </c>
      <c r="AL2" s="604">
        <f t="shared" si="3"/>
        <v>-85.500532393383764</v>
      </c>
      <c r="AM2" s="604">
        <f t="shared" si="3"/>
        <v>106332297.82466203</v>
      </c>
      <c r="AN2" s="604">
        <f t="shared" si="3"/>
        <v>-85.50053239338385</v>
      </c>
      <c r="AO2" s="604">
        <f t="shared" si="3"/>
        <v>144342915.73710909</v>
      </c>
      <c r="AP2" s="604">
        <f t="shared" si="3"/>
        <v>0</v>
      </c>
      <c r="AQ2" s="604">
        <f t="shared" si="3"/>
        <v>106332212.3241297</v>
      </c>
      <c r="AR2" s="604">
        <f t="shared" si="3"/>
        <v>0</v>
      </c>
      <c r="AS2" s="604">
        <f t="shared" si="3"/>
        <v>144342915.73710909</v>
      </c>
      <c r="AT2" s="604">
        <f t="shared" si="3"/>
        <v>0</v>
      </c>
      <c r="AU2" s="604">
        <f t="shared" si="3"/>
        <v>106332212.3241297</v>
      </c>
      <c r="AV2" s="604">
        <f t="shared" si="3"/>
        <v>0</v>
      </c>
      <c r="AW2" s="604">
        <f t="shared" si="3"/>
        <v>144342915.73710909</v>
      </c>
      <c r="AY2" s="604">
        <f t="shared" ref="AY2" si="4">AY500</f>
        <v>31458698.270372361</v>
      </c>
      <c r="AZ2" s="604"/>
      <c r="BA2" s="604">
        <f>BA500</f>
        <v>205431.84590549555</v>
      </c>
      <c r="BB2" s="604">
        <f>BB500</f>
        <v>28566752.980667941</v>
      </c>
      <c r="BC2" s="604">
        <f t="shared" ref="BC2:BT2" si="5">BC500</f>
        <v>-205431.84590549546</v>
      </c>
      <c r="BD2" s="604">
        <f t="shared" si="5"/>
        <v>31458698.270372361</v>
      </c>
      <c r="BE2" s="604">
        <f t="shared" si="5"/>
        <v>-644597.91385757248</v>
      </c>
      <c r="BF2" s="604">
        <f t="shared" si="5"/>
        <v>27062131.314169865</v>
      </c>
      <c r="BG2" s="604">
        <f t="shared" si="5"/>
        <v>-644597.91385757306</v>
      </c>
      <c r="BH2" s="604">
        <f t="shared" si="5"/>
        <v>31458698.270372368</v>
      </c>
      <c r="BI2" s="604">
        <f t="shared" si="5"/>
        <v>-45733.965583352467</v>
      </c>
      <c r="BJ2" s="604">
        <f t="shared" si="5"/>
        <v>21590601.773057885</v>
      </c>
      <c r="BK2" s="604">
        <f t="shared" si="5"/>
        <v>-45733.965583352481</v>
      </c>
      <c r="BL2" s="604">
        <f t="shared" si="5"/>
        <v>31458698.27037238</v>
      </c>
      <c r="BM2" s="604">
        <f t="shared" si="5"/>
        <v>-951.66465754032106</v>
      </c>
      <c r="BN2" s="604">
        <f t="shared" si="5"/>
        <v>20800145.371719036</v>
      </c>
      <c r="BO2" s="604">
        <f t="shared" si="5"/>
        <v>-951.66465754032072</v>
      </c>
      <c r="BP2" s="604">
        <f t="shared" si="5"/>
        <v>31458698.270372357</v>
      </c>
      <c r="BQ2" s="604">
        <f t="shared" si="5"/>
        <v>0</v>
      </c>
      <c r="BR2" s="604">
        <f t="shared" si="5"/>
        <v>20799193.707061481</v>
      </c>
      <c r="BS2" s="604">
        <f t="shared" si="5"/>
        <v>0</v>
      </c>
      <c r="BT2" s="604">
        <f t="shared" si="5"/>
        <v>31458698.270372357</v>
      </c>
      <c r="BV2" s="604">
        <f t="shared" ref="BV2" si="6">BV500</f>
        <v>81683541.747701183</v>
      </c>
      <c r="BW2" s="604"/>
      <c r="BX2" s="604">
        <f>BX500</f>
        <v>650555.66269480134</v>
      </c>
      <c r="BY2" s="604">
        <f>BY500</f>
        <v>74119606.059737995</v>
      </c>
      <c r="BZ2" s="604">
        <f t="shared" ref="BZ2:CQ2" si="7">BZ500</f>
        <v>-650555.66269480041</v>
      </c>
      <c r="CA2" s="604">
        <f t="shared" si="7"/>
        <v>81683541.747701228</v>
      </c>
      <c r="CB2" s="604">
        <f t="shared" si="7"/>
        <v>-21816.361072973465</v>
      </c>
      <c r="CC2" s="604">
        <f t="shared" si="7"/>
        <v>68109151.097416416</v>
      </c>
      <c r="CD2" s="604">
        <f t="shared" si="7"/>
        <v>-21816.361072973439</v>
      </c>
      <c r="CE2" s="604">
        <f t="shared" si="7"/>
        <v>81683541.747701317</v>
      </c>
      <c r="CF2" s="604">
        <f t="shared" si="7"/>
        <v>0</v>
      </c>
      <c r="CG2" s="604">
        <f t="shared" si="7"/>
        <v>68087334.736343384</v>
      </c>
      <c r="CH2" s="604">
        <f t="shared" si="7"/>
        <v>0</v>
      </c>
      <c r="CI2" s="604">
        <f t="shared" si="7"/>
        <v>81683541.747701317</v>
      </c>
      <c r="CJ2" s="604">
        <f t="shared" si="7"/>
        <v>0</v>
      </c>
      <c r="CK2" s="604">
        <f t="shared" si="7"/>
        <v>68087334.736343384</v>
      </c>
      <c r="CL2" s="604">
        <f t="shared" si="7"/>
        <v>0</v>
      </c>
      <c r="CM2" s="604">
        <f t="shared" si="7"/>
        <v>81683541.747701317</v>
      </c>
      <c r="CN2" s="604">
        <f t="shared" si="7"/>
        <v>0</v>
      </c>
      <c r="CO2" s="604">
        <f t="shared" si="7"/>
        <v>68087334.736343384</v>
      </c>
      <c r="CP2" s="604">
        <f t="shared" si="7"/>
        <v>0</v>
      </c>
      <c r="CQ2" s="604">
        <f t="shared" si="7"/>
        <v>81683541.747701317</v>
      </c>
      <c r="CS2" s="604">
        <f t="shared" ref="CS2" si="8">CS500</f>
        <v>76362474.111216456</v>
      </c>
      <c r="CT2" s="604"/>
      <c r="CU2" s="604">
        <f>CU500</f>
        <v>695099.86810970563</v>
      </c>
      <c r="CV2" s="604">
        <f>CV500</f>
        <v>67877100.514507636</v>
      </c>
      <c r="CW2" s="604">
        <f t="shared" ref="CW2:DN2" si="9">CW500</f>
        <v>-695099.86810970528</v>
      </c>
      <c r="CX2" s="604">
        <f t="shared" si="9"/>
        <v>76362474.111216396</v>
      </c>
      <c r="CY2" s="604">
        <f t="shared" si="9"/>
        <v>-44885.933561554542</v>
      </c>
      <c r="CZ2" s="604">
        <f t="shared" si="9"/>
        <v>57179268.677336521</v>
      </c>
      <c r="DA2" s="604">
        <f t="shared" si="9"/>
        <v>-44885.93356155455</v>
      </c>
      <c r="DB2" s="604">
        <f t="shared" si="9"/>
        <v>76362474.111216515</v>
      </c>
      <c r="DC2" s="604">
        <f t="shared" si="9"/>
        <v>-38.66256925171183</v>
      </c>
      <c r="DD2" s="604">
        <f t="shared" si="9"/>
        <v>57066548.328733847</v>
      </c>
      <c r="DE2" s="604">
        <f t="shared" si="9"/>
        <v>-38.662569251711801</v>
      </c>
      <c r="DF2" s="604">
        <f t="shared" si="9"/>
        <v>76362474.11121653</v>
      </c>
      <c r="DG2" s="604">
        <f t="shared" si="9"/>
        <v>0</v>
      </c>
      <c r="DH2" s="604">
        <f t="shared" si="9"/>
        <v>57066509.66616457</v>
      </c>
      <c r="DI2" s="604">
        <f t="shared" si="9"/>
        <v>0</v>
      </c>
      <c r="DJ2" s="604">
        <f t="shared" si="9"/>
        <v>76362474.11121653</v>
      </c>
      <c r="DK2" s="604">
        <f t="shared" si="9"/>
        <v>0</v>
      </c>
      <c r="DL2" s="604">
        <f t="shared" si="9"/>
        <v>57066509.66616457</v>
      </c>
      <c r="DM2" s="604">
        <f t="shared" si="9"/>
        <v>0</v>
      </c>
      <c r="DN2" s="604">
        <f t="shared" si="9"/>
        <v>76362474.11121653</v>
      </c>
      <c r="DR2" s="604">
        <f>DR500</f>
        <v>333847629.86639893</v>
      </c>
      <c r="DT2" s="604">
        <f>ROUNDUP(Z2*0.04,0)</f>
        <v>13353906</v>
      </c>
      <c r="DV2" s="604"/>
      <c r="DX2" s="604">
        <f>DX500</f>
        <v>251066161.6379571</v>
      </c>
      <c r="DY2" s="604">
        <f>DY500</f>
        <v>34470036.572969683</v>
      </c>
      <c r="DZ2" s="604">
        <f>DZ500</f>
        <v>216596125.06498742</v>
      </c>
      <c r="EA2" s="810">
        <f>DX2-DT2</f>
        <v>237712255.6379571</v>
      </c>
      <c r="EB2" s="604">
        <f>EB500</f>
        <v>26014458.380318772</v>
      </c>
      <c r="EC2" s="604">
        <f>EC500</f>
        <v>212330955.48910832</v>
      </c>
      <c r="ED2" s="810">
        <f>EA2-EB2</f>
        <v>211697797.25763834</v>
      </c>
      <c r="EE2" s="604">
        <f>EE500</f>
        <v>237712255.63795692</v>
      </c>
      <c r="EF2" s="604">
        <f>EF500</f>
        <v>232299.06094459828</v>
      </c>
      <c r="EG2" s="604">
        <f>EG500</f>
        <v>211465716.3576192</v>
      </c>
      <c r="EH2" s="810">
        <f>$EA2-$EB2-$EF2</f>
        <v>211465498.19669375</v>
      </c>
      <c r="EI2" s="604">
        <f>EI500</f>
        <v>237712255.63795739</v>
      </c>
      <c r="EJ2" s="604">
        <f>EJ500</f>
        <v>0</v>
      </c>
      <c r="EK2" s="604">
        <f>EK500</f>
        <v>211465498.19669405</v>
      </c>
      <c r="EL2" s="810">
        <f>$EA2-$EB2-$EF2-$EJ2</f>
        <v>211465498.19669375</v>
      </c>
      <c r="EM2" s="604">
        <f>EM500</f>
        <v>237712255.63795674</v>
      </c>
      <c r="EN2" s="604">
        <f>EN500</f>
        <v>0</v>
      </c>
      <c r="EO2" s="604">
        <f>EO500</f>
        <v>211465498.19669342</v>
      </c>
      <c r="EP2" s="810">
        <f>$EA2-$EB2-$EF2-$EJ2-EN2</f>
        <v>211465498.19669375</v>
      </c>
      <c r="EQ2" s="604">
        <f>EQ500</f>
        <v>237712255.63795739</v>
      </c>
      <c r="ER2" s="604">
        <f>ER500</f>
        <v>0</v>
      </c>
      <c r="ES2" s="604">
        <f>ES500</f>
        <v>211465498.19669408</v>
      </c>
      <c r="ET2" s="810">
        <f>$EA2-$EB2-$EF2-$EJ2-ER2-EN2</f>
        <v>211465498.19669375</v>
      </c>
      <c r="EU2" s="604">
        <f>EU500</f>
        <v>237712255.63795674</v>
      </c>
      <c r="EV2" s="604">
        <f>EV500</f>
        <v>0</v>
      </c>
      <c r="EX2" s="604">
        <f>EX500</f>
        <v>13353906.000000235</v>
      </c>
      <c r="EY2" s="604">
        <f>EY500</f>
        <v>320493723.86639845</v>
      </c>
      <c r="FE2" s="6">
        <v>2</v>
      </c>
      <c r="FF2" s="6">
        <f>FE2+1</f>
        <v>3</v>
      </c>
      <c r="FG2" s="6">
        <f t="shared" ref="FG2:FL2" si="10">FF2+1</f>
        <v>4</v>
      </c>
      <c r="FH2" s="6">
        <f t="shared" si="10"/>
        <v>5</v>
      </c>
      <c r="FI2" s="6">
        <f t="shared" si="10"/>
        <v>6</v>
      </c>
      <c r="FJ2" s="6">
        <f t="shared" si="10"/>
        <v>7</v>
      </c>
      <c r="FK2" s="6">
        <f t="shared" si="10"/>
        <v>8</v>
      </c>
      <c r="FL2" s="955">
        <f t="shared" si="10"/>
        <v>9</v>
      </c>
    </row>
    <row r="3" spans="1:168" ht="14.4" thickBot="1" x14ac:dyDescent="0.3">
      <c r="D3" s="605" t="s">
        <v>1588</v>
      </c>
      <c r="E3" s="606"/>
      <c r="F3" s="606"/>
      <c r="G3" s="606"/>
      <c r="H3" s="607"/>
      <c r="I3" s="608" t="s">
        <v>1589</v>
      </c>
      <c r="J3" s="609"/>
      <c r="K3" s="609"/>
      <c r="L3" s="610"/>
      <c r="N3" s="611"/>
      <c r="P3" s="605" t="s">
        <v>1560</v>
      </c>
      <c r="Q3" s="606"/>
      <c r="R3" s="606"/>
      <c r="S3" s="606"/>
      <c r="T3" s="607"/>
      <c r="V3" s="605" t="s">
        <v>1562</v>
      </c>
      <c r="W3" s="606"/>
      <c r="X3" s="606"/>
      <c r="Y3" s="606"/>
      <c r="Z3" s="607"/>
      <c r="AB3" s="612" t="s">
        <v>1563</v>
      </c>
      <c r="AC3" s="613"/>
      <c r="AD3" s="614"/>
      <c r="AE3" s="614"/>
      <c r="AF3" s="615"/>
      <c r="AG3" s="612"/>
      <c r="AH3" s="614"/>
      <c r="AI3" s="614"/>
      <c r="AJ3" s="614"/>
      <c r="AK3" s="615"/>
      <c r="AL3" s="612"/>
      <c r="AM3" s="614"/>
      <c r="AN3" s="614"/>
      <c r="AO3" s="614"/>
      <c r="AP3" s="614"/>
      <c r="AQ3" s="614"/>
      <c r="AR3" s="614"/>
      <c r="AS3" s="615"/>
      <c r="AT3" s="612"/>
      <c r="AU3" s="614"/>
      <c r="AV3" s="614"/>
      <c r="AW3" s="615"/>
      <c r="AY3" s="612" t="s">
        <v>1564</v>
      </c>
      <c r="AZ3" s="613"/>
      <c r="BA3" s="614"/>
      <c r="BB3" s="614"/>
      <c r="BC3" s="615"/>
      <c r="BD3" s="612"/>
      <c r="BE3" s="614"/>
      <c r="BF3" s="614"/>
      <c r="BG3" s="614"/>
      <c r="BH3" s="615"/>
      <c r="BI3" s="612"/>
      <c r="BJ3" s="614"/>
      <c r="BK3" s="614"/>
      <c r="BL3" s="614"/>
      <c r="BM3" s="614"/>
      <c r="BN3" s="614"/>
      <c r="BO3" s="614"/>
      <c r="BP3" s="615"/>
      <c r="BQ3" s="612"/>
      <c r="BR3" s="614"/>
      <c r="BS3" s="614"/>
      <c r="BT3" s="615"/>
      <c r="BV3" s="612" t="s">
        <v>1565</v>
      </c>
      <c r="BW3" s="613"/>
      <c r="BX3" s="614"/>
      <c r="BY3" s="614"/>
      <c r="BZ3" s="615"/>
      <c r="CA3" s="612"/>
      <c r="CB3" s="614"/>
      <c r="CC3" s="614"/>
      <c r="CD3" s="614"/>
      <c r="CE3" s="615"/>
      <c r="CF3" s="612"/>
      <c r="CG3" s="614"/>
      <c r="CH3" s="614"/>
      <c r="CI3" s="614"/>
      <c r="CJ3" s="614"/>
      <c r="CK3" s="614"/>
      <c r="CL3" s="614"/>
      <c r="CM3" s="615"/>
      <c r="CN3" s="612"/>
      <c r="CO3" s="614"/>
      <c r="CP3" s="614"/>
      <c r="CQ3" s="615"/>
      <c r="CS3" s="612" t="s">
        <v>1566</v>
      </c>
      <c r="CT3" s="613"/>
      <c r="CU3" s="614"/>
      <c r="CV3" s="614"/>
      <c r="CW3" s="615"/>
      <c r="CX3" s="612"/>
      <c r="CY3" s="614"/>
      <c r="CZ3" s="614"/>
      <c r="DA3" s="614"/>
      <c r="DB3" s="615"/>
      <c r="DC3" s="612"/>
      <c r="DD3" s="614"/>
      <c r="DE3" s="614"/>
      <c r="DF3" s="614"/>
      <c r="DG3" s="614"/>
      <c r="DH3" s="614"/>
      <c r="DI3" s="614"/>
      <c r="DJ3" s="615"/>
      <c r="DK3" s="612"/>
      <c r="DL3" s="614"/>
      <c r="DM3" s="614"/>
      <c r="DN3" s="615"/>
      <c r="DR3" s="811"/>
      <c r="DT3" s="811"/>
      <c r="DV3" s="811"/>
      <c r="DX3" s="812"/>
      <c r="DY3" s="812"/>
      <c r="DZ3" s="812"/>
      <c r="EA3" s="812"/>
      <c r="EB3" s="812"/>
      <c r="EC3" s="812"/>
      <c r="ED3" s="812"/>
      <c r="EE3" s="812"/>
      <c r="EF3" s="812"/>
      <c r="EG3" s="812"/>
      <c r="EH3" s="812"/>
      <c r="EI3" s="812"/>
      <c r="EJ3" s="812"/>
      <c r="EK3" s="812"/>
      <c r="EL3" s="812"/>
      <c r="EM3" s="812"/>
      <c r="EN3" s="812"/>
      <c r="EO3" s="812"/>
      <c r="EP3" s="812"/>
      <c r="EQ3" s="812"/>
      <c r="ER3" s="812"/>
      <c r="ES3" s="812"/>
      <c r="ET3" s="812"/>
      <c r="EU3" s="812"/>
      <c r="EV3" s="812"/>
      <c r="FE3" s="813" t="s">
        <v>1602</v>
      </c>
    </row>
    <row r="4" spans="1:168" s="616" customFormat="1" ht="79.8" thickBot="1" x14ac:dyDescent="0.25">
      <c r="B4" s="617" t="s">
        <v>1567</v>
      </c>
      <c r="C4" s="618" t="s">
        <v>1568</v>
      </c>
      <c r="D4" s="619" t="s">
        <v>1477</v>
      </c>
      <c r="E4" s="620" t="s">
        <v>1478</v>
      </c>
      <c r="F4" s="620" t="s">
        <v>1479</v>
      </c>
      <c r="G4" s="620" t="s">
        <v>1480</v>
      </c>
      <c r="H4" s="621" t="s">
        <v>1481</v>
      </c>
      <c r="I4" s="622" t="s">
        <v>1569</v>
      </c>
      <c r="J4" s="623" t="s">
        <v>1570</v>
      </c>
      <c r="K4" s="623" t="s">
        <v>1571</v>
      </c>
      <c r="L4" s="624" t="s">
        <v>593</v>
      </c>
      <c r="N4" s="625" t="s">
        <v>1572</v>
      </c>
      <c r="P4" s="619" t="s">
        <v>1573</v>
      </c>
      <c r="Q4" s="620" t="s">
        <v>1574</v>
      </c>
      <c r="R4" s="620" t="s">
        <v>1575</v>
      </c>
      <c r="S4" s="620" t="s">
        <v>1576</v>
      </c>
      <c r="T4" s="621" t="s">
        <v>1577</v>
      </c>
      <c r="V4" s="619" t="s">
        <v>1573</v>
      </c>
      <c r="W4" s="620" t="s">
        <v>1574</v>
      </c>
      <c r="X4" s="620" t="s">
        <v>1575</v>
      </c>
      <c r="Y4" s="620" t="s">
        <v>1576</v>
      </c>
      <c r="Z4" s="621" t="s">
        <v>1577</v>
      </c>
      <c r="AB4" s="626" t="s">
        <v>1578</v>
      </c>
      <c r="AC4" s="627" t="s">
        <v>1487</v>
      </c>
      <c r="AD4" s="628" t="s">
        <v>1488</v>
      </c>
      <c r="AE4" s="627" t="s">
        <v>1489</v>
      </c>
      <c r="AF4" s="627" t="s">
        <v>1490</v>
      </c>
      <c r="AG4" s="629" t="s">
        <v>1579</v>
      </c>
      <c r="AH4" s="630" t="s">
        <v>1580</v>
      </c>
      <c r="AI4" s="631" t="s">
        <v>1489</v>
      </c>
      <c r="AJ4" s="631" t="s">
        <v>1490</v>
      </c>
      <c r="AK4" s="629" t="s">
        <v>1579</v>
      </c>
      <c r="AL4" s="632" t="s">
        <v>1581</v>
      </c>
      <c r="AM4" s="631" t="s">
        <v>1489</v>
      </c>
      <c r="AN4" s="631" t="s">
        <v>1490</v>
      </c>
      <c r="AO4" s="629" t="s">
        <v>1579</v>
      </c>
      <c r="AP4" s="630" t="s">
        <v>1582</v>
      </c>
      <c r="AQ4" s="631" t="s">
        <v>1489</v>
      </c>
      <c r="AR4" s="631" t="s">
        <v>1490</v>
      </c>
      <c r="AS4" s="629" t="s">
        <v>1579</v>
      </c>
      <c r="AT4" s="632" t="s">
        <v>1583</v>
      </c>
      <c r="AU4" s="631" t="s">
        <v>1489</v>
      </c>
      <c r="AV4" s="631" t="s">
        <v>1490</v>
      </c>
      <c r="AW4" s="633" t="s">
        <v>1584</v>
      </c>
      <c r="AY4" s="626" t="s">
        <v>1585</v>
      </c>
      <c r="AZ4" s="627" t="s">
        <v>1487</v>
      </c>
      <c r="BA4" s="628" t="s">
        <v>1488</v>
      </c>
      <c r="BB4" s="627" t="s">
        <v>1489</v>
      </c>
      <c r="BC4" s="627" t="s">
        <v>1490</v>
      </c>
      <c r="BD4" s="629" t="s">
        <v>1579</v>
      </c>
      <c r="BE4" s="630" t="s">
        <v>1580</v>
      </c>
      <c r="BF4" s="631" t="s">
        <v>1489</v>
      </c>
      <c r="BG4" s="631" t="s">
        <v>1490</v>
      </c>
      <c r="BH4" s="629" t="s">
        <v>1579</v>
      </c>
      <c r="BI4" s="632" t="s">
        <v>1581</v>
      </c>
      <c r="BJ4" s="631" t="s">
        <v>1489</v>
      </c>
      <c r="BK4" s="631" t="s">
        <v>1490</v>
      </c>
      <c r="BL4" s="629" t="s">
        <v>1579</v>
      </c>
      <c r="BM4" s="630" t="s">
        <v>1582</v>
      </c>
      <c r="BN4" s="631" t="s">
        <v>1489</v>
      </c>
      <c r="BO4" s="631" t="s">
        <v>1490</v>
      </c>
      <c r="BP4" s="629" t="s">
        <v>1579</v>
      </c>
      <c r="BQ4" s="632" t="s">
        <v>1583</v>
      </c>
      <c r="BR4" s="631" t="s">
        <v>1489</v>
      </c>
      <c r="BS4" s="631" t="s">
        <v>1490</v>
      </c>
      <c r="BT4" s="633" t="s">
        <v>1584</v>
      </c>
      <c r="BV4" s="626" t="s">
        <v>1586</v>
      </c>
      <c r="BW4" s="627" t="s">
        <v>1487</v>
      </c>
      <c r="BX4" s="628" t="s">
        <v>1488</v>
      </c>
      <c r="BY4" s="627" t="s">
        <v>1489</v>
      </c>
      <c r="BZ4" s="627" t="s">
        <v>1490</v>
      </c>
      <c r="CA4" s="629" t="s">
        <v>1579</v>
      </c>
      <c r="CB4" s="630" t="s">
        <v>1580</v>
      </c>
      <c r="CC4" s="631" t="s">
        <v>1489</v>
      </c>
      <c r="CD4" s="631" t="s">
        <v>1490</v>
      </c>
      <c r="CE4" s="629" t="s">
        <v>1579</v>
      </c>
      <c r="CF4" s="632" t="s">
        <v>1581</v>
      </c>
      <c r="CG4" s="631" t="s">
        <v>1489</v>
      </c>
      <c r="CH4" s="631" t="s">
        <v>1490</v>
      </c>
      <c r="CI4" s="629" t="s">
        <v>1579</v>
      </c>
      <c r="CJ4" s="630" t="s">
        <v>1582</v>
      </c>
      <c r="CK4" s="631" t="s">
        <v>1489</v>
      </c>
      <c r="CL4" s="631" t="s">
        <v>1490</v>
      </c>
      <c r="CM4" s="629" t="s">
        <v>1579</v>
      </c>
      <c r="CN4" s="632" t="s">
        <v>1583</v>
      </c>
      <c r="CO4" s="631" t="s">
        <v>1489</v>
      </c>
      <c r="CP4" s="631" t="s">
        <v>1490</v>
      </c>
      <c r="CQ4" s="633" t="s">
        <v>1584</v>
      </c>
      <c r="CS4" s="626" t="s">
        <v>1587</v>
      </c>
      <c r="CT4" s="627" t="s">
        <v>1487</v>
      </c>
      <c r="CU4" s="628" t="s">
        <v>1488</v>
      </c>
      <c r="CV4" s="627" t="s">
        <v>1489</v>
      </c>
      <c r="CW4" s="627" t="s">
        <v>1490</v>
      </c>
      <c r="CX4" s="629" t="s">
        <v>1579</v>
      </c>
      <c r="CY4" s="630" t="s">
        <v>1580</v>
      </c>
      <c r="CZ4" s="631" t="s">
        <v>1489</v>
      </c>
      <c r="DA4" s="631" t="s">
        <v>1490</v>
      </c>
      <c r="DB4" s="629" t="s">
        <v>1579</v>
      </c>
      <c r="DC4" s="632" t="s">
        <v>1581</v>
      </c>
      <c r="DD4" s="631" t="s">
        <v>1489</v>
      </c>
      <c r="DE4" s="631" t="s">
        <v>1490</v>
      </c>
      <c r="DF4" s="629" t="s">
        <v>1579</v>
      </c>
      <c r="DG4" s="630" t="s">
        <v>1582</v>
      </c>
      <c r="DH4" s="631" t="s">
        <v>1489</v>
      </c>
      <c r="DI4" s="631" t="s">
        <v>1490</v>
      </c>
      <c r="DJ4" s="629" t="s">
        <v>1579</v>
      </c>
      <c r="DK4" s="632" t="s">
        <v>1583</v>
      </c>
      <c r="DL4" s="631" t="s">
        <v>1489</v>
      </c>
      <c r="DM4" s="631" t="s">
        <v>1490</v>
      </c>
      <c r="DN4" s="633" t="s">
        <v>1584</v>
      </c>
      <c r="DP4" s="814"/>
      <c r="DR4" s="815" t="s">
        <v>1603</v>
      </c>
      <c r="DT4" s="815" t="s">
        <v>1604</v>
      </c>
      <c r="DV4" s="816" t="s">
        <v>1605</v>
      </c>
      <c r="DX4" s="817" t="s">
        <v>1606</v>
      </c>
      <c r="DY4" s="818" t="s">
        <v>1607</v>
      </c>
      <c r="DZ4" s="818" t="s">
        <v>1608</v>
      </c>
      <c r="EA4" s="819" t="s">
        <v>1609</v>
      </c>
      <c r="EB4" s="818" t="s">
        <v>1610</v>
      </c>
      <c r="EC4" s="818" t="s">
        <v>1611</v>
      </c>
      <c r="ED4" s="818" t="s">
        <v>1612</v>
      </c>
      <c r="EE4" s="819" t="s">
        <v>1613</v>
      </c>
      <c r="EF4" s="818" t="s">
        <v>1614</v>
      </c>
      <c r="EG4" s="818" t="s">
        <v>1611</v>
      </c>
      <c r="EH4" s="818" t="s">
        <v>1615</v>
      </c>
      <c r="EI4" s="819" t="s">
        <v>1616</v>
      </c>
      <c r="EJ4" s="818" t="s">
        <v>1617</v>
      </c>
      <c r="EK4" s="818" t="s">
        <v>1611</v>
      </c>
      <c r="EL4" s="818" t="s">
        <v>1618</v>
      </c>
      <c r="EM4" s="819" t="s">
        <v>1619</v>
      </c>
      <c r="EN4" s="818" t="s">
        <v>1620</v>
      </c>
      <c r="EO4" s="818" t="s">
        <v>1611</v>
      </c>
      <c r="EP4" s="818" t="s">
        <v>1621</v>
      </c>
      <c r="EQ4" s="819" t="s">
        <v>1622</v>
      </c>
      <c r="ER4" s="818" t="s">
        <v>1623</v>
      </c>
      <c r="ES4" s="818" t="s">
        <v>1611</v>
      </c>
      <c r="ET4" s="818" t="s">
        <v>1624</v>
      </c>
      <c r="EU4" s="819" t="s">
        <v>1625</v>
      </c>
      <c r="EV4" s="819" t="s">
        <v>1626</v>
      </c>
      <c r="EX4" s="820" t="s">
        <v>1627</v>
      </c>
      <c r="EY4" s="821" t="s">
        <v>1628</v>
      </c>
      <c r="FA4" s="822"/>
      <c r="FC4" s="823" t="s">
        <v>1629</v>
      </c>
      <c r="FE4" s="824" t="s">
        <v>1630</v>
      </c>
      <c r="FF4" s="825" t="s">
        <v>1631</v>
      </c>
      <c r="FG4" s="825" t="s">
        <v>1632</v>
      </c>
      <c r="FH4" s="825" t="s">
        <v>1633</v>
      </c>
      <c r="FI4" s="825" t="s">
        <v>1634</v>
      </c>
      <c r="FJ4" s="825" t="s">
        <v>1635</v>
      </c>
      <c r="FK4" s="825" t="s">
        <v>1636</v>
      </c>
      <c r="FL4" s="956" t="s">
        <v>1637</v>
      </c>
    </row>
    <row r="5" spans="1:168" x14ac:dyDescent="0.25">
      <c r="B5" s="634">
        <v>1202000</v>
      </c>
      <c r="C5" s="635" t="str">
        <f>VLOOKUP($B5,'Afton Update'!$A$5:$CR$582,'Afton Update'!D$589,0)</f>
        <v>Arizona State School for the Deaf and Blind</v>
      </c>
      <c r="D5" s="636">
        <f>IFERROR(VLOOKUP($B5,'Afton FY16 Final'!$A$5:$BV$587,'Afton FY16 Final'!AQ$587,0),0)</f>
        <v>64985.30575354254</v>
      </c>
      <c r="E5" s="637">
        <f>IFERROR(VLOOKUP($B5,'Afton FY16 Final'!$A$5:$BV$587,'Afton FY16 Final'!AR$587,0),0)</f>
        <v>11160.617722079478</v>
      </c>
      <c r="F5" s="637">
        <f>IFERROR(VLOOKUP($B5,'Afton FY16 Final'!$A$5:$BV$587,'Afton FY16 Final'!AS$587,0),0)</f>
        <v>35268.288785492528</v>
      </c>
      <c r="G5" s="637">
        <f>IFERROR(VLOOKUP($B5,'Afton FY16 Final'!$A$5:$BV$587,'Afton FY16 Final'!AT$587,0),0)</f>
        <v>29613.31351681181</v>
      </c>
      <c r="H5" s="638">
        <f>IFERROR(VLOOKUP($B5,'Afton FY16 Final'!$A$5:$BV$587,'Afton FY16 Final'!AU$587,0),0)</f>
        <v>141027.52577792638</v>
      </c>
      <c r="I5" s="639" t="str">
        <f>VLOOKUP($B5,'Afton Update'!$A$5:$CR$582,'Afton Update'!BT$589,0)</f>
        <v>Y</v>
      </c>
      <c r="J5" s="640" t="str">
        <f>VLOOKUP($B5,'Afton Update'!$A$5:$CR$582,'Afton Update'!BU$589,0)</f>
        <v>N</v>
      </c>
      <c r="K5" s="640" t="str">
        <f>VLOOKUP($B5,'Afton Update'!$A$5:$CR$582,'Afton Update'!BV$589,0)</f>
        <v>Y</v>
      </c>
      <c r="L5" s="641" t="str">
        <f>VLOOKUP($B5,'Afton Update'!$A$5:$CR$582,'Afton Update'!BW$589,0)</f>
        <v>Y</v>
      </c>
      <c r="N5" s="642">
        <f>VLOOKUP($B5,'Afton Update'!$A$5:$CR$582,'Afton Update'!CB$589,0)</f>
        <v>0.85</v>
      </c>
      <c r="P5" s="636">
        <f>VLOOKUP($B5,'Afton Update'!$A$5:$CR$582,'Afton Update'!AH$589,0)</f>
        <v>47116.418475782186</v>
      </c>
      <c r="Q5" s="637" t="str">
        <f>VLOOKUP($B5,'Afton Update'!$A$5:$CR$582,'Afton Update'!AI$589,0)</f>
        <v/>
      </c>
      <c r="R5" s="637">
        <f>VLOOKUP($B5,'Afton Update'!$A$5:$CR$582,'Afton Update'!AJ$589,0)</f>
        <v>27600.789434439153</v>
      </c>
      <c r="S5" s="637">
        <f>VLOOKUP($B5,'Afton Update'!$A$5:$CR$582,'Afton Update'!AK$589,0)</f>
        <v>25692.70933733842</v>
      </c>
      <c r="T5" s="643">
        <f>SUM(P5:S5)</f>
        <v>100409.91724755976</v>
      </c>
      <c r="V5" s="636">
        <f>AW5</f>
        <v>55237.509890511159</v>
      </c>
      <c r="W5" s="637">
        <f>BT5</f>
        <v>9486.5250637675563</v>
      </c>
      <c r="X5" s="637">
        <f>CQ5</f>
        <v>29978.04546766865</v>
      </c>
      <c r="Y5" s="637">
        <f>DN5</f>
        <v>25409.621929680237</v>
      </c>
      <c r="Z5" s="643">
        <f>SUM(V5:Y5)</f>
        <v>120111.70235162761</v>
      </c>
      <c r="AB5" s="644">
        <f t="shared" ref="AB5:AB69" si="11">IF(P5="",0,P5)</f>
        <v>47116.418475782186</v>
      </c>
      <c r="AC5" s="645">
        <f t="shared" ref="AC5:AC68" si="12">IF(I5="N",0,D5*$N5)</f>
        <v>55237.509890511159</v>
      </c>
      <c r="AD5" s="644">
        <f>IF($I5="N",0,MAX(AC5-AB5,0))</f>
        <v>8121.0914147289732</v>
      </c>
      <c r="AE5" s="645">
        <f>IF(AD5=0,AB5,0)</f>
        <v>0</v>
      </c>
      <c r="AF5" s="646">
        <f>-IF(AD5=0,((AE5/AE$2)*AD$2),0)</f>
        <v>0</v>
      </c>
      <c r="AG5" s="647">
        <f>IF(AD5=0,AE5+AF5,AD5+AB5)</f>
        <v>55237.509890511159</v>
      </c>
      <c r="AH5" s="644">
        <f t="shared" ref="AH5:AH69" si="13">IF(AG5-AC5&lt;0,AG5-AC5,0)</f>
        <v>0</v>
      </c>
      <c r="AI5" s="645">
        <f t="shared" ref="AI5:AI69" si="14">IF(AND(AH5=0,AD5=0),AG5,0)</f>
        <v>0</v>
      </c>
      <c r="AJ5" s="646">
        <f>IF(AND(AH5=0,AD5=0),((AI5/AI$2))*AH$2,0)</f>
        <v>0</v>
      </c>
      <c r="AK5" s="647">
        <f t="shared" ref="AK5:AK69" si="15">AG5-AH5+AJ5</f>
        <v>55237.509890511159</v>
      </c>
      <c r="AL5" s="644">
        <f>IF(AK5-AC5&lt;0,AK5-AC5,0)</f>
        <v>0</v>
      </c>
      <c r="AM5" s="645">
        <f>IF(AND(AH5=0,AD5=0,AL5=0),AK5,0)</f>
        <v>0</v>
      </c>
      <c r="AN5" s="646">
        <f>IF(AND(AL5=0,AH5=0,AD5=0),((AM5/AM$2))*AL$2,0)</f>
        <v>0</v>
      </c>
      <c r="AO5" s="647">
        <f t="shared" ref="AO5:AO69" si="16">AK5-AL5+AN5</f>
        <v>55237.509890511159</v>
      </c>
      <c r="AP5" s="644">
        <f>IF(AO5-AC5&lt;0,AO5-AC5,0)</f>
        <v>0</v>
      </c>
      <c r="AQ5" s="645">
        <f>IF(AND(AH5=0,AD5=0,AL5=0,AP5=0),AO5,0)</f>
        <v>0</v>
      </c>
      <c r="AR5" s="646">
        <f>IF(AND(AP5=0,AL5=0,AH5=0,AD5=0),((AQ5/AQ$2))*AP$2,0)</f>
        <v>0</v>
      </c>
      <c r="AS5" s="647">
        <f t="shared" ref="AS5:AS69" si="17">AO5-AP5+AR5</f>
        <v>55237.509890511159</v>
      </c>
      <c r="AT5" s="644">
        <f>IF(AS5-AC5&lt;0,AS5-AC5,0)</f>
        <v>0</v>
      </c>
      <c r="AU5" s="645">
        <f>IF(AND(AP5=0,AL5=0,AT5=0,AD5=0,AH5=0),AS5,0)</f>
        <v>0</v>
      </c>
      <c r="AV5" s="646">
        <f>IF(AND(AT5=0,AP5=0,AL5=0),((AU5/AU$2))*AT$2,0)</f>
        <v>0</v>
      </c>
      <c r="AW5" s="647">
        <f t="shared" ref="AW5:AW69" si="18">AS5-AT5+AV5</f>
        <v>55237.509890511159</v>
      </c>
      <c r="AY5" s="644">
        <f>IF(Q5="",0,Q5)</f>
        <v>0</v>
      </c>
      <c r="AZ5" s="645">
        <f>IF(AND($J5="N",FC5="N"),0,E5*$N5)</f>
        <v>9486.5250637675563</v>
      </c>
      <c r="BA5" s="644">
        <f>IF($J5="N",0,MAX(AZ5-AY5,0))</f>
        <v>0</v>
      </c>
      <c r="BB5" s="645">
        <f>IF(BA5=0,AY5,0)</f>
        <v>0</v>
      </c>
      <c r="BC5" s="646">
        <f>-IF(BA5=0,((BB5/BB$2)*BA$2),0)</f>
        <v>0</v>
      </c>
      <c r="BD5" s="647">
        <f>IF(BA5=0,BB5+BC5,BA5+AY5)</f>
        <v>0</v>
      </c>
      <c r="BE5" s="644">
        <f t="shared" ref="BE5:BE69" si="19">IF(BD5-AZ5&lt;0,BD5-AZ5,0)</f>
        <v>-9486.5250637675563</v>
      </c>
      <c r="BF5" s="645">
        <f t="shared" ref="BF5:BF69" si="20">IF(AND(BE5=0,BA5=0),BD5,0)</f>
        <v>0</v>
      </c>
      <c r="BG5" s="646">
        <f>IF(AND(BE5=0,BA5=0),((BF5/BF$2))*BE$2,0)</f>
        <v>0</v>
      </c>
      <c r="BH5" s="647">
        <f t="shared" ref="BH5:BH69" si="21">BD5-BE5+BG5</f>
        <v>9486.5250637675563</v>
      </c>
      <c r="BI5" s="644">
        <f>IF(BH5-AZ5&lt;0,BH5-AZ5,0)</f>
        <v>0</v>
      </c>
      <c r="BJ5" s="645">
        <f>IF(AND(BE5=0,BA5=0,BI5=0),BH5,0)</f>
        <v>0</v>
      </c>
      <c r="BK5" s="646">
        <f>IF(AND(BI5=0,BE5=0,BA5=0),((BJ5/BJ$2))*BI$2,0)</f>
        <v>0</v>
      </c>
      <c r="BL5" s="647">
        <f t="shared" ref="BL5:BL69" si="22">BH5-BI5+BK5</f>
        <v>9486.5250637675563</v>
      </c>
      <c r="BM5" s="644">
        <f>IF(BL5-AZ5&lt;0,BL5-AZ5,0)</f>
        <v>0</v>
      </c>
      <c r="BN5" s="645">
        <f>IF(AND(BE5=0,BA5=0,BI5=0,BM5=0),BL5,0)</f>
        <v>0</v>
      </c>
      <c r="BO5" s="646">
        <f>IF(AND(BM5=0,BI5=0,BE5=0,BA5=0),((BN5/BN$2))*BM$2,0)</f>
        <v>0</v>
      </c>
      <c r="BP5" s="647">
        <f t="shared" ref="BP5:BP69" si="23">BL5-BM5+BO5</f>
        <v>9486.5250637675563</v>
      </c>
      <c r="BQ5" s="644">
        <f>IF(BP5-AZ5&lt;0,BP5-AZ5,0)</f>
        <v>0</v>
      </c>
      <c r="BR5" s="645">
        <f>IF(AND(BM5=0,BI5=0,BQ5=0,BA5=0,BE5=0),BP5,0)</f>
        <v>0</v>
      </c>
      <c r="BS5" s="646">
        <f>IF(AND(BQ5=0,BM5=0,BI5=0),((BR5/BR$2))*BQ$2,0)</f>
        <v>0</v>
      </c>
      <c r="BT5" s="647">
        <f t="shared" ref="BT5:BT69" si="24">BP5-BQ5+BS5</f>
        <v>9486.5250637675563</v>
      </c>
      <c r="BU5" s="662">
        <f>VLOOKUP(B5,'Afton Update'!$A$5:$AR$582,'Afton Update'!$AO$589,0)-BT5</f>
        <v>0</v>
      </c>
      <c r="BV5" s="644">
        <f>IF(R5="",0,R5)</f>
        <v>27600.789434439153</v>
      </c>
      <c r="BW5" s="645">
        <f t="shared" ref="BW5:BW68" si="25">IF($K5="N",0,F5*$N5)</f>
        <v>29978.04546766865</v>
      </c>
      <c r="BX5" s="644">
        <f>IF($K5="N",0,MAX(BW5-BV5,0))</f>
        <v>2377.2560332294961</v>
      </c>
      <c r="BY5" s="645">
        <f>IF(BX5=0,BV5,0)</f>
        <v>0</v>
      </c>
      <c r="BZ5" s="646">
        <f>-IF(BX5=0,((BY5/BY$2)*BX$2),0)</f>
        <v>0</v>
      </c>
      <c r="CA5" s="647">
        <f>IF(BX5=0,BY5+BZ5,BX5+BV5)</f>
        <v>29978.04546766865</v>
      </c>
      <c r="CB5" s="644">
        <f t="shared" ref="CB5:CB69" si="26">IF(CA5-BW5&lt;0,CA5-BW5,0)</f>
        <v>0</v>
      </c>
      <c r="CC5" s="645">
        <f t="shared" ref="CC5:CC69" si="27">IF(AND(CB5=0,BX5=0),CA5,0)</f>
        <v>0</v>
      </c>
      <c r="CD5" s="646">
        <f>IF(AND(CB5=0,BX5=0),((CC5/CC$2))*CB$2,0)</f>
        <v>0</v>
      </c>
      <c r="CE5" s="647">
        <f t="shared" ref="CE5:CE69" si="28">CA5-CB5+CD5</f>
        <v>29978.04546766865</v>
      </c>
      <c r="CF5" s="644">
        <f>IF(CE5-BW5&lt;0,CE5-BW5,0)</f>
        <v>0</v>
      </c>
      <c r="CG5" s="645">
        <f>IF(AND(CB5=0,BX5=0,CF5=0),CE5,0)</f>
        <v>0</v>
      </c>
      <c r="CH5" s="646">
        <f>IF(AND(CF5=0,CB5=0,BX5=0),((CG5/CG$2))*CF$2,0)</f>
        <v>0</v>
      </c>
      <c r="CI5" s="647">
        <f t="shared" ref="CI5:CI69" si="29">CE5-CF5+CH5</f>
        <v>29978.04546766865</v>
      </c>
      <c r="CJ5" s="644">
        <f>IF(CI5-BW5&lt;0,CI5-BW5,0)</f>
        <v>0</v>
      </c>
      <c r="CK5" s="645">
        <f>IF(AND(CB5=0,BX5=0,CF5=0,CJ5=0),CI5,0)</f>
        <v>0</v>
      </c>
      <c r="CL5" s="646">
        <f>IF(AND(CJ5=0,CF5=0,CB5=0,BX5=0),((CK5/CK$2))*CJ$2,0)</f>
        <v>0</v>
      </c>
      <c r="CM5" s="647">
        <f t="shared" ref="CM5:CM69" si="30">CI5-CJ5+CL5</f>
        <v>29978.04546766865</v>
      </c>
      <c r="CN5" s="644">
        <f>IF(CM5-BW5&lt;0,CM5-BW5,0)</f>
        <v>0</v>
      </c>
      <c r="CO5" s="645">
        <f>IF(AND(CJ5=0,CF5=0,CN5=0,BX5=0,CB5=0),CM5,0)</f>
        <v>0</v>
      </c>
      <c r="CP5" s="646">
        <f>IF(AND(CN5=0,CJ5=0,CF5=0),((CO5/CO$2))*CN$2,0)</f>
        <v>0</v>
      </c>
      <c r="CQ5" s="647">
        <f t="shared" ref="CQ5:CQ69" si="31">CM5-CN5+CP5</f>
        <v>29978.04546766865</v>
      </c>
      <c r="CS5" s="644">
        <f>IF(S5="",0,S5)</f>
        <v>25692.70933733842</v>
      </c>
      <c r="CT5" s="645">
        <f t="shared" ref="CT5:CT68" si="32">IF($L5="N",0,G5*$N5)</f>
        <v>25171.316489290039</v>
      </c>
      <c r="CU5" s="644">
        <f>IF($L5="N",0,MAX(CT5-CS5,0))</f>
        <v>0</v>
      </c>
      <c r="CV5" s="645">
        <f>IF(CU5=0,CS5,0)</f>
        <v>25692.70933733842</v>
      </c>
      <c r="CW5" s="646">
        <f>-IF(CU5=0,((CV5/CV$2)*CU$2),0)</f>
        <v>-263.10786312900717</v>
      </c>
      <c r="CX5" s="647">
        <f>IF(CU5=0,CV5+CW5,CU5+CS5)</f>
        <v>25429.601474209412</v>
      </c>
      <c r="CY5" s="644">
        <f t="shared" ref="CY5:CY69" si="33">IF(CX5-CT5&lt;0,CX5-CT5,0)</f>
        <v>0</v>
      </c>
      <c r="CZ5" s="645">
        <f t="shared" ref="CZ5:CZ69" si="34">IF(AND(CY5=0,CU5=0),CX5,0)</f>
        <v>25429.601474209412</v>
      </c>
      <c r="DA5" s="646">
        <f>IF(AND(CY5=0,CU5=0),((CZ5/CZ$2))*CY$2,0)</f>
        <v>-19.962329506333628</v>
      </c>
      <c r="DB5" s="647">
        <f t="shared" ref="DB5:DB69" si="35">CX5-CY5+DA5</f>
        <v>25409.63914470308</v>
      </c>
      <c r="DC5" s="644">
        <f>IF(DB5-CT5&lt;0,DB5-CT5,0)</f>
        <v>0</v>
      </c>
      <c r="DD5" s="645">
        <f>IF(AND(CY5=0,CU5=0,DC5=0),DB5,0)</f>
        <v>25409.63914470308</v>
      </c>
      <c r="DE5" s="646">
        <f>IF(AND(DC5=0,CY5=0,CU5=0),((DD5/DD$2))*DC$2,0)</f>
        <v>-1.7215022843749546E-2</v>
      </c>
      <c r="DF5" s="647">
        <f t="shared" ref="DF5:DF69" si="36">DB5-DC5+DE5</f>
        <v>25409.621929680237</v>
      </c>
      <c r="DG5" s="644">
        <f>IF(DF5-CT5&lt;0,DF5-CT5,0)</f>
        <v>0</v>
      </c>
      <c r="DH5" s="645">
        <f>IF(AND(CY5=0,CU5=0,DC5=0,DG5=0),DF5,0)</f>
        <v>25409.621929680237</v>
      </c>
      <c r="DI5" s="646">
        <f>IF(AND(DG5=0,DC5=0,CY5=0,CU5=0),((DH5/DH$2))*DG$2,0)</f>
        <v>0</v>
      </c>
      <c r="DJ5" s="647">
        <f t="shared" ref="DJ5:DJ69" si="37">DF5-DG5+DI5</f>
        <v>25409.621929680237</v>
      </c>
      <c r="DK5" s="644">
        <f>IF(DJ5-CT5&lt;0,DJ5-CT5,0)</f>
        <v>0</v>
      </c>
      <c r="DL5" s="645">
        <f>IF(AND(DG5=0,DC5=0,DK5=0,CU5=0,CY5=0),DJ5,0)</f>
        <v>25409.621929680237</v>
      </c>
      <c r="DM5" s="646">
        <f>IF(AND(DK5=0,DG5=0,DC5=0),((DL5/DL$2))*DK$2,0)</f>
        <v>0</v>
      </c>
      <c r="DN5" s="647">
        <f t="shared" ref="DN5:DN69" si="38">DJ5-DK5+DM5</f>
        <v>25409.621929680237</v>
      </c>
      <c r="DR5" s="827">
        <f>Z5</f>
        <v>120111.70235162761</v>
      </c>
      <c r="DV5" s="828">
        <f>IFERROR(VLOOKUP($B5,'Afton FY16 Final'!$A$5:$BV$587,'Afton FY16 Final'!$BV$587,0),0)</f>
        <v>125513.31681261383</v>
      </c>
      <c r="DX5" s="636">
        <f t="shared" ref="DX5:DX68" si="39">IF(DR5&gt;DV5,DR5,0)</f>
        <v>0</v>
      </c>
      <c r="DY5" s="637">
        <f t="shared" ref="DY5:DY68" si="40">IF(DX5&gt;0,DX5-DV5,0)</f>
        <v>0</v>
      </c>
      <c r="DZ5" s="637">
        <f t="shared" ref="DZ5:DZ68" si="41">IF(DX5=0,0,DV5)</f>
        <v>0</v>
      </c>
      <c r="EA5" s="643">
        <f t="shared" ref="EA5:EA68" si="42">DX5/$DX$2*$EA$2</f>
        <v>0</v>
      </c>
      <c r="EB5" s="637">
        <f>IF(EA5&lt;$DZ5,$DZ5,0)</f>
        <v>0</v>
      </c>
      <c r="EC5" s="637">
        <f>IF(EB5=0,EA5,0)</f>
        <v>0</v>
      </c>
      <c r="ED5" s="637">
        <f>EC5/EC$2*ED$2</f>
        <v>0</v>
      </c>
      <c r="EE5" s="643">
        <f>ED5+EB5</f>
        <v>0</v>
      </c>
      <c r="EF5" s="637">
        <f>IF(EE5&lt;$DZ5,$DZ5,0)</f>
        <v>0</v>
      </c>
      <c r="EG5" s="637">
        <f>IF(EB$5+EF$5=0,EE5,0)</f>
        <v>0</v>
      </c>
      <c r="EH5" s="637">
        <f>EG5/EG$2*EH$2</f>
        <v>0</v>
      </c>
      <c r="EI5" s="643">
        <f>$EH5+$EF5+$EB5</f>
        <v>0</v>
      </c>
      <c r="EJ5" s="637">
        <f>IF(EI5&lt;$DZ5,$DZ5,0)</f>
        <v>0</v>
      </c>
      <c r="EK5" s="637">
        <f>IF($EB5+$EF5+$EJ5=0,EI5,0)</f>
        <v>0</v>
      </c>
      <c r="EL5" s="637">
        <f>EK5/EK$2*EL$2</f>
        <v>0</v>
      </c>
      <c r="EM5" s="643">
        <f>$EJ5+$EF5+$EB5+EL5</f>
        <v>0</v>
      </c>
      <c r="EN5" s="637">
        <f>IF(EM5&lt;$DZ5,$DZ5,0)</f>
        <v>0</v>
      </c>
      <c r="EO5" s="637">
        <f>IF($EB5+$EF5+$EJ5+EN5=0,EM5,0)</f>
        <v>0</v>
      </c>
      <c r="EP5" s="637">
        <f>EO5/EO$2*EP$2</f>
        <v>0</v>
      </c>
      <c r="EQ5" s="643">
        <f>$EJ5+$EF5+$EB5+EP5+EN5</f>
        <v>0</v>
      </c>
      <c r="ER5" s="637">
        <f>IF(EQ5&lt;$DZ5,$DZ5,0)</f>
        <v>0</v>
      </c>
      <c r="ES5" s="637">
        <f>IF($EB5+$EF5+$EJ5+EN5+ER5=0,EQ5,0)</f>
        <v>0</v>
      </c>
      <c r="ET5" s="637">
        <f>ES5/ES$2*ET$2</f>
        <v>0</v>
      </c>
      <c r="EU5" s="643">
        <f t="shared" ref="EU5:EU68" si="43">$EJ5+$EF5+$EB5+ET5+ER5+EN5</f>
        <v>0</v>
      </c>
      <c r="EV5" s="643">
        <f t="shared" ref="EV5:EV68" si="44">IF(EU5&lt;$DZ5,$DZ5,0)</f>
        <v>0</v>
      </c>
      <c r="EX5" s="829">
        <f t="shared" ref="EX5:EX68" si="45">IF(EU5=0,0,DR5-EU5)</f>
        <v>0</v>
      </c>
      <c r="EY5" s="638">
        <f t="shared" ref="EY5:EY68" si="46">IF(EU5=0,DR5,EU5)</f>
        <v>120111.70235162761</v>
      </c>
      <c r="FC5" s="830" t="str">
        <f>IF(OR(FH5="y",FI5="y",FJ5="y",FK5="y"),"Y","N")</f>
        <v>Y</v>
      </c>
      <c r="FE5" s="830" t="str">
        <f>IFERROR(VLOOKUP($B5,'Historical Conc Grant Elig'!$B$3:$J$707,'HH &amp; SI'!FE$2,0),"N")</f>
        <v>N</v>
      </c>
      <c r="FF5" s="830" t="str">
        <f>IFERROR(VLOOKUP($B5,'Historical Conc Grant Elig'!$B$3:$J$707,'HH &amp; SI'!FF$2,0),"N")</f>
        <v>N</v>
      </c>
      <c r="FG5" s="830" t="str">
        <f>IFERROR(VLOOKUP($B5,'Historical Conc Grant Elig'!$B$3:$J$707,'HH &amp; SI'!FG$2,0),"N")</f>
        <v>N</v>
      </c>
      <c r="FH5" s="830" t="str">
        <f>IFERROR(VLOOKUP($B5,'Historical Conc Grant Elig'!$B$3:$J$707,'HH &amp; SI'!FH$2,0),"N")</f>
        <v>N</v>
      </c>
      <c r="FI5" s="830" t="str">
        <f>IFERROR(VLOOKUP($B5,'Historical Conc Grant Elig'!$B$3:$J$707,'HH &amp; SI'!FI$2,0),"N")</f>
        <v>N</v>
      </c>
      <c r="FJ5" s="830" t="str">
        <f>IFERROR(VLOOKUP($B5,'Historical Conc Grant Elig'!$B$3:$J$707,'HH &amp; SI'!FJ$2,0),"N")</f>
        <v>Y</v>
      </c>
      <c r="FK5" s="830" t="str">
        <f>IFERROR(VLOOKUP($B5,'Historical Conc Grant Elig'!$B$3:$J$707,'HH &amp; SI'!FK$2,0),"N")</f>
        <v>N</v>
      </c>
      <c r="FL5" s="957" t="str">
        <f>IFERROR(VLOOKUP($B5,'Historical Conc Grant Elig'!$B$3:$J$707,'HH &amp; SI'!FL$2,0),"N")</f>
        <v>N</v>
      </c>
    </row>
    <row r="6" spans="1:168" x14ac:dyDescent="0.25">
      <c r="B6" s="634">
        <v>10201000</v>
      </c>
      <c r="C6" s="635" t="str">
        <f>VLOOKUP($B6,'Afton Update'!$A$5:$CR$582,'Afton Update'!D$589,0)</f>
        <v>St. Johns Unified District</v>
      </c>
      <c r="D6" s="636">
        <f>IFERROR(VLOOKUP($B6,'Afton FY16 Final'!$A$5:$BV$587,'Afton FY16 Final'!AQ$587,0),0)</f>
        <v>130892.27978216828</v>
      </c>
      <c r="E6" s="637">
        <f>IFERROR(VLOOKUP($B6,'Afton FY16 Final'!$A$5:$BV$587,'Afton FY16 Final'!AR$587,0),0)</f>
        <v>30494.476045862775</v>
      </c>
      <c r="F6" s="637">
        <f>IFERROR(VLOOKUP($B6,'Afton FY16 Final'!$A$5:$BV$587,'Afton FY16 Final'!AS$587,0),0)</f>
        <v>64593.10022395994</v>
      </c>
      <c r="G6" s="637">
        <f>IFERROR(VLOOKUP($B6,'Afton FY16 Final'!$A$5:$BV$587,'Afton FY16 Final'!AT$587,0),0)</f>
        <v>49446.691108345738</v>
      </c>
      <c r="H6" s="638">
        <f>IFERROR(VLOOKUP($B6,'Afton FY16 Final'!$A$5:$BV$587,'Afton FY16 Final'!AU$587,0),0)</f>
        <v>275426.54716033675</v>
      </c>
      <c r="I6" s="639" t="str">
        <f>VLOOKUP($B6,'Afton Update'!$A$5:$CR$582,'Afton Update'!BT$589,0)</f>
        <v>Y</v>
      </c>
      <c r="J6" s="640" t="str">
        <f>VLOOKUP($B6,'Afton Update'!$A$5:$CR$582,'Afton Update'!BU$589,0)</f>
        <v>Y</v>
      </c>
      <c r="K6" s="640" t="str">
        <f>VLOOKUP($B6,'Afton Update'!$A$5:$CR$582,'Afton Update'!BV$589,0)</f>
        <v>Y</v>
      </c>
      <c r="L6" s="641" t="str">
        <f>VLOOKUP($B6,'Afton Update'!$A$5:$CR$582,'Afton Update'!BW$589,0)</f>
        <v>Y</v>
      </c>
      <c r="N6" s="642">
        <f>VLOOKUP($B6,'Afton Update'!$A$5:$CR$582,'Afton Update'!CB$589,0)</f>
        <v>0.95</v>
      </c>
      <c r="P6" s="636">
        <f>VLOOKUP($B6,'Afton Update'!$A$5:$CR$582,'Afton Update'!AH$589,0)</f>
        <v>126233.65424588573</v>
      </c>
      <c r="Q6" s="637">
        <f>VLOOKUP($B6,'Afton Update'!$A$5:$CR$582,'Afton Update'!AI$589,0)</f>
        <v>29912.236994616109</v>
      </c>
      <c r="R6" s="637">
        <f>VLOOKUP($B6,'Afton Update'!$A$5:$CR$582,'Afton Update'!AJ$589,0)</f>
        <v>62209.593051674383</v>
      </c>
      <c r="S6" s="637">
        <f>VLOOKUP($B6,'Afton Update'!$A$5:$CR$582,'Afton Update'!AK$589,0)</f>
        <v>48928.034409351283</v>
      </c>
      <c r="T6" s="643">
        <f t="shared" ref="T6:T69" si="47">SUM(P6:S6)</f>
        <v>267283.5187015275</v>
      </c>
      <c r="V6" s="636">
        <f>AW6</f>
        <v>124511.74526829376</v>
      </c>
      <c r="W6" s="637">
        <f>BT6</f>
        <v>28969.752243569634</v>
      </c>
      <c r="X6" s="637">
        <f>CQ6</f>
        <v>61643.821091686637</v>
      </c>
      <c r="Y6" s="637">
        <f>DN6</f>
        <v>48388.935545121167</v>
      </c>
      <c r="Z6" s="643">
        <f>SUM(V6:Y6)</f>
        <v>263514.25414867117</v>
      </c>
      <c r="AB6" s="644">
        <f t="shared" si="11"/>
        <v>126233.65424588573</v>
      </c>
      <c r="AC6" s="645">
        <f t="shared" si="12"/>
        <v>124347.66579305986</v>
      </c>
      <c r="AD6" s="644">
        <f>IF($I6="N",0,MAX(AC6-AB6,0))</f>
        <v>0</v>
      </c>
      <c r="AE6" s="645">
        <f>IF(AD6=0,AB6,0)</f>
        <v>126233.65424588573</v>
      </c>
      <c r="AF6" s="646">
        <f>-IF(AD6=0,((AE6/AE$2)*AD$2),0)</f>
        <v>-1564.7610064437379</v>
      </c>
      <c r="AG6" s="647">
        <f>IF(AD6=0,AE6+AF6,AD6+AB6)</f>
        <v>124668.893239442</v>
      </c>
      <c r="AH6" s="644">
        <f t="shared" si="13"/>
        <v>0</v>
      </c>
      <c r="AI6" s="645">
        <f t="shared" si="14"/>
        <v>124668.893239442</v>
      </c>
      <c r="AJ6" s="646">
        <f>IF(AND(AH6=0,AD6=0),((AI6/AI$2))*AH$2,0)</f>
        <v>-157.04785265848679</v>
      </c>
      <c r="AK6" s="647">
        <f t="shared" si="15"/>
        <v>124511.84538678351</v>
      </c>
      <c r="AL6" s="644">
        <f>IF(AK6-AC6&lt;0,AK6-AC6,0)</f>
        <v>0</v>
      </c>
      <c r="AM6" s="645">
        <f>IF(AND(AH6=0,AD6=0,AL6=0),AK6,0)</f>
        <v>124511.84538678351</v>
      </c>
      <c r="AN6" s="646">
        <f>IF(AND(AL6=0,AH6=0,AD6=0),((AM6/AM$2))*AL$2,0)</f>
        <v>-0.10011848975000284</v>
      </c>
      <c r="AO6" s="647">
        <f t="shared" si="16"/>
        <v>124511.74526829376</v>
      </c>
      <c r="AP6" s="644">
        <f>IF(AO6-AC6&lt;0,AO6-AC6,0)</f>
        <v>0</v>
      </c>
      <c r="AQ6" s="645">
        <f>IF(AND(AH6=0,AD6=0,AL6=0,AP6=0),AO6,0)</f>
        <v>124511.74526829376</v>
      </c>
      <c r="AR6" s="646">
        <f>IF(AND(AP6=0,AL6=0,AH6=0,AD6=0),((AQ6/AQ$2))*AP$2,0)</f>
        <v>0</v>
      </c>
      <c r="AS6" s="647">
        <f t="shared" si="17"/>
        <v>124511.74526829376</v>
      </c>
      <c r="AT6" s="644">
        <f>IF(AS6-AC6&lt;0,AS6-AC6,0)</f>
        <v>0</v>
      </c>
      <c r="AU6" s="645">
        <f>IF(AND(AP6=0,AL6=0,AT6=0,AD6=0,AH6=0),AS6,0)</f>
        <v>124511.74526829376</v>
      </c>
      <c r="AV6" s="646">
        <f>IF(AND(AT6=0,AP6=0,AL6=0),((AU6/AU$2))*AT$2,0)</f>
        <v>0</v>
      </c>
      <c r="AW6" s="647">
        <f t="shared" si="18"/>
        <v>124511.74526829376</v>
      </c>
      <c r="AY6" s="644">
        <f>IF(Q6="",0,Q6)</f>
        <v>29912.236994616109</v>
      </c>
      <c r="AZ6" s="645">
        <f t="shared" ref="AZ6:AZ69" si="48">IF(AND($J6="N",FC6="N"),0,E6*$N6)</f>
        <v>28969.752243569634</v>
      </c>
      <c r="BA6" s="644">
        <f>IF($J6="N",0,MAX(AZ6-AY6,0))</f>
        <v>0</v>
      </c>
      <c r="BB6" s="645">
        <f>IF(BA6=0,AY6,0)</f>
        <v>29912.236994616109</v>
      </c>
      <c r="BC6" s="646">
        <f>-IF(BA6=0,((BB6/BB$2)*BA$2),0)</f>
        <v>-215.10761356480074</v>
      </c>
      <c r="BD6" s="647">
        <f>IF(BA6=0,BB6+BC6,BA6+AY6)</f>
        <v>29697.129381051309</v>
      </c>
      <c r="BE6" s="644">
        <f t="shared" si="19"/>
        <v>0</v>
      </c>
      <c r="BF6" s="645">
        <f t="shared" si="20"/>
        <v>29697.129381051309</v>
      </c>
      <c r="BG6" s="646">
        <f>IF(AND(BE6=0,BA6=0),((BF6/BF$2))*BE$2,0)</f>
        <v>-707.36142044218377</v>
      </c>
      <c r="BH6" s="647">
        <f t="shared" si="21"/>
        <v>28989.767960609126</v>
      </c>
      <c r="BI6" s="644">
        <f>IF(BH6-AZ6&lt;0,BH6-AZ6,0)</f>
        <v>0</v>
      </c>
      <c r="BJ6" s="645">
        <f>IF(AND(BE6=0,BA6=0,BI6=0),BH6,0)</f>
        <v>28989.767960609126</v>
      </c>
      <c r="BK6" s="646">
        <f>IF(AND(BI6=0,BE6=0,BA6=0),((BJ6/BJ$2))*BI$2,0)</f>
        <v>-61.407137425614039</v>
      </c>
      <c r="BL6" s="647">
        <f t="shared" si="22"/>
        <v>28928.360823183513</v>
      </c>
      <c r="BM6" s="644">
        <f>IF(BL6-AZ6&lt;0,BL6-AZ6,0)</f>
        <v>-41.391420386120444</v>
      </c>
      <c r="BN6" s="645">
        <f>IF(AND(BE6=0,BA6=0,BI6=0,BM6=0),BL6,0)</f>
        <v>0</v>
      </c>
      <c r="BO6" s="646">
        <f>IF(AND(BM6=0,BI6=0,BE6=0,BA6=0),((BN6/BN$2))*BM$2,0)</f>
        <v>0</v>
      </c>
      <c r="BP6" s="647">
        <f t="shared" si="23"/>
        <v>28969.752243569634</v>
      </c>
      <c r="BQ6" s="644">
        <f>IF(BP6-AZ6&lt;0,BP6-AZ6,0)</f>
        <v>0</v>
      </c>
      <c r="BR6" s="645">
        <f>IF(AND(BM6=0,BI6=0,BQ6=0,BA6=0,BE6=0),BP6,0)</f>
        <v>0</v>
      </c>
      <c r="BS6" s="646">
        <f>IF(AND(BQ6=0,BM6=0,BI6=0),((BR6/BR$2))*BQ$2,0)</f>
        <v>0</v>
      </c>
      <c r="BT6" s="647">
        <f t="shared" si="24"/>
        <v>28969.752243569634</v>
      </c>
      <c r="BU6" s="662">
        <f>VLOOKUP(B6,'Afton Update'!$A$5:$AR$582,'Afton Update'!$AO$589,0)-BT6</f>
        <v>0</v>
      </c>
      <c r="BV6" s="644">
        <f>IF(R6="",0,R6)</f>
        <v>62209.593051674383</v>
      </c>
      <c r="BW6" s="645">
        <f t="shared" si="25"/>
        <v>61363.445212761937</v>
      </c>
      <c r="BX6" s="644">
        <f>IF($K6="N",0,MAX(BW6-BV6,0))</f>
        <v>0</v>
      </c>
      <c r="BY6" s="645">
        <f>IF(BX6=0,BV6,0)</f>
        <v>62209.593051674383</v>
      </c>
      <c r="BZ6" s="646">
        <f>-IF(BX6=0,((BY6/BY$2)*BX$2),0)</f>
        <v>-546.0202122645901</v>
      </c>
      <c r="CA6" s="647">
        <f>IF(BX6=0,BY6+BZ6,BX6+BV6)</f>
        <v>61663.57283940979</v>
      </c>
      <c r="CB6" s="644">
        <f t="shared" si="26"/>
        <v>0</v>
      </c>
      <c r="CC6" s="645">
        <f t="shared" si="27"/>
        <v>61663.57283940979</v>
      </c>
      <c r="CD6" s="646">
        <f>IF(AND(CB6=0,BX6=0),((CC6/CC$2))*CB$2,0)</f>
        <v>-19.751747723151315</v>
      </c>
      <c r="CE6" s="647">
        <f t="shared" si="28"/>
        <v>61643.821091686637</v>
      </c>
      <c r="CF6" s="644">
        <f>IF(CE6-BW6&lt;0,CE6-BW6,0)</f>
        <v>0</v>
      </c>
      <c r="CG6" s="645">
        <f>IF(AND(CB6=0,BX6=0,CF6=0),CE6,0)</f>
        <v>61643.821091686637</v>
      </c>
      <c r="CH6" s="646">
        <f>IF(AND(CF6=0,CB6=0,BX6=0),((CG6/CG$2))*CF$2,0)</f>
        <v>0</v>
      </c>
      <c r="CI6" s="647">
        <f t="shared" si="29"/>
        <v>61643.821091686637</v>
      </c>
      <c r="CJ6" s="644">
        <f>IF(CI6-BW6&lt;0,CI6-BW6,0)</f>
        <v>0</v>
      </c>
      <c r="CK6" s="645">
        <f>IF(AND(CB6=0,BX6=0,CF6=0,CJ6=0),CI6,0)</f>
        <v>61643.821091686637</v>
      </c>
      <c r="CL6" s="646">
        <f>IF(AND(CJ6=0,CF6=0,CB6=0,BX6=0),((CK6/CK$2))*CJ$2,0)</f>
        <v>0</v>
      </c>
      <c r="CM6" s="647">
        <f t="shared" si="30"/>
        <v>61643.821091686637</v>
      </c>
      <c r="CN6" s="644">
        <f>IF(CM6-BW6&lt;0,CM6-BW6,0)</f>
        <v>0</v>
      </c>
      <c r="CO6" s="645">
        <f>IF(AND(CJ6=0,CF6=0,CN6=0,BX6=0,CB6=0),CM6,0)</f>
        <v>61643.821091686637</v>
      </c>
      <c r="CP6" s="646">
        <f>IF(AND(CN6=0,CJ6=0,CF6=0),((CO6/CO$2))*CN$2,0)</f>
        <v>0</v>
      </c>
      <c r="CQ6" s="647">
        <f t="shared" si="31"/>
        <v>61643.821091686637</v>
      </c>
      <c r="CS6" s="644">
        <f>IF(S6="",0,S6)</f>
        <v>48928.034409351283</v>
      </c>
      <c r="CT6" s="645">
        <f t="shared" si="32"/>
        <v>46974.356552928446</v>
      </c>
      <c r="CU6" s="644">
        <f>IF($L6="N",0,MAX(CT6-CS6,0))</f>
        <v>0</v>
      </c>
      <c r="CV6" s="645">
        <f>IF(CU6=0,CS6,0)</f>
        <v>48928.034409351283</v>
      </c>
      <c r="CW6" s="646">
        <f>-IF(CU6=0,((CV6/CV$2)*CU$2),0)</f>
        <v>-501.05072265922956</v>
      </c>
      <c r="CX6" s="647">
        <f>IF(CU6=0,CV6+CW6,CU6+CS6)</f>
        <v>48426.983686692052</v>
      </c>
      <c r="CY6" s="644">
        <f t="shared" si="33"/>
        <v>0</v>
      </c>
      <c r="CZ6" s="645">
        <f t="shared" si="34"/>
        <v>48426.983686692052</v>
      </c>
      <c r="DA6" s="646">
        <f>IF(AND(CY6=0,CU6=0),((CZ6/CZ$2))*CY$2,0)</f>
        <v>-38.015358059465797</v>
      </c>
      <c r="DB6" s="647">
        <f t="shared" si="35"/>
        <v>48388.968328632589</v>
      </c>
      <c r="DC6" s="644">
        <f>IF(DB6-CT6&lt;0,DB6-CT6,0)</f>
        <v>0</v>
      </c>
      <c r="DD6" s="645">
        <f>IF(AND(CY6=0,CU6=0,DC6=0),DB6,0)</f>
        <v>48388.968328632589</v>
      </c>
      <c r="DE6" s="646">
        <f>IF(AND(DC6=0,CY6=0,CU6=0),((DD6/DD$2))*DC$2,0)</f>
        <v>-3.2783511423322788E-2</v>
      </c>
      <c r="DF6" s="647">
        <f t="shared" si="36"/>
        <v>48388.935545121167</v>
      </c>
      <c r="DG6" s="644">
        <f>IF(DF6-CT6&lt;0,DF6-CT6,0)</f>
        <v>0</v>
      </c>
      <c r="DH6" s="645">
        <f>IF(AND(CY6=0,CU6=0,DC6=0,DG6=0),DF6,0)</f>
        <v>48388.935545121167</v>
      </c>
      <c r="DI6" s="646">
        <f>IF(AND(DG6=0,DC6=0,CY6=0,CU6=0),((DH6/DH$2))*DG$2,0)</f>
        <v>0</v>
      </c>
      <c r="DJ6" s="647">
        <f t="shared" si="37"/>
        <v>48388.935545121167</v>
      </c>
      <c r="DK6" s="644">
        <f>IF(DJ6-CT6&lt;0,DJ6-CT6,0)</f>
        <v>0</v>
      </c>
      <c r="DL6" s="645">
        <f>IF(AND(DG6=0,DC6=0,DK6=0,CU6=0,CY6=0),DJ6,0)</f>
        <v>48388.935545121167</v>
      </c>
      <c r="DM6" s="646">
        <f>IF(AND(DK6=0,DG6=0,DC6=0),((DL6/DL$2))*DK$2,0)</f>
        <v>0</v>
      </c>
      <c r="DN6" s="647">
        <f t="shared" si="38"/>
        <v>48388.935545121167</v>
      </c>
      <c r="DR6" s="827">
        <f t="shared" ref="DR6:DR69" si="49">Z6</f>
        <v>263514.25414867117</v>
      </c>
      <c r="DV6" s="828">
        <f>IFERROR(VLOOKUP($B6,'Afton FY16 Final'!$A$5:$BV$587,'Afton FY16 Final'!$BV$587,0),0)</f>
        <v>244532.05583422331</v>
      </c>
      <c r="DX6" s="636">
        <f t="shared" si="39"/>
        <v>263514.25414867117</v>
      </c>
      <c r="DY6" s="637">
        <f t="shared" si="40"/>
        <v>18982.198314447858</v>
      </c>
      <c r="DZ6" s="637">
        <f t="shared" si="41"/>
        <v>244532.05583422331</v>
      </c>
      <c r="EA6" s="643">
        <f t="shared" si="42"/>
        <v>249498.24913786503</v>
      </c>
      <c r="EB6" s="637">
        <f t="shared" ref="EB6:EB69" si="50">IF(EA6&lt;$DZ6,$DZ6,0)</f>
        <v>0</v>
      </c>
      <c r="EC6" s="637">
        <f t="shared" ref="EC6:EC69" si="51">IF(EB6=0,EA6,0)</f>
        <v>249498.24913786503</v>
      </c>
      <c r="ED6" s="637">
        <f t="shared" ref="ED6:ED69" si="52">EC6/EC$2*ED$2</f>
        <v>248754.26025590903</v>
      </c>
      <c r="EE6" s="643">
        <f t="shared" ref="EE6:EE69" si="53">ED6+EB6</f>
        <v>248754.26025590903</v>
      </c>
      <c r="EF6" s="637">
        <f t="shared" ref="EF6:EF69" si="54">IF(EE6&lt;$DZ6,$DZ6,0)</f>
        <v>0</v>
      </c>
      <c r="EG6" s="637">
        <f t="shared" ref="EG6:EG69" si="55">IF(EB6+EF6=0,EE6,0)</f>
        <v>248754.26025590903</v>
      </c>
      <c r="EH6" s="637">
        <f t="shared" ref="EH6:EH69" si="56">EG6/EG$2*EH$2</f>
        <v>248754.00362584833</v>
      </c>
      <c r="EI6" s="643">
        <f t="shared" ref="EI6:EI69" si="57">EH6+EF6+EB6</f>
        <v>248754.00362584833</v>
      </c>
      <c r="EJ6" s="637">
        <f t="shared" ref="EJ6:EJ69" si="58">IF(EI6&lt;$DZ6,$DZ6,0)</f>
        <v>0</v>
      </c>
      <c r="EK6" s="637">
        <f t="shared" ref="EK6:EK69" si="59">IF($EB6+$EF6+$EJ6=0,EI6,0)</f>
        <v>248754.00362584833</v>
      </c>
      <c r="EL6" s="637">
        <f t="shared" ref="EL6:EL69" si="60">EK6/EK$2*EL$2</f>
        <v>248754.00362584798</v>
      </c>
      <c r="EM6" s="643">
        <f t="shared" ref="EM6:EM69" si="61">$EJ6+$EF6+$EB6+EL6</f>
        <v>248754.00362584798</v>
      </c>
      <c r="EN6" s="637">
        <f t="shared" ref="EN6:EN69" si="62">IF(EM6&lt;$DZ6,$DZ6,0)</f>
        <v>0</v>
      </c>
      <c r="EO6" s="637">
        <f t="shared" ref="EO6:EO69" si="63">IF($EB6+$EF6+$EJ6+EN6=0,EM6,0)</f>
        <v>248754.00362584798</v>
      </c>
      <c r="EP6" s="637">
        <f t="shared" ref="EP6:EP69" si="64">EO6/EO$2*EP$2</f>
        <v>248754.00362584833</v>
      </c>
      <c r="EQ6" s="643">
        <f t="shared" ref="EQ6:EQ69" si="65">$EJ6+$EF6+$EB6+EP6+EN6</f>
        <v>248754.00362584833</v>
      </c>
      <c r="ER6" s="637">
        <f t="shared" ref="ER6:ER69" si="66">IF(EQ6&lt;$DZ6,$DZ6,0)</f>
        <v>0</v>
      </c>
      <c r="ES6" s="637">
        <f t="shared" ref="ES6:ES69" si="67">IF($EB6+$EF6+$EJ6+EN6+ER6=0,EQ6,0)</f>
        <v>248754.00362584833</v>
      </c>
      <c r="ET6" s="637">
        <f t="shared" ref="ET6:ET69" si="68">ES6/ES$2*ET$2</f>
        <v>248754.00362584792</v>
      </c>
      <c r="EU6" s="643">
        <f t="shared" si="43"/>
        <v>248754.00362584792</v>
      </c>
      <c r="EV6" s="643">
        <f t="shared" si="44"/>
        <v>0</v>
      </c>
      <c r="EX6" s="829">
        <f t="shared" si="45"/>
        <v>14760.250522823248</v>
      </c>
      <c r="EY6" s="638">
        <f t="shared" si="46"/>
        <v>248754.00362584792</v>
      </c>
      <c r="FC6" s="830" t="str">
        <f t="shared" ref="FC6:FC69" si="69">IF(OR(FH6="y",FI6="y",FJ6="y",FK6="y"),"Y","N")</f>
        <v>Y</v>
      </c>
      <c r="FE6" s="830" t="str">
        <f>IFERROR(VLOOKUP($B6,'Historical Conc Grant Elig'!$B$3:$J$707,'HH &amp; SI'!FE$2,0),"N")</f>
        <v>Y</v>
      </c>
      <c r="FF6" s="830" t="str">
        <f>IFERROR(VLOOKUP($B6,'Historical Conc Grant Elig'!$B$3:$J$707,'HH &amp; SI'!FF$2,0),"N")</f>
        <v>Y</v>
      </c>
      <c r="FG6" s="830" t="str">
        <f>IFERROR(VLOOKUP($B6,'Historical Conc Grant Elig'!$B$3:$J$707,'HH &amp; SI'!FG$2,0),"N")</f>
        <v>Y</v>
      </c>
      <c r="FH6" s="830" t="str">
        <f>IFERROR(VLOOKUP($B6,'Historical Conc Grant Elig'!$B$3:$J$707,'HH &amp; SI'!FH$2,0),"N")</f>
        <v>Y</v>
      </c>
      <c r="FI6" s="830" t="str">
        <f>IFERROR(VLOOKUP($B6,'Historical Conc Grant Elig'!$B$3:$J$707,'HH &amp; SI'!FI$2,0),"N")</f>
        <v>Y</v>
      </c>
      <c r="FJ6" s="830" t="str">
        <f>IFERROR(VLOOKUP($B6,'Historical Conc Grant Elig'!$B$3:$J$707,'HH &amp; SI'!FJ$2,0),"N")</f>
        <v>Y</v>
      </c>
      <c r="FK6" s="830" t="str">
        <f>IFERROR(VLOOKUP($B6,'Historical Conc Grant Elig'!$B$3:$J$707,'HH &amp; SI'!FK$2,0),"N")</f>
        <v>Y</v>
      </c>
      <c r="FL6" s="957" t="str">
        <f>IFERROR(VLOOKUP($B6,'Historical Conc Grant Elig'!$B$3:$J$707,'HH &amp; SI'!FL$2,0),"N")</f>
        <v>Y</v>
      </c>
    </row>
    <row r="7" spans="1:168" x14ac:dyDescent="0.25">
      <c r="B7" s="634">
        <v>10208000</v>
      </c>
      <c r="C7" s="635" t="str">
        <f>VLOOKUP($B7,'Afton Update'!$A$5:$CR$582,'Afton Update'!D$589,0)</f>
        <v>Window Rock Unified District</v>
      </c>
      <c r="D7" s="636">
        <f>IFERROR(VLOOKUP($B7,'Afton FY16 Final'!$A$5:$BV$587,'Afton FY16 Final'!AQ$587,0),0)</f>
        <v>512246.25755582098</v>
      </c>
      <c r="E7" s="637">
        <f>IFERROR(VLOOKUP($B7,'Afton FY16 Final'!$A$5:$BV$587,'Afton FY16 Final'!AR$587,0),0)</f>
        <v>119339.97372965681</v>
      </c>
      <c r="F7" s="637">
        <f>IFERROR(VLOOKUP($B7,'Afton FY16 Final'!$A$5:$BV$587,'Afton FY16 Final'!AS$587,0),0)</f>
        <v>307006.18250270427</v>
      </c>
      <c r="G7" s="637">
        <f>IFERROR(VLOOKUP($B7,'Afton FY16 Final'!$A$5:$BV$587,'Afton FY16 Final'!AT$587,0),0)</f>
        <v>269580.78652118583</v>
      </c>
      <c r="H7" s="638">
        <f>IFERROR(VLOOKUP($B7,'Afton FY16 Final'!$A$5:$BV$587,'Afton FY16 Final'!AU$587,0),0)</f>
        <v>1208173.2003093679</v>
      </c>
      <c r="I7" s="639" t="str">
        <f>VLOOKUP($B7,'Afton Update'!$A$5:$CR$582,'Afton Update'!BT$589,0)</f>
        <v>Y</v>
      </c>
      <c r="J7" s="640" t="str">
        <f>VLOOKUP($B7,'Afton Update'!$A$5:$CR$582,'Afton Update'!BU$589,0)</f>
        <v>Y</v>
      </c>
      <c r="K7" s="640" t="str">
        <f>VLOOKUP($B7,'Afton Update'!$A$5:$CR$582,'Afton Update'!BV$589,0)</f>
        <v>Y</v>
      </c>
      <c r="L7" s="641" t="str">
        <f>VLOOKUP($B7,'Afton Update'!$A$5:$CR$582,'Afton Update'!BW$589,0)</f>
        <v>Y</v>
      </c>
      <c r="N7" s="642">
        <f>VLOOKUP($B7,'Afton Update'!$A$5:$CR$582,'Afton Update'!CB$589,0)</f>
        <v>0.95</v>
      </c>
      <c r="P7" s="636">
        <f>VLOOKUP($B7,'Afton Update'!$A$5:$CR$582,'Afton Update'!AH$589,0)</f>
        <v>494014.75069929648</v>
      </c>
      <c r="Q7" s="637">
        <f>VLOOKUP($B7,'Afton Update'!$A$5:$CR$582,'Afton Update'!AI$589,0)</f>
        <v>117061.38422460498</v>
      </c>
      <c r="R7" s="637">
        <f>VLOOKUP($B7,'Afton Update'!$A$5:$CR$582,'Afton Update'!AJ$589,0)</f>
        <v>295677.55087805638</v>
      </c>
      <c r="S7" s="637">
        <f>VLOOKUP($B7,'Afton Update'!$A$5:$CR$582,'Afton Update'!AK$589,0)</f>
        <v>258494.93028384756</v>
      </c>
      <c r="T7" s="643">
        <f t="shared" si="47"/>
        <v>1165248.6160858052</v>
      </c>
      <c r="V7" s="636">
        <f t="shared" ref="V7:V70" si="70">AW7</f>
        <v>487276.06885273411</v>
      </c>
      <c r="W7" s="637">
        <f t="shared" ref="W7:W70" si="71">BT7</f>
        <v>113372.97504317397</v>
      </c>
      <c r="X7" s="637">
        <f t="shared" ref="X7:X70" si="72">CQ7</f>
        <v>292988.47899575526</v>
      </c>
      <c r="Y7" s="637">
        <f t="shared" ref="Y7:Y70" si="73">DN7</f>
        <v>256101.74719512652</v>
      </c>
      <c r="Z7" s="643">
        <f t="shared" ref="Z7:Z70" si="74">SUM(V7:Y7)</f>
        <v>1149739.2700867897</v>
      </c>
      <c r="AB7" s="644">
        <f t="shared" si="11"/>
        <v>494014.75069929648</v>
      </c>
      <c r="AC7" s="645">
        <f t="shared" si="12"/>
        <v>486633.94467802992</v>
      </c>
      <c r="AD7" s="644">
        <f t="shared" ref="AD7:AD70" si="75">IF($I7="N",0,MAX(AC7-AB7,0))</f>
        <v>0</v>
      </c>
      <c r="AE7" s="645">
        <f t="shared" ref="AE7:AE70" si="76">IF(AD7=0,AB7,0)</f>
        <v>494014.75069929648</v>
      </c>
      <c r="AF7" s="646">
        <f t="shared" ref="AF7:AF70" si="77">-IF(AD7=0,((AE7/AE$2)*AD$2),0)</f>
        <v>-6123.6840771206453</v>
      </c>
      <c r="AG7" s="647">
        <f t="shared" ref="AG7:AG70" si="78">IF(AD7=0,AE7+AF7,AD7+AB7)</f>
        <v>487891.06662217586</v>
      </c>
      <c r="AH7" s="644">
        <f t="shared" si="13"/>
        <v>0</v>
      </c>
      <c r="AI7" s="645">
        <f t="shared" si="14"/>
        <v>487891.06662217586</v>
      </c>
      <c r="AJ7" s="646">
        <f t="shared" ref="AJ7:AJ70" si="79">IF(AND(AH7=0,AD7=0),((AI7/AI$2))*AH$2,0)</f>
        <v>-614.60595625172471</v>
      </c>
      <c r="AK7" s="647">
        <f t="shared" si="15"/>
        <v>487276.46066592413</v>
      </c>
      <c r="AL7" s="644">
        <f t="shared" ref="AL7:AL70" si="80">IF(AK7-AC7&lt;0,AK7-AC7,0)</f>
        <v>0</v>
      </c>
      <c r="AM7" s="645">
        <f t="shared" ref="AM7:AM70" si="81">IF(AND(AH7=0,AD7=0,AL7=0),AK7,0)</f>
        <v>487276.46066592413</v>
      </c>
      <c r="AN7" s="646">
        <f t="shared" ref="AN7:AN70" si="82">IF(AND(AL7=0,AH7=0,AD7=0),((AM7/AM$2))*AL$2,0)</f>
        <v>-0.3918131899904953</v>
      </c>
      <c r="AO7" s="647">
        <f t="shared" si="16"/>
        <v>487276.06885273411</v>
      </c>
      <c r="AP7" s="644">
        <f t="shared" ref="AP7:AP70" si="83">IF(AO7-AC7&lt;0,AO7-AC7,0)</f>
        <v>0</v>
      </c>
      <c r="AQ7" s="645">
        <f t="shared" ref="AQ7:AQ70" si="84">IF(AND(AH7=0,AD7=0,AL7=0,AP7=0),AO7,0)</f>
        <v>487276.06885273411</v>
      </c>
      <c r="AR7" s="646">
        <f t="shared" ref="AR7:AR70" si="85">IF(AND(AP7=0,AL7=0,AH7=0,AD7=0),((AQ7/AQ$2))*AP$2,0)</f>
        <v>0</v>
      </c>
      <c r="AS7" s="647">
        <f t="shared" si="17"/>
        <v>487276.06885273411</v>
      </c>
      <c r="AT7" s="644">
        <f t="shared" ref="AT7:AT70" si="86">IF(AS7-AC7&lt;0,AS7-AC7,0)</f>
        <v>0</v>
      </c>
      <c r="AU7" s="645">
        <f t="shared" ref="AU7:AU70" si="87">IF(AND(AP7=0,AL7=0,AT7=0,AD7=0,AH7=0),AS7,0)</f>
        <v>487276.06885273411</v>
      </c>
      <c r="AV7" s="646">
        <f t="shared" ref="AV7:AV70" si="88">IF(AND(AT7=0,AP7=0,AL7=0),((AU7/AU$2))*AT$2,0)</f>
        <v>0</v>
      </c>
      <c r="AW7" s="647">
        <f t="shared" si="18"/>
        <v>487276.06885273411</v>
      </c>
      <c r="AY7" s="644">
        <f t="shared" ref="AY7:AY70" si="89">IF(Q7="",0,Q7)</f>
        <v>117061.38422460498</v>
      </c>
      <c r="AZ7" s="645">
        <f t="shared" si="48"/>
        <v>113372.97504317397</v>
      </c>
      <c r="BA7" s="644">
        <f t="shared" ref="BA7:BA70" si="90">IF($J7="N",0,MAX(AZ7-AY7,0))</f>
        <v>0</v>
      </c>
      <c r="BB7" s="645">
        <f t="shared" ref="BB7:BB70" si="91">IF(BA7=0,AY7,0)</f>
        <v>117061.38422460498</v>
      </c>
      <c r="BC7" s="646">
        <f t="shared" ref="BC7:BC70" si="92">-IF(BA7=0,((BB7/BB$2)*BA$2),0)</f>
        <v>-841.82252921034524</v>
      </c>
      <c r="BD7" s="647">
        <f t="shared" ref="BD7:BD70" si="93">IF(BA7=0,BB7+BC7,BA7+AY7)</f>
        <v>116219.56169539463</v>
      </c>
      <c r="BE7" s="644">
        <f t="shared" si="19"/>
        <v>0</v>
      </c>
      <c r="BF7" s="645">
        <f t="shared" si="20"/>
        <v>116219.56169539463</v>
      </c>
      <c r="BG7" s="646">
        <f t="shared" ref="BG7:BG70" si="94">IF(AND(BE7=0,BA7=0),((BF7/BF$2))*BE$2,0)</f>
        <v>-2768.2552474744298</v>
      </c>
      <c r="BH7" s="647">
        <f t="shared" si="21"/>
        <v>113451.3064479202</v>
      </c>
      <c r="BI7" s="644">
        <f t="shared" ref="BI7:BI70" si="95">IF(BH7-AZ7&lt;0,BH7-AZ7,0)</f>
        <v>0</v>
      </c>
      <c r="BJ7" s="645">
        <f t="shared" ref="BJ7:BJ70" si="96">IF(AND(BE7=0,BA7=0,BI7=0),BH7,0)</f>
        <v>113451.3064479202</v>
      </c>
      <c r="BK7" s="646">
        <f t="shared" ref="BK7:BK70" si="97">IF(AND(BI7=0,BE7=0,BA7=0),((BJ7/BJ$2))*BI$2,0)</f>
        <v>-240.31651359297413</v>
      </c>
      <c r="BL7" s="647">
        <f t="shared" si="22"/>
        <v>113210.98993432723</v>
      </c>
      <c r="BM7" s="644">
        <f t="shared" ref="BM7:BM70" si="98">IF(BL7-AZ7&lt;0,BL7-AZ7,0)</f>
        <v>-161.98510884674033</v>
      </c>
      <c r="BN7" s="645">
        <f t="shared" ref="BN7:BN70" si="99">IF(AND(BE7=0,BA7=0,BI7=0,BM7=0),BL7,0)</f>
        <v>0</v>
      </c>
      <c r="BO7" s="646">
        <f t="shared" ref="BO7:BO70" si="100">IF(AND(BM7=0,BI7=0,BE7=0,BA7=0),((BN7/BN$2))*BM$2,0)</f>
        <v>0</v>
      </c>
      <c r="BP7" s="647">
        <f t="shared" si="23"/>
        <v>113372.97504317397</v>
      </c>
      <c r="BQ7" s="644">
        <f t="shared" ref="BQ7:BQ70" si="101">IF(BP7-AZ7&lt;0,BP7-AZ7,0)</f>
        <v>0</v>
      </c>
      <c r="BR7" s="645">
        <f t="shared" ref="BR7:BR70" si="102">IF(AND(BM7=0,BI7=0,BQ7=0,BA7=0,BE7=0),BP7,0)</f>
        <v>0</v>
      </c>
      <c r="BS7" s="646">
        <f t="shared" ref="BS7:BS70" si="103">IF(AND(BQ7=0,BM7=0,BI7=0),((BR7/BR$2))*BQ$2,0)</f>
        <v>0</v>
      </c>
      <c r="BT7" s="647">
        <f t="shared" si="24"/>
        <v>113372.97504317397</v>
      </c>
      <c r="BU7" s="662">
        <f>VLOOKUP(B7,'Afton Update'!$A$5:$AR$582,'Afton Update'!$AO$589,0)-BT7</f>
        <v>0</v>
      </c>
      <c r="BV7" s="644">
        <f t="shared" ref="BV7:BV70" si="104">IF(R7="",0,R7)</f>
        <v>295677.55087805638</v>
      </c>
      <c r="BW7" s="645">
        <f t="shared" si="25"/>
        <v>291655.87337756902</v>
      </c>
      <c r="BX7" s="644">
        <f t="shared" ref="BX7:BX70" si="105">IF($K7="N",0,MAX(BW7-BV7,0))</f>
        <v>0</v>
      </c>
      <c r="BY7" s="645">
        <f t="shared" ref="BY7:BY70" si="106">IF(BX7=0,BV7,0)</f>
        <v>295677.55087805638</v>
      </c>
      <c r="BZ7" s="646">
        <f t="shared" ref="BZ7:BZ70" si="107">-IF(BX7=0,((BY7/BY$2)*BX$2),0)</f>
        <v>-2595.1933001427205</v>
      </c>
      <c r="CA7" s="647">
        <f t="shared" ref="CA7:CA70" si="108">IF(BX7=0,BY7+BZ7,BX7+BV7)</f>
        <v>293082.35757791367</v>
      </c>
      <c r="CB7" s="644">
        <f t="shared" si="26"/>
        <v>0</v>
      </c>
      <c r="CC7" s="645">
        <f t="shared" si="27"/>
        <v>293082.35757791367</v>
      </c>
      <c r="CD7" s="646">
        <f t="shared" ref="CD7:CD70" si="109">IF(AND(CB7=0,BX7=0),((CC7/CC$2))*CB$2,0)</f>
        <v>-93.878582158405862</v>
      </c>
      <c r="CE7" s="647">
        <f t="shared" si="28"/>
        <v>292988.47899575526</v>
      </c>
      <c r="CF7" s="644">
        <f t="shared" ref="CF7:CF70" si="110">IF(CE7-BW7&lt;0,CE7-BW7,0)</f>
        <v>0</v>
      </c>
      <c r="CG7" s="645">
        <f t="shared" ref="CG7:CG70" si="111">IF(AND(CB7=0,BX7=0,CF7=0),CE7,0)</f>
        <v>292988.47899575526</v>
      </c>
      <c r="CH7" s="646">
        <f t="shared" ref="CH7:CH70" si="112">IF(AND(CF7=0,CB7=0,BX7=0),((CG7/CG$2))*CF$2,0)</f>
        <v>0</v>
      </c>
      <c r="CI7" s="647">
        <f t="shared" si="29"/>
        <v>292988.47899575526</v>
      </c>
      <c r="CJ7" s="644">
        <f t="shared" ref="CJ7:CJ70" si="113">IF(CI7-BW7&lt;0,CI7-BW7,0)</f>
        <v>0</v>
      </c>
      <c r="CK7" s="645">
        <f t="shared" ref="CK7:CK70" si="114">IF(AND(CB7=0,BX7=0,CF7=0,CJ7=0),CI7,0)</f>
        <v>292988.47899575526</v>
      </c>
      <c r="CL7" s="646">
        <f t="shared" ref="CL7:CL70" si="115">IF(AND(CJ7=0,CF7=0,CB7=0,BX7=0),((CK7/CK$2))*CJ$2,0)</f>
        <v>0</v>
      </c>
      <c r="CM7" s="647">
        <f t="shared" si="30"/>
        <v>292988.47899575526</v>
      </c>
      <c r="CN7" s="644">
        <f t="shared" ref="CN7:CN70" si="116">IF(CM7-BW7&lt;0,CM7-BW7,0)</f>
        <v>0</v>
      </c>
      <c r="CO7" s="645">
        <f t="shared" ref="CO7:CO70" si="117">IF(AND(CJ7=0,CF7=0,CN7=0,BX7=0,CB7=0),CM7,0)</f>
        <v>292988.47899575526</v>
      </c>
      <c r="CP7" s="646">
        <f t="shared" ref="CP7:CP70" si="118">IF(AND(CN7=0,CJ7=0,CF7=0),((CO7/CO$2))*CN$2,0)</f>
        <v>0</v>
      </c>
      <c r="CQ7" s="647">
        <f t="shared" si="31"/>
        <v>292988.47899575526</v>
      </c>
      <c r="CS7" s="644">
        <f t="shared" ref="CS7:CS70" si="119">IF(S7="",0,S7)</f>
        <v>258494.93028384756</v>
      </c>
      <c r="CT7" s="645">
        <f t="shared" si="32"/>
        <v>256101.74719512652</v>
      </c>
      <c r="CU7" s="644">
        <f t="shared" ref="CU7:CU70" si="120">IF($L7="N",0,MAX(CT7-CS7,0))</f>
        <v>0</v>
      </c>
      <c r="CV7" s="645">
        <f t="shared" ref="CV7:CV70" si="121">IF(CU7=0,CS7,0)</f>
        <v>258494.93028384756</v>
      </c>
      <c r="CW7" s="646">
        <f t="shared" ref="CW7:CW70" si="122">-IF(CU7=0,((CV7/CV$2)*CU$2),0)</f>
        <v>-2647.1341672723088</v>
      </c>
      <c r="CX7" s="647">
        <f t="shared" ref="CX7:CX70" si="123">IF(CU7=0,CV7+CW7,CU7+CS7)</f>
        <v>255847.79611657525</v>
      </c>
      <c r="CY7" s="644">
        <f t="shared" si="33"/>
        <v>-253.95107855126844</v>
      </c>
      <c r="CZ7" s="645">
        <f t="shared" si="34"/>
        <v>0</v>
      </c>
      <c r="DA7" s="646">
        <f t="shared" ref="DA7:DA70" si="124">IF(AND(CY7=0,CU7=0),((CZ7/CZ$2))*CY$2,0)</f>
        <v>0</v>
      </c>
      <c r="DB7" s="647">
        <f t="shared" si="35"/>
        <v>256101.74719512652</v>
      </c>
      <c r="DC7" s="644">
        <f t="shared" ref="DC7:DC70" si="125">IF(DB7-CT7&lt;0,DB7-CT7,0)</f>
        <v>0</v>
      </c>
      <c r="DD7" s="645">
        <f t="shared" ref="DD7:DD70" si="126">IF(AND(CY7=0,CU7=0,DC7=0),DB7,0)</f>
        <v>0</v>
      </c>
      <c r="DE7" s="646">
        <f t="shared" ref="DE7:DE70" si="127">IF(AND(DC7=0,CY7=0,CU7=0),((DD7/DD$2))*DC$2,0)</f>
        <v>0</v>
      </c>
      <c r="DF7" s="647">
        <f t="shared" si="36"/>
        <v>256101.74719512652</v>
      </c>
      <c r="DG7" s="644">
        <f t="shared" ref="DG7:DG70" si="128">IF(DF7-CT7&lt;0,DF7-CT7,0)</f>
        <v>0</v>
      </c>
      <c r="DH7" s="645">
        <f t="shared" ref="DH7:DH70" si="129">IF(AND(CY7=0,CU7=0,DC7=0,DG7=0),DF7,0)</f>
        <v>0</v>
      </c>
      <c r="DI7" s="646">
        <f t="shared" ref="DI7:DI70" si="130">IF(AND(DG7=0,DC7=0,CY7=0,CU7=0),((DH7/DH$2))*DG$2,0)</f>
        <v>0</v>
      </c>
      <c r="DJ7" s="647">
        <f t="shared" si="37"/>
        <v>256101.74719512652</v>
      </c>
      <c r="DK7" s="644">
        <f t="shared" ref="DK7:DK70" si="131">IF(DJ7-CT7&lt;0,DJ7-CT7,0)</f>
        <v>0</v>
      </c>
      <c r="DL7" s="645">
        <f t="shared" ref="DL7:DL70" si="132">IF(AND(DG7=0,DC7=0,DK7=0,CU7=0,CY7=0),DJ7,0)</f>
        <v>0</v>
      </c>
      <c r="DM7" s="646">
        <f t="shared" ref="DM7:DM70" si="133">IF(AND(DK7=0,DG7=0,DC7=0),((DL7/DL$2))*DK$2,0)</f>
        <v>0</v>
      </c>
      <c r="DN7" s="647">
        <f t="shared" si="38"/>
        <v>256101.74719512652</v>
      </c>
      <c r="DR7" s="827">
        <f t="shared" si="49"/>
        <v>1149739.2700867897</v>
      </c>
      <c r="DV7" s="828">
        <f>IFERROR(VLOOKUP($B7,'Afton FY16 Final'!$A$5:$BV$587,'Afton FY16 Final'!$BV$587,0),0)</f>
        <v>1101038.6567781605</v>
      </c>
      <c r="DX7" s="636">
        <f t="shared" si="39"/>
        <v>1149739.2700867897</v>
      </c>
      <c r="DY7" s="637">
        <f t="shared" si="40"/>
        <v>48700.613308629254</v>
      </c>
      <c r="DZ7" s="637">
        <f t="shared" si="41"/>
        <v>1101038.6567781605</v>
      </c>
      <c r="EA7" s="643">
        <f t="shared" si="42"/>
        <v>1088586.0265071644</v>
      </c>
      <c r="EB7" s="637">
        <f t="shared" si="50"/>
        <v>1101038.6567781605</v>
      </c>
      <c r="EC7" s="637">
        <f t="shared" si="51"/>
        <v>0</v>
      </c>
      <c r="ED7" s="637">
        <f t="shared" si="52"/>
        <v>0</v>
      </c>
      <c r="EE7" s="643">
        <f t="shared" si="53"/>
        <v>1101038.6567781605</v>
      </c>
      <c r="EF7" s="637">
        <f t="shared" si="54"/>
        <v>0</v>
      </c>
      <c r="EG7" s="637">
        <f t="shared" si="55"/>
        <v>0</v>
      </c>
      <c r="EH7" s="637">
        <f t="shared" si="56"/>
        <v>0</v>
      </c>
      <c r="EI7" s="643">
        <f t="shared" si="57"/>
        <v>1101038.6567781605</v>
      </c>
      <c r="EJ7" s="637">
        <f t="shared" si="58"/>
        <v>0</v>
      </c>
      <c r="EK7" s="637">
        <f t="shared" si="59"/>
        <v>0</v>
      </c>
      <c r="EL7" s="637">
        <f t="shared" si="60"/>
        <v>0</v>
      </c>
      <c r="EM7" s="643">
        <f t="shared" si="61"/>
        <v>1101038.6567781605</v>
      </c>
      <c r="EN7" s="637">
        <f t="shared" si="62"/>
        <v>0</v>
      </c>
      <c r="EO7" s="637">
        <f t="shared" si="63"/>
        <v>0</v>
      </c>
      <c r="EP7" s="637">
        <f t="shared" si="64"/>
        <v>0</v>
      </c>
      <c r="EQ7" s="643">
        <f t="shared" si="65"/>
        <v>1101038.6567781605</v>
      </c>
      <c r="ER7" s="637">
        <f t="shared" si="66"/>
        <v>0</v>
      </c>
      <c r="ES7" s="637">
        <f t="shared" si="67"/>
        <v>0</v>
      </c>
      <c r="ET7" s="637">
        <f t="shared" si="68"/>
        <v>0</v>
      </c>
      <c r="EU7" s="643">
        <f t="shared" si="43"/>
        <v>1101038.6567781605</v>
      </c>
      <c r="EV7" s="643">
        <f t="shared" si="44"/>
        <v>0</v>
      </c>
      <c r="EX7" s="829">
        <f t="shared" si="45"/>
        <v>48700.613308629254</v>
      </c>
      <c r="EY7" s="638">
        <f t="shared" si="46"/>
        <v>1101038.6567781605</v>
      </c>
      <c r="FC7" s="830" t="str">
        <f t="shared" si="69"/>
        <v>Y</v>
      </c>
      <c r="FE7" s="830" t="str">
        <f>IFERROR(VLOOKUP($B7,'Historical Conc Grant Elig'!$B$3:$J$707,'HH &amp; SI'!FE$2,0),"N")</f>
        <v>Y</v>
      </c>
      <c r="FF7" s="830" t="str">
        <f>IFERROR(VLOOKUP($B7,'Historical Conc Grant Elig'!$B$3:$J$707,'HH &amp; SI'!FF$2,0),"N")</f>
        <v>Y</v>
      </c>
      <c r="FG7" s="830" t="str">
        <f>IFERROR(VLOOKUP($B7,'Historical Conc Grant Elig'!$B$3:$J$707,'HH &amp; SI'!FG$2,0),"N")</f>
        <v>Y</v>
      </c>
      <c r="FH7" s="830" t="str">
        <f>IFERROR(VLOOKUP($B7,'Historical Conc Grant Elig'!$B$3:$J$707,'HH &amp; SI'!FH$2,0),"N")</f>
        <v>Y</v>
      </c>
      <c r="FI7" s="830" t="str">
        <f>IFERROR(VLOOKUP($B7,'Historical Conc Grant Elig'!$B$3:$J$707,'HH &amp; SI'!FI$2,0),"N")</f>
        <v>Y</v>
      </c>
      <c r="FJ7" s="830" t="str">
        <f>IFERROR(VLOOKUP($B7,'Historical Conc Grant Elig'!$B$3:$J$707,'HH &amp; SI'!FJ$2,0),"N")</f>
        <v>Y</v>
      </c>
      <c r="FK7" s="830" t="str">
        <f>IFERROR(VLOOKUP($B7,'Historical Conc Grant Elig'!$B$3:$J$707,'HH &amp; SI'!FK$2,0),"N")</f>
        <v>Y</v>
      </c>
      <c r="FL7" s="957" t="str">
        <f>IFERROR(VLOOKUP($B7,'Historical Conc Grant Elig'!$B$3:$J$707,'HH &amp; SI'!FL$2,0),"N")</f>
        <v>Y</v>
      </c>
    </row>
    <row r="8" spans="1:168" x14ac:dyDescent="0.25">
      <c r="B8" s="634">
        <v>10210000</v>
      </c>
      <c r="C8" s="635" t="str">
        <f>VLOOKUP($B8,'Afton Update'!$A$5:$CR$582,'Afton Update'!D$589,0)</f>
        <v>Round Valley Unified District</v>
      </c>
      <c r="D8" s="636">
        <f>IFERROR(VLOOKUP($B8,'Afton FY16 Final'!$A$5:$BV$587,'Afton FY16 Final'!AQ$587,0),0)</f>
        <v>200188.19260802199</v>
      </c>
      <c r="E8" s="637">
        <f>IFERROR(VLOOKUP($B8,'Afton FY16 Final'!$A$5:$BV$587,'Afton FY16 Final'!AR$587,0),0)</f>
        <v>46638.610423084283</v>
      </c>
      <c r="F8" s="637">
        <f>IFERROR(VLOOKUP($B8,'Afton FY16 Final'!$A$5:$BV$587,'Afton FY16 Final'!AS$587,0),0)</f>
        <v>85188.977078868484</v>
      </c>
      <c r="G8" s="637">
        <f>IFERROR(VLOOKUP($B8,'Afton FY16 Final'!$A$5:$BV$587,'Afton FY16 Final'!AT$587,0),0)</f>
        <v>60205.982272510562</v>
      </c>
      <c r="H8" s="638">
        <f>IFERROR(VLOOKUP($B8,'Afton FY16 Final'!$A$5:$BV$587,'Afton FY16 Final'!AU$587,0),0)</f>
        <v>392221.76238248532</v>
      </c>
      <c r="I8" s="639" t="str">
        <f>VLOOKUP($B8,'Afton Update'!$A$5:$CR$582,'Afton Update'!BT$589,0)</f>
        <v>Y</v>
      </c>
      <c r="J8" s="640" t="str">
        <f>VLOOKUP($B8,'Afton Update'!$A$5:$CR$582,'Afton Update'!BU$589,0)</f>
        <v>Y</v>
      </c>
      <c r="K8" s="640" t="str">
        <f>VLOOKUP($B8,'Afton Update'!$A$5:$CR$582,'Afton Update'!BV$589,0)</f>
        <v>Y</v>
      </c>
      <c r="L8" s="641" t="str">
        <f>VLOOKUP($B8,'Afton Update'!$A$5:$CR$582,'Afton Update'!BW$589,0)</f>
        <v>Y</v>
      </c>
      <c r="N8" s="642">
        <f>VLOOKUP($B8,'Afton Update'!$A$5:$CR$582,'Afton Update'!CB$589,0)</f>
        <v>0.9</v>
      </c>
      <c r="P8" s="636">
        <f>VLOOKUP($B8,'Afton Update'!$A$5:$CR$582,'Afton Update'!AH$589,0)</f>
        <v>182902.01296307895</v>
      </c>
      <c r="Q8" s="637">
        <f>VLOOKUP($B8,'Afton Update'!$A$5:$CR$582,'Afton Update'!AI$589,0)</f>
        <v>43340.331001487153</v>
      </c>
      <c r="R8" s="637">
        <f>VLOOKUP($B8,'Afton Update'!$A$5:$CR$582,'Afton Update'!AJ$589,0)</f>
        <v>77727.292207452396</v>
      </c>
      <c r="S8" s="637">
        <f>VLOOKUP($B8,'Afton Update'!$A$5:$CR$582,'Afton Update'!AK$589,0)</f>
        <v>57073.587069223002</v>
      </c>
      <c r="T8" s="643">
        <f t="shared" si="47"/>
        <v>361043.22324124147</v>
      </c>
      <c r="V8" s="636">
        <f t="shared" si="70"/>
        <v>180407.11079121192</v>
      </c>
      <c r="W8" s="637">
        <f t="shared" si="71"/>
        <v>41974.749380775858</v>
      </c>
      <c r="X8" s="637">
        <f t="shared" si="72"/>
        <v>77020.392832299418</v>
      </c>
      <c r="Y8" s="637">
        <f t="shared" si="73"/>
        <v>56444.738877424883</v>
      </c>
      <c r="Z8" s="643">
        <f t="shared" si="74"/>
        <v>355846.99188171211</v>
      </c>
      <c r="AB8" s="644">
        <f t="shared" si="11"/>
        <v>182902.01296307895</v>
      </c>
      <c r="AC8" s="645">
        <f t="shared" si="12"/>
        <v>180169.37334721978</v>
      </c>
      <c r="AD8" s="644">
        <f t="shared" si="75"/>
        <v>0</v>
      </c>
      <c r="AE8" s="645">
        <f t="shared" si="76"/>
        <v>182902.01296307895</v>
      </c>
      <c r="AF8" s="646">
        <f t="shared" si="77"/>
        <v>-2267.2078978813283</v>
      </c>
      <c r="AG8" s="647">
        <f t="shared" si="78"/>
        <v>180634.80506519761</v>
      </c>
      <c r="AH8" s="644">
        <f t="shared" si="13"/>
        <v>0</v>
      </c>
      <c r="AI8" s="645">
        <f t="shared" si="14"/>
        <v>180634.80506519761</v>
      </c>
      <c r="AJ8" s="646">
        <f t="shared" si="79"/>
        <v>-227.54921066307054</v>
      </c>
      <c r="AK8" s="647">
        <f t="shared" si="15"/>
        <v>180407.25585453454</v>
      </c>
      <c r="AL8" s="644">
        <f t="shared" si="80"/>
        <v>0</v>
      </c>
      <c r="AM8" s="645">
        <f t="shared" si="81"/>
        <v>180407.25585453454</v>
      </c>
      <c r="AN8" s="646">
        <f t="shared" si="82"/>
        <v>-0.14506332260991117</v>
      </c>
      <c r="AO8" s="647">
        <f t="shared" si="16"/>
        <v>180407.11079121192</v>
      </c>
      <c r="AP8" s="644">
        <f t="shared" si="83"/>
        <v>0</v>
      </c>
      <c r="AQ8" s="645">
        <f t="shared" si="84"/>
        <v>180407.11079121192</v>
      </c>
      <c r="AR8" s="646">
        <f t="shared" si="85"/>
        <v>0</v>
      </c>
      <c r="AS8" s="647">
        <f t="shared" si="17"/>
        <v>180407.11079121192</v>
      </c>
      <c r="AT8" s="644">
        <f t="shared" si="86"/>
        <v>0</v>
      </c>
      <c r="AU8" s="645">
        <f t="shared" si="87"/>
        <v>180407.11079121192</v>
      </c>
      <c r="AV8" s="646">
        <f t="shared" si="88"/>
        <v>0</v>
      </c>
      <c r="AW8" s="647">
        <f t="shared" si="18"/>
        <v>180407.11079121192</v>
      </c>
      <c r="AY8" s="644">
        <f t="shared" si="89"/>
        <v>43340.331001487153</v>
      </c>
      <c r="AZ8" s="645">
        <f t="shared" si="48"/>
        <v>41974.749380775858</v>
      </c>
      <c r="BA8" s="644">
        <f t="shared" si="90"/>
        <v>0</v>
      </c>
      <c r="BB8" s="645">
        <f t="shared" si="91"/>
        <v>43340.331001487153</v>
      </c>
      <c r="BC8" s="646">
        <f t="shared" si="92"/>
        <v>-311.67295092361252</v>
      </c>
      <c r="BD8" s="647">
        <f t="shared" si="93"/>
        <v>43028.658050563543</v>
      </c>
      <c r="BE8" s="644">
        <f t="shared" si="19"/>
        <v>0</v>
      </c>
      <c r="BF8" s="645">
        <f t="shared" si="20"/>
        <v>43028.658050563543</v>
      </c>
      <c r="BG8" s="646">
        <f t="shared" si="94"/>
        <v>-1024.9075689379017</v>
      </c>
      <c r="BH8" s="647">
        <f t="shared" si="21"/>
        <v>42003.750481625641</v>
      </c>
      <c r="BI8" s="644">
        <f t="shared" si="95"/>
        <v>0</v>
      </c>
      <c r="BJ8" s="645">
        <f t="shared" si="96"/>
        <v>42003.750481625641</v>
      </c>
      <c r="BK8" s="646">
        <f t="shared" si="97"/>
        <v>-88.973809025347975</v>
      </c>
      <c r="BL8" s="647">
        <f t="shared" si="22"/>
        <v>41914.776672600296</v>
      </c>
      <c r="BM8" s="644">
        <f t="shared" si="98"/>
        <v>-59.97270817556273</v>
      </c>
      <c r="BN8" s="645">
        <f t="shared" si="99"/>
        <v>0</v>
      </c>
      <c r="BO8" s="646">
        <f t="shared" si="100"/>
        <v>0</v>
      </c>
      <c r="BP8" s="647">
        <f t="shared" si="23"/>
        <v>41974.749380775858</v>
      </c>
      <c r="BQ8" s="644">
        <f t="shared" si="101"/>
        <v>0</v>
      </c>
      <c r="BR8" s="645">
        <f t="shared" si="102"/>
        <v>0</v>
      </c>
      <c r="BS8" s="646">
        <f t="shared" si="103"/>
        <v>0</v>
      </c>
      <c r="BT8" s="647">
        <f t="shared" si="24"/>
        <v>41974.749380775858</v>
      </c>
      <c r="BU8" s="662">
        <f>VLOOKUP(B8,'Afton Update'!$A$5:$AR$582,'Afton Update'!$AO$589,0)-BT8</f>
        <v>0</v>
      </c>
      <c r="BV8" s="644">
        <f t="shared" si="104"/>
        <v>77727.292207452396</v>
      </c>
      <c r="BW8" s="645">
        <f t="shared" si="25"/>
        <v>76670.079370981635</v>
      </c>
      <c r="BX8" s="644">
        <f t="shared" si="105"/>
        <v>0</v>
      </c>
      <c r="BY8" s="645">
        <f t="shared" si="106"/>
        <v>77727.292207452396</v>
      </c>
      <c r="BZ8" s="646">
        <f t="shared" si="107"/>
        <v>-682.22070757819688</v>
      </c>
      <c r="CA8" s="647">
        <f t="shared" si="108"/>
        <v>77045.071499874204</v>
      </c>
      <c r="CB8" s="644">
        <f t="shared" si="26"/>
        <v>0</v>
      </c>
      <c r="CC8" s="645">
        <f t="shared" si="27"/>
        <v>77045.071499874204</v>
      </c>
      <c r="CD8" s="646">
        <f t="shared" si="109"/>
        <v>-24.678667574790435</v>
      </c>
      <c r="CE8" s="647">
        <f t="shared" si="28"/>
        <v>77020.392832299418</v>
      </c>
      <c r="CF8" s="644">
        <f t="shared" si="110"/>
        <v>0</v>
      </c>
      <c r="CG8" s="645">
        <f t="shared" si="111"/>
        <v>77020.392832299418</v>
      </c>
      <c r="CH8" s="646">
        <f t="shared" si="112"/>
        <v>0</v>
      </c>
      <c r="CI8" s="647">
        <f t="shared" si="29"/>
        <v>77020.392832299418</v>
      </c>
      <c r="CJ8" s="644">
        <f t="shared" si="113"/>
        <v>0</v>
      </c>
      <c r="CK8" s="645">
        <f t="shared" si="114"/>
        <v>77020.392832299418</v>
      </c>
      <c r="CL8" s="646">
        <f t="shared" si="115"/>
        <v>0</v>
      </c>
      <c r="CM8" s="647">
        <f t="shared" si="30"/>
        <v>77020.392832299418</v>
      </c>
      <c r="CN8" s="644">
        <f t="shared" si="116"/>
        <v>0</v>
      </c>
      <c r="CO8" s="645">
        <f t="shared" si="117"/>
        <v>77020.392832299418</v>
      </c>
      <c r="CP8" s="646">
        <f t="shared" si="118"/>
        <v>0</v>
      </c>
      <c r="CQ8" s="647">
        <f t="shared" si="31"/>
        <v>77020.392832299418</v>
      </c>
      <c r="CS8" s="644">
        <f t="shared" si="119"/>
        <v>57073.587069223002</v>
      </c>
      <c r="CT8" s="645">
        <f t="shared" si="32"/>
        <v>54185.38404525951</v>
      </c>
      <c r="CU8" s="644">
        <f t="shared" si="120"/>
        <v>0</v>
      </c>
      <c r="CV8" s="645">
        <f t="shared" si="121"/>
        <v>57073.587069223002</v>
      </c>
      <c r="CW8" s="646">
        <f t="shared" si="122"/>
        <v>-584.46578512712824</v>
      </c>
      <c r="CX8" s="647">
        <f t="shared" si="123"/>
        <v>56489.121284095876</v>
      </c>
      <c r="CY8" s="644">
        <f t="shared" si="33"/>
        <v>0</v>
      </c>
      <c r="CZ8" s="645">
        <f t="shared" si="34"/>
        <v>56489.121284095876</v>
      </c>
      <c r="DA8" s="646">
        <f t="shared" si="124"/>
        <v>-44.344165351550174</v>
      </c>
      <c r="DB8" s="647">
        <f t="shared" si="35"/>
        <v>56444.777118744329</v>
      </c>
      <c r="DC8" s="644">
        <f t="shared" si="125"/>
        <v>0</v>
      </c>
      <c r="DD8" s="645">
        <f t="shared" si="126"/>
        <v>56444.777118744329</v>
      </c>
      <c r="DE8" s="646">
        <f t="shared" si="127"/>
        <v>-3.82413194447941E-2</v>
      </c>
      <c r="DF8" s="647">
        <f t="shared" si="36"/>
        <v>56444.738877424883</v>
      </c>
      <c r="DG8" s="644">
        <f t="shared" si="128"/>
        <v>0</v>
      </c>
      <c r="DH8" s="645">
        <f t="shared" si="129"/>
        <v>56444.738877424883</v>
      </c>
      <c r="DI8" s="646">
        <f t="shared" si="130"/>
        <v>0</v>
      </c>
      <c r="DJ8" s="647">
        <f t="shared" si="37"/>
        <v>56444.738877424883</v>
      </c>
      <c r="DK8" s="644">
        <f t="shared" si="131"/>
        <v>0</v>
      </c>
      <c r="DL8" s="645">
        <f t="shared" si="132"/>
        <v>56444.738877424883</v>
      </c>
      <c r="DM8" s="646">
        <f t="shared" si="133"/>
        <v>0</v>
      </c>
      <c r="DN8" s="647">
        <f t="shared" si="38"/>
        <v>56444.738877424883</v>
      </c>
      <c r="DR8" s="827">
        <f t="shared" si="49"/>
        <v>355846.99188171211</v>
      </c>
      <c r="DV8" s="828">
        <f>IFERROR(VLOOKUP($B8,'Afton FY16 Final'!$A$5:$BV$587,'Afton FY16 Final'!$BV$587,0),0)</f>
        <v>348226.39606514713</v>
      </c>
      <c r="DX8" s="636">
        <f t="shared" si="39"/>
        <v>355846.99188171211</v>
      </c>
      <c r="DY8" s="637">
        <f t="shared" si="40"/>
        <v>7620.595816564979</v>
      </c>
      <c r="DZ8" s="637">
        <f t="shared" si="41"/>
        <v>348226.39606514713</v>
      </c>
      <c r="EA8" s="643">
        <f t="shared" si="42"/>
        <v>336919.92003352108</v>
      </c>
      <c r="EB8" s="637">
        <f t="shared" si="50"/>
        <v>348226.39606514713</v>
      </c>
      <c r="EC8" s="637">
        <f t="shared" si="51"/>
        <v>0</v>
      </c>
      <c r="ED8" s="637">
        <f t="shared" si="52"/>
        <v>0</v>
      </c>
      <c r="EE8" s="643">
        <f t="shared" si="53"/>
        <v>348226.39606514713</v>
      </c>
      <c r="EF8" s="637">
        <f t="shared" si="54"/>
        <v>0</v>
      </c>
      <c r="EG8" s="637">
        <f t="shared" si="55"/>
        <v>0</v>
      </c>
      <c r="EH8" s="637">
        <f t="shared" si="56"/>
        <v>0</v>
      </c>
      <c r="EI8" s="643">
        <f t="shared" si="57"/>
        <v>348226.39606514713</v>
      </c>
      <c r="EJ8" s="637">
        <f t="shared" si="58"/>
        <v>0</v>
      </c>
      <c r="EK8" s="637">
        <f t="shared" si="59"/>
        <v>0</v>
      </c>
      <c r="EL8" s="637">
        <f t="shared" si="60"/>
        <v>0</v>
      </c>
      <c r="EM8" s="643">
        <f t="shared" si="61"/>
        <v>348226.39606514713</v>
      </c>
      <c r="EN8" s="637">
        <f t="shared" si="62"/>
        <v>0</v>
      </c>
      <c r="EO8" s="637">
        <f t="shared" si="63"/>
        <v>0</v>
      </c>
      <c r="EP8" s="637">
        <f t="shared" si="64"/>
        <v>0</v>
      </c>
      <c r="EQ8" s="643">
        <f t="shared" si="65"/>
        <v>348226.39606514713</v>
      </c>
      <c r="ER8" s="637">
        <f t="shared" si="66"/>
        <v>0</v>
      </c>
      <c r="ES8" s="637">
        <f t="shared" si="67"/>
        <v>0</v>
      </c>
      <c r="ET8" s="637">
        <f t="shared" si="68"/>
        <v>0</v>
      </c>
      <c r="EU8" s="643">
        <f t="shared" si="43"/>
        <v>348226.39606514713</v>
      </c>
      <c r="EV8" s="643">
        <f t="shared" si="44"/>
        <v>0</v>
      </c>
      <c r="EX8" s="829">
        <f t="shared" si="45"/>
        <v>7620.595816564979</v>
      </c>
      <c r="EY8" s="638">
        <f t="shared" si="46"/>
        <v>348226.39606514713</v>
      </c>
      <c r="FC8" s="830" t="str">
        <f t="shared" si="69"/>
        <v>Y</v>
      </c>
      <c r="FE8" s="830" t="str">
        <f>IFERROR(VLOOKUP($B8,'Historical Conc Grant Elig'!$B$3:$J$707,'HH &amp; SI'!FE$2,0),"N")</f>
        <v>N</v>
      </c>
      <c r="FF8" s="830" t="str">
        <f>IFERROR(VLOOKUP($B8,'Historical Conc Grant Elig'!$B$3:$J$707,'HH &amp; SI'!FF$2,0),"N")</f>
        <v>N</v>
      </c>
      <c r="FG8" s="830" t="str">
        <f>IFERROR(VLOOKUP($B8,'Historical Conc Grant Elig'!$B$3:$J$707,'HH &amp; SI'!FG$2,0),"N")</f>
        <v>N</v>
      </c>
      <c r="FH8" s="830" t="str">
        <f>IFERROR(VLOOKUP($B8,'Historical Conc Grant Elig'!$B$3:$J$707,'HH &amp; SI'!FH$2,0),"N")</f>
        <v>Y</v>
      </c>
      <c r="FI8" s="830" t="str">
        <f>IFERROR(VLOOKUP($B8,'Historical Conc Grant Elig'!$B$3:$J$707,'HH &amp; SI'!FI$2,0),"N")</f>
        <v>Y</v>
      </c>
      <c r="FJ8" s="830" t="str">
        <f>IFERROR(VLOOKUP($B8,'Historical Conc Grant Elig'!$B$3:$J$707,'HH &amp; SI'!FJ$2,0),"N")</f>
        <v>Y</v>
      </c>
      <c r="FK8" s="830" t="str">
        <f>IFERROR(VLOOKUP($B8,'Historical Conc Grant Elig'!$B$3:$J$707,'HH &amp; SI'!FK$2,0),"N")</f>
        <v>Y</v>
      </c>
      <c r="FL8" s="957" t="str">
        <f>IFERROR(VLOOKUP($B8,'Historical Conc Grant Elig'!$B$3:$J$707,'HH &amp; SI'!FL$2,0),"N")</f>
        <v>Y</v>
      </c>
    </row>
    <row r="9" spans="1:168" x14ac:dyDescent="0.25">
      <c r="B9" s="634">
        <v>10218000</v>
      </c>
      <c r="C9" s="635" t="str">
        <f>VLOOKUP($B9,'Afton Update'!$A$5:$CR$582,'Afton Update'!D$589,0)</f>
        <v>Sanders Unified District</v>
      </c>
      <c r="D9" s="636">
        <f>IFERROR(VLOOKUP($B9,'Afton FY16 Final'!$A$5:$BV$587,'Afton FY16 Final'!AQ$587,0),0)</f>
        <v>327910.07114979165</v>
      </c>
      <c r="E9" s="637">
        <f>IFERROR(VLOOKUP($B9,'Afton FY16 Final'!$A$5:$BV$587,'Afton FY16 Final'!AR$587,0),0)</f>
        <v>82848.291966983132</v>
      </c>
      <c r="F9" s="637">
        <f>IFERROR(VLOOKUP($B9,'Afton FY16 Final'!$A$5:$BV$587,'Afton FY16 Final'!AS$587,0),0)</f>
        <v>225190.89652255669</v>
      </c>
      <c r="G9" s="637">
        <f>IFERROR(VLOOKUP($B9,'Afton FY16 Final'!$A$5:$BV$587,'Afton FY16 Final'!AT$587,0),0)</f>
        <v>240953.06157834781</v>
      </c>
      <c r="H9" s="638">
        <f>IFERROR(VLOOKUP($B9,'Afton FY16 Final'!$A$5:$BV$587,'Afton FY16 Final'!AU$587,0),0)</f>
        <v>876902.3212176793</v>
      </c>
      <c r="I9" s="639" t="str">
        <f>VLOOKUP($B9,'Afton Update'!$A$5:$CR$582,'Afton Update'!BT$589,0)</f>
        <v>Y</v>
      </c>
      <c r="J9" s="640" t="str">
        <f>VLOOKUP($B9,'Afton Update'!$A$5:$CR$582,'Afton Update'!BU$589,0)</f>
        <v>Y</v>
      </c>
      <c r="K9" s="640" t="str">
        <f>VLOOKUP($B9,'Afton Update'!$A$5:$CR$582,'Afton Update'!BV$589,0)</f>
        <v>Y</v>
      </c>
      <c r="L9" s="641" t="str">
        <f>VLOOKUP($B9,'Afton Update'!$A$5:$CR$582,'Afton Update'!BW$589,0)</f>
        <v>Y</v>
      </c>
      <c r="N9" s="642">
        <f>VLOOKUP($B9,'Afton Update'!$A$5:$CR$582,'Afton Update'!CB$589,0)</f>
        <v>0.95</v>
      </c>
      <c r="P9" s="636">
        <f>VLOOKUP($B9,'Afton Update'!$A$5:$CR$582,'Afton Update'!AH$589,0)</f>
        <v>316239.32759176893</v>
      </c>
      <c r="Q9" s="637">
        <f>VLOOKUP($B9,'Afton Update'!$A$5:$CR$582,'Afton Update'!AI$589,0)</f>
        <v>79197.338305595389</v>
      </c>
      <c r="R9" s="637">
        <f>VLOOKUP($B9,'Afton Update'!$A$5:$CR$582,'Afton Update'!AJ$589,0)</f>
        <v>216881.27653011313</v>
      </c>
      <c r="S9" s="637">
        <f>VLOOKUP($B9,'Afton Update'!$A$5:$CR$582,'Afton Update'!AK$589,0)</f>
        <v>230334.75622158029</v>
      </c>
      <c r="T9" s="643">
        <f t="shared" si="47"/>
        <v>842652.69864905777</v>
      </c>
      <c r="V9" s="636">
        <f t="shared" si="70"/>
        <v>311925.61790396064</v>
      </c>
      <c r="W9" s="637">
        <f t="shared" si="71"/>
        <v>78705.87736863397</v>
      </c>
      <c r="X9" s="637">
        <f t="shared" si="72"/>
        <v>214908.82599816445</v>
      </c>
      <c r="Y9" s="637">
        <f t="shared" si="73"/>
        <v>228905.4084994304</v>
      </c>
      <c r="Z9" s="643">
        <f t="shared" si="74"/>
        <v>834445.7297701895</v>
      </c>
      <c r="AB9" s="644">
        <f t="shared" si="11"/>
        <v>316239.32759176893</v>
      </c>
      <c r="AC9" s="645">
        <f t="shared" si="12"/>
        <v>311514.56759230205</v>
      </c>
      <c r="AD9" s="644">
        <f t="shared" si="75"/>
        <v>0</v>
      </c>
      <c r="AE9" s="645">
        <f t="shared" si="76"/>
        <v>316239.32759176893</v>
      </c>
      <c r="AF9" s="646">
        <f t="shared" si="77"/>
        <v>-3920.0241130286008</v>
      </c>
      <c r="AG9" s="647">
        <f t="shared" si="78"/>
        <v>312319.30347874033</v>
      </c>
      <c r="AH9" s="644">
        <f t="shared" si="13"/>
        <v>0</v>
      </c>
      <c r="AI9" s="645">
        <f t="shared" si="14"/>
        <v>312319.30347874033</v>
      </c>
      <c r="AJ9" s="646">
        <f t="shared" si="79"/>
        <v>-393.43475890915005</v>
      </c>
      <c r="AK9" s="647">
        <f t="shared" si="15"/>
        <v>311925.86871983117</v>
      </c>
      <c r="AL9" s="644">
        <f t="shared" si="80"/>
        <v>0</v>
      </c>
      <c r="AM9" s="645">
        <f t="shared" si="81"/>
        <v>311925.86871983117</v>
      </c>
      <c r="AN9" s="646">
        <f t="shared" si="82"/>
        <v>-0.25081587051557785</v>
      </c>
      <c r="AO9" s="647">
        <f t="shared" si="16"/>
        <v>311925.61790396064</v>
      </c>
      <c r="AP9" s="644">
        <f t="shared" si="83"/>
        <v>0</v>
      </c>
      <c r="AQ9" s="645">
        <f t="shared" si="84"/>
        <v>311925.61790396064</v>
      </c>
      <c r="AR9" s="646">
        <f t="shared" si="85"/>
        <v>0</v>
      </c>
      <c r="AS9" s="647">
        <f t="shared" si="17"/>
        <v>311925.61790396064</v>
      </c>
      <c r="AT9" s="644">
        <f t="shared" si="86"/>
        <v>0</v>
      </c>
      <c r="AU9" s="645">
        <f t="shared" si="87"/>
        <v>311925.61790396064</v>
      </c>
      <c r="AV9" s="646">
        <f t="shared" si="88"/>
        <v>0</v>
      </c>
      <c r="AW9" s="647">
        <f t="shared" si="18"/>
        <v>311925.61790396064</v>
      </c>
      <c r="AY9" s="644">
        <f t="shared" si="89"/>
        <v>79197.338305595389</v>
      </c>
      <c r="AZ9" s="645">
        <f t="shared" si="48"/>
        <v>78705.87736863397</v>
      </c>
      <c r="BA9" s="644">
        <f t="shared" si="90"/>
        <v>0</v>
      </c>
      <c r="BB9" s="645">
        <f t="shared" si="91"/>
        <v>79197.338305595389</v>
      </c>
      <c r="BC9" s="646">
        <f t="shared" si="92"/>
        <v>-569.53114027102345</v>
      </c>
      <c r="BD9" s="647">
        <f t="shared" si="93"/>
        <v>78627.807165324368</v>
      </c>
      <c r="BE9" s="644">
        <f t="shared" si="19"/>
        <v>-78.070203309602221</v>
      </c>
      <c r="BF9" s="645">
        <f t="shared" si="20"/>
        <v>0</v>
      </c>
      <c r="BG9" s="646">
        <f t="shared" si="94"/>
        <v>0</v>
      </c>
      <c r="BH9" s="647">
        <f t="shared" si="21"/>
        <v>78705.87736863397</v>
      </c>
      <c r="BI9" s="644">
        <f t="shared" si="95"/>
        <v>0</v>
      </c>
      <c r="BJ9" s="645">
        <f t="shared" si="96"/>
        <v>0</v>
      </c>
      <c r="BK9" s="646">
        <f t="shared" si="97"/>
        <v>0</v>
      </c>
      <c r="BL9" s="647">
        <f t="shared" si="22"/>
        <v>78705.87736863397</v>
      </c>
      <c r="BM9" s="644">
        <f t="shared" si="98"/>
        <v>0</v>
      </c>
      <c r="BN9" s="645">
        <f t="shared" si="99"/>
        <v>0</v>
      </c>
      <c r="BO9" s="646">
        <f t="shared" si="100"/>
        <v>0</v>
      </c>
      <c r="BP9" s="647">
        <f t="shared" si="23"/>
        <v>78705.87736863397</v>
      </c>
      <c r="BQ9" s="644">
        <f t="shared" si="101"/>
        <v>0</v>
      </c>
      <c r="BR9" s="645">
        <f t="shared" si="102"/>
        <v>0</v>
      </c>
      <c r="BS9" s="646">
        <f t="shared" si="103"/>
        <v>0</v>
      </c>
      <c r="BT9" s="647">
        <f t="shared" si="24"/>
        <v>78705.87736863397</v>
      </c>
      <c r="BU9" s="662">
        <f>VLOOKUP(B9,'Afton Update'!$A$5:$AR$582,'Afton Update'!$AO$589,0)-BT9</f>
        <v>0</v>
      </c>
      <c r="BV9" s="644">
        <f t="shared" si="104"/>
        <v>216881.27653011313</v>
      </c>
      <c r="BW9" s="645">
        <f t="shared" si="25"/>
        <v>213931.35169642884</v>
      </c>
      <c r="BX9" s="644">
        <f t="shared" si="105"/>
        <v>0</v>
      </c>
      <c r="BY9" s="645">
        <f t="shared" si="106"/>
        <v>216881.27653011313</v>
      </c>
      <c r="BZ9" s="646">
        <f t="shared" si="107"/>
        <v>-1903.5900226645238</v>
      </c>
      <c r="CA9" s="647">
        <f t="shared" si="108"/>
        <v>214977.68650744861</v>
      </c>
      <c r="CB9" s="644">
        <f t="shared" si="26"/>
        <v>0</v>
      </c>
      <c r="CC9" s="645">
        <f t="shared" si="27"/>
        <v>214977.68650744861</v>
      </c>
      <c r="CD9" s="646">
        <f t="shared" si="109"/>
        <v>-68.860509284146715</v>
      </c>
      <c r="CE9" s="647">
        <f t="shared" si="28"/>
        <v>214908.82599816445</v>
      </c>
      <c r="CF9" s="644">
        <f t="shared" si="110"/>
        <v>0</v>
      </c>
      <c r="CG9" s="645">
        <f t="shared" si="111"/>
        <v>214908.82599816445</v>
      </c>
      <c r="CH9" s="646">
        <f t="shared" si="112"/>
        <v>0</v>
      </c>
      <c r="CI9" s="647">
        <f t="shared" si="29"/>
        <v>214908.82599816445</v>
      </c>
      <c r="CJ9" s="644">
        <f t="shared" si="113"/>
        <v>0</v>
      </c>
      <c r="CK9" s="645">
        <f t="shared" si="114"/>
        <v>214908.82599816445</v>
      </c>
      <c r="CL9" s="646">
        <f t="shared" si="115"/>
        <v>0</v>
      </c>
      <c r="CM9" s="647">
        <f t="shared" si="30"/>
        <v>214908.82599816445</v>
      </c>
      <c r="CN9" s="644">
        <f t="shared" si="116"/>
        <v>0</v>
      </c>
      <c r="CO9" s="645">
        <f t="shared" si="117"/>
        <v>214908.82599816445</v>
      </c>
      <c r="CP9" s="646">
        <f t="shared" si="118"/>
        <v>0</v>
      </c>
      <c r="CQ9" s="647">
        <f t="shared" si="31"/>
        <v>214908.82599816445</v>
      </c>
      <c r="CS9" s="644">
        <f t="shared" si="119"/>
        <v>230334.75622158029</v>
      </c>
      <c r="CT9" s="645">
        <f t="shared" si="32"/>
        <v>228905.4084994304</v>
      </c>
      <c r="CU9" s="644">
        <f t="shared" si="120"/>
        <v>0</v>
      </c>
      <c r="CV9" s="645">
        <f t="shared" si="121"/>
        <v>230334.75622158029</v>
      </c>
      <c r="CW9" s="646">
        <f t="shared" si="122"/>
        <v>-2358.7580709414901</v>
      </c>
      <c r="CX9" s="647">
        <f t="shared" si="123"/>
        <v>227975.9981506388</v>
      </c>
      <c r="CY9" s="644">
        <f t="shared" si="33"/>
        <v>-929.41034879159997</v>
      </c>
      <c r="CZ9" s="645">
        <f t="shared" si="34"/>
        <v>0</v>
      </c>
      <c r="DA9" s="646">
        <f t="shared" si="124"/>
        <v>0</v>
      </c>
      <c r="DB9" s="647">
        <f t="shared" si="35"/>
        <v>228905.4084994304</v>
      </c>
      <c r="DC9" s="644">
        <f t="shared" si="125"/>
        <v>0</v>
      </c>
      <c r="DD9" s="645">
        <f t="shared" si="126"/>
        <v>0</v>
      </c>
      <c r="DE9" s="646">
        <f t="shared" si="127"/>
        <v>0</v>
      </c>
      <c r="DF9" s="647">
        <f t="shared" si="36"/>
        <v>228905.4084994304</v>
      </c>
      <c r="DG9" s="644">
        <f t="shared" si="128"/>
        <v>0</v>
      </c>
      <c r="DH9" s="645">
        <f t="shared" si="129"/>
        <v>0</v>
      </c>
      <c r="DI9" s="646">
        <f t="shared" si="130"/>
        <v>0</v>
      </c>
      <c r="DJ9" s="647">
        <f t="shared" si="37"/>
        <v>228905.4084994304</v>
      </c>
      <c r="DK9" s="644">
        <f t="shared" si="131"/>
        <v>0</v>
      </c>
      <c r="DL9" s="645">
        <f t="shared" si="132"/>
        <v>0</v>
      </c>
      <c r="DM9" s="646">
        <f t="shared" si="133"/>
        <v>0</v>
      </c>
      <c r="DN9" s="647">
        <f t="shared" si="38"/>
        <v>228905.4084994304</v>
      </c>
      <c r="DR9" s="827">
        <f t="shared" si="49"/>
        <v>834445.7297701895</v>
      </c>
      <c r="DV9" s="828">
        <f>IFERROR(VLOOKUP($B9,'Afton FY16 Final'!$A$5:$BV$587,'Afton FY16 Final'!$BV$587,0),0)</f>
        <v>859636.11465812591</v>
      </c>
      <c r="DX9" s="636">
        <f t="shared" si="39"/>
        <v>0</v>
      </c>
      <c r="DY9" s="637">
        <f t="shared" si="40"/>
        <v>0</v>
      </c>
      <c r="DZ9" s="637">
        <f t="shared" si="41"/>
        <v>0</v>
      </c>
      <c r="EA9" s="643">
        <f t="shared" si="42"/>
        <v>0</v>
      </c>
      <c r="EB9" s="637">
        <f t="shared" si="50"/>
        <v>0</v>
      </c>
      <c r="EC9" s="637">
        <f t="shared" si="51"/>
        <v>0</v>
      </c>
      <c r="ED9" s="637">
        <f t="shared" si="52"/>
        <v>0</v>
      </c>
      <c r="EE9" s="643">
        <f t="shared" si="53"/>
        <v>0</v>
      </c>
      <c r="EF9" s="637">
        <f t="shared" si="54"/>
        <v>0</v>
      </c>
      <c r="EG9" s="637">
        <f t="shared" si="55"/>
        <v>0</v>
      </c>
      <c r="EH9" s="637">
        <f t="shared" si="56"/>
        <v>0</v>
      </c>
      <c r="EI9" s="643">
        <f t="shared" si="57"/>
        <v>0</v>
      </c>
      <c r="EJ9" s="637">
        <f t="shared" si="58"/>
        <v>0</v>
      </c>
      <c r="EK9" s="637">
        <f t="shared" si="59"/>
        <v>0</v>
      </c>
      <c r="EL9" s="637">
        <f t="shared" si="60"/>
        <v>0</v>
      </c>
      <c r="EM9" s="643">
        <f t="shared" si="61"/>
        <v>0</v>
      </c>
      <c r="EN9" s="637">
        <f t="shared" si="62"/>
        <v>0</v>
      </c>
      <c r="EO9" s="637">
        <f t="shared" si="63"/>
        <v>0</v>
      </c>
      <c r="EP9" s="637">
        <f t="shared" si="64"/>
        <v>0</v>
      </c>
      <c r="EQ9" s="643">
        <f t="shared" si="65"/>
        <v>0</v>
      </c>
      <c r="ER9" s="637">
        <f t="shared" si="66"/>
        <v>0</v>
      </c>
      <c r="ES9" s="637">
        <f t="shared" si="67"/>
        <v>0</v>
      </c>
      <c r="ET9" s="637">
        <f t="shared" si="68"/>
        <v>0</v>
      </c>
      <c r="EU9" s="643">
        <f t="shared" si="43"/>
        <v>0</v>
      </c>
      <c r="EV9" s="643">
        <f t="shared" si="44"/>
        <v>0</v>
      </c>
      <c r="EX9" s="829">
        <f t="shared" si="45"/>
        <v>0</v>
      </c>
      <c r="EY9" s="638">
        <f t="shared" si="46"/>
        <v>834445.7297701895</v>
      </c>
      <c r="FC9" s="830" t="str">
        <f t="shared" si="69"/>
        <v>Y</v>
      </c>
      <c r="FE9" s="830" t="str">
        <f>IFERROR(VLOOKUP($B9,'Historical Conc Grant Elig'!$B$3:$J$707,'HH &amp; SI'!FE$2,0),"N")</f>
        <v>Y</v>
      </c>
      <c r="FF9" s="830" t="str">
        <f>IFERROR(VLOOKUP($B9,'Historical Conc Grant Elig'!$B$3:$J$707,'HH &amp; SI'!FF$2,0),"N")</f>
        <v>Y</v>
      </c>
      <c r="FG9" s="830" t="str">
        <f>IFERROR(VLOOKUP($B9,'Historical Conc Grant Elig'!$B$3:$J$707,'HH &amp; SI'!FG$2,0),"N")</f>
        <v>Y</v>
      </c>
      <c r="FH9" s="830" t="str">
        <f>IFERROR(VLOOKUP($B9,'Historical Conc Grant Elig'!$B$3:$J$707,'HH &amp; SI'!FH$2,0),"N")</f>
        <v>Y</v>
      </c>
      <c r="FI9" s="830" t="str">
        <f>IFERROR(VLOOKUP($B9,'Historical Conc Grant Elig'!$B$3:$J$707,'HH &amp; SI'!FI$2,0),"N")</f>
        <v>Y</v>
      </c>
      <c r="FJ9" s="830" t="str">
        <f>IFERROR(VLOOKUP($B9,'Historical Conc Grant Elig'!$B$3:$J$707,'HH &amp; SI'!FJ$2,0),"N")</f>
        <v>Y</v>
      </c>
      <c r="FK9" s="830" t="str">
        <f>IFERROR(VLOOKUP($B9,'Historical Conc Grant Elig'!$B$3:$J$707,'HH &amp; SI'!FK$2,0),"N")</f>
        <v>Y</v>
      </c>
      <c r="FL9" s="957" t="str">
        <f>IFERROR(VLOOKUP($B9,'Historical Conc Grant Elig'!$B$3:$J$707,'HH &amp; SI'!FL$2,0),"N")</f>
        <v>Y</v>
      </c>
    </row>
    <row r="10" spans="1:168" x14ac:dyDescent="0.25">
      <c r="B10" s="634">
        <v>10220000</v>
      </c>
      <c r="C10" s="635" t="str">
        <f>VLOOKUP($B10,'Afton Update'!$A$5:$CR$582,'Afton Update'!D$589,0)</f>
        <v>Ganado Unified School District</v>
      </c>
      <c r="D10" s="636">
        <f>IFERROR(VLOOKUP($B10,'Afton FY16 Final'!$A$5:$BV$587,'Afton FY16 Final'!AQ$587,0),0)</f>
        <v>370832.01060218998</v>
      </c>
      <c r="E10" s="637">
        <f>IFERROR(VLOOKUP($B10,'Afton FY16 Final'!$A$5:$BV$587,'Afton FY16 Final'!AR$587,0),0)</f>
        <v>95668.642893995915</v>
      </c>
      <c r="F10" s="637">
        <f>IFERROR(VLOOKUP($B10,'Afton FY16 Final'!$A$5:$BV$587,'Afton FY16 Final'!AS$587,0),0)</f>
        <v>231054.43897924994</v>
      </c>
      <c r="G10" s="637">
        <f>IFERROR(VLOOKUP($B10,'Afton FY16 Final'!$A$5:$BV$587,'Afton FY16 Final'!AT$587,0),0)</f>
        <v>257165.88221927738</v>
      </c>
      <c r="H10" s="638">
        <f>IFERROR(VLOOKUP($B10,'Afton FY16 Final'!$A$5:$BV$587,'Afton FY16 Final'!AU$587,0),0)</f>
        <v>954720.97469471325</v>
      </c>
      <c r="I10" s="639" t="str">
        <f>VLOOKUP($B10,'Afton Update'!$A$5:$CR$582,'Afton Update'!BT$589,0)</f>
        <v>Y</v>
      </c>
      <c r="J10" s="640" t="str">
        <f>VLOOKUP($B10,'Afton Update'!$A$5:$CR$582,'Afton Update'!BU$589,0)</f>
        <v>Y</v>
      </c>
      <c r="K10" s="640" t="str">
        <f>VLOOKUP($B10,'Afton Update'!$A$5:$CR$582,'Afton Update'!BV$589,0)</f>
        <v>Y</v>
      </c>
      <c r="L10" s="641" t="str">
        <f>VLOOKUP($B10,'Afton Update'!$A$5:$CR$582,'Afton Update'!BW$589,0)</f>
        <v>Y</v>
      </c>
      <c r="N10" s="642">
        <f>VLOOKUP($B10,'Afton Update'!$A$5:$CR$582,'Afton Update'!CB$589,0)</f>
        <v>0.95</v>
      </c>
      <c r="P10" s="636">
        <f>VLOOKUP($B10,'Afton Update'!$A$5:$CR$582,'Afton Update'!AH$589,0)</f>
        <v>354490.20735285559</v>
      </c>
      <c r="Q10" s="637">
        <f>VLOOKUP($B10,'Afton Update'!$A$5:$CR$582,'Afton Update'!AI$589,0)</f>
        <v>91452.72276141154</v>
      </c>
      <c r="R10" s="637">
        <f>VLOOKUP($B10,'Afton Update'!$A$5:$CR$582,'Afton Update'!AJ$589,0)</f>
        <v>220872.34554143512</v>
      </c>
      <c r="S10" s="637">
        <f>VLOOKUP($B10,'Afton Update'!$A$5:$CR$582,'Afton Update'!AK$589,0)</f>
        <v>245833.11123533658</v>
      </c>
      <c r="T10" s="643">
        <f t="shared" si="47"/>
        <v>912648.38689103886</v>
      </c>
      <c r="V10" s="636">
        <f t="shared" si="70"/>
        <v>352290.41007208044</v>
      </c>
      <c r="W10" s="637">
        <f t="shared" si="71"/>
        <v>90885.210749296122</v>
      </c>
      <c r="X10" s="637">
        <f t="shared" si="72"/>
        <v>219501.71703028743</v>
      </c>
      <c r="Y10" s="637">
        <f t="shared" si="73"/>
        <v>244307.5881083135</v>
      </c>
      <c r="Z10" s="643">
        <f t="shared" si="74"/>
        <v>906984.92595997755</v>
      </c>
      <c r="AB10" s="644">
        <f t="shared" si="11"/>
        <v>354490.20735285559</v>
      </c>
      <c r="AC10" s="645">
        <f t="shared" si="12"/>
        <v>352290.41007208044</v>
      </c>
      <c r="AD10" s="644">
        <f t="shared" si="75"/>
        <v>0</v>
      </c>
      <c r="AE10" s="645">
        <f t="shared" si="76"/>
        <v>354490.20735285559</v>
      </c>
      <c r="AF10" s="646">
        <f t="shared" si="77"/>
        <v>-4394.1725124382383</v>
      </c>
      <c r="AG10" s="647">
        <f t="shared" si="78"/>
        <v>350096.03484041733</v>
      </c>
      <c r="AH10" s="644">
        <f t="shared" si="13"/>
        <v>-2194.3752316631144</v>
      </c>
      <c r="AI10" s="645">
        <f t="shared" si="14"/>
        <v>0</v>
      </c>
      <c r="AJ10" s="646">
        <f t="shared" si="79"/>
        <v>0</v>
      </c>
      <c r="AK10" s="647">
        <f t="shared" si="15"/>
        <v>352290.41007208044</v>
      </c>
      <c r="AL10" s="644">
        <f t="shared" si="80"/>
        <v>0</v>
      </c>
      <c r="AM10" s="645">
        <f t="shared" si="81"/>
        <v>0</v>
      </c>
      <c r="AN10" s="646">
        <f t="shared" si="82"/>
        <v>0</v>
      </c>
      <c r="AO10" s="647">
        <f t="shared" si="16"/>
        <v>352290.41007208044</v>
      </c>
      <c r="AP10" s="644">
        <f t="shared" si="83"/>
        <v>0</v>
      </c>
      <c r="AQ10" s="645">
        <f t="shared" si="84"/>
        <v>0</v>
      </c>
      <c r="AR10" s="646">
        <f t="shared" si="85"/>
        <v>0</v>
      </c>
      <c r="AS10" s="647">
        <f t="shared" si="17"/>
        <v>352290.41007208044</v>
      </c>
      <c r="AT10" s="644">
        <f t="shared" si="86"/>
        <v>0</v>
      </c>
      <c r="AU10" s="645">
        <f t="shared" si="87"/>
        <v>0</v>
      </c>
      <c r="AV10" s="646">
        <f t="shared" si="88"/>
        <v>0</v>
      </c>
      <c r="AW10" s="647">
        <f t="shared" si="18"/>
        <v>352290.41007208044</v>
      </c>
      <c r="AY10" s="644">
        <f t="shared" si="89"/>
        <v>91452.72276141154</v>
      </c>
      <c r="AZ10" s="645">
        <f t="shared" si="48"/>
        <v>90885.210749296122</v>
      </c>
      <c r="BA10" s="644">
        <f t="shared" si="90"/>
        <v>0</v>
      </c>
      <c r="BB10" s="645">
        <f t="shared" si="91"/>
        <v>91452.72276141154</v>
      </c>
      <c r="BC10" s="646">
        <f t="shared" si="92"/>
        <v>-657.66318148493406</v>
      </c>
      <c r="BD10" s="647">
        <f t="shared" si="93"/>
        <v>90795.059579926601</v>
      </c>
      <c r="BE10" s="644">
        <f t="shared" si="19"/>
        <v>-90.151169369521085</v>
      </c>
      <c r="BF10" s="645">
        <f t="shared" si="20"/>
        <v>0</v>
      </c>
      <c r="BG10" s="646">
        <f t="shared" si="94"/>
        <v>0</v>
      </c>
      <c r="BH10" s="647">
        <f t="shared" si="21"/>
        <v>90885.210749296122</v>
      </c>
      <c r="BI10" s="644">
        <f t="shared" si="95"/>
        <v>0</v>
      </c>
      <c r="BJ10" s="645">
        <f t="shared" si="96"/>
        <v>0</v>
      </c>
      <c r="BK10" s="646">
        <f t="shared" si="97"/>
        <v>0</v>
      </c>
      <c r="BL10" s="647">
        <f t="shared" si="22"/>
        <v>90885.210749296122</v>
      </c>
      <c r="BM10" s="644">
        <f t="shared" si="98"/>
        <v>0</v>
      </c>
      <c r="BN10" s="645">
        <f t="shared" si="99"/>
        <v>0</v>
      </c>
      <c r="BO10" s="646">
        <f t="shared" si="100"/>
        <v>0</v>
      </c>
      <c r="BP10" s="647">
        <f t="shared" si="23"/>
        <v>90885.210749296122</v>
      </c>
      <c r="BQ10" s="644">
        <f t="shared" si="101"/>
        <v>0</v>
      </c>
      <c r="BR10" s="645">
        <f t="shared" si="102"/>
        <v>0</v>
      </c>
      <c r="BS10" s="646">
        <f t="shared" si="103"/>
        <v>0</v>
      </c>
      <c r="BT10" s="647">
        <f t="shared" si="24"/>
        <v>90885.210749296122</v>
      </c>
      <c r="BU10" s="662">
        <f>VLOOKUP(B10,'Afton Update'!$A$5:$AR$582,'Afton Update'!$AO$589,0)-BT10</f>
        <v>0</v>
      </c>
      <c r="BV10" s="644">
        <f t="shared" si="104"/>
        <v>220872.34554143512</v>
      </c>
      <c r="BW10" s="645">
        <f t="shared" si="25"/>
        <v>219501.71703028743</v>
      </c>
      <c r="BX10" s="644">
        <f t="shared" si="105"/>
        <v>0</v>
      </c>
      <c r="BY10" s="645">
        <f t="shared" si="106"/>
        <v>220872.34554143512</v>
      </c>
      <c r="BZ10" s="646">
        <f t="shared" si="107"/>
        <v>-1938.6200597026136</v>
      </c>
      <c r="CA10" s="647">
        <f t="shared" si="108"/>
        <v>218933.72548173252</v>
      </c>
      <c r="CB10" s="644">
        <f t="shared" si="26"/>
        <v>-567.99154855491361</v>
      </c>
      <c r="CC10" s="645">
        <f t="shared" si="27"/>
        <v>0</v>
      </c>
      <c r="CD10" s="646">
        <f t="shared" si="109"/>
        <v>0</v>
      </c>
      <c r="CE10" s="647">
        <f t="shared" si="28"/>
        <v>219501.71703028743</v>
      </c>
      <c r="CF10" s="644">
        <f t="shared" si="110"/>
        <v>0</v>
      </c>
      <c r="CG10" s="645">
        <f t="shared" si="111"/>
        <v>0</v>
      </c>
      <c r="CH10" s="646">
        <f t="shared" si="112"/>
        <v>0</v>
      </c>
      <c r="CI10" s="647">
        <f t="shared" si="29"/>
        <v>219501.71703028743</v>
      </c>
      <c r="CJ10" s="644">
        <f t="shared" si="113"/>
        <v>0</v>
      </c>
      <c r="CK10" s="645">
        <f t="shared" si="114"/>
        <v>0</v>
      </c>
      <c r="CL10" s="646">
        <f t="shared" si="115"/>
        <v>0</v>
      </c>
      <c r="CM10" s="647">
        <f t="shared" si="30"/>
        <v>219501.71703028743</v>
      </c>
      <c r="CN10" s="644">
        <f t="shared" si="116"/>
        <v>0</v>
      </c>
      <c r="CO10" s="645">
        <f t="shared" si="117"/>
        <v>0</v>
      </c>
      <c r="CP10" s="646">
        <f t="shared" si="118"/>
        <v>0</v>
      </c>
      <c r="CQ10" s="647">
        <f t="shared" si="31"/>
        <v>219501.71703028743</v>
      </c>
      <c r="CS10" s="644">
        <f t="shared" si="119"/>
        <v>245833.11123533658</v>
      </c>
      <c r="CT10" s="645">
        <f t="shared" si="32"/>
        <v>244307.5881083135</v>
      </c>
      <c r="CU10" s="644">
        <f t="shared" si="120"/>
        <v>0</v>
      </c>
      <c r="CV10" s="645">
        <f t="shared" si="121"/>
        <v>245833.11123533658</v>
      </c>
      <c r="CW10" s="646">
        <f t="shared" si="122"/>
        <v>-2517.4699847433599</v>
      </c>
      <c r="CX10" s="647">
        <f t="shared" si="123"/>
        <v>243315.64125059321</v>
      </c>
      <c r="CY10" s="644">
        <f t="shared" si="33"/>
        <v>-991.94685772029334</v>
      </c>
      <c r="CZ10" s="645">
        <f t="shared" si="34"/>
        <v>0</v>
      </c>
      <c r="DA10" s="646">
        <f t="shared" si="124"/>
        <v>0</v>
      </c>
      <c r="DB10" s="647">
        <f t="shared" si="35"/>
        <v>244307.5881083135</v>
      </c>
      <c r="DC10" s="644">
        <f t="shared" si="125"/>
        <v>0</v>
      </c>
      <c r="DD10" s="645">
        <f t="shared" si="126"/>
        <v>0</v>
      </c>
      <c r="DE10" s="646">
        <f t="shared" si="127"/>
        <v>0</v>
      </c>
      <c r="DF10" s="647">
        <f t="shared" si="36"/>
        <v>244307.5881083135</v>
      </c>
      <c r="DG10" s="644">
        <f t="shared" si="128"/>
        <v>0</v>
      </c>
      <c r="DH10" s="645">
        <f t="shared" si="129"/>
        <v>0</v>
      </c>
      <c r="DI10" s="646">
        <f t="shared" si="130"/>
        <v>0</v>
      </c>
      <c r="DJ10" s="647">
        <f t="shared" si="37"/>
        <v>244307.5881083135</v>
      </c>
      <c r="DK10" s="644">
        <f t="shared" si="131"/>
        <v>0</v>
      </c>
      <c r="DL10" s="645">
        <f t="shared" si="132"/>
        <v>0</v>
      </c>
      <c r="DM10" s="646">
        <f t="shared" si="133"/>
        <v>0</v>
      </c>
      <c r="DN10" s="647">
        <f t="shared" si="38"/>
        <v>244307.5881083135</v>
      </c>
      <c r="DR10" s="827">
        <f t="shared" si="49"/>
        <v>906984.92595997755</v>
      </c>
      <c r="DV10" s="828">
        <f>IFERROR(VLOOKUP($B10,'Afton FY16 Final'!$A$5:$BV$587,'Afton FY16 Final'!$BV$587,0),0)</f>
        <v>935922.51886108448</v>
      </c>
      <c r="DX10" s="636">
        <f t="shared" si="39"/>
        <v>0</v>
      </c>
      <c r="DY10" s="637">
        <f t="shared" si="40"/>
        <v>0</v>
      </c>
      <c r="DZ10" s="637">
        <f t="shared" si="41"/>
        <v>0</v>
      </c>
      <c r="EA10" s="643">
        <f t="shared" si="42"/>
        <v>0</v>
      </c>
      <c r="EB10" s="637">
        <f t="shared" si="50"/>
        <v>0</v>
      </c>
      <c r="EC10" s="637">
        <f t="shared" si="51"/>
        <v>0</v>
      </c>
      <c r="ED10" s="637">
        <f t="shared" si="52"/>
        <v>0</v>
      </c>
      <c r="EE10" s="643">
        <f t="shared" si="53"/>
        <v>0</v>
      </c>
      <c r="EF10" s="637">
        <f t="shared" si="54"/>
        <v>0</v>
      </c>
      <c r="EG10" s="637">
        <f t="shared" si="55"/>
        <v>0</v>
      </c>
      <c r="EH10" s="637">
        <f t="shared" si="56"/>
        <v>0</v>
      </c>
      <c r="EI10" s="643">
        <f t="shared" si="57"/>
        <v>0</v>
      </c>
      <c r="EJ10" s="637">
        <f t="shared" si="58"/>
        <v>0</v>
      </c>
      <c r="EK10" s="637">
        <f t="shared" si="59"/>
        <v>0</v>
      </c>
      <c r="EL10" s="637">
        <f t="shared" si="60"/>
        <v>0</v>
      </c>
      <c r="EM10" s="643">
        <f t="shared" si="61"/>
        <v>0</v>
      </c>
      <c r="EN10" s="637">
        <f t="shared" si="62"/>
        <v>0</v>
      </c>
      <c r="EO10" s="637">
        <f t="shared" si="63"/>
        <v>0</v>
      </c>
      <c r="EP10" s="637">
        <f t="shared" si="64"/>
        <v>0</v>
      </c>
      <c r="EQ10" s="643">
        <f t="shared" si="65"/>
        <v>0</v>
      </c>
      <c r="ER10" s="637">
        <f t="shared" si="66"/>
        <v>0</v>
      </c>
      <c r="ES10" s="637">
        <f t="shared" si="67"/>
        <v>0</v>
      </c>
      <c r="ET10" s="637">
        <f t="shared" si="68"/>
        <v>0</v>
      </c>
      <c r="EU10" s="643">
        <f t="shared" si="43"/>
        <v>0</v>
      </c>
      <c r="EV10" s="643">
        <f t="shared" si="44"/>
        <v>0</v>
      </c>
      <c r="EX10" s="829">
        <f t="shared" si="45"/>
        <v>0</v>
      </c>
      <c r="EY10" s="638">
        <f t="shared" si="46"/>
        <v>906984.92595997755</v>
      </c>
      <c r="FC10" s="830" t="str">
        <f t="shared" si="69"/>
        <v>Y</v>
      </c>
      <c r="FE10" s="830" t="str">
        <f>IFERROR(VLOOKUP($B10,'Historical Conc Grant Elig'!$B$3:$J$707,'HH &amp; SI'!FE$2,0),"N")</f>
        <v>Y</v>
      </c>
      <c r="FF10" s="830" t="str">
        <f>IFERROR(VLOOKUP($B10,'Historical Conc Grant Elig'!$B$3:$J$707,'HH &amp; SI'!FF$2,0),"N")</f>
        <v>Y</v>
      </c>
      <c r="FG10" s="830" t="str">
        <f>IFERROR(VLOOKUP($B10,'Historical Conc Grant Elig'!$B$3:$J$707,'HH &amp; SI'!FG$2,0),"N")</f>
        <v>Y</v>
      </c>
      <c r="FH10" s="830" t="str">
        <f>IFERROR(VLOOKUP($B10,'Historical Conc Grant Elig'!$B$3:$J$707,'HH &amp; SI'!FH$2,0),"N")</f>
        <v>Y</v>
      </c>
      <c r="FI10" s="830" t="str">
        <f>IFERROR(VLOOKUP($B10,'Historical Conc Grant Elig'!$B$3:$J$707,'HH &amp; SI'!FI$2,0),"N")</f>
        <v>Y</v>
      </c>
      <c r="FJ10" s="830" t="str">
        <f>IFERROR(VLOOKUP($B10,'Historical Conc Grant Elig'!$B$3:$J$707,'HH &amp; SI'!FJ$2,0),"N")</f>
        <v>Y</v>
      </c>
      <c r="FK10" s="830" t="str">
        <f>IFERROR(VLOOKUP($B10,'Historical Conc Grant Elig'!$B$3:$J$707,'HH &amp; SI'!FK$2,0),"N")</f>
        <v>Y</v>
      </c>
      <c r="FL10" s="957" t="str">
        <f>IFERROR(VLOOKUP($B10,'Historical Conc Grant Elig'!$B$3:$J$707,'HH &amp; SI'!FL$2,0),"N")</f>
        <v>Y</v>
      </c>
    </row>
    <row r="11" spans="1:168" x14ac:dyDescent="0.25">
      <c r="B11" s="634">
        <v>10224000</v>
      </c>
      <c r="C11" s="635" t="str">
        <f>VLOOKUP($B11,'Afton Update'!$A$5:$CR$582,'Afton Update'!D$589,0)</f>
        <v>Chinle Unified District</v>
      </c>
      <c r="D11" s="636">
        <f>IFERROR(VLOOKUP($B11,'Afton FY16 Final'!$A$5:$BV$587,'Afton FY16 Final'!AQ$587,0),0)</f>
        <v>1312079.3729993075</v>
      </c>
      <c r="E11" s="637">
        <f>IFERROR(VLOOKUP($B11,'Afton FY16 Final'!$A$5:$BV$587,'Afton FY16 Final'!AR$587,0),0)</f>
        <v>338495.19295869424</v>
      </c>
      <c r="F11" s="637">
        <f>IFERROR(VLOOKUP($B11,'Afton FY16 Final'!$A$5:$BV$587,'Afton FY16 Final'!AS$587,0),0)</f>
        <v>960289.47836028133</v>
      </c>
      <c r="G11" s="637">
        <f>IFERROR(VLOOKUP($B11,'Afton FY16 Final'!$A$5:$BV$587,'Afton FY16 Final'!AT$587,0),0)</f>
        <v>1134450.3731911606</v>
      </c>
      <c r="H11" s="638">
        <f>IFERROR(VLOOKUP($B11,'Afton FY16 Final'!$A$5:$BV$587,'Afton FY16 Final'!AU$587,0),0)</f>
        <v>3745314.4175094436</v>
      </c>
      <c r="I11" s="639" t="str">
        <f>VLOOKUP($B11,'Afton Update'!$A$5:$CR$582,'Afton Update'!BT$589,0)</f>
        <v>Y</v>
      </c>
      <c r="J11" s="640" t="str">
        <f>VLOOKUP($B11,'Afton Update'!$A$5:$CR$582,'Afton Update'!BU$589,0)</f>
        <v>Y</v>
      </c>
      <c r="K11" s="640" t="str">
        <f>VLOOKUP($B11,'Afton Update'!$A$5:$CR$582,'Afton Update'!BV$589,0)</f>
        <v>Y</v>
      </c>
      <c r="L11" s="641" t="str">
        <f>VLOOKUP($B11,'Afton Update'!$A$5:$CR$582,'Afton Update'!BW$589,0)</f>
        <v>Y</v>
      </c>
      <c r="N11" s="642">
        <f>VLOOKUP($B11,'Afton Update'!$A$5:$CR$582,'Afton Update'!CB$589,0)</f>
        <v>0.95</v>
      </c>
      <c r="P11" s="636">
        <f>VLOOKUP($B11,'Afton Update'!$A$5:$CR$582,'Afton Update'!AH$589,0)</f>
        <v>1254258.7363011821</v>
      </c>
      <c r="Q11" s="637">
        <f>VLOOKUP($B11,'Afton Update'!$A$5:$CR$582,'Afton Update'!AI$589,0)</f>
        <v>323578.40668883122</v>
      </c>
      <c r="R11" s="637">
        <f>VLOOKUP($B11,'Afton Update'!$A$5:$CR$582,'Afton Update'!AJ$589,0)</f>
        <v>917971.49806433532</v>
      </c>
      <c r="S11" s="637">
        <f>VLOOKUP($B11,'Afton Update'!$A$5:$CR$582,'Afton Update'!AK$589,0)</f>
        <v>1084457.4808172828</v>
      </c>
      <c r="T11" s="643">
        <f t="shared" si="47"/>
        <v>3580266.1218716316</v>
      </c>
      <c r="V11" s="636">
        <f t="shared" si="70"/>
        <v>1246475.404349342</v>
      </c>
      <c r="W11" s="637">
        <f t="shared" si="71"/>
        <v>321570.43331075949</v>
      </c>
      <c r="X11" s="637">
        <f t="shared" si="72"/>
        <v>912275.00444226724</v>
      </c>
      <c r="Y11" s="637">
        <f t="shared" si="73"/>
        <v>1077727.8545316025</v>
      </c>
      <c r="Z11" s="643">
        <f t="shared" si="74"/>
        <v>3558048.6966339713</v>
      </c>
      <c r="AB11" s="644">
        <f t="shared" si="11"/>
        <v>1254258.7363011821</v>
      </c>
      <c r="AC11" s="645">
        <f t="shared" si="12"/>
        <v>1246475.404349342</v>
      </c>
      <c r="AD11" s="644">
        <f t="shared" si="75"/>
        <v>0</v>
      </c>
      <c r="AE11" s="645">
        <f t="shared" si="76"/>
        <v>1254258.7363011821</v>
      </c>
      <c r="AF11" s="646">
        <f t="shared" si="77"/>
        <v>-15547.479586803256</v>
      </c>
      <c r="AG11" s="647">
        <f t="shared" si="78"/>
        <v>1238711.2567143787</v>
      </c>
      <c r="AH11" s="644">
        <f t="shared" si="13"/>
        <v>-7764.1476349632721</v>
      </c>
      <c r="AI11" s="645">
        <f t="shared" si="14"/>
        <v>0</v>
      </c>
      <c r="AJ11" s="646">
        <f t="shared" si="79"/>
        <v>0</v>
      </c>
      <c r="AK11" s="647">
        <f t="shared" si="15"/>
        <v>1246475.404349342</v>
      </c>
      <c r="AL11" s="644">
        <f t="shared" si="80"/>
        <v>0</v>
      </c>
      <c r="AM11" s="645">
        <f t="shared" si="81"/>
        <v>0</v>
      </c>
      <c r="AN11" s="646">
        <f t="shared" si="82"/>
        <v>0</v>
      </c>
      <c r="AO11" s="647">
        <f t="shared" si="16"/>
        <v>1246475.404349342</v>
      </c>
      <c r="AP11" s="644">
        <f t="shared" si="83"/>
        <v>0</v>
      </c>
      <c r="AQ11" s="645">
        <f t="shared" si="84"/>
        <v>0</v>
      </c>
      <c r="AR11" s="646">
        <f t="shared" si="85"/>
        <v>0</v>
      </c>
      <c r="AS11" s="647">
        <f t="shared" si="17"/>
        <v>1246475.404349342</v>
      </c>
      <c r="AT11" s="644">
        <f t="shared" si="86"/>
        <v>0</v>
      </c>
      <c r="AU11" s="645">
        <f t="shared" si="87"/>
        <v>0</v>
      </c>
      <c r="AV11" s="646">
        <f t="shared" si="88"/>
        <v>0</v>
      </c>
      <c r="AW11" s="647">
        <f t="shared" si="18"/>
        <v>1246475.404349342</v>
      </c>
      <c r="AY11" s="644">
        <f t="shared" si="89"/>
        <v>323578.40668883122</v>
      </c>
      <c r="AZ11" s="645">
        <f t="shared" si="48"/>
        <v>321570.43331075949</v>
      </c>
      <c r="BA11" s="644">
        <f t="shared" si="90"/>
        <v>0</v>
      </c>
      <c r="BB11" s="645">
        <f t="shared" si="91"/>
        <v>323578.40668883122</v>
      </c>
      <c r="BC11" s="646">
        <f t="shared" si="92"/>
        <v>-2326.9466230982011</v>
      </c>
      <c r="BD11" s="647">
        <f t="shared" si="93"/>
        <v>321251.460065733</v>
      </c>
      <c r="BE11" s="644">
        <f t="shared" si="19"/>
        <v>-318.97324502648553</v>
      </c>
      <c r="BF11" s="645">
        <f t="shared" si="20"/>
        <v>0</v>
      </c>
      <c r="BG11" s="646">
        <f t="shared" si="94"/>
        <v>0</v>
      </c>
      <c r="BH11" s="647">
        <f t="shared" si="21"/>
        <v>321570.43331075949</v>
      </c>
      <c r="BI11" s="644">
        <f t="shared" si="95"/>
        <v>0</v>
      </c>
      <c r="BJ11" s="645">
        <f t="shared" si="96"/>
        <v>0</v>
      </c>
      <c r="BK11" s="646">
        <f t="shared" si="97"/>
        <v>0</v>
      </c>
      <c r="BL11" s="647">
        <f t="shared" si="22"/>
        <v>321570.43331075949</v>
      </c>
      <c r="BM11" s="644">
        <f t="shared" si="98"/>
        <v>0</v>
      </c>
      <c r="BN11" s="645">
        <f t="shared" si="99"/>
        <v>0</v>
      </c>
      <c r="BO11" s="646">
        <f t="shared" si="100"/>
        <v>0</v>
      </c>
      <c r="BP11" s="647">
        <f t="shared" si="23"/>
        <v>321570.43331075949</v>
      </c>
      <c r="BQ11" s="644">
        <f t="shared" si="101"/>
        <v>0</v>
      </c>
      <c r="BR11" s="645">
        <f t="shared" si="102"/>
        <v>0</v>
      </c>
      <c r="BS11" s="646">
        <f t="shared" si="103"/>
        <v>0</v>
      </c>
      <c r="BT11" s="647">
        <f t="shared" si="24"/>
        <v>321570.43331075949</v>
      </c>
      <c r="BU11" s="662">
        <f>VLOOKUP(B11,'Afton Update'!$A$5:$AR$582,'Afton Update'!$AO$589,0)-BT11</f>
        <v>0</v>
      </c>
      <c r="BV11" s="644">
        <f t="shared" si="104"/>
        <v>917971.49806433532</v>
      </c>
      <c r="BW11" s="645">
        <f t="shared" si="25"/>
        <v>912275.00444226724</v>
      </c>
      <c r="BX11" s="644">
        <f t="shared" si="105"/>
        <v>0</v>
      </c>
      <c r="BY11" s="645">
        <f t="shared" si="106"/>
        <v>917971.49806433532</v>
      </c>
      <c r="BZ11" s="646">
        <f t="shared" si="107"/>
        <v>-8057.1334361500285</v>
      </c>
      <c r="CA11" s="647">
        <f t="shared" si="108"/>
        <v>909914.36462818529</v>
      </c>
      <c r="CB11" s="644">
        <f t="shared" si="26"/>
        <v>-2360.639814081951</v>
      </c>
      <c r="CC11" s="645">
        <f t="shared" si="27"/>
        <v>0</v>
      </c>
      <c r="CD11" s="646">
        <f t="shared" si="109"/>
        <v>0</v>
      </c>
      <c r="CE11" s="647">
        <f t="shared" si="28"/>
        <v>912275.00444226724</v>
      </c>
      <c r="CF11" s="644">
        <f t="shared" si="110"/>
        <v>0</v>
      </c>
      <c r="CG11" s="645">
        <f t="shared" si="111"/>
        <v>0</v>
      </c>
      <c r="CH11" s="646">
        <f t="shared" si="112"/>
        <v>0</v>
      </c>
      <c r="CI11" s="647">
        <f t="shared" si="29"/>
        <v>912275.00444226724</v>
      </c>
      <c r="CJ11" s="644">
        <f t="shared" si="113"/>
        <v>0</v>
      </c>
      <c r="CK11" s="645">
        <f t="shared" si="114"/>
        <v>0</v>
      </c>
      <c r="CL11" s="646">
        <f t="shared" si="115"/>
        <v>0</v>
      </c>
      <c r="CM11" s="647">
        <f t="shared" si="30"/>
        <v>912275.00444226724</v>
      </c>
      <c r="CN11" s="644">
        <f t="shared" si="116"/>
        <v>0</v>
      </c>
      <c r="CO11" s="645">
        <f t="shared" si="117"/>
        <v>0</v>
      </c>
      <c r="CP11" s="646">
        <f t="shared" si="118"/>
        <v>0</v>
      </c>
      <c r="CQ11" s="647">
        <f t="shared" si="31"/>
        <v>912275.00444226724</v>
      </c>
      <c r="CS11" s="644">
        <f t="shared" si="119"/>
        <v>1084457.4808172828</v>
      </c>
      <c r="CT11" s="645">
        <f t="shared" si="32"/>
        <v>1077727.8545316025</v>
      </c>
      <c r="CU11" s="644">
        <f t="shared" si="120"/>
        <v>0</v>
      </c>
      <c r="CV11" s="645">
        <f t="shared" si="121"/>
        <v>1084457.4808172828</v>
      </c>
      <c r="CW11" s="646">
        <f t="shared" si="122"/>
        <v>-11105.457454323096</v>
      </c>
      <c r="CX11" s="647">
        <f t="shared" si="123"/>
        <v>1073352.0233629597</v>
      </c>
      <c r="CY11" s="644">
        <f t="shared" si="33"/>
        <v>-4375.8311686427332</v>
      </c>
      <c r="CZ11" s="645">
        <f t="shared" si="34"/>
        <v>0</v>
      </c>
      <c r="DA11" s="646">
        <f t="shared" si="124"/>
        <v>0</v>
      </c>
      <c r="DB11" s="647">
        <f t="shared" si="35"/>
        <v>1077727.8545316025</v>
      </c>
      <c r="DC11" s="644">
        <f t="shared" si="125"/>
        <v>0</v>
      </c>
      <c r="DD11" s="645">
        <f t="shared" si="126"/>
        <v>0</v>
      </c>
      <c r="DE11" s="646">
        <f t="shared" si="127"/>
        <v>0</v>
      </c>
      <c r="DF11" s="647">
        <f t="shared" si="36"/>
        <v>1077727.8545316025</v>
      </c>
      <c r="DG11" s="644">
        <f t="shared" si="128"/>
        <v>0</v>
      </c>
      <c r="DH11" s="645">
        <f t="shared" si="129"/>
        <v>0</v>
      </c>
      <c r="DI11" s="646">
        <f t="shared" si="130"/>
        <v>0</v>
      </c>
      <c r="DJ11" s="647">
        <f t="shared" si="37"/>
        <v>1077727.8545316025</v>
      </c>
      <c r="DK11" s="644">
        <f t="shared" si="131"/>
        <v>0</v>
      </c>
      <c r="DL11" s="645">
        <f t="shared" si="132"/>
        <v>0</v>
      </c>
      <c r="DM11" s="646">
        <f t="shared" si="133"/>
        <v>0</v>
      </c>
      <c r="DN11" s="647">
        <f t="shared" si="38"/>
        <v>1077727.8545316025</v>
      </c>
      <c r="DR11" s="827">
        <f t="shared" si="49"/>
        <v>3558048.6966339713</v>
      </c>
      <c r="DV11" s="828">
        <f>IFERROR(VLOOKUP($B11,'Afton FY16 Final'!$A$5:$BV$587,'Afton FY16 Final'!$BV$587,0),0)</f>
        <v>3671569.1772489394</v>
      </c>
      <c r="DX11" s="636">
        <f t="shared" si="39"/>
        <v>0</v>
      </c>
      <c r="DY11" s="637">
        <f t="shared" si="40"/>
        <v>0</v>
      </c>
      <c r="DZ11" s="637">
        <f t="shared" si="41"/>
        <v>0</v>
      </c>
      <c r="EA11" s="643">
        <f t="shared" si="42"/>
        <v>0</v>
      </c>
      <c r="EB11" s="637">
        <f t="shared" si="50"/>
        <v>0</v>
      </c>
      <c r="EC11" s="637">
        <f t="shared" si="51"/>
        <v>0</v>
      </c>
      <c r="ED11" s="637">
        <f t="shared" si="52"/>
        <v>0</v>
      </c>
      <c r="EE11" s="643">
        <f t="shared" si="53"/>
        <v>0</v>
      </c>
      <c r="EF11" s="637">
        <f t="shared" si="54"/>
        <v>0</v>
      </c>
      <c r="EG11" s="637">
        <f t="shared" si="55"/>
        <v>0</v>
      </c>
      <c r="EH11" s="637">
        <f t="shared" si="56"/>
        <v>0</v>
      </c>
      <c r="EI11" s="643">
        <f t="shared" si="57"/>
        <v>0</v>
      </c>
      <c r="EJ11" s="637">
        <f t="shared" si="58"/>
        <v>0</v>
      </c>
      <c r="EK11" s="637">
        <f t="shared" si="59"/>
        <v>0</v>
      </c>
      <c r="EL11" s="637">
        <f t="shared" si="60"/>
        <v>0</v>
      </c>
      <c r="EM11" s="643">
        <f t="shared" si="61"/>
        <v>0</v>
      </c>
      <c r="EN11" s="637">
        <f t="shared" si="62"/>
        <v>0</v>
      </c>
      <c r="EO11" s="637">
        <f t="shared" si="63"/>
        <v>0</v>
      </c>
      <c r="EP11" s="637">
        <f t="shared" si="64"/>
        <v>0</v>
      </c>
      <c r="EQ11" s="643">
        <f t="shared" si="65"/>
        <v>0</v>
      </c>
      <c r="ER11" s="637">
        <f t="shared" si="66"/>
        <v>0</v>
      </c>
      <c r="ES11" s="637">
        <f t="shared" si="67"/>
        <v>0</v>
      </c>
      <c r="ET11" s="637">
        <f t="shared" si="68"/>
        <v>0</v>
      </c>
      <c r="EU11" s="643">
        <f t="shared" si="43"/>
        <v>0</v>
      </c>
      <c r="EV11" s="643">
        <f t="shared" si="44"/>
        <v>0</v>
      </c>
      <c r="EX11" s="829">
        <f t="shared" si="45"/>
        <v>0</v>
      </c>
      <c r="EY11" s="638">
        <f t="shared" si="46"/>
        <v>3558048.6966339713</v>
      </c>
      <c r="FC11" s="830" t="str">
        <f t="shared" si="69"/>
        <v>Y</v>
      </c>
      <c r="FE11" s="830" t="str">
        <f>IFERROR(VLOOKUP($B11,'Historical Conc Grant Elig'!$B$3:$J$707,'HH &amp; SI'!FE$2,0),"N")</f>
        <v>Y</v>
      </c>
      <c r="FF11" s="830" t="str">
        <f>IFERROR(VLOOKUP($B11,'Historical Conc Grant Elig'!$B$3:$J$707,'HH &amp; SI'!FF$2,0),"N")</f>
        <v>Y</v>
      </c>
      <c r="FG11" s="830" t="str">
        <f>IFERROR(VLOOKUP($B11,'Historical Conc Grant Elig'!$B$3:$J$707,'HH &amp; SI'!FG$2,0),"N")</f>
        <v>Y</v>
      </c>
      <c r="FH11" s="830" t="str">
        <f>IFERROR(VLOOKUP($B11,'Historical Conc Grant Elig'!$B$3:$J$707,'HH &amp; SI'!FH$2,0),"N")</f>
        <v>Y</v>
      </c>
      <c r="FI11" s="830" t="str">
        <f>IFERROR(VLOOKUP($B11,'Historical Conc Grant Elig'!$B$3:$J$707,'HH &amp; SI'!FI$2,0),"N")</f>
        <v>Y</v>
      </c>
      <c r="FJ11" s="830" t="str">
        <f>IFERROR(VLOOKUP($B11,'Historical Conc Grant Elig'!$B$3:$J$707,'HH &amp; SI'!FJ$2,0),"N")</f>
        <v>Y</v>
      </c>
      <c r="FK11" s="830" t="str">
        <f>IFERROR(VLOOKUP($B11,'Historical Conc Grant Elig'!$B$3:$J$707,'HH &amp; SI'!FK$2,0),"N")</f>
        <v>Y</v>
      </c>
      <c r="FL11" s="957" t="str">
        <f>IFERROR(VLOOKUP($B11,'Historical Conc Grant Elig'!$B$3:$J$707,'HH &amp; SI'!FL$2,0),"N")</f>
        <v>Y</v>
      </c>
    </row>
    <row r="12" spans="1:168" x14ac:dyDescent="0.25">
      <c r="B12" s="634">
        <v>10227000</v>
      </c>
      <c r="C12" s="635" t="str">
        <f>VLOOKUP($B12,'Afton Update'!$A$5:$CR$582,'Afton Update'!D$589,0)</f>
        <v>Red Mesa Unified District</v>
      </c>
      <c r="D12" s="636">
        <f>IFERROR(VLOOKUP($B12,'Afton FY16 Final'!$A$5:$BV$587,'Afton FY16 Final'!AQ$587,0),0)</f>
        <v>496407.99675373721</v>
      </c>
      <c r="E12" s="637">
        <f>IFERROR(VLOOKUP($B12,'Afton FY16 Final'!$A$5:$BV$587,'Afton FY16 Final'!AR$587,0),0)</f>
        <v>128065.21015819961</v>
      </c>
      <c r="F12" s="637">
        <f>IFERROR(VLOOKUP($B12,'Afton FY16 Final'!$A$5:$BV$587,'Afton FY16 Final'!AS$587,0),0)</f>
        <v>345737.45378804801</v>
      </c>
      <c r="G12" s="637">
        <f>IFERROR(VLOOKUP($B12,'Afton FY16 Final'!$A$5:$BV$587,'Afton FY16 Final'!AT$587,0),0)</f>
        <v>401562.39490783343</v>
      </c>
      <c r="H12" s="638">
        <f>IFERROR(VLOOKUP($B12,'Afton FY16 Final'!$A$5:$BV$587,'Afton FY16 Final'!AU$587,0),0)</f>
        <v>1371773.0556078183</v>
      </c>
      <c r="I12" s="639" t="str">
        <f>VLOOKUP($B12,'Afton Update'!$A$5:$CR$582,'Afton Update'!BT$589,0)</f>
        <v>Y</v>
      </c>
      <c r="J12" s="640" t="str">
        <f>VLOOKUP($B12,'Afton Update'!$A$5:$CR$582,'Afton Update'!BU$589,0)</f>
        <v>Y</v>
      </c>
      <c r="K12" s="640" t="str">
        <f>VLOOKUP($B12,'Afton Update'!$A$5:$CR$582,'Afton Update'!BV$589,0)</f>
        <v>Y</v>
      </c>
      <c r="L12" s="641" t="str">
        <f>VLOOKUP($B12,'Afton Update'!$A$5:$CR$582,'Afton Update'!BW$589,0)</f>
        <v>Y</v>
      </c>
      <c r="N12" s="642">
        <f>VLOOKUP($B12,'Afton Update'!$A$5:$CR$582,'Afton Update'!CB$589,0)</f>
        <v>0.95</v>
      </c>
      <c r="P12" s="636">
        <f>VLOOKUP($B12,'Afton Update'!$A$5:$CR$582,'Afton Update'!AH$589,0)</f>
        <v>474532.31832680618</v>
      </c>
      <c r="Q12" s="637">
        <f>VLOOKUP($B12,'Afton Update'!$A$5:$CR$582,'Afton Update'!AI$589,0)</f>
        <v>122421.64000337006</v>
      </c>
      <c r="R12" s="637">
        <f>VLOOKUP($B12,'Afton Update'!$A$5:$CR$582,'Afton Update'!AJ$589,0)</f>
        <v>330501.51599358645</v>
      </c>
      <c r="S12" s="637">
        <f>VLOOKUP($B12,'Afton Update'!$A$5:$CR$582,'Afton Update'!AK$589,0)</f>
        <v>383866.36688894976</v>
      </c>
      <c r="T12" s="643">
        <f t="shared" si="47"/>
        <v>1311321.8412127127</v>
      </c>
      <c r="V12" s="636">
        <f t="shared" si="70"/>
        <v>471587.59691605036</v>
      </c>
      <c r="W12" s="637">
        <f t="shared" si="71"/>
        <v>121661.94965028962</v>
      </c>
      <c r="X12" s="637">
        <f t="shared" si="72"/>
        <v>328450.58109864558</v>
      </c>
      <c r="Y12" s="637">
        <f t="shared" si="73"/>
        <v>381484.27516244171</v>
      </c>
      <c r="Z12" s="643">
        <f t="shared" si="74"/>
        <v>1303184.4028274273</v>
      </c>
      <c r="AB12" s="644">
        <f t="shared" si="11"/>
        <v>474532.31832680618</v>
      </c>
      <c r="AC12" s="645">
        <f t="shared" si="12"/>
        <v>471587.59691605036</v>
      </c>
      <c r="AD12" s="644">
        <f t="shared" si="75"/>
        <v>0</v>
      </c>
      <c r="AE12" s="645">
        <f t="shared" si="76"/>
        <v>474532.31832680618</v>
      </c>
      <c r="AF12" s="646">
        <f t="shared" si="77"/>
        <v>-5882.1846872054275</v>
      </c>
      <c r="AG12" s="647">
        <f t="shared" si="78"/>
        <v>468650.13363960077</v>
      </c>
      <c r="AH12" s="644">
        <f t="shared" si="13"/>
        <v>-2937.4632764495909</v>
      </c>
      <c r="AI12" s="645">
        <f t="shared" si="14"/>
        <v>0</v>
      </c>
      <c r="AJ12" s="646">
        <f t="shared" si="79"/>
        <v>0</v>
      </c>
      <c r="AK12" s="647">
        <f t="shared" si="15"/>
        <v>471587.59691605036</v>
      </c>
      <c r="AL12" s="644">
        <f t="shared" si="80"/>
        <v>0</v>
      </c>
      <c r="AM12" s="645">
        <f t="shared" si="81"/>
        <v>0</v>
      </c>
      <c r="AN12" s="646">
        <f t="shared" si="82"/>
        <v>0</v>
      </c>
      <c r="AO12" s="647">
        <f t="shared" si="16"/>
        <v>471587.59691605036</v>
      </c>
      <c r="AP12" s="644">
        <f t="shared" si="83"/>
        <v>0</v>
      </c>
      <c r="AQ12" s="645">
        <f t="shared" si="84"/>
        <v>0</v>
      </c>
      <c r="AR12" s="646">
        <f t="shared" si="85"/>
        <v>0</v>
      </c>
      <c r="AS12" s="647">
        <f t="shared" si="17"/>
        <v>471587.59691605036</v>
      </c>
      <c r="AT12" s="644">
        <f t="shared" si="86"/>
        <v>0</v>
      </c>
      <c r="AU12" s="645">
        <f t="shared" si="87"/>
        <v>0</v>
      </c>
      <c r="AV12" s="646">
        <f t="shared" si="88"/>
        <v>0</v>
      </c>
      <c r="AW12" s="647">
        <f t="shared" si="18"/>
        <v>471587.59691605036</v>
      </c>
      <c r="AY12" s="644">
        <f t="shared" si="89"/>
        <v>122421.64000337006</v>
      </c>
      <c r="AZ12" s="645">
        <f t="shared" si="48"/>
        <v>121661.94965028962</v>
      </c>
      <c r="BA12" s="644">
        <f t="shared" si="90"/>
        <v>0</v>
      </c>
      <c r="BB12" s="645">
        <f t="shared" si="91"/>
        <v>122421.64000337006</v>
      </c>
      <c r="BC12" s="646">
        <f t="shared" si="92"/>
        <v>-880.36969065716801</v>
      </c>
      <c r="BD12" s="647">
        <f t="shared" si="93"/>
        <v>121541.27031271289</v>
      </c>
      <c r="BE12" s="644">
        <f t="shared" si="19"/>
        <v>-120.67933757673018</v>
      </c>
      <c r="BF12" s="645">
        <f t="shared" si="20"/>
        <v>0</v>
      </c>
      <c r="BG12" s="646">
        <f t="shared" si="94"/>
        <v>0</v>
      </c>
      <c r="BH12" s="647">
        <f t="shared" si="21"/>
        <v>121661.94965028962</v>
      </c>
      <c r="BI12" s="644">
        <f t="shared" si="95"/>
        <v>0</v>
      </c>
      <c r="BJ12" s="645">
        <f t="shared" si="96"/>
        <v>0</v>
      </c>
      <c r="BK12" s="646">
        <f t="shared" si="97"/>
        <v>0</v>
      </c>
      <c r="BL12" s="647">
        <f t="shared" si="22"/>
        <v>121661.94965028962</v>
      </c>
      <c r="BM12" s="644">
        <f t="shared" si="98"/>
        <v>0</v>
      </c>
      <c r="BN12" s="645">
        <f t="shared" si="99"/>
        <v>0</v>
      </c>
      <c r="BO12" s="646">
        <f t="shared" si="100"/>
        <v>0</v>
      </c>
      <c r="BP12" s="647">
        <f t="shared" si="23"/>
        <v>121661.94965028962</v>
      </c>
      <c r="BQ12" s="644">
        <f t="shared" si="101"/>
        <v>0</v>
      </c>
      <c r="BR12" s="645">
        <f t="shared" si="102"/>
        <v>0</v>
      </c>
      <c r="BS12" s="646">
        <f t="shared" si="103"/>
        <v>0</v>
      </c>
      <c r="BT12" s="647">
        <f t="shared" si="24"/>
        <v>121661.94965028962</v>
      </c>
      <c r="BU12" s="662">
        <f>VLOOKUP(B12,'Afton Update'!$A$5:$AR$582,'Afton Update'!$AO$589,0)-BT12</f>
        <v>0</v>
      </c>
      <c r="BV12" s="644">
        <f t="shared" si="104"/>
        <v>330501.51599358645</v>
      </c>
      <c r="BW12" s="645">
        <f t="shared" si="25"/>
        <v>328450.58109864558</v>
      </c>
      <c r="BX12" s="644">
        <f t="shared" si="105"/>
        <v>0</v>
      </c>
      <c r="BY12" s="645">
        <f t="shared" si="106"/>
        <v>330501.51599358645</v>
      </c>
      <c r="BZ12" s="646">
        <f t="shared" si="107"/>
        <v>-2900.8469444043367</v>
      </c>
      <c r="CA12" s="647">
        <f t="shared" si="108"/>
        <v>327600.66904918209</v>
      </c>
      <c r="CB12" s="644">
        <f t="shared" si="26"/>
        <v>-849.91204946348444</v>
      </c>
      <c r="CC12" s="645">
        <f t="shared" si="27"/>
        <v>0</v>
      </c>
      <c r="CD12" s="646">
        <f t="shared" si="109"/>
        <v>0</v>
      </c>
      <c r="CE12" s="647">
        <f t="shared" si="28"/>
        <v>328450.58109864558</v>
      </c>
      <c r="CF12" s="644">
        <f t="shared" si="110"/>
        <v>0</v>
      </c>
      <c r="CG12" s="645">
        <f t="shared" si="111"/>
        <v>0</v>
      </c>
      <c r="CH12" s="646">
        <f t="shared" si="112"/>
        <v>0</v>
      </c>
      <c r="CI12" s="647">
        <f t="shared" si="29"/>
        <v>328450.58109864558</v>
      </c>
      <c r="CJ12" s="644">
        <f t="shared" si="113"/>
        <v>0</v>
      </c>
      <c r="CK12" s="645">
        <f t="shared" si="114"/>
        <v>0</v>
      </c>
      <c r="CL12" s="646">
        <f t="shared" si="115"/>
        <v>0</v>
      </c>
      <c r="CM12" s="647">
        <f t="shared" si="30"/>
        <v>328450.58109864558</v>
      </c>
      <c r="CN12" s="644">
        <f t="shared" si="116"/>
        <v>0</v>
      </c>
      <c r="CO12" s="645">
        <f t="shared" si="117"/>
        <v>0</v>
      </c>
      <c r="CP12" s="646">
        <f t="shared" si="118"/>
        <v>0</v>
      </c>
      <c r="CQ12" s="647">
        <f t="shared" si="31"/>
        <v>328450.58109864558</v>
      </c>
      <c r="CS12" s="644">
        <f t="shared" si="119"/>
        <v>383866.36688894976</v>
      </c>
      <c r="CT12" s="645">
        <f t="shared" si="32"/>
        <v>381484.27516244171</v>
      </c>
      <c r="CU12" s="644">
        <f t="shared" si="120"/>
        <v>0</v>
      </c>
      <c r="CV12" s="645">
        <f t="shared" si="121"/>
        <v>383866.36688894976</v>
      </c>
      <c r="CW12" s="646">
        <f t="shared" si="122"/>
        <v>-3931.0085282625059</v>
      </c>
      <c r="CX12" s="647">
        <f t="shared" si="123"/>
        <v>379935.35836068727</v>
      </c>
      <c r="CY12" s="644">
        <f t="shared" si="33"/>
        <v>-1548.9168017544434</v>
      </c>
      <c r="CZ12" s="645">
        <f t="shared" si="34"/>
        <v>0</v>
      </c>
      <c r="DA12" s="646">
        <f t="shared" si="124"/>
        <v>0</v>
      </c>
      <c r="DB12" s="647">
        <f t="shared" si="35"/>
        <v>381484.27516244171</v>
      </c>
      <c r="DC12" s="644">
        <f t="shared" si="125"/>
        <v>0</v>
      </c>
      <c r="DD12" s="645">
        <f t="shared" si="126"/>
        <v>0</v>
      </c>
      <c r="DE12" s="646">
        <f t="shared" si="127"/>
        <v>0</v>
      </c>
      <c r="DF12" s="647">
        <f t="shared" si="36"/>
        <v>381484.27516244171</v>
      </c>
      <c r="DG12" s="644">
        <f t="shared" si="128"/>
        <v>0</v>
      </c>
      <c r="DH12" s="645">
        <f t="shared" si="129"/>
        <v>0</v>
      </c>
      <c r="DI12" s="646">
        <f t="shared" si="130"/>
        <v>0</v>
      </c>
      <c r="DJ12" s="647">
        <f t="shared" si="37"/>
        <v>381484.27516244171</v>
      </c>
      <c r="DK12" s="644">
        <f t="shared" si="131"/>
        <v>0</v>
      </c>
      <c r="DL12" s="645">
        <f t="shared" si="132"/>
        <v>0</v>
      </c>
      <c r="DM12" s="646">
        <f t="shared" si="133"/>
        <v>0</v>
      </c>
      <c r="DN12" s="647">
        <f t="shared" si="38"/>
        <v>381484.27516244171</v>
      </c>
      <c r="DR12" s="827">
        <f t="shared" si="49"/>
        <v>1303184.4028274273</v>
      </c>
      <c r="DV12" s="828">
        <f>IFERROR(VLOOKUP($B12,'Afton FY16 Final'!$A$5:$BV$587,'Afton FY16 Final'!$BV$587,0),0)</f>
        <v>1344762.8443700781</v>
      </c>
      <c r="DX12" s="636">
        <f t="shared" si="39"/>
        <v>0</v>
      </c>
      <c r="DY12" s="637">
        <f t="shared" si="40"/>
        <v>0</v>
      </c>
      <c r="DZ12" s="637">
        <f t="shared" si="41"/>
        <v>0</v>
      </c>
      <c r="EA12" s="643">
        <f t="shared" si="42"/>
        <v>0</v>
      </c>
      <c r="EB12" s="637">
        <f t="shared" si="50"/>
        <v>0</v>
      </c>
      <c r="EC12" s="637">
        <f t="shared" si="51"/>
        <v>0</v>
      </c>
      <c r="ED12" s="637">
        <f t="shared" si="52"/>
        <v>0</v>
      </c>
      <c r="EE12" s="643">
        <f t="shared" si="53"/>
        <v>0</v>
      </c>
      <c r="EF12" s="637">
        <f t="shared" si="54"/>
        <v>0</v>
      </c>
      <c r="EG12" s="637">
        <f t="shared" si="55"/>
        <v>0</v>
      </c>
      <c r="EH12" s="637">
        <f t="shared" si="56"/>
        <v>0</v>
      </c>
      <c r="EI12" s="643">
        <f t="shared" si="57"/>
        <v>0</v>
      </c>
      <c r="EJ12" s="637">
        <f t="shared" si="58"/>
        <v>0</v>
      </c>
      <c r="EK12" s="637">
        <f t="shared" si="59"/>
        <v>0</v>
      </c>
      <c r="EL12" s="637">
        <f t="shared" si="60"/>
        <v>0</v>
      </c>
      <c r="EM12" s="643">
        <f t="shared" si="61"/>
        <v>0</v>
      </c>
      <c r="EN12" s="637">
        <f t="shared" si="62"/>
        <v>0</v>
      </c>
      <c r="EO12" s="637">
        <f t="shared" si="63"/>
        <v>0</v>
      </c>
      <c r="EP12" s="637">
        <f t="shared" si="64"/>
        <v>0</v>
      </c>
      <c r="EQ12" s="643">
        <f t="shared" si="65"/>
        <v>0</v>
      </c>
      <c r="ER12" s="637">
        <f t="shared" si="66"/>
        <v>0</v>
      </c>
      <c r="ES12" s="637">
        <f t="shared" si="67"/>
        <v>0</v>
      </c>
      <c r="ET12" s="637">
        <f t="shared" si="68"/>
        <v>0</v>
      </c>
      <c r="EU12" s="643">
        <f t="shared" si="43"/>
        <v>0</v>
      </c>
      <c r="EV12" s="643">
        <f t="shared" si="44"/>
        <v>0</v>
      </c>
      <c r="EX12" s="829">
        <f t="shared" si="45"/>
        <v>0</v>
      </c>
      <c r="EY12" s="638">
        <f t="shared" si="46"/>
        <v>1303184.4028274273</v>
      </c>
      <c r="FC12" s="830" t="str">
        <f t="shared" si="69"/>
        <v>Y</v>
      </c>
      <c r="FE12" s="830" t="str">
        <f>IFERROR(VLOOKUP($B12,'Historical Conc Grant Elig'!$B$3:$J$707,'HH &amp; SI'!FE$2,0),"N")</f>
        <v>Y</v>
      </c>
      <c r="FF12" s="830" t="str">
        <f>IFERROR(VLOOKUP($B12,'Historical Conc Grant Elig'!$B$3:$J$707,'HH &amp; SI'!FF$2,0),"N")</f>
        <v>Y</v>
      </c>
      <c r="FG12" s="830" t="str">
        <f>IFERROR(VLOOKUP($B12,'Historical Conc Grant Elig'!$B$3:$J$707,'HH &amp; SI'!FG$2,0),"N")</f>
        <v>Y</v>
      </c>
      <c r="FH12" s="830" t="str">
        <f>IFERROR(VLOOKUP($B12,'Historical Conc Grant Elig'!$B$3:$J$707,'HH &amp; SI'!FH$2,0),"N")</f>
        <v>Y</v>
      </c>
      <c r="FI12" s="830" t="str">
        <f>IFERROR(VLOOKUP($B12,'Historical Conc Grant Elig'!$B$3:$J$707,'HH &amp; SI'!FI$2,0),"N")</f>
        <v>Y</v>
      </c>
      <c r="FJ12" s="830" t="str">
        <f>IFERROR(VLOOKUP($B12,'Historical Conc Grant Elig'!$B$3:$J$707,'HH &amp; SI'!FJ$2,0),"N")</f>
        <v>Y</v>
      </c>
      <c r="FK12" s="830" t="str">
        <f>IFERROR(VLOOKUP($B12,'Historical Conc Grant Elig'!$B$3:$J$707,'HH &amp; SI'!FK$2,0),"N")</f>
        <v>Y</v>
      </c>
      <c r="FL12" s="957" t="str">
        <f>IFERROR(VLOOKUP($B12,'Historical Conc Grant Elig'!$B$3:$J$707,'HH &amp; SI'!FL$2,0),"N")</f>
        <v>Y</v>
      </c>
    </row>
    <row r="13" spans="1:168" x14ac:dyDescent="0.25">
      <c r="B13" s="634">
        <v>10306000</v>
      </c>
      <c r="C13" s="635" t="str">
        <f>VLOOKUP($B13,'Afton Update'!$A$5:$CR$582,'Afton Update'!D$589,0)</f>
        <v>Concho Elementary District</v>
      </c>
      <c r="D13" s="636">
        <f>IFERROR(VLOOKUP($B13,'Afton FY16 Final'!$A$5:$BV$587,'Afton FY16 Final'!AQ$587,0),0)</f>
        <v>63860.939270884846</v>
      </c>
      <c r="E13" s="637">
        <f>IFERROR(VLOOKUP($B13,'Afton FY16 Final'!$A$5:$BV$587,'Afton FY16 Final'!AR$587,0),0)</f>
        <v>14877.927759400183</v>
      </c>
      <c r="F13" s="637">
        <f>IFERROR(VLOOKUP($B13,'Afton FY16 Final'!$A$5:$BV$587,'Afton FY16 Final'!AS$587,0),0)</f>
        <v>41185.097344622525</v>
      </c>
      <c r="G13" s="637">
        <f>IFERROR(VLOOKUP($B13,'Afton FY16 Final'!$A$5:$BV$587,'Afton FY16 Final'!AT$587,0),0)</f>
        <v>35739.637488615925</v>
      </c>
      <c r="H13" s="638">
        <f>IFERROR(VLOOKUP($B13,'Afton FY16 Final'!$A$5:$BV$587,'Afton FY16 Final'!AU$587,0),0)</f>
        <v>155663.60186352348</v>
      </c>
      <c r="I13" s="639" t="str">
        <f>VLOOKUP($B13,'Afton Update'!$A$5:$CR$582,'Afton Update'!BT$589,0)</f>
        <v>Y</v>
      </c>
      <c r="J13" s="640" t="str">
        <f>VLOOKUP($B13,'Afton Update'!$A$5:$CR$582,'Afton Update'!BU$589,0)</f>
        <v>Y</v>
      </c>
      <c r="K13" s="640" t="str">
        <f>VLOOKUP($B13,'Afton Update'!$A$5:$CR$582,'Afton Update'!BV$589,0)</f>
        <v>Y</v>
      </c>
      <c r="L13" s="641" t="str">
        <f>VLOOKUP($B13,'Afton Update'!$A$5:$CR$582,'Afton Update'!BW$589,0)</f>
        <v>Y</v>
      </c>
      <c r="N13" s="642">
        <f>VLOOKUP($B13,'Afton Update'!$A$5:$CR$582,'Afton Update'!CB$589,0)</f>
        <v>0.95</v>
      </c>
      <c r="P13" s="636">
        <f>VLOOKUP($B13,'Afton Update'!$A$5:$CR$582,'Afton Update'!AH$589,0)</f>
        <v>61588.045843148371</v>
      </c>
      <c r="Q13" s="637">
        <f>VLOOKUP($B13,'Afton Update'!$A$5:$CR$582,'Afton Update'!AI$589,0)</f>
        <v>14593.859571767725</v>
      </c>
      <c r="R13" s="637">
        <f>VLOOKUP($B13,'Afton Update'!$A$5:$CR$582,'Afton Update'!AJ$589,0)</f>
        <v>39665.353369308992</v>
      </c>
      <c r="S13" s="637">
        <f>VLOOKUP($B13,'Afton Update'!$A$5:$CR$582,'Afton Update'!AK$589,0)</f>
        <v>35364.756945800887</v>
      </c>
      <c r="T13" s="643">
        <f t="shared" si="47"/>
        <v>151212.01573002597</v>
      </c>
      <c r="V13" s="636">
        <f t="shared" si="70"/>
        <v>60747.944923285162</v>
      </c>
      <c r="W13" s="637">
        <f t="shared" si="71"/>
        <v>14134.031371430174</v>
      </c>
      <c r="X13" s="637">
        <f t="shared" si="72"/>
        <v>39304.612467166793</v>
      </c>
      <c r="Y13" s="637">
        <f t="shared" si="73"/>
        <v>34975.100984072502</v>
      </c>
      <c r="Z13" s="643">
        <f t="shared" si="74"/>
        <v>149161.68974595465</v>
      </c>
      <c r="AB13" s="644">
        <f t="shared" si="11"/>
        <v>61588.045843148371</v>
      </c>
      <c r="AC13" s="645">
        <f t="shared" si="12"/>
        <v>60667.892307340604</v>
      </c>
      <c r="AD13" s="644">
        <f t="shared" si="75"/>
        <v>0</v>
      </c>
      <c r="AE13" s="645">
        <f t="shared" si="76"/>
        <v>61588.045843148371</v>
      </c>
      <c r="AF13" s="646">
        <f t="shared" si="77"/>
        <v>-763.43011041026614</v>
      </c>
      <c r="AG13" s="647">
        <f t="shared" si="78"/>
        <v>60824.615732738108</v>
      </c>
      <c r="AH13" s="644">
        <f t="shared" si="13"/>
        <v>0</v>
      </c>
      <c r="AI13" s="645">
        <f t="shared" si="14"/>
        <v>60824.615732738108</v>
      </c>
      <c r="AJ13" s="646">
        <f t="shared" si="79"/>
        <v>-76.621962715732266</v>
      </c>
      <c r="AK13" s="647">
        <f t="shared" si="15"/>
        <v>60747.993770022375</v>
      </c>
      <c r="AL13" s="644">
        <f t="shared" si="80"/>
        <v>0</v>
      </c>
      <c r="AM13" s="645">
        <f t="shared" si="81"/>
        <v>60747.993770022375</v>
      </c>
      <c r="AN13" s="646">
        <f t="shared" si="82"/>
        <v>-4.8846737213669181E-2</v>
      </c>
      <c r="AO13" s="647">
        <f t="shared" si="16"/>
        <v>60747.944923285162</v>
      </c>
      <c r="AP13" s="644">
        <f t="shared" si="83"/>
        <v>0</v>
      </c>
      <c r="AQ13" s="645">
        <f t="shared" si="84"/>
        <v>60747.944923285162</v>
      </c>
      <c r="AR13" s="646">
        <f t="shared" si="85"/>
        <v>0</v>
      </c>
      <c r="AS13" s="647">
        <f t="shared" si="17"/>
        <v>60747.944923285162</v>
      </c>
      <c r="AT13" s="644">
        <f t="shared" si="86"/>
        <v>0</v>
      </c>
      <c r="AU13" s="645">
        <f t="shared" si="87"/>
        <v>60747.944923285162</v>
      </c>
      <c r="AV13" s="646">
        <f t="shared" si="88"/>
        <v>0</v>
      </c>
      <c r="AW13" s="647">
        <f t="shared" si="18"/>
        <v>60747.944923285162</v>
      </c>
      <c r="AY13" s="644">
        <f t="shared" si="89"/>
        <v>14593.859571767725</v>
      </c>
      <c r="AZ13" s="645">
        <f t="shared" si="48"/>
        <v>14134.031371430174</v>
      </c>
      <c r="BA13" s="644">
        <f t="shared" si="90"/>
        <v>0</v>
      </c>
      <c r="BB13" s="645">
        <f t="shared" si="91"/>
        <v>14593.859571767725</v>
      </c>
      <c r="BC13" s="646">
        <f t="shared" si="92"/>
        <v>-104.94869727556025</v>
      </c>
      <c r="BD13" s="647">
        <f t="shared" si="93"/>
        <v>14488.910874492165</v>
      </c>
      <c r="BE13" s="644">
        <f t="shared" si="19"/>
        <v>0</v>
      </c>
      <c r="BF13" s="645">
        <f t="shared" si="20"/>
        <v>14488.910874492165</v>
      </c>
      <c r="BG13" s="646">
        <f t="shared" si="94"/>
        <v>-345.114049419889</v>
      </c>
      <c r="BH13" s="647">
        <f t="shared" si="21"/>
        <v>14143.796825072275</v>
      </c>
      <c r="BI13" s="644">
        <f t="shared" si="95"/>
        <v>0</v>
      </c>
      <c r="BJ13" s="645">
        <f t="shared" si="96"/>
        <v>14143.796825072275</v>
      </c>
      <c r="BK13" s="646">
        <f t="shared" si="97"/>
        <v>-29.959883657479523</v>
      </c>
      <c r="BL13" s="647">
        <f t="shared" si="22"/>
        <v>14113.836941414796</v>
      </c>
      <c r="BM13" s="644">
        <f t="shared" si="98"/>
        <v>-20.194430015377293</v>
      </c>
      <c r="BN13" s="645">
        <f t="shared" si="99"/>
        <v>0</v>
      </c>
      <c r="BO13" s="646">
        <f t="shared" si="100"/>
        <v>0</v>
      </c>
      <c r="BP13" s="647">
        <f t="shared" si="23"/>
        <v>14134.031371430174</v>
      </c>
      <c r="BQ13" s="644">
        <f t="shared" si="101"/>
        <v>0</v>
      </c>
      <c r="BR13" s="645">
        <f t="shared" si="102"/>
        <v>0</v>
      </c>
      <c r="BS13" s="646">
        <f t="shared" si="103"/>
        <v>0</v>
      </c>
      <c r="BT13" s="647">
        <f t="shared" si="24"/>
        <v>14134.031371430174</v>
      </c>
      <c r="BU13" s="662">
        <f>VLOOKUP(B13,'Afton Update'!$A$5:$AR$582,'Afton Update'!$AO$589,0)-BT13</f>
        <v>0</v>
      </c>
      <c r="BV13" s="644">
        <f t="shared" si="104"/>
        <v>39665.353369308992</v>
      </c>
      <c r="BW13" s="645">
        <f t="shared" si="25"/>
        <v>39125.842477391394</v>
      </c>
      <c r="BX13" s="644">
        <f t="shared" si="105"/>
        <v>0</v>
      </c>
      <c r="BY13" s="645">
        <f t="shared" si="106"/>
        <v>39665.353369308992</v>
      </c>
      <c r="BZ13" s="646">
        <f t="shared" si="107"/>
        <v>-348.14702369568289</v>
      </c>
      <c r="CA13" s="647">
        <f t="shared" si="108"/>
        <v>39317.206345613311</v>
      </c>
      <c r="CB13" s="644">
        <f t="shared" si="26"/>
        <v>0</v>
      </c>
      <c r="CC13" s="645">
        <f t="shared" si="27"/>
        <v>39317.206345613311</v>
      </c>
      <c r="CD13" s="646">
        <f t="shared" si="109"/>
        <v>-12.59387844651966</v>
      </c>
      <c r="CE13" s="647">
        <f t="shared" si="28"/>
        <v>39304.612467166793</v>
      </c>
      <c r="CF13" s="644">
        <f t="shared" si="110"/>
        <v>0</v>
      </c>
      <c r="CG13" s="645">
        <f t="shared" si="111"/>
        <v>39304.612467166793</v>
      </c>
      <c r="CH13" s="646">
        <f t="shared" si="112"/>
        <v>0</v>
      </c>
      <c r="CI13" s="647">
        <f t="shared" si="29"/>
        <v>39304.612467166793</v>
      </c>
      <c r="CJ13" s="644">
        <f t="shared" si="113"/>
        <v>0</v>
      </c>
      <c r="CK13" s="645">
        <f t="shared" si="114"/>
        <v>39304.612467166793</v>
      </c>
      <c r="CL13" s="646">
        <f t="shared" si="115"/>
        <v>0</v>
      </c>
      <c r="CM13" s="647">
        <f t="shared" si="30"/>
        <v>39304.612467166793</v>
      </c>
      <c r="CN13" s="644">
        <f t="shared" si="116"/>
        <v>0</v>
      </c>
      <c r="CO13" s="645">
        <f t="shared" si="117"/>
        <v>39304.612467166793</v>
      </c>
      <c r="CP13" s="646">
        <f t="shared" si="118"/>
        <v>0</v>
      </c>
      <c r="CQ13" s="647">
        <f t="shared" si="31"/>
        <v>39304.612467166793</v>
      </c>
      <c r="CS13" s="644">
        <f t="shared" si="119"/>
        <v>35364.756945800887</v>
      </c>
      <c r="CT13" s="645">
        <f t="shared" si="32"/>
        <v>33952.655614185125</v>
      </c>
      <c r="CU13" s="644">
        <f t="shared" si="120"/>
        <v>0</v>
      </c>
      <c r="CV13" s="645">
        <f t="shared" si="121"/>
        <v>35364.756945800887</v>
      </c>
      <c r="CW13" s="646">
        <f t="shared" si="122"/>
        <v>-362.15509652631636</v>
      </c>
      <c r="CX13" s="647">
        <f t="shared" si="123"/>
        <v>35002.601849274572</v>
      </c>
      <c r="CY13" s="644">
        <f t="shared" si="33"/>
        <v>0</v>
      </c>
      <c r="CZ13" s="645">
        <f t="shared" si="34"/>
        <v>35002.601849274572</v>
      </c>
      <c r="DA13" s="646">
        <f t="shared" si="124"/>
        <v>-27.477169565668348</v>
      </c>
      <c r="DB13" s="647">
        <f t="shared" si="35"/>
        <v>34975.124679708904</v>
      </c>
      <c r="DC13" s="644">
        <f t="shared" si="125"/>
        <v>0</v>
      </c>
      <c r="DD13" s="645">
        <f t="shared" si="126"/>
        <v>34975.124679708904</v>
      </c>
      <c r="DE13" s="646">
        <f t="shared" si="127"/>
        <v>-2.3695636403781483E-2</v>
      </c>
      <c r="DF13" s="647">
        <f t="shared" si="36"/>
        <v>34975.100984072502</v>
      </c>
      <c r="DG13" s="644">
        <f t="shared" si="128"/>
        <v>0</v>
      </c>
      <c r="DH13" s="645">
        <f t="shared" si="129"/>
        <v>34975.100984072502</v>
      </c>
      <c r="DI13" s="646">
        <f t="shared" si="130"/>
        <v>0</v>
      </c>
      <c r="DJ13" s="647">
        <f t="shared" si="37"/>
        <v>34975.100984072502</v>
      </c>
      <c r="DK13" s="644">
        <f t="shared" si="131"/>
        <v>0</v>
      </c>
      <c r="DL13" s="645">
        <f t="shared" si="132"/>
        <v>34975.100984072502</v>
      </c>
      <c r="DM13" s="646">
        <f t="shared" si="133"/>
        <v>0</v>
      </c>
      <c r="DN13" s="647">
        <f t="shared" si="38"/>
        <v>34975.100984072502</v>
      </c>
      <c r="DR13" s="827">
        <f t="shared" si="49"/>
        <v>149161.68974595465</v>
      </c>
      <c r="DV13" s="828">
        <f>IFERROR(VLOOKUP($B13,'Afton FY16 Final'!$A$5:$BV$587,'Afton FY16 Final'!$BV$587,0),0)</f>
        <v>138202.87468545447</v>
      </c>
      <c r="DX13" s="636">
        <f t="shared" si="39"/>
        <v>149161.68974595465</v>
      </c>
      <c r="DY13" s="637">
        <f t="shared" si="40"/>
        <v>10958.815060500172</v>
      </c>
      <c r="DZ13" s="637">
        <f t="shared" si="41"/>
        <v>138202.87468545447</v>
      </c>
      <c r="EA13" s="643">
        <f t="shared" si="42"/>
        <v>141227.95956633374</v>
      </c>
      <c r="EB13" s="637">
        <f t="shared" si="50"/>
        <v>0</v>
      </c>
      <c r="EC13" s="637">
        <f t="shared" si="51"/>
        <v>141227.95956633374</v>
      </c>
      <c r="ED13" s="637">
        <f t="shared" si="52"/>
        <v>140806.82622330726</v>
      </c>
      <c r="EE13" s="643">
        <f t="shared" si="53"/>
        <v>140806.82622330726</v>
      </c>
      <c r="EF13" s="637">
        <f t="shared" si="54"/>
        <v>0</v>
      </c>
      <c r="EG13" s="637">
        <f t="shared" si="55"/>
        <v>140806.82622330726</v>
      </c>
      <c r="EH13" s="637">
        <f t="shared" si="56"/>
        <v>140806.68095840074</v>
      </c>
      <c r="EI13" s="643">
        <f t="shared" si="57"/>
        <v>140806.68095840074</v>
      </c>
      <c r="EJ13" s="637">
        <f t="shared" si="58"/>
        <v>0</v>
      </c>
      <c r="EK13" s="637">
        <f t="shared" si="59"/>
        <v>140806.68095840074</v>
      </c>
      <c r="EL13" s="637">
        <f t="shared" si="60"/>
        <v>140806.68095840057</v>
      </c>
      <c r="EM13" s="643">
        <f t="shared" si="61"/>
        <v>140806.68095840057</v>
      </c>
      <c r="EN13" s="637">
        <f t="shared" si="62"/>
        <v>0</v>
      </c>
      <c r="EO13" s="637">
        <f t="shared" si="63"/>
        <v>140806.68095840057</v>
      </c>
      <c r="EP13" s="637">
        <f t="shared" si="64"/>
        <v>140806.68095840077</v>
      </c>
      <c r="EQ13" s="643">
        <f t="shared" si="65"/>
        <v>140806.68095840077</v>
      </c>
      <c r="ER13" s="637">
        <f t="shared" si="66"/>
        <v>0</v>
      </c>
      <c r="ES13" s="637">
        <f t="shared" si="67"/>
        <v>140806.68095840077</v>
      </c>
      <c r="ET13" s="637">
        <f t="shared" si="68"/>
        <v>140806.68095840057</v>
      </c>
      <c r="EU13" s="643">
        <f t="shared" si="43"/>
        <v>140806.68095840057</v>
      </c>
      <c r="EV13" s="643">
        <f t="shared" si="44"/>
        <v>0</v>
      </c>
      <c r="EX13" s="829">
        <f t="shared" si="45"/>
        <v>8355.0087875540776</v>
      </c>
      <c r="EY13" s="638">
        <f t="shared" si="46"/>
        <v>140806.68095840057</v>
      </c>
      <c r="FC13" s="830" t="str">
        <f t="shared" si="69"/>
        <v>Y</v>
      </c>
      <c r="FE13" s="830" t="str">
        <f>IFERROR(VLOOKUP($B13,'Historical Conc Grant Elig'!$B$3:$J$707,'HH &amp; SI'!FE$2,0),"N")</f>
        <v>Y</v>
      </c>
      <c r="FF13" s="830" t="str">
        <f>IFERROR(VLOOKUP($B13,'Historical Conc Grant Elig'!$B$3:$J$707,'HH &amp; SI'!FF$2,0),"N")</f>
        <v>Y</v>
      </c>
      <c r="FG13" s="830" t="str">
        <f>IFERROR(VLOOKUP($B13,'Historical Conc Grant Elig'!$B$3:$J$707,'HH &amp; SI'!FG$2,0),"N")</f>
        <v>Y</v>
      </c>
      <c r="FH13" s="830" t="str">
        <f>IFERROR(VLOOKUP($B13,'Historical Conc Grant Elig'!$B$3:$J$707,'HH &amp; SI'!FH$2,0),"N")</f>
        <v>Y</v>
      </c>
      <c r="FI13" s="830" t="str">
        <f>IFERROR(VLOOKUP($B13,'Historical Conc Grant Elig'!$B$3:$J$707,'HH &amp; SI'!FI$2,0),"N")</f>
        <v>Y</v>
      </c>
      <c r="FJ13" s="830" t="str">
        <f>IFERROR(VLOOKUP($B13,'Historical Conc Grant Elig'!$B$3:$J$707,'HH &amp; SI'!FJ$2,0),"N")</f>
        <v>Y</v>
      </c>
      <c r="FK13" s="830" t="str">
        <f>IFERROR(VLOOKUP($B13,'Historical Conc Grant Elig'!$B$3:$J$707,'HH &amp; SI'!FK$2,0),"N")</f>
        <v>Y</v>
      </c>
      <c r="FL13" s="957" t="str">
        <f>IFERROR(VLOOKUP($B13,'Historical Conc Grant Elig'!$B$3:$J$707,'HH &amp; SI'!FL$2,0),"N")</f>
        <v>Y</v>
      </c>
    </row>
    <row r="14" spans="1:168" x14ac:dyDescent="0.25">
      <c r="B14" s="634">
        <v>10307000</v>
      </c>
      <c r="C14" s="635" t="str">
        <f>VLOOKUP($B14,'Afton Update'!$A$5:$CR$582,'Afton Update'!D$589,0)</f>
        <v>Alpine Elementary District</v>
      </c>
      <c r="D14" s="636">
        <f>IFERROR(VLOOKUP($B14,'Afton FY16 Final'!$A$5:$BV$587,'Afton FY16 Final'!AQ$587,0),0)</f>
        <v>7699.5458695393054</v>
      </c>
      <c r="E14" s="637">
        <f>IFERROR(VLOOKUP($B14,'Afton FY16 Final'!$A$5:$BV$587,'Afton FY16 Final'!AR$587,0),0)</f>
        <v>1793.7927085801632</v>
      </c>
      <c r="F14" s="637">
        <f>IFERROR(VLOOKUP($B14,'Afton FY16 Final'!$A$5:$BV$587,'Afton FY16 Final'!AS$587,0),0)</f>
        <v>3836.8546191018008</v>
      </c>
      <c r="G14" s="637">
        <f>IFERROR(VLOOKUP($B14,'Afton FY16 Final'!$A$5:$BV$587,'Afton FY16 Final'!AT$587,0),0)</f>
        <v>2951.2281725789985</v>
      </c>
      <c r="H14" s="638">
        <f>IFERROR(VLOOKUP($B14,'Afton FY16 Final'!$A$5:$BV$587,'Afton FY16 Final'!AU$587,0),0)</f>
        <v>16281.421369800268</v>
      </c>
      <c r="I14" s="639" t="str">
        <f>VLOOKUP($B14,'Afton Update'!$A$5:$CR$582,'Afton Update'!BT$589,0)</f>
        <v>Y</v>
      </c>
      <c r="J14" s="640" t="str">
        <f>VLOOKUP($B14,'Afton Update'!$A$5:$CR$582,'Afton Update'!BU$589,0)</f>
        <v>Y</v>
      </c>
      <c r="K14" s="640" t="str">
        <f>VLOOKUP($B14,'Afton Update'!$A$5:$CR$582,'Afton Update'!BV$589,0)</f>
        <v>Y</v>
      </c>
      <c r="L14" s="641" t="str">
        <f>VLOOKUP($B14,'Afton Update'!$A$5:$CR$582,'Afton Update'!BW$589,0)</f>
        <v>Y</v>
      </c>
      <c r="N14" s="642">
        <f>VLOOKUP($B14,'Afton Update'!$A$5:$CR$582,'Afton Update'!CB$589,0)</f>
        <v>0.9</v>
      </c>
      <c r="P14" s="636">
        <f>VLOOKUP($B14,'Afton Update'!$A$5:$CR$582,'Afton Update'!AH$589,0)</f>
        <v>7034.6928062722636</v>
      </c>
      <c r="Q14" s="637">
        <f>VLOOKUP($B14,'Afton Update'!$A$5:$CR$582,'Afton Update'!AI$589,0)</f>
        <v>1666.9358077495044</v>
      </c>
      <c r="R14" s="637">
        <f>VLOOKUP($B14,'Afton Update'!$A$5:$CR$582,'Afton Update'!AJ$589,0)</f>
        <v>3500.7853170996227</v>
      </c>
      <c r="S14" s="637">
        <f>VLOOKUP($B14,'Afton Update'!$A$5:$CR$582,'Afton Update'!AK$589,0)</f>
        <v>2766.5735894345348</v>
      </c>
      <c r="T14" s="643">
        <f t="shared" si="47"/>
        <v>14968.987520555924</v>
      </c>
      <c r="V14" s="636">
        <f t="shared" si="70"/>
        <v>6938.7350304312249</v>
      </c>
      <c r="W14" s="637">
        <f t="shared" si="71"/>
        <v>1614.4134377221469</v>
      </c>
      <c r="X14" s="637">
        <f t="shared" si="72"/>
        <v>3468.9470414705484</v>
      </c>
      <c r="Y14" s="637">
        <f t="shared" si="73"/>
        <v>2736.0909285658172</v>
      </c>
      <c r="Z14" s="643">
        <f t="shared" si="74"/>
        <v>14758.186438189736</v>
      </c>
      <c r="AB14" s="644">
        <f t="shared" si="11"/>
        <v>7034.6928062722636</v>
      </c>
      <c r="AC14" s="645">
        <f t="shared" si="12"/>
        <v>6929.5912825853748</v>
      </c>
      <c r="AD14" s="644">
        <f t="shared" si="75"/>
        <v>0</v>
      </c>
      <c r="AE14" s="645">
        <f t="shared" si="76"/>
        <v>7034.6928062722636</v>
      </c>
      <c r="AF14" s="646">
        <f t="shared" si="77"/>
        <v>-87.20030376466643</v>
      </c>
      <c r="AG14" s="647">
        <f t="shared" si="78"/>
        <v>6947.4925025075972</v>
      </c>
      <c r="AH14" s="644">
        <f t="shared" si="13"/>
        <v>0</v>
      </c>
      <c r="AI14" s="645">
        <f t="shared" si="14"/>
        <v>6947.4925025075972</v>
      </c>
      <c r="AJ14" s="646">
        <f t="shared" si="79"/>
        <v>-8.7518927178104011</v>
      </c>
      <c r="AK14" s="647">
        <f t="shared" si="15"/>
        <v>6938.7406097897865</v>
      </c>
      <c r="AL14" s="644">
        <f t="shared" si="80"/>
        <v>0</v>
      </c>
      <c r="AM14" s="645">
        <f t="shared" si="81"/>
        <v>6938.7406097897865</v>
      </c>
      <c r="AN14" s="646">
        <f t="shared" si="82"/>
        <v>-5.579358561919657E-3</v>
      </c>
      <c r="AO14" s="647">
        <f t="shared" si="16"/>
        <v>6938.7350304312249</v>
      </c>
      <c r="AP14" s="644">
        <f t="shared" si="83"/>
        <v>0</v>
      </c>
      <c r="AQ14" s="645">
        <f t="shared" si="84"/>
        <v>6938.7350304312249</v>
      </c>
      <c r="AR14" s="646">
        <f t="shared" si="85"/>
        <v>0</v>
      </c>
      <c r="AS14" s="647">
        <f t="shared" si="17"/>
        <v>6938.7350304312249</v>
      </c>
      <c r="AT14" s="644">
        <f t="shared" si="86"/>
        <v>0</v>
      </c>
      <c r="AU14" s="645">
        <f t="shared" si="87"/>
        <v>6938.7350304312249</v>
      </c>
      <c r="AV14" s="646">
        <f t="shared" si="88"/>
        <v>0</v>
      </c>
      <c r="AW14" s="647">
        <f t="shared" si="18"/>
        <v>6938.7350304312249</v>
      </c>
      <c r="AY14" s="644">
        <f t="shared" si="89"/>
        <v>1666.9358077495044</v>
      </c>
      <c r="AZ14" s="645">
        <f t="shared" si="48"/>
        <v>1614.4134377221469</v>
      </c>
      <c r="BA14" s="644">
        <f t="shared" si="90"/>
        <v>0</v>
      </c>
      <c r="BB14" s="645">
        <f t="shared" si="91"/>
        <v>1666.9358077495044</v>
      </c>
      <c r="BC14" s="646">
        <f t="shared" si="92"/>
        <v>-11.9874211893697</v>
      </c>
      <c r="BD14" s="647">
        <f t="shared" si="93"/>
        <v>1654.9483865601346</v>
      </c>
      <c r="BE14" s="644">
        <f t="shared" si="19"/>
        <v>0</v>
      </c>
      <c r="BF14" s="645">
        <f t="shared" si="20"/>
        <v>1654.9483865601346</v>
      </c>
      <c r="BG14" s="646">
        <f t="shared" si="94"/>
        <v>-39.419521882226952</v>
      </c>
      <c r="BH14" s="647">
        <f t="shared" si="21"/>
        <v>1615.5288646779077</v>
      </c>
      <c r="BI14" s="644">
        <f t="shared" si="95"/>
        <v>0</v>
      </c>
      <c r="BJ14" s="645">
        <f t="shared" si="96"/>
        <v>1615.5288646779077</v>
      </c>
      <c r="BK14" s="646">
        <f t="shared" si="97"/>
        <v>-3.4220695778979953</v>
      </c>
      <c r="BL14" s="647">
        <f t="shared" si="22"/>
        <v>1612.1067951000098</v>
      </c>
      <c r="BM14" s="644">
        <f t="shared" si="98"/>
        <v>-2.306642622137133</v>
      </c>
      <c r="BN14" s="645">
        <f t="shared" si="99"/>
        <v>0</v>
      </c>
      <c r="BO14" s="646">
        <f t="shared" si="100"/>
        <v>0</v>
      </c>
      <c r="BP14" s="647">
        <f t="shared" si="23"/>
        <v>1614.4134377221469</v>
      </c>
      <c r="BQ14" s="644">
        <f t="shared" si="101"/>
        <v>0</v>
      </c>
      <c r="BR14" s="645">
        <f t="shared" si="102"/>
        <v>0</v>
      </c>
      <c r="BS14" s="646">
        <f t="shared" si="103"/>
        <v>0</v>
      </c>
      <c r="BT14" s="647">
        <f t="shared" si="24"/>
        <v>1614.4134377221469</v>
      </c>
      <c r="BU14" s="662">
        <f>VLOOKUP(B14,'Afton Update'!$A$5:$AR$582,'Afton Update'!$AO$589,0)-BT14</f>
        <v>0</v>
      </c>
      <c r="BV14" s="644">
        <f t="shared" si="104"/>
        <v>3500.7853170996227</v>
      </c>
      <c r="BW14" s="645">
        <f t="shared" si="25"/>
        <v>3453.1691571916208</v>
      </c>
      <c r="BX14" s="644">
        <f t="shared" si="105"/>
        <v>0</v>
      </c>
      <c r="BY14" s="645">
        <f t="shared" si="106"/>
        <v>3500.7853170996227</v>
      </c>
      <c r="BZ14" s="646">
        <f t="shared" si="107"/>
        <v>-30.726764927520257</v>
      </c>
      <c r="CA14" s="647">
        <f t="shared" si="108"/>
        <v>3470.0585521721023</v>
      </c>
      <c r="CB14" s="644">
        <f t="shared" si="26"/>
        <v>0</v>
      </c>
      <c r="CC14" s="645">
        <f t="shared" si="27"/>
        <v>3470.0585521721023</v>
      </c>
      <c r="CD14" s="646">
        <f t="shared" si="109"/>
        <v>-1.1115107015541381</v>
      </c>
      <c r="CE14" s="647">
        <f t="shared" si="28"/>
        <v>3468.9470414705484</v>
      </c>
      <c r="CF14" s="644">
        <f t="shared" si="110"/>
        <v>0</v>
      </c>
      <c r="CG14" s="645">
        <f t="shared" si="111"/>
        <v>3468.9470414705484</v>
      </c>
      <c r="CH14" s="646">
        <f t="shared" si="112"/>
        <v>0</v>
      </c>
      <c r="CI14" s="647">
        <f t="shared" si="29"/>
        <v>3468.9470414705484</v>
      </c>
      <c r="CJ14" s="644">
        <f t="shared" si="113"/>
        <v>0</v>
      </c>
      <c r="CK14" s="645">
        <f t="shared" si="114"/>
        <v>3468.9470414705484</v>
      </c>
      <c r="CL14" s="646">
        <f t="shared" si="115"/>
        <v>0</v>
      </c>
      <c r="CM14" s="647">
        <f t="shared" si="30"/>
        <v>3468.9470414705484</v>
      </c>
      <c r="CN14" s="644">
        <f t="shared" si="116"/>
        <v>0</v>
      </c>
      <c r="CO14" s="645">
        <f t="shared" si="117"/>
        <v>3468.9470414705484</v>
      </c>
      <c r="CP14" s="646">
        <f t="shared" si="118"/>
        <v>0</v>
      </c>
      <c r="CQ14" s="647">
        <f t="shared" si="31"/>
        <v>3468.9470414705484</v>
      </c>
      <c r="CS14" s="644">
        <f t="shared" si="119"/>
        <v>2766.5735894345348</v>
      </c>
      <c r="CT14" s="645">
        <f t="shared" si="32"/>
        <v>2656.1053553210986</v>
      </c>
      <c r="CU14" s="644">
        <f t="shared" si="120"/>
        <v>0</v>
      </c>
      <c r="CV14" s="645">
        <f t="shared" si="121"/>
        <v>2766.5735894345348</v>
      </c>
      <c r="CW14" s="646">
        <f t="shared" si="122"/>
        <v>-28.331277007342411</v>
      </c>
      <c r="CX14" s="647">
        <f t="shared" si="123"/>
        <v>2738.2423124271922</v>
      </c>
      <c r="CY14" s="644">
        <f t="shared" si="33"/>
        <v>0</v>
      </c>
      <c r="CZ14" s="645">
        <f t="shared" si="34"/>
        <v>2738.2423124271922</v>
      </c>
      <c r="DA14" s="646">
        <f t="shared" si="124"/>
        <v>-2.149530159341829</v>
      </c>
      <c r="DB14" s="647">
        <f t="shared" si="35"/>
        <v>2736.0927822678505</v>
      </c>
      <c r="DC14" s="644">
        <f t="shared" si="125"/>
        <v>0</v>
      </c>
      <c r="DD14" s="645">
        <f t="shared" si="126"/>
        <v>2736.0927822678505</v>
      </c>
      <c r="DE14" s="646">
        <f t="shared" si="127"/>
        <v>-1.8537020333552518E-3</v>
      </c>
      <c r="DF14" s="647">
        <f t="shared" si="36"/>
        <v>2736.0909285658172</v>
      </c>
      <c r="DG14" s="644">
        <f t="shared" si="128"/>
        <v>0</v>
      </c>
      <c r="DH14" s="645">
        <f t="shared" si="129"/>
        <v>2736.0909285658172</v>
      </c>
      <c r="DI14" s="646">
        <f t="shared" si="130"/>
        <v>0</v>
      </c>
      <c r="DJ14" s="647">
        <f t="shared" si="37"/>
        <v>2736.0909285658172</v>
      </c>
      <c r="DK14" s="644">
        <f t="shared" si="131"/>
        <v>0</v>
      </c>
      <c r="DL14" s="645">
        <f t="shared" si="132"/>
        <v>2736.0909285658172</v>
      </c>
      <c r="DM14" s="646">
        <f t="shared" si="133"/>
        <v>0</v>
      </c>
      <c r="DN14" s="647">
        <f t="shared" si="38"/>
        <v>2736.0909285658172</v>
      </c>
      <c r="DR14" s="827">
        <f t="shared" si="49"/>
        <v>14758.186438189736</v>
      </c>
      <c r="DV14" s="828">
        <f>IFERROR(VLOOKUP($B14,'Afton FY16 Final'!$A$5:$BV$587,'Afton FY16 Final'!$BV$587,0),0)</f>
        <v>14455.140510267605</v>
      </c>
      <c r="DX14" s="636">
        <f t="shared" si="39"/>
        <v>14758.186438189736</v>
      </c>
      <c r="DY14" s="637">
        <f t="shared" si="40"/>
        <v>303.04592792213043</v>
      </c>
      <c r="DZ14" s="637">
        <f t="shared" si="41"/>
        <v>14455.140510267605</v>
      </c>
      <c r="EA14" s="643">
        <f t="shared" si="42"/>
        <v>13973.2163205908</v>
      </c>
      <c r="EB14" s="637">
        <f t="shared" si="50"/>
        <v>14455.140510267605</v>
      </c>
      <c r="EC14" s="637">
        <f t="shared" si="51"/>
        <v>0</v>
      </c>
      <c r="ED14" s="637">
        <f t="shared" si="52"/>
        <v>0</v>
      </c>
      <c r="EE14" s="643">
        <f t="shared" si="53"/>
        <v>14455.140510267605</v>
      </c>
      <c r="EF14" s="637">
        <f t="shared" si="54"/>
        <v>0</v>
      </c>
      <c r="EG14" s="637">
        <f t="shared" si="55"/>
        <v>0</v>
      </c>
      <c r="EH14" s="637">
        <f t="shared" si="56"/>
        <v>0</v>
      </c>
      <c r="EI14" s="643">
        <f t="shared" si="57"/>
        <v>14455.140510267605</v>
      </c>
      <c r="EJ14" s="637">
        <f t="shared" si="58"/>
        <v>0</v>
      </c>
      <c r="EK14" s="637">
        <f t="shared" si="59"/>
        <v>0</v>
      </c>
      <c r="EL14" s="637">
        <f t="shared" si="60"/>
        <v>0</v>
      </c>
      <c r="EM14" s="643">
        <f t="shared" si="61"/>
        <v>14455.140510267605</v>
      </c>
      <c r="EN14" s="637">
        <f t="shared" si="62"/>
        <v>0</v>
      </c>
      <c r="EO14" s="637">
        <f t="shared" si="63"/>
        <v>0</v>
      </c>
      <c r="EP14" s="637">
        <f t="shared" si="64"/>
        <v>0</v>
      </c>
      <c r="EQ14" s="643">
        <f t="shared" si="65"/>
        <v>14455.140510267605</v>
      </c>
      <c r="ER14" s="637">
        <f t="shared" si="66"/>
        <v>0</v>
      </c>
      <c r="ES14" s="637">
        <f t="shared" si="67"/>
        <v>0</v>
      </c>
      <c r="ET14" s="637">
        <f t="shared" si="68"/>
        <v>0</v>
      </c>
      <c r="EU14" s="643">
        <f t="shared" si="43"/>
        <v>14455.140510267605</v>
      </c>
      <c r="EV14" s="643">
        <f t="shared" si="44"/>
        <v>0</v>
      </c>
      <c r="EX14" s="829">
        <f t="shared" si="45"/>
        <v>303.04592792213043</v>
      </c>
      <c r="EY14" s="638">
        <f t="shared" si="46"/>
        <v>14455.140510267605</v>
      </c>
      <c r="FC14" s="830" t="str">
        <f t="shared" si="69"/>
        <v>Y</v>
      </c>
      <c r="FE14" s="830" t="str">
        <f>IFERROR(VLOOKUP($B14,'Historical Conc Grant Elig'!$B$3:$J$707,'HH &amp; SI'!FE$2,0),"N")</f>
        <v>N</v>
      </c>
      <c r="FF14" s="830" t="str">
        <f>IFERROR(VLOOKUP($B14,'Historical Conc Grant Elig'!$B$3:$J$707,'HH &amp; SI'!FF$2,0),"N")</f>
        <v>N</v>
      </c>
      <c r="FG14" s="830" t="str">
        <f>IFERROR(VLOOKUP($B14,'Historical Conc Grant Elig'!$B$3:$J$707,'HH &amp; SI'!FG$2,0),"N")</f>
        <v>N</v>
      </c>
      <c r="FH14" s="830" t="str">
        <f>IFERROR(VLOOKUP($B14,'Historical Conc Grant Elig'!$B$3:$J$707,'HH &amp; SI'!FH$2,0),"N")</f>
        <v>Y</v>
      </c>
      <c r="FI14" s="830" t="str">
        <f>IFERROR(VLOOKUP($B14,'Historical Conc Grant Elig'!$B$3:$J$707,'HH &amp; SI'!FI$2,0),"N")</f>
        <v>Y</v>
      </c>
      <c r="FJ14" s="830" t="str">
        <f>IFERROR(VLOOKUP($B14,'Historical Conc Grant Elig'!$B$3:$J$707,'HH &amp; SI'!FJ$2,0),"N")</f>
        <v>Y</v>
      </c>
      <c r="FK14" s="830" t="str">
        <f>IFERROR(VLOOKUP($B14,'Historical Conc Grant Elig'!$B$3:$J$707,'HH &amp; SI'!FK$2,0),"N")</f>
        <v>Y</v>
      </c>
      <c r="FL14" s="957" t="str">
        <f>IFERROR(VLOOKUP($B14,'Historical Conc Grant Elig'!$B$3:$J$707,'HH &amp; SI'!FL$2,0),"N")</f>
        <v>Y</v>
      </c>
    </row>
    <row r="15" spans="1:168" x14ac:dyDescent="0.25">
      <c r="B15" s="634">
        <v>10309000</v>
      </c>
      <c r="C15" s="635" t="str">
        <f>VLOOKUP($B15,'Afton Update'!$A$5:$CR$582,'Afton Update'!D$589,0)</f>
        <v>Vernon Elementary District</v>
      </c>
      <c r="D15" s="636">
        <f>IFERROR(VLOOKUP($B15,'Afton FY16 Final'!$A$5:$BV$587,'Afton FY16 Final'!AQ$587,0),0)</f>
        <v>55255.564475517378</v>
      </c>
      <c r="E15" s="637">
        <f>IFERROR(VLOOKUP($B15,'Afton FY16 Final'!$A$5:$BV$587,'Afton FY16 Final'!AR$587,0),0)</f>
        <v>12873.10061451647</v>
      </c>
      <c r="F15" s="637">
        <f>IFERROR(VLOOKUP($B15,'Afton FY16 Final'!$A$5:$BV$587,'Afton FY16 Final'!AS$587,0),0)</f>
        <v>33309.587278866093</v>
      </c>
      <c r="G15" s="637">
        <f>IFERROR(VLOOKUP($B15,'Afton FY16 Final'!$A$5:$BV$587,'Afton FY16 Final'!AT$587,0),0)</f>
        <v>28091.434370059127</v>
      </c>
      <c r="H15" s="638">
        <f>IFERROR(VLOOKUP($B15,'Afton FY16 Final'!$A$5:$BV$587,'Afton FY16 Final'!AU$587,0),0)</f>
        <v>129529.68673895906</v>
      </c>
      <c r="I15" s="639" t="str">
        <f>VLOOKUP($B15,'Afton Update'!$A$5:$CR$582,'Afton Update'!BT$589,0)</f>
        <v>Y</v>
      </c>
      <c r="J15" s="640" t="str">
        <f>VLOOKUP($B15,'Afton Update'!$A$5:$CR$582,'Afton Update'!BU$589,0)</f>
        <v>Y</v>
      </c>
      <c r="K15" s="640" t="str">
        <f>VLOOKUP($B15,'Afton Update'!$A$5:$CR$582,'Afton Update'!BV$589,0)</f>
        <v>Y</v>
      </c>
      <c r="L15" s="641" t="str">
        <f>VLOOKUP($B15,'Afton Update'!$A$5:$CR$582,'Afton Update'!BW$589,0)</f>
        <v>Y</v>
      </c>
      <c r="N15" s="642">
        <f>VLOOKUP($B15,'Afton Update'!$A$5:$CR$582,'Afton Update'!CB$589,0)</f>
        <v>0.95</v>
      </c>
      <c r="P15" s="636">
        <f>VLOOKUP($B15,'Afton Update'!$A$5:$CR$582,'Afton Update'!AH$589,0)</f>
        <v>53288.947467121274</v>
      </c>
      <c r="Q15" s="637">
        <f>VLOOKUP($B15,'Afton Update'!$A$5:$CR$582,'Afton Update'!AI$589,0)</f>
        <v>12627.311118834486</v>
      </c>
      <c r="R15" s="637">
        <f>VLOOKUP($B15,'Afton Update'!$A$5:$CR$582,'Afton Update'!AJ$589,0)</f>
        <v>32080.452279775294</v>
      </c>
      <c r="S15" s="637">
        <f>VLOOKUP($B15,'Afton Update'!$A$5:$CR$582,'Afton Update'!AK$589,0)</f>
        <v>27796.777431570172</v>
      </c>
      <c r="T15" s="643">
        <f t="shared" si="47"/>
        <v>125793.48829730123</v>
      </c>
      <c r="V15" s="636">
        <f t="shared" si="70"/>
        <v>52562.051635750271</v>
      </c>
      <c r="W15" s="637">
        <f t="shared" si="71"/>
        <v>12229.445583790646</v>
      </c>
      <c r="X15" s="637">
        <f t="shared" si="72"/>
        <v>31788.693091629742</v>
      </c>
      <c r="Y15" s="637">
        <f t="shared" si="73"/>
        <v>27490.506981029597</v>
      </c>
      <c r="Z15" s="643">
        <f t="shared" si="74"/>
        <v>124070.69729220026</v>
      </c>
      <c r="AB15" s="644">
        <f t="shared" si="11"/>
        <v>53288.947467121274</v>
      </c>
      <c r="AC15" s="645">
        <f t="shared" si="12"/>
        <v>52492.786251741505</v>
      </c>
      <c r="AD15" s="644">
        <f t="shared" si="75"/>
        <v>0</v>
      </c>
      <c r="AE15" s="645">
        <f t="shared" si="76"/>
        <v>53288.947467121274</v>
      </c>
      <c r="AF15" s="646">
        <f t="shared" si="77"/>
        <v>-660.55654943299612</v>
      </c>
      <c r="AG15" s="647">
        <f t="shared" si="78"/>
        <v>52628.390917688281</v>
      </c>
      <c r="AH15" s="644">
        <f t="shared" si="13"/>
        <v>0</v>
      </c>
      <c r="AI15" s="645">
        <f t="shared" si="14"/>
        <v>52628.390917688281</v>
      </c>
      <c r="AJ15" s="646">
        <f t="shared" si="79"/>
        <v>-66.297017385243507</v>
      </c>
      <c r="AK15" s="647">
        <f t="shared" si="15"/>
        <v>52562.093900303036</v>
      </c>
      <c r="AL15" s="644">
        <f t="shared" si="80"/>
        <v>0</v>
      </c>
      <c r="AM15" s="645">
        <f t="shared" si="81"/>
        <v>52562.093900303036</v>
      </c>
      <c r="AN15" s="646">
        <f t="shared" si="82"/>
        <v>-4.2264552766437154E-2</v>
      </c>
      <c r="AO15" s="647">
        <f t="shared" si="16"/>
        <v>52562.051635750271</v>
      </c>
      <c r="AP15" s="644">
        <f t="shared" si="83"/>
        <v>0</v>
      </c>
      <c r="AQ15" s="645">
        <f t="shared" si="84"/>
        <v>52562.051635750271</v>
      </c>
      <c r="AR15" s="646">
        <f t="shared" si="85"/>
        <v>0</v>
      </c>
      <c r="AS15" s="647">
        <f t="shared" si="17"/>
        <v>52562.051635750271</v>
      </c>
      <c r="AT15" s="644">
        <f t="shared" si="86"/>
        <v>0</v>
      </c>
      <c r="AU15" s="645">
        <f t="shared" si="87"/>
        <v>52562.051635750271</v>
      </c>
      <c r="AV15" s="646">
        <f t="shared" si="88"/>
        <v>0</v>
      </c>
      <c r="AW15" s="647">
        <f t="shared" si="18"/>
        <v>52562.051635750271</v>
      </c>
      <c r="AY15" s="644">
        <f t="shared" si="89"/>
        <v>12627.311118834486</v>
      </c>
      <c r="AZ15" s="645">
        <f t="shared" si="48"/>
        <v>12229.445583790646</v>
      </c>
      <c r="BA15" s="644">
        <f t="shared" si="90"/>
        <v>0</v>
      </c>
      <c r="BB15" s="645">
        <f t="shared" si="91"/>
        <v>12627.311118834486</v>
      </c>
      <c r="BC15" s="646">
        <f t="shared" si="92"/>
        <v>-90.80667423842803</v>
      </c>
      <c r="BD15" s="647">
        <f t="shared" si="93"/>
        <v>12536.504444596059</v>
      </c>
      <c r="BE15" s="644">
        <f t="shared" si="19"/>
        <v>0</v>
      </c>
      <c r="BF15" s="645">
        <f t="shared" si="20"/>
        <v>12536.504444596059</v>
      </c>
      <c r="BG15" s="646">
        <f t="shared" si="94"/>
        <v>-298.60931935621608</v>
      </c>
      <c r="BH15" s="647">
        <f t="shared" si="21"/>
        <v>12237.895125239844</v>
      </c>
      <c r="BI15" s="644">
        <f t="shared" si="95"/>
        <v>0</v>
      </c>
      <c r="BJ15" s="645">
        <f t="shared" si="96"/>
        <v>12237.895125239844</v>
      </c>
      <c r="BK15" s="646">
        <f t="shared" si="97"/>
        <v>-25.922736214273069</v>
      </c>
      <c r="BL15" s="647">
        <f t="shared" si="22"/>
        <v>12211.97238902557</v>
      </c>
      <c r="BM15" s="644">
        <f t="shared" si="98"/>
        <v>-17.473194765076187</v>
      </c>
      <c r="BN15" s="645">
        <f t="shared" si="99"/>
        <v>0</v>
      </c>
      <c r="BO15" s="646">
        <f t="shared" si="100"/>
        <v>0</v>
      </c>
      <c r="BP15" s="647">
        <f t="shared" si="23"/>
        <v>12229.445583790646</v>
      </c>
      <c r="BQ15" s="644">
        <f t="shared" si="101"/>
        <v>0</v>
      </c>
      <c r="BR15" s="645">
        <f t="shared" si="102"/>
        <v>0</v>
      </c>
      <c r="BS15" s="646">
        <f t="shared" si="103"/>
        <v>0</v>
      </c>
      <c r="BT15" s="647">
        <f t="shared" si="24"/>
        <v>12229.445583790646</v>
      </c>
      <c r="BU15" s="662">
        <f>VLOOKUP(B15,'Afton Update'!$A$5:$AR$582,'Afton Update'!$AO$589,0)-BT15</f>
        <v>0</v>
      </c>
      <c r="BV15" s="644">
        <f t="shared" si="104"/>
        <v>32080.452279775294</v>
      </c>
      <c r="BW15" s="645">
        <f t="shared" si="25"/>
        <v>31644.107914922788</v>
      </c>
      <c r="BX15" s="644">
        <f t="shared" si="105"/>
        <v>0</v>
      </c>
      <c r="BY15" s="645">
        <f t="shared" si="106"/>
        <v>32080.452279775294</v>
      </c>
      <c r="BZ15" s="646">
        <f t="shared" si="107"/>
        <v>-281.57354041517073</v>
      </c>
      <c r="CA15" s="647">
        <f t="shared" si="108"/>
        <v>31798.878739360123</v>
      </c>
      <c r="CB15" s="644">
        <f t="shared" si="26"/>
        <v>0</v>
      </c>
      <c r="CC15" s="645">
        <f t="shared" si="27"/>
        <v>31798.878739360123</v>
      </c>
      <c r="CD15" s="646">
        <f t="shared" si="109"/>
        <v>-10.185647730381053</v>
      </c>
      <c r="CE15" s="647">
        <f t="shared" si="28"/>
        <v>31788.693091629742</v>
      </c>
      <c r="CF15" s="644">
        <f t="shared" si="110"/>
        <v>0</v>
      </c>
      <c r="CG15" s="645">
        <f t="shared" si="111"/>
        <v>31788.693091629742</v>
      </c>
      <c r="CH15" s="646">
        <f t="shared" si="112"/>
        <v>0</v>
      </c>
      <c r="CI15" s="647">
        <f t="shared" si="29"/>
        <v>31788.693091629742</v>
      </c>
      <c r="CJ15" s="644">
        <f t="shared" si="113"/>
        <v>0</v>
      </c>
      <c r="CK15" s="645">
        <f t="shared" si="114"/>
        <v>31788.693091629742</v>
      </c>
      <c r="CL15" s="646">
        <f t="shared" si="115"/>
        <v>0</v>
      </c>
      <c r="CM15" s="647">
        <f t="shared" si="30"/>
        <v>31788.693091629742</v>
      </c>
      <c r="CN15" s="644">
        <f t="shared" si="116"/>
        <v>0</v>
      </c>
      <c r="CO15" s="645">
        <f t="shared" si="117"/>
        <v>31788.693091629742</v>
      </c>
      <c r="CP15" s="646">
        <f t="shared" si="118"/>
        <v>0</v>
      </c>
      <c r="CQ15" s="647">
        <f t="shared" si="31"/>
        <v>31788.693091629742</v>
      </c>
      <c r="CS15" s="644">
        <f t="shared" si="119"/>
        <v>27796.777431570172</v>
      </c>
      <c r="CT15" s="645">
        <f t="shared" si="32"/>
        <v>26686.86265155617</v>
      </c>
      <c r="CU15" s="644">
        <f t="shared" si="120"/>
        <v>0</v>
      </c>
      <c r="CV15" s="645">
        <f t="shared" si="121"/>
        <v>27796.777431570172</v>
      </c>
      <c r="CW15" s="646">
        <f t="shared" si="122"/>
        <v>-284.65470946905873</v>
      </c>
      <c r="CX15" s="647">
        <f t="shared" si="123"/>
        <v>27512.122722101114</v>
      </c>
      <c r="CY15" s="644">
        <f t="shared" si="33"/>
        <v>0</v>
      </c>
      <c r="CZ15" s="645">
        <f t="shared" si="34"/>
        <v>27512.122722101114</v>
      </c>
      <c r="DA15" s="646">
        <f t="shared" si="124"/>
        <v>-21.597116248725854</v>
      </c>
      <c r="DB15" s="647">
        <f t="shared" si="35"/>
        <v>27490.525605852388</v>
      </c>
      <c r="DC15" s="644">
        <f t="shared" si="125"/>
        <v>0</v>
      </c>
      <c r="DD15" s="645">
        <f t="shared" si="126"/>
        <v>27490.525605852388</v>
      </c>
      <c r="DE15" s="646">
        <f t="shared" si="127"/>
        <v>-1.8624822792498604E-2</v>
      </c>
      <c r="DF15" s="647">
        <f t="shared" si="36"/>
        <v>27490.506981029597</v>
      </c>
      <c r="DG15" s="644">
        <f t="shared" si="128"/>
        <v>0</v>
      </c>
      <c r="DH15" s="645">
        <f t="shared" si="129"/>
        <v>27490.506981029597</v>
      </c>
      <c r="DI15" s="646">
        <f t="shared" si="130"/>
        <v>0</v>
      </c>
      <c r="DJ15" s="647">
        <f t="shared" si="37"/>
        <v>27490.506981029597</v>
      </c>
      <c r="DK15" s="644">
        <f t="shared" si="131"/>
        <v>0</v>
      </c>
      <c r="DL15" s="645">
        <f t="shared" si="132"/>
        <v>27490.506981029597</v>
      </c>
      <c r="DM15" s="646">
        <f t="shared" si="133"/>
        <v>0</v>
      </c>
      <c r="DN15" s="647">
        <f t="shared" si="38"/>
        <v>27490.506981029597</v>
      </c>
      <c r="DR15" s="827">
        <f t="shared" si="49"/>
        <v>124070.69729220026</v>
      </c>
      <c r="DV15" s="828">
        <f>IFERROR(VLOOKUP($B15,'Afton FY16 Final'!$A$5:$BV$587,'Afton FY16 Final'!$BV$587,0),0)</f>
        <v>115000.39090785898</v>
      </c>
      <c r="DX15" s="636">
        <f t="shared" si="39"/>
        <v>124070.69729220026</v>
      </c>
      <c r="DY15" s="637">
        <f t="shared" si="40"/>
        <v>9070.306384341282</v>
      </c>
      <c r="DZ15" s="637">
        <f t="shared" si="41"/>
        <v>115000.39090785898</v>
      </c>
      <c r="EA15" s="643">
        <f t="shared" si="42"/>
        <v>117471.52670630634</v>
      </c>
      <c r="EB15" s="637">
        <f t="shared" si="50"/>
        <v>0</v>
      </c>
      <c r="EC15" s="637">
        <f t="shared" si="51"/>
        <v>117471.52670630634</v>
      </c>
      <c r="ED15" s="637">
        <f t="shared" si="52"/>
        <v>117121.23362762587</v>
      </c>
      <c r="EE15" s="643">
        <f t="shared" si="53"/>
        <v>117121.23362762587</v>
      </c>
      <c r="EF15" s="637">
        <f t="shared" si="54"/>
        <v>0</v>
      </c>
      <c r="EG15" s="637">
        <f t="shared" si="55"/>
        <v>117121.23362762587</v>
      </c>
      <c r="EH15" s="637">
        <f t="shared" si="56"/>
        <v>117121.11279822071</v>
      </c>
      <c r="EI15" s="643">
        <f t="shared" si="57"/>
        <v>117121.11279822071</v>
      </c>
      <c r="EJ15" s="637">
        <f t="shared" si="58"/>
        <v>0</v>
      </c>
      <c r="EK15" s="637">
        <f t="shared" si="59"/>
        <v>117121.11279822071</v>
      </c>
      <c r="EL15" s="637">
        <f t="shared" si="60"/>
        <v>117121.11279822055</v>
      </c>
      <c r="EM15" s="643">
        <f t="shared" si="61"/>
        <v>117121.11279822055</v>
      </c>
      <c r="EN15" s="637">
        <f t="shared" si="62"/>
        <v>0</v>
      </c>
      <c r="EO15" s="637">
        <f t="shared" si="63"/>
        <v>117121.11279822055</v>
      </c>
      <c r="EP15" s="637">
        <f t="shared" si="64"/>
        <v>117121.11279822073</v>
      </c>
      <c r="EQ15" s="643">
        <f t="shared" si="65"/>
        <v>117121.11279822073</v>
      </c>
      <c r="ER15" s="637">
        <f t="shared" si="66"/>
        <v>0</v>
      </c>
      <c r="ES15" s="637">
        <f t="shared" si="67"/>
        <v>117121.11279822073</v>
      </c>
      <c r="ET15" s="637">
        <f t="shared" si="68"/>
        <v>117121.11279822055</v>
      </c>
      <c r="EU15" s="643">
        <f t="shared" si="43"/>
        <v>117121.11279822055</v>
      </c>
      <c r="EV15" s="643">
        <f t="shared" si="44"/>
        <v>0</v>
      </c>
      <c r="EX15" s="829">
        <f t="shared" si="45"/>
        <v>6949.5844939797098</v>
      </c>
      <c r="EY15" s="638">
        <f t="shared" si="46"/>
        <v>117121.11279822055</v>
      </c>
      <c r="FC15" s="830" t="str">
        <f t="shared" si="69"/>
        <v>Y</v>
      </c>
      <c r="FE15" s="830" t="str">
        <f>IFERROR(VLOOKUP($B15,'Historical Conc Grant Elig'!$B$3:$J$707,'HH &amp; SI'!FE$2,0),"N")</f>
        <v>Y</v>
      </c>
      <c r="FF15" s="830" t="str">
        <f>IFERROR(VLOOKUP($B15,'Historical Conc Grant Elig'!$B$3:$J$707,'HH &amp; SI'!FF$2,0),"N")</f>
        <v>Y</v>
      </c>
      <c r="FG15" s="830" t="str">
        <f>IFERROR(VLOOKUP($B15,'Historical Conc Grant Elig'!$B$3:$J$707,'HH &amp; SI'!FG$2,0),"N")</f>
        <v>Y</v>
      </c>
      <c r="FH15" s="830" t="str">
        <f>IFERROR(VLOOKUP($B15,'Historical Conc Grant Elig'!$B$3:$J$707,'HH &amp; SI'!FH$2,0),"N")</f>
        <v>Y</v>
      </c>
      <c r="FI15" s="830" t="str">
        <f>IFERROR(VLOOKUP($B15,'Historical Conc Grant Elig'!$B$3:$J$707,'HH &amp; SI'!FI$2,0),"N")</f>
        <v>Y</v>
      </c>
      <c r="FJ15" s="830" t="str">
        <f>IFERROR(VLOOKUP($B15,'Historical Conc Grant Elig'!$B$3:$J$707,'HH &amp; SI'!FJ$2,0),"N")</f>
        <v>Y</v>
      </c>
      <c r="FK15" s="830" t="str">
        <f>IFERROR(VLOOKUP($B15,'Historical Conc Grant Elig'!$B$3:$J$707,'HH &amp; SI'!FK$2,0),"N")</f>
        <v>Y</v>
      </c>
      <c r="FL15" s="957" t="str">
        <f>IFERROR(VLOOKUP($B15,'Historical Conc Grant Elig'!$B$3:$J$707,'HH &amp; SI'!FL$2,0),"N")</f>
        <v>Y</v>
      </c>
    </row>
    <row r="16" spans="1:168" x14ac:dyDescent="0.25">
      <c r="B16" s="634">
        <v>10323000</v>
      </c>
      <c r="C16" s="635" t="str">
        <f>VLOOKUP($B16,'Afton Update'!$A$5:$CR$582,'Afton Update'!D$589,0)</f>
        <v>Mcnary Elementary District</v>
      </c>
      <c r="D16" s="636">
        <f>IFERROR(VLOOKUP($B16,'Afton FY16 Final'!$A$5:$BV$587,'Afton FY16 Final'!AQ$587,0),0)</f>
        <v>40762.301662266917</v>
      </c>
      <c r="E16" s="637">
        <f>IFERROR(VLOOKUP($B16,'Afton FY16 Final'!$A$5:$BV$587,'Afton FY16 Final'!AR$587,0),0)</f>
        <v>9496.549633659688</v>
      </c>
      <c r="F16" s="637">
        <f>IFERROR(VLOOKUP($B16,'Afton FY16 Final'!$A$5:$BV$587,'Afton FY16 Final'!AS$587,0),0)</f>
        <v>28964.617668960418</v>
      </c>
      <c r="G16" s="637">
        <f>IFERROR(VLOOKUP($B16,'Afton FY16 Final'!$A$5:$BV$587,'Afton FY16 Final'!AT$587,0),0)</f>
        <v>34809.418576515796</v>
      </c>
      <c r="H16" s="638">
        <f>IFERROR(VLOOKUP($B16,'Afton FY16 Final'!$A$5:$BV$587,'Afton FY16 Final'!AU$587,0),0)</f>
        <v>114032.88754140283</v>
      </c>
      <c r="I16" s="639" t="str">
        <f>VLOOKUP($B16,'Afton Update'!$A$5:$CR$582,'Afton Update'!BT$589,0)</f>
        <v>Y</v>
      </c>
      <c r="J16" s="640" t="str">
        <f>VLOOKUP($B16,'Afton Update'!$A$5:$CR$582,'Afton Update'!BU$589,0)</f>
        <v>Y</v>
      </c>
      <c r="K16" s="640" t="str">
        <f>VLOOKUP($B16,'Afton Update'!$A$5:$CR$582,'Afton Update'!BV$589,0)</f>
        <v>Y</v>
      </c>
      <c r="L16" s="641" t="str">
        <f>VLOOKUP($B16,'Afton Update'!$A$5:$CR$582,'Afton Update'!BW$589,0)</f>
        <v>Y</v>
      </c>
      <c r="N16" s="642">
        <f>VLOOKUP($B16,'Afton Update'!$A$5:$CR$582,'Afton Update'!CB$589,0)</f>
        <v>0.95</v>
      </c>
      <c r="P16" s="636">
        <f>VLOOKUP($B16,'Afton Update'!$A$5:$CR$582,'Afton Update'!AH$589,0)</f>
        <v>39311.518623286189</v>
      </c>
      <c r="Q16" s="637">
        <f>VLOOKUP($B16,'Afton Update'!$A$5:$CR$582,'Afton Update'!AI$589,0)</f>
        <v>9315.2295138942882</v>
      </c>
      <c r="R16" s="637">
        <f>VLOOKUP($B16,'Afton Update'!$A$5:$CR$582,'Afton Update'!AJ$589,0)</f>
        <v>27895.813513143359</v>
      </c>
      <c r="S16" s="637">
        <f>VLOOKUP($B16,'Afton Update'!$A$5:$CR$582,'Afton Update'!AK$589,0)</f>
        <v>33275.43916444348</v>
      </c>
      <c r="T16" s="643">
        <f t="shared" si="47"/>
        <v>109798.00081476731</v>
      </c>
      <c r="V16" s="636">
        <f t="shared" si="70"/>
        <v>38775.283993586265</v>
      </c>
      <c r="W16" s="637">
        <f t="shared" si="71"/>
        <v>9021.7221519767027</v>
      </c>
      <c r="X16" s="637">
        <f t="shared" si="72"/>
        <v>27642.111980749894</v>
      </c>
      <c r="Y16" s="637">
        <f t="shared" si="73"/>
        <v>33068.947647690002</v>
      </c>
      <c r="Z16" s="643">
        <f t="shared" si="74"/>
        <v>108508.06577400287</v>
      </c>
      <c r="AB16" s="644">
        <f t="shared" si="11"/>
        <v>39311.518623286189</v>
      </c>
      <c r="AC16" s="645">
        <f t="shared" si="12"/>
        <v>38724.186579153567</v>
      </c>
      <c r="AD16" s="644">
        <f t="shared" si="75"/>
        <v>0</v>
      </c>
      <c r="AE16" s="645">
        <f t="shared" si="76"/>
        <v>39311.518623286189</v>
      </c>
      <c r="AF16" s="646">
        <f t="shared" si="77"/>
        <v>-487.29581515548898</v>
      </c>
      <c r="AG16" s="647">
        <f t="shared" si="78"/>
        <v>38824.222808130697</v>
      </c>
      <c r="AH16" s="644">
        <f t="shared" si="13"/>
        <v>0</v>
      </c>
      <c r="AI16" s="645">
        <f t="shared" si="14"/>
        <v>38824.222808130697</v>
      </c>
      <c r="AJ16" s="646">
        <f t="shared" si="79"/>
        <v>-48.907635775999303</v>
      </c>
      <c r="AK16" s="647">
        <f t="shared" si="15"/>
        <v>38775.315172354698</v>
      </c>
      <c r="AL16" s="644">
        <f t="shared" si="80"/>
        <v>0</v>
      </c>
      <c r="AM16" s="645">
        <f t="shared" si="81"/>
        <v>38775.315172354698</v>
      </c>
      <c r="AN16" s="646">
        <f t="shared" si="82"/>
        <v>-3.1178768434256914E-2</v>
      </c>
      <c r="AO16" s="647">
        <f t="shared" si="16"/>
        <v>38775.283993586265</v>
      </c>
      <c r="AP16" s="644">
        <f t="shared" si="83"/>
        <v>0</v>
      </c>
      <c r="AQ16" s="645">
        <f t="shared" si="84"/>
        <v>38775.283993586265</v>
      </c>
      <c r="AR16" s="646">
        <f t="shared" si="85"/>
        <v>0</v>
      </c>
      <c r="AS16" s="647">
        <f t="shared" si="17"/>
        <v>38775.283993586265</v>
      </c>
      <c r="AT16" s="644">
        <f t="shared" si="86"/>
        <v>0</v>
      </c>
      <c r="AU16" s="645">
        <f t="shared" si="87"/>
        <v>38775.283993586265</v>
      </c>
      <c r="AV16" s="646">
        <f t="shared" si="88"/>
        <v>0</v>
      </c>
      <c r="AW16" s="647">
        <f t="shared" si="18"/>
        <v>38775.283993586265</v>
      </c>
      <c r="AY16" s="644">
        <f t="shared" si="89"/>
        <v>9315.2295138942882</v>
      </c>
      <c r="AZ16" s="645">
        <f t="shared" si="48"/>
        <v>9021.7221519767027</v>
      </c>
      <c r="BA16" s="644">
        <f t="shared" si="90"/>
        <v>0</v>
      </c>
      <c r="BB16" s="645">
        <f t="shared" si="91"/>
        <v>9315.2295138942882</v>
      </c>
      <c r="BC16" s="646">
        <f t="shared" si="92"/>
        <v>-66.988530175889508</v>
      </c>
      <c r="BD16" s="647">
        <f t="shared" si="93"/>
        <v>9248.2409837183986</v>
      </c>
      <c r="BE16" s="644">
        <f t="shared" si="19"/>
        <v>0</v>
      </c>
      <c r="BF16" s="645">
        <f t="shared" si="20"/>
        <v>9248.2409837183986</v>
      </c>
      <c r="BG16" s="646">
        <f t="shared" si="94"/>
        <v>-220.28556345950352</v>
      </c>
      <c r="BH16" s="647">
        <f t="shared" si="21"/>
        <v>9027.9554202588952</v>
      </c>
      <c r="BI16" s="644">
        <f t="shared" si="95"/>
        <v>0</v>
      </c>
      <c r="BJ16" s="645">
        <f t="shared" si="96"/>
        <v>9027.9554202588952</v>
      </c>
      <c r="BK16" s="646">
        <f t="shared" si="97"/>
        <v>-19.123329994135855</v>
      </c>
      <c r="BL16" s="647">
        <f t="shared" si="22"/>
        <v>9008.8320902647592</v>
      </c>
      <c r="BM16" s="644">
        <f t="shared" si="98"/>
        <v>-12.890061711943417</v>
      </c>
      <c r="BN16" s="645">
        <f t="shared" si="99"/>
        <v>0</v>
      </c>
      <c r="BO16" s="646">
        <f t="shared" si="100"/>
        <v>0</v>
      </c>
      <c r="BP16" s="647">
        <f t="shared" si="23"/>
        <v>9021.7221519767027</v>
      </c>
      <c r="BQ16" s="644">
        <f t="shared" si="101"/>
        <v>0</v>
      </c>
      <c r="BR16" s="645">
        <f t="shared" si="102"/>
        <v>0</v>
      </c>
      <c r="BS16" s="646">
        <f t="shared" si="103"/>
        <v>0</v>
      </c>
      <c r="BT16" s="647">
        <f t="shared" si="24"/>
        <v>9021.7221519767027</v>
      </c>
      <c r="BU16" s="662">
        <f>VLOOKUP(B16,'Afton Update'!$A$5:$AR$582,'Afton Update'!$AO$589,0)-BT16</f>
        <v>0</v>
      </c>
      <c r="BV16" s="644">
        <f t="shared" si="104"/>
        <v>27895.813513143359</v>
      </c>
      <c r="BW16" s="645">
        <f t="shared" si="25"/>
        <v>27516.386785512397</v>
      </c>
      <c r="BX16" s="644">
        <f t="shared" si="105"/>
        <v>0</v>
      </c>
      <c r="BY16" s="645">
        <f t="shared" si="106"/>
        <v>27895.813513143359</v>
      </c>
      <c r="BZ16" s="646">
        <f t="shared" si="107"/>
        <v>-244.84452105461881</v>
      </c>
      <c r="CA16" s="647">
        <f t="shared" si="108"/>
        <v>27650.968992088739</v>
      </c>
      <c r="CB16" s="644">
        <f t="shared" si="26"/>
        <v>0</v>
      </c>
      <c r="CC16" s="645">
        <f t="shared" si="27"/>
        <v>27650.968992088739</v>
      </c>
      <c r="CD16" s="646">
        <f t="shared" si="109"/>
        <v>-8.8570113388461245</v>
      </c>
      <c r="CE16" s="647">
        <f t="shared" si="28"/>
        <v>27642.111980749894</v>
      </c>
      <c r="CF16" s="644">
        <f t="shared" si="110"/>
        <v>0</v>
      </c>
      <c r="CG16" s="645">
        <f t="shared" si="111"/>
        <v>27642.111980749894</v>
      </c>
      <c r="CH16" s="646">
        <f t="shared" si="112"/>
        <v>0</v>
      </c>
      <c r="CI16" s="647">
        <f t="shared" si="29"/>
        <v>27642.111980749894</v>
      </c>
      <c r="CJ16" s="644">
        <f t="shared" si="113"/>
        <v>0</v>
      </c>
      <c r="CK16" s="645">
        <f t="shared" si="114"/>
        <v>27642.111980749894</v>
      </c>
      <c r="CL16" s="646">
        <f t="shared" si="115"/>
        <v>0</v>
      </c>
      <c r="CM16" s="647">
        <f t="shared" si="30"/>
        <v>27642.111980749894</v>
      </c>
      <c r="CN16" s="644">
        <f t="shared" si="116"/>
        <v>0</v>
      </c>
      <c r="CO16" s="645">
        <f t="shared" si="117"/>
        <v>27642.111980749894</v>
      </c>
      <c r="CP16" s="646">
        <f t="shared" si="118"/>
        <v>0</v>
      </c>
      <c r="CQ16" s="647">
        <f t="shared" si="31"/>
        <v>27642.111980749894</v>
      </c>
      <c r="CS16" s="644">
        <f t="shared" si="119"/>
        <v>33275.43916444348</v>
      </c>
      <c r="CT16" s="645">
        <f t="shared" si="32"/>
        <v>33068.947647690002</v>
      </c>
      <c r="CU16" s="644">
        <f t="shared" si="120"/>
        <v>0</v>
      </c>
      <c r="CV16" s="645">
        <f t="shared" si="121"/>
        <v>33275.43916444348</v>
      </c>
      <c r="CW16" s="646">
        <f t="shared" si="122"/>
        <v>-340.75930172582412</v>
      </c>
      <c r="CX16" s="647">
        <f t="shared" si="123"/>
        <v>32934.679862717654</v>
      </c>
      <c r="CY16" s="644">
        <f t="shared" si="33"/>
        <v>-134.26778497234773</v>
      </c>
      <c r="CZ16" s="645">
        <f t="shared" si="34"/>
        <v>0</v>
      </c>
      <c r="DA16" s="646">
        <f t="shared" si="124"/>
        <v>0</v>
      </c>
      <c r="DB16" s="647">
        <f t="shared" si="35"/>
        <v>33068.947647690002</v>
      </c>
      <c r="DC16" s="644">
        <f t="shared" si="125"/>
        <v>0</v>
      </c>
      <c r="DD16" s="645">
        <f t="shared" si="126"/>
        <v>0</v>
      </c>
      <c r="DE16" s="646">
        <f t="shared" si="127"/>
        <v>0</v>
      </c>
      <c r="DF16" s="647">
        <f t="shared" si="36"/>
        <v>33068.947647690002</v>
      </c>
      <c r="DG16" s="644">
        <f t="shared" si="128"/>
        <v>0</v>
      </c>
      <c r="DH16" s="645">
        <f t="shared" si="129"/>
        <v>0</v>
      </c>
      <c r="DI16" s="646">
        <f t="shared" si="130"/>
        <v>0</v>
      </c>
      <c r="DJ16" s="647">
        <f t="shared" si="37"/>
        <v>33068.947647690002</v>
      </c>
      <c r="DK16" s="644">
        <f t="shared" si="131"/>
        <v>0</v>
      </c>
      <c r="DL16" s="645">
        <f t="shared" si="132"/>
        <v>0</v>
      </c>
      <c r="DM16" s="646">
        <f t="shared" si="133"/>
        <v>0</v>
      </c>
      <c r="DN16" s="647">
        <f t="shared" si="38"/>
        <v>33068.947647690002</v>
      </c>
      <c r="DR16" s="827">
        <f t="shared" si="49"/>
        <v>108508.06577400287</v>
      </c>
      <c r="DV16" s="828">
        <f>IFERROR(VLOOKUP($B16,'Afton FY16 Final'!$A$5:$BV$587,'Afton FY16 Final'!$BV$587,0),0)</f>
        <v>108411.93158199832</v>
      </c>
      <c r="DX16" s="636">
        <f t="shared" si="39"/>
        <v>108508.06577400287</v>
      </c>
      <c r="DY16" s="637">
        <f t="shared" si="40"/>
        <v>96.13419200455246</v>
      </c>
      <c r="DZ16" s="637">
        <f t="shared" si="41"/>
        <v>108411.93158199832</v>
      </c>
      <c r="EA16" s="643">
        <f t="shared" si="42"/>
        <v>102736.65276822573</v>
      </c>
      <c r="EB16" s="637">
        <f t="shared" si="50"/>
        <v>108411.93158199832</v>
      </c>
      <c r="EC16" s="637">
        <f t="shared" si="51"/>
        <v>0</v>
      </c>
      <c r="ED16" s="637">
        <f t="shared" si="52"/>
        <v>0</v>
      </c>
      <c r="EE16" s="643">
        <f t="shared" si="53"/>
        <v>108411.93158199832</v>
      </c>
      <c r="EF16" s="637">
        <f t="shared" si="54"/>
        <v>0</v>
      </c>
      <c r="EG16" s="637">
        <f t="shared" si="55"/>
        <v>0</v>
      </c>
      <c r="EH16" s="637">
        <f t="shared" si="56"/>
        <v>0</v>
      </c>
      <c r="EI16" s="643">
        <f t="shared" si="57"/>
        <v>108411.93158199832</v>
      </c>
      <c r="EJ16" s="637">
        <f t="shared" si="58"/>
        <v>0</v>
      </c>
      <c r="EK16" s="637">
        <f t="shared" si="59"/>
        <v>0</v>
      </c>
      <c r="EL16" s="637">
        <f t="shared" si="60"/>
        <v>0</v>
      </c>
      <c r="EM16" s="643">
        <f t="shared" si="61"/>
        <v>108411.93158199832</v>
      </c>
      <c r="EN16" s="637">
        <f t="shared" si="62"/>
        <v>0</v>
      </c>
      <c r="EO16" s="637">
        <f t="shared" si="63"/>
        <v>0</v>
      </c>
      <c r="EP16" s="637">
        <f t="shared" si="64"/>
        <v>0</v>
      </c>
      <c r="EQ16" s="643">
        <f t="shared" si="65"/>
        <v>108411.93158199832</v>
      </c>
      <c r="ER16" s="637">
        <f t="shared" si="66"/>
        <v>0</v>
      </c>
      <c r="ES16" s="637">
        <f t="shared" si="67"/>
        <v>0</v>
      </c>
      <c r="ET16" s="637">
        <f t="shared" si="68"/>
        <v>0</v>
      </c>
      <c r="EU16" s="643">
        <f t="shared" si="43"/>
        <v>108411.93158199832</v>
      </c>
      <c r="EV16" s="643">
        <f t="shared" si="44"/>
        <v>0</v>
      </c>
      <c r="EX16" s="829">
        <f t="shared" si="45"/>
        <v>96.13419200455246</v>
      </c>
      <c r="EY16" s="638">
        <f t="shared" si="46"/>
        <v>108411.93158199832</v>
      </c>
      <c r="FC16" s="830" t="str">
        <f t="shared" si="69"/>
        <v>Y</v>
      </c>
      <c r="FE16" s="830" t="str">
        <f>IFERROR(VLOOKUP($B16,'Historical Conc Grant Elig'!$B$3:$J$707,'HH &amp; SI'!FE$2,0),"N")</f>
        <v>Y</v>
      </c>
      <c r="FF16" s="830" t="str">
        <f>IFERROR(VLOOKUP($B16,'Historical Conc Grant Elig'!$B$3:$J$707,'HH &amp; SI'!FF$2,0),"N")</f>
        <v>Y</v>
      </c>
      <c r="FG16" s="830" t="str">
        <f>IFERROR(VLOOKUP($B16,'Historical Conc Grant Elig'!$B$3:$J$707,'HH &amp; SI'!FG$2,0),"N")</f>
        <v>Y</v>
      </c>
      <c r="FH16" s="830" t="str">
        <f>IFERROR(VLOOKUP($B16,'Historical Conc Grant Elig'!$B$3:$J$707,'HH &amp; SI'!FH$2,0),"N")</f>
        <v>Y</v>
      </c>
      <c r="FI16" s="830" t="str">
        <f>IFERROR(VLOOKUP($B16,'Historical Conc Grant Elig'!$B$3:$J$707,'HH &amp; SI'!FI$2,0),"N")</f>
        <v>Y</v>
      </c>
      <c r="FJ16" s="830" t="str">
        <f>IFERROR(VLOOKUP($B16,'Historical Conc Grant Elig'!$B$3:$J$707,'HH &amp; SI'!FJ$2,0),"N")</f>
        <v>Y</v>
      </c>
      <c r="FK16" s="830" t="str">
        <f>IFERROR(VLOOKUP($B16,'Historical Conc Grant Elig'!$B$3:$J$707,'HH &amp; SI'!FK$2,0),"N")</f>
        <v>Y</v>
      </c>
      <c r="FL16" s="957" t="str">
        <f>IFERROR(VLOOKUP($B16,'Historical Conc Grant Elig'!$B$3:$J$707,'HH &amp; SI'!FL$2,0),"N")</f>
        <v>Y</v>
      </c>
    </row>
    <row r="17" spans="2:168" x14ac:dyDescent="0.25">
      <c r="B17" s="634">
        <v>20100000</v>
      </c>
      <c r="C17" s="635" t="str">
        <f>VLOOKUP($B17,'Afton Update'!$A$5:$CR$582,'Afton Update'!D$589,0)</f>
        <v>Fort Huachuca Accommodation District</v>
      </c>
      <c r="D17" s="636">
        <f>IFERROR(VLOOKUP($B17,'Afton FY16 Final'!$A$5:$BV$587,'Afton FY16 Final'!AQ$587,0),0)</f>
        <v>80094.778721941388</v>
      </c>
      <c r="E17" s="637">
        <f>IFERROR(VLOOKUP($B17,'Afton FY16 Final'!$A$5:$BV$587,'Afton FY16 Final'!AR$587,0),0)</f>
        <v>19478.318426609345</v>
      </c>
      <c r="F17" s="637">
        <f>IFERROR(VLOOKUP($B17,'Afton FY16 Final'!$A$5:$BV$587,'Afton FY16 Final'!AS$587,0),0)</f>
        <v>25248.51265781893</v>
      </c>
      <c r="G17" s="637">
        <f>IFERROR(VLOOKUP($B17,'Afton FY16 Final'!$A$5:$BV$587,'Afton FY16 Final'!AT$587,0),0)</f>
        <v>21058.826628041621</v>
      </c>
      <c r="H17" s="638">
        <f>IFERROR(VLOOKUP($B17,'Afton FY16 Final'!$A$5:$BV$587,'Afton FY16 Final'!AU$587,0),0)</f>
        <v>145880.4364344113</v>
      </c>
      <c r="I17" s="639" t="str">
        <f>VLOOKUP($B17,'Afton Update'!$A$5:$CR$582,'Afton Update'!BT$589,0)</f>
        <v>Y</v>
      </c>
      <c r="J17" s="640" t="str">
        <f>VLOOKUP($B17,'Afton Update'!$A$5:$CR$582,'Afton Update'!BU$589,0)</f>
        <v>N</v>
      </c>
      <c r="K17" s="640" t="str">
        <f>VLOOKUP($B17,'Afton Update'!$A$5:$CR$582,'Afton Update'!BV$589,0)</f>
        <v>Y</v>
      </c>
      <c r="L17" s="641" t="str">
        <f>VLOOKUP($B17,'Afton Update'!$A$5:$CR$582,'Afton Update'!BW$589,0)</f>
        <v>Y</v>
      </c>
      <c r="N17" s="642">
        <f>VLOOKUP($B17,'Afton Update'!$A$5:$CR$582,'Afton Update'!CB$589,0)</f>
        <v>0.85</v>
      </c>
      <c r="P17" s="636">
        <f>VLOOKUP($B17,'Afton Update'!$A$5:$CR$582,'Afton Update'!AH$589,0)</f>
        <v>72216.595503666176</v>
      </c>
      <c r="Q17" s="637" t="str">
        <f>VLOOKUP($B17,'Afton Update'!$A$5:$CR$582,'Afton Update'!AI$589,0)</f>
        <v/>
      </c>
      <c r="R17" s="637">
        <f>VLOOKUP($B17,'Afton Update'!$A$5:$CR$582,'Afton Update'!AJ$589,0)</f>
        <v>22818.772661939773</v>
      </c>
      <c r="S17" s="637">
        <f>VLOOKUP($B17,'Afton Update'!$A$5:$CR$582,'Afton Update'!AK$589,0)</f>
        <v>18938.942580458301</v>
      </c>
      <c r="T17" s="643">
        <f t="shared" si="47"/>
        <v>113974.31074606425</v>
      </c>
      <c r="V17" s="636">
        <f t="shared" si="70"/>
        <v>71231.514267828112</v>
      </c>
      <c r="W17" s="637">
        <f t="shared" si="71"/>
        <v>16556.570662617942</v>
      </c>
      <c r="X17" s="637">
        <f t="shared" si="72"/>
        <v>22611.244833832352</v>
      </c>
      <c r="Y17" s="637">
        <f t="shared" si="73"/>
        <v>18730.269525059757</v>
      </c>
      <c r="Z17" s="643">
        <f t="shared" si="74"/>
        <v>129129.59928933816</v>
      </c>
      <c r="AB17" s="644">
        <f t="shared" si="11"/>
        <v>72216.595503666176</v>
      </c>
      <c r="AC17" s="645">
        <f t="shared" si="12"/>
        <v>68080.561913650177</v>
      </c>
      <c r="AD17" s="644">
        <f t="shared" si="75"/>
        <v>0</v>
      </c>
      <c r="AE17" s="645">
        <f t="shared" si="76"/>
        <v>72216.595503666176</v>
      </c>
      <c r="AF17" s="646">
        <f t="shared" si="77"/>
        <v>-895.17897059484051</v>
      </c>
      <c r="AG17" s="647">
        <f t="shared" si="78"/>
        <v>71321.416533071329</v>
      </c>
      <c r="AH17" s="644">
        <f t="shared" si="13"/>
        <v>0</v>
      </c>
      <c r="AI17" s="645">
        <f t="shared" si="14"/>
        <v>71321.416533071329</v>
      </c>
      <c r="AJ17" s="646">
        <f t="shared" si="79"/>
        <v>-89.844988786157643</v>
      </c>
      <c r="AK17" s="647">
        <f t="shared" si="15"/>
        <v>71231.571544285165</v>
      </c>
      <c r="AL17" s="644">
        <f t="shared" si="80"/>
        <v>0</v>
      </c>
      <c r="AM17" s="645">
        <f t="shared" si="81"/>
        <v>71231.571544285165</v>
      </c>
      <c r="AN17" s="646">
        <f t="shared" si="82"/>
        <v>-5.7276457058198109E-2</v>
      </c>
      <c r="AO17" s="647">
        <f t="shared" si="16"/>
        <v>71231.514267828112</v>
      </c>
      <c r="AP17" s="644">
        <f t="shared" si="83"/>
        <v>0</v>
      </c>
      <c r="AQ17" s="645">
        <f t="shared" si="84"/>
        <v>71231.514267828112</v>
      </c>
      <c r="AR17" s="646">
        <f t="shared" si="85"/>
        <v>0</v>
      </c>
      <c r="AS17" s="647">
        <f t="shared" si="17"/>
        <v>71231.514267828112</v>
      </c>
      <c r="AT17" s="644">
        <f t="shared" si="86"/>
        <v>0</v>
      </c>
      <c r="AU17" s="645">
        <f t="shared" si="87"/>
        <v>71231.514267828112</v>
      </c>
      <c r="AV17" s="646">
        <f t="shared" si="88"/>
        <v>0</v>
      </c>
      <c r="AW17" s="647">
        <f t="shared" si="18"/>
        <v>71231.514267828112</v>
      </c>
      <c r="AY17" s="644">
        <f t="shared" si="89"/>
        <v>0</v>
      </c>
      <c r="AZ17" s="645">
        <f t="shared" si="48"/>
        <v>16556.570662617942</v>
      </c>
      <c r="BA17" s="644">
        <f t="shared" si="90"/>
        <v>0</v>
      </c>
      <c r="BB17" s="645">
        <f t="shared" si="91"/>
        <v>0</v>
      </c>
      <c r="BC17" s="646">
        <f t="shared" si="92"/>
        <v>0</v>
      </c>
      <c r="BD17" s="647">
        <f t="shared" si="93"/>
        <v>0</v>
      </c>
      <c r="BE17" s="644">
        <f t="shared" si="19"/>
        <v>-16556.570662617942</v>
      </c>
      <c r="BF17" s="645">
        <f t="shared" si="20"/>
        <v>0</v>
      </c>
      <c r="BG17" s="646">
        <f t="shared" si="94"/>
        <v>0</v>
      </c>
      <c r="BH17" s="647">
        <f t="shared" si="21"/>
        <v>16556.570662617942</v>
      </c>
      <c r="BI17" s="644">
        <f t="shared" si="95"/>
        <v>0</v>
      </c>
      <c r="BJ17" s="645">
        <f t="shared" si="96"/>
        <v>0</v>
      </c>
      <c r="BK17" s="646">
        <f t="shared" si="97"/>
        <v>0</v>
      </c>
      <c r="BL17" s="647">
        <f t="shared" si="22"/>
        <v>16556.570662617942</v>
      </c>
      <c r="BM17" s="644">
        <f t="shared" si="98"/>
        <v>0</v>
      </c>
      <c r="BN17" s="645">
        <f t="shared" si="99"/>
        <v>0</v>
      </c>
      <c r="BO17" s="646">
        <f t="shared" si="100"/>
        <v>0</v>
      </c>
      <c r="BP17" s="647">
        <f t="shared" si="23"/>
        <v>16556.570662617942</v>
      </c>
      <c r="BQ17" s="644">
        <f t="shared" si="101"/>
        <v>0</v>
      </c>
      <c r="BR17" s="645">
        <f t="shared" si="102"/>
        <v>0</v>
      </c>
      <c r="BS17" s="646">
        <f t="shared" si="103"/>
        <v>0</v>
      </c>
      <c r="BT17" s="647">
        <f t="shared" si="24"/>
        <v>16556.570662617942</v>
      </c>
      <c r="BU17" s="662">
        <f>VLOOKUP(B17,'Afton Update'!$A$5:$AR$582,'Afton Update'!$AO$589,0)-BT17</f>
        <v>0</v>
      </c>
      <c r="BV17" s="644">
        <f t="shared" si="104"/>
        <v>22818.772661939773</v>
      </c>
      <c r="BW17" s="645">
        <f t="shared" si="25"/>
        <v>21461.23575914609</v>
      </c>
      <c r="BX17" s="644">
        <f t="shared" si="105"/>
        <v>0</v>
      </c>
      <c r="BY17" s="645">
        <f t="shared" si="106"/>
        <v>22818.772661939773</v>
      </c>
      <c r="BZ17" s="646">
        <f t="shared" si="107"/>
        <v>-200.28279371865187</v>
      </c>
      <c r="CA17" s="647">
        <f t="shared" si="108"/>
        <v>22618.489868221121</v>
      </c>
      <c r="CB17" s="644">
        <f t="shared" si="26"/>
        <v>0</v>
      </c>
      <c r="CC17" s="645">
        <f t="shared" si="27"/>
        <v>22618.489868221121</v>
      </c>
      <c r="CD17" s="646">
        <f t="shared" si="109"/>
        <v>-7.2450343887669169</v>
      </c>
      <c r="CE17" s="647">
        <f t="shared" si="28"/>
        <v>22611.244833832352</v>
      </c>
      <c r="CF17" s="644">
        <f t="shared" si="110"/>
        <v>0</v>
      </c>
      <c r="CG17" s="645">
        <f t="shared" si="111"/>
        <v>22611.244833832352</v>
      </c>
      <c r="CH17" s="646">
        <f t="shared" si="112"/>
        <v>0</v>
      </c>
      <c r="CI17" s="647">
        <f t="shared" si="29"/>
        <v>22611.244833832352</v>
      </c>
      <c r="CJ17" s="644">
        <f t="shared" si="113"/>
        <v>0</v>
      </c>
      <c r="CK17" s="645">
        <f t="shared" si="114"/>
        <v>22611.244833832352</v>
      </c>
      <c r="CL17" s="646">
        <f t="shared" si="115"/>
        <v>0</v>
      </c>
      <c r="CM17" s="647">
        <f t="shared" si="30"/>
        <v>22611.244833832352</v>
      </c>
      <c r="CN17" s="644">
        <f t="shared" si="116"/>
        <v>0</v>
      </c>
      <c r="CO17" s="645">
        <f t="shared" si="117"/>
        <v>22611.244833832352</v>
      </c>
      <c r="CP17" s="646">
        <f t="shared" si="118"/>
        <v>0</v>
      </c>
      <c r="CQ17" s="647">
        <f t="shared" si="31"/>
        <v>22611.244833832352</v>
      </c>
      <c r="CS17" s="644">
        <f t="shared" si="119"/>
        <v>18938.942580458301</v>
      </c>
      <c r="CT17" s="645">
        <f t="shared" si="32"/>
        <v>17900.002633835378</v>
      </c>
      <c r="CU17" s="644">
        <f t="shared" si="120"/>
        <v>0</v>
      </c>
      <c r="CV17" s="645">
        <f t="shared" si="121"/>
        <v>18938.942580458301</v>
      </c>
      <c r="CW17" s="646">
        <f t="shared" si="122"/>
        <v>-193.94547483654171</v>
      </c>
      <c r="CX17" s="647">
        <f t="shared" si="123"/>
        <v>18744.997105621758</v>
      </c>
      <c r="CY17" s="644">
        <f t="shared" si="33"/>
        <v>0</v>
      </c>
      <c r="CZ17" s="645">
        <f t="shared" si="34"/>
        <v>18744.997105621758</v>
      </c>
      <c r="DA17" s="646">
        <f t="shared" si="124"/>
        <v>-14.714890801462122</v>
      </c>
      <c r="DB17" s="647">
        <f t="shared" si="35"/>
        <v>18730.282214820298</v>
      </c>
      <c r="DC17" s="644">
        <f t="shared" si="125"/>
        <v>0</v>
      </c>
      <c r="DD17" s="645">
        <f t="shared" si="126"/>
        <v>18730.282214820298</v>
      </c>
      <c r="DE17" s="646">
        <f t="shared" si="127"/>
        <v>-1.2689760541728271E-2</v>
      </c>
      <c r="DF17" s="647">
        <f t="shared" si="36"/>
        <v>18730.269525059757</v>
      </c>
      <c r="DG17" s="644">
        <f t="shared" si="128"/>
        <v>0</v>
      </c>
      <c r="DH17" s="645">
        <f t="shared" si="129"/>
        <v>18730.269525059757</v>
      </c>
      <c r="DI17" s="646">
        <f t="shared" si="130"/>
        <v>0</v>
      </c>
      <c r="DJ17" s="647">
        <f t="shared" si="37"/>
        <v>18730.269525059757</v>
      </c>
      <c r="DK17" s="644">
        <f t="shared" si="131"/>
        <v>0</v>
      </c>
      <c r="DL17" s="645">
        <f t="shared" si="132"/>
        <v>18730.269525059757</v>
      </c>
      <c r="DM17" s="646">
        <f t="shared" si="133"/>
        <v>0</v>
      </c>
      <c r="DN17" s="647">
        <f t="shared" si="38"/>
        <v>18730.269525059757</v>
      </c>
      <c r="DR17" s="827">
        <f t="shared" si="49"/>
        <v>129129.59928933816</v>
      </c>
      <c r="DV17" s="828">
        <f>IFERROR(VLOOKUP($B17,'Afton FY16 Final'!$A$5:$BV$587,'Afton FY16 Final'!$BV$587,0),0)</f>
        <v>143008.05066517682</v>
      </c>
      <c r="DX17" s="636">
        <f t="shared" si="39"/>
        <v>0</v>
      </c>
      <c r="DY17" s="637">
        <f t="shared" si="40"/>
        <v>0</v>
      </c>
      <c r="DZ17" s="637">
        <f t="shared" si="41"/>
        <v>0</v>
      </c>
      <c r="EA17" s="643">
        <f t="shared" si="42"/>
        <v>0</v>
      </c>
      <c r="EB17" s="637">
        <f t="shared" si="50"/>
        <v>0</v>
      </c>
      <c r="EC17" s="637">
        <f t="shared" si="51"/>
        <v>0</v>
      </c>
      <c r="ED17" s="637">
        <f t="shared" si="52"/>
        <v>0</v>
      </c>
      <c r="EE17" s="643">
        <f t="shared" si="53"/>
        <v>0</v>
      </c>
      <c r="EF17" s="637">
        <f t="shared" si="54"/>
        <v>0</v>
      </c>
      <c r="EG17" s="637">
        <f t="shared" si="55"/>
        <v>0</v>
      </c>
      <c r="EH17" s="637">
        <f t="shared" si="56"/>
        <v>0</v>
      </c>
      <c r="EI17" s="643">
        <f t="shared" si="57"/>
        <v>0</v>
      </c>
      <c r="EJ17" s="637">
        <f t="shared" si="58"/>
        <v>0</v>
      </c>
      <c r="EK17" s="637">
        <f t="shared" si="59"/>
        <v>0</v>
      </c>
      <c r="EL17" s="637">
        <f t="shared" si="60"/>
        <v>0</v>
      </c>
      <c r="EM17" s="643">
        <f t="shared" si="61"/>
        <v>0</v>
      </c>
      <c r="EN17" s="637">
        <f t="shared" si="62"/>
        <v>0</v>
      </c>
      <c r="EO17" s="637">
        <f t="shared" si="63"/>
        <v>0</v>
      </c>
      <c r="EP17" s="637">
        <f t="shared" si="64"/>
        <v>0</v>
      </c>
      <c r="EQ17" s="643">
        <f t="shared" si="65"/>
        <v>0</v>
      </c>
      <c r="ER17" s="637">
        <f t="shared" si="66"/>
        <v>0</v>
      </c>
      <c r="ES17" s="637">
        <f t="shared" si="67"/>
        <v>0</v>
      </c>
      <c r="ET17" s="637">
        <f t="shared" si="68"/>
        <v>0</v>
      </c>
      <c r="EU17" s="643">
        <f t="shared" si="43"/>
        <v>0</v>
      </c>
      <c r="EV17" s="643">
        <f t="shared" si="44"/>
        <v>0</v>
      </c>
      <c r="EX17" s="829">
        <f t="shared" si="45"/>
        <v>0</v>
      </c>
      <c r="EY17" s="638">
        <f t="shared" si="46"/>
        <v>129129.59928933816</v>
      </c>
      <c r="FC17" s="830" t="str">
        <f t="shared" si="69"/>
        <v>Y</v>
      </c>
      <c r="FE17" s="830" t="str">
        <f>IFERROR(VLOOKUP($B17,'Historical Conc Grant Elig'!$B$3:$J$707,'HH &amp; SI'!FE$2,0),"N")</f>
        <v>N</v>
      </c>
      <c r="FF17" s="830" t="str">
        <f>IFERROR(VLOOKUP($B17,'Historical Conc Grant Elig'!$B$3:$J$707,'HH &amp; SI'!FF$2,0),"N")</f>
        <v>N</v>
      </c>
      <c r="FG17" s="830" t="str">
        <f>IFERROR(VLOOKUP($B17,'Historical Conc Grant Elig'!$B$3:$J$707,'HH &amp; SI'!FG$2,0),"N")</f>
        <v>Y</v>
      </c>
      <c r="FH17" s="830" t="str">
        <f>IFERROR(VLOOKUP($B17,'Historical Conc Grant Elig'!$B$3:$J$707,'HH &amp; SI'!FH$2,0),"N")</f>
        <v>N</v>
      </c>
      <c r="FI17" s="830" t="str">
        <f>IFERROR(VLOOKUP($B17,'Historical Conc Grant Elig'!$B$3:$J$707,'HH &amp; SI'!FI$2,0),"N")</f>
        <v>Y</v>
      </c>
      <c r="FJ17" s="830" t="str">
        <f>IFERROR(VLOOKUP($B17,'Historical Conc Grant Elig'!$B$3:$J$707,'HH &amp; SI'!FJ$2,0),"N")</f>
        <v>Y</v>
      </c>
      <c r="FK17" s="830" t="str">
        <f>IFERROR(VLOOKUP($B17,'Historical Conc Grant Elig'!$B$3:$J$707,'HH &amp; SI'!FK$2,0),"N")</f>
        <v>Y</v>
      </c>
      <c r="FL17" s="957" t="str">
        <f>IFERROR(VLOOKUP($B17,'Historical Conc Grant Elig'!$B$3:$J$707,'HH &amp; SI'!FL$2,0),"N")</f>
        <v>N</v>
      </c>
    </row>
    <row r="18" spans="2:168" x14ac:dyDescent="0.25">
      <c r="B18" s="634">
        <v>20201000</v>
      </c>
      <c r="C18" s="635" t="str">
        <f>VLOOKUP($B18,'Afton Update'!$A$5:$CR$582,'Afton Update'!D$589,0)</f>
        <v>Tombstone Unified District</v>
      </c>
      <c r="D18" s="636">
        <f>IFERROR(VLOOKUP($B18,'Afton FY16 Final'!$A$5:$BV$587,'Afton FY16 Final'!AQ$587,0),0)</f>
        <v>109277.18369085831</v>
      </c>
      <c r="E18" s="637">
        <f>IFERROR(VLOOKUP($B18,'Afton FY16 Final'!$A$5:$BV$587,'Afton FY16 Final'!AR$587,0),0)</f>
        <v>25458.724272859672</v>
      </c>
      <c r="F18" s="637">
        <f>IFERROR(VLOOKUP($B18,'Afton FY16 Final'!$A$5:$BV$587,'Afton FY16 Final'!AS$587,0),0)</f>
        <v>42367.39505519488</v>
      </c>
      <c r="G18" s="637">
        <f>IFERROR(VLOOKUP($B18,'Afton FY16 Final'!$A$5:$BV$587,'Afton FY16 Final'!AT$587,0),0)</f>
        <v>34014.532554142359</v>
      </c>
      <c r="H18" s="638">
        <f>IFERROR(VLOOKUP($B18,'Afton FY16 Final'!$A$5:$BV$587,'Afton FY16 Final'!AU$587,0),0)</f>
        <v>211117.8355730552</v>
      </c>
      <c r="I18" s="639" t="str">
        <f>VLOOKUP($B18,'Afton Update'!$A$5:$CR$582,'Afton Update'!BT$589,0)</f>
        <v>Y</v>
      </c>
      <c r="J18" s="640" t="str">
        <f>VLOOKUP($B18,'Afton Update'!$A$5:$CR$582,'Afton Update'!BU$589,0)</f>
        <v>Y</v>
      </c>
      <c r="K18" s="640" t="str">
        <f>VLOOKUP($B18,'Afton Update'!$A$5:$CR$582,'Afton Update'!BV$589,0)</f>
        <v>Y</v>
      </c>
      <c r="L18" s="641" t="str">
        <f>VLOOKUP($B18,'Afton Update'!$A$5:$CR$582,'Afton Update'!BW$589,0)</f>
        <v>Y</v>
      </c>
      <c r="N18" s="642">
        <f>VLOOKUP($B18,'Afton Update'!$A$5:$CR$582,'Afton Update'!CB$589,0)</f>
        <v>0.9</v>
      </c>
      <c r="P18" s="636">
        <f>VLOOKUP($B18,'Afton Update'!$A$5:$CR$582,'Afton Update'!AH$589,0)</f>
        <v>99184.147612102766</v>
      </c>
      <c r="Q18" s="637">
        <f>VLOOKUP($B18,'Afton Update'!$A$5:$CR$582,'Afton Update'!AI$589,0)</f>
        <v>24538.055420570134</v>
      </c>
      <c r="R18" s="637">
        <f>VLOOKUP($B18,'Afton Update'!$A$5:$CR$582,'Afton Update'!AJ$589,0)</f>
        <v>38402.070653778253</v>
      </c>
      <c r="S18" s="637">
        <f>VLOOKUP($B18,'Afton Update'!$A$5:$CR$582,'Afton Update'!AK$589,0)</f>
        <v>30590.464052077117</v>
      </c>
      <c r="T18" s="643">
        <f t="shared" si="47"/>
        <v>192714.73773852826</v>
      </c>
      <c r="V18" s="636">
        <f t="shared" si="70"/>
        <v>98349.465321772484</v>
      </c>
      <c r="W18" s="637">
        <f t="shared" si="71"/>
        <v>23729.861588484677</v>
      </c>
      <c r="X18" s="637">
        <f t="shared" si="72"/>
        <v>38130.655549675394</v>
      </c>
      <c r="Y18" s="637">
        <f t="shared" si="73"/>
        <v>30613.079298728124</v>
      </c>
      <c r="Z18" s="643">
        <f t="shared" si="74"/>
        <v>190823.06175866068</v>
      </c>
      <c r="AB18" s="644">
        <f t="shared" si="11"/>
        <v>99184.147612102766</v>
      </c>
      <c r="AC18" s="645">
        <f t="shared" si="12"/>
        <v>98349.465321772484</v>
      </c>
      <c r="AD18" s="644">
        <f t="shared" si="75"/>
        <v>0</v>
      </c>
      <c r="AE18" s="645">
        <f t="shared" si="76"/>
        <v>99184.147612102766</v>
      </c>
      <c r="AF18" s="646">
        <f t="shared" si="77"/>
        <v>-1229.4620445548617</v>
      </c>
      <c r="AG18" s="647">
        <f t="shared" si="78"/>
        <v>97954.685567547902</v>
      </c>
      <c r="AH18" s="644">
        <f t="shared" si="13"/>
        <v>-394.77975422458258</v>
      </c>
      <c r="AI18" s="645">
        <f t="shared" si="14"/>
        <v>0</v>
      </c>
      <c r="AJ18" s="646">
        <f t="shared" si="79"/>
        <v>0</v>
      </c>
      <c r="AK18" s="647">
        <f t="shared" si="15"/>
        <v>98349.465321772484</v>
      </c>
      <c r="AL18" s="644">
        <f t="shared" si="80"/>
        <v>0</v>
      </c>
      <c r="AM18" s="645">
        <f t="shared" si="81"/>
        <v>0</v>
      </c>
      <c r="AN18" s="646">
        <f t="shared" si="82"/>
        <v>0</v>
      </c>
      <c r="AO18" s="647">
        <f t="shared" si="16"/>
        <v>98349.465321772484</v>
      </c>
      <c r="AP18" s="644">
        <f t="shared" si="83"/>
        <v>0</v>
      </c>
      <c r="AQ18" s="645">
        <f t="shared" si="84"/>
        <v>0</v>
      </c>
      <c r="AR18" s="646">
        <f t="shared" si="85"/>
        <v>0</v>
      </c>
      <c r="AS18" s="647">
        <f t="shared" si="17"/>
        <v>98349.465321772484</v>
      </c>
      <c r="AT18" s="644">
        <f t="shared" si="86"/>
        <v>0</v>
      </c>
      <c r="AU18" s="645">
        <f t="shared" si="87"/>
        <v>0</v>
      </c>
      <c r="AV18" s="646">
        <f t="shared" si="88"/>
        <v>0</v>
      </c>
      <c r="AW18" s="647">
        <f t="shared" si="18"/>
        <v>98349.465321772484</v>
      </c>
      <c r="AY18" s="644">
        <f t="shared" si="89"/>
        <v>24538.055420570134</v>
      </c>
      <c r="AZ18" s="645">
        <f t="shared" si="48"/>
        <v>22912.851845573707</v>
      </c>
      <c r="BA18" s="644">
        <f t="shared" si="90"/>
        <v>0</v>
      </c>
      <c r="BB18" s="645">
        <f t="shared" si="91"/>
        <v>24538.055420570134</v>
      </c>
      <c r="BC18" s="646">
        <f t="shared" si="92"/>
        <v>-176.46030766571246</v>
      </c>
      <c r="BD18" s="647">
        <f t="shared" si="93"/>
        <v>24361.595112904422</v>
      </c>
      <c r="BE18" s="644">
        <f t="shared" si="19"/>
        <v>0</v>
      </c>
      <c r="BF18" s="645">
        <f t="shared" si="20"/>
        <v>24361.595112904422</v>
      </c>
      <c r="BG18" s="646">
        <f t="shared" si="94"/>
        <v>-580.27334232166072</v>
      </c>
      <c r="BH18" s="647">
        <f t="shared" si="21"/>
        <v>23781.321770582763</v>
      </c>
      <c r="BI18" s="644">
        <f t="shared" si="95"/>
        <v>0</v>
      </c>
      <c r="BJ18" s="645">
        <f t="shared" si="96"/>
        <v>23781.321770582763</v>
      </c>
      <c r="BK18" s="646">
        <f t="shared" si="97"/>
        <v>-50.374425076917326</v>
      </c>
      <c r="BL18" s="647">
        <f t="shared" si="22"/>
        <v>23730.947345505847</v>
      </c>
      <c r="BM18" s="644">
        <f t="shared" si="98"/>
        <v>0</v>
      </c>
      <c r="BN18" s="645">
        <f t="shared" si="99"/>
        <v>23730.947345505847</v>
      </c>
      <c r="BO18" s="646">
        <f t="shared" si="100"/>
        <v>-1.0857570211684417</v>
      </c>
      <c r="BP18" s="647">
        <f t="shared" si="23"/>
        <v>23729.861588484677</v>
      </c>
      <c r="BQ18" s="644">
        <f t="shared" si="101"/>
        <v>0</v>
      </c>
      <c r="BR18" s="645">
        <f t="shared" si="102"/>
        <v>23729.861588484677</v>
      </c>
      <c r="BS18" s="646">
        <f t="shared" si="103"/>
        <v>0</v>
      </c>
      <c r="BT18" s="647">
        <f t="shared" si="24"/>
        <v>23729.861588484677</v>
      </c>
      <c r="BU18" s="662">
        <f>VLOOKUP(B18,'Afton Update'!$A$5:$AR$582,'Afton Update'!$AO$589,0)-BT18</f>
        <v>0</v>
      </c>
      <c r="BV18" s="644">
        <f t="shared" si="104"/>
        <v>38402.070653778253</v>
      </c>
      <c r="BW18" s="645">
        <f t="shared" si="25"/>
        <v>38130.655549675394</v>
      </c>
      <c r="BX18" s="644">
        <f t="shared" si="105"/>
        <v>0</v>
      </c>
      <c r="BY18" s="645">
        <f t="shared" si="106"/>
        <v>38402.070653778253</v>
      </c>
      <c r="BZ18" s="646">
        <f t="shared" si="107"/>
        <v>-337.05905699075174</v>
      </c>
      <c r="CA18" s="647">
        <f t="shared" si="108"/>
        <v>38065.011596787503</v>
      </c>
      <c r="CB18" s="644">
        <f t="shared" si="26"/>
        <v>-65.643952887890919</v>
      </c>
      <c r="CC18" s="645">
        <f t="shared" si="27"/>
        <v>0</v>
      </c>
      <c r="CD18" s="646">
        <f t="shared" si="109"/>
        <v>0</v>
      </c>
      <c r="CE18" s="647">
        <f t="shared" si="28"/>
        <v>38130.655549675394</v>
      </c>
      <c r="CF18" s="644">
        <f t="shared" si="110"/>
        <v>0</v>
      </c>
      <c r="CG18" s="645">
        <f t="shared" si="111"/>
        <v>0</v>
      </c>
      <c r="CH18" s="646">
        <f t="shared" si="112"/>
        <v>0</v>
      </c>
      <c r="CI18" s="647">
        <f t="shared" si="29"/>
        <v>38130.655549675394</v>
      </c>
      <c r="CJ18" s="644">
        <f t="shared" si="113"/>
        <v>0</v>
      </c>
      <c r="CK18" s="645">
        <f t="shared" si="114"/>
        <v>0</v>
      </c>
      <c r="CL18" s="646">
        <f t="shared" si="115"/>
        <v>0</v>
      </c>
      <c r="CM18" s="647">
        <f t="shared" si="30"/>
        <v>38130.655549675394</v>
      </c>
      <c r="CN18" s="644">
        <f t="shared" si="116"/>
        <v>0</v>
      </c>
      <c r="CO18" s="645">
        <f t="shared" si="117"/>
        <v>0</v>
      </c>
      <c r="CP18" s="646">
        <f t="shared" si="118"/>
        <v>0</v>
      </c>
      <c r="CQ18" s="647">
        <f t="shared" si="31"/>
        <v>38130.655549675394</v>
      </c>
      <c r="CS18" s="644">
        <f t="shared" si="119"/>
        <v>30590.464052077117</v>
      </c>
      <c r="CT18" s="645">
        <f t="shared" si="32"/>
        <v>30613.079298728124</v>
      </c>
      <c r="CU18" s="644">
        <f t="shared" si="120"/>
        <v>22.615246651006601</v>
      </c>
      <c r="CV18" s="645">
        <f t="shared" si="121"/>
        <v>0</v>
      </c>
      <c r="CW18" s="646">
        <f t="shared" si="122"/>
        <v>0</v>
      </c>
      <c r="CX18" s="647">
        <f t="shared" si="123"/>
        <v>30613.079298728124</v>
      </c>
      <c r="CY18" s="644">
        <f t="shared" si="33"/>
        <v>0</v>
      </c>
      <c r="CZ18" s="645">
        <f t="shared" si="34"/>
        <v>0</v>
      </c>
      <c r="DA18" s="646">
        <f t="shared" si="124"/>
        <v>0</v>
      </c>
      <c r="DB18" s="647">
        <f t="shared" si="35"/>
        <v>30613.079298728124</v>
      </c>
      <c r="DC18" s="644">
        <f t="shared" si="125"/>
        <v>0</v>
      </c>
      <c r="DD18" s="645">
        <f t="shared" si="126"/>
        <v>0</v>
      </c>
      <c r="DE18" s="646">
        <f t="shared" si="127"/>
        <v>0</v>
      </c>
      <c r="DF18" s="647">
        <f t="shared" si="36"/>
        <v>30613.079298728124</v>
      </c>
      <c r="DG18" s="644">
        <f t="shared" si="128"/>
        <v>0</v>
      </c>
      <c r="DH18" s="645">
        <f t="shared" si="129"/>
        <v>0</v>
      </c>
      <c r="DI18" s="646">
        <f t="shared" si="130"/>
        <v>0</v>
      </c>
      <c r="DJ18" s="647">
        <f t="shared" si="37"/>
        <v>30613.079298728124</v>
      </c>
      <c r="DK18" s="644">
        <f t="shared" si="131"/>
        <v>0</v>
      </c>
      <c r="DL18" s="645">
        <f t="shared" si="132"/>
        <v>0</v>
      </c>
      <c r="DM18" s="646">
        <f t="shared" si="133"/>
        <v>0</v>
      </c>
      <c r="DN18" s="647">
        <f t="shared" si="38"/>
        <v>30613.079298728124</v>
      </c>
      <c r="DR18" s="827">
        <f t="shared" si="49"/>
        <v>190823.06175866068</v>
      </c>
      <c r="DV18" s="828">
        <f>IFERROR(VLOOKUP($B18,'Afton FY16 Final'!$A$5:$BV$587,'Afton FY16 Final'!$BV$587,0),0)</f>
        <v>199236.4947498184</v>
      </c>
      <c r="DX18" s="636">
        <f t="shared" si="39"/>
        <v>0</v>
      </c>
      <c r="DY18" s="637">
        <f t="shared" si="40"/>
        <v>0</v>
      </c>
      <c r="DZ18" s="637">
        <f t="shared" si="41"/>
        <v>0</v>
      </c>
      <c r="EA18" s="643">
        <f t="shared" si="42"/>
        <v>0</v>
      </c>
      <c r="EB18" s="637">
        <f t="shared" si="50"/>
        <v>0</v>
      </c>
      <c r="EC18" s="637">
        <f t="shared" si="51"/>
        <v>0</v>
      </c>
      <c r="ED18" s="637">
        <f t="shared" si="52"/>
        <v>0</v>
      </c>
      <c r="EE18" s="643">
        <f t="shared" si="53"/>
        <v>0</v>
      </c>
      <c r="EF18" s="637">
        <f t="shared" si="54"/>
        <v>0</v>
      </c>
      <c r="EG18" s="637">
        <f t="shared" si="55"/>
        <v>0</v>
      </c>
      <c r="EH18" s="637">
        <f t="shared" si="56"/>
        <v>0</v>
      </c>
      <c r="EI18" s="643">
        <f t="shared" si="57"/>
        <v>0</v>
      </c>
      <c r="EJ18" s="637">
        <f t="shared" si="58"/>
        <v>0</v>
      </c>
      <c r="EK18" s="637">
        <f t="shared" si="59"/>
        <v>0</v>
      </c>
      <c r="EL18" s="637">
        <f t="shared" si="60"/>
        <v>0</v>
      </c>
      <c r="EM18" s="643">
        <f t="shared" si="61"/>
        <v>0</v>
      </c>
      <c r="EN18" s="637">
        <f t="shared" si="62"/>
        <v>0</v>
      </c>
      <c r="EO18" s="637">
        <f t="shared" si="63"/>
        <v>0</v>
      </c>
      <c r="EP18" s="637">
        <f t="shared" si="64"/>
        <v>0</v>
      </c>
      <c r="EQ18" s="643">
        <f t="shared" si="65"/>
        <v>0</v>
      </c>
      <c r="ER18" s="637">
        <f t="shared" si="66"/>
        <v>0</v>
      </c>
      <c r="ES18" s="637">
        <f t="shared" si="67"/>
        <v>0</v>
      </c>
      <c r="ET18" s="637">
        <f t="shared" si="68"/>
        <v>0</v>
      </c>
      <c r="EU18" s="643">
        <f t="shared" si="43"/>
        <v>0</v>
      </c>
      <c r="EV18" s="643">
        <f t="shared" si="44"/>
        <v>0</v>
      </c>
      <c r="EX18" s="829">
        <f t="shared" si="45"/>
        <v>0</v>
      </c>
      <c r="EY18" s="638">
        <f t="shared" si="46"/>
        <v>190823.06175866068</v>
      </c>
      <c r="FC18" s="830" t="str">
        <f t="shared" si="69"/>
        <v>Y</v>
      </c>
      <c r="FE18" s="830" t="str">
        <f>IFERROR(VLOOKUP($B18,'Historical Conc Grant Elig'!$B$3:$J$707,'HH &amp; SI'!FE$2,0),"N")</f>
        <v>Y</v>
      </c>
      <c r="FF18" s="830" t="str">
        <f>IFERROR(VLOOKUP($B18,'Historical Conc Grant Elig'!$B$3:$J$707,'HH &amp; SI'!FF$2,0),"N")</f>
        <v>Y</v>
      </c>
      <c r="FG18" s="830" t="str">
        <f>IFERROR(VLOOKUP($B18,'Historical Conc Grant Elig'!$B$3:$J$707,'HH &amp; SI'!FG$2,0),"N")</f>
        <v>Y</v>
      </c>
      <c r="FH18" s="830" t="str">
        <f>IFERROR(VLOOKUP($B18,'Historical Conc Grant Elig'!$B$3:$J$707,'HH &amp; SI'!FH$2,0),"N")</f>
        <v>Y</v>
      </c>
      <c r="FI18" s="830" t="str">
        <f>IFERROR(VLOOKUP($B18,'Historical Conc Grant Elig'!$B$3:$J$707,'HH &amp; SI'!FI$2,0),"N")</f>
        <v>Y</v>
      </c>
      <c r="FJ18" s="830" t="str">
        <f>IFERROR(VLOOKUP($B18,'Historical Conc Grant Elig'!$B$3:$J$707,'HH &amp; SI'!FJ$2,0),"N")</f>
        <v>Y</v>
      </c>
      <c r="FK18" s="830" t="str">
        <f>IFERROR(VLOOKUP($B18,'Historical Conc Grant Elig'!$B$3:$J$707,'HH &amp; SI'!FK$2,0),"N")</f>
        <v>Y</v>
      </c>
      <c r="FL18" s="957" t="str">
        <f>IFERROR(VLOOKUP($B18,'Historical Conc Grant Elig'!$B$3:$J$707,'HH &amp; SI'!FL$2,0),"N")</f>
        <v>Y</v>
      </c>
    </row>
    <row r="19" spans="2:168" x14ac:dyDescent="0.25">
      <c r="B19" s="634">
        <v>20202000</v>
      </c>
      <c r="C19" s="635" t="str">
        <f>VLOOKUP($B19,'Afton Update'!$A$5:$CR$582,'Afton Update'!D$589,0)</f>
        <v>Bisbee Unified District</v>
      </c>
      <c r="D19" s="636">
        <f>IFERROR(VLOOKUP($B19,'Afton FY16 Final'!$A$5:$BV$587,'Afton FY16 Final'!AQ$587,0),0)</f>
        <v>136407.08713289734</v>
      </c>
      <c r="E19" s="637">
        <f>IFERROR(VLOOKUP($B19,'Afton FY16 Final'!$A$5:$BV$587,'Afton FY16 Final'!AR$587,0),0)</f>
        <v>31833.279352014804</v>
      </c>
      <c r="F19" s="637">
        <f>IFERROR(VLOOKUP($B19,'Afton FY16 Final'!$A$5:$BV$587,'Afton FY16 Final'!AS$587,0),0)</f>
        <v>84742.095256457091</v>
      </c>
      <c r="G19" s="637">
        <f>IFERROR(VLOOKUP($B19,'Afton FY16 Final'!$A$5:$BV$587,'Afton FY16 Final'!AT$587,0),0)</f>
        <v>85942.954448347853</v>
      </c>
      <c r="H19" s="638">
        <f>IFERROR(VLOOKUP($B19,'Afton FY16 Final'!$A$5:$BV$587,'Afton FY16 Final'!AU$587,0),0)</f>
        <v>338925.41618971707</v>
      </c>
      <c r="I19" s="639" t="str">
        <f>VLOOKUP($B19,'Afton Update'!$A$5:$CR$582,'Afton Update'!BT$589,0)</f>
        <v>Y</v>
      </c>
      <c r="J19" s="640" t="str">
        <f>VLOOKUP($B19,'Afton Update'!$A$5:$CR$582,'Afton Update'!BU$589,0)</f>
        <v>Y</v>
      </c>
      <c r="K19" s="640" t="str">
        <f>VLOOKUP($B19,'Afton Update'!$A$5:$CR$582,'Afton Update'!BV$589,0)</f>
        <v>Y</v>
      </c>
      <c r="L19" s="641" t="str">
        <f>VLOOKUP($B19,'Afton Update'!$A$5:$CR$582,'Afton Update'!BW$589,0)</f>
        <v>Y</v>
      </c>
      <c r="N19" s="642">
        <f>VLOOKUP($B19,'Afton Update'!$A$5:$CR$582,'Afton Update'!CB$589,0)</f>
        <v>0.95</v>
      </c>
      <c r="P19" s="636">
        <f>VLOOKUP($B19,'Afton Update'!$A$5:$CR$582,'Afton Update'!AH$589,0)</f>
        <v>130686.52269942306</v>
      </c>
      <c r="Q19" s="637">
        <f>VLOOKUP($B19,'Afton Update'!$A$5:$CR$582,'Afton Update'!AI$589,0)</f>
        <v>31980.437609951903</v>
      </c>
      <c r="R19" s="637">
        <f>VLOOKUP($B19,'Afton Update'!$A$5:$CR$582,'Afton Update'!AJ$589,0)</f>
        <v>81078.027333957216</v>
      </c>
      <c r="S19" s="637">
        <f>VLOOKUP($B19,'Afton Update'!$A$5:$CR$582,'Afton Update'!AK$589,0)</f>
        <v>82734.840478659171</v>
      </c>
      <c r="T19" s="643">
        <f t="shared" si="47"/>
        <v>326479.82812199136</v>
      </c>
      <c r="V19" s="636">
        <f t="shared" si="70"/>
        <v>129586.73277625247</v>
      </c>
      <c r="W19" s="637">
        <f t="shared" si="71"/>
        <v>30927.118918606451</v>
      </c>
      <c r="X19" s="637">
        <f t="shared" si="72"/>
        <v>80504.990493634235</v>
      </c>
      <c r="Y19" s="637">
        <f t="shared" si="73"/>
        <v>81823.251466904781</v>
      </c>
      <c r="Z19" s="643">
        <f t="shared" si="74"/>
        <v>322842.09365539794</v>
      </c>
      <c r="AB19" s="644">
        <f t="shared" si="11"/>
        <v>130686.52269942306</v>
      </c>
      <c r="AC19" s="645">
        <f t="shared" si="12"/>
        <v>129586.73277625247</v>
      </c>
      <c r="AD19" s="644">
        <f t="shared" si="75"/>
        <v>0</v>
      </c>
      <c r="AE19" s="645">
        <f t="shared" si="76"/>
        <v>130686.52269942306</v>
      </c>
      <c r="AF19" s="646">
        <f t="shared" si="77"/>
        <v>-1619.9576571669008</v>
      </c>
      <c r="AG19" s="647">
        <f t="shared" si="78"/>
        <v>129066.56504225616</v>
      </c>
      <c r="AH19" s="644">
        <f t="shared" si="13"/>
        <v>-520.1677339963062</v>
      </c>
      <c r="AI19" s="645">
        <f t="shared" si="14"/>
        <v>0</v>
      </c>
      <c r="AJ19" s="646">
        <f t="shared" si="79"/>
        <v>0</v>
      </c>
      <c r="AK19" s="647">
        <f t="shared" si="15"/>
        <v>129586.73277625247</v>
      </c>
      <c r="AL19" s="644">
        <f t="shared" si="80"/>
        <v>0</v>
      </c>
      <c r="AM19" s="645">
        <f t="shared" si="81"/>
        <v>0</v>
      </c>
      <c r="AN19" s="646">
        <f t="shared" si="82"/>
        <v>0</v>
      </c>
      <c r="AO19" s="647">
        <f t="shared" si="16"/>
        <v>129586.73277625247</v>
      </c>
      <c r="AP19" s="644">
        <f t="shared" si="83"/>
        <v>0</v>
      </c>
      <c r="AQ19" s="645">
        <f t="shared" si="84"/>
        <v>0</v>
      </c>
      <c r="AR19" s="646">
        <f t="shared" si="85"/>
        <v>0</v>
      </c>
      <c r="AS19" s="647">
        <f t="shared" si="17"/>
        <v>129586.73277625247</v>
      </c>
      <c r="AT19" s="644">
        <f t="shared" si="86"/>
        <v>0</v>
      </c>
      <c r="AU19" s="645">
        <f t="shared" si="87"/>
        <v>0</v>
      </c>
      <c r="AV19" s="646">
        <f t="shared" si="88"/>
        <v>0</v>
      </c>
      <c r="AW19" s="647">
        <f t="shared" si="18"/>
        <v>129586.73277625247</v>
      </c>
      <c r="AY19" s="644">
        <f t="shared" si="89"/>
        <v>31980.437609951903</v>
      </c>
      <c r="AZ19" s="645">
        <f t="shared" si="48"/>
        <v>30241.615384414064</v>
      </c>
      <c r="BA19" s="644">
        <f t="shared" si="90"/>
        <v>0</v>
      </c>
      <c r="BB19" s="645">
        <f t="shared" si="91"/>
        <v>31980.437609951903</v>
      </c>
      <c r="BC19" s="646">
        <f t="shared" si="92"/>
        <v>-229.98064692630462</v>
      </c>
      <c r="BD19" s="647">
        <f t="shared" si="93"/>
        <v>31750.456963025597</v>
      </c>
      <c r="BE19" s="644">
        <f t="shared" si="19"/>
        <v>0</v>
      </c>
      <c r="BF19" s="645">
        <f t="shared" si="20"/>
        <v>31750.456963025597</v>
      </c>
      <c r="BG19" s="646">
        <f t="shared" si="94"/>
        <v>-756.27001010355355</v>
      </c>
      <c r="BH19" s="647">
        <f t="shared" si="21"/>
        <v>30994.186952922042</v>
      </c>
      <c r="BI19" s="644">
        <f t="shared" si="95"/>
        <v>0</v>
      </c>
      <c r="BJ19" s="645">
        <f t="shared" si="96"/>
        <v>30994.186952922042</v>
      </c>
      <c r="BK19" s="646">
        <f t="shared" si="97"/>
        <v>-65.652967633248579</v>
      </c>
      <c r="BL19" s="647">
        <f t="shared" si="22"/>
        <v>30928.533985288792</v>
      </c>
      <c r="BM19" s="644">
        <f t="shared" si="98"/>
        <v>0</v>
      </c>
      <c r="BN19" s="645">
        <f t="shared" si="99"/>
        <v>30928.533985288792</v>
      </c>
      <c r="BO19" s="646">
        <f t="shared" si="100"/>
        <v>-1.415066682339321</v>
      </c>
      <c r="BP19" s="647">
        <f t="shared" si="23"/>
        <v>30927.118918606451</v>
      </c>
      <c r="BQ19" s="644">
        <f t="shared" si="101"/>
        <v>0</v>
      </c>
      <c r="BR19" s="645">
        <f t="shared" si="102"/>
        <v>30927.118918606451</v>
      </c>
      <c r="BS19" s="646">
        <f t="shared" si="103"/>
        <v>0</v>
      </c>
      <c r="BT19" s="647">
        <f t="shared" si="24"/>
        <v>30927.118918606451</v>
      </c>
      <c r="BU19" s="662">
        <f>VLOOKUP(B19,'Afton Update'!$A$5:$AR$582,'Afton Update'!$AO$589,0)-BT19</f>
        <v>0</v>
      </c>
      <c r="BV19" s="644">
        <f t="shared" si="104"/>
        <v>81078.027333957216</v>
      </c>
      <c r="BW19" s="645">
        <f t="shared" si="25"/>
        <v>80504.990493634235</v>
      </c>
      <c r="BX19" s="644">
        <f t="shared" si="105"/>
        <v>0</v>
      </c>
      <c r="BY19" s="645">
        <f t="shared" si="106"/>
        <v>81078.027333957216</v>
      </c>
      <c r="BZ19" s="646">
        <f t="shared" si="107"/>
        <v>-711.63046602970849</v>
      </c>
      <c r="CA19" s="647">
        <f t="shared" si="108"/>
        <v>80366.396867927513</v>
      </c>
      <c r="CB19" s="644">
        <f t="shared" si="26"/>
        <v>-138.59362570672238</v>
      </c>
      <c r="CC19" s="645">
        <f t="shared" si="27"/>
        <v>0</v>
      </c>
      <c r="CD19" s="646">
        <f t="shared" si="109"/>
        <v>0</v>
      </c>
      <c r="CE19" s="647">
        <f t="shared" si="28"/>
        <v>80504.990493634235</v>
      </c>
      <c r="CF19" s="644">
        <f t="shared" si="110"/>
        <v>0</v>
      </c>
      <c r="CG19" s="645">
        <f t="shared" si="111"/>
        <v>0</v>
      </c>
      <c r="CH19" s="646">
        <f t="shared" si="112"/>
        <v>0</v>
      </c>
      <c r="CI19" s="647">
        <f t="shared" si="29"/>
        <v>80504.990493634235</v>
      </c>
      <c r="CJ19" s="644">
        <f t="shared" si="113"/>
        <v>0</v>
      </c>
      <c r="CK19" s="645">
        <f t="shared" si="114"/>
        <v>0</v>
      </c>
      <c r="CL19" s="646">
        <f t="shared" si="115"/>
        <v>0</v>
      </c>
      <c r="CM19" s="647">
        <f t="shared" si="30"/>
        <v>80504.990493634235</v>
      </c>
      <c r="CN19" s="644">
        <f t="shared" si="116"/>
        <v>0</v>
      </c>
      <c r="CO19" s="645">
        <f t="shared" si="117"/>
        <v>0</v>
      </c>
      <c r="CP19" s="646">
        <f t="shared" si="118"/>
        <v>0</v>
      </c>
      <c r="CQ19" s="647">
        <f t="shared" si="31"/>
        <v>80504.990493634235</v>
      </c>
      <c r="CS19" s="644">
        <f t="shared" si="119"/>
        <v>82734.840478659171</v>
      </c>
      <c r="CT19" s="645">
        <f t="shared" si="32"/>
        <v>81645.806725930452</v>
      </c>
      <c r="CU19" s="644">
        <f t="shared" si="120"/>
        <v>0</v>
      </c>
      <c r="CV19" s="645">
        <f t="shared" si="121"/>
        <v>82734.840478659171</v>
      </c>
      <c r="CW19" s="646">
        <f t="shared" si="122"/>
        <v>-847.25152177798032</v>
      </c>
      <c r="CX19" s="647">
        <f t="shared" si="123"/>
        <v>81887.588956881184</v>
      </c>
      <c r="CY19" s="644">
        <f t="shared" si="33"/>
        <v>0</v>
      </c>
      <c r="CZ19" s="645">
        <f t="shared" si="34"/>
        <v>81887.588956881184</v>
      </c>
      <c r="DA19" s="646">
        <f t="shared" si="124"/>
        <v>-64.282054710701658</v>
      </c>
      <c r="DB19" s="647">
        <f t="shared" si="35"/>
        <v>81823.306902170487</v>
      </c>
      <c r="DC19" s="644">
        <f t="shared" si="125"/>
        <v>0</v>
      </c>
      <c r="DD19" s="645">
        <f t="shared" si="126"/>
        <v>81823.306902170487</v>
      </c>
      <c r="DE19" s="646">
        <f t="shared" si="127"/>
        <v>-5.543526570567732E-2</v>
      </c>
      <c r="DF19" s="647">
        <f t="shared" si="36"/>
        <v>81823.251466904781</v>
      </c>
      <c r="DG19" s="644">
        <f t="shared" si="128"/>
        <v>0</v>
      </c>
      <c r="DH19" s="645">
        <f t="shared" si="129"/>
        <v>81823.251466904781</v>
      </c>
      <c r="DI19" s="646">
        <f t="shared" si="130"/>
        <v>0</v>
      </c>
      <c r="DJ19" s="647">
        <f t="shared" si="37"/>
        <v>81823.251466904781</v>
      </c>
      <c r="DK19" s="644">
        <f t="shared" si="131"/>
        <v>0</v>
      </c>
      <c r="DL19" s="645">
        <f t="shared" si="132"/>
        <v>81823.251466904781</v>
      </c>
      <c r="DM19" s="646">
        <f t="shared" si="133"/>
        <v>0</v>
      </c>
      <c r="DN19" s="647">
        <f t="shared" si="38"/>
        <v>81823.251466904781</v>
      </c>
      <c r="DR19" s="827">
        <f t="shared" si="49"/>
        <v>322842.09365539794</v>
      </c>
      <c r="DV19" s="828">
        <f>IFERROR(VLOOKUP($B19,'Afton FY16 Final'!$A$5:$BV$587,'Afton FY16 Final'!$BV$587,0),0)</f>
        <v>325806.76766109996</v>
      </c>
      <c r="DX19" s="636">
        <f t="shared" si="39"/>
        <v>0</v>
      </c>
      <c r="DY19" s="637">
        <f t="shared" si="40"/>
        <v>0</v>
      </c>
      <c r="DZ19" s="637">
        <f t="shared" si="41"/>
        <v>0</v>
      </c>
      <c r="EA19" s="643">
        <f t="shared" si="42"/>
        <v>0</v>
      </c>
      <c r="EB19" s="637">
        <f t="shared" si="50"/>
        <v>0</v>
      </c>
      <c r="EC19" s="637">
        <f t="shared" si="51"/>
        <v>0</v>
      </c>
      <c r="ED19" s="637">
        <f t="shared" si="52"/>
        <v>0</v>
      </c>
      <c r="EE19" s="643">
        <f t="shared" si="53"/>
        <v>0</v>
      </c>
      <c r="EF19" s="637">
        <f t="shared" si="54"/>
        <v>0</v>
      </c>
      <c r="EG19" s="637">
        <f t="shared" si="55"/>
        <v>0</v>
      </c>
      <c r="EH19" s="637">
        <f t="shared" si="56"/>
        <v>0</v>
      </c>
      <c r="EI19" s="643">
        <f t="shared" si="57"/>
        <v>0</v>
      </c>
      <c r="EJ19" s="637">
        <f t="shared" si="58"/>
        <v>0</v>
      </c>
      <c r="EK19" s="637">
        <f t="shared" si="59"/>
        <v>0</v>
      </c>
      <c r="EL19" s="637">
        <f t="shared" si="60"/>
        <v>0</v>
      </c>
      <c r="EM19" s="643">
        <f t="shared" si="61"/>
        <v>0</v>
      </c>
      <c r="EN19" s="637">
        <f t="shared" si="62"/>
        <v>0</v>
      </c>
      <c r="EO19" s="637">
        <f t="shared" si="63"/>
        <v>0</v>
      </c>
      <c r="EP19" s="637">
        <f t="shared" si="64"/>
        <v>0</v>
      </c>
      <c r="EQ19" s="643">
        <f t="shared" si="65"/>
        <v>0</v>
      </c>
      <c r="ER19" s="637">
        <f t="shared" si="66"/>
        <v>0</v>
      </c>
      <c r="ES19" s="637">
        <f t="shared" si="67"/>
        <v>0</v>
      </c>
      <c r="ET19" s="637">
        <f t="shared" si="68"/>
        <v>0</v>
      </c>
      <c r="EU19" s="643">
        <f t="shared" si="43"/>
        <v>0</v>
      </c>
      <c r="EV19" s="643">
        <f t="shared" si="44"/>
        <v>0</v>
      </c>
      <c r="EX19" s="829">
        <f t="shared" si="45"/>
        <v>0</v>
      </c>
      <c r="EY19" s="638">
        <f t="shared" si="46"/>
        <v>322842.09365539794</v>
      </c>
      <c r="FC19" s="830" t="str">
        <f t="shared" si="69"/>
        <v>Y</v>
      </c>
      <c r="FE19" s="830" t="str">
        <f>IFERROR(VLOOKUP($B19,'Historical Conc Grant Elig'!$B$3:$J$707,'HH &amp; SI'!FE$2,0),"N")</f>
        <v>Y</v>
      </c>
      <c r="FF19" s="830" t="str">
        <f>IFERROR(VLOOKUP($B19,'Historical Conc Grant Elig'!$B$3:$J$707,'HH &amp; SI'!FF$2,0),"N")</f>
        <v>Y</v>
      </c>
      <c r="FG19" s="830" t="str">
        <f>IFERROR(VLOOKUP($B19,'Historical Conc Grant Elig'!$B$3:$J$707,'HH &amp; SI'!FG$2,0),"N")</f>
        <v>Y</v>
      </c>
      <c r="FH19" s="830" t="str">
        <f>IFERROR(VLOOKUP($B19,'Historical Conc Grant Elig'!$B$3:$J$707,'HH &amp; SI'!FH$2,0),"N")</f>
        <v>Y</v>
      </c>
      <c r="FI19" s="830" t="str">
        <f>IFERROR(VLOOKUP($B19,'Historical Conc Grant Elig'!$B$3:$J$707,'HH &amp; SI'!FI$2,0),"N")</f>
        <v>Y</v>
      </c>
      <c r="FJ19" s="830" t="str">
        <f>IFERROR(VLOOKUP($B19,'Historical Conc Grant Elig'!$B$3:$J$707,'HH &amp; SI'!FJ$2,0),"N")</f>
        <v>Y</v>
      </c>
      <c r="FK19" s="830" t="str">
        <f>IFERROR(VLOOKUP($B19,'Historical Conc Grant Elig'!$B$3:$J$707,'HH &amp; SI'!FK$2,0),"N")</f>
        <v>Y</v>
      </c>
      <c r="FL19" s="957" t="str">
        <f>IFERROR(VLOOKUP($B19,'Historical Conc Grant Elig'!$B$3:$J$707,'HH &amp; SI'!FL$2,0),"N")</f>
        <v>Y</v>
      </c>
    </row>
    <row r="20" spans="2:168" x14ac:dyDescent="0.25">
      <c r="B20" s="634">
        <v>20209000</v>
      </c>
      <c r="C20" s="635" t="str">
        <f>VLOOKUP($B20,'Afton Update'!$A$5:$CR$582,'Afton Update'!D$589,0)</f>
        <v>Benson Unified School District</v>
      </c>
      <c r="D20" s="636">
        <f>IFERROR(VLOOKUP($B20,'Afton FY16 Final'!$A$5:$BV$587,'Afton FY16 Final'!AQ$587,0),0)</f>
        <v>108496.63237878076</v>
      </c>
      <c r="E20" s="637">
        <f>IFERROR(VLOOKUP($B20,'Afton FY16 Final'!$A$5:$BV$587,'Afton FY16 Final'!AR$587,0),0)</f>
        <v>25276.876242339247</v>
      </c>
      <c r="F20" s="637">
        <f>IFERROR(VLOOKUP($B20,'Afton FY16 Final'!$A$5:$BV$587,'Afton FY16 Final'!AS$587,0),0)</f>
        <v>38890.051513410275</v>
      </c>
      <c r="G20" s="637">
        <f>IFERROR(VLOOKUP($B20,'Afton FY16 Final'!$A$5:$BV$587,'Afton FY16 Final'!AT$587,0),0)</f>
        <v>33863.203089803741</v>
      </c>
      <c r="H20" s="638">
        <f>IFERROR(VLOOKUP($B20,'Afton FY16 Final'!$A$5:$BV$587,'Afton FY16 Final'!AU$587,0),0)</f>
        <v>206526.76322433405</v>
      </c>
      <c r="I20" s="639" t="str">
        <f>VLOOKUP($B20,'Afton Update'!$A$5:$CR$582,'Afton Update'!BT$589,0)</f>
        <v>Y</v>
      </c>
      <c r="J20" s="640" t="str">
        <f>VLOOKUP($B20,'Afton Update'!$A$5:$CR$582,'Afton Update'!BU$589,0)</f>
        <v>Y</v>
      </c>
      <c r="K20" s="640" t="str">
        <f>VLOOKUP($B20,'Afton Update'!$A$5:$CR$582,'Afton Update'!BV$589,0)</f>
        <v>Y</v>
      </c>
      <c r="L20" s="641" t="str">
        <f>VLOOKUP($B20,'Afton Update'!$A$5:$CR$582,'Afton Update'!BW$589,0)</f>
        <v>Y</v>
      </c>
      <c r="N20" s="642">
        <f>VLOOKUP($B20,'Afton Update'!$A$5:$CR$582,'Afton Update'!CB$589,0)</f>
        <v>0.9</v>
      </c>
      <c r="P20" s="636">
        <f>VLOOKUP($B20,'Afton Update'!$A$5:$CR$582,'Afton Update'!AH$589,0)</f>
        <v>125505.38542701291</v>
      </c>
      <c r="Q20" s="637">
        <f>VLOOKUP($B20,'Afton Update'!$A$5:$CR$582,'Afton Update'!AI$589,0)</f>
        <v>30931.981005709178</v>
      </c>
      <c r="R20" s="637">
        <f>VLOOKUP($B20,'Afton Update'!$A$5:$CR$582,'Afton Update'!AJ$589,0)</f>
        <v>55273.341856651707</v>
      </c>
      <c r="S20" s="637">
        <f>VLOOKUP($B20,'Afton Update'!$A$5:$CR$582,'Afton Update'!AK$589,0)</f>
        <v>43846.223306938751</v>
      </c>
      <c r="T20" s="643">
        <f t="shared" si="47"/>
        <v>255556.93159631253</v>
      </c>
      <c r="V20" s="636">
        <f t="shared" si="70"/>
        <v>123793.41050880319</v>
      </c>
      <c r="W20" s="637">
        <f t="shared" si="71"/>
        <v>29913.194641650261</v>
      </c>
      <c r="X20" s="637">
        <f t="shared" si="72"/>
        <v>54770.65239312582</v>
      </c>
      <c r="Y20" s="637">
        <f t="shared" si="73"/>
        <v>43363.116853329957</v>
      </c>
      <c r="Z20" s="643">
        <f t="shared" si="74"/>
        <v>251840.37439690923</v>
      </c>
      <c r="AB20" s="644">
        <f t="shared" si="11"/>
        <v>125505.38542701291</v>
      </c>
      <c r="AC20" s="645">
        <f t="shared" si="12"/>
        <v>97646.969140902685</v>
      </c>
      <c r="AD20" s="644">
        <f t="shared" si="75"/>
        <v>0</v>
      </c>
      <c r="AE20" s="645">
        <f t="shared" si="76"/>
        <v>125505.38542701291</v>
      </c>
      <c r="AF20" s="646">
        <f t="shared" si="77"/>
        <v>-1555.7335671543601</v>
      </c>
      <c r="AG20" s="647">
        <f t="shared" si="78"/>
        <v>123949.65185985855</v>
      </c>
      <c r="AH20" s="644">
        <f t="shared" si="13"/>
        <v>0</v>
      </c>
      <c r="AI20" s="645">
        <f t="shared" si="14"/>
        <v>123949.65185985855</v>
      </c>
      <c r="AJ20" s="646">
        <f t="shared" si="79"/>
        <v>-156.1418101704881</v>
      </c>
      <c r="AK20" s="647">
        <f t="shared" si="15"/>
        <v>123793.51004968806</v>
      </c>
      <c r="AL20" s="644">
        <f t="shared" si="80"/>
        <v>0</v>
      </c>
      <c r="AM20" s="645">
        <f t="shared" si="81"/>
        <v>123793.51004968806</v>
      </c>
      <c r="AN20" s="646">
        <f t="shared" si="82"/>
        <v>-9.9540884873449545E-2</v>
      </c>
      <c r="AO20" s="647">
        <f t="shared" si="16"/>
        <v>123793.41050880319</v>
      </c>
      <c r="AP20" s="644">
        <f t="shared" si="83"/>
        <v>0</v>
      </c>
      <c r="AQ20" s="645">
        <f t="shared" si="84"/>
        <v>123793.41050880319</v>
      </c>
      <c r="AR20" s="646">
        <f t="shared" si="85"/>
        <v>0</v>
      </c>
      <c r="AS20" s="647">
        <f t="shared" si="17"/>
        <v>123793.41050880319</v>
      </c>
      <c r="AT20" s="644">
        <f t="shared" si="86"/>
        <v>0</v>
      </c>
      <c r="AU20" s="645">
        <f t="shared" si="87"/>
        <v>123793.41050880319</v>
      </c>
      <c r="AV20" s="646">
        <f t="shared" si="88"/>
        <v>0</v>
      </c>
      <c r="AW20" s="647">
        <f t="shared" si="18"/>
        <v>123793.41050880319</v>
      </c>
      <c r="AY20" s="644">
        <f t="shared" si="89"/>
        <v>30931.981005709178</v>
      </c>
      <c r="AZ20" s="645">
        <f t="shared" si="48"/>
        <v>22749.188618105323</v>
      </c>
      <c r="BA20" s="644">
        <f t="shared" si="90"/>
        <v>0</v>
      </c>
      <c r="BB20" s="645">
        <f t="shared" si="91"/>
        <v>30931.981005709178</v>
      </c>
      <c r="BC20" s="646">
        <f t="shared" si="92"/>
        <v>-222.4408899330212</v>
      </c>
      <c r="BD20" s="647">
        <f t="shared" si="93"/>
        <v>30709.540115776155</v>
      </c>
      <c r="BE20" s="644">
        <f t="shared" si="19"/>
        <v>0</v>
      </c>
      <c r="BF20" s="645">
        <f t="shared" si="20"/>
        <v>30709.540115776155</v>
      </c>
      <c r="BG20" s="646">
        <f t="shared" si="94"/>
        <v>-731.47621908810356</v>
      </c>
      <c r="BH20" s="647">
        <f t="shared" si="21"/>
        <v>29978.063896688051</v>
      </c>
      <c r="BI20" s="644">
        <f t="shared" si="95"/>
        <v>0</v>
      </c>
      <c r="BJ20" s="645">
        <f t="shared" si="96"/>
        <v>29978.063896688051</v>
      </c>
      <c r="BK20" s="646">
        <f t="shared" si="97"/>
        <v>-63.500580341281292</v>
      </c>
      <c r="BL20" s="647">
        <f t="shared" si="22"/>
        <v>29914.563316346768</v>
      </c>
      <c r="BM20" s="644">
        <f t="shared" si="98"/>
        <v>0</v>
      </c>
      <c r="BN20" s="645">
        <f t="shared" si="99"/>
        <v>29914.563316346768</v>
      </c>
      <c r="BO20" s="646">
        <f t="shared" si="100"/>
        <v>-1.3686746965060561</v>
      </c>
      <c r="BP20" s="647">
        <f t="shared" si="23"/>
        <v>29913.194641650261</v>
      </c>
      <c r="BQ20" s="644">
        <f t="shared" si="101"/>
        <v>0</v>
      </c>
      <c r="BR20" s="645">
        <f t="shared" si="102"/>
        <v>29913.194641650261</v>
      </c>
      <c r="BS20" s="646">
        <f t="shared" si="103"/>
        <v>0</v>
      </c>
      <c r="BT20" s="647">
        <f t="shared" si="24"/>
        <v>29913.194641650261</v>
      </c>
      <c r="BU20" s="662">
        <f>VLOOKUP(B20,'Afton Update'!$A$5:$AR$582,'Afton Update'!$AO$589,0)-BT20</f>
        <v>0</v>
      </c>
      <c r="BV20" s="644">
        <f t="shared" si="104"/>
        <v>55273.341856651707</v>
      </c>
      <c r="BW20" s="645">
        <f t="shared" si="25"/>
        <v>35001.046362069246</v>
      </c>
      <c r="BX20" s="644">
        <f t="shared" si="105"/>
        <v>0</v>
      </c>
      <c r="BY20" s="645">
        <f t="shared" si="106"/>
        <v>55273.341856651707</v>
      </c>
      <c r="BZ20" s="646">
        <f t="shared" si="107"/>
        <v>-485.13999807188753</v>
      </c>
      <c r="CA20" s="647">
        <f t="shared" si="108"/>
        <v>54788.201858579821</v>
      </c>
      <c r="CB20" s="644">
        <f t="shared" si="26"/>
        <v>0</v>
      </c>
      <c r="CC20" s="645">
        <f t="shared" si="27"/>
        <v>54788.201858579821</v>
      </c>
      <c r="CD20" s="646">
        <f t="shared" si="109"/>
        <v>-17.549465454005251</v>
      </c>
      <c r="CE20" s="647">
        <f t="shared" si="28"/>
        <v>54770.65239312582</v>
      </c>
      <c r="CF20" s="644">
        <f t="shared" si="110"/>
        <v>0</v>
      </c>
      <c r="CG20" s="645">
        <f t="shared" si="111"/>
        <v>54770.65239312582</v>
      </c>
      <c r="CH20" s="646">
        <f t="shared" si="112"/>
        <v>0</v>
      </c>
      <c r="CI20" s="647">
        <f t="shared" si="29"/>
        <v>54770.65239312582</v>
      </c>
      <c r="CJ20" s="644">
        <f t="shared" si="113"/>
        <v>0</v>
      </c>
      <c r="CK20" s="645">
        <f t="shared" si="114"/>
        <v>54770.65239312582</v>
      </c>
      <c r="CL20" s="646">
        <f t="shared" si="115"/>
        <v>0</v>
      </c>
      <c r="CM20" s="647">
        <f t="shared" si="30"/>
        <v>54770.65239312582</v>
      </c>
      <c r="CN20" s="644">
        <f t="shared" si="116"/>
        <v>0</v>
      </c>
      <c r="CO20" s="645">
        <f t="shared" si="117"/>
        <v>54770.65239312582</v>
      </c>
      <c r="CP20" s="646">
        <f t="shared" si="118"/>
        <v>0</v>
      </c>
      <c r="CQ20" s="647">
        <f t="shared" si="31"/>
        <v>54770.65239312582</v>
      </c>
      <c r="CS20" s="644">
        <f t="shared" si="119"/>
        <v>43846.223306938751</v>
      </c>
      <c r="CT20" s="645">
        <f t="shared" si="32"/>
        <v>30476.882780823369</v>
      </c>
      <c r="CU20" s="644">
        <f t="shared" si="120"/>
        <v>0</v>
      </c>
      <c r="CV20" s="645">
        <f t="shared" si="121"/>
        <v>43846.223306938751</v>
      </c>
      <c r="CW20" s="646">
        <f t="shared" si="122"/>
        <v>-449.01010512739492</v>
      </c>
      <c r="CX20" s="647">
        <f t="shared" si="123"/>
        <v>43397.213201811355</v>
      </c>
      <c r="CY20" s="644">
        <f t="shared" si="33"/>
        <v>0</v>
      </c>
      <c r="CZ20" s="645">
        <f t="shared" si="34"/>
        <v>43397.213201811355</v>
      </c>
      <c r="DA20" s="646">
        <f t="shared" si="124"/>
        <v>-34.066969962929903</v>
      </c>
      <c r="DB20" s="647">
        <f t="shared" si="35"/>
        <v>43363.146231848426</v>
      </c>
      <c r="DC20" s="644">
        <f t="shared" si="125"/>
        <v>0</v>
      </c>
      <c r="DD20" s="645">
        <f t="shared" si="126"/>
        <v>43363.146231848426</v>
      </c>
      <c r="DE20" s="646">
        <f t="shared" si="127"/>
        <v>-2.9378518471158153E-2</v>
      </c>
      <c r="DF20" s="647">
        <f t="shared" si="36"/>
        <v>43363.116853329957</v>
      </c>
      <c r="DG20" s="644">
        <f t="shared" si="128"/>
        <v>0</v>
      </c>
      <c r="DH20" s="645">
        <f t="shared" si="129"/>
        <v>43363.116853329957</v>
      </c>
      <c r="DI20" s="646">
        <f t="shared" si="130"/>
        <v>0</v>
      </c>
      <c r="DJ20" s="647">
        <f t="shared" si="37"/>
        <v>43363.116853329957</v>
      </c>
      <c r="DK20" s="644">
        <f t="shared" si="131"/>
        <v>0</v>
      </c>
      <c r="DL20" s="645">
        <f t="shared" si="132"/>
        <v>43363.116853329957</v>
      </c>
      <c r="DM20" s="646">
        <f t="shared" si="133"/>
        <v>0</v>
      </c>
      <c r="DN20" s="647">
        <f t="shared" si="38"/>
        <v>43363.116853329957</v>
      </c>
      <c r="DR20" s="827">
        <f t="shared" si="49"/>
        <v>251840.37439690923</v>
      </c>
      <c r="DV20" s="828">
        <f>IFERROR(VLOOKUP($B20,'Afton FY16 Final'!$A$5:$BV$587,'Afton FY16 Final'!$BV$587,0),0)</f>
        <v>196090.51821931658</v>
      </c>
      <c r="DX20" s="636">
        <f t="shared" si="39"/>
        <v>251840.37439690923</v>
      </c>
      <c r="DY20" s="637">
        <f t="shared" si="40"/>
        <v>55749.85617759265</v>
      </c>
      <c r="DZ20" s="637">
        <f t="shared" si="41"/>
        <v>196090.51821931658</v>
      </c>
      <c r="EA20" s="643">
        <f t="shared" si="42"/>
        <v>238445.28895504578</v>
      </c>
      <c r="EB20" s="637">
        <f t="shared" si="50"/>
        <v>0</v>
      </c>
      <c r="EC20" s="637">
        <f t="shared" si="51"/>
        <v>238445.28895504578</v>
      </c>
      <c r="ED20" s="637">
        <f t="shared" si="52"/>
        <v>237734.25934040782</v>
      </c>
      <c r="EE20" s="643">
        <f t="shared" si="53"/>
        <v>237734.25934040782</v>
      </c>
      <c r="EF20" s="637">
        <f t="shared" si="54"/>
        <v>0</v>
      </c>
      <c r="EG20" s="637">
        <f t="shared" si="55"/>
        <v>237734.25934040782</v>
      </c>
      <c r="EH20" s="637">
        <f t="shared" si="56"/>
        <v>237734.01407925191</v>
      </c>
      <c r="EI20" s="643">
        <f t="shared" si="57"/>
        <v>237734.01407925191</v>
      </c>
      <c r="EJ20" s="637">
        <f t="shared" si="58"/>
        <v>0</v>
      </c>
      <c r="EK20" s="637">
        <f t="shared" si="59"/>
        <v>237734.01407925191</v>
      </c>
      <c r="EL20" s="637">
        <f t="shared" si="60"/>
        <v>237734.01407925159</v>
      </c>
      <c r="EM20" s="643">
        <f t="shared" si="61"/>
        <v>237734.01407925159</v>
      </c>
      <c r="EN20" s="637">
        <f t="shared" si="62"/>
        <v>0</v>
      </c>
      <c r="EO20" s="637">
        <f t="shared" si="63"/>
        <v>237734.01407925159</v>
      </c>
      <c r="EP20" s="637">
        <f t="shared" si="64"/>
        <v>237734.01407925197</v>
      </c>
      <c r="EQ20" s="643">
        <f t="shared" si="65"/>
        <v>237734.01407925197</v>
      </c>
      <c r="ER20" s="637">
        <f t="shared" si="66"/>
        <v>0</v>
      </c>
      <c r="ES20" s="637">
        <f t="shared" si="67"/>
        <v>237734.01407925197</v>
      </c>
      <c r="ET20" s="637">
        <f t="shared" si="68"/>
        <v>237734.01407925159</v>
      </c>
      <c r="EU20" s="643">
        <f t="shared" si="43"/>
        <v>237734.01407925159</v>
      </c>
      <c r="EV20" s="643">
        <f t="shared" si="44"/>
        <v>0</v>
      </c>
      <c r="EX20" s="829">
        <f t="shared" si="45"/>
        <v>14106.360317657643</v>
      </c>
      <c r="EY20" s="638">
        <f t="shared" si="46"/>
        <v>237734.01407925159</v>
      </c>
      <c r="FC20" s="830" t="str">
        <f t="shared" si="69"/>
        <v>Y</v>
      </c>
      <c r="FE20" s="830" t="str">
        <f>IFERROR(VLOOKUP($B20,'Historical Conc Grant Elig'!$B$3:$J$707,'HH &amp; SI'!FE$2,0),"N")</f>
        <v>Y</v>
      </c>
      <c r="FF20" s="830" t="str">
        <f>IFERROR(VLOOKUP($B20,'Historical Conc Grant Elig'!$B$3:$J$707,'HH &amp; SI'!FF$2,0),"N")</f>
        <v>Y</v>
      </c>
      <c r="FG20" s="830" t="str">
        <f>IFERROR(VLOOKUP($B20,'Historical Conc Grant Elig'!$B$3:$J$707,'HH &amp; SI'!FG$2,0),"N")</f>
        <v>Y</v>
      </c>
      <c r="FH20" s="830" t="str">
        <f>IFERROR(VLOOKUP($B20,'Historical Conc Grant Elig'!$B$3:$J$707,'HH &amp; SI'!FH$2,0),"N")</f>
        <v>Y</v>
      </c>
      <c r="FI20" s="830" t="str">
        <f>IFERROR(VLOOKUP($B20,'Historical Conc Grant Elig'!$B$3:$J$707,'HH &amp; SI'!FI$2,0),"N")</f>
        <v>Y</v>
      </c>
      <c r="FJ20" s="830" t="str">
        <f>IFERROR(VLOOKUP($B20,'Historical Conc Grant Elig'!$B$3:$J$707,'HH &amp; SI'!FJ$2,0),"N")</f>
        <v>Y</v>
      </c>
      <c r="FK20" s="830" t="str">
        <f>IFERROR(VLOOKUP($B20,'Historical Conc Grant Elig'!$B$3:$J$707,'HH &amp; SI'!FK$2,0),"N")</f>
        <v>Y</v>
      </c>
      <c r="FL20" s="957" t="str">
        <f>IFERROR(VLOOKUP($B20,'Historical Conc Grant Elig'!$B$3:$J$707,'HH &amp; SI'!FL$2,0),"N")</f>
        <v>Y</v>
      </c>
    </row>
    <row r="21" spans="2:168" x14ac:dyDescent="0.25">
      <c r="B21" s="634">
        <v>20213000</v>
      </c>
      <c r="C21" s="635" t="str">
        <f>VLOOKUP($B21,'Afton Update'!$A$5:$CR$582,'Afton Update'!D$589,0)</f>
        <v>Willcox Unified District</v>
      </c>
      <c r="D21" s="636">
        <f>IFERROR(VLOOKUP($B21,'Afton FY16 Final'!$A$5:$BV$587,'Afton FY16 Final'!AQ$587,0),0)</f>
        <v>147133.92232661997</v>
      </c>
      <c r="E21" s="637">
        <f>IFERROR(VLOOKUP($B21,'Afton FY16 Final'!$A$5:$BV$587,'Afton FY16 Final'!AR$587,0),0)</f>
        <v>34278.353753100346</v>
      </c>
      <c r="F21" s="637">
        <f>IFERROR(VLOOKUP($B21,'Afton FY16 Final'!$A$5:$BV$587,'Afton FY16 Final'!AS$587,0),0)</f>
        <v>55267.126452254903</v>
      </c>
      <c r="G21" s="637">
        <f>IFERROR(VLOOKUP($B21,'Afton FY16 Final'!$A$5:$BV$587,'Afton FY16 Final'!AT$587,0),0)</f>
        <v>50905.44400465404</v>
      </c>
      <c r="H21" s="638">
        <f>IFERROR(VLOOKUP($B21,'Afton FY16 Final'!$A$5:$BV$587,'Afton FY16 Final'!AU$587,0),0)</f>
        <v>287584.84653662925</v>
      </c>
      <c r="I21" s="639" t="str">
        <f>VLOOKUP($B21,'Afton Update'!$A$5:$CR$582,'Afton Update'!BT$589,0)</f>
        <v>Y</v>
      </c>
      <c r="J21" s="640" t="str">
        <f>VLOOKUP($B21,'Afton Update'!$A$5:$CR$582,'Afton Update'!BU$589,0)</f>
        <v>Y</v>
      </c>
      <c r="K21" s="640" t="str">
        <f>VLOOKUP($B21,'Afton Update'!$A$5:$CR$582,'Afton Update'!BV$589,0)</f>
        <v>Y</v>
      </c>
      <c r="L21" s="641" t="str">
        <f>VLOOKUP($B21,'Afton Update'!$A$5:$CR$582,'Afton Update'!BW$589,0)</f>
        <v>Y</v>
      </c>
      <c r="N21" s="642">
        <f>VLOOKUP($B21,'Afton Update'!$A$5:$CR$582,'Afton Update'!CB$589,0)</f>
        <v>0.9</v>
      </c>
      <c r="P21" s="636">
        <f>VLOOKUP($B21,'Afton Update'!$A$5:$CR$582,'Afton Update'!AH$589,0)</f>
        <v>138419.12283429402</v>
      </c>
      <c r="Q21" s="637">
        <f>VLOOKUP($B21,'Afton Update'!$A$5:$CR$582,'Afton Update'!AI$589,0)</f>
        <v>34008.151368375366</v>
      </c>
      <c r="R21" s="637">
        <f>VLOOKUP($B21,'Afton Update'!$A$5:$CR$582,'Afton Update'!AJ$589,0)</f>
        <v>52967.074338909471</v>
      </c>
      <c r="S21" s="637">
        <f>VLOOKUP($B21,'Afton Update'!$A$5:$CR$582,'Afton Update'!AK$589,0)</f>
        <v>45781.054095060696</v>
      </c>
      <c r="T21" s="643">
        <f t="shared" si="47"/>
        <v>271175.40263663954</v>
      </c>
      <c r="V21" s="636">
        <f t="shared" si="70"/>
        <v>136530.99615601127</v>
      </c>
      <c r="W21" s="637">
        <f t="shared" si="71"/>
        <v>32888.047199342109</v>
      </c>
      <c r="X21" s="637">
        <f t="shared" si="72"/>
        <v>52485.359478009334</v>
      </c>
      <c r="Y21" s="637">
        <f t="shared" si="73"/>
        <v>45814.899604188635</v>
      </c>
      <c r="Z21" s="643">
        <f t="shared" si="74"/>
        <v>267719.30243755138</v>
      </c>
      <c r="AB21" s="644">
        <f t="shared" si="11"/>
        <v>138419.12283429402</v>
      </c>
      <c r="AC21" s="645">
        <f t="shared" si="12"/>
        <v>132420.53009395799</v>
      </c>
      <c r="AD21" s="644">
        <f t="shared" si="75"/>
        <v>0</v>
      </c>
      <c r="AE21" s="645">
        <f t="shared" si="76"/>
        <v>138419.12283429402</v>
      </c>
      <c r="AF21" s="646">
        <f t="shared" si="77"/>
        <v>-1715.8090467329441</v>
      </c>
      <c r="AG21" s="647">
        <f t="shared" si="78"/>
        <v>136703.31378756108</v>
      </c>
      <c r="AH21" s="644">
        <f t="shared" si="13"/>
        <v>0</v>
      </c>
      <c r="AI21" s="645">
        <f t="shared" si="14"/>
        <v>136703.31378756108</v>
      </c>
      <c r="AJ21" s="646">
        <f t="shared" si="79"/>
        <v>-172.20784851600462</v>
      </c>
      <c r="AK21" s="647">
        <f t="shared" si="15"/>
        <v>136531.10593904508</v>
      </c>
      <c r="AL21" s="644">
        <f t="shared" si="80"/>
        <v>0</v>
      </c>
      <c r="AM21" s="645">
        <f t="shared" si="81"/>
        <v>136531.10593904508</v>
      </c>
      <c r="AN21" s="646">
        <f t="shared" si="82"/>
        <v>-0.10978303379933507</v>
      </c>
      <c r="AO21" s="647">
        <f t="shared" si="16"/>
        <v>136530.99615601127</v>
      </c>
      <c r="AP21" s="644">
        <f t="shared" si="83"/>
        <v>0</v>
      </c>
      <c r="AQ21" s="645">
        <f t="shared" si="84"/>
        <v>136530.99615601127</v>
      </c>
      <c r="AR21" s="646">
        <f t="shared" si="85"/>
        <v>0</v>
      </c>
      <c r="AS21" s="647">
        <f t="shared" si="17"/>
        <v>136530.99615601127</v>
      </c>
      <c r="AT21" s="644">
        <f t="shared" si="86"/>
        <v>0</v>
      </c>
      <c r="AU21" s="645">
        <f t="shared" si="87"/>
        <v>136530.99615601127</v>
      </c>
      <c r="AV21" s="646">
        <f t="shared" si="88"/>
        <v>0</v>
      </c>
      <c r="AW21" s="647">
        <f t="shared" si="18"/>
        <v>136530.99615601127</v>
      </c>
      <c r="AY21" s="644">
        <f t="shared" si="89"/>
        <v>34008.151368375366</v>
      </c>
      <c r="AZ21" s="645">
        <f t="shared" si="48"/>
        <v>30850.518377790311</v>
      </c>
      <c r="BA21" s="644">
        <f t="shared" si="90"/>
        <v>0</v>
      </c>
      <c r="BB21" s="645">
        <f t="shared" si="91"/>
        <v>34008.151368375366</v>
      </c>
      <c r="BC21" s="646">
        <f t="shared" si="92"/>
        <v>-244.56252750064922</v>
      </c>
      <c r="BD21" s="647">
        <f t="shared" si="93"/>
        <v>33763.58884087472</v>
      </c>
      <c r="BE21" s="644">
        <f t="shared" si="19"/>
        <v>0</v>
      </c>
      <c r="BF21" s="645">
        <f t="shared" si="20"/>
        <v>33763.58884087472</v>
      </c>
      <c r="BG21" s="646">
        <f t="shared" si="94"/>
        <v>-804.22117084979743</v>
      </c>
      <c r="BH21" s="647">
        <f t="shared" si="21"/>
        <v>32959.36767002492</v>
      </c>
      <c r="BI21" s="644">
        <f t="shared" si="95"/>
        <v>0</v>
      </c>
      <c r="BJ21" s="645">
        <f t="shared" si="96"/>
        <v>32959.36767002492</v>
      </c>
      <c r="BK21" s="646">
        <f t="shared" si="97"/>
        <v>-69.81568195801573</v>
      </c>
      <c r="BL21" s="647">
        <f t="shared" si="22"/>
        <v>32889.551988066902</v>
      </c>
      <c r="BM21" s="644">
        <f t="shared" si="98"/>
        <v>0</v>
      </c>
      <c r="BN21" s="645">
        <f t="shared" si="99"/>
        <v>32889.551988066902</v>
      </c>
      <c r="BO21" s="646">
        <f t="shared" si="100"/>
        <v>-1.5047887247910847</v>
      </c>
      <c r="BP21" s="647">
        <f t="shared" si="23"/>
        <v>32888.047199342109</v>
      </c>
      <c r="BQ21" s="644">
        <f t="shared" si="101"/>
        <v>0</v>
      </c>
      <c r="BR21" s="645">
        <f t="shared" si="102"/>
        <v>32888.047199342109</v>
      </c>
      <c r="BS21" s="646">
        <f t="shared" si="103"/>
        <v>0</v>
      </c>
      <c r="BT21" s="647">
        <f t="shared" si="24"/>
        <v>32888.047199342109</v>
      </c>
      <c r="BU21" s="662">
        <f>VLOOKUP(B21,'Afton Update'!$A$5:$AR$582,'Afton Update'!$AO$589,0)-BT21</f>
        <v>0</v>
      </c>
      <c r="BV21" s="644">
        <f t="shared" si="104"/>
        <v>52967.074338909471</v>
      </c>
      <c r="BW21" s="645">
        <f t="shared" si="25"/>
        <v>49740.413807029414</v>
      </c>
      <c r="BX21" s="644">
        <f t="shared" si="105"/>
        <v>0</v>
      </c>
      <c r="BY21" s="645">
        <f t="shared" si="106"/>
        <v>52967.074338909471</v>
      </c>
      <c r="BZ21" s="646">
        <f t="shared" si="107"/>
        <v>-464.89764286904068</v>
      </c>
      <c r="CA21" s="647">
        <f t="shared" si="108"/>
        <v>52502.176696040427</v>
      </c>
      <c r="CB21" s="644">
        <f t="shared" si="26"/>
        <v>0</v>
      </c>
      <c r="CC21" s="645">
        <f t="shared" si="27"/>
        <v>52502.176696040427</v>
      </c>
      <c r="CD21" s="646">
        <f t="shared" si="109"/>
        <v>-16.817218031092445</v>
      </c>
      <c r="CE21" s="647">
        <f t="shared" si="28"/>
        <v>52485.359478009334</v>
      </c>
      <c r="CF21" s="644">
        <f t="shared" si="110"/>
        <v>0</v>
      </c>
      <c r="CG21" s="645">
        <f t="shared" si="111"/>
        <v>52485.359478009334</v>
      </c>
      <c r="CH21" s="646">
        <f t="shared" si="112"/>
        <v>0</v>
      </c>
      <c r="CI21" s="647">
        <f t="shared" si="29"/>
        <v>52485.359478009334</v>
      </c>
      <c r="CJ21" s="644">
        <f t="shared" si="113"/>
        <v>0</v>
      </c>
      <c r="CK21" s="645">
        <f t="shared" si="114"/>
        <v>52485.359478009334</v>
      </c>
      <c r="CL21" s="646">
        <f t="shared" si="115"/>
        <v>0</v>
      </c>
      <c r="CM21" s="647">
        <f t="shared" si="30"/>
        <v>52485.359478009334</v>
      </c>
      <c r="CN21" s="644">
        <f t="shared" si="116"/>
        <v>0</v>
      </c>
      <c r="CO21" s="645">
        <f t="shared" si="117"/>
        <v>52485.359478009334</v>
      </c>
      <c r="CP21" s="646">
        <f t="shared" si="118"/>
        <v>0</v>
      </c>
      <c r="CQ21" s="647">
        <f t="shared" si="31"/>
        <v>52485.359478009334</v>
      </c>
      <c r="CS21" s="644">
        <f t="shared" si="119"/>
        <v>45781.054095060696</v>
      </c>
      <c r="CT21" s="645">
        <f t="shared" si="32"/>
        <v>45814.899604188635</v>
      </c>
      <c r="CU21" s="644">
        <f t="shared" si="120"/>
        <v>33.845509127939295</v>
      </c>
      <c r="CV21" s="645">
        <f t="shared" si="121"/>
        <v>0</v>
      </c>
      <c r="CW21" s="646">
        <f t="shared" si="122"/>
        <v>0</v>
      </c>
      <c r="CX21" s="647">
        <f t="shared" si="123"/>
        <v>45814.899604188635</v>
      </c>
      <c r="CY21" s="644">
        <f t="shared" si="33"/>
        <v>0</v>
      </c>
      <c r="CZ21" s="645">
        <f t="shared" si="34"/>
        <v>0</v>
      </c>
      <c r="DA21" s="646">
        <f t="shared" si="124"/>
        <v>0</v>
      </c>
      <c r="DB21" s="647">
        <f t="shared" si="35"/>
        <v>45814.899604188635</v>
      </c>
      <c r="DC21" s="644">
        <f t="shared" si="125"/>
        <v>0</v>
      </c>
      <c r="DD21" s="645">
        <f t="shared" si="126"/>
        <v>0</v>
      </c>
      <c r="DE21" s="646">
        <f t="shared" si="127"/>
        <v>0</v>
      </c>
      <c r="DF21" s="647">
        <f t="shared" si="36"/>
        <v>45814.899604188635</v>
      </c>
      <c r="DG21" s="644">
        <f t="shared" si="128"/>
        <v>0</v>
      </c>
      <c r="DH21" s="645">
        <f t="shared" si="129"/>
        <v>0</v>
      </c>
      <c r="DI21" s="646">
        <f t="shared" si="130"/>
        <v>0</v>
      </c>
      <c r="DJ21" s="647">
        <f t="shared" si="37"/>
        <v>45814.899604188635</v>
      </c>
      <c r="DK21" s="644">
        <f t="shared" si="131"/>
        <v>0</v>
      </c>
      <c r="DL21" s="645">
        <f t="shared" si="132"/>
        <v>0</v>
      </c>
      <c r="DM21" s="646">
        <f t="shared" si="133"/>
        <v>0</v>
      </c>
      <c r="DN21" s="647">
        <f t="shared" si="38"/>
        <v>45814.899604188635</v>
      </c>
      <c r="DR21" s="827">
        <f t="shared" si="49"/>
        <v>267719.30243755138</v>
      </c>
      <c r="DV21" s="828">
        <f>IFERROR(VLOOKUP($B21,'Afton FY16 Final'!$A$5:$BV$587,'Afton FY16 Final'!$BV$587,0),0)</f>
        <v>281922.30095594958</v>
      </c>
      <c r="DX21" s="636">
        <f t="shared" si="39"/>
        <v>0</v>
      </c>
      <c r="DY21" s="637">
        <f t="shared" si="40"/>
        <v>0</v>
      </c>
      <c r="DZ21" s="637">
        <f t="shared" si="41"/>
        <v>0</v>
      </c>
      <c r="EA21" s="643">
        <f t="shared" si="42"/>
        <v>0</v>
      </c>
      <c r="EB21" s="637">
        <f t="shared" si="50"/>
        <v>0</v>
      </c>
      <c r="EC21" s="637">
        <f t="shared" si="51"/>
        <v>0</v>
      </c>
      <c r="ED21" s="637">
        <f t="shared" si="52"/>
        <v>0</v>
      </c>
      <c r="EE21" s="643">
        <f t="shared" si="53"/>
        <v>0</v>
      </c>
      <c r="EF21" s="637">
        <f t="shared" si="54"/>
        <v>0</v>
      </c>
      <c r="EG21" s="637">
        <f t="shared" si="55"/>
        <v>0</v>
      </c>
      <c r="EH21" s="637">
        <f t="shared" si="56"/>
        <v>0</v>
      </c>
      <c r="EI21" s="643">
        <f t="shared" si="57"/>
        <v>0</v>
      </c>
      <c r="EJ21" s="637">
        <f t="shared" si="58"/>
        <v>0</v>
      </c>
      <c r="EK21" s="637">
        <f t="shared" si="59"/>
        <v>0</v>
      </c>
      <c r="EL21" s="637">
        <f t="shared" si="60"/>
        <v>0</v>
      </c>
      <c r="EM21" s="643">
        <f t="shared" si="61"/>
        <v>0</v>
      </c>
      <c r="EN21" s="637">
        <f t="shared" si="62"/>
        <v>0</v>
      </c>
      <c r="EO21" s="637">
        <f t="shared" si="63"/>
        <v>0</v>
      </c>
      <c r="EP21" s="637">
        <f t="shared" si="64"/>
        <v>0</v>
      </c>
      <c r="EQ21" s="643">
        <f t="shared" si="65"/>
        <v>0</v>
      </c>
      <c r="ER21" s="637">
        <f t="shared" si="66"/>
        <v>0</v>
      </c>
      <c r="ES21" s="637">
        <f t="shared" si="67"/>
        <v>0</v>
      </c>
      <c r="ET21" s="637">
        <f t="shared" si="68"/>
        <v>0</v>
      </c>
      <c r="EU21" s="643">
        <f t="shared" si="43"/>
        <v>0</v>
      </c>
      <c r="EV21" s="643">
        <f t="shared" si="44"/>
        <v>0</v>
      </c>
      <c r="EX21" s="829">
        <f t="shared" si="45"/>
        <v>0</v>
      </c>
      <c r="EY21" s="638">
        <f t="shared" si="46"/>
        <v>267719.30243755138</v>
      </c>
      <c r="FC21" s="830" t="str">
        <f t="shared" si="69"/>
        <v>Y</v>
      </c>
      <c r="FE21" s="830" t="str">
        <f>IFERROR(VLOOKUP($B21,'Historical Conc Grant Elig'!$B$3:$J$707,'HH &amp; SI'!FE$2,0),"N")</f>
        <v>Y</v>
      </c>
      <c r="FF21" s="830" t="str">
        <f>IFERROR(VLOOKUP($B21,'Historical Conc Grant Elig'!$B$3:$J$707,'HH &amp; SI'!FF$2,0),"N")</f>
        <v>Y</v>
      </c>
      <c r="FG21" s="830" t="str">
        <f>IFERROR(VLOOKUP($B21,'Historical Conc Grant Elig'!$B$3:$J$707,'HH &amp; SI'!FG$2,0),"N")</f>
        <v>Y</v>
      </c>
      <c r="FH21" s="830" t="str">
        <f>IFERROR(VLOOKUP($B21,'Historical Conc Grant Elig'!$B$3:$J$707,'HH &amp; SI'!FH$2,0),"N")</f>
        <v>Y</v>
      </c>
      <c r="FI21" s="830" t="str">
        <f>IFERROR(VLOOKUP($B21,'Historical Conc Grant Elig'!$B$3:$J$707,'HH &amp; SI'!FI$2,0),"N")</f>
        <v>Y</v>
      </c>
      <c r="FJ21" s="830" t="str">
        <f>IFERROR(VLOOKUP($B21,'Historical Conc Grant Elig'!$B$3:$J$707,'HH &amp; SI'!FJ$2,0),"N")</f>
        <v>Y</v>
      </c>
      <c r="FK21" s="830" t="str">
        <f>IFERROR(VLOOKUP($B21,'Historical Conc Grant Elig'!$B$3:$J$707,'HH &amp; SI'!FK$2,0),"N")</f>
        <v>Y</v>
      </c>
      <c r="FL21" s="957" t="str">
        <f>IFERROR(VLOOKUP($B21,'Historical Conc Grant Elig'!$B$3:$J$707,'HH &amp; SI'!FL$2,0),"N")</f>
        <v>Y</v>
      </c>
    </row>
    <row r="22" spans="2:168" x14ac:dyDescent="0.25">
      <c r="B22" s="634">
        <v>20214000</v>
      </c>
      <c r="C22" s="635" t="str">
        <f>VLOOKUP($B22,'Afton Update'!$A$5:$CR$582,'Afton Update'!D$589,0)</f>
        <v>Bowie Unified District</v>
      </c>
      <c r="D22" s="636">
        <f>IFERROR(VLOOKUP($B22,'Afton FY16 Final'!$A$5:$BV$587,'Afton FY16 Final'!AQ$587,0),0)</f>
        <v>12184.120676878681</v>
      </c>
      <c r="E22" s="637">
        <f>IFERROR(VLOOKUP($B22,'Afton FY16 Final'!$A$5:$BV$587,'Afton FY16 Final'!AR$587,0),0)</f>
        <v>3105.3821294772624</v>
      </c>
      <c r="F22" s="637">
        <f>IFERROR(VLOOKUP($B22,'Afton FY16 Final'!$A$5:$BV$587,'Afton FY16 Final'!AS$587,0),0)</f>
        <v>5825.4680818067545</v>
      </c>
      <c r="G22" s="637">
        <f>IFERROR(VLOOKUP($B22,'Afton FY16 Final'!$A$5:$BV$587,'Afton FY16 Final'!AT$587,0),0)</f>
        <v>5598.186641778062</v>
      </c>
      <c r="H22" s="638">
        <f>IFERROR(VLOOKUP($B22,'Afton FY16 Final'!$A$5:$BV$587,'Afton FY16 Final'!AU$587,0),0)</f>
        <v>26713.15752994076</v>
      </c>
      <c r="I22" s="639" t="str">
        <f>VLOOKUP($B22,'Afton Update'!$A$5:$CR$582,'Afton Update'!BT$589,0)</f>
        <v>Y</v>
      </c>
      <c r="J22" s="640" t="str">
        <f>VLOOKUP($B22,'Afton Update'!$A$5:$CR$582,'Afton Update'!BU$589,0)</f>
        <v>Y</v>
      </c>
      <c r="K22" s="640" t="str">
        <f>VLOOKUP($B22,'Afton Update'!$A$5:$CR$582,'Afton Update'!BV$589,0)</f>
        <v>Y</v>
      </c>
      <c r="L22" s="641" t="str">
        <f>VLOOKUP($B22,'Afton Update'!$A$5:$CR$582,'Afton Update'!BW$589,0)</f>
        <v>Y</v>
      </c>
      <c r="N22" s="642">
        <f>VLOOKUP($B22,'Afton Update'!$A$5:$CR$582,'Afton Update'!CB$589,0)</f>
        <v>0.9</v>
      </c>
      <c r="P22" s="636">
        <f>VLOOKUP($B22,'Afton Update'!$A$5:$CR$582,'Afton Update'!AH$589,0)</f>
        <v>10983.547017176439</v>
      </c>
      <c r="Q22" s="637">
        <f>VLOOKUP($B22,'Afton Update'!$A$5:$CR$582,'Afton Update'!AI$589,0)</f>
        <v>3830.2254601446939</v>
      </c>
      <c r="R22" s="637">
        <f>VLOOKUP($B22,'Afton Update'!$A$5:$CR$582,'Afton Update'!AJ$589,0)</f>
        <v>5242.7923038190002</v>
      </c>
      <c r="S22" s="637">
        <f>VLOOKUP($B22,'Afton Update'!$A$5:$CR$582,'Afton Update'!AK$589,0)</f>
        <v>5034.6459105249369</v>
      </c>
      <c r="T22" s="643">
        <f t="shared" si="47"/>
        <v>25091.210691665074</v>
      </c>
      <c r="V22" s="636">
        <f t="shared" si="70"/>
        <v>10965.708609190813</v>
      </c>
      <c r="W22" s="637">
        <f t="shared" si="71"/>
        <v>3704.0718371566786</v>
      </c>
      <c r="X22" s="637">
        <f t="shared" si="72"/>
        <v>5242.9212736260788</v>
      </c>
      <c r="Y22" s="637">
        <f t="shared" si="73"/>
        <v>5038.3679776002564</v>
      </c>
      <c r="Z22" s="643">
        <f t="shared" si="74"/>
        <v>24951.069697573828</v>
      </c>
      <c r="AB22" s="644">
        <f t="shared" si="11"/>
        <v>10983.547017176439</v>
      </c>
      <c r="AC22" s="645">
        <f t="shared" si="12"/>
        <v>10965.708609190813</v>
      </c>
      <c r="AD22" s="644">
        <f t="shared" si="75"/>
        <v>0</v>
      </c>
      <c r="AE22" s="645">
        <f t="shared" si="76"/>
        <v>10983.547017176439</v>
      </c>
      <c r="AF22" s="646">
        <f t="shared" si="77"/>
        <v>-136.1493191937702</v>
      </c>
      <c r="AG22" s="647">
        <f t="shared" si="78"/>
        <v>10847.397697982669</v>
      </c>
      <c r="AH22" s="644">
        <f t="shared" si="13"/>
        <v>-118.31091120814381</v>
      </c>
      <c r="AI22" s="645">
        <f t="shared" si="14"/>
        <v>0</v>
      </c>
      <c r="AJ22" s="646">
        <f t="shared" si="79"/>
        <v>0</v>
      </c>
      <c r="AK22" s="647">
        <f t="shared" si="15"/>
        <v>10965.708609190813</v>
      </c>
      <c r="AL22" s="644">
        <f t="shared" si="80"/>
        <v>0</v>
      </c>
      <c r="AM22" s="645">
        <f t="shared" si="81"/>
        <v>0</v>
      </c>
      <c r="AN22" s="646">
        <f t="shared" si="82"/>
        <v>0</v>
      </c>
      <c r="AO22" s="647">
        <f t="shared" si="16"/>
        <v>10965.708609190813</v>
      </c>
      <c r="AP22" s="644">
        <f t="shared" si="83"/>
        <v>0</v>
      </c>
      <c r="AQ22" s="645">
        <f t="shared" si="84"/>
        <v>0</v>
      </c>
      <c r="AR22" s="646">
        <f t="shared" si="85"/>
        <v>0</v>
      </c>
      <c r="AS22" s="647">
        <f t="shared" si="17"/>
        <v>10965.708609190813</v>
      </c>
      <c r="AT22" s="644">
        <f t="shared" si="86"/>
        <v>0</v>
      </c>
      <c r="AU22" s="645">
        <f t="shared" si="87"/>
        <v>0</v>
      </c>
      <c r="AV22" s="646">
        <f t="shared" si="88"/>
        <v>0</v>
      </c>
      <c r="AW22" s="647">
        <f t="shared" si="18"/>
        <v>10965.708609190813</v>
      </c>
      <c r="AY22" s="644">
        <f t="shared" si="89"/>
        <v>3830.2254601446939</v>
      </c>
      <c r="AZ22" s="645">
        <f t="shared" si="48"/>
        <v>2794.8439165295363</v>
      </c>
      <c r="BA22" s="644">
        <f t="shared" si="90"/>
        <v>0</v>
      </c>
      <c r="BB22" s="645">
        <f t="shared" si="91"/>
        <v>3830.2254601446939</v>
      </c>
      <c r="BC22" s="646">
        <f t="shared" si="92"/>
        <v>-27.544267528207982</v>
      </c>
      <c r="BD22" s="647">
        <f t="shared" si="93"/>
        <v>3802.681192616486</v>
      </c>
      <c r="BE22" s="644">
        <f t="shared" si="19"/>
        <v>0</v>
      </c>
      <c r="BF22" s="645">
        <f t="shared" si="20"/>
        <v>3802.681192616486</v>
      </c>
      <c r="BG22" s="646">
        <f t="shared" si="94"/>
        <v>-90.576767046524239</v>
      </c>
      <c r="BH22" s="647">
        <f t="shared" si="21"/>
        <v>3712.1044255699617</v>
      </c>
      <c r="BI22" s="644">
        <f t="shared" si="95"/>
        <v>0</v>
      </c>
      <c r="BJ22" s="645">
        <f t="shared" si="96"/>
        <v>3712.1044255699617</v>
      </c>
      <c r="BK22" s="646">
        <f t="shared" si="97"/>
        <v>-7.8631090427815575</v>
      </c>
      <c r="BL22" s="647">
        <f t="shared" si="22"/>
        <v>3704.2413165271801</v>
      </c>
      <c r="BM22" s="644">
        <f t="shared" si="98"/>
        <v>0</v>
      </c>
      <c r="BN22" s="645">
        <f t="shared" si="99"/>
        <v>3704.2413165271801</v>
      </c>
      <c r="BO22" s="646">
        <f t="shared" si="100"/>
        <v>-0.16947937050154402</v>
      </c>
      <c r="BP22" s="647">
        <f t="shared" si="23"/>
        <v>3704.0718371566786</v>
      </c>
      <c r="BQ22" s="644">
        <f t="shared" si="101"/>
        <v>0</v>
      </c>
      <c r="BR22" s="645">
        <f t="shared" si="102"/>
        <v>3704.0718371566786</v>
      </c>
      <c r="BS22" s="646">
        <f t="shared" si="103"/>
        <v>0</v>
      </c>
      <c r="BT22" s="647">
        <f t="shared" si="24"/>
        <v>3704.0718371566786</v>
      </c>
      <c r="BU22" s="662">
        <f>VLOOKUP(B22,'Afton Update'!$A$5:$AR$582,'Afton Update'!$AO$589,0)-BT22</f>
        <v>0</v>
      </c>
      <c r="BV22" s="644">
        <f t="shared" si="104"/>
        <v>5242.7923038190002</v>
      </c>
      <c r="BW22" s="645">
        <f t="shared" si="25"/>
        <v>5242.9212736260788</v>
      </c>
      <c r="BX22" s="644">
        <f t="shared" si="105"/>
        <v>0.12896980707864714</v>
      </c>
      <c r="BY22" s="645">
        <f t="shared" si="106"/>
        <v>0</v>
      </c>
      <c r="BZ22" s="646">
        <f t="shared" si="107"/>
        <v>0</v>
      </c>
      <c r="CA22" s="647">
        <f t="shared" si="108"/>
        <v>5242.9212736260788</v>
      </c>
      <c r="CB22" s="644">
        <f t="shared" si="26"/>
        <v>0</v>
      </c>
      <c r="CC22" s="645">
        <f t="shared" si="27"/>
        <v>0</v>
      </c>
      <c r="CD22" s="646">
        <f t="shared" si="109"/>
        <v>0</v>
      </c>
      <c r="CE22" s="647">
        <f t="shared" si="28"/>
        <v>5242.9212736260788</v>
      </c>
      <c r="CF22" s="644">
        <f t="shared" si="110"/>
        <v>0</v>
      </c>
      <c r="CG22" s="645">
        <f t="shared" si="111"/>
        <v>0</v>
      </c>
      <c r="CH22" s="646">
        <f t="shared" si="112"/>
        <v>0</v>
      </c>
      <c r="CI22" s="647">
        <f t="shared" si="29"/>
        <v>5242.9212736260788</v>
      </c>
      <c r="CJ22" s="644">
        <f t="shared" si="113"/>
        <v>0</v>
      </c>
      <c r="CK22" s="645">
        <f t="shared" si="114"/>
        <v>0</v>
      </c>
      <c r="CL22" s="646">
        <f t="shared" si="115"/>
        <v>0</v>
      </c>
      <c r="CM22" s="647">
        <f t="shared" si="30"/>
        <v>5242.9212736260788</v>
      </c>
      <c r="CN22" s="644">
        <f t="shared" si="116"/>
        <v>0</v>
      </c>
      <c r="CO22" s="645">
        <f t="shared" si="117"/>
        <v>0</v>
      </c>
      <c r="CP22" s="646">
        <f t="shared" si="118"/>
        <v>0</v>
      </c>
      <c r="CQ22" s="647">
        <f t="shared" si="31"/>
        <v>5242.9212736260788</v>
      </c>
      <c r="CS22" s="644">
        <f t="shared" si="119"/>
        <v>5034.6459105249369</v>
      </c>
      <c r="CT22" s="645">
        <f t="shared" si="32"/>
        <v>5038.3679776002564</v>
      </c>
      <c r="CU22" s="644">
        <f t="shared" si="120"/>
        <v>3.7220670753195009</v>
      </c>
      <c r="CV22" s="645">
        <f t="shared" si="121"/>
        <v>0</v>
      </c>
      <c r="CW22" s="646">
        <f t="shared" si="122"/>
        <v>0</v>
      </c>
      <c r="CX22" s="647">
        <f t="shared" si="123"/>
        <v>5038.3679776002564</v>
      </c>
      <c r="CY22" s="644">
        <f t="shared" si="33"/>
        <v>0</v>
      </c>
      <c r="CZ22" s="645">
        <f t="shared" si="34"/>
        <v>0</v>
      </c>
      <c r="DA22" s="646">
        <f t="shared" si="124"/>
        <v>0</v>
      </c>
      <c r="DB22" s="647">
        <f t="shared" si="35"/>
        <v>5038.3679776002564</v>
      </c>
      <c r="DC22" s="644">
        <f t="shared" si="125"/>
        <v>0</v>
      </c>
      <c r="DD22" s="645">
        <f t="shared" si="126"/>
        <v>0</v>
      </c>
      <c r="DE22" s="646">
        <f t="shared" si="127"/>
        <v>0</v>
      </c>
      <c r="DF22" s="647">
        <f t="shared" si="36"/>
        <v>5038.3679776002564</v>
      </c>
      <c r="DG22" s="644">
        <f t="shared" si="128"/>
        <v>0</v>
      </c>
      <c r="DH22" s="645">
        <f t="shared" si="129"/>
        <v>0</v>
      </c>
      <c r="DI22" s="646">
        <f t="shared" si="130"/>
        <v>0</v>
      </c>
      <c r="DJ22" s="647">
        <f t="shared" si="37"/>
        <v>5038.3679776002564</v>
      </c>
      <c r="DK22" s="644">
        <f t="shared" si="131"/>
        <v>0</v>
      </c>
      <c r="DL22" s="645">
        <f t="shared" si="132"/>
        <v>0</v>
      </c>
      <c r="DM22" s="646">
        <f t="shared" si="133"/>
        <v>0</v>
      </c>
      <c r="DN22" s="647">
        <f t="shared" si="38"/>
        <v>5038.3679776002564</v>
      </c>
      <c r="DR22" s="827">
        <f t="shared" si="49"/>
        <v>24951.069697573828</v>
      </c>
      <c r="DV22" s="828">
        <f>IFERROR(VLOOKUP($B22,'Afton FY16 Final'!$A$5:$BV$587,'Afton FY16 Final'!$BV$587,0),0)</f>
        <v>26187.17546260016</v>
      </c>
      <c r="DX22" s="636">
        <f t="shared" si="39"/>
        <v>0</v>
      </c>
      <c r="DY22" s="637">
        <f t="shared" si="40"/>
        <v>0</v>
      </c>
      <c r="DZ22" s="637">
        <f t="shared" si="41"/>
        <v>0</v>
      </c>
      <c r="EA22" s="643">
        <f t="shared" si="42"/>
        <v>0</v>
      </c>
      <c r="EB22" s="637">
        <f t="shared" si="50"/>
        <v>0</v>
      </c>
      <c r="EC22" s="637">
        <f t="shared" si="51"/>
        <v>0</v>
      </c>
      <c r="ED22" s="637">
        <f t="shared" si="52"/>
        <v>0</v>
      </c>
      <c r="EE22" s="643">
        <f t="shared" si="53"/>
        <v>0</v>
      </c>
      <c r="EF22" s="637">
        <f t="shared" si="54"/>
        <v>0</v>
      </c>
      <c r="EG22" s="637">
        <f t="shared" si="55"/>
        <v>0</v>
      </c>
      <c r="EH22" s="637">
        <f t="shared" si="56"/>
        <v>0</v>
      </c>
      <c r="EI22" s="643">
        <f t="shared" si="57"/>
        <v>0</v>
      </c>
      <c r="EJ22" s="637">
        <f t="shared" si="58"/>
        <v>0</v>
      </c>
      <c r="EK22" s="637">
        <f t="shared" si="59"/>
        <v>0</v>
      </c>
      <c r="EL22" s="637">
        <f t="shared" si="60"/>
        <v>0</v>
      </c>
      <c r="EM22" s="643">
        <f t="shared" si="61"/>
        <v>0</v>
      </c>
      <c r="EN22" s="637">
        <f t="shared" si="62"/>
        <v>0</v>
      </c>
      <c r="EO22" s="637">
        <f t="shared" si="63"/>
        <v>0</v>
      </c>
      <c r="EP22" s="637">
        <f t="shared" si="64"/>
        <v>0</v>
      </c>
      <c r="EQ22" s="643">
        <f t="shared" si="65"/>
        <v>0</v>
      </c>
      <c r="ER22" s="637">
        <f t="shared" si="66"/>
        <v>0</v>
      </c>
      <c r="ES22" s="637">
        <f t="shared" si="67"/>
        <v>0</v>
      </c>
      <c r="ET22" s="637">
        <f t="shared" si="68"/>
        <v>0</v>
      </c>
      <c r="EU22" s="643">
        <f t="shared" si="43"/>
        <v>0</v>
      </c>
      <c r="EV22" s="643">
        <f t="shared" si="44"/>
        <v>0</v>
      </c>
      <c r="EX22" s="829">
        <f t="shared" si="45"/>
        <v>0</v>
      </c>
      <c r="EY22" s="638">
        <f t="shared" si="46"/>
        <v>24951.069697573828</v>
      </c>
      <c r="FC22" s="830" t="str">
        <f t="shared" si="69"/>
        <v>Y</v>
      </c>
      <c r="FE22" s="830" t="str">
        <f>IFERROR(VLOOKUP($B22,'Historical Conc Grant Elig'!$B$3:$J$707,'HH &amp; SI'!FE$2,0),"N")</f>
        <v>Y</v>
      </c>
      <c r="FF22" s="830" t="str">
        <f>IFERROR(VLOOKUP($B22,'Historical Conc Grant Elig'!$B$3:$J$707,'HH &amp; SI'!FF$2,0),"N")</f>
        <v>Y</v>
      </c>
      <c r="FG22" s="830" t="str">
        <f>IFERROR(VLOOKUP($B22,'Historical Conc Grant Elig'!$B$3:$J$707,'HH &amp; SI'!FG$2,0),"N")</f>
        <v>Y</v>
      </c>
      <c r="FH22" s="830" t="str">
        <f>IFERROR(VLOOKUP($B22,'Historical Conc Grant Elig'!$B$3:$J$707,'HH &amp; SI'!FH$2,0),"N")</f>
        <v>Y</v>
      </c>
      <c r="FI22" s="830" t="str">
        <f>IFERROR(VLOOKUP($B22,'Historical Conc Grant Elig'!$B$3:$J$707,'HH &amp; SI'!FI$2,0),"N")</f>
        <v>Y</v>
      </c>
      <c r="FJ22" s="830" t="str">
        <f>IFERROR(VLOOKUP($B22,'Historical Conc Grant Elig'!$B$3:$J$707,'HH &amp; SI'!FJ$2,0),"N")</f>
        <v>Y</v>
      </c>
      <c r="FK22" s="830" t="str">
        <f>IFERROR(VLOOKUP($B22,'Historical Conc Grant Elig'!$B$3:$J$707,'HH &amp; SI'!FK$2,0),"N")</f>
        <v>Y</v>
      </c>
      <c r="FL22" s="957" t="str">
        <f>IFERROR(VLOOKUP($B22,'Historical Conc Grant Elig'!$B$3:$J$707,'HH &amp; SI'!FL$2,0),"N")</f>
        <v>Y</v>
      </c>
    </row>
    <row r="23" spans="2:168" x14ac:dyDescent="0.25">
      <c r="B23" s="634">
        <v>20218000</v>
      </c>
      <c r="C23" s="635" t="str">
        <f>VLOOKUP($B23,'Afton Update'!$A$5:$CR$582,'Afton Update'!D$589,0)</f>
        <v>San Simon Unified District</v>
      </c>
      <c r="D23" s="636">
        <f>IFERROR(VLOOKUP($B23,'Afton FY16 Final'!$A$5:$BV$587,'Afton FY16 Final'!AQ$587,0),0)</f>
        <v>8195.7887768143755</v>
      </c>
      <c r="E23" s="637">
        <f>IFERROR(VLOOKUP($B23,'Afton FY16 Final'!$A$5:$BV$587,'Afton FY16 Final'!AR$587,0),0)</f>
        <v>1909.4043204644759</v>
      </c>
      <c r="F23" s="637">
        <f>IFERROR(VLOOKUP($B23,'Afton FY16 Final'!$A$5:$BV$587,'Afton FY16 Final'!AS$587,0),0)</f>
        <v>3197.4784074493296</v>
      </c>
      <c r="G23" s="637">
        <f>IFERROR(VLOOKUP($B23,'Afton FY16 Final'!$A$5:$BV$587,'Afton FY16 Final'!AT$587,0),0)</f>
        <v>2622.7842624391615</v>
      </c>
      <c r="H23" s="638">
        <f>IFERROR(VLOOKUP($B23,'Afton FY16 Final'!$A$5:$BV$587,'Afton FY16 Final'!AU$587,0),0)</f>
        <v>15925.455767167341</v>
      </c>
      <c r="I23" s="639" t="str">
        <f>VLOOKUP($B23,'Afton Update'!$A$5:$CR$582,'Afton Update'!BT$589,0)</f>
        <v>Y</v>
      </c>
      <c r="J23" s="640" t="str">
        <f>VLOOKUP($B23,'Afton Update'!$A$5:$CR$582,'Afton Update'!BU$589,0)</f>
        <v>Y</v>
      </c>
      <c r="K23" s="640" t="str">
        <f>VLOOKUP($B23,'Afton Update'!$A$5:$CR$582,'Afton Update'!BV$589,0)</f>
        <v>Y</v>
      </c>
      <c r="L23" s="641" t="str">
        <f>VLOOKUP($B23,'Afton Update'!$A$5:$CR$582,'Afton Update'!BW$589,0)</f>
        <v>Y</v>
      </c>
      <c r="N23" s="642">
        <f>VLOOKUP($B23,'Afton Update'!$A$5:$CR$582,'Afton Update'!CB$589,0)</f>
        <v>0.9</v>
      </c>
      <c r="P23" s="636">
        <f>VLOOKUP($B23,'Afton Update'!$A$5:$CR$582,'Afton Update'!AH$589,0)</f>
        <v>7438.8110709077109</v>
      </c>
      <c r="Q23" s="637">
        <f>VLOOKUP($B23,'Afton Update'!$A$5:$CR$582,'Afton Update'!AI$589,0)</f>
        <v>2798.1456780738263</v>
      </c>
      <c r="R23" s="637">
        <f>VLOOKUP($B23,'Afton Update'!$A$5:$CR$582,'Afton Update'!AJ$589,0)</f>
        <v>2898.2143357370196</v>
      </c>
      <c r="S23" s="637">
        <f>VLOOKUP($B23,'Afton Update'!$A$5:$CR$582,'Afton Update'!AK$589,0)</f>
        <v>2391.9914768204767</v>
      </c>
      <c r="T23" s="643">
        <f t="shared" si="47"/>
        <v>15527.162561539033</v>
      </c>
      <c r="V23" s="636">
        <f t="shared" si="70"/>
        <v>7376.2098991329385</v>
      </c>
      <c r="W23" s="637">
        <f t="shared" si="71"/>
        <v>2705.9849897252261</v>
      </c>
      <c r="X23" s="637">
        <f t="shared" si="72"/>
        <v>2877.7305667043966</v>
      </c>
      <c r="Y23" s="637">
        <f t="shared" si="73"/>
        <v>2365.6360365505202</v>
      </c>
      <c r="Z23" s="643">
        <f t="shared" si="74"/>
        <v>15325.561492113082</v>
      </c>
      <c r="AB23" s="644">
        <f t="shared" si="11"/>
        <v>7438.8110709077109</v>
      </c>
      <c r="AC23" s="645">
        <f t="shared" si="12"/>
        <v>7376.2098991329385</v>
      </c>
      <c r="AD23" s="644">
        <f t="shared" si="75"/>
        <v>0</v>
      </c>
      <c r="AE23" s="645">
        <f t="shared" si="76"/>
        <v>7438.8110709077109</v>
      </c>
      <c r="AF23" s="646">
        <f t="shared" si="77"/>
        <v>-92.209653341614683</v>
      </c>
      <c r="AG23" s="647">
        <f t="shared" si="78"/>
        <v>7346.6014175660966</v>
      </c>
      <c r="AH23" s="644">
        <f t="shared" si="13"/>
        <v>-29.608481566841874</v>
      </c>
      <c r="AI23" s="645">
        <f t="shared" si="14"/>
        <v>0</v>
      </c>
      <c r="AJ23" s="646">
        <f t="shared" si="79"/>
        <v>0</v>
      </c>
      <c r="AK23" s="647">
        <f t="shared" si="15"/>
        <v>7376.2098991329385</v>
      </c>
      <c r="AL23" s="644">
        <f t="shared" si="80"/>
        <v>0</v>
      </c>
      <c r="AM23" s="645">
        <f t="shared" si="81"/>
        <v>0</v>
      </c>
      <c r="AN23" s="646">
        <f t="shared" si="82"/>
        <v>0</v>
      </c>
      <c r="AO23" s="647">
        <f t="shared" si="16"/>
        <v>7376.2098991329385</v>
      </c>
      <c r="AP23" s="644">
        <f t="shared" si="83"/>
        <v>0</v>
      </c>
      <c r="AQ23" s="645">
        <f t="shared" si="84"/>
        <v>0</v>
      </c>
      <c r="AR23" s="646">
        <f t="shared" si="85"/>
        <v>0</v>
      </c>
      <c r="AS23" s="647">
        <f t="shared" si="17"/>
        <v>7376.2098991329385</v>
      </c>
      <c r="AT23" s="644">
        <f t="shared" si="86"/>
        <v>0</v>
      </c>
      <c r="AU23" s="645">
        <f t="shared" si="87"/>
        <v>0</v>
      </c>
      <c r="AV23" s="646">
        <f t="shared" si="88"/>
        <v>0</v>
      </c>
      <c r="AW23" s="647">
        <f t="shared" si="18"/>
        <v>7376.2098991329385</v>
      </c>
      <c r="AY23" s="644">
        <f t="shared" si="89"/>
        <v>2798.1456780738263</v>
      </c>
      <c r="AZ23" s="645">
        <f t="shared" si="48"/>
        <v>1718.4638884180283</v>
      </c>
      <c r="BA23" s="644">
        <f t="shared" si="90"/>
        <v>0</v>
      </c>
      <c r="BB23" s="645">
        <f t="shared" si="91"/>
        <v>2798.1456780738263</v>
      </c>
      <c r="BC23" s="646">
        <f t="shared" si="92"/>
        <v>-20.122281035866965</v>
      </c>
      <c r="BD23" s="647">
        <f t="shared" si="93"/>
        <v>2778.0233970379595</v>
      </c>
      <c r="BE23" s="644">
        <f t="shared" si="19"/>
        <v>0</v>
      </c>
      <c r="BF23" s="645">
        <f t="shared" si="20"/>
        <v>2778.0233970379595</v>
      </c>
      <c r="BG23" s="646">
        <f t="shared" si="94"/>
        <v>-66.170253391704293</v>
      </c>
      <c r="BH23" s="647">
        <f t="shared" si="21"/>
        <v>2711.8531436462554</v>
      </c>
      <c r="BI23" s="644">
        <f t="shared" si="95"/>
        <v>0</v>
      </c>
      <c r="BJ23" s="645">
        <f t="shared" si="96"/>
        <v>2711.8531436462554</v>
      </c>
      <c r="BK23" s="646">
        <f t="shared" si="97"/>
        <v>-5.7443418966389705</v>
      </c>
      <c r="BL23" s="647">
        <f t="shared" si="22"/>
        <v>2706.1088017496163</v>
      </c>
      <c r="BM23" s="644">
        <f t="shared" si="98"/>
        <v>0</v>
      </c>
      <c r="BN23" s="645">
        <f t="shared" si="99"/>
        <v>2706.1088017496163</v>
      </c>
      <c r="BO23" s="646">
        <f t="shared" si="100"/>
        <v>-0.12381202439024395</v>
      </c>
      <c r="BP23" s="647">
        <f t="shared" si="23"/>
        <v>2705.9849897252261</v>
      </c>
      <c r="BQ23" s="644">
        <f t="shared" si="101"/>
        <v>0</v>
      </c>
      <c r="BR23" s="645">
        <f t="shared" si="102"/>
        <v>2705.9849897252261</v>
      </c>
      <c r="BS23" s="646">
        <f t="shared" si="103"/>
        <v>0</v>
      </c>
      <c r="BT23" s="647">
        <f t="shared" si="24"/>
        <v>2705.9849897252261</v>
      </c>
      <c r="BU23" s="662">
        <f>VLOOKUP(B23,'Afton Update'!$A$5:$AR$582,'Afton Update'!$AO$589,0)-BT23</f>
        <v>0</v>
      </c>
      <c r="BV23" s="644">
        <f t="shared" si="104"/>
        <v>2898.2143357370196</v>
      </c>
      <c r="BW23" s="645">
        <f t="shared" si="25"/>
        <v>2877.7305667043966</v>
      </c>
      <c r="BX23" s="644">
        <f t="shared" si="105"/>
        <v>0</v>
      </c>
      <c r="BY23" s="645">
        <f t="shared" si="106"/>
        <v>2898.2143357370196</v>
      </c>
      <c r="BZ23" s="646">
        <f t="shared" si="107"/>
        <v>-25.437935359469652</v>
      </c>
      <c r="CA23" s="647">
        <f t="shared" si="108"/>
        <v>2872.7764003775501</v>
      </c>
      <c r="CB23" s="644">
        <f t="shared" si="26"/>
        <v>-4.9541663268464617</v>
      </c>
      <c r="CC23" s="645">
        <f t="shared" si="27"/>
        <v>0</v>
      </c>
      <c r="CD23" s="646">
        <f t="shared" si="109"/>
        <v>0</v>
      </c>
      <c r="CE23" s="647">
        <f t="shared" si="28"/>
        <v>2877.7305667043966</v>
      </c>
      <c r="CF23" s="644">
        <f t="shared" si="110"/>
        <v>0</v>
      </c>
      <c r="CG23" s="645">
        <f t="shared" si="111"/>
        <v>0</v>
      </c>
      <c r="CH23" s="646">
        <f t="shared" si="112"/>
        <v>0</v>
      </c>
      <c r="CI23" s="647">
        <f t="shared" si="29"/>
        <v>2877.7305667043966</v>
      </c>
      <c r="CJ23" s="644">
        <f t="shared" si="113"/>
        <v>0</v>
      </c>
      <c r="CK23" s="645">
        <f t="shared" si="114"/>
        <v>0</v>
      </c>
      <c r="CL23" s="646">
        <f t="shared" si="115"/>
        <v>0</v>
      </c>
      <c r="CM23" s="647">
        <f t="shared" si="30"/>
        <v>2877.7305667043966</v>
      </c>
      <c r="CN23" s="644">
        <f t="shared" si="116"/>
        <v>0</v>
      </c>
      <c r="CO23" s="645">
        <f t="shared" si="117"/>
        <v>0</v>
      </c>
      <c r="CP23" s="646">
        <f t="shared" si="118"/>
        <v>0</v>
      </c>
      <c r="CQ23" s="647">
        <f t="shared" si="31"/>
        <v>2877.7305667043966</v>
      </c>
      <c r="CS23" s="644">
        <f t="shared" si="119"/>
        <v>2391.9914768204767</v>
      </c>
      <c r="CT23" s="645">
        <f t="shared" si="32"/>
        <v>2360.5058361952456</v>
      </c>
      <c r="CU23" s="644">
        <f t="shared" si="120"/>
        <v>0</v>
      </c>
      <c r="CV23" s="645">
        <f t="shared" si="121"/>
        <v>2391.9914768204767</v>
      </c>
      <c r="CW23" s="646">
        <f t="shared" si="122"/>
        <v>-24.495344489590916</v>
      </c>
      <c r="CX23" s="647">
        <f t="shared" si="123"/>
        <v>2367.4961323308858</v>
      </c>
      <c r="CY23" s="644">
        <f t="shared" si="33"/>
        <v>0</v>
      </c>
      <c r="CZ23" s="645">
        <f t="shared" si="34"/>
        <v>2367.4961323308858</v>
      </c>
      <c r="DA23" s="646">
        <f t="shared" si="124"/>
        <v>-1.8584930615798765</v>
      </c>
      <c r="DB23" s="647">
        <f t="shared" si="35"/>
        <v>2365.637639269306</v>
      </c>
      <c r="DC23" s="644">
        <f t="shared" si="125"/>
        <v>0</v>
      </c>
      <c r="DD23" s="645">
        <f t="shared" si="126"/>
        <v>2365.637639269306</v>
      </c>
      <c r="DE23" s="646">
        <f t="shared" si="127"/>
        <v>-1.6027187858960333E-3</v>
      </c>
      <c r="DF23" s="647">
        <f t="shared" si="36"/>
        <v>2365.6360365505202</v>
      </c>
      <c r="DG23" s="644">
        <f t="shared" si="128"/>
        <v>0</v>
      </c>
      <c r="DH23" s="645">
        <f t="shared" si="129"/>
        <v>2365.6360365505202</v>
      </c>
      <c r="DI23" s="646">
        <f t="shared" si="130"/>
        <v>0</v>
      </c>
      <c r="DJ23" s="647">
        <f t="shared" si="37"/>
        <v>2365.6360365505202</v>
      </c>
      <c r="DK23" s="644">
        <f t="shared" si="131"/>
        <v>0</v>
      </c>
      <c r="DL23" s="645">
        <f t="shared" si="132"/>
        <v>2365.6360365505202</v>
      </c>
      <c r="DM23" s="646">
        <f t="shared" si="133"/>
        <v>0</v>
      </c>
      <c r="DN23" s="647">
        <f t="shared" si="38"/>
        <v>2365.6360365505202</v>
      </c>
      <c r="DR23" s="827">
        <f t="shared" si="49"/>
        <v>15325.561492113082</v>
      </c>
      <c r="DV23" s="828">
        <f>IFERROR(VLOOKUP($B23,'Afton FY16 Final'!$A$5:$BV$587,'Afton FY16 Final'!$BV$587,0),0)</f>
        <v>15611.883545749211</v>
      </c>
      <c r="DX23" s="636">
        <f t="shared" si="39"/>
        <v>0</v>
      </c>
      <c r="DY23" s="637">
        <f t="shared" si="40"/>
        <v>0</v>
      </c>
      <c r="DZ23" s="637">
        <f t="shared" si="41"/>
        <v>0</v>
      </c>
      <c r="EA23" s="643">
        <f t="shared" si="42"/>
        <v>0</v>
      </c>
      <c r="EB23" s="637">
        <f t="shared" si="50"/>
        <v>0</v>
      </c>
      <c r="EC23" s="637">
        <f t="shared" si="51"/>
        <v>0</v>
      </c>
      <c r="ED23" s="637">
        <f t="shared" si="52"/>
        <v>0</v>
      </c>
      <c r="EE23" s="643">
        <f t="shared" si="53"/>
        <v>0</v>
      </c>
      <c r="EF23" s="637">
        <f t="shared" si="54"/>
        <v>0</v>
      </c>
      <c r="EG23" s="637">
        <f t="shared" si="55"/>
        <v>0</v>
      </c>
      <c r="EH23" s="637">
        <f t="shared" si="56"/>
        <v>0</v>
      </c>
      <c r="EI23" s="643">
        <f t="shared" si="57"/>
        <v>0</v>
      </c>
      <c r="EJ23" s="637">
        <f t="shared" si="58"/>
        <v>0</v>
      </c>
      <c r="EK23" s="637">
        <f t="shared" si="59"/>
        <v>0</v>
      </c>
      <c r="EL23" s="637">
        <f t="shared" si="60"/>
        <v>0</v>
      </c>
      <c r="EM23" s="643">
        <f t="shared" si="61"/>
        <v>0</v>
      </c>
      <c r="EN23" s="637">
        <f t="shared" si="62"/>
        <v>0</v>
      </c>
      <c r="EO23" s="637">
        <f t="shared" si="63"/>
        <v>0</v>
      </c>
      <c r="EP23" s="637">
        <f t="shared" si="64"/>
        <v>0</v>
      </c>
      <c r="EQ23" s="643">
        <f t="shared" si="65"/>
        <v>0</v>
      </c>
      <c r="ER23" s="637">
        <f t="shared" si="66"/>
        <v>0</v>
      </c>
      <c r="ES23" s="637">
        <f t="shared" si="67"/>
        <v>0</v>
      </c>
      <c r="ET23" s="637">
        <f t="shared" si="68"/>
        <v>0</v>
      </c>
      <c r="EU23" s="643">
        <f t="shared" si="43"/>
        <v>0</v>
      </c>
      <c r="EV23" s="643">
        <f t="shared" si="44"/>
        <v>0</v>
      </c>
      <c r="EX23" s="829">
        <f t="shared" si="45"/>
        <v>0</v>
      </c>
      <c r="EY23" s="638">
        <f t="shared" si="46"/>
        <v>15325.561492113082</v>
      </c>
      <c r="FC23" s="830" t="str">
        <f t="shared" si="69"/>
        <v>Y</v>
      </c>
      <c r="FE23" s="830" t="str">
        <f>IFERROR(VLOOKUP($B23,'Historical Conc Grant Elig'!$B$3:$J$707,'HH &amp; SI'!FE$2,0),"N")</f>
        <v>Y</v>
      </c>
      <c r="FF23" s="830" t="str">
        <f>IFERROR(VLOOKUP($B23,'Historical Conc Grant Elig'!$B$3:$J$707,'HH &amp; SI'!FF$2,0),"N")</f>
        <v>Y</v>
      </c>
      <c r="FG23" s="830" t="str">
        <f>IFERROR(VLOOKUP($B23,'Historical Conc Grant Elig'!$B$3:$J$707,'HH &amp; SI'!FG$2,0),"N")</f>
        <v>Y</v>
      </c>
      <c r="FH23" s="830" t="str">
        <f>IFERROR(VLOOKUP($B23,'Historical Conc Grant Elig'!$B$3:$J$707,'HH &amp; SI'!FH$2,0),"N")</f>
        <v>N</v>
      </c>
      <c r="FI23" s="830" t="str">
        <f>IFERROR(VLOOKUP($B23,'Historical Conc Grant Elig'!$B$3:$J$707,'HH &amp; SI'!FI$2,0),"N")</f>
        <v>Y</v>
      </c>
      <c r="FJ23" s="830" t="str">
        <f>IFERROR(VLOOKUP($B23,'Historical Conc Grant Elig'!$B$3:$J$707,'HH &amp; SI'!FJ$2,0),"N")</f>
        <v>Y</v>
      </c>
      <c r="FK23" s="830" t="str">
        <f>IFERROR(VLOOKUP($B23,'Historical Conc Grant Elig'!$B$3:$J$707,'HH &amp; SI'!FK$2,0),"N")</f>
        <v>Y</v>
      </c>
      <c r="FL23" s="957" t="str">
        <f>IFERROR(VLOOKUP($B23,'Historical Conc Grant Elig'!$B$3:$J$707,'HH &amp; SI'!FL$2,0),"N")</f>
        <v>Y</v>
      </c>
    </row>
    <row r="24" spans="2:168" x14ac:dyDescent="0.25">
      <c r="B24" s="634">
        <v>20221000</v>
      </c>
      <c r="C24" s="635" t="str">
        <f>VLOOKUP($B24,'Afton Update'!$A$5:$CR$582,'Afton Update'!D$589,0)</f>
        <v>St. David Unified District</v>
      </c>
      <c r="D24" s="636">
        <f>IFERROR(VLOOKUP($B24,'Afton FY16 Final'!$A$5:$BV$587,'Afton FY16 Final'!AQ$587,0),0)</f>
        <v>53902.49094697096</v>
      </c>
      <c r="E24" s="637">
        <f>IFERROR(VLOOKUP($B24,'Afton FY16 Final'!$A$5:$BV$587,'Afton FY16 Final'!AR$587,0),0)</f>
        <v>12579.20748950993</v>
      </c>
      <c r="F24" s="637">
        <f>IFERROR(VLOOKUP($B24,'Afton FY16 Final'!$A$5:$BV$587,'Afton FY16 Final'!AS$587,0),0)</f>
        <v>22563.882642601809</v>
      </c>
      <c r="G24" s="637">
        <f>IFERROR(VLOOKUP($B24,'Afton FY16 Final'!$A$5:$BV$587,'Afton FY16 Final'!AT$587,0),0)</f>
        <v>18805.774343377787</v>
      </c>
      <c r="H24" s="638">
        <f>IFERROR(VLOOKUP($B24,'Afton FY16 Final'!$A$5:$BV$587,'Afton FY16 Final'!AU$587,0),0)</f>
        <v>107851.35542246047</v>
      </c>
      <c r="I24" s="639" t="str">
        <f>VLOOKUP($B24,'Afton Update'!$A$5:$CR$582,'Afton Update'!BT$589,0)</f>
        <v>Y</v>
      </c>
      <c r="J24" s="640" t="str">
        <f>VLOOKUP($B24,'Afton Update'!$A$5:$CR$582,'Afton Update'!BU$589,0)</f>
        <v>Y</v>
      </c>
      <c r="K24" s="640" t="str">
        <f>VLOOKUP($B24,'Afton Update'!$A$5:$CR$582,'Afton Update'!BV$589,0)</f>
        <v>Y</v>
      </c>
      <c r="L24" s="641" t="str">
        <f>VLOOKUP($B24,'Afton Update'!$A$5:$CR$582,'Afton Update'!BW$589,0)</f>
        <v>Y</v>
      </c>
      <c r="N24" s="642">
        <f>VLOOKUP($B24,'Afton Update'!$A$5:$CR$582,'Afton Update'!CB$589,0)</f>
        <v>0.9</v>
      </c>
      <c r="P24" s="636">
        <f>VLOOKUP($B24,'Afton Update'!$A$5:$CR$582,'Afton Update'!AH$589,0)</f>
        <v>48923.960502759997</v>
      </c>
      <c r="Q24" s="637">
        <f>VLOOKUP($B24,'Afton Update'!$A$5:$CR$582,'Afton Update'!AI$589,0)</f>
        <v>12620.052178687638</v>
      </c>
      <c r="R24" s="637">
        <f>VLOOKUP($B24,'Afton Update'!$A$5:$CR$582,'Afton Update'!AJ$589,0)</f>
        <v>20452.043708042642</v>
      </c>
      <c r="S24" s="637">
        <f>VLOOKUP($B24,'Afton Update'!$A$5:$CR$582,'Afton Update'!AK$589,0)</f>
        <v>17150.953888420434</v>
      </c>
      <c r="T24" s="643">
        <f t="shared" si="47"/>
        <v>99147.010277910726</v>
      </c>
      <c r="V24" s="636">
        <f t="shared" si="70"/>
        <v>48512.241852273866</v>
      </c>
      <c r="W24" s="637">
        <f t="shared" si="71"/>
        <v>12204.393800034622</v>
      </c>
      <c r="X24" s="637">
        <f t="shared" si="72"/>
        <v>20307.494378341627</v>
      </c>
      <c r="Y24" s="637">
        <f t="shared" si="73"/>
        <v>16961.981249864093</v>
      </c>
      <c r="Z24" s="643">
        <f t="shared" si="74"/>
        <v>97986.111280514218</v>
      </c>
      <c r="AB24" s="644">
        <f t="shared" si="11"/>
        <v>48923.960502759997</v>
      </c>
      <c r="AC24" s="645">
        <f t="shared" si="12"/>
        <v>48512.241852273866</v>
      </c>
      <c r="AD24" s="644">
        <f t="shared" si="75"/>
        <v>0</v>
      </c>
      <c r="AE24" s="645">
        <f t="shared" si="76"/>
        <v>48923.960502759997</v>
      </c>
      <c r="AF24" s="646">
        <f t="shared" si="77"/>
        <v>-606.44925580935171</v>
      </c>
      <c r="AG24" s="647">
        <f t="shared" si="78"/>
        <v>48317.511246950642</v>
      </c>
      <c r="AH24" s="644">
        <f t="shared" si="13"/>
        <v>-194.73060532322415</v>
      </c>
      <c r="AI24" s="645">
        <f t="shared" si="14"/>
        <v>0</v>
      </c>
      <c r="AJ24" s="646">
        <f t="shared" si="79"/>
        <v>0</v>
      </c>
      <c r="AK24" s="647">
        <f t="shared" si="15"/>
        <v>48512.241852273866</v>
      </c>
      <c r="AL24" s="644">
        <f t="shared" si="80"/>
        <v>0</v>
      </c>
      <c r="AM24" s="645">
        <f t="shared" si="81"/>
        <v>0</v>
      </c>
      <c r="AN24" s="646">
        <f t="shared" si="82"/>
        <v>0</v>
      </c>
      <c r="AO24" s="647">
        <f t="shared" si="16"/>
        <v>48512.241852273866</v>
      </c>
      <c r="AP24" s="644">
        <f t="shared" si="83"/>
        <v>0</v>
      </c>
      <c r="AQ24" s="645">
        <f t="shared" si="84"/>
        <v>0</v>
      </c>
      <c r="AR24" s="646">
        <f t="shared" si="85"/>
        <v>0</v>
      </c>
      <c r="AS24" s="647">
        <f t="shared" si="17"/>
        <v>48512.241852273866</v>
      </c>
      <c r="AT24" s="644">
        <f t="shared" si="86"/>
        <v>0</v>
      </c>
      <c r="AU24" s="645">
        <f t="shared" si="87"/>
        <v>0</v>
      </c>
      <c r="AV24" s="646">
        <f t="shared" si="88"/>
        <v>0</v>
      </c>
      <c r="AW24" s="647">
        <f t="shared" si="18"/>
        <v>48512.241852273866</v>
      </c>
      <c r="AY24" s="644">
        <f t="shared" si="89"/>
        <v>12620.052178687638</v>
      </c>
      <c r="AZ24" s="645">
        <f t="shared" si="48"/>
        <v>11321.286740558937</v>
      </c>
      <c r="BA24" s="644">
        <f t="shared" si="90"/>
        <v>0</v>
      </c>
      <c r="BB24" s="645">
        <f t="shared" si="91"/>
        <v>12620.052178687638</v>
      </c>
      <c r="BC24" s="646">
        <f t="shared" si="92"/>
        <v>-90.754473084355894</v>
      </c>
      <c r="BD24" s="647">
        <f t="shared" si="93"/>
        <v>12529.297705603281</v>
      </c>
      <c r="BE24" s="644">
        <f t="shared" si="19"/>
        <v>0</v>
      </c>
      <c r="BF24" s="645">
        <f t="shared" si="20"/>
        <v>12529.297705603281</v>
      </c>
      <c r="BG24" s="646">
        <f t="shared" si="94"/>
        <v>-298.43766070647672</v>
      </c>
      <c r="BH24" s="647">
        <f t="shared" si="21"/>
        <v>12230.860044896805</v>
      </c>
      <c r="BI24" s="644">
        <f t="shared" si="95"/>
        <v>0</v>
      </c>
      <c r="BJ24" s="645">
        <f t="shared" si="96"/>
        <v>12230.860044896805</v>
      </c>
      <c r="BK24" s="646">
        <f t="shared" si="97"/>
        <v>-25.907834261763057</v>
      </c>
      <c r="BL24" s="647">
        <f t="shared" si="22"/>
        <v>12204.952210635041</v>
      </c>
      <c r="BM24" s="644">
        <f t="shared" si="98"/>
        <v>0</v>
      </c>
      <c r="BN24" s="645">
        <f t="shared" si="99"/>
        <v>12204.952210635041</v>
      </c>
      <c r="BO24" s="646">
        <f t="shared" si="100"/>
        <v>-0.55841060041928225</v>
      </c>
      <c r="BP24" s="647">
        <f t="shared" si="23"/>
        <v>12204.393800034622</v>
      </c>
      <c r="BQ24" s="644">
        <f t="shared" si="101"/>
        <v>0</v>
      </c>
      <c r="BR24" s="645">
        <f t="shared" si="102"/>
        <v>12204.393800034622</v>
      </c>
      <c r="BS24" s="646">
        <f t="shared" si="103"/>
        <v>0</v>
      </c>
      <c r="BT24" s="647">
        <f t="shared" si="24"/>
        <v>12204.393800034622</v>
      </c>
      <c r="BU24" s="662">
        <f>VLOOKUP(B24,'Afton Update'!$A$5:$AR$582,'Afton Update'!$AO$589,0)-BT24</f>
        <v>0</v>
      </c>
      <c r="BV24" s="644">
        <f t="shared" si="104"/>
        <v>20452.043708042642</v>
      </c>
      <c r="BW24" s="645">
        <f t="shared" si="25"/>
        <v>20307.494378341627</v>
      </c>
      <c r="BX24" s="644">
        <f t="shared" si="105"/>
        <v>0</v>
      </c>
      <c r="BY24" s="645">
        <f t="shared" si="106"/>
        <v>20452.043708042642</v>
      </c>
      <c r="BZ24" s="646">
        <f t="shared" si="107"/>
        <v>-179.50976206248546</v>
      </c>
      <c r="CA24" s="647">
        <f t="shared" si="108"/>
        <v>20272.533945980158</v>
      </c>
      <c r="CB24" s="644">
        <f t="shared" si="26"/>
        <v>-34.960432361469429</v>
      </c>
      <c r="CC24" s="645">
        <f t="shared" si="27"/>
        <v>0</v>
      </c>
      <c r="CD24" s="646">
        <f t="shared" si="109"/>
        <v>0</v>
      </c>
      <c r="CE24" s="647">
        <f t="shared" si="28"/>
        <v>20307.494378341627</v>
      </c>
      <c r="CF24" s="644">
        <f t="shared" si="110"/>
        <v>0</v>
      </c>
      <c r="CG24" s="645">
        <f t="shared" si="111"/>
        <v>0</v>
      </c>
      <c r="CH24" s="646">
        <f t="shared" si="112"/>
        <v>0</v>
      </c>
      <c r="CI24" s="647">
        <f t="shared" si="29"/>
        <v>20307.494378341627</v>
      </c>
      <c r="CJ24" s="644">
        <f t="shared" si="113"/>
        <v>0</v>
      </c>
      <c r="CK24" s="645">
        <f t="shared" si="114"/>
        <v>0</v>
      </c>
      <c r="CL24" s="646">
        <f t="shared" si="115"/>
        <v>0</v>
      </c>
      <c r="CM24" s="647">
        <f t="shared" si="30"/>
        <v>20307.494378341627</v>
      </c>
      <c r="CN24" s="644">
        <f t="shared" si="116"/>
        <v>0</v>
      </c>
      <c r="CO24" s="645">
        <f t="shared" si="117"/>
        <v>0</v>
      </c>
      <c r="CP24" s="646">
        <f t="shared" si="118"/>
        <v>0</v>
      </c>
      <c r="CQ24" s="647">
        <f t="shared" si="31"/>
        <v>20307.494378341627</v>
      </c>
      <c r="CS24" s="644">
        <f t="shared" si="119"/>
        <v>17150.953888420434</v>
      </c>
      <c r="CT24" s="645">
        <f t="shared" si="32"/>
        <v>16925.196909040009</v>
      </c>
      <c r="CU24" s="644">
        <f t="shared" si="120"/>
        <v>0</v>
      </c>
      <c r="CV24" s="645">
        <f t="shared" si="121"/>
        <v>17150.953888420434</v>
      </c>
      <c r="CW24" s="646">
        <f t="shared" si="122"/>
        <v>-175.63546019837179</v>
      </c>
      <c r="CX24" s="647">
        <f t="shared" si="123"/>
        <v>16975.318428222061</v>
      </c>
      <c r="CY24" s="644">
        <f t="shared" si="33"/>
        <v>0</v>
      </c>
      <c r="CZ24" s="645">
        <f t="shared" si="34"/>
        <v>16975.318428222061</v>
      </c>
      <c r="DA24" s="646">
        <f t="shared" si="124"/>
        <v>-13.325686613012143</v>
      </c>
      <c r="DB24" s="647">
        <f t="shared" si="35"/>
        <v>16961.99274160905</v>
      </c>
      <c r="DC24" s="644">
        <f t="shared" si="125"/>
        <v>0</v>
      </c>
      <c r="DD24" s="645">
        <f t="shared" si="126"/>
        <v>16961.99274160905</v>
      </c>
      <c r="DE24" s="646">
        <f t="shared" si="127"/>
        <v>-1.1491744957865119E-2</v>
      </c>
      <c r="DF24" s="647">
        <f t="shared" si="36"/>
        <v>16961.981249864093</v>
      </c>
      <c r="DG24" s="644">
        <f t="shared" si="128"/>
        <v>0</v>
      </c>
      <c r="DH24" s="645">
        <f t="shared" si="129"/>
        <v>16961.981249864093</v>
      </c>
      <c r="DI24" s="646">
        <f t="shared" si="130"/>
        <v>0</v>
      </c>
      <c r="DJ24" s="647">
        <f t="shared" si="37"/>
        <v>16961.981249864093</v>
      </c>
      <c r="DK24" s="644">
        <f t="shared" si="131"/>
        <v>0</v>
      </c>
      <c r="DL24" s="645">
        <f t="shared" si="132"/>
        <v>16961.981249864093</v>
      </c>
      <c r="DM24" s="646">
        <f t="shared" si="133"/>
        <v>0</v>
      </c>
      <c r="DN24" s="647">
        <f t="shared" si="38"/>
        <v>16961.981249864093</v>
      </c>
      <c r="DR24" s="827">
        <f t="shared" si="49"/>
        <v>97986.111280514218</v>
      </c>
      <c r="DV24" s="828">
        <f>IFERROR(VLOOKUP($B24,'Afton FY16 Final'!$A$5:$BV$587,'Afton FY16 Final'!$BV$587,0),0)</f>
        <v>105727.76225205336</v>
      </c>
      <c r="DX24" s="636">
        <f t="shared" si="39"/>
        <v>0</v>
      </c>
      <c r="DY24" s="637">
        <f t="shared" si="40"/>
        <v>0</v>
      </c>
      <c r="DZ24" s="637">
        <f t="shared" si="41"/>
        <v>0</v>
      </c>
      <c r="EA24" s="643">
        <f t="shared" si="42"/>
        <v>0</v>
      </c>
      <c r="EB24" s="637">
        <f t="shared" si="50"/>
        <v>0</v>
      </c>
      <c r="EC24" s="637">
        <f t="shared" si="51"/>
        <v>0</v>
      </c>
      <c r="ED24" s="637">
        <f t="shared" si="52"/>
        <v>0</v>
      </c>
      <c r="EE24" s="643">
        <f t="shared" si="53"/>
        <v>0</v>
      </c>
      <c r="EF24" s="637">
        <f t="shared" si="54"/>
        <v>0</v>
      </c>
      <c r="EG24" s="637">
        <f t="shared" si="55"/>
        <v>0</v>
      </c>
      <c r="EH24" s="637">
        <f t="shared" si="56"/>
        <v>0</v>
      </c>
      <c r="EI24" s="643">
        <f t="shared" si="57"/>
        <v>0</v>
      </c>
      <c r="EJ24" s="637">
        <f t="shared" si="58"/>
        <v>0</v>
      </c>
      <c r="EK24" s="637">
        <f t="shared" si="59"/>
        <v>0</v>
      </c>
      <c r="EL24" s="637">
        <f t="shared" si="60"/>
        <v>0</v>
      </c>
      <c r="EM24" s="643">
        <f t="shared" si="61"/>
        <v>0</v>
      </c>
      <c r="EN24" s="637">
        <f t="shared" si="62"/>
        <v>0</v>
      </c>
      <c r="EO24" s="637">
        <f t="shared" si="63"/>
        <v>0</v>
      </c>
      <c r="EP24" s="637">
        <f t="shared" si="64"/>
        <v>0</v>
      </c>
      <c r="EQ24" s="643">
        <f t="shared" si="65"/>
        <v>0</v>
      </c>
      <c r="ER24" s="637">
        <f t="shared" si="66"/>
        <v>0</v>
      </c>
      <c r="ES24" s="637">
        <f t="shared" si="67"/>
        <v>0</v>
      </c>
      <c r="ET24" s="637">
        <f t="shared" si="68"/>
        <v>0</v>
      </c>
      <c r="EU24" s="643">
        <f t="shared" si="43"/>
        <v>0</v>
      </c>
      <c r="EV24" s="643">
        <f t="shared" si="44"/>
        <v>0</v>
      </c>
      <c r="EX24" s="829">
        <f t="shared" si="45"/>
        <v>0</v>
      </c>
      <c r="EY24" s="638">
        <f t="shared" si="46"/>
        <v>97986.111280514218</v>
      </c>
      <c r="FC24" s="830" t="str">
        <f t="shared" si="69"/>
        <v>Y</v>
      </c>
      <c r="FE24" s="830" t="str">
        <f>IFERROR(VLOOKUP($B24,'Historical Conc Grant Elig'!$B$3:$J$707,'HH &amp; SI'!FE$2,0),"N")</f>
        <v>Y</v>
      </c>
      <c r="FF24" s="830" t="str">
        <f>IFERROR(VLOOKUP($B24,'Historical Conc Grant Elig'!$B$3:$J$707,'HH &amp; SI'!FF$2,0),"N")</f>
        <v>N</v>
      </c>
      <c r="FG24" s="830" t="str">
        <f>IFERROR(VLOOKUP($B24,'Historical Conc Grant Elig'!$B$3:$J$707,'HH &amp; SI'!FG$2,0),"N")</f>
        <v>N</v>
      </c>
      <c r="FH24" s="830" t="str">
        <f>IFERROR(VLOOKUP($B24,'Historical Conc Grant Elig'!$B$3:$J$707,'HH &amp; SI'!FH$2,0),"N")</f>
        <v>Y</v>
      </c>
      <c r="FI24" s="830" t="str">
        <f>IFERROR(VLOOKUP($B24,'Historical Conc Grant Elig'!$B$3:$J$707,'HH &amp; SI'!FI$2,0),"N")</f>
        <v>Y</v>
      </c>
      <c r="FJ24" s="830" t="str">
        <f>IFERROR(VLOOKUP($B24,'Historical Conc Grant Elig'!$B$3:$J$707,'HH &amp; SI'!FJ$2,0),"N")</f>
        <v>Y</v>
      </c>
      <c r="FK24" s="830" t="str">
        <f>IFERROR(VLOOKUP($B24,'Historical Conc Grant Elig'!$B$3:$J$707,'HH &amp; SI'!FK$2,0),"N")</f>
        <v>Y</v>
      </c>
      <c r="FL24" s="957" t="str">
        <f>IFERROR(VLOOKUP($B24,'Historical Conc Grant Elig'!$B$3:$J$707,'HH &amp; SI'!FL$2,0),"N")</f>
        <v>Y</v>
      </c>
    </row>
    <row r="25" spans="2:168" x14ac:dyDescent="0.25">
      <c r="B25" s="634">
        <v>20227000</v>
      </c>
      <c r="C25" s="635" t="str">
        <f>VLOOKUP($B25,'Afton Update'!$A$5:$CR$582,'Afton Update'!D$589,0)</f>
        <v>Douglas Unified District</v>
      </c>
      <c r="D25" s="636">
        <f>IFERROR(VLOOKUP($B25,'Afton FY16 Final'!$A$5:$BV$587,'Afton FY16 Final'!AQ$587,0),0)</f>
        <v>795772.06266307202</v>
      </c>
      <c r="E25" s="637">
        <f>IFERROR(VLOOKUP($B25,'Afton FY16 Final'!$A$5:$BV$587,'Afton FY16 Final'!AR$587,0),0)</f>
        <v>191213.85346008404</v>
      </c>
      <c r="F25" s="637">
        <f>IFERROR(VLOOKUP($B25,'Afton FY16 Final'!$A$5:$BV$587,'Afton FY16 Final'!AS$587,0),0)</f>
        <v>495462.40084998676</v>
      </c>
      <c r="G25" s="637">
        <f>IFERROR(VLOOKUP($B25,'Afton FY16 Final'!$A$5:$BV$587,'Afton FY16 Final'!AT$587,0),0)</f>
        <v>555878.00403915194</v>
      </c>
      <c r="H25" s="638">
        <f>IFERROR(VLOOKUP($B25,'Afton FY16 Final'!$A$5:$BV$587,'Afton FY16 Final'!AU$587,0),0)</f>
        <v>2038326.3210122949</v>
      </c>
      <c r="I25" s="639" t="str">
        <f>VLOOKUP($B25,'Afton Update'!$A$5:$CR$582,'Afton Update'!BT$589,0)</f>
        <v>Y</v>
      </c>
      <c r="J25" s="640" t="str">
        <f>VLOOKUP($B25,'Afton Update'!$A$5:$CR$582,'Afton Update'!BU$589,0)</f>
        <v>Y</v>
      </c>
      <c r="K25" s="640" t="str">
        <f>VLOOKUP($B25,'Afton Update'!$A$5:$CR$582,'Afton Update'!BV$589,0)</f>
        <v>Y</v>
      </c>
      <c r="L25" s="641" t="str">
        <f>VLOOKUP($B25,'Afton Update'!$A$5:$CR$582,'Afton Update'!BW$589,0)</f>
        <v>Y</v>
      </c>
      <c r="N25" s="642">
        <f>VLOOKUP($B25,'Afton Update'!$A$5:$CR$582,'Afton Update'!CB$589,0)</f>
        <v>0.95</v>
      </c>
      <c r="P25" s="636">
        <f>VLOOKUP($B25,'Afton Update'!$A$5:$CR$582,'Afton Update'!AH$589,0)</f>
        <v>762399.41719057027</v>
      </c>
      <c r="Q25" s="637">
        <f>VLOOKUP($B25,'Afton Update'!$A$5:$CR$582,'Afton Update'!AI$589,0)</f>
        <v>182684.14262270444</v>
      </c>
      <c r="R25" s="637">
        <f>VLOOKUP($B25,'Afton Update'!$A$5:$CR$582,'Afton Update'!AJ$589,0)</f>
        <v>474039.66066088458</v>
      </c>
      <c r="S25" s="637">
        <f>VLOOKUP($B25,'Afton Update'!$A$5:$CR$582,'Afton Update'!AK$589,0)</f>
        <v>527693.9845635267</v>
      </c>
      <c r="T25" s="643">
        <f t="shared" si="47"/>
        <v>1946817.205037686</v>
      </c>
      <c r="V25" s="636">
        <f t="shared" si="70"/>
        <v>755983.45952991839</v>
      </c>
      <c r="W25" s="637">
        <f t="shared" si="71"/>
        <v>181653.16078707983</v>
      </c>
      <c r="X25" s="637">
        <f t="shared" si="72"/>
        <v>470689.28080748738</v>
      </c>
      <c r="Y25" s="637">
        <f t="shared" si="73"/>
        <v>528084.10383719427</v>
      </c>
      <c r="Z25" s="643">
        <f t="shared" si="74"/>
        <v>1936410.0049616797</v>
      </c>
      <c r="AB25" s="644">
        <f t="shared" si="11"/>
        <v>762399.41719057027</v>
      </c>
      <c r="AC25" s="645">
        <f t="shared" si="12"/>
        <v>755983.45952991839</v>
      </c>
      <c r="AD25" s="644">
        <f t="shared" si="75"/>
        <v>0</v>
      </c>
      <c r="AE25" s="645">
        <f t="shared" si="76"/>
        <v>762399.41719057027</v>
      </c>
      <c r="AF25" s="646">
        <f t="shared" si="77"/>
        <v>-9450.5137039880792</v>
      </c>
      <c r="AG25" s="647">
        <f t="shared" si="78"/>
        <v>752948.90348658222</v>
      </c>
      <c r="AH25" s="644">
        <f t="shared" si="13"/>
        <v>-3034.5560433361679</v>
      </c>
      <c r="AI25" s="645">
        <f t="shared" si="14"/>
        <v>0</v>
      </c>
      <c r="AJ25" s="646">
        <f t="shared" si="79"/>
        <v>0</v>
      </c>
      <c r="AK25" s="647">
        <f t="shared" si="15"/>
        <v>755983.45952991839</v>
      </c>
      <c r="AL25" s="644">
        <f t="shared" si="80"/>
        <v>0</v>
      </c>
      <c r="AM25" s="645">
        <f t="shared" si="81"/>
        <v>0</v>
      </c>
      <c r="AN25" s="646">
        <f t="shared" si="82"/>
        <v>0</v>
      </c>
      <c r="AO25" s="647">
        <f t="shared" si="16"/>
        <v>755983.45952991839</v>
      </c>
      <c r="AP25" s="644">
        <f t="shared" si="83"/>
        <v>0</v>
      </c>
      <c r="AQ25" s="645">
        <f t="shared" si="84"/>
        <v>0</v>
      </c>
      <c r="AR25" s="646">
        <f t="shared" si="85"/>
        <v>0</v>
      </c>
      <c r="AS25" s="647">
        <f t="shared" si="17"/>
        <v>755983.45952991839</v>
      </c>
      <c r="AT25" s="644">
        <f t="shared" si="86"/>
        <v>0</v>
      </c>
      <c r="AU25" s="645">
        <f t="shared" si="87"/>
        <v>0</v>
      </c>
      <c r="AV25" s="646">
        <f t="shared" si="88"/>
        <v>0</v>
      </c>
      <c r="AW25" s="647">
        <f t="shared" si="18"/>
        <v>755983.45952991839</v>
      </c>
      <c r="AY25" s="644">
        <f t="shared" si="89"/>
        <v>182684.14262270444</v>
      </c>
      <c r="AZ25" s="645">
        <f t="shared" si="48"/>
        <v>181653.16078707983</v>
      </c>
      <c r="BA25" s="644">
        <f t="shared" si="90"/>
        <v>0</v>
      </c>
      <c r="BB25" s="645">
        <f t="shared" si="91"/>
        <v>182684.14262270444</v>
      </c>
      <c r="BC25" s="646">
        <f t="shared" si="92"/>
        <v>-1313.7349093207124</v>
      </c>
      <c r="BD25" s="647">
        <f t="shared" si="93"/>
        <v>181370.40771338373</v>
      </c>
      <c r="BE25" s="644">
        <f t="shared" si="19"/>
        <v>-282.75307369610528</v>
      </c>
      <c r="BF25" s="645">
        <f t="shared" si="20"/>
        <v>0</v>
      </c>
      <c r="BG25" s="646">
        <f t="shared" si="94"/>
        <v>0</v>
      </c>
      <c r="BH25" s="647">
        <f t="shared" si="21"/>
        <v>181653.16078707983</v>
      </c>
      <c r="BI25" s="644">
        <f t="shared" si="95"/>
        <v>0</v>
      </c>
      <c r="BJ25" s="645">
        <f t="shared" si="96"/>
        <v>0</v>
      </c>
      <c r="BK25" s="646">
        <f t="shared" si="97"/>
        <v>0</v>
      </c>
      <c r="BL25" s="647">
        <f t="shared" si="22"/>
        <v>181653.16078707983</v>
      </c>
      <c r="BM25" s="644">
        <f t="shared" si="98"/>
        <v>0</v>
      </c>
      <c r="BN25" s="645">
        <f t="shared" si="99"/>
        <v>0</v>
      </c>
      <c r="BO25" s="646">
        <f t="shared" si="100"/>
        <v>0</v>
      </c>
      <c r="BP25" s="647">
        <f t="shared" si="23"/>
        <v>181653.16078707983</v>
      </c>
      <c r="BQ25" s="644">
        <f t="shared" si="101"/>
        <v>0</v>
      </c>
      <c r="BR25" s="645">
        <f t="shared" si="102"/>
        <v>0</v>
      </c>
      <c r="BS25" s="646">
        <f t="shared" si="103"/>
        <v>0</v>
      </c>
      <c r="BT25" s="647">
        <f t="shared" si="24"/>
        <v>181653.16078707983</v>
      </c>
      <c r="BU25" s="662">
        <f>VLOOKUP(B25,'Afton Update'!$A$5:$AR$582,'Afton Update'!$AO$589,0)-BT25</f>
        <v>0</v>
      </c>
      <c r="BV25" s="644">
        <f t="shared" si="104"/>
        <v>474039.66066088458</v>
      </c>
      <c r="BW25" s="645">
        <f t="shared" si="25"/>
        <v>470689.28080748738</v>
      </c>
      <c r="BX25" s="644">
        <f t="shared" si="105"/>
        <v>0</v>
      </c>
      <c r="BY25" s="645">
        <f t="shared" si="106"/>
        <v>474039.66066088458</v>
      </c>
      <c r="BZ25" s="646">
        <f t="shared" si="107"/>
        <v>-4160.6965009542664</v>
      </c>
      <c r="CA25" s="647">
        <f t="shared" si="108"/>
        <v>469878.9641599303</v>
      </c>
      <c r="CB25" s="644">
        <f t="shared" si="26"/>
        <v>-810.31664755707607</v>
      </c>
      <c r="CC25" s="645">
        <f t="shared" si="27"/>
        <v>0</v>
      </c>
      <c r="CD25" s="646">
        <f t="shared" si="109"/>
        <v>0</v>
      </c>
      <c r="CE25" s="647">
        <f t="shared" si="28"/>
        <v>470689.28080748738</v>
      </c>
      <c r="CF25" s="644">
        <f t="shared" si="110"/>
        <v>0</v>
      </c>
      <c r="CG25" s="645">
        <f t="shared" si="111"/>
        <v>0</v>
      </c>
      <c r="CH25" s="646">
        <f t="shared" si="112"/>
        <v>0</v>
      </c>
      <c r="CI25" s="647">
        <f t="shared" si="29"/>
        <v>470689.28080748738</v>
      </c>
      <c r="CJ25" s="644">
        <f t="shared" si="113"/>
        <v>0</v>
      </c>
      <c r="CK25" s="645">
        <f t="shared" si="114"/>
        <v>0</v>
      </c>
      <c r="CL25" s="646">
        <f t="shared" si="115"/>
        <v>0</v>
      </c>
      <c r="CM25" s="647">
        <f t="shared" si="30"/>
        <v>470689.28080748738</v>
      </c>
      <c r="CN25" s="644">
        <f t="shared" si="116"/>
        <v>0</v>
      </c>
      <c r="CO25" s="645">
        <f t="shared" si="117"/>
        <v>0</v>
      </c>
      <c r="CP25" s="646">
        <f t="shared" si="118"/>
        <v>0</v>
      </c>
      <c r="CQ25" s="647">
        <f t="shared" si="31"/>
        <v>470689.28080748738</v>
      </c>
      <c r="CS25" s="644">
        <f t="shared" si="119"/>
        <v>527693.9845635267</v>
      </c>
      <c r="CT25" s="645">
        <f t="shared" si="32"/>
        <v>528084.10383719427</v>
      </c>
      <c r="CU25" s="644">
        <f t="shared" si="120"/>
        <v>390.119273667573</v>
      </c>
      <c r="CV25" s="645">
        <f t="shared" si="121"/>
        <v>0</v>
      </c>
      <c r="CW25" s="646">
        <f t="shared" si="122"/>
        <v>0</v>
      </c>
      <c r="CX25" s="647">
        <f t="shared" si="123"/>
        <v>528084.10383719427</v>
      </c>
      <c r="CY25" s="644">
        <f t="shared" si="33"/>
        <v>0</v>
      </c>
      <c r="CZ25" s="645">
        <f t="shared" si="34"/>
        <v>0</v>
      </c>
      <c r="DA25" s="646">
        <f t="shared" si="124"/>
        <v>0</v>
      </c>
      <c r="DB25" s="647">
        <f t="shared" si="35"/>
        <v>528084.10383719427</v>
      </c>
      <c r="DC25" s="644">
        <f t="shared" si="125"/>
        <v>0</v>
      </c>
      <c r="DD25" s="645">
        <f t="shared" si="126"/>
        <v>0</v>
      </c>
      <c r="DE25" s="646">
        <f t="shared" si="127"/>
        <v>0</v>
      </c>
      <c r="DF25" s="647">
        <f t="shared" si="36"/>
        <v>528084.10383719427</v>
      </c>
      <c r="DG25" s="644">
        <f t="shared" si="128"/>
        <v>0</v>
      </c>
      <c r="DH25" s="645">
        <f t="shared" si="129"/>
        <v>0</v>
      </c>
      <c r="DI25" s="646">
        <f t="shared" si="130"/>
        <v>0</v>
      </c>
      <c r="DJ25" s="647">
        <f t="shared" si="37"/>
        <v>528084.10383719427</v>
      </c>
      <c r="DK25" s="644">
        <f t="shared" si="131"/>
        <v>0</v>
      </c>
      <c r="DL25" s="645">
        <f t="shared" si="132"/>
        <v>0</v>
      </c>
      <c r="DM25" s="646">
        <f t="shared" si="133"/>
        <v>0</v>
      </c>
      <c r="DN25" s="647">
        <f t="shared" si="38"/>
        <v>528084.10383719427</v>
      </c>
      <c r="DR25" s="827">
        <f t="shared" si="49"/>
        <v>1936410.0049616797</v>
      </c>
      <c r="DV25" s="828">
        <f>IFERROR(VLOOKUP($B25,'Afton FY16 Final'!$A$5:$BV$587,'Afton FY16 Final'!$BV$587,0),0)</f>
        <v>1998191.6760891275</v>
      </c>
      <c r="DX25" s="636">
        <f t="shared" si="39"/>
        <v>0</v>
      </c>
      <c r="DY25" s="637">
        <f t="shared" si="40"/>
        <v>0</v>
      </c>
      <c r="DZ25" s="637">
        <f t="shared" si="41"/>
        <v>0</v>
      </c>
      <c r="EA25" s="643">
        <f t="shared" si="42"/>
        <v>0</v>
      </c>
      <c r="EB25" s="637">
        <f t="shared" si="50"/>
        <v>0</v>
      </c>
      <c r="EC25" s="637">
        <f t="shared" si="51"/>
        <v>0</v>
      </c>
      <c r="ED25" s="637">
        <f t="shared" si="52"/>
        <v>0</v>
      </c>
      <c r="EE25" s="643">
        <f t="shared" si="53"/>
        <v>0</v>
      </c>
      <c r="EF25" s="637">
        <f t="shared" si="54"/>
        <v>0</v>
      </c>
      <c r="EG25" s="637">
        <f t="shared" si="55"/>
        <v>0</v>
      </c>
      <c r="EH25" s="637">
        <f t="shared" si="56"/>
        <v>0</v>
      </c>
      <c r="EI25" s="643">
        <f t="shared" si="57"/>
        <v>0</v>
      </c>
      <c r="EJ25" s="637">
        <f t="shared" si="58"/>
        <v>0</v>
      </c>
      <c r="EK25" s="637">
        <f t="shared" si="59"/>
        <v>0</v>
      </c>
      <c r="EL25" s="637">
        <f t="shared" si="60"/>
        <v>0</v>
      </c>
      <c r="EM25" s="643">
        <f t="shared" si="61"/>
        <v>0</v>
      </c>
      <c r="EN25" s="637">
        <f t="shared" si="62"/>
        <v>0</v>
      </c>
      <c r="EO25" s="637">
        <f t="shared" si="63"/>
        <v>0</v>
      </c>
      <c r="EP25" s="637">
        <f t="shared" si="64"/>
        <v>0</v>
      </c>
      <c r="EQ25" s="643">
        <f t="shared" si="65"/>
        <v>0</v>
      </c>
      <c r="ER25" s="637">
        <f t="shared" si="66"/>
        <v>0</v>
      </c>
      <c r="ES25" s="637">
        <f t="shared" si="67"/>
        <v>0</v>
      </c>
      <c r="ET25" s="637">
        <f t="shared" si="68"/>
        <v>0</v>
      </c>
      <c r="EU25" s="643">
        <f t="shared" si="43"/>
        <v>0</v>
      </c>
      <c r="EV25" s="643">
        <f t="shared" si="44"/>
        <v>0</v>
      </c>
      <c r="EX25" s="829">
        <f t="shared" si="45"/>
        <v>0</v>
      </c>
      <c r="EY25" s="638">
        <f t="shared" si="46"/>
        <v>1936410.0049616797</v>
      </c>
      <c r="FC25" s="830" t="str">
        <f t="shared" si="69"/>
        <v>Y</v>
      </c>
      <c r="FE25" s="830" t="str">
        <f>IFERROR(VLOOKUP($B25,'Historical Conc Grant Elig'!$B$3:$J$707,'HH &amp; SI'!FE$2,0),"N")</f>
        <v>Y</v>
      </c>
      <c r="FF25" s="830" t="str">
        <f>IFERROR(VLOOKUP($B25,'Historical Conc Grant Elig'!$B$3:$J$707,'HH &amp; SI'!FF$2,0),"N")</f>
        <v>Y</v>
      </c>
      <c r="FG25" s="830" t="str">
        <f>IFERROR(VLOOKUP($B25,'Historical Conc Grant Elig'!$B$3:$J$707,'HH &amp; SI'!FG$2,0),"N")</f>
        <v>Y</v>
      </c>
      <c r="FH25" s="830" t="str">
        <f>IFERROR(VLOOKUP($B25,'Historical Conc Grant Elig'!$B$3:$J$707,'HH &amp; SI'!FH$2,0),"N")</f>
        <v>Y</v>
      </c>
      <c r="FI25" s="830" t="str">
        <f>IFERROR(VLOOKUP($B25,'Historical Conc Grant Elig'!$B$3:$J$707,'HH &amp; SI'!FI$2,0),"N")</f>
        <v>Y</v>
      </c>
      <c r="FJ25" s="830" t="str">
        <f>IFERROR(VLOOKUP($B25,'Historical Conc Grant Elig'!$B$3:$J$707,'HH &amp; SI'!FJ$2,0),"N")</f>
        <v>Y</v>
      </c>
      <c r="FK25" s="830" t="str">
        <f>IFERROR(VLOOKUP($B25,'Historical Conc Grant Elig'!$B$3:$J$707,'HH &amp; SI'!FK$2,0),"N")</f>
        <v>Y</v>
      </c>
      <c r="FL25" s="957" t="str">
        <f>IFERROR(VLOOKUP($B25,'Historical Conc Grant Elig'!$B$3:$J$707,'HH &amp; SI'!FL$2,0),"N")</f>
        <v>Y</v>
      </c>
    </row>
    <row r="26" spans="2:168" x14ac:dyDescent="0.25">
      <c r="B26" s="634">
        <v>20268000</v>
      </c>
      <c r="C26" s="635" t="str">
        <f>VLOOKUP($B26,'Afton Update'!$A$5:$CR$582,'Afton Update'!D$589,0)</f>
        <v>Sierra Vista Unified District</v>
      </c>
      <c r="D26" s="636">
        <f>IFERROR(VLOOKUP($B26,'Afton FY16 Final'!$A$5:$BV$587,'Afton FY16 Final'!AQ$587,0),0)</f>
        <v>550288.67501467955</v>
      </c>
      <c r="E26" s="637">
        <f>IFERROR(VLOOKUP($B26,'Afton FY16 Final'!$A$5:$BV$587,'Afton FY16 Final'!AR$587,0),0)</f>
        <v>128202.86151690055</v>
      </c>
      <c r="F26" s="637">
        <f>IFERROR(VLOOKUP($B26,'Afton FY16 Final'!$A$5:$BV$587,'Afton FY16 Final'!AS$587,0),0)</f>
        <v>189798.24309887318</v>
      </c>
      <c r="G26" s="637">
        <f>IFERROR(VLOOKUP($B26,'Afton FY16 Final'!$A$5:$BV$587,'Afton FY16 Final'!AT$587,0),0)</f>
        <v>136984.75516441982</v>
      </c>
      <c r="H26" s="638">
        <f>IFERROR(VLOOKUP($B26,'Afton FY16 Final'!$A$5:$BV$587,'Afton FY16 Final'!AU$587,0),0)</f>
        <v>1005274.5347948731</v>
      </c>
      <c r="I26" s="639" t="str">
        <f>VLOOKUP($B26,'Afton Update'!$A$5:$CR$582,'Afton Update'!BT$589,0)</f>
        <v>Y</v>
      </c>
      <c r="J26" s="640" t="str">
        <f>VLOOKUP($B26,'Afton Update'!$A$5:$CR$582,'Afton Update'!BU$589,0)</f>
        <v>Y</v>
      </c>
      <c r="K26" s="640" t="str">
        <f>VLOOKUP($B26,'Afton Update'!$A$5:$CR$582,'Afton Update'!BV$589,0)</f>
        <v>Y</v>
      </c>
      <c r="L26" s="641" t="str">
        <f>VLOOKUP($B26,'Afton Update'!$A$5:$CR$582,'Afton Update'!BW$589,0)</f>
        <v>Y</v>
      </c>
      <c r="N26" s="642">
        <f>VLOOKUP($B26,'Afton Update'!$A$5:$CR$582,'Afton Update'!CB$589,0)</f>
        <v>0.9</v>
      </c>
      <c r="P26" s="636">
        <f>VLOOKUP($B26,'Afton Update'!$A$5:$CR$582,'Afton Update'!AH$589,0)</f>
        <v>578696.85756378307</v>
      </c>
      <c r="Q26" s="637">
        <f>VLOOKUP($B26,'Afton Update'!$A$5:$CR$582,'Afton Update'!AI$589,0)</f>
        <v>138886.33467052592</v>
      </c>
      <c r="R26" s="637">
        <f>VLOOKUP($B26,'Afton Update'!$A$5:$CR$582,'Afton Update'!AJ$589,0)</f>
        <v>219893.90736199613</v>
      </c>
      <c r="S26" s="637">
        <f>VLOOKUP($B26,'Afton Update'!$A$5:$CR$582,'Afton Update'!AK$589,0)</f>
        <v>170588.84753960342</v>
      </c>
      <c r="T26" s="643">
        <f t="shared" si="47"/>
        <v>1108065.9471359085</v>
      </c>
      <c r="V26" s="636">
        <f t="shared" si="70"/>
        <v>570803.05681551073</v>
      </c>
      <c r="W26" s="637">
        <f t="shared" si="71"/>
        <v>134311.92658814869</v>
      </c>
      <c r="X26" s="637">
        <f t="shared" si="72"/>
        <v>217894.0581288687</v>
      </c>
      <c r="Y26" s="637">
        <f t="shared" si="73"/>
        <v>168709.26551532841</v>
      </c>
      <c r="Z26" s="643">
        <f t="shared" si="74"/>
        <v>1091718.3070478565</v>
      </c>
      <c r="AB26" s="644">
        <f t="shared" si="11"/>
        <v>578696.85756378307</v>
      </c>
      <c r="AC26" s="645">
        <f t="shared" si="12"/>
        <v>495259.80751321162</v>
      </c>
      <c r="AD26" s="644">
        <f t="shared" si="75"/>
        <v>0</v>
      </c>
      <c r="AE26" s="645">
        <f t="shared" si="76"/>
        <v>578696.85756378307</v>
      </c>
      <c r="AF26" s="646">
        <f t="shared" si="77"/>
        <v>-7173.3824286152822</v>
      </c>
      <c r="AG26" s="647">
        <f t="shared" si="78"/>
        <v>571523.47513516783</v>
      </c>
      <c r="AH26" s="644">
        <f t="shared" si="13"/>
        <v>0</v>
      </c>
      <c r="AI26" s="645">
        <f t="shared" si="14"/>
        <v>571523.47513516783</v>
      </c>
      <c r="AJ26" s="646">
        <f t="shared" si="79"/>
        <v>-719.95934335845641</v>
      </c>
      <c r="AK26" s="647">
        <f t="shared" si="15"/>
        <v>570803.51579180942</v>
      </c>
      <c r="AL26" s="644">
        <f t="shared" si="80"/>
        <v>0</v>
      </c>
      <c r="AM26" s="645">
        <f t="shared" si="81"/>
        <v>570803.51579180942</v>
      </c>
      <c r="AN26" s="646">
        <f t="shared" si="82"/>
        <v>-0.45897629874124335</v>
      </c>
      <c r="AO26" s="647">
        <f t="shared" si="16"/>
        <v>570803.05681551073</v>
      </c>
      <c r="AP26" s="644">
        <f t="shared" si="83"/>
        <v>0</v>
      </c>
      <c r="AQ26" s="645">
        <f t="shared" si="84"/>
        <v>570803.05681551073</v>
      </c>
      <c r="AR26" s="646">
        <f t="shared" si="85"/>
        <v>0</v>
      </c>
      <c r="AS26" s="647">
        <f t="shared" si="17"/>
        <v>570803.05681551073</v>
      </c>
      <c r="AT26" s="644">
        <f t="shared" si="86"/>
        <v>0</v>
      </c>
      <c r="AU26" s="645">
        <f t="shared" si="87"/>
        <v>570803.05681551073</v>
      </c>
      <c r="AV26" s="646">
        <f t="shared" si="88"/>
        <v>0</v>
      </c>
      <c r="AW26" s="647">
        <f t="shared" si="18"/>
        <v>570803.05681551073</v>
      </c>
      <c r="AY26" s="644">
        <f t="shared" si="89"/>
        <v>138886.33467052592</v>
      </c>
      <c r="AZ26" s="645">
        <f t="shared" si="48"/>
        <v>115382.57536521049</v>
      </c>
      <c r="BA26" s="644">
        <f t="shared" si="90"/>
        <v>0</v>
      </c>
      <c r="BB26" s="645">
        <f t="shared" si="91"/>
        <v>138886.33467052592</v>
      </c>
      <c r="BC26" s="646">
        <f t="shared" si="92"/>
        <v>-998.77210832196727</v>
      </c>
      <c r="BD26" s="647">
        <f t="shared" si="93"/>
        <v>137887.56256220394</v>
      </c>
      <c r="BE26" s="644">
        <f t="shared" si="19"/>
        <v>0</v>
      </c>
      <c r="BF26" s="645">
        <f t="shared" si="20"/>
        <v>137887.56256220394</v>
      </c>
      <c r="BG26" s="646">
        <f t="shared" si="94"/>
        <v>-3284.3693699750506</v>
      </c>
      <c r="BH26" s="647">
        <f t="shared" si="21"/>
        <v>134603.19319222888</v>
      </c>
      <c r="BI26" s="644">
        <f t="shared" si="95"/>
        <v>0</v>
      </c>
      <c r="BJ26" s="645">
        <f t="shared" si="96"/>
        <v>134603.19319222888</v>
      </c>
      <c r="BK26" s="646">
        <f t="shared" si="97"/>
        <v>-285.12117770355553</v>
      </c>
      <c r="BL26" s="647">
        <f t="shared" si="22"/>
        <v>134318.07201452533</v>
      </c>
      <c r="BM26" s="644">
        <f t="shared" si="98"/>
        <v>0</v>
      </c>
      <c r="BN26" s="645">
        <f t="shared" si="99"/>
        <v>134318.07201452533</v>
      </c>
      <c r="BO26" s="646">
        <f t="shared" si="100"/>
        <v>-6.1454263766337913</v>
      </c>
      <c r="BP26" s="647">
        <f t="shared" si="23"/>
        <v>134311.92658814869</v>
      </c>
      <c r="BQ26" s="644">
        <f t="shared" si="101"/>
        <v>0</v>
      </c>
      <c r="BR26" s="645">
        <f t="shared" si="102"/>
        <v>134311.92658814869</v>
      </c>
      <c r="BS26" s="646">
        <f t="shared" si="103"/>
        <v>0</v>
      </c>
      <c r="BT26" s="647">
        <f t="shared" si="24"/>
        <v>134311.92658814869</v>
      </c>
      <c r="BU26" s="662">
        <f>VLOOKUP(B26,'Afton Update'!$A$5:$AR$582,'Afton Update'!$AO$589,0)-BT26</f>
        <v>0</v>
      </c>
      <c r="BV26" s="644">
        <f t="shared" si="104"/>
        <v>219893.90736199613</v>
      </c>
      <c r="BW26" s="645">
        <f t="shared" si="25"/>
        <v>170818.41878898587</v>
      </c>
      <c r="BX26" s="644">
        <f t="shared" si="105"/>
        <v>0</v>
      </c>
      <c r="BY26" s="645">
        <f t="shared" si="106"/>
        <v>219893.90736199613</v>
      </c>
      <c r="BZ26" s="646">
        <f t="shared" si="107"/>
        <v>-1930.0322037752924</v>
      </c>
      <c r="CA26" s="647">
        <f t="shared" si="108"/>
        <v>217963.87515822082</v>
      </c>
      <c r="CB26" s="644">
        <f t="shared" si="26"/>
        <v>0</v>
      </c>
      <c r="CC26" s="645">
        <f t="shared" si="27"/>
        <v>217963.87515822082</v>
      </c>
      <c r="CD26" s="646">
        <f t="shared" si="109"/>
        <v>-69.817029352119391</v>
      </c>
      <c r="CE26" s="647">
        <f t="shared" si="28"/>
        <v>217894.0581288687</v>
      </c>
      <c r="CF26" s="644">
        <f t="shared" si="110"/>
        <v>0</v>
      </c>
      <c r="CG26" s="645">
        <f t="shared" si="111"/>
        <v>217894.0581288687</v>
      </c>
      <c r="CH26" s="646">
        <f t="shared" si="112"/>
        <v>0</v>
      </c>
      <c r="CI26" s="647">
        <f t="shared" si="29"/>
        <v>217894.0581288687</v>
      </c>
      <c r="CJ26" s="644">
        <f t="shared" si="113"/>
        <v>0</v>
      </c>
      <c r="CK26" s="645">
        <f t="shared" si="114"/>
        <v>217894.0581288687</v>
      </c>
      <c r="CL26" s="646">
        <f t="shared" si="115"/>
        <v>0</v>
      </c>
      <c r="CM26" s="647">
        <f t="shared" si="30"/>
        <v>217894.0581288687</v>
      </c>
      <c r="CN26" s="644">
        <f t="shared" si="116"/>
        <v>0</v>
      </c>
      <c r="CO26" s="645">
        <f t="shared" si="117"/>
        <v>217894.0581288687</v>
      </c>
      <c r="CP26" s="646">
        <f t="shared" si="118"/>
        <v>0</v>
      </c>
      <c r="CQ26" s="647">
        <f t="shared" si="31"/>
        <v>217894.0581288687</v>
      </c>
      <c r="CS26" s="644">
        <f t="shared" si="119"/>
        <v>170588.84753960342</v>
      </c>
      <c r="CT26" s="645">
        <f t="shared" si="32"/>
        <v>123286.27964797785</v>
      </c>
      <c r="CU26" s="644">
        <f t="shared" si="120"/>
        <v>0</v>
      </c>
      <c r="CV26" s="645">
        <f t="shared" si="121"/>
        <v>170588.84753960342</v>
      </c>
      <c r="CW26" s="646">
        <f t="shared" si="122"/>
        <v>-1746.9262023120925</v>
      </c>
      <c r="CX26" s="647">
        <f t="shared" si="123"/>
        <v>168841.92133729134</v>
      </c>
      <c r="CY26" s="644">
        <f t="shared" si="33"/>
        <v>0</v>
      </c>
      <c r="CZ26" s="645">
        <f t="shared" si="34"/>
        <v>168841.92133729134</v>
      </c>
      <c r="DA26" s="646">
        <f t="shared" si="124"/>
        <v>-132.54152140904748</v>
      </c>
      <c r="DB26" s="647">
        <f t="shared" si="35"/>
        <v>168709.37981588228</v>
      </c>
      <c r="DC26" s="644">
        <f t="shared" si="125"/>
        <v>0</v>
      </c>
      <c r="DD26" s="645">
        <f t="shared" si="126"/>
        <v>168709.37981588228</v>
      </c>
      <c r="DE26" s="646">
        <f t="shared" si="127"/>
        <v>-0.11430055385460572</v>
      </c>
      <c r="DF26" s="647">
        <f t="shared" si="36"/>
        <v>168709.26551532841</v>
      </c>
      <c r="DG26" s="644">
        <f t="shared" si="128"/>
        <v>0</v>
      </c>
      <c r="DH26" s="645">
        <f t="shared" si="129"/>
        <v>168709.26551532841</v>
      </c>
      <c r="DI26" s="646">
        <f t="shared" si="130"/>
        <v>0</v>
      </c>
      <c r="DJ26" s="647">
        <f t="shared" si="37"/>
        <v>168709.26551532841</v>
      </c>
      <c r="DK26" s="644">
        <f t="shared" si="131"/>
        <v>0</v>
      </c>
      <c r="DL26" s="645">
        <f t="shared" si="132"/>
        <v>168709.26551532841</v>
      </c>
      <c r="DM26" s="646">
        <f t="shared" si="133"/>
        <v>0</v>
      </c>
      <c r="DN26" s="647">
        <f t="shared" si="38"/>
        <v>168709.26551532841</v>
      </c>
      <c r="DR26" s="827">
        <f t="shared" si="49"/>
        <v>1091718.3070478565</v>
      </c>
      <c r="DV26" s="828">
        <f>IFERROR(VLOOKUP($B26,'Afton FY16 Final'!$A$5:$BV$587,'Afton FY16 Final'!$BV$587,0),0)</f>
        <v>932852.37244252604</v>
      </c>
      <c r="DX26" s="636">
        <f t="shared" si="39"/>
        <v>1091718.3070478565</v>
      </c>
      <c r="DY26" s="637">
        <f t="shared" si="40"/>
        <v>158865.93460533046</v>
      </c>
      <c r="DZ26" s="637">
        <f t="shared" si="41"/>
        <v>932852.37244252604</v>
      </c>
      <c r="EA26" s="643">
        <f t="shared" si="42"/>
        <v>1033651.1284377059</v>
      </c>
      <c r="EB26" s="637">
        <f t="shared" si="50"/>
        <v>0</v>
      </c>
      <c r="EC26" s="637">
        <f t="shared" si="51"/>
        <v>1033651.1284377059</v>
      </c>
      <c r="ED26" s="637">
        <f t="shared" si="52"/>
        <v>1030568.8424896632</v>
      </c>
      <c r="EE26" s="643">
        <f t="shared" si="53"/>
        <v>1030568.8424896632</v>
      </c>
      <c r="EF26" s="637">
        <f t="shared" si="54"/>
        <v>0</v>
      </c>
      <c r="EG26" s="637">
        <f t="shared" si="55"/>
        <v>1030568.8424896632</v>
      </c>
      <c r="EH26" s="637">
        <f t="shared" si="56"/>
        <v>1030567.7792920143</v>
      </c>
      <c r="EI26" s="643">
        <f t="shared" si="57"/>
        <v>1030567.7792920143</v>
      </c>
      <c r="EJ26" s="637">
        <f t="shared" si="58"/>
        <v>0</v>
      </c>
      <c r="EK26" s="637">
        <f t="shared" si="59"/>
        <v>1030567.7792920143</v>
      </c>
      <c r="EL26" s="637">
        <f t="shared" si="60"/>
        <v>1030567.7792920129</v>
      </c>
      <c r="EM26" s="643">
        <f t="shared" si="61"/>
        <v>1030567.7792920129</v>
      </c>
      <c r="EN26" s="637">
        <f t="shared" si="62"/>
        <v>0</v>
      </c>
      <c r="EO26" s="637">
        <f t="shared" si="63"/>
        <v>1030567.7792920129</v>
      </c>
      <c r="EP26" s="637">
        <f t="shared" si="64"/>
        <v>1030567.7792920145</v>
      </c>
      <c r="EQ26" s="643">
        <f t="shared" si="65"/>
        <v>1030567.7792920145</v>
      </c>
      <c r="ER26" s="637">
        <f t="shared" si="66"/>
        <v>0</v>
      </c>
      <c r="ES26" s="637">
        <f t="shared" si="67"/>
        <v>1030567.7792920145</v>
      </c>
      <c r="ET26" s="637">
        <f t="shared" si="68"/>
        <v>1030567.7792920129</v>
      </c>
      <c r="EU26" s="643">
        <f t="shared" si="43"/>
        <v>1030567.7792920129</v>
      </c>
      <c r="EV26" s="643">
        <f t="shared" si="44"/>
        <v>0</v>
      </c>
      <c r="EX26" s="829">
        <f t="shared" si="45"/>
        <v>61150.527755843592</v>
      </c>
      <c r="EY26" s="638">
        <f t="shared" si="46"/>
        <v>1030567.7792920129</v>
      </c>
      <c r="FC26" s="830" t="str">
        <f t="shared" si="69"/>
        <v>Y</v>
      </c>
      <c r="FE26" s="830" t="str">
        <f>IFERROR(VLOOKUP($B26,'Historical Conc Grant Elig'!$B$3:$J$707,'HH &amp; SI'!FE$2,0),"N")</f>
        <v>Y</v>
      </c>
      <c r="FF26" s="830" t="str">
        <f>IFERROR(VLOOKUP($B26,'Historical Conc Grant Elig'!$B$3:$J$707,'HH &amp; SI'!FF$2,0),"N")</f>
        <v>N</v>
      </c>
      <c r="FG26" s="830" t="str">
        <f>IFERROR(VLOOKUP($B26,'Historical Conc Grant Elig'!$B$3:$J$707,'HH &amp; SI'!FG$2,0),"N")</f>
        <v>N</v>
      </c>
      <c r="FH26" s="830" t="str">
        <f>IFERROR(VLOOKUP($B26,'Historical Conc Grant Elig'!$B$3:$J$707,'HH &amp; SI'!FH$2,0),"N")</f>
        <v>N</v>
      </c>
      <c r="FI26" s="830" t="str">
        <f>IFERROR(VLOOKUP($B26,'Historical Conc Grant Elig'!$B$3:$J$707,'HH &amp; SI'!FI$2,0),"N")</f>
        <v>Y</v>
      </c>
      <c r="FJ26" s="830" t="str">
        <f>IFERROR(VLOOKUP($B26,'Historical Conc Grant Elig'!$B$3:$J$707,'HH &amp; SI'!FJ$2,0),"N")</f>
        <v>Y</v>
      </c>
      <c r="FK26" s="830" t="str">
        <f>IFERROR(VLOOKUP($B26,'Historical Conc Grant Elig'!$B$3:$J$707,'HH &amp; SI'!FK$2,0),"N")</f>
        <v>Y</v>
      </c>
      <c r="FL26" s="957" t="str">
        <f>IFERROR(VLOOKUP($B26,'Historical Conc Grant Elig'!$B$3:$J$707,'HH &amp; SI'!FL$2,0),"N")</f>
        <v>Y</v>
      </c>
    </row>
    <row r="27" spans="2:168" x14ac:dyDescent="0.25">
      <c r="B27" s="634">
        <v>20323000</v>
      </c>
      <c r="C27" s="635" t="str">
        <f>VLOOKUP($B27,'Afton Update'!$A$5:$CR$582,'Afton Update'!D$589,0)</f>
        <v>Naco Elementary District</v>
      </c>
      <c r="D27" s="636">
        <f>IFERROR(VLOOKUP($B27,'Afton FY16 Final'!$A$5:$BV$587,'Afton FY16 Final'!AQ$587,0),0)</f>
        <v>47049.503315892413</v>
      </c>
      <c r="E27" s="637">
        <f>IFERROR(VLOOKUP($B27,'Afton FY16 Final'!$A$5:$BV$587,'Afton FY16 Final'!AR$587,0),0)</f>
        <v>10979.927904839336</v>
      </c>
      <c r="F27" s="637">
        <f>IFERROR(VLOOKUP($B27,'Afton FY16 Final'!$A$5:$BV$587,'Afton FY16 Final'!AS$587,0),0)</f>
        <v>22330.57401727853</v>
      </c>
      <c r="G27" s="637">
        <f>IFERROR(VLOOKUP($B27,'Afton FY16 Final'!$A$5:$BV$587,'Afton FY16 Final'!AT$587,0),0)</f>
        <v>20277.103098405139</v>
      </c>
      <c r="H27" s="638">
        <f>IFERROR(VLOOKUP($B27,'Afton FY16 Final'!$A$5:$BV$587,'Afton FY16 Final'!AU$587,0),0)</f>
        <v>100637.10833641543</v>
      </c>
      <c r="I27" s="639" t="str">
        <f>VLOOKUP($B27,'Afton Update'!$A$5:$CR$582,'Afton Update'!BT$589,0)</f>
        <v>Y</v>
      </c>
      <c r="J27" s="640" t="str">
        <f>VLOOKUP($B27,'Afton Update'!$A$5:$CR$582,'Afton Update'!BU$589,0)</f>
        <v>Y</v>
      </c>
      <c r="K27" s="640" t="str">
        <f>VLOOKUP($B27,'Afton Update'!$A$5:$CR$582,'Afton Update'!BV$589,0)</f>
        <v>Y</v>
      </c>
      <c r="L27" s="641" t="str">
        <f>VLOOKUP($B27,'Afton Update'!$A$5:$CR$582,'Afton Update'!BW$589,0)</f>
        <v>Y</v>
      </c>
      <c r="N27" s="642">
        <f>VLOOKUP($B27,'Afton Update'!$A$5:$CR$582,'Afton Update'!CB$589,0)</f>
        <v>0.95</v>
      </c>
      <c r="P27" s="636">
        <f>VLOOKUP($B27,'Afton Update'!$A$5:$CR$582,'Afton Update'!AH$589,0)</f>
        <v>50040.732453214165</v>
      </c>
      <c r="Q27" s="637">
        <f>VLOOKUP($B27,'Afton Update'!$A$5:$CR$582,'Afton Update'!AI$589,0)</f>
        <v>12955.610448878597</v>
      </c>
      <c r="R27" s="637">
        <f>VLOOKUP($B27,'Afton Update'!$A$5:$CR$582,'Afton Update'!AJ$589,0)</f>
        <v>26088.560883138394</v>
      </c>
      <c r="S27" s="637">
        <f>VLOOKUP($B27,'Afton Update'!$A$5:$CR$582,'Afton Update'!AK$589,0)</f>
        <v>22507.386723544892</v>
      </c>
      <c r="T27" s="643">
        <f t="shared" si="47"/>
        <v>111592.29050877603</v>
      </c>
      <c r="V27" s="636">
        <f t="shared" si="70"/>
        <v>49358.14438293119</v>
      </c>
      <c r="W27" s="637">
        <f t="shared" si="71"/>
        <v>12528.900007638493</v>
      </c>
      <c r="X27" s="637">
        <f t="shared" si="72"/>
        <v>25851.295607799715</v>
      </c>
      <c r="Y27" s="637">
        <f t="shared" si="73"/>
        <v>22259.395837217115</v>
      </c>
      <c r="Z27" s="643">
        <f t="shared" si="74"/>
        <v>109997.73583558651</v>
      </c>
      <c r="AB27" s="644">
        <f t="shared" si="11"/>
        <v>50040.732453214165</v>
      </c>
      <c r="AC27" s="645">
        <f t="shared" si="12"/>
        <v>44697.028150097787</v>
      </c>
      <c r="AD27" s="644">
        <f t="shared" si="75"/>
        <v>0</v>
      </c>
      <c r="AE27" s="645">
        <f t="shared" si="76"/>
        <v>50040.732453214165</v>
      </c>
      <c r="AF27" s="646">
        <f t="shared" si="77"/>
        <v>-620.29248336701198</v>
      </c>
      <c r="AG27" s="647">
        <f t="shared" si="78"/>
        <v>49420.439969847153</v>
      </c>
      <c r="AH27" s="644">
        <f t="shared" si="13"/>
        <v>0</v>
      </c>
      <c r="AI27" s="645">
        <f t="shared" si="14"/>
        <v>49420.439969847153</v>
      </c>
      <c r="AJ27" s="646">
        <f t="shared" si="79"/>
        <v>-62.255898588876299</v>
      </c>
      <c r="AK27" s="647">
        <f t="shared" si="15"/>
        <v>49358.184071258278</v>
      </c>
      <c r="AL27" s="644">
        <f t="shared" si="80"/>
        <v>0</v>
      </c>
      <c r="AM27" s="645">
        <f t="shared" si="81"/>
        <v>49358.184071258278</v>
      </c>
      <c r="AN27" s="646">
        <f t="shared" si="82"/>
        <v>-3.9688327087806265E-2</v>
      </c>
      <c r="AO27" s="647">
        <f t="shared" si="16"/>
        <v>49358.14438293119</v>
      </c>
      <c r="AP27" s="644">
        <f t="shared" si="83"/>
        <v>0</v>
      </c>
      <c r="AQ27" s="645">
        <f t="shared" si="84"/>
        <v>49358.14438293119</v>
      </c>
      <c r="AR27" s="646">
        <f t="shared" si="85"/>
        <v>0</v>
      </c>
      <c r="AS27" s="647">
        <f t="shared" si="17"/>
        <v>49358.14438293119</v>
      </c>
      <c r="AT27" s="644">
        <f t="shared" si="86"/>
        <v>0</v>
      </c>
      <c r="AU27" s="645">
        <f t="shared" si="87"/>
        <v>49358.14438293119</v>
      </c>
      <c r="AV27" s="646">
        <f t="shared" si="88"/>
        <v>0</v>
      </c>
      <c r="AW27" s="647">
        <f t="shared" si="18"/>
        <v>49358.14438293119</v>
      </c>
      <c r="AY27" s="644">
        <f t="shared" si="89"/>
        <v>12955.610448878597</v>
      </c>
      <c r="AZ27" s="645">
        <f t="shared" si="48"/>
        <v>10430.931509597369</v>
      </c>
      <c r="BA27" s="644">
        <f t="shared" si="90"/>
        <v>0</v>
      </c>
      <c r="BB27" s="645">
        <f t="shared" si="91"/>
        <v>12955.610448878597</v>
      </c>
      <c r="BC27" s="646">
        <f t="shared" si="92"/>
        <v>-93.167570397194837</v>
      </c>
      <c r="BD27" s="647">
        <f t="shared" si="93"/>
        <v>12862.442878481403</v>
      </c>
      <c r="BE27" s="644">
        <f t="shared" si="19"/>
        <v>0</v>
      </c>
      <c r="BF27" s="645">
        <f t="shared" si="20"/>
        <v>12862.442878481403</v>
      </c>
      <c r="BG27" s="646">
        <f t="shared" si="94"/>
        <v>-306.3729072307043</v>
      </c>
      <c r="BH27" s="647">
        <f t="shared" si="21"/>
        <v>12556.069971250698</v>
      </c>
      <c r="BI27" s="644">
        <f t="shared" si="95"/>
        <v>0</v>
      </c>
      <c r="BJ27" s="645">
        <f t="shared" si="96"/>
        <v>12556.069971250698</v>
      </c>
      <c r="BK27" s="646">
        <f t="shared" si="97"/>
        <v>-26.59670526848938</v>
      </c>
      <c r="BL27" s="647">
        <f t="shared" si="22"/>
        <v>12529.473265982208</v>
      </c>
      <c r="BM27" s="644">
        <f t="shared" si="98"/>
        <v>0</v>
      </c>
      <c r="BN27" s="645">
        <f t="shared" si="99"/>
        <v>12529.473265982208</v>
      </c>
      <c r="BO27" s="646">
        <f t="shared" si="100"/>
        <v>-0.57325834371541773</v>
      </c>
      <c r="BP27" s="647">
        <f t="shared" si="23"/>
        <v>12528.900007638493</v>
      </c>
      <c r="BQ27" s="644">
        <f t="shared" si="101"/>
        <v>0</v>
      </c>
      <c r="BR27" s="645">
        <f t="shared" si="102"/>
        <v>12528.900007638493</v>
      </c>
      <c r="BS27" s="646">
        <f t="shared" si="103"/>
        <v>0</v>
      </c>
      <c r="BT27" s="647">
        <f t="shared" si="24"/>
        <v>12528.900007638493</v>
      </c>
      <c r="BU27" s="662">
        <f>VLOOKUP(B27,'Afton Update'!$A$5:$AR$582,'Afton Update'!$AO$589,0)-BT27</f>
        <v>0</v>
      </c>
      <c r="BV27" s="644">
        <f t="shared" si="104"/>
        <v>26088.560883138394</v>
      </c>
      <c r="BW27" s="645">
        <f t="shared" si="25"/>
        <v>21214.045316414602</v>
      </c>
      <c r="BX27" s="644">
        <f t="shared" si="105"/>
        <v>0</v>
      </c>
      <c r="BY27" s="645">
        <f t="shared" si="106"/>
        <v>26088.560883138394</v>
      </c>
      <c r="BZ27" s="646">
        <f t="shared" si="107"/>
        <v>-228.98207257611219</v>
      </c>
      <c r="CA27" s="647">
        <f t="shared" si="108"/>
        <v>25859.578810562281</v>
      </c>
      <c r="CB27" s="644">
        <f t="shared" si="26"/>
        <v>0</v>
      </c>
      <c r="CC27" s="645">
        <f t="shared" si="27"/>
        <v>25859.578810562281</v>
      </c>
      <c r="CD27" s="646">
        <f t="shared" si="109"/>
        <v>-8.2832027625674041</v>
      </c>
      <c r="CE27" s="647">
        <f t="shared" si="28"/>
        <v>25851.295607799715</v>
      </c>
      <c r="CF27" s="644">
        <f t="shared" si="110"/>
        <v>0</v>
      </c>
      <c r="CG27" s="645">
        <f t="shared" si="111"/>
        <v>25851.295607799715</v>
      </c>
      <c r="CH27" s="646">
        <f t="shared" si="112"/>
        <v>0</v>
      </c>
      <c r="CI27" s="647">
        <f t="shared" si="29"/>
        <v>25851.295607799715</v>
      </c>
      <c r="CJ27" s="644">
        <f t="shared" si="113"/>
        <v>0</v>
      </c>
      <c r="CK27" s="645">
        <f t="shared" si="114"/>
        <v>25851.295607799715</v>
      </c>
      <c r="CL27" s="646">
        <f t="shared" si="115"/>
        <v>0</v>
      </c>
      <c r="CM27" s="647">
        <f t="shared" si="30"/>
        <v>25851.295607799715</v>
      </c>
      <c r="CN27" s="644">
        <f t="shared" si="116"/>
        <v>0</v>
      </c>
      <c r="CO27" s="645">
        <f t="shared" si="117"/>
        <v>25851.295607799715</v>
      </c>
      <c r="CP27" s="646">
        <f t="shared" si="118"/>
        <v>0</v>
      </c>
      <c r="CQ27" s="647">
        <f t="shared" si="31"/>
        <v>25851.295607799715</v>
      </c>
      <c r="CS27" s="644">
        <f t="shared" si="119"/>
        <v>22507.386723544892</v>
      </c>
      <c r="CT27" s="645">
        <f t="shared" si="32"/>
        <v>19263.247943484883</v>
      </c>
      <c r="CU27" s="644">
        <f t="shared" si="120"/>
        <v>0</v>
      </c>
      <c r="CV27" s="645">
        <f t="shared" si="121"/>
        <v>22507.386723544892</v>
      </c>
      <c r="CW27" s="646">
        <f t="shared" si="122"/>
        <v>-230.48835946795271</v>
      </c>
      <c r="CX27" s="647">
        <f t="shared" si="123"/>
        <v>22276.89836407694</v>
      </c>
      <c r="CY27" s="644">
        <f t="shared" si="33"/>
        <v>0</v>
      </c>
      <c r="CZ27" s="645">
        <f t="shared" si="34"/>
        <v>22276.89836407694</v>
      </c>
      <c r="DA27" s="646">
        <f t="shared" si="124"/>
        <v>-17.487446115654624</v>
      </c>
      <c r="DB27" s="647">
        <f t="shared" si="35"/>
        <v>22259.410917961286</v>
      </c>
      <c r="DC27" s="644">
        <f t="shared" si="125"/>
        <v>0</v>
      </c>
      <c r="DD27" s="645">
        <f t="shared" si="126"/>
        <v>22259.410917961286</v>
      </c>
      <c r="DE27" s="646">
        <f t="shared" si="127"/>
        <v>-1.5080744171882229E-2</v>
      </c>
      <c r="DF27" s="647">
        <f t="shared" si="36"/>
        <v>22259.395837217115</v>
      </c>
      <c r="DG27" s="644">
        <f t="shared" si="128"/>
        <v>0</v>
      </c>
      <c r="DH27" s="645">
        <f t="shared" si="129"/>
        <v>22259.395837217115</v>
      </c>
      <c r="DI27" s="646">
        <f t="shared" si="130"/>
        <v>0</v>
      </c>
      <c r="DJ27" s="647">
        <f t="shared" si="37"/>
        <v>22259.395837217115</v>
      </c>
      <c r="DK27" s="644">
        <f t="shared" si="131"/>
        <v>0</v>
      </c>
      <c r="DL27" s="645">
        <f t="shared" si="132"/>
        <v>22259.395837217115</v>
      </c>
      <c r="DM27" s="646">
        <f t="shared" si="133"/>
        <v>0</v>
      </c>
      <c r="DN27" s="647">
        <f t="shared" si="38"/>
        <v>22259.395837217115</v>
      </c>
      <c r="DR27" s="827">
        <f t="shared" si="49"/>
        <v>109997.73583558651</v>
      </c>
      <c r="DV27" s="828">
        <f>IFERROR(VLOOKUP($B27,'Afton FY16 Final'!$A$5:$BV$587,'Afton FY16 Final'!$BV$587,0),0)</f>
        <v>98655.563689937801</v>
      </c>
      <c r="DX27" s="636">
        <f t="shared" si="39"/>
        <v>109997.73583558651</v>
      </c>
      <c r="DY27" s="637">
        <f t="shared" si="40"/>
        <v>11342.172145648714</v>
      </c>
      <c r="DZ27" s="637">
        <f t="shared" si="41"/>
        <v>98655.563689937801</v>
      </c>
      <c r="EA27" s="643">
        <f t="shared" si="42"/>
        <v>104147.08907786279</v>
      </c>
      <c r="EB27" s="637">
        <f t="shared" si="50"/>
        <v>0</v>
      </c>
      <c r="EC27" s="637">
        <f t="shared" si="51"/>
        <v>104147.08907786279</v>
      </c>
      <c r="ED27" s="637">
        <f t="shared" si="52"/>
        <v>103836.52867661847</v>
      </c>
      <c r="EE27" s="643">
        <f t="shared" si="53"/>
        <v>103836.52867661847</v>
      </c>
      <c r="EF27" s="637">
        <f t="shared" si="54"/>
        <v>0</v>
      </c>
      <c r="EG27" s="637">
        <f t="shared" si="55"/>
        <v>103836.52867661847</v>
      </c>
      <c r="EH27" s="637">
        <f t="shared" si="56"/>
        <v>103836.42155252489</v>
      </c>
      <c r="EI27" s="643">
        <f t="shared" si="57"/>
        <v>103836.42155252489</v>
      </c>
      <c r="EJ27" s="637">
        <f t="shared" si="58"/>
        <v>0</v>
      </c>
      <c r="EK27" s="637">
        <f t="shared" si="59"/>
        <v>103836.42155252489</v>
      </c>
      <c r="EL27" s="637">
        <f t="shared" si="60"/>
        <v>103836.42155252474</v>
      </c>
      <c r="EM27" s="643">
        <f t="shared" si="61"/>
        <v>103836.42155252474</v>
      </c>
      <c r="EN27" s="637">
        <f t="shared" si="62"/>
        <v>0</v>
      </c>
      <c r="EO27" s="637">
        <f t="shared" si="63"/>
        <v>103836.42155252474</v>
      </c>
      <c r="EP27" s="637">
        <f t="shared" si="64"/>
        <v>103836.4215525249</v>
      </c>
      <c r="EQ27" s="643">
        <f t="shared" si="65"/>
        <v>103836.4215525249</v>
      </c>
      <c r="ER27" s="637">
        <f t="shared" si="66"/>
        <v>0</v>
      </c>
      <c r="ES27" s="637">
        <f t="shared" si="67"/>
        <v>103836.4215525249</v>
      </c>
      <c r="ET27" s="637">
        <f t="shared" si="68"/>
        <v>103836.42155252474</v>
      </c>
      <c r="EU27" s="643">
        <f t="shared" si="43"/>
        <v>103836.42155252474</v>
      </c>
      <c r="EV27" s="643">
        <f t="shared" si="44"/>
        <v>0</v>
      </c>
      <c r="EX27" s="829">
        <f t="shared" si="45"/>
        <v>6161.3142830617726</v>
      </c>
      <c r="EY27" s="638">
        <f t="shared" si="46"/>
        <v>103836.42155252474</v>
      </c>
      <c r="FC27" s="830" t="str">
        <f t="shared" si="69"/>
        <v>Y</v>
      </c>
      <c r="FE27" s="830" t="str">
        <f>IFERROR(VLOOKUP($B27,'Historical Conc Grant Elig'!$B$3:$J$707,'HH &amp; SI'!FE$2,0),"N")</f>
        <v>Y</v>
      </c>
      <c r="FF27" s="830" t="str">
        <f>IFERROR(VLOOKUP($B27,'Historical Conc Grant Elig'!$B$3:$J$707,'HH &amp; SI'!FF$2,0),"N")</f>
        <v>Y</v>
      </c>
      <c r="FG27" s="830" t="str">
        <f>IFERROR(VLOOKUP($B27,'Historical Conc Grant Elig'!$B$3:$J$707,'HH &amp; SI'!FG$2,0),"N")</f>
        <v>Y</v>
      </c>
      <c r="FH27" s="830" t="str">
        <f>IFERROR(VLOOKUP($B27,'Historical Conc Grant Elig'!$B$3:$J$707,'HH &amp; SI'!FH$2,0),"N")</f>
        <v>Y</v>
      </c>
      <c r="FI27" s="830" t="str">
        <f>IFERROR(VLOOKUP($B27,'Historical Conc Grant Elig'!$B$3:$J$707,'HH &amp; SI'!FI$2,0),"N")</f>
        <v>Y</v>
      </c>
      <c r="FJ27" s="830" t="str">
        <f>IFERROR(VLOOKUP($B27,'Historical Conc Grant Elig'!$B$3:$J$707,'HH &amp; SI'!FJ$2,0),"N")</f>
        <v>Y</v>
      </c>
      <c r="FK27" s="830" t="str">
        <f>IFERROR(VLOOKUP($B27,'Historical Conc Grant Elig'!$B$3:$J$707,'HH &amp; SI'!FK$2,0),"N")</f>
        <v>Y</v>
      </c>
      <c r="FL27" s="957" t="str">
        <f>IFERROR(VLOOKUP($B27,'Historical Conc Grant Elig'!$B$3:$J$707,'HH &amp; SI'!FL$2,0),"N")</f>
        <v>Y</v>
      </c>
    </row>
    <row r="28" spans="2:168" x14ac:dyDescent="0.25">
      <c r="B28" s="634">
        <v>20326000</v>
      </c>
      <c r="C28" s="635" t="str">
        <f>VLOOKUP($B28,'Afton Update'!$A$5:$CR$582,'Afton Update'!D$589,0)</f>
        <v>Cochise Elementary District</v>
      </c>
      <c r="D28" s="636">
        <f>IFERROR(VLOOKUP($B28,'Afton FY16 Final'!$A$5:$BV$587,'Afton FY16 Final'!AQ$587,0),0)</f>
        <v>5835.5973104982822</v>
      </c>
      <c r="E28" s="637">
        <f>IFERROR(VLOOKUP($B28,'Afton FY16 Final'!$A$5:$BV$587,'Afton FY16 Final'!AR$587,0),0)</f>
        <v>1361.8515230808478</v>
      </c>
      <c r="F28" s="637">
        <f>IFERROR(VLOOKUP($B28,'Afton FY16 Final'!$A$5:$BV$587,'Afton FY16 Final'!AS$587,0),0)</f>
        <v>3773.8097034476582</v>
      </c>
      <c r="G28" s="637">
        <f>IFERROR(VLOOKUP($B28,'Afton FY16 Final'!$A$5:$BV$587,'Afton FY16 Final'!AT$587,0),0)</f>
        <v>3891.0903797476599</v>
      </c>
      <c r="H28" s="638">
        <f>IFERROR(VLOOKUP($B28,'Afton FY16 Final'!$A$5:$BV$587,'Afton FY16 Final'!AU$587,0),0)</f>
        <v>14862.348916774448</v>
      </c>
      <c r="I28" s="639" t="str">
        <f>VLOOKUP($B28,'Afton Update'!$A$5:$CR$582,'Afton Update'!BT$589,0)</f>
        <v>N</v>
      </c>
      <c r="J28" s="640" t="str">
        <f>VLOOKUP($B28,'Afton Update'!$A$5:$CR$582,'Afton Update'!BU$589,0)</f>
        <v>N</v>
      </c>
      <c r="K28" s="640" t="str">
        <f>VLOOKUP($B28,'Afton Update'!$A$5:$CR$582,'Afton Update'!BV$589,0)</f>
        <v>N</v>
      </c>
      <c r="L28" s="641" t="str">
        <f>VLOOKUP($B28,'Afton Update'!$A$5:$CR$582,'Afton Update'!BW$589,0)</f>
        <v>N</v>
      </c>
      <c r="N28" s="642">
        <f>VLOOKUP($B28,'Afton Update'!$A$5:$CR$582,'Afton Update'!CB$589,0)</f>
        <v>0.9</v>
      </c>
      <c r="P28" s="636" t="str">
        <f>VLOOKUP($B28,'Afton Update'!$A$5:$CR$582,'Afton Update'!AH$589,0)</f>
        <v/>
      </c>
      <c r="Q28" s="637" t="str">
        <f>VLOOKUP($B28,'Afton Update'!$A$5:$CR$582,'Afton Update'!AI$589,0)</f>
        <v/>
      </c>
      <c r="R28" s="637" t="str">
        <f>VLOOKUP($B28,'Afton Update'!$A$5:$CR$582,'Afton Update'!AJ$589,0)</f>
        <v/>
      </c>
      <c r="S28" s="637" t="str">
        <f>VLOOKUP($B28,'Afton Update'!$A$5:$CR$582,'Afton Update'!AK$589,0)</f>
        <v/>
      </c>
      <c r="T28" s="643">
        <f t="shared" si="47"/>
        <v>0</v>
      </c>
      <c r="V28" s="636">
        <f t="shared" si="70"/>
        <v>0</v>
      </c>
      <c r="W28" s="637">
        <f t="shared" si="71"/>
        <v>1225.666370772763</v>
      </c>
      <c r="X28" s="637">
        <f t="shared" si="72"/>
        <v>0</v>
      </c>
      <c r="Y28" s="637">
        <f t="shared" si="73"/>
        <v>0</v>
      </c>
      <c r="Z28" s="643">
        <f t="shared" si="74"/>
        <v>1225.666370772763</v>
      </c>
      <c r="AB28" s="644">
        <f t="shared" si="11"/>
        <v>0</v>
      </c>
      <c r="AC28" s="645">
        <f t="shared" si="12"/>
        <v>0</v>
      </c>
      <c r="AD28" s="644">
        <f t="shared" si="75"/>
        <v>0</v>
      </c>
      <c r="AE28" s="645">
        <f t="shared" si="76"/>
        <v>0</v>
      </c>
      <c r="AF28" s="646">
        <f t="shared" si="77"/>
        <v>0</v>
      </c>
      <c r="AG28" s="647">
        <f t="shared" si="78"/>
        <v>0</v>
      </c>
      <c r="AH28" s="644">
        <f t="shared" si="13"/>
        <v>0</v>
      </c>
      <c r="AI28" s="645">
        <f t="shared" si="14"/>
        <v>0</v>
      </c>
      <c r="AJ28" s="646">
        <f t="shared" si="79"/>
        <v>0</v>
      </c>
      <c r="AK28" s="647">
        <f t="shared" si="15"/>
        <v>0</v>
      </c>
      <c r="AL28" s="644">
        <f t="shared" si="80"/>
        <v>0</v>
      </c>
      <c r="AM28" s="645">
        <f t="shared" si="81"/>
        <v>0</v>
      </c>
      <c r="AN28" s="646">
        <f t="shared" si="82"/>
        <v>0</v>
      </c>
      <c r="AO28" s="647">
        <f t="shared" si="16"/>
        <v>0</v>
      </c>
      <c r="AP28" s="644">
        <f t="shared" si="83"/>
        <v>0</v>
      </c>
      <c r="AQ28" s="645">
        <f t="shared" si="84"/>
        <v>0</v>
      </c>
      <c r="AR28" s="646">
        <f t="shared" si="85"/>
        <v>0</v>
      </c>
      <c r="AS28" s="647">
        <f t="shared" si="17"/>
        <v>0</v>
      </c>
      <c r="AT28" s="644">
        <f t="shared" si="86"/>
        <v>0</v>
      </c>
      <c r="AU28" s="645">
        <f t="shared" si="87"/>
        <v>0</v>
      </c>
      <c r="AV28" s="646">
        <f t="shared" si="88"/>
        <v>0</v>
      </c>
      <c r="AW28" s="647">
        <f t="shared" si="18"/>
        <v>0</v>
      </c>
      <c r="AY28" s="644">
        <f t="shared" si="89"/>
        <v>0</v>
      </c>
      <c r="AZ28" s="645">
        <f t="shared" si="48"/>
        <v>1225.666370772763</v>
      </c>
      <c r="BA28" s="644">
        <f t="shared" si="90"/>
        <v>0</v>
      </c>
      <c r="BB28" s="645">
        <f t="shared" si="91"/>
        <v>0</v>
      </c>
      <c r="BC28" s="646">
        <f t="shared" si="92"/>
        <v>0</v>
      </c>
      <c r="BD28" s="647">
        <f t="shared" si="93"/>
        <v>0</v>
      </c>
      <c r="BE28" s="644">
        <f t="shared" si="19"/>
        <v>-1225.666370772763</v>
      </c>
      <c r="BF28" s="645">
        <f t="shared" si="20"/>
        <v>0</v>
      </c>
      <c r="BG28" s="646">
        <f t="shared" si="94"/>
        <v>0</v>
      </c>
      <c r="BH28" s="647">
        <f t="shared" si="21"/>
        <v>1225.666370772763</v>
      </c>
      <c r="BI28" s="644">
        <f t="shared" si="95"/>
        <v>0</v>
      </c>
      <c r="BJ28" s="645">
        <f t="shared" si="96"/>
        <v>0</v>
      </c>
      <c r="BK28" s="646">
        <f t="shared" si="97"/>
        <v>0</v>
      </c>
      <c r="BL28" s="647">
        <f t="shared" si="22"/>
        <v>1225.666370772763</v>
      </c>
      <c r="BM28" s="644">
        <f t="shared" si="98"/>
        <v>0</v>
      </c>
      <c r="BN28" s="645">
        <f t="shared" si="99"/>
        <v>0</v>
      </c>
      <c r="BO28" s="646">
        <f t="shared" si="100"/>
        <v>0</v>
      </c>
      <c r="BP28" s="647">
        <f t="shared" si="23"/>
        <v>1225.666370772763</v>
      </c>
      <c r="BQ28" s="644">
        <f t="shared" si="101"/>
        <v>0</v>
      </c>
      <c r="BR28" s="645">
        <f t="shared" si="102"/>
        <v>0</v>
      </c>
      <c r="BS28" s="646">
        <f t="shared" si="103"/>
        <v>0</v>
      </c>
      <c r="BT28" s="647">
        <f t="shared" si="24"/>
        <v>1225.666370772763</v>
      </c>
      <c r="BU28" s="662">
        <f>VLOOKUP(B28,'Afton Update'!$A$5:$AR$582,'Afton Update'!$AO$589,0)-BT28</f>
        <v>0</v>
      </c>
      <c r="BV28" s="644">
        <f t="shared" si="104"/>
        <v>0</v>
      </c>
      <c r="BW28" s="645">
        <f t="shared" si="25"/>
        <v>0</v>
      </c>
      <c r="BX28" s="644">
        <f t="shared" si="105"/>
        <v>0</v>
      </c>
      <c r="BY28" s="645">
        <f t="shared" si="106"/>
        <v>0</v>
      </c>
      <c r="BZ28" s="646">
        <f t="shared" si="107"/>
        <v>0</v>
      </c>
      <c r="CA28" s="647">
        <f t="shared" si="108"/>
        <v>0</v>
      </c>
      <c r="CB28" s="644">
        <f t="shared" si="26"/>
        <v>0</v>
      </c>
      <c r="CC28" s="645">
        <f t="shared" si="27"/>
        <v>0</v>
      </c>
      <c r="CD28" s="646">
        <f t="shared" si="109"/>
        <v>0</v>
      </c>
      <c r="CE28" s="647">
        <f t="shared" si="28"/>
        <v>0</v>
      </c>
      <c r="CF28" s="644">
        <f t="shared" si="110"/>
        <v>0</v>
      </c>
      <c r="CG28" s="645">
        <f t="shared" si="111"/>
        <v>0</v>
      </c>
      <c r="CH28" s="646">
        <f t="shared" si="112"/>
        <v>0</v>
      </c>
      <c r="CI28" s="647">
        <f t="shared" si="29"/>
        <v>0</v>
      </c>
      <c r="CJ28" s="644">
        <f t="shared" si="113"/>
        <v>0</v>
      </c>
      <c r="CK28" s="645">
        <f t="shared" si="114"/>
        <v>0</v>
      </c>
      <c r="CL28" s="646">
        <f t="shared" si="115"/>
        <v>0</v>
      </c>
      <c r="CM28" s="647">
        <f t="shared" si="30"/>
        <v>0</v>
      </c>
      <c r="CN28" s="644">
        <f t="shared" si="116"/>
        <v>0</v>
      </c>
      <c r="CO28" s="645">
        <f t="shared" si="117"/>
        <v>0</v>
      </c>
      <c r="CP28" s="646">
        <f t="shared" si="118"/>
        <v>0</v>
      </c>
      <c r="CQ28" s="647">
        <f t="shared" si="31"/>
        <v>0</v>
      </c>
      <c r="CS28" s="644">
        <f t="shared" si="119"/>
        <v>0</v>
      </c>
      <c r="CT28" s="645">
        <f t="shared" si="32"/>
        <v>0</v>
      </c>
      <c r="CU28" s="644">
        <f t="shared" si="120"/>
        <v>0</v>
      </c>
      <c r="CV28" s="645">
        <f t="shared" si="121"/>
        <v>0</v>
      </c>
      <c r="CW28" s="646">
        <f t="shared" si="122"/>
        <v>0</v>
      </c>
      <c r="CX28" s="647">
        <f t="shared" si="123"/>
        <v>0</v>
      </c>
      <c r="CY28" s="644">
        <f t="shared" si="33"/>
        <v>0</v>
      </c>
      <c r="CZ28" s="645">
        <f t="shared" si="34"/>
        <v>0</v>
      </c>
      <c r="DA28" s="646">
        <f t="shared" si="124"/>
        <v>0</v>
      </c>
      <c r="DB28" s="647">
        <f t="shared" si="35"/>
        <v>0</v>
      </c>
      <c r="DC28" s="644">
        <f t="shared" si="125"/>
        <v>0</v>
      </c>
      <c r="DD28" s="645">
        <f t="shared" si="126"/>
        <v>0</v>
      </c>
      <c r="DE28" s="646">
        <f t="shared" si="127"/>
        <v>0</v>
      </c>
      <c r="DF28" s="647">
        <f t="shared" si="36"/>
        <v>0</v>
      </c>
      <c r="DG28" s="644">
        <f t="shared" si="128"/>
        <v>0</v>
      </c>
      <c r="DH28" s="645">
        <f t="shared" si="129"/>
        <v>0</v>
      </c>
      <c r="DI28" s="646">
        <f t="shared" si="130"/>
        <v>0</v>
      </c>
      <c r="DJ28" s="647">
        <f t="shared" si="37"/>
        <v>0</v>
      </c>
      <c r="DK28" s="644">
        <f t="shared" si="131"/>
        <v>0</v>
      </c>
      <c r="DL28" s="645">
        <f t="shared" si="132"/>
        <v>0</v>
      </c>
      <c r="DM28" s="646">
        <f t="shared" si="133"/>
        <v>0</v>
      </c>
      <c r="DN28" s="647">
        <f t="shared" si="38"/>
        <v>0</v>
      </c>
      <c r="DR28" s="827">
        <f t="shared" si="49"/>
        <v>1225.666370772763</v>
      </c>
      <c r="DV28" s="828">
        <f>IFERROR(VLOOKUP($B28,'Afton FY16 Final'!$A$5:$BV$587,'Afton FY16 Final'!$BV$587,0),0)</f>
        <v>14287.533546593721</v>
      </c>
      <c r="DX28" s="636">
        <f t="shared" si="39"/>
        <v>0</v>
      </c>
      <c r="DY28" s="637">
        <f t="shared" si="40"/>
        <v>0</v>
      </c>
      <c r="DZ28" s="637">
        <f t="shared" si="41"/>
        <v>0</v>
      </c>
      <c r="EA28" s="643">
        <f t="shared" si="42"/>
        <v>0</v>
      </c>
      <c r="EB28" s="637">
        <f t="shared" si="50"/>
        <v>0</v>
      </c>
      <c r="EC28" s="637">
        <f t="shared" si="51"/>
        <v>0</v>
      </c>
      <c r="ED28" s="637">
        <f t="shared" si="52"/>
        <v>0</v>
      </c>
      <c r="EE28" s="643">
        <f t="shared" si="53"/>
        <v>0</v>
      </c>
      <c r="EF28" s="637">
        <f t="shared" si="54"/>
        <v>0</v>
      </c>
      <c r="EG28" s="637">
        <f t="shared" si="55"/>
        <v>0</v>
      </c>
      <c r="EH28" s="637">
        <f t="shared" si="56"/>
        <v>0</v>
      </c>
      <c r="EI28" s="643">
        <f t="shared" si="57"/>
        <v>0</v>
      </c>
      <c r="EJ28" s="637">
        <f t="shared" si="58"/>
        <v>0</v>
      </c>
      <c r="EK28" s="637">
        <f t="shared" si="59"/>
        <v>0</v>
      </c>
      <c r="EL28" s="637">
        <f t="shared" si="60"/>
        <v>0</v>
      </c>
      <c r="EM28" s="643">
        <f t="shared" si="61"/>
        <v>0</v>
      </c>
      <c r="EN28" s="637">
        <f t="shared" si="62"/>
        <v>0</v>
      </c>
      <c r="EO28" s="637">
        <f t="shared" si="63"/>
        <v>0</v>
      </c>
      <c r="EP28" s="637">
        <f t="shared" si="64"/>
        <v>0</v>
      </c>
      <c r="EQ28" s="643">
        <f t="shared" si="65"/>
        <v>0</v>
      </c>
      <c r="ER28" s="637">
        <f t="shared" si="66"/>
        <v>0</v>
      </c>
      <c r="ES28" s="637">
        <f t="shared" si="67"/>
        <v>0</v>
      </c>
      <c r="ET28" s="637">
        <f t="shared" si="68"/>
        <v>0</v>
      </c>
      <c r="EU28" s="643">
        <f t="shared" si="43"/>
        <v>0</v>
      </c>
      <c r="EV28" s="643">
        <f t="shared" si="44"/>
        <v>0</v>
      </c>
      <c r="EX28" s="829">
        <f t="shared" si="45"/>
        <v>0</v>
      </c>
      <c r="EY28" s="638">
        <f t="shared" si="46"/>
        <v>1225.666370772763</v>
      </c>
      <c r="FC28" s="830" t="str">
        <f t="shared" si="69"/>
        <v>Y</v>
      </c>
      <c r="FE28" s="830" t="str">
        <f>IFERROR(VLOOKUP($B28,'Historical Conc Grant Elig'!$B$3:$J$707,'HH &amp; SI'!FE$2,0),"N")</f>
        <v>N</v>
      </c>
      <c r="FF28" s="830" t="str">
        <f>IFERROR(VLOOKUP($B28,'Historical Conc Grant Elig'!$B$3:$J$707,'HH &amp; SI'!FF$2,0),"N")</f>
        <v>N</v>
      </c>
      <c r="FG28" s="830" t="str">
        <f>IFERROR(VLOOKUP($B28,'Historical Conc Grant Elig'!$B$3:$J$707,'HH &amp; SI'!FG$2,0),"N")</f>
        <v>N</v>
      </c>
      <c r="FH28" s="830" t="str">
        <f>IFERROR(VLOOKUP($B28,'Historical Conc Grant Elig'!$B$3:$J$707,'HH &amp; SI'!FH$2,0),"N")</f>
        <v>Y</v>
      </c>
      <c r="FI28" s="830" t="str">
        <f>IFERROR(VLOOKUP($B28,'Historical Conc Grant Elig'!$B$3:$J$707,'HH &amp; SI'!FI$2,0),"N")</f>
        <v>Y</v>
      </c>
      <c r="FJ28" s="830" t="str">
        <f>IFERROR(VLOOKUP($B28,'Historical Conc Grant Elig'!$B$3:$J$707,'HH &amp; SI'!FJ$2,0),"N")</f>
        <v>Y</v>
      </c>
      <c r="FK28" s="830" t="str">
        <f>IFERROR(VLOOKUP($B28,'Historical Conc Grant Elig'!$B$3:$J$707,'HH &amp; SI'!FK$2,0),"N")</f>
        <v>Y</v>
      </c>
      <c r="FL28" s="957" t="str">
        <f>IFERROR(VLOOKUP($B28,'Historical Conc Grant Elig'!$B$3:$J$707,'HH &amp; SI'!FL$2,0),"N")</f>
        <v>N</v>
      </c>
    </row>
    <row r="29" spans="2:168" x14ac:dyDescent="0.25">
      <c r="B29" s="634">
        <v>20342000</v>
      </c>
      <c r="C29" s="635" t="str">
        <f>VLOOKUP($B29,'Afton Update'!$A$5:$CR$582,'Afton Update'!D$589,0)</f>
        <v>Apache Elementary District</v>
      </c>
      <c r="D29" s="636">
        <f>IFERROR(VLOOKUP($B29,'Afton FY16 Final'!$A$5:$BV$587,'Afton FY16 Final'!AQ$587,0),0)</f>
        <v>0</v>
      </c>
      <c r="E29" s="637">
        <f>IFERROR(VLOOKUP($B29,'Afton FY16 Final'!$A$5:$BV$587,'Afton FY16 Final'!AR$587,0),0)</f>
        <v>0</v>
      </c>
      <c r="F29" s="637">
        <f>IFERROR(VLOOKUP($B29,'Afton FY16 Final'!$A$5:$BV$587,'Afton FY16 Final'!AS$587,0),0)</f>
        <v>0</v>
      </c>
      <c r="G29" s="637">
        <f>IFERROR(VLOOKUP($B29,'Afton FY16 Final'!$A$5:$BV$587,'Afton FY16 Final'!AT$587,0),0)</f>
        <v>0</v>
      </c>
      <c r="H29" s="638">
        <f>IFERROR(VLOOKUP($B29,'Afton FY16 Final'!$A$5:$BV$587,'Afton FY16 Final'!AU$587,0),0)</f>
        <v>0</v>
      </c>
      <c r="I29" s="639" t="str">
        <f>VLOOKUP($B29,'Afton Update'!$A$5:$CR$582,'Afton Update'!BT$589,0)</f>
        <v>N</v>
      </c>
      <c r="J29" s="640" t="str">
        <f>VLOOKUP($B29,'Afton Update'!$A$5:$CR$582,'Afton Update'!BU$589,0)</f>
        <v>N</v>
      </c>
      <c r="K29" s="640" t="str">
        <f>VLOOKUP($B29,'Afton Update'!$A$5:$CR$582,'Afton Update'!BV$589,0)</f>
        <v>N</v>
      </c>
      <c r="L29" s="641" t="str">
        <f>VLOOKUP($B29,'Afton Update'!$A$5:$CR$582,'Afton Update'!BW$589,0)</f>
        <v>N</v>
      </c>
      <c r="N29" s="642">
        <f>VLOOKUP($B29,'Afton Update'!$A$5:$CR$582,'Afton Update'!CB$589,0)</f>
        <v>0.85</v>
      </c>
      <c r="P29" s="636">
        <f>VLOOKUP($B29,'Afton Update'!$A$5:$CR$582,'Afton Update'!AH$589,0)</f>
        <v>0</v>
      </c>
      <c r="Q29" s="637">
        <f>VLOOKUP($B29,'Afton Update'!$A$5:$CR$582,'Afton Update'!AI$589,0)</f>
        <v>0</v>
      </c>
      <c r="R29" s="637">
        <f>VLOOKUP($B29,'Afton Update'!$A$5:$CR$582,'Afton Update'!AJ$589,0)</f>
        <v>0</v>
      </c>
      <c r="S29" s="637">
        <f>VLOOKUP($B29,'Afton Update'!$A$5:$CR$582,'Afton Update'!AK$589,0)</f>
        <v>0</v>
      </c>
      <c r="T29" s="643">
        <f t="shared" si="47"/>
        <v>0</v>
      </c>
      <c r="V29" s="636">
        <f t="shared" si="70"/>
        <v>0</v>
      </c>
      <c r="W29" s="637">
        <f t="shared" si="71"/>
        <v>0</v>
      </c>
      <c r="X29" s="637">
        <f t="shared" si="72"/>
        <v>0</v>
      </c>
      <c r="Y29" s="637">
        <f t="shared" si="73"/>
        <v>0</v>
      </c>
      <c r="Z29" s="643">
        <f t="shared" si="74"/>
        <v>0</v>
      </c>
      <c r="AB29" s="644">
        <f t="shared" si="11"/>
        <v>0</v>
      </c>
      <c r="AC29" s="645">
        <f t="shared" si="12"/>
        <v>0</v>
      </c>
      <c r="AD29" s="644">
        <f t="shared" si="75"/>
        <v>0</v>
      </c>
      <c r="AE29" s="645">
        <f t="shared" si="76"/>
        <v>0</v>
      </c>
      <c r="AF29" s="646">
        <f t="shared" si="77"/>
        <v>0</v>
      </c>
      <c r="AG29" s="647">
        <f t="shared" si="78"/>
        <v>0</v>
      </c>
      <c r="AH29" s="644">
        <f t="shared" si="13"/>
        <v>0</v>
      </c>
      <c r="AI29" s="645">
        <f t="shared" si="14"/>
        <v>0</v>
      </c>
      <c r="AJ29" s="646">
        <f t="shared" si="79"/>
        <v>0</v>
      </c>
      <c r="AK29" s="647">
        <f t="shared" si="15"/>
        <v>0</v>
      </c>
      <c r="AL29" s="644">
        <f t="shared" si="80"/>
        <v>0</v>
      </c>
      <c r="AM29" s="645">
        <f t="shared" si="81"/>
        <v>0</v>
      </c>
      <c r="AN29" s="646">
        <f t="shared" si="82"/>
        <v>0</v>
      </c>
      <c r="AO29" s="647">
        <f t="shared" si="16"/>
        <v>0</v>
      </c>
      <c r="AP29" s="644">
        <f t="shared" si="83"/>
        <v>0</v>
      </c>
      <c r="AQ29" s="645">
        <f t="shared" si="84"/>
        <v>0</v>
      </c>
      <c r="AR29" s="646">
        <f t="shared" si="85"/>
        <v>0</v>
      </c>
      <c r="AS29" s="647">
        <f t="shared" si="17"/>
        <v>0</v>
      </c>
      <c r="AT29" s="644">
        <f t="shared" si="86"/>
        <v>0</v>
      </c>
      <c r="AU29" s="645">
        <f t="shared" si="87"/>
        <v>0</v>
      </c>
      <c r="AV29" s="646">
        <f t="shared" si="88"/>
        <v>0</v>
      </c>
      <c r="AW29" s="647">
        <f t="shared" si="18"/>
        <v>0</v>
      </c>
      <c r="AY29" s="644">
        <f t="shared" si="89"/>
        <v>0</v>
      </c>
      <c r="AZ29" s="645">
        <f t="shared" si="48"/>
        <v>0</v>
      </c>
      <c r="BA29" s="644">
        <f t="shared" si="90"/>
        <v>0</v>
      </c>
      <c r="BB29" s="645">
        <f t="shared" si="91"/>
        <v>0</v>
      </c>
      <c r="BC29" s="646">
        <f t="shared" si="92"/>
        <v>0</v>
      </c>
      <c r="BD29" s="647">
        <f t="shared" si="93"/>
        <v>0</v>
      </c>
      <c r="BE29" s="644">
        <f t="shared" si="19"/>
        <v>0</v>
      </c>
      <c r="BF29" s="645">
        <f t="shared" si="20"/>
        <v>0</v>
      </c>
      <c r="BG29" s="646">
        <f t="shared" si="94"/>
        <v>0</v>
      </c>
      <c r="BH29" s="647">
        <f t="shared" si="21"/>
        <v>0</v>
      </c>
      <c r="BI29" s="644">
        <f t="shared" si="95"/>
        <v>0</v>
      </c>
      <c r="BJ29" s="645">
        <f t="shared" si="96"/>
        <v>0</v>
      </c>
      <c r="BK29" s="646">
        <f t="shared" si="97"/>
        <v>0</v>
      </c>
      <c r="BL29" s="647">
        <f t="shared" si="22"/>
        <v>0</v>
      </c>
      <c r="BM29" s="644">
        <f t="shared" si="98"/>
        <v>0</v>
      </c>
      <c r="BN29" s="645">
        <f t="shared" si="99"/>
        <v>0</v>
      </c>
      <c r="BO29" s="646">
        <f t="shared" si="100"/>
        <v>0</v>
      </c>
      <c r="BP29" s="647">
        <f t="shared" si="23"/>
        <v>0</v>
      </c>
      <c r="BQ29" s="644">
        <f t="shared" si="101"/>
        <v>0</v>
      </c>
      <c r="BR29" s="645">
        <f t="shared" si="102"/>
        <v>0</v>
      </c>
      <c r="BS29" s="646">
        <f t="shared" si="103"/>
        <v>0</v>
      </c>
      <c r="BT29" s="647">
        <f t="shared" si="24"/>
        <v>0</v>
      </c>
      <c r="BU29" s="662">
        <f>VLOOKUP(B29,'Afton Update'!$A$5:$AR$582,'Afton Update'!$AO$589,0)-BT29</f>
        <v>0</v>
      </c>
      <c r="BV29" s="644">
        <f t="shared" si="104"/>
        <v>0</v>
      </c>
      <c r="BW29" s="645">
        <f t="shared" si="25"/>
        <v>0</v>
      </c>
      <c r="BX29" s="644">
        <f t="shared" si="105"/>
        <v>0</v>
      </c>
      <c r="BY29" s="645">
        <f t="shared" si="106"/>
        <v>0</v>
      </c>
      <c r="BZ29" s="646">
        <f t="shared" si="107"/>
        <v>0</v>
      </c>
      <c r="CA29" s="647">
        <f t="shared" si="108"/>
        <v>0</v>
      </c>
      <c r="CB29" s="644">
        <f t="shared" si="26"/>
        <v>0</v>
      </c>
      <c r="CC29" s="645">
        <f t="shared" si="27"/>
        <v>0</v>
      </c>
      <c r="CD29" s="646">
        <f t="shared" si="109"/>
        <v>0</v>
      </c>
      <c r="CE29" s="647">
        <f t="shared" si="28"/>
        <v>0</v>
      </c>
      <c r="CF29" s="644">
        <f t="shared" si="110"/>
        <v>0</v>
      </c>
      <c r="CG29" s="645">
        <f t="shared" si="111"/>
        <v>0</v>
      </c>
      <c r="CH29" s="646">
        <f t="shared" si="112"/>
        <v>0</v>
      </c>
      <c r="CI29" s="647">
        <f t="shared" si="29"/>
        <v>0</v>
      </c>
      <c r="CJ29" s="644">
        <f t="shared" si="113"/>
        <v>0</v>
      </c>
      <c r="CK29" s="645">
        <f t="shared" si="114"/>
        <v>0</v>
      </c>
      <c r="CL29" s="646">
        <f t="shared" si="115"/>
        <v>0</v>
      </c>
      <c r="CM29" s="647">
        <f t="shared" si="30"/>
        <v>0</v>
      </c>
      <c r="CN29" s="644">
        <f t="shared" si="116"/>
        <v>0</v>
      </c>
      <c r="CO29" s="645">
        <f t="shared" si="117"/>
        <v>0</v>
      </c>
      <c r="CP29" s="646">
        <f t="shared" si="118"/>
        <v>0</v>
      </c>
      <c r="CQ29" s="647">
        <f t="shared" si="31"/>
        <v>0</v>
      </c>
      <c r="CS29" s="644">
        <f t="shared" si="119"/>
        <v>0</v>
      </c>
      <c r="CT29" s="645">
        <f t="shared" si="32"/>
        <v>0</v>
      </c>
      <c r="CU29" s="644">
        <f t="shared" si="120"/>
        <v>0</v>
      </c>
      <c r="CV29" s="645">
        <f t="shared" si="121"/>
        <v>0</v>
      </c>
      <c r="CW29" s="646">
        <f t="shared" si="122"/>
        <v>0</v>
      </c>
      <c r="CX29" s="647">
        <f t="shared" si="123"/>
        <v>0</v>
      </c>
      <c r="CY29" s="644">
        <f t="shared" si="33"/>
        <v>0</v>
      </c>
      <c r="CZ29" s="645">
        <f t="shared" si="34"/>
        <v>0</v>
      </c>
      <c r="DA29" s="646">
        <f t="shared" si="124"/>
        <v>0</v>
      </c>
      <c r="DB29" s="647">
        <f t="shared" si="35"/>
        <v>0</v>
      </c>
      <c r="DC29" s="644">
        <f t="shared" si="125"/>
        <v>0</v>
      </c>
      <c r="DD29" s="645">
        <f t="shared" si="126"/>
        <v>0</v>
      </c>
      <c r="DE29" s="646">
        <f t="shared" si="127"/>
        <v>0</v>
      </c>
      <c r="DF29" s="647">
        <f t="shared" si="36"/>
        <v>0</v>
      </c>
      <c r="DG29" s="644">
        <f t="shared" si="128"/>
        <v>0</v>
      </c>
      <c r="DH29" s="645">
        <f t="shared" si="129"/>
        <v>0</v>
      </c>
      <c r="DI29" s="646">
        <f t="shared" si="130"/>
        <v>0</v>
      </c>
      <c r="DJ29" s="647">
        <f t="shared" si="37"/>
        <v>0</v>
      </c>
      <c r="DK29" s="644">
        <f t="shared" si="131"/>
        <v>0</v>
      </c>
      <c r="DL29" s="645">
        <f t="shared" si="132"/>
        <v>0</v>
      </c>
      <c r="DM29" s="646">
        <f t="shared" si="133"/>
        <v>0</v>
      </c>
      <c r="DN29" s="647">
        <f t="shared" si="38"/>
        <v>0</v>
      </c>
      <c r="DR29" s="827">
        <f t="shared" si="49"/>
        <v>0</v>
      </c>
      <c r="DV29" s="828">
        <f>IFERROR(VLOOKUP($B29,'Afton FY16 Final'!$A$5:$BV$587,'Afton FY16 Final'!$BV$587,0),0)</f>
        <v>0</v>
      </c>
      <c r="DX29" s="636">
        <f t="shared" si="39"/>
        <v>0</v>
      </c>
      <c r="DY29" s="637">
        <f t="shared" si="40"/>
        <v>0</v>
      </c>
      <c r="DZ29" s="637">
        <f t="shared" si="41"/>
        <v>0</v>
      </c>
      <c r="EA29" s="643">
        <f t="shared" si="42"/>
        <v>0</v>
      </c>
      <c r="EB29" s="637">
        <f t="shared" si="50"/>
        <v>0</v>
      </c>
      <c r="EC29" s="637">
        <f t="shared" si="51"/>
        <v>0</v>
      </c>
      <c r="ED29" s="637">
        <f t="shared" si="52"/>
        <v>0</v>
      </c>
      <c r="EE29" s="643">
        <f t="shared" si="53"/>
        <v>0</v>
      </c>
      <c r="EF29" s="637">
        <f t="shared" si="54"/>
        <v>0</v>
      </c>
      <c r="EG29" s="637">
        <f t="shared" si="55"/>
        <v>0</v>
      </c>
      <c r="EH29" s="637">
        <f t="shared" si="56"/>
        <v>0</v>
      </c>
      <c r="EI29" s="643">
        <f t="shared" si="57"/>
        <v>0</v>
      </c>
      <c r="EJ29" s="637">
        <f t="shared" si="58"/>
        <v>0</v>
      </c>
      <c r="EK29" s="637">
        <f t="shared" si="59"/>
        <v>0</v>
      </c>
      <c r="EL29" s="637">
        <f t="shared" si="60"/>
        <v>0</v>
      </c>
      <c r="EM29" s="643">
        <f t="shared" si="61"/>
        <v>0</v>
      </c>
      <c r="EN29" s="637">
        <f t="shared" si="62"/>
        <v>0</v>
      </c>
      <c r="EO29" s="637">
        <f t="shared" si="63"/>
        <v>0</v>
      </c>
      <c r="EP29" s="637">
        <f t="shared" si="64"/>
        <v>0</v>
      </c>
      <c r="EQ29" s="643">
        <f t="shared" si="65"/>
        <v>0</v>
      </c>
      <c r="ER29" s="637">
        <f t="shared" si="66"/>
        <v>0</v>
      </c>
      <c r="ES29" s="637">
        <f t="shared" si="67"/>
        <v>0</v>
      </c>
      <c r="ET29" s="637">
        <f t="shared" si="68"/>
        <v>0</v>
      </c>
      <c r="EU29" s="643">
        <f t="shared" si="43"/>
        <v>0</v>
      </c>
      <c r="EV29" s="643">
        <f t="shared" si="44"/>
        <v>0</v>
      </c>
      <c r="EX29" s="829">
        <f t="shared" si="45"/>
        <v>0</v>
      </c>
      <c r="EY29" s="638">
        <f t="shared" si="46"/>
        <v>0</v>
      </c>
      <c r="FC29" s="830" t="str">
        <f t="shared" si="69"/>
        <v>N</v>
      </c>
      <c r="FE29" s="830" t="str">
        <f>IFERROR(VLOOKUP($B29,'Historical Conc Grant Elig'!$B$3:$J$707,'HH &amp; SI'!FE$2,0),"N")</f>
        <v>N</v>
      </c>
      <c r="FF29" s="830" t="str">
        <f>IFERROR(VLOOKUP($B29,'Historical Conc Grant Elig'!$B$3:$J$707,'HH &amp; SI'!FF$2,0),"N")</f>
        <v>N</v>
      </c>
      <c r="FG29" s="830" t="str">
        <f>IFERROR(VLOOKUP($B29,'Historical Conc Grant Elig'!$B$3:$J$707,'HH &amp; SI'!FG$2,0),"N")</f>
        <v>N</v>
      </c>
      <c r="FH29" s="830" t="str">
        <f>IFERROR(VLOOKUP($B29,'Historical Conc Grant Elig'!$B$3:$J$707,'HH &amp; SI'!FH$2,0),"N")</f>
        <v>N</v>
      </c>
      <c r="FI29" s="830" t="str">
        <f>IFERROR(VLOOKUP($B29,'Historical Conc Grant Elig'!$B$3:$J$707,'HH &amp; SI'!FI$2,0),"N")</f>
        <v>N</v>
      </c>
      <c r="FJ29" s="830" t="str">
        <f>IFERROR(VLOOKUP($B29,'Historical Conc Grant Elig'!$B$3:$J$707,'HH &amp; SI'!FJ$2,0),"N")</f>
        <v>N</v>
      </c>
      <c r="FK29" s="830" t="str">
        <f>IFERROR(VLOOKUP($B29,'Historical Conc Grant Elig'!$B$3:$J$707,'HH &amp; SI'!FK$2,0),"N")</f>
        <v>N</v>
      </c>
      <c r="FL29" s="957" t="str">
        <f>IFERROR(VLOOKUP($B29,'Historical Conc Grant Elig'!$B$3:$J$707,'HH &amp; SI'!FL$2,0),"N")</f>
        <v>N</v>
      </c>
    </row>
    <row r="30" spans="2:168" x14ac:dyDescent="0.25">
      <c r="B30" s="634">
        <v>20345000</v>
      </c>
      <c r="C30" s="635" t="str">
        <f>VLOOKUP($B30,'Afton Update'!$A$5:$CR$582,'Afton Update'!D$589,0)</f>
        <v>Double Adobe Elementary District</v>
      </c>
      <c r="D30" s="636">
        <f>IFERROR(VLOOKUP($B30,'Afton FY16 Final'!$A$5:$BV$587,'Afton FY16 Final'!AQ$587,0),0)</f>
        <v>8195.7887768143755</v>
      </c>
      <c r="E30" s="637">
        <f>IFERROR(VLOOKUP($B30,'Afton FY16 Final'!$A$5:$BV$587,'Afton FY16 Final'!AR$587,0),0)</f>
        <v>2050.0997083704324</v>
      </c>
      <c r="F30" s="637">
        <f>IFERROR(VLOOKUP($B30,'Afton FY16 Final'!$A$5:$BV$587,'Afton FY16 Final'!AS$587,0),0)</f>
        <v>3844.442234645911</v>
      </c>
      <c r="G30" s="637">
        <f>IFERROR(VLOOKUP($B30,'Afton FY16 Final'!$A$5:$BV$587,'Afton FY16 Final'!AT$587,0),0)</f>
        <v>3731.9394117650681</v>
      </c>
      <c r="H30" s="638">
        <f>IFERROR(VLOOKUP($B30,'Afton FY16 Final'!$A$5:$BV$587,'Afton FY16 Final'!AU$587,0),0)</f>
        <v>17822.270131595789</v>
      </c>
      <c r="I30" s="639" t="str">
        <f>VLOOKUP($B30,'Afton Update'!$A$5:$CR$582,'Afton Update'!BT$589,0)</f>
        <v>Y</v>
      </c>
      <c r="J30" s="640" t="str">
        <f>VLOOKUP($B30,'Afton Update'!$A$5:$CR$582,'Afton Update'!BU$589,0)</f>
        <v>Y</v>
      </c>
      <c r="K30" s="640" t="str">
        <f>VLOOKUP($B30,'Afton Update'!$A$5:$CR$582,'Afton Update'!BV$589,0)</f>
        <v>Y</v>
      </c>
      <c r="L30" s="641" t="str">
        <f>VLOOKUP($B30,'Afton Update'!$A$5:$CR$582,'Afton Update'!BW$589,0)</f>
        <v>Y</v>
      </c>
      <c r="N30" s="642">
        <f>VLOOKUP($B30,'Afton Update'!$A$5:$CR$582,'Afton Update'!CB$589,0)</f>
        <v>0.9</v>
      </c>
      <c r="P30" s="636">
        <f>VLOOKUP($B30,'Afton Update'!$A$5:$CR$582,'Afton Update'!AH$589,0)</f>
        <v>10492.411643415875</v>
      </c>
      <c r="Q30" s="637">
        <f>VLOOKUP($B30,'Afton Update'!$A$5:$CR$582,'Afton Update'!AI$589,0)</f>
        <v>3534.8387132133812</v>
      </c>
      <c r="R30" s="637">
        <f>VLOOKUP($B30,'Afton Update'!$A$5:$CR$582,'Afton Update'!AJ$589,0)</f>
        <v>5147.3047172834667</v>
      </c>
      <c r="S30" s="637">
        <f>VLOOKUP($B30,'Afton Update'!$A$5:$CR$582,'Afton Update'!AK$589,0)</f>
        <v>4295.0171253295075</v>
      </c>
      <c r="T30" s="643">
        <f t="shared" si="47"/>
        <v>23469.57219924223</v>
      </c>
      <c r="V30" s="636">
        <f t="shared" si="70"/>
        <v>10349.288338356542</v>
      </c>
      <c r="W30" s="637">
        <f t="shared" si="71"/>
        <v>3418.414049707198</v>
      </c>
      <c r="X30" s="637">
        <f t="shared" si="72"/>
        <v>5100.491990568913</v>
      </c>
      <c r="Y30" s="637">
        <f t="shared" si="73"/>
        <v>4247.6937680341343</v>
      </c>
      <c r="Z30" s="643">
        <f t="shared" si="74"/>
        <v>23115.888146666788</v>
      </c>
      <c r="AB30" s="644">
        <f t="shared" si="11"/>
        <v>10492.411643415875</v>
      </c>
      <c r="AC30" s="645">
        <f t="shared" si="12"/>
        <v>7376.2098991329385</v>
      </c>
      <c r="AD30" s="644">
        <f t="shared" si="75"/>
        <v>0</v>
      </c>
      <c r="AE30" s="645">
        <f t="shared" si="76"/>
        <v>10492.411643415875</v>
      </c>
      <c r="AF30" s="646">
        <f t="shared" si="77"/>
        <v>-130.06132715759929</v>
      </c>
      <c r="AG30" s="647">
        <f t="shared" si="78"/>
        <v>10362.350316258277</v>
      </c>
      <c r="AH30" s="644">
        <f t="shared" si="13"/>
        <v>0</v>
      </c>
      <c r="AI30" s="645">
        <f t="shared" si="14"/>
        <v>10362.350316258277</v>
      </c>
      <c r="AJ30" s="646">
        <f t="shared" si="79"/>
        <v>-13.053656155732131</v>
      </c>
      <c r="AK30" s="647">
        <f t="shared" si="15"/>
        <v>10349.296660102544</v>
      </c>
      <c r="AL30" s="644">
        <f t="shared" si="80"/>
        <v>0</v>
      </c>
      <c r="AM30" s="645">
        <f t="shared" si="81"/>
        <v>10349.296660102544</v>
      </c>
      <c r="AN30" s="646">
        <f t="shared" si="82"/>
        <v>-8.321746002281959E-3</v>
      </c>
      <c r="AO30" s="647">
        <f t="shared" si="16"/>
        <v>10349.288338356542</v>
      </c>
      <c r="AP30" s="644">
        <f t="shared" si="83"/>
        <v>0</v>
      </c>
      <c r="AQ30" s="645">
        <f t="shared" si="84"/>
        <v>10349.288338356542</v>
      </c>
      <c r="AR30" s="646">
        <f t="shared" si="85"/>
        <v>0</v>
      </c>
      <c r="AS30" s="647">
        <f t="shared" si="17"/>
        <v>10349.288338356542</v>
      </c>
      <c r="AT30" s="644">
        <f t="shared" si="86"/>
        <v>0</v>
      </c>
      <c r="AU30" s="645">
        <f t="shared" si="87"/>
        <v>10349.288338356542</v>
      </c>
      <c r="AV30" s="646">
        <f t="shared" si="88"/>
        <v>0</v>
      </c>
      <c r="AW30" s="647">
        <f t="shared" si="18"/>
        <v>10349.288338356542</v>
      </c>
      <c r="AY30" s="644">
        <f t="shared" si="89"/>
        <v>3534.8387132133812</v>
      </c>
      <c r="AZ30" s="645">
        <f t="shared" si="48"/>
        <v>1845.0897375333891</v>
      </c>
      <c r="BA30" s="644">
        <f t="shared" si="90"/>
        <v>0</v>
      </c>
      <c r="BB30" s="645">
        <f t="shared" si="91"/>
        <v>3534.8387132133812</v>
      </c>
      <c r="BC30" s="646">
        <f t="shared" si="92"/>
        <v>-25.420055346334024</v>
      </c>
      <c r="BD30" s="647">
        <f t="shared" si="93"/>
        <v>3509.4186578670474</v>
      </c>
      <c r="BE30" s="644">
        <f t="shared" si="19"/>
        <v>0</v>
      </c>
      <c r="BF30" s="645">
        <f t="shared" si="20"/>
        <v>3509.4186578670474</v>
      </c>
      <c r="BG30" s="646">
        <f t="shared" si="94"/>
        <v>-83.591492460516605</v>
      </c>
      <c r="BH30" s="647">
        <f t="shared" si="21"/>
        <v>3425.8271654065306</v>
      </c>
      <c r="BI30" s="644">
        <f t="shared" si="95"/>
        <v>0</v>
      </c>
      <c r="BJ30" s="645">
        <f t="shared" si="96"/>
        <v>3425.8271654065306</v>
      </c>
      <c r="BK30" s="646">
        <f t="shared" si="97"/>
        <v>-7.2567065672401609</v>
      </c>
      <c r="BL30" s="647">
        <f t="shared" si="22"/>
        <v>3418.5704588392905</v>
      </c>
      <c r="BM30" s="644">
        <f t="shared" si="98"/>
        <v>0</v>
      </c>
      <c r="BN30" s="645">
        <f t="shared" si="99"/>
        <v>3418.5704588392905</v>
      </c>
      <c r="BO30" s="646">
        <f t="shared" si="100"/>
        <v>-0.15640913209251667</v>
      </c>
      <c r="BP30" s="647">
        <f t="shared" si="23"/>
        <v>3418.414049707198</v>
      </c>
      <c r="BQ30" s="644">
        <f t="shared" si="101"/>
        <v>0</v>
      </c>
      <c r="BR30" s="645">
        <f t="shared" si="102"/>
        <v>3418.414049707198</v>
      </c>
      <c r="BS30" s="646">
        <f t="shared" si="103"/>
        <v>0</v>
      </c>
      <c r="BT30" s="647">
        <f t="shared" si="24"/>
        <v>3418.414049707198</v>
      </c>
      <c r="BU30" s="662">
        <f>VLOOKUP(B30,'Afton Update'!$A$5:$AR$582,'Afton Update'!$AO$589,0)-BT30</f>
        <v>0</v>
      </c>
      <c r="BV30" s="644">
        <f t="shared" si="104"/>
        <v>5147.3047172834667</v>
      </c>
      <c r="BW30" s="645">
        <f t="shared" si="25"/>
        <v>3459.9980111813197</v>
      </c>
      <c r="BX30" s="644">
        <f t="shared" si="105"/>
        <v>0</v>
      </c>
      <c r="BY30" s="645">
        <f t="shared" si="106"/>
        <v>5147.3047172834667</v>
      </c>
      <c r="BZ30" s="646">
        <f t="shared" si="107"/>
        <v>-45.178440758920829</v>
      </c>
      <c r="CA30" s="647">
        <f t="shared" si="108"/>
        <v>5102.1262765245456</v>
      </c>
      <c r="CB30" s="644">
        <f t="shared" si="26"/>
        <v>0</v>
      </c>
      <c r="CC30" s="645">
        <f t="shared" si="27"/>
        <v>5102.1262765245456</v>
      </c>
      <c r="CD30" s="646">
        <f t="shared" si="109"/>
        <v>-1.6342859556325824</v>
      </c>
      <c r="CE30" s="647">
        <f t="shared" si="28"/>
        <v>5100.491990568913</v>
      </c>
      <c r="CF30" s="644">
        <f t="shared" si="110"/>
        <v>0</v>
      </c>
      <c r="CG30" s="645">
        <f t="shared" si="111"/>
        <v>5100.491990568913</v>
      </c>
      <c r="CH30" s="646">
        <f t="shared" si="112"/>
        <v>0</v>
      </c>
      <c r="CI30" s="647">
        <f t="shared" si="29"/>
        <v>5100.491990568913</v>
      </c>
      <c r="CJ30" s="644">
        <f t="shared" si="113"/>
        <v>0</v>
      </c>
      <c r="CK30" s="645">
        <f t="shared" si="114"/>
        <v>5100.491990568913</v>
      </c>
      <c r="CL30" s="646">
        <f t="shared" si="115"/>
        <v>0</v>
      </c>
      <c r="CM30" s="647">
        <f t="shared" si="30"/>
        <v>5100.491990568913</v>
      </c>
      <c r="CN30" s="644">
        <f t="shared" si="116"/>
        <v>0</v>
      </c>
      <c r="CO30" s="645">
        <f t="shared" si="117"/>
        <v>5100.491990568913</v>
      </c>
      <c r="CP30" s="646">
        <f t="shared" si="118"/>
        <v>0</v>
      </c>
      <c r="CQ30" s="647">
        <f t="shared" si="31"/>
        <v>5100.491990568913</v>
      </c>
      <c r="CS30" s="644">
        <f t="shared" si="119"/>
        <v>4295.0171253295075</v>
      </c>
      <c r="CT30" s="645">
        <f t="shared" si="32"/>
        <v>3358.7454705885616</v>
      </c>
      <c r="CU30" s="644">
        <f t="shared" si="120"/>
        <v>0</v>
      </c>
      <c r="CV30" s="645">
        <f t="shared" si="121"/>
        <v>4295.0171253295075</v>
      </c>
      <c r="CW30" s="646">
        <f t="shared" si="122"/>
        <v>-43.983402571937681</v>
      </c>
      <c r="CX30" s="647">
        <f t="shared" si="123"/>
        <v>4251.0337227575701</v>
      </c>
      <c r="CY30" s="644">
        <f t="shared" si="33"/>
        <v>0</v>
      </c>
      <c r="CZ30" s="645">
        <f t="shared" si="34"/>
        <v>4251.0337227575701</v>
      </c>
      <c r="DA30" s="646">
        <f t="shared" si="124"/>
        <v>-3.3370769102413149</v>
      </c>
      <c r="DB30" s="647">
        <f t="shared" si="35"/>
        <v>4247.6966458473289</v>
      </c>
      <c r="DC30" s="644">
        <f t="shared" si="125"/>
        <v>0</v>
      </c>
      <c r="DD30" s="645">
        <f t="shared" si="126"/>
        <v>4247.6966458473289</v>
      </c>
      <c r="DE30" s="646">
        <f t="shared" si="127"/>
        <v>-2.8778131942430057E-3</v>
      </c>
      <c r="DF30" s="647">
        <f t="shared" si="36"/>
        <v>4247.6937680341343</v>
      </c>
      <c r="DG30" s="644">
        <f t="shared" si="128"/>
        <v>0</v>
      </c>
      <c r="DH30" s="645">
        <f t="shared" si="129"/>
        <v>4247.6937680341343</v>
      </c>
      <c r="DI30" s="646">
        <f t="shared" si="130"/>
        <v>0</v>
      </c>
      <c r="DJ30" s="647">
        <f t="shared" si="37"/>
        <v>4247.6937680341343</v>
      </c>
      <c r="DK30" s="644">
        <f t="shared" si="131"/>
        <v>0</v>
      </c>
      <c r="DL30" s="645">
        <f t="shared" si="132"/>
        <v>4247.6937680341343</v>
      </c>
      <c r="DM30" s="646">
        <f t="shared" si="133"/>
        <v>0</v>
      </c>
      <c r="DN30" s="647">
        <f t="shared" si="38"/>
        <v>4247.6937680341343</v>
      </c>
      <c r="DR30" s="827">
        <f t="shared" si="49"/>
        <v>23115.888146666788</v>
      </c>
      <c r="DV30" s="828">
        <f>IFERROR(VLOOKUP($B30,'Afton FY16 Final'!$A$5:$BV$587,'Afton FY16 Final'!$BV$587,0),0)</f>
        <v>17471.349635656192</v>
      </c>
      <c r="DX30" s="636">
        <f t="shared" si="39"/>
        <v>23115.888146666788</v>
      </c>
      <c r="DY30" s="637">
        <f t="shared" si="40"/>
        <v>5644.5385110105963</v>
      </c>
      <c r="DZ30" s="637">
        <f t="shared" si="41"/>
        <v>17471.349635656192</v>
      </c>
      <c r="EA30" s="643">
        <f t="shared" si="42"/>
        <v>21886.381966290966</v>
      </c>
      <c r="EB30" s="637">
        <f t="shared" si="50"/>
        <v>0</v>
      </c>
      <c r="EC30" s="637">
        <f t="shared" si="51"/>
        <v>21886.381966290966</v>
      </c>
      <c r="ED30" s="637">
        <f t="shared" si="52"/>
        <v>21821.118082053588</v>
      </c>
      <c r="EE30" s="643">
        <f t="shared" si="53"/>
        <v>21821.118082053588</v>
      </c>
      <c r="EF30" s="637">
        <f t="shared" si="54"/>
        <v>0</v>
      </c>
      <c r="EG30" s="637">
        <f t="shared" si="55"/>
        <v>21821.118082053588</v>
      </c>
      <c r="EH30" s="637">
        <f t="shared" si="56"/>
        <v>21821.095570057805</v>
      </c>
      <c r="EI30" s="643">
        <f t="shared" si="57"/>
        <v>21821.095570057805</v>
      </c>
      <c r="EJ30" s="637">
        <f t="shared" si="58"/>
        <v>0</v>
      </c>
      <c r="EK30" s="637">
        <f t="shared" si="59"/>
        <v>21821.095570057805</v>
      </c>
      <c r="EL30" s="637">
        <f t="shared" si="60"/>
        <v>21821.095570057776</v>
      </c>
      <c r="EM30" s="643">
        <f t="shared" si="61"/>
        <v>21821.095570057776</v>
      </c>
      <c r="EN30" s="637">
        <f t="shared" si="62"/>
        <v>0</v>
      </c>
      <c r="EO30" s="637">
        <f t="shared" si="63"/>
        <v>21821.095570057776</v>
      </c>
      <c r="EP30" s="637">
        <f t="shared" si="64"/>
        <v>21821.095570057809</v>
      </c>
      <c r="EQ30" s="643">
        <f t="shared" si="65"/>
        <v>21821.095570057809</v>
      </c>
      <c r="ER30" s="637">
        <f t="shared" si="66"/>
        <v>0</v>
      </c>
      <c r="ES30" s="637">
        <f t="shared" si="67"/>
        <v>21821.095570057809</v>
      </c>
      <c r="ET30" s="637">
        <f t="shared" si="68"/>
        <v>21821.095570057776</v>
      </c>
      <c r="EU30" s="643">
        <f t="shared" si="43"/>
        <v>21821.095570057776</v>
      </c>
      <c r="EV30" s="643">
        <f t="shared" si="44"/>
        <v>0</v>
      </c>
      <c r="EX30" s="829">
        <f t="shared" si="45"/>
        <v>1294.792576609012</v>
      </c>
      <c r="EY30" s="638">
        <f t="shared" si="46"/>
        <v>21821.095570057776</v>
      </c>
      <c r="FC30" s="830" t="str">
        <f t="shared" si="69"/>
        <v>Y</v>
      </c>
      <c r="FE30" s="830" t="str">
        <f>IFERROR(VLOOKUP($B30,'Historical Conc Grant Elig'!$B$3:$J$707,'HH &amp; SI'!FE$2,0),"N")</f>
        <v>Y</v>
      </c>
      <c r="FF30" s="830" t="str">
        <f>IFERROR(VLOOKUP($B30,'Historical Conc Grant Elig'!$B$3:$J$707,'HH &amp; SI'!FF$2,0),"N")</f>
        <v>Y</v>
      </c>
      <c r="FG30" s="830" t="str">
        <f>IFERROR(VLOOKUP($B30,'Historical Conc Grant Elig'!$B$3:$J$707,'HH &amp; SI'!FG$2,0),"N")</f>
        <v>Y</v>
      </c>
      <c r="FH30" s="830" t="str">
        <f>IFERROR(VLOOKUP($B30,'Historical Conc Grant Elig'!$B$3:$J$707,'HH &amp; SI'!FH$2,0),"N")</f>
        <v>Y</v>
      </c>
      <c r="FI30" s="830" t="str">
        <f>IFERROR(VLOOKUP($B30,'Historical Conc Grant Elig'!$B$3:$J$707,'HH &amp; SI'!FI$2,0),"N")</f>
        <v>Y</v>
      </c>
      <c r="FJ30" s="830" t="str">
        <f>IFERROR(VLOOKUP($B30,'Historical Conc Grant Elig'!$B$3:$J$707,'HH &amp; SI'!FJ$2,0),"N")</f>
        <v>Y</v>
      </c>
      <c r="FK30" s="830" t="str">
        <f>IFERROR(VLOOKUP($B30,'Historical Conc Grant Elig'!$B$3:$J$707,'HH &amp; SI'!FK$2,0),"N")</f>
        <v>Y</v>
      </c>
      <c r="FL30" s="957" t="str">
        <f>IFERROR(VLOOKUP($B30,'Historical Conc Grant Elig'!$B$3:$J$707,'HH &amp; SI'!FL$2,0),"N")</f>
        <v>Y</v>
      </c>
    </row>
    <row r="31" spans="2:168" x14ac:dyDescent="0.25">
      <c r="B31" s="634">
        <v>20349000</v>
      </c>
      <c r="C31" s="635" t="str">
        <f>VLOOKUP($B31,'Afton Update'!$A$5:$CR$582,'Afton Update'!D$589,0)</f>
        <v>Palominas Elementary District</v>
      </c>
      <c r="D31" s="636">
        <f>IFERROR(VLOOKUP($B31,'Afton FY16 Final'!$A$5:$BV$587,'Afton FY16 Final'!AQ$587,0),0)</f>
        <v>209568.35089652476</v>
      </c>
      <c r="E31" s="637">
        <f>IFERROR(VLOOKUP($B31,'Afton FY16 Final'!$A$5:$BV$587,'Afton FY16 Final'!AR$587,0),0)</f>
        <v>48462.500133693597</v>
      </c>
      <c r="F31" s="637">
        <f>IFERROR(VLOOKUP($B31,'Afton FY16 Final'!$A$5:$BV$587,'Afton FY16 Final'!AS$587,0),0)</f>
        <v>104050.95594736743</v>
      </c>
      <c r="G31" s="637">
        <f>IFERROR(VLOOKUP($B31,'Afton FY16 Final'!$A$5:$BV$587,'Afton FY16 Final'!AT$587,0),0)</f>
        <v>99558.880429130906</v>
      </c>
      <c r="H31" s="638">
        <f>IFERROR(VLOOKUP($B31,'Afton FY16 Final'!$A$5:$BV$587,'Afton FY16 Final'!AU$587,0),0)</f>
        <v>461640.68740671669</v>
      </c>
      <c r="I31" s="639" t="str">
        <f>VLOOKUP($B31,'Afton Update'!$A$5:$CR$582,'Afton Update'!BT$589,0)</f>
        <v>Y</v>
      </c>
      <c r="J31" s="640" t="str">
        <f>VLOOKUP($B31,'Afton Update'!$A$5:$CR$582,'Afton Update'!BU$589,0)</f>
        <v>Y</v>
      </c>
      <c r="K31" s="640" t="str">
        <f>VLOOKUP($B31,'Afton Update'!$A$5:$CR$582,'Afton Update'!BV$589,0)</f>
        <v>Y</v>
      </c>
      <c r="L31" s="641" t="str">
        <f>VLOOKUP($B31,'Afton Update'!$A$5:$CR$582,'Afton Update'!BW$589,0)</f>
        <v>Y</v>
      </c>
      <c r="N31" s="642">
        <f>VLOOKUP($B31,'Afton Update'!$A$5:$CR$582,'Afton Update'!CB$589,0)</f>
        <v>0.9</v>
      </c>
      <c r="P31" s="636">
        <f>VLOOKUP($B31,'Afton Update'!$A$5:$CR$582,'Afton Update'!AH$589,0)</f>
        <v>190212.24328903272</v>
      </c>
      <c r="Q31" s="637">
        <f>VLOOKUP($B31,'Afton Update'!$A$5:$CR$582,'Afton Update'!AI$589,0)</f>
        <v>45774.337910344511</v>
      </c>
      <c r="R31" s="637">
        <f>VLOOKUP($B31,'Afton Update'!$A$5:$CR$582,'Afton Update'!AJ$589,0)</f>
        <v>94126.444920998489</v>
      </c>
      <c r="S31" s="637">
        <f>VLOOKUP($B31,'Afton Update'!$A$5:$CR$582,'Afton Update'!AK$589,0)</f>
        <v>89534.454184145623</v>
      </c>
      <c r="T31" s="643">
        <f t="shared" si="47"/>
        <v>419647.48030452133</v>
      </c>
      <c r="V31" s="636">
        <f t="shared" si="70"/>
        <v>188611.51580687228</v>
      </c>
      <c r="W31" s="637">
        <f t="shared" si="71"/>
        <v>44266.698574917638</v>
      </c>
      <c r="X31" s="637">
        <f t="shared" si="72"/>
        <v>93645.860352630683</v>
      </c>
      <c r="Y31" s="637">
        <f t="shared" si="73"/>
        <v>89602.992386217811</v>
      </c>
      <c r="Z31" s="643">
        <f t="shared" si="74"/>
        <v>416127.06712063838</v>
      </c>
      <c r="AB31" s="644">
        <f t="shared" si="11"/>
        <v>190212.24328903272</v>
      </c>
      <c r="AC31" s="645">
        <f t="shared" si="12"/>
        <v>188611.51580687228</v>
      </c>
      <c r="AD31" s="644">
        <f t="shared" si="75"/>
        <v>0</v>
      </c>
      <c r="AE31" s="645">
        <f t="shared" si="76"/>
        <v>190212.24328903272</v>
      </c>
      <c r="AF31" s="646">
        <f t="shared" si="77"/>
        <v>-2357.823696263381</v>
      </c>
      <c r="AG31" s="647">
        <f t="shared" si="78"/>
        <v>187854.41959276935</v>
      </c>
      <c r="AH31" s="644">
        <f t="shared" si="13"/>
        <v>-757.09621410293039</v>
      </c>
      <c r="AI31" s="645">
        <f t="shared" si="14"/>
        <v>0</v>
      </c>
      <c r="AJ31" s="646">
        <f t="shared" si="79"/>
        <v>0</v>
      </c>
      <c r="AK31" s="647">
        <f t="shared" si="15"/>
        <v>188611.51580687228</v>
      </c>
      <c r="AL31" s="644">
        <f t="shared" si="80"/>
        <v>0</v>
      </c>
      <c r="AM31" s="645">
        <f t="shared" si="81"/>
        <v>0</v>
      </c>
      <c r="AN31" s="646">
        <f t="shared" si="82"/>
        <v>0</v>
      </c>
      <c r="AO31" s="647">
        <f t="shared" si="16"/>
        <v>188611.51580687228</v>
      </c>
      <c r="AP31" s="644">
        <f t="shared" si="83"/>
        <v>0</v>
      </c>
      <c r="AQ31" s="645">
        <f t="shared" si="84"/>
        <v>0</v>
      </c>
      <c r="AR31" s="646">
        <f t="shared" si="85"/>
        <v>0</v>
      </c>
      <c r="AS31" s="647">
        <f t="shared" si="17"/>
        <v>188611.51580687228</v>
      </c>
      <c r="AT31" s="644">
        <f t="shared" si="86"/>
        <v>0</v>
      </c>
      <c r="AU31" s="645">
        <f t="shared" si="87"/>
        <v>0</v>
      </c>
      <c r="AV31" s="646">
        <f t="shared" si="88"/>
        <v>0</v>
      </c>
      <c r="AW31" s="647">
        <f t="shared" si="18"/>
        <v>188611.51580687228</v>
      </c>
      <c r="AY31" s="644">
        <f t="shared" si="89"/>
        <v>45774.337910344511</v>
      </c>
      <c r="AZ31" s="645">
        <f t="shared" si="48"/>
        <v>43616.250120324235</v>
      </c>
      <c r="BA31" s="644">
        <f t="shared" si="90"/>
        <v>0</v>
      </c>
      <c r="BB31" s="645">
        <f t="shared" si="91"/>
        <v>45774.337910344511</v>
      </c>
      <c r="BC31" s="646">
        <f t="shared" si="92"/>
        <v>-329.17660394892056</v>
      </c>
      <c r="BD31" s="647">
        <f t="shared" si="93"/>
        <v>45445.161306395588</v>
      </c>
      <c r="BE31" s="644">
        <f t="shared" si="19"/>
        <v>0</v>
      </c>
      <c r="BF31" s="645">
        <f t="shared" si="20"/>
        <v>45445.161306395588</v>
      </c>
      <c r="BG31" s="646">
        <f t="shared" si="94"/>
        <v>-1082.4667071837414</v>
      </c>
      <c r="BH31" s="647">
        <f t="shared" si="21"/>
        <v>44362.694599211849</v>
      </c>
      <c r="BI31" s="644">
        <f t="shared" si="95"/>
        <v>0</v>
      </c>
      <c r="BJ31" s="645">
        <f t="shared" si="96"/>
        <v>44362.694599211849</v>
      </c>
      <c r="BK31" s="646">
        <f t="shared" si="97"/>
        <v>-93.970606716339802</v>
      </c>
      <c r="BL31" s="647">
        <f t="shared" si="22"/>
        <v>44268.723992495507</v>
      </c>
      <c r="BM31" s="644">
        <f t="shared" si="98"/>
        <v>0</v>
      </c>
      <c r="BN31" s="645">
        <f t="shared" si="99"/>
        <v>44268.723992495507</v>
      </c>
      <c r="BO31" s="646">
        <f t="shared" si="100"/>
        <v>-2.0254175778668349</v>
      </c>
      <c r="BP31" s="647">
        <f t="shared" si="23"/>
        <v>44266.698574917638</v>
      </c>
      <c r="BQ31" s="644">
        <f t="shared" si="101"/>
        <v>0</v>
      </c>
      <c r="BR31" s="645">
        <f t="shared" si="102"/>
        <v>44266.698574917638</v>
      </c>
      <c r="BS31" s="646">
        <f t="shared" si="103"/>
        <v>0</v>
      </c>
      <c r="BT31" s="647">
        <f t="shared" si="24"/>
        <v>44266.698574917638</v>
      </c>
      <c r="BU31" s="662">
        <f>VLOOKUP(B31,'Afton Update'!$A$5:$AR$582,'Afton Update'!$AO$589,0)-BT31</f>
        <v>0</v>
      </c>
      <c r="BV31" s="644">
        <f t="shared" si="104"/>
        <v>94126.444920998489</v>
      </c>
      <c r="BW31" s="645">
        <f t="shared" si="25"/>
        <v>93645.860352630683</v>
      </c>
      <c r="BX31" s="644">
        <f t="shared" si="105"/>
        <v>0</v>
      </c>
      <c r="BY31" s="645">
        <f t="shared" si="106"/>
        <v>94126.444920998489</v>
      </c>
      <c r="BZ31" s="646">
        <f t="shared" si="107"/>
        <v>-826.15781448342943</v>
      </c>
      <c r="CA31" s="647">
        <f t="shared" si="108"/>
        <v>93300.287106515054</v>
      </c>
      <c r="CB31" s="644">
        <f t="shared" si="26"/>
        <v>-345.57324611562944</v>
      </c>
      <c r="CC31" s="645">
        <f t="shared" si="27"/>
        <v>0</v>
      </c>
      <c r="CD31" s="646">
        <f t="shared" si="109"/>
        <v>0</v>
      </c>
      <c r="CE31" s="647">
        <f t="shared" si="28"/>
        <v>93645.860352630683</v>
      </c>
      <c r="CF31" s="644">
        <f t="shared" si="110"/>
        <v>0</v>
      </c>
      <c r="CG31" s="645">
        <f t="shared" si="111"/>
        <v>0</v>
      </c>
      <c r="CH31" s="646">
        <f t="shared" si="112"/>
        <v>0</v>
      </c>
      <c r="CI31" s="647">
        <f t="shared" si="29"/>
        <v>93645.860352630683</v>
      </c>
      <c r="CJ31" s="644">
        <f t="shared" si="113"/>
        <v>0</v>
      </c>
      <c r="CK31" s="645">
        <f t="shared" si="114"/>
        <v>0</v>
      </c>
      <c r="CL31" s="646">
        <f t="shared" si="115"/>
        <v>0</v>
      </c>
      <c r="CM31" s="647">
        <f t="shared" si="30"/>
        <v>93645.860352630683</v>
      </c>
      <c r="CN31" s="644">
        <f t="shared" si="116"/>
        <v>0</v>
      </c>
      <c r="CO31" s="645">
        <f t="shared" si="117"/>
        <v>0</v>
      </c>
      <c r="CP31" s="646">
        <f t="shared" si="118"/>
        <v>0</v>
      </c>
      <c r="CQ31" s="647">
        <f t="shared" si="31"/>
        <v>93645.860352630683</v>
      </c>
      <c r="CS31" s="644">
        <f t="shared" si="119"/>
        <v>89534.454184145623</v>
      </c>
      <c r="CT31" s="645">
        <f t="shared" si="32"/>
        <v>89602.992386217811</v>
      </c>
      <c r="CU31" s="644">
        <f t="shared" si="120"/>
        <v>68.538202072188142</v>
      </c>
      <c r="CV31" s="645">
        <f t="shared" si="121"/>
        <v>0</v>
      </c>
      <c r="CW31" s="646">
        <f t="shared" si="122"/>
        <v>0</v>
      </c>
      <c r="CX31" s="647">
        <f t="shared" si="123"/>
        <v>89602.992386217811</v>
      </c>
      <c r="CY31" s="644">
        <f t="shared" si="33"/>
        <v>0</v>
      </c>
      <c r="CZ31" s="645">
        <f t="shared" si="34"/>
        <v>0</v>
      </c>
      <c r="DA31" s="646">
        <f t="shared" si="124"/>
        <v>0</v>
      </c>
      <c r="DB31" s="647">
        <f t="shared" si="35"/>
        <v>89602.992386217811</v>
      </c>
      <c r="DC31" s="644">
        <f t="shared" si="125"/>
        <v>0</v>
      </c>
      <c r="DD31" s="645">
        <f t="shared" si="126"/>
        <v>0</v>
      </c>
      <c r="DE31" s="646">
        <f t="shared" si="127"/>
        <v>0</v>
      </c>
      <c r="DF31" s="647">
        <f t="shared" si="36"/>
        <v>89602.992386217811</v>
      </c>
      <c r="DG31" s="644">
        <f t="shared" si="128"/>
        <v>0</v>
      </c>
      <c r="DH31" s="645">
        <f t="shared" si="129"/>
        <v>0</v>
      </c>
      <c r="DI31" s="646">
        <f t="shared" si="130"/>
        <v>0</v>
      </c>
      <c r="DJ31" s="647">
        <f t="shared" si="37"/>
        <v>89602.992386217811</v>
      </c>
      <c r="DK31" s="644">
        <f t="shared" si="131"/>
        <v>0</v>
      </c>
      <c r="DL31" s="645">
        <f t="shared" si="132"/>
        <v>0</v>
      </c>
      <c r="DM31" s="646">
        <f t="shared" si="133"/>
        <v>0</v>
      </c>
      <c r="DN31" s="647">
        <f t="shared" si="38"/>
        <v>89602.992386217811</v>
      </c>
      <c r="DR31" s="827">
        <f t="shared" si="49"/>
        <v>416127.06712063838</v>
      </c>
      <c r="DV31" s="828">
        <f>IFERROR(VLOOKUP($B31,'Afton FY16 Final'!$A$5:$BV$587,'Afton FY16 Final'!$BV$587,0),0)</f>
        <v>442805.96123212454</v>
      </c>
      <c r="DX31" s="636">
        <f t="shared" si="39"/>
        <v>0</v>
      </c>
      <c r="DY31" s="637">
        <f t="shared" si="40"/>
        <v>0</v>
      </c>
      <c r="DZ31" s="637">
        <f t="shared" si="41"/>
        <v>0</v>
      </c>
      <c r="EA31" s="643">
        <f t="shared" si="42"/>
        <v>0</v>
      </c>
      <c r="EB31" s="637">
        <f t="shared" si="50"/>
        <v>0</v>
      </c>
      <c r="EC31" s="637">
        <f t="shared" si="51"/>
        <v>0</v>
      </c>
      <c r="ED31" s="637">
        <f t="shared" si="52"/>
        <v>0</v>
      </c>
      <c r="EE31" s="643">
        <f t="shared" si="53"/>
        <v>0</v>
      </c>
      <c r="EF31" s="637">
        <f t="shared" si="54"/>
        <v>0</v>
      </c>
      <c r="EG31" s="637">
        <f t="shared" si="55"/>
        <v>0</v>
      </c>
      <c r="EH31" s="637">
        <f t="shared" si="56"/>
        <v>0</v>
      </c>
      <c r="EI31" s="643">
        <f t="shared" si="57"/>
        <v>0</v>
      </c>
      <c r="EJ31" s="637">
        <f t="shared" si="58"/>
        <v>0</v>
      </c>
      <c r="EK31" s="637">
        <f t="shared" si="59"/>
        <v>0</v>
      </c>
      <c r="EL31" s="637">
        <f t="shared" si="60"/>
        <v>0</v>
      </c>
      <c r="EM31" s="643">
        <f t="shared" si="61"/>
        <v>0</v>
      </c>
      <c r="EN31" s="637">
        <f t="shared" si="62"/>
        <v>0</v>
      </c>
      <c r="EO31" s="637">
        <f t="shared" si="63"/>
        <v>0</v>
      </c>
      <c r="EP31" s="637">
        <f t="shared" si="64"/>
        <v>0</v>
      </c>
      <c r="EQ31" s="643">
        <f t="shared" si="65"/>
        <v>0</v>
      </c>
      <c r="ER31" s="637">
        <f t="shared" si="66"/>
        <v>0</v>
      </c>
      <c r="ES31" s="637">
        <f t="shared" si="67"/>
        <v>0</v>
      </c>
      <c r="ET31" s="637">
        <f t="shared" si="68"/>
        <v>0</v>
      </c>
      <c r="EU31" s="643">
        <f t="shared" si="43"/>
        <v>0</v>
      </c>
      <c r="EV31" s="643">
        <f t="shared" si="44"/>
        <v>0</v>
      </c>
      <c r="EX31" s="829">
        <f t="shared" si="45"/>
        <v>0</v>
      </c>
      <c r="EY31" s="638">
        <f t="shared" si="46"/>
        <v>416127.06712063838</v>
      </c>
      <c r="FC31" s="830" t="str">
        <f t="shared" si="69"/>
        <v>Y</v>
      </c>
      <c r="FE31" s="830" t="str">
        <f>IFERROR(VLOOKUP($B31,'Historical Conc Grant Elig'!$B$3:$J$707,'HH &amp; SI'!FE$2,0),"N")</f>
        <v>Y</v>
      </c>
      <c r="FF31" s="830" t="str">
        <f>IFERROR(VLOOKUP($B31,'Historical Conc Grant Elig'!$B$3:$J$707,'HH &amp; SI'!FF$2,0),"N")</f>
        <v>N</v>
      </c>
      <c r="FG31" s="830" t="str">
        <f>IFERROR(VLOOKUP($B31,'Historical Conc Grant Elig'!$B$3:$J$707,'HH &amp; SI'!FG$2,0),"N")</f>
        <v>N</v>
      </c>
      <c r="FH31" s="830" t="str">
        <f>IFERROR(VLOOKUP($B31,'Historical Conc Grant Elig'!$B$3:$J$707,'HH &amp; SI'!FH$2,0),"N")</f>
        <v>Y</v>
      </c>
      <c r="FI31" s="830" t="str">
        <f>IFERROR(VLOOKUP($B31,'Historical Conc Grant Elig'!$B$3:$J$707,'HH &amp; SI'!FI$2,0),"N")</f>
        <v>Y</v>
      </c>
      <c r="FJ31" s="830" t="str">
        <f>IFERROR(VLOOKUP($B31,'Historical Conc Grant Elig'!$B$3:$J$707,'HH &amp; SI'!FJ$2,0),"N")</f>
        <v>Y</v>
      </c>
      <c r="FK31" s="830" t="str">
        <f>IFERROR(VLOOKUP($B31,'Historical Conc Grant Elig'!$B$3:$J$707,'HH &amp; SI'!FK$2,0),"N")</f>
        <v>Y</v>
      </c>
      <c r="FL31" s="957" t="str">
        <f>IFERROR(VLOOKUP($B31,'Historical Conc Grant Elig'!$B$3:$J$707,'HH &amp; SI'!FL$2,0),"N")</f>
        <v>Y</v>
      </c>
    </row>
    <row r="32" spans="2:168" x14ac:dyDescent="0.25">
      <c r="B32" s="634">
        <v>20355000</v>
      </c>
      <c r="C32" s="635" t="str">
        <f>VLOOKUP($B32,'Afton Update'!$A$5:$CR$582,'Afton Update'!D$589,0)</f>
        <v>McNeal Elementary District</v>
      </c>
      <c r="D32" s="636">
        <f>IFERROR(VLOOKUP($B32,'Afton FY16 Final'!$A$5:$BV$587,'Afton FY16 Final'!AQ$587,0),0)</f>
        <v>9674.8060674050485</v>
      </c>
      <c r="E32" s="637">
        <f>IFERROR(VLOOKUP($B32,'Afton FY16 Final'!$A$5:$BV$587,'Afton FY16 Final'!AR$587,0),0)</f>
        <v>2257.8064724761416</v>
      </c>
      <c r="F32" s="637">
        <f>IFERROR(VLOOKUP($B32,'Afton FY16 Final'!$A$5:$BV$587,'Afton FY16 Final'!AS$587,0),0)</f>
        <v>3738.908851892093</v>
      </c>
      <c r="G32" s="637">
        <f>IFERROR(VLOOKUP($B32,'Afton FY16 Final'!$A$5:$BV$587,'Afton FY16 Final'!AT$587,0),0)</f>
        <v>3647.2003630126469</v>
      </c>
      <c r="H32" s="638">
        <f>IFERROR(VLOOKUP($B32,'Afton FY16 Final'!$A$5:$BV$587,'Afton FY16 Final'!AU$587,0),0)</f>
        <v>19318.721754785929</v>
      </c>
      <c r="I32" s="639" t="str">
        <f>VLOOKUP($B32,'Afton Update'!$A$5:$CR$582,'Afton Update'!BT$589,0)</f>
        <v>Y</v>
      </c>
      <c r="J32" s="640" t="str">
        <f>VLOOKUP($B32,'Afton Update'!$A$5:$CR$582,'Afton Update'!BU$589,0)</f>
        <v>Y</v>
      </c>
      <c r="K32" s="640" t="str">
        <f>VLOOKUP($B32,'Afton Update'!$A$5:$CR$582,'Afton Update'!BV$589,0)</f>
        <v>Y</v>
      </c>
      <c r="L32" s="641" t="str">
        <f>VLOOKUP($B32,'Afton Update'!$A$5:$CR$582,'Afton Update'!BW$589,0)</f>
        <v>Y</v>
      </c>
      <c r="N32" s="642">
        <f>VLOOKUP($B32,'Afton Update'!$A$5:$CR$582,'Afton Update'!CB$589,0)</f>
        <v>0.9</v>
      </c>
      <c r="P32" s="636">
        <f>VLOOKUP($B32,'Afton Update'!$A$5:$CR$582,'Afton Update'!AH$589,0)</f>
        <v>8781.2236799825678</v>
      </c>
      <c r="Q32" s="637">
        <f>VLOOKUP($B32,'Afton Update'!$A$5:$CR$582,'Afton Update'!AI$589,0)</f>
        <v>3114.7378113928362</v>
      </c>
      <c r="R32" s="637">
        <f>VLOOKUP($B32,'Afton Update'!$A$5:$CR$582,'Afton Update'!AJ$589,0)</f>
        <v>3388.9702614792168</v>
      </c>
      <c r="S32" s="637">
        <f>VLOOKUP($B32,'Afton Update'!$A$5:$CR$582,'Afton Update'!AK$589,0)</f>
        <v>3280.0554121351252</v>
      </c>
      <c r="T32" s="643">
        <f t="shared" si="47"/>
        <v>18564.987164989747</v>
      </c>
      <c r="V32" s="636">
        <f t="shared" si="70"/>
        <v>8707.3254606645442</v>
      </c>
      <c r="W32" s="637">
        <f t="shared" si="71"/>
        <v>3012.1497356637055</v>
      </c>
      <c r="X32" s="637">
        <f t="shared" si="72"/>
        <v>3365.0179667028838</v>
      </c>
      <c r="Y32" s="637">
        <f t="shared" si="73"/>
        <v>3282.4803267113821</v>
      </c>
      <c r="Z32" s="643">
        <f t="shared" si="74"/>
        <v>18366.973489742515</v>
      </c>
      <c r="AB32" s="644">
        <f t="shared" si="11"/>
        <v>8781.2236799825678</v>
      </c>
      <c r="AC32" s="645">
        <f t="shared" si="12"/>
        <v>8707.3254606645442</v>
      </c>
      <c r="AD32" s="644">
        <f t="shared" si="75"/>
        <v>0</v>
      </c>
      <c r="AE32" s="645">
        <f t="shared" si="76"/>
        <v>8781.2236799825678</v>
      </c>
      <c r="AF32" s="646">
        <f t="shared" si="77"/>
        <v>-108.84986642731958</v>
      </c>
      <c r="AG32" s="647">
        <f t="shared" si="78"/>
        <v>8672.3738135552485</v>
      </c>
      <c r="AH32" s="644">
        <f t="shared" si="13"/>
        <v>-34.951647109295664</v>
      </c>
      <c r="AI32" s="645">
        <f t="shared" si="14"/>
        <v>0</v>
      </c>
      <c r="AJ32" s="646">
        <f t="shared" si="79"/>
        <v>0</v>
      </c>
      <c r="AK32" s="647">
        <f t="shared" si="15"/>
        <v>8707.3254606645442</v>
      </c>
      <c r="AL32" s="644">
        <f t="shared" si="80"/>
        <v>0</v>
      </c>
      <c r="AM32" s="645">
        <f t="shared" si="81"/>
        <v>0</v>
      </c>
      <c r="AN32" s="646">
        <f t="shared" si="82"/>
        <v>0</v>
      </c>
      <c r="AO32" s="647">
        <f t="shared" si="16"/>
        <v>8707.3254606645442</v>
      </c>
      <c r="AP32" s="644">
        <f t="shared" si="83"/>
        <v>0</v>
      </c>
      <c r="AQ32" s="645">
        <f t="shared" si="84"/>
        <v>0</v>
      </c>
      <c r="AR32" s="646">
        <f t="shared" si="85"/>
        <v>0</v>
      </c>
      <c r="AS32" s="647">
        <f t="shared" si="17"/>
        <v>8707.3254606645442</v>
      </c>
      <c r="AT32" s="644">
        <f t="shared" si="86"/>
        <v>0</v>
      </c>
      <c r="AU32" s="645">
        <f t="shared" si="87"/>
        <v>0</v>
      </c>
      <c r="AV32" s="646">
        <f t="shared" si="88"/>
        <v>0</v>
      </c>
      <c r="AW32" s="647">
        <f t="shared" si="18"/>
        <v>8707.3254606645442</v>
      </c>
      <c r="AY32" s="644">
        <f t="shared" si="89"/>
        <v>3114.7378113928362</v>
      </c>
      <c r="AZ32" s="645">
        <f t="shared" si="48"/>
        <v>2032.0258252285275</v>
      </c>
      <c r="BA32" s="644">
        <f t="shared" si="90"/>
        <v>0</v>
      </c>
      <c r="BB32" s="645">
        <f t="shared" si="91"/>
        <v>3114.7378113928362</v>
      </c>
      <c r="BC32" s="646">
        <f t="shared" si="92"/>
        <v>-22.398987331150032</v>
      </c>
      <c r="BD32" s="647">
        <f t="shared" si="93"/>
        <v>3092.338824061686</v>
      </c>
      <c r="BE32" s="644">
        <f t="shared" si="19"/>
        <v>0</v>
      </c>
      <c r="BF32" s="645">
        <f t="shared" si="20"/>
        <v>3092.338824061686</v>
      </c>
      <c r="BG32" s="646">
        <f t="shared" si="94"/>
        <v>-73.656990714816018</v>
      </c>
      <c r="BH32" s="647">
        <f t="shared" si="21"/>
        <v>3018.68183334687</v>
      </c>
      <c r="BI32" s="644">
        <f t="shared" si="95"/>
        <v>0</v>
      </c>
      <c r="BJ32" s="645">
        <f t="shared" si="96"/>
        <v>3018.68183334687</v>
      </c>
      <c r="BK32" s="646">
        <f t="shared" si="97"/>
        <v>-6.3942771268956671</v>
      </c>
      <c r="BL32" s="647">
        <f t="shared" si="22"/>
        <v>3012.2875562199742</v>
      </c>
      <c r="BM32" s="644">
        <f t="shared" si="98"/>
        <v>0</v>
      </c>
      <c r="BN32" s="645">
        <f t="shared" si="99"/>
        <v>3012.2875562199742</v>
      </c>
      <c r="BO32" s="646">
        <f t="shared" si="100"/>
        <v>-0.13782055626883985</v>
      </c>
      <c r="BP32" s="647">
        <f t="shared" si="23"/>
        <v>3012.1497356637055</v>
      </c>
      <c r="BQ32" s="644">
        <f t="shared" si="101"/>
        <v>0</v>
      </c>
      <c r="BR32" s="645">
        <f t="shared" si="102"/>
        <v>3012.1497356637055</v>
      </c>
      <c r="BS32" s="646">
        <f t="shared" si="103"/>
        <v>0</v>
      </c>
      <c r="BT32" s="647">
        <f t="shared" si="24"/>
        <v>3012.1497356637055</v>
      </c>
      <c r="BU32" s="662">
        <f>VLOOKUP(B32,'Afton Update'!$A$5:$AR$582,'Afton Update'!$AO$589,0)-BT32</f>
        <v>0</v>
      </c>
      <c r="BV32" s="644">
        <f t="shared" si="104"/>
        <v>3388.9702614792168</v>
      </c>
      <c r="BW32" s="645">
        <f t="shared" si="25"/>
        <v>3365.0179667028838</v>
      </c>
      <c r="BX32" s="644">
        <f t="shared" si="105"/>
        <v>0</v>
      </c>
      <c r="BY32" s="645">
        <f t="shared" si="106"/>
        <v>3388.9702614792168</v>
      </c>
      <c r="BZ32" s="646">
        <f t="shared" si="107"/>
        <v>-29.745352296296048</v>
      </c>
      <c r="CA32" s="647">
        <f t="shared" si="108"/>
        <v>3359.2249091829208</v>
      </c>
      <c r="CB32" s="644">
        <f t="shared" si="26"/>
        <v>-5.7930575199629857</v>
      </c>
      <c r="CC32" s="645">
        <f t="shared" si="27"/>
        <v>0</v>
      </c>
      <c r="CD32" s="646">
        <f t="shared" si="109"/>
        <v>0</v>
      </c>
      <c r="CE32" s="647">
        <f t="shared" si="28"/>
        <v>3365.0179667028838</v>
      </c>
      <c r="CF32" s="644">
        <f t="shared" si="110"/>
        <v>0</v>
      </c>
      <c r="CG32" s="645">
        <f t="shared" si="111"/>
        <v>0</v>
      </c>
      <c r="CH32" s="646">
        <f t="shared" si="112"/>
        <v>0</v>
      </c>
      <c r="CI32" s="647">
        <f t="shared" si="29"/>
        <v>3365.0179667028838</v>
      </c>
      <c r="CJ32" s="644">
        <f t="shared" si="113"/>
        <v>0</v>
      </c>
      <c r="CK32" s="645">
        <f t="shared" si="114"/>
        <v>0</v>
      </c>
      <c r="CL32" s="646">
        <f t="shared" si="115"/>
        <v>0</v>
      </c>
      <c r="CM32" s="647">
        <f t="shared" si="30"/>
        <v>3365.0179667028838</v>
      </c>
      <c r="CN32" s="644">
        <f t="shared" si="116"/>
        <v>0</v>
      </c>
      <c r="CO32" s="645">
        <f t="shared" si="117"/>
        <v>0</v>
      </c>
      <c r="CP32" s="646">
        <f t="shared" si="118"/>
        <v>0</v>
      </c>
      <c r="CQ32" s="647">
        <f t="shared" si="31"/>
        <v>3365.0179667028838</v>
      </c>
      <c r="CS32" s="644">
        <f t="shared" si="119"/>
        <v>3280.0554121351252</v>
      </c>
      <c r="CT32" s="645">
        <f t="shared" si="32"/>
        <v>3282.4803267113821</v>
      </c>
      <c r="CU32" s="644">
        <f t="shared" si="120"/>
        <v>2.4249145762569242</v>
      </c>
      <c r="CV32" s="645">
        <f t="shared" si="121"/>
        <v>0</v>
      </c>
      <c r="CW32" s="646">
        <f t="shared" si="122"/>
        <v>0</v>
      </c>
      <c r="CX32" s="647">
        <f t="shared" si="123"/>
        <v>3282.4803267113821</v>
      </c>
      <c r="CY32" s="644">
        <f t="shared" si="33"/>
        <v>0</v>
      </c>
      <c r="CZ32" s="645">
        <f t="shared" si="34"/>
        <v>0</v>
      </c>
      <c r="DA32" s="646">
        <f t="shared" si="124"/>
        <v>0</v>
      </c>
      <c r="DB32" s="647">
        <f t="shared" si="35"/>
        <v>3282.4803267113821</v>
      </c>
      <c r="DC32" s="644">
        <f t="shared" si="125"/>
        <v>0</v>
      </c>
      <c r="DD32" s="645">
        <f t="shared" si="126"/>
        <v>0</v>
      </c>
      <c r="DE32" s="646">
        <f t="shared" si="127"/>
        <v>0</v>
      </c>
      <c r="DF32" s="647">
        <f t="shared" si="36"/>
        <v>3282.4803267113821</v>
      </c>
      <c r="DG32" s="644">
        <f t="shared" si="128"/>
        <v>0</v>
      </c>
      <c r="DH32" s="645">
        <f t="shared" si="129"/>
        <v>0</v>
      </c>
      <c r="DI32" s="646">
        <f t="shared" si="130"/>
        <v>0</v>
      </c>
      <c r="DJ32" s="647">
        <f t="shared" si="37"/>
        <v>3282.4803267113821</v>
      </c>
      <c r="DK32" s="644">
        <f t="shared" si="131"/>
        <v>0</v>
      </c>
      <c r="DL32" s="645">
        <f t="shared" si="132"/>
        <v>0</v>
      </c>
      <c r="DM32" s="646">
        <f t="shared" si="133"/>
        <v>0</v>
      </c>
      <c r="DN32" s="647">
        <f t="shared" si="38"/>
        <v>3282.4803267113821</v>
      </c>
      <c r="DR32" s="827">
        <f t="shared" si="49"/>
        <v>18366.973489742515</v>
      </c>
      <c r="DV32" s="828">
        <f>IFERROR(VLOOKUP($B32,'Afton FY16 Final'!$A$5:$BV$587,'Afton FY16 Final'!$BV$587,0),0)</f>
        <v>18044.954316478979</v>
      </c>
      <c r="DX32" s="636">
        <f t="shared" si="39"/>
        <v>18366.973489742515</v>
      </c>
      <c r="DY32" s="637">
        <f t="shared" si="40"/>
        <v>322.01917326353578</v>
      </c>
      <c r="DZ32" s="637">
        <f t="shared" si="41"/>
        <v>18044.954316478979</v>
      </c>
      <c r="EA32" s="643">
        <f t="shared" si="42"/>
        <v>17390.056346124413</v>
      </c>
      <c r="EB32" s="637">
        <f t="shared" si="50"/>
        <v>18044.954316478979</v>
      </c>
      <c r="EC32" s="637">
        <f t="shared" si="51"/>
        <v>0</v>
      </c>
      <c r="ED32" s="637">
        <f t="shared" si="52"/>
        <v>0</v>
      </c>
      <c r="EE32" s="643">
        <f t="shared" si="53"/>
        <v>18044.954316478979</v>
      </c>
      <c r="EF32" s="637">
        <f t="shared" si="54"/>
        <v>0</v>
      </c>
      <c r="EG32" s="637">
        <f t="shared" si="55"/>
        <v>0</v>
      </c>
      <c r="EH32" s="637">
        <f t="shared" si="56"/>
        <v>0</v>
      </c>
      <c r="EI32" s="643">
        <f t="shared" si="57"/>
        <v>18044.954316478979</v>
      </c>
      <c r="EJ32" s="637">
        <f t="shared" si="58"/>
        <v>0</v>
      </c>
      <c r="EK32" s="637">
        <f t="shared" si="59"/>
        <v>0</v>
      </c>
      <c r="EL32" s="637">
        <f t="shared" si="60"/>
        <v>0</v>
      </c>
      <c r="EM32" s="643">
        <f t="shared" si="61"/>
        <v>18044.954316478979</v>
      </c>
      <c r="EN32" s="637">
        <f t="shared" si="62"/>
        <v>0</v>
      </c>
      <c r="EO32" s="637">
        <f t="shared" si="63"/>
        <v>0</v>
      </c>
      <c r="EP32" s="637">
        <f t="shared" si="64"/>
        <v>0</v>
      </c>
      <c r="EQ32" s="643">
        <f t="shared" si="65"/>
        <v>18044.954316478979</v>
      </c>
      <c r="ER32" s="637">
        <f t="shared" si="66"/>
        <v>0</v>
      </c>
      <c r="ES32" s="637">
        <f t="shared" si="67"/>
        <v>0</v>
      </c>
      <c r="ET32" s="637">
        <f t="shared" si="68"/>
        <v>0</v>
      </c>
      <c r="EU32" s="643">
        <f t="shared" si="43"/>
        <v>18044.954316478979</v>
      </c>
      <c r="EV32" s="643">
        <f t="shared" si="44"/>
        <v>0</v>
      </c>
      <c r="EX32" s="829">
        <f t="shared" si="45"/>
        <v>322.01917326353578</v>
      </c>
      <c r="EY32" s="638">
        <f t="shared" si="46"/>
        <v>18044.954316478979</v>
      </c>
      <c r="FC32" s="830" t="str">
        <f t="shared" si="69"/>
        <v>Y</v>
      </c>
      <c r="FE32" s="830" t="str">
        <f>IFERROR(VLOOKUP($B32,'Historical Conc Grant Elig'!$B$3:$J$707,'HH &amp; SI'!FE$2,0),"N")</f>
        <v>Y</v>
      </c>
      <c r="FF32" s="830" t="str">
        <f>IFERROR(VLOOKUP($B32,'Historical Conc Grant Elig'!$B$3:$J$707,'HH &amp; SI'!FF$2,0),"N")</f>
        <v>Y</v>
      </c>
      <c r="FG32" s="830" t="str">
        <f>IFERROR(VLOOKUP($B32,'Historical Conc Grant Elig'!$B$3:$J$707,'HH &amp; SI'!FG$2,0),"N")</f>
        <v>Y</v>
      </c>
      <c r="FH32" s="830" t="str">
        <f>IFERROR(VLOOKUP($B32,'Historical Conc Grant Elig'!$B$3:$J$707,'HH &amp; SI'!FH$2,0),"N")</f>
        <v>Y</v>
      </c>
      <c r="FI32" s="830" t="str">
        <f>IFERROR(VLOOKUP($B32,'Historical Conc Grant Elig'!$B$3:$J$707,'HH &amp; SI'!FI$2,0),"N")</f>
        <v>Y</v>
      </c>
      <c r="FJ32" s="830" t="str">
        <f>IFERROR(VLOOKUP($B32,'Historical Conc Grant Elig'!$B$3:$J$707,'HH &amp; SI'!FJ$2,0),"N")</f>
        <v>Y</v>
      </c>
      <c r="FK32" s="830" t="str">
        <f>IFERROR(VLOOKUP($B32,'Historical Conc Grant Elig'!$B$3:$J$707,'HH &amp; SI'!FK$2,0),"N")</f>
        <v>Y</v>
      </c>
      <c r="FL32" s="957" t="str">
        <f>IFERROR(VLOOKUP($B32,'Historical Conc Grant Elig'!$B$3:$J$707,'HH &amp; SI'!FL$2,0),"N")</f>
        <v>Y</v>
      </c>
    </row>
    <row r="33" spans="2:168" x14ac:dyDescent="0.25">
      <c r="B33" s="634">
        <v>20364000</v>
      </c>
      <c r="C33" s="635" t="str">
        <f>VLOOKUP($B33,'Afton Update'!$A$5:$CR$582,'Afton Update'!D$589,0)</f>
        <v>Pomerene Elementary District</v>
      </c>
      <c r="D33" s="636">
        <f>IFERROR(VLOOKUP($B33,'Afton FY16 Final'!$A$5:$BV$587,'Afton FY16 Final'!AQ$587,0),0)</f>
        <v>11405.426532105776</v>
      </c>
      <c r="E33" s="637">
        <f>IFERROR(VLOOKUP($B33,'Afton FY16 Final'!$A$5:$BV$587,'Afton FY16 Final'!AR$587,0),0)</f>
        <v>2906.9956014120248</v>
      </c>
      <c r="F33" s="637">
        <f>IFERROR(VLOOKUP($B33,'Afton FY16 Final'!$A$5:$BV$587,'Afton FY16 Final'!AS$587,0),0)</f>
        <v>4377.6336737851389</v>
      </c>
      <c r="G33" s="637">
        <f>IFERROR(VLOOKUP($B33,'Afton FY16 Final'!$A$5:$BV$587,'Afton FY16 Final'!AT$587,0),0)</f>
        <v>3831.5152148711481</v>
      </c>
      <c r="H33" s="638">
        <f>IFERROR(VLOOKUP($B33,'Afton FY16 Final'!$A$5:$BV$587,'Afton FY16 Final'!AU$587,0),0)</f>
        <v>22521.571022174088</v>
      </c>
      <c r="I33" s="639" t="str">
        <f>VLOOKUP($B33,'Afton Update'!$A$5:$CR$582,'Afton Update'!BT$589,0)</f>
        <v>Y</v>
      </c>
      <c r="J33" s="640" t="str">
        <f>VLOOKUP($B33,'Afton Update'!$A$5:$CR$582,'Afton Update'!BU$589,0)</f>
        <v>Y</v>
      </c>
      <c r="K33" s="640" t="str">
        <f>VLOOKUP($B33,'Afton Update'!$A$5:$CR$582,'Afton Update'!BV$589,0)</f>
        <v>Y</v>
      </c>
      <c r="L33" s="641" t="str">
        <f>VLOOKUP($B33,'Afton Update'!$A$5:$CR$582,'Afton Update'!BW$589,0)</f>
        <v>Y</v>
      </c>
      <c r="N33" s="642">
        <f>VLOOKUP($B33,'Afton Update'!$A$5:$CR$582,'Afton Update'!CB$589,0)</f>
        <v>0.9</v>
      </c>
      <c r="P33" s="636">
        <f>VLOOKUP($B33,'Afton Update'!$A$5:$CR$582,'Afton Update'!AH$589,0)</f>
        <v>15335.06317114627</v>
      </c>
      <c r="Q33" s="637">
        <f>VLOOKUP($B33,'Afton Update'!$A$5:$CR$582,'Afton Update'!AI$589,0)</f>
        <v>4688.4025992132028</v>
      </c>
      <c r="R33" s="637">
        <f>VLOOKUP($B33,'Afton Update'!$A$5:$CR$582,'Afton Update'!AJ$589,0)</f>
        <v>5992.9341106032498</v>
      </c>
      <c r="S33" s="637">
        <f>VLOOKUP($B33,'Afton Update'!$A$5:$CR$582,'Afton Update'!AK$589,0)</f>
        <v>4502.383435569076</v>
      </c>
      <c r="T33" s="643">
        <f t="shared" si="47"/>
        <v>30518.783316531801</v>
      </c>
      <c r="V33" s="636">
        <f t="shared" si="70"/>
        <v>15125.882956059551</v>
      </c>
      <c r="W33" s="637">
        <f t="shared" si="71"/>
        <v>4533.9837588416412</v>
      </c>
      <c r="X33" s="637">
        <f t="shared" si="72"/>
        <v>5938.4307147199661</v>
      </c>
      <c r="Y33" s="637">
        <f t="shared" si="73"/>
        <v>4452.7752748132889</v>
      </c>
      <c r="Z33" s="643">
        <f t="shared" si="74"/>
        <v>30051.072704434446</v>
      </c>
      <c r="AB33" s="644">
        <f t="shared" si="11"/>
        <v>15335.06317114627</v>
      </c>
      <c r="AC33" s="645">
        <f t="shared" si="12"/>
        <v>10264.883878895198</v>
      </c>
      <c r="AD33" s="644">
        <f t="shared" si="75"/>
        <v>0</v>
      </c>
      <c r="AE33" s="645">
        <f t="shared" si="76"/>
        <v>15335.06317114627</v>
      </c>
      <c r="AF33" s="646">
        <f t="shared" si="77"/>
        <v>-190.0896319995681</v>
      </c>
      <c r="AG33" s="647">
        <f t="shared" si="78"/>
        <v>15144.973539146702</v>
      </c>
      <c r="AH33" s="644">
        <f t="shared" si="13"/>
        <v>0</v>
      </c>
      <c r="AI33" s="645">
        <f t="shared" si="14"/>
        <v>15144.973539146702</v>
      </c>
      <c r="AJ33" s="646">
        <f t="shared" si="79"/>
        <v>-19.078420535300793</v>
      </c>
      <c r="AK33" s="647">
        <f t="shared" si="15"/>
        <v>15125.895118611401</v>
      </c>
      <c r="AL33" s="644">
        <f t="shared" si="80"/>
        <v>0</v>
      </c>
      <c r="AM33" s="645">
        <f t="shared" si="81"/>
        <v>15125.895118611401</v>
      </c>
      <c r="AN33" s="646">
        <f t="shared" si="82"/>
        <v>-1.2162551849489009E-2</v>
      </c>
      <c r="AO33" s="647">
        <f t="shared" si="16"/>
        <v>15125.882956059551</v>
      </c>
      <c r="AP33" s="644">
        <f t="shared" si="83"/>
        <v>0</v>
      </c>
      <c r="AQ33" s="645">
        <f t="shared" si="84"/>
        <v>15125.882956059551</v>
      </c>
      <c r="AR33" s="646">
        <f t="shared" si="85"/>
        <v>0</v>
      </c>
      <c r="AS33" s="647">
        <f t="shared" si="17"/>
        <v>15125.882956059551</v>
      </c>
      <c r="AT33" s="644">
        <f t="shared" si="86"/>
        <v>0</v>
      </c>
      <c r="AU33" s="645">
        <f t="shared" si="87"/>
        <v>15125.882956059551</v>
      </c>
      <c r="AV33" s="646">
        <f t="shared" si="88"/>
        <v>0</v>
      </c>
      <c r="AW33" s="647">
        <f t="shared" si="18"/>
        <v>15125.882956059551</v>
      </c>
      <c r="AY33" s="644">
        <f t="shared" si="89"/>
        <v>4688.4025992132028</v>
      </c>
      <c r="AZ33" s="645">
        <f t="shared" si="48"/>
        <v>2616.2960412708226</v>
      </c>
      <c r="BA33" s="644">
        <f t="shared" si="90"/>
        <v>0</v>
      </c>
      <c r="BB33" s="645">
        <f t="shared" si="91"/>
        <v>4688.4025992132028</v>
      </c>
      <c r="BC33" s="646">
        <f t="shared" si="92"/>
        <v>-33.715669434194524</v>
      </c>
      <c r="BD33" s="647">
        <f t="shared" si="93"/>
        <v>4654.6869297790081</v>
      </c>
      <c r="BE33" s="644">
        <f t="shared" si="19"/>
        <v>0</v>
      </c>
      <c r="BF33" s="645">
        <f t="shared" si="20"/>
        <v>4654.6869297790081</v>
      </c>
      <c r="BG33" s="646">
        <f t="shared" si="94"/>
        <v>-110.87084937115181</v>
      </c>
      <c r="BH33" s="647">
        <f t="shared" si="21"/>
        <v>4543.8160804078561</v>
      </c>
      <c r="BI33" s="644">
        <f t="shared" si="95"/>
        <v>0</v>
      </c>
      <c r="BJ33" s="645">
        <f t="shared" si="96"/>
        <v>4543.8160804078561</v>
      </c>
      <c r="BK33" s="646">
        <f t="shared" si="97"/>
        <v>-9.6248696735155725</v>
      </c>
      <c r="BL33" s="647">
        <f t="shared" si="22"/>
        <v>4534.1912107343405</v>
      </c>
      <c r="BM33" s="644">
        <f t="shared" si="98"/>
        <v>0</v>
      </c>
      <c r="BN33" s="645">
        <f t="shared" si="99"/>
        <v>4534.1912107343405</v>
      </c>
      <c r="BO33" s="646">
        <f t="shared" si="100"/>
        <v>-0.20745189269940245</v>
      </c>
      <c r="BP33" s="647">
        <f t="shared" si="23"/>
        <v>4533.9837588416412</v>
      </c>
      <c r="BQ33" s="644">
        <f t="shared" si="101"/>
        <v>0</v>
      </c>
      <c r="BR33" s="645">
        <f t="shared" si="102"/>
        <v>4533.9837588416412</v>
      </c>
      <c r="BS33" s="646">
        <f t="shared" si="103"/>
        <v>0</v>
      </c>
      <c r="BT33" s="647">
        <f t="shared" si="24"/>
        <v>4533.9837588416412</v>
      </c>
      <c r="BU33" s="662">
        <f>VLOOKUP(B33,'Afton Update'!$A$5:$AR$582,'Afton Update'!$AO$589,0)-BT33</f>
        <v>0</v>
      </c>
      <c r="BV33" s="644">
        <f t="shared" si="104"/>
        <v>5992.9341106032498</v>
      </c>
      <c r="BW33" s="645">
        <f t="shared" si="25"/>
        <v>3939.8703064066249</v>
      </c>
      <c r="BX33" s="644">
        <f t="shared" si="105"/>
        <v>0</v>
      </c>
      <c r="BY33" s="645">
        <f t="shared" si="106"/>
        <v>5992.9341106032498</v>
      </c>
      <c r="BZ33" s="646">
        <f t="shared" si="107"/>
        <v>-52.600619850401273</v>
      </c>
      <c r="CA33" s="647">
        <f t="shared" si="108"/>
        <v>5940.3334907528488</v>
      </c>
      <c r="CB33" s="644">
        <f t="shared" si="26"/>
        <v>0</v>
      </c>
      <c r="CC33" s="645">
        <f t="shared" si="27"/>
        <v>5940.3334907528488</v>
      </c>
      <c r="CD33" s="646">
        <f t="shared" si="109"/>
        <v>-1.9027760328825623</v>
      </c>
      <c r="CE33" s="647">
        <f t="shared" si="28"/>
        <v>5938.4307147199661</v>
      </c>
      <c r="CF33" s="644">
        <f t="shared" si="110"/>
        <v>0</v>
      </c>
      <c r="CG33" s="645">
        <f t="shared" si="111"/>
        <v>5938.4307147199661</v>
      </c>
      <c r="CH33" s="646">
        <f t="shared" si="112"/>
        <v>0</v>
      </c>
      <c r="CI33" s="647">
        <f t="shared" si="29"/>
        <v>5938.4307147199661</v>
      </c>
      <c r="CJ33" s="644">
        <f t="shared" si="113"/>
        <v>0</v>
      </c>
      <c r="CK33" s="645">
        <f t="shared" si="114"/>
        <v>5938.4307147199661</v>
      </c>
      <c r="CL33" s="646">
        <f t="shared" si="115"/>
        <v>0</v>
      </c>
      <c r="CM33" s="647">
        <f t="shared" si="30"/>
        <v>5938.4307147199661</v>
      </c>
      <c r="CN33" s="644">
        <f t="shared" si="116"/>
        <v>0</v>
      </c>
      <c r="CO33" s="645">
        <f t="shared" si="117"/>
        <v>5938.4307147199661</v>
      </c>
      <c r="CP33" s="646">
        <f t="shared" si="118"/>
        <v>0</v>
      </c>
      <c r="CQ33" s="647">
        <f t="shared" si="31"/>
        <v>5938.4307147199661</v>
      </c>
      <c r="CS33" s="644">
        <f t="shared" si="119"/>
        <v>4502.383435569076</v>
      </c>
      <c r="CT33" s="645">
        <f t="shared" si="32"/>
        <v>3448.3636933840335</v>
      </c>
      <c r="CU33" s="644">
        <f t="shared" si="120"/>
        <v>0</v>
      </c>
      <c r="CV33" s="645">
        <f t="shared" si="121"/>
        <v>4502.383435569076</v>
      </c>
      <c r="CW33" s="646">
        <f t="shared" si="122"/>
        <v>-46.1069507760498</v>
      </c>
      <c r="CX33" s="647">
        <f t="shared" si="123"/>
        <v>4456.2764847930266</v>
      </c>
      <c r="CY33" s="644">
        <f t="shared" si="33"/>
        <v>0</v>
      </c>
      <c r="CZ33" s="645">
        <f t="shared" si="34"/>
        <v>4456.2764847930266</v>
      </c>
      <c r="DA33" s="646">
        <f t="shared" si="124"/>
        <v>-3.4981932237901958</v>
      </c>
      <c r="DB33" s="647">
        <f t="shared" si="35"/>
        <v>4452.778291569236</v>
      </c>
      <c r="DC33" s="644">
        <f t="shared" si="125"/>
        <v>0</v>
      </c>
      <c r="DD33" s="645">
        <f t="shared" si="126"/>
        <v>4452.778291569236</v>
      </c>
      <c r="DE33" s="646">
        <f t="shared" si="127"/>
        <v>-3.0167559472601161E-3</v>
      </c>
      <c r="DF33" s="647">
        <f t="shared" si="36"/>
        <v>4452.7752748132889</v>
      </c>
      <c r="DG33" s="644">
        <f t="shared" si="128"/>
        <v>0</v>
      </c>
      <c r="DH33" s="645">
        <f t="shared" si="129"/>
        <v>4452.7752748132889</v>
      </c>
      <c r="DI33" s="646">
        <f t="shared" si="130"/>
        <v>0</v>
      </c>
      <c r="DJ33" s="647">
        <f t="shared" si="37"/>
        <v>4452.7752748132889</v>
      </c>
      <c r="DK33" s="644">
        <f t="shared" si="131"/>
        <v>0</v>
      </c>
      <c r="DL33" s="645">
        <f t="shared" si="132"/>
        <v>4452.7752748132889</v>
      </c>
      <c r="DM33" s="646">
        <f t="shared" si="133"/>
        <v>0</v>
      </c>
      <c r="DN33" s="647">
        <f t="shared" si="38"/>
        <v>4452.7752748132889</v>
      </c>
      <c r="DR33" s="827">
        <f t="shared" si="49"/>
        <v>30051.072704434446</v>
      </c>
      <c r="DV33" s="828">
        <f>IFERROR(VLOOKUP($B33,'Afton FY16 Final'!$A$5:$BV$587,'Afton FY16 Final'!$BV$587,0),0)</f>
        <v>22078.121292477252</v>
      </c>
      <c r="DX33" s="636">
        <f t="shared" si="39"/>
        <v>30051.072704434446</v>
      </c>
      <c r="DY33" s="637">
        <f t="shared" si="40"/>
        <v>7972.9514119571941</v>
      </c>
      <c r="DZ33" s="637">
        <f t="shared" si="41"/>
        <v>22078.121292477252</v>
      </c>
      <c r="EA33" s="643">
        <f t="shared" si="42"/>
        <v>28452.692430979412</v>
      </c>
      <c r="EB33" s="637">
        <f t="shared" si="50"/>
        <v>0</v>
      </c>
      <c r="EC33" s="637">
        <f t="shared" si="51"/>
        <v>28452.692430979412</v>
      </c>
      <c r="ED33" s="637">
        <f t="shared" si="52"/>
        <v>28367.848200995799</v>
      </c>
      <c r="EE33" s="643">
        <f t="shared" si="53"/>
        <v>28367.848200995799</v>
      </c>
      <c r="EF33" s="637">
        <f t="shared" si="54"/>
        <v>0</v>
      </c>
      <c r="EG33" s="637">
        <f t="shared" si="55"/>
        <v>28367.848200995799</v>
      </c>
      <c r="EH33" s="637">
        <f t="shared" si="56"/>
        <v>28367.818934994091</v>
      </c>
      <c r="EI33" s="643">
        <f t="shared" si="57"/>
        <v>28367.818934994091</v>
      </c>
      <c r="EJ33" s="637">
        <f t="shared" si="58"/>
        <v>0</v>
      </c>
      <c r="EK33" s="637">
        <f t="shared" si="59"/>
        <v>28367.818934994091</v>
      </c>
      <c r="EL33" s="637">
        <f t="shared" si="60"/>
        <v>28367.818934994051</v>
      </c>
      <c r="EM33" s="643">
        <f t="shared" si="61"/>
        <v>28367.818934994051</v>
      </c>
      <c r="EN33" s="637">
        <f t="shared" si="62"/>
        <v>0</v>
      </c>
      <c r="EO33" s="637">
        <f t="shared" si="63"/>
        <v>28367.818934994051</v>
      </c>
      <c r="EP33" s="637">
        <f t="shared" si="64"/>
        <v>28367.818934994095</v>
      </c>
      <c r="EQ33" s="643">
        <f t="shared" si="65"/>
        <v>28367.818934994095</v>
      </c>
      <c r="ER33" s="637">
        <f t="shared" si="66"/>
        <v>0</v>
      </c>
      <c r="ES33" s="637">
        <f t="shared" si="67"/>
        <v>28367.818934994095</v>
      </c>
      <c r="ET33" s="637">
        <f t="shared" si="68"/>
        <v>28367.818934994051</v>
      </c>
      <c r="EU33" s="643">
        <f t="shared" si="43"/>
        <v>28367.818934994051</v>
      </c>
      <c r="EV33" s="643">
        <f t="shared" si="44"/>
        <v>0</v>
      </c>
      <c r="EX33" s="829">
        <f t="shared" si="45"/>
        <v>1683.2537694403945</v>
      </c>
      <c r="EY33" s="638">
        <f t="shared" si="46"/>
        <v>28367.818934994051</v>
      </c>
      <c r="FC33" s="830" t="str">
        <f t="shared" si="69"/>
        <v>Y</v>
      </c>
      <c r="FE33" s="830" t="str">
        <f>IFERROR(VLOOKUP($B33,'Historical Conc Grant Elig'!$B$3:$J$707,'HH &amp; SI'!FE$2,0),"N")</f>
        <v>Y</v>
      </c>
      <c r="FF33" s="830" t="str">
        <f>IFERROR(VLOOKUP($B33,'Historical Conc Grant Elig'!$B$3:$J$707,'HH &amp; SI'!FF$2,0),"N")</f>
        <v>Y</v>
      </c>
      <c r="FG33" s="830" t="str">
        <f>IFERROR(VLOOKUP($B33,'Historical Conc Grant Elig'!$B$3:$J$707,'HH &amp; SI'!FG$2,0),"N")</f>
        <v>Y</v>
      </c>
      <c r="FH33" s="830" t="str">
        <f>IFERROR(VLOOKUP($B33,'Historical Conc Grant Elig'!$B$3:$J$707,'HH &amp; SI'!FH$2,0),"N")</f>
        <v>N</v>
      </c>
      <c r="FI33" s="830" t="str">
        <f>IFERROR(VLOOKUP($B33,'Historical Conc Grant Elig'!$B$3:$J$707,'HH &amp; SI'!FI$2,0),"N")</f>
        <v>Y</v>
      </c>
      <c r="FJ33" s="830" t="str">
        <f>IFERROR(VLOOKUP($B33,'Historical Conc Grant Elig'!$B$3:$J$707,'HH &amp; SI'!FJ$2,0),"N")</f>
        <v>Y</v>
      </c>
      <c r="FK33" s="830" t="str">
        <f>IFERROR(VLOOKUP($B33,'Historical Conc Grant Elig'!$B$3:$J$707,'HH &amp; SI'!FK$2,0),"N")</f>
        <v>Y</v>
      </c>
      <c r="FL33" s="957" t="str">
        <f>IFERROR(VLOOKUP($B33,'Historical Conc Grant Elig'!$B$3:$J$707,'HH &amp; SI'!FL$2,0),"N")</f>
        <v>Y</v>
      </c>
    </row>
    <row r="34" spans="2:168" x14ac:dyDescent="0.25">
      <c r="B34" s="634">
        <v>20412000</v>
      </c>
      <c r="C34" s="635" t="str">
        <f>VLOOKUP($B34,'Afton Update'!$A$5:$CR$582,'Afton Update'!D$589,0)</f>
        <v>Elfrida Elementary District</v>
      </c>
      <c r="D34" s="636">
        <f>IFERROR(VLOOKUP($B34,'Afton FY16 Final'!$A$5:$BV$587,'Afton FY16 Final'!AQ$587,0),0)</f>
        <v>18092.539101244736</v>
      </c>
      <c r="E34" s="637">
        <f>IFERROR(VLOOKUP($B34,'Afton FY16 Final'!$A$5:$BV$587,'Afton FY16 Final'!AR$587,0),0)</f>
        <v>4602.9498697207591</v>
      </c>
      <c r="F34" s="637">
        <f>IFERROR(VLOOKUP($B34,'Afton FY16 Final'!$A$5:$BV$587,'Afton FY16 Final'!AS$587,0),0)</f>
        <v>8163.7940418048411</v>
      </c>
      <c r="G34" s="637">
        <f>IFERROR(VLOOKUP($B34,'Afton FY16 Final'!$A$5:$BV$587,'Afton FY16 Final'!AT$587,0),0)</f>
        <v>7603.9403906918278</v>
      </c>
      <c r="H34" s="638">
        <f>IFERROR(VLOOKUP($B34,'Afton FY16 Final'!$A$5:$BV$587,'Afton FY16 Final'!AU$587,0),0)</f>
        <v>38463.223403462165</v>
      </c>
      <c r="I34" s="639" t="str">
        <f>VLOOKUP($B34,'Afton Update'!$A$5:$CR$582,'Afton Update'!BT$589,0)</f>
        <v>Y</v>
      </c>
      <c r="J34" s="640" t="str">
        <f>VLOOKUP($B34,'Afton Update'!$A$5:$CR$582,'Afton Update'!BU$589,0)</f>
        <v>N</v>
      </c>
      <c r="K34" s="640" t="str">
        <f>VLOOKUP($B34,'Afton Update'!$A$5:$CR$582,'Afton Update'!BV$589,0)</f>
        <v>Y</v>
      </c>
      <c r="L34" s="641" t="str">
        <f>VLOOKUP($B34,'Afton Update'!$A$5:$CR$582,'Afton Update'!BW$589,0)</f>
        <v>Y</v>
      </c>
      <c r="N34" s="642">
        <f>VLOOKUP($B34,'Afton Update'!$A$5:$CR$582,'Afton Update'!CB$589,0)</f>
        <v>0.85</v>
      </c>
      <c r="P34" s="636">
        <f>VLOOKUP($B34,'Afton Update'!$A$5:$CR$582,'Afton Update'!AH$589,0)</f>
        <v>15405.088704034093</v>
      </c>
      <c r="Q34" s="637" t="str">
        <f>VLOOKUP($B34,'Afton Update'!$A$5:$CR$582,'Afton Update'!AI$589,0)</f>
        <v/>
      </c>
      <c r="R34" s="637">
        <f>VLOOKUP($B34,'Afton Update'!$A$5:$CR$582,'Afton Update'!AJ$589,0)</f>
        <v>6939.0542386164025</v>
      </c>
      <c r="S34" s="637">
        <f>VLOOKUP($B34,'Afton Update'!$A$5:$CR$582,'Afton Update'!AK$589,0)</f>
        <v>6458.5745677492423</v>
      </c>
      <c r="T34" s="643">
        <f t="shared" si="47"/>
        <v>28802.717510399736</v>
      </c>
      <c r="V34" s="636">
        <f t="shared" si="70"/>
        <v>15378.658236058025</v>
      </c>
      <c r="W34" s="637">
        <f t="shared" si="71"/>
        <v>3912.5073892626451</v>
      </c>
      <c r="X34" s="637">
        <f t="shared" si="72"/>
        <v>6939.2249355341146</v>
      </c>
      <c r="Y34" s="637">
        <f t="shared" si="73"/>
        <v>6463.3493320880534</v>
      </c>
      <c r="Z34" s="643">
        <f t="shared" si="74"/>
        <v>32693.739892942838</v>
      </c>
      <c r="AB34" s="644">
        <f t="shared" si="11"/>
        <v>15405.088704034093</v>
      </c>
      <c r="AC34" s="645">
        <f t="shared" si="12"/>
        <v>15378.658236058025</v>
      </c>
      <c r="AD34" s="644">
        <f t="shared" si="75"/>
        <v>0</v>
      </c>
      <c r="AE34" s="645">
        <f t="shared" si="76"/>
        <v>15405.088704034093</v>
      </c>
      <c r="AF34" s="646">
        <f t="shared" si="77"/>
        <v>-190.95765110249985</v>
      </c>
      <c r="AG34" s="647">
        <f t="shared" si="78"/>
        <v>15214.131052931592</v>
      </c>
      <c r="AH34" s="644">
        <f t="shared" si="13"/>
        <v>-164.52718312643265</v>
      </c>
      <c r="AI34" s="645">
        <f t="shared" si="14"/>
        <v>0</v>
      </c>
      <c r="AJ34" s="646">
        <f t="shared" si="79"/>
        <v>0</v>
      </c>
      <c r="AK34" s="647">
        <f t="shared" si="15"/>
        <v>15378.658236058025</v>
      </c>
      <c r="AL34" s="644">
        <f t="shared" si="80"/>
        <v>0</v>
      </c>
      <c r="AM34" s="645">
        <f t="shared" si="81"/>
        <v>0</v>
      </c>
      <c r="AN34" s="646">
        <f t="shared" si="82"/>
        <v>0</v>
      </c>
      <c r="AO34" s="647">
        <f t="shared" si="16"/>
        <v>15378.658236058025</v>
      </c>
      <c r="AP34" s="644">
        <f t="shared" si="83"/>
        <v>0</v>
      </c>
      <c r="AQ34" s="645">
        <f t="shared" si="84"/>
        <v>0</v>
      </c>
      <c r="AR34" s="646">
        <f t="shared" si="85"/>
        <v>0</v>
      </c>
      <c r="AS34" s="647">
        <f t="shared" si="17"/>
        <v>15378.658236058025</v>
      </c>
      <c r="AT34" s="644">
        <f t="shared" si="86"/>
        <v>0</v>
      </c>
      <c r="AU34" s="645">
        <f t="shared" si="87"/>
        <v>0</v>
      </c>
      <c r="AV34" s="646">
        <f t="shared" si="88"/>
        <v>0</v>
      </c>
      <c r="AW34" s="647">
        <f t="shared" si="18"/>
        <v>15378.658236058025</v>
      </c>
      <c r="AY34" s="644">
        <f t="shared" si="89"/>
        <v>0</v>
      </c>
      <c r="AZ34" s="645">
        <f t="shared" si="48"/>
        <v>3912.5073892626451</v>
      </c>
      <c r="BA34" s="644">
        <f t="shared" si="90"/>
        <v>0</v>
      </c>
      <c r="BB34" s="645">
        <f t="shared" si="91"/>
        <v>0</v>
      </c>
      <c r="BC34" s="646">
        <f t="shared" si="92"/>
        <v>0</v>
      </c>
      <c r="BD34" s="647">
        <f t="shared" si="93"/>
        <v>0</v>
      </c>
      <c r="BE34" s="644">
        <f t="shared" si="19"/>
        <v>-3912.5073892626451</v>
      </c>
      <c r="BF34" s="645">
        <f t="shared" si="20"/>
        <v>0</v>
      </c>
      <c r="BG34" s="646">
        <f t="shared" si="94"/>
        <v>0</v>
      </c>
      <c r="BH34" s="647">
        <f t="shared" si="21"/>
        <v>3912.5073892626451</v>
      </c>
      <c r="BI34" s="644">
        <f t="shared" si="95"/>
        <v>0</v>
      </c>
      <c r="BJ34" s="645">
        <f t="shared" si="96"/>
        <v>0</v>
      </c>
      <c r="BK34" s="646">
        <f t="shared" si="97"/>
        <v>0</v>
      </c>
      <c r="BL34" s="647">
        <f t="shared" si="22"/>
        <v>3912.5073892626451</v>
      </c>
      <c r="BM34" s="644">
        <f t="shared" si="98"/>
        <v>0</v>
      </c>
      <c r="BN34" s="645">
        <f t="shared" si="99"/>
        <v>0</v>
      </c>
      <c r="BO34" s="646">
        <f t="shared" si="100"/>
        <v>0</v>
      </c>
      <c r="BP34" s="647">
        <f t="shared" si="23"/>
        <v>3912.5073892626451</v>
      </c>
      <c r="BQ34" s="644">
        <f t="shared" si="101"/>
        <v>0</v>
      </c>
      <c r="BR34" s="645">
        <f t="shared" si="102"/>
        <v>0</v>
      </c>
      <c r="BS34" s="646">
        <f t="shared" si="103"/>
        <v>0</v>
      </c>
      <c r="BT34" s="647">
        <f t="shared" si="24"/>
        <v>3912.5073892626451</v>
      </c>
      <c r="BU34" s="662">
        <f>VLOOKUP(B34,'Afton Update'!$A$5:$AR$582,'Afton Update'!$AO$589,0)-BT34</f>
        <v>0</v>
      </c>
      <c r="BV34" s="644">
        <f t="shared" si="104"/>
        <v>6939.0542386164025</v>
      </c>
      <c r="BW34" s="645">
        <f t="shared" si="25"/>
        <v>6939.2249355341146</v>
      </c>
      <c r="BX34" s="644">
        <f t="shared" si="105"/>
        <v>0.17069691771212092</v>
      </c>
      <c r="BY34" s="645">
        <f t="shared" si="106"/>
        <v>0</v>
      </c>
      <c r="BZ34" s="646">
        <f t="shared" si="107"/>
        <v>0</v>
      </c>
      <c r="CA34" s="647">
        <f t="shared" si="108"/>
        <v>6939.2249355341146</v>
      </c>
      <c r="CB34" s="644">
        <f t="shared" si="26"/>
        <v>0</v>
      </c>
      <c r="CC34" s="645">
        <f t="shared" si="27"/>
        <v>0</v>
      </c>
      <c r="CD34" s="646">
        <f t="shared" si="109"/>
        <v>0</v>
      </c>
      <c r="CE34" s="647">
        <f t="shared" si="28"/>
        <v>6939.2249355341146</v>
      </c>
      <c r="CF34" s="644">
        <f t="shared" si="110"/>
        <v>0</v>
      </c>
      <c r="CG34" s="645">
        <f t="shared" si="111"/>
        <v>0</v>
      </c>
      <c r="CH34" s="646">
        <f t="shared" si="112"/>
        <v>0</v>
      </c>
      <c r="CI34" s="647">
        <f t="shared" si="29"/>
        <v>6939.2249355341146</v>
      </c>
      <c r="CJ34" s="644">
        <f t="shared" si="113"/>
        <v>0</v>
      </c>
      <c r="CK34" s="645">
        <f t="shared" si="114"/>
        <v>0</v>
      </c>
      <c r="CL34" s="646">
        <f t="shared" si="115"/>
        <v>0</v>
      </c>
      <c r="CM34" s="647">
        <f t="shared" si="30"/>
        <v>6939.2249355341146</v>
      </c>
      <c r="CN34" s="644">
        <f t="shared" si="116"/>
        <v>0</v>
      </c>
      <c r="CO34" s="645">
        <f t="shared" si="117"/>
        <v>0</v>
      </c>
      <c r="CP34" s="646">
        <f t="shared" si="118"/>
        <v>0</v>
      </c>
      <c r="CQ34" s="647">
        <f t="shared" si="31"/>
        <v>6939.2249355341146</v>
      </c>
      <c r="CS34" s="644">
        <f t="shared" si="119"/>
        <v>6458.5745677492423</v>
      </c>
      <c r="CT34" s="645">
        <f t="shared" si="32"/>
        <v>6463.3493320880534</v>
      </c>
      <c r="CU34" s="644">
        <f t="shared" si="120"/>
        <v>4.7747643388111101</v>
      </c>
      <c r="CV34" s="645">
        <f t="shared" si="121"/>
        <v>0</v>
      </c>
      <c r="CW34" s="646">
        <f t="shared" si="122"/>
        <v>0</v>
      </c>
      <c r="CX34" s="647">
        <f t="shared" si="123"/>
        <v>6463.3493320880534</v>
      </c>
      <c r="CY34" s="644">
        <f t="shared" si="33"/>
        <v>0</v>
      </c>
      <c r="CZ34" s="645">
        <f t="shared" si="34"/>
        <v>0</v>
      </c>
      <c r="DA34" s="646">
        <f t="shared" si="124"/>
        <v>0</v>
      </c>
      <c r="DB34" s="647">
        <f t="shared" si="35"/>
        <v>6463.3493320880534</v>
      </c>
      <c r="DC34" s="644">
        <f t="shared" si="125"/>
        <v>0</v>
      </c>
      <c r="DD34" s="645">
        <f t="shared" si="126"/>
        <v>0</v>
      </c>
      <c r="DE34" s="646">
        <f t="shared" si="127"/>
        <v>0</v>
      </c>
      <c r="DF34" s="647">
        <f t="shared" si="36"/>
        <v>6463.3493320880534</v>
      </c>
      <c r="DG34" s="644">
        <f t="shared" si="128"/>
        <v>0</v>
      </c>
      <c r="DH34" s="645">
        <f t="shared" si="129"/>
        <v>0</v>
      </c>
      <c r="DI34" s="646">
        <f t="shared" si="130"/>
        <v>0</v>
      </c>
      <c r="DJ34" s="647">
        <f t="shared" si="37"/>
        <v>6463.3493320880534</v>
      </c>
      <c r="DK34" s="644">
        <f t="shared" si="131"/>
        <v>0</v>
      </c>
      <c r="DL34" s="645">
        <f t="shared" si="132"/>
        <v>0</v>
      </c>
      <c r="DM34" s="646">
        <f t="shared" si="133"/>
        <v>0</v>
      </c>
      <c r="DN34" s="647">
        <f t="shared" si="38"/>
        <v>6463.3493320880534</v>
      </c>
      <c r="DR34" s="827">
        <f t="shared" si="49"/>
        <v>32693.739892942838</v>
      </c>
      <c r="DV34" s="828">
        <f>IFERROR(VLOOKUP($B34,'Afton FY16 Final'!$A$5:$BV$587,'Afton FY16 Final'!$BV$587,0),0)</f>
        <v>37705.88254101784</v>
      </c>
      <c r="DX34" s="636">
        <f t="shared" si="39"/>
        <v>0</v>
      </c>
      <c r="DY34" s="637">
        <f t="shared" si="40"/>
        <v>0</v>
      </c>
      <c r="DZ34" s="637">
        <f t="shared" si="41"/>
        <v>0</v>
      </c>
      <c r="EA34" s="643">
        <f t="shared" si="42"/>
        <v>0</v>
      </c>
      <c r="EB34" s="637">
        <f t="shared" si="50"/>
        <v>0</v>
      </c>
      <c r="EC34" s="637">
        <f t="shared" si="51"/>
        <v>0</v>
      </c>
      <c r="ED34" s="637">
        <f t="shared" si="52"/>
        <v>0</v>
      </c>
      <c r="EE34" s="643">
        <f t="shared" si="53"/>
        <v>0</v>
      </c>
      <c r="EF34" s="637">
        <f t="shared" si="54"/>
        <v>0</v>
      </c>
      <c r="EG34" s="637">
        <f t="shared" si="55"/>
        <v>0</v>
      </c>
      <c r="EH34" s="637">
        <f t="shared" si="56"/>
        <v>0</v>
      </c>
      <c r="EI34" s="643">
        <f t="shared" si="57"/>
        <v>0</v>
      </c>
      <c r="EJ34" s="637">
        <f t="shared" si="58"/>
        <v>0</v>
      </c>
      <c r="EK34" s="637">
        <f t="shared" si="59"/>
        <v>0</v>
      </c>
      <c r="EL34" s="637">
        <f t="shared" si="60"/>
        <v>0</v>
      </c>
      <c r="EM34" s="643">
        <f t="shared" si="61"/>
        <v>0</v>
      </c>
      <c r="EN34" s="637">
        <f t="shared" si="62"/>
        <v>0</v>
      </c>
      <c r="EO34" s="637">
        <f t="shared" si="63"/>
        <v>0</v>
      </c>
      <c r="EP34" s="637">
        <f t="shared" si="64"/>
        <v>0</v>
      </c>
      <c r="EQ34" s="643">
        <f t="shared" si="65"/>
        <v>0</v>
      </c>
      <c r="ER34" s="637">
        <f t="shared" si="66"/>
        <v>0</v>
      </c>
      <c r="ES34" s="637">
        <f t="shared" si="67"/>
        <v>0</v>
      </c>
      <c r="ET34" s="637">
        <f t="shared" si="68"/>
        <v>0</v>
      </c>
      <c r="EU34" s="643">
        <f t="shared" si="43"/>
        <v>0</v>
      </c>
      <c r="EV34" s="643">
        <f t="shared" si="44"/>
        <v>0</v>
      </c>
      <c r="EX34" s="829">
        <f t="shared" si="45"/>
        <v>0</v>
      </c>
      <c r="EY34" s="638">
        <f t="shared" si="46"/>
        <v>32693.739892942838</v>
      </c>
      <c r="FC34" s="830" t="str">
        <f t="shared" si="69"/>
        <v>Y</v>
      </c>
      <c r="FE34" s="830" t="str">
        <f>IFERROR(VLOOKUP($B34,'Historical Conc Grant Elig'!$B$3:$J$707,'HH &amp; SI'!FE$2,0),"N")</f>
        <v>Y</v>
      </c>
      <c r="FF34" s="830" t="str">
        <f>IFERROR(VLOOKUP($B34,'Historical Conc Grant Elig'!$B$3:$J$707,'HH &amp; SI'!FF$2,0),"N")</f>
        <v>Y</v>
      </c>
      <c r="FG34" s="830" t="str">
        <f>IFERROR(VLOOKUP($B34,'Historical Conc Grant Elig'!$B$3:$J$707,'HH &amp; SI'!FG$2,0),"N")</f>
        <v>Y</v>
      </c>
      <c r="FH34" s="830" t="str">
        <f>IFERROR(VLOOKUP($B34,'Historical Conc Grant Elig'!$B$3:$J$707,'HH &amp; SI'!FH$2,0),"N")</f>
        <v>Y</v>
      </c>
      <c r="FI34" s="830" t="str">
        <f>IFERROR(VLOOKUP($B34,'Historical Conc Grant Elig'!$B$3:$J$707,'HH &amp; SI'!FI$2,0),"N")</f>
        <v>Y</v>
      </c>
      <c r="FJ34" s="830" t="str">
        <f>IFERROR(VLOOKUP($B34,'Historical Conc Grant Elig'!$B$3:$J$707,'HH &amp; SI'!FJ$2,0),"N")</f>
        <v>Y</v>
      </c>
      <c r="FK34" s="830" t="str">
        <f>IFERROR(VLOOKUP($B34,'Historical Conc Grant Elig'!$B$3:$J$707,'HH &amp; SI'!FK$2,0),"N")</f>
        <v>Y</v>
      </c>
      <c r="FL34" s="957" t="str">
        <f>IFERROR(VLOOKUP($B34,'Historical Conc Grant Elig'!$B$3:$J$707,'HH &amp; SI'!FL$2,0),"N")</f>
        <v>N</v>
      </c>
    </row>
    <row r="35" spans="2:168" x14ac:dyDescent="0.25">
      <c r="B35" s="634">
        <v>20422000</v>
      </c>
      <c r="C35" s="635" t="str">
        <f>VLOOKUP($B35,'Afton Update'!$A$5:$CR$582,'Afton Update'!D$589,0)</f>
        <v>Pearce Elementary District</v>
      </c>
      <c r="D35" s="636">
        <f>IFERROR(VLOOKUP($B35,'Afton FY16 Final'!$A$5:$BV$587,'Afton FY16 Final'!AQ$587,0),0)</f>
        <v>14830.474929473627</v>
      </c>
      <c r="E35" s="637">
        <f>IFERROR(VLOOKUP($B35,'Afton FY16 Final'!$A$5:$BV$587,'Afton FY16 Final'!AR$587,0),0)</f>
        <v>3455.1125798880989</v>
      </c>
      <c r="F35" s="637">
        <f>IFERROR(VLOOKUP($B35,'Afton FY16 Final'!$A$5:$BV$587,'Afton FY16 Final'!AS$587,0),0)</f>
        <v>6892.8274810999783</v>
      </c>
      <c r="G35" s="637">
        <f>IFERROR(VLOOKUP($B35,'Afton FY16 Final'!$A$5:$BV$587,'Afton FY16 Final'!AT$587,0),0)</f>
        <v>6595.9499405797669</v>
      </c>
      <c r="H35" s="638">
        <f>IFERROR(VLOOKUP($B35,'Afton FY16 Final'!$A$5:$BV$587,'Afton FY16 Final'!AU$587,0),0)</f>
        <v>31774.364931041469</v>
      </c>
      <c r="I35" s="639" t="str">
        <f>VLOOKUP($B35,'Afton Update'!$A$5:$CR$582,'Afton Update'!BT$589,0)</f>
        <v>Y</v>
      </c>
      <c r="J35" s="640" t="str">
        <f>VLOOKUP($B35,'Afton Update'!$A$5:$CR$582,'Afton Update'!BU$589,0)</f>
        <v>Y</v>
      </c>
      <c r="K35" s="640" t="str">
        <f>VLOOKUP($B35,'Afton Update'!$A$5:$CR$582,'Afton Update'!BV$589,0)</f>
        <v>Y</v>
      </c>
      <c r="L35" s="641" t="str">
        <f>VLOOKUP($B35,'Afton Update'!$A$5:$CR$582,'Afton Update'!BW$589,0)</f>
        <v>Y</v>
      </c>
      <c r="N35" s="642">
        <f>VLOOKUP($B35,'Afton Update'!$A$5:$CR$582,'Afton Update'!CB$589,0)</f>
        <v>0.9</v>
      </c>
      <c r="P35" s="636">
        <f>VLOOKUP($B35,'Afton Update'!$A$5:$CR$582,'Afton Update'!AH$589,0)</f>
        <v>13460.705747356802</v>
      </c>
      <c r="Q35" s="637">
        <f>VLOOKUP($B35,'Afton Update'!$A$5:$CR$582,'Afton Update'!AI$589,0)</f>
        <v>4225.0895607859393</v>
      </c>
      <c r="R35" s="637">
        <f>VLOOKUP($B35,'Afton Update'!$A$5:$CR$582,'Afton Update'!AJ$589,0)</f>
        <v>6235.3809279550096</v>
      </c>
      <c r="S35" s="637">
        <f>VLOOKUP($B35,'Afton Update'!$A$5:$CR$582,'Afton Update'!AK$589,0)</f>
        <v>5931.8141707724362</v>
      </c>
      <c r="T35" s="643">
        <f t="shared" si="47"/>
        <v>29852.990406870187</v>
      </c>
      <c r="V35" s="636">
        <f t="shared" si="70"/>
        <v>13347.427436526265</v>
      </c>
      <c r="W35" s="637">
        <f t="shared" si="71"/>
        <v>4085.9305579835682</v>
      </c>
      <c r="X35" s="637">
        <f t="shared" si="72"/>
        <v>6203.5447329899807</v>
      </c>
      <c r="Y35" s="637">
        <f t="shared" si="73"/>
        <v>5936.3549465217902</v>
      </c>
      <c r="Z35" s="643">
        <f t="shared" si="74"/>
        <v>29573.257674021603</v>
      </c>
      <c r="AB35" s="644">
        <f t="shared" si="11"/>
        <v>13460.705747356802</v>
      </c>
      <c r="AC35" s="645">
        <f t="shared" si="12"/>
        <v>13347.427436526265</v>
      </c>
      <c r="AD35" s="644">
        <f t="shared" si="75"/>
        <v>0</v>
      </c>
      <c r="AE35" s="645">
        <f t="shared" si="76"/>
        <v>13460.705747356802</v>
      </c>
      <c r="AF35" s="646">
        <f t="shared" si="77"/>
        <v>-166.85556318958837</v>
      </c>
      <c r="AG35" s="647">
        <f t="shared" si="78"/>
        <v>13293.850184167213</v>
      </c>
      <c r="AH35" s="644">
        <f t="shared" si="13"/>
        <v>-53.577252359051272</v>
      </c>
      <c r="AI35" s="645">
        <f t="shared" si="14"/>
        <v>0</v>
      </c>
      <c r="AJ35" s="646">
        <f t="shared" si="79"/>
        <v>0</v>
      </c>
      <c r="AK35" s="647">
        <f t="shared" si="15"/>
        <v>13347.427436526265</v>
      </c>
      <c r="AL35" s="644">
        <f t="shared" si="80"/>
        <v>0</v>
      </c>
      <c r="AM35" s="645">
        <f t="shared" si="81"/>
        <v>0</v>
      </c>
      <c r="AN35" s="646">
        <f t="shared" si="82"/>
        <v>0</v>
      </c>
      <c r="AO35" s="647">
        <f t="shared" si="16"/>
        <v>13347.427436526265</v>
      </c>
      <c r="AP35" s="644">
        <f t="shared" si="83"/>
        <v>0</v>
      </c>
      <c r="AQ35" s="645">
        <f t="shared" si="84"/>
        <v>0</v>
      </c>
      <c r="AR35" s="646">
        <f t="shared" si="85"/>
        <v>0</v>
      </c>
      <c r="AS35" s="647">
        <f t="shared" si="17"/>
        <v>13347.427436526265</v>
      </c>
      <c r="AT35" s="644">
        <f t="shared" si="86"/>
        <v>0</v>
      </c>
      <c r="AU35" s="645">
        <f t="shared" si="87"/>
        <v>0</v>
      </c>
      <c r="AV35" s="646">
        <f t="shared" si="88"/>
        <v>0</v>
      </c>
      <c r="AW35" s="647">
        <f t="shared" si="18"/>
        <v>13347.427436526265</v>
      </c>
      <c r="AY35" s="644">
        <f t="shared" si="89"/>
        <v>4225.0895607859393</v>
      </c>
      <c r="AZ35" s="645">
        <f t="shared" si="48"/>
        <v>3109.6013218992889</v>
      </c>
      <c r="BA35" s="644">
        <f t="shared" si="90"/>
        <v>0</v>
      </c>
      <c r="BB35" s="645">
        <f t="shared" si="91"/>
        <v>4225.0895607859393</v>
      </c>
      <c r="BC35" s="646">
        <f t="shared" si="92"/>
        <v>-30.383850351339447</v>
      </c>
      <c r="BD35" s="647">
        <f t="shared" si="93"/>
        <v>4194.7057104345995</v>
      </c>
      <c r="BE35" s="644">
        <f t="shared" si="19"/>
        <v>0</v>
      </c>
      <c r="BF35" s="645">
        <f t="shared" si="20"/>
        <v>4194.7057104345995</v>
      </c>
      <c r="BG35" s="646">
        <f t="shared" si="94"/>
        <v>-99.914471584018031</v>
      </c>
      <c r="BH35" s="647">
        <f t="shared" si="21"/>
        <v>4094.7912388505815</v>
      </c>
      <c r="BI35" s="644">
        <f t="shared" si="95"/>
        <v>0</v>
      </c>
      <c r="BJ35" s="645">
        <f t="shared" si="96"/>
        <v>4094.7912388505815</v>
      </c>
      <c r="BK35" s="646">
        <f t="shared" si="97"/>
        <v>-8.6737295957305971</v>
      </c>
      <c r="BL35" s="647">
        <f t="shared" si="22"/>
        <v>4086.117509254851</v>
      </c>
      <c r="BM35" s="644">
        <f t="shared" si="98"/>
        <v>0</v>
      </c>
      <c r="BN35" s="645">
        <f t="shared" si="99"/>
        <v>4086.117509254851</v>
      </c>
      <c r="BO35" s="646">
        <f t="shared" si="100"/>
        <v>-0.18695127128302141</v>
      </c>
      <c r="BP35" s="647">
        <f t="shared" si="23"/>
        <v>4085.9305579835682</v>
      </c>
      <c r="BQ35" s="644">
        <f t="shared" si="101"/>
        <v>0</v>
      </c>
      <c r="BR35" s="645">
        <f t="shared" si="102"/>
        <v>4085.9305579835682</v>
      </c>
      <c r="BS35" s="646">
        <f t="shared" si="103"/>
        <v>0</v>
      </c>
      <c r="BT35" s="647">
        <f t="shared" si="24"/>
        <v>4085.9305579835682</v>
      </c>
      <c r="BU35" s="662">
        <f>VLOOKUP(B35,'Afton Update'!$A$5:$AR$582,'Afton Update'!$AO$589,0)-BT35</f>
        <v>0</v>
      </c>
      <c r="BV35" s="644">
        <f t="shared" si="104"/>
        <v>6235.3809279550096</v>
      </c>
      <c r="BW35" s="645">
        <f t="shared" si="25"/>
        <v>6203.5447329899807</v>
      </c>
      <c r="BX35" s="644">
        <f t="shared" si="105"/>
        <v>0</v>
      </c>
      <c r="BY35" s="645">
        <f t="shared" si="106"/>
        <v>6235.3809279550096</v>
      </c>
      <c r="BZ35" s="646">
        <f t="shared" si="107"/>
        <v>-54.728601342955322</v>
      </c>
      <c r="CA35" s="647">
        <f t="shared" si="108"/>
        <v>6180.6523266120539</v>
      </c>
      <c r="CB35" s="644">
        <f t="shared" si="26"/>
        <v>-22.892406377926818</v>
      </c>
      <c r="CC35" s="645">
        <f t="shared" si="27"/>
        <v>0</v>
      </c>
      <c r="CD35" s="646">
        <f t="shared" si="109"/>
        <v>0</v>
      </c>
      <c r="CE35" s="647">
        <f t="shared" si="28"/>
        <v>6203.5447329899807</v>
      </c>
      <c r="CF35" s="644">
        <f t="shared" si="110"/>
        <v>0</v>
      </c>
      <c r="CG35" s="645">
        <f t="shared" si="111"/>
        <v>0</v>
      </c>
      <c r="CH35" s="646">
        <f t="shared" si="112"/>
        <v>0</v>
      </c>
      <c r="CI35" s="647">
        <f t="shared" si="29"/>
        <v>6203.5447329899807</v>
      </c>
      <c r="CJ35" s="644">
        <f t="shared" si="113"/>
        <v>0</v>
      </c>
      <c r="CK35" s="645">
        <f t="shared" si="114"/>
        <v>0</v>
      </c>
      <c r="CL35" s="646">
        <f t="shared" si="115"/>
        <v>0</v>
      </c>
      <c r="CM35" s="647">
        <f t="shared" si="30"/>
        <v>6203.5447329899807</v>
      </c>
      <c r="CN35" s="644">
        <f t="shared" si="116"/>
        <v>0</v>
      </c>
      <c r="CO35" s="645">
        <f t="shared" si="117"/>
        <v>0</v>
      </c>
      <c r="CP35" s="646">
        <f t="shared" si="118"/>
        <v>0</v>
      </c>
      <c r="CQ35" s="647">
        <f t="shared" si="31"/>
        <v>6203.5447329899807</v>
      </c>
      <c r="CS35" s="644">
        <f t="shared" si="119"/>
        <v>5931.8141707724362</v>
      </c>
      <c r="CT35" s="645">
        <f t="shared" si="32"/>
        <v>5936.3549465217902</v>
      </c>
      <c r="CU35" s="644">
        <f t="shared" si="120"/>
        <v>4.5407757493539975</v>
      </c>
      <c r="CV35" s="645">
        <f t="shared" si="121"/>
        <v>0</v>
      </c>
      <c r="CW35" s="646">
        <f t="shared" si="122"/>
        <v>0</v>
      </c>
      <c r="CX35" s="647">
        <f t="shared" si="123"/>
        <v>5936.3549465217902</v>
      </c>
      <c r="CY35" s="644">
        <f t="shared" si="33"/>
        <v>0</v>
      </c>
      <c r="CZ35" s="645">
        <f t="shared" si="34"/>
        <v>0</v>
      </c>
      <c r="DA35" s="646">
        <f t="shared" si="124"/>
        <v>0</v>
      </c>
      <c r="DB35" s="647">
        <f t="shared" si="35"/>
        <v>5936.3549465217902</v>
      </c>
      <c r="DC35" s="644">
        <f t="shared" si="125"/>
        <v>0</v>
      </c>
      <c r="DD35" s="645">
        <f t="shared" si="126"/>
        <v>0</v>
      </c>
      <c r="DE35" s="646">
        <f t="shared" si="127"/>
        <v>0</v>
      </c>
      <c r="DF35" s="647">
        <f t="shared" si="36"/>
        <v>5936.3549465217902</v>
      </c>
      <c r="DG35" s="644">
        <f t="shared" si="128"/>
        <v>0</v>
      </c>
      <c r="DH35" s="645">
        <f t="shared" si="129"/>
        <v>0</v>
      </c>
      <c r="DI35" s="646">
        <f t="shared" si="130"/>
        <v>0</v>
      </c>
      <c r="DJ35" s="647">
        <f t="shared" si="37"/>
        <v>5936.3549465217902</v>
      </c>
      <c r="DK35" s="644">
        <f t="shared" si="131"/>
        <v>0</v>
      </c>
      <c r="DL35" s="645">
        <f t="shared" si="132"/>
        <v>0</v>
      </c>
      <c r="DM35" s="646">
        <f t="shared" si="133"/>
        <v>0</v>
      </c>
      <c r="DN35" s="647">
        <f t="shared" si="38"/>
        <v>5936.3549465217902</v>
      </c>
      <c r="DR35" s="827">
        <f t="shared" si="49"/>
        <v>29573.257674021603</v>
      </c>
      <c r="DV35" s="828">
        <f>IFERROR(VLOOKUP($B35,'Afton FY16 Final'!$A$5:$BV$587,'Afton FY16 Final'!$BV$587,0),0)</f>
        <v>31148.727690811374</v>
      </c>
      <c r="DX35" s="636">
        <f t="shared" si="39"/>
        <v>0</v>
      </c>
      <c r="DY35" s="637">
        <f t="shared" si="40"/>
        <v>0</v>
      </c>
      <c r="DZ35" s="637">
        <f t="shared" si="41"/>
        <v>0</v>
      </c>
      <c r="EA35" s="643">
        <f t="shared" si="42"/>
        <v>0</v>
      </c>
      <c r="EB35" s="637">
        <f t="shared" si="50"/>
        <v>0</v>
      </c>
      <c r="EC35" s="637">
        <f t="shared" si="51"/>
        <v>0</v>
      </c>
      <c r="ED35" s="637">
        <f t="shared" si="52"/>
        <v>0</v>
      </c>
      <c r="EE35" s="643">
        <f t="shared" si="53"/>
        <v>0</v>
      </c>
      <c r="EF35" s="637">
        <f t="shared" si="54"/>
        <v>0</v>
      </c>
      <c r="EG35" s="637">
        <f t="shared" si="55"/>
        <v>0</v>
      </c>
      <c r="EH35" s="637">
        <f t="shared" si="56"/>
        <v>0</v>
      </c>
      <c r="EI35" s="643">
        <f t="shared" si="57"/>
        <v>0</v>
      </c>
      <c r="EJ35" s="637">
        <f t="shared" si="58"/>
        <v>0</v>
      </c>
      <c r="EK35" s="637">
        <f t="shared" si="59"/>
        <v>0</v>
      </c>
      <c r="EL35" s="637">
        <f t="shared" si="60"/>
        <v>0</v>
      </c>
      <c r="EM35" s="643">
        <f t="shared" si="61"/>
        <v>0</v>
      </c>
      <c r="EN35" s="637">
        <f t="shared" si="62"/>
        <v>0</v>
      </c>
      <c r="EO35" s="637">
        <f t="shared" si="63"/>
        <v>0</v>
      </c>
      <c r="EP35" s="637">
        <f t="shared" si="64"/>
        <v>0</v>
      </c>
      <c r="EQ35" s="643">
        <f t="shared" si="65"/>
        <v>0</v>
      </c>
      <c r="ER35" s="637">
        <f t="shared" si="66"/>
        <v>0</v>
      </c>
      <c r="ES35" s="637">
        <f t="shared" si="67"/>
        <v>0</v>
      </c>
      <c r="ET35" s="637">
        <f t="shared" si="68"/>
        <v>0</v>
      </c>
      <c r="EU35" s="643">
        <f t="shared" si="43"/>
        <v>0</v>
      </c>
      <c r="EV35" s="643">
        <f t="shared" si="44"/>
        <v>0</v>
      </c>
      <c r="EX35" s="829">
        <f t="shared" si="45"/>
        <v>0</v>
      </c>
      <c r="EY35" s="638">
        <f t="shared" si="46"/>
        <v>29573.257674021603</v>
      </c>
      <c r="FC35" s="830" t="str">
        <f t="shared" si="69"/>
        <v>Y</v>
      </c>
      <c r="FE35" s="830" t="str">
        <f>IFERROR(VLOOKUP($B35,'Historical Conc Grant Elig'!$B$3:$J$707,'HH &amp; SI'!FE$2,0),"N")</f>
        <v>Y</v>
      </c>
      <c r="FF35" s="830" t="str">
        <f>IFERROR(VLOOKUP($B35,'Historical Conc Grant Elig'!$B$3:$J$707,'HH &amp; SI'!FF$2,0),"N")</f>
        <v>Y</v>
      </c>
      <c r="FG35" s="830" t="str">
        <f>IFERROR(VLOOKUP($B35,'Historical Conc Grant Elig'!$B$3:$J$707,'HH &amp; SI'!FG$2,0),"N")</f>
        <v>Y</v>
      </c>
      <c r="FH35" s="830" t="str">
        <f>IFERROR(VLOOKUP($B35,'Historical Conc Grant Elig'!$B$3:$J$707,'HH &amp; SI'!FH$2,0),"N")</f>
        <v>Y</v>
      </c>
      <c r="FI35" s="830" t="str">
        <f>IFERROR(VLOOKUP($B35,'Historical Conc Grant Elig'!$B$3:$J$707,'HH &amp; SI'!FI$2,0),"N")</f>
        <v>Y</v>
      </c>
      <c r="FJ35" s="830" t="str">
        <f>IFERROR(VLOOKUP($B35,'Historical Conc Grant Elig'!$B$3:$J$707,'HH &amp; SI'!FJ$2,0),"N")</f>
        <v>Y</v>
      </c>
      <c r="FK35" s="830" t="str">
        <f>IFERROR(VLOOKUP($B35,'Historical Conc Grant Elig'!$B$3:$J$707,'HH &amp; SI'!FK$2,0),"N")</f>
        <v>Y</v>
      </c>
      <c r="FL35" s="957" t="str">
        <f>IFERROR(VLOOKUP($B35,'Historical Conc Grant Elig'!$B$3:$J$707,'HH &amp; SI'!FL$2,0),"N")</f>
        <v>Y</v>
      </c>
    </row>
    <row r="36" spans="2:168" x14ac:dyDescent="0.25">
      <c r="B36" s="634">
        <v>20453000</v>
      </c>
      <c r="C36" s="635" t="str">
        <f>VLOOKUP($B36,'Afton Update'!$A$5:$CR$582,'Afton Update'!D$589,0)</f>
        <v>Ash Creek Elementary District</v>
      </c>
      <c r="D36" s="636">
        <f>IFERROR(VLOOKUP($B36,'Afton FY16 Final'!$A$5:$BV$587,'Afton FY16 Final'!AQ$587,0),0)</f>
        <v>13281.632297016589</v>
      </c>
      <c r="E36" s="637">
        <f>IFERROR(VLOOKUP($B36,'Afton FY16 Final'!$A$5:$BV$587,'Afton FY16 Final'!AR$587,0),0)</f>
        <v>3212.611330967763</v>
      </c>
      <c r="F36" s="637">
        <f>IFERROR(VLOOKUP($B36,'Afton FY16 Final'!$A$5:$BV$587,'Afton FY16 Final'!AS$587,0),0)</f>
        <v>9220.4942559276005</v>
      </c>
      <c r="G36" s="637">
        <f>IFERROR(VLOOKUP($B36,'Afton FY16 Final'!$A$5:$BV$587,'Afton FY16 Final'!AT$587,0),0)</f>
        <v>10100.246169712804</v>
      </c>
      <c r="H36" s="638">
        <f>IFERROR(VLOOKUP($B36,'Afton FY16 Final'!$A$5:$BV$587,'Afton FY16 Final'!AU$587,0),0)</f>
        <v>35814.984053624758</v>
      </c>
      <c r="I36" s="639" t="str">
        <f>VLOOKUP($B36,'Afton Update'!$A$5:$CR$582,'Afton Update'!BT$589,0)</f>
        <v>Y</v>
      </c>
      <c r="J36" s="640" t="str">
        <f>VLOOKUP($B36,'Afton Update'!$A$5:$CR$582,'Afton Update'!BU$589,0)</f>
        <v>Y</v>
      </c>
      <c r="K36" s="640" t="str">
        <f>VLOOKUP($B36,'Afton Update'!$A$5:$CR$582,'Afton Update'!BV$589,0)</f>
        <v>Y</v>
      </c>
      <c r="L36" s="641" t="str">
        <f>VLOOKUP($B36,'Afton Update'!$A$5:$CR$582,'Afton Update'!BW$589,0)</f>
        <v>Y</v>
      </c>
      <c r="N36" s="642">
        <f>VLOOKUP($B36,'Afton Update'!$A$5:$CR$582,'Afton Update'!CB$589,0)</f>
        <v>0.95</v>
      </c>
      <c r="P36" s="636">
        <f>VLOOKUP($B36,'Afton Update'!$A$5:$CR$582,'Afton Update'!AH$589,0)</f>
        <v>12617.24030499388</v>
      </c>
      <c r="Q36" s="637">
        <f>VLOOKUP($B36,'Afton Update'!$A$5:$CR$582,'Afton Update'!AI$589,0)</f>
        <v>4087.3559827651002</v>
      </c>
      <c r="R36" s="637">
        <f>VLOOKUP($B36,'Afton Update'!$A$5:$CR$582,'Afton Update'!AJ$589,0)</f>
        <v>8821.8196995516246</v>
      </c>
      <c r="S36" s="637">
        <f>VLOOKUP($B36,'Afton Update'!$A$5:$CR$582,'Afton Update'!AK$589,0)</f>
        <v>9723.2200243779425</v>
      </c>
      <c r="T36" s="643">
        <f t="shared" si="47"/>
        <v>35249.636011688548</v>
      </c>
      <c r="V36" s="636">
        <f t="shared" si="70"/>
        <v>12617.55068216576</v>
      </c>
      <c r="W36" s="637">
        <f t="shared" si="71"/>
        <v>3952.7334204556537</v>
      </c>
      <c r="X36" s="637">
        <f t="shared" si="72"/>
        <v>8759.4695431312193</v>
      </c>
      <c r="Y36" s="637">
        <f t="shared" si="73"/>
        <v>9616.0876423994032</v>
      </c>
      <c r="Z36" s="643">
        <f t="shared" si="74"/>
        <v>34945.841288152042</v>
      </c>
      <c r="AB36" s="644">
        <f t="shared" si="11"/>
        <v>12617.24030499388</v>
      </c>
      <c r="AC36" s="645">
        <f t="shared" si="12"/>
        <v>12617.55068216576</v>
      </c>
      <c r="AD36" s="644">
        <f t="shared" si="75"/>
        <v>0.31037717187973612</v>
      </c>
      <c r="AE36" s="645">
        <f t="shared" si="76"/>
        <v>0</v>
      </c>
      <c r="AF36" s="646">
        <f t="shared" si="77"/>
        <v>0</v>
      </c>
      <c r="AG36" s="647">
        <f t="shared" si="78"/>
        <v>12617.55068216576</v>
      </c>
      <c r="AH36" s="644">
        <f t="shared" si="13"/>
        <v>0</v>
      </c>
      <c r="AI36" s="645">
        <f t="shared" si="14"/>
        <v>0</v>
      </c>
      <c r="AJ36" s="646">
        <f t="shared" si="79"/>
        <v>0</v>
      </c>
      <c r="AK36" s="647">
        <f t="shared" si="15"/>
        <v>12617.55068216576</v>
      </c>
      <c r="AL36" s="644">
        <f t="shared" si="80"/>
        <v>0</v>
      </c>
      <c r="AM36" s="645">
        <f t="shared" si="81"/>
        <v>0</v>
      </c>
      <c r="AN36" s="646">
        <f t="shared" si="82"/>
        <v>0</v>
      </c>
      <c r="AO36" s="647">
        <f t="shared" si="16"/>
        <v>12617.55068216576</v>
      </c>
      <c r="AP36" s="644">
        <f t="shared" si="83"/>
        <v>0</v>
      </c>
      <c r="AQ36" s="645">
        <f t="shared" si="84"/>
        <v>0</v>
      </c>
      <c r="AR36" s="646">
        <f t="shared" si="85"/>
        <v>0</v>
      </c>
      <c r="AS36" s="647">
        <f t="shared" si="17"/>
        <v>12617.55068216576</v>
      </c>
      <c r="AT36" s="644">
        <f t="shared" si="86"/>
        <v>0</v>
      </c>
      <c r="AU36" s="645">
        <f t="shared" si="87"/>
        <v>0</v>
      </c>
      <c r="AV36" s="646">
        <f t="shared" si="88"/>
        <v>0</v>
      </c>
      <c r="AW36" s="647">
        <f t="shared" si="18"/>
        <v>12617.55068216576</v>
      </c>
      <c r="AY36" s="644">
        <f t="shared" si="89"/>
        <v>4087.3559827651002</v>
      </c>
      <c r="AZ36" s="645">
        <f t="shared" si="48"/>
        <v>3051.9807644193747</v>
      </c>
      <c r="BA36" s="644">
        <f t="shared" si="90"/>
        <v>0</v>
      </c>
      <c r="BB36" s="645">
        <f t="shared" si="91"/>
        <v>4087.3559827651002</v>
      </c>
      <c r="BC36" s="646">
        <f t="shared" si="92"/>
        <v>-29.393368052033765</v>
      </c>
      <c r="BD36" s="647">
        <f t="shared" si="93"/>
        <v>4057.9626147130666</v>
      </c>
      <c r="BE36" s="644">
        <f t="shared" si="19"/>
        <v>0</v>
      </c>
      <c r="BF36" s="645">
        <f t="shared" si="20"/>
        <v>4057.9626147130666</v>
      </c>
      <c r="BG36" s="646">
        <f t="shared" si="94"/>
        <v>-96.657362481514568</v>
      </c>
      <c r="BH36" s="647">
        <f t="shared" si="21"/>
        <v>3961.305252231552</v>
      </c>
      <c r="BI36" s="644">
        <f t="shared" si="95"/>
        <v>0</v>
      </c>
      <c r="BJ36" s="645">
        <f t="shared" si="96"/>
        <v>3961.305252231552</v>
      </c>
      <c r="BK36" s="646">
        <f t="shared" si="97"/>
        <v>-8.3909749239496314</v>
      </c>
      <c r="BL36" s="647">
        <f t="shared" si="22"/>
        <v>3952.9142773076023</v>
      </c>
      <c r="BM36" s="644">
        <f t="shared" si="98"/>
        <v>0</v>
      </c>
      <c r="BN36" s="645">
        <f t="shared" si="99"/>
        <v>3952.9142773076023</v>
      </c>
      <c r="BO36" s="646">
        <f t="shared" si="100"/>
        <v>-0.18085685194849604</v>
      </c>
      <c r="BP36" s="647">
        <f t="shared" si="23"/>
        <v>3952.7334204556537</v>
      </c>
      <c r="BQ36" s="644">
        <f t="shared" si="101"/>
        <v>0</v>
      </c>
      <c r="BR36" s="645">
        <f t="shared" si="102"/>
        <v>3952.7334204556537</v>
      </c>
      <c r="BS36" s="646">
        <f t="shared" si="103"/>
        <v>0</v>
      </c>
      <c r="BT36" s="647">
        <f t="shared" si="24"/>
        <v>3952.7334204556537</v>
      </c>
      <c r="BU36" s="662">
        <f>VLOOKUP(B36,'Afton Update'!$A$5:$AR$582,'Afton Update'!$AO$589,0)-BT36</f>
        <v>0</v>
      </c>
      <c r="BV36" s="644">
        <f t="shared" si="104"/>
        <v>8821.8196995516246</v>
      </c>
      <c r="BW36" s="645">
        <f t="shared" si="25"/>
        <v>8759.4695431312193</v>
      </c>
      <c r="BX36" s="644">
        <f t="shared" si="105"/>
        <v>0</v>
      </c>
      <c r="BY36" s="645">
        <f t="shared" si="106"/>
        <v>8821.8196995516246</v>
      </c>
      <c r="BZ36" s="646">
        <f t="shared" si="107"/>
        <v>-77.43004942835698</v>
      </c>
      <c r="CA36" s="647">
        <f t="shared" si="108"/>
        <v>8744.3896501232684</v>
      </c>
      <c r="CB36" s="644">
        <f t="shared" si="26"/>
        <v>-15.079893007950886</v>
      </c>
      <c r="CC36" s="645">
        <f t="shared" si="27"/>
        <v>0</v>
      </c>
      <c r="CD36" s="646">
        <f t="shared" si="109"/>
        <v>0</v>
      </c>
      <c r="CE36" s="647">
        <f t="shared" si="28"/>
        <v>8759.4695431312193</v>
      </c>
      <c r="CF36" s="644">
        <f t="shared" si="110"/>
        <v>0</v>
      </c>
      <c r="CG36" s="645">
        <f t="shared" si="111"/>
        <v>0</v>
      </c>
      <c r="CH36" s="646">
        <f t="shared" si="112"/>
        <v>0</v>
      </c>
      <c r="CI36" s="647">
        <f t="shared" si="29"/>
        <v>8759.4695431312193</v>
      </c>
      <c r="CJ36" s="644">
        <f t="shared" si="113"/>
        <v>0</v>
      </c>
      <c r="CK36" s="645">
        <f t="shared" si="114"/>
        <v>0</v>
      </c>
      <c r="CL36" s="646">
        <f t="shared" si="115"/>
        <v>0</v>
      </c>
      <c r="CM36" s="647">
        <f t="shared" si="30"/>
        <v>8759.4695431312193</v>
      </c>
      <c r="CN36" s="644">
        <f t="shared" si="116"/>
        <v>0</v>
      </c>
      <c r="CO36" s="645">
        <f t="shared" si="117"/>
        <v>0</v>
      </c>
      <c r="CP36" s="646">
        <f t="shared" si="118"/>
        <v>0</v>
      </c>
      <c r="CQ36" s="647">
        <f t="shared" si="31"/>
        <v>8759.4695431312193</v>
      </c>
      <c r="CS36" s="644">
        <f t="shared" si="119"/>
        <v>9723.2200243779425</v>
      </c>
      <c r="CT36" s="645">
        <f t="shared" si="32"/>
        <v>9595.2338612271633</v>
      </c>
      <c r="CU36" s="644">
        <f t="shared" si="120"/>
        <v>0</v>
      </c>
      <c r="CV36" s="645">
        <f t="shared" si="121"/>
        <v>9723.2200243779425</v>
      </c>
      <c r="CW36" s="646">
        <f t="shared" si="122"/>
        <v>-99.571267854940444</v>
      </c>
      <c r="CX36" s="647">
        <f t="shared" si="123"/>
        <v>9623.6487565230018</v>
      </c>
      <c r="CY36" s="644">
        <f t="shared" si="33"/>
        <v>0</v>
      </c>
      <c r="CZ36" s="645">
        <f t="shared" si="34"/>
        <v>9623.6487565230018</v>
      </c>
      <c r="DA36" s="646">
        <f t="shared" si="124"/>
        <v>-7.5545992227116745</v>
      </c>
      <c r="DB36" s="647">
        <f t="shared" si="35"/>
        <v>9616.0941573002892</v>
      </c>
      <c r="DC36" s="644">
        <f t="shared" si="125"/>
        <v>0</v>
      </c>
      <c r="DD36" s="645">
        <f t="shared" si="126"/>
        <v>9616.0941573002892</v>
      </c>
      <c r="DE36" s="646">
        <f t="shared" si="127"/>
        <v>-6.5149008863465072E-3</v>
      </c>
      <c r="DF36" s="647">
        <f t="shared" si="36"/>
        <v>9616.0876423994032</v>
      </c>
      <c r="DG36" s="644">
        <f t="shared" si="128"/>
        <v>0</v>
      </c>
      <c r="DH36" s="645">
        <f t="shared" si="129"/>
        <v>9616.0876423994032</v>
      </c>
      <c r="DI36" s="646">
        <f t="shared" si="130"/>
        <v>0</v>
      </c>
      <c r="DJ36" s="647">
        <f t="shared" si="37"/>
        <v>9616.0876423994032</v>
      </c>
      <c r="DK36" s="644">
        <f t="shared" si="131"/>
        <v>0</v>
      </c>
      <c r="DL36" s="645">
        <f t="shared" si="132"/>
        <v>9616.0876423994032</v>
      </c>
      <c r="DM36" s="646">
        <f t="shared" si="133"/>
        <v>0</v>
      </c>
      <c r="DN36" s="647">
        <f t="shared" si="38"/>
        <v>9616.0876423994032</v>
      </c>
      <c r="DR36" s="827">
        <f t="shared" si="49"/>
        <v>34945.841288152042</v>
      </c>
      <c r="DV36" s="828">
        <f>IFERROR(VLOOKUP($B36,'Afton FY16 Final'!$A$5:$BV$587,'Afton FY16 Final'!$BV$587,0),0)</f>
        <v>34501.018614607194</v>
      </c>
      <c r="DX36" s="636">
        <f t="shared" si="39"/>
        <v>34945.841288152042</v>
      </c>
      <c r="DY36" s="637">
        <f t="shared" si="40"/>
        <v>444.82267354484793</v>
      </c>
      <c r="DZ36" s="637">
        <f t="shared" si="41"/>
        <v>34501.018614607194</v>
      </c>
      <c r="EA36" s="643">
        <f t="shared" si="42"/>
        <v>33087.114183677324</v>
      </c>
      <c r="EB36" s="637">
        <f t="shared" si="50"/>
        <v>34501.018614607194</v>
      </c>
      <c r="EC36" s="637">
        <f t="shared" si="51"/>
        <v>0</v>
      </c>
      <c r="ED36" s="637">
        <f t="shared" si="52"/>
        <v>0</v>
      </c>
      <c r="EE36" s="643">
        <f t="shared" si="53"/>
        <v>34501.018614607194</v>
      </c>
      <c r="EF36" s="637">
        <f t="shared" si="54"/>
        <v>0</v>
      </c>
      <c r="EG36" s="637">
        <f t="shared" si="55"/>
        <v>0</v>
      </c>
      <c r="EH36" s="637">
        <f t="shared" si="56"/>
        <v>0</v>
      </c>
      <c r="EI36" s="643">
        <f t="shared" si="57"/>
        <v>34501.018614607194</v>
      </c>
      <c r="EJ36" s="637">
        <f t="shared" si="58"/>
        <v>0</v>
      </c>
      <c r="EK36" s="637">
        <f t="shared" si="59"/>
        <v>0</v>
      </c>
      <c r="EL36" s="637">
        <f t="shared" si="60"/>
        <v>0</v>
      </c>
      <c r="EM36" s="643">
        <f t="shared" si="61"/>
        <v>34501.018614607194</v>
      </c>
      <c r="EN36" s="637">
        <f t="shared" si="62"/>
        <v>0</v>
      </c>
      <c r="EO36" s="637">
        <f t="shared" si="63"/>
        <v>0</v>
      </c>
      <c r="EP36" s="637">
        <f t="shared" si="64"/>
        <v>0</v>
      </c>
      <c r="EQ36" s="643">
        <f t="shared" si="65"/>
        <v>34501.018614607194</v>
      </c>
      <c r="ER36" s="637">
        <f t="shared" si="66"/>
        <v>0</v>
      </c>
      <c r="ES36" s="637">
        <f t="shared" si="67"/>
        <v>0</v>
      </c>
      <c r="ET36" s="637">
        <f t="shared" si="68"/>
        <v>0</v>
      </c>
      <c r="EU36" s="643">
        <f t="shared" si="43"/>
        <v>34501.018614607194</v>
      </c>
      <c r="EV36" s="643">
        <f t="shared" si="44"/>
        <v>0</v>
      </c>
      <c r="EX36" s="829">
        <f t="shared" si="45"/>
        <v>444.82267354484793</v>
      </c>
      <c r="EY36" s="638">
        <f t="shared" si="46"/>
        <v>34501.018614607194</v>
      </c>
      <c r="FC36" s="830" t="str">
        <f t="shared" si="69"/>
        <v>Y</v>
      </c>
      <c r="FE36" s="830" t="str">
        <f>IFERROR(VLOOKUP($B36,'Historical Conc Grant Elig'!$B$3:$J$707,'HH &amp; SI'!FE$2,0),"N")</f>
        <v>Y</v>
      </c>
      <c r="FF36" s="830" t="str">
        <f>IFERROR(VLOOKUP($B36,'Historical Conc Grant Elig'!$B$3:$J$707,'HH &amp; SI'!FF$2,0),"N")</f>
        <v>Y</v>
      </c>
      <c r="FG36" s="830" t="str">
        <f>IFERROR(VLOOKUP($B36,'Historical Conc Grant Elig'!$B$3:$J$707,'HH &amp; SI'!FG$2,0),"N")</f>
        <v>Y</v>
      </c>
      <c r="FH36" s="830" t="str">
        <f>IFERROR(VLOOKUP($B36,'Historical Conc Grant Elig'!$B$3:$J$707,'HH &amp; SI'!FH$2,0),"N")</f>
        <v>Y</v>
      </c>
      <c r="FI36" s="830" t="str">
        <f>IFERROR(VLOOKUP($B36,'Historical Conc Grant Elig'!$B$3:$J$707,'HH &amp; SI'!FI$2,0),"N")</f>
        <v>Y</v>
      </c>
      <c r="FJ36" s="830" t="str">
        <f>IFERROR(VLOOKUP($B36,'Historical Conc Grant Elig'!$B$3:$J$707,'HH &amp; SI'!FJ$2,0),"N")</f>
        <v>Y</v>
      </c>
      <c r="FK36" s="830" t="str">
        <f>IFERROR(VLOOKUP($B36,'Historical Conc Grant Elig'!$B$3:$J$707,'HH &amp; SI'!FK$2,0),"N")</f>
        <v>Y</v>
      </c>
      <c r="FL36" s="957" t="str">
        <f>IFERROR(VLOOKUP($B36,'Historical Conc Grant Elig'!$B$3:$J$707,'HH &amp; SI'!FL$2,0),"N")</f>
        <v>Y</v>
      </c>
    </row>
    <row r="37" spans="2:168" x14ac:dyDescent="0.25">
      <c r="B37" s="634">
        <v>20522000</v>
      </c>
      <c r="C37" s="635" t="str">
        <f>VLOOKUP($B37,'Afton Update'!$A$5:$CR$582,'Afton Update'!D$589,0)</f>
        <v>Valley Union High School District</v>
      </c>
      <c r="D37" s="636">
        <f>IFERROR(VLOOKUP($B37,'Afton FY16 Final'!$A$5:$BV$587,'Afton FY16 Final'!AQ$587,0),0)</f>
        <v>27319.295922714577</v>
      </c>
      <c r="E37" s="637">
        <f>IFERROR(VLOOKUP($B37,'Afton FY16 Final'!$A$5:$BV$587,'Afton FY16 Final'!AR$587,0),0)</f>
        <v>6364.681068214918</v>
      </c>
      <c r="F37" s="637">
        <f>IFERROR(VLOOKUP($B37,'Afton FY16 Final'!$A$5:$BV$587,'Afton FY16 Final'!AS$587,0),0)</f>
        <v>14756.336089729832</v>
      </c>
      <c r="G37" s="637">
        <f>IFERROR(VLOOKUP($B37,'Afton FY16 Final'!$A$5:$BV$587,'Afton FY16 Final'!AT$587,0),0)</f>
        <v>11803.461706769216</v>
      </c>
      <c r="H37" s="638">
        <f>IFERROR(VLOOKUP($B37,'Afton FY16 Final'!$A$5:$BV$587,'Afton FY16 Final'!AU$587,0),0)</f>
        <v>60243.774787428541</v>
      </c>
      <c r="I37" s="639" t="str">
        <f>VLOOKUP($B37,'Afton Update'!$A$5:$CR$582,'Afton Update'!BT$589,0)</f>
        <v>Y</v>
      </c>
      <c r="J37" s="640" t="str">
        <f>VLOOKUP($B37,'Afton Update'!$A$5:$CR$582,'Afton Update'!BU$589,0)</f>
        <v>Y</v>
      </c>
      <c r="K37" s="640" t="str">
        <f>VLOOKUP($B37,'Afton Update'!$A$5:$CR$582,'Afton Update'!BV$589,0)</f>
        <v>Y</v>
      </c>
      <c r="L37" s="641" t="str">
        <f>VLOOKUP($B37,'Afton Update'!$A$5:$CR$582,'Afton Update'!BW$589,0)</f>
        <v>Y</v>
      </c>
      <c r="N37" s="642">
        <f>VLOOKUP($B37,'Afton Update'!$A$5:$CR$582,'Afton Update'!CB$589,0)</f>
        <v>0.9</v>
      </c>
      <c r="P37" s="636">
        <f>VLOOKUP($B37,'Afton Update'!$A$5:$CR$582,'Afton Update'!AH$589,0)</f>
        <v>24796.036903025692</v>
      </c>
      <c r="Q37" s="637">
        <f>VLOOKUP($B37,'Afton Update'!$A$5:$CR$582,'Afton Update'!AI$589,0)</f>
        <v>6911.1015753028569</v>
      </c>
      <c r="R37" s="637">
        <f>VLOOKUP($B37,'Afton Update'!$A$5:$CR$582,'Afton Update'!AJ$589,0)</f>
        <v>13375.23490340764</v>
      </c>
      <c r="S37" s="637">
        <f>VLOOKUP($B37,'Afton Update'!$A$5:$CR$582,'Afton Update'!AK$589,0)</f>
        <v>10992.122990036329</v>
      </c>
      <c r="T37" s="643">
        <f t="shared" si="47"/>
        <v>56074.496371772519</v>
      </c>
      <c r="V37" s="636">
        <f t="shared" si="70"/>
        <v>24587.366330443121</v>
      </c>
      <c r="W37" s="637">
        <f t="shared" si="71"/>
        <v>6683.4751570580947</v>
      </c>
      <c r="X37" s="637">
        <f t="shared" si="72"/>
        <v>13280.702480756849</v>
      </c>
      <c r="Y37" s="637">
        <f t="shared" si="73"/>
        <v>10871.00958151825</v>
      </c>
      <c r="Z37" s="643">
        <f t="shared" si="74"/>
        <v>55422.553549776312</v>
      </c>
      <c r="AB37" s="644">
        <f t="shared" si="11"/>
        <v>24796.036903025692</v>
      </c>
      <c r="AC37" s="645">
        <f t="shared" si="12"/>
        <v>24587.366330443121</v>
      </c>
      <c r="AD37" s="644">
        <f t="shared" si="75"/>
        <v>0</v>
      </c>
      <c r="AE37" s="645">
        <f t="shared" si="76"/>
        <v>24796.036903025692</v>
      </c>
      <c r="AF37" s="646">
        <f t="shared" si="77"/>
        <v>-307.36551113871542</v>
      </c>
      <c r="AG37" s="647">
        <f t="shared" si="78"/>
        <v>24488.671391886975</v>
      </c>
      <c r="AH37" s="644">
        <f t="shared" si="13"/>
        <v>-98.694938556145644</v>
      </c>
      <c r="AI37" s="645">
        <f t="shared" si="14"/>
        <v>0</v>
      </c>
      <c r="AJ37" s="646">
        <f t="shared" si="79"/>
        <v>0</v>
      </c>
      <c r="AK37" s="647">
        <f t="shared" si="15"/>
        <v>24587.366330443121</v>
      </c>
      <c r="AL37" s="644">
        <f t="shared" si="80"/>
        <v>0</v>
      </c>
      <c r="AM37" s="645">
        <f t="shared" si="81"/>
        <v>0</v>
      </c>
      <c r="AN37" s="646">
        <f t="shared" si="82"/>
        <v>0</v>
      </c>
      <c r="AO37" s="647">
        <f t="shared" si="16"/>
        <v>24587.366330443121</v>
      </c>
      <c r="AP37" s="644">
        <f t="shared" si="83"/>
        <v>0</v>
      </c>
      <c r="AQ37" s="645">
        <f t="shared" si="84"/>
        <v>0</v>
      </c>
      <c r="AR37" s="646">
        <f t="shared" si="85"/>
        <v>0</v>
      </c>
      <c r="AS37" s="647">
        <f t="shared" si="17"/>
        <v>24587.366330443121</v>
      </c>
      <c r="AT37" s="644">
        <f t="shared" si="86"/>
        <v>0</v>
      </c>
      <c r="AU37" s="645">
        <f t="shared" si="87"/>
        <v>0</v>
      </c>
      <c r="AV37" s="646">
        <f t="shared" si="88"/>
        <v>0</v>
      </c>
      <c r="AW37" s="647">
        <f t="shared" si="18"/>
        <v>24587.366330443121</v>
      </c>
      <c r="AY37" s="644">
        <f t="shared" si="89"/>
        <v>6911.1015753028569</v>
      </c>
      <c r="AZ37" s="645">
        <f t="shared" si="48"/>
        <v>5728.2129613934267</v>
      </c>
      <c r="BA37" s="644">
        <f t="shared" si="90"/>
        <v>0</v>
      </c>
      <c r="BB37" s="645">
        <f t="shared" si="91"/>
        <v>6911.1015753028569</v>
      </c>
      <c r="BC37" s="646">
        <f t="shared" si="92"/>
        <v>-49.699745533405299</v>
      </c>
      <c r="BD37" s="647">
        <f t="shared" si="93"/>
        <v>6861.401829769452</v>
      </c>
      <c r="BE37" s="644">
        <f t="shared" si="19"/>
        <v>0</v>
      </c>
      <c r="BF37" s="645">
        <f t="shared" si="20"/>
        <v>6861.401829769452</v>
      </c>
      <c r="BG37" s="646">
        <f t="shared" si="94"/>
        <v>-163.43299994602035</v>
      </c>
      <c r="BH37" s="647">
        <f t="shared" si="21"/>
        <v>6697.9688298234314</v>
      </c>
      <c r="BI37" s="644">
        <f t="shared" si="95"/>
        <v>0</v>
      </c>
      <c r="BJ37" s="645">
        <f t="shared" si="96"/>
        <v>6697.9688298234314</v>
      </c>
      <c r="BK37" s="646">
        <f t="shared" si="97"/>
        <v>-14.187871146961898</v>
      </c>
      <c r="BL37" s="647">
        <f t="shared" si="22"/>
        <v>6683.7809586764697</v>
      </c>
      <c r="BM37" s="644">
        <f t="shared" si="98"/>
        <v>0</v>
      </c>
      <c r="BN37" s="645">
        <f t="shared" si="99"/>
        <v>6683.7809586764697</v>
      </c>
      <c r="BO37" s="646">
        <f t="shared" si="100"/>
        <v>-0.30580161837530839</v>
      </c>
      <c r="BP37" s="647">
        <f t="shared" si="23"/>
        <v>6683.4751570580947</v>
      </c>
      <c r="BQ37" s="644">
        <f t="shared" si="101"/>
        <v>0</v>
      </c>
      <c r="BR37" s="645">
        <f t="shared" si="102"/>
        <v>6683.4751570580947</v>
      </c>
      <c r="BS37" s="646">
        <f t="shared" si="103"/>
        <v>0</v>
      </c>
      <c r="BT37" s="647">
        <f t="shared" si="24"/>
        <v>6683.4751570580947</v>
      </c>
      <c r="BU37" s="662">
        <f>VLOOKUP(B37,'Afton Update'!$A$5:$AR$582,'Afton Update'!$AO$589,0)-BT37</f>
        <v>0</v>
      </c>
      <c r="BV37" s="644">
        <f t="shared" si="104"/>
        <v>13375.23490340764</v>
      </c>
      <c r="BW37" s="645">
        <f t="shared" si="25"/>
        <v>13280.702480756849</v>
      </c>
      <c r="BX37" s="644">
        <f t="shared" si="105"/>
        <v>0</v>
      </c>
      <c r="BY37" s="645">
        <f t="shared" si="106"/>
        <v>13375.23490340764</v>
      </c>
      <c r="BZ37" s="646">
        <f t="shared" si="107"/>
        <v>-117.39585878629738</v>
      </c>
      <c r="CA37" s="647">
        <f t="shared" si="108"/>
        <v>13257.839044621342</v>
      </c>
      <c r="CB37" s="644">
        <f t="shared" si="26"/>
        <v>-22.863436135507072</v>
      </c>
      <c r="CC37" s="645">
        <f t="shared" si="27"/>
        <v>0</v>
      </c>
      <c r="CD37" s="646">
        <f t="shared" si="109"/>
        <v>0</v>
      </c>
      <c r="CE37" s="647">
        <f t="shared" si="28"/>
        <v>13280.702480756849</v>
      </c>
      <c r="CF37" s="644">
        <f t="shared" si="110"/>
        <v>0</v>
      </c>
      <c r="CG37" s="645">
        <f t="shared" si="111"/>
        <v>0</v>
      </c>
      <c r="CH37" s="646">
        <f t="shared" si="112"/>
        <v>0</v>
      </c>
      <c r="CI37" s="647">
        <f t="shared" si="29"/>
        <v>13280.702480756849</v>
      </c>
      <c r="CJ37" s="644">
        <f t="shared" si="113"/>
        <v>0</v>
      </c>
      <c r="CK37" s="645">
        <f t="shared" si="114"/>
        <v>0</v>
      </c>
      <c r="CL37" s="646">
        <f t="shared" si="115"/>
        <v>0</v>
      </c>
      <c r="CM37" s="647">
        <f t="shared" si="30"/>
        <v>13280.702480756849</v>
      </c>
      <c r="CN37" s="644">
        <f t="shared" si="116"/>
        <v>0</v>
      </c>
      <c r="CO37" s="645">
        <f t="shared" si="117"/>
        <v>0</v>
      </c>
      <c r="CP37" s="646">
        <f t="shared" si="118"/>
        <v>0</v>
      </c>
      <c r="CQ37" s="647">
        <f t="shared" si="31"/>
        <v>13280.702480756849</v>
      </c>
      <c r="CS37" s="644">
        <f t="shared" si="119"/>
        <v>10992.122990036329</v>
      </c>
      <c r="CT37" s="645">
        <f t="shared" si="32"/>
        <v>10623.115536092295</v>
      </c>
      <c r="CU37" s="644">
        <f t="shared" si="120"/>
        <v>0</v>
      </c>
      <c r="CV37" s="645">
        <f t="shared" si="121"/>
        <v>10992.122990036329</v>
      </c>
      <c r="CW37" s="646">
        <f t="shared" si="122"/>
        <v>-112.56555130823325</v>
      </c>
      <c r="CX37" s="647">
        <f t="shared" si="123"/>
        <v>10879.557438728096</v>
      </c>
      <c r="CY37" s="644">
        <f t="shared" si="33"/>
        <v>0</v>
      </c>
      <c r="CZ37" s="645">
        <f t="shared" si="34"/>
        <v>10879.557438728096</v>
      </c>
      <c r="DA37" s="646">
        <f t="shared" si="124"/>
        <v>-8.5404920991482189</v>
      </c>
      <c r="DB37" s="647">
        <f t="shared" si="35"/>
        <v>10871.016946628948</v>
      </c>
      <c r="DC37" s="644">
        <f t="shared" si="125"/>
        <v>0</v>
      </c>
      <c r="DD37" s="645">
        <f t="shared" si="126"/>
        <v>10871.016946628948</v>
      </c>
      <c r="DE37" s="646">
        <f t="shared" si="127"/>
        <v>-7.3651106969780866E-3</v>
      </c>
      <c r="DF37" s="647">
        <f t="shared" si="36"/>
        <v>10871.00958151825</v>
      </c>
      <c r="DG37" s="644">
        <f t="shared" si="128"/>
        <v>0</v>
      </c>
      <c r="DH37" s="645">
        <f t="shared" si="129"/>
        <v>10871.00958151825</v>
      </c>
      <c r="DI37" s="646">
        <f t="shared" si="130"/>
        <v>0</v>
      </c>
      <c r="DJ37" s="647">
        <f t="shared" si="37"/>
        <v>10871.00958151825</v>
      </c>
      <c r="DK37" s="644">
        <f t="shared" si="131"/>
        <v>0</v>
      </c>
      <c r="DL37" s="645">
        <f t="shared" si="132"/>
        <v>10871.00958151825</v>
      </c>
      <c r="DM37" s="646">
        <f t="shared" si="133"/>
        <v>0</v>
      </c>
      <c r="DN37" s="647">
        <f t="shared" si="38"/>
        <v>10871.00958151825</v>
      </c>
      <c r="DR37" s="827">
        <f t="shared" si="49"/>
        <v>55422.553549776312</v>
      </c>
      <c r="DV37" s="828">
        <f>IFERROR(VLOOKUP($B37,'Afton FY16 Final'!$A$5:$BV$587,'Afton FY16 Final'!$BV$587,0),0)</f>
        <v>53486.253419892877</v>
      </c>
      <c r="DX37" s="636">
        <f t="shared" si="39"/>
        <v>55422.553549776312</v>
      </c>
      <c r="DY37" s="637">
        <f t="shared" si="40"/>
        <v>1936.3001298834351</v>
      </c>
      <c r="DZ37" s="637">
        <f t="shared" si="41"/>
        <v>53486.253419892877</v>
      </c>
      <c r="EA37" s="643">
        <f t="shared" si="42"/>
        <v>52474.694843707708</v>
      </c>
      <c r="EB37" s="637">
        <f t="shared" si="50"/>
        <v>53486.253419892877</v>
      </c>
      <c r="EC37" s="637">
        <f t="shared" si="51"/>
        <v>0</v>
      </c>
      <c r="ED37" s="637">
        <f t="shared" si="52"/>
        <v>0</v>
      </c>
      <c r="EE37" s="643">
        <f t="shared" si="53"/>
        <v>53486.253419892877</v>
      </c>
      <c r="EF37" s="637">
        <f t="shared" si="54"/>
        <v>0</v>
      </c>
      <c r="EG37" s="637">
        <f t="shared" si="55"/>
        <v>0</v>
      </c>
      <c r="EH37" s="637">
        <f t="shared" si="56"/>
        <v>0</v>
      </c>
      <c r="EI37" s="643">
        <f t="shared" si="57"/>
        <v>53486.253419892877</v>
      </c>
      <c r="EJ37" s="637">
        <f t="shared" si="58"/>
        <v>0</v>
      </c>
      <c r="EK37" s="637">
        <f t="shared" si="59"/>
        <v>0</v>
      </c>
      <c r="EL37" s="637">
        <f t="shared" si="60"/>
        <v>0</v>
      </c>
      <c r="EM37" s="643">
        <f t="shared" si="61"/>
        <v>53486.253419892877</v>
      </c>
      <c r="EN37" s="637">
        <f t="shared" si="62"/>
        <v>0</v>
      </c>
      <c r="EO37" s="637">
        <f t="shared" si="63"/>
        <v>0</v>
      </c>
      <c r="EP37" s="637">
        <f t="shared" si="64"/>
        <v>0</v>
      </c>
      <c r="EQ37" s="643">
        <f t="shared" si="65"/>
        <v>53486.253419892877</v>
      </c>
      <c r="ER37" s="637">
        <f t="shared" si="66"/>
        <v>0</v>
      </c>
      <c r="ES37" s="637">
        <f t="shared" si="67"/>
        <v>0</v>
      </c>
      <c r="ET37" s="637">
        <f t="shared" si="68"/>
        <v>0</v>
      </c>
      <c r="EU37" s="643">
        <f t="shared" si="43"/>
        <v>53486.253419892877</v>
      </c>
      <c r="EV37" s="643">
        <f t="shared" si="44"/>
        <v>0</v>
      </c>
      <c r="EX37" s="829">
        <f t="shared" si="45"/>
        <v>1936.3001298834351</v>
      </c>
      <c r="EY37" s="638">
        <f t="shared" si="46"/>
        <v>53486.253419892877</v>
      </c>
      <c r="FC37" s="830" t="str">
        <f t="shared" si="69"/>
        <v>Y</v>
      </c>
      <c r="FE37" s="830" t="str">
        <f>IFERROR(VLOOKUP($B37,'Historical Conc Grant Elig'!$B$3:$J$707,'HH &amp; SI'!FE$2,0),"N")</f>
        <v>Y</v>
      </c>
      <c r="FF37" s="830" t="str">
        <f>IFERROR(VLOOKUP($B37,'Historical Conc Grant Elig'!$B$3:$J$707,'HH &amp; SI'!FF$2,0),"N")</f>
        <v>Y</v>
      </c>
      <c r="FG37" s="830" t="str">
        <f>IFERROR(VLOOKUP($B37,'Historical Conc Grant Elig'!$B$3:$J$707,'HH &amp; SI'!FG$2,0),"N")</f>
        <v>Y</v>
      </c>
      <c r="FH37" s="830" t="str">
        <f>IFERROR(VLOOKUP($B37,'Historical Conc Grant Elig'!$B$3:$J$707,'HH &amp; SI'!FH$2,0),"N")</f>
        <v>Y</v>
      </c>
      <c r="FI37" s="830" t="str">
        <f>IFERROR(VLOOKUP($B37,'Historical Conc Grant Elig'!$B$3:$J$707,'HH &amp; SI'!FI$2,0),"N")</f>
        <v>Y</v>
      </c>
      <c r="FJ37" s="830" t="str">
        <f>IFERROR(VLOOKUP($B37,'Historical Conc Grant Elig'!$B$3:$J$707,'HH &amp; SI'!FJ$2,0),"N")</f>
        <v>Y</v>
      </c>
      <c r="FK37" s="830" t="str">
        <f>IFERROR(VLOOKUP($B37,'Historical Conc Grant Elig'!$B$3:$J$707,'HH &amp; SI'!FK$2,0),"N")</f>
        <v>Y</v>
      </c>
      <c r="FL37" s="957" t="str">
        <f>IFERROR(VLOOKUP($B37,'Historical Conc Grant Elig'!$B$3:$J$707,'HH &amp; SI'!FL$2,0),"N")</f>
        <v>Y</v>
      </c>
    </row>
    <row r="38" spans="2:168" x14ac:dyDescent="0.25">
      <c r="B38" s="634">
        <v>28701000</v>
      </c>
      <c r="C38" s="635" t="str">
        <f>VLOOKUP($B38,'Afton Update'!$A$5:$CR$582,'Afton Update'!D$589,0)</f>
        <v>Cochise Community Development Corporation</v>
      </c>
      <c r="D38" s="636">
        <f>IFERROR(VLOOKUP($B38,'Afton FY16 Final'!$A$5:$BV$587,'Afton FY16 Final'!AQ$587,0),0)</f>
        <v>51070.540526675017</v>
      </c>
      <c r="E38" s="637">
        <f>IFERROR(VLOOKUP($B38,'Afton FY16 Final'!$A$5:$BV$587,'Afton FY16 Final'!AR$587,0),0)</f>
        <v>12194.515688114388</v>
      </c>
      <c r="F38" s="637">
        <f>IFERROR(VLOOKUP($B38,'Afton FY16 Final'!$A$5:$BV$587,'Afton FY16 Final'!AS$587,0),0)</f>
        <v>25335.776487481842</v>
      </c>
      <c r="G38" s="637">
        <f>IFERROR(VLOOKUP($B38,'Afton FY16 Final'!$A$5:$BV$587,'Afton FY16 Final'!AT$587,0),0)</f>
        <v>25277.65793704188</v>
      </c>
      <c r="H38" s="638">
        <f>IFERROR(VLOOKUP($B38,'Afton FY16 Final'!$A$5:$BV$587,'Afton FY16 Final'!AU$587,0),0)</f>
        <v>113878.49063931312</v>
      </c>
      <c r="I38" s="639" t="str">
        <f>VLOOKUP($B38,'Afton Update'!$A$5:$CR$582,'Afton Update'!BT$589,0)</f>
        <v>Y</v>
      </c>
      <c r="J38" s="640" t="str">
        <f>VLOOKUP($B38,'Afton Update'!$A$5:$CR$582,'Afton Update'!BU$589,0)</f>
        <v>Y</v>
      </c>
      <c r="K38" s="640" t="str">
        <f>VLOOKUP($B38,'Afton Update'!$A$5:$CR$582,'Afton Update'!BV$589,0)</f>
        <v>Y</v>
      </c>
      <c r="L38" s="641" t="str">
        <f>VLOOKUP($B38,'Afton Update'!$A$5:$CR$582,'Afton Update'!BW$589,0)</f>
        <v>Y</v>
      </c>
      <c r="N38" s="642">
        <f>VLOOKUP($B38,'Afton Update'!$A$5:$CR$582,'Afton Update'!CB$589,0)</f>
        <v>0.95</v>
      </c>
      <c r="P38" s="636">
        <f>VLOOKUP($B38,'Afton Update'!$A$5:$CR$582,'Afton Update'!AH$589,0)</f>
        <v>56564.881142323713</v>
      </c>
      <c r="Q38" s="637">
        <f>VLOOKUP($B38,'Afton Update'!$A$5:$CR$582,'Afton Update'!AI$589,0)</f>
        <v>14537.822047224738</v>
      </c>
      <c r="R38" s="637">
        <f>VLOOKUP($B38,'Afton Update'!$A$5:$CR$582,'Afton Update'!AJ$589,0)</f>
        <v>27925.405229512715</v>
      </c>
      <c r="S38" s="637">
        <f>VLOOKUP($B38,'Afton Update'!$A$5:$CR$582,'Afton Update'!AK$589,0)</f>
        <v>26918.866921187375</v>
      </c>
      <c r="T38" s="643">
        <f t="shared" si="47"/>
        <v>125946.97534024855</v>
      </c>
      <c r="V38" s="636">
        <f t="shared" si="70"/>
        <v>55793.299449333426</v>
      </c>
      <c r="W38" s="637">
        <f t="shared" si="71"/>
        <v>14058.999340651439</v>
      </c>
      <c r="X38" s="637">
        <f t="shared" si="72"/>
        <v>27671.43457201252</v>
      </c>
      <c r="Y38" s="637">
        <f t="shared" si="73"/>
        <v>26622.26946415157</v>
      </c>
      <c r="Z38" s="643">
        <f t="shared" si="74"/>
        <v>124146.00282614895</v>
      </c>
      <c r="AB38" s="644">
        <f t="shared" si="11"/>
        <v>56564.881142323713</v>
      </c>
      <c r="AC38" s="645">
        <f t="shared" si="12"/>
        <v>48517.013500341265</v>
      </c>
      <c r="AD38" s="644">
        <f t="shared" si="75"/>
        <v>0</v>
      </c>
      <c r="AE38" s="645">
        <f t="shared" si="76"/>
        <v>56564.881142323713</v>
      </c>
      <c r="AF38" s="646">
        <f t="shared" si="77"/>
        <v>-701.16420913575541</v>
      </c>
      <c r="AG38" s="647">
        <f t="shared" si="78"/>
        <v>55863.716933187956</v>
      </c>
      <c r="AH38" s="644">
        <f t="shared" si="13"/>
        <v>0</v>
      </c>
      <c r="AI38" s="645">
        <f t="shared" si="14"/>
        <v>55863.716933187956</v>
      </c>
      <c r="AJ38" s="646">
        <f t="shared" si="79"/>
        <v>-70.3726210918433</v>
      </c>
      <c r="AK38" s="647">
        <f t="shared" si="15"/>
        <v>55793.344312096109</v>
      </c>
      <c r="AL38" s="644">
        <f t="shared" si="80"/>
        <v>0</v>
      </c>
      <c r="AM38" s="645">
        <f t="shared" si="81"/>
        <v>55793.344312096109</v>
      </c>
      <c r="AN38" s="646">
        <f t="shared" si="82"/>
        <v>-4.4862762681548866E-2</v>
      </c>
      <c r="AO38" s="647">
        <f t="shared" si="16"/>
        <v>55793.299449333426</v>
      </c>
      <c r="AP38" s="644">
        <f t="shared" si="83"/>
        <v>0</v>
      </c>
      <c r="AQ38" s="645">
        <f t="shared" si="84"/>
        <v>55793.299449333426</v>
      </c>
      <c r="AR38" s="646">
        <f t="shared" si="85"/>
        <v>0</v>
      </c>
      <c r="AS38" s="647">
        <f t="shared" si="17"/>
        <v>55793.299449333426</v>
      </c>
      <c r="AT38" s="644">
        <f t="shared" si="86"/>
        <v>0</v>
      </c>
      <c r="AU38" s="645">
        <f t="shared" si="87"/>
        <v>55793.299449333426</v>
      </c>
      <c r="AV38" s="646">
        <f t="shared" si="88"/>
        <v>0</v>
      </c>
      <c r="AW38" s="647">
        <f t="shared" si="18"/>
        <v>55793.299449333426</v>
      </c>
      <c r="AY38" s="644">
        <f t="shared" si="89"/>
        <v>14537.822047224738</v>
      </c>
      <c r="AZ38" s="645">
        <f t="shared" si="48"/>
        <v>11584.789903708668</v>
      </c>
      <c r="BA38" s="644">
        <f t="shared" si="90"/>
        <v>0</v>
      </c>
      <c r="BB38" s="645">
        <f t="shared" si="91"/>
        <v>14537.822047224738</v>
      </c>
      <c r="BC38" s="646">
        <f t="shared" si="92"/>
        <v>-104.54571510553096</v>
      </c>
      <c r="BD38" s="647">
        <f t="shared" si="93"/>
        <v>14433.276332119207</v>
      </c>
      <c r="BE38" s="644">
        <f t="shared" si="19"/>
        <v>0</v>
      </c>
      <c r="BF38" s="645">
        <f t="shared" si="20"/>
        <v>14433.276332119207</v>
      </c>
      <c r="BG38" s="646">
        <f t="shared" si="94"/>
        <v>-343.78887995944626</v>
      </c>
      <c r="BH38" s="647">
        <f t="shared" si="21"/>
        <v>14089.487452159761</v>
      </c>
      <c r="BI38" s="644">
        <f t="shared" si="95"/>
        <v>0</v>
      </c>
      <c r="BJ38" s="645">
        <f t="shared" si="96"/>
        <v>14089.487452159761</v>
      </c>
      <c r="BK38" s="646">
        <f t="shared" si="97"/>
        <v>-29.844843649899286</v>
      </c>
      <c r="BL38" s="647">
        <f t="shared" si="22"/>
        <v>14059.642608509863</v>
      </c>
      <c r="BM38" s="644">
        <f t="shared" si="98"/>
        <v>0</v>
      </c>
      <c r="BN38" s="645">
        <f t="shared" si="99"/>
        <v>14059.642608509863</v>
      </c>
      <c r="BO38" s="646">
        <f t="shared" si="100"/>
        <v>-0.64326785842367629</v>
      </c>
      <c r="BP38" s="647">
        <f t="shared" si="23"/>
        <v>14058.999340651439</v>
      </c>
      <c r="BQ38" s="644">
        <f t="shared" si="101"/>
        <v>0</v>
      </c>
      <c r="BR38" s="645">
        <f t="shared" si="102"/>
        <v>14058.999340651439</v>
      </c>
      <c r="BS38" s="646">
        <f t="shared" si="103"/>
        <v>0</v>
      </c>
      <c r="BT38" s="647">
        <f t="shared" si="24"/>
        <v>14058.999340651439</v>
      </c>
      <c r="BU38" s="662">
        <f>VLOOKUP(B38,'Afton Update'!$A$5:$AR$582,'Afton Update'!$AO$589,0)-BT38</f>
        <v>0</v>
      </c>
      <c r="BV38" s="644">
        <f t="shared" si="104"/>
        <v>27925.405229512715</v>
      </c>
      <c r="BW38" s="645">
        <f t="shared" si="25"/>
        <v>24068.98766310775</v>
      </c>
      <c r="BX38" s="644">
        <f t="shared" si="105"/>
        <v>0</v>
      </c>
      <c r="BY38" s="645">
        <f t="shared" si="106"/>
        <v>27925.405229512715</v>
      </c>
      <c r="BZ38" s="646">
        <f t="shared" si="107"/>
        <v>-245.10425069534878</v>
      </c>
      <c r="CA38" s="647">
        <f t="shared" si="108"/>
        <v>27680.300978817366</v>
      </c>
      <c r="CB38" s="644">
        <f t="shared" si="26"/>
        <v>0</v>
      </c>
      <c r="CC38" s="645">
        <f t="shared" si="27"/>
        <v>27680.300978817366</v>
      </c>
      <c r="CD38" s="646">
        <f t="shared" si="109"/>
        <v>-8.8664068048466333</v>
      </c>
      <c r="CE38" s="647">
        <f t="shared" si="28"/>
        <v>27671.43457201252</v>
      </c>
      <c r="CF38" s="644">
        <f t="shared" si="110"/>
        <v>0</v>
      </c>
      <c r="CG38" s="645">
        <f t="shared" si="111"/>
        <v>27671.43457201252</v>
      </c>
      <c r="CH38" s="646">
        <f t="shared" si="112"/>
        <v>0</v>
      </c>
      <c r="CI38" s="647">
        <f t="shared" si="29"/>
        <v>27671.43457201252</v>
      </c>
      <c r="CJ38" s="644">
        <f t="shared" si="113"/>
        <v>0</v>
      </c>
      <c r="CK38" s="645">
        <f t="shared" si="114"/>
        <v>27671.43457201252</v>
      </c>
      <c r="CL38" s="646">
        <f t="shared" si="115"/>
        <v>0</v>
      </c>
      <c r="CM38" s="647">
        <f t="shared" si="30"/>
        <v>27671.43457201252</v>
      </c>
      <c r="CN38" s="644">
        <f t="shared" si="116"/>
        <v>0</v>
      </c>
      <c r="CO38" s="645">
        <f t="shared" si="117"/>
        <v>27671.43457201252</v>
      </c>
      <c r="CP38" s="646">
        <f t="shared" si="118"/>
        <v>0</v>
      </c>
      <c r="CQ38" s="647">
        <f t="shared" si="31"/>
        <v>27671.43457201252</v>
      </c>
      <c r="CS38" s="644">
        <f t="shared" si="119"/>
        <v>26918.866921187375</v>
      </c>
      <c r="CT38" s="645">
        <f t="shared" si="32"/>
        <v>24013.775040189787</v>
      </c>
      <c r="CU38" s="644">
        <f t="shared" si="120"/>
        <v>0</v>
      </c>
      <c r="CV38" s="645">
        <f t="shared" si="121"/>
        <v>26918.866921187375</v>
      </c>
      <c r="CW38" s="646">
        <f t="shared" si="122"/>
        <v>-275.66440971621677</v>
      </c>
      <c r="CX38" s="647">
        <f t="shared" si="123"/>
        <v>26643.202511471158</v>
      </c>
      <c r="CY38" s="644">
        <f t="shared" si="33"/>
        <v>0</v>
      </c>
      <c r="CZ38" s="645">
        <f t="shared" si="34"/>
        <v>26643.202511471158</v>
      </c>
      <c r="DA38" s="646">
        <f t="shared" si="124"/>
        <v>-20.915010727846969</v>
      </c>
      <c r="DB38" s="647">
        <f t="shared" si="35"/>
        <v>26622.28750074331</v>
      </c>
      <c r="DC38" s="644">
        <f t="shared" si="125"/>
        <v>0</v>
      </c>
      <c r="DD38" s="645">
        <f t="shared" si="126"/>
        <v>26622.28750074331</v>
      </c>
      <c r="DE38" s="646">
        <f t="shared" si="127"/>
        <v>-1.803659173860021E-2</v>
      </c>
      <c r="DF38" s="647">
        <f t="shared" si="36"/>
        <v>26622.26946415157</v>
      </c>
      <c r="DG38" s="644">
        <f t="shared" si="128"/>
        <v>0</v>
      </c>
      <c r="DH38" s="645">
        <f t="shared" si="129"/>
        <v>26622.26946415157</v>
      </c>
      <c r="DI38" s="646">
        <f t="shared" si="130"/>
        <v>0</v>
      </c>
      <c r="DJ38" s="647">
        <f t="shared" si="37"/>
        <v>26622.26946415157</v>
      </c>
      <c r="DK38" s="644">
        <f t="shared" si="131"/>
        <v>0</v>
      </c>
      <c r="DL38" s="645">
        <f t="shared" si="132"/>
        <v>26622.26946415157</v>
      </c>
      <c r="DM38" s="646">
        <f t="shared" si="133"/>
        <v>0</v>
      </c>
      <c r="DN38" s="647">
        <f t="shared" si="38"/>
        <v>26622.26946415157</v>
      </c>
      <c r="DR38" s="827">
        <f t="shared" si="49"/>
        <v>124146.00282614895</v>
      </c>
      <c r="DV38" s="828">
        <f>IFERROR(VLOOKUP($B38,'Afton FY16 Final'!$A$5:$BV$587,'Afton FY16 Final'!$BV$587,0),0)</f>
        <v>102058.8931083768</v>
      </c>
      <c r="DX38" s="636">
        <f t="shared" si="39"/>
        <v>124146.00282614895</v>
      </c>
      <c r="DY38" s="637">
        <f t="shared" si="40"/>
        <v>22087.109717772153</v>
      </c>
      <c r="DZ38" s="637">
        <f t="shared" si="41"/>
        <v>102058.8931083768</v>
      </c>
      <c r="EA38" s="643">
        <f t="shared" si="42"/>
        <v>117542.82682982826</v>
      </c>
      <c r="EB38" s="637">
        <f t="shared" si="50"/>
        <v>0</v>
      </c>
      <c r="EC38" s="637">
        <f t="shared" si="51"/>
        <v>117542.82682982826</v>
      </c>
      <c r="ED38" s="637">
        <f t="shared" si="52"/>
        <v>117192.32113843662</v>
      </c>
      <c r="EE38" s="643">
        <f t="shared" si="53"/>
        <v>117192.32113843662</v>
      </c>
      <c r="EF38" s="637">
        <f t="shared" si="54"/>
        <v>0</v>
      </c>
      <c r="EG38" s="637">
        <f t="shared" si="55"/>
        <v>117192.32113843662</v>
      </c>
      <c r="EH38" s="637">
        <f t="shared" si="56"/>
        <v>117192.20023569325</v>
      </c>
      <c r="EI38" s="643">
        <f t="shared" si="57"/>
        <v>117192.20023569325</v>
      </c>
      <c r="EJ38" s="637">
        <f t="shared" si="58"/>
        <v>0</v>
      </c>
      <c r="EK38" s="637">
        <f t="shared" si="59"/>
        <v>117192.20023569325</v>
      </c>
      <c r="EL38" s="637">
        <f t="shared" si="60"/>
        <v>117192.20023569309</v>
      </c>
      <c r="EM38" s="643">
        <f t="shared" si="61"/>
        <v>117192.20023569309</v>
      </c>
      <c r="EN38" s="637">
        <f t="shared" si="62"/>
        <v>0</v>
      </c>
      <c r="EO38" s="637">
        <f t="shared" si="63"/>
        <v>117192.20023569309</v>
      </c>
      <c r="EP38" s="637">
        <f t="shared" si="64"/>
        <v>117192.20023569328</v>
      </c>
      <c r="EQ38" s="643">
        <f t="shared" si="65"/>
        <v>117192.20023569328</v>
      </c>
      <c r="ER38" s="637">
        <f t="shared" si="66"/>
        <v>0</v>
      </c>
      <c r="ES38" s="637">
        <f t="shared" si="67"/>
        <v>117192.20023569328</v>
      </c>
      <c r="ET38" s="637">
        <f t="shared" si="68"/>
        <v>117192.20023569309</v>
      </c>
      <c r="EU38" s="643">
        <f t="shared" si="43"/>
        <v>117192.20023569309</v>
      </c>
      <c r="EV38" s="643">
        <f t="shared" si="44"/>
        <v>0</v>
      </c>
      <c r="EX38" s="829">
        <f t="shared" si="45"/>
        <v>6953.8025904558599</v>
      </c>
      <c r="EY38" s="638">
        <f t="shared" si="46"/>
        <v>117192.20023569309</v>
      </c>
      <c r="FC38" s="830" t="str">
        <f t="shared" si="69"/>
        <v>Y</v>
      </c>
      <c r="FE38" s="830" t="str">
        <f>IFERROR(VLOOKUP($B38,'Historical Conc Grant Elig'!$B$3:$J$707,'HH &amp; SI'!FE$2,0),"N")</f>
        <v>N</v>
      </c>
      <c r="FF38" s="830" t="str">
        <f>IFERROR(VLOOKUP($B38,'Historical Conc Grant Elig'!$B$3:$J$707,'HH &amp; SI'!FF$2,0),"N")</f>
        <v>N</v>
      </c>
      <c r="FG38" s="830" t="str">
        <f>IFERROR(VLOOKUP($B38,'Historical Conc Grant Elig'!$B$3:$J$707,'HH &amp; SI'!FG$2,0),"N")</f>
        <v>Y</v>
      </c>
      <c r="FH38" s="830" t="str">
        <f>IFERROR(VLOOKUP($B38,'Historical Conc Grant Elig'!$B$3:$J$707,'HH &amp; SI'!FH$2,0),"N")</f>
        <v>Y</v>
      </c>
      <c r="FI38" s="830" t="str">
        <f>IFERROR(VLOOKUP($B38,'Historical Conc Grant Elig'!$B$3:$J$707,'HH &amp; SI'!FI$2,0),"N")</f>
        <v>Y</v>
      </c>
      <c r="FJ38" s="830" t="str">
        <f>IFERROR(VLOOKUP($B38,'Historical Conc Grant Elig'!$B$3:$J$707,'HH &amp; SI'!FJ$2,0),"N")</f>
        <v>Y</v>
      </c>
      <c r="FK38" s="830" t="str">
        <f>IFERROR(VLOOKUP($B38,'Historical Conc Grant Elig'!$B$3:$J$707,'HH &amp; SI'!FK$2,0),"N")</f>
        <v>Y</v>
      </c>
      <c r="FL38" s="957" t="str">
        <f>IFERROR(VLOOKUP($B38,'Historical Conc Grant Elig'!$B$3:$J$707,'HH &amp; SI'!FL$2,0),"N")</f>
        <v>Y</v>
      </c>
    </row>
    <row r="39" spans="2:168" x14ac:dyDescent="0.25">
      <c r="B39" s="634">
        <v>28750000</v>
      </c>
      <c r="C39" s="635" t="str">
        <f>VLOOKUP($B39,'Afton Update'!$A$5:$CR$582,'Afton Update'!D$589,0)</f>
        <v>Center for Academic Success  Inc.</v>
      </c>
      <c r="D39" s="636">
        <f>IFERROR(VLOOKUP($B39,'Afton FY16 Final'!$A$5:$BV$587,'Afton FY16 Final'!AQ$587,0),0)</f>
        <v>223036.40695500356</v>
      </c>
      <c r="E39" s="637">
        <f>IFERROR(VLOOKUP($B39,'Afton FY16 Final'!$A$5:$BV$587,'Afton FY16 Final'!AR$587,0),0)</f>
        <v>52151.729109334206</v>
      </c>
      <c r="F39" s="637">
        <f>IFERROR(VLOOKUP($B39,'Afton FY16 Final'!$A$5:$BV$587,'Afton FY16 Final'!AS$587,0),0)</f>
        <v>107807.80962891362</v>
      </c>
      <c r="G39" s="637">
        <f>IFERROR(VLOOKUP($B39,'Afton FY16 Final'!$A$5:$BV$587,'Afton FY16 Final'!AT$587,0),0)</f>
        <v>106350.31398826186</v>
      </c>
      <c r="H39" s="638">
        <f>IFERROR(VLOOKUP($B39,'Afton FY16 Final'!$A$5:$BV$587,'Afton FY16 Final'!AU$587,0),0)</f>
        <v>489346.2596815133</v>
      </c>
      <c r="I39" s="639" t="str">
        <f>VLOOKUP($B39,'Afton Update'!$A$5:$CR$582,'Afton Update'!BT$589,0)</f>
        <v>Y</v>
      </c>
      <c r="J39" s="640" t="str">
        <f>VLOOKUP($B39,'Afton Update'!$A$5:$CR$582,'Afton Update'!BU$589,0)</f>
        <v>Y</v>
      </c>
      <c r="K39" s="640" t="str">
        <f>VLOOKUP($B39,'Afton Update'!$A$5:$CR$582,'Afton Update'!BV$589,0)</f>
        <v>Y</v>
      </c>
      <c r="L39" s="641" t="str">
        <f>VLOOKUP($B39,'Afton Update'!$A$5:$CR$582,'Afton Update'!BW$589,0)</f>
        <v>Y</v>
      </c>
      <c r="N39" s="642">
        <f>VLOOKUP($B39,'Afton Update'!$A$5:$CR$582,'Afton Update'!CB$589,0)</f>
        <v>0.95</v>
      </c>
      <c r="P39" s="636">
        <f>VLOOKUP($B39,'Afton Update'!$A$5:$CR$582,'Afton Update'!AH$589,0)</f>
        <v>230775.20835796773</v>
      </c>
      <c r="Q39" s="637">
        <f>VLOOKUP($B39,'Afton Update'!$A$5:$CR$582,'Afton Update'!AI$589,0)</f>
        <v>56122.857742374777</v>
      </c>
      <c r="R39" s="637">
        <f>VLOOKUP($B39,'Afton Update'!$A$5:$CR$582,'Afton Update'!AJ$589,0)</f>
        <v>113930.95999099515</v>
      </c>
      <c r="S39" s="637">
        <f>VLOOKUP($B39,'Afton Update'!$A$5:$CR$582,'Afton Update'!AK$589,0)</f>
        <v>109824.45285913</v>
      </c>
      <c r="T39" s="643">
        <f t="shared" si="47"/>
        <v>510653.47895046766</v>
      </c>
      <c r="V39" s="636">
        <f t="shared" si="70"/>
        <v>227627.28472816283</v>
      </c>
      <c r="W39" s="637">
        <f t="shared" si="71"/>
        <v>54274.375998855139</v>
      </c>
      <c r="X39" s="637">
        <f t="shared" si="72"/>
        <v>112894.80239253848</v>
      </c>
      <c r="Y39" s="637">
        <f t="shared" si="73"/>
        <v>108614.38508273603</v>
      </c>
      <c r="Z39" s="643">
        <f t="shared" si="74"/>
        <v>503410.84820229246</v>
      </c>
      <c r="AB39" s="644">
        <f t="shared" si="11"/>
        <v>230775.20835796773</v>
      </c>
      <c r="AC39" s="645">
        <f t="shared" si="12"/>
        <v>211884.58660725338</v>
      </c>
      <c r="AD39" s="644">
        <f t="shared" si="75"/>
        <v>0</v>
      </c>
      <c r="AE39" s="645">
        <f t="shared" si="76"/>
        <v>230775.20835796773</v>
      </c>
      <c r="AF39" s="646">
        <f t="shared" si="77"/>
        <v>-2860.6321305496572</v>
      </c>
      <c r="AG39" s="647">
        <f t="shared" si="78"/>
        <v>227914.57622741806</v>
      </c>
      <c r="AH39" s="644">
        <f t="shared" si="13"/>
        <v>0</v>
      </c>
      <c r="AI39" s="645">
        <f t="shared" si="14"/>
        <v>227914.57622741806</v>
      </c>
      <c r="AJ39" s="646">
        <f t="shared" si="79"/>
        <v>-287.10846672344468</v>
      </c>
      <c r="AK39" s="647">
        <f t="shared" si="15"/>
        <v>227627.46776069462</v>
      </c>
      <c r="AL39" s="644">
        <f t="shared" si="80"/>
        <v>0</v>
      </c>
      <c r="AM39" s="645">
        <f t="shared" si="81"/>
        <v>227627.46776069462</v>
      </c>
      <c r="AN39" s="646">
        <f t="shared" si="82"/>
        <v>-0.18303253178060483</v>
      </c>
      <c r="AO39" s="647">
        <f t="shared" si="16"/>
        <v>227627.28472816283</v>
      </c>
      <c r="AP39" s="644">
        <f t="shared" si="83"/>
        <v>0</v>
      </c>
      <c r="AQ39" s="645">
        <f t="shared" si="84"/>
        <v>227627.28472816283</v>
      </c>
      <c r="AR39" s="646">
        <f t="shared" si="85"/>
        <v>0</v>
      </c>
      <c r="AS39" s="647">
        <f t="shared" si="17"/>
        <v>227627.28472816283</v>
      </c>
      <c r="AT39" s="644">
        <f t="shared" si="86"/>
        <v>0</v>
      </c>
      <c r="AU39" s="645">
        <f t="shared" si="87"/>
        <v>227627.28472816283</v>
      </c>
      <c r="AV39" s="646">
        <f t="shared" si="88"/>
        <v>0</v>
      </c>
      <c r="AW39" s="647">
        <f t="shared" si="18"/>
        <v>227627.28472816283</v>
      </c>
      <c r="AY39" s="644">
        <f t="shared" si="89"/>
        <v>56122.857742374777</v>
      </c>
      <c r="AZ39" s="645">
        <f t="shared" si="48"/>
        <v>49544.142653867493</v>
      </c>
      <c r="BA39" s="644">
        <f t="shared" si="90"/>
        <v>0</v>
      </c>
      <c r="BB39" s="645">
        <f t="shared" si="91"/>
        <v>56122.857742374777</v>
      </c>
      <c r="BC39" s="646">
        <f t="shared" si="92"/>
        <v>-403.59582593478234</v>
      </c>
      <c r="BD39" s="647">
        <f t="shared" si="93"/>
        <v>55719.261916439995</v>
      </c>
      <c r="BE39" s="644">
        <f t="shared" si="19"/>
        <v>0</v>
      </c>
      <c r="BF39" s="645">
        <f t="shared" si="20"/>
        <v>55719.261916439995</v>
      </c>
      <c r="BG39" s="646">
        <f t="shared" si="94"/>
        <v>-1327.1874109270484</v>
      </c>
      <c r="BH39" s="647">
        <f t="shared" si="21"/>
        <v>54392.074505512945</v>
      </c>
      <c r="BI39" s="644">
        <f t="shared" si="95"/>
        <v>0</v>
      </c>
      <c r="BJ39" s="645">
        <f t="shared" si="96"/>
        <v>54392.074505512945</v>
      </c>
      <c r="BK39" s="646">
        <f t="shared" si="97"/>
        <v>-115.215188978494</v>
      </c>
      <c r="BL39" s="647">
        <f t="shared" si="22"/>
        <v>54276.85931653445</v>
      </c>
      <c r="BM39" s="644">
        <f t="shared" si="98"/>
        <v>0</v>
      </c>
      <c r="BN39" s="645">
        <f t="shared" si="99"/>
        <v>54276.85931653445</v>
      </c>
      <c r="BO39" s="646">
        <f t="shared" si="100"/>
        <v>-2.4833176793112495</v>
      </c>
      <c r="BP39" s="647">
        <f t="shared" si="23"/>
        <v>54274.375998855139</v>
      </c>
      <c r="BQ39" s="644">
        <f t="shared" si="101"/>
        <v>0</v>
      </c>
      <c r="BR39" s="645">
        <f t="shared" si="102"/>
        <v>54274.375998855139</v>
      </c>
      <c r="BS39" s="646">
        <f t="shared" si="103"/>
        <v>0</v>
      </c>
      <c r="BT39" s="647">
        <f t="shared" si="24"/>
        <v>54274.375998855139</v>
      </c>
      <c r="BU39" s="662">
        <f>VLOOKUP(B39,'Afton Update'!$A$5:$AR$582,'Afton Update'!$AO$589,0)-BT39</f>
        <v>0</v>
      </c>
      <c r="BV39" s="644">
        <f t="shared" si="104"/>
        <v>113930.95999099515</v>
      </c>
      <c r="BW39" s="645">
        <f t="shared" si="25"/>
        <v>102417.41914746792</v>
      </c>
      <c r="BX39" s="644">
        <f t="shared" si="105"/>
        <v>0</v>
      </c>
      <c r="BY39" s="645">
        <f t="shared" si="106"/>
        <v>113930.95999099515</v>
      </c>
      <c r="BZ39" s="646">
        <f t="shared" si="107"/>
        <v>-999.98414884530962</v>
      </c>
      <c r="CA39" s="647">
        <f t="shared" si="108"/>
        <v>112930.97584214984</v>
      </c>
      <c r="CB39" s="644">
        <f t="shared" si="26"/>
        <v>0</v>
      </c>
      <c r="CC39" s="645">
        <f t="shared" si="27"/>
        <v>112930.97584214984</v>
      </c>
      <c r="CD39" s="646">
        <f t="shared" si="109"/>
        <v>-36.173449611370089</v>
      </c>
      <c r="CE39" s="647">
        <f t="shared" si="28"/>
        <v>112894.80239253848</v>
      </c>
      <c r="CF39" s="644">
        <f t="shared" si="110"/>
        <v>0</v>
      </c>
      <c r="CG39" s="645">
        <f t="shared" si="111"/>
        <v>112894.80239253848</v>
      </c>
      <c r="CH39" s="646">
        <f t="shared" si="112"/>
        <v>0</v>
      </c>
      <c r="CI39" s="647">
        <f t="shared" si="29"/>
        <v>112894.80239253848</v>
      </c>
      <c r="CJ39" s="644">
        <f t="shared" si="113"/>
        <v>0</v>
      </c>
      <c r="CK39" s="645">
        <f t="shared" si="114"/>
        <v>112894.80239253848</v>
      </c>
      <c r="CL39" s="646">
        <f t="shared" si="115"/>
        <v>0</v>
      </c>
      <c r="CM39" s="647">
        <f t="shared" si="30"/>
        <v>112894.80239253848</v>
      </c>
      <c r="CN39" s="644">
        <f t="shared" si="116"/>
        <v>0</v>
      </c>
      <c r="CO39" s="645">
        <f t="shared" si="117"/>
        <v>112894.80239253848</v>
      </c>
      <c r="CP39" s="646">
        <f t="shared" si="118"/>
        <v>0</v>
      </c>
      <c r="CQ39" s="647">
        <f t="shared" si="31"/>
        <v>112894.80239253848</v>
      </c>
      <c r="CS39" s="644">
        <f t="shared" si="119"/>
        <v>109824.45285913</v>
      </c>
      <c r="CT39" s="645">
        <f t="shared" si="32"/>
        <v>101032.79828884876</v>
      </c>
      <c r="CU39" s="644">
        <f t="shared" si="120"/>
        <v>0</v>
      </c>
      <c r="CV39" s="645">
        <f t="shared" si="121"/>
        <v>109824.45285913</v>
      </c>
      <c r="CW39" s="646">
        <f t="shared" si="122"/>
        <v>-1124.6644614892709</v>
      </c>
      <c r="CX39" s="647">
        <f t="shared" si="123"/>
        <v>108699.78839764073</v>
      </c>
      <c r="CY39" s="644">
        <f t="shared" si="33"/>
        <v>0</v>
      </c>
      <c r="CZ39" s="645">
        <f t="shared" si="34"/>
        <v>108699.78839764073</v>
      </c>
      <c r="DA39" s="646">
        <f t="shared" si="124"/>
        <v>-85.329728641762216</v>
      </c>
      <c r="DB39" s="647">
        <f t="shared" si="35"/>
        <v>108614.45866899897</v>
      </c>
      <c r="DC39" s="644">
        <f t="shared" si="125"/>
        <v>0</v>
      </c>
      <c r="DD39" s="645">
        <f t="shared" si="126"/>
        <v>108614.45866899897</v>
      </c>
      <c r="DE39" s="646">
        <f t="shared" si="127"/>
        <v>-7.3586262933532778E-2</v>
      </c>
      <c r="DF39" s="647">
        <f t="shared" si="36"/>
        <v>108614.38508273603</v>
      </c>
      <c r="DG39" s="644">
        <f t="shared" si="128"/>
        <v>0</v>
      </c>
      <c r="DH39" s="645">
        <f t="shared" si="129"/>
        <v>108614.38508273603</v>
      </c>
      <c r="DI39" s="646">
        <f t="shared" si="130"/>
        <v>0</v>
      </c>
      <c r="DJ39" s="647">
        <f t="shared" si="37"/>
        <v>108614.38508273603</v>
      </c>
      <c r="DK39" s="644">
        <f t="shared" si="131"/>
        <v>0</v>
      </c>
      <c r="DL39" s="645">
        <f t="shared" si="132"/>
        <v>108614.38508273603</v>
      </c>
      <c r="DM39" s="646">
        <f t="shared" si="133"/>
        <v>0</v>
      </c>
      <c r="DN39" s="647">
        <f t="shared" si="38"/>
        <v>108614.38508273603</v>
      </c>
      <c r="DR39" s="827">
        <f t="shared" si="49"/>
        <v>503410.84820229246</v>
      </c>
      <c r="DV39" s="828">
        <f>IFERROR(VLOOKUP($B39,'Afton FY16 Final'!$A$5:$BV$587,'Afton FY16 Final'!$BV$587,0),0)</f>
        <v>462162.29570589488</v>
      </c>
      <c r="DX39" s="636">
        <f t="shared" si="39"/>
        <v>503410.84820229246</v>
      </c>
      <c r="DY39" s="637">
        <f t="shared" si="40"/>
        <v>41248.552496397577</v>
      </c>
      <c r="DZ39" s="637">
        <f t="shared" si="41"/>
        <v>462162.29570589488</v>
      </c>
      <c r="EA39" s="643">
        <f t="shared" si="42"/>
        <v>476635.03300515056</v>
      </c>
      <c r="EB39" s="637">
        <f t="shared" si="50"/>
        <v>0</v>
      </c>
      <c r="EC39" s="637">
        <f t="shared" si="51"/>
        <v>476635.03300515056</v>
      </c>
      <c r="ED39" s="637">
        <f t="shared" si="52"/>
        <v>475213.73579552316</v>
      </c>
      <c r="EE39" s="643">
        <f t="shared" si="53"/>
        <v>475213.73579552316</v>
      </c>
      <c r="EF39" s="637">
        <f t="shared" si="54"/>
        <v>0</v>
      </c>
      <c r="EG39" s="637">
        <f t="shared" si="55"/>
        <v>475213.73579552316</v>
      </c>
      <c r="EH39" s="637">
        <f t="shared" si="56"/>
        <v>475213.24553606089</v>
      </c>
      <c r="EI39" s="643">
        <f t="shared" si="57"/>
        <v>475213.24553606089</v>
      </c>
      <c r="EJ39" s="637">
        <f t="shared" si="58"/>
        <v>0</v>
      </c>
      <c r="EK39" s="637">
        <f t="shared" si="59"/>
        <v>475213.24553606089</v>
      </c>
      <c r="EL39" s="637">
        <f t="shared" si="60"/>
        <v>475213.24553606025</v>
      </c>
      <c r="EM39" s="643">
        <f t="shared" si="61"/>
        <v>475213.24553606025</v>
      </c>
      <c r="EN39" s="637">
        <f t="shared" si="62"/>
        <v>0</v>
      </c>
      <c r="EO39" s="637">
        <f t="shared" si="63"/>
        <v>475213.24553606025</v>
      </c>
      <c r="EP39" s="637">
        <f t="shared" si="64"/>
        <v>475213.245536061</v>
      </c>
      <c r="EQ39" s="643">
        <f t="shared" si="65"/>
        <v>475213.245536061</v>
      </c>
      <c r="ER39" s="637">
        <f t="shared" si="66"/>
        <v>0</v>
      </c>
      <c r="ES39" s="637">
        <f t="shared" si="67"/>
        <v>475213.245536061</v>
      </c>
      <c r="ET39" s="637">
        <f t="shared" si="68"/>
        <v>475213.24553606025</v>
      </c>
      <c r="EU39" s="643">
        <f t="shared" si="43"/>
        <v>475213.24553606025</v>
      </c>
      <c r="EV39" s="643">
        <f t="shared" si="44"/>
        <v>0</v>
      </c>
      <c r="EX39" s="829">
        <f t="shared" si="45"/>
        <v>28197.602666232211</v>
      </c>
      <c r="EY39" s="638">
        <f t="shared" si="46"/>
        <v>475213.24553606025</v>
      </c>
      <c r="FC39" s="830" t="str">
        <f t="shared" si="69"/>
        <v>Y</v>
      </c>
      <c r="FE39" s="830" t="str">
        <f>IFERROR(VLOOKUP($B39,'Historical Conc Grant Elig'!$B$3:$J$707,'HH &amp; SI'!FE$2,0),"N")</f>
        <v>Y</v>
      </c>
      <c r="FF39" s="830" t="str">
        <f>IFERROR(VLOOKUP($B39,'Historical Conc Grant Elig'!$B$3:$J$707,'HH &amp; SI'!FF$2,0),"N")</f>
        <v>Y</v>
      </c>
      <c r="FG39" s="830" t="str">
        <f>IFERROR(VLOOKUP($B39,'Historical Conc Grant Elig'!$B$3:$J$707,'HH &amp; SI'!FG$2,0),"N")</f>
        <v>Y</v>
      </c>
      <c r="FH39" s="830" t="str">
        <f>IFERROR(VLOOKUP($B39,'Historical Conc Grant Elig'!$B$3:$J$707,'HH &amp; SI'!FH$2,0),"N")</f>
        <v>Y</v>
      </c>
      <c r="FI39" s="830" t="str">
        <f>IFERROR(VLOOKUP($B39,'Historical Conc Grant Elig'!$B$3:$J$707,'HH &amp; SI'!FI$2,0),"N")</f>
        <v>Y</v>
      </c>
      <c r="FJ39" s="830" t="str">
        <f>IFERROR(VLOOKUP($B39,'Historical Conc Grant Elig'!$B$3:$J$707,'HH &amp; SI'!FJ$2,0),"N")</f>
        <v>Y</v>
      </c>
      <c r="FK39" s="830" t="str">
        <f>IFERROR(VLOOKUP($B39,'Historical Conc Grant Elig'!$B$3:$J$707,'HH &amp; SI'!FK$2,0),"N")</f>
        <v>Y</v>
      </c>
      <c r="FL39" s="957" t="str">
        <f>IFERROR(VLOOKUP($B39,'Historical Conc Grant Elig'!$B$3:$J$707,'HH &amp; SI'!FL$2,0),"N")</f>
        <v>Y</v>
      </c>
    </row>
    <row r="40" spans="2:168" x14ac:dyDescent="0.25">
      <c r="B40" s="634">
        <v>28751000</v>
      </c>
      <c r="C40" s="635" t="str">
        <f>VLOOKUP($B40,'Afton Update'!$A$5:$CR$582,'Afton Update'!D$589,0)</f>
        <v>Omega Alpha Academy</v>
      </c>
      <c r="D40" s="636">
        <f>IFERROR(VLOOKUP($B40,'Afton FY16 Final'!$A$5:$BV$587,'Afton FY16 Final'!AQ$587,0),0)</f>
        <v>106544.17534928191</v>
      </c>
      <c r="E40" s="637">
        <f>IFERROR(VLOOKUP($B40,'Afton FY16 Final'!$A$5:$BV$587,'Afton FY16 Final'!AR$587,0),0)</f>
        <v>25440.392922714527</v>
      </c>
      <c r="F40" s="637">
        <f>IFERROR(VLOOKUP($B40,'Afton FY16 Final'!$A$5:$BV$587,'Afton FY16 Final'!AS$587,0),0)</f>
        <v>52855.900580933681</v>
      </c>
      <c r="G40" s="637">
        <f>IFERROR(VLOOKUP($B40,'Afton FY16 Final'!$A$5:$BV$587,'Afton FY16 Final'!AT$587,0),0)</f>
        <v>52734.652735007956</v>
      </c>
      <c r="H40" s="638">
        <f>IFERROR(VLOOKUP($B40,'Afton FY16 Final'!$A$5:$BV$587,'Afton FY16 Final'!AU$587,0),0)</f>
        <v>237575.12158793808</v>
      </c>
      <c r="I40" s="639" t="str">
        <f>VLOOKUP($B40,'Afton Update'!$A$5:$CR$582,'Afton Update'!BT$589,0)</f>
        <v>Y</v>
      </c>
      <c r="J40" s="640" t="str">
        <f>VLOOKUP($B40,'Afton Update'!$A$5:$CR$582,'Afton Update'!BU$589,0)</f>
        <v>Y</v>
      </c>
      <c r="K40" s="640" t="str">
        <f>VLOOKUP($B40,'Afton Update'!$A$5:$CR$582,'Afton Update'!BV$589,0)</f>
        <v>Y</v>
      </c>
      <c r="L40" s="641" t="str">
        <f>VLOOKUP($B40,'Afton Update'!$A$5:$CR$582,'Afton Update'!BW$589,0)</f>
        <v>Y</v>
      </c>
      <c r="N40" s="642">
        <f>VLOOKUP($B40,'Afton Update'!$A$5:$CR$582,'Afton Update'!CB$589,0)</f>
        <v>0.95</v>
      </c>
      <c r="P40" s="636">
        <f>VLOOKUP($B40,'Afton Update'!$A$5:$CR$582,'Afton Update'!AH$589,0)</f>
        <v>86986.329823909575</v>
      </c>
      <c r="Q40" s="637">
        <f>VLOOKUP($B40,'Afton Update'!$A$5:$CR$582,'Afton Update'!AI$589,0)</f>
        <v>21799.60181390851</v>
      </c>
      <c r="R40" s="637">
        <f>VLOOKUP($B40,'Afton Update'!$A$5:$CR$582,'Afton Update'!AJ$589,0)</f>
        <v>42944.110563032154</v>
      </c>
      <c r="S40" s="637">
        <f>VLOOKUP($B40,'Afton Update'!$A$5:$CR$582,'Afton Update'!AK$589,0)</f>
        <v>41396.240727540251</v>
      </c>
      <c r="T40" s="643">
        <f t="shared" si="47"/>
        <v>193126.28292839049</v>
      </c>
      <c r="V40" s="636">
        <f t="shared" si="70"/>
        <v>101216.96658181782</v>
      </c>
      <c r="W40" s="637">
        <f t="shared" si="71"/>
        <v>24168.373276578801</v>
      </c>
      <c r="X40" s="637">
        <f t="shared" si="72"/>
        <v>50213.105551886998</v>
      </c>
      <c r="Y40" s="637">
        <f t="shared" si="73"/>
        <v>50097.920098257557</v>
      </c>
      <c r="Z40" s="643">
        <f t="shared" si="74"/>
        <v>225696.36550854117</v>
      </c>
      <c r="AB40" s="644">
        <f t="shared" si="11"/>
        <v>86986.329823909575</v>
      </c>
      <c r="AC40" s="645">
        <f t="shared" si="12"/>
        <v>101216.96658181782</v>
      </c>
      <c r="AD40" s="644">
        <f t="shared" si="75"/>
        <v>14230.636757908243</v>
      </c>
      <c r="AE40" s="645">
        <f t="shared" si="76"/>
        <v>0</v>
      </c>
      <c r="AF40" s="646">
        <f t="shared" si="77"/>
        <v>0</v>
      </c>
      <c r="AG40" s="647">
        <f t="shared" si="78"/>
        <v>101216.96658181782</v>
      </c>
      <c r="AH40" s="644">
        <f t="shared" si="13"/>
        <v>0</v>
      </c>
      <c r="AI40" s="645">
        <f t="shared" si="14"/>
        <v>0</v>
      </c>
      <c r="AJ40" s="646">
        <f t="shared" si="79"/>
        <v>0</v>
      </c>
      <c r="AK40" s="647">
        <f t="shared" si="15"/>
        <v>101216.96658181782</v>
      </c>
      <c r="AL40" s="644">
        <f t="shared" si="80"/>
        <v>0</v>
      </c>
      <c r="AM40" s="645">
        <f t="shared" si="81"/>
        <v>0</v>
      </c>
      <c r="AN40" s="646">
        <f t="shared" si="82"/>
        <v>0</v>
      </c>
      <c r="AO40" s="647">
        <f t="shared" si="16"/>
        <v>101216.96658181782</v>
      </c>
      <c r="AP40" s="644">
        <f t="shared" si="83"/>
        <v>0</v>
      </c>
      <c r="AQ40" s="645">
        <f t="shared" si="84"/>
        <v>0</v>
      </c>
      <c r="AR40" s="646">
        <f t="shared" si="85"/>
        <v>0</v>
      </c>
      <c r="AS40" s="647">
        <f t="shared" si="17"/>
        <v>101216.96658181782</v>
      </c>
      <c r="AT40" s="644">
        <f t="shared" si="86"/>
        <v>0</v>
      </c>
      <c r="AU40" s="645">
        <f t="shared" si="87"/>
        <v>0</v>
      </c>
      <c r="AV40" s="646">
        <f t="shared" si="88"/>
        <v>0</v>
      </c>
      <c r="AW40" s="647">
        <f t="shared" si="18"/>
        <v>101216.96658181782</v>
      </c>
      <c r="AY40" s="644">
        <f t="shared" si="89"/>
        <v>21799.60181390851</v>
      </c>
      <c r="AZ40" s="645">
        <f t="shared" si="48"/>
        <v>24168.373276578801</v>
      </c>
      <c r="BA40" s="644">
        <f t="shared" si="90"/>
        <v>2368.7714626702909</v>
      </c>
      <c r="BB40" s="645">
        <f t="shared" si="91"/>
        <v>0</v>
      </c>
      <c r="BC40" s="646">
        <f t="shared" si="92"/>
        <v>0</v>
      </c>
      <c r="BD40" s="647">
        <f t="shared" si="93"/>
        <v>24168.373276578801</v>
      </c>
      <c r="BE40" s="644">
        <f t="shared" si="19"/>
        <v>0</v>
      </c>
      <c r="BF40" s="645">
        <f t="shared" si="20"/>
        <v>0</v>
      </c>
      <c r="BG40" s="646">
        <f t="shared" si="94"/>
        <v>0</v>
      </c>
      <c r="BH40" s="647">
        <f t="shared" si="21"/>
        <v>24168.373276578801</v>
      </c>
      <c r="BI40" s="644">
        <f t="shared" si="95"/>
        <v>0</v>
      </c>
      <c r="BJ40" s="645">
        <f t="shared" si="96"/>
        <v>0</v>
      </c>
      <c r="BK40" s="646">
        <f t="shared" si="97"/>
        <v>0</v>
      </c>
      <c r="BL40" s="647">
        <f t="shared" si="22"/>
        <v>24168.373276578801</v>
      </c>
      <c r="BM40" s="644">
        <f t="shared" si="98"/>
        <v>0</v>
      </c>
      <c r="BN40" s="645">
        <f t="shared" si="99"/>
        <v>0</v>
      </c>
      <c r="BO40" s="646">
        <f t="shared" si="100"/>
        <v>0</v>
      </c>
      <c r="BP40" s="647">
        <f t="shared" si="23"/>
        <v>24168.373276578801</v>
      </c>
      <c r="BQ40" s="644">
        <f t="shared" si="101"/>
        <v>0</v>
      </c>
      <c r="BR40" s="645">
        <f t="shared" si="102"/>
        <v>0</v>
      </c>
      <c r="BS40" s="646">
        <f t="shared" si="103"/>
        <v>0</v>
      </c>
      <c r="BT40" s="647">
        <f t="shared" si="24"/>
        <v>24168.373276578801</v>
      </c>
      <c r="BU40" s="662">
        <f>VLOOKUP(B40,'Afton Update'!$A$5:$AR$582,'Afton Update'!$AO$589,0)-BT40</f>
        <v>0</v>
      </c>
      <c r="BV40" s="644">
        <f t="shared" si="104"/>
        <v>42944.110563032154</v>
      </c>
      <c r="BW40" s="645">
        <f t="shared" si="25"/>
        <v>50213.105551886998</v>
      </c>
      <c r="BX40" s="644">
        <f t="shared" si="105"/>
        <v>7268.9949888548435</v>
      </c>
      <c r="BY40" s="645">
        <f t="shared" si="106"/>
        <v>0</v>
      </c>
      <c r="BZ40" s="646">
        <f t="shared" si="107"/>
        <v>0</v>
      </c>
      <c r="CA40" s="647">
        <f t="shared" si="108"/>
        <v>50213.105551886998</v>
      </c>
      <c r="CB40" s="644">
        <f t="shared" si="26"/>
        <v>0</v>
      </c>
      <c r="CC40" s="645">
        <f t="shared" si="27"/>
        <v>0</v>
      </c>
      <c r="CD40" s="646">
        <f t="shared" si="109"/>
        <v>0</v>
      </c>
      <c r="CE40" s="647">
        <f t="shared" si="28"/>
        <v>50213.105551886998</v>
      </c>
      <c r="CF40" s="644">
        <f t="shared" si="110"/>
        <v>0</v>
      </c>
      <c r="CG40" s="645">
        <f t="shared" si="111"/>
        <v>0</v>
      </c>
      <c r="CH40" s="646">
        <f t="shared" si="112"/>
        <v>0</v>
      </c>
      <c r="CI40" s="647">
        <f t="shared" si="29"/>
        <v>50213.105551886998</v>
      </c>
      <c r="CJ40" s="644">
        <f t="shared" si="113"/>
        <v>0</v>
      </c>
      <c r="CK40" s="645">
        <f t="shared" si="114"/>
        <v>0</v>
      </c>
      <c r="CL40" s="646">
        <f t="shared" si="115"/>
        <v>0</v>
      </c>
      <c r="CM40" s="647">
        <f t="shared" si="30"/>
        <v>50213.105551886998</v>
      </c>
      <c r="CN40" s="644">
        <f t="shared" si="116"/>
        <v>0</v>
      </c>
      <c r="CO40" s="645">
        <f t="shared" si="117"/>
        <v>0</v>
      </c>
      <c r="CP40" s="646">
        <f t="shared" si="118"/>
        <v>0</v>
      </c>
      <c r="CQ40" s="647">
        <f t="shared" si="31"/>
        <v>50213.105551886998</v>
      </c>
      <c r="CS40" s="644">
        <f t="shared" si="119"/>
        <v>41396.240727540251</v>
      </c>
      <c r="CT40" s="645">
        <f t="shared" si="32"/>
        <v>50097.920098257557</v>
      </c>
      <c r="CU40" s="644">
        <f t="shared" si="120"/>
        <v>8701.6793707173056</v>
      </c>
      <c r="CV40" s="645">
        <f t="shared" si="121"/>
        <v>0</v>
      </c>
      <c r="CW40" s="646">
        <f t="shared" si="122"/>
        <v>0</v>
      </c>
      <c r="CX40" s="647">
        <f t="shared" si="123"/>
        <v>50097.920098257557</v>
      </c>
      <c r="CY40" s="644">
        <f t="shared" si="33"/>
        <v>0</v>
      </c>
      <c r="CZ40" s="645">
        <f t="shared" si="34"/>
        <v>0</v>
      </c>
      <c r="DA40" s="646">
        <f t="shared" si="124"/>
        <v>0</v>
      </c>
      <c r="DB40" s="647">
        <f t="shared" si="35"/>
        <v>50097.920098257557</v>
      </c>
      <c r="DC40" s="644">
        <f t="shared" si="125"/>
        <v>0</v>
      </c>
      <c r="DD40" s="645">
        <f t="shared" si="126"/>
        <v>0</v>
      </c>
      <c r="DE40" s="646">
        <f t="shared" si="127"/>
        <v>0</v>
      </c>
      <c r="DF40" s="647">
        <f t="shared" si="36"/>
        <v>50097.920098257557</v>
      </c>
      <c r="DG40" s="644">
        <f t="shared" si="128"/>
        <v>0</v>
      </c>
      <c r="DH40" s="645">
        <f t="shared" si="129"/>
        <v>0</v>
      </c>
      <c r="DI40" s="646">
        <f t="shared" si="130"/>
        <v>0</v>
      </c>
      <c r="DJ40" s="647">
        <f t="shared" si="37"/>
        <v>50097.920098257557</v>
      </c>
      <c r="DK40" s="644">
        <f t="shared" si="131"/>
        <v>0</v>
      </c>
      <c r="DL40" s="645">
        <f t="shared" si="132"/>
        <v>0</v>
      </c>
      <c r="DM40" s="646">
        <f t="shared" si="133"/>
        <v>0</v>
      </c>
      <c r="DN40" s="647">
        <f t="shared" si="38"/>
        <v>50097.920098257557</v>
      </c>
      <c r="DR40" s="827">
        <f t="shared" si="49"/>
        <v>225696.36550854117</v>
      </c>
      <c r="DV40" s="828">
        <f>IFERROR(VLOOKUP($B40,'Afton FY16 Final'!$A$5:$BV$587,'Afton FY16 Final'!$BV$587,0),0)</f>
        <v>229166.86615475739</v>
      </c>
      <c r="DX40" s="636">
        <f t="shared" si="39"/>
        <v>0</v>
      </c>
      <c r="DY40" s="637">
        <f t="shared" si="40"/>
        <v>0</v>
      </c>
      <c r="DZ40" s="637">
        <f t="shared" si="41"/>
        <v>0</v>
      </c>
      <c r="EA40" s="643">
        <f t="shared" si="42"/>
        <v>0</v>
      </c>
      <c r="EB40" s="637">
        <f t="shared" si="50"/>
        <v>0</v>
      </c>
      <c r="EC40" s="637">
        <f t="shared" si="51"/>
        <v>0</v>
      </c>
      <c r="ED40" s="637">
        <f t="shared" si="52"/>
        <v>0</v>
      </c>
      <c r="EE40" s="643">
        <f t="shared" si="53"/>
        <v>0</v>
      </c>
      <c r="EF40" s="637">
        <f t="shared" si="54"/>
        <v>0</v>
      </c>
      <c r="EG40" s="637">
        <f t="shared" si="55"/>
        <v>0</v>
      </c>
      <c r="EH40" s="637">
        <f t="shared" si="56"/>
        <v>0</v>
      </c>
      <c r="EI40" s="643">
        <f t="shared" si="57"/>
        <v>0</v>
      </c>
      <c r="EJ40" s="637">
        <f t="shared" si="58"/>
        <v>0</v>
      </c>
      <c r="EK40" s="637">
        <f t="shared" si="59"/>
        <v>0</v>
      </c>
      <c r="EL40" s="637">
        <f t="shared" si="60"/>
        <v>0</v>
      </c>
      <c r="EM40" s="643">
        <f t="shared" si="61"/>
        <v>0</v>
      </c>
      <c r="EN40" s="637">
        <f t="shared" si="62"/>
        <v>0</v>
      </c>
      <c r="EO40" s="637">
        <f t="shared" si="63"/>
        <v>0</v>
      </c>
      <c r="EP40" s="637">
        <f t="shared" si="64"/>
        <v>0</v>
      </c>
      <c r="EQ40" s="643">
        <f t="shared" si="65"/>
        <v>0</v>
      </c>
      <c r="ER40" s="637">
        <f t="shared" si="66"/>
        <v>0</v>
      </c>
      <c r="ES40" s="637">
        <f t="shared" si="67"/>
        <v>0</v>
      </c>
      <c r="ET40" s="637">
        <f t="shared" si="68"/>
        <v>0</v>
      </c>
      <c r="EU40" s="643">
        <f t="shared" si="43"/>
        <v>0</v>
      </c>
      <c r="EV40" s="643">
        <f t="shared" si="44"/>
        <v>0</v>
      </c>
      <c r="EX40" s="829">
        <f t="shared" si="45"/>
        <v>0</v>
      </c>
      <c r="EY40" s="638">
        <f t="shared" si="46"/>
        <v>225696.36550854117</v>
      </c>
      <c r="FC40" s="830" t="str">
        <f t="shared" si="69"/>
        <v>Y</v>
      </c>
      <c r="FE40" s="830" t="str">
        <f>IFERROR(VLOOKUP($B40,'Historical Conc Grant Elig'!$B$3:$J$707,'HH &amp; SI'!FE$2,0),"N")</f>
        <v>Y</v>
      </c>
      <c r="FF40" s="830" t="str">
        <f>IFERROR(VLOOKUP($B40,'Historical Conc Grant Elig'!$B$3:$J$707,'HH &amp; SI'!FF$2,0),"N")</f>
        <v>Y</v>
      </c>
      <c r="FG40" s="830" t="str">
        <f>IFERROR(VLOOKUP($B40,'Historical Conc Grant Elig'!$B$3:$J$707,'HH &amp; SI'!FG$2,0),"N")</f>
        <v>Y</v>
      </c>
      <c r="FH40" s="830" t="str">
        <f>IFERROR(VLOOKUP($B40,'Historical Conc Grant Elig'!$B$3:$J$707,'HH &amp; SI'!FH$2,0),"N")</f>
        <v>Y</v>
      </c>
      <c r="FI40" s="830" t="str">
        <f>IFERROR(VLOOKUP($B40,'Historical Conc Grant Elig'!$B$3:$J$707,'HH &amp; SI'!FI$2,0),"N")</f>
        <v>Y</v>
      </c>
      <c r="FJ40" s="830" t="str">
        <f>IFERROR(VLOOKUP($B40,'Historical Conc Grant Elig'!$B$3:$J$707,'HH &amp; SI'!FJ$2,0),"N")</f>
        <v>Y</v>
      </c>
      <c r="FK40" s="830" t="str">
        <f>IFERROR(VLOOKUP($B40,'Historical Conc Grant Elig'!$B$3:$J$707,'HH &amp; SI'!FK$2,0),"N")</f>
        <v>Y</v>
      </c>
      <c r="FL40" s="957" t="str">
        <f>IFERROR(VLOOKUP($B40,'Historical Conc Grant Elig'!$B$3:$J$707,'HH &amp; SI'!FL$2,0),"N")</f>
        <v>Y</v>
      </c>
    </row>
    <row r="41" spans="2:168" x14ac:dyDescent="0.25">
      <c r="B41" s="634">
        <v>30201000</v>
      </c>
      <c r="C41" s="635" t="str">
        <f>VLOOKUP($B41,'Afton Update'!$A$5:$CR$582,'Afton Update'!D$589,0)</f>
        <v>Flagstaff Unified District</v>
      </c>
      <c r="D41" s="636">
        <f>IFERROR(VLOOKUP($B41,'Afton FY16 Final'!$A$5:$BV$587,'Afton FY16 Final'!AQ$587,0),0)</f>
        <v>1309226.3323330379</v>
      </c>
      <c r="E41" s="637">
        <f>IFERROR(VLOOKUP($B41,'Afton FY16 Final'!$A$5:$BV$587,'Afton FY16 Final'!AR$587,0),0)</f>
        <v>305282.30115220638</v>
      </c>
      <c r="F41" s="637">
        <f>IFERROR(VLOOKUP($B41,'Afton FY16 Final'!$A$5:$BV$587,'Afton FY16 Final'!AS$587,0),0)</f>
        <v>552498.89861355443</v>
      </c>
      <c r="G41" s="637">
        <f>IFERROR(VLOOKUP($B41,'Afton FY16 Final'!$A$5:$BV$587,'Afton FY16 Final'!AT$587,0),0)</f>
        <v>468024.97243250557</v>
      </c>
      <c r="H41" s="638">
        <f>IFERROR(VLOOKUP($B41,'Afton FY16 Final'!$A$5:$BV$587,'Afton FY16 Final'!AU$587,0),0)</f>
        <v>2635032.5045313044</v>
      </c>
      <c r="I41" s="639" t="str">
        <f>VLOOKUP($B41,'Afton Update'!$A$5:$CR$582,'Afton Update'!BT$589,0)</f>
        <v>Y</v>
      </c>
      <c r="J41" s="640" t="str">
        <f>VLOOKUP($B41,'Afton Update'!$A$5:$CR$582,'Afton Update'!BU$589,0)</f>
        <v>Y</v>
      </c>
      <c r="K41" s="640" t="str">
        <f>VLOOKUP($B41,'Afton Update'!$A$5:$CR$582,'Afton Update'!BV$589,0)</f>
        <v>Y</v>
      </c>
      <c r="L41" s="641" t="str">
        <f>VLOOKUP($B41,'Afton Update'!$A$5:$CR$582,'Afton Update'!BW$589,0)</f>
        <v>Y</v>
      </c>
      <c r="N41" s="642">
        <f>VLOOKUP($B41,'Afton Update'!$A$5:$CR$582,'Afton Update'!CB$589,0)</f>
        <v>0.9</v>
      </c>
      <c r="P41" s="636">
        <f>VLOOKUP($B41,'Afton Update'!$A$5:$CR$582,'Afton Update'!AH$589,0)</f>
        <v>1180316.1670123853</v>
      </c>
      <c r="Q41" s="637">
        <f>VLOOKUP($B41,'Afton Update'!$A$5:$CR$582,'Afton Update'!AI$589,0)</f>
        <v>280244.23258445453</v>
      </c>
      <c r="R41" s="637">
        <f>VLOOKUP($B41,'Afton Update'!$A$5:$CR$582,'Afton Update'!AJ$589,0)</f>
        <v>497109.72136687039</v>
      </c>
      <c r="S41" s="637">
        <f>VLOOKUP($B41,'Afton Update'!$A$5:$CR$582,'Afton Update'!AK$589,0)</f>
        <v>421504.27051548735</v>
      </c>
      <c r="T41" s="643">
        <f t="shared" si="47"/>
        <v>2379174.3914791979</v>
      </c>
      <c r="V41" s="636">
        <f t="shared" si="70"/>
        <v>1178303.6990997342</v>
      </c>
      <c r="W41" s="637">
        <f t="shared" si="71"/>
        <v>274754.07103698573</v>
      </c>
      <c r="X41" s="637">
        <f t="shared" si="72"/>
        <v>497249.00875219901</v>
      </c>
      <c r="Y41" s="637">
        <f t="shared" si="73"/>
        <v>421222.47518925503</v>
      </c>
      <c r="Z41" s="643">
        <f t="shared" si="74"/>
        <v>2371529.254078174</v>
      </c>
      <c r="AB41" s="644">
        <f t="shared" si="11"/>
        <v>1180316.1670123853</v>
      </c>
      <c r="AC41" s="645">
        <f t="shared" si="12"/>
        <v>1178303.6990997342</v>
      </c>
      <c r="AD41" s="644">
        <f t="shared" si="75"/>
        <v>0</v>
      </c>
      <c r="AE41" s="645">
        <f t="shared" si="76"/>
        <v>1180316.1670123853</v>
      </c>
      <c r="AF41" s="646">
        <f t="shared" si="77"/>
        <v>-14630.905874106948</v>
      </c>
      <c r="AG41" s="647">
        <f t="shared" si="78"/>
        <v>1165685.2611382783</v>
      </c>
      <c r="AH41" s="644">
        <f t="shared" si="13"/>
        <v>-12618.4379614559</v>
      </c>
      <c r="AI41" s="645">
        <f t="shared" si="14"/>
        <v>0</v>
      </c>
      <c r="AJ41" s="646">
        <f t="shared" si="79"/>
        <v>0</v>
      </c>
      <c r="AK41" s="647">
        <f t="shared" si="15"/>
        <v>1178303.6990997342</v>
      </c>
      <c r="AL41" s="644">
        <f t="shared" si="80"/>
        <v>0</v>
      </c>
      <c r="AM41" s="645">
        <f t="shared" si="81"/>
        <v>0</v>
      </c>
      <c r="AN41" s="646">
        <f t="shared" si="82"/>
        <v>0</v>
      </c>
      <c r="AO41" s="647">
        <f t="shared" si="16"/>
        <v>1178303.6990997342</v>
      </c>
      <c r="AP41" s="644">
        <f t="shared" si="83"/>
        <v>0</v>
      </c>
      <c r="AQ41" s="645">
        <f t="shared" si="84"/>
        <v>0</v>
      </c>
      <c r="AR41" s="646">
        <f t="shared" si="85"/>
        <v>0</v>
      </c>
      <c r="AS41" s="647">
        <f t="shared" si="17"/>
        <v>1178303.6990997342</v>
      </c>
      <c r="AT41" s="644">
        <f t="shared" si="86"/>
        <v>0</v>
      </c>
      <c r="AU41" s="645">
        <f t="shared" si="87"/>
        <v>0</v>
      </c>
      <c r="AV41" s="646">
        <f t="shared" si="88"/>
        <v>0</v>
      </c>
      <c r="AW41" s="647">
        <f t="shared" si="18"/>
        <v>1178303.6990997342</v>
      </c>
      <c r="AY41" s="644">
        <f t="shared" si="89"/>
        <v>280244.23258445453</v>
      </c>
      <c r="AZ41" s="645">
        <f t="shared" si="48"/>
        <v>274754.07103698573</v>
      </c>
      <c r="BA41" s="644">
        <f t="shared" si="90"/>
        <v>0</v>
      </c>
      <c r="BB41" s="645">
        <f t="shared" si="91"/>
        <v>280244.23258445453</v>
      </c>
      <c r="BC41" s="646">
        <f t="shared" si="92"/>
        <v>-2015.3179482160174</v>
      </c>
      <c r="BD41" s="647">
        <f t="shared" si="93"/>
        <v>278228.91463623854</v>
      </c>
      <c r="BE41" s="644">
        <f t="shared" si="19"/>
        <v>0</v>
      </c>
      <c r="BF41" s="645">
        <f t="shared" si="20"/>
        <v>278228.91463623854</v>
      </c>
      <c r="BG41" s="646">
        <f t="shared" si="94"/>
        <v>-6627.1860064277207</v>
      </c>
      <c r="BH41" s="647">
        <f t="shared" si="21"/>
        <v>271601.72862981079</v>
      </c>
      <c r="BI41" s="644">
        <f t="shared" si="95"/>
        <v>-3152.3424071749323</v>
      </c>
      <c r="BJ41" s="645">
        <f t="shared" si="96"/>
        <v>0</v>
      </c>
      <c r="BK41" s="646">
        <f t="shared" si="97"/>
        <v>0</v>
      </c>
      <c r="BL41" s="647">
        <f t="shared" si="22"/>
        <v>274754.07103698573</v>
      </c>
      <c r="BM41" s="644">
        <f t="shared" si="98"/>
        <v>0</v>
      </c>
      <c r="BN41" s="645">
        <f t="shared" si="99"/>
        <v>0</v>
      </c>
      <c r="BO41" s="646">
        <f t="shared" si="100"/>
        <v>0</v>
      </c>
      <c r="BP41" s="647">
        <f t="shared" si="23"/>
        <v>274754.07103698573</v>
      </c>
      <c r="BQ41" s="644">
        <f t="shared" si="101"/>
        <v>0</v>
      </c>
      <c r="BR41" s="645">
        <f t="shared" si="102"/>
        <v>0</v>
      </c>
      <c r="BS41" s="646">
        <f t="shared" si="103"/>
        <v>0</v>
      </c>
      <c r="BT41" s="647">
        <f t="shared" si="24"/>
        <v>274754.07103698573</v>
      </c>
      <c r="BU41" s="662">
        <f>VLOOKUP(B41,'Afton Update'!$A$5:$AR$582,'Afton Update'!$AO$589,0)-BT41</f>
        <v>0</v>
      </c>
      <c r="BV41" s="644">
        <f t="shared" si="104"/>
        <v>497109.72136687039</v>
      </c>
      <c r="BW41" s="645">
        <f t="shared" si="25"/>
        <v>497249.00875219901</v>
      </c>
      <c r="BX41" s="644">
        <f t="shared" si="105"/>
        <v>139.28738532861462</v>
      </c>
      <c r="BY41" s="645">
        <f t="shared" si="106"/>
        <v>0</v>
      </c>
      <c r="BZ41" s="646">
        <f t="shared" si="107"/>
        <v>0</v>
      </c>
      <c r="CA41" s="647">
        <f t="shared" si="108"/>
        <v>497249.00875219901</v>
      </c>
      <c r="CB41" s="644">
        <f t="shared" si="26"/>
        <v>0</v>
      </c>
      <c r="CC41" s="645">
        <f t="shared" si="27"/>
        <v>0</v>
      </c>
      <c r="CD41" s="646">
        <f t="shared" si="109"/>
        <v>0</v>
      </c>
      <c r="CE41" s="647">
        <f t="shared" si="28"/>
        <v>497249.00875219901</v>
      </c>
      <c r="CF41" s="644">
        <f t="shared" si="110"/>
        <v>0</v>
      </c>
      <c r="CG41" s="645">
        <f t="shared" si="111"/>
        <v>0</v>
      </c>
      <c r="CH41" s="646">
        <f t="shared" si="112"/>
        <v>0</v>
      </c>
      <c r="CI41" s="647">
        <f t="shared" si="29"/>
        <v>497249.00875219901</v>
      </c>
      <c r="CJ41" s="644">
        <f t="shared" si="113"/>
        <v>0</v>
      </c>
      <c r="CK41" s="645">
        <f t="shared" si="114"/>
        <v>0</v>
      </c>
      <c r="CL41" s="646">
        <f t="shared" si="115"/>
        <v>0</v>
      </c>
      <c r="CM41" s="647">
        <f t="shared" si="30"/>
        <v>497249.00875219901</v>
      </c>
      <c r="CN41" s="644">
        <f t="shared" si="116"/>
        <v>0</v>
      </c>
      <c r="CO41" s="645">
        <f t="shared" si="117"/>
        <v>0</v>
      </c>
      <c r="CP41" s="646">
        <f t="shared" si="118"/>
        <v>0</v>
      </c>
      <c r="CQ41" s="647">
        <f t="shared" si="31"/>
        <v>497249.00875219901</v>
      </c>
      <c r="CS41" s="644">
        <f t="shared" si="119"/>
        <v>421504.27051548735</v>
      </c>
      <c r="CT41" s="645">
        <f t="shared" si="32"/>
        <v>421222.47518925503</v>
      </c>
      <c r="CU41" s="644">
        <f t="shared" si="120"/>
        <v>0</v>
      </c>
      <c r="CV41" s="645">
        <f t="shared" si="121"/>
        <v>421504.27051548735</v>
      </c>
      <c r="CW41" s="646">
        <f t="shared" si="122"/>
        <v>-4316.44193140471</v>
      </c>
      <c r="CX41" s="647">
        <f t="shared" si="123"/>
        <v>417187.82858408266</v>
      </c>
      <c r="CY41" s="644">
        <f t="shared" si="33"/>
        <v>-4034.6466051723692</v>
      </c>
      <c r="CZ41" s="645">
        <f t="shared" si="34"/>
        <v>0</v>
      </c>
      <c r="DA41" s="646">
        <f t="shared" si="124"/>
        <v>0</v>
      </c>
      <c r="DB41" s="647">
        <f t="shared" si="35"/>
        <v>421222.47518925503</v>
      </c>
      <c r="DC41" s="644">
        <f t="shared" si="125"/>
        <v>0</v>
      </c>
      <c r="DD41" s="645">
        <f t="shared" si="126"/>
        <v>0</v>
      </c>
      <c r="DE41" s="646">
        <f t="shared" si="127"/>
        <v>0</v>
      </c>
      <c r="DF41" s="647">
        <f t="shared" si="36"/>
        <v>421222.47518925503</v>
      </c>
      <c r="DG41" s="644">
        <f t="shared" si="128"/>
        <v>0</v>
      </c>
      <c r="DH41" s="645">
        <f t="shared" si="129"/>
        <v>0</v>
      </c>
      <c r="DI41" s="646">
        <f t="shared" si="130"/>
        <v>0</v>
      </c>
      <c r="DJ41" s="647">
        <f t="shared" si="37"/>
        <v>421222.47518925503</v>
      </c>
      <c r="DK41" s="644">
        <f t="shared" si="131"/>
        <v>0</v>
      </c>
      <c r="DL41" s="645">
        <f t="shared" si="132"/>
        <v>0</v>
      </c>
      <c r="DM41" s="646">
        <f t="shared" si="133"/>
        <v>0</v>
      </c>
      <c r="DN41" s="647">
        <f t="shared" si="38"/>
        <v>421222.47518925503</v>
      </c>
      <c r="DR41" s="827">
        <f t="shared" si="49"/>
        <v>2371529.254078174</v>
      </c>
      <c r="DV41" s="828">
        <f>IFERROR(VLOOKUP($B41,'Afton FY16 Final'!$A$5:$BV$587,'Afton FY16 Final'!$BV$587,0),0)</f>
        <v>2583148.7149534672</v>
      </c>
      <c r="DX41" s="636">
        <f t="shared" si="39"/>
        <v>0</v>
      </c>
      <c r="DY41" s="637">
        <f t="shared" si="40"/>
        <v>0</v>
      </c>
      <c r="DZ41" s="637">
        <f t="shared" si="41"/>
        <v>0</v>
      </c>
      <c r="EA41" s="643">
        <f t="shared" si="42"/>
        <v>0</v>
      </c>
      <c r="EB41" s="637">
        <f t="shared" si="50"/>
        <v>0</v>
      </c>
      <c r="EC41" s="637">
        <f t="shared" si="51"/>
        <v>0</v>
      </c>
      <c r="ED41" s="637">
        <f t="shared" si="52"/>
        <v>0</v>
      </c>
      <c r="EE41" s="643">
        <f t="shared" si="53"/>
        <v>0</v>
      </c>
      <c r="EF41" s="637">
        <f t="shared" si="54"/>
        <v>0</v>
      </c>
      <c r="EG41" s="637">
        <f t="shared" si="55"/>
        <v>0</v>
      </c>
      <c r="EH41" s="637">
        <f t="shared" si="56"/>
        <v>0</v>
      </c>
      <c r="EI41" s="643">
        <f t="shared" si="57"/>
        <v>0</v>
      </c>
      <c r="EJ41" s="637">
        <f t="shared" si="58"/>
        <v>0</v>
      </c>
      <c r="EK41" s="637">
        <f t="shared" si="59"/>
        <v>0</v>
      </c>
      <c r="EL41" s="637">
        <f t="shared" si="60"/>
        <v>0</v>
      </c>
      <c r="EM41" s="643">
        <f t="shared" si="61"/>
        <v>0</v>
      </c>
      <c r="EN41" s="637">
        <f t="shared" si="62"/>
        <v>0</v>
      </c>
      <c r="EO41" s="637">
        <f t="shared" si="63"/>
        <v>0</v>
      </c>
      <c r="EP41" s="637">
        <f t="shared" si="64"/>
        <v>0</v>
      </c>
      <c r="EQ41" s="643">
        <f t="shared" si="65"/>
        <v>0</v>
      </c>
      <c r="ER41" s="637">
        <f t="shared" si="66"/>
        <v>0</v>
      </c>
      <c r="ES41" s="637">
        <f t="shared" si="67"/>
        <v>0</v>
      </c>
      <c r="ET41" s="637">
        <f t="shared" si="68"/>
        <v>0</v>
      </c>
      <c r="EU41" s="643">
        <f t="shared" si="43"/>
        <v>0</v>
      </c>
      <c r="EV41" s="643">
        <f t="shared" si="44"/>
        <v>0</v>
      </c>
      <c r="EX41" s="829">
        <f t="shared" si="45"/>
        <v>0</v>
      </c>
      <c r="EY41" s="638">
        <f t="shared" si="46"/>
        <v>2371529.254078174</v>
      </c>
      <c r="FC41" s="830" t="str">
        <f t="shared" si="69"/>
        <v>Y</v>
      </c>
      <c r="FE41" s="830" t="str">
        <f>IFERROR(VLOOKUP($B41,'Historical Conc Grant Elig'!$B$3:$J$707,'HH &amp; SI'!FE$2,0),"N")</f>
        <v>Y</v>
      </c>
      <c r="FF41" s="830" t="str">
        <f>IFERROR(VLOOKUP($B41,'Historical Conc Grant Elig'!$B$3:$J$707,'HH &amp; SI'!FF$2,0),"N")</f>
        <v>Y</v>
      </c>
      <c r="FG41" s="830" t="str">
        <f>IFERROR(VLOOKUP($B41,'Historical Conc Grant Elig'!$B$3:$J$707,'HH &amp; SI'!FG$2,0),"N")</f>
        <v>Y</v>
      </c>
      <c r="FH41" s="830" t="str">
        <f>IFERROR(VLOOKUP($B41,'Historical Conc Grant Elig'!$B$3:$J$707,'HH &amp; SI'!FH$2,0),"N")</f>
        <v>Y</v>
      </c>
      <c r="FI41" s="830" t="str">
        <f>IFERROR(VLOOKUP($B41,'Historical Conc Grant Elig'!$B$3:$J$707,'HH &amp; SI'!FI$2,0),"N")</f>
        <v>Y</v>
      </c>
      <c r="FJ41" s="830" t="str">
        <f>IFERROR(VLOOKUP($B41,'Historical Conc Grant Elig'!$B$3:$J$707,'HH &amp; SI'!FJ$2,0),"N")</f>
        <v>Y</v>
      </c>
      <c r="FK41" s="830" t="str">
        <f>IFERROR(VLOOKUP($B41,'Historical Conc Grant Elig'!$B$3:$J$707,'HH &amp; SI'!FK$2,0),"N")</f>
        <v>Y</v>
      </c>
      <c r="FL41" s="957" t="str">
        <f>IFERROR(VLOOKUP($B41,'Historical Conc Grant Elig'!$B$3:$J$707,'HH &amp; SI'!FL$2,0),"N")</f>
        <v>Y</v>
      </c>
    </row>
    <row r="42" spans="2:168" x14ac:dyDescent="0.25">
      <c r="B42" s="634">
        <v>30202000</v>
      </c>
      <c r="C42" s="635" t="str">
        <f>VLOOKUP($B42,'Afton Update'!$A$5:$CR$582,'Afton Update'!D$589,0)</f>
        <v>Williams Unified District</v>
      </c>
      <c r="D42" s="636">
        <f>IFERROR(VLOOKUP($B42,'Afton FY16 Final'!$A$5:$BV$587,'Afton FY16 Final'!AQ$587,0),0)</f>
        <v>113722.85849525392</v>
      </c>
      <c r="E42" s="637">
        <f>IFERROR(VLOOKUP($B42,'Afton FY16 Final'!$A$5:$BV$587,'Afton FY16 Final'!AR$587,0),0)</f>
        <v>26685.322194084598</v>
      </c>
      <c r="F42" s="637">
        <f>IFERROR(VLOOKUP($B42,'Afton FY16 Final'!$A$5:$BV$587,'Afton FY16 Final'!AS$587,0),0)</f>
        <v>51805.091546186653</v>
      </c>
      <c r="G42" s="637">
        <f>IFERROR(VLOOKUP($B42,'Afton FY16 Final'!$A$5:$BV$587,'Afton FY16 Final'!AT$587,0),0)</f>
        <v>45442.547689364656</v>
      </c>
      <c r="H42" s="638">
        <f>IFERROR(VLOOKUP($B42,'Afton FY16 Final'!$A$5:$BV$587,'Afton FY16 Final'!AU$587,0),0)</f>
        <v>237655.81992488983</v>
      </c>
      <c r="I42" s="639" t="str">
        <f>VLOOKUP($B42,'Afton Update'!$A$5:$CR$582,'Afton Update'!BT$589,0)</f>
        <v>Y</v>
      </c>
      <c r="J42" s="640" t="str">
        <f>VLOOKUP($B42,'Afton Update'!$A$5:$CR$582,'Afton Update'!BU$589,0)</f>
        <v>Y</v>
      </c>
      <c r="K42" s="640" t="str">
        <f>VLOOKUP($B42,'Afton Update'!$A$5:$CR$582,'Afton Update'!BV$589,0)</f>
        <v>Y</v>
      </c>
      <c r="L42" s="641" t="str">
        <f>VLOOKUP($B42,'Afton Update'!$A$5:$CR$582,'Afton Update'!BW$589,0)</f>
        <v>Y</v>
      </c>
      <c r="N42" s="642">
        <f>VLOOKUP($B42,'Afton Update'!$A$5:$CR$582,'Afton Update'!CB$589,0)</f>
        <v>0.9</v>
      </c>
      <c r="P42" s="636">
        <f>VLOOKUP($B42,'Afton Update'!$A$5:$CR$582,'Afton Update'!AH$589,0)</f>
        <v>119548.32311007372</v>
      </c>
      <c r="Q42" s="637">
        <f>VLOOKUP($B42,'Afton Update'!$A$5:$CR$582,'Afton Update'!AI$589,0)</f>
        <v>28995.611208006674</v>
      </c>
      <c r="R42" s="637">
        <f>VLOOKUP($B42,'Afton Update'!$A$5:$CR$582,'Afton Update'!AJ$589,0)</f>
        <v>55577.584385774513</v>
      </c>
      <c r="S42" s="637">
        <f>VLOOKUP($B42,'Afton Update'!$A$5:$CR$582,'Afton Update'!AK$589,0)</f>
        <v>45102.005231321775</v>
      </c>
      <c r="T42" s="643">
        <f t="shared" si="47"/>
        <v>249223.52393517666</v>
      </c>
      <c r="V42" s="636">
        <f t="shared" si="70"/>
        <v>117917.60638837975</v>
      </c>
      <c r="W42" s="637">
        <f t="shared" si="71"/>
        <v>28040.601785531642</v>
      </c>
      <c r="X42" s="637">
        <f t="shared" si="72"/>
        <v>55072.127955233249</v>
      </c>
      <c r="Y42" s="637">
        <f t="shared" si="73"/>
        <v>44605.062321429206</v>
      </c>
      <c r="Z42" s="643">
        <f t="shared" si="74"/>
        <v>245635.39845057382</v>
      </c>
      <c r="AB42" s="644">
        <f t="shared" si="11"/>
        <v>119548.32311007372</v>
      </c>
      <c r="AC42" s="645">
        <f t="shared" si="12"/>
        <v>102350.57264572853</v>
      </c>
      <c r="AD42" s="644">
        <f t="shared" si="75"/>
        <v>0</v>
      </c>
      <c r="AE42" s="645">
        <f t="shared" si="76"/>
        <v>119548.32311007372</v>
      </c>
      <c r="AF42" s="646">
        <f t="shared" si="77"/>
        <v>-1481.891303122733</v>
      </c>
      <c r="AG42" s="647">
        <f t="shared" si="78"/>
        <v>118066.43180695099</v>
      </c>
      <c r="AH42" s="644">
        <f t="shared" si="13"/>
        <v>0</v>
      </c>
      <c r="AI42" s="645">
        <f t="shared" si="14"/>
        <v>118066.43180695099</v>
      </c>
      <c r="AJ42" s="646">
        <f t="shared" si="79"/>
        <v>-148.7306023541812</v>
      </c>
      <c r="AK42" s="647">
        <f t="shared" si="15"/>
        <v>117917.70120459681</v>
      </c>
      <c r="AL42" s="644">
        <f t="shared" si="80"/>
        <v>0</v>
      </c>
      <c r="AM42" s="645">
        <f t="shared" si="81"/>
        <v>117917.70120459681</v>
      </c>
      <c r="AN42" s="646">
        <f t="shared" si="82"/>
        <v>-9.4816217065315955E-2</v>
      </c>
      <c r="AO42" s="647">
        <f t="shared" si="16"/>
        <v>117917.60638837975</v>
      </c>
      <c r="AP42" s="644">
        <f t="shared" si="83"/>
        <v>0</v>
      </c>
      <c r="AQ42" s="645">
        <f t="shared" si="84"/>
        <v>117917.60638837975</v>
      </c>
      <c r="AR42" s="646">
        <f t="shared" si="85"/>
        <v>0</v>
      </c>
      <c r="AS42" s="647">
        <f t="shared" si="17"/>
        <v>117917.60638837975</v>
      </c>
      <c r="AT42" s="644">
        <f t="shared" si="86"/>
        <v>0</v>
      </c>
      <c r="AU42" s="645">
        <f t="shared" si="87"/>
        <v>117917.60638837975</v>
      </c>
      <c r="AV42" s="646">
        <f t="shared" si="88"/>
        <v>0</v>
      </c>
      <c r="AW42" s="647">
        <f t="shared" si="18"/>
        <v>117917.60638837975</v>
      </c>
      <c r="AY42" s="644">
        <f t="shared" si="89"/>
        <v>28995.611208006674</v>
      </c>
      <c r="AZ42" s="645">
        <f t="shared" si="48"/>
        <v>24016.78997467614</v>
      </c>
      <c r="BA42" s="644">
        <f t="shared" si="90"/>
        <v>0</v>
      </c>
      <c r="BB42" s="645">
        <f t="shared" si="91"/>
        <v>28995.611208006674</v>
      </c>
      <c r="BC42" s="646">
        <f t="shared" si="92"/>
        <v>-208.51589040063206</v>
      </c>
      <c r="BD42" s="647">
        <f t="shared" si="93"/>
        <v>28787.095317606043</v>
      </c>
      <c r="BE42" s="644">
        <f t="shared" si="19"/>
        <v>0</v>
      </c>
      <c r="BF42" s="645">
        <f t="shared" si="20"/>
        <v>28787.095317606043</v>
      </c>
      <c r="BG42" s="646">
        <f t="shared" si="94"/>
        <v>-685.68515067517546</v>
      </c>
      <c r="BH42" s="647">
        <f t="shared" si="21"/>
        <v>28101.410166930866</v>
      </c>
      <c r="BI42" s="644">
        <f t="shared" si="95"/>
        <v>0</v>
      </c>
      <c r="BJ42" s="645">
        <f t="shared" si="96"/>
        <v>28101.410166930866</v>
      </c>
      <c r="BK42" s="646">
        <f t="shared" si="97"/>
        <v>-59.525386968223692</v>
      </c>
      <c r="BL42" s="647">
        <f t="shared" si="22"/>
        <v>28041.884779962642</v>
      </c>
      <c r="BM42" s="644">
        <f t="shared" si="98"/>
        <v>0</v>
      </c>
      <c r="BN42" s="645">
        <f t="shared" si="99"/>
        <v>28041.884779962642</v>
      </c>
      <c r="BO42" s="646">
        <f t="shared" si="100"/>
        <v>-1.2829944310001125</v>
      </c>
      <c r="BP42" s="647">
        <f t="shared" si="23"/>
        <v>28040.601785531642</v>
      </c>
      <c r="BQ42" s="644">
        <f t="shared" si="101"/>
        <v>0</v>
      </c>
      <c r="BR42" s="645">
        <f t="shared" si="102"/>
        <v>28040.601785531642</v>
      </c>
      <c r="BS42" s="646">
        <f t="shared" si="103"/>
        <v>0</v>
      </c>
      <c r="BT42" s="647">
        <f t="shared" si="24"/>
        <v>28040.601785531642</v>
      </c>
      <c r="BU42" s="662">
        <f>VLOOKUP(B42,'Afton Update'!$A$5:$AR$582,'Afton Update'!$AO$589,0)-BT42</f>
        <v>0</v>
      </c>
      <c r="BV42" s="644">
        <f t="shared" si="104"/>
        <v>55577.584385774513</v>
      </c>
      <c r="BW42" s="645">
        <f t="shared" si="25"/>
        <v>46624.582391567987</v>
      </c>
      <c r="BX42" s="644">
        <f t="shared" si="105"/>
        <v>0</v>
      </c>
      <c r="BY42" s="645">
        <f t="shared" si="106"/>
        <v>55577.584385774513</v>
      </c>
      <c r="BZ42" s="646">
        <f t="shared" si="107"/>
        <v>-487.81036709670269</v>
      </c>
      <c r="CA42" s="647">
        <f t="shared" si="108"/>
        <v>55089.77401867781</v>
      </c>
      <c r="CB42" s="644">
        <f t="shared" si="26"/>
        <v>0</v>
      </c>
      <c r="CC42" s="645">
        <f t="shared" si="27"/>
        <v>55089.77401867781</v>
      </c>
      <c r="CD42" s="646">
        <f t="shared" si="109"/>
        <v>-17.646063444557857</v>
      </c>
      <c r="CE42" s="647">
        <f t="shared" si="28"/>
        <v>55072.127955233249</v>
      </c>
      <c r="CF42" s="644">
        <f t="shared" si="110"/>
        <v>0</v>
      </c>
      <c r="CG42" s="645">
        <f t="shared" si="111"/>
        <v>55072.127955233249</v>
      </c>
      <c r="CH42" s="646">
        <f t="shared" si="112"/>
        <v>0</v>
      </c>
      <c r="CI42" s="647">
        <f t="shared" si="29"/>
        <v>55072.127955233249</v>
      </c>
      <c r="CJ42" s="644">
        <f t="shared" si="113"/>
        <v>0</v>
      </c>
      <c r="CK42" s="645">
        <f t="shared" si="114"/>
        <v>55072.127955233249</v>
      </c>
      <c r="CL42" s="646">
        <f t="shared" si="115"/>
        <v>0</v>
      </c>
      <c r="CM42" s="647">
        <f t="shared" si="30"/>
        <v>55072.127955233249</v>
      </c>
      <c r="CN42" s="644">
        <f t="shared" si="116"/>
        <v>0</v>
      </c>
      <c r="CO42" s="645">
        <f t="shared" si="117"/>
        <v>55072.127955233249</v>
      </c>
      <c r="CP42" s="646">
        <f t="shared" si="118"/>
        <v>0</v>
      </c>
      <c r="CQ42" s="647">
        <f t="shared" si="31"/>
        <v>55072.127955233249</v>
      </c>
      <c r="CS42" s="644">
        <f t="shared" si="119"/>
        <v>45102.005231321775</v>
      </c>
      <c r="CT42" s="645">
        <f t="shared" si="32"/>
        <v>40898.29292042819</v>
      </c>
      <c r="CU42" s="644">
        <f t="shared" si="120"/>
        <v>0</v>
      </c>
      <c r="CV42" s="645">
        <f t="shared" si="121"/>
        <v>45102.005231321775</v>
      </c>
      <c r="CW42" s="646">
        <f t="shared" si="122"/>
        <v>-461.87002170303924</v>
      </c>
      <c r="CX42" s="647">
        <f t="shared" si="123"/>
        <v>44640.135209618733</v>
      </c>
      <c r="CY42" s="644">
        <f t="shared" si="33"/>
        <v>0</v>
      </c>
      <c r="CZ42" s="645">
        <f t="shared" si="34"/>
        <v>44640.135209618733</v>
      </c>
      <c r="DA42" s="646">
        <f t="shared" si="124"/>
        <v>-35.042668252802379</v>
      </c>
      <c r="DB42" s="647">
        <f t="shared" si="35"/>
        <v>44605.092541365928</v>
      </c>
      <c r="DC42" s="644">
        <f t="shared" si="125"/>
        <v>0</v>
      </c>
      <c r="DD42" s="645">
        <f t="shared" si="126"/>
        <v>44605.092541365928</v>
      </c>
      <c r="DE42" s="646">
        <f t="shared" si="127"/>
        <v>-3.0219936720638139E-2</v>
      </c>
      <c r="DF42" s="647">
        <f t="shared" si="36"/>
        <v>44605.062321429206</v>
      </c>
      <c r="DG42" s="644">
        <f t="shared" si="128"/>
        <v>0</v>
      </c>
      <c r="DH42" s="645">
        <f t="shared" si="129"/>
        <v>44605.062321429206</v>
      </c>
      <c r="DI42" s="646">
        <f t="shared" si="130"/>
        <v>0</v>
      </c>
      <c r="DJ42" s="647">
        <f t="shared" si="37"/>
        <v>44605.062321429206</v>
      </c>
      <c r="DK42" s="644">
        <f t="shared" si="131"/>
        <v>0</v>
      </c>
      <c r="DL42" s="645">
        <f t="shared" si="132"/>
        <v>44605.062321429206</v>
      </c>
      <c r="DM42" s="646">
        <f t="shared" si="133"/>
        <v>0</v>
      </c>
      <c r="DN42" s="647">
        <f t="shared" si="38"/>
        <v>44605.062321429206</v>
      </c>
      <c r="DR42" s="827">
        <f t="shared" si="49"/>
        <v>245635.39845057382</v>
      </c>
      <c r="DV42" s="828">
        <f>IFERROR(VLOOKUP($B42,'Afton FY16 Final'!$A$5:$BV$587,'Afton FY16 Final'!$BV$587,0),0)</f>
        <v>232976.37686992664</v>
      </c>
      <c r="DX42" s="636">
        <f t="shared" si="39"/>
        <v>245635.39845057382</v>
      </c>
      <c r="DY42" s="637">
        <f t="shared" si="40"/>
        <v>12659.021580647182</v>
      </c>
      <c r="DZ42" s="637">
        <f t="shared" si="41"/>
        <v>232976.37686992664</v>
      </c>
      <c r="EA42" s="643">
        <f t="shared" si="42"/>
        <v>232570.34818740209</v>
      </c>
      <c r="EB42" s="637">
        <f t="shared" si="50"/>
        <v>232976.37686992664</v>
      </c>
      <c r="EC42" s="637">
        <f t="shared" si="51"/>
        <v>0</v>
      </c>
      <c r="ED42" s="637">
        <f t="shared" si="52"/>
        <v>0</v>
      </c>
      <c r="EE42" s="643">
        <f t="shared" si="53"/>
        <v>232976.37686992664</v>
      </c>
      <c r="EF42" s="637">
        <f t="shared" si="54"/>
        <v>0</v>
      </c>
      <c r="EG42" s="637">
        <f t="shared" si="55"/>
        <v>0</v>
      </c>
      <c r="EH42" s="637">
        <f t="shared" si="56"/>
        <v>0</v>
      </c>
      <c r="EI42" s="643">
        <f t="shared" si="57"/>
        <v>232976.37686992664</v>
      </c>
      <c r="EJ42" s="637">
        <f t="shared" si="58"/>
        <v>0</v>
      </c>
      <c r="EK42" s="637">
        <f t="shared" si="59"/>
        <v>0</v>
      </c>
      <c r="EL42" s="637">
        <f t="shared" si="60"/>
        <v>0</v>
      </c>
      <c r="EM42" s="643">
        <f t="shared" si="61"/>
        <v>232976.37686992664</v>
      </c>
      <c r="EN42" s="637">
        <f t="shared" si="62"/>
        <v>0</v>
      </c>
      <c r="EO42" s="637">
        <f t="shared" si="63"/>
        <v>0</v>
      </c>
      <c r="EP42" s="637">
        <f t="shared" si="64"/>
        <v>0</v>
      </c>
      <c r="EQ42" s="643">
        <f t="shared" si="65"/>
        <v>232976.37686992664</v>
      </c>
      <c r="ER42" s="637">
        <f t="shared" si="66"/>
        <v>0</v>
      </c>
      <c r="ES42" s="637">
        <f t="shared" si="67"/>
        <v>0</v>
      </c>
      <c r="ET42" s="637">
        <f t="shared" si="68"/>
        <v>0</v>
      </c>
      <c r="EU42" s="643">
        <f t="shared" si="43"/>
        <v>232976.37686992664</v>
      </c>
      <c r="EV42" s="643">
        <f t="shared" si="44"/>
        <v>0</v>
      </c>
      <c r="EX42" s="829">
        <f t="shared" si="45"/>
        <v>12659.021580647182</v>
      </c>
      <c r="EY42" s="638">
        <f t="shared" si="46"/>
        <v>232976.37686992664</v>
      </c>
      <c r="FC42" s="830" t="str">
        <f t="shared" si="69"/>
        <v>Y</v>
      </c>
      <c r="FE42" s="830" t="str">
        <f>IFERROR(VLOOKUP($B42,'Historical Conc Grant Elig'!$B$3:$J$707,'HH &amp; SI'!FE$2,0),"N")</f>
        <v>Y</v>
      </c>
      <c r="FF42" s="830" t="str">
        <f>IFERROR(VLOOKUP($B42,'Historical Conc Grant Elig'!$B$3:$J$707,'HH &amp; SI'!FF$2,0),"N")</f>
        <v>Y</v>
      </c>
      <c r="FG42" s="830" t="str">
        <f>IFERROR(VLOOKUP($B42,'Historical Conc Grant Elig'!$B$3:$J$707,'HH &amp; SI'!FG$2,0),"N")</f>
        <v>Y</v>
      </c>
      <c r="FH42" s="830" t="str">
        <f>IFERROR(VLOOKUP($B42,'Historical Conc Grant Elig'!$B$3:$J$707,'HH &amp; SI'!FH$2,0),"N")</f>
        <v>Y</v>
      </c>
      <c r="FI42" s="830" t="str">
        <f>IFERROR(VLOOKUP($B42,'Historical Conc Grant Elig'!$B$3:$J$707,'HH &amp; SI'!FI$2,0),"N")</f>
        <v>Y</v>
      </c>
      <c r="FJ42" s="830" t="str">
        <f>IFERROR(VLOOKUP($B42,'Historical Conc Grant Elig'!$B$3:$J$707,'HH &amp; SI'!FJ$2,0),"N")</f>
        <v>Y</v>
      </c>
      <c r="FK42" s="830" t="str">
        <f>IFERROR(VLOOKUP($B42,'Historical Conc Grant Elig'!$B$3:$J$707,'HH &amp; SI'!FK$2,0),"N")</f>
        <v>Y</v>
      </c>
      <c r="FL42" s="957" t="str">
        <f>IFERROR(VLOOKUP($B42,'Historical Conc Grant Elig'!$B$3:$J$707,'HH &amp; SI'!FL$2,0),"N")</f>
        <v>Y</v>
      </c>
    </row>
    <row r="43" spans="2:168" x14ac:dyDescent="0.25">
      <c r="B43" s="634">
        <v>30204000</v>
      </c>
      <c r="C43" s="635" t="str">
        <f>VLOOKUP($B43,'Afton Update'!$A$5:$CR$582,'Afton Update'!D$589,0)</f>
        <v>Grand Canyon Unified District</v>
      </c>
      <c r="D43" s="636">
        <f>IFERROR(VLOOKUP($B43,'Afton FY16 Final'!$A$5:$BV$587,'Afton FY16 Final'!AQ$587,0),0)</f>
        <v>30324.476982537635</v>
      </c>
      <c r="E43" s="637">
        <f>IFERROR(VLOOKUP($B43,'Afton FY16 Final'!$A$5:$BV$587,'Afton FY16 Final'!AR$587,0),0)</f>
        <v>7285.4190759890362</v>
      </c>
      <c r="F43" s="637">
        <f>IFERROR(VLOOKUP($B43,'Afton FY16 Final'!$A$5:$BV$587,'Afton FY16 Final'!AS$587,0),0)</f>
        <v>14433.315228855965</v>
      </c>
      <c r="G43" s="637">
        <f>IFERROR(VLOOKUP($B43,'Afton FY16 Final'!$A$5:$BV$587,'Afton FY16 Final'!AT$587,0),0)</f>
        <v>12897.050149671151</v>
      </c>
      <c r="H43" s="638">
        <f>IFERROR(VLOOKUP($B43,'Afton FY16 Final'!$A$5:$BV$587,'Afton FY16 Final'!AU$587,0),0)</f>
        <v>64940.261437053785</v>
      </c>
      <c r="I43" s="639" t="str">
        <f>VLOOKUP($B43,'Afton Update'!$A$5:$CR$582,'Afton Update'!BT$589,0)</f>
        <v>Y</v>
      </c>
      <c r="J43" s="640" t="str">
        <f>VLOOKUP($B43,'Afton Update'!$A$5:$CR$582,'Afton Update'!BU$589,0)</f>
        <v>Y</v>
      </c>
      <c r="K43" s="640" t="str">
        <f>VLOOKUP($B43,'Afton Update'!$A$5:$CR$582,'Afton Update'!BV$589,0)</f>
        <v>Y</v>
      </c>
      <c r="L43" s="641" t="str">
        <f>VLOOKUP($B43,'Afton Update'!$A$5:$CR$582,'Afton Update'!BW$589,0)</f>
        <v>Y</v>
      </c>
      <c r="N43" s="642">
        <f>VLOOKUP($B43,'Afton Update'!$A$5:$CR$582,'Afton Update'!CB$589,0)</f>
        <v>0.9</v>
      </c>
      <c r="P43" s="636">
        <f>VLOOKUP($B43,'Afton Update'!$A$5:$CR$582,'Afton Update'!AH$589,0)</f>
        <v>27754.897516404206</v>
      </c>
      <c r="Q43" s="637">
        <f>VLOOKUP($B43,'Afton Update'!$A$5:$CR$582,'Afton Update'!AI$589,0)</f>
        <v>7092.045681938589</v>
      </c>
      <c r="R43" s="637">
        <f>VLOOKUP($B43,'Afton Update'!$A$5:$CR$582,'Afton Update'!AJ$589,0)</f>
        <v>13263.182301008937</v>
      </c>
      <c r="S43" s="637">
        <f>VLOOKUP($B43,'Afton Update'!$A$5:$CR$582,'Afton Update'!AK$589,0)</f>
        <v>11838.271146133206</v>
      </c>
      <c r="T43" s="643">
        <f t="shared" si="47"/>
        <v>59948.396645484936</v>
      </c>
      <c r="V43" s="636">
        <f t="shared" si="70"/>
        <v>27376.302699584987</v>
      </c>
      <c r="W43" s="637">
        <f t="shared" si="71"/>
        <v>6858.4596263701351</v>
      </c>
      <c r="X43" s="637">
        <f t="shared" si="72"/>
        <v>13142.558836394992</v>
      </c>
      <c r="Y43" s="637">
        <f t="shared" si="73"/>
        <v>11707.834708079426</v>
      </c>
      <c r="Z43" s="643">
        <f t="shared" si="74"/>
        <v>59085.155870429538</v>
      </c>
      <c r="AB43" s="644">
        <f t="shared" si="11"/>
        <v>27754.897516404206</v>
      </c>
      <c r="AC43" s="645">
        <f t="shared" si="12"/>
        <v>27292.029284283872</v>
      </c>
      <c r="AD43" s="644">
        <f t="shared" si="75"/>
        <v>0</v>
      </c>
      <c r="AE43" s="645">
        <f t="shared" si="76"/>
        <v>27754.897516404206</v>
      </c>
      <c r="AF43" s="646">
        <f t="shared" si="77"/>
        <v>-344.04281196610395</v>
      </c>
      <c r="AG43" s="647">
        <f t="shared" si="78"/>
        <v>27410.854704438101</v>
      </c>
      <c r="AH43" s="644">
        <f t="shared" si="13"/>
        <v>0</v>
      </c>
      <c r="AI43" s="645">
        <f t="shared" si="14"/>
        <v>27410.854704438101</v>
      </c>
      <c r="AJ43" s="646">
        <f t="shared" si="79"/>
        <v>-34.529991876946035</v>
      </c>
      <c r="AK43" s="647">
        <f t="shared" si="15"/>
        <v>27376.324712561156</v>
      </c>
      <c r="AL43" s="644">
        <f t="shared" si="80"/>
        <v>0</v>
      </c>
      <c r="AM43" s="645">
        <f t="shared" si="81"/>
        <v>27376.324712561156</v>
      </c>
      <c r="AN43" s="646">
        <f t="shared" si="82"/>
        <v>-2.2012976167954522E-2</v>
      </c>
      <c r="AO43" s="647">
        <f t="shared" si="16"/>
        <v>27376.302699584987</v>
      </c>
      <c r="AP43" s="644">
        <f t="shared" si="83"/>
        <v>0</v>
      </c>
      <c r="AQ43" s="645">
        <f t="shared" si="84"/>
        <v>27376.302699584987</v>
      </c>
      <c r="AR43" s="646">
        <f t="shared" si="85"/>
        <v>0</v>
      </c>
      <c r="AS43" s="647">
        <f t="shared" si="17"/>
        <v>27376.302699584987</v>
      </c>
      <c r="AT43" s="644">
        <f t="shared" si="86"/>
        <v>0</v>
      </c>
      <c r="AU43" s="645">
        <f t="shared" si="87"/>
        <v>27376.302699584987</v>
      </c>
      <c r="AV43" s="646">
        <f t="shared" si="88"/>
        <v>0</v>
      </c>
      <c r="AW43" s="647">
        <f t="shared" si="18"/>
        <v>27376.302699584987</v>
      </c>
      <c r="AY43" s="644">
        <f t="shared" si="89"/>
        <v>7092.045681938589</v>
      </c>
      <c r="AZ43" s="645">
        <f t="shared" si="48"/>
        <v>6556.8771683901323</v>
      </c>
      <c r="BA43" s="644">
        <f t="shared" si="90"/>
        <v>0</v>
      </c>
      <c r="BB43" s="645">
        <f t="shared" si="91"/>
        <v>7092.045681938589</v>
      </c>
      <c r="BC43" s="646">
        <f t="shared" si="92"/>
        <v>-51.000967336844241</v>
      </c>
      <c r="BD43" s="647">
        <f t="shared" si="93"/>
        <v>7041.044714601745</v>
      </c>
      <c r="BE43" s="644">
        <f t="shared" si="19"/>
        <v>0</v>
      </c>
      <c r="BF43" s="645">
        <f t="shared" si="20"/>
        <v>7041.044714601745</v>
      </c>
      <c r="BG43" s="646">
        <f t="shared" si="94"/>
        <v>-167.71194706433621</v>
      </c>
      <c r="BH43" s="647">
        <f t="shared" si="21"/>
        <v>6873.3327675374085</v>
      </c>
      <c r="BI43" s="644">
        <f t="shared" si="95"/>
        <v>0</v>
      </c>
      <c r="BJ43" s="645">
        <f t="shared" si="96"/>
        <v>6873.3327675374085</v>
      </c>
      <c r="BK43" s="646">
        <f t="shared" si="97"/>
        <v>-14.559333155120475</v>
      </c>
      <c r="BL43" s="647">
        <f t="shared" si="22"/>
        <v>6858.7734343822876</v>
      </c>
      <c r="BM43" s="644">
        <f t="shared" si="98"/>
        <v>0</v>
      </c>
      <c r="BN43" s="645">
        <f t="shared" si="99"/>
        <v>6858.7734343822876</v>
      </c>
      <c r="BO43" s="646">
        <f t="shared" si="100"/>
        <v>-0.31380801215230281</v>
      </c>
      <c r="BP43" s="647">
        <f t="shared" si="23"/>
        <v>6858.4596263701351</v>
      </c>
      <c r="BQ43" s="644">
        <f t="shared" si="101"/>
        <v>0</v>
      </c>
      <c r="BR43" s="645">
        <f t="shared" si="102"/>
        <v>6858.4596263701351</v>
      </c>
      <c r="BS43" s="646">
        <f t="shared" si="103"/>
        <v>0</v>
      </c>
      <c r="BT43" s="647">
        <f t="shared" si="24"/>
        <v>6858.4596263701351</v>
      </c>
      <c r="BU43" s="662">
        <f>VLOOKUP(B43,'Afton Update'!$A$5:$AR$582,'Afton Update'!$AO$589,0)-BT43</f>
        <v>0</v>
      </c>
      <c r="BV43" s="644">
        <f t="shared" si="104"/>
        <v>13263.182301008937</v>
      </c>
      <c r="BW43" s="645">
        <f t="shared" si="25"/>
        <v>12989.98370597037</v>
      </c>
      <c r="BX43" s="644">
        <f t="shared" si="105"/>
        <v>0</v>
      </c>
      <c r="BY43" s="645">
        <f t="shared" si="106"/>
        <v>13263.182301008937</v>
      </c>
      <c r="BZ43" s="646">
        <f t="shared" si="107"/>
        <v>-116.41236118174439</v>
      </c>
      <c r="CA43" s="647">
        <f t="shared" si="108"/>
        <v>13146.769939827193</v>
      </c>
      <c r="CB43" s="644">
        <f t="shared" si="26"/>
        <v>0</v>
      </c>
      <c r="CC43" s="645">
        <f t="shared" si="27"/>
        <v>13146.769939827193</v>
      </c>
      <c r="CD43" s="646">
        <f t="shared" si="109"/>
        <v>-4.2111034322003666</v>
      </c>
      <c r="CE43" s="647">
        <f t="shared" si="28"/>
        <v>13142.558836394992</v>
      </c>
      <c r="CF43" s="644">
        <f t="shared" si="110"/>
        <v>0</v>
      </c>
      <c r="CG43" s="645">
        <f t="shared" si="111"/>
        <v>13142.558836394992</v>
      </c>
      <c r="CH43" s="646">
        <f t="shared" si="112"/>
        <v>0</v>
      </c>
      <c r="CI43" s="647">
        <f t="shared" si="29"/>
        <v>13142.558836394992</v>
      </c>
      <c r="CJ43" s="644">
        <f t="shared" si="113"/>
        <v>0</v>
      </c>
      <c r="CK43" s="645">
        <f t="shared" si="114"/>
        <v>13142.558836394992</v>
      </c>
      <c r="CL43" s="646">
        <f t="shared" si="115"/>
        <v>0</v>
      </c>
      <c r="CM43" s="647">
        <f t="shared" si="30"/>
        <v>13142.558836394992</v>
      </c>
      <c r="CN43" s="644">
        <f t="shared" si="116"/>
        <v>0</v>
      </c>
      <c r="CO43" s="645">
        <f t="shared" si="117"/>
        <v>13142.558836394992</v>
      </c>
      <c r="CP43" s="646">
        <f t="shared" si="118"/>
        <v>0</v>
      </c>
      <c r="CQ43" s="647">
        <f t="shared" si="31"/>
        <v>13142.558836394992</v>
      </c>
      <c r="CS43" s="644">
        <f t="shared" si="119"/>
        <v>11838.271146133206</v>
      </c>
      <c r="CT43" s="645">
        <f t="shared" si="32"/>
        <v>11607.345134704037</v>
      </c>
      <c r="CU43" s="644">
        <f t="shared" si="120"/>
        <v>0</v>
      </c>
      <c r="CV43" s="645">
        <f t="shared" si="121"/>
        <v>11838.271146133206</v>
      </c>
      <c r="CW43" s="646">
        <f t="shared" si="122"/>
        <v>-121.23058660358298</v>
      </c>
      <c r="CX43" s="647">
        <f t="shared" si="123"/>
        <v>11717.040559529623</v>
      </c>
      <c r="CY43" s="644">
        <f t="shared" si="33"/>
        <v>0</v>
      </c>
      <c r="CZ43" s="645">
        <f t="shared" si="34"/>
        <v>11717.040559529623</v>
      </c>
      <c r="DA43" s="646">
        <f t="shared" si="124"/>
        <v>-9.1979193903461614</v>
      </c>
      <c r="DB43" s="647">
        <f t="shared" si="35"/>
        <v>11707.842640139277</v>
      </c>
      <c r="DC43" s="644">
        <f t="shared" si="125"/>
        <v>0</v>
      </c>
      <c r="DD43" s="645">
        <f t="shared" si="126"/>
        <v>11707.842640139277</v>
      </c>
      <c r="DE43" s="646">
        <f t="shared" si="127"/>
        <v>-7.9320598515086795E-3</v>
      </c>
      <c r="DF43" s="647">
        <f t="shared" si="36"/>
        <v>11707.834708079426</v>
      </c>
      <c r="DG43" s="644">
        <f t="shared" si="128"/>
        <v>0</v>
      </c>
      <c r="DH43" s="645">
        <f t="shared" si="129"/>
        <v>11707.834708079426</v>
      </c>
      <c r="DI43" s="646">
        <f t="shared" si="130"/>
        <v>0</v>
      </c>
      <c r="DJ43" s="647">
        <f t="shared" si="37"/>
        <v>11707.834708079426</v>
      </c>
      <c r="DK43" s="644">
        <f t="shared" si="131"/>
        <v>0</v>
      </c>
      <c r="DL43" s="645">
        <f t="shared" si="132"/>
        <v>11707.834708079426</v>
      </c>
      <c r="DM43" s="646">
        <f t="shared" si="133"/>
        <v>0</v>
      </c>
      <c r="DN43" s="647">
        <f t="shared" si="38"/>
        <v>11707.834708079426</v>
      </c>
      <c r="DR43" s="827">
        <f t="shared" si="49"/>
        <v>59085.155870429538</v>
      </c>
      <c r="DV43" s="828">
        <f>IFERROR(VLOOKUP($B43,'Afton FY16 Final'!$A$5:$BV$587,'Afton FY16 Final'!$BV$587,0),0)</f>
        <v>60899.905378409327</v>
      </c>
      <c r="DX43" s="636">
        <f t="shared" si="39"/>
        <v>0</v>
      </c>
      <c r="DY43" s="637">
        <f t="shared" si="40"/>
        <v>0</v>
      </c>
      <c r="DZ43" s="637">
        <f t="shared" si="41"/>
        <v>0</v>
      </c>
      <c r="EA43" s="643">
        <f t="shared" si="42"/>
        <v>0</v>
      </c>
      <c r="EB43" s="637">
        <f t="shared" si="50"/>
        <v>0</v>
      </c>
      <c r="EC43" s="637">
        <f t="shared" si="51"/>
        <v>0</v>
      </c>
      <c r="ED43" s="637">
        <f t="shared" si="52"/>
        <v>0</v>
      </c>
      <c r="EE43" s="643">
        <f t="shared" si="53"/>
        <v>0</v>
      </c>
      <c r="EF43" s="637">
        <f t="shared" si="54"/>
        <v>0</v>
      </c>
      <c r="EG43" s="637">
        <f t="shared" si="55"/>
        <v>0</v>
      </c>
      <c r="EH43" s="637">
        <f t="shared" si="56"/>
        <v>0</v>
      </c>
      <c r="EI43" s="643">
        <f t="shared" si="57"/>
        <v>0</v>
      </c>
      <c r="EJ43" s="637">
        <f t="shared" si="58"/>
        <v>0</v>
      </c>
      <c r="EK43" s="637">
        <f t="shared" si="59"/>
        <v>0</v>
      </c>
      <c r="EL43" s="637">
        <f t="shared" si="60"/>
        <v>0</v>
      </c>
      <c r="EM43" s="643">
        <f t="shared" si="61"/>
        <v>0</v>
      </c>
      <c r="EN43" s="637">
        <f t="shared" si="62"/>
        <v>0</v>
      </c>
      <c r="EO43" s="637">
        <f t="shared" si="63"/>
        <v>0</v>
      </c>
      <c r="EP43" s="637">
        <f t="shared" si="64"/>
        <v>0</v>
      </c>
      <c r="EQ43" s="643">
        <f t="shared" si="65"/>
        <v>0</v>
      </c>
      <c r="ER43" s="637">
        <f t="shared" si="66"/>
        <v>0</v>
      </c>
      <c r="ES43" s="637">
        <f t="shared" si="67"/>
        <v>0</v>
      </c>
      <c r="ET43" s="637">
        <f t="shared" si="68"/>
        <v>0</v>
      </c>
      <c r="EU43" s="643">
        <f t="shared" si="43"/>
        <v>0</v>
      </c>
      <c r="EV43" s="643">
        <f t="shared" si="44"/>
        <v>0</v>
      </c>
      <c r="EX43" s="829">
        <f t="shared" si="45"/>
        <v>0</v>
      </c>
      <c r="EY43" s="638">
        <f t="shared" si="46"/>
        <v>59085.155870429538</v>
      </c>
      <c r="FC43" s="830" t="str">
        <f t="shared" si="69"/>
        <v>Y</v>
      </c>
      <c r="FE43" s="830" t="str">
        <f>IFERROR(VLOOKUP($B43,'Historical Conc Grant Elig'!$B$3:$J$707,'HH &amp; SI'!FE$2,0),"N")</f>
        <v>N</v>
      </c>
      <c r="FF43" s="830" t="str">
        <f>IFERROR(VLOOKUP($B43,'Historical Conc Grant Elig'!$B$3:$J$707,'HH &amp; SI'!FF$2,0),"N")</f>
        <v>N</v>
      </c>
      <c r="FG43" s="830" t="str">
        <f>IFERROR(VLOOKUP($B43,'Historical Conc Grant Elig'!$B$3:$J$707,'HH &amp; SI'!FG$2,0),"N")</f>
        <v>N</v>
      </c>
      <c r="FH43" s="830" t="str">
        <f>IFERROR(VLOOKUP($B43,'Historical Conc Grant Elig'!$B$3:$J$707,'HH &amp; SI'!FH$2,0),"N")</f>
        <v>Y</v>
      </c>
      <c r="FI43" s="830" t="str">
        <f>IFERROR(VLOOKUP($B43,'Historical Conc Grant Elig'!$B$3:$J$707,'HH &amp; SI'!FI$2,0),"N")</f>
        <v>Y</v>
      </c>
      <c r="FJ43" s="830" t="str">
        <f>IFERROR(VLOOKUP($B43,'Historical Conc Grant Elig'!$B$3:$J$707,'HH &amp; SI'!FJ$2,0),"N")</f>
        <v>Y</v>
      </c>
      <c r="FK43" s="830" t="str">
        <f>IFERROR(VLOOKUP($B43,'Historical Conc Grant Elig'!$B$3:$J$707,'HH &amp; SI'!FK$2,0),"N")</f>
        <v>Y</v>
      </c>
      <c r="FL43" s="957" t="str">
        <f>IFERROR(VLOOKUP($B43,'Historical Conc Grant Elig'!$B$3:$J$707,'HH &amp; SI'!FL$2,0),"N")</f>
        <v>Y</v>
      </c>
    </row>
    <row r="44" spans="2:168" x14ac:dyDescent="0.25">
      <c r="B44" s="634">
        <v>30206000</v>
      </c>
      <c r="C44" s="635" t="str">
        <f>VLOOKUP($B44,'Afton Update'!$A$5:$CR$582,'Afton Update'!D$589,0)</f>
        <v>Fredonia-Moccasin Unified District</v>
      </c>
      <c r="D44" s="636">
        <f>IFERROR(VLOOKUP($B44,'Afton FY16 Final'!$A$5:$BV$587,'Afton FY16 Final'!AQ$587,0),0)</f>
        <v>45266.972886976466</v>
      </c>
      <c r="E44" s="637">
        <f>IFERROR(VLOOKUP($B44,'Afton FY16 Final'!$A$5:$BV$587,'Afton FY16 Final'!AR$587,0),0)</f>
        <v>10767.169588219756</v>
      </c>
      <c r="F44" s="637">
        <f>IFERROR(VLOOKUP($B44,'Afton FY16 Final'!$A$5:$BV$587,'Afton FY16 Final'!AS$587,0),0)</f>
        <v>16201.94025972772</v>
      </c>
      <c r="G44" s="637">
        <f>IFERROR(VLOOKUP($B44,'Afton FY16 Final'!$A$5:$BV$587,'Afton FY16 Final'!AT$587,0),0)</f>
        <v>14010.311206963546</v>
      </c>
      <c r="H44" s="638">
        <f>IFERROR(VLOOKUP($B44,'Afton FY16 Final'!$A$5:$BV$587,'Afton FY16 Final'!AU$587,0),0)</f>
        <v>86246.39394188748</v>
      </c>
      <c r="I44" s="639" t="str">
        <f>VLOOKUP($B44,'Afton Update'!$A$5:$CR$582,'Afton Update'!BT$589,0)</f>
        <v>Y</v>
      </c>
      <c r="J44" s="640" t="str">
        <f>VLOOKUP($B44,'Afton Update'!$A$5:$CR$582,'Afton Update'!BU$589,0)</f>
        <v>Y</v>
      </c>
      <c r="K44" s="640" t="str">
        <f>VLOOKUP($B44,'Afton Update'!$A$5:$CR$582,'Afton Update'!BV$589,0)</f>
        <v>Y</v>
      </c>
      <c r="L44" s="641" t="str">
        <f>VLOOKUP($B44,'Afton Update'!$A$5:$CR$582,'Afton Update'!BW$589,0)</f>
        <v>Y</v>
      </c>
      <c r="N44" s="642">
        <f>VLOOKUP($B44,'Afton Update'!$A$5:$CR$582,'Afton Update'!CB$589,0)</f>
        <v>0.9</v>
      </c>
      <c r="P44" s="636">
        <f>VLOOKUP($B44,'Afton Update'!$A$5:$CR$582,'Afton Update'!AH$589,0)</f>
        <v>42840.847148946763</v>
      </c>
      <c r="Q44" s="637">
        <f>VLOOKUP($B44,'Afton Update'!$A$5:$CR$582,'Afton Update'!AI$589,0)</f>
        <v>10720.372977619829</v>
      </c>
      <c r="R44" s="637">
        <f>VLOOKUP($B44,'Afton Update'!$A$5:$CR$582,'Afton Update'!AJ$589,0)</f>
        <v>15141.170727962743</v>
      </c>
      <c r="S44" s="637">
        <f>VLOOKUP($B44,'Afton Update'!$A$5:$CR$582,'Afton Update'!AK$589,0)</f>
        <v>12840.195054472988</v>
      </c>
      <c r="T44" s="643">
        <f t="shared" si="47"/>
        <v>81542.58590900233</v>
      </c>
      <c r="V44" s="636">
        <f t="shared" si="70"/>
        <v>42256.470187397928</v>
      </c>
      <c r="W44" s="637">
        <f t="shared" si="71"/>
        <v>10367.283086441865</v>
      </c>
      <c r="X44" s="637">
        <f t="shared" si="72"/>
        <v>15003.46769183851</v>
      </c>
      <c r="Y44" s="637">
        <f t="shared" si="73"/>
        <v>12698.719218504466</v>
      </c>
      <c r="Z44" s="643">
        <f t="shared" si="74"/>
        <v>80325.940184182778</v>
      </c>
      <c r="AB44" s="644">
        <f t="shared" si="11"/>
        <v>42840.847148946763</v>
      </c>
      <c r="AC44" s="645">
        <f t="shared" si="12"/>
        <v>40740.275598278822</v>
      </c>
      <c r="AD44" s="644">
        <f t="shared" si="75"/>
        <v>0</v>
      </c>
      <c r="AE44" s="645">
        <f t="shared" si="76"/>
        <v>42840.847148946763</v>
      </c>
      <c r="AF44" s="646">
        <f t="shared" si="77"/>
        <v>-531.0444944508381</v>
      </c>
      <c r="AG44" s="647">
        <f t="shared" si="78"/>
        <v>42309.802654495928</v>
      </c>
      <c r="AH44" s="644">
        <f t="shared" si="13"/>
        <v>0</v>
      </c>
      <c r="AI44" s="645">
        <f t="shared" si="14"/>
        <v>42309.802654495928</v>
      </c>
      <c r="AJ44" s="646">
        <f t="shared" si="79"/>
        <v>-53.298489147016276</v>
      </c>
      <c r="AK44" s="647">
        <f t="shared" si="15"/>
        <v>42256.50416534891</v>
      </c>
      <c r="AL44" s="644">
        <f t="shared" si="80"/>
        <v>0</v>
      </c>
      <c r="AM44" s="645">
        <f t="shared" si="81"/>
        <v>42256.50416534891</v>
      </c>
      <c r="AN44" s="646">
        <f t="shared" si="82"/>
        <v>-3.3977950981349009E-2</v>
      </c>
      <c r="AO44" s="647">
        <f t="shared" si="16"/>
        <v>42256.470187397928</v>
      </c>
      <c r="AP44" s="644">
        <f t="shared" si="83"/>
        <v>0</v>
      </c>
      <c r="AQ44" s="645">
        <f t="shared" si="84"/>
        <v>42256.470187397928</v>
      </c>
      <c r="AR44" s="646">
        <f t="shared" si="85"/>
        <v>0</v>
      </c>
      <c r="AS44" s="647">
        <f t="shared" si="17"/>
        <v>42256.470187397928</v>
      </c>
      <c r="AT44" s="644">
        <f t="shared" si="86"/>
        <v>0</v>
      </c>
      <c r="AU44" s="645">
        <f t="shared" si="87"/>
        <v>42256.470187397928</v>
      </c>
      <c r="AV44" s="646">
        <f t="shared" si="88"/>
        <v>0</v>
      </c>
      <c r="AW44" s="647">
        <f t="shared" si="18"/>
        <v>42256.470187397928</v>
      </c>
      <c r="AY44" s="644">
        <f t="shared" si="89"/>
        <v>10720.372977619829</v>
      </c>
      <c r="AZ44" s="645">
        <f t="shared" si="48"/>
        <v>9690.4526293977815</v>
      </c>
      <c r="BA44" s="644">
        <f t="shared" si="90"/>
        <v>0</v>
      </c>
      <c r="BB44" s="645">
        <f t="shared" si="91"/>
        <v>10720.372977619829</v>
      </c>
      <c r="BC44" s="646">
        <f t="shared" si="92"/>
        <v>-77.093326325123755</v>
      </c>
      <c r="BD44" s="647">
        <f t="shared" si="93"/>
        <v>10643.279651294704</v>
      </c>
      <c r="BE44" s="644">
        <f t="shared" si="19"/>
        <v>0</v>
      </c>
      <c r="BF44" s="645">
        <f t="shared" si="20"/>
        <v>10643.279651294704</v>
      </c>
      <c r="BG44" s="646">
        <f t="shared" si="94"/>
        <v>-253.51424764667576</v>
      </c>
      <c r="BH44" s="647">
        <f t="shared" si="21"/>
        <v>10389.765403648029</v>
      </c>
      <c r="BI44" s="644">
        <f t="shared" si="95"/>
        <v>0</v>
      </c>
      <c r="BJ44" s="645">
        <f t="shared" si="96"/>
        <v>10389.765403648029</v>
      </c>
      <c r="BK44" s="646">
        <f t="shared" si="97"/>
        <v>-22.007963390000839</v>
      </c>
      <c r="BL44" s="647">
        <f t="shared" si="22"/>
        <v>10367.757440258029</v>
      </c>
      <c r="BM44" s="644">
        <f t="shared" si="98"/>
        <v>0</v>
      </c>
      <c r="BN44" s="645">
        <f t="shared" si="99"/>
        <v>10367.757440258029</v>
      </c>
      <c r="BO44" s="646">
        <f t="shared" si="100"/>
        <v>-0.47435381616416272</v>
      </c>
      <c r="BP44" s="647">
        <f t="shared" si="23"/>
        <v>10367.283086441865</v>
      </c>
      <c r="BQ44" s="644">
        <f t="shared" si="101"/>
        <v>0</v>
      </c>
      <c r="BR44" s="645">
        <f t="shared" si="102"/>
        <v>10367.283086441865</v>
      </c>
      <c r="BS44" s="646">
        <f t="shared" si="103"/>
        <v>0</v>
      </c>
      <c r="BT44" s="647">
        <f t="shared" si="24"/>
        <v>10367.283086441865</v>
      </c>
      <c r="BU44" s="662">
        <f>VLOOKUP(B44,'Afton Update'!$A$5:$AR$582,'Afton Update'!$AO$589,0)-BT44</f>
        <v>0</v>
      </c>
      <c r="BV44" s="644">
        <f t="shared" si="104"/>
        <v>15141.170727962743</v>
      </c>
      <c r="BW44" s="645">
        <f t="shared" si="25"/>
        <v>14581.746233754948</v>
      </c>
      <c r="BX44" s="644">
        <f t="shared" si="105"/>
        <v>0</v>
      </c>
      <c r="BY44" s="645">
        <f t="shared" si="106"/>
        <v>15141.170727962743</v>
      </c>
      <c r="BZ44" s="646">
        <f t="shared" si="107"/>
        <v>-132.89566527061692</v>
      </c>
      <c r="CA44" s="647">
        <f t="shared" si="108"/>
        <v>15008.275062692126</v>
      </c>
      <c r="CB44" s="644">
        <f t="shared" si="26"/>
        <v>0</v>
      </c>
      <c r="CC44" s="645">
        <f t="shared" si="27"/>
        <v>15008.275062692126</v>
      </c>
      <c r="CD44" s="646">
        <f t="shared" si="109"/>
        <v>-4.8073708536152218</v>
      </c>
      <c r="CE44" s="647">
        <f t="shared" si="28"/>
        <v>15003.46769183851</v>
      </c>
      <c r="CF44" s="644">
        <f t="shared" si="110"/>
        <v>0</v>
      </c>
      <c r="CG44" s="645">
        <f t="shared" si="111"/>
        <v>15003.46769183851</v>
      </c>
      <c r="CH44" s="646">
        <f t="shared" si="112"/>
        <v>0</v>
      </c>
      <c r="CI44" s="647">
        <f t="shared" si="29"/>
        <v>15003.46769183851</v>
      </c>
      <c r="CJ44" s="644">
        <f t="shared" si="113"/>
        <v>0</v>
      </c>
      <c r="CK44" s="645">
        <f t="shared" si="114"/>
        <v>15003.46769183851</v>
      </c>
      <c r="CL44" s="646">
        <f t="shared" si="115"/>
        <v>0</v>
      </c>
      <c r="CM44" s="647">
        <f t="shared" si="30"/>
        <v>15003.46769183851</v>
      </c>
      <c r="CN44" s="644">
        <f t="shared" si="116"/>
        <v>0</v>
      </c>
      <c r="CO44" s="645">
        <f t="shared" si="117"/>
        <v>15003.46769183851</v>
      </c>
      <c r="CP44" s="646">
        <f t="shared" si="118"/>
        <v>0</v>
      </c>
      <c r="CQ44" s="647">
        <f t="shared" si="31"/>
        <v>15003.46769183851</v>
      </c>
      <c r="CS44" s="644">
        <f t="shared" si="119"/>
        <v>12840.195054472988</v>
      </c>
      <c r="CT44" s="645">
        <f t="shared" si="32"/>
        <v>12609.280086267192</v>
      </c>
      <c r="CU44" s="644">
        <f t="shared" si="120"/>
        <v>0</v>
      </c>
      <c r="CV44" s="645">
        <f t="shared" si="121"/>
        <v>12840.195054472988</v>
      </c>
      <c r="CW44" s="646">
        <f t="shared" si="122"/>
        <v>-131.49085363420093</v>
      </c>
      <c r="CX44" s="647">
        <f t="shared" si="123"/>
        <v>12708.704200838787</v>
      </c>
      <c r="CY44" s="644">
        <f t="shared" si="33"/>
        <v>0</v>
      </c>
      <c r="CZ44" s="645">
        <f t="shared" si="34"/>
        <v>12708.704200838787</v>
      </c>
      <c r="DA44" s="646">
        <f t="shared" si="124"/>
        <v>-9.976378950058141</v>
      </c>
      <c r="DB44" s="647">
        <f t="shared" si="35"/>
        <v>12698.72782188873</v>
      </c>
      <c r="DC44" s="644">
        <f t="shared" si="125"/>
        <v>0</v>
      </c>
      <c r="DD44" s="645">
        <f t="shared" si="126"/>
        <v>12698.72782188873</v>
      </c>
      <c r="DE44" s="646">
        <f t="shared" si="127"/>
        <v>-8.6033842627766654E-3</v>
      </c>
      <c r="DF44" s="647">
        <f t="shared" si="36"/>
        <v>12698.719218504466</v>
      </c>
      <c r="DG44" s="644">
        <f t="shared" si="128"/>
        <v>0</v>
      </c>
      <c r="DH44" s="645">
        <f t="shared" si="129"/>
        <v>12698.719218504466</v>
      </c>
      <c r="DI44" s="646">
        <f t="shared" si="130"/>
        <v>0</v>
      </c>
      <c r="DJ44" s="647">
        <f t="shared" si="37"/>
        <v>12698.719218504466</v>
      </c>
      <c r="DK44" s="644">
        <f t="shared" si="131"/>
        <v>0</v>
      </c>
      <c r="DL44" s="645">
        <f t="shared" si="132"/>
        <v>12698.719218504466</v>
      </c>
      <c r="DM44" s="646">
        <f t="shared" si="133"/>
        <v>0</v>
      </c>
      <c r="DN44" s="647">
        <f t="shared" si="38"/>
        <v>12698.719218504466</v>
      </c>
      <c r="DR44" s="827">
        <f t="shared" si="49"/>
        <v>80325.940184182778</v>
      </c>
      <c r="DV44" s="828">
        <f>IFERROR(VLOOKUP($B44,'Afton FY16 Final'!$A$5:$BV$587,'Afton FY16 Final'!$BV$587,0),0)</f>
        <v>84548.202459454871</v>
      </c>
      <c r="DX44" s="636">
        <f t="shared" si="39"/>
        <v>0</v>
      </c>
      <c r="DY44" s="637">
        <f t="shared" si="40"/>
        <v>0</v>
      </c>
      <c r="DZ44" s="637">
        <f t="shared" si="41"/>
        <v>0</v>
      </c>
      <c r="EA44" s="643">
        <f t="shared" si="42"/>
        <v>0</v>
      </c>
      <c r="EB44" s="637">
        <f t="shared" si="50"/>
        <v>0</v>
      </c>
      <c r="EC44" s="637">
        <f t="shared" si="51"/>
        <v>0</v>
      </c>
      <c r="ED44" s="637">
        <f t="shared" si="52"/>
        <v>0</v>
      </c>
      <c r="EE44" s="643">
        <f t="shared" si="53"/>
        <v>0</v>
      </c>
      <c r="EF44" s="637">
        <f t="shared" si="54"/>
        <v>0</v>
      </c>
      <c r="EG44" s="637">
        <f t="shared" si="55"/>
        <v>0</v>
      </c>
      <c r="EH44" s="637">
        <f t="shared" si="56"/>
        <v>0</v>
      </c>
      <c r="EI44" s="643">
        <f t="shared" si="57"/>
        <v>0</v>
      </c>
      <c r="EJ44" s="637">
        <f t="shared" si="58"/>
        <v>0</v>
      </c>
      <c r="EK44" s="637">
        <f t="shared" si="59"/>
        <v>0</v>
      </c>
      <c r="EL44" s="637">
        <f t="shared" si="60"/>
        <v>0</v>
      </c>
      <c r="EM44" s="643">
        <f t="shared" si="61"/>
        <v>0</v>
      </c>
      <c r="EN44" s="637">
        <f t="shared" si="62"/>
        <v>0</v>
      </c>
      <c r="EO44" s="637">
        <f t="shared" si="63"/>
        <v>0</v>
      </c>
      <c r="EP44" s="637">
        <f t="shared" si="64"/>
        <v>0</v>
      </c>
      <c r="EQ44" s="643">
        <f t="shared" si="65"/>
        <v>0</v>
      </c>
      <c r="ER44" s="637">
        <f t="shared" si="66"/>
        <v>0</v>
      </c>
      <c r="ES44" s="637">
        <f t="shared" si="67"/>
        <v>0</v>
      </c>
      <c r="ET44" s="637">
        <f t="shared" si="68"/>
        <v>0</v>
      </c>
      <c r="EU44" s="643">
        <f t="shared" si="43"/>
        <v>0</v>
      </c>
      <c r="EV44" s="643">
        <f t="shared" si="44"/>
        <v>0</v>
      </c>
      <c r="EX44" s="829">
        <f t="shared" si="45"/>
        <v>0</v>
      </c>
      <c r="EY44" s="638">
        <f t="shared" si="46"/>
        <v>80325.940184182778</v>
      </c>
      <c r="FC44" s="830" t="str">
        <f t="shared" si="69"/>
        <v>Y</v>
      </c>
      <c r="FE44" s="830" t="str">
        <f>IFERROR(VLOOKUP($B44,'Historical Conc Grant Elig'!$B$3:$J$707,'HH &amp; SI'!FE$2,0),"N")</f>
        <v>Y</v>
      </c>
      <c r="FF44" s="830" t="str">
        <f>IFERROR(VLOOKUP($B44,'Historical Conc Grant Elig'!$B$3:$J$707,'HH &amp; SI'!FF$2,0),"N")</f>
        <v>Y</v>
      </c>
      <c r="FG44" s="830" t="str">
        <f>IFERROR(VLOOKUP($B44,'Historical Conc Grant Elig'!$B$3:$J$707,'HH &amp; SI'!FG$2,0),"N")</f>
        <v>Y</v>
      </c>
      <c r="FH44" s="830" t="str">
        <f>IFERROR(VLOOKUP($B44,'Historical Conc Grant Elig'!$B$3:$J$707,'HH &amp; SI'!FH$2,0),"N")</f>
        <v>Y</v>
      </c>
      <c r="FI44" s="830" t="str">
        <f>IFERROR(VLOOKUP($B44,'Historical Conc Grant Elig'!$B$3:$J$707,'HH &amp; SI'!FI$2,0),"N")</f>
        <v>Y</v>
      </c>
      <c r="FJ44" s="830" t="str">
        <f>IFERROR(VLOOKUP($B44,'Historical Conc Grant Elig'!$B$3:$J$707,'HH &amp; SI'!FJ$2,0),"N")</f>
        <v>Y</v>
      </c>
      <c r="FK44" s="830" t="str">
        <f>IFERROR(VLOOKUP($B44,'Historical Conc Grant Elig'!$B$3:$J$707,'HH &amp; SI'!FK$2,0),"N")</f>
        <v>Y</v>
      </c>
      <c r="FL44" s="957" t="str">
        <f>IFERROR(VLOOKUP($B44,'Historical Conc Grant Elig'!$B$3:$J$707,'HH &amp; SI'!FL$2,0),"N")</f>
        <v>Y</v>
      </c>
    </row>
    <row r="45" spans="2:168" x14ac:dyDescent="0.25">
      <c r="B45" s="634">
        <v>30208000</v>
      </c>
      <c r="C45" s="635" t="str">
        <f>VLOOKUP($B45,'Afton Update'!$A$5:$CR$582,'Afton Update'!D$589,0)</f>
        <v>Page Unified District</v>
      </c>
      <c r="D45" s="636">
        <f>IFERROR(VLOOKUP($B45,'Afton FY16 Final'!$A$5:$BV$587,'Afton FY16 Final'!AQ$587,0),0)</f>
        <v>412372.89282358199</v>
      </c>
      <c r="E45" s="637">
        <f>IFERROR(VLOOKUP($B45,'Afton FY16 Final'!$A$5:$BV$587,'Afton FY16 Final'!AR$587,0),0)</f>
        <v>95789.11777663359</v>
      </c>
      <c r="F45" s="637">
        <f>IFERROR(VLOOKUP($B45,'Afton FY16 Final'!$A$5:$BV$587,'Afton FY16 Final'!AS$587,0),0)</f>
        <v>203240.20703615897</v>
      </c>
      <c r="G45" s="637">
        <f>IFERROR(VLOOKUP($B45,'Afton FY16 Final'!$A$5:$BV$587,'Afton FY16 Final'!AT$587,0),0)</f>
        <v>155980.67716597265</v>
      </c>
      <c r="H45" s="638">
        <f>IFERROR(VLOOKUP($B45,'Afton FY16 Final'!$A$5:$BV$587,'Afton FY16 Final'!AU$587,0),0)</f>
        <v>867382.89480234717</v>
      </c>
      <c r="I45" s="639" t="str">
        <f>VLOOKUP($B45,'Afton Update'!$A$5:$CR$582,'Afton Update'!BT$589,0)</f>
        <v>Y</v>
      </c>
      <c r="J45" s="640" t="str">
        <f>VLOOKUP($B45,'Afton Update'!$A$5:$CR$582,'Afton Update'!BU$589,0)</f>
        <v>Y</v>
      </c>
      <c r="K45" s="640" t="str">
        <f>VLOOKUP($B45,'Afton Update'!$A$5:$CR$582,'Afton Update'!BV$589,0)</f>
        <v>Y</v>
      </c>
      <c r="L45" s="641" t="str">
        <f>VLOOKUP($B45,'Afton Update'!$A$5:$CR$582,'Afton Update'!BW$589,0)</f>
        <v>Y</v>
      </c>
      <c r="N45" s="642">
        <f>VLOOKUP($B45,'Afton Update'!$A$5:$CR$582,'Afton Update'!CB$589,0)</f>
        <v>0.9</v>
      </c>
      <c r="P45" s="636">
        <f>VLOOKUP($B45,'Afton Update'!$A$5:$CR$582,'Afton Update'!AH$589,0)</f>
        <v>371712.48999453522</v>
      </c>
      <c r="Q45" s="637">
        <f>VLOOKUP($B45,'Afton Update'!$A$5:$CR$582,'Afton Update'!AI$589,0)</f>
        <v>87066.500403912287</v>
      </c>
      <c r="R45" s="637">
        <f>VLOOKUP($B45,'Afton Update'!$A$5:$CR$582,'Afton Update'!AJ$589,0)</f>
        <v>183012.79464272814</v>
      </c>
      <c r="S45" s="637">
        <f>VLOOKUP($B45,'Afton Update'!$A$5:$CR$582,'Afton Update'!AK$589,0)</f>
        <v>140612.1161131644</v>
      </c>
      <c r="T45" s="643">
        <f t="shared" si="47"/>
        <v>782403.90115434001</v>
      </c>
      <c r="V45" s="636">
        <f t="shared" si="70"/>
        <v>371135.6035412238</v>
      </c>
      <c r="W45" s="637">
        <f t="shared" si="71"/>
        <v>86210.205998970239</v>
      </c>
      <c r="X45" s="637">
        <f t="shared" si="72"/>
        <v>182916.18633254309</v>
      </c>
      <c r="Y45" s="637">
        <f t="shared" si="73"/>
        <v>140382.60944937539</v>
      </c>
      <c r="Z45" s="643">
        <f t="shared" si="74"/>
        <v>780644.60532211256</v>
      </c>
      <c r="AB45" s="644">
        <f t="shared" si="11"/>
        <v>371712.48999453522</v>
      </c>
      <c r="AC45" s="645">
        <f t="shared" si="12"/>
        <v>371135.6035412238</v>
      </c>
      <c r="AD45" s="644">
        <f t="shared" si="75"/>
        <v>0</v>
      </c>
      <c r="AE45" s="645">
        <f t="shared" si="76"/>
        <v>371712.48999453522</v>
      </c>
      <c r="AF45" s="646">
        <f t="shared" si="77"/>
        <v>-4607.6556479827486</v>
      </c>
      <c r="AG45" s="647">
        <f t="shared" si="78"/>
        <v>367104.8343465525</v>
      </c>
      <c r="AH45" s="644">
        <f t="shared" si="13"/>
        <v>-4030.7691946713021</v>
      </c>
      <c r="AI45" s="645">
        <f t="shared" si="14"/>
        <v>0</v>
      </c>
      <c r="AJ45" s="646">
        <f t="shared" si="79"/>
        <v>0</v>
      </c>
      <c r="AK45" s="647">
        <f t="shared" si="15"/>
        <v>371135.6035412238</v>
      </c>
      <c r="AL45" s="644">
        <f t="shared" si="80"/>
        <v>0</v>
      </c>
      <c r="AM45" s="645">
        <f t="shared" si="81"/>
        <v>0</v>
      </c>
      <c r="AN45" s="646">
        <f t="shared" si="82"/>
        <v>0</v>
      </c>
      <c r="AO45" s="647">
        <f t="shared" si="16"/>
        <v>371135.6035412238</v>
      </c>
      <c r="AP45" s="644">
        <f t="shared" si="83"/>
        <v>0</v>
      </c>
      <c r="AQ45" s="645">
        <f t="shared" si="84"/>
        <v>0</v>
      </c>
      <c r="AR45" s="646">
        <f t="shared" si="85"/>
        <v>0</v>
      </c>
      <c r="AS45" s="647">
        <f t="shared" si="17"/>
        <v>371135.6035412238</v>
      </c>
      <c r="AT45" s="644">
        <f t="shared" si="86"/>
        <v>0</v>
      </c>
      <c r="AU45" s="645">
        <f t="shared" si="87"/>
        <v>0</v>
      </c>
      <c r="AV45" s="646">
        <f t="shared" si="88"/>
        <v>0</v>
      </c>
      <c r="AW45" s="647">
        <f t="shared" si="18"/>
        <v>371135.6035412238</v>
      </c>
      <c r="AY45" s="644">
        <f t="shared" si="89"/>
        <v>87066.500403912287</v>
      </c>
      <c r="AZ45" s="645">
        <f t="shared" si="48"/>
        <v>86210.205998970239</v>
      </c>
      <c r="BA45" s="644">
        <f t="shared" si="90"/>
        <v>0</v>
      </c>
      <c r="BB45" s="645">
        <f t="shared" si="91"/>
        <v>87066.500403912287</v>
      </c>
      <c r="BC45" s="646">
        <f t="shared" si="92"/>
        <v>-626.12057823342661</v>
      </c>
      <c r="BD45" s="647">
        <f t="shared" si="93"/>
        <v>86440.379825678858</v>
      </c>
      <c r="BE45" s="644">
        <f t="shared" si="19"/>
        <v>0</v>
      </c>
      <c r="BF45" s="645">
        <f t="shared" si="20"/>
        <v>86440.379825678858</v>
      </c>
      <c r="BG45" s="646">
        <f t="shared" si="94"/>
        <v>-2058.9394036202129</v>
      </c>
      <c r="BH45" s="647">
        <f t="shared" si="21"/>
        <v>84381.440422058644</v>
      </c>
      <c r="BI45" s="644">
        <f t="shared" si="95"/>
        <v>-1828.7655769115954</v>
      </c>
      <c r="BJ45" s="645">
        <f t="shared" si="96"/>
        <v>0</v>
      </c>
      <c r="BK45" s="646">
        <f t="shared" si="97"/>
        <v>0</v>
      </c>
      <c r="BL45" s="647">
        <f t="shared" si="22"/>
        <v>86210.205998970239</v>
      </c>
      <c r="BM45" s="644">
        <f t="shared" si="98"/>
        <v>0</v>
      </c>
      <c r="BN45" s="645">
        <f t="shared" si="99"/>
        <v>0</v>
      </c>
      <c r="BO45" s="646">
        <f t="shared" si="100"/>
        <v>0</v>
      </c>
      <c r="BP45" s="647">
        <f t="shared" si="23"/>
        <v>86210.205998970239</v>
      </c>
      <c r="BQ45" s="644">
        <f t="shared" si="101"/>
        <v>0</v>
      </c>
      <c r="BR45" s="645">
        <f t="shared" si="102"/>
        <v>0</v>
      </c>
      <c r="BS45" s="646">
        <f t="shared" si="103"/>
        <v>0</v>
      </c>
      <c r="BT45" s="647">
        <f t="shared" si="24"/>
        <v>86210.205998970239</v>
      </c>
      <c r="BU45" s="662">
        <f>VLOOKUP(B45,'Afton Update'!$A$5:$AR$582,'Afton Update'!$AO$589,0)-BT45</f>
        <v>0</v>
      </c>
      <c r="BV45" s="644">
        <f t="shared" si="104"/>
        <v>183012.79464272814</v>
      </c>
      <c r="BW45" s="645">
        <f t="shared" si="25"/>
        <v>182916.18633254309</v>
      </c>
      <c r="BX45" s="644">
        <f t="shared" si="105"/>
        <v>0</v>
      </c>
      <c r="BY45" s="645">
        <f t="shared" si="106"/>
        <v>183012.79464272814</v>
      </c>
      <c r="BZ45" s="646">
        <f t="shared" si="107"/>
        <v>-1606.3227562821785</v>
      </c>
      <c r="CA45" s="647">
        <f t="shared" si="108"/>
        <v>181406.47188644597</v>
      </c>
      <c r="CB45" s="644">
        <f t="shared" si="26"/>
        <v>-1509.7144460971176</v>
      </c>
      <c r="CC45" s="645">
        <f t="shared" si="27"/>
        <v>0</v>
      </c>
      <c r="CD45" s="646">
        <f t="shared" si="109"/>
        <v>0</v>
      </c>
      <c r="CE45" s="647">
        <f t="shared" si="28"/>
        <v>182916.18633254309</v>
      </c>
      <c r="CF45" s="644">
        <f t="shared" si="110"/>
        <v>0</v>
      </c>
      <c r="CG45" s="645">
        <f t="shared" si="111"/>
        <v>0</v>
      </c>
      <c r="CH45" s="646">
        <f t="shared" si="112"/>
        <v>0</v>
      </c>
      <c r="CI45" s="647">
        <f t="shared" si="29"/>
        <v>182916.18633254309</v>
      </c>
      <c r="CJ45" s="644">
        <f t="shared" si="113"/>
        <v>0</v>
      </c>
      <c r="CK45" s="645">
        <f t="shared" si="114"/>
        <v>0</v>
      </c>
      <c r="CL45" s="646">
        <f t="shared" si="115"/>
        <v>0</v>
      </c>
      <c r="CM45" s="647">
        <f t="shared" si="30"/>
        <v>182916.18633254309</v>
      </c>
      <c r="CN45" s="644">
        <f t="shared" si="116"/>
        <v>0</v>
      </c>
      <c r="CO45" s="645">
        <f t="shared" si="117"/>
        <v>0</v>
      </c>
      <c r="CP45" s="646">
        <f t="shared" si="118"/>
        <v>0</v>
      </c>
      <c r="CQ45" s="647">
        <f t="shared" si="31"/>
        <v>182916.18633254309</v>
      </c>
      <c r="CS45" s="644">
        <f t="shared" si="119"/>
        <v>140612.1161131644</v>
      </c>
      <c r="CT45" s="645">
        <f t="shared" si="32"/>
        <v>140382.60944937539</v>
      </c>
      <c r="CU45" s="644">
        <f t="shared" si="120"/>
        <v>0</v>
      </c>
      <c r="CV45" s="645">
        <f t="shared" si="121"/>
        <v>140612.1161131644</v>
      </c>
      <c r="CW45" s="646">
        <f t="shared" si="122"/>
        <v>-1439.9475319956684</v>
      </c>
      <c r="CX45" s="647">
        <f t="shared" si="123"/>
        <v>139172.16858116875</v>
      </c>
      <c r="CY45" s="644">
        <f t="shared" si="33"/>
        <v>-1210.4408682066423</v>
      </c>
      <c r="CZ45" s="645">
        <f t="shared" si="34"/>
        <v>0</v>
      </c>
      <c r="DA45" s="646">
        <f t="shared" si="124"/>
        <v>0</v>
      </c>
      <c r="DB45" s="647">
        <f t="shared" si="35"/>
        <v>140382.60944937539</v>
      </c>
      <c r="DC45" s="644">
        <f t="shared" si="125"/>
        <v>0</v>
      </c>
      <c r="DD45" s="645">
        <f t="shared" si="126"/>
        <v>0</v>
      </c>
      <c r="DE45" s="646">
        <f t="shared" si="127"/>
        <v>0</v>
      </c>
      <c r="DF45" s="647">
        <f t="shared" si="36"/>
        <v>140382.60944937539</v>
      </c>
      <c r="DG45" s="644">
        <f t="shared" si="128"/>
        <v>0</v>
      </c>
      <c r="DH45" s="645">
        <f t="shared" si="129"/>
        <v>0</v>
      </c>
      <c r="DI45" s="646">
        <f t="shared" si="130"/>
        <v>0</v>
      </c>
      <c r="DJ45" s="647">
        <f t="shared" si="37"/>
        <v>140382.60944937539</v>
      </c>
      <c r="DK45" s="644">
        <f t="shared" si="131"/>
        <v>0</v>
      </c>
      <c r="DL45" s="645">
        <f t="shared" si="132"/>
        <v>0</v>
      </c>
      <c r="DM45" s="646">
        <f t="shared" si="133"/>
        <v>0</v>
      </c>
      <c r="DN45" s="647">
        <f t="shared" si="38"/>
        <v>140382.60944937539</v>
      </c>
      <c r="DR45" s="827">
        <f t="shared" si="49"/>
        <v>780644.60532211256</v>
      </c>
      <c r="DV45" s="828">
        <f>IFERROR(VLOOKUP($B45,'Afton FY16 Final'!$A$5:$BV$587,'Afton FY16 Final'!$BV$587,0),0)</f>
        <v>850304.12574733526</v>
      </c>
      <c r="DX45" s="636">
        <f t="shared" si="39"/>
        <v>0</v>
      </c>
      <c r="DY45" s="637">
        <f t="shared" si="40"/>
        <v>0</v>
      </c>
      <c r="DZ45" s="637">
        <f t="shared" si="41"/>
        <v>0</v>
      </c>
      <c r="EA45" s="643">
        <f t="shared" si="42"/>
        <v>0</v>
      </c>
      <c r="EB45" s="637">
        <f t="shared" si="50"/>
        <v>0</v>
      </c>
      <c r="EC45" s="637">
        <f t="shared" si="51"/>
        <v>0</v>
      </c>
      <c r="ED45" s="637">
        <f t="shared" si="52"/>
        <v>0</v>
      </c>
      <c r="EE45" s="643">
        <f t="shared" si="53"/>
        <v>0</v>
      </c>
      <c r="EF45" s="637">
        <f t="shared" si="54"/>
        <v>0</v>
      </c>
      <c r="EG45" s="637">
        <f t="shared" si="55"/>
        <v>0</v>
      </c>
      <c r="EH45" s="637">
        <f t="shared" si="56"/>
        <v>0</v>
      </c>
      <c r="EI45" s="643">
        <f t="shared" si="57"/>
        <v>0</v>
      </c>
      <c r="EJ45" s="637">
        <f t="shared" si="58"/>
        <v>0</v>
      </c>
      <c r="EK45" s="637">
        <f t="shared" si="59"/>
        <v>0</v>
      </c>
      <c r="EL45" s="637">
        <f t="shared" si="60"/>
        <v>0</v>
      </c>
      <c r="EM45" s="643">
        <f t="shared" si="61"/>
        <v>0</v>
      </c>
      <c r="EN45" s="637">
        <f t="shared" si="62"/>
        <v>0</v>
      </c>
      <c r="EO45" s="637">
        <f t="shared" si="63"/>
        <v>0</v>
      </c>
      <c r="EP45" s="637">
        <f t="shared" si="64"/>
        <v>0</v>
      </c>
      <c r="EQ45" s="643">
        <f t="shared" si="65"/>
        <v>0</v>
      </c>
      <c r="ER45" s="637">
        <f t="shared" si="66"/>
        <v>0</v>
      </c>
      <c r="ES45" s="637">
        <f t="shared" si="67"/>
        <v>0</v>
      </c>
      <c r="ET45" s="637">
        <f t="shared" si="68"/>
        <v>0</v>
      </c>
      <c r="EU45" s="643">
        <f t="shared" si="43"/>
        <v>0</v>
      </c>
      <c r="EV45" s="643">
        <f t="shared" si="44"/>
        <v>0</v>
      </c>
      <c r="EX45" s="829">
        <f t="shared" si="45"/>
        <v>0</v>
      </c>
      <c r="EY45" s="638">
        <f t="shared" si="46"/>
        <v>780644.60532211256</v>
      </c>
      <c r="FC45" s="830" t="str">
        <f t="shared" si="69"/>
        <v>Y</v>
      </c>
      <c r="FE45" s="830" t="str">
        <f>IFERROR(VLOOKUP($B45,'Historical Conc Grant Elig'!$B$3:$J$707,'HH &amp; SI'!FE$2,0),"N")</f>
        <v>Y</v>
      </c>
      <c r="FF45" s="830" t="str">
        <f>IFERROR(VLOOKUP($B45,'Historical Conc Grant Elig'!$B$3:$J$707,'HH &amp; SI'!FF$2,0),"N")</f>
        <v>Y</v>
      </c>
      <c r="FG45" s="830" t="str">
        <f>IFERROR(VLOOKUP($B45,'Historical Conc Grant Elig'!$B$3:$J$707,'HH &amp; SI'!FG$2,0),"N")</f>
        <v>Y</v>
      </c>
      <c r="FH45" s="830" t="str">
        <f>IFERROR(VLOOKUP($B45,'Historical Conc Grant Elig'!$B$3:$J$707,'HH &amp; SI'!FH$2,0),"N")</f>
        <v>Y</v>
      </c>
      <c r="FI45" s="830" t="str">
        <f>IFERROR(VLOOKUP($B45,'Historical Conc Grant Elig'!$B$3:$J$707,'HH &amp; SI'!FI$2,0),"N")</f>
        <v>Y</v>
      </c>
      <c r="FJ45" s="830" t="str">
        <f>IFERROR(VLOOKUP($B45,'Historical Conc Grant Elig'!$B$3:$J$707,'HH &amp; SI'!FJ$2,0),"N")</f>
        <v>Y</v>
      </c>
      <c r="FK45" s="830" t="str">
        <f>IFERROR(VLOOKUP($B45,'Historical Conc Grant Elig'!$B$3:$J$707,'HH &amp; SI'!FK$2,0),"N")</f>
        <v>Y</v>
      </c>
      <c r="FL45" s="957" t="str">
        <f>IFERROR(VLOOKUP($B45,'Historical Conc Grant Elig'!$B$3:$J$707,'HH &amp; SI'!FL$2,0),"N")</f>
        <v>Y</v>
      </c>
    </row>
    <row r="46" spans="2:168" x14ac:dyDescent="0.25">
      <c r="B46" s="634">
        <v>30215000</v>
      </c>
      <c r="C46" s="635" t="str">
        <f>VLOOKUP($B46,'Afton Update'!$A$5:$CR$582,'Afton Update'!D$589,0)</f>
        <v>Tuba City Unified District</v>
      </c>
      <c r="D46" s="636">
        <f>IFERROR(VLOOKUP($B46,'Afton FY16 Final'!$A$5:$BV$587,'Afton FY16 Final'!AQ$587,0),0)</f>
        <v>812034.30318772502</v>
      </c>
      <c r="E46" s="637">
        <f>IFERROR(VLOOKUP($B46,'Afton FY16 Final'!$A$5:$BV$587,'Afton FY16 Final'!AR$587,0),0)</f>
        <v>179450.27278974361</v>
      </c>
      <c r="F46" s="637">
        <f>IFERROR(VLOOKUP($B46,'Afton FY16 Final'!$A$5:$BV$587,'Afton FY16 Final'!AS$587,0),0)</f>
        <v>321536.50760437065</v>
      </c>
      <c r="G46" s="637">
        <f>IFERROR(VLOOKUP($B46,'Afton FY16 Final'!$A$5:$BV$587,'Afton FY16 Final'!AT$587,0),0)</f>
        <v>316289.19291540992</v>
      </c>
      <c r="H46" s="638">
        <f>IFERROR(VLOOKUP($B46,'Afton FY16 Final'!$A$5:$BV$587,'Afton FY16 Final'!AU$587,0),0)</f>
        <v>1629310.276497249</v>
      </c>
      <c r="I46" s="639" t="str">
        <f>VLOOKUP($B46,'Afton Update'!$A$5:$CR$582,'Afton Update'!BT$589,0)</f>
        <v>Y</v>
      </c>
      <c r="J46" s="640" t="str">
        <f>VLOOKUP($B46,'Afton Update'!$A$5:$CR$582,'Afton Update'!BU$589,0)</f>
        <v>Y</v>
      </c>
      <c r="K46" s="640" t="str">
        <f>VLOOKUP($B46,'Afton Update'!$A$5:$CR$582,'Afton Update'!BV$589,0)</f>
        <v>Y</v>
      </c>
      <c r="L46" s="641" t="str">
        <f>VLOOKUP($B46,'Afton Update'!$A$5:$CR$582,'Afton Update'!BW$589,0)</f>
        <v>Y</v>
      </c>
      <c r="N46" s="642">
        <f>VLOOKUP($B46,'Afton Update'!$A$5:$CR$582,'Afton Update'!CB$589,0)</f>
        <v>0.95</v>
      </c>
      <c r="P46" s="636">
        <f>VLOOKUP($B46,'Afton Update'!$A$5:$CR$582,'Afton Update'!AH$589,0)</f>
        <v>772172.08161433472</v>
      </c>
      <c r="Q46" s="637">
        <f>VLOOKUP($B46,'Afton Update'!$A$5:$CR$582,'Afton Update'!AI$589,0)</f>
        <v>169511.95759153293</v>
      </c>
      <c r="R46" s="637">
        <f>VLOOKUP($B46,'Afton Update'!$A$5:$CR$582,'Afton Update'!AJ$589,0)</f>
        <v>305437.74164304708</v>
      </c>
      <c r="S46" s="637">
        <f>VLOOKUP($B46,'Afton Update'!$A$5:$CR$582,'Afton Update'!AK$589,0)</f>
        <v>300702.47541460284</v>
      </c>
      <c r="T46" s="643">
        <f t="shared" si="47"/>
        <v>1547824.2562635175</v>
      </c>
      <c r="V46" s="636">
        <f t="shared" si="70"/>
        <v>771432.58802833874</v>
      </c>
      <c r="W46" s="637">
        <f t="shared" si="71"/>
        <v>170477.75915025643</v>
      </c>
      <c r="X46" s="637">
        <f t="shared" si="72"/>
        <v>305459.68222415209</v>
      </c>
      <c r="Y46" s="637">
        <f t="shared" si="73"/>
        <v>300474.73326963943</v>
      </c>
      <c r="Z46" s="643">
        <f t="shared" si="74"/>
        <v>1547844.7626723866</v>
      </c>
      <c r="AB46" s="644">
        <f t="shared" si="11"/>
        <v>772172.08161433472</v>
      </c>
      <c r="AC46" s="645">
        <f t="shared" si="12"/>
        <v>771432.58802833874</v>
      </c>
      <c r="AD46" s="644">
        <f t="shared" si="75"/>
        <v>0</v>
      </c>
      <c r="AE46" s="645">
        <f t="shared" si="76"/>
        <v>772172.08161433472</v>
      </c>
      <c r="AF46" s="646">
        <f t="shared" si="77"/>
        <v>-9571.653223482459</v>
      </c>
      <c r="AG46" s="647">
        <f t="shared" si="78"/>
        <v>762600.42839085229</v>
      </c>
      <c r="AH46" s="644">
        <f t="shared" si="13"/>
        <v>-8832.1596374864457</v>
      </c>
      <c r="AI46" s="645">
        <f t="shared" si="14"/>
        <v>0</v>
      </c>
      <c r="AJ46" s="646">
        <f t="shared" si="79"/>
        <v>0</v>
      </c>
      <c r="AK46" s="647">
        <f t="shared" si="15"/>
        <v>771432.58802833874</v>
      </c>
      <c r="AL46" s="644">
        <f t="shared" si="80"/>
        <v>0</v>
      </c>
      <c r="AM46" s="645">
        <f t="shared" si="81"/>
        <v>0</v>
      </c>
      <c r="AN46" s="646">
        <f t="shared" si="82"/>
        <v>0</v>
      </c>
      <c r="AO46" s="647">
        <f t="shared" si="16"/>
        <v>771432.58802833874</v>
      </c>
      <c r="AP46" s="644">
        <f t="shared" si="83"/>
        <v>0</v>
      </c>
      <c r="AQ46" s="645">
        <f t="shared" si="84"/>
        <v>0</v>
      </c>
      <c r="AR46" s="646">
        <f t="shared" si="85"/>
        <v>0</v>
      </c>
      <c r="AS46" s="647">
        <f t="shared" si="17"/>
        <v>771432.58802833874</v>
      </c>
      <c r="AT46" s="644">
        <f t="shared" si="86"/>
        <v>0</v>
      </c>
      <c r="AU46" s="645">
        <f t="shared" si="87"/>
        <v>0</v>
      </c>
      <c r="AV46" s="646">
        <f t="shared" si="88"/>
        <v>0</v>
      </c>
      <c r="AW46" s="647">
        <f t="shared" si="18"/>
        <v>771432.58802833874</v>
      </c>
      <c r="AY46" s="644">
        <f t="shared" si="89"/>
        <v>169511.95759153293</v>
      </c>
      <c r="AZ46" s="645">
        <f t="shared" si="48"/>
        <v>170477.75915025643</v>
      </c>
      <c r="BA46" s="644">
        <f t="shared" si="90"/>
        <v>965.8015587234986</v>
      </c>
      <c r="BB46" s="645">
        <f t="shared" si="91"/>
        <v>0</v>
      </c>
      <c r="BC46" s="646">
        <f t="shared" si="92"/>
        <v>0</v>
      </c>
      <c r="BD46" s="647">
        <f t="shared" si="93"/>
        <v>170477.75915025643</v>
      </c>
      <c r="BE46" s="644">
        <f t="shared" si="19"/>
        <v>0</v>
      </c>
      <c r="BF46" s="645">
        <f t="shared" si="20"/>
        <v>0</v>
      </c>
      <c r="BG46" s="646">
        <f t="shared" si="94"/>
        <v>0</v>
      </c>
      <c r="BH46" s="647">
        <f t="shared" si="21"/>
        <v>170477.75915025643</v>
      </c>
      <c r="BI46" s="644">
        <f t="shared" si="95"/>
        <v>0</v>
      </c>
      <c r="BJ46" s="645">
        <f t="shared" si="96"/>
        <v>0</v>
      </c>
      <c r="BK46" s="646">
        <f t="shared" si="97"/>
        <v>0</v>
      </c>
      <c r="BL46" s="647">
        <f t="shared" si="22"/>
        <v>170477.75915025643</v>
      </c>
      <c r="BM46" s="644">
        <f t="shared" si="98"/>
        <v>0</v>
      </c>
      <c r="BN46" s="645">
        <f t="shared" si="99"/>
        <v>0</v>
      </c>
      <c r="BO46" s="646">
        <f t="shared" si="100"/>
        <v>0</v>
      </c>
      <c r="BP46" s="647">
        <f t="shared" si="23"/>
        <v>170477.75915025643</v>
      </c>
      <c r="BQ46" s="644">
        <f t="shared" si="101"/>
        <v>0</v>
      </c>
      <c r="BR46" s="645">
        <f t="shared" si="102"/>
        <v>0</v>
      </c>
      <c r="BS46" s="646">
        <f t="shared" si="103"/>
        <v>0</v>
      </c>
      <c r="BT46" s="647">
        <f t="shared" si="24"/>
        <v>170477.75915025643</v>
      </c>
      <c r="BU46" s="662">
        <f>VLOOKUP(B46,'Afton Update'!$A$5:$AR$582,'Afton Update'!$AO$589,0)-BT46</f>
        <v>0</v>
      </c>
      <c r="BV46" s="644">
        <f t="shared" si="104"/>
        <v>305437.74164304708</v>
      </c>
      <c r="BW46" s="645">
        <f t="shared" si="25"/>
        <v>305459.68222415209</v>
      </c>
      <c r="BX46" s="644">
        <f t="shared" si="105"/>
        <v>21.940581105009187</v>
      </c>
      <c r="BY46" s="645">
        <f t="shared" si="106"/>
        <v>0</v>
      </c>
      <c r="BZ46" s="646">
        <f t="shared" si="107"/>
        <v>0</v>
      </c>
      <c r="CA46" s="647">
        <f t="shared" si="108"/>
        <v>305459.68222415209</v>
      </c>
      <c r="CB46" s="644">
        <f t="shared" si="26"/>
        <v>0</v>
      </c>
      <c r="CC46" s="645">
        <f t="shared" si="27"/>
        <v>0</v>
      </c>
      <c r="CD46" s="646">
        <f t="shared" si="109"/>
        <v>0</v>
      </c>
      <c r="CE46" s="647">
        <f t="shared" si="28"/>
        <v>305459.68222415209</v>
      </c>
      <c r="CF46" s="644">
        <f t="shared" si="110"/>
        <v>0</v>
      </c>
      <c r="CG46" s="645">
        <f t="shared" si="111"/>
        <v>0</v>
      </c>
      <c r="CH46" s="646">
        <f t="shared" si="112"/>
        <v>0</v>
      </c>
      <c r="CI46" s="647">
        <f t="shared" si="29"/>
        <v>305459.68222415209</v>
      </c>
      <c r="CJ46" s="644">
        <f t="shared" si="113"/>
        <v>0</v>
      </c>
      <c r="CK46" s="645">
        <f t="shared" si="114"/>
        <v>0</v>
      </c>
      <c r="CL46" s="646">
        <f t="shared" si="115"/>
        <v>0</v>
      </c>
      <c r="CM46" s="647">
        <f t="shared" si="30"/>
        <v>305459.68222415209</v>
      </c>
      <c r="CN46" s="644">
        <f t="shared" si="116"/>
        <v>0</v>
      </c>
      <c r="CO46" s="645">
        <f t="shared" si="117"/>
        <v>0</v>
      </c>
      <c r="CP46" s="646">
        <f t="shared" si="118"/>
        <v>0</v>
      </c>
      <c r="CQ46" s="647">
        <f t="shared" si="31"/>
        <v>305459.68222415209</v>
      </c>
      <c r="CS46" s="644">
        <f t="shared" si="119"/>
        <v>300702.47541460284</v>
      </c>
      <c r="CT46" s="645">
        <f t="shared" si="32"/>
        <v>300474.73326963943</v>
      </c>
      <c r="CU46" s="644">
        <f t="shared" si="120"/>
        <v>0</v>
      </c>
      <c r="CV46" s="645">
        <f t="shared" si="121"/>
        <v>300702.47541460284</v>
      </c>
      <c r="CW46" s="646">
        <f t="shared" si="122"/>
        <v>-3079.3632818225369</v>
      </c>
      <c r="CX46" s="647">
        <f t="shared" si="123"/>
        <v>297623.11213278031</v>
      </c>
      <c r="CY46" s="644">
        <f t="shared" si="33"/>
        <v>-2851.6211368591175</v>
      </c>
      <c r="CZ46" s="645">
        <f t="shared" si="34"/>
        <v>0</v>
      </c>
      <c r="DA46" s="646">
        <f t="shared" si="124"/>
        <v>0</v>
      </c>
      <c r="DB46" s="647">
        <f t="shared" si="35"/>
        <v>300474.73326963943</v>
      </c>
      <c r="DC46" s="644">
        <f t="shared" si="125"/>
        <v>0</v>
      </c>
      <c r="DD46" s="645">
        <f t="shared" si="126"/>
        <v>0</v>
      </c>
      <c r="DE46" s="646">
        <f t="shared" si="127"/>
        <v>0</v>
      </c>
      <c r="DF46" s="647">
        <f t="shared" si="36"/>
        <v>300474.73326963943</v>
      </c>
      <c r="DG46" s="644">
        <f t="shared" si="128"/>
        <v>0</v>
      </c>
      <c r="DH46" s="645">
        <f t="shared" si="129"/>
        <v>0</v>
      </c>
      <c r="DI46" s="646">
        <f t="shared" si="130"/>
        <v>0</v>
      </c>
      <c r="DJ46" s="647">
        <f t="shared" si="37"/>
        <v>300474.73326963943</v>
      </c>
      <c r="DK46" s="644">
        <f t="shared" si="131"/>
        <v>0</v>
      </c>
      <c r="DL46" s="645">
        <f t="shared" si="132"/>
        <v>0</v>
      </c>
      <c r="DM46" s="646">
        <f t="shared" si="133"/>
        <v>0</v>
      </c>
      <c r="DN46" s="647">
        <f t="shared" si="38"/>
        <v>300474.73326963943</v>
      </c>
      <c r="DR46" s="827">
        <f t="shared" si="49"/>
        <v>1547844.7626723866</v>
      </c>
      <c r="DV46" s="828">
        <f>IFERROR(VLOOKUP($B46,'Afton FY16 Final'!$A$5:$BV$587,'Afton FY16 Final'!$BV$587,0),0)</f>
        <v>1597229.1574228462</v>
      </c>
      <c r="DX46" s="636">
        <f t="shared" si="39"/>
        <v>0</v>
      </c>
      <c r="DY46" s="637">
        <f t="shared" si="40"/>
        <v>0</v>
      </c>
      <c r="DZ46" s="637">
        <f t="shared" si="41"/>
        <v>0</v>
      </c>
      <c r="EA46" s="643">
        <f t="shared" si="42"/>
        <v>0</v>
      </c>
      <c r="EB46" s="637">
        <f t="shared" si="50"/>
        <v>0</v>
      </c>
      <c r="EC46" s="637">
        <f t="shared" si="51"/>
        <v>0</v>
      </c>
      <c r="ED46" s="637">
        <f t="shared" si="52"/>
        <v>0</v>
      </c>
      <c r="EE46" s="643">
        <f t="shared" si="53"/>
        <v>0</v>
      </c>
      <c r="EF46" s="637">
        <f t="shared" si="54"/>
        <v>0</v>
      </c>
      <c r="EG46" s="637">
        <f t="shared" si="55"/>
        <v>0</v>
      </c>
      <c r="EH46" s="637">
        <f t="shared" si="56"/>
        <v>0</v>
      </c>
      <c r="EI46" s="643">
        <f t="shared" si="57"/>
        <v>0</v>
      </c>
      <c r="EJ46" s="637">
        <f t="shared" si="58"/>
        <v>0</v>
      </c>
      <c r="EK46" s="637">
        <f t="shared" si="59"/>
        <v>0</v>
      </c>
      <c r="EL46" s="637">
        <f t="shared" si="60"/>
        <v>0</v>
      </c>
      <c r="EM46" s="643">
        <f t="shared" si="61"/>
        <v>0</v>
      </c>
      <c r="EN46" s="637">
        <f t="shared" si="62"/>
        <v>0</v>
      </c>
      <c r="EO46" s="637">
        <f t="shared" si="63"/>
        <v>0</v>
      </c>
      <c r="EP46" s="637">
        <f t="shared" si="64"/>
        <v>0</v>
      </c>
      <c r="EQ46" s="643">
        <f t="shared" si="65"/>
        <v>0</v>
      </c>
      <c r="ER46" s="637">
        <f t="shared" si="66"/>
        <v>0</v>
      </c>
      <c r="ES46" s="637">
        <f t="shared" si="67"/>
        <v>0</v>
      </c>
      <c r="ET46" s="637">
        <f t="shared" si="68"/>
        <v>0</v>
      </c>
      <c r="EU46" s="643">
        <f t="shared" si="43"/>
        <v>0</v>
      </c>
      <c r="EV46" s="643">
        <f t="shared" si="44"/>
        <v>0</v>
      </c>
      <c r="EX46" s="829">
        <f t="shared" si="45"/>
        <v>0</v>
      </c>
      <c r="EY46" s="638">
        <f t="shared" si="46"/>
        <v>1547844.7626723866</v>
      </c>
      <c r="FC46" s="830" t="str">
        <f t="shared" si="69"/>
        <v>Y</v>
      </c>
      <c r="FE46" s="830" t="str">
        <f>IFERROR(VLOOKUP($B46,'Historical Conc Grant Elig'!$B$3:$J$707,'HH &amp; SI'!FE$2,0),"N")</f>
        <v>Y</v>
      </c>
      <c r="FF46" s="830" t="str">
        <f>IFERROR(VLOOKUP($B46,'Historical Conc Grant Elig'!$B$3:$J$707,'HH &amp; SI'!FF$2,0),"N")</f>
        <v>Y</v>
      </c>
      <c r="FG46" s="830" t="str">
        <f>IFERROR(VLOOKUP($B46,'Historical Conc Grant Elig'!$B$3:$J$707,'HH &amp; SI'!FG$2,0),"N")</f>
        <v>Y</v>
      </c>
      <c r="FH46" s="830" t="str">
        <f>IFERROR(VLOOKUP($B46,'Historical Conc Grant Elig'!$B$3:$J$707,'HH &amp; SI'!FH$2,0),"N")</f>
        <v>Y</v>
      </c>
      <c r="FI46" s="830" t="str">
        <f>IFERROR(VLOOKUP($B46,'Historical Conc Grant Elig'!$B$3:$J$707,'HH &amp; SI'!FI$2,0),"N")</f>
        <v>Y</v>
      </c>
      <c r="FJ46" s="830" t="str">
        <f>IFERROR(VLOOKUP($B46,'Historical Conc Grant Elig'!$B$3:$J$707,'HH &amp; SI'!FJ$2,0),"N")</f>
        <v>Y</v>
      </c>
      <c r="FK46" s="830" t="str">
        <f>IFERROR(VLOOKUP($B46,'Historical Conc Grant Elig'!$B$3:$J$707,'HH &amp; SI'!FK$2,0),"N")</f>
        <v>Y</v>
      </c>
      <c r="FL46" s="957" t="str">
        <f>IFERROR(VLOOKUP($B46,'Historical Conc Grant Elig'!$B$3:$J$707,'HH &amp; SI'!FL$2,0),"N")</f>
        <v>Y</v>
      </c>
    </row>
    <row r="47" spans="2:168" x14ac:dyDescent="0.25">
      <c r="B47" s="634">
        <v>30305000</v>
      </c>
      <c r="C47" s="635" t="str">
        <f>VLOOKUP($B47,'Afton Update'!$A$5:$CR$582,'Afton Update'!D$589,0)</f>
        <v>Chevelon Butte School District</v>
      </c>
      <c r="D47" s="636">
        <f>IFERROR(VLOOKUP($B47,'Afton FY16 Final'!$A$5:$BV$587,'Afton FY16 Final'!AQ$587,0),0)</f>
        <v>5380.4478094409578</v>
      </c>
      <c r="E47" s="637">
        <f>IFERROR(VLOOKUP($B47,'Afton FY16 Final'!$A$5:$BV$587,'Afton FY16 Final'!AR$587,0),0)</f>
        <v>1448.3667466610677</v>
      </c>
      <c r="F47" s="637">
        <f>IFERROR(VLOOKUP($B47,'Afton FY16 Final'!$A$5:$BV$587,'Afton FY16 Final'!AS$587,0),0)</f>
        <v>3458.8648084425781</v>
      </c>
      <c r="G47" s="637">
        <f>IFERROR(VLOOKUP($B47,'Afton FY16 Final'!$A$5:$BV$587,'Afton FY16 Final'!AT$587,0),0)</f>
        <v>2918.6083334791601</v>
      </c>
      <c r="H47" s="638">
        <f>IFERROR(VLOOKUP($B47,'Afton FY16 Final'!$A$5:$BV$587,'Afton FY16 Final'!AU$587,0),0)</f>
        <v>13206.287698023763</v>
      </c>
      <c r="I47" s="639" t="str">
        <f>VLOOKUP($B47,'Afton Update'!$A$5:$CR$582,'Afton Update'!BT$589,0)</f>
        <v>N</v>
      </c>
      <c r="J47" s="640" t="str">
        <f>VLOOKUP($B47,'Afton Update'!$A$5:$CR$582,'Afton Update'!BU$589,0)</f>
        <v>N</v>
      </c>
      <c r="K47" s="640" t="str">
        <f>VLOOKUP($B47,'Afton Update'!$A$5:$CR$582,'Afton Update'!BV$589,0)</f>
        <v>N</v>
      </c>
      <c r="L47" s="641" t="str">
        <f>VLOOKUP($B47,'Afton Update'!$A$5:$CR$582,'Afton Update'!BW$589,0)</f>
        <v>N</v>
      </c>
      <c r="N47" s="642">
        <f>VLOOKUP($B47,'Afton Update'!$A$5:$CR$582,'Afton Update'!CB$589,0)</f>
        <v>0.95</v>
      </c>
      <c r="P47" s="636" t="str">
        <f>VLOOKUP($B47,'Afton Update'!$A$5:$CR$582,'Afton Update'!AH$589,0)</f>
        <v/>
      </c>
      <c r="Q47" s="637" t="str">
        <f>VLOOKUP($B47,'Afton Update'!$A$5:$CR$582,'Afton Update'!AI$589,0)</f>
        <v/>
      </c>
      <c r="R47" s="637" t="str">
        <f>VLOOKUP($B47,'Afton Update'!$A$5:$CR$582,'Afton Update'!AJ$589,0)</f>
        <v/>
      </c>
      <c r="S47" s="637" t="str">
        <f>VLOOKUP($B47,'Afton Update'!$A$5:$CR$582,'Afton Update'!AK$589,0)</f>
        <v/>
      </c>
      <c r="T47" s="643">
        <f t="shared" si="47"/>
        <v>0</v>
      </c>
      <c r="V47" s="636">
        <f t="shared" si="70"/>
        <v>0</v>
      </c>
      <c r="W47" s="637">
        <f t="shared" si="71"/>
        <v>1375.9484093280143</v>
      </c>
      <c r="X47" s="637">
        <f t="shared" si="72"/>
        <v>0</v>
      </c>
      <c r="Y47" s="637">
        <f t="shared" si="73"/>
        <v>0</v>
      </c>
      <c r="Z47" s="643">
        <f t="shared" si="74"/>
        <v>1375.9484093280143</v>
      </c>
      <c r="AB47" s="644">
        <f t="shared" si="11"/>
        <v>0</v>
      </c>
      <c r="AC47" s="645">
        <f t="shared" si="12"/>
        <v>0</v>
      </c>
      <c r="AD47" s="644">
        <f t="shared" si="75"/>
        <v>0</v>
      </c>
      <c r="AE47" s="645">
        <f t="shared" si="76"/>
        <v>0</v>
      </c>
      <c r="AF47" s="646">
        <f t="shared" si="77"/>
        <v>0</v>
      </c>
      <c r="AG47" s="647">
        <f t="shared" si="78"/>
        <v>0</v>
      </c>
      <c r="AH47" s="644">
        <f t="shared" si="13"/>
        <v>0</v>
      </c>
      <c r="AI47" s="645">
        <f t="shared" si="14"/>
        <v>0</v>
      </c>
      <c r="AJ47" s="646">
        <f t="shared" si="79"/>
        <v>0</v>
      </c>
      <c r="AK47" s="647">
        <f t="shared" si="15"/>
        <v>0</v>
      </c>
      <c r="AL47" s="644">
        <f t="shared" si="80"/>
        <v>0</v>
      </c>
      <c r="AM47" s="645">
        <f t="shared" si="81"/>
        <v>0</v>
      </c>
      <c r="AN47" s="646">
        <f t="shared" si="82"/>
        <v>0</v>
      </c>
      <c r="AO47" s="647">
        <f t="shared" si="16"/>
        <v>0</v>
      </c>
      <c r="AP47" s="644">
        <f t="shared" si="83"/>
        <v>0</v>
      </c>
      <c r="AQ47" s="645">
        <f t="shared" si="84"/>
        <v>0</v>
      </c>
      <c r="AR47" s="646">
        <f t="shared" si="85"/>
        <v>0</v>
      </c>
      <c r="AS47" s="647">
        <f t="shared" si="17"/>
        <v>0</v>
      </c>
      <c r="AT47" s="644">
        <f t="shared" si="86"/>
        <v>0</v>
      </c>
      <c r="AU47" s="645">
        <f t="shared" si="87"/>
        <v>0</v>
      </c>
      <c r="AV47" s="646">
        <f t="shared" si="88"/>
        <v>0</v>
      </c>
      <c r="AW47" s="647">
        <f t="shared" si="18"/>
        <v>0</v>
      </c>
      <c r="AY47" s="644">
        <f t="shared" si="89"/>
        <v>0</v>
      </c>
      <c r="AZ47" s="645">
        <f t="shared" si="48"/>
        <v>1375.9484093280143</v>
      </c>
      <c r="BA47" s="644">
        <f t="shared" si="90"/>
        <v>0</v>
      </c>
      <c r="BB47" s="645">
        <f t="shared" si="91"/>
        <v>0</v>
      </c>
      <c r="BC47" s="646">
        <f t="shared" si="92"/>
        <v>0</v>
      </c>
      <c r="BD47" s="647">
        <f t="shared" si="93"/>
        <v>0</v>
      </c>
      <c r="BE47" s="644">
        <f t="shared" si="19"/>
        <v>-1375.9484093280143</v>
      </c>
      <c r="BF47" s="645">
        <f t="shared" si="20"/>
        <v>0</v>
      </c>
      <c r="BG47" s="646">
        <f t="shared" si="94"/>
        <v>0</v>
      </c>
      <c r="BH47" s="647">
        <f t="shared" si="21"/>
        <v>1375.9484093280143</v>
      </c>
      <c r="BI47" s="644">
        <f t="shared" si="95"/>
        <v>0</v>
      </c>
      <c r="BJ47" s="645">
        <f t="shared" si="96"/>
        <v>0</v>
      </c>
      <c r="BK47" s="646">
        <f t="shared" si="97"/>
        <v>0</v>
      </c>
      <c r="BL47" s="647">
        <f t="shared" si="22"/>
        <v>1375.9484093280143</v>
      </c>
      <c r="BM47" s="644">
        <f t="shared" si="98"/>
        <v>0</v>
      </c>
      <c r="BN47" s="645">
        <f t="shared" si="99"/>
        <v>0</v>
      </c>
      <c r="BO47" s="646">
        <f t="shared" si="100"/>
        <v>0</v>
      </c>
      <c r="BP47" s="647">
        <f t="shared" si="23"/>
        <v>1375.9484093280143</v>
      </c>
      <c r="BQ47" s="644">
        <f t="shared" si="101"/>
        <v>0</v>
      </c>
      <c r="BR47" s="645">
        <f t="shared" si="102"/>
        <v>0</v>
      </c>
      <c r="BS47" s="646">
        <f t="shared" si="103"/>
        <v>0</v>
      </c>
      <c r="BT47" s="647">
        <f t="shared" si="24"/>
        <v>1375.9484093280143</v>
      </c>
      <c r="BU47" s="662">
        <f>VLOOKUP(B47,'Afton Update'!$A$5:$AR$582,'Afton Update'!$AO$589,0)-BT47</f>
        <v>0</v>
      </c>
      <c r="BV47" s="644">
        <f t="shared" si="104"/>
        <v>0</v>
      </c>
      <c r="BW47" s="645">
        <f t="shared" si="25"/>
        <v>0</v>
      </c>
      <c r="BX47" s="644">
        <f t="shared" si="105"/>
        <v>0</v>
      </c>
      <c r="BY47" s="645">
        <f t="shared" si="106"/>
        <v>0</v>
      </c>
      <c r="BZ47" s="646">
        <f t="shared" si="107"/>
        <v>0</v>
      </c>
      <c r="CA47" s="647">
        <f t="shared" si="108"/>
        <v>0</v>
      </c>
      <c r="CB47" s="644">
        <f t="shared" si="26"/>
        <v>0</v>
      </c>
      <c r="CC47" s="645">
        <f t="shared" si="27"/>
        <v>0</v>
      </c>
      <c r="CD47" s="646">
        <f t="shared" si="109"/>
        <v>0</v>
      </c>
      <c r="CE47" s="647">
        <f t="shared" si="28"/>
        <v>0</v>
      </c>
      <c r="CF47" s="644">
        <f t="shared" si="110"/>
        <v>0</v>
      </c>
      <c r="CG47" s="645">
        <f t="shared" si="111"/>
        <v>0</v>
      </c>
      <c r="CH47" s="646">
        <f t="shared" si="112"/>
        <v>0</v>
      </c>
      <c r="CI47" s="647">
        <f t="shared" si="29"/>
        <v>0</v>
      </c>
      <c r="CJ47" s="644">
        <f t="shared" si="113"/>
        <v>0</v>
      </c>
      <c r="CK47" s="645">
        <f t="shared" si="114"/>
        <v>0</v>
      </c>
      <c r="CL47" s="646">
        <f t="shared" si="115"/>
        <v>0</v>
      </c>
      <c r="CM47" s="647">
        <f t="shared" si="30"/>
        <v>0</v>
      </c>
      <c r="CN47" s="644">
        <f t="shared" si="116"/>
        <v>0</v>
      </c>
      <c r="CO47" s="645">
        <f t="shared" si="117"/>
        <v>0</v>
      </c>
      <c r="CP47" s="646">
        <f t="shared" si="118"/>
        <v>0</v>
      </c>
      <c r="CQ47" s="647">
        <f t="shared" si="31"/>
        <v>0</v>
      </c>
      <c r="CS47" s="644">
        <f t="shared" si="119"/>
        <v>0</v>
      </c>
      <c r="CT47" s="645">
        <f t="shared" si="32"/>
        <v>0</v>
      </c>
      <c r="CU47" s="644">
        <f t="shared" si="120"/>
        <v>0</v>
      </c>
      <c r="CV47" s="645">
        <f t="shared" si="121"/>
        <v>0</v>
      </c>
      <c r="CW47" s="646">
        <f t="shared" si="122"/>
        <v>0</v>
      </c>
      <c r="CX47" s="647">
        <f t="shared" si="123"/>
        <v>0</v>
      </c>
      <c r="CY47" s="644">
        <f t="shared" si="33"/>
        <v>0</v>
      </c>
      <c r="CZ47" s="645">
        <f t="shared" si="34"/>
        <v>0</v>
      </c>
      <c r="DA47" s="646">
        <f t="shared" si="124"/>
        <v>0</v>
      </c>
      <c r="DB47" s="647">
        <f t="shared" si="35"/>
        <v>0</v>
      </c>
      <c r="DC47" s="644">
        <f t="shared" si="125"/>
        <v>0</v>
      </c>
      <c r="DD47" s="645">
        <f t="shared" si="126"/>
        <v>0</v>
      </c>
      <c r="DE47" s="646">
        <f t="shared" si="127"/>
        <v>0</v>
      </c>
      <c r="DF47" s="647">
        <f t="shared" si="36"/>
        <v>0</v>
      </c>
      <c r="DG47" s="644">
        <f t="shared" si="128"/>
        <v>0</v>
      </c>
      <c r="DH47" s="645">
        <f t="shared" si="129"/>
        <v>0</v>
      </c>
      <c r="DI47" s="646">
        <f t="shared" si="130"/>
        <v>0</v>
      </c>
      <c r="DJ47" s="647">
        <f t="shared" si="37"/>
        <v>0</v>
      </c>
      <c r="DK47" s="644">
        <f t="shared" si="131"/>
        <v>0</v>
      </c>
      <c r="DL47" s="645">
        <f t="shared" si="132"/>
        <v>0</v>
      </c>
      <c r="DM47" s="646">
        <f t="shared" si="133"/>
        <v>0</v>
      </c>
      <c r="DN47" s="647">
        <f t="shared" si="38"/>
        <v>0</v>
      </c>
      <c r="DR47" s="827">
        <f t="shared" si="49"/>
        <v>1375.9484093280143</v>
      </c>
      <c r="DV47" s="828">
        <f>IFERROR(VLOOKUP($B47,'Afton FY16 Final'!$A$5:$BV$587,'Afton FY16 Final'!$BV$587,0),0)</f>
        <v>12946.255895436752</v>
      </c>
      <c r="DX47" s="636">
        <f t="shared" si="39"/>
        <v>0</v>
      </c>
      <c r="DY47" s="637">
        <f t="shared" si="40"/>
        <v>0</v>
      </c>
      <c r="DZ47" s="637">
        <f t="shared" si="41"/>
        <v>0</v>
      </c>
      <c r="EA47" s="643">
        <f t="shared" si="42"/>
        <v>0</v>
      </c>
      <c r="EB47" s="637">
        <f t="shared" si="50"/>
        <v>0</v>
      </c>
      <c r="EC47" s="637">
        <f t="shared" si="51"/>
        <v>0</v>
      </c>
      <c r="ED47" s="637">
        <f t="shared" si="52"/>
        <v>0</v>
      </c>
      <c r="EE47" s="643">
        <f t="shared" si="53"/>
        <v>0</v>
      </c>
      <c r="EF47" s="637">
        <f t="shared" si="54"/>
        <v>0</v>
      </c>
      <c r="EG47" s="637">
        <f t="shared" si="55"/>
        <v>0</v>
      </c>
      <c r="EH47" s="637">
        <f t="shared" si="56"/>
        <v>0</v>
      </c>
      <c r="EI47" s="643">
        <f t="shared" si="57"/>
        <v>0</v>
      </c>
      <c r="EJ47" s="637">
        <f t="shared" si="58"/>
        <v>0</v>
      </c>
      <c r="EK47" s="637">
        <f t="shared" si="59"/>
        <v>0</v>
      </c>
      <c r="EL47" s="637">
        <f t="shared" si="60"/>
        <v>0</v>
      </c>
      <c r="EM47" s="643">
        <f t="shared" si="61"/>
        <v>0</v>
      </c>
      <c r="EN47" s="637">
        <f t="shared" si="62"/>
        <v>0</v>
      </c>
      <c r="EO47" s="637">
        <f t="shared" si="63"/>
        <v>0</v>
      </c>
      <c r="EP47" s="637">
        <f t="shared" si="64"/>
        <v>0</v>
      </c>
      <c r="EQ47" s="643">
        <f t="shared" si="65"/>
        <v>0</v>
      </c>
      <c r="ER47" s="637">
        <f t="shared" si="66"/>
        <v>0</v>
      </c>
      <c r="ES47" s="637">
        <f t="shared" si="67"/>
        <v>0</v>
      </c>
      <c r="ET47" s="637">
        <f t="shared" si="68"/>
        <v>0</v>
      </c>
      <c r="EU47" s="643">
        <f t="shared" si="43"/>
        <v>0</v>
      </c>
      <c r="EV47" s="643">
        <f t="shared" si="44"/>
        <v>0</v>
      </c>
      <c r="EX47" s="829">
        <f t="shared" si="45"/>
        <v>0</v>
      </c>
      <c r="EY47" s="638">
        <f t="shared" si="46"/>
        <v>1375.9484093280143</v>
      </c>
      <c r="FC47" s="830" t="str">
        <f t="shared" si="69"/>
        <v>Y</v>
      </c>
      <c r="FE47" s="830" t="str">
        <f>IFERROR(VLOOKUP($B47,'Historical Conc Grant Elig'!$B$3:$J$707,'HH &amp; SI'!FE$2,0),"N")</f>
        <v>N</v>
      </c>
      <c r="FF47" s="830" t="str">
        <f>IFERROR(VLOOKUP($B47,'Historical Conc Grant Elig'!$B$3:$J$707,'HH &amp; SI'!FF$2,0),"N")</f>
        <v>N</v>
      </c>
      <c r="FG47" s="830" t="str">
        <f>IFERROR(VLOOKUP($B47,'Historical Conc Grant Elig'!$B$3:$J$707,'HH &amp; SI'!FG$2,0),"N")</f>
        <v>N</v>
      </c>
      <c r="FH47" s="830" t="str">
        <f>IFERROR(VLOOKUP($B47,'Historical Conc Grant Elig'!$B$3:$J$707,'HH &amp; SI'!FH$2,0),"N")</f>
        <v>Y</v>
      </c>
      <c r="FI47" s="830" t="str">
        <f>IFERROR(VLOOKUP($B47,'Historical Conc Grant Elig'!$B$3:$J$707,'HH &amp; SI'!FI$2,0),"N")</f>
        <v>Y</v>
      </c>
      <c r="FJ47" s="830" t="str">
        <f>IFERROR(VLOOKUP($B47,'Historical Conc Grant Elig'!$B$3:$J$707,'HH &amp; SI'!FJ$2,0),"N")</f>
        <v>Y</v>
      </c>
      <c r="FK47" s="830" t="str">
        <f>IFERROR(VLOOKUP($B47,'Historical Conc Grant Elig'!$B$3:$J$707,'HH &amp; SI'!FK$2,0),"N")</f>
        <v>Y</v>
      </c>
      <c r="FL47" s="957" t="str">
        <f>IFERROR(VLOOKUP($B47,'Historical Conc Grant Elig'!$B$3:$J$707,'HH &amp; SI'!FL$2,0),"N")</f>
        <v>N</v>
      </c>
    </row>
    <row r="48" spans="2:168" x14ac:dyDescent="0.25">
      <c r="B48" s="634">
        <v>30310000</v>
      </c>
      <c r="C48" s="635" t="str">
        <f>VLOOKUP($B48,'Afton Update'!$A$5:$CR$582,'Afton Update'!D$589,0)</f>
        <v>Maine Consolidated School District</v>
      </c>
      <c r="D48" s="636">
        <f>IFERROR(VLOOKUP($B48,'Afton FY16 Final'!$A$5:$BV$587,'Afton FY16 Final'!AQ$587,0),0)</f>
        <v>12745.070036139003</v>
      </c>
      <c r="E48" s="637">
        <f>IFERROR(VLOOKUP($B48,'Afton FY16 Final'!$A$5:$BV$587,'Afton FY16 Final'!AR$587,0),0)</f>
        <v>3189.2420027764269</v>
      </c>
      <c r="F48" s="637">
        <f>IFERROR(VLOOKUP($B48,'Afton FY16 Final'!$A$5:$BV$587,'Afton FY16 Final'!AS$587,0),0)</f>
        <v>3888.1696108978545</v>
      </c>
      <c r="G48" s="637">
        <f>IFERROR(VLOOKUP($B48,'Afton FY16 Final'!$A$5:$BV$587,'Afton FY16 Final'!AT$587,0),0)</f>
        <v>2542.2230764830197</v>
      </c>
      <c r="H48" s="638">
        <f>IFERROR(VLOOKUP($B48,'Afton FY16 Final'!$A$5:$BV$587,'Afton FY16 Final'!AU$587,0),0)</f>
        <v>22364.704726296306</v>
      </c>
      <c r="I48" s="639" t="str">
        <f>VLOOKUP($B48,'Afton Update'!$A$5:$CR$582,'Afton Update'!BT$589,0)</f>
        <v>Y</v>
      </c>
      <c r="J48" s="640" t="str">
        <f>VLOOKUP($B48,'Afton Update'!$A$5:$CR$582,'Afton Update'!BU$589,0)</f>
        <v>Y</v>
      </c>
      <c r="K48" s="640" t="str">
        <f>VLOOKUP($B48,'Afton Update'!$A$5:$CR$582,'Afton Update'!BV$589,0)</f>
        <v>Y</v>
      </c>
      <c r="L48" s="641" t="str">
        <f>VLOOKUP($B48,'Afton Update'!$A$5:$CR$582,'Afton Update'!BW$589,0)</f>
        <v>Y</v>
      </c>
      <c r="N48" s="642">
        <f>VLOOKUP($B48,'Afton Update'!$A$5:$CR$582,'Afton Update'!CB$589,0)</f>
        <v>0.9</v>
      </c>
      <c r="P48" s="636">
        <f>VLOOKUP($B48,'Afton Update'!$A$5:$CR$582,'Afton Update'!AH$589,0)</f>
        <v>11912.130925394149</v>
      </c>
      <c r="Q48" s="637">
        <f>VLOOKUP($B48,'Afton Update'!$A$5:$CR$582,'Afton Update'!AI$589,0)</f>
        <v>3337.3764461651754</v>
      </c>
      <c r="R48" s="637">
        <f>VLOOKUP($B48,'Afton Update'!$A$5:$CR$582,'Afton Update'!AJ$589,0)</f>
        <v>3772.8166771270044</v>
      </c>
      <c r="S48" s="637">
        <f>VLOOKUP($B48,'Afton Update'!$A$5:$CR$582,'Afton Update'!AK$589,0)</f>
        <v>2772.0304910529917</v>
      </c>
      <c r="T48" s="643">
        <f t="shared" si="47"/>
        <v>21794.354539739321</v>
      </c>
      <c r="V48" s="636">
        <f t="shared" si="70"/>
        <v>11749.641727840431</v>
      </c>
      <c r="W48" s="637">
        <f t="shared" si="71"/>
        <v>3227.4554677947012</v>
      </c>
      <c r="X48" s="637">
        <f t="shared" si="72"/>
        <v>3738.5043824891095</v>
      </c>
      <c r="Y48" s="637">
        <f t="shared" si="73"/>
        <v>2741.4877049513634</v>
      </c>
      <c r="Z48" s="643">
        <f t="shared" si="74"/>
        <v>21457.089283075606</v>
      </c>
      <c r="AB48" s="644">
        <f t="shared" si="11"/>
        <v>11912.130925394149</v>
      </c>
      <c r="AC48" s="645">
        <f t="shared" si="12"/>
        <v>11470.563032525102</v>
      </c>
      <c r="AD48" s="644">
        <f t="shared" si="75"/>
        <v>0</v>
      </c>
      <c r="AE48" s="645">
        <f t="shared" si="76"/>
        <v>11912.130925394149</v>
      </c>
      <c r="AF48" s="646">
        <f t="shared" si="77"/>
        <v>-147.65981454836032</v>
      </c>
      <c r="AG48" s="647">
        <f t="shared" si="78"/>
        <v>11764.471110845789</v>
      </c>
      <c r="AH48" s="644">
        <f t="shared" si="13"/>
        <v>0</v>
      </c>
      <c r="AI48" s="645">
        <f t="shared" si="14"/>
        <v>11764.471110845789</v>
      </c>
      <c r="AJ48" s="646">
        <f t="shared" si="79"/>
        <v>-14.819935250990149</v>
      </c>
      <c r="AK48" s="647">
        <f t="shared" si="15"/>
        <v>11749.651175594798</v>
      </c>
      <c r="AL48" s="644">
        <f t="shared" si="80"/>
        <v>0</v>
      </c>
      <c r="AM48" s="645">
        <f t="shared" si="81"/>
        <v>11749.651175594798</v>
      </c>
      <c r="AN48" s="646">
        <f t="shared" si="82"/>
        <v>-9.4477543653429998E-3</v>
      </c>
      <c r="AO48" s="647">
        <f t="shared" si="16"/>
        <v>11749.641727840431</v>
      </c>
      <c r="AP48" s="644">
        <f t="shared" si="83"/>
        <v>0</v>
      </c>
      <c r="AQ48" s="645">
        <f t="shared" si="84"/>
        <v>11749.641727840431</v>
      </c>
      <c r="AR48" s="646">
        <f t="shared" si="85"/>
        <v>0</v>
      </c>
      <c r="AS48" s="647">
        <f t="shared" si="17"/>
        <v>11749.641727840431</v>
      </c>
      <c r="AT48" s="644">
        <f t="shared" si="86"/>
        <v>0</v>
      </c>
      <c r="AU48" s="645">
        <f t="shared" si="87"/>
        <v>11749.641727840431</v>
      </c>
      <c r="AV48" s="646">
        <f t="shared" si="88"/>
        <v>0</v>
      </c>
      <c r="AW48" s="647">
        <f t="shared" si="18"/>
        <v>11749.641727840431</v>
      </c>
      <c r="AY48" s="644">
        <f t="shared" si="89"/>
        <v>3337.3764461651754</v>
      </c>
      <c r="AZ48" s="645">
        <f t="shared" si="48"/>
        <v>2870.3178024987842</v>
      </c>
      <c r="BA48" s="644">
        <f t="shared" si="90"/>
        <v>0</v>
      </c>
      <c r="BB48" s="645">
        <f t="shared" si="91"/>
        <v>3337.3764461651754</v>
      </c>
      <c r="BC48" s="646">
        <f t="shared" si="92"/>
        <v>-24.000046637474163</v>
      </c>
      <c r="BD48" s="647">
        <f t="shared" si="93"/>
        <v>3313.3763995277013</v>
      </c>
      <c r="BE48" s="644">
        <f t="shared" si="19"/>
        <v>0</v>
      </c>
      <c r="BF48" s="645">
        <f t="shared" si="20"/>
        <v>3313.3763995277013</v>
      </c>
      <c r="BG48" s="646">
        <f t="shared" si="94"/>
        <v>-78.921925629787992</v>
      </c>
      <c r="BH48" s="647">
        <f t="shared" si="21"/>
        <v>3234.4544738979134</v>
      </c>
      <c r="BI48" s="644">
        <f t="shared" si="95"/>
        <v>0</v>
      </c>
      <c r="BJ48" s="645">
        <f t="shared" si="96"/>
        <v>3234.4544738979134</v>
      </c>
      <c r="BK48" s="646">
        <f t="shared" si="97"/>
        <v>-6.8513342585363706</v>
      </c>
      <c r="BL48" s="647">
        <f t="shared" si="22"/>
        <v>3227.6031396393769</v>
      </c>
      <c r="BM48" s="644">
        <f t="shared" si="98"/>
        <v>0</v>
      </c>
      <c r="BN48" s="645">
        <f t="shared" si="99"/>
        <v>3227.6031396393769</v>
      </c>
      <c r="BO48" s="646">
        <f t="shared" si="100"/>
        <v>-0.14767184467553168</v>
      </c>
      <c r="BP48" s="647">
        <f t="shared" si="23"/>
        <v>3227.4554677947012</v>
      </c>
      <c r="BQ48" s="644">
        <f t="shared" si="101"/>
        <v>0</v>
      </c>
      <c r="BR48" s="645">
        <f t="shared" si="102"/>
        <v>3227.4554677947012</v>
      </c>
      <c r="BS48" s="646">
        <f t="shared" si="103"/>
        <v>0</v>
      </c>
      <c r="BT48" s="647">
        <f t="shared" si="24"/>
        <v>3227.4554677947012</v>
      </c>
      <c r="BU48" s="662">
        <f>VLOOKUP(B48,'Afton Update'!$A$5:$AR$582,'Afton Update'!$AO$589,0)-BT48</f>
        <v>0</v>
      </c>
      <c r="BV48" s="644">
        <f t="shared" si="104"/>
        <v>3772.8166771270044</v>
      </c>
      <c r="BW48" s="645">
        <f t="shared" si="25"/>
        <v>3499.3526498080691</v>
      </c>
      <c r="BX48" s="644">
        <f t="shared" si="105"/>
        <v>0</v>
      </c>
      <c r="BY48" s="645">
        <f t="shared" si="106"/>
        <v>3772.8166771270044</v>
      </c>
      <c r="BZ48" s="646">
        <f t="shared" si="107"/>
        <v>-33.114413096531678</v>
      </c>
      <c r="CA48" s="647">
        <f t="shared" si="108"/>
        <v>3739.7022640304726</v>
      </c>
      <c r="CB48" s="644">
        <f t="shared" si="26"/>
        <v>0</v>
      </c>
      <c r="CC48" s="645">
        <f t="shared" si="27"/>
        <v>3739.7022640304726</v>
      </c>
      <c r="CD48" s="646">
        <f t="shared" si="109"/>
        <v>-1.1978815413630954</v>
      </c>
      <c r="CE48" s="647">
        <f t="shared" si="28"/>
        <v>3738.5043824891095</v>
      </c>
      <c r="CF48" s="644">
        <f t="shared" si="110"/>
        <v>0</v>
      </c>
      <c r="CG48" s="645">
        <f t="shared" si="111"/>
        <v>3738.5043824891095</v>
      </c>
      <c r="CH48" s="646">
        <f t="shared" si="112"/>
        <v>0</v>
      </c>
      <c r="CI48" s="647">
        <f t="shared" si="29"/>
        <v>3738.5043824891095</v>
      </c>
      <c r="CJ48" s="644">
        <f t="shared" si="113"/>
        <v>0</v>
      </c>
      <c r="CK48" s="645">
        <f t="shared" si="114"/>
        <v>3738.5043824891095</v>
      </c>
      <c r="CL48" s="646">
        <f t="shared" si="115"/>
        <v>0</v>
      </c>
      <c r="CM48" s="647">
        <f t="shared" si="30"/>
        <v>3738.5043824891095</v>
      </c>
      <c r="CN48" s="644">
        <f t="shared" si="116"/>
        <v>0</v>
      </c>
      <c r="CO48" s="645">
        <f t="shared" si="117"/>
        <v>3738.5043824891095</v>
      </c>
      <c r="CP48" s="646">
        <f t="shared" si="118"/>
        <v>0</v>
      </c>
      <c r="CQ48" s="647">
        <f t="shared" si="31"/>
        <v>3738.5043824891095</v>
      </c>
      <c r="CS48" s="644">
        <f t="shared" si="119"/>
        <v>2772.0304910529917</v>
      </c>
      <c r="CT48" s="645">
        <f t="shared" si="32"/>
        <v>2288.0007688347177</v>
      </c>
      <c r="CU48" s="644">
        <f t="shared" si="120"/>
        <v>0</v>
      </c>
      <c r="CV48" s="645">
        <f t="shared" si="121"/>
        <v>2772.0304910529917</v>
      </c>
      <c r="CW48" s="646">
        <f t="shared" si="122"/>
        <v>-28.387158763730437</v>
      </c>
      <c r="CX48" s="647">
        <f t="shared" si="123"/>
        <v>2743.6433322892613</v>
      </c>
      <c r="CY48" s="644">
        <f t="shared" si="33"/>
        <v>0</v>
      </c>
      <c r="CZ48" s="645">
        <f t="shared" si="34"/>
        <v>2743.6433322892613</v>
      </c>
      <c r="DA48" s="646">
        <f t="shared" si="124"/>
        <v>-2.1537699795476715</v>
      </c>
      <c r="DB48" s="647">
        <f t="shared" si="35"/>
        <v>2741.4895623097136</v>
      </c>
      <c r="DC48" s="644">
        <f t="shared" si="125"/>
        <v>0</v>
      </c>
      <c r="DD48" s="645">
        <f t="shared" si="126"/>
        <v>2741.4895623097136</v>
      </c>
      <c r="DE48" s="646">
        <f t="shared" si="127"/>
        <v>-1.8573583502031329E-3</v>
      </c>
      <c r="DF48" s="647">
        <f t="shared" si="36"/>
        <v>2741.4877049513634</v>
      </c>
      <c r="DG48" s="644">
        <f t="shared" si="128"/>
        <v>0</v>
      </c>
      <c r="DH48" s="645">
        <f t="shared" si="129"/>
        <v>2741.4877049513634</v>
      </c>
      <c r="DI48" s="646">
        <f t="shared" si="130"/>
        <v>0</v>
      </c>
      <c r="DJ48" s="647">
        <f t="shared" si="37"/>
        <v>2741.4877049513634</v>
      </c>
      <c r="DK48" s="644">
        <f t="shared" si="131"/>
        <v>0</v>
      </c>
      <c r="DL48" s="645">
        <f t="shared" si="132"/>
        <v>2741.4877049513634</v>
      </c>
      <c r="DM48" s="646">
        <f t="shared" si="133"/>
        <v>0</v>
      </c>
      <c r="DN48" s="647">
        <f t="shared" si="38"/>
        <v>2741.4877049513634</v>
      </c>
      <c r="DR48" s="827">
        <f t="shared" si="49"/>
        <v>21457.089283075606</v>
      </c>
      <c r="DV48" s="828">
        <f>IFERROR(VLOOKUP($B48,'Afton FY16 Final'!$A$5:$BV$587,'Afton FY16 Final'!$BV$587,0),0)</f>
        <v>19856.064280045419</v>
      </c>
      <c r="DX48" s="636">
        <f t="shared" si="39"/>
        <v>21457.089283075606</v>
      </c>
      <c r="DY48" s="637">
        <f t="shared" si="40"/>
        <v>1601.0250030301868</v>
      </c>
      <c r="DZ48" s="637">
        <f t="shared" si="41"/>
        <v>19856.064280045419</v>
      </c>
      <c r="EA48" s="643">
        <f t="shared" si="42"/>
        <v>20315.812611418874</v>
      </c>
      <c r="EB48" s="637">
        <f t="shared" si="50"/>
        <v>0</v>
      </c>
      <c r="EC48" s="637">
        <f t="shared" si="51"/>
        <v>20315.812611418874</v>
      </c>
      <c r="ED48" s="637">
        <f t="shared" si="52"/>
        <v>20255.232071222599</v>
      </c>
      <c r="EE48" s="643">
        <f t="shared" si="53"/>
        <v>20255.232071222599</v>
      </c>
      <c r="EF48" s="637">
        <f t="shared" si="54"/>
        <v>0</v>
      </c>
      <c r="EG48" s="637">
        <f t="shared" si="55"/>
        <v>20255.232071222599</v>
      </c>
      <c r="EH48" s="637">
        <f t="shared" si="56"/>
        <v>20255.211174690292</v>
      </c>
      <c r="EI48" s="643">
        <f t="shared" si="57"/>
        <v>20255.211174690292</v>
      </c>
      <c r="EJ48" s="637">
        <f t="shared" si="58"/>
        <v>0</v>
      </c>
      <c r="EK48" s="637">
        <f t="shared" si="59"/>
        <v>20255.211174690292</v>
      </c>
      <c r="EL48" s="637">
        <f t="shared" si="60"/>
        <v>20255.211174690263</v>
      </c>
      <c r="EM48" s="643">
        <f t="shared" si="61"/>
        <v>20255.211174690263</v>
      </c>
      <c r="EN48" s="637">
        <f t="shared" si="62"/>
        <v>0</v>
      </c>
      <c r="EO48" s="637">
        <f t="shared" si="63"/>
        <v>20255.211174690263</v>
      </c>
      <c r="EP48" s="637">
        <f t="shared" si="64"/>
        <v>20255.211174690296</v>
      </c>
      <c r="EQ48" s="643">
        <f t="shared" si="65"/>
        <v>20255.211174690296</v>
      </c>
      <c r="ER48" s="637">
        <f t="shared" si="66"/>
        <v>0</v>
      </c>
      <c r="ES48" s="637">
        <f t="shared" si="67"/>
        <v>20255.211174690296</v>
      </c>
      <c r="ET48" s="637">
        <f t="shared" si="68"/>
        <v>20255.211174690263</v>
      </c>
      <c r="EU48" s="643">
        <f t="shared" si="43"/>
        <v>20255.211174690263</v>
      </c>
      <c r="EV48" s="643">
        <f t="shared" si="44"/>
        <v>0</v>
      </c>
      <c r="EX48" s="829">
        <f t="shared" si="45"/>
        <v>1201.8781083853428</v>
      </c>
      <c r="EY48" s="638">
        <f t="shared" si="46"/>
        <v>20255.211174690263</v>
      </c>
      <c r="FC48" s="830" t="str">
        <f t="shared" si="69"/>
        <v>Y</v>
      </c>
      <c r="FE48" s="830" t="str">
        <f>IFERROR(VLOOKUP($B48,'Historical Conc Grant Elig'!$B$3:$J$707,'HH &amp; SI'!FE$2,0),"N")</f>
        <v>N</v>
      </c>
      <c r="FF48" s="830" t="str">
        <f>IFERROR(VLOOKUP($B48,'Historical Conc Grant Elig'!$B$3:$J$707,'HH &amp; SI'!FF$2,0),"N")</f>
        <v>N</v>
      </c>
      <c r="FG48" s="830" t="str">
        <f>IFERROR(VLOOKUP($B48,'Historical Conc Grant Elig'!$B$3:$J$707,'HH &amp; SI'!FG$2,0),"N")</f>
        <v>N</v>
      </c>
      <c r="FH48" s="830" t="str">
        <f>IFERROR(VLOOKUP($B48,'Historical Conc Grant Elig'!$B$3:$J$707,'HH &amp; SI'!FH$2,0),"N")</f>
        <v>N</v>
      </c>
      <c r="FI48" s="830" t="str">
        <f>IFERROR(VLOOKUP($B48,'Historical Conc Grant Elig'!$B$3:$J$707,'HH &amp; SI'!FI$2,0),"N")</f>
        <v>Y</v>
      </c>
      <c r="FJ48" s="830" t="str">
        <f>IFERROR(VLOOKUP($B48,'Historical Conc Grant Elig'!$B$3:$J$707,'HH &amp; SI'!FJ$2,0),"N")</f>
        <v>N</v>
      </c>
      <c r="FK48" s="830" t="str">
        <f>IFERROR(VLOOKUP($B48,'Historical Conc Grant Elig'!$B$3:$J$707,'HH &amp; SI'!FK$2,0),"N")</f>
        <v>Y</v>
      </c>
      <c r="FL48" s="957" t="str">
        <f>IFERROR(VLOOKUP($B48,'Historical Conc Grant Elig'!$B$3:$J$707,'HH &amp; SI'!FL$2,0),"N")</f>
        <v>Y</v>
      </c>
    </row>
    <row r="49" spans="2:168" x14ac:dyDescent="0.25">
      <c r="B49" s="634">
        <v>38702000</v>
      </c>
      <c r="C49" s="635" t="str">
        <f>VLOOKUP($B49,'Afton Update'!$A$5:$CR$582,'Afton Update'!D$589,0)</f>
        <v>PEAK School Inc.  The</v>
      </c>
      <c r="D49" s="636">
        <f>IFERROR(VLOOKUP($B49,'Afton FY16 Final'!$A$5:$BV$587,'Afton FY16 Final'!AQ$587,0),0)</f>
        <v>50001.638636056028</v>
      </c>
      <c r="E49" s="637">
        <f>IFERROR(VLOOKUP($B49,'Afton FY16 Final'!$A$5:$BV$587,'Afton FY16 Final'!AR$587,0),0)</f>
        <v>11317.816045509708</v>
      </c>
      <c r="F49" s="637">
        <f>IFERROR(VLOOKUP($B49,'Afton FY16 Final'!$A$5:$BV$587,'Afton FY16 Final'!AS$587,0),0)</f>
        <v>20891.498736449212</v>
      </c>
      <c r="G49" s="637">
        <f>IFERROR(VLOOKUP($B49,'Afton FY16 Final'!$A$5:$BV$587,'Afton FY16 Final'!AT$587,0),0)</f>
        <v>16289.851639693494</v>
      </c>
      <c r="H49" s="638">
        <f>IFERROR(VLOOKUP($B49,'Afton FY16 Final'!$A$5:$BV$587,'Afton FY16 Final'!AU$587,0),0)</f>
        <v>98500.805057708436</v>
      </c>
      <c r="I49" s="639" t="str">
        <f>VLOOKUP($B49,'Afton Update'!$A$5:$CR$582,'Afton Update'!BT$589,0)</f>
        <v>Y</v>
      </c>
      <c r="J49" s="640" t="str">
        <f>VLOOKUP($B49,'Afton Update'!$A$5:$CR$582,'Afton Update'!BU$589,0)</f>
        <v>Y</v>
      </c>
      <c r="K49" s="640" t="str">
        <f>VLOOKUP($B49,'Afton Update'!$A$5:$CR$582,'Afton Update'!BV$589,0)</f>
        <v>Y</v>
      </c>
      <c r="L49" s="641" t="str">
        <f>VLOOKUP($B49,'Afton Update'!$A$5:$CR$582,'Afton Update'!BW$589,0)</f>
        <v>Y</v>
      </c>
      <c r="N49" s="642">
        <f>VLOOKUP($B49,'Afton Update'!$A$5:$CR$582,'Afton Update'!CB$589,0)</f>
        <v>0.95</v>
      </c>
      <c r="P49" s="636">
        <f>VLOOKUP($B49,'Afton Update'!$A$5:$CR$582,'Afton Update'!AH$589,0)</f>
        <v>52052.886905659885</v>
      </c>
      <c r="Q49" s="637">
        <f>VLOOKUP($B49,'Afton Update'!$A$5:$CR$582,'Afton Update'!AI$589,0)</f>
        <v>12536.793649496849</v>
      </c>
      <c r="R49" s="637">
        <f>VLOOKUP($B49,'Afton Update'!$A$5:$CR$582,'Afton Update'!AJ$589,0)</f>
        <v>22217.347251497617</v>
      </c>
      <c r="S49" s="637">
        <f>VLOOKUP($B49,'Afton Update'!$A$5:$CR$582,'Afton Update'!AK$589,0)</f>
        <v>19353.849084725884</v>
      </c>
      <c r="T49" s="643">
        <f t="shared" si="47"/>
        <v>106160.87689138023</v>
      </c>
      <c r="V49" s="636">
        <f t="shared" si="70"/>
        <v>51342.851742629202</v>
      </c>
      <c r="W49" s="637">
        <f t="shared" si="71"/>
        <v>12123.877502394265</v>
      </c>
      <c r="X49" s="637">
        <f t="shared" si="72"/>
        <v>22015.289152680496</v>
      </c>
      <c r="Y49" s="637">
        <f t="shared" si="73"/>
        <v>19140.604506520169</v>
      </c>
      <c r="Z49" s="643">
        <f t="shared" si="74"/>
        <v>104622.62290422415</v>
      </c>
      <c r="AB49" s="644">
        <f t="shared" si="11"/>
        <v>52052.886905659885</v>
      </c>
      <c r="AC49" s="645">
        <f t="shared" si="12"/>
        <v>47501.556704253228</v>
      </c>
      <c r="AD49" s="644">
        <f t="shared" si="75"/>
        <v>0</v>
      </c>
      <c r="AE49" s="645">
        <f t="shared" si="76"/>
        <v>52052.886905659885</v>
      </c>
      <c r="AF49" s="646">
        <f t="shared" si="77"/>
        <v>-645.23464989889646</v>
      </c>
      <c r="AG49" s="647">
        <f t="shared" si="78"/>
        <v>51407.652255760986</v>
      </c>
      <c r="AH49" s="644">
        <f t="shared" si="13"/>
        <v>0</v>
      </c>
      <c r="AI49" s="645">
        <f t="shared" si="14"/>
        <v>51407.652255760986</v>
      </c>
      <c r="AJ49" s="646">
        <f t="shared" si="79"/>
        <v>-64.759228923893616</v>
      </c>
      <c r="AK49" s="647">
        <f t="shared" si="15"/>
        <v>51342.89302683709</v>
      </c>
      <c r="AL49" s="644">
        <f t="shared" si="80"/>
        <v>0</v>
      </c>
      <c r="AM49" s="645">
        <f t="shared" si="81"/>
        <v>51342.89302683709</v>
      </c>
      <c r="AN49" s="646">
        <f t="shared" si="82"/>
        <v>-4.1284207886204169E-2</v>
      </c>
      <c r="AO49" s="647">
        <f t="shared" si="16"/>
        <v>51342.851742629202</v>
      </c>
      <c r="AP49" s="644">
        <f t="shared" si="83"/>
        <v>0</v>
      </c>
      <c r="AQ49" s="645">
        <f t="shared" si="84"/>
        <v>51342.851742629202</v>
      </c>
      <c r="AR49" s="646">
        <f t="shared" si="85"/>
        <v>0</v>
      </c>
      <c r="AS49" s="647">
        <f t="shared" si="17"/>
        <v>51342.851742629202</v>
      </c>
      <c r="AT49" s="644">
        <f t="shared" si="86"/>
        <v>0</v>
      </c>
      <c r="AU49" s="645">
        <f t="shared" si="87"/>
        <v>51342.851742629202</v>
      </c>
      <c r="AV49" s="646">
        <f t="shared" si="88"/>
        <v>0</v>
      </c>
      <c r="AW49" s="647">
        <f t="shared" si="18"/>
        <v>51342.851742629202</v>
      </c>
      <c r="AY49" s="644">
        <f t="shared" si="89"/>
        <v>12536.793649496849</v>
      </c>
      <c r="AZ49" s="645">
        <f t="shared" si="48"/>
        <v>10751.925243234222</v>
      </c>
      <c r="BA49" s="644">
        <f t="shared" si="90"/>
        <v>0</v>
      </c>
      <c r="BB49" s="645">
        <f t="shared" si="91"/>
        <v>12536.793649496849</v>
      </c>
      <c r="BC49" s="646">
        <f t="shared" si="92"/>
        <v>-90.155736736874772</v>
      </c>
      <c r="BD49" s="647">
        <f t="shared" si="93"/>
        <v>12446.637912759974</v>
      </c>
      <c r="BE49" s="644">
        <f t="shared" si="19"/>
        <v>0</v>
      </c>
      <c r="BF49" s="645">
        <f t="shared" si="20"/>
        <v>12446.637912759974</v>
      </c>
      <c r="BG49" s="646">
        <f t="shared" si="94"/>
        <v>-296.46877180382046</v>
      </c>
      <c r="BH49" s="647">
        <f t="shared" si="21"/>
        <v>12150.169140956154</v>
      </c>
      <c r="BI49" s="644">
        <f t="shared" si="95"/>
        <v>0</v>
      </c>
      <c r="BJ49" s="645">
        <f t="shared" si="96"/>
        <v>12150.169140956154</v>
      </c>
      <c r="BK49" s="646">
        <f t="shared" si="97"/>
        <v>-25.736911975182032</v>
      </c>
      <c r="BL49" s="647">
        <f t="shared" si="22"/>
        <v>12124.432228980972</v>
      </c>
      <c r="BM49" s="644">
        <f t="shared" si="98"/>
        <v>0</v>
      </c>
      <c r="BN49" s="645">
        <f t="shared" si="99"/>
        <v>12124.432228980972</v>
      </c>
      <c r="BO49" s="646">
        <f t="shared" si="100"/>
        <v>-0.55472658670704333</v>
      </c>
      <c r="BP49" s="647">
        <f t="shared" si="23"/>
        <v>12123.877502394265</v>
      </c>
      <c r="BQ49" s="644">
        <f t="shared" si="101"/>
        <v>0</v>
      </c>
      <c r="BR49" s="645">
        <f t="shared" si="102"/>
        <v>12123.877502394265</v>
      </c>
      <c r="BS49" s="646">
        <f t="shared" si="103"/>
        <v>0</v>
      </c>
      <c r="BT49" s="647">
        <f t="shared" si="24"/>
        <v>12123.877502394265</v>
      </c>
      <c r="BU49" s="662">
        <f>VLOOKUP(B49,'Afton Update'!$A$5:$AR$582,'Afton Update'!$AO$589,0)-BT49</f>
        <v>0</v>
      </c>
      <c r="BV49" s="644">
        <f t="shared" si="104"/>
        <v>22217.347251497617</v>
      </c>
      <c r="BW49" s="645">
        <f t="shared" si="25"/>
        <v>19846.923799626751</v>
      </c>
      <c r="BX49" s="644">
        <f t="shared" si="105"/>
        <v>0</v>
      </c>
      <c r="BY49" s="645">
        <f t="shared" si="106"/>
        <v>22217.347251497617</v>
      </c>
      <c r="BZ49" s="646">
        <f t="shared" si="107"/>
        <v>-195.0040189483658</v>
      </c>
      <c r="CA49" s="647">
        <f t="shared" si="108"/>
        <v>22022.34323254925</v>
      </c>
      <c r="CB49" s="644">
        <f t="shared" si="26"/>
        <v>0</v>
      </c>
      <c r="CC49" s="645">
        <f t="shared" si="27"/>
        <v>22022.34323254925</v>
      </c>
      <c r="CD49" s="646">
        <f t="shared" si="109"/>
        <v>-7.0540798687545667</v>
      </c>
      <c r="CE49" s="647">
        <f t="shared" si="28"/>
        <v>22015.289152680496</v>
      </c>
      <c r="CF49" s="644">
        <f t="shared" si="110"/>
        <v>0</v>
      </c>
      <c r="CG49" s="645">
        <f t="shared" si="111"/>
        <v>22015.289152680496</v>
      </c>
      <c r="CH49" s="646">
        <f t="shared" si="112"/>
        <v>0</v>
      </c>
      <c r="CI49" s="647">
        <f t="shared" si="29"/>
        <v>22015.289152680496</v>
      </c>
      <c r="CJ49" s="644">
        <f t="shared" si="113"/>
        <v>0</v>
      </c>
      <c r="CK49" s="645">
        <f t="shared" si="114"/>
        <v>22015.289152680496</v>
      </c>
      <c r="CL49" s="646">
        <f t="shared" si="115"/>
        <v>0</v>
      </c>
      <c r="CM49" s="647">
        <f t="shared" si="30"/>
        <v>22015.289152680496</v>
      </c>
      <c r="CN49" s="644">
        <f t="shared" si="116"/>
        <v>0</v>
      </c>
      <c r="CO49" s="645">
        <f t="shared" si="117"/>
        <v>22015.289152680496</v>
      </c>
      <c r="CP49" s="646">
        <f t="shared" si="118"/>
        <v>0</v>
      </c>
      <c r="CQ49" s="647">
        <f t="shared" si="31"/>
        <v>22015.289152680496</v>
      </c>
      <c r="CS49" s="644">
        <f t="shared" si="119"/>
        <v>19353.849084725884</v>
      </c>
      <c r="CT49" s="645">
        <f t="shared" si="32"/>
        <v>15475.359057708818</v>
      </c>
      <c r="CU49" s="644">
        <f t="shared" si="120"/>
        <v>0</v>
      </c>
      <c r="CV49" s="645">
        <f t="shared" si="121"/>
        <v>19353.849084725884</v>
      </c>
      <c r="CW49" s="646">
        <f t="shared" si="122"/>
        <v>-198.19435191302517</v>
      </c>
      <c r="CX49" s="647">
        <f t="shared" si="123"/>
        <v>19155.654732812858</v>
      </c>
      <c r="CY49" s="644">
        <f t="shared" si="33"/>
        <v>0</v>
      </c>
      <c r="CZ49" s="645">
        <f t="shared" si="34"/>
        <v>19155.654732812858</v>
      </c>
      <c r="DA49" s="646">
        <f t="shared" si="124"/>
        <v>-15.037258530134233</v>
      </c>
      <c r="DB49" s="647">
        <f t="shared" si="35"/>
        <v>19140.617474282724</v>
      </c>
      <c r="DC49" s="644">
        <f t="shared" si="125"/>
        <v>0</v>
      </c>
      <c r="DD49" s="645">
        <f t="shared" si="126"/>
        <v>19140.617474282724</v>
      </c>
      <c r="DE49" s="646">
        <f t="shared" si="127"/>
        <v>-1.2967762556043146E-2</v>
      </c>
      <c r="DF49" s="647">
        <f t="shared" si="36"/>
        <v>19140.604506520169</v>
      </c>
      <c r="DG49" s="644">
        <f t="shared" si="128"/>
        <v>0</v>
      </c>
      <c r="DH49" s="645">
        <f t="shared" si="129"/>
        <v>19140.604506520169</v>
      </c>
      <c r="DI49" s="646">
        <f t="shared" si="130"/>
        <v>0</v>
      </c>
      <c r="DJ49" s="647">
        <f t="shared" si="37"/>
        <v>19140.604506520169</v>
      </c>
      <c r="DK49" s="644">
        <f t="shared" si="131"/>
        <v>0</v>
      </c>
      <c r="DL49" s="645">
        <f t="shared" si="132"/>
        <v>19140.604506520169</v>
      </c>
      <c r="DM49" s="646">
        <f t="shared" si="133"/>
        <v>0</v>
      </c>
      <c r="DN49" s="647">
        <f t="shared" si="38"/>
        <v>19140.604506520169</v>
      </c>
      <c r="DR49" s="827">
        <f t="shared" si="49"/>
        <v>104622.62290422415</v>
      </c>
      <c r="DV49" s="828">
        <f>IFERROR(VLOOKUP($B49,'Afton FY16 Final'!$A$5:$BV$587,'Afton FY16 Final'!$BV$587,0),0)</f>
        <v>96561.324222434749</v>
      </c>
      <c r="DX49" s="636">
        <f t="shared" si="39"/>
        <v>104622.62290422415</v>
      </c>
      <c r="DY49" s="637">
        <f t="shared" si="40"/>
        <v>8061.298681789398</v>
      </c>
      <c r="DZ49" s="637">
        <f t="shared" si="41"/>
        <v>96561.324222434749</v>
      </c>
      <c r="EA49" s="643">
        <f t="shared" si="42"/>
        <v>99057.871913403113</v>
      </c>
      <c r="EB49" s="637">
        <f t="shared" si="50"/>
        <v>0</v>
      </c>
      <c r="EC49" s="637">
        <f t="shared" si="51"/>
        <v>99057.871913403113</v>
      </c>
      <c r="ED49" s="637">
        <f t="shared" si="52"/>
        <v>98762.487253877625</v>
      </c>
      <c r="EE49" s="643">
        <f t="shared" si="53"/>
        <v>98762.487253877625</v>
      </c>
      <c r="EF49" s="637">
        <f t="shared" si="54"/>
        <v>0</v>
      </c>
      <c r="EG49" s="637">
        <f t="shared" si="55"/>
        <v>98762.487253877625</v>
      </c>
      <c r="EH49" s="637">
        <f t="shared" si="56"/>
        <v>98762.38536447451</v>
      </c>
      <c r="EI49" s="643">
        <f t="shared" si="57"/>
        <v>98762.38536447451</v>
      </c>
      <c r="EJ49" s="637">
        <f t="shared" si="58"/>
        <v>0</v>
      </c>
      <c r="EK49" s="637">
        <f t="shared" si="59"/>
        <v>98762.38536447451</v>
      </c>
      <c r="EL49" s="637">
        <f t="shared" si="60"/>
        <v>98762.385364474365</v>
      </c>
      <c r="EM49" s="643">
        <f t="shared" si="61"/>
        <v>98762.385364474365</v>
      </c>
      <c r="EN49" s="637">
        <f t="shared" si="62"/>
        <v>0</v>
      </c>
      <c r="EO49" s="637">
        <f t="shared" si="63"/>
        <v>98762.385364474365</v>
      </c>
      <c r="EP49" s="637">
        <f t="shared" si="64"/>
        <v>98762.385364474525</v>
      </c>
      <c r="EQ49" s="643">
        <f t="shared" si="65"/>
        <v>98762.385364474525</v>
      </c>
      <c r="ER49" s="637">
        <f t="shared" si="66"/>
        <v>0</v>
      </c>
      <c r="ES49" s="637">
        <f t="shared" si="67"/>
        <v>98762.385364474525</v>
      </c>
      <c r="ET49" s="637">
        <f t="shared" si="68"/>
        <v>98762.385364474365</v>
      </c>
      <c r="EU49" s="643">
        <f t="shared" si="43"/>
        <v>98762.385364474365</v>
      </c>
      <c r="EV49" s="643">
        <f t="shared" si="44"/>
        <v>0</v>
      </c>
      <c r="EX49" s="829">
        <f t="shared" si="45"/>
        <v>5860.2375397497817</v>
      </c>
      <c r="EY49" s="638">
        <f t="shared" si="46"/>
        <v>98762.385364474365</v>
      </c>
      <c r="FC49" s="830" t="str">
        <f t="shared" si="69"/>
        <v>Y</v>
      </c>
      <c r="FE49" s="830" t="str">
        <f>IFERROR(VLOOKUP($B49,'Historical Conc Grant Elig'!$B$3:$J$707,'HH &amp; SI'!FE$2,0),"N")</f>
        <v>Y</v>
      </c>
      <c r="FF49" s="830" t="str">
        <f>IFERROR(VLOOKUP($B49,'Historical Conc Grant Elig'!$B$3:$J$707,'HH &amp; SI'!FF$2,0),"N")</f>
        <v>Y</v>
      </c>
      <c r="FG49" s="830" t="str">
        <f>IFERROR(VLOOKUP($B49,'Historical Conc Grant Elig'!$B$3:$J$707,'HH &amp; SI'!FG$2,0),"N")</f>
        <v>Y</v>
      </c>
      <c r="FH49" s="830" t="str">
        <f>IFERROR(VLOOKUP($B49,'Historical Conc Grant Elig'!$B$3:$J$707,'HH &amp; SI'!FH$2,0),"N")</f>
        <v>Y</v>
      </c>
      <c r="FI49" s="830" t="str">
        <f>IFERROR(VLOOKUP($B49,'Historical Conc Grant Elig'!$B$3:$J$707,'HH &amp; SI'!FI$2,0),"N")</f>
        <v>Y</v>
      </c>
      <c r="FJ49" s="830" t="str">
        <f>IFERROR(VLOOKUP($B49,'Historical Conc Grant Elig'!$B$3:$J$707,'HH &amp; SI'!FJ$2,0),"N")</f>
        <v>Y</v>
      </c>
      <c r="FK49" s="830" t="str">
        <f>IFERROR(VLOOKUP($B49,'Historical Conc Grant Elig'!$B$3:$J$707,'HH &amp; SI'!FK$2,0),"N")</f>
        <v>Y</v>
      </c>
      <c r="FL49" s="957" t="str">
        <f>IFERROR(VLOOKUP($B49,'Historical Conc Grant Elig'!$B$3:$J$707,'HH &amp; SI'!FL$2,0),"N")</f>
        <v>Y</v>
      </c>
    </row>
    <row r="50" spans="2:168" x14ac:dyDescent="0.25">
      <c r="B50" s="634">
        <v>38706000</v>
      </c>
      <c r="C50" s="635" t="str">
        <f>VLOOKUP($B50,'Afton Update'!$A$5:$CR$582,'Afton Update'!D$589,0)</f>
        <v>Pine Forest Education Association  Inc.</v>
      </c>
      <c r="D50" s="636">
        <f>IFERROR(VLOOKUP($B50,'Afton FY16 Final'!$A$5:$BV$587,'Afton FY16 Final'!AQ$587,0),0)</f>
        <v>25927.744453686762</v>
      </c>
      <c r="E50" s="637">
        <f>IFERROR(VLOOKUP($B50,'Afton FY16 Final'!$A$5:$BV$587,'Afton FY16 Final'!AR$587,0),0)</f>
        <v>6107.6437930479306</v>
      </c>
      <c r="F50" s="637">
        <f>IFERROR(VLOOKUP($B50,'Afton FY16 Final'!$A$5:$BV$587,'Afton FY16 Final'!AS$587,0),0)</f>
        <v>11034.806007439698</v>
      </c>
      <c r="G50" s="637">
        <f>IFERROR(VLOOKUP($B50,'Afton FY16 Final'!$A$5:$BV$587,'Afton FY16 Final'!AT$587,0),0)</f>
        <v>9419.9175803321486</v>
      </c>
      <c r="H50" s="638">
        <f>IFERROR(VLOOKUP($B50,'Afton FY16 Final'!$A$5:$BV$587,'Afton FY16 Final'!AU$587,0),0)</f>
        <v>52490.111834506541</v>
      </c>
      <c r="I50" s="639" t="str">
        <f>VLOOKUP($B50,'Afton Update'!$A$5:$CR$582,'Afton Update'!BT$589,0)</f>
        <v>Y</v>
      </c>
      <c r="J50" s="640" t="str">
        <f>VLOOKUP($B50,'Afton Update'!$A$5:$CR$582,'Afton Update'!BU$589,0)</f>
        <v>Y</v>
      </c>
      <c r="K50" s="640" t="str">
        <f>VLOOKUP($B50,'Afton Update'!$A$5:$CR$582,'Afton Update'!BV$589,0)</f>
        <v>Y</v>
      </c>
      <c r="L50" s="641" t="str">
        <f>VLOOKUP($B50,'Afton Update'!$A$5:$CR$582,'Afton Update'!BW$589,0)</f>
        <v>Y</v>
      </c>
      <c r="N50" s="642">
        <f>VLOOKUP($B50,'Afton Update'!$A$5:$CR$582,'Afton Update'!CB$589,0)</f>
        <v>0.9</v>
      </c>
      <c r="P50" s="636">
        <f>VLOOKUP($B50,'Afton Update'!$A$5:$CR$582,'Afton Update'!AH$589,0)</f>
        <v>33189.262416886573</v>
      </c>
      <c r="Q50" s="637">
        <f>VLOOKUP($B50,'Afton Update'!$A$5:$CR$582,'Afton Update'!AI$589,0)</f>
        <v>8180.841811302992</v>
      </c>
      <c r="R50" s="637">
        <f>VLOOKUP($B50,'Afton Update'!$A$5:$CR$582,'Afton Update'!AJ$589,0)</f>
        <v>14199.425679512533</v>
      </c>
      <c r="S50" s="637">
        <f>VLOOKUP($B50,'Afton Update'!$A$5:$CR$582,'Afton Update'!AK$589,0)</f>
        <v>12366.6739380249</v>
      </c>
      <c r="T50" s="643">
        <f t="shared" si="47"/>
        <v>67936.203845726995</v>
      </c>
      <c r="V50" s="636">
        <f t="shared" si="70"/>
        <v>32736.539335575984</v>
      </c>
      <c r="W50" s="637">
        <f t="shared" si="71"/>
        <v>7911.3947919756438</v>
      </c>
      <c r="X50" s="637">
        <f t="shared" si="72"/>
        <v>14070.287446913504</v>
      </c>
      <c r="Y50" s="637">
        <f t="shared" si="73"/>
        <v>12230.415452378085</v>
      </c>
      <c r="Z50" s="643">
        <f t="shared" si="74"/>
        <v>66948.637026843222</v>
      </c>
      <c r="AB50" s="644">
        <f t="shared" si="11"/>
        <v>33189.262416886573</v>
      </c>
      <c r="AC50" s="645">
        <f t="shared" si="12"/>
        <v>23334.970008318087</v>
      </c>
      <c r="AD50" s="644">
        <f t="shared" si="75"/>
        <v>0</v>
      </c>
      <c r="AE50" s="645">
        <f t="shared" si="76"/>
        <v>33189.262416886573</v>
      </c>
      <c r="AF50" s="646">
        <f t="shared" si="77"/>
        <v>-411.40584872409642</v>
      </c>
      <c r="AG50" s="647">
        <f t="shared" si="78"/>
        <v>32777.856568162475</v>
      </c>
      <c r="AH50" s="644">
        <f t="shared" si="13"/>
        <v>0</v>
      </c>
      <c r="AI50" s="645">
        <f t="shared" si="14"/>
        <v>32777.856568162475</v>
      </c>
      <c r="AJ50" s="646">
        <f t="shared" si="79"/>
        <v>-41.290909504514616</v>
      </c>
      <c r="AK50" s="647">
        <f t="shared" si="15"/>
        <v>32736.565658657961</v>
      </c>
      <c r="AL50" s="644">
        <f t="shared" si="80"/>
        <v>0</v>
      </c>
      <c r="AM50" s="645">
        <f t="shared" si="81"/>
        <v>32736.565658657961</v>
      </c>
      <c r="AN50" s="646">
        <f t="shared" si="82"/>
        <v>-2.6323081977986173E-2</v>
      </c>
      <c r="AO50" s="647">
        <f t="shared" si="16"/>
        <v>32736.539335575984</v>
      </c>
      <c r="AP50" s="644">
        <f t="shared" si="83"/>
        <v>0</v>
      </c>
      <c r="AQ50" s="645">
        <f t="shared" si="84"/>
        <v>32736.539335575984</v>
      </c>
      <c r="AR50" s="646">
        <f t="shared" si="85"/>
        <v>0</v>
      </c>
      <c r="AS50" s="647">
        <f t="shared" si="17"/>
        <v>32736.539335575984</v>
      </c>
      <c r="AT50" s="644">
        <f t="shared" si="86"/>
        <v>0</v>
      </c>
      <c r="AU50" s="645">
        <f t="shared" si="87"/>
        <v>32736.539335575984</v>
      </c>
      <c r="AV50" s="646">
        <f t="shared" si="88"/>
        <v>0</v>
      </c>
      <c r="AW50" s="647">
        <f t="shared" si="18"/>
        <v>32736.539335575984</v>
      </c>
      <c r="AY50" s="644">
        <f t="shared" si="89"/>
        <v>8180.841811302992</v>
      </c>
      <c r="AZ50" s="645">
        <f t="shared" si="48"/>
        <v>5496.8794137431378</v>
      </c>
      <c r="BA50" s="644">
        <f t="shared" si="90"/>
        <v>0</v>
      </c>
      <c r="BB50" s="645">
        <f t="shared" si="91"/>
        <v>8180.841811302992</v>
      </c>
      <c r="BC50" s="646">
        <f t="shared" si="92"/>
        <v>-58.830817611443351</v>
      </c>
      <c r="BD50" s="647">
        <f t="shared" si="93"/>
        <v>8122.0109936915487</v>
      </c>
      <c r="BE50" s="644">
        <f t="shared" si="19"/>
        <v>0</v>
      </c>
      <c r="BF50" s="645">
        <f t="shared" si="20"/>
        <v>8122.0109936915487</v>
      </c>
      <c r="BG50" s="646">
        <f t="shared" si="94"/>
        <v>-193.45968290829128</v>
      </c>
      <c r="BH50" s="647">
        <f t="shared" si="21"/>
        <v>7928.5513107832576</v>
      </c>
      <c r="BI50" s="644">
        <f t="shared" si="95"/>
        <v>0</v>
      </c>
      <c r="BJ50" s="645">
        <f t="shared" si="96"/>
        <v>7928.5513107832576</v>
      </c>
      <c r="BK50" s="646">
        <f t="shared" si="97"/>
        <v>-16.794533871014465</v>
      </c>
      <c r="BL50" s="647">
        <f t="shared" si="22"/>
        <v>7911.7567769122434</v>
      </c>
      <c r="BM50" s="644">
        <f t="shared" si="98"/>
        <v>0</v>
      </c>
      <c r="BN50" s="645">
        <f t="shared" si="99"/>
        <v>7911.7567769122434</v>
      </c>
      <c r="BO50" s="646">
        <f t="shared" si="100"/>
        <v>-0.36198493659951947</v>
      </c>
      <c r="BP50" s="647">
        <f t="shared" si="23"/>
        <v>7911.3947919756438</v>
      </c>
      <c r="BQ50" s="644">
        <f t="shared" si="101"/>
        <v>0</v>
      </c>
      <c r="BR50" s="645">
        <f t="shared" si="102"/>
        <v>7911.3947919756438</v>
      </c>
      <c r="BS50" s="646">
        <f t="shared" si="103"/>
        <v>0</v>
      </c>
      <c r="BT50" s="647">
        <f t="shared" si="24"/>
        <v>7911.3947919756438</v>
      </c>
      <c r="BU50" s="662">
        <f>VLOOKUP(B50,'Afton Update'!$A$5:$AR$582,'Afton Update'!$AO$589,0)-BT50</f>
        <v>0</v>
      </c>
      <c r="BV50" s="644">
        <f t="shared" si="104"/>
        <v>14199.425679512533</v>
      </c>
      <c r="BW50" s="645">
        <f t="shared" si="25"/>
        <v>9931.3254066957288</v>
      </c>
      <c r="BX50" s="644">
        <f t="shared" si="105"/>
        <v>0</v>
      </c>
      <c r="BY50" s="645">
        <f t="shared" si="106"/>
        <v>14199.425679512533</v>
      </c>
      <c r="BZ50" s="646">
        <f t="shared" si="107"/>
        <v>-124.62986885515443</v>
      </c>
      <c r="CA50" s="647">
        <f t="shared" si="108"/>
        <v>14074.795810657379</v>
      </c>
      <c r="CB50" s="644">
        <f t="shared" si="26"/>
        <v>0</v>
      </c>
      <c r="CC50" s="645">
        <f t="shared" si="27"/>
        <v>14074.795810657379</v>
      </c>
      <c r="CD50" s="646">
        <f t="shared" si="109"/>
        <v>-4.5083637438746962</v>
      </c>
      <c r="CE50" s="647">
        <f t="shared" si="28"/>
        <v>14070.287446913504</v>
      </c>
      <c r="CF50" s="644">
        <f t="shared" si="110"/>
        <v>0</v>
      </c>
      <c r="CG50" s="645">
        <f t="shared" si="111"/>
        <v>14070.287446913504</v>
      </c>
      <c r="CH50" s="646">
        <f t="shared" si="112"/>
        <v>0</v>
      </c>
      <c r="CI50" s="647">
        <f t="shared" si="29"/>
        <v>14070.287446913504</v>
      </c>
      <c r="CJ50" s="644">
        <f t="shared" si="113"/>
        <v>0</v>
      </c>
      <c r="CK50" s="645">
        <f t="shared" si="114"/>
        <v>14070.287446913504</v>
      </c>
      <c r="CL50" s="646">
        <f t="shared" si="115"/>
        <v>0</v>
      </c>
      <c r="CM50" s="647">
        <f t="shared" si="30"/>
        <v>14070.287446913504</v>
      </c>
      <c r="CN50" s="644">
        <f t="shared" si="116"/>
        <v>0</v>
      </c>
      <c r="CO50" s="645">
        <f t="shared" si="117"/>
        <v>14070.287446913504</v>
      </c>
      <c r="CP50" s="646">
        <f t="shared" si="118"/>
        <v>0</v>
      </c>
      <c r="CQ50" s="647">
        <f t="shared" si="31"/>
        <v>14070.287446913504</v>
      </c>
      <c r="CS50" s="644">
        <f t="shared" si="119"/>
        <v>12366.6739380249</v>
      </c>
      <c r="CT50" s="645">
        <f t="shared" si="32"/>
        <v>8477.9258222989338</v>
      </c>
      <c r="CU50" s="644">
        <f t="shared" si="120"/>
        <v>0</v>
      </c>
      <c r="CV50" s="645">
        <f t="shared" si="121"/>
        <v>12366.6739380249</v>
      </c>
      <c r="CW50" s="646">
        <f t="shared" si="122"/>
        <v>-126.64172980458365</v>
      </c>
      <c r="CX50" s="647">
        <f t="shared" si="123"/>
        <v>12240.032208220317</v>
      </c>
      <c r="CY50" s="644">
        <f t="shared" si="33"/>
        <v>0</v>
      </c>
      <c r="CZ50" s="645">
        <f t="shared" si="34"/>
        <v>12240.032208220317</v>
      </c>
      <c r="DA50" s="646">
        <f t="shared" si="124"/>
        <v>-9.6084697338429965</v>
      </c>
      <c r="DB50" s="647">
        <f t="shared" si="35"/>
        <v>12230.423738486474</v>
      </c>
      <c r="DC50" s="644">
        <f t="shared" si="125"/>
        <v>0</v>
      </c>
      <c r="DD50" s="645">
        <f t="shared" si="126"/>
        <v>12230.423738486474</v>
      </c>
      <c r="DE50" s="646">
        <f t="shared" si="127"/>
        <v>-8.2861083877561557E-3</v>
      </c>
      <c r="DF50" s="647">
        <f t="shared" si="36"/>
        <v>12230.415452378085</v>
      </c>
      <c r="DG50" s="644">
        <f t="shared" si="128"/>
        <v>0</v>
      </c>
      <c r="DH50" s="645">
        <f t="shared" si="129"/>
        <v>12230.415452378085</v>
      </c>
      <c r="DI50" s="646">
        <f t="shared" si="130"/>
        <v>0</v>
      </c>
      <c r="DJ50" s="647">
        <f t="shared" si="37"/>
        <v>12230.415452378085</v>
      </c>
      <c r="DK50" s="644">
        <f t="shared" si="131"/>
        <v>0</v>
      </c>
      <c r="DL50" s="645">
        <f t="shared" si="132"/>
        <v>12230.415452378085</v>
      </c>
      <c r="DM50" s="646">
        <f t="shared" si="133"/>
        <v>0</v>
      </c>
      <c r="DN50" s="647">
        <f t="shared" si="38"/>
        <v>12230.415452378085</v>
      </c>
      <c r="DR50" s="827">
        <f t="shared" si="49"/>
        <v>66948.637026843222</v>
      </c>
      <c r="DV50" s="828">
        <f>IFERROR(VLOOKUP($B50,'Afton FY16 Final'!$A$5:$BV$587,'Afton FY16 Final'!$BV$587,0),0)</f>
        <v>51456.581541177926</v>
      </c>
      <c r="DX50" s="636">
        <f t="shared" si="39"/>
        <v>66948.637026843222</v>
      </c>
      <c r="DY50" s="637">
        <f t="shared" si="40"/>
        <v>15492.055485665296</v>
      </c>
      <c r="DZ50" s="637">
        <f t="shared" si="41"/>
        <v>51456.581541177926</v>
      </c>
      <c r="EA50" s="643">
        <f t="shared" si="42"/>
        <v>63387.719857233606</v>
      </c>
      <c r="EB50" s="637">
        <f t="shared" si="50"/>
        <v>0</v>
      </c>
      <c r="EC50" s="637">
        <f t="shared" si="51"/>
        <v>63387.719857233606</v>
      </c>
      <c r="ED50" s="637">
        <f t="shared" si="52"/>
        <v>63198.701461355951</v>
      </c>
      <c r="EE50" s="643">
        <f t="shared" si="53"/>
        <v>63198.701461355951</v>
      </c>
      <c r="EF50" s="637">
        <f t="shared" si="54"/>
        <v>0</v>
      </c>
      <c r="EG50" s="637">
        <f t="shared" si="55"/>
        <v>63198.701461355951</v>
      </c>
      <c r="EH50" s="637">
        <f t="shared" si="56"/>
        <v>63198.63626172248</v>
      </c>
      <c r="EI50" s="643">
        <f t="shared" si="57"/>
        <v>63198.63626172248</v>
      </c>
      <c r="EJ50" s="637">
        <f t="shared" si="58"/>
        <v>0</v>
      </c>
      <c r="EK50" s="637">
        <f t="shared" si="59"/>
        <v>63198.63626172248</v>
      </c>
      <c r="EL50" s="637">
        <f t="shared" si="60"/>
        <v>63198.636261722386</v>
      </c>
      <c r="EM50" s="643">
        <f t="shared" si="61"/>
        <v>63198.636261722386</v>
      </c>
      <c r="EN50" s="637">
        <f t="shared" si="62"/>
        <v>0</v>
      </c>
      <c r="EO50" s="637">
        <f t="shared" si="63"/>
        <v>63198.636261722386</v>
      </c>
      <c r="EP50" s="637">
        <f t="shared" si="64"/>
        <v>63198.636261722488</v>
      </c>
      <c r="EQ50" s="643">
        <f t="shared" si="65"/>
        <v>63198.636261722488</v>
      </c>
      <c r="ER50" s="637">
        <f t="shared" si="66"/>
        <v>0</v>
      </c>
      <c r="ES50" s="637">
        <f t="shared" si="67"/>
        <v>63198.636261722488</v>
      </c>
      <c r="ET50" s="637">
        <f t="shared" si="68"/>
        <v>63198.636261722386</v>
      </c>
      <c r="EU50" s="643">
        <f t="shared" si="43"/>
        <v>63198.636261722386</v>
      </c>
      <c r="EV50" s="643">
        <f t="shared" si="44"/>
        <v>0</v>
      </c>
      <c r="EX50" s="829">
        <f t="shared" si="45"/>
        <v>3750.0007651208361</v>
      </c>
      <c r="EY50" s="638">
        <f t="shared" si="46"/>
        <v>63198.636261722386</v>
      </c>
      <c r="FC50" s="830" t="str">
        <f t="shared" si="69"/>
        <v>Y</v>
      </c>
      <c r="FE50" s="830" t="str">
        <f>IFERROR(VLOOKUP($B50,'Historical Conc Grant Elig'!$B$3:$J$707,'HH &amp; SI'!FE$2,0),"N")</f>
        <v>N</v>
      </c>
      <c r="FF50" s="830" t="str">
        <f>IFERROR(VLOOKUP($B50,'Historical Conc Grant Elig'!$B$3:$J$707,'HH &amp; SI'!FF$2,0),"N")</f>
        <v>Y</v>
      </c>
      <c r="FG50" s="830" t="str">
        <f>IFERROR(VLOOKUP($B50,'Historical Conc Grant Elig'!$B$3:$J$707,'HH &amp; SI'!FG$2,0),"N")</f>
        <v>Y</v>
      </c>
      <c r="FH50" s="830" t="str">
        <f>IFERROR(VLOOKUP($B50,'Historical Conc Grant Elig'!$B$3:$J$707,'HH &amp; SI'!FH$2,0),"N")</f>
        <v>N</v>
      </c>
      <c r="FI50" s="830" t="str">
        <f>IFERROR(VLOOKUP($B50,'Historical Conc Grant Elig'!$B$3:$J$707,'HH &amp; SI'!FI$2,0),"N")</f>
        <v>Y</v>
      </c>
      <c r="FJ50" s="830" t="str">
        <f>IFERROR(VLOOKUP($B50,'Historical Conc Grant Elig'!$B$3:$J$707,'HH &amp; SI'!FJ$2,0),"N")</f>
        <v>Y</v>
      </c>
      <c r="FK50" s="830" t="str">
        <f>IFERROR(VLOOKUP($B50,'Historical Conc Grant Elig'!$B$3:$J$707,'HH &amp; SI'!FK$2,0),"N")</f>
        <v>Y</v>
      </c>
      <c r="FL50" s="957" t="str">
        <f>IFERROR(VLOOKUP($B50,'Historical Conc Grant Elig'!$B$3:$J$707,'HH &amp; SI'!FL$2,0),"N")</f>
        <v>Y</v>
      </c>
    </row>
    <row r="51" spans="2:168" x14ac:dyDescent="0.25">
      <c r="B51" s="634">
        <v>38708000</v>
      </c>
      <c r="C51" s="635" t="str">
        <f>VLOOKUP($B51,'Afton Update'!$A$5:$CR$582,'Afton Update'!D$589,0)</f>
        <v>Visions Unlimited Academy  Inc.</v>
      </c>
      <c r="D51" s="636">
        <f>IFERROR(VLOOKUP($B51,'Afton FY16 Final'!$A$5:$BV$587,'Afton FY16 Final'!AQ$587,0),0)</f>
        <v>8921.4562782001412</v>
      </c>
      <c r="E51" s="637">
        <f>IFERROR(VLOOKUP($B51,'Afton FY16 Final'!$A$5:$BV$587,'Afton FY16 Final'!AR$587,0),0)</f>
        <v>2086.0691643733685</v>
      </c>
      <c r="F51" s="637">
        <f>IFERROR(VLOOKUP($B51,'Afton FY16 Final'!$A$5:$BV$587,'Afton FY16 Final'!AS$587,0),0)</f>
        <v>4312.3123851565442</v>
      </c>
      <c r="G51" s="637">
        <f>IFERROR(VLOOKUP($B51,'Afton FY16 Final'!$A$5:$BV$587,'Afton FY16 Final'!AT$587,0),0)</f>
        <v>4081.0857599286433</v>
      </c>
      <c r="H51" s="638">
        <f>IFERROR(VLOOKUP($B51,'Afton FY16 Final'!$A$5:$BV$587,'Afton FY16 Final'!AU$587,0),0)</f>
        <v>19400.923587658697</v>
      </c>
      <c r="I51" s="639" t="str">
        <f>VLOOKUP($B51,'Afton Update'!$A$5:$CR$582,'Afton Update'!BT$589,0)</f>
        <v>Y</v>
      </c>
      <c r="J51" s="640" t="str">
        <f>VLOOKUP($B51,'Afton Update'!$A$5:$CR$582,'Afton Update'!BU$589,0)</f>
        <v>Y</v>
      </c>
      <c r="K51" s="640" t="str">
        <f>VLOOKUP($B51,'Afton Update'!$A$5:$CR$582,'Afton Update'!BV$589,0)</f>
        <v>Y</v>
      </c>
      <c r="L51" s="641" t="str">
        <f>VLOOKUP($B51,'Afton Update'!$A$5:$CR$582,'Afton Update'!BW$589,0)</f>
        <v>Y</v>
      </c>
      <c r="N51" s="642">
        <f>VLOOKUP($B51,'Afton Update'!$A$5:$CR$582,'Afton Update'!CB$589,0)</f>
        <v>0.95</v>
      </c>
      <c r="P51" s="636">
        <f>VLOOKUP($B51,'Afton Update'!$A$5:$CR$582,'Afton Update'!AH$589,0)</f>
        <v>9744.3702808204725</v>
      </c>
      <c r="Q51" s="637">
        <f>VLOOKUP($B51,'Afton Update'!$A$5:$CR$582,'Afton Update'!AI$589,0)</f>
        <v>3361.4891250629944</v>
      </c>
      <c r="R51" s="637">
        <f>VLOOKUP($B51,'Afton Update'!$A$5:$CR$582,'Afton Update'!AJ$589,0)</f>
        <v>4810.6790521429475</v>
      </c>
      <c r="S51" s="637">
        <f>VLOOKUP($B51,'Afton Update'!$A$5:$CR$582,'Afton Update'!AK$589,0)</f>
        <v>4637.2837973474052</v>
      </c>
      <c r="T51" s="643">
        <f t="shared" si="47"/>
        <v>22553.82225537382</v>
      </c>
      <c r="V51" s="636">
        <f t="shared" si="70"/>
        <v>9611.4507454734066</v>
      </c>
      <c r="W51" s="637">
        <f t="shared" si="71"/>
        <v>3250.7739632078769</v>
      </c>
      <c r="X51" s="637">
        <f t="shared" si="72"/>
        <v>4766.9278044223256</v>
      </c>
      <c r="Y51" s="637">
        <f t="shared" si="73"/>
        <v>4586.1892774378757</v>
      </c>
      <c r="Z51" s="643">
        <f t="shared" si="74"/>
        <v>22215.341790541486</v>
      </c>
      <c r="AB51" s="644">
        <f t="shared" si="11"/>
        <v>9744.3702808204725</v>
      </c>
      <c r="AC51" s="645">
        <f t="shared" si="12"/>
        <v>8475.3834642901329</v>
      </c>
      <c r="AD51" s="644">
        <f t="shared" si="75"/>
        <v>0</v>
      </c>
      <c r="AE51" s="645">
        <f t="shared" si="76"/>
        <v>9744.3702808204725</v>
      </c>
      <c r="AF51" s="646">
        <f t="shared" si="77"/>
        <v>-120.78879233010913</v>
      </c>
      <c r="AG51" s="647">
        <f t="shared" si="78"/>
        <v>9623.581488490363</v>
      </c>
      <c r="AH51" s="644">
        <f t="shared" si="13"/>
        <v>0</v>
      </c>
      <c r="AI51" s="645">
        <f t="shared" si="14"/>
        <v>9623.581488490363</v>
      </c>
      <c r="AJ51" s="646">
        <f t="shared" si="79"/>
        <v>-12.123014557838552</v>
      </c>
      <c r="AK51" s="647">
        <f t="shared" si="15"/>
        <v>9611.4584739325237</v>
      </c>
      <c r="AL51" s="644">
        <f t="shared" si="80"/>
        <v>0</v>
      </c>
      <c r="AM51" s="645">
        <f t="shared" si="81"/>
        <v>9611.4584739325237</v>
      </c>
      <c r="AN51" s="646">
        <f t="shared" si="82"/>
        <v>-7.7284591174096792E-3</v>
      </c>
      <c r="AO51" s="647">
        <f t="shared" si="16"/>
        <v>9611.4507454734066</v>
      </c>
      <c r="AP51" s="644">
        <f t="shared" si="83"/>
        <v>0</v>
      </c>
      <c r="AQ51" s="645">
        <f t="shared" si="84"/>
        <v>9611.4507454734066</v>
      </c>
      <c r="AR51" s="646">
        <f t="shared" si="85"/>
        <v>0</v>
      </c>
      <c r="AS51" s="647">
        <f t="shared" si="17"/>
        <v>9611.4507454734066</v>
      </c>
      <c r="AT51" s="644">
        <f t="shared" si="86"/>
        <v>0</v>
      </c>
      <c r="AU51" s="645">
        <f t="shared" si="87"/>
        <v>9611.4507454734066</v>
      </c>
      <c r="AV51" s="646">
        <f t="shared" si="88"/>
        <v>0</v>
      </c>
      <c r="AW51" s="647">
        <f t="shared" si="18"/>
        <v>9611.4507454734066</v>
      </c>
      <c r="AY51" s="644">
        <f t="shared" si="89"/>
        <v>3361.4891250629944</v>
      </c>
      <c r="AZ51" s="645">
        <f t="shared" si="48"/>
        <v>1981.7657061547</v>
      </c>
      <c r="BA51" s="644">
        <f t="shared" si="90"/>
        <v>0</v>
      </c>
      <c r="BB51" s="645">
        <f t="shared" si="91"/>
        <v>3361.4891250629944</v>
      </c>
      <c r="BC51" s="646">
        <f t="shared" si="92"/>
        <v>-24.173447938597104</v>
      </c>
      <c r="BD51" s="647">
        <f t="shared" si="93"/>
        <v>3337.3156771243971</v>
      </c>
      <c r="BE51" s="644">
        <f t="shared" si="19"/>
        <v>0</v>
      </c>
      <c r="BF51" s="645">
        <f t="shared" si="20"/>
        <v>3337.3156771243971</v>
      </c>
      <c r="BG51" s="646">
        <f t="shared" si="94"/>
        <v>-79.492139713037503</v>
      </c>
      <c r="BH51" s="647">
        <f t="shared" si="21"/>
        <v>3257.8235374113597</v>
      </c>
      <c r="BI51" s="644">
        <f t="shared" si="95"/>
        <v>0</v>
      </c>
      <c r="BJ51" s="645">
        <f t="shared" si="96"/>
        <v>3257.8235374113597</v>
      </c>
      <c r="BK51" s="646">
        <f t="shared" si="97"/>
        <v>-6.9008354237967477</v>
      </c>
      <c r="BL51" s="647">
        <f t="shared" si="22"/>
        <v>3250.922701987563</v>
      </c>
      <c r="BM51" s="644">
        <f t="shared" si="98"/>
        <v>0</v>
      </c>
      <c r="BN51" s="645">
        <f t="shared" si="99"/>
        <v>3250.922701987563</v>
      </c>
      <c r="BO51" s="646">
        <f t="shared" si="100"/>
        <v>-0.14873877968581534</v>
      </c>
      <c r="BP51" s="647">
        <f t="shared" si="23"/>
        <v>3250.7739632078769</v>
      </c>
      <c r="BQ51" s="644">
        <f t="shared" si="101"/>
        <v>0</v>
      </c>
      <c r="BR51" s="645">
        <f t="shared" si="102"/>
        <v>3250.7739632078769</v>
      </c>
      <c r="BS51" s="646">
        <f t="shared" si="103"/>
        <v>0</v>
      </c>
      <c r="BT51" s="647">
        <f t="shared" si="24"/>
        <v>3250.7739632078769</v>
      </c>
      <c r="BU51" s="662">
        <f>VLOOKUP(B51,'Afton Update'!$A$5:$AR$582,'Afton Update'!$AO$589,0)-BT51</f>
        <v>0</v>
      </c>
      <c r="BV51" s="644">
        <f t="shared" si="104"/>
        <v>4810.6790521429475</v>
      </c>
      <c r="BW51" s="645">
        <f t="shared" si="25"/>
        <v>4096.6967658987169</v>
      </c>
      <c r="BX51" s="644">
        <f t="shared" si="105"/>
        <v>0</v>
      </c>
      <c r="BY51" s="645">
        <f t="shared" si="106"/>
        <v>4810.6790521429475</v>
      </c>
      <c r="BZ51" s="646">
        <f t="shared" si="107"/>
        <v>-42.2238415063416</v>
      </c>
      <c r="CA51" s="647">
        <f t="shared" si="108"/>
        <v>4768.4552106366064</v>
      </c>
      <c r="CB51" s="644">
        <f t="shared" si="26"/>
        <v>0</v>
      </c>
      <c r="CC51" s="645">
        <f t="shared" si="27"/>
        <v>4768.4552106366064</v>
      </c>
      <c r="CD51" s="646">
        <f t="shared" si="109"/>
        <v>-1.5274062142803029</v>
      </c>
      <c r="CE51" s="647">
        <f t="shared" si="28"/>
        <v>4766.9278044223256</v>
      </c>
      <c r="CF51" s="644">
        <f t="shared" si="110"/>
        <v>0</v>
      </c>
      <c r="CG51" s="645">
        <f t="shared" si="111"/>
        <v>4766.9278044223256</v>
      </c>
      <c r="CH51" s="646">
        <f t="shared" si="112"/>
        <v>0</v>
      </c>
      <c r="CI51" s="647">
        <f t="shared" si="29"/>
        <v>4766.9278044223256</v>
      </c>
      <c r="CJ51" s="644">
        <f t="shared" si="113"/>
        <v>0</v>
      </c>
      <c r="CK51" s="645">
        <f t="shared" si="114"/>
        <v>4766.9278044223256</v>
      </c>
      <c r="CL51" s="646">
        <f t="shared" si="115"/>
        <v>0</v>
      </c>
      <c r="CM51" s="647">
        <f t="shared" si="30"/>
        <v>4766.9278044223256</v>
      </c>
      <c r="CN51" s="644">
        <f t="shared" si="116"/>
        <v>0</v>
      </c>
      <c r="CO51" s="645">
        <f t="shared" si="117"/>
        <v>4766.9278044223256</v>
      </c>
      <c r="CP51" s="646">
        <f t="shared" si="118"/>
        <v>0</v>
      </c>
      <c r="CQ51" s="647">
        <f t="shared" si="31"/>
        <v>4766.9278044223256</v>
      </c>
      <c r="CS51" s="644">
        <f t="shared" si="119"/>
        <v>4637.2837973474052</v>
      </c>
      <c r="CT51" s="645">
        <f t="shared" si="32"/>
        <v>3877.0314719322109</v>
      </c>
      <c r="CU51" s="644">
        <f t="shared" si="120"/>
        <v>0</v>
      </c>
      <c r="CV51" s="645">
        <f t="shared" si="121"/>
        <v>4637.2837973474052</v>
      </c>
      <c r="CW51" s="646">
        <f t="shared" si="122"/>
        <v>-47.488406715818861</v>
      </c>
      <c r="CX51" s="647">
        <f t="shared" si="123"/>
        <v>4589.7953906315861</v>
      </c>
      <c r="CY51" s="644">
        <f t="shared" si="33"/>
        <v>0</v>
      </c>
      <c r="CZ51" s="645">
        <f t="shared" si="34"/>
        <v>4589.7953906315861</v>
      </c>
      <c r="DA51" s="646">
        <f t="shared" si="124"/>
        <v>-3.6030060497551504</v>
      </c>
      <c r="DB51" s="647">
        <f t="shared" si="35"/>
        <v>4586.192384581831</v>
      </c>
      <c r="DC51" s="644">
        <f t="shared" si="125"/>
        <v>0</v>
      </c>
      <c r="DD51" s="645">
        <f t="shared" si="126"/>
        <v>4586.192384581831</v>
      </c>
      <c r="DE51" s="646">
        <f t="shared" si="127"/>
        <v>-3.1071439549689439E-3</v>
      </c>
      <c r="DF51" s="647">
        <f t="shared" si="36"/>
        <v>4586.1892774378757</v>
      </c>
      <c r="DG51" s="644">
        <f t="shared" si="128"/>
        <v>0</v>
      </c>
      <c r="DH51" s="645">
        <f t="shared" si="129"/>
        <v>4586.1892774378757</v>
      </c>
      <c r="DI51" s="646">
        <f t="shared" si="130"/>
        <v>0</v>
      </c>
      <c r="DJ51" s="647">
        <f t="shared" si="37"/>
        <v>4586.1892774378757</v>
      </c>
      <c r="DK51" s="644">
        <f t="shared" si="131"/>
        <v>0</v>
      </c>
      <c r="DL51" s="645">
        <f t="shared" si="132"/>
        <v>4586.1892774378757</v>
      </c>
      <c r="DM51" s="646">
        <f t="shared" si="133"/>
        <v>0</v>
      </c>
      <c r="DN51" s="647">
        <f t="shared" si="38"/>
        <v>4586.1892774378757</v>
      </c>
      <c r="DR51" s="827">
        <f t="shared" si="49"/>
        <v>22215.341790541486</v>
      </c>
      <c r="DV51" s="828">
        <f>IFERROR(VLOOKUP($B51,'Afton FY16 Final'!$A$5:$BV$587,'Afton FY16 Final'!$BV$587,0),0)</f>
        <v>17232.896032385292</v>
      </c>
      <c r="DX51" s="636">
        <f t="shared" si="39"/>
        <v>22215.341790541486</v>
      </c>
      <c r="DY51" s="637">
        <f t="shared" si="40"/>
        <v>4982.4457581561946</v>
      </c>
      <c r="DZ51" s="637">
        <f t="shared" si="41"/>
        <v>17232.896032385292</v>
      </c>
      <c r="EA51" s="643">
        <f t="shared" si="42"/>
        <v>21033.734583527443</v>
      </c>
      <c r="EB51" s="637">
        <f t="shared" si="50"/>
        <v>0</v>
      </c>
      <c r="EC51" s="637">
        <f t="shared" si="51"/>
        <v>21033.734583527443</v>
      </c>
      <c r="ED51" s="637">
        <f t="shared" si="52"/>
        <v>20971.013242875826</v>
      </c>
      <c r="EE51" s="643">
        <f t="shared" si="53"/>
        <v>20971.013242875826</v>
      </c>
      <c r="EF51" s="637">
        <f t="shared" si="54"/>
        <v>0</v>
      </c>
      <c r="EG51" s="637">
        <f t="shared" si="55"/>
        <v>20971.013242875826</v>
      </c>
      <c r="EH51" s="637">
        <f t="shared" si="56"/>
        <v>20970.991607900021</v>
      </c>
      <c r="EI51" s="643">
        <f t="shared" si="57"/>
        <v>20970.991607900021</v>
      </c>
      <c r="EJ51" s="637">
        <f t="shared" si="58"/>
        <v>0</v>
      </c>
      <c r="EK51" s="637">
        <f t="shared" si="59"/>
        <v>20970.991607900021</v>
      </c>
      <c r="EL51" s="637">
        <f t="shared" si="60"/>
        <v>20970.991607899992</v>
      </c>
      <c r="EM51" s="643">
        <f t="shared" si="61"/>
        <v>20970.991607899992</v>
      </c>
      <c r="EN51" s="637">
        <f t="shared" si="62"/>
        <v>0</v>
      </c>
      <c r="EO51" s="637">
        <f t="shared" si="63"/>
        <v>20970.991607899992</v>
      </c>
      <c r="EP51" s="637">
        <f t="shared" si="64"/>
        <v>20970.991607900025</v>
      </c>
      <c r="EQ51" s="643">
        <f t="shared" si="65"/>
        <v>20970.991607900025</v>
      </c>
      <c r="ER51" s="637">
        <f t="shared" si="66"/>
        <v>0</v>
      </c>
      <c r="ES51" s="637">
        <f t="shared" si="67"/>
        <v>20970.991607900025</v>
      </c>
      <c r="ET51" s="637">
        <f t="shared" si="68"/>
        <v>20970.991607899992</v>
      </c>
      <c r="EU51" s="643">
        <f t="shared" si="43"/>
        <v>20970.991607899992</v>
      </c>
      <c r="EV51" s="643">
        <f t="shared" si="44"/>
        <v>0</v>
      </c>
      <c r="EX51" s="829">
        <f t="shared" si="45"/>
        <v>1244.350182641494</v>
      </c>
      <c r="EY51" s="638">
        <f t="shared" si="46"/>
        <v>20970.991607899992</v>
      </c>
      <c r="FC51" s="830" t="str">
        <f t="shared" si="69"/>
        <v>Y</v>
      </c>
      <c r="FE51" s="830" t="str">
        <f>IFERROR(VLOOKUP($B51,'Historical Conc Grant Elig'!$B$3:$J$707,'HH &amp; SI'!FE$2,0),"N")</f>
        <v>Y</v>
      </c>
      <c r="FF51" s="830" t="str">
        <f>IFERROR(VLOOKUP($B51,'Historical Conc Grant Elig'!$B$3:$J$707,'HH &amp; SI'!FF$2,0),"N")</f>
        <v>Y</v>
      </c>
      <c r="FG51" s="830" t="str">
        <f>IFERROR(VLOOKUP($B51,'Historical Conc Grant Elig'!$B$3:$J$707,'HH &amp; SI'!FG$2,0),"N")</f>
        <v>Y</v>
      </c>
      <c r="FH51" s="830" t="str">
        <f>IFERROR(VLOOKUP($B51,'Historical Conc Grant Elig'!$B$3:$J$707,'HH &amp; SI'!FH$2,0),"N")</f>
        <v>Y</v>
      </c>
      <c r="FI51" s="830" t="str">
        <f>IFERROR(VLOOKUP($B51,'Historical Conc Grant Elig'!$B$3:$J$707,'HH &amp; SI'!FI$2,0),"N")</f>
        <v>Y</v>
      </c>
      <c r="FJ51" s="830" t="str">
        <f>IFERROR(VLOOKUP($B51,'Historical Conc Grant Elig'!$B$3:$J$707,'HH &amp; SI'!FJ$2,0),"N")</f>
        <v>Y</v>
      </c>
      <c r="FK51" s="830" t="str">
        <f>IFERROR(VLOOKUP($B51,'Historical Conc Grant Elig'!$B$3:$J$707,'HH &amp; SI'!FK$2,0),"N")</f>
        <v>Y</v>
      </c>
      <c r="FL51" s="957" t="str">
        <f>IFERROR(VLOOKUP($B51,'Historical Conc Grant Elig'!$B$3:$J$707,'HH &amp; SI'!FL$2,0),"N")</f>
        <v>Y</v>
      </c>
    </row>
    <row r="52" spans="2:168" x14ac:dyDescent="0.25">
      <c r="B52" s="634">
        <v>38752000</v>
      </c>
      <c r="C52" s="635" t="str">
        <f>VLOOKUP($B52,'Afton Update'!$A$5:$CR$582,'Afton Update'!D$589,0)</f>
        <v>Flagstaff Junior Academy</v>
      </c>
      <c r="D52" s="636">
        <f>IFERROR(VLOOKUP($B52,'Afton FY16 Final'!$A$5:$BV$587,'Afton FY16 Final'!AQ$587,0),0)</f>
        <v>22209.862871860427</v>
      </c>
      <c r="E52" s="637">
        <f>IFERROR(VLOOKUP($B52,'Afton FY16 Final'!$A$5:$BV$587,'Afton FY16 Final'!AR$587,0),0)</f>
        <v>5062.6569244144312</v>
      </c>
      <c r="F52" s="637">
        <f>IFERROR(VLOOKUP($B52,'Afton FY16 Final'!$A$5:$BV$587,'Afton FY16 Final'!AS$587,0),0)</f>
        <v>9517.335641598489</v>
      </c>
      <c r="G52" s="637">
        <f>IFERROR(VLOOKUP($B52,'Afton FY16 Final'!$A$5:$BV$587,'Afton FY16 Final'!AT$587,0),0)</f>
        <v>8303.4829041446355</v>
      </c>
      <c r="H52" s="638">
        <f>IFERROR(VLOOKUP($B52,'Afton FY16 Final'!$A$5:$BV$587,'Afton FY16 Final'!AU$587,0),0)</f>
        <v>45093.338342017982</v>
      </c>
      <c r="I52" s="639" t="str">
        <f>VLOOKUP($B52,'Afton Update'!$A$5:$CR$582,'Afton Update'!BT$589,0)</f>
        <v>Y</v>
      </c>
      <c r="J52" s="640" t="str">
        <f>VLOOKUP($B52,'Afton Update'!$A$5:$CR$582,'Afton Update'!BU$589,0)</f>
        <v>N</v>
      </c>
      <c r="K52" s="640" t="str">
        <f>VLOOKUP($B52,'Afton Update'!$A$5:$CR$582,'Afton Update'!BV$589,0)</f>
        <v>Y</v>
      </c>
      <c r="L52" s="641" t="str">
        <f>VLOOKUP($B52,'Afton Update'!$A$5:$CR$582,'Afton Update'!BW$589,0)</f>
        <v>Y</v>
      </c>
      <c r="N52" s="642">
        <f>VLOOKUP($B52,'Afton Update'!$A$5:$CR$582,'Afton Update'!CB$589,0)</f>
        <v>0.85</v>
      </c>
      <c r="P52" s="636">
        <f>VLOOKUP($B52,'Afton Update'!$A$5:$CR$582,'Afton Update'!AH$589,0)</f>
        <v>24584.802123761903</v>
      </c>
      <c r="Q52" s="637" t="str">
        <f>VLOOKUP($B52,'Afton Update'!$A$5:$CR$582,'Afton Update'!AI$589,0)</f>
        <v/>
      </c>
      <c r="R52" s="637">
        <f>VLOOKUP($B52,'Afton Update'!$A$5:$CR$582,'Afton Update'!AJ$589,0)</f>
        <v>10542.128120361445</v>
      </c>
      <c r="S52" s="637">
        <f>VLOOKUP($B52,'Afton Update'!$A$5:$CR$582,'Afton Update'!AK$589,0)</f>
        <v>9179.5414149683111</v>
      </c>
      <c r="T52" s="643">
        <f t="shared" si="47"/>
        <v>44306.471659091658</v>
      </c>
      <c r="V52" s="636">
        <f t="shared" si="70"/>
        <v>24249.449465692058</v>
      </c>
      <c r="W52" s="637">
        <f t="shared" si="71"/>
        <v>4303.2583857522668</v>
      </c>
      <c r="X52" s="637">
        <f t="shared" si="72"/>
        <v>10446.251581125056</v>
      </c>
      <c r="Y52" s="637">
        <f t="shared" si="73"/>
        <v>9078.3993925939776</v>
      </c>
      <c r="Z52" s="643">
        <f t="shared" si="74"/>
        <v>48077.358825163356</v>
      </c>
      <c r="AB52" s="644">
        <f t="shared" si="11"/>
        <v>24584.802123761903</v>
      </c>
      <c r="AC52" s="645">
        <f t="shared" si="12"/>
        <v>18878.383441081362</v>
      </c>
      <c r="AD52" s="644">
        <f t="shared" si="75"/>
        <v>0</v>
      </c>
      <c r="AE52" s="645">
        <f t="shared" si="76"/>
        <v>24584.802123761903</v>
      </c>
      <c r="AF52" s="646">
        <f t="shared" si="77"/>
        <v>-304.74709731102973</v>
      </c>
      <c r="AG52" s="647">
        <f t="shared" si="78"/>
        <v>24280.055026450875</v>
      </c>
      <c r="AH52" s="644">
        <f t="shared" si="13"/>
        <v>0</v>
      </c>
      <c r="AI52" s="645">
        <f t="shared" si="14"/>
        <v>24280.055026450875</v>
      </c>
      <c r="AJ52" s="646">
        <f t="shared" si="79"/>
        <v>-30.586062050061042</v>
      </c>
      <c r="AK52" s="647">
        <f t="shared" si="15"/>
        <v>24249.468964400814</v>
      </c>
      <c r="AL52" s="644">
        <f t="shared" si="80"/>
        <v>0</v>
      </c>
      <c r="AM52" s="645">
        <f t="shared" si="81"/>
        <v>24249.468964400814</v>
      </c>
      <c r="AN52" s="646">
        <f t="shared" si="82"/>
        <v>-1.9498708756693756E-2</v>
      </c>
      <c r="AO52" s="647">
        <f t="shared" si="16"/>
        <v>24249.449465692058</v>
      </c>
      <c r="AP52" s="644">
        <f t="shared" si="83"/>
        <v>0</v>
      </c>
      <c r="AQ52" s="645">
        <f t="shared" si="84"/>
        <v>24249.449465692058</v>
      </c>
      <c r="AR52" s="646">
        <f t="shared" si="85"/>
        <v>0</v>
      </c>
      <c r="AS52" s="647">
        <f t="shared" si="17"/>
        <v>24249.449465692058</v>
      </c>
      <c r="AT52" s="644">
        <f t="shared" si="86"/>
        <v>0</v>
      </c>
      <c r="AU52" s="645">
        <f t="shared" si="87"/>
        <v>24249.449465692058</v>
      </c>
      <c r="AV52" s="646">
        <f t="shared" si="88"/>
        <v>0</v>
      </c>
      <c r="AW52" s="647">
        <f t="shared" si="18"/>
        <v>24249.449465692058</v>
      </c>
      <c r="AY52" s="644">
        <f t="shared" si="89"/>
        <v>0</v>
      </c>
      <c r="AZ52" s="645">
        <f t="shared" si="48"/>
        <v>4303.2583857522668</v>
      </c>
      <c r="BA52" s="644">
        <f t="shared" si="90"/>
        <v>0</v>
      </c>
      <c r="BB52" s="645">
        <f t="shared" si="91"/>
        <v>0</v>
      </c>
      <c r="BC52" s="646">
        <f t="shared" si="92"/>
        <v>0</v>
      </c>
      <c r="BD52" s="647">
        <f t="shared" si="93"/>
        <v>0</v>
      </c>
      <c r="BE52" s="644">
        <f t="shared" si="19"/>
        <v>-4303.2583857522668</v>
      </c>
      <c r="BF52" s="645">
        <f t="shared" si="20"/>
        <v>0</v>
      </c>
      <c r="BG52" s="646">
        <f t="shared" si="94"/>
        <v>0</v>
      </c>
      <c r="BH52" s="647">
        <f t="shared" si="21"/>
        <v>4303.2583857522668</v>
      </c>
      <c r="BI52" s="644">
        <f t="shared" si="95"/>
        <v>0</v>
      </c>
      <c r="BJ52" s="645">
        <f t="shared" si="96"/>
        <v>0</v>
      </c>
      <c r="BK52" s="646">
        <f t="shared" si="97"/>
        <v>0</v>
      </c>
      <c r="BL52" s="647">
        <f t="shared" si="22"/>
        <v>4303.2583857522668</v>
      </c>
      <c r="BM52" s="644">
        <f t="shared" si="98"/>
        <v>0</v>
      </c>
      <c r="BN52" s="645">
        <f t="shared" si="99"/>
        <v>0</v>
      </c>
      <c r="BO52" s="646">
        <f t="shared" si="100"/>
        <v>0</v>
      </c>
      <c r="BP52" s="647">
        <f t="shared" si="23"/>
        <v>4303.2583857522668</v>
      </c>
      <c r="BQ52" s="644">
        <f t="shared" si="101"/>
        <v>0</v>
      </c>
      <c r="BR52" s="645">
        <f t="shared" si="102"/>
        <v>0</v>
      </c>
      <c r="BS52" s="646">
        <f t="shared" si="103"/>
        <v>0</v>
      </c>
      <c r="BT52" s="647">
        <f t="shared" si="24"/>
        <v>4303.2583857522668</v>
      </c>
      <c r="BU52" s="662">
        <f>VLOOKUP(B52,'Afton Update'!$A$5:$AR$582,'Afton Update'!$AO$589,0)-BT52</f>
        <v>0</v>
      </c>
      <c r="BV52" s="644">
        <f t="shared" si="104"/>
        <v>10542.128120361445</v>
      </c>
      <c r="BW52" s="645">
        <f t="shared" si="25"/>
        <v>8089.7352953587151</v>
      </c>
      <c r="BX52" s="644">
        <f t="shared" si="105"/>
        <v>0</v>
      </c>
      <c r="BY52" s="645">
        <f t="shared" si="106"/>
        <v>10542.128120361445</v>
      </c>
      <c r="BZ52" s="646">
        <f t="shared" si="107"/>
        <v>-92.529379338952793</v>
      </c>
      <c r="CA52" s="647">
        <f t="shared" si="108"/>
        <v>10449.598741022493</v>
      </c>
      <c r="CB52" s="644">
        <f t="shared" si="26"/>
        <v>0</v>
      </c>
      <c r="CC52" s="645">
        <f t="shared" si="27"/>
        <v>10449.598741022493</v>
      </c>
      <c r="CD52" s="646">
        <f t="shared" si="109"/>
        <v>-3.347159897438265</v>
      </c>
      <c r="CE52" s="647">
        <f t="shared" si="28"/>
        <v>10446.251581125056</v>
      </c>
      <c r="CF52" s="644">
        <f t="shared" si="110"/>
        <v>0</v>
      </c>
      <c r="CG52" s="645">
        <f t="shared" si="111"/>
        <v>10446.251581125056</v>
      </c>
      <c r="CH52" s="646">
        <f t="shared" si="112"/>
        <v>0</v>
      </c>
      <c r="CI52" s="647">
        <f t="shared" si="29"/>
        <v>10446.251581125056</v>
      </c>
      <c r="CJ52" s="644">
        <f t="shared" si="113"/>
        <v>0</v>
      </c>
      <c r="CK52" s="645">
        <f t="shared" si="114"/>
        <v>10446.251581125056</v>
      </c>
      <c r="CL52" s="646">
        <f t="shared" si="115"/>
        <v>0</v>
      </c>
      <c r="CM52" s="647">
        <f t="shared" si="30"/>
        <v>10446.251581125056</v>
      </c>
      <c r="CN52" s="644">
        <f t="shared" si="116"/>
        <v>0</v>
      </c>
      <c r="CO52" s="645">
        <f t="shared" si="117"/>
        <v>10446.251581125056</v>
      </c>
      <c r="CP52" s="646">
        <f t="shared" si="118"/>
        <v>0</v>
      </c>
      <c r="CQ52" s="647">
        <f t="shared" si="31"/>
        <v>10446.251581125056</v>
      </c>
      <c r="CS52" s="644">
        <f t="shared" si="119"/>
        <v>9179.5414149683111</v>
      </c>
      <c r="CT52" s="645">
        <f t="shared" si="32"/>
        <v>7057.9604685229397</v>
      </c>
      <c r="CU52" s="644">
        <f t="shared" si="120"/>
        <v>0</v>
      </c>
      <c r="CV52" s="645">
        <f t="shared" si="121"/>
        <v>9179.5414149683111</v>
      </c>
      <c r="CW52" s="646">
        <f t="shared" si="122"/>
        <v>-94.003691649855938</v>
      </c>
      <c r="CX52" s="647">
        <f t="shared" si="123"/>
        <v>9085.5377233184554</v>
      </c>
      <c r="CY52" s="644">
        <f t="shared" si="33"/>
        <v>0</v>
      </c>
      <c r="CZ52" s="645">
        <f t="shared" si="34"/>
        <v>9085.5377233184554</v>
      </c>
      <c r="DA52" s="646">
        <f t="shared" si="124"/>
        <v>-7.1321801074645386</v>
      </c>
      <c r="DB52" s="647">
        <f t="shared" si="35"/>
        <v>9078.4055432109908</v>
      </c>
      <c r="DC52" s="644">
        <f t="shared" si="125"/>
        <v>0</v>
      </c>
      <c r="DD52" s="645">
        <f t="shared" si="126"/>
        <v>9078.4055432109908</v>
      </c>
      <c r="DE52" s="646">
        <f t="shared" si="127"/>
        <v>-6.1506170127480549E-3</v>
      </c>
      <c r="DF52" s="647">
        <f t="shared" si="36"/>
        <v>9078.3993925939776</v>
      </c>
      <c r="DG52" s="644">
        <f t="shared" si="128"/>
        <v>0</v>
      </c>
      <c r="DH52" s="645">
        <f t="shared" si="129"/>
        <v>9078.3993925939776</v>
      </c>
      <c r="DI52" s="646">
        <f t="shared" si="130"/>
        <v>0</v>
      </c>
      <c r="DJ52" s="647">
        <f t="shared" si="37"/>
        <v>9078.3993925939776</v>
      </c>
      <c r="DK52" s="644">
        <f t="shared" si="131"/>
        <v>0</v>
      </c>
      <c r="DL52" s="645">
        <f t="shared" si="132"/>
        <v>9078.3993925939776</v>
      </c>
      <c r="DM52" s="646">
        <f t="shared" si="133"/>
        <v>0</v>
      </c>
      <c r="DN52" s="647">
        <f t="shared" si="38"/>
        <v>9078.3993925939776</v>
      </c>
      <c r="DR52" s="827">
        <f t="shared" si="49"/>
        <v>48077.358825163356</v>
      </c>
      <c r="DV52" s="828">
        <f>IFERROR(VLOOKUP($B52,'Afton FY16 Final'!$A$5:$BV$587,'Afton FY16 Final'!$BV$587,0),0)</f>
        <v>44205.450517531499</v>
      </c>
      <c r="DX52" s="636">
        <f t="shared" si="39"/>
        <v>48077.358825163356</v>
      </c>
      <c r="DY52" s="637">
        <f t="shared" si="40"/>
        <v>3871.9083076318566</v>
      </c>
      <c r="DZ52" s="637">
        <f t="shared" si="41"/>
        <v>44205.450517531499</v>
      </c>
      <c r="EA52" s="643">
        <f t="shared" si="42"/>
        <v>45520.1821579018</v>
      </c>
      <c r="EB52" s="637">
        <f t="shared" si="50"/>
        <v>0</v>
      </c>
      <c r="EC52" s="637">
        <f t="shared" si="51"/>
        <v>45520.1821579018</v>
      </c>
      <c r="ED52" s="637">
        <f t="shared" si="52"/>
        <v>45384.443692613502</v>
      </c>
      <c r="EE52" s="643">
        <f t="shared" si="53"/>
        <v>45384.443692613502</v>
      </c>
      <c r="EF52" s="637">
        <f t="shared" si="54"/>
        <v>0</v>
      </c>
      <c r="EG52" s="637">
        <f t="shared" si="55"/>
        <v>45384.443692613502</v>
      </c>
      <c r="EH52" s="637">
        <f t="shared" si="56"/>
        <v>45384.39687125443</v>
      </c>
      <c r="EI52" s="643">
        <f t="shared" si="57"/>
        <v>45384.39687125443</v>
      </c>
      <c r="EJ52" s="637">
        <f t="shared" si="58"/>
        <v>0</v>
      </c>
      <c r="EK52" s="637">
        <f t="shared" si="59"/>
        <v>45384.39687125443</v>
      </c>
      <c r="EL52" s="637">
        <f t="shared" si="60"/>
        <v>45384.396871254365</v>
      </c>
      <c r="EM52" s="643">
        <f t="shared" si="61"/>
        <v>45384.396871254365</v>
      </c>
      <c r="EN52" s="637">
        <f t="shared" si="62"/>
        <v>0</v>
      </c>
      <c r="EO52" s="637">
        <f t="shared" si="63"/>
        <v>45384.396871254365</v>
      </c>
      <c r="EP52" s="637">
        <f t="shared" si="64"/>
        <v>45384.396871254437</v>
      </c>
      <c r="EQ52" s="643">
        <f t="shared" si="65"/>
        <v>45384.396871254437</v>
      </c>
      <c r="ER52" s="637">
        <f t="shared" si="66"/>
        <v>0</v>
      </c>
      <c r="ES52" s="637">
        <f t="shared" si="67"/>
        <v>45384.396871254437</v>
      </c>
      <c r="ET52" s="637">
        <f t="shared" si="68"/>
        <v>45384.396871254365</v>
      </c>
      <c r="EU52" s="643">
        <f t="shared" si="43"/>
        <v>45384.396871254365</v>
      </c>
      <c r="EV52" s="643">
        <f t="shared" si="44"/>
        <v>0</v>
      </c>
      <c r="EX52" s="829">
        <f t="shared" si="45"/>
        <v>2692.9619539089908</v>
      </c>
      <c r="EY52" s="638">
        <f t="shared" si="46"/>
        <v>45384.396871254365</v>
      </c>
      <c r="FC52" s="830" t="str">
        <f t="shared" si="69"/>
        <v>Y</v>
      </c>
      <c r="FE52" s="830" t="str">
        <f>IFERROR(VLOOKUP($B52,'Historical Conc Grant Elig'!$B$3:$J$707,'HH &amp; SI'!FE$2,0),"N")</f>
        <v>N</v>
      </c>
      <c r="FF52" s="830" t="str">
        <f>IFERROR(VLOOKUP($B52,'Historical Conc Grant Elig'!$B$3:$J$707,'HH &amp; SI'!FF$2,0),"N")</f>
        <v>Y</v>
      </c>
      <c r="FG52" s="830" t="str">
        <f>IFERROR(VLOOKUP($B52,'Historical Conc Grant Elig'!$B$3:$J$707,'HH &amp; SI'!FG$2,0),"N")</f>
        <v>N</v>
      </c>
      <c r="FH52" s="830" t="str">
        <f>IFERROR(VLOOKUP($B52,'Historical Conc Grant Elig'!$B$3:$J$707,'HH &amp; SI'!FH$2,0),"N")</f>
        <v>Y</v>
      </c>
      <c r="FI52" s="830" t="str">
        <f>IFERROR(VLOOKUP($B52,'Historical Conc Grant Elig'!$B$3:$J$707,'HH &amp; SI'!FI$2,0),"N")</f>
        <v>Y</v>
      </c>
      <c r="FJ52" s="830" t="str">
        <f>IFERROR(VLOOKUP($B52,'Historical Conc Grant Elig'!$B$3:$J$707,'HH &amp; SI'!FJ$2,0),"N")</f>
        <v>Y</v>
      </c>
      <c r="FK52" s="830" t="str">
        <f>IFERROR(VLOOKUP($B52,'Historical Conc Grant Elig'!$B$3:$J$707,'HH &amp; SI'!FK$2,0),"N")</f>
        <v>N</v>
      </c>
      <c r="FL52" s="957" t="str">
        <f>IFERROR(VLOOKUP($B52,'Historical Conc Grant Elig'!$B$3:$J$707,'HH &amp; SI'!FL$2,0),"N")</f>
        <v>N</v>
      </c>
    </row>
    <row r="53" spans="2:168" x14ac:dyDescent="0.25">
      <c r="B53" s="634">
        <v>38753000</v>
      </c>
      <c r="C53" s="635" t="str">
        <f>VLOOKUP($B53,'Afton Update'!$A$5:$CR$582,'Afton Update'!D$589,0)</f>
        <v>Painted Desert Demonstration Projects  Inc.</v>
      </c>
      <c r="D53" s="636">
        <f>IFERROR(VLOOKUP($B53,'Afton FY16 Final'!$A$5:$BV$587,'Afton FY16 Final'!AQ$587,0),0)</f>
        <v>28723.511730918657</v>
      </c>
      <c r="E53" s="637">
        <f>IFERROR(VLOOKUP($B53,'Afton FY16 Final'!$A$5:$BV$587,'Afton FY16 Final'!AR$587,0),0)</f>
        <v>6547.419333339335</v>
      </c>
      <c r="F53" s="637">
        <f>IFERROR(VLOOKUP($B53,'Afton FY16 Final'!$A$5:$BV$587,'Afton FY16 Final'!AS$587,0),0)</f>
        <v>12308.554245731151</v>
      </c>
      <c r="G53" s="637">
        <f>IFERROR(VLOOKUP($B53,'Afton FY16 Final'!$A$5:$BV$587,'Afton FY16 Final'!AT$587,0),0)</f>
        <v>10738.706041578647</v>
      </c>
      <c r="H53" s="638">
        <f>IFERROR(VLOOKUP($B53,'Afton FY16 Final'!$A$5:$BV$587,'Afton FY16 Final'!AU$587,0),0)</f>
        <v>58318.191351567795</v>
      </c>
      <c r="I53" s="639" t="str">
        <f>VLOOKUP($B53,'Afton Update'!$A$5:$CR$582,'Afton Update'!BT$589,0)</f>
        <v>Y</v>
      </c>
      <c r="J53" s="640" t="str">
        <f>VLOOKUP($B53,'Afton Update'!$A$5:$CR$582,'Afton Update'!BU$589,0)</f>
        <v>Y</v>
      </c>
      <c r="K53" s="640" t="str">
        <f>VLOOKUP($B53,'Afton Update'!$A$5:$CR$582,'Afton Update'!BV$589,0)</f>
        <v>Y</v>
      </c>
      <c r="L53" s="641" t="str">
        <f>VLOOKUP($B53,'Afton Update'!$A$5:$CR$582,'Afton Update'!BW$589,0)</f>
        <v>Y</v>
      </c>
      <c r="N53" s="642">
        <f>VLOOKUP($B53,'Afton Update'!$A$5:$CR$582,'Afton Update'!CB$589,0)</f>
        <v>0.95</v>
      </c>
      <c r="P53" s="636">
        <f>VLOOKUP($B53,'Afton Update'!$A$5:$CR$582,'Afton Update'!AH$589,0)</f>
        <v>26239.506026285879</v>
      </c>
      <c r="Q53" s="637">
        <f>VLOOKUP($B53,'Afton Update'!$A$5:$CR$582,'Afton Update'!AI$589,0)</f>
        <v>6576.0174498631495</v>
      </c>
      <c r="R53" s="637">
        <f>VLOOKUP($B53,'Afton Update'!$A$5:$CR$582,'Afton Update'!AJ$589,0)</f>
        <v>11245.454574044346</v>
      </c>
      <c r="S53" s="637">
        <f>VLOOKUP($B53,'Afton Update'!$A$5:$CR$582,'Afton Update'!AK$589,0)</f>
        <v>9792.4515155561148</v>
      </c>
      <c r="T53" s="643">
        <f t="shared" si="47"/>
        <v>53853.429565749488</v>
      </c>
      <c r="V53" s="636">
        <f t="shared" si="70"/>
        <v>27287.336144372723</v>
      </c>
      <c r="W53" s="637">
        <f t="shared" si="71"/>
        <v>6359.4274776108878</v>
      </c>
      <c r="X53" s="637">
        <f t="shared" si="72"/>
        <v>11693.126533444592</v>
      </c>
      <c r="Y53" s="637">
        <f t="shared" si="73"/>
        <v>10201.770739499714</v>
      </c>
      <c r="Z53" s="643">
        <f t="shared" si="74"/>
        <v>55541.660894927918</v>
      </c>
      <c r="AB53" s="644">
        <f t="shared" si="11"/>
        <v>26239.506026285879</v>
      </c>
      <c r="AC53" s="645">
        <f t="shared" si="12"/>
        <v>27287.336144372723</v>
      </c>
      <c r="AD53" s="644">
        <f t="shared" si="75"/>
        <v>1047.8301180868439</v>
      </c>
      <c r="AE53" s="645">
        <f t="shared" si="76"/>
        <v>0</v>
      </c>
      <c r="AF53" s="646">
        <f t="shared" si="77"/>
        <v>0</v>
      </c>
      <c r="AG53" s="647">
        <f t="shared" si="78"/>
        <v>27287.336144372723</v>
      </c>
      <c r="AH53" s="644">
        <f t="shared" si="13"/>
        <v>0</v>
      </c>
      <c r="AI53" s="645">
        <f t="shared" si="14"/>
        <v>0</v>
      </c>
      <c r="AJ53" s="646">
        <f t="shared" si="79"/>
        <v>0</v>
      </c>
      <c r="AK53" s="647">
        <f t="shared" si="15"/>
        <v>27287.336144372723</v>
      </c>
      <c r="AL53" s="644">
        <f t="shared" si="80"/>
        <v>0</v>
      </c>
      <c r="AM53" s="645">
        <f t="shared" si="81"/>
        <v>0</v>
      </c>
      <c r="AN53" s="646">
        <f t="shared" si="82"/>
        <v>0</v>
      </c>
      <c r="AO53" s="647">
        <f t="shared" si="16"/>
        <v>27287.336144372723</v>
      </c>
      <c r="AP53" s="644">
        <f t="shared" si="83"/>
        <v>0</v>
      </c>
      <c r="AQ53" s="645">
        <f t="shared" si="84"/>
        <v>0</v>
      </c>
      <c r="AR53" s="646">
        <f t="shared" si="85"/>
        <v>0</v>
      </c>
      <c r="AS53" s="647">
        <f t="shared" si="17"/>
        <v>27287.336144372723</v>
      </c>
      <c r="AT53" s="644">
        <f t="shared" si="86"/>
        <v>0</v>
      </c>
      <c r="AU53" s="645">
        <f t="shared" si="87"/>
        <v>0</v>
      </c>
      <c r="AV53" s="646">
        <f t="shared" si="88"/>
        <v>0</v>
      </c>
      <c r="AW53" s="647">
        <f t="shared" si="18"/>
        <v>27287.336144372723</v>
      </c>
      <c r="AY53" s="644">
        <f t="shared" si="89"/>
        <v>6576.0174498631495</v>
      </c>
      <c r="AZ53" s="645">
        <f t="shared" si="48"/>
        <v>6220.0483666723676</v>
      </c>
      <c r="BA53" s="644">
        <f t="shared" si="90"/>
        <v>0</v>
      </c>
      <c r="BB53" s="645">
        <f t="shared" si="91"/>
        <v>6576.0174498631495</v>
      </c>
      <c r="BC53" s="646">
        <f t="shared" si="92"/>
        <v>-47.290057933652825</v>
      </c>
      <c r="BD53" s="647">
        <f t="shared" si="93"/>
        <v>6528.7273919294967</v>
      </c>
      <c r="BE53" s="644">
        <f t="shared" si="19"/>
        <v>0</v>
      </c>
      <c r="BF53" s="645">
        <f t="shared" si="20"/>
        <v>6528.7273919294967</v>
      </c>
      <c r="BG53" s="646">
        <f t="shared" si="94"/>
        <v>-155.50896594678051</v>
      </c>
      <c r="BH53" s="647">
        <f t="shared" si="21"/>
        <v>6373.2184259827163</v>
      </c>
      <c r="BI53" s="644">
        <f t="shared" si="95"/>
        <v>0</v>
      </c>
      <c r="BJ53" s="645">
        <f t="shared" si="96"/>
        <v>6373.2184259827163</v>
      </c>
      <c r="BK53" s="646">
        <f t="shared" si="97"/>
        <v>-13.499973516847463</v>
      </c>
      <c r="BL53" s="647">
        <f t="shared" si="22"/>
        <v>6359.7184524658687</v>
      </c>
      <c r="BM53" s="644">
        <f t="shared" si="98"/>
        <v>0</v>
      </c>
      <c r="BN53" s="645">
        <f t="shared" si="99"/>
        <v>6359.7184524658687</v>
      </c>
      <c r="BO53" s="646">
        <f t="shared" si="100"/>
        <v>-0.29097485498095799</v>
      </c>
      <c r="BP53" s="647">
        <f t="shared" si="23"/>
        <v>6359.4274776108878</v>
      </c>
      <c r="BQ53" s="644">
        <f t="shared" si="101"/>
        <v>0</v>
      </c>
      <c r="BR53" s="645">
        <f t="shared" si="102"/>
        <v>6359.4274776108878</v>
      </c>
      <c r="BS53" s="646">
        <f t="shared" si="103"/>
        <v>0</v>
      </c>
      <c r="BT53" s="647">
        <f t="shared" si="24"/>
        <v>6359.4274776108878</v>
      </c>
      <c r="BU53" s="662">
        <f>VLOOKUP(B53,'Afton Update'!$A$5:$AR$582,'Afton Update'!$AO$589,0)-BT53</f>
        <v>0</v>
      </c>
      <c r="BV53" s="644">
        <f t="shared" si="104"/>
        <v>11245.454574044346</v>
      </c>
      <c r="BW53" s="645">
        <f t="shared" si="25"/>
        <v>11693.126533444592</v>
      </c>
      <c r="BX53" s="644">
        <f t="shared" si="105"/>
        <v>447.67195940024612</v>
      </c>
      <c r="BY53" s="645">
        <f t="shared" si="106"/>
        <v>0</v>
      </c>
      <c r="BZ53" s="646">
        <f t="shared" si="107"/>
        <v>0</v>
      </c>
      <c r="CA53" s="647">
        <f t="shared" si="108"/>
        <v>11693.126533444592</v>
      </c>
      <c r="CB53" s="644">
        <f t="shared" si="26"/>
        <v>0</v>
      </c>
      <c r="CC53" s="645">
        <f t="shared" si="27"/>
        <v>0</v>
      </c>
      <c r="CD53" s="646">
        <f t="shared" si="109"/>
        <v>0</v>
      </c>
      <c r="CE53" s="647">
        <f t="shared" si="28"/>
        <v>11693.126533444592</v>
      </c>
      <c r="CF53" s="644">
        <f t="shared" si="110"/>
        <v>0</v>
      </c>
      <c r="CG53" s="645">
        <f t="shared" si="111"/>
        <v>0</v>
      </c>
      <c r="CH53" s="646">
        <f t="shared" si="112"/>
        <v>0</v>
      </c>
      <c r="CI53" s="647">
        <f t="shared" si="29"/>
        <v>11693.126533444592</v>
      </c>
      <c r="CJ53" s="644">
        <f t="shared" si="113"/>
        <v>0</v>
      </c>
      <c r="CK53" s="645">
        <f t="shared" si="114"/>
        <v>0</v>
      </c>
      <c r="CL53" s="646">
        <f t="shared" si="115"/>
        <v>0</v>
      </c>
      <c r="CM53" s="647">
        <f t="shared" si="30"/>
        <v>11693.126533444592</v>
      </c>
      <c r="CN53" s="644">
        <f t="shared" si="116"/>
        <v>0</v>
      </c>
      <c r="CO53" s="645">
        <f t="shared" si="117"/>
        <v>0</v>
      </c>
      <c r="CP53" s="646">
        <f t="shared" si="118"/>
        <v>0</v>
      </c>
      <c r="CQ53" s="647">
        <f t="shared" si="31"/>
        <v>11693.126533444592</v>
      </c>
      <c r="CS53" s="644">
        <f t="shared" si="119"/>
        <v>9792.4515155561148</v>
      </c>
      <c r="CT53" s="645">
        <f t="shared" si="32"/>
        <v>10201.770739499714</v>
      </c>
      <c r="CU53" s="644">
        <f t="shared" si="120"/>
        <v>409.31922394359935</v>
      </c>
      <c r="CV53" s="645">
        <f t="shared" si="121"/>
        <v>0</v>
      </c>
      <c r="CW53" s="646">
        <f t="shared" si="122"/>
        <v>0</v>
      </c>
      <c r="CX53" s="647">
        <f t="shared" si="123"/>
        <v>10201.770739499714</v>
      </c>
      <c r="CY53" s="644">
        <f t="shared" si="33"/>
        <v>0</v>
      </c>
      <c r="CZ53" s="645">
        <f t="shared" si="34"/>
        <v>0</v>
      </c>
      <c r="DA53" s="646">
        <f t="shared" si="124"/>
        <v>0</v>
      </c>
      <c r="DB53" s="647">
        <f t="shared" si="35"/>
        <v>10201.770739499714</v>
      </c>
      <c r="DC53" s="644">
        <f t="shared" si="125"/>
        <v>0</v>
      </c>
      <c r="DD53" s="645">
        <f t="shared" si="126"/>
        <v>0</v>
      </c>
      <c r="DE53" s="646">
        <f t="shared" si="127"/>
        <v>0</v>
      </c>
      <c r="DF53" s="647">
        <f t="shared" si="36"/>
        <v>10201.770739499714</v>
      </c>
      <c r="DG53" s="644">
        <f t="shared" si="128"/>
        <v>0</v>
      </c>
      <c r="DH53" s="645">
        <f t="shared" si="129"/>
        <v>0</v>
      </c>
      <c r="DI53" s="646">
        <f t="shared" si="130"/>
        <v>0</v>
      </c>
      <c r="DJ53" s="647">
        <f t="shared" si="37"/>
        <v>10201.770739499714</v>
      </c>
      <c r="DK53" s="644">
        <f t="shared" si="131"/>
        <v>0</v>
      </c>
      <c r="DL53" s="645">
        <f t="shared" si="132"/>
        <v>0</v>
      </c>
      <c r="DM53" s="646">
        <f t="shared" si="133"/>
        <v>0</v>
      </c>
      <c r="DN53" s="647">
        <f t="shared" si="38"/>
        <v>10201.770739499714</v>
      </c>
      <c r="DR53" s="827">
        <f t="shared" si="49"/>
        <v>55541.660894927918</v>
      </c>
      <c r="DV53" s="828">
        <f>IFERROR(VLOOKUP($B53,'Afton FY16 Final'!$A$5:$BV$587,'Afton FY16 Final'!$BV$587,0),0)</f>
        <v>57169.906173513431</v>
      </c>
      <c r="DX53" s="636">
        <f t="shared" si="39"/>
        <v>0</v>
      </c>
      <c r="DY53" s="637">
        <f t="shared" si="40"/>
        <v>0</v>
      </c>
      <c r="DZ53" s="637">
        <f t="shared" si="41"/>
        <v>0</v>
      </c>
      <c r="EA53" s="643">
        <f t="shared" si="42"/>
        <v>0</v>
      </c>
      <c r="EB53" s="637">
        <f t="shared" si="50"/>
        <v>0</v>
      </c>
      <c r="EC53" s="637">
        <f t="shared" si="51"/>
        <v>0</v>
      </c>
      <c r="ED53" s="637">
        <f t="shared" si="52"/>
        <v>0</v>
      </c>
      <c r="EE53" s="643">
        <f t="shared" si="53"/>
        <v>0</v>
      </c>
      <c r="EF53" s="637">
        <f t="shared" si="54"/>
        <v>0</v>
      </c>
      <c r="EG53" s="637">
        <f t="shared" si="55"/>
        <v>0</v>
      </c>
      <c r="EH53" s="637">
        <f t="shared" si="56"/>
        <v>0</v>
      </c>
      <c r="EI53" s="643">
        <f t="shared" si="57"/>
        <v>0</v>
      </c>
      <c r="EJ53" s="637">
        <f t="shared" si="58"/>
        <v>0</v>
      </c>
      <c r="EK53" s="637">
        <f t="shared" si="59"/>
        <v>0</v>
      </c>
      <c r="EL53" s="637">
        <f t="shared" si="60"/>
        <v>0</v>
      </c>
      <c r="EM53" s="643">
        <f t="shared" si="61"/>
        <v>0</v>
      </c>
      <c r="EN53" s="637">
        <f t="shared" si="62"/>
        <v>0</v>
      </c>
      <c r="EO53" s="637">
        <f t="shared" si="63"/>
        <v>0</v>
      </c>
      <c r="EP53" s="637">
        <f t="shared" si="64"/>
        <v>0</v>
      </c>
      <c r="EQ53" s="643">
        <f t="shared" si="65"/>
        <v>0</v>
      </c>
      <c r="ER53" s="637">
        <f t="shared" si="66"/>
        <v>0</v>
      </c>
      <c r="ES53" s="637">
        <f t="shared" si="67"/>
        <v>0</v>
      </c>
      <c r="ET53" s="637">
        <f t="shared" si="68"/>
        <v>0</v>
      </c>
      <c r="EU53" s="643">
        <f t="shared" si="43"/>
        <v>0</v>
      </c>
      <c r="EV53" s="643">
        <f t="shared" si="44"/>
        <v>0</v>
      </c>
      <c r="EX53" s="829">
        <f t="shared" si="45"/>
        <v>0</v>
      </c>
      <c r="EY53" s="638">
        <f t="shared" si="46"/>
        <v>55541.660894927918</v>
      </c>
      <c r="FC53" s="830" t="str">
        <f t="shared" si="69"/>
        <v>Y</v>
      </c>
      <c r="FE53" s="830" t="str">
        <f>IFERROR(VLOOKUP($B53,'Historical Conc Grant Elig'!$B$3:$J$707,'HH &amp; SI'!FE$2,0),"N")</f>
        <v>Y</v>
      </c>
      <c r="FF53" s="830" t="str">
        <f>IFERROR(VLOOKUP($B53,'Historical Conc Grant Elig'!$B$3:$J$707,'HH &amp; SI'!FF$2,0),"N")</f>
        <v>Y</v>
      </c>
      <c r="FG53" s="830" t="str">
        <f>IFERROR(VLOOKUP($B53,'Historical Conc Grant Elig'!$B$3:$J$707,'HH &amp; SI'!FG$2,0),"N")</f>
        <v>Y</v>
      </c>
      <c r="FH53" s="830" t="str">
        <f>IFERROR(VLOOKUP($B53,'Historical Conc Grant Elig'!$B$3:$J$707,'HH &amp; SI'!FH$2,0),"N")</f>
        <v>Y</v>
      </c>
      <c r="FI53" s="830" t="str">
        <f>IFERROR(VLOOKUP($B53,'Historical Conc Grant Elig'!$B$3:$J$707,'HH &amp; SI'!FI$2,0),"N")</f>
        <v>Y</v>
      </c>
      <c r="FJ53" s="830" t="str">
        <f>IFERROR(VLOOKUP($B53,'Historical Conc Grant Elig'!$B$3:$J$707,'HH &amp; SI'!FJ$2,0),"N")</f>
        <v>Y</v>
      </c>
      <c r="FK53" s="830" t="str">
        <f>IFERROR(VLOOKUP($B53,'Historical Conc Grant Elig'!$B$3:$J$707,'HH &amp; SI'!FK$2,0),"N")</f>
        <v>Y</v>
      </c>
      <c r="FL53" s="957" t="str">
        <f>IFERROR(VLOOKUP($B53,'Historical Conc Grant Elig'!$B$3:$J$707,'HH &amp; SI'!FL$2,0),"N")</f>
        <v>Y</v>
      </c>
    </row>
    <row r="54" spans="2:168" x14ac:dyDescent="0.25">
      <c r="B54" s="634">
        <v>40201000</v>
      </c>
      <c r="C54" s="635" t="str">
        <f>VLOOKUP($B54,'Afton Update'!$A$5:$CR$582,'Afton Update'!D$589,0)</f>
        <v>Globe Unified District</v>
      </c>
      <c r="D54" s="636">
        <f>IFERROR(VLOOKUP($B54,'Afton FY16 Final'!$A$5:$BV$587,'Afton FY16 Final'!AQ$587,0),0)</f>
        <v>227195.58003611685</v>
      </c>
      <c r="E54" s="637">
        <f>IFERROR(VLOOKUP($B54,'Afton FY16 Final'!$A$5:$BV$587,'Afton FY16 Final'!AR$587,0),0)</f>
        <v>53000.075050837142</v>
      </c>
      <c r="F54" s="637">
        <f>IFERROR(VLOOKUP($B54,'Afton FY16 Final'!$A$5:$BV$587,'Afton FY16 Final'!AS$587,0),0)</f>
        <v>99601.611321140837</v>
      </c>
      <c r="G54" s="637">
        <f>IFERROR(VLOOKUP($B54,'Afton FY16 Final'!$A$5:$BV$587,'Afton FY16 Final'!AT$587,0),0)</f>
        <v>71921.819417592546</v>
      </c>
      <c r="H54" s="638">
        <f>IFERROR(VLOOKUP($B54,'Afton FY16 Final'!$A$5:$BV$587,'Afton FY16 Final'!AU$587,0),0)</f>
        <v>451719.08582568739</v>
      </c>
      <c r="I54" s="639" t="str">
        <f>VLOOKUP($B54,'Afton Update'!$A$5:$CR$582,'Afton Update'!BT$589,0)</f>
        <v>Y</v>
      </c>
      <c r="J54" s="640" t="str">
        <f>VLOOKUP($B54,'Afton Update'!$A$5:$CR$582,'Afton Update'!BU$589,0)</f>
        <v>Y</v>
      </c>
      <c r="K54" s="640" t="str">
        <f>VLOOKUP($B54,'Afton Update'!$A$5:$CR$582,'Afton Update'!BV$589,0)</f>
        <v>Y</v>
      </c>
      <c r="L54" s="641" t="str">
        <f>VLOOKUP($B54,'Afton Update'!$A$5:$CR$582,'Afton Update'!BW$589,0)</f>
        <v>Y</v>
      </c>
      <c r="N54" s="642">
        <f>VLOOKUP($B54,'Afton Update'!$A$5:$CR$582,'Afton Update'!CB$589,0)</f>
        <v>0.9</v>
      </c>
      <c r="P54" s="636">
        <f>VLOOKUP($B54,'Afton Update'!$A$5:$CR$582,'Afton Update'!AH$589,0)</f>
        <v>215539.1744635475</v>
      </c>
      <c r="Q54" s="637">
        <f>VLOOKUP($B54,'Afton Update'!$A$5:$CR$582,'Afton Update'!AI$589,0)</f>
        <v>51410.847386956724</v>
      </c>
      <c r="R54" s="637">
        <f>VLOOKUP($B54,'Afton Update'!$A$5:$CR$582,'Afton Update'!AJ$589,0)</f>
        <v>96146.892519122091</v>
      </c>
      <c r="S54" s="637">
        <f>VLOOKUP($B54,'Afton Update'!$A$5:$CR$582,'Afton Update'!AK$589,0)</f>
        <v>77360.409876518534</v>
      </c>
      <c r="T54" s="643">
        <f t="shared" si="47"/>
        <v>440457.32424614485</v>
      </c>
      <c r="V54" s="636">
        <f t="shared" si="70"/>
        <v>212599.08022521849</v>
      </c>
      <c r="W54" s="637">
        <f t="shared" si="71"/>
        <v>49717.562036985822</v>
      </c>
      <c r="X54" s="637">
        <f t="shared" si="72"/>
        <v>95272.474070795492</v>
      </c>
      <c r="Y54" s="637">
        <f t="shared" si="73"/>
        <v>76508.037415530474</v>
      </c>
      <c r="Z54" s="643">
        <f t="shared" si="74"/>
        <v>434097.15374853025</v>
      </c>
      <c r="AB54" s="644">
        <f t="shared" si="11"/>
        <v>215539.1744635475</v>
      </c>
      <c r="AC54" s="645">
        <f t="shared" si="12"/>
        <v>204476.02203250516</v>
      </c>
      <c r="AD54" s="644">
        <f t="shared" si="75"/>
        <v>0</v>
      </c>
      <c r="AE54" s="645">
        <f t="shared" si="76"/>
        <v>215539.1744635475</v>
      </c>
      <c r="AF54" s="646">
        <f t="shared" si="77"/>
        <v>-2671.7700408536293</v>
      </c>
      <c r="AG54" s="647">
        <f t="shared" si="78"/>
        <v>212867.40442269389</v>
      </c>
      <c r="AH54" s="644">
        <f t="shared" si="13"/>
        <v>0</v>
      </c>
      <c r="AI54" s="645">
        <f t="shared" si="14"/>
        <v>212867.40442269389</v>
      </c>
      <c r="AJ54" s="646">
        <f t="shared" si="79"/>
        <v>-268.15324895331025</v>
      </c>
      <c r="AK54" s="647">
        <f t="shared" si="15"/>
        <v>212599.25117374057</v>
      </c>
      <c r="AL54" s="644">
        <f t="shared" si="80"/>
        <v>0</v>
      </c>
      <c r="AM54" s="645">
        <f t="shared" si="81"/>
        <v>212599.25117374057</v>
      </c>
      <c r="AN54" s="646">
        <f t="shared" si="82"/>
        <v>-0.17094852207335257</v>
      </c>
      <c r="AO54" s="647">
        <f t="shared" si="16"/>
        <v>212599.08022521849</v>
      </c>
      <c r="AP54" s="644">
        <f t="shared" si="83"/>
        <v>0</v>
      </c>
      <c r="AQ54" s="645">
        <f t="shared" si="84"/>
        <v>212599.08022521849</v>
      </c>
      <c r="AR54" s="646">
        <f t="shared" si="85"/>
        <v>0</v>
      </c>
      <c r="AS54" s="647">
        <f t="shared" si="17"/>
        <v>212599.08022521849</v>
      </c>
      <c r="AT54" s="644">
        <f t="shared" si="86"/>
        <v>0</v>
      </c>
      <c r="AU54" s="645">
        <f t="shared" si="87"/>
        <v>212599.08022521849</v>
      </c>
      <c r="AV54" s="646">
        <f t="shared" si="88"/>
        <v>0</v>
      </c>
      <c r="AW54" s="647">
        <f t="shared" si="18"/>
        <v>212599.08022521849</v>
      </c>
      <c r="AY54" s="644">
        <f t="shared" si="89"/>
        <v>51410.847386956724</v>
      </c>
      <c r="AZ54" s="645">
        <f t="shared" si="48"/>
        <v>47700.067545753431</v>
      </c>
      <c r="BA54" s="644">
        <f t="shared" si="90"/>
        <v>0</v>
      </c>
      <c r="BB54" s="645">
        <f t="shared" si="91"/>
        <v>51410.847386956724</v>
      </c>
      <c r="BC54" s="646">
        <f t="shared" si="92"/>
        <v>-369.71038624569985</v>
      </c>
      <c r="BD54" s="647">
        <f t="shared" si="93"/>
        <v>51041.137000711024</v>
      </c>
      <c r="BE54" s="644">
        <f t="shared" si="19"/>
        <v>0</v>
      </c>
      <c r="BF54" s="645">
        <f t="shared" si="20"/>
        <v>51041.137000711024</v>
      </c>
      <c r="BG54" s="646">
        <f t="shared" si="94"/>
        <v>-1215.7582878311491</v>
      </c>
      <c r="BH54" s="647">
        <f t="shared" si="21"/>
        <v>49825.378712879872</v>
      </c>
      <c r="BI54" s="644">
        <f t="shared" si="95"/>
        <v>0</v>
      </c>
      <c r="BJ54" s="645">
        <f t="shared" si="96"/>
        <v>49825.378712879872</v>
      </c>
      <c r="BK54" s="646">
        <f t="shared" si="97"/>
        <v>-105.54185470068145</v>
      </c>
      <c r="BL54" s="647">
        <f t="shared" si="22"/>
        <v>49719.836858179187</v>
      </c>
      <c r="BM54" s="644">
        <f t="shared" si="98"/>
        <v>0</v>
      </c>
      <c r="BN54" s="645">
        <f t="shared" si="99"/>
        <v>49719.836858179187</v>
      </c>
      <c r="BO54" s="646">
        <f t="shared" si="100"/>
        <v>-2.2748211933621323</v>
      </c>
      <c r="BP54" s="647">
        <f t="shared" si="23"/>
        <v>49717.562036985822</v>
      </c>
      <c r="BQ54" s="644">
        <f t="shared" si="101"/>
        <v>0</v>
      </c>
      <c r="BR54" s="645">
        <f t="shared" si="102"/>
        <v>49717.562036985822</v>
      </c>
      <c r="BS54" s="646">
        <f t="shared" si="103"/>
        <v>0</v>
      </c>
      <c r="BT54" s="647">
        <f t="shared" si="24"/>
        <v>49717.562036985822</v>
      </c>
      <c r="BU54" s="662">
        <f>VLOOKUP(B54,'Afton Update'!$A$5:$AR$582,'Afton Update'!$AO$589,0)-BT54</f>
        <v>0</v>
      </c>
      <c r="BV54" s="644">
        <f t="shared" si="104"/>
        <v>96146.892519122091</v>
      </c>
      <c r="BW54" s="645">
        <f t="shared" si="25"/>
        <v>89641.450189026757</v>
      </c>
      <c r="BX54" s="644">
        <f t="shared" si="105"/>
        <v>0</v>
      </c>
      <c r="BY54" s="645">
        <f t="shared" si="106"/>
        <v>96146.892519122091</v>
      </c>
      <c r="BZ54" s="646">
        <f t="shared" si="107"/>
        <v>-843.89149786374901</v>
      </c>
      <c r="CA54" s="647">
        <f t="shared" si="108"/>
        <v>95303.001021258344</v>
      </c>
      <c r="CB54" s="644">
        <f t="shared" si="26"/>
        <v>0</v>
      </c>
      <c r="CC54" s="645">
        <f t="shared" si="27"/>
        <v>95303.001021258344</v>
      </c>
      <c r="CD54" s="646">
        <f t="shared" si="109"/>
        <v>-30.526950462851971</v>
      </c>
      <c r="CE54" s="647">
        <f t="shared" si="28"/>
        <v>95272.474070795492</v>
      </c>
      <c r="CF54" s="644">
        <f t="shared" si="110"/>
        <v>0</v>
      </c>
      <c r="CG54" s="645">
        <f t="shared" si="111"/>
        <v>95272.474070795492</v>
      </c>
      <c r="CH54" s="646">
        <f t="shared" si="112"/>
        <v>0</v>
      </c>
      <c r="CI54" s="647">
        <f t="shared" si="29"/>
        <v>95272.474070795492</v>
      </c>
      <c r="CJ54" s="644">
        <f t="shared" si="113"/>
        <v>0</v>
      </c>
      <c r="CK54" s="645">
        <f t="shared" si="114"/>
        <v>95272.474070795492</v>
      </c>
      <c r="CL54" s="646">
        <f t="shared" si="115"/>
        <v>0</v>
      </c>
      <c r="CM54" s="647">
        <f t="shared" si="30"/>
        <v>95272.474070795492</v>
      </c>
      <c r="CN54" s="644">
        <f t="shared" si="116"/>
        <v>0</v>
      </c>
      <c r="CO54" s="645">
        <f t="shared" si="117"/>
        <v>95272.474070795492</v>
      </c>
      <c r="CP54" s="646">
        <f t="shared" si="118"/>
        <v>0</v>
      </c>
      <c r="CQ54" s="647">
        <f t="shared" si="31"/>
        <v>95272.474070795492</v>
      </c>
      <c r="CS54" s="644">
        <f t="shared" si="119"/>
        <v>77360.409876518534</v>
      </c>
      <c r="CT54" s="645">
        <f t="shared" si="32"/>
        <v>64729.637475833289</v>
      </c>
      <c r="CU54" s="644">
        <f t="shared" si="120"/>
        <v>0</v>
      </c>
      <c r="CV54" s="645">
        <f t="shared" si="121"/>
        <v>77360.409876518534</v>
      </c>
      <c r="CW54" s="646">
        <f t="shared" si="122"/>
        <v>-792.21431520322005</v>
      </c>
      <c r="CX54" s="647">
        <f t="shared" si="123"/>
        <v>76568.195561315311</v>
      </c>
      <c r="CY54" s="644">
        <f t="shared" si="33"/>
        <v>0</v>
      </c>
      <c r="CZ54" s="645">
        <f t="shared" si="34"/>
        <v>76568.195561315311</v>
      </c>
      <c r="DA54" s="646">
        <f t="shared" si="124"/>
        <v>-60.106311577495433</v>
      </c>
      <c r="DB54" s="647">
        <f t="shared" si="35"/>
        <v>76508.089249737823</v>
      </c>
      <c r="DC54" s="644">
        <f t="shared" si="125"/>
        <v>0</v>
      </c>
      <c r="DD54" s="645">
        <f t="shared" si="126"/>
        <v>76508.089249737823</v>
      </c>
      <c r="DE54" s="646">
        <f t="shared" si="127"/>
        <v>-5.1834207351993317E-2</v>
      </c>
      <c r="DF54" s="647">
        <f t="shared" si="36"/>
        <v>76508.037415530474</v>
      </c>
      <c r="DG54" s="644">
        <f t="shared" si="128"/>
        <v>0</v>
      </c>
      <c r="DH54" s="645">
        <f t="shared" si="129"/>
        <v>76508.037415530474</v>
      </c>
      <c r="DI54" s="646">
        <f t="shared" si="130"/>
        <v>0</v>
      </c>
      <c r="DJ54" s="647">
        <f t="shared" si="37"/>
        <v>76508.037415530474</v>
      </c>
      <c r="DK54" s="644">
        <f t="shared" si="131"/>
        <v>0</v>
      </c>
      <c r="DL54" s="645">
        <f t="shared" si="132"/>
        <v>76508.037415530474</v>
      </c>
      <c r="DM54" s="646">
        <f t="shared" si="133"/>
        <v>0</v>
      </c>
      <c r="DN54" s="647">
        <f t="shared" si="38"/>
        <v>76508.037415530474</v>
      </c>
      <c r="DR54" s="827">
        <f t="shared" si="49"/>
        <v>434097.15374853025</v>
      </c>
      <c r="DV54" s="828">
        <f>IFERROR(VLOOKUP($B54,'Afton FY16 Final'!$A$5:$BV$587,'Afton FY16 Final'!$BV$587,0),0)</f>
        <v>401049.9273049676</v>
      </c>
      <c r="DX54" s="636">
        <f t="shared" si="39"/>
        <v>434097.15374853025</v>
      </c>
      <c r="DY54" s="637">
        <f t="shared" si="40"/>
        <v>33047.226443562657</v>
      </c>
      <c r="DZ54" s="637">
        <f t="shared" si="41"/>
        <v>401049.9273049676</v>
      </c>
      <c r="EA54" s="643">
        <f t="shared" si="42"/>
        <v>411008.05026996328</v>
      </c>
      <c r="EB54" s="637">
        <f t="shared" si="50"/>
        <v>0</v>
      </c>
      <c r="EC54" s="637">
        <f t="shared" si="51"/>
        <v>411008.05026996328</v>
      </c>
      <c r="ED54" s="637">
        <f t="shared" si="52"/>
        <v>409782.44880441437</v>
      </c>
      <c r="EE54" s="643">
        <f t="shared" si="53"/>
        <v>409782.44880441437</v>
      </c>
      <c r="EF54" s="637">
        <f t="shared" si="54"/>
        <v>0</v>
      </c>
      <c r="EG54" s="637">
        <f t="shared" si="55"/>
        <v>409782.44880441437</v>
      </c>
      <c r="EH54" s="637">
        <f t="shared" si="56"/>
        <v>409782.02604785695</v>
      </c>
      <c r="EI54" s="643">
        <f t="shared" si="57"/>
        <v>409782.02604785695</v>
      </c>
      <c r="EJ54" s="637">
        <f t="shared" si="58"/>
        <v>0</v>
      </c>
      <c r="EK54" s="637">
        <f t="shared" si="59"/>
        <v>409782.02604785695</v>
      </c>
      <c r="EL54" s="637">
        <f t="shared" si="60"/>
        <v>409782.02604785637</v>
      </c>
      <c r="EM54" s="643">
        <f t="shared" si="61"/>
        <v>409782.02604785637</v>
      </c>
      <c r="EN54" s="637">
        <f t="shared" si="62"/>
        <v>0</v>
      </c>
      <c r="EO54" s="637">
        <f t="shared" si="63"/>
        <v>409782.02604785637</v>
      </c>
      <c r="EP54" s="637">
        <f t="shared" si="64"/>
        <v>409782.02604785701</v>
      </c>
      <c r="EQ54" s="643">
        <f t="shared" si="65"/>
        <v>409782.02604785701</v>
      </c>
      <c r="ER54" s="637">
        <f t="shared" si="66"/>
        <v>0</v>
      </c>
      <c r="ES54" s="637">
        <f t="shared" si="67"/>
        <v>409782.02604785701</v>
      </c>
      <c r="ET54" s="637">
        <f t="shared" si="68"/>
        <v>409782.02604785637</v>
      </c>
      <c r="EU54" s="643">
        <f t="shared" si="43"/>
        <v>409782.02604785637</v>
      </c>
      <c r="EV54" s="643">
        <f t="shared" si="44"/>
        <v>0</v>
      </c>
      <c r="EX54" s="829">
        <f t="shared" si="45"/>
        <v>24315.127700673882</v>
      </c>
      <c r="EY54" s="638">
        <f t="shared" si="46"/>
        <v>409782.02604785637</v>
      </c>
      <c r="FC54" s="830" t="str">
        <f t="shared" si="69"/>
        <v>Y</v>
      </c>
      <c r="FE54" s="830" t="str">
        <f>IFERROR(VLOOKUP($B54,'Historical Conc Grant Elig'!$B$3:$J$707,'HH &amp; SI'!FE$2,0),"N")</f>
        <v>Y</v>
      </c>
      <c r="FF54" s="830" t="str">
        <f>IFERROR(VLOOKUP($B54,'Historical Conc Grant Elig'!$B$3:$J$707,'HH &amp; SI'!FF$2,0),"N")</f>
        <v>Y</v>
      </c>
      <c r="FG54" s="830" t="str">
        <f>IFERROR(VLOOKUP($B54,'Historical Conc Grant Elig'!$B$3:$J$707,'HH &amp; SI'!FG$2,0),"N")</f>
        <v>Y</v>
      </c>
      <c r="FH54" s="830" t="str">
        <f>IFERROR(VLOOKUP($B54,'Historical Conc Grant Elig'!$B$3:$J$707,'HH &amp; SI'!FH$2,0),"N")</f>
        <v>Y</v>
      </c>
      <c r="FI54" s="830" t="str">
        <f>IFERROR(VLOOKUP($B54,'Historical Conc Grant Elig'!$B$3:$J$707,'HH &amp; SI'!FI$2,0),"N")</f>
        <v>Y</v>
      </c>
      <c r="FJ54" s="830" t="str">
        <f>IFERROR(VLOOKUP($B54,'Historical Conc Grant Elig'!$B$3:$J$707,'HH &amp; SI'!FJ$2,0),"N")</f>
        <v>Y</v>
      </c>
      <c r="FK54" s="830" t="str">
        <f>IFERROR(VLOOKUP($B54,'Historical Conc Grant Elig'!$B$3:$J$707,'HH &amp; SI'!FK$2,0),"N")</f>
        <v>Y</v>
      </c>
      <c r="FL54" s="957" t="str">
        <f>IFERROR(VLOOKUP($B54,'Historical Conc Grant Elig'!$B$3:$J$707,'HH &amp; SI'!FL$2,0),"N")</f>
        <v>Y</v>
      </c>
    </row>
    <row r="55" spans="2:168" x14ac:dyDescent="0.25">
      <c r="B55" s="634">
        <v>40210000</v>
      </c>
      <c r="C55" s="635" t="str">
        <f>VLOOKUP($B55,'Afton Update'!$A$5:$CR$582,'Afton Update'!D$589,0)</f>
        <v>Payson Unified District</v>
      </c>
      <c r="D55" s="636">
        <f>IFERROR(VLOOKUP($B55,'Afton FY16 Final'!$A$5:$BV$587,'Afton FY16 Final'!AQ$587,0),0)</f>
        <v>355451.1494113442</v>
      </c>
      <c r="E55" s="637">
        <f>IFERROR(VLOOKUP($B55,'Afton FY16 Final'!$A$5:$BV$587,'Afton FY16 Final'!AR$587,0),0)</f>
        <v>82919.472256954919</v>
      </c>
      <c r="F55" s="637">
        <f>IFERROR(VLOOKUP($B55,'Afton FY16 Final'!$A$5:$BV$587,'Afton FY16 Final'!AS$587,0),0)</f>
        <v>150440.25467914104</v>
      </c>
      <c r="G55" s="637">
        <f>IFERROR(VLOOKUP($B55,'Afton FY16 Final'!$A$5:$BV$587,'Afton FY16 Final'!AT$587,0),0)</f>
        <v>128709.61868977852</v>
      </c>
      <c r="H55" s="638">
        <f>IFERROR(VLOOKUP($B55,'Afton FY16 Final'!$A$5:$BV$587,'Afton FY16 Final'!AU$587,0),0)</f>
        <v>717520.49503721867</v>
      </c>
      <c r="I55" s="639" t="str">
        <f>VLOOKUP($B55,'Afton Update'!$A$5:$CR$582,'Afton Update'!BT$589,0)</f>
        <v>Y</v>
      </c>
      <c r="J55" s="640" t="str">
        <f>VLOOKUP($B55,'Afton Update'!$A$5:$CR$582,'Afton Update'!BU$589,0)</f>
        <v>Y</v>
      </c>
      <c r="K55" s="640" t="str">
        <f>VLOOKUP($B55,'Afton Update'!$A$5:$CR$582,'Afton Update'!BV$589,0)</f>
        <v>Y</v>
      </c>
      <c r="L55" s="641" t="str">
        <f>VLOOKUP($B55,'Afton Update'!$A$5:$CR$582,'Afton Update'!BW$589,0)</f>
        <v>Y</v>
      </c>
      <c r="N55" s="642">
        <f>VLOOKUP($B55,'Afton Update'!$A$5:$CR$582,'Afton Update'!CB$589,0)</f>
        <v>0.9</v>
      </c>
      <c r="P55" s="636">
        <f>VLOOKUP($B55,'Afton Update'!$A$5:$CR$582,'Afton Update'!AH$589,0)</f>
        <v>348326.70158841176</v>
      </c>
      <c r="Q55" s="637">
        <f>VLOOKUP($B55,'Afton Update'!$A$5:$CR$582,'Afton Update'!AI$589,0)</f>
        <v>83083.601580706891</v>
      </c>
      <c r="R55" s="637">
        <f>VLOOKUP($B55,'Afton Update'!$A$5:$CR$582,'Afton Update'!AJ$589,0)</f>
        <v>153390.87365598493</v>
      </c>
      <c r="S55" s="637">
        <f>VLOOKUP($B55,'Afton Update'!$A$5:$CR$582,'Afton Update'!AK$589,0)</f>
        <v>122755.37583874031</v>
      </c>
      <c r="T55" s="643">
        <f t="shared" si="47"/>
        <v>707556.55266384385</v>
      </c>
      <c r="V55" s="636">
        <f t="shared" si="70"/>
        <v>343575.29929254076</v>
      </c>
      <c r="W55" s="637">
        <f t="shared" si="71"/>
        <v>80347.131506200341</v>
      </c>
      <c r="X55" s="637">
        <f t="shared" si="72"/>
        <v>151995.84354928593</v>
      </c>
      <c r="Y55" s="637">
        <f t="shared" si="73"/>
        <v>121402.83256796142</v>
      </c>
      <c r="Z55" s="643">
        <f t="shared" si="74"/>
        <v>697321.10691598849</v>
      </c>
      <c r="AB55" s="644">
        <f t="shared" si="11"/>
        <v>348326.70158841176</v>
      </c>
      <c r="AC55" s="645">
        <f t="shared" si="12"/>
        <v>319906.03447020979</v>
      </c>
      <c r="AD55" s="644">
        <f t="shared" si="75"/>
        <v>0</v>
      </c>
      <c r="AE55" s="645">
        <f t="shared" si="76"/>
        <v>348326.70158841176</v>
      </c>
      <c r="AF55" s="646">
        <f t="shared" si="77"/>
        <v>-4317.7712267366696</v>
      </c>
      <c r="AG55" s="647">
        <f t="shared" si="78"/>
        <v>344008.9303616751</v>
      </c>
      <c r="AH55" s="644">
        <f t="shared" si="13"/>
        <v>0</v>
      </c>
      <c r="AI55" s="645">
        <f t="shared" si="14"/>
        <v>344008.9303616751</v>
      </c>
      <c r="AJ55" s="646">
        <f t="shared" si="79"/>
        <v>-433.35480411204628</v>
      </c>
      <c r="AK55" s="647">
        <f t="shared" si="15"/>
        <v>343575.57555756305</v>
      </c>
      <c r="AL55" s="644">
        <f t="shared" si="80"/>
        <v>0</v>
      </c>
      <c r="AM55" s="645">
        <f t="shared" si="81"/>
        <v>343575.57555756305</v>
      </c>
      <c r="AN55" s="646">
        <f t="shared" si="82"/>
        <v>-0.27626502227925742</v>
      </c>
      <c r="AO55" s="647">
        <f t="shared" si="16"/>
        <v>343575.29929254076</v>
      </c>
      <c r="AP55" s="644">
        <f t="shared" si="83"/>
        <v>0</v>
      </c>
      <c r="AQ55" s="645">
        <f t="shared" si="84"/>
        <v>343575.29929254076</v>
      </c>
      <c r="AR55" s="646">
        <f t="shared" si="85"/>
        <v>0</v>
      </c>
      <c r="AS55" s="647">
        <f t="shared" si="17"/>
        <v>343575.29929254076</v>
      </c>
      <c r="AT55" s="644">
        <f t="shared" si="86"/>
        <v>0</v>
      </c>
      <c r="AU55" s="645">
        <f t="shared" si="87"/>
        <v>343575.29929254076</v>
      </c>
      <c r="AV55" s="646">
        <f t="shared" si="88"/>
        <v>0</v>
      </c>
      <c r="AW55" s="647">
        <f t="shared" si="18"/>
        <v>343575.29929254076</v>
      </c>
      <c r="AY55" s="644">
        <f t="shared" si="89"/>
        <v>83083.601580706891</v>
      </c>
      <c r="AZ55" s="645">
        <f t="shared" si="48"/>
        <v>74627.525031259429</v>
      </c>
      <c r="BA55" s="644">
        <f t="shared" si="90"/>
        <v>0</v>
      </c>
      <c r="BB55" s="645">
        <f t="shared" si="91"/>
        <v>83083.601580706891</v>
      </c>
      <c r="BC55" s="646">
        <f t="shared" si="92"/>
        <v>-597.47839205778303</v>
      </c>
      <c r="BD55" s="647">
        <f t="shared" si="93"/>
        <v>82486.1231886491</v>
      </c>
      <c r="BE55" s="644">
        <f t="shared" si="19"/>
        <v>0</v>
      </c>
      <c r="BF55" s="645">
        <f t="shared" si="20"/>
        <v>82486.1231886491</v>
      </c>
      <c r="BG55" s="646">
        <f t="shared" si="94"/>
        <v>-1964.75223301284</v>
      </c>
      <c r="BH55" s="647">
        <f t="shared" si="21"/>
        <v>80521.370955636259</v>
      </c>
      <c r="BI55" s="644">
        <f t="shared" si="95"/>
        <v>0</v>
      </c>
      <c r="BJ55" s="645">
        <f t="shared" si="96"/>
        <v>80521.370955636259</v>
      </c>
      <c r="BK55" s="646">
        <f t="shared" si="97"/>
        <v>-170.56317590020851</v>
      </c>
      <c r="BL55" s="647">
        <f t="shared" si="22"/>
        <v>80350.807779736046</v>
      </c>
      <c r="BM55" s="644">
        <f t="shared" si="98"/>
        <v>0</v>
      </c>
      <c r="BN55" s="645">
        <f t="shared" si="99"/>
        <v>80350.807779736046</v>
      </c>
      <c r="BO55" s="646">
        <f t="shared" si="100"/>
        <v>-3.6762735357013048</v>
      </c>
      <c r="BP55" s="647">
        <f t="shared" si="23"/>
        <v>80347.131506200341</v>
      </c>
      <c r="BQ55" s="644">
        <f t="shared" si="101"/>
        <v>0</v>
      </c>
      <c r="BR55" s="645">
        <f t="shared" si="102"/>
        <v>80347.131506200341</v>
      </c>
      <c r="BS55" s="646">
        <f t="shared" si="103"/>
        <v>0</v>
      </c>
      <c r="BT55" s="647">
        <f t="shared" si="24"/>
        <v>80347.131506200341</v>
      </c>
      <c r="BU55" s="662">
        <f>VLOOKUP(B55,'Afton Update'!$A$5:$AR$582,'Afton Update'!$AO$589,0)-BT55</f>
        <v>0</v>
      </c>
      <c r="BV55" s="644">
        <f t="shared" si="104"/>
        <v>153390.87365598493</v>
      </c>
      <c r="BW55" s="645">
        <f t="shared" si="25"/>
        <v>135396.22921122695</v>
      </c>
      <c r="BX55" s="644">
        <f t="shared" si="105"/>
        <v>0</v>
      </c>
      <c r="BY55" s="645">
        <f t="shared" si="106"/>
        <v>153390.87365598493</v>
      </c>
      <c r="BZ55" s="646">
        <f t="shared" si="107"/>
        <v>-1346.3280064140774</v>
      </c>
      <c r="CA55" s="647">
        <f t="shared" si="108"/>
        <v>152044.54564957085</v>
      </c>
      <c r="CB55" s="644">
        <f t="shared" si="26"/>
        <v>0</v>
      </c>
      <c r="CC55" s="645">
        <f t="shared" si="27"/>
        <v>152044.54564957085</v>
      </c>
      <c r="CD55" s="646">
        <f t="shared" si="109"/>
        <v>-48.702100284921336</v>
      </c>
      <c r="CE55" s="647">
        <f t="shared" si="28"/>
        <v>151995.84354928593</v>
      </c>
      <c r="CF55" s="644">
        <f t="shared" si="110"/>
        <v>0</v>
      </c>
      <c r="CG55" s="645">
        <f t="shared" si="111"/>
        <v>151995.84354928593</v>
      </c>
      <c r="CH55" s="646">
        <f t="shared" si="112"/>
        <v>0</v>
      </c>
      <c r="CI55" s="647">
        <f t="shared" si="29"/>
        <v>151995.84354928593</v>
      </c>
      <c r="CJ55" s="644">
        <f t="shared" si="113"/>
        <v>0</v>
      </c>
      <c r="CK55" s="645">
        <f t="shared" si="114"/>
        <v>151995.84354928593</v>
      </c>
      <c r="CL55" s="646">
        <f t="shared" si="115"/>
        <v>0</v>
      </c>
      <c r="CM55" s="647">
        <f t="shared" si="30"/>
        <v>151995.84354928593</v>
      </c>
      <c r="CN55" s="644">
        <f t="shared" si="116"/>
        <v>0</v>
      </c>
      <c r="CO55" s="645">
        <f t="shared" si="117"/>
        <v>151995.84354928593</v>
      </c>
      <c r="CP55" s="646">
        <f t="shared" si="118"/>
        <v>0</v>
      </c>
      <c r="CQ55" s="647">
        <f t="shared" si="31"/>
        <v>151995.84354928593</v>
      </c>
      <c r="CS55" s="644">
        <f t="shared" si="119"/>
        <v>122755.37583874031</v>
      </c>
      <c r="CT55" s="645">
        <f t="shared" si="32"/>
        <v>115838.65682080068</v>
      </c>
      <c r="CU55" s="644">
        <f t="shared" si="120"/>
        <v>0</v>
      </c>
      <c r="CV55" s="645">
        <f t="shared" si="121"/>
        <v>122755.37583874031</v>
      </c>
      <c r="CW55" s="646">
        <f t="shared" si="122"/>
        <v>-1257.0844203492225</v>
      </c>
      <c r="CX55" s="647">
        <f t="shared" si="123"/>
        <v>121498.29141839109</v>
      </c>
      <c r="CY55" s="644">
        <f t="shared" si="33"/>
        <v>0</v>
      </c>
      <c r="CZ55" s="645">
        <f t="shared" si="34"/>
        <v>121498.29141839109</v>
      </c>
      <c r="DA55" s="646">
        <f t="shared" si="124"/>
        <v>-95.376599991560596</v>
      </c>
      <c r="DB55" s="647">
        <f t="shared" si="35"/>
        <v>121402.91481839953</v>
      </c>
      <c r="DC55" s="644">
        <f t="shared" si="125"/>
        <v>0</v>
      </c>
      <c r="DD55" s="645">
        <f t="shared" si="126"/>
        <v>121402.91481839953</v>
      </c>
      <c r="DE55" s="646">
        <f t="shared" si="127"/>
        <v>-8.2250438111089896E-2</v>
      </c>
      <c r="DF55" s="647">
        <f t="shared" si="36"/>
        <v>121402.83256796142</v>
      </c>
      <c r="DG55" s="644">
        <f t="shared" si="128"/>
        <v>0</v>
      </c>
      <c r="DH55" s="645">
        <f t="shared" si="129"/>
        <v>121402.83256796142</v>
      </c>
      <c r="DI55" s="646">
        <f t="shared" si="130"/>
        <v>0</v>
      </c>
      <c r="DJ55" s="647">
        <f t="shared" si="37"/>
        <v>121402.83256796142</v>
      </c>
      <c r="DK55" s="644">
        <f t="shared" si="131"/>
        <v>0</v>
      </c>
      <c r="DL55" s="645">
        <f t="shared" si="132"/>
        <v>121402.83256796142</v>
      </c>
      <c r="DM55" s="646">
        <f t="shared" si="133"/>
        <v>0</v>
      </c>
      <c r="DN55" s="647">
        <f t="shared" si="38"/>
        <v>121402.83256796142</v>
      </c>
      <c r="DR55" s="827">
        <f t="shared" si="49"/>
        <v>697321.10691598849</v>
      </c>
      <c r="DV55" s="828">
        <f>IFERROR(VLOOKUP($B55,'Afton FY16 Final'!$A$5:$BV$587,'Afton FY16 Final'!$BV$587,0),0)</f>
        <v>661385.81143281062</v>
      </c>
      <c r="DX55" s="636">
        <f t="shared" si="39"/>
        <v>697321.10691598849</v>
      </c>
      <c r="DY55" s="637">
        <f t="shared" si="40"/>
        <v>35935.295483177877</v>
      </c>
      <c r="DZ55" s="637">
        <f t="shared" si="41"/>
        <v>661385.81143281062</v>
      </c>
      <c r="EA55" s="643">
        <f t="shared" si="42"/>
        <v>660231.43918529642</v>
      </c>
      <c r="EB55" s="637">
        <f t="shared" si="50"/>
        <v>661385.81143281062</v>
      </c>
      <c r="EC55" s="637">
        <f t="shared" si="51"/>
        <v>0</v>
      </c>
      <c r="ED55" s="637">
        <f t="shared" si="52"/>
        <v>0</v>
      </c>
      <c r="EE55" s="643">
        <f t="shared" si="53"/>
        <v>661385.81143281062</v>
      </c>
      <c r="EF55" s="637">
        <f t="shared" si="54"/>
        <v>0</v>
      </c>
      <c r="EG55" s="637">
        <f t="shared" si="55"/>
        <v>0</v>
      </c>
      <c r="EH55" s="637">
        <f t="shared" si="56"/>
        <v>0</v>
      </c>
      <c r="EI55" s="643">
        <f t="shared" si="57"/>
        <v>661385.81143281062</v>
      </c>
      <c r="EJ55" s="637">
        <f t="shared" si="58"/>
        <v>0</v>
      </c>
      <c r="EK55" s="637">
        <f t="shared" si="59"/>
        <v>0</v>
      </c>
      <c r="EL55" s="637">
        <f t="shared" si="60"/>
        <v>0</v>
      </c>
      <c r="EM55" s="643">
        <f t="shared" si="61"/>
        <v>661385.81143281062</v>
      </c>
      <c r="EN55" s="637">
        <f t="shared" si="62"/>
        <v>0</v>
      </c>
      <c r="EO55" s="637">
        <f t="shared" si="63"/>
        <v>0</v>
      </c>
      <c r="EP55" s="637">
        <f t="shared" si="64"/>
        <v>0</v>
      </c>
      <c r="EQ55" s="643">
        <f t="shared" si="65"/>
        <v>661385.81143281062</v>
      </c>
      <c r="ER55" s="637">
        <f t="shared" si="66"/>
        <v>0</v>
      </c>
      <c r="ES55" s="637">
        <f t="shared" si="67"/>
        <v>0</v>
      </c>
      <c r="ET55" s="637">
        <f t="shared" si="68"/>
        <v>0</v>
      </c>
      <c r="EU55" s="643">
        <f t="shared" si="43"/>
        <v>661385.81143281062</v>
      </c>
      <c r="EV55" s="643">
        <f t="shared" si="44"/>
        <v>0</v>
      </c>
      <c r="EX55" s="829">
        <f t="shared" si="45"/>
        <v>35935.295483177877</v>
      </c>
      <c r="EY55" s="638">
        <f t="shared" si="46"/>
        <v>661385.81143281062</v>
      </c>
      <c r="FC55" s="830" t="str">
        <f t="shared" si="69"/>
        <v>Y</v>
      </c>
      <c r="FE55" s="830" t="str">
        <f>IFERROR(VLOOKUP($B55,'Historical Conc Grant Elig'!$B$3:$J$707,'HH &amp; SI'!FE$2,0),"N")</f>
        <v>Y</v>
      </c>
      <c r="FF55" s="830" t="str">
        <f>IFERROR(VLOOKUP($B55,'Historical Conc Grant Elig'!$B$3:$J$707,'HH &amp; SI'!FF$2,0),"N")</f>
        <v>Y</v>
      </c>
      <c r="FG55" s="830" t="str">
        <f>IFERROR(VLOOKUP($B55,'Historical Conc Grant Elig'!$B$3:$J$707,'HH &amp; SI'!FG$2,0),"N")</f>
        <v>Y</v>
      </c>
      <c r="FH55" s="830" t="str">
        <f>IFERROR(VLOOKUP($B55,'Historical Conc Grant Elig'!$B$3:$J$707,'HH &amp; SI'!FH$2,0),"N")</f>
        <v>Y</v>
      </c>
      <c r="FI55" s="830" t="str">
        <f>IFERROR(VLOOKUP($B55,'Historical Conc Grant Elig'!$B$3:$J$707,'HH &amp; SI'!FI$2,0),"N")</f>
        <v>Y</v>
      </c>
      <c r="FJ55" s="830" t="str">
        <f>IFERROR(VLOOKUP($B55,'Historical Conc Grant Elig'!$B$3:$J$707,'HH &amp; SI'!FJ$2,0),"N")</f>
        <v>Y</v>
      </c>
      <c r="FK55" s="830" t="str">
        <f>IFERROR(VLOOKUP($B55,'Historical Conc Grant Elig'!$B$3:$J$707,'HH &amp; SI'!FK$2,0),"N")</f>
        <v>Y</v>
      </c>
      <c r="FL55" s="957" t="str">
        <f>IFERROR(VLOOKUP($B55,'Historical Conc Grant Elig'!$B$3:$J$707,'HH &amp; SI'!FL$2,0),"N")</f>
        <v>Y</v>
      </c>
    </row>
    <row r="56" spans="2:168" x14ac:dyDescent="0.25">
      <c r="B56" s="634">
        <v>40220000</v>
      </c>
      <c r="C56" s="635" t="str">
        <f>VLOOKUP($B56,'Afton Update'!$A$5:$CR$582,'Afton Update'!D$589,0)</f>
        <v>San Carlos Unified District</v>
      </c>
      <c r="D56" s="636">
        <f>IFERROR(VLOOKUP($B56,'Afton FY16 Final'!$A$5:$BV$587,'Afton FY16 Final'!AQ$587,0),0)</f>
        <v>325905.74792428489</v>
      </c>
      <c r="E56" s="637">
        <f>IFERROR(VLOOKUP($B56,'Afton FY16 Final'!$A$5:$BV$587,'Afton FY16 Final'!AR$587,0),0)</f>
        <v>79042.313542340082</v>
      </c>
      <c r="F56" s="637">
        <f>IFERROR(VLOOKUP($B56,'Afton FY16 Final'!$A$5:$BV$587,'Afton FY16 Final'!AS$587,0),0)</f>
        <v>243851.37264328435</v>
      </c>
      <c r="G56" s="637">
        <f>IFERROR(VLOOKUP($B56,'Afton FY16 Final'!$A$5:$BV$587,'Afton FY16 Final'!AT$587,0),0)</f>
        <v>291514.43082361203</v>
      </c>
      <c r="H56" s="638">
        <f>IFERROR(VLOOKUP($B56,'Afton FY16 Final'!$A$5:$BV$587,'Afton FY16 Final'!AU$587,0),0)</f>
        <v>940313.86493352137</v>
      </c>
      <c r="I56" s="639" t="str">
        <f>VLOOKUP($B56,'Afton Update'!$A$5:$CR$582,'Afton Update'!BT$589,0)</f>
        <v>Y</v>
      </c>
      <c r="J56" s="640" t="str">
        <f>VLOOKUP($B56,'Afton Update'!$A$5:$CR$582,'Afton Update'!BU$589,0)</f>
        <v>Y</v>
      </c>
      <c r="K56" s="640" t="str">
        <f>VLOOKUP($B56,'Afton Update'!$A$5:$CR$582,'Afton Update'!BV$589,0)</f>
        <v>Y</v>
      </c>
      <c r="L56" s="641" t="str">
        <f>VLOOKUP($B56,'Afton Update'!$A$5:$CR$582,'Afton Update'!BW$589,0)</f>
        <v>Y</v>
      </c>
      <c r="N56" s="642">
        <f>VLOOKUP($B56,'Afton Update'!$A$5:$CR$582,'Afton Update'!CB$589,0)</f>
        <v>0.95</v>
      </c>
      <c r="P56" s="636">
        <f>VLOOKUP($B56,'Afton Update'!$A$5:$CR$582,'Afton Update'!AH$589,0)</f>
        <v>321865.41900918161</v>
      </c>
      <c r="Q56" s="637">
        <f>VLOOKUP($B56,'Afton Update'!$A$5:$CR$582,'Afton Update'!AI$589,0)</f>
        <v>77456.835969182444</v>
      </c>
      <c r="R56" s="637">
        <f>VLOOKUP($B56,'Afton Update'!$A$5:$CR$582,'Afton Update'!AJ$589,0)</f>
        <v>246387.0055079837</v>
      </c>
      <c r="S56" s="637">
        <f>VLOOKUP($B56,'Afton Update'!$A$5:$CR$582,'Afton Update'!AK$589,0)</f>
        <v>279801.80049677222</v>
      </c>
      <c r="T56" s="643">
        <f t="shared" si="47"/>
        <v>925511.06098312</v>
      </c>
      <c r="V56" s="636">
        <f t="shared" si="70"/>
        <v>317474.9657827483</v>
      </c>
      <c r="W56" s="637">
        <f t="shared" si="71"/>
        <v>75090.197865223075</v>
      </c>
      <c r="X56" s="637">
        <f t="shared" si="72"/>
        <v>244146.21189105761</v>
      </c>
      <c r="Y56" s="637">
        <f t="shared" si="73"/>
        <v>276938.7092824314</v>
      </c>
      <c r="Z56" s="643">
        <f t="shared" si="74"/>
        <v>913650.08482146042</v>
      </c>
      <c r="AB56" s="644">
        <f t="shared" si="11"/>
        <v>321865.41900918161</v>
      </c>
      <c r="AC56" s="645">
        <f t="shared" si="12"/>
        <v>309610.46052807063</v>
      </c>
      <c r="AD56" s="644">
        <f t="shared" si="75"/>
        <v>0</v>
      </c>
      <c r="AE56" s="645">
        <f t="shared" si="76"/>
        <v>321865.41900918161</v>
      </c>
      <c r="AF56" s="646">
        <f t="shared" si="77"/>
        <v>-3989.7637440425865</v>
      </c>
      <c r="AG56" s="647">
        <f t="shared" si="78"/>
        <v>317875.65526513901</v>
      </c>
      <c r="AH56" s="644">
        <f t="shared" si="13"/>
        <v>0</v>
      </c>
      <c r="AI56" s="645">
        <f t="shared" si="14"/>
        <v>317875.65526513901</v>
      </c>
      <c r="AJ56" s="646">
        <f t="shared" si="79"/>
        <v>-400.43420435215324</v>
      </c>
      <c r="AK56" s="647">
        <f t="shared" si="15"/>
        <v>317475.22106078686</v>
      </c>
      <c r="AL56" s="644">
        <f t="shared" si="80"/>
        <v>0</v>
      </c>
      <c r="AM56" s="645">
        <f t="shared" si="81"/>
        <v>317475.22106078686</v>
      </c>
      <c r="AN56" s="646">
        <f t="shared" si="82"/>
        <v>-0.25527803854257353</v>
      </c>
      <c r="AO56" s="647">
        <f t="shared" si="16"/>
        <v>317474.9657827483</v>
      </c>
      <c r="AP56" s="644">
        <f t="shared" si="83"/>
        <v>0</v>
      </c>
      <c r="AQ56" s="645">
        <f t="shared" si="84"/>
        <v>317474.9657827483</v>
      </c>
      <c r="AR56" s="646">
        <f t="shared" si="85"/>
        <v>0</v>
      </c>
      <c r="AS56" s="647">
        <f t="shared" si="17"/>
        <v>317474.9657827483</v>
      </c>
      <c r="AT56" s="644">
        <f t="shared" si="86"/>
        <v>0</v>
      </c>
      <c r="AU56" s="645">
        <f t="shared" si="87"/>
        <v>317474.9657827483</v>
      </c>
      <c r="AV56" s="646">
        <f t="shared" si="88"/>
        <v>0</v>
      </c>
      <c r="AW56" s="647">
        <f t="shared" si="18"/>
        <v>317474.9657827483</v>
      </c>
      <c r="AY56" s="644">
        <f t="shared" si="89"/>
        <v>77456.835969182444</v>
      </c>
      <c r="AZ56" s="645">
        <f t="shared" si="48"/>
        <v>75090.197865223075</v>
      </c>
      <c r="BA56" s="644">
        <f t="shared" si="90"/>
        <v>0</v>
      </c>
      <c r="BB56" s="645">
        <f t="shared" si="91"/>
        <v>77456.835969182444</v>
      </c>
      <c r="BC56" s="646">
        <f t="shared" si="92"/>
        <v>-557.01468073450883</v>
      </c>
      <c r="BD56" s="647">
        <f t="shared" si="93"/>
        <v>76899.821288447929</v>
      </c>
      <c r="BE56" s="644">
        <f t="shared" si="19"/>
        <v>0</v>
      </c>
      <c r="BF56" s="645">
        <f t="shared" si="20"/>
        <v>76899.821288447929</v>
      </c>
      <c r="BG56" s="646">
        <f t="shared" si="94"/>
        <v>-1831.6910742576606</v>
      </c>
      <c r="BH56" s="647">
        <f t="shared" si="21"/>
        <v>75068.130214190271</v>
      </c>
      <c r="BI56" s="644">
        <f t="shared" si="95"/>
        <v>-22.067651032804861</v>
      </c>
      <c r="BJ56" s="645">
        <f t="shared" si="96"/>
        <v>0</v>
      </c>
      <c r="BK56" s="646">
        <f t="shared" si="97"/>
        <v>0</v>
      </c>
      <c r="BL56" s="647">
        <f t="shared" si="22"/>
        <v>75090.197865223075</v>
      </c>
      <c r="BM56" s="644">
        <f t="shared" si="98"/>
        <v>0</v>
      </c>
      <c r="BN56" s="645">
        <f t="shared" si="99"/>
        <v>0</v>
      </c>
      <c r="BO56" s="646">
        <f t="shared" si="100"/>
        <v>0</v>
      </c>
      <c r="BP56" s="647">
        <f t="shared" si="23"/>
        <v>75090.197865223075</v>
      </c>
      <c r="BQ56" s="644">
        <f t="shared" si="101"/>
        <v>0</v>
      </c>
      <c r="BR56" s="645">
        <f t="shared" si="102"/>
        <v>0</v>
      </c>
      <c r="BS56" s="646">
        <f t="shared" si="103"/>
        <v>0</v>
      </c>
      <c r="BT56" s="647">
        <f t="shared" si="24"/>
        <v>75090.197865223075</v>
      </c>
      <c r="BU56" s="662">
        <f>VLOOKUP(B56,'Afton Update'!$A$5:$AR$582,'Afton Update'!$AO$589,0)-BT56</f>
        <v>0</v>
      </c>
      <c r="BV56" s="644">
        <f t="shared" si="104"/>
        <v>246387.0055079837</v>
      </c>
      <c r="BW56" s="645">
        <f t="shared" si="25"/>
        <v>231658.80401112011</v>
      </c>
      <c r="BX56" s="644">
        <f t="shared" si="105"/>
        <v>0</v>
      </c>
      <c r="BY56" s="645">
        <f t="shared" si="106"/>
        <v>246387.0055079837</v>
      </c>
      <c r="BZ56" s="646">
        <f t="shared" si="107"/>
        <v>-2162.5649429173532</v>
      </c>
      <c r="CA56" s="647">
        <f t="shared" si="108"/>
        <v>244224.44056506635</v>
      </c>
      <c r="CB56" s="644">
        <f t="shared" si="26"/>
        <v>0</v>
      </c>
      <c r="CC56" s="645">
        <f t="shared" si="27"/>
        <v>244224.44056506635</v>
      </c>
      <c r="CD56" s="646">
        <f t="shared" si="109"/>
        <v>-78.228674008749252</v>
      </c>
      <c r="CE56" s="647">
        <f t="shared" si="28"/>
        <v>244146.21189105761</v>
      </c>
      <c r="CF56" s="644">
        <f t="shared" si="110"/>
        <v>0</v>
      </c>
      <c r="CG56" s="645">
        <f t="shared" si="111"/>
        <v>244146.21189105761</v>
      </c>
      <c r="CH56" s="646">
        <f t="shared" si="112"/>
        <v>0</v>
      </c>
      <c r="CI56" s="647">
        <f t="shared" si="29"/>
        <v>244146.21189105761</v>
      </c>
      <c r="CJ56" s="644">
        <f t="shared" si="113"/>
        <v>0</v>
      </c>
      <c r="CK56" s="645">
        <f t="shared" si="114"/>
        <v>244146.21189105761</v>
      </c>
      <c r="CL56" s="646">
        <f t="shared" si="115"/>
        <v>0</v>
      </c>
      <c r="CM56" s="647">
        <f t="shared" si="30"/>
        <v>244146.21189105761</v>
      </c>
      <c r="CN56" s="644">
        <f t="shared" si="116"/>
        <v>0</v>
      </c>
      <c r="CO56" s="645">
        <f t="shared" si="117"/>
        <v>244146.21189105761</v>
      </c>
      <c r="CP56" s="646">
        <f t="shared" si="118"/>
        <v>0</v>
      </c>
      <c r="CQ56" s="647">
        <f t="shared" si="31"/>
        <v>244146.21189105761</v>
      </c>
      <c r="CS56" s="644">
        <f t="shared" si="119"/>
        <v>279801.80049677222</v>
      </c>
      <c r="CT56" s="645">
        <f t="shared" si="32"/>
        <v>276938.7092824314</v>
      </c>
      <c r="CU56" s="644">
        <f t="shared" si="120"/>
        <v>0</v>
      </c>
      <c r="CV56" s="645">
        <f t="shared" si="121"/>
        <v>279801.80049677222</v>
      </c>
      <c r="CW56" s="646">
        <f t="shared" si="122"/>
        <v>-2865.3285592332486</v>
      </c>
      <c r="CX56" s="647">
        <f t="shared" si="123"/>
        <v>276936.471937539</v>
      </c>
      <c r="CY56" s="644">
        <f t="shared" si="33"/>
        <v>-2.2373448924045078</v>
      </c>
      <c r="CZ56" s="645">
        <f t="shared" si="34"/>
        <v>0</v>
      </c>
      <c r="DA56" s="646">
        <f t="shared" si="124"/>
        <v>0</v>
      </c>
      <c r="DB56" s="647">
        <f t="shared" si="35"/>
        <v>276938.7092824314</v>
      </c>
      <c r="DC56" s="644">
        <f t="shared" si="125"/>
        <v>0</v>
      </c>
      <c r="DD56" s="645">
        <f t="shared" si="126"/>
        <v>0</v>
      </c>
      <c r="DE56" s="646">
        <f t="shared" si="127"/>
        <v>0</v>
      </c>
      <c r="DF56" s="647">
        <f t="shared" si="36"/>
        <v>276938.7092824314</v>
      </c>
      <c r="DG56" s="644">
        <f t="shared" si="128"/>
        <v>0</v>
      </c>
      <c r="DH56" s="645">
        <f t="shared" si="129"/>
        <v>0</v>
      </c>
      <c r="DI56" s="646">
        <f t="shared" si="130"/>
        <v>0</v>
      </c>
      <c r="DJ56" s="647">
        <f t="shared" si="37"/>
        <v>276938.7092824314</v>
      </c>
      <c r="DK56" s="644">
        <f t="shared" si="131"/>
        <v>0</v>
      </c>
      <c r="DL56" s="645">
        <f t="shared" si="132"/>
        <v>0</v>
      </c>
      <c r="DM56" s="646">
        <f t="shared" si="133"/>
        <v>0</v>
      </c>
      <c r="DN56" s="647">
        <f t="shared" si="38"/>
        <v>276938.7092824314</v>
      </c>
      <c r="DR56" s="827">
        <f t="shared" si="49"/>
        <v>913650.08482146042</v>
      </c>
      <c r="DV56" s="828">
        <f>IFERROR(VLOOKUP($B56,'Afton FY16 Final'!$A$5:$BV$587,'Afton FY16 Final'!$BV$587,0),0)</f>
        <v>921799.08508870448</v>
      </c>
      <c r="DX56" s="636">
        <f t="shared" si="39"/>
        <v>0</v>
      </c>
      <c r="DY56" s="637">
        <f t="shared" si="40"/>
        <v>0</v>
      </c>
      <c r="DZ56" s="637">
        <f t="shared" si="41"/>
        <v>0</v>
      </c>
      <c r="EA56" s="643">
        <f t="shared" si="42"/>
        <v>0</v>
      </c>
      <c r="EB56" s="637">
        <f t="shared" si="50"/>
        <v>0</v>
      </c>
      <c r="EC56" s="637">
        <f t="shared" si="51"/>
        <v>0</v>
      </c>
      <c r="ED56" s="637">
        <f t="shared" si="52"/>
        <v>0</v>
      </c>
      <c r="EE56" s="643">
        <f t="shared" si="53"/>
        <v>0</v>
      </c>
      <c r="EF56" s="637">
        <f t="shared" si="54"/>
        <v>0</v>
      </c>
      <c r="EG56" s="637">
        <f t="shared" si="55"/>
        <v>0</v>
      </c>
      <c r="EH56" s="637">
        <f t="shared" si="56"/>
        <v>0</v>
      </c>
      <c r="EI56" s="643">
        <f t="shared" si="57"/>
        <v>0</v>
      </c>
      <c r="EJ56" s="637">
        <f t="shared" si="58"/>
        <v>0</v>
      </c>
      <c r="EK56" s="637">
        <f t="shared" si="59"/>
        <v>0</v>
      </c>
      <c r="EL56" s="637">
        <f t="shared" si="60"/>
        <v>0</v>
      </c>
      <c r="EM56" s="643">
        <f t="shared" si="61"/>
        <v>0</v>
      </c>
      <c r="EN56" s="637">
        <f t="shared" si="62"/>
        <v>0</v>
      </c>
      <c r="EO56" s="637">
        <f t="shared" si="63"/>
        <v>0</v>
      </c>
      <c r="EP56" s="637">
        <f t="shared" si="64"/>
        <v>0</v>
      </c>
      <c r="EQ56" s="643">
        <f t="shared" si="65"/>
        <v>0</v>
      </c>
      <c r="ER56" s="637">
        <f t="shared" si="66"/>
        <v>0</v>
      </c>
      <c r="ES56" s="637">
        <f t="shared" si="67"/>
        <v>0</v>
      </c>
      <c r="ET56" s="637">
        <f t="shared" si="68"/>
        <v>0</v>
      </c>
      <c r="EU56" s="643">
        <f t="shared" si="43"/>
        <v>0</v>
      </c>
      <c r="EV56" s="643">
        <f t="shared" si="44"/>
        <v>0</v>
      </c>
      <c r="EX56" s="829">
        <f t="shared" si="45"/>
        <v>0</v>
      </c>
      <c r="EY56" s="638">
        <f t="shared" si="46"/>
        <v>913650.08482146042</v>
      </c>
      <c r="FC56" s="830" t="str">
        <f t="shared" si="69"/>
        <v>Y</v>
      </c>
      <c r="FE56" s="830" t="str">
        <f>IFERROR(VLOOKUP($B56,'Historical Conc Grant Elig'!$B$3:$J$707,'HH &amp; SI'!FE$2,0),"N")</f>
        <v>Y</v>
      </c>
      <c r="FF56" s="830" t="str">
        <f>IFERROR(VLOOKUP($B56,'Historical Conc Grant Elig'!$B$3:$J$707,'HH &amp; SI'!FF$2,0),"N")</f>
        <v>Y</v>
      </c>
      <c r="FG56" s="830" t="str">
        <f>IFERROR(VLOOKUP($B56,'Historical Conc Grant Elig'!$B$3:$J$707,'HH &amp; SI'!FG$2,0),"N")</f>
        <v>Y</v>
      </c>
      <c r="FH56" s="830" t="str">
        <f>IFERROR(VLOOKUP($B56,'Historical Conc Grant Elig'!$B$3:$J$707,'HH &amp; SI'!FH$2,0),"N")</f>
        <v>Y</v>
      </c>
      <c r="FI56" s="830" t="str">
        <f>IFERROR(VLOOKUP($B56,'Historical Conc Grant Elig'!$B$3:$J$707,'HH &amp; SI'!FI$2,0),"N")</f>
        <v>Y</v>
      </c>
      <c r="FJ56" s="830" t="str">
        <f>IFERROR(VLOOKUP($B56,'Historical Conc Grant Elig'!$B$3:$J$707,'HH &amp; SI'!FJ$2,0),"N")</f>
        <v>Y</v>
      </c>
      <c r="FK56" s="830" t="str">
        <f>IFERROR(VLOOKUP($B56,'Historical Conc Grant Elig'!$B$3:$J$707,'HH &amp; SI'!FK$2,0),"N")</f>
        <v>Y</v>
      </c>
      <c r="FL56" s="957" t="str">
        <f>IFERROR(VLOOKUP($B56,'Historical Conc Grant Elig'!$B$3:$J$707,'HH &amp; SI'!FL$2,0),"N")</f>
        <v>Y</v>
      </c>
    </row>
    <row r="57" spans="2:168" x14ac:dyDescent="0.25">
      <c r="B57" s="634">
        <v>40240000</v>
      </c>
      <c r="C57" s="635" t="str">
        <f>VLOOKUP($B57,'Afton Update'!$A$5:$CR$582,'Afton Update'!D$589,0)</f>
        <v>Miami Unified District</v>
      </c>
      <c r="D57" s="636">
        <f>IFERROR(VLOOKUP($B57,'Afton FY16 Final'!$A$5:$BV$587,'Afton FY16 Final'!AQ$587,0),0)</f>
        <v>228569.74685085149</v>
      </c>
      <c r="E57" s="637">
        <f>IFERROR(VLOOKUP($B57,'Afton FY16 Final'!$A$5:$BV$587,'Afton FY16 Final'!AR$587,0),0)</f>
        <v>53320.640020902683</v>
      </c>
      <c r="F57" s="637">
        <f>IFERROR(VLOOKUP($B57,'Afton FY16 Final'!$A$5:$BV$587,'Afton FY16 Final'!AS$587,0),0)</f>
        <v>130907.62493431417</v>
      </c>
      <c r="G57" s="637">
        <f>IFERROR(VLOOKUP($B57,'Afton FY16 Final'!$A$5:$BV$587,'Afton FY16 Final'!AT$587,0),0)</f>
        <v>108619.47179788649</v>
      </c>
      <c r="H57" s="638">
        <f>IFERROR(VLOOKUP($B57,'Afton FY16 Final'!$A$5:$BV$587,'Afton FY16 Final'!AU$587,0),0)</f>
        <v>521417.48360395484</v>
      </c>
      <c r="I57" s="639" t="str">
        <f>VLOOKUP($B57,'Afton Update'!$A$5:$CR$582,'Afton Update'!BT$589,0)</f>
        <v>Y</v>
      </c>
      <c r="J57" s="640" t="str">
        <f>VLOOKUP($B57,'Afton Update'!$A$5:$CR$582,'Afton Update'!BU$589,0)</f>
        <v>Y</v>
      </c>
      <c r="K57" s="640" t="str">
        <f>VLOOKUP($B57,'Afton Update'!$A$5:$CR$582,'Afton Update'!BV$589,0)</f>
        <v>Y</v>
      </c>
      <c r="L57" s="641" t="str">
        <f>VLOOKUP($B57,'Afton Update'!$A$5:$CR$582,'Afton Update'!BW$589,0)</f>
        <v>Y</v>
      </c>
      <c r="N57" s="642">
        <f>VLOOKUP($B57,'Afton Update'!$A$5:$CR$582,'Afton Update'!CB$589,0)</f>
        <v>0.95</v>
      </c>
      <c r="P57" s="636">
        <f>VLOOKUP($B57,'Afton Update'!$A$5:$CR$582,'Afton Update'!AH$589,0)</f>
        <v>265575.05424972833</v>
      </c>
      <c r="Q57" s="637">
        <f>VLOOKUP($B57,'Afton Update'!$A$5:$CR$582,'Afton Update'!AI$589,0)</f>
        <v>63345.508387500238</v>
      </c>
      <c r="R57" s="637">
        <f>VLOOKUP($B57,'Afton Update'!$A$5:$CR$582,'Afton Update'!AJ$589,0)</f>
        <v>180956.10140534217</v>
      </c>
      <c r="S57" s="637">
        <f>VLOOKUP($B57,'Afton Update'!$A$5:$CR$582,'Afton Update'!AK$589,0)</f>
        <v>179182.37409948424</v>
      </c>
      <c r="T57" s="643">
        <f t="shared" si="47"/>
        <v>689059.03814205504</v>
      </c>
      <c r="V57" s="636">
        <f t="shared" si="70"/>
        <v>261952.43813464436</v>
      </c>
      <c r="W57" s="637">
        <f t="shared" si="71"/>
        <v>61259.138938428958</v>
      </c>
      <c r="X57" s="637">
        <f t="shared" si="72"/>
        <v>179310.37631469901</v>
      </c>
      <c r="Y57" s="637">
        <f t="shared" si="73"/>
        <v>177208.10688165735</v>
      </c>
      <c r="Z57" s="643">
        <f t="shared" si="74"/>
        <v>679730.0602694297</v>
      </c>
      <c r="AB57" s="644">
        <f t="shared" si="11"/>
        <v>265575.05424972833</v>
      </c>
      <c r="AC57" s="645">
        <f t="shared" si="12"/>
        <v>217141.2595083089</v>
      </c>
      <c r="AD57" s="644">
        <f t="shared" si="75"/>
        <v>0</v>
      </c>
      <c r="AE57" s="645">
        <f t="shared" si="76"/>
        <v>265575.05424972833</v>
      </c>
      <c r="AF57" s="646">
        <f t="shared" si="77"/>
        <v>-3292.0023717660802</v>
      </c>
      <c r="AG57" s="647">
        <f t="shared" si="78"/>
        <v>262283.05187796225</v>
      </c>
      <c r="AH57" s="644">
        <f t="shared" si="13"/>
        <v>0</v>
      </c>
      <c r="AI57" s="645">
        <f t="shared" si="14"/>
        <v>262283.05187796225</v>
      </c>
      <c r="AJ57" s="646">
        <f t="shared" si="79"/>
        <v>-330.40311031747177</v>
      </c>
      <c r="AK57" s="647">
        <f t="shared" si="15"/>
        <v>261952.64876764477</v>
      </c>
      <c r="AL57" s="644">
        <f t="shared" si="80"/>
        <v>0</v>
      </c>
      <c r="AM57" s="645">
        <f t="shared" si="81"/>
        <v>261952.64876764477</v>
      </c>
      <c r="AN57" s="646">
        <f t="shared" si="82"/>
        <v>-0.21063300041180952</v>
      </c>
      <c r="AO57" s="647">
        <f t="shared" si="16"/>
        <v>261952.43813464436</v>
      </c>
      <c r="AP57" s="644">
        <f t="shared" si="83"/>
        <v>0</v>
      </c>
      <c r="AQ57" s="645">
        <f t="shared" si="84"/>
        <v>261952.43813464436</v>
      </c>
      <c r="AR57" s="646">
        <f t="shared" si="85"/>
        <v>0</v>
      </c>
      <c r="AS57" s="647">
        <f t="shared" si="17"/>
        <v>261952.43813464436</v>
      </c>
      <c r="AT57" s="644">
        <f t="shared" si="86"/>
        <v>0</v>
      </c>
      <c r="AU57" s="645">
        <f t="shared" si="87"/>
        <v>261952.43813464436</v>
      </c>
      <c r="AV57" s="646">
        <f t="shared" si="88"/>
        <v>0</v>
      </c>
      <c r="AW57" s="647">
        <f t="shared" si="18"/>
        <v>261952.43813464436</v>
      </c>
      <c r="AY57" s="644">
        <f t="shared" si="89"/>
        <v>63345.508387500238</v>
      </c>
      <c r="AZ57" s="645">
        <f t="shared" si="48"/>
        <v>50654.608019857544</v>
      </c>
      <c r="BA57" s="644">
        <f t="shared" si="90"/>
        <v>0</v>
      </c>
      <c r="BB57" s="645">
        <f t="shared" si="91"/>
        <v>63345.508387500238</v>
      </c>
      <c r="BC57" s="646">
        <f t="shared" si="92"/>
        <v>-455.53601162416584</v>
      </c>
      <c r="BD57" s="647">
        <f t="shared" si="93"/>
        <v>62889.972375876074</v>
      </c>
      <c r="BE57" s="644">
        <f t="shared" si="19"/>
        <v>0</v>
      </c>
      <c r="BF57" s="645">
        <f t="shared" si="20"/>
        <v>62889.972375876074</v>
      </c>
      <c r="BG57" s="646">
        <f t="shared" si="94"/>
        <v>-1497.9878903633798</v>
      </c>
      <c r="BH57" s="647">
        <f t="shared" si="21"/>
        <v>61391.984485512694</v>
      </c>
      <c r="BI57" s="644">
        <f t="shared" si="95"/>
        <v>0</v>
      </c>
      <c r="BJ57" s="645">
        <f t="shared" si="96"/>
        <v>61391.984485512694</v>
      </c>
      <c r="BK57" s="646">
        <f t="shared" si="97"/>
        <v>-130.0426423990539</v>
      </c>
      <c r="BL57" s="647">
        <f t="shared" si="22"/>
        <v>61261.941843113636</v>
      </c>
      <c r="BM57" s="644">
        <f t="shared" si="98"/>
        <v>0</v>
      </c>
      <c r="BN57" s="645">
        <f t="shared" si="99"/>
        <v>61261.941843113636</v>
      </c>
      <c r="BO57" s="646">
        <f t="shared" si="100"/>
        <v>-2.8029046846783414</v>
      </c>
      <c r="BP57" s="647">
        <f t="shared" si="23"/>
        <v>61259.138938428958</v>
      </c>
      <c r="BQ57" s="644">
        <f t="shared" si="101"/>
        <v>0</v>
      </c>
      <c r="BR57" s="645">
        <f t="shared" si="102"/>
        <v>61259.138938428958</v>
      </c>
      <c r="BS57" s="646">
        <f t="shared" si="103"/>
        <v>0</v>
      </c>
      <c r="BT57" s="647">
        <f t="shared" si="24"/>
        <v>61259.138938428958</v>
      </c>
      <c r="BU57" s="662">
        <f>VLOOKUP(B57,'Afton Update'!$A$5:$AR$582,'Afton Update'!$AO$589,0)-BT57</f>
        <v>0</v>
      </c>
      <c r="BV57" s="644">
        <f t="shared" si="104"/>
        <v>180956.10140534217</v>
      </c>
      <c r="BW57" s="645">
        <f t="shared" si="25"/>
        <v>124362.24368759846</v>
      </c>
      <c r="BX57" s="644">
        <f t="shared" si="105"/>
        <v>0</v>
      </c>
      <c r="BY57" s="645">
        <f t="shared" si="106"/>
        <v>180956.10140534217</v>
      </c>
      <c r="BZ57" s="646">
        <f t="shared" si="107"/>
        <v>-1588.2709410724594</v>
      </c>
      <c r="CA57" s="647">
        <f t="shared" si="108"/>
        <v>179367.8304642697</v>
      </c>
      <c r="CB57" s="644">
        <f t="shared" si="26"/>
        <v>0</v>
      </c>
      <c r="CC57" s="645">
        <f t="shared" si="27"/>
        <v>179367.8304642697</v>
      </c>
      <c r="CD57" s="646">
        <f t="shared" si="109"/>
        <v>-57.454149570700416</v>
      </c>
      <c r="CE57" s="647">
        <f t="shared" si="28"/>
        <v>179310.37631469901</v>
      </c>
      <c r="CF57" s="644">
        <f t="shared" si="110"/>
        <v>0</v>
      </c>
      <c r="CG57" s="645">
        <f t="shared" si="111"/>
        <v>179310.37631469901</v>
      </c>
      <c r="CH57" s="646">
        <f t="shared" si="112"/>
        <v>0</v>
      </c>
      <c r="CI57" s="647">
        <f t="shared" si="29"/>
        <v>179310.37631469901</v>
      </c>
      <c r="CJ57" s="644">
        <f t="shared" si="113"/>
        <v>0</v>
      </c>
      <c r="CK57" s="645">
        <f t="shared" si="114"/>
        <v>179310.37631469901</v>
      </c>
      <c r="CL57" s="646">
        <f t="shared" si="115"/>
        <v>0</v>
      </c>
      <c r="CM57" s="647">
        <f t="shared" si="30"/>
        <v>179310.37631469901</v>
      </c>
      <c r="CN57" s="644">
        <f t="shared" si="116"/>
        <v>0</v>
      </c>
      <c r="CO57" s="645">
        <f t="shared" si="117"/>
        <v>179310.37631469901</v>
      </c>
      <c r="CP57" s="646">
        <f t="shared" si="118"/>
        <v>0</v>
      </c>
      <c r="CQ57" s="647">
        <f t="shared" si="31"/>
        <v>179310.37631469901</v>
      </c>
      <c r="CS57" s="644">
        <f t="shared" si="119"/>
        <v>179182.37409948424</v>
      </c>
      <c r="CT57" s="645">
        <f t="shared" si="32"/>
        <v>103188.49820799216</v>
      </c>
      <c r="CU57" s="644">
        <f t="shared" si="120"/>
        <v>0</v>
      </c>
      <c r="CV57" s="645">
        <f t="shared" si="121"/>
        <v>179182.37409948424</v>
      </c>
      <c r="CW57" s="646">
        <f t="shared" si="122"/>
        <v>-1834.9287706759801</v>
      </c>
      <c r="CX57" s="647">
        <f t="shared" si="123"/>
        <v>177347.44532880824</v>
      </c>
      <c r="CY57" s="644">
        <f t="shared" si="33"/>
        <v>0</v>
      </c>
      <c r="CZ57" s="645">
        <f t="shared" si="34"/>
        <v>177347.44532880824</v>
      </c>
      <c r="DA57" s="646">
        <f t="shared" si="124"/>
        <v>-139.21838863069416</v>
      </c>
      <c r="DB57" s="647">
        <f t="shared" si="35"/>
        <v>177208.22694017756</v>
      </c>
      <c r="DC57" s="644">
        <f t="shared" si="125"/>
        <v>0</v>
      </c>
      <c r="DD57" s="645">
        <f t="shared" si="126"/>
        <v>177208.22694017756</v>
      </c>
      <c r="DE57" s="646">
        <f t="shared" si="127"/>
        <v>-0.12005852021363517</v>
      </c>
      <c r="DF57" s="647">
        <f t="shared" si="36"/>
        <v>177208.10688165735</v>
      </c>
      <c r="DG57" s="644">
        <f t="shared" si="128"/>
        <v>0</v>
      </c>
      <c r="DH57" s="645">
        <f t="shared" si="129"/>
        <v>177208.10688165735</v>
      </c>
      <c r="DI57" s="646">
        <f t="shared" si="130"/>
        <v>0</v>
      </c>
      <c r="DJ57" s="647">
        <f t="shared" si="37"/>
        <v>177208.10688165735</v>
      </c>
      <c r="DK57" s="644">
        <f t="shared" si="131"/>
        <v>0</v>
      </c>
      <c r="DL57" s="645">
        <f t="shared" si="132"/>
        <v>177208.10688165735</v>
      </c>
      <c r="DM57" s="646">
        <f t="shared" si="133"/>
        <v>0</v>
      </c>
      <c r="DN57" s="647">
        <f t="shared" si="38"/>
        <v>177208.10688165735</v>
      </c>
      <c r="DR57" s="827">
        <f t="shared" si="49"/>
        <v>679730.0602694297</v>
      </c>
      <c r="DV57" s="828">
        <f>IFERROR(VLOOKUP($B57,'Afton FY16 Final'!$A$5:$BV$587,'Afton FY16 Final'!$BV$587,0),0)</f>
        <v>462930.28224094084</v>
      </c>
      <c r="DX57" s="636">
        <f t="shared" si="39"/>
        <v>679730.0602694297</v>
      </c>
      <c r="DY57" s="637">
        <f t="shared" si="40"/>
        <v>216799.77802848886</v>
      </c>
      <c r="DZ57" s="637">
        <f t="shared" si="41"/>
        <v>462930.28224094084</v>
      </c>
      <c r="EA57" s="643">
        <f t="shared" si="42"/>
        <v>643576.0390704216</v>
      </c>
      <c r="EB57" s="637">
        <f t="shared" si="50"/>
        <v>0</v>
      </c>
      <c r="EC57" s="637">
        <f t="shared" si="51"/>
        <v>643576.0390704216</v>
      </c>
      <c r="ED57" s="637">
        <f t="shared" si="52"/>
        <v>641656.93374837539</v>
      </c>
      <c r="EE57" s="643">
        <f t="shared" si="53"/>
        <v>641656.93374837539</v>
      </c>
      <c r="EF57" s="637">
        <f t="shared" si="54"/>
        <v>0</v>
      </c>
      <c r="EG57" s="637">
        <f t="shared" si="55"/>
        <v>641656.93374837539</v>
      </c>
      <c r="EH57" s="637">
        <f t="shared" si="56"/>
        <v>641656.27177596255</v>
      </c>
      <c r="EI57" s="643">
        <f t="shared" si="57"/>
        <v>641656.27177596255</v>
      </c>
      <c r="EJ57" s="637">
        <f t="shared" si="58"/>
        <v>0</v>
      </c>
      <c r="EK57" s="637">
        <f t="shared" si="59"/>
        <v>641656.27177596255</v>
      </c>
      <c r="EL57" s="637">
        <f t="shared" si="60"/>
        <v>641656.27177596162</v>
      </c>
      <c r="EM57" s="643">
        <f t="shared" si="61"/>
        <v>641656.27177596162</v>
      </c>
      <c r="EN57" s="637">
        <f t="shared" si="62"/>
        <v>0</v>
      </c>
      <c r="EO57" s="637">
        <f t="shared" si="63"/>
        <v>641656.27177596162</v>
      </c>
      <c r="EP57" s="637">
        <f t="shared" si="64"/>
        <v>641656.27177596267</v>
      </c>
      <c r="EQ57" s="643">
        <f t="shared" si="65"/>
        <v>641656.27177596267</v>
      </c>
      <c r="ER57" s="637">
        <f t="shared" si="66"/>
        <v>0</v>
      </c>
      <c r="ES57" s="637">
        <f t="shared" si="67"/>
        <v>641656.27177596267</v>
      </c>
      <c r="ET57" s="637">
        <f t="shared" si="68"/>
        <v>641656.27177596162</v>
      </c>
      <c r="EU57" s="643">
        <f t="shared" si="43"/>
        <v>641656.27177596162</v>
      </c>
      <c r="EV57" s="643">
        <f t="shared" si="44"/>
        <v>0</v>
      </c>
      <c r="EX57" s="829">
        <f t="shared" si="45"/>
        <v>38073.788493468077</v>
      </c>
      <c r="EY57" s="638">
        <f t="shared" si="46"/>
        <v>641656.27177596162</v>
      </c>
      <c r="FC57" s="830" t="str">
        <f t="shared" si="69"/>
        <v>Y</v>
      </c>
      <c r="FE57" s="830" t="str">
        <f>IFERROR(VLOOKUP($B57,'Historical Conc Grant Elig'!$B$3:$J$707,'HH &amp; SI'!FE$2,0),"N")</f>
        <v>Y</v>
      </c>
      <c r="FF57" s="830" t="str">
        <f>IFERROR(VLOOKUP($B57,'Historical Conc Grant Elig'!$B$3:$J$707,'HH &amp; SI'!FF$2,0),"N")</f>
        <v>Y</v>
      </c>
      <c r="FG57" s="830" t="str">
        <f>IFERROR(VLOOKUP($B57,'Historical Conc Grant Elig'!$B$3:$J$707,'HH &amp; SI'!FG$2,0),"N")</f>
        <v>Y</v>
      </c>
      <c r="FH57" s="830" t="str">
        <f>IFERROR(VLOOKUP($B57,'Historical Conc Grant Elig'!$B$3:$J$707,'HH &amp; SI'!FH$2,0),"N")</f>
        <v>Y</v>
      </c>
      <c r="FI57" s="830" t="str">
        <f>IFERROR(VLOOKUP($B57,'Historical Conc Grant Elig'!$B$3:$J$707,'HH &amp; SI'!FI$2,0),"N")</f>
        <v>Y</v>
      </c>
      <c r="FJ57" s="830" t="str">
        <f>IFERROR(VLOOKUP($B57,'Historical Conc Grant Elig'!$B$3:$J$707,'HH &amp; SI'!FJ$2,0),"N")</f>
        <v>Y</v>
      </c>
      <c r="FK57" s="830" t="str">
        <f>IFERROR(VLOOKUP($B57,'Historical Conc Grant Elig'!$B$3:$J$707,'HH &amp; SI'!FK$2,0),"N")</f>
        <v>Y</v>
      </c>
      <c r="FL57" s="957" t="str">
        <f>IFERROR(VLOOKUP($B57,'Historical Conc Grant Elig'!$B$3:$J$707,'HH &amp; SI'!FL$2,0),"N")</f>
        <v>Y</v>
      </c>
    </row>
    <row r="58" spans="2:168" x14ac:dyDescent="0.25">
      <c r="B58" s="634">
        <v>40241000</v>
      </c>
      <c r="C58" s="635" t="str">
        <f>VLOOKUP($B58,'Afton Update'!$A$5:$CR$582,'Afton Update'!D$589,0)</f>
        <v>Hayden-Winkelman Unified District</v>
      </c>
      <c r="D58" s="636">
        <f>IFERROR(VLOOKUP($B58,'Afton FY16 Final'!$A$5:$BV$587,'Afton FY16 Final'!AQ$587,0),0)</f>
        <v>51323.739830596016</v>
      </c>
      <c r="E58" s="637">
        <f>IFERROR(VLOOKUP($B58,'Afton FY16 Final'!$A$5:$BV$587,'Afton FY16 Final'!AR$587,0),0)</f>
        <v>12447.608431864588</v>
      </c>
      <c r="F58" s="637">
        <f>IFERROR(VLOOKUP($B58,'Afton FY16 Final'!$A$5:$BV$587,'Afton FY16 Final'!AS$587,0),0)</f>
        <v>29410.962054653035</v>
      </c>
      <c r="G58" s="637">
        <f>IFERROR(VLOOKUP($B58,'Afton FY16 Final'!$A$5:$BV$587,'Afton FY16 Final'!AT$587,0),0)</f>
        <v>27870.19440717201</v>
      </c>
      <c r="H58" s="638">
        <f>IFERROR(VLOOKUP($B58,'Afton FY16 Final'!$A$5:$BV$587,'Afton FY16 Final'!AU$587,0),0)</f>
        <v>121052.50472428565</v>
      </c>
      <c r="I58" s="639" t="str">
        <f>VLOOKUP($B58,'Afton Update'!$A$5:$CR$582,'Afton Update'!BT$589,0)</f>
        <v>Y</v>
      </c>
      <c r="J58" s="640" t="str">
        <f>VLOOKUP($B58,'Afton Update'!$A$5:$CR$582,'Afton Update'!BU$589,0)</f>
        <v>Y</v>
      </c>
      <c r="K58" s="640" t="str">
        <f>VLOOKUP($B58,'Afton Update'!$A$5:$CR$582,'Afton Update'!BV$589,0)</f>
        <v>Y</v>
      </c>
      <c r="L58" s="641" t="str">
        <f>VLOOKUP($B58,'Afton Update'!$A$5:$CR$582,'Afton Update'!BW$589,0)</f>
        <v>Y</v>
      </c>
      <c r="N58" s="642">
        <f>VLOOKUP($B58,'Afton Update'!$A$5:$CR$582,'Afton Update'!CB$589,0)</f>
        <v>0.95</v>
      </c>
      <c r="P58" s="636">
        <f>VLOOKUP($B58,'Afton Update'!$A$5:$CR$582,'Afton Update'!AH$589,0)</f>
        <v>49947.258002460869</v>
      </c>
      <c r="Q58" s="637">
        <f>VLOOKUP($B58,'Afton Update'!$A$5:$CR$582,'Afton Update'!AI$589,0)</f>
        <v>12197.926924280706</v>
      </c>
      <c r="R58" s="637">
        <f>VLOOKUP($B58,'Afton Update'!$A$5:$CR$582,'Afton Update'!AJ$589,0)</f>
        <v>28406.472553502521</v>
      </c>
      <c r="S58" s="637">
        <f>VLOOKUP($B58,'Afton Update'!$A$5:$CR$582,'Afton Update'!AK$589,0)</f>
        <v>26750.410102477061</v>
      </c>
      <c r="T58" s="643">
        <f t="shared" si="47"/>
        <v>117302.06758272115</v>
      </c>
      <c r="V58" s="636">
        <f t="shared" si="70"/>
        <v>49265.944984357033</v>
      </c>
      <c r="W58" s="637">
        <f t="shared" si="71"/>
        <v>11825.228010271358</v>
      </c>
      <c r="X58" s="637">
        <f t="shared" si="72"/>
        <v>28148.12677651627</v>
      </c>
      <c r="Y58" s="637">
        <f t="shared" si="73"/>
        <v>26476.684686813409</v>
      </c>
      <c r="Z58" s="643">
        <f t="shared" si="74"/>
        <v>115715.98445795808</v>
      </c>
      <c r="AB58" s="644">
        <f t="shared" si="11"/>
        <v>49947.258002460869</v>
      </c>
      <c r="AC58" s="645">
        <f t="shared" si="12"/>
        <v>48757.552839066215</v>
      </c>
      <c r="AD58" s="644">
        <f t="shared" si="75"/>
        <v>0</v>
      </c>
      <c r="AE58" s="645">
        <f t="shared" si="76"/>
        <v>49947.258002460869</v>
      </c>
      <c r="AF58" s="646">
        <f t="shared" si="77"/>
        <v>-619.13379730574502</v>
      </c>
      <c r="AG58" s="647">
        <f t="shared" si="78"/>
        <v>49328.124205155123</v>
      </c>
      <c r="AH58" s="644">
        <f t="shared" si="13"/>
        <v>0</v>
      </c>
      <c r="AI58" s="645">
        <f t="shared" si="14"/>
        <v>49328.124205155123</v>
      </c>
      <c r="AJ58" s="646">
        <f t="shared" si="79"/>
        <v>-62.139606607495146</v>
      </c>
      <c r="AK58" s="647">
        <f t="shared" si="15"/>
        <v>49265.984598547628</v>
      </c>
      <c r="AL58" s="644">
        <f t="shared" si="80"/>
        <v>0</v>
      </c>
      <c r="AM58" s="645">
        <f t="shared" si="81"/>
        <v>49265.984598547628</v>
      </c>
      <c r="AN58" s="646">
        <f t="shared" si="82"/>
        <v>-3.9614190591516593E-2</v>
      </c>
      <c r="AO58" s="647">
        <f t="shared" si="16"/>
        <v>49265.944984357033</v>
      </c>
      <c r="AP58" s="644">
        <f t="shared" si="83"/>
        <v>0</v>
      </c>
      <c r="AQ58" s="645">
        <f t="shared" si="84"/>
        <v>49265.944984357033</v>
      </c>
      <c r="AR58" s="646">
        <f t="shared" si="85"/>
        <v>0</v>
      </c>
      <c r="AS58" s="647">
        <f t="shared" si="17"/>
        <v>49265.944984357033</v>
      </c>
      <c r="AT58" s="644">
        <f t="shared" si="86"/>
        <v>0</v>
      </c>
      <c r="AU58" s="645">
        <f t="shared" si="87"/>
        <v>49265.944984357033</v>
      </c>
      <c r="AV58" s="646">
        <f t="shared" si="88"/>
        <v>0</v>
      </c>
      <c r="AW58" s="647">
        <f t="shared" si="18"/>
        <v>49265.944984357033</v>
      </c>
      <c r="AY58" s="644">
        <f t="shared" si="89"/>
        <v>12197.926924280706</v>
      </c>
      <c r="AZ58" s="645">
        <f t="shared" si="48"/>
        <v>11825.228010271358</v>
      </c>
      <c r="BA58" s="644">
        <f t="shared" si="90"/>
        <v>0</v>
      </c>
      <c r="BB58" s="645">
        <f t="shared" si="91"/>
        <v>12197.926924280706</v>
      </c>
      <c r="BC58" s="646">
        <f t="shared" si="92"/>
        <v>-87.718847359765221</v>
      </c>
      <c r="BD58" s="647">
        <f t="shared" si="93"/>
        <v>12110.208076920941</v>
      </c>
      <c r="BE58" s="644">
        <f t="shared" si="19"/>
        <v>0</v>
      </c>
      <c r="BF58" s="645">
        <f t="shared" si="20"/>
        <v>12110.208076920941</v>
      </c>
      <c r="BG58" s="646">
        <f t="shared" si="94"/>
        <v>-288.45528728467116</v>
      </c>
      <c r="BH58" s="647">
        <f t="shared" si="21"/>
        <v>11821.75278963627</v>
      </c>
      <c r="BI58" s="644">
        <f t="shared" si="95"/>
        <v>-3.4752206350876804</v>
      </c>
      <c r="BJ58" s="645">
        <f t="shared" si="96"/>
        <v>0</v>
      </c>
      <c r="BK58" s="646">
        <f t="shared" si="97"/>
        <v>0</v>
      </c>
      <c r="BL58" s="647">
        <f t="shared" si="22"/>
        <v>11825.228010271358</v>
      </c>
      <c r="BM58" s="644">
        <f t="shared" si="98"/>
        <v>0</v>
      </c>
      <c r="BN58" s="645">
        <f t="shared" si="99"/>
        <v>0</v>
      </c>
      <c r="BO58" s="646">
        <f t="shared" si="100"/>
        <v>0</v>
      </c>
      <c r="BP58" s="647">
        <f t="shared" si="23"/>
        <v>11825.228010271358</v>
      </c>
      <c r="BQ58" s="644">
        <f t="shared" si="101"/>
        <v>0</v>
      </c>
      <c r="BR58" s="645">
        <f t="shared" si="102"/>
        <v>0</v>
      </c>
      <c r="BS58" s="646">
        <f t="shared" si="103"/>
        <v>0</v>
      </c>
      <c r="BT58" s="647">
        <f t="shared" si="24"/>
        <v>11825.228010271358</v>
      </c>
      <c r="BU58" s="662">
        <f>VLOOKUP(B58,'Afton Update'!$A$5:$AR$582,'Afton Update'!$AO$589,0)-BT58</f>
        <v>0</v>
      </c>
      <c r="BV58" s="644">
        <f t="shared" si="104"/>
        <v>28406.472553502521</v>
      </c>
      <c r="BW58" s="645">
        <f t="shared" si="25"/>
        <v>27940.413951920382</v>
      </c>
      <c r="BX58" s="644">
        <f t="shared" si="105"/>
        <v>0</v>
      </c>
      <c r="BY58" s="645">
        <f t="shared" si="106"/>
        <v>28406.472553502521</v>
      </c>
      <c r="BZ58" s="646">
        <f t="shared" si="107"/>
        <v>-249.32662974451384</v>
      </c>
      <c r="CA58" s="647">
        <f t="shared" si="108"/>
        <v>28157.145923758006</v>
      </c>
      <c r="CB58" s="644">
        <f t="shared" si="26"/>
        <v>0</v>
      </c>
      <c r="CC58" s="645">
        <f t="shared" si="27"/>
        <v>28157.145923758006</v>
      </c>
      <c r="CD58" s="646">
        <f t="shared" si="109"/>
        <v>-9.019147241734002</v>
      </c>
      <c r="CE58" s="647">
        <f t="shared" si="28"/>
        <v>28148.12677651627</v>
      </c>
      <c r="CF58" s="644">
        <f t="shared" si="110"/>
        <v>0</v>
      </c>
      <c r="CG58" s="645">
        <f t="shared" si="111"/>
        <v>28148.12677651627</v>
      </c>
      <c r="CH58" s="646">
        <f t="shared" si="112"/>
        <v>0</v>
      </c>
      <c r="CI58" s="647">
        <f t="shared" si="29"/>
        <v>28148.12677651627</v>
      </c>
      <c r="CJ58" s="644">
        <f t="shared" si="113"/>
        <v>0</v>
      </c>
      <c r="CK58" s="645">
        <f t="shared" si="114"/>
        <v>28148.12677651627</v>
      </c>
      <c r="CL58" s="646">
        <f t="shared" si="115"/>
        <v>0</v>
      </c>
      <c r="CM58" s="647">
        <f t="shared" si="30"/>
        <v>28148.12677651627</v>
      </c>
      <c r="CN58" s="644">
        <f t="shared" si="116"/>
        <v>0</v>
      </c>
      <c r="CO58" s="645">
        <f t="shared" si="117"/>
        <v>28148.12677651627</v>
      </c>
      <c r="CP58" s="646">
        <f t="shared" si="118"/>
        <v>0</v>
      </c>
      <c r="CQ58" s="647">
        <f t="shared" si="31"/>
        <v>28148.12677651627</v>
      </c>
      <c r="CS58" s="644">
        <f t="shared" si="119"/>
        <v>26750.410102477061</v>
      </c>
      <c r="CT58" s="645">
        <f t="shared" si="32"/>
        <v>26476.684686813409</v>
      </c>
      <c r="CU58" s="644">
        <f t="shared" si="120"/>
        <v>0</v>
      </c>
      <c r="CV58" s="645">
        <f t="shared" si="121"/>
        <v>26750.410102477061</v>
      </c>
      <c r="CW58" s="646">
        <f t="shared" si="122"/>
        <v>-273.93931669397296</v>
      </c>
      <c r="CX58" s="647">
        <f t="shared" si="123"/>
        <v>26476.470785783087</v>
      </c>
      <c r="CY58" s="644">
        <f t="shared" si="33"/>
        <v>-0.21390103032172192</v>
      </c>
      <c r="CZ58" s="645">
        <f t="shared" si="34"/>
        <v>0</v>
      </c>
      <c r="DA58" s="646">
        <f t="shared" si="124"/>
        <v>0</v>
      </c>
      <c r="DB58" s="647">
        <f t="shared" si="35"/>
        <v>26476.684686813409</v>
      </c>
      <c r="DC58" s="644">
        <f t="shared" si="125"/>
        <v>0</v>
      </c>
      <c r="DD58" s="645">
        <f t="shared" si="126"/>
        <v>0</v>
      </c>
      <c r="DE58" s="646">
        <f t="shared" si="127"/>
        <v>0</v>
      </c>
      <c r="DF58" s="647">
        <f t="shared" si="36"/>
        <v>26476.684686813409</v>
      </c>
      <c r="DG58" s="644">
        <f t="shared" si="128"/>
        <v>0</v>
      </c>
      <c r="DH58" s="645">
        <f t="shared" si="129"/>
        <v>0</v>
      </c>
      <c r="DI58" s="646">
        <f t="shared" si="130"/>
        <v>0</v>
      </c>
      <c r="DJ58" s="647">
        <f t="shared" si="37"/>
        <v>26476.684686813409</v>
      </c>
      <c r="DK58" s="644">
        <f t="shared" si="131"/>
        <v>0</v>
      </c>
      <c r="DL58" s="645">
        <f t="shared" si="132"/>
        <v>0</v>
      </c>
      <c r="DM58" s="646">
        <f t="shared" si="133"/>
        <v>0</v>
      </c>
      <c r="DN58" s="647">
        <f t="shared" si="38"/>
        <v>26476.684686813409</v>
      </c>
      <c r="DR58" s="827">
        <f t="shared" si="49"/>
        <v>115715.98445795808</v>
      </c>
      <c r="DV58" s="828">
        <f>IFERROR(VLOOKUP($B58,'Afton FY16 Final'!$A$5:$BV$587,'Afton FY16 Final'!$BV$587,0),0)</f>
        <v>118668.98092631182</v>
      </c>
      <c r="DX58" s="636">
        <f t="shared" si="39"/>
        <v>0</v>
      </c>
      <c r="DY58" s="637">
        <f t="shared" si="40"/>
        <v>0</v>
      </c>
      <c r="DZ58" s="637">
        <f t="shared" si="41"/>
        <v>0</v>
      </c>
      <c r="EA58" s="643">
        <f t="shared" si="42"/>
        <v>0</v>
      </c>
      <c r="EB58" s="637">
        <f t="shared" si="50"/>
        <v>0</v>
      </c>
      <c r="EC58" s="637">
        <f t="shared" si="51"/>
        <v>0</v>
      </c>
      <c r="ED58" s="637">
        <f t="shared" si="52"/>
        <v>0</v>
      </c>
      <c r="EE58" s="643">
        <f t="shared" si="53"/>
        <v>0</v>
      </c>
      <c r="EF58" s="637">
        <f t="shared" si="54"/>
        <v>0</v>
      </c>
      <c r="EG58" s="637">
        <f t="shared" si="55"/>
        <v>0</v>
      </c>
      <c r="EH58" s="637">
        <f t="shared" si="56"/>
        <v>0</v>
      </c>
      <c r="EI58" s="643">
        <f t="shared" si="57"/>
        <v>0</v>
      </c>
      <c r="EJ58" s="637">
        <f t="shared" si="58"/>
        <v>0</v>
      </c>
      <c r="EK58" s="637">
        <f t="shared" si="59"/>
        <v>0</v>
      </c>
      <c r="EL58" s="637">
        <f t="shared" si="60"/>
        <v>0</v>
      </c>
      <c r="EM58" s="643">
        <f t="shared" si="61"/>
        <v>0</v>
      </c>
      <c r="EN58" s="637">
        <f t="shared" si="62"/>
        <v>0</v>
      </c>
      <c r="EO58" s="637">
        <f t="shared" si="63"/>
        <v>0</v>
      </c>
      <c r="EP58" s="637">
        <f t="shared" si="64"/>
        <v>0</v>
      </c>
      <c r="EQ58" s="643">
        <f t="shared" si="65"/>
        <v>0</v>
      </c>
      <c r="ER58" s="637">
        <f t="shared" si="66"/>
        <v>0</v>
      </c>
      <c r="ES58" s="637">
        <f t="shared" si="67"/>
        <v>0</v>
      </c>
      <c r="ET58" s="637">
        <f t="shared" si="68"/>
        <v>0</v>
      </c>
      <c r="EU58" s="643">
        <f t="shared" si="43"/>
        <v>0</v>
      </c>
      <c r="EV58" s="643">
        <f t="shared" si="44"/>
        <v>0</v>
      </c>
      <c r="EX58" s="829">
        <f t="shared" si="45"/>
        <v>0</v>
      </c>
      <c r="EY58" s="638">
        <f t="shared" si="46"/>
        <v>115715.98445795808</v>
      </c>
      <c r="FC58" s="830" t="str">
        <f t="shared" si="69"/>
        <v>Y</v>
      </c>
      <c r="FE58" s="830" t="str">
        <f>IFERROR(VLOOKUP($B58,'Historical Conc Grant Elig'!$B$3:$J$707,'HH &amp; SI'!FE$2,0),"N")</f>
        <v>Y</v>
      </c>
      <c r="FF58" s="830" t="str">
        <f>IFERROR(VLOOKUP($B58,'Historical Conc Grant Elig'!$B$3:$J$707,'HH &amp; SI'!FF$2,0),"N")</f>
        <v>Y</v>
      </c>
      <c r="FG58" s="830" t="str">
        <f>IFERROR(VLOOKUP($B58,'Historical Conc Grant Elig'!$B$3:$J$707,'HH &amp; SI'!FG$2,0),"N")</f>
        <v>Y</v>
      </c>
      <c r="FH58" s="830" t="str">
        <f>IFERROR(VLOOKUP($B58,'Historical Conc Grant Elig'!$B$3:$J$707,'HH &amp; SI'!FH$2,0),"N")</f>
        <v>Y</v>
      </c>
      <c r="FI58" s="830" t="str">
        <f>IFERROR(VLOOKUP($B58,'Historical Conc Grant Elig'!$B$3:$J$707,'HH &amp; SI'!FI$2,0),"N")</f>
        <v>Y</v>
      </c>
      <c r="FJ58" s="830" t="str">
        <f>IFERROR(VLOOKUP($B58,'Historical Conc Grant Elig'!$B$3:$J$707,'HH &amp; SI'!FJ$2,0),"N")</f>
        <v>Y</v>
      </c>
      <c r="FK58" s="830" t="str">
        <f>IFERROR(VLOOKUP($B58,'Historical Conc Grant Elig'!$B$3:$J$707,'HH &amp; SI'!FK$2,0),"N")</f>
        <v>Y</v>
      </c>
      <c r="FL58" s="957" t="str">
        <f>IFERROR(VLOOKUP($B58,'Historical Conc Grant Elig'!$B$3:$J$707,'HH &amp; SI'!FL$2,0),"N")</f>
        <v>Y</v>
      </c>
    </row>
    <row r="59" spans="2:168" x14ac:dyDescent="0.25">
      <c r="B59" s="634">
        <v>40305000</v>
      </c>
      <c r="C59" s="635" t="str">
        <f>VLOOKUP($B59,'Afton Update'!$A$5:$CR$582,'Afton Update'!D$589,0)</f>
        <v>Young Elementary District</v>
      </c>
      <c r="D59" s="636">
        <f>IFERROR(VLOOKUP($B59,'Afton FY16 Final'!$A$5:$BV$587,'Afton FY16 Final'!AQ$587,0),0)</f>
        <v>13091.706547253367</v>
      </c>
      <c r="E59" s="637">
        <f>IFERROR(VLOOKUP($B59,'Afton FY16 Final'!$A$5:$BV$587,'Afton FY16 Final'!AR$587,0),0)</f>
        <v>3172.6977009493849</v>
      </c>
      <c r="F59" s="637">
        <f>IFERROR(VLOOKUP($B59,'Afton FY16 Final'!$A$5:$BV$587,'Afton FY16 Final'!AS$587,0),0)</f>
        <v>6030.9973236855858</v>
      </c>
      <c r="G59" s="637">
        <f>IFERROR(VLOOKUP($B59,'Afton FY16 Final'!$A$5:$BV$587,'Afton FY16 Final'!AT$587,0),0)</f>
        <v>5736.8333278821274</v>
      </c>
      <c r="H59" s="638">
        <f>IFERROR(VLOOKUP($B59,'Afton FY16 Final'!$A$5:$BV$587,'Afton FY16 Final'!AU$587,0),0)</f>
        <v>28032.234899770465</v>
      </c>
      <c r="I59" s="639" t="str">
        <f>VLOOKUP($B59,'Afton Update'!$A$5:$CR$582,'Afton Update'!BT$589,0)</f>
        <v>Y</v>
      </c>
      <c r="J59" s="640" t="str">
        <f>VLOOKUP($B59,'Afton Update'!$A$5:$CR$582,'Afton Update'!BU$589,0)</f>
        <v>Y</v>
      </c>
      <c r="K59" s="640" t="str">
        <f>VLOOKUP($B59,'Afton Update'!$A$5:$CR$582,'Afton Update'!BV$589,0)</f>
        <v>Y</v>
      </c>
      <c r="L59" s="641" t="str">
        <f>VLOOKUP($B59,'Afton Update'!$A$5:$CR$582,'Afton Update'!BW$589,0)</f>
        <v>Y</v>
      </c>
      <c r="N59" s="642">
        <f>VLOOKUP($B59,'Afton Update'!$A$5:$CR$582,'Afton Update'!CB$589,0)</f>
        <v>0.9</v>
      </c>
      <c r="P59" s="636">
        <f>VLOOKUP($B59,'Afton Update'!$A$5:$CR$582,'Afton Update'!AH$589,0)</f>
        <v>12070.034812654143</v>
      </c>
      <c r="Q59" s="637">
        <f>VLOOKUP($B59,'Afton Update'!$A$5:$CR$582,'Afton Update'!AI$589,0)</f>
        <v>2947.6974013473455</v>
      </c>
      <c r="R59" s="637">
        <f>VLOOKUP($B59,'Afton Update'!$A$5:$CR$582,'Afton Update'!AJ$589,0)</f>
        <v>5518.4373508672388</v>
      </c>
      <c r="S59" s="637">
        <f>VLOOKUP($B59,'Afton Update'!$A$5:$CR$582,'Afton Update'!AK$589,0)</f>
        <v>5269.1779528245561</v>
      </c>
      <c r="T59" s="643">
        <f t="shared" si="47"/>
        <v>25805.347517693284</v>
      </c>
      <c r="V59" s="636">
        <f t="shared" si="70"/>
        <v>11905.391703588524</v>
      </c>
      <c r="W59" s="637">
        <f t="shared" si="71"/>
        <v>2855.4279308544465</v>
      </c>
      <c r="X59" s="637">
        <f t="shared" si="72"/>
        <v>5468.2493177534989</v>
      </c>
      <c r="Y59" s="637">
        <f t="shared" si="73"/>
        <v>5211.1210967892521</v>
      </c>
      <c r="Z59" s="643">
        <f t="shared" si="74"/>
        <v>25440.190048985722</v>
      </c>
      <c r="AB59" s="644">
        <f t="shared" si="11"/>
        <v>12070.034812654143</v>
      </c>
      <c r="AC59" s="645">
        <f t="shared" si="12"/>
        <v>11782.535892528031</v>
      </c>
      <c r="AD59" s="644">
        <f t="shared" si="75"/>
        <v>0</v>
      </c>
      <c r="AE59" s="645">
        <f t="shared" si="76"/>
        <v>12070.034812654143</v>
      </c>
      <c r="AF59" s="646">
        <f t="shared" si="77"/>
        <v>-149.61715189256051</v>
      </c>
      <c r="AG59" s="647">
        <f t="shared" si="78"/>
        <v>11920.417660761583</v>
      </c>
      <c r="AH59" s="644">
        <f t="shared" si="13"/>
        <v>0</v>
      </c>
      <c r="AI59" s="645">
        <f t="shared" si="14"/>
        <v>11920.417660761583</v>
      </c>
      <c r="AJ59" s="646">
        <f t="shared" si="79"/>
        <v>-15.016384181893359</v>
      </c>
      <c r="AK59" s="647">
        <f t="shared" si="15"/>
        <v>11905.401276579689</v>
      </c>
      <c r="AL59" s="644">
        <f t="shared" si="80"/>
        <v>0</v>
      </c>
      <c r="AM59" s="645">
        <f t="shared" si="81"/>
        <v>11905.401276579689</v>
      </c>
      <c r="AN59" s="646">
        <f t="shared" si="82"/>
        <v>-9.5729911638225192E-3</v>
      </c>
      <c r="AO59" s="647">
        <f t="shared" si="16"/>
        <v>11905.391703588524</v>
      </c>
      <c r="AP59" s="644">
        <f t="shared" si="83"/>
        <v>0</v>
      </c>
      <c r="AQ59" s="645">
        <f t="shared" si="84"/>
        <v>11905.391703588524</v>
      </c>
      <c r="AR59" s="646">
        <f t="shared" si="85"/>
        <v>0</v>
      </c>
      <c r="AS59" s="647">
        <f t="shared" si="17"/>
        <v>11905.391703588524</v>
      </c>
      <c r="AT59" s="644">
        <f t="shared" si="86"/>
        <v>0</v>
      </c>
      <c r="AU59" s="645">
        <f t="shared" si="87"/>
        <v>11905.391703588524</v>
      </c>
      <c r="AV59" s="646">
        <f t="shared" si="88"/>
        <v>0</v>
      </c>
      <c r="AW59" s="647">
        <f t="shared" si="18"/>
        <v>11905.391703588524</v>
      </c>
      <c r="AY59" s="644">
        <f t="shared" si="89"/>
        <v>2947.6974013473455</v>
      </c>
      <c r="AZ59" s="645">
        <f t="shared" si="48"/>
        <v>2855.4279308544465</v>
      </c>
      <c r="BA59" s="644">
        <f t="shared" si="90"/>
        <v>0</v>
      </c>
      <c r="BB59" s="645">
        <f t="shared" si="91"/>
        <v>2947.6974013473455</v>
      </c>
      <c r="BC59" s="646">
        <f t="shared" si="92"/>
        <v>-21.197751061851996</v>
      </c>
      <c r="BD59" s="647">
        <f t="shared" si="93"/>
        <v>2926.4996502854933</v>
      </c>
      <c r="BE59" s="644">
        <f t="shared" si="19"/>
        <v>0</v>
      </c>
      <c r="BF59" s="645">
        <f t="shared" si="20"/>
        <v>2926.4996502854933</v>
      </c>
      <c r="BG59" s="646">
        <f t="shared" si="94"/>
        <v>-69.706836744643539</v>
      </c>
      <c r="BH59" s="647">
        <f t="shared" si="21"/>
        <v>2856.7928135408497</v>
      </c>
      <c r="BI59" s="644">
        <f t="shared" si="95"/>
        <v>0</v>
      </c>
      <c r="BJ59" s="645">
        <f t="shared" si="96"/>
        <v>2856.7928135408497</v>
      </c>
      <c r="BK59" s="646">
        <f t="shared" si="97"/>
        <v>-6.0513581597471848</v>
      </c>
      <c r="BL59" s="647">
        <f t="shared" si="22"/>
        <v>2850.7414553811027</v>
      </c>
      <c r="BM59" s="644">
        <f t="shared" si="98"/>
        <v>-4.6864754733437621</v>
      </c>
      <c r="BN59" s="645">
        <f t="shared" si="99"/>
        <v>0</v>
      </c>
      <c r="BO59" s="646">
        <f t="shared" si="100"/>
        <v>0</v>
      </c>
      <c r="BP59" s="647">
        <f t="shared" si="23"/>
        <v>2855.4279308544465</v>
      </c>
      <c r="BQ59" s="644">
        <f t="shared" si="101"/>
        <v>0</v>
      </c>
      <c r="BR59" s="645">
        <f t="shared" si="102"/>
        <v>0</v>
      </c>
      <c r="BS59" s="646">
        <f t="shared" si="103"/>
        <v>0</v>
      </c>
      <c r="BT59" s="647">
        <f t="shared" si="24"/>
        <v>2855.4279308544465</v>
      </c>
      <c r="BU59" s="662">
        <f>VLOOKUP(B59,'Afton Update'!$A$5:$AR$582,'Afton Update'!$AO$589,0)-BT59</f>
        <v>0</v>
      </c>
      <c r="BV59" s="644">
        <f t="shared" si="104"/>
        <v>5518.4373508672388</v>
      </c>
      <c r="BW59" s="645">
        <f t="shared" si="25"/>
        <v>5427.897591317027</v>
      </c>
      <c r="BX59" s="644">
        <f t="shared" si="105"/>
        <v>0</v>
      </c>
      <c r="BY59" s="645">
        <f t="shared" si="106"/>
        <v>5518.4373508672388</v>
      </c>
      <c r="BZ59" s="646">
        <f t="shared" si="107"/>
        <v>-48.435911342266394</v>
      </c>
      <c r="CA59" s="647">
        <f t="shared" si="108"/>
        <v>5470.0014395249727</v>
      </c>
      <c r="CB59" s="644">
        <f t="shared" si="26"/>
        <v>0</v>
      </c>
      <c r="CC59" s="645">
        <f t="shared" si="27"/>
        <v>5470.0014395249727</v>
      </c>
      <c r="CD59" s="646">
        <f t="shared" si="109"/>
        <v>-1.7521217714734987</v>
      </c>
      <c r="CE59" s="647">
        <f t="shared" si="28"/>
        <v>5468.2493177534989</v>
      </c>
      <c r="CF59" s="644">
        <f t="shared" si="110"/>
        <v>0</v>
      </c>
      <c r="CG59" s="645">
        <f t="shared" si="111"/>
        <v>5468.2493177534989</v>
      </c>
      <c r="CH59" s="646">
        <f t="shared" si="112"/>
        <v>0</v>
      </c>
      <c r="CI59" s="647">
        <f t="shared" si="29"/>
        <v>5468.2493177534989</v>
      </c>
      <c r="CJ59" s="644">
        <f t="shared" si="113"/>
        <v>0</v>
      </c>
      <c r="CK59" s="645">
        <f t="shared" si="114"/>
        <v>5468.2493177534989</v>
      </c>
      <c r="CL59" s="646">
        <f t="shared" si="115"/>
        <v>0</v>
      </c>
      <c r="CM59" s="647">
        <f t="shared" si="30"/>
        <v>5468.2493177534989</v>
      </c>
      <c r="CN59" s="644">
        <f t="shared" si="116"/>
        <v>0</v>
      </c>
      <c r="CO59" s="645">
        <f t="shared" si="117"/>
        <v>5468.2493177534989</v>
      </c>
      <c r="CP59" s="646">
        <f t="shared" si="118"/>
        <v>0</v>
      </c>
      <c r="CQ59" s="647">
        <f t="shared" si="31"/>
        <v>5468.2493177534989</v>
      </c>
      <c r="CS59" s="644">
        <f t="shared" si="119"/>
        <v>5269.1779528245561</v>
      </c>
      <c r="CT59" s="645">
        <f t="shared" si="32"/>
        <v>5163.1499950939151</v>
      </c>
      <c r="CU59" s="644">
        <f t="shared" si="120"/>
        <v>0</v>
      </c>
      <c r="CV59" s="645">
        <f t="shared" si="121"/>
        <v>5269.1779528245561</v>
      </c>
      <c r="CW59" s="646">
        <f t="shared" si="122"/>
        <v>-53.959359965178464</v>
      </c>
      <c r="CX59" s="647">
        <f t="shared" si="123"/>
        <v>5215.2185928593772</v>
      </c>
      <c r="CY59" s="644">
        <f t="shared" si="33"/>
        <v>0</v>
      </c>
      <c r="CZ59" s="645">
        <f t="shared" si="34"/>
        <v>5215.2185928593772</v>
      </c>
      <c r="DA59" s="646">
        <f t="shared" si="124"/>
        <v>-4.0939655347647612</v>
      </c>
      <c r="DB59" s="647">
        <f t="shared" si="35"/>
        <v>5211.1246273246124</v>
      </c>
      <c r="DC59" s="644">
        <f t="shared" si="125"/>
        <v>0</v>
      </c>
      <c r="DD59" s="645">
        <f t="shared" si="126"/>
        <v>5211.1246273246124</v>
      </c>
      <c r="DE59" s="646">
        <f t="shared" si="127"/>
        <v>-3.5305353606219945E-3</v>
      </c>
      <c r="DF59" s="647">
        <f t="shared" si="36"/>
        <v>5211.1210967892521</v>
      </c>
      <c r="DG59" s="644">
        <f t="shared" si="128"/>
        <v>0</v>
      </c>
      <c r="DH59" s="645">
        <f t="shared" si="129"/>
        <v>5211.1210967892521</v>
      </c>
      <c r="DI59" s="646">
        <f t="shared" si="130"/>
        <v>0</v>
      </c>
      <c r="DJ59" s="647">
        <f t="shared" si="37"/>
        <v>5211.1210967892521</v>
      </c>
      <c r="DK59" s="644">
        <f t="shared" si="131"/>
        <v>0</v>
      </c>
      <c r="DL59" s="645">
        <f t="shared" si="132"/>
        <v>5211.1210967892521</v>
      </c>
      <c r="DM59" s="646">
        <f t="shared" si="133"/>
        <v>0</v>
      </c>
      <c r="DN59" s="647">
        <f t="shared" si="38"/>
        <v>5211.1210967892521</v>
      </c>
      <c r="DR59" s="827">
        <f t="shared" si="49"/>
        <v>25440.190048985722</v>
      </c>
      <c r="DV59" s="828">
        <f>IFERROR(VLOOKUP($B59,'Afton FY16 Final'!$A$5:$BV$587,'Afton FY16 Final'!$BV$587,0),0)</f>
        <v>27480.280199236367</v>
      </c>
      <c r="DX59" s="636">
        <f t="shared" si="39"/>
        <v>0</v>
      </c>
      <c r="DY59" s="637">
        <f t="shared" si="40"/>
        <v>0</v>
      </c>
      <c r="DZ59" s="637">
        <f t="shared" si="41"/>
        <v>0</v>
      </c>
      <c r="EA59" s="643">
        <f t="shared" si="42"/>
        <v>0</v>
      </c>
      <c r="EB59" s="637">
        <f t="shared" si="50"/>
        <v>0</v>
      </c>
      <c r="EC59" s="637">
        <f t="shared" si="51"/>
        <v>0</v>
      </c>
      <c r="ED59" s="637">
        <f t="shared" si="52"/>
        <v>0</v>
      </c>
      <c r="EE59" s="643">
        <f t="shared" si="53"/>
        <v>0</v>
      </c>
      <c r="EF59" s="637">
        <f t="shared" si="54"/>
        <v>0</v>
      </c>
      <c r="EG59" s="637">
        <f t="shared" si="55"/>
        <v>0</v>
      </c>
      <c r="EH59" s="637">
        <f t="shared" si="56"/>
        <v>0</v>
      </c>
      <c r="EI59" s="643">
        <f t="shared" si="57"/>
        <v>0</v>
      </c>
      <c r="EJ59" s="637">
        <f t="shared" si="58"/>
        <v>0</v>
      </c>
      <c r="EK59" s="637">
        <f t="shared" si="59"/>
        <v>0</v>
      </c>
      <c r="EL59" s="637">
        <f t="shared" si="60"/>
        <v>0</v>
      </c>
      <c r="EM59" s="643">
        <f t="shared" si="61"/>
        <v>0</v>
      </c>
      <c r="EN59" s="637">
        <f t="shared" si="62"/>
        <v>0</v>
      </c>
      <c r="EO59" s="637">
        <f t="shared" si="63"/>
        <v>0</v>
      </c>
      <c r="EP59" s="637">
        <f t="shared" si="64"/>
        <v>0</v>
      </c>
      <c r="EQ59" s="643">
        <f t="shared" si="65"/>
        <v>0</v>
      </c>
      <c r="ER59" s="637">
        <f t="shared" si="66"/>
        <v>0</v>
      </c>
      <c r="ES59" s="637">
        <f t="shared" si="67"/>
        <v>0</v>
      </c>
      <c r="ET59" s="637">
        <f t="shared" si="68"/>
        <v>0</v>
      </c>
      <c r="EU59" s="643">
        <f t="shared" si="43"/>
        <v>0</v>
      </c>
      <c r="EV59" s="643">
        <f t="shared" si="44"/>
        <v>0</v>
      </c>
      <c r="EX59" s="829">
        <f t="shared" si="45"/>
        <v>0</v>
      </c>
      <c r="EY59" s="638">
        <f t="shared" si="46"/>
        <v>25440.190048985722</v>
      </c>
      <c r="FC59" s="830" t="str">
        <f t="shared" si="69"/>
        <v>Y</v>
      </c>
      <c r="FE59" s="830" t="str">
        <f>IFERROR(VLOOKUP($B59,'Historical Conc Grant Elig'!$B$3:$J$707,'HH &amp; SI'!FE$2,0),"N")</f>
        <v>Y</v>
      </c>
      <c r="FF59" s="830" t="str">
        <f>IFERROR(VLOOKUP($B59,'Historical Conc Grant Elig'!$B$3:$J$707,'HH &amp; SI'!FF$2,0),"N")</f>
        <v>Y</v>
      </c>
      <c r="FG59" s="830" t="str">
        <f>IFERROR(VLOOKUP($B59,'Historical Conc Grant Elig'!$B$3:$J$707,'HH &amp; SI'!FG$2,0),"N")</f>
        <v>Y</v>
      </c>
      <c r="FH59" s="830" t="str">
        <f>IFERROR(VLOOKUP($B59,'Historical Conc Grant Elig'!$B$3:$J$707,'HH &amp; SI'!FH$2,0),"N")</f>
        <v>Y</v>
      </c>
      <c r="FI59" s="830" t="str">
        <f>IFERROR(VLOOKUP($B59,'Historical Conc Grant Elig'!$B$3:$J$707,'HH &amp; SI'!FI$2,0),"N")</f>
        <v>Y</v>
      </c>
      <c r="FJ59" s="830" t="str">
        <f>IFERROR(VLOOKUP($B59,'Historical Conc Grant Elig'!$B$3:$J$707,'HH &amp; SI'!FJ$2,0),"N")</f>
        <v>Y</v>
      </c>
      <c r="FK59" s="830" t="str">
        <f>IFERROR(VLOOKUP($B59,'Historical Conc Grant Elig'!$B$3:$J$707,'HH &amp; SI'!FK$2,0),"N")</f>
        <v>Y</v>
      </c>
      <c r="FL59" s="957" t="str">
        <f>IFERROR(VLOOKUP($B59,'Historical Conc Grant Elig'!$B$3:$J$707,'HH &amp; SI'!FL$2,0),"N")</f>
        <v>Y</v>
      </c>
    </row>
    <row r="60" spans="2:168" x14ac:dyDescent="0.25">
      <c r="B60" s="634">
        <v>40312000</v>
      </c>
      <c r="C60" s="635" t="str">
        <f>VLOOKUP($B60,'Afton Update'!$A$5:$CR$582,'Afton Update'!D$589,0)</f>
        <v>Pine Strawberry Elementary District</v>
      </c>
      <c r="D60" s="636">
        <f>IFERROR(VLOOKUP($B60,'Afton FY16 Final'!$A$5:$BV$587,'Afton FY16 Final'!AQ$587,0),0)</f>
        <v>32040.229181435872</v>
      </c>
      <c r="E60" s="637">
        <f>IFERROR(VLOOKUP($B60,'Afton FY16 Final'!$A$5:$BV$587,'Afton FY16 Final'!AR$587,0),0)</f>
        <v>7768.9215526860589</v>
      </c>
      <c r="F60" s="637">
        <f>IFERROR(VLOOKUP($B60,'Afton FY16 Final'!$A$5:$BV$587,'Afton FY16 Final'!AS$587,0),0)</f>
        <v>13559.209662937657</v>
      </c>
      <c r="G60" s="637">
        <f>IFERROR(VLOOKUP($B60,'Afton FY16 Final'!$A$5:$BV$587,'Afton FY16 Final'!AT$587,0),0)</f>
        <v>12466.242321297526</v>
      </c>
      <c r="H60" s="638">
        <f>IFERROR(VLOOKUP($B60,'Afton FY16 Final'!$A$5:$BV$587,'Afton FY16 Final'!AU$587,0),0)</f>
        <v>65834.602718357113</v>
      </c>
      <c r="I60" s="639" t="str">
        <f>VLOOKUP($B60,'Afton Update'!$A$5:$CR$582,'Afton Update'!BT$589,0)</f>
        <v>Y</v>
      </c>
      <c r="J60" s="640" t="str">
        <f>VLOOKUP($B60,'Afton Update'!$A$5:$CR$582,'Afton Update'!BU$589,0)</f>
        <v>Y</v>
      </c>
      <c r="K60" s="640" t="str">
        <f>VLOOKUP($B60,'Afton Update'!$A$5:$CR$582,'Afton Update'!BV$589,0)</f>
        <v>Y</v>
      </c>
      <c r="L60" s="641" t="str">
        <f>VLOOKUP($B60,'Afton Update'!$A$5:$CR$582,'Afton Update'!BW$589,0)</f>
        <v>Y</v>
      </c>
      <c r="N60" s="642">
        <f>VLOOKUP($B60,'Afton Update'!$A$5:$CR$582,'Afton Update'!CB$589,0)</f>
        <v>0.9</v>
      </c>
      <c r="P60" s="636">
        <f>VLOOKUP($B60,'Afton Update'!$A$5:$CR$582,'Afton Update'!AH$589,0)</f>
        <v>29539.82204149567</v>
      </c>
      <c r="Q60" s="637">
        <f>VLOOKUP($B60,'Afton Update'!$A$5:$CR$582,'Afton Update'!AI$589,0)</f>
        <v>7214.1015348763976</v>
      </c>
      <c r="R60" s="637">
        <f>VLOOKUP($B60,'Afton Update'!$A$5:$CR$582,'Afton Update'!AJ$589,0)</f>
        <v>12406.845010249261</v>
      </c>
      <c r="S60" s="637">
        <f>VLOOKUP($B60,'Afton Update'!$A$5:$CR$582,'Afton Update'!AK$589,0)</f>
        <v>11337.235268625898</v>
      </c>
      <c r="T60" s="643">
        <f t="shared" si="47"/>
        <v>60498.003855247225</v>
      </c>
      <c r="V60" s="636">
        <f t="shared" si="70"/>
        <v>29136.879695624553</v>
      </c>
      <c r="W60" s="637">
        <f t="shared" si="71"/>
        <v>6992.0293974174529</v>
      </c>
      <c r="X60" s="637">
        <f t="shared" si="72"/>
        <v>12294.009598950521</v>
      </c>
      <c r="Y60" s="637">
        <f t="shared" si="73"/>
        <v>11219.618089167774</v>
      </c>
      <c r="Z60" s="643">
        <f t="shared" si="74"/>
        <v>59642.536781160299</v>
      </c>
      <c r="AB60" s="644">
        <f t="shared" si="11"/>
        <v>29539.82204149567</v>
      </c>
      <c r="AC60" s="645">
        <f t="shared" si="12"/>
        <v>28836.206263292286</v>
      </c>
      <c r="AD60" s="644">
        <f t="shared" si="75"/>
        <v>0</v>
      </c>
      <c r="AE60" s="645">
        <f t="shared" si="76"/>
        <v>29539.82204149567</v>
      </c>
      <c r="AF60" s="646">
        <f t="shared" si="77"/>
        <v>-366.1682927896876</v>
      </c>
      <c r="AG60" s="647">
        <f t="shared" si="78"/>
        <v>29173.653748705983</v>
      </c>
      <c r="AH60" s="644">
        <f t="shared" si="13"/>
        <v>0</v>
      </c>
      <c r="AI60" s="645">
        <f t="shared" si="14"/>
        <v>29173.653748705983</v>
      </c>
      <c r="AJ60" s="646">
        <f t="shared" si="79"/>
        <v>-36.750624445160071</v>
      </c>
      <c r="AK60" s="647">
        <f t="shared" si="15"/>
        <v>29136.903124260822</v>
      </c>
      <c r="AL60" s="644">
        <f t="shared" si="80"/>
        <v>0</v>
      </c>
      <c r="AM60" s="645">
        <f t="shared" si="81"/>
        <v>29136.903124260822</v>
      </c>
      <c r="AN60" s="646">
        <f t="shared" si="82"/>
        <v>-2.3428636269355117E-2</v>
      </c>
      <c r="AO60" s="647">
        <f t="shared" si="16"/>
        <v>29136.879695624553</v>
      </c>
      <c r="AP60" s="644">
        <f t="shared" si="83"/>
        <v>0</v>
      </c>
      <c r="AQ60" s="645">
        <f t="shared" si="84"/>
        <v>29136.879695624553</v>
      </c>
      <c r="AR60" s="646">
        <f t="shared" si="85"/>
        <v>0</v>
      </c>
      <c r="AS60" s="647">
        <f t="shared" si="17"/>
        <v>29136.879695624553</v>
      </c>
      <c r="AT60" s="644">
        <f t="shared" si="86"/>
        <v>0</v>
      </c>
      <c r="AU60" s="645">
        <f t="shared" si="87"/>
        <v>29136.879695624553</v>
      </c>
      <c r="AV60" s="646">
        <f t="shared" si="88"/>
        <v>0</v>
      </c>
      <c r="AW60" s="647">
        <f t="shared" si="18"/>
        <v>29136.879695624553</v>
      </c>
      <c r="AY60" s="644">
        <f t="shared" si="89"/>
        <v>7214.1015348763976</v>
      </c>
      <c r="AZ60" s="645">
        <f t="shared" si="48"/>
        <v>6992.0293974174529</v>
      </c>
      <c r="BA60" s="644">
        <f t="shared" si="90"/>
        <v>0</v>
      </c>
      <c r="BB60" s="645">
        <f t="shared" si="91"/>
        <v>7214.1015348763976</v>
      </c>
      <c r="BC60" s="646">
        <f t="shared" si="92"/>
        <v>-51.878706546111459</v>
      </c>
      <c r="BD60" s="647">
        <f t="shared" si="93"/>
        <v>7162.2228283302866</v>
      </c>
      <c r="BE60" s="644">
        <f t="shared" si="19"/>
        <v>0</v>
      </c>
      <c r="BF60" s="645">
        <f t="shared" si="20"/>
        <v>7162.2228283302866</v>
      </c>
      <c r="BG60" s="646">
        <f t="shared" si="94"/>
        <v>-170.59831098031182</v>
      </c>
      <c r="BH60" s="647">
        <f t="shared" si="21"/>
        <v>6991.6245173499747</v>
      </c>
      <c r="BI60" s="644">
        <f t="shared" si="95"/>
        <v>-0.40488006747818872</v>
      </c>
      <c r="BJ60" s="645">
        <f t="shared" si="96"/>
        <v>0</v>
      </c>
      <c r="BK60" s="646">
        <f t="shared" si="97"/>
        <v>0</v>
      </c>
      <c r="BL60" s="647">
        <f t="shared" si="22"/>
        <v>6992.0293974174529</v>
      </c>
      <c r="BM60" s="644">
        <f t="shared" si="98"/>
        <v>0</v>
      </c>
      <c r="BN60" s="645">
        <f t="shared" si="99"/>
        <v>0</v>
      </c>
      <c r="BO60" s="646">
        <f t="shared" si="100"/>
        <v>0</v>
      </c>
      <c r="BP60" s="647">
        <f t="shared" si="23"/>
        <v>6992.0293974174529</v>
      </c>
      <c r="BQ60" s="644">
        <f t="shared" si="101"/>
        <v>0</v>
      </c>
      <c r="BR60" s="645">
        <f t="shared" si="102"/>
        <v>0</v>
      </c>
      <c r="BS60" s="646">
        <f t="shared" si="103"/>
        <v>0</v>
      </c>
      <c r="BT60" s="647">
        <f t="shared" si="24"/>
        <v>6992.0293974174529</v>
      </c>
      <c r="BU60" s="662">
        <f>VLOOKUP(B60,'Afton Update'!$A$5:$AR$582,'Afton Update'!$AO$589,0)-BT60</f>
        <v>0</v>
      </c>
      <c r="BV60" s="644">
        <f t="shared" si="104"/>
        <v>12406.845010249261</v>
      </c>
      <c r="BW60" s="645">
        <f t="shared" si="25"/>
        <v>12203.288696643893</v>
      </c>
      <c r="BX60" s="644">
        <f t="shared" si="105"/>
        <v>0</v>
      </c>
      <c r="BY60" s="645">
        <f t="shared" si="106"/>
        <v>12406.845010249261</v>
      </c>
      <c r="BZ60" s="646">
        <f t="shared" si="107"/>
        <v>-108.89619773598307</v>
      </c>
      <c r="CA60" s="647">
        <f t="shared" si="108"/>
        <v>12297.948812513278</v>
      </c>
      <c r="CB60" s="644">
        <f t="shared" si="26"/>
        <v>0</v>
      </c>
      <c r="CC60" s="645">
        <f t="shared" si="27"/>
        <v>12297.948812513278</v>
      </c>
      <c r="CD60" s="646">
        <f t="shared" si="109"/>
        <v>-3.9392135627559188</v>
      </c>
      <c r="CE60" s="647">
        <f t="shared" si="28"/>
        <v>12294.009598950521</v>
      </c>
      <c r="CF60" s="644">
        <f t="shared" si="110"/>
        <v>0</v>
      </c>
      <c r="CG60" s="645">
        <f t="shared" si="111"/>
        <v>12294.009598950521</v>
      </c>
      <c r="CH60" s="646">
        <f t="shared" si="112"/>
        <v>0</v>
      </c>
      <c r="CI60" s="647">
        <f t="shared" si="29"/>
        <v>12294.009598950521</v>
      </c>
      <c r="CJ60" s="644">
        <f t="shared" si="113"/>
        <v>0</v>
      </c>
      <c r="CK60" s="645">
        <f t="shared" si="114"/>
        <v>12294.009598950521</v>
      </c>
      <c r="CL60" s="646">
        <f t="shared" si="115"/>
        <v>0</v>
      </c>
      <c r="CM60" s="647">
        <f t="shared" si="30"/>
        <v>12294.009598950521</v>
      </c>
      <c r="CN60" s="644">
        <f t="shared" si="116"/>
        <v>0</v>
      </c>
      <c r="CO60" s="645">
        <f t="shared" si="117"/>
        <v>12294.009598950521</v>
      </c>
      <c r="CP60" s="646">
        <f t="shared" si="118"/>
        <v>0</v>
      </c>
      <c r="CQ60" s="647">
        <f t="shared" si="31"/>
        <v>12294.009598950521</v>
      </c>
      <c r="CS60" s="644">
        <f t="shared" si="119"/>
        <v>11337.235268625898</v>
      </c>
      <c r="CT60" s="645">
        <f t="shared" si="32"/>
        <v>11219.618089167774</v>
      </c>
      <c r="CU60" s="644">
        <f t="shared" si="120"/>
        <v>0</v>
      </c>
      <c r="CV60" s="645">
        <f t="shared" si="121"/>
        <v>11337.235268625898</v>
      </c>
      <c r="CW60" s="646">
        <f t="shared" si="122"/>
        <v>-116.09969607152316</v>
      </c>
      <c r="CX60" s="647">
        <f t="shared" si="123"/>
        <v>11221.135572554374</v>
      </c>
      <c r="CY60" s="644">
        <f t="shared" si="33"/>
        <v>0</v>
      </c>
      <c r="CZ60" s="645">
        <f t="shared" si="34"/>
        <v>11221.135572554374</v>
      </c>
      <c r="DA60" s="646">
        <f t="shared" si="124"/>
        <v>-8.8086321746627405</v>
      </c>
      <c r="DB60" s="647">
        <f t="shared" si="35"/>
        <v>11212.326940379711</v>
      </c>
      <c r="DC60" s="644">
        <f t="shared" si="125"/>
        <v>-7.2911487880628556</v>
      </c>
      <c r="DD60" s="645">
        <f t="shared" si="126"/>
        <v>0</v>
      </c>
      <c r="DE60" s="646">
        <f t="shared" si="127"/>
        <v>0</v>
      </c>
      <c r="DF60" s="647">
        <f t="shared" si="36"/>
        <v>11219.618089167774</v>
      </c>
      <c r="DG60" s="644">
        <f t="shared" si="128"/>
        <v>0</v>
      </c>
      <c r="DH60" s="645">
        <f t="shared" si="129"/>
        <v>0</v>
      </c>
      <c r="DI60" s="646">
        <f t="shared" si="130"/>
        <v>0</v>
      </c>
      <c r="DJ60" s="647">
        <f t="shared" si="37"/>
        <v>11219.618089167774</v>
      </c>
      <c r="DK60" s="644">
        <f t="shared" si="131"/>
        <v>0</v>
      </c>
      <c r="DL60" s="645">
        <f t="shared" si="132"/>
        <v>0</v>
      </c>
      <c r="DM60" s="646">
        <f t="shared" si="133"/>
        <v>0</v>
      </c>
      <c r="DN60" s="647">
        <f t="shared" si="38"/>
        <v>11219.618089167774</v>
      </c>
      <c r="DR60" s="827">
        <f t="shared" si="49"/>
        <v>59642.536781160299</v>
      </c>
      <c r="DV60" s="828">
        <f>IFERROR(VLOOKUP($B60,'Afton FY16 Final'!$A$5:$BV$587,'Afton FY16 Final'!$BV$587,0),0)</f>
        <v>64538.319401735454</v>
      </c>
      <c r="DX60" s="636">
        <f t="shared" si="39"/>
        <v>0</v>
      </c>
      <c r="DY60" s="637">
        <f t="shared" si="40"/>
        <v>0</v>
      </c>
      <c r="DZ60" s="637">
        <f t="shared" si="41"/>
        <v>0</v>
      </c>
      <c r="EA60" s="643">
        <f t="shared" si="42"/>
        <v>0</v>
      </c>
      <c r="EB60" s="637">
        <f t="shared" si="50"/>
        <v>0</v>
      </c>
      <c r="EC60" s="637">
        <f t="shared" si="51"/>
        <v>0</v>
      </c>
      <c r="ED60" s="637">
        <f t="shared" si="52"/>
        <v>0</v>
      </c>
      <c r="EE60" s="643">
        <f t="shared" si="53"/>
        <v>0</v>
      </c>
      <c r="EF60" s="637">
        <f t="shared" si="54"/>
        <v>0</v>
      </c>
      <c r="EG60" s="637">
        <f t="shared" si="55"/>
        <v>0</v>
      </c>
      <c r="EH60" s="637">
        <f t="shared" si="56"/>
        <v>0</v>
      </c>
      <c r="EI60" s="643">
        <f t="shared" si="57"/>
        <v>0</v>
      </c>
      <c r="EJ60" s="637">
        <f t="shared" si="58"/>
        <v>0</v>
      </c>
      <c r="EK60" s="637">
        <f t="shared" si="59"/>
        <v>0</v>
      </c>
      <c r="EL60" s="637">
        <f t="shared" si="60"/>
        <v>0</v>
      </c>
      <c r="EM60" s="643">
        <f t="shared" si="61"/>
        <v>0</v>
      </c>
      <c r="EN60" s="637">
        <f t="shared" si="62"/>
        <v>0</v>
      </c>
      <c r="EO60" s="637">
        <f t="shared" si="63"/>
        <v>0</v>
      </c>
      <c r="EP60" s="637">
        <f t="shared" si="64"/>
        <v>0</v>
      </c>
      <c r="EQ60" s="643">
        <f t="shared" si="65"/>
        <v>0</v>
      </c>
      <c r="ER60" s="637">
        <f t="shared" si="66"/>
        <v>0</v>
      </c>
      <c r="ES60" s="637">
        <f t="shared" si="67"/>
        <v>0</v>
      </c>
      <c r="ET60" s="637">
        <f t="shared" si="68"/>
        <v>0</v>
      </c>
      <c r="EU60" s="643">
        <f t="shared" si="43"/>
        <v>0</v>
      </c>
      <c r="EV60" s="643">
        <f t="shared" si="44"/>
        <v>0</v>
      </c>
      <c r="EX60" s="829">
        <f t="shared" si="45"/>
        <v>0</v>
      </c>
      <c r="EY60" s="638">
        <f t="shared" si="46"/>
        <v>59642.536781160299</v>
      </c>
      <c r="FC60" s="830" t="str">
        <f t="shared" si="69"/>
        <v>Y</v>
      </c>
      <c r="FE60" s="830" t="str">
        <f>IFERROR(VLOOKUP($B60,'Historical Conc Grant Elig'!$B$3:$J$707,'HH &amp; SI'!FE$2,0),"N")</f>
        <v>Y</v>
      </c>
      <c r="FF60" s="830" t="str">
        <f>IFERROR(VLOOKUP($B60,'Historical Conc Grant Elig'!$B$3:$J$707,'HH &amp; SI'!FF$2,0),"N")</f>
        <v>Y</v>
      </c>
      <c r="FG60" s="830" t="str">
        <f>IFERROR(VLOOKUP($B60,'Historical Conc Grant Elig'!$B$3:$J$707,'HH &amp; SI'!FG$2,0),"N")</f>
        <v>Y</v>
      </c>
      <c r="FH60" s="830" t="str">
        <f>IFERROR(VLOOKUP($B60,'Historical Conc Grant Elig'!$B$3:$J$707,'HH &amp; SI'!FH$2,0),"N")</f>
        <v>Y</v>
      </c>
      <c r="FI60" s="830" t="str">
        <f>IFERROR(VLOOKUP($B60,'Historical Conc Grant Elig'!$B$3:$J$707,'HH &amp; SI'!FI$2,0),"N")</f>
        <v>Y</v>
      </c>
      <c r="FJ60" s="830" t="str">
        <f>IFERROR(VLOOKUP($B60,'Historical Conc Grant Elig'!$B$3:$J$707,'HH &amp; SI'!FJ$2,0),"N")</f>
        <v>Y</v>
      </c>
      <c r="FK60" s="830" t="str">
        <f>IFERROR(VLOOKUP($B60,'Historical Conc Grant Elig'!$B$3:$J$707,'HH &amp; SI'!FK$2,0),"N")</f>
        <v>Y</v>
      </c>
      <c r="FL60" s="957" t="str">
        <f>IFERROR(VLOOKUP($B60,'Historical Conc Grant Elig'!$B$3:$J$707,'HH &amp; SI'!FL$2,0),"N")</f>
        <v>Y</v>
      </c>
    </row>
    <row r="61" spans="2:168" x14ac:dyDescent="0.25">
      <c r="B61" s="634">
        <v>40333000</v>
      </c>
      <c r="C61" s="635" t="str">
        <f>VLOOKUP($B61,'Afton Update'!$A$5:$CR$582,'Afton Update'!D$589,0)</f>
        <v>Tonto Basin Elementary District</v>
      </c>
      <c r="D61" s="636">
        <f>IFERROR(VLOOKUP($B61,'Afton FY16 Final'!$A$5:$BV$587,'Afton FY16 Final'!AQ$587,0),0)</f>
        <v>25684.039102109273</v>
      </c>
      <c r="E61" s="637">
        <f>IFERROR(VLOOKUP($B61,'Afton FY16 Final'!$A$5:$BV$587,'Afton FY16 Final'!AR$587,0),0)</f>
        <v>6042.977811437624</v>
      </c>
      <c r="F61" s="637">
        <f>IFERROR(VLOOKUP($B61,'Afton FY16 Final'!$A$5:$BV$587,'Afton FY16 Final'!AS$587,0),0)</f>
        <v>18644.858835062965</v>
      </c>
      <c r="G61" s="637">
        <f>IFERROR(VLOOKUP($B61,'Afton FY16 Final'!$A$5:$BV$587,'Afton FY16 Final'!AT$587,0),0)</f>
        <v>20927.392143880108</v>
      </c>
      <c r="H61" s="638">
        <f>IFERROR(VLOOKUP($B61,'Afton FY16 Final'!$A$5:$BV$587,'Afton FY16 Final'!AU$587,0),0)</f>
        <v>71299.267892489966</v>
      </c>
      <c r="I61" s="639" t="str">
        <f>VLOOKUP($B61,'Afton Update'!$A$5:$CR$582,'Afton Update'!BT$589,0)</f>
        <v>Y</v>
      </c>
      <c r="J61" s="640" t="str">
        <f>VLOOKUP($B61,'Afton Update'!$A$5:$CR$582,'Afton Update'!BU$589,0)</f>
        <v>Y</v>
      </c>
      <c r="K61" s="640" t="str">
        <f>VLOOKUP($B61,'Afton Update'!$A$5:$CR$582,'Afton Update'!BV$589,0)</f>
        <v>Y</v>
      </c>
      <c r="L61" s="641" t="str">
        <f>VLOOKUP($B61,'Afton Update'!$A$5:$CR$582,'Afton Update'!BW$589,0)</f>
        <v>Y</v>
      </c>
      <c r="N61" s="642">
        <f>VLOOKUP($B61,'Afton Update'!$A$5:$CR$582,'Afton Update'!CB$589,0)</f>
        <v>0.95</v>
      </c>
      <c r="P61" s="636">
        <f>VLOOKUP($B61,'Afton Update'!$A$5:$CR$582,'Afton Update'!AH$589,0)</f>
        <v>24995.203619467957</v>
      </c>
      <c r="Q61" s="637">
        <f>VLOOKUP($B61,'Afton Update'!$A$5:$CR$582,'Afton Update'!AI$589,0)</f>
        <v>5926.3364025972469</v>
      </c>
      <c r="R61" s="637">
        <f>VLOOKUP($B61,'Afton Update'!$A$5:$CR$582,'Afton Update'!AJ$589,0)</f>
        <v>18008.070248703501</v>
      </c>
      <c r="S61" s="637">
        <f>VLOOKUP($B61,'Afton Update'!$A$5:$CR$582,'Afton Update'!AK$589,0)</f>
        <v>20289.289625413847</v>
      </c>
      <c r="T61" s="643">
        <f t="shared" si="47"/>
        <v>69218.899896182556</v>
      </c>
      <c r="V61" s="636">
        <f t="shared" si="70"/>
        <v>24654.252818619982</v>
      </c>
      <c r="W61" s="637">
        <f t="shared" si="71"/>
        <v>5740.8289208657425</v>
      </c>
      <c r="X61" s="637">
        <f t="shared" si="72"/>
        <v>17844.293880776728</v>
      </c>
      <c r="Y61" s="637">
        <f t="shared" si="73"/>
        <v>20065.738176328738</v>
      </c>
      <c r="Z61" s="643">
        <f t="shared" si="74"/>
        <v>68305.113796591191</v>
      </c>
      <c r="AB61" s="644">
        <f t="shared" si="11"/>
        <v>24995.203619467957</v>
      </c>
      <c r="AC61" s="645">
        <f t="shared" si="12"/>
        <v>24399.837147003807</v>
      </c>
      <c r="AD61" s="644">
        <f t="shared" si="75"/>
        <v>0</v>
      </c>
      <c r="AE61" s="645">
        <f t="shared" si="76"/>
        <v>24995.203619467957</v>
      </c>
      <c r="AF61" s="646">
        <f t="shared" si="77"/>
        <v>-309.83433225882061</v>
      </c>
      <c r="AG61" s="647">
        <f t="shared" si="78"/>
        <v>24685.369287209138</v>
      </c>
      <c r="AH61" s="644">
        <f t="shared" si="13"/>
        <v>0</v>
      </c>
      <c r="AI61" s="645">
        <f t="shared" si="14"/>
        <v>24685.369287209138</v>
      </c>
      <c r="AJ61" s="646">
        <f t="shared" si="79"/>
        <v>-31.096644382589592</v>
      </c>
      <c r="AK61" s="647">
        <f t="shared" si="15"/>
        <v>24654.272642826549</v>
      </c>
      <c r="AL61" s="644">
        <f t="shared" si="80"/>
        <v>0</v>
      </c>
      <c r="AM61" s="645">
        <f t="shared" si="81"/>
        <v>24654.272642826549</v>
      </c>
      <c r="AN61" s="646">
        <f t="shared" si="82"/>
        <v>-1.9824206566185963E-2</v>
      </c>
      <c r="AO61" s="647">
        <f t="shared" si="16"/>
        <v>24654.252818619982</v>
      </c>
      <c r="AP61" s="644">
        <f t="shared" si="83"/>
        <v>0</v>
      </c>
      <c r="AQ61" s="645">
        <f t="shared" si="84"/>
        <v>24654.252818619982</v>
      </c>
      <c r="AR61" s="646">
        <f t="shared" si="85"/>
        <v>0</v>
      </c>
      <c r="AS61" s="647">
        <f t="shared" si="17"/>
        <v>24654.252818619982</v>
      </c>
      <c r="AT61" s="644">
        <f t="shared" si="86"/>
        <v>0</v>
      </c>
      <c r="AU61" s="645">
        <f t="shared" si="87"/>
        <v>24654.252818619982</v>
      </c>
      <c r="AV61" s="646">
        <f t="shared" si="88"/>
        <v>0</v>
      </c>
      <c r="AW61" s="647">
        <f t="shared" si="18"/>
        <v>24654.252818619982</v>
      </c>
      <c r="AY61" s="644">
        <f t="shared" si="89"/>
        <v>5926.3364025972469</v>
      </c>
      <c r="AZ61" s="645">
        <f t="shared" si="48"/>
        <v>5740.8289208657425</v>
      </c>
      <c r="BA61" s="644">
        <f t="shared" si="90"/>
        <v>0</v>
      </c>
      <c r="BB61" s="645">
        <f t="shared" si="91"/>
        <v>5926.3364025972469</v>
      </c>
      <c r="BC61" s="646">
        <f t="shared" si="92"/>
        <v>-42.618012185927476</v>
      </c>
      <c r="BD61" s="647">
        <f t="shared" si="93"/>
        <v>5883.718390411319</v>
      </c>
      <c r="BE61" s="644">
        <f t="shared" si="19"/>
        <v>0</v>
      </c>
      <c r="BF61" s="645">
        <f t="shared" si="20"/>
        <v>5883.718390411319</v>
      </c>
      <c r="BG61" s="646">
        <f t="shared" si="94"/>
        <v>-140.14537717503165</v>
      </c>
      <c r="BH61" s="647">
        <f t="shared" si="21"/>
        <v>5743.5730132362869</v>
      </c>
      <c r="BI61" s="644">
        <f t="shared" si="95"/>
        <v>0</v>
      </c>
      <c r="BJ61" s="645">
        <f t="shared" si="96"/>
        <v>5743.5730132362869</v>
      </c>
      <c r="BK61" s="646">
        <f t="shared" si="97"/>
        <v>-12.16623664656742</v>
      </c>
      <c r="BL61" s="647">
        <f t="shared" si="22"/>
        <v>5731.4067765897198</v>
      </c>
      <c r="BM61" s="644">
        <f t="shared" si="98"/>
        <v>-9.4221442760226637</v>
      </c>
      <c r="BN61" s="645">
        <f t="shared" si="99"/>
        <v>0</v>
      </c>
      <c r="BO61" s="646">
        <f t="shared" si="100"/>
        <v>0</v>
      </c>
      <c r="BP61" s="647">
        <f t="shared" si="23"/>
        <v>5740.8289208657425</v>
      </c>
      <c r="BQ61" s="644">
        <f t="shared" si="101"/>
        <v>0</v>
      </c>
      <c r="BR61" s="645">
        <f t="shared" si="102"/>
        <v>0</v>
      </c>
      <c r="BS61" s="646">
        <f t="shared" si="103"/>
        <v>0</v>
      </c>
      <c r="BT61" s="647">
        <f t="shared" si="24"/>
        <v>5740.8289208657425</v>
      </c>
      <c r="BU61" s="662">
        <f>VLOOKUP(B61,'Afton Update'!$A$5:$AR$582,'Afton Update'!$AO$589,0)-BT61</f>
        <v>0</v>
      </c>
      <c r="BV61" s="644">
        <f t="shared" si="104"/>
        <v>18008.070248703501</v>
      </c>
      <c r="BW61" s="645">
        <f t="shared" si="25"/>
        <v>17712.615893309816</v>
      </c>
      <c r="BX61" s="644">
        <f t="shared" si="105"/>
        <v>0</v>
      </c>
      <c r="BY61" s="645">
        <f t="shared" si="106"/>
        <v>18008.070248703501</v>
      </c>
      <c r="BZ61" s="646">
        <f t="shared" si="107"/>
        <v>-158.05874716951044</v>
      </c>
      <c r="CA61" s="647">
        <f t="shared" si="108"/>
        <v>17850.011501533991</v>
      </c>
      <c r="CB61" s="644">
        <f t="shared" si="26"/>
        <v>0</v>
      </c>
      <c r="CC61" s="645">
        <f t="shared" si="27"/>
        <v>17850.011501533991</v>
      </c>
      <c r="CD61" s="646">
        <f t="shared" si="109"/>
        <v>-5.7176207572636555</v>
      </c>
      <c r="CE61" s="647">
        <f t="shared" si="28"/>
        <v>17844.293880776728</v>
      </c>
      <c r="CF61" s="644">
        <f t="shared" si="110"/>
        <v>0</v>
      </c>
      <c r="CG61" s="645">
        <f t="shared" si="111"/>
        <v>17844.293880776728</v>
      </c>
      <c r="CH61" s="646">
        <f t="shared" si="112"/>
        <v>0</v>
      </c>
      <c r="CI61" s="647">
        <f t="shared" si="29"/>
        <v>17844.293880776728</v>
      </c>
      <c r="CJ61" s="644">
        <f t="shared" si="113"/>
        <v>0</v>
      </c>
      <c r="CK61" s="645">
        <f t="shared" si="114"/>
        <v>17844.293880776728</v>
      </c>
      <c r="CL61" s="646">
        <f t="shared" si="115"/>
        <v>0</v>
      </c>
      <c r="CM61" s="647">
        <f t="shared" si="30"/>
        <v>17844.293880776728</v>
      </c>
      <c r="CN61" s="644">
        <f t="shared" si="116"/>
        <v>0</v>
      </c>
      <c r="CO61" s="645">
        <f t="shared" si="117"/>
        <v>17844.293880776728</v>
      </c>
      <c r="CP61" s="646">
        <f t="shared" si="118"/>
        <v>0</v>
      </c>
      <c r="CQ61" s="647">
        <f t="shared" si="31"/>
        <v>17844.293880776728</v>
      </c>
      <c r="CS61" s="644">
        <f t="shared" si="119"/>
        <v>20289.289625413847</v>
      </c>
      <c r="CT61" s="645">
        <f t="shared" si="32"/>
        <v>19881.022536686101</v>
      </c>
      <c r="CU61" s="644">
        <f t="shared" si="120"/>
        <v>0</v>
      </c>
      <c r="CV61" s="645">
        <f t="shared" si="121"/>
        <v>20289.289625413847</v>
      </c>
      <c r="CW61" s="646">
        <f t="shared" si="122"/>
        <v>-207.77379168767641</v>
      </c>
      <c r="CX61" s="647">
        <f t="shared" si="123"/>
        <v>20081.515833726171</v>
      </c>
      <c r="CY61" s="644">
        <f t="shared" si="33"/>
        <v>0</v>
      </c>
      <c r="CZ61" s="645">
        <f t="shared" si="34"/>
        <v>20081.515833726171</v>
      </c>
      <c r="DA61" s="646">
        <f t="shared" si="124"/>
        <v>-15.764062856669712</v>
      </c>
      <c r="DB61" s="647">
        <f t="shared" si="35"/>
        <v>20065.751770869501</v>
      </c>
      <c r="DC61" s="644">
        <f t="shared" si="125"/>
        <v>0</v>
      </c>
      <c r="DD61" s="645">
        <f t="shared" si="126"/>
        <v>20065.751770869501</v>
      </c>
      <c r="DE61" s="646">
        <f t="shared" si="127"/>
        <v>-1.3594540762478147E-2</v>
      </c>
      <c r="DF61" s="647">
        <f t="shared" si="36"/>
        <v>20065.738176328738</v>
      </c>
      <c r="DG61" s="644">
        <f t="shared" si="128"/>
        <v>0</v>
      </c>
      <c r="DH61" s="645">
        <f t="shared" si="129"/>
        <v>20065.738176328738</v>
      </c>
      <c r="DI61" s="646">
        <f t="shared" si="130"/>
        <v>0</v>
      </c>
      <c r="DJ61" s="647">
        <f t="shared" si="37"/>
        <v>20065.738176328738</v>
      </c>
      <c r="DK61" s="644">
        <f t="shared" si="131"/>
        <v>0</v>
      </c>
      <c r="DL61" s="645">
        <f t="shared" si="132"/>
        <v>20065.738176328738</v>
      </c>
      <c r="DM61" s="646">
        <f t="shared" si="133"/>
        <v>0</v>
      </c>
      <c r="DN61" s="647">
        <f t="shared" si="38"/>
        <v>20065.738176328738</v>
      </c>
      <c r="DR61" s="827">
        <f t="shared" si="49"/>
        <v>68305.113796591191</v>
      </c>
      <c r="DV61" s="828">
        <f>IFERROR(VLOOKUP($B61,'Afton FY16 Final'!$A$5:$BV$587,'Afton FY16 Final'!$BV$587,0),0)</f>
        <v>68760.01410790981</v>
      </c>
      <c r="DX61" s="636">
        <f t="shared" si="39"/>
        <v>0</v>
      </c>
      <c r="DY61" s="637">
        <f t="shared" si="40"/>
        <v>0</v>
      </c>
      <c r="DZ61" s="637">
        <f t="shared" si="41"/>
        <v>0</v>
      </c>
      <c r="EA61" s="643">
        <f t="shared" si="42"/>
        <v>0</v>
      </c>
      <c r="EB61" s="637">
        <f t="shared" si="50"/>
        <v>0</v>
      </c>
      <c r="EC61" s="637">
        <f t="shared" si="51"/>
        <v>0</v>
      </c>
      <c r="ED61" s="637">
        <f t="shared" si="52"/>
        <v>0</v>
      </c>
      <c r="EE61" s="643">
        <f t="shared" si="53"/>
        <v>0</v>
      </c>
      <c r="EF61" s="637">
        <f t="shared" si="54"/>
        <v>0</v>
      </c>
      <c r="EG61" s="637">
        <f t="shared" si="55"/>
        <v>0</v>
      </c>
      <c r="EH61" s="637">
        <f t="shared" si="56"/>
        <v>0</v>
      </c>
      <c r="EI61" s="643">
        <f t="shared" si="57"/>
        <v>0</v>
      </c>
      <c r="EJ61" s="637">
        <f t="shared" si="58"/>
        <v>0</v>
      </c>
      <c r="EK61" s="637">
        <f t="shared" si="59"/>
        <v>0</v>
      </c>
      <c r="EL61" s="637">
        <f t="shared" si="60"/>
        <v>0</v>
      </c>
      <c r="EM61" s="643">
        <f t="shared" si="61"/>
        <v>0</v>
      </c>
      <c r="EN61" s="637">
        <f t="shared" si="62"/>
        <v>0</v>
      </c>
      <c r="EO61" s="637">
        <f t="shared" si="63"/>
        <v>0</v>
      </c>
      <c r="EP61" s="637">
        <f t="shared" si="64"/>
        <v>0</v>
      </c>
      <c r="EQ61" s="643">
        <f t="shared" si="65"/>
        <v>0</v>
      </c>
      <c r="ER61" s="637">
        <f t="shared" si="66"/>
        <v>0</v>
      </c>
      <c r="ES61" s="637">
        <f t="shared" si="67"/>
        <v>0</v>
      </c>
      <c r="ET61" s="637">
        <f t="shared" si="68"/>
        <v>0</v>
      </c>
      <c r="EU61" s="643">
        <f t="shared" si="43"/>
        <v>0</v>
      </c>
      <c r="EV61" s="643">
        <f t="shared" si="44"/>
        <v>0</v>
      </c>
      <c r="EX61" s="829">
        <f t="shared" si="45"/>
        <v>0</v>
      </c>
      <c r="EY61" s="638">
        <f t="shared" si="46"/>
        <v>68305.113796591191</v>
      </c>
      <c r="FC61" s="830" t="str">
        <f t="shared" si="69"/>
        <v>Y</v>
      </c>
      <c r="FE61" s="830" t="str">
        <f>IFERROR(VLOOKUP($B61,'Historical Conc Grant Elig'!$B$3:$J$707,'HH &amp; SI'!FE$2,0),"N")</f>
        <v>N</v>
      </c>
      <c r="FF61" s="830" t="str">
        <f>IFERROR(VLOOKUP($B61,'Historical Conc Grant Elig'!$B$3:$J$707,'HH &amp; SI'!FF$2,0),"N")</f>
        <v>N</v>
      </c>
      <c r="FG61" s="830" t="str">
        <f>IFERROR(VLOOKUP($B61,'Historical Conc Grant Elig'!$B$3:$J$707,'HH &amp; SI'!FG$2,0),"N")</f>
        <v>Y</v>
      </c>
      <c r="FH61" s="830" t="str">
        <f>IFERROR(VLOOKUP($B61,'Historical Conc Grant Elig'!$B$3:$J$707,'HH &amp; SI'!FH$2,0),"N")</f>
        <v>Y</v>
      </c>
      <c r="FI61" s="830" t="str">
        <f>IFERROR(VLOOKUP($B61,'Historical Conc Grant Elig'!$B$3:$J$707,'HH &amp; SI'!FI$2,0),"N")</f>
        <v>Y</v>
      </c>
      <c r="FJ61" s="830" t="str">
        <f>IFERROR(VLOOKUP($B61,'Historical Conc Grant Elig'!$B$3:$J$707,'HH &amp; SI'!FJ$2,0),"N")</f>
        <v>Y</v>
      </c>
      <c r="FK61" s="830" t="str">
        <f>IFERROR(VLOOKUP($B61,'Historical Conc Grant Elig'!$B$3:$J$707,'HH &amp; SI'!FK$2,0),"N")</f>
        <v>Y</v>
      </c>
      <c r="FL61" s="957" t="str">
        <f>IFERROR(VLOOKUP($B61,'Historical Conc Grant Elig'!$B$3:$J$707,'HH &amp; SI'!FL$2,0),"N")</f>
        <v>Y</v>
      </c>
    </row>
    <row r="62" spans="2:168" x14ac:dyDescent="0.25">
      <c r="B62" s="634">
        <v>48701000</v>
      </c>
      <c r="C62" s="635" t="str">
        <f>VLOOKUP($B62,'Afton Update'!$A$5:$CR$582,'Afton Update'!D$589,0)</f>
        <v>Destiny School  Inc.</v>
      </c>
      <c r="D62" s="636">
        <f>IFERROR(VLOOKUP($B62,'Afton FY16 Final'!$A$5:$BV$587,'Afton FY16 Final'!AQ$587,0),0)</f>
        <v>78798.290426890686</v>
      </c>
      <c r="E62" s="637">
        <f>IFERROR(VLOOKUP($B62,'Afton FY16 Final'!$A$5:$BV$587,'Afton FY16 Final'!AR$587,0),0)</f>
        <v>18033.38060463544</v>
      </c>
      <c r="F62" s="637">
        <f>IFERROR(VLOOKUP($B62,'Afton FY16 Final'!$A$5:$BV$587,'Afton FY16 Final'!AS$587,0),0)</f>
        <v>43508.240086636426</v>
      </c>
      <c r="G62" s="637">
        <f>IFERROR(VLOOKUP($B62,'Afton FY16 Final'!$A$5:$BV$587,'Afton FY16 Final'!AT$587,0),0)</f>
        <v>44923.450797252844</v>
      </c>
      <c r="H62" s="638">
        <f>IFERROR(VLOOKUP($B62,'Afton FY16 Final'!$A$5:$BV$587,'Afton FY16 Final'!AU$587,0),0)</f>
        <v>185263.36191541541</v>
      </c>
      <c r="I62" s="639" t="str">
        <f>VLOOKUP($B62,'Afton Update'!$A$5:$CR$582,'Afton Update'!BT$589,0)</f>
        <v>Y</v>
      </c>
      <c r="J62" s="640" t="str">
        <f>VLOOKUP($B62,'Afton Update'!$A$5:$CR$582,'Afton Update'!BU$589,0)</f>
        <v>Y</v>
      </c>
      <c r="K62" s="640" t="str">
        <f>VLOOKUP($B62,'Afton Update'!$A$5:$CR$582,'Afton Update'!BV$589,0)</f>
        <v>Y</v>
      </c>
      <c r="L62" s="641" t="str">
        <f>VLOOKUP($B62,'Afton Update'!$A$5:$CR$582,'Afton Update'!BW$589,0)</f>
        <v>Y</v>
      </c>
      <c r="N62" s="642">
        <f>VLOOKUP($B62,'Afton Update'!$A$5:$CR$582,'Afton Update'!CB$589,0)</f>
        <v>0.95</v>
      </c>
      <c r="P62" s="636">
        <f>VLOOKUP($B62,'Afton Update'!$A$5:$CR$582,'Afton Update'!AH$589,0)</f>
        <v>60793.223187260599</v>
      </c>
      <c r="Q62" s="637">
        <f>VLOOKUP($B62,'Afton Update'!$A$5:$CR$582,'Afton Update'!AI$589,0)</f>
        <v>14556.654274224642</v>
      </c>
      <c r="R62" s="637">
        <f>VLOOKUP($B62,'Afton Update'!$A$5:$CR$582,'Afton Update'!AJ$589,0)</f>
        <v>35541.181745825503</v>
      </c>
      <c r="S62" s="637">
        <f>VLOOKUP($B62,'Afton Update'!$A$5:$CR$582,'Afton Update'!AK$589,0)</f>
        <v>34655.332219448021</v>
      </c>
      <c r="T62" s="643">
        <f t="shared" si="47"/>
        <v>145546.39142675878</v>
      </c>
      <c r="V62" s="636">
        <f t="shared" si="70"/>
        <v>74858.375905546141</v>
      </c>
      <c r="W62" s="637">
        <f t="shared" si="71"/>
        <v>17131.711574403667</v>
      </c>
      <c r="X62" s="637">
        <f t="shared" si="72"/>
        <v>41332.828082304601</v>
      </c>
      <c r="Y62" s="637">
        <f t="shared" si="73"/>
        <v>42677.2782573902</v>
      </c>
      <c r="Z62" s="643">
        <f t="shared" si="74"/>
        <v>176000.1938196446</v>
      </c>
      <c r="AB62" s="644">
        <f t="shared" si="11"/>
        <v>60793.223187260599</v>
      </c>
      <c r="AC62" s="645">
        <f t="shared" si="12"/>
        <v>74858.375905546141</v>
      </c>
      <c r="AD62" s="644">
        <f t="shared" si="75"/>
        <v>14065.152718285543</v>
      </c>
      <c r="AE62" s="645">
        <f t="shared" si="76"/>
        <v>0</v>
      </c>
      <c r="AF62" s="646">
        <f t="shared" si="77"/>
        <v>0</v>
      </c>
      <c r="AG62" s="647">
        <f t="shared" si="78"/>
        <v>74858.375905546141</v>
      </c>
      <c r="AH62" s="644">
        <f t="shared" si="13"/>
        <v>0</v>
      </c>
      <c r="AI62" s="645">
        <f t="shared" si="14"/>
        <v>0</v>
      </c>
      <c r="AJ62" s="646">
        <f t="shared" si="79"/>
        <v>0</v>
      </c>
      <c r="AK62" s="647">
        <f t="shared" si="15"/>
        <v>74858.375905546141</v>
      </c>
      <c r="AL62" s="644">
        <f t="shared" si="80"/>
        <v>0</v>
      </c>
      <c r="AM62" s="645">
        <f t="shared" si="81"/>
        <v>0</v>
      </c>
      <c r="AN62" s="646">
        <f t="shared" si="82"/>
        <v>0</v>
      </c>
      <c r="AO62" s="647">
        <f t="shared" si="16"/>
        <v>74858.375905546141</v>
      </c>
      <c r="AP62" s="644">
        <f t="shared" si="83"/>
        <v>0</v>
      </c>
      <c r="AQ62" s="645">
        <f t="shared" si="84"/>
        <v>0</v>
      </c>
      <c r="AR62" s="646">
        <f t="shared" si="85"/>
        <v>0</v>
      </c>
      <c r="AS62" s="647">
        <f t="shared" si="17"/>
        <v>74858.375905546141</v>
      </c>
      <c r="AT62" s="644">
        <f t="shared" si="86"/>
        <v>0</v>
      </c>
      <c r="AU62" s="645">
        <f t="shared" si="87"/>
        <v>0</v>
      </c>
      <c r="AV62" s="646">
        <f t="shared" si="88"/>
        <v>0</v>
      </c>
      <c r="AW62" s="647">
        <f t="shared" si="18"/>
        <v>74858.375905546141</v>
      </c>
      <c r="AY62" s="644">
        <f t="shared" si="89"/>
        <v>14556.654274224642</v>
      </c>
      <c r="AZ62" s="645">
        <f t="shared" si="48"/>
        <v>17131.711574403667</v>
      </c>
      <c r="BA62" s="644">
        <f t="shared" si="90"/>
        <v>2575.0573001790253</v>
      </c>
      <c r="BB62" s="645">
        <f t="shared" si="91"/>
        <v>0</v>
      </c>
      <c r="BC62" s="646">
        <f t="shared" si="92"/>
        <v>0</v>
      </c>
      <c r="BD62" s="647">
        <f t="shared" si="93"/>
        <v>17131.711574403667</v>
      </c>
      <c r="BE62" s="644">
        <f t="shared" si="19"/>
        <v>0</v>
      </c>
      <c r="BF62" s="645">
        <f t="shared" si="20"/>
        <v>0</v>
      </c>
      <c r="BG62" s="646">
        <f t="shared" si="94"/>
        <v>0</v>
      </c>
      <c r="BH62" s="647">
        <f t="shared" si="21"/>
        <v>17131.711574403667</v>
      </c>
      <c r="BI62" s="644">
        <f t="shared" si="95"/>
        <v>0</v>
      </c>
      <c r="BJ62" s="645">
        <f t="shared" si="96"/>
        <v>0</v>
      </c>
      <c r="BK62" s="646">
        <f t="shared" si="97"/>
        <v>0</v>
      </c>
      <c r="BL62" s="647">
        <f t="shared" si="22"/>
        <v>17131.711574403667</v>
      </c>
      <c r="BM62" s="644">
        <f t="shared" si="98"/>
        <v>0</v>
      </c>
      <c r="BN62" s="645">
        <f t="shared" si="99"/>
        <v>0</v>
      </c>
      <c r="BO62" s="646">
        <f t="shared" si="100"/>
        <v>0</v>
      </c>
      <c r="BP62" s="647">
        <f t="shared" si="23"/>
        <v>17131.711574403667</v>
      </c>
      <c r="BQ62" s="644">
        <f t="shared" si="101"/>
        <v>0</v>
      </c>
      <c r="BR62" s="645">
        <f t="shared" si="102"/>
        <v>0</v>
      </c>
      <c r="BS62" s="646">
        <f t="shared" si="103"/>
        <v>0</v>
      </c>
      <c r="BT62" s="647">
        <f t="shared" si="24"/>
        <v>17131.711574403667</v>
      </c>
      <c r="BU62" s="662">
        <f>VLOOKUP(B62,'Afton Update'!$A$5:$AR$582,'Afton Update'!$AO$589,0)-BT62</f>
        <v>0</v>
      </c>
      <c r="BV62" s="644">
        <f t="shared" si="104"/>
        <v>35541.181745825503</v>
      </c>
      <c r="BW62" s="645">
        <f t="shared" si="25"/>
        <v>41332.828082304601</v>
      </c>
      <c r="BX62" s="644">
        <f t="shared" si="105"/>
        <v>5791.646336479098</v>
      </c>
      <c r="BY62" s="645">
        <f t="shared" si="106"/>
        <v>0</v>
      </c>
      <c r="BZ62" s="646">
        <f t="shared" si="107"/>
        <v>0</v>
      </c>
      <c r="CA62" s="647">
        <f t="shared" si="108"/>
        <v>41332.828082304601</v>
      </c>
      <c r="CB62" s="644">
        <f t="shared" si="26"/>
        <v>0</v>
      </c>
      <c r="CC62" s="645">
        <f t="shared" si="27"/>
        <v>0</v>
      </c>
      <c r="CD62" s="646">
        <f t="shared" si="109"/>
        <v>0</v>
      </c>
      <c r="CE62" s="647">
        <f t="shared" si="28"/>
        <v>41332.828082304601</v>
      </c>
      <c r="CF62" s="644">
        <f t="shared" si="110"/>
        <v>0</v>
      </c>
      <c r="CG62" s="645">
        <f t="shared" si="111"/>
        <v>0</v>
      </c>
      <c r="CH62" s="646">
        <f t="shared" si="112"/>
        <v>0</v>
      </c>
      <c r="CI62" s="647">
        <f t="shared" si="29"/>
        <v>41332.828082304601</v>
      </c>
      <c r="CJ62" s="644">
        <f t="shared" si="113"/>
        <v>0</v>
      </c>
      <c r="CK62" s="645">
        <f t="shared" si="114"/>
        <v>0</v>
      </c>
      <c r="CL62" s="646">
        <f t="shared" si="115"/>
        <v>0</v>
      </c>
      <c r="CM62" s="647">
        <f t="shared" si="30"/>
        <v>41332.828082304601</v>
      </c>
      <c r="CN62" s="644">
        <f t="shared" si="116"/>
        <v>0</v>
      </c>
      <c r="CO62" s="645">
        <f t="shared" si="117"/>
        <v>0</v>
      </c>
      <c r="CP62" s="646">
        <f t="shared" si="118"/>
        <v>0</v>
      </c>
      <c r="CQ62" s="647">
        <f t="shared" si="31"/>
        <v>41332.828082304601</v>
      </c>
      <c r="CS62" s="644">
        <f t="shared" si="119"/>
        <v>34655.332219448021</v>
      </c>
      <c r="CT62" s="645">
        <f t="shared" si="32"/>
        <v>42677.2782573902</v>
      </c>
      <c r="CU62" s="644">
        <f t="shared" si="120"/>
        <v>8021.9460379421798</v>
      </c>
      <c r="CV62" s="645">
        <f t="shared" si="121"/>
        <v>0</v>
      </c>
      <c r="CW62" s="646">
        <f t="shared" si="122"/>
        <v>0</v>
      </c>
      <c r="CX62" s="647">
        <f t="shared" si="123"/>
        <v>42677.2782573902</v>
      </c>
      <c r="CY62" s="644">
        <f t="shared" si="33"/>
        <v>0</v>
      </c>
      <c r="CZ62" s="645">
        <f t="shared" si="34"/>
        <v>0</v>
      </c>
      <c r="DA62" s="646">
        <f t="shared" si="124"/>
        <v>0</v>
      </c>
      <c r="DB62" s="647">
        <f t="shared" si="35"/>
        <v>42677.2782573902</v>
      </c>
      <c r="DC62" s="644">
        <f t="shared" si="125"/>
        <v>0</v>
      </c>
      <c r="DD62" s="645">
        <f t="shared" si="126"/>
        <v>0</v>
      </c>
      <c r="DE62" s="646">
        <f t="shared" si="127"/>
        <v>0</v>
      </c>
      <c r="DF62" s="647">
        <f t="shared" si="36"/>
        <v>42677.2782573902</v>
      </c>
      <c r="DG62" s="644">
        <f t="shared" si="128"/>
        <v>0</v>
      </c>
      <c r="DH62" s="645">
        <f t="shared" si="129"/>
        <v>0</v>
      </c>
      <c r="DI62" s="646">
        <f t="shared" si="130"/>
        <v>0</v>
      </c>
      <c r="DJ62" s="647">
        <f t="shared" si="37"/>
        <v>42677.2782573902</v>
      </c>
      <c r="DK62" s="644">
        <f t="shared" si="131"/>
        <v>0</v>
      </c>
      <c r="DL62" s="645">
        <f t="shared" si="132"/>
        <v>0</v>
      </c>
      <c r="DM62" s="646">
        <f t="shared" si="133"/>
        <v>0</v>
      </c>
      <c r="DN62" s="647">
        <f t="shared" si="38"/>
        <v>42677.2782573902</v>
      </c>
      <c r="DR62" s="827">
        <f t="shared" si="49"/>
        <v>176000.1938196446</v>
      </c>
      <c r="DV62" s="828">
        <f>IFERROR(VLOOKUP($B62,'Afton FY16 Final'!$A$5:$BV$587,'Afton FY16 Final'!$BV$587,0),0)</f>
        <v>178706.52356052888</v>
      </c>
      <c r="DX62" s="636">
        <f t="shared" si="39"/>
        <v>0</v>
      </c>
      <c r="DY62" s="637">
        <f t="shared" si="40"/>
        <v>0</v>
      </c>
      <c r="DZ62" s="637">
        <f t="shared" si="41"/>
        <v>0</v>
      </c>
      <c r="EA62" s="643">
        <f t="shared" si="42"/>
        <v>0</v>
      </c>
      <c r="EB62" s="637">
        <f t="shared" si="50"/>
        <v>0</v>
      </c>
      <c r="EC62" s="637">
        <f t="shared" si="51"/>
        <v>0</v>
      </c>
      <c r="ED62" s="637">
        <f t="shared" si="52"/>
        <v>0</v>
      </c>
      <c r="EE62" s="643">
        <f t="shared" si="53"/>
        <v>0</v>
      </c>
      <c r="EF62" s="637">
        <f t="shared" si="54"/>
        <v>0</v>
      </c>
      <c r="EG62" s="637">
        <f t="shared" si="55"/>
        <v>0</v>
      </c>
      <c r="EH62" s="637">
        <f t="shared" si="56"/>
        <v>0</v>
      </c>
      <c r="EI62" s="643">
        <f t="shared" si="57"/>
        <v>0</v>
      </c>
      <c r="EJ62" s="637">
        <f t="shared" si="58"/>
        <v>0</v>
      </c>
      <c r="EK62" s="637">
        <f t="shared" si="59"/>
        <v>0</v>
      </c>
      <c r="EL62" s="637">
        <f t="shared" si="60"/>
        <v>0</v>
      </c>
      <c r="EM62" s="643">
        <f t="shared" si="61"/>
        <v>0</v>
      </c>
      <c r="EN62" s="637">
        <f t="shared" si="62"/>
        <v>0</v>
      </c>
      <c r="EO62" s="637">
        <f t="shared" si="63"/>
        <v>0</v>
      </c>
      <c r="EP62" s="637">
        <f t="shared" si="64"/>
        <v>0</v>
      </c>
      <c r="EQ62" s="643">
        <f t="shared" si="65"/>
        <v>0</v>
      </c>
      <c r="ER62" s="637">
        <f t="shared" si="66"/>
        <v>0</v>
      </c>
      <c r="ES62" s="637">
        <f t="shared" si="67"/>
        <v>0</v>
      </c>
      <c r="ET62" s="637">
        <f t="shared" si="68"/>
        <v>0</v>
      </c>
      <c r="EU62" s="643">
        <f t="shared" si="43"/>
        <v>0</v>
      </c>
      <c r="EV62" s="643">
        <f t="shared" si="44"/>
        <v>0</v>
      </c>
      <c r="EX62" s="829">
        <f t="shared" si="45"/>
        <v>0</v>
      </c>
      <c r="EY62" s="638">
        <f t="shared" si="46"/>
        <v>176000.1938196446</v>
      </c>
      <c r="FC62" s="830" t="str">
        <f t="shared" si="69"/>
        <v>Y</v>
      </c>
      <c r="FE62" s="830" t="str">
        <f>IFERROR(VLOOKUP($B62,'Historical Conc Grant Elig'!$B$3:$J$707,'HH &amp; SI'!FE$2,0),"N")</f>
        <v>Y</v>
      </c>
      <c r="FF62" s="830" t="str">
        <f>IFERROR(VLOOKUP($B62,'Historical Conc Grant Elig'!$B$3:$J$707,'HH &amp; SI'!FF$2,0),"N")</f>
        <v>Y</v>
      </c>
      <c r="FG62" s="830" t="str">
        <f>IFERROR(VLOOKUP($B62,'Historical Conc Grant Elig'!$B$3:$J$707,'HH &amp; SI'!FG$2,0),"N")</f>
        <v>Y</v>
      </c>
      <c r="FH62" s="830" t="str">
        <f>IFERROR(VLOOKUP($B62,'Historical Conc Grant Elig'!$B$3:$J$707,'HH &amp; SI'!FH$2,0),"N")</f>
        <v>Y</v>
      </c>
      <c r="FI62" s="830" t="str">
        <f>IFERROR(VLOOKUP($B62,'Historical Conc Grant Elig'!$B$3:$J$707,'HH &amp; SI'!FI$2,0),"N")</f>
        <v>Y</v>
      </c>
      <c r="FJ62" s="830" t="str">
        <f>IFERROR(VLOOKUP($B62,'Historical Conc Grant Elig'!$B$3:$J$707,'HH &amp; SI'!FJ$2,0),"N")</f>
        <v>Y</v>
      </c>
      <c r="FK62" s="830" t="str">
        <f>IFERROR(VLOOKUP($B62,'Historical Conc Grant Elig'!$B$3:$J$707,'HH &amp; SI'!FK$2,0),"N")</f>
        <v>Y</v>
      </c>
      <c r="FL62" s="957" t="str">
        <f>IFERROR(VLOOKUP($B62,'Historical Conc Grant Elig'!$B$3:$J$707,'HH &amp; SI'!FL$2,0),"N")</f>
        <v>Y</v>
      </c>
    </row>
    <row r="63" spans="2:168" x14ac:dyDescent="0.25">
      <c r="B63" s="634">
        <v>50199000</v>
      </c>
      <c r="C63" s="635" t="str">
        <f>VLOOKUP($B63,'Afton Update'!$A$5:$CR$582,'Afton Update'!D$589,0)</f>
        <v>Graham County Special Services</v>
      </c>
      <c r="D63" s="636">
        <f>IFERROR(VLOOKUP($B63,'Afton FY16 Final'!$A$5:$BV$587,'Afton FY16 Final'!AQ$587,0),0)</f>
        <v>11086.329560231597</v>
      </c>
      <c r="E63" s="637">
        <f>IFERROR(VLOOKUP($B63,'Afton FY16 Final'!$A$5:$BV$587,'Afton FY16 Final'!AR$587,0),0)</f>
        <v>2609.1463976300447</v>
      </c>
      <c r="F63" s="637">
        <f>IFERROR(VLOOKUP($B63,'Afton FY16 Final'!$A$5:$BV$587,'Afton FY16 Final'!AS$587,0),0)</f>
        <v>4775.3028301193835</v>
      </c>
      <c r="G63" s="637">
        <f>IFERROR(VLOOKUP($B63,'Afton FY16 Final'!$A$5:$BV$587,'Afton FY16 Final'!AT$587,0),0)</f>
        <v>4241.7164980585148</v>
      </c>
      <c r="H63" s="638">
        <f>IFERROR(VLOOKUP($B63,'Afton FY16 Final'!$A$5:$BV$587,'Afton FY16 Final'!AU$587,0),0)</f>
        <v>22712.495286039542</v>
      </c>
      <c r="I63" s="639" t="str">
        <f>VLOOKUP($B63,'Afton Update'!$A$5:$CR$582,'Afton Update'!BT$589,0)</f>
        <v>Y</v>
      </c>
      <c r="J63" s="640" t="str">
        <f>VLOOKUP($B63,'Afton Update'!$A$5:$CR$582,'Afton Update'!BU$589,0)</f>
        <v>Y</v>
      </c>
      <c r="K63" s="640" t="str">
        <f>VLOOKUP($B63,'Afton Update'!$A$5:$CR$582,'Afton Update'!BV$589,0)</f>
        <v>Y</v>
      </c>
      <c r="L63" s="641" t="str">
        <f>VLOOKUP($B63,'Afton Update'!$A$5:$CR$582,'Afton Update'!BW$589,0)</f>
        <v>Y</v>
      </c>
      <c r="N63" s="642">
        <f>VLOOKUP($B63,'Afton Update'!$A$5:$CR$582,'Afton Update'!CB$589,0)</f>
        <v>0.95</v>
      </c>
      <c r="P63" s="636">
        <f>VLOOKUP($B63,'Afton Update'!$A$5:$CR$582,'Afton Update'!AH$589,0)</f>
        <v>7550.1163778764412</v>
      </c>
      <c r="Q63" s="637">
        <f>VLOOKUP($B63,'Afton Update'!$A$5:$CR$582,'Afton Update'!AI$589,0)</f>
        <v>6302.3036645935408</v>
      </c>
      <c r="R63" s="637">
        <f>VLOOKUP($B63,'Afton Update'!$A$5:$CR$582,'Afton Update'!AJ$589,0)</f>
        <v>3223.3738182587003</v>
      </c>
      <c r="S63" s="637">
        <f>VLOOKUP($B63,'Afton Update'!$A$5:$CR$582,'Afton Update'!AK$589,0)</f>
        <v>2927.3342073472777</v>
      </c>
      <c r="T63" s="643">
        <f t="shared" si="47"/>
        <v>20003.128068075959</v>
      </c>
      <c r="V63" s="636">
        <f t="shared" si="70"/>
        <v>10532.013082220017</v>
      </c>
      <c r="W63" s="637">
        <f t="shared" si="71"/>
        <v>6094.7288237043877</v>
      </c>
      <c r="X63" s="637">
        <f t="shared" si="72"/>
        <v>4536.5376886134145</v>
      </c>
      <c r="Y63" s="637">
        <f t="shared" si="73"/>
        <v>4029.6306731555887</v>
      </c>
      <c r="Z63" s="643">
        <f t="shared" si="74"/>
        <v>25192.910267693409</v>
      </c>
      <c r="AB63" s="644">
        <f t="shared" si="11"/>
        <v>7550.1163778764412</v>
      </c>
      <c r="AC63" s="645">
        <f t="shared" si="12"/>
        <v>10532.013082220017</v>
      </c>
      <c r="AD63" s="644">
        <f t="shared" si="75"/>
        <v>2981.8967043435759</v>
      </c>
      <c r="AE63" s="645">
        <f t="shared" si="76"/>
        <v>0</v>
      </c>
      <c r="AF63" s="646">
        <f t="shared" si="77"/>
        <v>0</v>
      </c>
      <c r="AG63" s="647">
        <f t="shared" si="78"/>
        <v>10532.013082220017</v>
      </c>
      <c r="AH63" s="644">
        <f t="shared" si="13"/>
        <v>0</v>
      </c>
      <c r="AI63" s="645">
        <f t="shared" si="14"/>
        <v>0</v>
      </c>
      <c r="AJ63" s="646">
        <f t="shared" si="79"/>
        <v>0</v>
      </c>
      <c r="AK63" s="647">
        <f t="shared" si="15"/>
        <v>10532.013082220017</v>
      </c>
      <c r="AL63" s="644">
        <f t="shared" si="80"/>
        <v>0</v>
      </c>
      <c r="AM63" s="645">
        <f t="shared" si="81"/>
        <v>0</v>
      </c>
      <c r="AN63" s="646">
        <f t="shared" si="82"/>
        <v>0</v>
      </c>
      <c r="AO63" s="647">
        <f t="shared" si="16"/>
        <v>10532.013082220017</v>
      </c>
      <c r="AP63" s="644">
        <f t="shared" si="83"/>
        <v>0</v>
      </c>
      <c r="AQ63" s="645">
        <f t="shared" si="84"/>
        <v>0</v>
      </c>
      <c r="AR63" s="646">
        <f t="shared" si="85"/>
        <v>0</v>
      </c>
      <c r="AS63" s="647">
        <f t="shared" si="17"/>
        <v>10532.013082220017</v>
      </c>
      <c r="AT63" s="644">
        <f t="shared" si="86"/>
        <v>0</v>
      </c>
      <c r="AU63" s="645">
        <f t="shared" si="87"/>
        <v>0</v>
      </c>
      <c r="AV63" s="646">
        <f t="shared" si="88"/>
        <v>0</v>
      </c>
      <c r="AW63" s="647">
        <f t="shared" si="18"/>
        <v>10532.013082220017</v>
      </c>
      <c r="AY63" s="644">
        <f t="shared" si="89"/>
        <v>6302.3036645935408</v>
      </c>
      <c r="AZ63" s="645">
        <f t="shared" si="48"/>
        <v>2478.6890777485423</v>
      </c>
      <c r="BA63" s="644">
        <f t="shared" si="90"/>
        <v>0</v>
      </c>
      <c r="BB63" s="645">
        <f t="shared" si="91"/>
        <v>6302.3036645935408</v>
      </c>
      <c r="BC63" s="646">
        <f t="shared" si="92"/>
        <v>-45.321702335249022</v>
      </c>
      <c r="BD63" s="647">
        <f t="shared" si="93"/>
        <v>6256.9819622582918</v>
      </c>
      <c r="BE63" s="644">
        <f t="shared" si="19"/>
        <v>0</v>
      </c>
      <c r="BF63" s="645">
        <f t="shared" si="20"/>
        <v>6256.9819622582918</v>
      </c>
      <c r="BG63" s="646">
        <f t="shared" si="94"/>
        <v>-149.03621126856081</v>
      </c>
      <c r="BH63" s="647">
        <f t="shared" si="21"/>
        <v>6107.9457509897311</v>
      </c>
      <c r="BI63" s="644">
        <f t="shared" si="95"/>
        <v>0</v>
      </c>
      <c r="BJ63" s="645">
        <f t="shared" si="96"/>
        <v>6107.9457509897311</v>
      </c>
      <c r="BK63" s="646">
        <f t="shared" si="97"/>
        <v>-12.938063686086187</v>
      </c>
      <c r="BL63" s="647">
        <f t="shared" si="22"/>
        <v>6095.0076873036451</v>
      </c>
      <c r="BM63" s="644">
        <f t="shared" si="98"/>
        <v>0</v>
      </c>
      <c r="BN63" s="645">
        <f t="shared" si="99"/>
        <v>6095.0076873036451</v>
      </c>
      <c r="BO63" s="646">
        <f t="shared" si="100"/>
        <v>-0.27886359925781956</v>
      </c>
      <c r="BP63" s="647">
        <f t="shared" si="23"/>
        <v>6094.7288237043877</v>
      </c>
      <c r="BQ63" s="644">
        <f t="shared" si="101"/>
        <v>0</v>
      </c>
      <c r="BR63" s="645">
        <f t="shared" si="102"/>
        <v>6094.7288237043877</v>
      </c>
      <c r="BS63" s="646">
        <f t="shared" si="103"/>
        <v>0</v>
      </c>
      <c r="BT63" s="647">
        <f t="shared" si="24"/>
        <v>6094.7288237043877</v>
      </c>
      <c r="BU63" s="662">
        <f>VLOOKUP(B63,'Afton Update'!$A$5:$AR$582,'Afton Update'!$AO$589,0)-BT63</f>
        <v>0</v>
      </c>
      <c r="BV63" s="644">
        <f t="shared" si="104"/>
        <v>3223.3738182587003</v>
      </c>
      <c r="BW63" s="645">
        <f t="shared" si="25"/>
        <v>4536.5376886134145</v>
      </c>
      <c r="BX63" s="644">
        <f t="shared" si="105"/>
        <v>1313.1638703547142</v>
      </c>
      <c r="BY63" s="645">
        <f t="shared" si="106"/>
        <v>0</v>
      </c>
      <c r="BZ63" s="646">
        <f t="shared" si="107"/>
        <v>0</v>
      </c>
      <c r="CA63" s="647">
        <f t="shared" si="108"/>
        <v>4536.5376886134145</v>
      </c>
      <c r="CB63" s="644">
        <f t="shared" si="26"/>
        <v>0</v>
      </c>
      <c r="CC63" s="645">
        <f t="shared" si="27"/>
        <v>0</v>
      </c>
      <c r="CD63" s="646">
        <f t="shared" si="109"/>
        <v>0</v>
      </c>
      <c r="CE63" s="647">
        <f t="shared" si="28"/>
        <v>4536.5376886134145</v>
      </c>
      <c r="CF63" s="644">
        <f t="shared" si="110"/>
        <v>0</v>
      </c>
      <c r="CG63" s="645">
        <f t="shared" si="111"/>
        <v>0</v>
      </c>
      <c r="CH63" s="646">
        <f t="shared" si="112"/>
        <v>0</v>
      </c>
      <c r="CI63" s="647">
        <f t="shared" si="29"/>
        <v>4536.5376886134145</v>
      </c>
      <c r="CJ63" s="644">
        <f t="shared" si="113"/>
        <v>0</v>
      </c>
      <c r="CK63" s="645">
        <f t="shared" si="114"/>
        <v>0</v>
      </c>
      <c r="CL63" s="646">
        <f t="shared" si="115"/>
        <v>0</v>
      </c>
      <c r="CM63" s="647">
        <f t="shared" si="30"/>
        <v>4536.5376886134145</v>
      </c>
      <c r="CN63" s="644">
        <f t="shared" si="116"/>
        <v>0</v>
      </c>
      <c r="CO63" s="645">
        <f t="shared" si="117"/>
        <v>0</v>
      </c>
      <c r="CP63" s="646">
        <f t="shared" si="118"/>
        <v>0</v>
      </c>
      <c r="CQ63" s="647">
        <f t="shared" si="31"/>
        <v>4536.5376886134145</v>
      </c>
      <c r="CS63" s="644">
        <f t="shared" si="119"/>
        <v>2927.3342073472777</v>
      </c>
      <c r="CT63" s="645">
        <f t="shared" si="32"/>
        <v>4029.6306731555887</v>
      </c>
      <c r="CU63" s="644">
        <f t="shared" si="120"/>
        <v>1102.296465808311</v>
      </c>
      <c r="CV63" s="645">
        <f t="shared" si="121"/>
        <v>0</v>
      </c>
      <c r="CW63" s="646">
        <f t="shared" si="122"/>
        <v>0</v>
      </c>
      <c r="CX63" s="647">
        <f t="shared" si="123"/>
        <v>4029.6306731555887</v>
      </c>
      <c r="CY63" s="644">
        <f t="shared" si="33"/>
        <v>0</v>
      </c>
      <c r="CZ63" s="645">
        <f t="shared" si="34"/>
        <v>0</v>
      </c>
      <c r="DA63" s="646">
        <f t="shared" si="124"/>
        <v>0</v>
      </c>
      <c r="DB63" s="647">
        <f t="shared" si="35"/>
        <v>4029.6306731555887</v>
      </c>
      <c r="DC63" s="644">
        <f t="shared" si="125"/>
        <v>0</v>
      </c>
      <c r="DD63" s="645">
        <f t="shared" si="126"/>
        <v>0</v>
      </c>
      <c r="DE63" s="646">
        <f t="shared" si="127"/>
        <v>0</v>
      </c>
      <c r="DF63" s="647">
        <f t="shared" si="36"/>
        <v>4029.6306731555887</v>
      </c>
      <c r="DG63" s="644">
        <f t="shared" si="128"/>
        <v>0</v>
      </c>
      <c r="DH63" s="645">
        <f t="shared" si="129"/>
        <v>0</v>
      </c>
      <c r="DI63" s="646">
        <f t="shared" si="130"/>
        <v>0</v>
      </c>
      <c r="DJ63" s="647">
        <f t="shared" si="37"/>
        <v>4029.6306731555887</v>
      </c>
      <c r="DK63" s="644">
        <f t="shared" si="131"/>
        <v>0</v>
      </c>
      <c r="DL63" s="645">
        <f t="shared" si="132"/>
        <v>0</v>
      </c>
      <c r="DM63" s="646">
        <f t="shared" si="133"/>
        <v>0</v>
      </c>
      <c r="DN63" s="647">
        <f t="shared" si="38"/>
        <v>4029.6306731555887</v>
      </c>
      <c r="DR63" s="827">
        <f t="shared" si="49"/>
        <v>25192.910267693409</v>
      </c>
      <c r="DV63" s="828">
        <f>IFERROR(VLOOKUP($B63,'Afton FY16 Final'!$A$5:$BV$587,'Afton FY16 Final'!$BV$587,0),0)</f>
        <v>20164.843304618673</v>
      </c>
      <c r="DX63" s="636">
        <f t="shared" si="39"/>
        <v>25192.910267693409</v>
      </c>
      <c r="DY63" s="637">
        <f t="shared" si="40"/>
        <v>5028.0669630747361</v>
      </c>
      <c r="DZ63" s="637">
        <f t="shared" si="41"/>
        <v>20164.843304618673</v>
      </c>
      <c r="EA63" s="643">
        <f t="shared" si="42"/>
        <v>23852.929788498674</v>
      </c>
      <c r="EB63" s="637">
        <f t="shared" si="50"/>
        <v>0</v>
      </c>
      <c r="EC63" s="637">
        <f t="shared" si="51"/>
        <v>23852.929788498674</v>
      </c>
      <c r="ED63" s="637">
        <f t="shared" si="52"/>
        <v>23781.801776073571</v>
      </c>
      <c r="EE63" s="643">
        <f t="shared" si="53"/>
        <v>23781.801776073571</v>
      </c>
      <c r="EF63" s="637">
        <f t="shared" si="54"/>
        <v>0</v>
      </c>
      <c r="EG63" s="637">
        <f t="shared" si="55"/>
        <v>23781.801776073571</v>
      </c>
      <c r="EH63" s="637">
        <f t="shared" si="56"/>
        <v>23781.777241316951</v>
      </c>
      <c r="EI63" s="643">
        <f t="shared" si="57"/>
        <v>23781.777241316951</v>
      </c>
      <c r="EJ63" s="637">
        <f t="shared" si="58"/>
        <v>0</v>
      </c>
      <c r="EK63" s="637">
        <f t="shared" si="59"/>
        <v>23781.777241316951</v>
      </c>
      <c r="EL63" s="637">
        <f t="shared" si="60"/>
        <v>23781.777241316919</v>
      </c>
      <c r="EM63" s="643">
        <f t="shared" si="61"/>
        <v>23781.777241316919</v>
      </c>
      <c r="EN63" s="637">
        <f t="shared" si="62"/>
        <v>0</v>
      </c>
      <c r="EO63" s="637">
        <f t="shared" si="63"/>
        <v>23781.777241316919</v>
      </c>
      <c r="EP63" s="637">
        <f t="shared" si="64"/>
        <v>23781.777241316955</v>
      </c>
      <c r="EQ63" s="643">
        <f t="shared" si="65"/>
        <v>23781.777241316955</v>
      </c>
      <c r="ER63" s="637">
        <f t="shared" si="66"/>
        <v>0</v>
      </c>
      <c r="ES63" s="637">
        <f t="shared" si="67"/>
        <v>23781.777241316955</v>
      </c>
      <c r="ET63" s="637">
        <f t="shared" si="68"/>
        <v>23781.777241316919</v>
      </c>
      <c r="EU63" s="643">
        <f t="shared" si="43"/>
        <v>23781.777241316919</v>
      </c>
      <c r="EV63" s="643">
        <f t="shared" si="44"/>
        <v>0</v>
      </c>
      <c r="EX63" s="829">
        <f t="shared" si="45"/>
        <v>1411.1330263764903</v>
      </c>
      <c r="EY63" s="638">
        <f t="shared" si="46"/>
        <v>23781.777241316919</v>
      </c>
      <c r="FC63" s="830" t="str">
        <f t="shared" si="69"/>
        <v>Y</v>
      </c>
      <c r="FE63" s="830" t="str">
        <f>IFERROR(VLOOKUP($B63,'Historical Conc Grant Elig'!$B$3:$J$707,'HH &amp; SI'!FE$2,0),"N")</f>
        <v>Y</v>
      </c>
      <c r="FF63" s="830" t="str">
        <f>IFERROR(VLOOKUP($B63,'Historical Conc Grant Elig'!$B$3:$J$707,'HH &amp; SI'!FF$2,0),"N")</f>
        <v>Y</v>
      </c>
      <c r="FG63" s="830" t="str">
        <f>IFERROR(VLOOKUP($B63,'Historical Conc Grant Elig'!$B$3:$J$707,'HH &amp; SI'!FG$2,0),"N")</f>
        <v>Y</v>
      </c>
      <c r="FH63" s="830" t="str">
        <f>IFERROR(VLOOKUP($B63,'Historical Conc Grant Elig'!$B$3:$J$707,'HH &amp; SI'!FH$2,0),"N")</f>
        <v>Y</v>
      </c>
      <c r="FI63" s="830" t="str">
        <f>IFERROR(VLOOKUP($B63,'Historical Conc Grant Elig'!$B$3:$J$707,'HH &amp; SI'!FI$2,0),"N")</f>
        <v>Y</v>
      </c>
      <c r="FJ63" s="830" t="str">
        <f>IFERROR(VLOOKUP($B63,'Historical Conc Grant Elig'!$B$3:$J$707,'HH &amp; SI'!FJ$2,0),"N")</f>
        <v>Y</v>
      </c>
      <c r="FK63" s="830" t="str">
        <f>IFERROR(VLOOKUP($B63,'Historical Conc Grant Elig'!$B$3:$J$707,'HH &amp; SI'!FK$2,0),"N")</f>
        <v>Y</v>
      </c>
      <c r="FL63" s="957" t="str">
        <f>IFERROR(VLOOKUP($B63,'Historical Conc Grant Elig'!$B$3:$J$707,'HH &amp; SI'!FL$2,0),"N")</f>
        <v>Y</v>
      </c>
    </row>
    <row r="64" spans="2:168" x14ac:dyDescent="0.25">
      <c r="B64" s="634">
        <v>50201000</v>
      </c>
      <c r="C64" s="635" t="str">
        <f>VLOOKUP($B64,'Afton Update'!$A$5:$CR$582,'Afton Update'!D$589,0)</f>
        <v>Safford Unified District</v>
      </c>
      <c r="D64" s="636">
        <f>IFERROR(VLOOKUP($B64,'Afton FY16 Final'!$A$5:$BV$587,'Afton FY16 Final'!AQ$587,0),0)</f>
        <v>368996.57391843561</v>
      </c>
      <c r="E64" s="637">
        <f>IFERROR(VLOOKUP($B64,'Afton FY16 Final'!$A$5:$BV$587,'Afton FY16 Final'!AR$587,0),0)</f>
        <v>85967.339595425758</v>
      </c>
      <c r="F64" s="637">
        <f>IFERROR(VLOOKUP($B64,'Afton FY16 Final'!$A$5:$BV$587,'Afton FY16 Final'!AS$587,0),0)</f>
        <v>139977.63582958101</v>
      </c>
      <c r="G64" s="637">
        <f>IFERROR(VLOOKUP($B64,'Afton FY16 Final'!$A$5:$BV$587,'Afton FY16 Final'!AT$587,0),0)</f>
        <v>109482.24431283424</v>
      </c>
      <c r="H64" s="638">
        <f>IFERROR(VLOOKUP($B64,'Afton FY16 Final'!$A$5:$BV$587,'Afton FY16 Final'!AU$587,0),0)</f>
        <v>704423.79365627654</v>
      </c>
      <c r="I64" s="639" t="str">
        <f>VLOOKUP($B64,'Afton Update'!$A$5:$CR$582,'Afton Update'!BT$589,0)</f>
        <v>Y</v>
      </c>
      <c r="J64" s="640" t="str">
        <f>VLOOKUP($B64,'Afton Update'!$A$5:$CR$582,'Afton Update'!BU$589,0)</f>
        <v>Y</v>
      </c>
      <c r="K64" s="640" t="str">
        <f>VLOOKUP($B64,'Afton Update'!$A$5:$CR$582,'Afton Update'!BV$589,0)</f>
        <v>Y</v>
      </c>
      <c r="L64" s="641" t="str">
        <f>VLOOKUP($B64,'Afton Update'!$A$5:$CR$582,'Afton Update'!BW$589,0)</f>
        <v>Y</v>
      </c>
      <c r="N64" s="642">
        <f>VLOOKUP($B64,'Afton Update'!$A$5:$CR$582,'Afton Update'!CB$589,0)</f>
        <v>0.9</v>
      </c>
      <c r="P64" s="636">
        <f>VLOOKUP($B64,'Afton Update'!$A$5:$CR$582,'Afton Update'!AH$589,0)</f>
        <v>343935.93244384578</v>
      </c>
      <c r="Q64" s="637">
        <f>VLOOKUP($B64,'Afton Update'!$A$5:$CR$582,'Afton Update'!AI$589,0)</f>
        <v>86405.03941349464</v>
      </c>
      <c r="R64" s="637">
        <f>VLOOKUP($B64,'Afton Update'!$A$5:$CR$582,'Afton Update'!AJ$589,0)</f>
        <v>127984.5058429442</v>
      </c>
      <c r="S64" s="637">
        <f>VLOOKUP($B64,'Afton Update'!$A$5:$CR$582,'Afton Update'!AK$589,0)</f>
        <v>99237.419603156231</v>
      </c>
      <c r="T64" s="643">
        <f t="shared" si="47"/>
        <v>657562.89730344096</v>
      </c>
      <c r="V64" s="636">
        <f t="shared" si="70"/>
        <v>339244.42308899539</v>
      </c>
      <c r="W64" s="637">
        <f t="shared" si="71"/>
        <v>83559.173320269198</v>
      </c>
      <c r="X64" s="637">
        <f t="shared" si="72"/>
        <v>126820.53673196356</v>
      </c>
      <c r="Y64" s="637">
        <f t="shared" si="73"/>
        <v>98534.019881550819</v>
      </c>
      <c r="Z64" s="643">
        <f t="shared" si="74"/>
        <v>648158.15302277892</v>
      </c>
      <c r="AB64" s="644">
        <f t="shared" si="11"/>
        <v>343935.93244384578</v>
      </c>
      <c r="AC64" s="645">
        <f t="shared" si="12"/>
        <v>332096.91652659205</v>
      </c>
      <c r="AD64" s="644">
        <f t="shared" si="75"/>
        <v>0</v>
      </c>
      <c r="AE64" s="645">
        <f t="shared" si="76"/>
        <v>343935.93244384578</v>
      </c>
      <c r="AF64" s="646">
        <f t="shared" si="77"/>
        <v>-4263.3443436145963</v>
      </c>
      <c r="AG64" s="647">
        <f t="shared" si="78"/>
        <v>339672.58810023119</v>
      </c>
      <c r="AH64" s="644">
        <f t="shared" si="13"/>
        <v>0</v>
      </c>
      <c r="AI64" s="645">
        <f t="shared" si="14"/>
        <v>339672.58810023119</v>
      </c>
      <c r="AJ64" s="646">
        <f t="shared" si="79"/>
        <v>-427.89222862223221</v>
      </c>
      <c r="AK64" s="647">
        <f t="shared" si="15"/>
        <v>339244.69587160897</v>
      </c>
      <c r="AL64" s="644">
        <f t="shared" si="80"/>
        <v>0</v>
      </c>
      <c r="AM64" s="645">
        <f t="shared" si="81"/>
        <v>339244.69587160897</v>
      </c>
      <c r="AN64" s="646">
        <f t="shared" si="82"/>
        <v>-0.27278261358071348</v>
      </c>
      <c r="AO64" s="647">
        <f t="shared" si="16"/>
        <v>339244.42308899539</v>
      </c>
      <c r="AP64" s="644">
        <f t="shared" si="83"/>
        <v>0</v>
      </c>
      <c r="AQ64" s="645">
        <f t="shared" si="84"/>
        <v>339244.42308899539</v>
      </c>
      <c r="AR64" s="646">
        <f t="shared" si="85"/>
        <v>0</v>
      </c>
      <c r="AS64" s="647">
        <f t="shared" si="17"/>
        <v>339244.42308899539</v>
      </c>
      <c r="AT64" s="644">
        <f t="shared" si="86"/>
        <v>0</v>
      </c>
      <c r="AU64" s="645">
        <f t="shared" si="87"/>
        <v>339244.42308899539</v>
      </c>
      <c r="AV64" s="646">
        <f t="shared" si="88"/>
        <v>0</v>
      </c>
      <c r="AW64" s="647">
        <f t="shared" si="18"/>
        <v>339244.42308899539</v>
      </c>
      <c r="AY64" s="644">
        <f t="shared" si="89"/>
        <v>86405.03941349464</v>
      </c>
      <c r="AZ64" s="645">
        <f t="shared" si="48"/>
        <v>77370.605635883185</v>
      </c>
      <c r="BA64" s="644">
        <f t="shared" si="90"/>
        <v>0</v>
      </c>
      <c r="BB64" s="645">
        <f t="shared" si="91"/>
        <v>86405.03941349464</v>
      </c>
      <c r="BC64" s="646">
        <f t="shared" si="92"/>
        <v>-621.363819481463</v>
      </c>
      <c r="BD64" s="647">
        <f t="shared" si="93"/>
        <v>85783.675594013184</v>
      </c>
      <c r="BE64" s="644">
        <f t="shared" si="19"/>
        <v>0</v>
      </c>
      <c r="BF64" s="645">
        <f t="shared" si="20"/>
        <v>85783.675594013184</v>
      </c>
      <c r="BG64" s="646">
        <f t="shared" si="94"/>
        <v>-2043.2972439972757</v>
      </c>
      <c r="BH64" s="647">
        <f t="shared" si="21"/>
        <v>83740.378350015904</v>
      </c>
      <c r="BI64" s="644">
        <f t="shared" si="95"/>
        <v>0</v>
      </c>
      <c r="BJ64" s="645">
        <f t="shared" si="96"/>
        <v>83740.378350015904</v>
      </c>
      <c r="BK64" s="646">
        <f t="shared" si="97"/>
        <v>-177.38178961623856</v>
      </c>
      <c r="BL64" s="647">
        <f t="shared" si="22"/>
        <v>83562.996560399668</v>
      </c>
      <c r="BM64" s="644">
        <f t="shared" si="98"/>
        <v>0</v>
      </c>
      <c r="BN64" s="645">
        <f t="shared" si="99"/>
        <v>83562.996560399668</v>
      </c>
      <c r="BO64" s="646">
        <f t="shared" si="100"/>
        <v>-3.8232401304666208</v>
      </c>
      <c r="BP64" s="647">
        <f t="shared" si="23"/>
        <v>83559.173320269198</v>
      </c>
      <c r="BQ64" s="644">
        <f t="shared" si="101"/>
        <v>0</v>
      </c>
      <c r="BR64" s="645">
        <f t="shared" si="102"/>
        <v>83559.173320269198</v>
      </c>
      <c r="BS64" s="646">
        <f t="shared" si="103"/>
        <v>0</v>
      </c>
      <c r="BT64" s="647">
        <f t="shared" si="24"/>
        <v>83559.173320269198</v>
      </c>
      <c r="BU64" s="662">
        <f>VLOOKUP(B64,'Afton Update'!$A$5:$AR$582,'Afton Update'!$AO$589,0)-BT64</f>
        <v>0</v>
      </c>
      <c r="BV64" s="644">
        <f t="shared" si="104"/>
        <v>127984.5058429442</v>
      </c>
      <c r="BW64" s="645">
        <f t="shared" si="25"/>
        <v>125979.87224662291</v>
      </c>
      <c r="BX64" s="644">
        <f t="shared" si="105"/>
        <v>0</v>
      </c>
      <c r="BY64" s="645">
        <f t="shared" si="106"/>
        <v>127984.5058429442</v>
      </c>
      <c r="BZ64" s="646">
        <f t="shared" si="107"/>
        <v>-1123.3336149441693</v>
      </c>
      <c r="CA64" s="647">
        <f t="shared" si="108"/>
        <v>126861.17222800002</v>
      </c>
      <c r="CB64" s="644">
        <f t="shared" si="26"/>
        <v>0</v>
      </c>
      <c r="CC64" s="645">
        <f t="shared" si="27"/>
        <v>126861.17222800002</v>
      </c>
      <c r="CD64" s="646">
        <f t="shared" si="109"/>
        <v>-40.635496036474713</v>
      </c>
      <c r="CE64" s="647">
        <f t="shared" si="28"/>
        <v>126820.53673196356</v>
      </c>
      <c r="CF64" s="644">
        <f t="shared" si="110"/>
        <v>0</v>
      </c>
      <c r="CG64" s="645">
        <f t="shared" si="111"/>
        <v>126820.53673196356</v>
      </c>
      <c r="CH64" s="646">
        <f t="shared" si="112"/>
        <v>0</v>
      </c>
      <c r="CI64" s="647">
        <f t="shared" si="29"/>
        <v>126820.53673196356</v>
      </c>
      <c r="CJ64" s="644">
        <f t="shared" si="113"/>
        <v>0</v>
      </c>
      <c r="CK64" s="645">
        <f t="shared" si="114"/>
        <v>126820.53673196356</v>
      </c>
      <c r="CL64" s="646">
        <f t="shared" si="115"/>
        <v>0</v>
      </c>
      <c r="CM64" s="647">
        <f t="shared" si="30"/>
        <v>126820.53673196356</v>
      </c>
      <c r="CN64" s="644">
        <f t="shared" si="116"/>
        <v>0</v>
      </c>
      <c r="CO64" s="645">
        <f t="shared" si="117"/>
        <v>126820.53673196356</v>
      </c>
      <c r="CP64" s="646">
        <f t="shared" si="118"/>
        <v>0</v>
      </c>
      <c r="CQ64" s="647">
        <f t="shared" si="31"/>
        <v>126820.53673196356</v>
      </c>
      <c r="CS64" s="644">
        <f t="shared" si="119"/>
        <v>99237.419603156231</v>
      </c>
      <c r="CT64" s="645">
        <f t="shared" si="32"/>
        <v>98534.019881550819</v>
      </c>
      <c r="CU64" s="644">
        <f t="shared" si="120"/>
        <v>0</v>
      </c>
      <c r="CV64" s="645">
        <f t="shared" si="121"/>
        <v>99237.419603156231</v>
      </c>
      <c r="CW64" s="646">
        <f t="shared" si="122"/>
        <v>-1016.2472579829492</v>
      </c>
      <c r="CX64" s="647">
        <f t="shared" si="123"/>
        <v>98221.172345173283</v>
      </c>
      <c r="CY64" s="644">
        <f t="shared" si="33"/>
        <v>-312.84753637753602</v>
      </c>
      <c r="CZ64" s="645">
        <f t="shared" si="34"/>
        <v>0</v>
      </c>
      <c r="DA64" s="646">
        <f t="shared" si="124"/>
        <v>0</v>
      </c>
      <c r="DB64" s="647">
        <f t="shared" si="35"/>
        <v>98534.019881550819</v>
      </c>
      <c r="DC64" s="644">
        <f t="shared" si="125"/>
        <v>0</v>
      </c>
      <c r="DD64" s="645">
        <f t="shared" si="126"/>
        <v>0</v>
      </c>
      <c r="DE64" s="646">
        <f t="shared" si="127"/>
        <v>0</v>
      </c>
      <c r="DF64" s="647">
        <f t="shared" si="36"/>
        <v>98534.019881550819</v>
      </c>
      <c r="DG64" s="644">
        <f t="shared" si="128"/>
        <v>0</v>
      </c>
      <c r="DH64" s="645">
        <f t="shared" si="129"/>
        <v>0</v>
      </c>
      <c r="DI64" s="646">
        <f t="shared" si="130"/>
        <v>0</v>
      </c>
      <c r="DJ64" s="647">
        <f t="shared" si="37"/>
        <v>98534.019881550819</v>
      </c>
      <c r="DK64" s="644">
        <f t="shared" si="131"/>
        <v>0</v>
      </c>
      <c r="DL64" s="645">
        <f t="shared" si="132"/>
        <v>0</v>
      </c>
      <c r="DM64" s="646">
        <f t="shared" si="133"/>
        <v>0</v>
      </c>
      <c r="DN64" s="647">
        <f t="shared" si="38"/>
        <v>98534.019881550819</v>
      </c>
      <c r="DR64" s="827">
        <f t="shared" si="49"/>
        <v>648158.15302277892</v>
      </c>
      <c r="DV64" s="828">
        <f>IFERROR(VLOOKUP($B64,'Afton FY16 Final'!$A$5:$BV$587,'Afton FY16 Final'!$BV$587,0),0)</f>
        <v>670611.40349402057</v>
      </c>
      <c r="DX64" s="636">
        <f t="shared" si="39"/>
        <v>0</v>
      </c>
      <c r="DY64" s="637">
        <f t="shared" si="40"/>
        <v>0</v>
      </c>
      <c r="DZ64" s="637">
        <f t="shared" si="41"/>
        <v>0</v>
      </c>
      <c r="EA64" s="643">
        <f t="shared" si="42"/>
        <v>0</v>
      </c>
      <c r="EB64" s="637">
        <f t="shared" si="50"/>
        <v>0</v>
      </c>
      <c r="EC64" s="637">
        <f t="shared" si="51"/>
        <v>0</v>
      </c>
      <c r="ED64" s="637">
        <f t="shared" si="52"/>
        <v>0</v>
      </c>
      <c r="EE64" s="643">
        <f t="shared" si="53"/>
        <v>0</v>
      </c>
      <c r="EF64" s="637">
        <f t="shared" si="54"/>
        <v>0</v>
      </c>
      <c r="EG64" s="637">
        <f t="shared" si="55"/>
        <v>0</v>
      </c>
      <c r="EH64" s="637">
        <f t="shared" si="56"/>
        <v>0</v>
      </c>
      <c r="EI64" s="643">
        <f t="shared" si="57"/>
        <v>0</v>
      </c>
      <c r="EJ64" s="637">
        <f t="shared" si="58"/>
        <v>0</v>
      </c>
      <c r="EK64" s="637">
        <f t="shared" si="59"/>
        <v>0</v>
      </c>
      <c r="EL64" s="637">
        <f t="shared" si="60"/>
        <v>0</v>
      </c>
      <c r="EM64" s="643">
        <f t="shared" si="61"/>
        <v>0</v>
      </c>
      <c r="EN64" s="637">
        <f t="shared" si="62"/>
        <v>0</v>
      </c>
      <c r="EO64" s="637">
        <f t="shared" si="63"/>
        <v>0</v>
      </c>
      <c r="EP64" s="637">
        <f t="shared" si="64"/>
        <v>0</v>
      </c>
      <c r="EQ64" s="643">
        <f t="shared" si="65"/>
        <v>0</v>
      </c>
      <c r="ER64" s="637">
        <f t="shared" si="66"/>
        <v>0</v>
      </c>
      <c r="ES64" s="637">
        <f t="shared" si="67"/>
        <v>0</v>
      </c>
      <c r="ET64" s="637">
        <f t="shared" si="68"/>
        <v>0</v>
      </c>
      <c r="EU64" s="643">
        <f t="shared" si="43"/>
        <v>0</v>
      </c>
      <c r="EV64" s="643">
        <f t="shared" si="44"/>
        <v>0</v>
      </c>
      <c r="EX64" s="829">
        <f t="shared" si="45"/>
        <v>0</v>
      </c>
      <c r="EY64" s="638">
        <f t="shared" si="46"/>
        <v>648158.15302277892</v>
      </c>
      <c r="FC64" s="830" t="str">
        <f t="shared" si="69"/>
        <v>Y</v>
      </c>
      <c r="FE64" s="830" t="str">
        <f>IFERROR(VLOOKUP($B64,'Historical Conc Grant Elig'!$B$3:$J$707,'HH &amp; SI'!FE$2,0),"N")</f>
        <v>Y</v>
      </c>
      <c r="FF64" s="830" t="str">
        <f>IFERROR(VLOOKUP($B64,'Historical Conc Grant Elig'!$B$3:$J$707,'HH &amp; SI'!FF$2,0),"N")</f>
        <v>Y</v>
      </c>
      <c r="FG64" s="830" t="str">
        <f>IFERROR(VLOOKUP($B64,'Historical Conc Grant Elig'!$B$3:$J$707,'HH &amp; SI'!FG$2,0),"N")</f>
        <v>Y</v>
      </c>
      <c r="FH64" s="830" t="str">
        <f>IFERROR(VLOOKUP($B64,'Historical Conc Grant Elig'!$B$3:$J$707,'HH &amp; SI'!FH$2,0),"N")</f>
        <v>Y</v>
      </c>
      <c r="FI64" s="830" t="str">
        <f>IFERROR(VLOOKUP($B64,'Historical Conc Grant Elig'!$B$3:$J$707,'HH &amp; SI'!FI$2,0),"N")</f>
        <v>Y</v>
      </c>
      <c r="FJ64" s="830" t="str">
        <f>IFERROR(VLOOKUP($B64,'Historical Conc Grant Elig'!$B$3:$J$707,'HH &amp; SI'!FJ$2,0),"N")</f>
        <v>Y</v>
      </c>
      <c r="FK64" s="830" t="str">
        <f>IFERROR(VLOOKUP($B64,'Historical Conc Grant Elig'!$B$3:$J$707,'HH &amp; SI'!FK$2,0),"N")</f>
        <v>Y</v>
      </c>
      <c r="FL64" s="957" t="str">
        <f>IFERROR(VLOOKUP($B64,'Historical Conc Grant Elig'!$B$3:$J$707,'HH &amp; SI'!FL$2,0),"N")</f>
        <v>Y</v>
      </c>
    </row>
    <row r="65" spans="2:168" x14ac:dyDescent="0.25">
      <c r="B65" s="634">
        <v>50204000</v>
      </c>
      <c r="C65" s="635" t="str">
        <f>VLOOKUP($B65,'Afton Update'!$A$5:$CR$582,'Afton Update'!D$589,0)</f>
        <v>Thatcher Unified District</v>
      </c>
      <c r="D65" s="636">
        <f>IFERROR(VLOOKUP($B65,'Afton FY16 Final'!$A$5:$BV$587,'Afton FY16 Final'!AQ$587,0),0)</f>
        <v>125206.52036571813</v>
      </c>
      <c r="E65" s="637">
        <f>IFERROR(VLOOKUP($B65,'Afton FY16 Final'!$A$5:$BV$587,'Afton FY16 Final'!AR$587,0),0)</f>
        <v>29512.734999547305</v>
      </c>
      <c r="F65" s="637">
        <f>IFERROR(VLOOKUP($B65,'Afton FY16 Final'!$A$5:$BV$587,'Afton FY16 Final'!AS$587,0),0)</f>
        <v>41647.972657877406</v>
      </c>
      <c r="G65" s="637">
        <f>IFERROR(VLOOKUP($B65,'Afton FY16 Final'!$A$5:$BV$587,'Afton FY16 Final'!AT$587,0),0)</f>
        <v>31587.657793929266</v>
      </c>
      <c r="H65" s="638">
        <f>IFERROR(VLOOKUP($B65,'Afton FY16 Final'!$A$5:$BV$587,'Afton FY16 Final'!AU$587,0),0)</f>
        <v>227954.88581707209</v>
      </c>
      <c r="I65" s="639" t="str">
        <f>VLOOKUP($B65,'Afton Update'!$A$5:$CR$582,'Afton Update'!BT$589,0)</f>
        <v>Y</v>
      </c>
      <c r="J65" s="640" t="str">
        <f>VLOOKUP($B65,'Afton Update'!$A$5:$CR$582,'Afton Update'!BU$589,0)</f>
        <v>N</v>
      </c>
      <c r="K65" s="640" t="str">
        <f>VLOOKUP($B65,'Afton Update'!$A$5:$CR$582,'Afton Update'!BV$589,0)</f>
        <v>Y</v>
      </c>
      <c r="L65" s="641" t="str">
        <f>VLOOKUP($B65,'Afton Update'!$A$5:$CR$582,'Afton Update'!BW$589,0)</f>
        <v>Y</v>
      </c>
      <c r="N65" s="642">
        <f>VLOOKUP($B65,'Afton Update'!$A$5:$CR$582,'Afton Update'!CB$589,0)</f>
        <v>0.85</v>
      </c>
      <c r="P65" s="636">
        <f>VLOOKUP($B65,'Afton Update'!$A$5:$CR$582,'Afton Update'!AH$589,0)</f>
        <v>107279.31364354107</v>
      </c>
      <c r="Q65" s="637" t="str">
        <f>VLOOKUP($B65,'Afton Update'!$A$5:$CR$582,'Afton Update'!AI$589,0)</f>
        <v/>
      </c>
      <c r="R65" s="637">
        <f>VLOOKUP($B65,'Afton Update'!$A$5:$CR$582,'Afton Update'!AJ$589,0)</f>
        <v>35632.841335630772</v>
      </c>
      <c r="S65" s="637">
        <f>VLOOKUP($B65,'Afton Update'!$A$5:$CR$582,'Afton Update'!AK$589,0)</f>
        <v>27048.680274022452</v>
      </c>
      <c r="T65" s="643">
        <f t="shared" si="47"/>
        <v>169960.83525319429</v>
      </c>
      <c r="V65" s="636">
        <f t="shared" si="70"/>
        <v>106425.5423108604</v>
      </c>
      <c r="W65" s="637">
        <f t="shared" si="71"/>
        <v>25085.824749615207</v>
      </c>
      <c r="X65" s="637">
        <f t="shared" si="72"/>
        <v>35400.776759195796</v>
      </c>
      <c r="Y65" s="637">
        <f t="shared" si="73"/>
        <v>26849.509124839875</v>
      </c>
      <c r="Z65" s="643">
        <f t="shared" si="74"/>
        <v>193761.6529445113</v>
      </c>
      <c r="AB65" s="644">
        <f t="shared" si="11"/>
        <v>107279.31364354107</v>
      </c>
      <c r="AC65" s="645">
        <f t="shared" si="12"/>
        <v>106425.5423108604</v>
      </c>
      <c r="AD65" s="644">
        <f t="shared" si="75"/>
        <v>0</v>
      </c>
      <c r="AE65" s="645">
        <f t="shared" si="76"/>
        <v>107279.31364354107</v>
      </c>
      <c r="AF65" s="646">
        <f t="shared" si="77"/>
        <v>-1329.8077108698762</v>
      </c>
      <c r="AG65" s="647">
        <f t="shared" si="78"/>
        <v>105949.50593267119</v>
      </c>
      <c r="AH65" s="644">
        <f t="shared" si="13"/>
        <v>-476.03637818920834</v>
      </c>
      <c r="AI65" s="645">
        <f t="shared" si="14"/>
        <v>0</v>
      </c>
      <c r="AJ65" s="646">
        <f t="shared" si="79"/>
        <v>0</v>
      </c>
      <c r="AK65" s="647">
        <f t="shared" si="15"/>
        <v>106425.5423108604</v>
      </c>
      <c r="AL65" s="644">
        <f t="shared" si="80"/>
        <v>0</v>
      </c>
      <c r="AM65" s="645">
        <f t="shared" si="81"/>
        <v>0</v>
      </c>
      <c r="AN65" s="646">
        <f t="shared" si="82"/>
        <v>0</v>
      </c>
      <c r="AO65" s="647">
        <f t="shared" si="16"/>
        <v>106425.5423108604</v>
      </c>
      <c r="AP65" s="644">
        <f t="shared" si="83"/>
        <v>0</v>
      </c>
      <c r="AQ65" s="645">
        <f t="shared" si="84"/>
        <v>0</v>
      </c>
      <c r="AR65" s="646">
        <f t="shared" si="85"/>
        <v>0</v>
      </c>
      <c r="AS65" s="647">
        <f t="shared" si="17"/>
        <v>106425.5423108604</v>
      </c>
      <c r="AT65" s="644">
        <f t="shared" si="86"/>
        <v>0</v>
      </c>
      <c r="AU65" s="645">
        <f t="shared" si="87"/>
        <v>0</v>
      </c>
      <c r="AV65" s="646">
        <f t="shared" si="88"/>
        <v>0</v>
      </c>
      <c r="AW65" s="647">
        <f t="shared" si="18"/>
        <v>106425.5423108604</v>
      </c>
      <c r="AY65" s="644">
        <f t="shared" si="89"/>
        <v>0</v>
      </c>
      <c r="AZ65" s="645">
        <f t="shared" si="48"/>
        <v>25085.824749615207</v>
      </c>
      <c r="BA65" s="644">
        <f t="shared" si="90"/>
        <v>0</v>
      </c>
      <c r="BB65" s="645">
        <f t="shared" si="91"/>
        <v>0</v>
      </c>
      <c r="BC65" s="646">
        <f t="shared" si="92"/>
        <v>0</v>
      </c>
      <c r="BD65" s="647">
        <f t="shared" si="93"/>
        <v>0</v>
      </c>
      <c r="BE65" s="644">
        <f t="shared" si="19"/>
        <v>-25085.824749615207</v>
      </c>
      <c r="BF65" s="645">
        <f t="shared" si="20"/>
        <v>0</v>
      </c>
      <c r="BG65" s="646">
        <f t="shared" si="94"/>
        <v>0</v>
      </c>
      <c r="BH65" s="647">
        <f t="shared" si="21"/>
        <v>25085.824749615207</v>
      </c>
      <c r="BI65" s="644">
        <f t="shared" si="95"/>
        <v>0</v>
      </c>
      <c r="BJ65" s="645">
        <f t="shared" si="96"/>
        <v>0</v>
      </c>
      <c r="BK65" s="646">
        <f t="shared" si="97"/>
        <v>0</v>
      </c>
      <c r="BL65" s="647">
        <f t="shared" si="22"/>
        <v>25085.824749615207</v>
      </c>
      <c r="BM65" s="644">
        <f t="shared" si="98"/>
        <v>0</v>
      </c>
      <c r="BN65" s="645">
        <f t="shared" si="99"/>
        <v>0</v>
      </c>
      <c r="BO65" s="646">
        <f t="shared" si="100"/>
        <v>0</v>
      </c>
      <c r="BP65" s="647">
        <f t="shared" si="23"/>
        <v>25085.824749615207</v>
      </c>
      <c r="BQ65" s="644">
        <f t="shared" si="101"/>
        <v>0</v>
      </c>
      <c r="BR65" s="645">
        <f t="shared" si="102"/>
        <v>0</v>
      </c>
      <c r="BS65" s="646">
        <f t="shared" si="103"/>
        <v>0</v>
      </c>
      <c r="BT65" s="647">
        <f t="shared" si="24"/>
        <v>25085.824749615207</v>
      </c>
      <c r="BU65" s="662">
        <f>VLOOKUP(B65,'Afton Update'!$A$5:$AR$582,'Afton Update'!$AO$589,0)-BT65</f>
        <v>0</v>
      </c>
      <c r="BV65" s="644">
        <f t="shared" si="104"/>
        <v>35632.841335630772</v>
      </c>
      <c r="BW65" s="645">
        <f t="shared" si="25"/>
        <v>35400.776759195796</v>
      </c>
      <c r="BX65" s="644">
        <f t="shared" si="105"/>
        <v>0</v>
      </c>
      <c r="BY65" s="645">
        <f t="shared" si="106"/>
        <v>35632.841335630772</v>
      </c>
      <c r="BZ65" s="646">
        <f t="shared" si="107"/>
        <v>-312.75323684419931</v>
      </c>
      <c r="CA65" s="647">
        <f t="shared" si="108"/>
        <v>35320.088098786575</v>
      </c>
      <c r="CB65" s="644">
        <f t="shared" si="26"/>
        <v>-80.688660409221484</v>
      </c>
      <c r="CC65" s="645">
        <f t="shared" si="27"/>
        <v>0</v>
      </c>
      <c r="CD65" s="646">
        <f t="shared" si="109"/>
        <v>0</v>
      </c>
      <c r="CE65" s="647">
        <f t="shared" si="28"/>
        <v>35400.776759195796</v>
      </c>
      <c r="CF65" s="644">
        <f t="shared" si="110"/>
        <v>0</v>
      </c>
      <c r="CG65" s="645">
        <f t="shared" si="111"/>
        <v>0</v>
      </c>
      <c r="CH65" s="646">
        <f t="shared" si="112"/>
        <v>0</v>
      </c>
      <c r="CI65" s="647">
        <f t="shared" si="29"/>
        <v>35400.776759195796</v>
      </c>
      <c r="CJ65" s="644">
        <f t="shared" si="113"/>
        <v>0</v>
      </c>
      <c r="CK65" s="645">
        <f t="shared" si="114"/>
        <v>0</v>
      </c>
      <c r="CL65" s="646">
        <f t="shared" si="115"/>
        <v>0</v>
      </c>
      <c r="CM65" s="647">
        <f t="shared" si="30"/>
        <v>35400.776759195796</v>
      </c>
      <c r="CN65" s="644">
        <f t="shared" si="116"/>
        <v>0</v>
      </c>
      <c r="CO65" s="645">
        <f t="shared" si="117"/>
        <v>0</v>
      </c>
      <c r="CP65" s="646">
        <f t="shared" si="118"/>
        <v>0</v>
      </c>
      <c r="CQ65" s="647">
        <f t="shared" si="31"/>
        <v>35400.776759195796</v>
      </c>
      <c r="CS65" s="644">
        <f t="shared" si="119"/>
        <v>27048.680274022452</v>
      </c>
      <c r="CT65" s="645">
        <f t="shared" si="32"/>
        <v>26849.509124839875</v>
      </c>
      <c r="CU65" s="644">
        <f t="shared" si="120"/>
        <v>0</v>
      </c>
      <c r="CV65" s="645">
        <f t="shared" si="121"/>
        <v>27048.680274022452</v>
      </c>
      <c r="CW65" s="646">
        <f t="shared" si="122"/>
        <v>-276.99377180962637</v>
      </c>
      <c r="CX65" s="647">
        <f t="shared" si="123"/>
        <v>26771.686502212826</v>
      </c>
      <c r="CY65" s="644">
        <f t="shared" si="33"/>
        <v>-77.822622627048986</v>
      </c>
      <c r="CZ65" s="645">
        <f t="shared" si="34"/>
        <v>0</v>
      </c>
      <c r="DA65" s="646">
        <f t="shared" si="124"/>
        <v>0</v>
      </c>
      <c r="DB65" s="647">
        <f t="shared" si="35"/>
        <v>26849.509124839875</v>
      </c>
      <c r="DC65" s="644">
        <f t="shared" si="125"/>
        <v>0</v>
      </c>
      <c r="DD65" s="645">
        <f t="shared" si="126"/>
        <v>0</v>
      </c>
      <c r="DE65" s="646">
        <f t="shared" si="127"/>
        <v>0</v>
      </c>
      <c r="DF65" s="647">
        <f t="shared" si="36"/>
        <v>26849.509124839875</v>
      </c>
      <c r="DG65" s="644">
        <f t="shared" si="128"/>
        <v>0</v>
      </c>
      <c r="DH65" s="645">
        <f t="shared" si="129"/>
        <v>0</v>
      </c>
      <c r="DI65" s="646">
        <f t="shared" si="130"/>
        <v>0</v>
      </c>
      <c r="DJ65" s="647">
        <f t="shared" si="37"/>
        <v>26849.509124839875</v>
      </c>
      <c r="DK65" s="644">
        <f t="shared" si="131"/>
        <v>0</v>
      </c>
      <c r="DL65" s="645">
        <f t="shared" si="132"/>
        <v>0</v>
      </c>
      <c r="DM65" s="646">
        <f t="shared" si="133"/>
        <v>0</v>
      </c>
      <c r="DN65" s="647">
        <f t="shared" si="38"/>
        <v>26849.509124839875</v>
      </c>
      <c r="DR65" s="827">
        <f t="shared" si="49"/>
        <v>193761.6529445113</v>
      </c>
      <c r="DV65" s="828">
        <f>IFERROR(VLOOKUP($B65,'Afton FY16 Final'!$A$5:$BV$587,'Afton FY16 Final'!$BV$587,0),0)</f>
        <v>223466.45415308527</v>
      </c>
      <c r="DX65" s="636">
        <f t="shared" si="39"/>
        <v>0</v>
      </c>
      <c r="DY65" s="637">
        <f t="shared" si="40"/>
        <v>0</v>
      </c>
      <c r="DZ65" s="637">
        <f t="shared" si="41"/>
        <v>0</v>
      </c>
      <c r="EA65" s="643">
        <f t="shared" si="42"/>
        <v>0</v>
      </c>
      <c r="EB65" s="637">
        <f t="shared" si="50"/>
        <v>0</v>
      </c>
      <c r="EC65" s="637">
        <f t="shared" si="51"/>
        <v>0</v>
      </c>
      <c r="ED65" s="637">
        <f t="shared" si="52"/>
        <v>0</v>
      </c>
      <c r="EE65" s="643">
        <f t="shared" si="53"/>
        <v>0</v>
      </c>
      <c r="EF65" s="637">
        <f t="shared" si="54"/>
        <v>0</v>
      </c>
      <c r="EG65" s="637">
        <f t="shared" si="55"/>
        <v>0</v>
      </c>
      <c r="EH65" s="637">
        <f t="shared" si="56"/>
        <v>0</v>
      </c>
      <c r="EI65" s="643">
        <f t="shared" si="57"/>
        <v>0</v>
      </c>
      <c r="EJ65" s="637">
        <f t="shared" si="58"/>
        <v>0</v>
      </c>
      <c r="EK65" s="637">
        <f t="shared" si="59"/>
        <v>0</v>
      </c>
      <c r="EL65" s="637">
        <f t="shared" si="60"/>
        <v>0</v>
      </c>
      <c r="EM65" s="643">
        <f t="shared" si="61"/>
        <v>0</v>
      </c>
      <c r="EN65" s="637">
        <f t="shared" si="62"/>
        <v>0</v>
      </c>
      <c r="EO65" s="637">
        <f t="shared" si="63"/>
        <v>0</v>
      </c>
      <c r="EP65" s="637">
        <f t="shared" si="64"/>
        <v>0</v>
      </c>
      <c r="EQ65" s="643">
        <f t="shared" si="65"/>
        <v>0</v>
      </c>
      <c r="ER65" s="637">
        <f t="shared" si="66"/>
        <v>0</v>
      </c>
      <c r="ES65" s="637">
        <f t="shared" si="67"/>
        <v>0</v>
      </c>
      <c r="ET65" s="637">
        <f t="shared" si="68"/>
        <v>0</v>
      </c>
      <c r="EU65" s="643">
        <f t="shared" si="43"/>
        <v>0</v>
      </c>
      <c r="EV65" s="643">
        <f t="shared" si="44"/>
        <v>0</v>
      </c>
      <c r="EX65" s="829">
        <f t="shared" si="45"/>
        <v>0</v>
      </c>
      <c r="EY65" s="638">
        <f t="shared" si="46"/>
        <v>193761.6529445113</v>
      </c>
      <c r="FC65" s="830" t="str">
        <f t="shared" si="69"/>
        <v>Y</v>
      </c>
      <c r="FE65" s="830" t="str">
        <f>IFERROR(VLOOKUP($B65,'Historical Conc Grant Elig'!$B$3:$J$707,'HH &amp; SI'!FE$2,0),"N")</f>
        <v>Y</v>
      </c>
      <c r="FF65" s="830" t="str">
        <f>IFERROR(VLOOKUP($B65,'Historical Conc Grant Elig'!$B$3:$J$707,'HH &amp; SI'!FF$2,0),"N")</f>
        <v>N</v>
      </c>
      <c r="FG65" s="830" t="str">
        <f>IFERROR(VLOOKUP($B65,'Historical Conc Grant Elig'!$B$3:$J$707,'HH &amp; SI'!FG$2,0),"N")</f>
        <v>Y</v>
      </c>
      <c r="FH65" s="830" t="str">
        <f>IFERROR(VLOOKUP($B65,'Historical Conc Grant Elig'!$B$3:$J$707,'HH &amp; SI'!FH$2,0),"N")</f>
        <v>Y</v>
      </c>
      <c r="FI65" s="830" t="str">
        <f>IFERROR(VLOOKUP($B65,'Historical Conc Grant Elig'!$B$3:$J$707,'HH &amp; SI'!FI$2,0),"N")</f>
        <v>Y</v>
      </c>
      <c r="FJ65" s="830" t="str">
        <f>IFERROR(VLOOKUP($B65,'Historical Conc Grant Elig'!$B$3:$J$707,'HH &amp; SI'!FJ$2,0),"N")</f>
        <v>Y</v>
      </c>
      <c r="FK65" s="830" t="str">
        <f>IFERROR(VLOOKUP($B65,'Historical Conc Grant Elig'!$B$3:$J$707,'HH &amp; SI'!FK$2,0),"N")</f>
        <v>Y</v>
      </c>
      <c r="FL65" s="957" t="str">
        <f>IFERROR(VLOOKUP($B65,'Historical Conc Grant Elig'!$B$3:$J$707,'HH &amp; SI'!FL$2,0),"N")</f>
        <v>N</v>
      </c>
    </row>
    <row r="66" spans="2:168" x14ac:dyDescent="0.25">
      <c r="B66" s="634">
        <v>50206000</v>
      </c>
      <c r="C66" s="635" t="str">
        <f>VLOOKUP($B66,'Afton Update'!$A$5:$CR$582,'Afton Update'!D$589,0)</f>
        <v>Pima Unified District</v>
      </c>
      <c r="D66" s="636">
        <f>IFERROR(VLOOKUP($B66,'Afton FY16 Final'!$A$5:$BV$587,'Afton FY16 Final'!AQ$587,0),0)</f>
        <v>75664.157263174187</v>
      </c>
      <c r="E66" s="637">
        <f>IFERROR(VLOOKUP($B66,'Afton FY16 Final'!$A$5:$BV$587,'Afton FY16 Final'!AR$587,0),0)</f>
        <v>17112.743323068775</v>
      </c>
      <c r="F66" s="637">
        <f>IFERROR(VLOOKUP($B66,'Afton FY16 Final'!$A$5:$BV$587,'Afton FY16 Final'!AS$587,0),0)</f>
        <v>28208.389685909679</v>
      </c>
      <c r="G66" s="637">
        <f>IFERROR(VLOOKUP($B66,'Afton FY16 Final'!$A$5:$BV$587,'Afton FY16 Final'!AT$587,0),0)</f>
        <v>23338.861755069622</v>
      </c>
      <c r="H66" s="638">
        <f>IFERROR(VLOOKUP($B66,'Afton FY16 Final'!$A$5:$BV$587,'Afton FY16 Final'!AU$587,0),0)</f>
        <v>144324.15202722227</v>
      </c>
      <c r="I66" s="639" t="str">
        <f>VLOOKUP($B66,'Afton Update'!$A$5:$CR$582,'Afton Update'!BT$589,0)</f>
        <v>Y</v>
      </c>
      <c r="J66" s="640" t="str">
        <f>VLOOKUP($B66,'Afton Update'!$A$5:$CR$582,'Afton Update'!BU$589,0)</f>
        <v>Y</v>
      </c>
      <c r="K66" s="640" t="str">
        <f>VLOOKUP($B66,'Afton Update'!$A$5:$CR$582,'Afton Update'!BV$589,0)</f>
        <v>Y</v>
      </c>
      <c r="L66" s="641" t="str">
        <f>VLOOKUP($B66,'Afton Update'!$A$5:$CR$582,'Afton Update'!BW$589,0)</f>
        <v>Y</v>
      </c>
      <c r="N66" s="642">
        <f>VLOOKUP($B66,'Afton Update'!$A$5:$CR$582,'Afton Update'!CB$589,0)</f>
        <v>0.9</v>
      </c>
      <c r="P66" s="636">
        <f>VLOOKUP($B66,'Afton Update'!$A$5:$CR$582,'Afton Update'!AH$589,0)</f>
        <v>91819.469471108867</v>
      </c>
      <c r="Q66" s="637">
        <f>VLOOKUP($B66,'Afton Update'!$A$5:$CR$582,'Afton Update'!AI$589,0)</f>
        <v>26348.592013558606</v>
      </c>
      <c r="R66" s="637">
        <f>VLOOKUP($B66,'Afton Update'!$A$5:$CR$582,'Afton Update'!AJ$589,0)</f>
        <v>33243.246428494516</v>
      </c>
      <c r="S66" s="637">
        <f>VLOOKUP($B66,'Afton Update'!$A$5:$CR$582,'Afton Update'!AK$589,0)</f>
        <v>24397.201464702397</v>
      </c>
      <c r="T66" s="643">
        <f t="shared" si="47"/>
        <v>175808.50937786439</v>
      </c>
      <c r="V66" s="636">
        <f t="shared" si="70"/>
        <v>90566.992310841699</v>
      </c>
      <c r="W66" s="637">
        <f t="shared" si="71"/>
        <v>25480.765725594363</v>
      </c>
      <c r="X66" s="637">
        <f t="shared" si="72"/>
        <v>32940.912081562172</v>
      </c>
      <c r="Y66" s="637">
        <f t="shared" si="73"/>
        <v>24128.388221767367</v>
      </c>
      <c r="Z66" s="643">
        <f t="shared" si="74"/>
        <v>173117.05833976559</v>
      </c>
      <c r="AB66" s="644">
        <f t="shared" si="11"/>
        <v>91819.469471108867</v>
      </c>
      <c r="AC66" s="645">
        <f t="shared" si="12"/>
        <v>68097.741536856774</v>
      </c>
      <c r="AD66" s="644">
        <f t="shared" si="75"/>
        <v>0</v>
      </c>
      <c r="AE66" s="645">
        <f t="shared" si="76"/>
        <v>91819.469471108867</v>
      </c>
      <c r="AF66" s="646">
        <f t="shared" si="77"/>
        <v>-1138.1713245889428</v>
      </c>
      <c r="AG66" s="647">
        <f t="shared" si="78"/>
        <v>90681.298146519926</v>
      </c>
      <c r="AH66" s="644">
        <f t="shared" si="13"/>
        <v>0</v>
      </c>
      <c r="AI66" s="645">
        <f t="shared" si="14"/>
        <v>90681.298146519926</v>
      </c>
      <c r="AJ66" s="646">
        <f t="shared" si="79"/>
        <v>-114.23301178139756</v>
      </c>
      <c r="AK66" s="647">
        <f t="shared" si="15"/>
        <v>90567.065134738528</v>
      </c>
      <c r="AL66" s="644">
        <f t="shared" si="80"/>
        <v>0</v>
      </c>
      <c r="AM66" s="645">
        <f t="shared" si="81"/>
        <v>90567.065134738528</v>
      </c>
      <c r="AN66" s="646">
        <f t="shared" si="82"/>
        <v>-7.2823896828555362E-2</v>
      </c>
      <c r="AO66" s="647">
        <f t="shared" si="16"/>
        <v>90566.992310841699</v>
      </c>
      <c r="AP66" s="644">
        <f t="shared" si="83"/>
        <v>0</v>
      </c>
      <c r="AQ66" s="645">
        <f t="shared" si="84"/>
        <v>90566.992310841699</v>
      </c>
      <c r="AR66" s="646">
        <f t="shared" si="85"/>
        <v>0</v>
      </c>
      <c r="AS66" s="647">
        <f t="shared" si="17"/>
        <v>90566.992310841699</v>
      </c>
      <c r="AT66" s="644">
        <f t="shared" si="86"/>
        <v>0</v>
      </c>
      <c r="AU66" s="645">
        <f t="shared" si="87"/>
        <v>90566.992310841699</v>
      </c>
      <c r="AV66" s="646">
        <f t="shared" si="88"/>
        <v>0</v>
      </c>
      <c r="AW66" s="647">
        <f t="shared" si="18"/>
        <v>90566.992310841699</v>
      </c>
      <c r="AY66" s="644">
        <f t="shared" si="89"/>
        <v>26348.592013558606</v>
      </c>
      <c r="AZ66" s="645">
        <f t="shared" si="48"/>
        <v>15401.468990761898</v>
      </c>
      <c r="BA66" s="644">
        <f t="shared" si="90"/>
        <v>0</v>
      </c>
      <c r="BB66" s="645">
        <f t="shared" si="91"/>
        <v>26348.592013558606</v>
      </c>
      <c r="BC66" s="646">
        <f t="shared" si="92"/>
        <v>-189.48040395137622</v>
      </c>
      <c r="BD66" s="647">
        <f t="shared" si="93"/>
        <v>26159.111609607229</v>
      </c>
      <c r="BE66" s="644">
        <f t="shared" si="19"/>
        <v>0</v>
      </c>
      <c r="BF66" s="645">
        <f t="shared" si="20"/>
        <v>26159.111609607229</v>
      </c>
      <c r="BG66" s="646">
        <f t="shared" si="94"/>
        <v>-623.08872040285837</v>
      </c>
      <c r="BH66" s="647">
        <f t="shared" si="21"/>
        <v>25536.022889204371</v>
      </c>
      <c r="BI66" s="644">
        <f t="shared" si="95"/>
        <v>0</v>
      </c>
      <c r="BJ66" s="645">
        <f t="shared" si="96"/>
        <v>25536.022889204371</v>
      </c>
      <c r="BK66" s="646">
        <f t="shared" si="97"/>
        <v>-54.091294176334969</v>
      </c>
      <c r="BL66" s="647">
        <f t="shared" si="22"/>
        <v>25481.931595028036</v>
      </c>
      <c r="BM66" s="644">
        <f t="shared" si="98"/>
        <v>0</v>
      </c>
      <c r="BN66" s="645">
        <f t="shared" si="99"/>
        <v>25481.931595028036</v>
      </c>
      <c r="BO66" s="646">
        <f t="shared" si="100"/>
        <v>-1.1658694336732933</v>
      </c>
      <c r="BP66" s="647">
        <f t="shared" si="23"/>
        <v>25480.765725594363</v>
      </c>
      <c r="BQ66" s="644">
        <f t="shared" si="101"/>
        <v>0</v>
      </c>
      <c r="BR66" s="645">
        <f t="shared" si="102"/>
        <v>25480.765725594363</v>
      </c>
      <c r="BS66" s="646">
        <f t="shared" si="103"/>
        <v>0</v>
      </c>
      <c r="BT66" s="647">
        <f t="shared" si="24"/>
        <v>25480.765725594363</v>
      </c>
      <c r="BU66" s="662">
        <f>VLOOKUP(B66,'Afton Update'!$A$5:$AR$582,'Afton Update'!$AO$589,0)-BT66</f>
        <v>0</v>
      </c>
      <c r="BV66" s="644">
        <f t="shared" si="104"/>
        <v>33243.246428494516</v>
      </c>
      <c r="BW66" s="645">
        <f t="shared" si="25"/>
        <v>25387.550717318711</v>
      </c>
      <c r="BX66" s="644">
        <f t="shared" si="105"/>
        <v>0</v>
      </c>
      <c r="BY66" s="645">
        <f t="shared" si="106"/>
        <v>33243.246428494516</v>
      </c>
      <c r="BZ66" s="646">
        <f t="shared" si="107"/>
        <v>-291.77950828537206</v>
      </c>
      <c r="CA66" s="647">
        <f t="shared" si="108"/>
        <v>32951.466920209146</v>
      </c>
      <c r="CB66" s="644">
        <f t="shared" si="26"/>
        <v>0</v>
      </c>
      <c r="CC66" s="645">
        <f t="shared" si="27"/>
        <v>32951.466920209146</v>
      </c>
      <c r="CD66" s="646">
        <f t="shared" si="109"/>
        <v>-10.554838646971376</v>
      </c>
      <c r="CE66" s="647">
        <f t="shared" si="28"/>
        <v>32940.912081562172</v>
      </c>
      <c r="CF66" s="644">
        <f t="shared" si="110"/>
        <v>0</v>
      </c>
      <c r="CG66" s="645">
        <f t="shared" si="111"/>
        <v>32940.912081562172</v>
      </c>
      <c r="CH66" s="646">
        <f t="shared" si="112"/>
        <v>0</v>
      </c>
      <c r="CI66" s="647">
        <f t="shared" si="29"/>
        <v>32940.912081562172</v>
      </c>
      <c r="CJ66" s="644">
        <f t="shared" si="113"/>
        <v>0</v>
      </c>
      <c r="CK66" s="645">
        <f t="shared" si="114"/>
        <v>32940.912081562172</v>
      </c>
      <c r="CL66" s="646">
        <f t="shared" si="115"/>
        <v>0</v>
      </c>
      <c r="CM66" s="647">
        <f t="shared" si="30"/>
        <v>32940.912081562172</v>
      </c>
      <c r="CN66" s="644">
        <f t="shared" si="116"/>
        <v>0</v>
      </c>
      <c r="CO66" s="645">
        <f t="shared" si="117"/>
        <v>32940.912081562172</v>
      </c>
      <c r="CP66" s="646">
        <f t="shared" si="118"/>
        <v>0</v>
      </c>
      <c r="CQ66" s="647">
        <f t="shared" si="31"/>
        <v>32940.912081562172</v>
      </c>
      <c r="CS66" s="644">
        <f t="shared" si="119"/>
        <v>24397.201464702397</v>
      </c>
      <c r="CT66" s="645">
        <f t="shared" si="32"/>
        <v>21004.975579562659</v>
      </c>
      <c r="CU66" s="644">
        <f t="shared" si="120"/>
        <v>0</v>
      </c>
      <c r="CV66" s="645">
        <f t="shared" si="121"/>
        <v>24397.201464702397</v>
      </c>
      <c r="CW66" s="646">
        <f t="shared" si="122"/>
        <v>-249.84113039324578</v>
      </c>
      <c r="CX66" s="647">
        <f t="shared" si="123"/>
        <v>24147.360334309153</v>
      </c>
      <c r="CY66" s="644">
        <f t="shared" si="33"/>
        <v>0</v>
      </c>
      <c r="CZ66" s="645">
        <f t="shared" si="34"/>
        <v>24147.360334309153</v>
      </c>
      <c r="DA66" s="646">
        <f t="shared" si="124"/>
        <v>-18.955765554978523</v>
      </c>
      <c r="DB66" s="647">
        <f t="shared" si="35"/>
        <v>24128.404568754173</v>
      </c>
      <c r="DC66" s="644">
        <f t="shared" si="125"/>
        <v>0</v>
      </c>
      <c r="DD66" s="645">
        <f t="shared" si="126"/>
        <v>24128.404568754173</v>
      </c>
      <c r="DE66" s="646">
        <f t="shared" si="127"/>
        <v>-1.6346986805632093E-2</v>
      </c>
      <c r="DF66" s="647">
        <f t="shared" si="36"/>
        <v>24128.388221767367</v>
      </c>
      <c r="DG66" s="644">
        <f t="shared" si="128"/>
        <v>0</v>
      </c>
      <c r="DH66" s="645">
        <f t="shared" si="129"/>
        <v>24128.388221767367</v>
      </c>
      <c r="DI66" s="646">
        <f t="shared" si="130"/>
        <v>0</v>
      </c>
      <c r="DJ66" s="647">
        <f t="shared" si="37"/>
        <v>24128.388221767367</v>
      </c>
      <c r="DK66" s="644">
        <f t="shared" si="131"/>
        <v>0</v>
      </c>
      <c r="DL66" s="645">
        <f t="shared" si="132"/>
        <v>24128.388221767367</v>
      </c>
      <c r="DM66" s="646">
        <f t="shared" si="133"/>
        <v>0</v>
      </c>
      <c r="DN66" s="647">
        <f t="shared" si="38"/>
        <v>24128.388221767367</v>
      </c>
      <c r="DR66" s="827">
        <f t="shared" si="49"/>
        <v>173117.05833976559</v>
      </c>
      <c r="DV66" s="828">
        <f>IFERROR(VLOOKUP($B66,'Afton FY16 Final'!$A$5:$BV$587,'Afton FY16 Final'!$BV$587,0),0)</f>
        <v>141482.40949770762</v>
      </c>
      <c r="DX66" s="636">
        <f t="shared" si="39"/>
        <v>173117.05833976559</v>
      </c>
      <c r="DY66" s="637">
        <f t="shared" si="40"/>
        <v>31634.64884205797</v>
      </c>
      <c r="DZ66" s="637">
        <f t="shared" si="41"/>
        <v>141482.40949770762</v>
      </c>
      <c r="EA66" s="643">
        <f t="shared" si="42"/>
        <v>163909.17102837475</v>
      </c>
      <c r="EB66" s="637">
        <f t="shared" si="50"/>
        <v>0</v>
      </c>
      <c r="EC66" s="637">
        <f t="shared" si="51"/>
        <v>163909.17102837475</v>
      </c>
      <c r="ED66" s="637">
        <f t="shared" si="52"/>
        <v>163420.40366701203</v>
      </c>
      <c r="EE66" s="643">
        <f t="shared" si="53"/>
        <v>163420.40366701203</v>
      </c>
      <c r="EF66" s="637">
        <f t="shared" si="54"/>
        <v>0</v>
      </c>
      <c r="EG66" s="637">
        <f t="shared" si="55"/>
        <v>163420.40366701203</v>
      </c>
      <c r="EH66" s="637">
        <f t="shared" si="56"/>
        <v>163420.23507256032</v>
      </c>
      <c r="EI66" s="643">
        <f t="shared" si="57"/>
        <v>163420.23507256032</v>
      </c>
      <c r="EJ66" s="637">
        <f t="shared" si="58"/>
        <v>0</v>
      </c>
      <c r="EK66" s="637">
        <f t="shared" si="59"/>
        <v>163420.23507256032</v>
      </c>
      <c r="EL66" s="637">
        <f t="shared" si="60"/>
        <v>163420.23507256008</v>
      </c>
      <c r="EM66" s="643">
        <f t="shared" si="61"/>
        <v>163420.23507256008</v>
      </c>
      <c r="EN66" s="637">
        <f t="shared" si="62"/>
        <v>0</v>
      </c>
      <c r="EO66" s="637">
        <f t="shared" si="63"/>
        <v>163420.23507256008</v>
      </c>
      <c r="EP66" s="637">
        <f t="shared" si="64"/>
        <v>163420.23507256032</v>
      </c>
      <c r="EQ66" s="643">
        <f t="shared" si="65"/>
        <v>163420.23507256032</v>
      </c>
      <c r="ER66" s="637">
        <f t="shared" si="66"/>
        <v>0</v>
      </c>
      <c r="ES66" s="637">
        <f t="shared" si="67"/>
        <v>163420.23507256032</v>
      </c>
      <c r="ET66" s="637">
        <f t="shared" si="68"/>
        <v>163420.23507256006</v>
      </c>
      <c r="EU66" s="643">
        <f t="shared" si="43"/>
        <v>163420.23507256006</v>
      </c>
      <c r="EV66" s="643">
        <f t="shared" si="44"/>
        <v>0</v>
      </c>
      <c r="EX66" s="829">
        <f t="shared" si="45"/>
        <v>9696.823267205531</v>
      </c>
      <c r="EY66" s="638">
        <f t="shared" si="46"/>
        <v>163420.23507256006</v>
      </c>
      <c r="FC66" s="830" t="str">
        <f t="shared" si="69"/>
        <v>Y</v>
      </c>
      <c r="FE66" s="830" t="str">
        <f>IFERROR(VLOOKUP($B66,'Historical Conc Grant Elig'!$B$3:$J$707,'HH &amp; SI'!FE$2,0),"N")</f>
        <v>Y</v>
      </c>
      <c r="FF66" s="830" t="str">
        <f>IFERROR(VLOOKUP($B66,'Historical Conc Grant Elig'!$B$3:$J$707,'HH &amp; SI'!FF$2,0),"N")</f>
        <v>Y</v>
      </c>
      <c r="FG66" s="830" t="str">
        <f>IFERROR(VLOOKUP($B66,'Historical Conc Grant Elig'!$B$3:$J$707,'HH &amp; SI'!FG$2,0),"N")</f>
        <v>Y</v>
      </c>
      <c r="FH66" s="830" t="str">
        <f>IFERROR(VLOOKUP($B66,'Historical Conc Grant Elig'!$B$3:$J$707,'HH &amp; SI'!FH$2,0),"N")</f>
        <v>N</v>
      </c>
      <c r="FI66" s="830" t="str">
        <f>IFERROR(VLOOKUP($B66,'Historical Conc Grant Elig'!$B$3:$J$707,'HH &amp; SI'!FI$2,0),"N")</f>
        <v>Y</v>
      </c>
      <c r="FJ66" s="830" t="str">
        <f>IFERROR(VLOOKUP($B66,'Historical Conc Grant Elig'!$B$3:$J$707,'HH &amp; SI'!FJ$2,0),"N")</f>
        <v>Y</v>
      </c>
      <c r="FK66" s="830" t="str">
        <f>IFERROR(VLOOKUP($B66,'Historical Conc Grant Elig'!$B$3:$J$707,'HH &amp; SI'!FK$2,0),"N")</f>
        <v>Y</v>
      </c>
      <c r="FL66" s="957" t="str">
        <f>IFERROR(VLOOKUP($B66,'Historical Conc Grant Elig'!$B$3:$J$707,'HH &amp; SI'!FL$2,0),"N")</f>
        <v>Y</v>
      </c>
    </row>
    <row r="67" spans="2:168" x14ac:dyDescent="0.25">
      <c r="B67" s="634">
        <v>50207000</v>
      </c>
      <c r="C67" s="635" t="str">
        <f>VLOOKUP($B67,'Afton Update'!$A$5:$CR$582,'Afton Update'!D$589,0)</f>
        <v>Fort Thomas Unified District</v>
      </c>
      <c r="D67" s="636">
        <f>IFERROR(VLOOKUP($B67,'Afton FY16 Final'!$A$5:$BV$587,'Afton FY16 Final'!AQ$587,0),0)</f>
        <v>290707.57947959908</v>
      </c>
      <c r="E67" s="637">
        <f>IFERROR(VLOOKUP($B67,'Afton FY16 Final'!$A$5:$BV$587,'Afton FY16 Final'!AR$587,0),0)</f>
        <v>70972.028240828819</v>
      </c>
      <c r="F67" s="637">
        <f>IFERROR(VLOOKUP($B67,'Afton FY16 Final'!$A$5:$BV$587,'Afton FY16 Final'!AS$587,0),0)</f>
        <v>153779.3600227217</v>
      </c>
      <c r="G67" s="637">
        <f>IFERROR(VLOOKUP($B67,'Afton FY16 Final'!$A$5:$BV$587,'Afton FY16 Final'!AT$587,0),0)</f>
        <v>165704.08678423997</v>
      </c>
      <c r="H67" s="638">
        <f>IFERROR(VLOOKUP($B67,'Afton FY16 Final'!$A$5:$BV$587,'Afton FY16 Final'!AU$587,0),0)</f>
        <v>681163.05452738958</v>
      </c>
      <c r="I67" s="639" t="str">
        <f>VLOOKUP($B67,'Afton Update'!$A$5:$CR$582,'Afton Update'!BT$589,0)</f>
        <v>Y</v>
      </c>
      <c r="J67" s="640" t="str">
        <f>VLOOKUP($B67,'Afton Update'!$A$5:$CR$582,'Afton Update'!BU$589,0)</f>
        <v>Y</v>
      </c>
      <c r="K67" s="640" t="str">
        <f>VLOOKUP($B67,'Afton Update'!$A$5:$CR$582,'Afton Update'!BV$589,0)</f>
        <v>Y</v>
      </c>
      <c r="L67" s="641" t="str">
        <f>VLOOKUP($B67,'Afton Update'!$A$5:$CR$582,'Afton Update'!BW$589,0)</f>
        <v>Y</v>
      </c>
      <c r="N67" s="642">
        <f>VLOOKUP($B67,'Afton Update'!$A$5:$CR$582,'Afton Update'!CB$589,0)</f>
        <v>0.95</v>
      </c>
      <c r="P67" s="636">
        <f>VLOOKUP($B67,'Afton Update'!$A$5:$CR$582,'Afton Update'!AH$589,0)</f>
        <v>278258.58421834419</v>
      </c>
      <c r="Q67" s="637">
        <f>VLOOKUP($B67,'Afton Update'!$A$5:$CR$582,'Afton Update'!AI$589,0)</f>
        <v>72900.310831345516</v>
      </c>
      <c r="R67" s="637">
        <f>VLOOKUP($B67,'Afton Update'!$A$5:$CR$582,'Afton Update'!AJ$589,0)</f>
        <v>146981.23748443768</v>
      </c>
      <c r="S67" s="637">
        <f>VLOOKUP($B67,'Afton Update'!$A$5:$CR$582,'Afton Update'!AK$589,0)</f>
        <v>158524.7817524609</v>
      </c>
      <c r="T67" s="643">
        <f t="shared" si="47"/>
        <v>656664.9142865882</v>
      </c>
      <c r="V67" s="636">
        <f t="shared" si="70"/>
        <v>276172.20050561911</v>
      </c>
      <c r="W67" s="637">
        <f t="shared" si="71"/>
        <v>70499.241123041895</v>
      </c>
      <c r="X67" s="637">
        <f t="shared" si="72"/>
        <v>146090.39202158561</v>
      </c>
      <c r="Y67" s="637">
        <f t="shared" si="73"/>
        <v>157418.88244502796</v>
      </c>
      <c r="Z67" s="643">
        <f t="shared" si="74"/>
        <v>650180.71609527455</v>
      </c>
      <c r="AB67" s="644">
        <f t="shared" si="11"/>
        <v>278258.58421834419</v>
      </c>
      <c r="AC67" s="645">
        <f t="shared" si="12"/>
        <v>276172.20050561911</v>
      </c>
      <c r="AD67" s="644">
        <f t="shared" si="75"/>
        <v>0</v>
      </c>
      <c r="AE67" s="645">
        <f t="shared" si="76"/>
        <v>278258.58421834419</v>
      </c>
      <c r="AF67" s="646">
        <f t="shared" si="77"/>
        <v>-3449.2242571461234</v>
      </c>
      <c r="AG67" s="647">
        <f t="shared" si="78"/>
        <v>274809.35996119806</v>
      </c>
      <c r="AH67" s="644">
        <f t="shared" si="13"/>
        <v>-1362.8405444210512</v>
      </c>
      <c r="AI67" s="645">
        <f t="shared" si="14"/>
        <v>0</v>
      </c>
      <c r="AJ67" s="646">
        <f t="shared" si="79"/>
        <v>0</v>
      </c>
      <c r="AK67" s="647">
        <f t="shared" si="15"/>
        <v>276172.20050561911</v>
      </c>
      <c r="AL67" s="644">
        <f t="shared" si="80"/>
        <v>0</v>
      </c>
      <c r="AM67" s="645">
        <f t="shared" si="81"/>
        <v>0</v>
      </c>
      <c r="AN67" s="646">
        <f t="shared" si="82"/>
        <v>0</v>
      </c>
      <c r="AO67" s="647">
        <f t="shared" si="16"/>
        <v>276172.20050561911</v>
      </c>
      <c r="AP67" s="644">
        <f t="shared" si="83"/>
        <v>0</v>
      </c>
      <c r="AQ67" s="645">
        <f t="shared" si="84"/>
        <v>0</v>
      </c>
      <c r="AR67" s="646">
        <f t="shared" si="85"/>
        <v>0</v>
      </c>
      <c r="AS67" s="647">
        <f t="shared" si="17"/>
        <v>276172.20050561911</v>
      </c>
      <c r="AT67" s="644">
        <f t="shared" si="86"/>
        <v>0</v>
      </c>
      <c r="AU67" s="645">
        <f t="shared" si="87"/>
        <v>0</v>
      </c>
      <c r="AV67" s="646">
        <f t="shared" si="88"/>
        <v>0</v>
      </c>
      <c r="AW67" s="647">
        <f t="shared" si="18"/>
        <v>276172.20050561911</v>
      </c>
      <c r="AY67" s="644">
        <f t="shared" si="89"/>
        <v>72900.310831345516</v>
      </c>
      <c r="AZ67" s="645">
        <f t="shared" si="48"/>
        <v>67423.426828787371</v>
      </c>
      <c r="BA67" s="644">
        <f t="shared" si="90"/>
        <v>0</v>
      </c>
      <c r="BB67" s="645">
        <f t="shared" si="91"/>
        <v>72900.310831345516</v>
      </c>
      <c r="BC67" s="646">
        <f t="shared" si="92"/>
        <v>-524.24738055817829</v>
      </c>
      <c r="BD67" s="647">
        <f t="shared" si="93"/>
        <v>72376.063450787333</v>
      </c>
      <c r="BE67" s="644">
        <f t="shared" si="19"/>
        <v>0</v>
      </c>
      <c r="BF67" s="645">
        <f t="shared" si="20"/>
        <v>72376.063450787333</v>
      </c>
      <c r="BG67" s="646">
        <f t="shared" si="94"/>
        <v>-1723.9388491612572</v>
      </c>
      <c r="BH67" s="647">
        <f t="shared" si="21"/>
        <v>70652.12460162607</v>
      </c>
      <c r="BI67" s="644">
        <f t="shared" si="95"/>
        <v>0</v>
      </c>
      <c r="BJ67" s="645">
        <f t="shared" si="96"/>
        <v>70652.12460162607</v>
      </c>
      <c r="BK67" s="646">
        <f t="shared" si="97"/>
        <v>-149.65779411269557</v>
      </c>
      <c r="BL67" s="647">
        <f t="shared" si="22"/>
        <v>70502.466807513381</v>
      </c>
      <c r="BM67" s="644">
        <f t="shared" si="98"/>
        <v>0</v>
      </c>
      <c r="BN67" s="645">
        <f t="shared" si="99"/>
        <v>70502.466807513381</v>
      </c>
      <c r="BO67" s="646">
        <f t="shared" si="100"/>
        <v>-3.2256844714818937</v>
      </c>
      <c r="BP67" s="647">
        <f t="shared" si="23"/>
        <v>70499.241123041895</v>
      </c>
      <c r="BQ67" s="644">
        <f t="shared" si="101"/>
        <v>0</v>
      </c>
      <c r="BR67" s="645">
        <f t="shared" si="102"/>
        <v>70499.241123041895</v>
      </c>
      <c r="BS67" s="646">
        <f t="shared" si="103"/>
        <v>0</v>
      </c>
      <c r="BT67" s="647">
        <f t="shared" si="24"/>
        <v>70499.241123041895</v>
      </c>
      <c r="BU67" s="662">
        <f>VLOOKUP(B67,'Afton Update'!$A$5:$AR$582,'Afton Update'!$AO$589,0)-BT67</f>
        <v>0</v>
      </c>
      <c r="BV67" s="644">
        <f t="shared" si="104"/>
        <v>146981.23748443768</v>
      </c>
      <c r="BW67" s="645">
        <f t="shared" si="25"/>
        <v>146090.39202158561</v>
      </c>
      <c r="BX67" s="644">
        <f t="shared" si="105"/>
        <v>0</v>
      </c>
      <c r="BY67" s="645">
        <f t="shared" si="106"/>
        <v>146981.23748443768</v>
      </c>
      <c r="BZ67" s="646">
        <f t="shared" si="107"/>
        <v>-1290.0699482715024</v>
      </c>
      <c r="CA67" s="647">
        <f t="shared" si="108"/>
        <v>145691.16753616618</v>
      </c>
      <c r="CB67" s="644">
        <f t="shared" si="26"/>
        <v>-399.22448541942867</v>
      </c>
      <c r="CC67" s="645">
        <f t="shared" si="27"/>
        <v>0</v>
      </c>
      <c r="CD67" s="646">
        <f t="shared" si="109"/>
        <v>0</v>
      </c>
      <c r="CE67" s="647">
        <f t="shared" si="28"/>
        <v>146090.39202158561</v>
      </c>
      <c r="CF67" s="644">
        <f t="shared" si="110"/>
        <v>0</v>
      </c>
      <c r="CG67" s="645">
        <f t="shared" si="111"/>
        <v>0</v>
      </c>
      <c r="CH67" s="646">
        <f t="shared" si="112"/>
        <v>0</v>
      </c>
      <c r="CI67" s="647">
        <f t="shared" si="29"/>
        <v>146090.39202158561</v>
      </c>
      <c r="CJ67" s="644">
        <f t="shared" si="113"/>
        <v>0</v>
      </c>
      <c r="CK67" s="645">
        <f t="shared" si="114"/>
        <v>0</v>
      </c>
      <c r="CL67" s="646">
        <f t="shared" si="115"/>
        <v>0</v>
      </c>
      <c r="CM67" s="647">
        <f t="shared" si="30"/>
        <v>146090.39202158561</v>
      </c>
      <c r="CN67" s="644">
        <f t="shared" si="116"/>
        <v>0</v>
      </c>
      <c r="CO67" s="645">
        <f t="shared" si="117"/>
        <v>0</v>
      </c>
      <c r="CP67" s="646">
        <f t="shared" si="118"/>
        <v>0</v>
      </c>
      <c r="CQ67" s="647">
        <f t="shared" si="31"/>
        <v>146090.39202158561</v>
      </c>
      <c r="CS67" s="644">
        <f t="shared" si="119"/>
        <v>158524.7817524609</v>
      </c>
      <c r="CT67" s="645">
        <f t="shared" si="32"/>
        <v>157418.88244502796</v>
      </c>
      <c r="CU67" s="644">
        <f t="shared" si="120"/>
        <v>0</v>
      </c>
      <c r="CV67" s="645">
        <f t="shared" si="121"/>
        <v>158524.7817524609</v>
      </c>
      <c r="CW67" s="646">
        <f t="shared" si="122"/>
        <v>-1623.3833509830608</v>
      </c>
      <c r="CX67" s="647">
        <f t="shared" si="123"/>
        <v>156901.39840147784</v>
      </c>
      <c r="CY67" s="644">
        <f t="shared" si="33"/>
        <v>-517.48404355012462</v>
      </c>
      <c r="CZ67" s="645">
        <f t="shared" si="34"/>
        <v>0</v>
      </c>
      <c r="DA67" s="646">
        <f t="shared" si="124"/>
        <v>0</v>
      </c>
      <c r="DB67" s="647">
        <f t="shared" si="35"/>
        <v>157418.88244502796</v>
      </c>
      <c r="DC67" s="644">
        <f t="shared" si="125"/>
        <v>0</v>
      </c>
      <c r="DD67" s="645">
        <f t="shared" si="126"/>
        <v>0</v>
      </c>
      <c r="DE67" s="646">
        <f t="shared" si="127"/>
        <v>0</v>
      </c>
      <c r="DF67" s="647">
        <f t="shared" si="36"/>
        <v>157418.88244502796</v>
      </c>
      <c r="DG67" s="644">
        <f t="shared" si="128"/>
        <v>0</v>
      </c>
      <c r="DH67" s="645">
        <f t="shared" si="129"/>
        <v>0</v>
      </c>
      <c r="DI67" s="646">
        <f t="shared" si="130"/>
        <v>0</v>
      </c>
      <c r="DJ67" s="647">
        <f t="shared" si="37"/>
        <v>157418.88244502796</v>
      </c>
      <c r="DK67" s="644">
        <f t="shared" si="131"/>
        <v>0</v>
      </c>
      <c r="DL67" s="645">
        <f t="shared" si="132"/>
        <v>0</v>
      </c>
      <c r="DM67" s="646">
        <f t="shared" si="133"/>
        <v>0</v>
      </c>
      <c r="DN67" s="647">
        <f t="shared" si="38"/>
        <v>157418.88244502796</v>
      </c>
      <c r="DR67" s="827">
        <f t="shared" si="49"/>
        <v>650180.71609527455</v>
      </c>
      <c r="DV67" s="828">
        <f>IFERROR(VLOOKUP($B67,'Afton FY16 Final'!$A$5:$BV$587,'Afton FY16 Final'!$BV$587,0),0)</f>
        <v>667750.95409655187</v>
      </c>
      <c r="DX67" s="636">
        <f t="shared" si="39"/>
        <v>0</v>
      </c>
      <c r="DY67" s="637">
        <f t="shared" si="40"/>
        <v>0</v>
      </c>
      <c r="DZ67" s="637">
        <f t="shared" si="41"/>
        <v>0</v>
      </c>
      <c r="EA67" s="643">
        <f t="shared" si="42"/>
        <v>0</v>
      </c>
      <c r="EB67" s="637">
        <f t="shared" si="50"/>
        <v>0</v>
      </c>
      <c r="EC67" s="637">
        <f t="shared" si="51"/>
        <v>0</v>
      </c>
      <c r="ED67" s="637">
        <f t="shared" si="52"/>
        <v>0</v>
      </c>
      <c r="EE67" s="643">
        <f t="shared" si="53"/>
        <v>0</v>
      </c>
      <c r="EF67" s="637">
        <f t="shared" si="54"/>
        <v>0</v>
      </c>
      <c r="EG67" s="637">
        <f t="shared" si="55"/>
        <v>0</v>
      </c>
      <c r="EH67" s="637">
        <f t="shared" si="56"/>
        <v>0</v>
      </c>
      <c r="EI67" s="643">
        <f t="shared" si="57"/>
        <v>0</v>
      </c>
      <c r="EJ67" s="637">
        <f t="shared" si="58"/>
        <v>0</v>
      </c>
      <c r="EK67" s="637">
        <f t="shared" si="59"/>
        <v>0</v>
      </c>
      <c r="EL67" s="637">
        <f t="shared" si="60"/>
        <v>0</v>
      </c>
      <c r="EM67" s="643">
        <f t="shared" si="61"/>
        <v>0</v>
      </c>
      <c r="EN67" s="637">
        <f t="shared" si="62"/>
        <v>0</v>
      </c>
      <c r="EO67" s="637">
        <f t="shared" si="63"/>
        <v>0</v>
      </c>
      <c r="EP67" s="637">
        <f t="shared" si="64"/>
        <v>0</v>
      </c>
      <c r="EQ67" s="643">
        <f t="shared" si="65"/>
        <v>0</v>
      </c>
      <c r="ER67" s="637">
        <f t="shared" si="66"/>
        <v>0</v>
      </c>
      <c r="ES67" s="637">
        <f t="shared" si="67"/>
        <v>0</v>
      </c>
      <c r="ET67" s="637">
        <f t="shared" si="68"/>
        <v>0</v>
      </c>
      <c r="EU67" s="643">
        <f t="shared" si="43"/>
        <v>0</v>
      </c>
      <c r="EV67" s="643">
        <f t="shared" si="44"/>
        <v>0</v>
      </c>
      <c r="EX67" s="829">
        <f t="shared" si="45"/>
        <v>0</v>
      </c>
      <c r="EY67" s="638">
        <f t="shared" si="46"/>
        <v>650180.71609527455</v>
      </c>
      <c r="FC67" s="830" t="str">
        <f t="shared" si="69"/>
        <v>Y</v>
      </c>
      <c r="FE67" s="830" t="str">
        <f>IFERROR(VLOOKUP($B67,'Historical Conc Grant Elig'!$B$3:$J$707,'HH &amp; SI'!FE$2,0),"N")</f>
        <v>Y</v>
      </c>
      <c r="FF67" s="830" t="str">
        <f>IFERROR(VLOOKUP($B67,'Historical Conc Grant Elig'!$B$3:$J$707,'HH &amp; SI'!FF$2,0),"N")</f>
        <v>Y</v>
      </c>
      <c r="FG67" s="830" t="str">
        <f>IFERROR(VLOOKUP($B67,'Historical Conc Grant Elig'!$B$3:$J$707,'HH &amp; SI'!FG$2,0),"N")</f>
        <v>Y</v>
      </c>
      <c r="FH67" s="830" t="str">
        <f>IFERROR(VLOOKUP($B67,'Historical Conc Grant Elig'!$B$3:$J$707,'HH &amp; SI'!FH$2,0),"N")</f>
        <v>Y</v>
      </c>
      <c r="FI67" s="830" t="str">
        <f>IFERROR(VLOOKUP($B67,'Historical Conc Grant Elig'!$B$3:$J$707,'HH &amp; SI'!FI$2,0),"N")</f>
        <v>Y</v>
      </c>
      <c r="FJ67" s="830" t="str">
        <f>IFERROR(VLOOKUP($B67,'Historical Conc Grant Elig'!$B$3:$J$707,'HH &amp; SI'!FJ$2,0),"N")</f>
        <v>Y</v>
      </c>
      <c r="FK67" s="830" t="str">
        <f>IFERROR(VLOOKUP($B67,'Historical Conc Grant Elig'!$B$3:$J$707,'HH &amp; SI'!FK$2,0),"N")</f>
        <v>Y</v>
      </c>
      <c r="FL67" s="957" t="str">
        <f>IFERROR(VLOOKUP($B67,'Historical Conc Grant Elig'!$B$3:$J$707,'HH &amp; SI'!FL$2,0),"N")</f>
        <v>Y</v>
      </c>
    </row>
    <row r="68" spans="2:168" x14ac:dyDescent="0.25">
      <c r="B68" s="634">
        <v>50305000</v>
      </c>
      <c r="C68" s="635" t="str">
        <f>VLOOKUP($B68,'Afton Update'!$A$5:$CR$582,'Afton Update'!D$589,0)</f>
        <v>Solomon Elementary District</v>
      </c>
      <c r="D68" s="636">
        <f>IFERROR(VLOOKUP($B68,'Afton FY16 Final'!$A$5:$BV$587,'Afton FY16 Final'!AQ$587,0),0)</f>
        <v>58524.408275056005</v>
      </c>
      <c r="E68" s="637">
        <f>IFERROR(VLOOKUP($B68,'Afton FY16 Final'!$A$5:$BV$587,'Afton FY16 Final'!AR$587,0),0)</f>
        <v>13623.836805542491</v>
      </c>
      <c r="F68" s="637">
        <f>IFERROR(VLOOKUP($B68,'Afton FY16 Final'!$A$5:$BV$587,'Afton FY16 Final'!AS$587,0),0)</f>
        <v>32799.551943359671</v>
      </c>
      <c r="G68" s="637">
        <f>IFERROR(VLOOKUP($B68,'Afton FY16 Final'!$A$5:$BV$587,'Afton FY16 Final'!AT$587,0),0)</f>
        <v>33134.084011369778</v>
      </c>
      <c r="H68" s="638">
        <f>IFERROR(VLOOKUP($B68,'Afton FY16 Final'!$A$5:$BV$587,'Afton FY16 Final'!AU$587,0),0)</f>
        <v>138081.88103532797</v>
      </c>
      <c r="I68" s="639" t="str">
        <f>VLOOKUP($B68,'Afton Update'!$A$5:$CR$582,'Afton Update'!BT$589,0)</f>
        <v>Y</v>
      </c>
      <c r="J68" s="640" t="str">
        <f>VLOOKUP($B68,'Afton Update'!$A$5:$CR$582,'Afton Update'!BU$589,0)</f>
        <v>Y</v>
      </c>
      <c r="K68" s="640" t="str">
        <f>VLOOKUP($B68,'Afton Update'!$A$5:$CR$582,'Afton Update'!BV$589,0)</f>
        <v>Y</v>
      </c>
      <c r="L68" s="641" t="str">
        <f>VLOOKUP($B68,'Afton Update'!$A$5:$CR$582,'Afton Update'!BW$589,0)</f>
        <v>Y</v>
      </c>
      <c r="N68" s="642">
        <f>VLOOKUP($B68,'Afton Update'!$A$5:$CR$582,'Afton Update'!CB$589,0)</f>
        <v>0.9</v>
      </c>
      <c r="P68" s="636">
        <f>VLOOKUP($B68,'Afton Update'!$A$5:$CR$582,'Afton Update'!AH$589,0)</f>
        <v>53641.986696411012</v>
      </c>
      <c r="Q68" s="637">
        <f>VLOOKUP($B68,'Afton Update'!$A$5:$CR$582,'Afton Update'!AI$589,0)</f>
        <v>17187.862803615124</v>
      </c>
      <c r="R68" s="637">
        <f>VLOOKUP($B68,'Afton Update'!$A$5:$CR$582,'Afton Update'!AJ$589,0)</f>
        <v>29694.595890268476</v>
      </c>
      <c r="S68" s="637">
        <f>VLOOKUP($B68,'Afton Update'!$A$5:$CR$582,'Afton Update'!AK$589,0)</f>
        <v>30022.183714964627</v>
      </c>
      <c r="T68" s="643">
        <f t="shared" si="47"/>
        <v>130546.62910525924</v>
      </c>
      <c r="V68" s="636">
        <f t="shared" si="70"/>
        <v>52910.275180807563</v>
      </c>
      <c r="W68" s="637">
        <f t="shared" si="71"/>
        <v>16621.757443327773</v>
      </c>
      <c r="X68" s="637">
        <f t="shared" si="72"/>
        <v>29519.596749023705</v>
      </c>
      <c r="Y68" s="637">
        <f t="shared" si="73"/>
        <v>29820.6756102328</v>
      </c>
      <c r="Z68" s="643">
        <f t="shared" si="74"/>
        <v>128872.30498339183</v>
      </c>
      <c r="AB68" s="644">
        <f t="shared" si="11"/>
        <v>53641.986696411012</v>
      </c>
      <c r="AC68" s="645">
        <f t="shared" si="12"/>
        <v>52671.967447550407</v>
      </c>
      <c r="AD68" s="644">
        <f t="shared" si="75"/>
        <v>0</v>
      </c>
      <c r="AE68" s="645">
        <f t="shared" si="76"/>
        <v>53641.986696411012</v>
      </c>
      <c r="AF68" s="646">
        <f t="shared" si="77"/>
        <v>-664.93273598196106</v>
      </c>
      <c r="AG68" s="647">
        <f t="shared" si="78"/>
        <v>52977.053960429053</v>
      </c>
      <c r="AH68" s="644">
        <f t="shared" si="13"/>
        <v>0</v>
      </c>
      <c r="AI68" s="645">
        <f t="shared" si="14"/>
        <v>52977.053960429053</v>
      </c>
      <c r="AJ68" s="646">
        <f t="shared" si="79"/>
        <v>-66.736235066101912</v>
      </c>
      <c r="AK68" s="647">
        <f t="shared" si="15"/>
        <v>52910.317725362955</v>
      </c>
      <c r="AL68" s="644">
        <f t="shared" si="80"/>
        <v>0</v>
      </c>
      <c r="AM68" s="645">
        <f t="shared" si="81"/>
        <v>52910.317725362955</v>
      </c>
      <c r="AN68" s="646">
        <f t="shared" si="82"/>
        <v>-4.2544555390698867E-2</v>
      </c>
      <c r="AO68" s="647">
        <f t="shared" si="16"/>
        <v>52910.275180807563</v>
      </c>
      <c r="AP68" s="644">
        <f t="shared" si="83"/>
        <v>0</v>
      </c>
      <c r="AQ68" s="645">
        <f t="shared" si="84"/>
        <v>52910.275180807563</v>
      </c>
      <c r="AR68" s="646">
        <f t="shared" si="85"/>
        <v>0</v>
      </c>
      <c r="AS68" s="647">
        <f t="shared" si="17"/>
        <v>52910.275180807563</v>
      </c>
      <c r="AT68" s="644">
        <f t="shared" si="86"/>
        <v>0</v>
      </c>
      <c r="AU68" s="645">
        <f t="shared" si="87"/>
        <v>52910.275180807563</v>
      </c>
      <c r="AV68" s="646">
        <f t="shared" si="88"/>
        <v>0</v>
      </c>
      <c r="AW68" s="647">
        <f t="shared" si="18"/>
        <v>52910.275180807563</v>
      </c>
      <c r="AY68" s="644">
        <f t="shared" si="89"/>
        <v>17187.862803615124</v>
      </c>
      <c r="AZ68" s="645">
        <f t="shared" si="48"/>
        <v>12261.453124988242</v>
      </c>
      <c r="BA68" s="644">
        <f t="shared" si="90"/>
        <v>0</v>
      </c>
      <c r="BB68" s="645">
        <f t="shared" si="91"/>
        <v>17187.862803615124</v>
      </c>
      <c r="BC68" s="646">
        <f t="shared" si="92"/>
        <v>-123.60293048728919</v>
      </c>
      <c r="BD68" s="647">
        <f t="shared" si="93"/>
        <v>17064.259873127834</v>
      </c>
      <c r="BE68" s="644">
        <f t="shared" si="19"/>
        <v>0</v>
      </c>
      <c r="BF68" s="645">
        <f t="shared" si="20"/>
        <v>17064.259873127834</v>
      </c>
      <c r="BG68" s="646">
        <f t="shared" si="94"/>
        <v>-406.45676380936965</v>
      </c>
      <c r="BH68" s="647">
        <f t="shared" si="21"/>
        <v>16657.803109318465</v>
      </c>
      <c r="BI68" s="644">
        <f t="shared" si="95"/>
        <v>0</v>
      </c>
      <c r="BJ68" s="645">
        <f t="shared" si="96"/>
        <v>16657.803109318465</v>
      </c>
      <c r="BK68" s="646">
        <f t="shared" si="97"/>
        <v>-35.285139437219797</v>
      </c>
      <c r="BL68" s="647">
        <f t="shared" si="22"/>
        <v>16622.517969881246</v>
      </c>
      <c r="BM68" s="644">
        <f t="shared" si="98"/>
        <v>0</v>
      </c>
      <c r="BN68" s="645">
        <f t="shared" si="99"/>
        <v>16622.517969881246</v>
      </c>
      <c r="BO68" s="646">
        <f t="shared" si="100"/>
        <v>-0.76052655347175091</v>
      </c>
      <c r="BP68" s="647">
        <f t="shared" si="23"/>
        <v>16621.757443327773</v>
      </c>
      <c r="BQ68" s="644">
        <f t="shared" si="101"/>
        <v>0</v>
      </c>
      <c r="BR68" s="645">
        <f t="shared" si="102"/>
        <v>16621.757443327773</v>
      </c>
      <c r="BS68" s="646">
        <f t="shared" si="103"/>
        <v>0</v>
      </c>
      <c r="BT68" s="647">
        <f t="shared" si="24"/>
        <v>16621.757443327773</v>
      </c>
      <c r="BU68" s="662">
        <f>VLOOKUP(B68,'Afton Update'!$A$5:$AR$582,'Afton Update'!$AO$589,0)-BT68</f>
        <v>0</v>
      </c>
      <c r="BV68" s="644">
        <f t="shared" si="104"/>
        <v>29694.595890268476</v>
      </c>
      <c r="BW68" s="645">
        <f t="shared" si="25"/>
        <v>29519.596749023705</v>
      </c>
      <c r="BX68" s="644">
        <f t="shared" si="105"/>
        <v>0</v>
      </c>
      <c r="BY68" s="645">
        <f t="shared" si="106"/>
        <v>29694.595890268476</v>
      </c>
      <c r="BZ68" s="646">
        <f t="shared" si="107"/>
        <v>-260.63262522305183</v>
      </c>
      <c r="CA68" s="647">
        <f t="shared" si="108"/>
        <v>29433.963265045426</v>
      </c>
      <c r="CB68" s="644">
        <f t="shared" si="26"/>
        <v>-85.633483978279401</v>
      </c>
      <c r="CC68" s="645">
        <f t="shared" si="27"/>
        <v>0</v>
      </c>
      <c r="CD68" s="646">
        <f t="shared" si="109"/>
        <v>0</v>
      </c>
      <c r="CE68" s="647">
        <f t="shared" si="28"/>
        <v>29519.596749023705</v>
      </c>
      <c r="CF68" s="644">
        <f t="shared" si="110"/>
        <v>0</v>
      </c>
      <c r="CG68" s="645">
        <f t="shared" si="111"/>
        <v>0</v>
      </c>
      <c r="CH68" s="646">
        <f t="shared" si="112"/>
        <v>0</v>
      </c>
      <c r="CI68" s="647">
        <f t="shared" si="29"/>
        <v>29519.596749023705</v>
      </c>
      <c r="CJ68" s="644">
        <f t="shared" si="113"/>
        <v>0</v>
      </c>
      <c r="CK68" s="645">
        <f t="shared" si="114"/>
        <v>0</v>
      </c>
      <c r="CL68" s="646">
        <f t="shared" si="115"/>
        <v>0</v>
      </c>
      <c r="CM68" s="647">
        <f t="shared" si="30"/>
        <v>29519.596749023705</v>
      </c>
      <c r="CN68" s="644">
        <f t="shared" si="116"/>
        <v>0</v>
      </c>
      <c r="CO68" s="645">
        <f t="shared" si="117"/>
        <v>0</v>
      </c>
      <c r="CP68" s="646">
        <f t="shared" si="118"/>
        <v>0</v>
      </c>
      <c r="CQ68" s="647">
        <f t="shared" si="31"/>
        <v>29519.596749023705</v>
      </c>
      <c r="CS68" s="644">
        <f t="shared" si="119"/>
        <v>30022.183714964627</v>
      </c>
      <c r="CT68" s="645">
        <f t="shared" si="32"/>
        <v>29820.6756102328</v>
      </c>
      <c r="CU68" s="644">
        <f t="shared" si="120"/>
        <v>0</v>
      </c>
      <c r="CV68" s="645">
        <f t="shared" si="121"/>
        <v>30022.183714964627</v>
      </c>
      <c r="CW68" s="646">
        <f t="shared" si="122"/>
        <v>-307.44412743701355</v>
      </c>
      <c r="CX68" s="647">
        <f t="shared" si="123"/>
        <v>29714.739587527612</v>
      </c>
      <c r="CY68" s="644">
        <f t="shared" si="33"/>
        <v>-105.9360227051875</v>
      </c>
      <c r="CZ68" s="645">
        <f t="shared" si="34"/>
        <v>0</v>
      </c>
      <c r="DA68" s="646">
        <f t="shared" si="124"/>
        <v>0</v>
      </c>
      <c r="DB68" s="647">
        <f t="shared" si="35"/>
        <v>29820.6756102328</v>
      </c>
      <c r="DC68" s="644">
        <f t="shared" si="125"/>
        <v>0</v>
      </c>
      <c r="DD68" s="645">
        <f t="shared" si="126"/>
        <v>0</v>
      </c>
      <c r="DE68" s="646">
        <f t="shared" si="127"/>
        <v>0</v>
      </c>
      <c r="DF68" s="647">
        <f t="shared" si="36"/>
        <v>29820.6756102328</v>
      </c>
      <c r="DG68" s="644">
        <f t="shared" si="128"/>
        <v>0</v>
      </c>
      <c r="DH68" s="645">
        <f t="shared" si="129"/>
        <v>0</v>
      </c>
      <c r="DI68" s="646">
        <f t="shared" si="130"/>
        <v>0</v>
      </c>
      <c r="DJ68" s="647">
        <f t="shared" si="37"/>
        <v>29820.6756102328</v>
      </c>
      <c r="DK68" s="644">
        <f t="shared" si="131"/>
        <v>0</v>
      </c>
      <c r="DL68" s="645">
        <f t="shared" si="132"/>
        <v>0</v>
      </c>
      <c r="DM68" s="646">
        <f t="shared" si="133"/>
        <v>0</v>
      </c>
      <c r="DN68" s="647">
        <f t="shared" si="38"/>
        <v>29820.6756102328</v>
      </c>
      <c r="DR68" s="827">
        <f t="shared" si="49"/>
        <v>128872.30498339183</v>
      </c>
      <c r="DV68" s="828">
        <f>IFERROR(VLOOKUP($B68,'Afton FY16 Final'!$A$5:$BV$587,'Afton FY16 Final'!$BV$587,0),0)</f>
        <v>132342.42546291256</v>
      </c>
      <c r="DX68" s="636">
        <f t="shared" si="39"/>
        <v>0</v>
      </c>
      <c r="DY68" s="637">
        <f t="shared" si="40"/>
        <v>0</v>
      </c>
      <c r="DZ68" s="637">
        <f t="shared" si="41"/>
        <v>0</v>
      </c>
      <c r="EA68" s="643">
        <f t="shared" si="42"/>
        <v>0</v>
      </c>
      <c r="EB68" s="637">
        <f t="shared" si="50"/>
        <v>0</v>
      </c>
      <c r="EC68" s="637">
        <f t="shared" si="51"/>
        <v>0</v>
      </c>
      <c r="ED68" s="637">
        <f t="shared" si="52"/>
        <v>0</v>
      </c>
      <c r="EE68" s="643">
        <f t="shared" si="53"/>
        <v>0</v>
      </c>
      <c r="EF68" s="637">
        <f t="shared" si="54"/>
        <v>0</v>
      </c>
      <c r="EG68" s="637">
        <f t="shared" si="55"/>
        <v>0</v>
      </c>
      <c r="EH68" s="637">
        <f t="shared" si="56"/>
        <v>0</v>
      </c>
      <c r="EI68" s="643">
        <f t="shared" si="57"/>
        <v>0</v>
      </c>
      <c r="EJ68" s="637">
        <f t="shared" si="58"/>
        <v>0</v>
      </c>
      <c r="EK68" s="637">
        <f t="shared" si="59"/>
        <v>0</v>
      </c>
      <c r="EL68" s="637">
        <f t="shared" si="60"/>
        <v>0</v>
      </c>
      <c r="EM68" s="643">
        <f t="shared" si="61"/>
        <v>0</v>
      </c>
      <c r="EN68" s="637">
        <f t="shared" si="62"/>
        <v>0</v>
      </c>
      <c r="EO68" s="637">
        <f t="shared" si="63"/>
        <v>0</v>
      </c>
      <c r="EP68" s="637">
        <f t="shared" si="64"/>
        <v>0</v>
      </c>
      <c r="EQ68" s="643">
        <f t="shared" si="65"/>
        <v>0</v>
      </c>
      <c r="ER68" s="637">
        <f t="shared" si="66"/>
        <v>0</v>
      </c>
      <c r="ES68" s="637">
        <f t="shared" si="67"/>
        <v>0</v>
      </c>
      <c r="ET68" s="637">
        <f t="shared" si="68"/>
        <v>0</v>
      </c>
      <c r="EU68" s="643">
        <f t="shared" si="43"/>
        <v>0</v>
      </c>
      <c r="EV68" s="643">
        <f t="shared" si="44"/>
        <v>0</v>
      </c>
      <c r="EX68" s="829">
        <f t="shared" si="45"/>
        <v>0</v>
      </c>
      <c r="EY68" s="638">
        <f t="shared" si="46"/>
        <v>128872.30498339183</v>
      </c>
      <c r="FC68" s="830" t="str">
        <f t="shared" si="69"/>
        <v>Y</v>
      </c>
      <c r="FE68" s="830" t="str">
        <f>IFERROR(VLOOKUP($B68,'Historical Conc Grant Elig'!$B$3:$J$707,'HH &amp; SI'!FE$2,0),"N")</f>
        <v>Y</v>
      </c>
      <c r="FF68" s="830" t="str">
        <f>IFERROR(VLOOKUP($B68,'Historical Conc Grant Elig'!$B$3:$J$707,'HH &amp; SI'!FF$2,0),"N")</f>
        <v>Y</v>
      </c>
      <c r="FG68" s="830" t="str">
        <f>IFERROR(VLOOKUP($B68,'Historical Conc Grant Elig'!$B$3:$J$707,'HH &amp; SI'!FG$2,0),"N")</f>
        <v>Y</v>
      </c>
      <c r="FH68" s="830" t="str">
        <f>IFERROR(VLOOKUP($B68,'Historical Conc Grant Elig'!$B$3:$J$707,'HH &amp; SI'!FH$2,0),"N")</f>
        <v>Y</v>
      </c>
      <c r="FI68" s="830" t="str">
        <f>IFERROR(VLOOKUP($B68,'Historical Conc Grant Elig'!$B$3:$J$707,'HH &amp; SI'!FI$2,0),"N")</f>
        <v>Y</v>
      </c>
      <c r="FJ68" s="830" t="str">
        <f>IFERROR(VLOOKUP($B68,'Historical Conc Grant Elig'!$B$3:$J$707,'HH &amp; SI'!FJ$2,0),"N")</f>
        <v>Y</v>
      </c>
      <c r="FK68" s="830" t="str">
        <f>IFERROR(VLOOKUP($B68,'Historical Conc Grant Elig'!$B$3:$J$707,'HH &amp; SI'!FK$2,0),"N")</f>
        <v>Y</v>
      </c>
      <c r="FL68" s="957" t="str">
        <f>IFERROR(VLOOKUP($B68,'Historical Conc Grant Elig'!$B$3:$J$707,'HH &amp; SI'!FL$2,0),"N")</f>
        <v>Y</v>
      </c>
    </row>
    <row r="69" spans="2:168" x14ac:dyDescent="0.25">
      <c r="B69" s="634">
        <v>50309000</v>
      </c>
      <c r="C69" s="635" t="str">
        <f>VLOOKUP($B69,'Afton Update'!$A$5:$CR$582,'Afton Update'!D$589,0)</f>
        <v>Klondyke Elementary District</v>
      </c>
      <c r="D69" s="636">
        <f>IFERROR(VLOOKUP($B69,'Afton FY16 Final'!$A$5:$BV$587,'Afton FY16 Final'!AQ$587,0),0)</f>
        <v>0</v>
      </c>
      <c r="E69" s="637">
        <f>IFERROR(VLOOKUP($B69,'Afton FY16 Final'!$A$5:$BV$587,'Afton FY16 Final'!AR$587,0),0)</f>
        <v>0</v>
      </c>
      <c r="F69" s="637">
        <f>IFERROR(VLOOKUP($B69,'Afton FY16 Final'!$A$5:$BV$587,'Afton FY16 Final'!AS$587,0),0)</f>
        <v>0</v>
      </c>
      <c r="G69" s="637">
        <f>IFERROR(VLOOKUP($B69,'Afton FY16 Final'!$A$5:$BV$587,'Afton FY16 Final'!AT$587,0),0)</f>
        <v>0</v>
      </c>
      <c r="H69" s="638">
        <f>IFERROR(VLOOKUP($B69,'Afton FY16 Final'!$A$5:$BV$587,'Afton FY16 Final'!AU$587,0),0)</f>
        <v>0</v>
      </c>
      <c r="I69" s="639" t="str">
        <f>VLOOKUP($B69,'Afton Update'!$A$5:$CR$582,'Afton Update'!BT$589,0)</f>
        <v>N</v>
      </c>
      <c r="J69" s="640" t="str">
        <f>VLOOKUP($B69,'Afton Update'!$A$5:$CR$582,'Afton Update'!BU$589,0)</f>
        <v>N</v>
      </c>
      <c r="K69" s="640" t="str">
        <f>VLOOKUP($B69,'Afton Update'!$A$5:$CR$582,'Afton Update'!BV$589,0)</f>
        <v>N</v>
      </c>
      <c r="L69" s="641" t="str">
        <f>VLOOKUP($B69,'Afton Update'!$A$5:$CR$582,'Afton Update'!BW$589,0)</f>
        <v>N</v>
      </c>
      <c r="N69" s="642">
        <f>VLOOKUP($B69,'Afton Update'!$A$5:$CR$582,'Afton Update'!CB$589,0)</f>
        <v>0.85</v>
      </c>
      <c r="P69" s="636">
        <f>VLOOKUP($B69,'Afton Update'!$A$5:$CR$582,'Afton Update'!AH$589,0)</f>
        <v>0</v>
      </c>
      <c r="Q69" s="637">
        <f>VLOOKUP($B69,'Afton Update'!$A$5:$CR$582,'Afton Update'!AI$589,0)</f>
        <v>0</v>
      </c>
      <c r="R69" s="637">
        <f>VLOOKUP($B69,'Afton Update'!$A$5:$CR$582,'Afton Update'!AJ$589,0)</f>
        <v>0</v>
      </c>
      <c r="S69" s="637">
        <f>VLOOKUP($B69,'Afton Update'!$A$5:$CR$582,'Afton Update'!AK$589,0)</f>
        <v>0</v>
      </c>
      <c r="T69" s="643">
        <f t="shared" si="47"/>
        <v>0</v>
      </c>
      <c r="V69" s="636">
        <f t="shared" si="70"/>
        <v>0</v>
      </c>
      <c r="W69" s="637">
        <f t="shared" si="71"/>
        <v>0</v>
      </c>
      <c r="X69" s="637">
        <f t="shared" si="72"/>
        <v>0</v>
      </c>
      <c r="Y69" s="637">
        <f t="shared" si="73"/>
        <v>0</v>
      </c>
      <c r="Z69" s="643">
        <f t="shared" si="74"/>
        <v>0</v>
      </c>
      <c r="AB69" s="644">
        <f t="shared" si="11"/>
        <v>0</v>
      </c>
      <c r="AC69" s="645">
        <f t="shared" ref="AC69:AC132" si="134">IF(I69="N",0,D69*$N69)</f>
        <v>0</v>
      </c>
      <c r="AD69" s="644">
        <f t="shared" si="75"/>
        <v>0</v>
      </c>
      <c r="AE69" s="645">
        <f t="shared" si="76"/>
        <v>0</v>
      </c>
      <c r="AF69" s="646">
        <f t="shared" si="77"/>
        <v>0</v>
      </c>
      <c r="AG69" s="647">
        <f t="shared" si="78"/>
        <v>0</v>
      </c>
      <c r="AH69" s="644">
        <f t="shared" si="13"/>
        <v>0</v>
      </c>
      <c r="AI69" s="645">
        <f t="shared" si="14"/>
        <v>0</v>
      </c>
      <c r="AJ69" s="646">
        <f t="shared" si="79"/>
        <v>0</v>
      </c>
      <c r="AK69" s="647">
        <f t="shared" si="15"/>
        <v>0</v>
      </c>
      <c r="AL69" s="644">
        <f t="shared" si="80"/>
        <v>0</v>
      </c>
      <c r="AM69" s="645">
        <f t="shared" si="81"/>
        <v>0</v>
      </c>
      <c r="AN69" s="646">
        <f t="shared" si="82"/>
        <v>0</v>
      </c>
      <c r="AO69" s="647">
        <f t="shared" si="16"/>
        <v>0</v>
      </c>
      <c r="AP69" s="644">
        <f t="shared" si="83"/>
        <v>0</v>
      </c>
      <c r="AQ69" s="645">
        <f t="shared" si="84"/>
        <v>0</v>
      </c>
      <c r="AR69" s="646">
        <f t="shared" si="85"/>
        <v>0</v>
      </c>
      <c r="AS69" s="647">
        <f t="shared" si="17"/>
        <v>0</v>
      </c>
      <c r="AT69" s="644">
        <f t="shared" si="86"/>
        <v>0</v>
      </c>
      <c r="AU69" s="645">
        <f t="shared" si="87"/>
        <v>0</v>
      </c>
      <c r="AV69" s="646">
        <f t="shared" si="88"/>
        <v>0</v>
      </c>
      <c r="AW69" s="647">
        <f t="shared" si="18"/>
        <v>0</v>
      </c>
      <c r="AY69" s="644">
        <f t="shared" si="89"/>
        <v>0</v>
      </c>
      <c r="AZ69" s="645">
        <f t="shared" si="48"/>
        <v>0</v>
      </c>
      <c r="BA69" s="644">
        <f t="shared" si="90"/>
        <v>0</v>
      </c>
      <c r="BB69" s="645">
        <f t="shared" si="91"/>
        <v>0</v>
      </c>
      <c r="BC69" s="646">
        <f t="shared" si="92"/>
        <v>0</v>
      </c>
      <c r="BD69" s="647">
        <f t="shared" si="93"/>
        <v>0</v>
      </c>
      <c r="BE69" s="644">
        <f t="shared" si="19"/>
        <v>0</v>
      </c>
      <c r="BF69" s="645">
        <f t="shared" si="20"/>
        <v>0</v>
      </c>
      <c r="BG69" s="646">
        <f t="shared" si="94"/>
        <v>0</v>
      </c>
      <c r="BH69" s="647">
        <f t="shared" si="21"/>
        <v>0</v>
      </c>
      <c r="BI69" s="644">
        <f t="shared" si="95"/>
        <v>0</v>
      </c>
      <c r="BJ69" s="645">
        <f t="shared" si="96"/>
        <v>0</v>
      </c>
      <c r="BK69" s="646">
        <f t="shared" si="97"/>
        <v>0</v>
      </c>
      <c r="BL69" s="647">
        <f t="shared" si="22"/>
        <v>0</v>
      </c>
      <c r="BM69" s="644">
        <f t="shared" si="98"/>
        <v>0</v>
      </c>
      <c r="BN69" s="645">
        <f t="shared" si="99"/>
        <v>0</v>
      </c>
      <c r="BO69" s="646">
        <f t="shared" si="100"/>
        <v>0</v>
      </c>
      <c r="BP69" s="647">
        <f t="shared" si="23"/>
        <v>0</v>
      </c>
      <c r="BQ69" s="644">
        <f t="shared" si="101"/>
        <v>0</v>
      </c>
      <c r="BR69" s="645">
        <f t="shared" si="102"/>
        <v>0</v>
      </c>
      <c r="BS69" s="646">
        <f t="shared" si="103"/>
        <v>0</v>
      </c>
      <c r="BT69" s="647">
        <f t="shared" si="24"/>
        <v>0</v>
      </c>
      <c r="BU69" s="662">
        <f>VLOOKUP(B69,'Afton Update'!$A$5:$AR$582,'Afton Update'!$AO$589,0)-BT69</f>
        <v>0</v>
      </c>
      <c r="BV69" s="644">
        <f t="shared" si="104"/>
        <v>0</v>
      </c>
      <c r="BW69" s="645">
        <f t="shared" ref="BW69:BW132" si="135">IF($K69="N",0,F69*$N69)</f>
        <v>0</v>
      </c>
      <c r="BX69" s="644">
        <f t="shared" si="105"/>
        <v>0</v>
      </c>
      <c r="BY69" s="645">
        <f t="shared" si="106"/>
        <v>0</v>
      </c>
      <c r="BZ69" s="646">
        <f t="shared" si="107"/>
        <v>0</v>
      </c>
      <c r="CA69" s="647">
        <f t="shared" si="108"/>
        <v>0</v>
      </c>
      <c r="CB69" s="644">
        <f t="shared" si="26"/>
        <v>0</v>
      </c>
      <c r="CC69" s="645">
        <f t="shared" si="27"/>
        <v>0</v>
      </c>
      <c r="CD69" s="646">
        <f t="shared" si="109"/>
        <v>0</v>
      </c>
      <c r="CE69" s="647">
        <f t="shared" si="28"/>
        <v>0</v>
      </c>
      <c r="CF69" s="644">
        <f t="shared" si="110"/>
        <v>0</v>
      </c>
      <c r="CG69" s="645">
        <f t="shared" si="111"/>
        <v>0</v>
      </c>
      <c r="CH69" s="646">
        <f t="shared" si="112"/>
        <v>0</v>
      </c>
      <c r="CI69" s="647">
        <f t="shared" si="29"/>
        <v>0</v>
      </c>
      <c r="CJ69" s="644">
        <f t="shared" si="113"/>
        <v>0</v>
      </c>
      <c r="CK69" s="645">
        <f t="shared" si="114"/>
        <v>0</v>
      </c>
      <c r="CL69" s="646">
        <f t="shared" si="115"/>
        <v>0</v>
      </c>
      <c r="CM69" s="647">
        <f t="shared" si="30"/>
        <v>0</v>
      </c>
      <c r="CN69" s="644">
        <f t="shared" si="116"/>
        <v>0</v>
      </c>
      <c r="CO69" s="645">
        <f t="shared" si="117"/>
        <v>0</v>
      </c>
      <c r="CP69" s="646">
        <f t="shared" si="118"/>
        <v>0</v>
      </c>
      <c r="CQ69" s="647">
        <f t="shared" si="31"/>
        <v>0</v>
      </c>
      <c r="CS69" s="644">
        <f t="shared" si="119"/>
        <v>0</v>
      </c>
      <c r="CT69" s="645">
        <f t="shared" ref="CT69:CT132" si="136">IF($L69="N",0,G69*$N69)</f>
        <v>0</v>
      </c>
      <c r="CU69" s="644">
        <f t="shared" si="120"/>
        <v>0</v>
      </c>
      <c r="CV69" s="645">
        <f t="shared" si="121"/>
        <v>0</v>
      </c>
      <c r="CW69" s="646">
        <f t="shared" si="122"/>
        <v>0</v>
      </c>
      <c r="CX69" s="647">
        <f t="shared" si="123"/>
        <v>0</v>
      </c>
      <c r="CY69" s="644">
        <f t="shared" si="33"/>
        <v>0</v>
      </c>
      <c r="CZ69" s="645">
        <f t="shared" si="34"/>
        <v>0</v>
      </c>
      <c r="DA69" s="646">
        <f t="shared" si="124"/>
        <v>0</v>
      </c>
      <c r="DB69" s="647">
        <f t="shared" si="35"/>
        <v>0</v>
      </c>
      <c r="DC69" s="644">
        <f t="shared" si="125"/>
        <v>0</v>
      </c>
      <c r="DD69" s="645">
        <f t="shared" si="126"/>
        <v>0</v>
      </c>
      <c r="DE69" s="646">
        <f t="shared" si="127"/>
        <v>0</v>
      </c>
      <c r="DF69" s="647">
        <f t="shared" si="36"/>
        <v>0</v>
      </c>
      <c r="DG69" s="644">
        <f t="shared" si="128"/>
        <v>0</v>
      </c>
      <c r="DH69" s="645">
        <f t="shared" si="129"/>
        <v>0</v>
      </c>
      <c r="DI69" s="646">
        <f t="shared" si="130"/>
        <v>0</v>
      </c>
      <c r="DJ69" s="647">
        <f t="shared" si="37"/>
        <v>0</v>
      </c>
      <c r="DK69" s="644">
        <f t="shared" si="131"/>
        <v>0</v>
      </c>
      <c r="DL69" s="645">
        <f t="shared" si="132"/>
        <v>0</v>
      </c>
      <c r="DM69" s="646">
        <f t="shared" si="133"/>
        <v>0</v>
      </c>
      <c r="DN69" s="647">
        <f t="shared" si="38"/>
        <v>0</v>
      </c>
      <c r="DR69" s="827">
        <f t="shared" si="49"/>
        <v>0</v>
      </c>
      <c r="DV69" s="828">
        <f>IFERROR(VLOOKUP($B69,'Afton FY16 Final'!$A$5:$BV$587,'Afton FY16 Final'!$BV$587,0),0)</f>
        <v>0</v>
      </c>
      <c r="DX69" s="636">
        <f t="shared" ref="DX69:DX132" si="137">IF(DR69&gt;DV69,DR69,0)</f>
        <v>0</v>
      </c>
      <c r="DY69" s="637">
        <f t="shared" ref="DY69:DY132" si="138">IF(DX69&gt;0,DX69-DV69,0)</f>
        <v>0</v>
      </c>
      <c r="DZ69" s="637">
        <f t="shared" ref="DZ69:DZ132" si="139">IF(DX69=0,0,DV69)</f>
        <v>0</v>
      </c>
      <c r="EA69" s="643">
        <f t="shared" ref="EA69:EA132" si="140">DX69/$DX$2*$EA$2</f>
        <v>0</v>
      </c>
      <c r="EB69" s="637">
        <f t="shared" si="50"/>
        <v>0</v>
      </c>
      <c r="EC69" s="637">
        <f t="shared" si="51"/>
        <v>0</v>
      </c>
      <c r="ED69" s="637">
        <f t="shared" si="52"/>
        <v>0</v>
      </c>
      <c r="EE69" s="643">
        <f t="shared" si="53"/>
        <v>0</v>
      </c>
      <c r="EF69" s="637">
        <f t="shared" si="54"/>
        <v>0</v>
      </c>
      <c r="EG69" s="637">
        <f t="shared" si="55"/>
        <v>0</v>
      </c>
      <c r="EH69" s="637">
        <f t="shared" si="56"/>
        <v>0</v>
      </c>
      <c r="EI69" s="643">
        <f t="shared" si="57"/>
        <v>0</v>
      </c>
      <c r="EJ69" s="637">
        <f t="shared" si="58"/>
        <v>0</v>
      </c>
      <c r="EK69" s="637">
        <f t="shared" si="59"/>
        <v>0</v>
      </c>
      <c r="EL69" s="637">
        <f t="shared" si="60"/>
        <v>0</v>
      </c>
      <c r="EM69" s="643">
        <f t="shared" si="61"/>
        <v>0</v>
      </c>
      <c r="EN69" s="637">
        <f t="shared" si="62"/>
        <v>0</v>
      </c>
      <c r="EO69" s="637">
        <f t="shared" si="63"/>
        <v>0</v>
      </c>
      <c r="EP69" s="637">
        <f t="shared" si="64"/>
        <v>0</v>
      </c>
      <c r="EQ69" s="643">
        <f t="shared" si="65"/>
        <v>0</v>
      </c>
      <c r="ER69" s="637">
        <f t="shared" si="66"/>
        <v>0</v>
      </c>
      <c r="ES69" s="637">
        <f t="shared" si="67"/>
        <v>0</v>
      </c>
      <c r="ET69" s="637">
        <f t="shared" si="68"/>
        <v>0</v>
      </c>
      <c r="EU69" s="643">
        <f t="shared" ref="EU69:EU132" si="141">$EJ69+$EF69+$EB69+ET69+ER69+EN69</f>
        <v>0</v>
      </c>
      <c r="EV69" s="643">
        <f t="shared" ref="EV69:EV132" si="142">IF(EU69&lt;$DZ69,$DZ69,0)</f>
        <v>0</v>
      </c>
      <c r="EX69" s="829">
        <f t="shared" ref="EX69:EX132" si="143">IF(EU69=0,0,DR69-EU69)</f>
        <v>0</v>
      </c>
      <c r="EY69" s="638">
        <f t="shared" ref="EY69:EY132" si="144">IF(EU69=0,DR69,EU69)</f>
        <v>0</v>
      </c>
      <c r="FC69" s="830" t="str">
        <f t="shared" si="69"/>
        <v>N</v>
      </c>
      <c r="FE69" s="830" t="str">
        <f>IFERROR(VLOOKUP($B69,'Historical Conc Grant Elig'!$B$3:$J$707,'HH &amp; SI'!FE$2,0),"N")</f>
        <v>N</v>
      </c>
      <c r="FF69" s="830" t="str">
        <f>IFERROR(VLOOKUP($B69,'Historical Conc Grant Elig'!$B$3:$J$707,'HH &amp; SI'!FF$2,0),"N")</f>
        <v>N</v>
      </c>
      <c r="FG69" s="830" t="str">
        <f>IFERROR(VLOOKUP($B69,'Historical Conc Grant Elig'!$B$3:$J$707,'HH &amp; SI'!FG$2,0),"N")</f>
        <v>N</v>
      </c>
      <c r="FH69" s="830" t="str">
        <f>IFERROR(VLOOKUP($B69,'Historical Conc Grant Elig'!$B$3:$J$707,'HH &amp; SI'!FH$2,0),"N")</f>
        <v>N</v>
      </c>
      <c r="FI69" s="830" t="str">
        <f>IFERROR(VLOOKUP($B69,'Historical Conc Grant Elig'!$B$3:$J$707,'HH &amp; SI'!FI$2,0),"N")</f>
        <v>N</v>
      </c>
      <c r="FJ69" s="830" t="str">
        <f>IFERROR(VLOOKUP($B69,'Historical Conc Grant Elig'!$B$3:$J$707,'HH &amp; SI'!FJ$2,0),"N")</f>
        <v>N</v>
      </c>
      <c r="FK69" s="830" t="str">
        <f>IFERROR(VLOOKUP($B69,'Historical Conc Grant Elig'!$B$3:$J$707,'HH &amp; SI'!FK$2,0),"N")</f>
        <v>N</v>
      </c>
      <c r="FL69" s="957" t="str">
        <f>IFERROR(VLOOKUP($B69,'Historical Conc Grant Elig'!$B$3:$J$707,'HH &amp; SI'!FL$2,0),"N")</f>
        <v>N</v>
      </c>
    </row>
    <row r="70" spans="2:168" x14ac:dyDescent="0.25">
      <c r="B70" s="634">
        <v>50316000</v>
      </c>
      <c r="C70" s="635" t="str">
        <f>VLOOKUP($B70,'Afton Update'!$A$5:$CR$582,'Afton Update'!D$589,0)</f>
        <v>Bonita Elementary District</v>
      </c>
      <c r="D70" s="636">
        <f>IFERROR(VLOOKUP($B70,'Afton FY16 Final'!$A$5:$BV$587,'Afton FY16 Final'!AQ$587,0),0)</f>
        <v>7381.580256893978</v>
      </c>
      <c r="E70" s="637">
        <f>IFERROR(VLOOKUP($B70,'Afton FY16 Final'!$A$5:$BV$587,'Afton FY16 Final'!AR$587,0),0)</f>
        <v>1720.508686923406</v>
      </c>
      <c r="F70" s="637">
        <f>IFERROR(VLOOKUP($B70,'Afton FY16 Final'!$A$5:$BV$587,'Afton FY16 Final'!AS$587,0),0)</f>
        <v>3138.2816055219669</v>
      </c>
      <c r="G70" s="637">
        <f>IFERROR(VLOOKUP($B70,'Afton FY16 Final'!$A$5:$BV$587,'Afton FY16 Final'!AT$587,0),0)</f>
        <v>2242.8088817681373</v>
      </c>
      <c r="H70" s="638">
        <f>IFERROR(VLOOKUP($B70,'Afton FY16 Final'!$A$5:$BV$587,'Afton FY16 Final'!AU$587,0),0)</f>
        <v>14483.179431107488</v>
      </c>
      <c r="I70" s="639" t="str">
        <f>VLOOKUP($B70,'Afton Update'!$A$5:$CR$582,'Afton Update'!BT$589,0)</f>
        <v>N</v>
      </c>
      <c r="J70" s="640" t="str">
        <f>VLOOKUP($B70,'Afton Update'!$A$5:$CR$582,'Afton Update'!BU$589,0)</f>
        <v>N</v>
      </c>
      <c r="K70" s="640" t="str">
        <f>VLOOKUP($B70,'Afton Update'!$A$5:$CR$582,'Afton Update'!BV$589,0)</f>
        <v>N</v>
      </c>
      <c r="L70" s="641" t="str">
        <f>VLOOKUP($B70,'Afton Update'!$A$5:$CR$582,'Afton Update'!BW$589,0)</f>
        <v>N</v>
      </c>
      <c r="N70" s="642">
        <f>VLOOKUP($B70,'Afton Update'!$A$5:$CR$582,'Afton Update'!CB$589,0)</f>
        <v>0.85</v>
      </c>
      <c r="P70" s="636" t="str">
        <f>VLOOKUP($B70,'Afton Update'!$A$5:$CR$582,'Afton Update'!AH$589,0)</f>
        <v/>
      </c>
      <c r="Q70" s="637" t="str">
        <f>VLOOKUP($B70,'Afton Update'!$A$5:$CR$582,'Afton Update'!AI$589,0)</f>
        <v/>
      </c>
      <c r="R70" s="637" t="str">
        <f>VLOOKUP($B70,'Afton Update'!$A$5:$CR$582,'Afton Update'!AJ$589,0)</f>
        <v/>
      </c>
      <c r="S70" s="637" t="str">
        <f>VLOOKUP($B70,'Afton Update'!$A$5:$CR$582,'Afton Update'!AK$589,0)</f>
        <v/>
      </c>
      <c r="T70" s="643">
        <f t="shared" ref="T70:T133" si="145">SUM(P70:S70)</f>
        <v>0</v>
      </c>
      <c r="V70" s="636">
        <f t="shared" si="70"/>
        <v>0</v>
      </c>
      <c r="W70" s="637">
        <f t="shared" si="71"/>
        <v>1462.432383884895</v>
      </c>
      <c r="X70" s="637">
        <f t="shared" si="72"/>
        <v>0</v>
      </c>
      <c r="Y70" s="637">
        <f t="shared" si="73"/>
        <v>0</v>
      </c>
      <c r="Z70" s="643">
        <f t="shared" si="74"/>
        <v>1462.432383884895</v>
      </c>
      <c r="AB70" s="644">
        <f t="shared" ref="AB70:AB133" si="146">IF(P70="",0,P70)</f>
        <v>0</v>
      </c>
      <c r="AC70" s="645">
        <f t="shared" si="134"/>
        <v>0</v>
      </c>
      <c r="AD70" s="644">
        <f t="shared" si="75"/>
        <v>0</v>
      </c>
      <c r="AE70" s="645">
        <f t="shared" si="76"/>
        <v>0</v>
      </c>
      <c r="AF70" s="646">
        <f t="shared" si="77"/>
        <v>0</v>
      </c>
      <c r="AG70" s="647">
        <f t="shared" si="78"/>
        <v>0</v>
      </c>
      <c r="AH70" s="644">
        <f t="shared" ref="AH70:AH133" si="147">IF(AG70-AC70&lt;0,AG70-AC70,0)</f>
        <v>0</v>
      </c>
      <c r="AI70" s="645">
        <f t="shared" ref="AI70:AI133" si="148">IF(AND(AH70=0,AD70=0),AG70,0)</f>
        <v>0</v>
      </c>
      <c r="AJ70" s="646">
        <f t="shared" si="79"/>
        <v>0</v>
      </c>
      <c r="AK70" s="647">
        <f t="shared" ref="AK70:AK133" si="149">AG70-AH70+AJ70</f>
        <v>0</v>
      </c>
      <c r="AL70" s="644">
        <f t="shared" si="80"/>
        <v>0</v>
      </c>
      <c r="AM70" s="645">
        <f t="shared" si="81"/>
        <v>0</v>
      </c>
      <c r="AN70" s="646">
        <f t="shared" si="82"/>
        <v>0</v>
      </c>
      <c r="AO70" s="647">
        <f t="shared" ref="AO70:AO133" si="150">AK70-AL70+AN70</f>
        <v>0</v>
      </c>
      <c r="AP70" s="644">
        <f t="shared" si="83"/>
        <v>0</v>
      </c>
      <c r="AQ70" s="645">
        <f t="shared" si="84"/>
        <v>0</v>
      </c>
      <c r="AR70" s="646">
        <f t="shared" si="85"/>
        <v>0</v>
      </c>
      <c r="AS70" s="647">
        <f t="shared" ref="AS70:AS133" si="151">AO70-AP70+AR70</f>
        <v>0</v>
      </c>
      <c r="AT70" s="644">
        <f t="shared" si="86"/>
        <v>0</v>
      </c>
      <c r="AU70" s="645">
        <f t="shared" si="87"/>
        <v>0</v>
      </c>
      <c r="AV70" s="646">
        <f t="shared" si="88"/>
        <v>0</v>
      </c>
      <c r="AW70" s="647">
        <f t="shared" ref="AW70:AW133" si="152">AS70-AT70+AV70</f>
        <v>0</v>
      </c>
      <c r="AY70" s="644">
        <f t="shared" si="89"/>
        <v>0</v>
      </c>
      <c r="AZ70" s="645">
        <f t="shared" ref="AZ70:AZ133" si="153">IF(AND($J70="N",FC70="N"),0,E70*$N70)</f>
        <v>1462.432383884895</v>
      </c>
      <c r="BA70" s="644">
        <f t="shared" si="90"/>
        <v>0</v>
      </c>
      <c r="BB70" s="645">
        <f t="shared" si="91"/>
        <v>0</v>
      </c>
      <c r="BC70" s="646">
        <f t="shared" si="92"/>
        <v>0</v>
      </c>
      <c r="BD70" s="647">
        <f t="shared" si="93"/>
        <v>0</v>
      </c>
      <c r="BE70" s="644">
        <f t="shared" ref="BE70:BE133" si="154">IF(BD70-AZ70&lt;0,BD70-AZ70,0)</f>
        <v>-1462.432383884895</v>
      </c>
      <c r="BF70" s="645">
        <f t="shared" ref="BF70:BF133" si="155">IF(AND(BE70=0,BA70=0),BD70,0)</f>
        <v>0</v>
      </c>
      <c r="BG70" s="646">
        <f t="shared" si="94"/>
        <v>0</v>
      </c>
      <c r="BH70" s="647">
        <f t="shared" ref="BH70:BH133" si="156">BD70-BE70+BG70</f>
        <v>1462.432383884895</v>
      </c>
      <c r="BI70" s="644">
        <f t="shared" si="95"/>
        <v>0</v>
      </c>
      <c r="BJ70" s="645">
        <f t="shared" si="96"/>
        <v>0</v>
      </c>
      <c r="BK70" s="646">
        <f t="shared" si="97"/>
        <v>0</v>
      </c>
      <c r="BL70" s="647">
        <f t="shared" ref="BL70:BL133" si="157">BH70-BI70+BK70</f>
        <v>1462.432383884895</v>
      </c>
      <c r="BM70" s="644">
        <f t="shared" si="98"/>
        <v>0</v>
      </c>
      <c r="BN70" s="645">
        <f t="shared" si="99"/>
        <v>0</v>
      </c>
      <c r="BO70" s="646">
        <f t="shared" si="100"/>
        <v>0</v>
      </c>
      <c r="BP70" s="647">
        <f t="shared" ref="BP70:BP133" si="158">BL70-BM70+BO70</f>
        <v>1462.432383884895</v>
      </c>
      <c r="BQ70" s="644">
        <f t="shared" si="101"/>
        <v>0</v>
      </c>
      <c r="BR70" s="645">
        <f t="shared" si="102"/>
        <v>0</v>
      </c>
      <c r="BS70" s="646">
        <f t="shared" si="103"/>
        <v>0</v>
      </c>
      <c r="BT70" s="647">
        <f t="shared" ref="BT70:BT133" si="159">BP70-BQ70+BS70</f>
        <v>1462.432383884895</v>
      </c>
      <c r="BU70" s="662">
        <f>VLOOKUP(B70,'Afton Update'!$A$5:$AR$582,'Afton Update'!$AO$589,0)-BT70</f>
        <v>0</v>
      </c>
      <c r="BV70" s="644">
        <f t="shared" si="104"/>
        <v>0</v>
      </c>
      <c r="BW70" s="645">
        <f t="shared" si="135"/>
        <v>0</v>
      </c>
      <c r="BX70" s="644">
        <f t="shared" si="105"/>
        <v>0</v>
      </c>
      <c r="BY70" s="645">
        <f t="shared" si="106"/>
        <v>0</v>
      </c>
      <c r="BZ70" s="646">
        <f t="shared" si="107"/>
        <v>0</v>
      </c>
      <c r="CA70" s="647">
        <f t="shared" si="108"/>
        <v>0</v>
      </c>
      <c r="CB70" s="644">
        <f t="shared" ref="CB70:CB133" si="160">IF(CA70-BW70&lt;0,CA70-BW70,0)</f>
        <v>0</v>
      </c>
      <c r="CC70" s="645">
        <f t="shared" ref="CC70:CC133" si="161">IF(AND(CB70=0,BX70=0),CA70,0)</f>
        <v>0</v>
      </c>
      <c r="CD70" s="646">
        <f t="shared" si="109"/>
        <v>0</v>
      </c>
      <c r="CE70" s="647">
        <f t="shared" ref="CE70:CE133" si="162">CA70-CB70+CD70</f>
        <v>0</v>
      </c>
      <c r="CF70" s="644">
        <f t="shared" si="110"/>
        <v>0</v>
      </c>
      <c r="CG70" s="645">
        <f t="shared" si="111"/>
        <v>0</v>
      </c>
      <c r="CH70" s="646">
        <f t="shared" si="112"/>
        <v>0</v>
      </c>
      <c r="CI70" s="647">
        <f t="shared" ref="CI70:CI133" si="163">CE70-CF70+CH70</f>
        <v>0</v>
      </c>
      <c r="CJ70" s="644">
        <f t="shared" si="113"/>
        <v>0</v>
      </c>
      <c r="CK70" s="645">
        <f t="shared" si="114"/>
        <v>0</v>
      </c>
      <c r="CL70" s="646">
        <f t="shared" si="115"/>
        <v>0</v>
      </c>
      <c r="CM70" s="647">
        <f t="shared" ref="CM70:CM133" si="164">CI70-CJ70+CL70</f>
        <v>0</v>
      </c>
      <c r="CN70" s="644">
        <f t="shared" si="116"/>
        <v>0</v>
      </c>
      <c r="CO70" s="645">
        <f t="shared" si="117"/>
        <v>0</v>
      </c>
      <c r="CP70" s="646">
        <f t="shared" si="118"/>
        <v>0</v>
      </c>
      <c r="CQ70" s="647">
        <f t="shared" ref="CQ70:CQ133" si="165">CM70-CN70+CP70</f>
        <v>0</v>
      </c>
      <c r="CS70" s="644">
        <f t="shared" si="119"/>
        <v>0</v>
      </c>
      <c r="CT70" s="645">
        <f t="shared" si="136"/>
        <v>0</v>
      </c>
      <c r="CU70" s="644">
        <f t="shared" si="120"/>
        <v>0</v>
      </c>
      <c r="CV70" s="645">
        <f t="shared" si="121"/>
        <v>0</v>
      </c>
      <c r="CW70" s="646">
        <f t="shared" si="122"/>
        <v>0</v>
      </c>
      <c r="CX70" s="647">
        <f t="shared" si="123"/>
        <v>0</v>
      </c>
      <c r="CY70" s="644">
        <f t="shared" ref="CY70:CY133" si="166">IF(CX70-CT70&lt;0,CX70-CT70,0)</f>
        <v>0</v>
      </c>
      <c r="CZ70" s="645">
        <f t="shared" ref="CZ70:CZ133" si="167">IF(AND(CY70=0,CU70=0),CX70,0)</f>
        <v>0</v>
      </c>
      <c r="DA70" s="646">
        <f t="shared" si="124"/>
        <v>0</v>
      </c>
      <c r="DB70" s="647">
        <f t="shared" ref="DB70:DB133" si="168">CX70-CY70+DA70</f>
        <v>0</v>
      </c>
      <c r="DC70" s="644">
        <f t="shared" si="125"/>
        <v>0</v>
      </c>
      <c r="DD70" s="645">
        <f t="shared" si="126"/>
        <v>0</v>
      </c>
      <c r="DE70" s="646">
        <f t="shared" si="127"/>
        <v>0</v>
      </c>
      <c r="DF70" s="647">
        <f t="shared" ref="DF70:DF133" si="169">DB70-DC70+DE70</f>
        <v>0</v>
      </c>
      <c r="DG70" s="644">
        <f t="shared" si="128"/>
        <v>0</v>
      </c>
      <c r="DH70" s="645">
        <f t="shared" si="129"/>
        <v>0</v>
      </c>
      <c r="DI70" s="646">
        <f t="shared" si="130"/>
        <v>0</v>
      </c>
      <c r="DJ70" s="647">
        <f t="shared" ref="DJ70:DJ133" si="170">DF70-DG70+DI70</f>
        <v>0</v>
      </c>
      <c r="DK70" s="644">
        <f t="shared" si="131"/>
        <v>0</v>
      </c>
      <c r="DL70" s="645">
        <f t="shared" si="132"/>
        <v>0</v>
      </c>
      <c r="DM70" s="646">
        <f t="shared" si="133"/>
        <v>0</v>
      </c>
      <c r="DN70" s="647">
        <f t="shared" ref="DN70:DN133" si="171">DJ70-DK70+DM70</f>
        <v>0</v>
      </c>
      <c r="DR70" s="827">
        <f t="shared" ref="DR70:DR133" si="172">Z70</f>
        <v>1462.432383884895</v>
      </c>
      <c r="DV70" s="828">
        <f>IFERROR(VLOOKUP($B70,'Afton FY16 Final'!$A$5:$BV$587,'Afton FY16 Final'!$BV$587,0),0)</f>
        <v>12858.606687767624</v>
      </c>
      <c r="DX70" s="636">
        <f t="shared" si="137"/>
        <v>0</v>
      </c>
      <c r="DY70" s="637">
        <f t="shared" si="138"/>
        <v>0</v>
      </c>
      <c r="DZ70" s="637">
        <f t="shared" si="139"/>
        <v>0</v>
      </c>
      <c r="EA70" s="643">
        <f t="shared" si="140"/>
        <v>0</v>
      </c>
      <c r="EB70" s="637">
        <f t="shared" ref="EB70:EB133" si="173">IF(EA70&lt;$DZ70,$DZ70,0)</f>
        <v>0</v>
      </c>
      <c r="EC70" s="637">
        <f t="shared" ref="EC70:EC133" si="174">IF(EB70=0,EA70,0)</f>
        <v>0</v>
      </c>
      <c r="ED70" s="637">
        <f t="shared" ref="ED70:ED133" si="175">EC70/EC$2*ED$2</f>
        <v>0</v>
      </c>
      <c r="EE70" s="643">
        <f t="shared" ref="EE70:EE133" si="176">ED70+EB70</f>
        <v>0</v>
      </c>
      <c r="EF70" s="637">
        <f t="shared" ref="EF70:EF133" si="177">IF(EE70&lt;$DZ70,$DZ70,0)</f>
        <v>0</v>
      </c>
      <c r="EG70" s="637">
        <f t="shared" ref="EG70:EG133" si="178">IF(EB70+EF70=0,EE70,0)</f>
        <v>0</v>
      </c>
      <c r="EH70" s="637">
        <f t="shared" ref="EH70:EH133" si="179">EG70/EG$2*EH$2</f>
        <v>0</v>
      </c>
      <c r="EI70" s="643">
        <f t="shared" ref="EI70:EI133" si="180">EH70+EF70+EB70</f>
        <v>0</v>
      </c>
      <c r="EJ70" s="637">
        <f t="shared" ref="EJ70:EJ133" si="181">IF(EI70&lt;$DZ70,$DZ70,0)</f>
        <v>0</v>
      </c>
      <c r="EK70" s="637">
        <f t="shared" ref="EK70:EK133" si="182">IF($EB70+$EF70+$EJ70=0,EI70,0)</f>
        <v>0</v>
      </c>
      <c r="EL70" s="637">
        <f t="shared" ref="EL70:EL133" si="183">EK70/EK$2*EL$2</f>
        <v>0</v>
      </c>
      <c r="EM70" s="643">
        <f t="shared" ref="EM70:EM133" si="184">$EJ70+$EF70+$EB70+EL70</f>
        <v>0</v>
      </c>
      <c r="EN70" s="637">
        <f t="shared" ref="EN70:EN133" si="185">IF(EM70&lt;$DZ70,$DZ70,0)</f>
        <v>0</v>
      </c>
      <c r="EO70" s="637">
        <f t="shared" ref="EO70:EO133" si="186">IF($EB70+$EF70+$EJ70+EN70=0,EM70,0)</f>
        <v>0</v>
      </c>
      <c r="EP70" s="637">
        <f t="shared" ref="EP70:EP133" si="187">EO70/EO$2*EP$2</f>
        <v>0</v>
      </c>
      <c r="EQ70" s="643">
        <f t="shared" ref="EQ70:EQ133" si="188">$EJ70+$EF70+$EB70+EP70+EN70</f>
        <v>0</v>
      </c>
      <c r="ER70" s="637">
        <f t="shared" ref="ER70:ER133" si="189">IF(EQ70&lt;$DZ70,$DZ70,0)</f>
        <v>0</v>
      </c>
      <c r="ES70" s="637">
        <f t="shared" ref="ES70:ES133" si="190">IF($EB70+$EF70+$EJ70+EN70+ER70=0,EQ70,0)</f>
        <v>0</v>
      </c>
      <c r="ET70" s="637">
        <f t="shared" ref="ET70:ET133" si="191">ES70/ES$2*ET$2</f>
        <v>0</v>
      </c>
      <c r="EU70" s="643">
        <f t="shared" si="141"/>
        <v>0</v>
      </c>
      <c r="EV70" s="643">
        <f t="shared" si="142"/>
        <v>0</v>
      </c>
      <c r="EX70" s="829">
        <f t="shared" si="143"/>
        <v>0</v>
      </c>
      <c r="EY70" s="638">
        <f t="shared" si="144"/>
        <v>1462.432383884895</v>
      </c>
      <c r="FC70" s="830" t="str">
        <f t="shared" ref="FC70:FC133" si="192">IF(OR(FH70="y",FI70="y",FJ70="y",FK70="y"),"Y","N")</f>
        <v>Y</v>
      </c>
      <c r="FE70" s="830" t="str">
        <f>IFERROR(VLOOKUP($B70,'Historical Conc Grant Elig'!$B$3:$J$707,'HH &amp; SI'!FE$2,0),"N")</f>
        <v>N</v>
      </c>
      <c r="FF70" s="830" t="str">
        <f>IFERROR(VLOOKUP($B70,'Historical Conc Grant Elig'!$B$3:$J$707,'HH &amp; SI'!FF$2,0),"N")</f>
        <v>N</v>
      </c>
      <c r="FG70" s="830" t="str">
        <f>IFERROR(VLOOKUP($B70,'Historical Conc Grant Elig'!$B$3:$J$707,'HH &amp; SI'!FG$2,0),"N")</f>
        <v>N</v>
      </c>
      <c r="FH70" s="830" t="str">
        <f>IFERROR(VLOOKUP($B70,'Historical Conc Grant Elig'!$B$3:$J$707,'HH &amp; SI'!FH$2,0),"N")</f>
        <v>N</v>
      </c>
      <c r="FI70" s="830" t="str">
        <f>IFERROR(VLOOKUP($B70,'Historical Conc Grant Elig'!$B$3:$J$707,'HH &amp; SI'!FI$2,0),"N")</f>
        <v>N</v>
      </c>
      <c r="FJ70" s="830" t="str">
        <f>IFERROR(VLOOKUP($B70,'Historical Conc Grant Elig'!$B$3:$J$707,'HH &amp; SI'!FJ$2,0),"N")</f>
        <v>N</v>
      </c>
      <c r="FK70" s="830" t="str">
        <f>IFERROR(VLOOKUP($B70,'Historical Conc Grant Elig'!$B$3:$J$707,'HH &amp; SI'!FK$2,0),"N")</f>
        <v>Y</v>
      </c>
      <c r="FL70" s="957" t="str">
        <f>IFERROR(VLOOKUP($B70,'Historical Conc Grant Elig'!$B$3:$J$707,'HH &amp; SI'!FL$2,0),"N")</f>
        <v>N</v>
      </c>
    </row>
    <row r="71" spans="2:168" x14ac:dyDescent="0.25">
      <c r="B71" s="634">
        <v>58703000</v>
      </c>
      <c r="C71" s="635" t="str">
        <f>VLOOKUP($B71,'Afton Update'!$A$5:$CR$582,'Afton Update'!D$589,0)</f>
        <v>Discovery Plus Academy</v>
      </c>
      <c r="D71" s="636">
        <f>IFERROR(VLOOKUP($B71,'Afton FY16 Final'!$A$5:$BV$587,'Afton FY16 Final'!AQ$587,0),0)</f>
        <v>19953.125240212445</v>
      </c>
      <c r="E71" s="637">
        <f>IFERROR(VLOOKUP($B71,'Afton FY16 Final'!$A$5:$BV$587,'Afton FY16 Final'!AR$587,0),0)</f>
        <v>4728.1165225796231</v>
      </c>
      <c r="F71" s="637">
        <f>IFERROR(VLOOKUP($B71,'Afton FY16 Final'!$A$5:$BV$587,'Afton FY16 Final'!AS$587,0),0)</f>
        <v>8441.8104675222785</v>
      </c>
      <c r="G71" s="637">
        <f>IFERROR(VLOOKUP($B71,'Afton FY16 Final'!$A$5:$BV$587,'Afton FY16 Final'!AT$587,0),0)</f>
        <v>7371.5637051801277</v>
      </c>
      <c r="H71" s="638">
        <f>IFERROR(VLOOKUP($B71,'Afton FY16 Final'!$A$5:$BV$587,'Afton FY16 Final'!AU$587,0),0)</f>
        <v>40494.615935494468</v>
      </c>
      <c r="I71" s="639" t="str">
        <f>VLOOKUP($B71,'Afton Update'!$A$5:$CR$582,'Afton Update'!BT$589,0)</f>
        <v>Y</v>
      </c>
      <c r="J71" s="640" t="str">
        <f>VLOOKUP($B71,'Afton Update'!$A$5:$CR$582,'Afton Update'!BU$589,0)</f>
        <v>Y</v>
      </c>
      <c r="K71" s="640" t="str">
        <f>VLOOKUP($B71,'Afton Update'!$A$5:$CR$582,'Afton Update'!BV$589,0)</f>
        <v>Y</v>
      </c>
      <c r="L71" s="641" t="str">
        <f>VLOOKUP($B71,'Afton Update'!$A$5:$CR$582,'Afton Update'!BW$589,0)</f>
        <v>Y</v>
      </c>
      <c r="N71" s="642">
        <f>VLOOKUP($B71,'Afton Update'!$A$5:$CR$582,'Afton Update'!CB$589,0)</f>
        <v>0.9</v>
      </c>
      <c r="P71" s="636">
        <f>VLOOKUP($B71,'Afton Update'!$A$5:$CR$582,'Afton Update'!AH$589,0)</f>
        <v>16248.823950693719</v>
      </c>
      <c r="Q71" s="637">
        <f>VLOOKUP($B71,'Afton Update'!$A$5:$CR$582,'Afton Update'!AI$589,0)</f>
        <v>8407.955965556881</v>
      </c>
      <c r="R71" s="637">
        <f>VLOOKUP($B71,'Afton Update'!$A$5:$CR$582,'Afton Update'!AJ$589,0)</f>
        <v>6937.116075936884</v>
      </c>
      <c r="S71" s="637">
        <f>VLOOKUP($B71,'Afton Update'!$A$5:$CR$582,'Afton Update'!AK$589,0)</f>
        <v>6300.0006621630264</v>
      </c>
      <c r="T71" s="643">
        <f t="shared" si="145"/>
        <v>37893.896654350508</v>
      </c>
      <c r="V71" s="636">
        <f t="shared" ref="V71:V134" si="193">AW71</f>
        <v>17957.812716191202</v>
      </c>
      <c r="W71" s="637">
        <f t="shared" ref="W71:W134" si="194">BT71</f>
        <v>8131.0286363393916</v>
      </c>
      <c r="X71" s="637">
        <f t="shared" ref="X71:X134" si="195">CQ71</f>
        <v>7597.6294207700512</v>
      </c>
      <c r="Y71" s="637">
        <f t="shared" ref="Y71:Y134" si="196">DN71</f>
        <v>6634.4073346621153</v>
      </c>
      <c r="Z71" s="643">
        <f t="shared" ref="Z71:Z134" si="197">SUM(V71:Y71)</f>
        <v>40320.878107962759</v>
      </c>
      <c r="AB71" s="644">
        <f t="shared" si="146"/>
        <v>16248.823950693719</v>
      </c>
      <c r="AC71" s="645">
        <f t="shared" si="134"/>
        <v>17957.812716191202</v>
      </c>
      <c r="AD71" s="644">
        <f t="shared" ref="AD71:AD134" si="198">IF($I71="N",0,MAX(AC71-AB71,0))</f>
        <v>1708.9887654974827</v>
      </c>
      <c r="AE71" s="645">
        <f t="shared" ref="AE71:AE134" si="199">IF(AD71=0,AB71,0)</f>
        <v>0</v>
      </c>
      <c r="AF71" s="646">
        <f t="shared" ref="AF71:AF134" si="200">-IF(AD71=0,((AE71/AE$2)*AD$2),0)</f>
        <v>0</v>
      </c>
      <c r="AG71" s="647">
        <f t="shared" ref="AG71:AG134" si="201">IF(AD71=0,AE71+AF71,AD71+AB71)</f>
        <v>17957.812716191202</v>
      </c>
      <c r="AH71" s="644">
        <f t="shared" si="147"/>
        <v>0</v>
      </c>
      <c r="AI71" s="645">
        <f t="shared" si="148"/>
        <v>0</v>
      </c>
      <c r="AJ71" s="646">
        <f t="shared" ref="AJ71:AJ134" si="202">IF(AND(AH71=0,AD71=0),((AI71/AI$2))*AH$2,0)</f>
        <v>0</v>
      </c>
      <c r="AK71" s="647">
        <f t="shared" si="149"/>
        <v>17957.812716191202</v>
      </c>
      <c r="AL71" s="644">
        <f t="shared" ref="AL71:AL134" si="203">IF(AK71-AC71&lt;0,AK71-AC71,0)</f>
        <v>0</v>
      </c>
      <c r="AM71" s="645">
        <f t="shared" ref="AM71:AM134" si="204">IF(AND(AH71=0,AD71=0,AL71=0),AK71,0)</f>
        <v>0</v>
      </c>
      <c r="AN71" s="646">
        <f t="shared" ref="AN71:AN134" si="205">IF(AND(AL71=0,AH71=0,AD71=0),((AM71/AM$2))*AL$2,0)</f>
        <v>0</v>
      </c>
      <c r="AO71" s="647">
        <f t="shared" si="150"/>
        <v>17957.812716191202</v>
      </c>
      <c r="AP71" s="644">
        <f t="shared" ref="AP71:AP134" si="206">IF(AO71-AC71&lt;0,AO71-AC71,0)</f>
        <v>0</v>
      </c>
      <c r="AQ71" s="645">
        <f t="shared" ref="AQ71:AQ134" si="207">IF(AND(AH71=0,AD71=0,AL71=0,AP71=0),AO71,0)</f>
        <v>0</v>
      </c>
      <c r="AR71" s="646">
        <f t="shared" ref="AR71:AR134" si="208">IF(AND(AP71=0,AL71=0,AH71=0,AD71=0),((AQ71/AQ$2))*AP$2,0)</f>
        <v>0</v>
      </c>
      <c r="AS71" s="647">
        <f t="shared" si="151"/>
        <v>17957.812716191202</v>
      </c>
      <c r="AT71" s="644">
        <f t="shared" ref="AT71:AT134" si="209">IF(AS71-AC71&lt;0,AS71-AC71,0)</f>
        <v>0</v>
      </c>
      <c r="AU71" s="645">
        <f t="shared" ref="AU71:AU134" si="210">IF(AND(AP71=0,AL71=0,AT71=0,AD71=0,AH71=0),AS71,0)</f>
        <v>0</v>
      </c>
      <c r="AV71" s="646">
        <f t="shared" ref="AV71:AV134" si="211">IF(AND(AT71=0,AP71=0,AL71=0),((AU71/AU$2))*AT$2,0)</f>
        <v>0</v>
      </c>
      <c r="AW71" s="647">
        <f t="shared" si="152"/>
        <v>17957.812716191202</v>
      </c>
      <c r="AY71" s="644">
        <f t="shared" ref="AY71:AY134" si="212">IF(Q71="",0,Q71)</f>
        <v>8407.955965556881</v>
      </c>
      <c r="AZ71" s="645">
        <f t="shared" si="153"/>
        <v>4255.3048703216609</v>
      </c>
      <c r="BA71" s="644">
        <f t="shared" ref="BA71:BA134" si="213">IF($J71="N",0,MAX(AZ71-AY71,0))</f>
        <v>0</v>
      </c>
      <c r="BB71" s="645">
        <f t="shared" ref="BB71:BB134" si="214">IF(BA71=0,AY71,0)</f>
        <v>8407.955965556881</v>
      </c>
      <c r="BC71" s="646">
        <f t="shared" ref="BC71:BC134" si="215">-IF(BA71=0,((BB71/BB$2)*BA$2),0)</f>
        <v>-60.464061682661935</v>
      </c>
      <c r="BD71" s="647">
        <f t="shared" ref="BD71:BD134" si="216">IF(BA71=0,BB71+BC71,BA71+AY71)</f>
        <v>8347.4919038742191</v>
      </c>
      <c r="BE71" s="644">
        <f t="shared" si="154"/>
        <v>0</v>
      </c>
      <c r="BF71" s="645">
        <f t="shared" si="155"/>
        <v>8347.4919038742191</v>
      </c>
      <c r="BG71" s="646">
        <f t="shared" ref="BG71:BG134" si="217">IF(AND(BE71=0,BA71=0),((BF71/BF$2))*BE$2,0)</f>
        <v>-198.83045443515741</v>
      </c>
      <c r="BH71" s="647">
        <f t="shared" si="156"/>
        <v>8148.6614494390615</v>
      </c>
      <c r="BI71" s="644">
        <f t="shared" ref="BI71:BI134" si="218">IF(BH71-AZ71&lt;0,BH71-AZ71,0)</f>
        <v>0</v>
      </c>
      <c r="BJ71" s="645">
        <f t="shared" ref="BJ71:BJ134" si="219">IF(AND(BE71=0,BA71=0,BI71=0),BH71,0)</f>
        <v>8148.6614494390615</v>
      </c>
      <c r="BK71" s="646">
        <f t="shared" ref="BK71:BK134" si="220">IF(AND(BI71=0,BE71=0,BA71=0),((BJ71/BJ$2))*BI$2,0)</f>
        <v>-17.260778842397944</v>
      </c>
      <c r="BL71" s="647">
        <f t="shared" si="157"/>
        <v>8131.4006705966631</v>
      </c>
      <c r="BM71" s="644">
        <f t="shared" ref="BM71:BM134" si="221">IF(BL71-AZ71&lt;0,BL71-AZ71,0)</f>
        <v>0</v>
      </c>
      <c r="BN71" s="645">
        <f t="shared" ref="BN71:BN134" si="222">IF(AND(BE71=0,BA71=0,BI71=0,BM71=0),BL71,0)</f>
        <v>8131.4006705966631</v>
      </c>
      <c r="BO71" s="646">
        <f t="shared" ref="BO71:BO134" si="223">IF(AND(BM71=0,BI71=0,BE71=0,BA71=0),((BN71/BN$2))*BM$2,0)</f>
        <v>-0.37203425727148992</v>
      </c>
      <c r="BP71" s="647">
        <f t="shared" si="158"/>
        <v>8131.0286363393916</v>
      </c>
      <c r="BQ71" s="644">
        <f t="shared" ref="BQ71:BQ134" si="224">IF(BP71-AZ71&lt;0,BP71-AZ71,0)</f>
        <v>0</v>
      </c>
      <c r="BR71" s="645">
        <f t="shared" ref="BR71:BR134" si="225">IF(AND(BM71=0,BI71=0,BQ71=0,BA71=0,BE71=0),BP71,0)</f>
        <v>8131.0286363393916</v>
      </c>
      <c r="BS71" s="646">
        <f t="shared" ref="BS71:BS134" si="226">IF(AND(BQ71=0,BM71=0,BI71=0),((BR71/BR$2))*BQ$2,0)</f>
        <v>0</v>
      </c>
      <c r="BT71" s="647">
        <f t="shared" si="159"/>
        <v>8131.0286363393916</v>
      </c>
      <c r="BU71" s="662">
        <f>VLOOKUP(B71,'Afton Update'!$A$5:$AR$582,'Afton Update'!$AO$589,0)-BT71</f>
        <v>0</v>
      </c>
      <c r="BV71" s="644">
        <f t="shared" ref="BV71:BV134" si="227">IF(R71="",0,R71)</f>
        <v>6937.116075936884</v>
      </c>
      <c r="BW71" s="645">
        <f t="shared" si="135"/>
        <v>7597.6294207700512</v>
      </c>
      <c r="BX71" s="644">
        <f t="shared" ref="BX71:BX134" si="228">IF($K71="N",0,MAX(BW71-BV71,0))</f>
        <v>660.51334483316714</v>
      </c>
      <c r="BY71" s="645">
        <f t="shared" ref="BY71:BY134" si="229">IF(BX71=0,BV71,0)</f>
        <v>0</v>
      </c>
      <c r="BZ71" s="646">
        <f t="shared" ref="BZ71:BZ134" si="230">-IF(BX71=0,((BY71/BY$2)*BX$2),0)</f>
        <v>0</v>
      </c>
      <c r="CA71" s="647">
        <f t="shared" ref="CA71:CA134" si="231">IF(BX71=0,BY71+BZ71,BX71+BV71)</f>
        <v>7597.6294207700512</v>
      </c>
      <c r="CB71" s="644">
        <f t="shared" si="160"/>
        <v>0</v>
      </c>
      <c r="CC71" s="645">
        <f t="shared" si="161"/>
        <v>0</v>
      </c>
      <c r="CD71" s="646">
        <f t="shared" ref="CD71:CD134" si="232">IF(AND(CB71=0,BX71=0),((CC71/CC$2))*CB$2,0)</f>
        <v>0</v>
      </c>
      <c r="CE71" s="647">
        <f t="shared" si="162"/>
        <v>7597.6294207700512</v>
      </c>
      <c r="CF71" s="644">
        <f t="shared" ref="CF71:CF134" si="233">IF(CE71-BW71&lt;0,CE71-BW71,0)</f>
        <v>0</v>
      </c>
      <c r="CG71" s="645">
        <f t="shared" ref="CG71:CG134" si="234">IF(AND(CB71=0,BX71=0,CF71=0),CE71,0)</f>
        <v>0</v>
      </c>
      <c r="CH71" s="646">
        <f t="shared" ref="CH71:CH134" si="235">IF(AND(CF71=0,CB71=0,BX71=0),((CG71/CG$2))*CF$2,0)</f>
        <v>0</v>
      </c>
      <c r="CI71" s="647">
        <f t="shared" si="163"/>
        <v>7597.6294207700512</v>
      </c>
      <c r="CJ71" s="644">
        <f t="shared" ref="CJ71:CJ134" si="236">IF(CI71-BW71&lt;0,CI71-BW71,0)</f>
        <v>0</v>
      </c>
      <c r="CK71" s="645">
        <f t="shared" ref="CK71:CK134" si="237">IF(AND(CB71=0,BX71=0,CF71=0,CJ71=0),CI71,0)</f>
        <v>0</v>
      </c>
      <c r="CL71" s="646">
        <f t="shared" ref="CL71:CL134" si="238">IF(AND(CJ71=0,CF71=0,CB71=0,BX71=0),((CK71/CK$2))*CJ$2,0)</f>
        <v>0</v>
      </c>
      <c r="CM71" s="647">
        <f t="shared" si="164"/>
        <v>7597.6294207700512</v>
      </c>
      <c r="CN71" s="644">
        <f t="shared" ref="CN71:CN134" si="239">IF(CM71-BW71&lt;0,CM71-BW71,0)</f>
        <v>0</v>
      </c>
      <c r="CO71" s="645">
        <f t="shared" ref="CO71:CO134" si="240">IF(AND(CJ71=0,CF71=0,CN71=0,BX71=0,CB71=0),CM71,0)</f>
        <v>0</v>
      </c>
      <c r="CP71" s="646">
        <f t="shared" ref="CP71:CP134" si="241">IF(AND(CN71=0,CJ71=0,CF71=0),((CO71/CO$2))*CN$2,0)</f>
        <v>0</v>
      </c>
      <c r="CQ71" s="647">
        <f t="shared" si="165"/>
        <v>7597.6294207700512</v>
      </c>
      <c r="CS71" s="644">
        <f t="shared" ref="CS71:CS134" si="242">IF(S71="",0,S71)</f>
        <v>6300.0006621630264</v>
      </c>
      <c r="CT71" s="645">
        <f t="shared" si="136"/>
        <v>6634.4073346621153</v>
      </c>
      <c r="CU71" s="644">
        <f t="shared" ref="CU71:CU134" si="243">IF($L71="N",0,MAX(CT71-CS71,0))</f>
        <v>334.40667249908893</v>
      </c>
      <c r="CV71" s="645">
        <f t="shared" ref="CV71:CV134" si="244">IF(CU71=0,CS71,0)</f>
        <v>0</v>
      </c>
      <c r="CW71" s="646">
        <f t="shared" ref="CW71:CW134" si="245">-IF(CU71=0,((CV71/CV$2)*CU$2),0)</f>
        <v>0</v>
      </c>
      <c r="CX71" s="647">
        <f t="shared" ref="CX71:CX134" si="246">IF(CU71=0,CV71+CW71,CU71+CS71)</f>
        <v>6634.4073346621153</v>
      </c>
      <c r="CY71" s="644">
        <f t="shared" si="166"/>
        <v>0</v>
      </c>
      <c r="CZ71" s="645">
        <f t="shared" si="167"/>
        <v>0</v>
      </c>
      <c r="DA71" s="646">
        <f t="shared" ref="DA71:DA134" si="247">IF(AND(CY71=0,CU71=0),((CZ71/CZ$2))*CY$2,0)</f>
        <v>0</v>
      </c>
      <c r="DB71" s="647">
        <f t="shared" si="168"/>
        <v>6634.4073346621153</v>
      </c>
      <c r="DC71" s="644">
        <f t="shared" ref="DC71:DC134" si="248">IF(DB71-CT71&lt;0,DB71-CT71,0)</f>
        <v>0</v>
      </c>
      <c r="DD71" s="645">
        <f t="shared" ref="DD71:DD134" si="249">IF(AND(CY71=0,CU71=0,DC71=0),DB71,0)</f>
        <v>0</v>
      </c>
      <c r="DE71" s="646">
        <f t="shared" ref="DE71:DE134" si="250">IF(AND(DC71=0,CY71=0,CU71=0),((DD71/DD$2))*DC$2,0)</f>
        <v>0</v>
      </c>
      <c r="DF71" s="647">
        <f t="shared" si="169"/>
        <v>6634.4073346621153</v>
      </c>
      <c r="DG71" s="644">
        <f t="shared" ref="DG71:DG134" si="251">IF(DF71-CT71&lt;0,DF71-CT71,0)</f>
        <v>0</v>
      </c>
      <c r="DH71" s="645">
        <f t="shared" ref="DH71:DH134" si="252">IF(AND(CY71=0,CU71=0,DC71=0,DG71=0),DF71,0)</f>
        <v>0</v>
      </c>
      <c r="DI71" s="646">
        <f t="shared" ref="DI71:DI134" si="253">IF(AND(DG71=0,DC71=0,CY71=0,CU71=0),((DH71/DH$2))*DG$2,0)</f>
        <v>0</v>
      </c>
      <c r="DJ71" s="647">
        <f t="shared" si="170"/>
        <v>6634.4073346621153</v>
      </c>
      <c r="DK71" s="644">
        <f t="shared" ref="DK71:DK134" si="254">IF(DJ71-CT71&lt;0,DJ71-CT71,0)</f>
        <v>0</v>
      </c>
      <c r="DL71" s="645">
        <f t="shared" ref="DL71:DL134" si="255">IF(AND(DG71=0,DC71=0,DK71=0,CU71=0,CY71=0),DJ71,0)</f>
        <v>0</v>
      </c>
      <c r="DM71" s="646">
        <f t="shared" ref="DM71:DM134" si="256">IF(AND(DK71=0,DG71=0,DC71=0),((DL71/DL$2))*DK$2,0)</f>
        <v>0</v>
      </c>
      <c r="DN71" s="647">
        <f t="shared" si="171"/>
        <v>6634.4073346621153</v>
      </c>
      <c r="DR71" s="827">
        <f t="shared" si="172"/>
        <v>40320.878107962759</v>
      </c>
      <c r="DV71" s="828">
        <f>IFERROR(VLOOKUP($B71,'Afton FY16 Final'!$A$5:$BV$587,'Afton FY16 Final'!$BV$587,0),0)</f>
        <v>39697.276954430847</v>
      </c>
      <c r="DX71" s="636">
        <f t="shared" si="137"/>
        <v>40320.878107962759</v>
      </c>
      <c r="DY71" s="637">
        <f t="shared" si="138"/>
        <v>623.60115353191213</v>
      </c>
      <c r="DZ71" s="637">
        <f t="shared" si="139"/>
        <v>39697.276954430847</v>
      </c>
      <c r="EA71" s="643">
        <f t="shared" si="140"/>
        <v>38176.259284866886</v>
      </c>
      <c r="EB71" s="637">
        <f t="shared" si="173"/>
        <v>39697.276954430847</v>
      </c>
      <c r="EC71" s="637">
        <f t="shared" si="174"/>
        <v>0</v>
      </c>
      <c r="ED71" s="637">
        <f t="shared" si="175"/>
        <v>0</v>
      </c>
      <c r="EE71" s="643">
        <f t="shared" si="176"/>
        <v>39697.276954430847</v>
      </c>
      <c r="EF71" s="637">
        <f t="shared" si="177"/>
        <v>0</v>
      </c>
      <c r="EG71" s="637">
        <f t="shared" si="178"/>
        <v>0</v>
      </c>
      <c r="EH71" s="637">
        <f t="shared" si="179"/>
        <v>0</v>
      </c>
      <c r="EI71" s="643">
        <f t="shared" si="180"/>
        <v>39697.276954430847</v>
      </c>
      <c r="EJ71" s="637">
        <f t="shared" si="181"/>
        <v>0</v>
      </c>
      <c r="EK71" s="637">
        <f t="shared" si="182"/>
        <v>0</v>
      </c>
      <c r="EL71" s="637">
        <f t="shared" si="183"/>
        <v>0</v>
      </c>
      <c r="EM71" s="643">
        <f t="shared" si="184"/>
        <v>39697.276954430847</v>
      </c>
      <c r="EN71" s="637">
        <f t="shared" si="185"/>
        <v>0</v>
      </c>
      <c r="EO71" s="637">
        <f t="shared" si="186"/>
        <v>0</v>
      </c>
      <c r="EP71" s="637">
        <f t="shared" si="187"/>
        <v>0</v>
      </c>
      <c r="EQ71" s="643">
        <f t="shared" si="188"/>
        <v>39697.276954430847</v>
      </c>
      <c r="ER71" s="637">
        <f t="shared" si="189"/>
        <v>0</v>
      </c>
      <c r="ES71" s="637">
        <f t="shared" si="190"/>
        <v>0</v>
      </c>
      <c r="ET71" s="637">
        <f t="shared" si="191"/>
        <v>0</v>
      </c>
      <c r="EU71" s="643">
        <f t="shared" si="141"/>
        <v>39697.276954430847</v>
      </c>
      <c r="EV71" s="643">
        <f t="shared" si="142"/>
        <v>0</v>
      </c>
      <c r="EX71" s="829">
        <f t="shared" si="143"/>
        <v>623.60115353191213</v>
      </c>
      <c r="EY71" s="638">
        <f t="shared" si="144"/>
        <v>39697.276954430847</v>
      </c>
      <c r="FC71" s="830" t="str">
        <f t="shared" si="192"/>
        <v>Y</v>
      </c>
      <c r="FE71" s="830" t="str">
        <f>IFERROR(VLOOKUP($B71,'Historical Conc Grant Elig'!$B$3:$J$707,'HH &amp; SI'!FE$2,0),"N")</f>
        <v>Y</v>
      </c>
      <c r="FF71" s="830" t="str">
        <f>IFERROR(VLOOKUP($B71,'Historical Conc Grant Elig'!$B$3:$J$707,'HH &amp; SI'!FF$2,0),"N")</f>
        <v>N</v>
      </c>
      <c r="FG71" s="830" t="str">
        <f>IFERROR(VLOOKUP($B71,'Historical Conc Grant Elig'!$B$3:$J$707,'HH &amp; SI'!FG$2,0),"N")</f>
        <v>Y</v>
      </c>
      <c r="FH71" s="830" t="str">
        <f>IFERROR(VLOOKUP($B71,'Historical Conc Grant Elig'!$B$3:$J$707,'HH &amp; SI'!FH$2,0),"N")</f>
        <v>Y</v>
      </c>
      <c r="FI71" s="830" t="str">
        <f>IFERROR(VLOOKUP($B71,'Historical Conc Grant Elig'!$B$3:$J$707,'HH &amp; SI'!FI$2,0),"N")</f>
        <v>Y</v>
      </c>
      <c r="FJ71" s="830" t="str">
        <f>IFERROR(VLOOKUP($B71,'Historical Conc Grant Elig'!$B$3:$J$707,'HH &amp; SI'!FJ$2,0),"N")</f>
        <v>Y</v>
      </c>
      <c r="FK71" s="830" t="str">
        <f>IFERROR(VLOOKUP($B71,'Historical Conc Grant Elig'!$B$3:$J$707,'HH &amp; SI'!FK$2,0),"N")</f>
        <v>Y</v>
      </c>
      <c r="FL71" s="957" t="str">
        <f>IFERROR(VLOOKUP($B71,'Historical Conc Grant Elig'!$B$3:$J$707,'HH &amp; SI'!FL$2,0),"N")</f>
        <v>Y</v>
      </c>
    </row>
    <row r="72" spans="2:168" x14ac:dyDescent="0.25">
      <c r="B72" s="634">
        <v>60202000</v>
      </c>
      <c r="C72" s="635" t="str">
        <f>VLOOKUP($B72,'Afton Update'!$A$5:$CR$582,'Afton Update'!D$589,0)</f>
        <v>Duncan Unified District</v>
      </c>
      <c r="D72" s="636">
        <f>IFERROR(VLOOKUP($B72,'Afton FY16 Final'!$A$5:$BV$587,'Afton FY16 Final'!AQ$587,0),0)</f>
        <v>47978.838950108606</v>
      </c>
      <c r="E72" s="637">
        <f>IFERROR(VLOOKUP($B72,'Afton FY16 Final'!$A$5:$BV$587,'Afton FY16 Final'!AR$587,0),0)</f>
        <v>26264.112710937472</v>
      </c>
      <c r="F72" s="637">
        <f>IFERROR(VLOOKUP($B72,'Afton FY16 Final'!$A$5:$BV$587,'Afton FY16 Final'!AS$587,0),0)</f>
        <v>15695.258952956774</v>
      </c>
      <c r="G72" s="637">
        <f>IFERROR(VLOOKUP($B72,'Afton FY16 Final'!$A$5:$BV$587,'Afton FY16 Final'!AT$587,0),0)</f>
        <v>13651.442220182109</v>
      </c>
      <c r="H72" s="638">
        <f>IFERROR(VLOOKUP($B72,'Afton FY16 Final'!$A$5:$BV$587,'Afton FY16 Final'!AU$587,0),0)</f>
        <v>103589.65283418496</v>
      </c>
      <c r="I72" s="639" t="str">
        <f>VLOOKUP($B72,'Afton Update'!$A$5:$CR$582,'Afton Update'!BT$589,0)</f>
        <v>Y</v>
      </c>
      <c r="J72" s="640" t="str">
        <f>VLOOKUP($B72,'Afton Update'!$A$5:$CR$582,'Afton Update'!BU$589,0)</f>
        <v>Y</v>
      </c>
      <c r="K72" s="640" t="str">
        <f>VLOOKUP($B72,'Afton Update'!$A$5:$CR$582,'Afton Update'!BV$589,0)</f>
        <v>Y</v>
      </c>
      <c r="L72" s="641" t="str">
        <f>VLOOKUP($B72,'Afton Update'!$A$5:$CR$582,'Afton Update'!BW$589,0)</f>
        <v>Y</v>
      </c>
      <c r="N72" s="642">
        <f>VLOOKUP($B72,'Afton Update'!$A$5:$CR$582,'Afton Update'!CB$589,0)</f>
        <v>0.9</v>
      </c>
      <c r="P72" s="636">
        <f>VLOOKUP($B72,'Afton Update'!$A$5:$CR$582,'Afton Update'!AH$589,0)</f>
        <v>49983.823826172302</v>
      </c>
      <c r="Q72" s="637">
        <f>VLOOKUP($B72,'Afton Update'!$A$5:$CR$582,'Afton Update'!AI$589,0)</f>
        <v>24278.479276927261</v>
      </c>
      <c r="R72" s="637">
        <f>VLOOKUP($B72,'Afton Update'!$A$5:$CR$582,'Afton Update'!AJ$589,0)</f>
        <v>16646.053634999993</v>
      </c>
      <c r="S72" s="637">
        <f>VLOOKUP($B72,'Afton Update'!$A$5:$CR$582,'Afton Update'!AK$589,0)</f>
        <v>12505.561128017558</v>
      </c>
      <c r="T72" s="643">
        <f t="shared" si="145"/>
        <v>103413.91786611712</v>
      </c>
      <c r="V72" s="636">
        <f t="shared" si="193"/>
        <v>49302.012026499498</v>
      </c>
      <c r="W72" s="637">
        <f t="shared" si="194"/>
        <v>23637.701439843724</v>
      </c>
      <c r="X72" s="637">
        <f t="shared" si="195"/>
        <v>16494.664276395572</v>
      </c>
      <c r="Y72" s="637">
        <f t="shared" si="196"/>
        <v>12367.772355546736</v>
      </c>
      <c r="Z72" s="643">
        <f t="shared" si="197"/>
        <v>101802.15009828554</v>
      </c>
      <c r="AB72" s="644">
        <f t="shared" si="146"/>
        <v>49983.823826172302</v>
      </c>
      <c r="AC72" s="645">
        <f t="shared" si="134"/>
        <v>43180.955055097744</v>
      </c>
      <c r="AD72" s="644">
        <f t="shared" si="198"/>
        <v>0</v>
      </c>
      <c r="AE72" s="645">
        <f t="shared" si="199"/>
        <v>49983.823826172302</v>
      </c>
      <c r="AF72" s="646">
        <f t="shared" si="200"/>
        <v>-619.58705816913323</v>
      </c>
      <c r="AG72" s="647">
        <f t="shared" si="201"/>
        <v>49364.236768003168</v>
      </c>
      <c r="AH72" s="644">
        <f t="shared" si="147"/>
        <v>0</v>
      </c>
      <c r="AI72" s="645">
        <f t="shared" si="148"/>
        <v>49364.236768003168</v>
      </c>
      <c r="AJ72" s="646">
        <f t="shared" si="202"/>
        <v>-62.185098311976617</v>
      </c>
      <c r="AK72" s="647">
        <f t="shared" si="149"/>
        <v>49302.051669691195</v>
      </c>
      <c r="AL72" s="644">
        <f t="shared" si="203"/>
        <v>0</v>
      </c>
      <c r="AM72" s="645">
        <f t="shared" si="204"/>
        <v>49302.051669691195</v>
      </c>
      <c r="AN72" s="646">
        <f t="shared" si="205"/>
        <v>-3.9643191693230113E-2</v>
      </c>
      <c r="AO72" s="647">
        <f t="shared" si="150"/>
        <v>49302.012026499498</v>
      </c>
      <c r="AP72" s="644">
        <f t="shared" si="206"/>
        <v>0</v>
      </c>
      <c r="AQ72" s="645">
        <f t="shared" si="207"/>
        <v>49302.012026499498</v>
      </c>
      <c r="AR72" s="646">
        <f t="shared" si="208"/>
        <v>0</v>
      </c>
      <c r="AS72" s="647">
        <f t="shared" si="151"/>
        <v>49302.012026499498</v>
      </c>
      <c r="AT72" s="644">
        <f t="shared" si="209"/>
        <v>0</v>
      </c>
      <c r="AU72" s="645">
        <f t="shared" si="210"/>
        <v>49302.012026499498</v>
      </c>
      <c r="AV72" s="646">
        <f t="shared" si="211"/>
        <v>0</v>
      </c>
      <c r="AW72" s="647">
        <f t="shared" si="152"/>
        <v>49302.012026499498</v>
      </c>
      <c r="AY72" s="644">
        <f t="shared" si="212"/>
        <v>24278.479276927261</v>
      </c>
      <c r="AZ72" s="645">
        <f t="shared" si="153"/>
        <v>23637.701439843724</v>
      </c>
      <c r="BA72" s="644">
        <f t="shared" si="213"/>
        <v>0</v>
      </c>
      <c r="BB72" s="645">
        <f t="shared" si="214"/>
        <v>24278.479276927261</v>
      </c>
      <c r="BC72" s="646">
        <f t="shared" si="215"/>
        <v>-174.5936199683857</v>
      </c>
      <c r="BD72" s="647">
        <f t="shared" si="216"/>
        <v>24103.885656958875</v>
      </c>
      <c r="BE72" s="644">
        <f t="shared" si="154"/>
        <v>0</v>
      </c>
      <c r="BF72" s="645">
        <f t="shared" si="155"/>
        <v>24103.885656958875</v>
      </c>
      <c r="BG72" s="646">
        <f t="shared" si="217"/>
        <v>-574.13491309909284</v>
      </c>
      <c r="BH72" s="647">
        <f t="shared" si="156"/>
        <v>23529.750743859782</v>
      </c>
      <c r="BI72" s="644">
        <f t="shared" si="218"/>
        <v>-107.95069598394184</v>
      </c>
      <c r="BJ72" s="645">
        <f t="shared" si="219"/>
        <v>0</v>
      </c>
      <c r="BK72" s="646">
        <f t="shared" si="220"/>
        <v>0</v>
      </c>
      <c r="BL72" s="647">
        <f t="shared" si="157"/>
        <v>23637.701439843724</v>
      </c>
      <c r="BM72" s="644">
        <f t="shared" si="221"/>
        <v>0</v>
      </c>
      <c r="BN72" s="645">
        <f t="shared" si="222"/>
        <v>0</v>
      </c>
      <c r="BO72" s="646">
        <f t="shared" si="223"/>
        <v>0</v>
      </c>
      <c r="BP72" s="647">
        <f t="shared" si="158"/>
        <v>23637.701439843724</v>
      </c>
      <c r="BQ72" s="644">
        <f t="shared" si="224"/>
        <v>0</v>
      </c>
      <c r="BR72" s="645">
        <f t="shared" si="225"/>
        <v>0</v>
      </c>
      <c r="BS72" s="646">
        <f t="shared" si="226"/>
        <v>0</v>
      </c>
      <c r="BT72" s="647">
        <f t="shared" si="159"/>
        <v>23637.701439843724</v>
      </c>
      <c r="BU72" s="662">
        <f>VLOOKUP(B72,'Afton Update'!$A$5:$AR$582,'Afton Update'!$AO$589,0)-BT72</f>
        <v>0</v>
      </c>
      <c r="BV72" s="644">
        <f t="shared" si="227"/>
        <v>16646.053634999993</v>
      </c>
      <c r="BW72" s="645">
        <f t="shared" si="135"/>
        <v>14125.733057661097</v>
      </c>
      <c r="BX72" s="644">
        <f t="shared" si="228"/>
        <v>0</v>
      </c>
      <c r="BY72" s="645">
        <f t="shared" si="229"/>
        <v>16646.053634999993</v>
      </c>
      <c r="BZ72" s="646">
        <f t="shared" si="230"/>
        <v>-146.10418254304611</v>
      </c>
      <c r="CA72" s="647">
        <f t="shared" si="231"/>
        <v>16499.949452456945</v>
      </c>
      <c r="CB72" s="644">
        <f t="shared" si="160"/>
        <v>0</v>
      </c>
      <c r="CC72" s="645">
        <f t="shared" si="161"/>
        <v>16499.949452456945</v>
      </c>
      <c r="CD72" s="646">
        <f t="shared" si="232"/>
        <v>-5.2851760613746102</v>
      </c>
      <c r="CE72" s="647">
        <f t="shared" si="162"/>
        <v>16494.664276395572</v>
      </c>
      <c r="CF72" s="644">
        <f t="shared" si="233"/>
        <v>0</v>
      </c>
      <c r="CG72" s="645">
        <f t="shared" si="234"/>
        <v>16494.664276395572</v>
      </c>
      <c r="CH72" s="646">
        <f t="shared" si="235"/>
        <v>0</v>
      </c>
      <c r="CI72" s="647">
        <f t="shared" si="163"/>
        <v>16494.664276395572</v>
      </c>
      <c r="CJ72" s="644">
        <f t="shared" si="236"/>
        <v>0</v>
      </c>
      <c r="CK72" s="645">
        <f t="shared" si="237"/>
        <v>16494.664276395572</v>
      </c>
      <c r="CL72" s="646">
        <f t="shared" si="238"/>
        <v>0</v>
      </c>
      <c r="CM72" s="647">
        <f t="shared" si="164"/>
        <v>16494.664276395572</v>
      </c>
      <c r="CN72" s="644">
        <f t="shared" si="239"/>
        <v>0</v>
      </c>
      <c r="CO72" s="645">
        <f t="shared" si="240"/>
        <v>16494.664276395572</v>
      </c>
      <c r="CP72" s="646">
        <f t="shared" si="241"/>
        <v>0</v>
      </c>
      <c r="CQ72" s="647">
        <f t="shared" si="165"/>
        <v>16494.664276395572</v>
      </c>
      <c r="CS72" s="644">
        <f t="shared" si="242"/>
        <v>12505.561128017558</v>
      </c>
      <c r="CT72" s="645">
        <f t="shared" si="136"/>
        <v>12286.297998163898</v>
      </c>
      <c r="CU72" s="644">
        <f t="shared" si="243"/>
        <v>0</v>
      </c>
      <c r="CV72" s="645">
        <f t="shared" si="244"/>
        <v>12505.561128017558</v>
      </c>
      <c r="CW72" s="646">
        <f t="shared" si="245"/>
        <v>-128.06401311831166</v>
      </c>
      <c r="CX72" s="647">
        <f t="shared" si="246"/>
        <v>12377.497114899246</v>
      </c>
      <c r="CY72" s="644">
        <f t="shared" si="166"/>
        <v>0</v>
      </c>
      <c r="CZ72" s="645">
        <f t="shared" si="167"/>
        <v>12377.497114899246</v>
      </c>
      <c r="DA72" s="646">
        <f t="shared" si="247"/>
        <v>-9.7163801847977744</v>
      </c>
      <c r="DB72" s="647">
        <f t="shared" si="168"/>
        <v>12367.780734714448</v>
      </c>
      <c r="DC72" s="644">
        <f t="shared" si="248"/>
        <v>0</v>
      </c>
      <c r="DD72" s="645">
        <f t="shared" si="249"/>
        <v>12367.780734714448</v>
      </c>
      <c r="DE72" s="646">
        <f t="shared" si="250"/>
        <v>-8.3791677112021699E-3</v>
      </c>
      <c r="DF72" s="647">
        <f t="shared" si="169"/>
        <v>12367.772355546736</v>
      </c>
      <c r="DG72" s="644">
        <f t="shared" si="251"/>
        <v>0</v>
      </c>
      <c r="DH72" s="645">
        <f t="shared" si="252"/>
        <v>12367.772355546736</v>
      </c>
      <c r="DI72" s="646">
        <f t="shared" si="253"/>
        <v>0</v>
      </c>
      <c r="DJ72" s="647">
        <f t="shared" si="170"/>
        <v>12367.772355546736</v>
      </c>
      <c r="DK72" s="644">
        <f t="shared" si="254"/>
        <v>0</v>
      </c>
      <c r="DL72" s="645">
        <f t="shared" si="255"/>
        <v>12367.772355546736</v>
      </c>
      <c r="DM72" s="646">
        <f t="shared" si="256"/>
        <v>0</v>
      </c>
      <c r="DN72" s="647">
        <f t="shared" si="171"/>
        <v>12367.772355546736</v>
      </c>
      <c r="DR72" s="827">
        <f t="shared" si="172"/>
        <v>101802.15009828554</v>
      </c>
      <c r="DV72" s="828">
        <f>IFERROR(VLOOKUP($B72,'Afton FY16 Final'!$A$5:$BV$587,'Afton FY16 Final'!$BV$587,0),0)</f>
        <v>101549.97258703521</v>
      </c>
      <c r="DX72" s="636">
        <f t="shared" si="137"/>
        <v>101802.15009828554</v>
      </c>
      <c r="DY72" s="637">
        <f t="shared" si="138"/>
        <v>252.17751125032373</v>
      </c>
      <c r="DZ72" s="637">
        <f t="shared" si="139"/>
        <v>101549.97258703521</v>
      </c>
      <c r="EA72" s="643">
        <f t="shared" si="140"/>
        <v>96387.416650570813</v>
      </c>
      <c r="EB72" s="637">
        <f t="shared" si="173"/>
        <v>101549.97258703521</v>
      </c>
      <c r="EC72" s="637">
        <f t="shared" si="174"/>
        <v>0</v>
      </c>
      <c r="ED72" s="637">
        <f t="shared" si="175"/>
        <v>0</v>
      </c>
      <c r="EE72" s="643">
        <f t="shared" si="176"/>
        <v>101549.97258703521</v>
      </c>
      <c r="EF72" s="637">
        <f t="shared" si="177"/>
        <v>0</v>
      </c>
      <c r="EG72" s="637">
        <f t="shared" si="178"/>
        <v>0</v>
      </c>
      <c r="EH72" s="637">
        <f t="shared" si="179"/>
        <v>0</v>
      </c>
      <c r="EI72" s="643">
        <f t="shared" si="180"/>
        <v>101549.97258703521</v>
      </c>
      <c r="EJ72" s="637">
        <f t="shared" si="181"/>
        <v>0</v>
      </c>
      <c r="EK72" s="637">
        <f t="shared" si="182"/>
        <v>0</v>
      </c>
      <c r="EL72" s="637">
        <f t="shared" si="183"/>
        <v>0</v>
      </c>
      <c r="EM72" s="643">
        <f t="shared" si="184"/>
        <v>101549.97258703521</v>
      </c>
      <c r="EN72" s="637">
        <f t="shared" si="185"/>
        <v>0</v>
      </c>
      <c r="EO72" s="637">
        <f t="shared" si="186"/>
        <v>0</v>
      </c>
      <c r="EP72" s="637">
        <f t="shared" si="187"/>
        <v>0</v>
      </c>
      <c r="EQ72" s="643">
        <f t="shared" si="188"/>
        <v>101549.97258703521</v>
      </c>
      <c r="ER72" s="637">
        <f t="shared" si="189"/>
        <v>0</v>
      </c>
      <c r="ES72" s="637">
        <f t="shared" si="190"/>
        <v>0</v>
      </c>
      <c r="ET72" s="637">
        <f t="shared" si="191"/>
        <v>0</v>
      </c>
      <c r="EU72" s="643">
        <f t="shared" si="141"/>
        <v>101549.97258703521</v>
      </c>
      <c r="EV72" s="643">
        <f t="shared" si="142"/>
        <v>0</v>
      </c>
      <c r="EX72" s="829">
        <f t="shared" si="143"/>
        <v>252.17751125032373</v>
      </c>
      <c r="EY72" s="638">
        <f t="shared" si="144"/>
        <v>101549.97258703521</v>
      </c>
      <c r="FC72" s="830" t="str">
        <f t="shared" si="192"/>
        <v>Y</v>
      </c>
      <c r="FE72" s="830" t="str">
        <f>IFERROR(VLOOKUP($B72,'Historical Conc Grant Elig'!$B$3:$J$707,'HH &amp; SI'!FE$2,0),"N")</f>
        <v>Y</v>
      </c>
      <c r="FF72" s="830" t="str">
        <f>IFERROR(VLOOKUP($B72,'Historical Conc Grant Elig'!$B$3:$J$707,'HH &amp; SI'!FF$2,0),"N")</f>
        <v>Y</v>
      </c>
      <c r="FG72" s="830" t="str">
        <f>IFERROR(VLOOKUP($B72,'Historical Conc Grant Elig'!$B$3:$J$707,'HH &amp; SI'!FG$2,0),"N")</f>
        <v>N</v>
      </c>
      <c r="FH72" s="830" t="str">
        <f>IFERROR(VLOOKUP($B72,'Historical Conc Grant Elig'!$B$3:$J$707,'HH &amp; SI'!FH$2,0),"N")</f>
        <v>N</v>
      </c>
      <c r="FI72" s="830" t="str">
        <f>IFERROR(VLOOKUP($B72,'Historical Conc Grant Elig'!$B$3:$J$707,'HH &amp; SI'!FI$2,0),"N")</f>
        <v>Y</v>
      </c>
      <c r="FJ72" s="830" t="str">
        <f>IFERROR(VLOOKUP($B72,'Historical Conc Grant Elig'!$B$3:$J$707,'HH &amp; SI'!FJ$2,0),"N")</f>
        <v>Y</v>
      </c>
      <c r="FK72" s="830" t="str">
        <f>IFERROR(VLOOKUP($B72,'Historical Conc Grant Elig'!$B$3:$J$707,'HH &amp; SI'!FK$2,0),"N")</f>
        <v>Y</v>
      </c>
      <c r="FL72" s="957" t="str">
        <f>IFERROR(VLOOKUP($B72,'Historical Conc Grant Elig'!$B$3:$J$707,'HH &amp; SI'!FL$2,0),"N")</f>
        <v>Y</v>
      </c>
    </row>
    <row r="73" spans="2:168" x14ac:dyDescent="0.25">
      <c r="B73" s="634">
        <v>60203000</v>
      </c>
      <c r="C73" s="635" t="str">
        <f>VLOOKUP($B73,'Afton Update'!$A$5:$CR$582,'Afton Update'!D$589,0)</f>
        <v>Clifton Unified District</v>
      </c>
      <c r="D73" s="636">
        <f>IFERROR(VLOOKUP($B73,'Afton FY16 Final'!$A$5:$BV$587,'Afton FY16 Final'!AQ$587,0),0)</f>
        <v>27678.189065036393</v>
      </c>
      <c r="E73" s="637">
        <f>IFERROR(VLOOKUP($B73,'Afton FY16 Final'!$A$5:$BV$587,'Afton FY16 Final'!AR$587,0),0)</f>
        <v>6397.1051464207603</v>
      </c>
      <c r="F73" s="637">
        <f>IFERROR(VLOOKUP($B73,'Afton FY16 Final'!$A$5:$BV$587,'Afton FY16 Final'!AS$587,0),0)</f>
        <v>8113.8966472452394</v>
      </c>
      <c r="G73" s="637">
        <f>IFERROR(VLOOKUP($B73,'Afton FY16 Final'!$A$5:$BV$587,'Afton FY16 Final'!AT$587,0),0)</f>
        <v>5072.6200188518796</v>
      </c>
      <c r="H73" s="638">
        <f>IFERROR(VLOOKUP($B73,'Afton FY16 Final'!$A$5:$BV$587,'Afton FY16 Final'!AU$587,0),0)</f>
        <v>47261.810877554271</v>
      </c>
      <c r="I73" s="639" t="str">
        <f>VLOOKUP($B73,'Afton Update'!$A$5:$CR$582,'Afton Update'!BT$589,0)</f>
        <v>Y</v>
      </c>
      <c r="J73" s="640" t="str">
        <f>VLOOKUP($B73,'Afton Update'!$A$5:$CR$582,'Afton Update'!BU$589,0)</f>
        <v>N</v>
      </c>
      <c r="K73" s="640" t="str">
        <f>VLOOKUP($B73,'Afton Update'!$A$5:$CR$582,'Afton Update'!BV$589,0)</f>
        <v>Y</v>
      </c>
      <c r="L73" s="641" t="str">
        <f>VLOOKUP($B73,'Afton Update'!$A$5:$CR$582,'Afton Update'!BW$589,0)</f>
        <v>Y</v>
      </c>
      <c r="N73" s="642">
        <f>VLOOKUP($B73,'Afton Update'!$A$5:$CR$582,'Afton Update'!CB$589,0)</f>
        <v>0.85</v>
      </c>
      <c r="P73" s="636">
        <f>VLOOKUP($B73,'Afton Update'!$A$5:$CR$582,'Afton Update'!AH$589,0)</f>
        <v>23653.022233035001</v>
      </c>
      <c r="Q73" s="637" t="str">
        <f>VLOOKUP($B73,'Afton Update'!$A$5:$CR$582,'Afton Update'!AI$589,0)</f>
        <v/>
      </c>
      <c r="R73" s="637">
        <f>VLOOKUP($B73,'Afton Update'!$A$5:$CR$582,'Afton Update'!AJ$589,0)</f>
        <v>6945.6744966128745</v>
      </c>
      <c r="S73" s="637">
        <f>VLOOKUP($B73,'Afton Update'!$A$5:$CR$582,'Afton Update'!AK$589,0)</f>
        <v>4338.5791710808717</v>
      </c>
      <c r="T73" s="643">
        <f t="shared" si="145"/>
        <v>34937.275900728746</v>
      </c>
      <c r="V73" s="636">
        <f t="shared" si="193"/>
        <v>23526.460705280933</v>
      </c>
      <c r="W73" s="637">
        <f t="shared" si="194"/>
        <v>5437.5393744576459</v>
      </c>
      <c r="X73" s="637">
        <f t="shared" si="195"/>
        <v>6896.8121501584537</v>
      </c>
      <c r="Y73" s="637">
        <f t="shared" si="196"/>
        <v>4311.7270160240978</v>
      </c>
      <c r="Z73" s="643">
        <f t="shared" si="197"/>
        <v>40172.539245921129</v>
      </c>
      <c r="AB73" s="644">
        <f t="shared" si="146"/>
        <v>23653.022233035001</v>
      </c>
      <c r="AC73" s="645">
        <f t="shared" si="134"/>
        <v>23526.460705280933</v>
      </c>
      <c r="AD73" s="644">
        <f t="shared" si="198"/>
        <v>0</v>
      </c>
      <c r="AE73" s="645">
        <f t="shared" si="199"/>
        <v>23653.022233035001</v>
      </c>
      <c r="AF73" s="646">
        <f t="shared" si="200"/>
        <v>-293.19698535152122</v>
      </c>
      <c r="AG73" s="647">
        <f t="shared" si="201"/>
        <v>23359.825247683479</v>
      </c>
      <c r="AH73" s="644">
        <f t="shared" si="147"/>
        <v>-166.63545759745466</v>
      </c>
      <c r="AI73" s="645">
        <f t="shared" si="148"/>
        <v>0</v>
      </c>
      <c r="AJ73" s="646">
        <f t="shared" si="202"/>
        <v>0</v>
      </c>
      <c r="AK73" s="647">
        <f t="shared" si="149"/>
        <v>23526.460705280933</v>
      </c>
      <c r="AL73" s="644">
        <f t="shared" si="203"/>
        <v>0</v>
      </c>
      <c r="AM73" s="645">
        <f t="shared" si="204"/>
        <v>0</v>
      </c>
      <c r="AN73" s="646">
        <f t="shared" si="205"/>
        <v>0</v>
      </c>
      <c r="AO73" s="647">
        <f t="shared" si="150"/>
        <v>23526.460705280933</v>
      </c>
      <c r="AP73" s="644">
        <f t="shared" si="206"/>
        <v>0</v>
      </c>
      <c r="AQ73" s="645">
        <f t="shared" si="207"/>
        <v>0</v>
      </c>
      <c r="AR73" s="646">
        <f t="shared" si="208"/>
        <v>0</v>
      </c>
      <c r="AS73" s="647">
        <f t="shared" si="151"/>
        <v>23526.460705280933</v>
      </c>
      <c r="AT73" s="644">
        <f t="shared" si="209"/>
        <v>0</v>
      </c>
      <c r="AU73" s="645">
        <f t="shared" si="210"/>
        <v>0</v>
      </c>
      <c r="AV73" s="646">
        <f t="shared" si="211"/>
        <v>0</v>
      </c>
      <c r="AW73" s="647">
        <f t="shared" si="152"/>
        <v>23526.460705280933</v>
      </c>
      <c r="AY73" s="644">
        <f t="shared" si="212"/>
        <v>0</v>
      </c>
      <c r="AZ73" s="645">
        <f t="shared" si="153"/>
        <v>5437.5393744576459</v>
      </c>
      <c r="BA73" s="644">
        <f t="shared" si="213"/>
        <v>0</v>
      </c>
      <c r="BB73" s="645">
        <f t="shared" si="214"/>
        <v>0</v>
      </c>
      <c r="BC73" s="646">
        <f t="shared" si="215"/>
        <v>0</v>
      </c>
      <c r="BD73" s="647">
        <f t="shared" si="216"/>
        <v>0</v>
      </c>
      <c r="BE73" s="644">
        <f t="shared" si="154"/>
        <v>-5437.5393744576459</v>
      </c>
      <c r="BF73" s="645">
        <f t="shared" si="155"/>
        <v>0</v>
      </c>
      <c r="BG73" s="646">
        <f t="shared" si="217"/>
        <v>0</v>
      </c>
      <c r="BH73" s="647">
        <f t="shared" si="156"/>
        <v>5437.5393744576459</v>
      </c>
      <c r="BI73" s="644">
        <f t="shared" si="218"/>
        <v>0</v>
      </c>
      <c r="BJ73" s="645">
        <f t="shared" si="219"/>
        <v>0</v>
      </c>
      <c r="BK73" s="646">
        <f t="shared" si="220"/>
        <v>0</v>
      </c>
      <c r="BL73" s="647">
        <f t="shared" si="157"/>
        <v>5437.5393744576459</v>
      </c>
      <c r="BM73" s="644">
        <f t="shared" si="221"/>
        <v>0</v>
      </c>
      <c r="BN73" s="645">
        <f t="shared" si="222"/>
        <v>0</v>
      </c>
      <c r="BO73" s="646">
        <f t="shared" si="223"/>
        <v>0</v>
      </c>
      <c r="BP73" s="647">
        <f t="shared" si="158"/>
        <v>5437.5393744576459</v>
      </c>
      <c r="BQ73" s="644">
        <f t="shared" si="224"/>
        <v>0</v>
      </c>
      <c r="BR73" s="645">
        <f t="shared" si="225"/>
        <v>0</v>
      </c>
      <c r="BS73" s="646">
        <f t="shared" si="226"/>
        <v>0</v>
      </c>
      <c r="BT73" s="647">
        <f t="shared" si="159"/>
        <v>5437.5393744576459</v>
      </c>
      <c r="BU73" s="662">
        <f>VLOOKUP(B73,'Afton Update'!$A$5:$AR$582,'Afton Update'!$AO$589,0)-BT73</f>
        <v>0</v>
      </c>
      <c r="BV73" s="644">
        <f t="shared" si="227"/>
        <v>6945.6744966128745</v>
      </c>
      <c r="BW73" s="645">
        <f t="shared" si="135"/>
        <v>6896.8121501584537</v>
      </c>
      <c r="BX73" s="644">
        <f t="shared" si="228"/>
        <v>0</v>
      </c>
      <c r="BY73" s="645">
        <f t="shared" si="229"/>
        <v>6945.6744966128745</v>
      </c>
      <c r="BZ73" s="646">
        <f t="shared" si="230"/>
        <v>-60.962923512633978</v>
      </c>
      <c r="CA73" s="647">
        <f t="shared" si="231"/>
        <v>6884.7115731002405</v>
      </c>
      <c r="CB73" s="644">
        <f t="shared" si="160"/>
        <v>-12.100577058213275</v>
      </c>
      <c r="CC73" s="645">
        <f t="shared" si="161"/>
        <v>0</v>
      </c>
      <c r="CD73" s="646">
        <f t="shared" si="232"/>
        <v>0</v>
      </c>
      <c r="CE73" s="647">
        <f t="shared" si="162"/>
        <v>6896.8121501584537</v>
      </c>
      <c r="CF73" s="644">
        <f t="shared" si="233"/>
        <v>0</v>
      </c>
      <c r="CG73" s="645">
        <f t="shared" si="234"/>
        <v>0</v>
      </c>
      <c r="CH73" s="646">
        <f t="shared" si="235"/>
        <v>0</v>
      </c>
      <c r="CI73" s="647">
        <f t="shared" si="163"/>
        <v>6896.8121501584537</v>
      </c>
      <c r="CJ73" s="644">
        <f t="shared" si="236"/>
        <v>0</v>
      </c>
      <c r="CK73" s="645">
        <f t="shared" si="237"/>
        <v>0</v>
      </c>
      <c r="CL73" s="646">
        <f t="shared" si="238"/>
        <v>0</v>
      </c>
      <c r="CM73" s="647">
        <f t="shared" si="164"/>
        <v>6896.8121501584537</v>
      </c>
      <c r="CN73" s="644">
        <f t="shared" si="239"/>
        <v>0</v>
      </c>
      <c r="CO73" s="645">
        <f t="shared" si="240"/>
        <v>0</v>
      </c>
      <c r="CP73" s="646">
        <f t="shared" si="241"/>
        <v>0</v>
      </c>
      <c r="CQ73" s="647">
        <f t="shared" si="165"/>
        <v>6896.8121501584537</v>
      </c>
      <c r="CS73" s="644">
        <f t="shared" si="242"/>
        <v>4338.5791710808717</v>
      </c>
      <c r="CT73" s="645">
        <f t="shared" si="136"/>
        <v>4311.7270160240978</v>
      </c>
      <c r="CU73" s="644">
        <f t="shared" si="243"/>
        <v>0</v>
      </c>
      <c r="CV73" s="645">
        <f t="shared" si="244"/>
        <v>4338.5791710808717</v>
      </c>
      <c r="CW73" s="646">
        <f t="shared" si="245"/>
        <v>-44.429502538301016</v>
      </c>
      <c r="CX73" s="647">
        <f t="shared" si="246"/>
        <v>4294.1496685425709</v>
      </c>
      <c r="CY73" s="644">
        <f t="shared" si="166"/>
        <v>-17.577347481526886</v>
      </c>
      <c r="CZ73" s="645">
        <f t="shared" si="167"/>
        <v>0</v>
      </c>
      <c r="DA73" s="646">
        <f t="shared" si="247"/>
        <v>0</v>
      </c>
      <c r="DB73" s="647">
        <f t="shared" si="168"/>
        <v>4311.7270160240978</v>
      </c>
      <c r="DC73" s="644">
        <f t="shared" si="248"/>
        <v>0</v>
      </c>
      <c r="DD73" s="645">
        <f t="shared" si="249"/>
        <v>0</v>
      </c>
      <c r="DE73" s="646">
        <f t="shared" si="250"/>
        <v>0</v>
      </c>
      <c r="DF73" s="647">
        <f t="shared" si="169"/>
        <v>4311.7270160240978</v>
      </c>
      <c r="DG73" s="644">
        <f t="shared" si="251"/>
        <v>0</v>
      </c>
      <c r="DH73" s="645">
        <f t="shared" si="252"/>
        <v>0</v>
      </c>
      <c r="DI73" s="646">
        <f t="shared" si="253"/>
        <v>0</v>
      </c>
      <c r="DJ73" s="647">
        <f t="shared" si="170"/>
        <v>4311.7270160240978</v>
      </c>
      <c r="DK73" s="644">
        <f t="shared" si="254"/>
        <v>0</v>
      </c>
      <c r="DL73" s="645">
        <f t="shared" si="255"/>
        <v>0</v>
      </c>
      <c r="DM73" s="646">
        <f t="shared" si="256"/>
        <v>0</v>
      </c>
      <c r="DN73" s="647">
        <f t="shared" si="171"/>
        <v>4311.7270160240978</v>
      </c>
      <c r="DR73" s="827">
        <f t="shared" si="172"/>
        <v>40172.539245921129</v>
      </c>
      <c r="DV73" s="828">
        <f>IFERROR(VLOOKUP($B73,'Afton FY16 Final'!$A$5:$BV$587,'Afton FY16 Final'!$BV$587,0),0)</f>
        <v>46331.225829202202</v>
      </c>
      <c r="DX73" s="636">
        <f t="shared" si="137"/>
        <v>0</v>
      </c>
      <c r="DY73" s="637">
        <f t="shared" si="138"/>
        <v>0</v>
      </c>
      <c r="DZ73" s="637">
        <f t="shared" si="139"/>
        <v>0</v>
      </c>
      <c r="EA73" s="643">
        <f t="shared" si="140"/>
        <v>0</v>
      </c>
      <c r="EB73" s="637">
        <f t="shared" si="173"/>
        <v>0</v>
      </c>
      <c r="EC73" s="637">
        <f t="shared" si="174"/>
        <v>0</v>
      </c>
      <c r="ED73" s="637">
        <f t="shared" si="175"/>
        <v>0</v>
      </c>
      <c r="EE73" s="643">
        <f t="shared" si="176"/>
        <v>0</v>
      </c>
      <c r="EF73" s="637">
        <f t="shared" si="177"/>
        <v>0</v>
      </c>
      <c r="EG73" s="637">
        <f t="shared" si="178"/>
        <v>0</v>
      </c>
      <c r="EH73" s="637">
        <f t="shared" si="179"/>
        <v>0</v>
      </c>
      <c r="EI73" s="643">
        <f t="shared" si="180"/>
        <v>0</v>
      </c>
      <c r="EJ73" s="637">
        <f t="shared" si="181"/>
        <v>0</v>
      </c>
      <c r="EK73" s="637">
        <f t="shared" si="182"/>
        <v>0</v>
      </c>
      <c r="EL73" s="637">
        <f t="shared" si="183"/>
        <v>0</v>
      </c>
      <c r="EM73" s="643">
        <f t="shared" si="184"/>
        <v>0</v>
      </c>
      <c r="EN73" s="637">
        <f t="shared" si="185"/>
        <v>0</v>
      </c>
      <c r="EO73" s="637">
        <f t="shared" si="186"/>
        <v>0</v>
      </c>
      <c r="EP73" s="637">
        <f t="shared" si="187"/>
        <v>0</v>
      </c>
      <c r="EQ73" s="643">
        <f t="shared" si="188"/>
        <v>0</v>
      </c>
      <c r="ER73" s="637">
        <f t="shared" si="189"/>
        <v>0</v>
      </c>
      <c r="ES73" s="637">
        <f t="shared" si="190"/>
        <v>0</v>
      </c>
      <c r="ET73" s="637">
        <f t="shared" si="191"/>
        <v>0</v>
      </c>
      <c r="EU73" s="643">
        <f t="shared" si="141"/>
        <v>0</v>
      </c>
      <c r="EV73" s="643">
        <f t="shared" si="142"/>
        <v>0</v>
      </c>
      <c r="EX73" s="829">
        <f t="shared" si="143"/>
        <v>0</v>
      </c>
      <c r="EY73" s="638">
        <f t="shared" si="144"/>
        <v>40172.539245921129</v>
      </c>
      <c r="FC73" s="830" t="str">
        <f t="shared" si="192"/>
        <v>Y</v>
      </c>
      <c r="FE73" s="830" t="str">
        <f>IFERROR(VLOOKUP($B73,'Historical Conc Grant Elig'!$B$3:$J$707,'HH &amp; SI'!FE$2,0),"N")</f>
        <v>N</v>
      </c>
      <c r="FF73" s="830" t="str">
        <f>IFERROR(VLOOKUP($B73,'Historical Conc Grant Elig'!$B$3:$J$707,'HH &amp; SI'!FF$2,0),"N")</f>
        <v>N</v>
      </c>
      <c r="FG73" s="830" t="str">
        <f>IFERROR(VLOOKUP($B73,'Historical Conc Grant Elig'!$B$3:$J$707,'HH &amp; SI'!FG$2,0),"N")</f>
        <v>N</v>
      </c>
      <c r="FH73" s="830" t="str">
        <f>IFERROR(VLOOKUP($B73,'Historical Conc Grant Elig'!$B$3:$J$707,'HH &amp; SI'!FH$2,0),"N")</f>
        <v>Y</v>
      </c>
      <c r="FI73" s="830" t="str">
        <f>IFERROR(VLOOKUP($B73,'Historical Conc Grant Elig'!$B$3:$J$707,'HH &amp; SI'!FI$2,0),"N")</f>
        <v>N</v>
      </c>
      <c r="FJ73" s="830" t="str">
        <f>IFERROR(VLOOKUP($B73,'Historical Conc Grant Elig'!$B$3:$J$707,'HH &amp; SI'!FJ$2,0),"N")</f>
        <v>N</v>
      </c>
      <c r="FK73" s="830" t="str">
        <f>IFERROR(VLOOKUP($B73,'Historical Conc Grant Elig'!$B$3:$J$707,'HH &amp; SI'!FK$2,0),"N")</f>
        <v>N</v>
      </c>
      <c r="FL73" s="957" t="str">
        <f>IFERROR(VLOOKUP($B73,'Historical Conc Grant Elig'!$B$3:$J$707,'HH &amp; SI'!FL$2,0),"N")</f>
        <v>N</v>
      </c>
    </row>
    <row r="74" spans="2:168" x14ac:dyDescent="0.25">
      <c r="B74" s="634">
        <v>60218000</v>
      </c>
      <c r="C74" s="635" t="str">
        <f>VLOOKUP($B74,'Afton Update'!$A$5:$CR$582,'Afton Update'!D$589,0)</f>
        <v>Morenci Unified District</v>
      </c>
      <c r="D74" s="636">
        <f>IFERROR(VLOOKUP($B74,'Afton FY16 Final'!$A$5:$BV$587,'Afton FY16 Final'!AQ$587,0),0)</f>
        <v>35116.813552149171</v>
      </c>
      <c r="E74" s="637">
        <f>IFERROR(VLOOKUP($B74,'Afton FY16 Final'!$A$5:$BV$587,'Afton FY16 Final'!AR$587,0),0)</f>
        <v>10986.932569304836</v>
      </c>
      <c r="F74" s="637">
        <f>IFERROR(VLOOKUP($B74,'Afton FY16 Final'!$A$5:$BV$587,'Afton FY16 Final'!AS$587,0),0)</f>
        <v>9868.3315686222413</v>
      </c>
      <c r="G74" s="637">
        <f>IFERROR(VLOOKUP($B74,'Afton FY16 Final'!$A$5:$BV$587,'Afton FY16 Final'!AT$587,0),0)</f>
        <v>7437.4943602123549</v>
      </c>
      <c r="H74" s="638">
        <f>IFERROR(VLOOKUP($B74,'Afton FY16 Final'!$A$5:$BV$587,'Afton FY16 Final'!AU$587,0),0)</f>
        <v>63409.572050288603</v>
      </c>
      <c r="I74" s="639" t="str">
        <f>VLOOKUP($B74,'Afton Update'!$A$5:$CR$582,'Afton Update'!BT$589,0)</f>
        <v>Y</v>
      </c>
      <c r="J74" s="640" t="str">
        <f>VLOOKUP($B74,'Afton Update'!$A$5:$CR$582,'Afton Update'!BU$589,0)</f>
        <v>N</v>
      </c>
      <c r="K74" s="640" t="str">
        <f>VLOOKUP($B74,'Afton Update'!$A$5:$CR$582,'Afton Update'!BV$589,0)</f>
        <v>Y</v>
      </c>
      <c r="L74" s="641" t="str">
        <f>VLOOKUP($B74,'Afton Update'!$A$5:$CR$582,'Afton Update'!BW$589,0)</f>
        <v>Y</v>
      </c>
      <c r="N74" s="642">
        <f>VLOOKUP($B74,'Afton Update'!$A$5:$CR$582,'Afton Update'!CB$589,0)</f>
        <v>0.85</v>
      </c>
      <c r="P74" s="636">
        <f>VLOOKUP($B74,'Afton Update'!$A$5:$CR$582,'Afton Update'!AH$589,0)</f>
        <v>30227.044637382158</v>
      </c>
      <c r="Q74" s="637" t="str">
        <f>VLOOKUP($B74,'Afton Update'!$A$5:$CR$582,'Afton Update'!AI$589,0)</f>
        <v/>
      </c>
      <c r="R74" s="637">
        <f>VLOOKUP($B74,'Afton Update'!$A$5:$CR$582,'Afton Update'!AJ$589,0)</f>
        <v>8411.3579746831783</v>
      </c>
      <c r="S74" s="637">
        <f>VLOOKUP($B74,'Afton Update'!$A$5:$CR$582,'Afton Update'!AK$589,0)</f>
        <v>6382.1612850202564</v>
      </c>
      <c r="T74" s="643">
        <f t="shared" si="145"/>
        <v>45020.563897085594</v>
      </c>
      <c r="V74" s="636">
        <f t="shared" si="193"/>
        <v>29849.291519326795</v>
      </c>
      <c r="W74" s="637">
        <f t="shared" si="194"/>
        <v>9338.8926839091109</v>
      </c>
      <c r="X74" s="637">
        <f t="shared" si="195"/>
        <v>8388.0818333289044</v>
      </c>
      <c r="Y74" s="637">
        <f t="shared" si="196"/>
        <v>6321.8702061805016</v>
      </c>
      <c r="Z74" s="643">
        <f t="shared" si="197"/>
        <v>53898.136242745313</v>
      </c>
      <c r="AB74" s="644">
        <f t="shared" si="146"/>
        <v>30227.044637382158</v>
      </c>
      <c r="AC74" s="645">
        <f t="shared" si="134"/>
        <v>29849.291519326795</v>
      </c>
      <c r="AD74" s="644">
        <f t="shared" si="198"/>
        <v>0</v>
      </c>
      <c r="AE74" s="645">
        <f t="shared" si="199"/>
        <v>30227.044637382158</v>
      </c>
      <c r="AF74" s="646">
        <f t="shared" si="200"/>
        <v>-374.68693329973422</v>
      </c>
      <c r="AG74" s="647">
        <f t="shared" si="201"/>
        <v>29852.357704082424</v>
      </c>
      <c r="AH74" s="644">
        <f t="shared" si="147"/>
        <v>0</v>
      </c>
      <c r="AI74" s="645">
        <f t="shared" si="148"/>
        <v>29852.357704082424</v>
      </c>
      <c r="AJ74" s="646">
        <f t="shared" si="202"/>
        <v>-37.605601143942295</v>
      </c>
      <c r="AK74" s="647">
        <f t="shared" si="149"/>
        <v>29814.752102938481</v>
      </c>
      <c r="AL74" s="644">
        <f t="shared" si="203"/>
        <v>-34.539416388313839</v>
      </c>
      <c r="AM74" s="645">
        <f t="shared" si="204"/>
        <v>0</v>
      </c>
      <c r="AN74" s="646">
        <f t="shared" si="205"/>
        <v>0</v>
      </c>
      <c r="AO74" s="647">
        <f t="shared" si="150"/>
        <v>29849.291519326795</v>
      </c>
      <c r="AP74" s="644">
        <f t="shared" si="206"/>
        <v>0</v>
      </c>
      <c r="AQ74" s="645">
        <f t="shared" si="207"/>
        <v>0</v>
      </c>
      <c r="AR74" s="646">
        <f t="shared" si="208"/>
        <v>0</v>
      </c>
      <c r="AS74" s="647">
        <f t="shared" si="151"/>
        <v>29849.291519326795</v>
      </c>
      <c r="AT74" s="644">
        <f t="shared" si="209"/>
        <v>0</v>
      </c>
      <c r="AU74" s="645">
        <f t="shared" si="210"/>
        <v>0</v>
      </c>
      <c r="AV74" s="646">
        <f t="shared" si="211"/>
        <v>0</v>
      </c>
      <c r="AW74" s="647">
        <f t="shared" si="152"/>
        <v>29849.291519326795</v>
      </c>
      <c r="AY74" s="644">
        <f t="shared" si="212"/>
        <v>0</v>
      </c>
      <c r="AZ74" s="645">
        <f t="shared" si="153"/>
        <v>9338.8926839091109</v>
      </c>
      <c r="BA74" s="644">
        <f t="shared" si="213"/>
        <v>0</v>
      </c>
      <c r="BB74" s="645">
        <f t="shared" si="214"/>
        <v>0</v>
      </c>
      <c r="BC74" s="646">
        <f t="shared" si="215"/>
        <v>0</v>
      </c>
      <c r="BD74" s="647">
        <f t="shared" si="216"/>
        <v>0</v>
      </c>
      <c r="BE74" s="644">
        <f t="shared" si="154"/>
        <v>-9338.8926839091109</v>
      </c>
      <c r="BF74" s="645">
        <f t="shared" si="155"/>
        <v>0</v>
      </c>
      <c r="BG74" s="646">
        <f t="shared" si="217"/>
        <v>0</v>
      </c>
      <c r="BH74" s="647">
        <f t="shared" si="156"/>
        <v>9338.8926839091109</v>
      </c>
      <c r="BI74" s="644">
        <f t="shared" si="218"/>
        <v>0</v>
      </c>
      <c r="BJ74" s="645">
        <f t="shared" si="219"/>
        <v>0</v>
      </c>
      <c r="BK74" s="646">
        <f t="shared" si="220"/>
        <v>0</v>
      </c>
      <c r="BL74" s="647">
        <f t="shared" si="157"/>
        <v>9338.8926839091109</v>
      </c>
      <c r="BM74" s="644">
        <f t="shared" si="221"/>
        <v>0</v>
      </c>
      <c r="BN74" s="645">
        <f t="shared" si="222"/>
        <v>0</v>
      </c>
      <c r="BO74" s="646">
        <f t="shared" si="223"/>
        <v>0</v>
      </c>
      <c r="BP74" s="647">
        <f t="shared" si="158"/>
        <v>9338.8926839091109</v>
      </c>
      <c r="BQ74" s="644">
        <f t="shared" si="224"/>
        <v>0</v>
      </c>
      <c r="BR74" s="645">
        <f t="shared" si="225"/>
        <v>0</v>
      </c>
      <c r="BS74" s="646">
        <f t="shared" si="226"/>
        <v>0</v>
      </c>
      <c r="BT74" s="647">
        <f t="shared" si="159"/>
        <v>9338.8926839091109</v>
      </c>
      <c r="BU74" s="662">
        <f>VLOOKUP(B74,'Afton Update'!$A$5:$AR$582,'Afton Update'!$AO$589,0)-BT74</f>
        <v>0</v>
      </c>
      <c r="BV74" s="644">
        <f t="shared" si="227"/>
        <v>8411.3579746831783</v>
      </c>
      <c r="BW74" s="645">
        <f t="shared" si="135"/>
        <v>8388.0818333289044</v>
      </c>
      <c r="BX74" s="644">
        <f t="shared" si="228"/>
        <v>0</v>
      </c>
      <c r="BY74" s="645">
        <f t="shared" si="229"/>
        <v>8411.3579746831783</v>
      </c>
      <c r="BZ74" s="646">
        <f t="shared" si="230"/>
        <v>-73.827383229383557</v>
      </c>
      <c r="CA74" s="647">
        <f t="shared" si="231"/>
        <v>8337.5305914537948</v>
      </c>
      <c r="CB74" s="644">
        <f t="shared" si="160"/>
        <v>-50.551241875109554</v>
      </c>
      <c r="CC74" s="645">
        <f t="shared" si="161"/>
        <v>0</v>
      </c>
      <c r="CD74" s="646">
        <f t="shared" si="232"/>
        <v>0</v>
      </c>
      <c r="CE74" s="647">
        <f t="shared" si="162"/>
        <v>8388.0818333289044</v>
      </c>
      <c r="CF74" s="644">
        <f t="shared" si="233"/>
        <v>0</v>
      </c>
      <c r="CG74" s="645">
        <f t="shared" si="234"/>
        <v>0</v>
      </c>
      <c r="CH74" s="646">
        <f t="shared" si="235"/>
        <v>0</v>
      </c>
      <c r="CI74" s="647">
        <f t="shared" si="163"/>
        <v>8388.0818333289044</v>
      </c>
      <c r="CJ74" s="644">
        <f t="shared" si="236"/>
        <v>0</v>
      </c>
      <c r="CK74" s="645">
        <f t="shared" si="237"/>
        <v>0</v>
      </c>
      <c r="CL74" s="646">
        <f t="shared" si="238"/>
        <v>0</v>
      </c>
      <c r="CM74" s="647">
        <f t="shared" si="164"/>
        <v>8388.0818333289044</v>
      </c>
      <c r="CN74" s="644">
        <f t="shared" si="239"/>
        <v>0</v>
      </c>
      <c r="CO74" s="645">
        <f t="shared" si="240"/>
        <v>0</v>
      </c>
      <c r="CP74" s="646">
        <f t="shared" si="241"/>
        <v>0</v>
      </c>
      <c r="CQ74" s="647">
        <f t="shared" si="165"/>
        <v>8388.0818333289044</v>
      </c>
      <c r="CS74" s="644">
        <f t="shared" si="242"/>
        <v>6382.1612850202564</v>
      </c>
      <c r="CT74" s="645">
        <f t="shared" si="136"/>
        <v>6321.8702061805016</v>
      </c>
      <c r="CU74" s="644">
        <f t="shared" si="243"/>
        <v>0</v>
      </c>
      <c r="CV74" s="645">
        <f t="shared" si="244"/>
        <v>6382.1612850202564</v>
      </c>
      <c r="CW74" s="646">
        <f t="shared" si="245"/>
        <v>-65.356938258202035</v>
      </c>
      <c r="CX74" s="647">
        <f t="shared" si="246"/>
        <v>6316.8043467620546</v>
      </c>
      <c r="CY74" s="644">
        <f t="shared" si="166"/>
        <v>-5.0658594184469621</v>
      </c>
      <c r="CZ74" s="645">
        <f t="shared" si="167"/>
        <v>0</v>
      </c>
      <c r="DA74" s="646">
        <f t="shared" si="247"/>
        <v>0</v>
      </c>
      <c r="DB74" s="647">
        <f t="shared" si="168"/>
        <v>6321.8702061805016</v>
      </c>
      <c r="DC74" s="644">
        <f t="shared" si="248"/>
        <v>0</v>
      </c>
      <c r="DD74" s="645">
        <f t="shared" si="249"/>
        <v>0</v>
      </c>
      <c r="DE74" s="646">
        <f t="shared" si="250"/>
        <v>0</v>
      </c>
      <c r="DF74" s="647">
        <f t="shared" si="169"/>
        <v>6321.8702061805016</v>
      </c>
      <c r="DG74" s="644">
        <f t="shared" si="251"/>
        <v>0</v>
      </c>
      <c r="DH74" s="645">
        <f t="shared" si="252"/>
        <v>0</v>
      </c>
      <c r="DI74" s="646">
        <f t="shared" si="253"/>
        <v>0</v>
      </c>
      <c r="DJ74" s="647">
        <f t="shared" si="170"/>
        <v>6321.8702061805016</v>
      </c>
      <c r="DK74" s="644">
        <f t="shared" si="254"/>
        <v>0</v>
      </c>
      <c r="DL74" s="645">
        <f t="shared" si="255"/>
        <v>0</v>
      </c>
      <c r="DM74" s="646">
        <f t="shared" si="256"/>
        <v>0</v>
      </c>
      <c r="DN74" s="647">
        <f t="shared" si="171"/>
        <v>6321.8702061805016</v>
      </c>
      <c r="DR74" s="827">
        <f t="shared" si="172"/>
        <v>53898.136242745313</v>
      </c>
      <c r="DV74" s="828">
        <f>IFERROR(VLOOKUP($B74,'Afton FY16 Final'!$A$5:$BV$587,'Afton FY16 Final'!$BV$587,0),0)</f>
        <v>62161.037587119601</v>
      </c>
      <c r="DX74" s="636">
        <f t="shared" si="137"/>
        <v>0</v>
      </c>
      <c r="DY74" s="637">
        <f t="shared" si="138"/>
        <v>0</v>
      </c>
      <c r="DZ74" s="637">
        <f t="shared" si="139"/>
        <v>0</v>
      </c>
      <c r="EA74" s="643">
        <f t="shared" si="140"/>
        <v>0</v>
      </c>
      <c r="EB74" s="637">
        <f t="shared" si="173"/>
        <v>0</v>
      </c>
      <c r="EC74" s="637">
        <f t="shared" si="174"/>
        <v>0</v>
      </c>
      <c r="ED74" s="637">
        <f t="shared" si="175"/>
        <v>0</v>
      </c>
      <c r="EE74" s="643">
        <f t="shared" si="176"/>
        <v>0</v>
      </c>
      <c r="EF74" s="637">
        <f t="shared" si="177"/>
        <v>0</v>
      </c>
      <c r="EG74" s="637">
        <f t="shared" si="178"/>
        <v>0</v>
      </c>
      <c r="EH74" s="637">
        <f t="shared" si="179"/>
        <v>0</v>
      </c>
      <c r="EI74" s="643">
        <f t="shared" si="180"/>
        <v>0</v>
      </c>
      <c r="EJ74" s="637">
        <f t="shared" si="181"/>
        <v>0</v>
      </c>
      <c r="EK74" s="637">
        <f t="shared" si="182"/>
        <v>0</v>
      </c>
      <c r="EL74" s="637">
        <f t="shared" si="183"/>
        <v>0</v>
      </c>
      <c r="EM74" s="643">
        <f t="shared" si="184"/>
        <v>0</v>
      </c>
      <c r="EN74" s="637">
        <f t="shared" si="185"/>
        <v>0</v>
      </c>
      <c r="EO74" s="637">
        <f t="shared" si="186"/>
        <v>0</v>
      </c>
      <c r="EP74" s="637">
        <f t="shared" si="187"/>
        <v>0</v>
      </c>
      <c r="EQ74" s="643">
        <f t="shared" si="188"/>
        <v>0</v>
      </c>
      <c r="ER74" s="637">
        <f t="shared" si="189"/>
        <v>0</v>
      </c>
      <c r="ES74" s="637">
        <f t="shared" si="190"/>
        <v>0</v>
      </c>
      <c r="ET74" s="637">
        <f t="shared" si="191"/>
        <v>0</v>
      </c>
      <c r="EU74" s="643">
        <f t="shared" si="141"/>
        <v>0</v>
      </c>
      <c r="EV74" s="643">
        <f t="shared" si="142"/>
        <v>0</v>
      </c>
      <c r="EX74" s="829">
        <f t="shared" si="143"/>
        <v>0</v>
      </c>
      <c r="EY74" s="638">
        <f t="shared" si="144"/>
        <v>53898.136242745313</v>
      </c>
      <c r="FC74" s="830" t="str">
        <f t="shared" si="192"/>
        <v>Y</v>
      </c>
      <c r="FE74" s="830" t="str">
        <f>IFERROR(VLOOKUP($B74,'Historical Conc Grant Elig'!$B$3:$J$707,'HH &amp; SI'!FE$2,0),"N")</f>
        <v>N</v>
      </c>
      <c r="FF74" s="830" t="str">
        <f>IFERROR(VLOOKUP($B74,'Historical Conc Grant Elig'!$B$3:$J$707,'HH &amp; SI'!FF$2,0),"N")</f>
        <v>N</v>
      </c>
      <c r="FG74" s="830" t="str">
        <f>IFERROR(VLOOKUP($B74,'Historical Conc Grant Elig'!$B$3:$J$707,'HH &amp; SI'!FG$2,0),"N")</f>
        <v>N</v>
      </c>
      <c r="FH74" s="830" t="str">
        <f>IFERROR(VLOOKUP($B74,'Historical Conc Grant Elig'!$B$3:$J$707,'HH &amp; SI'!FH$2,0),"N")</f>
        <v>Y</v>
      </c>
      <c r="FI74" s="830" t="str">
        <f>IFERROR(VLOOKUP($B74,'Historical Conc Grant Elig'!$B$3:$J$707,'HH &amp; SI'!FI$2,0),"N")</f>
        <v>Y</v>
      </c>
      <c r="FJ74" s="830" t="str">
        <f>IFERROR(VLOOKUP($B74,'Historical Conc Grant Elig'!$B$3:$J$707,'HH &amp; SI'!FJ$2,0),"N")</f>
        <v>N</v>
      </c>
      <c r="FK74" s="830" t="str">
        <f>IFERROR(VLOOKUP($B74,'Historical Conc Grant Elig'!$B$3:$J$707,'HH &amp; SI'!FK$2,0),"N")</f>
        <v>N</v>
      </c>
      <c r="FL74" s="957" t="str">
        <f>IFERROR(VLOOKUP($B74,'Historical Conc Grant Elig'!$B$3:$J$707,'HH &amp; SI'!FL$2,0),"N")</f>
        <v>N</v>
      </c>
    </row>
    <row r="75" spans="2:168" x14ac:dyDescent="0.25">
      <c r="B75" s="634">
        <v>60345000</v>
      </c>
      <c r="C75" s="635" t="str">
        <f>VLOOKUP($B75,'Afton Update'!$A$5:$CR$582,'Afton Update'!D$589,0)</f>
        <v>Eagle Elementary District</v>
      </c>
      <c r="D75" s="636">
        <f>IFERROR(VLOOKUP($B75,'Afton FY16 Final'!$A$5:$BV$587,'Afton FY16 Final'!AQ$587,0),0)</f>
        <v>0</v>
      </c>
      <c r="E75" s="637">
        <f>IFERROR(VLOOKUP($B75,'Afton FY16 Final'!$A$5:$BV$587,'Afton FY16 Final'!AR$587,0),0)</f>
        <v>0</v>
      </c>
      <c r="F75" s="637">
        <f>IFERROR(VLOOKUP($B75,'Afton FY16 Final'!$A$5:$BV$587,'Afton FY16 Final'!AS$587,0),0)</f>
        <v>0</v>
      </c>
      <c r="G75" s="637">
        <f>IFERROR(VLOOKUP($B75,'Afton FY16 Final'!$A$5:$BV$587,'Afton FY16 Final'!AT$587,0),0)</f>
        <v>0</v>
      </c>
      <c r="H75" s="638">
        <f>IFERROR(VLOOKUP($B75,'Afton FY16 Final'!$A$5:$BV$587,'Afton FY16 Final'!AU$587,0),0)</f>
        <v>0</v>
      </c>
      <c r="I75" s="639" t="str">
        <f>VLOOKUP($B75,'Afton Update'!$A$5:$CR$582,'Afton Update'!BT$589,0)</f>
        <v>N</v>
      </c>
      <c r="J75" s="640" t="str">
        <f>VLOOKUP($B75,'Afton Update'!$A$5:$CR$582,'Afton Update'!BU$589,0)</f>
        <v>N</v>
      </c>
      <c r="K75" s="640" t="str">
        <f>VLOOKUP($B75,'Afton Update'!$A$5:$CR$582,'Afton Update'!BV$589,0)</f>
        <v>N</v>
      </c>
      <c r="L75" s="641" t="str">
        <f>VLOOKUP($B75,'Afton Update'!$A$5:$CR$582,'Afton Update'!BW$589,0)</f>
        <v>N</v>
      </c>
      <c r="N75" s="642">
        <f>VLOOKUP($B75,'Afton Update'!$A$5:$CR$582,'Afton Update'!CB$589,0)</f>
        <v>0.85</v>
      </c>
      <c r="P75" s="636">
        <f>VLOOKUP($B75,'Afton Update'!$A$5:$CR$582,'Afton Update'!AH$589,0)</f>
        <v>0</v>
      </c>
      <c r="Q75" s="637">
        <f>VLOOKUP($B75,'Afton Update'!$A$5:$CR$582,'Afton Update'!AI$589,0)</f>
        <v>0</v>
      </c>
      <c r="R75" s="637">
        <f>VLOOKUP($B75,'Afton Update'!$A$5:$CR$582,'Afton Update'!AJ$589,0)</f>
        <v>0</v>
      </c>
      <c r="S75" s="637">
        <f>VLOOKUP($B75,'Afton Update'!$A$5:$CR$582,'Afton Update'!AK$589,0)</f>
        <v>0</v>
      </c>
      <c r="T75" s="643">
        <f t="shared" si="145"/>
        <v>0</v>
      </c>
      <c r="V75" s="636">
        <f t="shared" si="193"/>
        <v>0</v>
      </c>
      <c r="W75" s="637">
        <f t="shared" si="194"/>
        <v>0</v>
      </c>
      <c r="X75" s="637">
        <f t="shared" si="195"/>
        <v>0</v>
      </c>
      <c r="Y75" s="637">
        <f t="shared" si="196"/>
        <v>0</v>
      </c>
      <c r="Z75" s="643">
        <f t="shared" si="197"/>
        <v>0</v>
      </c>
      <c r="AB75" s="644">
        <f t="shared" si="146"/>
        <v>0</v>
      </c>
      <c r="AC75" s="645">
        <f t="shared" si="134"/>
        <v>0</v>
      </c>
      <c r="AD75" s="644">
        <f t="shared" si="198"/>
        <v>0</v>
      </c>
      <c r="AE75" s="645">
        <f t="shared" si="199"/>
        <v>0</v>
      </c>
      <c r="AF75" s="646">
        <f t="shared" si="200"/>
        <v>0</v>
      </c>
      <c r="AG75" s="647">
        <f t="shared" si="201"/>
        <v>0</v>
      </c>
      <c r="AH75" s="644">
        <f t="shared" si="147"/>
        <v>0</v>
      </c>
      <c r="AI75" s="645">
        <f t="shared" si="148"/>
        <v>0</v>
      </c>
      <c r="AJ75" s="646">
        <f t="shared" si="202"/>
        <v>0</v>
      </c>
      <c r="AK75" s="647">
        <f t="shared" si="149"/>
        <v>0</v>
      </c>
      <c r="AL75" s="644">
        <f t="shared" si="203"/>
        <v>0</v>
      </c>
      <c r="AM75" s="645">
        <f t="shared" si="204"/>
        <v>0</v>
      </c>
      <c r="AN75" s="646">
        <f t="shared" si="205"/>
        <v>0</v>
      </c>
      <c r="AO75" s="647">
        <f t="shared" si="150"/>
        <v>0</v>
      </c>
      <c r="AP75" s="644">
        <f t="shared" si="206"/>
        <v>0</v>
      </c>
      <c r="AQ75" s="645">
        <f t="shared" si="207"/>
        <v>0</v>
      </c>
      <c r="AR75" s="646">
        <f t="shared" si="208"/>
        <v>0</v>
      </c>
      <c r="AS75" s="647">
        <f t="shared" si="151"/>
        <v>0</v>
      </c>
      <c r="AT75" s="644">
        <f t="shared" si="209"/>
        <v>0</v>
      </c>
      <c r="AU75" s="645">
        <f t="shared" si="210"/>
        <v>0</v>
      </c>
      <c r="AV75" s="646">
        <f t="shared" si="211"/>
        <v>0</v>
      </c>
      <c r="AW75" s="647">
        <f t="shared" si="152"/>
        <v>0</v>
      </c>
      <c r="AY75" s="644">
        <f t="shared" si="212"/>
        <v>0</v>
      </c>
      <c r="AZ75" s="645">
        <f t="shared" si="153"/>
        <v>0</v>
      </c>
      <c r="BA75" s="644">
        <f t="shared" si="213"/>
        <v>0</v>
      </c>
      <c r="BB75" s="645">
        <f t="shared" si="214"/>
        <v>0</v>
      </c>
      <c r="BC75" s="646">
        <f t="shared" si="215"/>
        <v>0</v>
      </c>
      <c r="BD75" s="647">
        <f t="shared" si="216"/>
        <v>0</v>
      </c>
      <c r="BE75" s="644">
        <f t="shared" si="154"/>
        <v>0</v>
      </c>
      <c r="BF75" s="645">
        <f t="shared" si="155"/>
        <v>0</v>
      </c>
      <c r="BG75" s="646">
        <f t="shared" si="217"/>
        <v>0</v>
      </c>
      <c r="BH75" s="647">
        <f t="shared" si="156"/>
        <v>0</v>
      </c>
      <c r="BI75" s="644">
        <f t="shared" si="218"/>
        <v>0</v>
      </c>
      <c r="BJ75" s="645">
        <f t="shared" si="219"/>
        <v>0</v>
      </c>
      <c r="BK75" s="646">
        <f t="shared" si="220"/>
        <v>0</v>
      </c>
      <c r="BL75" s="647">
        <f t="shared" si="157"/>
        <v>0</v>
      </c>
      <c r="BM75" s="644">
        <f t="shared" si="221"/>
        <v>0</v>
      </c>
      <c r="BN75" s="645">
        <f t="shared" si="222"/>
        <v>0</v>
      </c>
      <c r="BO75" s="646">
        <f t="shared" si="223"/>
        <v>0</v>
      </c>
      <c r="BP75" s="647">
        <f t="shared" si="158"/>
        <v>0</v>
      </c>
      <c r="BQ75" s="644">
        <f t="shared" si="224"/>
        <v>0</v>
      </c>
      <c r="BR75" s="645">
        <f t="shared" si="225"/>
        <v>0</v>
      </c>
      <c r="BS75" s="646">
        <f t="shared" si="226"/>
        <v>0</v>
      </c>
      <c r="BT75" s="647">
        <f t="shared" si="159"/>
        <v>0</v>
      </c>
      <c r="BU75" s="662">
        <f>VLOOKUP(B75,'Afton Update'!$A$5:$AR$582,'Afton Update'!$AO$589,0)-BT75</f>
        <v>0</v>
      </c>
      <c r="BV75" s="644">
        <f t="shared" si="227"/>
        <v>0</v>
      </c>
      <c r="BW75" s="645">
        <f t="shared" si="135"/>
        <v>0</v>
      </c>
      <c r="BX75" s="644">
        <f t="shared" si="228"/>
        <v>0</v>
      </c>
      <c r="BY75" s="645">
        <f t="shared" si="229"/>
        <v>0</v>
      </c>
      <c r="BZ75" s="646">
        <f t="shared" si="230"/>
        <v>0</v>
      </c>
      <c r="CA75" s="647">
        <f t="shared" si="231"/>
        <v>0</v>
      </c>
      <c r="CB75" s="644">
        <f t="shared" si="160"/>
        <v>0</v>
      </c>
      <c r="CC75" s="645">
        <f t="shared" si="161"/>
        <v>0</v>
      </c>
      <c r="CD75" s="646">
        <f t="shared" si="232"/>
        <v>0</v>
      </c>
      <c r="CE75" s="647">
        <f t="shared" si="162"/>
        <v>0</v>
      </c>
      <c r="CF75" s="644">
        <f t="shared" si="233"/>
        <v>0</v>
      </c>
      <c r="CG75" s="645">
        <f t="shared" si="234"/>
        <v>0</v>
      </c>
      <c r="CH75" s="646">
        <f t="shared" si="235"/>
        <v>0</v>
      </c>
      <c r="CI75" s="647">
        <f t="shared" si="163"/>
        <v>0</v>
      </c>
      <c r="CJ75" s="644">
        <f t="shared" si="236"/>
        <v>0</v>
      </c>
      <c r="CK75" s="645">
        <f t="shared" si="237"/>
        <v>0</v>
      </c>
      <c r="CL75" s="646">
        <f t="shared" si="238"/>
        <v>0</v>
      </c>
      <c r="CM75" s="647">
        <f t="shared" si="164"/>
        <v>0</v>
      </c>
      <c r="CN75" s="644">
        <f t="shared" si="239"/>
        <v>0</v>
      </c>
      <c r="CO75" s="645">
        <f t="shared" si="240"/>
        <v>0</v>
      </c>
      <c r="CP75" s="646">
        <f t="shared" si="241"/>
        <v>0</v>
      </c>
      <c r="CQ75" s="647">
        <f t="shared" si="165"/>
        <v>0</v>
      </c>
      <c r="CS75" s="644">
        <f t="shared" si="242"/>
        <v>0</v>
      </c>
      <c r="CT75" s="645">
        <f t="shared" si="136"/>
        <v>0</v>
      </c>
      <c r="CU75" s="644">
        <f t="shared" si="243"/>
        <v>0</v>
      </c>
      <c r="CV75" s="645">
        <f t="shared" si="244"/>
        <v>0</v>
      </c>
      <c r="CW75" s="646">
        <f t="shared" si="245"/>
        <v>0</v>
      </c>
      <c r="CX75" s="647">
        <f t="shared" si="246"/>
        <v>0</v>
      </c>
      <c r="CY75" s="644">
        <f t="shared" si="166"/>
        <v>0</v>
      </c>
      <c r="CZ75" s="645">
        <f t="shared" si="167"/>
        <v>0</v>
      </c>
      <c r="DA75" s="646">
        <f t="shared" si="247"/>
        <v>0</v>
      </c>
      <c r="DB75" s="647">
        <f t="shared" si="168"/>
        <v>0</v>
      </c>
      <c r="DC75" s="644">
        <f t="shared" si="248"/>
        <v>0</v>
      </c>
      <c r="DD75" s="645">
        <f t="shared" si="249"/>
        <v>0</v>
      </c>
      <c r="DE75" s="646">
        <f t="shared" si="250"/>
        <v>0</v>
      </c>
      <c r="DF75" s="647">
        <f t="shared" si="169"/>
        <v>0</v>
      </c>
      <c r="DG75" s="644">
        <f t="shared" si="251"/>
        <v>0</v>
      </c>
      <c r="DH75" s="645">
        <f t="shared" si="252"/>
        <v>0</v>
      </c>
      <c r="DI75" s="646">
        <f t="shared" si="253"/>
        <v>0</v>
      </c>
      <c r="DJ75" s="647">
        <f t="shared" si="170"/>
        <v>0</v>
      </c>
      <c r="DK75" s="644">
        <f t="shared" si="254"/>
        <v>0</v>
      </c>
      <c r="DL75" s="645">
        <f t="shared" si="255"/>
        <v>0</v>
      </c>
      <c r="DM75" s="646">
        <f t="shared" si="256"/>
        <v>0</v>
      </c>
      <c r="DN75" s="647">
        <f t="shared" si="171"/>
        <v>0</v>
      </c>
      <c r="DR75" s="827">
        <f t="shared" si="172"/>
        <v>0</v>
      </c>
      <c r="DV75" s="828">
        <f>IFERROR(VLOOKUP($B75,'Afton FY16 Final'!$A$5:$BV$587,'Afton FY16 Final'!$BV$587,0),0)</f>
        <v>0</v>
      </c>
      <c r="DX75" s="636">
        <f t="shared" si="137"/>
        <v>0</v>
      </c>
      <c r="DY75" s="637">
        <f t="shared" si="138"/>
        <v>0</v>
      </c>
      <c r="DZ75" s="637">
        <f t="shared" si="139"/>
        <v>0</v>
      </c>
      <c r="EA75" s="643">
        <f t="shared" si="140"/>
        <v>0</v>
      </c>
      <c r="EB75" s="637">
        <f t="shared" si="173"/>
        <v>0</v>
      </c>
      <c r="EC75" s="637">
        <f t="shared" si="174"/>
        <v>0</v>
      </c>
      <c r="ED75" s="637">
        <f t="shared" si="175"/>
        <v>0</v>
      </c>
      <c r="EE75" s="643">
        <f t="shared" si="176"/>
        <v>0</v>
      </c>
      <c r="EF75" s="637">
        <f t="shared" si="177"/>
        <v>0</v>
      </c>
      <c r="EG75" s="637">
        <f t="shared" si="178"/>
        <v>0</v>
      </c>
      <c r="EH75" s="637">
        <f t="shared" si="179"/>
        <v>0</v>
      </c>
      <c r="EI75" s="643">
        <f t="shared" si="180"/>
        <v>0</v>
      </c>
      <c r="EJ75" s="637">
        <f t="shared" si="181"/>
        <v>0</v>
      </c>
      <c r="EK75" s="637">
        <f t="shared" si="182"/>
        <v>0</v>
      </c>
      <c r="EL75" s="637">
        <f t="shared" si="183"/>
        <v>0</v>
      </c>
      <c r="EM75" s="643">
        <f t="shared" si="184"/>
        <v>0</v>
      </c>
      <c r="EN75" s="637">
        <f t="shared" si="185"/>
        <v>0</v>
      </c>
      <c r="EO75" s="637">
        <f t="shared" si="186"/>
        <v>0</v>
      </c>
      <c r="EP75" s="637">
        <f t="shared" si="187"/>
        <v>0</v>
      </c>
      <c r="EQ75" s="643">
        <f t="shared" si="188"/>
        <v>0</v>
      </c>
      <c r="ER75" s="637">
        <f t="shared" si="189"/>
        <v>0</v>
      </c>
      <c r="ES75" s="637">
        <f t="shared" si="190"/>
        <v>0</v>
      </c>
      <c r="ET75" s="637">
        <f t="shared" si="191"/>
        <v>0</v>
      </c>
      <c r="EU75" s="643">
        <f t="shared" si="141"/>
        <v>0</v>
      </c>
      <c r="EV75" s="643">
        <f t="shared" si="142"/>
        <v>0</v>
      </c>
      <c r="EX75" s="829">
        <f t="shared" si="143"/>
        <v>0</v>
      </c>
      <c r="EY75" s="638">
        <f t="shared" si="144"/>
        <v>0</v>
      </c>
      <c r="FC75" s="830" t="str">
        <f t="shared" si="192"/>
        <v>N</v>
      </c>
      <c r="FE75" s="830" t="str">
        <f>IFERROR(VLOOKUP($B75,'Historical Conc Grant Elig'!$B$3:$J$707,'HH &amp; SI'!FE$2,0),"N")</f>
        <v>N</v>
      </c>
      <c r="FF75" s="830" t="str">
        <f>IFERROR(VLOOKUP($B75,'Historical Conc Grant Elig'!$B$3:$J$707,'HH &amp; SI'!FF$2,0),"N")</f>
        <v>N</v>
      </c>
      <c r="FG75" s="830" t="str">
        <f>IFERROR(VLOOKUP($B75,'Historical Conc Grant Elig'!$B$3:$J$707,'HH &amp; SI'!FG$2,0),"N")</f>
        <v>N</v>
      </c>
      <c r="FH75" s="830" t="str">
        <f>IFERROR(VLOOKUP($B75,'Historical Conc Grant Elig'!$B$3:$J$707,'HH &amp; SI'!FH$2,0),"N")</f>
        <v>N</v>
      </c>
      <c r="FI75" s="830" t="str">
        <f>IFERROR(VLOOKUP($B75,'Historical Conc Grant Elig'!$B$3:$J$707,'HH &amp; SI'!FI$2,0),"N")</f>
        <v>N</v>
      </c>
      <c r="FJ75" s="830" t="str">
        <f>IFERROR(VLOOKUP($B75,'Historical Conc Grant Elig'!$B$3:$J$707,'HH &amp; SI'!FJ$2,0),"N")</f>
        <v>N</v>
      </c>
      <c r="FK75" s="830" t="str">
        <f>IFERROR(VLOOKUP($B75,'Historical Conc Grant Elig'!$B$3:$J$707,'HH &amp; SI'!FK$2,0),"N")</f>
        <v>N</v>
      </c>
      <c r="FL75" s="957" t="str">
        <f>IFERROR(VLOOKUP($B75,'Historical Conc Grant Elig'!$B$3:$J$707,'HH &amp; SI'!FL$2,0),"N")</f>
        <v>N</v>
      </c>
    </row>
    <row r="76" spans="2:168" x14ac:dyDescent="0.25">
      <c r="B76" s="634">
        <v>70199000</v>
      </c>
      <c r="C76" s="635" t="str">
        <f>VLOOKUP($B76,'Afton Update'!$A$5:$CR$582,'Afton Update'!D$589,0)</f>
        <v>Maricopa County Regional District</v>
      </c>
      <c r="D76" s="636">
        <f>IFERROR(VLOOKUP($B76,'Afton FY16 Final'!$A$5:$BV$587,'Afton FY16 Final'!AQ$587,0),0)</f>
        <v>92737.218871591016</v>
      </c>
      <c r="E76" s="637">
        <f>IFERROR(VLOOKUP($B76,'Afton FY16 Final'!$A$5:$BV$587,'Afton FY16 Final'!AR$587,0),0)</f>
        <v>19633.439618756816</v>
      </c>
      <c r="F76" s="637">
        <f>IFERROR(VLOOKUP($B76,'Afton FY16 Final'!$A$5:$BV$587,'Afton FY16 Final'!AS$587,0),0)</f>
        <v>49170.628391374703</v>
      </c>
      <c r="G76" s="637">
        <f>IFERROR(VLOOKUP($B76,'Afton FY16 Final'!$A$5:$BV$587,'Afton FY16 Final'!AT$587,0),0)</f>
        <v>47375.561986567605</v>
      </c>
      <c r="H76" s="638">
        <f>IFERROR(VLOOKUP($B76,'Afton FY16 Final'!$A$5:$BV$587,'Afton FY16 Final'!AU$587,0),0)</f>
        <v>208916.84886829014</v>
      </c>
      <c r="I76" s="639" t="str">
        <f>VLOOKUP($B76,'Afton Update'!$A$5:$CR$582,'Afton Update'!BT$589,0)</f>
        <v>Y</v>
      </c>
      <c r="J76" s="640" t="str">
        <f>VLOOKUP($B76,'Afton Update'!$A$5:$CR$582,'Afton Update'!BU$589,0)</f>
        <v>Y</v>
      </c>
      <c r="K76" s="640" t="str">
        <f>VLOOKUP($B76,'Afton Update'!$A$5:$CR$582,'Afton Update'!BV$589,0)</f>
        <v>Y</v>
      </c>
      <c r="L76" s="641" t="str">
        <f>VLOOKUP($B76,'Afton Update'!$A$5:$CR$582,'Afton Update'!BW$589,0)</f>
        <v>Y</v>
      </c>
      <c r="N76" s="642">
        <f>VLOOKUP($B76,'Afton Update'!$A$5:$CR$582,'Afton Update'!CB$589,0)</f>
        <v>0.95</v>
      </c>
      <c r="P76" s="636">
        <f>VLOOKUP($B76,'Afton Update'!$A$5:$CR$582,'Afton Update'!AH$589,0)</f>
        <v>191096.53990939067</v>
      </c>
      <c r="Q76" s="637">
        <f>VLOOKUP($B76,'Afton Update'!$A$5:$CR$582,'Afton Update'!AI$589,0)</f>
        <v>41649.27852791817</v>
      </c>
      <c r="R76" s="637">
        <f>VLOOKUP($B76,'Afton Update'!$A$5:$CR$582,'Afton Update'!AJ$589,0)</f>
        <v>111866.88167357507</v>
      </c>
      <c r="S76" s="637">
        <f>VLOOKUP($B76,'Afton Update'!$A$5:$CR$582,'Afton Update'!AK$589,0)</f>
        <v>104133.37205954429</v>
      </c>
      <c r="T76" s="643">
        <f t="shared" si="145"/>
        <v>448746.07217042823</v>
      </c>
      <c r="V76" s="636">
        <f t="shared" si="193"/>
        <v>188489.8590712063</v>
      </c>
      <c r="W76" s="637">
        <f t="shared" si="194"/>
        <v>40277.503566938372</v>
      </c>
      <c r="X76" s="637">
        <f t="shared" si="195"/>
        <v>110849.49606152643</v>
      </c>
      <c r="Y76" s="637">
        <f t="shared" si="196"/>
        <v>102986.00974909301</v>
      </c>
      <c r="Z76" s="643">
        <f t="shared" si="197"/>
        <v>442602.86844876409</v>
      </c>
      <c r="AB76" s="644">
        <f t="shared" si="146"/>
        <v>191096.53990939067</v>
      </c>
      <c r="AC76" s="645">
        <f t="shared" si="134"/>
        <v>88100.357928011465</v>
      </c>
      <c r="AD76" s="644">
        <f t="shared" si="198"/>
        <v>0</v>
      </c>
      <c r="AE76" s="645">
        <f t="shared" si="199"/>
        <v>191096.53990939067</v>
      </c>
      <c r="AF76" s="646">
        <f t="shared" si="200"/>
        <v>-2368.785217403939</v>
      </c>
      <c r="AG76" s="647">
        <f t="shared" si="201"/>
        <v>188727.75469198675</v>
      </c>
      <c r="AH76" s="644">
        <f t="shared" si="147"/>
        <v>0</v>
      </c>
      <c r="AI76" s="645">
        <f t="shared" si="148"/>
        <v>188727.75469198675</v>
      </c>
      <c r="AJ76" s="646">
        <f t="shared" si="202"/>
        <v>-237.74405821112296</v>
      </c>
      <c r="AK76" s="647">
        <f t="shared" si="149"/>
        <v>188490.01063377562</v>
      </c>
      <c r="AL76" s="644">
        <f t="shared" si="203"/>
        <v>0</v>
      </c>
      <c r="AM76" s="645">
        <f t="shared" si="204"/>
        <v>188490.01063377562</v>
      </c>
      <c r="AN76" s="646">
        <f t="shared" si="205"/>
        <v>-0.15156256932016138</v>
      </c>
      <c r="AO76" s="647">
        <f t="shared" si="150"/>
        <v>188489.8590712063</v>
      </c>
      <c r="AP76" s="644">
        <f t="shared" si="206"/>
        <v>0</v>
      </c>
      <c r="AQ76" s="645">
        <f t="shared" si="207"/>
        <v>188489.8590712063</v>
      </c>
      <c r="AR76" s="646">
        <f t="shared" si="208"/>
        <v>0</v>
      </c>
      <c r="AS76" s="647">
        <f t="shared" si="151"/>
        <v>188489.8590712063</v>
      </c>
      <c r="AT76" s="644">
        <f t="shared" si="209"/>
        <v>0</v>
      </c>
      <c r="AU76" s="645">
        <f t="shared" si="210"/>
        <v>188489.8590712063</v>
      </c>
      <c r="AV76" s="646">
        <f t="shared" si="211"/>
        <v>0</v>
      </c>
      <c r="AW76" s="647">
        <f t="shared" si="152"/>
        <v>188489.8590712063</v>
      </c>
      <c r="AY76" s="644">
        <f t="shared" si="212"/>
        <v>41649.27852791817</v>
      </c>
      <c r="AZ76" s="645">
        <f t="shared" si="153"/>
        <v>18651.767637818975</v>
      </c>
      <c r="BA76" s="644">
        <f t="shared" si="213"/>
        <v>0</v>
      </c>
      <c r="BB76" s="645">
        <f t="shared" si="214"/>
        <v>41649.27852791817</v>
      </c>
      <c r="BC76" s="646">
        <f t="shared" si="215"/>
        <v>-299.51209976200431</v>
      </c>
      <c r="BD76" s="647">
        <f t="shared" si="216"/>
        <v>41349.766428156167</v>
      </c>
      <c r="BE76" s="644">
        <f t="shared" si="154"/>
        <v>0</v>
      </c>
      <c r="BF76" s="645">
        <f t="shared" si="155"/>
        <v>41349.766428156167</v>
      </c>
      <c r="BG76" s="646">
        <f t="shared" si="217"/>
        <v>-984.91773869012297</v>
      </c>
      <c r="BH76" s="647">
        <f t="shared" si="156"/>
        <v>40364.848689466045</v>
      </c>
      <c r="BI76" s="644">
        <f t="shared" si="218"/>
        <v>0</v>
      </c>
      <c r="BJ76" s="645">
        <f t="shared" si="219"/>
        <v>40364.848689466045</v>
      </c>
      <c r="BK76" s="646">
        <f t="shared" si="220"/>
        <v>-85.50223009739733</v>
      </c>
      <c r="BL76" s="647">
        <f t="shared" si="157"/>
        <v>40279.346459368651</v>
      </c>
      <c r="BM76" s="644">
        <f t="shared" si="221"/>
        <v>0</v>
      </c>
      <c r="BN76" s="645">
        <f t="shared" si="222"/>
        <v>40279.346459368651</v>
      </c>
      <c r="BO76" s="646">
        <f t="shared" si="223"/>
        <v>-1.8428924302770395</v>
      </c>
      <c r="BP76" s="647">
        <f t="shared" si="158"/>
        <v>40277.503566938372</v>
      </c>
      <c r="BQ76" s="644">
        <f t="shared" si="224"/>
        <v>0</v>
      </c>
      <c r="BR76" s="645">
        <f t="shared" si="225"/>
        <v>40277.503566938372</v>
      </c>
      <c r="BS76" s="646">
        <f t="shared" si="226"/>
        <v>0</v>
      </c>
      <c r="BT76" s="647">
        <f t="shared" si="159"/>
        <v>40277.503566938372</v>
      </c>
      <c r="BU76" s="662">
        <f>VLOOKUP(B76,'Afton Update'!$A$5:$AR$582,'Afton Update'!$AO$589,0)-BT76</f>
        <v>0</v>
      </c>
      <c r="BV76" s="644">
        <f t="shared" si="227"/>
        <v>111866.88167357507</v>
      </c>
      <c r="BW76" s="645">
        <f t="shared" si="135"/>
        <v>46712.096971805964</v>
      </c>
      <c r="BX76" s="644">
        <f t="shared" si="228"/>
        <v>0</v>
      </c>
      <c r="BY76" s="645">
        <f t="shared" si="229"/>
        <v>111866.88167357507</v>
      </c>
      <c r="BZ76" s="646">
        <f t="shared" si="230"/>
        <v>-981.86751400295839</v>
      </c>
      <c r="CA76" s="647">
        <f t="shared" si="231"/>
        <v>110885.01415957212</v>
      </c>
      <c r="CB76" s="644">
        <f t="shared" si="160"/>
        <v>0</v>
      </c>
      <c r="CC76" s="645">
        <f t="shared" si="161"/>
        <v>110885.01415957212</v>
      </c>
      <c r="CD76" s="646">
        <f t="shared" si="232"/>
        <v>-35.518098045693662</v>
      </c>
      <c r="CE76" s="647">
        <f t="shared" si="162"/>
        <v>110849.49606152643</v>
      </c>
      <c r="CF76" s="644">
        <f t="shared" si="233"/>
        <v>0</v>
      </c>
      <c r="CG76" s="645">
        <f t="shared" si="234"/>
        <v>110849.49606152643</v>
      </c>
      <c r="CH76" s="646">
        <f t="shared" si="235"/>
        <v>0</v>
      </c>
      <c r="CI76" s="647">
        <f t="shared" si="163"/>
        <v>110849.49606152643</v>
      </c>
      <c r="CJ76" s="644">
        <f t="shared" si="236"/>
        <v>0</v>
      </c>
      <c r="CK76" s="645">
        <f t="shared" si="237"/>
        <v>110849.49606152643</v>
      </c>
      <c r="CL76" s="646">
        <f t="shared" si="238"/>
        <v>0</v>
      </c>
      <c r="CM76" s="647">
        <f t="shared" si="164"/>
        <v>110849.49606152643</v>
      </c>
      <c r="CN76" s="644">
        <f t="shared" si="239"/>
        <v>0</v>
      </c>
      <c r="CO76" s="645">
        <f t="shared" si="240"/>
        <v>110849.49606152643</v>
      </c>
      <c r="CP76" s="646">
        <f t="shared" si="241"/>
        <v>0</v>
      </c>
      <c r="CQ76" s="647">
        <f t="shared" si="165"/>
        <v>110849.49606152643</v>
      </c>
      <c r="CS76" s="644">
        <f t="shared" si="242"/>
        <v>104133.37205954429</v>
      </c>
      <c r="CT76" s="645">
        <f t="shared" si="136"/>
        <v>45006.783887239224</v>
      </c>
      <c r="CU76" s="644">
        <f t="shared" si="243"/>
        <v>0</v>
      </c>
      <c r="CV76" s="645">
        <f t="shared" si="244"/>
        <v>104133.37205954429</v>
      </c>
      <c r="CW76" s="646">
        <f t="shared" si="245"/>
        <v>-1066.3845779466878</v>
      </c>
      <c r="CX76" s="647">
        <f t="shared" si="246"/>
        <v>103066.98748159759</v>
      </c>
      <c r="CY76" s="644">
        <f t="shared" si="166"/>
        <v>0</v>
      </c>
      <c r="CZ76" s="645">
        <f t="shared" si="167"/>
        <v>103066.98748159759</v>
      </c>
      <c r="DA76" s="646">
        <f t="shared" si="247"/>
        <v>-80.907959466823669</v>
      </c>
      <c r="DB76" s="647">
        <f t="shared" si="168"/>
        <v>102986.07952213076</v>
      </c>
      <c r="DC76" s="644">
        <f t="shared" si="248"/>
        <v>0</v>
      </c>
      <c r="DD76" s="645">
        <f t="shared" si="249"/>
        <v>102986.07952213076</v>
      </c>
      <c r="DE76" s="646">
        <f t="shared" si="250"/>
        <v>-6.9773037761981377E-2</v>
      </c>
      <c r="DF76" s="647">
        <f t="shared" si="169"/>
        <v>102986.00974909301</v>
      </c>
      <c r="DG76" s="644">
        <f t="shared" si="251"/>
        <v>0</v>
      </c>
      <c r="DH76" s="645">
        <f t="shared" si="252"/>
        <v>102986.00974909301</v>
      </c>
      <c r="DI76" s="646">
        <f t="shared" si="253"/>
        <v>0</v>
      </c>
      <c r="DJ76" s="647">
        <f t="shared" si="170"/>
        <v>102986.00974909301</v>
      </c>
      <c r="DK76" s="644">
        <f t="shared" si="254"/>
        <v>0</v>
      </c>
      <c r="DL76" s="645">
        <f t="shared" si="255"/>
        <v>102986.00974909301</v>
      </c>
      <c r="DM76" s="646">
        <f t="shared" si="256"/>
        <v>0</v>
      </c>
      <c r="DN76" s="647">
        <f t="shared" si="171"/>
        <v>102986.00974909301</v>
      </c>
      <c r="DR76" s="827">
        <f t="shared" si="172"/>
        <v>442602.86844876409</v>
      </c>
      <c r="DV76" s="828">
        <f>IFERROR(VLOOKUP($B76,'Afton FY16 Final'!$A$5:$BV$587,'Afton FY16 Final'!$BV$587,0),0)</f>
        <v>204803.27614867195</v>
      </c>
      <c r="DX76" s="636">
        <f t="shared" si="137"/>
        <v>442602.86844876409</v>
      </c>
      <c r="DY76" s="637">
        <f t="shared" si="138"/>
        <v>237799.59230009213</v>
      </c>
      <c r="DZ76" s="637">
        <f t="shared" si="139"/>
        <v>204803.27614867195</v>
      </c>
      <c r="EA76" s="643">
        <f t="shared" si="140"/>
        <v>419061.35627509968</v>
      </c>
      <c r="EB76" s="637">
        <f t="shared" si="173"/>
        <v>0</v>
      </c>
      <c r="EC76" s="637">
        <f t="shared" si="174"/>
        <v>419061.35627509968</v>
      </c>
      <c r="ED76" s="637">
        <f t="shared" si="175"/>
        <v>417811.74033188797</v>
      </c>
      <c r="EE76" s="643">
        <f t="shared" si="176"/>
        <v>417811.74033188797</v>
      </c>
      <c r="EF76" s="637">
        <f t="shared" si="177"/>
        <v>0</v>
      </c>
      <c r="EG76" s="637">
        <f t="shared" si="178"/>
        <v>417811.74033188797</v>
      </c>
      <c r="EH76" s="637">
        <f t="shared" si="179"/>
        <v>417811.30929182388</v>
      </c>
      <c r="EI76" s="643">
        <f t="shared" si="180"/>
        <v>417811.30929182388</v>
      </c>
      <c r="EJ76" s="637">
        <f t="shared" si="181"/>
        <v>0</v>
      </c>
      <c r="EK76" s="637">
        <f t="shared" si="182"/>
        <v>417811.30929182388</v>
      </c>
      <c r="EL76" s="637">
        <f t="shared" si="183"/>
        <v>417811.30929182336</v>
      </c>
      <c r="EM76" s="643">
        <f t="shared" si="184"/>
        <v>417811.30929182336</v>
      </c>
      <c r="EN76" s="637">
        <f t="shared" si="185"/>
        <v>0</v>
      </c>
      <c r="EO76" s="637">
        <f t="shared" si="186"/>
        <v>417811.30929182336</v>
      </c>
      <c r="EP76" s="637">
        <f t="shared" si="187"/>
        <v>417811.309291824</v>
      </c>
      <c r="EQ76" s="643">
        <f t="shared" si="188"/>
        <v>417811.309291824</v>
      </c>
      <c r="ER76" s="637">
        <f t="shared" si="189"/>
        <v>0</v>
      </c>
      <c r="ES76" s="637">
        <f t="shared" si="190"/>
        <v>417811.309291824</v>
      </c>
      <c r="ET76" s="637">
        <f t="shared" si="191"/>
        <v>417811.30929182336</v>
      </c>
      <c r="EU76" s="643">
        <f t="shared" si="141"/>
        <v>417811.30929182336</v>
      </c>
      <c r="EV76" s="643">
        <f t="shared" si="142"/>
        <v>0</v>
      </c>
      <c r="EX76" s="829">
        <f t="shared" si="143"/>
        <v>24791.559156940726</v>
      </c>
      <c r="EY76" s="638">
        <f t="shared" si="144"/>
        <v>417811.30929182336</v>
      </c>
      <c r="FC76" s="830" t="str">
        <f t="shared" si="192"/>
        <v>Y</v>
      </c>
      <c r="FE76" s="830" t="str">
        <f>IFERROR(VLOOKUP($B76,'Historical Conc Grant Elig'!$B$3:$J$707,'HH &amp; SI'!FE$2,0),"N")</f>
        <v>Y</v>
      </c>
      <c r="FF76" s="830" t="str">
        <f>IFERROR(VLOOKUP($B76,'Historical Conc Grant Elig'!$B$3:$J$707,'HH &amp; SI'!FF$2,0),"N")</f>
        <v>Y</v>
      </c>
      <c r="FG76" s="830" t="str">
        <f>IFERROR(VLOOKUP($B76,'Historical Conc Grant Elig'!$B$3:$J$707,'HH &amp; SI'!FG$2,0),"N")</f>
        <v>Y</v>
      </c>
      <c r="FH76" s="830" t="str">
        <f>IFERROR(VLOOKUP($B76,'Historical Conc Grant Elig'!$B$3:$J$707,'HH &amp; SI'!FH$2,0),"N")</f>
        <v>Y</v>
      </c>
      <c r="FI76" s="830" t="str">
        <f>IFERROR(VLOOKUP($B76,'Historical Conc Grant Elig'!$B$3:$J$707,'HH &amp; SI'!FI$2,0),"N")</f>
        <v>Y</v>
      </c>
      <c r="FJ76" s="830" t="str">
        <f>IFERROR(VLOOKUP($B76,'Historical Conc Grant Elig'!$B$3:$J$707,'HH &amp; SI'!FJ$2,0),"N")</f>
        <v>Y</v>
      </c>
      <c r="FK76" s="830" t="str">
        <f>IFERROR(VLOOKUP($B76,'Historical Conc Grant Elig'!$B$3:$J$707,'HH &amp; SI'!FK$2,0),"N")</f>
        <v>Y</v>
      </c>
      <c r="FL76" s="957" t="str">
        <f>IFERROR(VLOOKUP($B76,'Historical Conc Grant Elig'!$B$3:$J$707,'HH &amp; SI'!FL$2,0),"N")</f>
        <v>Y</v>
      </c>
    </row>
    <row r="77" spans="2:168" x14ac:dyDescent="0.25">
      <c r="B77" s="634">
        <v>70204000</v>
      </c>
      <c r="C77" s="635" t="str">
        <f>VLOOKUP($B77,'Afton Update'!$A$5:$CR$582,'Afton Update'!D$589,0)</f>
        <v>Mesa Unified District</v>
      </c>
      <c r="D77" s="636">
        <f>IFERROR(VLOOKUP($B77,'Afton FY16 Final'!$A$5:$BV$587,'Afton FY16 Final'!AQ$587,0),0)</f>
        <v>8767263.386268843</v>
      </c>
      <c r="E77" s="637">
        <f>IFERROR(VLOOKUP($B77,'Afton FY16 Final'!$A$5:$BV$587,'Afton FY16 Final'!AR$587,0),0)</f>
        <v>2045557.5460802426</v>
      </c>
      <c r="F77" s="637">
        <f>IFERROR(VLOOKUP($B77,'Afton FY16 Final'!$A$5:$BV$587,'Afton FY16 Final'!AS$587,0),0)</f>
        <v>5430034.3843255956</v>
      </c>
      <c r="G77" s="637">
        <f>IFERROR(VLOOKUP($B77,'Afton FY16 Final'!$A$5:$BV$587,'Afton FY16 Final'!AT$587,0),0)</f>
        <v>4887928.9999637622</v>
      </c>
      <c r="H77" s="638">
        <f>IFERROR(VLOOKUP($B77,'Afton FY16 Final'!$A$5:$BV$587,'Afton FY16 Final'!AU$587,0),0)</f>
        <v>21130784.316638444</v>
      </c>
      <c r="I77" s="639" t="str">
        <f>VLOOKUP($B77,'Afton Update'!$A$5:$CR$582,'Afton Update'!BT$589,0)</f>
        <v>Y</v>
      </c>
      <c r="J77" s="640" t="str">
        <f>VLOOKUP($B77,'Afton Update'!$A$5:$CR$582,'Afton Update'!BU$589,0)</f>
        <v>Y</v>
      </c>
      <c r="K77" s="640" t="str">
        <f>VLOOKUP($B77,'Afton Update'!$A$5:$CR$582,'Afton Update'!BV$589,0)</f>
        <v>Y</v>
      </c>
      <c r="L77" s="641" t="str">
        <f>VLOOKUP($B77,'Afton Update'!$A$5:$CR$582,'Afton Update'!BW$589,0)</f>
        <v>Y</v>
      </c>
      <c r="N77" s="642">
        <f>VLOOKUP($B77,'Afton Update'!$A$5:$CR$582,'Afton Update'!CB$589,0)</f>
        <v>0.9</v>
      </c>
      <c r="P77" s="636">
        <f>VLOOKUP($B77,'Afton Update'!$A$5:$CR$582,'Afton Update'!AH$589,0)</f>
        <v>8717806.9795550536</v>
      </c>
      <c r="Q77" s="637">
        <f>VLOOKUP($B77,'Afton Update'!$A$5:$CR$582,'Afton Update'!AI$589,0)</f>
        <v>2079799.3806720788</v>
      </c>
      <c r="R77" s="637">
        <f>VLOOKUP($B77,'Afton Update'!$A$5:$CR$582,'Afton Update'!AJ$589,0)</f>
        <v>5899451.5542754438</v>
      </c>
      <c r="S77" s="637">
        <f>VLOOKUP($B77,'Afton Update'!$A$5:$CR$582,'Afton Update'!AK$589,0)</f>
        <v>5832330.2583473539</v>
      </c>
      <c r="T77" s="643">
        <f t="shared" si="145"/>
        <v>22529388.172849931</v>
      </c>
      <c r="V77" s="636">
        <f t="shared" si="193"/>
        <v>8598890.4339421857</v>
      </c>
      <c r="W77" s="637">
        <f t="shared" si="194"/>
        <v>2011298.3930173989</v>
      </c>
      <c r="X77" s="637">
        <f t="shared" si="195"/>
        <v>5845798.3457430778</v>
      </c>
      <c r="Y77" s="637">
        <f t="shared" si="196"/>
        <v>5768068.4776311219</v>
      </c>
      <c r="Z77" s="643">
        <f t="shared" si="197"/>
        <v>22224055.650333785</v>
      </c>
      <c r="AB77" s="644">
        <f t="shared" si="146"/>
        <v>8717806.9795550536</v>
      </c>
      <c r="AC77" s="645">
        <f t="shared" si="134"/>
        <v>7890537.047641959</v>
      </c>
      <c r="AD77" s="644">
        <f t="shared" si="198"/>
        <v>0</v>
      </c>
      <c r="AE77" s="645">
        <f t="shared" si="199"/>
        <v>8717806.9795550536</v>
      </c>
      <c r="AF77" s="646">
        <f t="shared" si="200"/>
        <v>-108063.76876913877</v>
      </c>
      <c r="AG77" s="647">
        <f t="shared" si="201"/>
        <v>8609743.2107859142</v>
      </c>
      <c r="AH77" s="644">
        <f t="shared" si="147"/>
        <v>0</v>
      </c>
      <c r="AI77" s="645">
        <f t="shared" si="148"/>
        <v>8609743.2107859142</v>
      </c>
      <c r="AJ77" s="646">
        <f t="shared" si="202"/>
        <v>-10845.862572935161</v>
      </c>
      <c r="AK77" s="647">
        <f t="shared" si="149"/>
        <v>8598897.3482129797</v>
      </c>
      <c r="AL77" s="644">
        <f t="shared" si="203"/>
        <v>0</v>
      </c>
      <c r="AM77" s="645">
        <f t="shared" si="204"/>
        <v>8598897.3482129797</v>
      </c>
      <c r="AN77" s="646">
        <f t="shared" si="205"/>
        <v>-6.9142707936265975</v>
      </c>
      <c r="AO77" s="647">
        <f t="shared" si="150"/>
        <v>8598890.4339421857</v>
      </c>
      <c r="AP77" s="644">
        <f t="shared" si="206"/>
        <v>0</v>
      </c>
      <c r="AQ77" s="645">
        <f t="shared" si="207"/>
        <v>8598890.4339421857</v>
      </c>
      <c r="AR77" s="646">
        <f t="shared" si="208"/>
        <v>0</v>
      </c>
      <c r="AS77" s="647">
        <f t="shared" si="151"/>
        <v>8598890.4339421857</v>
      </c>
      <c r="AT77" s="644">
        <f t="shared" si="209"/>
        <v>0</v>
      </c>
      <c r="AU77" s="645">
        <f t="shared" si="210"/>
        <v>8598890.4339421857</v>
      </c>
      <c r="AV77" s="646">
        <f t="shared" si="211"/>
        <v>0</v>
      </c>
      <c r="AW77" s="647">
        <f t="shared" si="152"/>
        <v>8598890.4339421857</v>
      </c>
      <c r="AY77" s="644">
        <f t="shared" si="212"/>
        <v>2079799.3806720788</v>
      </c>
      <c r="AZ77" s="645">
        <f t="shared" si="153"/>
        <v>1841001.7914722185</v>
      </c>
      <c r="BA77" s="644">
        <f t="shared" si="213"/>
        <v>0</v>
      </c>
      <c r="BB77" s="645">
        <f t="shared" si="214"/>
        <v>2079799.3806720788</v>
      </c>
      <c r="BC77" s="646">
        <f t="shared" si="215"/>
        <v>-14956.443463270411</v>
      </c>
      <c r="BD77" s="647">
        <f t="shared" si="216"/>
        <v>2064842.9372088085</v>
      </c>
      <c r="BE77" s="644">
        <f t="shared" si="154"/>
        <v>0</v>
      </c>
      <c r="BF77" s="645">
        <f t="shared" si="155"/>
        <v>2064842.9372088085</v>
      </c>
      <c r="BG77" s="646">
        <f t="shared" si="217"/>
        <v>-49182.876038718561</v>
      </c>
      <c r="BH77" s="647">
        <f t="shared" si="156"/>
        <v>2015660.06117009</v>
      </c>
      <c r="BI77" s="644">
        <f t="shared" si="218"/>
        <v>0</v>
      </c>
      <c r="BJ77" s="645">
        <f t="shared" si="219"/>
        <v>2015660.06117009</v>
      </c>
      <c r="BK77" s="646">
        <f t="shared" si="220"/>
        <v>-4269.6414316864566</v>
      </c>
      <c r="BL77" s="647">
        <f t="shared" si="157"/>
        <v>2011390.4197384035</v>
      </c>
      <c r="BM77" s="644">
        <f t="shared" si="221"/>
        <v>0</v>
      </c>
      <c r="BN77" s="645">
        <f t="shared" si="222"/>
        <v>2011390.4197384035</v>
      </c>
      <c r="BO77" s="646">
        <f t="shared" si="223"/>
        <v>-92.026721004692334</v>
      </c>
      <c r="BP77" s="647">
        <f t="shared" si="158"/>
        <v>2011298.3930173989</v>
      </c>
      <c r="BQ77" s="644">
        <f t="shared" si="224"/>
        <v>0</v>
      </c>
      <c r="BR77" s="645">
        <f t="shared" si="225"/>
        <v>2011298.3930173989</v>
      </c>
      <c r="BS77" s="646">
        <f t="shared" si="226"/>
        <v>0</v>
      </c>
      <c r="BT77" s="647">
        <f t="shared" si="159"/>
        <v>2011298.3930173989</v>
      </c>
      <c r="BU77" s="662">
        <f>VLOOKUP(B77,'Afton Update'!$A$5:$AR$582,'Afton Update'!$AO$589,0)-BT77</f>
        <v>0</v>
      </c>
      <c r="BV77" s="644">
        <f t="shared" si="227"/>
        <v>5899451.5542754438</v>
      </c>
      <c r="BW77" s="645">
        <f t="shared" si="135"/>
        <v>4887030.9458930362</v>
      </c>
      <c r="BX77" s="644">
        <f t="shared" si="228"/>
        <v>0</v>
      </c>
      <c r="BY77" s="645">
        <f t="shared" si="229"/>
        <v>5899451.5542754438</v>
      </c>
      <c r="BZ77" s="646">
        <f t="shared" si="230"/>
        <v>-51780.113514557765</v>
      </c>
      <c r="CA77" s="647">
        <f t="shared" si="231"/>
        <v>5847671.4407608863</v>
      </c>
      <c r="CB77" s="644">
        <f t="shared" si="160"/>
        <v>0</v>
      </c>
      <c r="CC77" s="645">
        <f t="shared" si="161"/>
        <v>5847671.4407608863</v>
      </c>
      <c r="CD77" s="646">
        <f t="shared" si="232"/>
        <v>-1873.095017808756</v>
      </c>
      <c r="CE77" s="647">
        <f t="shared" si="162"/>
        <v>5845798.3457430778</v>
      </c>
      <c r="CF77" s="644">
        <f t="shared" si="233"/>
        <v>0</v>
      </c>
      <c r="CG77" s="645">
        <f t="shared" si="234"/>
        <v>5845798.3457430778</v>
      </c>
      <c r="CH77" s="646">
        <f t="shared" si="235"/>
        <v>0</v>
      </c>
      <c r="CI77" s="647">
        <f t="shared" si="163"/>
        <v>5845798.3457430778</v>
      </c>
      <c r="CJ77" s="644">
        <f t="shared" si="236"/>
        <v>0</v>
      </c>
      <c r="CK77" s="645">
        <f t="shared" si="237"/>
        <v>5845798.3457430778</v>
      </c>
      <c r="CL77" s="646">
        <f t="shared" si="238"/>
        <v>0</v>
      </c>
      <c r="CM77" s="647">
        <f t="shared" si="164"/>
        <v>5845798.3457430778</v>
      </c>
      <c r="CN77" s="644">
        <f t="shared" si="239"/>
        <v>0</v>
      </c>
      <c r="CO77" s="645">
        <f t="shared" si="240"/>
        <v>5845798.3457430778</v>
      </c>
      <c r="CP77" s="646">
        <f t="shared" si="241"/>
        <v>0</v>
      </c>
      <c r="CQ77" s="647">
        <f t="shared" si="165"/>
        <v>5845798.3457430778</v>
      </c>
      <c r="CS77" s="644">
        <f t="shared" si="242"/>
        <v>5832330.2583473539</v>
      </c>
      <c r="CT77" s="645">
        <f t="shared" si="136"/>
        <v>4399136.0999673866</v>
      </c>
      <c r="CU77" s="644">
        <f t="shared" si="243"/>
        <v>0</v>
      </c>
      <c r="CV77" s="645">
        <f t="shared" si="244"/>
        <v>5832330.2583473539</v>
      </c>
      <c r="CW77" s="646">
        <f t="shared" si="245"/>
        <v>-59726.357823475424</v>
      </c>
      <c r="CX77" s="647">
        <f t="shared" si="246"/>
        <v>5772603.9005238786</v>
      </c>
      <c r="CY77" s="644">
        <f t="shared" si="166"/>
        <v>0</v>
      </c>
      <c r="CZ77" s="645">
        <f t="shared" si="167"/>
        <v>5772603.9005238786</v>
      </c>
      <c r="DA77" s="646">
        <f t="shared" si="247"/>
        <v>-4531.5150254586124</v>
      </c>
      <c r="DB77" s="647">
        <f t="shared" si="168"/>
        <v>5768072.3854984203</v>
      </c>
      <c r="DC77" s="644">
        <f t="shared" si="248"/>
        <v>0</v>
      </c>
      <c r="DD77" s="645">
        <f t="shared" si="249"/>
        <v>5768072.3854984203</v>
      </c>
      <c r="DE77" s="646">
        <f t="shared" si="250"/>
        <v>-3.9078672985191094</v>
      </c>
      <c r="DF77" s="647">
        <f t="shared" si="169"/>
        <v>5768068.4776311219</v>
      </c>
      <c r="DG77" s="644">
        <f t="shared" si="251"/>
        <v>0</v>
      </c>
      <c r="DH77" s="645">
        <f t="shared" si="252"/>
        <v>5768068.4776311219</v>
      </c>
      <c r="DI77" s="646">
        <f t="shared" si="253"/>
        <v>0</v>
      </c>
      <c r="DJ77" s="647">
        <f t="shared" si="170"/>
        <v>5768068.4776311219</v>
      </c>
      <c r="DK77" s="644">
        <f t="shared" si="254"/>
        <v>0</v>
      </c>
      <c r="DL77" s="645">
        <f t="shared" si="255"/>
        <v>5768068.4776311219</v>
      </c>
      <c r="DM77" s="646">
        <f t="shared" si="256"/>
        <v>0</v>
      </c>
      <c r="DN77" s="647">
        <f t="shared" si="171"/>
        <v>5768068.4776311219</v>
      </c>
      <c r="DR77" s="827">
        <f t="shared" si="172"/>
        <v>22224055.650333785</v>
      </c>
      <c r="DV77" s="828">
        <f>IFERROR(VLOOKUP($B77,'Afton FY16 Final'!$A$5:$BV$587,'Afton FY16 Final'!$BV$587,0),0)</f>
        <v>19703990.822814971</v>
      </c>
      <c r="DX77" s="636">
        <f t="shared" si="137"/>
        <v>22224055.650333785</v>
      </c>
      <c r="DY77" s="637">
        <f t="shared" si="138"/>
        <v>2520064.8275188133</v>
      </c>
      <c r="DZ77" s="637">
        <f t="shared" si="139"/>
        <v>19703990.822814971</v>
      </c>
      <c r="EA77" s="643">
        <f t="shared" si="140"/>
        <v>21041984.963638514</v>
      </c>
      <c r="EB77" s="637">
        <f t="shared" si="173"/>
        <v>0</v>
      </c>
      <c r="EC77" s="637">
        <f t="shared" si="174"/>
        <v>21041984.963638514</v>
      </c>
      <c r="ED77" s="637">
        <f t="shared" si="175"/>
        <v>20979239.02084602</v>
      </c>
      <c r="EE77" s="643">
        <f t="shared" si="176"/>
        <v>20979239.02084602</v>
      </c>
      <c r="EF77" s="637">
        <f t="shared" si="177"/>
        <v>0</v>
      </c>
      <c r="EG77" s="637">
        <f t="shared" si="178"/>
        <v>20979239.02084602</v>
      </c>
      <c r="EH77" s="637">
        <f t="shared" si="179"/>
        <v>20979217.377384003</v>
      </c>
      <c r="EI77" s="643">
        <f t="shared" si="180"/>
        <v>20979217.377384003</v>
      </c>
      <c r="EJ77" s="637">
        <f t="shared" si="181"/>
        <v>0</v>
      </c>
      <c r="EK77" s="637">
        <f t="shared" si="182"/>
        <v>20979217.377384003</v>
      </c>
      <c r="EL77" s="637">
        <f t="shared" si="183"/>
        <v>20979217.377383973</v>
      </c>
      <c r="EM77" s="643">
        <f t="shared" si="184"/>
        <v>20979217.377383973</v>
      </c>
      <c r="EN77" s="637">
        <f t="shared" si="185"/>
        <v>0</v>
      </c>
      <c r="EO77" s="637">
        <f t="shared" si="186"/>
        <v>20979217.377383973</v>
      </c>
      <c r="EP77" s="637">
        <f t="shared" si="187"/>
        <v>20979217.377384007</v>
      </c>
      <c r="EQ77" s="643">
        <f t="shared" si="188"/>
        <v>20979217.377384007</v>
      </c>
      <c r="ER77" s="637">
        <f t="shared" si="189"/>
        <v>0</v>
      </c>
      <c r="ES77" s="637">
        <f t="shared" si="190"/>
        <v>20979217.377384007</v>
      </c>
      <c r="ET77" s="637">
        <f t="shared" si="191"/>
        <v>20979217.377383973</v>
      </c>
      <c r="EU77" s="643">
        <f t="shared" si="141"/>
        <v>20979217.377383973</v>
      </c>
      <c r="EV77" s="643">
        <f t="shared" si="142"/>
        <v>0</v>
      </c>
      <c r="EX77" s="829">
        <f t="shared" si="143"/>
        <v>1244838.2729498111</v>
      </c>
      <c r="EY77" s="638">
        <f t="shared" si="144"/>
        <v>20979217.377383973</v>
      </c>
      <c r="FC77" s="830" t="str">
        <f t="shared" si="192"/>
        <v>Y</v>
      </c>
      <c r="FE77" s="830" t="str">
        <f>IFERROR(VLOOKUP($B77,'Historical Conc Grant Elig'!$B$3:$J$707,'HH &amp; SI'!FE$2,0),"N")</f>
        <v>Y</v>
      </c>
      <c r="FF77" s="830" t="str">
        <f>IFERROR(VLOOKUP($B77,'Historical Conc Grant Elig'!$B$3:$J$707,'HH &amp; SI'!FF$2,0),"N")</f>
        <v>Y</v>
      </c>
      <c r="FG77" s="830" t="str">
        <f>IFERROR(VLOOKUP($B77,'Historical Conc Grant Elig'!$B$3:$J$707,'HH &amp; SI'!FG$2,0),"N")</f>
        <v>Y</v>
      </c>
      <c r="FH77" s="830" t="str">
        <f>IFERROR(VLOOKUP($B77,'Historical Conc Grant Elig'!$B$3:$J$707,'HH &amp; SI'!FH$2,0),"N")</f>
        <v>Y</v>
      </c>
      <c r="FI77" s="830" t="str">
        <f>IFERROR(VLOOKUP($B77,'Historical Conc Grant Elig'!$B$3:$J$707,'HH &amp; SI'!FI$2,0),"N")</f>
        <v>Y</v>
      </c>
      <c r="FJ77" s="830" t="str">
        <f>IFERROR(VLOOKUP($B77,'Historical Conc Grant Elig'!$B$3:$J$707,'HH &amp; SI'!FJ$2,0),"N")</f>
        <v>Y</v>
      </c>
      <c r="FK77" s="830" t="str">
        <f>IFERROR(VLOOKUP($B77,'Historical Conc Grant Elig'!$B$3:$J$707,'HH &amp; SI'!FK$2,0),"N")</f>
        <v>Y</v>
      </c>
      <c r="FL77" s="957" t="str">
        <f>IFERROR(VLOOKUP($B77,'Historical Conc Grant Elig'!$B$3:$J$707,'HH &amp; SI'!FL$2,0),"N")</f>
        <v>Y</v>
      </c>
    </row>
    <row r="78" spans="2:168" x14ac:dyDescent="0.25">
      <c r="B78" s="634">
        <v>70209000</v>
      </c>
      <c r="C78" s="635" t="str">
        <f>VLOOKUP($B78,'Afton Update'!$A$5:$CR$582,'Afton Update'!D$589,0)</f>
        <v>Wickenburg Unified District</v>
      </c>
      <c r="D78" s="636">
        <f>IFERROR(VLOOKUP($B78,'Afton FY16 Final'!$A$5:$BV$587,'Afton FY16 Final'!AQ$587,0),0)</f>
        <v>177324.61068441486</v>
      </c>
      <c r="E78" s="637">
        <f>IFERROR(VLOOKUP($B78,'Afton FY16 Final'!$A$5:$BV$587,'Afton FY16 Final'!AR$587,0),0)</f>
        <v>43244.045781962515</v>
      </c>
      <c r="F78" s="637">
        <f>IFERROR(VLOOKUP($B78,'Afton FY16 Final'!$A$5:$BV$587,'Afton FY16 Final'!AS$587,0),0)</f>
        <v>80211.344187113122</v>
      </c>
      <c r="G78" s="637">
        <f>IFERROR(VLOOKUP($B78,'Afton FY16 Final'!$A$5:$BV$587,'Afton FY16 Final'!AT$587,0),0)</f>
        <v>58691.674360845594</v>
      </c>
      <c r="H78" s="638">
        <f>IFERROR(VLOOKUP($B78,'Afton FY16 Final'!$A$5:$BV$587,'Afton FY16 Final'!AU$587,0),0)</f>
        <v>359471.67501433607</v>
      </c>
      <c r="I78" s="639" t="str">
        <f>VLOOKUP($B78,'Afton Update'!$A$5:$CR$582,'Afton Update'!BT$589,0)</f>
        <v>Y</v>
      </c>
      <c r="J78" s="640" t="str">
        <f>VLOOKUP($B78,'Afton Update'!$A$5:$CR$582,'Afton Update'!BU$589,0)</f>
        <v>Y</v>
      </c>
      <c r="K78" s="640" t="str">
        <f>VLOOKUP($B78,'Afton Update'!$A$5:$CR$582,'Afton Update'!BV$589,0)</f>
        <v>Y</v>
      </c>
      <c r="L78" s="641" t="str">
        <f>VLOOKUP($B78,'Afton Update'!$A$5:$CR$582,'Afton Update'!BW$589,0)</f>
        <v>Y</v>
      </c>
      <c r="N78" s="642">
        <f>VLOOKUP($B78,'Afton Update'!$A$5:$CR$582,'Afton Update'!CB$589,0)</f>
        <v>0.9</v>
      </c>
      <c r="P78" s="636">
        <f>VLOOKUP($B78,'Afton Update'!$A$5:$CR$582,'Afton Update'!AH$589,0)</f>
        <v>161335.04087193732</v>
      </c>
      <c r="Q78" s="637">
        <f>VLOOKUP($B78,'Afton Update'!$A$5:$CR$582,'Afton Update'!AI$589,0)</f>
        <v>40471.886730904036</v>
      </c>
      <c r="R78" s="637">
        <f>VLOOKUP($B78,'Afton Update'!$A$5:$CR$582,'Afton Update'!AJ$589,0)</f>
        <v>72879.470761055753</v>
      </c>
      <c r="S78" s="637">
        <f>VLOOKUP($B78,'Afton Update'!$A$5:$CR$582,'Afton Update'!AK$589,0)</f>
        <v>57038.587109324886</v>
      </c>
      <c r="T78" s="643">
        <f t="shared" si="145"/>
        <v>331724.98547322198</v>
      </c>
      <c r="V78" s="636">
        <f t="shared" si="193"/>
        <v>159592.14961597338</v>
      </c>
      <c r="W78" s="637">
        <f t="shared" si="194"/>
        <v>39138.890751061313</v>
      </c>
      <c r="X78" s="637">
        <f t="shared" si="195"/>
        <v>72216.660429197422</v>
      </c>
      <c r="Y78" s="637">
        <f t="shared" si="196"/>
        <v>56410.124554081696</v>
      </c>
      <c r="Z78" s="643">
        <f t="shared" si="197"/>
        <v>327357.8253503138</v>
      </c>
      <c r="AB78" s="644">
        <f t="shared" si="146"/>
        <v>161335.04087193732</v>
      </c>
      <c r="AC78" s="645">
        <f t="shared" si="134"/>
        <v>159592.14961597338</v>
      </c>
      <c r="AD78" s="644">
        <f t="shared" si="198"/>
        <v>0</v>
      </c>
      <c r="AE78" s="645">
        <f t="shared" si="199"/>
        <v>161335.04087193732</v>
      </c>
      <c r="AF78" s="646">
        <f t="shared" si="200"/>
        <v>-1999.8690716635278</v>
      </c>
      <c r="AG78" s="647">
        <f t="shared" si="201"/>
        <v>159335.17180027379</v>
      </c>
      <c r="AH78" s="644">
        <f t="shared" si="147"/>
        <v>-256.97781569958897</v>
      </c>
      <c r="AI78" s="645">
        <f t="shared" si="148"/>
        <v>0</v>
      </c>
      <c r="AJ78" s="646">
        <f t="shared" si="202"/>
        <v>0</v>
      </c>
      <c r="AK78" s="647">
        <f t="shared" si="149"/>
        <v>159592.14961597338</v>
      </c>
      <c r="AL78" s="644">
        <f t="shared" si="203"/>
        <v>0</v>
      </c>
      <c r="AM78" s="645">
        <f t="shared" si="204"/>
        <v>0</v>
      </c>
      <c r="AN78" s="646">
        <f t="shared" si="205"/>
        <v>0</v>
      </c>
      <c r="AO78" s="647">
        <f t="shared" si="150"/>
        <v>159592.14961597338</v>
      </c>
      <c r="AP78" s="644">
        <f t="shared" si="206"/>
        <v>0</v>
      </c>
      <c r="AQ78" s="645">
        <f t="shared" si="207"/>
        <v>0</v>
      </c>
      <c r="AR78" s="646">
        <f t="shared" si="208"/>
        <v>0</v>
      </c>
      <c r="AS78" s="647">
        <f t="shared" si="151"/>
        <v>159592.14961597338</v>
      </c>
      <c r="AT78" s="644">
        <f t="shared" si="209"/>
        <v>0</v>
      </c>
      <c r="AU78" s="645">
        <f t="shared" si="210"/>
        <v>0</v>
      </c>
      <c r="AV78" s="646">
        <f t="shared" si="211"/>
        <v>0</v>
      </c>
      <c r="AW78" s="647">
        <f t="shared" si="152"/>
        <v>159592.14961597338</v>
      </c>
      <c r="AY78" s="644">
        <f t="shared" si="212"/>
        <v>40471.886730904036</v>
      </c>
      <c r="AZ78" s="645">
        <f t="shared" si="153"/>
        <v>38919.641203766267</v>
      </c>
      <c r="BA78" s="644">
        <f t="shared" si="213"/>
        <v>0</v>
      </c>
      <c r="BB78" s="645">
        <f t="shared" si="214"/>
        <v>40471.886730904036</v>
      </c>
      <c r="BC78" s="646">
        <f t="shared" si="215"/>
        <v>-291.04513222186114</v>
      </c>
      <c r="BD78" s="647">
        <f t="shared" si="216"/>
        <v>40180.841598682178</v>
      </c>
      <c r="BE78" s="644">
        <f t="shared" si="154"/>
        <v>0</v>
      </c>
      <c r="BF78" s="645">
        <f t="shared" si="155"/>
        <v>40180.841598682178</v>
      </c>
      <c r="BG78" s="646">
        <f t="shared" si="217"/>
        <v>-957.07490185706388</v>
      </c>
      <c r="BH78" s="647">
        <f t="shared" si="156"/>
        <v>39223.766696825114</v>
      </c>
      <c r="BI78" s="644">
        <f t="shared" si="218"/>
        <v>0</v>
      </c>
      <c r="BJ78" s="645">
        <f t="shared" si="219"/>
        <v>39223.766696825114</v>
      </c>
      <c r="BK78" s="646">
        <f t="shared" si="220"/>
        <v>-83.085150428763697</v>
      </c>
      <c r="BL78" s="647">
        <f t="shared" si="157"/>
        <v>39140.68154639635</v>
      </c>
      <c r="BM78" s="644">
        <f t="shared" si="221"/>
        <v>0</v>
      </c>
      <c r="BN78" s="645">
        <f t="shared" si="222"/>
        <v>39140.68154639635</v>
      </c>
      <c r="BO78" s="646">
        <f t="shared" si="223"/>
        <v>-1.7907953350360457</v>
      </c>
      <c r="BP78" s="647">
        <f t="shared" si="158"/>
        <v>39138.890751061313</v>
      </c>
      <c r="BQ78" s="644">
        <f t="shared" si="224"/>
        <v>0</v>
      </c>
      <c r="BR78" s="645">
        <f t="shared" si="225"/>
        <v>39138.890751061313</v>
      </c>
      <c r="BS78" s="646">
        <f t="shared" si="226"/>
        <v>0</v>
      </c>
      <c r="BT78" s="647">
        <f t="shared" si="159"/>
        <v>39138.890751061313</v>
      </c>
      <c r="BU78" s="662">
        <f>VLOOKUP(B78,'Afton Update'!$A$5:$AR$582,'Afton Update'!$AO$589,0)-BT78</f>
        <v>0</v>
      </c>
      <c r="BV78" s="644">
        <f t="shared" si="227"/>
        <v>72879.470761055753</v>
      </c>
      <c r="BW78" s="645">
        <f t="shared" si="135"/>
        <v>72190.209768401808</v>
      </c>
      <c r="BX78" s="644">
        <f t="shared" si="228"/>
        <v>0</v>
      </c>
      <c r="BY78" s="645">
        <f t="shared" si="229"/>
        <v>72879.470761055753</v>
      </c>
      <c r="BZ78" s="646">
        <f t="shared" si="230"/>
        <v>-639.67086332855536</v>
      </c>
      <c r="CA78" s="647">
        <f t="shared" si="231"/>
        <v>72239.799897727193</v>
      </c>
      <c r="CB78" s="644">
        <f t="shared" si="160"/>
        <v>0</v>
      </c>
      <c r="CC78" s="645">
        <f t="shared" si="161"/>
        <v>72239.799897727193</v>
      </c>
      <c r="CD78" s="646">
        <f t="shared" si="232"/>
        <v>-23.139468529772216</v>
      </c>
      <c r="CE78" s="647">
        <f t="shared" si="162"/>
        <v>72216.660429197422</v>
      </c>
      <c r="CF78" s="644">
        <f t="shared" si="233"/>
        <v>0</v>
      </c>
      <c r="CG78" s="645">
        <f t="shared" si="234"/>
        <v>72216.660429197422</v>
      </c>
      <c r="CH78" s="646">
        <f t="shared" si="235"/>
        <v>0</v>
      </c>
      <c r="CI78" s="647">
        <f t="shared" si="163"/>
        <v>72216.660429197422</v>
      </c>
      <c r="CJ78" s="644">
        <f t="shared" si="236"/>
        <v>0</v>
      </c>
      <c r="CK78" s="645">
        <f t="shared" si="237"/>
        <v>72216.660429197422</v>
      </c>
      <c r="CL78" s="646">
        <f t="shared" si="238"/>
        <v>0</v>
      </c>
      <c r="CM78" s="647">
        <f t="shared" si="164"/>
        <v>72216.660429197422</v>
      </c>
      <c r="CN78" s="644">
        <f t="shared" si="239"/>
        <v>0</v>
      </c>
      <c r="CO78" s="645">
        <f t="shared" si="240"/>
        <v>72216.660429197422</v>
      </c>
      <c r="CP78" s="646">
        <f t="shared" si="241"/>
        <v>0</v>
      </c>
      <c r="CQ78" s="647">
        <f t="shared" si="165"/>
        <v>72216.660429197422</v>
      </c>
      <c r="CS78" s="644">
        <f t="shared" si="242"/>
        <v>57038.587109324886</v>
      </c>
      <c r="CT78" s="645">
        <f t="shared" si="136"/>
        <v>52822.506924761037</v>
      </c>
      <c r="CU78" s="644">
        <f t="shared" si="243"/>
        <v>0</v>
      </c>
      <c r="CV78" s="645">
        <f t="shared" si="244"/>
        <v>57038.587109324886</v>
      </c>
      <c r="CW78" s="646">
        <f t="shared" si="245"/>
        <v>-584.10736575852513</v>
      </c>
      <c r="CX78" s="647">
        <f t="shared" si="246"/>
        <v>56454.479743566364</v>
      </c>
      <c r="CY78" s="644">
        <f t="shared" si="166"/>
        <v>0</v>
      </c>
      <c r="CZ78" s="645">
        <f t="shared" si="167"/>
        <v>56454.479743566364</v>
      </c>
      <c r="DA78" s="646">
        <f t="shared" si="247"/>
        <v>-44.316971616431729</v>
      </c>
      <c r="DB78" s="647">
        <f t="shared" si="168"/>
        <v>56410.16277194993</v>
      </c>
      <c r="DC78" s="644">
        <f t="shared" si="248"/>
        <v>0</v>
      </c>
      <c r="DD78" s="645">
        <f t="shared" si="249"/>
        <v>56410.16277194993</v>
      </c>
      <c r="DE78" s="646">
        <f t="shared" si="250"/>
        <v>-3.8217868235298616E-2</v>
      </c>
      <c r="DF78" s="647">
        <f t="shared" si="169"/>
        <v>56410.124554081696</v>
      </c>
      <c r="DG78" s="644">
        <f t="shared" si="251"/>
        <v>0</v>
      </c>
      <c r="DH78" s="645">
        <f t="shared" si="252"/>
        <v>56410.124554081696</v>
      </c>
      <c r="DI78" s="646">
        <f t="shared" si="253"/>
        <v>0</v>
      </c>
      <c r="DJ78" s="647">
        <f t="shared" si="170"/>
        <v>56410.124554081696</v>
      </c>
      <c r="DK78" s="644">
        <f t="shared" si="254"/>
        <v>0</v>
      </c>
      <c r="DL78" s="645">
        <f t="shared" si="255"/>
        <v>56410.124554081696</v>
      </c>
      <c r="DM78" s="646">
        <f t="shared" si="256"/>
        <v>0</v>
      </c>
      <c r="DN78" s="647">
        <f t="shared" si="171"/>
        <v>56410.124554081696</v>
      </c>
      <c r="DR78" s="827">
        <f t="shared" si="172"/>
        <v>327357.8253503138</v>
      </c>
      <c r="DV78" s="828">
        <f>IFERROR(VLOOKUP($B78,'Afton FY16 Final'!$A$5:$BV$587,'Afton FY16 Final'!$BV$587,0),0)</f>
        <v>319149.87357502588</v>
      </c>
      <c r="DX78" s="636">
        <f t="shared" si="137"/>
        <v>327357.8253503138</v>
      </c>
      <c r="DY78" s="637">
        <f t="shared" si="138"/>
        <v>8207.9517752879183</v>
      </c>
      <c r="DZ78" s="637">
        <f t="shared" si="139"/>
        <v>319149.87357502588</v>
      </c>
      <c r="EA78" s="643">
        <f t="shared" si="140"/>
        <v>309946.05787208106</v>
      </c>
      <c r="EB78" s="637">
        <f t="shared" si="173"/>
        <v>319149.87357502588</v>
      </c>
      <c r="EC78" s="637">
        <f t="shared" si="174"/>
        <v>0</v>
      </c>
      <c r="ED78" s="637">
        <f t="shared" si="175"/>
        <v>0</v>
      </c>
      <c r="EE78" s="643">
        <f t="shared" si="176"/>
        <v>319149.87357502588</v>
      </c>
      <c r="EF78" s="637">
        <f t="shared" si="177"/>
        <v>0</v>
      </c>
      <c r="EG78" s="637">
        <f t="shared" si="178"/>
        <v>0</v>
      </c>
      <c r="EH78" s="637">
        <f t="shared" si="179"/>
        <v>0</v>
      </c>
      <c r="EI78" s="643">
        <f t="shared" si="180"/>
        <v>319149.87357502588</v>
      </c>
      <c r="EJ78" s="637">
        <f t="shared" si="181"/>
        <v>0</v>
      </c>
      <c r="EK78" s="637">
        <f t="shared" si="182"/>
        <v>0</v>
      </c>
      <c r="EL78" s="637">
        <f t="shared" si="183"/>
        <v>0</v>
      </c>
      <c r="EM78" s="643">
        <f t="shared" si="184"/>
        <v>319149.87357502588</v>
      </c>
      <c r="EN78" s="637">
        <f t="shared" si="185"/>
        <v>0</v>
      </c>
      <c r="EO78" s="637">
        <f t="shared" si="186"/>
        <v>0</v>
      </c>
      <c r="EP78" s="637">
        <f t="shared" si="187"/>
        <v>0</v>
      </c>
      <c r="EQ78" s="643">
        <f t="shared" si="188"/>
        <v>319149.87357502588</v>
      </c>
      <c r="ER78" s="637">
        <f t="shared" si="189"/>
        <v>0</v>
      </c>
      <c r="ES78" s="637">
        <f t="shared" si="190"/>
        <v>0</v>
      </c>
      <c r="ET78" s="637">
        <f t="shared" si="191"/>
        <v>0</v>
      </c>
      <c r="EU78" s="643">
        <f t="shared" si="141"/>
        <v>319149.87357502588</v>
      </c>
      <c r="EV78" s="643">
        <f t="shared" si="142"/>
        <v>0</v>
      </c>
      <c r="EX78" s="829">
        <f t="shared" si="143"/>
        <v>8207.9517752879183</v>
      </c>
      <c r="EY78" s="638">
        <f t="shared" si="144"/>
        <v>319149.87357502588</v>
      </c>
      <c r="FC78" s="830" t="str">
        <f t="shared" si="192"/>
        <v>Y</v>
      </c>
      <c r="FE78" s="830" t="str">
        <f>IFERROR(VLOOKUP($B78,'Historical Conc Grant Elig'!$B$3:$J$707,'HH &amp; SI'!FE$2,0),"N")</f>
        <v>N</v>
      </c>
      <c r="FF78" s="830" t="str">
        <f>IFERROR(VLOOKUP($B78,'Historical Conc Grant Elig'!$B$3:$J$707,'HH &amp; SI'!FF$2,0),"N")</f>
        <v>N</v>
      </c>
      <c r="FG78" s="830" t="str">
        <f>IFERROR(VLOOKUP($B78,'Historical Conc Grant Elig'!$B$3:$J$707,'HH &amp; SI'!FG$2,0),"N")</f>
        <v>Y</v>
      </c>
      <c r="FH78" s="830" t="str">
        <f>IFERROR(VLOOKUP($B78,'Historical Conc Grant Elig'!$B$3:$J$707,'HH &amp; SI'!FH$2,0),"N")</f>
        <v>Y</v>
      </c>
      <c r="FI78" s="830" t="str">
        <f>IFERROR(VLOOKUP($B78,'Historical Conc Grant Elig'!$B$3:$J$707,'HH &amp; SI'!FI$2,0),"N")</f>
        <v>Y</v>
      </c>
      <c r="FJ78" s="830" t="str">
        <f>IFERROR(VLOOKUP($B78,'Historical Conc Grant Elig'!$B$3:$J$707,'HH &amp; SI'!FJ$2,0),"N")</f>
        <v>Y</v>
      </c>
      <c r="FK78" s="830" t="str">
        <f>IFERROR(VLOOKUP($B78,'Historical Conc Grant Elig'!$B$3:$J$707,'HH &amp; SI'!FK$2,0),"N")</f>
        <v>Y</v>
      </c>
      <c r="FL78" s="957" t="str">
        <f>IFERROR(VLOOKUP($B78,'Historical Conc Grant Elig'!$B$3:$J$707,'HH &amp; SI'!FL$2,0),"N")</f>
        <v>Y</v>
      </c>
    </row>
    <row r="79" spans="2:168" x14ac:dyDescent="0.25">
      <c r="B79" s="634">
        <v>70211000</v>
      </c>
      <c r="C79" s="635" t="str">
        <f>VLOOKUP($B79,'Afton Update'!$A$5:$CR$582,'Afton Update'!D$589,0)</f>
        <v>Peoria Unified School District</v>
      </c>
      <c r="D79" s="636">
        <f>IFERROR(VLOOKUP($B79,'Afton FY16 Final'!$A$5:$BV$587,'Afton FY16 Final'!AQ$587,0),0)</f>
        <v>2497299.6497745728</v>
      </c>
      <c r="E79" s="637">
        <f>IFERROR(VLOOKUP($B79,'Afton FY16 Final'!$A$5:$BV$587,'Afton FY16 Final'!AR$587,0),0)</f>
        <v>584029.89565656835</v>
      </c>
      <c r="F79" s="637">
        <f>IFERROR(VLOOKUP($B79,'Afton FY16 Final'!$A$5:$BV$587,'Afton FY16 Final'!AS$587,0),0)</f>
        <v>1210222.5641894834</v>
      </c>
      <c r="G79" s="637">
        <f>IFERROR(VLOOKUP($B79,'Afton FY16 Final'!$A$5:$BV$587,'Afton FY16 Final'!AT$587,0),0)</f>
        <v>934873.45362592943</v>
      </c>
      <c r="H79" s="638">
        <f>IFERROR(VLOOKUP($B79,'Afton FY16 Final'!$A$5:$BV$587,'Afton FY16 Final'!AU$587,0),0)</f>
        <v>5226425.5632465547</v>
      </c>
      <c r="I79" s="639" t="str">
        <f>VLOOKUP($B79,'Afton Update'!$A$5:$CR$582,'Afton Update'!BT$589,0)</f>
        <v>Y</v>
      </c>
      <c r="J79" s="640" t="str">
        <f>VLOOKUP($B79,'Afton Update'!$A$5:$CR$582,'Afton Update'!BU$589,0)</f>
        <v>Y</v>
      </c>
      <c r="K79" s="640" t="str">
        <f>VLOOKUP($B79,'Afton Update'!$A$5:$CR$582,'Afton Update'!BV$589,0)</f>
        <v>Y</v>
      </c>
      <c r="L79" s="641" t="str">
        <f>VLOOKUP($B79,'Afton Update'!$A$5:$CR$582,'Afton Update'!BW$589,0)</f>
        <v>Y</v>
      </c>
      <c r="N79" s="642">
        <f>VLOOKUP($B79,'Afton Update'!$A$5:$CR$582,'Afton Update'!CB$589,0)</f>
        <v>0.9</v>
      </c>
      <c r="P79" s="636">
        <f>VLOOKUP($B79,'Afton Update'!$A$5:$CR$582,'Afton Update'!AH$589,0)</f>
        <v>2573205.5405542334</v>
      </c>
      <c r="Q79" s="637">
        <f>VLOOKUP($B79,'Afton Update'!$A$5:$CR$582,'Afton Update'!AI$589,0)</f>
        <v>615389.20858232479</v>
      </c>
      <c r="R79" s="637">
        <f>VLOOKUP($B79,'Afton Update'!$A$5:$CR$582,'Afton Update'!AJ$589,0)</f>
        <v>1367799.4544098622</v>
      </c>
      <c r="S79" s="637">
        <f>VLOOKUP($B79,'Afton Update'!$A$5:$CR$582,'Afton Update'!AK$589,0)</f>
        <v>1157246.2825378985</v>
      </c>
      <c r="T79" s="643">
        <f t="shared" si="145"/>
        <v>5713640.4860843197</v>
      </c>
      <c r="V79" s="636">
        <f t="shared" si="193"/>
        <v>2538105.3468068582</v>
      </c>
      <c r="W79" s="637">
        <f t="shared" si="194"/>
        <v>595120.53797319182</v>
      </c>
      <c r="X79" s="637">
        <f t="shared" si="195"/>
        <v>1355359.8524091092</v>
      </c>
      <c r="Y79" s="637">
        <f t="shared" si="196"/>
        <v>1144495.5116540499</v>
      </c>
      <c r="Z79" s="643">
        <f t="shared" si="197"/>
        <v>5633081.2488432098</v>
      </c>
      <c r="AB79" s="644">
        <f t="shared" si="146"/>
        <v>2573205.5405542334</v>
      </c>
      <c r="AC79" s="645">
        <f t="shared" si="134"/>
        <v>2247569.6847971156</v>
      </c>
      <c r="AD79" s="644">
        <f t="shared" si="198"/>
        <v>0</v>
      </c>
      <c r="AE79" s="645">
        <f t="shared" si="199"/>
        <v>2573205.5405542334</v>
      </c>
      <c r="AF79" s="646">
        <f t="shared" si="200"/>
        <v>-31896.816387658975</v>
      </c>
      <c r="AG79" s="647">
        <f t="shared" si="201"/>
        <v>2541308.7241665744</v>
      </c>
      <c r="AH79" s="644">
        <f t="shared" si="147"/>
        <v>0</v>
      </c>
      <c r="AI79" s="645">
        <f t="shared" si="148"/>
        <v>2541308.7241665744</v>
      </c>
      <c r="AJ79" s="646">
        <f t="shared" si="202"/>
        <v>-3201.3364978391587</v>
      </c>
      <c r="AK79" s="647">
        <f t="shared" si="149"/>
        <v>2538107.3876687353</v>
      </c>
      <c r="AL79" s="644">
        <f t="shared" si="203"/>
        <v>0</v>
      </c>
      <c r="AM79" s="645">
        <f t="shared" si="204"/>
        <v>2538107.3876687353</v>
      </c>
      <c r="AN79" s="646">
        <f t="shared" si="205"/>
        <v>-2.0408618769350584</v>
      </c>
      <c r="AO79" s="647">
        <f t="shared" si="150"/>
        <v>2538105.3468068582</v>
      </c>
      <c r="AP79" s="644">
        <f t="shared" si="206"/>
        <v>0</v>
      </c>
      <c r="AQ79" s="645">
        <f t="shared" si="207"/>
        <v>2538105.3468068582</v>
      </c>
      <c r="AR79" s="646">
        <f t="shared" si="208"/>
        <v>0</v>
      </c>
      <c r="AS79" s="647">
        <f t="shared" si="151"/>
        <v>2538105.3468068582</v>
      </c>
      <c r="AT79" s="644">
        <f t="shared" si="209"/>
        <v>0</v>
      </c>
      <c r="AU79" s="645">
        <f t="shared" si="210"/>
        <v>2538105.3468068582</v>
      </c>
      <c r="AV79" s="646">
        <f t="shared" si="211"/>
        <v>0</v>
      </c>
      <c r="AW79" s="647">
        <f t="shared" si="152"/>
        <v>2538105.3468068582</v>
      </c>
      <c r="AY79" s="644">
        <f t="shared" si="212"/>
        <v>615389.20858232479</v>
      </c>
      <c r="AZ79" s="645">
        <f t="shared" si="153"/>
        <v>525626.90609091148</v>
      </c>
      <c r="BA79" s="644">
        <f t="shared" si="213"/>
        <v>0</v>
      </c>
      <c r="BB79" s="645">
        <f t="shared" si="214"/>
        <v>615389.20858232479</v>
      </c>
      <c r="BC79" s="646">
        <f t="shared" si="215"/>
        <v>-4425.4431420659512</v>
      </c>
      <c r="BD79" s="647">
        <f t="shared" si="216"/>
        <v>610963.7654402589</v>
      </c>
      <c r="BE79" s="644">
        <f t="shared" si="154"/>
        <v>0</v>
      </c>
      <c r="BF79" s="645">
        <f t="shared" si="155"/>
        <v>610963.7654402589</v>
      </c>
      <c r="BG79" s="646">
        <f t="shared" si="217"/>
        <v>-14552.658993238603</v>
      </c>
      <c r="BH79" s="647">
        <f t="shared" si="156"/>
        <v>596411.10644702031</v>
      </c>
      <c r="BI79" s="644">
        <f t="shared" si="218"/>
        <v>0</v>
      </c>
      <c r="BJ79" s="645">
        <f t="shared" si="219"/>
        <v>596411.10644702031</v>
      </c>
      <c r="BK79" s="646">
        <f t="shared" si="220"/>
        <v>-1263.3388037296029</v>
      </c>
      <c r="BL79" s="647">
        <f t="shared" si="157"/>
        <v>595147.76764329069</v>
      </c>
      <c r="BM79" s="644">
        <f t="shared" si="221"/>
        <v>0</v>
      </c>
      <c r="BN79" s="645">
        <f t="shared" si="222"/>
        <v>595147.76764329069</v>
      </c>
      <c r="BO79" s="646">
        <f t="shared" si="223"/>
        <v>-27.229670098855181</v>
      </c>
      <c r="BP79" s="647">
        <f t="shared" si="158"/>
        <v>595120.53797319182</v>
      </c>
      <c r="BQ79" s="644">
        <f t="shared" si="224"/>
        <v>0</v>
      </c>
      <c r="BR79" s="645">
        <f t="shared" si="225"/>
        <v>595120.53797319182</v>
      </c>
      <c r="BS79" s="646">
        <f t="shared" si="226"/>
        <v>0</v>
      </c>
      <c r="BT79" s="647">
        <f t="shared" si="159"/>
        <v>595120.53797319182</v>
      </c>
      <c r="BU79" s="662">
        <f>VLOOKUP(B79,'Afton Update'!$A$5:$AR$582,'Afton Update'!$AO$589,0)-BT79</f>
        <v>0</v>
      </c>
      <c r="BV79" s="644">
        <f t="shared" si="227"/>
        <v>1367799.4544098622</v>
      </c>
      <c r="BW79" s="645">
        <f t="shared" si="135"/>
        <v>1089200.3077705351</v>
      </c>
      <c r="BX79" s="644">
        <f t="shared" si="228"/>
        <v>0</v>
      </c>
      <c r="BY79" s="645">
        <f t="shared" si="229"/>
        <v>1367799.4544098622</v>
      </c>
      <c r="BZ79" s="646">
        <f t="shared" si="230"/>
        <v>-12005.321234168754</v>
      </c>
      <c r="CA79" s="647">
        <f t="shared" si="231"/>
        <v>1355794.1331756935</v>
      </c>
      <c r="CB79" s="644">
        <f t="shared" si="160"/>
        <v>0</v>
      </c>
      <c r="CC79" s="645">
        <f t="shared" si="161"/>
        <v>1355794.1331756935</v>
      </c>
      <c r="CD79" s="646">
        <f t="shared" si="232"/>
        <v>-434.28076658412505</v>
      </c>
      <c r="CE79" s="647">
        <f t="shared" si="162"/>
        <v>1355359.8524091092</v>
      </c>
      <c r="CF79" s="644">
        <f t="shared" si="233"/>
        <v>0</v>
      </c>
      <c r="CG79" s="645">
        <f t="shared" si="234"/>
        <v>1355359.8524091092</v>
      </c>
      <c r="CH79" s="646">
        <f t="shared" si="235"/>
        <v>0</v>
      </c>
      <c r="CI79" s="647">
        <f t="shared" si="163"/>
        <v>1355359.8524091092</v>
      </c>
      <c r="CJ79" s="644">
        <f t="shared" si="236"/>
        <v>0</v>
      </c>
      <c r="CK79" s="645">
        <f t="shared" si="237"/>
        <v>1355359.8524091092</v>
      </c>
      <c r="CL79" s="646">
        <f t="shared" si="238"/>
        <v>0</v>
      </c>
      <c r="CM79" s="647">
        <f t="shared" si="164"/>
        <v>1355359.8524091092</v>
      </c>
      <c r="CN79" s="644">
        <f t="shared" si="239"/>
        <v>0</v>
      </c>
      <c r="CO79" s="645">
        <f t="shared" si="240"/>
        <v>1355359.8524091092</v>
      </c>
      <c r="CP79" s="646">
        <f t="shared" si="241"/>
        <v>0</v>
      </c>
      <c r="CQ79" s="647">
        <f t="shared" si="165"/>
        <v>1355359.8524091092</v>
      </c>
      <c r="CS79" s="644">
        <f t="shared" si="242"/>
        <v>1157246.2825378985</v>
      </c>
      <c r="CT79" s="645">
        <f t="shared" si="136"/>
        <v>841386.10826333647</v>
      </c>
      <c r="CU79" s="644">
        <f t="shared" si="243"/>
        <v>0</v>
      </c>
      <c r="CV79" s="645">
        <f t="shared" si="244"/>
        <v>1157246.2825378985</v>
      </c>
      <c r="CW79" s="646">
        <f t="shared" si="245"/>
        <v>-11850.855918493638</v>
      </c>
      <c r="CX79" s="647">
        <f t="shared" si="246"/>
        <v>1145395.4266194049</v>
      </c>
      <c r="CY79" s="644">
        <f t="shared" si="166"/>
        <v>0</v>
      </c>
      <c r="CZ79" s="645">
        <f t="shared" si="167"/>
        <v>1145395.4266194049</v>
      </c>
      <c r="DA79" s="646">
        <f t="shared" si="247"/>
        <v>-899.13956946645351</v>
      </c>
      <c r="DB79" s="647">
        <f t="shared" si="168"/>
        <v>1144496.2870499385</v>
      </c>
      <c r="DC79" s="644">
        <f t="shared" si="248"/>
        <v>0</v>
      </c>
      <c r="DD79" s="645">
        <f t="shared" si="249"/>
        <v>1144496.2870499385</v>
      </c>
      <c r="DE79" s="646">
        <f t="shared" si="250"/>
        <v>-0.77539588869991627</v>
      </c>
      <c r="DF79" s="647">
        <f t="shared" si="169"/>
        <v>1144495.5116540499</v>
      </c>
      <c r="DG79" s="644">
        <f t="shared" si="251"/>
        <v>0</v>
      </c>
      <c r="DH79" s="645">
        <f t="shared" si="252"/>
        <v>1144495.5116540499</v>
      </c>
      <c r="DI79" s="646">
        <f t="shared" si="253"/>
        <v>0</v>
      </c>
      <c r="DJ79" s="647">
        <f t="shared" si="170"/>
        <v>1144495.5116540499</v>
      </c>
      <c r="DK79" s="644">
        <f t="shared" si="254"/>
        <v>0</v>
      </c>
      <c r="DL79" s="645">
        <f t="shared" si="255"/>
        <v>1144495.5116540499</v>
      </c>
      <c r="DM79" s="646">
        <f t="shared" si="256"/>
        <v>0</v>
      </c>
      <c r="DN79" s="647">
        <f t="shared" si="171"/>
        <v>1144495.5116540499</v>
      </c>
      <c r="DR79" s="827">
        <f t="shared" si="172"/>
        <v>5633081.2488432098</v>
      </c>
      <c r="DV79" s="828">
        <f>IFERROR(VLOOKUP($B79,'Afton FY16 Final'!$A$5:$BV$587,'Afton FY16 Final'!$BV$587,0),0)</f>
        <v>4808794.8631151207</v>
      </c>
      <c r="DX79" s="636">
        <f t="shared" si="137"/>
        <v>5633081.2488432098</v>
      </c>
      <c r="DY79" s="637">
        <f t="shared" si="138"/>
        <v>824286.38572808914</v>
      </c>
      <c r="DZ79" s="637">
        <f t="shared" si="139"/>
        <v>4808794.8631151207</v>
      </c>
      <c r="EA79" s="643">
        <f t="shared" si="140"/>
        <v>5333464.4586049095</v>
      </c>
      <c r="EB79" s="637">
        <f t="shared" si="173"/>
        <v>0</v>
      </c>
      <c r="EC79" s="637">
        <f t="shared" si="174"/>
        <v>5333464.4586049095</v>
      </c>
      <c r="ED79" s="637">
        <f t="shared" si="175"/>
        <v>5317560.3860383844</v>
      </c>
      <c r="EE79" s="643">
        <f t="shared" si="176"/>
        <v>5317560.3860383844</v>
      </c>
      <c r="EF79" s="637">
        <f t="shared" si="177"/>
        <v>0</v>
      </c>
      <c r="EG79" s="637">
        <f t="shared" si="178"/>
        <v>5317560.3860383844</v>
      </c>
      <c r="EH79" s="637">
        <f t="shared" si="179"/>
        <v>5317554.9001188939</v>
      </c>
      <c r="EI79" s="643">
        <f t="shared" si="180"/>
        <v>5317554.9001188939</v>
      </c>
      <c r="EJ79" s="637">
        <f t="shared" si="181"/>
        <v>0</v>
      </c>
      <c r="EK79" s="637">
        <f t="shared" si="182"/>
        <v>5317554.9001188939</v>
      </c>
      <c r="EL79" s="637">
        <f t="shared" si="183"/>
        <v>5317554.9001188865</v>
      </c>
      <c r="EM79" s="643">
        <f t="shared" si="184"/>
        <v>5317554.9001188865</v>
      </c>
      <c r="EN79" s="637">
        <f t="shared" si="185"/>
        <v>0</v>
      </c>
      <c r="EO79" s="637">
        <f t="shared" si="186"/>
        <v>5317554.9001188865</v>
      </c>
      <c r="EP79" s="637">
        <f t="shared" si="187"/>
        <v>5317554.9001188949</v>
      </c>
      <c r="EQ79" s="643">
        <f t="shared" si="188"/>
        <v>5317554.9001188949</v>
      </c>
      <c r="ER79" s="637">
        <f t="shared" si="189"/>
        <v>0</v>
      </c>
      <c r="ES79" s="637">
        <f t="shared" si="190"/>
        <v>5317554.9001188949</v>
      </c>
      <c r="ET79" s="637">
        <f t="shared" si="191"/>
        <v>5317554.9001188865</v>
      </c>
      <c r="EU79" s="643">
        <f t="shared" si="141"/>
        <v>5317554.9001188865</v>
      </c>
      <c r="EV79" s="643">
        <f t="shared" si="142"/>
        <v>0</v>
      </c>
      <c r="EX79" s="829">
        <f t="shared" si="143"/>
        <v>315526.34872432332</v>
      </c>
      <c r="EY79" s="638">
        <f t="shared" si="144"/>
        <v>5317554.9001188865</v>
      </c>
      <c r="FC79" s="830" t="str">
        <f t="shared" si="192"/>
        <v>Y</v>
      </c>
      <c r="FE79" s="830" t="str">
        <f>IFERROR(VLOOKUP($B79,'Historical Conc Grant Elig'!$B$3:$J$707,'HH &amp; SI'!FE$2,0),"N")</f>
        <v>N</v>
      </c>
      <c r="FF79" s="830" t="str">
        <f>IFERROR(VLOOKUP($B79,'Historical Conc Grant Elig'!$B$3:$J$707,'HH &amp; SI'!FF$2,0),"N")</f>
        <v>N</v>
      </c>
      <c r="FG79" s="830" t="str">
        <f>IFERROR(VLOOKUP($B79,'Historical Conc Grant Elig'!$B$3:$J$707,'HH &amp; SI'!FG$2,0),"N")</f>
        <v>N</v>
      </c>
      <c r="FH79" s="830" t="str">
        <f>IFERROR(VLOOKUP($B79,'Historical Conc Grant Elig'!$B$3:$J$707,'HH &amp; SI'!FH$2,0),"N")</f>
        <v>N</v>
      </c>
      <c r="FI79" s="830" t="str">
        <f>IFERROR(VLOOKUP($B79,'Historical Conc Grant Elig'!$B$3:$J$707,'HH &amp; SI'!FI$2,0),"N")</f>
        <v>Y</v>
      </c>
      <c r="FJ79" s="830" t="str">
        <f>IFERROR(VLOOKUP($B79,'Historical Conc Grant Elig'!$B$3:$J$707,'HH &amp; SI'!FJ$2,0),"N")</f>
        <v>Y</v>
      </c>
      <c r="FK79" s="830" t="str">
        <f>IFERROR(VLOOKUP($B79,'Historical Conc Grant Elig'!$B$3:$J$707,'HH &amp; SI'!FK$2,0),"N")</f>
        <v>Y</v>
      </c>
      <c r="FL79" s="957" t="str">
        <f>IFERROR(VLOOKUP($B79,'Historical Conc Grant Elig'!$B$3:$J$707,'HH &amp; SI'!FL$2,0),"N")</f>
        <v>Y</v>
      </c>
    </row>
    <row r="80" spans="2:168" x14ac:dyDescent="0.25">
      <c r="B80" s="634">
        <v>70224000</v>
      </c>
      <c r="C80" s="635" t="str">
        <f>VLOOKUP($B80,'Afton Update'!$A$5:$CR$582,'Afton Update'!D$589,0)</f>
        <v>Gila Bend Unified District</v>
      </c>
      <c r="D80" s="636">
        <f>IFERROR(VLOOKUP($B80,'Afton FY16 Final'!$A$5:$BV$587,'Afton FY16 Final'!AQ$587,0),0)</f>
        <v>108666.15777544843</v>
      </c>
      <c r="E80" s="637">
        <f>IFERROR(VLOOKUP($B80,'Afton FY16 Final'!$A$5:$BV$587,'Afton FY16 Final'!AR$587,0),0)</f>
        <v>24640.602868752096</v>
      </c>
      <c r="F80" s="637">
        <f>IFERROR(VLOOKUP($B80,'Afton FY16 Final'!$A$5:$BV$587,'Afton FY16 Final'!AS$587,0),0)</f>
        <v>43242.806526439585</v>
      </c>
      <c r="G80" s="637">
        <f>IFERROR(VLOOKUP($B80,'Afton FY16 Final'!$A$5:$BV$587,'Afton FY16 Final'!AT$587,0),0)</f>
        <v>41471.259859742546</v>
      </c>
      <c r="H80" s="638">
        <f>IFERROR(VLOOKUP($B80,'Afton FY16 Final'!$A$5:$BV$587,'Afton FY16 Final'!AU$587,0),0)</f>
        <v>218020.82703038264</v>
      </c>
      <c r="I80" s="639" t="str">
        <f>VLOOKUP($B80,'Afton Update'!$A$5:$CR$582,'Afton Update'!BT$589,0)</f>
        <v>Y</v>
      </c>
      <c r="J80" s="640" t="str">
        <f>VLOOKUP($B80,'Afton Update'!$A$5:$CR$582,'Afton Update'!BU$589,0)</f>
        <v>Y</v>
      </c>
      <c r="K80" s="640" t="str">
        <f>VLOOKUP($B80,'Afton Update'!$A$5:$CR$582,'Afton Update'!BV$589,0)</f>
        <v>Y</v>
      </c>
      <c r="L80" s="641" t="str">
        <f>VLOOKUP($B80,'Afton Update'!$A$5:$CR$582,'Afton Update'!BW$589,0)</f>
        <v>Y</v>
      </c>
      <c r="N80" s="642">
        <f>VLOOKUP($B80,'Afton Update'!$A$5:$CR$582,'Afton Update'!CB$589,0)</f>
        <v>0.9</v>
      </c>
      <c r="P80" s="636">
        <f>VLOOKUP($B80,'Afton Update'!$A$5:$CR$582,'Afton Update'!AH$589,0)</f>
        <v>96078.541557659948</v>
      </c>
      <c r="Q80" s="637">
        <f>VLOOKUP($B80,'Afton Update'!$A$5:$CR$582,'Afton Update'!AI$589,0)</f>
        <v>23163.754654265722</v>
      </c>
      <c r="R80" s="637">
        <f>VLOOKUP($B80,'Afton Update'!$A$5:$CR$582,'Afton Update'!AJ$589,0)</f>
        <v>38398.421373443307</v>
      </c>
      <c r="S80" s="637">
        <f>VLOOKUP($B80,'Afton Update'!$A$5:$CR$582,'Afton Update'!AK$589,0)</f>
        <v>36784.18870012062</v>
      </c>
      <c r="T80" s="643">
        <f t="shared" si="145"/>
        <v>194424.90628548962</v>
      </c>
      <c r="V80" s="636">
        <f t="shared" si="193"/>
        <v>97799.541997903594</v>
      </c>
      <c r="W80" s="637">
        <f t="shared" si="194"/>
        <v>22400.825264847812</v>
      </c>
      <c r="X80" s="637">
        <f t="shared" si="195"/>
        <v>38918.525873795625</v>
      </c>
      <c r="Y80" s="637">
        <f t="shared" si="196"/>
        <v>37324.133873768289</v>
      </c>
      <c r="Z80" s="643">
        <f t="shared" si="197"/>
        <v>196443.02701031533</v>
      </c>
      <c r="AB80" s="644">
        <f t="shared" si="146"/>
        <v>96078.541557659948</v>
      </c>
      <c r="AC80" s="645">
        <f t="shared" si="134"/>
        <v>97799.541997903594</v>
      </c>
      <c r="AD80" s="644">
        <f t="shared" si="198"/>
        <v>1721.0004402436462</v>
      </c>
      <c r="AE80" s="645">
        <f t="shared" si="199"/>
        <v>0</v>
      </c>
      <c r="AF80" s="646">
        <f t="shared" si="200"/>
        <v>0</v>
      </c>
      <c r="AG80" s="647">
        <f t="shared" si="201"/>
        <v>97799.541997903594</v>
      </c>
      <c r="AH80" s="644">
        <f t="shared" si="147"/>
        <v>0</v>
      </c>
      <c r="AI80" s="645">
        <f t="shared" si="148"/>
        <v>0</v>
      </c>
      <c r="AJ80" s="646">
        <f t="shared" si="202"/>
        <v>0</v>
      </c>
      <c r="AK80" s="647">
        <f t="shared" si="149"/>
        <v>97799.541997903594</v>
      </c>
      <c r="AL80" s="644">
        <f t="shared" si="203"/>
        <v>0</v>
      </c>
      <c r="AM80" s="645">
        <f t="shared" si="204"/>
        <v>0</v>
      </c>
      <c r="AN80" s="646">
        <f t="shared" si="205"/>
        <v>0</v>
      </c>
      <c r="AO80" s="647">
        <f t="shared" si="150"/>
        <v>97799.541997903594</v>
      </c>
      <c r="AP80" s="644">
        <f t="shared" si="206"/>
        <v>0</v>
      </c>
      <c r="AQ80" s="645">
        <f t="shared" si="207"/>
        <v>0</v>
      </c>
      <c r="AR80" s="646">
        <f t="shared" si="208"/>
        <v>0</v>
      </c>
      <c r="AS80" s="647">
        <f t="shared" si="151"/>
        <v>97799.541997903594</v>
      </c>
      <c r="AT80" s="644">
        <f t="shared" si="209"/>
        <v>0</v>
      </c>
      <c r="AU80" s="645">
        <f t="shared" si="210"/>
        <v>0</v>
      </c>
      <c r="AV80" s="646">
        <f t="shared" si="211"/>
        <v>0</v>
      </c>
      <c r="AW80" s="647">
        <f t="shared" si="152"/>
        <v>97799.541997903594</v>
      </c>
      <c r="AY80" s="644">
        <f t="shared" si="212"/>
        <v>23163.754654265722</v>
      </c>
      <c r="AZ80" s="645">
        <f t="shared" si="153"/>
        <v>22176.542581876885</v>
      </c>
      <c r="BA80" s="644">
        <f t="shared" si="213"/>
        <v>0</v>
      </c>
      <c r="BB80" s="645">
        <f t="shared" si="214"/>
        <v>23163.754654265722</v>
      </c>
      <c r="BC80" s="646">
        <f t="shared" si="215"/>
        <v>-166.57731034213455</v>
      </c>
      <c r="BD80" s="647">
        <f t="shared" si="216"/>
        <v>22997.177343923588</v>
      </c>
      <c r="BE80" s="644">
        <f t="shared" si="154"/>
        <v>0</v>
      </c>
      <c r="BF80" s="645">
        <f t="shared" si="155"/>
        <v>22997.177343923588</v>
      </c>
      <c r="BG80" s="646">
        <f t="shared" si="217"/>
        <v>-547.77402298480058</v>
      </c>
      <c r="BH80" s="647">
        <f t="shared" si="156"/>
        <v>22449.403320938785</v>
      </c>
      <c r="BI80" s="644">
        <f t="shared" si="218"/>
        <v>0</v>
      </c>
      <c r="BJ80" s="645">
        <f t="shared" si="219"/>
        <v>22449.403320938785</v>
      </c>
      <c r="BK80" s="646">
        <f t="shared" si="220"/>
        <v>-47.553108970209166</v>
      </c>
      <c r="BL80" s="647">
        <f t="shared" si="157"/>
        <v>22401.850211968576</v>
      </c>
      <c r="BM80" s="644">
        <f t="shared" si="221"/>
        <v>0</v>
      </c>
      <c r="BN80" s="645">
        <f t="shared" si="222"/>
        <v>22401.850211968576</v>
      </c>
      <c r="BO80" s="646">
        <f t="shared" si="223"/>
        <v>-1.0249471207652776</v>
      </c>
      <c r="BP80" s="647">
        <f t="shared" si="158"/>
        <v>22400.825264847812</v>
      </c>
      <c r="BQ80" s="644">
        <f t="shared" si="224"/>
        <v>0</v>
      </c>
      <c r="BR80" s="645">
        <f t="shared" si="225"/>
        <v>22400.825264847812</v>
      </c>
      <c r="BS80" s="646">
        <f t="shared" si="226"/>
        <v>0</v>
      </c>
      <c r="BT80" s="647">
        <f t="shared" si="159"/>
        <v>22400.825264847812</v>
      </c>
      <c r="BU80" s="662">
        <f>VLOOKUP(B80,'Afton Update'!$A$5:$AR$582,'Afton Update'!$AO$589,0)-BT80</f>
        <v>0</v>
      </c>
      <c r="BV80" s="644">
        <f t="shared" si="227"/>
        <v>38398.421373443307</v>
      </c>
      <c r="BW80" s="645">
        <f t="shared" si="135"/>
        <v>38918.525873795625</v>
      </c>
      <c r="BX80" s="644">
        <f t="shared" si="228"/>
        <v>520.1045003523177</v>
      </c>
      <c r="BY80" s="645">
        <f t="shared" si="229"/>
        <v>0</v>
      </c>
      <c r="BZ80" s="646">
        <f t="shared" si="230"/>
        <v>0</v>
      </c>
      <c r="CA80" s="647">
        <f t="shared" si="231"/>
        <v>38918.525873795625</v>
      </c>
      <c r="CB80" s="644">
        <f t="shared" si="160"/>
        <v>0</v>
      </c>
      <c r="CC80" s="645">
        <f t="shared" si="161"/>
        <v>0</v>
      </c>
      <c r="CD80" s="646">
        <f t="shared" si="232"/>
        <v>0</v>
      </c>
      <c r="CE80" s="647">
        <f t="shared" si="162"/>
        <v>38918.525873795625</v>
      </c>
      <c r="CF80" s="644">
        <f t="shared" si="233"/>
        <v>0</v>
      </c>
      <c r="CG80" s="645">
        <f t="shared" si="234"/>
        <v>0</v>
      </c>
      <c r="CH80" s="646">
        <f t="shared" si="235"/>
        <v>0</v>
      </c>
      <c r="CI80" s="647">
        <f t="shared" si="163"/>
        <v>38918.525873795625</v>
      </c>
      <c r="CJ80" s="644">
        <f t="shared" si="236"/>
        <v>0</v>
      </c>
      <c r="CK80" s="645">
        <f t="shared" si="237"/>
        <v>0</v>
      </c>
      <c r="CL80" s="646">
        <f t="shared" si="238"/>
        <v>0</v>
      </c>
      <c r="CM80" s="647">
        <f t="shared" si="164"/>
        <v>38918.525873795625</v>
      </c>
      <c r="CN80" s="644">
        <f t="shared" si="239"/>
        <v>0</v>
      </c>
      <c r="CO80" s="645">
        <f t="shared" si="240"/>
        <v>0</v>
      </c>
      <c r="CP80" s="646">
        <f t="shared" si="241"/>
        <v>0</v>
      </c>
      <c r="CQ80" s="647">
        <f t="shared" si="165"/>
        <v>38918.525873795625</v>
      </c>
      <c r="CS80" s="644">
        <f t="shared" si="242"/>
        <v>36784.18870012062</v>
      </c>
      <c r="CT80" s="645">
        <f t="shared" si="136"/>
        <v>37324.133873768289</v>
      </c>
      <c r="CU80" s="644">
        <f t="shared" si="243"/>
        <v>539.94517364766944</v>
      </c>
      <c r="CV80" s="645">
        <f t="shared" si="244"/>
        <v>0</v>
      </c>
      <c r="CW80" s="646">
        <f t="shared" si="245"/>
        <v>0</v>
      </c>
      <c r="CX80" s="647">
        <f t="shared" si="246"/>
        <v>37324.133873768289</v>
      </c>
      <c r="CY80" s="644">
        <f t="shared" si="166"/>
        <v>0</v>
      </c>
      <c r="CZ80" s="645">
        <f t="shared" si="167"/>
        <v>0</v>
      </c>
      <c r="DA80" s="646">
        <f t="shared" si="247"/>
        <v>0</v>
      </c>
      <c r="DB80" s="647">
        <f t="shared" si="168"/>
        <v>37324.133873768289</v>
      </c>
      <c r="DC80" s="644">
        <f t="shared" si="248"/>
        <v>0</v>
      </c>
      <c r="DD80" s="645">
        <f t="shared" si="249"/>
        <v>0</v>
      </c>
      <c r="DE80" s="646">
        <f t="shared" si="250"/>
        <v>0</v>
      </c>
      <c r="DF80" s="647">
        <f t="shared" si="169"/>
        <v>37324.133873768289</v>
      </c>
      <c r="DG80" s="644">
        <f t="shared" si="251"/>
        <v>0</v>
      </c>
      <c r="DH80" s="645">
        <f t="shared" si="252"/>
        <v>0</v>
      </c>
      <c r="DI80" s="646">
        <f t="shared" si="253"/>
        <v>0</v>
      </c>
      <c r="DJ80" s="647">
        <f t="shared" si="170"/>
        <v>37324.133873768289</v>
      </c>
      <c r="DK80" s="644">
        <f t="shared" si="254"/>
        <v>0</v>
      </c>
      <c r="DL80" s="645">
        <f t="shared" si="255"/>
        <v>0</v>
      </c>
      <c r="DM80" s="646">
        <f t="shared" si="256"/>
        <v>0</v>
      </c>
      <c r="DN80" s="647">
        <f t="shared" si="171"/>
        <v>37324.133873768289</v>
      </c>
      <c r="DR80" s="827">
        <f t="shared" si="172"/>
        <v>196443.02701031533</v>
      </c>
      <c r="DV80" s="828">
        <f>IFERROR(VLOOKUP($B80,'Afton FY16 Final'!$A$5:$BV$587,'Afton FY16 Final'!$BV$587,0),0)</f>
        <v>213727.99698226058</v>
      </c>
      <c r="DX80" s="636">
        <f t="shared" si="137"/>
        <v>0</v>
      </c>
      <c r="DY80" s="637">
        <f t="shared" si="138"/>
        <v>0</v>
      </c>
      <c r="DZ80" s="637">
        <f t="shared" si="139"/>
        <v>0</v>
      </c>
      <c r="EA80" s="643">
        <f t="shared" si="140"/>
        <v>0</v>
      </c>
      <c r="EB80" s="637">
        <f t="shared" si="173"/>
        <v>0</v>
      </c>
      <c r="EC80" s="637">
        <f t="shared" si="174"/>
        <v>0</v>
      </c>
      <c r="ED80" s="637">
        <f t="shared" si="175"/>
        <v>0</v>
      </c>
      <c r="EE80" s="643">
        <f t="shared" si="176"/>
        <v>0</v>
      </c>
      <c r="EF80" s="637">
        <f t="shared" si="177"/>
        <v>0</v>
      </c>
      <c r="EG80" s="637">
        <f t="shared" si="178"/>
        <v>0</v>
      </c>
      <c r="EH80" s="637">
        <f t="shared" si="179"/>
        <v>0</v>
      </c>
      <c r="EI80" s="643">
        <f t="shared" si="180"/>
        <v>0</v>
      </c>
      <c r="EJ80" s="637">
        <f t="shared" si="181"/>
        <v>0</v>
      </c>
      <c r="EK80" s="637">
        <f t="shared" si="182"/>
        <v>0</v>
      </c>
      <c r="EL80" s="637">
        <f t="shared" si="183"/>
        <v>0</v>
      </c>
      <c r="EM80" s="643">
        <f t="shared" si="184"/>
        <v>0</v>
      </c>
      <c r="EN80" s="637">
        <f t="shared" si="185"/>
        <v>0</v>
      </c>
      <c r="EO80" s="637">
        <f t="shared" si="186"/>
        <v>0</v>
      </c>
      <c r="EP80" s="637">
        <f t="shared" si="187"/>
        <v>0</v>
      </c>
      <c r="EQ80" s="643">
        <f t="shared" si="188"/>
        <v>0</v>
      </c>
      <c r="ER80" s="637">
        <f t="shared" si="189"/>
        <v>0</v>
      </c>
      <c r="ES80" s="637">
        <f t="shared" si="190"/>
        <v>0</v>
      </c>
      <c r="ET80" s="637">
        <f t="shared" si="191"/>
        <v>0</v>
      </c>
      <c r="EU80" s="643">
        <f t="shared" si="141"/>
        <v>0</v>
      </c>
      <c r="EV80" s="643">
        <f t="shared" si="142"/>
        <v>0</v>
      </c>
      <c r="EX80" s="829">
        <f t="shared" si="143"/>
        <v>0</v>
      </c>
      <c r="EY80" s="638">
        <f t="shared" si="144"/>
        <v>196443.02701031533</v>
      </c>
      <c r="FC80" s="830" t="str">
        <f t="shared" si="192"/>
        <v>Y</v>
      </c>
      <c r="FE80" s="830" t="str">
        <f>IFERROR(VLOOKUP($B80,'Historical Conc Grant Elig'!$B$3:$J$707,'HH &amp; SI'!FE$2,0),"N")</f>
        <v>Y</v>
      </c>
      <c r="FF80" s="830" t="str">
        <f>IFERROR(VLOOKUP($B80,'Historical Conc Grant Elig'!$B$3:$J$707,'HH &amp; SI'!FF$2,0),"N")</f>
        <v>Y</v>
      </c>
      <c r="FG80" s="830" t="str">
        <f>IFERROR(VLOOKUP($B80,'Historical Conc Grant Elig'!$B$3:$J$707,'HH &amp; SI'!FG$2,0),"N")</f>
        <v>Y</v>
      </c>
      <c r="FH80" s="830" t="str">
        <f>IFERROR(VLOOKUP($B80,'Historical Conc Grant Elig'!$B$3:$J$707,'HH &amp; SI'!FH$2,0),"N")</f>
        <v>Y</v>
      </c>
      <c r="FI80" s="830" t="str">
        <f>IFERROR(VLOOKUP($B80,'Historical Conc Grant Elig'!$B$3:$J$707,'HH &amp; SI'!FI$2,0),"N")</f>
        <v>Y</v>
      </c>
      <c r="FJ80" s="830" t="str">
        <f>IFERROR(VLOOKUP($B80,'Historical Conc Grant Elig'!$B$3:$J$707,'HH &amp; SI'!FJ$2,0),"N")</f>
        <v>Y</v>
      </c>
      <c r="FK80" s="830" t="str">
        <f>IFERROR(VLOOKUP($B80,'Historical Conc Grant Elig'!$B$3:$J$707,'HH &amp; SI'!FK$2,0),"N")</f>
        <v>Y</v>
      </c>
      <c r="FL80" s="957" t="str">
        <f>IFERROR(VLOOKUP($B80,'Historical Conc Grant Elig'!$B$3:$J$707,'HH &amp; SI'!FL$2,0),"N")</f>
        <v>Y</v>
      </c>
    </row>
    <row r="81" spans="2:168" x14ac:dyDescent="0.25">
      <c r="B81" s="634">
        <v>70241000</v>
      </c>
      <c r="C81" s="635" t="str">
        <f>VLOOKUP($B81,'Afton Update'!$A$5:$CR$582,'Afton Update'!D$589,0)</f>
        <v>Gilbert Unified District</v>
      </c>
      <c r="D81" s="636">
        <f>IFERROR(VLOOKUP($B81,'Afton FY16 Final'!$A$5:$BV$587,'Afton FY16 Final'!AQ$587,0),0)</f>
        <v>1730943.943621048</v>
      </c>
      <c r="E81" s="637">
        <f>IFERROR(VLOOKUP($B81,'Afton FY16 Final'!$A$5:$BV$587,'Afton FY16 Final'!AR$587,0),0)</f>
        <v>0</v>
      </c>
      <c r="F81" s="637">
        <f>IFERROR(VLOOKUP($B81,'Afton FY16 Final'!$A$5:$BV$587,'Afton FY16 Final'!AS$587,0),0)</f>
        <v>788738.93630113406</v>
      </c>
      <c r="G81" s="637">
        <f>IFERROR(VLOOKUP($B81,'Afton FY16 Final'!$A$5:$BV$587,'Afton FY16 Final'!AT$587,0),0)</f>
        <v>592838.12183977698</v>
      </c>
      <c r="H81" s="638">
        <f>IFERROR(VLOOKUP($B81,'Afton FY16 Final'!$A$5:$BV$587,'Afton FY16 Final'!AU$587,0),0)</f>
        <v>3112521.0017619594</v>
      </c>
      <c r="I81" s="639" t="str">
        <f>VLOOKUP($B81,'Afton Update'!$A$5:$CR$582,'Afton Update'!BT$589,0)</f>
        <v>Y</v>
      </c>
      <c r="J81" s="640" t="str">
        <f>VLOOKUP($B81,'Afton Update'!$A$5:$CR$582,'Afton Update'!BU$589,0)</f>
        <v>N</v>
      </c>
      <c r="K81" s="640" t="str">
        <f>VLOOKUP($B81,'Afton Update'!$A$5:$CR$582,'Afton Update'!BV$589,0)</f>
        <v>Y</v>
      </c>
      <c r="L81" s="641" t="str">
        <f>VLOOKUP($B81,'Afton Update'!$A$5:$CR$582,'Afton Update'!BW$589,0)</f>
        <v>Y</v>
      </c>
      <c r="N81" s="642">
        <f>VLOOKUP($B81,'Afton Update'!$A$5:$CR$582,'Afton Update'!CB$589,0)</f>
        <v>0.85</v>
      </c>
      <c r="P81" s="636">
        <f>VLOOKUP($B81,'Afton Update'!$A$5:$CR$582,'Afton Update'!AH$589,0)</f>
        <v>1733808.7218506008</v>
      </c>
      <c r="Q81" s="637" t="str">
        <f>VLOOKUP($B81,'Afton Update'!$A$5:$CR$582,'Afton Update'!AI$589,0)</f>
        <v/>
      </c>
      <c r="R81" s="637">
        <f>VLOOKUP($B81,'Afton Update'!$A$5:$CR$582,'Afton Update'!AJ$589,0)</f>
        <v>861025.40020906425</v>
      </c>
      <c r="S81" s="637">
        <f>VLOOKUP($B81,'Afton Update'!$A$5:$CR$582,'Afton Update'!AK$589,0)</f>
        <v>714699.79225399904</v>
      </c>
      <c r="T81" s="643">
        <f t="shared" si="145"/>
        <v>3309533.9143136642</v>
      </c>
      <c r="V81" s="636">
        <f t="shared" si="193"/>
        <v>1710158.4455323177</v>
      </c>
      <c r="W81" s="637">
        <f t="shared" si="194"/>
        <v>0</v>
      </c>
      <c r="X81" s="637">
        <f t="shared" si="195"/>
        <v>853194.71036881942</v>
      </c>
      <c r="Y81" s="637">
        <f t="shared" si="196"/>
        <v>706825.08706870361</v>
      </c>
      <c r="Z81" s="643">
        <f t="shared" si="197"/>
        <v>3270178.2429698408</v>
      </c>
      <c r="AB81" s="644">
        <f t="shared" si="146"/>
        <v>1733808.7218506008</v>
      </c>
      <c r="AC81" s="645">
        <f t="shared" si="134"/>
        <v>1471302.3520778907</v>
      </c>
      <c r="AD81" s="644">
        <f t="shared" si="198"/>
        <v>0</v>
      </c>
      <c r="AE81" s="645">
        <f t="shared" si="199"/>
        <v>1733808.7218506008</v>
      </c>
      <c r="AF81" s="646">
        <f t="shared" si="200"/>
        <v>-21491.862029909509</v>
      </c>
      <c r="AG81" s="647">
        <f t="shared" si="201"/>
        <v>1712316.8598206912</v>
      </c>
      <c r="AH81" s="644">
        <f t="shared" si="147"/>
        <v>0</v>
      </c>
      <c r="AI81" s="645">
        <f t="shared" si="148"/>
        <v>1712316.8598206912</v>
      </c>
      <c r="AJ81" s="646">
        <f t="shared" si="202"/>
        <v>-2157.0391692599446</v>
      </c>
      <c r="AK81" s="647">
        <f t="shared" si="149"/>
        <v>1710159.8206514313</v>
      </c>
      <c r="AL81" s="644">
        <f t="shared" si="203"/>
        <v>0</v>
      </c>
      <c r="AM81" s="645">
        <f t="shared" si="204"/>
        <v>1710159.8206514313</v>
      </c>
      <c r="AN81" s="646">
        <f t="shared" si="205"/>
        <v>-1.3751191137106966</v>
      </c>
      <c r="AO81" s="647">
        <f t="shared" si="150"/>
        <v>1710158.4455323177</v>
      </c>
      <c r="AP81" s="644">
        <f t="shared" si="206"/>
        <v>0</v>
      </c>
      <c r="AQ81" s="645">
        <f t="shared" si="207"/>
        <v>1710158.4455323177</v>
      </c>
      <c r="AR81" s="646">
        <f t="shared" si="208"/>
        <v>0</v>
      </c>
      <c r="AS81" s="647">
        <f t="shared" si="151"/>
        <v>1710158.4455323177</v>
      </c>
      <c r="AT81" s="644">
        <f t="shared" si="209"/>
        <v>0</v>
      </c>
      <c r="AU81" s="645">
        <f t="shared" si="210"/>
        <v>1710158.4455323177</v>
      </c>
      <c r="AV81" s="646">
        <f t="shared" si="211"/>
        <v>0</v>
      </c>
      <c r="AW81" s="647">
        <f t="shared" si="152"/>
        <v>1710158.4455323177</v>
      </c>
      <c r="AY81" s="644">
        <f t="shared" si="212"/>
        <v>0</v>
      </c>
      <c r="AZ81" s="645">
        <f t="shared" si="153"/>
        <v>0</v>
      </c>
      <c r="BA81" s="644">
        <f t="shared" si="213"/>
        <v>0</v>
      </c>
      <c r="BB81" s="645">
        <f t="shared" si="214"/>
        <v>0</v>
      </c>
      <c r="BC81" s="646">
        <f t="shared" si="215"/>
        <v>0</v>
      </c>
      <c r="BD81" s="647">
        <f t="shared" si="216"/>
        <v>0</v>
      </c>
      <c r="BE81" s="644">
        <f t="shared" si="154"/>
        <v>0</v>
      </c>
      <c r="BF81" s="645">
        <f t="shared" si="155"/>
        <v>0</v>
      </c>
      <c r="BG81" s="646">
        <f t="shared" si="217"/>
        <v>0</v>
      </c>
      <c r="BH81" s="647">
        <f t="shared" si="156"/>
        <v>0</v>
      </c>
      <c r="BI81" s="644">
        <f t="shared" si="218"/>
        <v>0</v>
      </c>
      <c r="BJ81" s="645">
        <f t="shared" si="219"/>
        <v>0</v>
      </c>
      <c r="BK81" s="646">
        <f t="shared" si="220"/>
        <v>0</v>
      </c>
      <c r="BL81" s="647">
        <f t="shared" si="157"/>
        <v>0</v>
      </c>
      <c r="BM81" s="644">
        <f t="shared" si="221"/>
        <v>0</v>
      </c>
      <c r="BN81" s="645">
        <f t="shared" si="222"/>
        <v>0</v>
      </c>
      <c r="BO81" s="646">
        <f t="shared" si="223"/>
        <v>0</v>
      </c>
      <c r="BP81" s="647">
        <f t="shared" si="158"/>
        <v>0</v>
      </c>
      <c r="BQ81" s="644">
        <f t="shared" si="224"/>
        <v>0</v>
      </c>
      <c r="BR81" s="645">
        <f t="shared" si="225"/>
        <v>0</v>
      </c>
      <c r="BS81" s="646">
        <f t="shared" si="226"/>
        <v>0</v>
      </c>
      <c r="BT81" s="647">
        <f t="shared" si="159"/>
        <v>0</v>
      </c>
      <c r="BU81" s="662">
        <f>VLOOKUP(B81,'Afton Update'!$A$5:$AR$582,'Afton Update'!$AO$589,0)-BT81</f>
        <v>0</v>
      </c>
      <c r="BV81" s="644">
        <f t="shared" si="227"/>
        <v>861025.40020906425</v>
      </c>
      <c r="BW81" s="645">
        <f t="shared" si="135"/>
        <v>670428.09585596388</v>
      </c>
      <c r="BX81" s="644">
        <f t="shared" si="228"/>
        <v>0</v>
      </c>
      <c r="BY81" s="645">
        <f t="shared" si="229"/>
        <v>861025.40020906425</v>
      </c>
      <c r="BZ81" s="646">
        <f t="shared" si="230"/>
        <v>-7557.3114808328273</v>
      </c>
      <c r="CA81" s="647">
        <f t="shared" si="231"/>
        <v>853468.08872823138</v>
      </c>
      <c r="CB81" s="644">
        <f t="shared" si="160"/>
        <v>0</v>
      </c>
      <c r="CC81" s="645">
        <f t="shared" si="161"/>
        <v>853468.08872823138</v>
      </c>
      <c r="CD81" s="646">
        <f t="shared" si="232"/>
        <v>-273.37835941199899</v>
      </c>
      <c r="CE81" s="647">
        <f t="shared" si="162"/>
        <v>853194.71036881942</v>
      </c>
      <c r="CF81" s="644">
        <f t="shared" si="233"/>
        <v>0</v>
      </c>
      <c r="CG81" s="645">
        <f t="shared" si="234"/>
        <v>853194.71036881942</v>
      </c>
      <c r="CH81" s="646">
        <f t="shared" si="235"/>
        <v>0</v>
      </c>
      <c r="CI81" s="647">
        <f t="shared" si="163"/>
        <v>853194.71036881942</v>
      </c>
      <c r="CJ81" s="644">
        <f t="shared" si="236"/>
        <v>0</v>
      </c>
      <c r="CK81" s="645">
        <f t="shared" si="237"/>
        <v>853194.71036881942</v>
      </c>
      <c r="CL81" s="646">
        <f t="shared" si="238"/>
        <v>0</v>
      </c>
      <c r="CM81" s="647">
        <f t="shared" si="164"/>
        <v>853194.71036881942</v>
      </c>
      <c r="CN81" s="644">
        <f t="shared" si="239"/>
        <v>0</v>
      </c>
      <c r="CO81" s="645">
        <f t="shared" si="240"/>
        <v>853194.71036881942</v>
      </c>
      <c r="CP81" s="646">
        <f t="shared" si="241"/>
        <v>0</v>
      </c>
      <c r="CQ81" s="647">
        <f t="shared" si="165"/>
        <v>853194.71036881942</v>
      </c>
      <c r="CS81" s="644">
        <f t="shared" si="242"/>
        <v>714699.79225399904</v>
      </c>
      <c r="CT81" s="645">
        <f t="shared" si="136"/>
        <v>503912.4035638104</v>
      </c>
      <c r="CU81" s="644">
        <f t="shared" si="243"/>
        <v>0</v>
      </c>
      <c r="CV81" s="645">
        <f t="shared" si="244"/>
        <v>714699.79225399904</v>
      </c>
      <c r="CW81" s="646">
        <f t="shared" si="245"/>
        <v>-7318.9297652395799</v>
      </c>
      <c r="CX81" s="647">
        <f t="shared" si="246"/>
        <v>707380.86248875945</v>
      </c>
      <c r="CY81" s="644">
        <f t="shared" si="166"/>
        <v>0</v>
      </c>
      <c r="CZ81" s="645">
        <f t="shared" si="167"/>
        <v>707380.86248875945</v>
      </c>
      <c r="DA81" s="646">
        <f t="shared" si="247"/>
        <v>-555.29654594848921</v>
      </c>
      <c r="DB81" s="647">
        <f t="shared" si="168"/>
        <v>706825.56594281096</v>
      </c>
      <c r="DC81" s="644">
        <f t="shared" si="248"/>
        <v>0</v>
      </c>
      <c r="DD81" s="645">
        <f t="shared" si="249"/>
        <v>706825.56594281096</v>
      </c>
      <c r="DE81" s="646">
        <f t="shared" si="250"/>
        <v>-0.47887410737937414</v>
      </c>
      <c r="DF81" s="647">
        <f t="shared" si="169"/>
        <v>706825.08706870361</v>
      </c>
      <c r="DG81" s="644">
        <f t="shared" si="251"/>
        <v>0</v>
      </c>
      <c r="DH81" s="645">
        <f t="shared" si="252"/>
        <v>706825.08706870361</v>
      </c>
      <c r="DI81" s="646">
        <f t="shared" si="253"/>
        <v>0</v>
      </c>
      <c r="DJ81" s="647">
        <f t="shared" si="170"/>
        <v>706825.08706870361</v>
      </c>
      <c r="DK81" s="644">
        <f t="shared" si="254"/>
        <v>0</v>
      </c>
      <c r="DL81" s="645">
        <f t="shared" si="255"/>
        <v>706825.08706870361</v>
      </c>
      <c r="DM81" s="646">
        <f t="shared" si="256"/>
        <v>0</v>
      </c>
      <c r="DN81" s="647">
        <f t="shared" si="171"/>
        <v>706825.08706870361</v>
      </c>
      <c r="DR81" s="827">
        <f t="shared" si="172"/>
        <v>3270178.2429698408</v>
      </c>
      <c r="DV81" s="828">
        <f>IFERROR(VLOOKUP($B81,'Afton FY16 Final'!$A$5:$BV$587,'Afton FY16 Final'!$BV$587,0),0)</f>
        <v>2994046.7233924908</v>
      </c>
      <c r="DX81" s="636">
        <f t="shared" si="137"/>
        <v>3270178.2429698408</v>
      </c>
      <c r="DY81" s="637">
        <f t="shared" si="138"/>
        <v>276131.51957735</v>
      </c>
      <c r="DZ81" s="637">
        <f t="shared" si="139"/>
        <v>2994046.7233924908</v>
      </c>
      <c r="EA81" s="643">
        <f t="shared" si="140"/>
        <v>3096241.4106426034</v>
      </c>
      <c r="EB81" s="637">
        <f t="shared" si="173"/>
        <v>0</v>
      </c>
      <c r="EC81" s="637">
        <f t="shared" si="174"/>
        <v>3096241.4106426034</v>
      </c>
      <c r="ED81" s="637">
        <f t="shared" si="175"/>
        <v>3087008.6036256012</v>
      </c>
      <c r="EE81" s="643">
        <f t="shared" si="176"/>
        <v>3087008.6036256012</v>
      </c>
      <c r="EF81" s="637">
        <f t="shared" si="177"/>
        <v>0</v>
      </c>
      <c r="EG81" s="637">
        <f t="shared" si="178"/>
        <v>3087008.6036256012</v>
      </c>
      <c r="EH81" s="637">
        <f t="shared" si="179"/>
        <v>3087005.4188793194</v>
      </c>
      <c r="EI81" s="643">
        <f t="shared" si="180"/>
        <v>3087005.4188793194</v>
      </c>
      <c r="EJ81" s="637">
        <f t="shared" si="181"/>
        <v>0</v>
      </c>
      <c r="EK81" s="637">
        <f t="shared" si="182"/>
        <v>3087005.4188793194</v>
      </c>
      <c r="EL81" s="637">
        <f t="shared" si="183"/>
        <v>3087005.4188793153</v>
      </c>
      <c r="EM81" s="643">
        <f t="shared" si="184"/>
        <v>3087005.4188793153</v>
      </c>
      <c r="EN81" s="637">
        <f t="shared" si="185"/>
        <v>0</v>
      </c>
      <c r="EO81" s="637">
        <f t="shared" si="186"/>
        <v>3087005.4188793153</v>
      </c>
      <c r="EP81" s="637">
        <f t="shared" si="187"/>
        <v>3087005.4188793199</v>
      </c>
      <c r="EQ81" s="643">
        <f t="shared" si="188"/>
        <v>3087005.4188793199</v>
      </c>
      <c r="ER81" s="637">
        <f t="shared" si="189"/>
        <v>0</v>
      </c>
      <c r="ES81" s="637">
        <f t="shared" si="190"/>
        <v>3087005.4188793199</v>
      </c>
      <c r="ET81" s="637">
        <f t="shared" si="191"/>
        <v>3087005.4188793153</v>
      </c>
      <c r="EU81" s="643">
        <f t="shared" si="141"/>
        <v>3087005.4188793153</v>
      </c>
      <c r="EV81" s="643">
        <f t="shared" si="142"/>
        <v>0</v>
      </c>
      <c r="EX81" s="829">
        <f t="shared" si="143"/>
        <v>183172.82409052551</v>
      </c>
      <c r="EY81" s="638">
        <f t="shared" si="144"/>
        <v>3087005.4188793153</v>
      </c>
      <c r="FC81" s="830" t="str">
        <f t="shared" si="192"/>
        <v>N</v>
      </c>
      <c r="FE81" s="830" t="str">
        <f>IFERROR(VLOOKUP($B81,'Historical Conc Grant Elig'!$B$3:$J$707,'HH &amp; SI'!FE$2,0),"N")</f>
        <v>N</v>
      </c>
      <c r="FF81" s="830" t="str">
        <f>IFERROR(VLOOKUP($B81,'Historical Conc Grant Elig'!$B$3:$J$707,'HH &amp; SI'!FF$2,0),"N")</f>
        <v>N</v>
      </c>
      <c r="FG81" s="830" t="str">
        <f>IFERROR(VLOOKUP($B81,'Historical Conc Grant Elig'!$B$3:$J$707,'HH &amp; SI'!FG$2,0),"N")</f>
        <v>N</v>
      </c>
      <c r="FH81" s="830" t="str">
        <f>IFERROR(VLOOKUP($B81,'Historical Conc Grant Elig'!$B$3:$J$707,'HH &amp; SI'!FH$2,0),"N")</f>
        <v>N</v>
      </c>
      <c r="FI81" s="830" t="str">
        <f>IFERROR(VLOOKUP($B81,'Historical Conc Grant Elig'!$B$3:$J$707,'HH &amp; SI'!FI$2,0),"N")</f>
        <v>N</v>
      </c>
      <c r="FJ81" s="830" t="str">
        <f>IFERROR(VLOOKUP($B81,'Historical Conc Grant Elig'!$B$3:$J$707,'HH &amp; SI'!FJ$2,0),"N")</f>
        <v>N</v>
      </c>
      <c r="FK81" s="830" t="str">
        <f>IFERROR(VLOOKUP($B81,'Historical Conc Grant Elig'!$B$3:$J$707,'HH &amp; SI'!FK$2,0),"N")</f>
        <v>N</v>
      </c>
      <c r="FL81" s="957" t="str">
        <f>IFERROR(VLOOKUP($B81,'Historical Conc Grant Elig'!$B$3:$J$707,'HH &amp; SI'!FL$2,0),"N")</f>
        <v>N</v>
      </c>
    </row>
    <row r="82" spans="2:168" x14ac:dyDescent="0.25">
      <c r="B82" s="634">
        <v>70248000</v>
      </c>
      <c r="C82" s="635" t="str">
        <f>VLOOKUP($B82,'Afton Update'!$A$5:$CR$582,'Afton Update'!D$589,0)</f>
        <v>Scottsdale Unified District</v>
      </c>
      <c r="D82" s="636">
        <f>IFERROR(VLOOKUP($B82,'Afton FY16 Final'!$A$5:$BV$587,'Afton FY16 Final'!AQ$587,0),0)</f>
        <v>1589011.3285779238</v>
      </c>
      <c r="E82" s="637">
        <f>IFERROR(VLOOKUP($B82,'Afton FY16 Final'!$A$5:$BV$587,'Afton FY16 Final'!AR$587,0),0)</f>
        <v>0</v>
      </c>
      <c r="F82" s="637">
        <f>IFERROR(VLOOKUP($B82,'Afton FY16 Final'!$A$5:$BV$587,'Afton FY16 Final'!AS$587,0),0)</f>
        <v>710678.22242674406</v>
      </c>
      <c r="G82" s="637">
        <f>IFERROR(VLOOKUP($B82,'Afton FY16 Final'!$A$5:$BV$587,'Afton FY16 Final'!AT$587,0),0)</f>
        <v>541782.22749631142</v>
      </c>
      <c r="H82" s="638">
        <f>IFERROR(VLOOKUP($B82,'Afton FY16 Final'!$A$5:$BV$587,'Afton FY16 Final'!AU$587,0),0)</f>
        <v>2841471.7785009793</v>
      </c>
      <c r="I82" s="639" t="str">
        <f>VLOOKUP($B82,'Afton Update'!$A$5:$CR$582,'Afton Update'!BT$589,0)</f>
        <v>Y</v>
      </c>
      <c r="J82" s="640" t="str">
        <f>VLOOKUP($B82,'Afton Update'!$A$5:$CR$582,'Afton Update'!BU$589,0)</f>
        <v>N</v>
      </c>
      <c r="K82" s="640" t="str">
        <f>VLOOKUP($B82,'Afton Update'!$A$5:$CR$582,'Afton Update'!BV$589,0)</f>
        <v>Y</v>
      </c>
      <c r="L82" s="641" t="str">
        <f>VLOOKUP($B82,'Afton Update'!$A$5:$CR$582,'Afton Update'!BW$589,0)</f>
        <v>Y</v>
      </c>
      <c r="N82" s="642">
        <f>VLOOKUP($B82,'Afton Update'!$A$5:$CR$582,'Afton Update'!CB$589,0)</f>
        <v>0.85</v>
      </c>
      <c r="P82" s="636">
        <f>VLOOKUP($B82,'Afton Update'!$A$5:$CR$582,'Afton Update'!AH$589,0)</f>
        <v>1511664.4793634925</v>
      </c>
      <c r="Q82" s="637" t="str">
        <f>VLOOKUP($B82,'Afton Update'!$A$5:$CR$582,'Afton Update'!AI$589,0)</f>
        <v/>
      </c>
      <c r="R82" s="637">
        <f>VLOOKUP($B82,'Afton Update'!$A$5:$CR$582,'Afton Update'!AJ$589,0)</f>
        <v>726908.93005562574</v>
      </c>
      <c r="S82" s="637">
        <f>VLOOKUP($B82,'Afton Update'!$A$5:$CR$582,'Afton Update'!AK$589,0)</f>
        <v>597580.98424937227</v>
      </c>
      <c r="T82" s="643">
        <f t="shared" si="145"/>
        <v>2836154.3936684905</v>
      </c>
      <c r="V82" s="636">
        <f t="shared" si="193"/>
        <v>1491044.3946984895</v>
      </c>
      <c r="W82" s="637">
        <f t="shared" si="194"/>
        <v>0</v>
      </c>
      <c r="X82" s="637">
        <f t="shared" si="195"/>
        <v>720297.97714763053</v>
      </c>
      <c r="Y82" s="637">
        <f t="shared" si="196"/>
        <v>590996.7175036642</v>
      </c>
      <c r="Z82" s="643">
        <f t="shared" si="197"/>
        <v>2802339.089349784</v>
      </c>
      <c r="AB82" s="644">
        <f t="shared" si="146"/>
        <v>1511664.4793634925</v>
      </c>
      <c r="AC82" s="645">
        <f t="shared" si="134"/>
        <v>1350659.6292912352</v>
      </c>
      <c r="AD82" s="644">
        <f t="shared" si="198"/>
        <v>0</v>
      </c>
      <c r="AE82" s="645">
        <f t="shared" si="199"/>
        <v>1511664.4793634925</v>
      </c>
      <c r="AF82" s="646">
        <f t="shared" si="200"/>
        <v>-18738.21720732735</v>
      </c>
      <c r="AG82" s="647">
        <f t="shared" si="201"/>
        <v>1492926.2621561652</v>
      </c>
      <c r="AH82" s="644">
        <f t="shared" si="147"/>
        <v>0</v>
      </c>
      <c r="AI82" s="645">
        <f t="shared" si="148"/>
        <v>1492926.2621561652</v>
      </c>
      <c r="AJ82" s="646">
        <f t="shared" si="202"/>
        <v>-1880.6685256985143</v>
      </c>
      <c r="AK82" s="647">
        <f t="shared" si="149"/>
        <v>1491045.5936304666</v>
      </c>
      <c r="AL82" s="644">
        <f t="shared" si="203"/>
        <v>0</v>
      </c>
      <c r="AM82" s="645">
        <f t="shared" si="204"/>
        <v>1491045.5936304666</v>
      </c>
      <c r="AN82" s="646">
        <f t="shared" si="205"/>
        <v>-1.1989319772665135</v>
      </c>
      <c r="AO82" s="647">
        <f t="shared" si="150"/>
        <v>1491044.3946984895</v>
      </c>
      <c r="AP82" s="644">
        <f t="shared" si="206"/>
        <v>0</v>
      </c>
      <c r="AQ82" s="645">
        <f t="shared" si="207"/>
        <v>1491044.3946984895</v>
      </c>
      <c r="AR82" s="646">
        <f t="shared" si="208"/>
        <v>0</v>
      </c>
      <c r="AS82" s="647">
        <f t="shared" si="151"/>
        <v>1491044.3946984895</v>
      </c>
      <c r="AT82" s="644">
        <f t="shared" si="209"/>
        <v>0</v>
      </c>
      <c r="AU82" s="645">
        <f t="shared" si="210"/>
        <v>1491044.3946984895</v>
      </c>
      <c r="AV82" s="646">
        <f t="shared" si="211"/>
        <v>0</v>
      </c>
      <c r="AW82" s="647">
        <f t="shared" si="152"/>
        <v>1491044.3946984895</v>
      </c>
      <c r="AY82" s="644">
        <f t="shared" si="212"/>
        <v>0</v>
      </c>
      <c r="AZ82" s="645">
        <f t="shared" si="153"/>
        <v>0</v>
      </c>
      <c r="BA82" s="644">
        <f t="shared" si="213"/>
        <v>0</v>
      </c>
      <c r="BB82" s="645">
        <f t="shared" si="214"/>
        <v>0</v>
      </c>
      <c r="BC82" s="646">
        <f t="shared" si="215"/>
        <v>0</v>
      </c>
      <c r="BD82" s="647">
        <f t="shared" si="216"/>
        <v>0</v>
      </c>
      <c r="BE82" s="644">
        <f t="shared" si="154"/>
        <v>0</v>
      </c>
      <c r="BF82" s="645">
        <f t="shared" si="155"/>
        <v>0</v>
      </c>
      <c r="BG82" s="646">
        <f t="shared" si="217"/>
        <v>0</v>
      </c>
      <c r="BH82" s="647">
        <f t="shared" si="156"/>
        <v>0</v>
      </c>
      <c r="BI82" s="644">
        <f t="shared" si="218"/>
        <v>0</v>
      </c>
      <c r="BJ82" s="645">
        <f t="shared" si="219"/>
        <v>0</v>
      </c>
      <c r="BK82" s="646">
        <f t="shared" si="220"/>
        <v>0</v>
      </c>
      <c r="BL82" s="647">
        <f t="shared" si="157"/>
        <v>0</v>
      </c>
      <c r="BM82" s="644">
        <f t="shared" si="221"/>
        <v>0</v>
      </c>
      <c r="BN82" s="645">
        <f t="shared" si="222"/>
        <v>0</v>
      </c>
      <c r="BO82" s="646">
        <f t="shared" si="223"/>
        <v>0</v>
      </c>
      <c r="BP82" s="647">
        <f t="shared" si="158"/>
        <v>0</v>
      </c>
      <c r="BQ82" s="644">
        <f t="shared" si="224"/>
        <v>0</v>
      </c>
      <c r="BR82" s="645">
        <f t="shared" si="225"/>
        <v>0</v>
      </c>
      <c r="BS82" s="646">
        <f t="shared" si="226"/>
        <v>0</v>
      </c>
      <c r="BT82" s="647">
        <f t="shared" si="159"/>
        <v>0</v>
      </c>
      <c r="BU82" s="662">
        <f>VLOOKUP(B82,'Afton Update'!$A$5:$AR$582,'Afton Update'!$AO$589,0)-BT82</f>
        <v>0</v>
      </c>
      <c r="BV82" s="644">
        <f t="shared" si="227"/>
        <v>726908.93005562574</v>
      </c>
      <c r="BW82" s="645">
        <f t="shared" si="135"/>
        <v>604076.48906273243</v>
      </c>
      <c r="BX82" s="644">
        <f t="shared" si="228"/>
        <v>0</v>
      </c>
      <c r="BY82" s="645">
        <f t="shared" si="229"/>
        <v>726908.93005562574</v>
      </c>
      <c r="BZ82" s="646">
        <f t="shared" si="230"/>
        <v>-6380.1569631922875</v>
      </c>
      <c r="CA82" s="647">
        <f t="shared" si="231"/>
        <v>720528.77309243346</v>
      </c>
      <c r="CB82" s="644">
        <f t="shared" si="160"/>
        <v>0</v>
      </c>
      <c r="CC82" s="645">
        <f t="shared" si="161"/>
        <v>720528.77309243346</v>
      </c>
      <c r="CD82" s="646">
        <f t="shared" si="232"/>
        <v>-230.7959448028912</v>
      </c>
      <c r="CE82" s="647">
        <f t="shared" si="162"/>
        <v>720297.97714763053</v>
      </c>
      <c r="CF82" s="644">
        <f t="shared" si="233"/>
        <v>0</v>
      </c>
      <c r="CG82" s="645">
        <f t="shared" si="234"/>
        <v>720297.97714763053</v>
      </c>
      <c r="CH82" s="646">
        <f t="shared" si="235"/>
        <v>0</v>
      </c>
      <c r="CI82" s="647">
        <f t="shared" si="163"/>
        <v>720297.97714763053</v>
      </c>
      <c r="CJ82" s="644">
        <f t="shared" si="236"/>
        <v>0</v>
      </c>
      <c r="CK82" s="645">
        <f t="shared" si="237"/>
        <v>720297.97714763053</v>
      </c>
      <c r="CL82" s="646">
        <f t="shared" si="238"/>
        <v>0</v>
      </c>
      <c r="CM82" s="647">
        <f t="shared" si="164"/>
        <v>720297.97714763053</v>
      </c>
      <c r="CN82" s="644">
        <f t="shared" si="239"/>
        <v>0</v>
      </c>
      <c r="CO82" s="645">
        <f t="shared" si="240"/>
        <v>720297.97714763053</v>
      </c>
      <c r="CP82" s="646">
        <f t="shared" si="241"/>
        <v>0</v>
      </c>
      <c r="CQ82" s="647">
        <f t="shared" si="165"/>
        <v>720297.97714763053</v>
      </c>
      <c r="CS82" s="644">
        <f t="shared" si="242"/>
        <v>597580.98424937227</v>
      </c>
      <c r="CT82" s="645">
        <f t="shared" si="136"/>
        <v>460514.89337186469</v>
      </c>
      <c r="CU82" s="644">
        <f t="shared" si="243"/>
        <v>0</v>
      </c>
      <c r="CV82" s="645">
        <f t="shared" si="244"/>
        <v>597580.98424937227</v>
      </c>
      <c r="CW82" s="646">
        <f t="shared" si="245"/>
        <v>-6119.566984860031</v>
      </c>
      <c r="CX82" s="647">
        <f t="shared" si="246"/>
        <v>591461.41726451227</v>
      </c>
      <c r="CY82" s="644">
        <f t="shared" si="166"/>
        <v>0</v>
      </c>
      <c r="CZ82" s="645">
        <f t="shared" si="167"/>
        <v>591461.41726451227</v>
      </c>
      <c r="DA82" s="646">
        <f t="shared" si="247"/>
        <v>-464.2993604792365</v>
      </c>
      <c r="DB82" s="647">
        <f t="shared" si="168"/>
        <v>590997.11790403305</v>
      </c>
      <c r="DC82" s="644">
        <f t="shared" si="248"/>
        <v>0</v>
      </c>
      <c r="DD82" s="645">
        <f t="shared" si="249"/>
        <v>590997.11790403305</v>
      </c>
      <c r="DE82" s="646">
        <f t="shared" si="250"/>
        <v>-0.40040036882731417</v>
      </c>
      <c r="DF82" s="647">
        <f t="shared" si="169"/>
        <v>590996.7175036642</v>
      </c>
      <c r="DG82" s="644">
        <f t="shared" si="251"/>
        <v>0</v>
      </c>
      <c r="DH82" s="645">
        <f t="shared" si="252"/>
        <v>590996.7175036642</v>
      </c>
      <c r="DI82" s="646">
        <f t="shared" si="253"/>
        <v>0</v>
      </c>
      <c r="DJ82" s="647">
        <f t="shared" si="170"/>
        <v>590996.7175036642</v>
      </c>
      <c r="DK82" s="644">
        <f t="shared" si="254"/>
        <v>0</v>
      </c>
      <c r="DL82" s="645">
        <f t="shared" si="255"/>
        <v>590996.7175036642</v>
      </c>
      <c r="DM82" s="646">
        <f t="shared" si="256"/>
        <v>0</v>
      </c>
      <c r="DN82" s="647">
        <f t="shared" si="171"/>
        <v>590996.7175036642</v>
      </c>
      <c r="DR82" s="827">
        <f t="shared" si="172"/>
        <v>2802339.089349784</v>
      </c>
      <c r="DV82" s="828">
        <f>IFERROR(VLOOKUP($B82,'Afton FY16 Final'!$A$5:$BV$587,'Afton FY16 Final'!$BV$587,0),0)</f>
        <v>2767480.389898241</v>
      </c>
      <c r="DX82" s="636">
        <f t="shared" si="137"/>
        <v>2802339.089349784</v>
      </c>
      <c r="DY82" s="637">
        <f t="shared" si="138"/>
        <v>34858.699451542925</v>
      </c>
      <c r="DZ82" s="637">
        <f t="shared" si="139"/>
        <v>2767480.389898241</v>
      </c>
      <c r="EA82" s="643">
        <f t="shared" si="140"/>
        <v>2653286.0567341573</v>
      </c>
      <c r="EB82" s="637">
        <f t="shared" si="173"/>
        <v>2767480.389898241</v>
      </c>
      <c r="EC82" s="637">
        <f t="shared" si="174"/>
        <v>0</v>
      </c>
      <c r="ED82" s="637">
        <f t="shared" si="175"/>
        <v>0</v>
      </c>
      <c r="EE82" s="643">
        <f t="shared" si="176"/>
        <v>2767480.389898241</v>
      </c>
      <c r="EF82" s="637">
        <f t="shared" si="177"/>
        <v>0</v>
      </c>
      <c r="EG82" s="637">
        <f t="shared" si="178"/>
        <v>0</v>
      </c>
      <c r="EH82" s="637">
        <f t="shared" si="179"/>
        <v>0</v>
      </c>
      <c r="EI82" s="643">
        <f t="shared" si="180"/>
        <v>2767480.389898241</v>
      </c>
      <c r="EJ82" s="637">
        <f t="shared" si="181"/>
        <v>0</v>
      </c>
      <c r="EK82" s="637">
        <f t="shared" si="182"/>
        <v>0</v>
      </c>
      <c r="EL82" s="637">
        <f t="shared" si="183"/>
        <v>0</v>
      </c>
      <c r="EM82" s="643">
        <f t="shared" si="184"/>
        <v>2767480.389898241</v>
      </c>
      <c r="EN82" s="637">
        <f t="shared" si="185"/>
        <v>0</v>
      </c>
      <c r="EO82" s="637">
        <f t="shared" si="186"/>
        <v>0</v>
      </c>
      <c r="EP82" s="637">
        <f t="shared" si="187"/>
        <v>0</v>
      </c>
      <c r="EQ82" s="643">
        <f t="shared" si="188"/>
        <v>2767480.389898241</v>
      </c>
      <c r="ER82" s="637">
        <f t="shared" si="189"/>
        <v>0</v>
      </c>
      <c r="ES82" s="637">
        <f t="shared" si="190"/>
        <v>0</v>
      </c>
      <c r="ET82" s="637">
        <f t="shared" si="191"/>
        <v>0</v>
      </c>
      <c r="EU82" s="643">
        <f t="shared" si="141"/>
        <v>2767480.389898241</v>
      </c>
      <c r="EV82" s="643">
        <f t="shared" si="142"/>
        <v>0</v>
      </c>
      <c r="EX82" s="829">
        <f t="shared" si="143"/>
        <v>34858.699451542925</v>
      </c>
      <c r="EY82" s="638">
        <f t="shared" si="144"/>
        <v>2767480.389898241</v>
      </c>
      <c r="FC82" s="830" t="str">
        <f t="shared" si="192"/>
        <v>N</v>
      </c>
      <c r="FE82" s="830" t="str">
        <f>IFERROR(VLOOKUP($B82,'Historical Conc Grant Elig'!$B$3:$J$707,'HH &amp; SI'!FE$2,0),"N")</f>
        <v>N</v>
      </c>
      <c r="FF82" s="830" t="str">
        <f>IFERROR(VLOOKUP($B82,'Historical Conc Grant Elig'!$B$3:$J$707,'HH &amp; SI'!FF$2,0),"N")</f>
        <v>N</v>
      </c>
      <c r="FG82" s="830" t="str">
        <f>IFERROR(VLOOKUP($B82,'Historical Conc Grant Elig'!$B$3:$J$707,'HH &amp; SI'!FG$2,0),"N")</f>
        <v>N</v>
      </c>
      <c r="FH82" s="830" t="str">
        <f>IFERROR(VLOOKUP($B82,'Historical Conc Grant Elig'!$B$3:$J$707,'HH &amp; SI'!FH$2,0),"N")</f>
        <v>N</v>
      </c>
      <c r="FI82" s="830" t="str">
        <f>IFERROR(VLOOKUP($B82,'Historical Conc Grant Elig'!$B$3:$J$707,'HH &amp; SI'!FI$2,0),"N")</f>
        <v>N</v>
      </c>
      <c r="FJ82" s="830" t="str">
        <f>IFERROR(VLOOKUP($B82,'Historical Conc Grant Elig'!$B$3:$J$707,'HH &amp; SI'!FJ$2,0),"N")</f>
        <v>N</v>
      </c>
      <c r="FK82" s="830" t="str">
        <f>IFERROR(VLOOKUP($B82,'Historical Conc Grant Elig'!$B$3:$J$707,'HH &amp; SI'!FK$2,0),"N")</f>
        <v>N</v>
      </c>
      <c r="FL82" s="957" t="str">
        <f>IFERROR(VLOOKUP($B82,'Historical Conc Grant Elig'!$B$3:$J$707,'HH &amp; SI'!FL$2,0),"N")</f>
        <v>N</v>
      </c>
    </row>
    <row r="83" spans="2:168" x14ac:dyDescent="0.25">
      <c r="B83" s="634">
        <v>70260000</v>
      </c>
      <c r="C83" s="635" t="str">
        <f>VLOOKUP($B83,'Afton Update'!$A$5:$CR$582,'Afton Update'!D$589,0)</f>
        <v>Higley Unified School District</v>
      </c>
      <c r="D83" s="636">
        <f>IFERROR(VLOOKUP($B83,'Afton FY16 Final'!$A$5:$BV$587,'Afton FY16 Final'!AQ$587,0),0)</f>
        <v>575379.25343991874</v>
      </c>
      <c r="E83" s="637">
        <f>IFERROR(VLOOKUP($B83,'Afton FY16 Final'!$A$5:$BV$587,'Afton FY16 Final'!AR$587,0),0)</f>
        <v>0</v>
      </c>
      <c r="F83" s="637">
        <f>IFERROR(VLOOKUP($B83,'Afton FY16 Final'!$A$5:$BV$587,'Afton FY16 Final'!AS$587,0),0)</f>
        <v>199137.29786602783</v>
      </c>
      <c r="G83" s="637">
        <f>IFERROR(VLOOKUP($B83,'Afton FY16 Final'!$A$5:$BV$587,'Afton FY16 Final'!AT$587,0),0)</f>
        <v>134558.45553792754</v>
      </c>
      <c r="H83" s="638">
        <f>IFERROR(VLOOKUP($B83,'Afton FY16 Final'!$A$5:$BV$587,'Afton FY16 Final'!AU$587,0),0)</f>
        <v>909075.00684387411</v>
      </c>
      <c r="I83" s="639" t="str">
        <f>VLOOKUP($B83,'Afton Update'!$A$5:$CR$582,'Afton Update'!BT$589,0)</f>
        <v>Y</v>
      </c>
      <c r="J83" s="640" t="str">
        <f>VLOOKUP($B83,'Afton Update'!$A$5:$CR$582,'Afton Update'!BU$589,0)</f>
        <v>N</v>
      </c>
      <c r="K83" s="640" t="str">
        <f>VLOOKUP($B83,'Afton Update'!$A$5:$CR$582,'Afton Update'!BV$589,0)</f>
        <v>Y</v>
      </c>
      <c r="L83" s="641" t="str">
        <f>VLOOKUP($B83,'Afton Update'!$A$5:$CR$582,'Afton Update'!BW$589,0)</f>
        <v>Y</v>
      </c>
      <c r="N83" s="642">
        <f>VLOOKUP($B83,'Afton Update'!$A$5:$CR$582,'Afton Update'!CB$589,0)</f>
        <v>0.85</v>
      </c>
      <c r="P83" s="636">
        <f>VLOOKUP($B83,'Afton Update'!$A$5:$CR$582,'Afton Update'!AH$589,0)</f>
        <v>541815.22557831299</v>
      </c>
      <c r="Q83" s="637" t="str">
        <f>VLOOKUP($B83,'Afton Update'!$A$5:$CR$582,'Afton Update'!AI$589,0)</f>
        <v/>
      </c>
      <c r="R83" s="637">
        <f>VLOOKUP($B83,'Afton Update'!$A$5:$CR$582,'Afton Update'!AJ$589,0)</f>
        <v>201892.01640618869</v>
      </c>
      <c r="S83" s="637">
        <f>VLOOKUP($B83,'Afton Update'!$A$5:$CR$582,'Afton Update'!AK$589,0)</f>
        <v>156719.12972789092</v>
      </c>
      <c r="T83" s="643">
        <f t="shared" si="145"/>
        <v>900426.37171239266</v>
      </c>
      <c r="V83" s="636">
        <f t="shared" si="193"/>
        <v>534424.51422884956</v>
      </c>
      <c r="W83" s="637">
        <f t="shared" si="194"/>
        <v>0</v>
      </c>
      <c r="X83" s="637">
        <f t="shared" si="195"/>
        <v>200055.88734273176</v>
      </c>
      <c r="Y83" s="637">
        <f t="shared" si="196"/>
        <v>154992.36702713359</v>
      </c>
      <c r="Z83" s="643">
        <f t="shared" si="197"/>
        <v>889472.76859871496</v>
      </c>
      <c r="AB83" s="644">
        <f t="shared" si="146"/>
        <v>541815.22557831299</v>
      </c>
      <c r="AC83" s="645">
        <f t="shared" si="134"/>
        <v>489072.36542393093</v>
      </c>
      <c r="AD83" s="644">
        <f t="shared" si="198"/>
        <v>0</v>
      </c>
      <c r="AE83" s="645">
        <f t="shared" si="199"/>
        <v>541815.22557831299</v>
      </c>
      <c r="AF83" s="646">
        <f t="shared" si="200"/>
        <v>-6716.206884346725</v>
      </c>
      <c r="AG83" s="647">
        <f t="shared" si="201"/>
        <v>535099.01869396633</v>
      </c>
      <c r="AH83" s="644">
        <f t="shared" si="147"/>
        <v>0</v>
      </c>
      <c r="AI83" s="645">
        <f t="shared" si="148"/>
        <v>535099.01869396633</v>
      </c>
      <c r="AJ83" s="646">
        <f t="shared" si="202"/>
        <v>-674.07474039373301</v>
      </c>
      <c r="AK83" s="647">
        <f t="shared" si="149"/>
        <v>534424.94395357254</v>
      </c>
      <c r="AL83" s="644">
        <f t="shared" si="203"/>
        <v>0</v>
      </c>
      <c r="AM83" s="645">
        <f t="shared" si="204"/>
        <v>534424.94395357254</v>
      </c>
      <c r="AN83" s="646">
        <f t="shared" si="205"/>
        <v>-0.42972472303459286</v>
      </c>
      <c r="AO83" s="647">
        <f t="shared" si="150"/>
        <v>534424.51422884956</v>
      </c>
      <c r="AP83" s="644">
        <f t="shared" si="206"/>
        <v>0</v>
      </c>
      <c r="AQ83" s="645">
        <f t="shared" si="207"/>
        <v>534424.51422884956</v>
      </c>
      <c r="AR83" s="646">
        <f t="shared" si="208"/>
        <v>0</v>
      </c>
      <c r="AS83" s="647">
        <f t="shared" si="151"/>
        <v>534424.51422884956</v>
      </c>
      <c r="AT83" s="644">
        <f t="shared" si="209"/>
        <v>0</v>
      </c>
      <c r="AU83" s="645">
        <f t="shared" si="210"/>
        <v>534424.51422884956</v>
      </c>
      <c r="AV83" s="646">
        <f t="shared" si="211"/>
        <v>0</v>
      </c>
      <c r="AW83" s="647">
        <f t="shared" si="152"/>
        <v>534424.51422884956</v>
      </c>
      <c r="AY83" s="644">
        <f t="shared" si="212"/>
        <v>0</v>
      </c>
      <c r="AZ83" s="645">
        <f t="shared" si="153"/>
        <v>0</v>
      </c>
      <c r="BA83" s="644">
        <f t="shared" si="213"/>
        <v>0</v>
      </c>
      <c r="BB83" s="645">
        <f t="shared" si="214"/>
        <v>0</v>
      </c>
      <c r="BC83" s="646">
        <f t="shared" si="215"/>
        <v>0</v>
      </c>
      <c r="BD83" s="647">
        <f t="shared" si="216"/>
        <v>0</v>
      </c>
      <c r="BE83" s="644">
        <f t="shared" si="154"/>
        <v>0</v>
      </c>
      <c r="BF83" s="645">
        <f t="shared" si="155"/>
        <v>0</v>
      </c>
      <c r="BG83" s="646">
        <f t="shared" si="217"/>
        <v>0</v>
      </c>
      <c r="BH83" s="647">
        <f t="shared" si="156"/>
        <v>0</v>
      </c>
      <c r="BI83" s="644">
        <f t="shared" si="218"/>
        <v>0</v>
      </c>
      <c r="BJ83" s="645">
        <f t="shared" si="219"/>
        <v>0</v>
      </c>
      <c r="BK83" s="646">
        <f t="shared" si="220"/>
        <v>0</v>
      </c>
      <c r="BL83" s="647">
        <f t="shared" si="157"/>
        <v>0</v>
      </c>
      <c r="BM83" s="644">
        <f t="shared" si="221"/>
        <v>0</v>
      </c>
      <c r="BN83" s="645">
        <f t="shared" si="222"/>
        <v>0</v>
      </c>
      <c r="BO83" s="646">
        <f t="shared" si="223"/>
        <v>0</v>
      </c>
      <c r="BP83" s="647">
        <f t="shared" si="158"/>
        <v>0</v>
      </c>
      <c r="BQ83" s="644">
        <f t="shared" si="224"/>
        <v>0</v>
      </c>
      <c r="BR83" s="645">
        <f t="shared" si="225"/>
        <v>0</v>
      </c>
      <c r="BS83" s="646">
        <f t="shared" si="226"/>
        <v>0</v>
      </c>
      <c r="BT83" s="647">
        <f t="shared" si="159"/>
        <v>0</v>
      </c>
      <c r="BU83" s="662">
        <f>VLOOKUP(B83,'Afton Update'!$A$5:$AR$582,'Afton Update'!$AO$589,0)-BT83</f>
        <v>0</v>
      </c>
      <c r="BV83" s="644">
        <f t="shared" si="227"/>
        <v>201892.01640618869</v>
      </c>
      <c r="BW83" s="645">
        <f t="shared" si="135"/>
        <v>169266.70318612366</v>
      </c>
      <c r="BX83" s="644">
        <f t="shared" si="228"/>
        <v>0</v>
      </c>
      <c r="BY83" s="645">
        <f t="shared" si="229"/>
        <v>201892.01640618869</v>
      </c>
      <c r="BZ83" s="646">
        <f t="shared" si="230"/>
        <v>-1772.0276929165059</v>
      </c>
      <c r="CA83" s="647">
        <f t="shared" si="231"/>
        <v>200119.98871327218</v>
      </c>
      <c r="CB83" s="644">
        <f t="shared" si="160"/>
        <v>0</v>
      </c>
      <c r="CC83" s="645">
        <f t="shared" si="161"/>
        <v>200119.98871327218</v>
      </c>
      <c r="CD83" s="646">
        <f t="shared" si="232"/>
        <v>-64.101370540407913</v>
      </c>
      <c r="CE83" s="647">
        <f t="shared" si="162"/>
        <v>200055.88734273176</v>
      </c>
      <c r="CF83" s="644">
        <f t="shared" si="233"/>
        <v>0</v>
      </c>
      <c r="CG83" s="645">
        <f t="shared" si="234"/>
        <v>200055.88734273176</v>
      </c>
      <c r="CH83" s="646">
        <f t="shared" si="235"/>
        <v>0</v>
      </c>
      <c r="CI83" s="647">
        <f t="shared" si="163"/>
        <v>200055.88734273176</v>
      </c>
      <c r="CJ83" s="644">
        <f t="shared" si="236"/>
        <v>0</v>
      </c>
      <c r="CK83" s="645">
        <f t="shared" si="237"/>
        <v>200055.88734273176</v>
      </c>
      <c r="CL83" s="646">
        <f t="shared" si="238"/>
        <v>0</v>
      </c>
      <c r="CM83" s="647">
        <f t="shared" si="164"/>
        <v>200055.88734273176</v>
      </c>
      <c r="CN83" s="644">
        <f t="shared" si="239"/>
        <v>0</v>
      </c>
      <c r="CO83" s="645">
        <f t="shared" si="240"/>
        <v>200055.88734273176</v>
      </c>
      <c r="CP83" s="646">
        <f t="shared" si="241"/>
        <v>0</v>
      </c>
      <c r="CQ83" s="647">
        <f t="shared" si="165"/>
        <v>200055.88734273176</v>
      </c>
      <c r="CS83" s="644">
        <f t="shared" si="242"/>
        <v>156719.12972789092</v>
      </c>
      <c r="CT83" s="645">
        <f t="shared" si="136"/>
        <v>114374.6872072384</v>
      </c>
      <c r="CU83" s="644">
        <f t="shared" si="243"/>
        <v>0</v>
      </c>
      <c r="CV83" s="645">
        <f t="shared" si="244"/>
        <v>156719.12972789092</v>
      </c>
      <c r="CW83" s="646">
        <f t="shared" si="245"/>
        <v>-1604.8924538378246</v>
      </c>
      <c r="CX83" s="647">
        <f t="shared" si="246"/>
        <v>155114.2372740531</v>
      </c>
      <c r="CY83" s="644">
        <f t="shared" si="166"/>
        <v>0</v>
      </c>
      <c r="CZ83" s="645">
        <f t="shared" si="167"/>
        <v>155114.2372740531</v>
      </c>
      <c r="DA83" s="646">
        <f t="shared" si="247"/>
        <v>-121.76523956652106</v>
      </c>
      <c r="DB83" s="647">
        <f t="shared" si="168"/>
        <v>154992.47203448656</v>
      </c>
      <c r="DC83" s="644">
        <f t="shared" si="248"/>
        <v>0</v>
      </c>
      <c r="DD83" s="645">
        <f t="shared" si="249"/>
        <v>154992.47203448656</v>
      </c>
      <c r="DE83" s="646">
        <f t="shared" si="250"/>
        <v>-0.10500735297687666</v>
      </c>
      <c r="DF83" s="647">
        <f t="shared" si="169"/>
        <v>154992.36702713359</v>
      </c>
      <c r="DG83" s="644">
        <f t="shared" si="251"/>
        <v>0</v>
      </c>
      <c r="DH83" s="645">
        <f t="shared" si="252"/>
        <v>154992.36702713359</v>
      </c>
      <c r="DI83" s="646">
        <f t="shared" si="253"/>
        <v>0</v>
      </c>
      <c r="DJ83" s="647">
        <f t="shared" si="170"/>
        <v>154992.36702713359</v>
      </c>
      <c r="DK83" s="644">
        <f t="shared" si="254"/>
        <v>0</v>
      </c>
      <c r="DL83" s="645">
        <f t="shared" si="255"/>
        <v>154992.36702713359</v>
      </c>
      <c r="DM83" s="646">
        <f t="shared" si="256"/>
        <v>0</v>
      </c>
      <c r="DN83" s="647">
        <f t="shared" si="171"/>
        <v>154992.36702713359</v>
      </c>
      <c r="DR83" s="827">
        <f t="shared" si="172"/>
        <v>889472.76859871496</v>
      </c>
      <c r="DV83" s="828">
        <f>IFERROR(VLOOKUP($B83,'Afton FY16 Final'!$A$5:$BV$587,'Afton FY16 Final'!$BV$587,0),0)</f>
        <v>845444.03010011872</v>
      </c>
      <c r="DX83" s="636">
        <f t="shared" si="137"/>
        <v>889472.76859871496</v>
      </c>
      <c r="DY83" s="637">
        <f t="shared" si="138"/>
        <v>44028.738498596242</v>
      </c>
      <c r="DZ83" s="637">
        <f t="shared" si="139"/>
        <v>845444.03010011872</v>
      </c>
      <c r="EA83" s="643">
        <f t="shared" si="140"/>
        <v>842162.78598721826</v>
      </c>
      <c r="EB83" s="637">
        <f t="shared" si="173"/>
        <v>845444.03010011872</v>
      </c>
      <c r="EC83" s="637">
        <f t="shared" si="174"/>
        <v>0</v>
      </c>
      <c r="ED83" s="637">
        <f t="shared" si="175"/>
        <v>0</v>
      </c>
      <c r="EE83" s="643">
        <f t="shared" si="176"/>
        <v>845444.03010011872</v>
      </c>
      <c r="EF83" s="637">
        <f t="shared" si="177"/>
        <v>0</v>
      </c>
      <c r="EG83" s="637">
        <f t="shared" si="178"/>
        <v>0</v>
      </c>
      <c r="EH83" s="637">
        <f t="shared" si="179"/>
        <v>0</v>
      </c>
      <c r="EI83" s="643">
        <f t="shared" si="180"/>
        <v>845444.03010011872</v>
      </c>
      <c r="EJ83" s="637">
        <f t="shared" si="181"/>
        <v>0</v>
      </c>
      <c r="EK83" s="637">
        <f t="shared" si="182"/>
        <v>0</v>
      </c>
      <c r="EL83" s="637">
        <f t="shared" si="183"/>
        <v>0</v>
      </c>
      <c r="EM83" s="643">
        <f t="shared" si="184"/>
        <v>845444.03010011872</v>
      </c>
      <c r="EN83" s="637">
        <f t="shared" si="185"/>
        <v>0</v>
      </c>
      <c r="EO83" s="637">
        <f t="shared" si="186"/>
        <v>0</v>
      </c>
      <c r="EP83" s="637">
        <f t="shared" si="187"/>
        <v>0</v>
      </c>
      <c r="EQ83" s="643">
        <f t="shared" si="188"/>
        <v>845444.03010011872</v>
      </c>
      <c r="ER83" s="637">
        <f t="shared" si="189"/>
        <v>0</v>
      </c>
      <c r="ES83" s="637">
        <f t="shared" si="190"/>
        <v>0</v>
      </c>
      <c r="ET83" s="637">
        <f t="shared" si="191"/>
        <v>0</v>
      </c>
      <c r="EU83" s="643">
        <f t="shared" si="141"/>
        <v>845444.03010011872</v>
      </c>
      <c r="EV83" s="643">
        <f t="shared" si="142"/>
        <v>0</v>
      </c>
      <c r="EX83" s="829">
        <f t="shared" si="143"/>
        <v>44028.738498596242</v>
      </c>
      <c r="EY83" s="638">
        <f t="shared" si="144"/>
        <v>845444.03010011872</v>
      </c>
      <c r="FC83" s="830" t="str">
        <f t="shared" si="192"/>
        <v>N</v>
      </c>
      <c r="FE83" s="830" t="str">
        <f>IFERROR(VLOOKUP($B83,'Historical Conc Grant Elig'!$B$3:$J$707,'HH &amp; SI'!FE$2,0),"N")</f>
        <v>N</v>
      </c>
      <c r="FF83" s="830" t="str">
        <f>IFERROR(VLOOKUP($B83,'Historical Conc Grant Elig'!$B$3:$J$707,'HH &amp; SI'!FF$2,0),"N")</f>
        <v>N</v>
      </c>
      <c r="FG83" s="830" t="str">
        <f>IFERROR(VLOOKUP($B83,'Historical Conc Grant Elig'!$B$3:$J$707,'HH &amp; SI'!FG$2,0),"N")</f>
        <v>N</v>
      </c>
      <c r="FH83" s="830" t="str">
        <f>IFERROR(VLOOKUP($B83,'Historical Conc Grant Elig'!$B$3:$J$707,'HH &amp; SI'!FH$2,0),"N")</f>
        <v>N</v>
      </c>
      <c r="FI83" s="830" t="str">
        <f>IFERROR(VLOOKUP($B83,'Historical Conc Grant Elig'!$B$3:$J$707,'HH &amp; SI'!FI$2,0),"N")</f>
        <v>N</v>
      </c>
      <c r="FJ83" s="830" t="str">
        <f>IFERROR(VLOOKUP($B83,'Historical Conc Grant Elig'!$B$3:$J$707,'HH &amp; SI'!FJ$2,0),"N")</f>
        <v>N</v>
      </c>
      <c r="FK83" s="830" t="str">
        <f>IFERROR(VLOOKUP($B83,'Historical Conc Grant Elig'!$B$3:$J$707,'HH &amp; SI'!FK$2,0),"N")</f>
        <v>N</v>
      </c>
      <c r="FL83" s="957" t="str">
        <f>IFERROR(VLOOKUP($B83,'Historical Conc Grant Elig'!$B$3:$J$707,'HH &amp; SI'!FL$2,0),"N")</f>
        <v>N</v>
      </c>
    </row>
    <row r="84" spans="2:168" x14ac:dyDescent="0.25">
      <c r="B84" s="634">
        <v>70269000</v>
      </c>
      <c r="C84" s="635" t="str">
        <f>VLOOKUP($B84,'Afton Update'!$A$5:$CR$582,'Afton Update'!D$589,0)</f>
        <v>Paradise Valley Unified District</v>
      </c>
      <c r="D84" s="636">
        <f>IFERROR(VLOOKUP($B84,'Afton FY16 Final'!$A$5:$BV$587,'Afton FY16 Final'!AQ$587,0),0)</f>
        <v>2929128.625854787</v>
      </c>
      <c r="E84" s="637">
        <f>IFERROR(VLOOKUP($B84,'Afton FY16 Final'!$A$5:$BV$587,'Afton FY16 Final'!AR$587,0),0)</f>
        <v>684689.16823288111</v>
      </c>
      <c r="F84" s="637">
        <f>IFERROR(VLOOKUP($B84,'Afton FY16 Final'!$A$5:$BV$587,'Afton FY16 Final'!AS$587,0),0)</f>
        <v>1447721.733314398</v>
      </c>
      <c r="G84" s="637">
        <f>IFERROR(VLOOKUP($B84,'Afton FY16 Final'!$A$5:$BV$587,'Afton FY16 Final'!AT$587,0),0)</f>
        <v>1134942.9416098478</v>
      </c>
      <c r="H84" s="638">
        <f>IFERROR(VLOOKUP($B84,'Afton FY16 Final'!$A$5:$BV$587,'Afton FY16 Final'!AU$587,0),0)</f>
        <v>6196482.469011914</v>
      </c>
      <c r="I84" s="639" t="str">
        <f>VLOOKUP($B84,'Afton Update'!$A$5:$CR$582,'Afton Update'!BT$589,0)</f>
        <v>Y</v>
      </c>
      <c r="J84" s="640" t="str">
        <f>VLOOKUP($B84,'Afton Update'!$A$5:$CR$582,'Afton Update'!BU$589,0)</f>
        <v>Y</v>
      </c>
      <c r="K84" s="640" t="str">
        <f>VLOOKUP($B84,'Afton Update'!$A$5:$CR$582,'Afton Update'!BV$589,0)</f>
        <v>Y</v>
      </c>
      <c r="L84" s="641" t="str">
        <f>VLOOKUP($B84,'Afton Update'!$A$5:$CR$582,'Afton Update'!BW$589,0)</f>
        <v>Y</v>
      </c>
      <c r="N84" s="642">
        <f>VLOOKUP($B84,'Afton Update'!$A$5:$CR$582,'Afton Update'!CB$589,0)</f>
        <v>0.9</v>
      </c>
      <c r="P84" s="636">
        <f>VLOOKUP($B84,'Afton Update'!$A$5:$CR$582,'Afton Update'!AH$589,0)</f>
        <v>2789514.8498428059</v>
      </c>
      <c r="Q84" s="637">
        <f>VLOOKUP($B84,'Afton Update'!$A$5:$CR$582,'Afton Update'!AI$589,0)</f>
        <v>666941.05551406089</v>
      </c>
      <c r="R84" s="637">
        <f>VLOOKUP($B84,'Afton Update'!$A$5:$CR$582,'Afton Update'!AJ$589,0)</f>
        <v>1498393.1654973575</v>
      </c>
      <c r="S84" s="637">
        <f>VLOOKUP($B84,'Afton Update'!$A$5:$CR$582,'Afton Update'!AK$589,0)</f>
        <v>1271288.7991502832</v>
      </c>
      <c r="T84" s="643">
        <f t="shared" si="145"/>
        <v>6226137.8700045077</v>
      </c>
      <c r="V84" s="636">
        <f t="shared" si="193"/>
        <v>2751464.0567182219</v>
      </c>
      <c r="W84" s="637">
        <f t="shared" si="194"/>
        <v>644974.45554545976</v>
      </c>
      <c r="X84" s="637">
        <f t="shared" si="195"/>
        <v>1484765.8646826504</v>
      </c>
      <c r="Y84" s="637">
        <f t="shared" si="196"/>
        <v>1257281.4850203821</v>
      </c>
      <c r="Z84" s="643">
        <f t="shared" si="197"/>
        <v>6138485.8619667143</v>
      </c>
      <c r="AB84" s="644">
        <f t="shared" si="146"/>
        <v>2789514.8498428059</v>
      </c>
      <c r="AC84" s="645">
        <f t="shared" si="134"/>
        <v>2636215.7632693085</v>
      </c>
      <c r="AD84" s="644">
        <f t="shared" si="198"/>
        <v>0</v>
      </c>
      <c r="AE84" s="645">
        <f t="shared" si="199"/>
        <v>2789514.8498428059</v>
      </c>
      <c r="AF84" s="646">
        <f t="shared" si="200"/>
        <v>-34578.132828409704</v>
      </c>
      <c r="AG84" s="647">
        <f t="shared" si="201"/>
        <v>2754936.7170143961</v>
      </c>
      <c r="AH84" s="644">
        <f t="shared" si="147"/>
        <v>0</v>
      </c>
      <c r="AI84" s="645">
        <f t="shared" si="148"/>
        <v>2754936.7170143961</v>
      </c>
      <c r="AJ84" s="646">
        <f t="shared" si="202"/>
        <v>-3470.4478749655796</v>
      </c>
      <c r="AK84" s="647">
        <f t="shared" si="149"/>
        <v>2751466.2691394305</v>
      </c>
      <c r="AL84" s="644">
        <f t="shared" si="203"/>
        <v>0</v>
      </c>
      <c r="AM84" s="645">
        <f t="shared" si="204"/>
        <v>2751466.2691394305</v>
      </c>
      <c r="AN84" s="646">
        <f t="shared" si="205"/>
        <v>-2.2124212086696375</v>
      </c>
      <c r="AO84" s="647">
        <f t="shared" si="150"/>
        <v>2751464.0567182219</v>
      </c>
      <c r="AP84" s="644">
        <f t="shared" si="206"/>
        <v>0</v>
      </c>
      <c r="AQ84" s="645">
        <f t="shared" si="207"/>
        <v>2751464.0567182219</v>
      </c>
      <c r="AR84" s="646">
        <f t="shared" si="208"/>
        <v>0</v>
      </c>
      <c r="AS84" s="647">
        <f t="shared" si="151"/>
        <v>2751464.0567182219</v>
      </c>
      <c r="AT84" s="644">
        <f t="shared" si="209"/>
        <v>0</v>
      </c>
      <c r="AU84" s="645">
        <f t="shared" si="210"/>
        <v>2751464.0567182219</v>
      </c>
      <c r="AV84" s="646">
        <f t="shared" si="211"/>
        <v>0</v>
      </c>
      <c r="AW84" s="647">
        <f t="shared" si="152"/>
        <v>2751464.0567182219</v>
      </c>
      <c r="AY84" s="644">
        <f t="shared" si="212"/>
        <v>666941.05551406089</v>
      </c>
      <c r="AZ84" s="645">
        <f t="shared" si="153"/>
        <v>616220.25140959304</v>
      </c>
      <c r="BA84" s="644">
        <f t="shared" si="213"/>
        <v>0</v>
      </c>
      <c r="BB84" s="645">
        <f t="shared" si="214"/>
        <v>666941.05551406089</v>
      </c>
      <c r="BC84" s="646">
        <f t="shared" si="215"/>
        <v>-4796.1674971297198</v>
      </c>
      <c r="BD84" s="647">
        <f t="shared" si="216"/>
        <v>662144.88801693113</v>
      </c>
      <c r="BE84" s="644">
        <f t="shared" si="154"/>
        <v>0</v>
      </c>
      <c r="BF84" s="645">
        <f t="shared" si="155"/>
        <v>662144.88801693113</v>
      </c>
      <c r="BG84" s="646">
        <f t="shared" si="217"/>
        <v>-15771.751623409134</v>
      </c>
      <c r="BH84" s="647">
        <f t="shared" si="156"/>
        <v>646373.13639352203</v>
      </c>
      <c r="BI84" s="644">
        <f t="shared" si="218"/>
        <v>0</v>
      </c>
      <c r="BJ84" s="645">
        <f t="shared" si="219"/>
        <v>646373.13639352203</v>
      </c>
      <c r="BK84" s="646">
        <f t="shared" si="220"/>
        <v>-1369.1701178386452</v>
      </c>
      <c r="BL84" s="647">
        <f t="shared" si="157"/>
        <v>645003.96627568337</v>
      </c>
      <c r="BM84" s="644">
        <f t="shared" si="221"/>
        <v>0</v>
      </c>
      <c r="BN84" s="645">
        <f t="shared" si="222"/>
        <v>645003.96627568337</v>
      </c>
      <c r="BO84" s="646">
        <f t="shared" si="223"/>
        <v>-29.510730223668958</v>
      </c>
      <c r="BP84" s="647">
        <f t="shared" si="158"/>
        <v>644974.45554545976</v>
      </c>
      <c r="BQ84" s="644">
        <f t="shared" si="224"/>
        <v>0</v>
      </c>
      <c r="BR84" s="645">
        <f t="shared" si="225"/>
        <v>644974.45554545976</v>
      </c>
      <c r="BS84" s="646">
        <f t="shared" si="226"/>
        <v>0</v>
      </c>
      <c r="BT84" s="647">
        <f t="shared" si="159"/>
        <v>644974.45554545976</v>
      </c>
      <c r="BU84" s="662">
        <f>VLOOKUP(B84,'Afton Update'!$A$5:$AR$582,'Afton Update'!$AO$589,0)-BT84</f>
        <v>0</v>
      </c>
      <c r="BV84" s="644">
        <f t="shared" si="227"/>
        <v>1498393.1654973575</v>
      </c>
      <c r="BW84" s="645">
        <f t="shared" si="135"/>
        <v>1302949.5599829582</v>
      </c>
      <c r="BX84" s="644">
        <f t="shared" si="228"/>
        <v>0</v>
      </c>
      <c r="BY84" s="645">
        <f t="shared" si="229"/>
        <v>1498393.1654973575</v>
      </c>
      <c r="BZ84" s="646">
        <f t="shared" si="230"/>
        <v>-13151.556120951949</v>
      </c>
      <c r="CA84" s="647">
        <f t="shared" si="231"/>
        <v>1485241.6093764056</v>
      </c>
      <c r="CB84" s="644">
        <f t="shared" si="160"/>
        <v>0</v>
      </c>
      <c r="CC84" s="645">
        <f t="shared" si="161"/>
        <v>1485241.6093764056</v>
      </c>
      <c r="CD84" s="646">
        <f t="shared" si="232"/>
        <v>-475.74469375509511</v>
      </c>
      <c r="CE84" s="647">
        <f t="shared" si="162"/>
        <v>1484765.8646826504</v>
      </c>
      <c r="CF84" s="644">
        <f t="shared" si="233"/>
        <v>0</v>
      </c>
      <c r="CG84" s="645">
        <f t="shared" si="234"/>
        <v>1484765.8646826504</v>
      </c>
      <c r="CH84" s="646">
        <f t="shared" si="235"/>
        <v>0</v>
      </c>
      <c r="CI84" s="647">
        <f t="shared" si="163"/>
        <v>1484765.8646826504</v>
      </c>
      <c r="CJ84" s="644">
        <f t="shared" si="236"/>
        <v>0</v>
      </c>
      <c r="CK84" s="645">
        <f t="shared" si="237"/>
        <v>1484765.8646826504</v>
      </c>
      <c r="CL84" s="646">
        <f t="shared" si="238"/>
        <v>0</v>
      </c>
      <c r="CM84" s="647">
        <f t="shared" si="164"/>
        <v>1484765.8646826504</v>
      </c>
      <c r="CN84" s="644">
        <f t="shared" si="239"/>
        <v>0</v>
      </c>
      <c r="CO84" s="645">
        <f t="shared" si="240"/>
        <v>1484765.8646826504</v>
      </c>
      <c r="CP84" s="646">
        <f t="shared" si="241"/>
        <v>0</v>
      </c>
      <c r="CQ84" s="647">
        <f t="shared" si="165"/>
        <v>1484765.8646826504</v>
      </c>
      <c r="CS84" s="644">
        <f t="shared" si="242"/>
        <v>1271288.7991502832</v>
      </c>
      <c r="CT84" s="645">
        <f t="shared" si="136"/>
        <v>1021448.647448863</v>
      </c>
      <c r="CU84" s="644">
        <f t="shared" si="243"/>
        <v>0</v>
      </c>
      <c r="CV84" s="645">
        <f t="shared" si="244"/>
        <v>1271288.7991502832</v>
      </c>
      <c r="CW84" s="646">
        <f t="shared" si="245"/>
        <v>-13018.715736536758</v>
      </c>
      <c r="CX84" s="647">
        <f t="shared" si="246"/>
        <v>1258270.0834137464</v>
      </c>
      <c r="CY84" s="644">
        <f t="shared" si="166"/>
        <v>0</v>
      </c>
      <c r="CZ84" s="645">
        <f t="shared" si="167"/>
        <v>1258270.0834137464</v>
      </c>
      <c r="DA84" s="646">
        <f t="shared" si="247"/>
        <v>-987.74658496090365</v>
      </c>
      <c r="DB84" s="647">
        <f t="shared" si="168"/>
        <v>1257282.3368287855</v>
      </c>
      <c r="DC84" s="644">
        <f t="shared" si="248"/>
        <v>0</v>
      </c>
      <c r="DD84" s="645">
        <f t="shared" si="249"/>
        <v>1257282.3368287855</v>
      </c>
      <c r="DE84" s="646">
        <f t="shared" si="250"/>
        <v>-0.85180840335004571</v>
      </c>
      <c r="DF84" s="647">
        <f t="shared" si="169"/>
        <v>1257281.4850203821</v>
      </c>
      <c r="DG84" s="644">
        <f t="shared" si="251"/>
        <v>0</v>
      </c>
      <c r="DH84" s="645">
        <f t="shared" si="252"/>
        <v>1257281.4850203821</v>
      </c>
      <c r="DI84" s="646">
        <f t="shared" si="253"/>
        <v>0</v>
      </c>
      <c r="DJ84" s="647">
        <f t="shared" si="170"/>
        <v>1257281.4850203821</v>
      </c>
      <c r="DK84" s="644">
        <f t="shared" si="254"/>
        <v>0</v>
      </c>
      <c r="DL84" s="645">
        <f t="shared" si="255"/>
        <v>1257281.4850203821</v>
      </c>
      <c r="DM84" s="646">
        <f t="shared" si="256"/>
        <v>0</v>
      </c>
      <c r="DN84" s="647">
        <f t="shared" si="171"/>
        <v>1257281.4850203821</v>
      </c>
      <c r="DR84" s="827">
        <f t="shared" si="172"/>
        <v>6138485.8619667143</v>
      </c>
      <c r="DV84" s="828">
        <f>IFERROR(VLOOKUP($B84,'Afton FY16 Final'!$A$5:$BV$587,'Afton FY16 Final'!$BV$587,0),0)</f>
        <v>5931511.7633807175</v>
      </c>
      <c r="DX84" s="636">
        <f t="shared" si="137"/>
        <v>6138485.8619667143</v>
      </c>
      <c r="DY84" s="637">
        <f t="shared" si="138"/>
        <v>206974.09858599678</v>
      </c>
      <c r="DZ84" s="637">
        <f t="shared" si="139"/>
        <v>5931511.7633807175</v>
      </c>
      <c r="EA84" s="643">
        <f t="shared" si="140"/>
        <v>5811987.2105823867</v>
      </c>
      <c r="EB84" s="637">
        <f t="shared" si="173"/>
        <v>5931511.7633807175</v>
      </c>
      <c r="EC84" s="637">
        <f t="shared" si="174"/>
        <v>0</v>
      </c>
      <c r="ED84" s="637">
        <f t="shared" si="175"/>
        <v>0</v>
      </c>
      <c r="EE84" s="643">
        <f t="shared" si="176"/>
        <v>5931511.7633807175</v>
      </c>
      <c r="EF84" s="637">
        <f t="shared" si="177"/>
        <v>0</v>
      </c>
      <c r="EG84" s="637">
        <f t="shared" si="178"/>
        <v>0</v>
      </c>
      <c r="EH84" s="637">
        <f t="shared" si="179"/>
        <v>0</v>
      </c>
      <c r="EI84" s="643">
        <f t="shared" si="180"/>
        <v>5931511.7633807175</v>
      </c>
      <c r="EJ84" s="637">
        <f t="shared" si="181"/>
        <v>0</v>
      </c>
      <c r="EK84" s="637">
        <f t="shared" si="182"/>
        <v>0</v>
      </c>
      <c r="EL84" s="637">
        <f t="shared" si="183"/>
        <v>0</v>
      </c>
      <c r="EM84" s="643">
        <f t="shared" si="184"/>
        <v>5931511.7633807175</v>
      </c>
      <c r="EN84" s="637">
        <f t="shared" si="185"/>
        <v>0</v>
      </c>
      <c r="EO84" s="637">
        <f t="shared" si="186"/>
        <v>0</v>
      </c>
      <c r="EP84" s="637">
        <f t="shared" si="187"/>
        <v>0</v>
      </c>
      <c r="EQ84" s="643">
        <f t="shared" si="188"/>
        <v>5931511.7633807175</v>
      </c>
      <c r="ER84" s="637">
        <f t="shared" si="189"/>
        <v>0</v>
      </c>
      <c r="ES84" s="637">
        <f t="shared" si="190"/>
        <v>0</v>
      </c>
      <c r="ET84" s="637">
        <f t="shared" si="191"/>
        <v>0</v>
      </c>
      <c r="EU84" s="643">
        <f t="shared" si="141"/>
        <v>5931511.7633807175</v>
      </c>
      <c r="EV84" s="643">
        <f t="shared" si="142"/>
        <v>0</v>
      </c>
      <c r="EX84" s="829">
        <f t="shared" si="143"/>
        <v>206974.09858599678</v>
      </c>
      <c r="EY84" s="638">
        <f t="shared" si="144"/>
        <v>5931511.7633807175</v>
      </c>
      <c r="FC84" s="830" t="str">
        <f t="shared" si="192"/>
        <v>Y</v>
      </c>
      <c r="FE84" s="830" t="str">
        <f>IFERROR(VLOOKUP($B84,'Historical Conc Grant Elig'!$B$3:$J$707,'HH &amp; SI'!FE$2,0),"N")</f>
        <v>N</v>
      </c>
      <c r="FF84" s="830" t="str">
        <f>IFERROR(VLOOKUP($B84,'Historical Conc Grant Elig'!$B$3:$J$707,'HH &amp; SI'!FF$2,0),"N")</f>
        <v>N</v>
      </c>
      <c r="FG84" s="830" t="str">
        <f>IFERROR(VLOOKUP($B84,'Historical Conc Grant Elig'!$B$3:$J$707,'HH &amp; SI'!FG$2,0),"N")</f>
        <v>Y</v>
      </c>
      <c r="FH84" s="830" t="str">
        <f>IFERROR(VLOOKUP($B84,'Historical Conc Grant Elig'!$B$3:$J$707,'HH &amp; SI'!FH$2,0),"N")</f>
        <v>Y</v>
      </c>
      <c r="FI84" s="830" t="str">
        <f>IFERROR(VLOOKUP($B84,'Historical Conc Grant Elig'!$B$3:$J$707,'HH &amp; SI'!FI$2,0),"N")</f>
        <v>Y</v>
      </c>
      <c r="FJ84" s="830" t="str">
        <f>IFERROR(VLOOKUP($B84,'Historical Conc Grant Elig'!$B$3:$J$707,'HH &amp; SI'!FJ$2,0),"N")</f>
        <v>Y</v>
      </c>
      <c r="FK84" s="830" t="str">
        <f>IFERROR(VLOOKUP($B84,'Historical Conc Grant Elig'!$B$3:$J$707,'HH &amp; SI'!FK$2,0),"N")</f>
        <v>Y</v>
      </c>
      <c r="FL84" s="957" t="str">
        <f>IFERROR(VLOOKUP($B84,'Historical Conc Grant Elig'!$B$3:$J$707,'HH &amp; SI'!FL$2,0),"N")</f>
        <v>Y</v>
      </c>
    </row>
    <row r="85" spans="2:168" x14ac:dyDescent="0.25">
      <c r="B85" s="634">
        <v>70280000</v>
      </c>
      <c r="C85" s="635" t="str">
        <f>VLOOKUP($B85,'Afton Update'!$A$5:$CR$582,'Afton Update'!D$589,0)</f>
        <v>Chandler Unified District #80</v>
      </c>
      <c r="D85" s="636">
        <f>IFERROR(VLOOKUP($B85,'Afton FY16 Final'!$A$5:$BV$587,'Afton FY16 Final'!AQ$587,0),0)</f>
        <v>2311942.8918853956</v>
      </c>
      <c r="E85" s="637">
        <f>IFERROR(VLOOKUP($B85,'Afton FY16 Final'!$A$5:$BV$587,'Afton FY16 Final'!AR$587,0),0)</f>
        <v>0</v>
      </c>
      <c r="F85" s="637">
        <f>IFERROR(VLOOKUP($B85,'Afton FY16 Final'!$A$5:$BV$587,'Afton FY16 Final'!AS$587,0),0)</f>
        <v>1108279.2523025319</v>
      </c>
      <c r="G85" s="637">
        <f>IFERROR(VLOOKUP($B85,'Afton FY16 Final'!$A$5:$BV$587,'Afton FY16 Final'!AT$587,0),0)</f>
        <v>853809.07030358992</v>
      </c>
      <c r="H85" s="638">
        <f>IFERROR(VLOOKUP($B85,'Afton FY16 Final'!$A$5:$BV$587,'Afton FY16 Final'!AU$587,0),0)</f>
        <v>4274031.2144915173</v>
      </c>
      <c r="I85" s="639" t="str">
        <f>VLOOKUP($B85,'Afton Update'!$A$5:$CR$582,'Afton Update'!BT$589,0)</f>
        <v>Y</v>
      </c>
      <c r="J85" s="640" t="str">
        <f>VLOOKUP($B85,'Afton Update'!$A$5:$CR$582,'Afton Update'!BU$589,0)</f>
        <v>N</v>
      </c>
      <c r="K85" s="640" t="str">
        <f>VLOOKUP($B85,'Afton Update'!$A$5:$CR$582,'Afton Update'!BV$589,0)</f>
        <v>Y</v>
      </c>
      <c r="L85" s="641" t="str">
        <f>VLOOKUP($B85,'Afton Update'!$A$5:$CR$582,'Afton Update'!BW$589,0)</f>
        <v>Y</v>
      </c>
      <c r="N85" s="642">
        <f>VLOOKUP($B85,'Afton Update'!$A$5:$CR$582,'Afton Update'!CB$589,0)</f>
        <v>0.85</v>
      </c>
      <c r="P85" s="636">
        <f>VLOOKUP($B85,'Afton Update'!$A$5:$CR$582,'Afton Update'!AH$589,0)</f>
        <v>2337307.5269562905</v>
      </c>
      <c r="Q85" s="637" t="str">
        <f>VLOOKUP($B85,'Afton Update'!$A$5:$CR$582,'Afton Update'!AI$589,0)</f>
        <v/>
      </c>
      <c r="R85" s="637">
        <f>VLOOKUP($B85,'Afton Update'!$A$5:$CR$582,'Afton Update'!AJ$589,0)</f>
        <v>1225379.337886699</v>
      </c>
      <c r="S85" s="637">
        <f>VLOOKUP($B85,'Afton Update'!$A$5:$CR$582,'Afton Update'!AK$589,0)</f>
        <v>1032876.2162515592</v>
      </c>
      <c r="T85" s="643">
        <f t="shared" si="145"/>
        <v>4595563.081094549</v>
      </c>
      <c r="V85" s="636">
        <f t="shared" si="193"/>
        <v>2305425.1352272206</v>
      </c>
      <c r="W85" s="637">
        <f t="shared" si="194"/>
        <v>0</v>
      </c>
      <c r="X85" s="637">
        <f t="shared" si="195"/>
        <v>1214234.9912398923</v>
      </c>
      <c r="Y85" s="637">
        <f t="shared" si="196"/>
        <v>1021495.7796206306</v>
      </c>
      <c r="Z85" s="643">
        <f t="shared" si="197"/>
        <v>4541155.9060877431</v>
      </c>
      <c r="AB85" s="644">
        <f t="shared" si="146"/>
        <v>2337307.5269562905</v>
      </c>
      <c r="AC85" s="645">
        <f t="shared" si="134"/>
        <v>1965151.4581025862</v>
      </c>
      <c r="AD85" s="644">
        <f t="shared" si="198"/>
        <v>0</v>
      </c>
      <c r="AE85" s="645">
        <f t="shared" si="199"/>
        <v>2337307.5269562905</v>
      </c>
      <c r="AF85" s="646">
        <f t="shared" si="200"/>
        <v>-28972.68323647416</v>
      </c>
      <c r="AG85" s="647">
        <f t="shared" si="201"/>
        <v>2308334.8437198163</v>
      </c>
      <c r="AH85" s="644">
        <f t="shared" si="147"/>
        <v>0</v>
      </c>
      <c r="AI85" s="645">
        <f t="shared" si="148"/>
        <v>2308334.8437198163</v>
      </c>
      <c r="AJ85" s="646">
        <f t="shared" si="202"/>
        <v>-2907.8547262523484</v>
      </c>
      <c r="AK85" s="647">
        <f t="shared" si="149"/>
        <v>2305426.9889935642</v>
      </c>
      <c r="AL85" s="644">
        <f t="shared" si="203"/>
        <v>0</v>
      </c>
      <c r="AM85" s="645">
        <f t="shared" si="204"/>
        <v>2305426.9889935642</v>
      </c>
      <c r="AN85" s="646">
        <f t="shared" si="205"/>
        <v>-1.8537663436753813</v>
      </c>
      <c r="AO85" s="647">
        <f t="shared" si="150"/>
        <v>2305425.1352272206</v>
      </c>
      <c r="AP85" s="644">
        <f t="shared" si="206"/>
        <v>0</v>
      </c>
      <c r="AQ85" s="645">
        <f t="shared" si="207"/>
        <v>2305425.1352272206</v>
      </c>
      <c r="AR85" s="646">
        <f t="shared" si="208"/>
        <v>0</v>
      </c>
      <c r="AS85" s="647">
        <f t="shared" si="151"/>
        <v>2305425.1352272206</v>
      </c>
      <c r="AT85" s="644">
        <f t="shared" si="209"/>
        <v>0</v>
      </c>
      <c r="AU85" s="645">
        <f t="shared" si="210"/>
        <v>2305425.1352272206</v>
      </c>
      <c r="AV85" s="646">
        <f t="shared" si="211"/>
        <v>0</v>
      </c>
      <c r="AW85" s="647">
        <f t="shared" si="152"/>
        <v>2305425.1352272206</v>
      </c>
      <c r="AY85" s="644">
        <f t="shared" si="212"/>
        <v>0</v>
      </c>
      <c r="AZ85" s="645">
        <f t="shared" si="153"/>
        <v>0</v>
      </c>
      <c r="BA85" s="644">
        <f t="shared" si="213"/>
        <v>0</v>
      </c>
      <c r="BB85" s="645">
        <f t="shared" si="214"/>
        <v>0</v>
      </c>
      <c r="BC85" s="646">
        <f t="shared" si="215"/>
        <v>0</v>
      </c>
      <c r="BD85" s="647">
        <f t="shared" si="216"/>
        <v>0</v>
      </c>
      <c r="BE85" s="644">
        <f t="shared" si="154"/>
        <v>0</v>
      </c>
      <c r="BF85" s="645">
        <f t="shared" si="155"/>
        <v>0</v>
      </c>
      <c r="BG85" s="646">
        <f t="shared" si="217"/>
        <v>0</v>
      </c>
      <c r="BH85" s="647">
        <f t="shared" si="156"/>
        <v>0</v>
      </c>
      <c r="BI85" s="644">
        <f t="shared" si="218"/>
        <v>0</v>
      </c>
      <c r="BJ85" s="645">
        <f t="shared" si="219"/>
        <v>0</v>
      </c>
      <c r="BK85" s="646">
        <f t="shared" si="220"/>
        <v>0</v>
      </c>
      <c r="BL85" s="647">
        <f t="shared" si="157"/>
        <v>0</v>
      </c>
      <c r="BM85" s="644">
        <f t="shared" si="221"/>
        <v>0</v>
      </c>
      <c r="BN85" s="645">
        <f t="shared" si="222"/>
        <v>0</v>
      </c>
      <c r="BO85" s="646">
        <f t="shared" si="223"/>
        <v>0</v>
      </c>
      <c r="BP85" s="647">
        <f t="shared" si="158"/>
        <v>0</v>
      </c>
      <c r="BQ85" s="644">
        <f t="shared" si="224"/>
        <v>0</v>
      </c>
      <c r="BR85" s="645">
        <f t="shared" si="225"/>
        <v>0</v>
      </c>
      <c r="BS85" s="646">
        <f t="shared" si="226"/>
        <v>0</v>
      </c>
      <c r="BT85" s="647">
        <f t="shared" si="159"/>
        <v>0</v>
      </c>
      <c r="BU85" s="662">
        <f>VLOOKUP(B85,'Afton Update'!$A$5:$AR$582,'Afton Update'!$AO$589,0)-BT85</f>
        <v>0</v>
      </c>
      <c r="BV85" s="644">
        <f t="shared" si="227"/>
        <v>1225379.337886699</v>
      </c>
      <c r="BW85" s="645">
        <f t="shared" si="135"/>
        <v>942037.36445715209</v>
      </c>
      <c r="BX85" s="644">
        <f t="shared" si="228"/>
        <v>0</v>
      </c>
      <c r="BY85" s="645">
        <f t="shared" si="229"/>
        <v>1225379.337886699</v>
      </c>
      <c r="BZ85" s="646">
        <f t="shared" si="230"/>
        <v>-10755.284729507322</v>
      </c>
      <c r="CA85" s="647">
        <f t="shared" si="231"/>
        <v>1214624.0531571917</v>
      </c>
      <c r="CB85" s="644">
        <f t="shared" si="160"/>
        <v>0</v>
      </c>
      <c r="CC85" s="645">
        <f t="shared" si="161"/>
        <v>1214624.0531571917</v>
      </c>
      <c r="CD85" s="646">
        <f t="shared" si="232"/>
        <v>-389.06191729940656</v>
      </c>
      <c r="CE85" s="647">
        <f t="shared" si="162"/>
        <v>1214234.9912398923</v>
      </c>
      <c r="CF85" s="644">
        <f t="shared" si="233"/>
        <v>0</v>
      </c>
      <c r="CG85" s="645">
        <f t="shared" si="234"/>
        <v>1214234.9912398923</v>
      </c>
      <c r="CH85" s="646">
        <f t="shared" si="235"/>
        <v>0</v>
      </c>
      <c r="CI85" s="647">
        <f t="shared" si="163"/>
        <v>1214234.9912398923</v>
      </c>
      <c r="CJ85" s="644">
        <f t="shared" si="236"/>
        <v>0</v>
      </c>
      <c r="CK85" s="645">
        <f t="shared" si="237"/>
        <v>1214234.9912398923</v>
      </c>
      <c r="CL85" s="646">
        <f t="shared" si="238"/>
        <v>0</v>
      </c>
      <c r="CM85" s="647">
        <f t="shared" si="164"/>
        <v>1214234.9912398923</v>
      </c>
      <c r="CN85" s="644">
        <f t="shared" si="239"/>
        <v>0</v>
      </c>
      <c r="CO85" s="645">
        <f t="shared" si="240"/>
        <v>1214234.9912398923</v>
      </c>
      <c r="CP85" s="646">
        <f t="shared" si="241"/>
        <v>0</v>
      </c>
      <c r="CQ85" s="647">
        <f t="shared" si="165"/>
        <v>1214234.9912398923</v>
      </c>
      <c r="CS85" s="644">
        <f t="shared" si="242"/>
        <v>1032876.2162515592</v>
      </c>
      <c r="CT85" s="645">
        <f t="shared" si="136"/>
        <v>725737.70975805144</v>
      </c>
      <c r="CU85" s="644">
        <f t="shared" si="243"/>
        <v>0</v>
      </c>
      <c r="CV85" s="645">
        <f t="shared" si="244"/>
        <v>1032876.2162515592</v>
      </c>
      <c r="CW85" s="646">
        <f t="shared" si="245"/>
        <v>-10577.236155463946</v>
      </c>
      <c r="CX85" s="647">
        <f t="shared" si="246"/>
        <v>1022298.9800960952</v>
      </c>
      <c r="CY85" s="644">
        <f t="shared" si="166"/>
        <v>0</v>
      </c>
      <c r="CZ85" s="645">
        <f t="shared" si="167"/>
        <v>1022298.9800960952</v>
      </c>
      <c r="DA85" s="646">
        <f t="shared" si="247"/>
        <v>-802.50841191373854</v>
      </c>
      <c r="DB85" s="647">
        <f t="shared" si="168"/>
        <v>1021496.4716841815</v>
      </c>
      <c r="DC85" s="644">
        <f t="shared" si="248"/>
        <v>0</v>
      </c>
      <c r="DD85" s="645">
        <f t="shared" si="249"/>
        <v>1021496.4716841815</v>
      </c>
      <c r="DE85" s="646">
        <f t="shared" si="250"/>
        <v>-0.69206355095044902</v>
      </c>
      <c r="DF85" s="647">
        <f t="shared" si="169"/>
        <v>1021495.7796206306</v>
      </c>
      <c r="DG85" s="644">
        <f t="shared" si="251"/>
        <v>0</v>
      </c>
      <c r="DH85" s="645">
        <f t="shared" si="252"/>
        <v>1021495.7796206306</v>
      </c>
      <c r="DI85" s="646">
        <f t="shared" si="253"/>
        <v>0</v>
      </c>
      <c r="DJ85" s="647">
        <f t="shared" si="170"/>
        <v>1021495.7796206306</v>
      </c>
      <c r="DK85" s="644">
        <f t="shared" si="254"/>
        <v>0</v>
      </c>
      <c r="DL85" s="645">
        <f t="shared" si="255"/>
        <v>1021495.7796206306</v>
      </c>
      <c r="DM85" s="646">
        <f t="shared" si="256"/>
        <v>0</v>
      </c>
      <c r="DN85" s="647">
        <f t="shared" si="171"/>
        <v>1021495.7796206306</v>
      </c>
      <c r="DR85" s="827">
        <f t="shared" si="172"/>
        <v>4541155.9060877431</v>
      </c>
      <c r="DV85" s="828">
        <f>IFERROR(VLOOKUP($B85,'Afton FY16 Final'!$A$5:$BV$587,'Afton FY16 Final'!$BV$587,0),0)</f>
        <v>4152134.965745064</v>
      </c>
      <c r="DX85" s="636">
        <f t="shared" si="137"/>
        <v>4541155.9060877431</v>
      </c>
      <c r="DY85" s="637">
        <f t="shared" si="138"/>
        <v>389020.94034267915</v>
      </c>
      <c r="DZ85" s="637">
        <f t="shared" si="139"/>
        <v>4152134.965745064</v>
      </c>
      <c r="EA85" s="643">
        <f t="shared" si="140"/>
        <v>4299617.306438907</v>
      </c>
      <c r="EB85" s="637">
        <f t="shared" si="173"/>
        <v>0</v>
      </c>
      <c r="EC85" s="637">
        <f t="shared" si="174"/>
        <v>4299617.306438907</v>
      </c>
      <c r="ED85" s="637">
        <f t="shared" si="175"/>
        <v>4286796.1043514786</v>
      </c>
      <c r="EE85" s="643">
        <f t="shared" si="176"/>
        <v>4286796.1043514786</v>
      </c>
      <c r="EF85" s="637">
        <f t="shared" si="177"/>
        <v>0</v>
      </c>
      <c r="EG85" s="637">
        <f t="shared" si="178"/>
        <v>4286796.1043514786</v>
      </c>
      <c r="EH85" s="637">
        <f t="shared" si="179"/>
        <v>4286791.6818312639</v>
      </c>
      <c r="EI85" s="643">
        <f t="shared" si="180"/>
        <v>4286791.6818312639</v>
      </c>
      <c r="EJ85" s="637">
        <f t="shared" si="181"/>
        <v>0</v>
      </c>
      <c r="EK85" s="637">
        <f t="shared" si="182"/>
        <v>4286791.6818312639</v>
      </c>
      <c r="EL85" s="637">
        <f t="shared" si="183"/>
        <v>4286791.6818312583</v>
      </c>
      <c r="EM85" s="643">
        <f t="shared" si="184"/>
        <v>4286791.6818312583</v>
      </c>
      <c r="EN85" s="637">
        <f t="shared" si="185"/>
        <v>0</v>
      </c>
      <c r="EO85" s="637">
        <f t="shared" si="186"/>
        <v>4286791.6818312583</v>
      </c>
      <c r="EP85" s="637">
        <f t="shared" si="187"/>
        <v>4286791.6818312649</v>
      </c>
      <c r="EQ85" s="643">
        <f t="shared" si="188"/>
        <v>4286791.6818312649</v>
      </c>
      <c r="ER85" s="637">
        <f t="shared" si="189"/>
        <v>0</v>
      </c>
      <c r="ES85" s="637">
        <f t="shared" si="190"/>
        <v>4286791.6818312649</v>
      </c>
      <c r="ET85" s="637">
        <f t="shared" si="191"/>
        <v>4286791.6818312583</v>
      </c>
      <c r="EU85" s="643">
        <f t="shared" si="141"/>
        <v>4286791.6818312583</v>
      </c>
      <c r="EV85" s="643">
        <f t="shared" si="142"/>
        <v>0</v>
      </c>
      <c r="EX85" s="829">
        <f t="shared" si="143"/>
        <v>254364.22425648477</v>
      </c>
      <c r="EY85" s="638">
        <f t="shared" si="144"/>
        <v>4286791.6818312583</v>
      </c>
      <c r="FC85" s="830" t="str">
        <f t="shared" si="192"/>
        <v>N</v>
      </c>
      <c r="FE85" s="830" t="str">
        <f>IFERROR(VLOOKUP($B85,'Historical Conc Grant Elig'!$B$3:$J$707,'HH &amp; SI'!FE$2,0),"N")</f>
        <v>N</v>
      </c>
      <c r="FF85" s="830" t="str">
        <f>IFERROR(VLOOKUP($B85,'Historical Conc Grant Elig'!$B$3:$J$707,'HH &amp; SI'!FF$2,0),"N")</f>
        <v>N</v>
      </c>
      <c r="FG85" s="830" t="str">
        <f>IFERROR(VLOOKUP($B85,'Historical Conc Grant Elig'!$B$3:$J$707,'HH &amp; SI'!FG$2,0),"N")</f>
        <v>N</v>
      </c>
      <c r="FH85" s="830" t="str">
        <f>IFERROR(VLOOKUP($B85,'Historical Conc Grant Elig'!$B$3:$J$707,'HH &amp; SI'!FH$2,0),"N")</f>
        <v>N</v>
      </c>
      <c r="FI85" s="830" t="str">
        <f>IFERROR(VLOOKUP($B85,'Historical Conc Grant Elig'!$B$3:$J$707,'HH &amp; SI'!FI$2,0),"N")</f>
        <v>N</v>
      </c>
      <c r="FJ85" s="830" t="str">
        <f>IFERROR(VLOOKUP($B85,'Historical Conc Grant Elig'!$B$3:$J$707,'HH &amp; SI'!FJ$2,0),"N")</f>
        <v>N</v>
      </c>
      <c r="FK85" s="830" t="str">
        <f>IFERROR(VLOOKUP($B85,'Historical Conc Grant Elig'!$B$3:$J$707,'HH &amp; SI'!FK$2,0),"N")</f>
        <v>N</v>
      </c>
      <c r="FL85" s="957" t="str">
        <f>IFERROR(VLOOKUP($B85,'Historical Conc Grant Elig'!$B$3:$J$707,'HH &amp; SI'!FL$2,0),"N")</f>
        <v>N</v>
      </c>
    </row>
    <row r="86" spans="2:168" x14ac:dyDescent="0.25">
      <c r="B86" s="634">
        <v>70289000</v>
      </c>
      <c r="C86" s="635" t="str">
        <f>VLOOKUP($B86,'Afton Update'!$A$5:$CR$582,'Afton Update'!D$589,0)</f>
        <v>Dysart Unified District</v>
      </c>
      <c r="D86" s="636">
        <f>IFERROR(VLOOKUP($B86,'Afton FY16 Final'!$A$5:$BV$587,'Afton FY16 Final'!AQ$587,0),0)</f>
        <v>2428142.6815382633</v>
      </c>
      <c r="E86" s="637">
        <f>IFERROR(VLOOKUP($B86,'Afton FY16 Final'!$A$5:$BV$587,'Afton FY16 Final'!AR$587,0),0)</f>
        <v>567909.41624956089</v>
      </c>
      <c r="F86" s="637">
        <f>IFERROR(VLOOKUP($B86,'Afton FY16 Final'!$A$5:$BV$587,'Afton FY16 Final'!AS$587,0),0)</f>
        <v>1172187.315502811</v>
      </c>
      <c r="G86" s="637">
        <f>IFERROR(VLOOKUP($B86,'Afton FY16 Final'!$A$5:$BV$587,'Afton FY16 Final'!AT$587,0),0)</f>
        <v>862596.73552806338</v>
      </c>
      <c r="H86" s="638">
        <f>IFERROR(VLOOKUP($B86,'Afton FY16 Final'!$A$5:$BV$587,'Afton FY16 Final'!AU$587,0),0)</f>
        <v>5030836.1488186987</v>
      </c>
      <c r="I86" s="639" t="str">
        <f>VLOOKUP($B86,'Afton Update'!$A$5:$CR$582,'Afton Update'!BT$589,0)</f>
        <v>Y</v>
      </c>
      <c r="J86" s="640" t="str">
        <f>VLOOKUP($B86,'Afton Update'!$A$5:$CR$582,'Afton Update'!BU$589,0)</f>
        <v>Y</v>
      </c>
      <c r="K86" s="640" t="str">
        <f>VLOOKUP($B86,'Afton Update'!$A$5:$CR$582,'Afton Update'!BV$589,0)</f>
        <v>Y</v>
      </c>
      <c r="L86" s="641" t="str">
        <f>VLOOKUP($B86,'Afton Update'!$A$5:$CR$582,'Afton Update'!BW$589,0)</f>
        <v>Y</v>
      </c>
      <c r="N86" s="642">
        <f>VLOOKUP($B86,'Afton Update'!$A$5:$CR$582,'Afton Update'!CB$589,0)</f>
        <v>0.9</v>
      </c>
      <c r="P86" s="636">
        <f>VLOOKUP($B86,'Afton Update'!$A$5:$CR$582,'Afton Update'!AH$589,0)</f>
        <v>2446504.1339574582</v>
      </c>
      <c r="Q86" s="637">
        <f>VLOOKUP($B86,'Afton Update'!$A$5:$CR$582,'Afton Update'!AI$589,0)</f>
        <v>585193.13639109617</v>
      </c>
      <c r="R86" s="637">
        <f>VLOOKUP($B86,'Afton Update'!$A$5:$CR$582,'Afton Update'!AJ$589,0)</f>
        <v>1291305.2575493646</v>
      </c>
      <c r="S86" s="637">
        <f>VLOOKUP($B86,'Afton Update'!$A$5:$CR$582,'Afton Update'!AK$589,0)</f>
        <v>1090446.8123063662</v>
      </c>
      <c r="T86" s="643">
        <f t="shared" si="145"/>
        <v>5413449.3402042845</v>
      </c>
      <c r="V86" s="636">
        <f t="shared" si="193"/>
        <v>2413132.2296333425</v>
      </c>
      <c r="W86" s="637">
        <f t="shared" si="194"/>
        <v>565919.0140002257</v>
      </c>
      <c r="X86" s="637">
        <f t="shared" si="195"/>
        <v>1279561.3404030278</v>
      </c>
      <c r="Y86" s="637">
        <f t="shared" si="196"/>
        <v>1078432.0513392801</v>
      </c>
      <c r="Z86" s="643">
        <f t="shared" si="197"/>
        <v>5337044.635375876</v>
      </c>
      <c r="AB86" s="644">
        <f t="shared" si="146"/>
        <v>2446504.1339574582</v>
      </c>
      <c r="AC86" s="645">
        <f t="shared" si="134"/>
        <v>2185328.4133844371</v>
      </c>
      <c r="AD86" s="644">
        <f t="shared" si="198"/>
        <v>0</v>
      </c>
      <c r="AE86" s="645">
        <f t="shared" si="199"/>
        <v>2446504.1339574582</v>
      </c>
      <c r="AF86" s="646">
        <f t="shared" si="200"/>
        <v>-30326.257239319428</v>
      </c>
      <c r="AG86" s="647">
        <f t="shared" si="201"/>
        <v>2416177.8767181388</v>
      </c>
      <c r="AH86" s="644">
        <f t="shared" si="147"/>
        <v>0</v>
      </c>
      <c r="AI86" s="645">
        <f t="shared" si="148"/>
        <v>2416177.8767181388</v>
      </c>
      <c r="AJ86" s="646">
        <f t="shared" si="202"/>
        <v>-3043.7067123932393</v>
      </c>
      <c r="AK86" s="647">
        <f t="shared" si="149"/>
        <v>2413134.1700057457</v>
      </c>
      <c r="AL86" s="644">
        <f t="shared" si="203"/>
        <v>0</v>
      </c>
      <c r="AM86" s="645">
        <f t="shared" si="204"/>
        <v>2413134.1700057457</v>
      </c>
      <c r="AN86" s="646">
        <f t="shared" si="205"/>
        <v>-1.9403724032408147</v>
      </c>
      <c r="AO86" s="647">
        <f t="shared" si="150"/>
        <v>2413132.2296333425</v>
      </c>
      <c r="AP86" s="644">
        <f t="shared" si="206"/>
        <v>0</v>
      </c>
      <c r="AQ86" s="645">
        <f t="shared" si="207"/>
        <v>2413132.2296333425</v>
      </c>
      <c r="AR86" s="646">
        <f t="shared" si="208"/>
        <v>0</v>
      </c>
      <c r="AS86" s="647">
        <f t="shared" si="151"/>
        <v>2413132.2296333425</v>
      </c>
      <c r="AT86" s="644">
        <f t="shared" si="209"/>
        <v>0</v>
      </c>
      <c r="AU86" s="645">
        <f t="shared" si="210"/>
        <v>2413132.2296333425</v>
      </c>
      <c r="AV86" s="646">
        <f t="shared" si="211"/>
        <v>0</v>
      </c>
      <c r="AW86" s="647">
        <f t="shared" si="152"/>
        <v>2413132.2296333425</v>
      </c>
      <c r="AY86" s="644">
        <f t="shared" si="212"/>
        <v>585193.13639109617</v>
      </c>
      <c r="AZ86" s="645">
        <f t="shared" si="153"/>
        <v>511118.4746246048</v>
      </c>
      <c r="BA86" s="644">
        <f t="shared" si="213"/>
        <v>0</v>
      </c>
      <c r="BB86" s="645">
        <f t="shared" si="214"/>
        <v>585193.13639109617</v>
      </c>
      <c r="BC86" s="646">
        <f t="shared" si="215"/>
        <v>-4208.2943868840921</v>
      </c>
      <c r="BD86" s="647">
        <f t="shared" si="216"/>
        <v>580984.84200421209</v>
      </c>
      <c r="BE86" s="644">
        <f t="shared" si="154"/>
        <v>0</v>
      </c>
      <c r="BF86" s="645">
        <f t="shared" si="155"/>
        <v>580984.84200421209</v>
      </c>
      <c r="BG86" s="646">
        <f t="shared" si="217"/>
        <v>-13838.585468052015</v>
      </c>
      <c r="BH86" s="647">
        <f t="shared" si="156"/>
        <v>567146.25653616001</v>
      </c>
      <c r="BI86" s="644">
        <f t="shared" si="218"/>
        <v>0</v>
      </c>
      <c r="BJ86" s="645">
        <f t="shared" si="219"/>
        <v>567146.25653616001</v>
      </c>
      <c r="BK86" s="646">
        <f t="shared" si="220"/>
        <v>-1201.3489781243065</v>
      </c>
      <c r="BL86" s="647">
        <f t="shared" si="157"/>
        <v>565944.90755803569</v>
      </c>
      <c r="BM86" s="644">
        <f t="shared" si="221"/>
        <v>0</v>
      </c>
      <c r="BN86" s="645">
        <f t="shared" si="222"/>
        <v>565944.90755803569</v>
      </c>
      <c r="BO86" s="646">
        <f t="shared" si="223"/>
        <v>-25.89355780994692</v>
      </c>
      <c r="BP86" s="647">
        <f t="shared" si="158"/>
        <v>565919.0140002257</v>
      </c>
      <c r="BQ86" s="644">
        <f t="shared" si="224"/>
        <v>0</v>
      </c>
      <c r="BR86" s="645">
        <f t="shared" si="225"/>
        <v>565919.0140002257</v>
      </c>
      <c r="BS86" s="646">
        <f t="shared" si="226"/>
        <v>0</v>
      </c>
      <c r="BT86" s="647">
        <f t="shared" si="159"/>
        <v>565919.0140002257</v>
      </c>
      <c r="BU86" s="662">
        <f>VLOOKUP(B86,'Afton Update'!$A$5:$AR$582,'Afton Update'!$AO$589,0)-BT86</f>
        <v>0</v>
      </c>
      <c r="BV86" s="644">
        <f t="shared" si="227"/>
        <v>1291305.2575493646</v>
      </c>
      <c r="BW86" s="645">
        <f t="shared" si="135"/>
        <v>1054968.5839525298</v>
      </c>
      <c r="BX86" s="644">
        <f t="shared" si="228"/>
        <v>0</v>
      </c>
      <c r="BY86" s="645">
        <f t="shared" si="229"/>
        <v>1291305.2575493646</v>
      </c>
      <c r="BZ86" s="646">
        <f t="shared" si="230"/>
        <v>-11333.923535552012</v>
      </c>
      <c r="CA86" s="647">
        <f t="shared" si="231"/>
        <v>1279971.3340138125</v>
      </c>
      <c r="CB86" s="644">
        <f t="shared" si="160"/>
        <v>0</v>
      </c>
      <c r="CC86" s="645">
        <f t="shared" si="161"/>
        <v>1279971.3340138125</v>
      </c>
      <c r="CD86" s="646">
        <f t="shared" si="232"/>
        <v>-409.99361078455888</v>
      </c>
      <c r="CE86" s="647">
        <f t="shared" si="162"/>
        <v>1279561.3404030278</v>
      </c>
      <c r="CF86" s="644">
        <f t="shared" si="233"/>
        <v>0</v>
      </c>
      <c r="CG86" s="645">
        <f t="shared" si="234"/>
        <v>1279561.3404030278</v>
      </c>
      <c r="CH86" s="646">
        <f t="shared" si="235"/>
        <v>0</v>
      </c>
      <c r="CI86" s="647">
        <f t="shared" si="163"/>
        <v>1279561.3404030278</v>
      </c>
      <c r="CJ86" s="644">
        <f t="shared" si="236"/>
        <v>0</v>
      </c>
      <c r="CK86" s="645">
        <f t="shared" si="237"/>
        <v>1279561.3404030278</v>
      </c>
      <c r="CL86" s="646">
        <f t="shared" si="238"/>
        <v>0</v>
      </c>
      <c r="CM86" s="647">
        <f t="shared" si="164"/>
        <v>1279561.3404030278</v>
      </c>
      <c r="CN86" s="644">
        <f t="shared" si="239"/>
        <v>0</v>
      </c>
      <c r="CO86" s="645">
        <f t="shared" si="240"/>
        <v>1279561.3404030278</v>
      </c>
      <c r="CP86" s="646">
        <f t="shared" si="241"/>
        <v>0</v>
      </c>
      <c r="CQ86" s="647">
        <f t="shared" si="165"/>
        <v>1279561.3404030278</v>
      </c>
      <c r="CS86" s="644">
        <f t="shared" si="242"/>
        <v>1090446.8123063662</v>
      </c>
      <c r="CT86" s="645">
        <f t="shared" si="136"/>
        <v>776337.06197525701</v>
      </c>
      <c r="CU86" s="644">
        <f t="shared" si="243"/>
        <v>0</v>
      </c>
      <c r="CV86" s="645">
        <f t="shared" si="244"/>
        <v>1090446.8123063662</v>
      </c>
      <c r="CW86" s="646">
        <f t="shared" si="245"/>
        <v>-11166.791593474154</v>
      </c>
      <c r="CX86" s="647">
        <f t="shared" si="246"/>
        <v>1079280.0207128921</v>
      </c>
      <c r="CY86" s="644">
        <f t="shared" si="166"/>
        <v>0</v>
      </c>
      <c r="CZ86" s="645">
        <f t="shared" si="167"/>
        <v>1079280.0207128921</v>
      </c>
      <c r="DA86" s="646">
        <f t="shared" si="247"/>
        <v>-847.23873572789262</v>
      </c>
      <c r="DB86" s="647">
        <f t="shared" si="168"/>
        <v>1078432.7819771641</v>
      </c>
      <c r="DC86" s="644">
        <f t="shared" si="248"/>
        <v>0</v>
      </c>
      <c r="DD86" s="645">
        <f t="shared" si="249"/>
        <v>1078432.7819771641</v>
      </c>
      <c r="DE86" s="646">
        <f t="shared" si="250"/>
        <v>-0.73063788397228702</v>
      </c>
      <c r="DF86" s="647">
        <f t="shared" si="169"/>
        <v>1078432.0513392801</v>
      </c>
      <c r="DG86" s="644">
        <f t="shared" si="251"/>
        <v>0</v>
      </c>
      <c r="DH86" s="645">
        <f t="shared" si="252"/>
        <v>1078432.0513392801</v>
      </c>
      <c r="DI86" s="646">
        <f t="shared" si="253"/>
        <v>0</v>
      </c>
      <c r="DJ86" s="647">
        <f t="shared" si="170"/>
        <v>1078432.0513392801</v>
      </c>
      <c r="DK86" s="644">
        <f t="shared" si="254"/>
        <v>0</v>
      </c>
      <c r="DL86" s="645">
        <f t="shared" si="255"/>
        <v>1078432.0513392801</v>
      </c>
      <c r="DM86" s="646">
        <f t="shared" si="256"/>
        <v>0</v>
      </c>
      <c r="DN86" s="647">
        <f t="shared" si="171"/>
        <v>1078432.0513392801</v>
      </c>
      <c r="DR86" s="827">
        <f t="shared" si="172"/>
        <v>5337044.635375876</v>
      </c>
      <c r="DV86" s="828">
        <f>IFERROR(VLOOKUP($B86,'Afton FY16 Final'!$A$5:$BV$587,'Afton FY16 Final'!$BV$587,0),0)</f>
        <v>4466529.1661940422</v>
      </c>
      <c r="DX86" s="636">
        <f t="shared" si="137"/>
        <v>5337044.635375876</v>
      </c>
      <c r="DY86" s="637">
        <f t="shared" si="138"/>
        <v>870515.46918183379</v>
      </c>
      <c r="DZ86" s="637">
        <f t="shared" si="139"/>
        <v>4466529.1661940422</v>
      </c>
      <c r="EA86" s="643">
        <f t="shared" si="140"/>
        <v>5053173.6751730144</v>
      </c>
      <c r="EB86" s="637">
        <f t="shared" si="173"/>
        <v>0</v>
      </c>
      <c r="EC86" s="637">
        <f t="shared" si="174"/>
        <v>5053173.6751730144</v>
      </c>
      <c r="ED86" s="637">
        <f t="shared" si="175"/>
        <v>5038105.4129871586</v>
      </c>
      <c r="EE86" s="643">
        <f t="shared" si="176"/>
        <v>5038105.4129871586</v>
      </c>
      <c r="EF86" s="637">
        <f t="shared" si="177"/>
        <v>0</v>
      </c>
      <c r="EG86" s="637">
        <f t="shared" si="178"/>
        <v>5038105.4129871586</v>
      </c>
      <c r="EH86" s="637">
        <f t="shared" si="179"/>
        <v>5038100.2153704558</v>
      </c>
      <c r="EI86" s="643">
        <f t="shared" si="180"/>
        <v>5038100.2153704558</v>
      </c>
      <c r="EJ86" s="637">
        <f t="shared" si="181"/>
        <v>0</v>
      </c>
      <c r="EK86" s="637">
        <f t="shared" si="182"/>
        <v>5038100.2153704558</v>
      </c>
      <c r="EL86" s="637">
        <f t="shared" si="183"/>
        <v>5038100.2153704483</v>
      </c>
      <c r="EM86" s="643">
        <f t="shared" si="184"/>
        <v>5038100.2153704483</v>
      </c>
      <c r="EN86" s="637">
        <f t="shared" si="185"/>
        <v>0</v>
      </c>
      <c r="EO86" s="637">
        <f t="shared" si="186"/>
        <v>5038100.2153704483</v>
      </c>
      <c r="EP86" s="637">
        <f t="shared" si="187"/>
        <v>5038100.2153704558</v>
      </c>
      <c r="EQ86" s="643">
        <f t="shared" si="188"/>
        <v>5038100.2153704558</v>
      </c>
      <c r="ER86" s="637">
        <f t="shared" si="189"/>
        <v>0</v>
      </c>
      <c r="ES86" s="637">
        <f t="shared" si="190"/>
        <v>5038100.2153704558</v>
      </c>
      <c r="ET86" s="637">
        <f t="shared" si="191"/>
        <v>5038100.2153704474</v>
      </c>
      <c r="EU86" s="643">
        <f t="shared" si="141"/>
        <v>5038100.2153704474</v>
      </c>
      <c r="EV86" s="643">
        <f t="shared" si="142"/>
        <v>0</v>
      </c>
      <c r="EX86" s="829">
        <f t="shared" si="143"/>
        <v>298944.4200054286</v>
      </c>
      <c r="EY86" s="638">
        <f t="shared" si="144"/>
        <v>5038100.2153704474</v>
      </c>
      <c r="FC86" s="830" t="str">
        <f t="shared" si="192"/>
        <v>Y</v>
      </c>
      <c r="FE86" s="830" t="str">
        <f>IFERROR(VLOOKUP($B86,'Historical Conc Grant Elig'!$B$3:$J$707,'HH &amp; SI'!FE$2,0),"N")</f>
        <v>N</v>
      </c>
      <c r="FF86" s="830" t="str">
        <f>IFERROR(VLOOKUP($B86,'Historical Conc Grant Elig'!$B$3:$J$707,'HH &amp; SI'!FF$2,0),"N")</f>
        <v>N</v>
      </c>
      <c r="FG86" s="830" t="str">
        <f>IFERROR(VLOOKUP($B86,'Historical Conc Grant Elig'!$B$3:$J$707,'HH &amp; SI'!FG$2,0),"N")</f>
        <v>N</v>
      </c>
      <c r="FH86" s="830" t="str">
        <f>IFERROR(VLOOKUP($B86,'Historical Conc Grant Elig'!$B$3:$J$707,'HH &amp; SI'!FH$2,0),"N")</f>
        <v>Y</v>
      </c>
      <c r="FI86" s="830" t="str">
        <f>IFERROR(VLOOKUP($B86,'Historical Conc Grant Elig'!$B$3:$J$707,'HH &amp; SI'!FI$2,0),"N")</f>
        <v>Y</v>
      </c>
      <c r="FJ86" s="830" t="str">
        <f>IFERROR(VLOOKUP($B86,'Historical Conc Grant Elig'!$B$3:$J$707,'HH &amp; SI'!FJ$2,0),"N")</f>
        <v>Y</v>
      </c>
      <c r="FK86" s="830" t="str">
        <f>IFERROR(VLOOKUP($B86,'Historical Conc Grant Elig'!$B$3:$J$707,'HH &amp; SI'!FK$2,0),"N")</f>
        <v>Y</v>
      </c>
      <c r="FL86" s="957" t="str">
        <f>IFERROR(VLOOKUP($B86,'Historical Conc Grant Elig'!$B$3:$J$707,'HH &amp; SI'!FL$2,0),"N")</f>
        <v>Y</v>
      </c>
    </row>
    <row r="87" spans="2:168" x14ac:dyDescent="0.25">
      <c r="B87" s="634">
        <v>70290000</v>
      </c>
      <c r="C87" s="635" t="str">
        <f>VLOOKUP($B87,'Afton Update'!$A$5:$CR$582,'Afton Update'!D$589,0)</f>
        <v>Saddle Mountain Unified School District</v>
      </c>
      <c r="D87" s="636">
        <f>IFERROR(VLOOKUP($B87,'Afton FY16 Final'!$A$5:$BV$587,'Afton FY16 Final'!AQ$587,0),0)</f>
        <v>149983.4837072691</v>
      </c>
      <c r="E87" s="637">
        <f>IFERROR(VLOOKUP($B87,'Afton FY16 Final'!$A$5:$BV$587,'Afton FY16 Final'!AR$587,0),0)</f>
        <v>36870.832993145654</v>
      </c>
      <c r="F87" s="637">
        <f>IFERROR(VLOOKUP($B87,'Afton FY16 Final'!$A$5:$BV$587,'Afton FY16 Final'!AS$587,0),0)</f>
        <v>45666.595247958619</v>
      </c>
      <c r="G87" s="637">
        <f>IFERROR(VLOOKUP($B87,'Afton FY16 Final'!$A$5:$BV$587,'Afton FY16 Final'!AT$587,0),0)</f>
        <v>29862.385747034888</v>
      </c>
      <c r="H87" s="638">
        <f>IFERROR(VLOOKUP($B87,'Afton FY16 Final'!$A$5:$BV$587,'Afton FY16 Final'!AU$587,0),0)</f>
        <v>262383.29769540823</v>
      </c>
      <c r="I87" s="639" t="str">
        <f>VLOOKUP($B87,'Afton Update'!$A$5:$CR$582,'Afton Update'!BT$589,0)</f>
        <v>Y</v>
      </c>
      <c r="J87" s="640" t="str">
        <f>VLOOKUP($B87,'Afton Update'!$A$5:$CR$582,'Afton Update'!BU$589,0)</f>
        <v>Y</v>
      </c>
      <c r="K87" s="640" t="str">
        <f>VLOOKUP($B87,'Afton Update'!$A$5:$CR$582,'Afton Update'!BV$589,0)</f>
        <v>Y</v>
      </c>
      <c r="L87" s="641" t="str">
        <f>VLOOKUP($B87,'Afton Update'!$A$5:$CR$582,'Afton Update'!BW$589,0)</f>
        <v>Y</v>
      </c>
      <c r="N87" s="642">
        <f>VLOOKUP($B87,'Afton Update'!$A$5:$CR$582,'Afton Update'!CB$589,0)</f>
        <v>0.9</v>
      </c>
      <c r="P87" s="636">
        <f>VLOOKUP($B87,'Afton Update'!$A$5:$CR$582,'Afton Update'!AH$589,0)</f>
        <v>144622.98713513426</v>
      </c>
      <c r="Q87" s="637">
        <f>VLOOKUP($B87,'Afton Update'!$A$5:$CR$582,'Afton Update'!AI$589,0)</f>
        <v>36598.048522160883</v>
      </c>
      <c r="R87" s="637">
        <f>VLOOKUP($B87,'Afton Update'!$A$5:$CR$582,'Afton Update'!AJ$589,0)</f>
        <v>45964.232520569341</v>
      </c>
      <c r="S87" s="637">
        <f>VLOOKUP($B87,'Afton Update'!$A$5:$CR$582,'Afton Update'!AK$589,0)</f>
        <v>35092.451275130741</v>
      </c>
      <c r="T87" s="643">
        <f t="shared" si="145"/>
        <v>262277.71945299522</v>
      </c>
      <c r="V87" s="636">
        <f t="shared" si="193"/>
        <v>142650.23572108516</v>
      </c>
      <c r="W87" s="637">
        <f t="shared" si="194"/>
        <v>35392.642609792645</v>
      </c>
      <c r="X87" s="637">
        <f t="shared" si="195"/>
        <v>45546.205771850808</v>
      </c>
      <c r="Y87" s="637">
        <f t="shared" si="196"/>
        <v>34705.795631717891</v>
      </c>
      <c r="Z87" s="643">
        <f t="shared" si="197"/>
        <v>258294.8797344465</v>
      </c>
      <c r="AB87" s="644">
        <f t="shared" si="146"/>
        <v>144622.98713513426</v>
      </c>
      <c r="AC87" s="645">
        <f t="shared" si="134"/>
        <v>134985.13533654218</v>
      </c>
      <c r="AD87" s="644">
        <f t="shared" si="198"/>
        <v>0</v>
      </c>
      <c r="AE87" s="645">
        <f t="shared" si="199"/>
        <v>144622.98713513426</v>
      </c>
      <c r="AF87" s="646">
        <f t="shared" si="200"/>
        <v>-1792.7106068217788</v>
      </c>
      <c r="AG87" s="647">
        <f t="shared" si="201"/>
        <v>142830.27652831248</v>
      </c>
      <c r="AH87" s="644">
        <f t="shared" si="147"/>
        <v>0</v>
      </c>
      <c r="AI87" s="645">
        <f t="shared" si="148"/>
        <v>142830.27652831248</v>
      </c>
      <c r="AJ87" s="646">
        <f t="shared" si="202"/>
        <v>-179.92610378201942</v>
      </c>
      <c r="AK87" s="647">
        <f t="shared" si="149"/>
        <v>142650.35042453045</v>
      </c>
      <c r="AL87" s="644">
        <f t="shared" si="203"/>
        <v>0</v>
      </c>
      <c r="AM87" s="645">
        <f t="shared" si="204"/>
        <v>142650.35042453045</v>
      </c>
      <c r="AN87" s="646">
        <f t="shared" si="205"/>
        <v>-0.11470344530231051</v>
      </c>
      <c r="AO87" s="647">
        <f t="shared" si="150"/>
        <v>142650.23572108516</v>
      </c>
      <c r="AP87" s="644">
        <f t="shared" si="206"/>
        <v>0</v>
      </c>
      <c r="AQ87" s="645">
        <f t="shared" si="207"/>
        <v>142650.23572108516</v>
      </c>
      <c r="AR87" s="646">
        <f t="shared" si="208"/>
        <v>0</v>
      </c>
      <c r="AS87" s="647">
        <f t="shared" si="151"/>
        <v>142650.23572108516</v>
      </c>
      <c r="AT87" s="644">
        <f t="shared" si="209"/>
        <v>0</v>
      </c>
      <c r="AU87" s="645">
        <f t="shared" si="210"/>
        <v>142650.23572108516</v>
      </c>
      <c r="AV87" s="646">
        <f t="shared" si="211"/>
        <v>0</v>
      </c>
      <c r="AW87" s="647">
        <f t="shared" si="152"/>
        <v>142650.23572108516</v>
      </c>
      <c r="AY87" s="644">
        <f t="shared" si="212"/>
        <v>36598.048522160883</v>
      </c>
      <c r="AZ87" s="645">
        <f t="shared" si="153"/>
        <v>33183.749693831087</v>
      </c>
      <c r="BA87" s="644">
        <f t="shared" si="213"/>
        <v>0</v>
      </c>
      <c r="BB87" s="645">
        <f t="shared" si="214"/>
        <v>36598.048522160883</v>
      </c>
      <c r="BC87" s="646">
        <f t="shared" si="215"/>
        <v>-263.18723270839899</v>
      </c>
      <c r="BD87" s="647">
        <f t="shared" si="216"/>
        <v>36334.861289452485</v>
      </c>
      <c r="BE87" s="644">
        <f t="shared" si="154"/>
        <v>0</v>
      </c>
      <c r="BF87" s="645">
        <f t="shared" si="155"/>
        <v>36334.861289452485</v>
      </c>
      <c r="BG87" s="646">
        <f t="shared" si="217"/>
        <v>-865.46678513904737</v>
      </c>
      <c r="BH87" s="647">
        <f t="shared" si="156"/>
        <v>35469.394504313437</v>
      </c>
      <c r="BI87" s="644">
        <f t="shared" si="218"/>
        <v>0</v>
      </c>
      <c r="BJ87" s="645">
        <f t="shared" si="219"/>
        <v>35469.394504313437</v>
      </c>
      <c r="BK87" s="646">
        <f t="shared" si="220"/>
        <v>-75.132508328084228</v>
      </c>
      <c r="BL87" s="647">
        <f t="shared" si="157"/>
        <v>35394.261995985355</v>
      </c>
      <c r="BM87" s="644">
        <f t="shared" si="221"/>
        <v>0</v>
      </c>
      <c r="BN87" s="645">
        <f t="shared" si="222"/>
        <v>35394.261995985355</v>
      </c>
      <c r="BO87" s="646">
        <f t="shared" si="223"/>
        <v>-1.6193861927089992</v>
      </c>
      <c r="BP87" s="647">
        <f t="shared" si="158"/>
        <v>35392.642609792645</v>
      </c>
      <c r="BQ87" s="644">
        <f t="shared" si="224"/>
        <v>0</v>
      </c>
      <c r="BR87" s="645">
        <f t="shared" si="225"/>
        <v>35392.642609792645</v>
      </c>
      <c r="BS87" s="646">
        <f t="shared" si="226"/>
        <v>0</v>
      </c>
      <c r="BT87" s="647">
        <f t="shared" si="159"/>
        <v>35392.642609792645</v>
      </c>
      <c r="BU87" s="662">
        <f>VLOOKUP(B87,'Afton Update'!$A$5:$AR$582,'Afton Update'!$AO$589,0)-BT87</f>
        <v>0</v>
      </c>
      <c r="BV87" s="644">
        <f t="shared" si="227"/>
        <v>45964.232520569341</v>
      </c>
      <c r="BW87" s="645">
        <f t="shared" si="135"/>
        <v>41099.935723162758</v>
      </c>
      <c r="BX87" s="644">
        <f t="shared" si="228"/>
        <v>0</v>
      </c>
      <c r="BY87" s="645">
        <f t="shared" si="229"/>
        <v>45964.232520569341</v>
      </c>
      <c r="BZ87" s="646">
        <f t="shared" si="230"/>
        <v>-403.43295569564486</v>
      </c>
      <c r="CA87" s="647">
        <f t="shared" si="231"/>
        <v>45560.799564873698</v>
      </c>
      <c r="CB87" s="644">
        <f t="shared" si="160"/>
        <v>0</v>
      </c>
      <c r="CC87" s="645">
        <f t="shared" si="161"/>
        <v>45560.799564873698</v>
      </c>
      <c r="CD87" s="646">
        <f t="shared" si="232"/>
        <v>-14.593793022893237</v>
      </c>
      <c r="CE87" s="647">
        <f t="shared" si="162"/>
        <v>45546.205771850808</v>
      </c>
      <c r="CF87" s="644">
        <f t="shared" si="233"/>
        <v>0</v>
      </c>
      <c r="CG87" s="645">
        <f t="shared" si="234"/>
        <v>45546.205771850808</v>
      </c>
      <c r="CH87" s="646">
        <f t="shared" si="235"/>
        <v>0</v>
      </c>
      <c r="CI87" s="647">
        <f t="shared" si="163"/>
        <v>45546.205771850808</v>
      </c>
      <c r="CJ87" s="644">
        <f t="shared" si="236"/>
        <v>0</v>
      </c>
      <c r="CK87" s="645">
        <f t="shared" si="237"/>
        <v>45546.205771850808</v>
      </c>
      <c r="CL87" s="646">
        <f t="shared" si="238"/>
        <v>0</v>
      </c>
      <c r="CM87" s="647">
        <f t="shared" si="164"/>
        <v>45546.205771850808</v>
      </c>
      <c r="CN87" s="644">
        <f t="shared" si="239"/>
        <v>0</v>
      </c>
      <c r="CO87" s="645">
        <f t="shared" si="240"/>
        <v>45546.205771850808</v>
      </c>
      <c r="CP87" s="646">
        <f t="shared" si="241"/>
        <v>0</v>
      </c>
      <c r="CQ87" s="647">
        <f t="shared" si="165"/>
        <v>45546.205771850808</v>
      </c>
      <c r="CS87" s="644">
        <f t="shared" si="242"/>
        <v>35092.451275130741</v>
      </c>
      <c r="CT87" s="645">
        <f t="shared" si="136"/>
        <v>26876.147172331399</v>
      </c>
      <c r="CU87" s="644">
        <f t="shared" si="243"/>
        <v>0</v>
      </c>
      <c r="CV87" s="645">
        <f t="shared" si="244"/>
        <v>35092.451275130741</v>
      </c>
      <c r="CW87" s="646">
        <f t="shared" si="245"/>
        <v>-359.36653257273548</v>
      </c>
      <c r="CX87" s="647">
        <f t="shared" si="246"/>
        <v>34733.084742558007</v>
      </c>
      <c r="CY87" s="644">
        <f t="shared" si="166"/>
        <v>0</v>
      </c>
      <c r="CZ87" s="645">
        <f t="shared" si="167"/>
        <v>34733.084742558007</v>
      </c>
      <c r="DA87" s="646">
        <f t="shared" si="247"/>
        <v>-27.265597658128769</v>
      </c>
      <c r="DB87" s="647">
        <f t="shared" si="168"/>
        <v>34705.819144899877</v>
      </c>
      <c r="DC87" s="644">
        <f t="shared" si="248"/>
        <v>0</v>
      </c>
      <c r="DD87" s="645">
        <f t="shared" si="249"/>
        <v>34705.819144899877</v>
      </c>
      <c r="DE87" s="646">
        <f t="shared" si="250"/>
        <v>-2.3513181985311236E-2</v>
      </c>
      <c r="DF87" s="647">
        <f t="shared" si="169"/>
        <v>34705.795631717891</v>
      </c>
      <c r="DG87" s="644">
        <f t="shared" si="251"/>
        <v>0</v>
      </c>
      <c r="DH87" s="645">
        <f t="shared" si="252"/>
        <v>34705.795631717891</v>
      </c>
      <c r="DI87" s="646">
        <f t="shared" si="253"/>
        <v>0</v>
      </c>
      <c r="DJ87" s="647">
        <f t="shared" si="170"/>
        <v>34705.795631717891</v>
      </c>
      <c r="DK87" s="644">
        <f t="shared" si="254"/>
        <v>0</v>
      </c>
      <c r="DL87" s="645">
        <f t="shared" si="255"/>
        <v>34705.795631717891</v>
      </c>
      <c r="DM87" s="646">
        <f t="shared" si="256"/>
        <v>0</v>
      </c>
      <c r="DN87" s="647">
        <f t="shared" si="171"/>
        <v>34705.795631717891</v>
      </c>
      <c r="DR87" s="827">
        <f t="shared" si="172"/>
        <v>258294.8797344465</v>
      </c>
      <c r="DV87" s="828">
        <f>IFERROR(VLOOKUP($B87,'Afton FY16 Final'!$A$5:$BV$587,'Afton FY16 Final'!$BV$587,0),0)</f>
        <v>232951.86271449152</v>
      </c>
      <c r="DX87" s="636">
        <f t="shared" si="137"/>
        <v>258294.8797344465</v>
      </c>
      <c r="DY87" s="637">
        <f t="shared" si="138"/>
        <v>25343.017019954976</v>
      </c>
      <c r="DZ87" s="637">
        <f t="shared" si="139"/>
        <v>232951.86271449152</v>
      </c>
      <c r="EA87" s="643">
        <f t="shared" si="140"/>
        <v>244556.48694685535</v>
      </c>
      <c r="EB87" s="637">
        <f t="shared" si="173"/>
        <v>0</v>
      </c>
      <c r="EC87" s="637">
        <f t="shared" si="174"/>
        <v>244556.48694685535</v>
      </c>
      <c r="ED87" s="637">
        <f t="shared" si="175"/>
        <v>243827.23410469157</v>
      </c>
      <c r="EE87" s="643">
        <f t="shared" si="176"/>
        <v>243827.23410469157</v>
      </c>
      <c r="EF87" s="637">
        <f t="shared" si="177"/>
        <v>0</v>
      </c>
      <c r="EG87" s="637">
        <f t="shared" si="178"/>
        <v>243827.23410469157</v>
      </c>
      <c r="EH87" s="637">
        <f t="shared" si="179"/>
        <v>243826.98255765141</v>
      </c>
      <c r="EI87" s="643">
        <f t="shared" si="180"/>
        <v>243826.98255765141</v>
      </c>
      <c r="EJ87" s="637">
        <f t="shared" si="181"/>
        <v>0</v>
      </c>
      <c r="EK87" s="637">
        <f t="shared" si="182"/>
        <v>243826.98255765141</v>
      </c>
      <c r="EL87" s="637">
        <f t="shared" si="183"/>
        <v>243826.98255765103</v>
      </c>
      <c r="EM87" s="643">
        <f t="shared" si="184"/>
        <v>243826.98255765103</v>
      </c>
      <c r="EN87" s="637">
        <f t="shared" si="185"/>
        <v>0</v>
      </c>
      <c r="EO87" s="637">
        <f t="shared" si="186"/>
        <v>243826.98255765103</v>
      </c>
      <c r="EP87" s="637">
        <f t="shared" si="187"/>
        <v>243826.98255765141</v>
      </c>
      <c r="EQ87" s="643">
        <f t="shared" si="188"/>
        <v>243826.98255765141</v>
      </c>
      <c r="ER87" s="637">
        <f t="shared" si="189"/>
        <v>0</v>
      </c>
      <c r="ES87" s="637">
        <f t="shared" si="190"/>
        <v>243826.98255765141</v>
      </c>
      <c r="ET87" s="637">
        <f t="shared" si="191"/>
        <v>243826.98255765103</v>
      </c>
      <c r="EU87" s="643">
        <f t="shared" si="141"/>
        <v>243826.98255765103</v>
      </c>
      <c r="EV87" s="643">
        <f t="shared" si="142"/>
        <v>0</v>
      </c>
      <c r="EX87" s="829">
        <f t="shared" si="143"/>
        <v>14467.897176795464</v>
      </c>
      <c r="EY87" s="638">
        <f t="shared" si="144"/>
        <v>243826.98255765103</v>
      </c>
      <c r="FC87" s="830" t="str">
        <f t="shared" si="192"/>
        <v>Y</v>
      </c>
      <c r="FE87" s="830" t="str">
        <f>IFERROR(VLOOKUP($B87,'Historical Conc Grant Elig'!$B$3:$J$707,'HH &amp; SI'!FE$2,0),"N")</f>
        <v>Y</v>
      </c>
      <c r="FF87" s="830" t="str">
        <f>IFERROR(VLOOKUP($B87,'Historical Conc Grant Elig'!$B$3:$J$707,'HH &amp; SI'!FF$2,0),"N")</f>
        <v>Y</v>
      </c>
      <c r="FG87" s="830" t="str">
        <f>IFERROR(VLOOKUP($B87,'Historical Conc Grant Elig'!$B$3:$J$707,'HH &amp; SI'!FG$2,0),"N")</f>
        <v>Y</v>
      </c>
      <c r="FH87" s="830" t="str">
        <f>IFERROR(VLOOKUP($B87,'Historical Conc Grant Elig'!$B$3:$J$707,'HH &amp; SI'!FH$2,0),"N")</f>
        <v>N</v>
      </c>
      <c r="FI87" s="830" t="str">
        <f>IFERROR(VLOOKUP($B87,'Historical Conc Grant Elig'!$B$3:$J$707,'HH &amp; SI'!FI$2,0),"N")</f>
        <v>Y</v>
      </c>
      <c r="FJ87" s="830" t="str">
        <f>IFERROR(VLOOKUP($B87,'Historical Conc Grant Elig'!$B$3:$J$707,'HH &amp; SI'!FJ$2,0),"N")</f>
        <v>Y</v>
      </c>
      <c r="FK87" s="830" t="str">
        <f>IFERROR(VLOOKUP($B87,'Historical Conc Grant Elig'!$B$3:$J$707,'HH &amp; SI'!FK$2,0),"N")</f>
        <v>Y</v>
      </c>
      <c r="FL87" s="957" t="str">
        <f>IFERROR(VLOOKUP($B87,'Historical Conc Grant Elig'!$B$3:$J$707,'HH &amp; SI'!FL$2,0),"N")</f>
        <v>Y</v>
      </c>
    </row>
    <row r="88" spans="2:168" x14ac:dyDescent="0.25">
      <c r="B88" s="634">
        <v>70293000</v>
      </c>
      <c r="C88" s="635" t="str">
        <f>VLOOKUP($B88,'Afton Update'!$A$5:$CR$582,'Afton Update'!D$589,0)</f>
        <v>Cave Creek Unified District</v>
      </c>
      <c r="D88" s="636">
        <f>IFERROR(VLOOKUP($B88,'Afton FY16 Final'!$A$5:$BV$587,'Afton FY16 Final'!AQ$587,0),0)</f>
        <v>267791.57494702935</v>
      </c>
      <c r="E88" s="637">
        <f>IFERROR(VLOOKUP($B88,'Afton FY16 Final'!$A$5:$BV$587,'Afton FY16 Final'!AR$587,0),0)</f>
        <v>0</v>
      </c>
      <c r="F88" s="637">
        <f>IFERROR(VLOOKUP($B88,'Afton FY16 Final'!$A$5:$BV$587,'Afton FY16 Final'!AS$587,0),0)</f>
        <v>73643.090716689738</v>
      </c>
      <c r="G88" s="637">
        <f>IFERROR(VLOOKUP($B88,'Afton FY16 Final'!$A$5:$BV$587,'Afton FY16 Final'!AT$587,0),0)</f>
        <v>50008.877244496492</v>
      </c>
      <c r="H88" s="638">
        <f>IFERROR(VLOOKUP($B88,'Afton FY16 Final'!$A$5:$BV$587,'Afton FY16 Final'!AU$587,0),0)</f>
        <v>391443.54290821555</v>
      </c>
      <c r="I88" s="639" t="str">
        <f>VLOOKUP($B88,'Afton Update'!$A$5:$CR$582,'Afton Update'!BT$589,0)</f>
        <v>Y</v>
      </c>
      <c r="J88" s="640" t="str">
        <f>VLOOKUP($B88,'Afton Update'!$A$5:$CR$582,'Afton Update'!BU$589,0)</f>
        <v>N</v>
      </c>
      <c r="K88" s="640" t="str">
        <f>VLOOKUP($B88,'Afton Update'!$A$5:$CR$582,'Afton Update'!BV$589,0)</f>
        <v>Y</v>
      </c>
      <c r="L88" s="641" t="str">
        <f>VLOOKUP($B88,'Afton Update'!$A$5:$CR$582,'Afton Update'!BW$589,0)</f>
        <v>Y</v>
      </c>
      <c r="N88" s="642">
        <f>VLOOKUP($B88,'Afton Update'!$A$5:$CR$582,'Afton Update'!CB$589,0)</f>
        <v>0.85</v>
      </c>
      <c r="P88" s="636">
        <f>VLOOKUP($B88,'Afton Update'!$A$5:$CR$582,'Afton Update'!AH$589,0)</f>
        <v>252569.25130804421</v>
      </c>
      <c r="Q88" s="637" t="str">
        <f>VLOOKUP($B88,'Afton Update'!$A$5:$CR$582,'Afton Update'!AI$589,0)</f>
        <v/>
      </c>
      <c r="R88" s="637">
        <f>VLOOKUP($B88,'Afton Update'!$A$5:$CR$582,'Afton Update'!AJ$589,0)</f>
        <v>76267.911858150706</v>
      </c>
      <c r="S88" s="637">
        <f>VLOOKUP($B88,'Afton Update'!$A$5:$CR$582,'Afton Update'!AK$589,0)</f>
        <v>59205.575596041963</v>
      </c>
      <c r="T88" s="643">
        <f t="shared" si="145"/>
        <v>388042.7387622369</v>
      </c>
      <c r="V88" s="636">
        <f t="shared" si="193"/>
        <v>249124.04278667891</v>
      </c>
      <c r="W88" s="637">
        <f t="shared" si="194"/>
        <v>0</v>
      </c>
      <c r="X88" s="637">
        <f t="shared" si="195"/>
        <v>75574.284977481104</v>
      </c>
      <c r="Y88" s="637">
        <f t="shared" si="196"/>
        <v>58553.236728453681</v>
      </c>
      <c r="Z88" s="643">
        <f t="shared" si="197"/>
        <v>383251.56449261366</v>
      </c>
      <c r="AB88" s="644">
        <f t="shared" si="146"/>
        <v>252569.25130804421</v>
      </c>
      <c r="AC88" s="645">
        <f t="shared" si="134"/>
        <v>227622.83870497494</v>
      </c>
      <c r="AD88" s="644">
        <f t="shared" si="198"/>
        <v>0</v>
      </c>
      <c r="AE88" s="645">
        <f t="shared" si="199"/>
        <v>252569.25130804421</v>
      </c>
      <c r="AF88" s="646">
        <f t="shared" si="200"/>
        <v>-3130.7856707031638</v>
      </c>
      <c r="AG88" s="647">
        <f t="shared" si="201"/>
        <v>249438.46563734105</v>
      </c>
      <c r="AH88" s="644">
        <f t="shared" si="147"/>
        <v>0</v>
      </c>
      <c r="AI88" s="645">
        <f t="shared" si="148"/>
        <v>249438.46563734105</v>
      </c>
      <c r="AJ88" s="646">
        <f t="shared" si="202"/>
        <v>-314.22253282969382</v>
      </c>
      <c r="AK88" s="647">
        <f t="shared" si="149"/>
        <v>249124.24310451135</v>
      </c>
      <c r="AL88" s="644">
        <f t="shared" si="203"/>
        <v>0</v>
      </c>
      <c r="AM88" s="645">
        <f t="shared" si="204"/>
        <v>249124.24310451135</v>
      </c>
      <c r="AN88" s="646">
        <f t="shared" si="205"/>
        <v>-0.20031783242997162</v>
      </c>
      <c r="AO88" s="647">
        <f t="shared" si="150"/>
        <v>249124.04278667891</v>
      </c>
      <c r="AP88" s="644">
        <f t="shared" si="206"/>
        <v>0</v>
      </c>
      <c r="AQ88" s="645">
        <f t="shared" si="207"/>
        <v>249124.04278667891</v>
      </c>
      <c r="AR88" s="646">
        <f t="shared" si="208"/>
        <v>0</v>
      </c>
      <c r="AS88" s="647">
        <f t="shared" si="151"/>
        <v>249124.04278667891</v>
      </c>
      <c r="AT88" s="644">
        <f t="shared" si="209"/>
        <v>0</v>
      </c>
      <c r="AU88" s="645">
        <f t="shared" si="210"/>
        <v>249124.04278667891</v>
      </c>
      <c r="AV88" s="646">
        <f t="shared" si="211"/>
        <v>0</v>
      </c>
      <c r="AW88" s="647">
        <f t="shared" si="152"/>
        <v>249124.04278667891</v>
      </c>
      <c r="AY88" s="644">
        <f t="shared" si="212"/>
        <v>0</v>
      </c>
      <c r="AZ88" s="645">
        <f t="shared" si="153"/>
        <v>0</v>
      </c>
      <c r="BA88" s="644">
        <f t="shared" si="213"/>
        <v>0</v>
      </c>
      <c r="BB88" s="645">
        <f t="shared" si="214"/>
        <v>0</v>
      </c>
      <c r="BC88" s="646">
        <f t="shared" si="215"/>
        <v>0</v>
      </c>
      <c r="BD88" s="647">
        <f t="shared" si="216"/>
        <v>0</v>
      </c>
      <c r="BE88" s="644">
        <f t="shared" si="154"/>
        <v>0</v>
      </c>
      <c r="BF88" s="645">
        <f t="shared" si="155"/>
        <v>0</v>
      </c>
      <c r="BG88" s="646">
        <f t="shared" si="217"/>
        <v>0</v>
      </c>
      <c r="BH88" s="647">
        <f t="shared" si="156"/>
        <v>0</v>
      </c>
      <c r="BI88" s="644">
        <f t="shared" si="218"/>
        <v>0</v>
      </c>
      <c r="BJ88" s="645">
        <f t="shared" si="219"/>
        <v>0</v>
      </c>
      <c r="BK88" s="646">
        <f t="shared" si="220"/>
        <v>0</v>
      </c>
      <c r="BL88" s="647">
        <f t="shared" si="157"/>
        <v>0</v>
      </c>
      <c r="BM88" s="644">
        <f t="shared" si="221"/>
        <v>0</v>
      </c>
      <c r="BN88" s="645">
        <f t="shared" si="222"/>
        <v>0</v>
      </c>
      <c r="BO88" s="646">
        <f t="shared" si="223"/>
        <v>0</v>
      </c>
      <c r="BP88" s="647">
        <f t="shared" si="158"/>
        <v>0</v>
      </c>
      <c r="BQ88" s="644">
        <f t="shared" si="224"/>
        <v>0</v>
      </c>
      <c r="BR88" s="645">
        <f t="shared" si="225"/>
        <v>0</v>
      </c>
      <c r="BS88" s="646">
        <f t="shared" si="226"/>
        <v>0</v>
      </c>
      <c r="BT88" s="647">
        <f t="shared" si="159"/>
        <v>0</v>
      </c>
      <c r="BU88" s="662">
        <f>VLOOKUP(B88,'Afton Update'!$A$5:$AR$582,'Afton Update'!$AO$589,0)-BT88</f>
        <v>0</v>
      </c>
      <c r="BV88" s="644">
        <f t="shared" si="227"/>
        <v>76267.911858150706</v>
      </c>
      <c r="BW88" s="645">
        <f t="shared" si="135"/>
        <v>62596.627109186273</v>
      </c>
      <c r="BX88" s="644">
        <f t="shared" si="228"/>
        <v>0</v>
      </c>
      <c r="BY88" s="645">
        <f t="shared" si="229"/>
        <v>76267.911858150706</v>
      </c>
      <c r="BZ88" s="646">
        <f t="shared" si="230"/>
        <v>-669.41157109279061</v>
      </c>
      <c r="CA88" s="647">
        <f t="shared" si="231"/>
        <v>75598.500287057919</v>
      </c>
      <c r="CB88" s="644">
        <f t="shared" si="160"/>
        <v>0</v>
      </c>
      <c r="CC88" s="645">
        <f t="shared" si="161"/>
        <v>75598.500287057919</v>
      </c>
      <c r="CD88" s="646">
        <f t="shared" si="232"/>
        <v>-24.215309576811126</v>
      </c>
      <c r="CE88" s="647">
        <f t="shared" si="162"/>
        <v>75574.284977481104</v>
      </c>
      <c r="CF88" s="644">
        <f t="shared" si="233"/>
        <v>0</v>
      </c>
      <c r="CG88" s="645">
        <f t="shared" si="234"/>
        <v>75574.284977481104</v>
      </c>
      <c r="CH88" s="646">
        <f t="shared" si="235"/>
        <v>0</v>
      </c>
      <c r="CI88" s="647">
        <f t="shared" si="163"/>
        <v>75574.284977481104</v>
      </c>
      <c r="CJ88" s="644">
        <f t="shared" si="236"/>
        <v>0</v>
      </c>
      <c r="CK88" s="645">
        <f t="shared" si="237"/>
        <v>75574.284977481104</v>
      </c>
      <c r="CL88" s="646">
        <f t="shared" si="238"/>
        <v>0</v>
      </c>
      <c r="CM88" s="647">
        <f t="shared" si="164"/>
        <v>75574.284977481104</v>
      </c>
      <c r="CN88" s="644">
        <f t="shared" si="239"/>
        <v>0</v>
      </c>
      <c r="CO88" s="645">
        <f t="shared" si="240"/>
        <v>75574.284977481104</v>
      </c>
      <c r="CP88" s="646">
        <f t="shared" si="241"/>
        <v>0</v>
      </c>
      <c r="CQ88" s="647">
        <f t="shared" si="165"/>
        <v>75574.284977481104</v>
      </c>
      <c r="CS88" s="644">
        <f t="shared" si="242"/>
        <v>59205.575596041963</v>
      </c>
      <c r="CT88" s="645">
        <f t="shared" si="136"/>
        <v>42507.545657822018</v>
      </c>
      <c r="CU88" s="644">
        <f t="shared" si="243"/>
        <v>0</v>
      </c>
      <c r="CV88" s="645">
        <f t="shared" si="244"/>
        <v>59205.575596041963</v>
      </c>
      <c r="CW88" s="646">
        <f t="shared" si="245"/>
        <v>-606.29855247532294</v>
      </c>
      <c r="CX88" s="647">
        <f t="shared" si="246"/>
        <v>58599.277043566639</v>
      </c>
      <c r="CY88" s="644">
        <f t="shared" si="166"/>
        <v>0</v>
      </c>
      <c r="CZ88" s="645">
        <f t="shared" si="167"/>
        <v>58599.277043566639</v>
      </c>
      <c r="DA88" s="646">
        <f t="shared" si="247"/>
        <v>-46.000645285888289</v>
      </c>
      <c r="DB88" s="647">
        <f t="shared" si="168"/>
        <v>58553.276398280752</v>
      </c>
      <c r="DC88" s="644">
        <f t="shared" si="248"/>
        <v>0</v>
      </c>
      <c r="DD88" s="645">
        <f t="shared" si="249"/>
        <v>58553.276398280752</v>
      </c>
      <c r="DE88" s="646">
        <f t="shared" si="250"/>
        <v>-3.9669827069658013E-2</v>
      </c>
      <c r="DF88" s="647">
        <f t="shared" si="169"/>
        <v>58553.236728453681</v>
      </c>
      <c r="DG88" s="644">
        <f t="shared" si="251"/>
        <v>0</v>
      </c>
      <c r="DH88" s="645">
        <f t="shared" si="252"/>
        <v>58553.236728453681</v>
      </c>
      <c r="DI88" s="646">
        <f t="shared" si="253"/>
        <v>0</v>
      </c>
      <c r="DJ88" s="647">
        <f t="shared" si="170"/>
        <v>58553.236728453681</v>
      </c>
      <c r="DK88" s="644">
        <f t="shared" si="254"/>
        <v>0</v>
      </c>
      <c r="DL88" s="645">
        <f t="shared" si="255"/>
        <v>58553.236728453681</v>
      </c>
      <c r="DM88" s="646">
        <f t="shared" si="256"/>
        <v>0</v>
      </c>
      <c r="DN88" s="647">
        <f t="shared" si="171"/>
        <v>58553.236728453681</v>
      </c>
      <c r="DR88" s="827">
        <f t="shared" si="172"/>
        <v>383251.56449261366</v>
      </c>
      <c r="DV88" s="828">
        <f>IFERROR(VLOOKUP($B88,'Afton FY16 Final'!$A$5:$BV$587,'Afton FY16 Final'!$BV$587,0),0)</f>
        <v>364910.9193514199</v>
      </c>
      <c r="DX88" s="636">
        <f t="shared" si="137"/>
        <v>383251.56449261366</v>
      </c>
      <c r="DY88" s="637">
        <f t="shared" si="138"/>
        <v>18340.64514119376</v>
      </c>
      <c r="DZ88" s="637">
        <f t="shared" si="139"/>
        <v>364910.9193514199</v>
      </c>
      <c r="EA88" s="643">
        <f t="shared" si="140"/>
        <v>362866.87651555595</v>
      </c>
      <c r="EB88" s="637">
        <f t="shared" si="173"/>
        <v>364910.9193514199</v>
      </c>
      <c r="EC88" s="637">
        <f t="shared" si="174"/>
        <v>0</v>
      </c>
      <c r="ED88" s="637">
        <f t="shared" si="175"/>
        <v>0</v>
      </c>
      <c r="EE88" s="643">
        <f t="shared" si="176"/>
        <v>364910.9193514199</v>
      </c>
      <c r="EF88" s="637">
        <f t="shared" si="177"/>
        <v>0</v>
      </c>
      <c r="EG88" s="637">
        <f t="shared" si="178"/>
        <v>0</v>
      </c>
      <c r="EH88" s="637">
        <f t="shared" si="179"/>
        <v>0</v>
      </c>
      <c r="EI88" s="643">
        <f t="shared" si="180"/>
        <v>364910.9193514199</v>
      </c>
      <c r="EJ88" s="637">
        <f t="shared" si="181"/>
        <v>0</v>
      </c>
      <c r="EK88" s="637">
        <f t="shared" si="182"/>
        <v>0</v>
      </c>
      <c r="EL88" s="637">
        <f t="shared" si="183"/>
        <v>0</v>
      </c>
      <c r="EM88" s="643">
        <f t="shared" si="184"/>
        <v>364910.9193514199</v>
      </c>
      <c r="EN88" s="637">
        <f t="shared" si="185"/>
        <v>0</v>
      </c>
      <c r="EO88" s="637">
        <f t="shared" si="186"/>
        <v>0</v>
      </c>
      <c r="EP88" s="637">
        <f t="shared" si="187"/>
        <v>0</v>
      </c>
      <c r="EQ88" s="643">
        <f t="shared" si="188"/>
        <v>364910.9193514199</v>
      </c>
      <c r="ER88" s="637">
        <f t="shared" si="189"/>
        <v>0</v>
      </c>
      <c r="ES88" s="637">
        <f t="shared" si="190"/>
        <v>0</v>
      </c>
      <c r="ET88" s="637">
        <f t="shared" si="191"/>
        <v>0</v>
      </c>
      <c r="EU88" s="643">
        <f t="shared" si="141"/>
        <v>364910.9193514199</v>
      </c>
      <c r="EV88" s="643">
        <f t="shared" si="142"/>
        <v>0</v>
      </c>
      <c r="EX88" s="829">
        <f t="shared" si="143"/>
        <v>18340.64514119376</v>
      </c>
      <c r="EY88" s="638">
        <f t="shared" si="144"/>
        <v>364910.9193514199</v>
      </c>
      <c r="FC88" s="830" t="str">
        <f t="shared" si="192"/>
        <v>N</v>
      </c>
      <c r="FE88" s="830" t="str">
        <f>IFERROR(VLOOKUP($B88,'Historical Conc Grant Elig'!$B$3:$J$707,'HH &amp; SI'!FE$2,0),"N")</f>
        <v>N</v>
      </c>
      <c r="FF88" s="830" t="str">
        <f>IFERROR(VLOOKUP($B88,'Historical Conc Grant Elig'!$B$3:$J$707,'HH &amp; SI'!FF$2,0),"N")</f>
        <v>N</v>
      </c>
      <c r="FG88" s="830" t="str">
        <f>IFERROR(VLOOKUP($B88,'Historical Conc Grant Elig'!$B$3:$J$707,'HH &amp; SI'!FG$2,0),"N")</f>
        <v>N</v>
      </c>
      <c r="FH88" s="830" t="str">
        <f>IFERROR(VLOOKUP($B88,'Historical Conc Grant Elig'!$B$3:$J$707,'HH &amp; SI'!FH$2,0),"N")</f>
        <v>N</v>
      </c>
      <c r="FI88" s="830" t="str">
        <f>IFERROR(VLOOKUP($B88,'Historical Conc Grant Elig'!$B$3:$J$707,'HH &amp; SI'!FI$2,0),"N")</f>
        <v>N</v>
      </c>
      <c r="FJ88" s="830" t="str">
        <f>IFERROR(VLOOKUP($B88,'Historical Conc Grant Elig'!$B$3:$J$707,'HH &amp; SI'!FJ$2,0),"N")</f>
        <v>N</v>
      </c>
      <c r="FK88" s="830" t="str">
        <f>IFERROR(VLOOKUP($B88,'Historical Conc Grant Elig'!$B$3:$J$707,'HH &amp; SI'!FK$2,0),"N")</f>
        <v>N</v>
      </c>
      <c r="FL88" s="957" t="str">
        <f>IFERROR(VLOOKUP($B88,'Historical Conc Grant Elig'!$B$3:$J$707,'HH &amp; SI'!FL$2,0),"N")</f>
        <v>N</v>
      </c>
    </row>
    <row r="89" spans="2:168" x14ac:dyDescent="0.25">
      <c r="B89" s="634">
        <v>70295000</v>
      </c>
      <c r="C89" s="635" t="str">
        <f>VLOOKUP($B89,'Afton Update'!$A$5:$CR$582,'Afton Update'!D$589,0)</f>
        <v>Queen Creek Unified District</v>
      </c>
      <c r="D89" s="636">
        <f>IFERROR(VLOOKUP($B89,'Afton FY16 Final'!$A$5:$BV$587,'Afton FY16 Final'!AQ$587,0),0)</f>
        <v>523511.52726268634</v>
      </c>
      <c r="E89" s="637">
        <f>IFERROR(VLOOKUP($B89,'Afton FY16 Final'!$A$5:$BV$587,'Afton FY16 Final'!AR$587,0),0)</f>
        <v>123940.16653448167</v>
      </c>
      <c r="F89" s="637">
        <f>IFERROR(VLOOKUP($B89,'Afton FY16 Final'!$A$5:$BV$587,'Afton FY16 Final'!AS$587,0),0)</f>
        <v>177742.47047977505</v>
      </c>
      <c r="G89" s="637">
        <f>IFERROR(VLOOKUP($B89,'Afton FY16 Final'!$A$5:$BV$587,'Afton FY16 Final'!AT$587,0),0)</f>
        <v>120101.91153442912</v>
      </c>
      <c r="H89" s="638">
        <f>IFERROR(VLOOKUP($B89,'Afton FY16 Final'!$A$5:$BV$587,'Afton FY16 Final'!AU$587,0),0)</f>
        <v>945296.07581137214</v>
      </c>
      <c r="I89" s="639" t="str">
        <f>VLOOKUP($B89,'Afton Update'!$A$5:$CR$582,'Afton Update'!BT$589,0)</f>
        <v>Y</v>
      </c>
      <c r="J89" s="640" t="str">
        <f>VLOOKUP($B89,'Afton Update'!$A$5:$CR$582,'Afton Update'!BU$589,0)</f>
        <v>Y</v>
      </c>
      <c r="K89" s="640" t="str">
        <f>VLOOKUP($B89,'Afton Update'!$A$5:$CR$582,'Afton Update'!BV$589,0)</f>
        <v>Y</v>
      </c>
      <c r="L89" s="641" t="str">
        <f>VLOOKUP($B89,'Afton Update'!$A$5:$CR$582,'Afton Update'!BW$589,0)</f>
        <v>Y</v>
      </c>
      <c r="N89" s="642">
        <f>VLOOKUP($B89,'Afton Update'!$A$5:$CR$582,'Afton Update'!CB$589,0)</f>
        <v>0.9</v>
      </c>
      <c r="P89" s="636">
        <f>VLOOKUP($B89,'Afton Update'!$A$5:$CR$582,'Afton Update'!AH$589,0)</f>
        <v>539731.3208645503</v>
      </c>
      <c r="Q89" s="637">
        <f>VLOOKUP($B89,'Afton Update'!$A$5:$CR$582,'Afton Update'!AI$589,0)</f>
        <v>130762.11575007162</v>
      </c>
      <c r="R89" s="637">
        <f>VLOOKUP($B89,'Afton Update'!$A$5:$CR$582,'Afton Update'!AJ$589,0)</f>
        <v>200948.42022781092</v>
      </c>
      <c r="S89" s="637">
        <f>VLOOKUP($B89,'Afton Update'!$A$5:$CR$582,'Afton Update'!AK$589,0)</f>
        <v>155986.67939640486</v>
      </c>
      <c r="T89" s="643">
        <f t="shared" si="145"/>
        <v>1027428.5362388378</v>
      </c>
      <c r="V89" s="636">
        <f t="shared" si="193"/>
        <v>532369.03532796935</v>
      </c>
      <c r="W89" s="637">
        <f t="shared" si="194"/>
        <v>126455.2897360159</v>
      </c>
      <c r="X89" s="637">
        <f t="shared" si="195"/>
        <v>199120.87280318316</v>
      </c>
      <c r="Y89" s="637">
        <f t="shared" si="196"/>
        <v>154267.98697982254</v>
      </c>
      <c r="Z89" s="643">
        <f t="shared" si="197"/>
        <v>1012213.184846991</v>
      </c>
      <c r="AB89" s="644">
        <f t="shared" si="146"/>
        <v>539731.3208645503</v>
      </c>
      <c r="AC89" s="645">
        <f t="shared" si="134"/>
        <v>471160.37453641772</v>
      </c>
      <c r="AD89" s="644">
        <f t="shared" si="198"/>
        <v>0</v>
      </c>
      <c r="AE89" s="645">
        <f t="shared" si="199"/>
        <v>539731.3208645503</v>
      </c>
      <c r="AF89" s="646">
        <f t="shared" si="200"/>
        <v>-6690.3753194069304</v>
      </c>
      <c r="AG89" s="647">
        <f t="shared" si="201"/>
        <v>533040.94554514333</v>
      </c>
      <c r="AH89" s="644">
        <f t="shared" si="147"/>
        <v>0</v>
      </c>
      <c r="AI89" s="645">
        <f t="shared" si="148"/>
        <v>533040.94554514333</v>
      </c>
      <c r="AJ89" s="646">
        <f t="shared" si="202"/>
        <v>-671.4821452383726</v>
      </c>
      <c r="AK89" s="647">
        <f t="shared" si="149"/>
        <v>532369.46339990501</v>
      </c>
      <c r="AL89" s="644">
        <f t="shared" si="203"/>
        <v>0</v>
      </c>
      <c r="AM89" s="645">
        <f t="shared" si="204"/>
        <v>532369.46339990501</v>
      </c>
      <c r="AN89" s="646">
        <f t="shared" si="205"/>
        <v>-0.42807193563830598</v>
      </c>
      <c r="AO89" s="647">
        <f t="shared" si="150"/>
        <v>532369.03532796935</v>
      </c>
      <c r="AP89" s="644">
        <f t="shared" si="206"/>
        <v>0</v>
      </c>
      <c r="AQ89" s="645">
        <f t="shared" si="207"/>
        <v>532369.03532796935</v>
      </c>
      <c r="AR89" s="646">
        <f t="shared" si="208"/>
        <v>0</v>
      </c>
      <c r="AS89" s="647">
        <f t="shared" si="151"/>
        <v>532369.03532796935</v>
      </c>
      <c r="AT89" s="644">
        <f t="shared" si="209"/>
        <v>0</v>
      </c>
      <c r="AU89" s="645">
        <f t="shared" si="210"/>
        <v>532369.03532796935</v>
      </c>
      <c r="AV89" s="646">
        <f t="shared" si="211"/>
        <v>0</v>
      </c>
      <c r="AW89" s="647">
        <f t="shared" si="152"/>
        <v>532369.03532796935</v>
      </c>
      <c r="AY89" s="644">
        <f t="shared" si="212"/>
        <v>130762.11575007162</v>
      </c>
      <c r="AZ89" s="645">
        <f t="shared" si="153"/>
        <v>111546.1498810335</v>
      </c>
      <c r="BA89" s="644">
        <f t="shared" si="213"/>
        <v>0</v>
      </c>
      <c r="BB89" s="645">
        <f t="shared" si="214"/>
        <v>130762.11575007162</v>
      </c>
      <c r="BC89" s="646">
        <f t="shared" si="215"/>
        <v>-940.34848242025112</v>
      </c>
      <c r="BD89" s="647">
        <f t="shared" si="216"/>
        <v>129821.76726765138</v>
      </c>
      <c r="BE89" s="644">
        <f t="shared" si="154"/>
        <v>0</v>
      </c>
      <c r="BF89" s="645">
        <f t="shared" si="155"/>
        <v>129821.76726765138</v>
      </c>
      <c r="BG89" s="646">
        <f t="shared" si="217"/>
        <v>-3092.2486992077602</v>
      </c>
      <c r="BH89" s="647">
        <f t="shared" si="156"/>
        <v>126729.51856844361</v>
      </c>
      <c r="BI89" s="644">
        <f t="shared" si="218"/>
        <v>0</v>
      </c>
      <c r="BJ89" s="645">
        <f t="shared" si="219"/>
        <v>126729.51856844361</v>
      </c>
      <c r="BK89" s="646">
        <f t="shared" si="220"/>
        <v>-268.44288554460059</v>
      </c>
      <c r="BL89" s="647">
        <f t="shared" si="157"/>
        <v>126461.07568289901</v>
      </c>
      <c r="BM89" s="644">
        <f t="shared" si="221"/>
        <v>0</v>
      </c>
      <c r="BN89" s="645">
        <f t="shared" si="222"/>
        <v>126461.07568289901</v>
      </c>
      <c r="BO89" s="646">
        <f t="shared" si="223"/>
        <v>-5.7859468831202916</v>
      </c>
      <c r="BP89" s="647">
        <f t="shared" si="158"/>
        <v>126455.2897360159</v>
      </c>
      <c r="BQ89" s="644">
        <f t="shared" si="224"/>
        <v>0</v>
      </c>
      <c r="BR89" s="645">
        <f t="shared" si="225"/>
        <v>126455.2897360159</v>
      </c>
      <c r="BS89" s="646">
        <f t="shared" si="226"/>
        <v>0</v>
      </c>
      <c r="BT89" s="647">
        <f t="shared" si="159"/>
        <v>126455.2897360159</v>
      </c>
      <c r="BU89" s="662">
        <f>VLOOKUP(B89,'Afton Update'!$A$5:$AR$582,'Afton Update'!$AO$589,0)-BT89</f>
        <v>0</v>
      </c>
      <c r="BV89" s="644">
        <f t="shared" si="227"/>
        <v>200948.42022781092</v>
      </c>
      <c r="BW89" s="645">
        <f t="shared" si="135"/>
        <v>159968.22343179755</v>
      </c>
      <c r="BX89" s="644">
        <f t="shared" si="228"/>
        <v>0</v>
      </c>
      <c r="BY89" s="645">
        <f t="shared" si="229"/>
        <v>200948.42022781092</v>
      </c>
      <c r="BZ89" s="646">
        <f t="shared" si="230"/>
        <v>-1763.7456489368592</v>
      </c>
      <c r="CA89" s="647">
        <f t="shared" si="231"/>
        <v>199184.67457887405</v>
      </c>
      <c r="CB89" s="644">
        <f t="shared" si="160"/>
        <v>0</v>
      </c>
      <c r="CC89" s="645">
        <f t="shared" si="161"/>
        <v>199184.67457887405</v>
      </c>
      <c r="CD89" s="646">
        <f t="shared" si="232"/>
        <v>-63.801775690906716</v>
      </c>
      <c r="CE89" s="647">
        <f t="shared" si="162"/>
        <v>199120.87280318316</v>
      </c>
      <c r="CF89" s="644">
        <f t="shared" si="233"/>
        <v>0</v>
      </c>
      <c r="CG89" s="645">
        <f t="shared" si="234"/>
        <v>199120.87280318316</v>
      </c>
      <c r="CH89" s="646">
        <f t="shared" si="235"/>
        <v>0</v>
      </c>
      <c r="CI89" s="647">
        <f t="shared" si="163"/>
        <v>199120.87280318316</v>
      </c>
      <c r="CJ89" s="644">
        <f t="shared" si="236"/>
        <v>0</v>
      </c>
      <c r="CK89" s="645">
        <f t="shared" si="237"/>
        <v>199120.87280318316</v>
      </c>
      <c r="CL89" s="646">
        <f t="shared" si="238"/>
        <v>0</v>
      </c>
      <c r="CM89" s="647">
        <f t="shared" si="164"/>
        <v>199120.87280318316</v>
      </c>
      <c r="CN89" s="644">
        <f t="shared" si="239"/>
        <v>0</v>
      </c>
      <c r="CO89" s="645">
        <f t="shared" si="240"/>
        <v>199120.87280318316</v>
      </c>
      <c r="CP89" s="646">
        <f t="shared" si="241"/>
        <v>0</v>
      </c>
      <c r="CQ89" s="647">
        <f t="shared" si="165"/>
        <v>199120.87280318316</v>
      </c>
      <c r="CS89" s="644">
        <f t="shared" si="242"/>
        <v>155986.67939640486</v>
      </c>
      <c r="CT89" s="645">
        <f t="shared" si="136"/>
        <v>108091.72038098621</v>
      </c>
      <c r="CU89" s="644">
        <f t="shared" si="243"/>
        <v>0</v>
      </c>
      <c r="CV89" s="645">
        <f t="shared" si="244"/>
        <v>155986.67939640486</v>
      </c>
      <c r="CW89" s="646">
        <f t="shared" si="245"/>
        <v>-1597.3917485196289</v>
      </c>
      <c r="CX89" s="647">
        <f t="shared" si="246"/>
        <v>154389.28764788521</v>
      </c>
      <c r="CY89" s="644">
        <f t="shared" si="166"/>
        <v>0</v>
      </c>
      <c r="CZ89" s="645">
        <f t="shared" si="167"/>
        <v>154389.28764788521</v>
      </c>
      <c r="DA89" s="646">
        <f t="shared" si="247"/>
        <v>-121.19615147728244</v>
      </c>
      <c r="DB89" s="647">
        <f t="shared" si="168"/>
        <v>154268.09149640793</v>
      </c>
      <c r="DC89" s="644">
        <f t="shared" si="248"/>
        <v>0</v>
      </c>
      <c r="DD89" s="645">
        <f t="shared" si="249"/>
        <v>154268.09149640793</v>
      </c>
      <c r="DE89" s="646">
        <f t="shared" si="250"/>
        <v>-0.10451658538117899</v>
      </c>
      <c r="DF89" s="647">
        <f t="shared" si="169"/>
        <v>154267.98697982254</v>
      </c>
      <c r="DG89" s="644">
        <f t="shared" si="251"/>
        <v>0</v>
      </c>
      <c r="DH89" s="645">
        <f t="shared" si="252"/>
        <v>154267.98697982254</v>
      </c>
      <c r="DI89" s="646">
        <f t="shared" si="253"/>
        <v>0</v>
      </c>
      <c r="DJ89" s="647">
        <f t="shared" si="170"/>
        <v>154267.98697982254</v>
      </c>
      <c r="DK89" s="644">
        <f t="shared" si="254"/>
        <v>0</v>
      </c>
      <c r="DL89" s="645">
        <f t="shared" si="255"/>
        <v>154267.98697982254</v>
      </c>
      <c r="DM89" s="646">
        <f t="shared" si="256"/>
        <v>0</v>
      </c>
      <c r="DN89" s="647">
        <f t="shared" si="171"/>
        <v>154267.98697982254</v>
      </c>
      <c r="DR89" s="827">
        <f t="shared" si="172"/>
        <v>1012213.184846991</v>
      </c>
      <c r="DV89" s="828">
        <f>IFERROR(VLOOKUP($B89,'Afton FY16 Final'!$A$5:$BV$587,'Afton FY16 Final'!$BV$587,0),0)</f>
        <v>839262.57353694376</v>
      </c>
      <c r="DX89" s="636">
        <f t="shared" si="137"/>
        <v>1012213.184846991</v>
      </c>
      <c r="DY89" s="637">
        <f t="shared" si="138"/>
        <v>172950.61131004721</v>
      </c>
      <c r="DZ89" s="637">
        <f t="shared" si="139"/>
        <v>839262.57353694376</v>
      </c>
      <c r="EA89" s="643">
        <f t="shared" si="140"/>
        <v>958374.78769214393</v>
      </c>
      <c r="EB89" s="637">
        <f t="shared" si="173"/>
        <v>0</v>
      </c>
      <c r="EC89" s="637">
        <f t="shared" si="174"/>
        <v>958374.78769214393</v>
      </c>
      <c r="ED89" s="637">
        <f t="shared" si="175"/>
        <v>955516.97129762534</v>
      </c>
      <c r="EE89" s="643">
        <f t="shared" si="176"/>
        <v>955516.97129762534</v>
      </c>
      <c r="EF89" s="637">
        <f t="shared" si="177"/>
        <v>0</v>
      </c>
      <c r="EG89" s="637">
        <f t="shared" si="178"/>
        <v>955516.97129762534</v>
      </c>
      <c r="EH89" s="637">
        <f t="shared" si="179"/>
        <v>955515.98552806268</v>
      </c>
      <c r="EI89" s="643">
        <f t="shared" si="180"/>
        <v>955515.98552806268</v>
      </c>
      <c r="EJ89" s="637">
        <f t="shared" si="181"/>
        <v>0</v>
      </c>
      <c r="EK89" s="637">
        <f t="shared" si="182"/>
        <v>955515.98552806268</v>
      </c>
      <c r="EL89" s="637">
        <f t="shared" si="183"/>
        <v>955515.9855280614</v>
      </c>
      <c r="EM89" s="643">
        <f t="shared" si="184"/>
        <v>955515.9855280614</v>
      </c>
      <c r="EN89" s="637">
        <f t="shared" si="185"/>
        <v>0</v>
      </c>
      <c r="EO89" s="637">
        <f t="shared" si="186"/>
        <v>955515.9855280614</v>
      </c>
      <c r="EP89" s="637">
        <f t="shared" si="187"/>
        <v>955515.9855280628</v>
      </c>
      <c r="EQ89" s="643">
        <f t="shared" si="188"/>
        <v>955515.9855280628</v>
      </c>
      <c r="ER89" s="637">
        <f t="shared" si="189"/>
        <v>0</v>
      </c>
      <c r="ES89" s="637">
        <f t="shared" si="190"/>
        <v>955515.9855280628</v>
      </c>
      <c r="ET89" s="637">
        <f t="shared" si="191"/>
        <v>955515.9855280614</v>
      </c>
      <c r="EU89" s="643">
        <f t="shared" si="141"/>
        <v>955515.9855280614</v>
      </c>
      <c r="EV89" s="643">
        <f t="shared" si="142"/>
        <v>0</v>
      </c>
      <c r="EX89" s="829">
        <f t="shared" si="143"/>
        <v>56697.199318929575</v>
      </c>
      <c r="EY89" s="638">
        <f t="shared" si="144"/>
        <v>955515.9855280614</v>
      </c>
      <c r="FC89" s="830" t="str">
        <f t="shared" si="192"/>
        <v>Y</v>
      </c>
      <c r="FE89" s="830" t="str">
        <f>IFERROR(VLOOKUP($B89,'Historical Conc Grant Elig'!$B$3:$J$707,'HH &amp; SI'!FE$2,0),"N")</f>
        <v>Y</v>
      </c>
      <c r="FF89" s="830" t="str">
        <f>IFERROR(VLOOKUP($B89,'Historical Conc Grant Elig'!$B$3:$J$707,'HH &amp; SI'!FF$2,0),"N")</f>
        <v>Y</v>
      </c>
      <c r="FG89" s="830" t="str">
        <f>IFERROR(VLOOKUP($B89,'Historical Conc Grant Elig'!$B$3:$J$707,'HH &amp; SI'!FG$2,0),"N")</f>
        <v>Y</v>
      </c>
      <c r="FH89" s="830" t="str">
        <f>IFERROR(VLOOKUP($B89,'Historical Conc Grant Elig'!$B$3:$J$707,'HH &amp; SI'!FH$2,0),"N")</f>
        <v>Y</v>
      </c>
      <c r="FI89" s="830" t="str">
        <f>IFERROR(VLOOKUP($B89,'Historical Conc Grant Elig'!$B$3:$J$707,'HH &amp; SI'!FI$2,0),"N")</f>
        <v>Y</v>
      </c>
      <c r="FJ89" s="830" t="str">
        <f>IFERROR(VLOOKUP($B89,'Historical Conc Grant Elig'!$B$3:$J$707,'HH &amp; SI'!FJ$2,0),"N")</f>
        <v>Y</v>
      </c>
      <c r="FK89" s="830" t="str">
        <f>IFERROR(VLOOKUP($B89,'Historical Conc Grant Elig'!$B$3:$J$707,'HH &amp; SI'!FK$2,0),"N")</f>
        <v>Y</v>
      </c>
      <c r="FL89" s="957" t="str">
        <f>IFERROR(VLOOKUP($B89,'Historical Conc Grant Elig'!$B$3:$J$707,'HH &amp; SI'!FL$2,0),"N")</f>
        <v>Y</v>
      </c>
    </row>
    <row r="90" spans="2:168" x14ac:dyDescent="0.25">
      <c r="B90" s="634">
        <v>70297000</v>
      </c>
      <c r="C90" s="635" t="str">
        <f>VLOOKUP($B90,'Afton Update'!$A$5:$CR$582,'Afton Update'!D$589,0)</f>
        <v>Deer Valley Unified District</v>
      </c>
      <c r="D90" s="636">
        <f>IFERROR(VLOOKUP($B90,'Afton FY16 Final'!$A$5:$BV$587,'Afton FY16 Final'!AQ$587,0),0)</f>
        <v>2492072.6696171779</v>
      </c>
      <c r="E90" s="637">
        <f>IFERROR(VLOOKUP($B90,'Afton FY16 Final'!$A$5:$BV$587,'Afton FY16 Final'!AR$587,0),0)</f>
        <v>0</v>
      </c>
      <c r="F90" s="637">
        <f>IFERROR(VLOOKUP($B90,'Afton FY16 Final'!$A$5:$BV$587,'Afton FY16 Final'!AS$587,0),0)</f>
        <v>1207347.8070213045</v>
      </c>
      <c r="G90" s="637">
        <f>IFERROR(VLOOKUP($B90,'Afton FY16 Final'!$A$5:$BV$587,'Afton FY16 Final'!AT$587,0),0)</f>
        <v>889324.53199964785</v>
      </c>
      <c r="H90" s="638">
        <f>IFERROR(VLOOKUP($B90,'Afton FY16 Final'!$A$5:$BV$587,'Afton FY16 Final'!AU$587,0),0)</f>
        <v>4588745.0086381305</v>
      </c>
      <c r="I90" s="639" t="str">
        <f>VLOOKUP($B90,'Afton Update'!$A$5:$CR$582,'Afton Update'!BT$589,0)</f>
        <v>Y</v>
      </c>
      <c r="J90" s="640" t="str">
        <f>VLOOKUP($B90,'Afton Update'!$A$5:$CR$582,'Afton Update'!BU$589,0)</f>
        <v>N</v>
      </c>
      <c r="K90" s="640" t="str">
        <f>VLOOKUP($B90,'Afton Update'!$A$5:$CR$582,'Afton Update'!BV$589,0)</f>
        <v>Y</v>
      </c>
      <c r="L90" s="641" t="str">
        <f>VLOOKUP($B90,'Afton Update'!$A$5:$CR$582,'Afton Update'!BW$589,0)</f>
        <v>Y</v>
      </c>
      <c r="N90" s="642">
        <f>VLOOKUP($B90,'Afton Update'!$A$5:$CR$582,'Afton Update'!CB$589,0)</f>
        <v>0.85</v>
      </c>
      <c r="P90" s="636">
        <f>VLOOKUP($B90,'Afton Update'!$A$5:$CR$582,'Afton Update'!AH$589,0)</f>
        <v>2472344.5524081164</v>
      </c>
      <c r="Q90" s="637" t="str">
        <f>VLOOKUP($B90,'Afton Update'!$A$5:$CR$582,'Afton Update'!AI$589,0)</f>
        <v/>
      </c>
      <c r="R90" s="637">
        <f>VLOOKUP($B90,'Afton Update'!$A$5:$CR$582,'Afton Update'!AJ$589,0)</f>
        <v>1306906.0476985455</v>
      </c>
      <c r="S90" s="637">
        <f>VLOOKUP($B90,'Afton Update'!$A$5:$CR$582,'Afton Update'!AK$589,0)</f>
        <v>1104070.3884720074</v>
      </c>
      <c r="T90" s="643">
        <f t="shared" si="145"/>
        <v>4883320.9885786697</v>
      </c>
      <c r="V90" s="636">
        <f t="shared" si="193"/>
        <v>2438620.1680042571</v>
      </c>
      <c r="W90" s="637">
        <f t="shared" si="194"/>
        <v>0</v>
      </c>
      <c r="X90" s="637">
        <f t="shared" si="195"/>
        <v>1295020.2474569003</v>
      </c>
      <c r="Y90" s="637">
        <f t="shared" si="196"/>
        <v>1091905.5202192657</v>
      </c>
      <c r="Z90" s="643">
        <f t="shared" si="197"/>
        <v>4825545.9356804229</v>
      </c>
      <c r="AB90" s="644">
        <f t="shared" si="146"/>
        <v>2472344.5524081164</v>
      </c>
      <c r="AC90" s="645">
        <f t="shared" si="134"/>
        <v>2118261.769174601</v>
      </c>
      <c r="AD90" s="644">
        <f t="shared" si="198"/>
        <v>0</v>
      </c>
      <c r="AE90" s="645">
        <f t="shared" si="199"/>
        <v>2472344.5524081164</v>
      </c>
      <c r="AF90" s="646">
        <f t="shared" si="200"/>
        <v>-30646.568644572886</v>
      </c>
      <c r="AG90" s="647">
        <f t="shared" si="201"/>
        <v>2441697.9837635434</v>
      </c>
      <c r="AH90" s="644">
        <f t="shared" si="147"/>
        <v>0</v>
      </c>
      <c r="AI90" s="645">
        <f t="shared" si="148"/>
        <v>2441697.9837635434</v>
      </c>
      <c r="AJ90" s="646">
        <f t="shared" si="202"/>
        <v>-3075.8548923197095</v>
      </c>
      <c r="AK90" s="647">
        <f t="shared" si="149"/>
        <v>2438622.1288712239</v>
      </c>
      <c r="AL90" s="644">
        <f t="shared" si="203"/>
        <v>0</v>
      </c>
      <c r="AM90" s="645">
        <f t="shared" si="204"/>
        <v>2438622.1288712239</v>
      </c>
      <c r="AN90" s="646">
        <f t="shared" si="205"/>
        <v>-1.9608669669547723</v>
      </c>
      <c r="AO90" s="647">
        <f t="shared" si="150"/>
        <v>2438620.1680042571</v>
      </c>
      <c r="AP90" s="644">
        <f t="shared" si="206"/>
        <v>0</v>
      </c>
      <c r="AQ90" s="645">
        <f t="shared" si="207"/>
        <v>2438620.1680042571</v>
      </c>
      <c r="AR90" s="646">
        <f t="shared" si="208"/>
        <v>0</v>
      </c>
      <c r="AS90" s="647">
        <f t="shared" si="151"/>
        <v>2438620.1680042571</v>
      </c>
      <c r="AT90" s="644">
        <f t="shared" si="209"/>
        <v>0</v>
      </c>
      <c r="AU90" s="645">
        <f t="shared" si="210"/>
        <v>2438620.1680042571</v>
      </c>
      <c r="AV90" s="646">
        <f t="shared" si="211"/>
        <v>0</v>
      </c>
      <c r="AW90" s="647">
        <f t="shared" si="152"/>
        <v>2438620.1680042571</v>
      </c>
      <c r="AY90" s="644">
        <f t="shared" si="212"/>
        <v>0</v>
      </c>
      <c r="AZ90" s="645">
        <f t="shared" si="153"/>
        <v>0</v>
      </c>
      <c r="BA90" s="644">
        <f t="shared" si="213"/>
        <v>0</v>
      </c>
      <c r="BB90" s="645">
        <f t="shared" si="214"/>
        <v>0</v>
      </c>
      <c r="BC90" s="646">
        <f t="shared" si="215"/>
        <v>0</v>
      </c>
      <c r="BD90" s="647">
        <f t="shared" si="216"/>
        <v>0</v>
      </c>
      <c r="BE90" s="644">
        <f t="shared" si="154"/>
        <v>0</v>
      </c>
      <c r="BF90" s="645">
        <f t="shared" si="155"/>
        <v>0</v>
      </c>
      <c r="BG90" s="646">
        <f t="shared" si="217"/>
        <v>0</v>
      </c>
      <c r="BH90" s="647">
        <f t="shared" si="156"/>
        <v>0</v>
      </c>
      <c r="BI90" s="644">
        <f t="shared" si="218"/>
        <v>0</v>
      </c>
      <c r="BJ90" s="645">
        <f t="shared" si="219"/>
        <v>0</v>
      </c>
      <c r="BK90" s="646">
        <f t="shared" si="220"/>
        <v>0</v>
      </c>
      <c r="BL90" s="647">
        <f t="shared" si="157"/>
        <v>0</v>
      </c>
      <c r="BM90" s="644">
        <f t="shared" si="221"/>
        <v>0</v>
      </c>
      <c r="BN90" s="645">
        <f t="shared" si="222"/>
        <v>0</v>
      </c>
      <c r="BO90" s="646">
        <f t="shared" si="223"/>
        <v>0</v>
      </c>
      <c r="BP90" s="647">
        <f t="shared" si="158"/>
        <v>0</v>
      </c>
      <c r="BQ90" s="644">
        <f t="shared" si="224"/>
        <v>0</v>
      </c>
      <c r="BR90" s="645">
        <f t="shared" si="225"/>
        <v>0</v>
      </c>
      <c r="BS90" s="646">
        <f t="shared" si="226"/>
        <v>0</v>
      </c>
      <c r="BT90" s="647">
        <f t="shared" si="159"/>
        <v>0</v>
      </c>
      <c r="BU90" s="662">
        <f>VLOOKUP(B90,'Afton Update'!$A$5:$AR$582,'Afton Update'!$AO$589,0)-BT90</f>
        <v>0</v>
      </c>
      <c r="BV90" s="644">
        <f t="shared" si="227"/>
        <v>1306906.0476985455</v>
      </c>
      <c r="BW90" s="645">
        <f t="shared" si="135"/>
        <v>1026245.6359681088</v>
      </c>
      <c r="BX90" s="644">
        <f t="shared" si="228"/>
        <v>0</v>
      </c>
      <c r="BY90" s="645">
        <f t="shared" si="229"/>
        <v>1306906.0476985455</v>
      </c>
      <c r="BZ90" s="646">
        <f t="shared" si="230"/>
        <v>-11470.853329348851</v>
      </c>
      <c r="CA90" s="647">
        <f t="shared" si="231"/>
        <v>1295435.1943691967</v>
      </c>
      <c r="CB90" s="644">
        <f t="shared" si="160"/>
        <v>0</v>
      </c>
      <c r="CC90" s="645">
        <f t="shared" si="161"/>
        <v>1295435.1943691967</v>
      </c>
      <c r="CD90" s="646">
        <f t="shared" si="232"/>
        <v>-414.94691229631269</v>
      </c>
      <c r="CE90" s="647">
        <f t="shared" si="162"/>
        <v>1295020.2474569003</v>
      </c>
      <c r="CF90" s="644">
        <f t="shared" si="233"/>
        <v>0</v>
      </c>
      <c r="CG90" s="645">
        <f t="shared" si="234"/>
        <v>1295020.2474569003</v>
      </c>
      <c r="CH90" s="646">
        <f t="shared" si="235"/>
        <v>0</v>
      </c>
      <c r="CI90" s="647">
        <f t="shared" si="163"/>
        <v>1295020.2474569003</v>
      </c>
      <c r="CJ90" s="644">
        <f t="shared" si="236"/>
        <v>0</v>
      </c>
      <c r="CK90" s="645">
        <f t="shared" si="237"/>
        <v>1295020.2474569003</v>
      </c>
      <c r="CL90" s="646">
        <f t="shared" si="238"/>
        <v>0</v>
      </c>
      <c r="CM90" s="647">
        <f t="shared" si="164"/>
        <v>1295020.2474569003</v>
      </c>
      <c r="CN90" s="644">
        <f t="shared" si="239"/>
        <v>0</v>
      </c>
      <c r="CO90" s="645">
        <f t="shared" si="240"/>
        <v>1295020.2474569003</v>
      </c>
      <c r="CP90" s="646">
        <f t="shared" si="241"/>
        <v>0</v>
      </c>
      <c r="CQ90" s="647">
        <f t="shared" si="165"/>
        <v>1295020.2474569003</v>
      </c>
      <c r="CS90" s="644">
        <f t="shared" si="242"/>
        <v>1104070.3884720074</v>
      </c>
      <c r="CT90" s="645">
        <f t="shared" si="136"/>
        <v>755925.85219970066</v>
      </c>
      <c r="CU90" s="644">
        <f t="shared" si="243"/>
        <v>0</v>
      </c>
      <c r="CV90" s="645">
        <f t="shared" si="244"/>
        <v>1104070.3884720074</v>
      </c>
      <c r="CW90" s="646">
        <f t="shared" si="245"/>
        <v>-11306.304712392599</v>
      </c>
      <c r="CX90" s="647">
        <f t="shared" si="246"/>
        <v>1092764.0837596147</v>
      </c>
      <c r="CY90" s="644">
        <f t="shared" si="166"/>
        <v>0</v>
      </c>
      <c r="CZ90" s="645">
        <f t="shared" si="167"/>
        <v>1092764.0837596147</v>
      </c>
      <c r="DA90" s="646">
        <f t="shared" si="247"/>
        <v>-857.82377418773046</v>
      </c>
      <c r="DB90" s="647">
        <f t="shared" si="168"/>
        <v>1091906.2599854269</v>
      </c>
      <c r="DC90" s="644">
        <f t="shared" si="248"/>
        <v>0</v>
      </c>
      <c r="DD90" s="645">
        <f t="shared" si="249"/>
        <v>1091906.2599854269</v>
      </c>
      <c r="DE90" s="646">
        <f t="shared" si="250"/>
        <v>-0.7397661612522638</v>
      </c>
      <c r="DF90" s="647">
        <f t="shared" si="169"/>
        <v>1091905.5202192657</v>
      </c>
      <c r="DG90" s="644">
        <f t="shared" si="251"/>
        <v>0</v>
      </c>
      <c r="DH90" s="645">
        <f t="shared" si="252"/>
        <v>1091905.5202192657</v>
      </c>
      <c r="DI90" s="646">
        <f t="shared" si="253"/>
        <v>0</v>
      </c>
      <c r="DJ90" s="647">
        <f t="shared" si="170"/>
        <v>1091905.5202192657</v>
      </c>
      <c r="DK90" s="644">
        <f t="shared" si="254"/>
        <v>0</v>
      </c>
      <c r="DL90" s="645">
        <f t="shared" si="255"/>
        <v>1091905.5202192657</v>
      </c>
      <c r="DM90" s="646">
        <f t="shared" si="256"/>
        <v>0</v>
      </c>
      <c r="DN90" s="647">
        <f t="shared" si="171"/>
        <v>1091905.5202192657</v>
      </c>
      <c r="DR90" s="827">
        <f t="shared" si="172"/>
        <v>4825545.9356804229</v>
      </c>
      <c r="DV90" s="828">
        <f>IFERROR(VLOOKUP($B90,'Afton FY16 Final'!$A$5:$BV$587,'Afton FY16 Final'!$BV$587,0),0)</f>
        <v>4257618.3078964883</v>
      </c>
      <c r="DX90" s="636">
        <f t="shared" si="137"/>
        <v>4825545.9356804229</v>
      </c>
      <c r="DY90" s="637">
        <f t="shared" si="138"/>
        <v>567927.62778393459</v>
      </c>
      <c r="DZ90" s="637">
        <f t="shared" si="139"/>
        <v>4257618.3078964883</v>
      </c>
      <c r="EA90" s="643">
        <f t="shared" si="140"/>
        <v>4568880.9737303453</v>
      </c>
      <c r="EB90" s="637">
        <f t="shared" si="173"/>
        <v>0</v>
      </c>
      <c r="EC90" s="637">
        <f t="shared" si="174"/>
        <v>4568880.9737303453</v>
      </c>
      <c r="ED90" s="637">
        <f t="shared" si="175"/>
        <v>4555256.8434641752</v>
      </c>
      <c r="EE90" s="643">
        <f t="shared" si="176"/>
        <v>4555256.8434641752</v>
      </c>
      <c r="EF90" s="637">
        <f t="shared" si="177"/>
        <v>0</v>
      </c>
      <c r="EG90" s="637">
        <f t="shared" si="178"/>
        <v>4555256.8434641752</v>
      </c>
      <c r="EH90" s="637">
        <f t="shared" si="179"/>
        <v>4555252.1439834945</v>
      </c>
      <c r="EI90" s="643">
        <f t="shared" si="180"/>
        <v>4555252.1439834945</v>
      </c>
      <c r="EJ90" s="637">
        <f t="shared" si="181"/>
        <v>0</v>
      </c>
      <c r="EK90" s="637">
        <f t="shared" si="182"/>
        <v>4555252.1439834945</v>
      </c>
      <c r="EL90" s="637">
        <f t="shared" si="183"/>
        <v>4555252.143983488</v>
      </c>
      <c r="EM90" s="643">
        <f t="shared" si="184"/>
        <v>4555252.143983488</v>
      </c>
      <c r="EN90" s="637">
        <f t="shared" si="185"/>
        <v>0</v>
      </c>
      <c r="EO90" s="637">
        <f t="shared" si="186"/>
        <v>4555252.143983488</v>
      </c>
      <c r="EP90" s="637">
        <f t="shared" si="187"/>
        <v>4555252.1439834945</v>
      </c>
      <c r="EQ90" s="643">
        <f t="shared" si="188"/>
        <v>4555252.1439834945</v>
      </c>
      <c r="ER90" s="637">
        <f t="shared" si="189"/>
        <v>0</v>
      </c>
      <c r="ES90" s="637">
        <f t="shared" si="190"/>
        <v>4555252.1439834945</v>
      </c>
      <c r="ET90" s="637">
        <f t="shared" si="191"/>
        <v>4555252.143983487</v>
      </c>
      <c r="EU90" s="643">
        <f t="shared" si="141"/>
        <v>4555252.143983487</v>
      </c>
      <c r="EV90" s="643">
        <f t="shared" si="142"/>
        <v>0</v>
      </c>
      <c r="EX90" s="829">
        <f t="shared" si="143"/>
        <v>270293.79169693589</v>
      </c>
      <c r="EY90" s="638">
        <f t="shared" si="144"/>
        <v>4555252.143983487</v>
      </c>
      <c r="FC90" s="830" t="str">
        <f t="shared" si="192"/>
        <v>N</v>
      </c>
      <c r="FE90" s="830" t="str">
        <f>IFERROR(VLOOKUP($B90,'Historical Conc Grant Elig'!$B$3:$J$707,'HH &amp; SI'!FE$2,0),"N")</f>
        <v>N</v>
      </c>
      <c r="FF90" s="830" t="str">
        <f>IFERROR(VLOOKUP($B90,'Historical Conc Grant Elig'!$B$3:$J$707,'HH &amp; SI'!FF$2,0),"N")</f>
        <v>N</v>
      </c>
      <c r="FG90" s="830" t="str">
        <f>IFERROR(VLOOKUP($B90,'Historical Conc Grant Elig'!$B$3:$J$707,'HH &amp; SI'!FG$2,0),"N")</f>
        <v>N</v>
      </c>
      <c r="FH90" s="830" t="str">
        <f>IFERROR(VLOOKUP($B90,'Historical Conc Grant Elig'!$B$3:$J$707,'HH &amp; SI'!FH$2,0),"N")</f>
        <v>N</v>
      </c>
      <c r="FI90" s="830" t="str">
        <f>IFERROR(VLOOKUP($B90,'Historical Conc Grant Elig'!$B$3:$J$707,'HH &amp; SI'!FI$2,0),"N")</f>
        <v>N</v>
      </c>
      <c r="FJ90" s="830" t="str">
        <f>IFERROR(VLOOKUP($B90,'Historical Conc Grant Elig'!$B$3:$J$707,'HH &amp; SI'!FJ$2,0),"N")</f>
        <v>N</v>
      </c>
      <c r="FK90" s="830" t="str">
        <f>IFERROR(VLOOKUP($B90,'Historical Conc Grant Elig'!$B$3:$J$707,'HH &amp; SI'!FK$2,0),"N")</f>
        <v>N</v>
      </c>
      <c r="FL90" s="957" t="str">
        <f>IFERROR(VLOOKUP($B90,'Historical Conc Grant Elig'!$B$3:$J$707,'HH &amp; SI'!FL$2,0),"N")</f>
        <v>N</v>
      </c>
    </row>
    <row r="91" spans="2:168" x14ac:dyDescent="0.25">
      <c r="B91" s="634">
        <v>70298000</v>
      </c>
      <c r="C91" s="635" t="str">
        <f>VLOOKUP($B91,'Afton Update'!$A$5:$CR$582,'Afton Update'!D$589,0)</f>
        <v>Fountain Hills Unified District</v>
      </c>
      <c r="D91" s="636">
        <f>IFERROR(VLOOKUP($B91,'Afton FY16 Final'!$A$5:$BV$587,'Afton FY16 Final'!AQ$587,0),0)</f>
        <v>110828.74029338003</v>
      </c>
      <c r="E91" s="637">
        <f>IFERROR(VLOOKUP($B91,'Afton FY16 Final'!$A$5:$BV$587,'Afton FY16 Final'!AR$587,0),0)</f>
        <v>0</v>
      </c>
      <c r="F91" s="637">
        <f>IFERROR(VLOOKUP($B91,'Afton FY16 Final'!$A$5:$BV$587,'Afton FY16 Final'!AS$587,0),0)</f>
        <v>30421.385619156175</v>
      </c>
      <c r="G91" s="637">
        <f>IFERROR(VLOOKUP($B91,'Afton FY16 Final'!$A$5:$BV$587,'Afton FY16 Final'!AT$587,0),0)</f>
        <v>24490.22987136904</v>
      </c>
      <c r="H91" s="638">
        <f>IFERROR(VLOOKUP($B91,'Afton FY16 Final'!$A$5:$BV$587,'Afton FY16 Final'!AU$587,0),0)</f>
        <v>165740.35578390525</v>
      </c>
      <c r="I91" s="639" t="str">
        <f>VLOOKUP($B91,'Afton Update'!$A$5:$CR$582,'Afton Update'!BT$589,0)</f>
        <v>Y</v>
      </c>
      <c r="J91" s="640" t="str">
        <f>VLOOKUP($B91,'Afton Update'!$A$5:$CR$582,'Afton Update'!BU$589,0)</f>
        <v>N</v>
      </c>
      <c r="K91" s="640" t="str">
        <f>VLOOKUP($B91,'Afton Update'!$A$5:$CR$582,'Afton Update'!BV$589,0)</f>
        <v>Y</v>
      </c>
      <c r="L91" s="641" t="str">
        <f>VLOOKUP($B91,'Afton Update'!$A$5:$CR$582,'Afton Update'!BW$589,0)</f>
        <v>Y</v>
      </c>
      <c r="N91" s="642">
        <f>VLOOKUP($B91,'Afton Update'!$A$5:$CR$582,'Afton Update'!CB$589,0)</f>
        <v>0.85</v>
      </c>
      <c r="P91" s="636">
        <f>VLOOKUP($B91,'Afton Update'!$A$5:$CR$582,'Afton Update'!AH$589,0)</f>
        <v>95049.890085779087</v>
      </c>
      <c r="Q91" s="637" t="str">
        <f>VLOOKUP($B91,'Afton Update'!$A$5:$CR$582,'Afton Update'!AI$589,0)</f>
        <v/>
      </c>
      <c r="R91" s="637">
        <f>VLOOKUP($B91,'Afton Update'!$A$5:$CR$582,'Afton Update'!AJ$589,0)</f>
        <v>28710.664467906947</v>
      </c>
      <c r="S91" s="637">
        <f>VLOOKUP($B91,'Afton Update'!$A$5:$CR$582,'Afton Update'!AK$589,0)</f>
        <v>22290.078889142726</v>
      </c>
      <c r="T91" s="643">
        <f t="shared" si="145"/>
        <v>146050.63344282875</v>
      </c>
      <c r="V91" s="636">
        <f t="shared" si="193"/>
        <v>94204.429249373032</v>
      </c>
      <c r="W91" s="637">
        <f t="shared" si="194"/>
        <v>0</v>
      </c>
      <c r="X91" s="637">
        <f t="shared" si="195"/>
        <v>28449.552184226432</v>
      </c>
      <c r="Y91" s="637">
        <f t="shared" si="196"/>
        <v>22044.482343975975</v>
      </c>
      <c r="Z91" s="643">
        <f t="shared" si="197"/>
        <v>144698.46377757544</v>
      </c>
      <c r="AB91" s="644">
        <f t="shared" si="146"/>
        <v>95049.890085779087</v>
      </c>
      <c r="AC91" s="645">
        <f t="shared" si="134"/>
        <v>94204.429249373032</v>
      </c>
      <c r="AD91" s="644">
        <f t="shared" si="198"/>
        <v>0</v>
      </c>
      <c r="AE91" s="645">
        <f t="shared" si="199"/>
        <v>95049.890085779087</v>
      </c>
      <c r="AF91" s="646">
        <f t="shared" si="200"/>
        <v>-1178.2148157042507</v>
      </c>
      <c r="AG91" s="647">
        <f t="shared" si="201"/>
        <v>93871.675270074833</v>
      </c>
      <c r="AH91" s="644">
        <f t="shared" si="147"/>
        <v>-332.75397929819883</v>
      </c>
      <c r="AI91" s="645">
        <f t="shared" si="148"/>
        <v>0</v>
      </c>
      <c r="AJ91" s="646">
        <f t="shared" si="202"/>
        <v>0</v>
      </c>
      <c r="AK91" s="647">
        <f t="shared" si="149"/>
        <v>94204.429249373032</v>
      </c>
      <c r="AL91" s="644">
        <f t="shared" si="203"/>
        <v>0</v>
      </c>
      <c r="AM91" s="645">
        <f t="shared" si="204"/>
        <v>0</v>
      </c>
      <c r="AN91" s="646">
        <f t="shared" si="205"/>
        <v>0</v>
      </c>
      <c r="AO91" s="647">
        <f t="shared" si="150"/>
        <v>94204.429249373032</v>
      </c>
      <c r="AP91" s="644">
        <f t="shared" si="206"/>
        <v>0</v>
      </c>
      <c r="AQ91" s="645">
        <f t="shared" si="207"/>
        <v>0</v>
      </c>
      <c r="AR91" s="646">
        <f t="shared" si="208"/>
        <v>0</v>
      </c>
      <c r="AS91" s="647">
        <f t="shared" si="151"/>
        <v>94204.429249373032</v>
      </c>
      <c r="AT91" s="644">
        <f t="shared" si="209"/>
        <v>0</v>
      </c>
      <c r="AU91" s="645">
        <f t="shared" si="210"/>
        <v>0</v>
      </c>
      <c r="AV91" s="646">
        <f t="shared" si="211"/>
        <v>0</v>
      </c>
      <c r="AW91" s="647">
        <f t="shared" si="152"/>
        <v>94204.429249373032</v>
      </c>
      <c r="AY91" s="644">
        <f t="shared" si="212"/>
        <v>0</v>
      </c>
      <c r="AZ91" s="645">
        <f t="shared" si="153"/>
        <v>0</v>
      </c>
      <c r="BA91" s="644">
        <f t="shared" si="213"/>
        <v>0</v>
      </c>
      <c r="BB91" s="645">
        <f t="shared" si="214"/>
        <v>0</v>
      </c>
      <c r="BC91" s="646">
        <f t="shared" si="215"/>
        <v>0</v>
      </c>
      <c r="BD91" s="647">
        <f t="shared" si="216"/>
        <v>0</v>
      </c>
      <c r="BE91" s="644">
        <f t="shared" si="154"/>
        <v>0</v>
      </c>
      <c r="BF91" s="645">
        <f t="shared" si="155"/>
        <v>0</v>
      </c>
      <c r="BG91" s="646">
        <f t="shared" si="217"/>
        <v>0</v>
      </c>
      <c r="BH91" s="647">
        <f t="shared" si="156"/>
        <v>0</v>
      </c>
      <c r="BI91" s="644">
        <f t="shared" si="218"/>
        <v>0</v>
      </c>
      <c r="BJ91" s="645">
        <f t="shared" si="219"/>
        <v>0</v>
      </c>
      <c r="BK91" s="646">
        <f t="shared" si="220"/>
        <v>0</v>
      </c>
      <c r="BL91" s="647">
        <f t="shared" si="157"/>
        <v>0</v>
      </c>
      <c r="BM91" s="644">
        <f t="shared" si="221"/>
        <v>0</v>
      </c>
      <c r="BN91" s="645">
        <f t="shared" si="222"/>
        <v>0</v>
      </c>
      <c r="BO91" s="646">
        <f t="shared" si="223"/>
        <v>0</v>
      </c>
      <c r="BP91" s="647">
        <f t="shared" si="158"/>
        <v>0</v>
      </c>
      <c r="BQ91" s="644">
        <f t="shared" si="224"/>
        <v>0</v>
      </c>
      <c r="BR91" s="645">
        <f t="shared" si="225"/>
        <v>0</v>
      </c>
      <c r="BS91" s="646">
        <f t="shared" si="226"/>
        <v>0</v>
      </c>
      <c r="BT91" s="647">
        <f t="shared" si="159"/>
        <v>0</v>
      </c>
      <c r="BU91" s="662">
        <f>VLOOKUP(B91,'Afton Update'!$A$5:$AR$582,'Afton Update'!$AO$589,0)-BT91</f>
        <v>0</v>
      </c>
      <c r="BV91" s="644">
        <f t="shared" si="227"/>
        <v>28710.664467906947</v>
      </c>
      <c r="BW91" s="645">
        <f t="shared" si="135"/>
        <v>25858.177776282748</v>
      </c>
      <c r="BX91" s="644">
        <f t="shared" si="228"/>
        <v>0</v>
      </c>
      <c r="BY91" s="645">
        <f t="shared" si="229"/>
        <v>28710.664467906947</v>
      </c>
      <c r="BZ91" s="646">
        <f t="shared" si="230"/>
        <v>-251.99655451856449</v>
      </c>
      <c r="CA91" s="647">
        <f t="shared" si="231"/>
        <v>28458.667913388381</v>
      </c>
      <c r="CB91" s="644">
        <f t="shared" si="160"/>
        <v>0</v>
      </c>
      <c r="CC91" s="645">
        <f t="shared" si="161"/>
        <v>28458.667913388381</v>
      </c>
      <c r="CD91" s="646">
        <f t="shared" si="232"/>
        <v>-9.1157291619492309</v>
      </c>
      <c r="CE91" s="647">
        <f t="shared" si="162"/>
        <v>28449.552184226432</v>
      </c>
      <c r="CF91" s="644">
        <f t="shared" si="233"/>
        <v>0</v>
      </c>
      <c r="CG91" s="645">
        <f t="shared" si="234"/>
        <v>28449.552184226432</v>
      </c>
      <c r="CH91" s="646">
        <f t="shared" si="235"/>
        <v>0</v>
      </c>
      <c r="CI91" s="647">
        <f t="shared" si="163"/>
        <v>28449.552184226432</v>
      </c>
      <c r="CJ91" s="644">
        <f t="shared" si="236"/>
        <v>0</v>
      </c>
      <c r="CK91" s="645">
        <f t="shared" si="237"/>
        <v>28449.552184226432</v>
      </c>
      <c r="CL91" s="646">
        <f t="shared" si="238"/>
        <v>0</v>
      </c>
      <c r="CM91" s="647">
        <f t="shared" si="164"/>
        <v>28449.552184226432</v>
      </c>
      <c r="CN91" s="644">
        <f t="shared" si="239"/>
        <v>0</v>
      </c>
      <c r="CO91" s="645">
        <f t="shared" si="240"/>
        <v>28449.552184226432</v>
      </c>
      <c r="CP91" s="646">
        <f t="shared" si="241"/>
        <v>0</v>
      </c>
      <c r="CQ91" s="647">
        <f t="shared" si="165"/>
        <v>28449.552184226432</v>
      </c>
      <c r="CS91" s="644">
        <f t="shared" si="242"/>
        <v>22290.078889142726</v>
      </c>
      <c r="CT91" s="645">
        <f t="shared" si="136"/>
        <v>20816.695390663685</v>
      </c>
      <c r="CU91" s="644">
        <f t="shared" si="243"/>
        <v>0</v>
      </c>
      <c r="CV91" s="645">
        <f t="shared" si="244"/>
        <v>22290.078889142726</v>
      </c>
      <c r="CW91" s="646">
        <f t="shared" si="245"/>
        <v>-228.26300443824181</v>
      </c>
      <c r="CX91" s="647">
        <f t="shared" si="246"/>
        <v>22061.815884704483</v>
      </c>
      <c r="CY91" s="644">
        <f t="shared" si="166"/>
        <v>0</v>
      </c>
      <c r="CZ91" s="645">
        <f t="shared" si="167"/>
        <v>22061.815884704483</v>
      </c>
      <c r="DA91" s="646">
        <f t="shared" si="247"/>
        <v>-17.318605588262692</v>
      </c>
      <c r="DB91" s="647">
        <f t="shared" si="168"/>
        <v>22044.497279116222</v>
      </c>
      <c r="DC91" s="644">
        <f t="shared" si="248"/>
        <v>0</v>
      </c>
      <c r="DD91" s="645">
        <f t="shared" si="249"/>
        <v>22044.497279116222</v>
      </c>
      <c r="DE91" s="646">
        <f t="shared" si="250"/>
        <v>-1.4935140246494633E-2</v>
      </c>
      <c r="DF91" s="647">
        <f t="shared" si="169"/>
        <v>22044.482343975975</v>
      </c>
      <c r="DG91" s="644">
        <f t="shared" si="251"/>
        <v>0</v>
      </c>
      <c r="DH91" s="645">
        <f t="shared" si="252"/>
        <v>22044.482343975975</v>
      </c>
      <c r="DI91" s="646">
        <f t="shared" si="253"/>
        <v>0</v>
      </c>
      <c r="DJ91" s="647">
        <f t="shared" si="170"/>
        <v>22044.482343975975</v>
      </c>
      <c r="DK91" s="644">
        <f t="shared" si="254"/>
        <v>0</v>
      </c>
      <c r="DL91" s="645">
        <f t="shared" si="255"/>
        <v>22044.482343975975</v>
      </c>
      <c r="DM91" s="646">
        <f t="shared" si="256"/>
        <v>0</v>
      </c>
      <c r="DN91" s="647">
        <f t="shared" si="171"/>
        <v>22044.482343975975</v>
      </c>
      <c r="DR91" s="827">
        <f t="shared" si="172"/>
        <v>144698.46377757544</v>
      </c>
      <c r="DV91" s="828">
        <f>IFERROR(VLOOKUP($B91,'Afton FY16 Final'!$A$5:$BV$587,'Afton FY16 Final'!$BV$587,0),0)</f>
        <v>162476.92820596823</v>
      </c>
      <c r="DX91" s="636">
        <f t="shared" si="137"/>
        <v>0</v>
      </c>
      <c r="DY91" s="637">
        <f t="shared" si="138"/>
        <v>0</v>
      </c>
      <c r="DZ91" s="637">
        <f t="shared" si="139"/>
        <v>0</v>
      </c>
      <c r="EA91" s="643">
        <f t="shared" si="140"/>
        <v>0</v>
      </c>
      <c r="EB91" s="637">
        <f t="shared" si="173"/>
        <v>0</v>
      </c>
      <c r="EC91" s="637">
        <f t="shared" si="174"/>
        <v>0</v>
      </c>
      <c r="ED91" s="637">
        <f t="shared" si="175"/>
        <v>0</v>
      </c>
      <c r="EE91" s="643">
        <f t="shared" si="176"/>
        <v>0</v>
      </c>
      <c r="EF91" s="637">
        <f t="shared" si="177"/>
        <v>0</v>
      </c>
      <c r="EG91" s="637">
        <f t="shared" si="178"/>
        <v>0</v>
      </c>
      <c r="EH91" s="637">
        <f t="shared" si="179"/>
        <v>0</v>
      </c>
      <c r="EI91" s="643">
        <f t="shared" si="180"/>
        <v>0</v>
      </c>
      <c r="EJ91" s="637">
        <f t="shared" si="181"/>
        <v>0</v>
      </c>
      <c r="EK91" s="637">
        <f t="shared" si="182"/>
        <v>0</v>
      </c>
      <c r="EL91" s="637">
        <f t="shared" si="183"/>
        <v>0</v>
      </c>
      <c r="EM91" s="643">
        <f t="shared" si="184"/>
        <v>0</v>
      </c>
      <c r="EN91" s="637">
        <f t="shared" si="185"/>
        <v>0</v>
      </c>
      <c r="EO91" s="637">
        <f t="shared" si="186"/>
        <v>0</v>
      </c>
      <c r="EP91" s="637">
        <f t="shared" si="187"/>
        <v>0</v>
      </c>
      <c r="EQ91" s="643">
        <f t="shared" si="188"/>
        <v>0</v>
      </c>
      <c r="ER91" s="637">
        <f t="shared" si="189"/>
        <v>0</v>
      </c>
      <c r="ES91" s="637">
        <f t="shared" si="190"/>
        <v>0</v>
      </c>
      <c r="ET91" s="637">
        <f t="shared" si="191"/>
        <v>0</v>
      </c>
      <c r="EU91" s="643">
        <f t="shared" si="141"/>
        <v>0</v>
      </c>
      <c r="EV91" s="643">
        <f t="shared" si="142"/>
        <v>0</v>
      </c>
      <c r="EX91" s="829">
        <f t="shared" si="143"/>
        <v>0</v>
      </c>
      <c r="EY91" s="638">
        <f t="shared" si="144"/>
        <v>144698.46377757544</v>
      </c>
      <c r="FC91" s="830" t="str">
        <f t="shared" si="192"/>
        <v>N</v>
      </c>
      <c r="FE91" s="830" t="str">
        <f>IFERROR(VLOOKUP($B91,'Historical Conc Grant Elig'!$B$3:$J$707,'HH &amp; SI'!FE$2,0),"N")</f>
        <v>N</v>
      </c>
      <c r="FF91" s="830" t="str">
        <f>IFERROR(VLOOKUP($B91,'Historical Conc Grant Elig'!$B$3:$J$707,'HH &amp; SI'!FF$2,0),"N")</f>
        <v>N</v>
      </c>
      <c r="FG91" s="830" t="str">
        <f>IFERROR(VLOOKUP($B91,'Historical Conc Grant Elig'!$B$3:$J$707,'HH &amp; SI'!FG$2,0),"N")</f>
        <v>N</v>
      </c>
      <c r="FH91" s="830" t="str">
        <f>IFERROR(VLOOKUP($B91,'Historical Conc Grant Elig'!$B$3:$J$707,'HH &amp; SI'!FH$2,0),"N")</f>
        <v>N</v>
      </c>
      <c r="FI91" s="830" t="str">
        <f>IFERROR(VLOOKUP($B91,'Historical Conc Grant Elig'!$B$3:$J$707,'HH &amp; SI'!FI$2,0),"N")</f>
        <v>N</v>
      </c>
      <c r="FJ91" s="830" t="str">
        <f>IFERROR(VLOOKUP($B91,'Historical Conc Grant Elig'!$B$3:$J$707,'HH &amp; SI'!FJ$2,0),"N")</f>
        <v>N</v>
      </c>
      <c r="FK91" s="830" t="str">
        <f>IFERROR(VLOOKUP($B91,'Historical Conc Grant Elig'!$B$3:$J$707,'HH &amp; SI'!FK$2,0),"N")</f>
        <v>N</v>
      </c>
      <c r="FL91" s="957" t="str">
        <f>IFERROR(VLOOKUP($B91,'Historical Conc Grant Elig'!$B$3:$J$707,'HH &amp; SI'!FL$2,0),"N")</f>
        <v>N</v>
      </c>
    </row>
    <row r="92" spans="2:168" x14ac:dyDescent="0.25">
      <c r="B92" s="634">
        <v>70363000</v>
      </c>
      <c r="C92" s="635" t="str">
        <f>VLOOKUP($B92,'Afton Update'!$A$5:$CR$582,'Afton Update'!D$589,0)</f>
        <v>Aguila Elementary District</v>
      </c>
      <c r="D92" s="636">
        <f>IFERROR(VLOOKUP($B92,'Afton FY16 Final'!$A$5:$BV$587,'Afton FY16 Final'!AQ$587,0),0)</f>
        <v>42168.418979085531</v>
      </c>
      <c r="E92" s="637">
        <f>IFERROR(VLOOKUP($B92,'Afton FY16 Final'!$A$5:$BV$587,'Afton FY16 Final'!AR$587,0),0)</f>
        <v>11936.285949167801</v>
      </c>
      <c r="F92" s="637">
        <f>IFERROR(VLOOKUP($B92,'Afton FY16 Final'!$A$5:$BV$587,'Afton FY16 Final'!AS$587,0),0)</f>
        <v>18180.827130966311</v>
      </c>
      <c r="G92" s="637">
        <f>IFERROR(VLOOKUP($B92,'Afton FY16 Final'!$A$5:$BV$587,'Afton FY16 Final'!AT$587,0),0)</f>
        <v>16699.280544392295</v>
      </c>
      <c r="H92" s="638">
        <f>IFERROR(VLOOKUP($B92,'Afton FY16 Final'!$A$5:$BV$587,'Afton FY16 Final'!AU$587,0),0)</f>
        <v>88984.812603611936</v>
      </c>
      <c r="I92" s="639" t="str">
        <f>VLOOKUP($B92,'Afton Update'!$A$5:$CR$582,'Afton Update'!BT$589,0)</f>
        <v>Y</v>
      </c>
      <c r="J92" s="640" t="str">
        <f>VLOOKUP($B92,'Afton Update'!$A$5:$CR$582,'Afton Update'!BU$589,0)</f>
        <v>Y</v>
      </c>
      <c r="K92" s="640" t="str">
        <f>VLOOKUP($B92,'Afton Update'!$A$5:$CR$582,'Afton Update'!BV$589,0)</f>
        <v>Y</v>
      </c>
      <c r="L92" s="641" t="str">
        <f>VLOOKUP($B92,'Afton Update'!$A$5:$CR$582,'Afton Update'!BW$589,0)</f>
        <v>Y</v>
      </c>
      <c r="N92" s="642">
        <f>VLOOKUP($B92,'Afton Update'!$A$5:$CR$582,'Afton Update'!CB$589,0)</f>
        <v>0.95</v>
      </c>
      <c r="P92" s="636">
        <f>VLOOKUP($B92,'Afton Update'!$A$5:$CR$582,'Afton Update'!AH$589,0)</f>
        <v>40128.188080439388</v>
      </c>
      <c r="Q92" s="637">
        <f>VLOOKUP($B92,'Afton Update'!$A$5:$CR$582,'Afton Update'!AI$589,0)</f>
        <v>11922.663397619994</v>
      </c>
      <c r="R92" s="637">
        <f>VLOOKUP($B92,'Afton Update'!$A$5:$CR$582,'Afton Update'!AJ$589,0)</f>
        <v>24595.990664587152</v>
      </c>
      <c r="S92" s="637">
        <f>VLOOKUP($B92,'Afton Update'!$A$5:$CR$582,'Afton Update'!AK$589,0)</f>
        <v>23739.466254094044</v>
      </c>
      <c r="T92" s="643">
        <f t="shared" si="145"/>
        <v>100386.30839674058</v>
      </c>
      <c r="V92" s="636">
        <f t="shared" si="193"/>
        <v>40059.998030131253</v>
      </c>
      <c r="W92" s="637">
        <f t="shared" si="194"/>
        <v>11529.974455695532</v>
      </c>
      <c r="X92" s="637">
        <f t="shared" si="195"/>
        <v>24372.29973263419</v>
      </c>
      <c r="Y92" s="637">
        <f t="shared" si="196"/>
        <v>23477.900069196061</v>
      </c>
      <c r="Z92" s="643">
        <f t="shared" si="197"/>
        <v>99440.172287657042</v>
      </c>
      <c r="AB92" s="644">
        <f t="shared" si="146"/>
        <v>40128.188080439388</v>
      </c>
      <c r="AC92" s="645">
        <f t="shared" si="134"/>
        <v>40059.998030131253</v>
      </c>
      <c r="AD92" s="644">
        <f t="shared" si="198"/>
        <v>0</v>
      </c>
      <c r="AE92" s="645">
        <f t="shared" si="199"/>
        <v>40128.188080439388</v>
      </c>
      <c r="AF92" s="646">
        <f t="shared" si="200"/>
        <v>-497.41904678766326</v>
      </c>
      <c r="AG92" s="647">
        <f t="shared" si="201"/>
        <v>39630.769033651726</v>
      </c>
      <c r="AH92" s="644">
        <f t="shared" si="147"/>
        <v>-429.22899647952727</v>
      </c>
      <c r="AI92" s="645">
        <f t="shared" si="148"/>
        <v>0</v>
      </c>
      <c r="AJ92" s="646">
        <f t="shared" si="202"/>
        <v>0</v>
      </c>
      <c r="AK92" s="647">
        <f t="shared" si="149"/>
        <v>40059.998030131253</v>
      </c>
      <c r="AL92" s="644">
        <f t="shared" si="203"/>
        <v>0</v>
      </c>
      <c r="AM92" s="645">
        <f t="shared" si="204"/>
        <v>0</v>
      </c>
      <c r="AN92" s="646">
        <f t="shared" si="205"/>
        <v>0</v>
      </c>
      <c r="AO92" s="647">
        <f t="shared" si="150"/>
        <v>40059.998030131253</v>
      </c>
      <c r="AP92" s="644">
        <f t="shared" si="206"/>
        <v>0</v>
      </c>
      <c r="AQ92" s="645">
        <f t="shared" si="207"/>
        <v>0</v>
      </c>
      <c r="AR92" s="646">
        <f t="shared" si="208"/>
        <v>0</v>
      </c>
      <c r="AS92" s="647">
        <f t="shared" si="151"/>
        <v>40059.998030131253</v>
      </c>
      <c r="AT92" s="644">
        <f t="shared" si="209"/>
        <v>0</v>
      </c>
      <c r="AU92" s="645">
        <f t="shared" si="210"/>
        <v>0</v>
      </c>
      <c r="AV92" s="646">
        <f t="shared" si="211"/>
        <v>0</v>
      </c>
      <c r="AW92" s="647">
        <f t="shared" si="152"/>
        <v>40059.998030131253</v>
      </c>
      <c r="AY92" s="644">
        <f t="shared" si="212"/>
        <v>11922.663397619994</v>
      </c>
      <c r="AZ92" s="645">
        <f t="shared" si="153"/>
        <v>11339.471651709411</v>
      </c>
      <c r="BA92" s="644">
        <f t="shared" si="213"/>
        <v>0</v>
      </c>
      <c r="BB92" s="645">
        <f t="shared" si="214"/>
        <v>11922.663397619994</v>
      </c>
      <c r="BC92" s="646">
        <f t="shared" si="215"/>
        <v>-85.739347119376177</v>
      </c>
      <c r="BD92" s="647">
        <f t="shared" si="216"/>
        <v>11836.924050500618</v>
      </c>
      <c r="BE92" s="644">
        <f t="shared" si="154"/>
        <v>0</v>
      </c>
      <c r="BF92" s="645">
        <f t="shared" si="155"/>
        <v>11836.924050500618</v>
      </c>
      <c r="BG92" s="646">
        <f t="shared" si="217"/>
        <v>-281.94588448575337</v>
      </c>
      <c r="BH92" s="647">
        <f t="shared" si="156"/>
        <v>11554.978166014866</v>
      </c>
      <c r="BI92" s="644">
        <f t="shared" si="218"/>
        <v>0</v>
      </c>
      <c r="BJ92" s="645">
        <f t="shared" si="219"/>
        <v>11554.978166014866</v>
      </c>
      <c r="BK92" s="646">
        <f t="shared" si="220"/>
        <v>-24.476157696556307</v>
      </c>
      <c r="BL92" s="647">
        <f t="shared" si="157"/>
        <v>11530.50200831831</v>
      </c>
      <c r="BM92" s="644">
        <f t="shared" si="221"/>
        <v>0</v>
      </c>
      <c r="BN92" s="645">
        <f t="shared" si="222"/>
        <v>11530.50200831831</v>
      </c>
      <c r="BO92" s="646">
        <f t="shared" si="223"/>
        <v>-0.5275526227780083</v>
      </c>
      <c r="BP92" s="647">
        <f t="shared" si="158"/>
        <v>11529.974455695532</v>
      </c>
      <c r="BQ92" s="644">
        <f t="shared" si="224"/>
        <v>0</v>
      </c>
      <c r="BR92" s="645">
        <f t="shared" si="225"/>
        <v>11529.974455695532</v>
      </c>
      <c r="BS92" s="646">
        <f t="shared" si="226"/>
        <v>0</v>
      </c>
      <c r="BT92" s="647">
        <f t="shared" si="159"/>
        <v>11529.974455695532</v>
      </c>
      <c r="BU92" s="662">
        <f>VLOOKUP(B92,'Afton Update'!$A$5:$AR$582,'Afton Update'!$AO$589,0)-BT92</f>
        <v>0</v>
      </c>
      <c r="BV92" s="644">
        <f t="shared" si="227"/>
        <v>24595.990664587152</v>
      </c>
      <c r="BW92" s="645">
        <f t="shared" si="135"/>
        <v>17271.785774417993</v>
      </c>
      <c r="BX92" s="644">
        <f t="shared" si="228"/>
        <v>0</v>
      </c>
      <c r="BY92" s="645">
        <f t="shared" si="229"/>
        <v>24595.990664587152</v>
      </c>
      <c r="BZ92" s="646">
        <f t="shared" si="230"/>
        <v>-215.88162507959507</v>
      </c>
      <c r="CA92" s="647">
        <f t="shared" si="231"/>
        <v>24380.109039507559</v>
      </c>
      <c r="CB92" s="644">
        <f t="shared" si="160"/>
        <v>0</v>
      </c>
      <c r="CC92" s="645">
        <f t="shared" si="161"/>
        <v>24380.109039507559</v>
      </c>
      <c r="CD92" s="646">
        <f t="shared" si="232"/>
        <v>-7.8093068733686986</v>
      </c>
      <c r="CE92" s="647">
        <f t="shared" si="162"/>
        <v>24372.29973263419</v>
      </c>
      <c r="CF92" s="644">
        <f t="shared" si="233"/>
        <v>0</v>
      </c>
      <c r="CG92" s="645">
        <f t="shared" si="234"/>
        <v>24372.29973263419</v>
      </c>
      <c r="CH92" s="646">
        <f t="shared" si="235"/>
        <v>0</v>
      </c>
      <c r="CI92" s="647">
        <f t="shared" si="163"/>
        <v>24372.29973263419</v>
      </c>
      <c r="CJ92" s="644">
        <f t="shared" si="236"/>
        <v>0</v>
      </c>
      <c r="CK92" s="645">
        <f t="shared" si="237"/>
        <v>24372.29973263419</v>
      </c>
      <c r="CL92" s="646">
        <f t="shared" si="238"/>
        <v>0</v>
      </c>
      <c r="CM92" s="647">
        <f t="shared" si="164"/>
        <v>24372.29973263419</v>
      </c>
      <c r="CN92" s="644">
        <f t="shared" si="239"/>
        <v>0</v>
      </c>
      <c r="CO92" s="645">
        <f t="shared" si="240"/>
        <v>24372.29973263419</v>
      </c>
      <c r="CP92" s="646">
        <f t="shared" si="241"/>
        <v>0</v>
      </c>
      <c r="CQ92" s="647">
        <f t="shared" si="165"/>
        <v>24372.29973263419</v>
      </c>
      <c r="CS92" s="644">
        <f t="shared" si="242"/>
        <v>23739.466254094044</v>
      </c>
      <c r="CT92" s="645">
        <f t="shared" si="136"/>
        <v>15864.31651717268</v>
      </c>
      <c r="CU92" s="644">
        <f t="shared" si="243"/>
        <v>0</v>
      </c>
      <c r="CV92" s="645">
        <f t="shared" si="244"/>
        <v>23739.466254094044</v>
      </c>
      <c r="CW92" s="646">
        <f t="shared" si="245"/>
        <v>-243.10555013599455</v>
      </c>
      <c r="CX92" s="647">
        <f t="shared" si="246"/>
        <v>23496.360703958049</v>
      </c>
      <c r="CY92" s="644">
        <f t="shared" si="166"/>
        <v>0</v>
      </c>
      <c r="CZ92" s="645">
        <f t="shared" si="167"/>
        <v>23496.360703958049</v>
      </c>
      <c r="DA92" s="646">
        <f t="shared" si="247"/>
        <v>-18.444728481009825</v>
      </c>
      <c r="DB92" s="647">
        <f t="shared" si="168"/>
        <v>23477.915975477041</v>
      </c>
      <c r="DC92" s="644">
        <f t="shared" si="248"/>
        <v>0</v>
      </c>
      <c r="DD92" s="645">
        <f t="shared" si="249"/>
        <v>23477.915975477041</v>
      </c>
      <c r="DE92" s="646">
        <f t="shared" si="250"/>
        <v>-1.5906280980213131E-2</v>
      </c>
      <c r="DF92" s="647">
        <f t="shared" si="169"/>
        <v>23477.900069196061</v>
      </c>
      <c r="DG92" s="644">
        <f t="shared" si="251"/>
        <v>0</v>
      </c>
      <c r="DH92" s="645">
        <f t="shared" si="252"/>
        <v>23477.900069196061</v>
      </c>
      <c r="DI92" s="646">
        <f t="shared" si="253"/>
        <v>0</v>
      </c>
      <c r="DJ92" s="647">
        <f t="shared" si="170"/>
        <v>23477.900069196061</v>
      </c>
      <c r="DK92" s="644">
        <f t="shared" si="254"/>
        <v>0</v>
      </c>
      <c r="DL92" s="645">
        <f t="shared" si="255"/>
        <v>23477.900069196061</v>
      </c>
      <c r="DM92" s="646">
        <f t="shared" si="256"/>
        <v>0</v>
      </c>
      <c r="DN92" s="647">
        <f t="shared" si="171"/>
        <v>23477.900069196061</v>
      </c>
      <c r="DR92" s="827">
        <f t="shared" si="172"/>
        <v>99440.172287657042</v>
      </c>
      <c r="DV92" s="828">
        <f>IFERROR(VLOOKUP($B92,'Afton FY16 Final'!$A$5:$BV$587,'Afton FY16 Final'!$BV$587,0),0)</f>
        <v>87232.701658183476</v>
      </c>
      <c r="DX92" s="636">
        <f t="shared" si="137"/>
        <v>99440.172287657042</v>
      </c>
      <c r="DY92" s="637">
        <f t="shared" si="138"/>
        <v>12207.470629473566</v>
      </c>
      <c r="DZ92" s="637">
        <f t="shared" si="139"/>
        <v>87232.701658183476</v>
      </c>
      <c r="EA92" s="643">
        <f t="shared" si="140"/>
        <v>94151.069587835402</v>
      </c>
      <c r="EB92" s="637">
        <f t="shared" si="173"/>
        <v>0</v>
      </c>
      <c r="EC92" s="637">
        <f t="shared" si="174"/>
        <v>94151.069587835402</v>
      </c>
      <c r="ED92" s="637">
        <f t="shared" si="175"/>
        <v>93870.316719870752</v>
      </c>
      <c r="EE92" s="643">
        <f t="shared" si="176"/>
        <v>93870.316719870752</v>
      </c>
      <c r="EF92" s="637">
        <f t="shared" si="177"/>
        <v>0</v>
      </c>
      <c r="EG92" s="637">
        <f t="shared" si="178"/>
        <v>93870.316719870752</v>
      </c>
      <c r="EH92" s="637">
        <f t="shared" si="179"/>
        <v>93870.219877529016</v>
      </c>
      <c r="EI92" s="643">
        <f t="shared" si="180"/>
        <v>93870.219877529016</v>
      </c>
      <c r="EJ92" s="637">
        <f t="shared" si="181"/>
        <v>0</v>
      </c>
      <c r="EK92" s="637">
        <f t="shared" si="182"/>
        <v>93870.219877529016</v>
      </c>
      <c r="EL92" s="637">
        <f t="shared" si="183"/>
        <v>93870.219877528885</v>
      </c>
      <c r="EM92" s="643">
        <f t="shared" si="184"/>
        <v>93870.219877528885</v>
      </c>
      <c r="EN92" s="637">
        <f t="shared" si="185"/>
        <v>0</v>
      </c>
      <c r="EO92" s="637">
        <f t="shared" si="186"/>
        <v>93870.219877528885</v>
      </c>
      <c r="EP92" s="637">
        <f t="shared" si="187"/>
        <v>93870.219877529031</v>
      </c>
      <c r="EQ92" s="643">
        <f t="shared" si="188"/>
        <v>93870.219877529031</v>
      </c>
      <c r="ER92" s="637">
        <f t="shared" si="189"/>
        <v>0</v>
      </c>
      <c r="ES92" s="637">
        <f t="shared" si="190"/>
        <v>93870.219877529031</v>
      </c>
      <c r="ET92" s="637">
        <f t="shared" si="191"/>
        <v>93870.219877528885</v>
      </c>
      <c r="EU92" s="643">
        <f t="shared" si="141"/>
        <v>93870.219877528885</v>
      </c>
      <c r="EV92" s="643">
        <f t="shared" si="142"/>
        <v>0</v>
      </c>
      <c r="EX92" s="829">
        <f t="shared" si="143"/>
        <v>5569.9524101281568</v>
      </c>
      <c r="EY92" s="638">
        <f t="shared" si="144"/>
        <v>93870.219877528885</v>
      </c>
      <c r="FC92" s="830" t="str">
        <f t="shared" si="192"/>
        <v>Y</v>
      </c>
      <c r="FE92" s="830" t="str">
        <f>IFERROR(VLOOKUP($B92,'Historical Conc Grant Elig'!$B$3:$J$707,'HH &amp; SI'!FE$2,0),"N")</f>
        <v>Y</v>
      </c>
      <c r="FF92" s="830" t="str">
        <f>IFERROR(VLOOKUP($B92,'Historical Conc Grant Elig'!$B$3:$J$707,'HH &amp; SI'!FF$2,0),"N")</f>
        <v>Y</v>
      </c>
      <c r="FG92" s="830" t="str">
        <f>IFERROR(VLOOKUP($B92,'Historical Conc Grant Elig'!$B$3:$J$707,'HH &amp; SI'!FG$2,0),"N")</f>
        <v>Y</v>
      </c>
      <c r="FH92" s="830" t="str">
        <f>IFERROR(VLOOKUP($B92,'Historical Conc Grant Elig'!$B$3:$J$707,'HH &amp; SI'!FH$2,0),"N")</f>
        <v>Y</v>
      </c>
      <c r="FI92" s="830" t="str">
        <f>IFERROR(VLOOKUP($B92,'Historical Conc Grant Elig'!$B$3:$J$707,'HH &amp; SI'!FI$2,0),"N")</f>
        <v>Y</v>
      </c>
      <c r="FJ92" s="830" t="str">
        <f>IFERROR(VLOOKUP($B92,'Historical Conc Grant Elig'!$B$3:$J$707,'HH &amp; SI'!FJ$2,0),"N")</f>
        <v>Y</v>
      </c>
      <c r="FK92" s="830" t="str">
        <f>IFERROR(VLOOKUP($B92,'Historical Conc Grant Elig'!$B$3:$J$707,'HH &amp; SI'!FK$2,0),"N")</f>
        <v>Y</v>
      </c>
      <c r="FL92" s="957" t="str">
        <f>IFERROR(VLOOKUP($B92,'Historical Conc Grant Elig'!$B$3:$J$707,'HH &amp; SI'!FL$2,0),"N")</f>
        <v>Y</v>
      </c>
    </row>
    <row r="93" spans="2:168" x14ac:dyDescent="0.25">
      <c r="B93" s="634">
        <v>70371000</v>
      </c>
      <c r="C93" s="635" t="str">
        <f>VLOOKUP($B93,'Afton Update'!$A$5:$CR$582,'Afton Update'!D$589,0)</f>
        <v>Sentinel Elementary District</v>
      </c>
      <c r="D93" s="636">
        <f>IFERROR(VLOOKUP($B93,'Afton FY16 Final'!$A$5:$BV$587,'Afton FY16 Final'!AQ$587,0),0)</f>
        <v>0</v>
      </c>
      <c r="E93" s="637">
        <f>IFERROR(VLOOKUP($B93,'Afton FY16 Final'!$A$5:$BV$587,'Afton FY16 Final'!AR$587,0),0)</f>
        <v>1681.2474682996408</v>
      </c>
      <c r="F93" s="637">
        <f>IFERROR(VLOOKUP($B93,'Afton FY16 Final'!$A$5:$BV$587,'Afton FY16 Final'!AS$587,0),0)</f>
        <v>0</v>
      </c>
      <c r="G93" s="637">
        <f>IFERROR(VLOOKUP($B93,'Afton FY16 Final'!$A$5:$BV$587,'Afton FY16 Final'!AT$587,0),0)</f>
        <v>0</v>
      </c>
      <c r="H93" s="638">
        <f>IFERROR(VLOOKUP($B93,'Afton FY16 Final'!$A$5:$BV$587,'Afton FY16 Final'!AU$587,0),0)</f>
        <v>1681.2474682996408</v>
      </c>
      <c r="I93" s="639" t="str">
        <f>VLOOKUP($B93,'Afton Update'!$A$5:$CR$582,'Afton Update'!BT$589,0)</f>
        <v>N</v>
      </c>
      <c r="J93" s="640" t="str">
        <f>VLOOKUP($B93,'Afton Update'!$A$5:$CR$582,'Afton Update'!BU$589,0)</f>
        <v>N</v>
      </c>
      <c r="K93" s="640" t="str">
        <f>VLOOKUP($B93,'Afton Update'!$A$5:$CR$582,'Afton Update'!BV$589,0)</f>
        <v>N</v>
      </c>
      <c r="L93" s="641" t="str">
        <f>VLOOKUP($B93,'Afton Update'!$A$5:$CR$582,'Afton Update'!BW$589,0)</f>
        <v>N</v>
      </c>
      <c r="N93" s="642">
        <f>VLOOKUP($B93,'Afton Update'!$A$5:$CR$582,'Afton Update'!CB$589,0)</f>
        <v>0.9</v>
      </c>
      <c r="P93" s="636" t="str">
        <f>VLOOKUP($B93,'Afton Update'!$A$5:$CR$582,'Afton Update'!AH$589,0)</f>
        <v/>
      </c>
      <c r="Q93" s="637" t="str">
        <f>VLOOKUP($B93,'Afton Update'!$A$5:$CR$582,'Afton Update'!AI$589,0)</f>
        <v/>
      </c>
      <c r="R93" s="637" t="str">
        <f>VLOOKUP($B93,'Afton Update'!$A$5:$CR$582,'Afton Update'!AJ$589,0)</f>
        <v/>
      </c>
      <c r="S93" s="637" t="str">
        <f>VLOOKUP($B93,'Afton Update'!$A$5:$CR$582,'Afton Update'!AK$589,0)</f>
        <v/>
      </c>
      <c r="T93" s="643">
        <f t="shared" si="145"/>
        <v>0</v>
      </c>
      <c r="V93" s="636">
        <f t="shared" si="193"/>
        <v>0</v>
      </c>
      <c r="W93" s="637">
        <f t="shared" si="194"/>
        <v>0</v>
      </c>
      <c r="X93" s="637">
        <f t="shared" si="195"/>
        <v>0</v>
      </c>
      <c r="Y93" s="637">
        <f t="shared" si="196"/>
        <v>0</v>
      </c>
      <c r="Z93" s="643">
        <f t="shared" si="197"/>
        <v>0</v>
      </c>
      <c r="AB93" s="644">
        <f t="shared" si="146"/>
        <v>0</v>
      </c>
      <c r="AC93" s="645">
        <f t="shared" si="134"/>
        <v>0</v>
      </c>
      <c r="AD93" s="644">
        <f t="shared" si="198"/>
        <v>0</v>
      </c>
      <c r="AE93" s="645">
        <f t="shared" si="199"/>
        <v>0</v>
      </c>
      <c r="AF93" s="646">
        <f t="shared" si="200"/>
        <v>0</v>
      </c>
      <c r="AG93" s="647">
        <f t="shared" si="201"/>
        <v>0</v>
      </c>
      <c r="AH93" s="644">
        <f t="shared" si="147"/>
        <v>0</v>
      </c>
      <c r="AI93" s="645">
        <f t="shared" si="148"/>
        <v>0</v>
      </c>
      <c r="AJ93" s="646">
        <f t="shared" si="202"/>
        <v>0</v>
      </c>
      <c r="AK93" s="647">
        <f t="shared" si="149"/>
        <v>0</v>
      </c>
      <c r="AL93" s="644">
        <f t="shared" si="203"/>
        <v>0</v>
      </c>
      <c r="AM93" s="645">
        <f t="shared" si="204"/>
        <v>0</v>
      </c>
      <c r="AN93" s="646">
        <f t="shared" si="205"/>
        <v>0</v>
      </c>
      <c r="AO93" s="647">
        <f t="shared" si="150"/>
        <v>0</v>
      </c>
      <c r="AP93" s="644">
        <f t="shared" si="206"/>
        <v>0</v>
      </c>
      <c r="AQ93" s="645">
        <f t="shared" si="207"/>
        <v>0</v>
      </c>
      <c r="AR93" s="646">
        <f t="shared" si="208"/>
        <v>0</v>
      </c>
      <c r="AS93" s="647">
        <f t="shared" si="151"/>
        <v>0</v>
      </c>
      <c r="AT93" s="644">
        <f t="shared" si="209"/>
        <v>0</v>
      </c>
      <c r="AU93" s="645">
        <f t="shared" si="210"/>
        <v>0</v>
      </c>
      <c r="AV93" s="646">
        <f t="shared" si="211"/>
        <v>0</v>
      </c>
      <c r="AW93" s="647">
        <f t="shared" si="152"/>
        <v>0</v>
      </c>
      <c r="AY93" s="644">
        <f t="shared" si="212"/>
        <v>0</v>
      </c>
      <c r="AZ93" s="645">
        <f t="shared" si="153"/>
        <v>0</v>
      </c>
      <c r="BA93" s="644">
        <f t="shared" si="213"/>
        <v>0</v>
      </c>
      <c r="BB93" s="645">
        <f t="shared" si="214"/>
        <v>0</v>
      </c>
      <c r="BC93" s="646">
        <f t="shared" si="215"/>
        <v>0</v>
      </c>
      <c r="BD93" s="647">
        <f t="shared" si="216"/>
        <v>0</v>
      </c>
      <c r="BE93" s="644">
        <f t="shared" si="154"/>
        <v>0</v>
      </c>
      <c r="BF93" s="645">
        <f t="shared" si="155"/>
        <v>0</v>
      </c>
      <c r="BG93" s="646">
        <f t="shared" si="217"/>
        <v>0</v>
      </c>
      <c r="BH93" s="647">
        <f t="shared" si="156"/>
        <v>0</v>
      </c>
      <c r="BI93" s="644">
        <f t="shared" si="218"/>
        <v>0</v>
      </c>
      <c r="BJ93" s="645">
        <f t="shared" si="219"/>
        <v>0</v>
      </c>
      <c r="BK93" s="646">
        <f t="shared" si="220"/>
        <v>0</v>
      </c>
      <c r="BL93" s="647">
        <f t="shared" si="157"/>
        <v>0</v>
      </c>
      <c r="BM93" s="644">
        <f t="shared" si="221"/>
        <v>0</v>
      </c>
      <c r="BN93" s="645">
        <f t="shared" si="222"/>
        <v>0</v>
      </c>
      <c r="BO93" s="646">
        <f t="shared" si="223"/>
        <v>0</v>
      </c>
      <c r="BP93" s="647">
        <f t="shared" si="158"/>
        <v>0</v>
      </c>
      <c r="BQ93" s="644">
        <f t="shared" si="224"/>
        <v>0</v>
      </c>
      <c r="BR93" s="645">
        <f t="shared" si="225"/>
        <v>0</v>
      </c>
      <c r="BS93" s="646">
        <f t="shared" si="226"/>
        <v>0</v>
      </c>
      <c r="BT93" s="647">
        <f t="shared" si="159"/>
        <v>0</v>
      </c>
      <c r="BU93" s="662">
        <f>VLOOKUP(B93,'Afton Update'!$A$5:$AR$582,'Afton Update'!$AO$589,0)-BT93</f>
        <v>0</v>
      </c>
      <c r="BV93" s="644">
        <f t="shared" si="227"/>
        <v>0</v>
      </c>
      <c r="BW93" s="645">
        <f t="shared" si="135"/>
        <v>0</v>
      </c>
      <c r="BX93" s="644">
        <f t="shared" si="228"/>
        <v>0</v>
      </c>
      <c r="BY93" s="645">
        <f t="shared" si="229"/>
        <v>0</v>
      </c>
      <c r="BZ93" s="646">
        <f t="shared" si="230"/>
        <v>0</v>
      </c>
      <c r="CA93" s="647">
        <f t="shared" si="231"/>
        <v>0</v>
      </c>
      <c r="CB93" s="644">
        <f t="shared" si="160"/>
        <v>0</v>
      </c>
      <c r="CC93" s="645">
        <f t="shared" si="161"/>
        <v>0</v>
      </c>
      <c r="CD93" s="646">
        <f t="shared" si="232"/>
        <v>0</v>
      </c>
      <c r="CE93" s="647">
        <f t="shared" si="162"/>
        <v>0</v>
      </c>
      <c r="CF93" s="644">
        <f t="shared" si="233"/>
        <v>0</v>
      </c>
      <c r="CG93" s="645">
        <f t="shared" si="234"/>
        <v>0</v>
      </c>
      <c r="CH93" s="646">
        <f t="shared" si="235"/>
        <v>0</v>
      </c>
      <c r="CI93" s="647">
        <f t="shared" si="163"/>
        <v>0</v>
      </c>
      <c r="CJ93" s="644">
        <f t="shared" si="236"/>
        <v>0</v>
      </c>
      <c r="CK93" s="645">
        <f t="shared" si="237"/>
        <v>0</v>
      </c>
      <c r="CL93" s="646">
        <f t="shared" si="238"/>
        <v>0</v>
      </c>
      <c r="CM93" s="647">
        <f t="shared" si="164"/>
        <v>0</v>
      </c>
      <c r="CN93" s="644">
        <f t="shared" si="239"/>
        <v>0</v>
      </c>
      <c r="CO93" s="645">
        <f t="shared" si="240"/>
        <v>0</v>
      </c>
      <c r="CP93" s="646">
        <f t="shared" si="241"/>
        <v>0</v>
      </c>
      <c r="CQ93" s="647">
        <f t="shared" si="165"/>
        <v>0</v>
      </c>
      <c r="CS93" s="644">
        <f t="shared" si="242"/>
        <v>0</v>
      </c>
      <c r="CT93" s="645">
        <f t="shared" si="136"/>
        <v>0</v>
      </c>
      <c r="CU93" s="644">
        <f t="shared" si="243"/>
        <v>0</v>
      </c>
      <c r="CV93" s="645">
        <f t="shared" si="244"/>
        <v>0</v>
      </c>
      <c r="CW93" s="646">
        <f t="shared" si="245"/>
        <v>0</v>
      </c>
      <c r="CX93" s="647">
        <f t="shared" si="246"/>
        <v>0</v>
      </c>
      <c r="CY93" s="644">
        <f t="shared" si="166"/>
        <v>0</v>
      </c>
      <c r="CZ93" s="645">
        <f t="shared" si="167"/>
        <v>0</v>
      </c>
      <c r="DA93" s="646">
        <f t="shared" si="247"/>
        <v>0</v>
      </c>
      <c r="DB93" s="647">
        <f t="shared" si="168"/>
        <v>0</v>
      </c>
      <c r="DC93" s="644">
        <f t="shared" si="248"/>
        <v>0</v>
      </c>
      <c r="DD93" s="645">
        <f t="shared" si="249"/>
        <v>0</v>
      </c>
      <c r="DE93" s="646">
        <f t="shared" si="250"/>
        <v>0</v>
      </c>
      <c r="DF93" s="647">
        <f t="shared" si="169"/>
        <v>0</v>
      </c>
      <c r="DG93" s="644">
        <f t="shared" si="251"/>
        <v>0</v>
      </c>
      <c r="DH93" s="645">
        <f t="shared" si="252"/>
        <v>0</v>
      </c>
      <c r="DI93" s="646">
        <f t="shared" si="253"/>
        <v>0</v>
      </c>
      <c r="DJ93" s="647">
        <f t="shared" si="170"/>
        <v>0</v>
      </c>
      <c r="DK93" s="644">
        <f t="shared" si="254"/>
        <v>0</v>
      </c>
      <c r="DL93" s="645">
        <f t="shared" si="255"/>
        <v>0</v>
      </c>
      <c r="DM93" s="646">
        <f t="shared" si="256"/>
        <v>0</v>
      </c>
      <c r="DN93" s="647">
        <f t="shared" si="171"/>
        <v>0</v>
      </c>
      <c r="DR93" s="827">
        <f t="shared" si="172"/>
        <v>0</v>
      </c>
      <c r="DV93" s="828">
        <f>IFERROR(VLOOKUP($B93,'Afton FY16 Final'!$A$5:$BV$587,'Afton FY16 Final'!$BV$587,0),0)</f>
        <v>1648.1437059272503</v>
      </c>
      <c r="DX93" s="636">
        <f t="shared" si="137"/>
        <v>0</v>
      </c>
      <c r="DY93" s="637">
        <f t="shared" si="138"/>
        <v>0</v>
      </c>
      <c r="DZ93" s="637">
        <f t="shared" si="139"/>
        <v>0</v>
      </c>
      <c r="EA93" s="643">
        <f t="shared" si="140"/>
        <v>0</v>
      </c>
      <c r="EB93" s="637">
        <f t="shared" si="173"/>
        <v>0</v>
      </c>
      <c r="EC93" s="637">
        <f t="shared" si="174"/>
        <v>0</v>
      </c>
      <c r="ED93" s="637">
        <f t="shared" si="175"/>
        <v>0</v>
      </c>
      <c r="EE93" s="643">
        <f t="shared" si="176"/>
        <v>0</v>
      </c>
      <c r="EF93" s="637">
        <f t="shared" si="177"/>
        <v>0</v>
      </c>
      <c r="EG93" s="637">
        <f t="shared" si="178"/>
        <v>0</v>
      </c>
      <c r="EH93" s="637">
        <f t="shared" si="179"/>
        <v>0</v>
      </c>
      <c r="EI93" s="643">
        <f t="shared" si="180"/>
        <v>0</v>
      </c>
      <c r="EJ93" s="637">
        <f t="shared" si="181"/>
        <v>0</v>
      </c>
      <c r="EK93" s="637">
        <f t="shared" si="182"/>
        <v>0</v>
      </c>
      <c r="EL93" s="637">
        <f t="shared" si="183"/>
        <v>0</v>
      </c>
      <c r="EM93" s="643">
        <f t="shared" si="184"/>
        <v>0</v>
      </c>
      <c r="EN93" s="637">
        <f t="shared" si="185"/>
        <v>0</v>
      </c>
      <c r="EO93" s="637">
        <f t="shared" si="186"/>
        <v>0</v>
      </c>
      <c r="EP93" s="637">
        <f t="shared" si="187"/>
        <v>0</v>
      </c>
      <c r="EQ93" s="643">
        <f t="shared" si="188"/>
        <v>0</v>
      </c>
      <c r="ER93" s="637">
        <f t="shared" si="189"/>
        <v>0</v>
      </c>
      <c r="ES93" s="637">
        <f t="shared" si="190"/>
        <v>0</v>
      </c>
      <c r="ET93" s="637">
        <f t="shared" si="191"/>
        <v>0</v>
      </c>
      <c r="EU93" s="643">
        <f t="shared" si="141"/>
        <v>0</v>
      </c>
      <c r="EV93" s="643">
        <f t="shared" si="142"/>
        <v>0</v>
      </c>
      <c r="EX93" s="829">
        <f t="shared" si="143"/>
        <v>0</v>
      </c>
      <c r="EY93" s="638">
        <f t="shared" si="144"/>
        <v>0</v>
      </c>
      <c r="FC93" s="830" t="str">
        <f t="shared" si="192"/>
        <v>N</v>
      </c>
      <c r="FE93" s="830" t="str">
        <f>IFERROR(VLOOKUP($B93,'Historical Conc Grant Elig'!$B$3:$J$707,'HH &amp; SI'!FE$2,0),"N")</f>
        <v>Y</v>
      </c>
      <c r="FF93" s="830" t="str">
        <f>IFERROR(VLOOKUP($B93,'Historical Conc Grant Elig'!$B$3:$J$707,'HH &amp; SI'!FF$2,0),"N")</f>
        <v>Y</v>
      </c>
      <c r="FG93" s="830" t="str">
        <f>IFERROR(VLOOKUP($B93,'Historical Conc Grant Elig'!$B$3:$J$707,'HH &amp; SI'!FG$2,0),"N")</f>
        <v>Y</v>
      </c>
      <c r="FH93" s="830" t="str">
        <f>IFERROR(VLOOKUP($B93,'Historical Conc Grant Elig'!$B$3:$J$707,'HH &amp; SI'!FH$2,0),"N")</f>
        <v>N</v>
      </c>
      <c r="FI93" s="830" t="str">
        <f>IFERROR(VLOOKUP($B93,'Historical Conc Grant Elig'!$B$3:$J$707,'HH &amp; SI'!FI$2,0),"N")</f>
        <v>N</v>
      </c>
      <c r="FJ93" s="830" t="str">
        <f>IFERROR(VLOOKUP($B93,'Historical Conc Grant Elig'!$B$3:$J$707,'HH &amp; SI'!FJ$2,0),"N")</f>
        <v>N</v>
      </c>
      <c r="FK93" s="830" t="str">
        <f>IFERROR(VLOOKUP($B93,'Historical Conc Grant Elig'!$B$3:$J$707,'HH &amp; SI'!FK$2,0),"N")</f>
        <v>N</v>
      </c>
      <c r="FL93" s="957" t="str">
        <f>IFERROR(VLOOKUP($B93,'Historical Conc Grant Elig'!$B$3:$J$707,'HH &amp; SI'!FL$2,0),"N")</f>
        <v>N</v>
      </c>
    </row>
    <row r="94" spans="2:168" x14ac:dyDescent="0.25">
      <c r="B94" s="634">
        <v>70375000</v>
      </c>
      <c r="C94" s="635" t="str">
        <f>VLOOKUP($B94,'Afton Update'!$A$5:$CR$582,'Afton Update'!D$589,0)</f>
        <v>Morristown Elementary District</v>
      </c>
      <c r="D94" s="636">
        <f>IFERROR(VLOOKUP($B94,'Afton FY16 Final'!$A$5:$BV$587,'Afton FY16 Final'!AQ$587,0),0)</f>
        <v>24938.035326499696</v>
      </c>
      <c r="E94" s="637">
        <f>IFERROR(VLOOKUP($B94,'Afton FY16 Final'!$A$5:$BV$587,'Afton FY16 Final'!AR$587,0),0)</f>
        <v>7722.7568560568698</v>
      </c>
      <c r="F94" s="637">
        <f>IFERROR(VLOOKUP($B94,'Afton FY16 Final'!$A$5:$BV$587,'Afton FY16 Final'!AS$587,0),0)</f>
        <v>8579.2700955980508</v>
      </c>
      <c r="G94" s="637">
        <f>IFERROR(VLOOKUP($B94,'Afton FY16 Final'!$A$5:$BV$587,'Afton FY16 Final'!AT$587,0),0)</f>
        <v>5516.6765863650162</v>
      </c>
      <c r="H94" s="638">
        <f>IFERROR(VLOOKUP($B94,'Afton FY16 Final'!$A$5:$BV$587,'Afton FY16 Final'!AU$587,0),0)</f>
        <v>46756.738864519626</v>
      </c>
      <c r="I94" s="639" t="str">
        <f>VLOOKUP($B94,'Afton Update'!$A$5:$CR$582,'Afton Update'!BT$589,0)</f>
        <v>Y</v>
      </c>
      <c r="J94" s="640" t="str">
        <f>VLOOKUP($B94,'Afton Update'!$A$5:$CR$582,'Afton Update'!BU$589,0)</f>
        <v>N</v>
      </c>
      <c r="K94" s="640" t="str">
        <f>VLOOKUP($B94,'Afton Update'!$A$5:$CR$582,'Afton Update'!BV$589,0)</f>
        <v>Y</v>
      </c>
      <c r="L94" s="641" t="str">
        <f>VLOOKUP($B94,'Afton Update'!$A$5:$CR$582,'Afton Update'!BW$589,0)</f>
        <v>Y</v>
      </c>
      <c r="N94" s="642">
        <f>VLOOKUP($B94,'Afton Update'!$A$5:$CR$582,'Afton Update'!CB$589,0)</f>
        <v>0.85</v>
      </c>
      <c r="P94" s="636">
        <f>VLOOKUP($B94,'Afton Update'!$A$5:$CR$582,'Afton Update'!AH$589,0)</f>
        <v>21421.911448604413</v>
      </c>
      <c r="Q94" s="637" t="str">
        <f>VLOOKUP($B94,'Afton Update'!$A$5:$CR$582,'Afton Update'!AI$589,0)</f>
        <v/>
      </c>
      <c r="R94" s="637">
        <f>VLOOKUP($B94,'Afton Update'!$A$5:$CR$582,'Afton Update'!AJ$589,0)</f>
        <v>7380.8949259005203</v>
      </c>
      <c r="S94" s="637">
        <f>VLOOKUP($B94,'Afton Update'!$A$5:$CR$582,'Afton Update'!AK$589,0)</f>
        <v>4879.7698412459349</v>
      </c>
      <c r="T94" s="643">
        <f t="shared" si="145"/>
        <v>33682.576215750865</v>
      </c>
      <c r="V94" s="636">
        <f t="shared" si="193"/>
        <v>21197.330027524742</v>
      </c>
      <c r="W94" s="637">
        <f t="shared" si="194"/>
        <v>6564.3433276483393</v>
      </c>
      <c r="X94" s="637">
        <f t="shared" si="195"/>
        <v>7313.7685683109185</v>
      </c>
      <c r="Y94" s="637">
        <f t="shared" si="196"/>
        <v>4826.003561629821</v>
      </c>
      <c r="Z94" s="643">
        <f t="shared" si="197"/>
        <v>39901.445485113814</v>
      </c>
      <c r="AB94" s="644">
        <f t="shared" si="146"/>
        <v>21421.911448604413</v>
      </c>
      <c r="AC94" s="645">
        <f t="shared" si="134"/>
        <v>21197.330027524742</v>
      </c>
      <c r="AD94" s="644">
        <f t="shared" si="198"/>
        <v>0</v>
      </c>
      <c r="AE94" s="645">
        <f t="shared" si="199"/>
        <v>21421.911448604413</v>
      </c>
      <c r="AF94" s="646">
        <f t="shared" si="200"/>
        <v>-265.54069054338083</v>
      </c>
      <c r="AG94" s="647">
        <f t="shared" si="201"/>
        <v>21156.370758061032</v>
      </c>
      <c r="AH94" s="644">
        <f t="shared" si="147"/>
        <v>-40.95926946371037</v>
      </c>
      <c r="AI94" s="645">
        <f t="shared" si="148"/>
        <v>0</v>
      </c>
      <c r="AJ94" s="646">
        <f t="shared" si="202"/>
        <v>0</v>
      </c>
      <c r="AK94" s="647">
        <f t="shared" si="149"/>
        <v>21197.330027524742</v>
      </c>
      <c r="AL94" s="644">
        <f t="shared" si="203"/>
        <v>0</v>
      </c>
      <c r="AM94" s="645">
        <f t="shared" si="204"/>
        <v>0</v>
      </c>
      <c r="AN94" s="646">
        <f t="shared" si="205"/>
        <v>0</v>
      </c>
      <c r="AO94" s="647">
        <f t="shared" si="150"/>
        <v>21197.330027524742</v>
      </c>
      <c r="AP94" s="644">
        <f t="shared" si="206"/>
        <v>0</v>
      </c>
      <c r="AQ94" s="645">
        <f t="shared" si="207"/>
        <v>0</v>
      </c>
      <c r="AR94" s="646">
        <f t="shared" si="208"/>
        <v>0</v>
      </c>
      <c r="AS94" s="647">
        <f t="shared" si="151"/>
        <v>21197.330027524742</v>
      </c>
      <c r="AT94" s="644">
        <f t="shared" si="209"/>
        <v>0</v>
      </c>
      <c r="AU94" s="645">
        <f t="shared" si="210"/>
        <v>0</v>
      </c>
      <c r="AV94" s="646">
        <f t="shared" si="211"/>
        <v>0</v>
      </c>
      <c r="AW94" s="647">
        <f t="shared" si="152"/>
        <v>21197.330027524742</v>
      </c>
      <c r="AY94" s="644">
        <f t="shared" si="212"/>
        <v>0</v>
      </c>
      <c r="AZ94" s="645">
        <f t="shared" si="153"/>
        <v>6564.3433276483393</v>
      </c>
      <c r="BA94" s="644">
        <f t="shared" si="213"/>
        <v>0</v>
      </c>
      <c r="BB94" s="645">
        <f t="shared" si="214"/>
        <v>0</v>
      </c>
      <c r="BC94" s="646">
        <f t="shared" si="215"/>
        <v>0</v>
      </c>
      <c r="BD94" s="647">
        <f t="shared" si="216"/>
        <v>0</v>
      </c>
      <c r="BE94" s="644">
        <f t="shared" si="154"/>
        <v>-6564.3433276483393</v>
      </c>
      <c r="BF94" s="645">
        <f t="shared" si="155"/>
        <v>0</v>
      </c>
      <c r="BG94" s="646">
        <f t="shared" si="217"/>
        <v>0</v>
      </c>
      <c r="BH94" s="647">
        <f t="shared" si="156"/>
        <v>6564.3433276483393</v>
      </c>
      <c r="BI94" s="644">
        <f t="shared" si="218"/>
        <v>0</v>
      </c>
      <c r="BJ94" s="645">
        <f t="shared" si="219"/>
        <v>0</v>
      </c>
      <c r="BK94" s="646">
        <f t="shared" si="220"/>
        <v>0</v>
      </c>
      <c r="BL94" s="647">
        <f t="shared" si="157"/>
        <v>6564.3433276483393</v>
      </c>
      <c r="BM94" s="644">
        <f t="shared" si="221"/>
        <v>0</v>
      </c>
      <c r="BN94" s="645">
        <f t="shared" si="222"/>
        <v>0</v>
      </c>
      <c r="BO94" s="646">
        <f t="shared" si="223"/>
        <v>0</v>
      </c>
      <c r="BP94" s="647">
        <f t="shared" si="158"/>
        <v>6564.3433276483393</v>
      </c>
      <c r="BQ94" s="644">
        <f t="shared" si="224"/>
        <v>0</v>
      </c>
      <c r="BR94" s="645">
        <f t="shared" si="225"/>
        <v>0</v>
      </c>
      <c r="BS94" s="646">
        <f t="shared" si="226"/>
        <v>0</v>
      </c>
      <c r="BT94" s="647">
        <f t="shared" si="159"/>
        <v>6564.3433276483393</v>
      </c>
      <c r="BU94" s="662">
        <f>VLOOKUP(B94,'Afton Update'!$A$5:$AR$582,'Afton Update'!$AO$589,0)-BT94</f>
        <v>0</v>
      </c>
      <c r="BV94" s="644">
        <f t="shared" si="227"/>
        <v>7380.8949259005203</v>
      </c>
      <c r="BW94" s="645">
        <f t="shared" si="135"/>
        <v>7292.379581258343</v>
      </c>
      <c r="BX94" s="644">
        <f t="shared" si="228"/>
        <v>0</v>
      </c>
      <c r="BY94" s="645">
        <f t="shared" si="229"/>
        <v>7380.8949259005203</v>
      </c>
      <c r="BZ94" s="646">
        <f t="shared" si="230"/>
        <v>-64.782899492610767</v>
      </c>
      <c r="CA94" s="647">
        <f t="shared" si="231"/>
        <v>7316.11202640791</v>
      </c>
      <c r="CB94" s="644">
        <f t="shared" si="160"/>
        <v>0</v>
      </c>
      <c r="CC94" s="645">
        <f t="shared" si="161"/>
        <v>7316.11202640791</v>
      </c>
      <c r="CD94" s="646">
        <f t="shared" si="232"/>
        <v>-2.3434580969912142</v>
      </c>
      <c r="CE94" s="647">
        <f t="shared" si="162"/>
        <v>7313.7685683109185</v>
      </c>
      <c r="CF94" s="644">
        <f t="shared" si="233"/>
        <v>0</v>
      </c>
      <c r="CG94" s="645">
        <f t="shared" si="234"/>
        <v>7313.7685683109185</v>
      </c>
      <c r="CH94" s="646">
        <f t="shared" si="235"/>
        <v>0</v>
      </c>
      <c r="CI94" s="647">
        <f t="shared" si="163"/>
        <v>7313.7685683109185</v>
      </c>
      <c r="CJ94" s="644">
        <f t="shared" si="236"/>
        <v>0</v>
      </c>
      <c r="CK94" s="645">
        <f t="shared" si="237"/>
        <v>7313.7685683109185</v>
      </c>
      <c r="CL94" s="646">
        <f t="shared" si="238"/>
        <v>0</v>
      </c>
      <c r="CM94" s="647">
        <f t="shared" si="164"/>
        <v>7313.7685683109185</v>
      </c>
      <c r="CN94" s="644">
        <f t="shared" si="239"/>
        <v>0</v>
      </c>
      <c r="CO94" s="645">
        <f t="shared" si="240"/>
        <v>7313.7685683109185</v>
      </c>
      <c r="CP94" s="646">
        <f t="shared" si="241"/>
        <v>0</v>
      </c>
      <c r="CQ94" s="647">
        <f t="shared" si="165"/>
        <v>7313.7685683109185</v>
      </c>
      <c r="CS94" s="644">
        <f t="shared" si="242"/>
        <v>4879.7698412459349</v>
      </c>
      <c r="CT94" s="645">
        <f t="shared" si="136"/>
        <v>4689.1750984102637</v>
      </c>
      <c r="CU94" s="644">
        <f t="shared" si="243"/>
        <v>0</v>
      </c>
      <c r="CV94" s="645">
        <f t="shared" si="244"/>
        <v>4879.7698412459349</v>
      </c>
      <c r="CW94" s="646">
        <f t="shared" si="245"/>
        <v>-49.971600839532016</v>
      </c>
      <c r="CX94" s="647">
        <f t="shared" si="246"/>
        <v>4829.7982404064032</v>
      </c>
      <c r="CY94" s="644">
        <f t="shared" si="166"/>
        <v>0</v>
      </c>
      <c r="CZ94" s="645">
        <f t="shared" si="167"/>
        <v>4829.7982404064032</v>
      </c>
      <c r="DA94" s="646">
        <f t="shared" si="247"/>
        <v>-3.7914091584127125</v>
      </c>
      <c r="DB94" s="647">
        <f t="shared" si="168"/>
        <v>4826.0068312479907</v>
      </c>
      <c r="DC94" s="644">
        <f t="shared" si="248"/>
        <v>0</v>
      </c>
      <c r="DD94" s="645">
        <f t="shared" si="249"/>
        <v>4826.0068312479907</v>
      </c>
      <c r="DE94" s="646">
        <f t="shared" si="250"/>
        <v>-3.2696181701322752E-3</v>
      </c>
      <c r="DF94" s="647">
        <f t="shared" si="169"/>
        <v>4826.003561629821</v>
      </c>
      <c r="DG94" s="644">
        <f t="shared" si="251"/>
        <v>0</v>
      </c>
      <c r="DH94" s="645">
        <f t="shared" si="252"/>
        <v>4826.003561629821</v>
      </c>
      <c r="DI94" s="646">
        <f t="shared" si="253"/>
        <v>0</v>
      </c>
      <c r="DJ94" s="647">
        <f t="shared" si="170"/>
        <v>4826.003561629821</v>
      </c>
      <c r="DK94" s="644">
        <f t="shared" si="254"/>
        <v>0</v>
      </c>
      <c r="DL94" s="645">
        <f t="shared" si="255"/>
        <v>4826.003561629821</v>
      </c>
      <c r="DM94" s="646">
        <f t="shared" si="256"/>
        <v>0</v>
      </c>
      <c r="DN94" s="647">
        <f t="shared" si="171"/>
        <v>4826.003561629821</v>
      </c>
      <c r="DR94" s="827">
        <f t="shared" si="172"/>
        <v>39901.445485113814</v>
      </c>
      <c r="DV94" s="828">
        <f>IFERROR(VLOOKUP($B94,'Afton FY16 Final'!$A$5:$BV$587,'Afton FY16 Final'!$BV$587,0),0)</f>
        <v>41512.053200844879</v>
      </c>
      <c r="DX94" s="636">
        <f t="shared" si="137"/>
        <v>0</v>
      </c>
      <c r="DY94" s="637">
        <f t="shared" si="138"/>
        <v>0</v>
      </c>
      <c r="DZ94" s="637">
        <f t="shared" si="139"/>
        <v>0</v>
      </c>
      <c r="EA94" s="643">
        <f t="shared" si="140"/>
        <v>0</v>
      </c>
      <c r="EB94" s="637">
        <f t="shared" si="173"/>
        <v>0</v>
      </c>
      <c r="EC94" s="637">
        <f t="shared" si="174"/>
        <v>0</v>
      </c>
      <c r="ED94" s="637">
        <f t="shared" si="175"/>
        <v>0</v>
      </c>
      <c r="EE94" s="643">
        <f t="shared" si="176"/>
        <v>0</v>
      </c>
      <c r="EF94" s="637">
        <f t="shared" si="177"/>
        <v>0</v>
      </c>
      <c r="EG94" s="637">
        <f t="shared" si="178"/>
        <v>0</v>
      </c>
      <c r="EH94" s="637">
        <f t="shared" si="179"/>
        <v>0</v>
      </c>
      <c r="EI94" s="643">
        <f t="shared" si="180"/>
        <v>0</v>
      </c>
      <c r="EJ94" s="637">
        <f t="shared" si="181"/>
        <v>0</v>
      </c>
      <c r="EK94" s="637">
        <f t="shared" si="182"/>
        <v>0</v>
      </c>
      <c r="EL94" s="637">
        <f t="shared" si="183"/>
        <v>0</v>
      </c>
      <c r="EM94" s="643">
        <f t="shared" si="184"/>
        <v>0</v>
      </c>
      <c r="EN94" s="637">
        <f t="shared" si="185"/>
        <v>0</v>
      </c>
      <c r="EO94" s="637">
        <f t="shared" si="186"/>
        <v>0</v>
      </c>
      <c r="EP94" s="637">
        <f t="shared" si="187"/>
        <v>0</v>
      </c>
      <c r="EQ94" s="643">
        <f t="shared" si="188"/>
        <v>0</v>
      </c>
      <c r="ER94" s="637">
        <f t="shared" si="189"/>
        <v>0</v>
      </c>
      <c r="ES94" s="637">
        <f t="shared" si="190"/>
        <v>0</v>
      </c>
      <c r="ET94" s="637">
        <f t="shared" si="191"/>
        <v>0</v>
      </c>
      <c r="EU94" s="643">
        <f t="shared" si="141"/>
        <v>0</v>
      </c>
      <c r="EV94" s="643">
        <f t="shared" si="142"/>
        <v>0</v>
      </c>
      <c r="EX94" s="829">
        <f t="shared" si="143"/>
        <v>0</v>
      </c>
      <c r="EY94" s="638">
        <f t="shared" si="144"/>
        <v>39901.445485113814</v>
      </c>
      <c r="FC94" s="830" t="str">
        <f t="shared" si="192"/>
        <v>Y</v>
      </c>
      <c r="FE94" s="830" t="str">
        <f>IFERROR(VLOOKUP($B94,'Historical Conc Grant Elig'!$B$3:$J$707,'HH &amp; SI'!FE$2,0),"N")</f>
        <v>N</v>
      </c>
      <c r="FF94" s="830" t="str">
        <f>IFERROR(VLOOKUP($B94,'Historical Conc Grant Elig'!$B$3:$J$707,'HH &amp; SI'!FF$2,0),"N")</f>
        <v>N</v>
      </c>
      <c r="FG94" s="830" t="str">
        <f>IFERROR(VLOOKUP($B94,'Historical Conc Grant Elig'!$B$3:$J$707,'HH &amp; SI'!FG$2,0),"N")</f>
        <v>Y</v>
      </c>
      <c r="FH94" s="830" t="str">
        <f>IFERROR(VLOOKUP($B94,'Historical Conc Grant Elig'!$B$3:$J$707,'HH &amp; SI'!FH$2,0),"N")</f>
        <v>N</v>
      </c>
      <c r="FI94" s="830" t="str">
        <f>IFERROR(VLOOKUP($B94,'Historical Conc Grant Elig'!$B$3:$J$707,'HH &amp; SI'!FI$2,0),"N")</f>
        <v>Y</v>
      </c>
      <c r="FJ94" s="830" t="str">
        <f>IFERROR(VLOOKUP($B94,'Historical Conc Grant Elig'!$B$3:$J$707,'HH &amp; SI'!FJ$2,0),"N")</f>
        <v>N</v>
      </c>
      <c r="FK94" s="830" t="str">
        <f>IFERROR(VLOOKUP($B94,'Historical Conc Grant Elig'!$B$3:$J$707,'HH &amp; SI'!FK$2,0),"N")</f>
        <v>Y</v>
      </c>
      <c r="FL94" s="957" t="str">
        <f>IFERROR(VLOOKUP($B94,'Historical Conc Grant Elig'!$B$3:$J$707,'HH &amp; SI'!FL$2,0),"N")</f>
        <v>N</v>
      </c>
    </row>
    <row r="95" spans="2:168" x14ac:dyDescent="0.25">
      <c r="B95" s="634">
        <v>70381000</v>
      </c>
      <c r="C95" s="635" t="str">
        <f>VLOOKUP($B95,'Afton Update'!$A$5:$CR$582,'Afton Update'!D$589,0)</f>
        <v>Nadaburg Unified School District</v>
      </c>
      <c r="D95" s="636">
        <f>IFERROR(VLOOKUP($B95,'Afton FY16 Final'!$A$5:$BV$587,'Afton FY16 Final'!AQ$587,0),0)</f>
        <v>176520.45989096939</v>
      </c>
      <c r="E95" s="637">
        <f>IFERROR(VLOOKUP($B95,'Afton FY16 Final'!$A$5:$BV$587,'Afton FY16 Final'!AR$587,0),0)</f>
        <v>43056.598346997314</v>
      </c>
      <c r="F95" s="637">
        <f>IFERROR(VLOOKUP($B95,'Afton FY16 Final'!$A$5:$BV$587,'Afton FY16 Final'!AS$587,0),0)</f>
        <v>67126.11296306421</v>
      </c>
      <c r="G95" s="637">
        <f>IFERROR(VLOOKUP($B95,'Afton FY16 Final'!$A$5:$BV$587,'Afton FY16 Final'!AT$587,0),0)</f>
        <v>52555.406237772717</v>
      </c>
      <c r="H95" s="638">
        <f>IFERROR(VLOOKUP($B95,'Afton FY16 Final'!$A$5:$BV$587,'Afton FY16 Final'!AU$587,0),0)</f>
        <v>339258.57743880362</v>
      </c>
      <c r="I95" s="639" t="str">
        <f>VLOOKUP($B95,'Afton Update'!$A$5:$CR$582,'Afton Update'!BT$589,0)</f>
        <v>Y</v>
      </c>
      <c r="J95" s="640" t="str">
        <f>VLOOKUP($B95,'Afton Update'!$A$5:$CR$582,'Afton Update'!BU$589,0)</f>
        <v>N</v>
      </c>
      <c r="K95" s="640" t="str">
        <f>VLOOKUP($B95,'Afton Update'!$A$5:$CR$582,'Afton Update'!BV$589,0)</f>
        <v>Y</v>
      </c>
      <c r="L95" s="641" t="str">
        <f>VLOOKUP($B95,'Afton Update'!$A$5:$CR$582,'Afton Update'!BW$589,0)</f>
        <v>Y</v>
      </c>
      <c r="N95" s="642">
        <f>VLOOKUP($B95,'Afton Update'!$A$5:$CR$582,'Afton Update'!CB$589,0)</f>
        <v>0.85</v>
      </c>
      <c r="P95" s="636">
        <f>VLOOKUP($B95,'Afton Update'!$A$5:$CR$582,'Afton Update'!AH$589,0)</f>
        <v>160603.36268204189</v>
      </c>
      <c r="Q95" s="637" t="str">
        <f>VLOOKUP($B95,'Afton Update'!$A$5:$CR$582,'Afton Update'!AI$589,0)</f>
        <v/>
      </c>
      <c r="R95" s="637">
        <f>VLOOKUP($B95,'Afton Update'!$A$5:$CR$582,'Afton Update'!AJ$589,0)</f>
        <v>60993.701613600482</v>
      </c>
      <c r="S95" s="637">
        <f>VLOOKUP($B95,'Afton Update'!$A$5:$CR$582,'Afton Update'!AK$589,0)</f>
        <v>47687.539986320546</v>
      </c>
      <c r="T95" s="643">
        <f t="shared" si="145"/>
        <v>269284.60428196291</v>
      </c>
      <c r="V95" s="636">
        <f t="shared" si="193"/>
        <v>158412.62857325186</v>
      </c>
      <c r="W95" s="637">
        <f t="shared" si="194"/>
        <v>36598.108594947713</v>
      </c>
      <c r="X95" s="637">
        <f t="shared" si="195"/>
        <v>60438.987711515161</v>
      </c>
      <c r="Y95" s="637">
        <f t="shared" si="196"/>
        <v>47162.109137628198</v>
      </c>
      <c r="Z95" s="643">
        <f t="shared" si="197"/>
        <v>302611.83401734289</v>
      </c>
      <c r="AB95" s="644">
        <f t="shared" si="146"/>
        <v>160603.36268204189</v>
      </c>
      <c r="AC95" s="645">
        <f t="shared" si="134"/>
        <v>150042.39090732398</v>
      </c>
      <c r="AD95" s="644">
        <f t="shared" si="198"/>
        <v>0</v>
      </c>
      <c r="AE95" s="645">
        <f t="shared" si="199"/>
        <v>160603.36268204189</v>
      </c>
      <c r="AF95" s="646">
        <f t="shared" si="200"/>
        <v>-1990.7993706582506</v>
      </c>
      <c r="AG95" s="647">
        <f t="shared" si="201"/>
        <v>158612.56331138362</v>
      </c>
      <c r="AH95" s="644">
        <f t="shared" si="147"/>
        <v>0</v>
      </c>
      <c r="AI95" s="645">
        <f t="shared" si="148"/>
        <v>158612.56331138362</v>
      </c>
      <c r="AJ95" s="646">
        <f t="shared" si="202"/>
        <v>-199.80736032418937</v>
      </c>
      <c r="AK95" s="647">
        <f t="shared" si="149"/>
        <v>158412.75595105943</v>
      </c>
      <c r="AL95" s="644">
        <f t="shared" si="203"/>
        <v>0</v>
      </c>
      <c r="AM95" s="645">
        <f t="shared" si="204"/>
        <v>158412.75595105943</v>
      </c>
      <c r="AN95" s="646">
        <f t="shared" si="205"/>
        <v>-0.12737780757877462</v>
      </c>
      <c r="AO95" s="647">
        <f t="shared" si="150"/>
        <v>158412.62857325186</v>
      </c>
      <c r="AP95" s="644">
        <f t="shared" si="206"/>
        <v>0</v>
      </c>
      <c r="AQ95" s="645">
        <f t="shared" si="207"/>
        <v>158412.62857325186</v>
      </c>
      <c r="AR95" s="646">
        <f t="shared" si="208"/>
        <v>0</v>
      </c>
      <c r="AS95" s="647">
        <f t="shared" si="151"/>
        <v>158412.62857325186</v>
      </c>
      <c r="AT95" s="644">
        <f t="shared" si="209"/>
        <v>0</v>
      </c>
      <c r="AU95" s="645">
        <f t="shared" si="210"/>
        <v>158412.62857325186</v>
      </c>
      <c r="AV95" s="646">
        <f t="shared" si="211"/>
        <v>0</v>
      </c>
      <c r="AW95" s="647">
        <f t="shared" si="152"/>
        <v>158412.62857325186</v>
      </c>
      <c r="AY95" s="644">
        <f t="shared" si="212"/>
        <v>0</v>
      </c>
      <c r="AZ95" s="645">
        <f t="shared" si="153"/>
        <v>36598.108594947713</v>
      </c>
      <c r="BA95" s="644">
        <f t="shared" si="213"/>
        <v>0</v>
      </c>
      <c r="BB95" s="645">
        <f t="shared" si="214"/>
        <v>0</v>
      </c>
      <c r="BC95" s="646">
        <f t="shared" si="215"/>
        <v>0</v>
      </c>
      <c r="BD95" s="647">
        <f t="shared" si="216"/>
        <v>0</v>
      </c>
      <c r="BE95" s="644">
        <f t="shared" si="154"/>
        <v>-36598.108594947713</v>
      </c>
      <c r="BF95" s="645">
        <f t="shared" si="155"/>
        <v>0</v>
      </c>
      <c r="BG95" s="646">
        <f t="shared" si="217"/>
        <v>0</v>
      </c>
      <c r="BH95" s="647">
        <f t="shared" si="156"/>
        <v>36598.108594947713</v>
      </c>
      <c r="BI95" s="644">
        <f t="shared" si="218"/>
        <v>0</v>
      </c>
      <c r="BJ95" s="645">
        <f t="shared" si="219"/>
        <v>0</v>
      </c>
      <c r="BK95" s="646">
        <f t="shared" si="220"/>
        <v>0</v>
      </c>
      <c r="BL95" s="647">
        <f t="shared" si="157"/>
        <v>36598.108594947713</v>
      </c>
      <c r="BM95" s="644">
        <f t="shared" si="221"/>
        <v>0</v>
      </c>
      <c r="BN95" s="645">
        <f t="shared" si="222"/>
        <v>0</v>
      </c>
      <c r="BO95" s="646">
        <f t="shared" si="223"/>
        <v>0</v>
      </c>
      <c r="BP95" s="647">
        <f t="shared" si="158"/>
        <v>36598.108594947713</v>
      </c>
      <c r="BQ95" s="644">
        <f t="shared" si="224"/>
        <v>0</v>
      </c>
      <c r="BR95" s="645">
        <f t="shared" si="225"/>
        <v>0</v>
      </c>
      <c r="BS95" s="646">
        <f t="shared" si="226"/>
        <v>0</v>
      </c>
      <c r="BT95" s="647">
        <f t="shared" si="159"/>
        <v>36598.108594947713</v>
      </c>
      <c r="BU95" s="662">
        <f>VLOOKUP(B95,'Afton Update'!$A$5:$AR$582,'Afton Update'!$AO$589,0)-BT95</f>
        <v>0</v>
      </c>
      <c r="BV95" s="644">
        <f t="shared" si="227"/>
        <v>60993.701613600482</v>
      </c>
      <c r="BW95" s="645">
        <f t="shared" si="135"/>
        <v>57057.196018604576</v>
      </c>
      <c r="BX95" s="644">
        <f t="shared" si="228"/>
        <v>0</v>
      </c>
      <c r="BY95" s="645">
        <f t="shared" si="229"/>
        <v>60993.701613600482</v>
      </c>
      <c r="BZ95" s="646">
        <f t="shared" si="230"/>
        <v>-535.34820384048191</v>
      </c>
      <c r="CA95" s="647">
        <f t="shared" si="231"/>
        <v>60458.353409759999</v>
      </c>
      <c r="CB95" s="644">
        <f t="shared" si="160"/>
        <v>0</v>
      </c>
      <c r="CC95" s="645">
        <f t="shared" si="161"/>
        <v>60458.353409759999</v>
      </c>
      <c r="CD95" s="646">
        <f t="shared" si="232"/>
        <v>-19.365698244839724</v>
      </c>
      <c r="CE95" s="647">
        <f t="shared" si="162"/>
        <v>60438.987711515161</v>
      </c>
      <c r="CF95" s="644">
        <f t="shared" si="233"/>
        <v>0</v>
      </c>
      <c r="CG95" s="645">
        <f t="shared" si="234"/>
        <v>60438.987711515161</v>
      </c>
      <c r="CH95" s="646">
        <f t="shared" si="235"/>
        <v>0</v>
      </c>
      <c r="CI95" s="647">
        <f t="shared" si="163"/>
        <v>60438.987711515161</v>
      </c>
      <c r="CJ95" s="644">
        <f t="shared" si="236"/>
        <v>0</v>
      </c>
      <c r="CK95" s="645">
        <f t="shared" si="237"/>
        <v>60438.987711515161</v>
      </c>
      <c r="CL95" s="646">
        <f t="shared" si="238"/>
        <v>0</v>
      </c>
      <c r="CM95" s="647">
        <f t="shared" si="164"/>
        <v>60438.987711515161</v>
      </c>
      <c r="CN95" s="644">
        <f t="shared" si="239"/>
        <v>0</v>
      </c>
      <c r="CO95" s="645">
        <f t="shared" si="240"/>
        <v>60438.987711515161</v>
      </c>
      <c r="CP95" s="646">
        <f t="shared" si="241"/>
        <v>0</v>
      </c>
      <c r="CQ95" s="647">
        <f t="shared" si="165"/>
        <v>60438.987711515161</v>
      </c>
      <c r="CS95" s="644">
        <f t="shared" si="242"/>
        <v>47687.539986320546</v>
      </c>
      <c r="CT95" s="645">
        <f t="shared" si="136"/>
        <v>44672.095302106805</v>
      </c>
      <c r="CU95" s="644">
        <f t="shared" si="243"/>
        <v>0</v>
      </c>
      <c r="CV95" s="645">
        <f t="shared" si="244"/>
        <v>47687.539986320546</v>
      </c>
      <c r="CW95" s="646">
        <f t="shared" si="245"/>
        <v>-488.34735873673566</v>
      </c>
      <c r="CX95" s="647">
        <f t="shared" si="246"/>
        <v>47199.192627583812</v>
      </c>
      <c r="CY95" s="644">
        <f t="shared" si="166"/>
        <v>0</v>
      </c>
      <c r="CZ95" s="645">
        <f t="shared" si="167"/>
        <v>47199.192627583812</v>
      </c>
      <c r="DA95" s="646">
        <f t="shared" si="247"/>
        <v>-37.051537619271066</v>
      </c>
      <c r="DB95" s="647">
        <f t="shared" si="168"/>
        <v>47162.141089964542</v>
      </c>
      <c r="DC95" s="644">
        <f t="shared" si="248"/>
        <v>0</v>
      </c>
      <c r="DD95" s="645">
        <f t="shared" si="249"/>
        <v>47162.141089964542</v>
      </c>
      <c r="DE95" s="646">
        <f t="shared" si="250"/>
        <v>-3.1952336339775511E-2</v>
      </c>
      <c r="DF95" s="647">
        <f t="shared" si="169"/>
        <v>47162.109137628198</v>
      </c>
      <c r="DG95" s="644">
        <f t="shared" si="251"/>
        <v>0</v>
      </c>
      <c r="DH95" s="645">
        <f t="shared" si="252"/>
        <v>47162.109137628198</v>
      </c>
      <c r="DI95" s="646">
        <f t="shared" si="253"/>
        <v>0</v>
      </c>
      <c r="DJ95" s="647">
        <f t="shared" si="170"/>
        <v>47162.109137628198</v>
      </c>
      <c r="DK95" s="644">
        <f t="shared" si="254"/>
        <v>0</v>
      </c>
      <c r="DL95" s="645">
        <f t="shared" si="255"/>
        <v>47162.109137628198</v>
      </c>
      <c r="DM95" s="646">
        <f t="shared" si="256"/>
        <v>0</v>
      </c>
      <c r="DN95" s="647">
        <f t="shared" si="171"/>
        <v>47162.109137628198</v>
      </c>
      <c r="DR95" s="827">
        <f t="shared" si="172"/>
        <v>302611.83401734289</v>
      </c>
      <c r="DV95" s="828">
        <f>IFERROR(VLOOKUP($B95,'Afton FY16 Final'!$A$5:$BV$587,'Afton FY16 Final'!$BV$587,0),0)</f>
        <v>324541.22802128823</v>
      </c>
      <c r="DX95" s="636">
        <f t="shared" si="137"/>
        <v>0</v>
      </c>
      <c r="DY95" s="637">
        <f t="shared" si="138"/>
        <v>0</v>
      </c>
      <c r="DZ95" s="637">
        <f t="shared" si="139"/>
        <v>0</v>
      </c>
      <c r="EA95" s="643">
        <f t="shared" si="140"/>
        <v>0</v>
      </c>
      <c r="EB95" s="637">
        <f t="shared" si="173"/>
        <v>0</v>
      </c>
      <c r="EC95" s="637">
        <f t="shared" si="174"/>
        <v>0</v>
      </c>
      <c r="ED95" s="637">
        <f t="shared" si="175"/>
        <v>0</v>
      </c>
      <c r="EE95" s="643">
        <f t="shared" si="176"/>
        <v>0</v>
      </c>
      <c r="EF95" s="637">
        <f t="shared" si="177"/>
        <v>0</v>
      </c>
      <c r="EG95" s="637">
        <f t="shared" si="178"/>
        <v>0</v>
      </c>
      <c r="EH95" s="637">
        <f t="shared" si="179"/>
        <v>0</v>
      </c>
      <c r="EI95" s="643">
        <f t="shared" si="180"/>
        <v>0</v>
      </c>
      <c r="EJ95" s="637">
        <f t="shared" si="181"/>
        <v>0</v>
      </c>
      <c r="EK95" s="637">
        <f t="shared" si="182"/>
        <v>0</v>
      </c>
      <c r="EL95" s="637">
        <f t="shared" si="183"/>
        <v>0</v>
      </c>
      <c r="EM95" s="643">
        <f t="shared" si="184"/>
        <v>0</v>
      </c>
      <c r="EN95" s="637">
        <f t="shared" si="185"/>
        <v>0</v>
      </c>
      <c r="EO95" s="637">
        <f t="shared" si="186"/>
        <v>0</v>
      </c>
      <c r="EP95" s="637">
        <f t="shared" si="187"/>
        <v>0</v>
      </c>
      <c r="EQ95" s="643">
        <f t="shared" si="188"/>
        <v>0</v>
      </c>
      <c r="ER95" s="637">
        <f t="shared" si="189"/>
        <v>0</v>
      </c>
      <c r="ES95" s="637">
        <f t="shared" si="190"/>
        <v>0</v>
      </c>
      <c r="ET95" s="637">
        <f t="shared" si="191"/>
        <v>0</v>
      </c>
      <c r="EU95" s="643">
        <f t="shared" si="141"/>
        <v>0</v>
      </c>
      <c r="EV95" s="643">
        <f t="shared" si="142"/>
        <v>0</v>
      </c>
      <c r="EX95" s="829">
        <f t="shared" si="143"/>
        <v>0</v>
      </c>
      <c r="EY95" s="638">
        <f t="shared" si="144"/>
        <v>302611.83401734289</v>
      </c>
      <c r="FC95" s="830" t="str">
        <f t="shared" si="192"/>
        <v>Y</v>
      </c>
      <c r="FE95" s="830" t="str">
        <f>IFERROR(VLOOKUP($B95,'Historical Conc Grant Elig'!$B$3:$J$707,'HH &amp; SI'!FE$2,0),"N")</f>
        <v>N</v>
      </c>
      <c r="FF95" s="830" t="str">
        <f>IFERROR(VLOOKUP($B95,'Historical Conc Grant Elig'!$B$3:$J$707,'HH &amp; SI'!FF$2,0),"N")</f>
        <v>N</v>
      </c>
      <c r="FG95" s="830" t="str">
        <f>IFERROR(VLOOKUP($B95,'Historical Conc Grant Elig'!$B$3:$J$707,'HH &amp; SI'!FG$2,0),"N")</f>
        <v>N</v>
      </c>
      <c r="FH95" s="830" t="str">
        <f>IFERROR(VLOOKUP($B95,'Historical Conc Grant Elig'!$B$3:$J$707,'HH &amp; SI'!FH$2,0),"N")</f>
        <v>Y</v>
      </c>
      <c r="FI95" s="830" t="str">
        <f>IFERROR(VLOOKUP($B95,'Historical Conc Grant Elig'!$B$3:$J$707,'HH &amp; SI'!FI$2,0),"N")</f>
        <v>Y</v>
      </c>
      <c r="FJ95" s="830" t="str">
        <f>IFERROR(VLOOKUP($B95,'Historical Conc Grant Elig'!$B$3:$J$707,'HH &amp; SI'!FJ$2,0),"N")</f>
        <v>Y</v>
      </c>
      <c r="FK95" s="830" t="str">
        <f>IFERROR(VLOOKUP($B95,'Historical Conc Grant Elig'!$B$3:$J$707,'HH &amp; SI'!FK$2,0),"N")</f>
        <v>Y</v>
      </c>
      <c r="FL95" s="957" t="str">
        <f>IFERROR(VLOOKUP($B95,'Historical Conc Grant Elig'!$B$3:$J$707,'HH &amp; SI'!FL$2,0),"N")</f>
        <v>Y</v>
      </c>
    </row>
    <row r="96" spans="2:168" x14ac:dyDescent="0.25">
      <c r="B96" s="634">
        <v>70386000</v>
      </c>
      <c r="C96" s="635" t="str">
        <f>VLOOKUP($B96,'Afton Update'!$A$5:$CR$582,'Afton Update'!D$589,0)</f>
        <v>Mobile Elementary District</v>
      </c>
      <c r="D96" s="636">
        <f>IFERROR(VLOOKUP($B96,'Afton FY16 Final'!$A$5:$BV$587,'Afton FY16 Final'!AQ$587,0),0)</f>
        <v>0</v>
      </c>
      <c r="E96" s="637">
        <f>IFERROR(VLOOKUP($B96,'Afton FY16 Final'!$A$5:$BV$587,'Afton FY16 Final'!AR$587,0),0)</f>
        <v>1771.4994098905661</v>
      </c>
      <c r="F96" s="637">
        <f>IFERROR(VLOOKUP($B96,'Afton FY16 Final'!$A$5:$BV$587,'Afton FY16 Final'!AS$587,0),0)</f>
        <v>0</v>
      </c>
      <c r="G96" s="637">
        <f>IFERROR(VLOOKUP($B96,'Afton FY16 Final'!$A$5:$BV$587,'Afton FY16 Final'!AT$587,0),0)</f>
        <v>0</v>
      </c>
      <c r="H96" s="638">
        <f>IFERROR(VLOOKUP($B96,'Afton FY16 Final'!$A$5:$BV$587,'Afton FY16 Final'!AU$587,0),0)</f>
        <v>1771.4994098905661</v>
      </c>
      <c r="I96" s="639" t="str">
        <f>VLOOKUP($B96,'Afton Update'!$A$5:$CR$582,'Afton Update'!BT$589,0)</f>
        <v>N</v>
      </c>
      <c r="J96" s="640" t="str">
        <f>VLOOKUP($B96,'Afton Update'!$A$5:$CR$582,'Afton Update'!BU$589,0)</f>
        <v>N</v>
      </c>
      <c r="K96" s="640" t="str">
        <f>VLOOKUP($B96,'Afton Update'!$A$5:$CR$582,'Afton Update'!BV$589,0)</f>
        <v>N</v>
      </c>
      <c r="L96" s="641" t="str">
        <f>VLOOKUP($B96,'Afton Update'!$A$5:$CR$582,'Afton Update'!BW$589,0)</f>
        <v>N</v>
      </c>
      <c r="N96" s="642">
        <f>VLOOKUP($B96,'Afton Update'!$A$5:$CR$582,'Afton Update'!CB$589,0)</f>
        <v>0.85</v>
      </c>
      <c r="P96" s="636" t="str">
        <f>VLOOKUP($B96,'Afton Update'!$A$5:$CR$582,'Afton Update'!AH$589,0)</f>
        <v/>
      </c>
      <c r="Q96" s="637" t="str">
        <f>VLOOKUP($B96,'Afton Update'!$A$5:$CR$582,'Afton Update'!AI$589,0)</f>
        <v/>
      </c>
      <c r="R96" s="637" t="str">
        <f>VLOOKUP($B96,'Afton Update'!$A$5:$CR$582,'Afton Update'!AJ$589,0)</f>
        <v/>
      </c>
      <c r="S96" s="637" t="str">
        <f>VLOOKUP($B96,'Afton Update'!$A$5:$CR$582,'Afton Update'!AK$589,0)</f>
        <v/>
      </c>
      <c r="T96" s="643">
        <f t="shared" si="145"/>
        <v>0</v>
      </c>
      <c r="V96" s="636">
        <f t="shared" si="193"/>
        <v>0</v>
      </c>
      <c r="W96" s="637">
        <f t="shared" si="194"/>
        <v>1505.7744984069811</v>
      </c>
      <c r="X96" s="637">
        <f t="shared" si="195"/>
        <v>0</v>
      </c>
      <c r="Y96" s="637">
        <f t="shared" si="196"/>
        <v>0</v>
      </c>
      <c r="Z96" s="643">
        <f t="shared" si="197"/>
        <v>1505.7744984069811</v>
      </c>
      <c r="AB96" s="644">
        <f t="shared" si="146"/>
        <v>0</v>
      </c>
      <c r="AC96" s="645">
        <f t="shared" si="134"/>
        <v>0</v>
      </c>
      <c r="AD96" s="644">
        <f t="shared" si="198"/>
        <v>0</v>
      </c>
      <c r="AE96" s="645">
        <f t="shared" si="199"/>
        <v>0</v>
      </c>
      <c r="AF96" s="646">
        <f t="shared" si="200"/>
        <v>0</v>
      </c>
      <c r="AG96" s="647">
        <f t="shared" si="201"/>
        <v>0</v>
      </c>
      <c r="AH96" s="644">
        <f t="shared" si="147"/>
        <v>0</v>
      </c>
      <c r="AI96" s="645">
        <f t="shared" si="148"/>
        <v>0</v>
      </c>
      <c r="AJ96" s="646">
        <f t="shared" si="202"/>
        <v>0</v>
      </c>
      <c r="AK96" s="647">
        <f t="shared" si="149"/>
        <v>0</v>
      </c>
      <c r="AL96" s="644">
        <f t="shared" si="203"/>
        <v>0</v>
      </c>
      <c r="AM96" s="645">
        <f t="shared" si="204"/>
        <v>0</v>
      </c>
      <c r="AN96" s="646">
        <f t="shared" si="205"/>
        <v>0</v>
      </c>
      <c r="AO96" s="647">
        <f t="shared" si="150"/>
        <v>0</v>
      </c>
      <c r="AP96" s="644">
        <f t="shared" si="206"/>
        <v>0</v>
      </c>
      <c r="AQ96" s="645">
        <f t="shared" si="207"/>
        <v>0</v>
      </c>
      <c r="AR96" s="646">
        <f t="shared" si="208"/>
        <v>0</v>
      </c>
      <c r="AS96" s="647">
        <f t="shared" si="151"/>
        <v>0</v>
      </c>
      <c r="AT96" s="644">
        <f t="shared" si="209"/>
        <v>0</v>
      </c>
      <c r="AU96" s="645">
        <f t="shared" si="210"/>
        <v>0</v>
      </c>
      <c r="AV96" s="646">
        <f t="shared" si="211"/>
        <v>0</v>
      </c>
      <c r="AW96" s="647">
        <f t="shared" si="152"/>
        <v>0</v>
      </c>
      <c r="AY96" s="644">
        <f t="shared" si="212"/>
        <v>0</v>
      </c>
      <c r="AZ96" s="645">
        <f t="shared" si="153"/>
        <v>1505.7744984069811</v>
      </c>
      <c r="BA96" s="644">
        <f t="shared" si="213"/>
        <v>0</v>
      </c>
      <c r="BB96" s="645">
        <f t="shared" si="214"/>
        <v>0</v>
      </c>
      <c r="BC96" s="646">
        <f t="shared" si="215"/>
        <v>0</v>
      </c>
      <c r="BD96" s="647">
        <f t="shared" si="216"/>
        <v>0</v>
      </c>
      <c r="BE96" s="644">
        <f t="shared" si="154"/>
        <v>-1505.7744984069811</v>
      </c>
      <c r="BF96" s="645">
        <f t="shared" si="155"/>
        <v>0</v>
      </c>
      <c r="BG96" s="646">
        <f t="shared" si="217"/>
        <v>0</v>
      </c>
      <c r="BH96" s="647">
        <f t="shared" si="156"/>
        <v>1505.7744984069811</v>
      </c>
      <c r="BI96" s="644">
        <f t="shared" si="218"/>
        <v>0</v>
      </c>
      <c r="BJ96" s="645">
        <f t="shared" si="219"/>
        <v>0</v>
      </c>
      <c r="BK96" s="646">
        <f t="shared" si="220"/>
        <v>0</v>
      </c>
      <c r="BL96" s="647">
        <f t="shared" si="157"/>
        <v>1505.7744984069811</v>
      </c>
      <c r="BM96" s="644">
        <f t="shared" si="221"/>
        <v>0</v>
      </c>
      <c r="BN96" s="645">
        <f t="shared" si="222"/>
        <v>0</v>
      </c>
      <c r="BO96" s="646">
        <f t="shared" si="223"/>
        <v>0</v>
      </c>
      <c r="BP96" s="647">
        <f t="shared" si="158"/>
        <v>1505.7744984069811</v>
      </c>
      <c r="BQ96" s="644">
        <f t="shared" si="224"/>
        <v>0</v>
      </c>
      <c r="BR96" s="645">
        <f t="shared" si="225"/>
        <v>0</v>
      </c>
      <c r="BS96" s="646">
        <f t="shared" si="226"/>
        <v>0</v>
      </c>
      <c r="BT96" s="647">
        <f t="shared" si="159"/>
        <v>1505.7744984069811</v>
      </c>
      <c r="BU96" s="662">
        <f>VLOOKUP(B96,'Afton Update'!$A$5:$AR$582,'Afton Update'!$AO$589,0)-BT96</f>
        <v>0</v>
      </c>
      <c r="BV96" s="644">
        <f t="shared" si="227"/>
        <v>0</v>
      </c>
      <c r="BW96" s="645">
        <f t="shared" si="135"/>
        <v>0</v>
      </c>
      <c r="BX96" s="644">
        <f t="shared" si="228"/>
        <v>0</v>
      </c>
      <c r="BY96" s="645">
        <f t="shared" si="229"/>
        <v>0</v>
      </c>
      <c r="BZ96" s="646">
        <f t="shared" si="230"/>
        <v>0</v>
      </c>
      <c r="CA96" s="647">
        <f t="shared" si="231"/>
        <v>0</v>
      </c>
      <c r="CB96" s="644">
        <f t="shared" si="160"/>
        <v>0</v>
      </c>
      <c r="CC96" s="645">
        <f t="shared" si="161"/>
        <v>0</v>
      </c>
      <c r="CD96" s="646">
        <f t="shared" si="232"/>
        <v>0</v>
      </c>
      <c r="CE96" s="647">
        <f t="shared" si="162"/>
        <v>0</v>
      </c>
      <c r="CF96" s="644">
        <f t="shared" si="233"/>
        <v>0</v>
      </c>
      <c r="CG96" s="645">
        <f t="shared" si="234"/>
        <v>0</v>
      </c>
      <c r="CH96" s="646">
        <f t="shared" si="235"/>
        <v>0</v>
      </c>
      <c r="CI96" s="647">
        <f t="shared" si="163"/>
        <v>0</v>
      </c>
      <c r="CJ96" s="644">
        <f t="shared" si="236"/>
        <v>0</v>
      </c>
      <c r="CK96" s="645">
        <f t="shared" si="237"/>
        <v>0</v>
      </c>
      <c r="CL96" s="646">
        <f t="shared" si="238"/>
        <v>0</v>
      </c>
      <c r="CM96" s="647">
        <f t="shared" si="164"/>
        <v>0</v>
      </c>
      <c r="CN96" s="644">
        <f t="shared" si="239"/>
        <v>0</v>
      </c>
      <c r="CO96" s="645">
        <f t="shared" si="240"/>
        <v>0</v>
      </c>
      <c r="CP96" s="646">
        <f t="shared" si="241"/>
        <v>0</v>
      </c>
      <c r="CQ96" s="647">
        <f t="shared" si="165"/>
        <v>0</v>
      </c>
      <c r="CS96" s="644">
        <f t="shared" si="242"/>
        <v>0</v>
      </c>
      <c r="CT96" s="645">
        <f t="shared" si="136"/>
        <v>0</v>
      </c>
      <c r="CU96" s="644">
        <f t="shared" si="243"/>
        <v>0</v>
      </c>
      <c r="CV96" s="645">
        <f t="shared" si="244"/>
        <v>0</v>
      </c>
      <c r="CW96" s="646">
        <f t="shared" si="245"/>
        <v>0</v>
      </c>
      <c r="CX96" s="647">
        <f t="shared" si="246"/>
        <v>0</v>
      </c>
      <c r="CY96" s="644">
        <f t="shared" si="166"/>
        <v>0</v>
      </c>
      <c r="CZ96" s="645">
        <f t="shared" si="167"/>
        <v>0</v>
      </c>
      <c r="DA96" s="646">
        <f t="shared" si="247"/>
        <v>0</v>
      </c>
      <c r="DB96" s="647">
        <f t="shared" si="168"/>
        <v>0</v>
      </c>
      <c r="DC96" s="644">
        <f t="shared" si="248"/>
        <v>0</v>
      </c>
      <c r="DD96" s="645">
        <f t="shared" si="249"/>
        <v>0</v>
      </c>
      <c r="DE96" s="646">
        <f t="shared" si="250"/>
        <v>0</v>
      </c>
      <c r="DF96" s="647">
        <f t="shared" si="169"/>
        <v>0</v>
      </c>
      <c r="DG96" s="644">
        <f t="shared" si="251"/>
        <v>0</v>
      </c>
      <c r="DH96" s="645">
        <f t="shared" si="252"/>
        <v>0</v>
      </c>
      <c r="DI96" s="646">
        <f t="shared" si="253"/>
        <v>0</v>
      </c>
      <c r="DJ96" s="647">
        <f t="shared" si="170"/>
        <v>0</v>
      </c>
      <c r="DK96" s="644">
        <f t="shared" si="254"/>
        <v>0</v>
      </c>
      <c r="DL96" s="645">
        <f t="shared" si="255"/>
        <v>0</v>
      </c>
      <c r="DM96" s="646">
        <f t="shared" si="256"/>
        <v>0</v>
      </c>
      <c r="DN96" s="647">
        <f t="shared" si="171"/>
        <v>0</v>
      </c>
      <c r="DR96" s="827">
        <f t="shared" si="172"/>
        <v>1505.7744984069811</v>
      </c>
      <c r="DV96" s="828">
        <f>IFERROR(VLOOKUP($B96,'Afton FY16 Final'!$A$5:$BV$587,'Afton FY16 Final'!$BV$587,0),0)</f>
        <v>1736.6185868031966</v>
      </c>
      <c r="DX96" s="636">
        <f t="shared" si="137"/>
        <v>0</v>
      </c>
      <c r="DY96" s="637">
        <f t="shared" si="138"/>
        <v>0</v>
      </c>
      <c r="DZ96" s="637">
        <f t="shared" si="139"/>
        <v>0</v>
      </c>
      <c r="EA96" s="643">
        <f t="shared" si="140"/>
        <v>0</v>
      </c>
      <c r="EB96" s="637">
        <f t="shared" si="173"/>
        <v>0</v>
      </c>
      <c r="EC96" s="637">
        <f t="shared" si="174"/>
        <v>0</v>
      </c>
      <c r="ED96" s="637">
        <f t="shared" si="175"/>
        <v>0</v>
      </c>
      <c r="EE96" s="643">
        <f t="shared" si="176"/>
        <v>0</v>
      </c>
      <c r="EF96" s="637">
        <f t="shared" si="177"/>
        <v>0</v>
      </c>
      <c r="EG96" s="637">
        <f t="shared" si="178"/>
        <v>0</v>
      </c>
      <c r="EH96" s="637">
        <f t="shared" si="179"/>
        <v>0</v>
      </c>
      <c r="EI96" s="643">
        <f t="shared" si="180"/>
        <v>0</v>
      </c>
      <c r="EJ96" s="637">
        <f t="shared" si="181"/>
        <v>0</v>
      </c>
      <c r="EK96" s="637">
        <f t="shared" si="182"/>
        <v>0</v>
      </c>
      <c r="EL96" s="637">
        <f t="shared" si="183"/>
        <v>0</v>
      </c>
      <c r="EM96" s="643">
        <f t="shared" si="184"/>
        <v>0</v>
      </c>
      <c r="EN96" s="637">
        <f t="shared" si="185"/>
        <v>0</v>
      </c>
      <c r="EO96" s="637">
        <f t="shared" si="186"/>
        <v>0</v>
      </c>
      <c r="EP96" s="637">
        <f t="shared" si="187"/>
        <v>0</v>
      </c>
      <c r="EQ96" s="643">
        <f t="shared" si="188"/>
        <v>0</v>
      </c>
      <c r="ER96" s="637">
        <f t="shared" si="189"/>
        <v>0</v>
      </c>
      <c r="ES96" s="637">
        <f t="shared" si="190"/>
        <v>0</v>
      </c>
      <c r="ET96" s="637">
        <f t="shared" si="191"/>
        <v>0</v>
      </c>
      <c r="EU96" s="643">
        <f t="shared" si="141"/>
        <v>0</v>
      </c>
      <c r="EV96" s="643">
        <f t="shared" si="142"/>
        <v>0</v>
      </c>
      <c r="EX96" s="829">
        <f t="shared" si="143"/>
        <v>0</v>
      </c>
      <c r="EY96" s="638">
        <f t="shared" si="144"/>
        <v>1505.7744984069811</v>
      </c>
      <c r="FC96" s="830" t="str">
        <f t="shared" si="192"/>
        <v>Y</v>
      </c>
      <c r="FE96" s="830" t="str">
        <f>IFERROR(VLOOKUP($B96,'Historical Conc Grant Elig'!$B$3:$J$707,'HH &amp; SI'!FE$2,0),"N")</f>
        <v>N</v>
      </c>
      <c r="FF96" s="830" t="str">
        <f>IFERROR(VLOOKUP($B96,'Historical Conc Grant Elig'!$B$3:$J$707,'HH &amp; SI'!FF$2,0),"N")</f>
        <v>Y</v>
      </c>
      <c r="FG96" s="830" t="str">
        <f>IFERROR(VLOOKUP($B96,'Historical Conc Grant Elig'!$B$3:$J$707,'HH &amp; SI'!FG$2,0),"N")</f>
        <v>Y</v>
      </c>
      <c r="FH96" s="830" t="str">
        <f>IFERROR(VLOOKUP($B96,'Historical Conc Grant Elig'!$B$3:$J$707,'HH &amp; SI'!FH$2,0),"N")</f>
        <v>N</v>
      </c>
      <c r="FI96" s="830" t="str">
        <f>IFERROR(VLOOKUP($B96,'Historical Conc Grant Elig'!$B$3:$J$707,'HH &amp; SI'!FI$2,0),"N")</f>
        <v>N</v>
      </c>
      <c r="FJ96" s="830" t="str">
        <f>IFERROR(VLOOKUP($B96,'Historical Conc Grant Elig'!$B$3:$J$707,'HH &amp; SI'!FJ$2,0),"N")</f>
        <v>Y</v>
      </c>
      <c r="FK96" s="830" t="str">
        <f>IFERROR(VLOOKUP($B96,'Historical Conc Grant Elig'!$B$3:$J$707,'HH &amp; SI'!FK$2,0),"N")</f>
        <v>N</v>
      </c>
      <c r="FL96" s="957" t="str">
        <f>IFERROR(VLOOKUP($B96,'Historical Conc Grant Elig'!$B$3:$J$707,'HH &amp; SI'!FL$2,0),"N")</f>
        <v>N</v>
      </c>
    </row>
    <row r="97" spans="2:168" x14ac:dyDescent="0.25">
      <c r="B97" s="634">
        <v>70394000</v>
      </c>
      <c r="C97" s="635" t="str">
        <f>VLOOKUP($B97,'Afton Update'!$A$5:$CR$582,'Afton Update'!D$589,0)</f>
        <v>Paloma School District</v>
      </c>
      <c r="D97" s="636">
        <f>IFERROR(VLOOKUP($B97,'Afton FY16 Final'!$A$5:$BV$587,'Afton FY16 Final'!AQ$587,0),0)</f>
        <v>20517.374021966258</v>
      </c>
      <c r="E97" s="637">
        <f>IFERROR(VLOOKUP($B97,'Afton FY16 Final'!$A$5:$BV$587,'Afton FY16 Final'!AR$587,0),0)</f>
        <v>6523.7276130899327</v>
      </c>
      <c r="F97" s="637">
        <f>IFERROR(VLOOKUP($B97,'Afton FY16 Final'!$A$5:$BV$587,'Afton FY16 Final'!AS$587,0),0)</f>
        <v>16479.946441057531</v>
      </c>
      <c r="G97" s="637">
        <f>IFERROR(VLOOKUP($B97,'Afton FY16 Final'!$A$5:$BV$587,'Afton FY16 Final'!AT$587,0),0)</f>
        <v>14596.53518367658</v>
      </c>
      <c r="H97" s="638">
        <f>IFERROR(VLOOKUP($B97,'Afton FY16 Final'!$A$5:$BV$587,'Afton FY16 Final'!AU$587,0),0)</f>
        <v>58117.583259790306</v>
      </c>
      <c r="I97" s="639" t="str">
        <f>VLOOKUP($B97,'Afton Update'!$A$5:$CR$582,'Afton Update'!BT$589,0)</f>
        <v>Y</v>
      </c>
      <c r="J97" s="640" t="str">
        <f>VLOOKUP($B97,'Afton Update'!$A$5:$CR$582,'Afton Update'!BU$589,0)</f>
        <v>Y</v>
      </c>
      <c r="K97" s="640" t="str">
        <f>VLOOKUP($B97,'Afton Update'!$A$5:$CR$582,'Afton Update'!BV$589,0)</f>
        <v>Y</v>
      </c>
      <c r="L97" s="641" t="str">
        <f>VLOOKUP($B97,'Afton Update'!$A$5:$CR$582,'Afton Update'!BW$589,0)</f>
        <v>Y</v>
      </c>
      <c r="N97" s="642">
        <f>VLOOKUP($B97,'Afton Update'!$A$5:$CR$582,'Afton Update'!CB$589,0)</f>
        <v>0.95</v>
      </c>
      <c r="P97" s="636">
        <f>VLOOKUP($B97,'Afton Update'!$A$5:$CR$582,'Afton Update'!AH$589,0)</f>
        <v>19496.56917275902</v>
      </c>
      <c r="Q97" s="637">
        <f>VLOOKUP($B97,'Afton Update'!$A$5:$CR$582,'Afton Update'!AI$589,0)</f>
        <v>6635.671821173265</v>
      </c>
      <c r="R97" s="637">
        <f>VLOOKUP($B97,'Afton Update'!$A$5:$CR$582,'Afton Update'!AJ$589,0)</f>
        <v>15684.600845378365</v>
      </c>
      <c r="S97" s="637">
        <f>VLOOKUP($B97,'Afton Update'!$A$5:$CR$582,'Afton Update'!AK$589,0)</f>
        <v>13930.321756668103</v>
      </c>
      <c r="T97" s="643">
        <f t="shared" si="145"/>
        <v>55747.16359597876</v>
      </c>
      <c r="V97" s="636">
        <f t="shared" si="193"/>
        <v>19491.505320867946</v>
      </c>
      <c r="W97" s="637">
        <f t="shared" si="194"/>
        <v>6417.117052032113</v>
      </c>
      <c r="X97" s="637">
        <f t="shared" si="195"/>
        <v>15655.949119004654</v>
      </c>
      <c r="Y97" s="637">
        <f t="shared" si="196"/>
        <v>13866.70842449275</v>
      </c>
      <c r="Z97" s="643">
        <f t="shared" si="197"/>
        <v>55431.279916397471</v>
      </c>
      <c r="AB97" s="644">
        <f t="shared" si="146"/>
        <v>19496.56917275902</v>
      </c>
      <c r="AC97" s="645">
        <f t="shared" si="134"/>
        <v>19491.505320867946</v>
      </c>
      <c r="AD97" s="644">
        <f t="shared" si="198"/>
        <v>0</v>
      </c>
      <c r="AE97" s="645">
        <f t="shared" si="199"/>
        <v>19496.56917275902</v>
      </c>
      <c r="AF97" s="646">
        <f t="shared" si="200"/>
        <v>-241.67462617807146</v>
      </c>
      <c r="AG97" s="647">
        <f t="shared" si="201"/>
        <v>19254.894546580948</v>
      </c>
      <c r="AH97" s="644">
        <f t="shared" si="147"/>
        <v>-236.61077428699718</v>
      </c>
      <c r="AI97" s="645">
        <f t="shared" si="148"/>
        <v>0</v>
      </c>
      <c r="AJ97" s="646">
        <f t="shared" si="202"/>
        <v>0</v>
      </c>
      <c r="AK97" s="647">
        <f t="shared" si="149"/>
        <v>19491.505320867946</v>
      </c>
      <c r="AL97" s="644">
        <f t="shared" si="203"/>
        <v>0</v>
      </c>
      <c r="AM97" s="645">
        <f t="shared" si="204"/>
        <v>0</v>
      </c>
      <c r="AN97" s="646">
        <f t="shared" si="205"/>
        <v>0</v>
      </c>
      <c r="AO97" s="647">
        <f t="shared" si="150"/>
        <v>19491.505320867946</v>
      </c>
      <c r="AP97" s="644">
        <f t="shared" si="206"/>
        <v>0</v>
      </c>
      <c r="AQ97" s="645">
        <f t="shared" si="207"/>
        <v>0</v>
      </c>
      <c r="AR97" s="646">
        <f t="shared" si="208"/>
        <v>0</v>
      </c>
      <c r="AS97" s="647">
        <f t="shared" si="151"/>
        <v>19491.505320867946</v>
      </c>
      <c r="AT97" s="644">
        <f t="shared" si="209"/>
        <v>0</v>
      </c>
      <c r="AU97" s="645">
        <f t="shared" si="210"/>
        <v>0</v>
      </c>
      <c r="AV97" s="646">
        <f t="shared" si="211"/>
        <v>0</v>
      </c>
      <c r="AW97" s="647">
        <f t="shared" si="152"/>
        <v>19491.505320867946</v>
      </c>
      <c r="AY97" s="644">
        <f t="shared" si="212"/>
        <v>6635.671821173265</v>
      </c>
      <c r="AZ97" s="645">
        <f t="shared" si="153"/>
        <v>6197.5412324354356</v>
      </c>
      <c r="BA97" s="644">
        <f t="shared" si="213"/>
        <v>0</v>
      </c>
      <c r="BB97" s="645">
        <f t="shared" si="214"/>
        <v>6635.671821173265</v>
      </c>
      <c r="BC97" s="646">
        <f t="shared" si="215"/>
        <v>-47.719049902843793</v>
      </c>
      <c r="BD97" s="647">
        <f t="shared" si="216"/>
        <v>6587.9527712704212</v>
      </c>
      <c r="BE97" s="644">
        <f t="shared" si="154"/>
        <v>0</v>
      </c>
      <c r="BF97" s="645">
        <f t="shared" si="155"/>
        <v>6587.9527712704212</v>
      </c>
      <c r="BG97" s="646">
        <f t="shared" si="217"/>
        <v>-156.9196662174792</v>
      </c>
      <c r="BH97" s="647">
        <f t="shared" si="156"/>
        <v>6431.0331050529421</v>
      </c>
      <c r="BI97" s="644">
        <f t="shared" si="218"/>
        <v>0</v>
      </c>
      <c r="BJ97" s="645">
        <f t="shared" si="219"/>
        <v>6431.0331050529421</v>
      </c>
      <c r="BK97" s="646">
        <f t="shared" si="220"/>
        <v>-13.622438586168029</v>
      </c>
      <c r="BL97" s="647">
        <f t="shared" si="157"/>
        <v>6417.4106664667743</v>
      </c>
      <c r="BM97" s="644">
        <f t="shared" si="221"/>
        <v>0</v>
      </c>
      <c r="BN97" s="645">
        <f t="shared" si="222"/>
        <v>6417.4106664667743</v>
      </c>
      <c r="BO97" s="646">
        <f t="shared" si="223"/>
        <v>-0.29361443466171183</v>
      </c>
      <c r="BP97" s="647">
        <f t="shared" si="158"/>
        <v>6417.117052032113</v>
      </c>
      <c r="BQ97" s="644">
        <f t="shared" si="224"/>
        <v>0</v>
      </c>
      <c r="BR97" s="645">
        <f t="shared" si="225"/>
        <v>6417.117052032113</v>
      </c>
      <c r="BS97" s="646">
        <f t="shared" si="226"/>
        <v>0</v>
      </c>
      <c r="BT97" s="647">
        <f t="shared" si="159"/>
        <v>6417.117052032113</v>
      </c>
      <c r="BU97" s="662">
        <f>VLOOKUP(B97,'Afton Update'!$A$5:$AR$582,'Afton Update'!$AO$589,0)-BT97</f>
        <v>0</v>
      </c>
      <c r="BV97" s="644">
        <f t="shared" si="227"/>
        <v>15684.600845378365</v>
      </c>
      <c r="BW97" s="645">
        <f t="shared" si="135"/>
        <v>15655.949119004654</v>
      </c>
      <c r="BX97" s="644">
        <f t="shared" si="228"/>
        <v>0</v>
      </c>
      <c r="BY97" s="645">
        <f t="shared" si="229"/>
        <v>15684.600845378365</v>
      </c>
      <c r="BZ97" s="646">
        <f t="shared" si="230"/>
        <v>-137.66540918801846</v>
      </c>
      <c r="CA97" s="647">
        <f t="shared" si="231"/>
        <v>15546.935436190346</v>
      </c>
      <c r="CB97" s="644">
        <f t="shared" si="160"/>
        <v>-109.01368281430769</v>
      </c>
      <c r="CC97" s="645">
        <f t="shared" si="161"/>
        <v>0</v>
      </c>
      <c r="CD97" s="646">
        <f t="shared" si="232"/>
        <v>0</v>
      </c>
      <c r="CE97" s="647">
        <f t="shared" si="162"/>
        <v>15655.949119004654</v>
      </c>
      <c r="CF97" s="644">
        <f t="shared" si="233"/>
        <v>0</v>
      </c>
      <c r="CG97" s="645">
        <f t="shared" si="234"/>
        <v>0</v>
      </c>
      <c r="CH97" s="646">
        <f t="shared" si="235"/>
        <v>0</v>
      </c>
      <c r="CI97" s="647">
        <f t="shared" si="163"/>
        <v>15655.949119004654</v>
      </c>
      <c r="CJ97" s="644">
        <f t="shared" si="236"/>
        <v>0</v>
      </c>
      <c r="CK97" s="645">
        <f t="shared" si="237"/>
        <v>0</v>
      </c>
      <c r="CL97" s="646">
        <f t="shared" si="238"/>
        <v>0</v>
      </c>
      <c r="CM97" s="647">
        <f t="shared" si="164"/>
        <v>15655.949119004654</v>
      </c>
      <c r="CN97" s="644">
        <f t="shared" si="239"/>
        <v>0</v>
      </c>
      <c r="CO97" s="645">
        <f t="shared" si="240"/>
        <v>0</v>
      </c>
      <c r="CP97" s="646">
        <f t="shared" si="241"/>
        <v>0</v>
      </c>
      <c r="CQ97" s="647">
        <f t="shared" si="165"/>
        <v>15655.949119004654</v>
      </c>
      <c r="CS97" s="644">
        <f t="shared" si="242"/>
        <v>13930.321756668103</v>
      </c>
      <c r="CT97" s="645">
        <f t="shared" si="136"/>
        <v>13866.70842449275</v>
      </c>
      <c r="CU97" s="644">
        <f t="shared" si="243"/>
        <v>0</v>
      </c>
      <c r="CV97" s="645">
        <f t="shared" si="244"/>
        <v>13930.321756668103</v>
      </c>
      <c r="CW97" s="646">
        <f t="shared" si="245"/>
        <v>-142.65436711923462</v>
      </c>
      <c r="CX97" s="647">
        <f t="shared" si="246"/>
        <v>13787.667389548869</v>
      </c>
      <c r="CY97" s="644">
        <f t="shared" si="166"/>
        <v>-79.041034943880732</v>
      </c>
      <c r="CZ97" s="645">
        <f t="shared" si="167"/>
        <v>0</v>
      </c>
      <c r="DA97" s="646">
        <f t="shared" si="247"/>
        <v>0</v>
      </c>
      <c r="DB97" s="647">
        <f t="shared" si="168"/>
        <v>13866.70842449275</v>
      </c>
      <c r="DC97" s="644">
        <f t="shared" si="248"/>
        <v>0</v>
      </c>
      <c r="DD97" s="645">
        <f t="shared" si="249"/>
        <v>0</v>
      </c>
      <c r="DE97" s="646">
        <f t="shared" si="250"/>
        <v>0</v>
      </c>
      <c r="DF97" s="647">
        <f t="shared" si="169"/>
        <v>13866.70842449275</v>
      </c>
      <c r="DG97" s="644">
        <f t="shared" si="251"/>
        <v>0</v>
      </c>
      <c r="DH97" s="645">
        <f t="shared" si="252"/>
        <v>0</v>
      </c>
      <c r="DI97" s="646">
        <f t="shared" si="253"/>
        <v>0</v>
      </c>
      <c r="DJ97" s="647">
        <f t="shared" si="170"/>
        <v>13866.70842449275</v>
      </c>
      <c r="DK97" s="644">
        <f t="shared" si="254"/>
        <v>0</v>
      </c>
      <c r="DL97" s="645">
        <f t="shared" si="255"/>
        <v>0</v>
      </c>
      <c r="DM97" s="646">
        <f t="shared" si="256"/>
        <v>0</v>
      </c>
      <c r="DN97" s="647">
        <f t="shared" si="171"/>
        <v>13866.70842449275</v>
      </c>
      <c r="DR97" s="827">
        <f t="shared" si="172"/>
        <v>55431.279916397471</v>
      </c>
      <c r="DV97" s="828">
        <f>IFERROR(VLOOKUP($B97,'Afton FY16 Final'!$A$5:$BV$587,'Afton FY16 Final'!$BV$587,0),0)</f>
        <v>56973.248055029821</v>
      </c>
      <c r="DX97" s="636">
        <f t="shared" si="137"/>
        <v>0</v>
      </c>
      <c r="DY97" s="637">
        <f t="shared" si="138"/>
        <v>0</v>
      </c>
      <c r="DZ97" s="637">
        <f t="shared" si="139"/>
        <v>0</v>
      </c>
      <c r="EA97" s="643">
        <f t="shared" si="140"/>
        <v>0</v>
      </c>
      <c r="EB97" s="637">
        <f t="shared" si="173"/>
        <v>0</v>
      </c>
      <c r="EC97" s="637">
        <f t="shared" si="174"/>
        <v>0</v>
      </c>
      <c r="ED97" s="637">
        <f t="shared" si="175"/>
        <v>0</v>
      </c>
      <c r="EE97" s="643">
        <f t="shared" si="176"/>
        <v>0</v>
      </c>
      <c r="EF97" s="637">
        <f t="shared" si="177"/>
        <v>0</v>
      </c>
      <c r="EG97" s="637">
        <f t="shared" si="178"/>
        <v>0</v>
      </c>
      <c r="EH97" s="637">
        <f t="shared" si="179"/>
        <v>0</v>
      </c>
      <c r="EI97" s="643">
        <f t="shared" si="180"/>
        <v>0</v>
      </c>
      <c r="EJ97" s="637">
        <f t="shared" si="181"/>
        <v>0</v>
      </c>
      <c r="EK97" s="637">
        <f t="shared" si="182"/>
        <v>0</v>
      </c>
      <c r="EL97" s="637">
        <f t="shared" si="183"/>
        <v>0</v>
      </c>
      <c r="EM97" s="643">
        <f t="shared" si="184"/>
        <v>0</v>
      </c>
      <c r="EN97" s="637">
        <f t="shared" si="185"/>
        <v>0</v>
      </c>
      <c r="EO97" s="637">
        <f t="shared" si="186"/>
        <v>0</v>
      </c>
      <c r="EP97" s="637">
        <f t="shared" si="187"/>
        <v>0</v>
      </c>
      <c r="EQ97" s="643">
        <f t="shared" si="188"/>
        <v>0</v>
      </c>
      <c r="ER97" s="637">
        <f t="shared" si="189"/>
        <v>0</v>
      </c>
      <c r="ES97" s="637">
        <f t="shared" si="190"/>
        <v>0</v>
      </c>
      <c r="ET97" s="637">
        <f t="shared" si="191"/>
        <v>0</v>
      </c>
      <c r="EU97" s="643">
        <f t="shared" si="141"/>
        <v>0</v>
      </c>
      <c r="EV97" s="643">
        <f t="shared" si="142"/>
        <v>0</v>
      </c>
      <c r="EX97" s="829">
        <f t="shared" si="143"/>
        <v>0</v>
      </c>
      <c r="EY97" s="638">
        <f t="shared" si="144"/>
        <v>55431.279916397471</v>
      </c>
      <c r="FC97" s="830" t="str">
        <f t="shared" si="192"/>
        <v>Y</v>
      </c>
      <c r="FE97" s="830" t="str">
        <f>IFERROR(VLOOKUP($B97,'Historical Conc Grant Elig'!$B$3:$J$707,'HH &amp; SI'!FE$2,0),"N")</f>
        <v>Y</v>
      </c>
      <c r="FF97" s="830" t="str">
        <f>IFERROR(VLOOKUP($B97,'Historical Conc Grant Elig'!$B$3:$J$707,'HH &amp; SI'!FF$2,0),"N")</f>
        <v>Y</v>
      </c>
      <c r="FG97" s="830" t="str">
        <f>IFERROR(VLOOKUP($B97,'Historical Conc Grant Elig'!$B$3:$J$707,'HH &amp; SI'!FG$2,0),"N")</f>
        <v>Y</v>
      </c>
      <c r="FH97" s="830" t="str">
        <f>IFERROR(VLOOKUP($B97,'Historical Conc Grant Elig'!$B$3:$J$707,'HH &amp; SI'!FH$2,0),"N")</f>
        <v>Y</v>
      </c>
      <c r="FI97" s="830" t="str">
        <f>IFERROR(VLOOKUP($B97,'Historical Conc Grant Elig'!$B$3:$J$707,'HH &amp; SI'!FI$2,0),"N")</f>
        <v>Y</v>
      </c>
      <c r="FJ97" s="830" t="str">
        <f>IFERROR(VLOOKUP($B97,'Historical Conc Grant Elig'!$B$3:$J$707,'HH &amp; SI'!FJ$2,0),"N")</f>
        <v>Y</v>
      </c>
      <c r="FK97" s="830" t="str">
        <f>IFERROR(VLOOKUP($B97,'Historical Conc Grant Elig'!$B$3:$J$707,'HH &amp; SI'!FK$2,0),"N")</f>
        <v>Y</v>
      </c>
      <c r="FL97" s="957" t="str">
        <f>IFERROR(VLOOKUP($B97,'Historical Conc Grant Elig'!$B$3:$J$707,'HH &amp; SI'!FL$2,0),"N")</f>
        <v>Y</v>
      </c>
    </row>
    <row r="98" spans="2:168" x14ac:dyDescent="0.25">
      <c r="B98" s="634">
        <v>70401000</v>
      </c>
      <c r="C98" s="635" t="str">
        <f>VLOOKUP($B98,'Afton Update'!$A$5:$CR$582,'Afton Update'!D$589,0)</f>
        <v>Phoenix Elementary District</v>
      </c>
      <c r="D98" s="636">
        <f>IFERROR(VLOOKUP($B98,'Afton FY16 Final'!$A$5:$BV$587,'Afton FY16 Final'!AQ$587,0),0)</f>
        <v>2629206.5911442311</v>
      </c>
      <c r="E98" s="637">
        <f>IFERROR(VLOOKUP($B98,'Afton FY16 Final'!$A$5:$BV$587,'Afton FY16 Final'!AR$587,0),0)</f>
        <v>647520.45166554744</v>
      </c>
      <c r="F98" s="637">
        <f>IFERROR(VLOOKUP($B98,'Afton FY16 Final'!$A$5:$BV$587,'Afton FY16 Final'!AS$587,0),0)</f>
        <v>1784192.771314844</v>
      </c>
      <c r="G98" s="637">
        <f>IFERROR(VLOOKUP($B98,'Afton FY16 Final'!$A$5:$BV$587,'Afton FY16 Final'!AT$587,0),0)</f>
        <v>2038456.1306969784</v>
      </c>
      <c r="H98" s="638">
        <f>IFERROR(VLOOKUP($B98,'Afton FY16 Final'!$A$5:$BV$587,'Afton FY16 Final'!AU$587,0),0)</f>
        <v>7099375.9448216017</v>
      </c>
      <c r="I98" s="639" t="str">
        <f>VLOOKUP($B98,'Afton Update'!$A$5:$CR$582,'Afton Update'!BT$589,0)</f>
        <v>Y</v>
      </c>
      <c r="J98" s="640" t="str">
        <f>VLOOKUP($B98,'Afton Update'!$A$5:$CR$582,'Afton Update'!BU$589,0)</f>
        <v>Y</v>
      </c>
      <c r="K98" s="640" t="str">
        <f>VLOOKUP($B98,'Afton Update'!$A$5:$CR$582,'Afton Update'!BV$589,0)</f>
        <v>Y</v>
      </c>
      <c r="L98" s="641" t="str">
        <f>VLOOKUP($B98,'Afton Update'!$A$5:$CR$582,'Afton Update'!BW$589,0)</f>
        <v>Y</v>
      </c>
      <c r="N98" s="642">
        <f>VLOOKUP($B98,'Afton Update'!$A$5:$CR$582,'Afton Update'!CB$589,0)</f>
        <v>0.95</v>
      </c>
      <c r="P98" s="636">
        <f>VLOOKUP($B98,'Afton Update'!$A$5:$CR$582,'Afton Update'!AH$589,0)</f>
        <v>2501997.9203890618</v>
      </c>
      <c r="Q98" s="637">
        <f>VLOOKUP($B98,'Afton Update'!$A$5:$CR$582,'Afton Update'!AI$589,0)</f>
        <v>614608.58790716785</v>
      </c>
      <c r="R98" s="637">
        <f>VLOOKUP($B98,'Afton Update'!$A$5:$CR$582,'Afton Update'!AJ$589,0)</f>
        <v>1701275.2547550676</v>
      </c>
      <c r="S98" s="637">
        <f>VLOOKUP($B98,'Afton Update'!$A$5:$CR$582,'Afton Update'!AK$589,0)</f>
        <v>1941581.1764049022</v>
      </c>
      <c r="T98" s="643">
        <f t="shared" si="145"/>
        <v>6759462.9394562002</v>
      </c>
      <c r="V98" s="636">
        <f t="shared" si="193"/>
        <v>2497746.2615870195</v>
      </c>
      <c r="W98" s="637">
        <f t="shared" si="194"/>
        <v>615144.42908227001</v>
      </c>
      <c r="X98" s="637">
        <f t="shared" si="195"/>
        <v>1694983.1327491018</v>
      </c>
      <c r="Y98" s="637">
        <f t="shared" si="196"/>
        <v>1936533.3241621293</v>
      </c>
      <c r="Z98" s="643">
        <f t="shared" si="197"/>
        <v>6744407.1475805212</v>
      </c>
      <c r="AB98" s="644">
        <f t="shared" si="146"/>
        <v>2501997.9203890618</v>
      </c>
      <c r="AC98" s="645">
        <f t="shared" si="134"/>
        <v>2497746.2615870195</v>
      </c>
      <c r="AD98" s="644">
        <f t="shared" si="198"/>
        <v>0</v>
      </c>
      <c r="AE98" s="645">
        <f t="shared" si="199"/>
        <v>2501997.9203890618</v>
      </c>
      <c r="AF98" s="646">
        <f t="shared" si="200"/>
        <v>-31014.14442460956</v>
      </c>
      <c r="AG98" s="647">
        <f t="shared" si="201"/>
        <v>2470983.7759644524</v>
      </c>
      <c r="AH98" s="644">
        <f t="shared" si="147"/>
        <v>-26762.485622567125</v>
      </c>
      <c r="AI98" s="645">
        <f t="shared" si="148"/>
        <v>0</v>
      </c>
      <c r="AJ98" s="646">
        <f t="shared" si="202"/>
        <v>0</v>
      </c>
      <c r="AK98" s="647">
        <f t="shared" si="149"/>
        <v>2497746.2615870195</v>
      </c>
      <c r="AL98" s="644">
        <f t="shared" si="203"/>
        <v>0</v>
      </c>
      <c r="AM98" s="645">
        <f t="shared" si="204"/>
        <v>0</v>
      </c>
      <c r="AN98" s="646">
        <f t="shared" si="205"/>
        <v>0</v>
      </c>
      <c r="AO98" s="647">
        <f t="shared" si="150"/>
        <v>2497746.2615870195</v>
      </c>
      <c r="AP98" s="644">
        <f t="shared" si="206"/>
        <v>0</v>
      </c>
      <c r="AQ98" s="645">
        <f t="shared" si="207"/>
        <v>0</v>
      </c>
      <c r="AR98" s="646">
        <f t="shared" si="208"/>
        <v>0</v>
      </c>
      <c r="AS98" s="647">
        <f t="shared" si="151"/>
        <v>2497746.2615870195</v>
      </c>
      <c r="AT98" s="644">
        <f t="shared" si="209"/>
        <v>0</v>
      </c>
      <c r="AU98" s="645">
        <f t="shared" si="210"/>
        <v>0</v>
      </c>
      <c r="AV98" s="646">
        <f t="shared" si="211"/>
        <v>0</v>
      </c>
      <c r="AW98" s="647">
        <f t="shared" si="152"/>
        <v>2497746.2615870195</v>
      </c>
      <c r="AY98" s="644">
        <f t="shared" si="212"/>
        <v>614608.58790716785</v>
      </c>
      <c r="AZ98" s="645">
        <f t="shared" si="153"/>
        <v>615144.42908227001</v>
      </c>
      <c r="BA98" s="644">
        <f t="shared" si="213"/>
        <v>535.84117510216311</v>
      </c>
      <c r="BB98" s="645">
        <f t="shared" si="214"/>
        <v>0</v>
      </c>
      <c r="BC98" s="646">
        <f t="shared" si="215"/>
        <v>0</v>
      </c>
      <c r="BD98" s="647">
        <f t="shared" si="216"/>
        <v>615144.42908227001</v>
      </c>
      <c r="BE98" s="644">
        <f t="shared" si="154"/>
        <v>0</v>
      </c>
      <c r="BF98" s="645">
        <f t="shared" si="155"/>
        <v>0</v>
      </c>
      <c r="BG98" s="646">
        <f t="shared" si="217"/>
        <v>0</v>
      </c>
      <c r="BH98" s="647">
        <f t="shared" si="156"/>
        <v>615144.42908227001</v>
      </c>
      <c r="BI98" s="644">
        <f t="shared" si="218"/>
        <v>0</v>
      </c>
      <c r="BJ98" s="645">
        <f t="shared" si="219"/>
        <v>0</v>
      </c>
      <c r="BK98" s="646">
        <f t="shared" si="220"/>
        <v>0</v>
      </c>
      <c r="BL98" s="647">
        <f t="shared" si="157"/>
        <v>615144.42908227001</v>
      </c>
      <c r="BM98" s="644">
        <f t="shared" si="221"/>
        <v>0</v>
      </c>
      <c r="BN98" s="645">
        <f t="shared" si="222"/>
        <v>0</v>
      </c>
      <c r="BO98" s="646">
        <f t="shared" si="223"/>
        <v>0</v>
      </c>
      <c r="BP98" s="647">
        <f t="shared" si="158"/>
        <v>615144.42908227001</v>
      </c>
      <c r="BQ98" s="644">
        <f t="shared" si="224"/>
        <v>0</v>
      </c>
      <c r="BR98" s="645">
        <f t="shared" si="225"/>
        <v>0</v>
      </c>
      <c r="BS98" s="646">
        <f t="shared" si="226"/>
        <v>0</v>
      </c>
      <c r="BT98" s="647">
        <f t="shared" si="159"/>
        <v>615144.42908227001</v>
      </c>
      <c r="BU98" s="662">
        <f>VLOOKUP(B98,'Afton Update'!$A$5:$AR$582,'Afton Update'!$AO$589,0)-BT98</f>
        <v>0</v>
      </c>
      <c r="BV98" s="644">
        <f t="shared" si="227"/>
        <v>1701275.2547550676</v>
      </c>
      <c r="BW98" s="645">
        <f t="shared" si="135"/>
        <v>1694983.1327491018</v>
      </c>
      <c r="BX98" s="644">
        <f t="shared" si="228"/>
        <v>0</v>
      </c>
      <c r="BY98" s="645">
        <f t="shared" si="229"/>
        <v>1701275.2547550676</v>
      </c>
      <c r="BZ98" s="646">
        <f t="shared" si="230"/>
        <v>-14932.273788549632</v>
      </c>
      <c r="CA98" s="647">
        <f t="shared" si="231"/>
        <v>1686342.9809665179</v>
      </c>
      <c r="CB98" s="644">
        <f t="shared" si="160"/>
        <v>-8640.151782583911</v>
      </c>
      <c r="CC98" s="645">
        <f t="shared" si="161"/>
        <v>0</v>
      </c>
      <c r="CD98" s="646">
        <f t="shared" si="232"/>
        <v>0</v>
      </c>
      <c r="CE98" s="647">
        <f t="shared" si="162"/>
        <v>1694983.1327491018</v>
      </c>
      <c r="CF98" s="644">
        <f t="shared" si="233"/>
        <v>0</v>
      </c>
      <c r="CG98" s="645">
        <f t="shared" si="234"/>
        <v>0</v>
      </c>
      <c r="CH98" s="646">
        <f t="shared" si="235"/>
        <v>0</v>
      </c>
      <c r="CI98" s="647">
        <f t="shared" si="163"/>
        <v>1694983.1327491018</v>
      </c>
      <c r="CJ98" s="644">
        <f t="shared" si="236"/>
        <v>0</v>
      </c>
      <c r="CK98" s="645">
        <f t="shared" si="237"/>
        <v>0</v>
      </c>
      <c r="CL98" s="646">
        <f t="shared" si="238"/>
        <v>0</v>
      </c>
      <c r="CM98" s="647">
        <f t="shared" si="164"/>
        <v>1694983.1327491018</v>
      </c>
      <c r="CN98" s="644">
        <f t="shared" si="239"/>
        <v>0</v>
      </c>
      <c r="CO98" s="645">
        <f t="shared" si="240"/>
        <v>0</v>
      </c>
      <c r="CP98" s="646">
        <f t="shared" si="241"/>
        <v>0</v>
      </c>
      <c r="CQ98" s="647">
        <f t="shared" si="165"/>
        <v>1694983.1327491018</v>
      </c>
      <c r="CS98" s="644">
        <f t="shared" si="242"/>
        <v>1941581.1764049022</v>
      </c>
      <c r="CT98" s="645">
        <f t="shared" si="136"/>
        <v>1936533.3241621293</v>
      </c>
      <c r="CU98" s="644">
        <f t="shared" si="243"/>
        <v>0</v>
      </c>
      <c r="CV98" s="645">
        <f t="shared" si="244"/>
        <v>1941581.1764049022</v>
      </c>
      <c r="CW98" s="646">
        <f t="shared" si="245"/>
        <v>-19882.888476576587</v>
      </c>
      <c r="CX98" s="647">
        <f t="shared" si="246"/>
        <v>1921698.2879283256</v>
      </c>
      <c r="CY98" s="644">
        <f t="shared" si="166"/>
        <v>-14835.036233803723</v>
      </c>
      <c r="CZ98" s="645">
        <f t="shared" si="167"/>
        <v>0</v>
      </c>
      <c r="DA98" s="646">
        <f t="shared" si="247"/>
        <v>0</v>
      </c>
      <c r="DB98" s="647">
        <f t="shared" si="168"/>
        <v>1936533.3241621293</v>
      </c>
      <c r="DC98" s="644">
        <f t="shared" si="248"/>
        <v>0</v>
      </c>
      <c r="DD98" s="645">
        <f t="shared" si="249"/>
        <v>0</v>
      </c>
      <c r="DE98" s="646">
        <f t="shared" si="250"/>
        <v>0</v>
      </c>
      <c r="DF98" s="647">
        <f t="shared" si="169"/>
        <v>1936533.3241621293</v>
      </c>
      <c r="DG98" s="644">
        <f t="shared" si="251"/>
        <v>0</v>
      </c>
      <c r="DH98" s="645">
        <f t="shared" si="252"/>
        <v>0</v>
      </c>
      <c r="DI98" s="646">
        <f t="shared" si="253"/>
        <v>0</v>
      </c>
      <c r="DJ98" s="647">
        <f t="shared" si="170"/>
        <v>1936533.3241621293</v>
      </c>
      <c r="DK98" s="644">
        <f t="shared" si="254"/>
        <v>0</v>
      </c>
      <c r="DL98" s="645">
        <f t="shared" si="255"/>
        <v>0</v>
      </c>
      <c r="DM98" s="646">
        <f t="shared" si="256"/>
        <v>0</v>
      </c>
      <c r="DN98" s="647">
        <f t="shared" si="171"/>
        <v>1936533.3241621293</v>
      </c>
      <c r="DR98" s="827">
        <f t="shared" si="172"/>
        <v>6744407.1475805212</v>
      </c>
      <c r="DV98" s="828">
        <f>IFERROR(VLOOKUP($B98,'Afton FY16 Final'!$A$5:$BV$587,'Afton FY16 Final'!$BV$587,0),0)</f>
        <v>6959589.2336437833</v>
      </c>
      <c r="DX98" s="636">
        <f t="shared" si="137"/>
        <v>0</v>
      </c>
      <c r="DY98" s="637">
        <f t="shared" si="138"/>
        <v>0</v>
      </c>
      <c r="DZ98" s="637">
        <f t="shared" si="139"/>
        <v>0</v>
      </c>
      <c r="EA98" s="643">
        <f t="shared" si="140"/>
        <v>0</v>
      </c>
      <c r="EB98" s="637">
        <f t="shared" si="173"/>
        <v>0</v>
      </c>
      <c r="EC98" s="637">
        <f t="shared" si="174"/>
        <v>0</v>
      </c>
      <c r="ED98" s="637">
        <f t="shared" si="175"/>
        <v>0</v>
      </c>
      <c r="EE98" s="643">
        <f t="shared" si="176"/>
        <v>0</v>
      </c>
      <c r="EF98" s="637">
        <f t="shared" si="177"/>
        <v>0</v>
      </c>
      <c r="EG98" s="637">
        <f t="shared" si="178"/>
        <v>0</v>
      </c>
      <c r="EH98" s="637">
        <f t="shared" si="179"/>
        <v>0</v>
      </c>
      <c r="EI98" s="643">
        <f t="shared" si="180"/>
        <v>0</v>
      </c>
      <c r="EJ98" s="637">
        <f t="shared" si="181"/>
        <v>0</v>
      </c>
      <c r="EK98" s="637">
        <f t="shared" si="182"/>
        <v>0</v>
      </c>
      <c r="EL98" s="637">
        <f t="shared" si="183"/>
        <v>0</v>
      </c>
      <c r="EM98" s="643">
        <f t="shared" si="184"/>
        <v>0</v>
      </c>
      <c r="EN98" s="637">
        <f t="shared" si="185"/>
        <v>0</v>
      </c>
      <c r="EO98" s="637">
        <f t="shared" si="186"/>
        <v>0</v>
      </c>
      <c r="EP98" s="637">
        <f t="shared" si="187"/>
        <v>0</v>
      </c>
      <c r="EQ98" s="643">
        <f t="shared" si="188"/>
        <v>0</v>
      </c>
      <c r="ER98" s="637">
        <f t="shared" si="189"/>
        <v>0</v>
      </c>
      <c r="ES98" s="637">
        <f t="shared" si="190"/>
        <v>0</v>
      </c>
      <c r="ET98" s="637">
        <f t="shared" si="191"/>
        <v>0</v>
      </c>
      <c r="EU98" s="643">
        <f t="shared" si="141"/>
        <v>0</v>
      </c>
      <c r="EV98" s="643">
        <f t="shared" si="142"/>
        <v>0</v>
      </c>
      <c r="EX98" s="829">
        <f t="shared" si="143"/>
        <v>0</v>
      </c>
      <c r="EY98" s="638">
        <f t="shared" si="144"/>
        <v>6744407.1475805212</v>
      </c>
      <c r="FC98" s="830" t="str">
        <f t="shared" si="192"/>
        <v>Y</v>
      </c>
      <c r="FE98" s="830" t="str">
        <f>IFERROR(VLOOKUP($B98,'Historical Conc Grant Elig'!$B$3:$J$707,'HH &amp; SI'!FE$2,0),"N")</f>
        <v>Y</v>
      </c>
      <c r="FF98" s="830" t="str">
        <f>IFERROR(VLOOKUP($B98,'Historical Conc Grant Elig'!$B$3:$J$707,'HH &amp; SI'!FF$2,0),"N")</f>
        <v>Y</v>
      </c>
      <c r="FG98" s="830" t="str">
        <f>IFERROR(VLOOKUP($B98,'Historical Conc Grant Elig'!$B$3:$J$707,'HH &amp; SI'!FG$2,0),"N")</f>
        <v>Y</v>
      </c>
      <c r="FH98" s="830" t="str">
        <f>IFERROR(VLOOKUP($B98,'Historical Conc Grant Elig'!$B$3:$J$707,'HH &amp; SI'!FH$2,0),"N")</f>
        <v>Y</v>
      </c>
      <c r="FI98" s="830" t="str">
        <f>IFERROR(VLOOKUP($B98,'Historical Conc Grant Elig'!$B$3:$J$707,'HH &amp; SI'!FI$2,0),"N")</f>
        <v>Y</v>
      </c>
      <c r="FJ98" s="830" t="str">
        <f>IFERROR(VLOOKUP($B98,'Historical Conc Grant Elig'!$B$3:$J$707,'HH &amp; SI'!FJ$2,0),"N")</f>
        <v>Y</v>
      </c>
      <c r="FK98" s="830" t="str">
        <f>IFERROR(VLOOKUP($B98,'Historical Conc Grant Elig'!$B$3:$J$707,'HH &amp; SI'!FK$2,0),"N")</f>
        <v>Y</v>
      </c>
      <c r="FL98" s="957" t="str">
        <f>IFERROR(VLOOKUP($B98,'Historical Conc Grant Elig'!$B$3:$J$707,'HH &amp; SI'!FL$2,0),"N")</f>
        <v>Y</v>
      </c>
    </row>
    <row r="99" spans="2:168" x14ac:dyDescent="0.25">
      <c r="B99" s="634">
        <v>70402000</v>
      </c>
      <c r="C99" s="635" t="str">
        <f>VLOOKUP($B99,'Afton Update'!$A$5:$CR$582,'Afton Update'!D$589,0)</f>
        <v>Riverside Elementary District</v>
      </c>
      <c r="D99" s="636">
        <f>IFERROR(VLOOKUP($B99,'Afton FY16 Final'!$A$5:$BV$587,'Afton FY16 Final'!AQ$587,0),0)</f>
        <v>158829.1424351692</v>
      </c>
      <c r="E99" s="637">
        <f>IFERROR(VLOOKUP($B99,'Afton FY16 Final'!$A$5:$BV$587,'Afton FY16 Final'!AR$587,0),0)</f>
        <v>38932.754777762872</v>
      </c>
      <c r="F99" s="637">
        <f>IFERROR(VLOOKUP($B99,'Afton FY16 Final'!$A$5:$BV$587,'Afton FY16 Final'!AS$587,0),0)</f>
        <v>67996.885201874262</v>
      </c>
      <c r="G99" s="637">
        <f>IFERROR(VLOOKUP($B99,'Afton FY16 Final'!$A$5:$BV$587,'Afton FY16 Final'!AT$587,0),0)</f>
        <v>48208.666501663771</v>
      </c>
      <c r="H99" s="638">
        <f>IFERROR(VLOOKUP($B99,'Afton FY16 Final'!$A$5:$BV$587,'Afton FY16 Final'!AU$587,0),0)</f>
        <v>313967.44891647005</v>
      </c>
      <c r="I99" s="639" t="str">
        <f>VLOOKUP($B99,'Afton Update'!$A$5:$CR$582,'Afton Update'!BT$589,0)</f>
        <v>Y</v>
      </c>
      <c r="J99" s="640" t="str">
        <f>VLOOKUP($B99,'Afton Update'!$A$5:$CR$582,'Afton Update'!BU$589,0)</f>
        <v>Y</v>
      </c>
      <c r="K99" s="640" t="str">
        <f>VLOOKUP($B99,'Afton Update'!$A$5:$CR$582,'Afton Update'!BV$589,0)</f>
        <v>Y</v>
      </c>
      <c r="L99" s="641" t="str">
        <f>VLOOKUP($B99,'Afton Update'!$A$5:$CR$582,'Afton Update'!BW$589,0)</f>
        <v>Y</v>
      </c>
      <c r="N99" s="642">
        <f>VLOOKUP($B99,'Afton Update'!$A$5:$CR$582,'Afton Update'!CB$589,0)</f>
        <v>0.9</v>
      </c>
      <c r="P99" s="636">
        <f>VLOOKUP($B99,'Afton Update'!$A$5:$CR$582,'Afton Update'!AH$589,0)</f>
        <v>160460.66295973113</v>
      </c>
      <c r="Q99" s="637">
        <f>VLOOKUP($B99,'Afton Update'!$A$5:$CR$582,'Afton Update'!AI$589,0)</f>
        <v>40372.557546064469</v>
      </c>
      <c r="R99" s="637">
        <f>VLOOKUP($B99,'Afton Update'!$A$5:$CR$582,'Afton Update'!AJ$589,0)</f>
        <v>73784.313246210062</v>
      </c>
      <c r="S99" s="637">
        <f>VLOOKUP($B99,'Afton Update'!$A$5:$CR$582,'Afton Update'!AK$589,0)</f>
        <v>59585.370624926356</v>
      </c>
      <c r="T99" s="643">
        <f t="shared" si="145"/>
        <v>334202.90437693201</v>
      </c>
      <c r="V99" s="636">
        <f t="shared" si="193"/>
        <v>158271.8753677746</v>
      </c>
      <c r="W99" s="637">
        <f t="shared" si="194"/>
        <v>39042.833106413396</v>
      </c>
      <c r="X99" s="637">
        <f t="shared" si="195"/>
        <v>73113.273725231644</v>
      </c>
      <c r="Y99" s="637">
        <f t="shared" si="196"/>
        <v>58928.847099785744</v>
      </c>
      <c r="Z99" s="643">
        <f t="shared" si="197"/>
        <v>329356.82929920539</v>
      </c>
      <c r="AB99" s="644">
        <f t="shared" si="146"/>
        <v>160460.66295973113</v>
      </c>
      <c r="AC99" s="645">
        <f t="shared" si="134"/>
        <v>142946.22819165228</v>
      </c>
      <c r="AD99" s="644">
        <f t="shared" si="198"/>
        <v>0</v>
      </c>
      <c r="AE99" s="645">
        <f t="shared" si="199"/>
        <v>160460.66295973113</v>
      </c>
      <c r="AF99" s="646">
        <f t="shared" si="200"/>
        <v>-1989.0305003642218</v>
      </c>
      <c r="AG99" s="647">
        <f t="shared" si="201"/>
        <v>158471.6324593669</v>
      </c>
      <c r="AH99" s="644">
        <f t="shared" si="147"/>
        <v>0</v>
      </c>
      <c r="AI99" s="645">
        <f t="shared" si="148"/>
        <v>158471.6324593669</v>
      </c>
      <c r="AJ99" s="646">
        <f t="shared" si="202"/>
        <v>-199.62982696275935</v>
      </c>
      <c r="AK99" s="647">
        <f t="shared" si="149"/>
        <v>158272.00263240412</v>
      </c>
      <c r="AL99" s="644">
        <f t="shared" si="203"/>
        <v>0</v>
      </c>
      <c r="AM99" s="645">
        <f t="shared" si="204"/>
        <v>158272.00263240412</v>
      </c>
      <c r="AN99" s="646">
        <f t="shared" si="205"/>
        <v>-0.12726462951409093</v>
      </c>
      <c r="AO99" s="647">
        <f t="shared" si="150"/>
        <v>158271.8753677746</v>
      </c>
      <c r="AP99" s="644">
        <f t="shared" si="206"/>
        <v>0</v>
      </c>
      <c r="AQ99" s="645">
        <f t="shared" si="207"/>
        <v>158271.8753677746</v>
      </c>
      <c r="AR99" s="646">
        <f t="shared" si="208"/>
        <v>0</v>
      </c>
      <c r="AS99" s="647">
        <f t="shared" si="151"/>
        <v>158271.8753677746</v>
      </c>
      <c r="AT99" s="644">
        <f t="shared" si="209"/>
        <v>0</v>
      </c>
      <c r="AU99" s="645">
        <f t="shared" si="210"/>
        <v>158271.8753677746</v>
      </c>
      <c r="AV99" s="646">
        <f t="shared" si="211"/>
        <v>0</v>
      </c>
      <c r="AW99" s="647">
        <f t="shared" si="152"/>
        <v>158271.8753677746</v>
      </c>
      <c r="AY99" s="644">
        <f t="shared" si="212"/>
        <v>40372.557546064469</v>
      </c>
      <c r="AZ99" s="645">
        <f t="shared" si="153"/>
        <v>35039.479299986582</v>
      </c>
      <c r="BA99" s="644">
        <f t="shared" si="213"/>
        <v>0</v>
      </c>
      <c r="BB99" s="645">
        <f t="shared" si="214"/>
        <v>40372.557546064469</v>
      </c>
      <c r="BC99" s="646">
        <f t="shared" si="215"/>
        <v>-290.33082710613138</v>
      </c>
      <c r="BD99" s="647">
        <f t="shared" si="216"/>
        <v>40082.226718958336</v>
      </c>
      <c r="BE99" s="644">
        <f t="shared" si="154"/>
        <v>0</v>
      </c>
      <c r="BF99" s="645">
        <f t="shared" si="155"/>
        <v>40082.226718958336</v>
      </c>
      <c r="BG99" s="646">
        <f t="shared" si="217"/>
        <v>-954.72597578737111</v>
      </c>
      <c r="BH99" s="647">
        <f t="shared" si="156"/>
        <v>39127.500743170967</v>
      </c>
      <c r="BI99" s="644">
        <f t="shared" si="218"/>
        <v>0</v>
      </c>
      <c r="BJ99" s="645">
        <f t="shared" si="219"/>
        <v>39127.500743170967</v>
      </c>
      <c r="BK99" s="646">
        <f t="shared" si="220"/>
        <v>-82.881236528746257</v>
      </c>
      <c r="BL99" s="647">
        <f t="shared" si="157"/>
        <v>39044.619506642222</v>
      </c>
      <c r="BM99" s="644">
        <f t="shared" si="221"/>
        <v>0</v>
      </c>
      <c r="BN99" s="645">
        <f t="shared" si="222"/>
        <v>39044.619506642222</v>
      </c>
      <c r="BO99" s="646">
        <f t="shared" si="223"/>
        <v>-1.7864002288225318</v>
      </c>
      <c r="BP99" s="647">
        <f t="shared" si="158"/>
        <v>39042.833106413396</v>
      </c>
      <c r="BQ99" s="644">
        <f t="shared" si="224"/>
        <v>0</v>
      </c>
      <c r="BR99" s="645">
        <f t="shared" si="225"/>
        <v>39042.833106413396</v>
      </c>
      <c r="BS99" s="646">
        <f t="shared" si="226"/>
        <v>0</v>
      </c>
      <c r="BT99" s="647">
        <f t="shared" si="159"/>
        <v>39042.833106413396</v>
      </c>
      <c r="BU99" s="662">
        <f>VLOOKUP(B99,'Afton Update'!$A$5:$AR$582,'Afton Update'!$AO$589,0)-BT99</f>
        <v>0</v>
      </c>
      <c r="BV99" s="644">
        <f t="shared" si="227"/>
        <v>73784.313246210062</v>
      </c>
      <c r="BW99" s="645">
        <f t="shared" si="135"/>
        <v>61197.196681686837</v>
      </c>
      <c r="BX99" s="644">
        <f t="shared" si="228"/>
        <v>0</v>
      </c>
      <c r="BY99" s="645">
        <f t="shared" si="229"/>
        <v>73784.313246210062</v>
      </c>
      <c r="BZ99" s="646">
        <f t="shared" si="230"/>
        <v>-647.61276202253305</v>
      </c>
      <c r="CA99" s="647">
        <f t="shared" si="231"/>
        <v>73136.700484187531</v>
      </c>
      <c r="CB99" s="644">
        <f t="shared" si="160"/>
        <v>0</v>
      </c>
      <c r="CC99" s="645">
        <f t="shared" si="161"/>
        <v>73136.700484187531</v>
      </c>
      <c r="CD99" s="646">
        <f t="shared" si="232"/>
        <v>-23.426758955882409</v>
      </c>
      <c r="CE99" s="647">
        <f t="shared" si="162"/>
        <v>73113.273725231644</v>
      </c>
      <c r="CF99" s="644">
        <f t="shared" si="233"/>
        <v>0</v>
      </c>
      <c r="CG99" s="645">
        <f t="shared" si="234"/>
        <v>73113.273725231644</v>
      </c>
      <c r="CH99" s="646">
        <f t="shared" si="235"/>
        <v>0</v>
      </c>
      <c r="CI99" s="647">
        <f t="shared" si="163"/>
        <v>73113.273725231644</v>
      </c>
      <c r="CJ99" s="644">
        <f t="shared" si="236"/>
        <v>0</v>
      </c>
      <c r="CK99" s="645">
        <f t="shared" si="237"/>
        <v>73113.273725231644</v>
      </c>
      <c r="CL99" s="646">
        <f t="shared" si="238"/>
        <v>0</v>
      </c>
      <c r="CM99" s="647">
        <f t="shared" si="164"/>
        <v>73113.273725231644</v>
      </c>
      <c r="CN99" s="644">
        <f t="shared" si="239"/>
        <v>0</v>
      </c>
      <c r="CO99" s="645">
        <f t="shared" si="240"/>
        <v>73113.273725231644</v>
      </c>
      <c r="CP99" s="646">
        <f t="shared" si="241"/>
        <v>0</v>
      </c>
      <c r="CQ99" s="647">
        <f t="shared" si="165"/>
        <v>73113.273725231644</v>
      </c>
      <c r="CS99" s="644">
        <f t="shared" si="242"/>
        <v>59585.370624926356</v>
      </c>
      <c r="CT99" s="645">
        <f t="shared" si="136"/>
        <v>43387.799851497395</v>
      </c>
      <c r="CU99" s="644">
        <f t="shared" si="243"/>
        <v>0</v>
      </c>
      <c r="CV99" s="645">
        <f t="shared" si="244"/>
        <v>59585.370624926356</v>
      </c>
      <c r="CW99" s="646">
        <f t="shared" si="245"/>
        <v>-610.1878682016162</v>
      </c>
      <c r="CX99" s="647">
        <f t="shared" si="246"/>
        <v>58975.182756724738</v>
      </c>
      <c r="CY99" s="644">
        <f t="shared" si="166"/>
        <v>0</v>
      </c>
      <c r="CZ99" s="645">
        <f t="shared" si="167"/>
        <v>58975.182756724738</v>
      </c>
      <c r="DA99" s="646">
        <f t="shared" si="247"/>
        <v>-46.295732635840899</v>
      </c>
      <c r="DB99" s="647">
        <f t="shared" si="168"/>
        <v>58928.887024088901</v>
      </c>
      <c r="DC99" s="644">
        <f t="shared" si="248"/>
        <v>0</v>
      </c>
      <c r="DD99" s="645">
        <f t="shared" si="249"/>
        <v>58928.887024088901</v>
      </c>
      <c r="DE99" s="646">
        <f t="shared" si="250"/>
        <v>-3.9924303155163161E-2</v>
      </c>
      <c r="DF99" s="647">
        <f t="shared" si="169"/>
        <v>58928.847099785744</v>
      </c>
      <c r="DG99" s="644">
        <f t="shared" si="251"/>
        <v>0</v>
      </c>
      <c r="DH99" s="645">
        <f t="shared" si="252"/>
        <v>58928.847099785744</v>
      </c>
      <c r="DI99" s="646">
        <f t="shared" si="253"/>
        <v>0</v>
      </c>
      <c r="DJ99" s="647">
        <f t="shared" si="170"/>
        <v>58928.847099785744</v>
      </c>
      <c r="DK99" s="644">
        <f t="shared" si="254"/>
        <v>0</v>
      </c>
      <c r="DL99" s="645">
        <f t="shared" si="255"/>
        <v>58928.847099785744</v>
      </c>
      <c r="DM99" s="646">
        <f t="shared" si="256"/>
        <v>0</v>
      </c>
      <c r="DN99" s="647">
        <f t="shared" si="171"/>
        <v>58928.847099785744</v>
      </c>
      <c r="DR99" s="827">
        <f t="shared" si="172"/>
        <v>329356.82929920539</v>
      </c>
      <c r="DV99" s="828">
        <f>IFERROR(VLOOKUP($B99,'Afton FY16 Final'!$A$5:$BV$587,'Afton FY16 Final'!$BV$587,0),0)</f>
        <v>278749.83925887529</v>
      </c>
      <c r="DX99" s="636">
        <f t="shared" si="137"/>
        <v>329356.82929920539</v>
      </c>
      <c r="DY99" s="637">
        <f t="shared" si="138"/>
        <v>50606.9900403301</v>
      </c>
      <c r="DZ99" s="637">
        <f t="shared" si="139"/>
        <v>278749.83925887529</v>
      </c>
      <c r="EA99" s="643">
        <f t="shared" si="140"/>
        <v>311838.73721453035</v>
      </c>
      <c r="EB99" s="637">
        <f t="shared" si="173"/>
        <v>0</v>
      </c>
      <c r="EC99" s="637">
        <f t="shared" si="174"/>
        <v>311838.73721453035</v>
      </c>
      <c r="ED99" s="637">
        <f t="shared" si="175"/>
        <v>310908.85271933855</v>
      </c>
      <c r="EE99" s="643">
        <f t="shared" si="176"/>
        <v>310908.85271933855</v>
      </c>
      <c r="EF99" s="637">
        <f t="shared" si="177"/>
        <v>0</v>
      </c>
      <c r="EG99" s="637">
        <f t="shared" si="178"/>
        <v>310908.85271933855</v>
      </c>
      <c r="EH99" s="637">
        <f t="shared" si="179"/>
        <v>310908.53196681087</v>
      </c>
      <c r="EI99" s="643">
        <f t="shared" si="180"/>
        <v>310908.53196681087</v>
      </c>
      <c r="EJ99" s="637">
        <f t="shared" si="181"/>
        <v>0</v>
      </c>
      <c r="EK99" s="637">
        <f t="shared" si="182"/>
        <v>310908.53196681087</v>
      </c>
      <c r="EL99" s="637">
        <f t="shared" si="183"/>
        <v>310908.53196681041</v>
      </c>
      <c r="EM99" s="643">
        <f t="shared" si="184"/>
        <v>310908.53196681041</v>
      </c>
      <c r="EN99" s="637">
        <f t="shared" si="185"/>
        <v>0</v>
      </c>
      <c r="EO99" s="637">
        <f t="shared" si="186"/>
        <v>310908.53196681041</v>
      </c>
      <c r="EP99" s="637">
        <f t="shared" si="187"/>
        <v>310908.53196681087</v>
      </c>
      <c r="EQ99" s="643">
        <f t="shared" si="188"/>
        <v>310908.53196681087</v>
      </c>
      <c r="ER99" s="637">
        <f t="shared" si="189"/>
        <v>0</v>
      </c>
      <c r="ES99" s="637">
        <f t="shared" si="190"/>
        <v>310908.53196681087</v>
      </c>
      <c r="ET99" s="637">
        <f t="shared" si="191"/>
        <v>310908.53196681041</v>
      </c>
      <c r="EU99" s="643">
        <f t="shared" si="141"/>
        <v>310908.53196681041</v>
      </c>
      <c r="EV99" s="643">
        <f t="shared" si="142"/>
        <v>0</v>
      </c>
      <c r="EX99" s="829">
        <f t="shared" si="143"/>
        <v>18448.297332394985</v>
      </c>
      <c r="EY99" s="638">
        <f t="shared" si="144"/>
        <v>310908.53196681041</v>
      </c>
      <c r="FC99" s="830" t="str">
        <f t="shared" si="192"/>
        <v>Y</v>
      </c>
      <c r="FE99" s="830" t="str">
        <f>IFERROR(VLOOKUP($B99,'Historical Conc Grant Elig'!$B$3:$J$707,'HH &amp; SI'!FE$2,0),"N")</f>
        <v>Y</v>
      </c>
      <c r="FF99" s="830" t="str">
        <f>IFERROR(VLOOKUP($B99,'Historical Conc Grant Elig'!$B$3:$J$707,'HH &amp; SI'!FF$2,0),"N")</f>
        <v>Y</v>
      </c>
      <c r="FG99" s="830" t="str">
        <f>IFERROR(VLOOKUP($B99,'Historical Conc Grant Elig'!$B$3:$J$707,'HH &amp; SI'!FG$2,0),"N")</f>
        <v>Y</v>
      </c>
      <c r="FH99" s="830" t="str">
        <f>IFERROR(VLOOKUP($B99,'Historical Conc Grant Elig'!$B$3:$J$707,'HH &amp; SI'!FH$2,0),"N")</f>
        <v>Y</v>
      </c>
      <c r="FI99" s="830" t="str">
        <f>IFERROR(VLOOKUP($B99,'Historical Conc Grant Elig'!$B$3:$J$707,'HH &amp; SI'!FI$2,0),"N")</f>
        <v>Y</v>
      </c>
      <c r="FJ99" s="830" t="str">
        <f>IFERROR(VLOOKUP($B99,'Historical Conc Grant Elig'!$B$3:$J$707,'HH &amp; SI'!FJ$2,0),"N")</f>
        <v>Y</v>
      </c>
      <c r="FK99" s="830" t="str">
        <f>IFERROR(VLOOKUP($B99,'Historical Conc Grant Elig'!$B$3:$J$707,'HH &amp; SI'!FK$2,0),"N")</f>
        <v>Y</v>
      </c>
      <c r="FL99" s="957" t="str">
        <f>IFERROR(VLOOKUP($B99,'Historical Conc Grant Elig'!$B$3:$J$707,'HH &amp; SI'!FL$2,0),"N")</f>
        <v>Y</v>
      </c>
    </row>
    <row r="100" spans="2:168" x14ac:dyDescent="0.25">
      <c r="B100" s="634">
        <v>70403000</v>
      </c>
      <c r="C100" s="635" t="str">
        <f>VLOOKUP($B100,'Afton Update'!$A$5:$CR$582,'Afton Update'!D$589,0)</f>
        <v>Tempe School District</v>
      </c>
      <c r="D100" s="636">
        <f>IFERROR(VLOOKUP($B100,'Afton FY16 Final'!$A$5:$BV$587,'Afton FY16 Final'!AQ$587,0),0)</f>
        <v>1919919.3800807323</v>
      </c>
      <c r="E100" s="637">
        <f>IFERROR(VLOOKUP($B100,'Afton FY16 Final'!$A$5:$BV$587,'Afton FY16 Final'!AR$587,0),0)</f>
        <v>449442.63735155365</v>
      </c>
      <c r="F100" s="637">
        <f>IFERROR(VLOOKUP($B100,'Afton FY16 Final'!$A$5:$BV$587,'Afton FY16 Final'!AS$587,0),0)</f>
        <v>1003672.3949735755</v>
      </c>
      <c r="G100" s="637">
        <f>IFERROR(VLOOKUP($B100,'Afton FY16 Final'!$A$5:$BV$587,'Afton FY16 Final'!AT$587,0),0)</f>
        <v>906259.65137187636</v>
      </c>
      <c r="H100" s="638">
        <f>IFERROR(VLOOKUP($B100,'Afton FY16 Final'!$A$5:$BV$587,'Afton FY16 Final'!AU$587,0),0)</f>
        <v>4279294.0637777383</v>
      </c>
      <c r="I100" s="639" t="str">
        <f>VLOOKUP($B100,'Afton Update'!$A$5:$CR$582,'Afton Update'!BT$589,0)</f>
        <v>Y</v>
      </c>
      <c r="J100" s="640" t="str">
        <f>VLOOKUP($B100,'Afton Update'!$A$5:$CR$582,'Afton Update'!BU$589,0)</f>
        <v>Y</v>
      </c>
      <c r="K100" s="640" t="str">
        <f>VLOOKUP($B100,'Afton Update'!$A$5:$CR$582,'Afton Update'!BV$589,0)</f>
        <v>Y</v>
      </c>
      <c r="L100" s="641" t="str">
        <f>VLOOKUP($B100,'Afton Update'!$A$5:$CR$582,'Afton Update'!BW$589,0)</f>
        <v>Y</v>
      </c>
      <c r="N100" s="642">
        <f>VLOOKUP($B100,'Afton Update'!$A$5:$CR$582,'Afton Update'!CB$589,0)</f>
        <v>0.95</v>
      </c>
      <c r="P100" s="636">
        <f>VLOOKUP($B100,'Afton Update'!$A$5:$CR$582,'Afton Update'!AH$589,0)</f>
        <v>1916775.5557189691</v>
      </c>
      <c r="Q100" s="637">
        <f>VLOOKUP($B100,'Afton Update'!$A$5:$CR$582,'Afton Update'!AI$589,0)</f>
        <v>458945.74246000504</v>
      </c>
      <c r="R100" s="637">
        <f>VLOOKUP($B100,'Afton Update'!$A$5:$CR$582,'Afton Update'!AJ$589,0)</f>
        <v>1062496.2845530121</v>
      </c>
      <c r="S100" s="637">
        <f>VLOOKUP($B100,'Afton Update'!$A$5:$CR$582,'Afton Update'!AK$589,0)</f>
        <v>945603.76800554269</v>
      </c>
      <c r="T100" s="643">
        <f t="shared" si="145"/>
        <v>4383821.3507375289</v>
      </c>
      <c r="V100" s="636">
        <f t="shared" si="193"/>
        <v>1890629.4930295979</v>
      </c>
      <c r="W100" s="637">
        <f t="shared" si="194"/>
        <v>443829.74765272625</v>
      </c>
      <c r="X100" s="637">
        <f t="shared" si="195"/>
        <v>1052833.2956809918</v>
      </c>
      <c r="Y100" s="637">
        <f t="shared" si="196"/>
        <v>935184.91665585339</v>
      </c>
      <c r="Z100" s="643">
        <f t="shared" si="197"/>
        <v>4322477.4530191701</v>
      </c>
      <c r="AB100" s="644">
        <f t="shared" si="146"/>
        <v>1916775.5557189691</v>
      </c>
      <c r="AC100" s="645">
        <f t="shared" si="134"/>
        <v>1823923.4110766957</v>
      </c>
      <c r="AD100" s="644">
        <f t="shared" si="198"/>
        <v>0</v>
      </c>
      <c r="AE100" s="645">
        <f t="shared" si="199"/>
        <v>1916775.5557189691</v>
      </c>
      <c r="AF100" s="646">
        <f t="shared" si="200"/>
        <v>-23759.873431623513</v>
      </c>
      <c r="AG100" s="647">
        <f t="shared" si="201"/>
        <v>1893015.6822873456</v>
      </c>
      <c r="AH100" s="644">
        <f t="shared" si="147"/>
        <v>0</v>
      </c>
      <c r="AI100" s="645">
        <f t="shared" si="148"/>
        <v>1893015.6822873456</v>
      </c>
      <c r="AJ100" s="646">
        <f t="shared" si="202"/>
        <v>-2384.669023900597</v>
      </c>
      <c r="AK100" s="647">
        <f t="shared" si="149"/>
        <v>1890631.0132634451</v>
      </c>
      <c r="AL100" s="644">
        <f t="shared" si="203"/>
        <v>0</v>
      </c>
      <c r="AM100" s="645">
        <f t="shared" si="204"/>
        <v>1890631.0132634451</v>
      </c>
      <c r="AN100" s="646">
        <f t="shared" si="205"/>
        <v>-1.5202338471046857</v>
      </c>
      <c r="AO100" s="647">
        <f t="shared" si="150"/>
        <v>1890629.4930295979</v>
      </c>
      <c r="AP100" s="644">
        <f t="shared" si="206"/>
        <v>0</v>
      </c>
      <c r="AQ100" s="645">
        <f t="shared" si="207"/>
        <v>1890629.4930295979</v>
      </c>
      <c r="AR100" s="646">
        <f t="shared" si="208"/>
        <v>0</v>
      </c>
      <c r="AS100" s="647">
        <f t="shared" si="151"/>
        <v>1890629.4930295979</v>
      </c>
      <c r="AT100" s="644">
        <f t="shared" si="209"/>
        <v>0</v>
      </c>
      <c r="AU100" s="645">
        <f t="shared" si="210"/>
        <v>1890629.4930295979</v>
      </c>
      <c r="AV100" s="646">
        <f t="shared" si="211"/>
        <v>0</v>
      </c>
      <c r="AW100" s="647">
        <f t="shared" si="152"/>
        <v>1890629.4930295979</v>
      </c>
      <c r="AY100" s="644">
        <f t="shared" si="212"/>
        <v>458945.74246000504</v>
      </c>
      <c r="AZ100" s="645">
        <f t="shared" si="153"/>
        <v>426970.50548397593</v>
      </c>
      <c r="BA100" s="644">
        <f t="shared" si="213"/>
        <v>0</v>
      </c>
      <c r="BB100" s="645">
        <f t="shared" si="214"/>
        <v>458945.74246000504</v>
      </c>
      <c r="BC100" s="646">
        <f t="shared" si="215"/>
        <v>-3300.4125847915152</v>
      </c>
      <c r="BD100" s="647">
        <f t="shared" si="216"/>
        <v>455645.3298752135</v>
      </c>
      <c r="BE100" s="644">
        <f t="shared" si="154"/>
        <v>0</v>
      </c>
      <c r="BF100" s="645">
        <f t="shared" si="155"/>
        <v>455645.3298752135</v>
      </c>
      <c r="BG100" s="646">
        <f t="shared" si="217"/>
        <v>-10853.100433472551</v>
      </c>
      <c r="BH100" s="647">
        <f t="shared" si="156"/>
        <v>444792.22944174096</v>
      </c>
      <c r="BI100" s="644">
        <f t="shared" si="218"/>
        <v>0</v>
      </c>
      <c r="BJ100" s="645">
        <f t="shared" si="219"/>
        <v>444792.22944174096</v>
      </c>
      <c r="BK100" s="646">
        <f t="shared" si="220"/>
        <v>-942.17441120216313</v>
      </c>
      <c r="BL100" s="647">
        <f t="shared" si="157"/>
        <v>443850.05503053882</v>
      </c>
      <c r="BM100" s="644">
        <f t="shared" si="221"/>
        <v>0</v>
      </c>
      <c r="BN100" s="645">
        <f t="shared" si="222"/>
        <v>443850.05503053882</v>
      </c>
      <c r="BO100" s="646">
        <f t="shared" si="223"/>
        <v>-20.307377812570607</v>
      </c>
      <c r="BP100" s="647">
        <f t="shared" si="158"/>
        <v>443829.74765272625</v>
      </c>
      <c r="BQ100" s="644">
        <f t="shared" si="224"/>
        <v>0</v>
      </c>
      <c r="BR100" s="645">
        <f t="shared" si="225"/>
        <v>443829.74765272625</v>
      </c>
      <c r="BS100" s="646">
        <f t="shared" si="226"/>
        <v>0</v>
      </c>
      <c r="BT100" s="647">
        <f t="shared" si="159"/>
        <v>443829.74765272625</v>
      </c>
      <c r="BU100" s="662">
        <f>VLOOKUP(B100,'Afton Update'!$A$5:$AR$582,'Afton Update'!$AO$589,0)-BT100</f>
        <v>0</v>
      </c>
      <c r="BV100" s="644">
        <f t="shared" si="227"/>
        <v>1062496.2845530121</v>
      </c>
      <c r="BW100" s="645">
        <f t="shared" si="135"/>
        <v>953488.77522489661</v>
      </c>
      <c r="BX100" s="644">
        <f t="shared" si="228"/>
        <v>0</v>
      </c>
      <c r="BY100" s="645">
        <f t="shared" si="229"/>
        <v>1062496.2845530121</v>
      </c>
      <c r="BZ100" s="646">
        <f t="shared" si="230"/>
        <v>-9325.6428528647848</v>
      </c>
      <c r="CA100" s="647">
        <f t="shared" si="231"/>
        <v>1053170.6417001474</v>
      </c>
      <c r="CB100" s="644">
        <f t="shared" si="160"/>
        <v>0</v>
      </c>
      <c r="CC100" s="645">
        <f t="shared" si="161"/>
        <v>1053170.6417001474</v>
      </c>
      <c r="CD100" s="646">
        <f t="shared" si="232"/>
        <v>-337.34601915567174</v>
      </c>
      <c r="CE100" s="647">
        <f t="shared" si="162"/>
        <v>1052833.2956809918</v>
      </c>
      <c r="CF100" s="644">
        <f t="shared" si="233"/>
        <v>0</v>
      </c>
      <c r="CG100" s="645">
        <f t="shared" si="234"/>
        <v>1052833.2956809918</v>
      </c>
      <c r="CH100" s="646">
        <f t="shared" si="235"/>
        <v>0</v>
      </c>
      <c r="CI100" s="647">
        <f t="shared" si="163"/>
        <v>1052833.2956809918</v>
      </c>
      <c r="CJ100" s="644">
        <f t="shared" si="236"/>
        <v>0</v>
      </c>
      <c r="CK100" s="645">
        <f t="shared" si="237"/>
        <v>1052833.2956809918</v>
      </c>
      <c r="CL100" s="646">
        <f t="shared" si="238"/>
        <v>0</v>
      </c>
      <c r="CM100" s="647">
        <f t="shared" si="164"/>
        <v>1052833.2956809918</v>
      </c>
      <c r="CN100" s="644">
        <f t="shared" si="239"/>
        <v>0</v>
      </c>
      <c r="CO100" s="645">
        <f t="shared" si="240"/>
        <v>1052833.2956809918</v>
      </c>
      <c r="CP100" s="646">
        <f t="shared" si="241"/>
        <v>0</v>
      </c>
      <c r="CQ100" s="647">
        <f t="shared" si="165"/>
        <v>1052833.2956809918</v>
      </c>
      <c r="CS100" s="644">
        <f t="shared" si="242"/>
        <v>945603.76800554269</v>
      </c>
      <c r="CT100" s="645">
        <f t="shared" si="136"/>
        <v>860946.66880328255</v>
      </c>
      <c r="CU100" s="644">
        <f t="shared" si="243"/>
        <v>0</v>
      </c>
      <c r="CV100" s="645">
        <f t="shared" si="244"/>
        <v>945603.76800554269</v>
      </c>
      <c r="CW100" s="646">
        <f t="shared" si="245"/>
        <v>-9683.5169658463601</v>
      </c>
      <c r="CX100" s="647">
        <f t="shared" si="246"/>
        <v>935920.25103969628</v>
      </c>
      <c r="CY100" s="644">
        <f t="shared" si="166"/>
        <v>0</v>
      </c>
      <c r="CZ100" s="645">
        <f t="shared" si="167"/>
        <v>935920.25103969628</v>
      </c>
      <c r="DA100" s="646">
        <f t="shared" si="247"/>
        <v>-734.7007959150784</v>
      </c>
      <c r="DB100" s="647">
        <f t="shared" si="168"/>
        <v>935185.55024378118</v>
      </c>
      <c r="DC100" s="644">
        <f t="shared" si="248"/>
        <v>0</v>
      </c>
      <c r="DD100" s="645">
        <f t="shared" si="249"/>
        <v>935185.55024378118</v>
      </c>
      <c r="DE100" s="646">
        <f t="shared" si="250"/>
        <v>-0.63358792775092376</v>
      </c>
      <c r="DF100" s="647">
        <f t="shared" si="169"/>
        <v>935184.91665585339</v>
      </c>
      <c r="DG100" s="644">
        <f t="shared" si="251"/>
        <v>0</v>
      </c>
      <c r="DH100" s="645">
        <f t="shared" si="252"/>
        <v>935184.91665585339</v>
      </c>
      <c r="DI100" s="646">
        <f t="shared" si="253"/>
        <v>0</v>
      </c>
      <c r="DJ100" s="647">
        <f t="shared" si="170"/>
        <v>935184.91665585339</v>
      </c>
      <c r="DK100" s="644">
        <f t="shared" si="254"/>
        <v>0</v>
      </c>
      <c r="DL100" s="645">
        <f t="shared" si="255"/>
        <v>935184.91665585339</v>
      </c>
      <c r="DM100" s="646">
        <f t="shared" si="256"/>
        <v>0</v>
      </c>
      <c r="DN100" s="647">
        <f t="shared" si="171"/>
        <v>935184.91665585339</v>
      </c>
      <c r="DR100" s="827">
        <f t="shared" si="172"/>
        <v>4322477.4530191701</v>
      </c>
      <c r="DV100" s="828">
        <f>IFERROR(VLOOKUP($B100,'Afton FY16 Final'!$A$5:$BV$587,'Afton FY16 Final'!$BV$587,0),0)</f>
        <v>3959947.2847272772</v>
      </c>
      <c r="DX100" s="636">
        <f t="shared" si="137"/>
        <v>4322477.4530191701</v>
      </c>
      <c r="DY100" s="637">
        <f t="shared" si="138"/>
        <v>362530.16829189286</v>
      </c>
      <c r="DZ100" s="637">
        <f t="shared" si="139"/>
        <v>3959947.2847272772</v>
      </c>
      <c r="EA100" s="643">
        <f t="shared" si="140"/>
        <v>4092570.0962564782</v>
      </c>
      <c r="EB100" s="637">
        <f t="shared" si="173"/>
        <v>0</v>
      </c>
      <c r="EC100" s="637">
        <f t="shared" si="174"/>
        <v>4092570.0962564782</v>
      </c>
      <c r="ED100" s="637">
        <f t="shared" si="175"/>
        <v>4080366.2965874956</v>
      </c>
      <c r="EE100" s="643">
        <f t="shared" si="176"/>
        <v>4080366.2965874956</v>
      </c>
      <c r="EF100" s="637">
        <f t="shared" si="177"/>
        <v>0</v>
      </c>
      <c r="EG100" s="637">
        <f t="shared" si="178"/>
        <v>4080366.2965874956</v>
      </c>
      <c r="EH100" s="637">
        <f t="shared" si="179"/>
        <v>4080362.087032856</v>
      </c>
      <c r="EI100" s="643">
        <f t="shared" si="180"/>
        <v>4080362.087032856</v>
      </c>
      <c r="EJ100" s="637">
        <f t="shared" si="181"/>
        <v>0</v>
      </c>
      <c r="EK100" s="637">
        <f t="shared" si="182"/>
        <v>4080362.087032856</v>
      </c>
      <c r="EL100" s="637">
        <f t="shared" si="183"/>
        <v>4080362.0870328504</v>
      </c>
      <c r="EM100" s="643">
        <f t="shared" si="184"/>
        <v>4080362.0870328504</v>
      </c>
      <c r="EN100" s="637">
        <f t="shared" si="185"/>
        <v>0</v>
      </c>
      <c r="EO100" s="637">
        <f t="shared" si="186"/>
        <v>4080362.0870328504</v>
      </c>
      <c r="EP100" s="637">
        <f t="shared" si="187"/>
        <v>4080362.0870328569</v>
      </c>
      <c r="EQ100" s="643">
        <f t="shared" si="188"/>
        <v>4080362.0870328569</v>
      </c>
      <c r="ER100" s="637">
        <f t="shared" si="189"/>
        <v>0</v>
      </c>
      <c r="ES100" s="637">
        <f t="shared" si="190"/>
        <v>4080362.0870328569</v>
      </c>
      <c r="ET100" s="637">
        <f t="shared" si="191"/>
        <v>4080362.0870328504</v>
      </c>
      <c r="EU100" s="643">
        <f t="shared" si="141"/>
        <v>4080362.0870328504</v>
      </c>
      <c r="EV100" s="643">
        <f t="shared" si="142"/>
        <v>0</v>
      </c>
      <c r="EX100" s="829">
        <f t="shared" si="143"/>
        <v>242115.36598631972</v>
      </c>
      <c r="EY100" s="638">
        <f t="shared" si="144"/>
        <v>4080362.0870328504</v>
      </c>
      <c r="FC100" s="830" t="str">
        <f t="shared" si="192"/>
        <v>Y</v>
      </c>
      <c r="FE100" s="830" t="str">
        <f>IFERROR(VLOOKUP($B100,'Historical Conc Grant Elig'!$B$3:$J$707,'HH &amp; SI'!FE$2,0),"N")</f>
        <v>Y</v>
      </c>
      <c r="FF100" s="830" t="str">
        <f>IFERROR(VLOOKUP($B100,'Historical Conc Grant Elig'!$B$3:$J$707,'HH &amp; SI'!FF$2,0),"N")</f>
        <v>Y</v>
      </c>
      <c r="FG100" s="830" t="str">
        <f>IFERROR(VLOOKUP($B100,'Historical Conc Grant Elig'!$B$3:$J$707,'HH &amp; SI'!FG$2,0),"N")</f>
        <v>Y</v>
      </c>
      <c r="FH100" s="830" t="str">
        <f>IFERROR(VLOOKUP($B100,'Historical Conc Grant Elig'!$B$3:$J$707,'HH &amp; SI'!FH$2,0),"N")</f>
        <v>Y</v>
      </c>
      <c r="FI100" s="830" t="str">
        <f>IFERROR(VLOOKUP($B100,'Historical Conc Grant Elig'!$B$3:$J$707,'HH &amp; SI'!FI$2,0),"N")</f>
        <v>Y</v>
      </c>
      <c r="FJ100" s="830" t="str">
        <f>IFERROR(VLOOKUP($B100,'Historical Conc Grant Elig'!$B$3:$J$707,'HH &amp; SI'!FJ$2,0),"N")</f>
        <v>Y</v>
      </c>
      <c r="FK100" s="830" t="str">
        <f>IFERROR(VLOOKUP($B100,'Historical Conc Grant Elig'!$B$3:$J$707,'HH &amp; SI'!FK$2,0),"N")</f>
        <v>Y</v>
      </c>
      <c r="FL100" s="957" t="str">
        <f>IFERROR(VLOOKUP($B100,'Historical Conc Grant Elig'!$B$3:$J$707,'HH &amp; SI'!FL$2,0),"N")</f>
        <v>Y</v>
      </c>
    </row>
    <row r="101" spans="2:168" x14ac:dyDescent="0.25">
      <c r="B101" s="634">
        <v>70405000</v>
      </c>
      <c r="C101" s="635" t="str">
        <f>VLOOKUP($B101,'Afton Update'!$A$5:$CR$582,'Afton Update'!D$589,0)</f>
        <v>Isaac Elementary District</v>
      </c>
      <c r="D101" s="636">
        <f>IFERROR(VLOOKUP($B101,'Afton FY16 Final'!$A$5:$BV$587,'Afton FY16 Final'!AQ$587,0),0)</f>
        <v>1760295.4475818076</v>
      </c>
      <c r="E101" s="637">
        <f>IFERROR(VLOOKUP($B101,'Afton FY16 Final'!$A$5:$BV$587,'Afton FY16 Final'!AR$587,0),0)</f>
        <v>412234.32151096116</v>
      </c>
      <c r="F101" s="637">
        <f>IFERROR(VLOOKUP($B101,'Afton FY16 Final'!$A$5:$BV$587,'Afton FY16 Final'!AS$587,0),0)</f>
        <v>1224451.9017752439</v>
      </c>
      <c r="G101" s="637">
        <f>IFERROR(VLOOKUP($B101,'Afton FY16 Final'!$A$5:$BV$587,'Afton FY16 Final'!AT$587,0),0)</f>
        <v>1094739.3177141263</v>
      </c>
      <c r="H101" s="638">
        <f>IFERROR(VLOOKUP($B101,'Afton FY16 Final'!$A$5:$BV$587,'Afton FY16 Final'!AU$587,0),0)</f>
        <v>4491720.9885821398</v>
      </c>
      <c r="I101" s="639" t="str">
        <f>VLOOKUP($B101,'Afton Update'!$A$5:$CR$582,'Afton Update'!BT$589,0)</f>
        <v>Y</v>
      </c>
      <c r="J101" s="640" t="str">
        <f>VLOOKUP($B101,'Afton Update'!$A$5:$CR$582,'Afton Update'!BU$589,0)</f>
        <v>Y</v>
      </c>
      <c r="K101" s="640" t="str">
        <f>VLOOKUP($B101,'Afton Update'!$A$5:$CR$582,'Afton Update'!BV$589,0)</f>
        <v>Y</v>
      </c>
      <c r="L101" s="641" t="str">
        <f>VLOOKUP($B101,'Afton Update'!$A$5:$CR$582,'Afton Update'!BW$589,0)</f>
        <v>Y</v>
      </c>
      <c r="N101" s="642">
        <f>VLOOKUP($B101,'Afton Update'!$A$5:$CR$582,'Afton Update'!CB$589,0)</f>
        <v>0.95</v>
      </c>
      <c r="P101" s="636">
        <f>VLOOKUP($B101,'Afton Update'!$A$5:$CR$582,'Afton Update'!AH$589,0)</f>
        <v>1890935.1372683109</v>
      </c>
      <c r="Q101" s="637">
        <f>VLOOKUP($B101,'Afton Update'!$A$5:$CR$582,'Afton Update'!AI$589,0)</f>
        <v>452787.33299995173</v>
      </c>
      <c r="R101" s="637">
        <f>VLOOKUP($B101,'Afton Update'!$A$5:$CR$582,'Afton Update'!AJ$589,0)</f>
        <v>1465709.7963589989</v>
      </c>
      <c r="S101" s="637">
        <f>VLOOKUP($B101,'Afton Update'!$A$5:$CR$582,'Afton Update'!AK$589,0)</f>
        <v>1513545.5890177863</v>
      </c>
      <c r="T101" s="643">
        <f t="shared" si="145"/>
        <v>5322977.8556450475</v>
      </c>
      <c r="V101" s="636">
        <f t="shared" si="193"/>
        <v>1865141.5546586832</v>
      </c>
      <c r="W101" s="637">
        <f t="shared" si="194"/>
        <v>437874.17368455546</v>
      </c>
      <c r="X101" s="637">
        <f t="shared" si="195"/>
        <v>1452379.7380258662</v>
      </c>
      <c r="Y101" s="637">
        <f t="shared" si="196"/>
        <v>1496869.041148043</v>
      </c>
      <c r="Z101" s="643">
        <f t="shared" si="197"/>
        <v>5252264.5075171478</v>
      </c>
      <c r="AB101" s="644">
        <f t="shared" si="146"/>
        <v>1890935.1372683109</v>
      </c>
      <c r="AC101" s="645">
        <f t="shared" si="134"/>
        <v>1672280.6752027171</v>
      </c>
      <c r="AD101" s="644">
        <f t="shared" si="198"/>
        <v>0</v>
      </c>
      <c r="AE101" s="645">
        <f t="shared" si="199"/>
        <v>1890935.1372683109</v>
      </c>
      <c r="AF101" s="646">
        <f t="shared" si="200"/>
        <v>-23439.562026370051</v>
      </c>
      <c r="AG101" s="647">
        <f t="shared" si="201"/>
        <v>1867495.5752419408</v>
      </c>
      <c r="AH101" s="644">
        <f t="shared" si="147"/>
        <v>0</v>
      </c>
      <c r="AI101" s="645">
        <f t="shared" si="148"/>
        <v>1867495.5752419408</v>
      </c>
      <c r="AJ101" s="646">
        <f t="shared" si="202"/>
        <v>-2352.5208439741264</v>
      </c>
      <c r="AK101" s="647">
        <f t="shared" si="149"/>
        <v>1865143.0543979667</v>
      </c>
      <c r="AL101" s="644">
        <f t="shared" si="203"/>
        <v>0</v>
      </c>
      <c r="AM101" s="645">
        <f t="shared" si="204"/>
        <v>1865143.0543979667</v>
      </c>
      <c r="AN101" s="646">
        <f t="shared" si="205"/>
        <v>-1.4997392833907279</v>
      </c>
      <c r="AO101" s="647">
        <f t="shared" si="150"/>
        <v>1865141.5546586832</v>
      </c>
      <c r="AP101" s="644">
        <f t="shared" si="206"/>
        <v>0</v>
      </c>
      <c r="AQ101" s="645">
        <f t="shared" si="207"/>
        <v>1865141.5546586832</v>
      </c>
      <c r="AR101" s="646">
        <f t="shared" si="208"/>
        <v>0</v>
      </c>
      <c r="AS101" s="647">
        <f t="shared" si="151"/>
        <v>1865141.5546586832</v>
      </c>
      <c r="AT101" s="644">
        <f t="shared" si="209"/>
        <v>0</v>
      </c>
      <c r="AU101" s="645">
        <f t="shared" si="210"/>
        <v>1865141.5546586832</v>
      </c>
      <c r="AV101" s="646">
        <f t="shared" si="211"/>
        <v>0</v>
      </c>
      <c r="AW101" s="647">
        <f t="shared" si="152"/>
        <v>1865141.5546586832</v>
      </c>
      <c r="AY101" s="644">
        <f t="shared" si="212"/>
        <v>452787.33299995173</v>
      </c>
      <c r="AZ101" s="645">
        <f t="shared" si="153"/>
        <v>391622.60543541308</v>
      </c>
      <c r="BA101" s="644">
        <f t="shared" si="213"/>
        <v>0</v>
      </c>
      <c r="BB101" s="645">
        <f t="shared" si="214"/>
        <v>452787.33299995173</v>
      </c>
      <c r="BC101" s="646">
        <f t="shared" si="215"/>
        <v>-3256.125667616267</v>
      </c>
      <c r="BD101" s="647">
        <f t="shared" si="216"/>
        <v>449531.20733233547</v>
      </c>
      <c r="BE101" s="644">
        <f t="shared" si="154"/>
        <v>0</v>
      </c>
      <c r="BF101" s="645">
        <f t="shared" si="155"/>
        <v>449531.20733233547</v>
      </c>
      <c r="BG101" s="646">
        <f t="shared" si="217"/>
        <v>-10707.467017151599</v>
      </c>
      <c r="BH101" s="647">
        <f t="shared" si="156"/>
        <v>438823.74031518388</v>
      </c>
      <c r="BI101" s="644">
        <f t="shared" si="218"/>
        <v>0</v>
      </c>
      <c r="BJ101" s="645">
        <f t="shared" si="219"/>
        <v>438823.74031518388</v>
      </c>
      <c r="BK101" s="646">
        <f t="shared" si="220"/>
        <v>-929.53174940108295</v>
      </c>
      <c r="BL101" s="647">
        <f t="shared" si="157"/>
        <v>437894.20856578281</v>
      </c>
      <c r="BM101" s="644">
        <f t="shared" si="221"/>
        <v>0</v>
      </c>
      <c r="BN101" s="645">
        <f t="shared" si="222"/>
        <v>437894.20856578281</v>
      </c>
      <c r="BO101" s="646">
        <f t="shared" si="223"/>
        <v>-20.034881227332736</v>
      </c>
      <c r="BP101" s="647">
        <f t="shared" si="158"/>
        <v>437874.17368455546</v>
      </c>
      <c r="BQ101" s="644">
        <f t="shared" si="224"/>
        <v>0</v>
      </c>
      <c r="BR101" s="645">
        <f t="shared" si="225"/>
        <v>437874.17368455546</v>
      </c>
      <c r="BS101" s="646">
        <f t="shared" si="226"/>
        <v>0</v>
      </c>
      <c r="BT101" s="647">
        <f t="shared" si="159"/>
        <v>437874.17368455546</v>
      </c>
      <c r="BU101" s="662">
        <f>VLOOKUP(B101,'Afton Update'!$A$5:$AR$582,'Afton Update'!$AO$589,0)-BT101</f>
        <v>0</v>
      </c>
      <c r="BV101" s="644">
        <f t="shared" si="227"/>
        <v>1465709.7963589989</v>
      </c>
      <c r="BW101" s="645">
        <f t="shared" si="135"/>
        <v>1163229.3066864817</v>
      </c>
      <c r="BX101" s="644">
        <f t="shared" si="228"/>
        <v>0</v>
      </c>
      <c r="BY101" s="645">
        <f t="shared" si="229"/>
        <v>1465709.7963589989</v>
      </c>
      <c r="BZ101" s="646">
        <f t="shared" si="230"/>
        <v>-12864.69071516759</v>
      </c>
      <c r="CA101" s="647">
        <f t="shared" si="231"/>
        <v>1452845.1056438312</v>
      </c>
      <c r="CB101" s="644">
        <f t="shared" si="160"/>
        <v>0</v>
      </c>
      <c r="CC101" s="645">
        <f t="shared" si="161"/>
        <v>1452845.1056438312</v>
      </c>
      <c r="CD101" s="646">
        <f t="shared" si="232"/>
        <v>-465.36761796507574</v>
      </c>
      <c r="CE101" s="647">
        <f t="shared" si="162"/>
        <v>1452379.7380258662</v>
      </c>
      <c r="CF101" s="644">
        <f t="shared" si="233"/>
        <v>0</v>
      </c>
      <c r="CG101" s="645">
        <f t="shared" si="234"/>
        <v>1452379.7380258662</v>
      </c>
      <c r="CH101" s="646">
        <f t="shared" si="235"/>
        <v>0</v>
      </c>
      <c r="CI101" s="647">
        <f t="shared" si="163"/>
        <v>1452379.7380258662</v>
      </c>
      <c r="CJ101" s="644">
        <f t="shared" si="236"/>
        <v>0</v>
      </c>
      <c r="CK101" s="645">
        <f t="shared" si="237"/>
        <v>1452379.7380258662</v>
      </c>
      <c r="CL101" s="646">
        <f t="shared" si="238"/>
        <v>0</v>
      </c>
      <c r="CM101" s="647">
        <f t="shared" si="164"/>
        <v>1452379.7380258662</v>
      </c>
      <c r="CN101" s="644">
        <f t="shared" si="239"/>
        <v>0</v>
      </c>
      <c r="CO101" s="645">
        <f t="shared" si="240"/>
        <v>1452379.7380258662</v>
      </c>
      <c r="CP101" s="646">
        <f t="shared" si="241"/>
        <v>0</v>
      </c>
      <c r="CQ101" s="647">
        <f t="shared" si="165"/>
        <v>1452379.7380258662</v>
      </c>
      <c r="CS101" s="644">
        <f t="shared" si="242"/>
        <v>1513545.5890177863</v>
      </c>
      <c r="CT101" s="645">
        <f t="shared" si="136"/>
        <v>1040002.35182842</v>
      </c>
      <c r="CU101" s="644">
        <f t="shared" si="243"/>
        <v>0</v>
      </c>
      <c r="CV101" s="645">
        <f t="shared" si="244"/>
        <v>1513545.5890177863</v>
      </c>
      <c r="CW101" s="646">
        <f t="shared" si="245"/>
        <v>-15499.562169415707</v>
      </c>
      <c r="CX101" s="647">
        <f t="shared" si="246"/>
        <v>1498046.0268483707</v>
      </c>
      <c r="CY101" s="644">
        <f t="shared" si="166"/>
        <v>0</v>
      </c>
      <c r="CZ101" s="645">
        <f t="shared" si="167"/>
        <v>1498046.0268483707</v>
      </c>
      <c r="DA101" s="646">
        <f t="shared" si="247"/>
        <v>-1175.9715713173912</v>
      </c>
      <c r="DB101" s="647">
        <f t="shared" si="168"/>
        <v>1496870.0552770533</v>
      </c>
      <c r="DC101" s="644">
        <f t="shared" si="248"/>
        <v>0</v>
      </c>
      <c r="DD101" s="645">
        <f t="shared" si="249"/>
        <v>1496870.0552770533</v>
      </c>
      <c r="DE101" s="646">
        <f t="shared" si="250"/>
        <v>-1.0141290102142548</v>
      </c>
      <c r="DF101" s="647">
        <f t="shared" si="169"/>
        <v>1496869.041148043</v>
      </c>
      <c r="DG101" s="644">
        <f t="shared" si="251"/>
        <v>0</v>
      </c>
      <c r="DH101" s="645">
        <f t="shared" si="252"/>
        <v>1496869.041148043</v>
      </c>
      <c r="DI101" s="646">
        <f t="shared" si="253"/>
        <v>0</v>
      </c>
      <c r="DJ101" s="647">
        <f t="shared" si="170"/>
        <v>1496869.041148043</v>
      </c>
      <c r="DK101" s="644">
        <f t="shared" si="254"/>
        <v>0</v>
      </c>
      <c r="DL101" s="645">
        <f t="shared" si="255"/>
        <v>1496869.041148043</v>
      </c>
      <c r="DM101" s="646">
        <f t="shared" si="256"/>
        <v>0</v>
      </c>
      <c r="DN101" s="647">
        <f t="shared" si="171"/>
        <v>1496869.041148043</v>
      </c>
      <c r="DR101" s="827">
        <f t="shared" si="172"/>
        <v>5252264.5075171478</v>
      </c>
      <c r="DV101" s="828">
        <f>IFERROR(VLOOKUP($B101,'Afton FY16 Final'!$A$5:$BV$587,'Afton FY16 Final'!$BV$587,0),0)</f>
        <v>3987886.3489956739</v>
      </c>
      <c r="DX101" s="636">
        <f t="shared" si="137"/>
        <v>5252264.5075171478</v>
      </c>
      <c r="DY101" s="637">
        <f t="shared" si="138"/>
        <v>1264378.1585214739</v>
      </c>
      <c r="DZ101" s="637">
        <f t="shared" si="139"/>
        <v>3987886.3489956739</v>
      </c>
      <c r="EA101" s="643">
        <f t="shared" si="140"/>
        <v>4972902.899951485</v>
      </c>
      <c r="EB101" s="637">
        <f t="shared" si="173"/>
        <v>0</v>
      </c>
      <c r="EC101" s="637">
        <f t="shared" si="174"/>
        <v>4972902.899951485</v>
      </c>
      <c r="ED101" s="637">
        <f t="shared" si="175"/>
        <v>4958074.0004245536</v>
      </c>
      <c r="EE101" s="643">
        <f t="shared" si="176"/>
        <v>4958074.0004245536</v>
      </c>
      <c r="EF101" s="637">
        <f t="shared" si="177"/>
        <v>0</v>
      </c>
      <c r="EG101" s="637">
        <f t="shared" si="178"/>
        <v>4958074.0004245536</v>
      </c>
      <c r="EH101" s="637">
        <f t="shared" si="179"/>
        <v>4958068.8853731351</v>
      </c>
      <c r="EI101" s="643">
        <f t="shared" si="180"/>
        <v>4958068.8853731351</v>
      </c>
      <c r="EJ101" s="637">
        <f t="shared" si="181"/>
        <v>0</v>
      </c>
      <c r="EK101" s="637">
        <f t="shared" si="182"/>
        <v>4958068.8853731351</v>
      </c>
      <c r="EL101" s="637">
        <f t="shared" si="183"/>
        <v>4958068.8853731286</v>
      </c>
      <c r="EM101" s="643">
        <f t="shared" si="184"/>
        <v>4958068.8853731286</v>
      </c>
      <c r="EN101" s="637">
        <f t="shared" si="185"/>
        <v>0</v>
      </c>
      <c r="EO101" s="637">
        <f t="shared" si="186"/>
        <v>4958068.8853731286</v>
      </c>
      <c r="EP101" s="637">
        <f t="shared" si="187"/>
        <v>4958068.885373137</v>
      </c>
      <c r="EQ101" s="643">
        <f t="shared" si="188"/>
        <v>4958068.885373137</v>
      </c>
      <c r="ER101" s="637">
        <f t="shared" si="189"/>
        <v>0</v>
      </c>
      <c r="ES101" s="637">
        <f t="shared" si="190"/>
        <v>4958068.885373137</v>
      </c>
      <c r="ET101" s="637">
        <f t="shared" si="191"/>
        <v>4958068.8853731295</v>
      </c>
      <c r="EU101" s="643">
        <f t="shared" si="141"/>
        <v>4958068.8853731295</v>
      </c>
      <c r="EV101" s="643">
        <f t="shared" si="142"/>
        <v>0</v>
      </c>
      <c r="EX101" s="829">
        <f t="shared" si="143"/>
        <v>294195.6221440183</v>
      </c>
      <c r="EY101" s="638">
        <f t="shared" si="144"/>
        <v>4958068.8853731295</v>
      </c>
      <c r="FC101" s="830" t="str">
        <f t="shared" si="192"/>
        <v>Y</v>
      </c>
      <c r="FE101" s="830" t="str">
        <f>IFERROR(VLOOKUP($B101,'Historical Conc Grant Elig'!$B$3:$J$707,'HH &amp; SI'!FE$2,0),"N")</f>
        <v>Y</v>
      </c>
      <c r="FF101" s="830" t="str">
        <f>IFERROR(VLOOKUP($B101,'Historical Conc Grant Elig'!$B$3:$J$707,'HH &amp; SI'!FF$2,0),"N")</f>
        <v>Y</v>
      </c>
      <c r="FG101" s="830" t="str">
        <f>IFERROR(VLOOKUP($B101,'Historical Conc Grant Elig'!$B$3:$J$707,'HH &amp; SI'!FG$2,0),"N")</f>
        <v>Y</v>
      </c>
      <c r="FH101" s="830" t="str">
        <f>IFERROR(VLOOKUP($B101,'Historical Conc Grant Elig'!$B$3:$J$707,'HH &amp; SI'!FH$2,0),"N")</f>
        <v>Y</v>
      </c>
      <c r="FI101" s="830" t="str">
        <f>IFERROR(VLOOKUP($B101,'Historical Conc Grant Elig'!$B$3:$J$707,'HH &amp; SI'!FI$2,0),"N")</f>
        <v>Y</v>
      </c>
      <c r="FJ101" s="830" t="str">
        <f>IFERROR(VLOOKUP($B101,'Historical Conc Grant Elig'!$B$3:$J$707,'HH &amp; SI'!FJ$2,0),"N")</f>
        <v>Y</v>
      </c>
      <c r="FK101" s="830" t="str">
        <f>IFERROR(VLOOKUP($B101,'Historical Conc Grant Elig'!$B$3:$J$707,'HH &amp; SI'!FK$2,0),"N")</f>
        <v>Y</v>
      </c>
      <c r="FL101" s="957" t="str">
        <f>IFERROR(VLOOKUP($B101,'Historical Conc Grant Elig'!$B$3:$J$707,'HH &amp; SI'!FL$2,0),"N")</f>
        <v>Y</v>
      </c>
    </row>
    <row r="102" spans="2:168" x14ac:dyDescent="0.25">
      <c r="B102" s="634">
        <v>70406000</v>
      </c>
      <c r="C102" s="635" t="str">
        <f>VLOOKUP($B102,'Afton Update'!$A$5:$CR$582,'Afton Update'!D$589,0)</f>
        <v>Washington Elementary School District</v>
      </c>
      <c r="D102" s="636">
        <f>IFERROR(VLOOKUP($B102,'Afton FY16 Final'!$A$5:$BV$587,'Afton FY16 Final'!AQ$587,0),0)</f>
        <v>4073033.129530956</v>
      </c>
      <c r="E102" s="637">
        <f>IFERROR(VLOOKUP($B102,'Afton FY16 Final'!$A$5:$BV$587,'Afton FY16 Final'!AR$587,0),0)</f>
        <v>951333.14447088027</v>
      </c>
      <c r="F102" s="637">
        <f>IFERROR(VLOOKUP($B102,'Afton FY16 Final'!$A$5:$BV$587,'Afton FY16 Final'!AS$587,0),0)</f>
        <v>2202843.0440865611</v>
      </c>
      <c r="G102" s="637">
        <f>IFERROR(VLOOKUP($B102,'Afton FY16 Final'!$A$5:$BV$587,'Afton FY16 Final'!AT$587,0),0)</f>
        <v>1889520.436460176</v>
      </c>
      <c r="H102" s="638">
        <f>IFERROR(VLOOKUP($B102,'Afton FY16 Final'!$A$5:$BV$587,'Afton FY16 Final'!AU$587,0),0)</f>
        <v>9116729.7545485739</v>
      </c>
      <c r="I102" s="639" t="str">
        <f>VLOOKUP($B102,'Afton Update'!$A$5:$CR$582,'Afton Update'!BT$589,0)</f>
        <v>Y</v>
      </c>
      <c r="J102" s="640" t="str">
        <f>VLOOKUP($B102,'Afton Update'!$A$5:$CR$582,'Afton Update'!BU$589,0)</f>
        <v>Y</v>
      </c>
      <c r="K102" s="640" t="str">
        <f>VLOOKUP($B102,'Afton Update'!$A$5:$CR$582,'Afton Update'!BV$589,0)</f>
        <v>Y</v>
      </c>
      <c r="L102" s="641" t="str">
        <f>VLOOKUP($B102,'Afton Update'!$A$5:$CR$582,'Afton Update'!BW$589,0)</f>
        <v>Y</v>
      </c>
      <c r="N102" s="642">
        <f>VLOOKUP($B102,'Afton Update'!$A$5:$CR$582,'Afton Update'!CB$589,0)</f>
        <v>0.95</v>
      </c>
      <c r="P102" s="636">
        <f>VLOOKUP($B102,'Afton Update'!$A$5:$CR$582,'Afton Update'!AH$589,0)</f>
        <v>4161140.9324414413</v>
      </c>
      <c r="Q102" s="637">
        <f>VLOOKUP($B102,'Afton Update'!$A$5:$CR$582,'Afton Update'!AI$589,0)</f>
        <v>993833.40282108018</v>
      </c>
      <c r="R102" s="637">
        <f>VLOOKUP($B102,'Afton Update'!$A$5:$CR$582,'Afton Update'!AJ$589,0)</f>
        <v>2460672.5482070902</v>
      </c>
      <c r="S102" s="637">
        <f>VLOOKUP($B102,'Afton Update'!$A$5:$CR$582,'Afton Update'!AK$589,0)</f>
        <v>2228784.4949854827</v>
      </c>
      <c r="T102" s="643">
        <f t="shared" si="145"/>
        <v>9844431.378455095</v>
      </c>
      <c r="V102" s="636">
        <f t="shared" si="193"/>
        <v>4104380.2692775615</v>
      </c>
      <c r="W102" s="637">
        <f t="shared" si="194"/>
        <v>961100.16408174741</v>
      </c>
      <c r="X102" s="637">
        <f t="shared" si="195"/>
        <v>2438293.6921144174</v>
      </c>
      <c r="Y102" s="637">
        <f t="shared" si="196"/>
        <v>2204227.3018677733</v>
      </c>
      <c r="Z102" s="643">
        <f t="shared" si="197"/>
        <v>9708001.4273415003</v>
      </c>
      <c r="AB102" s="644">
        <f t="shared" si="146"/>
        <v>4161140.9324414413</v>
      </c>
      <c r="AC102" s="645">
        <f t="shared" si="134"/>
        <v>3869381.4730544081</v>
      </c>
      <c r="AD102" s="644">
        <f t="shared" si="198"/>
        <v>0</v>
      </c>
      <c r="AE102" s="645">
        <f t="shared" si="199"/>
        <v>4161140.9324414413</v>
      </c>
      <c r="AF102" s="646">
        <f t="shared" si="200"/>
        <v>-51580.46887178281</v>
      </c>
      <c r="AG102" s="647">
        <f t="shared" si="201"/>
        <v>4109560.4635696583</v>
      </c>
      <c r="AH102" s="644">
        <f t="shared" si="147"/>
        <v>0</v>
      </c>
      <c r="AI102" s="645">
        <f t="shared" si="148"/>
        <v>4109560.4635696583</v>
      </c>
      <c r="AJ102" s="646">
        <f t="shared" si="202"/>
        <v>-5176.8940062238662</v>
      </c>
      <c r="AK102" s="647">
        <f t="shared" si="149"/>
        <v>4104383.5695634345</v>
      </c>
      <c r="AL102" s="644">
        <f t="shared" si="203"/>
        <v>0</v>
      </c>
      <c r="AM102" s="645">
        <f t="shared" si="204"/>
        <v>4104383.5695634345</v>
      </c>
      <c r="AN102" s="646">
        <f t="shared" si="205"/>
        <v>-3.300285872905671</v>
      </c>
      <c r="AO102" s="647">
        <f t="shared" si="150"/>
        <v>4104380.2692775615</v>
      </c>
      <c r="AP102" s="644">
        <f t="shared" si="206"/>
        <v>0</v>
      </c>
      <c r="AQ102" s="645">
        <f t="shared" si="207"/>
        <v>4104380.2692775615</v>
      </c>
      <c r="AR102" s="646">
        <f t="shared" si="208"/>
        <v>0</v>
      </c>
      <c r="AS102" s="647">
        <f t="shared" si="151"/>
        <v>4104380.2692775615</v>
      </c>
      <c r="AT102" s="644">
        <f t="shared" si="209"/>
        <v>0</v>
      </c>
      <c r="AU102" s="645">
        <f t="shared" si="210"/>
        <v>4104380.2692775615</v>
      </c>
      <c r="AV102" s="646">
        <f t="shared" si="211"/>
        <v>0</v>
      </c>
      <c r="AW102" s="647">
        <f t="shared" si="152"/>
        <v>4104380.2692775615</v>
      </c>
      <c r="AY102" s="644">
        <f t="shared" si="212"/>
        <v>993833.40282108018</v>
      </c>
      <c r="AZ102" s="645">
        <f t="shared" si="153"/>
        <v>903766.48724733619</v>
      </c>
      <c r="BA102" s="644">
        <f t="shared" si="213"/>
        <v>0</v>
      </c>
      <c r="BB102" s="645">
        <f t="shared" si="214"/>
        <v>993833.40282108018</v>
      </c>
      <c r="BC102" s="646">
        <f t="shared" si="215"/>
        <v>-7146.9456329964969</v>
      </c>
      <c r="BD102" s="647">
        <f t="shared" si="216"/>
        <v>986686.45718808367</v>
      </c>
      <c r="BE102" s="644">
        <f t="shared" si="154"/>
        <v>0</v>
      </c>
      <c r="BF102" s="645">
        <f t="shared" si="155"/>
        <v>986686.45718808367</v>
      </c>
      <c r="BG102" s="646">
        <f t="shared" si="217"/>
        <v>-23502.067318767928</v>
      </c>
      <c r="BH102" s="647">
        <f t="shared" si="156"/>
        <v>963184.38986931578</v>
      </c>
      <c r="BI102" s="644">
        <f t="shared" si="218"/>
        <v>0</v>
      </c>
      <c r="BJ102" s="645">
        <f t="shared" si="219"/>
        <v>963184.38986931578</v>
      </c>
      <c r="BK102" s="646">
        <f t="shared" si="220"/>
        <v>-2040.2507627959819</v>
      </c>
      <c r="BL102" s="647">
        <f t="shared" si="157"/>
        <v>961144.13910651975</v>
      </c>
      <c r="BM102" s="644">
        <f t="shared" si="221"/>
        <v>0</v>
      </c>
      <c r="BN102" s="645">
        <f t="shared" si="222"/>
        <v>961144.13910651975</v>
      </c>
      <c r="BO102" s="646">
        <f t="shared" si="223"/>
        <v>-43.975024772343609</v>
      </c>
      <c r="BP102" s="647">
        <f t="shared" si="158"/>
        <v>961100.16408174741</v>
      </c>
      <c r="BQ102" s="644">
        <f t="shared" si="224"/>
        <v>0</v>
      </c>
      <c r="BR102" s="645">
        <f t="shared" si="225"/>
        <v>961100.16408174741</v>
      </c>
      <c r="BS102" s="646">
        <f t="shared" si="226"/>
        <v>0</v>
      </c>
      <c r="BT102" s="647">
        <f t="shared" si="159"/>
        <v>961100.16408174741</v>
      </c>
      <c r="BU102" s="662">
        <f>VLOOKUP(B102,'Afton Update'!$A$5:$AR$582,'Afton Update'!$AO$589,0)-BT102</f>
        <v>0</v>
      </c>
      <c r="BV102" s="644">
        <f t="shared" si="227"/>
        <v>2460672.5482070902</v>
      </c>
      <c r="BW102" s="645">
        <f t="shared" si="135"/>
        <v>2092700.8918822329</v>
      </c>
      <c r="BX102" s="644">
        <f t="shared" si="228"/>
        <v>0</v>
      </c>
      <c r="BY102" s="645">
        <f t="shared" si="229"/>
        <v>2460672.5482070902</v>
      </c>
      <c r="BZ102" s="646">
        <f t="shared" si="230"/>
        <v>-21597.584571396303</v>
      </c>
      <c r="CA102" s="647">
        <f t="shared" si="231"/>
        <v>2439074.9636356938</v>
      </c>
      <c r="CB102" s="644">
        <f t="shared" si="160"/>
        <v>0</v>
      </c>
      <c r="CC102" s="645">
        <f t="shared" si="161"/>
        <v>2439074.9636356938</v>
      </c>
      <c r="CD102" s="646">
        <f t="shared" si="232"/>
        <v>-781.27152127644706</v>
      </c>
      <c r="CE102" s="647">
        <f t="shared" si="162"/>
        <v>2438293.6921144174</v>
      </c>
      <c r="CF102" s="644">
        <f t="shared" si="233"/>
        <v>0</v>
      </c>
      <c r="CG102" s="645">
        <f t="shared" si="234"/>
        <v>2438293.6921144174</v>
      </c>
      <c r="CH102" s="646">
        <f t="shared" si="235"/>
        <v>0</v>
      </c>
      <c r="CI102" s="647">
        <f t="shared" si="163"/>
        <v>2438293.6921144174</v>
      </c>
      <c r="CJ102" s="644">
        <f t="shared" si="236"/>
        <v>0</v>
      </c>
      <c r="CK102" s="645">
        <f t="shared" si="237"/>
        <v>2438293.6921144174</v>
      </c>
      <c r="CL102" s="646">
        <f t="shared" si="238"/>
        <v>0</v>
      </c>
      <c r="CM102" s="647">
        <f t="shared" si="164"/>
        <v>2438293.6921144174</v>
      </c>
      <c r="CN102" s="644">
        <f t="shared" si="239"/>
        <v>0</v>
      </c>
      <c r="CO102" s="645">
        <f t="shared" si="240"/>
        <v>2438293.6921144174</v>
      </c>
      <c r="CP102" s="646">
        <f t="shared" si="241"/>
        <v>0</v>
      </c>
      <c r="CQ102" s="647">
        <f t="shared" si="165"/>
        <v>2438293.6921144174</v>
      </c>
      <c r="CS102" s="644">
        <f t="shared" si="242"/>
        <v>2228784.4949854827</v>
      </c>
      <c r="CT102" s="645">
        <f t="shared" si="136"/>
        <v>1795044.4146371672</v>
      </c>
      <c r="CU102" s="644">
        <f t="shared" si="243"/>
        <v>0</v>
      </c>
      <c r="CV102" s="645">
        <f t="shared" si="244"/>
        <v>2228784.4949854827</v>
      </c>
      <c r="CW102" s="646">
        <f t="shared" si="245"/>
        <v>-22824.012763748557</v>
      </c>
      <c r="CX102" s="647">
        <f t="shared" si="246"/>
        <v>2205960.4822217342</v>
      </c>
      <c r="CY102" s="644">
        <f t="shared" si="166"/>
        <v>0</v>
      </c>
      <c r="CZ102" s="645">
        <f t="shared" si="167"/>
        <v>2205960.4822217342</v>
      </c>
      <c r="DA102" s="646">
        <f t="shared" si="247"/>
        <v>-1731.6869896180683</v>
      </c>
      <c r="DB102" s="647">
        <f t="shared" si="168"/>
        <v>2204228.7952321162</v>
      </c>
      <c r="DC102" s="644">
        <f t="shared" si="248"/>
        <v>0</v>
      </c>
      <c r="DD102" s="645">
        <f t="shared" si="249"/>
        <v>2204228.7952321162</v>
      </c>
      <c r="DE102" s="646">
        <f t="shared" si="250"/>
        <v>-1.4933643428258465</v>
      </c>
      <c r="DF102" s="647">
        <f t="shared" si="169"/>
        <v>2204227.3018677733</v>
      </c>
      <c r="DG102" s="644">
        <f t="shared" si="251"/>
        <v>0</v>
      </c>
      <c r="DH102" s="645">
        <f t="shared" si="252"/>
        <v>2204227.3018677733</v>
      </c>
      <c r="DI102" s="646">
        <f t="shared" si="253"/>
        <v>0</v>
      </c>
      <c r="DJ102" s="647">
        <f t="shared" si="170"/>
        <v>2204227.3018677733</v>
      </c>
      <c r="DK102" s="644">
        <f t="shared" si="254"/>
        <v>0</v>
      </c>
      <c r="DL102" s="645">
        <f t="shared" si="255"/>
        <v>2204227.3018677733</v>
      </c>
      <c r="DM102" s="646">
        <f t="shared" si="256"/>
        <v>0</v>
      </c>
      <c r="DN102" s="647">
        <f t="shared" si="171"/>
        <v>2204227.3018677733</v>
      </c>
      <c r="DR102" s="827">
        <f t="shared" si="172"/>
        <v>9708001.4273415003</v>
      </c>
      <c r="DV102" s="828">
        <f>IFERROR(VLOOKUP($B102,'Afton FY16 Final'!$A$5:$BV$587,'Afton FY16 Final'!$BV$587,0),0)</f>
        <v>8227669.9551735669</v>
      </c>
      <c r="DX102" s="636">
        <f t="shared" si="137"/>
        <v>9708001.4273415003</v>
      </c>
      <c r="DY102" s="637">
        <f t="shared" si="138"/>
        <v>1480331.4721679334</v>
      </c>
      <c r="DZ102" s="637">
        <f t="shared" si="139"/>
        <v>8227669.9551735669</v>
      </c>
      <c r="EA102" s="643">
        <f t="shared" si="140"/>
        <v>9191644.5528713856</v>
      </c>
      <c r="EB102" s="637">
        <f t="shared" si="173"/>
        <v>0</v>
      </c>
      <c r="EC102" s="637">
        <f t="shared" si="174"/>
        <v>9191644.5528713856</v>
      </c>
      <c r="ED102" s="637">
        <f t="shared" si="175"/>
        <v>9164235.6176269185</v>
      </c>
      <c r="EE102" s="643">
        <f t="shared" si="176"/>
        <v>9164235.6176269185</v>
      </c>
      <c r="EF102" s="637">
        <f t="shared" si="177"/>
        <v>0</v>
      </c>
      <c r="EG102" s="637">
        <f t="shared" si="178"/>
        <v>9164235.6176269185</v>
      </c>
      <c r="EH102" s="637">
        <f t="shared" si="179"/>
        <v>9164226.1632427387</v>
      </c>
      <c r="EI102" s="643">
        <f t="shared" si="180"/>
        <v>9164226.1632427387</v>
      </c>
      <c r="EJ102" s="637">
        <f t="shared" si="181"/>
        <v>0</v>
      </c>
      <c r="EK102" s="637">
        <f t="shared" si="182"/>
        <v>9164226.1632427387</v>
      </c>
      <c r="EL102" s="637">
        <f t="shared" si="183"/>
        <v>9164226.1632427257</v>
      </c>
      <c r="EM102" s="643">
        <f t="shared" si="184"/>
        <v>9164226.1632427257</v>
      </c>
      <c r="EN102" s="637">
        <f t="shared" si="185"/>
        <v>0</v>
      </c>
      <c r="EO102" s="637">
        <f t="shared" si="186"/>
        <v>9164226.1632427257</v>
      </c>
      <c r="EP102" s="637">
        <f t="shared" si="187"/>
        <v>9164226.1632427387</v>
      </c>
      <c r="EQ102" s="643">
        <f t="shared" si="188"/>
        <v>9164226.1632427387</v>
      </c>
      <c r="ER102" s="637">
        <f t="shared" si="189"/>
        <v>0</v>
      </c>
      <c r="ES102" s="637">
        <f t="shared" si="190"/>
        <v>9164226.1632427387</v>
      </c>
      <c r="ET102" s="637">
        <f t="shared" si="191"/>
        <v>9164226.1632427238</v>
      </c>
      <c r="EU102" s="643">
        <f t="shared" si="141"/>
        <v>9164226.1632427238</v>
      </c>
      <c r="EV102" s="643">
        <f t="shared" si="142"/>
        <v>0</v>
      </c>
      <c r="EX102" s="829">
        <f t="shared" si="143"/>
        <v>543775.2640987765</v>
      </c>
      <c r="EY102" s="638">
        <f t="shared" si="144"/>
        <v>9164226.1632427238</v>
      </c>
      <c r="FC102" s="830" t="str">
        <f t="shared" si="192"/>
        <v>Y</v>
      </c>
      <c r="FE102" s="830" t="str">
        <f>IFERROR(VLOOKUP($B102,'Historical Conc Grant Elig'!$B$3:$J$707,'HH &amp; SI'!FE$2,0),"N")</f>
        <v>Y</v>
      </c>
      <c r="FF102" s="830" t="str">
        <f>IFERROR(VLOOKUP($B102,'Historical Conc Grant Elig'!$B$3:$J$707,'HH &amp; SI'!FF$2,0),"N")</f>
        <v>Y</v>
      </c>
      <c r="FG102" s="830" t="str">
        <f>IFERROR(VLOOKUP($B102,'Historical Conc Grant Elig'!$B$3:$J$707,'HH &amp; SI'!FG$2,0),"N")</f>
        <v>Y</v>
      </c>
      <c r="FH102" s="830" t="str">
        <f>IFERROR(VLOOKUP($B102,'Historical Conc Grant Elig'!$B$3:$J$707,'HH &amp; SI'!FH$2,0),"N")</f>
        <v>Y</v>
      </c>
      <c r="FI102" s="830" t="str">
        <f>IFERROR(VLOOKUP($B102,'Historical Conc Grant Elig'!$B$3:$J$707,'HH &amp; SI'!FI$2,0),"N")</f>
        <v>Y</v>
      </c>
      <c r="FJ102" s="830" t="str">
        <f>IFERROR(VLOOKUP($B102,'Historical Conc Grant Elig'!$B$3:$J$707,'HH &amp; SI'!FJ$2,0),"N")</f>
        <v>Y</v>
      </c>
      <c r="FK102" s="830" t="str">
        <f>IFERROR(VLOOKUP($B102,'Historical Conc Grant Elig'!$B$3:$J$707,'HH &amp; SI'!FK$2,0),"N")</f>
        <v>Y</v>
      </c>
      <c r="FL102" s="957" t="str">
        <f>IFERROR(VLOOKUP($B102,'Historical Conc Grant Elig'!$B$3:$J$707,'HH &amp; SI'!FL$2,0),"N")</f>
        <v>Y</v>
      </c>
    </row>
    <row r="103" spans="2:168" x14ac:dyDescent="0.25">
      <c r="B103" s="634">
        <v>70407000</v>
      </c>
      <c r="C103" s="635" t="str">
        <f>VLOOKUP($B103,'Afton Update'!$A$5:$CR$582,'Afton Update'!D$589,0)</f>
        <v>Wilson Elementary District</v>
      </c>
      <c r="D103" s="636">
        <f>IFERROR(VLOOKUP($B103,'Afton FY16 Final'!$A$5:$BV$587,'Afton FY16 Final'!AQ$587,0),0)</f>
        <v>251591.46512750679</v>
      </c>
      <c r="E103" s="637">
        <f>IFERROR(VLOOKUP($B103,'Afton FY16 Final'!$A$5:$BV$587,'Afton FY16 Final'!AR$587,0),0)</f>
        <v>61720.943426419763</v>
      </c>
      <c r="F103" s="637">
        <f>IFERROR(VLOOKUP($B103,'Afton FY16 Final'!$A$5:$BV$587,'Afton FY16 Final'!AS$587,0),0)</f>
        <v>176710.56517919412</v>
      </c>
      <c r="G103" s="637">
        <f>IFERROR(VLOOKUP($B103,'Afton FY16 Final'!$A$5:$BV$587,'Afton FY16 Final'!AT$587,0),0)</f>
        <v>204445.06358024199</v>
      </c>
      <c r="H103" s="638">
        <f>IFERROR(VLOOKUP($B103,'Afton FY16 Final'!$A$5:$BV$587,'Afton FY16 Final'!AU$587,0),0)</f>
        <v>694468.0373133627</v>
      </c>
      <c r="I103" s="639" t="str">
        <f>VLOOKUP($B103,'Afton Update'!$A$5:$CR$582,'Afton Update'!BT$589,0)</f>
        <v>Y</v>
      </c>
      <c r="J103" s="640" t="str">
        <f>VLOOKUP($B103,'Afton Update'!$A$5:$CR$582,'Afton Update'!BU$589,0)</f>
        <v>Y</v>
      </c>
      <c r="K103" s="640" t="str">
        <f>VLOOKUP($B103,'Afton Update'!$A$5:$CR$582,'Afton Update'!BV$589,0)</f>
        <v>Y</v>
      </c>
      <c r="L103" s="641" t="str">
        <f>VLOOKUP($B103,'Afton Update'!$A$5:$CR$582,'Afton Update'!BW$589,0)</f>
        <v>Y</v>
      </c>
      <c r="N103" s="642">
        <f>VLOOKUP($B103,'Afton Update'!$A$5:$CR$582,'Afton Update'!CB$589,0)</f>
        <v>0.95</v>
      </c>
      <c r="P103" s="636">
        <f>VLOOKUP($B103,'Afton Update'!$A$5:$CR$582,'Afton Update'!AH$589,0)</f>
        <v>239418.73744607827</v>
      </c>
      <c r="Q103" s="637">
        <f>VLOOKUP($B103,'Afton Update'!$A$5:$CR$582,'Afton Update'!AI$589,0)</f>
        <v>60552.359074812251</v>
      </c>
      <c r="R103" s="637">
        <f>VLOOKUP($B103,'Afton Update'!$A$5:$CR$582,'Afton Update'!AJ$589,0)</f>
        <v>168521.05403826418</v>
      </c>
      <c r="S103" s="637">
        <f>VLOOKUP($B103,'Afton Update'!$A$5:$CR$582,'Afton Update'!AK$589,0)</f>
        <v>194750.3030456531</v>
      </c>
      <c r="T103" s="643">
        <f t="shared" si="145"/>
        <v>663242.45360480784</v>
      </c>
      <c r="V103" s="636">
        <f t="shared" si="193"/>
        <v>239011.89187113143</v>
      </c>
      <c r="W103" s="637">
        <f t="shared" si="194"/>
        <v>58634.896255098771</v>
      </c>
      <c r="X103" s="637">
        <f t="shared" si="195"/>
        <v>167875.03692023442</v>
      </c>
      <c r="Y103" s="637">
        <f t="shared" si="196"/>
        <v>194222.81040122989</v>
      </c>
      <c r="Z103" s="643">
        <f t="shared" si="197"/>
        <v>659744.63544769445</v>
      </c>
      <c r="AB103" s="644">
        <f t="shared" si="146"/>
        <v>239418.73744607827</v>
      </c>
      <c r="AC103" s="645">
        <f t="shared" si="134"/>
        <v>239011.89187113143</v>
      </c>
      <c r="AD103" s="644">
        <f t="shared" si="198"/>
        <v>0</v>
      </c>
      <c r="AE103" s="645">
        <f t="shared" si="199"/>
        <v>239418.73744607827</v>
      </c>
      <c r="AF103" s="646">
        <f t="shared" si="200"/>
        <v>-2967.7751690359919</v>
      </c>
      <c r="AG103" s="647">
        <f t="shared" si="201"/>
        <v>236450.96227704227</v>
      </c>
      <c r="AH103" s="644">
        <f t="shared" si="147"/>
        <v>-2560.9295940891607</v>
      </c>
      <c r="AI103" s="645">
        <f t="shared" si="148"/>
        <v>0</v>
      </c>
      <c r="AJ103" s="646">
        <f t="shared" si="202"/>
        <v>0</v>
      </c>
      <c r="AK103" s="647">
        <f t="shared" si="149"/>
        <v>239011.89187113143</v>
      </c>
      <c r="AL103" s="644">
        <f t="shared" si="203"/>
        <v>0</v>
      </c>
      <c r="AM103" s="645">
        <f t="shared" si="204"/>
        <v>0</v>
      </c>
      <c r="AN103" s="646">
        <f t="shared" si="205"/>
        <v>0</v>
      </c>
      <c r="AO103" s="647">
        <f t="shared" si="150"/>
        <v>239011.89187113143</v>
      </c>
      <c r="AP103" s="644">
        <f t="shared" si="206"/>
        <v>0</v>
      </c>
      <c r="AQ103" s="645">
        <f t="shared" si="207"/>
        <v>0</v>
      </c>
      <c r="AR103" s="646">
        <f t="shared" si="208"/>
        <v>0</v>
      </c>
      <c r="AS103" s="647">
        <f t="shared" si="151"/>
        <v>239011.89187113143</v>
      </c>
      <c r="AT103" s="644">
        <f t="shared" si="209"/>
        <v>0</v>
      </c>
      <c r="AU103" s="645">
        <f t="shared" si="210"/>
        <v>0</v>
      </c>
      <c r="AV103" s="646">
        <f t="shared" si="211"/>
        <v>0</v>
      </c>
      <c r="AW103" s="647">
        <f t="shared" si="152"/>
        <v>239011.89187113143</v>
      </c>
      <c r="AY103" s="644">
        <f t="shared" si="212"/>
        <v>60552.359074812251</v>
      </c>
      <c r="AZ103" s="645">
        <f t="shared" si="153"/>
        <v>58634.896255098771</v>
      </c>
      <c r="BA103" s="644">
        <f t="shared" si="213"/>
        <v>0</v>
      </c>
      <c r="BB103" s="645">
        <f t="shared" si="214"/>
        <v>60552.359074812251</v>
      </c>
      <c r="BC103" s="646">
        <f t="shared" si="215"/>
        <v>-435.44966090788142</v>
      </c>
      <c r="BD103" s="647">
        <f t="shared" si="216"/>
        <v>60116.909413904374</v>
      </c>
      <c r="BE103" s="644">
        <f t="shared" si="154"/>
        <v>0</v>
      </c>
      <c r="BF103" s="645">
        <f t="shared" si="155"/>
        <v>60116.909413904374</v>
      </c>
      <c r="BG103" s="646">
        <f t="shared" si="217"/>
        <v>-1431.9357904924909</v>
      </c>
      <c r="BH103" s="647">
        <f t="shared" si="156"/>
        <v>58684.973623411883</v>
      </c>
      <c r="BI103" s="644">
        <f t="shared" si="218"/>
        <v>0</v>
      </c>
      <c r="BJ103" s="645">
        <f t="shared" si="219"/>
        <v>58684.973623411883</v>
      </c>
      <c r="BK103" s="646">
        <f t="shared" si="220"/>
        <v>-124.30855759204459</v>
      </c>
      <c r="BL103" s="647">
        <f t="shared" si="157"/>
        <v>58560.665065819841</v>
      </c>
      <c r="BM103" s="644">
        <f t="shared" si="221"/>
        <v>-74.231189278929378</v>
      </c>
      <c r="BN103" s="645">
        <f t="shared" si="222"/>
        <v>0</v>
      </c>
      <c r="BO103" s="646">
        <f t="shared" si="223"/>
        <v>0</v>
      </c>
      <c r="BP103" s="647">
        <f t="shared" si="158"/>
        <v>58634.896255098771</v>
      </c>
      <c r="BQ103" s="644">
        <f t="shared" si="224"/>
        <v>0</v>
      </c>
      <c r="BR103" s="645">
        <f t="shared" si="225"/>
        <v>0</v>
      </c>
      <c r="BS103" s="646">
        <f t="shared" si="226"/>
        <v>0</v>
      </c>
      <c r="BT103" s="647">
        <f t="shared" si="159"/>
        <v>58634.896255098771</v>
      </c>
      <c r="BU103" s="662">
        <f>VLOOKUP(B103,'Afton Update'!$A$5:$AR$582,'Afton Update'!$AO$589,0)-BT103</f>
        <v>0</v>
      </c>
      <c r="BV103" s="644">
        <f t="shared" si="227"/>
        <v>168521.05403826418</v>
      </c>
      <c r="BW103" s="645">
        <f t="shared" si="135"/>
        <v>167875.03692023442</v>
      </c>
      <c r="BX103" s="644">
        <f t="shared" si="228"/>
        <v>0</v>
      </c>
      <c r="BY103" s="645">
        <f t="shared" si="229"/>
        <v>168521.05403826418</v>
      </c>
      <c r="BZ103" s="646">
        <f t="shared" si="230"/>
        <v>-1479.1272082521498</v>
      </c>
      <c r="CA103" s="647">
        <f t="shared" si="231"/>
        <v>167041.92683001203</v>
      </c>
      <c r="CB103" s="644">
        <f t="shared" si="160"/>
        <v>-833.11009022238431</v>
      </c>
      <c r="CC103" s="645">
        <f t="shared" si="161"/>
        <v>0</v>
      </c>
      <c r="CD103" s="646">
        <f t="shared" si="232"/>
        <v>0</v>
      </c>
      <c r="CE103" s="647">
        <f t="shared" si="162"/>
        <v>167875.03692023442</v>
      </c>
      <c r="CF103" s="644">
        <f t="shared" si="233"/>
        <v>0</v>
      </c>
      <c r="CG103" s="645">
        <f t="shared" si="234"/>
        <v>0</v>
      </c>
      <c r="CH103" s="646">
        <f t="shared" si="235"/>
        <v>0</v>
      </c>
      <c r="CI103" s="647">
        <f t="shared" si="163"/>
        <v>167875.03692023442</v>
      </c>
      <c r="CJ103" s="644">
        <f t="shared" si="236"/>
        <v>0</v>
      </c>
      <c r="CK103" s="645">
        <f t="shared" si="237"/>
        <v>0</v>
      </c>
      <c r="CL103" s="646">
        <f t="shared" si="238"/>
        <v>0</v>
      </c>
      <c r="CM103" s="647">
        <f t="shared" si="164"/>
        <v>167875.03692023442</v>
      </c>
      <c r="CN103" s="644">
        <f t="shared" si="239"/>
        <v>0</v>
      </c>
      <c r="CO103" s="645">
        <f t="shared" si="240"/>
        <v>0</v>
      </c>
      <c r="CP103" s="646">
        <f t="shared" si="241"/>
        <v>0</v>
      </c>
      <c r="CQ103" s="647">
        <f t="shared" si="165"/>
        <v>167875.03692023442</v>
      </c>
      <c r="CS103" s="644">
        <f t="shared" si="242"/>
        <v>194750.3030456531</v>
      </c>
      <c r="CT103" s="645">
        <f t="shared" si="136"/>
        <v>194222.81040122989</v>
      </c>
      <c r="CU103" s="644">
        <f t="shared" si="243"/>
        <v>0</v>
      </c>
      <c r="CV103" s="645">
        <f t="shared" si="244"/>
        <v>194750.3030456531</v>
      </c>
      <c r="CW103" s="646">
        <f t="shared" si="245"/>
        <v>-1994.3531608635128</v>
      </c>
      <c r="CX103" s="647">
        <f t="shared" si="246"/>
        <v>192755.94988478959</v>
      </c>
      <c r="CY103" s="644">
        <f t="shared" si="166"/>
        <v>-1466.8605164402979</v>
      </c>
      <c r="CZ103" s="645">
        <f t="shared" si="167"/>
        <v>0</v>
      </c>
      <c r="DA103" s="646">
        <f t="shared" si="247"/>
        <v>0</v>
      </c>
      <c r="DB103" s="647">
        <f t="shared" si="168"/>
        <v>194222.81040122989</v>
      </c>
      <c r="DC103" s="644">
        <f t="shared" si="248"/>
        <v>0</v>
      </c>
      <c r="DD103" s="645">
        <f t="shared" si="249"/>
        <v>0</v>
      </c>
      <c r="DE103" s="646">
        <f t="shared" si="250"/>
        <v>0</v>
      </c>
      <c r="DF103" s="647">
        <f t="shared" si="169"/>
        <v>194222.81040122989</v>
      </c>
      <c r="DG103" s="644">
        <f t="shared" si="251"/>
        <v>0</v>
      </c>
      <c r="DH103" s="645">
        <f t="shared" si="252"/>
        <v>0</v>
      </c>
      <c r="DI103" s="646">
        <f t="shared" si="253"/>
        <v>0</v>
      </c>
      <c r="DJ103" s="647">
        <f t="shared" si="170"/>
        <v>194222.81040122989</v>
      </c>
      <c r="DK103" s="644">
        <f t="shared" si="254"/>
        <v>0</v>
      </c>
      <c r="DL103" s="645">
        <f t="shared" si="255"/>
        <v>0</v>
      </c>
      <c r="DM103" s="646">
        <f t="shared" si="256"/>
        <v>0</v>
      </c>
      <c r="DN103" s="647">
        <f t="shared" si="171"/>
        <v>194222.81040122989</v>
      </c>
      <c r="DR103" s="827">
        <f t="shared" si="172"/>
        <v>659744.63544769445</v>
      </c>
      <c r="DV103" s="828">
        <f>IFERROR(VLOOKUP($B103,'Afton FY16 Final'!$A$5:$BV$587,'Afton FY16 Final'!$BV$587,0),0)</f>
        <v>680793.96177367261</v>
      </c>
      <c r="DX103" s="636">
        <f t="shared" si="137"/>
        <v>0</v>
      </c>
      <c r="DY103" s="637">
        <f t="shared" si="138"/>
        <v>0</v>
      </c>
      <c r="DZ103" s="637">
        <f t="shared" si="139"/>
        <v>0</v>
      </c>
      <c r="EA103" s="643">
        <f t="shared" si="140"/>
        <v>0</v>
      </c>
      <c r="EB103" s="637">
        <f t="shared" si="173"/>
        <v>0</v>
      </c>
      <c r="EC103" s="637">
        <f t="shared" si="174"/>
        <v>0</v>
      </c>
      <c r="ED103" s="637">
        <f t="shared" si="175"/>
        <v>0</v>
      </c>
      <c r="EE103" s="643">
        <f t="shared" si="176"/>
        <v>0</v>
      </c>
      <c r="EF103" s="637">
        <f t="shared" si="177"/>
        <v>0</v>
      </c>
      <c r="EG103" s="637">
        <f t="shared" si="178"/>
        <v>0</v>
      </c>
      <c r="EH103" s="637">
        <f t="shared" si="179"/>
        <v>0</v>
      </c>
      <c r="EI103" s="643">
        <f t="shared" si="180"/>
        <v>0</v>
      </c>
      <c r="EJ103" s="637">
        <f t="shared" si="181"/>
        <v>0</v>
      </c>
      <c r="EK103" s="637">
        <f t="shared" si="182"/>
        <v>0</v>
      </c>
      <c r="EL103" s="637">
        <f t="shared" si="183"/>
        <v>0</v>
      </c>
      <c r="EM103" s="643">
        <f t="shared" si="184"/>
        <v>0</v>
      </c>
      <c r="EN103" s="637">
        <f t="shared" si="185"/>
        <v>0</v>
      </c>
      <c r="EO103" s="637">
        <f t="shared" si="186"/>
        <v>0</v>
      </c>
      <c r="EP103" s="637">
        <f t="shared" si="187"/>
        <v>0</v>
      </c>
      <c r="EQ103" s="643">
        <f t="shared" si="188"/>
        <v>0</v>
      </c>
      <c r="ER103" s="637">
        <f t="shared" si="189"/>
        <v>0</v>
      </c>
      <c r="ES103" s="637">
        <f t="shared" si="190"/>
        <v>0</v>
      </c>
      <c r="ET103" s="637">
        <f t="shared" si="191"/>
        <v>0</v>
      </c>
      <c r="EU103" s="643">
        <f t="shared" si="141"/>
        <v>0</v>
      </c>
      <c r="EV103" s="643">
        <f t="shared" si="142"/>
        <v>0</v>
      </c>
      <c r="EX103" s="829">
        <f t="shared" si="143"/>
        <v>0</v>
      </c>
      <c r="EY103" s="638">
        <f t="shared" si="144"/>
        <v>659744.63544769445</v>
      </c>
      <c r="FC103" s="830" t="str">
        <f t="shared" si="192"/>
        <v>Y</v>
      </c>
      <c r="FE103" s="830" t="str">
        <f>IFERROR(VLOOKUP($B103,'Historical Conc Grant Elig'!$B$3:$J$707,'HH &amp; SI'!FE$2,0),"N")</f>
        <v>Y</v>
      </c>
      <c r="FF103" s="830" t="str">
        <f>IFERROR(VLOOKUP($B103,'Historical Conc Grant Elig'!$B$3:$J$707,'HH &amp; SI'!FF$2,0),"N")</f>
        <v>Y</v>
      </c>
      <c r="FG103" s="830" t="str">
        <f>IFERROR(VLOOKUP($B103,'Historical Conc Grant Elig'!$B$3:$J$707,'HH &amp; SI'!FG$2,0),"N")</f>
        <v>Y</v>
      </c>
      <c r="FH103" s="830" t="str">
        <f>IFERROR(VLOOKUP($B103,'Historical Conc Grant Elig'!$B$3:$J$707,'HH &amp; SI'!FH$2,0),"N")</f>
        <v>Y</v>
      </c>
      <c r="FI103" s="830" t="str">
        <f>IFERROR(VLOOKUP($B103,'Historical Conc Grant Elig'!$B$3:$J$707,'HH &amp; SI'!FI$2,0),"N")</f>
        <v>Y</v>
      </c>
      <c r="FJ103" s="830" t="str">
        <f>IFERROR(VLOOKUP($B103,'Historical Conc Grant Elig'!$B$3:$J$707,'HH &amp; SI'!FJ$2,0),"N")</f>
        <v>Y</v>
      </c>
      <c r="FK103" s="830" t="str">
        <f>IFERROR(VLOOKUP($B103,'Historical Conc Grant Elig'!$B$3:$J$707,'HH &amp; SI'!FK$2,0),"N")</f>
        <v>Y</v>
      </c>
      <c r="FL103" s="957" t="str">
        <f>IFERROR(VLOOKUP($B103,'Historical Conc Grant Elig'!$B$3:$J$707,'HH &amp; SI'!FL$2,0),"N")</f>
        <v>Y</v>
      </c>
    </row>
    <row r="104" spans="2:168" x14ac:dyDescent="0.25">
      <c r="B104" s="634">
        <v>70408000</v>
      </c>
      <c r="C104" s="635" t="str">
        <f>VLOOKUP($B104,'Afton Update'!$A$5:$CR$582,'Afton Update'!D$589,0)</f>
        <v>Osborn Elementary District</v>
      </c>
      <c r="D104" s="636">
        <f>IFERROR(VLOOKUP($B104,'Afton FY16 Final'!$A$5:$BV$587,'Afton FY16 Final'!AQ$587,0),0)</f>
        <v>794510.34465380711</v>
      </c>
      <c r="E104" s="637">
        <f>IFERROR(VLOOKUP($B104,'Afton FY16 Final'!$A$5:$BV$587,'Afton FY16 Final'!AR$587,0),0)</f>
        <v>187109.9521177545</v>
      </c>
      <c r="F104" s="637">
        <f>IFERROR(VLOOKUP($B104,'Afton FY16 Final'!$A$5:$BV$587,'Afton FY16 Final'!AS$587,0),0)</f>
        <v>529417.78404504969</v>
      </c>
      <c r="G104" s="637">
        <f>IFERROR(VLOOKUP($B104,'Afton FY16 Final'!$A$5:$BV$587,'Afton FY16 Final'!AT$587,0),0)</f>
        <v>485868.80960316164</v>
      </c>
      <c r="H104" s="638">
        <f>IFERROR(VLOOKUP($B104,'Afton FY16 Final'!$A$5:$BV$587,'Afton FY16 Final'!AU$587,0),0)</f>
        <v>1996906.8904197728</v>
      </c>
      <c r="I104" s="639" t="str">
        <f>VLOOKUP($B104,'Afton Update'!$A$5:$CR$582,'Afton Update'!BT$589,0)</f>
        <v>Y</v>
      </c>
      <c r="J104" s="640" t="str">
        <f>VLOOKUP($B104,'Afton Update'!$A$5:$CR$582,'Afton Update'!BU$589,0)</f>
        <v>Y</v>
      </c>
      <c r="K104" s="640" t="str">
        <f>VLOOKUP($B104,'Afton Update'!$A$5:$CR$582,'Afton Update'!BV$589,0)</f>
        <v>Y</v>
      </c>
      <c r="L104" s="641" t="str">
        <f>VLOOKUP($B104,'Afton Update'!$A$5:$CR$582,'Afton Update'!BW$589,0)</f>
        <v>Y</v>
      </c>
      <c r="N104" s="642">
        <f>VLOOKUP($B104,'Afton Update'!$A$5:$CR$582,'Afton Update'!CB$589,0)</f>
        <v>0.95</v>
      </c>
      <c r="P104" s="636">
        <f>VLOOKUP($B104,'Afton Update'!$A$5:$CR$582,'Afton Update'!AH$589,0)</f>
        <v>773962.21069148206</v>
      </c>
      <c r="Q104" s="637">
        <f>VLOOKUP($B104,'Afton Update'!$A$5:$CR$582,'Afton Update'!AI$589,0)</f>
        <v>186585.11762990896</v>
      </c>
      <c r="R104" s="637">
        <f>VLOOKUP($B104,'Afton Update'!$A$5:$CR$582,'Afton Update'!AJ$589,0)</f>
        <v>539644.35797524534</v>
      </c>
      <c r="S104" s="637">
        <f>VLOOKUP($B104,'Afton Update'!$A$5:$CR$582,'Afton Update'!AK$589,0)</f>
        <v>535079.0686777907</v>
      </c>
      <c r="T104" s="643">
        <f t="shared" si="145"/>
        <v>2035270.7549744269</v>
      </c>
      <c r="V104" s="636">
        <f t="shared" si="193"/>
        <v>763404.8637869024</v>
      </c>
      <c r="W104" s="637">
        <f t="shared" si="194"/>
        <v>180439.686028144</v>
      </c>
      <c r="X104" s="637">
        <f t="shared" si="195"/>
        <v>534736.50323563349</v>
      </c>
      <c r="Y104" s="637">
        <f t="shared" si="196"/>
        <v>529183.46053248621</v>
      </c>
      <c r="Z104" s="643">
        <f t="shared" si="197"/>
        <v>2007764.5135831661</v>
      </c>
      <c r="AB104" s="644">
        <f t="shared" si="146"/>
        <v>773962.21069148206</v>
      </c>
      <c r="AC104" s="645">
        <f t="shared" si="134"/>
        <v>754784.82742111676</v>
      </c>
      <c r="AD104" s="644">
        <f t="shared" si="198"/>
        <v>0</v>
      </c>
      <c r="AE104" s="645">
        <f t="shared" si="199"/>
        <v>773962.21069148206</v>
      </c>
      <c r="AF104" s="646">
        <f t="shared" si="200"/>
        <v>-9593.8432186398932</v>
      </c>
      <c r="AG104" s="647">
        <f t="shared" si="201"/>
        <v>764368.36747284222</v>
      </c>
      <c r="AH104" s="644">
        <f t="shared" si="147"/>
        <v>0</v>
      </c>
      <c r="AI104" s="645">
        <f t="shared" si="148"/>
        <v>764368.36747284222</v>
      </c>
      <c r="AJ104" s="646">
        <f t="shared" si="202"/>
        <v>-962.8898407008935</v>
      </c>
      <c r="AK104" s="647">
        <f t="shared" si="149"/>
        <v>763405.47763214132</v>
      </c>
      <c r="AL104" s="644">
        <f t="shared" si="203"/>
        <v>0</v>
      </c>
      <c r="AM104" s="645">
        <f t="shared" si="204"/>
        <v>763405.47763214132</v>
      </c>
      <c r="AN104" s="646">
        <f t="shared" si="205"/>
        <v>-0.61384523898095278</v>
      </c>
      <c r="AO104" s="647">
        <f t="shared" si="150"/>
        <v>763404.8637869024</v>
      </c>
      <c r="AP104" s="644">
        <f t="shared" si="206"/>
        <v>0</v>
      </c>
      <c r="AQ104" s="645">
        <f t="shared" si="207"/>
        <v>763404.8637869024</v>
      </c>
      <c r="AR104" s="646">
        <f t="shared" si="208"/>
        <v>0</v>
      </c>
      <c r="AS104" s="647">
        <f t="shared" si="151"/>
        <v>763404.8637869024</v>
      </c>
      <c r="AT104" s="644">
        <f t="shared" si="209"/>
        <v>0</v>
      </c>
      <c r="AU104" s="645">
        <f t="shared" si="210"/>
        <v>763404.8637869024</v>
      </c>
      <c r="AV104" s="646">
        <f t="shared" si="211"/>
        <v>0</v>
      </c>
      <c r="AW104" s="647">
        <f t="shared" si="152"/>
        <v>763404.8637869024</v>
      </c>
      <c r="AY104" s="644">
        <f t="shared" si="212"/>
        <v>186585.11762990896</v>
      </c>
      <c r="AZ104" s="645">
        <f t="shared" si="153"/>
        <v>177754.45451186676</v>
      </c>
      <c r="BA104" s="644">
        <f t="shared" si="213"/>
        <v>0</v>
      </c>
      <c r="BB104" s="645">
        <f t="shared" si="214"/>
        <v>186585.11762990896</v>
      </c>
      <c r="BC104" s="646">
        <f t="shared" si="215"/>
        <v>-1341.7879574603996</v>
      </c>
      <c r="BD104" s="647">
        <f t="shared" si="216"/>
        <v>185243.32967244857</v>
      </c>
      <c r="BE104" s="644">
        <f t="shared" si="154"/>
        <v>0</v>
      </c>
      <c r="BF104" s="645">
        <f t="shared" si="155"/>
        <v>185243.32967244857</v>
      </c>
      <c r="BG104" s="646">
        <f t="shared" si="217"/>
        <v>-4412.3451503750766</v>
      </c>
      <c r="BH104" s="647">
        <f t="shared" si="156"/>
        <v>180830.9845220735</v>
      </c>
      <c r="BI104" s="644">
        <f t="shared" si="218"/>
        <v>0</v>
      </c>
      <c r="BJ104" s="645">
        <f t="shared" si="219"/>
        <v>180830.9845220735</v>
      </c>
      <c r="BK104" s="646">
        <f t="shared" si="220"/>
        <v>-383.0424973543918</v>
      </c>
      <c r="BL104" s="647">
        <f t="shared" si="157"/>
        <v>180447.94202471912</v>
      </c>
      <c r="BM104" s="644">
        <f t="shared" si="221"/>
        <v>0</v>
      </c>
      <c r="BN104" s="645">
        <f t="shared" si="222"/>
        <v>180447.94202471912</v>
      </c>
      <c r="BO104" s="646">
        <f t="shared" si="223"/>
        <v>-8.2559965751151694</v>
      </c>
      <c r="BP104" s="647">
        <f t="shared" si="158"/>
        <v>180439.686028144</v>
      </c>
      <c r="BQ104" s="644">
        <f t="shared" si="224"/>
        <v>0</v>
      </c>
      <c r="BR104" s="645">
        <f t="shared" si="225"/>
        <v>180439.686028144</v>
      </c>
      <c r="BS104" s="646">
        <f t="shared" si="226"/>
        <v>0</v>
      </c>
      <c r="BT104" s="647">
        <f t="shared" si="159"/>
        <v>180439.686028144</v>
      </c>
      <c r="BU104" s="662">
        <f>VLOOKUP(B104,'Afton Update'!$A$5:$AR$582,'Afton Update'!$AO$589,0)-BT104</f>
        <v>0</v>
      </c>
      <c r="BV104" s="644">
        <f t="shared" si="227"/>
        <v>539644.35797524534</v>
      </c>
      <c r="BW104" s="645">
        <f t="shared" si="135"/>
        <v>502946.89484279719</v>
      </c>
      <c r="BX104" s="644">
        <f t="shared" si="228"/>
        <v>0</v>
      </c>
      <c r="BY104" s="645">
        <f t="shared" si="229"/>
        <v>539644.35797524534</v>
      </c>
      <c r="BZ104" s="646">
        <f t="shared" si="230"/>
        <v>-4736.5159042959076</v>
      </c>
      <c r="CA104" s="647">
        <f t="shared" si="231"/>
        <v>534907.84207094938</v>
      </c>
      <c r="CB104" s="644">
        <f t="shared" si="160"/>
        <v>0</v>
      </c>
      <c r="CC104" s="645">
        <f t="shared" si="161"/>
        <v>534907.84207094938</v>
      </c>
      <c r="CD104" s="646">
        <f t="shared" si="232"/>
        <v>-171.33883531588407</v>
      </c>
      <c r="CE104" s="647">
        <f t="shared" si="162"/>
        <v>534736.50323563349</v>
      </c>
      <c r="CF104" s="644">
        <f t="shared" si="233"/>
        <v>0</v>
      </c>
      <c r="CG104" s="645">
        <f t="shared" si="234"/>
        <v>534736.50323563349</v>
      </c>
      <c r="CH104" s="646">
        <f t="shared" si="235"/>
        <v>0</v>
      </c>
      <c r="CI104" s="647">
        <f t="shared" si="163"/>
        <v>534736.50323563349</v>
      </c>
      <c r="CJ104" s="644">
        <f t="shared" si="236"/>
        <v>0</v>
      </c>
      <c r="CK104" s="645">
        <f t="shared" si="237"/>
        <v>534736.50323563349</v>
      </c>
      <c r="CL104" s="646">
        <f t="shared" si="238"/>
        <v>0</v>
      </c>
      <c r="CM104" s="647">
        <f t="shared" si="164"/>
        <v>534736.50323563349</v>
      </c>
      <c r="CN104" s="644">
        <f t="shared" si="239"/>
        <v>0</v>
      </c>
      <c r="CO104" s="645">
        <f t="shared" si="240"/>
        <v>534736.50323563349</v>
      </c>
      <c r="CP104" s="646">
        <f t="shared" si="241"/>
        <v>0</v>
      </c>
      <c r="CQ104" s="647">
        <f t="shared" si="165"/>
        <v>534736.50323563349</v>
      </c>
      <c r="CS104" s="644">
        <f t="shared" si="242"/>
        <v>535079.0686777907</v>
      </c>
      <c r="CT104" s="645">
        <f t="shared" si="136"/>
        <v>461575.36912300356</v>
      </c>
      <c r="CU104" s="644">
        <f t="shared" si="243"/>
        <v>0</v>
      </c>
      <c r="CV104" s="645">
        <f t="shared" si="244"/>
        <v>535079.0686777907</v>
      </c>
      <c r="CW104" s="646">
        <f t="shared" si="245"/>
        <v>-5479.5120482010225</v>
      </c>
      <c r="CX104" s="647">
        <f t="shared" si="246"/>
        <v>529599.55662958964</v>
      </c>
      <c r="CY104" s="644">
        <f t="shared" si="166"/>
        <v>0</v>
      </c>
      <c r="CZ104" s="645">
        <f t="shared" si="167"/>
        <v>529599.55662958964</v>
      </c>
      <c r="DA104" s="646">
        <f t="shared" si="247"/>
        <v>-415.73757522587135</v>
      </c>
      <c r="DB104" s="647">
        <f t="shared" si="168"/>
        <v>529183.81905436376</v>
      </c>
      <c r="DC104" s="644">
        <f t="shared" si="248"/>
        <v>0</v>
      </c>
      <c r="DD104" s="645">
        <f t="shared" si="249"/>
        <v>529183.81905436376</v>
      </c>
      <c r="DE104" s="646">
        <f t="shared" si="250"/>
        <v>-0.35852187753176173</v>
      </c>
      <c r="DF104" s="647">
        <f t="shared" si="169"/>
        <v>529183.46053248621</v>
      </c>
      <c r="DG104" s="644">
        <f t="shared" si="251"/>
        <v>0</v>
      </c>
      <c r="DH104" s="645">
        <f t="shared" si="252"/>
        <v>529183.46053248621</v>
      </c>
      <c r="DI104" s="646">
        <f t="shared" si="253"/>
        <v>0</v>
      </c>
      <c r="DJ104" s="647">
        <f t="shared" si="170"/>
        <v>529183.46053248621</v>
      </c>
      <c r="DK104" s="644">
        <f t="shared" si="254"/>
        <v>0</v>
      </c>
      <c r="DL104" s="645">
        <f t="shared" si="255"/>
        <v>529183.46053248621</v>
      </c>
      <c r="DM104" s="646">
        <f t="shared" si="256"/>
        <v>0</v>
      </c>
      <c r="DN104" s="647">
        <f t="shared" si="171"/>
        <v>529183.46053248621</v>
      </c>
      <c r="DR104" s="827">
        <f t="shared" si="172"/>
        <v>2007764.5135831661</v>
      </c>
      <c r="DV104" s="828">
        <f>IFERROR(VLOOKUP($B104,'Afton FY16 Final'!$A$5:$BV$587,'Afton FY16 Final'!$BV$587,0),0)</f>
        <v>1791257.8752096859</v>
      </c>
      <c r="DX104" s="636">
        <f t="shared" si="137"/>
        <v>2007764.5135831661</v>
      </c>
      <c r="DY104" s="637">
        <f t="shared" si="138"/>
        <v>216506.63837348018</v>
      </c>
      <c r="DZ104" s="637">
        <f t="shared" si="139"/>
        <v>1791257.8752096859</v>
      </c>
      <c r="EA104" s="643">
        <f t="shared" si="140"/>
        <v>1900973.9432824655</v>
      </c>
      <c r="EB104" s="637">
        <f t="shared" si="173"/>
        <v>0</v>
      </c>
      <c r="EC104" s="637">
        <f t="shared" si="174"/>
        <v>1900973.9432824655</v>
      </c>
      <c r="ED104" s="637">
        <f t="shared" si="175"/>
        <v>1895305.3524864286</v>
      </c>
      <c r="EE104" s="643">
        <f t="shared" si="176"/>
        <v>1895305.3524864286</v>
      </c>
      <c r="EF104" s="637">
        <f t="shared" si="177"/>
        <v>0</v>
      </c>
      <c r="EG104" s="637">
        <f t="shared" si="178"/>
        <v>1895305.3524864286</v>
      </c>
      <c r="EH104" s="637">
        <f t="shared" si="179"/>
        <v>1895303.3971738755</v>
      </c>
      <c r="EI104" s="643">
        <f t="shared" si="180"/>
        <v>1895303.3971738755</v>
      </c>
      <c r="EJ104" s="637">
        <f t="shared" si="181"/>
        <v>0</v>
      </c>
      <c r="EK104" s="637">
        <f t="shared" si="182"/>
        <v>1895303.3971738755</v>
      </c>
      <c r="EL104" s="637">
        <f t="shared" si="183"/>
        <v>1895303.3971738727</v>
      </c>
      <c r="EM104" s="643">
        <f t="shared" si="184"/>
        <v>1895303.3971738727</v>
      </c>
      <c r="EN104" s="637">
        <f t="shared" si="185"/>
        <v>0</v>
      </c>
      <c r="EO104" s="637">
        <f t="shared" si="186"/>
        <v>1895303.3971738727</v>
      </c>
      <c r="EP104" s="637">
        <f t="shared" si="187"/>
        <v>1895303.3971738755</v>
      </c>
      <c r="EQ104" s="643">
        <f t="shared" si="188"/>
        <v>1895303.3971738755</v>
      </c>
      <c r="ER104" s="637">
        <f t="shared" si="189"/>
        <v>0</v>
      </c>
      <c r="ES104" s="637">
        <f t="shared" si="190"/>
        <v>1895303.3971738755</v>
      </c>
      <c r="ET104" s="637">
        <f t="shared" si="191"/>
        <v>1895303.3971738727</v>
      </c>
      <c r="EU104" s="643">
        <f t="shared" si="141"/>
        <v>1895303.3971738727</v>
      </c>
      <c r="EV104" s="643">
        <f t="shared" si="142"/>
        <v>0</v>
      </c>
      <c r="EX104" s="829">
        <f t="shared" si="143"/>
        <v>112461.11640929338</v>
      </c>
      <c r="EY104" s="638">
        <f t="shared" si="144"/>
        <v>1895303.3971738727</v>
      </c>
      <c r="FC104" s="830" t="str">
        <f t="shared" si="192"/>
        <v>Y</v>
      </c>
      <c r="FE104" s="830" t="str">
        <f>IFERROR(VLOOKUP($B104,'Historical Conc Grant Elig'!$B$3:$J$707,'HH &amp; SI'!FE$2,0),"N")</f>
        <v>Y</v>
      </c>
      <c r="FF104" s="830" t="str">
        <f>IFERROR(VLOOKUP($B104,'Historical Conc Grant Elig'!$B$3:$J$707,'HH &amp; SI'!FF$2,0),"N")</f>
        <v>Y</v>
      </c>
      <c r="FG104" s="830" t="str">
        <f>IFERROR(VLOOKUP($B104,'Historical Conc Grant Elig'!$B$3:$J$707,'HH &amp; SI'!FG$2,0),"N")</f>
        <v>Y</v>
      </c>
      <c r="FH104" s="830" t="str">
        <f>IFERROR(VLOOKUP($B104,'Historical Conc Grant Elig'!$B$3:$J$707,'HH &amp; SI'!FH$2,0),"N")</f>
        <v>Y</v>
      </c>
      <c r="FI104" s="830" t="str">
        <f>IFERROR(VLOOKUP($B104,'Historical Conc Grant Elig'!$B$3:$J$707,'HH &amp; SI'!FI$2,0),"N")</f>
        <v>Y</v>
      </c>
      <c r="FJ104" s="830" t="str">
        <f>IFERROR(VLOOKUP($B104,'Historical Conc Grant Elig'!$B$3:$J$707,'HH &amp; SI'!FJ$2,0),"N")</f>
        <v>Y</v>
      </c>
      <c r="FK104" s="830" t="str">
        <f>IFERROR(VLOOKUP($B104,'Historical Conc Grant Elig'!$B$3:$J$707,'HH &amp; SI'!FK$2,0),"N")</f>
        <v>Y</v>
      </c>
      <c r="FL104" s="957" t="str">
        <f>IFERROR(VLOOKUP($B104,'Historical Conc Grant Elig'!$B$3:$J$707,'HH &amp; SI'!FL$2,0),"N")</f>
        <v>Y</v>
      </c>
    </row>
    <row r="105" spans="2:168" x14ac:dyDescent="0.25">
      <c r="B105" s="634">
        <v>70414000</v>
      </c>
      <c r="C105" s="635" t="str">
        <f>VLOOKUP($B105,'Afton Update'!$A$5:$CR$582,'Afton Update'!D$589,0)</f>
        <v>Creighton Elementary District</v>
      </c>
      <c r="D105" s="636">
        <f>IFERROR(VLOOKUP($B105,'Afton FY16 Final'!$A$5:$BV$587,'Afton FY16 Final'!AQ$587,0),0)</f>
        <v>1926352.5864282965</v>
      </c>
      <c r="E105" s="637">
        <f>IFERROR(VLOOKUP($B105,'Afton FY16 Final'!$A$5:$BV$587,'Afton FY16 Final'!AR$587,0),0)</f>
        <v>481688.31108243903</v>
      </c>
      <c r="F105" s="637">
        <f>IFERROR(VLOOKUP($B105,'Afton FY16 Final'!$A$5:$BV$587,'Afton FY16 Final'!AS$587,0),0)</f>
        <v>1283591.4394092914</v>
      </c>
      <c r="G105" s="637">
        <f>IFERROR(VLOOKUP($B105,'Afton FY16 Final'!$A$5:$BV$587,'Afton FY16 Final'!AT$587,0),0)</f>
        <v>1305183.7460456125</v>
      </c>
      <c r="H105" s="638">
        <f>IFERROR(VLOOKUP($B105,'Afton FY16 Final'!$A$5:$BV$587,'Afton FY16 Final'!AU$587,0),0)</f>
        <v>4996816.0829656394</v>
      </c>
      <c r="I105" s="639" t="str">
        <f>VLOOKUP($B105,'Afton Update'!$A$5:$CR$582,'Afton Update'!BT$589,0)</f>
        <v>Y</v>
      </c>
      <c r="J105" s="640" t="str">
        <f>VLOOKUP($B105,'Afton Update'!$A$5:$CR$582,'Afton Update'!BU$589,0)</f>
        <v>Y</v>
      </c>
      <c r="K105" s="640" t="str">
        <f>VLOOKUP($B105,'Afton Update'!$A$5:$CR$582,'Afton Update'!BV$589,0)</f>
        <v>Y</v>
      </c>
      <c r="L105" s="641" t="str">
        <f>VLOOKUP($B105,'Afton Update'!$A$5:$CR$582,'Afton Update'!BW$589,0)</f>
        <v>Y</v>
      </c>
      <c r="N105" s="642">
        <f>VLOOKUP($B105,'Afton Update'!$A$5:$CR$582,'Afton Update'!CB$589,0)</f>
        <v>0.95</v>
      </c>
      <c r="P105" s="636">
        <f>VLOOKUP($B105,'Afton Update'!$A$5:$CR$582,'Afton Update'!AH$589,0)</f>
        <v>1850109.2763330289</v>
      </c>
      <c r="Q105" s="637">
        <f>VLOOKUP($B105,'Afton Update'!$A$5:$CR$582,'Afton Update'!AI$589,0)</f>
        <v>457360.88425078749</v>
      </c>
      <c r="R105" s="637">
        <f>VLOOKUP($B105,'Afton Update'!$A$5:$CR$582,'Afton Update'!AJ$589,0)</f>
        <v>1237803.4548855999</v>
      </c>
      <c r="S105" s="637">
        <f>VLOOKUP($B105,'Afton Update'!$A$5:$CR$582,'Afton Update'!AK$589,0)</f>
        <v>1249809.6081436581</v>
      </c>
      <c r="T105" s="643">
        <f t="shared" si="145"/>
        <v>4795083.223613075</v>
      </c>
      <c r="V105" s="636">
        <f t="shared" si="193"/>
        <v>1830034.9571068815</v>
      </c>
      <c r="W105" s="637">
        <f t="shared" si="194"/>
        <v>457603.89552831708</v>
      </c>
      <c r="X105" s="637">
        <f t="shared" si="195"/>
        <v>1226546.1157455011</v>
      </c>
      <c r="Y105" s="637">
        <f t="shared" si="196"/>
        <v>1239924.5587433318</v>
      </c>
      <c r="Z105" s="643">
        <f t="shared" si="197"/>
        <v>4754109.5271240314</v>
      </c>
      <c r="AB105" s="644">
        <f t="shared" si="146"/>
        <v>1850109.2763330289</v>
      </c>
      <c r="AC105" s="645">
        <f t="shared" si="134"/>
        <v>1830034.9571068815</v>
      </c>
      <c r="AD105" s="644">
        <f t="shared" si="198"/>
        <v>0</v>
      </c>
      <c r="AE105" s="645">
        <f t="shared" si="199"/>
        <v>1850109.2763330289</v>
      </c>
      <c r="AF105" s="646">
        <f t="shared" si="200"/>
        <v>-22933.494800259417</v>
      </c>
      <c r="AG105" s="647">
        <f t="shared" si="201"/>
        <v>1827175.7815327696</v>
      </c>
      <c r="AH105" s="644">
        <f t="shared" si="147"/>
        <v>-2859.175574111985</v>
      </c>
      <c r="AI105" s="645">
        <f t="shared" si="148"/>
        <v>0</v>
      </c>
      <c r="AJ105" s="646">
        <f t="shared" si="202"/>
        <v>0</v>
      </c>
      <c r="AK105" s="647">
        <f t="shared" si="149"/>
        <v>1830034.9571068815</v>
      </c>
      <c r="AL105" s="644">
        <f t="shared" si="203"/>
        <v>0</v>
      </c>
      <c r="AM105" s="645">
        <f t="shared" si="204"/>
        <v>0</v>
      </c>
      <c r="AN105" s="646">
        <f t="shared" si="205"/>
        <v>0</v>
      </c>
      <c r="AO105" s="647">
        <f t="shared" si="150"/>
        <v>1830034.9571068815</v>
      </c>
      <c r="AP105" s="644">
        <f t="shared" si="206"/>
        <v>0</v>
      </c>
      <c r="AQ105" s="645">
        <f t="shared" si="207"/>
        <v>0</v>
      </c>
      <c r="AR105" s="646">
        <f t="shared" si="208"/>
        <v>0</v>
      </c>
      <c r="AS105" s="647">
        <f t="shared" si="151"/>
        <v>1830034.9571068815</v>
      </c>
      <c r="AT105" s="644">
        <f t="shared" si="209"/>
        <v>0</v>
      </c>
      <c r="AU105" s="645">
        <f t="shared" si="210"/>
        <v>0</v>
      </c>
      <c r="AV105" s="646">
        <f t="shared" si="211"/>
        <v>0</v>
      </c>
      <c r="AW105" s="647">
        <f t="shared" si="152"/>
        <v>1830034.9571068815</v>
      </c>
      <c r="AY105" s="644">
        <f t="shared" si="212"/>
        <v>457360.88425078749</v>
      </c>
      <c r="AZ105" s="645">
        <f t="shared" si="153"/>
        <v>457603.89552831708</v>
      </c>
      <c r="BA105" s="644">
        <f t="shared" si="213"/>
        <v>243.01127752958564</v>
      </c>
      <c r="BB105" s="645">
        <f t="shared" si="214"/>
        <v>0</v>
      </c>
      <c r="BC105" s="646">
        <f t="shared" si="215"/>
        <v>0</v>
      </c>
      <c r="BD105" s="647">
        <f t="shared" si="216"/>
        <v>457603.89552831708</v>
      </c>
      <c r="BE105" s="644">
        <f t="shared" si="154"/>
        <v>0</v>
      </c>
      <c r="BF105" s="645">
        <f t="shared" si="155"/>
        <v>0</v>
      </c>
      <c r="BG105" s="646">
        <f t="shared" si="217"/>
        <v>0</v>
      </c>
      <c r="BH105" s="647">
        <f t="shared" si="156"/>
        <v>457603.89552831708</v>
      </c>
      <c r="BI105" s="644">
        <f t="shared" si="218"/>
        <v>0</v>
      </c>
      <c r="BJ105" s="645">
        <f t="shared" si="219"/>
        <v>0</v>
      </c>
      <c r="BK105" s="646">
        <f t="shared" si="220"/>
        <v>0</v>
      </c>
      <c r="BL105" s="647">
        <f t="shared" si="157"/>
        <v>457603.89552831708</v>
      </c>
      <c r="BM105" s="644">
        <f t="shared" si="221"/>
        <v>0</v>
      </c>
      <c r="BN105" s="645">
        <f t="shared" si="222"/>
        <v>0</v>
      </c>
      <c r="BO105" s="646">
        <f t="shared" si="223"/>
        <v>0</v>
      </c>
      <c r="BP105" s="647">
        <f t="shared" si="158"/>
        <v>457603.89552831708</v>
      </c>
      <c r="BQ105" s="644">
        <f t="shared" si="224"/>
        <v>0</v>
      </c>
      <c r="BR105" s="645">
        <f t="shared" si="225"/>
        <v>0</v>
      </c>
      <c r="BS105" s="646">
        <f t="shared" si="226"/>
        <v>0</v>
      </c>
      <c r="BT105" s="647">
        <f t="shared" si="159"/>
        <v>457603.89552831708</v>
      </c>
      <c r="BU105" s="662">
        <f>VLOOKUP(B105,'Afton Update'!$A$5:$AR$582,'Afton Update'!$AO$589,0)-BT105</f>
        <v>0</v>
      </c>
      <c r="BV105" s="644">
        <f t="shared" si="227"/>
        <v>1237803.4548855999</v>
      </c>
      <c r="BW105" s="645">
        <f t="shared" si="135"/>
        <v>1219411.8674388267</v>
      </c>
      <c r="BX105" s="644">
        <f t="shared" si="228"/>
        <v>0</v>
      </c>
      <c r="BY105" s="645">
        <f t="shared" si="229"/>
        <v>1237803.4548855999</v>
      </c>
      <c r="BZ105" s="646">
        <f t="shared" si="230"/>
        <v>-10864.332525324036</v>
      </c>
      <c r="CA105" s="647">
        <f t="shared" si="231"/>
        <v>1226939.1223602758</v>
      </c>
      <c r="CB105" s="644">
        <f t="shared" si="160"/>
        <v>0</v>
      </c>
      <c r="CC105" s="645">
        <f t="shared" si="161"/>
        <v>1226939.1223602758</v>
      </c>
      <c r="CD105" s="646">
        <f t="shared" si="232"/>
        <v>-393.00661477462336</v>
      </c>
      <c r="CE105" s="647">
        <f t="shared" si="162"/>
        <v>1226546.1157455011</v>
      </c>
      <c r="CF105" s="644">
        <f t="shared" si="233"/>
        <v>0</v>
      </c>
      <c r="CG105" s="645">
        <f t="shared" si="234"/>
        <v>1226546.1157455011</v>
      </c>
      <c r="CH105" s="646">
        <f t="shared" si="235"/>
        <v>0</v>
      </c>
      <c r="CI105" s="647">
        <f t="shared" si="163"/>
        <v>1226546.1157455011</v>
      </c>
      <c r="CJ105" s="644">
        <f t="shared" si="236"/>
        <v>0</v>
      </c>
      <c r="CK105" s="645">
        <f t="shared" si="237"/>
        <v>1226546.1157455011</v>
      </c>
      <c r="CL105" s="646">
        <f t="shared" si="238"/>
        <v>0</v>
      </c>
      <c r="CM105" s="647">
        <f t="shared" si="164"/>
        <v>1226546.1157455011</v>
      </c>
      <c r="CN105" s="644">
        <f t="shared" si="239"/>
        <v>0</v>
      </c>
      <c r="CO105" s="645">
        <f t="shared" si="240"/>
        <v>1226546.1157455011</v>
      </c>
      <c r="CP105" s="646">
        <f t="shared" si="241"/>
        <v>0</v>
      </c>
      <c r="CQ105" s="647">
        <f t="shared" si="165"/>
        <v>1226546.1157455011</v>
      </c>
      <c r="CS105" s="644">
        <f t="shared" si="242"/>
        <v>1249809.6081436581</v>
      </c>
      <c r="CT105" s="645">
        <f t="shared" si="136"/>
        <v>1239924.5587433318</v>
      </c>
      <c r="CU105" s="644">
        <f t="shared" si="243"/>
        <v>0</v>
      </c>
      <c r="CV105" s="645">
        <f t="shared" si="244"/>
        <v>1249809.6081436581</v>
      </c>
      <c r="CW105" s="646">
        <f t="shared" si="245"/>
        <v>-12798.756682266061</v>
      </c>
      <c r="CX105" s="647">
        <f t="shared" si="246"/>
        <v>1237010.8514613921</v>
      </c>
      <c r="CY105" s="644">
        <f t="shared" si="166"/>
        <v>-2913.7072819396853</v>
      </c>
      <c r="CZ105" s="645">
        <f t="shared" si="167"/>
        <v>0</v>
      </c>
      <c r="DA105" s="646">
        <f t="shared" si="247"/>
        <v>0</v>
      </c>
      <c r="DB105" s="647">
        <f t="shared" si="168"/>
        <v>1239924.5587433318</v>
      </c>
      <c r="DC105" s="644">
        <f t="shared" si="248"/>
        <v>0</v>
      </c>
      <c r="DD105" s="645">
        <f t="shared" si="249"/>
        <v>0</v>
      </c>
      <c r="DE105" s="646">
        <f t="shared" si="250"/>
        <v>0</v>
      </c>
      <c r="DF105" s="647">
        <f t="shared" si="169"/>
        <v>1239924.5587433318</v>
      </c>
      <c r="DG105" s="644">
        <f t="shared" si="251"/>
        <v>0</v>
      </c>
      <c r="DH105" s="645">
        <f t="shared" si="252"/>
        <v>0</v>
      </c>
      <c r="DI105" s="646">
        <f t="shared" si="253"/>
        <v>0</v>
      </c>
      <c r="DJ105" s="647">
        <f t="shared" si="170"/>
        <v>1239924.5587433318</v>
      </c>
      <c r="DK105" s="644">
        <f t="shared" si="254"/>
        <v>0</v>
      </c>
      <c r="DL105" s="645">
        <f t="shared" si="255"/>
        <v>0</v>
      </c>
      <c r="DM105" s="646">
        <f t="shared" si="256"/>
        <v>0</v>
      </c>
      <c r="DN105" s="647">
        <f t="shared" si="171"/>
        <v>1239924.5587433318</v>
      </c>
      <c r="DR105" s="827">
        <f t="shared" si="172"/>
        <v>4754109.5271240314</v>
      </c>
      <c r="DV105" s="828">
        <f>IFERROR(VLOOKUP($B105,'Afton FY16 Final'!$A$5:$BV$587,'Afton FY16 Final'!$BV$587,0),0)</f>
        <v>4867102.2575112274</v>
      </c>
      <c r="DX105" s="636">
        <f t="shared" si="137"/>
        <v>0</v>
      </c>
      <c r="DY105" s="637">
        <f t="shared" si="138"/>
        <v>0</v>
      </c>
      <c r="DZ105" s="637">
        <f t="shared" si="139"/>
        <v>0</v>
      </c>
      <c r="EA105" s="643">
        <f t="shared" si="140"/>
        <v>0</v>
      </c>
      <c r="EB105" s="637">
        <f t="shared" si="173"/>
        <v>0</v>
      </c>
      <c r="EC105" s="637">
        <f t="shared" si="174"/>
        <v>0</v>
      </c>
      <c r="ED105" s="637">
        <f t="shared" si="175"/>
        <v>0</v>
      </c>
      <c r="EE105" s="643">
        <f t="shared" si="176"/>
        <v>0</v>
      </c>
      <c r="EF105" s="637">
        <f t="shared" si="177"/>
        <v>0</v>
      </c>
      <c r="EG105" s="637">
        <f t="shared" si="178"/>
        <v>0</v>
      </c>
      <c r="EH105" s="637">
        <f t="shared" si="179"/>
        <v>0</v>
      </c>
      <c r="EI105" s="643">
        <f t="shared" si="180"/>
        <v>0</v>
      </c>
      <c r="EJ105" s="637">
        <f t="shared" si="181"/>
        <v>0</v>
      </c>
      <c r="EK105" s="637">
        <f t="shared" si="182"/>
        <v>0</v>
      </c>
      <c r="EL105" s="637">
        <f t="shared" si="183"/>
        <v>0</v>
      </c>
      <c r="EM105" s="643">
        <f t="shared" si="184"/>
        <v>0</v>
      </c>
      <c r="EN105" s="637">
        <f t="shared" si="185"/>
        <v>0</v>
      </c>
      <c r="EO105" s="637">
        <f t="shared" si="186"/>
        <v>0</v>
      </c>
      <c r="EP105" s="637">
        <f t="shared" si="187"/>
        <v>0</v>
      </c>
      <c r="EQ105" s="643">
        <f t="shared" si="188"/>
        <v>0</v>
      </c>
      <c r="ER105" s="637">
        <f t="shared" si="189"/>
        <v>0</v>
      </c>
      <c r="ES105" s="637">
        <f t="shared" si="190"/>
        <v>0</v>
      </c>
      <c r="ET105" s="637">
        <f t="shared" si="191"/>
        <v>0</v>
      </c>
      <c r="EU105" s="643">
        <f t="shared" si="141"/>
        <v>0</v>
      </c>
      <c r="EV105" s="643">
        <f t="shared" si="142"/>
        <v>0</v>
      </c>
      <c r="EX105" s="829">
        <f t="shared" si="143"/>
        <v>0</v>
      </c>
      <c r="EY105" s="638">
        <f t="shared" si="144"/>
        <v>4754109.5271240314</v>
      </c>
      <c r="FC105" s="830" t="str">
        <f t="shared" si="192"/>
        <v>Y</v>
      </c>
      <c r="FE105" s="830" t="str">
        <f>IFERROR(VLOOKUP($B105,'Historical Conc Grant Elig'!$B$3:$J$707,'HH &amp; SI'!FE$2,0),"N")</f>
        <v>Y</v>
      </c>
      <c r="FF105" s="830" t="str">
        <f>IFERROR(VLOOKUP($B105,'Historical Conc Grant Elig'!$B$3:$J$707,'HH &amp; SI'!FF$2,0),"N")</f>
        <v>Y</v>
      </c>
      <c r="FG105" s="830" t="str">
        <f>IFERROR(VLOOKUP($B105,'Historical Conc Grant Elig'!$B$3:$J$707,'HH &amp; SI'!FG$2,0),"N")</f>
        <v>Y</v>
      </c>
      <c r="FH105" s="830" t="str">
        <f>IFERROR(VLOOKUP($B105,'Historical Conc Grant Elig'!$B$3:$J$707,'HH &amp; SI'!FH$2,0),"N")</f>
        <v>Y</v>
      </c>
      <c r="FI105" s="830" t="str">
        <f>IFERROR(VLOOKUP($B105,'Historical Conc Grant Elig'!$B$3:$J$707,'HH &amp; SI'!FI$2,0),"N")</f>
        <v>Y</v>
      </c>
      <c r="FJ105" s="830" t="str">
        <f>IFERROR(VLOOKUP($B105,'Historical Conc Grant Elig'!$B$3:$J$707,'HH &amp; SI'!FJ$2,0),"N")</f>
        <v>Y</v>
      </c>
      <c r="FK105" s="830" t="str">
        <f>IFERROR(VLOOKUP($B105,'Historical Conc Grant Elig'!$B$3:$J$707,'HH &amp; SI'!FK$2,0),"N")</f>
        <v>Y</v>
      </c>
      <c r="FL105" s="957" t="str">
        <f>IFERROR(VLOOKUP($B105,'Historical Conc Grant Elig'!$B$3:$J$707,'HH &amp; SI'!FL$2,0),"N")</f>
        <v>Y</v>
      </c>
    </row>
    <row r="106" spans="2:168" x14ac:dyDescent="0.25">
      <c r="B106" s="634">
        <v>70417000</v>
      </c>
      <c r="C106" s="635" t="str">
        <f>VLOOKUP($B106,'Afton Update'!$A$5:$CR$582,'Afton Update'!D$589,0)</f>
        <v>Tolleson Elementary District</v>
      </c>
      <c r="D106" s="636">
        <f>IFERROR(VLOOKUP($B106,'Afton FY16 Final'!$A$5:$BV$587,'Afton FY16 Final'!AQ$587,0),0)</f>
        <v>382383.06301300769</v>
      </c>
      <c r="E106" s="637">
        <f>IFERROR(VLOOKUP($B106,'Afton FY16 Final'!$A$5:$BV$587,'Afton FY16 Final'!AR$587,0),0)</f>
        <v>91043.141698088817</v>
      </c>
      <c r="F106" s="637">
        <f>IFERROR(VLOOKUP($B106,'Afton FY16 Final'!$A$5:$BV$587,'Afton FY16 Final'!AS$587,0),0)</f>
        <v>188869.61890670037</v>
      </c>
      <c r="G106" s="637">
        <f>IFERROR(VLOOKUP($B106,'Afton FY16 Final'!$A$5:$BV$587,'Afton FY16 Final'!AT$587,0),0)</f>
        <v>144762.59778394413</v>
      </c>
      <c r="H106" s="638">
        <f>IFERROR(VLOOKUP($B106,'Afton FY16 Final'!$A$5:$BV$587,'Afton FY16 Final'!AU$587,0),0)</f>
        <v>807058.42140174098</v>
      </c>
      <c r="I106" s="639" t="str">
        <f>VLOOKUP($B106,'Afton Update'!$A$5:$CR$582,'Afton Update'!BT$589,0)</f>
        <v>Y</v>
      </c>
      <c r="J106" s="640" t="str">
        <f>VLOOKUP($B106,'Afton Update'!$A$5:$CR$582,'Afton Update'!BU$589,0)</f>
        <v>Y</v>
      </c>
      <c r="K106" s="640" t="str">
        <f>VLOOKUP($B106,'Afton Update'!$A$5:$CR$582,'Afton Update'!BV$589,0)</f>
        <v>Y</v>
      </c>
      <c r="L106" s="641" t="str">
        <f>VLOOKUP($B106,'Afton Update'!$A$5:$CR$582,'Afton Update'!BW$589,0)</f>
        <v>Y</v>
      </c>
      <c r="N106" s="642">
        <f>VLOOKUP($B106,'Afton Update'!$A$5:$CR$582,'Afton Update'!CB$589,0)</f>
        <v>0.95</v>
      </c>
      <c r="P106" s="636">
        <f>VLOOKUP($B106,'Afton Update'!$A$5:$CR$582,'Afton Update'!AH$589,0)</f>
        <v>412196.35238227027</v>
      </c>
      <c r="Q106" s="637">
        <f>VLOOKUP($B106,'Afton Update'!$A$5:$CR$582,'Afton Update'!AI$589,0)</f>
        <v>100367.3851891637</v>
      </c>
      <c r="R106" s="637">
        <f>VLOOKUP($B106,'Afton Update'!$A$5:$CR$582,'Afton Update'!AJ$589,0)</f>
        <v>228868.14156456769</v>
      </c>
      <c r="S106" s="637">
        <f>VLOOKUP($B106,'Afton Update'!$A$5:$CR$582,'Afton Update'!AK$589,0)</f>
        <v>203843.33360095939</v>
      </c>
      <c r="T106" s="643">
        <f t="shared" si="145"/>
        <v>945275.21273696108</v>
      </c>
      <c r="V106" s="636">
        <f t="shared" si="193"/>
        <v>406573.72659410146</v>
      </c>
      <c r="W106" s="637">
        <f t="shared" si="194"/>
        <v>97061.650473753922</v>
      </c>
      <c r="X106" s="637">
        <f t="shared" si="195"/>
        <v>226786.67517522516</v>
      </c>
      <c r="Y106" s="637">
        <f t="shared" si="196"/>
        <v>201597.34700142095</v>
      </c>
      <c r="Z106" s="643">
        <f t="shared" si="197"/>
        <v>932019.39924450149</v>
      </c>
      <c r="AB106" s="644">
        <f t="shared" si="146"/>
        <v>412196.35238227027</v>
      </c>
      <c r="AC106" s="645">
        <f t="shared" si="134"/>
        <v>363263.90986235731</v>
      </c>
      <c r="AD106" s="644">
        <f t="shared" si="198"/>
        <v>0</v>
      </c>
      <c r="AE106" s="645">
        <f t="shared" si="199"/>
        <v>412196.35238227027</v>
      </c>
      <c r="AF106" s="646">
        <f t="shared" si="200"/>
        <v>-5109.4835450914679</v>
      </c>
      <c r="AG106" s="647">
        <f t="shared" si="201"/>
        <v>407086.8688371788</v>
      </c>
      <c r="AH106" s="644">
        <f t="shared" si="147"/>
        <v>0</v>
      </c>
      <c r="AI106" s="645">
        <f t="shared" si="148"/>
        <v>407086.8688371788</v>
      </c>
      <c r="AJ106" s="646">
        <f t="shared" si="202"/>
        <v>-512.81532173030894</v>
      </c>
      <c r="AK106" s="647">
        <f t="shared" si="149"/>
        <v>406574.05351544847</v>
      </c>
      <c r="AL106" s="644">
        <f t="shared" si="203"/>
        <v>0</v>
      </c>
      <c r="AM106" s="645">
        <f t="shared" si="204"/>
        <v>406574.05351544847</v>
      </c>
      <c r="AN106" s="646">
        <f t="shared" si="205"/>
        <v>-0.32692134698554781</v>
      </c>
      <c r="AO106" s="647">
        <f t="shared" si="150"/>
        <v>406573.72659410146</v>
      </c>
      <c r="AP106" s="644">
        <f t="shared" si="206"/>
        <v>0</v>
      </c>
      <c r="AQ106" s="645">
        <f t="shared" si="207"/>
        <v>406573.72659410146</v>
      </c>
      <c r="AR106" s="646">
        <f t="shared" si="208"/>
        <v>0</v>
      </c>
      <c r="AS106" s="647">
        <f t="shared" si="151"/>
        <v>406573.72659410146</v>
      </c>
      <c r="AT106" s="644">
        <f t="shared" si="209"/>
        <v>0</v>
      </c>
      <c r="AU106" s="645">
        <f t="shared" si="210"/>
        <v>406573.72659410146</v>
      </c>
      <c r="AV106" s="646">
        <f t="shared" si="211"/>
        <v>0</v>
      </c>
      <c r="AW106" s="647">
        <f t="shared" si="152"/>
        <v>406573.72659410146</v>
      </c>
      <c r="AY106" s="644">
        <f t="shared" si="212"/>
        <v>100367.3851891637</v>
      </c>
      <c r="AZ106" s="645">
        <f t="shared" si="153"/>
        <v>86490.984613184366</v>
      </c>
      <c r="BA106" s="644">
        <f t="shared" si="213"/>
        <v>0</v>
      </c>
      <c r="BB106" s="645">
        <f t="shared" si="214"/>
        <v>100367.3851891637</v>
      </c>
      <c r="BC106" s="646">
        <f t="shared" si="215"/>
        <v>-721.7711170069316</v>
      </c>
      <c r="BD106" s="647">
        <f t="shared" si="216"/>
        <v>99645.614072156764</v>
      </c>
      <c r="BE106" s="644">
        <f t="shared" si="154"/>
        <v>0</v>
      </c>
      <c r="BF106" s="645">
        <f t="shared" si="155"/>
        <v>99645.614072156764</v>
      </c>
      <c r="BG106" s="646">
        <f t="shared" si="217"/>
        <v>-2373.4773218817827</v>
      </c>
      <c r="BH106" s="647">
        <f t="shared" si="156"/>
        <v>97272.136750274978</v>
      </c>
      <c r="BI106" s="644">
        <f t="shared" si="218"/>
        <v>0</v>
      </c>
      <c r="BJ106" s="645">
        <f t="shared" si="219"/>
        <v>97272.136750274978</v>
      </c>
      <c r="BK106" s="646">
        <f t="shared" si="220"/>
        <v>-206.04523213926927</v>
      </c>
      <c r="BL106" s="647">
        <f t="shared" si="157"/>
        <v>97066.091518135712</v>
      </c>
      <c r="BM106" s="644">
        <f t="shared" si="221"/>
        <v>0</v>
      </c>
      <c r="BN106" s="645">
        <f t="shared" si="222"/>
        <v>97066.091518135712</v>
      </c>
      <c r="BO106" s="646">
        <f t="shared" si="223"/>
        <v>-4.4410443817849998</v>
      </c>
      <c r="BP106" s="647">
        <f t="shared" si="158"/>
        <v>97061.650473753922</v>
      </c>
      <c r="BQ106" s="644">
        <f t="shared" si="224"/>
        <v>0</v>
      </c>
      <c r="BR106" s="645">
        <f t="shared" si="225"/>
        <v>97061.650473753922</v>
      </c>
      <c r="BS106" s="646">
        <f t="shared" si="226"/>
        <v>0</v>
      </c>
      <c r="BT106" s="647">
        <f t="shared" si="159"/>
        <v>97061.650473753922</v>
      </c>
      <c r="BU106" s="662">
        <f>VLOOKUP(B106,'Afton Update'!$A$5:$AR$582,'Afton Update'!$AO$589,0)-BT106</f>
        <v>0</v>
      </c>
      <c r="BV106" s="644">
        <f t="shared" si="227"/>
        <v>228868.14156456769</v>
      </c>
      <c r="BW106" s="645">
        <f t="shared" si="135"/>
        <v>179426.13796136534</v>
      </c>
      <c r="BX106" s="644">
        <f t="shared" si="228"/>
        <v>0</v>
      </c>
      <c r="BY106" s="645">
        <f t="shared" si="229"/>
        <v>228868.14156456769</v>
      </c>
      <c r="BZ106" s="646">
        <f t="shared" si="230"/>
        <v>-2008.8000115011844</v>
      </c>
      <c r="CA106" s="647">
        <f t="shared" si="231"/>
        <v>226859.34155306651</v>
      </c>
      <c r="CB106" s="644">
        <f t="shared" si="160"/>
        <v>0</v>
      </c>
      <c r="CC106" s="645">
        <f t="shared" si="161"/>
        <v>226859.34155306651</v>
      </c>
      <c r="CD106" s="646">
        <f t="shared" si="232"/>
        <v>-72.666377841353707</v>
      </c>
      <c r="CE106" s="647">
        <f t="shared" si="162"/>
        <v>226786.67517522516</v>
      </c>
      <c r="CF106" s="644">
        <f t="shared" si="233"/>
        <v>0</v>
      </c>
      <c r="CG106" s="645">
        <f t="shared" si="234"/>
        <v>226786.67517522516</v>
      </c>
      <c r="CH106" s="646">
        <f t="shared" si="235"/>
        <v>0</v>
      </c>
      <c r="CI106" s="647">
        <f t="shared" si="163"/>
        <v>226786.67517522516</v>
      </c>
      <c r="CJ106" s="644">
        <f t="shared" si="236"/>
        <v>0</v>
      </c>
      <c r="CK106" s="645">
        <f t="shared" si="237"/>
        <v>226786.67517522516</v>
      </c>
      <c r="CL106" s="646">
        <f t="shared" si="238"/>
        <v>0</v>
      </c>
      <c r="CM106" s="647">
        <f t="shared" si="164"/>
        <v>226786.67517522516</v>
      </c>
      <c r="CN106" s="644">
        <f t="shared" si="239"/>
        <v>0</v>
      </c>
      <c r="CO106" s="645">
        <f t="shared" si="240"/>
        <v>226786.67517522516</v>
      </c>
      <c r="CP106" s="646">
        <f t="shared" si="241"/>
        <v>0</v>
      </c>
      <c r="CQ106" s="647">
        <f t="shared" si="165"/>
        <v>226786.67517522516</v>
      </c>
      <c r="CS106" s="644">
        <f t="shared" si="242"/>
        <v>203843.33360095939</v>
      </c>
      <c r="CT106" s="645">
        <f t="shared" si="136"/>
        <v>137524.46789474692</v>
      </c>
      <c r="CU106" s="644">
        <f t="shared" si="243"/>
        <v>0</v>
      </c>
      <c r="CV106" s="645">
        <f t="shared" si="244"/>
        <v>203843.33360095939</v>
      </c>
      <c r="CW106" s="646">
        <f t="shared" si="245"/>
        <v>-2087.4709324212417</v>
      </c>
      <c r="CX106" s="647">
        <f t="shared" si="246"/>
        <v>201755.86266853815</v>
      </c>
      <c r="CY106" s="644">
        <f t="shared" si="166"/>
        <v>0</v>
      </c>
      <c r="CZ106" s="645">
        <f t="shared" si="167"/>
        <v>201755.86266853815</v>
      </c>
      <c r="DA106" s="646">
        <f t="shared" si="247"/>
        <v>-158.37908488297171</v>
      </c>
      <c r="DB106" s="647">
        <f t="shared" si="168"/>
        <v>201597.48358365518</v>
      </c>
      <c r="DC106" s="644">
        <f t="shared" si="248"/>
        <v>0</v>
      </c>
      <c r="DD106" s="645">
        <f t="shared" si="249"/>
        <v>201597.48358365518</v>
      </c>
      <c r="DE106" s="646">
        <f t="shared" si="250"/>
        <v>-0.13658223422108348</v>
      </c>
      <c r="DF106" s="647">
        <f t="shared" si="169"/>
        <v>201597.34700142095</v>
      </c>
      <c r="DG106" s="644">
        <f t="shared" si="251"/>
        <v>0</v>
      </c>
      <c r="DH106" s="645">
        <f t="shared" si="252"/>
        <v>201597.34700142095</v>
      </c>
      <c r="DI106" s="646">
        <f t="shared" si="253"/>
        <v>0</v>
      </c>
      <c r="DJ106" s="647">
        <f t="shared" si="170"/>
        <v>201597.34700142095</v>
      </c>
      <c r="DK106" s="644">
        <f t="shared" si="254"/>
        <v>0</v>
      </c>
      <c r="DL106" s="645">
        <f t="shared" si="255"/>
        <v>201597.34700142095</v>
      </c>
      <c r="DM106" s="646">
        <f t="shared" si="256"/>
        <v>0</v>
      </c>
      <c r="DN106" s="647">
        <f t="shared" si="171"/>
        <v>201597.34700142095</v>
      </c>
      <c r="DR106" s="827">
        <f t="shared" si="172"/>
        <v>932019.39924450149</v>
      </c>
      <c r="DV106" s="828">
        <f>IFERROR(VLOOKUP($B106,'Afton FY16 Final'!$A$5:$BV$587,'Afton FY16 Final'!$BV$587,0),0)</f>
        <v>716530.98438911326</v>
      </c>
      <c r="DX106" s="636">
        <f t="shared" si="137"/>
        <v>932019.39924450149</v>
      </c>
      <c r="DY106" s="637">
        <f t="shared" si="138"/>
        <v>215488.41485538823</v>
      </c>
      <c r="DZ106" s="637">
        <f t="shared" si="139"/>
        <v>716530.98438911326</v>
      </c>
      <c r="EA106" s="643">
        <f t="shared" si="140"/>
        <v>882446.41271979781</v>
      </c>
      <c r="EB106" s="637">
        <f t="shared" si="173"/>
        <v>0</v>
      </c>
      <c r="EC106" s="637">
        <f t="shared" si="174"/>
        <v>882446.41271979781</v>
      </c>
      <c r="ED106" s="637">
        <f t="shared" si="175"/>
        <v>879815.01020593615</v>
      </c>
      <c r="EE106" s="643">
        <f t="shared" si="176"/>
        <v>879815.01020593615</v>
      </c>
      <c r="EF106" s="637">
        <f t="shared" si="177"/>
        <v>0</v>
      </c>
      <c r="EG106" s="637">
        <f t="shared" si="178"/>
        <v>879815.01020593615</v>
      </c>
      <c r="EH106" s="637">
        <f t="shared" si="179"/>
        <v>879814.10253513185</v>
      </c>
      <c r="EI106" s="643">
        <f t="shared" si="180"/>
        <v>879814.10253513185</v>
      </c>
      <c r="EJ106" s="637">
        <f t="shared" si="181"/>
        <v>0</v>
      </c>
      <c r="EK106" s="637">
        <f t="shared" si="182"/>
        <v>879814.10253513185</v>
      </c>
      <c r="EL106" s="637">
        <f t="shared" si="183"/>
        <v>879814.10253513057</v>
      </c>
      <c r="EM106" s="643">
        <f t="shared" si="184"/>
        <v>879814.10253513057</v>
      </c>
      <c r="EN106" s="637">
        <f t="shared" si="185"/>
        <v>0</v>
      </c>
      <c r="EO106" s="637">
        <f t="shared" si="186"/>
        <v>879814.10253513057</v>
      </c>
      <c r="EP106" s="637">
        <f t="shared" si="187"/>
        <v>879814.10253513197</v>
      </c>
      <c r="EQ106" s="643">
        <f t="shared" si="188"/>
        <v>879814.10253513197</v>
      </c>
      <c r="ER106" s="637">
        <f t="shared" si="189"/>
        <v>0</v>
      </c>
      <c r="ES106" s="637">
        <f t="shared" si="190"/>
        <v>879814.10253513197</v>
      </c>
      <c r="ET106" s="637">
        <f t="shared" si="191"/>
        <v>879814.10253513057</v>
      </c>
      <c r="EU106" s="643">
        <f t="shared" si="141"/>
        <v>879814.10253513057</v>
      </c>
      <c r="EV106" s="643">
        <f t="shared" si="142"/>
        <v>0</v>
      </c>
      <c r="EX106" s="829">
        <f t="shared" si="143"/>
        <v>52205.296709370916</v>
      </c>
      <c r="EY106" s="638">
        <f t="shared" si="144"/>
        <v>879814.10253513057</v>
      </c>
      <c r="FC106" s="830" t="str">
        <f t="shared" si="192"/>
        <v>Y</v>
      </c>
      <c r="FE106" s="830" t="str">
        <f>IFERROR(VLOOKUP($B106,'Historical Conc Grant Elig'!$B$3:$J$707,'HH &amp; SI'!FE$2,0),"N")</f>
        <v>Y</v>
      </c>
      <c r="FF106" s="830" t="str">
        <f>IFERROR(VLOOKUP($B106,'Historical Conc Grant Elig'!$B$3:$J$707,'HH &amp; SI'!FF$2,0),"N")</f>
        <v>Y</v>
      </c>
      <c r="FG106" s="830" t="str">
        <f>IFERROR(VLOOKUP($B106,'Historical Conc Grant Elig'!$B$3:$J$707,'HH &amp; SI'!FG$2,0),"N")</f>
        <v>Y</v>
      </c>
      <c r="FH106" s="830" t="str">
        <f>IFERROR(VLOOKUP($B106,'Historical Conc Grant Elig'!$B$3:$J$707,'HH &amp; SI'!FH$2,0),"N")</f>
        <v>Y</v>
      </c>
      <c r="FI106" s="830" t="str">
        <f>IFERROR(VLOOKUP($B106,'Historical Conc Grant Elig'!$B$3:$J$707,'HH &amp; SI'!FI$2,0),"N")</f>
        <v>Y</v>
      </c>
      <c r="FJ106" s="830" t="str">
        <f>IFERROR(VLOOKUP($B106,'Historical Conc Grant Elig'!$B$3:$J$707,'HH &amp; SI'!FJ$2,0),"N")</f>
        <v>Y</v>
      </c>
      <c r="FK106" s="830" t="str">
        <f>IFERROR(VLOOKUP($B106,'Historical Conc Grant Elig'!$B$3:$J$707,'HH &amp; SI'!FK$2,0),"N")</f>
        <v>Y</v>
      </c>
      <c r="FL106" s="957" t="str">
        <f>IFERROR(VLOOKUP($B106,'Historical Conc Grant Elig'!$B$3:$J$707,'HH &amp; SI'!FL$2,0),"N")</f>
        <v>Y</v>
      </c>
    </row>
    <row r="107" spans="2:168" x14ac:dyDescent="0.25">
      <c r="B107" s="634">
        <v>70421000</v>
      </c>
      <c r="C107" s="635" t="str">
        <f>VLOOKUP($B107,'Afton Update'!$A$5:$CR$582,'Afton Update'!D$589,0)</f>
        <v>Murphy Elementary District</v>
      </c>
      <c r="D107" s="636">
        <f>IFERROR(VLOOKUP($B107,'Afton FY16 Final'!$A$5:$BV$587,'Afton FY16 Final'!AQ$587,0),0)</f>
        <v>696802.26561669447</v>
      </c>
      <c r="E107" s="637">
        <f>IFERROR(VLOOKUP($B107,'Afton FY16 Final'!$A$5:$BV$587,'Afton FY16 Final'!AR$587,0),0)</f>
        <v>170482.93430850533</v>
      </c>
      <c r="F107" s="637">
        <f>IFERROR(VLOOKUP($B107,'Afton FY16 Final'!$A$5:$BV$587,'Afton FY16 Final'!AS$587,0),0)</f>
        <v>478641.04449507967</v>
      </c>
      <c r="G107" s="637">
        <f>IFERROR(VLOOKUP($B107,'Afton FY16 Final'!$A$5:$BV$587,'Afton FY16 Final'!AT$587,0),0)</f>
        <v>549321.47422511701</v>
      </c>
      <c r="H107" s="638">
        <f>IFERROR(VLOOKUP($B107,'Afton FY16 Final'!$A$5:$BV$587,'Afton FY16 Final'!AU$587,0),0)</f>
        <v>1895247.7186453966</v>
      </c>
      <c r="I107" s="639" t="str">
        <f>VLOOKUP($B107,'Afton Update'!$A$5:$CR$582,'Afton Update'!BT$589,0)</f>
        <v>Y</v>
      </c>
      <c r="J107" s="640" t="str">
        <f>VLOOKUP($B107,'Afton Update'!$A$5:$CR$582,'Afton Update'!BU$589,0)</f>
        <v>Y</v>
      </c>
      <c r="K107" s="640" t="str">
        <f>VLOOKUP($B107,'Afton Update'!$A$5:$CR$582,'Afton Update'!BV$589,0)</f>
        <v>Y</v>
      </c>
      <c r="L107" s="641" t="str">
        <f>VLOOKUP($B107,'Afton Update'!$A$5:$CR$582,'Afton Update'!BW$589,0)</f>
        <v>Y</v>
      </c>
      <c r="N107" s="642">
        <f>VLOOKUP($B107,'Afton Update'!$A$5:$CR$582,'Afton Update'!CB$589,0)</f>
        <v>0.95</v>
      </c>
      <c r="P107" s="636">
        <f>VLOOKUP($B107,'Afton Update'!$A$5:$CR$582,'Afton Update'!AH$589,0)</f>
        <v>663088.9430170753</v>
      </c>
      <c r="Q107" s="637">
        <f>VLOOKUP($B107,'Afton Update'!$A$5:$CR$582,'Afton Update'!AI$589,0)</f>
        <v>163933.84520143614</v>
      </c>
      <c r="R107" s="637">
        <f>VLOOKUP($B107,'Afton Update'!$A$5:$CR$582,'Afton Update'!AJ$589,0)</f>
        <v>456415.50707136258</v>
      </c>
      <c r="S107" s="637">
        <f>VLOOKUP($B107,'Afton Update'!$A$5:$CR$582,'Afton Update'!AK$589,0)</f>
        <v>523232.92368484719</v>
      </c>
      <c r="T107" s="643">
        <f t="shared" si="145"/>
        <v>1806671.2189747212</v>
      </c>
      <c r="V107" s="636">
        <f t="shared" si="193"/>
        <v>661962.15233585972</v>
      </c>
      <c r="W107" s="637">
        <f t="shared" si="194"/>
        <v>161958.78759308005</v>
      </c>
      <c r="X107" s="637">
        <f t="shared" si="195"/>
        <v>454708.99227032566</v>
      </c>
      <c r="Y107" s="637">
        <f t="shared" si="196"/>
        <v>521855.40051386115</v>
      </c>
      <c r="Z107" s="643">
        <f t="shared" si="197"/>
        <v>1800485.3327131264</v>
      </c>
      <c r="AB107" s="644">
        <f t="shared" si="146"/>
        <v>663088.9430170753</v>
      </c>
      <c r="AC107" s="645">
        <f t="shared" si="134"/>
        <v>661962.15233585972</v>
      </c>
      <c r="AD107" s="644">
        <f t="shared" si="198"/>
        <v>0</v>
      </c>
      <c r="AE107" s="645">
        <f t="shared" si="199"/>
        <v>663088.9430170753</v>
      </c>
      <c r="AF107" s="646">
        <f t="shared" si="200"/>
        <v>-8219.4857467728762</v>
      </c>
      <c r="AG107" s="647">
        <f t="shared" si="201"/>
        <v>654869.45727030246</v>
      </c>
      <c r="AH107" s="644">
        <f t="shared" si="147"/>
        <v>-7092.6950655572582</v>
      </c>
      <c r="AI107" s="645">
        <f t="shared" si="148"/>
        <v>0</v>
      </c>
      <c r="AJ107" s="646">
        <f t="shared" si="202"/>
        <v>0</v>
      </c>
      <c r="AK107" s="647">
        <f t="shared" si="149"/>
        <v>661962.15233585972</v>
      </c>
      <c r="AL107" s="644">
        <f t="shared" si="203"/>
        <v>0</v>
      </c>
      <c r="AM107" s="645">
        <f t="shared" si="204"/>
        <v>0</v>
      </c>
      <c r="AN107" s="646">
        <f t="shared" si="205"/>
        <v>0</v>
      </c>
      <c r="AO107" s="647">
        <f t="shared" si="150"/>
        <v>661962.15233585972</v>
      </c>
      <c r="AP107" s="644">
        <f t="shared" si="206"/>
        <v>0</v>
      </c>
      <c r="AQ107" s="645">
        <f t="shared" si="207"/>
        <v>0</v>
      </c>
      <c r="AR107" s="646">
        <f t="shared" si="208"/>
        <v>0</v>
      </c>
      <c r="AS107" s="647">
        <f t="shared" si="151"/>
        <v>661962.15233585972</v>
      </c>
      <c r="AT107" s="644">
        <f t="shared" si="209"/>
        <v>0</v>
      </c>
      <c r="AU107" s="645">
        <f t="shared" si="210"/>
        <v>0</v>
      </c>
      <c r="AV107" s="646">
        <f t="shared" si="211"/>
        <v>0</v>
      </c>
      <c r="AW107" s="647">
        <f t="shared" si="152"/>
        <v>661962.15233585972</v>
      </c>
      <c r="AY107" s="644">
        <f t="shared" si="212"/>
        <v>163933.84520143614</v>
      </c>
      <c r="AZ107" s="645">
        <f t="shared" si="153"/>
        <v>161958.78759308005</v>
      </c>
      <c r="BA107" s="644">
        <f t="shared" si="213"/>
        <v>0</v>
      </c>
      <c r="BB107" s="645">
        <f t="shared" si="214"/>
        <v>163933.84520143614</v>
      </c>
      <c r="BC107" s="646">
        <f t="shared" si="215"/>
        <v>-1178.8960561568645</v>
      </c>
      <c r="BD107" s="647">
        <f t="shared" si="216"/>
        <v>162754.94914527927</v>
      </c>
      <c r="BE107" s="644">
        <f t="shared" si="154"/>
        <v>0</v>
      </c>
      <c r="BF107" s="645">
        <f t="shared" si="155"/>
        <v>162754.94914527927</v>
      </c>
      <c r="BG107" s="646">
        <f t="shared" si="217"/>
        <v>-3876.6902529258714</v>
      </c>
      <c r="BH107" s="647">
        <f t="shared" si="156"/>
        <v>158878.25889235339</v>
      </c>
      <c r="BI107" s="644">
        <f t="shared" si="218"/>
        <v>-3080.5287007266597</v>
      </c>
      <c r="BJ107" s="645">
        <f t="shared" si="219"/>
        <v>0</v>
      </c>
      <c r="BK107" s="646">
        <f t="shared" si="220"/>
        <v>0</v>
      </c>
      <c r="BL107" s="647">
        <f t="shared" si="157"/>
        <v>161958.78759308005</v>
      </c>
      <c r="BM107" s="644">
        <f t="shared" si="221"/>
        <v>0</v>
      </c>
      <c r="BN107" s="645">
        <f t="shared" si="222"/>
        <v>0</v>
      </c>
      <c r="BO107" s="646">
        <f t="shared" si="223"/>
        <v>0</v>
      </c>
      <c r="BP107" s="647">
        <f t="shared" si="158"/>
        <v>161958.78759308005</v>
      </c>
      <c r="BQ107" s="644">
        <f t="shared" si="224"/>
        <v>0</v>
      </c>
      <c r="BR107" s="645">
        <f t="shared" si="225"/>
        <v>0</v>
      </c>
      <c r="BS107" s="646">
        <f t="shared" si="226"/>
        <v>0</v>
      </c>
      <c r="BT107" s="647">
        <f t="shared" si="159"/>
        <v>161958.78759308005</v>
      </c>
      <c r="BU107" s="662">
        <f>VLOOKUP(B107,'Afton Update'!$A$5:$AR$582,'Afton Update'!$AO$589,0)-BT107</f>
        <v>0</v>
      </c>
      <c r="BV107" s="644">
        <f t="shared" si="227"/>
        <v>456415.50707136258</v>
      </c>
      <c r="BW107" s="645">
        <f t="shared" si="135"/>
        <v>454708.99227032566</v>
      </c>
      <c r="BX107" s="644">
        <f t="shared" si="228"/>
        <v>0</v>
      </c>
      <c r="BY107" s="645">
        <f t="shared" si="229"/>
        <v>456415.50707136258</v>
      </c>
      <c r="BZ107" s="646">
        <f t="shared" si="230"/>
        <v>-4006.0074311199551</v>
      </c>
      <c r="CA107" s="647">
        <f t="shared" si="231"/>
        <v>452409.4996402426</v>
      </c>
      <c r="CB107" s="644">
        <f t="shared" si="160"/>
        <v>-2299.4926300830557</v>
      </c>
      <c r="CC107" s="645">
        <f t="shared" si="161"/>
        <v>0</v>
      </c>
      <c r="CD107" s="646">
        <f t="shared" si="232"/>
        <v>0</v>
      </c>
      <c r="CE107" s="647">
        <f t="shared" si="162"/>
        <v>454708.99227032566</v>
      </c>
      <c r="CF107" s="644">
        <f t="shared" si="233"/>
        <v>0</v>
      </c>
      <c r="CG107" s="645">
        <f t="shared" si="234"/>
        <v>0</v>
      </c>
      <c r="CH107" s="646">
        <f t="shared" si="235"/>
        <v>0</v>
      </c>
      <c r="CI107" s="647">
        <f t="shared" si="163"/>
        <v>454708.99227032566</v>
      </c>
      <c r="CJ107" s="644">
        <f t="shared" si="236"/>
        <v>0</v>
      </c>
      <c r="CK107" s="645">
        <f t="shared" si="237"/>
        <v>0</v>
      </c>
      <c r="CL107" s="646">
        <f t="shared" si="238"/>
        <v>0</v>
      </c>
      <c r="CM107" s="647">
        <f t="shared" si="164"/>
        <v>454708.99227032566</v>
      </c>
      <c r="CN107" s="644">
        <f t="shared" si="239"/>
        <v>0</v>
      </c>
      <c r="CO107" s="645">
        <f t="shared" si="240"/>
        <v>0</v>
      </c>
      <c r="CP107" s="646">
        <f t="shared" si="241"/>
        <v>0</v>
      </c>
      <c r="CQ107" s="647">
        <f t="shared" si="165"/>
        <v>454708.99227032566</v>
      </c>
      <c r="CS107" s="644">
        <f t="shared" si="242"/>
        <v>523232.92368484719</v>
      </c>
      <c r="CT107" s="645">
        <f t="shared" si="136"/>
        <v>521855.40051386115</v>
      </c>
      <c r="CU107" s="644">
        <f t="shared" si="243"/>
        <v>0</v>
      </c>
      <c r="CV107" s="645">
        <f t="shared" si="244"/>
        <v>523232.92368484719</v>
      </c>
      <c r="CW107" s="646">
        <f t="shared" si="245"/>
        <v>-5358.2008289564183</v>
      </c>
      <c r="CX107" s="647">
        <f t="shared" si="246"/>
        <v>517874.72285589075</v>
      </c>
      <c r="CY107" s="644">
        <f t="shared" si="166"/>
        <v>-3980.6776579704019</v>
      </c>
      <c r="CZ107" s="645">
        <f t="shared" si="167"/>
        <v>0</v>
      </c>
      <c r="DA107" s="646">
        <f t="shared" si="247"/>
        <v>0</v>
      </c>
      <c r="DB107" s="647">
        <f t="shared" si="168"/>
        <v>521855.40051386115</v>
      </c>
      <c r="DC107" s="644">
        <f t="shared" si="248"/>
        <v>0</v>
      </c>
      <c r="DD107" s="645">
        <f t="shared" si="249"/>
        <v>0</v>
      </c>
      <c r="DE107" s="646">
        <f t="shared" si="250"/>
        <v>0</v>
      </c>
      <c r="DF107" s="647">
        <f t="shared" si="169"/>
        <v>521855.40051386115</v>
      </c>
      <c r="DG107" s="644">
        <f t="shared" si="251"/>
        <v>0</v>
      </c>
      <c r="DH107" s="645">
        <f t="shared" si="252"/>
        <v>0</v>
      </c>
      <c r="DI107" s="646">
        <f t="shared" si="253"/>
        <v>0</v>
      </c>
      <c r="DJ107" s="647">
        <f t="shared" si="170"/>
        <v>521855.40051386115</v>
      </c>
      <c r="DK107" s="644">
        <f t="shared" si="254"/>
        <v>0</v>
      </c>
      <c r="DL107" s="645">
        <f t="shared" si="255"/>
        <v>0</v>
      </c>
      <c r="DM107" s="646">
        <f t="shared" si="256"/>
        <v>0</v>
      </c>
      <c r="DN107" s="647">
        <f t="shared" si="171"/>
        <v>521855.40051386115</v>
      </c>
      <c r="DR107" s="827">
        <f t="shared" si="172"/>
        <v>1800485.3327131264</v>
      </c>
      <c r="DV107" s="828">
        <f>IFERROR(VLOOKUP($B107,'Afton FY16 Final'!$A$5:$BV$587,'Afton FY16 Final'!$BV$587,0),0)</f>
        <v>1857930.2913791384</v>
      </c>
      <c r="DX107" s="636">
        <f t="shared" si="137"/>
        <v>0</v>
      </c>
      <c r="DY107" s="637">
        <f t="shared" si="138"/>
        <v>0</v>
      </c>
      <c r="DZ107" s="637">
        <f t="shared" si="139"/>
        <v>0</v>
      </c>
      <c r="EA107" s="643">
        <f t="shared" si="140"/>
        <v>0</v>
      </c>
      <c r="EB107" s="637">
        <f t="shared" si="173"/>
        <v>0</v>
      </c>
      <c r="EC107" s="637">
        <f t="shared" si="174"/>
        <v>0</v>
      </c>
      <c r="ED107" s="637">
        <f t="shared" si="175"/>
        <v>0</v>
      </c>
      <c r="EE107" s="643">
        <f t="shared" si="176"/>
        <v>0</v>
      </c>
      <c r="EF107" s="637">
        <f t="shared" si="177"/>
        <v>0</v>
      </c>
      <c r="EG107" s="637">
        <f t="shared" si="178"/>
        <v>0</v>
      </c>
      <c r="EH107" s="637">
        <f t="shared" si="179"/>
        <v>0</v>
      </c>
      <c r="EI107" s="643">
        <f t="shared" si="180"/>
        <v>0</v>
      </c>
      <c r="EJ107" s="637">
        <f t="shared" si="181"/>
        <v>0</v>
      </c>
      <c r="EK107" s="637">
        <f t="shared" si="182"/>
        <v>0</v>
      </c>
      <c r="EL107" s="637">
        <f t="shared" si="183"/>
        <v>0</v>
      </c>
      <c r="EM107" s="643">
        <f t="shared" si="184"/>
        <v>0</v>
      </c>
      <c r="EN107" s="637">
        <f t="shared" si="185"/>
        <v>0</v>
      </c>
      <c r="EO107" s="637">
        <f t="shared" si="186"/>
        <v>0</v>
      </c>
      <c r="EP107" s="637">
        <f t="shared" si="187"/>
        <v>0</v>
      </c>
      <c r="EQ107" s="643">
        <f t="shared" si="188"/>
        <v>0</v>
      </c>
      <c r="ER107" s="637">
        <f t="shared" si="189"/>
        <v>0</v>
      </c>
      <c r="ES107" s="637">
        <f t="shared" si="190"/>
        <v>0</v>
      </c>
      <c r="ET107" s="637">
        <f t="shared" si="191"/>
        <v>0</v>
      </c>
      <c r="EU107" s="643">
        <f t="shared" si="141"/>
        <v>0</v>
      </c>
      <c r="EV107" s="643">
        <f t="shared" si="142"/>
        <v>0</v>
      </c>
      <c r="EX107" s="829">
        <f t="shared" si="143"/>
        <v>0</v>
      </c>
      <c r="EY107" s="638">
        <f t="shared" si="144"/>
        <v>1800485.3327131264</v>
      </c>
      <c r="FC107" s="830" t="str">
        <f t="shared" si="192"/>
        <v>Y</v>
      </c>
      <c r="FE107" s="830" t="str">
        <f>IFERROR(VLOOKUP($B107,'Historical Conc Grant Elig'!$B$3:$J$707,'HH &amp; SI'!FE$2,0),"N")</f>
        <v>Y</v>
      </c>
      <c r="FF107" s="830" t="str">
        <f>IFERROR(VLOOKUP($B107,'Historical Conc Grant Elig'!$B$3:$J$707,'HH &amp; SI'!FF$2,0),"N")</f>
        <v>Y</v>
      </c>
      <c r="FG107" s="830" t="str">
        <f>IFERROR(VLOOKUP($B107,'Historical Conc Grant Elig'!$B$3:$J$707,'HH &amp; SI'!FG$2,0),"N")</f>
        <v>Y</v>
      </c>
      <c r="FH107" s="830" t="str">
        <f>IFERROR(VLOOKUP($B107,'Historical Conc Grant Elig'!$B$3:$J$707,'HH &amp; SI'!FH$2,0),"N")</f>
        <v>Y</v>
      </c>
      <c r="FI107" s="830" t="str">
        <f>IFERROR(VLOOKUP($B107,'Historical Conc Grant Elig'!$B$3:$J$707,'HH &amp; SI'!FI$2,0),"N")</f>
        <v>Y</v>
      </c>
      <c r="FJ107" s="830" t="str">
        <f>IFERROR(VLOOKUP($B107,'Historical Conc Grant Elig'!$B$3:$J$707,'HH &amp; SI'!FJ$2,0),"N")</f>
        <v>Y</v>
      </c>
      <c r="FK107" s="830" t="str">
        <f>IFERROR(VLOOKUP($B107,'Historical Conc Grant Elig'!$B$3:$J$707,'HH &amp; SI'!FK$2,0),"N")</f>
        <v>Y</v>
      </c>
      <c r="FL107" s="957" t="str">
        <f>IFERROR(VLOOKUP($B107,'Historical Conc Grant Elig'!$B$3:$J$707,'HH &amp; SI'!FL$2,0),"N")</f>
        <v>Y</v>
      </c>
    </row>
    <row r="108" spans="2:168" x14ac:dyDescent="0.25">
      <c r="B108" s="634">
        <v>70425000</v>
      </c>
      <c r="C108" s="635" t="str">
        <f>VLOOKUP($B108,'Afton Update'!$A$5:$CR$582,'Afton Update'!D$589,0)</f>
        <v>Liberty Elementary District</v>
      </c>
      <c r="D108" s="636">
        <f>IFERROR(VLOOKUP($B108,'Afton FY16 Final'!$A$5:$BV$587,'Afton FY16 Final'!AQ$587,0),0)</f>
        <v>268595.72574047494</v>
      </c>
      <c r="E108" s="637">
        <f>IFERROR(VLOOKUP($B108,'Afton FY16 Final'!$A$5:$BV$587,'Afton FY16 Final'!AR$587,0),0)</f>
        <v>64519.329650512853</v>
      </c>
      <c r="F108" s="637">
        <f>IFERROR(VLOOKUP($B108,'Afton FY16 Final'!$A$5:$BV$587,'Afton FY16 Final'!AS$587,0),0)</f>
        <v>77075.423622774179</v>
      </c>
      <c r="G108" s="637">
        <f>IFERROR(VLOOKUP($B108,'Afton FY16 Final'!$A$5:$BV$587,'Afton FY16 Final'!AT$587,0),0)</f>
        <v>51357.637984323475</v>
      </c>
      <c r="H108" s="638">
        <f>IFERROR(VLOOKUP($B108,'Afton FY16 Final'!$A$5:$BV$587,'Afton FY16 Final'!AU$587,0),0)</f>
        <v>461548.11699808546</v>
      </c>
      <c r="I108" s="639" t="str">
        <f>VLOOKUP($B108,'Afton Update'!$A$5:$CR$582,'Afton Update'!BT$589,0)</f>
        <v>Y</v>
      </c>
      <c r="J108" s="640" t="str">
        <f>VLOOKUP($B108,'Afton Update'!$A$5:$CR$582,'Afton Update'!BU$589,0)</f>
        <v>Y</v>
      </c>
      <c r="K108" s="640" t="str">
        <f>VLOOKUP($B108,'Afton Update'!$A$5:$CR$582,'Afton Update'!BV$589,0)</f>
        <v>Y</v>
      </c>
      <c r="L108" s="641" t="str">
        <f>VLOOKUP($B108,'Afton Update'!$A$5:$CR$582,'Afton Update'!BW$589,0)</f>
        <v>Y</v>
      </c>
      <c r="N108" s="642">
        <f>VLOOKUP($B108,'Afton Update'!$A$5:$CR$582,'Afton Update'!CB$589,0)</f>
        <v>0.9</v>
      </c>
      <c r="P108" s="636">
        <f>VLOOKUP($B108,'Afton Update'!$A$5:$CR$582,'Afton Update'!AH$589,0)</f>
        <v>272991.51750291925</v>
      </c>
      <c r="Q108" s="637">
        <f>VLOOKUP($B108,'Afton Update'!$A$5:$CR$582,'Afton Update'!AI$589,0)</f>
        <v>67191.437452747923</v>
      </c>
      <c r="R108" s="637">
        <f>VLOOKUP($B108,'Afton Update'!$A$5:$CR$582,'Afton Update'!AJ$589,0)</f>
        <v>84301.38147944145</v>
      </c>
      <c r="S108" s="637">
        <f>VLOOKUP($B108,'Afton Update'!$A$5:$CR$582,'Afton Update'!AK$589,0)</f>
        <v>64957.918221387932</v>
      </c>
      <c r="T108" s="643">
        <f t="shared" si="145"/>
        <v>489442.25465649652</v>
      </c>
      <c r="V108" s="636">
        <f t="shared" si="193"/>
        <v>269267.73601530492</v>
      </c>
      <c r="W108" s="637">
        <f t="shared" si="194"/>
        <v>64978.397161350418</v>
      </c>
      <c r="X108" s="637">
        <f t="shared" si="195"/>
        <v>83534.693329115835</v>
      </c>
      <c r="Y108" s="637">
        <f t="shared" si="196"/>
        <v>64242.198892814005</v>
      </c>
      <c r="Z108" s="643">
        <f t="shared" si="197"/>
        <v>482023.02539858513</v>
      </c>
      <c r="AB108" s="644">
        <f t="shared" si="146"/>
        <v>272991.51750291925</v>
      </c>
      <c r="AC108" s="645">
        <f t="shared" si="134"/>
        <v>241736.15316642745</v>
      </c>
      <c r="AD108" s="644">
        <f t="shared" si="198"/>
        <v>0</v>
      </c>
      <c r="AE108" s="645">
        <f t="shared" si="199"/>
        <v>272991.51750291925</v>
      </c>
      <c r="AF108" s="646">
        <f t="shared" si="200"/>
        <v>-3383.9350071131571</v>
      </c>
      <c r="AG108" s="647">
        <f t="shared" si="201"/>
        <v>269607.5824958061</v>
      </c>
      <c r="AH108" s="644">
        <f t="shared" si="147"/>
        <v>0</v>
      </c>
      <c r="AI108" s="645">
        <f t="shared" si="148"/>
        <v>269607.5824958061</v>
      </c>
      <c r="AJ108" s="646">
        <f t="shared" si="202"/>
        <v>-339.62996535222703</v>
      </c>
      <c r="AK108" s="647">
        <f t="shared" si="149"/>
        <v>269267.95253045385</v>
      </c>
      <c r="AL108" s="644">
        <f t="shared" si="203"/>
        <v>0</v>
      </c>
      <c r="AM108" s="645">
        <f t="shared" si="204"/>
        <v>269267.95253045385</v>
      </c>
      <c r="AN108" s="646">
        <f t="shared" si="205"/>
        <v>-0.21651514891358331</v>
      </c>
      <c r="AO108" s="647">
        <f t="shared" si="150"/>
        <v>269267.73601530492</v>
      </c>
      <c r="AP108" s="644">
        <f t="shared" si="206"/>
        <v>0</v>
      </c>
      <c r="AQ108" s="645">
        <f t="shared" si="207"/>
        <v>269267.73601530492</v>
      </c>
      <c r="AR108" s="646">
        <f t="shared" si="208"/>
        <v>0</v>
      </c>
      <c r="AS108" s="647">
        <f t="shared" si="151"/>
        <v>269267.73601530492</v>
      </c>
      <c r="AT108" s="644">
        <f t="shared" si="209"/>
        <v>0</v>
      </c>
      <c r="AU108" s="645">
        <f t="shared" si="210"/>
        <v>269267.73601530492</v>
      </c>
      <c r="AV108" s="646">
        <f t="shared" si="211"/>
        <v>0</v>
      </c>
      <c r="AW108" s="647">
        <f t="shared" si="152"/>
        <v>269267.73601530492</v>
      </c>
      <c r="AY108" s="644">
        <f t="shared" si="212"/>
        <v>67191.437452747923</v>
      </c>
      <c r="AZ108" s="645">
        <f t="shared" si="153"/>
        <v>58067.396685461572</v>
      </c>
      <c r="BA108" s="644">
        <f t="shared" si="213"/>
        <v>0</v>
      </c>
      <c r="BB108" s="645">
        <f t="shared" si="214"/>
        <v>67191.437452747923</v>
      </c>
      <c r="BC108" s="646">
        <f t="shared" si="215"/>
        <v>-483.19320835317802</v>
      </c>
      <c r="BD108" s="647">
        <f t="shared" si="216"/>
        <v>66708.244244394751</v>
      </c>
      <c r="BE108" s="644">
        <f t="shared" si="154"/>
        <v>0</v>
      </c>
      <c r="BF108" s="645">
        <f t="shared" si="155"/>
        <v>66708.244244394751</v>
      </c>
      <c r="BG108" s="646">
        <f t="shared" si="217"/>
        <v>-1588.93601460441</v>
      </c>
      <c r="BH108" s="647">
        <f t="shared" si="156"/>
        <v>65119.308229790338</v>
      </c>
      <c r="BI108" s="644">
        <f t="shared" si="218"/>
        <v>0</v>
      </c>
      <c r="BJ108" s="645">
        <f t="shared" si="219"/>
        <v>65119.308229790338</v>
      </c>
      <c r="BK108" s="646">
        <f t="shared" si="220"/>
        <v>-137.93798953345029</v>
      </c>
      <c r="BL108" s="647">
        <f t="shared" si="157"/>
        <v>64981.370240256889</v>
      </c>
      <c r="BM108" s="644">
        <f t="shared" si="221"/>
        <v>0</v>
      </c>
      <c r="BN108" s="645">
        <f t="shared" si="222"/>
        <v>64981.370240256889</v>
      </c>
      <c r="BO108" s="646">
        <f t="shared" si="223"/>
        <v>-2.9730789064713181</v>
      </c>
      <c r="BP108" s="647">
        <f t="shared" si="158"/>
        <v>64978.397161350418</v>
      </c>
      <c r="BQ108" s="644">
        <f t="shared" si="224"/>
        <v>0</v>
      </c>
      <c r="BR108" s="645">
        <f t="shared" si="225"/>
        <v>64978.397161350418</v>
      </c>
      <c r="BS108" s="646">
        <f t="shared" si="226"/>
        <v>0</v>
      </c>
      <c r="BT108" s="647">
        <f t="shared" si="159"/>
        <v>64978.397161350418</v>
      </c>
      <c r="BU108" s="662">
        <f>VLOOKUP(B108,'Afton Update'!$A$5:$AR$582,'Afton Update'!$AO$589,0)-BT108</f>
        <v>0</v>
      </c>
      <c r="BV108" s="644">
        <f t="shared" si="227"/>
        <v>84301.38147944145</v>
      </c>
      <c r="BW108" s="645">
        <f t="shared" si="135"/>
        <v>69367.881260496768</v>
      </c>
      <c r="BX108" s="644">
        <f t="shared" si="228"/>
        <v>0</v>
      </c>
      <c r="BY108" s="645">
        <f t="shared" si="229"/>
        <v>84301.38147944145</v>
      </c>
      <c r="BZ108" s="646">
        <f t="shared" si="230"/>
        <v>-739.92218806780772</v>
      </c>
      <c r="CA108" s="647">
        <f t="shared" si="231"/>
        <v>83561.459291373641</v>
      </c>
      <c r="CB108" s="644">
        <f t="shared" si="160"/>
        <v>0</v>
      </c>
      <c r="CC108" s="645">
        <f t="shared" si="161"/>
        <v>83561.459291373641</v>
      </c>
      <c r="CD108" s="646">
        <f t="shared" si="232"/>
        <v>-26.765962257813733</v>
      </c>
      <c r="CE108" s="647">
        <f t="shared" si="162"/>
        <v>83534.693329115835</v>
      </c>
      <c r="CF108" s="644">
        <f t="shared" si="233"/>
        <v>0</v>
      </c>
      <c r="CG108" s="645">
        <f t="shared" si="234"/>
        <v>83534.693329115835</v>
      </c>
      <c r="CH108" s="646">
        <f t="shared" si="235"/>
        <v>0</v>
      </c>
      <c r="CI108" s="647">
        <f t="shared" si="163"/>
        <v>83534.693329115835</v>
      </c>
      <c r="CJ108" s="644">
        <f t="shared" si="236"/>
        <v>0</v>
      </c>
      <c r="CK108" s="645">
        <f t="shared" si="237"/>
        <v>83534.693329115835</v>
      </c>
      <c r="CL108" s="646">
        <f t="shared" si="238"/>
        <v>0</v>
      </c>
      <c r="CM108" s="647">
        <f t="shared" si="164"/>
        <v>83534.693329115835</v>
      </c>
      <c r="CN108" s="644">
        <f t="shared" si="239"/>
        <v>0</v>
      </c>
      <c r="CO108" s="645">
        <f t="shared" si="240"/>
        <v>83534.693329115835</v>
      </c>
      <c r="CP108" s="646">
        <f t="shared" si="241"/>
        <v>0</v>
      </c>
      <c r="CQ108" s="647">
        <f t="shared" si="165"/>
        <v>83534.693329115835</v>
      </c>
      <c r="CS108" s="644">
        <f t="shared" si="242"/>
        <v>64957.918221387932</v>
      </c>
      <c r="CT108" s="645">
        <f t="shared" si="136"/>
        <v>46221.874185891131</v>
      </c>
      <c r="CU108" s="644">
        <f t="shared" si="243"/>
        <v>0</v>
      </c>
      <c r="CV108" s="645">
        <f t="shared" si="244"/>
        <v>64957.918221387932</v>
      </c>
      <c r="CW108" s="646">
        <f t="shared" si="245"/>
        <v>-665.20579173409499</v>
      </c>
      <c r="CX108" s="647">
        <f t="shared" si="246"/>
        <v>64292.712429653839</v>
      </c>
      <c r="CY108" s="644">
        <f t="shared" si="166"/>
        <v>0</v>
      </c>
      <c r="CZ108" s="645">
        <f t="shared" si="167"/>
        <v>64292.712429653839</v>
      </c>
      <c r="DA108" s="646">
        <f t="shared" si="247"/>
        <v>-50.470012740009039</v>
      </c>
      <c r="DB108" s="647">
        <f t="shared" si="168"/>
        <v>64242.242416913832</v>
      </c>
      <c r="DC108" s="644">
        <f t="shared" si="248"/>
        <v>0</v>
      </c>
      <c r="DD108" s="645">
        <f t="shared" si="249"/>
        <v>64242.242416913832</v>
      </c>
      <c r="DE108" s="646">
        <f t="shared" si="250"/>
        <v>-4.3524099828525557E-2</v>
      </c>
      <c r="DF108" s="647">
        <f t="shared" si="169"/>
        <v>64242.198892814005</v>
      </c>
      <c r="DG108" s="644">
        <f t="shared" si="251"/>
        <v>0</v>
      </c>
      <c r="DH108" s="645">
        <f t="shared" si="252"/>
        <v>64242.198892814005</v>
      </c>
      <c r="DI108" s="646">
        <f t="shared" si="253"/>
        <v>0</v>
      </c>
      <c r="DJ108" s="647">
        <f t="shared" si="170"/>
        <v>64242.198892814005</v>
      </c>
      <c r="DK108" s="644">
        <f t="shared" si="254"/>
        <v>0</v>
      </c>
      <c r="DL108" s="645">
        <f t="shared" si="255"/>
        <v>64242.198892814005</v>
      </c>
      <c r="DM108" s="646">
        <f t="shared" si="256"/>
        <v>0</v>
      </c>
      <c r="DN108" s="647">
        <f t="shared" si="171"/>
        <v>64242.198892814005</v>
      </c>
      <c r="DR108" s="827">
        <f t="shared" si="172"/>
        <v>482023.02539858513</v>
      </c>
      <c r="DV108" s="828">
        <f>IFERROR(VLOOKUP($B108,'Afton FY16 Final'!$A$5:$BV$587,'Afton FY16 Final'!$BV$587,0),0)</f>
        <v>409776.43977889407</v>
      </c>
      <c r="DX108" s="636">
        <f t="shared" si="137"/>
        <v>482023.02539858513</v>
      </c>
      <c r="DY108" s="637">
        <f t="shared" si="138"/>
        <v>72246.585619691061</v>
      </c>
      <c r="DZ108" s="637">
        <f t="shared" si="139"/>
        <v>409776.43977889407</v>
      </c>
      <c r="EA108" s="643">
        <f t="shared" si="140"/>
        <v>456384.80267269484</v>
      </c>
      <c r="EB108" s="637">
        <f t="shared" si="173"/>
        <v>0</v>
      </c>
      <c r="EC108" s="637">
        <f t="shared" si="174"/>
        <v>456384.80267269484</v>
      </c>
      <c r="ED108" s="637">
        <f t="shared" si="175"/>
        <v>455023.89044082368</v>
      </c>
      <c r="EE108" s="643">
        <f t="shared" si="176"/>
        <v>455023.89044082368</v>
      </c>
      <c r="EF108" s="637">
        <f t="shared" si="177"/>
        <v>0</v>
      </c>
      <c r="EG108" s="637">
        <f t="shared" si="178"/>
        <v>455023.89044082368</v>
      </c>
      <c r="EH108" s="637">
        <f t="shared" si="179"/>
        <v>455023.42101043684</v>
      </c>
      <c r="EI108" s="643">
        <f t="shared" si="180"/>
        <v>455023.42101043684</v>
      </c>
      <c r="EJ108" s="637">
        <f t="shared" si="181"/>
        <v>0</v>
      </c>
      <c r="EK108" s="637">
        <f t="shared" si="182"/>
        <v>455023.42101043684</v>
      </c>
      <c r="EL108" s="637">
        <f t="shared" si="183"/>
        <v>455023.4210104362</v>
      </c>
      <c r="EM108" s="643">
        <f t="shared" si="184"/>
        <v>455023.4210104362</v>
      </c>
      <c r="EN108" s="637">
        <f t="shared" si="185"/>
        <v>0</v>
      </c>
      <c r="EO108" s="637">
        <f t="shared" si="186"/>
        <v>455023.4210104362</v>
      </c>
      <c r="EP108" s="637">
        <f t="shared" si="187"/>
        <v>455023.4210104369</v>
      </c>
      <c r="EQ108" s="643">
        <f t="shared" si="188"/>
        <v>455023.4210104369</v>
      </c>
      <c r="ER108" s="637">
        <f t="shared" si="189"/>
        <v>0</v>
      </c>
      <c r="ES108" s="637">
        <f t="shared" si="190"/>
        <v>455023.4210104369</v>
      </c>
      <c r="ET108" s="637">
        <f t="shared" si="191"/>
        <v>455023.4210104362</v>
      </c>
      <c r="EU108" s="643">
        <f t="shared" si="141"/>
        <v>455023.4210104362</v>
      </c>
      <c r="EV108" s="643">
        <f t="shared" si="142"/>
        <v>0</v>
      </c>
      <c r="EX108" s="829">
        <f t="shared" si="143"/>
        <v>26999.604388148931</v>
      </c>
      <c r="EY108" s="638">
        <f t="shared" si="144"/>
        <v>455023.4210104362</v>
      </c>
      <c r="FC108" s="830" t="str">
        <f t="shared" si="192"/>
        <v>Y</v>
      </c>
      <c r="FE108" s="830" t="str">
        <f>IFERROR(VLOOKUP($B108,'Historical Conc Grant Elig'!$B$3:$J$707,'HH &amp; SI'!FE$2,0),"N")</f>
        <v>N</v>
      </c>
      <c r="FF108" s="830" t="str">
        <f>IFERROR(VLOOKUP($B108,'Historical Conc Grant Elig'!$B$3:$J$707,'HH &amp; SI'!FF$2,0),"N")</f>
        <v>N</v>
      </c>
      <c r="FG108" s="830" t="str">
        <f>IFERROR(VLOOKUP($B108,'Historical Conc Grant Elig'!$B$3:$J$707,'HH &amp; SI'!FG$2,0),"N")</f>
        <v>N</v>
      </c>
      <c r="FH108" s="830" t="str">
        <f>IFERROR(VLOOKUP($B108,'Historical Conc Grant Elig'!$B$3:$J$707,'HH &amp; SI'!FH$2,0),"N")</f>
        <v>N</v>
      </c>
      <c r="FI108" s="830" t="str">
        <f>IFERROR(VLOOKUP($B108,'Historical Conc Grant Elig'!$B$3:$J$707,'HH &amp; SI'!FI$2,0),"N")</f>
        <v>Y</v>
      </c>
      <c r="FJ108" s="830" t="str">
        <f>IFERROR(VLOOKUP($B108,'Historical Conc Grant Elig'!$B$3:$J$707,'HH &amp; SI'!FJ$2,0),"N")</f>
        <v>Y</v>
      </c>
      <c r="FK108" s="830" t="str">
        <f>IFERROR(VLOOKUP($B108,'Historical Conc Grant Elig'!$B$3:$J$707,'HH &amp; SI'!FK$2,0),"N")</f>
        <v>Y</v>
      </c>
      <c r="FL108" s="957" t="str">
        <f>IFERROR(VLOOKUP($B108,'Historical Conc Grant Elig'!$B$3:$J$707,'HH &amp; SI'!FL$2,0),"N")</f>
        <v>Y</v>
      </c>
    </row>
    <row r="109" spans="2:168" x14ac:dyDescent="0.25">
      <c r="B109" s="634">
        <v>70428000</v>
      </c>
      <c r="C109" s="635" t="str">
        <f>VLOOKUP($B109,'Afton Update'!$A$5:$CR$582,'Afton Update'!D$589,0)</f>
        <v>Kyrene Elementary District</v>
      </c>
      <c r="D109" s="636">
        <f>IFERROR(VLOOKUP($B109,'Afton FY16 Final'!$A$5:$BV$587,'Afton FY16 Final'!AQ$587,0),0)</f>
        <v>721734.69784699276</v>
      </c>
      <c r="E109" s="637">
        <f>IFERROR(VLOOKUP($B109,'Afton FY16 Final'!$A$5:$BV$587,'Afton FY16 Final'!AR$587,0),0)</f>
        <v>0</v>
      </c>
      <c r="F109" s="637">
        <f>IFERROR(VLOOKUP($B109,'Afton FY16 Final'!$A$5:$BV$587,'Afton FY16 Final'!AS$587,0),0)</f>
        <v>259507.1983977799</v>
      </c>
      <c r="G109" s="637">
        <f>IFERROR(VLOOKUP($B109,'Afton FY16 Final'!$A$5:$BV$587,'Afton FY16 Final'!AT$587,0),0)</f>
        <v>182103.21663513151</v>
      </c>
      <c r="H109" s="638">
        <f>IFERROR(VLOOKUP($B109,'Afton FY16 Final'!$A$5:$BV$587,'Afton FY16 Final'!AU$587,0),0)</f>
        <v>1163345.1128799042</v>
      </c>
      <c r="I109" s="639" t="str">
        <f>VLOOKUP($B109,'Afton Update'!$A$5:$CR$582,'Afton Update'!BT$589,0)</f>
        <v>Y</v>
      </c>
      <c r="J109" s="640" t="str">
        <f>VLOOKUP($B109,'Afton Update'!$A$5:$CR$582,'Afton Update'!BU$589,0)</f>
        <v>N</v>
      </c>
      <c r="K109" s="640" t="str">
        <f>VLOOKUP($B109,'Afton Update'!$A$5:$CR$582,'Afton Update'!BV$589,0)</f>
        <v>Y</v>
      </c>
      <c r="L109" s="641" t="str">
        <f>VLOOKUP($B109,'Afton Update'!$A$5:$CR$582,'Afton Update'!BW$589,0)</f>
        <v>Y</v>
      </c>
      <c r="N109" s="642">
        <f>VLOOKUP($B109,'Afton Update'!$A$5:$CR$582,'Afton Update'!CB$589,0)</f>
        <v>0.85</v>
      </c>
      <c r="P109" s="636">
        <f>VLOOKUP($B109,'Afton Update'!$A$5:$CR$582,'Afton Update'!AH$589,0)</f>
        <v>729366.64981695963</v>
      </c>
      <c r="Q109" s="637" t="str">
        <f>VLOOKUP($B109,'Afton Update'!$A$5:$CR$582,'Afton Update'!AI$589,0)</f>
        <v/>
      </c>
      <c r="R109" s="637">
        <f>VLOOKUP($B109,'Afton Update'!$A$5:$CR$582,'Afton Update'!AJ$589,0)</f>
        <v>286815.67246019526</v>
      </c>
      <c r="S109" s="637">
        <f>VLOOKUP($B109,'Afton Update'!$A$5:$CR$582,'Afton Update'!AK$589,0)</f>
        <v>222639.65956163959</v>
      </c>
      <c r="T109" s="643">
        <f t="shared" si="145"/>
        <v>1238821.9818387944</v>
      </c>
      <c r="V109" s="636">
        <f t="shared" si="193"/>
        <v>719417.61530806648</v>
      </c>
      <c r="W109" s="637">
        <f t="shared" si="194"/>
        <v>0</v>
      </c>
      <c r="X109" s="637">
        <f t="shared" si="195"/>
        <v>284207.19590211497</v>
      </c>
      <c r="Y109" s="637">
        <f t="shared" si="196"/>
        <v>220186.57128512952</v>
      </c>
      <c r="Z109" s="643">
        <f t="shared" si="197"/>
        <v>1223811.3824953111</v>
      </c>
      <c r="AB109" s="644">
        <f t="shared" si="146"/>
        <v>729366.64981695963</v>
      </c>
      <c r="AC109" s="645">
        <f t="shared" si="134"/>
        <v>613474.4931699438</v>
      </c>
      <c r="AD109" s="644">
        <f t="shared" si="198"/>
        <v>0</v>
      </c>
      <c r="AE109" s="645">
        <f t="shared" si="199"/>
        <v>729366.64981695963</v>
      </c>
      <c r="AF109" s="646">
        <f t="shared" si="200"/>
        <v>-9041.0477289282826</v>
      </c>
      <c r="AG109" s="647">
        <f t="shared" si="201"/>
        <v>720325.60208803136</v>
      </c>
      <c r="AH109" s="644">
        <f t="shared" si="147"/>
        <v>0</v>
      </c>
      <c r="AI109" s="645">
        <f t="shared" si="148"/>
        <v>720325.60208803136</v>
      </c>
      <c r="AJ109" s="646">
        <f t="shared" si="202"/>
        <v>-907.40830437617888</v>
      </c>
      <c r="AK109" s="647">
        <f t="shared" si="149"/>
        <v>719418.19378365518</v>
      </c>
      <c r="AL109" s="644">
        <f t="shared" si="203"/>
        <v>0</v>
      </c>
      <c r="AM109" s="645">
        <f t="shared" si="204"/>
        <v>719418.19378365518</v>
      </c>
      <c r="AN109" s="646">
        <f t="shared" si="205"/>
        <v>-0.57847558870041338</v>
      </c>
      <c r="AO109" s="647">
        <f t="shared" si="150"/>
        <v>719417.61530806648</v>
      </c>
      <c r="AP109" s="644">
        <f t="shared" si="206"/>
        <v>0</v>
      </c>
      <c r="AQ109" s="645">
        <f t="shared" si="207"/>
        <v>719417.61530806648</v>
      </c>
      <c r="AR109" s="646">
        <f t="shared" si="208"/>
        <v>0</v>
      </c>
      <c r="AS109" s="647">
        <f t="shared" si="151"/>
        <v>719417.61530806648</v>
      </c>
      <c r="AT109" s="644">
        <f t="shared" si="209"/>
        <v>0</v>
      </c>
      <c r="AU109" s="645">
        <f t="shared" si="210"/>
        <v>719417.61530806648</v>
      </c>
      <c r="AV109" s="646">
        <f t="shared" si="211"/>
        <v>0</v>
      </c>
      <c r="AW109" s="647">
        <f t="shared" si="152"/>
        <v>719417.61530806648</v>
      </c>
      <c r="AY109" s="644">
        <f t="shared" si="212"/>
        <v>0</v>
      </c>
      <c r="AZ109" s="645">
        <f t="shared" si="153"/>
        <v>0</v>
      </c>
      <c r="BA109" s="644">
        <f t="shared" si="213"/>
        <v>0</v>
      </c>
      <c r="BB109" s="645">
        <f t="shared" si="214"/>
        <v>0</v>
      </c>
      <c r="BC109" s="646">
        <f t="shared" si="215"/>
        <v>0</v>
      </c>
      <c r="BD109" s="647">
        <f t="shared" si="216"/>
        <v>0</v>
      </c>
      <c r="BE109" s="644">
        <f t="shared" si="154"/>
        <v>0</v>
      </c>
      <c r="BF109" s="645">
        <f t="shared" si="155"/>
        <v>0</v>
      </c>
      <c r="BG109" s="646">
        <f t="shared" si="217"/>
        <v>0</v>
      </c>
      <c r="BH109" s="647">
        <f t="shared" si="156"/>
        <v>0</v>
      </c>
      <c r="BI109" s="644">
        <f t="shared" si="218"/>
        <v>0</v>
      </c>
      <c r="BJ109" s="645">
        <f t="shared" si="219"/>
        <v>0</v>
      </c>
      <c r="BK109" s="646">
        <f t="shared" si="220"/>
        <v>0</v>
      </c>
      <c r="BL109" s="647">
        <f t="shared" si="157"/>
        <v>0</v>
      </c>
      <c r="BM109" s="644">
        <f t="shared" si="221"/>
        <v>0</v>
      </c>
      <c r="BN109" s="645">
        <f t="shared" si="222"/>
        <v>0</v>
      </c>
      <c r="BO109" s="646">
        <f t="shared" si="223"/>
        <v>0</v>
      </c>
      <c r="BP109" s="647">
        <f t="shared" si="158"/>
        <v>0</v>
      </c>
      <c r="BQ109" s="644">
        <f t="shared" si="224"/>
        <v>0</v>
      </c>
      <c r="BR109" s="645">
        <f t="shared" si="225"/>
        <v>0</v>
      </c>
      <c r="BS109" s="646">
        <f t="shared" si="226"/>
        <v>0</v>
      </c>
      <c r="BT109" s="647">
        <f t="shared" si="159"/>
        <v>0</v>
      </c>
      <c r="BU109" s="662">
        <f>VLOOKUP(B109,'Afton Update'!$A$5:$AR$582,'Afton Update'!$AO$589,0)-BT109</f>
        <v>0</v>
      </c>
      <c r="BV109" s="644">
        <f t="shared" si="227"/>
        <v>286815.67246019526</v>
      </c>
      <c r="BW109" s="645">
        <f t="shared" si="135"/>
        <v>220581.11863811291</v>
      </c>
      <c r="BX109" s="644">
        <f t="shared" si="228"/>
        <v>0</v>
      </c>
      <c r="BY109" s="645">
        <f t="shared" si="229"/>
        <v>286815.67246019526</v>
      </c>
      <c r="BZ109" s="646">
        <f t="shared" si="230"/>
        <v>-2517.4116510847653</v>
      </c>
      <c r="CA109" s="647">
        <f t="shared" si="231"/>
        <v>284298.26080911048</v>
      </c>
      <c r="CB109" s="644">
        <f t="shared" si="160"/>
        <v>0</v>
      </c>
      <c r="CC109" s="645">
        <f t="shared" si="161"/>
        <v>284298.26080911048</v>
      </c>
      <c r="CD109" s="646">
        <f t="shared" si="232"/>
        <v>-91.064906995518399</v>
      </c>
      <c r="CE109" s="647">
        <f t="shared" si="162"/>
        <v>284207.19590211497</v>
      </c>
      <c r="CF109" s="644">
        <f t="shared" si="233"/>
        <v>0</v>
      </c>
      <c r="CG109" s="645">
        <f t="shared" si="234"/>
        <v>284207.19590211497</v>
      </c>
      <c r="CH109" s="646">
        <f t="shared" si="235"/>
        <v>0</v>
      </c>
      <c r="CI109" s="647">
        <f t="shared" si="163"/>
        <v>284207.19590211497</v>
      </c>
      <c r="CJ109" s="644">
        <f t="shared" si="236"/>
        <v>0</v>
      </c>
      <c r="CK109" s="645">
        <f t="shared" si="237"/>
        <v>284207.19590211497</v>
      </c>
      <c r="CL109" s="646">
        <f t="shared" si="238"/>
        <v>0</v>
      </c>
      <c r="CM109" s="647">
        <f t="shared" si="164"/>
        <v>284207.19590211497</v>
      </c>
      <c r="CN109" s="644">
        <f t="shared" si="239"/>
        <v>0</v>
      </c>
      <c r="CO109" s="645">
        <f t="shared" si="240"/>
        <v>284207.19590211497</v>
      </c>
      <c r="CP109" s="646">
        <f t="shared" si="241"/>
        <v>0</v>
      </c>
      <c r="CQ109" s="647">
        <f t="shared" si="165"/>
        <v>284207.19590211497</v>
      </c>
      <c r="CS109" s="644">
        <f t="shared" si="242"/>
        <v>222639.65956163959</v>
      </c>
      <c r="CT109" s="645">
        <f t="shared" si="136"/>
        <v>154787.73413986177</v>
      </c>
      <c r="CU109" s="644">
        <f t="shared" si="243"/>
        <v>0</v>
      </c>
      <c r="CV109" s="645">
        <f t="shared" si="244"/>
        <v>222639.65956163959</v>
      </c>
      <c r="CW109" s="646">
        <f t="shared" si="245"/>
        <v>-2279.9559324754696</v>
      </c>
      <c r="CX109" s="647">
        <f t="shared" si="246"/>
        <v>220359.70362916411</v>
      </c>
      <c r="CY109" s="644">
        <f t="shared" si="166"/>
        <v>0</v>
      </c>
      <c r="CZ109" s="645">
        <f t="shared" si="167"/>
        <v>220359.70362916411</v>
      </c>
      <c r="DA109" s="646">
        <f t="shared" si="247"/>
        <v>-172.98316759799533</v>
      </c>
      <c r="DB109" s="647">
        <f t="shared" si="168"/>
        <v>220186.72046156612</v>
      </c>
      <c r="DC109" s="644">
        <f t="shared" si="248"/>
        <v>0</v>
      </c>
      <c r="DD109" s="645">
        <f t="shared" si="249"/>
        <v>220186.72046156612</v>
      </c>
      <c r="DE109" s="646">
        <f t="shared" si="250"/>
        <v>-0.14917643658966845</v>
      </c>
      <c r="DF109" s="647">
        <f t="shared" si="169"/>
        <v>220186.57128512952</v>
      </c>
      <c r="DG109" s="644">
        <f t="shared" si="251"/>
        <v>0</v>
      </c>
      <c r="DH109" s="645">
        <f t="shared" si="252"/>
        <v>220186.57128512952</v>
      </c>
      <c r="DI109" s="646">
        <f t="shared" si="253"/>
        <v>0</v>
      </c>
      <c r="DJ109" s="647">
        <f t="shared" si="170"/>
        <v>220186.57128512952</v>
      </c>
      <c r="DK109" s="644">
        <f t="shared" si="254"/>
        <v>0</v>
      </c>
      <c r="DL109" s="645">
        <f t="shared" si="255"/>
        <v>220186.57128512952</v>
      </c>
      <c r="DM109" s="646">
        <f t="shared" si="256"/>
        <v>0</v>
      </c>
      <c r="DN109" s="647">
        <f t="shared" si="171"/>
        <v>220186.57128512952</v>
      </c>
      <c r="DR109" s="827">
        <f t="shared" si="172"/>
        <v>1223811.3824953111</v>
      </c>
      <c r="DV109" s="828">
        <f>IFERROR(VLOOKUP($B109,'Afton FY16 Final'!$A$5:$BV$587,'Afton FY16 Final'!$BV$587,0),0)</f>
        <v>1116309.4416933819</v>
      </c>
      <c r="DX109" s="636">
        <f t="shared" si="137"/>
        <v>1223811.3824953111</v>
      </c>
      <c r="DY109" s="637">
        <f t="shared" si="138"/>
        <v>107501.94080192922</v>
      </c>
      <c r="DZ109" s="637">
        <f t="shared" si="139"/>
        <v>1116309.4416933819</v>
      </c>
      <c r="EA109" s="643">
        <f t="shared" si="140"/>
        <v>1158718.3326914154</v>
      </c>
      <c r="EB109" s="637">
        <f t="shared" si="173"/>
        <v>0</v>
      </c>
      <c r="EC109" s="637">
        <f t="shared" si="174"/>
        <v>1158718.3326914154</v>
      </c>
      <c r="ED109" s="637">
        <f t="shared" si="175"/>
        <v>1155263.1038077665</v>
      </c>
      <c r="EE109" s="643">
        <f t="shared" si="176"/>
        <v>1155263.1038077665</v>
      </c>
      <c r="EF109" s="637">
        <f t="shared" si="177"/>
        <v>0</v>
      </c>
      <c r="EG109" s="637">
        <f t="shared" si="178"/>
        <v>1155263.1038077665</v>
      </c>
      <c r="EH109" s="637">
        <f t="shared" si="179"/>
        <v>1155261.9119679155</v>
      </c>
      <c r="EI109" s="643">
        <f t="shared" si="180"/>
        <v>1155261.9119679155</v>
      </c>
      <c r="EJ109" s="637">
        <f t="shared" si="181"/>
        <v>0</v>
      </c>
      <c r="EK109" s="637">
        <f t="shared" si="182"/>
        <v>1155261.9119679155</v>
      </c>
      <c r="EL109" s="637">
        <f t="shared" si="183"/>
        <v>1155261.9119679139</v>
      </c>
      <c r="EM109" s="643">
        <f t="shared" si="184"/>
        <v>1155261.9119679139</v>
      </c>
      <c r="EN109" s="637">
        <f t="shared" si="185"/>
        <v>0</v>
      </c>
      <c r="EO109" s="637">
        <f t="shared" si="186"/>
        <v>1155261.9119679139</v>
      </c>
      <c r="EP109" s="637">
        <f t="shared" si="187"/>
        <v>1155261.9119679157</v>
      </c>
      <c r="EQ109" s="643">
        <f t="shared" si="188"/>
        <v>1155261.9119679157</v>
      </c>
      <c r="ER109" s="637">
        <f t="shared" si="189"/>
        <v>0</v>
      </c>
      <c r="ES109" s="637">
        <f t="shared" si="190"/>
        <v>1155261.9119679157</v>
      </c>
      <c r="ET109" s="637">
        <f t="shared" si="191"/>
        <v>1155261.9119679139</v>
      </c>
      <c r="EU109" s="643">
        <f t="shared" si="141"/>
        <v>1155261.9119679139</v>
      </c>
      <c r="EV109" s="643">
        <f t="shared" si="142"/>
        <v>0</v>
      </c>
      <c r="EX109" s="829">
        <f t="shared" si="143"/>
        <v>68549.470527397236</v>
      </c>
      <c r="EY109" s="638">
        <f t="shared" si="144"/>
        <v>1155261.9119679139</v>
      </c>
      <c r="FC109" s="830" t="str">
        <f t="shared" si="192"/>
        <v>N</v>
      </c>
      <c r="FE109" s="830" t="str">
        <f>IFERROR(VLOOKUP($B109,'Historical Conc Grant Elig'!$B$3:$J$707,'HH &amp; SI'!FE$2,0),"N")</f>
        <v>N</v>
      </c>
      <c r="FF109" s="830" t="str">
        <f>IFERROR(VLOOKUP($B109,'Historical Conc Grant Elig'!$B$3:$J$707,'HH &amp; SI'!FF$2,0),"N")</f>
        <v>N</v>
      </c>
      <c r="FG109" s="830" t="str">
        <f>IFERROR(VLOOKUP($B109,'Historical Conc Grant Elig'!$B$3:$J$707,'HH &amp; SI'!FG$2,0),"N")</f>
        <v>N</v>
      </c>
      <c r="FH109" s="830" t="str">
        <f>IFERROR(VLOOKUP($B109,'Historical Conc Grant Elig'!$B$3:$J$707,'HH &amp; SI'!FH$2,0),"N")</f>
        <v>N</v>
      </c>
      <c r="FI109" s="830" t="str">
        <f>IFERROR(VLOOKUP($B109,'Historical Conc Grant Elig'!$B$3:$J$707,'HH &amp; SI'!FI$2,0),"N")</f>
        <v>N</v>
      </c>
      <c r="FJ109" s="830" t="str">
        <f>IFERROR(VLOOKUP($B109,'Historical Conc Grant Elig'!$B$3:$J$707,'HH &amp; SI'!FJ$2,0),"N")</f>
        <v>N</v>
      </c>
      <c r="FK109" s="830" t="str">
        <f>IFERROR(VLOOKUP($B109,'Historical Conc Grant Elig'!$B$3:$J$707,'HH &amp; SI'!FK$2,0),"N")</f>
        <v>N</v>
      </c>
      <c r="FL109" s="957" t="str">
        <f>IFERROR(VLOOKUP($B109,'Historical Conc Grant Elig'!$B$3:$J$707,'HH &amp; SI'!FL$2,0),"N")</f>
        <v>N</v>
      </c>
    </row>
    <row r="110" spans="2:168" x14ac:dyDescent="0.25">
      <c r="B110" s="634">
        <v>70431000</v>
      </c>
      <c r="C110" s="635" t="str">
        <f>VLOOKUP($B110,'Afton Update'!$A$5:$CR$582,'Afton Update'!D$589,0)</f>
        <v>Balsz Elementary District</v>
      </c>
      <c r="D110" s="636">
        <f>IFERROR(VLOOKUP($B110,'Afton FY16 Final'!$A$5:$BV$587,'Afton FY16 Final'!AQ$587,0),0)</f>
        <v>916741.26525751746</v>
      </c>
      <c r="E110" s="637">
        <f>IFERROR(VLOOKUP($B110,'Afton FY16 Final'!$A$5:$BV$587,'Afton FY16 Final'!AR$587,0),0)</f>
        <v>215601.9622324651</v>
      </c>
      <c r="F110" s="637">
        <f>IFERROR(VLOOKUP($B110,'Afton FY16 Final'!$A$5:$BV$587,'Afton FY16 Final'!AS$587,0),0)</f>
        <v>684014.43782763847</v>
      </c>
      <c r="G110" s="637">
        <f>IFERROR(VLOOKUP($B110,'Afton FY16 Final'!$A$5:$BV$587,'Afton FY16 Final'!AT$587,0),0)</f>
        <v>626613.42688992084</v>
      </c>
      <c r="H110" s="638">
        <f>IFERROR(VLOOKUP($B110,'Afton FY16 Final'!$A$5:$BV$587,'Afton FY16 Final'!AU$587,0),0)</f>
        <v>2442971.0922075417</v>
      </c>
      <c r="I110" s="639" t="str">
        <f>VLOOKUP($B110,'Afton Update'!$A$5:$CR$582,'Afton Update'!BT$589,0)</f>
        <v>Y</v>
      </c>
      <c r="J110" s="640" t="str">
        <f>VLOOKUP($B110,'Afton Update'!$A$5:$CR$582,'Afton Update'!BU$589,0)</f>
        <v>Y</v>
      </c>
      <c r="K110" s="640" t="str">
        <f>VLOOKUP($B110,'Afton Update'!$A$5:$CR$582,'Afton Update'!BV$589,0)</f>
        <v>Y</v>
      </c>
      <c r="L110" s="641" t="str">
        <f>VLOOKUP($B110,'Afton Update'!$A$5:$CR$582,'Afton Update'!BW$589,0)</f>
        <v>Y</v>
      </c>
      <c r="N110" s="642">
        <f>VLOOKUP($B110,'Afton Update'!$A$5:$CR$582,'Afton Update'!CB$589,0)</f>
        <v>0.95</v>
      </c>
      <c r="P110" s="636">
        <f>VLOOKUP($B110,'Afton Update'!$A$5:$CR$582,'Afton Update'!AH$589,0)</f>
        <v>880452.75517413975</v>
      </c>
      <c r="Q110" s="637">
        <f>VLOOKUP($B110,'Afton Update'!$A$5:$CR$582,'Afton Update'!AI$589,0)</f>
        <v>210863.46884700592</v>
      </c>
      <c r="R110" s="637">
        <f>VLOOKUP($B110,'Afton Update'!$A$5:$CR$582,'Afton Update'!AJ$589,0)</f>
        <v>655851.94236415834</v>
      </c>
      <c r="S110" s="637">
        <f>VLOOKUP($B110,'Afton Update'!$A$5:$CR$582,'Afton Update'!AK$589,0)</f>
        <v>640173.74253963784</v>
      </c>
      <c r="T110" s="643">
        <f t="shared" si="145"/>
        <v>2387341.9089249419</v>
      </c>
      <c r="V110" s="636">
        <f t="shared" si="193"/>
        <v>870904.20199464157</v>
      </c>
      <c r="W110" s="637">
        <f t="shared" si="194"/>
        <v>204821.86412084184</v>
      </c>
      <c r="X110" s="637">
        <f t="shared" si="195"/>
        <v>649887.22501606517</v>
      </c>
      <c r="Y110" s="637">
        <f t="shared" si="196"/>
        <v>633120.18026845239</v>
      </c>
      <c r="Z110" s="643">
        <f t="shared" si="197"/>
        <v>2358733.4714000011</v>
      </c>
      <c r="AB110" s="644">
        <f t="shared" si="146"/>
        <v>880452.75517413975</v>
      </c>
      <c r="AC110" s="645">
        <f t="shared" si="134"/>
        <v>870904.20199464157</v>
      </c>
      <c r="AD110" s="644">
        <f t="shared" si="198"/>
        <v>0</v>
      </c>
      <c r="AE110" s="645">
        <f t="shared" si="199"/>
        <v>880452.75517413975</v>
      </c>
      <c r="AF110" s="646">
        <f t="shared" si="200"/>
        <v>-10913.873543016374</v>
      </c>
      <c r="AG110" s="647">
        <f t="shared" si="201"/>
        <v>869538.88163112337</v>
      </c>
      <c r="AH110" s="644">
        <f t="shared" si="147"/>
        <v>-1365.3203635181999</v>
      </c>
      <c r="AI110" s="645">
        <f t="shared" si="148"/>
        <v>0</v>
      </c>
      <c r="AJ110" s="646">
        <f t="shared" si="202"/>
        <v>0</v>
      </c>
      <c r="AK110" s="647">
        <f t="shared" si="149"/>
        <v>870904.20199464157</v>
      </c>
      <c r="AL110" s="644">
        <f t="shared" si="203"/>
        <v>0</v>
      </c>
      <c r="AM110" s="645">
        <f t="shared" si="204"/>
        <v>0</v>
      </c>
      <c r="AN110" s="646">
        <f t="shared" si="205"/>
        <v>0</v>
      </c>
      <c r="AO110" s="647">
        <f t="shared" si="150"/>
        <v>870904.20199464157</v>
      </c>
      <c r="AP110" s="644">
        <f t="shared" si="206"/>
        <v>0</v>
      </c>
      <c r="AQ110" s="645">
        <f t="shared" si="207"/>
        <v>0</v>
      </c>
      <c r="AR110" s="646">
        <f t="shared" si="208"/>
        <v>0</v>
      </c>
      <c r="AS110" s="647">
        <f t="shared" si="151"/>
        <v>870904.20199464157</v>
      </c>
      <c r="AT110" s="644">
        <f t="shared" si="209"/>
        <v>0</v>
      </c>
      <c r="AU110" s="645">
        <f t="shared" si="210"/>
        <v>0</v>
      </c>
      <c r="AV110" s="646">
        <f t="shared" si="211"/>
        <v>0</v>
      </c>
      <c r="AW110" s="647">
        <f t="shared" si="152"/>
        <v>870904.20199464157</v>
      </c>
      <c r="AY110" s="644">
        <f t="shared" si="212"/>
        <v>210863.46884700592</v>
      </c>
      <c r="AZ110" s="645">
        <f t="shared" si="153"/>
        <v>204821.86412084184</v>
      </c>
      <c r="BA110" s="644">
        <f t="shared" si="213"/>
        <v>0</v>
      </c>
      <c r="BB110" s="645">
        <f t="shared" si="214"/>
        <v>210863.46884700592</v>
      </c>
      <c r="BC110" s="646">
        <f t="shared" si="215"/>
        <v>-1516.3806565132249</v>
      </c>
      <c r="BD110" s="647">
        <f t="shared" si="216"/>
        <v>209347.08819049271</v>
      </c>
      <c r="BE110" s="644">
        <f t="shared" si="154"/>
        <v>0</v>
      </c>
      <c r="BF110" s="645">
        <f t="shared" si="155"/>
        <v>209347.08819049271</v>
      </c>
      <c r="BG110" s="646">
        <f t="shared" si="217"/>
        <v>-4986.4770351288316</v>
      </c>
      <c r="BH110" s="647">
        <f t="shared" si="156"/>
        <v>204360.61115536388</v>
      </c>
      <c r="BI110" s="644">
        <f t="shared" si="218"/>
        <v>-461.25296547796461</v>
      </c>
      <c r="BJ110" s="645">
        <f t="shared" si="219"/>
        <v>0</v>
      </c>
      <c r="BK110" s="646">
        <f t="shared" si="220"/>
        <v>0</v>
      </c>
      <c r="BL110" s="647">
        <f t="shared" si="157"/>
        <v>204821.86412084184</v>
      </c>
      <c r="BM110" s="644">
        <f t="shared" si="221"/>
        <v>0</v>
      </c>
      <c r="BN110" s="645">
        <f t="shared" si="222"/>
        <v>0</v>
      </c>
      <c r="BO110" s="646">
        <f t="shared" si="223"/>
        <v>0</v>
      </c>
      <c r="BP110" s="647">
        <f t="shared" si="158"/>
        <v>204821.86412084184</v>
      </c>
      <c r="BQ110" s="644">
        <f t="shared" si="224"/>
        <v>0</v>
      </c>
      <c r="BR110" s="645">
        <f t="shared" si="225"/>
        <v>0</v>
      </c>
      <c r="BS110" s="646">
        <f t="shared" si="226"/>
        <v>0</v>
      </c>
      <c r="BT110" s="647">
        <f t="shared" si="159"/>
        <v>204821.86412084184</v>
      </c>
      <c r="BU110" s="662">
        <f>VLOOKUP(B110,'Afton Update'!$A$5:$AR$582,'Afton Update'!$AO$589,0)-BT110</f>
        <v>0</v>
      </c>
      <c r="BV110" s="644">
        <f t="shared" si="227"/>
        <v>655851.94236415834</v>
      </c>
      <c r="BW110" s="645">
        <f t="shared" si="135"/>
        <v>649813.71593625646</v>
      </c>
      <c r="BX110" s="644">
        <f t="shared" si="228"/>
        <v>0</v>
      </c>
      <c r="BY110" s="645">
        <f t="shared" si="229"/>
        <v>655851.94236415834</v>
      </c>
      <c r="BZ110" s="646">
        <f t="shared" si="230"/>
        <v>-5756.4822275297438</v>
      </c>
      <c r="CA110" s="647">
        <f t="shared" si="231"/>
        <v>650095.46013662859</v>
      </c>
      <c r="CB110" s="644">
        <f t="shared" si="160"/>
        <v>0</v>
      </c>
      <c r="CC110" s="645">
        <f t="shared" si="161"/>
        <v>650095.46013662859</v>
      </c>
      <c r="CD110" s="646">
        <f t="shared" si="232"/>
        <v>-208.23512056340266</v>
      </c>
      <c r="CE110" s="647">
        <f t="shared" si="162"/>
        <v>649887.22501606517</v>
      </c>
      <c r="CF110" s="644">
        <f t="shared" si="233"/>
        <v>0</v>
      </c>
      <c r="CG110" s="645">
        <f t="shared" si="234"/>
        <v>649887.22501606517</v>
      </c>
      <c r="CH110" s="646">
        <f t="shared" si="235"/>
        <v>0</v>
      </c>
      <c r="CI110" s="647">
        <f t="shared" si="163"/>
        <v>649887.22501606517</v>
      </c>
      <c r="CJ110" s="644">
        <f t="shared" si="236"/>
        <v>0</v>
      </c>
      <c r="CK110" s="645">
        <f t="shared" si="237"/>
        <v>649887.22501606517</v>
      </c>
      <c r="CL110" s="646">
        <f t="shared" si="238"/>
        <v>0</v>
      </c>
      <c r="CM110" s="647">
        <f t="shared" si="164"/>
        <v>649887.22501606517</v>
      </c>
      <c r="CN110" s="644">
        <f t="shared" si="239"/>
        <v>0</v>
      </c>
      <c r="CO110" s="645">
        <f t="shared" si="240"/>
        <v>649887.22501606517</v>
      </c>
      <c r="CP110" s="646">
        <f t="shared" si="241"/>
        <v>0</v>
      </c>
      <c r="CQ110" s="647">
        <f t="shared" si="165"/>
        <v>649887.22501606517</v>
      </c>
      <c r="CS110" s="644">
        <f t="shared" si="242"/>
        <v>640173.74253963784</v>
      </c>
      <c r="CT110" s="645">
        <f t="shared" si="136"/>
        <v>595282.75554542476</v>
      </c>
      <c r="CU110" s="644">
        <f t="shared" si="243"/>
        <v>0</v>
      </c>
      <c r="CV110" s="645">
        <f t="shared" si="244"/>
        <v>640173.74253963784</v>
      </c>
      <c r="CW110" s="646">
        <f t="shared" si="245"/>
        <v>-6555.7408998560659</v>
      </c>
      <c r="CX110" s="647">
        <f t="shared" si="246"/>
        <v>633618.00163978175</v>
      </c>
      <c r="CY110" s="644">
        <f t="shared" si="166"/>
        <v>0</v>
      </c>
      <c r="CZ110" s="645">
        <f t="shared" si="167"/>
        <v>633618.00163978175</v>
      </c>
      <c r="DA110" s="646">
        <f t="shared" si="247"/>
        <v>-497.39243230791521</v>
      </c>
      <c r="DB110" s="647">
        <f t="shared" si="168"/>
        <v>633120.60920747381</v>
      </c>
      <c r="DC110" s="644">
        <f t="shared" si="248"/>
        <v>0</v>
      </c>
      <c r="DD110" s="645">
        <f t="shared" si="249"/>
        <v>633120.60920747381</v>
      </c>
      <c r="DE110" s="646">
        <f t="shared" si="250"/>
        <v>-0.42893902145900192</v>
      </c>
      <c r="DF110" s="647">
        <f t="shared" si="169"/>
        <v>633120.18026845239</v>
      </c>
      <c r="DG110" s="644">
        <f t="shared" si="251"/>
        <v>0</v>
      </c>
      <c r="DH110" s="645">
        <f t="shared" si="252"/>
        <v>633120.18026845239</v>
      </c>
      <c r="DI110" s="646">
        <f t="shared" si="253"/>
        <v>0</v>
      </c>
      <c r="DJ110" s="647">
        <f t="shared" si="170"/>
        <v>633120.18026845239</v>
      </c>
      <c r="DK110" s="644">
        <f t="shared" si="254"/>
        <v>0</v>
      </c>
      <c r="DL110" s="645">
        <f t="shared" si="255"/>
        <v>633120.18026845239</v>
      </c>
      <c r="DM110" s="646">
        <f t="shared" si="256"/>
        <v>0</v>
      </c>
      <c r="DN110" s="647">
        <f t="shared" si="171"/>
        <v>633120.18026845239</v>
      </c>
      <c r="DR110" s="827">
        <f t="shared" si="172"/>
        <v>2358733.4714000011</v>
      </c>
      <c r="DV110" s="828">
        <f>IFERROR(VLOOKUP($B110,'Afton FY16 Final'!$A$5:$BV$587,'Afton FY16 Final'!$BV$587,0),0)</f>
        <v>2168943.9514097623</v>
      </c>
      <c r="DX110" s="636">
        <f t="shared" si="137"/>
        <v>2358733.4714000011</v>
      </c>
      <c r="DY110" s="637">
        <f t="shared" si="138"/>
        <v>189789.51999023883</v>
      </c>
      <c r="DZ110" s="637">
        <f t="shared" si="139"/>
        <v>2168943.9514097623</v>
      </c>
      <c r="EA110" s="643">
        <f t="shared" si="140"/>
        <v>2233275.2859932771</v>
      </c>
      <c r="EB110" s="637">
        <f t="shared" si="173"/>
        <v>0</v>
      </c>
      <c r="EC110" s="637">
        <f t="shared" si="174"/>
        <v>2233275.2859932771</v>
      </c>
      <c r="ED110" s="637">
        <f t="shared" si="175"/>
        <v>2226615.7924342342</v>
      </c>
      <c r="EE110" s="643">
        <f t="shared" si="176"/>
        <v>2226615.7924342342</v>
      </c>
      <c r="EF110" s="637">
        <f t="shared" si="177"/>
        <v>0</v>
      </c>
      <c r="EG110" s="637">
        <f t="shared" si="178"/>
        <v>2226615.7924342342</v>
      </c>
      <c r="EH110" s="637">
        <f t="shared" si="179"/>
        <v>2226613.4953216324</v>
      </c>
      <c r="EI110" s="643">
        <f t="shared" si="180"/>
        <v>2226613.4953216324</v>
      </c>
      <c r="EJ110" s="637">
        <f t="shared" si="181"/>
        <v>0</v>
      </c>
      <c r="EK110" s="637">
        <f t="shared" si="182"/>
        <v>2226613.4953216324</v>
      </c>
      <c r="EL110" s="637">
        <f t="shared" si="183"/>
        <v>2226613.4953216291</v>
      </c>
      <c r="EM110" s="643">
        <f t="shared" si="184"/>
        <v>2226613.4953216291</v>
      </c>
      <c r="EN110" s="637">
        <f t="shared" si="185"/>
        <v>0</v>
      </c>
      <c r="EO110" s="637">
        <f t="shared" si="186"/>
        <v>2226613.4953216291</v>
      </c>
      <c r="EP110" s="637">
        <f t="shared" si="187"/>
        <v>2226613.4953216324</v>
      </c>
      <c r="EQ110" s="643">
        <f t="shared" si="188"/>
        <v>2226613.4953216324</v>
      </c>
      <c r="ER110" s="637">
        <f t="shared" si="189"/>
        <v>0</v>
      </c>
      <c r="ES110" s="637">
        <f t="shared" si="190"/>
        <v>2226613.4953216324</v>
      </c>
      <c r="ET110" s="637">
        <f t="shared" si="191"/>
        <v>2226613.4953216286</v>
      </c>
      <c r="EU110" s="643">
        <f t="shared" si="141"/>
        <v>2226613.4953216286</v>
      </c>
      <c r="EV110" s="643">
        <f t="shared" si="142"/>
        <v>0</v>
      </c>
      <c r="EX110" s="829">
        <f t="shared" si="143"/>
        <v>132119.97607837245</v>
      </c>
      <c r="EY110" s="638">
        <f t="shared" si="144"/>
        <v>2226613.4953216286</v>
      </c>
      <c r="FC110" s="830" t="str">
        <f t="shared" si="192"/>
        <v>Y</v>
      </c>
      <c r="FE110" s="830" t="str">
        <f>IFERROR(VLOOKUP($B110,'Historical Conc Grant Elig'!$B$3:$J$707,'HH &amp; SI'!FE$2,0),"N")</f>
        <v>Y</v>
      </c>
      <c r="FF110" s="830" t="str">
        <f>IFERROR(VLOOKUP($B110,'Historical Conc Grant Elig'!$B$3:$J$707,'HH &amp; SI'!FF$2,0),"N")</f>
        <v>Y</v>
      </c>
      <c r="FG110" s="830" t="str">
        <f>IFERROR(VLOOKUP($B110,'Historical Conc Grant Elig'!$B$3:$J$707,'HH &amp; SI'!FG$2,0),"N")</f>
        <v>Y</v>
      </c>
      <c r="FH110" s="830" t="str">
        <f>IFERROR(VLOOKUP($B110,'Historical Conc Grant Elig'!$B$3:$J$707,'HH &amp; SI'!FH$2,0),"N")</f>
        <v>Y</v>
      </c>
      <c r="FI110" s="830" t="str">
        <f>IFERROR(VLOOKUP($B110,'Historical Conc Grant Elig'!$B$3:$J$707,'HH &amp; SI'!FI$2,0),"N")</f>
        <v>Y</v>
      </c>
      <c r="FJ110" s="830" t="str">
        <f>IFERROR(VLOOKUP($B110,'Historical Conc Grant Elig'!$B$3:$J$707,'HH &amp; SI'!FJ$2,0),"N")</f>
        <v>Y</v>
      </c>
      <c r="FK110" s="830" t="str">
        <f>IFERROR(VLOOKUP($B110,'Historical Conc Grant Elig'!$B$3:$J$707,'HH &amp; SI'!FK$2,0),"N")</f>
        <v>Y</v>
      </c>
      <c r="FL110" s="957" t="str">
        <f>IFERROR(VLOOKUP($B110,'Historical Conc Grant Elig'!$B$3:$J$707,'HH &amp; SI'!FL$2,0),"N")</f>
        <v>Y</v>
      </c>
    </row>
    <row r="111" spans="2:168" x14ac:dyDescent="0.25">
      <c r="B111" s="634">
        <v>70433000</v>
      </c>
      <c r="C111" s="635" t="str">
        <f>VLOOKUP($B111,'Afton Update'!$A$5:$CR$582,'Afton Update'!D$589,0)</f>
        <v>Buckeye Elementary District</v>
      </c>
      <c r="D111" s="636">
        <f>IFERROR(VLOOKUP($B111,'Afton FY16 Final'!$A$5:$BV$587,'Afton FY16 Final'!AQ$587,0),0)</f>
        <v>598699.626449837</v>
      </c>
      <c r="E111" s="637">
        <f>IFERROR(VLOOKUP($B111,'Afton FY16 Final'!$A$5:$BV$587,'Afton FY16 Final'!AR$587,0),0)</f>
        <v>141466.50170372802</v>
      </c>
      <c r="F111" s="637">
        <f>IFERROR(VLOOKUP($B111,'Afton FY16 Final'!$A$5:$BV$587,'Afton FY16 Final'!AS$587,0),0)</f>
        <v>227315.24747169824</v>
      </c>
      <c r="G111" s="637">
        <f>IFERROR(VLOOKUP($B111,'Afton FY16 Final'!$A$5:$BV$587,'Afton FY16 Final'!AT$587,0),0)</f>
        <v>160621.37763384418</v>
      </c>
      <c r="H111" s="638">
        <f>IFERROR(VLOOKUP($B111,'Afton FY16 Final'!$A$5:$BV$587,'Afton FY16 Final'!AU$587,0),0)</f>
        <v>1128102.7532591075</v>
      </c>
      <c r="I111" s="639" t="str">
        <f>VLOOKUP($B111,'Afton Update'!$A$5:$CR$582,'Afton Update'!BT$589,0)</f>
        <v>Y</v>
      </c>
      <c r="J111" s="640" t="str">
        <f>VLOOKUP($B111,'Afton Update'!$A$5:$CR$582,'Afton Update'!BU$589,0)</f>
        <v>Y</v>
      </c>
      <c r="K111" s="640" t="str">
        <f>VLOOKUP($B111,'Afton Update'!$A$5:$CR$582,'Afton Update'!BV$589,0)</f>
        <v>Y</v>
      </c>
      <c r="L111" s="641" t="str">
        <f>VLOOKUP($B111,'Afton Update'!$A$5:$CR$582,'Afton Update'!BW$589,0)</f>
        <v>Y</v>
      </c>
      <c r="N111" s="642">
        <f>VLOOKUP($B111,'Afton Update'!$A$5:$CR$582,'Afton Update'!CB$589,0)</f>
        <v>0.9</v>
      </c>
      <c r="P111" s="636">
        <f>VLOOKUP($B111,'Afton Update'!$A$5:$CR$582,'Afton Update'!AH$589,0)</f>
        <v>623087.50941505958</v>
      </c>
      <c r="Q111" s="637">
        <f>VLOOKUP($B111,'Afton Update'!$A$5:$CR$582,'Afton Update'!AI$589,0)</f>
        <v>150627.95271798526</v>
      </c>
      <c r="R111" s="637">
        <f>VLOOKUP($B111,'Afton Update'!$A$5:$CR$582,'Afton Update'!AJ$589,0)</f>
        <v>258608.57261667232</v>
      </c>
      <c r="S111" s="637">
        <f>VLOOKUP($B111,'Afton Update'!$A$5:$CR$582,'Afton Update'!AK$589,0)</f>
        <v>200008.69731651261</v>
      </c>
      <c r="T111" s="643">
        <f t="shared" si="145"/>
        <v>1232332.7320662299</v>
      </c>
      <c r="V111" s="636">
        <f t="shared" si="193"/>
        <v>614588.19136317656</v>
      </c>
      <c r="W111" s="637">
        <f t="shared" si="194"/>
        <v>145666.81866559884</v>
      </c>
      <c r="X111" s="637">
        <f t="shared" si="195"/>
        <v>256256.62861862316</v>
      </c>
      <c r="Y111" s="637">
        <f t="shared" si="196"/>
        <v>197804.96150613087</v>
      </c>
      <c r="Z111" s="643">
        <f t="shared" si="197"/>
        <v>1214316.6001535296</v>
      </c>
      <c r="AB111" s="644">
        <f t="shared" si="146"/>
        <v>623087.50941505958</v>
      </c>
      <c r="AC111" s="645">
        <f t="shared" si="134"/>
        <v>538829.66380485334</v>
      </c>
      <c r="AD111" s="644">
        <f t="shared" si="198"/>
        <v>0</v>
      </c>
      <c r="AE111" s="645">
        <f t="shared" si="199"/>
        <v>623087.50941505958</v>
      </c>
      <c r="AF111" s="646">
        <f t="shared" si="200"/>
        <v>-7723.6379169987295</v>
      </c>
      <c r="AG111" s="647">
        <f t="shared" si="201"/>
        <v>615363.87149806088</v>
      </c>
      <c r="AH111" s="644">
        <f t="shared" si="147"/>
        <v>0</v>
      </c>
      <c r="AI111" s="645">
        <f t="shared" si="148"/>
        <v>615363.87149806088</v>
      </c>
      <c r="AJ111" s="646">
        <f t="shared" si="202"/>
        <v>-775.18595145279255</v>
      </c>
      <c r="AK111" s="647">
        <f t="shared" si="149"/>
        <v>614588.68554660806</v>
      </c>
      <c r="AL111" s="644">
        <f t="shared" si="203"/>
        <v>0</v>
      </c>
      <c r="AM111" s="645">
        <f t="shared" si="204"/>
        <v>614588.68554660806</v>
      </c>
      <c r="AN111" s="646">
        <f t="shared" si="205"/>
        <v>-0.4941834314897815</v>
      </c>
      <c r="AO111" s="647">
        <f t="shared" si="150"/>
        <v>614588.19136317656</v>
      </c>
      <c r="AP111" s="644">
        <f t="shared" si="206"/>
        <v>0</v>
      </c>
      <c r="AQ111" s="645">
        <f t="shared" si="207"/>
        <v>614588.19136317656</v>
      </c>
      <c r="AR111" s="646">
        <f t="shared" si="208"/>
        <v>0</v>
      </c>
      <c r="AS111" s="647">
        <f t="shared" si="151"/>
        <v>614588.19136317656</v>
      </c>
      <c r="AT111" s="644">
        <f t="shared" si="209"/>
        <v>0</v>
      </c>
      <c r="AU111" s="645">
        <f t="shared" si="210"/>
        <v>614588.19136317656</v>
      </c>
      <c r="AV111" s="646">
        <f t="shared" si="211"/>
        <v>0</v>
      </c>
      <c r="AW111" s="647">
        <f t="shared" si="152"/>
        <v>614588.19136317656</v>
      </c>
      <c r="AY111" s="644">
        <f t="shared" si="212"/>
        <v>150627.95271798526</v>
      </c>
      <c r="AZ111" s="645">
        <f t="shared" si="153"/>
        <v>127319.85153335522</v>
      </c>
      <c r="BA111" s="644">
        <f t="shared" si="213"/>
        <v>0</v>
      </c>
      <c r="BB111" s="645">
        <f t="shared" si="214"/>
        <v>150627.95271798526</v>
      </c>
      <c r="BC111" s="646">
        <f t="shared" si="215"/>
        <v>-1083.2095055662114</v>
      </c>
      <c r="BD111" s="647">
        <f t="shared" si="216"/>
        <v>149544.74321241904</v>
      </c>
      <c r="BE111" s="644">
        <f t="shared" si="154"/>
        <v>0</v>
      </c>
      <c r="BF111" s="645">
        <f t="shared" si="155"/>
        <v>149544.74321241904</v>
      </c>
      <c r="BG111" s="646">
        <f t="shared" si="217"/>
        <v>-3562.0339131463065</v>
      </c>
      <c r="BH111" s="647">
        <f t="shared" si="156"/>
        <v>145982.70929927274</v>
      </c>
      <c r="BI111" s="644">
        <f t="shared" si="218"/>
        <v>0</v>
      </c>
      <c r="BJ111" s="645">
        <f t="shared" si="219"/>
        <v>145982.70929927274</v>
      </c>
      <c r="BK111" s="646">
        <f t="shared" si="220"/>
        <v>-309.22566554808498</v>
      </c>
      <c r="BL111" s="647">
        <f t="shared" si="157"/>
        <v>145673.48363372465</v>
      </c>
      <c r="BM111" s="644">
        <f t="shared" si="221"/>
        <v>0</v>
      </c>
      <c r="BN111" s="645">
        <f t="shared" si="222"/>
        <v>145673.48363372465</v>
      </c>
      <c r="BO111" s="646">
        <f t="shared" si="223"/>
        <v>-6.6649681258230942</v>
      </c>
      <c r="BP111" s="647">
        <f t="shared" si="158"/>
        <v>145666.81866559884</v>
      </c>
      <c r="BQ111" s="644">
        <f t="shared" si="224"/>
        <v>0</v>
      </c>
      <c r="BR111" s="645">
        <f t="shared" si="225"/>
        <v>145666.81866559884</v>
      </c>
      <c r="BS111" s="646">
        <f t="shared" si="226"/>
        <v>0</v>
      </c>
      <c r="BT111" s="647">
        <f t="shared" si="159"/>
        <v>145666.81866559884</v>
      </c>
      <c r="BU111" s="662">
        <f>VLOOKUP(B111,'Afton Update'!$A$5:$AR$582,'Afton Update'!$AO$589,0)-BT111</f>
        <v>0</v>
      </c>
      <c r="BV111" s="644">
        <f t="shared" si="227"/>
        <v>258608.57261667232</v>
      </c>
      <c r="BW111" s="645">
        <f t="shared" si="135"/>
        <v>204583.72272452843</v>
      </c>
      <c r="BX111" s="644">
        <f t="shared" si="228"/>
        <v>0</v>
      </c>
      <c r="BY111" s="645">
        <f t="shared" si="229"/>
        <v>258608.57261667232</v>
      </c>
      <c r="BZ111" s="646">
        <f t="shared" si="230"/>
        <v>-2269.834936812812</v>
      </c>
      <c r="CA111" s="647">
        <f t="shared" si="231"/>
        <v>256338.73767985951</v>
      </c>
      <c r="CB111" s="644">
        <f t="shared" si="160"/>
        <v>0</v>
      </c>
      <c r="CC111" s="645">
        <f t="shared" si="161"/>
        <v>256338.73767985951</v>
      </c>
      <c r="CD111" s="646">
        <f t="shared" si="232"/>
        <v>-82.109061236356808</v>
      </c>
      <c r="CE111" s="647">
        <f t="shared" si="162"/>
        <v>256256.62861862316</v>
      </c>
      <c r="CF111" s="644">
        <f t="shared" si="233"/>
        <v>0</v>
      </c>
      <c r="CG111" s="645">
        <f t="shared" si="234"/>
        <v>256256.62861862316</v>
      </c>
      <c r="CH111" s="646">
        <f t="shared" si="235"/>
        <v>0</v>
      </c>
      <c r="CI111" s="647">
        <f t="shared" si="163"/>
        <v>256256.62861862316</v>
      </c>
      <c r="CJ111" s="644">
        <f t="shared" si="236"/>
        <v>0</v>
      </c>
      <c r="CK111" s="645">
        <f t="shared" si="237"/>
        <v>256256.62861862316</v>
      </c>
      <c r="CL111" s="646">
        <f t="shared" si="238"/>
        <v>0</v>
      </c>
      <c r="CM111" s="647">
        <f t="shared" si="164"/>
        <v>256256.62861862316</v>
      </c>
      <c r="CN111" s="644">
        <f t="shared" si="239"/>
        <v>0</v>
      </c>
      <c r="CO111" s="645">
        <f t="shared" si="240"/>
        <v>256256.62861862316</v>
      </c>
      <c r="CP111" s="646">
        <f t="shared" si="241"/>
        <v>0</v>
      </c>
      <c r="CQ111" s="647">
        <f t="shared" si="165"/>
        <v>256256.62861862316</v>
      </c>
      <c r="CS111" s="644">
        <f t="shared" si="242"/>
        <v>200008.69731651261</v>
      </c>
      <c r="CT111" s="645">
        <f t="shared" si="136"/>
        <v>144559.23987045977</v>
      </c>
      <c r="CU111" s="644">
        <f t="shared" si="243"/>
        <v>0</v>
      </c>
      <c r="CV111" s="645">
        <f t="shared" si="244"/>
        <v>200008.69731651261</v>
      </c>
      <c r="CW111" s="646">
        <f t="shared" si="245"/>
        <v>-2048.2020898312735</v>
      </c>
      <c r="CX111" s="647">
        <f t="shared" si="246"/>
        <v>197960.49522668135</v>
      </c>
      <c r="CY111" s="644">
        <f t="shared" si="166"/>
        <v>0</v>
      </c>
      <c r="CZ111" s="645">
        <f t="shared" si="167"/>
        <v>197960.49522668135</v>
      </c>
      <c r="DA111" s="646">
        <f t="shared" si="247"/>
        <v>-155.39970765801613</v>
      </c>
      <c r="DB111" s="647">
        <f t="shared" si="168"/>
        <v>197805.09551902334</v>
      </c>
      <c r="DC111" s="644">
        <f t="shared" si="248"/>
        <v>0</v>
      </c>
      <c r="DD111" s="645">
        <f t="shared" si="249"/>
        <v>197805.09551902334</v>
      </c>
      <c r="DE111" s="646">
        <f t="shared" si="250"/>
        <v>-0.13401289245305567</v>
      </c>
      <c r="DF111" s="647">
        <f t="shared" si="169"/>
        <v>197804.96150613087</v>
      </c>
      <c r="DG111" s="644">
        <f t="shared" si="251"/>
        <v>0</v>
      </c>
      <c r="DH111" s="645">
        <f t="shared" si="252"/>
        <v>197804.96150613087</v>
      </c>
      <c r="DI111" s="646">
        <f t="shared" si="253"/>
        <v>0</v>
      </c>
      <c r="DJ111" s="647">
        <f t="shared" si="170"/>
        <v>197804.96150613087</v>
      </c>
      <c r="DK111" s="644">
        <f t="shared" si="254"/>
        <v>0</v>
      </c>
      <c r="DL111" s="645">
        <f t="shared" si="255"/>
        <v>197804.96150613087</v>
      </c>
      <c r="DM111" s="646">
        <f t="shared" si="256"/>
        <v>0</v>
      </c>
      <c r="DN111" s="647">
        <f t="shared" si="171"/>
        <v>197804.96150613087</v>
      </c>
      <c r="DR111" s="827">
        <f t="shared" si="172"/>
        <v>1214316.6001535296</v>
      </c>
      <c r="DV111" s="828">
        <f>IFERROR(VLOOKUP($B111,'Afton FY16 Final'!$A$5:$BV$587,'Afton FY16 Final'!$BV$587,0),0)</f>
        <v>1029813.2740337856</v>
      </c>
      <c r="DX111" s="636">
        <f t="shared" si="137"/>
        <v>1214316.6001535296</v>
      </c>
      <c r="DY111" s="637">
        <f t="shared" si="138"/>
        <v>184503.32611974399</v>
      </c>
      <c r="DZ111" s="637">
        <f t="shared" si="139"/>
        <v>1029813.2740337856</v>
      </c>
      <c r="EA111" s="643">
        <f t="shared" si="140"/>
        <v>1149728.5663583842</v>
      </c>
      <c r="EB111" s="637">
        <f t="shared" si="173"/>
        <v>0</v>
      </c>
      <c r="EC111" s="637">
        <f t="shared" si="174"/>
        <v>1149728.5663583842</v>
      </c>
      <c r="ED111" s="637">
        <f t="shared" si="175"/>
        <v>1146300.1444211819</v>
      </c>
      <c r="EE111" s="643">
        <f t="shared" si="176"/>
        <v>1146300.1444211819</v>
      </c>
      <c r="EF111" s="637">
        <f t="shared" si="177"/>
        <v>0</v>
      </c>
      <c r="EG111" s="637">
        <f t="shared" si="178"/>
        <v>1146300.1444211819</v>
      </c>
      <c r="EH111" s="637">
        <f t="shared" si="179"/>
        <v>1146298.9618280663</v>
      </c>
      <c r="EI111" s="643">
        <f t="shared" si="180"/>
        <v>1146298.9618280663</v>
      </c>
      <c r="EJ111" s="637">
        <f t="shared" si="181"/>
        <v>0</v>
      </c>
      <c r="EK111" s="637">
        <f t="shared" si="182"/>
        <v>1146298.9618280663</v>
      </c>
      <c r="EL111" s="637">
        <f t="shared" si="183"/>
        <v>1146298.9618280646</v>
      </c>
      <c r="EM111" s="643">
        <f t="shared" si="184"/>
        <v>1146298.9618280646</v>
      </c>
      <c r="EN111" s="637">
        <f t="shared" si="185"/>
        <v>0</v>
      </c>
      <c r="EO111" s="637">
        <f t="shared" si="186"/>
        <v>1146298.9618280646</v>
      </c>
      <c r="EP111" s="637">
        <f t="shared" si="187"/>
        <v>1146298.9618280665</v>
      </c>
      <c r="EQ111" s="643">
        <f t="shared" si="188"/>
        <v>1146298.9618280665</v>
      </c>
      <c r="ER111" s="637">
        <f t="shared" si="189"/>
        <v>0</v>
      </c>
      <c r="ES111" s="637">
        <f t="shared" si="190"/>
        <v>1146298.9618280665</v>
      </c>
      <c r="ET111" s="637">
        <f t="shared" si="191"/>
        <v>1146298.9618280646</v>
      </c>
      <c r="EU111" s="643">
        <f t="shared" si="141"/>
        <v>1146298.9618280646</v>
      </c>
      <c r="EV111" s="643">
        <f t="shared" si="142"/>
        <v>0</v>
      </c>
      <c r="EX111" s="829">
        <f t="shared" si="143"/>
        <v>68017.638325464912</v>
      </c>
      <c r="EY111" s="638">
        <f t="shared" si="144"/>
        <v>1146298.9618280646</v>
      </c>
      <c r="FC111" s="830" t="str">
        <f t="shared" si="192"/>
        <v>Y</v>
      </c>
      <c r="FE111" s="830" t="str">
        <f>IFERROR(VLOOKUP($B111,'Historical Conc Grant Elig'!$B$3:$J$707,'HH &amp; SI'!FE$2,0),"N")</f>
        <v>Y</v>
      </c>
      <c r="FF111" s="830" t="str">
        <f>IFERROR(VLOOKUP($B111,'Historical Conc Grant Elig'!$B$3:$J$707,'HH &amp; SI'!FF$2,0),"N")</f>
        <v>Y</v>
      </c>
      <c r="FG111" s="830" t="str">
        <f>IFERROR(VLOOKUP($B111,'Historical Conc Grant Elig'!$B$3:$J$707,'HH &amp; SI'!FG$2,0),"N")</f>
        <v>Y</v>
      </c>
      <c r="FH111" s="830" t="str">
        <f>IFERROR(VLOOKUP($B111,'Historical Conc Grant Elig'!$B$3:$J$707,'HH &amp; SI'!FH$2,0),"N")</f>
        <v>Y</v>
      </c>
      <c r="FI111" s="830" t="str">
        <f>IFERROR(VLOOKUP($B111,'Historical Conc Grant Elig'!$B$3:$J$707,'HH &amp; SI'!FI$2,0),"N")</f>
        <v>Y</v>
      </c>
      <c r="FJ111" s="830" t="str">
        <f>IFERROR(VLOOKUP($B111,'Historical Conc Grant Elig'!$B$3:$J$707,'HH &amp; SI'!FJ$2,0),"N")</f>
        <v>Y</v>
      </c>
      <c r="FK111" s="830" t="str">
        <f>IFERROR(VLOOKUP($B111,'Historical Conc Grant Elig'!$B$3:$J$707,'HH &amp; SI'!FK$2,0),"N")</f>
        <v>Y</v>
      </c>
      <c r="FL111" s="957" t="str">
        <f>IFERROR(VLOOKUP($B111,'Historical Conc Grant Elig'!$B$3:$J$707,'HH &amp; SI'!FL$2,0),"N")</f>
        <v>Y</v>
      </c>
    </row>
    <row r="112" spans="2:168" x14ac:dyDescent="0.25">
      <c r="B112" s="634">
        <v>70438000</v>
      </c>
      <c r="C112" s="635" t="str">
        <f>VLOOKUP($B112,'Afton Update'!$A$5:$CR$582,'Afton Update'!D$589,0)</f>
        <v>Madison Elementary District</v>
      </c>
      <c r="D112" s="636">
        <f>IFERROR(VLOOKUP($B112,'Afton FY16 Final'!$A$5:$BV$587,'Afton FY16 Final'!AQ$587,0),0)</f>
        <v>453952.48362965393</v>
      </c>
      <c r="E112" s="637">
        <f>IFERROR(VLOOKUP($B112,'Afton FY16 Final'!$A$5:$BV$587,'Afton FY16 Final'!AR$587,0),0)</f>
        <v>107725.96340999176</v>
      </c>
      <c r="F112" s="637">
        <f>IFERROR(VLOOKUP($B112,'Afton FY16 Final'!$A$5:$BV$587,'Afton FY16 Final'!AS$587,0),0)</f>
        <v>150526.55836043556</v>
      </c>
      <c r="G112" s="637">
        <f>IFERROR(VLOOKUP($B112,'Afton FY16 Final'!$A$5:$BV$587,'Afton FY16 Final'!AT$587,0),0)</f>
        <v>110810.64054667119</v>
      </c>
      <c r="H112" s="638">
        <f>IFERROR(VLOOKUP($B112,'Afton FY16 Final'!$A$5:$BV$587,'Afton FY16 Final'!AU$587,0),0)</f>
        <v>823015.6459467524</v>
      </c>
      <c r="I112" s="639" t="str">
        <f>VLOOKUP($B112,'Afton Update'!$A$5:$CR$582,'Afton Update'!BT$589,0)</f>
        <v>Y</v>
      </c>
      <c r="J112" s="640" t="str">
        <f>VLOOKUP($B112,'Afton Update'!$A$5:$CR$582,'Afton Update'!BU$589,0)</f>
        <v>Y</v>
      </c>
      <c r="K112" s="640" t="str">
        <f>VLOOKUP($B112,'Afton Update'!$A$5:$CR$582,'Afton Update'!BV$589,0)</f>
        <v>Y</v>
      </c>
      <c r="L112" s="641" t="str">
        <f>VLOOKUP($B112,'Afton Update'!$A$5:$CR$582,'Afton Update'!BW$589,0)</f>
        <v>Y</v>
      </c>
      <c r="N112" s="642">
        <f>VLOOKUP($B112,'Afton Update'!$A$5:$CR$582,'Afton Update'!CB$589,0)</f>
        <v>0.9</v>
      </c>
      <c r="P112" s="636">
        <f>VLOOKUP($B112,'Afton Update'!$A$5:$CR$582,'Afton Update'!AH$589,0)</f>
        <v>456375.13231404038</v>
      </c>
      <c r="Q112" s="637">
        <f>VLOOKUP($B112,'Afton Update'!$A$5:$CR$582,'Afton Update'!AI$589,0)</f>
        <v>110896.27878215795</v>
      </c>
      <c r="R112" s="637">
        <f>VLOOKUP($B112,'Afton Update'!$A$5:$CR$582,'Afton Update'!AJ$589,0)</f>
        <v>163204.57309269669</v>
      </c>
      <c r="S112" s="637">
        <f>VLOOKUP($B112,'Afton Update'!$A$5:$CR$582,'Afton Update'!AK$589,0)</f>
        <v>126688.66613696099</v>
      </c>
      <c r="T112" s="643">
        <f t="shared" si="145"/>
        <v>857164.65032585606</v>
      </c>
      <c r="V112" s="636">
        <f t="shared" si="193"/>
        <v>450149.87929276156</v>
      </c>
      <c r="W112" s="637">
        <f t="shared" si="194"/>
        <v>107243.76080643293</v>
      </c>
      <c r="X112" s="637">
        <f t="shared" si="195"/>
        <v>161720.29122123486</v>
      </c>
      <c r="Y112" s="637">
        <f t="shared" si="196"/>
        <v>125292.78508737992</v>
      </c>
      <c r="Z112" s="643">
        <f t="shared" si="197"/>
        <v>844406.71640780917</v>
      </c>
      <c r="AB112" s="644">
        <f t="shared" si="146"/>
        <v>456375.13231404038</v>
      </c>
      <c r="AC112" s="645">
        <f t="shared" si="134"/>
        <v>408557.23526668857</v>
      </c>
      <c r="AD112" s="644">
        <f t="shared" si="198"/>
        <v>0</v>
      </c>
      <c r="AE112" s="645">
        <f t="shared" si="199"/>
        <v>456375.13231404038</v>
      </c>
      <c r="AF112" s="646">
        <f t="shared" si="200"/>
        <v>-5657.1127218151241</v>
      </c>
      <c r="AG112" s="647">
        <f t="shared" si="201"/>
        <v>450718.01959222526</v>
      </c>
      <c r="AH112" s="644">
        <f t="shared" si="147"/>
        <v>0</v>
      </c>
      <c r="AI112" s="645">
        <f t="shared" si="148"/>
        <v>450718.01959222526</v>
      </c>
      <c r="AJ112" s="646">
        <f t="shared" si="202"/>
        <v>-567.77833902395184</v>
      </c>
      <c r="AK112" s="647">
        <f t="shared" si="149"/>
        <v>450150.24125320133</v>
      </c>
      <c r="AL112" s="644">
        <f t="shared" si="203"/>
        <v>0</v>
      </c>
      <c r="AM112" s="645">
        <f t="shared" si="204"/>
        <v>450150.24125320133</v>
      </c>
      <c r="AN112" s="646">
        <f t="shared" si="205"/>
        <v>-0.36196043978683007</v>
      </c>
      <c r="AO112" s="647">
        <f t="shared" si="150"/>
        <v>450149.87929276156</v>
      </c>
      <c r="AP112" s="644">
        <f t="shared" si="206"/>
        <v>0</v>
      </c>
      <c r="AQ112" s="645">
        <f t="shared" si="207"/>
        <v>450149.87929276156</v>
      </c>
      <c r="AR112" s="646">
        <f t="shared" si="208"/>
        <v>0</v>
      </c>
      <c r="AS112" s="647">
        <f t="shared" si="151"/>
        <v>450149.87929276156</v>
      </c>
      <c r="AT112" s="644">
        <f t="shared" si="209"/>
        <v>0</v>
      </c>
      <c r="AU112" s="645">
        <f t="shared" si="210"/>
        <v>450149.87929276156</v>
      </c>
      <c r="AV112" s="646">
        <f t="shared" si="211"/>
        <v>0</v>
      </c>
      <c r="AW112" s="647">
        <f t="shared" si="152"/>
        <v>450149.87929276156</v>
      </c>
      <c r="AY112" s="644">
        <f t="shared" si="212"/>
        <v>110896.27878215795</v>
      </c>
      <c r="AZ112" s="645">
        <f t="shared" si="153"/>
        <v>96953.367068992593</v>
      </c>
      <c r="BA112" s="644">
        <f t="shared" si="213"/>
        <v>0</v>
      </c>
      <c r="BB112" s="645">
        <f t="shared" si="214"/>
        <v>110896.27878215795</v>
      </c>
      <c r="BC112" s="646">
        <f t="shared" si="215"/>
        <v>-797.48745927429081</v>
      </c>
      <c r="BD112" s="647">
        <f t="shared" si="216"/>
        <v>110098.79132288367</v>
      </c>
      <c r="BE112" s="644">
        <f t="shared" si="154"/>
        <v>0</v>
      </c>
      <c r="BF112" s="645">
        <f t="shared" si="155"/>
        <v>110098.79132288367</v>
      </c>
      <c r="BG112" s="646">
        <f t="shared" si="217"/>
        <v>-2622.4634852692129</v>
      </c>
      <c r="BH112" s="647">
        <f t="shared" si="156"/>
        <v>107476.32783761446</v>
      </c>
      <c r="BI112" s="644">
        <f t="shared" si="218"/>
        <v>0</v>
      </c>
      <c r="BJ112" s="645">
        <f t="shared" si="219"/>
        <v>107476.32783761446</v>
      </c>
      <c r="BK112" s="646">
        <f t="shared" si="220"/>
        <v>-227.66010554111608</v>
      </c>
      <c r="BL112" s="647">
        <f t="shared" si="157"/>
        <v>107248.66773207334</v>
      </c>
      <c r="BM112" s="644">
        <f t="shared" si="221"/>
        <v>0</v>
      </c>
      <c r="BN112" s="645">
        <f t="shared" si="222"/>
        <v>107248.66773207334</v>
      </c>
      <c r="BO112" s="646">
        <f t="shared" si="223"/>
        <v>-4.9069256404174872</v>
      </c>
      <c r="BP112" s="647">
        <f t="shared" si="158"/>
        <v>107243.76080643293</v>
      </c>
      <c r="BQ112" s="644">
        <f t="shared" si="224"/>
        <v>0</v>
      </c>
      <c r="BR112" s="645">
        <f t="shared" si="225"/>
        <v>107243.76080643293</v>
      </c>
      <c r="BS112" s="646">
        <f t="shared" si="226"/>
        <v>0</v>
      </c>
      <c r="BT112" s="647">
        <f t="shared" si="159"/>
        <v>107243.76080643293</v>
      </c>
      <c r="BU112" s="662">
        <f>VLOOKUP(B112,'Afton Update'!$A$5:$AR$582,'Afton Update'!$AO$589,0)-BT112</f>
        <v>0</v>
      </c>
      <c r="BV112" s="644">
        <f t="shared" si="227"/>
        <v>163204.57309269669</v>
      </c>
      <c r="BW112" s="645">
        <f t="shared" si="135"/>
        <v>135473.902524392</v>
      </c>
      <c r="BX112" s="644">
        <f t="shared" si="228"/>
        <v>0</v>
      </c>
      <c r="BY112" s="645">
        <f t="shared" si="229"/>
        <v>163204.57309269669</v>
      </c>
      <c r="BZ112" s="646">
        <f t="shared" si="230"/>
        <v>-1432.4638897509644</v>
      </c>
      <c r="CA112" s="647">
        <f t="shared" si="231"/>
        <v>161772.10920294572</v>
      </c>
      <c r="CB112" s="644">
        <f t="shared" si="160"/>
        <v>0</v>
      </c>
      <c r="CC112" s="645">
        <f t="shared" si="161"/>
        <v>161772.10920294572</v>
      </c>
      <c r="CD112" s="646">
        <f t="shared" si="232"/>
        <v>-51.817981710857552</v>
      </c>
      <c r="CE112" s="647">
        <f t="shared" si="162"/>
        <v>161720.29122123486</v>
      </c>
      <c r="CF112" s="644">
        <f t="shared" si="233"/>
        <v>0</v>
      </c>
      <c r="CG112" s="645">
        <f t="shared" si="234"/>
        <v>161720.29122123486</v>
      </c>
      <c r="CH112" s="646">
        <f t="shared" si="235"/>
        <v>0</v>
      </c>
      <c r="CI112" s="647">
        <f t="shared" si="163"/>
        <v>161720.29122123486</v>
      </c>
      <c r="CJ112" s="644">
        <f t="shared" si="236"/>
        <v>0</v>
      </c>
      <c r="CK112" s="645">
        <f t="shared" si="237"/>
        <v>161720.29122123486</v>
      </c>
      <c r="CL112" s="646">
        <f t="shared" si="238"/>
        <v>0</v>
      </c>
      <c r="CM112" s="647">
        <f t="shared" si="164"/>
        <v>161720.29122123486</v>
      </c>
      <c r="CN112" s="644">
        <f t="shared" si="239"/>
        <v>0</v>
      </c>
      <c r="CO112" s="645">
        <f t="shared" si="240"/>
        <v>161720.29122123486</v>
      </c>
      <c r="CP112" s="646">
        <f t="shared" si="241"/>
        <v>0</v>
      </c>
      <c r="CQ112" s="647">
        <f t="shared" si="165"/>
        <v>161720.29122123486</v>
      </c>
      <c r="CS112" s="644">
        <f t="shared" si="242"/>
        <v>126688.66613696099</v>
      </c>
      <c r="CT112" s="645">
        <f t="shared" si="136"/>
        <v>99729.576492004067</v>
      </c>
      <c r="CU112" s="644">
        <f t="shared" si="243"/>
        <v>0</v>
      </c>
      <c r="CV112" s="645">
        <f t="shared" si="244"/>
        <v>126688.66613696099</v>
      </c>
      <c r="CW112" s="646">
        <f t="shared" si="245"/>
        <v>-1297.3635357917865</v>
      </c>
      <c r="CX112" s="647">
        <f t="shared" si="246"/>
        <v>125391.30260116921</v>
      </c>
      <c r="CY112" s="644">
        <f t="shared" si="166"/>
        <v>0</v>
      </c>
      <c r="CZ112" s="645">
        <f t="shared" si="167"/>
        <v>125391.30260116921</v>
      </c>
      <c r="DA112" s="646">
        <f t="shared" si="247"/>
        <v>-98.432627907738308</v>
      </c>
      <c r="DB112" s="647">
        <f t="shared" si="168"/>
        <v>125292.86997326148</v>
      </c>
      <c r="DC112" s="644">
        <f t="shared" si="248"/>
        <v>0</v>
      </c>
      <c r="DD112" s="645">
        <f t="shared" si="249"/>
        <v>125292.86997326148</v>
      </c>
      <c r="DE112" s="646">
        <f t="shared" si="250"/>
        <v>-8.488588155327155E-2</v>
      </c>
      <c r="DF112" s="647">
        <f t="shared" si="169"/>
        <v>125292.78508737992</v>
      </c>
      <c r="DG112" s="644">
        <f t="shared" si="251"/>
        <v>0</v>
      </c>
      <c r="DH112" s="645">
        <f t="shared" si="252"/>
        <v>125292.78508737992</v>
      </c>
      <c r="DI112" s="646">
        <f t="shared" si="253"/>
        <v>0</v>
      </c>
      <c r="DJ112" s="647">
        <f t="shared" si="170"/>
        <v>125292.78508737992</v>
      </c>
      <c r="DK112" s="644">
        <f t="shared" si="254"/>
        <v>0</v>
      </c>
      <c r="DL112" s="645">
        <f t="shared" si="255"/>
        <v>125292.78508737992</v>
      </c>
      <c r="DM112" s="646">
        <f t="shared" si="256"/>
        <v>0</v>
      </c>
      <c r="DN112" s="647">
        <f t="shared" si="171"/>
        <v>125292.78508737992</v>
      </c>
      <c r="DR112" s="827">
        <f t="shared" si="172"/>
        <v>844406.71640780917</v>
      </c>
      <c r="DV112" s="828">
        <f>IFERROR(VLOOKUP($B112,'Afton FY16 Final'!$A$5:$BV$587,'Afton FY16 Final'!$BV$587,0),0)</f>
        <v>781402.67271560838</v>
      </c>
      <c r="DX112" s="636">
        <f t="shared" si="137"/>
        <v>844406.71640780917</v>
      </c>
      <c r="DY112" s="637">
        <f t="shared" si="138"/>
        <v>63004.043692200794</v>
      </c>
      <c r="DZ112" s="637">
        <f t="shared" si="139"/>
        <v>781402.67271560838</v>
      </c>
      <c r="EA112" s="643">
        <f t="shared" si="140"/>
        <v>799493.74269955221</v>
      </c>
      <c r="EB112" s="637">
        <f t="shared" si="173"/>
        <v>0</v>
      </c>
      <c r="EC112" s="637">
        <f t="shared" si="174"/>
        <v>799493.74269955221</v>
      </c>
      <c r="ED112" s="637">
        <f t="shared" si="175"/>
        <v>797109.70009477553</v>
      </c>
      <c r="EE112" s="643">
        <f t="shared" si="176"/>
        <v>797109.70009477553</v>
      </c>
      <c r="EF112" s="637">
        <f t="shared" si="177"/>
        <v>0</v>
      </c>
      <c r="EG112" s="637">
        <f t="shared" si="178"/>
        <v>797109.70009477553</v>
      </c>
      <c r="EH112" s="637">
        <f t="shared" si="179"/>
        <v>797108.87774781149</v>
      </c>
      <c r="EI112" s="643">
        <f t="shared" si="180"/>
        <v>797108.87774781149</v>
      </c>
      <c r="EJ112" s="637">
        <f t="shared" si="181"/>
        <v>0</v>
      </c>
      <c r="EK112" s="637">
        <f t="shared" si="182"/>
        <v>797108.87774781149</v>
      </c>
      <c r="EL112" s="637">
        <f t="shared" si="183"/>
        <v>797108.87774781033</v>
      </c>
      <c r="EM112" s="643">
        <f t="shared" si="184"/>
        <v>797108.87774781033</v>
      </c>
      <c r="EN112" s="637">
        <f t="shared" si="185"/>
        <v>0</v>
      </c>
      <c r="EO112" s="637">
        <f t="shared" si="186"/>
        <v>797108.87774781033</v>
      </c>
      <c r="EP112" s="637">
        <f t="shared" si="187"/>
        <v>797108.87774781161</v>
      </c>
      <c r="EQ112" s="643">
        <f t="shared" si="188"/>
        <v>797108.87774781161</v>
      </c>
      <c r="ER112" s="637">
        <f t="shared" si="189"/>
        <v>0</v>
      </c>
      <c r="ES112" s="637">
        <f t="shared" si="190"/>
        <v>797108.87774781161</v>
      </c>
      <c r="ET112" s="637">
        <f t="shared" si="191"/>
        <v>797108.87774781033</v>
      </c>
      <c r="EU112" s="643">
        <f t="shared" si="141"/>
        <v>797108.87774781033</v>
      </c>
      <c r="EV112" s="643">
        <f t="shared" si="142"/>
        <v>0</v>
      </c>
      <c r="EX112" s="829">
        <f t="shared" si="143"/>
        <v>47297.838659998844</v>
      </c>
      <c r="EY112" s="638">
        <f t="shared" si="144"/>
        <v>797108.87774781033</v>
      </c>
      <c r="FC112" s="830" t="str">
        <f t="shared" si="192"/>
        <v>Y</v>
      </c>
      <c r="FE112" s="830" t="str">
        <f>IFERROR(VLOOKUP($B112,'Historical Conc Grant Elig'!$B$3:$J$707,'HH &amp; SI'!FE$2,0),"N")</f>
        <v>N</v>
      </c>
      <c r="FF112" s="830" t="str">
        <f>IFERROR(VLOOKUP($B112,'Historical Conc Grant Elig'!$B$3:$J$707,'HH &amp; SI'!FF$2,0),"N")</f>
        <v>N</v>
      </c>
      <c r="FG112" s="830" t="str">
        <f>IFERROR(VLOOKUP($B112,'Historical Conc Grant Elig'!$B$3:$J$707,'HH &amp; SI'!FG$2,0),"N")</f>
        <v>Y</v>
      </c>
      <c r="FH112" s="830" t="str">
        <f>IFERROR(VLOOKUP($B112,'Historical Conc Grant Elig'!$B$3:$J$707,'HH &amp; SI'!FH$2,0),"N")</f>
        <v>Y</v>
      </c>
      <c r="FI112" s="830" t="str">
        <f>IFERROR(VLOOKUP($B112,'Historical Conc Grant Elig'!$B$3:$J$707,'HH &amp; SI'!FI$2,0),"N")</f>
        <v>Y</v>
      </c>
      <c r="FJ112" s="830" t="str">
        <f>IFERROR(VLOOKUP($B112,'Historical Conc Grant Elig'!$B$3:$J$707,'HH &amp; SI'!FJ$2,0),"N")</f>
        <v>Y</v>
      </c>
      <c r="FK112" s="830" t="str">
        <f>IFERROR(VLOOKUP($B112,'Historical Conc Grant Elig'!$B$3:$J$707,'HH &amp; SI'!FK$2,0),"N")</f>
        <v>Y</v>
      </c>
      <c r="FL112" s="957" t="str">
        <f>IFERROR(VLOOKUP($B112,'Historical Conc Grant Elig'!$B$3:$J$707,'HH &amp; SI'!FL$2,0),"N")</f>
        <v>Y</v>
      </c>
    </row>
    <row r="113" spans="2:168" x14ac:dyDescent="0.25">
      <c r="B113" s="634">
        <v>70440000</v>
      </c>
      <c r="C113" s="635" t="str">
        <f>VLOOKUP($B113,'Afton Update'!$A$5:$CR$582,'Afton Update'!D$589,0)</f>
        <v>Glendale Elementary District</v>
      </c>
      <c r="D113" s="636">
        <f>IFERROR(VLOOKUP($B113,'Afton FY16 Final'!$A$5:$BV$587,'Afton FY16 Final'!AQ$587,0),0)</f>
        <v>2691904.1417883746</v>
      </c>
      <c r="E113" s="637">
        <f>IFERROR(VLOOKUP($B113,'Afton FY16 Final'!$A$5:$BV$587,'Afton FY16 Final'!AR$587,0),0)</f>
        <v>629392.17491814692</v>
      </c>
      <c r="F113" s="637">
        <f>IFERROR(VLOOKUP($B113,'Afton FY16 Final'!$A$5:$BV$587,'Afton FY16 Final'!AS$587,0),0)</f>
        <v>1560077.3382671843</v>
      </c>
      <c r="G113" s="637">
        <f>IFERROR(VLOOKUP($B113,'Afton FY16 Final'!$A$5:$BV$587,'Afton FY16 Final'!AT$587,0),0)</f>
        <v>1293271.1373737794</v>
      </c>
      <c r="H113" s="638">
        <f>IFERROR(VLOOKUP($B113,'Afton FY16 Final'!$A$5:$BV$587,'Afton FY16 Final'!AU$587,0),0)</f>
        <v>6174644.7923474852</v>
      </c>
      <c r="I113" s="639" t="str">
        <f>VLOOKUP($B113,'Afton Update'!$A$5:$CR$582,'Afton Update'!BT$589,0)</f>
        <v>Y</v>
      </c>
      <c r="J113" s="640" t="str">
        <f>VLOOKUP($B113,'Afton Update'!$A$5:$CR$582,'Afton Update'!BU$589,0)</f>
        <v>Y</v>
      </c>
      <c r="K113" s="640" t="str">
        <f>VLOOKUP($B113,'Afton Update'!$A$5:$CR$582,'Afton Update'!BV$589,0)</f>
        <v>Y</v>
      </c>
      <c r="L113" s="641" t="str">
        <f>VLOOKUP($B113,'Afton Update'!$A$5:$CR$582,'Afton Update'!BW$589,0)</f>
        <v>Y</v>
      </c>
      <c r="N113" s="642">
        <f>VLOOKUP($B113,'Afton Update'!$A$5:$CR$582,'Afton Update'!CB$589,0)</f>
        <v>0.95</v>
      </c>
      <c r="P113" s="636">
        <f>VLOOKUP($B113,'Afton Update'!$A$5:$CR$582,'Afton Update'!AH$589,0)</f>
        <v>2767842.2408196731</v>
      </c>
      <c r="Q113" s="637">
        <f>VLOOKUP($B113,'Afton Update'!$A$5:$CR$582,'Afton Update'!AI$589,0)</f>
        <v>661775.93790240353</v>
      </c>
      <c r="R113" s="637">
        <f>VLOOKUP($B113,'Afton Update'!$A$5:$CR$582,'Afton Update'!AJ$589,0)</f>
        <v>1733111.5479549081</v>
      </c>
      <c r="S113" s="637">
        <f>VLOOKUP($B113,'Afton Update'!$A$5:$CR$582,'Afton Update'!AK$589,0)</f>
        <v>1638017.3877721666</v>
      </c>
      <c r="T113" s="643">
        <f t="shared" si="145"/>
        <v>6800747.1144491509</v>
      </c>
      <c r="V113" s="636">
        <f t="shared" si="193"/>
        <v>2730087.0761490678</v>
      </c>
      <c r="W113" s="637">
        <f t="shared" si="194"/>
        <v>639979.45802376838</v>
      </c>
      <c r="X113" s="637">
        <f t="shared" si="195"/>
        <v>1717349.575094077</v>
      </c>
      <c r="Y113" s="637">
        <f t="shared" si="196"/>
        <v>1619969.3847408332</v>
      </c>
      <c r="Z113" s="643">
        <f t="shared" si="197"/>
        <v>6707385.4940077467</v>
      </c>
      <c r="AB113" s="644">
        <f t="shared" si="146"/>
        <v>2767842.2408196731</v>
      </c>
      <c r="AC113" s="645">
        <f t="shared" si="134"/>
        <v>2557308.9346989556</v>
      </c>
      <c r="AD113" s="644">
        <f t="shared" si="198"/>
        <v>0</v>
      </c>
      <c r="AE113" s="645">
        <f t="shared" si="199"/>
        <v>2767842.2408196731</v>
      </c>
      <c r="AF113" s="646">
        <f t="shared" si="200"/>
        <v>-34309.484553035829</v>
      </c>
      <c r="AG113" s="647">
        <f t="shared" si="201"/>
        <v>2733532.7562666372</v>
      </c>
      <c r="AH113" s="644">
        <f t="shared" si="147"/>
        <v>0</v>
      </c>
      <c r="AI113" s="645">
        <f t="shared" si="148"/>
        <v>2733532.7562666372</v>
      </c>
      <c r="AJ113" s="646">
        <f t="shared" si="202"/>
        <v>-3443.4848853498302</v>
      </c>
      <c r="AK113" s="647">
        <f t="shared" si="149"/>
        <v>2730089.2713812874</v>
      </c>
      <c r="AL113" s="644">
        <f t="shared" si="203"/>
        <v>0</v>
      </c>
      <c r="AM113" s="645">
        <f t="shared" si="204"/>
        <v>2730089.2713812874</v>
      </c>
      <c r="AN113" s="646">
        <f t="shared" si="205"/>
        <v>-2.1952322197482537</v>
      </c>
      <c r="AO113" s="647">
        <f t="shared" si="150"/>
        <v>2730087.0761490678</v>
      </c>
      <c r="AP113" s="644">
        <f t="shared" si="206"/>
        <v>0</v>
      </c>
      <c r="AQ113" s="645">
        <f t="shared" si="207"/>
        <v>2730087.0761490678</v>
      </c>
      <c r="AR113" s="646">
        <f t="shared" si="208"/>
        <v>0</v>
      </c>
      <c r="AS113" s="647">
        <f t="shared" si="151"/>
        <v>2730087.0761490678</v>
      </c>
      <c r="AT113" s="644">
        <f t="shared" si="209"/>
        <v>0</v>
      </c>
      <c r="AU113" s="645">
        <f t="shared" si="210"/>
        <v>2730087.0761490678</v>
      </c>
      <c r="AV113" s="646">
        <f t="shared" si="211"/>
        <v>0</v>
      </c>
      <c r="AW113" s="647">
        <f t="shared" si="152"/>
        <v>2730087.0761490678</v>
      </c>
      <c r="AY113" s="644">
        <f t="shared" si="212"/>
        <v>661775.93790240353</v>
      </c>
      <c r="AZ113" s="645">
        <f t="shared" si="153"/>
        <v>597922.5661722396</v>
      </c>
      <c r="BA113" s="644">
        <f t="shared" si="213"/>
        <v>0</v>
      </c>
      <c r="BB113" s="645">
        <f t="shared" si="214"/>
        <v>661775.93790240353</v>
      </c>
      <c r="BC113" s="646">
        <f t="shared" si="215"/>
        <v>-4759.0236311117715</v>
      </c>
      <c r="BD113" s="647">
        <f t="shared" si="216"/>
        <v>657016.91427129181</v>
      </c>
      <c r="BE113" s="644">
        <f t="shared" si="154"/>
        <v>0</v>
      </c>
      <c r="BF113" s="645">
        <f t="shared" si="155"/>
        <v>657016.91427129181</v>
      </c>
      <c r="BG113" s="646">
        <f t="shared" si="217"/>
        <v>-15649.607467785117</v>
      </c>
      <c r="BH113" s="647">
        <f t="shared" si="156"/>
        <v>641367.30680350668</v>
      </c>
      <c r="BI113" s="644">
        <f t="shared" si="218"/>
        <v>0</v>
      </c>
      <c r="BJ113" s="645">
        <f t="shared" si="219"/>
        <v>641367.30680350668</v>
      </c>
      <c r="BK113" s="646">
        <f t="shared" si="220"/>
        <v>-1358.5665950377397</v>
      </c>
      <c r="BL113" s="647">
        <f t="shared" si="157"/>
        <v>640008.74020846898</v>
      </c>
      <c r="BM113" s="644">
        <f t="shared" si="221"/>
        <v>0</v>
      </c>
      <c r="BN113" s="645">
        <f t="shared" si="222"/>
        <v>640008.74020846898</v>
      </c>
      <c r="BO113" s="646">
        <f t="shared" si="223"/>
        <v>-29.282184700566244</v>
      </c>
      <c r="BP113" s="647">
        <f t="shared" si="158"/>
        <v>639979.45802376838</v>
      </c>
      <c r="BQ113" s="644">
        <f t="shared" si="224"/>
        <v>0</v>
      </c>
      <c r="BR113" s="645">
        <f t="shared" si="225"/>
        <v>639979.45802376838</v>
      </c>
      <c r="BS113" s="646">
        <f t="shared" si="226"/>
        <v>0</v>
      </c>
      <c r="BT113" s="647">
        <f t="shared" si="159"/>
        <v>639979.45802376838</v>
      </c>
      <c r="BU113" s="662">
        <f>VLOOKUP(B113,'Afton Update'!$A$5:$AR$582,'Afton Update'!$AO$589,0)-BT113</f>
        <v>0</v>
      </c>
      <c r="BV113" s="644">
        <f t="shared" si="227"/>
        <v>1733111.5479549081</v>
      </c>
      <c r="BW113" s="645">
        <f t="shared" si="135"/>
        <v>1482073.4713538249</v>
      </c>
      <c r="BX113" s="644">
        <f t="shared" si="228"/>
        <v>0</v>
      </c>
      <c r="BY113" s="645">
        <f t="shared" si="229"/>
        <v>1733111.5479549081</v>
      </c>
      <c r="BZ113" s="646">
        <f t="shared" si="230"/>
        <v>-15211.704318761509</v>
      </c>
      <c r="CA113" s="647">
        <f t="shared" si="231"/>
        <v>1717899.8436361465</v>
      </c>
      <c r="CB113" s="644">
        <f t="shared" si="160"/>
        <v>0</v>
      </c>
      <c r="CC113" s="645">
        <f t="shared" si="161"/>
        <v>1717899.8436361465</v>
      </c>
      <c r="CD113" s="646">
        <f t="shared" si="232"/>
        <v>-550.26854206956182</v>
      </c>
      <c r="CE113" s="647">
        <f t="shared" si="162"/>
        <v>1717349.575094077</v>
      </c>
      <c r="CF113" s="644">
        <f t="shared" si="233"/>
        <v>0</v>
      </c>
      <c r="CG113" s="645">
        <f t="shared" si="234"/>
        <v>1717349.575094077</v>
      </c>
      <c r="CH113" s="646">
        <f t="shared" si="235"/>
        <v>0</v>
      </c>
      <c r="CI113" s="647">
        <f t="shared" si="163"/>
        <v>1717349.575094077</v>
      </c>
      <c r="CJ113" s="644">
        <f t="shared" si="236"/>
        <v>0</v>
      </c>
      <c r="CK113" s="645">
        <f t="shared" si="237"/>
        <v>1717349.575094077</v>
      </c>
      <c r="CL113" s="646">
        <f t="shared" si="238"/>
        <v>0</v>
      </c>
      <c r="CM113" s="647">
        <f t="shared" si="164"/>
        <v>1717349.575094077</v>
      </c>
      <c r="CN113" s="644">
        <f t="shared" si="239"/>
        <v>0</v>
      </c>
      <c r="CO113" s="645">
        <f t="shared" si="240"/>
        <v>1717349.575094077</v>
      </c>
      <c r="CP113" s="646">
        <f t="shared" si="241"/>
        <v>0</v>
      </c>
      <c r="CQ113" s="647">
        <f t="shared" si="165"/>
        <v>1717349.575094077</v>
      </c>
      <c r="CS113" s="644">
        <f t="shared" si="242"/>
        <v>1638017.3877721666</v>
      </c>
      <c r="CT113" s="645">
        <f t="shared" si="136"/>
        <v>1228607.5805050903</v>
      </c>
      <c r="CU113" s="644">
        <f t="shared" si="243"/>
        <v>0</v>
      </c>
      <c r="CV113" s="645">
        <f t="shared" si="244"/>
        <v>1638017.3877721666</v>
      </c>
      <c r="CW113" s="646">
        <f t="shared" si="245"/>
        <v>-16774.223730409391</v>
      </c>
      <c r="CX113" s="647">
        <f t="shared" si="246"/>
        <v>1621243.1640417574</v>
      </c>
      <c r="CY113" s="644">
        <f t="shared" si="166"/>
        <v>0</v>
      </c>
      <c r="CZ113" s="645">
        <f t="shared" si="167"/>
        <v>1621243.1640417574</v>
      </c>
      <c r="DA113" s="646">
        <f t="shared" si="247"/>
        <v>-1272.6817714117808</v>
      </c>
      <c r="DB113" s="647">
        <f t="shared" si="168"/>
        <v>1619970.4822703456</v>
      </c>
      <c r="DC113" s="644">
        <f t="shared" si="248"/>
        <v>0</v>
      </c>
      <c r="DD113" s="645">
        <f t="shared" si="249"/>
        <v>1619970.4822703456</v>
      </c>
      <c r="DE113" s="646">
        <f t="shared" si="250"/>
        <v>-1.0975295123109803</v>
      </c>
      <c r="DF113" s="647">
        <f t="shared" si="169"/>
        <v>1619969.3847408332</v>
      </c>
      <c r="DG113" s="644">
        <f t="shared" si="251"/>
        <v>0</v>
      </c>
      <c r="DH113" s="645">
        <f t="shared" si="252"/>
        <v>1619969.3847408332</v>
      </c>
      <c r="DI113" s="646">
        <f t="shared" si="253"/>
        <v>0</v>
      </c>
      <c r="DJ113" s="647">
        <f t="shared" si="170"/>
        <v>1619969.3847408332</v>
      </c>
      <c r="DK113" s="644">
        <f t="shared" si="254"/>
        <v>0</v>
      </c>
      <c r="DL113" s="645">
        <f t="shared" si="255"/>
        <v>1619969.3847408332</v>
      </c>
      <c r="DM113" s="646">
        <f t="shared" si="256"/>
        <v>0</v>
      </c>
      <c r="DN113" s="647">
        <f t="shared" si="171"/>
        <v>1619969.3847408332</v>
      </c>
      <c r="DR113" s="827">
        <f t="shared" si="172"/>
        <v>6707385.4940077467</v>
      </c>
      <c r="DV113" s="828">
        <f>IFERROR(VLOOKUP($B113,'Afton FY16 Final'!$A$5:$BV$587,'Afton FY16 Final'!$BV$587,0),0)</f>
        <v>5482037.2280230476</v>
      </c>
      <c r="DX113" s="636">
        <f t="shared" si="137"/>
        <v>6707385.4940077467</v>
      </c>
      <c r="DY113" s="637">
        <f t="shared" si="138"/>
        <v>1225348.2659846991</v>
      </c>
      <c r="DZ113" s="637">
        <f t="shared" si="139"/>
        <v>5482037.2280230476</v>
      </c>
      <c r="EA113" s="643">
        <f t="shared" si="140"/>
        <v>6350627.7580851149</v>
      </c>
      <c r="EB113" s="637">
        <f t="shared" si="173"/>
        <v>0</v>
      </c>
      <c r="EC113" s="637">
        <f t="shared" si="174"/>
        <v>6350627.7580851149</v>
      </c>
      <c r="ED113" s="637">
        <f t="shared" si="175"/>
        <v>6331690.5652920483</v>
      </c>
      <c r="EE113" s="643">
        <f t="shared" si="176"/>
        <v>6331690.5652920483</v>
      </c>
      <c r="EF113" s="637">
        <f t="shared" si="177"/>
        <v>0</v>
      </c>
      <c r="EG113" s="637">
        <f t="shared" si="178"/>
        <v>6331690.5652920483</v>
      </c>
      <c r="EH113" s="637">
        <f t="shared" si="179"/>
        <v>6331684.0331340367</v>
      </c>
      <c r="EI113" s="643">
        <f t="shared" si="180"/>
        <v>6331684.0331340367</v>
      </c>
      <c r="EJ113" s="637">
        <f t="shared" si="181"/>
        <v>0</v>
      </c>
      <c r="EK113" s="637">
        <f t="shared" si="182"/>
        <v>6331684.0331340367</v>
      </c>
      <c r="EL113" s="637">
        <f t="shared" si="183"/>
        <v>6331684.0331340274</v>
      </c>
      <c r="EM113" s="643">
        <f t="shared" si="184"/>
        <v>6331684.0331340274</v>
      </c>
      <c r="EN113" s="637">
        <f t="shared" si="185"/>
        <v>0</v>
      </c>
      <c r="EO113" s="637">
        <f t="shared" si="186"/>
        <v>6331684.0331340274</v>
      </c>
      <c r="EP113" s="637">
        <f t="shared" si="187"/>
        <v>6331684.0331340367</v>
      </c>
      <c r="EQ113" s="643">
        <f t="shared" si="188"/>
        <v>6331684.0331340367</v>
      </c>
      <c r="ER113" s="637">
        <f t="shared" si="189"/>
        <v>0</v>
      </c>
      <c r="ES113" s="637">
        <f t="shared" si="190"/>
        <v>6331684.0331340367</v>
      </c>
      <c r="ET113" s="637">
        <f t="shared" si="191"/>
        <v>6331684.0331340265</v>
      </c>
      <c r="EU113" s="643">
        <f t="shared" si="141"/>
        <v>6331684.0331340265</v>
      </c>
      <c r="EV113" s="643">
        <f t="shared" si="142"/>
        <v>0</v>
      </c>
      <c r="EX113" s="829">
        <f t="shared" si="143"/>
        <v>375701.46087372024</v>
      </c>
      <c r="EY113" s="638">
        <f t="shared" si="144"/>
        <v>6331684.0331340265</v>
      </c>
      <c r="FC113" s="830" t="str">
        <f t="shared" si="192"/>
        <v>Y</v>
      </c>
      <c r="FE113" s="830" t="str">
        <f>IFERROR(VLOOKUP($B113,'Historical Conc Grant Elig'!$B$3:$J$707,'HH &amp; SI'!FE$2,0),"N")</f>
        <v>Y</v>
      </c>
      <c r="FF113" s="830" t="str">
        <f>IFERROR(VLOOKUP($B113,'Historical Conc Grant Elig'!$B$3:$J$707,'HH &amp; SI'!FF$2,0),"N")</f>
        <v>Y</v>
      </c>
      <c r="FG113" s="830" t="str">
        <f>IFERROR(VLOOKUP($B113,'Historical Conc Grant Elig'!$B$3:$J$707,'HH &amp; SI'!FG$2,0),"N")</f>
        <v>Y</v>
      </c>
      <c r="FH113" s="830" t="str">
        <f>IFERROR(VLOOKUP($B113,'Historical Conc Grant Elig'!$B$3:$J$707,'HH &amp; SI'!FH$2,0),"N")</f>
        <v>Y</v>
      </c>
      <c r="FI113" s="830" t="str">
        <f>IFERROR(VLOOKUP($B113,'Historical Conc Grant Elig'!$B$3:$J$707,'HH &amp; SI'!FI$2,0),"N")</f>
        <v>Y</v>
      </c>
      <c r="FJ113" s="830" t="str">
        <f>IFERROR(VLOOKUP($B113,'Historical Conc Grant Elig'!$B$3:$J$707,'HH &amp; SI'!FJ$2,0),"N")</f>
        <v>Y</v>
      </c>
      <c r="FK113" s="830" t="str">
        <f>IFERROR(VLOOKUP($B113,'Historical Conc Grant Elig'!$B$3:$J$707,'HH &amp; SI'!FK$2,0),"N")</f>
        <v>Y</v>
      </c>
      <c r="FL113" s="957" t="str">
        <f>IFERROR(VLOOKUP($B113,'Historical Conc Grant Elig'!$B$3:$J$707,'HH &amp; SI'!FL$2,0),"N")</f>
        <v>Y</v>
      </c>
    </row>
    <row r="114" spans="2:168" x14ac:dyDescent="0.25">
      <c r="B114" s="634">
        <v>70444000</v>
      </c>
      <c r="C114" s="635" t="str">
        <f>VLOOKUP($B114,'Afton Update'!$A$5:$CR$582,'Afton Update'!D$589,0)</f>
        <v>Avondale Elementary District</v>
      </c>
      <c r="D114" s="636">
        <f>IFERROR(VLOOKUP($B114,'Afton FY16 Final'!$A$5:$BV$587,'Afton FY16 Final'!AQ$587,0),0)</f>
        <v>800139.40020792547</v>
      </c>
      <c r="E114" s="637">
        <f>IFERROR(VLOOKUP($B114,'Afton FY16 Final'!$A$5:$BV$587,'Afton FY16 Final'!AR$587,0),0)</f>
        <v>188422.08416251096</v>
      </c>
      <c r="F114" s="637">
        <f>IFERROR(VLOOKUP($B114,'Afton FY16 Final'!$A$5:$BV$587,'Afton FY16 Final'!AS$587,0),0)</f>
        <v>316074.93127795088</v>
      </c>
      <c r="G114" s="637">
        <f>IFERROR(VLOOKUP($B114,'Afton FY16 Final'!$A$5:$BV$587,'Afton FY16 Final'!AT$587,0),0)</f>
        <v>216942.0151482393</v>
      </c>
      <c r="H114" s="638">
        <f>IFERROR(VLOOKUP($B114,'Afton FY16 Final'!$A$5:$BV$587,'Afton FY16 Final'!AU$587,0),0)</f>
        <v>1521578.4307966265</v>
      </c>
      <c r="I114" s="639" t="str">
        <f>VLOOKUP($B114,'Afton Update'!$A$5:$CR$582,'Afton Update'!BT$589,0)</f>
        <v>Y</v>
      </c>
      <c r="J114" s="640" t="str">
        <f>VLOOKUP($B114,'Afton Update'!$A$5:$CR$582,'Afton Update'!BU$589,0)</f>
        <v>Y</v>
      </c>
      <c r="K114" s="640" t="str">
        <f>VLOOKUP($B114,'Afton Update'!$A$5:$CR$582,'Afton Update'!BV$589,0)</f>
        <v>Y</v>
      </c>
      <c r="L114" s="641" t="str">
        <f>VLOOKUP($B114,'Afton Update'!$A$5:$CR$582,'Afton Update'!BW$589,0)</f>
        <v>Y</v>
      </c>
      <c r="N114" s="642">
        <f>VLOOKUP($B114,'Afton Update'!$A$5:$CR$582,'Afton Update'!CB$589,0)</f>
        <v>0.9</v>
      </c>
      <c r="P114" s="636">
        <f>VLOOKUP($B114,'Afton Update'!$A$5:$CR$582,'Afton Update'!AH$589,0)</f>
        <v>830227.63796307601</v>
      </c>
      <c r="Q114" s="637">
        <f>VLOOKUP($B114,'Afton Update'!$A$5:$CR$582,'Afton Update'!AI$589,0)</f>
        <v>199994.55758325066</v>
      </c>
      <c r="R114" s="637">
        <f>VLOOKUP($B114,'Afton Update'!$A$5:$CR$582,'Afton Update'!AJ$589,0)</f>
        <v>357814.9973872602</v>
      </c>
      <c r="S114" s="637">
        <f>VLOOKUP($B114,'Afton Update'!$A$5:$CR$582,'Afton Update'!AK$589,0)</f>
        <v>281385.16942717921</v>
      </c>
      <c r="T114" s="643">
        <f t="shared" si="145"/>
        <v>1669422.3623607662</v>
      </c>
      <c r="V114" s="636">
        <f t="shared" si="193"/>
        <v>818902.79411066743</v>
      </c>
      <c r="W114" s="637">
        <f t="shared" si="194"/>
        <v>193407.46805561244</v>
      </c>
      <c r="X114" s="637">
        <f t="shared" si="195"/>
        <v>354560.80968960654</v>
      </c>
      <c r="Y114" s="637">
        <f t="shared" si="196"/>
        <v>278284.8113792704</v>
      </c>
      <c r="Z114" s="643">
        <f t="shared" si="197"/>
        <v>1645155.8832351568</v>
      </c>
      <c r="AB114" s="644">
        <f t="shared" si="146"/>
        <v>830227.63796307601</v>
      </c>
      <c r="AC114" s="645">
        <f t="shared" si="134"/>
        <v>720125.46018713294</v>
      </c>
      <c r="AD114" s="644">
        <f t="shared" si="198"/>
        <v>0</v>
      </c>
      <c r="AE114" s="645">
        <f t="shared" si="199"/>
        <v>830227.63796307601</v>
      </c>
      <c r="AF114" s="646">
        <f t="shared" si="200"/>
        <v>-10291.295472014359</v>
      </c>
      <c r="AG114" s="647">
        <f t="shared" si="201"/>
        <v>819936.34249106166</v>
      </c>
      <c r="AH114" s="644">
        <f t="shared" si="147"/>
        <v>0</v>
      </c>
      <c r="AI114" s="645">
        <f t="shared" si="148"/>
        <v>819936.34249106166</v>
      </c>
      <c r="AJ114" s="646">
        <f t="shared" si="202"/>
        <v>-1032.8899098956272</v>
      </c>
      <c r="AK114" s="647">
        <f t="shared" si="149"/>
        <v>818903.45258116606</v>
      </c>
      <c r="AL114" s="644">
        <f t="shared" si="203"/>
        <v>0</v>
      </c>
      <c r="AM114" s="645">
        <f t="shared" si="204"/>
        <v>818903.45258116606</v>
      </c>
      <c r="AN114" s="646">
        <f t="shared" si="205"/>
        <v>-0.65847049868069885</v>
      </c>
      <c r="AO114" s="647">
        <f t="shared" si="150"/>
        <v>818902.79411066743</v>
      </c>
      <c r="AP114" s="644">
        <f t="shared" si="206"/>
        <v>0</v>
      </c>
      <c r="AQ114" s="645">
        <f t="shared" si="207"/>
        <v>818902.79411066743</v>
      </c>
      <c r="AR114" s="646">
        <f t="shared" si="208"/>
        <v>0</v>
      </c>
      <c r="AS114" s="647">
        <f t="shared" si="151"/>
        <v>818902.79411066743</v>
      </c>
      <c r="AT114" s="644">
        <f t="shared" si="209"/>
        <v>0</v>
      </c>
      <c r="AU114" s="645">
        <f t="shared" si="210"/>
        <v>818902.79411066743</v>
      </c>
      <c r="AV114" s="646">
        <f t="shared" si="211"/>
        <v>0</v>
      </c>
      <c r="AW114" s="647">
        <f t="shared" si="152"/>
        <v>818902.79411066743</v>
      </c>
      <c r="AY114" s="644">
        <f t="shared" si="212"/>
        <v>199994.55758325066</v>
      </c>
      <c r="AZ114" s="645">
        <f t="shared" si="153"/>
        <v>169579.87574625987</v>
      </c>
      <c r="BA114" s="644">
        <f t="shared" si="213"/>
        <v>0</v>
      </c>
      <c r="BB114" s="645">
        <f t="shared" si="214"/>
        <v>199994.55758325066</v>
      </c>
      <c r="BC114" s="646">
        <f t="shared" si="215"/>
        <v>-1438.2191480839226</v>
      </c>
      <c r="BD114" s="647">
        <f t="shared" si="216"/>
        <v>198556.33843516675</v>
      </c>
      <c r="BE114" s="644">
        <f t="shared" si="154"/>
        <v>0</v>
      </c>
      <c r="BF114" s="645">
        <f t="shared" si="155"/>
        <v>198556.33843516675</v>
      </c>
      <c r="BG114" s="646">
        <f t="shared" si="217"/>
        <v>-4729.4501697835949</v>
      </c>
      <c r="BH114" s="647">
        <f t="shared" si="156"/>
        <v>193826.88826538314</v>
      </c>
      <c r="BI114" s="644">
        <f t="shared" si="218"/>
        <v>0</v>
      </c>
      <c r="BJ114" s="645">
        <f t="shared" si="219"/>
        <v>193826.88826538314</v>
      </c>
      <c r="BK114" s="646">
        <f t="shared" si="220"/>
        <v>-410.57087385674367</v>
      </c>
      <c r="BL114" s="647">
        <f t="shared" si="157"/>
        <v>193416.31739152639</v>
      </c>
      <c r="BM114" s="644">
        <f t="shared" si="221"/>
        <v>0</v>
      </c>
      <c r="BN114" s="645">
        <f t="shared" si="222"/>
        <v>193416.31739152639</v>
      </c>
      <c r="BO114" s="646">
        <f t="shared" si="223"/>
        <v>-8.8493359139395622</v>
      </c>
      <c r="BP114" s="647">
        <f t="shared" si="158"/>
        <v>193407.46805561244</v>
      </c>
      <c r="BQ114" s="644">
        <f t="shared" si="224"/>
        <v>0</v>
      </c>
      <c r="BR114" s="645">
        <f t="shared" si="225"/>
        <v>193407.46805561244</v>
      </c>
      <c r="BS114" s="646">
        <f t="shared" si="226"/>
        <v>0</v>
      </c>
      <c r="BT114" s="647">
        <f t="shared" si="159"/>
        <v>193407.46805561244</v>
      </c>
      <c r="BU114" s="662">
        <f>VLOOKUP(B114,'Afton Update'!$A$5:$AR$582,'Afton Update'!$AO$589,0)-BT114</f>
        <v>0</v>
      </c>
      <c r="BV114" s="644">
        <f t="shared" si="227"/>
        <v>357814.9973872602</v>
      </c>
      <c r="BW114" s="645">
        <f t="shared" si="135"/>
        <v>284467.43815015582</v>
      </c>
      <c r="BX114" s="644">
        <f t="shared" si="228"/>
        <v>0</v>
      </c>
      <c r="BY114" s="645">
        <f t="shared" si="229"/>
        <v>357814.9973872602</v>
      </c>
      <c r="BZ114" s="646">
        <f t="shared" si="230"/>
        <v>-3140.5802745335113</v>
      </c>
      <c r="CA114" s="647">
        <f t="shared" si="231"/>
        <v>354674.41711272666</v>
      </c>
      <c r="CB114" s="644">
        <f t="shared" si="160"/>
        <v>0</v>
      </c>
      <c r="CC114" s="645">
        <f t="shared" si="161"/>
        <v>354674.41711272666</v>
      </c>
      <c r="CD114" s="646">
        <f t="shared" si="232"/>
        <v>-113.60742312013868</v>
      </c>
      <c r="CE114" s="647">
        <f t="shared" si="162"/>
        <v>354560.80968960654</v>
      </c>
      <c r="CF114" s="644">
        <f t="shared" si="233"/>
        <v>0</v>
      </c>
      <c r="CG114" s="645">
        <f t="shared" si="234"/>
        <v>354560.80968960654</v>
      </c>
      <c r="CH114" s="646">
        <f t="shared" si="235"/>
        <v>0</v>
      </c>
      <c r="CI114" s="647">
        <f t="shared" si="163"/>
        <v>354560.80968960654</v>
      </c>
      <c r="CJ114" s="644">
        <f t="shared" si="236"/>
        <v>0</v>
      </c>
      <c r="CK114" s="645">
        <f t="shared" si="237"/>
        <v>354560.80968960654</v>
      </c>
      <c r="CL114" s="646">
        <f t="shared" si="238"/>
        <v>0</v>
      </c>
      <c r="CM114" s="647">
        <f t="shared" si="164"/>
        <v>354560.80968960654</v>
      </c>
      <c r="CN114" s="644">
        <f t="shared" si="239"/>
        <v>0</v>
      </c>
      <c r="CO114" s="645">
        <f t="shared" si="240"/>
        <v>354560.80968960654</v>
      </c>
      <c r="CP114" s="646">
        <f t="shared" si="241"/>
        <v>0</v>
      </c>
      <c r="CQ114" s="647">
        <f t="shared" si="165"/>
        <v>354560.80968960654</v>
      </c>
      <c r="CS114" s="644">
        <f t="shared" si="242"/>
        <v>281385.16942717921</v>
      </c>
      <c r="CT114" s="645">
        <f t="shared" si="136"/>
        <v>195247.81363341538</v>
      </c>
      <c r="CU114" s="644">
        <f t="shared" si="243"/>
        <v>0</v>
      </c>
      <c r="CV114" s="645">
        <f t="shared" si="244"/>
        <v>281385.16942717921</v>
      </c>
      <c r="CW114" s="646">
        <f t="shared" si="245"/>
        <v>-2881.5431518771943</v>
      </c>
      <c r="CX114" s="647">
        <f t="shared" si="246"/>
        <v>278503.62627530203</v>
      </c>
      <c r="CY114" s="644">
        <f t="shared" si="166"/>
        <v>0</v>
      </c>
      <c r="CZ114" s="645">
        <f t="shared" si="167"/>
        <v>278503.62627530203</v>
      </c>
      <c r="DA114" s="646">
        <f t="shared" si="247"/>
        <v>-218.62635802825608</v>
      </c>
      <c r="DB114" s="647">
        <f t="shared" si="168"/>
        <v>278284.99991727376</v>
      </c>
      <c r="DC114" s="644">
        <f t="shared" si="248"/>
        <v>0</v>
      </c>
      <c r="DD114" s="645">
        <f t="shared" si="249"/>
        <v>278284.99991727376</v>
      </c>
      <c r="DE114" s="646">
        <f t="shared" si="250"/>
        <v>-0.18853800336819732</v>
      </c>
      <c r="DF114" s="647">
        <f t="shared" si="169"/>
        <v>278284.8113792704</v>
      </c>
      <c r="DG114" s="644">
        <f t="shared" si="251"/>
        <v>0</v>
      </c>
      <c r="DH114" s="645">
        <f t="shared" si="252"/>
        <v>278284.8113792704</v>
      </c>
      <c r="DI114" s="646">
        <f t="shared" si="253"/>
        <v>0</v>
      </c>
      <c r="DJ114" s="647">
        <f t="shared" si="170"/>
        <v>278284.8113792704</v>
      </c>
      <c r="DK114" s="644">
        <f t="shared" si="254"/>
        <v>0</v>
      </c>
      <c r="DL114" s="645">
        <f t="shared" si="255"/>
        <v>278284.8113792704</v>
      </c>
      <c r="DM114" s="646">
        <f t="shared" si="256"/>
        <v>0</v>
      </c>
      <c r="DN114" s="647">
        <f t="shared" si="171"/>
        <v>278284.8113792704</v>
      </c>
      <c r="DR114" s="827">
        <f t="shared" si="172"/>
        <v>1645155.8832351568</v>
      </c>
      <c r="DV114" s="828">
        <f>IFERROR(VLOOKUP($B114,'Afton FY16 Final'!$A$5:$BV$587,'Afton FY16 Final'!$BV$587,0),0)</f>
        <v>1350903.5553465039</v>
      </c>
      <c r="DX114" s="636">
        <f t="shared" si="137"/>
        <v>1645155.8832351568</v>
      </c>
      <c r="DY114" s="637">
        <f t="shared" si="138"/>
        <v>294252.32788865292</v>
      </c>
      <c r="DZ114" s="637">
        <f t="shared" si="139"/>
        <v>1350903.5553465039</v>
      </c>
      <c r="EA114" s="643">
        <f t="shared" si="140"/>
        <v>1557652.0281686608</v>
      </c>
      <c r="EB114" s="637">
        <f t="shared" si="173"/>
        <v>0</v>
      </c>
      <c r="EC114" s="637">
        <f t="shared" si="174"/>
        <v>1557652.0281686608</v>
      </c>
      <c r="ED114" s="637">
        <f t="shared" si="175"/>
        <v>1553007.2028245225</v>
      </c>
      <c r="EE114" s="643">
        <f t="shared" si="176"/>
        <v>1553007.2028245225</v>
      </c>
      <c r="EF114" s="637">
        <f t="shared" si="177"/>
        <v>0</v>
      </c>
      <c r="EG114" s="637">
        <f t="shared" si="178"/>
        <v>1553007.2028245225</v>
      </c>
      <c r="EH114" s="637">
        <f t="shared" si="179"/>
        <v>1553005.6006476097</v>
      </c>
      <c r="EI114" s="643">
        <f t="shared" si="180"/>
        <v>1553005.6006476097</v>
      </c>
      <c r="EJ114" s="637">
        <f t="shared" si="181"/>
        <v>0</v>
      </c>
      <c r="EK114" s="637">
        <f t="shared" si="182"/>
        <v>1553005.6006476097</v>
      </c>
      <c r="EL114" s="637">
        <f t="shared" si="183"/>
        <v>1553005.6006476076</v>
      </c>
      <c r="EM114" s="643">
        <f t="shared" si="184"/>
        <v>1553005.6006476076</v>
      </c>
      <c r="EN114" s="637">
        <f t="shared" si="185"/>
        <v>0</v>
      </c>
      <c r="EO114" s="637">
        <f t="shared" si="186"/>
        <v>1553005.6006476076</v>
      </c>
      <c r="EP114" s="637">
        <f t="shared" si="187"/>
        <v>1553005.6006476099</v>
      </c>
      <c r="EQ114" s="643">
        <f t="shared" si="188"/>
        <v>1553005.6006476099</v>
      </c>
      <c r="ER114" s="637">
        <f t="shared" si="189"/>
        <v>0</v>
      </c>
      <c r="ES114" s="637">
        <f t="shared" si="190"/>
        <v>1553005.6006476099</v>
      </c>
      <c r="ET114" s="637">
        <f t="shared" si="191"/>
        <v>1553005.6006476076</v>
      </c>
      <c r="EU114" s="643">
        <f t="shared" si="141"/>
        <v>1553005.6006476076</v>
      </c>
      <c r="EV114" s="643">
        <f t="shared" si="142"/>
        <v>0</v>
      </c>
      <c r="EX114" s="829">
        <f t="shared" si="143"/>
        <v>92150.282587549184</v>
      </c>
      <c r="EY114" s="638">
        <f t="shared" si="144"/>
        <v>1553005.6006476076</v>
      </c>
      <c r="FC114" s="830" t="str">
        <f t="shared" si="192"/>
        <v>Y</v>
      </c>
      <c r="FE114" s="830" t="str">
        <f>IFERROR(VLOOKUP($B114,'Historical Conc Grant Elig'!$B$3:$J$707,'HH &amp; SI'!FE$2,0),"N")</f>
        <v>Y</v>
      </c>
      <c r="FF114" s="830" t="str">
        <f>IFERROR(VLOOKUP($B114,'Historical Conc Grant Elig'!$B$3:$J$707,'HH &amp; SI'!FF$2,0),"N")</f>
        <v>Y</v>
      </c>
      <c r="FG114" s="830" t="str">
        <f>IFERROR(VLOOKUP($B114,'Historical Conc Grant Elig'!$B$3:$J$707,'HH &amp; SI'!FG$2,0),"N")</f>
        <v>Y</v>
      </c>
      <c r="FH114" s="830" t="str">
        <f>IFERROR(VLOOKUP($B114,'Historical Conc Grant Elig'!$B$3:$J$707,'HH &amp; SI'!FH$2,0),"N")</f>
        <v>Y</v>
      </c>
      <c r="FI114" s="830" t="str">
        <f>IFERROR(VLOOKUP($B114,'Historical Conc Grant Elig'!$B$3:$J$707,'HH &amp; SI'!FI$2,0),"N")</f>
        <v>Y</v>
      </c>
      <c r="FJ114" s="830" t="str">
        <f>IFERROR(VLOOKUP($B114,'Historical Conc Grant Elig'!$B$3:$J$707,'HH &amp; SI'!FJ$2,0),"N")</f>
        <v>Y</v>
      </c>
      <c r="FK114" s="830" t="str">
        <f>IFERROR(VLOOKUP($B114,'Historical Conc Grant Elig'!$B$3:$J$707,'HH &amp; SI'!FK$2,0),"N")</f>
        <v>Y</v>
      </c>
      <c r="FL114" s="957" t="str">
        <f>IFERROR(VLOOKUP($B114,'Historical Conc Grant Elig'!$B$3:$J$707,'HH &amp; SI'!FL$2,0),"N")</f>
        <v>Y</v>
      </c>
    </row>
    <row r="115" spans="2:168" x14ac:dyDescent="0.25">
      <c r="B115" s="634">
        <v>70445000</v>
      </c>
      <c r="C115" s="635" t="str">
        <f>VLOOKUP($B115,'Afton Update'!$A$5:$CR$582,'Afton Update'!D$589,0)</f>
        <v>Fowler Elementary District</v>
      </c>
      <c r="D115" s="636">
        <f>IFERROR(VLOOKUP($B115,'Afton FY16 Final'!$A$5:$BV$587,'Afton FY16 Final'!AQ$587,0),0)</f>
        <v>821449.39623423025</v>
      </c>
      <c r="E115" s="637">
        <f>IFERROR(VLOOKUP($B115,'Afton FY16 Final'!$A$5:$BV$587,'Afton FY16 Final'!AR$587,0),0)</f>
        <v>193389.44118908877</v>
      </c>
      <c r="F115" s="637">
        <f>IFERROR(VLOOKUP($B115,'Afton FY16 Final'!$A$5:$BV$587,'Afton FY16 Final'!AS$587,0),0)</f>
        <v>422576.37211145542</v>
      </c>
      <c r="G115" s="637">
        <f>IFERROR(VLOOKUP($B115,'Afton FY16 Final'!$A$5:$BV$587,'Afton FY16 Final'!AT$587,0),0)</f>
        <v>397923.78103007522</v>
      </c>
      <c r="H115" s="638">
        <f>IFERROR(VLOOKUP($B115,'Afton FY16 Final'!$A$5:$BV$587,'Afton FY16 Final'!AU$587,0),0)</f>
        <v>1835338.9905648497</v>
      </c>
      <c r="I115" s="639" t="str">
        <f>VLOOKUP($B115,'Afton Update'!$A$5:$CR$582,'Afton Update'!BT$589,0)</f>
        <v>Y</v>
      </c>
      <c r="J115" s="640" t="str">
        <f>VLOOKUP($B115,'Afton Update'!$A$5:$CR$582,'Afton Update'!BU$589,0)</f>
        <v>Y</v>
      </c>
      <c r="K115" s="640" t="str">
        <f>VLOOKUP($B115,'Afton Update'!$A$5:$CR$582,'Afton Update'!BV$589,0)</f>
        <v>Y</v>
      </c>
      <c r="L115" s="641" t="str">
        <f>VLOOKUP($B115,'Afton Update'!$A$5:$CR$582,'Afton Update'!BW$589,0)</f>
        <v>Y</v>
      </c>
      <c r="N115" s="642">
        <f>VLOOKUP($B115,'Afton Update'!$A$5:$CR$582,'Afton Update'!CB$589,0)</f>
        <v>0.95</v>
      </c>
      <c r="P115" s="636">
        <f>VLOOKUP($B115,'Afton Update'!$A$5:$CR$582,'Afton Update'!AH$589,0)</f>
        <v>896079.02691797877</v>
      </c>
      <c r="Q115" s="637">
        <f>VLOOKUP($B115,'Afton Update'!$A$5:$CR$582,'Afton Update'!AI$589,0)</f>
        <v>215688.56878790239</v>
      </c>
      <c r="R115" s="637">
        <f>VLOOKUP($B115,'Afton Update'!$A$5:$CR$582,'Afton Update'!AJ$589,0)</f>
        <v>514915.59583490877</v>
      </c>
      <c r="S115" s="637">
        <f>VLOOKUP($B115,'Afton Update'!$A$5:$CR$582,'Afton Update'!AK$589,0)</f>
        <v>465995.44720451703</v>
      </c>
      <c r="T115" s="643">
        <f t="shared" si="145"/>
        <v>2092678.638745307</v>
      </c>
      <c r="V115" s="636">
        <f t="shared" si="193"/>
        <v>883855.92737848149</v>
      </c>
      <c r="W115" s="637">
        <f t="shared" si="194"/>
        <v>208584.57590998293</v>
      </c>
      <c r="X115" s="637">
        <f t="shared" si="195"/>
        <v>510232.63953198324</v>
      </c>
      <c r="Y115" s="637">
        <f t="shared" si="196"/>
        <v>460861.0162109771</v>
      </c>
      <c r="Z115" s="643">
        <f t="shared" si="197"/>
        <v>2063534.1590314247</v>
      </c>
      <c r="AB115" s="644">
        <f t="shared" si="146"/>
        <v>896079.02691797877</v>
      </c>
      <c r="AC115" s="645">
        <f t="shared" si="134"/>
        <v>780376.92642251868</v>
      </c>
      <c r="AD115" s="644">
        <f t="shared" si="198"/>
        <v>0</v>
      </c>
      <c r="AE115" s="645">
        <f t="shared" si="199"/>
        <v>896079.02691797877</v>
      </c>
      <c r="AF115" s="646">
        <f t="shared" si="200"/>
        <v>-11107.572924111886</v>
      </c>
      <c r="AG115" s="647">
        <f t="shared" si="201"/>
        <v>884971.45399386692</v>
      </c>
      <c r="AH115" s="644">
        <f t="shared" si="147"/>
        <v>0</v>
      </c>
      <c r="AI115" s="645">
        <f t="shared" si="148"/>
        <v>884971.45399386692</v>
      </c>
      <c r="AJ115" s="646">
        <f t="shared" si="202"/>
        <v>-1114.8159168050195</v>
      </c>
      <c r="AK115" s="647">
        <f t="shared" si="149"/>
        <v>883856.63807706186</v>
      </c>
      <c r="AL115" s="644">
        <f t="shared" si="203"/>
        <v>0</v>
      </c>
      <c r="AM115" s="645">
        <f t="shared" si="204"/>
        <v>883856.63807706186</v>
      </c>
      <c r="AN115" s="646">
        <f t="shared" si="205"/>
        <v>-0.71069858040336487</v>
      </c>
      <c r="AO115" s="647">
        <f t="shared" si="150"/>
        <v>883855.92737848149</v>
      </c>
      <c r="AP115" s="644">
        <f t="shared" si="206"/>
        <v>0</v>
      </c>
      <c r="AQ115" s="645">
        <f t="shared" si="207"/>
        <v>883855.92737848149</v>
      </c>
      <c r="AR115" s="646">
        <f t="shared" si="208"/>
        <v>0</v>
      </c>
      <c r="AS115" s="647">
        <f t="shared" si="151"/>
        <v>883855.92737848149</v>
      </c>
      <c r="AT115" s="644">
        <f t="shared" si="209"/>
        <v>0</v>
      </c>
      <c r="AU115" s="645">
        <f t="shared" si="210"/>
        <v>883855.92737848149</v>
      </c>
      <c r="AV115" s="646">
        <f t="shared" si="211"/>
        <v>0</v>
      </c>
      <c r="AW115" s="647">
        <f t="shared" si="152"/>
        <v>883855.92737848149</v>
      </c>
      <c r="AY115" s="644">
        <f t="shared" si="212"/>
        <v>215688.56878790239</v>
      </c>
      <c r="AZ115" s="645">
        <f t="shared" si="153"/>
        <v>183719.96912963432</v>
      </c>
      <c r="BA115" s="644">
        <f t="shared" si="213"/>
        <v>0</v>
      </c>
      <c r="BB115" s="645">
        <f t="shared" si="214"/>
        <v>215688.56878790239</v>
      </c>
      <c r="BC115" s="646">
        <f t="shared" si="215"/>
        <v>-1551.0793563692309</v>
      </c>
      <c r="BD115" s="647">
        <f t="shared" si="216"/>
        <v>214137.48943153315</v>
      </c>
      <c r="BE115" s="644">
        <f t="shared" si="154"/>
        <v>0</v>
      </c>
      <c r="BF115" s="645">
        <f t="shared" si="155"/>
        <v>214137.48943153315</v>
      </c>
      <c r="BG115" s="646">
        <f t="shared" si="217"/>
        <v>-5100.5804887950462</v>
      </c>
      <c r="BH115" s="647">
        <f t="shared" si="156"/>
        <v>209036.90894273811</v>
      </c>
      <c r="BI115" s="644">
        <f t="shared" si="218"/>
        <v>0</v>
      </c>
      <c r="BJ115" s="645">
        <f t="shared" si="219"/>
        <v>209036.90894273811</v>
      </c>
      <c r="BK115" s="646">
        <f t="shared" si="220"/>
        <v>-442.78927005949629</v>
      </c>
      <c r="BL115" s="647">
        <f t="shared" si="157"/>
        <v>208594.11967267861</v>
      </c>
      <c r="BM115" s="644">
        <f t="shared" si="221"/>
        <v>0</v>
      </c>
      <c r="BN115" s="645">
        <f t="shared" si="222"/>
        <v>208594.11967267861</v>
      </c>
      <c r="BO115" s="646">
        <f t="shared" si="223"/>
        <v>-9.5437626956747739</v>
      </c>
      <c r="BP115" s="647">
        <f t="shared" si="158"/>
        <v>208584.57590998293</v>
      </c>
      <c r="BQ115" s="644">
        <f t="shared" si="224"/>
        <v>0</v>
      </c>
      <c r="BR115" s="645">
        <f t="shared" si="225"/>
        <v>208584.57590998293</v>
      </c>
      <c r="BS115" s="646">
        <f t="shared" si="226"/>
        <v>0</v>
      </c>
      <c r="BT115" s="647">
        <f t="shared" si="159"/>
        <v>208584.57590998293</v>
      </c>
      <c r="BU115" s="662">
        <f>VLOOKUP(B115,'Afton Update'!$A$5:$AR$582,'Afton Update'!$AO$589,0)-BT115</f>
        <v>0</v>
      </c>
      <c r="BV115" s="644">
        <f t="shared" si="227"/>
        <v>514915.59583490877</v>
      </c>
      <c r="BW115" s="645">
        <f t="shared" si="135"/>
        <v>401447.55350588262</v>
      </c>
      <c r="BX115" s="644">
        <f t="shared" si="228"/>
        <v>0</v>
      </c>
      <c r="BY115" s="645">
        <f t="shared" si="229"/>
        <v>514915.59583490877</v>
      </c>
      <c r="BZ115" s="646">
        <f t="shared" si="230"/>
        <v>-4519.468929857554</v>
      </c>
      <c r="CA115" s="647">
        <f t="shared" si="231"/>
        <v>510396.12690505123</v>
      </c>
      <c r="CB115" s="644">
        <f t="shared" si="160"/>
        <v>0</v>
      </c>
      <c r="CC115" s="645">
        <f t="shared" si="161"/>
        <v>510396.12690505123</v>
      </c>
      <c r="CD115" s="646">
        <f t="shared" si="232"/>
        <v>-163.48737306799538</v>
      </c>
      <c r="CE115" s="647">
        <f t="shared" si="162"/>
        <v>510232.63953198324</v>
      </c>
      <c r="CF115" s="644">
        <f t="shared" si="233"/>
        <v>0</v>
      </c>
      <c r="CG115" s="645">
        <f t="shared" si="234"/>
        <v>510232.63953198324</v>
      </c>
      <c r="CH115" s="646">
        <f t="shared" si="235"/>
        <v>0</v>
      </c>
      <c r="CI115" s="647">
        <f t="shared" si="163"/>
        <v>510232.63953198324</v>
      </c>
      <c r="CJ115" s="644">
        <f t="shared" si="236"/>
        <v>0</v>
      </c>
      <c r="CK115" s="645">
        <f t="shared" si="237"/>
        <v>510232.63953198324</v>
      </c>
      <c r="CL115" s="646">
        <f t="shared" si="238"/>
        <v>0</v>
      </c>
      <c r="CM115" s="647">
        <f t="shared" si="164"/>
        <v>510232.63953198324</v>
      </c>
      <c r="CN115" s="644">
        <f t="shared" si="239"/>
        <v>0</v>
      </c>
      <c r="CO115" s="645">
        <f t="shared" si="240"/>
        <v>510232.63953198324</v>
      </c>
      <c r="CP115" s="646">
        <f t="shared" si="241"/>
        <v>0</v>
      </c>
      <c r="CQ115" s="647">
        <f t="shared" si="165"/>
        <v>510232.63953198324</v>
      </c>
      <c r="CS115" s="644">
        <f t="shared" si="242"/>
        <v>465995.44720451703</v>
      </c>
      <c r="CT115" s="645">
        <f t="shared" si="136"/>
        <v>378027.59197857144</v>
      </c>
      <c r="CU115" s="644">
        <f t="shared" si="243"/>
        <v>0</v>
      </c>
      <c r="CV115" s="645">
        <f t="shared" si="244"/>
        <v>465995.44720451703</v>
      </c>
      <c r="CW115" s="646">
        <f t="shared" si="245"/>
        <v>-4772.0567236420447</v>
      </c>
      <c r="CX115" s="647">
        <f t="shared" si="246"/>
        <v>461223.39048087498</v>
      </c>
      <c r="CY115" s="644">
        <f t="shared" si="166"/>
        <v>0</v>
      </c>
      <c r="CZ115" s="645">
        <f t="shared" si="167"/>
        <v>461223.39048087498</v>
      </c>
      <c r="DA115" s="646">
        <f t="shared" si="247"/>
        <v>-362.06203648709948</v>
      </c>
      <c r="DB115" s="647">
        <f t="shared" si="168"/>
        <v>460861.32844438788</v>
      </c>
      <c r="DC115" s="644">
        <f t="shared" si="248"/>
        <v>0</v>
      </c>
      <c r="DD115" s="645">
        <f t="shared" si="249"/>
        <v>460861.32844438788</v>
      </c>
      <c r="DE115" s="646">
        <f t="shared" si="250"/>
        <v>-0.31223341078516553</v>
      </c>
      <c r="DF115" s="647">
        <f t="shared" si="169"/>
        <v>460861.0162109771</v>
      </c>
      <c r="DG115" s="644">
        <f t="shared" si="251"/>
        <v>0</v>
      </c>
      <c r="DH115" s="645">
        <f t="shared" si="252"/>
        <v>460861.0162109771</v>
      </c>
      <c r="DI115" s="646">
        <f t="shared" si="253"/>
        <v>0</v>
      </c>
      <c r="DJ115" s="647">
        <f t="shared" si="170"/>
        <v>460861.0162109771</v>
      </c>
      <c r="DK115" s="644">
        <f t="shared" si="254"/>
        <v>0</v>
      </c>
      <c r="DL115" s="645">
        <f t="shared" si="255"/>
        <v>460861.0162109771</v>
      </c>
      <c r="DM115" s="646">
        <f t="shared" si="256"/>
        <v>0</v>
      </c>
      <c r="DN115" s="647">
        <f t="shared" si="171"/>
        <v>460861.0162109771</v>
      </c>
      <c r="DR115" s="827">
        <f t="shared" si="172"/>
        <v>2063534.1590314247</v>
      </c>
      <c r="DV115" s="828">
        <f>IFERROR(VLOOKUP($B115,'Afton FY16 Final'!$A$5:$BV$587,'Afton FY16 Final'!$BV$587,0),0)</f>
        <v>1748382.8673968122</v>
      </c>
      <c r="DX115" s="636">
        <f t="shared" si="137"/>
        <v>2063534.1590314247</v>
      </c>
      <c r="DY115" s="637">
        <f t="shared" si="138"/>
        <v>315151.29163461248</v>
      </c>
      <c r="DZ115" s="637">
        <f t="shared" si="139"/>
        <v>1748382.8673968122</v>
      </c>
      <c r="EA115" s="643">
        <f t="shared" si="140"/>
        <v>1953777.2686256543</v>
      </c>
      <c r="EB115" s="637">
        <f t="shared" si="173"/>
        <v>0</v>
      </c>
      <c r="EC115" s="637">
        <f t="shared" si="174"/>
        <v>1953777.2686256543</v>
      </c>
      <c r="ED115" s="637">
        <f t="shared" si="175"/>
        <v>1947951.2214662104</v>
      </c>
      <c r="EE115" s="643">
        <f t="shared" si="176"/>
        <v>1947951.2214662104</v>
      </c>
      <c r="EF115" s="637">
        <f t="shared" si="177"/>
        <v>0</v>
      </c>
      <c r="EG115" s="637">
        <f t="shared" si="178"/>
        <v>1947951.2214662104</v>
      </c>
      <c r="EH115" s="637">
        <f t="shared" si="179"/>
        <v>1947949.2118409695</v>
      </c>
      <c r="EI115" s="643">
        <f t="shared" si="180"/>
        <v>1947949.2118409695</v>
      </c>
      <c r="EJ115" s="637">
        <f t="shared" si="181"/>
        <v>0</v>
      </c>
      <c r="EK115" s="637">
        <f t="shared" si="182"/>
        <v>1947949.2118409695</v>
      </c>
      <c r="EL115" s="637">
        <f t="shared" si="183"/>
        <v>1947949.2118409669</v>
      </c>
      <c r="EM115" s="643">
        <f t="shared" si="184"/>
        <v>1947949.2118409669</v>
      </c>
      <c r="EN115" s="637">
        <f t="shared" si="185"/>
        <v>0</v>
      </c>
      <c r="EO115" s="637">
        <f t="shared" si="186"/>
        <v>1947949.2118409669</v>
      </c>
      <c r="EP115" s="637">
        <f t="shared" si="187"/>
        <v>1947949.21184097</v>
      </c>
      <c r="EQ115" s="643">
        <f t="shared" si="188"/>
        <v>1947949.21184097</v>
      </c>
      <c r="ER115" s="637">
        <f t="shared" si="189"/>
        <v>0</v>
      </c>
      <c r="ES115" s="637">
        <f t="shared" si="190"/>
        <v>1947949.21184097</v>
      </c>
      <c r="ET115" s="637">
        <f t="shared" si="191"/>
        <v>1947949.2118409669</v>
      </c>
      <c r="EU115" s="643">
        <f t="shared" si="141"/>
        <v>1947949.2118409669</v>
      </c>
      <c r="EV115" s="643">
        <f t="shared" si="142"/>
        <v>0</v>
      </c>
      <c r="EX115" s="829">
        <f t="shared" si="143"/>
        <v>115584.94719045772</v>
      </c>
      <c r="EY115" s="638">
        <f t="shared" si="144"/>
        <v>1947949.2118409669</v>
      </c>
      <c r="FC115" s="830" t="str">
        <f t="shared" si="192"/>
        <v>Y</v>
      </c>
      <c r="FE115" s="830" t="str">
        <f>IFERROR(VLOOKUP($B115,'Historical Conc Grant Elig'!$B$3:$J$707,'HH &amp; SI'!FE$2,0),"N")</f>
        <v>Y</v>
      </c>
      <c r="FF115" s="830" t="str">
        <f>IFERROR(VLOOKUP($B115,'Historical Conc Grant Elig'!$B$3:$J$707,'HH &amp; SI'!FF$2,0),"N")</f>
        <v>Y</v>
      </c>
      <c r="FG115" s="830" t="str">
        <f>IFERROR(VLOOKUP($B115,'Historical Conc Grant Elig'!$B$3:$J$707,'HH &amp; SI'!FG$2,0),"N")</f>
        <v>Y</v>
      </c>
      <c r="FH115" s="830" t="str">
        <f>IFERROR(VLOOKUP($B115,'Historical Conc Grant Elig'!$B$3:$J$707,'HH &amp; SI'!FH$2,0),"N")</f>
        <v>Y</v>
      </c>
      <c r="FI115" s="830" t="str">
        <f>IFERROR(VLOOKUP($B115,'Historical Conc Grant Elig'!$B$3:$J$707,'HH &amp; SI'!FI$2,0),"N")</f>
        <v>Y</v>
      </c>
      <c r="FJ115" s="830" t="str">
        <f>IFERROR(VLOOKUP($B115,'Historical Conc Grant Elig'!$B$3:$J$707,'HH &amp; SI'!FJ$2,0),"N")</f>
        <v>Y</v>
      </c>
      <c r="FK115" s="830" t="str">
        <f>IFERROR(VLOOKUP($B115,'Historical Conc Grant Elig'!$B$3:$J$707,'HH &amp; SI'!FK$2,0),"N")</f>
        <v>Y</v>
      </c>
      <c r="FL115" s="957" t="str">
        <f>IFERROR(VLOOKUP($B115,'Historical Conc Grant Elig'!$B$3:$J$707,'HH &amp; SI'!FL$2,0),"N")</f>
        <v>Y</v>
      </c>
    </row>
    <row r="116" spans="2:168" x14ac:dyDescent="0.25">
      <c r="B116" s="634">
        <v>70447000</v>
      </c>
      <c r="C116" s="635" t="str">
        <f>VLOOKUP($B116,'Afton Update'!$A$5:$CR$582,'Afton Update'!D$589,0)</f>
        <v>Arlington Elementary District</v>
      </c>
      <c r="D116" s="636">
        <f>IFERROR(VLOOKUP($B116,'Afton FY16 Final'!$A$5:$BV$587,'Afton FY16 Final'!AQ$587,0),0)</f>
        <v>62897.866281876697</v>
      </c>
      <c r="E116" s="637">
        <f>IFERROR(VLOOKUP($B116,'Afton FY16 Final'!$A$5:$BV$587,'Afton FY16 Final'!AR$587,0),0)</f>
        <v>16878.402146889795</v>
      </c>
      <c r="F116" s="637">
        <f>IFERROR(VLOOKUP($B116,'Afton FY16 Final'!$A$5:$BV$587,'Afton FY16 Final'!AS$587,0),0)</f>
        <v>40217.826290985198</v>
      </c>
      <c r="G116" s="637">
        <f>IFERROR(VLOOKUP($B116,'Afton FY16 Final'!$A$5:$BV$587,'Afton FY16 Final'!AT$587,0),0)</f>
        <v>44897.299180891248</v>
      </c>
      <c r="H116" s="638">
        <f>IFERROR(VLOOKUP($B116,'Afton FY16 Final'!$A$5:$BV$587,'Afton FY16 Final'!AU$587,0),0)</f>
        <v>164891.39390064293</v>
      </c>
      <c r="I116" s="639" t="str">
        <f>VLOOKUP($B116,'Afton Update'!$A$5:$CR$582,'Afton Update'!BT$589,0)</f>
        <v>Y</v>
      </c>
      <c r="J116" s="640" t="str">
        <f>VLOOKUP($B116,'Afton Update'!$A$5:$CR$582,'Afton Update'!BU$589,0)</f>
        <v>Y</v>
      </c>
      <c r="K116" s="640" t="str">
        <f>VLOOKUP($B116,'Afton Update'!$A$5:$CR$582,'Afton Update'!BV$589,0)</f>
        <v>Y</v>
      </c>
      <c r="L116" s="641" t="str">
        <f>VLOOKUP($B116,'Afton Update'!$A$5:$CR$582,'Afton Update'!BW$589,0)</f>
        <v>Y</v>
      </c>
      <c r="N116" s="642">
        <f>VLOOKUP($B116,'Afton Update'!$A$5:$CR$582,'Afton Update'!CB$589,0)</f>
        <v>0.95</v>
      </c>
      <c r="P116" s="636">
        <f>VLOOKUP($B116,'Afton Update'!$A$5:$CR$582,'Afton Update'!AH$589,0)</f>
        <v>60005.693830928329</v>
      </c>
      <c r="Q116" s="637">
        <f>VLOOKUP($B116,'Afton Update'!$A$5:$CR$582,'Afton Update'!AI$589,0)</f>
        <v>16750.126694045372</v>
      </c>
      <c r="R116" s="637">
        <f>VLOOKUP($B116,'Afton Update'!$A$5:$CR$582,'Afton Update'!AJ$589,0)</f>
        <v>38414.74236285832</v>
      </c>
      <c r="S116" s="637">
        <f>VLOOKUP($B116,'Afton Update'!$A$5:$CR$582,'Afton Update'!AK$589,0)</f>
        <v>42812.994756367829</v>
      </c>
      <c r="T116" s="643">
        <f t="shared" si="145"/>
        <v>157983.55764419987</v>
      </c>
      <c r="V116" s="636">
        <f t="shared" si="193"/>
        <v>59752.972967782858</v>
      </c>
      <c r="W116" s="637">
        <f t="shared" si="194"/>
        <v>16198.438760802332</v>
      </c>
      <c r="X116" s="637">
        <f t="shared" si="195"/>
        <v>38206.934976435936</v>
      </c>
      <c r="Y116" s="637">
        <f t="shared" si="196"/>
        <v>42652.434221846685</v>
      </c>
      <c r="Z116" s="643">
        <f t="shared" si="197"/>
        <v>156810.78092686782</v>
      </c>
      <c r="AB116" s="644">
        <f t="shared" si="146"/>
        <v>60005.693830928329</v>
      </c>
      <c r="AC116" s="645">
        <f t="shared" si="134"/>
        <v>59752.972967782858</v>
      </c>
      <c r="AD116" s="644">
        <f t="shared" si="198"/>
        <v>0</v>
      </c>
      <c r="AE116" s="645">
        <f t="shared" si="199"/>
        <v>60005.693830928329</v>
      </c>
      <c r="AF116" s="646">
        <f t="shared" si="200"/>
        <v>-743.81566811291498</v>
      </c>
      <c r="AG116" s="647">
        <f t="shared" si="201"/>
        <v>59261.87816281541</v>
      </c>
      <c r="AH116" s="644">
        <f t="shared" si="147"/>
        <v>-491.094804967448</v>
      </c>
      <c r="AI116" s="645">
        <f t="shared" si="148"/>
        <v>0</v>
      </c>
      <c r="AJ116" s="646">
        <f t="shared" si="202"/>
        <v>0</v>
      </c>
      <c r="AK116" s="647">
        <f t="shared" si="149"/>
        <v>59752.972967782858</v>
      </c>
      <c r="AL116" s="644">
        <f t="shared" si="203"/>
        <v>0</v>
      </c>
      <c r="AM116" s="645">
        <f t="shared" si="204"/>
        <v>0</v>
      </c>
      <c r="AN116" s="646">
        <f t="shared" si="205"/>
        <v>0</v>
      </c>
      <c r="AO116" s="647">
        <f t="shared" si="150"/>
        <v>59752.972967782858</v>
      </c>
      <c r="AP116" s="644">
        <f t="shared" si="206"/>
        <v>0</v>
      </c>
      <c r="AQ116" s="645">
        <f t="shared" si="207"/>
        <v>0</v>
      </c>
      <c r="AR116" s="646">
        <f t="shared" si="208"/>
        <v>0</v>
      </c>
      <c r="AS116" s="647">
        <f t="shared" si="151"/>
        <v>59752.972967782858</v>
      </c>
      <c r="AT116" s="644">
        <f t="shared" si="209"/>
        <v>0</v>
      </c>
      <c r="AU116" s="645">
        <f t="shared" si="210"/>
        <v>0</v>
      </c>
      <c r="AV116" s="646">
        <f t="shared" si="211"/>
        <v>0</v>
      </c>
      <c r="AW116" s="647">
        <f t="shared" si="152"/>
        <v>59752.972967782858</v>
      </c>
      <c r="AY116" s="644">
        <f t="shared" si="212"/>
        <v>16750.126694045372</v>
      </c>
      <c r="AZ116" s="645">
        <f t="shared" si="153"/>
        <v>16034.482039545304</v>
      </c>
      <c r="BA116" s="644">
        <f t="shared" si="213"/>
        <v>0</v>
      </c>
      <c r="BB116" s="645">
        <f t="shared" si="214"/>
        <v>16750.126694045372</v>
      </c>
      <c r="BC116" s="646">
        <f t="shared" si="215"/>
        <v>-120.45504255374421</v>
      </c>
      <c r="BD116" s="647">
        <f t="shared" si="216"/>
        <v>16629.671651491626</v>
      </c>
      <c r="BE116" s="644">
        <f t="shared" si="154"/>
        <v>0</v>
      </c>
      <c r="BF116" s="645">
        <f t="shared" si="155"/>
        <v>16629.671651491626</v>
      </c>
      <c r="BG116" s="646">
        <f t="shared" si="217"/>
        <v>-396.10522653384498</v>
      </c>
      <c r="BH116" s="647">
        <f t="shared" si="156"/>
        <v>16233.56642495778</v>
      </c>
      <c r="BI116" s="644">
        <f t="shared" si="218"/>
        <v>0</v>
      </c>
      <c r="BJ116" s="645">
        <f t="shared" si="219"/>
        <v>16233.56642495778</v>
      </c>
      <c r="BK116" s="646">
        <f t="shared" si="220"/>
        <v>-34.386506498421483</v>
      </c>
      <c r="BL116" s="647">
        <f t="shared" si="157"/>
        <v>16199.179918459358</v>
      </c>
      <c r="BM116" s="644">
        <f t="shared" si="221"/>
        <v>0</v>
      </c>
      <c r="BN116" s="645">
        <f t="shared" si="222"/>
        <v>16199.179918459358</v>
      </c>
      <c r="BO116" s="646">
        <f t="shared" si="223"/>
        <v>-0.74115765702749969</v>
      </c>
      <c r="BP116" s="647">
        <f t="shared" si="158"/>
        <v>16198.438760802332</v>
      </c>
      <c r="BQ116" s="644">
        <f t="shared" si="224"/>
        <v>0</v>
      </c>
      <c r="BR116" s="645">
        <f t="shared" si="225"/>
        <v>16198.438760802332</v>
      </c>
      <c r="BS116" s="646">
        <f t="shared" si="226"/>
        <v>0</v>
      </c>
      <c r="BT116" s="647">
        <f t="shared" si="159"/>
        <v>16198.438760802332</v>
      </c>
      <c r="BU116" s="662">
        <f>VLOOKUP(B116,'Afton Update'!$A$5:$AR$582,'Afton Update'!$AO$589,0)-BT116</f>
        <v>0</v>
      </c>
      <c r="BV116" s="644">
        <f t="shared" si="227"/>
        <v>38414.74236285832</v>
      </c>
      <c r="BW116" s="645">
        <f t="shared" si="135"/>
        <v>38206.934976435936</v>
      </c>
      <c r="BX116" s="644">
        <f t="shared" si="228"/>
        <v>0</v>
      </c>
      <c r="BY116" s="645">
        <f t="shared" si="229"/>
        <v>38414.74236285832</v>
      </c>
      <c r="BZ116" s="646">
        <f t="shared" si="230"/>
        <v>-337.17027792858852</v>
      </c>
      <c r="CA116" s="647">
        <f t="shared" si="231"/>
        <v>38077.572084929729</v>
      </c>
      <c r="CB116" s="644">
        <f t="shared" si="160"/>
        <v>-129.36289150620723</v>
      </c>
      <c r="CC116" s="645">
        <f t="shared" si="161"/>
        <v>0</v>
      </c>
      <c r="CD116" s="646">
        <f t="shared" si="232"/>
        <v>0</v>
      </c>
      <c r="CE116" s="647">
        <f t="shared" si="162"/>
        <v>38206.934976435936</v>
      </c>
      <c r="CF116" s="644">
        <f t="shared" si="233"/>
        <v>0</v>
      </c>
      <c r="CG116" s="645">
        <f t="shared" si="234"/>
        <v>0</v>
      </c>
      <c r="CH116" s="646">
        <f t="shared" si="235"/>
        <v>0</v>
      </c>
      <c r="CI116" s="647">
        <f t="shared" si="163"/>
        <v>38206.934976435936</v>
      </c>
      <c r="CJ116" s="644">
        <f t="shared" si="236"/>
        <v>0</v>
      </c>
      <c r="CK116" s="645">
        <f t="shared" si="237"/>
        <v>0</v>
      </c>
      <c r="CL116" s="646">
        <f t="shared" si="238"/>
        <v>0</v>
      </c>
      <c r="CM116" s="647">
        <f t="shared" si="164"/>
        <v>38206.934976435936</v>
      </c>
      <c r="CN116" s="644">
        <f t="shared" si="239"/>
        <v>0</v>
      </c>
      <c r="CO116" s="645">
        <f t="shared" si="240"/>
        <v>0</v>
      </c>
      <c r="CP116" s="646">
        <f t="shared" si="241"/>
        <v>0</v>
      </c>
      <c r="CQ116" s="647">
        <f t="shared" si="165"/>
        <v>38206.934976435936</v>
      </c>
      <c r="CS116" s="644">
        <f t="shared" si="242"/>
        <v>42812.994756367829</v>
      </c>
      <c r="CT116" s="645">
        <f t="shared" si="136"/>
        <v>42652.434221846685</v>
      </c>
      <c r="CU116" s="644">
        <f t="shared" si="243"/>
        <v>0</v>
      </c>
      <c r="CV116" s="645">
        <f t="shared" si="244"/>
        <v>42812.994756367829</v>
      </c>
      <c r="CW116" s="646">
        <f t="shared" si="245"/>
        <v>-438.42926086938883</v>
      </c>
      <c r="CX116" s="647">
        <f t="shared" si="246"/>
        <v>42374.565495498442</v>
      </c>
      <c r="CY116" s="644">
        <f t="shared" si="166"/>
        <v>-277.86872634824249</v>
      </c>
      <c r="CZ116" s="645">
        <f t="shared" si="167"/>
        <v>0</v>
      </c>
      <c r="DA116" s="646">
        <f t="shared" si="247"/>
        <v>0</v>
      </c>
      <c r="DB116" s="647">
        <f t="shared" si="168"/>
        <v>42652.434221846685</v>
      </c>
      <c r="DC116" s="644">
        <f t="shared" si="248"/>
        <v>0</v>
      </c>
      <c r="DD116" s="645">
        <f t="shared" si="249"/>
        <v>0</v>
      </c>
      <c r="DE116" s="646">
        <f t="shared" si="250"/>
        <v>0</v>
      </c>
      <c r="DF116" s="647">
        <f t="shared" si="169"/>
        <v>42652.434221846685</v>
      </c>
      <c r="DG116" s="644">
        <f t="shared" si="251"/>
        <v>0</v>
      </c>
      <c r="DH116" s="645">
        <f t="shared" si="252"/>
        <v>0</v>
      </c>
      <c r="DI116" s="646">
        <f t="shared" si="253"/>
        <v>0</v>
      </c>
      <c r="DJ116" s="647">
        <f t="shared" si="170"/>
        <v>42652.434221846685</v>
      </c>
      <c r="DK116" s="644">
        <f t="shared" si="254"/>
        <v>0</v>
      </c>
      <c r="DL116" s="645">
        <f t="shared" si="255"/>
        <v>0</v>
      </c>
      <c r="DM116" s="646">
        <f t="shared" si="256"/>
        <v>0</v>
      </c>
      <c r="DN116" s="647">
        <f t="shared" si="171"/>
        <v>42652.434221846685</v>
      </c>
      <c r="DR116" s="827">
        <f t="shared" si="172"/>
        <v>156810.78092686782</v>
      </c>
      <c r="DV116" s="828">
        <f>IFERROR(VLOOKUP($B116,'Afton FY16 Final'!$A$5:$BV$587,'Afton FY16 Final'!$BV$587,0),0)</f>
        <v>161644.68238204671</v>
      </c>
      <c r="DX116" s="636">
        <f t="shared" si="137"/>
        <v>0</v>
      </c>
      <c r="DY116" s="637">
        <f t="shared" si="138"/>
        <v>0</v>
      </c>
      <c r="DZ116" s="637">
        <f t="shared" si="139"/>
        <v>0</v>
      </c>
      <c r="EA116" s="643">
        <f t="shared" si="140"/>
        <v>0</v>
      </c>
      <c r="EB116" s="637">
        <f t="shared" si="173"/>
        <v>0</v>
      </c>
      <c r="EC116" s="637">
        <f t="shared" si="174"/>
        <v>0</v>
      </c>
      <c r="ED116" s="637">
        <f t="shared" si="175"/>
        <v>0</v>
      </c>
      <c r="EE116" s="643">
        <f t="shared" si="176"/>
        <v>0</v>
      </c>
      <c r="EF116" s="637">
        <f t="shared" si="177"/>
        <v>0</v>
      </c>
      <c r="EG116" s="637">
        <f t="shared" si="178"/>
        <v>0</v>
      </c>
      <c r="EH116" s="637">
        <f t="shared" si="179"/>
        <v>0</v>
      </c>
      <c r="EI116" s="643">
        <f t="shared" si="180"/>
        <v>0</v>
      </c>
      <c r="EJ116" s="637">
        <f t="shared" si="181"/>
        <v>0</v>
      </c>
      <c r="EK116" s="637">
        <f t="shared" si="182"/>
        <v>0</v>
      </c>
      <c r="EL116" s="637">
        <f t="shared" si="183"/>
        <v>0</v>
      </c>
      <c r="EM116" s="643">
        <f t="shared" si="184"/>
        <v>0</v>
      </c>
      <c r="EN116" s="637">
        <f t="shared" si="185"/>
        <v>0</v>
      </c>
      <c r="EO116" s="637">
        <f t="shared" si="186"/>
        <v>0</v>
      </c>
      <c r="EP116" s="637">
        <f t="shared" si="187"/>
        <v>0</v>
      </c>
      <c r="EQ116" s="643">
        <f t="shared" si="188"/>
        <v>0</v>
      </c>
      <c r="ER116" s="637">
        <f t="shared" si="189"/>
        <v>0</v>
      </c>
      <c r="ES116" s="637">
        <f t="shared" si="190"/>
        <v>0</v>
      </c>
      <c r="ET116" s="637">
        <f t="shared" si="191"/>
        <v>0</v>
      </c>
      <c r="EU116" s="643">
        <f t="shared" si="141"/>
        <v>0</v>
      </c>
      <c r="EV116" s="643">
        <f t="shared" si="142"/>
        <v>0</v>
      </c>
      <c r="EX116" s="829">
        <f t="shared" si="143"/>
        <v>0</v>
      </c>
      <c r="EY116" s="638">
        <f t="shared" si="144"/>
        <v>156810.78092686782</v>
      </c>
      <c r="FC116" s="830" t="str">
        <f t="shared" si="192"/>
        <v>Y</v>
      </c>
      <c r="FE116" s="830" t="str">
        <f>IFERROR(VLOOKUP($B116,'Historical Conc Grant Elig'!$B$3:$J$707,'HH &amp; SI'!FE$2,0),"N")</f>
        <v>Y</v>
      </c>
      <c r="FF116" s="830" t="str">
        <f>IFERROR(VLOOKUP($B116,'Historical Conc Grant Elig'!$B$3:$J$707,'HH &amp; SI'!FF$2,0),"N")</f>
        <v>Y</v>
      </c>
      <c r="FG116" s="830" t="str">
        <f>IFERROR(VLOOKUP($B116,'Historical Conc Grant Elig'!$B$3:$J$707,'HH &amp; SI'!FG$2,0),"N")</f>
        <v>Y</v>
      </c>
      <c r="FH116" s="830" t="str">
        <f>IFERROR(VLOOKUP($B116,'Historical Conc Grant Elig'!$B$3:$J$707,'HH &amp; SI'!FH$2,0),"N")</f>
        <v>Y</v>
      </c>
      <c r="FI116" s="830" t="str">
        <f>IFERROR(VLOOKUP($B116,'Historical Conc Grant Elig'!$B$3:$J$707,'HH &amp; SI'!FI$2,0),"N")</f>
        <v>Y</v>
      </c>
      <c r="FJ116" s="830" t="str">
        <f>IFERROR(VLOOKUP($B116,'Historical Conc Grant Elig'!$B$3:$J$707,'HH &amp; SI'!FJ$2,0),"N")</f>
        <v>Y</v>
      </c>
      <c r="FK116" s="830" t="str">
        <f>IFERROR(VLOOKUP($B116,'Historical Conc Grant Elig'!$B$3:$J$707,'HH &amp; SI'!FK$2,0),"N")</f>
        <v>Y</v>
      </c>
      <c r="FL116" s="957" t="str">
        <f>IFERROR(VLOOKUP($B116,'Historical Conc Grant Elig'!$B$3:$J$707,'HH &amp; SI'!FL$2,0),"N")</f>
        <v>Y</v>
      </c>
    </row>
    <row r="117" spans="2:168" x14ac:dyDescent="0.25">
      <c r="B117" s="634">
        <v>70449000</v>
      </c>
      <c r="C117" s="635" t="str">
        <f>VLOOKUP($B117,'Afton Update'!$A$5:$CR$582,'Afton Update'!D$589,0)</f>
        <v>Palo Verde Elementary District</v>
      </c>
      <c r="D117" s="636">
        <f>IFERROR(VLOOKUP($B117,'Afton FY16 Final'!$A$5:$BV$587,'Afton FY16 Final'!AQ$587,0),0)</f>
        <v>48524.628658622394</v>
      </c>
      <c r="E117" s="637">
        <f>IFERROR(VLOOKUP($B117,'Afton FY16 Final'!$A$5:$BV$587,'Afton FY16 Final'!AR$587,0),0)</f>
        <v>13348.25069373364</v>
      </c>
      <c r="F117" s="637">
        <f>IFERROR(VLOOKUP($B117,'Afton FY16 Final'!$A$5:$BV$587,'Afton FY16 Final'!AS$587,0),0)</f>
        <v>21058.759368296982</v>
      </c>
      <c r="G117" s="637">
        <f>IFERROR(VLOOKUP($B117,'Afton FY16 Final'!$A$5:$BV$587,'Afton FY16 Final'!AT$587,0),0)</f>
        <v>19192.076606480619</v>
      </c>
      <c r="H117" s="638">
        <f>IFERROR(VLOOKUP($B117,'Afton FY16 Final'!$A$5:$BV$587,'Afton FY16 Final'!AU$587,0),0)</f>
        <v>102123.71532713364</v>
      </c>
      <c r="I117" s="639" t="str">
        <f>VLOOKUP($B117,'Afton Update'!$A$5:$CR$582,'Afton Update'!BT$589,0)</f>
        <v>Y</v>
      </c>
      <c r="J117" s="640" t="str">
        <f>VLOOKUP($B117,'Afton Update'!$A$5:$CR$582,'Afton Update'!BU$589,0)</f>
        <v>Y</v>
      </c>
      <c r="K117" s="640" t="str">
        <f>VLOOKUP($B117,'Afton Update'!$A$5:$CR$582,'Afton Update'!BV$589,0)</f>
        <v>Y</v>
      </c>
      <c r="L117" s="641" t="str">
        <f>VLOOKUP($B117,'Afton Update'!$A$5:$CR$582,'Afton Update'!BW$589,0)</f>
        <v>Y</v>
      </c>
      <c r="N117" s="642">
        <f>VLOOKUP($B117,'Afton Update'!$A$5:$CR$582,'Afton Update'!CB$589,0)</f>
        <v>0.9</v>
      </c>
      <c r="P117" s="636">
        <f>VLOOKUP($B117,'Afton Update'!$A$5:$CR$582,'Afton Update'!AH$589,0)</f>
        <v>50013.713130305783</v>
      </c>
      <c r="Q117" s="637">
        <f>VLOOKUP($B117,'Afton Update'!$A$5:$CR$582,'Afton Update'!AI$589,0)</f>
        <v>14050.323563578899</v>
      </c>
      <c r="R117" s="637">
        <f>VLOOKUP($B117,'Afton Update'!$A$5:$CR$582,'Afton Update'!AJ$589,0)</f>
        <v>21623.068237104537</v>
      </c>
      <c r="S117" s="637">
        <f>VLOOKUP($B117,'Afton Update'!$A$5:$CR$582,'Afton Update'!AK$589,0)</f>
        <v>17421.389295552835</v>
      </c>
      <c r="T117" s="643">
        <f t="shared" si="145"/>
        <v>103108.49422654207</v>
      </c>
      <c r="V117" s="636">
        <f t="shared" si="193"/>
        <v>49331.493621124537</v>
      </c>
      <c r="W117" s="637">
        <f t="shared" si="194"/>
        <v>13587.557274715997</v>
      </c>
      <c r="X117" s="637">
        <f t="shared" si="195"/>
        <v>21426.414873895854</v>
      </c>
      <c r="Y117" s="637">
        <f t="shared" si="196"/>
        <v>17272.868945832557</v>
      </c>
      <c r="Z117" s="643">
        <f t="shared" si="197"/>
        <v>101618.33471556894</v>
      </c>
      <c r="AB117" s="644">
        <f t="shared" si="146"/>
        <v>50013.713130305783</v>
      </c>
      <c r="AC117" s="645">
        <f t="shared" si="134"/>
        <v>43672.165792760155</v>
      </c>
      <c r="AD117" s="644">
        <f t="shared" si="198"/>
        <v>0</v>
      </c>
      <c r="AE117" s="645">
        <f t="shared" si="199"/>
        <v>50013.713130305783</v>
      </c>
      <c r="AF117" s="646">
        <f t="shared" si="200"/>
        <v>-619.95755855508185</v>
      </c>
      <c r="AG117" s="647">
        <f t="shared" si="201"/>
        <v>49393.755571750698</v>
      </c>
      <c r="AH117" s="644">
        <f t="shared" si="147"/>
        <v>0</v>
      </c>
      <c r="AI117" s="645">
        <f t="shared" si="148"/>
        <v>49393.755571750698</v>
      </c>
      <c r="AJ117" s="646">
        <f t="shared" si="202"/>
        <v>-62.222283728652236</v>
      </c>
      <c r="AK117" s="647">
        <f t="shared" si="149"/>
        <v>49331.533288022045</v>
      </c>
      <c r="AL117" s="644">
        <f t="shared" si="203"/>
        <v>0</v>
      </c>
      <c r="AM117" s="645">
        <f t="shared" si="204"/>
        <v>49331.533288022045</v>
      </c>
      <c r="AN117" s="646">
        <f t="shared" si="205"/>
        <v>-3.9666897510885465E-2</v>
      </c>
      <c r="AO117" s="647">
        <f t="shared" si="150"/>
        <v>49331.493621124537</v>
      </c>
      <c r="AP117" s="644">
        <f t="shared" si="206"/>
        <v>0</v>
      </c>
      <c r="AQ117" s="645">
        <f t="shared" si="207"/>
        <v>49331.493621124537</v>
      </c>
      <c r="AR117" s="646">
        <f t="shared" si="208"/>
        <v>0</v>
      </c>
      <c r="AS117" s="647">
        <f t="shared" si="151"/>
        <v>49331.493621124537</v>
      </c>
      <c r="AT117" s="644">
        <f t="shared" si="209"/>
        <v>0</v>
      </c>
      <c r="AU117" s="645">
        <f t="shared" si="210"/>
        <v>49331.493621124537</v>
      </c>
      <c r="AV117" s="646">
        <f t="shared" si="211"/>
        <v>0</v>
      </c>
      <c r="AW117" s="647">
        <f t="shared" si="152"/>
        <v>49331.493621124537</v>
      </c>
      <c r="AY117" s="644">
        <f t="shared" si="212"/>
        <v>14050.323563578899</v>
      </c>
      <c r="AZ117" s="645">
        <f t="shared" si="153"/>
        <v>12013.425624360276</v>
      </c>
      <c r="BA117" s="644">
        <f t="shared" si="213"/>
        <v>0</v>
      </c>
      <c r="BB117" s="645">
        <f t="shared" si="214"/>
        <v>14050.323563578899</v>
      </c>
      <c r="BC117" s="646">
        <f t="shared" si="215"/>
        <v>-101.03997143773407</v>
      </c>
      <c r="BD117" s="647">
        <f t="shared" si="216"/>
        <v>13949.283592141164</v>
      </c>
      <c r="BE117" s="644">
        <f t="shared" si="154"/>
        <v>0</v>
      </c>
      <c r="BF117" s="645">
        <f t="shared" si="155"/>
        <v>13949.283592141164</v>
      </c>
      <c r="BG117" s="646">
        <f t="shared" si="217"/>
        <v>-332.26056731879697</v>
      </c>
      <c r="BH117" s="647">
        <f t="shared" si="156"/>
        <v>13617.023024822367</v>
      </c>
      <c r="BI117" s="644">
        <f t="shared" si="218"/>
        <v>0</v>
      </c>
      <c r="BJ117" s="645">
        <f t="shared" si="219"/>
        <v>13617.023024822367</v>
      </c>
      <c r="BK117" s="646">
        <f t="shared" si="220"/>
        <v>-28.844053024129416</v>
      </c>
      <c r="BL117" s="647">
        <f t="shared" si="157"/>
        <v>13588.178971798237</v>
      </c>
      <c r="BM117" s="644">
        <f t="shared" si="221"/>
        <v>0</v>
      </c>
      <c r="BN117" s="645">
        <f t="shared" si="222"/>
        <v>13588.178971798237</v>
      </c>
      <c r="BO117" s="646">
        <f t="shared" si="223"/>
        <v>-0.62169708224131714</v>
      </c>
      <c r="BP117" s="647">
        <f t="shared" si="158"/>
        <v>13587.557274715997</v>
      </c>
      <c r="BQ117" s="644">
        <f t="shared" si="224"/>
        <v>0</v>
      </c>
      <c r="BR117" s="645">
        <f t="shared" si="225"/>
        <v>13587.557274715997</v>
      </c>
      <c r="BS117" s="646">
        <f t="shared" si="226"/>
        <v>0</v>
      </c>
      <c r="BT117" s="647">
        <f t="shared" si="159"/>
        <v>13587.557274715997</v>
      </c>
      <c r="BU117" s="662">
        <f>VLOOKUP(B117,'Afton Update'!$A$5:$AR$582,'Afton Update'!$AO$589,0)-BT117</f>
        <v>0</v>
      </c>
      <c r="BV117" s="644">
        <f t="shared" si="227"/>
        <v>21623.068237104537</v>
      </c>
      <c r="BW117" s="645">
        <f t="shared" si="135"/>
        <v>18952.883431467286</v>
      </c>
      <c r="BX117" s="644">
        <f t="shared" si="228"/>
        <v>0</v>
      </c>
      <c r="BY117" s="645">
        <f t="shared" si="229"/>
        <v>21623.068237104537</v>
      </c>
      <c r="BZ117" s="646">
        <f t="shared" si="230"/>
        <v>-189.78796885599874</v>
      </c>
      <c r="CA117" s="647">
        <f t="shared" si="231"/>
        <v>21433.280268248538</v>
      </c>
      <c r="CB117" s="644">
        <f t="shared" si="160"/>
        <v>0</v>
      </c>
      <c r="CC117" s="645">
        <f t="shared" si="161"/>
        <v>21433.280268248538</v>
      </c>
      <c r="CD117" s="646">
        <f t="shared" si="232"/>
        <v>-6.8653943526846426</v>
      </c>
      <c r="CE117" s="647">
        <f t="shared" si="162"/>
        <v>21426.414873895854</v>
      </c>
      <c r="CF117" s="644">
        <f t="shared" si="233"/>
        <v>0</v>
      </c>
      <c r="CG117" s="645">
        <f t="shared" si="234"/>
        <v>21426.414873895854</v>
      </c>
      <c r="CH117" s="646">
        <f t="shared" si="235"/>
        <v>0</v>
      </c>
      <c r="CI117" s="647">
        <f t="shared" si="163"/>
        <v>21426.414873895854</v>
      </c>
      <c r="CJ117" s="644">
        <f t="shared" si="236"/>
        <v>0</v>
      </c>
      <c r="CK117" s="645">
        <f t="shared" si="237"/>
        <v>21426.414873895854</v>
      </c>
      <c r="CL117" s="646">
        <f t="shared" si="238"/>
        <v>0</v>
      </c>
      <c r="CM117" s="647">
        <f t="shared" si="164"/>
        <v>21426.414873895854</v>
      </c>
      <c r="CN117" s="644">
        <f t="shared" si="239"/>
        <v>0</v>
      </c>
      <c r="CO117" s="645">
        <f t="shared" si="240"/>
        <v>21426.414873895854</v>
      </c>
      <c r="CP117" s="646">
        <f t="shared" si="241"/>
        <v>0</v>
      </c>
      <c r="CQ117" s="647">
        <f t="shared" si="165"/>
        <v>21426.414873895854</v>
      </c>
      <c r="CS117" s="644">
        <f t="shared" si="242"/>
        <v>17421.389295552835</v>
      </c>
      <c r="CT117" s="645">
        <f t="shared" si="136"/>
        <v>17272.868945832557</v>
      </c>
      <c r="CU117" s="644">
        <f t="shared" si="243"/>
        <v>0</v>
      </c>
      <c r="CV117" s="645">
        <f t="shared" si="244"/>
        <v>17421.389295552835</v>
      </c>
      <c r="CW117" s="646">
        <f t="shared" si="245"/>
        <v>-178.40487159639918</v>
      </c>
      <c r="CX117" s="647">
        <f t="shared" si="246"/>
        <v>17242.984423956437</v>
      </c>
      <c r="CY117" s="644">
        <f t="shared" si="166"/>
        <v>-29.884521876119834</v>
      </c>
      <c r="CZ117" s="645">
        <f t="shared" si="167"/>
        <v>0</v>
      </c>
      <c r="DA117" s="646">
        <f t="shared" si="247"/>
        <v>0</v>
      </c>
      <c r="DB117" s="647">
        <f t="shared" si="168"/>
        <v>17272.868945832557</v>
      </c>
      <c r="DC117" s="644">
        <f t="shared" si="248"/>
        <v>0</v>
      </c>
      <c r="DD117" s="645">
        <f t="shared" si="249"/>
        <v>0</v>
      </c>
      <c r="DE117" s="646">
        <f t="shared" si="250"/>
        <v>0</v>
      </c>
      <c r="DF117" s="647">
        <f t="shared" si="169"/>
        <v>17272.868945832557</v>
      </c>
      <c r="DG117" s="644">
        <f t="shared" si="251"/>
        <v>0</v>
      </c>
      <c r="DH117" s="645">
        <f t="shared" si="252"/>
        <v>0</v>
      </c>
      <c r="DI117" s="646">
        <f t="shared" si="253"/>
        <v>0</v>
      </c>
      <c r="DJ117" s="647">
        <f t="shared" si="170"/>
        <v>17272.868945832557</v>
      </c>
      <c r="DK117" s="644">
        <f t="shared" si="254"/>
        <v>0</v>
      </c>
      <c r="DL117" s="645">
        <f t="shared" si="255"/>
        <v>0</v>
      </c>
      <c r="DM117" s="646">
        <f t="shared" si="256"/>
        <v>0</v>
      </c>
      <c r="DN117" s="647">
        <f t="shared" si="171"/>
        <v>17272.868945832557</v>
      </c>
      <c r="DR117" s="827">
        <f t="shared" si="172"/>
        <v>101618.33471556894</v>
      </c>
      <c r="DV117" s="828">
        <f>IFERROR(VLOOKUP($B117,'Afton FY16 Final'!$A$5:$BV$587,'Afton FY16 Final'!$BV$587,0),0)</f>
        <v>100112.89938925498</v>
      </c>
      <c r="DX117" s="636">
        <f t="shared" si="137"/>
        <v>101618.33471556894</v>
      </c>
      <c r="DY117" s="637">
        <f t="shared" si="138"/>
        <v>1505.4353263139637</v>
      </c>
      <c r="DZ117" s="637">
        <f t="shared" si="139"/>
        <v>100112.89938925498</v>
      </c>
      <c r="EA117" s="643">
        <f t="shared" si="140"/>
        <v>96213.378186122063</v>
      </c>
      <c r="EB117" s="637">
        <f t="shared" si="173"/>
        <v>100112.89938925498</v>
      </c>
      <c r="EC117" s="637">
        <f t="shared" si="174"/>
        <v>0</v>
      </c>
      <c r="ED117" s="637">
        <f t="shared" si="175"/>
        <v>0</v>
      </c>
      <c r="EE117" s="643">
        <f t="shared" si="176"/>
        <v>100112.89938925498</v>
      </c>
      <c r="EF117" s="637">
        <f t="shared" si="177"/>
        <v>0</v>
      </c>
      <c r="EG117" s="637">
        <f t="shared" si="178"/>
        <v>0</v>
      </c>
      <c r="EH117" s="637">
        <f t="shared" si="179"/>
        <v>0</v>
      </c>
      <c r="EI117" s="643">
        <f t="shared" si="180"/>
        <v>100112.89938925498</v>
      </c>
      <c r="EJ117" s="637">
        <f t="shared" si="181"/>
        <v>0</v>
      </c>
      <c r="EK117" s="637">
        <f t="shared" si="182"/>
        <v>0</v>
      </c>
      <c r="EL117" s="637">
        <f t="shared" si="183"/>
        <v>0</v>
      </c>
      <c r="EM117" s="643">
        <f t="shared" si="184"/>
        <v>100112.89938925498</v>
      </c>
      <c r="EN117" s="637">
        <f t="shared" si="185"/>
        <v>0</v>
      </c>
      <c r="EO117" s="637">
        <f t="shared" si="186"/>
        <v>0</v>
      </c>
      <c r="EP117" s="637">
        <f t="shared" si="187"/>
        <v>0</v>
      </c>
      <c r="EQ117" s="643">
        <f t="shared" si="188"/>
        <v>100112.89938925498</v>
      </c>
      <c r="ER117" s="637">
        <f t="shared" si="189"/>
        <v>0</v>
      </c>
      <c r="ES117" s="637">
        <f t="shared" si="190"/>
        <v>0</v>
      </c>
      <c r="ET117" s="637">
        <f t="shared" si="191"/>
        <v>0</v>
      </c>
      <c r="EU117" s="643">
        <f t="shared" si="141"/>
        <v>100112.89938925498</v>
      </c>
      <c r="EV117" s="643">
        <f t="shared" si="142"/>
        <v>0</v>
      </c>
      <c r="EX117" s="829">
        <f t="shared" si="143"/>
        <v>1505.4353263139637</v>
      </c>
      <c r="EY117" s="638">
        <f t="shared" si="144"/>
        <v>100112.89938925498</v>
      </c>
      <c r="FC117" s="830" t="str">
        <f t="shared" si="192"/>
        <v>Y</v>
      </c>
      <c r="FE117" s="830" t="str">
        <f>IFERROR(VLOOKUP($B117,'Historical Conc Grant Elig'!$B$3:$J$707,'HH &amp; SI'!FE$2,0),"N")</f>
        <v>Y</v>
      </c>
      <c r="FF117" s="830" t="str">
        <f>IFERROR(VLOOKUP($B117,'Historical Conc Grant Elig'!$B$3:$J$707,'HH &amp; SI'!FF$2,0),"N")</f>
        <v>Y</v>
      </c>
      <c r="FG117" s="830" t="str">
        <f>IFERROR(VLOOKUP($B117,'Historical Conc Grant Elig'!$B$3:$J$707,'HH &amp; SI'!FG$2,0),"N")</f>
        <v>Y</v>
      </c>
      <c r="FH117" s="830" t="str">
        <f>IFERROR(VLOOKUP($B117,'Historical Conc Grant Elig'!$B$3:$J$707,'HH &amp; SI'!FH$2,0),"N")</f>
        <v>Y</v>
      </c>
      <c r="FI117" s="830" t="str">
        <f>IFERROR(VLOOKUP($B117,'Historical Conc Grant Elig'!$B$3:$J$707,'HH &amp; SI'!FI$2,0),"N")</f>
        <v>Y</v>
      </c>
      <c r="FJ117" s="830" t="str">
        <f>IFERROR(VLOOKUP($B117,'Historical Conc Grant Elig'!$B$3:$J$707,'HH &amp; SI'!FJ$2,0),"N")</f>
        <v>Y</v>
      </c>
      <c r="FK117" s="830" t="str">
        <f>IFERROR(VLOOKUP($B117,'Historical Conc Grant Elig'!$B$3:$J$707,'HH &amp; SI'!FK$2,0),"N")</f>
        <v>Y</v>
      </c>
      <c r="FL117" s="957" t="str">
        <f>IFERROR(VLOOKUP($B117,'Historical Conc Grant Elig'!$B$3:$J$707,'HH &amp; SI'!FL$2,0),"N")</f>
        <v>Y</v>
      </c>
    </row>
    <row r="118" spans="2:168" x14ac:dyDescent="0.25">
      <c r="B118" s="634">
        <v>70459000</v>
      </c>
      <c r="C118" s="635" t="str">
        <f>VLOOKUP($B118,'Afton Update'!$A$5:$CR$582,'Afton Update'!D$589,0)</f>
        <v>Laveen Elementary District</v>
      </c>
      <c r="D118" s="636">
        <f>IFERROR(VLOOKUP($B118,'Afton FY16 Final'!$A$5:$BV$587,'Afton FY16 Final'!AQ$587,0),0)</f>
        <v>729374.1303847247</v>
      </c>
      <c r="E118" s="637">
        <f>IFERROR(VLOOKUP($B118,'Afton FY16 Final'!$A$5:$BV$587,'Afton FY16 Final'!AR$587,0),0)</f>
        <v>171926.70988557322</v>
      </c>
      <c r="F118" s="637">
        <f>IFERROR(VLOOKUP($B118,'Afton FY16 Final'!$A$5:$BV$587,'Afton FY16 Final'!AS$587,0),0)</f>
        <v>284052.69053561694</v>
      </c>
      <c r="G118" s="637">
        <f>IFERROR(VLOOKUP($B118,'Afton FY16 Final'!$A$5:$BV$587,'Afton FY16 Final'!AT$587,0),0)</f>
        <v>193772.73994183849</v>
      </c>
      <c r="H118" s="638">
        <f>IFERROR(VLOOKUP($B118,'Afton FY16 Final'!$A$5:$BV$587,'Afton FY16 Final'!AU$587,0),0)</f>
        <v>1379126.2707477533</v>
      </c>
      <c r="I118" s="639" t="str">
        <f>VLOOKUP($B118,'Afton Update'!$A$5:$CR$582,'Afton Update'!BT$589,0)</f>
        <v>Y</v>
      </c>
      <c r="J118" s="640" t="str">
        <f>VLOOKUP($B118,'Afton Update'!$A$5:$CR$582,'Afton Update'!BU$589,0)</f>
        <v>Y</v>
      </c>
      <c r="K118" s="640" t="str">
        <f>VLOOKUP($B118,'Afton Update'!$A$5:$CR$582,'Afton Update'!BV$589,0)</f>
        <v>Y</v>
      </c>
      <c r="L118" s="641" t="str">
        <f>VLOOKUP($B118,'Afton Update'!$A$5:$CR$582,'Afton Update'!BW$589,0)</f>
        <v>Y</v>
      </c>
      <c r="N118" s="642">
        <f>VLOOKUP($B118,'Afton Update'!$A$5:$CR$582,'Afton Update'!CB$589,0)</f>
        <v>0.9</v>
      </c>
      <c r="P118" s="636">
        <f>VLOOKUP($B118,'Afton Update'!$A$5:$CR$582,'Afton Update'!AH$589,0)</f>
        <v>748121.79224082408</v>
      </c>
      <c r="Q118" s="637">
        <f>VLOOKUP($B118,'Afton Update'!$A$5:$CR$582,'Afton Update'!AI$589,0)</f>
        <v>180426.70816985561</v>
      </c>
      <c r="R118" s="637">
        <f>VLOOKUP($B118,'Afton Update'!$A$5:$CR$582,'Afton Update'!AJ$589,0)</f>
        <v>314950.12483394507</v>
      </c>
      <c r="S118" s="637">
        <f>VLOOKUP($B118,'Afton Update'!$A$5:$CR$582,'Afton Update'!AK$589,0)</f>
        <v>245146.29568750013</v>
      </c>
      <c r="T118" s="643">
        <f t="shared" si="145"/>
        <v>1488644.9209321251</v>
      </c>
      <c r="V118" s="636">
        <f t="shared" si="193"/>
        <v>737916.92541598785</v>
      </c>
      <c r="W118" s="637">
        <f t="shared" si="194"/>
        <v>174484.11205997315</v>
      </c>
      <c r="X118" s="637">
        <f t="shared" si="195"/>
        <v>312085.77641620714</v>
      </c>
      <c r="Y118" s="637">
        <f t="shared" si="196"/>
        <v>242445.22479489763</v>
      </c>
      <c r="Z118" s="643">
        <f t="shared" si="197"/>
        <v>1466932.0386870659</v>
      </c>
      <c r="AB118" s="644">
        <f t="shared" si="146"/>
        <v>748121.79224082408</v>
      </c>
      <c r="AC118" s="645">
        <f t="shared" si="134"/>
        <v>656436.71734625229</v>
      </c>
      <c r="AD118" s="644">
        <f t="shared" si="198"/>
        <v>0</v>
      </c>
      <c r="AE118" s="645">
        <f t="shared" si="199"/>
        <v>748121.79224082408</v>
      </c>
      <c r="AF118" s="646">
        <f t="shared" si="200"/>
        <v>-9273.5318133864348</v>
      </c>
      <c r="AG118" s="647">
        <f t="shared" si="201"/>
        <v>738848.26042743761</v>
      </c>
      <c r="AH118" s="644">
        <f t="shared" si="147"/>
        <v>0</v>
      </c>
      <c r="AI118" s="645">
        <f t="shared" si="148"/>
        <v>738848.26042743761</v>
      </c>
      <c r="AJ118" s="646">
        <f t="shared" si="202"/>
        <v>-930.74166077442305</v>
      </c>
      <c r="AK118" s="647">
        <f t="shared" si="149"/>
        <v>737917.51876666315</v>
      </c>
      <c r="AL118" s="644">
        <f t="shared" si="203"/>
        <v>0</v>
      </c>
      <c r="AM118" s="645">
        <f t="shared" si="204"/>
        <v>737917.51876666315</v>
      </c>
      <c r="AN118" s="646">
        <f t="shared" si="205"/>
        <v>-0.59335067526699514</v>
      </c>
      <c r="AO118" s="647">
        <f t="shared" si="150"/>
        <v>737916.92541598785</v>
      </c>
      <c r="AP118" s="644">
        <f t="shared" si="206"/>
        <v>0</v>
      </c>
      <c r="AQ118" s="645">
        <f t="shared" si="207"/>
        <v>737916.92541598785</v>
      </c>
      <c r="AR118" s="646">
        <f t="shared" si="208"/>
        <v>0</v>
      </c>
      <c r="AS118" s="647">
        <f t="shared" si="151"/>
        <v>737916.92541598785</v>
      </c>
      <c r="AT118" s="644">
        <f t="shared" si="209"/>
        <v>0</v>
      </c>
      <c r="AU118" s="645">
        <f t="shared" si="210"/>
        <v>737916.92541598785</v>
      </c>
      <c r="AV118" s="646">
        <f t="shared" si="211"/>
        <v>0</v>
      </c>
      <c r="AW118" s="647">
        <f t="shared" si="152"/>
        <v>737916.92541598785</v>
      </c>
      <c r="AY118" s="644">
        <f t="shared" si="212"/>
        <v>180426.70816985561</v>
      </c>
      <c r="AZ118" s="645">
        <f t="shared" si="153"/>
        <v>154734.03889701591</v>
      </c>
      <c r="BA118" s="644">
        <f t="shared" si="213"/>
        <v>0</v>
      </c>
      <c r="BB118" s="645">
        <f t="shared" si="214"/>
        <v>180426.70816985561</v>
      </c>
      <c r="BC118" s="646">
        <f t="shared" si="215"/>
        <v>-1297.501040285151</v>
      </c>
      <c r="BD118" s="647">
        <f t="shared" si="216"/>
        <v>179129.20712957045</v>
      </c>
      <c r="BE118" s="644">
        <f t="shared" si="154"/>
        <v>0</v>
      </c>
      <c r="BF118" s="645">
        <f t="shared" si="155"/>
        <v>179129.20712957045</v>
      </c>
      <c r="BG118" s="646">
        <f t="shared" si="217"/>
        <v>-4266.7117340541245</v>
      </c>
      <c r="BH118" s="647">
        <f t="shared" si="156"/>
        <v>174862.49539551634</v>
      </c>
      <c r="BI118" s="644">
        <f t="shared" si="218"/>
        <v>0</v>
      </c>
      <c r="BJ118" s="645">
        <f t="shared" si="219"/>
        <v>174862.49539551634</v>
      </c>
      <c r="BK118" s="646">
        <f t="shared" si="220"/>
        <v>-370.39983555331133</v>
      </c>
      <c r="BL118" s="647">
        <f t="shared" si="157"/>
        <v>174492.09555996303</v>
      </c>
      <c r="BM118" s="644">
        <f t="shared" si="221"/>
        <v>0</v>
      </c>
      <c r="BN118" s="645">
        <f t="shared" si="222"/>
        <v>174492.09555996303</v>
      </c>
      <c r="BO118" s="646">
        <f t="shared" si="223"/>
        <v>-7.9834999898772949</v>
      </c>
      <c r="BP118" s="647">
        <f t="shared" si="158"/>
        <v>174484.11205997315</v>
      </c>
      <c r="BQ118" s="644">
        <f t="shared" si="224"/>
        <v>0</v>
      </c>
      <c r="BR118" s="645">
        <f t="shared" si="225"/>
        <v>174484.11205997315</v>
      </c>
      <c r="BS118" s="646">
        <f t="shared" si="226"/>
        <v>0</v>
      </c>
      <c r="BT118" s="647">
        <f t="shared" si="159"/>
        <v>174484.11205997315</v>
      </c>
      <c r="BU118" s="662">
        <f>VLOOKUP(B118,'Afton Update'!$A$5:$AR$582,'Afton Update'!$AO$589,0)-BT118</f>
        <v>0</v>
      </c>
      <c r="BV118" s="644">
        <f t="shared" si="227"/>
        <v>314950.12483394507</v>
      </c>
      <c r="BW118" s="645">
        <f t="shared" si="135"/>
        <v>255647.42148205524</v>
      </c>
      <c r="BX118" s="644">
        <f t="shared" si="228"/>
        <v>0</v>
      </c>
      <c r="BY118" s="645">
        <f t="shared" si="229"/>
        <v>314950.12483394507</v>
      </c>
      <c r="BZ118" s="646">
        <f t="shared" si="230"/>
        <v>-2764.3507307907271</v>
      </c>
      <c r="CA118" s="647">
        <f t="shared" si="231"/>
        <v>312185.77410315437</v>
      </c>
      <c r="CB118" s="644">
        <f t="shared" si="160"/>
        <v>0</v>
      </c>
      <c r="CC118" s="645">
        <f t="shared" si="161"/>
        <v>312185.77410315437</v>
      </c>
      <c r="CD118" s="646">
        <f t="shared" si="232"/>
        <v>-99.997686947216948</v>
      </c>
      <c r="CE118" s="647">
        <f t="shared" si="162"/>
        <v>312085.77641620714</v>
      </c>
      <c r="CF118" s="644">
        <f t="shared" si="233"/>
        <v>0</v>
      </c>
      <c r="CG118" s="645">
        <f t="shared" si="234"/>
        <v>312085.77641620714</v>
      </c>
      <c r="CH118" s="646">
        <f t="shared" si="235"/>
        <v>0</v>
      </c>
      <c r="CI118" s="647">
        <f t="shared" si="163"/>
        <v>312085.77641620714</v>
      </c>
      <c r="CJ118" s="644">
        <f t="shared" si="236"/>
        <v>0</v>
      </c>
      <c r="CK118" s="645">
        <f t="shared" si="237"/>
        <v>312085.77641620714</v>
      </c>
      <c r="CL118" s="646">
        <f t="shared" si="238"/>
        <v>0</v>
      </c>
      <c r="CM118" s="647">
        <f t="shared" si="164"/>
        <v>312085.77641620714</v>
      </c>
      <c r="CN118" s="644">
        <f t="shared" si="239"/>
        <v>0</v>
      </c>
      <c r="CO118" s="645">
        <f t="shared" si="240"/>
        <v>312085.77641620714</v>
      </c>
      <c r="CP118" s="646">
        <f t="shared" si="241"/>
        <v>0</v>
      </c>
      <c r="CQ118" s="647">
        <f t="shared" si="165"/>
        <v>312085.77641620714</v>
      </c>
      <c r="CS118" s="644">
        <f t="shared" si="242"/>
        <v>245146.29568750013</v>
      </c>
      <c r="CT118" s="645">
        <f t="shared" si="136"/>
        <v>174395.46594765465</v>
      </c>
      <c r="CU118" s="644">
        <f t="shared" si="243"/>
        <v>0</v>
      </c>
      <c r="CV118" s="645">
        <f t="shared" si="244"/>
        <v>245146.29568750013</v>
      </c>
      <c r="CW118" s="646">
        <f t="shared" si="245"/>
        <v>-2510.4366053989556</v>
      </c>
      <c r="CX118" s="647">
        <f t="shared" si="246"/>
        <v>242635.85908210117</v>
      </c>
      <c r="CY118" s="644">
        <f t="shared" si="166"/>
        <v>0</v>
      </c>
      <c r="CZ118" s="645">
        <f t="shared" si="167"/>
        <v>242635.85908210117</v>
      </c>
      <c r="DA118" s="646">
        <f t="shared" si="247"/>
        <v>-190.47003052570724</v>
      </c>
      <c r="DB118" s="647">
        <f t="shared" si="168"/>
        <v>242445.38905157548</v>
      </c>
      <c r="DC118" s="644">
        <f t="shared" si="248"/>
        <v>0</v>
      </c>
      <c r="DD118" s="645">
        <f t="shared" si="249"/>
        <v>242445.38905157548</v>
      </c>
      <c r="DE118" s="646">
        <f t="shared" si="250"/>
        <v>-0.1642566778345875</v>
      </c>
      <c r="DF118" s="647">
        <f t="shared" si="169"/>
        <v>242445.22479489763</v>
      </c>
      <c r="DG118" s="644">
        <f t="shared" si="251"/>
        <v>0</v>
      </c>
      <c r="DH118" s="645">
        <f t="shared" si="252"/>
        <v>242445.22479489763</v>
      </c>
      <c r="DI118" s="646">
        <f t="shared" si="253"/>
        <v>0</v>
      </c>
      <c r="DJ118" s="647">
        <f t="shared" si="170"/>
        <v>242445.22479489763</v>
      </c>
      <c r="DK118" s="644">
        <f t="shared" si="254"/>
        <v>0</v>
      </c>
      <c r="DL118" s="645">
        <f t="shared" si="255"/>
        <v>242445.22479489763</v>
      </c>
      <c r="DM118" s="646">
        <f t="shared" si="256"/>
        <v>0</v>
      </c>
      <c r="DN118" s="647">
        <f t="shared" si="171"/>
        <v>242445.22479489763</v>
      </c>
      <c r="DR118" s="827">
        <f t="shared" si="172"/>
        <v>1466932.0386870659</v>
      </c>
      <c r="DV118" s="828">
        <f>IFERROR(VLOOKUP($B118,'Afton FY16 Final'!$A$5:$BV$587,'Afton FY16 Final'!$BV$587,0),0)</f>
        <v>1224430.2000584304</v>
      </c>
      <c r="DX118" s="636">
        <f t="shared" si="137"/>
        <v>1466932.0386870659</v>
      </c>
      <c r="DY118" s="637">
        <f t="shared" si="138"/>
        <v>242501.83862863551</v>
      </c>
      <c r="DZ118" s="637">
        <f t="shared" si="139"/>
        <v>1224430.2000584304</v>
      </c>
      <c r="EA118" s="643">
        <f t="shared" si="140"/>
        <v>1388907.6947244431</v>
      </c>
      <c r="EB118" s="637">
        <f t="shared" si="173"/>
        <v>0</v>
      </c>
      <c r="EC118" s="637">
        <f t="shared" si="174"/>
        <v>1388907.6947244431</v>
      </c>
      <c r="ED118" s="637">
        <f t="shared" si="175"/>
        <v>1384766.0549072952</v>
      </c>
      <c r="EE118" s="643">
        <f t="shared" si="176"/>
        <v>1384766.0549072952</v>
      </c>
      <c r="EF118" s="637">
        <f t="shared" si="177"/>
        <v>0</v>
      </c>
      <c r="EG118" s="637">
        <f t="shared" si="178"/>
        <v>1384766.0549072952</v>
      </c>
      <c r="EH118" s="637">
        <f t="shared" si="179"/>
        <v>1384764.6262982078</v>
      </c>
      <c r="EI118" s="643">
        <f t="shared" si="180"/>
        <v>1384764.6262982078</v>
      </c>
      <c r="EJ118" s="637">
        <f t="shared" si="181"/>
        <v>0</v>
      </c>
      <c r="EK118" s="637">
        <f t="shared" si="182"/>
        <v>1384764.6262982078</v>
      </c>
      <c r="EL118" s="637">
        <f t="shared" si="183"/>
        <v>1384764.6262982059</v>
      </c>
      <c r="EM118" s="643">
        <f t="shared" si="184"/>
        <v>1384764.6262982059</v>
      </c>
      <c r="EN118" s="637">
        <f t="shared" si="185"/>
        <v>0</v>
      </c>
      <c r="EO118" s="637">
        <f t="shared" si="186"/>
        <v>1384764.6262982059</v>
      </c>
      <c r="EP118" s="637">
        <f t="shared" si="187"/>
        <v>1384764.626298208</v>
      </c>
      <c r="EQ118" s="643">
        <f t="shared" si="188"/>
        <v>1384764.626298208</v>
      </c>
      <c r="ER118" s="637">
        <f t="shared" si="189"/>
        <v>0</v>
      </c>
      <c r="ES118" s="637">
        <f t="shared" si="190"/>
        <v>1384764.626298208</v>
      </c>
      <c r="ET118" s="637">
        <f t="shared" si="191"/>
        <v>1384764.6262982059</v>
      </c>
      <c r="EU118" s="643">
        <f t="shared" si="141"/>
        <v>1384764.6262982059</v>
      </c>
      <c r="EV118" s="643">
        <f t="shared" si="142"/>
        <v>0</v>
      </c>
      <c r="EX118" s="829">
        <f t="shared" si="143"/>
        <v>82167.412388860015</v>
      </c>
      <c r="EY118" s="638">
        <f t="shared" si="144"/>
        <v>1384764.6262982059</v>
      </c>
      <c r="FC118" s="830" t="str">
        <f t="shared" si="192"/>
        <v>Y</v>
      </c>
      <c r="FE118" s="830" t="str">
        <f>IFERROR(VLOOKUP($B118,'Historical Conc Grant Elig'!$B$3:$J$707,'HH &amp; SI'!FE$2,0),"N")</f>
        <v>Y</v>
      </c>
      <c r="FF118" s="830" t="str">
        <f>IFERROR(VLOOKUP($B118,'Historical Conc Grant Elig'!$B$3:$J$707,'HH &amp; SI'!FF$2,0),"N")</f>
        <v>Y</v>
      </c>
      <c r="FG118" s="830" t="str">
        <f>IFERROR(VLOOKUP($B118,'Historical Conc Grant Elig'!$B$3:$J$707,'HH &amp; SI'!FG$2,0),"N")</f>
        <v>Y</v>
      </c>
      <c r="FH118" s="830" t="str">
        <f>IFERROR(VLOOKUP($B118,'Historical Conc Grant Elig'!$B$3:$J$707,'HH &amp; SI'!FH$2,0),"N")</f>
        <v>Y</v>
      </c>
      <c r="FI118" s="830" t="str">
        <f>IFERROR(VLOOKUP($B118,'Historical Conc Grant Elig'!$B$3:$J$707,'HH &amp; SI'!FI$2,0),"N")</f>
        <v>Y</v>
      </c>
      <c r="FJ118" s="830" t="str">
        <f>IFERROR(VLOOKUP($B118,'Historical Conc Grant Elig'!$B$3:$J$707,'HH &amp; SI'!FJ$2,0),"N")</f>
        <v>Y</v>
      </c>
      <c r="FK118" s="830" t="str">
        <f>IFERROR(VLOOKUP($B118,'Historical Conc Grant Elig'!$B$3:$J$707,'HH &amp; SI'!FK$2,0),"N")</f>
        <v>Y</v>
      </c>
      <c r="FL118" s="957" t="str">
        <f>IFERROR(VLOOKUP($B118,'Historical Conc Grant Elig'!$B$3:$J$707,'HH &amp; SI'!FL$2,0),"N")</f>
        <v>Y</v>
      </c>
    </row>
    <row r="119" spans="2:168" x14ac:dyDescent="0.25">
      <c r="B119" s="634">
        <v>70462000</v>
      </c>
      <c r="C119" s="635" t="str">
        <f>VLOOKUP($B119,'Afton Update'!$A$5:$CR$582,'Afton Update'!D$589,0)</f>
        <v>Union Elementary District</v>
      </c>
      <c r="D119" s="636">
        <f>IFERROR(VLOOKUP($B119,'Afton FY16 Final'!$A$5:$BV$587,'Afton FY16 Final'!AQ$587,0),0)</f>
        <v>295936.85271762067</v>
      </c>
      <c r="E119" s="637">
        <f>IFERROR(VLOOKUP($B119,'Afton FY16 Final'!$A$5:$BV$587,'Afton FY16 Final'!AR$587,0),0)</f>
        <v>70892.542439329729</v>
      </c>
      <c r="F119" s="637">
        <f>IFERROR(VLOOKUP($B119,'Afton FY16 Final'!$A$5:$BV$587,'Afton FY16 Final'!AS$587,0),0)</f>
        <v>116686.4096390121</v>
      </c>
      <c r="G119" s="637">
        <f>IFERROR(VLOOKUP($B119,'Afton FY16 Final'!$A$5:$BV$587,'Afton FY16 Final'!AT$587,0),0)</f>
        <v>80026.219885065817</v>
      </c>
      <c r="H119" s="638">
        <f>IFERROR(VLOOKUP($B119,'Afton FY16 Final'!$A$5:$BV$587,'Afton FY16 Final'!AU$587,0),0)</f>
        <v>563542.02468102833</v>
      </c>
      <c r="I119" s="639" t="str">
        <f>VLOOKUP($B119,'Afton Update'!$A$5:$CR$582,'Afton Update'!BT$589,0)</f>
        <v>Y</v>
      </c>
      <c r="J119" s="640" t="str">
        <f>VLOOKUP($B119,'Afton Update'!$A$5:$CR$582,'Afton Update'!BU$589,0)</f>
        <v>Y</v>
      </c>
      <c r="K119" s="640" t="str">
        <f>VLOOKUP($B119,'Afton Update'!$A$5:$CR$582,'Afton Update'!BV$589,0)</f>
        <v>Y</v>
      </c>
      <c r="L119" s="641" t="str">
        <f>VLOOKUP($B119,'Afton Update'!$A$5:$CR$582,'Afton Update'!BW$589,0)</f>
        <v>Y</v>
      </c>
      <c r="N119" s="642">
        <f>VLOOKUP($B119,'Afton Update'!$A$5:$CR$582,'Afton Update'!CB$589,0)</f>
        <v>0.9</v>
      </c>
      <c r="P119" s="636">
        <f>VLOOKUP($B119,'Afton Update'!$A$5:$CR$582,'Afton Update'!AH$589,0)</f>
        <v>307167.55480862805</v>
      </c>
      <c r="Q119" s="637">
        <f>VLOOKUP($B119,'Afton Update'!$A$5:$CR$582,'Afton Update'!AI$589,0)</f>
        <v>75336.430609592499</v>
      </c>
      <c r="R119" s="637">
        <f>VLOOKUP($B119,'Afton Update'!$A$5:$CR$582,'Afton Update'!AJ$589,0)</f>
        <v>132184.74829021489</v>
      </c>
      <c r="S119" s="637">
        <f>VLOOKUP($B119,'Afton Update'!$A$5:$CR$582,'Afton Update'!AK$589,0)</f>
        <v>103879.27410808174</v>
      </c>
      <c r="T119" s="643">
        <f t="shared" si="145"/>
        <v>618568.00781651714</v>
      </c>
      <c r="V119" s="636">
        <f t="shared" si="193"/>
        <v>302977.58998973994</v>
      </c>
      <c r="W119" s="637">
        <f t="shared" si="194"/>
        <v>72855.124022479402</v>
      </c>
      <c r="X119" s="637">
        <f t="shared" si="195"/>
        <v>130982.57961409897</v>
      </c>
      <c r="Y119" s="637">
        <f t="shared" si="196"/>
        <v>102734.71149965591</v>
      </c>
      <c r="Z119" s="643">
        <f t="shared" si="197"/>
        <v>609550.0051259743</v>
      </c>
      <c r="AB119" s="644">
        <f t="shared" si="146"/>
        <v>307167.55480862805</v>
      </c>
      <c r="AC119" s="645">
        <f t="shared" si="134"/>
        <v>266343.16744585859</v>
      </c>
      <c r="AD119" s="644">
        <f t="shared" si="198"/>
        <v>0</v>
      </c>
      <c r="AE119" s="645">
        <f t="shared" si="199"/>
        <v>307167.55480862805</v>
      </c>
      <c r="AF119" s="646">
        <f t="shared" si="200"/>
        <v>-3807.5726721257947</v>
      </c>
      <c r="AG119" s="647">
        <f t="shared" si="201"/>
        <v>303359.98213650228</v>
      </c>
      <c r="AH119" s="644">
        <f t="shared" si="147"/>
        <v>0</v>
      </c>
      <c r="AI119" s="645">
        <f t="shared" si="148"/>
        <v>303359.98213650228</v>
      </c>
      <c r="AJ119" s="646">
        <f t="shared" si="202"/>
        <v>-382.14852590013925</v>
      </c>
      <c r="AK119" s="647">
        <f t="shared" si="149"/>
        <v>302977.83361060213</v>
      </c>
      <c r="AL119" s="644">
        <f t="shared" si="203"/>
        <v>0</v>
      </c>
      <c r="AM119" s="645">
        <f t="shared" si="204"/>
        <v>302977.83361060213</v>
      </c>
      <c r="AN119" s="646">
        <f t="shared" si="205"/>
        <v>-0.24362086221268828</v>
      </c>
      <c r="AO119" s="647">
        <f t="shared" si="150"/>
        <v>302977.58998973994</v>
      </c>
      <c r="AP119" s="644">
        <f t="shared" si="206"/>
        <v>0</v>
      </c>
      <c r="AQ119" s="645">
        <f t="shared" si="207"/>
        <v>302977.58998973994</v>
      </c>
      <c r="AR119" s="646">
        <f t="shared" si="208"/>
        <v>0</v>
      </c>
      <c r="AS119" s="647">
        <f t="shared" si="151"/>
        <v>302977.58998973994</v>
      </c>
      <c r="AT119" s="644">
        <f t="shared" si="209"/>
        <v>0</v>
      </c>
      <c r="AU119" s="645">
        <f t="shared" si="210"/>
        <v>302977.58998973994</v>
      </c>
      <c r="AV119" s="646">
        <f t="shared" si="211"/>
        <v>0</v>
      </c>
      <c r="AW119" s="647">
        <f t="shared" si="152"/>
        <v>302977.58998973994</v>
      </c>
      <c r="AY119" s="644">
        <f t="shared" si="212"/>
        <v>75336.430609592499</v>
      </c>
      <c r="AZ119" s="645">
        <f t="shared" si="153"/>
        <v>63803.288195396759</v>
      </c>
      <c r="BA119" s="644">
        <f t="shared" si="213"/>
        <v>0</v>
      </c>
      <c r="BB119" s="645">
        <f t="shared" si="214"/>
        <v>75336.430609592499</v>
      </c>
      <c r="BC119" s="646">
        <f t="shared" si="215"/>
        <v>-541.76622784302162</v>
      </c>
      <c r="BD119" s="647">
        <f t="shared" si="216"/>
        <v>74794.664381749477</v>
      </c>
      <c r="BE119" s="644">
        <f t="shared" si="154"/>
        <v>0</v>
      </c>
      <c r="BF119" s="645">
        <f t="shared" si="155"/>
        <v>74794.664381749477</v>
      </c>
      <c r="BG119" s="646">
        <f t="shared" si="217"/>
        <v>-1781.5479523192134</v>
      </c>
      <c r="BH119" s="647">
        <f t="shared" si="156"/>
        <v>73013.116429430258</v>
      </c>
      <c r="BI119" s="644">
        <f t="shared" si="218"/>
        <v>0</v>
      </c>
      <c r="BJ119" s="645">
        <f t="shared" si="219"/>
        <v>73013.116429430258</v>
      </c>
      <c r="BK119" s="646">
        <f t="shared" si="220"/>
        <v>-154.65892933487888</v>
      </c>
      <c r="BL119" s="647">
        <f t="shared" si="157"/>
        <v>72858.457500095377</v>
      </c>
      <c r="BM119" s="644">
        <f t="shared" si="221"/>
        <v>0</v>
      </c>
      <c r="BN119" s="645">
        <f t="shared" si="222"/>
        <v>72858.457500095377</v>
      </c>
      <c r="BO119" s="646">
        <f t="shared" si="223"/>
        <v>-3.3334776159794663</v>
      </c>
      <c r="BP119" s="647">
        <f t="shared" si="158"/>
        <v>72855.124022479402</v>
      </c>
      <c r="BQ119" s="644">
        <f t="shared" si="224"/>
        <v>0</v>
      </c>
      <c r="BR119" s="645">
        <f t="shared" si="225"/>
        <v>72855.124022479402</v>
      </c>
      <c r="BS119" s="646">
        <f t="shared" si="226"/>
        <v>0</v>
      </c>
      <c r="BT119" s="647">
        <f t="shared" si="159"/>
        <v>72855.124022479402</v>
      </c>
      <c r="BU119" s="662">
        <f>VLOOKUP(B119,'Afton Update'!$A$5:$AR$582,'Afton Update'!$AO$589,0)-BT119</f>
        <v>0</v>
      </c>
      <c r="BV119" s="644">
        <f t="shared" si="227"/>
        <v>132184.74829021489</v>
      </c>
      <c r="BW119" s="645">
        <f t="shared" si="135"/>
        <v>105017.76867511088</v>
      </c>
      <c r="BX119" s="644">
        <f t="shared" si="228"/>
        <v>0</v>
      </c>
      <c r="BY119" s="645">
        <f t="shared" si="229"/>
        <v>132184.74829021489</v>
      </c>
      <c r="BZ119" s="646">
        <f t="shared" si="230"/>
        <v>-1160.1995894686522</v>
      </c>
      <c r="CA119" s="647">
        <f t="shared" si="231"/>
        <v>131024.54870074624</v>
      </c>
      <c r="CB119" s="644">
        <f t="shared" si="160"/>
        <v>0</v>
      </c>
      <c r="CC119" s="645">
        <f t="shared" si="161"/>
        <v>131024.54870074624</v>
      </c>
      <c r="CD119" s="646">
        <f t="shared" si="232"/>
        <v>-41.969086647261221</v>
      </c>
      <c r="CE119" s="647">
        <f t="shared" si="162"/>
        <v>130982.57961409897</v>
      </c>
      <c r="CF119" s="644">
        <f t="shared" si="233"/>
        <v>0</v>
      </c>
      <c r="CG119" s="645">
        <f t="shared" si="234"/>
        <v>130982.57961409897</v>
      </c>
      <c r="CH119" s="646">
        <f t="shared" si="235"/>
        <v>0</v>
      </c>
      <c r="CI119" s="647">
        <f t="shared" si="163"/>
        <v>130982.57961409897</v>
      </c>
      <c r="CJ119" s="644">
        <f t="shared" si="236"/>
        <v>0</v>
      </c>
      <c r="CK119" s="645">
        <f t="shared" si="237"/>
        <v>130982.57961409897</v>
      </c>
      <c r="CL119" s="646">
        <f t="shared" si="238"/>
        <v>0</v>
      </c>
      <c r="CM119" s="647">
        <f t="shared" si="164"/>
        <v>130982.57961409897</v>
      </c>
      <c r="CN119" s="644">
        <f t="shared" si="239"/>
        <v>0</v>
      </c>
      <c r="CO119" s="645">
        <f t="shared" si="240"/>
        <v>130982.57961409897</v>
      </c>
      <c r="CP119" s="646">
        <f t="shared" si="241"/>
        <v>0</v>
      </c>
      <c r="CQ119" s="647">
        <f t="shared" si="165"/>
        <v>130982.57961409897</v>
      </c>
      <c r="CS119" s="644">
        <f t="shared" si="242"/>
        <v>103879.27410808174</v>
      </c>
      <c r="CT119" s="645">
        <f t="shared" si="136"/>
        <v>72023.597896559237</v>
      </c>
      <c r="CU119" s="644">
        <f t="shared" si="243"/>
        <v>0</v>
      </c>
      <c r="CV119" s="645">
        <f t="shared" si="244"/>
        <v>103879.27410808174</v>
      </c>
      <c r="CW119" s="646">
        <f t="shared" si="245"/>
        <v>-1063.7824713273751</v>
      </c>
      <c r="CX119" s="647">
        <f t="shared" si="246"/>
        <v>102815.49163675436</v>
      </c>
      <c r="CY119" s="644">
        <f t="shared" si="166"/>
        <v>0</v>
      </c>
      <c r="CZ119" s="645">
        <f t="shared" si="167"/>
        <v>102815.49163675436</v>
      </c>
      <c r="DA119" s="646">
        <f t="shared" si="247"/>
        <v>-80.71053431529991</v>
      </c>
      <c r="DB119" s="647">
        <f t="shared" si="168"/>
        <v>102734.78110243907</v>
      </c>
      <c r="DC119" s="644">
        <f t="shared" si="248"/>
        <v>0</v>
      </c>
      <c r="DD119" s="645">
        <f t="shared" si="249"/>
        <v>102734.78110243907</v>
      </c>
      <c r="DE119" s="646">
        <f t="shared" si="250"/>
        <v>-6.9602783158562803E-2</v>
      </c>
      <c r="DF119" s="647">
        <f t="shared" si="169"/>
        <v>102734.71149965591</v>
      </c>
      <c r="DG119" s="644">
        <f t="shared" si="251"/>
        <v>0</v>
      </c>
      <c r="DH119" s="645">
        <f t="shared" si="252"/>
        <v>102734.71149965591</v>
      </c>
      <c r="DI119" s="646">
        <f t="shared" si="253"/>
        <v>0</v>
      </c>
      <c r="DJ119" s="647">
        <f t="shared" si="170"/>
        <v>102734.71149965591</v>
      </c>
      <c r="DK119" s="644">
        <f t="shared" si="254"/>
        <v>0</v>
      </c>
      <c r="DL119" s="645">
        <f t="shared" si="255"/>
        <v>102734.71149965591</v>
      </c>
      <c r="DM119" s="646">
        <f t="shared" si="256"/>
        <v>0</v>
      </c>
      <c r="DN119" s="647">
        <f t="shared" si="171"/>
        <v>102734.71149965591</v>
      </c>
      <c r="DR119" s="827">
        <f t="shared" si="172"/>
        <v>609550.0051259743</v>
      </c>
      <c r="DV119" s="828">
        <f>IFERROR(VLOOKUP($B119,'Afton FY16 Final'!$A$5:$BV$587,'Afton FY16 Final'!$BV$587,0),0)</f>
        <v>500329.72952317202</v>
      </c>
      <c r="DX119" s="636">
        <f t="shared" si="137"/>
        <v>609550.0051259743</v>
      </c>
      <c r="DY119" s="637">
        <f t="shared" si="138"/>
        <v>109220.27560280228</v>
      </c>
      <c r="DZ119" s="637">
        <f t="shared" si="139"/>
        <v>500329.72952317202</v>
      </c>
      <c r="EA119" s="643">
        <f t="shared" si="140"/>
        <v>577128.77632458112</v>
      </c>
      <c r="EB119" s="637">
        <f t="shared" si="173"/>
        <v>0</v>
      </c>
      <c r="EC119" s="637">
        <f t="shared" si="174"/>
        <v>577128.77632458112</v>
      </c>
      <c r="ED119" s="637">
        <f t="shared" si="175"/>
        <v>575407.81277262815</v>
      </c>
      <c r="EE119" s="643">
        <f t="shared" si="176"/>
        <v>575407.81277262815</v>
      </c>
      <c r="EF119" s="637">
        <f t="shared" si="177"/>
        <v>0</v>
      </c>
      <c r="EG119" s="637">
        <f t="shared" si="178"/>
        <v>575407.81277262815</v>
      </c>
      <c r="EH119" s="637">
        <f t="shared" si="179"/>
        <v>575407.21914684761</v>
      </c>
      <c r="EI119" s="643">
        <f t="shared" si="180"/>
        <v>575407.21914684761</v>
      </c>
      <c r="EJ119" s="637">
        <f t="shared" si="181"/>
        <v>0</v>
      </c>
      <c r="EK119" s="637">
        <f t="shared" si="182"/>
        <v>575407.21914684761</v>
      </c>
      <c r="EL119" s="637">
        <f t="shared" si="183"/>
        <v>575407.21914684679</v>
      </c>
      <c r="EM119" s="643">
        <f t="shared" si="184"/>
        <v>575407.21914684679</v>
      </c>
      <c r="EN119" s="637">
        <f t="shared" si="185"/>
        <v>0</v>
      </c>
      <c r="EO119" s="637">
        <f t="shared" si="186"/>
        <v>575407.21914684679</v>
      </c>
      <c r="EP119" s="637">
        <f t="shared" si="187"/>
        <v>575407.21914684761</v>
      </c>
      <c r="EQ119" s="643">
        <f t="shared" si="188"/>
        <v>575407.21914684761</v>
      </c>
      <c r="ER119" s="637">
        <f t="shared" si="189"/>
        <v>0</v>
      </c>
      <c r="ES119" s="637">
        <f t="shared" si="190"/>
        <v>575407.21914684761</v>
      </c>
      <c r="ET119" s="637">
        <f t="shared" si="191"/>
        <v>575407.21914684679</v>
      </c>
      <c r="EU119" s="643">
        <f t="shared" si="141"/>
        <v>575407.21914684679</v>
      </c>
      <c r="EV119" s="643">
        <f t="shared" si="142"/>
        <v>0</v>
      </c>
      <c r="EX119" s="829">
        <f t="shared" si="143"/>
        <v>34142.785979127511</v>
      </c>
      <c r="EY119" s="638">
        <f t="shared" si="144"/>
        <v>575407.21914684679</v>
      </c>
      <c r="FC119" s="830" t="str">
        <f t="shared" si="192"/>
        <v>Y</v>
      </c>
      <c r="FE119" s="830" t="str">
        <f>IFERROR(VLOOKUP($B119,'Historical Conc Grant Elig'!$B$3:$J$707,'HH &amp; SI'!FE$2,0),"N")</f>
        <v>Y</v>
      </c>
      <c r="FF119" s="830" t="str">
        <f>IFERROR(VLOOKUP($B119,'Historical Conc Grant Elig'!$B$3:$J$707,'HH &amp; SI'!FF$2,0),"N")</f>
        <v>Y</v>
      </c>
      <c r="FG119" s="830" t="str">
        <f>IFERROR(VLOOKUP($B119,'Historical Conc Grant Elig'!$B$3:$J$707,'HH &amp; SI'!FG$2,0),"N")</f>
        <v>Y</v>
      </c>
      <c r="FH119" s="830" t="str">
        <f>IFERROR(VLOOKUP($B119,'Historical Conc Grant Elig'!$B$3:$J$707,'HH &amp; SI'!FH$2,0),"N")</f>
        <v>Y</v>
      </c>
      <c r="FI119" s="830" t="str">
        <f>IFERROR(VLOOKUP($B119,'Historical Conc Grant Elig'!$B$3:$J$707,'HH &amp; SI'!FI$2,0),"N")</f>
        <v>Y</v>
      </c>
      <c r="FJ119" s="830" t="str">
        <f>IFERROR(VLOOKUP($B119,'Historical Conc Grant Elig'!$B$3:$J$707,'HH &amp; SI'!FJ$2,0),"N")</f>
        <v>Y</v>
      </c>
      <c r="FK119" s="830" t="str">
        <f>IFERROR(VLOOKUP($B119,'Historical Conc Grant Elig'!$B$3:$J$707,'HH &amp; SI'!FK$2,0),"N")</f>
        <v>Y</v>
      </c>
      <c r="FL119" s="957" t="str">
        <f>IFERROR(VLOOKUP($B119,'Historical Conc Grant Elig'!$B$3:$J$707,'HH &amp; SI'!FL$2,0),"N")</f>
        <v>Y</v>
      </c>
    </row>
    <row r="120" spans="2:168" x14ac:dyDescent="0.25">
      <c r="B120" s="634">
        <v>70465000</v>
      </c>
      <c r="C120" s="635" t="str">
        <f>VLOOKUP($B120,'Afton Update'!$A$5:$CR$582,'Afton Update'!D$589,0)</f>
        <v>Littleton Elementary District</v>
      </c>
      <c r="D120" s="636">
        <f>IFERROR(VLOOKUP($B120,'Afton FY16 Final'!$A$5:$BV$587,'Afton FY16 Final'!AQ$587,0),0)</f>
        <v>669866.97166976065</v>
      </c>
      <c r="E120" s="637">
        <f>IFERROR(VLOOKUP($B120,'Afton FY16 Final'!$A$5:$BV$587,'Afton FY16 Final'!AR$587,0),0)</f>
        <v>158055.59969814829</v>
      </c>
      <c r="F120" s="637">
        <f>IFERROR(VLOOKUP($B120,'Afton FY16 Final'!$A$5:$BV$587,'Afton FY16 Final'!AS$587,0),0)</f>
        <v>248924.80263327656</v>
      </c>
      <c r="G120" s="637">
        <f>IFERROR(VLOOKUP($B120,'Afton FY16 Final'!$A$5:$BV$587,'Afton FY16 Final'!AT$587,0),0)</f>
        <v>166261.73124842136</v>
      </c>
      <c r="H120" s="638">
        <f>IFERROR(VLOOKUP($B120,'Afton FY16 Final'!$A$5:$BV$587,'Afton FY16 Final'!AU$587,0),0)</f>
        <v>1243109.1052496068</v>
      </c>
      <c r="I120" s="639" t="str">
        <f>VLOOKUP($B120,'Afton Update'!$A$5:$CR$582,'Afton Update'!BT$589,0)</f>
        <v>Y</v>
      </c>
      <c r="J120" s="640" t="str">
        <f>VLOOKUP($B120,'Afton Update'!$A$5:$CR$582,'Afton Update'!BU$589,0)</f>
        <v>Y</v>
      </c>
      <c r="K120" s="640" t="str">
        <f>VLOOKUP($B120,'Afton Update'!$A$5:$CR$582,'Afton Update'!BV$589,0)</f>
        <v>Y</v>
      </c>
      <c r="L120" s="641" t="str">
        <f>VLOOKUP($B120,'Afton Update'!$A$5:$CR$582,'Afton Update'!BW$589,0)</f>
        <v>Y</v>
      </c>
      <c r="N120" s="642">
        <f>VLOOKUP($B120,'Afton Update'!$A$5:$CR$582,'Afton Update'!CB$589,0)</f>
        <v>0.9</v>
      </c>
      <c r="P120" s="636">
        <f>VLOOKUP($B120,'Afton Update'!$A$5:$CR$582,'Afton Update'!AH$589,0)</f>
        <v>690189.24119821982</v>
      </c>
      <c r="Q120" s="637">
        <f>VLOOKUP($B120,'Afton Update'!$A$5:$CR$582,'Afton Update'!AI$589,0)</f>
        <v>166619.9514771557</v>
      </c>
      <c r="R120" s="637">
        <f>VLOOKUP($B120,'Afton Update'!$A$5:$CR$582,'Afton Update'!AJ$589,0)</f>
        <v>277845.09860223404</v>
      </c>
      <c r="S120" s="637">
        <f>VLOOKUP($B120,'Afton Update'!$A$5:$CR$582,'Afton Update'!AK$589,0)</f>
        <v>211861.43808172454</v>
      </c>
      <c r="T120" s="643">
        <f t="shared" si="145"/>
        <v>1346515.7293593341</v>
      </c>
      <c r="V120" s="636">
        <f t="shared" si="193"/>
        <v>680774.61197151872</v>
      </c>
      <c r="W120" s="637">
        <f t="shared" si="194"/>
        <v>161132.09945391308</v>
      </c>
      <c r="X120" s="637">
        <f t="shared" si="195"/>
        <v>275318.20591096376</v>
      </c>
      <c r="Y120" s="637">
        <f t="shared" si="196"/>
        <v>209527.1064041334</v>
      </c>
      <c r="Z120" s="643">
        <f t="shared" si="197"/>
        <v>1326752.0237405288</v>
      </c>
      <c r="AB120" s="644">
        <f t="shared" si="146"/>
        <v>690189.24119821982</v>
      </c>
      <c r="AC120" s="645">
        <f t="shared" si="134"/>
        <v>602880.2745027846</v>
      </c>
      <c r="AD120" s="644">
        <f t="shared" si="198"/>
        <v>0</v>
      </c>
      <c r="AE120" s="645">
        <f t="shared" si="199"/>
        <v>690189.24119821982</v>
      </c>
      <c r="AF120" s="646">
        <f t="shared" si="200"/>
        <v>-8555.4143080601298</v>
      </c>
      <c r="AG120" s="647">
        <f t="shared" si="201"/>
        <v>681633.82689015975</v>
      </c>
      <c r="AH120" s="644">
        <f t="shared" si="147"/>
        <v>0</v>
      </c>
      <c r="AI120" s="645">
        <f t="shared" si="148"/>
        <v>681633.82689015975</v>
      </c>
      <c r="AJ120" s="646">
        <f t="shared" si="202"/>
        <v>-858.66751545540103</v>
      </c>
      <c r="AK120" s="647">
        <f t="shared" si="149"/>
        <v>680775.15937470435</v>
      </c>
      <c r="AL120" s="644">
        <f t="shared" si="203"/>
        <v>0</v>
      </c>
      <c r="AM120" s="645">
        <f t="shared" si="204"/>
        <v>680775.15937470435</v>
      </c>
      <c r="AN120" s="646">
        <f t="shared" si="205"/>
        <v>-0.5474031856502195</v>
      </c>
      <c r="AO120" s="647">
        <f t="shared" si="150"/>
        <v>680774.61197151872</v>
      </c>
      <c r="AP120" s="644">
        <f t="shared" si="206"/>
        <v>0</v>
      </c>
      <c r="AQ120" s="645">
        <f t="shared" si="207"/>
        <v>680774.61197151872</v>
      </c>
      <c r="AR120" s="646">
        <f t="shared" si="208"/>
        <v>0</v>
      </c>
      <c r="AS120" s="647">
        <f t="shared" si="151"/>
        <v>680774.61197151872</v>
      </c>
      <c r="AT120" s="644">
        <f t="shared" si="209"/>
        <v>0</v>
      </c>
      <c r="AU120" s="645">
        <f t="shared" si="210"/>
        <v>680774.61197151872</v>
      </c>
      <c r="AV120" s="646">
        <f t="shared" si="211"/>
        <v>0</v>
      </c>
      <c r="AW120" s="647">
        <f t="shared" si="152"/>
        <v>680774.61197151872</v>
      </c>
      <c r="AY120" s="644">
        <f t="shared" si="212"/>
        <v>166619.9514771557</v>
      </c>
      <c r="AZ120" s="645">
        <f t="shared" si="153"/>
        <v>142250.03972833348</v>
      </c>
      <c r="BA120" s="644">
        <f t="shared" si="213"/>
        <v>0</v>
      </c>
      <c r="BB120" s="645">
        <f t="shared" si="214"/>
        <v>166619.9514771557</v>
      </c>
      <c r="BC120" s="646">
        <f t="shared" si="215"/>
        <v>-1198.2126291987092</v>
      </c>
      <c r="BD120" s="647">
        <f t="shared" si="216"/>
        <v>165421.73884795699</v>
      </c>
      <c r="BE120" s="644">
        <f t="shared" si="154"/>
        <v>0</v>
      </c>
      <c r="BF120" s="645">
        <f t="shared" si="155"/>
        <v>165421.73884795699</v>
      </c>
      <c r="BG120" s="646">
        <f t="shared" si="217"/>
        <v>-3940.2110103668356</v>
      </c>
      <c r="BH120" s="647">
        <f t="shared" si="156"/>
        <v>161481.52783759017</v>
      </c>
      <c r="BI120" s="644">
        <f t="shared" si="218"/>
        <v>0</v>
      </c>
      <c r="BJ120" s="645">
        <f t="shared" si="219"/>
        <v>161481.52783759017</v>
      </c>
      <c r="BK120" s="646">
        <f t="shared" si="220"/>
        <v>-342.05580345088987</v>
      </c>
      <c r="BL120" s="647">
        <f t="shared" si="157"/>
        <v>161139.47203413927</v>
      </c>
      <c r="BM120" s="644">
        <f t="shared" si="221"/>
        <v>0</v>
      </c>
      <c r="BN120" s="645">
        <f t="shared" si="222"/>
        <v>161139.47203413927</v>
      </c>
      <c r="BO120" s="646">
        <f t="shared" si="223"/>
        <v>-7.3725802261988491</v>
      </c>
      <c r="BP120" s="647">
        <f t="shared" si="158"/>
        <v>161132.09945391308</v>
      </c>
      <c r="BQ120" s="644">
        <f t="shared" si="224"/>
        <v>0</v>
      </c>
      <c r="BR120" s="645">
        <f t="shared" si="225"/>
        <v>161132.09945391308</v>
      </c>
      <c r="BS120" s="646">
        <f t="shared" si="226"/>
        <v>0</v>
      </c>
      <c r="BT120" s="647">
        <f t="shared" si="159"/>
        <v>161132.09945391308</v>
      </c>
      <c r="BU120" s="662">
        <f>VLOOKUP(B120,'Afton Update'!$A$5:$AR$582,'Afton Update'!$AO$589,0)-BT120</f>
        <v>0</v>
      </c>
      <c r="BV120" s="644">
        <f t="shared" si="227"/>
        <v>277845.09860223404</v>
      </c>
      <c r="BW120" s="645">
        <f t="shared" si="135"/>
        <v>224032.3223699489</v>
      </c>
      <c r="BX120" s="644">
        <f t="shared" si="228"/>
        <v>0</v>
      </c>
      <c r="BY120" s="645">
        <f t="shared" si="229"/>
        <v>277845.09860223404</v>
      </c>
      <c r="BZ120" s="646">
        <f t="shared" si="230"/>
        <v>-2438.675970592682</v>
      </c>
      <c r="CA120" s="647">
        <f t="shared" si="231"/>
        <v>275406.42263164133</v>
      </c>
      <c r="CB120" s="644">
        <f t="shared" si="160"/>
        <v>0</v>
      </c>
      <c r="CC120" s="645">
        <f t="shared" si="161"/>
        <v>275406.42263164133</v>
      </c>
      <c r="CD120" s="646">
        <f t="shared" si="232"/>
        <v>-88.216720677579161</v>
      </c>
      <c r="CE120" s="647">
        <f t="shared" si="162"/>
        <v>275318.20591096376</v>
      </c>
      <c r="CF120" s="644">
        <f t="shared" si="233"/>
        <v>0</v>
      </c>
      <c r="CG120" s="645">
        <f t="shared" si="234"/>
        <v>275318.20591096376</v>
      </c>
      <c r="CH120" s="646">
        <f t="shared" si="235"/>
        <v>0</v>
      </c>
      <c r="CI120" s="647">
        <f t="shared" si="163"/>
        <v>275318.20591096376</v>
      </c>
      <c r="CJ120" s="644">
        <f t="shared" si="236"/>
        <v>0</v>
      </c>
      <c r="CK120" s="645">
        <f t="shared" si="237"/>
        <v>275318.20591096376</v>
      </c>
      <c r="CL120" s="646">
        <f t="shared" si="238"/>
        <v>0</v>
      </c>
      <c r="CM120" s="647">
        <f t="shared" si="164"/>
        <v>275318.20591096376</v>
      </c>
      <c r="CN120" s="644">
        <f t="shared" si="239"/>
        <v>0</v>
      </c>
      <c r="CO120" s="645">
        <f t="shared" si="240"/>
        <v>275318.20591096376</v>
      </c>
      <c r="CP120" s="646">
        <f t="shared" si="241"/>
        <v>0</v>
      </c>
      <c r="CQ120" s="647">
        <f t="shared" si="165"/>
        <v>275318.20591096376</v>
      </c>
      <c r="CS120" s="644">
        <f t="shared" si="242"/>
        <v>211861.43808172454</v>
      </c>
      <c r="CT120" s="645">
        <f t="shared" si="136"/>
        <v>149635.55812357922</v>
      </c>
      <c r="CU120" s="644">
        <f t="shared" si="243"/>
        <v>0</v>
      </c>
      <c r="CV120" s="645">
        <f t="shared" si="244"/>
        <v>211861.43808172454</v>
      </c>
      <c r="CW120" s="646">
        <f t="shared" si="245"/>
        <v>-2169.5808535113224</v>
      </c>
      <c r="CX120" s="647">
        <f t="shared" si="246"/>
        <v>209691.85722821322</v>
      </c>
      <c r="CY120" s="644">
        <f t="shared" si="166"/>
        <v>0</v>
      </c>
      <c r="CZ120" s="645">
        <f t="shared" si="167"/>
        <v>209691.85722821322</v>
      </c>
      <c r="DA120" s="646">
        <f t="shared" si="247"/>
        <v>-164.6088694323432</v>
      </c>
      <c r="DB120" s="647">
        <f t="shared" si="168"/>
        <v>209527.24835878087</v>
      </c>
      <c r="DC120" s="644">
        <f t="shared" si="248"/>
        <v>0</v>
      </c>
      <c r="DD120" s="645">
        <f t="shared" si="249"/>
        <v>209527.24835878087</v>
      </c>
      <c r="DE120" s="646">
        <f t="shared" si="250"/>
        <v>-0.14195464746048231</v>
      </c>
      <c r="DF120" s="647">
        <f t="shared" si="169"/>
        <v>209527.1064041334</v>
      </c>
      <c r="DG120" s="644">
        <f t="shared" si="251"/>
        <v>0</v>
      </c>
      <c r="DH120" s="645">
        <f t="shared" si="252"/>
        <v>209527.1064041334</v>
      </c>
      <c r="DI120" s="646">
        <f t="shared" si="253"/>
        <v>0</v>
      </c>
      <c r="DJ120" s="647">
        <f t="shared" si="170"/>
        <v>209527.1064041334</v>
      </c>
      <c r="DK120" s="644">
        <f t="shared" si="254"/>
        <v>0</v>
      </c>
      <c r="DL120" s="645">
        <f t="shared" si="255"/>
        <v>209527.1064041334</v>
      </c>
      <c r="DM120" s="646">
        <f t="shared" si="256"/>
        <v>0</v>
      </c>
      <c r="DN120" s="647">
        <f t="shared" si="171"/>
        <v>209527.1064041334</v>
      </c>
      <c r="DR120" s="827">
        <f t="shared" si="172"/>
        <v>1326752.0237405288</v>
      </c>
      <c r="DV120" s="828">
        <f>IFERROR(VLOOKUP($B120,'Afton FY16 Final'!$A$5:$BV$587,'Afton FY16 Final'!$BV$587,0),0)</f>
        <v>1103670.028423111</v>
      </c>
      <c r="DX120" s="636">
        <f t="shared" si="137"/>
        <v>1326752.0237405288</v>
      </c>
      <c r="DY120" s="637">
        <f t="shared" si="138"/>
        <v>223081.9953174179</v>
      </c>
      <c r="DZ120" s="637">
        <f t="shared" si="139"/>
        <v>1103670.028423111</v>
      </c>
      <c r="EA120" s="643">
        <f t="shared" si="140"/>
        <v>1256183.6855194285</v>
      </c>
      <c r="EB120" s="637">
        <f t="shared" si="173"/>
        <v>0</v>
      </c>
      <c r="EC120" s="637">
        <f t="shared" si="174"/>
        <v>1256183.6855194285</v>
      </c>
      <c r="ED120" s="637">
        <f t="shared" si="175"/>
        <v>1252437.8207730809</v>
      </c>
      <c r="EE120" s="643">
        <f t="shared" si="176"/>
        <v>1252437.8207730809</v>
      </c>
      <c r="EF120" s="637">
        <f t="shared" si="177"/>
        <v>0</v>
      </c>
      <c r="EG120" s="637">
        <f t="shared" si="178"/>
        <v>1252437.8207730809</v>
      </c>
      <c r="EH120" s="637">
        <f t="shared" si="179"/>
        <v>1252436.5286818675</v>
      </c>
      <c r="EI120" s="643">
        <f t="shared" si="180"/>
        <v>1252436.5286818675</v>
      </c>
      <c r="EJ120" s="637">
        <f t="shared" si="181"/>
        <v>0</v>
      </c>
      <c r="EK120" s="637">
        <f t="shared" si="182"/>
        <v>1252436.5286818675</v>
      </c>
      <c r="EL120" s="637">
        <f t="shared" si="183"/>
        <v>1252436.5286818657</v>
      </c>
      <c r="EM120" s="643">
        <f t="shared" si="184"/>
        <v>1252436.5286818657</v>
      </c>
      <c r="EN120" s="637">
        <f t="shared" si="185"/>
        <v>0</v>
      </c>
      <c r="EO120" s="637">
        <f t="shared" si="186"/>
        <v>1252436.5286818657</v>
      </c>
      <c r="EP120" s="637">
        <f t="shared" si="187"/>
        <v>1252436.5286818675</v>
      </c>
      <c r="EQ120" s="643">
        <f t="shared" si="188"/>
        <v>1252436.5286818675</v>
      </c>
      <c r="ER120" s="637">
        <f t="shared" si="189"/>
        <v>0</v>
      </c>
      <c r="ES120" s="637">
        <f t="shared" si="190"/>
        <v>1252436.5286818675</v>
      </c>
      <c r="ET120" s="637">
        <f t="shared" si="191"/>
        <v>1252436.5286818657</v>
      </c>
      <c r="EU120" s="643">
        <f t="shared" si="141"/>
        <v>1252436.5286818657</v>
      </c>
      <c r="EV120" s="643">
        <f t="shared" si="142"/>
        <v>0</v>
      </c>
      <c r="EX120" s="829">
        <f t="shared" si="143"/>
        <v>74315.495058663189</v>
      </c>
      <c r="EY120" s="638">
        <f t="shared" si="144"/>
        <v>1252436.5286818657</v>
      </c>
      <c r="FC120" s="830" t="str">
        <f t="shared" si="192"/>
        <v>Y</v>
      </c>
      <c r="FE120" s="830" t="str">
        <f>IFERROR(VLOOKUP($B120,'Historical Conc Grant Elig'!$B$3:$J$707,'HH &amp; SI'!FE$2,0),"N")</f>
        <v>Y</v>
      </c>
      <c r="FF120" s="830" t="str">
        <f>IFERROR(VLOOKUP($B120,'Historical Conc Grant Elig'!$B$3:$J$707,'HH &amp; SI'!FF$2,0),"N")</f>
        <v>Y</v>
      </c>
      <c r="FG120" s="830" t="str">
        <f>IFERROR(VLOOKUP($B120,'Historical Conc Grant Elig'!$B$3:$J$707,'HH &amp; SI'!FG$2,0),"N")</f>
        <v>Y</v>
      </c>
      <c r="FH120" s="830" t="str">
        <f>IFERROR(VLOOKUP($B120,'Historical Conc Grant Elig'!$B$3:$J$707,'HH &amp; SI'!FH$2,0),"N")</f>
        <v>Y</v>
      </c>
      <c r="FI120" s="830" t="str">
        <f>IFERROR(VLOOKUP($B120,'Historical Conc Grant Elig'!$B$3:$J$707,'HH &amp; SI'!FI$2,0),"N")</f>
        <v>Y</v>
      </c>
      <c r="FJ120" s="830" t="str">
        <f>IFERROR(VLOOKUP($B120,'Historical Conc Grant Elig'!$B$3:$J$707,'HH &amp; SI'!FJ$2,0),"N")</f>
        <v>Y</v>
      </c>
      <c r="FK120" s="830" t="str">
        <f>IFERROR(VLOOKUP($B120,'Historical Conc Grant Elig'!$B$3:$J$707,'HH &amp; SI'!FK$2,0),"N")</f>
        <v>Y</v>
      </c>
      <c r="FL120" s="957" t="str">
        <f>IFERROR(VLOOKUP($B120,'Historical Conc Grant Elig'!$B$3:$J$707,'HH &amp; SI'!FL$2,0),"N")</f>
        <v>Y</v>
      </c>
    </row>
    <row r="121" spans="2:168" x14ac:dyDescent="0.25">
      <c r="B121" s="634">
        <v>70466000</v>
      </c>
      <c r="C121" s="635" t="str">
        <f>VLOOKUP($B121,'Afton Update'!$A$5:$CR$582,'Afton Update'!D$589,0)</f>
        <v>Roosevelt Elementary District</v>
      </c>
      <c r="D121" s="636">
        <f>IFERROR(VLOOKUP($B121,'Afton FY16 Final'!$A$5:$BV$587,'Afton FY16 Final'!AQ$587,0),0)</f>
        <v>2780762.804464099</v>
      </c>
      <c r="E121" s="637">
        <f>IFERROR(VLOOKUP($B121,'Afton FY16 Final'!$A$5:$BV$587,'Afton FY16 Final'!AR$587,0),0)</f>
        <v>685991.83232312498</v>
      </c>
      <c r="F121" s="637">
        <f>IFERROR(VLOOKUP($B121,'Afton FY16 Final'!$A$5:$BV$587,'Afton FY16 Final'!AS$587,0),0)</f>
        <v>1579344.6131570598</v>
      </c>
      <c r="G121" s="637">
        <f>IFERROR(VLOOKUP($B121,'Afton FY16 Final'!$A$5:$BV$587,'Afton FY16 Final'!AT$587,0),0)</f>
        <v>1296669.6878274889</v>
      </c>
      <c r="H121" s="638">
        <f>IFERROR(VLOOKUP($B121,'Afton FY16 Final'!$A$5:$BV$587,'Afton FY16 Final'!AU$587,0),0)</f>
        <v>6342768.937771773</v>
      </c>
      <c r="I121" s="639" t="str">
        <f>VLOOKUP($B121,'Afton Update'!$A$5:$CR$582,'Afton Update'!BT$589,0)</f>
        <v>Y</v>
      </c>
      <c r="J121" s="640" t="str">
        <f>VLOOKUP($B121,'Afton Update'!$A$5:$CR$582,'Afton Update'!BU$589,0)</f>
        <v>Y</v>
      </c>
      <c r="K121" s="640" t="str">
        <f>VLOOKUP($B121,'Afton Update'!$A$5:$CR$582,'Afton Update'!BV$589,0)</f>
        <v>Y</v>
      </c>
      <c r="L121" s="641" t="str">
        <f>VLOOKUP($B121,'Afton Update'!$A$5:$CR$582,'Afton Update'!BW$589,0)</f>
        <v>Y</v>
      </c>
      <c r="N121" s="642">
        <f>VLOOKUP($B121,'Afton Update'!$A$5:$CR$582,'Afton Update'!CB$589,0)</f>
        <v>0.95</v>
      </c>
      <c r="P121" s="636">
        <f>VLOOKUP($B121,'Afton Update'!$A$5:$CR$582,'Afton Update'!AH$589,0)</f>
        <v>2779512.1072167451</v>
      </c>
      <c r="Q121" s="637">
        <f>VLOOKUP($B121,'Afton Update'!$A$5:$CR$582,'Afton Update'!AI$589,0)</f>
        <v>664557.1550779111</v>
      </c>
      <c r="R121" s="637">
        <f>VLOOKUP($B121,'Afton Update'!$A$5:$CR$582,'Afton Update'!AJ$589,0)</f>
        <v>1657006.9713924241</v>
      </c>
      <c r="S121" s="637">
        <f>VLOOKUP($B121,'Afton Update'!$A$5:$CR$582,'Afton Update'!AK$589,0)</f>
        <v>1528107.7905172226</v>
      </c>
      <c r="T121" s="643">
        <f t="shared" si="145"/>
        <v>6629184.0242043026</v>
      </c>
      <c r="V121" s="636">
        <f t="shared" si="193"/>
        <v>2741597.7579939975</v>
      </c>
      <c r="W121" s="637">
        <f t="shared" si="194"/>
        <v>651692.2407069687</v>
      </c>
      <c r="X121" s="637">
        <f t="shared" si="195"/>
        <v>1641937.1399415205</v>
      </c>
      <c r="Y121" s="637">
        <f t="shared" si="196"/>
        <v>1511270.7934002574</v>
      </c>
      <c r="Z121" s="643">
        <f t="shared" si="197"/>
        <v>6546497.932042744</v>
      </c>
      <c r="AB121" s="644">
        <f t="shared" si="146"/>
        <v>2779512.1072167451</v>
      </c>
      <c r="AC121" s="645">
        <f t="shared" si="134"/>
        <v>2641724.6642408939</v>
      </c>
      <c r="AD121" s="644">
        <f t="shared" si="198"/>
        <v>0</v>
      </c>
      <c r="AE121" s="645">
        <f t="shared" si="199"/>
        <v>2779512.1072167451</v>
      </c>
      <c r="AF121" s="646">
        <f t="shared" si="200"/>
        <v>-34454.141316698689</v>
      </c>
      <c r="AG121" s="647">
        <f t="shared" si="201"/>
        <v>2745057.9659000463</v>
      </c>
      <c r="AH121" s="644">
        <f t="shared" si="147"/>
        <v>0</v>
      </c>
      <c r="AI121" s="645">
        <f t="shared" si="148"/>
        <v>2745057.9659000463</v>
      </c>
      <c r="AJ121" s="646">
        <f t="shared" si="202"/>
        <v>-3458.0034182198492</v>
      </c>
      <c r="AK121" s="647">
        <f t="shared" si="149"/>
        <v>2741599.9624818265</v>
      </c>
      <c r="AL121" s="644">
        <f t="shared" si="203"/>
        <v>0</v>
      </c>
      <c r="AM121" s="645">
        <f t="shared" si="204"/>
        <v>2741599.9624818265</v>
      </c>
      <c r="AN121" s="646">
        <f t="shared" si="205"/>
        <v>-2.2044878291674608</v>
      </c>
      <c r="AO121" s="647">
        <f t="shared" si="150"/>
        <v>2741597.7579939975</v>
      </c>
      <c r="AP121" s="644">
        <f t="shared" si="206"/>
        <v>0</v>
      </c>
      <c r="AQ121" s="645">
        <f t="shared" si="207"/>
        <v>2741597.7579939975</v>
      </c>
      <c r="AR121" s="646">
        <f t="shared" si="208"/>
        <v>0</v>
      </c>
      <c r="AS121" s="647">
        <f t="shared" si="151"/>
        <v>2741597.7579939975</v>
      </c>
      <c r="AT121" s="644">
        <f t="shared" si="209"/>
        <v>0</v>
      </c>
      <c r="AU121" s="645">
        <f t="shared" si="210"/>
        <v>2741597.7579939975</v>
      </c>
      <c r="AV121" s="646">
        <f t="shared" si="211"/>
        <v>0</v>
      </c>
      <c r="AW121" s="647">
        <f t="shared" si="152"/>
        <v>2741597.7579939975</v>
      </c>
      <c r="AY121" s="644">
        <f t="shared" si="212"/>
        <v>664557.1550779111</v>
      </c>
      <c r="AZ121" s="645">
        <f t="shared" si="153"/>
        <v>651692.2407069687</v>
      </c>
      <c r="BA121" s="644">
        <f t="shared" si="213"/>
        <v>0</v>
      </c>
      <c r="BB121" s="645">
        <f t="shared" si="214"/>
        <v>664557.1550779111</v>
      </c>
      <c r="BC121" s="646">
        <f t="shared" si="215"/>
        <v>-4779.0241743522029</v>
      </c>
      <c r="BD121" s="647">
        <f t="shared" si="216"/>
        <v>659778.13090355892</v>
      </c>
      <c r="BE121" s="644">
        <f t="shared" si="154"/>
        <v>0</v>
      </c>
      <c r="BF121" s="645">
        <f t="shared" si="155"/>
        <v>659778.13090355892</v>
      </c>
      <c r="BG121" s="646">
        <f t="shared" si="217"/>
        <v>-15715.377397736507</v>
      </c>
      <c r="BH121" s="647">
        <f t="shared" si="156"/>
        <v>644062.75350582239</v>
      </c>
      <c r="BI121" s="644">
        <f t="shared" si="218"/>
        <v>-7629.4872011463158</v>
      </c>
      <c r="BJ121" s="645">
        <f t="shared" si="219"/>
        <v>0</v>
      </c>
      <c r="BK121" s="646">
        <f t="shared" si="220"/>
        <v>0</v>
      </c>
      <c r="BL121" s="647">
        <f t="shared" si="157"/>
        <v>651692.2407069687</v>
      </c>
      <c r="BM121" s="644">
        <f t="shared" si="221"/>
        <v>0</v>
      </c>
      <c r="BN121" s="645">
        <f t="shared" si="222"/>
        <v>0</v>
      </c>
      <c r="BO121" s="646">
        <f t="shared" si="223"/>
        <v>0</v>
      </c>
      <c r="BP121" s="647">
        <f t="shared" si="158"/>
        <v>651692.2407069687</v>
      </c>
      <c r="BQ121" s="644">
        <f t="shared" si="224"/>
        <v>0</v>
      </c>
      <c r="BR121" s="645">
        <f t="shared" si="225"/>
        <v>0</v>
      </c>
      <c r="BS121" s="646">
        <f t="shared" si="226"/>
        <v>0</v>
      </c>
      <c r="BT121" s="647">
        <f t="shared" si="159"/>
        <v>651692.2407069687</v>
      </c>
      <c r="BU121" s="662">
        <f>VLOOKUP(B121,'Afton Update'!$A$5:$AR$582,'Afton Update'!$AO$589,0)-BT121</f>
        <v>0</v>
      </c>
      <c r="BV121" s="644">
        <f t="shared" si="227"/>
        <v>1657006.9713924241</v>
      </c>
      <c r="BW121" s="645">
        <f t="shared" si="135"/>
        <v>1500377.3824992068</v>
      </c>
      <c r="BX121" s="644">
        <f t="shared" si="228"/>
        <v>0</v>
      </c>
      <c r="BY121" s="645">
        <f t="shared" si="229"/>
        <v>1657006.9713924241</v>
      </c>
      <c r="BZ121" s="646">
        <f t="shared" si="230"/>
        <v>-14543.726358924401</v>
      </c>
      <c r="CA121" s="647">
        <f t="shared" si="231"/>
        <v>1642463.2450334998</v>
      </c>
      <c r="CB121" s="644">
        <f t="shared" si="160"/>
        <v>0</v>
      </c>
      <c r="CC121" s="645">
        <f t="shared" si="161"/>
        <v>1642463.2450334998</v>
      </c>
      <c r="CD121" s="646">
        <f t="shared" si="232"/>
        <v>-526.10509197930321</v>
      </c>
      <c r="CE121" s="647">
        <f t="shared" si="162"/>
        <v>1641937.1399415205</v>
      </c>
      <c r="CF121" s="644">
        <f t="shared" si="233"/>
        <v>0</v>
      </c>
      <c r="CG121" s="645">
        <f t="shared" si="234"/>
        <v>1641937.1399415205</v>
      </c>
      <c r="CH121" s="646">
        <f t="shared" si="235"/>
        <v>0</v>
      </c>
      <c r="CI121" s="647">
        <f t="shared" si="163"/>
        <v>1641937.1399415205</v>
      </c>
      <c r="CJ121" s="644">
        <f t="shared" si="236"/>
        <v>0</v>
      </c>
      <c r="CK121" s="645">
        <f t="shared" si="237"/>
        <v>1641937.1399415205</v>
      </c>
      <c r="CL121" s="646">
        <f t="shared" si="238"/>
        <v>0</v>
      </c>
      <c r="CM121" s="647">
        <f t="shared" si="164"/>
        <v>1641937.1399415205</v>
      </c>
      <c r="CN121" s="644">
        <f t="shared" si="239"/>
        <v>0</v>
      </c>
      <c r="CO121" s="645">
        <f t="shared" si="240"/>
        <v>1641937.1399415205</v>
      </c>
      <c r="CP121" s="646">
        <f t="shared" si="241"/>
        <v>0</v>
      </c>
      <c r="CQ121" s="647">
        <f t="shared" si="165"/>
        <v>1641937.1399415205</v>
      </c>
      <c r="CS121" s="644">
        <f t="shared" si="242"/>
        <v>1528107.7905172226</v>
      </c>
      <c r="CT121" s="645">
        <f t="shared" si="136"/>
        <v>1231836.2034361144</v>
      </c>
      <c r="CU121" s="644">
        <f t="shared" si="243"/>
        <v>0</v>
      </c>
      <c r="CV121" s="645">
        <f t="shared" si="244"/>
        <v>1528107.7905172226</v>
      </c>
      <c r="CW121" s="646">
        <f t="shared" si="245"/>
        <v>-15648.687342190016</v>
      </c>
      <c r="CX121" s="647">
        <f t="shared" si="246"/>
        <v>1512459.1031750327</v>
      </c>
      <c r="CY121" s="644">
        <f t="shared" si="166"/>
        <v>0</v>
      </c>
      <c r="CZ121" s="645">
        <f t="shared" si="167"/>
        <v>1512459.1031750327</v>
      </c>
      <c r="DA121" s="646">
        <f t="shared" si="247"/>
        <v>-1187.2858885757473</v>
      </c>
      <c r="DB121" s="647">
        <f t="shared" si="168"/>
        <v>1511271.8172864569</v>
      </c>
      <c r="DC121" s="644">
        <f t="shared" si="248"/>
        <v>0</v>
      </c>
      <c r="DD121" s="645">
        <f t="shared" si="249"/>
        <v>1511271.8172864569</v>
      </c>
      <c r="DE121" s="646">
        <f t="shared" si="250"/>
        <v>-1.0238861996245503</v>
      </c>
      <c r="DF121" s="647">
        <f t="shared" si="169"/>
        <v>1511270.7934002574</v>
      </c>
      <c r="DG121" s="644">
        <f t="shared" si="251"/>
        <v>0</v>
      </c>
      <c r="DH121" s="645">
        <f t="shared" si="252"/>
        <v>1511270.7934002574</v>
      </c>
      <c r="DI121" s="646">
        <f t="shared" si="253"/>
        <v>0</v>
      </c>
      <c r="DJ121" s="647">
        <f t="shared" si="170"/>
        <v>1511270.7934002574</v>
      </c>
      <c r="DK121" s="644">
        <f t="shared" si="254"/>
        <v>0</v>
      </c>
      <c r="DL121" s="645">
        <f t="shared" si="255"/>
        <v>1511270.7934002574</v>
      </c>
      <c r="DM121" s="646">
        <f t="shared" si="256"/>
        <v>0</v>
      </c>
      <c r="DN121" s="647">
        <f t="shared" si="171"/>
        <v>1511270.7934002574</v>
      </c>
      <c r="DR121" s="827">
        <f t="shared" si="172"/>
        <v>6546497.932042744</v>
      </c>
      <c r="DV121" s="828">
        <f>IFERROR(VLOOKUP($B121,'Afton FY16 Final'!$A$5:$BV$587,'Afton FY16 Final'!$BV$587,0),0)</f>
        <v>6046572.07234345</v>
      </c>
      <c r="DX121" s="636">
        <f t="shared" si="137"/>
        <v>6546497.932042744</v>
      </c>
      <c r="DY121" s="637">
        <f t="shared" si="138"/>
        <v>499925.85969929397</v>
      </c>
      <c r="DZ121" s="637">
        <f t="shared" si="139"/>
        <v>6046572.07234345</v>
      </c>
      <c r="EA121" s="643">
        <f t="shared" si="140"/>
        <v>6198297.6112852348</v>
      </c>
      <c r="EB121" s="637">
        <f t="shared" si="173"/>
        <v>0</v>
      </c>
      <c r="EC121" s="637">
        <f t="shared" si="174"/>
        <v>6198297.6112852348</v>
      </c>
      <c r="ED121" s="637">
        <f t="shared" si="175"/>
        <v>6179814.6578946384</v>
      </c>
      <c r="EE121" s="643">
        <f t="shared" si="176"/>
        <v>6179814.6578946384</v>
      </c>
      <c r="EF121" s="637">
        <f t="shared" si="177"/>
        <v>0</v>
      </c>
      <c r="EG121" s="637">
        <f t="shared" si="178"/>
        <v>6179814.6578946384</v>
      </c>
      <c r="EH121" s="637">
        <f t="shared" si="179"/>
        <v>6179808.282421072</v>
      </c>
      <c r="EI121" s="643">
        <f t="shared" si="180"/>
        <v>6179808.282421072</v>
      </c>
      <c r="EJ121" s="637">
        <f t="shared" si="181"/>
        <v>0</v>
      </c>
      <c r="EK121" s="637">
        <f t="shared" si="182"/>
        <v>6179808.282421072</v>
      </c>
      <c r="EL121" s="637">
        <f t="shared" si="183"/>
        <v>6179808.2824210636</v>
      </c>
      <c r="EM121" s="643">
        <f t="shared" si="184"/>
        <v>6179808.2824210636</v>
      </c>
      <c r="EN121" s="637">
        <f t="shared" si="185"/>
        <v>0</v>
      </c>
      <c r="EO121" s="637">
        <f t="shared" si="186"/>
        <v>6179808.2824210636</v>
      </c>
      <c r="EP121" s="637">
        <f t="shared" si="187"/>
        <v>6179808.2824210729</v>
      </c>
      <c r="EQ121" s="643">
        <f t="shared" si="188"/>
        <v>6179808.2824210729</v>
      </c>
      <c r="ER121" s="637">
        <f t="shared" si="189"/>
        <v>0</v>
      </c>
      <c r="ES121" s="637">
        <f t="shared" si="190"/>
        <v>6179808.2824210729</v>
      </c>
      <c r="ET121" s="637">
        <f t="shared" si="191"/>
        <v>6179808.2824210636</v>
      </c>
      <c r="EU121" s="643">
        <f t="shared" si="141"/>
        <v>6179808.2824210636</v>
      </c>
      <c r="EV121" s="643">
        <f t="shared" si="142"/>
        <v>0</v>
      </c>
      <c r="EX121" s="829">
        <f t="shared" si="143"/>
        <v>366689.64962168038</v>
      </c>
      <c r="EY121" s="638">
        <f t="shared" si="144"/>
        <v>6179808.2824210636</v>
      </c>
      <c r="FC121" s="830" t="str">
        <f t="shared" si="192"/>
        <v>Y</v>
      </c>
      <c r="FE121" s="830" t="str">
        <f>IFERROR(VLOOKUP($B121,'Historical Conc Grant Elig'!$B$3:$J$707,'HH &amp; SI'!FE$2,0),"N")</f>
        <v>Y</v>
      </c>
      <c r="FF121" s="830" t="str">
        <f>IFERROR(VLOOKUP($B121,'Historical Conc Grant Elig'!$B$3:$J$707,'HH &amp; SI'!FF$2,0),"N")</f>
        <v>Y</v>
      </c>
      <c r="FG121" s="830" t="str">
        <f>IFERROR(VLOOKUP($B121,'Historical Conc Grant Elig'!$B$3:$J$707,'HH &amp; SI'!FG$2,0),"N")</f>
        <v>Y</v>
      </c>
      <c r="FH121" s="830" t="str">
        <f>IFERROR(VLOOKUP($B121,'Historical Conc Grant Elig'!$B$3:$J$707,'HH &amp; SI'!FH$2,0),"N")</f>
        <v>Y</v>
      </c>
      <c r="FI121" s="830" t="str">
        <f>IFERROR(VLOOKUP($B121,'Historical Conc Grant Elig'!$B$3:$J$707,'HH &amp; SI'!FI$2,0),"N")</f>
        <v>Y</v>
      </c>
      <c r="FJ121" s="830" t="str">
        <f>IFERROR(VLOOKUP($B121,'Historical Conc Grant Elig'!$B$3:$J$707,'HH &amp; SI'!FJ$2,0),"N")</f>
        <v>Y</v>
      </c>
      <c r="FK121" s="830" t="str">
        <f>IFERROR(VLOOKUP($B121,'Historical Conc Grant Elig'!$B$3:$J$707,'HH &amp; SI'!FK$2,0),"N")</f>
        <v>Y</v>
      </c>
      <c r="FL121" s="957" t="str">
        <f>IFERROR(VLOOKUP($B121,'Historical Conc Grant Elig'!$B$3:$J$707,'HH &amp; SI'!FL$2,0),"N")</f>
        <v>Y</v>
      </c>
    </row>
    <row r="122" spans="2:168" x14ac:dyDescent="0.25">
      <c r="B122" s="634">
        <v>70468000</v>
      </c>
      <c r="C122" s="635" t="str">
        <f>VLOOKUP($B122,'Afton Update'!$A$5:$CR$582,'Afton Update'!D$589,0)</f>
        <v>Alhambra Elementary District</v>
      </c>
      <c r="D122" s="636">
        <f>IFERROR(VLOOKUP($B122,'Afton FY16 Final'!$A$5:$BV$587,'Afton FY16 Final'!AQ$587,0),0)</f>
        <v>3099206.5186685021</v>
      </c>
      <c r="E122" s="637">
        <f>IFERROR(VLOOKUP($B122,'Afton FY16 Final'!$A$5:$BV$587,'Afton FY16 Final'!AR$587,0),0)</f>
        <v>724334.30072802119</v>
      </c>
      <c r="F122" s="637">
        <f>IFERROR(VLOOKUP($B122,'Afton FY16 Final'!$A$5:$BV$587,'Afton FY16 Final'!AS$587,0),0)</f>
        <v>2070560.0481291572</v>
      </c>
      <c r="G122" s="637">
        <f>IFERROR(VLOOKUP($B122,'Afton FY16 Final'!$A$5:$BV$587,'Afton FY16 Final'!AT$587,0),0)</f>
        <v>1823511.807098127</v>
      </c>
      <c r="H122" s="638">
        <f>IFERROR(VLOOKUP($B122,'Afton FY16 Final'!$A$5:$BV$587,'Afton FY16 Final'!AU$587,0),0)</f>
        <v>7717612.674623807</v>
      </c>
      <c r="I122" s="639" t="str">
        <f>VLOOKUP($B122,'Afton Update'!$A$5:$CR$582,'Afton Update'!BT$589,0)</f>
        <v>Y</v>
      </c>
      <c r="J122" s="640" t="str">
        <f>VLOOKUP($B122,'Afton Update'!$A$5:$CR$582,'Afton Update'!BU$589,0)</f>
        <v>Y</v>
      </c>
      <c r="K122" s="640" t="str">
        <f>VLOOKUP($B122,'Afton Update'!$A$5:$CR$582,'Afton Update'!BV$589,0)</f>
        <v>Y</v>
      </c>
      <c r="L122" s="641" t="str">
        <f>VLOOKUP($B122,'Afton Update'!$A$5:$CR$582,'Afton Update'!BW$589,0)</f>
        <v>Y</v>
      </c>
      <c r="N122" s="642">
        <f>VLOOKUP($B122,'Afton Update'!$A$5:$CR$582,'Afton Update'!CB$589,0)</f>
        <v>0.95</v>
      </c>
      <c r="P122" s="636">
        <f>VLOOKUP($B122,'Afton Update'!$A$5:$CR$582,'Afton Update'!AH$589,0)</f>
        <v>3364672.5508413226</v>
      </c>
      <c r="Q122" s="637">
        <f>VLOOKUP($B122,'Afton Update'!$A$5:$CR$582,'Afton Update'!AI$589,0)</f>
        <v>804015.33059266524</v>
      </c>
      <c r="R122" s="637">
        <f>VLOOKUP($B122,'Afton Update'!$A$5:$CR$582,'Afton Update'!AJ$589,0)</f>
        <v>2525443.3834799193</v>
      </c>
      <c r="S122" s="637">
        <f>VLOOKUP($B122,'Afton Update'!$A$5:$CR$582,'Afton Update'!AK$589,0)</f>
        <v>2577492.7350598713</v>
      </c>
      <c r="T122" s="643">
        <f t="shared" si="145"/>
        <v>9271623.9999737777</v>
      </c>
      <c r="V122" s="636">
        <f t="shared" si="193"/>
        <v>3318776.2333611543</v>
      </c>
      <c r="W122" s="637">
        <f t="shared" si="194"/>
        <v>777534.00515958224</v>
      </c>
      <c r="X122" s="637">
        <f t="shared" si="195"/>
        <v>2502475.461929257</v>
      </c>
      <c r="Y122" s="637">
        <f t="shared" si="196"/>
        <v>2549093.404843438</v>
      </c>
      <c r="Z122" s="643">
        <f t="shared" si="197"/>
        <v>9147879.1052934323</v>
      </c>
      <c r="AB122" s="644">
        <f t="shared" si="146"/>
        <v>3364672.5508413226</v>
      </c>
      <c r="AC122" s="645">
        <f t="shared" si="134"/>
        <v>2944246.1927350769</v>
      </c>
      <c r="AD122" s="644">
        <f t="shared" si="198"/>
        <v>0</v>
      </c>
      <c r="AE122" s="645">
        <f t="shared" si="199"/>
        <v>3364672.5508413226</v>
      </c>
      <c r="AF122" s="646">
        <f t="shared" si="200"/>
        <v>-41707.644751793145</v>
      </c>
      <c r="AG122" s="647">
        <f t="shared" si="201"/>
        <v>3322964.9060895294</v>
      </c>
      <c r="AH122" s="644">
        <f t="shared" si="147"/>
        <v>0</v>
      </c>
      <c r="AI122" s="645">
        <f t="shared" si="148"/>
        <v>3322964.9060895294</v>
      </c>
      <c r="AJ122" s="646">
        <f t="shared" si="202"/>
        <v>-4186.0041378450805</v>
      </c>
      <c r="AK122" s="647">
        <f t="shared" si="149"/>
        <v>3318778.9019516842</v>
      </c>
      <c r="AL122" s="644">
        <f t="shared" si="203"/>
        <v>0</v>
      </c>
      <c r="AM122" s="645">
        <f t="shared" si="204"/>
        <v>3318778.9019516842</v>
      </c>
      <c r="AN122" s="646">
        <f t="shared" si="205"/>
        <v>-2.6685905300448209</v>
      </c>
      <c r="AO122" s="647">
        <f t="shared" si="150"/>
        <v>3318776.2333611543</v>
      </c>
      <c r="AP122" s="644">
        <f t="shared" si="206"/>
        <v>0</v>
      </c>
      <c r="AQ122" s="645">
        <f t="shared" si="207"/>
        <v>3318776.2333611543</v>
      </c>
      <c r="AR122" s="646">
        <f t="shared" si="208"/>
        <v>0</v>
      </c>
      <c r="AS122" s="647">
        <f t="shared" si="151"/>
        <v>3318776.2333611543</v>
      </c>
      <c r="AT122" s="644">
        <f t="shared" si="209"/>
        <v>0</v>
      </c>
      <c r="AU122" s="645">
        <f t="shared" si="210"/>
        <v>3318776.2333611543</v>
      </c>
      <c r="AV122" s="646">
        <f t="shared" si="211"/>
        <v>0</v>
      </c>
      <c r="AW122" s="647">
        <f t="shared" si="152"/>
        <v>3318776.2333611543</v>
      </c>
      <c r="AY122" s="644">
        <f t="shared" si="212"/>
        <v>804015.33059266524</v>
      </c>
      <c r="AZ122" s="645">
        <f t="shared" si="153"/>
        <v>688117.58569162013</v>
      </c>
      <c r="BA122" s="644">
        <f t="shared" si="213"/>
        <v>0</v>
      </c>
      <c r="BB122" s="645">
        <f t="shared" si="214"/>
        <v>804015.33059266524</v>
      </c>
      <c r="BC122" s="646">
        <f t="shared" si="215"/>
        <v>-5781.9085568368464</v>
      </c>
      <c r="BD122" s="647">
        <f t="shared" si="216"/>
        <v>798233.42203582835</v>
      </c>
      <c r="BE122" s="644">
        <f t="shared" si="154"/>
        <v>0</v>
      </c>
      <c r="BF122" s="645">
        <f t="shared" si="155"/>
        <v>798233.42203582835</v>
      </c>
      <c r="BG122" s="646">
        <f t="shared" si="217"/>
        <v>-19013.26959958511</v>
      </c>
      <c r="BH122" s="647">
        <f t="shared" si="156"/>
        <v>779220.15243624325</v>
      </c>
      <c r="BI122" s="644">
        <f t="shared" si="218"/>
        <v>0</v>
      </c>
      <c r="BJ122" s="645">
        <f t="shared" si="219"/>
        <v>779220.15243624325</v>
      </c>
      <c r="BK122" s="646">
        <f t="shared" si="220"/>
        <v>-1650.5712998626882</v>
      </c>
      <c r="BL122" s="647">
        <f t="shared" si="157"/>
        <v>777569.58113638056</v>
      </c>
      <c r="BM122" s="644">
        <f t="shared" si="221"/>
        <v>0</v>
      </c>
      <c r="BN122" s="645">
        <f t="shared" si="222"/>
        <v>777569.58113638056</v>
      </c>
      <c r="BO122" s="646">
        <f t="shared" si="223"/>
        <v>-35.575976798318315</v>
      </c>
      <c r="BP122" s="647">
        <f t="shared" si="158"/>
        <v>777534.00515958224</v>
      </c>
      <c r="BQ122" s="644">
        <f t="shared" si="224"/>
        <v>0</v>
      </c>
      <c r="BR122" s="645">
        <f t="shared" si="225"/>
        <v>777534.00515958224</v>
      </c>
      <c r="BS122" s="646">
        <f t="shared" si="226"/>
        <v>0</v>
      </c>
      <c r="BT122" s="647">
        <f t="shared" si="159"/>
        <v>777534.00515958224</v>
      </c>
      <c r="BU122" s="662">
        <f>VLOOKUP(B122,'Afton Update'!$A$5:$AR$582,'Afton Update'!$AO$589,0)-BT122</f>
        <v>0</v>
      </c>
      <c r="BV122" s="644">
        <f t="shared" si="227"/>
        <v>2525443.3834799193</v>
      </c>
      <c r="BW122" s="645">
        <f t="shared" si="135"/>
        <v>1967032.0457226993</v>
      </c>
      <c r="BX122" s="644">
        <f t="shared" si="228"/>
        <v>0</v>
      </c>
      <c r="BY122" s="645">
        <f t="shared" si="229"/>
        <v>2525443.3834799193</v>
      </c>
      <c r="BZ122" s="646">
        <f t="shared" si="230"/>
        <v>-22166.085078944197</v>
      </c>
      <c r="CA122" s="647">
        <f t="shared" si="231"/>
        <v>2503277.2984009753</v>
      </c>
      <c r="CB122" s="644">
        <f t="shared" si="160"/>
        <v>0</v>
      </c>
      <c r="CC122" s="645">
        <f t="shared" si="161"/>
        <v>2503277.2984009753</v>
      </c>
      <c r="CD122" s="646">
        <f t="shared" si="232"/>
        <v>-801.83647171847997</v>
      </c>
      <c r="CE122" s="647">
        <f t="shared" si="162"/>
        <v>2502475.461929257</v>
      </c>
      <c r="CF122" s="644">
        <f t="shared" si="233"/>
        <v>0</v>
      </c>
      <c r="CG122" s="645">
        <f t="shared" si="234"/>
        <v>2502475.461929257</v>
      </c>
      <c r="CH122" s="646">
        <f t="shared" si="235"/>
        <v>0</v>
      </c>
      <c r="CI122" s="647">
        <f t="shared" si="163"/>
        <v>2502475.461929257</v>
      </c>
      <c r="CJ122" s="644">
        <f t="shared" si="236"/>
        <v>0</v>
      </c>
      <c r="CK122" s="645">
        <f t="shared" si="237"/>
        <v>2502475.461929257</v>
      </c>
      <c r="CL122" s="646">
        <f t="shared" si="238"/>
        <v>0</v>
      </c>
      <c r="CM122" s="647">
        <f t="shared" si="164"/>
        <v>2502475.461929257</v>
      </c>
      <c r="CN122" s="644">
        <f t="shared" si="239"/>
        <v>0</v>
      </c>
      <c r="CO122" s="645">
        <f t="shared" si="240"/>
        <v>2502475.461929257</v>
      </c>
      <c r="CP122" s="646">
        <f t="shared" si="241"/>
        <v>0</v>
      </c>
      <c r="CQ122" s="647">
        <f t="shared" si="165"/>
        <v>2502475.461929257</v>
      </c>
      <c r="CS122" s="644">
        <f t="shared" si="242"/>
        <v>2577492.7350598713</v>
      </c>
      <c r="CT122" s="645">
        <f t="shared" si="136"/>
        <v>1732336.2167432206</v>
      </c>
      <c r="CU122" s="644">
        <f t="shared" si="243"/>
        <v>0</v>
      </c>
      <c r="CV122" s="645">
        <f t="shared" si="244"/>
        <v>2577492.7350598713</v>
      </c>
      <c r="CW122" s="646">
        <f t="shared" si="245"/>
        <v>-26394.982204799868</v>
      </c>
      <c r="CX122" s="647">
        <f t="shared" si="246"/>
        <v>2551097.7528550713</v>
      </c>
      <c r="CY122" s="644">
        <f t="shared" si="166"/>
        <v>0</v>
      </c>
      <c r="CZ122" s="645">
        <f t="shared" si="167"/>
        <v>2551097.7528550713</v>
      </c>
      <c r="DA122" s="646">
        <f t="shared" si="247"/>
        <v>-2002.6210004513432</v>
      </c>
      <c r="DB122" s="647">
        <f t="shared" si="168"/>
        <v>2549095.1318546198</v>
      </c>
      <c r="DC122" s="644">
        <f t="shared" si="248"/>
        <v>0</v>
      </c>
      <c r="DD122" s="645">
        <f t="shared" si="249"/>
        <v>2549095.1318546198</v>
      </c>
      <c r="DE122" s="646">
        <f t="shared" si="250"/>
        <v>-1.7270111816962137</v>
      </c>
      <c r="DF122" s="647">
        <f t="shared" si="169"/>
        <v>2549093.404843438</v>
      </c>
      <c r="DG122" s="644">
        <f t="shared" si="251"/>
        <v>0</v>
      </c>
      <c r="DH122" s="645">
        <f t="shared" si="252"/>
        <v>2549093.404843438</v>
      </c>
      <c r="DI122" s="646">
        <f t="shared" si="253"/>
        <v>0</v>
      </c>
      <c r="DJ122" s="647">
        <f t="shared" si="170"/>
        <v>2549093.404843438</v>
      </c>
      <c r="DK122" s="644">
        <f t="shared" si="254"/>
        <v>0</v>
      </c>
      <c r="DL122" s="645">
        <f t="shared" si="255"/>
        <v>2549093.404843438</v>
      </c>
      <c r="DM122" s="646">
        <f t="shared" si="256"/>
        <v>0</v>
      </c>
      <c r="DN122" s="647">
        <f t="shared" si="171"/>
        <v>2549093.404843438</v>
      </c>
      <c r="DR122" s="827">
        <f t="shared" si="172"/>
        <v>9147879.1052934323</v>
      </c>
      <c r="DV122" s="828">
        <f>IFERROR(VLOOKUP($B122,'Afton FY16 Final'!$A$5:$BV$587,'Afton FY16 Final'!$BV$587,0),0)</f>
        <v>6851930.9881897531</v>
      </c>
      <c r="DX122" s="636">
        <f t="shared" si="137"/>
        <v>9147879.1052934323</v>
      </c>
      <c r="DY122" s="637">
        <f t="shared" si="138"/>
        <v>2295948.1171036791</v>
      </c>
      <c r="DZ122" s="637">
        <f t="shared" si="139"/>
        <v>6851930.9881897531</v>
      </c>
      <c r="EA122" s="643">
        <f t="shared" si="140"/>
        <v>8661314.4608408287</v>
      </c>
      <c r="EB122" s="637">
        <f t="shared" si="173"/>
        <v>0</v>
      </c>
      <c r="EC122" s="637">
        <f t="shared" si="174"/>
        <v>8661314.4608408287</v>
      </c>
      <c r="ED122" s="637">
        <f t="shared" si="175"/>
        <v>8635486.9382659923</v>
      </c>
      <c r="EE122" s="643">
        <f t="shared" si="176"/>
        <v>8635486.9382659923</v>
      </c>
      <c r="EF122" s="637">
        <f t="shared" si="177"/>
        <v>0</v>
      </c>
      <c r="EG122" s="637">
        <f t="shared" si="178"/>
        <v>8635486.9382659923</v>
      </c>
      <c r="EH122" s="637">
        <f t="shared" si="179"/>
        <v>8635478.0293711852</v>
      </c>
      <c r="EI122" s="643">
        <f t="shared" si="180"/>
        <v>8635478.0293711852</v>
      </c>
      <c r="EJ122" s="637">
        <f t="shared" si="181"/>
        <v>0</v>
      </c>
      <c r="EK122" s="637">
        <f t="shared" si="182"/>
        <v>8635478.0293711852</v>
      </c>
      <c r="EL122" s="637">
        <f t="shared" si="183"/>
        <v>8635478.0293711722</v>
      </c>
      <c r="EM122" s="643">
        <f t="shared" si="184"/>
        <v>8635478.0293711722</v>
      </c>
      <c r="EN122" s="637">
        <f t="shared" si="185"/>
        <v>0</v>
      </c>
      <c r="EO122" s="637">
        <f t="shared" si="186"/>
        <v>8635478.0293711722</v>
      </c>
      <c r="EP122" s="637">
        <f t="shared" si="187"/>
        <v>8635478.0293711852</v>
      </c>
      <c r="EQ122" s="643">
        <f t="shared" si="188"/>
        <v>8635478.0293711852</v>
      </c>
      <c r="ER122" s="637">
        <f t="shared" si="189"/>
        <v>0</v>
      </c>
      <c r="ES122" s="637">
        <f t="shared" si="190"/>
        <v>8635478.0293711852</v>
      </c>
      <c r="ET122" s="637">
        <f t="shared" si="191"/>
        <v>8635478.0293711722</v>
      </c>
      <c r="EU122" s="643">
        <f t="shared" si="141"/>
        <v>8635478.0293711722</v>
      </c>
      <c r="EV122" s="643">
        <f t="shared" si="142"/>
        <v>0</v>
      </c>
      <c r="EX122" s="829">
        <f t="shared" si="143"/>
        <v>512401.07592226006</v>
      </c>
      <c r="EY122" s="638">
        <f t="shared" si="144"/>
        <v>8635478.0293711722</v>
      </c>
      <c r="FC122" s="830" t="str">
        <f t="shared" si="192"/>
        <v>Y</v>
      </c>
      <c r="FE122" s="830" t="str">
        <f>IFERROR(VLOOKUP($B122,'Historical Conc Grant Elig'!$B$3:$J$707,'HH &amp; SI'!FE$2,0),"N")</f>
        <v>Y</v>
      </c>
      <c r="FF122" s="830" t="str">
        <f>IFERROR(VLOOKUP($B122,'Historical Conc Grant Elig'!$B$3:$J$707,'HH &amp; SI'!FF$2,0),"N")</f>
        <v>Y</v>
      </c>
      <c r="FG122" s="830" t="str">
        <f>IFERROR(VLOOKUP($B122,'Historical Conc Grant Elig'!$B$3:$J$707,'HH &amp; SI'!FG$2,0),"N")</f>
        <v>Y</v>
      </c>
      <c r="FH122" s="830" t="str">
        <f>IFERROR(VLOOKUP($B122,'Historical Conc Grant Elig'!$B$3:$J$707,'HH &amp; SI'!FH$2,0),"N")</f>
        <v>Y</v>
      </c>
      <c r="FI122" s="830" t="str">
        <f>IFERROR(VLOOKUP($B122,'Historical Conc Grant Elig'!$B$3:$J$707,'HH &amp; SI'!FI$2,0),"N")</f>
        <v>Y</v>
      </c>
      <c r="FJ122" s="830" t="str">
        <f>IFERROR(VLOOKUP($B122,'Historical Conc Grant Elig'!$B$3:$J$707,'HH &amp; SI'!FJ$2,0),"N")</f>
        <v>Y</v>
      </c>
      <c r="FK122" s="830" t="str">
        <f>IFERROR(VLOOKUP($B122,'Historical Conc Grant Elig'!$B$3:$J$707,'HH &amp; SI'!FK$2,0),"N")</f>
        <v>Y</v>
      </c>
      <c r="FL122" s="957" t="str">
        <f>IFERROR(VLOOKUP($B122,'Historical Conc Grant Elig'!$B$3:$J$707,'HH &amp; SI'!FL$2,0),"N")</f>
        <v>Y</v>
      </c>
    </row>
    <row r="123" spans="2:168" x14ac:dyDescent="0.25">
      <c r="B123" s="634">
        <v>70479000</v>
      </c>
      <c r="C123" s="635" t="str">
        <f>VLOOKUP($B123,'Afton Update'!$A$5:$CR$582,'Afton Update'!D$589,0)</f>
        <v>Litchfield Elementary District</v>
      </c>
      <c r="D123" s="636">
        <f>IFERROR(VLOOKUP($B123,'Afton FY16 Final'!$A$5:$BV$587,'Afton FY16 Final'!AQ$587,0),0)</f>
        <v>798129.02322431188</v>
      </c>
      <c r="E123" s="637">
        <f>IFERROR(VLOOKUP($B123,'Afton FY16 Final'!$A$5:$BV$587,'Afton FY16 Final'!AR$587,0),0)</f>
        <v>187953.46557509786</v>
      </c>
      <c r="F123" s="637">
        <f>IFERROR(VLOOKUP($B123,'Afton FY16 Final'!$A$5:$BV$587,'Afton FY16 Final'!AS$587,0),0)</f>
        <v>291018.95966435375</v>
      </c>
      <c r="G123" s="637">
        <f>IFERROR(VLOOKUP($B123,'Afton FY16 Final'!$A$5:$BV$587,'Afton FY16 Final'!AT$587,0),0)</f>
        <v>196643.14839016111</v>
      </c>
      <c r="H123" s="638">
        <f>IFERROR(VLOOKUP($B123,'Afton FY16 Final'!$A$5:$BV$587,'Afton FY16 Final'!AU$587,0),0)</f>
        <v>1473744.5968539247</v>
      </c>
      <c r="I123" s="639" t="str">
        <f>VLOOKUP($B123,'Afton Update'!$A$5:$CR$582,'Afton Update'!BT$589,0)</f>
        <v>Y</v>
      </c>
      <c r="J123" s="640" t="str">
        <f>VLOOKUP($B123,'Afton Update'!$A$5:$CR$582,'Afton Update'!BU$589,0)</f>
        <v>Y</v>
      </c>
      <c r="K123" s="640" t="str">
        <f>VLOOKUP($B123,'Afton Update'!$A$5:$CR$582,'Afton Update'!BV$589,0)</f>
        <v>Y</v>
      </c>
      <c r="L123" s="641" t="str">
        <f>VLOOKUP($B123,'Afton Update'!$A$5:$CR$582,'Afton Update'!BW$589,0)</f>
        <v>Y</v>
      </c>
      <c r="N123" s="642">
        <f>VLOOKUP($B123,'Afton Update'!$A$5:$CR$582,'Afton Update'!CB$589,0)</f>
        <v>0.9</v>
      </c>
      <c r="P123" s="636">
        <f>VLOOKUP($B123,'Afton Update'!$A$5:$CR$582,'Afton Update'!AH$589,0)</f>
        <v>740202.95432852558</v>
      </c>
      <c r="Q123" s="637">
        <f>VLOOKUP($B123,'Afton Update'!$A$5:$CR$582,'Afton Update'!AI$589,0)</f>
        <v>178539.45365790388</v>
      </c>
      <c r="R123" s="637">
        <f>VLOOKUP($B123,'Afton Update'!$A$5:$CR$582,'Afton Update'!AJ$589,0)</f>
        <v>291722.37258776015</v>
      </c>
      <c r="S123" s="637">
        <f>VLOOKUP($B123,'Afton Update'!$A$5:$CR$582,'Afton Update'!AK$589,0)</f>
        <v>226448.40128536723</v>
      </c>
      <c r="T123" s="643">
        <f t="shared" si="145"/>
        <v>1436913.1818595571</v>
      </c>
      <c r="V123" s="636">
        <f t="shared" si="193"/>
        <v>730106.10559264314</v>
      </c>
      <c r="W123" s="637">
        <f t="shared" si="194"/>
        <v>172659.01681166285</v>
      </c>
      <c r="X123" s="637">
        <f t="shared" si="195"/>
        <v>289069.27150776831</v>
      </c>
      <c r="Y123" s="637">
        <f t="shared" si="196"/>
        <v>223953.34753114701</v>
      </c>
      <c r="Z123" s="643">
        <f t="shared" si="197"/>
        <v>1415787.7414432212</v>
      </c>
      <c r="AB123" s="644">
        <f t="shared" si="146"/>
        <v>740202.95432852558</v>
      </c>
      <c r="AC123" s="645">
        <f t="shared" si="134"/>
        <v>718316.12090188067</v>
      </c>
      <c r="AD123" s="644">
        <f t="shared" si="198"/>
        <v>0</v>
      </c>
      <c r="AE123" s="645">
        <f t="shared" si="199"/>
        <v>740202.95432852558</v>
      </c>
      <c r="AF123" s="646">
        <f t="shared" si="200"/>
        <v>-9175.3718666152108</v>
      </c>
      <c r="AG123" s="647">
        <f t="shared" si="201"/>
        <v>731027.58246191032</v>
      </c>
      <c r="AH123" s="644">
        <f t="shared" si="147"/>
        <v>0</v>
      </c>
      <c r="AI123" s="645">
        <f t="shared" si="148"/>
        <v>731027.58246191032</v>
      </c>
      <c r="AJ123" s="646">
        <f t="shared" si="202"/>
        <v>-920.88979918405312</v>
      </c>
      <c r="AK123" s="647">
        <f t="shared" si="149"/>
        <v>730106.69266272627</v>
      </c>
      <c r="AL123" s="644">
        <f t="shared" si="203"/>
        <v>0</v>
      </c>
      <c r="AM123" s="645">
        <f t="shared" si="204"/>
        <v>730106.69266272627</v>
      </c>
      <c r="AN123" s="646">
        <f t="shared" si="205"/>
        <v>-0.58707008316110487</v>
      </c>
      <c r="AO123" s="647">
        <f t="shared" si="150"/>
        <v>730106.10559264314</v>
      </c>
      <c r="AP123" s="644">
        <f t="shared" si="206"/>
        <v>0</v>
      </c>
      <c r="AQ123" s="645">
        <f t="shared" si="207"/>
        <v>730106.10559264314</v>
      </c>
      <c r="AR123" s="646">
        <f t="shared" si="208"/>
        <v>0</v>
      </c>
      <c r="AS123" s="647">
        <f t="shared" si="151"/>
        <v>730106.10559264314</v>
      </c>
      <c r="AT123" s="644">
        <f t="shared" si="209"/>
        <v>0</v>
      </c>
      <c r="AU123" s="645">
        <f t="shared" si="210"/>
        <v>730106.10559264314</v>
      </c>
      <c r="AV123" s="646">
        <f t="shared" si="211"/>
        <v>0</v>
      </c>
      <c r="AW123" s="647">
        <f t="shared" si="152"/>
        <v>730106.10559264314</v>
      </c>
      <c r="AY123" s="644">
        <f t="shared" si="212"/>
        <v>178539.45365790388</v>
      </c>
      <c r="AZ123" s="645">
        <f t="shared" si="153"/>
        <v>169158.11901758806</v>
      </c>
      <c r="BA123" s="644">
        <f t="shared" si="213"/>
        <v>0</v>
      </c>
      <c r="BB123" s="645">
        <f t="shared" si="214"/>
        <v>178539.45365790388</v>
      </c>
      <c r="BC123" s="646">
        <f t="shared" si="215"/>
        <v>-1283.9292430862852</v>
      </c>
      <c r="BD123" s="647">
        <f t="shared" si="216"/>
        <v>177255.5244148176</v>
      </c>
      <c r="BE123" s="644">
        <f t="shared" si="154"/>
        <v>0</v>
      </c>
      <c r="BF123" s="645">
        <f t="shared" si="155"/>
        <v>177255.5244148176</v>
      </c>
      <c r="BG123" s="646">
        <f t="shared" si="217"/>
        <v>-4222.0821387299638</v>
      </c>
      <c r="BH123" s="647">
        <f t="shared" si="156"/>
        <v>173033.44227608765</v>
      </c>
      <c r="BI123" s="644">
        <f t="shared" si="218"/>
        <v>0</v>
      </c>
      <c r="BJ123" s="645">
        <f t="shared" si="219"/>
        <v>173033.44227608765</v>
      </c>
      <c r="BK123" s="646">
        <f t="shared" si="220"/>
        <v>-366.52547145298053</v>
      </c>
      <c r="BL123" s="647">
        <f t="shared" si="157"/>
        <v>172666.91680463467</v>
      </c>
      <c r="BM123" s="644">
        <f t="shared" si="221"/>
        <v>0</v>
      </c>
      <c r="BN123" s="645">
        <f t="shared" si="222"/>
        <v>172666.91680463467</v>
      </c>
      <c r="BO123" s="646">
        <f t="shared" si="223"/>
        <v>-7.8999929718205326</v>
      </c>
      <c r="BP123" s="647">
        <f t="shared" si="158"/>
        <v>172659.01681166285</v>
      </c>
      <c r="BQ123" s="644">
        <f t="shared" si="224"/>
        <v>0</v>
      </c>
      <c r="BR123" s="645">
        <f t="shared" si="225"/>
        <v>172659.01681166285</v>
      </c>
      <c r="BS123" s="646">
        <f t="shared" si="226"/>
        <v>0</v>
      </c>
      <c r="BT123" s="647">
        <f t="shared" si="159"/>
        <v>172659.01681166285</v>
      </c>
      <c r="BU123" s="662">
        <f>VLOOKUP(B123,'Afton Update'!$A$5:$AR$582,'Afton Update'!$AO$589,0)-BT123</f>
        <v>0</v>
      </c>
      <c r="BV123" s="644">
        <f t="shared" si="227"/>
        <v>291722.37258776015</v>
      </c>
      <c r="BW123" s="645">
        <f t="shared" si="135"/>
        <v>261917.06369791838</v>
      </c>
      <c r="BX123" s="644">
        <f t="shared" si="228"/>
        <v>0</v>
      </c>
      <c r="BY123" s="645">
        <f t="shared" si="229"/>
        <v>291722.37258776015</v>
      </c>
      <c r="BZ123" s="646">
        <f t="shared" si="230"/>
        <v>-2560.4782797789326</v>
      </c>
      <c r="CA123" s="647">
        <f t="shared" si="231"/>
        <v>289161.89430798125</v>
      </c>
      <c r="CB123" s="644">
        <f t="shared" si="160"/>
        <v>0</v>
      </c>
      <c r="CC123" s="645">
        <f t="shared" si="161"/>
        <v>289161.89430798125</v>
      </c>
      <c r="CD123" s="646">
        <f t="shared" si="232"/>
        <v>-92.622800212924815</v>
      </c>
      <c r="CE123" s="647">
        <f t="shared" si="162"/>
        <v>289069.27150776831</v>
      </c>
      <c r="CF123" s="644">
        <f t="shared" si="233"/>
        <v>0</v>
      </c>
      <c r="CG123" s="645">
        <f t="shared" si="234"/>
        <v>289069.27150776831</v>
      </c>
      <c r="CH123" s="646">
        <f t="shared" si="235"/>
        <v>0</v>
      </c>
      <c r="CI123" s="647">
        <f t="shared" si="163"/>
        <v>289069.27150776831</v>
      </c>
      <c r="CJ123" s="644">
        <f t="shared" si="236"/>
        <v>0</v>
      </c>
      <c r="CK123" s="645">
        <f t="shared" si="237"/>
        <v>289069.27150776831</v>
      </c>
      <c r="CL123" s="646">
        <f t="shared" si="238"/>
        <v>0</v>
      </c>
      <c r="CM123" s="647">
        <f t="shared" si="164"/>
        <v>289069.27150776831</v>
      </c>
      <c r="CN123" s="644">
        <f t="shared" si="239"/>
        <v>0</v>
      </c>
      <c r="CO123" s="645">
        <f t="shared" si="240"/>
        <v>289069.27150776831</v>
      </c>
      <c r="CP123" s="646">
        <f t="shared" si="241"/>
        <v>0</v>
      </c>
      <c r="CQ123" s="647">
        <f t="shared" si="165"/>
        <v>289069.27150776831</v>
      </c>
      <c r="CS123" s="644">
        <f t="shared" si="242"/>
        <v>226448.40128536723</v>
      </c>
      <c r="CT123" s="645">
        <f t="shared" si="136"/>
        <v>176978.83355114501</v>
      </c>
      <c r="CU123" s="644">
        <f t="shared" si="243"/>
        <v>0</v>
      </c>
      <c r="CV123" s="645">
        <f t="shared" si="244"/>
        <v>226448.40128536723</v>
      </c>
      <c r="CW123" s="646">
        <f t="shared" si="245"/>
        <v>-2318.9596001300883</v>
      </c>
      <c r="CX123" s="647">
        <f t="shared" si="246"/>
        <v>224129.44168523714</v>
      </c>
      <c r="CY123" s="644">
        <f t="shared" si="166"/>
        <v>0</v>
      </c>
      <c r="CZ123" s="645">
        <f t="shared" si="167"/>
        <v>224129.44168523714</v>
      </c>
      <c r="DA123" s="646">
        <f t="shared" si="247"/>
        <v>-175.94242566203604</v>
      </c>
      <c r="DB123" s="647">
        <f t="shared" si="168"/>
        <v>223953.4992595751</v>
      </c>
      <c r="DC123" s="644">
        <f t="shared" si="248"/>
        <v>0</v>
      </c>
      <c r="DD123" s="645">
        <f t="shared" si="249"/>
        <v>223953.4992595751</v>
      </c>
      <c r="DE123" s="646">
        <f t="shared" si="250"/>
        <v>-0.15172842808729636</v>
      </c>
      <c r="DF123" s="647">
        <f t="shared" si="169"/>
        <v>223953.34753114701</v>
      </c>
      <c r="DG123" s="644">
        <f t="shared" si="251"/>
        <v>0</v>
      </c>
      <c r="DH123" s="645">
        <f t="shared" si="252"/>
        <v>223953.34753114701</v>
      </c>
      <c r="DI123" s="646">
        <f t="shared" si="253"/>
        <v>0</v>
      </c>
      <c r="DJ123" s="647">
        <f t="shared" si="170"/>
        <v>223953.34753114701</v>
      </c>
      <c r="DK123" s="644">
        <f t="shared" si="254"/>
        <v>0</v>
      </c>
      <c r="DL123" s="645">
        <f t="shared" si="255"/>
        <v>223953.34753114701</v>
      </c>
      <c r="DM123" s="646">
        <f t="shared" si="256"/>
        <v>0</v>
      </c>
      <c r="DN123" s="647">
        <f t="shared" si="171"/>
        <v>223953.34753114701</v>
      </c>
      <c r="DR123" s="827">
        <f t="shared" si="172"/>
        <v>1415787.7414432212</v>
      </c>
      <c r="DV123" s="828">
        <f>IFERROR(VLOOKUP($B123,'Afton FY16 Final'!$A$5:$BV$587,'Afton FY16 Final'!$BV$587,0),0)</f>
        <v>1308435.2244138566</v>
      </c>
      <c r="DX123" s="636">
        <f t="shared" si="137"/>
        <v>1415787.7414432212</v>
      </c>
      <c r="DY123" s="637">
        <f t="shared" si="138"/>
        <v>107352.51702936459</v>
      </c>
      <c r="DZ123" s="637">
        <f t="shared" si="139"/>
        <v>1308435.2244138566</v>
      </c>
      <c r="EA123" s="643">
        <f t="shared" si="140"/>
        <v>1340483.7008993251</v>
      </c>
      <c r="EB123" s="637">
        <f t="shared" si="173"/>
        <v>0</v>
      </c>
      <c r="EC123" s="637">
        <f t="shared" si="174"/>
        <v>1340483.7008993251</v>
      </c>
      <c r="ED123" s="637">
        <f t="shared" si="175"/>
        <v>1336486.4585404769</v>
      </c>
      <c r="EE123" s="643">
        <f t="shared" si="176"/>
        <v>1336486.4585404769</v>
      </c>
      <c r="EF123" s="637">
        <f t="shared" si="177"/>
        <v>0</v>
      </c>
      <c r="EG123" s="637">
        <f t="shared" si="178"/>
        <v>1336486.4585404769</v>
      </c>
      <c r="EH123" s="637">
        <f t="shared" si="179"/>
        <v>1336485.0797395646</v>
      </c>
      <c r="EI123" s="643">
        <f t="shared" si="180"/>
        <v>1336485.0797395646</v>
      </c>
      <c r="EJ123" s="637">
        <f t="shared" si="181"/>
        <v>0</v>
      </c>
      <c r="EK123" s="637">
        <f t="shared" si="182"/>
        <v>1336485.0797395646</v>
      </c>
      <c r="EL123" s="637">
        <f t="shared" si="183"/>
        <v>1336485.0797395627</v>
      </c>
      <c r="EM123" s="643">
        <f t="shared" si="184"/>
        <v>1336485.0797395627</v>
      </c>
      <c r="EN123" s="637">
        <f t="shared" si="185"/>
        <v>0</v>
      </c>
      <c r="EO123" s="637">
        <f t="shared" si="186"/>
        <v>1336485.0797395627</v>
      </c>
      <c r="EP123" s="637">
        <f t="shared" si="187"/>
        <v>1336485.0797395648</v>
      </c>
      <c r="EQ123" s="643">
        <f t="shared" si="188"/>
        <v>1336485.0797395648</v>
      </c>
      <c r="ER123" s="637">
        <f t="shared" si="189"/>
        <v>0</v>
      </c>
      <c r="ES123" s="637">
        <f t="shared" si="190"/>
        <v>1336485.0797395648</v>
      </c>
      <c r="ET123" s="637">
        <f t="shared" si="191"/>
        <v>1336485.0797395627</v>
      </c>
      <c r="EU123" s="643">
        <f t="shared" si="141"/>
        <v>1336485.0797395627</v>
      </c>
      <c r="EV123" s="643">
        <f t="shared" si="142"/>
        <v>0</v>
      </c>
      <c r="EX123" s="829">
        <f t="shared" si="143"/>
        <v>79302.661703658523</v>
      </c>
      <c r="EY123" s="638">
        <f t="shared" si="144"/>
        <v>1336485.0797395627</v>
      </c>
      <c r="FC123" s="830" t="str">
        <f t="shared" si="192"/>
        <v>Y</v>
      </c>
      <c r="FE123" s="830" t="str">
        <f>IFERROR(VLOOKUP($B123,'Historical Conc Grant Elig'!$B$3:$J$707,'HH &amp; SI'!FE$2,0),"N")</f>
        <v>N</v>
      </c>
      <c r="FF123" s="830" t="str">
        <f>IFERROR(VLOOKUP($B123,'Historical Conc Grant Elig'!$B$3:$J$707,'HH &amp; SI'!FF$2,0),"N")</f>
        <v>N</v>
      </c>
      <c r="FG123" s="830" t="str">
        <f>IFERROR(VLOOKUP($B123,'Historical Conc Grant Elig'!$B$3:$J$707,'HH &amp; SI'!FG$2,0),"N")</f>
        <v>N</v>
      </c>
      <c r="FH123" s="830" t="str">
        <f>IFERROR(VLOOKUP($B123,'Historical Conc Grant Elig'!$B$3:$J$707,'HH &amp; SI'!FH$2,0),"N")</f>
        <v>N</v>
      </c>
      <c r="FI123" s="830" t="str">
        <f>IFERROR(VLOOKUP($B123,'Historical Conc Grant Elig'!$B$3:$J$707,'HH &amp; SI'!FI$2,0),"N")</f>
        <v>N</v>
      </c>
      <c r="FJ123" s="830" t="str">
        <f>IFERROR(VLOOKUP($B123,'Historical Conc Grant Elig'!$B$3:$J$707,'HH &amp; SI'!FJ$2,0),"N")</f>
        <v>Y</v>
      </c>
      <c r="FK123" s="830" t="str">
        <f>IFERROR(VLOOKUP($B123,'Historical Conc Grant Elig'!$B$3:$J$707,'HH &amp; SI'!FK$2,0),"N")</f>
        <v>Y</v>
      </c>
      <c r="FL123" s="957" t="str">
        <f>IFERROR(VLOOKUP($B123,'Historical Conc Grant Elig'!$B$3:$J$707,'HH &amp; SI'!FL$2,0),"N")</f>
        <v>Y</v>
      </c>
    </row>
    <row r="124" spans="2:168" x14ac:dyDescent="0.25">
      <c r="B124" s="634">
        <v>70483000</v>
      </c>
      <c r="C124" s="635" t="str">
        <f>VLOOKUP($B124,'Afton Update'!$A$5:$CR$582,'Afton Update'!D$589,0)</f>
        <v>Cartwright Elementary District</v>
      </c>
      <c r="D124" s="636">
        <f>IFERROR(VLOOKUP($B124,'Afton FY16 Final'!$A$5:$BV$587,'Afton FY16 Final'!AQ$587,0),0)</f>
        <v>4048104.4549341477</v>
      </c>
      <c r="E124" s="637">
        <f>IFERROR(VLOOKUP($B124,'Afton FY16 Final'!$A$5:$BV$587,'Afton FY16 Final'!AR$587,0),0)</f>
        <v>945522.27398695902</v>
      </c>
      <c r="F124" s="637">
        <f>IFERROR(VLOOKUP($B124,'Afton FY16 Final'!$A$5:$BV$587,'Afton FY16 Final'!AS$587,0),0)</f>
        <v>2573090.5328435823</v>
      </c>
      <c r="G124" s="637">
        <f>IFERROR(VLOOKUP($B124,'Afton FY16 Final'!$A$5:$BV$587,'Afton FY16 Final'!AT$587,0),0)</f>
        <v>2221608.1516928715</v>
      </c>
      <c r="H124" s="638">
        <f>IFERROR(VLOOKUP($B124,'Afton FY16 Final'!$A$5:$BV$587,'Afton FY16 Final'!AU$587,0),0)</f>
        <v>9788325.4134575613</v>
      </c>
      <c r="I124" s="639" t="str">
        <f>VLOOKUP($B124,'Afton Update'!$A$5:$CR$582,'Afton Update'!BT$589,0)</f>
        <v>Y</v>
      </c>
      <c r="J124" s="640" t="str">
        <f>VLOOKUP($B124,'Afton Update'!$A$5:$CR$582,'Afton Update'!BU$589,0)</f>
        <v>Y</v>
      </c>
      <c r="K124" s="640" t="str">
        <f>VLOOKUP($B124,'Afton Update'!$A$5:$CR$582,'Afton Update'!BV$589,0)</f>
        <v>Y</v>
      </c>
      <c r="L124" s="641" t="str">
        <f>VLOOKUP($B124,'Afton Update'!$A$5:$CR$582,'Afton Update'!BW$589,0)</f>
        <v>Y</v>
      </c>
      <c r="N124" s="642">
        <f>VLOOKUP($B124,'Afton Update'!$A$5:$CR$582,'Afton Update'!CB$589,0)</f>
        <v>0.95</v>
      </c>
      <c r="P124" s="636">
        <f>VLOOKUP($B124,'Afton Update'!$A$5:$CR$582,'Afton Update'!AH$589,0)</f>
        <v>4194900.1888043983</v>
      </c>
      <c r="Q124" s="637">
        <f>VLOOKUP($B124,'Afton Update'!$A$5:$CR$582,'Afton Update'!AI$589,0)</f>
        <v>1001879.0667930852</v>
      </c>
      <c r="R124" s="637">
        <f>VLOOKUP($B124,'Afton Update'!$A$5:$CR$582,'Afton Update'!AJ$589,0)</f>
        <v>2906861.6038168333</v>
      </c>
      <c r="S124" s="637">
        <f>VLOOKUP($B124,'Afton Update'!$A$5:$CR$582,'Afton Update'!AK$589,0)</f>
        <v>2874950.3658286962</v>
      </c>
      <c r="T124" s="643">
        <f t="shared" si="145"/>
        <v>10978591.225243013</v>
      </c>
      <c r="V124" s="636">
        <f t="shared" si="193"/>
        <v>4137679.0274718213</v>
      </c>
      <c r="W124" s="637">
        <f t="shared" si="194"/>
        <v>968880.83329822845</v>
      </c>
      <c r="X124" s="637">
        <f t="shared" si="195"/>
        <v>2880424.8324713199</v>
      </c>
      <c r="Y124" s="637">
        <f t="shared" si="196"/>
        <v>2843273.5879722782</v>
      </c>
      <c r="Z124" s="643">
        <f t="shared" si="197"/>
        <v>10830258.281213647</v>
      </c>
      <c r="AB124" s="644">
        <f t="shared" si="146"/>
        <v>4194900.1888043983</v>
      </c>
      <c r="AC124" s="645">
        <f t="shared" si="134"/>
        <v>3845699.2321874402</v>
      </c>
      <c r="AD124" s="644">
        <f t="shared" si="198"/>
        <v>0</v>
      </c>
      <c r="AE124" s="645">
        <f t="shared" si="199"/>
        <v>4194900.1888043983</v>
      </c>
      <c r="AF124" s="646">
        <f t="shared" si="200"/>
        <v>-51998.940223807505</v>
      </c>
      <c r="AG124" s="647">
        <f t="shared" si="201"/>
        <v>4142901.2485805908</v>
      </c>
      <c r="AH124" s="644">
        <f t="shared" si="147"/>
        <v>0</v>
      </c>
      <c r="AI124" s="645">
        <f t="shared" si="148"/>
        <v>4142901.2485805908</v>
      </c>
      <c r="AJ124" s="646">
        <f t="shared" si="202"/>
        <v>-5218.8940477407077</v>
      </c>
      <c r="AK124" s="647">
        <f t="shared" si="149"/>
        <v>4137682.35453285</v>
      </c>
      <c r="AL124" s="644">
        <f t="shared" si="203"/>
        <v>0</v>
      </c>
      <c r="AM124" s="645">
        <f t="shared" si="204"/>
        <v>4137682.35453285</v>
      </c>
      <c r="AN124" s="646">
        <f t="shared" si="205"/>
        <v>-3.3270610287255189</v>
      </c>
      <c r="AO124" s="647">
        <f t="shared" si="150"/>
        <v>4137679.0274718213</v>
      </c>
      <c r="AP124" s="644">
        <f t="shared" si="206"/>
        <v>0</v>
      </c>
      <c r="AQ124" s="645">
        <f t="shared" si="207"/>
        <v>4137679.0274718213</v>
      </c>
      <c r="AR124" s="646">
        <f t="shared" si="208"/>
        <v>0</v>
      </c>
      <c r="AS124" s="647">
        <f t="shared" si="151"/>
        <v>4137679.0274718213</v>
      </c>
      <c r="AT124" s="644">
        <f t="shared" si="209"/>
        <v>0</v>
      </c>
      <c r="AU124" s="645">
        <f t="shared" si="210"/>
        <v>4137679.0274718213</v>
      </c>
      <c r="AV124" s="646">
        <f t="shared" si="211"/>
        <v>0</v>
      </c>
      <c r="AW124" s="647">
        <f t="shared" si="152"/>
        <v>4137679.0274718213</v>
      </c>
      <c r="AY124" s="644">
        <f t="shared" si="212"/>
        <v>1001879.0667930852</v>
      </c>
      <c r="AZ124" s="645">
        <f t="shared" si="153"/>
        <v>898246.16028761107</v>
      </c>
      <c r="BA124" s="644">
        <f t="shared" si="213"/>
        <v>0</v>
      </c>
      <c r="BB124" s="645">
        <f t="shared" si="214"/>
        <v>1001879.0667930852</v>
      </c>
      <c r="BC124" s="646">
        <f t="shared" si="215"/>
        <v>-7204.804347370612</v>
      </c>
      <c r="BD124" s="647">
        <f t="shared" si="216"/>
        <v>994674.26244571456</v>
      </c>
      <c r="BE124" s="644">
        <f t="shared" si="154"/>
        <v>0</v>
      </c>
      <c r="BF124" s="645">
        <f t="shared" si="155"/>
        <v>994674.26244571456</v>
      </c>
      <c r="BG124" s="646">
        <f t="shared" si="217"/>
        <v>-23692.330330413039</v>
      </c>
      <c r="BH124" s="647">
        <f t="shared" si="156"/>
        <v>970981.93211530149</v>
      </c>
      <c r="BI124" s="644">
        <f t="shared" si="218"/>
        <v>0</v>
      </c>
      <c r="BJ124" s="645">
        <f t="shared" si="219"/>
        <v>970981.93211530149</v>
      </c>
      <c r="BK124" s="646">
        <f t="shared" si="220"/>
        <v>-2056.7677886973929</v>
      </c>
      <c r="BL124" s="647">
        <f t="shared" si="157"/>
        <v>968925.16432660411</v>
      </c>
      <c r="BM124" s="644">
        <f t="shared" si="221"/>
        <v>0</v>
      </c>
      <c r="BN124" s="645">
        <f t="shared" si="222"/>
        <v>968925.16432660411</v>
      </c>
      <c r="BO124" s="646">
        <f t="shared" si="223"/>
        <v>-44.33102837563824</v>
      </c>
      <c r="BP124" s="647">
        <f t="shared" si="158"/>
        <v>968880.83329822845</v>
      </c>
      <c r="BQ124" s="644">
        <f t="shared" si="224"/>
        <v>0</v>
      </c>
      <c r="BR124" s="645">
        <f t="shared" si="225"/>
        <v>968880.83329822845</v>
      </c>
      <c r="BS124" s="646">
        <f t="shared" si="226"/>
        <v>0</v>
      </c>
      <c r="BT124" s="647">
        <f t="shared" si="159"/>
        <v>968880.83329822845</v>
      </c>
      <c r="BU124" s="662">
        <f>VLOOKUP(B124,'Afton Update'!$A$5:$AR$582,'Afton Update'!$AO$589,0)-BT124</f>
        <v>0</v>
      </c>
      <c r="BV124" s="644">
        <f t="shared" si="227"/>
        <v>2906861.6038168333</v>
      </c>
      <c r="BW124" s="645">
        <f t="shared" si="135"/>
        <v>2444436.0062014032</v>
      </c>
      <c r="BX124" s="644">
        <f t="shared" si="228"/>
        <v>0</v>
      </c>
      <c r="BY124" s="645">
        <f t="shared" si="229"/>
        <v>2906861.6038168333</v>
      </c>
      <c r="BZ124" s="646">
        <f t="shared" si="230"/>
        <v>-25513.83335077345</v>
      </c>
      <c r="CA124" s="647">
        <f t="shared" si="231"/>
        <v>2881347.7704660599</v>
      </c>
      <c r="CB124" s="644">
        <f t="shared" si="160"/>
        <v>0</v>
      </c>
      <c r="CC124" s="645">
        <f t="shared" si="161"/>
        <v>2881347.7704660599</v>
      </c>
      <c r="CD124" s="646">
        <f t="shared" si="232"/>
        <v>-922.93799474002128</v>
      </c>
      <c r="CE124" s="647">
        <f t="shared" si="162"/>
        <v>2880424.8324713199</v>
      </c>
      <c r="CF124" s="644">
        <f t="shared" si="233"/>
        <v>0</v>
      </c>
      <c r="CG124" s="645">
        <f t="shared" si="234"/>
        <v>2880424.8324713199</v>
      </c>
      <c r="CH124" s="646">
        <f t="shared" si="235"/>
        <v>0</v>
      </c>
      <c r="CI124" s="647">
        <f t="shared" si="163"/>
        <v>2880424.8324713199</v>
      </c>
      <c r="CJ124" s="644">
        <f t="shared" si="236"/>
        <v>0</v>
      </c>
      <c r="CK124" s="645">
        <f t="shared" si="237"/>
        <v>2880424.8324713199</v>
      </c>
      <c r="CL124" s="646">
        <f t="shared" si="238"/>
        <v>0</v>
      </c>
      <c r="CM124" s="647">
        <f t="shared" si="164"/>
        <v>2880424.8324713199</v>
      </c>
      <c r="CN124" s="644">
        <f t="shared" si="239"/>
        <v>0</v>
      </c>
      <c r="CO124" s="645">
        <f t="shared" si="240"/>
        <v>2880424.8324713199</v>
      </c>
      <c r="CP124" s="646">
        <f t="shared" si="241"/>
        <v>0</v>
      </c>
      <c r="CQ124" s="647">
        <f t="shared" si="165"/>
        <v>2880424.8324713199</v>
      </c>
      <c r="CS124" s="644">
        <f t="shared" si="242"/>
        <v>2874950.3658286962</v>
      </c>
      <c r="CT124" s="645">
        <f t="shared" si="136"/>
        <v>2110527.744108228</v>
      </c>
      <c r="CU124" s="644">
        <f t="shared" si="243"/>
        <v>0</v>
      </c>
      <c r="CV124" s="645">
        <f t="shared" si="244"/>
        <v>2874950.3658286962</v>
      </c>
      <c r="CW124" s="646">
        <f t="shared" si="245"/>
        <v>-29441.116443716623</v>
      </c>
      <c r="CX124" s="647">
        <f t="shared" si="246"/>
        <v>2845509.2493849797</v>
      </c>
      <c r="CY124" s="644">
        <f t="shared" si="166"/>
        <v>0</v>
      </c>
      <c r="CZ124" s="645">
        <f t="shared" si="167"/>
        <v>2845509.2493849797</v>
      </c>
      <c r="DA124" s="646">
        <f t="shared" si="247"/>
        <v>-2233.7350943998231</v>
      </c>
      <c r="DB124" s="647">
        <f t="shared" si="168"/>
        <v>2843275.5142905801</v>
      </c>
      <c r="DC124" s="644">
        <f t="shared" si="248"/>
        <v>0</v>
      </c>
      <c r="DD124" s="645">
        <f t="shared" si="249"/>
        <v>2843275.5142905801</v>
      </c>
      <c r="DE124" s="646">
        <f t="shared" si="250"/>
        <v>-1.9263183019184917</v>
      </c>
      <c r="DF124" s="647">
        <f t="shared" si="169"/>
        <v>2843273.5879722782</v>
      </c>
      <c r="DG124" s="644">
        <f t="shared" si="251"/>
        <v>0</v>
      </c>
      <c r="DH124" s="645">
        <f t="shared" si="252"/>
        <v>2843273.5879722782</v>
      </c>
      <c r="DI124" s="646">
        <f t="shared" si="253"/>
        <v>0</v>
      </c>
      <c r="DJ124" s="647">
        <f t="shared" si="170"/>
        <v>2843273.5879722782</v>
      </c>
      <c r="DK124" s="644">
        <f t="shared" si="254"/>
        <v>0</v>
      </c>
      <c r="DL124" s="645">
        <f t="shared" si="255"/>
        <v>2843273.5879722782</v>
      </c>
      <c r="DM124" s="646">
        <f t="shared" si="256"/>
        <v>0</v>
      </c>
      <c r="DN124" s="647">
        <f t="shared" si="171"/>
        <v>2843273.5879722782</v>
      </c>
      <c r="DR124" s="827">
        <f t="shared" si="172"/>
        <v>10830258.281213647</v>
      </c>
      <c r="DV124" s="828">
        <f>IFERROR(VLOOKUP($B124,'Afton FY16 Final'!$A$5:$BV$587,'Afton FY16 Final'!$BV$587,0),0)</f>
        <v>8690372.6645266488</v>
      </c>
      <c r="DX124" s="636">
        <f t="shared" si="137"/>
        <v>10830258.281213647</v>
      </c>
      <c r="DY124" s="637">
        <f t="shared" si="138"/>
        <v>2139885.6166869979</v>
      </c>
      <c r="DZ124" s="637">
        <f t="shared" si="139"/>
        <v>8690372.6645266488</v>
      </c>
      <c r="EA124" s="643">
        <f t="shared" si="140"/>
        <v>10254209.919700067</v>
      </c>
      <c r="EB124" s="637">
        <f t="shared" si="173"/>
        <v>0</v>
      </c>
      <c r="EC124" s="637">
        <f t="shared" si="174"/>
        <v>10254209.919700067</v>
      </c>
      <c r="ED124" s="637">
        <f t="shared" si="175"/>
        <v>10223632.47797508</v>
      </c>
      <c r="EE124" s="643">
        <f t="shared" si="176"/>
        <v>10223632.47797508</v>
      </c>
      <c r="EF124" s="637">
        <f t="shared" si="177"/>
        <v>0</v>
      </c>
      <c r="EG124" s="637">
        <f t="shared" si="178"/>
        <v>10223632.47797508</v>
      </c>
      <c r="EH124" s="637">
        <f t="shared" si="179"/>
        <v>10223621.93065251</v>
      </c>
      <c r="EI124" s="643">
        <f t="shared" si="180"/>
        <v>10223621.93065251</v>
      </c>
      <c r="EJ124" s="637">
        <f t="shared" si="181"/>
        <v>0</v>
      </c>
      <c r="EK124" s="637">
        <f t="shared" si="182"/>
        <v>10223621.93065251</v>
      </c>
      <c r="EL124" s="637">
        <f t="shared" si="183"/>
        <v>10223621.930652495</v>
      </c>
      <c r="EM124" s="643">
        <f t="shared" si="184"/>
        <v>10223621.930652495</v>
      </c>
      <c r="EN124" s="637">
        <f t="shared" si="185"/>
        <v>0</v>
      </c>
      <c r="EO124" s="637">
        <f t="shared" si="186"/>
        <v>10223621.930652495</v>
      </c>
      <c r="EP124" s="637">
        <f t="shared" si="187"/>
        <v>10223621.93065251</v>
      </c>
      <c r="EQ124" s="643">
        <f t="shared" si="188"/>
        <v>10223621.93065251</v>
      </c>
      <c r="ER124" s="637">
        <f t="shared" si="189"/>
        <v>0</v>
      </c>
      <c r="ES124" s="637">
        <f t="shared" si="190"/>
        <v>10223621.93065251</v>
      </c>
      <c r="ET124" s="637">
        <f t="shared" si="191"/>
        <v>10223621.930652495</v>
      </c>
      <c r="EU124" s="643">
        <f t="shared" si="141"/>
        <v>10223621.930652495</v>
      </c>
      <c r="EV124" s="643">
        <f t="shared" si="142"/>
        <v>0</v>
      </c>
      <c r="EX124" s="829">
        <f t="shared" si="143"/>
        <v>606636.35056115128</v>
      </c>
      <c r="EY124" s="638">
        <f t="shared" si="144"/>
        <v>10223621.930652495</v>
      </c>
      <c r="FC124" s="830" t="str">
        <f t="shared" si="192"/>
        <v>Y</v>
      </c>
      <c r="FE124" s="830" t="str">
        <f>IFERROR(VLOOKUP($B124,'Historical Conc Grant Elig'!$B$3:$J$707,'HH &amp; SI'!FE$2,0),"N")</f>
        <v>Y</v>
      </c>
      <c r="FF124" s="830" t="str">
        <f>IFERROR(VLOOKUP($B124,'Historical Conc Grant Elig'!$B$3:$J$707,'HH &amp; SI'!FF$2,0),"N")</f>
        <v>Y</v>
      </c>
      <c r="FG124" s="830" t="str">
        <f>IFERROR(VLOOKUP($B124,'Historical Conc Grant Elig'!$B$3:$J$707,'HH &amp; SI'!FG$2,0),"N")</f>
        <v>Y</v>
      </c>
      <c r="FH124" s="830" t="str">
        <f>IFERROR(VLOOKUP($B124,'Historical Conc Grant Elig'!$B$3:$J$707,'HH &amp; SI'!FH$2,0),"N")</f>
        <v>Y</v>
      </c>
      <c r="FI124" s="830" t="str">
        <f>IFERROR(VLOOKUP($B124,'Historical Conc Grant Elig'!$B$3:$J$707,'HH &amp; SI'!FI$2,0),"N")</f>
        <v>Y</v>
      </c>
      <c r="FJ124" s="830" t="str">
        <f>IFERROR(VLOOKUP($B124,'Historical Conc Grant Elig'!$B$3:$J$707,'HH &amp; SI'!FJ$2,0),"N")</f>
        <v>Y</v>
      </c>
      <c r="FK124" s="830" t="str">
        <f>IFERROR(VLOOKUP($B124,'Historical Conc Grant Elig'!$B$3:$J$707,'HH &amp; SI'!FK$2,0),"N")</f>
        <v>Y</v>
      </c>
      <c r="FL124" s="957" t="str">
        <f>IFERROR(VLOOKUP($B124,'Historical Conc Grant Elig'!$B$3:$J$707,'HH &amp; SI'!FL$2,0),"N")</f>
        <v>Y</v>
      </c>
    </row>
    <row r="125" spans="2:168" x14ac:dyDescent="0.25">
      <c r="B125" s="634">
        <v>70492000</v>
      </c>
      <c r="C125" s="635" t="str">
        <f>VLOOKUP($B125,'Afton Update'!$A$5:$CR$582,'Afton Update'!D$589,0)</f>
        <v>Pendergast Elementary District</v>
      </c>
      <c r="D125" s="636">
        <f>IFERROR(VLOOKUP($B125,'Afton FY16 Final'!$A$5:$BV$587,'Afton FY16 Final'!AQ$587,0),0)</f>
        <v>1292279.6857965488</v>
      </c>
      <c r="E125" s="637">
        <f>IFERROR(VLOOKUP($B125,'Afton FY16 Final'!$A$5:$BV$587,'Afton FY16 Final'!AR$587,0),0)</f>
        <v>303139.91436121403</v>
      </c>
      <c r="F125" s="637">
        <f>IFERROR(VLOOKUP($B125,'Afton FY16 Final'!$A$5:$BV$587,'Afton FY16 Final'!AS$587,0),0)</f>
        <v>547480.46934090869</v>
      </c>
      <c r="G125" s="637">
        <f>IFERROR(VLOOKUP($B125,'Afton FY16 Final'!$A$5:$BV$587,'Afton FY16 Final'!AT$587,0),0)</f>
        <v>387716.07494802785</v>
      </c>
      <c r="H125" s="638">
        <f>IFERROR(VLOOKUP($B125,'Afton FY16 Final'!$A$5:$BV$587,'Afton FY16 Final'!AU$587,0),0)</f>
        <v>2530616.1444466994</v>
      </c>
      <c r="I125" s="639" t="str">
        <f>VLOOKUP($B125,'Afton Update'!$A$5:$CR$582,'Afton Update'!BT$589,0)</f>
        <v>Y</v>
      </c>
      <c r="J125" s="640" t="str">
        <f>VLOOKUP($B125,'Afton Update'!$A$5:$CR$582,'Afton Update'!BU$589,0)</f>
        <v>Y</v>
      </c>
      <c r="K125" s="640" t="str">
        <f>VLOOKUP($B125,'Afton Update'!$A$5:$CR$582,'Afton Update'!BV$589,0)</f>
        <v>Y</v>
      </c>
      <c r="L125" s="641" t="str">
        <f>VLOOKUP($B125,'Afton Update'!$A$5:$CR$582,'Afton Update'!BW$589,0)</f>
        <v>Y</v>
      </c>
      <c r="N125" s="642">
        <f>VLOOKUP($B125,'Afton Update'!$A$5:$CR$582,'Afton Update'!CB$589,0)</f>
        <v>0.9</v>
      </c>
      <c r="P125" s="636">
        <f>VLOOKUP($B125,'Afton Update'!$A$5:$CR$582,'Afton Update'!AH$589,0)</f>
        <v>1360372.9971443182</v>
      </c>
      <c r="Q125" s="637">
        <f>VLOOKUP($B125,'Afton Update'!$A$5:$CR$582,'Afton Update'!AI$589,0)</f>
        <v>326341.28069918131</v>
      </c>
      <c r="R125" s="637">
        <f>VLOOKUP($B125,'Afton Update'!$A$5:$CR$582,'Afton Update'!AJ$589,0)</f>
        <v>635568.81998864945</v>
      </c>
      <c r="S125" s="637">
        <f>VLOOKUP($B125,'Afton Update'!$A$5:$CR$582,'Afton Update'!AK$589,0)</f>
        <v>517817.14315053634</v>
      </c>
      <c r="T125" s="643">
        <f t="shared" si="145"/>
        <v>2840100.2409826852</v>
      </c>
      <c r="V125" s="636">
        <f t="shared" si="193"/>
        <v>1341816.6264945883</v>
      </c>
      <c r="W125" s="637">
        <f t="shared" si="194"/>
        <v>315592.79204775987</v>
      </c>
      <c r="X125" s="637">
        <f t="shared" si="195"/>
        <v>629788.56971931586</v>
      </c>
      <c r="Y125" s="637">
        <f t="shared" si="196"/>
        <v>512111.73035148904</v>
      </c>
      <c r="Z125" s="643">
        <f t="shared" si="197"/>
        <v>2799309.7186131533</v>
      </c>
      <c r="AB125" s="644">
        <f t="shared" si="146"/>
        <v>1360372.9971443182</v>
      </c>
      <c r="AC125" s="645">
        <f t="shared" si="134"/>
        <v>1163051.717216894</v>
      </c>
      <c r="AD125" s="644">
        <f t="shared" si="198"/>
        <v>0</v>
      </c>
      <c r="AE125" s="645">
        <f t="shared" si="199"/>
        <v>1360372.9971443182</v>
      </c>
      <c r="AF125" s="646">
        <f t="shared" si="200"/>
        <v>-16862.845592698239</v>
      </c>
      <c r="AG125" s="647">
        <f t="shared" si="201"/>
        <v>1343510.1515516199</v>
      </c>
      <c r="AH125" s="644">
        <f t="shared" si="147"/>
        <v>0</v>
      </c>
      <c r="AI125" s="645">
        <f t="shared" si="148"/>
        <v>1343510.1515516199</v>
      </c>
      <c r="AJ125" s="646">
        <f t="shared" si="202"/>
        <v>-1692.446117419342</v>
      </c>
      <c r="AK125" s="647">
        <f t="shared" si="149"/>
        <v>1341817.7054342006</v>
      </c>
      <c r="AL125" s="644">
        <f t="shared" si="203"/>
        <v>0</v>
      </c>
      <c r="AM125" s="645">
        <f t="shared" si="204"/>
        <v>1341817.7054342006</v>
      </c>
      <c r="AN125" s="646">
        <f t="shared" si="205"/>
        <v>-1.0789396122960855</v>
      </c>
      <c r="AO125" s="647">
        <f t="shared" si="150"/>
        <v>1341816.6264945883</v>
      </c>
      <c r="AP125" s="644">
        <f t="shared" si="206"/>
        <v>0</v>
      </c>
      <c r="AQ125" s="645">
        <f t="shared" si="207"/>
        <v>1341816.6264945883</v>
      </c>
      <c r="AR125" s="646">
        <f t="shared" si="208"/>
        <v>0</v>
      </c>
      <c r="AS125" s="647">
        <f t="shared" si="151"/>
        <v>1341816.6264945883</v>
      </c>
      <c r="AT125" s="644">
        <f t="shared" si="209"/>
        <v>0</v>
      </c>
      <c r="AU125" s="645">
        <f t="shared" si="210"/>
        <v>1341816.6264945883</v>
      </c>
      <c r="AV125" s="646">
        <f t="shared" si="211"/>
        <v>0</v>
      </c>
      <c r="AW125" s="647">
        <f t="shared" si="152"/>
        <v>1341816.6264945883</v>
      </c>
      <c r="AY125" s="644">
        <f t="shared" si="212"/>
        <v>326341.28069918131</v>
      </c>
      <c r="AZ125" s="645">
        <f t="shared" si="153"/>
        <v>272825.92292509263</v>
      </c>
      <c r="BA125" s="644">
        <f t="shared" si="213"/>
        <v>0</v>
      </c>
      <c r="BB125" s="645">
        <f t="shared" si="214"/>
        <v>326341.28069918131</v>
      </c>
      <c r="BC125" s="646">
        <f t="shared" si="215"/>
        <v>-2346.8152552922293</v>
      </c>
      <c r="BD125" s="647">
        <f t="shared" si="216"/>
        <v>323994.46544388909</v>
      </c>
      <c r="BE125" s="644">
        <f t="shared" si="154"/>
        <v>0</v>
      </c>
      <c r="BF125" s="645">
        <f t="shared" si="155"/>
        <v>323994.46544388909</v>
      </c>
      <c r="BG125" s="646">
        <f t="shared" si="217"/>
        <v>-7717.2841304327485</v>
      </c>
      <c r="BH125" s="647">
        <f t="shared" si="156"/>
        <v>316277.18131345633</v>
      </c>
      <c r="BI125" s="644">
        <f t="shared" si="218"/>
        <v>0</v>
      </c>
      <c r="BJ125" s="645">
        <f t="shared" si="219"/>
        <v>316277.18131345633</v>
      </c>
      <c r="BK125" s="646">
        <f t="shared" si="220"/>
        <v>-669.94935467890434</v>
      </c>
      <c r="BL125" s="647">
        <f t="shared" si="157"/>
        <v>315607.23195877741</v>
      </c>
      <c r="BM125" s="644">
        <f t="shared" si="221"/>
        <v>0</v>
      </c>
      <c r="BN125" s="645">
        <f t="shared" si="222"/>
        <v>315607.23195877741</v>
      </c>
      <c r="BO125" s="646">
        <f t="shared" si="223"/>
        <v>-14.439911017529386</v>
      </c>
      <c r="BP125" s="647">
        <f t="shared" si="158"/>
        <v>315592.79204775987</v>
      </c>
      <c r="BQ125" s="644">
        <f t="shared" si="224"/>
        <v>0</v>
      </c>
      <c r="BR125" s="645">
        <f t="shared" si="225"/>
        <v>315592.79204775987</v>
      </c>
      <c r="BS125" s="646">
        <f t="shared" si="226"/>
        <v>0</v>
      </c>
      <c r="BT125" s="647">
        <f t="shared" si="159"/>
        <v>315592.79204775987</v>
      </c>
      <c r="BU125" s="662">
        <f>VLOOKUP(B125,'Afton Update'!$A$5:$AR$582,'Afton Update'!$AO$589,0)-BT125</f>
        <v>0</v>
      </c>
      <c r="BV125" s="644">
        <f t="shared" si="227"/>
        <v>635568.81998864945</v>
      </c>
      <c r="BW125" s="645">
        <f t="shared" si="135"/>
        <v>492732.42240681784</v>
      </c>
      <c r="BX125" s="644">
        <f t="shared" si="228"/>
        <v>0</v>
      </c>
      <c r="BY125" s="645">
        <f t="shared" si="229"/>
        <v>635568.81998864945</v>
      </c>
      <c r="BZ125" s="646">
        <f t="shared" si="230"/>
        <v>-5578.4551059624227</v>
      </c>
      <c r="CA125" s="647">
        <f t="shared" si="231"/>
        <v>629990.36488268699</v>
      </c>
      <c r="CB125" s="644">
        <f t="shared" si="160"/>
        <v>0</v>
      </c>
      <c r="CC125" s="645">
        <f t="shared" si="161"/>
        <v>629990.36488268699</v>
      </c>
      <c r="CD125" s="646">
        <f t="shared" si="232"/>
        <v>-201.79516337117226</v>
      </c>
      <c r="CE125" s="647">
        <f t="shared" si="162"/>
        <v>629788.56971931586</v>
      </c>
      <c r="CF125" s="644">
        <f t="shared" si="233"/>
        <v>0</v>
      </c>
      <c r="CG125" s="645">
        <f t="shared" si="234"/>
        <v>629788.56971931586</v>
      </c>
      <c r="CH125" s="646">
        <f t="shared" si="235"/>
        <v>0</v>
      </c>
      <c r="CI125" s="647">
        <f t="shared" si="163"/>
        <v>629788.56971931586</v>
      </c>
      <c r="CJ125" s="644">
        <f t="shared" si="236"/>
        <v>0</v>
      </c>
      <c r="CK125" s="645">
        <f t="shared" si="237"/>
        <v>629788.56971931586</v>
      </c>
      <c r="CL125" s="646">
        <f t="shared" si="238"/>
        <v>0</v>
      </c>
      <c r="CM125" s="647">
        <f t="shared" si="164"/>
        <v>629788.56971931586</v>
      </c>
      <c r="CN125" s="644">
        <f t="shared" si="239"/>
        <v>0</v>
      </c>
      <c r="CO125" s="645">
        <f t="shared" si="240"/>
        <v>629788.56971931586</v>
      </c>
      <c r="CP125" s="646">
        <f t="shared" si="241"/>
        <v>0</v>
      </c>
      <c r="CQ125" s="647">
        <f t="shared" si="165"/>
        <v>629788.56971931586</v>
      </c>
      <c r="CS125" s="644">
        <f t="shared" si="242"/>
        <v>517817.14315053634</v>
      </c>
      <c r="CT125" s="645">
        <f t="shared" si="136"/>
        <v>348944.46745322505</v>
      </c>
      <c r="CU125" s="644">
        <f t="shared" si="243"/>
        <v>0</v>
      </c>
      <c r="CV125" s="645">
        <f t="shared" si="244"/>
        <v>517817.14315053634</v>
      </c>
      <c r="CW125" s="646">
        <f t="shared" si="245"/>
        <v>-5302.7401757084799</v>
      </c>
      <c r="CX125" s="647">
        <f t="shared" si="246"/>
        <v>512514.40297482786</v>
      </c>
      <c r="CY125" s="644">
        <f t="shared" si="166"/>
        <v>0</v>
      </c>
      <c r="CZ125" s="645">
        <f t="shared" si="167"/>
        <v>512514.40297482786</v>
      </c>
      <c r="DA125" s="646">
        <f t="shared" si="247"/>
        <v>-402.3256675611525</v>
      </c>
      <c r="DB125" s="647">
        <f t="shared" si="168"/>
        <v>512112.07730726671</v>
      </c>
      <c r="DC125" s="644">
        <f t="shared" si="248"/>
        <v>0</v>
      </c>
      <c r="DD125" s="645">
        <f t="shared" si="249"/>
        <v>512112.07730726671</v>
      </c>
      <c r="DE125" s="646">
        <f t="shared" si="250"/>
        <v>-0.34695577765583602</v>
      </c>
      <c r="DF125" s="647">
        <f t="shared" si="169"/>
        <v>512111.73035148904</v>
      </c>
      <c r="DG125" s="644">
        <f t="shared" si="251"/>
        <v>0</v>
      </c>
      <c r="DH125" s="645">
        <f t="shared" si="252"/>
        <v>512111.73035148904</v>
      </c>
      <c r="DI125" s="646">
        <f t="shared" si="253"/>
        <v>0</v>
      </c>
      <c r="DJ125" s="647">
        <f t="shared" si="170"/>
        <v>512111.73035148904</v>
      </c>
      <c r="DK125" s="644">
        <f t="shared" si="254"/>
        <v>0</v>
      </c>
      <c r="DL125" s="645">
        <f t="shared" si="255"/>
        <v>512111.73035148904</v>
      </c>
      <c r="DM125" s="646">
        <f t="shared" si="256"/>
        <v>0</v>
      </c>
      <c r="DN125" s="647">
        <f t="shared" si="171"/>
        <v>512111.73035148904</v>
      </c>
      <c r="DR125" s="827">
        <f t="shared" si="172"/>
        <v>2799309.7186131533</v>
      </c>
      <c r="DV125" s="828">
        <f>IFERROR(VLOOKUP($B125,'Afton FY16 Final'!$A$5:$BV$587,'Afton FY16 Final'!$BV$587,0),0)</f>
        <v>2246757.8913828856</v>
      </c>
      <c r="DX125" s="636">
        <f t="shared" si="137"/>
        <v>2799309.7186131533</v>
      </c>
      <c r="DY125" s="637">
        <f t="shared" si="138"/>
        <v>552551.82723026769</v>
      </c>
      <c r="DZ125" s="637">
        <f t="shared" si="139"/>
        <v>2246757.8913828856</v>
      </c>
      <c r="EA125" s="643">
        <f t="shared" si="140"/>
        <v>2650417.8145693429</v>
      </c>
      <c r="EB125" s="637">
        <f t="shared" si="173"/>
        <v>0</v>
      </c>
      <c r="EC125" s="637">
        <f t="shared" si="174"/>
        <v>2650417.8145693429</v>
      </c>
      <c r="ED125" s="637">
        <f t="shared" si="175"/>
        <v>2642514.4268967179</v>
      </c>
      <c r="EE125" s="643">
        <f t="shared" si="176"/>
        <v>2642514.4268967179</v>
      </c>
      <c r="EF125" s="637">
        <f t="shared" si="177"/>
        <v>0</v>
      </c>
      <c r="EG125" s="637">
        <f t="shared" si="178"/>
        <v>2642514.4268967179</v>
      </c>
      <c r="EH125" s="637">
        <f t="shared" si="179"/>
        <v>2642511.7007177286</v>
      </c>
      <c r="EI125" s="643">
        <f t="shared" si="180"/>
        <v>2642511.7007177286</v>
      </c>
      <c r="EJ125" s="637">
        <f t="shared" si="181"/>
        <v>0</v>
      </c>
      <c r="EK125" s="637">
        <f t="shared" si="182"/>
        <v>2642511.7007177286</v>
      </c>
      <c r="EL125" s="637">
        <f t="shared" si="183"/>
        <v>2642511.7007177249</v>
      </c>
      <c r="EM125" s="643">
        <f t="shared" si="184"/>
        <v>2642511.7007177249</v>
      </c>
      <c r="EN125" s="637">
        <f t="shared" si="185"/>
        <v>0</v>
      </c>
      <c r="EO125" s="637">
        <f t="shared" si="186"/>
        <v>2642511.7007177249</v>
      </c>
      <c r="EP125" s="637">
        <f t="shared" si="187"/>
        <v>2642511.7007177291</v>
      </c>
      <c r="EQ125" s="643">
        <f t="shared" si="188"/>
        <v>2642511.7007177291</v>
      </c>
      <c r="ER125" s="637">
        <f t="shared" si="189"/>
        <v>0</v>
      </c>
      <c r="ES125" s="637">
        <f t="shared" si="190"/>
        <v>2642511.7007177291</v>
      </c>
      <c r="ET125" s="637">
        <f t="shared" si="191"/>
        <v>2642511.7007177249</v>
      </c>
      <c r="EU125" s="643">
        <f t="shared" si="141"/>
        <v>2642511.7007177249</v>
      </c>
      <c r="EV125" s="643">
        <f t="shared" si="142"/>
        <v>0</v>
      </c>
      <c r="EX125" s="829">
        <f t="shared" si="143"/>
        <v>156798.01789542846</v>
      </c>
      <c r="EY125" s="638">
        <f t="shared" si="144"/>
        <v>2642511.7007177249</v>
      </c>
      <c r="FC125" s="830" t="str">
        <f t="shared" si="192"/>
        <v>Y</v>
      </c>
      <c r="FE125" s="830" t="str">
        <f>IFERROR(VLOOKUP($B125,'Historical Conc Grant Elig'!$B$3:$J$707,'HH &amp; SI'!FE$2,0),"N")</f>
        <v>Y</v>
      </c>
      <c r="FF125" s="830" t="str">
        <f>IFERROR(VLOOKUP($B125,'Historical Conc Grant Elig'!$B$3:$J$707,'HH &amp; SI'!FF$2,0),"N")</f>
        <v>Y</v>
      </c>
      <c r="FG125" s="830" t="str">
        <f>IFERROR(VLOOKUP($B125,'Historical Conc Grant Elig'!$B$3:$J$707,'HH &amp; SI'!FG$2,0),"N")</f>
        <v>Y</v>
      </c>
      <c r="FH125" s="830" t="str">
        <f>IFERROR(VLOOKUP($B125,'Historical Conc Grant Elig'!$B$3:$J$707,'HH &amp; SI'!FH$2,0),"N")</f>
        <v>Y</v>
      </c>
      <c r="FI125" s="830" t="str">
        <f>IFERROR(VLOOKUP($B125,'Historical Conc Grant Elig'!$B$3:$J$707,'HH &amp; SI'!FI$2,0),"N")</f>
        <v>Y</v>
      </c>
      <c r="FJ125" s="830" t="str">
        <f>IFERROR(VLOOKUP($B125,'Historical Conc Grant Elig'!$B$3:$J$707,'HH &amp; SI'!FJ$2,0),"N")</f>
        <v>Y</v>
      </c>
      <c r="FK125" s="830" t="str">
        <f>IFERROR(VLOOKUP($B125,'Historical Conc Grant Elig'!$B$3:$J$707,'HH &amp; SI'!FK$2,0),"N")</f>
        <v>Y</v>
      </c>
      <c r="FL125" s="957" t="str">
        <f>IFERROR(VLOOKUP($B125,'Historical Conc Grant Elig'!$B$3:$J$707,'HH &amp; SI'!FL$2,0),"N")</f>
        <v>Y</v>
      </c>
    </row>
    <row r="126" spans="2:168" x14ac:dyDescent="0.25">
      <c r="B126" s="634">
        <v>70501000</v>
      </c>
      <c r="C126" s="635" t="str">
        <f>VLOOKUP($B126,'Afton Update'!$A$5:$CR$582,'Afton Update'!D$589,0)</f>
        <v>Buckeye Union High School District</v>
      </c>
      <c r="D126" s="636">
        <f>IFERROR(VLOOKUP($B126,'Afton FY16 Final'!$A$5:$BV$587,'Afton FY16 Final'!AQ$587,0),0)</f>
        <v>313628.17017342069</v>
      </c>
      <c r="E126" s="637">
        <f>IFERROR(VLOOKUP($B126,'Afton FY16 Final'!$A$5:$BV$587,'Afton FY16 Final'!AR$587,0),0)</f>
        <v>75016.38600856415</v>
      </c>
      <c r="F126" s="637">
        <f>IFERROR(VLOOKUP($B126,'Afton FY16 Final'!$A$5:$BV$587,'Afton FY16 Final'!AS$587,0),0)</f>
        <v>94999.921552910062</v>
      </c>
      <c r="G126" s="637">
        <f>IFERROR(VLOOKUP($B126,'Afton FY16 Final'!$A$5:$BV$587,'Afton FY16 Final'!AT$587,0),0)</f>
        <v>66451.538618769278</v>
      </c>
      <c r="H126" s="638">
        <f>IFERROR(VLOOKUP($B126,'Afton FY16 Final'!$A$5:$BV$587,'Afton FY16 Final'!AU$587,0),0)</f>
        <v>550096.01635366422</v>
      </c>
      <c r="I126" s="639" t="str">
        <f>VLOOKUP($B126,'Afton Update'!$A$5:$CR$582,'Afton Update'!BT$589,0)</f>
        <v>Y</v>
      </c>
      <c r="J126" s="640" t="str">
        <f>VLOOKUP($B126,'Afton Update'!$A$5:$CR$582,'Afton Update'!BU$589,0)</f>
        <v>Y</v>
      </c>
      <c r="K126" s="640" t="str">
        <f>VLOOKUP($B126,'Afton Update'!$A$5:$CR$582,'Afton Update'!BV$589,0)</f>
        <v>Y</v>
      </c>
      <c r="L126" s="641" t="str">
        <f>VLOOKUP($B126,'Afton Update'!$A$5:$CR$582,'Afton Update'!BW$589,0)</f>
        <v>Y</v>
      </c>
      <c r="N126" s="642">
        <f>VLOOKUP($B126,'Afton Update'!$A$5:$CR$582,'Afton Update'!CB$589,0)</f>
        <v>0.9</v>
      </c>
      <c r="P126" s="636">
        <f>VLOOKUP($B126,'Afton Update'!$A$5:$CR$582,'Afton Update'!AH$589,0)</f>
        <v>331340.84948827582</v>
      </c>
      <c r="Q126" s="637">
        <f>VLOOKUP($B126,'Afton Update'!$A$5:$CR$582,'Afton Update'!AI$589,0)</f>
        <v>81097.523330287455</v>
      </c>
      <c r="R126" s="637">
        <f>VLOOKUP($B126,'Afton Update'!$A$5:$CR$582,'Afton Update'!AJ$589,0)</f>
        <v>110832.76459638625</v>
      </c>
      <c r="S126" s="637">
        <f>VLOOKUP($B126,'Afton Update'!$A$5:$CR$582,'Afton Update'!AK$589,0)</f>
        <v>83245.074009632226</v>
      </c>
      <c r="T126" s="643">
        <f t="shared" si="145"/>
        <v>606516.21142458171</v>
      </c>
      <c r="V126" s="636">
        <f t="shared" si="193"/>
        <v>326821.1452399501</v>
      </c>
      <c r="W126" s="637">
        <f t="shared" si="194"/>
        <v>78426.467412058468</v>
      </c>
      <c r="X126" s="637">
        <f t="shared" si="195"/>
        <v>109824.78387539888</v>
      </c>
      <c r="Y126" s="637">
        <f t="shared" si="196"/>
        <v>82327.863142833783</v>
      </c>
      <c r="Z126" s="643">
        <f t="shared" si="197"/>
        <v>597400.25967024115</v>
      </c>
      <c r="AB126" s="644">
        <f t="shared" si="146"/>
        <v>331340.84948827582</v>
      </c>
      <c r="AC126" s="645">
        <f t="shared" si="134"/>
        <v>282265.35315607861</v>
      </c>
      <c r="AD126" s="644">
        <f t="shared" si="198"/>
        <v>0</v>
      </c>
      <c r="AE126" s="645">
        <f t="shared" si="199"/>
        <v>331340.84948827582</v>
      </c>
      <c r="AF126" s="646">
        <f t="shared" si="200"/>
        <v>-4107.2188254274179</v>
      </c>
      <c r="AG126" s="647">
        <f t="shared" si="201"/>
        <v>327233.63066284842</v>
      </c>
      <c r="AH126" s="644">
        <f t="shared" si="147"/>
        <v>0</v>
      </c>
      <c r="AI126" s="645">
        <f t="shared" si="148"/>
        <v>327233.63066284842</v>
      </c>
      <c r="AJ126" s="646">
        <f t="shared" si="202"/>
        <v>-412.22262970232111</v>
      </c>
      <c r="AK126" s="647">
        <f t="shared" si="149"/>
        <v>326821.40803314612</v>
      </c>
      <c r="AL126" s="644">
        <f t="shared" si="203"/>
        <v>0</v>
      </c>
      <c r="AM126" s="645">
        <f t="shared" si="204"/>
        <v>326821.40803314612</v>
      </c>
      <c r="AN126" s="646">
        <f t="shared" si="205"/>
        <v>-0.26279319600961626</v>
      </c>
      <c r="AO126" s="647">
        <f t="shared" si="150"/>
        <v>326821.1452399501</v>
      </c>
      <c r="AP126" s="644">
        <f t="shared" si="206"/>
        <v>0</v>
      </c>
      <c r="AQ126" s="645">
        <f t="shared" si="207"/>
        <v>326821.1452399501</v>
      </c>
      <c r="AR126" s="646">
        <f t="shared" si="208"/>
        <v>0</v>
      </c>
      <c r="AS126" s="647">
        <f t="shared" si="151"/>
        <v>326821.1452399501</v>
      </c>
      <c r="AT126" s="644">
        <f t="shared" si="209"/>
        <v>0</v>
      </c>
      <c r="AU126" s="645">
        <f t="shared" si="210"/>
        <v>326821.1452399501</v>
      </c>
      <c r="AV126" s="646">
        <f t="shared" si="211"/>
        <v>0</v>
      </c>
      <c r="AW126" s="647">
        <f t="shared" si="152"/>
        <v>326821.1452399501</v>
      </c>
      <c r="AY126" s="644">
        <f t="shared" si="212"/>
        <v>81097.523330287455</v>
      </c>
      <c r="AZ126" s="645">
        <f t="shared" si="153"/>
        <v>67514.747407707735</v>
      </c>
      <c r="BA126" s="644">
        <f t="shared" si="213"/>
        <v>0</v>
      </c>
      <c r="BB126" s="645">
        <f t="shared" si="214"/>
        <v>81097.523330287455</v>
      </c>
      <c r="BC126" s="646">
        <f t="shared" si="215"/>
        <v>-583.19592455535008</v>
      </c>
      <c r="BD126" s="647">
        <f t="shared" si="216"/>
        <v>80514.32740573211</v>
      </c>
      <c r="BE126" s="644">
        <f t="shared" si="154"/>
        <v>0</v>
      </c>
      <c r="BF126" s="645">
        <f t="shared" si="155"/>
        <v>80514.32740573211</v>
      </c>
      <c r="BG126" s="646">
        <f t="shared" si="217"/>
        <v>-1917.7856643613925</v>
      </c>
      <c r="BH126" s="647">
        <f t="shared" si="156"/>
        <v>78596.541741370718</v>
      </c>
      <c r="BI126" s="644">
        <f t="shared" si="218"/>
        <v>0</v>
      </c>
      <c r="BJ126" s="645">
        <f t="shared" si="219"/>
        <v>78596.541741370718</v>
      </c>
      <c r="BK126" s="646">
        <f t="shared" si="220"/>
        <v>-166.48593553588935</v>
      </c>
      <c r="BL126" s="647">
        <f t="shared" si="157"/>
        <v>78430.055805834825</v>
      </c>
      <c r="BM126" s="644">
        <f t="shared" si="221"/>
        <v>0</v>
      </c>
      <c r="BN126" s="645">
        <f t="shared" si="222"/>
        <v>78430.055805834825</v>
      </c>
      <c r="BO126" s="646">
        <f t="shared" si="223"/>
        <v>-3.5883937763632798</v>
      </c>
      <c r="BP126" s="647">
        <f t="shared" si="158"/>
        <v>78426.467412058468</v>
      </c>
      <c r="BQ126" s="644">
        <f t="shared" si="224"/>
        <v>0</v>
      </c>
      <c r="BR126" s="645">
        <f t="shared" si="225"/>
        <v>78426.467412058468</v>
      </c>
      <c r="BS126" s="646">
        <f t="shared" si="226"/>
        <v>0</v>
      </c>
      <c r="BT126" s="647">
        <f t="shared" si="159"/>
        <v>78426.467412058468</v>
      </c>
      <c r="BU126" s="662">
        <f>VLOOKUP(B126,'Afton Update'!$A$5:$AR$582,'Afton Update'!$AO$589,0)-BT126</f>
        <v>0</v>
      </c>
      <c r="BV126" s="644">
        <f t="shared" si="227"/>
        <v>110832.76459638625</v>
      </c>
      <c r="BW126" s="645">
        <f t="shared" si="135"/>
        <v>85499.929397619053</v>
      </c>
      <c r="BX126" s="644">
        <f t="shared" si="228"/>
        <v>0</v>
      </c>
      <c r="BY126" s="645">
        <f t="shared" si="229"/>
        <v>110832.76459638625</v>
      </c>
      <c r="BZ126" s="646">
        <f t="shared" si="230"/>
        <v>-972.79095847037263</v>
      </c>
      <c r="CA126" s="647">
        <f t="shared" si="231"/>
        <v>109859.97363791587</v>
      </c>
      <c r="CB126" s="644">
        <f t="shared" si="160"/>
        <v>0</v>
      </c>
      <c r="CC126" s="645">
        <f t="shared" si="161"/>
        <v>109859.97363791587</v>
      </c>
      <c r="CD126" s="646">
        <f t="shared" si="232"/>
        <v>-35.189762516993618</v>
      </c>
      <c r="CE126" s="647">
        <f t="shared" si="162"/>
        <v>109824.78387539888</v>
      </c>
      <c r="CF126" s="644">
        <f t="shared" si="233"/>
        <v>0</v>
      </c>
      <c r="CG126" s="645">
        <f t="shared" si="234"/>
        <v>109824.78387539888</v>
      </c>
      <c r="CH126" s="646">
        <f t="shared" si="235"/>
        <v>0</v>
      </c>
      <c r="CI126" s="647">
        <f t="shared" si="163"/>
        <v>109824.78387539888</v>
      </c>
      <c r="CJ126" s="644">
        <f t="shared" si="236"/>
        <v>0</v>
      </c>
      <c r="CK126" s="645">
        <f t="shared" si="237"/>
        <v>109824.78387539888</v>
      </c>
      <c r="CL126" s="646">
        <f t="shared" si="238"/>
        <v>0</v>
      </c>
      <c r="CM126" s="647">
        <f t="shared" si="164"/>
        <v>109824.78387539888</v>
      </c>
      <c r="CN126" s="644">
        <f t="shared" si="239"/>
        <v>0</v>
      </c>
      <c r="CO126" s="645">
        <f t="shared" si="240"/>
        <v>109824.78387539888</v>
      </c>
      <c r="CP126" s="646">
        <f t="shared" si="241"/>
        <v>0</v>
      </c>
      <c r="CQ126" s="647">
        <f t="shared" si="165"/>
        <v>109824.78387539888</v>
      </c>
      <c r="CS126" s="644">
        <f t="shared" si="242"/>
        <v>83245.074009632226</v>
      </c>
      <c r="CT126" s="645">
        <f t="shared" si="136"/>
        <v>59806.384756892352</v>
      </c>
      <c r="CU126" s="644">
        <f t="shared" si="243"/>
        <v>0</v>
      </c>
      <c r="CV126" s="645">
        <f t="shared" si="244"/>
        <v>83245.074009632226</v>
      </c>
      <c r="CW126" s="646">
        <f t="shared" si="245"/>
        <v>-852.4766014793255</v>
      </c>
      <c r="CX126" s="647">
        <f t="shared" si="246"/>
        <v>82392.597408152898</v>
      </c>
      <c r="CY126" s="644">
        <f t="shared" si="166"/>
        <v>0</v>
      </c>
      <c r="CZ126" s="645">
        <f t="shared" si="167"/>
        <v>82392.597408152898</v>
      </c>
      <c r="DA126" s="646">
        <f t="shared" si="247"/>
        <v>-64.678488178917576</v>
      </c>
      <c r="DB126" s="647">
        <f t="shared" si="168"/>
        <v>82327.918919973978</v>
      </c>
      <c r="DC126" s="644">
        <f t="shared" si="248"/>
        <v>0</v>
      </c>
      <c r="DD126" s="645">
        <f t="shared" si="249"/>
        <v>82327.918919973978</v>
      </c>
      <c r="DE126" s="646">
        <f t="shared" si="250"/>
        <v>-5.5777140195285277E-2</v>
      </c>
      <c r="DF126" s="647">
        <f t="shared" si="169"/>
        <v>82327.863142833783</v>
      </c>
      <c r="DG126" s="644">
        <f t="shared" si="251"/>
        <v>0</v>
      </c>
      <c r="DH126" s="645">
        <f t="shared" si="252"/>
        <v>82327.863142833783</v>
      </c>
      <c r="DI126" s="646">
        <f t="shared" si="253"/>
        <v>0</v>
      </c>
      <c r="DJ126" s="647">
        <f t="shared" si="170"/>
        <v>82327.863142833783</v>
      </c>
      <c r="DK126" s="644">
        <f t="shared" si="254"/>
        <v>0</v>
      </c>
      <c r="DL126" s="645">
        <f t="shared" si="255"/>
        <v>82327.863142833783</v>
      </c>
      <c r="DM126" s="646">
        <f t="shared" si="256"/>
        <v>0</v>
      </c>
      <c r="DN126" s="647">
        <f t="shared" si="171"/>
        <v>82327.863142833783</v>
      </c>
      <c r="DR126" s="827">
        <f t="shared" si="172"/>
        <v>597400.25967024115</v>
      </c>
      <c r="DV126" s="828">
        <f>IFERROR(VLOOKUP($B126,'Afton FY16 Final'!$A$5:$BV$587,'Afton FY16 Final'!$BV$587,0),0)</f>
        <v>507251.23954507179</v>
      </c>
      <c r="DX126" s="636">
        <f t="shared" si="137"/>
        <v>597400.25967024115</v>
      </c>
      <c r="DY126" s="637">
        <f t="shared" si="138"/>
        <v>90149.020125169365</v>
      </c>
      <c r="DZ126" s="637">
        <f t="shared" si="139"/>
        <v>507251.23954507179</v>
      </c>
      <c r="EA126" s="643">
        <f t="shared" si="140"/>
        <v>565625.26116002409</v>
      </c>
      <c r="EB126" s="637">
        <f t="shared" si="173"/>
        <v>0</v>
      </c>
      <c r="EC126" s="637">
        <f t="shared" si="174"/>
        <v>565625.26116002409</v>
      </c>
      <c r="ED126" s="637">
        <f t="shared" si="175"/>
        <v>563938.6004034431</v>
      </c>
      <c r="EE126" s="643">
        <f t="shared" si="176"/>
        <v>563938.6004034431</v>
      </c>
      <c r="EF126" s="637">
        <f t="shared" si="177"/>
        <v>0</v>
      </c>
      <c r="EG126" s="637">
        <f t="shared" si="178"/>
        <v>563938.6004034431</v>
      </c>
      <c r="EH126" s="637">
        <f t="shared" si="179"/>
        <v>563938.01861000119</v>
      </c>
      <c r="EI126" s="643">
        <f t="shared" si="180"/>
        <v>563938.01861000119</v>
      </c>
      <c r="EJ126" s="637">
        <f t="shared" si="181"/>
        <v>0</v>
      </c>
      <c r="EK126" s="637">
        <f t="shared" si="182"/>
        <v>563938.01861000119</v>
      </c>
      <c r="EL126" s="637">
        <f t="shared" si="183"/>
        <v>563938.01861000038</v>
      </c>
      <c r="EM126" s="643">
        <f t="shared" si="184"/>
        <v>563938.01861000038</v>
      </c>
      <c r="EN126" s="637">
        <f t="shared" si="185"/>
        <v>0</v>
      </c>
      <c r="EO126" s="637">
        <f t="shared" si="186"/>
        <v>563938.01861000038</v>
      </c>
      <c r="EP126" s="637">
        <f t="shared" si="187"/>
        <v>563938.01861000119</v>
      </c>
      <c r="EQ126" s="643">
        <f t="shared" si="188"/>
        <v>563938.01861000119</v>
      </c>
      <c r="ER126" s="637">
        <f t="shared" si="189"/>
        <v>0</v>
      </c>
      <c r="ES126" s="637">
        <f t="shared" si="190"/>
        <v>563938.01861000119</v>
      </c>
      <c r="ET126" s="637">
        <f t="shared" si="191"/>
        <v>563938.01861000026</v>
      </c>
      <c r="EU126" s="643">
        <f t="shared" si="141"/>
        <v>563938.01861000026</v>
      </c>
      <c r="EV126" s="643">
        <f t="shared" si="142"/>
        <v>0</v>
      </c>
      <c r="EX126" s="829">
        <f t="shared" si="143"/>
        <v>33462.241060240893</v>
      </c>
      <c r="EY126" s="638">
        <f t="shared" si="144"/>
        <v>563938.01861000026</v>
      </c>
      <c r="FC126" s="830" t="str">
        <f t="shared" si="192"/>
        <v>Y</v>
      </c>
      <c r="FE126" s="830" t="str">
        <f>IFERROR(VLOOKUP($B126,'Historical Conc Grant Elig'!$B$3:$J$707,'HH &amp; SI'!FE$2,0),"N")</f>
        <v>N</v>
      </c>
      <c r="FF126" s="830" t="str">
        <f>IFERROR(VLOOKUP($B126,'Historical Conc Grant Elig'!$B$3:$J$707,'HH &amp; SI'!FF$2,0),"N")</f>
        <v>N</v>
      </c>
      <c r="FG126" s="830" t="str">
        <f>IFERROR(VLOOKUP($B126,'Historical Conc Grant Elig'!$B$3:$J$707,'HH &amp; SI'!FG$2,0),"N")</f>
        <v>Y</v>
      </c>
      <c r="FH126" s="830" t="str">
        <f>IFERROR(VLOOKUP($B126,'Historical Conc Grant Elig'!$B$3:$J$707,'HH &amp; SI'!FH$2,0),"N")</f>
        <v>Y</v>
      </c>
      <c r="FI126" s="830" t="str">
        <f>IFERROR(VLOOKUP($B126,'Historical Conc Grant Elig'!$B$3:$J$707,'HH &amp; SI'!FI$2,0),"N")</f>
        <v>Y</v>
      </c>
      <c r="FJ126" s="830" t="str">
        <f>IFERROR(VLOOKUP($B126,'Historical Conc Grant Elig'!$B$3:$J$707,'HH &amp; SI'!FJ$2,0),"N")</f>
        <v>Y</v>
      </c>
      <c r="FK126" s="830" t="str">
        <f>IFERROR(VLOOKUP($B126,'Historical Conc Grant Elig'!$B$3:$J$707,'HH &amp; SI'!FK$2,0),"N")</f>
        <v>Y</v>
      </c>
      <c r="FL126" s="957" t="str">
        <f>IFERROR(VLOOKUP($B126,'Historical Conc Grant Elig'!$B$3:$J$707,'HH &amp; SI'!FL$2,0),"N")</f>
        <v>Y</v>
      </c>
    </row>
    <row r="127" spans="2:168" x14ac:dyDescent="0.25">
      <c r="B127" s="634">
        <v>70505000</v>
      </c>
      <c r="C127" s="635" t="str">
        <f>VLOOKUP($B127,'Afton Update'!$A$5:$CR$582,'Afton Update'!D$589,0)</f>
        <v>Glendale Union High School District</v>
      </c>
      <c r="D127" s="636">
        <f>IFERROR(VLOOKUP($B127,'Afton FY16 Final'!$A$5:$BV$587,'Afton FY16 Final'!AQ$587,0),0)</f>
        <v>2475989.6537482697</v>
      </c>
      <c r="E127" s="637">
        <f>IFERROR(VLOOKUP($B127,'Afton FY16 Final'!$A$5:$BV$587,'Afton FY16 Final'!AR$587,0),0)</f>
        <v>579062.53862999042</v>
      </c>
      <c r="F127" s="637">
        <f>IFERROR(VLOOKUP($B127,'Afton FY16 Final'!$A$5:$BV$587,'Afton FY16 Final'!AS$587,0),0)</f>
        <v>1198502.4003499856</v>
      </c>
      <c r="G127" s="637">
        <f>IFERROR(VLOOKUP($B127,'Afton FY16 Final'!$A$5:$BV$587,'Afton FY16 Final'!AT$587,0),0)</f>
        <v>904304.14858339482</v>
      </c>
      <c r="H127" s="638">
        <f>IFERROR(VLOOKUP($B127,'Afton FY16 Final'!$A$5:$BV$587,'Afton FY16 Final'!AU$587,0),0)</f>
        <v>5157858.7413116405</v>
      </c>
      <c r="I127" s="639" t="str">
        <f>VLOOKUP($B127,'Afton Update'!$A$5:$CR$582,'Afton Update'!BT$589,0)</f>
        <v>Y</v>
      </c>
      <c r="J127" s="640" t="str">
        <f>VLOOKUP($B127,'Afton Update'!$A$5:$CR$582,'Afton Update'!BU$589,0)</f>
        <v>Y</v>
      </c>
      <c r="K127" s="640" t="str">
        <f>VLOOKUP($B127,'Afton Update'!$A$5:$CR$582,'Afton Update'!BV$589,0)</f>
        <v>Y</v>
      </c>
      <c r="L127" s="641" t="str">
        <f>VLOOKUP($B127,'Afton Update'!$A$5:$CR$582,'Afton Update'!BW$589,0)</f>
        <v>Y</v>
      </c>
      <c r="N127" s="642">
        <f>VLOOKUP($B127,'Afton Update'!$A$5:$CR$582,'Afton Update'!CB$589,0)</f>
        <v>0.9</v>
      </c>
      <c r="P127" s="636">
        <f>VLOOKUP($B127,'Afton Update'!$A$5:$CR$582,'Afton Update'!AH$589,0)</f>
        <v>2467759.962037839</v>
      </c>
      <c r="Q127" s="637">
        <f>VLOOKUP($B127,'Afton Update'!$A$5:$CR$582,'Afton Update'!AI$589,0)</f>
        <v>590258.92481791414</v>
      </c>
      <c r="R127" s="637">
        <f>VLOOKUP($B127,'Afton Update'!$A$5:$CR$582,'Afton Update'!AJ$589,0)</f>
        <v>1304138.1655753034</v>
      </c>
      <c r="S127" s="637">
        <f>VLOOKUP($B127,'Afton Update'!$A$5:$CR$582,'Afton Update'!AK$589,0)</f>
        <v>1101653.3023781036</v>
      </c>
      <c r="T127" s="643">
        <f t="shared" si="145"/>
        <v>5463810.3548091594</v>
      </c>
      <c r="V127" s="636">
        <f t="shared" si="193"/>
        <v>2434098.1144223209</v>
      </c>
      <c r="W127" s="637">
        <f t="shared" si="194"/>
        <v>570817.95387726952</v>
      </c>
      <c r="X127" s="637">
        <f t="shared" si="195"/>
        <v>1292277.5381408902</v>
      </c>
      <c r="Y127" s="637">
        <f t="shared" si="196"/>
        <v>1089515.0660631394</v>
      </c>
      <c r="Z127" s="643">
        <f t="shared" si="197"/>
        <v>5386708.6725036204</v>
      </c>
      <c r="AB127" s="644">
        <f t="shared" si="146"/>
        <v>2467759.962037839</v>
      </c>
      <c r="AC127" s="645">
        <f t="shared" si="134"/>
        <v>2228390.6883734427</v>
      </c>
      <c r="AD127" s="644">
        <f t="shared" si="198"/>
        <v>0</v>
      </c>
      <c r="AE127" s="645">
        <f t="shared" si="199"/>
        <v>2467759.962037839</v>
      </c>
      <c r="AF127" s="646">
        <f t="shared" si="200"/>
        <v>-30589.739201705343</v>
      </c>
      <c r="AG127" s="647">
        <f t="shared" si="201"/>
        <v>2437170.2228361336</v>
      </c>
      <c r="AH127" s="644">
        <f t="shared" si="147"/>
        <v>0</v>
      </c>
      <c r="AI127" s="645">
        <f t="shared" si="148"/>
        <v>2437170.2228361336</v>
      </c>
      <c r="AJ127" s="646">
        <f t="shared" si="202"/>
        <v>-3070.1511829779174</v>
      </c>
      <c r="AK127" s="647">
        <f t="shared" si="149"/>
        <v>2434100.0716531556</v>
      </c>
      <c r="AL127" s="644">
        <f t="shared" si="203"/>
        <v>0</v>
      </c>
      <c r="AM127" s="645">
        <f t="shared" si="204"/>
        <v>2434100.0716531556</v>
      </c>
      <c r="AN127" s="646">
        <f t="shared" si="205"/>
        <v>-1.9572308346829412</v>
      </c>
      <c r="AO127" s="647">
        <f t="shared" si="150"/>
        <v>2434098.1144223209</v>
      </c>
      <c r="AP127" s="644">
        <f t="shared" si="206"/>
        <v>0</v>
      </c>
      <c r="AQ127" s="645">
        <f t="shared" si="207"/>
        <v>2434098.1144223209</v>
      </c>
      <c r="AR127" s="646">
        <f t="shared" si="208"/>
        <v>0</v>
      </c>
      <c r="AS127" s="647">
        <f t="shared" si="151"/>
        <v>2434098.1144223209</v>
      </c>
      <c r="AT127" s="644">
        <f t="shared" si="209"/>
        <v>0</v>
      </c>
      <c r="AU127" s="645">
        <f t="shared" si="210"/>
        <v>2434098.1144223209</v>
      </c>
      <c r="AV127" s="646">
        <f t="shared" si="211"/>
        <v>0</v>
      </c>
      <c r="AW127" s="647">
        <f t="shared" si="152"/>
        <v>2434098.1144223209</v>
      </c>
      <c r="AY127" s="644">
        <f t="shared" si="212"/>
        <v>590258.92481791414</v>
      </c>
      <c r="AZ127" s="645">
        <f t="shared" si="153"/>
        <v>521156.28476699139</v>
      </c>
      <c r="BA127" s="644">
        <f t="shared" si="213"/>
        <v>0</v>
      </c>
      <c r="BB127" s="645">
        <f t="shared" si="214"/>
        <v>590258.92481791414</v>
      </c>
      <c r="BC127" s="646">
        <f t="shared" si="215"/>
        <v>-4244.7239477863122</v>
      </c>
      <c r="BD127" s="647">
        <f t="shared" si="216"/>
        <v>586014.20087012788</v>
      </c>
      <c r="BE127" s="644">
        <f t="shared" si="154"/>
        <v>0</v>
      </c>
      <c r="BF127" s="645">
        <f t="shared" si="155"/>
        <v>586014.20087012788</v>
      </c>
      <c r="BG127" s="646">
        <f t="shared" si="217"/>
        <v>-13958.380697606346</v>
      </c>
      <c r="BH127" s="647">
        <f t="shared" si="156"/>
        <v>572055.82017252152</v>
      </c>
      <c r="BI127" s="644">
        <f t="shared" si="218"/>
        <v>0</v>
      </c>
      <c r="BJ127" s="645">
        <f t="shared" si="219"/>
        <v>572055.82017252152</v>
      </c>
      <c r="BK127" s="646">
        <f t="shared" si="220"/>
        <v>-1211.7485870251953</v>
      </c>
      <c r="BL127" s="647">
        <f t="shared" si="157"/>
        <v>570844.07158549631</v>
      </c>
      <c r="BM127" s="644">
        <f t="shared" si="221"/>
        <v>0</v>
      </c>
      <c r="BN127" s="645">
        <f t="shared" si="222"/>
        <v>570844.07158549631</v>
      </c>
      <c r="BO127" s="646">
        <f t="shared" si="223"/>
        <v>-26.117708226836136</v>
      </c>
      <c r="BP127" s="647">
        <f t="shared" si="158"/>
        <v>570817.95387726952</v>
      </c>
      <c r="BQ127" s="644">
        <f t="shared" si="224"/>
        <v>0</v>
      </c>
      <c r="BR127" s="645">
        <f t="shared" si="225"/>
        <v>570817.95387726952</v>
      </c>
      <c r="BS127" s="646">
        <f t="shared" si="226"/>
        <v>0</v>
      </c>
      <c r="BT127" s="647">
        <f t="shared" si="159"/>
        <v>570817.95387726952</v>
      </c>
      <c r="BU127" s="662">
        <f>VLOOKUP(B127,'Afton Update'!$A$5:$AR$582,'Afton Update'!$AO$589,0)-BT127</f>
        <v>0</v>
      </c>
      <c r="BV127" s="644">
        <f t="shared" si="227"/>
        <v>1304138.1655753034</v>
      </c>
      <c r="BW127" s="645">
        <f t="shared" si="135"/>
        <v>1078652.1603149869</v>
      </c>
      <c r="BX127" s="644">
        <f t="shared" si="228"/>
        <v>0</v>
      </c>
      <c r="BY127" s="645">
        <f t="shared" si="229"/>
        <v>1304138.1655753034</v>
      </c>
      <c r="BZ127" s="646">
        <f t="shared" si="230"/>
        <v>-11446.559333675217</v>
      </c>
      <c r="CA127" s="647">
        <f t="shared" si="231"/>
        <v>1292691.6062416281</v>
      </c>
      <c r="CB127" s="644">
        <f t="shared" si="160"/>
        <v>0</v>
      </c>
      <c r="CC127" s="645">
        <f t="shared" si="161"/>
        <v>1292691.6062416281</v>
      </c>
      <c r="CD127" s="646">
        <f t="shared" si="232"/>
        <v>-414.06810073777558</v>
      </c>
      <c r="CE127" s="647">
        <f t="shared" si="162"/>
        <v>1292277.5381408902</v>
      </c>
      <c r="CF127" s="644">
        <f t="shared" si="233"/>
        <v>0</v>
      </c>
      <c r="CG127" s="645">
        <f t="shared" si="234"/>
        <v>1292277.5381408902</v>
      </c>
      <c r="CH127" s="646">
        <f t="shared" si="235"/>
        <v>0</v>
      </c>
      <c r="CI127" s="647">
        <f t="shared" si="163"/>
        <v>1292277.5381408902</v>
      </c>
      <c r="CJ127" s="644">
        <f t="shared" si="236"/>
        <v>0</v>
      </c>
      <c r="CK127" s="645">
        <f t="shared" si="237"/>
        <v>1292277.5381408902</v>
      </c>
      <c r="CL127" s="646">
        <f t="shared" si="238"/>
        <v>0</v>
      </c>
      <c r="CM127" s="647">
        <f t="shared" si="164"/>
        <v>1292277.5381408902</v>
      </c>
      <c r="CN127" s="644">
        <f t="shared" si="239"/>
        <v>0</v>
      </c>
      <c r="CO127" s="645">
        <f t="shared" si="240"/>
        <v>1292277.5381408902</v>
      </c>
      <c r="CP127" s="646">
        <f t="shared" si="241"/>
        <v>0</v>
      </c>
      <c r="CQ127" s="647">
        <f t="shared" si="165"/>
        <v>1292277.5381408902</v>
      </c>
      <c r="CS127" s="644">
        <f t="shared" si="242"/>
        <v>1101653.3023781036</v>
      </c>
      <c r="CT127" s="645">
        <f t="shared" si="136"/>
        <v>813873.73372505535</v>
      </c>
      <c r="CU127" s="644">
        <f t="shared" si="243"/>
        <v>0</v>
      </c>
      <c r="CV127" s="645">
        <f t="shared" si="244"/>
        <v>1101653.3023781036</v>
      </c>
      <c r="CW127" s="646">
        <f t="shared" si="245"/>
        <v>-11281.552384842555</v>
      </c>
      <c r="CX127" s="647">
        <f t="shared" si="246"/>
        <v>1090371.7499932609</v>
      </c>
      <c r="CY127" s="644">
        <f t="shared" si="166"/>
        <v>0</v>
      </c>
      <c r="CZ127" s="645">
        <f t="shared" si="167"/>
        <v>1090371.7499932609</v>
      </c>
      <c r="DA127" s="646">
        <f t="shared" si="247"/>
        <v>-855.94578349324331</v>
      </c>
      <c r="DB127" s="647">
        <f t="shared" si="168"/>
        <v>1089515.8042097676</v>
      </c>
      <c r="DC127" s="644">
        <f t="shared" si="248"/>
        <v>0</v>
      </c>
      <c r="DD127" s="645">
        <f t="shared" si="249"/>
        <v>1089515.8042097676</v>
      </c>
      <c r="DE127" s="646">
        <f t="shared" si="250"/>
        <v>-0.73814662818646171</v>
      </c>
      <c r="DF127" s="647">
        <f t="shared" si="169"/>
        <v>1089515.0660631394</v>
      </c>
      <c r="DG127" s="644">
        <f t="shared" si="251"/>
        <v>0</v>
      </c>
      <c r="DH127" s="645">
        <f t="shared" si="252"/>
        <v>1089515.0660631394</v>
      </c>
      <c r="DI127" s="646">
        <f t="shared" si="253"/>
        <v>0</v>
      </c>
      <c r="DJ127" s="647">
        <f t="shared" si="170"/>
        <v>1089515.0660631394</v>
      </c>
      <c r="DK127" s="644">
        <f t="shared" si="254"/>
        <v>0</v>
      </c>
      <c r="DL127" s="645">
        <f t="shared" si="255"/>
        <v>1089515.0660631394</v>
      </c>
      <c r="DM127" s="646">
        <f t="shared" si="256"/>
        <v>0</v>
      </c>
      <c r="DN127" s="647">
        <f t="shared" si="171"/>
        <v>1089515.0660631394</v>
      </c>
      <c r="DR127" s="827">
        <f t="shared" si="172"/>
        <v>5386708.6725036204</v>
      </c>
      <c r="DV127" s="828">
        <f>IFERROR(VLOOKUP($B127,'Afton FY16 Final'!$A$5:$BV$587,'Afton FY16 Final'!$BV$587,0),0)</f>
        <v>4579303.6826665225</v>
      </c>
      <c r="DX127" s="636">
        <f t="shared" si="137"/>
        <v>5386708.6725036204</v>
      </c>
      <c r="DY127" s="637">
        <f t="shared" si="138"/>
        <v>807404.98983709794</v>
      </c>
      <c r="DZ127" s="637">
        <f t="shared" si="139"/>
        <v>4579303.6826665225</v>
      </c>
      <c r="EA127" s="643">
        <f t="shared" si="140"/>
        <v>5100196.1421303404</v>
      </c>
      <c r="EB127" s="637">
        <f t="shared" si="173"/>
        <v>0</v>
      </c>
      <c r="EC127" s="637">
        <f t="shared" si="174"/>
        <v>5100196.1421303404</v>
      </c>
      <c r="ED127" s="637">
        <f t="shared" si="175"/>
        <v>5084987.6617556224</v>
      </c>
      <c r="EE127" s="643">
        <f t="shared" si="176"/>
        <v>5084987.6617556224</v>
      </c>
      <c r="EF127" s="637">
        <f t="shared" si="177"/>
        <v>0</v>
      </c>
      <c r="EG127" s="637">
        <f t="shared" si="178"/>
        <v>5084987.6617556224</v>
      </c>
      <c r="EH127" s="637">
        <f t="shared" si="179"/>
        <v>5084982.4157723337</v>
      </c>
      <c r="EI127" s="643">
        <f t="shared" si="180"/>
        <v>5084982.4157723337</v>
      </c>
      <c r="EJ127" s="637">
        <f t="shared" si="181"/>
        <v>0</v>
      </c>
      <c r="EK127" s="637">
        <f t="shared" si="182"/>
        <v>5084982.4157723337</v>
      </c>
      <c r="EL127" s="637">
        <f t="shared" si="183"/>
        <v>5084982.4157723263</v>
      </c>
      <c r="EM127" s="643">
        <f t="shared" si="184"/>
        <v>5084982.4157723263</v>
      </c>
      <c r="EN127" s="637">
        <f t="shared" si="185"/>
        <v>0</v>
      </c>
      <c r="EO127" s="637">
        <f t="shared" si="186"/>
        <v>5084982.4157723263</v>
      </c>
      <c r="EP127" s="637">
        <f t="shared" si="187"/>
        <v>5084982.4157723337</v>
      </c>
      <c r="EQ127" s="643">
        <f t="shared" si="188"/>
        <v>5084982.4157723337</v>
      </c>
      <c r="ER127" s="637">
        <f t="shared" si="189"/>
        <v>0</v>
      </c>
      <c r="ES127" s="637">
        <f t="shared" si="190"/>
        <v>5084982.4157723337</v>
      </c>
      <c r="ET127" s="637">
        <f t="shared" si="191"/>
        <v>5084982.4157723263</v>
      </c>
      <c r="EU127" s="643">
        <f t="shared" si="141"/>
        <v>5084982.4157723263</v>
      </c>
      <c r="EV127" s="643">
        <f t="shared" si="142"/>
        <v>0</v>
      </c>
      <c r="EX127" s="829">
        <f t="shared" si="143"/>
        <v>301726.2567312941</v>
      </c>
      <c r="EY127" s="638">
        <f t="shared" si="144"/>
        <v>5084982.4157723263</v>
      </c>
      <c r="FC127" s="830" t="str">
        <f t="shared" si="192"/>
        <v>Y</v>
      </c>
      <c r="FE127" s="830" t="str">
        <f>IFERROR(VLOOKUP($B127,'Historical Conc Grant Elig'!$B$3:$J$707,'HH &amp; SI'!FE$2,0),"N")</f>
        <v>Y</v>
      </c>
      <c r="FF127" s="830" t="str">
        <f>IFERROR(VLOOKUP($B127,'Historical Conc Grant Elig'!$B$3:$J$707,'HH &amp; SI'!FF$2,0),"N")</f>
        <v>Y</v>
      </c>
      <c r="FG127" s="830" t="str">
        <f>IFERROR(VLOOKUP($B127,'Historical Conc Grant Elig'!$B$3:$J$707,'HH &amp; SI'!FG$2,0),"N")</f>
        <v>Y</v>
      </c>
      <c r="FH127" s="830" t="str">
        <f>IFERROR(VLOOKUP($B127,'Historical Conc Grant Elig'!$B$3:$J$707,'HH &amp; SI'!FH$2,0),"N")</f>
        <v>Y</v>
      </c>
      <c r="FI127" s="830" t="str">
        <f>IFERROR(VLOOKUP($B127,'Historical Conc Grant Elig'!$B$3:$J$707,'HH &amp; SI'!FI$2,0),"N")</f>
        <v>Y</v>
      </c>
      <c r="FJ127" s="830" t="str">
        <f>IFERROR(VLOOKUP($B127,'Historical Conc Grant Elig'!$B$3:$J$707,'HH &amp; SI'!FJ$2,0),"N")</f>
        <v>Y</v>
      </c>
      <c r="FK127" s="830" t="str">
        <f>IFERROR(VLOOKUP($B127,'Historical Conc Grant Elig'!$B$3:$J$707,'HH &amp; SI'!FK$2,0),"N")</f>
        <v>Y</v>
      </c>
      <c r="FL127" s="957" t="str">
        <f>IFERROR(VLOOKUP($B127,'Historical Conc Grant Elig'!$B$3:$J$707,'HH &amp; SI'!FL$2,0),"N")</f>
        <v>Y</v>
      </c>
    </row>
    <row r="128" spans="2:168" x14ac:dyDescent="0.25">
      <c r="B128" s="634">
        <v>70510000</v>
      </c>
      <c r="C128" s="635" t="str">
        <f>VLOOKUP($B128,'Afton Update'!$A$5:$CR$582,'Afton Update'!D$589,0)</f>
        <v>Phoenix Union High School District</v>
      </c>
      <c r="D128" s="636">
        <f>IFERROR(VLOOKUP($B128,'Afton FY16 Final'!$A$5:$BV$587,'Afton FY16 Final'!AQ$587,0),0)</f>
        <v>6637067.9344318137</v>
      </c>
      <c r="E128" s="637">
        <f>IFERROR(VLOOKUP($B128,'Afton FY16 Final'!$A$5:$BV$587,'Afton FY16 Final'!AR$587,0),0)</f>
        <v>1549009.290857424</v>
      </c>
      <c r="F128" s="637">
        <f>IFERROR(VLOOKUP($B128,'Afton FY16 Final'!$A$5:$BV$587,'Afton FY16 Final'!AS$587,0),0)</f>
        <v>3965566.7423053472</v>
      </c>
      <c r="G128" s="637">
        <f>IFERROR(VLOOKUP($B128,'Afton FY16 Final'!$A$5:$BV$587,'Afton FY16 Final'!AT$587,0),0)</f>
        <v>3550038.3177838321</v>
      </c>
      <c r="H128" s="638">
        <f>IFERROR(VLOOKUP($B128,'Afton FY16 Final'!$A$5:$BV$587,'Afton FY16 Final'!AU$587,0),0)</f>
        <v>15701682.285378417</v>
      </c>
      <c r="I128" s="639" t="str">
        <f>VLOOKUP($B128,'Afton Update'!$A$5:$CR$582,'Afton Update'!BT$589,0)</f>
        <v>Y</v>
      </c>
      <c r="J128" s="640" t="str">
        <f>VLOOKUP($B128,'Afton Update'!$A$5:$CR$582,'Afton Update'!BU$589,0)</f>
        <v>Y</v>
      </c>
      <c r="K128" s="640" t="str">
        <f>VLOOKUP($B128,'Afton Update'!$A$5:$CR$582,'Afton Update'!BV$589,0)</f>
        <v>Y</v>
      </c>
      <c r="L128" s="641" t="str">
        <f>VLOOKUP($B128,'Afton Update'!$A$5:$CR$582,'Afton Update'!BW$589,0)</f>
        <v>Y</v>
      </c>
      <c r="N128" s="642">
        <f>VLOOKUP($B128,'Afton Update'!$A$5:$CR$582,'Afton Update'!CB$589,0)</f>
        <v>0.95</v>
      </c>
      <c r="P128" s="636">
        <f>VLOOKUP($B128,'Afton Update'!$A$5:$CR$582,'Afton Update'!AH$589,0)</f>
        <v>6374400.7147629503</v>
      </c>
      <c r="Q128" s="637">
        <f>VLOOKUP($B128,'Afton Update'!$A$5:$CR$582,'Afton Update'!AI$589,0)</f>
        <v>1513336.8791421021</v>
      </c>
      <c r="R128" s="637">
        <f>VLOOKUP($B128,'Afton Update'!$A$5:$CR$582,'Afton Update'!AJ$589,0)</f>
        <v>4048115.8522980972</v>
      </c>
      <c r="S128" s="637">
        <f>VLOOKUP($B128,'Afton Update'!$A$5:$CR$582,'Afton Update'!AK$589,0)</f>
        <v>3892289.0653401297</v>
      </c>
      <c r="T128" s="643">
        <f t="shared" si="145"/>
        <v>15828142.51154328</v>
      </c>
      <c r="V128" s="636">
        <f t="shared" si="193"/>
        <v>6305214.5377102224</v>
      </c>
      <c r="W128" s="637">
        <f t="shared" si="194"/>
        <v>1471558.8263145527</v>
      </c>
      <c r="X128" s="637">
        <f t="shared" si="195"/>
        <v>4011299.8191485205</v>
      </c>
      <c r="Y128" s="637">
        <f t="shared" si="196"/>
        <v>3849403.0463183001</v>
      </c>
      <c r="Z128" s="643">
        <f t="shared" si="197"/>
        <v>15637476.229491595</v>
      </c>
      <c r="AB128" s="644">
        <f t="shared" si="146"/>
        <v>6374400.7147629503</v>
      </c>
      <c r="AC128" s="645">
        <f t="shared" si="134"/>
        <v>6305214.5377102224</v>
      </c>
      <c r="AD128" s="644">
        <f t="shared" si="198"/>
        <v>0</v>
      </c>
      <c r="AE128" s="645">
        <f t="shared" si="199"/>
        <v>6374400.7147629503</v>
      </c>
      <c r="AF128" s="646">
        <f t="shared" si="200"/>
        <v>-79015.487094110227</v>
      </c>
      <c r="AG128" s="647">
        <f t="shared" si="201"/>
        <v>6295385.2276688404</v>
      </c>
      <c r="AH128" s="644">
        <f t="shared" si="147"/>
        <v>-9829.3100413819775</v>
      </c>
      <c r="AI128" s="645">
        <f t="shared" si="148"/>
        <v>0</v>
      </c>
      <c r="AJ128" s="646">
        <f t="shared" si="202"/>
        <v>0</v>
      </c>
      <c r="AK128" s="647">
        <f t="shared" si="149"/>
        <v>6305214.5377102224</v>
      </c>
      <c r="AL128" s="644">
        <f t="shared" si="203"/>
        <v>0</v>
      </c>
      <c r="AM128" s="645">
        <f t="shared" si="204"/>
        <v>0</v>
      </c>
      <c r="AN128" s="646">
        <f t="shared" si="205"/>
        <v>0</v>
      </c>
      <c r="AO128" s="647">
        <f t="shared" si="150"/>
        <v>6305214.5377102224</v>
      </c>
      <c r="AP128" s="644">
        <f t="shared" si="206"/>
        <v>0</v>
      </c>
      <c r="AQ128" s="645">
        <f t="shared" si="207"/>
        <v>0</v>
      </c>
      <c r="AR128" s="646">
        <f t="shared" si="208"/>
        <v>0</v>
      </c>
      <c r="AS128" s="647">
        <f t="shared" si="151"/>
        <v>6305214.5377102224</v>
      </c>
      <c r="AT128" s="644">
        <f t="shared" si="209"/>
        <v>0</v>
      </c>
      <c r="AU128" s="645">
        <f t="shared" si="210"/>
        <v>0</v>
      </c>
      <c r="AV128" s="646">
        <f t="shared" si="211"/>
        <v>0</v>
      </c>
      <c r="AW128" s="647">
        <f t="shared" si="152"/>
        <v>6305214.5377102224</v>
      </c>
      <c r="AY128" s="644">
        <f t="shared" si="212"/>
        <v>1513336.8791421021</v>
      </c>
      <c r="AZ128" s="645">
        <f t="shared" si="153"/>
        <v>1471558.8263145527</v>
      </c>
      <c r="BA128" s="644">
        <f t="shared" si="213"/>
        <v>0</v>
      </c>
      <c r="BB128" s="645">
        <f t="shared" si="214"/>
        <v>1513336.8791421021</v>
      </c>
      <c r="BC128" s="646">
        <f t="shared" si="215"/>
        <v>-10882.846530349869</v>
      </c>
      <c r="BD128" s="647">
        <f t="shared" si="216"/>
        <v>1502454.0326117522</v>
      </c>
      <c r="BE128" s="644">
        <f t="shared" si="154"/>
        <v>0</v>
      </c>
      <c r="BF128" s="645">
        <f t="shared" si="155"/>
        <v>1502454.0326117522</v>
      </c>
      <c r="BG128" s="646">
        <f t="shared" si="217"/>
        <v>-35787.230645109332</v>
      </c>
      <c r="BH128" s="647">
        <f t="shared" si="156"/>
        <v>1466666.8019666427</v>
      </c>
      <c r="BI128" s="644">
        <f t="shared" si="218"/>
        <v>-4892.024347909959</v>
      </c>
      <c r="BJ128" s="645">
        <f t="shared" si="219"/>
        <v>0</v>
      </c>
      <c r="BK128" s="646">
        <f t="shared" si="220"/>
        <v>0</v>
      </c>
      <c r="BL128" s="647">
        <f t="shared" si="157"/>
        <v>1471558.8263145527</v>
      </c>
      <c r="BM128" s="644">
        <f t="shared" si="221"/>
        <v>0</v>
      </c>
      <c r="BN128" s="645">
        <f t="shared" si="222"/>
        <v>0</v>
      </c>
      <c r="BO128" s="646">
        <f t="shared" si="223"/>
        <v>0</v>
      </c>
      <c r="BP128" s="647">
        <f t="shared" si="158"/>
        <v>1471558.8263145527</v>
      </c>
      <c r="BQ128" s="644">
        <f t="shared" si="224"/>
        <v>0</v>
      </c>
      <c r="BR128" s="645">
        <f t="shared" si="225"/>
        <v>0</v>
      </c>
      <c r="BS128" s="646">
        <f t="shared" si="226"/>
        <v>0</v>
      </c>
      <c r="BT128" s="647">
        <f t="shared" si="159"/>
        <v>1471558.8263145527</v>
      </c>
      <c r="BU128" s="662">
        <f>VLOOKUP(B128,'Afton Update'!$A$5:$AR$582,'Afton Update'!$AO$589,0)-BT128</f>
        <v>0</v>
      </c>
      <c r="BV128" s="644">
        <f t="shared" si="227"/>
        <v>4048115.8522980972</v>
      </c>
      <c r="BW128" s="645">
        <f t="shared" si="135"/>
        <v>3767288.4051900795</v>
      </c>
      <c r="BX128" s="644">
        <f t="shared" si="228"/>
        <v>0</v>
      </c>
      <c r="BY128" s="645">
        <f t="shared" si="229"/>
        <v>4048115.8522980972</v>
      </c>
      <c r="BZ128" s="646">
        <f t="shared" si="230"/>
        <v>-35530.743226489678</v>
      </c>
      <c r="CA128" s="647">
        <f t="shared" si="231"/>
        <v>4012585.1090716077</v>
      </c>
      <c r="CB128" s="644">
        <f t="shared" si="160"/>
        <v>0</v>
      </c>
      <c r="CC128" s="645">
        <f t="shared" si="161"/>
        <v>4012585.1090716077</v>
      </c>
      <c r="CD128" s="646">
        <f t="shared" si="232"/>
        <v>-1285.2899230873466</v>
      </c>
      <c r="CE128" s="647">
        <f t="shared" si="162"/>
        <v>4011299.8191485205</v>
      </c>
      <c r="CF128" s="644">
        <f t="shared" si="233"/>
        <v>0</v>
      </c>
      <c r="CG128" s="645">
        <f t="shared" si="234"/>
        <v>4011299.8191485205</v>
      </c>
      <c r="CH128" s="646">
        <f t="shared" si="235"/>
        <v>0</v>
      </c>
      <c r="CI128" s="647">
        <f t="shared" si="163"/>
        <v>4011299.8191485205</v>
      </c>
      <c r="CJ128" s="644">
        <f t="shared" si="236"/>
        <v>0</v>
      </c>
      <c r="CK128" s="645">
        <f t="shared" si="237"/>
        <v>4011299.8191485205</v>
      </c>
      <c r="CL128" s="646">
        <f t="shared" si="238"/>
        <v>0</v>
      </c>
      <c r="CM128" s="647">
        <f t="shared" si="164"/>
        <v>4011299.8191485205</v>
      </c>
      <c r="CN128" s="644">
        <f t="shared" si="239"/>
        <v>0</v>
      </c>
      <c r="CO128" s="645">
        <f t="shared" si="240"/>
        <v>4011299.8191485205</v>
      </c>
      <c r="CP128" s="646">
        <f t="shared" si="241"/>
        <v>0</v>
      </c>
      <c r="CQ128" s="647">
        <f t="shared" si="165"/>
        <v>4011299.8191485205</v>
      </c>
      <c r="CS128" s="644">
        <f t="shared" si="242"/>
        <v>3892289.0653401297</v>
      </c>
      <c r="CT128" s="645">
        <f t="shared" si="136"/>
        <v>3372536.4018946402</v>
      </c>
      <c r="CU128" s="644">
        <f t="shared" si="243"/>
        <v>0</v>
      </c>
      <c r="CV128" s="645">
        <f t="shared" si="244"/>
        <v>3892289.0653401297</v>
      </c>
      <c r="CW128" s="646">
        <f t="shared" si="245"/>
        <v>-39859.239647169525</v>
      </c>
      <c r="CX128" s="647">
        <f t="shared" si="246"/>
        <v>3852429.8256929601</v>
      </c>
      <c r="CY128" s="644">
        <f t="shared" si="166"/>
        <v>0</v>
      </c>
      <c r="CZ128" s="645">
        <f t="shared" si="167"/>
        <v>3852429.8256929601</v>
      </c>
      <c r="DA128" s="646">
        <f t="shared" si="247"/>
        <v>-3024.171403492322</v>
      </c>
      <c r="DB128" s="647">
        <f t="shared" si="168"/>
        <v>3849405.6542894677</v>
      </c>
      <c r="DC128" s="644">
        <f t="shared" si="248"/>
        <v>0</v>
      </c>
      <c r="DD128" s="645">
        <f t="shared" si="249"/>
        <v>3849405.6542894677</v>
      </c>
      <c r="DE128" s="646">
        <f t="shared" si="250"/>
        <v>-2.6079711677946462</v>
      </c>
      <c r="DF128" s="647">
        <f t="shared" si="169"/>
        <v>3849403.0463183001</v>
      </c>
      <c r="DG128" s="644">
        <f t="shared" si="251"/>
        <v>0</v>
      </c>
      <c r="DH128" s="645">
        <f t="shared" si="252"/>
        <v>3849403.0463183001</v>
      </c>
      <c r="DI128" s="646">
        <f t="shared" si="253"/>
        <v>0</v>
      </c>
      <c r="DJ128" s="647">
        <f t="shared" si="170"/>
        <v>3849403.0463183001</v>
      </c>
      <c r="DK128" s="644">
        <f t="shared" si="254"/>
        <v>0</v>
      </c>
      <c r="DL128" s="645">
        <f t="shared" si="255"/>
        <v>3849403.0463183001</v>
      </c>
      <c r="DM128" s="646">
        <f t="shared" si="256"/>
        <v>0</v>
      </c>
      <c r="DN128" s="647">
        <f t="shared" si="171"/>
        <v>3849403.0463183001</v>
      </c>
      <c r="DR128" s="827">
        <f t="shared" si="172"/>
        <v>15637476.229491595</v>
      </c>
      <c r="DV128" s="828">
        <f>IFERROR(VLOOKUP($B128,'Afton FY16 Final'!$A$5:$BV$587,'Afton FY16 Final'!$BV$587,0),0)</f>
        <v>13955896.158369431</v>
      </c>
      <c r="DX128" s="636">
        <f t="shared" si="137"/>
        <v>15637476.229491595</v>
      </c>
      <c r="DY128" s="637">
        <f t="shared" si="138"/>
        <v>1681580.0711221639</v>
      </c>
      <c r="DZ128" s="637">
        <f t="shared" si="139"/>
        <v>13955896.158369431</v>
      </c>
      <c r="EA128" s="643">
        <f t="shared" si="140"/>
        <v>14805737.749548646</v>
      </c>
      <c r="EB128" s="637">
        <f t="shared" si="173"/>
        <v>0</v>
      </c>
      <c r="EC128" s="637">
        <f t="shared" si="174"/>
        <v>14805737.749548646</v>
      </c>
      <c r="ED128" s="637">
        <f t="shared" si="175"/>
        <v>14761587.923596425</v>
      </c>
      <c r="EE128" s="643">
        <f t="shared" si="176"/>
        <v>14761587.923596425</v>
      </c>
      <c r="EF128" s="637">
        <f t="shared" si="177"/>
        <v>0</v>
      </c>
      <c r="EG128" s="637">
        <f t="shared" si="178"/>
        <v>14761587.923596425</v>
      </c>
      <c r="EH128" s="637">
        <f t="shared" si="179"/>
        <v>14761572.694642352</v>
      </c>
      <c r="EI128" s="643">
        <f t="shared" si="180"/>
        <v>14761572.694642352</v>
      </c>
      <c r="EJ128" s="637">
        <f t="shared" si="181"/>
        <v>0</v>
      </c>
      <c r="EK128" s="637">
        <f t="shared" si="182"/>
        <v>14761572.694642352</v>
      </c>
      <c r="EL128" s="637">
        <f t="shared" si="183"/>
        <v>14761572.694642331</v>
      </c>
      <c r="EM128" s="643">
        <f t="shared" si="184"/>
        <v>14761572.694642331</v>
      </c>
      <c r="EN128" s="637">
        <f t="shared" si="185"/>
        <v>0</v>
      </c>
      <c r="EO128" s="637">
        <f t="shared" si="186"/>
        <v>14761572.694642331</v>
      </c>
      <c r="EP128" s="637">
        <f t="shared" si="187"/>
        <v>14761572.694642356</v>
      </c>
      <c r="EQ128" s="643">
        <f t="shared" si="188"/>
        <v>14761572.694642356</v>
      </c>
      <c r="ER128" s="637">
        <f t="shared" si="189"/>
        <v>0</v>
      </c>
      <c r="ES128" s="637">
        <f t="shared" si="190"/>
        <v>14761572.694642356</v>
      </c>
      <c r="ET128" s="637">
        <f t="shared" si="191"/>
        <v>14761572.694642331</v>
      </c>
      <c r="EU128" s="643">
        <f t="shared" si="141"/>
        <v>14761572.694642331</v>
      </c>
      <c r="EV128" s="643">
        <f t="shared" si="142"/>
        <v>0</v>
      </c>
      <c r="EX128" s="829">
        <f t="shared" si="143"/>
        <v>875903.53484926373</v>
      </c>
      <c r="EY128" s="638">
        <f t="shared" si="144"/>
        <v>14761572.694642331</v>
      </c>
      <c r="FC128" s="830" t="str">
        <f t="shared" si="192"/>
        <v>Y</v>
      </c>
      <c r="FE128" s="830" t="str">
        <f>IFERROR(VLOOKUP($B128,'Historical Conc Grant Elig'!$B$3:$J$707,'HH &amp; SI'!FE$2,0),"N")</f>
        <v>Y</v>
      </c>
      <c r="FF128" s="830" t="str">
        <f>IFERROR(VLOOKUP($B128,'Historical Conc Grant Elig'!$B$3:$J$707,'HH &amp; SI'!FF$2,0),"N")</f>
        <v>Y</v>
      </c>
      <c r="FG128" s="830" t="str">
        <f>IFERROR(VLOOKUP($B128,'Historical Conc Grant Elig'!$B$3:$J$707,'HH &amp; SI'!FG$2,0),"N")</f>
        <v>Y</v>
      </c>
      <c r="FH128" s="830" t="str">
        <f>IFERROR(VLOOKUP($B128,'Historical Conc Grant Elig'!$B$3:$J$707,'HH &amp; SI'!FH$2,0),"N")</f>
        <v>Y</v>
      </c>
      <c r="FI128" s="830" t="str">
        <f>IFERROR(VLOOKUP($B128,'Historical Conc Grant Elig'!$B$3:$J$707,'HH &amp; SI'!FI$2,0),"N")</f>
        <v>Y</v>
      </c>
      <c r="FJ128" s="830" t="str">
        <f>IFERROR(VLOOKUP($B128,'Historical Conc Grant Elig'!$B$3:$J$707,'HH &amp; SI'!FJ$2,0),"N")</f>
        <v>Y</v>
      </c>
      <c r="FK128" s="830" t="str">
        <f>IFERROR(VLOOKUP($B128,'Historical Conc Grant Elig'!$B$3:$J$707,'HH &amp; SI'!FK$2,0),"N")</f>
        <v>Y</v>
      </c>
      <c r="FL128" s="957" t="str">
        <f>IFERROR(VLOOKUP($B128,'Historical Conc Grant Elig'!$B$3:$J$707,'HH &amp; SI'!FL$2,0),"N")</f>
        <v>Y</v>
      </c>
    </row>
    <row r="129" spans="2:168" x14ac:dyDescent="0.25">
      <c r="B129" s="634">
        <v>70513000</v>
      </c>
      <c r="C129" s="635" t="str">
        <f>VLOOKUP($B129,'Afton Update'!$A$5:$CR$582,'Afton Update'!D$589,0)</f>
        <v>Tempe Union High School District</v>
      </c>
      <c r="D129" s="636">
        <f>IFERROR(VLOOKUP($B129,'Afton FY16 Final'!$A$5:$BV$587,'Afton FY16 Final'!AQ$587,0),0)</f>
        <v>906287.30494272651</v>
      </c>
      <c r="E129" s="637">
        <f>IFERROR(VLOOKUP($B129,'Afton FY16 Final'!$A$5:$BV$587,'Afton FY16 Final'!AR$587,0),0)</f>
        <v>193081.38480493097</v>
      </c>
      <c r="F129" s="637">
        <f>IFERROR(VLOOKUP($B129,'Afton FY16 Final'!$A$5:$BV$587,'Afton FY16 Final'!AS$587,0),0)</f>
        <v>335632.97956281895</v>
      </c>
      <c r="G129" s="637">
        <f>IFERROR(VLOOKUP($B129,'Afton FY16 Final'!$A$5:$BV$587,'Afton FY16 Final'!AT$587,0),0)</f>
        <v>255701.82279800708</v>
      </c>
      <c r="H129" s="638">
        <f>IFERROR(VLOOKUP($B129,'Afton FY16 Final'!$A$5:$BV$587,'Afton FY16 Final'!AU$587,0),0)</f>
        <v>1690703.4921084836</v>
      </c>
      <c r="I129" s="639" t="str">
        <f>VLOOKUP($B129,'Afton Update'!$A$5:$CR$582,'Afton Update'!BT$589,0)</f>
        <v>Y</v>
      </c>
      <c r="J129" s="640" t="str">
        <f>VLOOKUP($B129,'Afton Update'!$A$5:$CR$582,'Afton Update'!BU$589,0)</f>
        <v>N</v>
      </c>
      <c r="K129" s="640" t="str">
        <f>VLOOKUP($B129,'Afton Update'!$A$5:$CR$582,'Afton Update'!BV$589,0)</f>
        <v>Y</v>
      </c>
      <c r="L129" s="641" t="str">
        <f>VLOOKUP($B129,'Afton Update'!$A$5:$CR$582,'Afton Update'!BW$589,0)</f>
        <v>Y</v>
      </c>
      <c r="N129" s="642">
        <f>VLOOKUP($B129,'Afton Update'!$A$5:$CR$582,'Afton Update'!CB$589,0)</f>
        <v>0.85</v>
      </c>
      <c r="P129" s="636">
        <f>VLOOKUP($B129,'Afton Update'!$A$5:$CR$582,'Afton Update'!AH$589,0)</f>
        <v>966098.2253004068</v>
      </c>
      <c r="Q129" s="637" t="str">
        <f>VLOOKUP($B129,'Afton Update'!$A$5:$CR$582,'Afton Update'!AI$589,0)</f>
        <v/>
      </c>
      <c r="R129" s="637">
        <f>VLOOKUP($B129,'Afton Update'!$A$5:$CR$582,'Afton Update'!AJ$589,0)</f>
        <v>397530.95738986338</v>
      </c>
      <c r="S129" s="637">
        <f>VLOOKUP($B129,'Afton Update'!$A$5:$CR$582,'Afton Update'!AK$589,0)</f>
        <v>309947.73907478229</v>
      </c>
      <c r="T129" s="643">
        <f t="shared" si="145"/>
        <v>1673576.9217650525</v>
      </c>
      <c r="V129" s="636">
        <f t="shared" si="193"/>
        <v>952920.01844805584</v>
      </c>
      <c r="W129" s="637">
        <f t="shared" si="194"/>
        <v>164119.17708419132</v>
      </c>
      <c r="X129" s="637">
        <f t="shared" si="195"/>
        <v>393915.56854249636</v>
      </c>
      <c r="Y129" s="637">
        <f t="shared" si="196"/>
        <v>306532.67292460857</v>
      </c>
      <c r="Z129" s="643">
        <f t="shared" si="197"/>
        <v>1817487.4369993522</v>
      </c>
      <c r="AB129" s="644">
        <f t="shared" si="146"/>
        <v>966098.2253004068</v>
      </c>
      <c r="AC129" s="645">
        <f t="shared" si="134"/>
        <v>770344.20920131751</v>
      </c>
      <c r="AD129" s="644">
        <f t="shared" si="198"/>
        <v>0</v>
      </c>
      <c r="AE129" s="645">
        <f t="shared" si="199"/>
        <v>966098.2253004068</v>
      </c>
      <c r="AF129" s="646">
        <f t="shared" si="200"/>
        <v>-11975.513506088999</v>
      </c>
      <c r="AG129" s="647">
        <f t="shared" si="201"/>
        <v>954122.71179431782</v>
      </c>
      <c r="AH129" s="644">
        <f t="shared" si="147"/>
        <v>0</v>
      </c>
      <c r="AI129" s="645">
        <f t="shared" si="148"/>
        <v>954122.71179431782</v>
      </c>
      <c r="AJ129" s="646">
        <f t="shared" si="202"/>
        <v>-1201.9271140251326</v>
      </c>
      <c r="AK129" s="647">
        <f t="shared" si="149"/>
        <v>952920.78468029271</v>
      </c>
      <c r="AL129" s="644">
        <f t="shared" si="203"/>
        <v>0</v>
      </c>
      <c r="AM129" s="645">
        <f t="shared" si="204"/>
        <v>952920.78468029271</v>
      </c>
      <c r="AN129" s="646">
        <f t="shared" si="205"/>
        <v>-0.76623223691860454</v>
      </c>
      <c r="AO129" s="647">
        <f t="shared" si="150"/>
        <v>952920.01844805584</v>
      </c>
      <c r="AP129" s="644">
        <f t="shared" si="206"/>
        <v>0</v>
      </c>
      <c r="AQ129" s="645">
        <f t="shared" si="207"/>
        <v>952920.01844805584</v>
      </c>
      <c r="AR129" s="646">
        <f t="shared" si="208"/>
        <v>0</v>
      </c>
      <c r="AS129" s="647">
        <f t="shared" si="151"/>
        <v>952920.01844805584</v>
      </c>
      <c r="AT129" s="644">
        <f t="shared" si="209"/>
        <v>0</v>
      </c>
      <c r="AU129" s="645">
        <f t="shared" si="210"/>
        <v>952920.01844805584</v>
      </c>
      <c r="AV129" s="646">
        <f t="shared" si="211"/>
        <v>0</v>
      </c>
      <c r="AW129" s="647">
        <f t="shared" si="152"/>
        <v>952920.01844805584</v>
      </c>
      <c r="AY129" s="644">
        <f t="shared" si="212"/>
        <v>0</v>
      </c>
      <c r="AZ129" s="645">
        <f t="shared" si="153"/>
        <v>164119.17708419132</v>
      </c>
      <c r="BA129" s="644">
        <f t="shared" si="213"/>
        <v>0</v>
      </c>
      <c r="BB129" s="645">
        <f t="shared" si="214"/>
        <v>0</v>
      </c>
      <c r="BC129" s="646">
        <f t="shared" si="215"/>
        <v>0</v>
      </c>
      <c r="BD129" s="647">
        <f t="shared" si="216"/>
        <v>0</v>
      </c>
      <c r="BE129" s="644">
        <f t="shared" si="154"/>
        <v>-164119.17708419132</v>
      </c>
      <c r="BF129" s="645">
        <f t="shared" si="155"/>
        <v>0</v>
      </c>
      <c r="BG129" s="646">
        <f t="shared" si="217"/>
        <v>0</v>
      </c>
      <c r="BH129" s="647">
        <f t="shared" si="156"/>
        <v>164119.17708419132</v>
      </c>
      <c r="BI129" s="644">
        <f t="shared" si="218"/>
        <v>0</v>
      </c>
      <c r="BJ129" s="645">
        <f t="shared" si="219"/>
        <v>0</v>
      </c>
      <c r="BK129" s="646">
        <f t="shared" si="220"/>
        <v>0</v>
      </c>
      <c r="BL129" s="647">
        <f t="shared" si="157"/>
        <v>164119.17708419132</v>
      </c>
      <c r="BM129" s="644">
        <f t="shared" si="221"/>
        <v>0</v>
      </c>
      <c r="BN129" s="645">
        <f t="shared" si="222"/>
        <v>0</v>
      </c>
      <c r="BO129" s="646">
        <f t="shared" si="223"/>
        <v>0</v>
      </c>
      <c r="BP129" s="647">
        <f t="shared" si="158"/>
        <v>164119.17708419132</v>
      </c>
      <c r="BQ129" s="644">
        <f t="shared" si="224"/>
        <v>0</v>
      </c>
      <c r="BR129" s="645">
        <f t="shared" si="225"/>
        <v>0</v>
      </c>
      <c r="BS129" s="646">
        <f t="shared" si="226"/>
        <v>0</v>
      </c>
      <c r="BT129" s="647">
        <f t="shared" si="159"/>
        <v>164119.17708419132</v>
      </c>
      <c r="BU129" s="662">
        <f>VLOOKUP(B129,'Afton Update'!$A$5:$AR$582,'Afton Update'!$AO$589,0)-BT129</f>
        <v>0</v>
      </c>
      <c r="BV129" s="644">
        <f t="shared" si="227"/>
        <v>397530.95738986338</v>
      </c>
      <c r="BW129" s="645">
        <f t="shared" si="135"/>
        <v>285288.03262839612</v>
      </c>
      <c r="BX129" s="644">
        <f t="shared" si="228"/>
        <v>0</v>
      </c>
      <c r="BY129" s="645">
        <f t="shared" si="229"/>
        <v>397530.95738986338</v>
      </c>
      <c r="BZ129" s="646">
        <f t="shared" si="230"/>
        <v>-3489.1714780300545</v>
      </c>
      <c r="CA129" s="647">
        <f t="shared" si="231"/>
        <v>394041.78591183334</v>
      </c>
      <c r="CB129" s="644">
        <f t="shared" si="160"/>
        <v>0</v>
      </c>
      <c r="CC129" s="645">
        <f t="shared" si="161"/>
        <v>394041.78591183334</v>
      </c>
      <c r="CD129" s="646">
        <f t="shared" si="232"/>
        <v>-126.21736933699586</v>
      </c>
      <c r="CE129" s="647">
        <f t="shared" si="162"/>
        <v>393915.56854249636</v>
      </c>
      <c r="CF129" s="644">
        <f t="shared" si="233"/>
        <v>0</v>
      </c>
      <c r="CG129" s="645">
        <f t="shared" si="234"/>
        <v>393915.56854249636</v>
      </c>
      <c r="CH129" s="646">
        <f t="shared" si="235"/>
        <v>0</v>
      </c>
      <c r="CI129" s="647">
        <f t="shared" si="163"/>
        <v>393915.56854249636</v>
      </c>
      <c r="CJ129" s="644">
        <f t="shared" si="236"/>
        <v>0</v>
      </c>
      <c r="CK129" s="645">
        <f t="shared" si="237"/>
        <v>393915.56854249636</v>
      </c>
      <c r="CL129" s="646">
        <f t="shared" si="238"/>
        <v>0</v>
      </c>
      <c r="CM129" s="647">
        <f t="shared" si="164"/>
        <v>393915.56854249636</v>
      </c>
      <c r="CN129" s="644">
        <f t="shared" si="239"/>
        <v>0</v>
      </c>
      <c r="CO129" s="645">
        <f t="shared" si="240"/>
        <v>393915.56854249636</v>
      </c>
      <c r="CP129" s="646">
        <f t="shared" si="241"/>
        <v>0</v>
      </c>
      <c r="CQ129" s="647">
        <f t="shared" si="165"/>
        <v>393915.56854249636</v>
      </c>
      <c r="CS129" s="644">
        <f t="shared" si="242"/>
        <v>309947.73907478229</v>
      </c>
      <c r="CT129" s="645">
        <f t="shared" si="136"/>
        <v>217346.54937830602</v>
      </c>
      <c r="CU129" s="644">
        <f t="shared" si="243"/>
        <v>0</v>
      </c>
      <c r="CV129" s="645">
        <f t="shared" si="244"/>
        <v>309947.73907478229</v>
      </c>
      <c r="CW129" s="646">
        <f t="shared" si="245"/>
        <v>-3174.0400064044397</v>
      </c>
      <c r="CX129" s="647">
        <f t="shared" si="246"/>
        <v>306773.69906837784</v>
      </c>
      <c r="CY129" s="644">
        <f t="shared" si="166"/>
        <v>0</v>
      </c>
      <c r="CZ129" s="645">
        <f t="shared" si="167"/>
        <v>306773.69906837784</v>
      </c>
      <c r="DA129" s="646">
        <f t="shared" si="247"/>
        <v>-240.8184678352369</v>
      </c>
      <c r="DB129" s="647">
        <f t="shared" si="168"/>
        <v>306532.88060054259</v>
      </c>
      <c r="DC129" s="644">
        <f t="shared" si="248"/>
        <v>0</v>
      </c>
      <c r="DD129" s="645">
        <f t="shared" si="249"/>
        <v>306532.88060054259</v>
      </c>
      <c r="DE129" s="646">
        <f t="shared" si="250"/>
        <v>-0.20767593399683268</v>
      </c>
      <c r="DF129" s="647">
        <f t="shared" si="169"/>
        <v>306532.67292460857</v>
      </c>
      <c r="DG129" s="644">
        <f t="shared" si="251"/>
        <v>0</v>
      </c>
      <c r="DH129" s="645">
        <f t="shared" si="252"/>
        <v>306532.67292460857</v>
      </c>
      <c r="DI129" s="646">
        <f t="shared" si="253"/>
        <v>0</v>
      </c>
      <c r="DJ129" s="647">
        <f t="shared" si="170"/>
        <v>306532.67292460857</v>
      </c>
      <c r="DK129" s="644">
        <f t="shared" si="254"/>
        <v>0</v>
      </c>
      <c r="DL129" s="645">
        <f t="shared" si="255"/>
        <v>306532.67292460857</v>
      </c>
      <c r="DM129" s="646">
        <f t="shared" si="256"/>
        <v>0</v>
      </c>
      <c r="DN129" s="647">
        <f t="shared" si="171"/>
        <v>306532.67292460857</v>
      </c>
      <c r="DR129" s="827">
        <f t="shared" si="172"/>
        <v>1817487.4369993522</v>
      </c>
      <c r="DV129" s="828">
        <f>IFERROR(VLOOKUP($B129,'Afton FY16 Final'!$A$5:$BV$587,'Afton FY16 Final'!$BV$587,0),0)</f>
        <v>1657413.5406288628</v>
      </c>
      <c r="DX129" s="636">
        <f t="shared" si="137"/>
        <v>1817487.4369993522</v>
      </c>
      <c r="DY129" s="637">
        <f t="shared" si="138"/>
        <v>160073.89637048938</v>
      </c>
      <c r="DZ129" s="637">
        <f t="shared" si="139"/>
        <v>1657413.5406288628</v>
      </c>
      <c r="EA129" s="643">
        <f t="shared" si="140"/>
        <v>1720817.4746614208</v>
      </c>
      <c r="EB129" s="637">
        <f t="shared" si="173"/>
        <v>0</v>
      </c>
      <c r="EC129" s="637">
        <f t="shared" si="174"/>
        <v>1720817.4746614208</v>
      </c>
      <c r="ED129" s="637">
        <f t="shared" si="175"/>
        <v>1715686.0996980791</v>
      </c>
      <c r="EE129" s="643">
        <f t="shared" si="176"/>
        <v>1715686.0996980791</v>
      </c>
      <c r="EF129" s="637">
        <f t="shared" si="177"/>
        <v>0</v>
      </c>
      <c r="EG129" s="637">
        <f t="shared" si="178"/>
        <v>1715686.0996980791</v>
      </c>
      <c r="EH129" s="637">
        <f t="shared" si="179"/>
        <v>1715684.3296916981</v>
      </c>
      <c r="EI129" s="643">
        <f t="shared" si="180"/>
        <v>1715684.3296916981</v>
      </c>
      <c r="EJ129" s="637">
        <f t="shared" si="181"/>
        <v>0</v>
      </c>
      <c r="EK129" s="637">
        <f t="shared" si="182"/>
        <v>1715684.3296916981</v>
      </c>
      <c r="EL129" s="637">
        <f t="shared" si="183"/>
        <v>1715684.3296916955</v>
      </c>
      <c r="EM129" s="643">
        <f t="shared" si="184"/>
        <v>1715684.3296916955</v>
      </c>
      <c r="EN129" s="637">
        <f t="shared" si="185"/>
        <v>0</v>
      </c>
      <c r="EO129" s="637">
        <f t="shared" si="186"/>
        <v>1715684.3296916955</v>
      </c>
      <c r="EP129" s="637">
        <f t="shared" si="187"/>
        <v>1715684.3296916981</v>
      </c>
      <c r="EQ129" s="643">
        <f t="shared" si="188"/>
        <v>1715684.3296916981</v>
      </c>
      <c r="ER129" s="637">
        <f t="shared" si="189"/>
        <v>0</v>
      </c>
      <c r="ES129" s="637">
        <f t="shared" si="190"/>
        <v>1715684.3296916981</v>
      </c>
      <c r="ET129" s="637">
        <f t="shared" si="191"/>
        <v>1715684.3296916955</v>
      </c>
      <c r="EU129" s="643">
        <f t="shared" si="141"/>
        <v>1715684.3296916955</v>
      </c>
      <c r="EV129" s="643">
        <f t="shared" si="142"/>
        <v>0</v>
      </c>
      <c r="EX129" s="829">
        <f t="shared" si="143"/>
        <v>101803.10730765667</v>
      </c>
      <c r="EY129" s="638">
        <f t="shared" si="144"/>
        <v>1715684.3296916955</v>
      </c>
      <c r="FC129" s="830" t="str">
        <f t="shared" si="192"/>
        <v>Y</v>
      </c>
      <c r="FE129" s="830" t="str">
        <f>IFERROR(VLOOKUP($B129,'Historical Conc Grant Elig'!$B$3:$J$707,'HH &amp; SI'!FE$2,0),"N")</f>
        <v>N</v>
      </c>
      <c r="FF129" s="830" t="str">
        <f>IFERROR(VLOOKUP($B129,'Historical Conc Grant Elig'!$B$3:$J$707,'HH &amp; SI'!FF$2,0),"N")</f>
        <v>N</v>
      </c>
      <c r="FG129" s="830" t="str">
        <f>IFERROR(VLOOKUP($B129,'Historical Conc Grant Elig'!$B$3:$J$707,'HH &amp; SI'!FG$2,0),"N")</f>
        <v>N</v>
      </c>
      <c r="FH129" s="830" t="str">
        <f>IFERROR(VLOOKUP($B129,'Historical Conc Grant Elig'!$B$3:$J$707,'HH &amp; SI'!FH$2,0),"N")</f>
        <v>N</v>
      </c>
      <c r="FI129" s="830" t="str">
        <f>IFERROR(VLOOKUP($B129,'Historical Conc Grant Elig'!$B$3:$J$707,'HH &amp; SI'!FI$2,0),"N")</f>
        <v>N</v>
      </c>
      <c r="FJ129" s="830" t="str">
        <f>IFERROR(VLOOKUP($B129,'Historical Conc Grant Elig'!$B$3:$J$707,'HH &amp; SI'!FJ$2,0),"N")</f>
        <v>Y</v>
      </c>
      <c r="FK129" s="830" t="str">
        <f>IFERROR(VLOOKUP($B129,'Historical Conc Grant Elig'!$B$3:$J$707,'HH &amp; SI'!FK$2,0),"N")</f>
        <v>N</v>
      </c>
      <c r="FL129" s="957" t="str">
        <f>IFERROR(VLOOKUP($B129,'Historical Conc Grant Elig'!$B$3:$J$707,'HH &amp; SI'!FL$2,0),"N")</f>
        <v>N</v>
      </c>
    </row>
    <row r="130" spans="2:168" x14ac:dyDescent="0.25">
      <c r="B130" s="634">
        <v>70514000</v>
      </c>
      <c r="C130" s="635" t="str">
        <f>VLOOKUP($B130,'Afton Update'!$A$5:$CR$582,'Afton Update'!D$589,0)</f>
        <v>Tolleson Union High School District</v>
      </c>
      <c r="D130" s="636">
        <f>IFERROR(VLOOKUP($B130,'Afton FY16 Final'!$A$5:$BV$587,'Afton FY16 Final'!AQ$587,0),0)</f>
        <v>1226741.3961307432</v>
      </c>
      <c r="E130" s="637">
        <f>IFERROR(VLOOKUP($B130,'Afton FY16 Final'!$A$5:$BV$587,'Afton FY16 Final'!AR$587,0),0)</f>
        <v>287862.94841155014</v>
      </c>
      <c r="F130" s="637">
        <f>IFERROR(VLOOKUP($B130,'Afton FY16 Final'!$A$5:$BV$587,'Afton FY16 Final'!AS$587,0),0)</f>
        <v>511435.43715528364</v>
      </c>
      <c r="G130" s="637">
        <f>IFERROR(VLOOKUP($B130,'Afton FY16 Final'!$A$5:$BV$587,'Afton FY16 Final'!AT$587,0),0)</f>
        <v>365213.74300718773</v>
      </c>
      <c r="H130" s="638">
        <f>IFERROR(VLOOKUP($B130,'Afton FY16 Final'!$A$5:$BV$587,'Afton FY16 Final'!AU$587,0),0)</f>
        <v>2391253.5247047646</v>
      </c>
      <c r="I130" s="639" t="str">
        <f>VLOOKUP($B130,'Afton Update'!$A$5:$CR$582,'Afton Update'!BT$589,0)</f>
        <v>Y</v>
      </c>
      <c r="J130" s="640" t="str">
        <f>VLOOKUP($B130,'Afton Update'!$A$5:$CR$582,'Afton Update'!BU$589,0)</f>
        <v>Y</v>
      </c>
      <c r="K130" s="640" t="str">
        <f>VLOOKUP($B130,'Afton Update'!$A$5:$CR$582,'Afton Update'!BV$589,0)</f>
        <v>Y</v>
      </c>
      <c r="L130" s="641" t="str">
        <f>VLOOKUP($B130,'Afton Update'!$A$5:$CR$582,'Afton Update'!BW$589,0)</f>
        <v>Y</v>
      </c>
      <c r="N130" s="642">
        <f>VLOOKUP($B130,'Afton Update'!$A$5:$CR$582,'Afton Update'!CB$589,0)</f>
        <v>0.9</v>
      </c>
      <c r="P130" s="636">
        <f>VLOOKUP($B130,'Afton Update'!$A$5:$CR$582,'Afton Update'!AH$589,0)</f>
        <v>1249509.2663721396</v>
      </c>
      <c r="Q130" s="637">
        <f>VLOOKUP($B130,'Afton Update'!$A$5:$CR$582,'Afton Update'!AI$589,0)</f>
        <v>299919.71753185632</v>
      </c>
      <c r="R130" s="637">
        <f>VLOOKUP($B130,'Afton Update'!$A$5:$CR$582,'Afton Update'!AJ$589,0)</f>
        <v>568636.39773571375</v>
      </c>
      <c r="S130" s="637">
        <f>VLOOKUP($B130,'Afton Update'!$A$5:$CR$582,'Afton Update'!AK$589,0)</f>
        <v>459367.60669794591</v>
      </c>
      <c r="T130" s="643">
        <f t="shared" si="145"/>
        <v>2577432.9883376556</v>
      </c>
      <c r="V130" s="636">
        <f t="shared" si="193"/>
        <v>1232465.1489677615</v>
      </c>
      <c r="W130" s="637">
        <f t="shared" si="194"/>
        <v>290041.45857141475</v>
      </c>
      <c r="X130" s="637">
        <f t="shared" si="195"/>
        <v>563464.87171399442</v>
      </c>
      <c r="Y130" s="637">
        <f t="shared" si="196"/>
        <v>454306.20257606608</v>
      </c>
      <c r="Z130" s="643">
        <f t="shared" si="197"/>
        <v>2540277.6818292364</v>
      </c>
      <c r="AB130" s="644">
        <f t="shared" si="146"/>
        <v>1249509.2663721396</v>
      </c>
      <c r="AC130" s="645">
        <f t="shared" si="134"/>
        <v>1104067.256517669</v>
      </c>
      <c r="AD130" s="644">
        <f t="shared" si="198"/>
        <v>0</v>
      </c>
      <c r="AE130" s="645">
        <f t="shared" si="199"/>
        <v>1249509.2663721396</v>
      </c>
      <c r="AF130" s="646">
        <f t="shared" si="200"/>
        <v>-15488.60633790113</v>
      </c>
      <c r="AG130" s="647">
        <f t="shared" si="201"/>
        <v>1234020.6600342384</v>
      </c>
      <c r="AH130" s="644">
        <f t="shared" si="147"/>
        <v>0</v>
      </c>
      <c r="AI130" s="645">
        <f t="shared" si="148"/>
        <v>1234020.6600342384</v>
      </c>
      <c r="AJ130" s="646">
        <f t="shared" si="202"/>
        <v>-1554.5200551541616</v>
      </c>
      <c r="AK130" s="647">
        <f t="shared" si="149"/>
        <v>1232466.1399790843</v>
      </c>
      <c r="AL130" s="644">
        <f t="shared" si="203"/>
        <v>0</v>
      </c>
      <c r="AM130" s="645">
        <f t="shared" si="204"/>
        <v>1232466.1399790843</v>
      </c>
      <c r="AN130" s="646">
        <f t="shared" si="205"/>
        <v>-0.99101132281362203</v>
      </c>
      <c r="AO130" s="647">
        <f t="shared" si="150"/>
        <v>1232465.1489677615</v>
      </c>
      <c r="AP130" s="644">
        <f t="shared" si="206"/>
        <v>0</v>
      </c>
      <c r="AQ130" s="645">
        <f t="shared" si="207"/>
        <v>1232465.1489677615</v>
      </c>
      <c r="AR130" s="646">
        <f t="shared" si="208"/>
        <v>0</v>
      </c>
      <c r="AS130" s="647">
        <f t="shared" si="151"/>
        <v>1232465.1489677615</v>
      </c>
      <c r="AT130" s="644">
        <f t="shared" si="209"/>
        <v>0</v>
      </c>
      <c r="AU130" s="645">
        <f t="shared" si="210"/>
        <v>1232465.1489677615</v>
      </c>
      <c r="AV130" s="646">
        <f t="shared" si="211"/>
        <v>0</v>
      </c>
      <c r="AW130" s="647">
        <f t="shared" si="152"/>
        <v>1232465.1489677615</v>
      </c>
      <c r="AY130" s="644">
        <f t="shared" si="212"/>
        <v>299919.71753185632</v>
      </c>
      <c r="AZ130" s="645">
        <f t="shared" si="153"/>
        <v>259076.65357039514</v>
      </c>
      <c r="BA130" s="644">
        <f t="shared" si="213"/>
        <v>0</v>
      </c>
      <c r="BB130" s="645">
        <f t="shared" si="214"/>
        <v>299919.71753185632</v>
      </c>
      <c r="BC130" s="646">
        <f t="shared" si="215"/>
        <v>-2156.8100945081028</v>
      </c>
      <c r="BD130" s="647">
        <f t="shared" si="216"/>
        <v>297762.90743734821</v>
      </c>
      <c r="BE130" s="644">
        <f t="shared" si="154"/>
        <v>0</v>
      </c>
      <c r="BF130" s="645">
        <f t="shared" si="155"/>
        <v>297762.90743734821</v>
      </c>
      <c r="BG130" s="646">
        <f t="shared" si="217"/>
        <v>-7092.4697958944853</v>
      </c>
      <c r="BH130" s="647">
        <f t="shared" si="156"/>
        <v>290670.43764145375</v>
      </c>
      <c r="BI130" s="644">
        <f t="shared" si="218"/>
        <v>0</v>
      </c>
      <c r="BJ130" s="645">
        <f t="shared" si="219"/>
        <v>290670.43764145375</v>
      </c>
      <c r="BK130" s="646">
        <f t="shared" si="220"/>
        <v>-615.70825727427052</v>
      </c>
      <c r="BL130" s="647">
        <f t="shared" si="157"/>
        <v>290054.72938417946</v>
      </c>
      <c r="BM130" s="644">
        <f t="shared" si="221"/>
        <v>0</v>
      </c>
      <c r="BN130" s="645">
        <f t="shared" si="222"/>
        <v>290054.72938417946</v>
      </c>
      <c r="BO130" s="646">
        <f t="shared" si="223"/>
        <v>-13.270812764734664</v>
      </c>
      <c r="BP130" s="647">
        <f t="shared" si="158"/>
        <v>290041.45857141475</v>
      </c>
      <c r="BQ130" s="644">
        <f t="shared" si="224"/>
        <v>0</v>
      </c>
      <c r="BR130" s="645">
        <f t="shared" si="225"/>
        <v>290041.45857141475</v>
      </c>
      <c r="BS130" s="646">
        <f t="shared" si="226"/>
        <v>0</v>
      </c>
      <c r="BT130" s="647">
        <f t="shared" si="159"/>
        <v>290041.45857141475</v>
      </c>
      <c r="BU130" s="662">
        <f>VLOOKUP(B130,'Afton Update'!$A$5:$AR$582,'Afton Update'!$AO$589,0)-BT130</f>
        <v>0</v>
      </c>
      <c r="BV130" s="644">
        <f t="shared" si="227"/>
        <v>568636.39773571375</v>
      </c>
      <c r="BW130" s="645">
        <f t="shared" si="135"/>
        <v>460291.89343975531</v>
      </c>
      <c r="BX130" s="644">
        <f t="shared" si="228"/>
        <v>0</v>
      </c>
      <c r="BY130" s="645">
        <f t="shared" si="229"/>
        <v>568636.39773571375</v>
      </c>
      <c r="BZ130" s="646">
        <f t="shared" si="230"/>
        <v>-4990.9821196727708</v>
      </c>
      <c r="CA130" s="647">
        <f t="shared" si="231"/>
        <v>563645.41561604093</v>
      </c>
      <c r="CB130" s="644">
        <f t="shared" si="160"/>
        <v>0</v>
      </c>
      <c r="CC130" s="645">
        <f t="shared" si="161"/>
        <v>563645.41561604093</v>
      </c>
      <c r="CD130" s="646">
        <f t="shared" si="232"/>
        <v>-180.54390204655181</v>
      </c>
      <c r="CE130" s="647">
        <f t="shared" si="162"/>
        <v>563464.87171399442</v>
      </c>
      <c r="CF130" s="644">
        <f t="shared" si="233"/>
        <v>0</v>
      </c>
      <c r="CG130" s="645">
        <f t="shared" si="234"/>
        <v>563464.87171399442</v>
      </c>
      <c r="CH130" s="646">
        <f t="shared" si="235"/>
        <v>0</v>
      </c>
      <c r="CI130" s="647">
        <f t="shared" si="163"/>
        <v>563464.87171399442</v>
      </c>
      <c r="CJ130" s="644">
        <f t="shared" si="236"/>
        <v>0</v>
      </c>
      <c r="CK130" s="645">
        <f t="shared" si="237"/>
        <v>563464.87171399442</v>
      </c>
      <c r="CL130" s="646">
        <f t="shared" si="238"/>
        <v>0</v>
      </c>
      <c r="CM130" s="647">
        <f t="shared" si="164"/>
        <v>563464.87171399442</v>
      </c>
      <c r="CN130" s="644">
        <f t="shared" si="239"/>
        <v>0</v>
      </c>
      <c r="CO130" s="645">
        <f t="shared" si="240"/>
        <v>563464.87171399442</v>
      </c>
      <c r="CP130" s="646">
        <f t="shared" si="241"/>
        <v>0</v>
      </c>
      <c r="CQ130" s="647">
        <f t="shared" si="165"/>
        <v>563464.87171399442</v>
      </c>
      <c r="CS130" s="644">
        <f t="shared" si="242"/>
        <v>459367.60669794591</v>
      </c>
      <c r="CT130" s="645">
        <f t="shared" si="136"/>
        <v>328692.36870646896</v>
      </c>
      <c r="CU130" s="644">
        <f t="shared" si="243"/>
        <v>0</v>
      </c>
      <c r="CV130" s="645">
        <f t="shared" si="244"/>
        <v>459367.60669794591</v>
      </c>
      <c r="CW130" s="646">
        <f t="shared" si="245"/>
        <v>-4704.1838913164356</v>
      </c>
      <c r="CX130" s="647">
        <f t="shared" si="246"/>
        <v>454663.4228066295</v>
      </c>
      <c r="CY130" s="644">
        <f t="shared" si="166"/>
        <v>0</v>
      </c>
      <c r="CZ130" s="645">
        <f t="shared" si="167"/>
        <v>454663.4228066295</v>
      </c>
      <c r="DA130" s="646">
        <f t="shared" si="247"/>
        <v>-356.91243803991205</v>
      </c>
      <c r="DB130" s="647">
        <f t="shared" si="168"/>
        <v>454306.5103685896</v>
      </c>
      <c r="DC130" s="644">
        <f t="shared" si="248"/>
        <v>0</v>
      </c>
      <c r="DD130" s="645">
        <f t="shared" si="249"/>
        <v>454306.5103685896</v>
      </c>
      <c r="DE130" s="646">
        <f t="shared" si="250"/>
        <v>-0.30779252351916075</v>
      </c>
      <c r="DF130" s="647">
        <f t="shared" si="169"/>
        <v>454306.20257606608</v>
      </c>
      <c r="DG130" s="644">
        <f t="shared" si="251"/>
        <v>0</v>
      </c>
      <c r="DH130" s="645">
        <f t="shared" si="252"/>
        <v>454306.20257606608</v>
      </c>
      <c r="DI130" s="646">
        <f t="shared" si="253"/>
        <v>0</v>
      </c>
      <c r="DJ130" s="647">
        <f t="shared" si="170"/>
        <v>454306.20257606608</v>
      </c>
      <c r="DK130" s="644">
        <f t="shared" si="254"/>
        <v>0</v>
      </c>
      <c r="DL130" s="645">
        <f t="shared" si="255"/>
        <v>454306.20257606608</v>
      </c>
      <c r="DM130" s="646">
        <f t="shared" si="256"/>
        <v>0</v>
      </c>
      <c r="DN130" s="647">
        <f t="shared" si="171"/>
        <v>454306.20257606608</v>
      </c>
      <c r="DR130" s="827">
        <f t="shared" si="172"/>
        <v>2540277.6818292364</v>
      </c>
      <c r="DV130" s="828">
        <f>IFERROR(VLOOKUP($B130,'Afton FY16 Final'!$A$5:$BV$587,'Afton FY16 Final'!$BV$587,0),0)</f>
        <v>2147471.2681815885</v>
      </c>
      <c r="DX130" s="636">
        <f t="shared" si="137"/>
        <v>2540277.6818292364</v>
      </c>
      <c r="DY130" s="637">
        <f t="shared" si="138"/>
        <v>392806.41364764795</v>
      </c>
      <c r="DZ130" s="637">
        <f t="shared" si="139"/>
        <v>2147471.2681815885</v>
      </c>
      <c r="EA130" s="643">
        <f t="shared" si="140"/>
        <v>2405163.3790664342</v>
      </c>
      <c r="EB130" s="637">
        <f t="shared" si="173"/>
        <v>0</v>
      </c>
      <c r="EC130" s="637">
        <f t="shared" si="174"/>
        <v>2405163.3790664342</v>
      </c>
      <c r="ED130" s="637">
        <f t="shared" si="175"/>
        <v>2397991.3254768946</v>
      </c>
      <c r="EE130" s="643">
        <f t="shared" si="176"/>
        <v>2397991.3254768946</v>
      </c>
      <c r="EF130" s="637">
        <f t="shared" si="177"/>
        <v>0</v>
      </c>
      <c r="EG130" s="637">
        <f t="shared" si="178"/>
        <v>2397991.3254768946</v>
      </c>
      <c r="EH130" s="637">
        <f t="shared" si="179"/>
        <v>2397988.8515628446</v>
      </c>
      <c r="EI130" s="643">
        <f t="shared" si="180"/>
        <v>2397988.8515628446</v>
      </c>
      <c r="EJ130" s="637">
        <f t="shared" si="181"/>
        <v>0</v>
      </c>
      <c r="EK130" s="637">
        <f t="shared" si="182"/>
        <v>2397988.8515628446</v>
      </c>
      <c r="EL130" s="637">
        <f t="shared" si="183"/>
        <v>2397988.8515628413</v>
      </c>
      <c r="EM130" s="643">
        <f t="shared" si="184"/>
        <v>2397988.8515628413</v>
      </c>
      <c r="EN130" s="637">
        <f t="shared" si="185"/>
        <v>0</v>
      </c>
      <c r="EO130" s="637">
        <f t="shared" si="186"/>
        <v>2397988.8515628413</v>
      </c>
      <c r="EP130" s="637">
        <f t="shared" si="187"/>
        <v>2397988.8515628451</v>
      </c>
      <c r="EQ130" s="643">
        <f t="shared" si="188"/>
        <v>2397988.8515628451</v>
      </c>
      <c r="ER130" s="637">
        <f t="shared" si="189"/>
        <v>0</v>
      </c>
      <c r="ES130" s="637">
        <f t="shared" si="190"/>
        <v>2397988.8515628451</v>
      </c>
      <c r="ET130" s="637">
        <f t="shared" si="191"/>
        <v>2397988.8515628413</v>
      </c>
      <c r="EU130" s="643">
        <f t="shared" si="141"/>
        <v>2397988.8515628413</v>
      </c>
      <c r="EV130" s="643">
        <f t="shared" si="142"/>
        <v>0</v>
      </c>
      <c r="EX130" s="829">
        <f t="shared" si="143"/>
        <v>142288.83026639512</v>
      </c>
      <c r="EY130" s="638">
        <f t="shared" si="144"/>
        <v>2397988.8515628413</v>
      </c>
      <c r="FC130" s="830" t="str">
        <f t="shared" si="192"/>
        <v>Y</v>
      </c>
      <c r="FE130" s="830" t="str">
        <f>IFERROR(VLOOKUP($B130,'Historical Conc Grant Elig'!$B$3:$J$707,'HH &amp; SI'!FE$2,0),"N")</f>
        <v>Y</v>
      </c>
      <c r="FF130" s="830" t="str">
        <f>IFERROR(VLOOKUP($B130,'Historical Conc Grant Elig'!$B$3:$J$707,'HH &amp; SI'!FF$2,0),"N")</f>
        <v>Y</v>
      </c>
      <c r="FG130" s="830" t="str">
        <f>IFERROR(VLOOKUP($B130,'Historical Conc Grant Elig'!$B$3:$J$707,'HH &amp; SI'!FG$2,0),"N")</f>
        <v>Y</v>
      </c>
      <c r="FH130" s="830" t="str">
        <f>IFERROR(VLOOKUP($B130,'Historical Conc Grant Elig'!$B$3:$J$707,'HH &amp; SI'!FH$2,0),"N")</f>
        <v>Y</v>
      </c>
      <c r="FI130" s="830" t="str">
        <f>IFERROR(VLOOKUP($B130,'Historical Conc Grant Elig'!$B$3:$J$707,'HH &amp; SI'!FI$2,0),"N")</f>
        <v>Y</v>
      </c>
      <c r="FJ130" s="830" t="str">
        <f>IFERROR(VLOOKUP($B130,'Historical Conc Grant Elig'!$B$3:$J$707,'HH &amp; SI'!FJ$2,0),"N")</f>
        <v>Y</v>
      </c>
      <c r="FK130" s="830" t="str">
        <f>IFERROR(VLOOKUP($B130,'Historical Conc Grant Elig'!$B$3:$J$707,'HH &amp; SI'!FK$2,0),"N")</f>
        <v>Y</v>
      </c>
      <c r="FL130" s="957" t="str">
        <f>IFERROR(VLOOKUP($B130,'Historical Conc Grant Elig'!$B$3:$J$707,'HH &amp; SI'!FL$2,0),"N")</f>
        <v>Y</v>
      </c>
    </row>
    <row r="131" spans="2:168" x14ac:dyDescent="0.25">
      <c r="B131" s="634">
        <v>70516000</v>
      </c>
      <c r="C131" s="635" t="str">
        <f>VLOOKUP($B131,'Afton Update'!$A$5:$CR$582,'Afton Update'!D$589,0)</f>
        <v>Agua Fria Union High School District</v>
      </c>
      <c r="D131" s="636">
        <f>IFERROR(VLOOKUP($B131,'Afton FY16 Final'!$A$5:$BV$587,'Afton FY16 Final'!AQ$587,0),0)</f>
        <v>480087.38441663148</v>
      </c>
      <c r="E131" s="637">
        <f>IFERROR(VLOOKUP($B131,'Afton FY16 Final'!$A$5:$BV$587,'Afton FY16 Final'!AR$587,0),0)</f>
        <v>67767.51373748573</v>
      </c>
      <c r="F131" s="637">
        <f>IFERROR(VLOOKUP($B131,'Afton FY16 Final'!$A$5:$BV$587,'Afton FY16 Final'!AS$587,0),0)</f>
        <v>159830.52197035414</v>
      </c>
      <c r="G131" s="637">
        <f>IFERROR(VLOOKUP($B131,'Afton FY16 Final'!$A$5:$BV$587,'Afton FY16 Final'!AT$587,0),0)</f>
        <v>109023.45660407866</v>
      </c>
      <c r="H131" s="638">
        <f>IFERROR(VLOOKUP($B131,'Afton FY16 Final'!$A$5:$BV$587,'Afton FY16 Final'!AU$587,0),0)</f>
        <v>816708.87672854995</v>
      </c>
      <c r="I131" s="639" t="str">
        <f>VLOOKUP($B131,'Afton Update'!$A$5:$CR$582,'Afton Update'!BT$589,0)</f>
        <v>Y</v>
      </c>
      <c r="J131" s="640" t="str">
        <f>VLOOKUP($B131,'Afton Update'!$A$5:$CR$582,'Afton Update'!BU$589,0)</f>
        <v>N</v>
      </c>
      <c r="K131" s="640" t="str">
        <f>VLOOKUP($B131,'Afton Update'!$A$5:$CR$582,'Afton Update'!BV$589,0)</f>
        <v>Y</v>
      </c>
      <c r="L131" s="641" t="str">
        <f>VLOOKUP($B131,'Afton Update'!$A$5:$CR$582,'Afton Update'!BW$589,0)</f>
        <v>Y</v>
      </c>
      <c r="N131" s="642">
        <f>VLOOKUP($B131,'Afton Update'!$A$5:$CR$582,'Afton Update'!CB$589,0)</f>
        <v>0.85</v>
      </c>
      <c r="P131" s="636">
        <f>VLOOKUP($B131,'Afton Update'!$A$5:$CR$582,'Afton Update'!AH$589,0)</f>
        <v>478047.7413371728</v>
      </c>
      <c r="Q131" s="637" t="str">
        <f>VLOOKUP($B131,'Afton Update'!$A$5:$CR$582,'Afton Update'!AI$589,0)</f>
        <v/>
      </c>
      <c r="R131" s="637">
        <f>VLOOKUP($B131,'Afton Update'!$A$5:$CR$582,'Afton Update'!AJ$589,0)</f>
        <v>173017.97334782645</v>
      </c>
      <c r="S131" s="637">
        <f>VLOOKUP($B131,'Afton Update'!$A$5:$CR$582,'Afton Update'!AK$589,0)</f>
        <v>134306.14958441636</v>
      </c>
      <c r="T131" s="643">
        <f t="shared" si="145"/>
        <v>785371.86426941562</v>
      </c>
      <c r="V131" s="636">
        <f t="shared" si="193"/>
        <v>471526.85986191547</v>
      </c>
      <c r="W131" s="637">
        <f t="shared" si="194"/>
        <v>57602.386676862865</v>
      </c>
      <c r="X131" s="637">
        <f t="shared" si="195"/>
        <v>171444.44243254149</v>
      </c>
      <c r="Y131" s="637">
        <f t="shared" si="196"/>
        <v>132826.33757941498</v>
      </c>
      <c r="Z131" s="643">
        <f t="shared" si="197"/>
        <v>833400.02655073476</v>
      </c>
      <c r="AB131" s="644">
        <f t="shared" si="146"/>
        <v>478047.7413371728</v>
      </c>
      <c r="AC131" s="645">
        <f t="shared" si="134"/>
        <v>408074.27675413672</v>
      </c>
      <c r="AD131" s="644">
        <f t="shared" si="198"/>
        <v>0</v>
      </c>
      <c r="AE131" s="645">
        <f t="shared" si="199"/>
        <v>478047.7413371728</v>
      </c>
      <c r="AF131" s="646">
        <f t="shared" si="200"/>
        <v>-5925.7609971889915</v>
      </c>
      <c r="AG131" s="647">
        <f t="shared" si="201"/>
        <v>472121.98033998383</v>
      </c>
      <c r="AH131" s="644">
        <f t="shared" si="147"/>
        <v>0</v>
      </c>
      <c r="AI131" s="645">
        <f t="shared" si="148"/>
        <v>472121.98033998383</v>
      </c>
      <c r="AJ131" s="646">
        <f t="shared" si="202"/>
        <v>-594.74132863970101</v>
      </c>
      <c r="AK131" s="647">
        <f t="shared" si="149"/>
        <v>471527.23901134415</v>
      </c>
      <c r="AL131" s="644">
        <f t="shared" si="203"/>
        <v>0</v>
      </c>
      <c r="AM131" s="645">
        <f t="shared" si="204"/>
        <v>471527.23901134415</v>
      </c>
      <c r="AN131" s="646">
        <f t="shared" si="205"/>
        <v>-0.37914942870821366</v>
      </c>
      <c r="AO131" s="647">
        <f t="shared" si="150"/>
        <v>471526.85986191547</v>
      </c>
      <c r="AP131" s="644">
        <f t="shared" si="206"/>
        <v>0</v>
      </c>
      <c r="AQ131" s="645">
        <f t="shared" si="207"/>
        <v>471526.85986191547</v>
      </c>
      <c r="AR131" s="646">
        <f t="shared" si="208"/>
        <v>0</v>
      </c>
      <c r="AS131" s="647">
        <f t="shared" si="151"/>
        <v>471526.85986191547</v>
      </c>
      <c r="AT131" s="644">
        <f t="shared" si="209"/>
        <v>0</v>
      </c>
      <c r="AU131" s="645">
        <f t="shared" si="210"/>
        <v>471526.85986191547</v>
      </c>
      <c r="AV131" s="646">
        <f t="shared" si="211"/>
        <v>0</v>
      </c>
      <c r="AW131" s="647">
        <f t="shared" si="152"/>
        <v>471526.85986191547</v>
      </c>
      <c r="AY131" s="644">
        <f t="shared" si="212"/>
        <v>0</v>
      </c>
      <c r="AZ131" s="645">
        <f t="shared" si="153"/>
        <v>57602.386676862865</v>
      </c>
      <c r="BA131" s="644">
        <f t="shared" si="213"/>
        <v>0</v>
      </c>
      <c r="BB131" s="645">
        <f t="shared" si="214"/>
        <v>0</v>
      </c>
      <c r="BC131" s="646">
        <f t="shared" si="215"/>
        <v>0</v>
      </c>
      <c r="BD131" s="647">
        <f t="shared" si="216"/>
        <v>0</v>
      </c>
      <c r="BE131" s="644">
        <f t="shared" si="154"/>
        <v>-57602.386676862865</v>
      </c>
      <c r="BF131" s="645">
        <f t="shared" si="155"/>
        <v>0</v>
      </c>
      <c r="BG131" s="646">
        <f t="shared" si="217"/>
        <v>0</v>
      </c>
      <c r="BH131" s="647">
        <f t="shared" si="156"/>
        <v>57602.386676862865</v>
      </c>
      <c r="BI131" s="644">
        <f t="shared" si="218"/>
        <v>0</v>
      </c>
      <c r="BJ131" s="645">
        <f t="shared" si="219"/>
        <v>0</v>
      </c>
      <c r="BK131" s="646">
        <f t="shared" si="220"/>
        <v>0</v>
      </c>
      <c r="BL131" s="647">
        <f t="shared" si="157"/>
        <v>57602.386676862865</v>
      </c>
      <c r="BM131" s="644">
        <f t="shared" si="221"/>
        <v>0</v>
      </c>
      <c r="BN131" s="645">
        <f t="shared" si="222"/>
        <v>0</v>
      </c>
      <c r="BO131" s="646">
        <f t="shared" si="223"/>
        <v>0</v>
      </c>
      <c r="BP131" s="647">
        <f t="shared" si="158"/>
        <v>57602.386676862865</v>
      </c>
      <c r="BQ131" s="644">
        <f t="shared" si="224"/>
        <v>0</v>
      </c>
      <c r="BR131" s="645">
        <f t="shared" si="225"/>
        <v>0</v>
      </c>
      <c r="BS131" s="646">
        <f t="shared" si="226"/>
        <v>0</v>
      </c>
      <c r="BT131" s="647">
        <f t="shared" si="159"/>
        <v>57602.386676862865</v>
      </c>
      <c r="BU131" s="662">
        <f>VLOOKUP(B131,'Afton Update'!$A$5:$AR$582,'Afton Update'!$AO$589,0)-BT131</f>
        <v>0</v>
      </c>
      <c r="BV131" s="644">
        <f t="shared" si="227"/>
        <v>173017.97334782645</v>
      </c>
      <c r="BW131" s="645">
        <f t="shared" si="135"/>
        <v>135855.943674801</v>
      </c>
      <c r="BX131" s="644">
        <f t="shared" si="228"/>
        <v>0</v>
      </c>
      <c r="BY131" s="645">
        <f t="shared" si="229"/>
        <v>173017.97334782645</v>
      </c>
      <c r="BZ131" s="646">
        <f t="shared" si="230"/>
        <v>-1518.5971471392977</v>
      </c>
      <c r="CA131" s="647">
        <f t="shared" si="231"/>
        <v>171499.37620068717</v>
      </c>
      <c r="CB131" s="644">
        <f t="shared" si="160"/>
        <v>0</v>
      </c>
      <c r="CC131" s="645">
        <f t="shared" si="161"/>
        <v>171499.37620068717</v>
      </c>
      <c r="CD131" s="646">
        <f t="shared" si="232"/>
        <v>-54.933768145670363</v>
      </c>
      <c r="CE131" s="647">
        <f t="shared" si="162"/>
        <v>171444.44243254149</v>
      </c>
      <c r="CF131" s="644">
        <f t="shared" si="233"/>
        <v>0</v>
      </c>
      <c r="CG131" s="645">
        <f t="shared" si="234"/>
        <v>171444.44243254149</v>
      </c>
      <c r="CH131" s="646">
        <f t="shared" si="235"/>
        <v>0</v>
      </c>
      <c r="CI131" s="647">
        <f t="shared" si="163"/>
        <v>171444.44243254149</v>
      </c>
      <c r="CJ131" s="644">
        <f t="shared" si="236"/>
        <v>0</v>
      </c>
      <c r="CK131" s="645">
        <f t="shared" si="237"/>
        <v>171444.44243254149</v>
      </c>
      <c r="CL131" s="646">
        <f t="shared" si="238"/>
        <v>0</v>
      </c>
      <c r="CM131" s="647">
        <f t="shared" si="164"/>
        <v>171444.44243254149</v>
      </c>
      <c r="CN131" s="644">
        <f t="shared" si="239"/>
        <v>0</v>
      </c>
      <c r="CO131" s="645">
        <f t="shared" si="240"/>
        <v>171444.44243254149</v>
      </c>
      <c r="CP131" s="646">
        <f t="shared" si="241"/>
        <v>0</v>
      </c>
      <c r="CQ131" s="647">
        <f t="shared" si="165"/>
        <v>171444.44243254149</v>
      </c>
      <c r="CS131" s="644">
        <f t="shared" si="242"/>
        <v>134306.14958441636</v>
      </c>
      <c r="CT131" s="645">
        <f t="shared" si="136"/>
        <v>92669.938113466851</v>
      </c>
      <c r="CU131" s="644">
        <f t="shared" si="243"/>
        <v>0</v>
      </c>
      <c r="CV131" s="645">
        <f t="shared" si="244"/>
        <v>134306.14958441636</v>
      </c>
      <c r="CW131" s="646">
        <f t="shared" si="245"/>
        <v>-1375.3708711010252</v>
      </c>
      <c r="CX131" s="647">
        <f t="shared" si="246"/>
        <v>132930.77871331535</v>
      </c>
      <c r="CY131" s="644">
        <f t="shared" si="166"/>
        <v>0</v>
      </c>
      <c r="CZ131" s="645">
        <f t="shared" si="167"/>
        <v>132930.77871331535</v>
      </c>
      <c r="DA131" s="646">
        <f t="shared" si="247"/>
        <v>-104.35114403581979</v>
      </c>
      <c r="DB131" s="647">
        <f t="shared" si="168"/>
        <v>132826.42756927953</v>
      </c>
      <c r="DC131" s="644">
        <f t="shared" si="248"/>
        <v>0</v>
      </c>
      <c r="DD131" s="645">
        <f t="shared" si="249"/>
        <v>132826.42756927953</v>
      </c>
      <c r="DE131" s="646">
        <f t="shared" si="250"/>
        <v>-8.9989864548527462E-2</v>
      </c>
      <c r="DF131" s="647">
        <f t="shared" si="169"/>
        <v>132826.33757941498</v>
      </c>
      <c r="DG131" s="644">
        <f t="shared" si="251"/>
        <v>0</v>
      </c>
      <c r="DH131" s="645">
        <f t="shared" si="252"/>
        <v>132826.33757941498</v>
      </c>
      <c r="DI131" s="646">
        <f t="shared" si="253"/>
        <v>0</v>
      </c>
      <c r="DJ131" s="647">
        <f t="shared" si="170"/>
        <v>132826.33757941498</v>
      </c>
      <c r="DK131" s="644">
        <f t="shared" si="254"/>
        <v>0</v>
      </c>
      <c r="DL131" s="645">
        <f t="shared" si="255"/>
        <v>132826.33757941498</v>
      </c>
      <c r="DM131" s="646">
        <f t="shared" si="256"/>
        <v>0</v>
      </c>
      <c r="DN131" s="647">
        <f t="shared" si="171"/>
        <v>132826.33757941498</v>
      </c>
      <c r="DR131" s="827">
        <f t="shared" si="172"/>
        <v>833400.02655073476</v>
      </c>
      <c r="DV131" s="828">
        <f>IFERROR(VLOOKUP($B131,'Afton FY16 Final'!$A$5:$BV$587,'Afton FY16 Final'!$BV$587,0),0)</f>
        <v>757123.50437121256</v>
      </c>
      <c r="DX131" s="636">
        <f t="shared" si="137"/>
        <v>833400.02655073476</v>
      </c>
      <c r="DY131" s="637">
        <f t="shared" si="138"/>
        <v>76276.522179522202</v>
      </c>
      <c r="DZ131" s="637">
        <f t="shared" si="139"/>
        <v>757123.50437121256</v>
      </c>
      <c r="EA131" s="643">
        <f t="shared" si="140"/>
        <v>789072.48538648791</v>
      </c>
      <c r="EB131" s="637">
        <f t="shared" si="173"/>
        <v>0</v>
      </c>
      <c r="EC131" s="637">
        <f t="shared" si="174"/>
        <v>789072.48538648791</v>
      </c>
      <c r="ED131" s="637">
        <f t="shared" si="175"/>
        <v>786719.51834878931</v>
      </c>
      <c r="EE131" s="643">
        <f t="shared" si="176"/>
        <v>786719.51834878931</v>
      </c>
      <c r="EF131" s="637">
        <f t="shared" si="177"/>
        <v>0</v>
      </c>
      <c r="EG131" s="637">
        <f t="shared" si="178"/>
        <v>786719.51834878931</v>
      </c>
      <c r="EH131" s="637">
        <f t="shared" si="179"/>
        <v>786718.70672097022</v>
      </c>
      <c r="EI131" s="643">
        <f t="shared" si="180"/>
        <v>786718.70672097022</v>
      </c>
      <c r="EJ131" s="637">
        <f t="shared" si="181"/>
        <v>0</v>
      </c>
      <c r="EK131" s="637">
        <f t="shared" si="182"/>
        <v>786718.70672097022</v>
      </c>
      <c r="EL131" s="637">
        <f t="shared" si="183"/>
        <v>786718.70672096906</v>
      </c>
      <c r="EM131" s="643">
        <f t="shared" si="184"/>
        <v>786718.70672096906</v>
      </c>
      <c r="EN131" s="637">
        <f t="shared" si="185"/>
        <v>0</v>
      </c>
      <c r="EO131" s="637">
        <f t="shared" si="186"/>
        <v>786718.70672096906</v>
      </c>
      <c r="EP131" s="637">
        <f t="shared" si="187"/>
        <v>786718.70672097034</v>
      </c>
      <c r="EQ131" s="643">
        <f t="shared" si="188"/>
        <v>786718.70672097034</v>
      </c>
      <c r="ER131" s="637">
        <f t="shared" si="189"/>
        <v>0</v>
      </c>
      <c r="ES131" s="637">
        <f t="shared" si="190"/>
        <v>786718.70672097034</v>
      </c>
      <c r="ET131" s="637">
        <f t="shared" si="191"/>
        <v>786718.70672096906</v>
      </c>
      <c r="EU131" s="643">
        <f t="shared" si="141"/>
        <v>786718.70672096906</v>
      </c>
      <c r="EV131" s="643">
        <f t="shared" si="142"/>
        <v>0</v>
      </c>
      <c r="EX131" s="829">
        <f t="shared" si="143"/>
        <v>46681.319829765707</v>
      </c>
      <c r="EY131" s="638">
        <f t="shared" si="144"/>
        <v>786718.70672096906</v>
      </c>
      <c r="FC131" s="830" t="str">
        <f t="shared" si="192"/>
        <v>Y</v>
      </c>
      <c r="FE131" s="830" t="str">
        <f>IFERROR(VLOOKUP($B131,'Historical Conc Grant Elig'!$B$3:$J$707,'HH &amp; SI'!FE$2,0),"N")</f>
        <v>N</v>
      </c>
      <c r="FF131" s="830" t="str">
        <f>IFERROR(VLOOKUP($B131,'Historical Conc Grant Elig'!$B$3:$J$707,'HH &amp; SI'!FF$2,0),"N")</f>
        <v>N</v>
      </c>
      <c r="FG131" s="830" t="str">
        <f>IFERROR(VLOOKUP($B131,'Historical Conc Grant Elig'!$B$3:$J$707,'HH &amp; SI'!FG$2,0),"N")</f>
        <v>N</v>
      </c>
      <c r="FH131" s="830" t="str">
        <f>IFERROR(VLOOKUP($B131,'Historical Conc Grant Elig'!$B$3:$J$707,'HH &amp; SI'!FH$2,0),"N")</f>
        <v>N</v>
      </c>
      <c r="FI131" s="830" t="str">
        <f>IFERROR(VLOOKUP($B131,'Historical Conc Grant Elig'!$B$3:$J$707,'HH &amp; SI'!FI$2,0),"N")</f>
        <v>Y</v>
      </c>
      <c r="FJ131" s="830" t="str">
        <f>IFERROR(VLOOKUP($B131,'Historical Conc Grant Elig'!$B$3:$J$707,'HH &amp; SI'!FJ$2,0),"N")</f>
        <v>N</v>
      </c>
      <c r="FK131" s="830" t="str">
        <f>IFERROR(VLOOKUP($B131,'Historical Conc Grant Elig'!$B$3:$J$707,'HH &amp; SI'!FK$2,0),"N")</f>
        <v>N</v>
      </c>
      <c r="FL131" s="957" t="str">
        <f>IFERROR(VLOOKUP($B131,'Historical Conc Grant Elig'!$B$3:$J$707,'HH &amp; SI'!FL$2,0),"N")</f>
        <v>N</v>
      </c>
    </row>
    <row r="132" spans="2:168" x14ac:dyDescent="0.25">
      <c r="B132" s="634">
        <v>78101000</v>
      </c>
      <c r="C132" s="635" t="str">
        <f>VLOOKUP($B132,'Afton Update'!$A$5:$CR$582,'Afton Update'!D$589,0)</f>
        <v>LEAD Charter Schools dba Leading Edge Academy Queen Creek</v>
      </c>
      <c r="D132" s="636">
        <f>IFERROR(VLOOKUP($B132,'Afton FY16 Final'!$A$5:$BV$587,'Afton FY16 Final'!AQ$587,0),0)</f>
        <v>38399.495225718507</v>
      </c>
      <c r="E132" s="637">
        <f>IFERROR(VLOOKUP($B132,'Afton FY16 Final'!$A$5:$BV$587,'Afton FY16 Final'!AR$587,0),0)</f>
        <v>8988.9907444657565</v>
      </c>
      <c r="F132" s="637">
        <f>IFERROR(VLOOKUP($B132,'Afton FY16 Final'!$A$5:$BV$587,'Afton FY16 Final'!AS$587,0),0)</f>
        <v>19656.776890217516</v>
      </c>
      <c r="G132" s="637">
        <f>IFERROR(VLOOKUP($B132,'Afton FY16 Final'!$A$5:$BV$587,'Afton FY16 Final'!AT$587,0),0)</f>
        <v>19656.54960210721</v>
      </c>
      <c r="H132" s="638">
        <f>IFERROR(VLOOKUP($B132,'Afton FY16 Final'!$A$5:$BV$587,'Afton FY16 Final'!AU$587,0),0)</f>
        <v>86701.812462508999</v>
      </c>
      <c r="I132" s="639" t="str">
        <f>VLOOKUP($B132,'Afton Update'!$A$5:$CR$582,'Afton Update'!BT$589,0)</f>
        <v>Y</v>
      </c>
      <c r="J132" s="640" t="str">
        <f>VLOOKUP($B132,'Afton Update'!$A$5:$CR$582,'Afton Update'!BU$589,0)</f>
        <v>Y</v>
      </c>
      <c r="K132" s="640" t="str">
        <f>VLOOKUP($B132,'Afton Update'!$A$5:$CR$582,'Afton Update'!BV$589,0)</f>
        <v>Y</v>
      </c>
      <c r="L132" s="641" t="str">
        <f>VLOOKUP($B132,'Afton Update'!$A$5:$CR$582,'Afton Update'!BW$589,0)</f>
        <v>Y</v>
      </c>
      <c r="N132" s="642">
        <f>VLOOKUP($B132,'Afton Update'!$A$5:$CR$582,'Afton Update'!CB$589,0)</f>
        <v>0.9</v>
      </c>
      <c r="P132" s="636">
        <f>VLOOKUP($B132,'Afton Update'!$A$5:$CR$582,'Afton Update'!AH$589,0)</f>
        <v>41137.177552459572</v>
      </c>
      <c r="Q132" s="637">
        <f>VLOOKUP($B132,'Afton Update'!$A$5:$CR$582,'Afton Update'!AI$589,0)</f>
        <v>10637.923546729389</v>
      </c>
      <c r="R132" s="637">
        <f>VLOOKUP($B132,'Afton Update'!$A$5:$CR$582,'Afton Update'!AJ$589,0)</f>
        <v>24101.366999259088</v>
      </c>
      <c r="S132" s="637">
        <f>VLOOKUP($B132,'Afton Update'!$A$5:$CR$582,'Afton Update'!AK$589,0)</f>
        <v>22435.206732595649</v>
      </c>
      <c r="T132" s="643">
        <f t="shared" si="145"/>
        <v>98311.674831043696</v>
      </c>
      <c r="V132" s="636">
        <f t="shared" si="193"/>
        <v>40576.039749996853</v>
      </c>
      <c r="W132" s="637">
        <f t="shared" si="194"/>
        <v>10287.549238361982</v>
      </c>
      <c r="X132" s="637">
        <f t="shared" si="195"/>
        <v>23882.174476423777</v>
      </c>
      <c r="Y132" s="637">
        <f t="shared" si="196"/>
        <v>22188.011139837512</v>
      </c>
      <c r="Z132" s="643">
        <f t="shared" si="197"/>
        <v>96933.774604620136</v>
      </c>
      <c r="AB132" s="644">
        <f t="shared" si="146"/>
        <v>41137.177552459572</v>
      </c>
      <c r="AC132" s="645">
        <f t="shared" si="134"/>
        <v>34559.545703146658</v>
      </c>
      <c r="AD132" s="644">
        <f t="shared" si="198"/>
        <v>0</v>
      </c>
      <c r="AE132" s="645">
        <f t="shared" si="199"/>
        <v>41137.177552459572</v>
      </c>
      <c r="AF132" s="646">
        <f t="shared" si="200"/>
        <v>-509.92622952875786</v>
      </c>
      <c r="AG132" s="647">
        <f t="shared" si="201"/>
        <v>40627.251322930817</v>
      </c>
      <c r="AH132" s="644">
        <f t="shared" si="147"/>
        <v>0</v>
      </c>
      <c r="AI132" s="645">
        <f t="shared" si="148"/>
        <v>40627.251322930817</v>
      </c>
      <c r="AJ132" s="646">
        <f t="shared" si="202"/>
        <v>-51.178946198139116</v>
      </c>
      <c r="AK132" s="647">
        <f t="shared" si="149"/>
        <v>40576.072376732678</v>
      </c>
      <c r="AL132" s="644">
        <f t="shared" si="203"/>
        <v>0</v>
      </c>
      <c r="AM132" s="645">
        <f t="shared" si="204"/>
        <v>40576.072376732678</v>
      </c>
      <c r="AN132" s="646">
        <f t="shared" si="205"/>
        <v>-3.2626735823614215E-2</v>
      </c>
      <c r="AO132" s="647">
        <f t="shared" si="150"/>
        <v>40576.039749996853</v>
      </c>
      <c r="AP132" s="644">
        <f t="shared" si="206"/>
        <v>0</v>
      </c>
      <c r="AQ132" s="645">
        <f t="shared" si="207"/>
        <v>40576.039749996853</v>
      </c>
      <c r="AR132" s="646">
        <f t="shared" si="208"/>
        <v>0</v>
      </c>
      <c r="AS132" s="647">
        <f t="shared" si="151"/>
        <v>40576.039749996853</v>
      </c>
      <c r="AT132" s="644">
        <f t="shared" si="209"/>
        <v>0</v>
      </c>
      <c r="AU132" s="645">
        <f t="shared" si="210"/>
        <v>40576.039749996853</v>
      </c>
      <c r="AV132" s="646">
        <f t="shared" si="211"/>
        <v>0</v>
      </c>
      <c r="AW132" s="647">
        <f t="shared" si="152"/>
        <v>40576.039749996853</v>
      </c>
      <c r="AY132" s="644">
        <f t="shared" si="212"/>
        <v>10637.923546729389</v>
      </c>
      <c r="AZ132" s="645">
        <f t="shared" si="153"/>
        <v>8090.091670019181</v>
      </c>
      <c r="BA132" s="644">
        <f t="shared" si="213"/>
        <v>0</v>
      </c>
      <c r="BB132" s="645">
        <f t="shared" si="214"/>
        <v>10637.923546729389</v>
      </c>
      <c r="BC132" s="646">
        <f t="shared" si="215"/>
        <v>-76.500408439316331</v>
      </c>
      <c r="BD132" s="647">
        <f t="shared" si="216"/>
        <v>10561.423138290073</v>
      </c>
      <c r="BE132" s="644">
        <f t="shared" si="154"/>
        <v>0</v>
      </c>
      <c r="BF132" s="645">
        <f t="shared" si="155"/>
        <v>10561.423138290073</v>
      </c>
      <c r="BG132" s="646">
        <f t="shared" si="217"/>
        <v>-251.56449221515095</v>
      </c>
      <c r="BH132" s="647">
        <f t="shared" si="156"/>
        <v>10309.858646074921</v>
      </c>
      <c r="BI132" s="644">
        <f t="shared" si="218"/>
        <v>0</v>
      </c>
      <c r="BJ132" s="645">
        <f t="shared" si="219"/>
        <v>10309.858646074921</v>
      </c>
      <c r="BK132" s="646">
        <f t="shared" si="220"/>
        <v>-21.838702109600305</v>
      </c>
      <c r="BL132" s="647">
        <f t="shared" si="157"/>
        <v>10288.019943965321</v>
      </c>
      <c r="BM132" s="644">
        <f t="shared" si="221"/>
        <v>0</v>
      </c>
      <c r="BN132" s="645">
        <f t="shared" si="222"/>
        <v>10288.019943965321</v>
      </c>
      <c r="BO132" s="646">
        <f t="shared" si="223"/>
        <v>-0.47070560333937655</v>
      </c>
      <c r="BP132" s="647">
        <f t="shared" si="158"/>
        <v>10287.549238361982</v>
      </c>
      <c r="BQ132" s="644">
        <f t="shared" si="224"/>
        <v>0</v>
      </c>
      <c r="BR132" s="645">
        <f t="shared" si="225"/>
        <v>10287.549238361982</v>
      </c>
      <c r="BS132" s="646">
        <f t="shared" si="226"/>
        <v>0</v>
      </c>
      <c r="BT132" s="647">
        <f t="shared" si="159"/>
        <v>10287.549238361982</v>
      </c>
      <c r="BU132" s="662">
        <f>VLOOKUP(B132,'Afton Update'!$A$5:$AR$582,'Afton Update'!$AO$589,0)-BT132</f>
        <v>0</v>
      </c>
      <c r="BV132" s="644">
        <f t="shared" si="227"/>
        <v>24101.366999259088</v>
      </c>
      <c r="BW132" s="645">
        <f t="shared" si="135"/>
        <v>17691.099201195764</v>
      </c>
      <c r="BX132" s="644">
        <f t="shared" si="228"/>
        <v>0</v>
      </c>
      <c r="BY132" s="645">
        <f t="shared" si="229"/>
        <v>24101.366999259088</v>
      </c>
      <c r="BZ132" s="646">
        <f t="shared" si="230"/>
        <v>-211.54026058121005</v>
      </c>
      <c r="CA132" s="647">
        <f t="shared" si="231"/>
        <v>23889.826738677879</v>
      </c>
      <c r="CB132" s="644">
        <f t="shared" si="160"/>
        <v>0</v>
      </c>
      <c r="CC132" s="645">
        <f t="shared" si="161"/>
        <v>23889.826738677879</v>
      </c>
      <c r="CD132" s="646">
        <f t="shared" si="232"/>
        <v>-7.6522622541032224</v>
      </c>
      <c r="CE132" s="647">
        <f t="shared" si="162"/>
        <v>23882.174476423777</v>
      </c>
      <c r="CF132" s="644">
        <f t="shared" si="233"/>
        <v>0</v>
      </c>
      <c r="CG132" s="645">
        <f t="shared" si="234"/>
        <v>23882.174476423777</v>
      </c>
      <c r="CH132" s="646">
        <f t="shared" si="235"/>
        <v>0</v>
      </c>
      <c r="CI132" s="647">
        <f t="shared" si="163"/>
        <v>23882.174476423777</v>
      </c>
      <c r="CJ132" s="644">
        <f t="shared" si="236"/>
        <v>0</v>
      </c>
      <c r="CK132" s="645">
        <f t="shared" si="237"/>
        <v>23882.174476423777</v>
      </c>
      <c r="CL132" s="646">
        <f t="shared" si="238"/>
        <v>0</v>
      </c>
      <c r="CM132" s="647">
        <f t="shared" si="164"/>
        <v>23882.174476423777</v>
      </c>
      <c r="CN132" s="644">
        <f t="shared" si="239"/>
        <v>0</v>
      </c>
      <c r="CO132" s="645">
        <f t="shared" si="240"/>
        <v>23882.174476423777</v>
      </c>
      <c r="CP132" s="646">
        <f t="shared" si="241"/>
        <v>0</v>
      </c>
      <c r="CQ132" s="647">
        <f t="shared" si="165"/>
        <v>23882.174476423777</v>
      </c>
      <c r="CS132" s="644">
        <f t="shared" si="242"/>
        <v>22435.206732595649</v>
      </c>
      <c r="CT132" s="645">
        <f t="shared" si="136"/>
        <v>17690.894641896492</v>
      </c>
      <c r="CU132" s="644">
        <f t="shared" si="243"/>
        <v>0</v>
      </c>
      <c r="CV132" s="645">
        <f t="shared" si="244"/>
        <v>22435.206732595649</v>
      </c>
      <c r="CW132" s="646">
        <f t="shared" si="245"/>
        <v>-229.74919557013337</v>
      </c>
      <c r="CX132" s="647">
        <f t="shared" si="246"/>
        <v>22205.457537025515</v>
      </c>
      <c r="CY132" s="644">
        <f t="shared" si="166"/>
        <v>0</v>
      </c>
      <c r="CZ132" s="645">
        <f t="shared" si="167"/>
        <v>22205.457537025515</v>
      </c>
      <c r="DA132" s="646">
        <f t="shared" si="247"/>
        <v>-17.431364806977729</v>
      </c>
      <c r="DB132" s="647">
        <f t="shared" si="168"/>
        <v>22188.026172218539</v>
      </c>
      <c r="DC132" s="644">
        <f t="shared" si="248"/>
        <v>0</v>
      </c>
      <c r="DD132" s="645">
        <f t="shared" si="249"/>
        <v>22188.026172218539</v>
      </c>
      <c r="DE132" s="646">
        <f t="shared" si="250"/>
        <v>-1.5032381028208353E-2</v>
      </c>
      <c r="DF132" s="647">
        <f t="shared" si="169"/>
        <v>22188.011139837512</v>
      </c>
      <c r="DG132" s="644">
        <f t="shared" si="251"/>
        <v>0</v>
      </c>
      <c r="DH132" s="645">
        <f t="shared" si="252"/>
        <v>22188.011139837512</v>
      </c>
      <c r="DI132" s="646">
        <f t="shared" si="253"/>
        <v>0</v>
      </c>
      <c r="DJ132" s="647">
        <f t="shared" si="170"/>
        <v>22188.011139837512</v>
      </c>
      <c r="DK132" s="644">
        <f t="shared" si="254"/>
        <v>0</v>
      </c>
      <c r="DL132" s="645">
        <f t="shared" si="255"/>
        <v>22188.011139837512</v>
      </c>
      <c r="DM132" s="646">
        <f t="shared" si="256"/>
        <v>0</v>
      </c>
      <c r="DN132" s="647">
        <f t="shared" si="171"/>
        <v>22188.011139837512</v>
      </c>
      <c r="DR132" s="827">
        <f t="shared" si="172"/>
        <v>96933.774604620136</v>
      </c>
      <c r="DV132" s="828">
        <f>IFERROR(VLOOKUP($B132,'Afton FY16 Final'!$A$5:$BV$587,'Afton FY16 Final'!$BV$587,0),0)</f>
        <v>84994.65378948077</v>
      </c>
      <c r="DX132" s="636">
        <f t="shared" si="137"/>
        <v>96933.774604620136</v>
      </c>
      <c r="DY132" s="637">
        <f t="shared" si="138"/>
        <v>11939.120815139366</v>
      </c>
      <c r="DZ132" s="637">
        <f t="shared" si="139"/>
        <v>84994.65378948077</v>
      </c>
      <c r="EA132" s="643">
        <f t="shared" si="140"/>
        <v>91777.984171332268</v>
      </c>
      <c r="EB132" s="637">
        <f t="shared" si="173"/>
        <v>0</v>
      </c>
      <c r="EC132" s="637">
        <f t="shared" si="174"/>
        <v>91777.984171332268</v>
      </c>
      <c r="ED132" s="637">
        <f t="shared" si="175"/>
        <v>91504.307702388105</v>
      </c>
      <c r="EE132" s="643">
        <f t="shared" si="176"/>
        <v>91504.307702388105</v>
      </c>
      <c r="EF132" s="637">
        <f t="shared" si="177"/>
        <v>0</v>
      </c>
      <c r="EG132" s="637">
        <f t="shared" si="178"/>
        <v>91504.307702388105</v>
      </c>
      <c r="EH132" s="637">
        <f t="shared" si="179"/>
        <v>91504.213300965537</v>
      </c>
      <c r="EI132" s="643">
        <f t="shared" si="180"/>
        <v>91504.213300965537</v>
      </c>
      <c r="EJ132" s="637">
        <f t="shared" si="181"/>
        <v>0</v>
      </c>
      <c r="EK132" s="637">
        <f t="shared" si="182"/>
        <v>91504.213300965537</v>
      </c>
      <c r="EL132" s="637">
        <f t="shared" si="183"/>
        <v>91504.213300965406</v>
      </c>
      <c r="EM132" s="643">
        <f t="shared" si="184"/>
        <v>91504.213300965406</v>
      </c>
      <c r="EN132" s="637">
        <f t="shared" si="185"/>
        <v>0</v>
      </c>
      <c r="EO132" s="637">
        <f t="shared" si="186"/>
        <v>91504.213300965406</v>
      </c>
      <c r="EP132" s="637">
        <f t="shared" si="187"/>
        <v>91504.213300965552</v>
      </c>
      <c r="EQ132" s="643">
        <f t="shared" si="188"/>
        <v>91504.213300965552</v>
      </c>
      <c r="ER132" s="637">
        <f t="shared" si="189"/>
        <v>0</v>
      </c>
      <c r="ES132" s="637">
        <f t="shared" si="190"/>
        <v>91504.213300965552</v>
      </c>
      <c r="ET132" s="637">
        <f t="shared" si="191"/>
        <v>91504.213300965406</v>
      </c>
      <c r="EU132" s="643">
        <f t="shared" si="141"/>
        <v>91504.213300965406</v>
      </c>
      <c r="EV132" s="643">
        <f t="shared" si="142"/>
        <v>0</v>
      </c>
      <c r="EX132" s="829">
        <f t="shared" si="143"/>
        <v>5429.5613036547293</v>
      </c>
      <c r="EY132" s="638">
        <f t="shared" si="144"/>
        <v>91504.213300965406</v>
      </c>
      <c r="FC132" s="830" t="str">
        <f t="shared" si="192"/>
        <v>Y</v>
      </c>
      <c r="FE132" s="830" t="str">
        <f>IFERROR(VLOOKUP($B132,'Historical Conc Grant Elig'!$B$3:$J$707,'HH &amp; SI'!FE$2,0),"N")</f>
        <v>N</v>
      </c>
      <c r="FF132" s="830" t="str">
        <f>IFERROR(VLOOKUP($B132,'Historical Conc Grant Elig'!$B$3:$J$707,'HH &amp; SI'!FF$2,0),"N")</f>
        <v>N</v>
      </c>
      <c r="FG132" s="830" t="str">
        <f>IFERROR(VLOOKUP($B132,'Historical Conc Grant Elig'!$B$3:$J$707,'HH &amp; SI'!FG$2,0),"N")</f>
        <v>N</v>
      </c>
      <c r="FH132" s="830" t="str">
        <f>IFERROR(VLOOKUP($B132,'Historical Conc Grant Elig'!$B$3:$J$707,'HH &amp; SI'!FH$2,0),"N")</f>
        <v>Y</v>
      </c>
      <c r="FI132" s="830" t="str">
        <f>IFERROR(VLOOKUP($B132,'Historical Conc Grant Elig'!$B$3:$J$707,'HH &amp; SI'!FI$2,0),"N")</f>
        <v>Y</v>
      </c>
      <c r="FJ132" s="830" t="str">
        <f>IFERROR(VLOOKUP($B132,'Historical Conc Grant Elig'!$B$3:$J$707,'HH &amp; SI'!FJ$2,0),"N")</f>
        <v>Y</v>
      </c>
      <c r="FK132" s="830" t="str">
        <f>IFERROR(VLOOKUP($B132,'Historical Conc Grant Elig'!$B$3:$J$707,'HH &amp; SI'!FK$2,0),"N")</f>
        <v>Y</v>
      </c>
      <c r="FL132" s="957" t="str">
        <f>IFERROR(VLOOKUP($B132,'Historical Conc Grant Elig'!$B$3:$J$707,'HH &amp; SI'!FL$2,0),"N")</f>
        <v>Y</v>
      </c>
    </row>
    <row r="133" spans="2:168" x14ac:dyDescent="0.25">
      <c r="B133" s="634">
        <v>78103000</v>
      </c>
      <c r="C133" s="635" t="str">
        <f>VLOOKUP($B133,'Afton Update'!$A$5:$CR$582,'Afton Update'!D$589,0)</f>
        <v>Espiritu Community Development Corp.</v>
      </c>
      <c r="D133" s="636">
        <f>IFERROR(VLOOKUP($B133,'Afton FY16 Final'!$A$5:$BV$587,'Afton FY16 Final'!AQ$587,0),0)</f>
        <v>107744.84947593712</v>
      </c>
      <c r="E133" s="637">
        <f>IFERROR(VLOOKUP($B133,'Afton FY16 Final'!$A$5:$BV$587,'Afton FY16 Final'!AR$587,0),0)</f>
        <v>22709.907384697632</v>
      </c>
      <c r="F133" s="637">
        <f>IFERROR(VLOOKUP($B133,'Afton FY16 Final'!$A$5:$BV$587,'Afton FY16 Final'!AS$587,0),0)</f>
        <v>57127.893408164862</v>
      </c>
      <c r="G133" s="637">
        <f>IFERROR(VLOOKUP($B133,'Afton FY16 Final'!$A$5:$BV$587,'Afton FY16 Final'!AT$587,0),0)</f>
        <v>55042.33205600638</v>
      </c>
      <c r="H133" s="638">
        <f>IFERROR(VLOOKUP($B133,'Afton FY16 Final'!$A$5:$BV$587,'Afton FY16 Final'!AU$587,0),0)</f>
        <v>242624.98232480601</v>
      </c>
      <c r="I133" s="639" t="str">
        <f>VLOOKUP($B133,'Afton Update'!$A$5:$CR$582,'Afton Update'!BT$589,0)</f>
        <v>Y</v>
      </c>
      <c r="J133" s="640" t="str">
        <f>VLOOKUP($B133,'Afton Update'!$A$5:$CR$582,'Afton Update'!BU$589,0)</f>
        <v>Y</v>
      </c>
      <c r="K133" s="640" t="str">
        <f>VLOOKUP($B133,'Afton Update'!$A$5:$CR$582,'Afton Update'!BV$589,0)</f>
        <v>Y</v>
      </c>
      <c r="L133" s="641" t="str">
        <f>VLOOKUP($B133,'Afton Update'!$A$5:$CR$582,'Afton Update'!BW$589,0)</f>
        <v>Y</v>
      </c>
      <c r="N133" s="642">
        <f>VLOOKUP($B133,'Afton Update'!$A$5:$CR$582,'Afton Update'!CB$589,0)</f>
        <v>0.95</v>
      </c>
      <c r="P133" s="636">
        <f>VLOOKUP($B133,'Afton Update'!$A$5:$CR$582,'Afton Update'!AH$589,0)</f>
        <v>129151.60394376842</v>
      </c>
      <c r="Q133" s="637">
        <f>VLOOKUP($B133,'Afton Update'!$A$5:$CR$582,'Afton Update'!AI$589,0)</f>
        <v>28839.165385768421</v>
      </c>
      <c r="R133" s="637">
        <f>VLOOKUP($B133,'Afton Update'!$A$5:$CR$582,'Afton Update'!AJ$589,0)</f>
        <v>75612.865245109613</v>
      </c>
      <c r="S133" s="637">
        <f>VLOOKUP($B133,'Afton Update'!$A$5:$CR$582,'Afton Update'!AK$589,0)</f>
        <v>70385.6450744092</v>
      </c>
      <c r="T133" s="643">
        <f t="shared" si="145"/>
        <v>303989.27964905568</v>
      </c>
      <c r="V133" s="636">
        <f t="shared" si="193"/>
        <v>127389.89223836223</v>
      </c>
      <c r="W133" s="637">
        <f t="shared" si="194"/>
        <v>27889.308716697091</v>
      </c>
      <c r="X133" s="637">
        <f t="shared" si="195"/>
        <v>74925.195757632333</v>
      </c>
      <c r="Y133" s="637">
        <f t="shared" si="196"/>
        <v>69610.121966322389</v>
      </c>
      <c r="Z133" s="643">
        <f t="shared" si="197"/>
        <v>299814.51867901406</v>
      </c>
      <c r="AB133" s="644">
        <f t="shared" si="146"/>
        <v>129151.60394376842</v>
      </c>
      <c r="AC133" s="645">
        <f t="shared" ref="AC133:AC196" si="257">IF(I133="N",0,D133*$N133)</f>
        <v>102357.60700214027</v>
      </c>
      <c r="AD133" s="644">
        <f t="shared" si="198"/>
        <v>0</v>
      </c>
      <c r="AE133" s="645">
        <f t="shared" si="199"/>
        <v>129151.60394376842</v>
      </c>
      <c r="AF133" s="646">
        <f t="shared" si="200"/>
        <v>-1600.931185729821</v>
      </c>
      <c r="AG133" s="647">
        <f t="shared" si="201"/>
        <v>127550.67275803861</v>
      </c>
      <c r="AH133" s="644">
        <f t="shared" si="147"/>
        <v>0</v>
      </c>
      <c r="AI133" s="645">
        <f t="shared" si="148"/>
        <v>127550.67275803861</v>
      </c>
      <c r="AJ133" s="646">
        <f t="shared" si="202"/>
        <v>-160.67808690113441</v>
      </c>
      <c r="AK133" s="647">
        <f t="shared" si="149"/>
        <v>127389.99467113748</v>
      </c>
      <c r="AL133" s="644">
        <f t="shared" si="203"/>
        <v>0</v>
      </c>
      <c r="AM133" s="645">
        <f t="shared" si="204"/>
        <v>127389.99467113748</v>
      </c>
      <c r="AN133" s="646">
        <f t="shared" si="205"/>
        <v>-0.10243277526018416</v>
      </c>
      <c r="AO133" s="647">
        <f t="shared" si="150"/>
        <v>127389.89223836223</v>
      </c>
      <c r="AP133" s="644">
        <f t="shared" si="206"/>
        <v>0</v>
      </c>
      <c r="AQ133" s="645">
        <f t="shared" si="207"/>
        <v>127389.89223836223</v>
      </c>
      <c r="AR133" s="646">
        <f t="shared" si="208"/>
        <v>0</v>
      </c>
      <c r="AS133" s="647">
        <f t="shared" si="151"/>
        <v>127389.89223836223</v>
      </c>
      <c r="AT133" s="644">
        <f t="shared" si="209"/>
        <v>0</v>
      </c>
      <c r="AU133" s="645">
        <f t="shared" si="210"/>
        <v>127389.89223836223</v>
      </c>
      <c r="AV133" s="646">
        <f t="shared" si="211"/>
        <v>0</v>
      </c>
      <c r="AW133" s="647">
        <f t="shared" si="152"/>
        <v>127389.89223836223</v>
      </c>
      <c r="AY133" s="644">
        <f t="shared" si="212"/>
        <v>28839.165385768421</v>
      </c>
      <c r="AZ133" s="645">
        <f t="shared" si="153"/>
        <v>21574.412015462749</v>
      </c>
      <c r="BA133" s="644">
        <f t="shared" si="213"/>
        <v>0</v>
      </c>
      <c r="BB133" s="645">
        <f t="shared" si="214"/>
        <v>28839.165385768421</v>
      </c>
      <c r="BC133" s="646">
        <f t="shared" si="215"/>
        <v>-207.39084289984135</v>
      </c>
      <c r="BD133" s="647">
        <f t="shared" si="216"/>
        <v>28631.774542868581</v>
      </c>
      <c r="BE133" s="644">
        <f t="shared" si="154"/>
        <v>0</v>
      </c>
      <c r="BF133" s="645">
        <f t="shared" si="155"/>
        <v>28631.774542868581</v>
      </c>
      <c r="BG133" s="646">
        <f t="shared" si="217"/>
        <v>-681.98553639822876</v>
      </c>
      <c r="BH133" s="647">
        <f t="shared" si="156"/>
        <v>27949.789006470353</v>
      </c>
      <c r="BI133" s="644">
        <f t="shared" si="218"/>
        <v>0</v>
      </c>
      <c r="BJ133" s="645">
        <f t="shared" si="219"/>
        <v>27949.789006470353</v>
      </c>
      <c r="BK133" s="646">
        <f t="shared" si="220"/>
        <v>-59.204217738801752</v>
      </c>
      <c r="BL133" s="647">
        <f t="shared" si="157"/>
        <v>27890.58478873155</v>
      </c>
      <c r="BM133" s="644">
        <f t="shared" si="221"/>
        <v>0</v>
      </c>
      <c r="BN133" s="645">
        <f t="shared" si="222"/>
        <v>27890.58478873155</v>
      </c>
      <c r="BO133" s="646">
        <f t="shared" si="223"/>
        <v>-1.2760720344606844</v>
      </c>
      <c r="BP133" s="647">
        <f t="shared" si="158"/>
        <v>27889.308716697091</v>
      </c>
      <c r="BQ133" s="644">
        <f t="shared" si="224"/>
        <v>0</v>
      </c>
      <c r="BR133" s="645">
        <f t="shared" si="225"/>
        <v>27889.308716697091</v>
      </c>
      <c r="BS133" s="646">
        <f t="shared" si="226"/>
        <v>0</v>
      </c>
      <c r="BT133" s="647">
        <f t="shared" si="159"/>
        <v>27889.308716697091</v>
      </c>
      <c r="BU133" s="662">
        <f>VLOOKUP(B133,'Afton Update'!$A$5:$AR$582,'Afton Update'!$AO$589,0)-BT133</f>
        <v>0</v>
      </c>
      <c r="BV133" s="644">
        <f t="shared" si="227"/>
        <v>75612.865245109613</v>
      </c>
      <c r="BW133" s="645">
        <f t="shared" ref="BW133:BW196" si="258">IF($K133="N",0,F133*$N133)</f>
        <v>54271.498737756614</v>
      </c>
      <c r="BX133" s="644">
        <f t="shared" si="228"/>
        <v>0</v>
      </c>
      <c r="BY133" s="645">
        <f t="shared" si="229"/>
        <v>75612.865245109613</v>
      </c>
      <c r="BZ133" s="646">
        <f t="shared" si="230"/>
        <v>-663.66215732635112</v>
      </c>
      <c r="CA133" s="647">
        <f t="shared" si="231"/>
        <v>74949.203087783259</v>
      </c>
      <c r="CB133" s="644">
        <f t="shared" si="160"/>
        <v>0</v>
      </c>
      <c r="CC133" s="645">
        <f t="shared" si="161"/>
        <v>74949.203087783259</v>
      </c>
      <c r="CD133" s="646">
        <f t="shared" si="232"/>
        <v>-24.007330150921852</v>
      </c>
      <c r="CE133" s="647">
        <f t="shared" si="162"/>
        <v>74925.195757632333</v>
      </c>
      <c r="CF133" s="644">
        <f t="shared" si="233"/>
        <v>0</v>
      </c>
      <c r="CG133" s="645">
        <f t="shared" si="234"/>
        <v>74925.195757632333</v>
      </c>
      <c r="CH133" s="646">
        <f t="shared" si="235"/>
        <v>0</v>
      </c>
      <c r="CI133" s="647">
        <f t="shared" si="163"/>
        <v>74925.195757632333</v>
      </c>
      <c r="CJ133" s="644">
        <f t="shared" si="236"/>
        <v>0</v>
      </c>
      <c r="CK133" s="645">
        <f t="shared" si="237"/>
        <v>74925.195757632333</v>
      </c>
      <c r="CL133" s="646">
        <f t="shared" si="238"/>
        <v>0</v>
      </c>
      <c r="CM133" s="647">
        <f t="shared" si="164"/>
        <v>74925.195757632333</v>
      </c>
      <c r="CN133" s="644">
        <f t="shared" si="239"/>
        <v>0</v>
      </c>
      <c r="CO133" s="645">
        <f t="shared" si="240"/>
        <v>74925.195757632333</v>
      </c>
      <c r="CP133" s="646">
        <f t="shared" si="241"/>
        <v>0</v>
      </c>
      <c r="CQ133" s="647">
        <f t="shared" si="165"/>
        <v>74925.195757632333</v>
      </c>
      <c r="CS133" s="644">
        <f t="shared" si="242"/>
        <v>70385.6450744092</v>
      </c>
      <c r="CT133" s="645">
        <f t="shared" ref="CT133:CT196" si="259">IF($L133="N",0,G133*$N133)</f>
        <v>52290.215453206059</v>
      </c>
      <c r="CU133" s="644">
        <f t="shared" si="243"/>
        <v>0</v>
      </c>
      <c r="CV133" s="645">
        <f t="shared" si="244"/>
        <v>70385.6450744092</v>
      </c>
      <c r="CW133" s="646">
        <f t="shared" si="245"/>
        <v>-720.78878203675549</v>
      </c>
      <c r="CX133" s="647">
        <f t="shared" si="246"/>
        <v>69664.856292372438</v>
      </c>
      <c r="CY133" s="644">
        <f t="shared" si="166"/>
        <v>0</v>
      </c>
      <c r="CZ133" s="645">
        <f t="shared" si="167"/>
        <v>69664.856292372438</v>
      </c>
      <c r="DA133" s="646">
        <f t="shared" si="247"/>
        <v>-54.687165181496546</v>
      </c>
      <c r="DB133" s="647">
        <f t="shared" si="168"/>
        <v>69610.169127190937</v>
      </c>
      <c r="DC133" s="644">
        <f t="shared" si="248"/>
        <v>0</v>
      </c>
      <c r="DD133" s="645">
        <f t="shared" si="249"/>
        <v>69610.169127190937</v>
      </c>
      <c r="DE133" s="646">
        <f t="shared" si="250"/>
        <v>-4.7160868552974654E-2</v>
      </c>
      <c r="DF133" s="647">
        <f t="shared" si="169"/>
        <v>69610.121966322389</v>
      </c>
      <c r="DG133" s="644">
        <f t="shared" si="251"/>
        <v>0</v>
      </c>
      <c r="DH133" s="645">
        <f t="shared" si="252"/>
        <v>69610.121966322389</v>
      </c>
      <c r="DI133" s="646">
        <f t="shared" si="253"/>
        <v>0</v>
      </c>
      <c r="DJ133" s="647">
        <f t="shared" si="170"/>
        <v>69610.121966322389</v>
      </c>
      <c r="DK133" s="644">
        <f t="shared" si="254"/>
        <v>0</v>
      </c>
      <c r="DL133" s="645">
        <f t="shared" si="255"/>
        <v>69610.121966322389</v>
      </c>
      <c r="DM133" s="646">
        <f t="shared" si="256"/>
        <v>0</v>
      </c>
      <c r="DN133" s="647">
        <f t="shared" si="171"/>
        <v>69610.121966322389</v>
      </c>
      <c r="DR133" s="827">
        <f t="shared" si="172"/>
        <v>299814.51867901406</v>
      </c>
      <c r="DV133" s="828">
        <f>IFERROR(VLOOKUP($B133,'Afton FY16 Final'!$A$5:$BV$587,'Afton FY16 Final'!$BV$587,0),0)</f>
        <v>234023.50172253425</v>
      </c>
      <c r="DX133" s="636">
        <f t="shared" ref="DX133:DX196" si="260">IF(DR133&gt;DV133,DR133,0)</f>
        <v>299814.51867901406</v>
      </c>
      <c r="DY133" s="637">
        <f t="shared" ref="DY133:DY196" si="261">IF(DX133&gt;0,DX133-DV133,0)</f>
        <v>65791.016956479813</v>
      </c>
      <c r="DZ133" s="637">
        <f t="shared" ref="DZ133:DZ196" si="262">IF(DX133=0,0,DV133)</f>
        <v>234023.50172253425</v>
      </c>
      <c r="EA133" s="643">
        <f t="shared" ref="EA133:EA196" si="263">DX133/$DX$2*$EA$2</f>
        <v>283867.74642681301</v>
      </c>
      <c r="EB133" s="637">
        <f t="shared" si="173"/>
        <v>0</v>
      </c>
      <c r="EC133" s="637">
        <f t="shared" si="174"/>
        <v>283867.74642681301</v>
      </c>
      <c r="ED133" s="637">
        <f t="shared" si="175"/>
        <v>283021.26975606591</v>
      </c>
      <c r="EE133" s="643">
        <f t="shared" si="176"/>
        <v>283021.26975606591</v>
      </c>
      <c r="EF133" s="637">
        <f t="shared" si="177"/>
        <v>0</v>
      </c>
      <c r="EG133" s="637">
        <f t="shared" si="178"/>
        <v>283021.26975606591</v>
      </c>
      <c r="EH133" s="637">
        <f t="shared" si="179"/>
        <v>283020.97777406906</v>
      </c>
      <c r="EI133" s="643">
        <f t="shared" si="180"/>
        <v>283020.97777406906</v>
      </c>
      <c r="EJ133" s="637">
        <f t="shared" si="181"/>
        <v>0</v>
      </c>
      <c r="EK133" s="637">
        <f t="shared" si="182"/>
        <v>283020.97777406906</v>
      </c>
      <c r="EL133" s="637">
        <f t="shared" si="183"/>
        <v>283020.97777406865</v>
      </c>
      <c r="EM133" s="643">
        <f t="shared" si="184"/>
        <v>283020.97777406865</v>
      </c>
      <c r="EN133" s="637">
        <f t="shared" si="185"/>
        <v>0</v>
      </c>
      <c r="EO133" s="637">
        <f t="shared" si="186"/>
        <v>283020.97777406865</v>
      </c>
      <c r="EP133" s="637">
        <f t="shared" si="187"/>
        <v>283020.97777406912</v>
      </c>
      <c r="EQ133" s="643">
        <f t="shared" si="188"/>
        <v>283020.97777406912</v>
      </c>
      <c r="ER133" s="637">
        <f t="shared" si="189"/>
        <v>0</v>
      </c>
      <c r="ES133" s="637">
        <f t="shared" si="190"/>
        <v>283020.97777406912</v>
      </c>
      <c r="ET133" s="637">
        <f t="shared" si="191"/>
        <v>283020.97777406871</v>
      </c>
      <c r="EU133" s="643">
        <f t="shared" ref="EU133:EU196" si="264">$EJ133+$EF133+$EB133+ET133+ER133+EN133</f>
        <v>283020.97777406871</v>
      </c>
      <c r="EV133" s="643">
        <f t="shared" ref="EV133:EV196" si="265">IF(EU133&lt;$DZ133,$DZ133,0)</f>
        <v>0</v>
      </c>
      <c r="EX133" s="829">
        <f t="shared" ref="EX133:EX196" si="266">IF(EU133=0,0,DR133-EU133)</f>
        <v>16793.540904945345</v>
      </c>
      <c r="EY133" s="638">
        <f t="shared" ref="EY133:EY196" si="267">IF(EU133=0,DR133,EU133)</f>
        <v>283020.97777406871</v>
      </c>
      <c r="FC133" s="830" t="str">
        <f t="shared" si="192"/>
        <v>Y</v>
      </c>
      <c r="FE133" s="830" t="str">
        <f>IFERROR(VLOOKUP($B133,'Historical Conc Grant Elig'!$B$3:$J$707,'HH &amp; SI'!FE$2,0),"N")</f>
        <v>N</v>
      </c>
      <c r="FF133" s="830" t="str">
        <f>IFERROR(VLOOKUP($B133,'Historical Conc Grant Elig'!$B$3:$J$707,'HH &amp; SI'!FF$2,0),"N")</f>
        <v>N</v>
      </c>
      <c r="FG133" s="830" t="str">
        <f>IFERROR(VLOOKUP($B133,'Historical Conc Grant Elig'!$B$3:$J$707,'HH &amp; SI'!FG$2,0),"N")</f>
        <v>N</v>
      </c>
      <c r="FH133" s="830" t="str">
        <f>IFERROR(VLOOKUP($B133,'Historical Conc Grant Elig'!$B$3:$J$707,'HH &amp; SI'!FH$2,0),"N")</f>
        <v>N</v>
      </c>
      <c r="FI133" s="830" t="str">
        <f>IFERROR(VLOOKUP($B133,'Historical Conc Grant Elig'!$B$3:$J$707,'HH &amp; SI'!FI$2,0),"N")</f>
        <v>N</v>
      </c>
      <c r="FJ133" s="830" t="str">
        <f>IFERROR(VLOOKUP($B133,'Historical Conc Grant Elig'!$B$3:$J$707,'HH &amp; SI'!FJ$2,0),"N")</f>
        <v>Y</v>
      </c>
      <c r="FK133" s="830" t="str">
        <f>IFERROR(VLOOKUP($B133,'Historical Conc Grant Elig'!$B$3:$J$707,'HH &amp; SI'!FK$2,0),"N")</f>
        <v>Y</v>
      </c>
      <c r="FL133" s="957" t="str">
        <f>IFERROR(VLOOKUP($B133,'Historical Conc Grant Elig'!$B$3:$J$707,'HH &amp; SI'!FL$2,0),"N")</f>
        <v>Y</v>
      </c>
    </row>
    <row r="134" spans="2:168" x14ac:dyDescent="0.25">
      <c r="B134" s="634">
        <v>78202000</v>
      </c>
      <c r="C134" s="635" t="str">
        <f>VLOOKUP($B134,'Afton Update'!$A$5:$CR$582,'Afton Update'!D$589,0)</f>
        <v>EAGLE College Prep II  Inc. dba EAGLE College Prep Harmony</v>
      </c>
      <c r="D134" s="636">
        <f>IFERROR(VLOOKUP($B134,'Afton FY16 Final'!$A$5:$BV$587,'Afton FY16 Final'!AQ$587,0),0)</f>
        <v>38900.072349806265</v>
      </c>
      <c r="E134" s="637">
        <f>IFERROR(VLOOKUP($B134,'Afton FY16 Final'!$A$5:$BV$587,'Afton FY16 Final'!AR$587,0),0)</f>
        <v>9807.4313861637966</v>
      </c>
      <c r="F134" s="637">
        <f>IFERROR(VLOOKUP($B134,'Afton FY16 Final'!$A$5:$BV$587,'Afton FY16 Final'!AS$587,0),0)</f>
        <v>21111.526205825867</v>
      </c>
      <c r="G134" s="637">
        <f>IFERROR(VLOOKUP($B134,'Afton FY16 Final'!$A$5:$BV$587,'Afton FY16 Final'!AT$587,0),0)</f>
        <v>18563.345435289579</v>
      </c>
      <c r="H134" s="638">
        <f>IFERROR(VLOOKUP($B134,'Afton FY16 Final'!$A$5:$BV$587,'Afton FY16 Final'!AU$587,0),0)</f>
        <v>88382.375377085511</v>
      </c>
      <c r="I134" s="639" t="str">
        <f>VLOOKUP($B134,'Afton Update'!$A$5:$CR$582,'Afton Update'!BT$589,0)</f>
        <v>Y</v>
      </c>
      <c r="J134" s="640" t="str">
        <f>VLOOKUP($B134,'Afton Update'!$A$5:$CR$582,'Afton Update'!BU$589,0)</f>
        <v>Y</v>
      </c>
      <c r="K134" s="640" t="str">
        <f>VLOOKUP($B134,'Afton Update'!$A$5:$CR$582,'Afton Update'!BV$589,0)</f>
        <v>Y</v>
      </c>
      <c r="L134" s="641" t="str">
        <f>VLOOKUP($B134,'Afton Update'!$A$5:$CR$582,'Afton Update'!BW$589,0)</f>
        <v>Y</v>
      </c>
      <c r="N134" s="642">
        <f>VLOOKUP($B134,'Afton Update'!$A$5:$CR$582,'Afton Update'!CB$589,0)</f>
        <v>0.95</v>
      </c>
      <c r="P134" s="636">
        <f>VLOOKUP($B134,'Afton Update'!$A$5:$CR$582,'Afton Update'!AH$589,0)</f>
        <v>58357.391411628691</v>
      </c>
      <c r="Q134" s="637">
        <f>VLOOKUP($B134,'Afton Update'!$A$5:$CR$582,'Afton Update'!AI$589,0)</f>
        <v>14199.036080454416</v>
      </c>
      <c r="R134" s="637">
        <f>VLOOKUP($B134,'Afton Update'!$A$5:$CR$582,'Afton Update'!AJ$589,0)</f>
        <v>34179.703612577672</v>
      </c>
      <c r="S134" s="637">
        <f>VLOOKUP($B134,'Afton Update'!$A$5:$CR$582,'Afton Update'!AK$589,0)</f>
        <v>31816.814234254824</v>
      </c>
      <c r="T134" s="643">
        <f t="shared" ref="T134:T198" si="268">SUM(P134:S134)</f>
        <v>138552.9453389156</v>
      </c>
      <c r="V134" s="636">
        <f t="shared" si="193"/>
        <v>57561.358715111804</v>
      </c>
      <c r="W134" s="637">
        <f t="shared" si="194"/>
        <v>13731.371744992764</v>
      </c>
      <c r="X134" s="637">
        <f t="shared" si="195"/>
        <v>33868.852553181976</v>
      </c>
      <c r="Y134" s="637">
        <f t="shared" si="196"/>
        <v>31466.250214584554</v>
      </c>
      <c r="Z134" s="643">
        <f t="shared" si="197"/>
        <v>136627.8332278711</v>
      </c>
      <c r="AB134" s="644">
        <f t="shared" ref="AB134:AB198" si="269">IF(P134="",0,P134)</f>
        <v>58357.391411628691</v>
      </c>
      <c r="AC134" s="645">
        <f t="shared" si="257"/>
        <v>36955.068732315951</v>
      </c>
      <c r="AD134" s="644">
        <f t="shared" si="198"/>
        <v>0</v>
      </c>
      <c r="AE134" s="645">
        <f t="shared" si="199"/>
        <v>58357.391411628691</v>
      </c>
      <c r="AF134" s="646">
        <f t="shared" si="200"/>
        <v>-723.38372095940053</v>
      </c>
      <c r="AG134" s="647">
        <f t="shared" si="201"/>
        <v>57634.007690669292</v>
      </c>
      <c r="AH134" s="644">
        <f t="shared" ref="AH134:AH198" si="270">IF(AG134-AC134&lt;0,AG134-AC134,0)</f>
        <v>0</v>
      </c>
      <c r="AI134" s="645">
        <f t="shared" ref="AI134:AI198" si="271">IF(AND(AH134=0,AD134=0),AG134,0)</f>
        <v>57634.007690669292</v>
      </c>
      <c r="AJ134" s="646">
        <f t="shared" si="202"/>
        <v>-72.602691118290366</v>
      </c>
      <c r="AK134" s="647">
        <f t="shared" ref="AK134:AK198" si="272">AG134-AH134+AJ134</f>
        <v>57561.404999550999</v>
      </c>
      <c r="AL134" s="644">
        <f t="shared" si="203"/>
        <v>0</v>
      </c>
      <c r="AM134" s="645">
        <f t="shared" si="204"/>
        <v>57561.404999550999</v>
      </c>
      <c r="AN134" s="646">
        <f t="shared" si="205"/>
        <v>-4.6284439191638764E-2</v>
      </c>
      <c r="AO134" s="647">
        <f t="shared" ref="AO134:AO198" si="273">AK134-AL134+AN134</f>
        <v>57561.358715111804</v>
      </c>
      <c r="AP134" s="644">
        <f t="shared" si="206"/>
        <v>0</v>
      </c>
      <c r="AQ134" s="645">
        <f t="shared" si="207"/>
        <v>57561.358715111804</v>
      </c>
      <c r="AR134" s="646">
        <f t="shared" si="208"/>
        <v>0</v>
      </c>
      <c r="AS134" s="647">
        <f t="shared" ref="AS134:AS198" si="274">AO134-AP134+AR134</f>
        <v>57561.358715111804</v>
      </c>
      <c r="AT134" s="644">
        <f t="shared" si="209"/>
        <v>0</v>
      </c>
      <c r="AU134" s="645">
        <f t="shared" si="210"/>
        <v>57561.358715111804</v>
      </c>
      <c r="AV134" s="646">
        <f t="shared" si="211"/>
        <v>0</v>
      </c>
      <c r="AW134" s="647">
        <f t="shared" ref="AW134:AW198" si="275">AS134-AT134+AV134</f>
        <v>57561.358715111804</v>
      </c>
      <c r="AY134" s="644">
        <f t="shared" si="212"/>
        <v>14199.036080454416</v>
      </c>
      <c r="AZ134" s="645">
        <f t="shared" ref="AZ134:AZ197" si="276">IF(AND($J134="N",FC134="N"),0,E134*$N134)</f>
        <v>9317.0598168556062</v>
      </c>
      <c r="BA134" s="644">
        <f t="shared" si="213"/>
        <v>0</v>
      </c>
      <c r="BB134" s="645">
        <f t="shared" si="214"/>
        <v>14199.036080454416</v>
      </c>
      <c r="BC134" s="646">
        <f t="shared" si="215"/>
        <v>-102.10940648594078</v>
      </c>
      <c r="BD134" s="647">
        <f t="shared" si="216"/>
        <v>14096.926673968475</v>
      </c>
      <c r="BE134" s="644">
        <f t="shared" ref="BE134:BE198" si="277">IF(BD134-AZ134&lt;0,BD134-AZ134,0)</f>
        <v>0</v>
      </c>
      <c r="BF134" s="645">
        <f t="shared" ref="BF134:BF198" si="278">IF(AND(BE134=0,BA134=0),BD134,0)</f>
        <v>14096.926673968475</v>
      </c>
      <c r="BG134" s="646">
        <f t="shared" si="217"/>
        <v>-335.77730520749219</v>
      </c>
      <c r="BH134" s="647">
        <f t="shared" ref="BH134:BH198" si="279">BD134-BE134+BG134</f>
        <v>13761.149368760984</v>
      </c>
      <c r="BI134" s="644">
        <f t="shared" si="218"/>
        <v>0</v>
      </c>
      <c r="BJ134" s="645">
        <f t="shared" si="219"/>
        <v>13761.149368760984</v>
      </c>
      <c r="BK134" s="646">
        <f t="shared" si="220"/>
        <v>-29.149346471835369</v>
      </c>
      <c r="BL134" s="647">
        <f t="shared" ref="BL134:BL198" si="280">BH134-BI134+BK134</f>
        <v>13732.000022289149</v>
      </c>
      <c r="BM134" s="644">
        <f t="shared" si="221"/>
        <v>0</v>
      </c>
      <c r="BN134" s="645">
        <f t="shared" si="222"/>
        <v>13732.000022289149</v>
      </c>
      <c r="BO134" s="646">
        <f t="shared" si="223"/>
        <v>-0.62827729638484986</v>
      </c>
      <c r="BP134" s="647">
        <f t="shared" ref="BP134:BP198" si="281">BL134-BM134+BO134</f>
        <v>13731.371744992764</v>
      </c>
      <c r="BQ134" s="644">
        <f t="shared" si="224"/>
        <v>0</v>
      </c>
      <c r="BR134" s="645">
        <f t="shared" si="225"/>
        <v>13731.371744992764</v>
      </c>
      <c r="BS134" s="646">
        <f t="shared" si="226"/>
        <v>0</v>
      </c>
      <c r="BT134" s="647">
        <f t="shared" ref="BT134:BT198" si="282">BP134-BQ134+BS134</f>
        <v>13731.371744992764</v>
      </c>
      <c r="BU134" s="662">
        <f>VLOOKUP(B134,'Afton Update'!$A$5:$AR$582,'Afton Update'!$AO$589,0)-BT134</f>
        <v>0</v>
      </c>
      <c r="BV134" s="644">
        <f t="shared" si="227"/>
        <v>34179.703612577672</v>
      </c>
      <c r="BW134" s="645">
        <f t="shared" si="258"/>
        <v>20055.949895534573</v>
      </c>
      <c r="BX134" s="644">
        <f t="shared" si="228"/>
        <v>0</v>
      </c>
      <c r="BY134" s="645">
        <f t="shared" si="229"/>
        <v>34179.703612577672</v>
      </c>
      <c r="BZ134" s="646">
        <f t="shared" si="230"/>
        <v>-299.99889255308545</v>
      </c>
      <c r="CA134" s="647">
        <f t="shared" si="231"/>
        <v>33879.704720024587</v>
      </c>
      <c r="CB134" s="644">
        <f t="shared" ref="CB134:CB198" si="283">IF(CA134-BW134&lt;0,CA134-BW134,0)</f>
        <v>0</v>
      </c>
      <c r="CC134" s="645">
        <f t="shared" ref="CC134:CC198" si="284">IF(AND(CB134=0,BX134=0),CA134,0)</f>
        <v>33879.704720024587</v>
      </c>
      <c r="CD134" s="646">
        <f t="shared" si="232"/>
        <v>-10.852166842611217</v>
      </c>
      <c r="CE134" s="647">
        <f t="shared" ref="CE134:CE198" si="285">CA134-CB134+CD134</f>
        <v>33868.852553181976</v>
      </c>
      <c r="CF134" s="644">
        <f t="shared" si="233"/>
        <v>0</v>
      </c>
      <c r="CG134" s="645">
        <f t="shared" si="234"/>
        <v>33868.852553181976</v>
      </c>
      <c r="CH134" s="646">
        <f t="shared" si="235"/>
        <v>0</v>
      </c>
      <c r="CI134" s="647">
        <f t="shared" ref="CI134:CI198" si="286">CE134-CF134+CH134</f>
        <v>33868.852553181976</v>
      </c>
      <c r="CJ134" s="644">
        <f t="shared" si="236"/>
        <v>0</v>
      </c>
      <c r="CK134" s="645">
        <f t="shared" si="237"/>
        <v>33868.852553181976</v>
      </c>
      <c r="CL134" s="646">
        <f t="shared" si="238"/>
        <v>0</v>
      </c>
      <c r="CM134" s="647">
        <f t="shared" ref="CM134:CM198" si="287">CI134-CJ134+CL134</f>
        <v>33868.852553181976</v>
      </c>
      <c r="CN134" s="644">
        <f t="shared" si="239"/>
        <v>0</v>
      </c>
      <c r="CO134" s="645">
        <f t="shared" si="240"/>
        <v>33868.852553181976</v>
      </c>
      <c r="CP134" s="646">
        <f t="shared" si="241"/>
        <v>0</v>
      </c>
      <c r="CQ134" s="647">
        <f t="shared" ref="CQ134:CQ198" si="288">CM134-CN134+CP134</f>
        <v>33868.852553181976</v>
      </c>
      <c r="CS134" s="644">
        <f t="shared" si="242"/>
        <v>31816.814234254824</v>
      </c>
      <c r="CT134" s="645">
        <f t="shared" si="259"/>
        <v>17635.178163525099</v>
      </c>
      <c r="CU134" s="644">
        <f t="shared" si="243"/>
        <v>0</v>
      </c>
      <c r="CV134" s="645">
        <f t="shared" si="244"/>
        <v>31816.814234254824</v>
      </c>
      <c r="CW134" s="646">
        <f t="shared" si="245"/>
        <v>-325.82215813968986</v>
      </c>
      <c r="CX134" s="647">
        <f t="shared" si="246"/>
        <v>31490.992076115133</v>
      </c>
      <c r="CY134" s="644">
        <f t="shared" ref="CY134:CY198" si="289">IF(CX134-CT134&lt;0,CX134-CT134,0)</f>
        <v>0</v>
      </c>
      <c r="CZ134" s="645">
        <f t="shared" ref="CZ134:CZ198" si="290">IF(AND(CY134=0,CU134=0),CX134,0)</f>
        <v>31490.992076115133</v>
      </c>
      <c r="DA134" s="646">
        <f t="shared" si="247"/>
        <v>-24.720543141122718</v>
      </c>
      <c r="DB134" s="647">
        <f t="shared" ref="DB134:DB198" si="291">CX134-CY134+DA134</f>
        <v>31466.271532974009</v>
      </c>
      <c r="DC134" s="644">
        <f t="shared" si="248"/>
        <v>0</v>
      </c>
      <c r="DD134" s="645">
        <f t="shared" si="249"/>
        <v>31466.271532974009</v>
      </c>
      <c r="DE134" s="646">
        <f t="shared" si="250"/>
        <v>-2.1318389456966978E-2</v>
      </c>
      <c r="DF134" s="647">
        <f t="shared" ref="DF134:DF198" si="292">DB134-DC134+DE134</f>
        <v>31466.250214584554</v>
      </c>
      <c r="DG134" s="644">
        <f t="shared" si="251"/>
        <v>0</v>
      </c>
      <c r="DH134" s="645">
        <f t="shared" si="252"/>
        <v>31466.250214584554</v>
      </c>
      <c r="DI134" s="646">
        <f t="shared" si="253"/>
        <v>0</v>
      </c>
      <c r="DJ134" s="647">
        <f t="shared" ref="DJ134:DJ198" si="293">DF134-DG134+DI134</f>
        <v>31466.250214584554</v>
      </c>
      <c r="DK134" s="644">
        <f t="shared" si="254"/>
        <v>0</v>
      </c>
      <c r="DL134" s="645">
        <f t="shared" si="255"/>
        <v>31466.250214584554</v>
      </c>
      <c r="DM134" s="646">
        <f t="shared" si="256"/>
        <v>0</v>
      </c>
      <c r="DN134" s="647">
        <f t="shared" ref="DN134:DN198" si="294">DJ134-DK134+DM134</f>
        <v>31466.250214584554</v>
      </c>
      <c r="DR134" s="827">
        <f t="shared" ref="DR134:DR197" si="295">Z134</f>
        <v>136627.8332278711</v>
      </c>
      <c r="DV134" s="828">
        <f>IFERROR(VLOOKUP($B134,'Afton FY16 Final'!$A$5:$BV$587,'Afton FY16 Final'!$BV$587,0),0)</f>
        <v>79383.383131101771</v>
      </c>
      <c r="DX134" s="636">
        <f t="shared" si="260"/>
        <v>136627.8332278711</v>
      </c>
      <c r="DY134" s="637">
        <f t="shared" si="261"/>
        <v>57244.450096769331</v>
      </c>
      <c r="DZ134" s="637">
        <f t="shared" si="262"/>
        <v>79383.383131101771</v>
      </c>
      <c r="EA134" s="643">
        <f t="shared" si="263"/>
        <v>129360.76374305674</v>
      </c>
      <c r="EB134" s="637">
        <f t="shared" ref="EB134:EB197" si="296">IF(EA134&lt;$DZ134,$DZ134,0)</f>
        <v>0</v>
      </c>
      <c r="EC134" s="637">
        <f t="shared" ref="EC134:EC197" si="297">IF(EB134=0,EA134,0)</f>
        <v>129360.76374305674</v>
      </c>
      <c r="ED134" s="637">
        <f t="shared" ref="ED134:ED197" si="298">EC134/EC$2*ED$2</f>
        <v>128975.01766941199</v>
      </c>
      <c r="EE134" s="643">
        <f t="shared" ref="EE134:EE197" si="299">ED134+EB134</f>
        <v>128975.01766941199</v>
      </c>
      <c r="EF134" s="637">
        <f t="shared" ref="EF134:EF197" si="300">IF(EE134&lt;$DZ134,$DZ134,0)</f>
        <v>0</v>
      </c>
      <c r="EG134" s="637">
        <f t="shared" ref="EG134:EG197" si="301">IF(EB134+EF134=0,EE134,0)</f>
        <v>128975.01766941199</v>
      </c>
      <c r="EH134" s="637">
        <f t="shared" ref="EH134:EH197" si="302">EG134/EG$2*EH$2</f>
        <v>128974.88461092052</v>
      </c>
      <c r="EI134" s="643">
        <f t="shared" ref="EI134:EI197" si="303">EH134+EF134+EB134</f>
        <v>128974.88461092052</v>
      </c>
      <c r="EJ134" s="637">
        <f t="shared" ref="EJ134:EJ197" si="304">IF(EI134&lt;$DZ134,$DZ134,0)</f>
        <v>0</v>
      </c>
      <c r="EK134" s="637">
        <f t="shared" ref="EK134:EK197" si="305">IF($EB134+$EF134+$EJ134=0,EI134,0)</f>
        <v>128974.88461092052</v>
      </c>
      <c r="EL134" s="637">
        <f t="shared" ref="EL134:EL197" si="306">EK134/EK$2*EL$2</f>
        <v>128974.88461092033</v>
      </c>
      <c r="EM134" s="643">
        <f t="shared" ref="EM134:EM197" si="307">$EJ134+$EF134+$EB134+EL134</f>
        <v>128974.88461092033</v>
      </c>
      <c r="EN134" s="637">
        <f t="shared" ref="EN134:EN197" si="308">IF(EM134&lt;$DZ134,$DZ134,0)</f>
        <v>0</v>
      </c>
      <c r="EO134" s="637">
        <f t="shared" ref="EO134:EO197" si="309">IF($EB134+$EF134+$EJ134+EN134=0,EM134,0)</f>
        <v>128974.88461092033</v>
      </c>
      <c r="EP134" s="637">
        <f t="shared" ref="EP134:EP197" si="310">EO134/EO$2*EP$2</f>
        <v>128974.88461092053</v>
      </c>
      <c r="EQ134" s="643">
        <f t="shared" ref="EQ134:EQ197" si="311">$EJ134+$EF134+$EB134+EP134+EN134</f>
        <v>128974.88461092053</v>
      </c>
      <c r="ER134" s="637">
        <f t="shared" ref="ER134:ER197" si="312">IF(EQ134&lt;$DZ134,$DZ134,0)</f>
        <v>0</v>
      </c>
      <c r="ES134" s="637">
        <f t="shared" ref="ES134:ES197" si="313">IF($EB134+$EF134+$EJ134+EN134+ER134=0,EQ134,0)</f>
        <v>128974.88461092053</v>
      </c>
      <c r="ET134" s="637">
        <f t="shared" ref="ET134:ET197" si="314">ES134/ES$2*ET$2</f>
        <v>128974.88461092033</v>
      </c>
      <c r="EU134" s="643">
        <f t="shared" si="264"/>
        <v>128974.88461092033</v>
      </c>
      <c r="EV134" s="643">
        <f t="shared" si="265"/>
        <v>0</v>
      </c>
      <c r="EX134" s="829">
        <f t="shared" si="266"/>
        <v>7652.9486169507727</v>
      </c>
      <c r="EY134" s="638">
        <f t="shared" si="267"/>
        <v>128974.88461092033</v>
      </c>
      <c r="FC134" s="830" t="str">
        <f t="shared" ref="FC134:FC197" si="315">IF(OR(FH134="y",FI134="y",FJ134="y",FK134="y"),"Y","N")</f>
        <v>Y</v>
      </c>
      <c r="FE134" s="830" t="str">
        <f>IFERROR(VLOOKUP($B134,'Historical Conc Grant Elig'!$B$3:$J$707,'HH &amp; SI'!FE$2,0),"N")</f>
        <v>N</v>
      </c>
      <c r="FF134" s="830" t="str">
        <f>IFERROR(VLOOKUP($B134,'Historical Conc Grant Elig'!$B$3:$J$707,'HH &amp; SI'!FF$2,0),"N")</f>
        <v>N</v>
      </c>
      <c r="FG134" s="830" t="str">
        <f>IFERROR(VLOOKUP($B134,'Historical Conc Grant Elig'!$B$3:$J$707,'HH &amp; SI'!FG$2,0),"N")</f>
        <v>N</v>
      </c>
      <c r="FH134" s="830" t="str">
        <f>IFERROR(VLOOKUP($B134,'Historical Conc Grant Elig'!$B$3:$J$707,'HH &amp; SI'!FH$2,0),"N")</f>
        <v>Y</v>
      </c>
      <c r="FI134" s="830" t="str">
        <f>IFERROR(VLOOKUP($B134,'Historical Conc Grant Elig'!$B$3:$J$707,'HH &amp; SI'!FI$2,0),"N")</f>
        <v>Y</v>
      </c>
      <c r="FJ134" s="830" t="str">
        <f>IFERROR(VLOOKUP($B134,'Historical Conc Grant Elig'!$B$3:$J$707,'HH &amp; SI'!FJ$2,0),"N")</f>
        <v>Y</v>
      </c>
      <c r="FK134" s="830" t="str">
        <f>IFERROR(VLOOKUP($B134,'Historical Conc Grant Elig'!$B$3:$J$707,'HH &amp; SI'!FK$2,0),"N")</f>
        <v>Y</v>
      </c>
      <c r="FL134" s="957" t="str">
        <f>IFERROR(VLOOKUP($B134,'Historical Conc Grant Elig'!$B$3:$J$707,'HH &amp; SI'!FL$2,0),"N")</f>
        <v>Y</v>
      </c>
    </row>
    <row r="135" spans="2:168" x14ac:dyDescent="0.25">
      <c r="B135" s="634">
        <v>78204000</v>
      </c>
      <c r="C135" s="635" t="str">
        <f>VLOOKUP($B135,'Afton Update'!$A$5:$CR$582,'Afton Update'!D$589,0)</f>
        <v>Hirsch Academy A Challenge Foundation</v>
      </c>
      <c r="D135" s="636">
        <f>IFERROR(VLOOKUP($B135,'Afton FY16 Final'!$A$5:$BV$587,'Afton FY16 Final'!AQ$587,0),0)</f>
        <v>37951.518407852222</v>
      </c>
      <c r="E135" s="637">
        <f>IFERROR(VLOOKUP($B135,'Afton FY16 Final'!$A$5:$BV$587,'Afton FY16 Final'!AR$587,0),0)</f>
        <v>9614.8571175289635</v>
      </c>
      <c r="F135" s="637">
        <f>IFERROR(VLOOKUP($B135,'Afton FY16 Final'!$A$5:$BV$587,'Afton FY16 Final'!AS$587,0),0)</f>
        <v>20596.734839292534</v>
      </c>
      <c r="G135" s="637">
        <f>IFERROR(VLOOKUP($B135,'Afton FY16 Final'!$A$5:$BV$587,'Afton FY16 Final'!AT$587,0),0)</f>
        <v>17294.220593699625</v>
      </c>
      <c r="H135" s="638">
        <f>IFERROR(VLOOKUP($B135,'Afton FY16 Final'!$A$5:$BV$587,'Afton FY16 Final'!AU$587,0),0)</f>
        <v>85457.33095837335</v>
      </c>
      <c r="I135" s="639" t="str">
        <f>VLOOKUP($B135,'Afton Update'!$A$5:$CR$582,'Afton Update'!BT$589,0)</f>
        <v>Y</v>
      </c>
      <c r="J135" s="640" t="str">
        <f>VLOOKUP($B135,'Afton Update'!$A$5:$CR$582,'Afton Update'!BU$589,0)</f>
        <v>Y</v>
      </c>
      <c r="K135" s="640" t="str">
        <f>VLOOKUP($B135,'Afton Update'!$A$5:$CR$582,'Afton Update'!BV$589,0)</f>
        <v>Y</v>
      </c>
      <c r="L135" s="641" t="str">
        <f>VLOOKUP($B135,'Afton Update'!$A$5:$CR$582,'Afton Update'!BW$589,0)</f>
        <v>Y</v>
      </c>
      <c r="N135" s="642">
        <f>VLOOKUP($B135,'Afton Update'!$A$5:$CR$582,'Afton Update'!CB$589,0)</f>
        <v>0.95</v>
      </c>
      <c r="P135" s="636">
        <f>VLOOKUP($B135,'Afton Update'!$A$5:$CR$582,'Afton Update'!AH$589,0)</f>
        <v>40898.007915526665</v>
      </c>
      <c r="Q135" s="637">
        <f>VLOOKUP($B135,'Afton Update'!$A$5:$CR$582,'Afton Update'!AI$589,0)</f>
        <v>10588.463650427653</v>
      </c>
      <c r="R135" s="637">
        <f>VLOOKUP($B135,'Afton Update'!$A$5:$CR$582,'Afton Update'!AJ$589,0)</f>
        <v>23961.390101851885</v>
      </c>
      <c r="S135" s="637">
        <f>VLOOKUP($B135,'Afton Update'!$A$5:$CR$582,'Afton Update'!AK$589,0)</f>
        <v>22304.906628405937</v>
      </c>
      <c r="T135" s="643">
        <f t="shared" si="268"/>
        <v>97752.768296212133</v>
      </c>
      <c r="V135" s="636">
        <f t="shared" ref="V135:V199" si="316">AW135</f>
        <v>40340.132542148029</v>
      </c>
      <c r="W135" s="637">
        <f t="shared" ref="W135:W199" si="317">BT135</f>
        <v>10239.718370214332</v>
      </c>
      <c r="X135" s="637">
        <f t="shared" ref="X135:X199" si="318">CQ135</f>
        <v>23743.470614246577</v>
      </c>
      <c r="Y135" s="637">
        <f t="shared" ref="Y135:Y199" si="319">DN135</f>
        <v>22059.146708243799</v>
      </c>
      <c r="Z135" s="643">
        <f t="shared" ref="Z135:Z199" si="320">SUM(V135:Y135)</f>
        <v>96382.468234852742</v>
      </c>
      <c r="AB135" s="644">
        <f t="shared" si="269"/>
        <v>40898.007915526665</v>
      </c>
      <c r="AC135" s="645">
        <f t="shared" si="257"/>
        <v>36053.942487459608</v>
      </c>
      <c r="AD135" s="644">
        <f t="shared" ref="AD135:AD199" si="321">IF($I135="N",0,MAX(AC135-AB135,0))</f>
        <v>0</v>
      </c>
      <c r="AE135" s="645">
        <f t="shared" ref="AE135:AE199" si="322">IF(AD135=0,AB135,0)</f>
        <v>40898.007915526665</v>
      </c>
      <c r="AF135" s="646">
        <f t="shared" ref="AF135:AF199" si="323">-IF(AD135=0,((AE135/AE$2)*AD$2),0)</f>
        <v>-506.96154214777664</v>
      </c>
      <c r="AG135" s="647">
        <f t="shared" ref="AG135:AG199" si="324">IF(AD135=0,AE135+AF135,AD135+AB135)</f>
        <v>40391.046373378886</v>
      </c>
      <c r="AH135" s="644">
        <f t="shared" si="270"/>
        <v>0</v>
      </c>
      <c r="AI135" s="645">
        <f t="shared" si="271"/>
        <v>40391.046373378886</v>
      </c>
      <c r="AJ135" s="646">
        <f t="shared" ref="AJ135:AJ199" si="325">IF(AND(AH135=0,AD135=0),((AI135/AI$2))*AH$2,0)</f>
        <v>-50.881394185359227</v>
      </c>
      <c r="AK135" s="647">
        <f t="shared" si="272"/>
        <v>40340.164979193527</v>
      </c>
      <c r="AL135" s="644">
        <f t="shared" ref="AL135:AL199" si="326">IF(AK135-AC135&lt;0,AK135-AC135,0)</f>
        <v>0</v>
      </c>
      <c r="AM135" s="645">
        <f t="shared" ref="AM135:AM199" si="327">IF(AND(AH135=0,AD135=0,AL135=0),AK135,0)</f>
        <v>40340.164979193527</v>
      </c>
      <c r="AN135" s="646">
        <f t="shared" ref="AN135:AN199" si="328">IF(AND(AL135=0,AH135=0,AD135=0),((AM135/AM$2))*AL$2,0)</f>
        <v>-3.2437045499058313E-2</v>
      </c>
      <c r="AO135" s="647">
        <f t="shared" si="273"/>
        <v>40340.132542148029</v>
      </c>
      <c r="AP135" s="644">
        <f t="shared" ref="AP135:AP199" si="329">IF(AO135-AC135&lt;0,AO135-AC135,0)</f>
        <v>0</v>
      </c>
      <c r="AQ135" s="645">
        <f t="shared" ref="AQ135:AQ199" si="330">IF(AND(AH135=0,AD135=0,AL135=0,AP135=0),AO135,0)</f>
        <v>40340.132542148029</v>
      </c>
      <c r="AR135" s="646">
        <f t="shared" ref="AR135:AR199" si="331">IF(AND(AP135=0,AL135=0,AH135=0,AD135=0),((AQ135/AQ$2))*AP$2,0)</f>
        <v>0</v>
      </c>
      <c r="AS135" s="647">
        <f t="shared" si="274"/>
        <v>40340.132542148029</v>
      </c>
      <c r="AT135" s="644">
        <f t="shared" ref="AT135:AT199" si="332">IF(AS135-AC135&lt;0,AS135-AC135,0)</f>
        <v>0</v>
      </c>
      <c r="AU135" s="645">
        <f t="shared" ref="AU135:AU199" si="333">IF(AND(AP135=0,AL135=0,AT135=0,AD135=0,AH135=0),AS135,0)</f>
        <v>40340.132542148029</v>
      </c>
      <c r="AV135" s="646">
        <f t="shared" ref="AV135:AV199" si="334">IF(AND(AT135=0,AP135=0,AL135=0),((AU135/AU$2))*AT$2,0)</f>
        <v>0</v>
      </c>
      <c r="AW135" s="647">
        <f t="shared" si="275"/>
        <v>40340.132542148029</v>
      </c>
      <c r="AY135" s="644">
        <f t="shared" ref="AY135:AY199" si="335">IF(Q135="",0,Q135)</f>
        <v>10588.463650427653</v>
      </c>
      <c r="AZ135" s="645">
        <f t="shared" si="276"/>
        <v>9134.1142616525158</v>
      </c>
      <c r="BA135" s="644">
        <f t="shared" ref="BA135:BA199" si="336">IF($J135="N",0,MAX(AZ135-AY135,0))</f>
        <v>0</v>
      </c>
      <c r="BB135" s="645">
        <f t="shared" ref="BB135:BB199" si="337">IF(BA135=0,AY135,0)</f>
        <v>10588.463650427653</v>
      </c>
      <c r="BC135" s="646">
        <f t="shared" ref="BC135:BC199" si="338">-IF(BA135=0,((BB135/BB$2)*BA$2),0)</f>
        <v>-76.144727910890992</v>
      </c>
      <c r="BD135" s="647">
        <f t="shared" ref="BD135:BD199" si="339">IF(BA135=0,BB135+BC135,BA135+AY135)</f>
        <v>10512.318922516763</v>
      </c>
      <c r="BE135" s="644">
        <f t="shared" si="277"/>
        <v>0</v>
      </c>
      <c r="BF135" s="645">
        <f t="shared" si="278"/>
        <v>10512.318922516763</v>
      </c>
      <c r="BG135" s="646">
        <f t="shared" ref="BG135:BG199" si="340">IF(AND(BE135=0,BA135=0),((BF135/BF$2))*BE$2,0)</f>
        <v>-250.39486981247956</v>
      </c>
      <c r="BH135" s="647">
        <f t="shared" si="279"/>
        <v>10261.924052704282</v>
      </c>
      <c r="BI135" s="644">
        <f t="shared" ref="BI135:BI199" si="341">IF(BH135-AZ135&lt;0,BH135-AZ135,0)</f>
        <v>0</v>
      </c>
      <c r="BJ135" s="645">
        <f t="shared" ref="BJ135:BJ199" si="342">IF(AND(BE135=0,BA135=0,BI135=0),BH135,0)</f>
        <v>10261.924052704282</v>
      </c>
      <c r="BK135" s="646">
        <f t="shared" ref="BK135:BK199" si="343">IF(AND(BI135=0,BE135=0,BA135=0),((BJ135/BJ$2))*BI$2,0)</f>
        <v>-21.73716538234704</v>
      </c>
      <c r="BL135" s="647">
        <f t="shared" si="280"/>
        <v>10240.186887321936</v>
      </c>
      <c r="BM135" s="644">
        <f t="shared" ref="BM135:BM199" si="344">IF(BL135-AZ135&lt;0,BL135-AZ135,0)</f>
        <v>0</v>
      </c>
      <c r="BN135" s="645">
        <f t="shared" ref="BN135:BN199" si="345">IF(AND(BE135=0,BA135=0,BI135=0,BM135=0),BL135,0)</f>
        <v>10240.186887321936</v>
      </c>
      <c r="BO135" s="646">
        <f t="shared" ref="BO135:BO199" si="346">IF(AND(BM135=0,BI135=0,BE135=0,BA135=0),((BN135/BN$2))*BM$2,0)</f>
        <v>-0.46851710760263393</v>
      </c>
      <c r="BP135" s="647">
        <f t="shared" si="281"/>
        <v>10239.718370214332</v>
      </c>
      <c r="BQ135" s="644">
        <f t="shared" ref="BQ135:BQ199" si="347">IF(BP135-AZ135&lt;0,BP135-AZ135,0)</f>
        <v>0</v>
      </c>
      <c r="BR135" s="645">
        <f t="shared" ref="BR135:BR199" si="348">IF(AND(BM135=0,BI135=0,BQ135=0,BA135=0,BE135=0),BP135,0)</f>
        <v>10239.718370214332</v>
      </c>
      <c r="BS135" s="646">
        <f t="shared" ref="BS135:BS199" si="349">IF(AND(BQ135=0,BM135=0,BI135=0),((BR135/BR$2))*BQ$2,0)</f>
        <v>0</v>
      </c>
      <c r="BT135" s="647">
        <f t="shared" si="282"/>
        <v>10239.718370214332</v>
      </c>
      <c r="BU135" s="662">
        <f>VLOOKUP(B135,'Afton Update'!$A$5:$AR$582,'Afton Update'!$AO$589,0)-BT135</f>
        <v>0</v>
      </c>
      <c r="BV135" s="644">
        <f t="shared" ref="BV135:BV199" si="350">IF(R135="",0,R135)</f>
        <v>23961.390101851885</v>
      </c>
      <c r="BW135" s="645">
        <f t="shared" si="258"/>
        <v>19566.898097327907</v>
      </c>
      <c r="BX135" s="644">
        <f t="shared" ref="BX135:BX199" si="351">IF($K135="N",0,MAX(BW135-BV135,0))</f>
        <v>0</v>
      </c>
      <c r="BY135" s="645">
        <f t="shared" ref="BY135:BY199" si="352">IF(BX135=0,BV135,0)</f>
        <v>23961.390101851885</v>
      </c>
      <c r="BZ135" s="646">
        <f t="shared" ref="BZ135:BZ199" si="353">-IF(BX135=0,((BY135/BY$2)*BX$2),0)</f>
        <v>-210.31166847048956</v>
      </c>
      <c r="CA135" s="647">
        <f t="shared" ref="CA135:CA199" si="354">IF(BX135=0,BY135+BZ135,BX135+BV135)</f>
        <v>23751.078433381394</v>
      </c>
      <c r="CB135" s="644">
        <f t="shared" si="283"/>
        <v>0</v>
      </c>
      <c r="CC135" s="645">
        <f t="shared" si="284"/>
        <v>23751.078433381394</v>
      </c>
      <c r="CD135" s="646">
        <f t="shared" ref="CD135:CD199" si="355">IF(AND(CB135=0,BX135=0),((CC135/CC$2))*CB$2,0)</f>
        <v>-7.6078191348183877</v>
      </c>
      <c r="CE135" s="647">
        <f t="shared" si="285"/>
        <v>23743.470614246577</v>
      </c>
      <c r="CF135" s="644">
        <f t="shared" ref="CF135:CF199" si="356">IF(CE135-BW135&lt;0,CE135-BW135,0)</f>
        <v>0</v>
      </c>
      <c r="CG135" s="645">
        <f t="shared" ref="CG135:CG199" si="357">IF(AND(CB135=0,BX135=0,CF135=0),CE135,0)</f>
        <v>23743.470614246577</v>
      </c>
      <c r="CH135" s="646">
        <f t="shared" ref="CH135:CH199" si="358">IF(AND(CF135=0,CB135=0,BX135=0),((CG135/CG$2))*CF$2,0)</f>
        <v>0</v>
      </c>
      <c r="CI135" s="647">
        <f t="shared" si="286"/>
        <v>23743.470614246577</v>
      </c>
      <c r="CJ135" s="644">
        <f t="shared" ref="CJ135:CJ199" si="359">IF(CI135-BW135&lt;0,CI135-BW135,0)</f>
        <v>0</v>
      </c>
      <c r="CK135" s="645">
        <f t="shared" ref="CK135:CK199" si="360">IF(AND(CB135=0,BX135=0,CF135=0,CJ135=0),CI135,0)</f>
        <v>23743.470614246577</v>
      </c>
      <c r="CL135" s="646">
        <f t="shared" ref="CL135:CL199" si="361">IF(AND(CJ135=0,CF135=0,CB135=0,BX135=0),((CK135/CK$2))*CJ$2,0)</f>
        <v>0</v>
      </c>
      <c r="CM135" s="647">
        <f t="shared" si="287"/>
        <v>23743.470614246577</v>
      </c>
      <c r="CN135" s="644">
        <f t="shared" ref="CN135:CN199" si="362">IF(CM135-BW135&lt;0,CM135-BW135,0)</f>
        <v>0</v>
      </c>
      <c r="CO135" s="645">
        <f t="shared" ref="CO135:CO199" si="363">IF(AND(CJ135=0,CF135=0,CN135=0,BX135=0,CB135=0),CM135,0)</f>
        <v>23743.470614246577</v>
      </c>
      <c r="CP135" s="646">
        <f t="shared" ref="CP135:CP199" si="364">IF(AND(CN135=0,CJ135=0,CF135=0),((CO135/CO$2))*CN$2,0)</f>
        <v>0</v>
      </c>
      <c r="CQ135" s="647">
        <f t="shared" si="288"/>
        <v>23743.470614246577</v>
      </c>
      <c r="CS135" s="644">
        <f t="shared" ref="CS135:CS199" si="365">IF(S135="",0,S135)</f>
        <v>22304.906628405937</v>
      </c>
      <c r="CT135" s="645">
        <f t="shared" si="259"/>
        <v>16429.509564014643</v>
      </c>
      <c r="CU135" s="644">
        <f t="shared" ref="CU135:CU199" si="366">IF($L135="N",0,MAX(CT135-CS135,0))</f>
        <v>0</v>
      </c>
      <c r="CV135" s="645">
        <f t="shared" ref="CV135:CV199" si="367">IF(CU135=0,CS135,0)</f>
        <v>22304.906628405937</v>
      </c>
      <c r="CW135" s="646">
        <f t="shared" ref="CW135:CW199" si="368">-IF(CU135=0,((CV135/CV$2)*CU$2),0)</f>
        <v>-228.4148488677784</v>
      </c>
      <c r="CX135" s="647">
        <f t="shared" ref="CX135:CX199" si="369">IF(CU135=0,CV135+CW135,CU135+CS135)</f>
        <v>22076.491779538159</v>
      </c>
      <c r="CY135" s="644">
        <f t="shared" si="289"/>
        <v>0</v>
      </c>
      <c r="CZ135" s="645">
        <f t="shared" si="290"/>
        <v>22076.491779538159</v>
      </c>
      <c r="DA135" s="646">
        <f t="shared" ref="DA135:DA199" si="370">IF(AND(CY135=0,CU135=0),((CZ135/CZ$2))*CY$2,0)</f>
        <v>-17.330126219003493</v>
      </c>
      <c r="DB135" s="647">
        <f t="shared" si="291"/>
        <v>22059.161653319155</v>
      </c>
      <c r="DC135" s="644">
        <f t="shared" ref="DC135:DC199" si="371">IF(DB135-CT135&lt;0,DB135-CT135,0)</f>
        <v>0</v>
      </c>
      <c r="DD135" s="645">
        <f t="shared" ref="DD135:DD199" si="372">IF(AND(CY135=0,CU135=0,DC135=0),DB135,0)</f>
        <v>22059.161653319155</v>
      </c>
      <c r="DE135" s="646">
        <f t="shared" ref="DE135:DE199" si="373">IF(AND(DC135=0,CY135=0,CU135=0),((DD135/DD$2))*DC$2,0)</f>
        <v>-1.4945075355586705E-2</v>
      </c>
      <c r="DF135" s="647">
        <f t="shared" si="292"/>
        <v>22059.146708243799</v>
      </c>
      <c r="DG135" s="644">
        <f t="shared" ref="DG135:DG199" si="374">IF(DF135-CT135&lt;0,DF135-CT135,0)</f>
        <v>0</v>
      </c>
      <c r="DH135" s="645">
        <f t="shared" ref="DH135:DH199" si="375">IF(AND(CY135=0,CU135=0,DC135=0,DG135=0),DF135,0)</f>
        <v>22059.146708243799</v>
      </c>
      <c r="DI135" s="646">
        <f t="shared" ref="DI135:DI199" si="376">IF(AND(DG135=0,DC135=0,CY135=0,CU135=0),((DH135/DH$2))*DG$2,0)</f>
        <v>0</v>
      </c>
      <c r="DJ135" s="647">
        <f t="shared" si="293"/>
        <v>22059.146708243799</v>
      </c>
      <c r="DK135" s="644">
        <f t="shared" ref="DK135:DK199" si="377">IF(DJ135-CT135&lt;0,DJ135-CT135,0)</f>
        <v>0</v>
      </c>
      <c r="DL135" s="645">
        <f t="shared" ref="DL135:DL199" si="378">IF(AND(DG135=0,DC135=0,DK135=0,CU135=0,CY135=0),DJ135,0)</f>
        <v>22059.146708243799</v>
      </c>
      <c r="DM135" s="646">
        <f t="shared" ref="DM135:DM199" si="379">IF(AND(DK135=0,DG135=0,DC135=0),((DL135/DL$2))*DK$2,0)</f>
        <v>0</v>
      </c>
      <c r="DN135" s="647">
        <f t="shared" si="294"/>
        <v>22059.146708243799</v>
      </c>
      <c r="DR135" s="827">
        <f t="shared" si="295"/>
        <v>96382.468234852742</v>
      </c>
      <c r="DV135" s="828">
        <f>IFERROR(VLOOKUP($B135,'Afton FY16 Final'!$A$5:$BV$587,'Afton FY16 Final'!$BV$587,0),0)</f>
        <v>75871.614558605521</v>
      </c>
      <c r="DX135" s="636">
        <f t="shared" si="260"/>
        <v>96382.468234852742</v>
      </c>
      <c r="DY135" s="637">
        <f t="shared" si="261"/>
        <v>20510.853676247221</v>
      </c>
      <c r="DZ135" s="637">
        <f t="shared" si="262"/>
        <v>75871.614558605521</v>
      </c>
      <c r="EA135" s="643">
        <f t="shared" si="263"/>
        <v>91256.00112172497</v>
      </c>
      <c r="EB135" s="637">
        <f t="shared" si="296"/>
        <v>0</v>
      </c>
      <c r="EC135" s="637">
        <f t="shared" si="297"/>
        <v>91256.00112172497</v>
      </c>
      <c r="ED135" s="637">
        <f t="shared" si="298"/>
        <v>90983.881175068309</v>
      </c>
      <c r="EE135" s="643">
        <f t="shared" si="299"/>
        <v>90983.881175068309</v>
      </c>
      <c r="EF135" s="637">
        <f t="shared" si="300"/>
        <v>0</v>
      </c>
      <c r="EG135" s="637">
        <f t="shared" si="301"/>
        <v>90983.881175068309</v>
      </c>
      <c r="EH135" s="637">
        <f t="shared" si="302"/>
        <v>90983.787310549465</v>
      </c>
      <c r="EI135" s="643">
        <f t="shared" si="303"/>
        <v>90983.787310549465</v>
      </c>
      <c r="EJ135" s="637">
        <f t="shared" si="304"/>
        <v>0</v>
      </c>
      <c r="EK135" s="637">
        <f t="shared" si="305"/>
        <v>90983.787310549465</v>
      </c>
      <c r="EL135" s="637">
        <f t="shared" si="306"/>
        <v>90983.787310549335</v>
      </c>
      <c r="EM135" s="643">
        <f t="shared" si="307"/>
        <v>90983.787310549335</v>
      </c>
      <c r="EN135" s="637">
        <f t="shared" si="308"/>
        <v>0</v>
      </c>
      <c r="EO135" s="637">
        <f t="shared" si="309"/>
        <v>90983.787310549335</v>
      </c>
      <c r="EP135" s="637">
        <f t="shared" si="310"/>
        <v>90983.78731054948</v>
      </c>
      <c r="EQ135" s="643">
        <f t="shared" si="311"/>
        <v>90983.78731054948</v>
      </c>
      <c r="ER135" s="637">
        <f t="shared" si="312"/>
        <v>0</v>
      </c>
      <c r="ES135" s="637">
        <f t="shared" si="313"/>
        <v>90983.78731054948</v>
      </c>
      <c r="ET135" s="637">
        <f t="shared" si="314"/>
        <v>90983.787310549335</v>
      </c>
      <c r="EU135" s="643">
        <f t="shared" si="264"/>
        <v>90983.787310549335</v>
      </c>
      <c r="EV135" s="643">
        <f t="shared" si="265"/>
        <v>0</v>
      </c>
      <c r="EX135" s="829">
        <f t="shared" si="266"/>
        <v>5398.6809243034077</v>
      </c>
      <c r="EY135" s="638">
        <f t="shared" si="267"/>
        <v>90983.787310549335</v>
      </c>
      <c r="FC135" s="830" t="str">
        <f t="shared" si="315"/>
        <v>Y</v>
      </c>
      <c r="FE135" s="830" t="str">
        <f>IFERROR(VLOOKUP($B135,'Historical Conc Grant Elig'!$B$3:$J$707,'HH &amp; SI'!FE$2,0),"N")</f>
        <v>N</v>
      </c>
      <c r="FF135" s="830" t="str">
        <f>IFERROR(VLOOKUP($B135,'Historical Conc Grant Elig'!$B$3:$J$707,'HH &amp; SI'!FF$2,0),"N")</f>
        <v>N</v>
      </c>
      <c r="FG135" s="830" t="str">
        <f>IFERROR(VLOOKUP($B135,'Historical Conc Grant Elig'!$B$3:$J$707,'HH &amp; SI'!FG$2,0),"N")</f>
        <v>N</v>
      </c>
      <c r="FH135" s="830" t="str">
        <f>IFERROR(VLOOKUP($B135,'Historical Conc Grant Elig'!$B$3:$J$707,'HH &amp; SI'!FH$2,0),"N")</f>
        <v>N</v>
      </c>
      <c r="FI135" s="830" t="str">
        <f>IFERROR(VLOOKUP($B135,'Historical Conc Grant Elig'!$B$3:$J$707,'HH &amp; SI'!FI$2,0),"N")</f>
        <v>Y</v>
      </c>
      <c r="FJ135" s="830" t="str">
        <f>IFERROR(VLOOKUP($B135,'Historical Conc Grant Elig'!$B$3:$J$707,'HH &amp; SI'!FJ$2,0),"N")</f>
        <v>N</v>
      </c>
      <c r="FK135" s="830" t="str">
        <f>IFERROR(VLOOKUP($B135,'Historical Conc Grant Elig'!$B$3:$J$707,'HH &amp; SI'!FK$2,0),"N")</f>
        <v>Y</v>
      </c>
      <c r="FL135" s="957" t="str">
        <f>IFERROR(VLOOKUP($B135,'Historical Conc Grant Elig'!$B$3:$J$707,'HH &amp; SI'!FL$2,0),"N")</f>
        <v>Y</v>
      </c>
    </row>
    <row r="136" spans="2:168" x14ac:dyDescent="0.25">
      <c r="B136" s="634">
        <v>78206000</v>
      </c>
      <c r="C136" s="635" t="str">
        <f>VLOOKUP($B136,'Afton Update'!$A$5:$CR$582,'Afton Update'!D$589,0)</f>
        <v>The Paideia Academies  Inc</v>
      </c>
      <c r="D136" s="636">
        <f>IFERROR(VLOOKUP($B136,'Afton FY16 Final'!$A$5:$BV$587,'Afton FY16 Final'!AQ$587,0),0)</f>
        <v>100318.94009133076</v>
      </c>
      <c r="E136" s="637">
        <f>IFERROR(VLOOKUP($B136,'Afton FY16 Final'!$A$5:$BV$587,'Afton FY16 Final'!AR$587,0),0)</f>
        <v>22276.615280269256</v>
      </c>
      <c r="F136" s="637">
        <f>IFERROR(VLOOKUP($B136,'Afton FY16 Final'!$A$5:$BV$587,'Afton FY16 Final'!AS$587,0),0)</f>
        <v>54444.267188859179</v>
      </c>
      <c r="G136" s="637">
        <f>IFERROR(VLOOKUP($B136,'Afton FY16 Final'!$A$5:$BV$587,'Afton FY16 Final'!AT$587,0),0)</f>
        <v>47993.849895393309</v>
      </c>
      <c r="H136" s="638">
        <f>IFERROR(VLOOKUP($B136,'Afton FY16 Final'!$A$5:$BV$587,'Afton FY16 Final'!AU$587,0),0)</f>
        <v>225033.6724558525</v>
      </c>
      <c r="I136" s="639" t="str">
        <f>VLOOKUP($B136,'Afton Update'!$A$5:$CR$582,'Afton Update'!BT$589,0)</f>
        <v>Y</v>
      </c>
      <c r="J136" s="640" t="str">
        <f>VLOOKUP($B136,'Afton Update'!$A$5:$CR$582,'Afton Update'!BU$589,0)</f>
        <v>Y</v>
      </c>
      <c r="K136" s="640" t="str">
        <f>VLOOKUP($B136,'Afton Update'!$A$5:$CR$582,'Afton Update'!BV$589,0)</f>
        <v>Y</v>
      </c>
      <c r="L136" s="641" t="str">
        <f>VLOOKUP($B136,'Afton Update'!$A$5:$CR$582,'Afton Update'!BW$589,0)</f>
        <v>Y</v>
      </c>
      <c r="N136" s="642">
        <f>VLOOKUP($B136,'Afton Update'!$A$5:$CR$582,'Afton Update'!CB$589,0)</f>
        <v>0.95</v>
      </c>
      <c r="P136" s="636">
        <f>VLOOKUP($B136,'Afton Update'!$A$5:$CR$582,'Afton Update'!AH$589,0)</f>
        <v>114323.08645392834</v>
      </c>
      <c r="Q136" s="637">
        <f>VLOOKUP($B136,'Afton Update'!$A$5:$CR$582,'Afton Update'!AI$589,0)</f>
        <v>25772.651815060755</v>
      </c>
      <c r="R136" s="637">
        <f>VLOOKUP($B136,'Afton Update'!$A$5:$CR$582,'Afton Update'!AJ$589,0)</f>
        <v>66934.297605863059</v>
      </c>
      <c r="S136" s="637">
        <f>VLOOKUP($B136,'Afton Update'!$A$5:$CR$582,'Afton Update'!AK$589,0)</f>
        <v>62307.038614647143</v>
      </c>
      <c r="T136" s="643">
        <f t="shared" si="268"/>
        <v>269337.07448949933</v>
      </c>
      <c r="V136" s="636">
        <f t="shared" si="316"/>
        <v>112763.64535173542</v>
      </c>
      <c r="W136" s="637">
        <f t="shared" si="317"/>
        <v>24923.794891542802</v>
      </c>
      <c r="X136" s="637">
        <f t="shared" si="318"/>
        <v>66325.556302646117</v>
      </c>
      <c r="Y136" s="637">
        <f t="shared" si="319"/>
        <v>61620.527207512445</v>
      </c>
      <c r="Z136" s="643">
        <f t="shared" si="320"/>
        <v>265633.52375343681</v>
      </c>
      <c r="AB136" s="644">
        <f t="shared" si="269"/>
        <v>114323.08645392834</v>
      </c>
      <c r="AC136" s="645">
        <f t="shared" si="257"/>
        <v>95302.993086764225</v>
      </c>
      <c r="AD136" s="644">
        <f t="shared" si="321"/>
        <v>0</v>
      </c>
      <c r="AE136" s="645">
        <f t="shared" si="322"/>
        <v>114323.08645392834</v>
      </c>
      <c r="AF136" s="646">
        <f t="shared" si="323"/>
        <v>-1417.1205681089896</v>
      </c>
      <c r="AG136" s="647">
        <f t="shared" si="324"/>
        <v>112905.96588581934</v>
      </c>
      <c r="AH136" s="644">
        <f t="shared" si="270"/>
        <v>0</v>
      </c>
      <c r="AI136" s="645">
        <f t="shared" si="271"/>
        <v>112905.96588581934</v>
      </c>
      <c r="AJ136" s="646">
        <f t="shared" si="325"/>
        <v>-142.22986210878193</v>
      </c>
      <c r="AK136" s="647">
        <f t="shared" si="272"/>
        <v>112763.73602371056</v>
      </c>
      <c r="AL136" s="644">
        <f t="shared" si="326"/>
        <v>0</v>
      </c>
      <c r="AM136" s="645">
        <f t="shared" si="327"/>
        <v>112763.73602371056</v>
      </c>
      <c r="AN136" s="646">
        <f t="shared" si="328"/>
        <v>-9.0671975137718547E-2</v>
      </c>
      <c r="AO136" s="647">
        <f t="shared" si="273"/>
        <v>112763.64535173542</v>
      </c>
      <c r="AP136" s="644">
        <f t="shared" si="329"/>
        <v>0</v>
      </c>
      <c r="AQ136" s="645">
        <f t="shared" si="330"/>
        <v>112763.64535173542</v>
      </c>
      <c r="AR136" s="646">
        <f t="shared" si="331"/>
        <v>0</v>
      </c>
      <c r="AS136" s="647">
        <f t="shared" si="274"/>
        <v>112763.64535173542</v>
      </c>
      <c r="AT136" s="644">
        <f t="shared" si="332"/>
        <v>0</v>
      </c>
      <c r="AU136" s="645">
        <f t="shared" si="333"/>
        <v>112763.64535173542</v>
      </c>
      <c r="AV136" s="646">
        <f t="shared" si="334"/>
        <v>0</v>
      </c>
      <c r="AW136" s="647">
        <f t="shared" si="275"/>
        <v>112763.64535173542</v>
      </c>
      <c r="AY136" s="644">
        <f t="shared" si="335"/>
        <v>25772.651815060755</v>
      </c>
      <c r="AZ136" s="645">
        <f t="shared" si="276"/>
        <v>21162.784516255793</v>
      </c>
      <c r="BA136" s="644">
        <f t="shared" si="336"/>
        <v>0</v>
      </c>
      <c r="BB136" s="645">
        <f t="shared" si="337"/>
        <v>25772.651815060755</v>
      </c>
      <c r="BC136" s="646">
        <f t="shared" si="338"/>
        <v>-185.33865013747027</v>
      </c>
      <c r="BD136" s="647">
        <f t="shared" si="339"/>
        <v>25587.313164923286</v>
      </c>
      <c r="BE136" s="644">
        <f t="shared" si="277"/>
        <v>0</v>
      </c>
      <c r="BF136" s="645">
        <f t="shared" si="278"/>
        <v>25587.313164923286</v>
      </c>
      <c r="BG136" s="646">
        <f t="shared" si="340"/>
        <v>-609.46894743260145</v>
      </c>
      <c r="BH136" s="647">
        <f t="shared" si="279"/>
        <v>24977.844217490685</v>
      </c>
      <c r="BI136" s="644">
        <f t="shared" si="341"/>
        <v>0</v>
      </c>
      <c r="BJ136" s="645">
        <f t="shared" si="342"/>
        <v>24977.844217490685</v>
      </c>
      <c r="BK136" s="646">
        <f t="shared" si="343"/>
        <v>-52.908940649099335</v>
      </c>
      <c r="BL136" s="647">
        <f t="shared" si="280"/>
        <v>24924.935276841585</v>
      </c>
      <c r="BM136" s="644">
        <f t="shared" si="344"/>
        <v>0</v>
      </c>
      <c r="BN136" s="645">
        <f t="shared" si="345"/>
        <v>24924.935276841585</v>
      </c>
      <c r="BO136" s="646">
        <f t="shared" si="346"/>
        <v>-1.1403852987826379</v>
      </c>
      <c r="BP136" s="647">
        <f t="shared" si="281"/>
        <v>24923.794891542802</v>
      </c>
      <c r="BQ136" s="644">
        <f t="shared" si="347"/>
        <v>0</v>
      </c>
      <c r="BR136" s="645">
        <f t="shared" si="348"/>
        <v>24923.794891542802</v>
      </c>
      <c r="BS136" s="646">
        <f t="shared" si="349"/>
        <v>0</v>
      </c>
      <c r="BT136" s="647">
        <f t="shared" si="282"/>
        <v>24923.794891542802</v>
      </c>
      <c r="BU136" s="662">
        <f>VLOOKUP(B136,'Afton Update'!$A$5:$AR$582,'Afton Update'!$AO$589,0)-BT136</f>
        <v>0</v>
      </c>
      <c r="BV136" s="644">
        <f t="shared" si="350"/>
        <v>66934.297605863059</v>
      </c>
      <c r="BW136" s="645">
        <f t="shared" si="258"/>
        <v>51722.053829416218</v>
      </c>
      <c r="BX136" s="644">
        <f t="shared" si="351"/>
        <v>0</v>
      </c>
      <c r="BY136" s="645">
        <f t="shared" si="352"/>
        <v>66934.297605863059</v>
      </c>
      <c r="BZ136" s="646">
        <f t="shared" si="353"/>
        <v>-587.48944646168047</v>
      </c>
      <c r="CA136" s="647">
        <f t="shared" si="354"/>
        <v>66346.808159401378</v>
      </c>
      <c r="CB136" s="644">
        <f t="shared" si="283"/>
        <v>0</v>
      </c>
      <c r="CC136" s="645">
        <f t="shared" si="284"/>
        <v>66346.808159401378</v>
      </c>
      <c r="CD136" s="646">
        <f t="shared" si="355"/>
        <v>-21.251856755262192</v>
      </c>
      <c r="CE136" s="647">
        <f t="shared" si="285"/>
        <v>66325.556302646117</v>
      </c>
      <c r="CF136" s="644">
        <f t="shared" si="356"/>
        <v>0</v>
      </c>
      <c r="CG136" s="645">
        <f t="shared" si="357"/>
        <v>66325.556302646117</v>
      </c>
      <c r="CH136" s="646">
        <f t="shared" si="358"/>
        <v>0</v>
      </c>
      <c r="CI136" s="647">
        <f t="shared" si="286"/>
        <v>66325.556302646117</v>
      </c>
      <c r="CJ136" s="644">
        <f t="shared" si="359"/>
        <v>0</v>
      </c>
      <c r="CK136" s="645">
        <f t="shared" si="360"/>
        <v>66325.556302646117</v>
      </c>
      <c r="CL136" s="646">
        <f t="shared" si="361"/>
        <v>0</v>
      </c>
      <c r="CM136" s="647">
        <f t="shared" si="287"/>
        <v>66325.556302646117</v>
      </c>
      <c r="CN136" s="644">
        <f t="shared" si="362"/>
        <v>0</v>
      </c>
      <c r="CO136" s="645">
        <f t="shared" si="363"/>
        <v>66325.556302646117</v>
      </c>
      <c r="CP136" s="646">
        <f t="shared" si="364"/>
        <v>0</v>
      </c>
      <c r="CQ136" s="647">
        <f t="shared" si="288"/>
        <v>66325.556302646117</v>
      </c>
      <c r="CS136" s="644">
        <f t="shared" si="365"/>
        <v>62307.038614647143</v>
      </c>
      <c r="CT136" s="645">
        <f t="shared" si="259"/>
        <v>45594.157400623641</v>
      </c>
      <c r="CU136" s="644">
        <f t="shared" si="366"/>
        <v>0</v>
      </c>
      <c r="CV136" s="645">
        <f t="shared" si="367"/>
        <v>62307.038614647143</v>
      </c>
      <c r="CW136" s="646">
        <f t="shared" si="368"/>
        <v>-638.05928649074849</v>
      </c>
      <c r="CX136" s="647">
        <f t="shared" si="369"/>
        <v>61668.979328156391</v>
      </c>
      <c r="CY136" s="644">
        <f t="shared" si="289"/>
        <v>0</v>
      </c>
      <c r="CZ136" s="645">
        <f t="shared" si="290"/>
        <v>61668.979328156391</v>
      </c>
      <c r="DA136" s="646">
        <f t="shared" si="370"/>
        <v>-48.410372727093929</v>
      </c>
      <c r="DB136" s="647">
        <f t="shared" si="291"/>
        <v>61620.568955429299</v>
      </c>
      <c r="DC136" s="644">
        <f t="shared" si="371"/>
        <v>0</v>
      </c>
      <c r="DD136" s="645">
        <f t="shared" si="372"/>
        <v>61620.568955429299</v>
      </c>
      <c r="DE136" s="646">
        <f t="shared" si="373"/>
        <v>-4.1747916850432512E-2</v>
      </c>
      <c r="DF136" s="647">
        <f t="shared" si="292"/>
        <v>61620.527207512445</v>
      </c>
      <c r="DG136" s="644">
        <f t="shared" si="374"/>
        <v>0</v>
      </c>
      <c r="DH136" s="645">
        <f t="shared" si="375"/>
        <v>61620.527207512445</v>
      </c>
      <c r="DI136" s="646">
        <f t="shared" si="376"/>
        <v>0</v>
      </c>
      <c r="DJ136" s="647">
        <f t="shared" si="293"/>
        <v>61620.527207512445</v>
      </c>
      <c r="DK136" s="644">
        <f t="shared" si="377"/>
        <v>0</v>
      </c>
      <c r="DL136" s="645">
        <f t="shared" si="378"/>
        <v>61620.527207512445</v>
      </c>
      <c r="DM136" s="646">
        <f t="shared" si="379"/>
        <v>0</v>
      </c>
      <c r="DN136" s="647">
        <f t="shared" si="294"/>
        <v>61620.527207512445</v>
      </c>
      <c r="DR136" s="827">
        <f t="shared" si="295"/>
        <v>265633.52375343681</v>
      </c>
      <c r="DV136" s="828">
        <f>IFERROR(VLOOKUP($B136,'Afton FY16 Final'!$A$5:$BV$587,'Afton FY16 Final'!$BV$587,0),0)</f>
        <v>204143.88558791837</v>
      </c>
      <c r="DX136" s="636">
        <f t="shared" si="260"/>
        <v>265633.52375343681</v>
      </c>
      <c r="DY136" s="637">
        <f t="shared" si="261"/>
        <v>61489.638165518438</v>
      </c>
      <c r="DZ136" s="637">
        <f t="shared" si="262"/>
        <v>204143.88558791837</v>
      </c>
      <c r="EA136" s="643">
        <f t="shared" si="263"/>
        <v>251504.79735116134</v>
      </c>
      <c r="EB136" s="637">
        <f t="shared" si="296"/>
        <v>0</v>
      </c>
      <c r="EC136" s="637">
        <f t="shared" si="297"/>
        <v>251504.79735116134</v>
      </c>
      <c r="ED136" s="637">
        <f t="shared" si="298"/>
        <v>250754.82506223975</v>
      </c>
      <c r="EE136" s="643">
        <f t="shared" si="299"/>
        <v>250754.82506223975</v>
      </c>
      <c r="EF136" s="637">
        <f t="shared" si="300"/>
        <v>0</v>
      </c>
      <c r="EG136" s="637">
        <f t="shared" si="301"/>
        <v>250754.82506223975</v>
      </c>
      <c r="EH136" s="637">
        <f t="shared" si="302"/>
        <v>250754.56636827439</v>
      </c>
      <c r="EI136" s="643">
        <f t="shared" si="303"/>
        <v>250754.56636827439</v>
      </c>
      <c r="EJ136" s="637">
        <f t="shared" si="304"/>
        <v>0</v>
      </c>
      <c r="EK136" s="637">
        <f t="shared" si="305"/>
        <v>250754.56636827439</v>
      </c>
      <c r="EL136" s="637">
        <f t="shared" si="306"/>
        <v>250754.56636827401</v>
      </c>
      <c r="EM136" s="643">
        <f t="shared" si="307"/>
        <v>250754.56636827401</v>
      </c>
      <c r="EN136" s="637">
        <f t="shared" si="308"/>
        <v>0</v>
      </c>
      <c r="EO136" s="637">
        <f t="shared" si="309"/>
        <v>250754.56636827401</v>
      </c>
      <c r="EP136" s="637">
        <f t="shared" si="310"/>
        <v>250754.56636827439</v>
      </c>
      <c r="EQ136" s="643">
        <f t="shared" si="311"/>
        <v>250754.56636827439</v>
      </c>
      <c r="ER136" s="637">
        <f t="shared" si="312"/>
        <v>0</v>
      </c>
      <c r="ES136" s="637">
        <f t="shared" si="313"/>
        <v>250754.56636827439</v>
      </c>
      <c r="ET136" s="637">
        <f t="shared" si="314"/>
        <v>250754.56636827398</v>
      </c>
      <c r="EU136" s="643">
        <f t="shared" si="264"/>
        <v>250754.56636827398</v>
      </c>
      <c r="EV136" s="643">
        <f t="shared" si="265"/>
        <v>0</v>
      </c>
      <c r="EX136" s="829">
        <f t="shared" si="266"/>
        <v>14878.957385162823</v>
      </c>
      <c r="EY136" s="638">
        <f t="shared" si="267"/>
        <v>250754.56636827398</v>
      </c>
      <c r="FC136" s="830" t="str">
        <f t="shared" si="315"/>
        <v>Y</v>
      </c>
      <c r="FE136" s="830" t="str">
        <f>IFERROR(VLOOKUP($B136,'Historical Conc Grant Elig'!$B$3:$J$707,'HH &amp; SI'!FE$2,0),"N")</f>
        <v>N</v>
      </c>
      <c r="FF136" s="830" t="str">
        <f>IFERROR(VLOOKUP($B136,'Historical Conc Grant Elig'!$B$3:$J$707,'HH &amp; SI'!FF$2,0),"N")</f>
        <v>N</v>
      </c>
      <c r="FG136" s="830" t="str">
        <f>IFERROR(VLOOKUP($B136,'Historical Conc Grant Elig'!$B$3:$J$707,'HH &amp; SI'!FG$2,0),"N")</f>
        <v>N</v>
      </c>
      <c r="FH136" s="830" t="str">
        <f>IFERROR(VLOOKUP($B136,'Historical Conc Grant Elig'!$B$3:$J$707,'HH &amp; SI'!FH$2,0),"N")</f>
        <v>Y</v>
      </c>
      <c r="FI136" s="830" t="str">
        <f>IFERROR(VLOOKUP($B136,'Historical Conc Grant Elig'!$B$3:$J$707,'HH &amp; SI'!FI$2,0),"N")</f>
        <v>Y</v>
      </c>
      <c r="FJ136" s="830" t="str">
        <f>IFERROR(VLOOKUP($B136,'Historical Conc Grant Elig'!$B$3:$J$707,'HH &amp; SI'!FJ$2,0),"N")</f>
        <v>Y</v>
      </c>
      <c r="FK136" s="830" t="str">
        <f>IFERROR(VLOOKUP($B136,'Historical Conc Grant Elig'!$B$3:$J$707,'HH &amp; SI'!FK$2,0),"N")</f>
        <v>Y</v>
      </c>
      <c r="FL136" s="957" t="str">
        <f>IFERROR(VLOOKUP($B136,'Historical Conc Grant Elig'!$B$3:$J$707,'HH &amp; SI'!FL$2,0),"N")</f>
        <v>Y</v>
      </c>
    </row>
    <row r="137" spans="2:168" x14ac:dyDescent="0.25">
      <c r="B137" s="634">
        <v>78207000</v>
      </c>
      <c r="C137" s="635" t="str">
        <f>VLOOKUP($B137,'Afton Update'!$A$5:$CR$582,'Afton Update'!D$589,0)</f>
        <v>ASU Preparatory Academy</v>
      </c>
      <c r="D137" s="636">
        <f>IFERROR(VLOOKUP($B137,'Afton FY16 Final'!$A$5:$BV$587,'Afton FY16 Final'!AQ$587,0),0)</f>
        <v>73856.651337091069</v>
      </c>
      <c r="E137" s="637">
        <f>IFERROR(VLOOKUP($B137,'Afton FY16 Final'!$A$5:$BV$587,'Afton FY16 Final'!AR$587,0),0)</f>
        <v>15781.956669324871</v>
      </c>
      <c r="F137" s="637">
        <f>IFERROR(VLOOKUP($B137,'Afton FY16 Final'!$A$5:$BV$587,'Afton FY16 Final'!AS$587,0),0)</f>
        <v>39159.875628316098</v>
      </c>
      <c r="G137" s="637">
        <f>IFERROR(VLOOKUP($B137,'Afton FY16 Final'!$A$5:$BV$587,'Afton FY16 Final'!AT$587,0),0)</f>
        <v>37730.270608886545</v>
      </c>
      <c r="H137" s="638">
        <f>IFERROR(VLOOKUP($B137,'Afton FY16 Final'!$A$5:$BV$587,'Afton FY16 Final'!AU$587,0),0)</f>
        <v>166528.7542436186</v>
      </c>
      <c r="I137" s="639" t="str">
        <f>VLOOKUP($B137,'Afton Update'!$A$5:$CR$582,'Afton Update'!BT$589,0)</f>
        <v>Y</v>
      </c>
      <c r="J137" s="640" t="str">
        <f>VLOOKUP($B137,'Afton Update'!$A$5:$CR$582,'Afton Update'!BU$589,0)</f>
        <v>Y</v>
      </c>
      <c r="K137" s="640" t="str">
        <f>VLOOKUP($B137,'Afton Update'!$A$5:$CR$582,'Afton Update'!BV$589,0)</f>
        <v>Y</v>
      </c>
      <c r="L137" s="641" t="str">
        <f>VLOOKUP($B137,'Afton Update'!$A$5:$CR$582,'Afton Update'!BW$589,0)</f>
        <v>Y</v>
      </c>
      <c r="N137" s="642">
        <f>VLOOKUP($B137,'Afton Update'!$A$5:$CR$582,'Afton Update'!CB$589,0)</f>
        <v>0.95</v>
      </c>
      <c r="P137" s="636">
        <f>VLOOKUP($B137,'Afton Update'!$A$5:$CR$582,'Afton Update'!AH$589,0)</f>
        <v>51660.641577507369</v>
      </c>
      <c r="Q137" s="637">
        <f>VLOOKUP($B137,'Afton Update'!$A$5:$CR$582,'Afton Update'!AI$589,0)</f>
        <v>12814.158984005795</v>
      </c>
      <c r="R137" s="637">
        <f>VLOOKUP($B137,'Afton Update'!$A$5:$CR$582,'Afton Update'!AJ$589,0)</f>
        <v>30260.350485175997</v>
      </c>
      <c r="S137" s="637">
        <f>VLOOKUP($B137,'Afton Update'!$A$5:$CR$582,'Afton Update'!AK$589,0)</f>
        <v>28168.411316942922</v>
      </c>
      <c r="T137" s="643">
        <f t="shared" si="268"/>
        <v>122903.56236363208</v>
      </c>
      <c r="V137" s="636">
        <f t="shared" si="316"/>
        <v>70163.81877023651</v>
      </c>
      <c r="W137" s="637">
        <f t="shared" si="317"/>
        <v>14992.858835858626</v>
      </c>
      <c r="X137" s="637">
        <f t="shared" si="318"/>
        <v>37201.881846900294</v>
      </c>
      <c r="Y137" s="637">
        <f t="shared" si="319"/>
        <v>35843.757078442213</v>
      </c>
      <c r="Z137" s="643">
        <f t="shared" si="320"/>
        <v>158202.31653143762</v>
      </c>
      <c r="AB137" s="644">
        <f t="shared" si="269"/>
        <v>51660.641577507369</v>
      </c>
      <c r="AC137" s="645">
        <f t="shared" si="257"/>
        <v>70163.81877023651</v>
      </c>
      <c r="AD137" s="644">
        <f t="shared" si="321"/>
        <v>18503.177192729141</v>
      </c>
      <c r="AE137" s="645">
        <f t="shared" si="322"/>
        <v>0</v>
      </c>
      <c r="AF137" s="646">
        <f t="shared" si="323"/>
        <v>0</v>
      </c>
      <c r="AG137" s="647">
        <f t="shared" si="324"/>
        <v>70163.81877023651</v>
      </c>
      <c r="AH137" s="644">
        <f t="shared" si="270"/>
        <v>0</v>
      </c>
      <c r="AI137" s="645">
        <f t="shared" si="271"/>
        <v>0</v>
      </c>
      <c r="AJ137" s="646">
        <f t="shared" si="325"/>
        <v>0</v>
      </c>
      <c r="AK137" s="647">
        <f t="shared" si="272"/>
        <v>70163.81877023651</v>
      </c>
      <c r="AL137" s="644">
        <f t="shared" si="326"/>
        <v>0</v>
      </c>
      <c r="AM137" s="645">
        <f t="shared" si="327"/>
        <v>0</v>
      </c>
      <c r="AN137" s="646">
        <f t="shared" si="328"/>
        <v>0</v>
      </c>
      <c r="AO137" s="647">
        <f t="shared" si="273"/>
        <v>70163.81877023651</v>
      </c>
      <c r="AP137" s="644">
        <f t="shared" si="329"/>
        <v>0</v>
      </c>
      <c r="AQ137" s="645">
        <f t="shared" si="330"/>
        <v>0</v>
      </c>
      <c r="AR137" s="646">
        <f t="shared" si="331"/>
        <v>0</v>
      </c>
      <c r="AS137" s="647">
        <f t="shared" si="274"/>
        <v>70163.81877023651</v>
      </c>
      <c r="AT137" s="644">
        <f t="shared" si="332"/>
        <v>0</v>
      </c>
      <c r="AU137" s="645">
        <f t="shared" si="333"/>
        <v>0</v>
      </c>
      <c r="AV137" s="646">
        <f t="shared" si="334"/>
        <v>0</v>
      </c>
      <c r="AW137" s="647">
        <f t="shared" si="275"/>
        <v>70163.81877023651</v>
      </c>
      <c r="AY137" s="644">
        <f t="shared" si="335"/>
        <v>12814.158984005795</v>
      </c>
      <c r="AZ137" s="645">
        <f t="shared" si="276"/>
        <v>14992.858835858626</v>
      </c>
      <c r="BA137" s="644">
        <f t="shared" si="336"/>
        <v>2178.6998518528308</v>
      </c>
      <c r="BB137" s="645">
        <f t="shared" si="337"/>
        <v>0</v>
      </c>
      <c r="BC137" s="646">
        <f t="shared" si="338"/>
        <v>0</v>
      </c>
      <c r="BD137" s="647">
        <f t="shared" si="339"/>
        <v>14992.858835858626</v>
      </c>
      <c r="BE137" s="644">
        <f t="shared" si="277"/>
        <v>0</v>
      </c>
      <c r="BF137" s="645">
        <f t="shared" si="278"/>
        <v>0</v>
      </c>
      <c r="BG137" s="646">
        <f t="shared" si="340"/>
        <v>0</v>
      </c>
      <c r="BH137" s="647">
        <f t="shared" si="279"/>
        <v>14992.858835858626</v>
      </c>
      <c r="BI137" s="644">
        <f t="shared" si="341"/>
        <v>0</v>
      </c>
      <c r="BJ137" s="645">
        <f t="shared" si="342"/>
        <v>0</v>
      </c>
      <c r="BK137" s="646">
        <f t="shared" si="343"/>
        <v>0</v>
      </c>
      <c r="BL137" s="647">
        <f t="shared" si="280"/>
        <v>14992.858835858626</v>
      </c>
      <c r="BM137" s="644">
        <f t="shared" si="344"/>
        <v>0</v>
      </c>
      <c r="BN137" s="645">
        <f t="shared" si="345"/>
        <v>0</v>
      </c>
      <c r="BO137" s="646">
        <f t="shared" si="346"/>
        <v>0</v>
      </c>
      <c r="BP137" s="647">
        <f t="shared" si="281"/>
        <v>14992.858835858626</v>
      </c>
      <c r="BQ137" s="644">
        <f t="shared" si="347"/>
        <v>0</v>
      </c>
      <c r="BR137" s="645">
        <f t="shared" si="348"/>
        <v>0</v>
      </c>
      <c r="BS137" s="646">
        <f t="shared" si="349"/>
        <v>0</v>
      </c>
      <c r="BT137" s="647">
        <f t="shared" si="282"/>
        <v>14992.858835858626</v>
      </c>
      <c r="BU137" s="662">
        <f>VLOOKUP(B137,'Afton Update'!$A$5:$AR$582,'Afton Update'!$AO$589,0)-BT137</f>
        <v>0</v>
      </c>
      <c r="BV137" s="644">
        <f t="shared" si="350"/>
        <v>30260.350485175997</v>
      </c>
      <c r="BW137" s="645">
        <f t="shared" si="258"/>
        <v>37201.881846900294</v>
      </c>
      <c r="BX137" s="644">
        <f t="shared" si="351"/>
        <v>6941.5313617242973</v>
      </c>
      <c r="BY137" s="645">
        <f t="shared" si="352"/>
        <v>0</v>
      </c>
      <c r="BZ137" s="646">
        <f t="shared" si="353"/>
        <v>0</v>
      </c>
      <c r="CA137" s="647">
        <f t="shared" si="354"/>
        <v>37201.881846900294</v>
      </c>
      <c r="CB137" s="644">
        <f t="shared" si="283"/>
        <v>0</v>
      </c>
      <c r="CC137" s="645">
        <f t="shared" si="284"/>
        <v>0</v>
      </c>
      <c r="CD137" s="646">
        <f t="shared" si="355"/>
        <v>0</v>
      </c>
      <c r="CE137" s="647">
        <f t="shared" si="285"/>
        <v>37201.881846900294</v>
      </c>
      <c r="CF137" s="644">
        <f t="shared" si="356"/>
        <v>0</v>
      </c>
      <c r="CG137" s="645">
        <f t="shared" si="357"/>
        <v>0</v>
      </c>
      <c r="CH137" s="646">
        <f t="shared" si="358"/>
        <v>0</v>
      </c>
      <c r="CI137" s="647">
        <f t="shared" si="286"/>
        <v>37201.881846900294</v>
      </c>
      <c r="CJ137" s="644">
        <f t="shared" si="359"/>
        <v>0</v>
      </c>
      <c r="CK137" s="645">
        <f t="shared" si="360"/>
        <v>0</v>
      </c>
      <c r="CL137" s="646">
        <f t="shared" si="361"/>
        <v>0</v>
      </c>
      <c r="CM137" s="647">
        <f t="shared" si="287"/>
        <v>37201.881846900294</v>
      </c>
      <c r="CN137" s="644">
        <f t="shared" si="362"/>
        <v>0</v>
      </c>
      <c r="CO137" s="645">
        <f t="shared" si="363"/>
        <v>0</v>
      </c>
      <c r="CP137" s="646">
        <f t="shared" si="364"/>
        <v>0</v>
      </c>
      <c r="CQ137" s="647">
        <f t="shared" si="288"/>
        <v>37201.881846900294</v>
      </c>
      <c r="CS137" s="644">
        <f t="shared" si="365"/>
        <v>28168.411316942922</v>
      </c>
      <c r="CT137" s="645">
        <f t="shared" si="259"/>
        <v>35843.757078442213</v>
      </c>
      <c r="CU137" s="644">
        <f t="shared" si="366"/>
        <v>7675.3457614992913</v>
      </c>
      <c r="CV137" s="645">
        <f t="shared" si="367"/>
        <v>0</v>
      </c>
      <c r="CW137" s="646">
        <f t="shared" si="368"/>
        <v>0</v>
      </c>
      <c r="CX137" s="647">
        <f t="shared" si="369"/>
        <v>35843.757078442213</v>
      </c>
      <c r="CY137" s="644">
        <f t="shared" si="289"/>
        <v>0</v>
      </c>
      <c r="CZ137" s="645">
        <f t="shared" si="290"/>
        <v>0</v>
      </c>
      <c r="DA137" s="646">
        <f t="shared" si="370"/>
        <v>0</v>
      </c>
      <c r="DB137" s="647">
        <f t="shared" si="291"/>
        <v>35843.757078442213</v>
      </c>
      <c r="DC137" s="644">
        <f t="shared" si="371"/>
        <v>0</v>
      </c>
      <c r="DD137" s="645">
        <f t="shared" si="372"/>
        <v>0</v>
      </c>
      <c r="DE137" s="646">
        <f t="shared" si="373"/>
        <v>0</v>
      </c>
      <c r="DF137" s="647">
        <f t="shared" si="292"/>
        <v>35843.757078442213</v>
      </c>
      <c r="DG137" s="644">
        <f t="shared" si="374"/>
        <v>0</v>
      </c>
      <c r="DH137" s="645">
        <f t="shared" si="375"/>
        <v>0</v>
      </c>
      <c r="DI137" s="646">
        <f t="shared" si="376"/>
        <v>0</v>
      </c>
      <c r="DJ137" s="647">
        <f t="shared" si="293"/>
        <v>35843.757078442213</v>
      </c>
      <c r="DK137" s="644">
        <f t="shared" si="377"/>
        <v>0</v>
      </c>
      <c r="DL137" s="645">
        <f t="shared" si="378"/>
        <v>0</v>
      </c>
      <c r="DM137" s="646">
        <f t="shared" si="379"/>
        <v>0</v>
      </c>
      <c r="DN137" s="647">
        <f t="shared" si="294"/>
        <v>35843.757078442213</v>
      </c>
      <c r="DR137" s="827">
        <f t="shared" si="295"/>
        <v>158202.31653143762</v>
      </c>
      <c r="DV137" s="828">
        <f>IFERROR(VLOOKUP($B137,'Afton FY16 Final'!$A$5:$BV$587,'Afton FY16 Final'!$BV$587,0),0)</f>
        <v>160634.97086558319</v>
      </c>
      <c r="DX137" s="636">
        <f t="shared" si="260"/>
        <v>0</v>
      </c>
      <c r="DY137" s="637">
        <f t="shared" si="261"/>
        <v>0</v>
      </c>
      <c r="DZ137" s="637">
        <f t="shared" si="262"/>
        <v>0</v>
      </c>
      <c r="EA137" s="643">
        <f t="shared" si="263"/>
        <v>0</v>
      </c>
      <c r="EB137" s="637">
        <f t="shared" si="296"/>
        <v>0</v>
      </c>
      <c r="EC137" s="637">
        <f t="shared" si="297"/>
        <v>0</v>
      </c>
      <c r="ED137" s="637">
        <f t="shared" si="298"/>
        <v>0</v>
      </c>
      <c r="EE137" s="643">
        <f t="shared" si="299"/>
        <v>0</v>
      </c>
      <c r="EF137" s="637">
        <f t="shared" si="300"/>
        <v>0</v>
      </c>
      <c r="EG137" s="637">
        <f t="shared" si="301"/>
        <v>0</v>
      </c>
      <c r="EH137" s="637">
        <f t="shared" si="302"/>
        <v>0</v>
      </c>
      <c r="EI137" s="643">
        <f t="shared" si="303"/>
        <v>0</v>
      </c>
      <c r="EJ137" s="637">
        <f t="shared" si="304"/>
        <v>0</v>
      </c>
      <c r="EK137" s="637">
        <f t="shared" si="305"/>
        <v>0</v>
      </c>
      <c r="EL137" s="637">
        <f t="shared" si="306"/>
        <v>0</v>
      </c>
      <c r="EM137" s="643">
        <f t="shared" si="307"/>
        <v>0</v>
      </c>
      <c r="EN137" s="637">
        <f t="shared" si="308"/>
        <v>0</v>
      </c>
      <c r="EO137" s="637">
        <f t="shared" si="309"/>
        <v>0</v>
      </c>
      <c r="EP137" s="637">
        <f t="shared" si="310"/>
        <v>0</v>
      </c>
      <c r="EQ137" s="643">
        <f t="shared" si="311"/>
        <v>0</v>
      </c>
      <c r="ER137" s="637">
        <f t="shared" si="312"/>
        <v>0</v>
      </c>
      <c r="ES137" s="637">
        <f t="shared" si="313"/>
        <v>0</v>
      </c>
      <c r="ET137" s="637">
        <f t="shared" si="314"/>
        <v>0</v>
      </c>
      <c r="EU137" s="643">
        <f t="shared" si="264"/>
        <v>0</v>
      </c>
      <c r="EV137" s="643">
        <f t="shared" si="265"/>
        <v>0</v>
      </c>
      <c r="EX137" s="829">
        <f t="shared" si="266"/>
        <v>0</v>
      </c>
      <c r="EY137" s="638">
        <f t="shared" si="267"/>
        <v>158202.31653143762</v>
      </c>
      <c r="FC137" s="830" t="str">
        <f t="shared" si="315"/>
        <v>Y</v>
      </c>
      <c r="FE137" s="830" t="str">
        <f>IFERROR(VLOOKUP($B137,'Historical Conc Grant Elig'!$B$3:$J$707,'HH &amp; SI'!FE$2,0),"N")</f>
        <v>N</v>
      </c>
      <c r="FF137" s="830" t="str">
        <f>IFERROR(VLOOKUP($B137,'Historical Conc Grant Elig'!$B$3:$J$707,'HH &amp; SI'!FF$2,0),"N")</f>
        <v>N</v>
      </c>
      <c r="FG137" s="830" t="str">
        <f>IFERROR(VLOOKUP($B137,'Historical Conc Grant Elig'!$B$3:$J$707,'HH &amp; SI'!FG$2,0),"N")</f>
        <v>N</v>
      </c>
      <c r="FH137" s="830" t="str">
        <f>IFERROR(VLOOKUP($B137,'Historical Conc Grant Elig'!$B$3:$J$707,'HH &amp; SI'!FH$2,0),"N")</f>
        <v>Y</v>
      </c>
      <c r="FI137" s="830" t="str">
        <f>IFERROR(VLOOKUP($B137,'Historical Conc Grant Elig'!$B$3:$J$707,'HH &amp; SI'!FI$2,0),"N")</f>
        <v>Y</v>
      </c>
      <c r="FJ137" s="830" t="str">
        <f>IFERROR(VLOOKUP($B137,'Historical Conc Grant Elig'!$B$3:$J$707,'HH &amp; SI'!FJ$2,0),"N")</f>
        <v>Y</v>
      </c>
      <c r="FK137" s="830" t="str">
        <f>IFERROR(VLOOKUP($B137,'Historical Conc Grant Elig'!$B$3:$J$707,'HH &amp; SI'!FK$2,0),"N")</f>
        <v>Y</v>
      </c>
      <c r="FL137" s="957" t="str">
        <f>IFERROR(VLOOKUP($B137,'Historical Conc Grant Elig'!$B$3:$J$707,'HH &amp; SI'!FL$2,0),"N")</f>
        <v>Y</v>
      </c>
    </row>
    <row r="138" spans="2:168" x14ac:dyDescent="0.25">
      <c r="B138" s="634">
        <v>78215000</v>
      </c>
      <c r="C138" s="635" t="str">
        <f>VLOOKUP($B138,'Afton Update'!$A$5:$CR$582,'Afton Update'!D$589,0)</f>
        <v>Legacy Traditional Charter School-Laveen Village</v>
      </c>
      <c r="D138" s="636">
        <f>IFERROR(VLOOKUP($B138,'Afton FY16 Final'!$A$5:$BV$587,'Afton FY16 Final'!AQ$587,0),0)</f>
        <v>78976.47639736472</v>
      </c>
      <c r="E138" s="637">
        <f>IFERROR(VLOOKUP($B138,'Afton FY16 Final'!$A$5:$BV$587,'Afton FY16 Final'!AR$587,0),0)</f>
        <v>17943.694235985509</v>
      </c>
      <c r="F138" s="637">
        <f>IFERROR(VLOOKUP($B138,'Afton FY16 Final'!$A$5:$BV$587,'Afton FY16 Final'!AS$587,0),0)</f>
        <v>42861.461441859203</v>
      </c>
      <c r="G138" s="637">
        <f>IFERROR(VLOOKUP($B138,'Afton FY16 Final'!$A$5:$BV$587,'Afton FY16 Final'!AT$587,0),0)</f>
        <v>35988.984415615487</v>
      </c>
      <c r="H138" s="638">
        <f>IFERROR(VLOOKUP($B138,'Afton FY16 Final'!$A$5:$BV$587,'Afton FY16 Final'!AU$587,0),0)</f>
        <v>175770.6164908249</v>
      </c>
      <c r="I138" s="639" t="str">
        <f>VLOOKUP($B138,'Afton Update'!$A$5:$CR$582,'Afton Update'!BT$589,0)</f>
        <v>Y</v>
      </c>
      <c r="J138" s="640" t="str">
        <f>VLOOKUP($B138,'Afton Update'!$A$5:$CR$582,'Afton Update'!BU$589,0)</f>
        <v>Y</v>
      </c>
      <c r="K138" s="640" t="str">
        <f>VLOOKUP($B138,'Afton Update'!$A$5:$CR$582,'Afton Update'!BV$589,0)</f>
        <v>Y</v>
      </c>
      <c r="L138" s="641" t="str">
        <f>VLOOKUP($B138,'Afton Update'!$A$5:$CR$582,'Afton Update'!BW$589,0)</f>
        <v>Y</v>
      </c>
      <c r="N138" s="642">
        <f>VLOOKUP($B138,'Afton Update'!$A$5:$CR$582,'Afton Update'!CB$589,0)</f>
        <v>0.9</v>
      </c>
      <c r="P138" s="636">
        <f>VLOOKUP($B138,'Afton Update'!$A$5:$CR$582,'Afton Update'!AH$589,0)</f>
        <v>72468.399990670063</v>
      </c>
      <c r="Q138" s="637">
        <f>VLOOKUP($B138,'Afton Update'!$A$5:$CR$582,'Afton Update'!AI$589,0)</f>
        <v>17117.16996225687</v>
      </c>
      <c r="R138" s="637">
        <f>VLOOKUP($B138,'Afton Update'!$A$5:$CR$582,'Afton Update'!AJ$589,0)</f>
        <v>42438.34055960262</v>
      </c>
      <c r="S138" s="637">
        <f>VLOOKUP($B138,'Afton Update'!$A$5:$CR$582,'Afton Update'!AK$589,0)</f>
        <v>39504.520381447765</v>
      </c>
      <c r="T138" s="643">
        <f t="shared" si="268"/>
        <v>171528.43089397732</v>
      </c>
      <c r="V138" s="636">
        <f t="shared" si="316"/>
        <v>71479.883978192127</v>
      </c>
      <c r="W138" s="637">
        <f t="shared" si="317"/>
        <v>16553.392965704094</v>
      </c>
      <c r="X138" s="637">
        <f t="shared" si="318"/>
        <v>42052.380421636612</v>
      </c>
      <c r="Y138" s="637">
        <f t="shared" si="319"/>
        <v>39069.251678613386</v>
      </c>
      <c r="Z138" s="643">
        <f t="shared" si="320"/>
        <v>169154.90904414622</v>
      </c>
      <c r="AB138" s="644">
        <f t="shared" si="269"/>
        <v>72468.399990670063</v>
      </c>
      <c r="AC138" s="645">
        <f t="shared" si="257"/>
        <v>71078.828757628246</v>
      </c>
      <c r="AD138" s="644">
        <f t="shared" si="321"/>
        <v>0</v>
      </c>
      <c r="AE138" s="645">
        <f t="shared" si="322"/>
        <v>72468.399990670063</v>
      </c>
      <c r="AF138" s="646">
        <f t="shared" si="323"/>
        <v>-898.30027643728852</v>
      </c>
      <c r="AG138" s="647">
        <f t="shared" si="324"/>
        <v>71570.099714232769</v>
      </c>
      <c r="AH138" s="644">
        <f t="shared" si="270"/>
        <v>0</v>
      </c>
      <c r="AI138" s="645">
        <f t="shared" si="271"/>
        <v>71570.099714232769</v>
      </c>
      <c r="AJ138" s="646">
        <f t="shared" si="325"/>
        <v>-90.158259872303205</v>
      </c>
      <c r="AK138" s="647">
        <f t="shared" si="272"/>
        <v>71479.941454360465</v>
      </c>
      <c r="AL138" s="644">
        <f t="shared" si="326"/>
        <v>0</v>
      </c>
      <c r="AM138" s="645">
        <f t="shared" si="327"/>
        <v>71479.941454360465</v>
      </c>
      <c r="AN138" s="646">
        <f t="shared" si="328"/>
        <v>-5.7476168340436666E-2</v>
      </c>
      <c r="AO138" s="647">
        <f t="shared" si="273"/>
        <v>71479.883978192127</v>
      </c>
      <c r="AP138" s="644">
        <f t="shared" si="329"/>
        <v>0</v>
      </c>
      <c r="AQ138" s="645">
        <f t="shared" si="330"/>
        <v>71479.883978192127</v>
      </c>
      <c r="AR138" s="646">
        <f t="shared" si="331"/>
        <v>0</v>
      </c>
      <c r="AS138" s="647">
        <f t="shared" si="274"/>
        <v>71479.883978192127</v>
      </c>
      <c r="AT138" s="644">
        <f t="shared" si="332"/>
        <v>0</v>
      </c>
      <c r="AU138" s="645">
        <f t="shared" si="333"/>
        <v>71479.883978192127</v>
      </c>
      <c r="AV138" s="646">
        <f t="shared" si="334"/>
        <v>0</v>
      </c>
      <c r="AW138" s="647">
        <f t="shared" si="275"/>
        <v>71479.883978192127</v>
      </c>
      <c r="AY138" s="644">
        <f t="shared" si="335"/>
        <v>17117.16996225687</v>
      </c>
      <c r="AZ138" s="645">
        <f t="shared" si="276"/>
        <v>16149.324812386958</v>
      </c>
      <c r="BA138" s="644">
        <f t="shared" si="336"/>
        <v>0</v>
      </c>
      <c r="BB138" s="645">
        <f t="shared" si="337"/>
        <v>17117.16996225687</v>
      </c>
      <c r="BC138" s="646">
        <f t="shared" si="338"/>
        <v>-123.09455766303583</v>
      </c>
      <c r="BD138" s="647">
        <f t="shared" si="339"/>
        <v>16994.075404593834</v>
      </c>
      <c r="BE138" s="644">
        <f t="shared" si="277"/>
        <v>0</v>
      </c>
      <c r="BF138" s="645">
        <f t="shared" si="278"/>
        <v>16994.075404593834</v>
      </c>
      <c r="BG138" s="646">
        <f t="shared" si="340"/>
        <v>-404.78502696510526</v>
      </c>
      <c r="BH138" s="647">
        <f t="shared" si="279"/>
        <v>16589.290377628728</v>
      </c>
      <c r="BI138" s="644">
        <f t="shared" si="341"/>
        <v>0</v>
      </c>
      <c r="BJ138" s="645">
        <f t="shared" si="342"/>
        <v>16589.290377628728</v>
      </c>
      <c r="BK138" s="646">
        <f t="shared" si="343"/>
        <v>-35.14001337977799</v>
      </c>
      <c r="BL138" s="647">
        <f t="shared" si="280"/>
        <v>16554.150364248948</v>
      </c>
      <c r="BM138" s="644">
        <f t="shared" si="344"/>
        <v>0</v>
      </c>
      <c r="BN138" s="645">
        <f t="shared" si="345"/>
        <v>16554.150364248948</v>
      </c>
      <c r="BO138" s="646">
        <f t="shared" si="346"/>
        <v>-0.75739854485266811</v>
      </c>
      <c r="BP138" s="647">
        <f t="shared" si="281"/>
        <v>16553.392965704094</v>
      </c>
      <c r="BQ138" s="644">
        <f t="shared" si="347"/>
        <v>0</v>
      </c>
      <c r="BR138" s="645">
        <f t="shared" si="348"/>
        <v>16553.392965704094</v>
      </c>
      <c r="BS138" s="646">
        <f t="shared" si="349"/>
        <v>0</v>
      </c>
      <c r="BT138" s="647">
        <f t="shared" si="282"/>
        <v>16553.392965704094</v>
      </c>
      <c r="BU138" s="662">
        <f>VLOOKUP(B138,'Afton Update'!$A$5:$AR$582,'Afton Update'!$AO$589,0)-BT138</f>
        <v>0</v>
      </c>
      <c r="BV138" s="644">
        <f t="shared" si="350"/>
        <v>42438.34055960262</v>
      </c>
      <c r="BW138" s="645">
        <f t="shared" si="258"/>
        <v>38575.315297673282</v>
      </c>
      <c r="BX138" s="644">
        <f t="shared" si="351"/>
        <v>0</v>
      </c>
      <c r="BY138" s="645">
        <f t="shared" si="352"/>
        <v>42438.34055960262</v>
      </c>
      <c r="BZ138" s="646">
        <f t="shared" si="353"/>
        <v>-372.48582708559451</v>
      </c>
      <c r="CA138" s="647">
        <f t="shared" si="354"/>
        <v>42065.854732517029</v>
      </c>
      <c r="CB138" s="644">
        <f t="shared" si="283"/>
        <v>0</v>
      </c>
      <c r="CC138" s="645">
        <f t="shared" si="284"/>
        <v>42065.854732517029</v>
      </c>
      <c r="CD138" s="646">
        <f t="shared" si="355"/>
        <v>-13.474310880416377</v>
      </c>
      <c r="CE138" s="647">
        <f t="shared" si="285"/>
        <v>42052.380421636612</v>
      </c>
      <c r="CF138" s="644">
        <f t="shared" si="356"/>
        <v>0</v>
      </c>
      <c r="CG138" s="645">
        <f t="shared" si="357"/>
        <v>42052.380421636612</v>
      </c>
      <c r="CH138" s="646">
        <f t="shared" si="358"/>
        <v>0</v>
      </c>
      <c r="CI138" s="647">
        <f t="shared" si="286"/>
        <v>42052.380421636612</v>
      </c>
      <c r="CJ138" s="644">
        <f t="shared" si="359"/>
        <v>0</v>
      </c>
      <c r="CK138" s="645">
        <f t="shared" si="360"/>
        <v>42052.380421636612</v>
      </c>
      <c r="CL138" s="646">
        <f t="shared" si="361"/>
        <v>0</v>
      </c>
      <c r="CM138" s="647">
        <f t="shared" si="287"/>
        <v>42052.380421636612</v>
      </c>
      <c r="CN138" s="644">
        <f t="shared" si="362"/>
        <v>0</v>
      </c>
      <c r="CO138" s="645">
        <f t="shared" si="363"/>
        <v>42052.380421636612</v>
      </c>
      <c r="CP138" s="646">
        <f t="shared" si="364"/>
        <v>0</v>
      </c>
      <c r="CQ138" s="647">
        <f t="shared" si="288"/>
        <v>42052.380421636612</v>
      </c>
      <c r="CS138" s="644">
        <f t="shared" si="365"/>
        <v>39504.520381447765</v>
      </c>
      <c r="CT138" s="645">
        <f t="shared" si="259"/>
        <v>32390.085974053938</v>
      </c>
      <c r="CU138" s="644">
        <f t="shared" si="366"/>
        <v>0</v>
      </c>
      <c r="CV138" s="645">
        <f t="shared" si="367"/>
        <v>39504.520381447765</v>
      </c>
      <c r="CW138" s="646">
        <f t="shared" si="368"/>
        <v>-404.54861357863211</v>
      </c>
      <c r="CX138" s="647">
        <f t="shared" si="369"/>
        <v>39099.97176786913</v>
      </c>
      <c r="CY138" s="644">
        <f t="shared" si="289"/>
        <v>0</v>
      </c>
      <c r="CZ138" s="645">
        <f t="shared" si="290"/>
        <v>39099.97176786913</v>
      </c>
      <c r="DA138" s="646">
        <f t="shared" si="370"/>
        <v>-30.693619831602646</v>
      </c>
      <c r="DB138" s="647">
        <f t="shared" si="291"/>
        <v>39069.278148037527</v>
      </c>
      <c r="DC138" s="644">
        <f t="shared" si="371"/>
        <v>0</v>
      </c>
      <c r="DD138" s="645">
        <f t="shared" si="372"/>
        <v>39069.278148037527</v>
      </c>
      <c r="DE138" s="646">
        <f t="shared" si="373"/>
        <v>-2.6469424141644188E-2</v>
      </c>
      <c r="DF138" s="647">
        <f t="shared" si="292"/>
        <v>39069.251678613386</v>
      </c>
      <c r="DG138" s="644">
        <f t="shared" si="374"/>
        <v>0</v>
      </c>
      <c r="DH138" s="645">
        <f t="shared" si="375"/>
        <v>39069.251678613386</v>
      </c>
      <c r="DI138" s="646">
        <f t="shared" si="376"/>
        <v>0</v>
      </c>
      <c r="DJ138" s="647">
        <f t="shared" si="293"/>
        <v>39069.251678613386</v>
      </c>
      <c r="DK138" s="644">
        <f t="shared" si="377"/>
        <v>0</v>
      </c>
      <c r="DL138" s="645">
        <f t="shared" si="378"/>
        <v>39069.251678613386</v>
      </c>
      <c r="DM138" s="646">
        <f t="shared" si="379"/>
        <v>0</v>
      </c>
      <c r="DN138" s="647">
        <f t="shared" si="294"/>
        <v>39069.251678613386</v>
      </c>
      <c r="DR138" s="827">
        <f t="shared" si="295"/>
        <v>169154.90904414622</v>
      </c>
      <c r="DV138" s="828">
        <f>IFERROR(VLOOKUP($B138,'Afton FY16 Final'!$A$5:$BV$587,'Afton FY16 Final'!$BV$587,0),0)</f>
        <v>157075.0591613795</v>
      </c>
      <c r="DX138" s="636">
        <f t="shared" si="260"/>
        <v>169154.90904414622</v>
      </c>
      <c r="DY138" s="637">
        <f t="shared" si="261"/>
        <v>12079.849882766721</v>
      </c>
      <c r="DZ138" s="637">
        <f t="shared" si="262"/>
        <v>157075.0591613795</v>
      </c>
      <c r="EA138" s="643">
        <f t="shared" si="263"/>
        <v>160157.76366988654</v>
      </c>
      <c r="EB138" s="637">
        <f t="shared" si="296"/>
        <v>0</v>
      </c>
      <c r="EC138" s="637">
        <f t="shared" si="297"/>
        <v>160157.76366988654</v>
      </c>
      <c r="ED138" s="637">
        <f t="shared" si="298"/>
        <v>159680.18278127883</v>
      </c>
      <c r="EE138" s="643">
        <f t="shared" si="299"/>
        <v>159680.18278127883</v>
      </c>
      <c r="EF138" s="637">
        <f t="shared" si="300"/>
        <v>0</v>
      </c>
      <c r="EG138" s="637">
        <f t="shared" si="301"/>
        <v>159680.18278127883</v>
      </c>
      <c r="EH138" s="637">
        <f t="shared" si="302"/>
        <v>159680.01804546703</v>
      </c>
      <c r="EI138" s="643">
        <f t="shared" si="303"/>
        <v>159680.01804546703</v>
      </c>
      <c r="EJ138" s="637">
        <f t="shared" si="304"/>
        <v>0</v>
      </c>
      <c r="EK138" s="637">
        <f t="shared" si="305"/>
        <v>159680.01804546703</v>
      </c>
      <c r="EL138" s="637">
        <f t="shared" si="306"/>
        <v>159680.01804546683</v>
      </c>
      <c r="EM138" s="643">
        <f t="shared" si="307"/>
        <v>159680.01804546683</v>
      </c>
      <c r="EN138" s="637">
        <f t="shared" si="308"/>
        <v>0</v>
      </c>
      <c r="EO138" s="637">
        <f t="shared" si="309"/>
        <v>159680.01804546683</v>
      </c>
      <c r="EP138" s="637">
        <f t="shared" si="310"/>
        <v>159680.01804546706</v>
      </c>
      <c r="EQ138" s="643">
        <f t="shared" si="311"/>
        <v>159680.01804546706</v>
      </c>
      <c r="ER138" s="637">
        <f t="shared" si="312"/>
        <v>0</v>
      </c>
      <c r="ES138" s="637">
        <f t="shared" si="313"/>
        <v>159680.01804546706</v>
      </c>
      <c r="ET138" s="637">
        <f t="shared" si="314"/>
        <v>159680.01804546683</v>
      </c>
      <c r="EU138" s="643">
        <f t="shared" si="264"/>
        <v>159680.01804546683</v>
      </c>
      <c r="EV138" s="643">
        <f t="shared" si="265"/>
        <v>0</v>
      </c>
      <c r="EX138" s="829">
        <f t="shared" si="266"/>
        <v>9474.8909986793878</v>
      </c>
      <c r="EY138" s="638">
        <f t="shared" si="267"/>
        <v>159680.01804546683</v>
      </c>
      <c r="FC138" s="830" t="str">
        <f t="shared" si="315"/>
        <v>Y</v>
      </c>
      <c r="FE138" s="830" t="str">
        <f>IFERROR(VLOOKUP($B138,'Historical Conc Grant Elig'!$B$3:$J$707,'HH &amp; SI'!FE$2,0),"N")</f>
        <v>N</v>
      </c>
      <c r="FF138" s="830" t="str">
        <f>IFERROR(VLOOKUP($B138,'Historical Conc Grant Elig'!$B$3:$J$707,'HH &amp; SI'!FF$2,0),"N")</f>
        <v>N</v>
      </c>
      <c r="FG138" s="830" t="str">
        <f>IFERROR(VLOOKUP($B138,'Historical Conc Grant Elig'!$B$3:$J$707,'HH &amp; SI'!FG$2,0),"N")</f>
        <v>N</v>
      </c>
      <c r="FH138" s="830" t="str">
        <f>IFERROR(VLOOKUP($B138,'Historical Conc Grant Elig'!$B$3:$J$707,'HH &amp; SI'!FH$2,0),"N")</f>
        <v>Y</v>
      </c>
      <c r="FI138" s="830" t="str">
        <f>IFERROR(VLOOKUP($B138,'Historical Conc Grant Elig'!$B$3:$J$707,'HH &amp; SI'!FI$2,0),"N")</f>
        <v>Y</v>
      </c>
      <c r="FJ138" s="830" t="str">
        <f>IFERROR(VLOOKUP($B138,'Historical Conc Grant Elig'!$B$3:$J$707,'HH &amp; SI'!FJ$2,0),"N")</f>
        <v>Y</v>
      </c>
      <c r="FK138" s="830" t="str">
        <f>IFERROR(VLOOKUP($B138,'Historical Conc Grant Elig'!$B$3:$J$707,'HH &amp; SI'!FK$2,0),"N")</f>
        <v>Y</v>
      </c>
      <c r="FL138" s="957" t="str">
        <f>IFERROR(VLOOKUP($B138,'Historical Conc Grant Elig'!$B$3:$J$707,'HH &amp; SI'!FL$2,0),"N")</f>
        <v>Y</v>
      </c>
    </row>
    <row r="139" spans="2:168" x14ac:dyDescent="0.25">
      <c r="B139" s="634">
        <v>78217000</v>
      </c>
      <c r="C139" s="635" t="str">
        <f>VLOOKUP($B139,'Afton Update'!$A$5:$CR$582,'Afton Update'!D$589,0)</f>
        <v>SySTEM Schools</v>
      </c>
      <c r="D139" s="636">
        <f>IFERROR(VLOOKUP($B139,'Afton FY16 Final'!$A$5:$BV$587,'Afton FY16 Final'!AQ$587,0),0)</f>
        <v>33208.748698081989</v>
      </c>
      <c r="E139" s="637">
        <f>IFERROR(VLOOKUP($B139,'Afton FY16 Final'!$A$5:$BV$587,'Afton FY16 Final'!AR$587,0),0)</f>
        <v>8651.9857743547964</v>
      </c>
      <c r="F139" s="637">
        <f>IFERROR(VLOOKUP($B139,'Afton FY16 Final'!$A$5:$BV$587,'Afton FY16 Final'!AS$587,0),0)</f>
        <v>18022.778006625871</v>
      </c>
      <c r="G139" s="637">
        <f>IFERROR(VLOOKUP($B139,'Afton FY16 Final'!$A$5:$BV$587,'Afton FY16 Final'!AT$587,0),0)</f>
        <v>15132.976221223804</v>
      </c>
      <c r="H139" s="638">
        <f>IFERROR(VLOOKUP($B139,'Afton FY16 Final'!$A$5:$BV$587,'Afton FY16 Final'!AU$587,0),0)</f>
        <v>75016.488700286456</v>
      </c>
      <c r="I139" s="639" t="str">
        <f>VLOOKUP($B139,'Afton Update'!$A$5:$CR$582,'Afton Update'!BT$589,0)</f>
        <v>Y</v>
      </c>
      <c r="J139" s="640" t="str">
        <f>VLOOKUP($B139,'Afton Update'!$A$5:$CR$582,'Afton Update'!BU$589,0)</f>
        <v>Y</v>
      </c>
      <c r="K139" s="640" t="str">
        <f>VLOOKUP($B139,'Afton Update'!$A$5:$CR$582,'Afton Update'!BV$589,0)</f>
        <v>Y</v>
      </c>
      <c r="L139" s="641" t="str">
        <f>VLOOKUP($B139,'Afton Update'!$A$5:$CR$582,'Afton Update'!BW$589,0)</f>
        <v>Y</v>
      </c>
      <c r="N139" s="642">
        <f>VLOOKUP($B139,'Afton Update'!$A$5:$CR$582,'Afton Update'!CB$589,0)</f>
        <v>0.95</v>
      </c>
      <c r="P139" s="636">
        <f>VLOOKUP($B139,'Afton Update'!$A$5:$CR$582,'Afton Update'!AH$589,0)</f>
        <v>39702.159730862142</v>
      </c>
      <c r="Q139" s="637">
        <f>VLOOKUP($B139,'Afton Update'!$A$5:$CR$582,'Afton Update'!AI$589,0)</f>
        <v>10341.164168918971</v>
      </c>
      <c r="R139" s="637">
        <f>VLOOKUP($B139,'Afton Update'!$A$5:$CR$582,'Afton Update'!AJ$589,0)</f>
        <v>23261.505614815873</v>
      </c>
      <c r="S139" s="637">
        <f>VLOOKUP($B139,'Afton Update'!$A$5:$CR$582,'Afton Update'!AK$589,0)</f>
        <v>21653.406107457384</v>
      </c>
      <c r="T139" s="643">
        <f t="shared" si="268"/>
        <v>94958.235622054373</v>
      </c>
      <c r="V139" s="636">
        <f t="shared" si="316"/>
        <v>39160.596502903936</v>
      </c>
      <c r="W139" s="637">
        <f t="shared" si="317"/>
        <v>10000.564029476085</v>
      </c>
      <c r="X139" s="637">
        <f t="shared" si="318"/>
        <v>23049.951303360591</v>
      </c>
      <c r="Y139" s="637">
        <f t="shared" si="319"/>
        <v>21414.824550275258</v>
      </c>
      <c r="Z139" s="643">
        <f t="shared" si="320"/>
        <v>93625.936386015863</v>
      </c>
      <c r="AB139" s="644">
        <f t="shared" si="269"/>
        <v>39702.159730862142</v>
      </c>
      <c r="AC139" s="645">
        <f t="shared" si="257"/>
        <v>31548.311263177886</v>
      </c>
      <c r="AD139" s="644">
        <f t="shared" si="321"/>
        <v>0</v>
      </c>
      <c r="AE139" s="645">
        <f t="shared" si="322"/>
        <v>39702.159730862142</v>
      </c>
      <c r="AF139" s="646">
        <f t="shared" si="323"/>
        <v>-492.13810524287089</v>
      </c>
      <c r="AG139" s="647">
        <f t="shared" si="324"/>
        <v>39210.021625619273</v>
      </c>
      <c r="AH139" s="644">
        <f t="shared" si="270"/>
        <v>0</v>
      </c>
      <c r="AI139" s="645">
        <f t="shared" si="271"/>
        <v>39210.021625619273</v>
      </c>
      <c r="AJ139" s="646">
        <f t="shared" si="325"/>
        <v>-49.393634121459833</v>
      </c>
      <c r="AK139" s="647">
        <f t="shared" si="272"/>
        <v>39160.627991497815</v>
      </c>
      <c r="AL139" s="644">
        <f t="shared" si="326"/>
        <v>0</v>
      </c>
      <c r="AM139" s="645">
        <f t="shared" si="327"/>
        <v>39160.627991497815</v>
      </c>
      <c r="AN139" s="646">
        <f t="shared" si="328"/>
        <v>-3.1488593876278836E-2</v>
      </c>
      <c r="AO139" s="647">
        <f t="shared" si="273"/>
        <v>39160.596502903936</v>
      </c>
      <c r="AP139" s="644">
        <f t="shared" si="329"/>
        <v>0</v>
      </c>
      <c r="AQ139" s="645">
        <f t="shared" si="330"/>
        <v>39160.596502903936</v>
      </c>
      <c r="AR139" s="646">
        <f t="shared" si="331"/>
        <v>0</v>
      </c>
      <c r="AS139" s="647">
        <f t="shared" si="274"/>
        <v>39160.596502903936</v>
      </c>
      <c r="AT139" s="644">
        <f t="shared" si="332"/>
        <v>0</v>
      </c>
      <c r="AU139" s="645">
        <f t="shared" si="333"/>
        <v>39160.596502903936</v>
      </c>
      <c r="AV139" s="646">
        <f t="shared" si="334"/>
        <v>0</v>
      </c>
      <c r="AW139" s="647">
        <f t="shared" si="275"/>
        <v>39160.596502903936</v>
      </c>
      <c r="AY139" s="644">
        <f t="shared" si="335"/>
        <v>10341.164168918971</v>
      </c>
      <c r="AZ139" s="645">
        <f t="shared" si="276"/>
        <v>8219.3864856370565</v>
      </c>
      <c r="BA139" s="644">
        <f t="shared" si="336"/>
        <v>0</v>
      </c>
      <c r="BB139" s="645">
        <f t="shared" si="337"/>
        <v>10341.164168918971</v>
      </c>
      <c r="BC139" s="646">
        <f t="shared" si="338"/>
        <v>-74.366325268764299</v>
      </c>
      <c r="BD139" s="647">
        <f t="shared" si="339"/>
        <v>10266.797843650207</v>
      </c>
      <c r="BE139" s="644">
        <f t="shared" si="277"/>
        <v>0</v>
      </c>
      <c r="BF139" s="645">
        <f t="shared" si="278"/>
        <v>10266.797843650207</v>
      </c>
      <c r="BG139" s="646">
        <f t="shared" si="340"/>
        <v>-244.5467577991225</v>
      </c>
      <c r="BH139" s="647">
        <f t="shared" si="279"/>
        <v>10022.251085851085</v>
      </c>
      <c r="BI139" s="644">
        <f t="shared" si="341"/>
        <v>0</v>
      </c>
      <c r="BJ139" s="645">
        <f t="shared" si="342"/>
        <v>10022.251085851085</v>
      </c>
      <c r="BK139" s="646">
        <f t="shared" si="343"/>
        <v>-21.229481746080722</v>
      </c>
      <c r="BL139" s="647">
        <f t="shared" si="280"/>
        <v>10001.021604105004</v>
      </c>
      <c r="BM139" s="644">
        <f t="shared" si="344"/>
        <v>0</v>
      </c>
      <c r="BN139" s="645">
        <f t="shared" si="345"/>
        <v>10001.021604105004</v>
      </c>
      <c r="BO139" s="646">
        <f t="shared" si="346"/>
        <v>-0.45757462891892059</v>
      </c>
      <c r="BP139" s="647">
        <f t="shared" si="281"/>
        <v>10000.564029476085</v>
      </c>
      <c r="BQ139" s="644">
        <f t="shared" si="347"/>
        <v>0</v>
      </c>
      <c r="BR139" s="645">
        <f t="shared" si="348"/>
        <v>10000.564029476085</v>
      </c>
      <c r="BS139" s="646">
        <f t="shared" si="349"/>
        <v>0</v>
      </c>
      <c r="BT139" s="647">
        <f t="shared" si="282"/>
        <v>10000.564029476085</v>
      </c>
      <c r="BU139" s="662">
        <f>VLOOKUP(B139,'Afton Update'!$A$5:$AR$582,'Afton Update'!$AO$589,0)-BT139</f>
        <v>0</v>
      </c>
      <c r="BV139" s="644">
        <f t="shared" si="350"/>
        <v>23261.505614815873</v>
      </c>
      <c r="BW139" s="645">
        <f t="shared" si="258"/>
        <v>17121.639106294577</v>
      </c>
      <c r="BX139" s="644">
        <f t="shared" si="351"/>
        <v>0</v>
      </c>
      <c r="BY139" s="645">
        <f t="shared" si="352"/>
        <v>23261.505614815873</v>
      </c>
      <c r="BZ139" s="646">
        <f t="shared" si="353"/>
        <v>-204.16870791688712</v>
      </c>
      <c r="CA139" s="647">
        <f t="shared" si="354"/>
        <v>23057.336906898985</v>
      </c>
      <c r="CB139" s="644">
        <f t="shared" si="283"/>
        <v>0</v>
      </c>
      <c r="CC139" s="645">
        <f t="shared" si="284"/>
        <v>23057.336906898985</v>
      </c>
      <c r="CD139" s="646">
        <f t="shared" si="355"/>
        <v>-7.3856035383942222</v>
      </c>
      <c r="CE139" s="647">
        <f t="shared" si="285"/>
        <v>23049.951303360591</v>
      </c>
      <c r="CF139" s="644">
        <f t="shared" si="356"/>
        <v>0</v>
      </c>
      <c r="CG139" s="645">
        <f t="shared" si="357"/>
        <v>23049.951303360591</v>
      </c>
      <c r="CH139" s="646">
        <f t="shared" si="358"/>
        <v>0</v>
      </c>
      <c r="CI139" s="647">
        <f t="shared" si="286"/>
        <v>23049.951303360591</v>
      </c>
      <c r="CJ139" s="644">
        <f t="shared" si="359"/>
        <v>0</v>
      </c>
      <c r="CK139" s="645">
        <f t="shared" si="360"/>
        <v>23049.951303360591</v>
      </c>
      <c r="CL139" s="646">
        <f t="shared" si="361"/>
        <v>0</v>
      </c>
      <c r="CM139" s="647">
        <f t="shared" si="287"/>
        <v>23049.951303360591</v>
      </c>
      <c r="CN139" s="644">
        <f t="shared" si="362"/>
        <v>0</v>
      </c>
      <c r="CO139" s="645">
        <f t="shared" si="363"/>
        <v>23049.951303360591</v>
      </c>
      <c r="CP139" s="646">
        <f t="shared" si="364"/>
        <v>0</v>
      </c>
      <c r="CQ139" s="647">
        <f t="shared" si="288"/>
        <v>23049.951303360591</v>
      </c>
      <c r="CS139" s="644">
        <f t="shared" si="365"/>
        <v>21653.406107457384</v>
      </c>
      <c r="CT139" s="645">
        <f t="shared" si="259"/>
        <v>14376.327410162612</v>
      </c>
      <c r="CU139" s="644">
        <f t="shared" si="366"/>
        <v>0</v>
      </c>
      <c r="CV139" s="645">
        <f t="shared" si="367"/>
        <v>21653.406107457384</v>
      </c>
      <c r="CW139" s="646">
        <f t="shared" si="368"/>
        <v>-221.74311535600364</v>
      </c>
      <c r="CX139" s="647">
        <f t="shared" si="369"/>
        <v>21431.662992101381</v>
      </c>
      <c r="CY139" s="644">
        <f t="shared" si="289"/>
        <v>0</v>
      </c>
      <c r="CZ139" s="645">
        <f t="shared" si="290"/>
        <v>21431.662992101381</v>
      </c>
      <c r="DA139" s="646">
        <f t="shared" si="370"/>
        <v>-16.823933279132316</v>
      </c>
      <c r="DB139" s="647">
        <f t="shared" si="291"/>
        <v>21414.83905882225</v>
      </c>
      <c r="DC139" s="644">
        <f t="shared" si="371"/>
        <v>0</v>
      </c>
      <c r="DD139" s="645">
        <f t="shared" si="372"/>
        <v>21414.83905882225</v>
      </c>
      <c r="DE139" s="646">
        <f t="shared" si="373"/>
        <v>-1.4508546992478468E-2</v>
      </c>
      <c r="DF139" s="647">
        <f t="shared" si="292"/>
        <v>21414.824550275258</v>
      </c>
      <c r="DG139" s="644">
        <f t="shared" si="374"/>
        <v>0</v>
      </c>
      <c r="DH139" s="645">
        <f t="shared" si="375"/>
        <v>21414.824550275258</v>
      </c>
      <c r="DI139" s="646">
        <f t="shared" si="376"/>
        <v>0</v>
      </c>
      <c r="DJ139" s="647">
        <f t="shared" si="293"/>
        <v>21414.824550275258</v>
      </c>
      <c r="DK139" s="644">
        <f t="shared" si="377"/>
        <v>0</v>
      </c>
      <c r="DL139" s="645">
        <f t="shared" si="378"/>
        <v>21414.824550275258</v>
      </c>
      <c r="DM139" s="646">
        <f t="shared" si="379"/>
        <v>0</v>
      </c>
      <c r="DN139" s="647">
        <f t="shared" si="294"/>
        <v>21414.824550275258</v>
      </c>
      <c r="DR139" s="827">
        <f t="shared" si="295"/>
        <v>93625.936386015863</v>
      </c>
      <c r="DV139" s="828">
        <f>IFERROR(VLOOKUP($B139,'Afton FY16 Final'!$A$5:$BV$587,'Afton FY16 Final'!$BV$587,0),0)</f>
        <v>66601.91761641296</v>
      </c>
      <c r="DX139" s="636">
        <f t="shared" si="260"/>
        <v>93625.936386015863</v>
      </c>
      <c r="DY139" s="637">
        <f t="shared" si="261"/>
        <v>27024.018769602902</v>
      </c>
      <c r="DZ139" s="637">
        <f t="shared" si="262"/>
        <v>66601.91761641296</v>
      </c>
      <c r="EA139" s="643">
        <f t="shared" si="263"/>
        <v>88646.085873688527</v>
      </c>
      <c r="EB139" s="637">
        <f t="shared" si="296"/>
        <v>0</v>
      </c>
      <c r="EC139" s="637">
        <f t="shared" si="297"/>
        <v>88646.085873688527</v>
      </c>
      <c r="ED139" s="637">
        <f t="shared" si="298"/>
        <v>88381.748538469401</v>
      </c>
      <c r="EE139" s="643">
        <f t="shared" si="299"/>
        <v>88381.748538469401</v>
      </c>
      <c r="EF139" s="637">
        <f t="shared" si="300"/>
        <v>0</v>
      </c>
      <c r="EG139" s="637">
        <f t="shared" si="301"/>
        <v>88381.748538469401</v>
      </c>
      <c r="EH139" s="637">
        <f t="shared" si="302"/>
        <v>88381.657358469238</v>
      </c>
      <c r="EI139" s="643">
        <f t="shared" si="303"/>
        <v>88381.657358469238</v>
      </c>
      <c r="EJ139" s="637">
        <f t="shared" si="304"/>
        <v>0</v>
      </c>
      <c r="EK139" s="637">
        <f t="shared" si="305"/>
        <v>88381.657358469238</v>
      </c>
      <c r="EL139" s="637">
        <f t="shared" si="306"/>
        <v>88381.657358469121</v>
      </c>
      <c r="EM139" s="643">
        <f t="shared" si="307"/>
        <v>88381.657358469121</v>
      </c>
      <c r="EN139" s="637">
        <f t="shared" si="308"/>
        <v>0</v>
      </c>
      <c r="EO139" s="637">
        <f t="shared" si="309"/>
        <v>88381.657358469121</v>
      </c>
      <c r="EP139" s="637">
        <f t="shared" si="310"/>
        <v>88381.657358469252</v>
      </c>
      <c r="EQ139" s="643">
        <f t="shared" si="311"/>
        <v>88381.657358469252</v>
      </c>
      <c r="ER139" s="637">
        <f t="shared" si="312"/>
        <v>0</v>
      </c>
      <c r="ES139" s="637">
        <f t="shared" si="313"/>
        <v>88381.657358469252</v>
      </c>
      <c r="ET139" s="637">
        <f t="shared" si="314"/>
        <v>88381.657358469121</v>
      </c>
      <c r="EU139" s="643">
        <f t="shared" si="264"/>
        <v>88381.657358469121</v>
      </c>
      <c r="EV139" s="643">
        <f t="shared" si="265"/>
        <v>0</v>
      </c>
      <c r="EX139" s="829">
        <f t="shared" si="266"/>
        <v>5244.2790275467414</v>
      </c>
      <c r="EY139" s="638">
        <f t="shared" si="267"/>
        <v>88381.657358469121</v>
      </c>
      <c r="FC139" s="830" t="str">
        <f t="shared" si="315"/>
        <v>Y</v>
      </c>
      <c r="FE139" s="830" t="str">
        <f>IFERROR(VLOOKUP($B139,'Historical Conc Grant Elig'!$B$3:$J$707,'HH &amp; SI'!FE$2,0),"N")</f>
        <v>N</v>
      </c>
      <c r="FF139" s="830" t="str">
        <f>IFERROR(VLOOKUP($B139,'Historical Conc Grant Elig'!$B$3:$J$707,'HH &amp; SI'!FF$2,0),"N")</f>
        <v>N</v>
      </c>
      <c r="FG139" s="830" t="str">
        <f>IFERROR(VLOOKUP($B139,'Historical Conc Grant Elig'!$B$3:$J$707,'HH &amp; SI'!FG$2,0),"N")</f>
        <v>N</v>
      </c>
      <c r="FH139" s="830" t="str">
        <f>IFERROR(VLOOKUP($B139,'Historical Conc Grant Elig'!$B$3:$J$707,'HH &amp; SI'!FH$2,0),"N")</f>
        <v>N</v>
      </c>
      <c r="FI139" s="830" t="str">
        <f>IFERROR(VLOOKUP($B139,'Historical Conc Grant Elig'!$B$3:$J$707,'HH &amp; SI'!FI$2,0),"N")</f>
        <v>N</v>
      </c>
      <c r="FJ139" s="830" t="str">
        <f>IFERROR(VLOOKUP($B139,'Historical Conc Grant Elig'!$B$3:$J$707,'HH &amp; SI'!FJ$2,0),"N")</f>
        <v>Y</v>
      </c>
      <c r="FK139" s="830" t="str">
        <f>IFERROR(VLOOKUP($B139,'Historical Conc Grant Elig'!$B$3:$J$707,'HH &amp; SI'!FK$2,0),"N")</f>
        <v>Y</v>
      </c>
      <c r="FL139" s="957" t="str">
        <f>IFERROR(VLOOKUP($B139,'Historical Conc Grant Elig'!$B$3:$J$707,'HH &amp; SI'!FL$2,0),"N")</f>
        <v>Y</v>
      </c>
    </row>
    <row r="140" spans="2:168" x14ac:dyDescent="0.25">
      <c r="B140" s="634">
        <v>78218000</v>
      </c>
      <c r="C140" s="635" t="str">
        <f>VLOOKUP($B140,'Afton Update'!$A$5:$CR$582,'Afton Update'!D$589,0)</f>
        <v>CASA Academy</v>
      </c>
      <c r="D140" s="636">
        <f>IFERROR(VLOOKUP($B140,'Afton FY16 Final'!$A$5:$BV$587,'Afton FY16 Final'!AQ$587,0),0)</f>
        <v>38425.795378829243</v>
      </c>
      <c r="E140" s="637">
        <f>IFERROR(VLOOKUP($B140,'Afton FY16 Final'!$A$5:$BV$587,'Afton FY16 Final'!AR$587,0),0)</f>
        <v>9711.1442518463791</v>
      </c>
      <c r="F140" s="637">
        <f>IFERROR(VLOOKUP($B140,'Afton FY16 Final'!$A$5:$BV$587,'Afton FY16 Final'!AS$587,0),0)</f>
        <v>20854.1305225592</v>
      </c>
      <c r="G140" s="637">
        <f>IFERROR(VLOOKUP($B140,'Afton FY16 Final'!$A$5:$BV$587,'Afton FY16 Final'!AT$587,0),0)</f>
        <v>17510.345030947206</v>
      </c>
      <c r="H140" s="638">
        <f>IFERROR(VLOOKUP($B140,'Afton FY16 Final'!$A$5:$BV$587,'Afton FY16 Final'!AU$587,0),0)</f>
        <v>86501.415184182028</v>
      </c>
      <c r="I140" s="639" t="str">
        <f>VLOOKUP($B140,'Afton Update'!$A$5:$CR$582,'Afton Update'!BT$589,0)</f>
        <v>Y</v>
      </c>
      <c r="J140" s="640" t="str">
        <f>VLOOKUP($B140,'Afton Update'!$A$5:$CR$582,'Afton Update'!BU$589,0)</f>
        <v>Y</v>
      </c>
      <c r="K140" s="640" t="str">
        <f>VLOOKUP($B140,'Afton Update'!$A$5:$CR$582,'Afton Update'!BV$589,0)</f>
        <v>Y</v>
      </c>
      <c r="L140" s="641" t="str">
        <f>VLOOKUP($B140,'Afton Update'!$A$5:$CR$582,'Afton Update'!BW$589,0)</f>
        <v>Y</v>
      </c>
      <c r="N140" s="642">
        <f>VLOOKUP($B140,'Afton Update'!$A$5:$CR$582,'Afton Update'!CB$589,0)</f>
        <v>0.95</v>
      </c>
      <c r="P140" s="636">
        <f>VLOOKUP($B140,'Afton Update'!$A$5:$CR$582,'Afton Update'!AH$589,0)</f>
        <v>44485.552469520233</v>
      </c>
      <c r="Q140" s="637">
        <f>VLOOKUP($B140,'Afton Update'!$A$5:$CR$582,'Afton Update'!AI$589,0)</f>
        <v>11330.362094953702</v>
      </c>
      <c r="R140" s="637">
        <f>VLOOKUP($B140,'Afton Update'!$A$5:$CR$582,'Afton Update'!AJ$589,0)</f>
        <v>26061.043562959927</v>
      </c>
      <c r="S140" s="637">
        <f>VLOOKUP($B140,'Afton Update'!$A$5:$CR$582,'Afton Update'!AK$589,0)</f>
        <v>24259.408191251601</v>
      </c>
      <c r="T140" s="643">
        <f t="shared" si="268"/>
        <v>106136.36631868545</v>
      </c>
      <c r="V140" s="636">
        <f t="shared" si="316"/>
        <v>43878.740659880321</v>
      </c>
      <c r="W140" s="637">
        <f t="shared" si="317"/>
        <v>10957.18139242908</v>
      </c>
      <c r="X140" s="637">
        <f t="shared" si="318"/>
        <v>25824.028546904538</v>
      </c>
      <c r="Y140" s="637">
        <f t="shared" si="319"/>
        <v>23992.113182149438</v>
      </c>
      <c r="Z140" s="643">
        <f t="shared" si="320"/>
        <v>104652.06378136337</v>
      </c>
      <c r="AB140" s="644">
        <f t="shared" si="269"/>
        <v>44485.552469520233</v>
      </c>
      <c r="AC140" s="645">
        <f t="shared" si="257"/>
        <v>36504.505609887783</v>
      </c>
      <c r="AD140" s="644">
        <f t="shared" si="321"/>
        <v>0</v>
      </c>
      <c r="AE140" s="645">
        <f t="shared" si="322"/>
        <v>44485.552469520233</v>
      </c>
      <c r="AF140" s="646">
        <f t="shared" si="323"/>
        <v>-551.43185286249388</v>
      </c>
      <c r="AG140" s="647">
        <f t="shared" si="324"/>
        <v>43934.120616657739</v>
      </c>
      <c r="AH140" s="644">
        <f t="shared" si="270"/>
        <v>0</v>
      </c>
      <c r="AI140" s="645">
        <f t="shared" si="271"/>
        <v>43934.120616657739</v>
      </c>
      <c r="AJ140" s="646">
        <f t="shared" si="325"/>
        <v>-55.344674377057416</v>
      </c>
      <c r="AK140" s="647">
        <f t="shared" si="272"/>
        <v>43878.775942280685</v>
      </c>
      <c r="AL140" s="644">
        <f t="shared" si="326"/>
        <v>0</v>
      </c>
      <c r="AM140" s="645">
        <f t="shared" si="327"/>
        <v>43878.775942280685</v>
      </c>
      <c r="AN140" s="646">
        <f t="shared" si="328"/>
        <v>-3.5282400367396764E-2</v>
      </c>
      <c r="AO140" s="647">
        <f t="shared" si="273"/>
        <v>43878.740659880321</v>
      </c>
      <c r="AP140" s="644">
        <f t="shared" si="329"/>
        <v>0</v>
      </c>
      <c r="AQ140" s="645">
        <f t="shared" si="330"/>
        <v>43878.740659880321</v>
      </c>
      <c r="AR140" s="646">
        <f t="shared" si="331"/>
        <v>0</v>
      </c>
      <c r="AS140" s="647">
        <f t="shared" si="274"/>
        <v>43878.740659880321</v>
      </c>
      <c r="AT140" s="644">
        <f t="shared" si="332"/>
        <v>0</v>
      </c>
      <c r="AU140" s="645">
        <f t="shared" si="333"/>
        <v>43878.740659880321</v>
      </c>
      <c r="AV140" s="646">
        <f t="shared" si="334"/>
        <v>0</v>
      </c>
      <c r="AW140" s="647">
        <f t="shared" si="275"/>
        <v>43878.740659880321</v>
      </c>
      <c r="AY140" s="644">
        <f t="shared" si="335"/>
        <v>11330.362094953702</v>
      </c>
      <c r="AZ140" s="645">
        <f t="shared" si="276"/>
        <v>9225.5870392540601</v>
      </c>
      <c r="BA140" s="644">
        <f t="shared" si="336"/>
        <v>0</v>
      </c>
      <c r="BB140" s="645">
        <f t="shared" si="337"/>
        <v>11330.362094953702</v>
      </c>
      <c r="BC140" s="646">
        <f t="shared" si="338"/>
        <v>-81.4799358372711</v>
      </c>
      <c r="BD140" s="647">
        <f t="shared" si="339"/>
        <v>11248.882159116431</v>
      </c>
      <c r="BE140" s="644">
        <f t="shared" si="277"/>
        <v>0</v>
      </c>
      <c r="BF140" s="645">
        <f t="shared" si="278"/>
        <v>11248.882159116431</v>
      </c>
      <c r="BG140" s="646">
        <f t="shared" si="340"/>
        <v>-267.93920585255069</v>
      </c>
      <c r="BH140" s="647">
        <f t="shared" si="279"/>
        <v>10980.942953263881</v>
      </c>
      <c r="BI140" s="644">
        <f t="shared" si="341"/>
        <v>0</v>
      </c>
      <c r="BJ140" s="645">
        <f t="shared" si="342"/>
        <v>10980.942953263881</v>
      </c>
      <c r="BK140" s="646">
        <f t="shared" si="343"/>
        <v>-23.260216291146016</v>
      </c>
      <c r="BL140" s="647">
        <f t="shared" si="280"/>
        <v>10957.682736972734</v>
      </c>
      <c r="BM140" s="644">
        <f t="shared" si="344"/>
        <v>0</v>
      </c>
      <c r="BN140" s="645">
        <f t="shared" si="345"/>
        <v>10957.682736972734</v>
      </c>
      <c r="BO140" s="646">
        <f t="shared" si="346"/>
        <v>-0.50134454365377434</v>
      </c>
      <c r="BP140" s="647">
        <f t="shared" si="281"/>
        <v>10957.18139242908</v>
      </c>
      <c r="BQ140" s="644">
        <f t="shared" si="347"/>
        <v>0</v>
      </c>
      <c r="BR140" s="645">
        <f t="shared" si="348"/>
        <v>10957.18139242908</v>
      </c>
      <c r="BS140" s="646">
        <f t="shared" si="349"/>
        <v>0</v>
      </c>
      <c r="BT140" s="647">
        <f t="shared" si="282"/>
        <v>10957.18139242908</v>
      </c>
      <c r="BU140" s="662">
        <f>VLOOKUP(B140,'Afton Update'!$A$5:$AR$582,'Afton Update'!$AO$589,0)-BT140</f>
        <v>0</v>
      </c>
      <c r="BV140" s="644">
        <f t="shared" si="350"/>
        <v>26061.043562959927</v>
      </c>
      <c r="BW140" s="645">
        <f t="shared" si="258"/>
        <v>19811.42399643124</v>
      </c>
      <c r="BX140" s="644">
        <f t="shared" si="351"/>
        <v>0</v>
      </c>
      <c r="BY140" s="645">
        <f t="shared" si="352"/>
        <v>26061.043562959927</v>
      </c>
      <c r="BZ140" s="646">
        <f t="shared" si="353"/>
        <v>-228.74055013129697</v>
      </c>
      <c r="CA140" s="647">
        <f t="shared" si="354"/>
        <v>25832.30301282863</v>
      </c>
      <c r="CB140" s="644">
        <f t="shared" si="283"/>
        <v>0</v>
      </c>
      <c r="CC140" s="645">
        <f t="shared" si="284"/>
        <v>25832.30301282863</v>
      </c>
      <c r="CD140" s="646">
        <f t="shared" si="355"/>
        <v>-8.2744659240908884</v>
      </c>
      <c r="CE140" s="647">
        <f t="shared" si="285"/>
        <v>25824.028546904538</v>
      </c>
      <c r="CF140" s="644">
        <f t="shared" si="356"/>
        <v>0</v>
      </c>
      <c r="CG140" s="645">
        <f t="shared" si="357"/>
        <v>25824.028546904538</v>
      </c>
      <c r="CH140" s="646">
        <f t="shared" si="358"/>
        <v>0</v>
      </c>
      <c r="CI140" s="647">
        <f t="shared" si="286"/>
        <v>25824.028546904538</v>
      </c>
      <c r="CJ140" s="644">
        <f t="shared" si="359"/>
        <v>0</v>
      </c>
      <c r="CK140" s="645">
        <f t="shared" si="360"/>
        <v>25824.028546904538</v>
      </c>
      <c r="CL140" s="646">
        <f t="shared" si="361"/>
        <v>0</v>
      </c>
      <c r="CM140" s="647">
        <f t="shared" si="287"/>
        <v>25824.028546904538</v>
      </c>
      <c r="CN140" s="644">
        <f t="shared" si="362"/>
        <v>0</v>
      </c>
      <c r="CO140" s="645">
        <f t="shared" si="363"/>
        <v>25824.028546904538</v>
      </c>
      <c r="CP140" s="646">
        <f t="shared" si="364"/>
        <v>0</v>
      </c>
      <c r="CQ140" s="647">
        <f t="shared" si="288"/>
        <v>25824.028546904538</v>
      </c>
      <c r="CS140" s="644">
        <f t="shared" si="365"/>
        <v>24259.408191251601</v>
      </c>
      <c r="CT140" s="645">
        <f t="shared" si="259"/>
        <v>16634.827779399846</v>
      </c>
      <c r="CU140" s="644">
        <f t="shared" si="366"/>
        <v>0</v>
      </c>
      <c r="CV140" s="645">
        <f t="shared" si="367"/>
        <v>24259.408191251601</v>
      </c>
      <c r="CW140" s="646">
        <f t="shared" si="368"/>
        <v>-248.43004940310271</v>
      </c>
      <c r="CX140" s="647">
        <f t="shared" si="369"/>
        <v>24010.9781418485</v>
      </c>
      <c r="CY140" s="644">
        <f t="shared" si="289"/>
        <v>0</v>
      </c>
      <c r="CZ140" s="645">
        <f t="shared" si="290"/>
        <v>24010.9781418485</v>
      </c>
      <c r="DA140" s="646">
        <f t="shared" si="370"/>
        <v>-18.848705038617037</v>
      </c>
      <c r="DB140" s="647">
        <f t="shared" si="291"/>
        <v>23992.129436809882</v>
      </c>
      <c r="DC140" s="644">
        <f t="shared" si="371"/>
        <v>0</v>
      </c>
      <c r="DD140" s="645">
        <f t="shared" si="372"/>
        <v>23992.129436809882</v>
      </c>
      <c r="DE140" s="646">
        <f t="shared" si="373"/>
        <v>-1.6254660444911421E-2</v>
      </c>
      <c r="DF140" s="647">
        <f t="shared" si="292"/>
        <v>23992.113182149438</v>
      </c>
      <c r="DG140" s="644">
        <f t="shared" si="374"/>
        <v>0</v>
      </c>
      <c r="DH140" s="645">
        <f t="shared" si="375"/>
        <v>23992.113182149438</v>
      </c>
      <c r="DI140" s="646">
        <f t="shared" si="376"/>
        <v>0</v>
      </c>
      <c r="DJ140" s="647">
        <f t="shared" si="293"/>
        <v>23992.113182149438</v>
      </c>
      <c r="DK140" s="644">
        <f t="shared" si="377"/>
        <v>0</v>
      </c>
      <c r="DL140" s="645">
        <f t="shared" si="378"/>
        <v>23992.113182149438</v>
      </c>
      <c r="DM140" s="646">
        <f t="shared" si="379"/>
        <v>0</v>
      </c>
      <c r="DN140" s="647">
        <f t="shared" si="294"/>
        <v>23992.113182149438</v>
      </c>
      <c r="DR140" s="827">
        <f t="shared" si="295"/>
        <v>104652.06378136337</v>
      </c>
      <c r="DV140" s="828">
        <f>IFERROR(VLOOKUP($B140,'Afton FY16 Final'!$A$5:$BV$587,'Afton FY16 Final'!$BV$587,0),0)</f>
        <v>76798.584252824701</v>
      </c>
      <c r="DX140" s="636">
        <f t="shared" si="260"/>
        <v>104652.06378136337</v>
      </c>
      <c r="DY140" s="637">
        <f t="shared" si="261"/>
        <v>27853.479528538664</v>
      </c>
      <c r="DZ140" s="637">
        <f t="shared" si="262"/>
        <v>76798.584252824701</v>
      </c>
      <c r="EA140" s="643">
        <f t="shared" si="263"/>
        <v>99085.74686583424</v>
      </c>
      <c r="EB140" s="637">
        <f t="shared" si="296"/>
        <v>0</v>
      </c>
      <c r="EC140" s="637">
        <f t="shared" si="297"/>
        <v>99085.74686583424</v>
      </c>
      <c r="ED140" s="637">
        <f t="shared" si="298"/>
        <v>98790.279084864946</v>
      </c>
      <c r="EE140" s="643">
        <f t="shared" si="299"/>
        <v>98790.279084864946</v>
      </c>
      <c r="EF140" s="637">
        <f t="shared" si="300"/>
        <v>0</v>
      </c>
      <c r="EG140" s="637">
        <f t="shared" si="301"/>
        <v>98790.279084864946</v>
      </c>
      <c r="EH140" s="637">
        <f t="shared" si="302"/>
        <v>98790.17716679009</v>
      </c>
      <c r="EI140" s="643">
        <f t="shared" si="303"/>
        <v>98790.17716679009</v>
      </c>
      <c r="EJ140" s="637">
        <f t="shared" si="304"/>
        <v>0</v>
      </c>
      <c r="EK140" s="637">
        <f t="shared" si="305"/>
        <v>98790.17716679009</v>
      </c>
      <c r="EL140" s="637">
        <f t="shared" si="306"/>
        <v>98790.177166789945</v>
      </c>
      <c r="EM140" s="643">
        <f t="shared" si="307"/>
        <v>98790.177166789945</v>
      </c>
      <c r="EN140" s="637">
        <f t="shared" si="308"/>
        <v>0</v>
      </c>
      <c r="EO140" s="637">
        <f t="shared" si="309"/>
        <v>98790.177166789945</v>
      </c>
      <c r="EP140" s="637">
        <f t="shared" si="310"/>
        <v>98790.17716679009</v>
      </c>
      <c r="EQ140" s="643">
        <f t="shared" si="311"/>
        <v>98790.17716679009</v>
      </c>
      <c r="ER140" s="637">
        <f t="shared" si="312"/>
        <v>0</v>
      </c>
      <c r="ES140" s="637">
        <f t="shared" si="313"/>
        <v>98790.17716679009</v>
      </c>
      <c r="ET140" s="637">
        <f t="shared" si="314"/>
        <v>98790.17716678993</v>
      </c>
      <c r="EU140" s="643">
        <f t="shared" si="264"/>
        <v>98790.17716678993</v>
      </c>
      <c r="EV140" s="643">
        <f t="shared" si="265"/>
        <v>0</v>
      </c>
      <c r="EX140" s="829">
        <f t="shared" si="266"/>
        <v>5861.8866145734355</v>
      </c>
      <c r="EY140" s="638">
        <f t="shared" si="267"/>
        <v>98790.17716678993</v>
      </c>
      <c r="FC140" s="830" t="str">
        <f t="shared" si="315"/>
        <v>Y</v>
      </c>
      <c r="FE140" s="830" t="str">
        <f>IFERROR(VLOOKUP($B140,'Historical Conc Grant Elig'!$B$3:$J$707,'HH &amp; SI'!FE$2,0),"N")</f>
        <v>N</v>
      </c>
      <c r="FF140" s="830" t="str">
        <f>IFERROR(VLOOKUP($B140,'Historical Conc Grant Elig'!$B$3:$J$707,'HH &amp; SI'!FF$2,0),"N")</f>
        <v>N</v>
      </c>
      <c r="FG140" s="830" t="str">
        <f>IFERROR(VLOOKUP($B140,'Historical Conc Grant Elig'!$B$3:$J$707,'HH &amp; SI'!FG$2,0),"N")</f>
        <v>N</v>
      </c>
      <c r="FH140" s="830" t="str">
        <f>IFERROR(VLOOKUP($B140,'Historical Conc Grant Elig'!$B$3:$J$707,'HH &amp; SI'!FH$2,0),"N")</f>
        <v>N</v>
      </c>
      <c r="FI140" s="830" t="str">
        <f>IFERROR(VLOOKUP($B140,'Historical Conc Grant Elig'!$B$3:$J$707,'HH &amp; SI'!FI$2,0),"N")</f>
        <v>N</v>
      </c>
      <c r="FJ140" s="830" t="str">
        <f>IFERROR(VLOOKUP($B140,'Historical Conc Grant Elig'!$B$3:$J$707,'HH &amp; SI'!FJ$2,0),"N")</f>
        <v>Y</v>
      </c>
      <c r="FK140" s="830" t="str">
        <f>IFERROR(VLOOKUP($B140,'Historical Conc Grant Elig'!$B$3:$J$707,'HH &amp; SI'!FK$2,0),"N")</f>
        <v>Y</v>
      </c>
      <c r="FL140" s="957" t="str">
        <f>IFERROR(VLOOKUP($B140,'Historical Conc Grant Elig'!$B$3:$J$707,'HH &amp; SI'!FL$2,0),"N")</f>
        <v>Y</v>
      </c>
    </row>
    <row r="141" spans="2:168" x14ac:dyDescent="0.25">
      <c r="B141" s="634">
        <v>78219000</v>
      </c>
      <c r="C141" s="635" t="str">
        <f>VLOOKUP($B141,'Afton Update'!$A$5:$CR$582,'Afton Update'!D$589,0)</f>
        <v>Madison Highland Prep</v>
      </c>
      <c r="D141" s="636">
        <f>IFERROR(VLOOKUP($B141,'Afton FY16 Final'!$A$5:$BV$587,'Afton FY16 Final'!AQ$587,0),0)</f>
        <v>14949.085315466595</v>
      </c>
      <c r="E141" s="637">
        <f>IFERROR(VLOOKUP($B141,'Afton FY16 Final'!$A$5:$BV$587,'Afton FY16 Final'!AR$587,0),0)</f>
        <v>4944.931103134255</v>
      </c>
      <c r="F141" s="637">
        <f>IFERROR(VLOOKUP($B141,'Afton FY16 Final'!$A$5:$BV$587,'Afton FY16 Final'!AS$587,0),0)</f>
        <v>8113.0442008592081</v>
      </c>
      <c r="G141" s="637">
        <f>IFERROR(VLOOKUP($B141,'Afton FY16 Final'!$A$5:$BV$587,'Afton FY16 Final'!AT$587,0),0)</f>
        <v>7186.8479128965346</v>
      </c>
      <c r="H141" s="638">
        <f>IFERROR(VLOOKUP($B141,'Afton FY16 Final'!$A$5:$BV$587,'Afton FY16 Final'!AU$587,0),0)</f>
        <v>35193.908532356589</v>
      </c>
      <c r="I141" s="639" t="str">
        <f>VLOOKUP($B141,'Afton Update'!$A$5:$CR$582,'Afton Update'!BT$589,0)</f>
        <v>Y</v>
      </c>
      <c r="J141" s="640" t="str">
        <f>VLOOKUP($B141,'Afton Update'!$A$5:$CR$582,'Afton Update'!BU$589,0)</f>
        <v>Y</v>
      </c>
      <c r="K141" s="640" t="str">
        <f>VLOOKUP($B141,'Afton Update'!$A$5:$CR$582,'Afton Update'!BV$589,0)</f>
        <v>Y</v>
      </c>
      <c r="L141" s="641" t="str">
        <f>VLOOKUP($B141,'Afton Update'!$A$5:$CR$582,'Afton Update'!BW$589,0)</f>
        <v>Y</v>
      </c>
      <c r="N141" s="642">
        <f>VLOOKUP($B141,'Afton Update'!$A$5:$CR$582,'Afton Update'!CB$589,0)</f>
        <v>0.9</v>
      </c>
      <c r="P141" s="636">
        <f>VLOOKUP($B141,'Afton Update'!$A$5:$CR$582,'Afton Update'!AH$589,0)</f>
        <v>32766.24025980791</v>
      </c>
      <c r="Q141" s="637">
        <f>VLOOKUP($B141,'Afton Update'!$A$5:$CR$582,'Afton Update'!AI$589,0)</f>
        <v>8906.8271761686119</v>
      </c>
      <c r="R141" s="637">
        <f>VLOOKUP($B141,'Afton Update'!$A$5:$CR$582,'Afton Update'!AJ$589,0)</f>
        <v>19202.175590006998</v>
      </c>
      <c r="S141" s="637">
        <f>VLOOKUP($B141,'Afton Update'!$A$5:$CR$582,'Afton Update'!AK$589,0)</f>
        <v>17874.703085955771</v>
      </c>
      <c r="T141" s="643">
        <f t="shared" si="268"/>
        <v>78749.946111939294</v>
      </c>
      <c r="V141" s="636">
        <f t="shared" si="316"/>
        <v>32319.287475288187</v>
      </c>
      <c r="W141" s="637">
        <f t="shared" si="317"/>
        <v>8613.4688531942429</v>
      </c>
      <c r="X141" s="637">
        <f t="shared" si="318"/>
        <v>19027.53930022187</v>
      </c>
      <c r="Y141" s="637">
        <f t="shared" si="319"/>
        <v>17677.756034057697</v>
      </c>
      <c r="Z141" s="643">
        <f t="shared" si="320"/>
        <v>77638.051662761995</v>
      </c>
      <c r="AB141" s="644">
        <f t="shared" si="269"/>
        <v>32766.24025980791</v>
      </c>
      <c r="AC141" s="645">
        <f t="shared" si="257"/>
        <v>13454.176783919935</v>
      </c>
      <c r="AD141" s="644">
        <f t="shared" si="321"/>
        <v>0</v>
      </c>
      <c r="AE141" s="645">
        <f t="shared" si="322"/>
        <v>32766.24025980791</v>
      </c>
      <c r="AF141" s="646">
        <f t="shared" si="323"/>
        <v>-406.16217119441745</v>
      </c>
      <c r="AG141" s="647">
        <f t="shared" si="324"/>
        <v>32360.078088613493</v>
      </c>
      <c r="AH141" s="644">
        <f t="shared" si="270"/>
        <v>0</v>
      </c>
      <c r="AI141" s="645">
        <f t="shared" si="271"/>
        <v>32360.078088613493</v>
      </c>
      <c r="AJ141" s="646">
        <f t="shared" si="325"/>
        <v>-40.764625750843358</v>
      </c>
      <c r="AK141" s="647">
        <f t="shared" si="272"/>
        <v>32319.31346286265</v>
      </c>
      <c r="AL141" s="644">
        <f t="shared" si="326"/>
        <v>0</v>
      </c>
      <c r="AM141" s="645">
        <f t="shared" si="327"/>
        <v>32319.31346286265</v>
      </c>
      <c r="AN141" s="646">
        <f t="shared" si="328"/>
        <v>-2.5987574464157826E-2</v>
      </c>
      <c r="AO141" s="647">
        <f t="shared" si="273"/>
        <v>32319.287475288187</v>
      </c>
      <c r="AP141" s="644">
        <f t="shared" si="329"/>
        <v>0</v>
      </c>
      <c r="AQ141" s="645">
        <f t="shared" si="330"/>
        <v>32319.287475288187</v>
      </c>
      <c r="AR141" s="646">
        <f t="shared" si="331"/>
        <v>0</v>
      </c>
      <c r="AS141" s="647">
        <f t="shared" si="274"/>
        <v>32319.287475288187</v>
      </c>
      <c r="AT141" s="644">
        <f t="shared" si="332"/>
        <v>0</v>
      </c>
      <c r="AU141" s="645">
        <f t="shared" si="333"/>
        <v>32319.287475288187</v>
      </c>
      <c r="AV141" s="646">
        <f t="shared" si="334"/>
        <v>0</v>
      </c>
      <c r="AW141" s="647">
        <f t="shared" si="275"/>
        <v>32319.287475288187</v>
      </c>
      <c r="AY141" s="644">
        <f t="shared" si="335"/>
        <v>8906.8271761686119</v>
      </c>
      <c r="AZ141" s="645">
        <f t="shared" si="276"/>
        <v>4450.43799282083</v>
      </c>
      <c r="BA141" s="644">
        <f t="shared" si="336"/>
        <v>0</v>
      </c>
      <c r="BB141" s="645">
        <f t="shared" si="337"/>
        <v>8906.8271761686119</v>
      </c>
      <c r="BC141" s="646">
        <f t="shared" si="338"/>
        <v>-64.051589944429438</v>
      </c>
      <c r="BD141" s="647">
        <f t="shared" si="339"/>
        <v>8842.7755862241829</v>
      </c>
      <c r="BE141" s="644">
        <f t="shared" si="277"/>
        <v>0</v>
      </c>
      <c r="BF141" s="645">
        <f t="shared" si="278"/>
        <v>8842.7755862241829</v>
      </c>
      <c r="BG141" s="646">
        <f t="shared" si="340"/>
        <v>-210.62770812165169</v>
      </c>
      <c r="BH141" s="647">
        <f t="shared" si="279"/>
        <v>8632.1478781025307</v>
      </c>
      <c r="BI141" s="644">
        <f t="shared" si="341"/>
        <v>0</v>
      </c>
      <c r="BJ141" s="645">
        <f t="shared" si="342"/>
        <v>8632.1478781025307</v>
      </c>
      <c r="BK141" s="646">
        <f t="shared" si="343"/>
        <v>-18.284916655736037</v>
      </c>
      <c r="BL141" s="647">
        <f t="shared" si="280"/>
        <v>8613.8629614467955</v>
      </c>
      <c r="BM141" s="644">
        <f t="shared" si="344"/>
        <v>0</v>
      </c>
      <c r="BN141" s="645">
        <f t="shared" si="345"/>
        <v>8613.8629614467955</v>
      </c>
      <c r="BO141" s="646">
        <f t="shared" si="346"/>
        <v>-0.39410825255338272</v>
      </c>
      <c r="BP141" s="647">
        <f t="shared" si="281"/>
        <v>8613.4688531942429</v>
      </c>
      <c r="BQ141" s="644">
        <f t="shared" si="347"/>
        <v>0</v>
      </c>
      <c r="BR141" s="645">
        <f t="shared" si="348"/>
        <v>8613.4688531942429</v>
      </c>
      <c r="BS141" s="646">
        <f t="shared" si="349"/>
        <v>0</v>
      </c>
      <c r="BT141" s="647">
        <f t="shared" si="282"/>
        <v>8613.4688531942429</v>
      </c>
      <c r="BU141" s="662">
        <f>VLOOKUP(B141,'Afton Update'!$A$5:$AR$582,'Afton Update'!$AO$589,0)-BT141</f>
        <v>0</v>
      </c>
      <c r="BV141" s="644">
        <f t="shared" si="350"/>
        <v>19202.175590006998</v>
      </c>
      <c r="BW141" s="645">
        <f t="shared" si="258"/>
        <v>7301.7397807732877</v>
      </c>
      <c r="BX141" s="644">
        <f t="shared" si="351"/>
        <v>0</v>
      </c>
      <c r="BY141" s="645">
        <f t="shared" si="352"/>
        <v>19202.175590006998</v>
      </c>
      <c r="BZ141" s="646">
        <f t="shared" si="353"/>
        <v>-168.53953670599284</v>
      </c>
      <c r="CA141" s="647">
        <f t="shared" si="354"/>
        <v>19033.636053301005</v>
      </c>
      <c r="CB141" s="644">
        <f t="shared" si="283"/>
        <v>0</v>
      </c>
      <c r="CC141" s="645">
        <f t="shared" si="284"/>
        <v>19033.636053301005</v>
      </c>
      <c r="CD141" s="646">
        <f t="shared" si="355"/>
        <v>-6.0967530791340581</v>
      </c>
      <c r="CE141" s="647">
        <f t="shared" si="285"/>
        <v>19027.53930022187</v>
      </c>
      <c r="CF141" s="644">
        <f t="shared" si="356"/>
        <v>0</v>
      </c>
      <c r="CG141" s="645">
        <f t="shared" si="357"/>
        <v>19027.53930022187</v>
      </c>
      <c r="CH141" s="646">
        <f t="shared" si="358"/>
        <v>0</v>
      </c>
      <c r="CI141" s="647">
        <f t="shared" si="286"/>
        <v>19027.53930022187</v>
      </c>
      <c r="CJ141" s="644">
        <f t="shared" si="359"/>
        <v>0</v>
      </c>
      <c r="CK141" s="645">
        <f t="shared" si="360"/>
        <v>19027.53930022187</v>
      </c>
      <c r="CL141" s="646">
        <f t="shared" si="361"/>
        <v>0</v>
      </c>
      <c r="CM141" s="647">
        <f t="shared" si="287"/>
        <v>19027.53930022187</v>
      </c>
      <c r="CN141" s="644">
        <f t="shared" si="362"/>
        <v>0</v>
      </c>
      <c r="CO141" s="645">
        <f t="shared" si="363"/>
        <v>19027.53930022187</v>
      </c>
      <c r="CP141" s="646">
        <f t="shared" si="364"/>
        <v>0</v>
      </c>
      <c r="CQ141" s="647">
        <f t="shared" si="288"/>
        <v>19027.53930022187</v>
      </c>
      <c r="CS141" s="644">
        <f t="shared" si="365"/>
        <v>17874.703085955771</v>
      </c>
      <c r="CT141" s="645">
        <f t="shared" si="259"/>
        <v>6468.1631216068808</v>
      </c>
      <c r="CU141" s="644">
        <f t="shared" si="366"/>
        <v>0</v>
      </c>
      <c r="CV141" s="645">
        <f t="shared" si="367"/>
        <v>17874.703085955771</v>
      </c>
      <c r="CW141" s="646">
        <f t="shared" si="368"/>
        <v>-183.04706098771004</v>
      </c>
      <c r="CX141" s="647">
        <f t="shared" si="369"/>
        <v>17691.656024968062</v>
      </c>
      <c r="CY141" s="644">
        <f t="shared" si="289"/>
        <v>0</v>
      </c>
      <c r="CZ141" s="645">
        <f t="shared" si="290"/>
        <v>17691.656024968062</v>
      </c>
      <c r="DA141" s="646">
        <f t="shared" si="370"/>
        <v>-13.88801422787947</v>
      </c>
      <c r="DB141" s="647">
        <f t="shared" si="291"/>
        <v>17677.768010740183</v>
      </c>
      <c r="DC141" s="644">
        <f t="shared" si="371"/>
        <v>0</v>
      </c>
      <c r="DD141" s="645">
        <f t="shared" si="372"/>
        <v>17677.768010740183</v>
      </c>
      <c r="DE141" s="646">
        <f t="shared" si="373"/>
        <v>-1.1976682486450688E-2</v>
      </c>
      <c r="DF141" s="647">
        <f t="shared" si="292"/>
        <v>17677.756034057697</v>
      </c>
      <c r="DG141" s="644">
        <f t="shared" si="374"/>
        <v>0</v>
      </c>
      <c r="DH141" s="645">
        <f t="shared" si="375"/>
        <v>17677.756034057697</v>
      </c>
      <c r="DI141" s="646">
        <f t="shared" si="376"/>
        <v>0</v>
      </c>
      <c r="DJ141" s="647">
        <f t="shared" si="293"/>
        <v>17677.756034057697</v>
      </c>
      <c r="DK141" s="644">
        <f t="shared" si="377"/>
        <v>0</v>
      </c>
      <c r="DL141" s="645">
        <f t="shared" si="378"/>
        <v>17677.756034057697</v>
      </c>
      <c r="DM141" s="646">
        <f t="shared" si="379"/>
        <v>0</v>
      </c>
      <c r="DN141" s="647">
        <f t="shared" si="294"/>
        <v>17677.756034057697</v>
      </c>
      <c r="DR141" s="827">
        <f t="shared" si="295"/>
        <v>77638.051662761995</v>
      </c>
      <c r="DV141" s="828">
        <f>IFERROR(VLOOKUP($B141,'Afton FY16 Final'!$A$5:$BV$587,'Afton FY16 Final'!$BV$587,0),0)</f>
        <v>31246.22116127699</v>
      </c>
      <c r="DX141" s="636">
        <f t="shared" si="260"/>
        <v>77638.051662761995</v>
      </c>
      <c r="DY141" s="637">
        <f t="shared" si="261"/>
        <v>46391.830501485005</v>
      </c>
      <c r="DZ141" s="637">
        <f t="shared" si="262"/>
        <v>31246.22116127699</v>
      </c>
      <c r="EA141" s="643">
        <f t="shared" si="263"/>
        <v>73508.577435077284</v>
      </c>
      <c r="EB141" s="637">
        <f t="shared" si="296"/>
        <v>0</v>
      </c>
      <c r="EC141" s="637">
        <f t="shared" si="297"/>
        <v>73508.577435077284</v>
      </c>
      <c r="ED141" s="637">
        <f t="shared" si="298"/>
        <v>73289.379246195895</v>
      </c>
      <c r="EE141" s="643">
        <f t="shared" si="299"/>
        <v>73289.379246195895</v>
      </c>
      <c r="EF141" s="637">
        <f t="shared" si="300"/>
        <v>0</v>
      </c>
      <c r="EG141" s="637">
        <f t="shared" si="301"/>
        <v>73289.379246195895</v>
      </c>
      <c r="EH141" s="637">
        <f t="shared" si="302"/>
        <v>73289.303636404031</v>
      </c>
      <c r="EI141" s="643">
        <f t="shared" si="303"/>
        <v>73289.303636404031</v>
      </c>
      <c r="EJ141" s="637">
        <f t="shared" si="304"/>
        <v>0</v>
      </c>
      <c r="EK141" s="637">
        <f t="shared" si="305"/>
        <v>73289.303636404031</v>
      </c>
      <c r="EL141" s="637">
        <f t="shared" si="306"/>
        <v>73289.303636403929</v>
      </c>
      <c r="EM141" s="643">
        <f t="shared" si="307"/>
        <v>73289.303636403929</v>
      </c>
      <c r="EN141" s="637">
        <f t="shared" si="308"/>
        <v>0</v>
      </c>
      <c r="EO141" s="637">
        <f t="shared" si="309"/>
        <v>73289.303636403929</v>
      </c>
      <c r="EP141" s="637">
        <f t="shared" si="310"/>
        <v>73289.303636404045</v>
      </c>
      <c r="EQ141" s="643">
        <f t="shared" si="311"/>
        <v>73289.303636404045</v>
      </c>
      <c r="ER141" s="637">
        <f t="shared" si="312"/>
        <v>0</v>
      </c>
      <c r="ES141" s="637">
        <f t="shared" si="313"/>
        <v>73289.303636404045</v>
      </c>
      <c r="ET141" s="637">
        <f t="shared" si="314"/>
        <v>73289.303636403929</v>
      </c>
      <c r="EU141" s="643">
        <f t="shared" si="264"/>
        <v>73289.303636403929</v>
      </c>
      <c r="EV141" s="643">
        <f t="shared" si="265"/>
        <v>0</v>
      </c>
      <c r="EX141" s="829">
        <f t="shared" si="266"/>
        <v>4348.7480263580655</v>
      </c>
      <c r="EY141" s="638">
        <f t="shared" si="267"/>
        <v>73289.303636403929</v>
      </c>
      <c r="FC141" s="830" t="str">
        <f t="shared" si="315"/>
        <v>Y</v>
      </c>
      <c r="FE141" s="830" t="str">
        <f>IFERROR(VLOOKUP($B141,'Historical Conc Grant Elig'!$B$3:$J$707,'HH &amp; SI'!FE$2,0),"N")</f>
        <v>N</v>
      </c>
      <c r="FF141" s="830" t="str">
        <f>IFERROR(VLOOKUP($B141,'Historical Conc Grant Elig'!$B$3:$J$707,'HH &amp; SI'!FF$2,0),"N")</f>
        <v>N</v>
      </c>
      <c r="FG141" s="830" t="str">
        <f>IFERROR(VLOOKUP($B141,'Historical Conc Grant Elig'!$B$3:$J$707,'HH &amp; SI'!FG$2,0),"N")</f>
        <v>N</v>
      </c>
      <c r="FH141" s="830" t="str">
        <f>IFERROR(VLOOKUP($B141,'Historical Conc Grant Elig'!$B$3:$J$707,'HH &amp; SI'!FH$2,0),"N")</f>
        <v>N</v>
      </c>
      <c r="FI141" s="830" t="str">
        <f>IFERROR(VLOOKUP($B141,'Historical Conc Grant Elig'!$B$3:$J$707,'HH &amp; SI'!FI$2,0),"N")</f>
        <v>N</v>
      </c>
      <c r="FJ141" s="830" t="str">
        <f>IFERROR(VLOOKUP($B141,'Historical Conc Grant Elig'!$B$3:$J$707,'HH &amp; SI'!FJ$2,0),"N")</f>
        <v>Y</v>
      </c>
      <c r="FK141" s="830" t="str">
        <f>IFERROR(VLOOKUP($B141,'Historical Conc Grant Elig'!$B$3:$J$707,'HH &amp; SI'!FK$2,0),"N")</f>
        <v>Y</v>
      </c>
      <c r="FL141" s="957" t="str">
        <f>IFERROR(VLOOKUP($B141,'Historical Conc Grant Elig'!$B$3:$J$707,'HH &amp; SI'!FL$2,0),"N")</f>
        <v>Y</v>
      </c>
    </row>
    <row r="142" spans="2:168" x14ac:dyDescent="0.25">
      <c r="B142" s="634">
        <v>78221000</v>
      </c>
      <c r="C142" s="635" t="str">
        <f>VLOOKUP($B142,'Afton Update'!$A$5:$CR$582,'Afton Update'!D$589,0)</f>
        <v>Western School of Science and Technology, Inc.</v>
      </c>
      <c r="D142" s="636">
        <f>IFERROR(VLOOKUP($B142,'Afton FY16 Final'!$A$5:$BV$587,'Afton FY16 Final'!AQ$587,0),0)</f>
        <v>49097.027225812264</v>
      </c>
      <c r="E142" s="637">
        <f>IFERROR(VLOOKUP($B142,'Afton FY16 Final'!$A$5:$BV$587,'Afton FY16 Final'!AR$587,0),0)</f>
        <v>11877.604773988254</v>
      </c>
      <c r="F142" s="637">
        <f>IFERROR(VLOOKUP($B142,'Afton FY16 Final'!$A$5:$BV$587,'Afton FY16 Final'!AS$587,0),0)</f>
        <v>26645.5333960592</v>
      </c>
      <c r="G142" s="637">
        <f>IFERROR(VLOOKUP($B142,'Afton FY16 Final'!$A$5:$BV$587,'Afton FY16 Final'!AT$587,0),0)</f>
        <v>24004.279032955816</v>
      </c>
      <c r="H142" s="638">
        <f>IFERROR(VLOOKUP($B142,'Afton FY16 Final'!$A$5:$BV$587,'Afton FY16 Final'!AU$587,0),0)</f>
        <v>111624.44442881554</v>
      </c>
      <c r="I142" s="639" t="str">
        <f>VLOOKUP($B142,'Afton Update'!$A$5:$CR$582,'Afton Update'!BT$589,0)</f>
        <v>Y</v>
      </c>
      <c r="J142" s="640" t="str">
        <f>VLOOKUP($B142,'Afton Update'!$A$5:$CR$582,'Afton Update'!BU$589,0)</f>
        <v>Y</v>
      </c>
      <c r="K142" s="640" t="str">
        <f>VLOOKUP($B142,'Afton Update'!$A$5:$CR$582,'Afton Update'!BV$589,0)</f>
        <v>Y</v>
      </c>
      <c r="L142" s="641" t="str">
        <f>VLOOKUP($B142,'Afton Update'!$A$5:$CR$582,'Afton Update'!BW$589,0)</f>
        <v>Y</v>
      </c>
      <c r="N142" s="642">
        <f>VLOOKUP($B142,'Afton Update'!$A$5:$CR$582,'Afton Update'!CB$589,0)</f>
        <v>0.95</v>
      </c>
      <c r="P142" s="636">
        <f>VLOOKUP($B142,'Afton Update'!$A$5:$CR$582,'Afton Update'!AH$589,0)</f>
        <v>88014.426391308851</v>
      </c>
      <c r="Q142" s="637">
        <f>VLOOKUP($B142,'Afton Update'!$A$5:$CR$582,'Afton Update'!AI$589,0)</f>
        <v>20332.063221869743</v>
      </c>
      <c r="R142" s="637">
        <f>VLOOKUP($B142,'Afton Update'!$A$5:$CR$582,'Afton Update'!AJ$589,0)</f>
        <v>51536.83889107078</v>
      </c>
      <c r="S142" s="637">
        <f>VLOOKUP($B142,'Afton Update'!$A$5:$CR$582,'Afton Update'!AK$589,0)</f>
        <v>47974.027153778959</v>
      </c>
      <c r="T142" s="643">
        <f t="shared" si="268"/>
        <v>207857.35565802833</v>
      </c>
      <c r="V142" s="636">
        <f t="shared" si="316"/>
        <v>86813.852488365359</v>
      </c>
      <c r="W142" s="637">
        <f t="shared" si="317"/>
        <v>19662.399395301334</v>
      </c>
      <c r="X142" s="637">
        <f t="shared" si="318"/>
        <v>51068.131463154423</v>
      </c>
      <c r="Y142" s="637">
        <f t="shared" si="319"/>
        <v>47445.439732204468</v>
      </c>
      <c r="Z142" s="643">
        <f t="shared" si="320"/>
        <v>204989.82307902561</v>
      </c>
      <c r="AB142" s="644">
        <f t="shared" si="269"/>
        <v>88014.426391308851</v>
      </c>
      <c r="AC142" s="645">
        <f t="shared" si="257"/>
        <v>46642.175864521647</v>
      </c>
      <c r="AD142" s="644">
        <f t="shared" si="321"/>
        <v>0</v>
      </c>
      <c r="AE142" s="645">
        <f t="shared" si="322"/>
        <v>88014.426391308851</v>
      </c>
      <c r="AF142" s="646">
        <f t="shared" si="323"/>
        <v>-1091.0049562010631</v>
      </c>
      <c r="AG142" s="647">
        <f t="shared" si="324"/>
        <v>86923.421435107783</v>
      </c>
      <c r="AH142" s="644">
        <f t="shared" si="270"/>
        <v>0</v>
      </c>
      <c r="AI142" s="645">
        <f t="shared" si="271"/>
        <v>86923.421435107783</v>
      </c>
      <c r="AJ142" s="646">
        <f t="shared" si="325"/>
        <v>-109.49914070299531</v>
      </c>
      <c r="AK142" s="647">
        <f t="shared" si="272"/>
        <v>86813.922294404794</v>
      </c>
      <c r="AL142" s="644">
        <f t="shared" si="326"/>
        <v>0</v>
      </c>
      <c r="AM142" s="645">
        <f t="shared" si="327"/>
        <v>86813.922294404794</v>
      </c>
      <c r="AN142" s="646">
        <f t="shared" si="328"/>
        <v>-6.9806039436569947E-2</v>
      </c>
      <c r="AO142" s="647">
        <f t="shared" si="273"/>
        <v>86813.852488365359</v>
      </c>
      <c r="AP142" s="644">
        <f t="shared" si="329"/>
        <v>0</v>
      </c>
      <c r="AQ142" s="645">
        <f t="shared" si="330"/>
        <v>86813.852488365359</v>
      </c>
      <c r="AR142" s="646">
        <f t="shared" si="331"/>
        <v>0</v>
      </c>
      <c r="AS142" s="647">
        <f t="shared" si="274"/>
        <v>86813.852488365359</v>
      </c>
      <c r="AT142" s="644">
        <f t="shared" si="332"/>
        <v>0</v>
      </c>
      <c r="AU142" s="645">
        <f t="shared" si="333"/>
        <v>86813.852488365359</v>
      </c>
      <c r="AV142" s="646">
        <f t="shared" si="334"/>
        <v>0</v>
      </c>
      <c r="AW142" s="647">
        <f t="shared" si="275"/>
        <v>86813.852488365359</v>
      </c>
      <c r="AY142" s="644">
        <f t="shared" si="335"/>
        <v>20332.063221869743</v>
      </c>
      <c r="AZ142" s="645">
        <f t="shared" si="276"/>
        <v>11283.72453528884</v>
      </c>
      <c r="BA142" s="644">
        <f t="shared" si="336"/>
        <v>0</v>
      </c>
      <c r="BB142" s="645">
        <f t="shared" si="337"/>
        <v>20332.063221869743</v>
      </c>
      <c r="BC142" s="646">
        <f t="shared" si="338"/>
        <v>-146.21379201068291</v>
      </c>
      <c r="BD142" s="647">
        <f t="shared" si="339"/>
        <v>20185.849429859059</v>
      </c>
      <c r="BE142" s="644">
        <f t="shared" si="277"/>
        <v>0</v>
      </c>
      <c r="BF142" s="645">
        <f t="shared" si="278"/>
        <v>20185.849429859059</v>
      </c>
      <c r="BG142" s="646">
        <f t="shared" si="340"/>
        <v>-480.81048313874669</v>
      </c>
      <c r="BH142" s="647">
        <f t="shared" si="279"/>
        <v>19705.038946720313</v>
      </c>
      <c r="BI142" s="644">
        <f t="shared" si="341"/>
        <v>0</v>
      </c>
      <c r="BJ142" s="645">
        <f t="shared" si="342"/>
        <v>19705.038946720313</v>
      </c>
      <c r="BK142" s="646">
        <f t="shared" si="343"/>
        <v>-41.739900651240205</v>
      </c>
      <c r="BL142" s="647">
        <f t="shared" si="280"/>
        <v>19663.299046069074</v>
      </c>
      <c r="BM142" s="644">
        <f t="shared" si="344"/>
        <v>0</v>
      </c>
      <c r="BN142" s="645">
        <f t="shared" si="345"/>
        <v>19663.299046069074</v>
      </c>
      <c r="BO142" s="646">
        <f t="shared" si="346"/>
        <v>-0.89965076774094266</v>
      </c>
      <c r="BP142" s="647">
        <f t="shared" si="281"/>
        <v>19662.399395301334</v>
      </c>
      <c r="BQ142" s="644">
        <f t="shared" si="347"/>
        <v>0</v>
      </c>
      <c r="BR142" s="645">
        <f t="shared" si="348"/>
        <v>19662.399395301334</v>
      </c>
      <c r="BS142" s="646">
        <f t="shared" si="349"/>
        <v>0</v>
      </c>
      <c r="BT142" s="647">
        <f t="shared" si="282"/>
        <v>19662.399395301334</v>
      </c>
      <c r="BU142" s="662">
        <f>VLOOKUP(B142,'Afton Update'!$A$5:$AR$582,'Afton Update'!$AO$589,0)-BT142</f>
        <v>0</v>
      </c>
      <c r="BV142" s="644">
        <f t="shared" si="350"/>
        <v>51536.83889107078</v>
      </c>
      <c r="BW142" s="645">
        <f t="shared" si="258"/>
        <v>25313.256726256237</v>
      </c>
      <c r="BX142" s="644">
        <f t="shared" si="351"/>
        <v>0</v>
      </c>
      <c r="BY142" s="645">
        <f t="shared" si="352"/>
        <v>51536.83889107078</v>
      </c>
      <c r="BZ142" s="646">
        <f t="shared" si="353"/>
        <v>-452.34431428242647</v>
      </c>
      <c r="CA142" s="647">
        <f t="shared" si="354"/>
        <v>51084.494576788355</v>
      </c>
      <c r="CB142" s="644">
        <f t="shared" si="283"/>
        <v>0</v>
      </c>
      <c r="CC142" s="645">
        <f t="shared" si="284"/>
        <v>51084.494576788355</v>
      </c>
      <c r="CD142" s="646">
        <f t="shared" si="355"/>
        <v>-16.363113633930535</v>
      </c>
      <c r="CE142" s="647">
        <f t="shared" si="285"/>
        <v>51068.131463154423</v>
      </c>
      <c r="CF142" s="644">
        <f t="shared" si="356"/>
        <v>0</v>
      </c>
      <c r="CG142" s="645">
        <f t="shared" si="357"/>
        <v>51068.131463154423</v>
      </c>
      <c r="CH142" s="646">
        <f t="shared" si="358"/>
        <v>0</v>
      </c>
      <c r="CI142" s="647">
        <f t="shared" si="286"/>
        <v>51068.131463154423</v>
      </c>
      <c r="CJ142" s="644">
        <f t="shared" si="359"/>
        <v>0</v>
      </c>
      <c r="CK142" s="645">
        <f t="shared" si="360"/>
        <v>51068.131463154423</v>
      </c>
      <c r="CL142" s="646">
        <f t="shared" si="361"/>
        <v>0</v>
      </c>
      <c r="CM142" s="647">
        <f t="shared" si="287"/>
        <v>51068.131463154423</v>
      </c>
      <c r="CN142" s="644">
        <f t="shared" si="362"/>
        <v>0</v>
      </c>
      <c r="CO142" s="645">
        <f t="shared" si="363"/>
        <v>51068.131463154423</v>
      </c>
      <c r="CP142" s="646">
        <f t="shared" si="364"/>
        <v>0</v>
      </c>
      <c r="CQ142" s="647">
        <f t="shared" si="288"/>
        <v>51068.131463154423</v>
      </c>
      <c r="CS142" s="644">
        <f t="shared" si="365"/>
        <v>47974.027153778959</v>
      </c>
      <c r="CT142" s="645">
        <f t="shared" si="259"/>
        <v>22804.065081308025</v>
      </c>
      <c r="CU142" s="644">
        <f t="shared" si="366"/>
        <v>0</v>
      </c>
      <c r="CV142" s="645">
        <f t="shared" si="367"/>
        <v>47974.027153778959</v>
      </c>
      <c r="CW142" s="646">
        <f t="shared" si="368"/>
        <v>-491.28114923170386</v>
      </c>
      <c r="CX142" s="647">
        <f t="shared" si="369"/>
        <v>47482.746004547254</v>
      </c>
      <c r="CY142" s="644">
        <f t="shared" si="289"/>
        <v>0</v>
      </c>
      <c r="CZ142" s="645">
        <f t="shared" si="290"/>
        <v>47482.746004547254</v>
      </c>
      <c r="DA142" s="646">
        <f t="shared" si="370"/>
        <v>-37.274128049927974</v>
      </c>
      <c r="DB142" s="647">
        <f t="shared" si="291"/>
        <v>47445.47187649733</v>
      </c>
      <c r="DC142" s="644">
        <f t="shared" si="371"/>
        <v>0</v>
      </c>
      <c r="DD142" s="645">
        <f t="shared" si="372"/>
        <v>47445.47187649733</v>
      </c>
      <c r="DE142" s="646">
        <f t="shared" si="373"/>
        <v>-3.2144292862051282E-2</v>
      </c>
      <c r="DF142" s="647">
        <f t="shared" si="292"/>
        <v>47445.439732204468</v>
      </c>
      <c r="DG142" s="644">
        <f t="shared" si="374"/>
        <v>0</v>
      </c>
      <c r="DH142" s="645">
        <f t="shared" si="375"/>
        <v>47445.439732204468</v>
      </c>
      <c r="DI142" s="646">
        <f t="shared" si="376"/>
        <v>0</v>
      </c>
      <c r="DJ142" s="647">
        <f t="shared" si="293"/>
        <v>47445.439732204468</v>
      </c>
      <c r="DK142" s="644">
        <f t="shared" si="377"/>
        <v>0</v>
      </c>
      <c r="DL142" s="645">
        <f t="shared" si="378"/>
        <v>47445.439732204468</v>
      </c>
      <c r="DM142" s="646">
        <f t="shared" si="379"/>
        <v>0</v>
      </c>
      <c r="DN142" s="647">
        <f t="shared" si="294"/>
        <v>47445.439732204468</v>
      </c>
      <c r="DR142" s="827">
        <f t="shared" si="295"/>
        <v>204989.82307902561</v>
      </c>
      <c r="DV142" s="828">
        <f>IFERROR(VLOOKUP($B142,'Afton FY16 Final'!$A$5:$BV$587,'Afton FY16 Final'!$BV$587,0),0)</f>
        <v>102448.3499718578</v>
      </c>
      <c r="DX142" s="636">
        <f t="shared" si="260"/>
        <v>204989.82307902561</v>
      </c>
      <c r="DY142" s="637">
        <f t="shared" si="261"/>
        <v>102541.47310716781</v>
      </c>
      <c r="DZ142" s="637">
        <f t="shared" si="262"/>
        <v>102448.3499718578</v>
      </c>
      <c r="EA142" s="643">
        <f t="shared" si="263"/>
        <v>194086.66189436006</v>
      </c>
      <c r="EB142" s="637">
        <f t="shared" si="296"/>
        <v>0</v>
      </c>
      <c r="EC142" s="637">
        <f t="shared" si="297"/>
        <v>194086.66189436006</v>
      </c>
      <c r="ED142" s="637">
        <f t="shared" si="298"/>
        <v>193507.90705706432</v>
      </c>
      <c r="EE142" s="643">
        <f t="shared" si="299"/>
        <v>193507.90705706432</v>
      </c>
      <c r="EF142" s="637">
        <f t="shared" si="300"/>
        <v>0</v>
      </c>
      <c r="EG142" s="637">
        <f t="shared" si="301"/>
        <v>193507.90705706432</v>
      </c>
      <c r="EH142" s="637">
        <f t="shared" si="302"/>
        <v>193507.70742250979</v>
      </c>
      <c r="EI142" s="643">
        <f t="shared" si="303"/>
        <v>193507.70742250979</v>
      </c>
      <c r="EJ142" s="637">
        <f t="shared" si="304"/>
        <v>0</v>
      </c>
      <c r="EK142" s="637">
        <f t="shared" si="305"/>
        <v>193507.70742250979</v>
      </c>
      <c r="EL142" s="637">
        <f t="shared" si="306"/>
        <v>193507.70742250953</v>
      </c>
      <c r="EM142" s="643">
        <f t="shared" si="307"/>
        <v>193507.70742250953</v>
      </c>
      <c r="EN142" s="637">
        <f t="shared" si="308"/>
        <v>0</v>
      </c>
      <c r="EO142" s="637">
        <f t="shared" si="309"/>
        <v>193507.70742250953</v>
      </c>
      <c r="EP142" s="637">
        <f t="shared" si="310"/>
        <v>193507.70742250982</v>
      </c>
      <c r="EQ142" s="643">
        <f t="shared" si="311"/>
        <v>193507.70742250982</v>
      </c>
      <c r="ER142" s="637">
        <f t="shared" si="312"/>
        <v>0</v>
      </c>
      <c r="ES142" s="637">
        <f t="shared" si="313"/>
        <v>193507.70742250982</v>
      </c>
      <c r="ET142" s="637">
        <f t="shared" si="314"/>
        <v>193507.70742250953</v>
      </c>
      <c r="EU142" s="643">
        <f t="shared" si="264"/>
        <v>193507.70742250953</v>
      </c>
      <c r="EV142" s="643">
        <f t="shared" si="265"/>
        <v>0</v>
      </c>
      <c r="EX142" s="829">
        <f t="shared" si="266"/>
        <v>11482.115656516078</v>
      </c>
      <c r="EY142" s="638">
        <f t="shared" si="267"/>
        <v>193507.70742250953</v>
      </c>
      <c r="FC142" s="830" t="str">
        <f t="shared" si="315"/>
        <v>Y</v>
      </c>
      <c r="FE142" s="830" t="str">
        <f>IFERROR(VLOOKUP($B142,'Historical Conc Grant Elig'!$B$3:$J$707,'HH &amp; SI'!FE$2,0),"N")</f>
        <v>N</v>
      </c>
      <c r="FF142" s="830" t="str">
        <f>IFERROR(VLOOKUP($B142,'Historical Conc Grant Elig'!$B$3:$J$707,'HH &amp; SI'!FF$2,0),"N")</f>
        <v>N</v>
      </c>
      <c r="FG142" s="830" t="str">
        <f>IFERROR(VLOOKUP($B142,'Historical Conc Grant Elig'!$B$3:$J$707,'HH &amp; SI'!FG$2,0),"N")</f>
        <v>N</v>
      </c>
      <c r="FH142" s="830" t="str">
        <f>IFERROR(VLOOKUP($B142,'Historical Conc Grant Elig'!$B$3:$J$707,'HH &amp; SI'!FH$2,0),"N")</f>
        <v>N</v>
      </c>
      <c r="FI142" s="830" t="str">
        <f>IFERROR(VLOOKUP($B142,'Historical Conc Grant Elig'!$B$3:$J$707,'HH &amp; SI'!FI$2,0),"N")</f>
        <v>N</v>
      </c>
      <c r="FJ142" s="830" t="str">
        <f>IFERROR(VLOOKUP($B142,'Historical Conc Grant Elig'!$B$3:$J$707,'HH &amp; SI'!FJ$2,0),"N")</f>
        <v>Y</v>
      </c>
      <c r="FK142" s="830" t="str">
        <f>IFERROR(VLOOKUP($B142,'Historical Conc Grant Elig'!$B$3:$J$707,'HH &amp; SI'!FK$2,0),"N")</f>
        <v>Y</v>
      </c>
      <c r="FL142" s="957" t="str">
        <f>IFERROR(VLOOKUP($B142,'Historical Conc Grant Elig'!$B$3:$J$707,'HH &amp; SI'!FL$2,0),"N")</f>
        <v>Y</v>
      </c>
    </row>
    <row r="143" spans="2:168" x14ac:dyDescent="0.25">
      <c r="B143" s="634">
        <v>78222000</v>
      </c>
      <c r="C143" s="635" t="str">
        <f>VLOOKUP($B143,'Afton Update'!$A$5:$CR$582,'Afton Update'!D$589,0)</f>
        <v>Eagle South Mountain Charter, Inc.</v>
      </c>
      <c r="D143" s="636">
        <f>IFERROR(VLOOKUP($B143,'Afton FY16 Final'!$A$5:$BV$587,'Afton FY16 Final'!AQ$587,0),0)</f>
        <v>28228.840502823241</v>
      </c>
      <c r="E143" s="637">
        <f>IFERROR(VLOOKUP($B143,'Afton FY16 Final'!$A$5:$BV$587,'Afton FY16 Final'!AR$587,0),0)</f>
        <v>7640.9708640219224</v>
      </c>
      <c r="F143" s="637">
        <f>IFERROR(VLOOKUP($B143,'Afton FY16 Final'!$A$5:$BV$587,'Afton FY16 Final'!AS$587,0),0)</f>
        <v>15320.123332325871</v>
      </c>
      <c r="G143" s="637">
        <f>IFERROR(VLOOKUP($B143,'Afton FY16 Final'!$A$5:$BV$587,'Afton FY16 Final'!AT$587,0),0)</f>
        <v>13246.069419388483</v>
      </c>
      <c r="H143" s="638">
        <f>IFERROR(VLOOKUP($B143,'Afton FY16 Final'!$A$5:$BV$587,'Afton FY16 Final'!AU$587,0),0)</f>
        <v>64436.004118559518</v>
      </c>
      <c r="I143" s="639" t="str">
        <f>VLOOKUP($B143,'Afton Update'!$A$5:$CR$582,'Afton Update'!BT$589,0)</f>
        <v>Y</v>
      </c>
      <c r="J143" s="640" t="str">
        <f>VLOOKUP($B143,'Afton Update'!$A$5:$CR$582,'Afton Update'!BU$589,0)</f>
        <v>Y</v>
      </c>
      <c r="K143" s="640" t="str">
        <f>VLOOKUP($B143,'Afton Update'!$A$5:$CR$582,'Afton Update'!BV$589,0)</f>
        <v>Y</v>
      </c>
      <c r="L143" s="641" t="str">
        <f>VLOOKUP($B143,'Afton Update'!$A$5:$CR$582,'Afton Update'!BW$589,0)</f>
        <v>Y</v>
      </c>
      <c r="N143" s="642">
        <f>VLOOKUP($B143,'Afton Update'!$A$5:$CR$582,'Afton Update'!CB$589,0)</f>
        <v>0.95</v>
      </c>
      <c r="P143" s="636">
        <f>VLOOKUP($B143,'Afton Update'!$A$5:$CR$582,'Afton Update'!AH$589,0)</f>
        <v>48790.605934312509</v>
      </c>
      <c r="Q143" s="637">
        <f>VLOOKUP($B143,'Afton Update'!$A$5:$CR$582,'Afton Update'!AI$589,0)</f>
        <v>12220.640228384957</v>
      </c>
      <c r="R143" s="637">
        <f>VLOOKUP($B143,'Afton Update'!$A$5:$CR$582,'Afton Update'!AJ$589,0)</f>
        <v>28580.627716289568</v>
      </c>
      <c r="S143" s="637">
        <f>VLOOKUP($B143,'Afton Update'!$A$5:$CR$582,'Afton Update'!AK$589,0)</f>
        <v>26604.810066666392</v>
      </c>
      <c r="T143" s="643">
        <f t="shared" si="268"/>
        <v>116196.68394565344</v>
      </c>
      <c r="V143" s="636">
        <f t="shared" si="316"/>
        <v>48125.070401159042</v>
      </c>
      <c r="W143" s="637">
        <f t="shared" si="317"/>
        <v>11818.137019086773</v>
      </c>
      <c r="X143" s="637">
        <f t="shared" si="318"/>
        <v>28320.698066094083</v>
      </c>
      <c r="Y143" s="637">
        <f t="shared" si="319"/>
        <v>26311.672950836193</v>
      </c>
      <c r="Z143" s="643">
        <f t="shared" si="320"/>
        <v>114575.5784371761</v>
      </c>
      <c r="AB143" s="644">
        <f t="shared" si="269"/>
        <v>48790.605934312509</v>
      </c>
      <c r="AC143" s="645">
        <f t="shared" si="257"/>
        <v>26817.398477682076</v>
      </c>
      <c r="AD143" s="644">
        <f t="shared" si="321"/>
        <v>0</v>
      </c>
      <c r="AE143" s="645">
        <f t="shared" si="322"/>
        <v>48790.605934312509</v>
      </c>
      <c r="AF143" s="646">
        <f t="shared" si="323"/>
        <v>-604.79622572015455</v>
      </c>
      <c r="AG143" s="647">
        <f t="shared" si="324"/>
        <v>48185.809708592351</v>
      </c>
      <c r="AH143" s="644">
        <f t="shared" si="270"/>
        <v>0</v>
      </c>
      <c r="AI143" s="645">
        <f t="shared" si="271"/>
        <v>48185.809708592351</v>
      </c>
      <c r="AJ143" s="646">
        <f t="shared" si="325"/>
        <v>-60.700610607095214</v>
      </c>
      <c r="AK143" s="647">
        <f t="shared" si="272"/>
        <v>48125.109097985252</v>
      </c>
      <c r="AL143" s="644">
        <f t="shared" si="326"/>
        <v>0</v>
      </c>
      <c r="AM143" s="645">
        <f t="shared" si="327"/>
        <v>48125.109097985252</v>
      </c>
      <c r="AN143" s="646">
        <f t="shared" si="328"/>
        <v>-3.8696826209402894E-2</v>
      </c>
      <c r="AO143" s="647">
        <f t="shared" si="273"/>
        <v>48125.070401159042</v>
      </c>
      <c r="AP143" s="644">
        <f t="shared" si="329"/>
        <v>0</v>
      </c>
      <c r="AQ143" s="645">
        <f t="shared" si="330"/>
        <v>48125.070401159042</v>
      </c>
      <c r="AR143" s="646">
        <f t="shared" si="331"/>
        <v>0</v>
      </c>
      <c r="AS143" s="647">
        <f t="shared" si="274"/>
        <v>48125.070401159042</v>
      </c>
      <c r="AT143" s="644">
        <f t="shared" si="332"/>
        <v>0</v>
      </c>
      <c r="AU143" s="645">
        <f t="shared" si="333"/>
        <v>48125.070401159042</v>
      </c>
      <c r="AV143" s="646">
        <f t="shared" si="334"/>
        <v>0</v>
      </c>
      <c r="AW143" s="647">
        <f t="shared" si="275"/>
        <v>48125.070401159042</v>
      </c>
      <c r="AY143" s="644">
        <f t="shared" si="335"/>
        <v>12220.640228384957</v>
      </c>
      <c r="AZ143" s="645">
        <f t="shared" si="276"/>
        <v>7258.9223208208259</v>
      </c>
      <c r="BA143" s="644">
        <f t="shared" si="336"/>
        <v>0</v>
      </c>
      <c r="BB143" s="645">
        <f t="shared" si="337"/>
        <v>12220.640228384957</v>
      </c>
      <c r="BC143" s="646">
        <f t="shared" si="338"/>
        <v>-87.88218534892718</v>
      </c>
      <c r="BD143" s="647">
        <f t="shared" si="339"/>
        <v>12132.758043036029</v>
      </c>
      <c r="BE143" s="644">
        <f t="shared" si="277"/>
        <v>0</v>
      </c>
      <c r="BF143" s="645">
        <f t="shared" si="278"/>
        <v>12132.758043036029</v>
      </c>
      <c r="BG143" s="646">
        <f t="shared" si="340"/>
        <v>-288.99240910063588</v>
      </c>
      <c r="BH143" s="647">
        <f t="shared" si="279"/>
        <v>11843.765633935393</v>
      </c>
      <c r="BI143" s="644">
        <f t="shared" si="341"/>
        <v>0</v>
      </c>
      <c r="BJ143" s="645">
        <f t="shared" si="342"/>
        <v>11843.765633935393</v>
      </c>
      <c r="BK143" s="646">
        <f t="shared" si="343"/>
        <v>-25.087877381704775</v>
      </c>
      <c r="BL143" s="647">
        <f t="shared" si="280"/>
        <v>11818.677756553689</v>
      </c>
      <c r="BM143" s="644">
        <f t="shared" si="344"/>
        <v>0</v>
      </c>
      <c r="BN143" s="645">
        <f t="shared" si="345"/>
        <v>11818.677756553689</v>
      </c>
      <c r="BO143" s="646">
        <f t="shared" si="346"/>
        <v>-0.54073746691514246</v>
      </c>
      <c r="BP143" s="647">
        <f t="shared" si="281"/>
        <v>11818.137019086773</v>
      </c>
      <c r="BQ143" s="644">
        <f t="shared" si="347"/>
        <v>0</v>
      </c>
      <c r="BR143" s="645">
        <f t="shared" si="348"/>
        <v>11818.137019086773</v>
      </c>
      <c r="BS143" s="646">
        <f t="shared" si="349"/>
        <v>0</v>
      </c>
      <c r="BT143" s="647">
        <f t="shared" si="282"/>
        <v>11818.137019086773</v>
      </c>
      <c r="BU143" s="662">
        <f>VLOOKUP(B143,'Afton Update'!$A$5:$AR$582,'Afton Update'!$AO$589,0)-BT143</f>
        <v>0</v>
      </c>
      <c r="BV143" s="644">
        <f t="shared" si="350"/>
        <v>28580.627716289568</v>
      </c>
      <c r="BW143" s="645">
        <f t="shared" si="258"/>
        <v>14554.117165709577</v>
      </c>
      <c r="BX143" s="644">
        <f t="shared" si="351"/>
        <v>0</v>
      </c>
      <c r="BY143" s="645">
        <f t="shared" si="352"/>
        <v>28580.627716289568</v>
      </c>
      <c r="BZ143" s="646">
        <f t="shared" si="353"/>
        <v>-250.8552081242658</v>
      </c>
      <c r="CA143" s="647">
        <f t="shared" si="354"/>
        <v>28329.772508165301</v>
      </c>
      <c r="CB143" s="644">
        <f t="shared" si="283"/>
        <v>0</v>
      </c>
      <c r="CC143" s="645">
        <f t="shared" si="284"/>
        <v>28329.772508165301</v>
      </c>
      <c r="CD143" s="646">
        <f t="shared" si="355"/>
        <v>-9.0744420712178844</v>
      </c>
      <c r="CE143" s="647">
        <f t="shared" si="285"/>
        <v>28320.698066094083</v>
      </c>
      <c r="CF143" s="644">
        <f t="shared" si="356"/>
        <v>0</v>
      </c>
      <c r="CG143" s="645">
        <f t="shared" si="357"/>
        <v>28320.698066094083</v>
      </c>
      <c r="CH143" s="646">
        <f t="shared" si="358"/>
        <v>0</v>
      </c>
      <c r="CI143" s="647">
        <f t="shared" si="286"/>
        <v>28320.698066094083</v>
      </c>
      <c r="CJ143" s="644">
        <f t="shared" si="359"/>
        <v>0</v>
      </c>
      <c r="CK143" s="645">
        <f t="shared" si="360"/>
        <v>28320.698066094083</v>
      </c>
      <c r="CL143" s="646">
        <f t="shared" si="361"/>
        <v>0</v>
      </c>
      <c r="CM143" s="647">
        <f t="shared" si="287"/>
        <v>28320.698066094083</v>
      </c>
      <c r="CN143" s="644">
        <f t="shared" si="362"/>
        <v>0</v>
      </c>
      <c r="CO143" s="645">
        <f t="shared" si="363"/>
        <v>28320.698066094083</v>
      </c>
      <c r="CP143" s="646">
        <f t="shared" si="364"/>
        <v>0</v>
      </c>
      <c r="CQ143" s="647">
        <f t="shared" si="288"/>
        <v>28320.698066094083</v>
      </c>
      <c r="CS143" s="644">
        <f t="shared" si="365"/>
        <v>26604.810066666392</v>
      </c>
      <c r="CT143" s="645">
        <f t="shared" si="259"/>
        <v>12583.765948419059</v>
      </c>
      <c r="CU143" s="644">
        <f t="shared" si="366"/>
        <v>0</v>
      </c>
      <c r="CV143" s="645">
        <f t="shared" si="367"/>
        <v>26604.810066666392</v>
      </c>
      <c r="CW143" s="646">
        <f t="shared" si="368"/>
        <v>-272.44829004549183</v>
      </c>
      <c r="CX143" s="647">
        <f t="shared" si="369"/>
        <v>26332.361776620899</v>
      </c>
      <c r="CY143" s="644">
        <f t="shared" si="289"/>
        <v>0</v>
      </c>
      <c r="CZ143" s="645">
        <f t="shared" si="290"/>
        <v>26332.361776620899</v>
      </c>
      <c r="DA143" s="646">
        <f t="shared" si="370"/>
        <v>-20.670999622153278</v>
      </c>
      <c r="DB143" s="647">
        <f t="shared" si="291"/>
        <v>26311.690776998745</v>
      </c>
      <c r="DC143" s="644">
        <f t="shared" si="371"/>
        <v>0</v>
      </c>
      <c r="DD143" s="645">
        <f t="shared" si="372"/>
        <v>26311.690776998745</v>
      </c>
      <c r="DE143" s="646">
        <f t="shared" si="373"/>
        <v>-1.7826162552101073E-2</v>
      </c>
      <c r="DF143" s="647">
        <f t="shared" si="292"/>
        <v>26311.672950836193</v>
      </c>
      <c r="DG143" s="644">
        <f t="shared" si="374"/>
        <v>0</v>
      </c>
      <c r="DH143" s="645">
        <f t="shared" si="375"/>
        <v>26311.672950836193</v>
      </c>
      <c r="DI143" s="646">
        <f t="shared" si="376"/>
        <v>0</v>
      </c>
      <c r="DJ143" s="647">
        <f t="shared" si="293"/>
        <v>26311.672950836193</v>
      </c>
      <c r="DK143" s="644">
        <f t="shared" si="377"/>
        <v>0</v>
      </c>
      <c r="DL143" s="645">
        <f t="shared" si="378"/>
        <v>26311.672950836193</v>
      </c>
      <c r="DM143" s="646">
        <f t="shared" si="379"/>
        <v>0</v>
      </c>
      <c r="DN143" s="647">
        <f t="shared" si="294"/>
        <v>26311.672950836193</v>
      </c>
      <c r="DR143" s="827">
        <f t="shared" si="295"/>
        <v>114575.5784371761</v>
      </c>
      <c r="DV143" s="828">
        <f>IFERROR(VLOOKUP($B143,'Afton FY16 Final'!$A$5:$BV$587,'Afton FY16 Final'!$BV$587,0),0)</f>
        <v>57208.241977056961</v>
      </c>
      <c r="DX143" s="636">
        <f t="shared" si="260"/>
        <v>114575.5784371761</v>
      </c>
      <c r="DY143" s="637">
        <f t="shared" si="261"/>
        <v>57367.336460119135</v>
      </c>
      <c r="DZ143" s="637">
        <f t="shared" si="262"/>
        <v>57208.241977056961</v>
      </c>
      <c r="EA143" s="643">
        <f t="shared" si="263"/>
        <v>108481.44175876534</v>
      </c>
      <c r="EB143" s="637">
        <f t="shared" si="296"/>
        <v>0</v>
      </c>
      <c r="EC143" s="637">
        <f t="shared" si="297"/>
        <v>108481.44175876534</v>
      </c>
      <c r="ED143" s="637">
        <f t="shared" si="298"/>
        <v>108157.95657662093</v>
      </c>
      <c r="EE143" s="643">
        <f t="shared" si="299"/>
        <v>108157.95657662093</v>
      </c>
      <c r="EF143" s="637">
        <f t="shared" si="300"/>
        <v>0</v>
      </c>
      <c r="EG143" s="637">
        <f t="shared" si="301"/>
        <v>108157.95657662093</v>
      </c>
      <c r="EH143" s="637">
        <f t="shared" si="302"/>
        <v>108157.84499427883</v>
      </c>
      <c r="EI143" s="643">
        <f t="shared" si="303"/>
        <v>108157.84499427883</v>
      </c>
      <c r="EJ143" s="637">
        <f t="shared" si="304"/>
        <v>0</v>
      </c>
      <c r="EK143" s="637">
        <f t="shared" si="305"/>
        <v>108157.84499427883</v>
      </c>
      <c r="EL143" s="637">
        <f t="shared" si="306"/>
        <v>108157.84499427867</v>
      </c>
      <c r="EM143" s="643">
        <f t="shared" si="307"/>
        <v>108157.84499427867</v>
      </c>
      <c r="EN143" s="637">
        <f t="shared" si="308"/>
        <v>0</v>
      </c>
      <c r="EO143" s="637">
        <f t="shared" si="309"/>
        <v>108157.84499427867</v>
      </c>
      <c r="EP143" s="637">
        <f t="shared" si="310"/>
        <v>108157.84499427883</v>
      </c>
      <c r="EQ143" s="643">
        <f t="shared" si="311"/>
        <v>108157.84499427883</v>
      </c>
      <c r="ER143" s="637">
        <f t="shared" si="312"/>
        <v>0</v>
      </c>
      <c r="ES143" s="637">
        <f t="shared" si="313"/>
        <v>108157.84499427883</v>
      </c>
      <c r="ET143" s="637">
        <f t="shared" si="314"/>
        <v>108157.84499427865</v>
      </c>
      <c r="EU143" s="643">
        <f t="shared" si="264"/>
        <v>108157.84499427865</v>
      </c>
      <c r="EV143" s="643">
        <f t="shared" si="265"/>
        <v>0</v>
      </c>
      <c r="EX143" s="829">
        <f t="shared" si="266"/>
        <v>6417.7334428974427</v>
      </c>
      <c r="EY143" s="638">
        <f t="shared" si="267"/>
        <v>108157.84499427865</v>
      </c>
      <c r="FC143" s="830" t="str">
        <f t="shared" si="315"/>
        <v>Y</v>
      </c>
      <c r="FE143" s="830" t="str">
        <f>IFERROR(VLOOKUP($B143,'Historical Conc Grant Elig'!$B$3:$J$707,'HH &amp; SI'!FE$2,0),"N")</f>
        <v>N</v>
      </c>
      <c r="FF143" s="830" t="str">
        <f>IFERROR(VLOOKUP($B143,'Historical Conc Grant Elig'!$B$3:$J$707,'HH &amp; SI'!FF$2,0),"N")</f>
        <v>N</v>
      </c>
      <c r="FG143" s="830" t="str">
        <f>IFERROR(VLOOKUP($B143,'Historical Conc Grant Elig'!$B$3:$J$707,'HH &amp; SI'!FG$2,0),"N")</f>
        <v>N</v>
      </c>
      <c r="FH143" s="830" t="str">
        <f>IFERROR(VLOOKUP($B143,'Historical Conc Grant Elig'!$B$3:$J$707,'HH &amp; SI'!FH$2,0),"N")</f>
        <v>N</v>
      </c>
      <c r="FI143" s="830" t="str">
        <f>IFERROR(VLOOKUP($B143,'Historical Conc Grant Elig'!$B$3:$J$707,'HH &amp; SI'!FI$2,0),"N")</f>
        <v>N</v>
      </c>
      <c r="FJ143" s="830" t="str">
        <f>IFERROR(VLOOKUP($B143,'Historical Conc Grant Elig'!$B$3:$J$707,'HH &amp; SI'!FJ$2,0),"N")</f>
        <v>Y</v>
      </c>
      <c r="FK143" s="830" t="str">
        <f>IFERROR(VLOOKUP($B143,'Historical Conc Grant Elig'!$B$3:$J$707,'HH &amp; SI'!FK$2,0),"N")</f>
        <v>Y</v>
      </c>
      <c r="FL143" s="957" t="str">
        <f>IFERROR(VLOOKUP($B143,'Historical Conc Grant Elig'!$B$3:$J$707,'HH &amp; SI'!FL$2,0),"N")</f>
        <v>Y</v>
      </c>
    </row>
    <row r="144" spans="2:168" x14ac:dyDescent="0.25">
      <c r="B144" s="634">
        <v>78223000</v>
      </c>
      <c r="C144" s="635" t="str">
        <f>VLOOKUP($B144,'Afton Update'!$A$5:$CR$582,'Afton Update'!D$589,0)</f>
        <v>Eagle South Mountain Charter, Inc.</v>
      </c>
      <c r="D144" s="636">
        <f>IFERROR(VLOOKUP($B144,'Afton FY16 Final'!$A$5:$BV$587,'Afton FY16 Final'!AQ$587,0),0)</f>
        <v>23486.070793053008</v>
      </c>
      <c r="E144" s="637">
        <f>IFERROR(VLOOKUP($B144,'Afton FY16 Final'!$A$5:$BV$587,'Afton FY16 Final'!AR$587,0),0)</f>
        <v>6678.099520847757</v>
      </c>
      <c r="F144" s="637">
        <f>IFERROR(VLOOKUP($B144,'Afton FY16 Final'!$A$5:$BV$587,'Afton FY16 Final'!AS$587,0),0)</f>
        <v>12746.166499659206</v>
      </c>
      <c r="G144" s="637">
        <f>IFERROR(VLOOKUP($B144,'Afton FY16 Final'!$A$5:$BV$587,'Afton FY16 Final'!AT$587,0),0)</f>
        <v>10896.575365850787</v>
      </c>
      <c r="H144" s="638">
        <f>IFERROR(VLOOKUP($B144,'Afton FY16 Final'!$A$5:$BV$587,'Afton FY16 Final'!AU$587,0),0)</f>
        <v>53806.912179410763</v>
      </c>
      <c r="I144" s="639" t="str">
        <f>VLOOKUP($B144,'Afton Update'!$A$5:$CR$582,'Afton Update'!BT$589,0)</f>
        <v>Y</v>
      </c>
      <c r="J144" s="640" t="str">
        <f>VLOOKUP($B144,'Afton Update'!$A$5:$CR$582,'Afton Update'!BU$589,0)</f>
        <v>Y</v>
      </c>
      <c r="K144" s="640" t="str">
        <f>VLOOKUP($B144,'Afton Update'!$A$5:$CR$582,'Afton Update'!BV$589,0)</f>
        <v>Y</v>
      </c>
      <c r="L144" s="641" t="str">
        <f>VLOOKUP($B144,'Afton Update'!$A$5:$CR$582,'Afton Update'!BW$589,0)</f>
        <v>Y</v>
      </c>
      <c r="N144" s="642">
        <f>VLOOKUP($B144,'Afton Update'!$A$5:$CR$582,'Afton Update'!CB$589,0)</f>
        <v>0.95</v>
      </c>
      <c r="P144" s="636">
        <f>VLOOKUP($B144,'Afton Update'!$A$5:$CR$582,'Afton Update'!AH$589,0)</f>
        <v>37549.632998466004</v>
      </c>
      <c r="Q144" s="637">
        <f>VLOOKUP($B144,'Afton Update'!$A$5:$CR$582,'Afton Update'!AI$589,0)</f>
        <v>9896.0251022033426</v>
      </c>
      <c r="R144" s="637">
        <f>VLOOKUP($B144,'Afton Update'!$A$5:$CR$582,'Afton Update'!AJ$589,0)</f>
        <v>22001.713538151052</v>
      </c>
      <c r="S144" s="637">
        <f>VLOOKUP($B144,'Afton Update'!$A$5:$CR$582,'Afton Update'!AK$589,0)</f>
        <v>20480.705169749988</v>
      </c>
      <c r="T144" s="643">
        <f t="shared" si="268"/>
        <v>89928.076808570375</v>
      </c>
      <c r="V144" s="636">
        <f t="shared" si="316"/>
        <v>37037.431632264568</v>
      </c>
      <c r="W144" s="637">
        <f t="shared" si="317"/>
        <v>9570.0862161472378</v>
      </c>
      <c r="X144" s="637">
        <f t="shared" si="318"/>
        <v>21801.61654376582</v>
      </c>
      <c r="Y144" s="637">
        <f t="shared" si="319"/>
        <v>20255.044665931877</v>
      </c>
      <c r="Z144" s="643">
        <f t="shared" si="320"/>
        <v>88664.179058109497</v>
      </c>
      <c r="AB144" s="644">
        <f t="shared" si="269"/>
        <v>37549.632998466004</v>
      </c>
      <c r="AC144" s="645">
        <f t="shared" si="257"/>
        <v>22311.767253400358</v>
      </c>
      <c r="AD144" s="644">
        <f t="shared" si="321"/>
        <v>0</v>
      </c>
      <c r="AE144" s="645">
        <f t="shared" si="322"/>
        <v>37549.632998466004</v>
      </c>
      <c r="AF144" s="646">
        <f t="shared" si="323"/>
        <v>-465.45591881404056</v>
      </c>
      <c r="AG144" s="647">
        <f t="shared" si="324"/>
        <v>37084.177079651963</v>
      </c>
      <c r="AH144" s="644">
        <f t="shared" si="270"/>
        <v>0</v>
      </c>
      <c r="AI144" s="645">
        <f t="shared" si="271"/>
        <v>37084.177079651963</v>
      </c>
      <c r="AJ144" s="646">
        <f t="shared" si="325"/>
        <v>-46.715666006440934</v>
      </c>
      <c r="AK144" s="647">
        <f t="shared" si="272"/>
        <v>37037.46141364552</v>
      </c>
      <c r="AL144" s="644">
        <f t="shared" si="326"/>
        <v>0</v>
      </c>
      <c r="AM144" s="645">
        <f t="shared" si="327"/>
        <v>37037.46141364552</v>
      </c>
      <c r="AN144" s="646">
        <f t="shared" si="328"/>
        <v>-2.9781380955275761E-2</v>
      </c>
      <c r="AO144" s="647">
        <f t="shared" si="273"/>
        <v>37037.431632264568</v>
      </c>
      <c r="AP144" s="644">
        <f t="shared" si="329"/>
        <v>0</v>
      </c>
      <c r="AQ144" s="645">
        <f t="shared" si="330"/>
        <v>37037.431632264568</v>
      </c>
      <c r="AR144" s="646">
        <f t="shared" si="331"/>
        <v>0</v>
      </c>
      <c r="AS144" s="647">
        <f t="shared" si="274"/>
        <v>37037.431632264568</v>
      </c>
      <c r="AT144" s="644">
        <f t="shared" si="332"/>
        <v>0</v>
      </c>
      <c r="AU144" s="645">
        <f t="shared" si="333"/>
        <v>37037.431632264568</v>
      </c>
      <c r="AV144" s="646">
        <f t="shared" si="334"/>
        <v>0</v>
      </c>
      <c r="AW144" s="647">
        <f t="shared" si="275"/>
        <v>37037.431632264568</v>
      </c>
      <c r="AY144" s="644">
        <f t="shared" si="335"/>
        <v>9896.0251022033426</v>
      </c>
      <c r="AZ144" s="645">
        <f t="shared" si="276"/>
        <v>6344.1945448053693</v>
      </c>
      <c r="BA144" s="644">
        <f t="shared" si="336"/>
        <v>0</v>
      </c>
      <c r="BB144" s="645">
        <f t="shared" si="337"/>
        <v>9896.0251022033426</v>
      </c>
      <c r="BC144" s="646">
        <f t="shared" si="338"/>
        <v>-71.165200512936238</v>
      </c>
      <c r="BD144" s="647">
        <f t="shared" si="339"/>
        <v>9824.8599016904063</v>
      </c>
      <c r="BE144" s="644">
        <f t="shared" si="277"/>
        <v>0</v>
      </c>
      <c r="BF144" s="645">
        <f t="shared" si="278"/>
        <v>9824.8599016904063</v>
      </c>
      <c r="BG144" s="646">
        <f t="shared" si="340"/>
        <v>-234.02015617507985</v>
      </c>
      <c r="BH144" s="647">
        <f t="shared" si="279"/>
        <v>9590.8397455153263</v>
      </c>
      <c r="BI144" s="644">
        <f t="shared" si="341"/>
        <v>0</v>
      </c>
      <c r="BJ144" s="645">
        <f t="shared" si="342"/>
        <v>9590.8397455153263</v>
      </c>
      <c r="BK144" s="646">
        <f t="shared" si="343"/>
        <v>-20.315651200801337</v>
      </c>
      <c r="BL144" s="647">
        <f t="shared" si="280"/>
        <v>9570.5240943145254</v>
      </c>
      <c r="BM144" s="644">
        <f t="shared" si="344"/>
        <v>0</v>
      </c>
      <c r="BN144" s="645">
        <f t="shared" si="345"/>
        <v>9570.5240943145254</v>
      </c>
      <c r="BO144" s="646">
        <f t="shared" si="346"/>
        <v>-0.43787816728823642</v>
      </c>
      <c r="BP144" s="647">
        <f t="shared" si="281"/>
        <v>9570.0862161472378</v>
      </c>
      <c r="BQ144" s="644">
        <f t="shared" si="347"/>
        <v>0</v>
      </c>
      <c r="BR144" s="645">
        <f t="shared" si="348"/>
        <v>9570.0862161472378</v>
      </c>
      <c r="BS144" s="646">
        <f t="shared" si="349"/>
        <v>0</v>
      </c>
      <c r="BT144" s="647">
        <f t="shared" si="282"/>
        <v>9570.0862161472378</v>
      </c>
      <c r="BU144" s="662">
        <f>VLOOKUP(B144,'Afton Update'!$A$5:$AR$582,'Afton Update'!$AO$589,0)-BT144</f>
        <v>0</v>
      </c>
      <c r="BV144" s="644">
        <f t="shared" si="350"/>
        <v>22001.713538151052</v>
      </c>
      <c r="BW144" s="645">
        <f t="shared" si="258"/>
        <v>12108.858174676245</v>
      </c>
      <c r="BX144" s="644">
        <f t="shared" si="351"/>
        <v>0</v>
      </c>
      <c r="BY144" s="645">
        <f t="shared" si="352"/>
        <v>22001.713538151052</v>
      </c>
      <c r="BZ144" s="646">
        <f t="shared" si="353"/>
        <v>-193.1113789204027</v>
      </c>
      <c r="CA144" s="647">
        <f t="shared" si="354"/>
        <v>21808.60215923065</v>
      </c>
      <c r="CB144" s="644">
        <f t="shared" si="283"/>
        <v>0</v>
      </c>
      <c r="CC144" s="645">
        <f t="shared" si="284"/>
        <v>21808.60215923065</v>
      </c>
      <c r="CD144" s="646">
        <f t="shared" si="355"/>
        <v>-6.9856154648307243</v>
      </c>
      <c r="CE144" s="647">
        <f t="shared" si="285"/>
        <v>21801.61654376582</v>
      </c>
      <c r="CF144" s="644">
        <f t="shared" si="356"/>
        <v>0</v>
      </c>
      <c r="CG144" s="645">
        <f t="shared" si="357"/>
        <v>21801.61654376582</v>
      </c>
      <c r="CH144" s="646">
        <f t="shared" si="358"/>
        <v>0</v>
      </c>
      <c r="CI144" s="647">
        <f t="shared" si="286"/>
        <v>21801.61654376582</v>
      </c>
      <c r="CJ144" s="644">
        <f t="shared" si="359"/>
        <v>0</v>
      </c>
      <c r="CK144" s="645">
        <f t="shared" si="360"/>
        <v>21801.61654376582</v>
      </c>
      <c r="CL144" s="646">
        <f t="shared" si="361"/>
        <v>0</v>
      </c>
      <c r="CM144" s="647">
        <f t="shared" si="287"/>
        <v>21801.61654376582</v>
      </c>
      <c r="CN144" s="644">
        <f t="shared" si="362"/>
        <v>0</v>
      </c>
      <c r="CO144" s="645">
        <f t="shared" si="363"/>
        <v>21801.61654376582</v>
      </c>
      <c r="CP144" s="646">
        <f t="shared" si="364"/>
        <v>0</v>
      </c>
      <c r="CQ144" s="647">
        <f t="shared" si="288"/>
        <v>21801.61654376582</v>
      </c>
      <c r="CS144" s="644">
        <f t="shared" si="365"/>
        <v>20480.705169749988</v>
      </c>
      <c r="CT144" s="645">
        <f t="shared" si="259"/>
        <v>10351.746597558247</v>
      </c>
      <c r="CU144" s="644">
        <f t="shared" si="366"/>
        <v>0</v>
      </c>
      <c r="CV144" s="645">
        <f t="shared" si="367"/>
        <v>20480.705169749988</v>
      </c>
      <c r="CW144" s="646">
        <f t="shared" si="368"/>
        <v>-209.73399503480908</v>
      </c>
      <c r="CX144" s="647">
        <f t="shared" si="369"/>
        <v>20270.971174715178</v>
      </c>
      <c r="CY144" s="644">
        <f t="shared" si="289"/>
        <v>0</v>
      </c>
      <c r="CZ144" s="645">
        <f t="shared" si="290"/>
        <v>20270.971174715178</v>
      </c>
      <c r="DA144" s="646">
        <f t="shared" si="370"/>
        <v>-15.91278598736419</v>
      </c>
      <c r="DB144" s="647">
        <f t="shared" si="291"/>
        <v>20255.058388727815</v>
      </c>
      <c r="DC144" s="644">
        <f t="shared" si="371"/>
        <v>0</v>
      </c>
      <c r="DD144" s="645">
        <f t="shared" si="372"/>
        <v>20255.058388727815</v>
      </c>
      <c r="DE144" s="646">
        <f t="shared" si="373"/>
        <v>-1.3722795938883639E-2</v>
      </c>
      <c r="DF144" s="647">
        <f t="shared" si="292"/>
        <v>20255.044665931877</v>
      </c>
      <c r="DG144" s="644">
        <f t="shared" si="374"/>
        <v>0</v>
      </c>
      <c r="DH144" s="645">
        <f t="shared" si="375"/>
        <v>20255.044665931877</v>
      </c>
      <c r="DI144" s="646">
        <f t="shared" si="376"/>
        <v>0</v>
      </c>
      <c r="DJ144" s="647">
        <f t="shared" si="293"/>
        <v>20255.044665931877</v>
      </c>
      <c r="DK144" s="644">
        <f t="shared" si="377"/>
        <v>0</v>
      </c>
      <c r="DL144" s="645">
        <f t="shared" si="378"/>
        <v>20255.044665931877</v>
      </c>
      <c r="DM144" s="646">
        <f t="shared" si="379"/>
        <v>0</v>
      </c>
      <c r="DN144" s="647">
        <f t="shared" si="294"/>
        <v>20255.044665931877</v>
      </c>
      <c r="DR144" s="827">
        <f t="shared" si="295"/>
        <v>88664.179058109497</v>
      </c>
      <c r="DV144" s="828">
        <f>IFERROR(VLOOKUP($B144,'Afton FY16 Final'!$A$5:$BV$587,'Afton FY16 Final'!$BV$587,0),0)</f>
        <v>47771.411249124474</v>
      </c>
      <c r="DX144" s="636">
        <f t="shared" si="260"/>
        <v>88664.179058109497</v>
      </c>
      <c r="DY144" s="637">
        <f t="shared" si="261"/>
        <v>40892.767808985023</v>
      </c>
      <c r="DZ144" s="637">
        <f t="shared" si="262"/>
        <v>47771.411249124474</v>
      </c>
      <c r="EA144" s="643">
        <f t="shared" si="263"/>
        <v>83948.238427222983</v>
      </c>
      <c r="EB144" s="637">
        <f t="shared" si="296"/>
        <v>0</v>
      </c>
      <c r="EC144" s="637">
        <f t="shared" si="297"/>
        <v>83948.238427222983</v>
      </c>
      <c r="ED144" s="637">
        <f t="shared" si="298"/>
        <v>83697.909792591425</v>
      </c>
      <c r="EE144" s="643">
        <f t="shared" si="299"/>
        <v>83697.909792591425</v>
      </c>
      <c r="EF144" s="637">
        <f t="shared" si="300"/>
        <v>0</v>
      </c>
      <c r="EG144" s="637">
        <f t="shared" si="301"/>
        <v>83697.909792591425</v>
      </c>
      <c r="EH144" s="637">
        <f t="shared" si="302"/>
        <v>83697.823444724869</v>
      </c>
      <c r="EI144" s="643">
        <f t="shared" si="303"/>
        <v>83697.823444724869</v>
      </c>
      <c r="EJ144" s="637">
        <f t="shared" si="304"/>
        <v>0</v>
      </c>
      <c r="EK144" s="637">
        <f t="shared" si="305"/>
        <v>83697.823444724869</v>
      </c>
      <c r="EL144" s="637">
        <f t="shared" si="306"/>
        <v>83697.823444724752</v>
      </c>
      <c r="EM144" s="643">
        <f t="shared" si="307"/>
        <v>83697.823444724752</v>
      </c>
      <c r="EN144" s="637">
        <f t="shared" si="308"/>
        <v>0</v>
      </c>
      <c r="EO144" s="637">
        <f t="shared" si="309"/>
        <v>83697.823444724752</v>
      </c>
      <c r="EP144" s="637">
        <f t="shared" si="310"/>
        <v>83697.823444724883</v>
      </c>
      <c r="EQ144" s="643">
        <f t="shared" si="311"/>
        <v>83697.823444724883</v>
      </c>
      <c r="ER144" s="637">
        <f t="shared" si="312"/>
        <v>0</v>
      </c>
      <c r="ES144" s="637">
        <f t="shared" si="313"/>
        <v>83697.823444724883</v>
      </c>
      <c r="ET144" s="637">
        <f t="shared" si="314"/>
        <v>83697.823444724752</v>
      </c>
      <c r="EU144" s="643">
        <f t="shared" si="264"/>
        <v>83697.823444724752</v>
      </c>
      <c r="EV144" s="643">
        <f t="shared" si="265"/>
        <v>0</v>
      </c>
      <c r="EX144" s="829">
        <f t="shared" si="266"/>
        <v>4966.3556133847451</v>
      </c>
      <c r="EY144" s="638">
        <f t="shared" si="267"/>
        <v>83697.823444724752</v>
      </c>
      <c r="FC144" s="830" t="str">
        <f t="shared" si="315"/>
        <v>Y</v>
      </c>
      <c r="FE144" s="830" t="str">
        <f>IFERROR(VLOOKUP($B144,'Historical Conc Grant Elig'!$B$3:$J$707,'HH &amp; SI'!FE$2,0),"N")</f>
        <v>N</v>
      </c>
      <c r="FF144" s="830" t="str">
        <f>IFERROR(VLOOKUP($B144,'Historical Conc Grant Elig'!$B$3:$J$707,'HH &amp; SI'!FF$2,0),"N")</f>
        <v>N</v>
      </c>
      <c r="FG144" s="830" t="str">
        <f>IFERROR(VLOOKUP($B144,'Historical Conc Grant Elig'!$B$3:$J$707,'HH &amp; SI'!FG$2,0),"N")</f>
        <v>N</v>
      </c>
      <c r="FH144" s="830" t="str">
        <f>IFERROR(VLOOKUP($B144,'Historical Conc Grant Elig'!$B$3:$J$707,'HH &amp; SI'!FH$2,0),"N")</f>
        <v>N</v>
      </c>
      <c r="FI144" s="830" t="str">
        <f>IFERROR(VLOOKUP($B144,'Historical Conc Grant Elig'!$B$3:$J$707,'HH &amp; SI'!FI$2,0),"N")</f>
        <v>N</v>
      </c>
      <c r="FJ144" s="830" t="str">
        <f>IFERROR(VLOOKUP($B144,'Historical Conc Grant Elig'!$B$3:$J$707,'HH &amp; SI'!FJ$2,0),"N")</f>
        <v>Y</v>
      </c>
      <c r="FK144" s="830" t="str">
        <f>IFERROR(VLOOKUP($B144,'Historical Conc Grant Elig'!$B$3:$J$707,'HH &amp; SI'!FK$2,0),"N")</f>
        <v>Y</v>
      </c>
      <c r="FL144" s="957" t="str">
        <f>IFERROR(VLOOKUP($B144,'Historical Conc Grant Elig'!$B$3:$J$707,'HH &amp; SI'!FL$2,0),"N")</f>
        <v>Y</v>
      </c>
    </row>
    <row r="145" spans="2:168" x14ac:dyDescent="0.25">
      <c r="B145" s="634">
        <v>78224000</v>
      </c>
      <c r="C145" s="635" t="str">
        <f>VLOOKUP($B145,'Afton Update'!$A$5:$CR$582,'Afton Update'!D$589,0)</f>
        <v>Vista College Preparatory, Inc.</v>
      </c>
      <c r="D145" s="636">
        <f>IFERROR(VLOOKUP($B145,'Afton FY16 Final'!$A$5:$BV$587,'Afton FY16 Final'!AQ$587,0),0)</f>
        <v>33445.887183570499</v>
      </c>
      <c r="E145" s="637">
        <f>IFERROR(VLOOKUP($B145,'Afton FY16 Final'!$A$5:$BV$587,'Afton FY16 Final'!AR$587,0),0)</f>
        <v>8700.129341513506</v>
      </c>
      <c r="F145" s="637">
        <f>IFERROR(VLOOKUP($B145,'Afton FY16 Final'!$A$5:$BV$587,'Afton FY16 Final'!AS$587,0),0)</f>
        <v>18151.475848259204</v>
      </c>
      <c r="G145" s="637">
        <f>IFERROR(VLOOKUP($B145,'Afton FY16 Final'!$A$5:$BV$587,'Afton FY16 Final'!AT$587,0),0)</f>
        <v>15241.038439847594</v>
      </c>
      <c r="H145" s="638">
        <f>IFERROR(VLOOKUP($B145,'Afton FY16 Final'!$A$5:$BV$587,'Afton FY16 Final'!AU$587,0),0)</f>
        <v>75538.530813190795</v>
      </c>
      <c r="I145" s="639" t="str">
        <f>VLOOKUP($B145,'Afton Update'!$A$5:$CR$582,'Afton Update'!BT$589,0)</f>
        <v>Y</v>
      </c>
      <c r="J145" s="640" t="str">
        <f>VLOOKUP($B145,'Afton Update'!$A$5:$CR$582,'Afton Update'!BU$589,0)</f>
        <v>Y</v>
      </c>
      <c r="K145" s="640" t="str">
        <f>VLOOKUP($B145,'Afton Update'!$A$5:$CR$582,'Afton Update'!BV$589,0)</f>
        <v>Y</v>
      </c>
      <c r="L145" s="641" t="str">
        <f>VLOOKUP($B145,'Afton Update'!$A$5:$CR$582,'Afton Update'!BW$589,0)</f>
        <v>Y</v>
      </c>
      <c r="N145" s="642">
        <f>VLOOKUP($B145,'Afton Update'!$A$5:$CR$582,'Afton Update'!CB$589,0)</f>
        <v>0.95</v>
      </c>
      <c r="P145" s="636">
        <f>VLOOKUP($B145,'Afton Update'!$A$5:$CR$582,'Afton Update'!AH$589,0)</f>
        <v>38506.311546197619</v>
      </c>
      <c r="Q145" s="637">
        <f>VLOOKUP($B145,'Afton Update'!$A$5:$CR$582,'Afton Update'!AI$589,0)</f>
        <v>10093.864687410289</v>
      </c>
      <c r="R145" s="637">
        <f>VLOOKUP($B145,'Afton Update'!$A$5:$CR$582,'Afton Update'!AJ$589,0)</f>
        <v>22561.621127779861</v>
      </c>
      <c r="S145" s="637">
        <f>VLOOKUP($B145,'Afton Update'!$A$5:$CR$582,'Afton Update'!AK$589,0)</f>
        <v>21001.90558650883</v>
      </c>
      <c r="T145" s="643">
        <f t="shared" si="268"/>
        <v>92163.7029478966</v>
      </c>
      <c r="V145" s="636">
        <f t="shared" si="316"/>
        <v>37981.060463659836</v>
      </c>
      <c r="W145" s="637">
        <f t="shared" si="317"/>
        <v>9761.4096887378364</v>
      </c>
      <c r="X145" s="637">
        <f t="shared" si="318"/>
        <v>22356.431992474605</v>
      </c>
      <c r="Y145" s="637">
        <f t="shared" si="319"/>
        <v>20770.502392306713</v>
      </c>
      <c r="Z145" s="643">
        <f t="shared" si="320"/>
        <v>90869.404537178983</v>
      </c>
      <c r="AB145" s="644">
        <f t="shared" si="269"/>
        <v>38506.311546197619</v>
      </c>
      <c r="AC145" s="645">
        <f t="shared" si="257"/>
        <v>31773.592824391973</v>
      </c>
      <c r="AD145" s="644">
        <f t="shared" si="321"/>
        <v>0</v>
      </c>
      <c r="AE145" s="645">
        <f t="shared" si="322"/>
        <v>38506.311546197619</v>
      </c>
      <c r="AF145" s="646">
        <f t="shared" si="323"/>
        <v>-477.31466833796514</v>
      </c>
      <c r="AG145" s="647">
        <f t="shared" si="324"/>
        <v>38028.996877859652</v>
      </c>
      <c r="AH145" s="644">
        <f t="shared" si="270"/>
        <v>0</v>
      </c>
      <c r="AI145" s="645">
        <f t="shared" si="271"/>
        <v>38028.996877859652</v>
      </c>
      <c r="AJ145" s="646">
        <f t="shared" si="325"/>
        <v>-47.905874057560439</v>
      </c>
      <c r="AK145" s="647">
        <f t="shared" si="272"/>
        <v>37981.091003802088</v>
      </c>
      <c r="AL145" s="644">
        <f t="shared" si="326"/>
        <v>0</v>
      </c>
      <c r="AM145" s="645">
        <f t="shared" si="327"/>
        <v>37981.091003802088</v>
      </c>
      <c r="AN145" s="646">
        <f t="shared" si="328"/>
        <v>-3.0540142253499342E-2</v>
      </c>
      <c r="AO145" s="647">
        <f t="shared" si="273"/>
        <v>37981.060463659836</v>
      </c>
      <c r="AP145" s="644">
        <f t="shared" si="329"/>
        <v>0</v>
      </c>
      <c r="AQ145" s="645">
        <f t="shared" si="330"/>
        <v>37981.060463659836</v>
      </c>
      <c r="AR145" s="646">
        <f t="shared" si="331"/>
        <v>0</v>
      </c>
      <c r="AS145" s="647">
        <f t="shared" si="274"/>
        <v>37981.060463659836</v>
      </c>
      <c r="AT145" s="644">
        <f t="shared" si="332"/>
        <v>0</v>
      </c>
      <c r="AU145" s="645">
        <f t="shared" si="333"/>
        <v>37981.060463659836</v>
      </c>
      <c r="AV145" s="646">
        <f t="shared" si="334"/>
        <v>0</v>
      </c>
      <c r="AW145" s="647">
        <f t="shared" si="275"/>
        <v>37981.060463659836</v>
      </c>
      <c r="AY145" s="644">
        <f t="shared" si="335"/>
        <v>10093.864687410289</v>
      </c>
      <c r="AZ145" s="645">
        <f t="shared" si="276"/>
        <v>8265.1228744378295</v>
      </c>
      <c r="BA145" s="644">
        <f t="shared" si="336"/>
        <v>0</v>
      </c>
      <c r="BB145" s="645">
        <f t="shared" si="337"/>
        <v>10093.864687410289</v>
      </c>
      <c r="BC145" s="646">
        <f t="shared" si="338"/>
        <v>-72.587922626637592</v>
      </c>
      <c r="BD145" s="647">
        <f t="shared" si="339"/>
        <v>10021.276764783652</v>
      </c>
      <c r="BE145" s="644">
        <f t="shared" si="277"/>
        <v>0</v>
      </c>
      <c r="BF145" s="645">
        <f t="shared" si="278"/>
        <v>10021.276764783652</v>
      </c>
      <c r="BG145" s="646">
        <f t="shared" si="340"/>
        <v>-238.69864578576548</v>
      </c>
      <c r="BH145" s="647">
        <f t="shared" si="279"/>
        <v>9782.5781189978861</v>
      </c>
      <c r="BI145" s="644">
        <f t="shared" si="341"/>
        <v>0</v>
      </c>
      <c r="BJ145" s="645">
        <f t="shared" si="342"/>
        <v>9782.5781189978861</v>
      </c>
      <c r="BK145" s="646">
        <f t="shared" si="343"/>
        <v>-20.721798109814397</v>
      </c>
      <c r="BL145" s="647">
        <f t="shared" si="280"/>
        <v>9761.8563208880714</v>
      </c>
      <c r="BM145" s="644">
        <f t="shared" si="344"/>
        <v>0</v>
      </c>
      <c r="BN145" s="645">
        <f t="shared" si="345"/>
        <v>9761.8563208880714</v>
      </c>
      <c r="BO145" s="646">
        <f t="shared" si="346"/>
        <v>-0.44663215023520714</v>
      </c>
      <c r="BP145" s="647">
        <f t="shared" si="281"/>
        <v>9761.4096887378364</v>
      </c>
      <c r="BQ145" s="644">
        <f t="shared" si="347"/>
        <v>0</v>
      </c>
      <c r="BR145" s="645">
        <f t="shared" si="348"/>
        <v>9761.4096887378364</v>
      </c>
      <c r="BS145" s="646">
        <f t="shared" si="349"/>
        <v>0</v>
      </c>
      <c r="BT145" s="647">
        <f t="shared" si="282"/>
        <v>9761.4096887378364</v>
      </c>
      <c r="BU145" s="662">
        <f>VLOOKUP(B145,'Afton Update'!$A$5:$AR$582,'Afton Update'!$AO$589,0)-BT145</f>
        <v>0</v>
      </c>
      <c r="BV145" s="644">
        <f t="shared" si="350"/>
        <v>22561.621127779861</v>
      </c>
      <c r="BW145" s="645">
        <f t="shared" si="258"/>
        <v>17243.902055846243</v>
      </c>
      <c r="BX145" s="644">
        <f t="shared" si="351"/>
        <v>0</v>
      </c>
      <c r="BY145" s="645">
        <f t="shared" si="352"/>
        <v>22561.621127779861</v>
      </c>
      <c r="BZ145" s="646">
        <f t="shared" si="353"/>
        <v>-198.02574736328467</v>
      </c>
      <c r="CA145" s="647">
        <f t="shared" si="354"/>
        <v>22363.595380416577</v>
      </c>
      <c r="CB145" s="644">
        <f t="shared" si="283"/>
        <v>0</v>
      </c>
      <c r="CC145" s="645">
        <f t="shared" si="284"/>
        <v>22363.595380416577</v>
      </c>
      <c r="CD145" s="646">
        <f t="shared" si="355"/>
        <v>-7.1633879419700568</v>
      </c>
      <c r="CE145" s="647">
        <f t="shared" si="285"/>
        <v>22356.431992474605</v>
      </c>
      <c r="CF145" s="644">
        <f t="shared" si="356"/>
        <v>0</v>
      </c>
      <c r="CG145" s="645">
        <f t="shared" si="357"/>
        <v>22356.431992474605</v>
      </c>
      <c r="CH145" s="646">
        <f t="shared" si="358"/>
        <v>0</v>
      </c>
      <c r="CI145" s="647">
        <f t="shared" si="286"/>
        <v>22356.431992474605</v>
      </c>
      <c r="CJ145" s="644">
        <f t="shared" si="359"/>
        <v>0</v>
      </c>
      <c r="CK145" s="645">
        <f t="shared" si="360"/>
        <v>22356.431992474605</v>
      </c>
      <c r="CL145" s="646">
        <f t="shared" si="361"/>
        <v>0</v>
      </c>
      <c r="CM145" s="647">
        <f t="shared" si="287"/>
        <v>22356.431992474605</v>
      </c>
      <c r="CN145" s="644">
        <f t="shared" si="362"/>
        <v>0</v>
      </c>
      <c r="CO145" s="645">
        <f t="shared" si="363"/>
        <v>22356.431992474605</v>
      </c>
      <c r="CP145" s="646">
        <f t="shared" si="364"/>
        <v>0</v>
      </c>
      <c r="CQ145" s="647">
        <f t="shared" si="288"/>
        <v>22356.431992474605</v>
      </c>
      <c r="CS145" s="644">
        <f t="shared" si="365"/>
        <v>21001.90558650883</v>
      </c>
      <c r="CT145" s="645">
        <f t="shared" si="259"/>
        <v>14478.986517855214</v>
      </c>
      <c r="CU145" s="644">
        <f t="shared" si="366"/>
        <v>0</v>
      </c>
      <c r="CV145" s="645">
        <f t="shared" si="367"/>
        <v>21001.90558650883</v>
      </c>
      <c r="CW145" s="646">
        <f t="shared" si="368"/>
        <v>-215.07138184422891</v>
      </c>
      <c r="CX145" s="647">
        <f t="shared" si="369"/>
        <v>20786.834204664603</v>
      </c>
      <c r="CY145" s="644">
        <f t="shared" si="289"/>
        <v>0</v>
      </c>
      <c r="CZ145" s="645">
        <f t="shared" si="290"/>
        <v>20786.834204664603</v>
      </c>
      <c r="DA145" s="646">
        <f t="shared" si="370"/>
        <v>-16.317740339261135</v>
      </c>
      <c r="DB145" s="647">
        <f t="shared" si="291"/>
        <v>20770.516464325341</v>
      </c>
      <c r="DC145" s="644">
        <f t="shared" si="371"/>
        <v>0</v>
      </c>
      <c r="DD145" s="645">
        <f t="shared" si="372"/>
        <v>20770.516464325341</v>
      </c>
      <c r="DE145" s="646">
        <f t="shared" si="373"/>
        <v>-1.4072018629370228E-2</v>
      </c>
      <c r="DF145" s="647">
        <f t="shared" si="292"/>
        <v>20770.502392306713</v>
      </c>
      <c r="DG145" s="644">
        <f t="shared" si="374"/>
        <v>0</v>
      </c>
      <c r="DH145" s="645">
        <f t="shared" si="375"/>
        <v>20770.502392306713</v>
      </c>
      <c r="DI145" s="646">
        <f t="shared" si="376"/>
        <v>0</v>
      </c>
      <c r="DJ145" s="647">
        <f t="shared" si="293"/>
        <v>20770.502392306713</v>
      </c>
      <c r="DK145" s="644">
        <f t="shared" si="377"/>
        <v>0</v>
      </c>
      <c r="DL145" s="645">
        <f t="shared" si="378"/>
        <v>20770.502392306713</v>
      </c>
      <c r="DM145" s="646">
        <f t="shared" si="379"/>
        <v>0</v>
      </c>
      <c r="DN145" s="647">
        <f t="shared" si="294"/>
        <v>20770.502392306713</v>
      </c>
      <c r="DR145" s="827">
        <f t="shared" si="295"/>
        <v>90869.404537178983</v>
      </c>
      <c r="DV145" s="828">
        <f>IFERROR(VLOOKUP($B145,'Afton FY16 Final'!$A$5:$BV$587,'Afton FY16 Final'!$BV$587,0),0)</f>
        <v>67065.402463522565</v>
      </c>
      <c r="DX145" s="636">
        <f t="shared" si="260"/>
        <v>90869.404537178983</v>
      </c>
      <c r="DY145" s="637">
        <f t="shared" si="261"/>
        <v>23804.002073656418</v>
      </c>
      <c r="DZ145" s="637">
        <f t="shared" si="262"/>
        <v>67065.402463522565</v>
      </c>
      <c r="EA145" s="643">
        <f t="shared" si="263"/>
        <v>86036.170625652114</v>
      </c>
      <c r="EB145" s="637">
        <f t="shared" si="296"/>
        <v>0</v>
      </c>
      <c r="EC145" s="637">
        <f t="shared" si="297"/>
        <v>86036.170625652114</v>
      </c>
      <c r="ED145" s="637">
        <f t="shared" si="298"/>
        <v>85779.615901870522</v>
      </c>
      <c r="EE145" s="643">
        <f t="shared" si="299"/>
        <v>85779.615901870522</v>
      </c>
      <c r="EF145" s="637">
        <f t="shared" si="300"/>
        <v>0</v>
      </c>
      <c r="EG145" s="637">
        <f t="shared" si="301"/>
        <v>85779.615901870522</v>
      </c>
      <c r="EH145" s="637">
        <f t="shared" si="302"/>
        <v>85779.527406389025</v>
      </c>
      <c r="EI145" s="643">
        <f t="shared" si="303"/>
        <v>85779.527406389025</v>
      </c>
      <c r="EJ145" s="637">
        <f t="shared" si="304"/>
        <v>0</v>
      </c>
      <c r="EK145" s="637">
        <f t="shared" si="305"/>
        <v>85779.527406389025</v>
      </c>
      <c r="EL145" s="637">
        <f t="shared" si="306"/>
        <v>85779.527406388908</v>
      </c>
      <c r="EM145" s="643">
        <f t="shared" si="307"/>
        <v>85779.527406388908</v>
      </c>
      <c r="EN145" s="637">
        <f t="shared" si="308"/>
        <v>0</v>
      </c>
      <c r="EO145" s="637">
        <f t="shared" si="309"/>
        <v>85779.527406388908</v>
      </c>
      <c r="EP145" s="637">
        <f t="shared" si="310"/>
        <v>85779.527406389039</v>
      </c>
      <c r="EQ145" s="643">
        <f t="shared" si="311"/>
        <v>85779.527406389039</v>
      </c>
      <c r="ER145" s="637">
        <f t="shared" si="312"/>
        <v>0</v>
      </c>
      <c r="ES145" s="637">
        <f t="shared" si="313"/>
        <v>85779.527406389039</v>
      </c>
      <c r="ET145" s="637">
        <f t="shared" si="314"/>
        <v>85779.527406388908</v>
      </c>
      <c r="EU145" s="643">
        <f t="shared" si="264"/>
        <v>85779.527406388908</v>
      </c>
      <c r="EV145" s="643">
        <f t="shared" si="265"/>
        <v>0</v>
      </c>
      <c r="EX145" s="829">
        <f t="shared" si="266"/>
        <v>5089.8771307900752</v>
      </c>
      <c r="EY145" s="638">
        <f t="shared" si="267"/>
        <v>85779.527406388908</v>
      </c>
      <c r="FC145" s="830" t="str">
        <f t="shared" si="315"/>
        <v>Y</v>
      </c>
      <c r="FE145" s="830" t="str">
        <f>IFERROR(VLOOKUP($B145,'Historical Conc Grant Elig'!$B$3:$J$707,'HH &amp; SI'!FE$2,0),"N")</f>
        <v>N</v>
      </c>
      <c r="FF145" s="830" t="str">
        <f>IFERROR(VLOOKUP($B145,'Historical Conc Grant Elig'!$B$3:$J$707,'HH &amp; SI'!FF$2,0),"N")</f>
        <v>N</v>
      </c>
      <c r="FG145" s="830" t="str">
        <f>IFERROR(VLOOKUP($B145,'Historical Conc Grant Elig'!$B$3:$J$707,'HH &amp; SI'!FG$2,0),"N")</f>
        <v>N</v>
      </c>
      <c r="FH145" s="830" t="str">
        <f>IFERROR(VLOOKUP($B145,'Historical Conc Grant Elig'!$B$3:$J$707,'HH &amp; SI'!FH$2,0),"N")</f>
        <v>N</v>
      </c>
      <c r="FI145" s="830" t="str">
        <f>IFERROR(VLOOKUP($B145,'Historical Conc Grant Elig'!$B$3:$J$707,'HH &amp; SI'!FI$2,0),"N")</f>
        <v>Y</v>
      </c>
      <c r="FJ145" s="830" t="str">
        <f>IFERROR(VLOOKUP($B145,'Historical Conc Grant Elig'!$B$3:$J$707,'HH &amp; SI'!FJ$2,0),"N")</f>
        <v>Y</v>
      </c>
      <c r="FK145" s="830" t="str">
        <f>IFERROR(VLOOKUP($B145,'Historical Conc Grant Elig'!$B$3:$J$707,'HH &amp; SI'!FK$2,0),"N")</f>
        <v>Y</v>
      </c>
      <c r="FL145" s="957" t="str">
        <f>IFERROR(VLOOKUP($B145,'Historical Conc Grant Elig'!$B$3:$J$707,'HH &amp; SI'!FL$2,0),"N")</f>
        <v>Y</v>
      </c>
    </row>
    <row r="146" spans="2:168" x14ac:dyDescent="0.25">
      <c r="B146" s="634">
        <v>78226000</v>
      </c>
      <c r="C146" s="635" t="str">
        <f>VLOOKUP($B146,'Afton Update'!$A$5:$CR$582,'Afton Update'!D$589,0)</f>
        <v>Arizona Autism Charter Schools</v>
      </c>
      <c r="D146" s="636">
        <f>IFERROR(VLOOKUP($B146,'Afton FY16 Final'!$A$5:$BV$587,'Afton FY16 Final'!AQ$587,0),0)</f>
        <v>18667.300082398931</v>
      </c>
      <c r="E146" s="637">
        <f>IFERROR(VLOOKUP($B146,'Afton FY16 Final'!$A$5:$BV$587,'Afton FY16 Final'!AR$587,0),0)</f>
        <v>5618.9410433561725</v>
      </c>
      <c r="F146" s="637">
        <f>IFERROR(VLOOKUP($B146,'Afton FY16 Final'!$A$5:$BV$587,'Afton FY16 Final'!AS$587,0),0)</f>
        <v>9914.8139837258714</v>
      </c>
      <c r="G146" s="637">
        <f>IFERROR(VLOOKUP($B146,'Afton FY16 Final'!$A$5:$BV$587,'Afton FY16 Final'!AT$587,0),0)</f>
        <v>9536.3419664342291</v>
      </c>
      <c r="H146" s="638">
        <f>IFERROR(VLOOKUP($B146,'Afton FY16 Final'!$A$5:$BV$587,'Afton FY16 Final'!AU$587,0),0)</f>
        <v>43737.397075915207</v>
      </c>
      <c r="I146" s="639" t="str">
        <f>VLOOKUP($B146,'Afton Update'!$A$5:$CR$582,'Afton Update'!BT$589,0)</f>
        <v>Y</v>
      </c>
      <c r="J146" s="640" t="str">
        <f>VLOOKUP($B146,'Afton Update'!$A$5:$CR$582,'Afton Update'!BU$589,0)</f>
        <v>Y</v>
      </c>
      <c r="K146" s="640" t="str">
        <f>VLOOKUP($B146,'Afton Update'!$A$5:$CR$582,'Afton Update'!BV$589,0)</f>
        <v>Y</v>
      </c>
      <c r="L146" s="641" t="str">
        <f>VLOOKUP($B146,'Afton Update'!$A$5:$CR$582,'Afton Update'!BW$589,0)</f>
        <v>Y</v>
      </c>
      <c r="N146" s="642">
        <f>VLOOKUP($B146,'Afton Update'!$A$5:$CR$582,'Afton Update'!CB$589,0)</f>
        <v>0.95</v>
      </c>
      <c r="P146" s="636">
        <f>VLOOKUP($B146,'Afton Update'!$A$5:$CR$582,'Afton Update'!AH$589,0)</f>
        <v>20568.588776229786</v>
      </c>
      <c r="Q146" s="637">
        <f>VLOOKUP($B146,'Afton Update'!$A$5:$CR$582,'Afton Update'!AI$589,0)</f>
        <v>6384.3724647800509</v>
      </c>
      <c r="R146" s="637">
        <f>VLOOKUP($B146,'Afton Update'!$A$5:$CR$582,'Afton Update'!AJ$589,0)</f>
        <v>12063.353822239675</v>
      </c>
      <c r="S146" s="637">
        <f>VLOOKUP($B146,'Afton Update'!$A$5:$CR$582,'Afton Update'!AK$589,0)</f>
        <v>11229.397772280527</v>
      </c>
      <c r="T146" s="643">
        <f t="shared" si="268"/>
        <v>50245.712835530037</v>
      </c>
      <c r="V146" s="636">
        <f t="shared" si="316"/>
        <v>20288.019874998427</v>
      </c>
      <c r="W146" s="637">
        <f t="shared" si="317"/>
        <v>6174.0945776641047</v>
      </c>
      <c r="X146" s="637">
        <f t="shared" si="318"/>
        <v>11953.642329184819</v>
      </c>
      <c r="Y146" s="637">
        <f t="shared" si="319"/>
        <v>11105.670022778544</v>
      </c>
      <c r="Z146" s="643">
        <f t="shared" si="320"/>
        <v>49521.426804625895</v>
      </c>
      <c r="AB146" s="644">
        <f t="shared" si="269"/>
        <v>20568.588776229786</v>
      </c>
      <c r="AC146" s="645">
        <f t="shared" si="257"/>
        <v>17733.935078278984</v>
      </c>
      <c r="AD146" s="644">
        <f t="shared" si="321"/>
        <v>0</v>
      </c>
      <c r="AE146" s="645">
        <f t="shared" si="322"/>
        <v>20568.588776229786</v>
      </c>
      <c r="AF146" s="646">
        <f t="shared" si="323"/>
        <v>-254.96311476437893</v>
      </c>
      <c r="AG146" s="647">
        <f t="shared" si="324"/>
        <v>20313.625661465408</v>
      </c>
      <c r="AH146" s="644">
        <f t="shared" si="270"/>
        <v>0</v>
      </c>
      <c r="AI146" s="645">
        <f t="shared" si="271"/>
        <v>20313.625661465408</v>
      </c>
      <c r="AJ146" s="646">
        <f t="shared" si="325"/>
        <v>-25.589473099069558</v>
      </c>
      <c r="AK146" s="647">
        <f t="shared" si="272"/>
        <v>20288.036188366339</v>
      </c>
      <c r="AL146" s="644">
        <f t="shared" si="326"/>
        <v>0</v>
      </c>
      <c r="AM146" s="645">
        <f t="shared" si="327"/>
        <v>20288.036188366339</v>
      </c>
      <c r="AN146" s="646">
        <f t="shared" si="328"/>
        <v>-1.6313367911807108E-2</v>
      </c>
      <c r="AO146" s="647">
        <f t="shared" si="273"/>
        <v>20288.019874998427</v>
      </c>
      <c r="AP146" s="644">
        <f t="shared" si="329"/>
        <v>0</v>
      </c>
      <c r="AQ146" s="645">
        <f t="shared" si="330"/>
        <v>20288.019874998427</v>
      </c>
      <c r="AR146" s="646">
        <f t="shared" si="331"/>
        <v>0</v>
      </c>
      <c r="AS146" s="647">
        <f t="shared" si="274"/>
        <v>20288.019874998427</v>
      </c>
      <c r="AT146" s="644">
        <f t="shared" si="332"/>
        <v>0</v>
      </c>
      <c r="AU146" s="645">
        <f t="shared" si="333"/>
        <v>20288.019874998427</v>
      </c>
      <c r="AV146" s="646">
        <f t="shared" si="334"/>
        <v>0</v>
      </c>
      <c r="AW146" s="647">
        <f t="shared" si="275"/>
        <v>20288.019874998427</v>
      </c>
      <c r="AY146" s="644">
        <f t="shared" si="335"/>
        <v>6384.3724647800509</v>
      </c>
      <c r="AZ146" s="645">
        <f t="shared" si="276"/>
        <v>5337.9939911883639</v>
      </c>
      <c r="BA146" s="644">
        <f t="shared" si="336"/>
        <v>0</v>
      </c>
      <c r="BB146" s="645">
        <f t="shared" si="337"/>
        <v>6384.3724647800509</v>
      </c>
      <c r="BC146" s="646">
        <f t="shared" si="338"/>
        <v>-45.911882994737113</v>
      </c>
      <c r="BD146" s="647">
        <f t="shared" si="339"/>
        <v>6338.4605817853135</v>
      </c>
      <c r="BE146" s="644">
        <f t="shared" si="277"/>
        <v>0</v>
      </c>
      <c r="BF146" s="645">
        <f t="shared" si="278"/>
        <v>6338.4605817853135</v>
      </c>
      <c r="BG146" s="646">
        <f t="shared" si="340"/>
        <v>-150.97696558540991</v>
      </c>
      <c r="BH146" s="647">
        <f t="shared" si="279"/>
        <v>6187.4836161999037</v>
      </c>
      <c r="BI146" s="644">
        <f t="shared" si="341"/>
        <v>0</v>
      </c>
      <c r="BJ146" s="645">
        <f t="shared" si="342"/>
        <v>6187.4836161999037</v>
      </c>
      <c r="BK146" s="646">
        <f t="shared" si="343"/>
        <v>-13.106543565819536</v>
      </c>
      <c r="BL146" s="647">
        <f t="shared" si="280"/>
        <v>6174.3770726340845</v>
      </c>
      <c r="BM146" s="644">
        <f t="shared" si="344"/>
        <v>0</v>
      </c>
      <c r="BN146" s="645">
        <f t="shared" si="345"/>
        <v>6174.3770726340845</v>
      </c>
      <c r="BO146" s="646">
        <f t="shared" si="346"/>
        <v>-0.28249496997950579</v>
      </c>
      <c r="BP146" s="647">
        <f t="shared" si="281"/>
        <v>6174.0945776641047</v>
      </c>
      <c r="BQ146" s="644">
        <f t="shared" si="347"/>
        <v>0</v>
      </c>
      <c r="BR146" s="645">
        <f t="shared" si="348"/>
        <v>6174.0945776641047</v>
      </c>
      <c r="BS146" s="646">
        <f t="shared" si="349"/>
        <v>0</v>
      </c>
      <c r="BT146" s="647">
        <f t="shared" si="282"/>
        <v>6174.0945776641047</v>
      </c>
      <c r="BU146" s="662">
        <f>VLOOKUP(B146,'Afton Update'!$A$5:$AR$582,'Afton Update'!$AO$589,0)-BT146</f>
        <v>0</v>
      </c>
      <c r="BV146" s="644">
        <f t="shared" si="350"/>
        <v>12063.353822239675</v>
      </c>
      <c r="BW146" s="645">
        <f t="shared" si="258"/>
        <v>9419.0732845395778</v>
      </c>
      <c r="BX146" s="644">
        <f t="shared" si="351"/>
        <v>0</v>
      </c>
      <c r="BY146" s="645">
        <f t="shared" si="352"/>
        <v>12063.353822239675</v>
      </c>
      <c r="BZ146" s="646">
        <f t="shared" si="353"/>
        <v>-105.88133905924779</v>
      </c>
      <c r="CA146" s="647">
        <f t="shared" si="354"/>
        <v>11957.472483180427</v>
      </c>
      <c r="CB146" s="644">
        <f t="shared" si="283"/>
        <v>0</v>
      </c>
      <c r="CC146" s="645">
        <f t="shared" si="284"/>
        <v>11957.472483180427</v>
      </c>
      <c r="CD146" s="646">
        <f t="shared" si="355"/>
        <v>-3.8301539956075641</v>
      </c>
      <c r="CE146" s="647">
        <f t="shared" si="285"/>
        <v>11953.642329184819</v>
      </c>
      <c r="CF146" s="644">
        <f t="shared" si="356"/>
        <v>0</v>
      </c>
      <c r="CG146" s="645">
        <f t="shared" si="357"/>
        <v>11953.642329184819</v>
      </c>
      <c r="CH146" s="646">
        <f t="shared" si="358"/>
        <v>0</v>
      </c>
      <c r="CI146" s="647">
        <f t="shared" si="286"/>
        <v>11953.642329184819</v>
      </c>
      <c r="CJ146" s="644">
        <f t="shared" si="359"/>
        <v>0</v>
      </c>
      <c r="CK146" s="645">
        <f t="shared" si="360"/>
        <v>11953.642329184819</v>
      </c>
      <c r="CL146" s="646">
        <f t="shared" si="361"/>
        <v>0</v>
      </c>
      <c r="CM146" s="647">
        <f t="shared" si="287"/>
        <v>11953.642329184819</v>
      </c>
      <c r="CN146" s="644">
        <f t="shared" si="362"/>
        <v>0</v>
      </c>
      <c r="CO146" s="645">
        <f t="shared" si="363"/>
        <v>11953.642329184819</v>
      </c>
      <c r="CP146" s="646">
        <f t="shared" si="364"/>
        <v>0</v>
      </c>
      <c r="CQ146" s="647">
        <f t="shared" si="288"/>
        <v>11953.642329184819</v>
      </c>
      <c r="CS146" s="644">
        <f t="shared" si="365"/>
        <v>11229.397772280527</v>
      </c>
      <c r="CT146" s="645">
        <f t="shared" si="259"/>
        <v>9059.5248681125177</v>
      </c>
      <c r="CU146" s="644">
        <f t="shared" si="366"/>
        <v>0</v>
      </c>
      <c r="CV146" s="645">
        <f t="shared" si="367"/>
        <v>11229.397772280527</v>
      </c>
      <c r="CW146" s="646">
        <f t="shared" si="368"/>
        <v>-114.99537916760755</v>
      </c>
      <c r="CX146" s="647">
        <f t="shared" si="369"/>
        <v>11114.40239311292</v>
      </c>
      <c r="CY146" s="644">
        <f t="shared" si="289"/>
        <v>0</v>
      </c>
      <c r="CZ146" s="645">
        <f t="shared" si="290"/>
        <v>11114.40239311292</v>
      </c>
      <c r="DA146" s="646">
        <f t="shared" si="370"/>
        <v>-8.7248462411934398</v>
      </c>
      <c r="DB146" s="647">
        <f t="shared" si="291"/>
        <v>11105.677546871726</v>
      </c>
      <c r="DC146" s="644">
        <f t="shared" si="371"/>
        <v>0</v>
      </c>
      <c r="DD146" s="645">
        <f t="shared" si="372"/>
        <v>11105.677546871726</v>
      </c>
      <c r="DE146" s="646">
        <f t="shared" si="373"/>
        <v>-7.5240931827466615E-3</v>
      </c>
      <c r="DF146" s="647">
        <f t="shared" si="292"/>
        <v>11105.670022778544</v>
      </c>
      <c r="DG146" s="644">
        <f t="shared" si="374"/>
        <v>0</v>
      </c>
      <c r="DH146" s="645">
        <f t="shared" si="375"/>
        <v>11105.670022778544</v>
      </c>
      <c r="DI146" s="646">
        <f t="shared" si="376"/>
        <v>0</v>
      </c>
      <c r="DJ146" s="647">
        <f t="shared" si="293"/>
        <v>11105.670022778544</v>
      </c>
      <c r="DK146" s="644">
        <f t="shared" si="377"/>
        <v>0</v>
      </c>
      <c r="DL146" s="645">
        <f t="shared" si="378"/>
        <v>11105.670022778544</v>
      </c>
      <c r="DM146" s="646">
        <f t="shared" si="379"/>
        <v>0</v>
      </c>
      <c r="DN146" s="647">
        <f t="shared" si="294"/>
        <v>11105.670022778544</v>
      </c>
      <c r="DR146" s="827">
        <f t="shared" si="295"/>
        <v>49521.426804625895</v>
      </c>
      <c r="DV146" s="828">
        <f>IFERROR(VLOOKUP($B146,'Afton FY16 Final'!$A$5:$BV$587,'Afton FY16 Final'!$BV$587,0),0)</f>
        <v>41116.506327120194</v>
      </c>
      <c r="DX146" s="636">
        <f t="shared" si="260"/>
        <v>49521.426804625895</v>
      </c>
      <c r="DY146" s="637">
        <f t="shared" si="261"/>
        <v>8404.9204775057005</v>
      </c>
      <c r="DZ146" s="637">
        <f t="shared" si="262"/>
        <v>41116.506327120194</v>
      </c>
      <c r="EA146" s="643">
        <f t="shared" si="263"/>
        <v>46887.441905105785</v>
      </c>
      <c r="EB146" s="637">
        <f t="shared" si="296"/>
        <v>0</v>
      </c>
      <c r="EC146" s="637">
        <f t="shared" si="297"/>
        <v>46887.441905105785</v>
      </c>
      <c r="ED146" s="637">
        <f t="shared" si="298"/>
        <v>46747.626352887302</v>
      </c>
      <c r="EE146" s="643">
        <f t="shared" si="299"/>
        <v>46747.626352887302</v>
      </c>
      <c r="EF146" s="637">
        <f t="shared" si="300"/>
        <v>0</v>
      </c>
      <c r="EG146" s="637">
        <f t="shared" si="301"/>
        <v>46747.626352887302</v>
      </c>
      <c r="EH146" s="637">
        <f t="shared" si="302"/>
        <v>46747.578125185886</v>
      </c>
      <c r="EI146" s="643">
        <f t="shared" si="303"/>
        <v>46747.578125185886</v>
      </c>
      <c r="EJ146" s="637">
        <f t="shared" si="304"/>
        <v>0</v>
      </c>
      <c r="EK146" s="637">
        <f t="shared" si="305"/>
        <v>46747.578125185886</v>
      </c>
      <c r="EL146" s="637">
        <f t="shared" si="306"/>
        <v>46747.578125185821</v>
      </c>
      <c r="EM146" s="643">
        <f t="shared" si="307"/>
        <v>46747.578125185821</v>
      </c>
      <c r="EN146" s="637">
        <f t="shared" si="308"/>
        <v>0</v>
      </c>
      <c r="EO146" s="637">
        <f t="shared" si="309"/>
        <v>46747.578125185821</v>
      </c>
      <c r="EP146" s="637">
        <f t="shared" si="310"/>
        <v>46747.578125185893</v>
      </c>
      <c r="EQ146" s="643">
        <f t="shared" si="311"/>
        <v>46747.578125185893</v>
      </c>
      <c r="ER146" s="637">
        <f t="shared" si="312"/>
        <v>0</v>
      </c>
      <c r="ES146" s="637">
        <f t="shared" si="313"/>
        <v>46747.578125185893</v>
      </c>
      <c r="ET146" s="637">
        <f t="shared" si="314"/>
        <v>46747.578125185821</v>
      </c>
      <c r="EU146" s="643">
        <f t="shared" si="264"/>
        <v>46747.578125185821</v>
      </c>
      <c r="EV146" s="643">
        <f t="shared" si="265"/>
        <v>0</v>
      </c>
      <c r="EX146" s="829">
        <f t="shared" si="266"/>
        <v>2773.8486794400742</v>
      </c>
      <c r="EY146" s="638">
        <f t="shared" si="267"/>
        <v>46747.578125185821</v>
      </c>
      <c r="FC146" s="830" t="str">
        <f t="shared" si="315"/>
        <v>Y</v>
      </c>
      <c r="FE146" s="830" t="str">
        <f>IFERROR(VLOOKUP($B146,'Historical Conc Grant Elig'!$B$3:$J$707,'HH &amp; SI'!FE$2,0),"N")</f>
        <v>N</v>
      </c>
      <c r="FF146" s="830" t="str">
        <f>IFERROR(VLOOKUP($B146,'Historical Conc Grant Elig'!$B$3:$J$707,'HH &amp; SI'!FF$2,0),"N")</f>
        <v>N</v>
      </c>
      <c r="FG146" s="830" t="str">
        <f>IFERROR(VLOOKUP($B146,'Historical Conc Grant Elig'!$B$3:$J$707,'HH &amp; SI'!FG$2,0),"N")</f>
        <v>N</v>
      </c>
      <c r="FH146" s="830" t="str">
        <f>IFERROR(VLOOKUP($B146,'Historical Conc Grant Elig'!$B$3:$J$707,'HH &amp; SI'!FH$2,0),"N")</f>
        <v>N</v>
      </c>
      <c r="FI146" s="830" t="str">
        <f>IFERROR(VLOOKUP($B146,'Historical Conc Grant Elig'!$B$3:$J$707,'HH &amp; SI'!FI$2,0),"N")</f>
        <v>N</v>
      </c>
      <c r="FJ146" s="830" t="str">
        <f>IFERROR(VLOOKUP($B146,'Historical Conc Grant Elig'!$B$3:$J$707,'HH &amp; SI'!FJ$2,0),"N")</f>
        <v>Y</v>
      </c>
      <c r="FK146" s="830" t="str">
        <f>IFERROR(VLOOKUP($B146,'Historical Conc Grant Elig'!$B$3:$J$707,'HH &amp; SI'!FK$2,0),"N")</f>
        <v>Y</v>
      </c>
      <c r="FL146" s="957" t="str">
        <f>IFERROR(VLOOKUP($B146,'Historical Conc Grant Elig'!$B$3:$J$707,'HH &amp; SI'!FL$2,0),"N")</f>
        <v>Y</v>
      </c>
    </row>
    <row r="147" spans="2:168" x14ac:dyDescent="0.25">
      <c r="B147" s="634">
        <v>78228000</v>
      </c>
      <c r="C147" s="635" t="str">
        <f>VLOOKUP($B147,'Afton Update'!$A$5:$CR$582,'Afton Update'!D$589,0)</f>
        <v>Southwest Leadership Academy</v>
      </c>
      <c r="D147" s="636">
        <f>IFERROR(VLOOKUP($B147,'Afton FY16 Final'!$A$5:$BV$587,'Afton FY16 Final'!AQ$587,0),0)</f>
        <v>51672.249718510982</v>
      </c>
      <c r="E147" s="637">
        <f>IFERROR(VLOOKUP($B147,'Afton FY16 Final'!$A$5:$BV$587,'Afton FY16 Final'!AR$587,0),0)</f>
        <v>10646.646070082268</v>
      </c>
      <c r="F147" s="637">
        <f>IFERROR(VLOOKUP($B147,'Afton FY16 Final'!$A$5:$BV$587,'Afton FY16 Final'!AS$587,0),0)</f>
        <v>26451.12593699127</v>
      </c>
      <c r="G147" s="637">
        <f>IFERROR(VLOOKUP($B147,'Afton FY16 Final'!$A$5:$BV$587,'Afton FY16 Final'!AT$587,0),0)</f>
        <v>26450.820086929314</v>
      </c>
      <c r="H147" s="638">
        <f>IFERROR(VLOOKUP($B147,'Afton FY16 Final'!$A$5:$BV$587,'Afton FY16 Final'!AU$587,0),0)</f>
        <v>115220.84181251383</v>
      </c>
      <c r="I147" s="639" t="str">
        <f>VLOOKUP($B147,'Afton Update'!$A$5:$CR$582,'Afton Update'!BT$589,0)</f>
        <v>Y</v>
      </c>
      <c r="J147" s="640" t="str">
        <f>VLOOKUP($B147,'Afton Update'!$A$5:$CR$582,'Afton Update'!BU$589,0)</f>
        <v>Y</v>
      </c>
      <c r="K147" s="640" t="str">
        <f>VLOOKUP($B147,'Afton Update'!$A$5:$CR$582,'Afton Update'!BV$589,0)</f>
        <v>Y</v>
      </c>
      <c r="L147" s="641" t="str">
        <f>VLOOKUP($B147,'Afton Update'!$A$5:$CR$582,'Afton Update'!BW$589,0)</f>
        <v>Y</v>
      </c>
      <c r="N147" s="642">
        <f>VLOOKUP($B147,'Afton Update'!$A$5:$CR$582,'Afton Update'!CB$589,0)</f>
        <v>0.95</v>
      </c>
      <c r="P147" s="636">
        <f>VLOOKUP($B147,'Afton Update'!$A$5:$CR$582,'Afton Update'!AH$589,0)</f>
        <v>29417.865342747253</v>
      </c>
      <c r="Q147" s="637">
        <f>VLOOKUP($B147,'Afton Update'!$A$5:$CR$582,'Afton Update'!AI$589,0)</f>
        <v>8214.3886279443013</v>
      </c>
      <c r="R147" s="637">
        <f>VLOOKUP($B147,'Afton Update'!$A$5:$CR$582,'Afton Update'!AJ$589,0)</f>
        <v>17242.499026306166</v>
      </c>
      <c r="S147" s="637">
        <f>VLOOKUP($B147,'Afton Update'!$A$5:$CR$582,'Afton Update'!AK$589,0)</f>
        <v>16050.501627299825</v>
      </c>
      <c r="T147" s="643">
        <f t="shared" si="268"/>
        <v>70925.254624297551</v>
      </c>
      <c r="V147" s="636">
        <f t="shared" si="316"/>
        <v>49088.637232585432</v>
      </c>
      <c r="W147" s="637">
        <f t="shared" si="317"/>
        <v>10114.313766578154</v>
      </c>
      <c r="X147" s="637">
        <f t="shared" si="318"/>
        <v>25128.569640141704</v>
      </c>
      <c r="Y147" s="637">
        <f t="shared" si="319"/>
        <v>25128.279082582849</v>
      </c>
      <c r="Z147" s="643">
        <f t="shared" si="320"/>
        <v>109459.79972188815</v>
      </c>
      <c r="AB147" s="644">
        <f t="shared" si="269"/>
        <v>29417.865342747253</v>
      </c>
      <c r="AC147" s="645">
        <f t="shared" si="257"/>
        <v>49088.637232585432</v>
      </c>
      <c r="AD147" s="644">
        <f t="shared" si="321"/>
        <v>19670.771889838179</v>
      </c>
      <c r="AE147" s="645">
        <f t="shared" si="322"/>
        <v>0</v>
      </c>
      <c r="AF147" s="646">
        <f t="shared" si="323"/>
        <v>0</v>
      </c>
      <c r="AG147" s="647">
        <f t="shared" si="324"/>
        <v>49088.637232585432</v>
      </c>
      <c r="AH147" s="644">
        <f t="shared" si="270"/>
        <v>0</v>
      </c>
      <c r="AI147" s="645">
        <f t="shared" si="271"/>
        <v>0</v>
      </c>
      <c r="AJ147" s="646">
        <f t="shared" si="325"/>
        <v>0</v>
      </c>
      <c r="AK147" s="647">
        <f t="shared" si="272"/>
        <v>49088.637232585432</v>
      </c>
      <c r="AL147" s="644">
        <f t="shared" si="326"/>
        <v>0</v>
      </c>
      <c r="AM147" s="645">
        <f t="shared" si="327"/>
        <v>0</v>
      </c>
      <c r="AN147" s="646">
        <f t="shared" si="328"/>
        <v>0</v>
      </c>
      <c r="AO147" s="647">
        <f t="shared" si="273"/>
        <v>49088.637232585432</v>
      </c>
      <c r="AP147" s="644">
        <f t="shared" si="329"/>
        <v>0</v>
      </c>
      <c r="AQ147" s="645">
        <f t="shared" si="330"/>
        <v>0</v>
      </c>
      <c r="AR147" s="646">
        <f t="shared" si="331"/>
        <v>0</v>
      </c>
      <c r="AS147" s="647">
        <f t="shared" si="274"/>
        <v>49088.637232585432</v>
      </c>
      <c r="AT147" s="644">
        <f t="shared" si="332"/>
        <v>0</v>
      </c>
      <c r="AU147" s="645">
        <f t="shared" si="333"/>
        <v>0</v>
      </c>
      <c r="AV147" s="646">
        <f t="shared" si="334"/>
        <v>0</v>
      </c>
      <c r="AW147" s="647">
        <f t="shared" si="275"/>
        <v>49088.637232585432</v>
      </c>
      <c r="AY147" s="644">
        <f t="shared" si="335"/>
        <v>8214.3886279443013</v>
      </c>
      <c r="AZ147" s="645">
        <f t="shared" si="276"/>
        <v>10114.313766578154</v>
      </c>
      <c r="BA147" s="644">
        <f t="shared" si="336"/>
        <v>1899.9251386338528</v>
      </c>
      <c r="BB147" s="645">
        <f t="shared" si="337"/>
        <v>0</v>
      </c>
      <c r="BC147" s="646">
        <f t="shared" si="338"/>
        <v>0</v>
      </c>
      <c r="BD147" s="647">
        <f t="shared" si="339"/>
        <v>10114.313766578154</v>
      </c>
      <c r="BE147" s="644">
        <f t="shared" si="277"/>
        <v>0</v>
      </c>
      <c r="BF147" s="645">
        <f t="shared" si="278"/>
        <v>0</v>
      </c>
      <c r="BG147" s="646">
        <f t="shared" si="340"/>
        <v>0</v>
      </c>
      <c r="BH147" s="647">
        <f t="shared" si="279"/>
        <v>10114.313766578154</v>
      </c>
      <c r="BI147" s="644">
        <f t="shared" si="341"/>
        <v>0</v>
      </c>
      <c r="BJ147" s="645">
        <f t="shared" si="342"/>
        <v>0</v>
      </c>
      <c r="BK147" s="646">
        <f t="shared" si="343"/>
        <v>0</v>
      </c>
      <c r="BL147" s="647">
        <f t="shared" si="280"/>
        <v>10114.313766578154</v>
      </c>
      <c r="BM147" s="644">
        <f t="shared" si="344"/>
        <v>0</v>
      </c>
      <c r="BN147" s="645">
        <f t="shared" si="345"/>
        <v>0</v>
      </c>
      <c r="BO147" s="646">
        <f t="shared" si="346"/>
        <v>0</v>
      </c>
      <c r="BP147" s="647">
        <f t="shared" si="281"/>
        <v>10114.313766578154</v>
      </c>
      <c r="BQ147" s="644">
        <f t="shared" si="347"/>
        <v>0</v>
      </c>
      <c r="BR147" s="645">
        <f t="shared" si="348"/>
        <v>0</v>
      </c>
      <c r="BS147" s="646">
        <f t="shared" si="349"/>
        <v>0</v>
      </c>
      <c r="BT147" s="647">
        <f t="shared" si="282"/>
        <v>10114.313766578154</v>
      </c>
      <c r="BU147" s="662">
        <f>VLOOKUP(B147,'Afton Update'!$A$5:$AR$582,'Afton Update'!$AO$589,0)-BT147</f>
        <v>0</v>
      </c>
      <c r="BV147" s="644">
        <f t="shared" si="350"/>
        <v>17242.499026306166</v>
      </c>
      <c r="BW147" s="645">
        <f t="shared" si="258"/>
        <v>25128.569640141704</v>
      </c>
      <c r="BX147" s="644">
        <f t="shared" si="351"/>
        <v>7886.0706138355381</v>
      </c>
      <c r="BY147" s="645">
        <f t="shared" si="352"/>
        <v>0</v>
      </c>
      <c r="BZ147" s="646">
        <f t="shared" si="353"/>
        <v>0</v>
      </c>
      <c r="CA147" s="647">
        <f t="shared" si="354"/>
        <v>25128.569640141704</v>
      </c>
      <c r="CB147" s="644">
        <f t="shared" si="283"/>
        <v>0</v>
      </c>
      <c r="CC147" s="645">
        <f t="shared" si="284"/>
        <v>0</v>
      </c>
      <c r="CD147" s="646">
        <f t="shared" si="355"/>
        <v>0</v>
      </c>
      <c r="CE147" s="647">
        <f t="shared" si="285"/>
        <v>25128.569640141704</v>
      </c>
      <c r="CF147" s="644">
        <f t="shared" si="356"/>
        <v>0</v>
      </c>
      <c r="CG147" s="645">
        <f t="shared" si="357"/>
        <v>0</v>
      </c>
      <c r="CH147" s="646">
        <f t="shared" si="358"/>
        <v>0</v>
      </c>
      <c r="CI147" s="647">
        <f t="shared" si="286"/>
        <v>25128.569640141704</v>
      </c>
      <c r="CJ147" s="644">
        <f t="shared" si="359"/>
        <v>0</v>
      </c>
      <c r="CK147" s="645">
        <f t="shared" si="360"/>
        <v>0</v>
      </c>
      <c r="CL147" s="646">
        <f t="shared" si="361"/>
        <v>0</v>
      </c>
      <c r="CM147" s="647">
        <f t="shared" si="287"/>
        <v>25128.569640141704</v>
      </c>
      <c r="CN147" s="644">
        <f t="shared" si="362"/>
        <v>0</v>
      </c>
      <c r="CO147" s="645">
        <f t="shared" si="363"/>
        <v>0</v>
      </c>
      <c r="CP147" s="646">
        <f t="shared" si="364"/>
        <v>0</v>
      </c>
      <c r="CQ147" s="647">
        <f t="shared" si="288"/>
        <v>25128.569640141704</v>
      </c>
      <c r="CS147" s="644">
        <f t="shared" si="365"/>
        <v>16050.501627299825</v>
      </c>
      <c r="CT147" s="645">
        <f t="shared" si="259"/>
        <v>25128.279082582849</v>
      </c>
      <c r="CU147" s="644">
        <f t="shared" si="366"/>
        <v>9077.7774552830233</v>
      </c>
      <c r="CV147" s="645">
        <f t="shared" si="367"/>
        <v>0</v>
      </c>
      <c r="CW147" s="646">
        <f t="shared" si="368"/>
        <v>0</v>
      </c>
      <c r="CX147" s="647">
        <f t="shared" si="369"/>
        <v>25128.279082582849</v>
      </c>
      <c r="CY147" s="644">
        <f t="shared" si="289"/>
        <v>0</v>
      </c>
      <c r="CZ147" s="645">
        <f t="shared" si="290"/>
        <v>0</v>
      </c>
      <c r="DA147" s="646">
        <f t="shared" si="370"/>
        <v>0</v>
      </c>
      <c r="DB147" s="647">
        <f t="shared" si="291"/>
        <v>25128.279082582849</v>
      </c>
      <c r="DC147" s="644">
        <f t="shared" si="371"/>
        <v>0</v>
      </c>
      <c r="DD147" s="645">
        <f t="shared" si="372"/>
        <v>0</v>
      </c>
      <c r="DE147" s="646">
        <f t="shared" si="373"/>
        <v>0</v>
      </c>
      <c r="DF147" s="647">
        <f t="shared" si="292"/>
        <v>25128.279082582849</v>
      </c>
      <c r="DG147" s="644">
        <f t="shared" si="374"/>
        <v>0</v>
      </c>
      <c r="DH147" s="645">
        <f t="shared" si="375"/>
        <v>0</v>
      </c>
      <c r="DI147" s="646">
        <f t="shared" si="376"/>
        <v>0</v>
      </c>
      <c r="DJ147" s="647">
        <f t="shared" si="293"/>
        <v>25128.279082582849</v>
      </c>
      <c r="DK147" s="644">
        <f t="shared" si="377"/>
        <v>0</v>
      </c>
      <c r="DL147" s="645">
        <f t="shared" si="378"/>
        <v>0</v>
      </c>
      <c r="DM147" s="646">
        <f t="shared" si="379"/>
        <v>0</v>
      </c>
      <c r="DN147" s="647">
        <f t="shared" si="294"/>
        <v>25128.279082582849</v>
      </c>
      <c r="DR147" s="827">
        <f t="shared" si="295"/>
        <v>109459.79972188815</v>
      </c>
      <c r="DV147" s="828">
        <f>IFERROR(VLOOKUP($B147,'Afton FY16 Final'!$A$5:$BV$587,'Afton FY16 Final'!$BV$587,0),0)</f>
        <v>111142.94736502168</v>
      </c>
      <c r="DX147" s="636">
        <f t="shared" si="260"/>
        <v>0</v>
      </c>
      <c r="DY147" s="637">
        <f t="shared" si="261"/>
        <v>0</v>
      </c>
      <c r="DZ147" s="637">
        <f t="shared" si="262"/>
        <v>0</v>
      </c>
      <c r="EA147" s="643">
        <f t="shared" si="263"/>
        <v>0</v>
      </c>
      <c r="EB147" s="637">
        <f t="shared" si="296"/>
        <v>0</v>
      </c>
      <c r="EC147" s="637">
        <f t="shared" si="297"/>
        <v>0</v>
      </c>
      <c r="ED147" s="637">
        <f t="shared" si="298"/>
        <v>0</v>
      </c>
      <c r="EE147" s="643">
        <f t="shared" si="299"/>
        <v>0</v>
      </c>
      <c r="EF147" s="637">
        <f t="shared" si="300"/>
        <v>0</v>
      </c>
      <c r="EG147" s="637">
        <f t="shared" si="301"/>
        <v>0</v>
      </c>
      <c r="EH147" s="637">
        <f t="shared" si="302"/>
        <v>0</v>
      </c>
      <c r="EI147" s="643">
        <f t="shared" si="303"/>
        <v>0</v>
      </c>
      <c r="EJ147" s="637">
        <f t="shared" si="304"/>
        <v>0</v>
      </c>
      <c r="EK147" s="637">
        <f t="shared" si="305"/>
        <v>0</v>
      </c>
      <c r="EL147" s="637">
        <f t="shared" si="306"/>
        <v>0</v>
      </c>
      <c r="EM147" s="643">
        <f t="shared" si="307"/>
        <v>0</v>
      </c>
      <c r="EN147" s="637">
        <f t="shared" si="308"/>
        <v>0</v>
      </c>
      <c r="EO147" s="637">
        <f t="shared" si="309"/>
        <v>0</v>
      </c>
      <c r="EP147" s="637">
        <f t="shared" si="310"/>
        <v>0</v>
      </c>
      <c r="EQ147" s="643">
        <f t="shared" si="311"/>
        <v>0</v>
      </c>
      <c r="ER147" s="637">
        <f t="shared" si="312"/>
        <v>0</v>
      </c>
      <c r="ES147" s="637">
        <f t="shared" si="313"/>
        <v>0</v>
      </c>
      <c r="ET147" s="637">
        <f t="shared" si="314"/>
        <v>0</v>
      </c>
      <c r="EU147" s="643">
        <f t="shared" si="264"/>
        <v>0</v>
      </c>
      <c r="EV147" s="643">
        <f t="shared" si="265"/>
        <v>0</v>
      </c>
      <c r="EX147" s="829">
        <f t="shared" si="266"/>
        <v>0</v>
      </c>
      <c r="EY147" s="638">
        <f t="shared" si="267"/>
        <v>109459.79972188815</v>
      </c>
      <c r="FC147" s="830" t="str">
        <f t="shared" si="315"/>
        <v>Y</v>
      </c>
      <c r="FE147" s="830" t="str">
        <f>IFERROR(VLOOKUP($B147,'Historical Conc Grant Elig'!$B$3:$J$707,'HH &amp; SI'!FE$2,0),"N")</f>
        <v>N</v>
      </c>
      <c r="FF147" s="830" t="str">
        <f>IFERROR(VLOOKUP($B147,'Historical Conc Grant Elig'!$B$3:$J$707,'HH &amp; SI'!FF$2,0),"N")</f>
        <v>N</v>
      </c>
      <c r="FG147" s="830" t="str">
        <f>IFERROR(VLOOKUP($B147,'Historical Conc Grant Elig'!$B$3:$J$707,'HH &amp; SI'!FG$2,0),"N")</f>
        <v>N</v>
      </c>
      <c r="FH147" s="830" t="str">
        <f>IFERROR(VLOOKUP($B147,'Historical Conc Grant Elig'!$B$3:$J$707,'HH &amp; SI'!FH$2,0),"N")</f>
        <v>N</v>
      </c>
      <c r="FI147" s="830" t="str">
        <f>IFERROR(VLOOKUP($B147,'Historical Conc Grant Elig'!$B$3:$J$707,'HH &amp; SI'!FI$2,0),"N")</f>
        <v>Y</v>
      </c>
      <c r="FJ147" s="830" t="str">
        <f>IFERROR(VLOOKUP($B147,'Historical Conc Grant Elig'!$B$3:$J$707,'HH &amp; SI'!FJ$2,0),"N")</f>
        <v>Y</v>
      </c>
      <c r="FK147" s="830" t="str">
        <f>IFERROR(VLOOKUP($B147,'Historical Conc Grant Elig'!$B$3:$J$707,'HH &amp; SI'!FK$2,0),"N")</f>
        <v>Y</v>
      </c>
      <c r="FL147" s="957" t="str">
        <f>IFERROR(VLOOKUP($B147,'Historical Conc Grant Elig'!$B$3:$J$707,'HH &amp; SI'!FL$2,0),"N")</f>
        <v>Y</v>
      </c>
    </row>
    <row r="148" spans="2:168" x14ac:dyDescent="0.25">
      <c r="B148" s="634">
        <v>78229000</v>
      </c>
      <c r="C148" s="635" t="str">
        <f>VLOOKUP($B148,'Afton Update'!$A$5:$CR$582,'Afton Update'!D$589,0)</f>
        <v>Legacy Traditional Charter School - Gilbert</v>
      </c>
      <c r="D148" s="636">
        <f>IFERROR(VLOOKUP($B148,'Afton FY16 Final'!$A$5:$BV$587,'Afton FY16 Final'!AQ$587,0),0)</f>
        <v>46488.503885438629</v>
      </c>
      <c r="E148" s="637">
        <f>IFERROR(VLOOKUP($B148,'Afton FY16 Final'!$A$5:$BV$587,'Afton FY16 Final'!AR$587,0),0)</f>
        <v>5979.862324115812</v>
      </c>
      <c r="F148" s="637">
        <f>IFERROR(VLOOKUP($B148,'Afton FY16 Final'!$A$5:$BV$587,'Afton FY16 Final'!AS$587,0),0)</f>
        <v>25229.857138092535</v>
      </c>
      <c r="G148" s="637">
        <f>IFERROR(VLOOKUP($B148,'Afton FY16 Final'!$A$5:$BV$587,'Afton FY16 Final'!AT$587,0),0)</f>
        <v>21184.460464156105</v>
      </c>
      <c r="H148" s="638">
        <f>IFERROR(VLOOKUP($B148,'Afton FY16 Final'!$A$5:$BV$587,'Afton FY16 Final'!AU$587,0),0)</f>
        <v>98882.683811803072</v>
      </c>
      <c r="I148" s="639" t="str">
        <f>VLOOKUP($B148,'Afton Update'!$A$5:$CR$582,'Afton Update'!BT$589,0)</f>
        <v>Y</v>
      </c>
      <c r="J148" s="640" t="str">
        <f>VLOOKUP($B148,'Afton Update'!$A$5:$CR$582,'Afton Update'!BU$589,0)</f>
        <v>N</v>
      </c>
      <c r="K148" s="640" t="str">
        <f>VLOOKUP($B148,'Afton Update'!$A$5:$CR$582,'Afton Update'!BV$589,0)</f>
        <v>Y</v>
      </c>
      <c r="L148" s="641" t="str">
        <f>VLOOKUP($B148,'Afton Update'!$A$5:$CR$582,'Afton Update'!BW$589,0)</f>
        <v>Y</v>
      </c>
      <c r="N148" s="642">
        <f>VLOOKUP($B148,'Afton Update'!$A$5:$CR$582,'Afton Update'!CB$589,0)</f>
        <v>0.85</v>
      </c>
      <c r="P148" s="636">
        <f>VLOOKUP($B148,'Afton Update'!$A$5:$CR$582,'Afton Update'!AH$589,0)</f>
        <v>43768.043558721518</v>
      </c>
      <c r="Q148" s="637" t="str">
        <f>VLOOKUP($B148,'Afton Update'!$A$5:$CR$582,'Afton Update'!AI$589,0)</f>
        <v/>
      </c>
      <c r="R148" s="637">
        <f>VLOOKUP($B148,'Afton Update'!$A$5:$CR$582,'Afton Update'!AJ$589,0)</f>
        <v>25641.112870738314</v>
      </c>
      <c r="S148" s="637">
        <f>VLOOKUP($B148,'Afton Update'!$A$5:$CR$582,'Afton Update'!AK$589,0)</f>
        <v>23868.507878682467</v>
      </c>
      <c r="T148" s="643">
        <f t="shared" si="268"/>
        <v>93277.664308142295</v>
      </c>
      <c r="V148" s="636">
        <f t="shared" si="316"/>
        <v>43171.019036333855</v>
      </c>
      <c r="W148" s="637">
        <f t="shared" si="317"/>
        <v>5082.8829754984399</v>
      </c>
      <c r="X148" s="637">
        <f t="shared" si="318"/>
        <v>25407.916960372942</v>
      </c>
      <c r="Y148" s="637">
        <f t="shared" si="319"/>
        <v>23605.519887368304</v>
      </c>
      <c r="Z148" s="643">
        <f t="shared" si="320"/>
        <v>97267.33885957353</v>
      </c>
      <c r="AB148" s="644">
        <f t="shared" si="269"/>
        <v>43768.043558721518</v>
      </c>
      <c r="AC148" s="645">
        <f t="shared" si="257"/>
        <v>39515.228302622832</v>
      </c>
      <c r="AD148" s="644">
        <f t="shared" si="321"/>
        <v>0</v>
      </c>
      <c r="AE148" s="645">
        <f t="shared" si="322"/>
        <v>43768.043558721518</v>
      </c>
      <c r="AF148" s="646">
        <f t="shared" si="323"/>
        <v>-542.53779071955046</v>
      </c>
      <c r="AG148" s="647">
        <f t="shared" si="324"/>
        <v>43225.505768001967</v>
      </c>
      <c r="AH148" s="644">
        <f t="shared" si="270"/>
        <v>0</v>
      </c>
      <c r="AI148" s="645">
        <f t="shared" si="271"/>
        <v>43225.505768001967</v>
      </c>
      <c r="AJ148" s="646">
        <f t="shared" si="325"/>
        <v>-54.452018338717771</v>
      </c>
      <c r="AK148" s="647">
        <f t="shared" si="272"/>
        <v>43171.053749663246</v>
      </c>
      <c r="AL148" s="644">
        <f t="shared" si="326"/>
        <v>0</v>
      </c>
      <c r="AM148" s="645">
        <f t="shared" si="327"/>
        <v>43171.053749663246</v>
      </c>
      <c r="AN148" s="646">
        <f t="shared" si="328"/>
        <v>-3.4713329393729071E-2</v>
      </c>
      <c r="AO148" s="647">
        <f t="shared" si="273"/>
        <v>43171.019036333855</v>
      </c>
      <c r="AP148" s="644">
        <f t="shared" si="329"/>
        <v>0</v>
      </c>
      <c r="AQ148" s="645">
        <f t="shared" si="330"/>
        <v>43171.019036333855</v>
      </c>
      <c r="AR148" s="646">
        <f t="shared" si="331"/>
        <v>0</v>
      </c>
      <c r="AS148" s="647">
        <f t="shared" si="274"/>
        <v>43171.019036333855</v>
      </c>
      <c r="AT148" s="644">
        <f t="shared" si="332"/>
        <v>0</v>
      </c>
      <c r="AU148" s="645">
        <f t="shared" si="333"/>
        <v>43171.019036333855</v>
      </c>
      <c r="AV148" s="646">
        <f t="shared" si="334"/>
        <v>0</v>
      </c>
      <c r="AW148" s="647">
        <f t="shared" si="275"/>
        <v>43171.019036333855</v>
      </c>
      <c r="AY148" s="644">
        <f t="shared" si="335"/>
        <v>0</v>
      </c>
      <c r="AZ148" s="645">
        <f t="shared" si="276"/>
        <v>5082.8829754984399</v>
      </c>
      <c r="BA148" s="644">
        <f t="shared" si="336"/>
        <v>0</v>
      </c>
      <c r="BB148" s="645">
        <f t="shared" si="337"/>
        <v>0</v>
      </c>
      <c r="BC148" s="646">
        <f t="shared" si="338"/>
        <v>0</v>
      </c>
      <c r="BD148" s="647">
        <f t="shared" si="339"/>
        <v>0</v>
      </c>
      <c r="BE148" s="644">
        <f t="shared" si="277"/>
        <v>-5082.8829754984399</v>
      </c>
      <c r="BF148" s="645">
        <f t="shared" si="278"/>
        <v>0</v>
      </c>
      <c r="BG148" s="646">
        <f t="shared" si="340"/>
        <v>0</v>
      </c>
      <c r="BH148" s="647">
        <f t="shared" si="279"/>
        <v>5082.8829754984399</v>
      </c>
      <c r="BI148" s="644">
        <f t="shared" si="341"/>
        <v>0</v>
      </c>
      <c r="BJ148" s="645">
        <f t="shared" si="342"/>
        <v>0</v>
      </c>
      <c r="BK148" s="646">
        <f t="shared" si="343"/>
        <v>0</v>
      </c>
      <c r="BL148" s="647">
        <f t="shared" si="280"/>
        <v>5082.8829754984399</v>
      </c>
      <c r="BM148" s="644">
        <f t="shared" si="344"/>
        <v>0</v>
      </c>
      <c r="BN148" s="645">
        <f t="shared" si="345"/>
        <v>0</v>
      </c>
      <c r="BO148" s="646">
        <f t="shared" si="346"/>
        <v>0</v>
      </c>
      <c r="BP148" s="647">
        <f t="shared" si="281"/>
        <v>5082.8829754984399</v>
      </c>
      <c r="BQ148" s="644">
        <f t="shared" si="347"/>
        <v>0</v>
      </c>
      <c r="BR148" s="645">
        <f t="shared" si="348"/>
        <v>0</v>
      </c>
      <c r="BS148" s="646">
        <f t="shared" si="349"/>
        <v>0</v>
      </c>
      <c r="BT148" s="647">
        <f t="shared" si="282"/>
        <v>5082.8829754984399</v>
      </c>
      <c r="BU148" s="662">
        <f>VLOOKUP(B148,'Afton Update'!$A$5:$AR$582,'Afton Update'!$AO$589,0)-BT148</f>
        <v>0</v>
      </c>
      <c r="BV148" s="644">
        <f t="shared" si="350"/>
        <v>25641.112870738314</v>
      </c>
      <c r="BW148" s="645">
        <f t="shared" si="258"/>
        <v>21445.378567378655</v>
      </c>
      <c r="BX148" s="644">
        <f t="shared" si="351"/>
        <v>0</v>
      </c>
      <c r="BY148" s="645">
        <f t="shared" si="352"/>
        <v>25641.112870738314</v>
      </c>
      <c r="BZ148" s="646">
        <f t="shared" si="353"/>
        <v>-225.05477379913546</v>
      </c>
      <c r="CA148" s="647">
        <f t="shared" si="354"/>
        <v>25416.058096939178</v>
      </c>
      <c r="CB148" s="644">
        <f t="shared" si="283"/>
        <v>0</v>
      </c>
      <c r="CC148" s="645">
        <f t="shared" si="284"/>
        <v>25416.058096939178</v>
      </c>
      <c r="CD148" s="646">
        <f t="shared" si="355"/>
        <v>-8.141136566236387</v>
      </c>
      <c r="CE148" s="647">
        <f t="shared" si="285"/>
        <v>25407.916960372942</v>
      </c>
      <c r="CF148" s="644">
        <f t="shared" si="356"/>
        <v>0</v>
      </c>
      <c r="CG148" s="645">
        <f t="shared" si="357"/>
        <v>25407.916960372942</v>
      </c>
      <c r="CH148" s="646">
        <f t="shared" si="358"/>
        <v>0</v>
      </c>
      <c r="CI148" s="647">
        <f t="shared" si="286"/>
        <v>25407.916960372942</v>
      </c>
      <c r="CJ148" s="644">
        <f t="shared" si="359"/>
        <v>0</v>
      </c>
      <c r="CK148" s="645">
        <f t="shared" si="360"/>
        <v>25407.916960372942</v>
      </c>
      <c r="CL148" s="646">
        <f t="shared" si="361"/>
        <v>0</v>
      </c>
      <c r="CM148" s="647">
        <f t="shared" si="287"/>
        <v>25407.916960372942</v>
      </c>
      <c r="CN148" s="644">
        <f t="shared" si="362"/>
        <v>0</v>
      </c>
      <c r="CO148" s="645">
        <f t="shared" si="363"/>
        <v>25407.916960372942</v>
      </c>
      <c r="CP148" s="646">
        <f t="shared" si="364"/>
        <v>0</v>
      </c>
      <c r="CQ148" s="647">
        <f t="shared" si="288"/>
        <v>25407.916960372942</v>
      </c>
      <c r="CS148" s="644">
        <f t="shared" si="365"/>
        <v>23868.507878682467</v>
      </c>
      <c r="CT148" s="645">
        <f t="shared" si="259"/>
        <v>18006.791394532691</v>
      </c>
      <c r="CU148" s="644">
        <f t="shared" si="366"/>
        <v>0</v>
      </c>
      <c r="CV148" s="645">
        <f t="shared" si="367"/>
        <v>23868.507878682467</v>
      </c>
      <c r="CW148" s="646">
        <f t="shared" si="368"/>
        <v>-244.42700929603782</v>
      </c>
      <c r="CX148" s="647">
        <f t="shared" si="369"/>
        <v>23624.080869386427</v>
      </c>
      <c r="CY148" s="644">
        <f t="shared" si="289"/>
        <v>0</v>
      </c>
      <c r="CZ148" s="645">
        <f t="shared" si="290"/>
        <v>23624.080869386427</v>
      </c>
      <c r="DA148" s="646">
        <f t="shared" si="370"/>
        <v>-18.544989274694323</v>
      </c>
      <c r="DB148" s="647">
        <f t="shared" si="291"/>
        <v>23605.535880111733</v>
      </c>
      <c r="DC148" s="644">
        <f t="shared" si="371"/>
        <v>0</v>
      </c>
      <c r="DD148" s="645">
        <f t="shared" si="372"/>
        <v>23605.535880111733</v>
      </c>
      <c r="DE148" s="646">
        <f t="shared" si="373"/>
        <v>-1.5992743427046475E-2</v>
      </c>
      <c r="DF148" s="647">
        <f t="shared" si="292"/>
        <v>23605.519887368304</v>
      </c>
      <c r="DG148" s="644">
        <f t="shared" si="374"/>
        <v>0</v>
      </c>
      <c r="DH148" s="645">
        <f t="shared" si="375"/>
        <v>23605.519887368304</v>
      </c>
      <c r="DI148" s="646">
        <f t="shared" si="376"/>
        <v>0</v>
      </c>
      <c r="DJ148" s="647">
        <f t="shared" si="293"/>
        <v>23605.519887368304</v>
      </c>
      <c r="DK148" s="644">
        <f t="shared" si="377"/>
        <v>0</v>
      </c>
      <c r="DL148" s="645">
        <f t="shared" si="378"/>
        <v>23605.519887368304</v>
      </c>
      <c r="DM148" s="646">
        <f t="shared" si="379"/>
        <v>0</v>
      </c>
      <c r="DN148" s="647">
        <f t="shared" si="294"/>
        <v>23605.519887368304</v>
      </c>
      <c r="DR148" s="827">
        <f t="shared" si="295"/>
        <v>97267.33885957353</v>
      </c>
      <c r="DV148" s="828">
        <f>IFERROR(VLOOKUP($B148,'Afton FY16 Final'!$A$5:$BV$587,'Afton FY16 Final'!$BV$587,0),0)</f>
        <v>87791.050674681508</v>
      </c>
      <c r="DX148" s="636">
        <f t="shared" si="260"/>
        <v>97267.33885957353</v>
      </c>
      <c r="DY148" s="637">
        <f t="shared" si="261"/>
        <v>9476.2881848920224</v>
      </c>
      <c r="DZ148" s="637">
        <f t="shared" si="262"/>
        <v>87791.050674681508</v>
      </c>
      <c r="EA148" s="643">
        <f t="shared" si="263"/>
        <v>92093.806546310487</v>
      </c>
      <c r="EB148" s="637">
        <f t="shared" si="296"/>
        <v>0</v>
      </c>
      <c r="EC148" s="637">
        <f t="shared" si="297"/>
        <v>92093.806546310487</v>
      </c>
      <c r="ED148" s="637">
        <f t="shared" si="298"/>
        <v>91819.188313901162</v>
      </c>
      <c r="EE148" s="643">
        <f t="shared" si="299"/>
        <v>91819.188313901162</v>
      </c>
      <c r="EF148" s="637">
        <f t="shared" si="300"/>
        <v>0</v>
      </c>
      <c r="EG148" s="637">
        <f t="shared" si="301"/>
        <v>91819.188313901162</v>
      </c>
      <c r="EH148" s="637">
        <f t="shared" si="302"/>
        <v>91819.093587628537</v>
      </c>
      <c r="EI148" s="643">
        <f t="shared" si="303"/>
        <v>91819.093587628537</v>
      </c>
      <c r="EJ148" s="637">
        <f t="shared" si="304"/>
        <v>0</v>
      </c>
      <c r="EK148" s="637">
        <f t="shared" si="305"/>
        <v>91819.093587628537</v>
      </c>
      <c r="EL148" s="637">
        <f t="shared" si="306"/>
        <v>91819.093587628406</v>
      </c>
      <c r="EM148" s="643">
        <f t="shared" si="307"/>
        <v>91819.093587628406</v>
      </c>
      <c r="EN148" s="637">
        <f t="shared" si="308"/>
        <v>0</v>
      </c>
      <c r="EO148" s="637">
        <f t="shared" si="309"/>
        <v>91819.093587628406</v>
      </c>
      <c r="EP148" s="637">
        <f t="shared" si="310"/>
        <v>91819.093587628537</v>
      </c>
      <c r="EQ148" s="643">
        <f t="shared" si="311"/>
        <v>91819.093587628537</v>
      </c>
      <c r="ER148" s="637">
        <f t="shared" si="312"/>
        <v>0</v>
      </c>
      <c r="ES148" s="637">
        <f t="shared" si="313"/>
        <v>91819.093587628537</v>
      </c>
      <c r="ET148" s="637">
        <f t="shared" si="314"/>
        <v>91819.093587628391</v>
      </c>
      <c r="EU148" s="643">
        <f t="shared" si="264"/>
        <v>91819.093587628391</v>
      </c>
      <c r="EV148" s="643">
        <f t="shared" si="265"/>
        <v>0</v>
      </c>
      <c r="EX148" s="829">
        <f t="shared" si="266"/>
        <v>5448.2452719451394</v>
      </c>
      <c r="EY148" s="638">
        <f t="shared" si="267"/>
        <v>91819.093587628391</v>
      </c>
      <c r="FC148" s="830" t="str">
        <f t="shared" si="315"/>
        <v>Y</v>
      </c>
      <c r="FE148" s="830" t="str">
        <f>IFERROR(VLOOKUP($B148,'Historical Conc Grant Elig'!$B$3:$J$707,'HH &amp; SI'!FE$2,0),"N")</f>
        <v>N</v>
      </c>
      <c r="FF148" s="830" t="str">
        <f>IFERROR(VLOOKUP($B148,'Historical Conc Grant Elig'!$B$3:$J$707,'HH &amp; SI'!FF$2,0),"N")</f>
        <v>N</v>
      </c>
      <c r="FG148" s="830" t="str">
        <f>IFERROR(VLOOKUP($B148,'Historical Conc Grant Elig'!$B$3:$J$707,'HH &amp; SI'!FG$2,0),"N")</f>
        <v>N</v>
      </c>
      <c r="FH148" s="830" t="str">
        <f>IFERROR(VLOOKUP($B148,'Historical Conc Grant Elig'!$B$3:$J$707,'HH &amp; SI'!FH$2,0),"N")</f>
        <v>N</v>
      </c>
      <c r="FI148" s="830" t="str">
        <f>IFERROR(VLOOKUP($B148,'Historical Conc Grant Elig'!$B$3:$J$707,'HH &amp; SI'!FI$2,0),"N")</f>
        <v>Y</v>
      </c>
      <c r="FJ148" s="830" t="str">
        <f>IFERROR(VLOOKUP($B148,'Historical Conc Grant Elig'!$B$3:$J$707,'HH &amp; SI'!FJ$2,0),"N")</f>
        <v>N</v>
      </c>
      <c r="FK148" s="830" t="str">
        <f>IFERROR(VLOOKUP($B148,'Historical Conc Grant Elig'!$B$3:$J$707,'HH &amp; SI'!FK$2,0),"N")</f>
        <v>N</v>
      </c>
      <c r="FL148" s="957" t="str">
        <f>IFERROR(VLOOKUP($B148,'Historical Conc Grant Elig'!$B$3:$J$707,'HH &amp; SI'!FL$2,0),"N")</f>
        <v>N</v>
      </c>
    </row>
    <row r="149" spans="2:168" x14ac:dyDescent="0.25">
      <c r="B149" s="634">
        <v>78230000</v>
      </c>
      <c r="C149" s="635" t="str">
        <f>VLOOKUP($B149,'Afton Update'!$A$5:$CR$582,'Afton Update'!D$589,0)</f>
        <v>Kaizen Education Foundation dba Discover U Elementary School</v>
      </c>
      <c r="D149" s="636">
        <f>IFERROR(VLOOKUP($B149,'Afton FY16 Final'!$A$5:$BV$587,'Afton FY16 Final'!AQ$587,0),0)</f>
        <v>27280.286560869197</v>
      </c>
      <c r="E149" s="637">
        <f>IFERROR(VLOOKUP($B149,'Afton FY16 Final'!$A$5:$BV$587,'Afton FY16 Final'!AR$587,0),0)</f>
        <v>7448.3965953870893</v>
      </c>
      <c r="F149" s="637">
        <f>IFERROR(VLOOKUP($B149,'Afton FY16 Final'!$A$5:$BV$587,'Afton FY16 Final'!AS$587,0),0)</f>
        <v>14805.331965792539</v>
      </c>
      <c r="G149" s="637">
        <f>IFERROR(VLOOKUP($B149,'Afton FY16 Final'!$A$5:$BV$587,'Afton FY16 Final'!AT$587,0),0)</f>
        <v>12431.420755629028</v>
      </c>
      <c r="H149" s="638">
        <f>IFERROR(VLOOKUP($B149,'Afton FY16 Final'!$A$5:$BV$587,'Afton FY16 Final'!AU$587,0),0)</f>
        <v>61965.435877677854</v>
      </c>
      <c r="I149" s="639" t="str">
        <f>VLOOKUP($B149,'Afton Update'!$A$5:$CR$582,'Afton Update'!BT$589,0)</f>
        <v>Y</v>
      </c>
      <c r="J149" s="640" t="str">
        <f>VLOOKUP($B149,'Afton Update'!$A$5:$CR$582,'Afton Update'!BU$589,0)</f>
        <v>Y</v>
      </c>
      <c r="K149" s="640" t="str">
        <f>VLOOKUP($B149,'Afton Update'!$A$5:$CR$582,'Afton Update'!BV$589,0)</f>
        <v>Y</v>
      </c>
      <c r="L149" s="641" t="str">
        <f>VLOOKUP($B149,'Afton Update'!$A$5:$CR$582,'Afton Update'!BW$589,0)</f>
        <v>Y</v>
      </c>
      <c r="N149" s="642">
        <f>VLOOKUP($B149,'Afton Update'!$A$5:$CR$582,'Afton Update'!CB$589,0)</f>
        <v>0.95</v>
      </c>
      <c r="P149" s="636">
        <f>VLOOKUP($B149,'Afton Update'!$A$5:$CR$582,'Afton Update'!AH$589,0)</f>
        <v>35636.275903002766</v>
      </c>
      <c r="Q149" s="637">
        <f>VLOOKUP($B149,'Afton Update'!$A$5:$CR$582,'Afton Update'!AI$589,0)</f>
        <v>9500.3459317894485</v>
      </c>
      <c r="R149" s="637">
        <f>VLOOKUP($B149,'Afton Update'!$A$5:$CR$582,'Afton Update'!AJ$589,0)</f>
        <v>20881.898358893432</v>
      </c>
      <c r="S149" s="637">
        <f>VLOOKUP($B149,'Afton Update'!$A$5:$CR$582,'Afton Update'!AK$589,0)</f>
        <v>19438.304336232301</v>
      </c>
      <c r="T149" s="643">
        <f t="shared" si="268"/>
        <v>85456.82452991794</v>
      </c>
      <c r="V149" s="636">
        <f t="shared" si="316"/>
        <v>35150.173969474017</v>
      </c>
      <c r="W149" s="637">
        <f t="shared" si="317"/>
        <v>9187.4392709660369</v>
      </c>
      <c r="X149" s="637">
        <f t="shared" si="318"/>
        <v>20691.985646348239</v>
      </c>
      <c r="Y149" s="637">
        <f t="shared" si="319"/>
        <v>19224.129213182201</v>
      </c>
      <c r="Z149" s="643">
        <f t="shared" si="320"/>
        <v>84253.728099970496</v>
      </c>
      <c r="AB149" s="644">
        <f t="shared" si="269"/>
        <v>35636.275903002766</v>
      </c>
      <c r="AC149" s="645">
        <f t="shared" si="257"/>
        <v>25916.272232825737</v>
      </c>
      <c r="AD149" s="644">
        <f t="shared" si="321"/>
        <v>0</v>
      </c>
      <c r="AE149" s="645">
        <f t="shared" si="322"/>
        <v>35636.275903002766</v>
      </c>
      <c r="AF149" s="646">
        <f t="shared" si="323"/>
        <v>-441.73841976619127</v>
      </c>
      <c r="AG149" s="647">
        <f t="shared" si="324"/>
        <v>35194.537483236578</v>
      </c>
      <c r="AH149" s="644">
        <f t="shared" si="270"/>
        <v>0</v>
      </c>
      <c r="AI149" s="645">
        <f t="shared" si="271"/>
        <v>35194.537483236578</v>
      </c>
      <c r="AJ149" s="646">
        <f t="shared" si="325"/>
        <v>-44.335249904201902</v>
      </c>
      <c r="AK149" s="647">
        <f t="shared" si="272"/>
        <v>35150.202233332377</v>
      </c>
      <c r="AL149" s="644">
        <f t="shared" si="326"/>
        <v>0</v>
      </c>
      <c r="AM149" s="645">
        <f t="shared" si="327"/>
        <v>35150.202233332377</v>
      </c>
      <c r="AN149" s="646">
        <f t="shared" si="328"/>
        <v>-2.8263858358828595E-2</v>
      </c>
      <c r="AO149" s="647">
        <f t="shared" si="273"/>
        <v>35150.173969474017</v>
      </c>
      <c r="AP149" s="644">
        <f t="shared" si="329"/>
        <v>0</v>
      </c>
      <c r="AQ149" s="645">
        <f t="shared" si="330"/>
        <v>35150.173969474017</v>
      </c>
      <c r="AR149" s="646">
        <f t="shared" si="331"/>
        <v>0</v>
      </c>
      <c r="AS149" s="647">
        <f t="shared" si="274"/>
        <v>35150.173969474017</v>
      </c>
      <c r="AT149" s="644">
        <f t="shared" si="332"/>
        <v>0</v>
      </c>
      <c r="AU149" s="645">
        <f t="shared" si="333"/>
        <v>35150.173969474017</v>
      </c>
      <c r="AV149" s="646">
        <f t="shared" si="334"/>
        <v>0</v>
      </c>
      <c r="AW149" s="647">
        <f t="shared" si="275"/>
        <v>35150.173969474017</v>
      </c>
      <c r="AY149" s="644">
        <f t="shared" si="335"/>
        <v>9500.3459317894485</v>
      </c>
      <c r="AZ149" s="645">
        <f t="shared" si="276"/>
        <v>7075.9767656177346</v>
      </c>
      <c r="BA149" s="644">
        <f t="shared" si="336"/>
        <v>0</v>
      </c>
      <c r="BB149" s="645">
        <f t="shared" si="337"/>
        <v>9500.3459317894485</v>
      </c>
      <c r="BC149" s="646">
        <f t="shared" si="338"/>
        <v>-68.319756285533501</v>
      </c>
      <c r="BD149" s="647">
        <f t="shared" si="339"/>
        <v>9432.0261755039155</v>
      </c>
      <c r="BE149" s="644">
        <f t="shared" si="277"/>
        <v>0</v>
      </c>
      <c r="BF149" s="645">
        <f t="shared" si="278"/>
        <v>9432.0261755039155</v>
      </c>
      <c r="BG149" s="646">
        <f t="shared" si="340"/>
        <v>-224.66317695370856</v>
      </c>
      <c r="BH149" s="647">
        <f t="shared" si="279"/>
        <v>9207.3629985502066</v>
      </c>
      <c r="BI149" s="644">
        <f t="shared" si="341"/>
        <v>0</v>
      </c>
      <c r="BJ149" s="645">
        <f t="shared" si="342"/>
        <v>9207.3629985502066</v>
      </c>
      <c r="BK149" s="646">
        <f t="shared" si="343"/>
        <v>-19.503357382775214</v>
      </c>
      <c r="BL149" s="647">
        <f t="shared" si="280"/>
        <v>9187.8596411674316</v>
      </c>
      <c r="BM149" s="644">
        <f t="shared" si="344"/>
        <v>0</v>
      </c>
      <c r="BN149" s="645">
        <f t="shared" si="345"/>
        <v>9187.8596411674316</v>
      </c>
      <c r="BO149" s="646">
        <f t="shared" si="346"/>
        <v>-0.42037020139429487</v>
      </c>
      <c r="BP149" s="647">
        <f t="shared" si="281"/>
        <v>9187.4392709660369</v>
      </c>
      <c r="BQ149" s="644">
        <f t="shared" si="347"/>
        <v>0</v>
      </c>
      <c r="BR149" s="645">
        <f t="shared" si="348"/>
        <v>9187.4392709660369</v>
      </c>
      <c r="BS149" s="646">
        <f t="shared" si="349"/>
        <v>0</v>
      </c>
      <c r="BT149" s="647">
        <f t="shared" si="282"/>
        <v>9187.4392709660369</v>
      </c>
      <c r="BU149" s="662">
        <f>VLOOKUP(B149,'Afton Update'!$A$5:$AR$582,'Afton Update'!$AO$589,0)-BT149</f>
        <v>0</v>
      </c>
      <c r="BV149" s="644">
        <f t="shared" si="350"/>
        <v>20881.898358893432</v>
      </c>
      <c r="BW149" s="645">
        <f t="shared" si="258"/>
        <v>14065.065367502912</v>
      </c>
      <c r="BX149" s="644">
        <f t="shared" si="351"/>
        <v>0</v>
      </c>
      <c r="BY149" s="645">
        <f t="shared" si="352"/>
        <v>20881.898358893432</v>
      </c>
      <c r="BZ149" s="646">
        <f t="shared" si="353"/>
        <v>-183.28264203463874</v>
      </c>
      <c r="CA149" s="647">
        <f t="shared" si="354"/>
        <v>20698.615716858792</v>
      </c>
      <c r="CB149" s="644">
        <f t="shared" si="283"/>
        <v>0</v>
      </c>
      <c r="CC149" s="645">
        <f t="shared" si="284"/>
        <v>20698.615716858792</v>
      </c>
      <c r="CD149" s="646">
        <f t="shared" si="355"/>
        <v>-6.6300705105520574</v>
      </c>
      <c r="CE149" s="647">
        <f t="shared" si="285"/>
        <v>20691.985646348239</v>
      </c>
      <c r="CF149" s="644">
        <f t="shared" si="356"/>
        <v>0</v>
      </c>
      <c r="CG149" s="645">
        <f t="shared" si="357"/>
        <v>20691.985646348239</v>
      </c>
      <c r="CH149" s="646">
        <f t="shared" si="358"/>
        <v>0</v>
      </c>
      <c r="CI149" s="647">
        <f t="shared" si="286"/>
        <v>20691.985646348239</v>
      </c>
      <c r="CJ149" s="644">
        <f t="shared" si="359"/>
        <v>0</v>
      </c>
      <c r="CK149" s="645">
        <f t="shared" si="360"/>
        <v>20691.985646348239</v>
      </c>
      <c r="CL149" s="646">
        <f t="shared" si="361"/>
        <v>0</v>
      </c>
      <c r="CM149" s="647">
        <f t="shared" si="287"/>
        <v>20691.985646348239</v>
      </c>
      <c r="CN149" s="644">
        <f t="shared" si="362"/>
        <v>0</v>
      </c>
      <c r="CO149" s="645">
        <f t="shared" si="363"/>
        <v>20691.985646348239</v>
      </c>
      <c r="CP149" s="646">
        <f t="shared" si="364"/>
        <v>0</v>
      </c>
      <c r="CQ149" s="647">
        <f t="shared" si="288"/>
        <v>20691.985646348239</v>
      </c>
      <c r="CS149" s="644">
        <f t="shared" si="365"/>
        <v>19438.304336232301</v>
      </c>
      <c r="CT149" s="645">
        <f t="shared" si="259"/>
        <v>11809.849717847575</v>
      </c>
      <c r="CU149" s="644">
        <f t="shared" si="366"/>
        <v>0</v>
      </c>
      <c r="CV149" s="645">
        <f t="shared" si="367"/>
        <v>19438.304336232301</v>
      </c>
      <c r="CW149" s="646">
        <f t="shared" si="368"/>
        <v>-199.05922141596949</v>
      </c>
      <c r="CX149" s="647">
        <f t="shared" si="369"/>
        <v>19239.245114816331</v>
      </c>
      <c r="CY149" s="644">
        <f t="shared" si="289"/>
        <v>0</v>
      </c>
      <c r="CZ149" s="645">
        <f t="shared" si="290"/>
        <v>19239.245114816331</v>
      </c>
      <c r="DA149" s="646">
        <f t="shared" si="370"/>
        <v>-15.102877283570301</v>
      </c>
      <c r="DB149" s="647">
        <f t="shared" si="291"/>
        <v>19224.14223753276</v>
      </c>
      <c r="DC149" s="644">
        <f t="shared" si="371"/>
        <v>0</v>
      </c>
      <c r="DD149" s="645">
        <f t="shared" si="372"/>
        <v>19224.14223753276</v>
      </c>
      <c r="DE149" s="646">
        <f t="shared" si="373"/>
        <v>-1.3024350557910456E-2</v>
      </c>
      <c r="DF149" s="647">
        <f t="shared" si="292"/>
        <v>19224.129213182201</v>
      </c>
      <c r="DG149" s="644">
        <f t="shared" si="374"/>
        <v>0</v>
      </c>
      <c r="DH149" s="645">
        <f t="shared" si="375"/>
        <v>19224.129213182201</v>
      </c>
      <c r="DI149" s="646">
        <f t="shared" si="376"/>
        <v>0</v>
      </c>
      <c r="DJ149" s="647">
        <f t="shared" si="293"/>
        <v>19224.129213182201</v>
      </c>
      <c r="DK149" s="644">
        <f t="shared" si="377"/>
        <v>0</v>
      </c>
      <c r="DL149" s="645">
        <f t="shared" si="378"/>
        <v>19224.129213182201</v>
      </c>
      <c r="DM149" s="646">
        <f t="shared" si="379"/>
        <v>0</v>
      </c>
      <c r="DN149" s="647">
        <f t="shared" si="294"/>
        <v>19224.129213182201</v>
      </c>
      <c r="DR149" s="827">
        <f t="shared" si="295"/>
        <v>84253.728099970496</v>
      </c>
      <c r="DV149" s="828">
        <f>IFERROR(VLOOKUP($B149,'Afton FY16 Final'!$A$5:$BV$587,'Afton FY16 Final'!$BV$587,0),0)</f>
        <v>55014.796438672303</v>
      </c>
      <c r="DX149" s="636">
        <f t="shared" si="260"/>
        <v>84253.728099970496</v>
      </c>
      <c r="DY149" s="637">
        <f t="shared" si="261"/>
        <v>29238.931661298193</v>
      </c>
      <c r="DZ149" s="637">
        <f t="shared" si="262"/>
        <v>55014.796438672303</v>
      </c>
      <c r="EA149" s="643">
        <f t="shared" si="263"/>
        <v>79772.374030364706</v>
      </c>
      <c r="EB149" s="637">
        <f t="shared" si="296"/>
        <v>0</v>
      </c>
      <c r="EC149" s="637">
        <f t="shared" si="297"/>
        <v>79772.374030364706</v>
      </c>
      <c r="ED149" s="637">
        <f t="shared" si="298"/>
        <v>79534.497574033216</v>
      </c>
      <c r="EE149" s="643">
        <f t="shared" si="299"/>
        <v>79534.497574033216</v>
      </c>
      <c r="EF149" s="637">
        <f t="shared" si="300"/>
        <v>0</v>
      </c>
      <c r="EG149" s="637">
        <f t="shared" si="301"/>
        <v>79534.497574033216</v>
      </c>
      <c r="EH149" s="637">
        <f t="shared" si="302"/>
        <v>79534.415521396528</v>
      </c>
      <c r="EI149" s="643">
        <f t="shared" si="303"/>
        <v>79534.415521396528</v>
      </c>
      <c r="EJ149" s="637">
        <f t="shared" si="304"/>
        <v>0</v>
      </c>
      <c r="EK149" s="637">
        <f t="shared" si="305"/>
        <v>79534.415521396528</v>
      </c>
      <c r="EL149" s="637">
        <f t="shared" si="306"/>
        <v>79534.415521396426</v>
      </c>
      <c r="EM149" s="643">
        <f t="shared" si="307"/>
        <v>79534.415521396426</v>
      </c>
      <c r="EN149" s="637">
        <f t="shared" si="308"/>
        <v>0</v>
      </c>
      <c r="EO149" s="637">
        <f t="shared" si="309"/>
        <v>79534.415521396426</v>
      </c>
      <c r="EP149" s="637">
        <f t="shared" si="310"/>
        <v>79534.415521396542</v>
      </c>
      <c r="EQ149" s="643">
        <f t="shared" si="311"/>
        <v>79534.415521396542</v>
      </c>
      <c r="ER149" s="637">
        <f t="shared" si="312"/>
        <v>0</v>
      </c>
      <c r="ES149" s="637">
        <f t="shared" si="313"/>
        <v>79534.415521396542</v>
      </c>
      <c r="ET149" s="637">
        <f t="shared" si="314"/>
        <v>79534.415521396426</v>
      </c>
      <c r="EU149" s="643">
        <f t="shared" si="264"/>
        <v>79534.415521396426</v>
      </c>
      <c r="EV149" s="643">
        <f t="shared" si="265"/>
        <v>0</v>
      </c>
      <c r="EX149" s="829">
        <f t="shared" si="266"/>
        <v>4719.3125785740704</v>
      </c>
      <c r="EY149" s="638">
        <f t="shared" si="267"/>
        <v>79534.415521396426</v>
      </c>
      <c r="FC149" s="830" t="str">
        <f t="shared" si="315"/>
        <v>Y</v>
      </c>
      <c r="FE149" s="830" t="str">
        <f>IFERROR(VLOOKUP($B149,'Historical Conc Grant Elig'!$B$3:$J$707,'HH &amp; SI'!FE$2,0),"N")</f>
        <v>N</v>
      </c>
      <c r="FF149" s="830" t="str">
        <f>IFERROR(VLOOKUP($B149,'Historical Conc Grant Elig'!$B$3:$J$707,'HH &amp; SI'!FF$2,0),"N")</f>
        <v>N</v>
      </c>
      <c r="FG149" s="830" t="str">
        <f>IFERROR(VLOOKUP($B149,'Historical Conc Grant Elig'!$B$3:$J$707,'HH &amp; SI'!FG$2,0),"N")</f>
        <v>N</v>
      </c>
      <c r="FH149" s="830" t="str">
        <f>IFERROR(VLOOKUP($B149,'Historical Conc Grant Elig'!$B$3:$J$707,'HH &amp; SI'!FH$2,0),"N")</f>
        <v>N</v>
      </c>
      <c r="FI149" s="830" t="str">
        <f>IFERROR(VLOOKUP($B149,'Historical Conc Grant Elig'!$B$3:$J$707,'HH &amp; SI'!FI$2,0),"N")</f>
        <v>Y</v>
      </c>
      <c r="FJ149" s="830" t="str">
        <f>IFERROR(VLOOKUP($B149,'Historical Conc Grant Elig'!$B$3:$J$707,'HH &amp; SI'!FJ$2,0),"N")</f>
        <v>Y</v>
      </c>
      <c r="FK149" s="830" t="str">
        <f>IFERROR(VLOOKUP($B149,'Historical Conc Grant Elig'!$B$3:$J$707,'HH &amp; SI'!FK$2,0),"N")</f>
        <v>Y</v>
      </c>
      <c r="FL149" s="957" t="str">
        <f>IFERROR(VLOOKUP($B149,'Historical Conc Grant Elig'!$B$3:$J$707,'HH &amp; SI'!FL$2,0),"N")</f>
        <v>Y</v>
      </c>
    </row>
    <row r="150" spans="2:168" x14ac:dyDescent="0.25">
      <c r="B150" s="634">
        <v>78238000</v>
      </c>
      <c r="C150" s="635" t="str">
        <f>VLOOKUP($B150,'Afton Update'!$A$5:$CR$582,'Afton Update'!D$589,0)</f>
        <v>Pensar Academy</v>
      </c>
      <c r="D150" s="636">
        <f>IFERROR(VLOOKUP($B150,'Afton FY16 Final'!$A$5:$BV$587,'Afton FY16 Final'!AQ$587,0),0)</f>
        <v>0</v>
      </c>
      <c r="E150" s="637">
        <f>IFERROR(VLOOKUP($B150,'Afton FY16 Final'!$A$5:$BV$587,'Afton FY16 Final'!AR$587,0),0)</f>
        <v>0</v>
      </c>
      <c r="F150" s="637">
        <f>IFERROR(VLOOKUP($B150,'Afton FY16 Final'!$A$5:$BV$587,'Afton FY16 Final'!AS$587,0),0)</f>
        <v>0</v>
      </c>
      <c r="G150" s="637">
        <f>IFERROR(VLOOKUP($B150,'Afton FY16 Final'!$A$5:$BV$587,'Afton FY16 Final'!AT$587,0),0)</f>
        <v>0</v>
      </c>
      <c r="H150" s="638">
        <f>IFERROR(VLOOKUP($B150,'Afton FY16 Final'!$A$5:$BV$587,'Afton FY16 Final'!AU$587,0),0)</f>
        <v>0</v>
      </c>
      <c r="I150" s="639" t="str">
        <f>VLOOKUP($B150,'Afton Update'!$A$5:$CR$582,'Afton Update'!BT$589,0)</f>
        <v>Y</v>
      </c>
      <c r="J150" s="640" t="str">
        <f>VLOOKUP($B150,'Afton Update'!$A$5:$CR$582,'Afton Update'!BU$589,0)</f>
        <v>Y</v>
      </c>
      <c r="K150" s="640" t="str">
        <f>VLOOKUP($B150,'Afton Update'!$A$5:$CR$582,'Afton Update'!BV$589,0)</f>
        <v>Y</v>
      </c>
      <c r="L150" s="641" t="str">
        <f>VLOOKUP($B150,'Afton Update'!$A$5:$CR$582,'Afton Update'!BW$589,0)</f>
        <v>Y</v>
      </c>
      <c r="N150" s="642">
        <f>VLOOKUP($B150,'Afton Update'!$A$5:$CR$582,'Afton Update'!CB$589,0)</f>
        <v>0.95</v>
      </c>
      <c r="P150" s="636">
        <f>VLOOKUP($B150,'Afton Update'!$A$5:$CR$582,'Afton Update'!AH$589,0)</f>
        <v>21525.267323961405</v>
      </c>
      <c r="Q150" s="637">
        <f>VLOOKUP($B150,'Afton Update'!$A$5:$CR$582,'Afton Update'!AI$589,0)</f>
        <v>6582.212049986997</v>
      </c>
      <c r="R150" s="637">
        <f>VLOOKUP($B150,'Afton Update'!$A$5:$CR$582,'Afton Update'!AJ$589,0)</f>
        <v>12623.261411868485</v>
      </c>
      <c r="S150" s="637">
        <f>VLOOKUP($B150,'Afton Update'!$A$5:$CR$582,'Afton Update'!AK$589,0)</f>
        <v>11750.59818903937</v>
      </c>
      <c r="T150" s="643">
        <f t="shared" si="268"/>
        <v>52481.338974856262</v>
      </c>
      <c r="V150" s="636">
        <f t="shared" si="316"/>
        <v>21231.648706393702</v>
      </c>
      <c r="W150" s="637">
        <f t="shared" si="317"/>
        <v>6365.4180502547051</v>
      </c>
      <c r="X150" s="637">
        <f t="shared" si="318"/>
        <v>12508.457777893609</v>
      </c>
      <c r="Y150" s="637">
        <f t="shared" si="319"/>
        <v>11621.127749153378</v>
      </c>
      <c r="Z150" s="643">
        <f t="shared" si="320"/>
        <v>51726.652283695395</v>
      </c>
      <c r="AB150" s="644">
        <f t="shared" si="269"/>
        <v>21525.267323961405</v>
      </c>
      <c r="AC150" s="645">
        <f t="shared" si="257"/>
        <v>0</v>
      </c>
      <c r="AD150" s="644">
        <f t="shared" si="321"/>
        <v>0</v>
      </c>
      <c r="AE150" s="645">
        <f t="shared" si="322"/>
        <v>21525.267323961405</v>
      </c>
      <c r="AF150" s="646">
        <f t="shared" si="323"/>
        <v>-266.82186428830352</v>
      </c>
      <c r="AG150" s="647">
        <f t="shared" si="324"/>
        <v>21258.445459673101</v>
      </c>
      <c r="AH150" s="644">
        <f t="shared" si="270"/>
        <v>0</v>
      </c>
      <c r="AI150" s="645">
        <f t="shared" si="271"/>
        <v>21258.445459673101</v>
      </c>
      <c r="AJ150" s="646">
        <f t="shared" si="325"/>
        <v>-26.77968115018907</v>
      </c>
      <c r="AK150" s="647">
        <f t="shared" si="272"/>
        <v>21231.665778522911</v>
      </c>
      <c r="AL150" s="644">
        <f t="shared" si="326"/>
        <v>0</v>
      </c>
      <c r="AM150" s="645">
        <f t="shared" si="327"/>
        <v>21231.665778522911</v>
      </c>
      <c r="AN150" s="646">
        <f t="shared" si="328"/>
        <v>-1.7072129210030693E-2</v>
      </c>
      <c r="AO150" s="647">
        <f t="shared" si="273"/>
        <v>21231.648706393702</v>
      </c>
      <c r="AP150" s="644">
        <f t="shared" si="329"/>
        <v>0</v>
      </c>
      <c r="AQ150" s="645">
        <f t="shared" si="330"/>
        <v>21231.648706393702</v>
      </c>
      <c r="AR150" s="646">
        <f t="shared" si="331"/>
        <v>0</v>
      </c>
      <c r="AS150" s="647">
        <f t="shared" si="274"/>
        <v>21231.648706393702</v>
      </c>
      <c r="AT150" s="644">
        <f t="shared" si="332"/>
        <v>0</v>
      </c>
      <c r="AU150" s="645">
        <f t="shared" si="333"/>
        <v>21231.648706393702</v>
      </c>
      <c r="AV150" s="646">
        <f t="shared" si="334"/>
        <v>0</v>
      </c>
      <c r="AW150" s="647">
        <f t="shared" si="275"/>
        <v>21231.648706393702</v>
      </c>
      <c r="AY150" s="644">
        <f t="shared" si="335"/>
        <v>6582.212049986997</v>
      </c>
      <c r="AZ150" s="645">
        <f t="shared" si="276"/>
        <v>0</v>
      </c>
      <c r="BA150" s="644">
        <f t="shared" si="336"/>
        <v>0</v>
      </c>
      <c r="BB150" s="645">
        <f t="shared" si="337"/>
        <v>6582.212049986997</v>
      </c>
      <c r="BC150" s="646">
        <f t="shared" si="338"/>
        <v>-47.334605108438474</v>
      </c>
      <c r="BD150" s="647">
        <f t="shared" si="339"/>
        <v>6534.8774448785589</v>
      </c>
      <c r="BE150" s="644">
        <f t="shared" si="277"/>
        <v>0</v>
      </c>
      <c r="BF150" s="645">
        <f t="shared" si="278"/>
        <v>6534.8774448785589</v>
      </c>
      <c r="BG150" s="646">
        <f t="shared" si="340"/>
        <v>-155.65545519609557</v>
      </c>
      <c r="BH150" s="647">
        <f t="shared" si="279"/>
        <v>6379.2219896824636</v>
      </c>
      <c r="BI150" s="644">
        <f t="shared" si="341"/>
        <v>0</v>
      </c>
      <c r="BJ150" s="645">
        <f t="shared" si="342"/>
        <v>6379.2219896824636</v>
      </c>
      <c r="BK150" s="646">
        <f t="shared" si="343"/>
        <v>-13.512690474832596</v>
      </c>
      <c r="BL150" s="647">
        <f t="shared" si="280"/>
        <v>6365.7092992076314</v>
      </c>
      <c r="BM150" s="644">
        <f t="shared" si="344"/>
        <v>0</v>
      </c>
      <c r="BN150" s="645">
        <f t="shared" si="345"/>
        <v>6365.7092992076314</v>
      </c>
      <c r="BO150" s="646">
        <f t="shared" si="346"/>
        <v>-0.29124895292647662</v>
      </c>
      <c r="BP150" s="647">
        <f t="shared" si="281"/>
        <v>6365.4180502547051</v>
      </c>
      <c r="BQ150" s="644">
        <f t="shared" si="347"/>
        <v>0</v>
      </c>
      <c r="BR150" s="645">
        <f t="shared" si="348"/>
        <v>6365.4180502547051</v>
      </c>
      <c r="BS150" s="646">
        <f t="shared" si="349"/>
        <v>0</v>
      </c>
      <c r="BT150" s="647">
        <f t="shared" si="282"/>
        <v>6365.4180502547051</v>
      </c>
      <c r="BU150" s="662">
        <f>VLOOKUP(B150,'Afton Update'!$A$5:$AR$582,'Afton Update'!$AO$589,0)-BT150</f>
        <v>0</v>
      </c>
      <c r="BV150" s="644">
        <f t="shared" si="350"/>
        <v>12623.261411868485</v>
      </c>
      <c r="BW150" s="645">
        <f t="shared" si="258"/>
        <v>0</v>
      </c>
      <c r="BX150" s="644">
        <f t="shared" si="351"/>
        <v>0</v>
      </c>
      <c r="BY150" s="645">
        <f t="shared" si="352"/>
        <v>12623.261411868485</v>
      </c>
      <c r="BZ150" s="646">
        <f t="shared" si="353"/>
        <v>-110.79570750212977</v>
      </c>
      <c r="CA150" s="647">
        <f t="shared" si="354"/>
        <v>12512.465704366356</v>
      </c>
      <c r="CB150" s="644">
        <f t="shared" si="283"/>
        <v>0</v>
      </c>
      <c r="CC150" s="645">
        <f t="shared" si="284"/>
        <v>12512.465704366356</v>
      </c>
      <c r="CD150" s="646">
        <f t="shared" si="355"/>
        <v>-4.007926472746898</v>
      </c>
      <c r="CE150" s="647">
        <f t="shared" si="285"/>
        <v>12508.457777893609</v>
      </c>
      <c r="CF150" s="644">
        <f t="shared" si="356"/>
        <v>0</v>
      </c>
      <c r="CG150" s="645">
        <f t="shared" si="357"/>
        <v>12508.457777893609</v>
      </c>
      <c r="CH150" s="646">
        <f t="shared" si="358"/>
        <v>0</v>
      </c>
      <c r="CI150" s="647">
        <f t="shared" si="286"/>
        <v>12508.457777893609</v>
      </c>
      <c r="CJ150" s="644">
        <f t="shared" si="359"/>
        <v>0</v>
      </c>
      <c r="CK150" s="645">
        <f t="shared" si="360"/>
        <v>12508.457777893609</v>
      </c>
      <c r="CL150" s="646">
        <f t="shared" si="361"/>
        <v>0</v>
      </c>
      <c r="CM150" s="647">
        <f t="shared" si="287"/>
        <v>12508.457777893609</v>
      </c>
      <c r="CN150" s="644">
        <f t="shared" si="362"/>
        <v>0</v>
      </c>
      <c r="CO150" s="645">
        <f t="shared" si="363"/>
        <v>12508.457777893609</v>
      </c>
      <c r="CP150" s="646">
        <f t="shared" si="364"/>
        <v>0</v>
      </c>
      <c r="CQ150" s="647">
        <f t="shared" si="288"/>
        <v>12508.457777893609</v>
      </c>
      <c r="CS150" s="644">
        <f t="shared" si="365"/>
        <v>11750.59818903937</v>
      </c>
      <c r="CT150" s="645">
        <f t="shared" si="259"/>
        <v>0</v>
      </c>
      <c r="CU150" s="644">
        <f t="shared" si="366"/>
        <v>0</v>
      </c>
      <c r="CV150" s="645">
        <f t="shared" si="367"/>
        <v>11750.59818903937</v>
      </c>
      <c r="CW150" s="646">
        <f t="shared" si="368"/>
        <v>-120.33276597702738</v>
      </c>
      <c r="CX150" s="647">
        <f t="shared" si="369"/>
        <v>11630.265423062343</v>
      </c>
      <c r="CY150" s="644">
        <f t="shared" si="289"/>
        <v>0</v>
      </c>
      <c r="CZ150" s="645">
        <f t="shared" si="290"/>
        <v>11630.265423062343</v>
      </c>
      <c r="DA150" s="646">
        <f t="shared" si="370"/>
        <v>-9.1298005930903834</v>
      </c>
      <c r="DB150" s="647">
        <f t="shared" si="291"/>
        <v>11621.135622469252</v>
      </c>
      <c r="DC150" s="644">
        <f t="shared" si="371"/>
        <v>0</v>
      </c>
      <c r="DD150" s="645">
        <f t="shared" si="372"/>
        <v>11621.135622469252</v>
      </c>
      <c r="DE150" s="646">
        <f t="shared" si="373"/>
        <v>-7.8733158732332519E-3</v>
      </c>
      <c r="DF150" s="647">
        <f t="shared" si="292"/>
        <v>11621.127749153378</v>
      </c>
      <c r="DG150" s="644">
        <f t="shared" si="374"/>
        <v>0</v>
      </c>
      <c r="DH150" s="645">
        <f t="shared" si="375"/>
        <v>11621.127749153378</v>
      </c>
      <c r="DI150" s="646">
        <f t="shared" si="376"/>
        <v>0</v>
      </c>
      <c r="DJ150" s="647">
        <f t="shared" si="293"/>
        <v>11621.127749153378</v>
      </c>
      <c r="DK150" s="644">
        <f t="shared" si="377"/>
        <v>0</v>
      </c>
      <c r="DL150" s="645">
        <f t="shared" si="378"/>
        <v>11621.127749153378</v>
      </c>
      <c r="DM150" s="646">
        <f t="shared" si="379"/>
        <v>0</v>
      </c>
      <c r="DN150" s="647">
        <f t="shared" si="294"/>
        <v>11621.127749153378</v>
      </c>
      <c r="DR150" s="827">
        <f t="shared" si="295"/>
        <v>51726.652283695395</v>
      </c>
      <c r="DV150" s="828">
        <f>IFERROR(VLOOKUP($B150,'Afton FY16 Final'!$A$5:$BV$587,'Afton FY16 Final'!$BV$587,0),0)</f>
        <v>0</v>
      </c>
      <c r="DX150" s="636">
        <f t="shared" si="260"/>
        <v>51726.652283695395</v>
      </c>
      <c r="DY150" s="637">
        <f t="shared" si="261"/>
        <v>51726.652283695395</v>
      </c>
      <c r="DZ150" s="637">
        <f t="shared" si="262"/>
        <v>0</v>
      </c>
      <c r="EA150" s="643">
        <f t="shared" si="263"/>
        <v>48975.374103534923</v>
      </c>
      <c r="EB150" s="637">
        <f t="shared" si="296"/>
        <v>0</v>
      </c>
      <c r="EC150" s="637">
        <f t="shared" si="297"/>
        <v>48975.374103534923</v>
      </c>
      <c r="ED150" s="637">
        <f t="shared" si="298"/>
        <v>48829.332462166407</v>
      </c>
      <c r="EE150" s="643">
        <f t="shared" si="299"/>
        <v>48829.332462166407</v>
      </c>
      <c r="EF150" s="637">
        <f t="shared" si="300"/>
        <v>0</v>
      </c>
      <c r="EG150" s="637">
        <f t="shared" si="301"/>
        <v>48829.332462166407</v>
      </c>
      <c r="EH150" s="637">
        <f t="shared" si="302"/>
        <v>48829.282086850057</v>
      </c>
      <c r="EI150" s="643">
        <f t="shared" si="303"/>
        <v>48829.282086850057</v>
      </c>
      <c r="EJ150" s="637">
        <f t="shared" si="304"/>
        <v>0</v>
      </c>
      <c r="EK150" s="637">
        <f t="shared" si="305"/>
        <v>48829.282086850057</v>
      </c>
      <c r="EL150" s="637">
        <f t="shared" si="306"/>
        <v>48829.282086849984</v>
      </c>
      <c r="EM150" s="643">
        <f t="shared" si="307"/>
        <v>48829.282086849984</v>
      </c>
      <c r="EN150" s="637">
        <f t="shared" si="308"/>
        <v>0</v>
      </c>
      <c r="EO150" s="637">
        <f t="shared" si="309"/>
        <v>48829.282086849984</v>
      </c>
      <c r="EP150" s="637">
        <f t="shared" si="310"/>
        <v>48829.282086850064</v>
      </c>
      <c r="EQ150" s="643">
        <f t="shared" si="311"/>
        <v>48829.282086850064</v>
      </c>
      <c r="ER150" s="637">
        <f t="shared" si="312"/>
        <v>0</v>
      </c>
      <c r="ES150" s="637">
        <f t="shared" si="313"/>
        <v>48829.282086850064</v>
      </c>
      <c r="ET150" s="637">
        <f t="shared" si="314"/>
        <v>48829.282086849984</v>
      </c>
      <c r="EU150" s="643">
        <f t="shared" si="264"/>
        <v>48829.282086849984</v>
      </c>
      <c r="EV150" s="643">
        <f t="shared" si="265"/>
        <v>0</v>
      </c>
      <c r="EX150" s="829">
        <f t="shared" si="266"/>
        <v>2897.3701968454116</v>
      </c>
      <c r="EY150" s="638">
        <f t="shared" si="267"/>
        <v>48829.282086849984</v>
      </c>
      <c r="FC150" s="830" t="str">
        <f t="shared" si="315"/>
        <v>N</v>
      </c>
      <c r="FE150" s="830" t="str">
        <f>IFERROR(VLOOKUP($B150,'Historical Conc Grant Elig'!$B$3:$J$707,'HH &amp; SI'!FE$2,0),"N")</f>
        <v>N</v>
      </c>
      <c r="FF150" s="830" t="str">
        <f>IFERROR(VLOOKUP($B150,'Historical Conc Grant Elig'!$B$3:$J$707,'HH &amp; SI'!FF$2,0),"N")</f>
        <v>N</v>
      </c>
      <c r="FG150" s="830" t="str">
        <f>IFERROR(VLOOKUP($B150,'Historical Conc Grant Elig'!$B$3:$J$707,'HH &amp; SI'!FG$2,0),"N")</f>
        <v>N</v>
      </c>
      <c r="FH150" s="830" t="str">
        <f>IFERROR(VLOOKUP($B150,'Historical Conc Grant Elig'!$B$3:$J$707,'HH &amp; SI'!FH$2,0),"N")</f>
        <v>N</v>
      </c>
      <c r="FI150" s="830" t="str">
        <f>IFERROR(VLOOKUP($B150,'Historical Conc Grant Elig'!$B$3:$J$707,'HH &amp; SI'!FI$2,0),"N")</f>
        <v>N</v>
      </c>
      <c r="FJ150" s="830" t="str">
        <f>IFERROR(VLOOKUP($B150,'Historical Conc Grant Elig'!$B$3:$J$707,'HH &amp; SI'!FJ$2,0),"N")</f>
        <v>N</v>
      </c>
      <c r="FK150" s="830" t="str">
        <f>IFERROR(VLOOKUP($B150,'Historical Conc Grant Elig'!$B$3:$J$707,'HH &amp; SI'!FK$2,0),"N")</f>
        <v>N</v>
      </c>
      <c r="FL150" s="957" t="str">
        <f>IFERROR(VLOOKUP($B150,'Historical Conc Grant Elig'!$B$3:$J$707,'HH &amp; SI'!FL$2,0),"N")</f>
        <v>Y</v>
      </c>
    </row>
    <row r="151" spans="2:168" x14ac:dyDescent="0.25">
      <c r="B151" s="634">
        <v>78240000</v>
      </c>
      <c r="C151" s="635" t="str">
        <f>VLOOKUP($B151,'Afton Update'!$A$5:$CR$582,'Afton Update'!D$589,0)</f>
        <v>Kaizen Education Foundation dba Advance U</v>
      </c>
      <c r="D151" s="636">
        <f>IFERROR(VLOOKUP($B151,'Afton FY16 Final'!$A$5:$BV$587,'Afton FY16 Final'!AQ$587,0),0)</f>
        <v>18808.698897538001</v>
      </c>
      <c r="E151" s="637">
        <f>IFERROR(VLOOKUP($B151,'Afton FY16 Final'!$A$5:$BV$587,'Afton FY16 Final'!AR$587,0),0)</f>
        <v>3933.9161928013805</v>
      </c>
      <c r="F151" s="637">
        <f>IFERROR(VLOOKUP($B151,'Afton FY16 Final'!$A$5:$BV$587,'Afton FY16 Final'!AS$587,0),0)</f>
        <v>9628.2098410648232</v>
      </c>
      <c r="G151" s="637">
        <f>IFERROR(VLOOKUP($B151,'Afton FY16 Final'!$A$5:$BV$587,'Afton FY16 Final'!AT$587,0),0)</f>
        <v>9628.0985116422726</v>
      </c>
      <c r="H151" s="638">
        <f>IFERROR(VLOOKUP($B151,'Afton FY16 Final'!$A$5:$BV$587,'Afton FY16 Final'!AU$587,0),0)</f>
        <v>41998.923443046478</v>
      </c>
      <c r="I151" s="639" t="str">
        <f>VLOOKUP($B151,'Afton Update'!$A$5:$CR$582,'Afton Update'!BT$589,0)</f>
        <v>Y</v>
      </c>
      <c r="J151" s="640" t="str">
        <f>VLOOKUP($B151,'Afton Update'!$A$5:$CR$582,'Afton Update'!BU$589,0)</f>
        <v>Y</v>
      </c>
      <c r="K151" s="640" t="str">
        <f>VLOOKUP($B151,'Afton Update'!$A$5:$CR$582,'Afton Update'!BV$589,0)</f>
        <v>Y</v>
      </c>
      <c r="L151" s="641" t="str">
        <f>VLOOKUP($B151,'Afton Update'!$A$5:$CR$582,'Afton Update'!BW$589,0)</f>
        <v>Y</v>
      </c>
      <c r="N151" s="642">
        <f>VLOOKUP($B151,'Afton Update'!$A$5:$CR$582,'Afton Update'!CB$589,0)</f>
        <v>0.95</v>
      </c>
      <c r="P151" s="636">
        <f>VLOOKUP($B151,'Afton Update'!$A$5:$CR$582,'Afton Update'!AH$589,0)</f>
        <v>11958.481846645223</v>
      </c>
      <c r="Q151" s="637">
        <f>VLOOKUP($B151,'Afton Update'!$A$5:$CR$582,'Afton Update'!AI$589,0)</f>
        <v>4603.8161979175366</v>
      </c>
      <c r="R151" s="637">
        <f>VLOOKUP($B151,'Afton Update'!$A$5:$CR$582,'Afton Update'!AJ$589,0)</f>
        <v>7024.1855155803842</v>
      </c>
      <c r="S151" s="637">
        <f>VLOOKUP($B151,'Afton Update'!$A$5:$CR$582,'Afton Update'!AK$589,0)</f>
        <v>6538.5940214509401</v>
      </c>
      <c r="T151" s="643">
        <f t="shared" si="268"/>
        <v>30125.077581594087</v>
      </c>
      <c r="V151" s="636">
        <f t="shared" si="316"/>
        <v>17868.263952661098</v>
      </c>
      <c r="W151" s="637">
        <f t="shared" si="317"/>
        <v>4452.1833243487135</v>
      </c>
      <c r="X151" s="637">
        <f t="shared" si="318"/>
        <v>9146.7993490115823</v>
      </c>
      <c r="Y151" s="637">
        <f t="shared" si="319"/>
        <v>9146.6935860601589</v>
      </c>
      <c r="Z151" s="643">
        <f t="shared" si="320"/>
        <v>40613.94021208155</v>
      </c>
      <c r="AB151" s="644">
        <f t="shared" si="269"/>
        <v>11958.481846645223</v>
      </c>
      <c r="AC151" s="645">
        <f t="shared" si="257"/>
        <v>17868.263952661098</v>
      </c>
      <c r="AD151" s="644">
        <f t="shared" si="321"/>
        <v>5909.7821060158749</v>
      </c>
      <c r="AE151" s="645">
        <f t="shared" si="322"/>
        <v>0</v>
      </c>
      <c r="AF151" s="646">
        <f t="shared" si="323"/>
        <v>0</v>
      </c>
      <c r="AG151" s="647">
        <f t="shared" si="324"/>
        <v>17868.263952661098</v>
      </c>
      <c r="AH151" s="644">
        <f t="shared" si="270"/>
        <v>0</v>
      </c>
      <c r="AI151" s="645">
        <f t="shared" si="271"/>
        <v>0</v>
      </c>
      <c r="AJ151" s="646">
        <f t="shared" si="325"/>
        <v>0</v>
      </c>
      <c r="AK151" s="647">
        <f t="shared" si="272"/>
        <v>17868.263952661098</v>
      </c>
      <c r="AL151" s="644">
        <f t="shared" si="326"/>
        <v>0</v>
      </c>
      <c r="AM151" s="645">
        <f t="shared" si="327"/>
        <v>0</v>
      </c>
      <c r="AN151" s="646">
        <f t="shared" si="328"/>
        <v>0</v>
      </c>
      <c r="AO151" s="647">
        <f t="shared" si="273"/>
        <v>17868.263952661098</v>
      </c>
      <c r="AP151" s="644">
        <f t="shared" si="329"/>
        <v>0</v>
      </c>
      <c r="AQ151" s="645">
        <f t="shared" si="330"/>
        <v>0</v>
      </c>
      <c r="AR151" s="646">
        <f t="shared" si="331"/>
        <v>0</v>
      </c>
      <c r="AS151" s="647">
        <f t="shared" si="274"/>
        <v>17868.263952661098</v>
      </c>
      <c r="AT151" s="644">
        <f t="shared" si="332"/>
        <v>0</v>
      </c>
      <c r="AU151" s="645">
        <f t="shared" si="333"/>
        <v>0</v>
      </c>
      <c r="AV151" s="646">
        <f t="shared" si="334"/>
        <v>0</v>
      </c>
      <c r="AW151" s="647">
        <f t="shared" si="275"/>
        <v>17868.263952661098</v>
      </c>
      <c r="AY151" s="644">
        <f t="shared" si="335"/>
        <v>4603.8161979175366</v>
      </c>
      <c r="AZ151" s="645">
        <f t="shared" si="276"/>
        <v>3737.2203831613115</v>
      </c>
      <c r="BA151" s="644">
        <f t="shared" si="336"/>
        <v>0</v>
      </c>
      <c r="BB151" s="645">
        <f t="shared" si="337"/>
        <v>4603.8161979175366</v>
      </c>
      <c r="BC151" s="646">
        <f t="shared" si="338"/>
        <v>-33.107383971424881</v>
      </c>
      <c r="BD151" s="647">
        <f t="shared" si="339"/>
        <v>4570.7088139461121</v>
      </c>
      <c r="BE151" s="644">
        <f t="shared" si="277"/>
        <v>0</v>
      </c>
      <c r="BF151" s="645">
        <f t="shared" si="278"/>
        <v>4570.7088139461121</v>
      </c>
      <c r="BG151" s="646">
        <f t="shared" si="340"/>
        <v>-108.87055908923928</v>
      </c>
      <c r="BH151" s="647">
        <f t="shared" si="279"/>
        <v>4461.8382548568725</v>
      </c>
      <c r="BI151" s="644">
        <f t="shared" si="341"/>
        <v>0</v>
      </c>
      <c r="BJ151" s="645">
        <f t="shared" si="342"/>
        <v>4461.8382548568725</v>
      </c>
      <c r="BK151" s="646">
        <f t="shared" si="343"/>
        <v>-9.4512213847020021</v>
      </c>
      <c r="BL151" s="647">
        <f t="shared" si="280"/>
        <v>4452.3870334721705</v>
      </c>
      <c r="BM151" s="644">
        <f t="shared" si="344"/>
        <v>0</v>
      </c>
      <c r="BN151" s="645">
        <f t="shared" si="345"/>
        <v>4452.3870334721705</v>
      </c>
      <c r="BO151" s="646">
        <f t="shared" si="346"/>
        <v>-0.20370912345676917</v>
      </c>
      <c r="BP151" s="647">
        <f t="shared" si="281"/>
        <v>4452.1833243487135</v>
      </c>
      <c r="BQ151" s="644">
        <f t="shared" si="347"/>
        <v>0</v>
      </c>
      <c r="BR151" s="645">
        <f t="shared" si="348"/>
        <v>4452.1833243487135</v>
      </c>
      <c r="BS151" s="646">
        <f t="shared" si="349"/>
        <v>0</v>
      </c>
      <c r="BT151" s="647">
        <f t="shared" si="282"/>
        <v>4452.1833243487135</v>
      </c>
      <c r="BU151" s="662">
        <f>VLOOKUP(B151,'Afton Update'!$A$5:$AR$582,'Afton Update'!$AO$589,0)-BT151</f>
        <v>0</v>
      </c>
      <c r="BV151" s="644">
        <f t="shared" si="350"/>
        <v>7024.1855155803842</v>
      </c>
      <c r="BW151" s="645">
        <f t="shared" si="258"/>
        <v>9146.7993490115823</v>
      </c>
      <c r="BX151" s="644">
        <f t="shared" si="351"/>
        <v>2122.6138334311981</v>
      </c>
      <c r="BY151" s="645">
        <f t="shared" si="352"/>
        <v>0</v>
      </c>
      <c r="BZ151" s="646">
        <f t="shared" si="353"/>
        <v>0</v>
      </c>
      <c r="CA151" s="647">
        <f t="shared" si="354"/>
        <v>9146.7993490115823</v>
      </c>
      <c r="CB151" s="644">
        <f t="shared" si="283"/>
        <v>0</v>
      </c>
      <c r="CC151" s="645">
        <f t="shared" si="284"/>
        <v>0</v>
      </c>
      <c r="CD151" s="646">
        <f t="shared" si="355"/>
        <v>0</v>
      </c>
      <c r="CE151" s="647">
        <f t="shared" si="285"/>
        <v>9146.7993490115823</v>
      </c>
      <c r="CF151" s="644">
        <f t="shared" si="356"/>
        <v>0</v>
      </c>
      <c r="CG151" s="645">
        <f t="shared" si="357"/>
        <v>0</v>
      </c>
      <c r="CH151" s="646">
        <f t="shared" si="358"/>
        <v>0</v>
      </c>
      <c r="CI151" s="647">
        <f t="shared" si="286"/>
        <v>9146.7993490115823</v>
      </c>
      <c r="CJ151" s="644">
        <f t="shared" si="359"/>
        <v>0</v>
      </c>
      <c r="CK151" s="645">
        <f t="shared" si="360"/>
        <v>0</v>
      </c>
      <c r="CL151" s="646">
        <f t="shared" si="361"/>
        <v>0</v>
      </c>
      <c r="CM151" s="647">
        <f t="shared" si="287"/>
        <v>9146.7993490115823</v>
      </c>
      <c r="CN151" s="644">
        <f t="shared" si="362"/>
        <v>0</v>
      </c>
      <c r="CO151" s="645">
        <f t="shared" si="363"/>
        <v>0</v>
      </c>
      <c r="CP151" s="646">
        <f t="shared" si="364"/>
        <v>0</v>
      </c>
      <c r="CQ151" s="647">
        <f t="shared" si="288"/>
        <v>9146.7993490115823</v>
      </c>
      <c r="CS151" s="644">
        <f t="shared" si="365"/>
        <v>6538.5940214509401</v>
      </c>
      <c r="CT151" s="645">
        <f t="shared" si="259"/>
        <v>9146.6935860601589</v>
      </c>
      <c r="CU151" s="644">
        <f t="shared" si="366"/>
        <v>2608.0995646092188</v>
      </c>
      <c r="CV151" s="645">
        <f t="shared" si="367"/>
        <v>0</v>
      </c>
      <c r="CW151" s="646">
        <f t="shared" si="368"/>
        <v>0</v>
      </c>
      <c r="CX151" s="647">
        <f t="shared" si="369"/>
        <v>9146.6935860601589</v>
      </c>
      <c r="CY151" s="644">
        <f t="shared" si="289"/>
        <v>0</v>
      </c>
      <c r="CZ151" s="645">
        <f t="shared" si="290"/>
        <v>0</v>
      </c>
      <c r="DA151" s="646">
        <f t="shared" si="370"/>
        <v>0</v>
      </c>
      <c r="DB151" s="647">
        <f t="shared" si="291"/>
        <v>9146.6935860601589</v>
      </c>
      <c r="DC151" s="644">
        <f t="shared" si="371"/>
        <v>0</v>
      </c>
      <c r="DD151" s="645">
        <f t="shared" si="372"/>
        <v>0</v>
      </c>
      <c r="DE151" s="646">
        <f t="shared" si="373"/>
        <v>0</v>
      </c>
      <c r="DF151" s="647">
        <f t="shared" si="292"/>
        <v>9146.6935860601589</v>
      </c>
      <c r="DG151" s="644">
        <f t="shared" si="374"/>
        <v>0</v>
      </c>
      <c r="DH151" s="645">
        <f t="shared" si="375"/>
        <v>0</v>
      </c>
      <c r="DI151" s="646">
        <f t="shared" si="376"/>
        <v>0</v>
      </c>
      <c r="DJ151" s="647">
        <f t="shared" si="293"/>
        <v>9146.6935860601589</v>
      </c>
      <c r="DK151" s="644">
        <f t="shared" si="377"/>
        <v>0</v>
      </c>
      <c r="DL151" s="645">
        <f t="shared" si="378"/>
        <v>0</v>
      </c>
      <c r="DM151" s="646">
        <f t="shared" si="379"/>
        <v>0</v>
      </c>
      <c r="DN151" s="647">
        <f t="shared" si="294"/>
        <v>9146.6935860601589</v>
      </c>
      <c r="DR151" s="827">
        <f t="shared" si="295"/>
        <v>40613.94021208155</v>
      </c>
      <c r="DV151" s="828">
        <f>IFERROR(VLOOKUP($B151,'Afton FY16 Final'!$A$5:$BV$587,'Afton FY16 Final'!$BV$587,0),0)</f>
        <v>40347.130264602711</v>
      </c>
      <c r="DX151" s="636">
        <f t="shared" si="260"/>
        <v>40613.94021208155</v>
      </c>
      <c r="DY151" s="637">
        <f t="shared" si="261"/>
        <v>266.8099474788396</v>
      </c>
      <c r="DZ151" s="637">
        <f t="shared" si="262"/>
        <v>40347.130264602711</v>
      </c>
      <c r="EA151" s="643">
        <f t="shared" si="263"/>
        <v>38453.733769511069</v>
      </c>
      <c r="EB151" s="637">
        <f t="shared" si="296"/>
        <v>40347.130264602711</v>
      </c>
      <c r="EC151" s="637">
        <f t="shared" si="297"/>
        <v>0</v>
      </c>
      <c r="ED151" s="637">
        <f t="shared" si="298"/>
        <v>0</v>
      </c>
      <c r="EE151" s="643">
        <f t="shared" si="299"/>
        <v>40347.130264602711</v>
      </c>
      <c r="EF151" s="637">
        <f t="shared" si="300"/>
        <v>0</v>
      </c>
      <c r="EG151" s="637">
        <f t="shared" si="301"/>
        <v>0</v>
      </c>
      <c r="EH151" s="637">
        <f t="shared" si="302"/>
        <v>0</v>
      </c>
      <c r="EI151" s="643">
        <f t="shared" si="303"/>
        <v>40347.130264602711</v>
      </c>
      <c r="EJ151" s="637">
        <f t="shared" si="304"/>
        <v>0</v>
      </c>
      <c r="EK151" s="637">
        <f t="shared" si="305"/>
        <v>0</v>
      </c>
      <c r="EL151" s="637">
        <f t="shared" si="306"/>
        <v>0</v>
      </c>
      <c r="EM151" s="643">
        <f t="shared" si="307"/>
        <v>40347.130264602711</v>
      </c>
      <c r="EN151" s="637">
        <f t="shared" si="308"/>
        <v>0</v>
      </c>
      <c r="EO151" s="637">
        <f t="shared" si="309"/>
        <v>0</v>
      </c>
      <c r="EP151" s="637">
        <f t="shared" si="310"/>
        <v>0</v>
      </c>
      <c r="EQ151" s="643">
        <f t="shared" si="311"/>
        <v>40347.130264602711</v>
      </c>
      <c r="ER151" s="637">
        <f t="shared" si="312"/>
        <v>0</v>
      </c>
      <c r="ES151" s="637">
        <f t="shared" si="313"/>
        <v>0</v>
      </c>
      <c r="ET151" s="637">
        <f t="shared" si="314"/>
        <v>0</v>
      </c>
      <c r="EU151" s="643">
        <f t="shared" si="264"/>
        <v>40347.130264602711</v>
      </c>
      <c r="EV151" s="643">
        <f t="shared" si="265"/>
        <v>0</v>
      </c>
      <c r="EX151" s="829">
        <f t="shared" si="266"/>
        <v>266.8099474788396</v>
      </c>
      <c r="EY151" s="638">
        <f t="shared" si="267"/>
        <v>40347.130264602711</v>
      </c>
      <c r="FC151" s="830" t="str">
        <f t="shared" si="315"/>
        <v>Y</v>
      </c>
      <c r="FE151" s="830" t="str">
        <f>IFERROR(VLOOKUP($B151,'Historical Conc Grant Elig'!$B$3:$J$707,'HH &amp; SI'!FE$2,0),"N")</f>
        <v>N</v>
      </c>
      <c r="FF151" s="830" t="str">
        <f>IFERROR(VLOOKUP($B151,'Historical Conc Grant Elig'!$B$3:$J$707,'HH &amp; SI'!FF$2,0),"N")</f>
        <v>N</v>
      </c>
      <c r="FG151" s="830" t="str">
        <f>IFERROR(VLOOKUP($B151,'Historical Conc Grant Elig'!$B$3:$J$707,'HH &amp; SI'!FG$2,0),"N")</f>
        <v>N</v>
      </c>
      <c r="FH151" s="830" t="str">
        <f>IFERROR(VLOOKUP($B151,'Historical Conc Grant Elig'!$B$3:$J$707,'HH &amp; SI'!FH$2,0),"N")</f>
        <v>N</v>
      </c>
      <c r="FI151" s="830" t="str">
        <f>IFERROR(VLOOKUP($B151,'Historical Conc Grant Elig'!$B$3:$J$707,'HH &amp; SI'!FI$2,0),"N")</f>
        <v>Y</v>
      </c>
      <c r="FJ151" s="830" t="str">
        <f>IFERROR(VLOOKUP($B151,'Historical Conc Grant Elig'!$B$3:$J$707,'HH &amp; SI'!FJ$2,0),"N")</f>
        <v>Y</v>
      </c>
      <c r="FK151" s="830" t="str">
        <f>IFERROR(VLOOKUP($B151,'Historical Conc Grant Elig'!$B$3:$J$707,'HH &amp; SI'!FK$2,0),"N")</f>
        <v>Y</v>
      </c>
      <c r="FL151" s="957" t="str">
        <f>IFERROR(VLOOKUP($B151,'Historical Conc Grant Elig'!$B$3:$J$707,'HH &amp; SI'!FL$2,0),"N")</f>
        <v>Y</v>
      </c>
    </row>
    <row r="152" spans="2:168" x14ac:dyDescent="0.25">
      <c r="B152" s="634">
        <v>78242000</v>
      </c>
      <c r="C152" s="635" t="str">
        <f>VLOOKUP($B152,'Afton Update'!$A$5:$CR$582,'Afton Update'!D$589,0)</f>
        <v>Academy of Mathematics and Science South, Inc.</v>
      </c>
      <c r="D152" s="636">
        <f>IFERROR(VLOOKUP($B152,'Afton FY16 Final'!$A$5:$BV$587,'Afton FY16 Final'!AQ$587,0),0)</f>
        <v>57834.843944530759</v>
      </c>
      <c r="E152" s="637">
        <f>IFERROR(VLOOKUP($B152,'Afton FY16 Final'!$A$5:$BV$587,'Afton FY16 Final'!AR$587,0),0)</f>
        <v>15965.499162569324</v>
      </c>
      <c r="F152" s="637">
        <f>IFERROR(VLOOKUP($B152,'Afton FY16 Final'!$A$5:$BV$587,'Afton FY16 Final'!AS$587,0),0)</f>
        <v>33072.803640689235</v>
      </c>
      <c r="G152" s="637">
        <f>IFERROR(VLOOKUP($B152,'Afton FY16 Final'!$A$5:$BV$587,'Afton FY16 Final'!AT$587,0),0)</f>
        <v>32280.84531813148</v>
      </c>
      <c r="H152" s="638">
        <f>IFERROR(VLOOKUP($B152,'Afton FY16 Final'!$A$5:$BV$587,'Afton FY16 Final'!AU$587,0),0)</f>
        <v>139153.99206592079</v>
      </c>
      <c r="I152" s="639" t="str">
        <f>VLOOKUP($B152,'Afton Update'!$A$5:$CR$582,'Afton Update'!BT$589,0)</f>
        <v>Y</v>
      </c>
      <c r="J152" s="640" t="str">
        <f>VLOOKUP($B152,'Afton Update'!$A$5:$CR$582,'Afton Update'!BU$589,0)</f>
        <v>Y</v>
      </c>
      <c r="K152" s="640" t="str">
        <f>VLOOKUP($B152,'Afton Update'!$A$5:$CR$582,'Afton Update'!BV$589,0)</f>
        <v>Y</v>
      </c>
      <c r="L152" s="641" t="str">
        <f>VLOOKUP($B152,'Afton Update'!$A$5:$CR$582,'Afton Update'!BW$589,0)</f>
        <v>Y</v>
      </c>
      <c r="N152" s="642">
        <f>VLOOKUP($B152,'Afton Update'!$A$5:$CR$582,'Afton Update'!CB$589,0)</f>
        <v>0.95</v>
      </c>
      <c r="P152" s="636">
        <f>VLOOKUP($B152,'Afton Update'!$A$5:$CR$582,'Afton Update'!AH$589,0)</f>
        <v>111955.35692598896</v>
      </c>
      <c r="Q152" s="637">
        <f>VLOOKUP($B152,'Afton Update'!$A$5:$CR$582,'Afton Update'!AI$589,0)</f>
        <v>27517.924945898769</v>
      </c>
      <c r="R152" s="637">
        <f>VLOOKUP($B152,'Afton Update'!$A$5:$CR$582,'Afton Update'!AJ$589,0)</f>
        <v>68072.221995045344</v>
      </c>
      <c r="S152" s="637">
        <f>VLOOKUP($B152,'Afton Update'!$A$5:$CR$582,'Afton Update'!AK$589,0)</f>
        <v>66126.985621431202</v>
      </c>
      <c r="T152" s="643">
        <f t="shared" si="268"/>
        <v>273672.48948836431</v>
      </c>
      <c r="V152" s="636">
        <f t="shared" si="316"/>
        <v>110428.21319136435</v>
      </c>
      <c r="W152" s="637">
        <f t="shared" si="317"/>
        <v>26611.585106335831</v>
      </c>
      <c r="X152" s="637">
        <f t="shared" si="318"/>
        <v>67453.131713794559</v>
      </c>
      <c r="Y152" s="637">
        <f t="shared" si="319"/>
        <v>65398.385274537606</v>
      </c>
      <c r="Z152" s="643">
        <f t="shared" si="320"/>
        <v>269891.31528603233</v>
      </c>
      <c r="AB152" s="644">
        <f t="shared" si="269"/>
        <v>111955.35692598896</v>
      </c>
      <c r="AC152" s="645">
        <f t="shared" si="257"/>
        <v>54943.101747304216</v>
      </c>
      <c r="AD152" s="644">
        <f t="shared" si="321"/>
        <v>0</v>
      </c>
      <c r="AE152" s="645">
        <f t="shared" si="322"/>
        <v>111955.35692598896</v>
      </c>
      <c r="AF152" s="646">
        <f t="shared" si="323"/>
        <v>-1387.770781308805</v>
      </c>
      <c r="AG152" s="647">
        <f t="shared" si="324"/>
        <v>110567.58614468016</v>
      </c>
      <c r="AH152" s="644">
        <f t="shared" si="270"/>
        <v>0</v>
      </c>
      <c r="AI152" s="645">
        <f t="shared" si="271"/>
        <v>110567.58614468016</v>
      </c>
      <c r="AJ152" s="646">
        <f t="shared" si="325"/>
        <v>-139.28415923532583</v>
      </c>
      <c r="AK152" s="647">
        <f t="shared" si="272"/>
        <v>110428.30198544484</v>
      </c>
      <c r="AL152" s="644">
        <f t="shared" si="326"/>
        <v>0</v>
      </c>
      <c r="AM152" s="645">
        <f t="shared" si="327"/>
        <v>110428.30198544484</v>
      </c>
      <c r="AN152" s="646">
        <f t="shared" si="328"/>
        <v>-8.8794080483635032E-2</v>
      </c>
      <c r="AO152" s="647">
        <f t="shared" si="273"/>
        <v>110428.21319136435</v>
      </c>
      <c r="AP152" s="644">
        <f t="shared" si="329"/>
        <v>0</v>
      </c>
      <c r="AQ152" s="645">
        <f t="shared" si="330"/>
        <v>110428.21319136435</v>
      </c>
      <c r="AR152" s="646">
        <f t="shared" si="331"/>
        <v>0</v>
      </c>
      <c r="AS152" s="647">
        <f t="shared" si="274"/>
        <v>110428.21319136435</v>
      </c>
      <c r="AT152" s="644">
        <f t="shared" si="332"/>
        <v>0</v>
      </c>
      <c r="AU152" s="645">
        <f t="shared" si="333"/>
        <v>110428.21319136435</v>
      </c>
      <c r="AV152" s="646">
        <f t="shared" si="334"/>
        <v>0</v>
      </c>
      <c r="AW152" s="647">
        <f t="shared" si="275"/>
        <v>110428.21319136435</v>
      </c>
      <c r="AY152" s="644">
        <f t="shared" si="335"/>
        <v>27517.924945898769</v>
      </c>
      <c r="AZ152" s="645">
        <f t="shared" si="276"/>
        <v>15167.224204440858</v>
      </c>
      <c r="BA152" s="644">
        <f t="shared" si="336"/>
        <v>0</v>
      </c>
      <c r="BB152" s="645">
        <f t="shared" si="337"/>
        <v>27517.924945898769</v>
      </c>
      <c r="BC152" s="646">
        <f t="shared" si="338"/>
        <v>-197.88941784705028</v>
      </c>
      <c r="BD152" s="647">
        <f t="shared" si="339"/>
        <v>27320.035528051718</v>
      </c>
      <c r="BE152" s="644">
        <f t="shared" si="277"/>
        <v>0</v>
      </c>
      <c r="BF152" s="645">
        <f t="shared" si="278"/>
        <v>27320.035528051718</v>
      </c>
      <c r="BG152" s="646">
        <f t="shared" si="340"/>
        <v>-650.74098205546682</v>
      </c>
      <c r="BH152" s="647">
        <f t="shared" si="279"/>
        <v>26669.29454599625</v>
      </c>
      <c r="BI152" s="644">
        <f t="shared" si="341"/>
        <v>0</v>
      </c>
      <c r="BJ152" s="645">
        <f t="shared" si="342"/>
        <v>26669.29454599625</v>
      </c>
      <c r="BK152" s="646">
        <f t="shared" si="343"/>
        <v>-56.491829719211047</v>
      </c>
      <c r="BL152" s="647">
        <f t="shared" si="280"/>
        <v>26612.802716277038</v>
      </c>
      <c r="BM152" s="644">
        <f t="shared" si="344"/>
        <v>0</v>
      </c>
      <c r="BN152" s="645">
        <f t="shared" si="345"/>
        <v>26612.802716277038</v>
      </c>
      <c r="BO152" s="646">
        <f t="shared" si="346"/>
        <v>-1.2176099412078676</v>
      </c>
      <c r="BP152" s="647">
        <f t="shared" si="281"/>
        <v>26611.585106335831</v>
      </c>
      <c r="BQ152" s="644">
        <f t="shared" si="347"/>
        <v>0</v>
      </c>
      <c r="BR152" s="645">
        <f t="shared" si="348"/>
        <v>26611.585106335831</v>
      </c>
      <c r="BS152" s="646">
        <f t="shared" si="349"/>
        <v>0</v>
      </c>
      <c r="BT152" s="647">
        <f t="shared" si="282"/>
        <v>26611.585106335831</v>
      </c>
      <c r="BU152" s="662">
        <f>VLOOKUP(B152,'Afton Update'!$A$5:$AR$582,'Afton Update'!$AO$589,0)-BT152</f>
        <v>0</v>
      </c>
      <c r="BV152" s="644">
        <f t="shared" si="350"/>
        <v>68072.221995045344</v>
      </c>
      <c r="BW152" s="645">
        <f t="shared" si="258"/>
        <v>31419.163458654773</v>
      </c>
      <c r="BX152" s="644">
        <f t="shared" si="351"/>
        <v>0</v>
      </c>
      <c r="BY152" s="645">
        <f t="shared" si="352"/>
        <v>68072.221995045344</v>
      </c>
      <c r="BZ152" s="646">
        <f t="shared" si="353"/>
        <v>-597.47712980830295</v>
      </c>
      <c r="CA152" s="647">
        <f t="shared" si="354"/>
        <v>67474.744865237037</v>
      </c>
      <c r="CB152" s="644">
        <f t="shared" si="283"/>
        <v>0</v>
      </c>
      <c r="CC152" s="645">
        <f t="shared" si="284"/>
        <v>67474.744865237037</v>
      </c>
      <c r="CD152" s="646">
        <f t="shared" si="355"/>
        <v>-21.613151442473534</v>
      </c>
      <c r="CE152" s="647">
        <f t="shared" si="285"/>
        <v>67453.131713794559</v>
      </c>
      <c r="CF152" s="644">
        <f t="shared" si="356"/>
        <v>0</v>
      </c>
      <c r="CG152" s="645">
        <f t="shared" si="357"/>
        <v>67453.131713794559</v>
      </c>
      <c r="CH152" s="646">
        <f t="shared" si="358"/>
        <v>0</v>
      </c>
      <c r="CI152" s="647">
        <f t="shared" si="286"/>
        <v>67453.131713794559</v>
      </c>
      <c r="CJ152" s="644">
        <f t="shared" si="359"/>
        <v>0</v>
      </c>
      <c r="CK152" s="645">
        <f t="shared" si="360"/>
        <v>67453.131713794559</v>
      </c>
      <c r="CL152" s="646">
        <f t="shared" si="361"/>
        <v>0</v>
      </c>
      <c r="CM152" s="647">
        <f t="shared" si="287"/>
        <v>67453.131713794559</v>
      </c>
      <c r="CN152" s="644">
        <f t="shared" si="362"/>
        <v>0</v>
      </c>
      <c r="CO152" s="645">
        <f t="shared" si="363"/>
        <v>67453.131713794559</v>
      </c>
      <c r="CP152" s="646">
        <f t="shared" si="364"/>
        <v>0</v>
      </c>
      <c r="CQ152" s="647">
        <f t="shared" si="288"/>
        <v>67453.131713794559</v>
      </c>
      <c r="CS152" s="644">
        <f t="shared" si="365"/>
        <v>66126.985621431202</v>
      </c>
      <c r="CT152" s="645">
        <f t="shared" si="259"/>
        <v>30666.803052224903</v>
      </c>
      <c r="CU152" s="644">
        <f t="shared" si="366"/>
        <v>0</v>
      </c>
      <c r="CV152" s="645">
        <f t="shared" si="367"/>
        <v>66126.985621431202</v>
      </c>
      <c r="CW152" s="646">
        <f t="shared" si="368"/>
        <v>-677.1777025762168</v>
      </c>
      <c r="CX152" s="647">
        <f t="shared" si="369"/>
        <v>65449.807918854982</v>
      </c>
      <c r="CY152" s="644">
        <f t="shared" si="289"/>
        <v>0</v>
      </c>
      <c r="CZ152" s="645">
        <f t="shared" si="290"/>
        <v>65449.807918854982</v>
      </c>
      <c r="DA152" s="646">
        <f t="shared" si="370"/>
        <v>-51.378336901091615</v>
      </c>
      <c r="DB152" s="647">
        <f t="shared" si="291"/>
        <v>65398.429581953889</v>
      </c>
      <c r="DC152" s="644">
        <f t="shared" si="371"/>
        <v>0</v>
      </c>
      <c r="DD152" s="645">
        <f t="shared" si="372"/>
        <v>65398.429581953889</v>
      </c>
      <c r="DE152" s="646">
        <f t="shared" si="373"/>
        <v>-4.4307416283531714E-2</v>
      </c>
      <c r="DF152" s="647">
        <f t="shared" si="292"/>
        <v>65398.385274537606</v>
      </c>
      <c r="DG152" s="644">
        <f t="shared" si="374"/>
        <v>0</v>
      </c>
      <c r="DH152" s="645">
        <f t="shared" si="375"/>
        <v>65398.385274537606</v>
      </c>
      <c r="DI152" s="646">
        <f t="shared" si="376"/>
        <v>0</v>
      </c>
      <c r="DJ152" s="647">
        <f t="shared" si="293"/>
        <v>65398.385274537606</v>
      </c>
      <c r="DK152" s="644">
        <f t="shared" si="377"/>
        <v>0</v>
      </c>
      <c r="DL152" s="645">
        <f t="shared" si="378"/>
        <v>65398.385274537606</v>
      </c>
      <c r="DM152" s="646">
        <f t="shared" si="379"/>
        <v>0</v>
      </c>
      <c r="DN152" s="647">
        <f t="shared" si="294"/>
        <v>65398.385274537606</v>
      </c>
      <c r="DR152" s="827">
        <f t="shared" si="295"/>
        <v>269891.31528603233</v>
      </c>
      <c r="DV152" s="828">
        <f>IFERROR(VLOOKUP($B152,'Afton FY16 Final'!$A$5:$BV$587,'Afton FY16 Final'!$BV$587,0),0)</f>
        <v>123545.14155677949</v>
      </c>
      <c r="DX152" s="636">
        <f t="shared" si="260"/>
        <v>269891.31528603233</v>
      </c>
      <c r="DY152" s="637">
        <f t="shared" si="261"/>
        <v>146346.17372925283</v>
      </c>
      <c r="DZ152" s="637">
        <f t="shared" si="262"/>
        <v>123545.14155677949</v>
      </c>
      <c r="EA152" s="643">
        <f t="shared" si="263"/>
        <v>255536.12209299966</v>
      </c>
      <c r="EB152" s="637">
        <f t="shared" si="296"/>
        <v>0</v>
      </c>
      <c r="EC152" s="637">
        <f t="shared" si="297"/>
        <v>255536.12209299966</v>
      </c>
      <c r="ED152" s="637">
        <f t="shared" si="298"/>
        <v>254774.12863439909</v>
      </c>
      <c r="EE152" s="643">
        <f t="shared" si="299"/>
        <v>254774.12863439909</v>
      </c>
      <c r="EF152" s="637">
        <f t="shared" si="300"/>
        <v>0</v>
      </c>
      <c r="EG152" s="637">
        <f t="shared" si="301"/>
        <v>254774.12863439909</v>
      </c>
      <c r="EH152" s="637">
        <f t="shared" si="302"/>
        <v>254773.86579387513</v>
      </c>
      <c r="EI152" s="643">
        <f t="shared" si="303"/>
        <v>254773.86579387513</v>
      </c>
      <c r="EJ152" s="637">
        <f t="shared" si="304"/>
        <v>0</v>
      </c>
      <c r="EK152" s="637">
        <f t="shared" si="305"/>
        <v>254773.86579387513</v>
      </c>
      <c r="EL152" s="637">
        <f t="shared" si="306"/>
        <v>254773.86579387475</v>
      </c>
      <c r="EM152" s="643">
        <f t="shared" si="307"/>
        <v>254773.86579387475</v>
      </c>
      <c r="EN152" s="637">
        <f t="shared" si="308"/>
        <v>0</v>
      </c>
      <c r="EO152" s="637">
        <f t="shared" si="309"/>
        <v>254773.86579387475</v>
      </c>
      <c r="EP152" s="637">
        <f t="shared" si="310"/>
        <v>254773.86579387513</v>
      </c>
      <c r="EQ152" s="643">
        <f t="shared" si="311"/>
        <v>254773.86579387513</v>
      </c>
      <c r="ER152" s="637">
        <f t="shared" si="312"/>
        <v>0</v>
      </c>
      <c r="ES152" s="637">
        <f t="shared" si="313"/>
        <v>254773.86579387513</v>
      </c>
      <c r="ET152" s="637">
        <f t="shared" si="314"/>
        <v>254773.86579387472</v>
      </c>
      <c r="EU152" s="643">
        <f t="shared" si="264"/>
        <v>254773.86579387472</v>
      </c>
      <c r="EV152" s="643">
        <f t="shared" si="265"/>
        <v>0</v>
      </c>
      <c r="EX152" s="829">
        <f t="shared" si="266"/>
        <v>15117.449492157612</v>
      </c>
      <c r="EY152" s="638">
        <f t="shared" si="267"/>
        <v>254773.86579387472</v>
      </c>
      <c r="FC152" s="830" t="str">
        <f t="shared" si="315"/>
        <v>Y</v>
      </c>
      <c r="FE152" s="830" t="str">
        <f>IFERROR(VLOOKUP($B152,'Historical Conc Grant Elig'!$B$3:$J$707,'HH &amp; SI'!FE$2,0),"N")</f>
        <v>N</v>
      </c>
      <c r="FF152" s="830" t="str">
        <f>IFERROR(VLOOKUP($B152,'Historical Conc Grant Elig'!$B$3:$J$707,'HH &amp; SI'!FF$2,0),"N")</f>
        <v>N</v>
      </c>
      <c r="FG152" s="830" t="str">
        <f>IFERROR(VLOOKUP($B152,'Historical Conc Grant Elig'!$B$3:$J$707,'HH &amp; SI'!FG$2,0),"N")</f>
        <v>N</v>
      </c>
      <c r="FH152" s="830" t="str">
        <f>IFERROR(VLOOKUP($B152,'Historical Conc Grant Elig'!$B$3:$J$707,'HH &amp; SI'!FH$2,0),"N")</f>
        <v>N</v>
      </c>
      <c r="FI152" s="830" t="str">
        <f>IFERROR(VLOOKUP($B152,'Historical Conc Grant Elig'!$B$3:$J$707,'HH &amp; SI'!FI$2,0),"N")</f>
        <v>Y</v>
      </c>
      <c r="FJ152" s="830" t="str">
        <f>IFERROR(VLOOKUP($B152,'Historical Conc Grant Elig'!$B$3:$J$707,'HH &amp; SI'!FJ$2,0),"N")</f>
        <v>Y</v>
      </c>
      <c r="FK152" s="830" t="str">
        <f>IFERROR(VLOOKUP($B152,'Historical Conc Grant Elig'!$B$3:$J$707,'HH &amp; SI'!FK$2,0),"N")</f>
        <v>Y</v>
      </c>
      <c r="FL152" s="957" t="str">
        <f>IFERROR(VLOOKUP($B152,'Historical Conc Grant Elig'!$B$3:$J$707,'HH &amp; SI'!FL$2,0),"N")</f>
        <v>Y</v>
      </c>
    </row>
    <row r="153" spans="2:168" x14ac:dyDescent="0.25">
      <c r="B153" s="634">
        <v>78245000</v>
      </c>
      <c r="C153" s="635" t="str">
        <f>VLOOKUP($B153,'Afton Update'!$A$5:$CR$582,'Afton Update'!D$589,0)</f>
        <v>Legacy Traditional Charter School - Casa Grande</v>
      </c>
      <c r="D153" s="636">
        <f>IFERROR(VLOOKUP($B153,'Afton FY16 Final'!$A$5:$BV$587,'Afton FY16 Final'!AQ$587,0),0)</f>
        <v>108520.97332877478</v>
      </c>
      <c r="E153" s="637">
        <f>IFERROR(VLOOKUP($B153,'Afton FY16 Final'!$A$5:$BV$587,'Afton FY16 Final'!AR$587,0),0)</f>
        <v>24051.472149284327</v>
      </c>
      <c r="F153" s="637">
        <f>IFERROR(VLOOKUP($B153,'Afton FY16 Final'!$A$5:$BV$587,'Afton FY16 Final'!AS$587,0),0)</f>
        <v>46217.936310583609</v>
      </c>
      <c r="G153" s="637">
        <f>IFERROR(VLOOKUP($B153,'Afton FY16 Final'!$A$5:$BV$587,'Afton FY16 Final'!AT$587,0),0)</f>
        <v>44530.663491731531</v>
      </c>
      <c r="H153" s="638">
        <f>IFERROR(VLOOKUP($B153,'Afton FY16 Final'!$A$5:$BV$587,'Afton FY16 Final'!AU$587,0),0)</f>
        <v>223321.04528037427</v>
      </c>
      <c r="I153" s="639" t="str">
        <f>VLOOKUP($B153,'Afton Update'!$A$5:$CR$582,'Afton Update'!BT$589,0)</f>
        <v>Y</v>
      </c>
      <c r="J153" s="640" t="str">
        <f>VLOOKUP($B153,'Afton Update'!$A$5:$CR$582,'Afton Update'!BU$589,0)</f>
        <v>Y</v>
      </c>
      <c r="K153" s="640" t="str">
        <f>VLOOKUP($B153,'Afton Update'!$A$5:$CR$582,'Afton Update'!BV$589,0)</f>
        <v>Y</v>
      </c>
      <c r="L153" s="641" t="str">
        <f>VLOOKUP($B153,'Afton Update'!$A$5:$CR$582,'Afton Update'!BW$589,0)</f>
        <v>Y</v>
      </c>
      <c r="N153" s="642">
        <f>VLOOKUP($B153,'Afton Update'!$A$5:$CR$582,'Afton Update'!CB$589,0)</f>
        <v>0.9</v>
      </c>
      <c r="P153" s="636">
        <f>VLOOKUP($B153,'Afton Update'!$A$5:$CR$582,'Afton Update'!AH$589,0)</f>
        <v>136388.60643694256</v>
      </c>
      <c r="Q153" s="637">
        <f>VLOOKUP($B153,'Afton Update'!$A$5:$CR$582,'Afton Update'!AI$589,0)</f>
        <v>34013.774615815826</v>
      </c>
      <c r="R153" s="637">
        <f>VLOOKUP($B153,'Afton Update'!$A$5:$CR$582,'Afton Update'!AJ$589,0)</f>
        <v>58121.414352283602</v>
      </c>
      <c r="S153" s="637">
        <f>VLOOKUP($B153,'Afton Update'!$A$5:$CR$582,'Afton Update'!AK$589,0)</f>
        <v>48045.951891689059</v>
      </c>
      <c r="T153" s="643">
        <f t="shared" si="268"/>
        <v>276569.74729673105</v>
      </c>
      <c r="V153" s="636">
        <f t="shared" si="316"/>
        <v>134528.17732025409</v>
      </c>
      <c r="W153" s="637">
        <f t="shared" si="317"/>
        <v>32893.485237571011</v>
      </c>
      <c r="X153" s="637">
        <f t="shared" si="318"/>
        <v>57592.822781397801</v>
      </c>
      <c r="Y153" s="637">
        <f t="shared" si="319"/>
        <v>47516.571988973934</v>
      </c>
      <c r="Z153" s="643">
        <f t="shared" si="320"/>
        <v>272531.05732819682</v>
      </c>
      <c r="AB153" s="644">
        <f t="shared" si="269"/>
        <v>136388.60643694256</v>
      </c>
      <c r="AC153" s="645">
        <f t="shared" si="257"/>
        <v>97668.87599589731</v>
      </c>
      <c r="AD153" s="644">
        <f t="shared" si="321"/>
        <v>0</v>
      </c>
      <c r="AE153" s="645">
        <f t="shared" si="322"/>
        <v>136388.60643694256</v>
      </c>
      <c r="AF153" s="646">
        <f t="shared" si="323"/>
        <v>-1690.6392700953188</v>
      </c>
      <c r="AG153" s="647">
        <f t="shared" si="324"/>
        <v>134697.96716684723</v>
      </c>
      <c r="AH153" s="644">
        <f t="shared" si="270"/>
        <v>0</v>
      </c>
      <c r="AI153" s="645">
        <f t="shared" si="271"/>
        <v>134697.96716684723</v>
      </c>
      <c r="AJ153" s="646">
        <f t="shared" si="325"/>
        <v>-169.68167400337626</v>
      </c>
      <c r="AK153" s="647">
        <f t="shared" si="272"/>
        <v>134528.28549284386</v>
      </c>
      <c r="AL153" s="644">
        <f t="shared" si="326"/>
        <v>0</v>
      </c>
      <c r="AM153" s="645">
        <f t="shared" si="327"/>
        <v>134528.28549284386</v>
      </c>
      <c r="AN153" s="646">
        <f t="shared" si="328"/>
        <v>-0.10817258976735403</v>
      </c>
      <c r="AO153" s="647">
        <f t="shared" si="273"/>
        <v>134528.17732025409</v>
      </c>
      <c r="AP153" s="644">
        <f t="shared" si="329"/>
        <v>0</v>
      </c>
      <c r="AQ153" s="645">
        <f t="shared" si="330"/>
        <v>134528.17732025409</v>
      </c>
      <c r="AR153" s="646">
        <f t="shared" si="331"/>
        <v>0</v>
      </c>
      <c r="AS153" s="647">
        <f t="shared" si="274"/>
        <v>134528.17732025409</v>
      </c>
      <c r="AT153" s="644">
        <f t="shared" si="332"/>
        <v>0</v>
      </c>
      <c r="AU153" s="645">
        <f t="shared" si="333"/>
        <v>134528.17732025409</v>
      </c>
      <c r="AV153" s="646">
        <f t="shared" si="334"/>
        <v>0</v>
      </c>
      <c r="AW153" s="647">
        <f t="shared" si="275"/>
        <v>134528.17732025409</v>
      </c>
      <c r="AY153" s="644">
        <f t="shared" si="335"/>
        <v>34013.774615815826</v>
      </c>
      <c r="AZ153" s="645">
        <f t="shared" si="276"/>
        <v>21646.324934355896</v>
      </c>
      <c r="BA153" s="644">
        <f t="shared" si="336"/>
        <v>0</v>
      </c>
      <c r="BB153" s="645">
        <f t="shared" si="337"/>
        <v>34013.774615815826</v>
      </c>
      <c r="BC153" s="646">
        <f t="shared" si="338"/>
        <v>-244.60296591177905</v>
      </c>
      <c r="BD153" s="647">
        <f t="shared" si="339"/>
        <v>33769.171649904049</v>
      </c>
      <c r="BE153" s="644">
        <f t="shared" si="277"/>
        <v>0</v>
      </c>
      <c r="BF153" s="645">
        <f t="shared" si="278"/>
        <v>33769.171649904049</v>
      </c>
      <c r="BG153" s="646">
        <f t="shared" si="340"/>
        <v>-804.35414881121494</v>
      </c>
      <c r="BH153" s="647">
        <f t="shared" si="279"/>
        <v>32964.817501092832</v>
      </c>
      <c r="BI153" s="644">
        <f t="shared" si="341"/>
        <v>0</v>
      </c>
      <c r="BJ153" s="645">
        <f t="shared" si="342"/>
        <v>32964.817501092832</v>
      </c>
      <c r="BK153" s="646">
        <f t="shared" si="343"/>
        <v>-69.827225980230338</v>
      </c>
      <c r="BL153" s="647">
        <f t="shared" si="280"/>
        <v>32894.990275112599</v>
      </c>
      <c r="BM153" s="644">
        <f t="shared" si="344"/>
        <v>0</v>
      </c>
      <c r="BN153" s="645">
        <f t="shared" si="345"/>
        <v>32894.990275112599</v>
      </c>
      <c r="BO153" s="646">
        <f t="shared" si="346"/>
        <v>-1.5050375415895474</v>
      </c>
      <c r="BP153" s="647">
        <f t="shared" si="281"/>
        <v>32893.485237571011</v>
      </c>
      <c r="BQ153" s="644">
        <f t="shared" si="347"/>
        <v>0</v>
      </c>
      <c r="BR153" s="645">
        <f t="shared" si="348"/>
        <v>32893.485237571011</v>
      </c>
      <c r="BS153" s="646">
        <f t="shared" si="349"/>
        <v>0</v>
      </c>
      <c r="BT153" s="647">
        <f t="shared" si="282"/>
        <v>32893.485237571011</v>
      </c>
      <c r="BU153" s="662">
        <f>VLOOKUP(B153,'Afton Update'!$A$5:$AR$582,'Afton Update'!$AO$589,0)-BT153</f>
        <v>0</v>
      </c>
      <c r="BV153" s="644">
        <f t="shared" si="350"/>
        <v>58121.414352283602</v>
      </c>
      <c r="BW153" s="645">
        <f t="shared" si="258"/>
        <v>41596.142679525248</v>
      </c>
      <c r="BX153" s="644">
        <f t="shared" si="351"/>
        <v>0</v>
      </c>
      <c r="BY153" s="645">
        <f t="shared" si="352"/>
        <v>58121.414352283602</v>
      </c>
      <c r="BZ153" s="646">
        <f t="shared" si="353"/>
        <v>-510.1378331697336</v>
      </c>
      <c r="CA153" s="647">
        <f t="shared" si="354"/>
        <v>57611.276519113868</v>
      </c>
      <c r="CB153" s="644">
        <f t="shared" si="283"/>
        <v>0</v>
      </c>
      <c r="CC153" s="645">
        <f t="shared" si="284"/>
        <v>57611.276519113868</v>
      </c>
      <c r="CD153" s="646">
        <f t="shared" si="355"/>
        <v>-18.453737716070034</v>
      </c>
      <c r="CE153" s="647">
        <f t="shared" si="285"/>
        <v>57592.822781397801</v>
      </c>
      <c r="CF153" s="644">
        <f t="shared" si="356"/>
        <v>0</v>
      </c>
      <c r="CG153" s="645">
        <f t="shared" si="357"/>
        <v>57592.822781397801</v>
      </c>
      <c r="CH153" s="646">
        <f t="shared" si="358"/>
        <v>0</v>
      </c>
      <c r="CI153" s="647">
        <f t="shared" si="286"/>
        <v>57592.822781397801</v>
      </c>
      <c r="CJ153" s="644">
        <f t="shared" si="359"/>
        <v>0</v>
      </c>
      <c r="CK153" s="645">
        <f t="shared" si="360"/>
        <v>57592.822781397801</v>
      </c>
      <c r="CL153" s="646">
        <f t="shared" si="361"/>
        <v>0</v>
      </c>
      <c r="CM153" s="647">
        <f t="shared" si="287"/>
        <v>57592.822781397801</v>
      </c>
      <c r="CN153" s="644">
        <f t="shared" si="362"/>
        <v>0</v>
      </c>
      <c r="CO153" s="645">
        <f t="shared" si="363"/>
        <v>57592.822781397801</v>
      </c>
      <c r="CP153" s="646">
        <f t="shared" si="364"/>
        <v>0</v>
      </c>
      <c r="CQ153" s="647">
        <f t="shared" si="288"/>
        <v>57592.822781397801</v>
      </c>
      <c r="CS153" s="644">
        <f t="shared" si="365"/>
        <v>48045.951891689059</v>
      </c>
      <c r="CT153" s="645">
        <f t="shared" si="259"/>
        <v>40077.597142558378</v>
      </c>
      <c r="CU153" s="644">
        <f t="shared" si="366"/>
        <v>0</v>
      </c>
      <c r="CV153" s="645">
        <f t="shared" si="367"/>
        <v>48045.951891689059</v>
      </c>
      <c r="CW153" s="646">
        <f t="shared" si="368"/>
        <v>-492.01769919415329</v>
      </c>
      <c r="CX153" s="647">
        <f t="shared" si="369"/>
        <v>47553.934192494904</v>
      </c>
      <c r="CY153" s="644">
        <f t="shared" si="289"/>
        <v>0</v>
      </c>
      <c r="CZ153" s="645">
        <f t="shared" si="290"/>
        <v>47553.934192494904</v>
      </c>
      <c r="DA153" s="646">
        <f t="shared" si="370"/>
        <v>-37.330011035990935</v>
      </c>
      <c r="DB153" s="647">
        <f t="shared" si="291"/>
        <v>47516.604181458912</v>
      </c>
      <c r="DC153" s="644">
        <f t="shared" si="371"/>
        <v>0</v>
      </c>
      <c r="DD153" s="645">
        <f t="shared" si="372"/>
        <v>47516.604181458912</v>
      </c>
      <c r="DE153" s="646">
        <f t="shared" si="373"/>
        <v>-3.2192484977172191E-2</v>
      </c>
      <c r="DF153" s="647">
        <f t="shared" si="292"/>
        <v>47516.571988973934</v>
      </c>
      <c r="DG153" s="644">
        <f t="shared" si="374"/>
        <v>0</v>
      </c>
      <c r="DH153" s="645">
        <f t="shared" si="375"/>
        <v>47516.571988973934</v>
      </c>
      <c r="DI153" s="646">
        <f t="shared" si="376"/>
        <v>0</v>
      </c>
      <c r="DJ153" s="647">
        <f t="shared" si="293"/>
        <v>47516.571988973934</v>
      </c>
      <c r="DK153" s="644">
        <f t="shared" si="377"/>
        <v>0</v>
      </c>
      <c r="DL153" s="645">
        <f t="shared" si="378"/>
        <v>47516.571988973934</v>
      </c>
      <c r="DM153" s="646">
        <f t="shared" si="379"/>
        <v>0</v>
      </c>
      <c r="DN153" s="647">
        <f t="shared" si="294"/>
        <v>47516.571988973934</v>
      </c>
      <c r="DR153" s="827">
        <f t="shared" si="295"/>
        <v>272531.05732819682</v>
      </c>
      <c r="DV153" s="828">
        <f>IFERROR(VLOOKUP($B153,'Afton FY16 Final'!$A$5:$BV$587,'Afton FY16 Final'!$BV$587,0),0)</f>
        <v>199950.25525323549</v>
      </c>
      <c r="DX153" s="636">
        <f t="shared" si="260"/>
        <v>272531.05732819682</v>
      </c>
      <c r="DY153" s="637">
        <f t="shared" si="261"/>
        <v>72580.802074961335</v>
      </c>
      <c r="DZ153" s="637">
        <f t="shared" si="262"/>
        <v>199950.25525323549</v>
      </c>
      <c r="EA153" s="643">
        <f t="shared" si="263"/>
        <v>258035.45944316848</v>
      </c>
      <c r="EB153" s="637">
        <f t="shared" si="296"/>
        <v>0</v>
      </c>
      <c r="EC153" s="637">
        <f t="shared" si="297"/>
        <v>258035.45944316848</v>
      </c>
      <c r="ED153" s="637">
        <f t="shared" si="298"/>
        <v>257266.01310981947</v>
      </c>
      <c r="EE153" s="643">
        <f t="shared" si="299"/>
        <v>257266.01310981947</v>
      </c>
      <c r="EF153" s="637">
        <f t="shared" si="300"/>
        <v>0</v>
      </c>
      <c r="EG153" s="637">
        <f t="shared" si="301"/>
        <v>257266.01310981947</v>
      </c>
      <c r="EH153" s="637">
        <f t="shared" si="302"/>
        <v>257265.7476985156</v>
      </c>
      <c r="EI153" s="643">
        <f t="shared" si="303"/>
        <v>257265.7476985156</v>
      </c>
      <c r="EJ153" s="637">
        <f t="shared" si="304"/>
        <v>0</v>
      </c>
      <c r="EK153" s="637">
        <f t="shared" si="305"/>
        <v>257265.7476985156</v>
      </c>
      <c r="EL153" s="637">
        <f t="shared" si="306"/>
        <v>257265.74769851525</v>
      </c>
      <c r="EM153" s="643">
        <f t="shared" si="307"/>
        <v>257265.74769851525</v>
      </c>
      <c r="EN153" s="637">
        <f t="shared" si="308"/>
        <v>0</v>
      </c>
      <c r="EO153" s="637">
        <f t="shared" si="309"/>
        <v>257265.74769851525</v>
      </c>
      <c r="EP153" s="637">
        <f t="shared" si="310"/>
        <v>257265.74769851565</v>
      </c>
      <c r="EQ153" s="643">
        <f t="shared" si="311"/>
        <v>257265.74769851565</v>
      </c>
      <c r="ER153" s="637">
        <f t="shared" si="312"/>
        <v>0</v>
      </c>
      <c r="ES153" s="637">
        <f t="shared" si="313"/>
        <v>257265.74769851565</v>
      </c>
      <c r="ET153" s="637">
        <f t="shared" si="314"/>
        <v>257265.74769851525</v>
      </c>
      <c r="EU153" s="643">
        <f t="shared" si="264"/>
        <v>257265.74769851525</v>
      </c>
      <c r="EV153" s="643">
        <f t="shared" si="265"/>
        <v>0</v>
      </c>
      <c r="EX153" s="829">
        <f t="shared" si="266"/>
        <v>15265.309629681578</v>
      </c>
      <c r="EY153" s="638">
        <f t="shared" si="267"/>
        <v>257265.74769851525</v>
      </c>
      <c r="FC153" s="830" t="str">
        <f t="shared" si="315"/>
        <v>Y</v>
      </c>
      <c r="FE153" s="830" t="str">
        <f>IFERROR(VLOOKUP($B153,'Historical Conc Grant Elig'!$B$3:$J$707,'HH &amp; SI'!FE$2,0),"N")</f>
        <v>N</v>
      </c>
      <c r="FF153" s="830" t="str">
        <f>IFERROR(VLOOKUP($B153,'Historical Conc Grant Elig'!$B$3:$J$707,'HH &amp; SI'!FF$2,0),"N")</f>
        <v>N</v>
      </c>
      <c r="FG153" s="830" t="str">
        <f>IFERROR(VLOOKUP($B153,'Historical Conc Grant Elig'!$B$3:$J$707,'HH &amp; SI'!FG$2,0),"N")</f>
        <v>N</v>
      </c>
      <c r="FH153" s="830" t="str">
        <f>IFERROR(VLOOKUP($B153,'Historical Conc Grant Elig'!$B$3:$J$707,'HH &amp; SI'!FH$2,0),"N")</f>
        <v>N</v>
      </c>
      <c r="FI153" s="830" t="str">
        <f>IFERROR(VLOOKUP($B153,'Historical Conc Grant Elig'!$B$3:$J$707,'HH &amp; SI'!FI$2,0),"N")</f>
        <v>Y</v>
      </c>
      <c r="FJ153" s="830" t="str">
        <f>IFERROR(VLOOKUP($B153,'Historical Conc Grant Elig'!$B$3:$J$707,'HH &amp; SI'!FJ$2,0),"N")</f>
        <v>Y</v>
      </c>
      <c r="FK153" s="830" t="str">
        <f>IFERROR(VLOOKUP($B153,'Historical Conc Grant Elig'!$B$3:$J$707,'HH &amp; SI'!FK$2,0),"N")</f>
        <v>Y</v>
      </c>
      <c r="FL153" s="957" t="str">
        <f>IFERROR(VLOOKUP($B153,'Historical Conc Grant Elig'!$B$3:$J$707,'HH &amp; SI'!FL$2,0),"N")</f>
        <v>Y</v>
      </c>
    </row>
    <row r="154" spans="2:168" x14ac:dyDescent="0.25">
      <c r="B154" s="634">
        <v>78246000</v>
      </c>
      <c r="C154" s="635" t="str">
        <f>VLOOKUP($B154,'Afton Update'!$A$5:$CR$582,'Afton Update'!D$589,0)</f>
        <v>Edkey, Inc. - Pathway Academy</v>
      </c>
      <c r="D154" s="636">
        <f>IFERROR(VLOOKUP($B154,'Afton FY16 Final'!$A$5:$BV$587,'Afton FY16 Final'!AQ$587,0),0)</f>
        <v>120238.57287236574</v>
      </c>
      <c r="E154" s="637">
        <f>IFERROR(VLOOKUP($B154,'Afton FY16 Final'!$A$5:$BV$587,'Afton FY16 Final'!AR$587,0),0)</f>
        <v>26320.674921600756</v>
      </c>
      <c r="F154" s="637">
        <f>IFERROR(VLOOKUP($B154,'Afton FY16 Final'!$A$5:$BV$587,'Afton FY16 Final'!AS$587,0),0)</f>
        <v>65254.885886059179</v>
      </c>
      <c r="G154" s="637">
        <f>IFERROR(VLOOKUP($B154,'Afton FY16 Final'!$A$5:$BV$587,'Afton FY16 Final'!AT$587,0),0)</f>
        <v>54791.810456155137</v>
      </c>
      <c r="H154" s="638">
        <f>IFERROR(VLOOKUP($B154,'Afton FY16 Final'!$A$5:$BV$587,'Afton FY16 Final'!AU$587,0),0)</f>
        <v>266605.9441361808</v>
      </c>
      <c r="I154" s="639" t="str">
        <f>VLOOKUP($B154,'Afton Update'!$A$5:$CR$582,'Afton Update'!BT$589,0)</f>
        <v>Y</v>
      </c>
      <c r="J154" s="640" t="str">
        <f>VLOOKUP($B154,'Afton Update'!$A$5:$CR$582,'Afton Update'!BU$589,0)</f>
        <v>Y</v>
      </c>
      <c r="K154" s="640" t="str">
        <f>VLOOKUP($B154,'Afton Update'!$A$5:$CR$582,'Afton Update'!BV$589,0)</f>
        <v>Y</v>
      </c>
      <c r="L154" s="641" t="str">
        <f>VLOOKUP($B154,'Afton Update'!$A$5:$CR$582,'Afton Update'!BW$589,0)</f>
        <v>Y</v>
      </c>
      <c r="N154" s="642">
        <f>VLOOKUP($B154,'Afton Update'!$A$5:$CR$582,'Afton Update'!CB$589,0)</f>
        <v>0.9</v>
      </c>
      <c r="P154" s="636">
        <f>VLOOKUP($B154,'Afton Update'!$A$5:$CR$582,'Afton Update'!AH$589,0)</f>
        <v>124607.38084204323</v>
      </c>
      <c r="Q154" s="637">
        <f>VLOOKUP($B154,'Afton Update'!$A$5:$CR$582,'Afton Update'!AI$589,0)</f>
        <v>27899.427356035427</v>
      </c>
      <c r="R154" s="637">
        <f>VLOOKUP($B154,'Afton Update'!$A$5:$CR$582,'Afton Update'!AJ$589,0)</f>
        <v>72953.304194372759</v>
      </c>
      <c r="S154" s="637">
        <f>VLOOKUP($B154,'Afton Update'!$A$5:$CR$582,'Afton Update'!AK$589,0)</f>
        <v>67909.943094804694</v>
      </c>
      <c r="T154" s="643">
        <f t="shared" si="268"/>
        <v>293370.05548725609</v>
      </c>
      <c r="V154" s="636">
        <f t="shared" si="316"/>
        <v>122907.65528923465</v>
      </c>
      <c r="W154" s="637">
        <f t="shared" si="317"/>
        <v>26980.522221891741</v>
      </c>
      <c r="X154" s="637">
        <f t="shared" si="318"/>
        <v>72289.822376265583</v>
      </c>
      <c r="Y154" s="637">
        <f t="shared" si="319"/>
        <v>67161.697766041922</v>
      </c>
      <c r="Z154" s="643">
        <f t="shared" si="320"/>
        <v>289339.69765343389</v>
      </c>
      <c r="AB154" s="644">
        <f t="shared" si="269"/>
        <v>124607.38084204323</v>
      </c>
      <c r="AC154" s="645">
        <f t="shared" si="257"/>
        <v>108214.71558512916</v>
      </c>
      <c r="AD154" s="644">
        <f t="shared" si="321"/>
        <v>0</v>
      </c>
      <c r="AE154" s="645">
        <f t="shared" si="322"/>
        <v>124607.38084204323</v>
      </c>
      <c r="AF154" s="646">
        <f t="shared" si="323"/>
        <v>-1544.6021254911791</v>
      </c>
      <c r="AG154" s="647">
        <f t="shared" si="324"/>
        <v>123062.77871655206</v>
      </c>
      <c r="AH154" s="644">
        <f t="shared" si="270"/>
        <v>0</v>
      </c>
      <c r="AI154" s="645">
        <f t="shared" si="271"/>
        <v>123062.77871655206</v>
      </c>
      <c r="AJ154" s="646">
        <f t="shared" si="325"/>
        <v>-155.02459865831671</v>
      </c>
      <c r="AK154" s="647">
        <f t="shared" si="272"/>
        <v>122907.75411789374</v>
      </c>
      <c r="AL154" s="644">
        <f t="shared" si="326"/>
        <v>0</v>
      </c>
      <c r="AM154" s="645">
        <f t="shared" si="327"/>
        <v>122907.75411789374</v>
      </c>
      <c r="AN154" s="646">
        <f t="shared" si="328"/>
        <v>-9.8828659093622123E-2</v>
      </c>
      <c r="AO154" s="647">
        <f t="shared" si="273"/>
        <v>122907.65528923465</v>
      </c>
      <c r="AP154" s="644">
        <f t="shared" si="329"/>
        <v>0</v>
      </c>
      <c r="AQ154" s="645">
        <f t="shared" si="330"/>
        <v>122907.65528923465</v>
      </c>
      <c r="AR154" s="646">
        <f t="shared" si="331"/>
        <v>0</v>
      </c>
      <c r="AS154" s="647">
        <f t="shared" si="274"/>
        <v>122907.65528923465</v>
      </c>
      <c r="AT154" s="644">
        <f t="shared" si="332"/>
        <v>0</v>
      </c>
      <c r="AU154" s="645">
        <f t="shared" si="333"/>
        <v>122907.65528923465</v>
      </c>
      <c r="AV154" s="646">
        <f t="shared" si="334"/>
        <v>0</v>
      </c>
      <c r="AW154" s="647">
        <f t="shared" si="275"/>
        <v>122907.65528923465</v>
      </c>
      <c r="AY154" s="644">
        <f t="shared" si="335"/>
        <v>27899.427356035427</v>
      </c>
      <c r="AZ154" s="645">
        <f t="shared" si="276"/>
        <v>23688.607429440679</v>
      </c>
      <c r="BA154" s="644">
        <f t="shared" si="336"/>
        <v>0</v>
      </c>
      <c r="BB154" s="645">
        <f t="shared" si="337"/>
        <v>27899.427356035427</v>
      </c>
      <c r="BC154" s="646">
        <f t="shared" si="338"/>
        <v>-200.63291285975987</v>
      </c>
      <c r="BD154" s="647">
        <f t="shared" si="339"/>
        <v>27698.794443175666</v>
      </c>
      <c r="BE154" s="644">
        <f t="shared" si="277"/>
        <v>0</v>
      </c>
      <c r="BF154" s="645">
        <f t="shared" si="278"/>
        <v>27698.794443175666</v>
      </c>
      <c r="BG154" s="646">
        <f t="shared" si="340"/>
        <v>-659.76271074747194</v>
      </c>
      <c r="BH154" s="647">
        <f t="shared" si="279"/>
        <v>27039.031732428193</v>
      </c>
      <c r="BI154" s="644">
        <f t="shared" si="341"/>
        <v>0</v>
      </c>
      <c r="BJ154" s="645">
        <f t="shared" si="342"/>
        <v>27039.031732428193</v>
      </c>
      <c r="BK154" s="646">
        <f t="shared" si="343"/>
        <v>-57.275019920989713</v>
      </c>
      <c r="BL154" s="647">
        <f t="shared" si="280"/>
        <v>26981.756712507202</v>
      </c>
      <c r="BM154" s="644">
        <f t="shared" si="344"/>
        <v>0</v>
      </c>
      <c r="BN154" s="645">
        <f t="shared" si="345"/>
        <v>26981.756712507202</v>
      </c>
      <c r="BO154" s="646">
        <f t="shared" si="346"/>
        <v>-1.2344906154625732</v>
      </c>
      <c r="BP154" s="647">
        <f t="shared" si="281"/>
        <v>26980.522221891741</v>
      </c>
      <c r="BQ154" s="644">
        <f t="shared" si="347"/>
        <v>0</v>
      </c>
      <c r="BR154" s="645">
        <f t="shared" si="348"/>
        <v>26980.522221891741</v>
      </c>
      <c r="BS154" s="646">
        <f t="shared" si="349"/>
        <v>0</v>
      </c>
      <c r="BT154" s="647">
        <f t="shared" si="282"/>
        <v>26980.522221891741</v>
      </c>
      <c r="BU154" s="662">
        <f>VLOOKUP(B154,'Afton Update'!$A$5:$AR$582,'Afton Update'!$AO$589,0)-BT154</f>
        <v>0</v>
      </c>
      <c r="BV154" s="644">
        <f t="shared" si="350"/>
        <v>72953.304194372759</v>
      </c>
      <c r="BW154" s="645">
        <f t="shared" si="258"/>
        <v>58729.397297453259</v>
      </c>
      <c r="BX154" s="644">
        <f t="shared" si="351"/>
        <v>0</v>
      </c>
      <c r="BY154" s="645">
        <f t="shared" si="352"/>
        <v>72953.304194372759</v>
      </c>
      <c r="BZ154" s="646">
        <f t="shared" si="353"/>
        <v>-640.31890722266155</v>
      </c>
      <c r="CA154" s="647">
        <f t="shared" si="354"/>
        <v>72312.985287150092</v>
      </c>
      <c r="CB154" s="644">
        <f t="shared" si="283"/>
        <v>0</v>
      </c>
      <c r="CC154" s="645">
        <f t="shared" si="284"/>
        <v>72312.985287150092</v>
      </c>
      <c r="CD154" s="646">
        <f t="shared" si="355"/>
        <v>-23.162910884510019</v>
      </c>
      <c r="CE154" s="647">
        <f t="shared" si="285"/>
        <v>72289.822376265583</v>
      </c>
      <c r="CF154" s="644">
        <f t="shared" si="356"/>
        <v>0</v>
      </c>
      <c r="CG154" s="645">
        <f t="shared" si="357"/>
        <v>72289.822376265583</v>
      </c>
      <c r="CH154" s="646">
        <f t="shared" si="358"/>
        <v>0</v>
      </c>
      <c r="CI154" s="647">
        <f t="shared" si="286"/>
        <v>72289.822376265583</v>
      </c>
      <c r="CJ154" s="644">
        <f t="shared" si="359"/>
        <v>0</v>
      </c>
      <c r="CK154" s="645">
        <f t="shared" si="360"/>
        <v>72289.822376265583</v>
      </c>
      <c r="CL154" s="646">
        <f t="shared" si="361"/>
        <v>0</v>
      </c>
      <c r="CM154" s="647">
        <f t="shared" si="287"/>
        <v>72289.822376265583</v>
      </c>
      <c r="CN154" s="644">
        <f t="shared" si="362"/>
        <v>0</v>
      </c>
      <c r="CO154" s="645">
        <f t="shared" si="363"/>
        <v>72289.822376265583</v>
      </c>
      <c r="CP154" s="646">
        <f t="shared" si="364"/>
        <v>0</v>
      </c>
      <c r="CQ154" s="647">
        <f t="shared" si="288"/>
        <v>72289.822376265583</v>
      </c>
      <c r="CS154" s="644">
        <f t="shared" si="365"/>
        <v>67909.943094804694</v>
      </c>
      <c r="CT154" s="645">
        <f t="shared" si="259"/>
        <v>49312.629410539623</v>
      </c>
      <c r="CU154" s="644">
        <f t="shared" si="366"/>
        <v>0</v>
      </c>
      <c r="CV154" s="645">
        <f t="shared" si="367"/>
        <v>67909.943094804694</v>
      </c>
      <c r="CW154" s="646">
        <f t="shared" si="368"/>
        <v>-695.43619469201133</v>
      </c>
      <c r="CX154" s="647">
        <f t="shared" si="369"/>
        <v>67214.506900112683</v>
      </c>
      <c r="CY154" s="644">
        <f t="shared" si="289"/>
        <v>0</v>
      </c>
      <c r="CZ154" s="645">
        <f t="shared" si="290"/>
        <v>67214.506900112683</v>
      </c>
      <c r="DA154" s="646">
        <f t="shared" si="370"/>
        <v>-52.763632009986075</v>
      </c>
      <c r="DB154" s="647">
        <f t="shared" si="291"/>
        <v>67161.743268102698</v>
      </c>
      <c r="DC154" s="644">
        <f t="shared" si="371"/>
        <v>0</v>
      </c>
      <c r="DD154" s="645">
        <f t="shared" si="372"/>
        <v>67161.743268102698</v>
      </c>
      <c r="DE154" s="646">
        <f t="shared" si="373"/>
        <v>-4.5502060773163357E-2</v>
      </c>
      <c r="DF154" s="647">
        <f t="shared" si="292"/>
        <v>67161.697766041922</v>
      </c>
      <c r="DG154" s="644">
        <f t="shared" si="374"/>
        <v>0</v>
      </c>
      <c r="DH154" s="645">
        <f t="shared" si="375"/>
        <v>67161.697766041922</v>
      </c>
      <c r="DI154" s="646">
        <f t="shared" si="376"/>
        <v>0</v>
      </c>
      <c r="DJ154" s="647">
        <f t="shared" si="293"/>
        <v>67161.697766041922</v>
      </c>
      <c r="DK154" s="644">
        <f t="shared" si="377"/>
        <v>0</v>
      </c>
      <c r="DL154" s="645">
        <f t="shared" si="378"/>
        <v>67161.697766041922</v>
      </c>
      <c r="DM154" s="646">
        <f t="shared" si="379"/>
        <v>0</v>
      </c>
      <c r="DN154" s="647">
        <f t="shared" si="294"/>
        <v>67161.697766041922</v>
      </c>
      <c r="DR154" s="827">
        <f t="shared" si="295"/>
        <v>289339.69765343389</v>
      </c>
      <c r="DV154" s="828">
        <f>IFERROR(VLOOKUP($B154,'Afton FY16 Final'!$A$5:$BV$587,'Afton FY16 Final'!$BV$587,0),0)</f>
        <v>236700.85650564585</v>
      </c>
      <c r="DX154" s="636">
        <f t="shared" si="260"/>
        <v>289339.69765343389</v>
      </c>
      <c r="DY154" s="637">
        <f t="shared" si="261"/>
        <v>52638.841147788044</v>
      </c>
      <c r="DZ154" s="637">
        <f t="shared" si="262"/>
        <v>236700.85650564585</v>
      </c>
      <c r="EA154" s="643">
        <f t="shared" si="263"/>
        <v>273950.06848427455</v>
      </c>
      <c r="EB154" s="637">
        <f t="shared" si="296"/>
        <v>0</v>
      </c>
      <c r="EC154" s="637">
        <f t="shared" si="297"/>
        <v>273950.06848427455</v>
      </c>
      <c r="ED154" s="637">
        <f t="shared" si="298"/>
        <v>273133.16573699011</v>
      </c>
      <c r="EE154" s="643">
        <f t="shared" si="299"/>
        <v>273133.16573699011</v>
      </c>
      <c r="EF154" s="637">
        <f t="shared" si="300"/>
        <v>0</v>
      </c>
      <c r="EG154" s="637">
        <f t="shared" si="301"/>
        <v>273133.16573699011</v>
      </c>
      <c r="EH154" s="637">
        <f t="shared" si="302"/>
        <v>273132.88395616418</v>
      </c>
      <c r="EI154" s="643">
        <f t="shared" si="303"/>
        <v>273132.88395616418</v>
      </c>
      <c r="EJ154" s="637">
        <f t="shared" si="304"/>
        <v>0</v>
      </c>
      <c r="EK154" s="637">
        <f t="shared" si="305"/>
        <v>273132.88395616418</v>
      </c>
      <c r="EL154" s="637">
        <f t="shared" si="306"/>
        <v>273132.88395616377</v>
      </c>
      <c r="EM154" s="643">
        <f t="shared" si="307"/>
        <v>273132.88395616377</v>
      </c>
      <c r="EN154" s="637">
        <f t="shared" si="308"/>
        <v>0</v>
      </c>
      <c r="EO154" s="637">
        <f t="shared" si="309"/>
        <v>273132.88395616377</v>
      </c>
      <c r="EP154" s="637">
        <f t="shared" si="310"/>
        <v>273132.88395616418</v>
      </c>
      <c r="EQ154" s="643">
        <f t="shared" si="311"/>
        <v>273132.88395616418</v>
      </c>
      <c r="ER154" s="637">
        <f t="shared" si="312"/>
        <v>0</v>
      </c>
      <c r="ES154" s="637">
        <f t="shared" si="313"/>
        <v>273132.88395616418</v>
      </c>
      <c r="ET154" s="637">
        <f t="shared" si="314"/>
        <v>273132.88395616377</v>
      </c>
      <c r="EU154" s="643">
        <f t="shared" si="264"/>
        <v>273132.88395616377</v>
      </c>
      <c r="EV154" s="643">
        <f t="shared" si="265"/>
        <v>0</v>
      </c>
      <c r="EX154" s="829">
        <f t="shared" si="266"/>
        <v>16206.813697270118</v>
      </c>
      <c r="EY154" s="638">
        <f t="shared" si="267"/>
        <v>273132.88395616377</v>
      </c>
      <c r="FC154" s="830" t="str">
        <f t="shared" si="315"/>
        <v>Y</v>
      </c>
      <c r="FE154" s="830" t="str">
        <f>IFERROR(VLOOKUP($B154,'Historical Conc Grant Elig'!$B$3:$J$707,'HH &amp; SI'!FE$2,0),"N")</f>
        <v>N</v>
      </c>
      <c r="FF154" s="830" t="str">
        <f>IFERROR(VLOOKUP($B154,'Historical Conc Grant Elig'!$B$3:$J$707,'HH &amp; SI'!FF$2,0),"N")</f>
        <v>N</v>
      </c>
      <c r="FG154" s="830" t="str">
        <f>IFERROR(VLOOKUP($B154,'Historical Conc Grant Elig'!$B$3:$J$707,'HH &amp; SI'!FG$2,0),"N")</f>
        <v>N</v>
      </c>
      <c r="FH154" s="830" t="str">
        <f>IFERROR(VLOOKUP($B154,'Historical Conc Grant Elig'!$B$3:$J$707,'HH &amp; SI'!FH$2,0),"N")</f>
        <v>N</v>
      </c>
      <c r="FI154" s="830" t="str">
        <f>IFERROR(VLOOKUP($B154,'Historical Conc Grant Elig'!$B$3:$J$707,'HH &amp; SI'!FI$2,0),"N")</f>
        <v>Y</v>
      </c>
      <c r="FJ154" s="830" t="str">
        <f>IFERROR(VLOOKUP($B154,'Historical Conc Grant Elig'!$B$3:$J$707,'HH &amp; SI'!FJ$2,0),"N")</f>
        <v>Y</v>
      </c>
      <c r="FK154" s="830" t="str">
        <f>IFERROR(VLOOKUP($B154,'Historical Conc Grant Elig'!$B$3:$J$707,'HH &amp; SI'!FK$2,0),"N")</f>
        <v>Y</v>
      </c>
      <c r="FL154" s="957" t="str">
        <f>IFERROR(VLOOKUP($B154,'Historical Conc Grant Elig'!$B$3:$J$707,'HH &amp; SI'!FL$2,0),"N")</f>
        <v>Y</v>
      </c>
    </row>
    <row r="155" spans="2:168" x14ac:dyDescent="0.25">
      <c r="B155" s="634">
        <v>78250000</v>
      </c>
      <c r="C155" s="635" t="str">
        <f>VLOOKUP($B155,'Afton Update'!$A$5:$CR$582,'Afton Update'!D$589,0)</f>
        <v>ASU Preparatory Academy</v>
      </c>
      <c r="D155" s="636">
        <f>IFERROR(VLOOKUP($B155,'Afton FY16 Final'!$A$5:$BV$587,'Afton FY16 Final'!AQ$587,0),0)</f>
        <v>59575.196407148804</v>
      </c>
      <c r="E155" s="637">
        <f>IFERROR(VLOOKUP($B155,'Afton FY16 Final'!$A$5:$BV$587,'Afton FY16 Final'!AR$587,0),0)</f>
        <v>13081.193952955964</v>
      </c>
      <c r="F155" s="637">
        <f>IFERROR(VLOOKUP($B155,'Afton FY16 Final'!$A$5:$BV$587,'Afton FY16 Final'!AS$587,0),0)</f>
        <v>31587.639563951267</v>
      </c>
      <c r="G155" s="637">
        <f>IFERROR(VLOOKUP($B155,'Afton FY16 Final'!$A$5:$BV$587,'Afton FY16 Final'!AT$587,0),0)</f>
        <v>30434.473284743184</v>
      </c>
      <c r="H155" s="638">
        <f>IFERROR(VLOOKUP($B155,'Afton FY16 Final'!$A$5:$BV$587,'Afton FY16 Final'!AU$587,0),0)</f>
        <v>134678.5032087992</v>
      </c>
      <c r="I155" s="639" t="str">
        <f>VLOOKUP($B155,'Afton Update'!$A$5:$CR$582,'Afton Update'!BT$589,0)</f>
        <v>Y</v>
      </c>
      <c r="J155" s="640" t="str">
        <f>VLOOKUP($B155,'Afton Update'!$A$5:$CR$582,'Afton Update'!BU$589,0)</f>
        <v>Y</v>
      </c>
      <c r="K155" s="640" t="str">
        <f>VLOOKUP($B155,'Afton Update'!$A$5:$CR$582,'Afton Update'!BV$589,0)</f>
        <v>Y</v>
      </c>
      <c r="L155" s="641" t="str">
        <f>VLOOKUP($B155,'Afton Update'!$A$5:$CR$582,'Afton Update'!BW$589,0)</f>
        <v>Y</v>
      </c>
      <c r="N155" s="642">
        <f>VLOOKUP($B155,'Afton Update'!$A$5:$CR$582,'Afton Update'!CB$589,0)</f>
        <v>0.95</v>
      </c>
      <c r="P155" s="636">
        <f>VLOOKUP($B155,'Afton Update'!$A$5:$CR$582,'Afton Update'!AH$589,0)</f>
        <v>61944.935965622266</v>
      </c>
      <c r="Q155" s="637">
        <f>VLOOKUP($B155,'Afton Update'!$A$5:$CR$582,'Afton Update'!AI$589,0)</f>
        <v>14940.934524980465</v>
      </c>
      <c r="R155" s="637">
        <f>VLOOKUP($B155,'Afton Update'!$A$5:$CR$582,'Afton Update'!AJ$589,0)</f>
        <v>36279.357073685715</v>
      </c>
      <c r="S155" s="637">
        <f>VLOOKUP($B155,'Afton Update'!$A$5:$CR$582,'Afton Update'!AK$589,0)</f>
        <v>33771.315797100491</v>
      </c>
      <c r="T155" s="643">
        <f t="shared" si="268"/>
        <v>146936.54336138893</v>
      </c>
      <c r="V155" s="636">
        <f t="shared" si="316"/>
        <v>61099.966832844097</v>
      </c>
      <c r="W155" s="637">
        <f t="shared" si="317"/>
        <v>14448.834767207509</v>
      </c>
      <c r="X155" s="637">
        <f t="shared" si="318"/>
        <v>35949.410485839937</v>
      </c>
      <c r="Y155" s="637">
        <f t="shared" si="319"/>
        <v>33399.216688490189</v>
      </c>
      <c r="Z155" s="643">
        <f t="shared" si="320"/>
        <v>144897.42877438173</v>
      </c>
      <c r="AB155" s="644">
        <f t="shared" si="269"/>
        <v>61944.935965622266</v>
      </c>
      <c r="AC155" s="645">
        <f t="shared" si="257"/>
        <v>56596.436586791358</v>
      </c>
      <c r="AD155" s="644">
        <f t="shared" si="321"/>
        <v>0</v>
      </c>
      <c r="AE155" s="645">
        <f t="shared" si="322"/>
        <v>61944.935965622266</v>
      </c>
      <c r="AF155" s="646">
        <f t="shared" si="323"/>
        <v>-767.85403167411789</v>
      </c>
      <c r="AG155" s="647">
        <f t="shared" si="324"/>
        <v>61177.081933948146</v>
      </c>
      <c r="AH155" s="644">
        <f t="shared" si="270"/>
        <v>0</v>
      </c>
      <c r="AI155" s="645">
        <f t="shared" si="271"/>
        <v>61177.081933948146</v>
      </c>
      <c r="AJ155" s="646">
        <f t="shared" si="325"/>
        <v>-77.065971309988541</v>
      </c>
      <c r="AK155" s="647">
        <f t="shared" si="272"/>
        <v>61100.015962638157</v>
      </c>
      <c r="AL155" s="644">
        <f t="shared" si="326"/>
        <v>0</v>
      </c>
      <c r="AM155" s="645">
        <f t="shared" si="327"/>
        <v>61100.015962638157</v>
      </c>
      <c r="AN155" s="646">
        <f t="shared" si="328"/>
        <v>-4.9129794059977215E-2</v>
      </c>
      <c r="AO155" s="647">
        <f t="shared" si="273"/>
        <v>61099.966832844097</v>
      </c>
      <c r="AP155" s="644">
        <f t="shared" si="329"/>
        <v>0</v>
      </c>
      <c r="AQ155" s="645">
        <f t="shared" si="330"/>
        <v>61099.966832844097</v>
      </c>
      <c r="AR155" s="646">
        <f t="shared" si="331"/>
        <v>0</v>
      </c>
      <c r="AS155" s="647">
        <f t="shared" si="274"/>
        <v>61099.966832844097</v>
      </c>
      <c r="AT155" s="644">
        <f t="shared" si="332"/>
        <v>0</v>
      </c>
      <c r="AU155" s="645">
        <f t="shared" si="333"/>
        <v>61099.966832844097</v>
      </c>
      <c r="AV155" s="646">
        <f t="shared" si="334"/>
        <v>0</v>
      </c>
      <c r="AW155" s="647">
        <f t="shared" si="275"/>
        <v>61099.966832844097</v>
      </c>
      <c r="AY155" s="644">
        <f t="shared" si="335"/>
        <v>14940.934524980465</v>
      </c>
      <c r="AZ155" s="645">
        <f t="shared" si="276"/>
        <v>12427.134255308165</v>
      </c>
      <c r="BA155" s="644">
        <f t="shared" si="336"/>
        <v>0</v>
      </c>
      <c r="BB155" s="645">
        <f t="shared" si="337"/>
        <v>14940.934524980465</v>
      </c>
      <c r="BC155" s="646">
        <f t="shared" si="338"/>
        <v>-107.44461441232087</v>
      </c>
      <c r="BD155" s="647">
        <f t="shared" si="339"/>
        <v>14833.489910568143</v>
      </c>
      <c r="BE155" s="644">
        <f t="shared" si="277"/>
        <v>0</v>
      </c>
      <c r="BF155" s="645">
        <f t="shared" si="278"/>
        <v>14833.489910568143</v>
      </c>
      <c r="BG155" s="646">
        <f t="shared" si="340"/>
        <v>-353.32164124756338</v>
      </c>
      <c r="BH155" s="647">
        <f t="shared" si="279"/>
        <v>14480.16826932058</v>
      </c>
      <c r="BI155" s="644">
        <f t="shared" si="341"/>
        <v>0</v>
      </c>
      <c r="BJ155" s="645">
        <f t="shared" si="342"/>
        <v>14480.16826932058</v>
      </c>
      <c r="BK155" s="646">
        <f t="shared" si="343"/>
        <v>-30.67239738063434</v>
      </c>
      <c r="BL155" s="647">
        <f t="shared" si="280"/>
        <v>14449.495871939946</v>
      </c>
      <c r="BM155" s="644">
        <f t="shared" si="344"/>
        <v>0</v>
      </c>
      <c r="BN155" s="645">
        <f t="shared" si="345"/>
        <v>14449.495871939946</v>
      </c>
      <c r="BO155" s="646">
        <f t="shared" si="346"/>
        <v>-0.66110473243599011</v>
      </c>
      <c r="BP155" s="647">
        <f t="shared" si="281"/>
        <v>14448.834767207509</v>
      </c>
      <c r="BQ155" s="644">
        <f t="shared" si="347"/>
        <v>0</v>
      </c>
      <c r="BR155" s="645">
        <f t="shared" si="348"/>
        <v>14448.834767207509</v>
      </c>
      <c r="BS155" s="646">
        <f t="shared" si="349"/>
        <v>0</v>
      </c>
      <c r="BT155" s="647">
        <f t="shared" si="282"/>
        <v>14448.834767207509</v>
      </c>
      <c r="BU155" s="662">
        <f>VLOOKUP(B155,'Afton Update'!$A$5:$AR$582,'Afton Update'!$AO$589,0)-BT155</f>
        <v>0</v>
      </c>
      <c r="BV155" s="644">
        <f t="shared" si="350"/>
        <v>36279.357073685715</v>
      </c>
      <c r="BW155" s="645">
        <f t="shared" si="258"/>
        <v>30008.257585753701</v>
      </c>
      <c r="BX155" s="644">
        <f t="shared" si="351"/>
        <v>0</v>
      </c>
      <c r="BY155" s="645">
        <f t="shared" si="352"/>
        <v>36279.357073685715</v>
      </c>
      <c r="BZ155" s="646">
        <f t="shared" si="353"/>
        <v>-318.42777421389292</v>
      </c>
      <c r="CA155" s="647">
        <f t="shared" si="354"/>
        <v>35960.92929947182</v>
      </c>
      <c r="CB155" s="644">
        <f t="shared" si="283"/>
        <v>0</v>
      </c>
      <c r="CC155" s="645">
        <f t="shared" si="284"/>
        <v>35960.92929947182</v>
      </c>
      <c r="CD155" s="646">
        <f t="shared" si="355"/>
        <v>-11.518813631883715</v>
      </c>
      <c r="CE155" s="647">
        <f t="shared" si="285"/>
        <v>35949.410485839937</v>
      </c>
      <c r="CF155" s="644">
        <f t="shared" si="356"/>
        <v>0</v>
      </c>
      <c r="CG155" s="645">
        <f t="shared" si="357"/>
        <v>35949.410485839937</v>
      </c>
      <c r="CH155" s="646">
        <f t="shared" si="358"/>
        <v>0</v>
      </c>
      <c r="CI155" s="647">
        <f t="shared" si="286"/>
        <v>35949.410485839937</v>
      </c>
      <c r="CJ155" s="644">
        <f t="shared" si="359"/>
        <v>0</v>
      </c>
      <c r="CK155" s="645">
        <f t="shared" si="360"/>
        <v>35949.410485839937</v>
      </c>
      <c r="CL155" s="646">
        <f t="shared" si="361"/>
        <v>0</v>
      </c>
      <c r="CM155" s="647">
        <f t="shared" si="287"/>
        <v>35949.410485839937</v>
      </c>
      <c r="CN155" s="644">
        <f t="shared" si="362"/>
        <v>0</v>
      </c>
      <c r="CO155" s="645">
        <f t="shared" si="363"/>
        <v>35949.410485839937</v>
      </c>
      <c r="CP155" s="646">
        <f t="shared" si="364"/>
        <v>0</v>
      </c>
      <c r="CQ155" s="647">
        <f t="shared" si="288"/>
        <v>35949.410485839937</v>
      </c>
      <c r="CS155" s="644">
        <f t="shared" si="365"/>
        <v>33771.315797100491</v>
      </c>
      <c r="CT155" s="645">
        <f t="shared" si="259"/>
        <v>28912.749620506023</v>
      </c>
      <c r="CU155" s="644">
        <f t="shared" si="366"/>
        <v>0</v>
      </c>
      <c r="CV155" s="645">
        <f t="shared" si="367"/>
        <v>33771.315797100491</v>
      </c>
      <c r="CW155" s="646">
        <f t="shared" si="368"/>
        <v>-345.83735867501417</v>
      </c>
      <c r="CX155" s="647">
        <f t="shared" si="369"/>
        <v>33425.478438425474</v>
      </c>
      <c r="CY155" s="644">
        <f t="shared" si="289"/>
        <v>0</v>
      </c>
      <c r="CZ155" s="645">
        <f t="shared" si="290"/>
        <v>33425.478438425474</v>
      </c>
      <c r="DA155" s="646">
        <f t="shared" si="370"/>
        <v>-26.239121960736259</v>
      </c>
      <c r="DB155" s="647">
        <f t="shared" si="291"/>
        <v>33399.239316464736</v>
      </c>
      <c r="DC155" s="644">
        <f t="shared" si="371"/>
        <v>0</v>
      </c>
      <c r="DD155" s="645">
        <f t="shared" si="372"/>
        <v>33399.239316464736</v>
      </c>
      <c r="DE155" s="646">
        <f t="shared" si="373"/>
        <v>-2.2627974546291695E-2</v>
      </c>
      <c r="DF155" s="647">
        <f t="shared" si="292"/>
        <v>33399.216688490189</v>
      </c>
      <c r="DG155" s="644">
        <f t="shared" si="374"/>
        <v>0</v>
      </c>
      <c r="DH155" s="645">
        <f t="shared" si="375"/>
        <v>33399.216688490189</v>
      </c>
      <c r="DI155" s="646">
        <f t="shared" si="376"/>
        <v>0</v>
      </c>
      <c r="DJ155" s="647">
        <f t="shared" si="293"/>
        <v>33399.216688490189</v>
      </c>
      <c r="DK155" s="644">
        <f t="shared" si="377"/>
        <v>0</v>
      </c>
      <c r="DL155" s="645">
        <f t="shared" si="378"/>
        <v>33399.216688490189</v>
      </c>
      <c r="DM155" s="646">
        <f t="shared" si="379"/>
        <v>0</v>
      </c>
      <c r="DN155" s="647">
        <f t="shared" si="294"/>
        <v>33399.216688490189</v>
      </c>
      <c r="DR155" s="827">
        <f t="shared" si="295"/>
        <v>144897.42877438173</v>
      </c>
      <c r="DV155" s="828">
        <f>IFERROR(VLOOKUP($B155,'Afton FY16 Final'!$A$5:$BV$587,'Afton FY16 Final'!$BV$587,0),0)</f>
        <v>129706.94714729668</v>
      </c>
      <c r="DX155" s="636">
        <f t="shared" si="260"/>
        <v>144897.42877438173</v>
      </c>
      <c r="DY155" s="637">
        <f t="shared" si="261"/>
        <v>15190.481627085042</v>
      </c>
      <c r="DZ155" s="637">
        <f t="shared" si="262"/>
        <v>129706.94714729668</v>
      </c>
      <c r="EA155" s="643">
        <f t="shared" si="263"/>
        <v>137190.50948716601</v>
      </c>
      <c r="EB155" s="637">
        <f t="shared" si="296"/>
        <v>0</v>
      </c>
      <c r="EC155" s="637">
        <f t="shared" si="297"/>
        <v>137190.50948716601</v>
      </c>
      <c r="ED155" s="637">
        <f t="shared" si="298"/>
        <v>136781.41557920864</v>
      </c>
      <c r="EE155" s="643">
        <f t="shared" si="299"/>
        <v>136781.41557920864</v>
      </c>
      <c r="EF155" s="637">
        <f t="shared" si="300"/>
        <v>0</v>
      </c>
      <c r="EG155" s="637">
        <f t="shared" si="301"/>
        <v>136781.41557920864</v>
      </c>
      <c r="EH155" s="637">
        <f t="shared" si="302"/>
        <v>136781.27446716116</v>
      </c>
      <c r="EI155" s="643">
        <f t="shared" si="303"/>
        <v>136781.27446716116</v>
      </c>
      <c r="EJ155" s="637">
        <f t="shared" si="304"/>
        <v>0</v>
      </c>
      <c r="EK155" s="637">
        <f t="shared" si="305"/>
        <v>136781.27446716116</v>
      </c>
      <c r="EL155" s="637">
        <f t="shared" si="306"/>
        <v>136781.27446716098</v>
      </c>
      <c r="EM155" s="643">
        <f t="shared" si="307"/>
        <v>136781.27446716098</v>
      </c>
      <c r="EN155" s="637">
        <f t="shared" si="308"/>
        <v>0</v>
      </c>
      <c r="EO155" s="637">
        <f t="shared" si="309"/>
        <v>136781.27446716098</v>
      </c>
      <c r="EP155" s="637">
        <f t="shared" si="310"/>
        <v>136781.27446716119</v>
      </c>
      <c r="EQ155" s="643">
        <f t="shared" si="311"/>
        <v>136781.27446716119</v>
      </c>
      <c r="ER155" s="637">
        <f t="shared" si="312"/>
        <v>0</v>
      </c>
      <c r="ES155" s="637">
        <f t="shared" si="313"/>
        <v>136781.27446716119</v>
      </c>
      <c r="ET155" s="637">
        <f t="shared" si="314"/>
        <v>136781.27446716098</v>
      </c>
      <c r="EU155" s="643">
        <f t="shared" si="264"/>
        <v>136781.27446716098</v>
      </c>
      <c r="EV155" s="643">
        <f t="shared" si="265"/>
        <v>0</v>
      </c>
      <c r="EX155" s="829">
        <f t="shared" si="266"/>
        <v>8116.1543072207423</v>
      </c>
      <c r="EY155" s="638">
        <f t="shared" si="267"/>
        <v>136781.27446716098</v>
      </c>
      <c r="FC155" s="830" t="str">
        <f t="shared" si="315"/>
        <v>Y</v>
      </c>
      <c r="FE155" s="830" t="str">
        <f>IFERROR(VLOOKUP($B155,'Historical Conc Grant Elig'!$B$3:$J$707,'HH &amp; SI'!FE$2,0),"N")</f>
        <v>N</v>
      </c>
      <c r="FF155" s="830" t="str">
        <f>IFERROR(VLOOKUP($B155,'Historical Conc Grant Elig'!$B$3:$J$707,'HH &amp; SI'!FF$2,0),"N")</f>
        <v>N</v>
      </c>
      <c r="FG155" s="830" t="str">
        <f>IFERROR(VLOOKUP($B155,'Historical Conc Grant Elig'!$B$3:$J$707,'HH &amp; SI'!FG$2,0),"N")</f>
        <v>N</v>
      </c>
      <c r="FH155" s="830" t="str">
        <f>IFERROR(VLOOKUP($B155,'Historical Conc Grant Elig'!$B$3:$J$707,'HH &amp; SI'!FH$2,0),"N")</f>
        <v>N</v>
      </c>
      <c r="FI155" s="830" t="str">
        <f>IFERROR(VLOOKUP($B155,'Historical Conc Grant Elig'!$B$3:$J$707,'HH &amp; SI'!FI$2,0),"N")</f>
        <v>N</v>
      </c>
      <c r="FJ155" s="830" t="str">
        <f>IFERROR(VLOOKUP($B155,'Historical Conc Grant Elig'!$B$3:$J$707,'HH &amp; SI'!FJ$2,0),"N")</f>
        <v>Y</v>
      </c>
      <c r="FK155" s="830" t="str">
        <f>IFERROR(VLOOKUP($B155,'Historical Conc Grant Elig'!$B$3:$J$707,'HH &amp; SI'!FK$2,0),"N")</f>
        <v>Y</v>
      </c>
      <c r="FL155" s="957" t="str">
        <f>IFERROR(VLOOKUP($B155,'Historical Conc Grant Elig'!$B$3:$J$707,'HH &amp; SI'!FL$2,0),"N")</f>
        <v>Y</v>
      </c>
    </row>
    <row r="156" spans="2:168" x14ac:dyDescent="0.25">
      <c r="B156" s="634">
        <v>78253000</v>
      </c>
      <c r="C156" s="635" t="str">
        <f>VLOOKUP($B156,'Afton Update'!$A$5:$CR$582,'Afton Update'!D$589,0)</f>
        <v>Create Academy</v>
      </c>
      <c r="D156" s="636">
        <f>IFERROR(VLOOKUP($B156,'Afton FY16 Final'!$A$5:$BV$587,'Afton FY16 Final'!AQ$587,0),0)</f>
        <v>0</v>
      </c>
      <c r="E156" s="637">
        <f>IFERROR(VLOOKUP($B156,'Afton FY16 Final'!$A$5:$BV$587,'Afton FY16 Final'!AR$587,0),0)</f>
        <v>0</v>
      </c>
      <c r="F156" s="637">
        <f>IFERROR(VLOOKUP($B156,'Afton FY16 Final'!$A$5:$BV$587,'Afton FY16 Final'!AS$587,0),0)</f>
        <v>0</v>
      </c>
      <c r="G156" s="637">
        <f>IFERROR(VLOOKUP($B156,'Afton FY16 Final'!$A$5:$BV$587,'Afton FY16 Final'!AT$587,0),0)</f>
        <v>0</v>
      </c>
      <c r="H156" s="638">
        <f>IFERROR(VLOOKUP($B156,'Afton FY16 Final'!$A$5:$BV$587,'Afton FY16 Final'!AU$587,0),0)</f>
        <v>0</v>
      </c>
      <c r="I156" s="639" t="str">
        <f>VLOOKUP($B156,'Afton Update'!$A$5:$CR$582,'Afton Update'!BT$589,0)</f>
        <v>Y</v>
      </c>
      <c r="J156" s="640" t="str">
        <f>VLOOKUP($B156,'Afton Update'!$A$5:$CR$582,'Afton Update'!BU$589,0)</f>
        <v>Y</v>
      </c>
      <c r="K156" s="640" t="str">
        <f>VLOOKUP($B156,'Afton Update'!$A$5:$CR$582,'Afton Update'!BV$589,0)</f>
        <v>Y</v>
      </c>
      <c r="L156" s="641" t="str">
        <f>VLOOKUP($B156,'Afton Update'!$A$5:$CR$582,'Afton Update'!BW$589,0)</f>
        <v>Y</v>
      </c>
      <c r="N156" s="642">
        <f>VLOOKUP($B156,'Afton Update'!$A$5:$CR$582,'Afton Update'!CB$589,0)</f>
        <v>0.95</v>
      </c>
      <c r="P156" s="636">
        <f>VLOOKUP($B156,'Afton Update'!$A$5:$CR$582,'Afton Update'!AH$589,0)</f>
        <v>20568.588776229786</v>
      </c>
      <c r="Q156" s="637">
        <f>VLOOKUP($B156,'Afton Update'!$A$5:$CR$582,'Afton Update'!AI$589,0)</f>
        <v>6384.3724647800509</v>
      </c>
      <c r="R156" s="637">
        <f>VLOOKUP($B156,'Afton Update'!$A$5:$CR$582,'Afton Update'!AJ$589,0)</f>
        <v>12063.353822239675</v>
      </c>
      <c r="S156" s="637">
        <f>VLOOKUP($B156,'Afton Update'!$A$5:$CR$582,'Afton Update'!AK$589,0)</f>
        <v>11229.397772280527</v>
      </c>
      <c r="T156" s="643">
        <f t="shared" si="268"/>
        <v>50245.712835530037</v>
      </c>
      <c r="V156" s="636">
        <f t="shared" si="316"/>
        <v>20288.019874998427</v>
      </c>
      <c r="W156" s="637">
        <f t="shared" si="317"/>
        <v>6174.0945776641047</v>
      </c>
      <c r="X156" s="637">
        <f t="shared" si="318"/>
        <v>11953.642329184819</v>
      </c>
      <c r="Y156" s="637">
        <f t="shared" si="319"/>
        <v>11105.670022778544</v>
      </c>
      <c r="Z156" s="643">
        <f t="shared" si="320"/>
        <v>49521.426804625895</v>
      </c>
      <c r="AB156" s="644">
        <f t="shared" si="269"/>
        <v>20568.588776229786</v>
      </c>
      <c r="AC156" s="645">
        <f t="shared" si="257"/>
        <v>0</v>
      </c>
      <c r="AD156" s="644">
        <f t="shared" si="321"/>
        <v>0</v>
      </c>
      <c r="AE156" s="645">
        <f t="shared" si="322"/>
        <v>20568.588776229786</v>
      </c>
      <c r="AF156" s="646">
        <f t="shared" si="323"/>
        <v>-254.96311476437893</v>
      </c>
      <c r="AG156" s="647">
        <f t="shared" si="324"/>
        <v>20313.625661465408</v>
      </c>
      <c r="AH156" s="644">
        <f t="shared" si="270"/>
        <v>0</v>
      </c>
      <c r="AI156" s="645">
        <f t="shared" si="271"/>
        <v>20313.625661465408</v>
      </c>
      <c r="AJ156" s="646">
        <f t="shared" si="325"/>
        <v>-25.589473099069558</v>
      </c>
      <c r="AK156" s="647">
        <f t="shared" si="272"/>
        <v>20288.036188366339</v>
      </c>
      <c r="AL156" s="644">
        <f t="shared" si="326"/>
        <v>0</v>
      </c>
      <c r="AM156" s="645">
        <f t="shared" si="327"/>
        <v>20288.036188366339</v>
      </c>
      <c r="AN156" s="646">
        <f t="shared" si="328"/>
        <v>-1.6313367911807108E-2</v>
      </c>
      <c r="AO156" s="647">
        <f t="shared" si="273"/>
        <v>20288.019874998427</v>
      </c>
      <c r="AP156" s="644">
        <f t="shared" si="329"/>
        <v>0</v>
      </c>
      <c r="AQ156" s="645">
        <f t="shared" si="330"/>
        <v>20288.019874998427</v>
      </c>
      <c r="AR156" s="646">
        <f t="shared" si="331"/>
        <v>0</v>
      </c>
      <c r="AS156" s="647">
        <f t="shared" si="274"/>
        <v>20288.019874998427</v>
      </c>
      <c r="AT156" s="644">
        <f t="shared" si="332"/>
        <v>0</v>
      </c>
      <c r="AU156" s="645">
        <f t="shared" si="333"/>
        <v>20288.019874998427</v>
      </c>
      <c r="AV156" s="646">
        <f t="shared" si="334"/>
        <v>0</v>
      </c>
      <c r="AW156" s="647">
        <f t="shared" si="275"/>
        <v>20288.019874998427</v>
      </c>
      <c r="AY156" s="644">
        <f t="shared" si="335"/>
        <v>6384.3724647800509</v>
      </c>
      <c r="AZ156" s="645">
        <f t="shared" si="276"/>
        <v>0</v>
      </c>
      <c r="BA156" s="644">
        <f t="shared" si="336"/>
        <v>0</v>
      </c>
      <c r="BB156" s="645">
        <f t="shared" si="337"/>
        <v>6384.3724647800509</v>
      </c>
      <c r="BC156" s="646">
        <f t="shared" si="338"/>
        <v>-45.911882994737113</v>
      </c>
      <c r="BD156" s="647">
        <f t="shared" si="339"/>
        <v>6338.4605817853135</v>
      </c>
      <c r="BE156" s="644">
        <f t="shared" si="277"/>
        <v>0</v>
      </c>
      <c r="BF156" s="645">
        <f t="shared" si="278"/>
        <v>6338.4605817853135</v>
      </c>
      <c r="BG156" s="646">
        <f t="shared" si="340"/>
        <v>-150.97696558540991</v>
      </c>
      <c r="BH156" s="647">
        <f t="shared" si="279"/>
        <v>6187.4836161999037</v>
      </c>
      <c r="BI156" s="644">
        <f t="shared" si="341"/>
        <v>0</v>
      </c>
      <c r="BJ156" s="645">
        <f t="shared" si="342"/>
        <v>6187.4836161999037</v>
      </c>
      <c r="BK156" s="646">
        <f t="shared" si="343"/>
        <v>-13.106543565819536</v>
      </c>
      <c r="BL156" s="647">
        <f t="shared" si="280"/>
        <v>6174.3770726340845</v>
      </c>
      <c r="BM156" s="644">
        <f t="shared" si="344"/>
        <v>0</v>
      </c>
      <c r="BN156" s="645">
        <f t="shared" si="345"/>
        <v>6174.3770726340845</v>
      </c>
      <c r="BO156" s="646">
        <f t="shared" si="346"/>
        <v>-0.28249496997950579</v>
      </c>
      <c r="BP156" s="647">
        <f t="shared" si="281"/>
        <v>6174.0945776641047</v>
      </c>
      <c r="BQ156" s="644">
        <f t="shared" si="347"/>
        <v>0</v>
      </c>
      <c r="BR156" s="645">
        <f t="shared" si="348"/>
        <v>6174.0945776641047</v>
      </c>
      <c r="BS156" s="646">
        <f t="shared" si="349"/>
        <v>0</v>
      </c>
      <c r="BT156" s="647">
        <f t="shared" si="282"/>
        <v>6174.0945776641047</v>
      </c>
      <c r="BU156" s="662">
        <f>VLOOKUP(B156,'Afton Update'!$A$5:$AR$582,'Afton Update'!$AO$589,0)-BT156</f>
        <v>0</v>
      </c>
      <c r="BV156" s="644">
        <f t="shared" si="350"/>
        <v>12063.353822239675</v>
      </c>
      <c r="BW156" s="645">
        <f t="shared" si="258"/>
        <v>0</v>
      </c>
      <c r="BX156" s="644">
        <f t="shared" si="351"/>
        <v>0</v>
      </c>
      <c r="BY156" s="645">
        <f t="shared" si="352"/>
        <v>12063.353822239675</v>
      </c>
      <c r="BZ156" s="646">
        <f t="shared" si="353"/>
        <v>-105.88133905924779</v>
      </c>
      <c r="CA156" s="647">
        <f t="shared" si="354"/>
        <v>11957.472483180427</v>
      </c>
      <c r="CB156" s="644">
        <f t="shared" si="283"/>
        <v>0</v>
      </c>
      <c r="CC156" s="645">
        <f t="shared" si="284"/>
        <v>11957.472483180427</v>
      </c>
      <c r="CD156" s="646">
        <f t="shared" si="355"/>
        <v>-3.8301539956075641</v>
      </c>
      <c r="CE156" s="647">
        <f t="shared" si="285"/>
        <v>11953.642329184819</v>
      </c>
      <c r="CF156" s="644">
        <f t="shared" si="356"/>
        <v>0</v>
      </c>
      <c r="CG156" s="645">
        <f t="shared" si="357"/>
        <v>11953.642329184819</v>
      </c>
      <c r="CH156" s="646">
        <f t="shared" si="358"/>
        <v>0</v>
      </c>
      <c r="CI156" s="647">
        <f t="shared" si="286"/>
        <v>11953.642329184819</v>
      </c>
      <c r="CJ156" s="644">
        <f t="shared" si="359"/>
        <v>0</v>
      </c>
      <c r="CK156" s="645">
        <f t="shared" si="360"/>
        <v>11953.642329184819</v>
      </c>
      <c r="CL156" s="646">
        <f t="shared" si="361"/>
        <v>0</v>
      </c>
      <c r="CM156" s="647">
        <f t="shared" si="287"/>
        <v>11953.642329184819</v>
      </c>
      <c r="CN156" s="644">
        <f t="shared" si="362"/>
        <v>0</v>
      </c>
      <c r="CO156" s="645">
        <f t="shared" si="363"/>
        <v>11953.642329184819</v>
      </c>
      <c r="CP156" s="646">
        <f t="shared" si="364"/>
        <v>0</v>
      </c>
      <c r="CQ156" s="647">
        <f t="shared" si="288"/>
        <v>11953.642329184819</v>
      </c>
      <c r="CS156" s="644">
        <f t="shared" si="365"/>
        <v>11229.397772280527</v>
      </c>
      <c r="CT156" s="645">
        <f t="shared" si="259"/>
        <v>0</v>
      </c>
      <c r="CU156" s="644">
        <f t="shared" si="366"/>
        <v>0</v>
      </c>
      <c r="CV156" s="645">
        <f t="shared" si="367"/>
        <v>11229.397772280527</v>
      </c>
      <c r="CW156" s="646">
        <f t="shared" si="368"/>
        <v>-114.99537916760755</v>
      </c>
      <c r="CX156" s="647">
        <f t="shared" si="369"/>
        <v>11114.40239311292</v>
      </c>
      <c r="CY156" s="644">
        <f t="shared" si="289"/>
        <v>0</v>
      </c>
      <c r="CZ156" s="645">
        <f t="shared" si="290"/>
        <v>11114.40239311292</v>
      </c>
      <c r="DA156" s="646">
        <f t="shared" si="370"/>
        <v>-8.7248462411934398</v>
      </c>
      <c r="DB156" s="647">
        <f t="shared" si="291"/>
        <v>11105.677546871726</v>
      </c>
      <c r="DC156" s="644">
        <f t="shared" si="371"/>
        <v>0</v>
      </c>
      <c r="DD156" s="645">
        <f t="shared" si="372"/>
        <v>11105.677546871726</v>
      </c>
      <c r="DE156" s="646">
        <f t="shared" si="373"/>
        <v>-7.5240931827466615E-3</v>
      </c>
      <c r="DF156" s="647">
        <f t="shared" si="292"/>
        <v>11105.670022778544</v>
      </c>
      <c r="DG156" s="644">
        <f t="shared" si="374"/>
        <v>0</v>
      </c>
      <c r="DH156" s="645">
        <f t="shared" si="375"/>
        <v>11105.670022778544</v>
      </c>
      <c r="DI156" s="646">
        <f t="shared" si="376"/>
        <v>0</v>
      </c>
      <c r="DJ156" s="647">
        <f t="shared" si="293"/>
        <v>11105.670022778544</v>
      </c>
      <c r="DK156" s="644">
        <f t="shared" si="377"/>
        <v>0</v>
      </c>
      <c r="DL156" s="645">
        <f t="shared" si="378"/>
        <v>11105.670022778544</v>
      </c>
      <c r="DM156" s="646">
        <f t="shared" si="379"/>
        <v>0</v>
      </c>
      <c r="DN156" s="647">
        <f t="shared" si="294"/>
        <v>11105.670022778544</v>
      </c>
      <c r="DR156" s="827">
        <f t="shared" si="295"/>
        <v>49521.426804625895</v>
      </c>
      <c r="DV156" s="828">
        <f>IFERROR(VLOOKUP($B156,'Afton FY16 Final'!$A$5:$BV$587,'Afton FY16 Final'!$BV$587,0),0)</f>
        <v>0</v>
      </c>
      <c r="DX156" s="636">
        <f t="shared" si="260"/>
        <v>49521.426804625895</v>
      </c>
      <c r="DY156" s="637">
        <f t="shared" si="261"/>
        <v>49521.426804625895</v>
      </c>
      <c r="DZ156" s="637">
        <f t="shared" si="262"/>
        <v>0</v>
      </c>
      <c r="EA156" s="643">
        <f t="shared" si="263"/>
        <v>46887.441905105785</v>
      </c>
      <c r="EB156" s="637">
        <f t="shared" si="296"/>
        <v>0</v>
      </c>
      <c r="EC156" s="637">
        <f t="shared" si="297"/>
        <v>46887.441905105785</v>
      </c>
      <c r="ED156" s="637">
        <f t="shared" si="298"/>
        <v>46747.626352887302</v>
      </c>
      <c r="EE156" s="643">
        <f t="shared" si="299"/>
        <v>46747.626352887302</v>
      </c>
      <c r="EF156" s="637">
        <f t="shared" si="300"/>
        <v>0</v>
      </c>
      <c r="EG156" s="637">
        <f t="shared" si="301"/>
        <v>46747.626352887302</v>
      </c>
      <c r="EH156" s="637">
        <f t="shared" si="302"/>
        <v>46747.578125185886</v>
      </c>
      <c r="EI156" s="643">
        <f t="shared" si="303"/>
        <v>46747.578125185886</v>
      </c>
      <c r="EJ156" s="637">
        <f t="shared" si="304"/>
        <v>0</v>
      </c>
      <c r="EK156" s="637">
        <f t="shared" si="305"/>
        <v>46747.578125185886</v>
      </c>
      <c r="EL156" s="637">
        <f t="shared" si="306"/>
        <v>46747.578125185821</v>
      </c>
      <c r="EM156" s="643">
        <f t="shared" si="307"/>
        <v>46747.578125185821</v>
      </c>
      <c r="EN156" s="637">
        <f t="shared" si="308"/>
        <v>0</v>
      </c>
      <c r="EO156" s="637">
        <f t="shared" si="309"/>
        <v>46747.578125185821</v>
      </c>
      <c r="EP156" s="637">
        <f t="shared" si="310"/>
        <v>46747.578125185893</v>
      </c>
      <c r="EQ156" s="643">
        <f t="shared" si="311"/>
        <v>46747.578125185893</v>
      </c>
      <c r="ER156" s="637">
        <f t="shared" si="312"/>
        <v>0</v>
      </c>
      <c r="ES156" s="637">
        <f t="shared" si="313"/>
        <v>46747.578125185893</v>
      </c>
      <c r="ET156" s="637">
        <f t="shared" si="314"/>
        <v>46747.578125185821</v>
      </c>
      <c r="EU156" s="643">
        <f t="shared" si="264"/>
        <v>46747.578125185821</v>
      </c>
      <c r="EV156" s="643">
        <f t="shared" si="265"/>
        <v>0</v>
      </c>
      <c r="EX156" s="829">
        <f t="shared" si="266"/>
        <v>2773.8486794400742</v>
      </c>
      <c r="EY156" s="638">
        <f t="shared" si="267"/>
        <v>46747.578125185821</v>
      </c>
      <c r="FC156" s="830" t="str">
        <f t="shared" si="315"/>
        <v>N</v>
      </c>
      <c r="FE156" s="830" t="str">
        <f>IFERROR(VLOOKUP($B156,'Historical Conc Grant Elig'!$B$3:$J$707,'HH &amp; SI'!FE$2,0),"N")</f>
        <v>N</v>
      </c>
      <c r="FF156" s="830" t="str">
        <f>IFERROR(VLOOKUP($B156,'Historical Conc Grant Elig'!$B$3:$J$707,'HH &amp; SI'!FF$2,0),"N")</f>
        <v>N</v>
      </c>
      <c r="FG156" s="830" t="str">
        <f>IFERROR(VLOOKUP($B156,'Historical Conc Grant Elig'!$B$3:$J$707,'HH &amp; SI'!FG$2,0),"N")</f>
        <v>N</v>
      </c>
      <c r="FH156" s="830" t="str">
        <f>IFERROR(VLOOKUP($B156,'Historical Conc Grant Elig'!$B$3:$J$707,'HH &amp; SI'!FH$2,0),"N")</f>
        <v>N</v>
      </c>
      <c r="FI156" s="830" t="str">
        <f>IFERROR(VLOOKUP($B156,'Historical Conc Grant Elig'!$B$3:$J$707,'HH &amp; SI'!FI$2,0),"N")</f>
        <v>N</v>
      </c>
      <c r="FJ156" s="830" t="str">
        <f>IFERROR(VLOOKUP($B156,'Historical Conc Grant Elig'!$B$3:$J$707,'HH &amp; SI'!FJ$2,0),"N")</f>
        <v>N</v>
      </c>
      <c r="FK156" s="830" t="str">
        <f>IFERROR(VLOOKUP($B156,'Historical Conc Grant Elig'!$B$3:$J$707,'HH &amp; SI'!FK$2,0),"N")</f>
        <v>N</v>
      </c>
      <c r="FL156" s="957" t="str">
        <f>IFERROR(VLOOKUP($B156,'Historical Conc Grant Elig'!$B$3:$J$707,'HH &amp; SI'!FL$2,0),"N")</f>
        <v>Y</v>
      </c>
    </row>
    <row r="157" spans="2:168" x14ac:dyDescent="0.25">
      <c r="B157" s="634">
        <v>78254000</v>
      </c>
      <c r="C157" s="635" t="str">
        <f>VLOOKUP($B157,'Afton Update'!$A$5:$CR$582,'Afton Update'!D$589,0)</f>
        <v>Ethos Academy - A Challenge Foundation Academy</v>
      </c>
      <c r="D157" s="636">
        <f>IFERROR(VLOOKUP($B157,'Afton FY16 Final'!$A$5:$BV$587,'Afton FY16 Final'!AQ$587,0),0)</f>
        <v>14711.946829978082</v>
      </c>
      <c r="E157" s="637">
        <f>IFERROR(VLOOKUP($B157,'Afton FY16 Final'!$A$5:$BV$587,'Afton FY16 Final'!AR$587,0),0)</f>
        <v>4896.7875359755481</v>
      </c>
      <c r="F157" s="637">
        <f>IFERROR(VLOOKUP($B157,'Afton FY16 Final'!$A$5:$BV$587,'Afton FY16 Final'!AS$587,0),0)</f>
        <v>7984.3463592258749</v>
      </c>
      <c r="G157" s="637">
        <f>IFERROR(VLOOKUP($B157,'Afton FY16 Final'!$A$5:$BV$587,'Afton FY16 Final'!AT$587,0),0)</f>
        <v>6704.1231685680968</v>
      </c>
      <c r="H157" s="638">
        <f>IFERROR(VLOOKUP($B157,'Afton FY16 Final'!$A$5:$BV$587,'Afton FY16 Final'!AU$587,0),0)</f>
        <v>34297.203893747603</v>
      </c>
      <c r="I157" s="639" t="str">
        <f>VLOOKUP($B157,'Afton Update'!$A$5:$CR$582,'Afton Update'!BT$589,0)</f>
        <v>Y</v>
      </c>
      <c r="J157" s="640" t="str">
        <f>VLOOKUP($B157,'Afton Update'!$A$5:$CR$582,'Afton Update'!BU$589,0)</f>
        <v>Y</v>
      </c>
      <c r="K157" s="640" t="str">
        <f>VLOOKUP($B157,'Afton Update'!$A$5:$CR$582,'Afton Update'!BV$589,0)</f>
        <v>Y</v>
      </c>
      <c r="L157" s="641" t="str">
        <f>VLOOKUP($B157,'Afton Update'!$A$5:$CR$582,'Afton Update'!BW$589,0)</f>
        <v>Y</v>
      </c>
      <c r="N157" s="642">
        <f>VLOOKUP($B157,'Afton Update'!$A$5:$CR$582,'Afton Update'!CB$589,0)</f>
        <v>0.95</v>
      </c>
      <c r="P157" s="636">
        <f>VLOOKUP($B157,'Afton Update'!$A$5:$CR$582,'Afton Update'!AH$589,0)</f>
        <v>23438.624419424639</v>
      </c>
      <c r="Q157" s="637">
        <f>VLOOKUP($B157,'Afton Update'!$A$5:$CR$582,'Afton Update'!AI$589,0)</f>
        <v>6977.8912204008893</v>
      </c>
      <c r="R157" s="637">
        <f>VLOOKUP($B157,'Afton Update'!$A$5:$CR$582,'Afton Update'!AJ$589,0)</f>
        <v>13743.076591126106</v>
      </c>
      <c r="S157" s="637">
        <f>VLOOKUP($B157,'Afton Update'!$A$5:$CR$582,'Afton Update'!AK$589,0)</f>
        <v>12792.999022557056</v>
      </c>
      <c r="T157" s="643">
        <f t="shared" si="268"/>
        <v>56952.59125350869</v>
      </c>
      <c r="V157" s="636">
        <f t="shared" si="316"/>
        <v>23118.906369184253</v>
      </c>
      <c r="W157" s="637">
        <f t="shared" si="317"/>
        <v>6748.0649954359023</v>
      </c>
      <c r="X157" s="637">
        <f t="shared" si="318"/>
        <v>13618.088675311188</v>
      </c>
      <c r="Y157" s="637">
        <f t="shared" si="319"/>
        <v>12652.04320190305</v>
      </c>
      <c r="Z157" s="643">
        <f t="shared" si="320"/>
        <v>56137.103241834389</v>
      </c>
      <c r="AB157" s="644">
        <f t="shared" si="269"/>
        <v>23438.624419424639</v>
      </c>
      <c r="AC157" s="645">
        <f t="shared" si="257"/>
        <v>13976.349488479178</v>
      </c>
      <c r="AD157" s="644">
        <f t="shared" si="321"/>
        <v>0</v>
      </c>
      <c r="AE157" s="645">
        <f t="shared" si="322"/>
        <v>23438.624419424639</v>
      </c>
      <c r="AF157" s="646">
        <f t="shared" si="323"/>
        <v>-290.53936333615269</v>
      </c>
      <c r="AG157" s="647">
        <f t="shared" si="324"/>
        <v>23148.085056088486</v>
      </c>
      <c r="AH157" s="644">
        <f t="shared" si="270"/>
        <v>0</v>
      </c>
      <c r="AI157" s="645">
        <f t="shared" si="271"/>
        <v>23148.085056088486</v>
      </c>
      <c r="AJ157" s="646">
        <f t="shared" si="325"/>
        <v>-29.160097252428098</v>
      </c>
      <c r="AK157" s="647">
        <f t="shared" si="272"/>
        <v>23118.924958836058</v>
      </c>
      <c r="AL157" s="644">
        <f t="shared" si="326"/>
        <v>0</v>
      </c>
      <c r="AM157" s="645">
        <f t="shared" si="327"/>
        <v>23118.924958836058</v>
      </c>
      <c r="AN157" s="646">
        <f t="shared" si="328"/>
        <v>-1.8589651806477866E-2</v>
      </c>
      <c r="AO157" s="647">
        <f t="shared" si="273"/>
        <v>23118.906369184253</v>
      </c>
      <c r="AP157" s="644">
        <f t="shared" si="329"/>
        <v>0</v>
      </c>
      <c r="AQ157" s="645">
        <f t="shared" si="330"/>
        <v>23118.906369184253</v>
      </c>
      <c r="AR157" s="646">
        <f t="shared" si="331"/>
        <v>0</v>
      </c>
      <c r="AS157" s="647">
        <f t="shared" si="274"/>
        <v>23118.906369184253</v>
      </c>
      <c r="AT157" s="644">
        <f t="shared" si="332"/>
        <v>0</v>
      </c>
      <c r="AU157" s="645">
        <f t="shared" si="333"/>
        <v>23118.906369184253</v>
      </c>
      <c r="AV157" s="646">
        <f t="shared" si="334"/>
        <v>0</v>
      </c>
      <c r="AW157" s="647">
        <f t="shared" si="275"/>
        <v>23118.906369184253</v>
      </c>
      <c r="AY157" s="644">
        <f t="shared" si="335"/>
        <v>6977.8912204008893</v>
      </c>
      <c r="AZ157" s="645">
        <f t="shared" si="276"/>
        <v>4651.9481591767708</v>
      </c>
      <c r="BA157" s="644">
        <f t="shared" si="336"/>
        <v>0</v>
      </c>
      <c r="BB157" s="645">
        <f t="shared" si="337"/>
        <v>6977.8912204008893</v>
      </c>
      <c r="BC157" s="646">
        <f t="shared" si="338"/>
        <v>-50.18004933584119</v>
      </c>
      <c r="BD157" s="647">
        <f t="shared" si="339"/>
        <v>6927.7111710650479</v>
      </c>
      <c r="BE157" s="644">
        <f t="shared" si="277"/>
        <v>0</v>
      </c>
      <c r="BF157" s="645">
        <f t="shared" si="278"/>
        <v>6927.7111710650479</v>
      </c>
      <c r="BG157" s="646">
        <f t="shared" si="340"/>
        <v>-165.01243441746684</v>
      </c>
      <c r="BH157" s="647">
        <f t="shared" si="279"/>
        <v>6762.6987366475814</v>
      </c>
      <c r="BI157" s="644">
        <f t="shared" si="341"/>
        <v>0</v>
      </c>
      <c r="BJ157" s="645">
        <f t="shared" si="342"/>
        <v>6762.6987366475814</v>
      </c>
      <c r="BK157" s="646">
        <f t="shared" si="343"/>
        <v>-14.324984292858712</v>
      </c>
      <c r="BL157" s="647">
        <f t="shared" si="280"/>
        <v>6748.3737523547225</v>
      </c>
      <c r="BM157" s="644">
        <f t="shared" si="344"/>
        <v>0</v>
      </c>
      <c r="BN157" s="645">
        <f t="shared" si="345"/>
        <v>6748.3737523547225</v>
      </c>
      <c r="BO157" s="646">
        <f t="shared" si="346"/>
        <v>-0.30875691882041806</v>
      </c>
      <c r="BP157" s="647">
        <f t="shared" si="281"/>
        <v>6748.0649954359023</v>
      </c>
      <c r="BQ157" s="644">
        <f t="shared" si="347"/>
        <v>0</v>
      </c>
      <c r="BR157" s="645">
        <f t="shared" si="348"/>
        <v>6748.0649954359023</v>
      </c>
      <c r="BS157" s="646">
        <f t="shared" si="349"/>
        <v>0</v>
      </c>
      <c r="BT157" s="647">
        <f t="shared" si="282"/>
        <v>6748.0649954359023</v>
      </c>
      <c r="BU157" s="662">
        <f>VLOOKUP(B157,'Afton Update'!$A$5:$AR$582,'Afton Update'!$AO$589,0)-BT157</f>
        <v>0</v>
      </c>
      <c r="BV157" s="644">
        <f t="shared" si="350"/>
        <v>13743.076591126106</v>
      </c>
      <c r="BW157" s="645">
        <f t="shared" si="258"/>
        <v>7585.1290412645812</v>
      </c>
      <c r="BX157" s="644">
        <f t="shared" si="351"/>
        <v>0</v>
      </c>
      <c r="BY157" s="645">
        <f t="shared" si="352"/>
        <v>13743.076591126106</v>
      </c>
      <c r="BZ157" s="646">
        <f t="shared" si="353"/>
        <v>-120.62444438789372</v>
      </c>
      <c r="CA157" s="647">
        <f t="shared" si="354"/>
        <v>13622.452146738213</v>
      </c>
      <c r="CB157" s="644">
        <f t="shared" si="283"/>
        <v>0</v>
      </c>
      <c r="CC157" s="645">
        <f t="shared" si="284"/>
        <v>13622.452146738213</v>
      </c>
      <c r="CD157" s="646">
        <f t="shared" si="355"/>
        <v>-4.3634714270255639</v>
      </c>
      <c r="CE157" s="647">
        <f t="shared" si="285"/>
        <v>13618.088675311188</v>
      </c>
      <c r="CF157" s="644">
        <f t="shared" si="356"/>
        <v>0</v>
      </c>
      <c r="CG157" s="645">
        <f t="shared" si="357"/>
        <v>13618.088675311188</v>
      </c>
      <c r="CH157" s="646">
        <f t="shared" si="358"/>
        <v>0</v>
      </c>
      <c r="CI157" s="647">
        <f t="shared" si="286"/>
        <v>13618.088675311188</v>
      </c>
      <c r="CJ157" s="644">
        <f t="shared" si="359"/>
        <v>0</v>
      </c>
      <c r="CK157" s="645">
        <f t="shared" si="360"/>
        <v>13618.088675311188</v>
      </c>
      <c r="CL157" s="646">
        <f t="shared" si="361"/>
        <v>0</v>
      </c>
      <c r="CM157" s="647">
        <f t="shared" si="287"/>
        <v>13618.088675311188</v>
      </c>
      <c r="CN157" s="644">
        <f t="shared" si="362"/>
        <v>0</v>
      </c>
      <c r="CO157" s="645">
        <f t="shared" si="363"/>
        <v>13618.088675311188</v>
      </c>
      <c r="CP157" s="646">
        <f t="shared" si="364"/>
        <v>0</v>
      </c>
      <c r="CQ157" s="647">
        <f t="shared" si="288"/>
        <v>13618.088675311188</v>
      </c>
      <c r="CS157" s="644">
        <f t="shared" si="365"/>
        <v>12792.999022557056</v>
      </c>
      <c r="CT157" s="645">
        <f t="shared" si="259"/>
        <v>6368.9170101396921</v>
      </c>
      <c r="CU157" s="644">
        <f t="shared" si="366"/>
        <v>0</v>
      </c>
      <c r="CV157" s="645">
        <f t="shared" si="367"/>
        <v>12792.999022557056</v>
      </c>
      <c r="CW157" s="646">
        <f t="shared" si="368"/>
        <v>-131.007539595867</v>
      </c>
      <c r="CX157" s="647">
        <f t="shared" si="369"/>
        <v>12661.99148296119</v>
      </c>
      <c r="CY157" s="644">
        <f t="shared" si="289"/>
        <v>0</v>
      </c>
      <c r="CZ157" s="645">
        <f t="shared" si="290"/>
        <v>12661.99148296119</v>
      </c>
      <c r="DA157" s="646">
        <f t="shared" si="370"/>
        <v>-9.9397092968842706</v>
      </c>
      <c r="DB157" s="647">
        <f t="shared" si="291"/>
        <v>12652.051773664305</v>
      </c>
      <c r="DC157" s="644">
        <f t="shared" si="371"/>
        <v>0</v>
      </c>
      <c r="DD157" s="645">
        <f t="shared" si="372"/>
        <v>12652.051773664305</v>
      </c>
      <c r="DE157" s="646">
        <f t="shared" si="373"/>
        <v>-8.5717612542064326E-3</v>
      </c>
      <c r="DF157" s="647">
        <f t="shared" si="292"/>
        <v>12652.04320190305</v>
      </c>
      <c r="DG157" s="644">
        <f t="shared" si="374"/>
        <v>0</v>
      </c>
      <c r="DH157" s="645">
        <f t="shared" si="375"/>
        <v>12652.04320190305</v>
      </c>
      <c r="DI157" s="646">
        <f t="shared" si="376"/>
        <v>0</v>
      </c>
      <c r="DJ157" s="647">
        <f t="shared" si="293"/>
        <v>12652.04320190305</v>
      </c>
      <c r="DK157" s="644">
        <f t="shared" si="377"/>
        <v>0</v>
      </c>
      <c r="DL157" s="645">
        <f t="shared" si="378"/>
        <v>12652.04320190305</v>
      </c>
      <c r="DM157" s="646">
        <f t="shared" si="379"/>
        <v>0</v>
      </c>
      <c r="DN157" s="647">
        <f t="shared" si="294"/>
        <v>12652.04320190305</v>
      </c>
      <c r="DR157" s="827">
        <f t="shared" si="295"/>
        <v>56137.103241834389</v>
      </c>
      <c r="DV157" s="828">
        <f>IFERROR(VLOOKUP($B157,'Afton FY16 Final'!$A$5:$BV$587,'Afton FY16 Final'!$BV$587,0),0)</f>
        <v>30450.099541862091</v>
      </c>
      <c r="DX157" s="636">
        <f t="shared" si="260"/>
        <v>56137.103241834389</v>
      </c>
      <c r="DY157" s="637">
        <f t="shared" si="261"/>
        <v>25687.003699972298</v>
      </c>
      <c r="DZ157" s="637">
        <f t="shared" si="262"/>
        <v>30450.099541862091</v>
      </c>
      <c r="EA157" s="643">
        <f t="shared" si="263"/>
        <v>53151.2385003932</v>
      </c>
      <c r="EB157" s="637">
        <f t="shared" si="296"/>
        <v>0</v>
      </c>
      <c r="EC157" s="637">
        <f t="shared" si="297"/>
        <v>53151.2385003932</v>
      </c>
      <c r="ED157" s="637">
        <f t="shared" si="298"/>
        <v>52992.744680724616</v>
      </c>
      <c r="EE157" s="643">
        <f t="shared" si="299"/>
        <v>52992.744680724616</v>
      </c>
      <c r="EF157" s="637">
        <f t="shared" si="300"/>
        <v>0</v>
      </c>
      <c r="EG157" s="637">
        <f t="shared" si="301"/>
        <v>52992.744680724616</v>
      </c>
      <c r="EH157" s="637">
        <f t="shared" si="302"/>
        <v>52992.690010178383</v>
      </c>
      <c r="EI157" s="643">
        <f t="shared" si="303"/>
        <v>52992.690010178383</v>
      </c>
      <c r="EJ157" s="637">
        <f t="shared" si="304"/>
        <v>0</v>
      </c>
      <c r="EK157" s="637">
        <f t="shared" si="305"/>
        <v>52992.690010178383</v>
      </c>
      <c r="EL157" s="637">
        <f t="shared" si="306"/>
        <v>52992.690010178303</v>
      </c>
      <c r="EM157" s="643">
        <f t="shared" si="307"/>
        <v>52992.690010178303</v>
      </c>
      <c r="EN157" s="637">
        <f t="shared" si="308"/>
        <v>0</v>
      </c>
      <c r="EO157" s="637">
        <f t="shared" si="309"/>
        <v>52992.690010178303</v>
      </c>
      <c r="EP157" s="637">
        <f t="shared" si="310"/>
        <v>52992.690010178383</v>
      </c>
      <c r="EQ157" s="643">
        <f t="shared" si="311"/>
        <v>52992.690010178383</v>
      </c>
      <c r="ER157" s="637">
        <f t="shared" si="312"/>
        <v>0</v>
      </c>
      <c r="ES157" s="637">
        <f t="shared" si="313"/>
        <v>52992.690010178383</v>
      </c>
      <c r="ET157" s="637">
        <f t="shared" si="314"/>
        <v>52992.690010178303</v>
      </c>
      <c r="EU157" s="643">
        <f t="shared" si="264"/>
        <v>52992.690010178303</v>
      </c>
      <c r="EV157" s="643">
        <f t="shared" si="265"/>
        <v>0</v>
      </c>
      <c r="EX157" s="829">
        <f t="shared" si="266"/>
        <v>3144.4132316560863</v>
      </c>
      <c r="EY157" s="638">
        <f t="shared" si="267"/>
        <v>52992.690010178303</v>
      </c>
      <c r="FC157" s="830" t="str">
        <f t="shared" si="315"/>
        <v>Y</v>
      </c>
      <c r="FE157" s="830" t="str">
        <f>IFERROR(VLOOKUP($B157,'Historical Conc Grant Elig'!$B$3:$J$707,'HH &amp; SI'!FE$2,0),"N")</f>
        <v>N</v>
      </c>
      <c r="FF157" s="830" t="str">
        <f>IFERROR(VLOOKUP($B157,'Historical Conc Grant Elig'!$B$3:$J$707,'HH &amp; SI'!FF$2,0),"N")</f>
        <v>N</v>
      </c>
      <c r="FG157" s="830" t="str">
        <f>IFERROR(VLOOKUP($B157,'Historical Conc Grant Elig'!$B$3:$J$707,'HH &amp; SI'!FG$2,0),"N")</f>
        <v>N</v>
      </c>
      <c r="FH157" s="830" t="str">
        <f>IFERROR(VLOOKUP($B157,'Historical Conc Grant Elig'!$B$3:$J$707,'HH &amp; SI'!FH$2,0),"N")</f>
        <v>N</v>
      </c>
      <c r="FI157" s="830" t="str">
        <f>IFERROR(VLOOKUP($B157,'Historical Conc Grant Elig'!$B$3:$J$707,'HH &amp; SI'!FI$2,0),"N")</f>
        <v>N</v>
      </c>
      <c r="FJ157" s="830" t="str">
        <f>IFERROR(VLOOKUP($B157,'Historical Conc Grant Elig'!$B$3:$J$707,'HH &amp; SI'!FJ$2,0),"N")</f>
        <v>N</v>
      </c>
      <c r="FK157" s="830" t="str">
        <f>IFERROR(VLOOKUP($B157,'Historical Conc Grant Elig'!$B$3:$J$707,'HH &amp; SI'!FK$2,0),"N")</f>
        <v>Y</v>
      </c>
      <c r="FL157" s="957" t="str">
        <f>IFERROR(VLOOKUP($B157,'Historical Conc Grant Elig'!$B$3:$J$707,'HH &amp; SI'!FL$2,0),"N")</f>
        <v>Y</v>
      </c>
    </row>
    <row r="158" spans="2:168" x14ac:dyDescent="0.25">
      <c r="B158" s="634">
        <v>78256000</v>
      </c>
      <c r="C158" s="635" t="str">
        <f>VLOOKUP($B158,'Afton Update'!$A$5:$CR$582,'Afton Update'!D$589,0)</f>
        <v>Self Development Academy-Phoenix</v>
      </c>
      <c r="D158" s="636">
        <f>IFERROR(VLOOKUP($B158,'Afton FY16 Final'!$A$5:$BV$587,'Afton FY16 Final'!AQ$587,0),0)</f>
        <v>37714.379922363711</v>
      </c>
      <c r="E158" s="637">
        <f>IFERROR(VLOOKUP($B158,'Afton FY16 Final'!$A$5:$BV$587,'Afton FY16 Final'!AR$587,0),0)</f>
        <v>9566.7135503702539</v>
      </c>
      <c r="F158" s="637">
        <f>IFERROR(VLOOKUP($B158,'Afton FY16 Final'!$A$5:$BV$587,'Afton FY16 Final'!AS$587,0),0)</f>
        <v>20468.036997659205</v>
      </c>
      <c r="G158" s="637">
        <f>IFERROR(VLOOKUP($B158,'Afton FY16 Final'!$A$5:$BV$587,'Afton FY16 Final'!AT$587,0),0)</f>
        <v>17186.158375075836</v>
      </c>
      <c r="H158" s="638">
        <f>IFERROR(VLOOKUP($B158,'Afton FY16 Final'!$A$5:$BV$587,'Afton FY16 Final'!AU$587,0),0)</f>
        <v>84935.288845469011</v>
      </c>
      <c r="I158" s="639" t="str">
        <f>VLOOKUP($B158,'Afton Update'!$A$5:$CR$582,'Afton Update'!BT$589,0)</f>
        <v>Y</v>
      </c>
      <c r="J158" s="640" t="str">
        <f>VLOOKUP($B158,'Afton Update'!$A$5:$CR$582,'Afton Update'!BU$589,0)</f>
        <v>Y</v>
      </c>
      <c r="K158" s="640" t="str">
        <f>VLOOKUP($B158,'Afton Update'!$A$5:$CR$582,'Afton Update'!BV$589,0)</f>
        <v>Y</v>
      </c>
      <c r="L158" s="641" t="str">
        <f>VLOOKUP($B158,'Afton Update'!$A$5:$CR$582,'Afton Update'!BW$589,0)</f>
        <v>Y</v>
      </c>
      <c r="N158" s="642">
        <f>VLOOKUP($B158,'Afton Update'!$A$5:$CR$582,'Afton Update'!CB$589,0)</f>
        <v>0.95</v>
      </c>
      <c r="P158" s="636">
        <f>VLOOKUP($B158,'Afton Update'!$A$5:$CR$582,'Afton Update'!AH$589,0)</f>
        <v>39941.32936779505</v>
      </c>
      <c r="Q158" s="637">
        <f>VLOOKUP($B158,'Afton Update'!$A$5:$CR$582,'Afton Update'!AI$589,0)</f>
        <v>10390.624065220707</v>
      </c>
      <c r="R158" s="637">
        <f>VLOOKUP($B158,'Afton Update'!$A$5:$CR$582,'Afton Update'!AJ$589,0)</f>
        <v>23401.482512223076</v>
      </c>
      <c r="S158" s="637">
        <f>VLOOKUP($B158,'Afton Update'!$A$5:$CR$582,'Afton Update'!AK$589,0)</f>
        <v>21783.706211647095</v>
      </c>
      <c r="T158" s="643">
        <f t="shared" si="268"/>
        <v>95517.142156885922</v>
      </c>
      <c r="V158" s="636">
        <f t="shared" si="316"/>
        <v>39396.503710752761</v>
      </c>
      <c r="W158" s="637">
        <f t="shared" si="317"/>
        <v>10048.394897623733</v>
      </c>
      <c r="X158" s="637">
        <f t="shared" si="318"/>
        <v>23188.655165537788</v>
      </c>
      <c r="Y158" s="637">
        <f t="shared" si="319"/>
        <v>21543.688981868963</v>
      </c>
      <c r="Z158" s="643">
        <f t="shared" si="320"/>
        <v>94177.242755783242</v>
      </c>
      <c r="AB158" s="644">
        <f t="shared" si="269"/>
        <v>39941.32936779505</v>
      </c>
      <c r="AC158" s="645">
        <f t="shared" si="257"/>
        <v>35828.660926245524</v>
      </c>
      <c r="AD158" s="644">
        <f t="shared" si="321"/>
        <v>0</v>
      </c>
      <c r="AE158" s="645">
        <f t="shared" si="322"/>
        <v>39941.32936779505</v>
      </c>
      <c r="AF158" s="646">
        <f t="shared" si="323"/>
        <v>-495.10279262385205</v>
      </c>
      <c r="AG158" s="647">
        <f t="shared" si="324"/>
        <v>39446.226575171197</v>
      </c>
      <c r="AH158" s="644">
        <f t="shared" si="270"/>
        <v>0</v>
      </c>
      <c r="AI158" s="645">
        <f t="shared" si="271"/>
        <v>39446.226575171197</v>
      </c>
      <c r="AJ158" s="646">
        <f t="shared" si="325"/>
        <v>-49.691186134239715</v>
      </c>
      <c r="AK158" s="647">
        <f t="shared" si="272"/>
        <v>39396.535389036959</v>
      </c>
      <c r="AL158" s="644">
        <f t="shared" si="326"/>
        <v>0</v>
      </c>
      <c r="AM158" s="645">
        <f t="shared" si="327"/>
        <v>39396.535389036959</v>
      </c>
      <c r="AN158" s="646">
        <f t="shared" si="328"/>
        <v>-3.1678284200834732E-2</v>
      </c>
      <c r="AO158" s="647">
        <f t="shared" si="273"/>
        <v>39396.503710752761</v>
      </c>
      <c r="AP158" s="644">
        <f t="shared" si="329"/>
        <v>0</v>
      </c>
      <c r="AQ158" s="645">
        <f t="shared" si="330"/>
        <v>39396.503710752761</v>
      </c>
      <c r="AR158" s="646">
        <f t="shared" si="331"/>
        <v>0</v>
      </c>
      <c r="AS158" s="647">
        <f t="shared" si="274"/>
        <v>39396.503710752761</v>
      </c>
      <c r="AT158" s="644">
        <f t="shared" si="332"/>
        <v>0</v>
      </c>
      <c r="AU158" s="645">
        <f t="shared" si="333"/>
        <v>39396.503710752761</v>
      </c>
      <c r="AV158" s="646">
        <f t="shared" si="334"/>
        <v>0</v>
      </c>
      <c r="AW158" s="647">
        <f t="shared" si="275"/>
        <v>39396.503710752761</v>
      </c>
      <c r="AY158" s="644">
        <f t="shared" si="335"/>
        <v>10390.624065220707</v>
      </c>
      <c r="AZ158" s="645">
        <f t="shared" si="276"/>
        <v>9088.3778728517409</v>
      </c>
      <c r="BA158" s="644">
        <f t="shared" si="336"/>
        <v>0</v>
      </c>
      <c r="BB158" s="645">
        <f t="shared" si="337"/>
        <v>10390.624065220707</v>
      </c>
      <c r="BC158" s="646">
        <f t="shared" si="338"/>
        <v>-74.722005797189624</v>
      </c>
      <c r="BD158" s="647">
        <f t="shared" si="339"/>
        <v>10315.902059423517</v>
      </c>
      <c r="BE158" s="644">
        <f t="shared" si="277"/>
        <v>0</v>
      </c>
      <c r="BF158" s="645">
        <f t="shared" si="278"/>
        <v>10315.902059423517</v>
      </c>
      <c r="BG158" s="646">
        <f t="shared" si="340"/>
        <v>-245.7163802017939</v>
      </c>
      <c r="BH158" s="647">
        <f t="shared" si="279"/>
        <v>10070.185679221724</v>
      </c>
      <c r="BI158" s="644">
        <f t="shared" si="341"/>
        <v>0</v>
      </c>
      <c r="BJ158" s="645">
        <f t="shared" si="342"/>
        <v>10070.185679221724</v>
      </c>
      <c r="BK158" s="646">
        <f t="shared" si="343"/>
        <v>-21.331018473333984</v>
      </c>
      <c r="BL158" s="647">
        <f t="shared" si="280"/>
        <v>10048.85466074839</v>
      </c>
      <c r="BM158" s="644">
        <f t="shared" si="344"/>
        <v>0</v>
      </c>
      <c r="BN158" s="645">
        <f t="shared" si="345"/>
        <v>10048.85466074839</v>
      </c>
      <c r="BO158" s="646">
        <f t="shared" si="346"/>
        <v>-0.45976312465566316</v>
      </c>
      <c r="BP158" s="647">
        <f t="shared" si="281"/>
        <v>10048.394897623733</v>
      </c>
      <c r="BQ158" s="644">
        <f t="shared" si="347"/>
        <v>0</v>
      </c>
      <c r="BR158" s="645">
        <f t="shared" si="348"/>
        <v>10048.394897623733</v>
      </c>
      <c r="BS158" s="646">
        <f t="shared" si="349"/>
        <v>0</v>
      </c>
      <c r="BT158" s="647">
        <f t="shared" si="282"/>
        <v>10048.394897623733</v>
      </c>
      <c r="BU158" s="662">
        <f>VLOOKUP(B158,'Afton Update'!$A$5:$AR$582,'Afton Update'!$AO$589,0)-BT158</f>
        <v>0</v>
      </c>
      <c r="BV158" s="644">
        <f t="shared" si="350"/>
        <v>23401.482512223076</v>
      </c>
      <c r="BW158" s="645">
        <f t="shared" si="258"/>
        <v>19444.635147776244</v>
      </c>
      <c r="BX158" s="644">
        <f t="shared" si="351"/>
        <v>0</v>
      </c>
      <c r="BY158" s="645">
        <f t="shared" si="352"/>
        <v>23401.482512223076</v>
      </c>
      <c r="BZ158" s="646">
        <f t="shared" si="353"/>
        <v>-205.3973000276076</v>
      </c>
      <c r="CA158" s="647">
        <f t="shared" si="354"/>
        <v>23196.085212195467</v>
      </c>
      <c r="CB158" s="644">
        <f t="shared" si="283"/>
        <v>0</v>
      </c>
      <c r="CC158" s="645">
        <f t="shared" si="284"/>
        <v>23196.085212195467</v>
      </c>
      <c r="CD158" s="646">
        <f t="shared" si="355"/>
        <v>-7.430046657679056</v>
      </c>
      <c r="CE158" s="647">
        <f t="shared" si="285"/>
        <v>23188.655165537788</v>
      </c>
      <c r="CF158" s="644">
        <f t="shared" si="356"/>
        <v>0</v>
      </c>
      <c r="CG158" s="645">
        <f t="shared" si="357"/>
        <v>23188.655165537788</v>
      </c>
      <c r="CH158" s="646">
        <f t="shared" si="358"/>
        <v>0</v>
      </c>
      <c r="CI158" s="647">
        <f t="shared" si="286"/>
        <v>23188.655165537788</v>
      </c>
      <c r="CJ158" s="644">
        <f t="shared" si="359"/>
        <v>0</v>
      </c>
      <c r="CK158" s="645">
        <f t="shared" si="360"/>
        <v>23188.655165537788</v>
      </c>
      <c r="CL158" s="646">
        <f t="shared" si="361"/>
        <v>0</v>
      </c>
      <c r="CM158" s="647">
        <f t="shared" si="287"/>
        <v>23188.655165537788</v>
      </c>
      <c r="CN158" s="644">
        <f t="shared" si="362"/>
        <v>0</v>
      </c>
      <c r="CO158" s="645">
        <f t="shared" si="363"/>
        <v>23188.655165537788</v>
      </c>
      <c r="CP158" s="646">
        <f t="shared" si="364"/>
        <v>0</v>
      </c>
      <c r="CQ158" s="647">
        <f t="shared" si="288"/>
        <v>23188.655165537788</v>
      </c>
      <c r="CS158" s="644">
        <f t="shared" si="365"/>
        <v>21783.706211647095</v>
      </c>
      <c r="CT158" s="645">
        <f t="shared" si="259"/>
        <v>16326.850456322043</v>
      </c>
      <c r="CU158" s="644">
        <f t="shared" si="366"/>
        <v>0</v>
      </c>
      <c r="CV158" s="645">
        <f t="shared" si="367"/>
        <v>21783.706211647095</v>
      </c>
      <c r="CW158" s="646">
        <f t="shared" si="368"/>
        <v>-223.07746205835863</v>
      </c>
      <c r="CX158" s="647">
        <f t="shared" si="369"/>
        <v>21560.628749588737</v>
      </c>
      <c r="CY158" s="644">
        <f t="shared" si="289"/>
        <v>0</v>
      </c>
      <c r="CZ158" s="645">
        <f t="shared" si="290"/>
        <v>21560.628749588737</v>
      </c>
      <c r="DA158" s="646">
        <f t="shared" si="370"/>
        <v>-16.925171867106549</v>
      </c>
      <c r="DB158" s="647">
        <f t="shared" si="291"/>
        <v>21543.70357772163</v>
      </c>
      <c r="DC158" s="644">
        <f t="shared" si="371"/>
        <v>0</v>
      </c>
      <c r="DD158" s="645">
        <f t="shared" si="372"/>
        <v>21543.70357772163</v>
      </c>
      <c r="DE158" s="646">
        <f t="shared" si="373"/>
        <v>-1.4595852665100115E-2</v>
      </c>
      <c r="DF158" s="647">
        <f t="shared" si="292"/>
        <v>21543.688981868963</v>
      </c>
      <c r="DG158" s="644">
        <f t="shared" si="374"/>
        <v>0</v>
      </c>
      <c r="DH158" s="645">
        <f t="shared" si="375"/>
        <v>21543.688981868963</v>
      </c>
      <c r="DI158" s="646">
        <f t="shared" si="376"/>
        <v>0</v>
      </c>
      <c r="DJ158" s="647">
        <f t="shared" si="293"/>
        <v>21543.688981868963</v>
      </c>
      <c r="DK158" s="644">
        <f t="shared" si="377"/>
        <v>0</v>
      </c>
      <c r="DL158" s="645">
        <f t="shared" si="378"/>
        <v>21543.688981868963</v>
      </c>
      <c r="DM158" s="646">
        <f t="shared" si="379"/>
        <v>0</v>
      </c>
      <c r="DN158" s="647">
        <f t="shared" si="294"/>
        <v>21543.688981868963</v>
      </c>
      <c r="DR158" s="827">
        <f t="shared" si="295"/>
        <v>94177.242755783242</v>
      </c>
      <c r="DV158" s="828">
        <f>IFERROR(VLOOKUP($B158,'Afton FY16 Final'!$A$5:$BV$587,'Afton FY16 Final'!$BV$587,0),0)</f>
        <v>75408.129711495858</v>
      </c>
      <c r="DX158" s="636">
        <f t="shared" si="260"/>
        <v>94177.242755783242</v>
      </c>
      <c r="DY158" s="637">
        <f t="shared" si="261"/>
        <v>18769.113044287384</v>
      </c>
      <c r="DZ158" s="637">
        <f t="shared" si="262"/>
        <v>75408.129711495858</v>
      </c>
      <c r="EA158" s="643">
        <f t="shared" si="263"/>
        <v>89168.068923295825</v>
      </c>
      <c r="EB158" s="637">
        <f t="shared" si="296"/>
        <v>0</v>
      </c>
      <c r="EC158" s="637">
        <f t="shared" si="297"/>
        <v>89168.068923295825</v>
      </c>
      <c r="ED158" s="637">
        <f t="shared" si="298"/>
        <v>88902.175065789197</v>
      </c>
      <c r="EE158" s="643">
        <f t="shared" si="299"/>
        <v>88902.175065789197</v>
      </c>
      <c r="EF158" s="637">
        <f t="shared" si="300"/>
        <v>0</v>
      </c>
      <c r="EG158" s="637">
        <f t="shared" si="301"/>
        <v>88902.175065789197</v>
      </c>
      <c r="EH158" s="637">
        <f t="shared" si="302"/>
        <v>88902.083348885295</v>
      </c>
      <c r="EI158" s="643">
        <f t="shared" si="303"/>
        <v>88902.083348885295</v>
      </c>
      <c r="EJ158" s="637">
        <f t="shared" si="304"/>
        <v>0</v>
      </c>
      <c r="EK158" s="637">
        <f t="shared" si="305"/>
        <v>88902.083348885295</v>
      </c>
      <c r="EL158" s="637">
        <f t="shared" si="306"/>
        <v>88902.083348885164</v>
      </c>
      <c r="EM158" s="643">
        <f t="shared" si="307"/>
        <v>88902.083348885164</v>
      </c>
      <c r="EN158" s="637">
        <f t="shared" si="308"/>
        <v>0</v>
      </c>
      <c r="EO158" s="637">
        <f t="shared" si="309"/>
        <v>88902.083348885164</v>
      </c>
      <c r="EP158" s="637">
        <f t="shared" si="310"/>
        <v>88902.08334888531</v>
      </c>
      <c r="EQ158" s="643">
        <f t="shared" si="311"/>
        <v>88902.08334888531</v>
      </c>
      <c r="ER158" s="637">
        <f t="shared" si="312"/>
        <v>0</v>
      </c>
      <c r="ES158" s="637">
        <f t="shared" si="313"/>
        <v>88902.08334888531</v>
      </c>
      <c r="ET158" s="637">
        <f t="shared" si="314"/>
        <v>88902.083348885164</v>
      </c>
      <c r="EU158" s="643">
        <f t="shared" si="264"/>
        <v>88902.083348885164</v>
      </c>
      <c r="EV158" s="643">
        <f t="shared" si="265"/>
        <v>0</v>
      </c>
      <c r="EX158" s="829">
        <f t="shared" si="266"/>
        <v>5275.1594068980776</v>
      </c>
      <c r="EY158" s="638">
        <f t="shared" si="267"/>
        <v>88902.083348885164</v>
      </c>
      <c r="FC158" s="830" t="str">
        <f t="shared" si="315"/>
        <v>Y</v>
      </c>
      <c r="FE158" s="830" t="str">
        <f>IFERROR(VLOOKUP($B158,'Historical Conc Grant Elig'!$B$3:$J$707,'HH &amp; SI'!FE$2,0),"N")</f>
        <v>N</v>
      </c>
      <c r="FF158" s="830" t="str">
        <f>IFERROR(VLOOKUP($B158,'Historical Conc Grant Elig'!$B$3:$J$707,'HH &amp; SI'!FF$2,0),"N")</f>
        <v>N</v>
      </c>
      <c r="FG158" s="830" t="str">
        <f>IFERROR(VLOOKUP($B158,'Historical Conc Grant Elig'!$B$3:$J$707,'HH &amp; SI'!FG$2,0),"N")</f>
        <v>N</v>
      </c>
      <c r="FH158" s="830" t="str">
        <f>IFERROR(VLOOKUP($B158,'Historical Conc Grant Elig'!$B$3:$J$707,'HH &amp; SI'!FH$2,0),"N")</f>
        <v>N</v>
      </c>
      <c r="FI158" s="830" t="str">
        <f>IFERROR(VLOOKUP($B158,'Historical Conc Grant Elig'!$B$3:$J$707,'HH &amp; SI'!FI$2,0),"N")</f>
        <v>N</v>
      </c>
      <c r="FJ158" s="830" t="str">
        <f>IFERROR(VLOOKUP($B158,'Historical Conc Grant Elig'!$B$3:$J$707,'HH &amp; SI'!FJ$2,0),"N")</f>
        <v>N</v>
      </c>
      <c r="FK158" s="830" t="str">
        <f>IFERROR(VLOOKUP($B158,'Historical Conc Grant Elig'!$B$3:$J$707,'HH &amp; SI'!FK$2,0),"N")</f>
        <v>Y</v>
      </c>
      <c r="FL158" s="957" t="str">
        <f>IFERROR(VLOOKUP($B158,'Historical Conc Grant Elig'!$B$3:$J$707,'HH &amp; SI'!FL$2,0),"N")</f>
        <v>Y</v>
      </c>
    </row>
    <row r="159" spans="2:168" x14ac:dyDescent="0.25">
      <c r="B159" s="634">
        <v>78261000</v>
      </c>
      <c r="C159" s="635" t="str">
        <f>VLOOKUP($B159,'Afton Update'!$A$5:$CR$582,'Afton Update'!D$589,0)</f>
        <v>Noah Webster Schools-Pima</v>
      </c>
      <c r="D159" s="636">
        <f>IFERROR(VLOOKUP($B159,'Afton FY16 Final'!$A$5:$BV$587,'Afton FY16 Final'!AQ$587,0),0)</f>
        <v>45293.741477206539</v>
      </c>
      <c r="E159" s="637">
        <f>IFERROR(VLOOKUP($B159,'Afton FY16 Final'!$A$5:$BV$587,'Afton FY16 Final'!AR$587,0),0)</f>
        <v>10818.446296496671</v>
      </c>
      <c r="F159" s="637">
        <f>IFERROR(VLOOKUP($B159,'Afton FY16 Final'!$A$5:$BV$587,'Afton FY16 Final'!AS$587,0),0)</f>
        <v>24015.40349958642</v>
      </c>
      <c r="G159" s="637">
        <f>IFERROR(VLOOKUP($B159,'Afton FY16 Final'!$A$5:$BV$587,'Afton FY16 Final'!AT$587,0),0)</f>
        <v>23138.67596059982</v>
      </c>
      <c r="H159" s="638">
        <f>IFERROR(VLOOKUP($B159,'Afton FY16 Final'!$A$5:$BV$587,'Afton FY16 Final'!AU$587,0),0)</f>
        <v>103266.26723388946</v>
      </c>
      <c r="I159" s="639" t="str">
        <f>VLOOKUP($B159,'Afton Update'!$A$5:$CR$582,'Afton Update'!BT$589,0)</f>
        <v>Y</v>
      </c>
      <c r="J159" s="640" t="str">
        <f>VLOOKUP($B159,'Afton Update'!$A$5:$CR$582,'Afton Update'!BU$589,0)</f>
        <v>Y</v>
      </c>
      <c r="K159" s="640" t="str">
        <f>VLOOKUP($B159,'Afton Update'!$A$5:$CR$582,'Afton Update'!BV$589,0)</f>
        <v>Y</v>
      </c>
      <c r="L159" s="641" t="str">
        <f>VLOOKUP($B159,'Afton Update'!$A$5:$CR$582,'Afton Update'!BW$589,0)</f>
        <v>Y</v>
      </c>
      <c r="N159" s="642">
        <f>VLOOKUP($B159,'Afton Update'!$A$5:$CR$582,'Afton Update'!CB$589,0)</f>
        <v>0.95</v>
      </c>
      <c r="P159" s="636">
        <f>VLOOKUP($B159,'Afton Update'!$A$5:$CR$582,'Afton Update'!AH$589,0)</f>
        <v>60988.257417890643</v>
      </c>
      <c r="Q159" s="637">
        <f>VLOOKUP($B159,'Afton Update'!$A$5:$CR$582,'Afton Update'!AI$589,0)</f>
        <v>14743.094939773518</v>
      </c>
      <c r="R159" s="637">
        <f>VLOOKUP($B159,'Afton Update'!$A$5:$CR$582,'Afton Update'!AJ$589,0)</f>
        <v>35719.449484056902</v>
      </c>
      <c r="S159" s="637">
        <f>VLOOKUP($B159,'Afton Update'!$A$5:$CR$582,'Afton Update'!AK$589,0)</f>
        <v>33250.115380341646</v>
      </c>
      <c r="T159" s="643">
        <f t="shared" si="268"/>
        <v>144700.91722206271</v>
      </c>
      <c r="V159" s="636">
        <f t="shared" si="316"/>
        <v>60156.338001448821</v>
      </c>
      <c r="W159" s="637">
        <f t="shared" si="317"/>
        <v>14257.511294616912</v>
      </c>
      <c r="X159" s="637">
        <f t="shared" si="318"/>
        <v>35394.595037131148</v>
      </c>
      <c r="Y159" s="637">
        <f t="shared" si="319"/>
        <v>32883.758962115353</v>
      </c>
      <c r="Z159" s="643">
        <f t="shared" si="320"/>
        <v>142692.20329531224</v>
      </c>
      <c r="AB159" s="644">
        <f t="shared" si="269"/>
        <v>60988.257417890643</v>
      </c>
      <c r="AC159" s="645">
        <f t="shared" si="257"/>
        <v>43029.054403346207</v>
      </c>
      <c r="AD159" s="644">
        <f t="shared" si="321"/>
        <v>0</v>
      </c>
      <c r="AE159" s="645">
        <f t="shared" si="322"/>
        <v>60988.257417890643</v>
      </c>
      <c r="AF159" s="646">
        <f t="shared" si="323"/>
        <v>-755.99528215019325</v>
      </c>
      <c r="AG159" s="647">
        <f t="shared" si="324"/>
        <v>60232.26213574045</v>
      </c>
      <c r="AH159" s="644">
        <f t="shared" si="270"/>
        <v>0</v>
      </c>
      <c r="AI159" s="645">
        <f t="shared" si="271"/>
        <v>60232.26213574045</v>
      </c>
      <c r="AJ159" s="646">
        <f t="shared" si="325"/>
        <v>-75.875763258869029</v>
      </c>
      <c r="AK159" s="647">
        <f t="shared" si="272"/>
        <v>60156.386372481582</v>
      </c>
      <c r="AL159" s="644">
        <f t="shared" si="326"/>
        <v>0</v>
      </c>
      <c r="AM159" s="645">
        <f t="shared" si="327"/>
        <v>60156.386372481582</v>
      </c>
      <c r="AN159" s="646">
        <f t="shared" si="328"/>
        <v>-4.8371032761753627E-2</v>
      </c>
      <c r="AO159" s="647">
        <f t="shared" si="273"/>
        <v>60156.338001448821</v>
      </c>
      <c r="AP159" s="644">
        <f t="shared" si="329"/>
        <v>0</v>
      </c>
      <c r="AQ159" s="645">
        <f t="shared" si="330"/>
        <v>60156.338001448821</v>
      </c>
      <c r="AR159" s="646">
        <f t="shared" si="331"/>
        <v>0</v>
      </c>
      <c r="AS159" s="647">
        <f t="shared" si="274"/>
        <v>60156.338001448821</v>
      </c>
      <c r="AT159" s="644">
        <f t="shared" si="332"/>
        <v>0</v>
      </c>
      <c r="AU159" s="645">
        <f t="shared" si="333"/>
        <v>60156.338001448821</v>
      </c>
      <c r="AV159" s="646">
        <f t="shared" si="334"/>
        <v>0</v>
      </c>
      <c r="AW159" s="647">
        <f t="shared" si="275"/>
        <v>60156.338001448821</v>
      </c>
      <c r="AY159" s="644">
        <f t="shared" si="335"/>
        <v>14743.094939773518</v>
      </c>
      <c r="AZ159" s="645">
        <f t="shared" si="276"/>
        <v>10277.523981671837</v>
      </c>
      <c r="BA159" s="644">
        <f t="shared" si="336"/>
        <v>0</v>
      </c>
      <c r="BB159" s="645">
        <f t="shared" si="337"/>
        <v>14743.094939773518</v>
      </c>
      <c r="BC159" s="646">
        <f t="shared" si="338"/>
        <v>-106.02189229861952</v>
      </c>
      <c r="BD159" s="647">
        <f t="shared" si="339"/>
        <v>14637.0730474749</v>
      </c>
      <c r="BE159" s="644">
        <f t="shared" si="277"/>
        <v>0</v>
      </c>
      <c r="BF159" s="645">
        <f t="shared" si="278"/>
        <v>14637.0730474749</v>
      </c>
      <c r="BG159" s="646">
        <f t="shared" si="340"/>
        <v>-348.64315163687769</v>
      </c>
      <c r="BH159" s="647">
        <f t="shared" si="279"/>
        <v>14288.429895838022</v>
      </c>
      <c r="BI159" s="644">
        <f t="shared" si="341"/>
        <v>0</v>
      </c>
      <c r="BJ159" s="645">
        <f t="shared" si="342"/>
        <v>14288.429895838022</v>
      </c>
      <c r="BK159" s="646">
        <f t="shared" si="343"/>
        <v>-30.266250471621284</v>
      </c>
      <c r="BL159" s="647">
        <f t="shared" si="280"/>
        <v>14258.163645366401</v>
      </c>
      <c r="BM159" s="644">
        <f t="shared" si="344"/>
        <v>0</v>
      </c>
      <c r="BN159" s="645">
        <f t="shared" si="345"/>
        <v>14258.163645366401</v>
      </c>
      <c r="BO159" s="646">
        <f t="shared" si="346"/>
        <v>-0.6523507494890195</v>
      </c>
      <c r="BP159" s="647">
        <f t="shared" si="281"/>
        <v>14257.511294616912</v>
      </c>
      <c r="BQ159" s="644">
        <f t="shared" si="347"/>
        <v>0</v>
      </c>
      <c r="BR159" s="645">
        <f t="shared" si="348"/>
        <v>14257.511294616912</v>
      </c>
      <c r="BS159" s="646">
        <f t="shared" si="349"/>
        <v>0</v>
      </c>
      <c r="BT159" s="647">
        <f t="shared" si="282"/>
        <v>14257.511294616912</v>
      </c>
      <c r="BU159" s="662">
        <f>VLOOKUP(B159,'Afton Update'!$A$5:$AR$582,'Afton Update'!$AO$589,0)-BT159</f>
        <v>0</v>
      </c>
      <c r="BV159" s="644">
        <f t="shared" si="350"/>
        <v>35719.449484056902</v>
      </c>
      <c r="BW159" s="645">
        <f t="shared" si="258"/>
        <v>22814.633324607097</v>
      </c>
      <c r="BX159" s="644">
        <f t="shared" si="351"/>
        <v>0</v>
      </c>
      <c r="BY159" s="645">
        <f t="shared" si="352"/>
        <v>35719.449484056902</v>
      </c>
      <c r="BZ159" s="646">
        <f t="shared" si="353"/>
        <v>-313.51340577101092</v>
      </c>
      <c r="CA159" s="647">
        <f t="shared" si="354"/>
        <v>35405.936078285893</v>
      </c>
      <c r="CB159" s="644">
        <f t="shared" si="283"/>
        <v>0</v>
      </c>
      <c r="CC159" s="645">
        <f t="shared" si="284"/>
        <v>35405.936078285893</v>
      </c>
      <c r="CD159" s="646">
        <f t="shared" si="355"/>
        <v>-11.341041154744383</v>
      </c>
      <c r="CE159" s="647">
        <f t="shared" si="285"/>
        <v>35394.595037131148</v>
      </c>
      <c r="CF159" s="644">
        <f t="shared" si="356"/>
        <v>0</v>
      </c>
      <c r="CG159" s="645">
        <f t="shared" si="357"/>
        <v>35394.595037131148</v>
      </c>
      <c r="CH159" s="646">
        <f t="shared" si="358"/>
        <v>0</v>
      </c>
      <c r="CI159" s="647">
        <f t="shared" si="286"/>
        <v>35394.595037131148</v>
      </c>
      <c r="CJ159" s="644">
        <f t="shared" si="359"/>
        <v>0</v>
      </c>
      <c r="CK159" s="645">
        <f t="shared" si="360"/>
        <v>35394.595037131148</v>
      </c>
      <c r="CL159" s="646">
        <f t="shared" si="361"/>
        <v>0</v>
      </c>
      <c r="CM159" s="647">
        <f t="shared" si="287"/>
        <v>35394.595037131148</v>
      </c>
      <c r="CN159" s="644">
        <f t="shared" si="362"/>
        <v>0</v>
      </c>
      <c r="CO159" s="645">
        <f t="shared" si="363"/>
        <v>35394.595037131148</v>
      </c>
      <c r="CP159" s="646">
        <f t="shared" si="364"/>
        <v>0</v>
      </c>
      <c r="CQ159" s="647">
        <f t="shared" si="288"/>
        <v>35394.595037131148</v>
      </c>
      <c r="CS159" s="644">
        <f t="shared" si="365"/>
        <v>33250.115380341646</v>
      </c>
      <c r="CT159" s="645">
        <f t="shared" si="259"/>
        <v>21981.742162569826</v>
      </c>
      <c r="CU159" s="644">
        <f t="shared" si="366"/>
        <v>0</v>
      </c>
      <c r="CV159" s="645">
        <f t="shared" si="367"/>
        <v>33250.115380341646</v>
      </c>
      <c r="CW159" s="646">
        <f t="shared" si="368"/>
        <v>-340.49997186559438</v>
      </c>
      <c r="CX159" s="647">
        <f t="shared" si="369"/>
        <v>32909.615408476049</v>
      </c>
      <c r="CY159" s="644">
        <f t="shared" si="289"/>
        <v>0</v>
      </c>
      <c r="CZ159" s="645">
        <f t="shared" si="290"/>
        <v>32909.615408476049</v>
      </c>
      <c r="DA159" s="646">
        <f t="shared" si="370"/>
        <v>-25.834167608839316</v>
      </c>
      <c r="DB159" s="647">
        <f t="shared" si="291"/>
        <v>32883.781240867211</v>
      </c>
      <c r="DC159" s="644">
        <f t="shared" si="371"/>
        <v>0</v>
      </c>
      <c r="DD159" s="645">
        <f t="shared" si="372"/>
        <v>32883.781240867211</v>
      </c>
      <c r="DE159" s="646">
        <f t="shared" si="373"/>
        <v>-2.2278751855805103E-2</v>
      </c>
      <c r="DF159" s="647">
        <f t="shared" si="292"/>
        <v>32883.758962115353</v>
      </c>
      <c r="DG159" s="644">
        <f t="shared" si="374"/>
        <v>0</v>
      </c>
      <c r="DH159" s="645">
        <f t="shared" si="375"/>
        <v>32883.758962115353</v>
      </c>
      <c r="DI159" s="646">
        <f t="shared" si="376"/>
        <v>0</v>
      </c>
      <c r="DJ159" s="647">
        <f t="shared" si="293"/>
        <v>32883.758962115353</v>
      </c>
      <c r="DK159" s="644">
        <f t="shared" si="377"/>
        <v>0</v>
      </c>
      <c r="DL159" s="645">
        <f t="shared" si="378"/>
        <v>32883.758962115353</v>
      </c>
      <c r="DM159" s="646">
        <f t="shared" si="379"/>
        <v>0</v>
      </c>
      <c r="DN159" s="647">
        <f t="shared" si="294"/>
        <v>32883.758962115353</v>
      </c>
      <c r="DR159" s="827">
        <f t="shared" si="295"/>
        <v>142692.20329531224</v>
      </c>
      <c r="DV159" s="828">
        <f>IFERROR(VLOOKUP($B159,'Afton FY16 Final'!$A$5:$BV$587,'Afton FY16 Final'!$BV$587,0),0)</f>
        <v>98778.923429010247</v>
      </c>
      <c r="DX159" s="636">
        <f t="shared" si="260"/>
        <v>142692.20329531224</v>
      </c>
      <c r="DY159" s="637">
        <f t="shared" si="261"/>
        <v>43913.279866301993</v>
      </c>
      <c r="DZ159" s="637">
        <f t="shared" si="262"/>
        <v>98778.923429010247</v>
      </c>
      <c r="EA159" s="643">
        <f t="shared" si="263"/>
        <v>135102.57728873691</v>
      </c>
      <c r="EB159" s="637">
        <f t="shared" si="296"/>
        <v>0</v>
      </c>
      <c r="EC159" s="637">
        <f t="shared" si="297"/>
        <v>135102.57728873691</v>
      </c>
      <c r="ED159" s="637">
        <f t="shared" si="298"/>
        <v>134699.70946992957</v>
      </c>
      <c r="EE159" s="643">
        <f t="shared" si="299"/>
        <v>134699.70946992957</v>
      </c>
      <c r="EF159" s="637">
        <f t="shared" si="300"/>
        <v>0</v>
      </c>
      <c r="EG159" s="637">
        <f t="shared" si="301"/>
        <v>134699.70946992957</v>
      </c>
      <c r="EH159" s="637">
        <f t="shared" si="302"/>
        <v>134699.57050549705</v>
      </c>
      <c r="EI159" s="643">
        <f t="shared" si="303"/>
        <v>134699.57050549705</v>
      </c>
      <c r="EJ159" s="637">
        <f t="shared" si="304"/>
        <v>0</v>
      </c>
      <c r="EK159" s="637">
        <f t="shared" si="305"/>
        <v>134699.57050549705</v>
      </c>
      <c r="EL159" s="637">
        <f t="shared" si="306"/>
        <v>134699.57050549684</v>
      </c>
      <c r="EM159" s="643">
        <f t="shared" si="307"/>
        <v>134699.57050549684</v>
      </c>
      <c r="EN159" s="637">
        <f t="shared" si="308"/>
        <v>0</v>
      </c>
      <c r="EO159" s="637">
        <f t="shared" si="309"/>
        <v>134699.57050549684</v>
      </c>
      <c r="EP159" s="637">
        <f t="shared" si="310"/>
        <v>134699.57050549705</v>
      </c>
      <c r="EQ159" s="643">
        <f t="shared" si="311"/>
        <v>134699.57050549705</v>
      </c>
      <c r="ER159" s="637">
        <f t="shared" si="312"/>
        <v>0</v>
      </c>
      <c r="ES159" s="637">
        <f t="shared" si="313"/>
        <v>134699.57050549705</v>
      </c>
      <c r="ET159" s="637">
        <f t="shared" si="314"/>
        <v>134699.57050549684</v>
      </c>
      <c r="EU159" s="643">
        <f t="shared" si="264"/>
        <v>134699.57050549684</v>
      </c>
      <c r="EV159" s="643">
        <f t="shared" si="265"/>
        <v>0</v>
      </c>
      <c r="EX159" s="829">
        <f t="shared" si="266"/>
        <v>7992.6327898153977</v>
      </c>
      <c r="EY159" s="638">
        <f t="shared" si="267"/>
        <v>134699.57050549684</v>
      </c>
      <c r="FC159" s="830" t="str">
        <f t="shared" si="315"/>
        <v>Y</v>
      </c>
      <c r="FE159" s="830" t="str">
        <f>IFERROR(VLOOKUP($B159,'Historical Conc Grant Elig'!$B$3:$J$707,'HH &amp; SI'!FE$2,0),"N")</f>
        <v>N</v>
      </c>
      <c r="FF159" s="830" t="str">
        <f>IFERROR(VLOOKUP($B159,'Historical Conc Grant Elig'!$B$3:$J$707,'HH &amp; SI'!FF$2,0),"N")</f>
        <v>N</v>
      </c>
      <c r="FG159" s="830" t="str">
        <f>IFERROR(VLOOKUP($B159,'Historical Conc Grant Elig'!$B$3:$J$707,'HH &amp; SI'!FG$2,0),"N")</f>
        <v>N</v>
      </c>
      <c r="FH159" s="830" t="str">
        <f>IFERROR(VLOOKUP($B159,'Historical Conc Grant Elig'!$B$3:$J$707,'HH &amp; SI'!FH$2,0),"N")</f>
        <v>N</v>
      </c>
      <c r="FI159" s="830" t="str">
        <f>IFERROR(VLOOKUP($B159,'Historical Conc Grant Elig'!$B$3:$J$707,'HH &amp; SI'!FI$2,0),"N")</f>
        <v>N</v>
      </c>
      <c r="FJ159" s="830" t="str">
        <f>IFERROR(VLOOKUP($B159,'Historical Conc Grant Elig'!$B$3:$J$707,'HH &amp; SI'!FJ$2,0),"N")</f>
        <v>Y</v>
      </c>
      <c r="FK159" s="830" t="str">
        <f>IFERROR(VLOOKUP($B159,'Historical Conc Grant Elig'!$B$3:$J$707,'HH &amp; SI'!FK$2,0),"N")</f>
        <v>Y</v>
      </c>
      <c r="FL159" s="957" t="str">
        <f>IFERROR(VLOOKUP($B159,'Historical Conc Grant Elig'!$B$3:$J$707,'HH &amp; SI'!FL$2,0),"N")</f>
        <v>Y</v>
      </c>
    </row>
    <row r="160" spans="2:168" x14ac:dyDescent="0.25">
      <c r="B160" s="634">
        <v>78263000</v>
      </c>
      <c r="C160" s="635" t="str">
        <f>VLOOKUP($B160,'Afton Update'!$A$5:$CR$582,'Afton Update'!D$589,0)</f>
        <v>Franklin Phonetic Primary School, Inc.</v>
      </c>
      <c r="D160" s="636">
        <f>IFERROR(VLOOKUP($B160,'Afton FY16 Final'!$A$5:$BV$587,'Afton FY16 Final'!AQ$587,0),0)</f>
        <v>7597.7922653227351</v>
      </c>
      <c r="E160" s="637">
        <f>IFERROR(VLOOKUP($B160,'Afton FY16 Final'!$A$5:$BV$587,'Afton FY16 Final'!AR$587,0),0)</f>
        <v>3452.4805212142978</v>
      </c>
      <c r="F160" s="637">
        <f>IFERROR(VLOOKUP($B160,'Afton FY16 Final'!$A$5:$BV$587,'Afton FY16 Final'!AS$587,0),0)</f>
        <v>4123.4111102258776</v>
      </c>
      <c r="G160" s="637">
        <f>IFERROR(VLOOKUP($B160,'Afton FY16 Final'!$A$5:$BV$587,'Afton FY16 Final'!AT$587,0),0)</f>
        <v>3462.2566098543643</v>
      </c>
      <c r="H160" s="638">
        <f>IFERROR(VLOOKUP($B160,'Afton FY16 Final'!$A$5:$BV$587,'Afton FY16 Final'!AU$587,0),0)</f>
        <v>18635.940506617273</v>
      </c>
      <c r="I160" s="639" t="str">
        <f>VLOOKUP($B160,'Afton Update'!$A$5:$CR$582,'Afton Update'!BT$589,0)</f>
        <v>Y</v>
      </c>
      <c r="J160" s="640" t="str">
        <f>VLOOKUP($B160,'Afton Update'!$A$5:$CR$582,'Afton Update'!BU$589,0)</f>
        <v>Y</v>
      </c>
      <c r="K160" s="640" t="str">
        <f>VLOOKUP($B160,'Afton Update'!$A$5:$CR$582,'Afton Update'!BV$589,0)</f>
        <v>Y</v>
      </c>
      <c r="L160" s="641" t="str">
        <f>VLOOKUP($B160,'Afton Update'!$A$5:$CR$582,'Afton Update'!BW$589,0)</f>
        <v>Y</v>
      </c>
      <c r="N160" s="642">
        <f>VLOOKUP($B160,'Afton Update'!$A$5:$CR$582,'Afton Update'!CB$589,0)</f>
        <v>0.95</v>
      </c>
      <c r="P160" s="636">
        <f>VLOOKUP($B160,'Afton Update'!$A$5:$CR$582,'Afton Update'!AH$589,0)</f>
        <v>7653.4283818529429</v>
      </c>
      <c r="Q160" s="637">
        <f>VLOOKUP($B160,'Afton Update'!$A$5:$CR$582,'Afton Update'!AI$589,0)</f>
        <v>3713.5380644862803</v>
      </c>
      <c r="R160" s="637">
        <f>VLOOKUP($B160,'Afton Update'!$A$5:$CR$582,'Afton Update'!AJ$589,0)</f>
        <v>4504.6013622507389</v>
      </c>
      <c r="S160" s="637">
        <f>VLOOKUP($B160,'Afton Update'!$A$5:$CR$582,'Afton Update'!AK$589,0)</f>
        <v>4193.1921460361464</v>
      </c>
      <c r="T160" s="643">
        <f t="shared" si="268"/>
        <v>20064.759954626112</v>
      </c>
      <c r="V160" s="636">
        <f t="shared" si="316"/>
        <v>7549.0306511622039</v>
      </c>
      <c r="W160" s="637">
        <f t="shared" si="317"/>
        <v>3591.2276976910184</v>
      </c>
      <c r="X160" s="637">
        <f t="shared" si="318"/>
        <v>4463.6337716161715</v>
      </c>
      <c r="Y160" s="637">
        <f t="shared" si="319"/>
        <v>4146.99071671826</v>
      </c>
      <c r="Z160" s="643">
        <f t="shared" si="320"/>
        <v>19750.882837187655</v>
      </c>
      <c r="AB160" s="644">
        <f t="shared" si="269"/>
        <v>7653.4283818529429</v>
      </c>
      <c r="AC160" s="645">
        <f t="shared" si="257"/>
        <v>7217.9026520565976</v>
      </c>
      <c r="AD160" s="644">
        <f t="shared" si="321"/>
        <v>0</v>
      </c>
      <c r="AE160" s="645">
        <f t="shared" si="322"/>
        <v>7653.4283818529429</v>
      </c>
      <c r="AF160" s="646">
        <f t="shared" si="323"/>
        <v>-94.869996191396794</v>
      </c>
      <c r="AG160" s="647">
        <f t="shared" si="324"/>
        <v>7558.5583856615458</v>
      </c>
      <c r="AH160" s="644">
        <f t="shared" si="270"/>
        <v>0</v>
      </c>
      <c r="AI160" s="645">
        <f t="shared" si="271"/>
        <v>7558.5583856615458</v>
      </c>
      <c r="AJ160" s="646">
        <f t="shared" si="325"/>
        <v>-9.5216644089561111</v>
      </c>
      <c r="AK160" s="647">
        <f t="shared" si="272"/>
        <v>7549.0367212525898</v>
      </c>
      <c r="AL160" s="644">
        <f t="shared" si="326"/>
        <v>0</v>
      </c>
      <c r="AM160" s="645">
        <f t="shared" si="327"/>
        <v>7549.0367212525898</v>
      </c>
      <c r="AN160" s="646">
        <f t="shared" si="328"/>
        <v>-6.0700903857886894E-3</v>
      </c>
      <c r="AO160" s="647">
        <f t="shared" si="273"/>
        <v>7549.0306511622039</v>
      </c>
      <c r="AP160" s="644">
        <f t="shared" si="329"/>
        <v>0</v>
      </c>
      <c r="AQ160" s="645">
        <f t="shared" si="330"/>
        <v>7549.0306511622039</v>
      </c>
      <c r="AR160" s="646">
        <f t="shared" si="331"/>
        <v>0</v>
      </c>
      <c r="AS160" s="647">
        <f t="shared" si="274"/>
        <v>7549.0306511622039</v>
      </c>
      <c r="AT160" s="644">
        <f t="shared" si="332"/>
        <v>0</v>
      </c>
      <c r="AU160" s="645">
        <f t="shared" si="333"/>
        <v>7549.0306511622039</v>
      </c>
      <c r="AV160" s="646">
        <f t="shared" si="334"/>
        <v>0</v>
      </c>
      <c r="AW160" s="647">
        <f t="shared" si="275"/>
        <v>7549.0306511622039</v>
      </c>
      <c r="AY160" s="644">
        <f t="shared" si="335"/>
        <v>3713.5380644862803</v>
      </c>
      <c r="AZ160" s="645">
        <f t="shared" si="276"/>
        <v>3279.8564951535827</v>
      </c>
      <c r="BA160" s="644">
        <f t="shared" si="336"/>
        <v>0</v>
      </c>
      <c r="BB160" s="645">
        <f t="shared" si="337"/>
        <v>3713.5380644862803</v>
      </c>
      <c r="BC160" s="646">
        <f t="shared" si="338"/>
        <v>-26.705134459768772</v>
      </c>
      <c r="BD160" s="647">
        <f t="shared" si="339"/>
        <v>3686.8329300265113</v>
      </c>
      <c r="BE160" s="644">
        <f t="shared" si="277"/>
        <v>0</v>
      </c>
      <c r="BF160" s="645">
        <f t="shared" si="278"/>
        <v>3686.8329300265113</v>
      </c>
      <c r="BG160" s="646">
        <f t="shared" si="340"/>
        <v>-87.817355841153955</v>
      </c>
      <c r="BH160" s="647">
        <f t="shared" si="279"/>
        <v>3599.0155741853573</v>
      </c>
      <c r="BI160" s="644">
        <f t="shared" si="341"/>
        <v>0</v>
      </c>
      <c r="BJ160" s="645">
        <f t="shared" si="342"/>
        <v>3599.0155741853573</v>
      </c>
      <c r="BK160" s="646">
        <f t="shared" si="343"/>
        <v>-7.6235602941432363</v>
      </c>
      <c r="BL160" s="647">
        <f t="shared" si="280"/>
        <v>3591.392013891214</v>
      </c>
      <c r="BM160" s="644">
        <f t="shared" si="344"/>
        <v>0</v>
      </c>
      <c r="BN160" s="645">
        <f t="shared" si="345"/>
        <v>3591.392013891214</v>
      </c>
      <c r="BO160" s="646">
        <f t="shared" si="346"/>
        <v>-0.16431620019540089</v>
      </c>
      <c r="BP160" s="647">
        <f t="shared" si="281"/>
        <v>3591.2276976910184</v>
      </c>
      <c r="BQ160" s="644">
        <f t="shared" si="347"/>
        <v>0</v>
      </c>
      <c r="BR160" s="645">
        <f t="shared" si="348"/>
        <v>3591.2276976910184</v>
      </c>
      <c r="BS160" s="646">
        <f t="shared" si="349"/>
        <v>0</v>
      </c>
      <c r="BT160" s="647">
        <f t="shared" si="282"/>
        <v>3591.2276976910184</v>
      </c>
      <c r="BU160" s="662">
        <f>VLOOKUP(B160,'Afton Update'!$A$5:$AR$582,'Afton Update'!$AO$589,0)-BT160</f>
        <v>0</v>
      </c>
      <c r="BV160" s="644">
        <f t="shared" si="350"/>
        <v>4504.6013622507389</v>
      </c>
      <c r="BW160" s="645">
        <f t="shared" si="258"/>
        <v>3917.2405547145836</v>
      </c>
      <c r="BX160" s="644">
        <f t="shared" si="351"/>
        <v>0</v>
      </c>
      <c r="BY160" s="645">
        <f t="shared" si="352"/>
        <v>4504.6013622507389</v>
      </c>
      <c r="BZ160" s="646">
        <f t="shared" si="353"/>
        <v>-39.537365080341246</v>
      </c>
      <c r="CA160" s="647">
        <f t="shared" si="354"/>
        <v>4465.0639971703977</v>
      </c>
      <c r="CB160" s="644">
        <f t="shared" si="283"/>
        <v>0</v>
      </c>
      <c r="CC160" s="645">
        <f t="shared" si="284"/>
        <v>4465.0639971703977</v>
      </c>
      <c r="CD160" s="646">
        <f t="shared" si="355"/>
        <v>-1.4302255542265698</v>
      </c>
      <c r="CE160" s="647">
        <f t="shared" si="285"/>
        <v>4463.6337716161715</v>
      </c>
      <c r="CF160" s="644">
        <f t="shared" si="356"/>
        <v>0</v>
      </c>
      <c r="CG160" s="645">
        <f t="shared" si="357"/>
        <v>4463.6337716161715</v>
      </c>
      <c r="CH160" s="646">
        <f t="shared" si="358"/>
        <v>0</v>
      </c>
      <c r="CI160" s="647">
        <f t="shared" si="286"/>
        <v>4463.6337716161715</v>
      </c>
      <c r="CJ160" s="644">
        <f t="shared" si="359"/>
        <v>0</v>
      </c>
      <c r="CK160" s="645">
        <f t="shared" si="360"/>
        <v>4463.6337716161715</v>
      </c>
      <c r="CL160" s="646">
        <f t="shared" si="361"/>
        <v>0</v>
      </c>
      <c r="CM160" s="647">
        <f t="shared" si="287"/>
        <v>4463.6337716161715</v>
      </c>
      <c r="CN160" s="644">
        <f t="shared" si="362"/>
        <v>0</v>
      </c>
      <c r="CO160" s="645">
        <f t="shared" si="363"/>
        <v>4463.6337716161715</v>
      </c>
      <c r="CP160" s="646">
        <f t="shared" si="364"/>
        <v>0</v>
      </c>
      <c r="CQ160" s="647">
        <f t="shared" si="288"/>
        <v>4463.6337716161715</v>
      </c>
      <c r="CS160" s="644">
        <f t="shared" si="365"/>
        <v>4193.1921460361464</v>
      </c>
      <c r="CT160" s="645">
        <f t="shared" si="259"/>
        <v>3289.143779361646</v>
      </c>
      <c r="CU160" s="644">
        <f t="shared" si="366"/>
        <v>0</v>
      </c>
      <c r="CV160" s="645">
        <f t="shared" si="367"/>
        <v>4193.1921460361464</v>
      </c>
      <c r="CW160" s="646">
        <f t="shared" si="368"/>
        <v>-42.940657240440181</v>
      </c>
      <c r="CX160" s="647">
        <f t="shared" si="369"/>
        <v>4150.2514887957059</v>
      </c>
      <c r="CY160" s="644">
        <f t="shared" si="289"/>
        <v>0</v>
      </c>
      <c r="CZ160" s="645">
        <f t="shared" si="290"/>
        <v>4150.2514887957059</v>
      </c>
      <c r="DA160" s="646">
        <f t="shared" si="370"/>
        <v>-3.2579624905846978</v>
      </c>
      <c r="DB160" s="647">
        <f t="shared" si="291"/>
        <v>4146.9935263051211</v>
      </c>
      <c r="DC160" s="644">
        <f t="shared" si="371"/>
        <v>0</v>
      </c>
      <c r="DD160" s="645">
        <f t="shared" si="372"/>
        <v>4146.9935263051211</v>
      </c>
      <c r="DE160" s="646">
        <f t="shared" si="373"/>
        <v>-2.8095868611776919E-3</v>
      </c>
      <c r="DF160" s="647">
        <f t="shared" si="292"/>
        <v>4146.99071671826</v>
      </c>
      <c r="DG160" s="644">
        <f t="shared" si="374"/>
        <v>0</v>
      </c>
      <c r="DH160" s="645">
        <f t="shared" si="375"/>
        <v>4146.99071671826</v>
      </c>
      <c r="DI160" s="646">
        <f t="shared" si="376"/>
        <v>0</v>
      </c>
      <c r="DJ160" s="647">
        <f t="shared" si="293"/>
        <v>4146.99071671826</v>
      </c>
      <c r="DK160" s="644">
        <f t="shared" si="377"/>
        <v>0</v>
      </c>
      <c r="DL160" s="645">
        <f t="shared" si="378"/>
        <v>4146.99071671826</v>
      </c>
      <c r="DM160" s="646">
        <f t="shared" si="379"/>
        <v>0</v>
      </c>
      <c r="DN160" s="647">
        <f t="shared" si="294"/>
        <v>4146.99071671826</v>
      </c>
      <c r="DR160" s="827">
        <f t="shared" si="295"/>
        <v>19750.882837187655</v>
      </c>
      <c r="DV160" s="828">
        <f>IFERROR(VLOOKUP($B160,'Afton FY16 Final'!$A$5:$BV$587,'Afton FY16 Final'!$BV$587,0),0)</f>
        <v>16545.554128573302</v>
      </c>
      <c r="DX160" s="636">
        <f t="shared" si="260"/>
        <v>19750.882837187655</v>
      </c>
      <c r="DY160" s="637">
        <f t="shared" si="261"/>
        <v>3205.3287086143537</v>
      </c>
      <c r="DZ160" s="637">
        <f t="shared" si="262"/>
        <v>16545.554128573302</v>
      </c>
      <c r="EA160" s="643">
        <f t="shared" si="263"/>
        <v>18700.357226312412</v>
      </c>
      <c r="EB160" s="637">
        <f t="shared" si="296"/>
        <v>0</v>
      </c>
      <c r="EC160" s="637">
        <f t="shared" si="297"/>
        <v>18700.357226312412</v>
      </c>
      <c r="ED160" s="637">
        <f t="shared" si="298"/>
        <v>18644.593877619354</v>
      </c>
      <c r="EE160" s="643">
        <f t="shared" si="299"/>
        <v>18644.593877619354</v>
      </c>
      <c r="EF160" s="637">
        <f t="shared" si="300"/>
        <v>0</v>
      </c>
      <c r="EG160" s="637">
        <f t="shared" si="301"/>
        <v>18644.593877619354</v>
      </c>
      <c r="EH160" s="637">
        <f t="shared" si="302"/>
        <v>18644.574642719603</v>
      </c>
      <c r="EI160" s="643">
        <f t="shared" si="303"/>
        <v>18644.574642719603</v>
      </c>
      <c r="EJ160" s="637">
        <f t="shared" si="304"/>
        <v>0</v>
      </c>
      <c r="EK160" s="637">
        <f t="shared" si="305"/>
        <v>18644.574642719603</v>
      </c>
      <c r="EL160" s="637">
        <f t="shared" si="306"/>
        <v>18644.574642719577</v>
      </c>
      <c r="EM160" s="643">
        <f t="shared" si="307"/>
        <v>18644.574642719577</v>
      </c>
      <c r="EN160" s="637">
        <f t="shared" si="308"/>
        <v>0</v>
      </c>
      <c r="EO160" s="637">
        <f t="shared" si="309"/>
        <v>18644.574642719577</v>
      </c>
      <c r="EP160" s="637">
        <f t="shared" si="310"/>
        <v>18644.574642719606</v>
      </c>
      <c r="EQ160" s="643">
        <f t="shared" si="311"/>
        <v>18644.574642719606</v>
      </c>
      <c r="ER160" s="637">
        <f t="shared" si="312"/>
        <v>0</v>
      </c>
      <c r="ES160" s="637">
        <f t="shared" si="313"/>
        <v>18644.574642719606</v>
      </c>
      <c r="ET160" s="637">
        <f t="shared" si="314"/>
        <v>18644.574642719577</v>
      </c>
      <c r="EU160" s="643">
        <f t="shared" si="264"/>
        <v>18644.574642719577</v>
      </c>
      <c r="EV160" s="643">
        <f t="shared" si="265"/>
        <v>0</v>
      </c>
      <c r="EX160" s="829">
        <f t="shared" si="266"/>
        <v>1106.308194468078</v>
      </c>
      <c r="EY160" s="638">
        <f t="shared" si="267"/>
        <v>18644.574642719577</v>
      </c>
      <c r="FC160" s="830" t="str">
        <f t="shared" si="315"/>
        <v>Y</v>
      </c>
      <c r="FE160" s="830" t="str">
        <f>IFERROR(VLOOKUP($B160,'Historical Conc Grant Elig'!$B$3:$J$707,'HH &amp; SI'!FE$2,0),"N")</f>
        <v>N</v>
      </c>
      <c r="FF160" s="830" t="str">
        <f>IFERROR(VLOOKUP($B160,'Historical Conc Grant Elig'!$B$3:$J$707,'HH &amp; SI'!FF$2,0),"N")</f>
        <v>N</v>
      </c>
      <c r="FG160" s="830" t="str">
        <f>IFERROR(VLOOKUP($B160,'Historical Conc Grant Elig'!$B$3:$J$707,'HH &amp; SI'!FG$2,0),"N")</f>
        <v>N</v>
      </c>
      <c r="FH160" s="830" t="str">
        <f>IFERROR(VLOOKUP($B160,'Historical Conc Grant Elig'!$B$3:$J$707,'HH &amp; SI'!FH$2,0),"N")</f>
        <v>N</v>
      </c>
      <c r="FI160" s="830" t="str">
        <f>IFERROR(VLOOKUP($B160,'Historical Conc Grant Elig'!$B$3:$J$707,'HH &amp; SI'!FI$2,0),"N")</f>
        <v>N</v>
      </c>
      <c r="FJ160" s="830" t="str">
        <f>IFERROR(VLOOKUP($B160,'Historical Conc Grant Elig'!$B$3:$J$707,'HH &amp; SI'!FJ$2,0),"N")</f>
        <v>N</v>
      </c>
      <c r="FK160" s="830" t="str">
        <f>IFERROR(VLOOKUP($B160,'Historical Conc Grant Elig'!$B$3:$J$707,'HH &amp; SI'!FK$2,0),"N")</f>
        <v>Y</v>
      </c>
      <c r="FL160" s="957" t="str">
        <f>IFERROR(VLOOKUP($B160,'Historical Conc Grant Elig'!$B$3:$J$707,'HH &amp; SI'!FL$2,0),"N")</f>
        <v>Y</v>
      </c>
    </row>
    <row r="161" spans="2:168" x14ac:dyDescent="0.25">
      <c r="B161" s="634">
        <v>78270000</v>
      </c>
      <c r="C161" s="635" t="str">
        <f>VLOOKUP($B161,'Afton Update'!$A$5:$CR$582,'Afton Update'!D$589,0)</f>
        <v>Academy of Mathematics and Science, Inc.</v>
      </c>
      <c r="D161" s="636">
        <f>IFERROR(VLOOKUP($B161,'Afton FY16 Final'!$A$5:$BV$587,'Afton FY16 Final'!AQ$587,0),0)</f>
        <v>44354.257516042024</v>
      </c>
      <c r="E161" s="637">
        <f>IFERROR(VLOOKUP($B161,'Afton FY16 Final'!$A$5:$BV$587,'Afton FY16 Final'!AR$587,0),0)</f>
        <v>10914.733430814089</v>
      </c>
      <c r="F161" s="637">
        <f>IFERROR(VLOOKUP($B161,'Afton FY16 Final'!$A$5:$BV$587,'Afton FY16 Final'!AS$587,0),0)</f>
        <v>24071.576563392533</v>
      </c>
      <c r="G161" s="637">
        <f>IFERROR(VLOOKUP($B161,'Afton FY16 Final'!$A$5:$BV$587,'Afton FY16 Final'!AT$587,0),0)</f>
        <v>20211.900496541984</v>
      </c>
      <c r="H161" s="638">
        <f>IFERROR(VLOOKUP($B161,'Afton FY16 Final'!$A$5:$BV$587,'Afton FY16 Final'!AU$587,0),0)</f>
        <v>99552.46800679063</v>
      </c>
      <c r="I161" s="639" t="str">
        <f>VLOOKUP($B161,'Afton Update'!$A$5:$CR$582,'Afton Update'!BT$589,0)</f>
        <v>Y</v>
      </c>
      <c r="J161" s="640" t="str">
        <f>VLOOKUP($B161,'Afton Update'!$A$5:$CR$582,'Afton Update'!BU$589,0)</f>
        <v>Y</v>
      </c>
      <c r="K161" s="640" t="str">
        <f>VLOOKUP($B161,'Afton Update'!$A$5:$CR$582,'Afton Update'!BV$589,0)</f>
        <v>Y</v>
      </c>
      <c r="L161" s="641" t="str">
        <f>VLOOKUP($B161,'Afton Update'!$A$5:$CR$582,'Afton Update'!BW$589,0)</f>
        <v>Y</v>
      </c>
      <c r="N161" s="642">
        <f>VLOOKUP($B161,'Afton Update'!$A$5:$CR$582,'Afton Update'!CB$589,0)</f>
        <v>0.95</v>
      </c>
      <c r="P161" s="636">
        <f>VLOOKUP($B161,'Afton Update'!$A$5:$CR$582,'Afton Update'!AH$589,0)</f>
        <v>126281.56830057356</v>
      </c>
      <c r="Q161" s="637">
        <f>VLOOKUP($B161,'Afton Update'!$A$5:$CR$582,'Afton Update'!AI$589,0)</f>
        <v>28245.646630147581</v>
      </c>
      <c r="R161" s="637">
        <f>VLOOKUP($B161,'Afton Update'!$A$5:$CR$582,'Afton Update'!AJ$589,0)</f>
        <v>73933.142476223176</v>
      </c>
      <c r="S161" s="637">
        <f>VLOOKUP($B161,'Afton Update'!$A$5:$CR$582,'Afton Update'!AK$589,0)</f>
        <v>68822.043824132663</v>
      </c>
      <c r="T161" s="643">
        <f t="shared" si="268"/>
        <v>297282.40123107698</v>
      </c>
      <c r="V161" s="636">
        <f t="shared" si="316"/>
        <v>124559.00574417638</v>
      </c>
      <c r="W161" s="637">
        <f t="shared" si="317"/>
        <v>27315.338298925286</v>
      </c>
      <c r="X161" s="637">
        <f t="shared" si="318"/>
        <v>73260.749411505967</v>
      </c>
      <c r="Y161" s="637">
        <f t="shared" si="319"/>
        <v>68063.748787197866</v>
      </c>
      <c r="Z161" s="643">
        <f t="shared" si="320"/>
        <v>293198.84224180551</v>
      </c>
      <c r="AB161" s="644">
        <f t="shared" si="269"/>
        <v>126281.56830057356</v>
      </c>
      <c r="AC161" s="645">
        <f t="shared" si="257"/>
        <v>42136.544640239917</v>
      </c>
      <c r="AD161" s="644">
        <f t="shared" si="321"/>
        <v>0</v>
      </c>
      <c r="AE161" s="645">
        <f t="shared" si="322"/>
        <v>126281.56830057356</v>
      </c>
      <c r="AF161" s="646">
        <f t="shared" si="323"/>
        <v>-1565.3549371580473</v>
      </c>
      <c r="AG161" s="647">
        <f t="shared" si="324"/>
        <v>124716.21336341552</v>
      </c>
      <c r="AH161" s="644">
        <f t="shared" si="270"/>
        <v>0</v>
      </c>
      <c r="AI161" s="645">
        <f t="shared" si="271"/>
        <v>124716.21336341552</v>
      </c>
      <c r="AJ161" s="646">
        <f t="shared" si="325"/>
        <v>-157.10746274777586</v>
      </c>
      <c r="AK161" s="647">
        <f t="shared" si="272"/>
        <v>124559.10590066774</v>
      </c>
      <c r="AL161" s="644">
        <f t="shared" si="326"/>
        <v>0</v>
      </c>
      <c r="AM161" s="645">
        <f t="shared" si="327"/>
        <v>124559.10590066774</v>
      </c>
      <c r="AN161" s="646">
        <f t="shared" si="328"/>
        <v>-0.10015649136551338</v>
      </c>
      <c r="AO161" s="647">
        <f t="shared" si="273"/>
        <v>124559.00574417638</v>
      </c>
      <c r="AP161" s="644">
        <f t="shared" si="329"/>
        <v>0</v>
      </c>
      <c r="AQ161" s="645">
        <f t="shared" si="330"/>
        <v>124559.00574417638</v>
      </c>
      <c r="AR161" s="646">
        <f t="shared" si="331"/>
        <v>0</v>
      </c>
      <c r="AS161" s="647">
        <f t="shared" si="274"/>
        <v>124559.00574417638</v>
      </c>
      <c r="AT161" s="644">
        <f t="shared" si="332"/>
        <v>0</v>
      </c>
      <c r="AU161" s="645">
        <f t="shared" si="333"/>
        <v>124559.00574417638</v>
      </c>
      <c r="AV161" s="646">
        <f t="shared" si="334"/>
        <v>0</v>
      </c>
      <c r="AW161" s="647">
        <f t="shared" si="275"/>
        <v>124559.00574417638</v>
      </c>
      <c r="AY161" s="644">
        <f t="shared" si="335"/>
        <v>28245.646630147581</v>
      </c>
      <c r="AZ161" s="645">
        <f t="shared" si="276"/>
        <v>10368.996759273385</v>
      </c>
      <c r="BA161" s="644">
        <f t="shared" si="336"/>
        <v>0</v>
      </c>
      <c r="BB161" s="645">
        <f t="shared" si="337"/>
        <v>28245.646630147581</v>
      </c>
      <c r="BC161" s="646">
        <f t="shared" si="338"/>
        <v>-203.12267655873723</v>
      </c>
      <c r="BD161" s="647">
        <f t="shared" si="339"/>
        <v>28042.523953588843</v>
      </c>
      <c r="BE161" s="644">
        <f t="shared" si="277"/>
        <v>0</v>
      </c>
      <c r="BF161" s="645">
        <f t="shared" si="278"/>
        <v>28042.523953588843</v>
      </c>
      <c r="BG161" s="646">
        <f t="shared" si="340"/>
        <v>-667.95006756617181</v>
      </c>
      <c r="BH161" s="647">
        <f t="shared" si="279"/>
        <v>27374.57388602267</v>
      </c>
      <c r="BI161" s="644">
        <f t="shared" si="341"/>
        <v>0</v>
      </c>
      <c r="BJ161" s="645">
        <f t="shared" si="342"/>
        <v>27374.57388602267</v>
      </c>
      <c r="BK161" s="646">
        <f t="shared" si="343"/>
        <v>-57.985777011762565</v>
      </c>
      <c r="BL161" s="647">
        <f t="shared" si="280"/>
        <v>27316.588109010907</v>
      </c>
      <c r="BM161" s="644">
        <f t="shared" si="344"/>
        <v>0</v>
      </c>
      <c r="BN161" s="645">
        <f t="shared" si="345"/>
        <v>27316.588109010907</v>
      </c>
      <c r="BO161" s="646">
        <f t="shared" si="346"/>
        <v>-1.249810085619772</v>
      </c>
      <c r="BP161" s="647">
        <f t="shared" si="281"/>
        <v>27315.338298925286</v>
      </c>
      <c r="BQ161" s="644">
        <f t="shared" si="347"/>
        <v>0</v>
      </c>
      <c r="BR161" s="645">
        <f t="shared" si="348"/>
        <v>27315.338298925286</v>
      </c>
      <c r="BS161" s="646">
        <f t="shared" si="349"/>
        <v>0</v>
      </c>
      <c r="BT161" s="647">
        <f t="shared" si="282"/>
        <v>27315.338298925286</v>
      </c>
      <c r="BU161" s="662">
        <f>VLOOKUP(B161,'Afton Update'!$A$5:$AR$582,'Afton Update'!$AO$589,0)-BT161</f>
        <v>0</v>
      </c>
      <c r="BV161" s="644">
        <f t="shared" si="350"/>
        <v>73933.142476223176</v>
      </c>
      <c r="BW161" s="645">
        <f t="shared" si="258"/>
        <v>22867.997735222907</v>
      </c>
      <c r="BX161" s="644">
        <f t="shared" si="351"/>
        <v>0</v>
      </c>
      <c r="BY161" s="645">
        <f t="shared" si="352"/>
        <v>73933.142476223176</v>
      </c>
      <c r="BZ161" s="646">
        <f t="shared" si="353"/>
        <v>-648.91905199770497</v>
      </c>
      <c r="CA161" s="647">
        <f t="shared" si="354"/>
        <v>73284.223424225478</v>
      </c>
      <c r="CB161" s="644">
        <f t="shared" si="283"/>
        <v>0</v>
      </c>
      <c r="CC161" s="645">
        <f t="shared" si="284"/>
        <v>73284.223424225478</v>
      </c>
      <c r="CD161" s="646">
        <f t="shared" si="355"/>
        <v>-23.474012719503857</v>
      </c>
      <c r="CE161" s="647">
        <f t="shared" si="285"/>
        <v>73260.749411505967</v>
      </c>
      <c r="CF161" s="644">
        <f t="shared" si="356"/>
        <v>0</v>
      </c>
      <c r="CG161" s="645">
        <f t="shared" si="357"/>
        <v>73260.749411505967</v>
      </c>
      <c r="CH161" s="646">
        <f t="shared" si="358"/>
        <v>0</v>
      </c>
      <c r="CI161" s="647">
        <f t="shared" si="286"/>
        <v>73260.749411505967</v>
      </c>
      <c r="CJ161" s="644">
        <f t="shared" si="359"/>
        <v>0</v>
      </c>
      <c r="CK161" s="645">
        <f t="shared" si="360"/>
        <v>73260.749411505967</v>
      </c>
      <c r="CL161" s="646">
        <f t="shared" si="361"/>
        <v>0</v>
      </c>
      <c r="CM161" s="647">
        <f t="shared" si="287"/>
        <v>73260.749411505967</v>
      </c>
      <c r="CN161" s="644">
        <f t="shared" si="362"/>
        <v>0</v>
      </c>
      <c r="CO161" s="645">
        <f t="shared" si="363"/>
        <v>73260.749411505967</v>
      </c>
      <c r="CP161" s="646">
        <f t="shared" si="364"/>
        <v>0</v>
      </c>
      <c r="CQ161" s="647">
        <f t="shared" si="288"/>
        <v>73260.749411505967</v>
      </c>
      <c r="CS161" s="644">
        <f t="shared" si="365"/>
        <v>68822.043824132663</v>
      </c>
      <c r="CT161" s="645">
        <f t="shared" si="259"/>
        <v>19201.305471714884</v>
      </c>
      <c r="CU161" s="644">
        <f t="shared" si="366"/>
        <v>0</v>
      </c>
      <c r="CV161" s="645">
        <f t="shared" si="367"/>
        <v>68822.043824132663</v>
      </c>
      <c r="CW161" s="646">
        <f t="shared" si="368"/>
        <v>-704.77662160849593</v>
      </c>
      <c r="CX161" s="647">
        <f t="shared" si="369"/>
        <v>68117.267202524163</v>
      </c>
      <c r="CY161" s="644">
        <f t="shared" si="289"/>
        <v>0</v>
      </c>
      <c r="CZ161" s="645">
        <f t="shared" si="290"/>
        <v>68117.267202524163</v>
      </c>
      <c r="DA161" s="646">
        <f t="shared" si="370"/>
        <v>-53.472302125805712</v>
      </c>
      <c r="DB161" s="647">
        <f t="shared" si="291"/>
        <v>68063.794900398352</v>
      </c>
      <c r="DC161" s="644">
        <f t="shared" si="371"/>
        <v>0</v>
      </c>
      <c r="DD161" s="645">
        <f t="shared" si="372"/>
        <v>68063.794900398352</v>
      </c>
      <c r="DE161" s="646">
        <f t="shared" si="373"/>
        <v>-4.6113200481514877E-2</v>
      </c>
      <c r="DF161" s="647">
        <f t="shared" si="292"/>
        <v>68063.748787197866</v>
      </c>
      <c r="DG161" s="644">
        <f t="shared" si="374"/>
        <v>0</v>
      </c>
      <c r="DH161" s="645">
        <f t="shared" si="375"/>
        <v>68063.748787197866</v>
      </c>
      <c r="DI161" s="646">
        <f t="shared" si="376"/>
        <v>0</v>
      </c>
      <c r="DJ161" s="647">
        <f t="shared" si="293"/>
        <v>68063.748787197866</v>
      </c>
      <c r="DK161" s="644">
        <f t="shared" si="377"/>
        <v>0</v>
      </c>
      <c r="DL161" s="645">
        <f t="shared" si="378"/>
        <v>68063.748787197866</v>
      </c>
      <c r="DM161" s="646">
        <f t="shared" si="379"/>
        <v>0</v>
      </c>
      <c r="DN161" s="647">
        <f t="shared" si="294"/>
        <v>68063.748787197866</v>
      </c>
      <c r="DR161" s="827">
        <f t="shared" si="295"/>
        <v>293198.84224180551</v>
      </c>
      <c r="DV161" s="828">
        <f>IFERROR(VLOOKUP($B161,'Afton FY16 Final'!$A$5:$BV$587,'Afton FY16 Final'!$BV$587,0),0)</f>
        <v>88385.705430565431</v>
      </c>
      <c r="DX161" s="636">
        <f t="shared" si="260"/>
        <v>293198.84224180551</v>
      </c>
      <c r="DY161" s="637">
        <f t="shared" si="261"/>
        <v>204813.13681124008</v>
      </c>
      <c r="DZ161" s="637">
        <f t="shared" si="262"/>
        <v>88385.705430565431</v>
      </c>
      <c r="EA161" s="643">
        <f t="shared" si="263"/>
        <v>277603.94983152556</v>
      </c>
      <c r="EB161" s="637">
        <f t="shared" si="296"/>
        <v>0</v>
      </c>
      <c r="EC161" s="637">
        <f t="shared" si="297"/>
        <v>277603.94983152556</v>
      </c>
      <c r="ED161" s="637">
        <f t="shared" si="298"/>
        <v>276776.15142822854</v>
      </c>
      <c r="EE161" s="643">
        <f t="shared" si="299"/>
        <v>276776.15142822854</v>
      </c>
      <c r="EF161" s="637">
        <f t="shared" si="300"/>
        <v>0</v>
      </c>
      <c r="EG161" s="637">
        <f t="shared" si="301"/>
        <v>276776.15142822854</v>
      </c>
      <c r="EH161" s="637">
        <f t="shared" si="302"/>
        <v>276775.86588907649</v>
      </c>
      <c r="EI161" s="643">
        <f t="shared" si="303"/>
        <v>276775.86588907649</v>
      </c>
      <c r="EJ161" s="637">
        <f t="shared" si="304"/>
        <v>0</v>
      </c>
      <c r="EK161" s="637">
        <f t="shared" si="305"/>
        <v>276775.86588907649</v>
      </c>
      <c r="EL161" s="637">
        <f t="shared" si="306"/>
        <v>276775.86588907609</v>
      </c>
      <c r="EM161" s="643">
        <f t="shared" si="307"/>
        <v>276775.86588907609</v>
      </c>
      <c r="EN161" s="637">
        <f t="shared" si="308"/>
        <v>0</v>
      </c>
      <c r="EO161" s="637">
        <f t="shared" si="309"/>
        <v>276775.86588907609</v>
      </c>
      <c r="EP161" s="637">
        <f t="shared" si="310"/>
        <v>276775.86588907655</v>
      </c>
      <c r="EQ161" s="643">
        <f t="shared" si="311"/>
        <v>276775.86588907655</v>
      </c>
      <c r="ER161" s="637">
        <f t="shared" si="312"/>
        <v>0</v>
      </c>
      <c r="ES161" s="637">
        <f t="shared" si="313"/>
        <v>276775.86588907655</v>
      </c>
      <c r="ET161" s="637">
        <f t="shared" si="314"/>
        <v>276775.86588907609</v>
      </c>
      <c r="EU161" s="643">
        <f t="shared" si="264"/>
        <v>276775.86588907609</v>
      </c>
      <c r="EV161" s="643">
        <f t="shared" si="265"/>
        <v>0</v>
      </c>
      <c r="EX161" s="829">
        <f t="shared" si="266"/>
        <v>16422.976352729427</v>
      </c>
      <c r="EY161" s="638">
        <f t="shared" si="267"/>
        <v>276775.86588907609</v>
      </c>
      <c r="FC161" s="830" t="str">
        <f t="shared" si="315"/>
        <v>Y</v>
      </c>
      <c r="FE161" s="830" t="str">
        <f>IFERROR(VLOOKUP($B161,'Historical Conc Grant Elig'!$B$3:$J$707,'HH &amp; SI'!FE$2,0),"N")</f>
        <v>N</v>
      </c>
      <c r="FF161" s="830" t="str">
        <f>IFERROR(VLOOKUP($B161,'Historical Conc Grant Elig'!$B$3:$J$707,'HH &amp; SI'!FF$2,0),"N")</f>
        <v>N</v>
      </c>
      <c r="FG161" s="830" t="str">
        <f>IFERROR(VLOOKUP($B161,'Historical Conc Grant Elig'!$B$3:$J$707,'HH &amp; SI'!FG$2,0),"N")</f>
        <v>N</v>
      </c>
      <c r="FH161" s="830" t="str">
        <f>IFERROR(VLOOKUP($B161,'Historical Conc Grant Elig'!$B$3:$J$707,'HH &amp; SI'!FH$2,0),"N")</f>
        <v>N</v>
      </c>
      <c r="FI161" s="830" t="str">
        <f>IFERROR(VLOOKUP($B161,'Historical Conc Grant Elig'!$B$3:$J$707,'HH &amp; SI'!FI$2,0),"N")</f>
        <v>N</v>
      </c>
      <c r="FJ161" s="830" t="str">
        <f>IFERROR(VLOOKUP($B161,'Historical Conc Grant Elig'!$B$3:$J$707,'HH &amp; SI'!FJ$2,0),"N")</f>
        <v>N</v>
      </c>
      <c r="FK161" s="830" t="str">
        <f>IFERROR(VLOOKUP($B161,'Historical Conc Grant Elig'!$B$3:$J$707,'HH &amp; SI'!FK$2,0),"N")</f>
        <v>Y</v>
      </c>
      <c r="FL161" s="957" t="str">
        <f>IFERROR(VLOOKUP($B161,'Historical Conc Grant Elig'!$B$3:$J$707,'HH &amp; SI'!FL$2,0),"N")</f>
        <v>Y</v>
      </c>
    </row>
    <row r="162" spans="2:168" x14ac:dyDescent="0.25">
      <c r="B162" s="634">
        <v>78274000</v>
      </c>
      <c r="C162" s="635" t="str">
        <f>VLOOKUP($B162,'Afton Update'!$A$5:$CR$582,'Afton Update'!D$589,0)</f>
        <v>Legacy Traditional School - Surprise</v>
      </c>
      <c r="D162" s="636">
        <f>IFERROR(VLOOKUP($B162,'Afton FY16 Final'!$A$5:$BV$587,'Afton FY16 Final'!AQ$587,0),0)</f>
        <v>73522.291231128955</v>
      </c>
      <c r="E162" s="637">
        <f>IFERROR(VLOOKUP($B162,'Afton FY16 Final'!$A$5:$BV$587,'Afton FY16 Final'!AR$587,0),0)</f>
        <v>0</v>
      </c>
      <c r="F162" s="637">
        <f>IFERROR(VLOOKUP($B162,'Afton FY16 Final'!$A$5:$BV$587,'Afton FY16 Final'!AS$587,0),0)</f>
        <v>39901.411084292529</v>
      </c>
      <c r="G162" s="637">
        <f>IFERROR(VLOOKUP($B162,'Afton FY16 Final'!$A$5:$BV$587,'Afton FY16 Final'!AT$587,0),0)</f>
        <v>33503.553387268301</v>
      </c>
      <c r="H162" s="638">
        <f>IFERROR(VLOOKUP($B162,'Afton FY16 Final'!$A$5:$BV$587,'Afton FY16 Final'!AU$587,0),0)</f>
        <v>146927.25570268978</v>
      </c>
      <c r="I162" s="639" t="str">
        <f>VLOOKUP($B162,'Afton Update'!$A$5:$CR$582,'Afton Update'!BT$589,0)</f>
        <v>Y</v>
      </c>
      <c r="J162" s="640" t="str">
        <f>VLOOKUP($B162,'Afton Update'!$A$5:$CR$582,'Afton Update'!BU$589,0)</f>
        <v>N</v>
      </c>
      <c r="K162" s="640" t="str">
        <f>VLOOKUP($B162,'Afton Update'!$A$5:$CR$582,'Afton Update'!BV$589,0)</f>
        <v>Y</v>
      </c>
      <c r="L162" s="641" t="str">
        <f>VLOOKUP($B162,'Afton Update'!$A$5:$CR$582,'Afton Update'!BW$589,0)</f>
        <v>Y</v>
      </c>
      <c r="N162" s="642">
        <f>VLOOKUP($B162,'Afton Update'!$A$5:$CR$582,'Afton Update'!CB$589,0)</f>
        <v>0.85</v>
      </c>
      <c r="P162" s="636">
        <f>VLOOKUP($B162,'Afton Update'!$A$5:$CR$582,'Afton Update'!AH$589,0)</f>
        <v>76534.283818529424</v>
      </c>
      <c r="Q162" s="637" t="str">
        <f>VLOOKUP($B162,'Afton Update'!$A$5:$CR$582,'Afton Update'!AI$589,0)</f>
        <v/>
      </c>
      <c r="R162" s="637">
        <f>VLOOKUP($B162,'Afton Update'!$A$5:$CR$582,'Afton Update'!AJ$589,0)</f>
        <v>44817.947815525062</v>
      </c>
      <c r="S162" s="637">
        <f>VLOOKUP($B162,'Afton Update'!$A$5:$CR$582,'Afton Update'!AK$589,0)</f>
        <v>41719.62215267284</v>
      </c>
      <c r="T162" s="643">
        <f t="shared" si="268"/>
        <v>163071.85378672733</v>
      </c>
      <c r="V162" s="636">
        <f t="shared" si="316"/>
        <v>75490.306511622024</v>
      </c>
      <c r="W162" s="637">
        <f t="shared" si="317"/>
        <v>0</v>
      </c>
      <c r="X162" s="637">
        <f t="shared" si="318"/>
        <v>44410.34607864896</v>
      </c>
      <c r="Y162" s="637">
        <f t="shared" si="319"/>
        <v>41259.947015706428</v>
      </c>
      <c r="Z162" s="643">
        <f t="shared" si="320"/>
        <v>161160.59960597742</v>
      </c>
      <c r="AB162" s="644">
        <f t="shared" si="269"/>
        <v>76534.283818529424</v>
      </c>
      <c r="AC162" s="645">
        <f t="shared" si="257"/>
        <v>62493.947546459611</v>
      </c>
      <c r="AD162" s="644">
        <f t="shared" si="321"/>
        <v>0</v>
      </c>
      <c r="AE162" s="645">
        <f t="shared" si="322"/>
        <v>76534.283818529424</v>
      </c>
      <c r="AF162" s="646">
        <f t="shared" si="323"/>
        <v>-948.69996191396785</v>
      </c>
      <c r="AG162" s="647">
        <f t="shared" si="324"/>
        <v>75585.583856615456</v>
      </c>
      <c r="AH162" s="644">
        <f t="shared" si="270"/>
        <v>0</v>
      </c>
      <c r="AI162" s="645">
        <f t="shared" si="271"/>
        <v>75585.583856615456</v>
      </c>
      <c r="AJ162" s="646">
        <f t="shared" si="325"/>
        <v>-95.216644089561115</v>
      </c>
      <c r="AK162" s="647">
        <f t="shared" si="272"/>
        <v>75490.367212525889</v>
      </c>
      <c r="AL162" s="644">
        <f t="shared" si="326"/>
        <v>0</v>
      </c>
      <c r="AM162" s="645">
        <f t="shared" si="327"/>
        <v>75490.367212525889</v>
      </c>
      <c r="AN162" s="646">
        <f t="shared" si="328"/>
        <v>-6.0700903857886887E-2</v>
      </c>
      <c r="AO162" s="647">
        <f t="shared" si="273"/>
        <v>75490.306511622024</v>
      </c>
      <c r="AP162" s="644">
        <f t="shared" si="329"/>
        <v>0</v>
      </c>
      <c r="AQ162" s="645">
        <f t="shared" si="330"/>
        <v>75490.306511622024</v>
      </c>
      <c r="AR162" s="646">
        <f t="shared" si="331"/>
        <v>0</v>
      </c>
      <c r="AS162" s="647">
        <f t="shared" si="274"/>
        <v>75490.306511622024</v>
      </c>
      <c r="AT162" s="644">
        <f t="shared" si="332"/>
        <v>0</v>
      </c>
      <c r="AU162" s="645">
        <f t="shared" si="333"/>
        <v>75490.306511622024</v>
      </c>
      <c r="AV162" s="646">
        <f t="shared" si="334"/>
        <v>0</v>
      </c>
      <c r="AW162" s="647">
        <f t="shared" si="275"/>
        <v>75490.306511622024</v>
      </c>
      <c r="AY162" s="644">
        <f t="shared" si="335"/>
        <v>0</v>
      </c>
      <c r="AZ162" s="645">
        <f t="shared" si="276"/>
        <v>0</v>
      </c>
      <c r="BA162" s="644">
        <f t="shared" si="336"/>
        <v>0</v>
      </c>
      <c r="BB162" s="645">
        <f t="shared" si="337"/>
        <v>0</v>
      </c>
      <c r="BC162" s="646">
        <f t="shared" si="338"/>
        <v>0</v>
      </c>
      <c r="BD162" s="647">
        <f t="shared" si="339"/>
        <v>0</v>
      </c>
      <c r="BE162" s="644">
        <f t="shared" si="277"/>
        <v>0</v>
      </c>
      <c r="BF162" s="645">
        <f t="shared" si="278"/>
        <v>0</v>
      </c>
      <c r="BG162" s="646">
        <f t="shared" si="340"/>
        <v>0</v>
      </c>
      <c r="BH162" s="647">
        <f t="shared" si="279"/>
        <v>0</v>
      </c>
      <c r="BI162" s="644">
        <f t="shared" si="341"/>
        <v>0</v>
      </c>
      <c r="BJ162" s="645">
        <f t="shared" si="342"/>
        <v>0</v>
      </c>
      <c r="BK162" s="646">
        <f t="shared" si="343"/>
        <v>0</v>
      </c>
      <c r="BL162" s="647">
        <f t="shared" si="280"/>
        <v>0</v>
      </c>
      <c r="BM162" s="644">
        <f t="shared" si="344"/>
        <v>0</v>
      </c>
      <c r="BN162" s="645">
        <f t="shared" si="345"/>
        <v>0</v>
      </c>
      <c r="BO162" s="646">
        <f t="shared" si="346"/>
        <v>0</v>
      </c>
      <c r="BP162" s="647">
        <f t="shared" si="281"/>
        <v>0</v>
      </c>
      <c r="BQ162" s="644">
        <f t="shared" si="347"/>
        <v>0</v>
      </c>
      <c r="BR162" s="645">
        <f t="shared" si="348"/>
        <v>0</v>
      </c>
      <c r="BS162" s="646">
        <f t="shared" si="349"/>
        <v>0</v>
      </c>
      <c r="BT162" s="647">
        <f t="shared" si="282"/>
        <v>0</v>
      </c>
      <c r="BU162" s="662">
        <f>VLOOKUP(B162,'Afton Update'!$A$5:$AR$582,'Afton Update'!$AO$589,0)-BT162</f>
        <v>0</v>
      </c>
      <c r="BV162" s="644">
        <f t="shared" si="350"/>
        <v>44817.947815525062</v>
      </c>
      <c r="BW162" s="645">
        <f t="shared" si="258"/>
        <v>33916.199421648649</v>
      </c>
      <c r="BX162" s="644">
        <f t="shared" si="351"/>
        <v>0</v>
      </c>
      <c r="BY162" s="645">
        <f t="shared" si="352"/>
        <v>44817.947815525062</v>
      </c>
      <c r="BZ162" s="646">
        <f t="shared" si="353"/>
        <v>-393.37189296784283</v>
      </c>
      <c r="CA162" s="647">
        <f t="shared" si="354"/>
        <v>44424.575922557218</v>
      </c>
      <c r="CB162" s="644">
        <f t="shared" si="283"/>
        <v>0</v>
      </c>
      <c r="CC162" s="645">
        <f t="shared" si="284"/>
        <v>44424.575922557218</v>
      </c>
      <c r="CD162" s="646">
        <f t="shared" si="355"/>
        <v>-14.229843908258541</v>
      </c>
      <c r="CE162" s="647">
        <f t="shared" si="285"/>
        <v>44410.34607864896</v>
      </c>
      <c r="CF162" s="644">
        <f t="shared" si="356"/>
        <v>0</v>
      </c>
      <c r="CG162" s="645">
        <f t="shared" si="357"/>
        <v>44410.34607864896</v>
      </c>
      <c r="CH162" s="646">
        <f t="shared" si="358"/>
        <v>0</v>
      </c>
      <c r="CI162" s="647">
        <f t="shared" si="286"/>
        <v>44410.34607864896</v>
      </c>
      <c r="CJ162" s="644">
        <f t="shared" si="359"/>
        <v>0</v>
      </c>
      <c r="CK162" s="645">
        <f t="shared" si="360"/>
        <v>44410.34607864896</v>
      </c>
      <c r="CL162" s="646">
        <f t="shared" si="361"/>
        <v>0</v>
      </c>
      <c r="CM162" s="647">
        <f t="shared" si="287"/>
        <v>44410.34607864896</v>
      </c>
      <c r="CN162" s="644">
        <f t="shared" si="362"/>
        <v>0</v>
      </c>
      <c r="CO162" s="645">
        <f t="shared" si="363"/>
        <v>44410.34607864896</v>
      </c>
      <c r="CP162" s="646">
        <f t="shared" si="364"/>
        <v>0</v>
      </c>
      <c r="CQ162" s="647">
        <f t="shared" si="288"/>
        <v>44410.34607864896</v>
      </c>
      <c r="CS162" s="644">
        <f t="shared" si="365"/>
        <v>41719.62215267284</v>
      </c>
      <c r="CT162" s="645">
        <f t="shared" si="259"/>
        <v>28478.020379178055</v>
      </c>
      <c r="CU162" s="644">
        <f t="shared" si="366"/>
        <v>0</v>
      </c>
      <c r="CV162" s="645">
        <f t="shared" si="367"/>
        <v>41719.62215267284</v>
      </c>
      <c r="CW162" s="646">
        <f t="shared" si="368"/>
        <v>-427.23250751866624</v>
      </c>
      <c r="CX162" s="647">
        <f t="shared" si="369"/>
        <v>41292.389645154173</v>
      </c>
      <c r="CY162" s="644">
        <f t="shared" si="289"/>
        <v>0</v>
      </c>
      <c r="CZ162" s="645">
        <f t="shared" si="290"/>
        <v>41292.389645154173</v>
      </c>
      <c r="DA162" s="646">
        <f t="shared" si="370"/>
        <v>-32.41467582716465</v>
      </c>
      <c r="DB162" s="647">
        <f t="shared" si="291"/>
        <v>41259.974969327006</v>
      </c>
      <c r="DC162" s="644">
        <f t="shared" si="371"/>
        <v>0</v>
      </c>
      <c r="DD162" s="645">
        <f t="shared" si="372"/>
        <v>41259.974969327006</v>
      </c>
      <c r="DE162" s="646">
        <f t="shared" si="373"/>
        <v>-2.7953620576212194E-2</v>
      </c>
      <c r="DF162" s="647">
        <f t="shared" si="292"/>
        <v>41259.947015706428</v>
      </c>
      <c r="DG162" s="644">
        <f t="shared" si="374"/>
        <v>0</v>
      </c>
      <c r="DH162" s="645">
        <f t="shared" si="375"/>
        <v>41259.947015706428</v>
      </c>
      <c r="DI162" s="646">
        <f t="shared" si="376"/>
        <v>0</v>
      </c>
      <c r="DJ162" s="647">
        <f t="shared" si="293"/>
        <v>41259.947015706428</v>
      </c>
      <c r="DK162" s="644">
        <f t="shared" si="377"/>
        <v>0</v>
      </c>
      <c r="DL162" s="645">
        <f t="shared" si="378"/>
        <v>41259.947015706428</v>
      </c>
      <c r="DM162" s="646">
        <f t="shared" si="379"/>
        <v>0</v>
      </c>
      <c r="DN162" s="647">
        <f t="shared" si="294"/>
        <v>41259.947015706428</v>
      </c>
      <c r="DR162" s="827">
        <f t="shared" si="295"/>
        <v>161160.59960597742</v>
      </c>
      <c r="DV162" s="828">
        <f>IFERROR(VLOOKUP($B162,'Afton FY16 Final'!$A$5:$BV$587,'Afton FY16 Final'!$BV$587,0),0)</f>
        <v>130446.4811597989</v>
      </c>
      <c r="DX162" s="636">
        <f t="shared" si="260"/>
        <v>161160.59960597742</v>
      </c>
      <c r="DY162" s="637">
        <f t="shared" si="261"/>
        <v>30714.118446178516</v>
      </c>
      <c r="DZ162" s="637">
        <f t="shared" si="262"/>
        <v>130446.4811597989</v>
      </c>
      <c r="EA162" s="643">
        <f t="shared" si="263"/>
        <v>152588.66189839711</v>
      </c>
      <c r="EB162" s="637">
        <f t="shared" si="296"/>
        <v>0</v>
      </c>
      <c r="EC162" s="637">
        <f t="shared" si="297"/>
        <v>152588.66189839711</v>
      </c>
      <c r="ED162" s="637">
        <f t="shared" si="298"/>
        <v>152133.65161933811</v>
      </c>
      <c r="EE162" s="643">
        <f t="shared" si="299"/>
        <v>152133.65161933811</v>
      </c>
      <c r="EF162" s="637">
        <f t="shared" si="300"/>
        <v>0</v>
      </c>
      <c r="EG162" s="637">
        <f t="shared" si="301"/>
        <v>152133.65161933811</v>
      </c>
      <c r="EH162" s="637">
        <f t="shared" si="302"/>
        <v>152133.49466898796</v>
      </c>
      <c r="EI162" s="643">
        <f t="shared" si="303"/>
        <v>152133.49466898796</v>
      </c>
      <c r="EJ162" s="637">
        <f t="shared" si="304"/>
        <v>0</v>
      </c>
      <c r="EK162" s="637">
        <f t="shared" si="305"/>
        <v>152133.49466898796</v>
      </c>
      <c r="EL162" s="637">
        <f t="shared" si="306"/>
        <v>152133.49466898775</v>
      </c>
      <c r="EM162" s="643">
        <f t="shared" si="307"/>
        <v>152133.49466898775</v>
      </c>
      <c r="EN162" s="637">
        <f t="shared" si="308"/>
        <v>0</v>
      </c>
      <c r="EO162" s="637">
        <f t="shared" si="309"/>
        <v>152133.49466898775</v>
      </c>
      <c r="EP162" s="637">
        <f t="shared" si="310"/>
        <v>152133.49466898799</v>
      </c>
      <c r="EQ162" s="643">
        <f t="shared" si="311"/>
        <v>152133.49466898799</v>
      </c>
      <c r="ER162" s="637">
        <f t="shared" si="312"/>
        <v>0</v>
      </c>
      <c r="ES162" s="637">
        <f t="shared" si="313"/>
        <v>152133.49466898799</v>
      </c>
      <c r="ET162" s="637">
        <f t="shared" si="314"/>
        <v>152133.49466898775</v>
      </c>
      <c r="EU162" s="643">
        <f t="shared" si="264"/>
        <v>152133.49466898775</v>
      </c>
      <c r="EV162" s="643">
        <f t="shared" si="265"/>
        <v>0</v>
      </c>
      <c r="EX162" s="829">
        <f t="shared" si="266"/>
        <v>9027.1049369896646</v>
      </c>
      <c r="EY162" s="638">
        <f t="shared" si="267"/>
        <v>152133.49466898775</v>
      </c>
      <c r="FC162" s="830" t="str">
        <f t="shared" si="315"/>
        <v>N</v>
      </c>
      <c r="FE162" s="830" t="str">
        <f>IFERROR(VLOOKUP($B162,'Historical Conc Grant Elig'!$B$3:$J$707,'HH &amp; SI'!FE$2,0),"N")</f>
        <v>N</v>
      </c>
      <c r="FF162" s="830" t="str">
        <f>IFERROR(VLOOKUP($B162,'Historical Conc Grant Elig'!$B$3:$J$707,'HH &amp; SI'!FF$2,0),"N")</f>
        <v>N</v>
      </c>
      <c r="FG162" s="830" t="str">
        <f>IFERROR(VLOOKUP($B162,'Historical Conc Grant Elig'!$B$3:$J$707,'HH &amp; SI'!FG$2,0),"N")</f>
        <v>N</v>
      </c>
      <c r="FH162" s="830" t="str">
        <f>IFERROR(VLOOKUP($B162,'Historical Conc Grant Elig'!$B$3:$J$707,'HH &amp; SI'!FH$2,0),"N")</f>
        <v>N</v>
      </c>
      <c r="FI162" s="830" t="str">
        <f>IFERROR(VLOOKUP($B162,'Historical Conc Grant Elig'!$B$3:$J$707,'HH &amp; SI'!FI$2,0),"N")</f>
        <v>N</v>
      </c>
      <c r="FJ162" s="830" t="str">
        <f>IFERROR(VLOOKUP($B162,'Historical Conc Grant Elig'!$B$3:$J$707,'HH &amp; SI'!FJ$2,0),"N")</f>
        <v>N</v>
      </c>
      <c r="FK162" s="830" t="str">
        <f>IFERROR(VLOOKUP($B162,'Historical Conc Grant Elig'!$B$3:$J$707,'HH &amp; SI'!FK$2,0),"N")</f>
        <v>N</v>
      </c>
      <c r="FL162" s="957" t="str">
        <f>IFERROR(VLOOKUP($B162,'Historical Conc Grant Elig'!$B$3:$J$707,'HH &amp; SI'!FL$2,0),"N")</f>
        <v>N</v>
      </c>
    </row>
    <row r="163" spans="2:168" x14ac:dyDescent="0.25">
      <c r="B163" s="634">
        <v>78281000</v>
      </c>
      <c r="C163" s="635" t="str">
        <f>VLOOKUP($B163,'Afton Update'!$A$5:$CR$582,'Afton Update'!D$589,0)</f>
        <v>Hope College and Career Readiness Academy</v>
      </c>
      <c r="D163" s="636">
        <f>IFERROR(VLOOKUP($B163,'Afton FY16 Final'!$A$5:$BV$587,'Afton FY16 Final'!AQ$587,0),0)</f>
        <v>0</v>
      </c>
      <c r="E163" s="637">
        <f>IFERROR(VLOOKUP($B163,'Afton FY16 Final'!$A$5:$BV$587,'Afton FY16 Final'!AR$587,0),0)</f>
        <v>0</v>
      </c>
      <c r="F163" s="637">
        <f>IFERROR(VLOOKUP($B163,'Afton FY16 Final'!$A$5:$BV$587,'Afton FY16 Final'!AS$587,0),0)</f>
        <v>0</v>
      </c>
      <c r="G163" s="637">
        <f>IFERROR(VLOOKUP($B163,'Afton FY16 Final'!$A$5:$BV$587,'Afton FY16 Final'!AT$587,0),0)</f>
        <v>0</v>
      </c>
      <c r="H163" s="638">
        <f>IFERROR(VLOOKUP($B163,'Afton FY16 Final'!$A$5:$BV$587,'Afton FY16 Final'!AU$587,0),0)</f>
        <v>0</v>
      </c>
      <c r="I163" s="639" t="str">
        <f>VLOOKUP($B163,'Afton Update'!$A$5:$CR$582,'Afton Update'!BT$589,0)</f>
        <v>Y</v>
      </c>
      <c r="J163" s="640" t="str">
        <f>VLOOKUP($B163,'Afton Update'!$A$5:$CR$582,'Afton Update'!BU$589,0)</f>
        <v>Y</v>
      </c>
      <c r="K163" s="640" t="str">
        <f>VLOOKUP($B163,'Afton Update'!$A$5:$CR$582,'Afton Update'!BV$589,0)</f>
        <v>Y</v>
      </c>
      <c r="L163" s="641" t="str">
        <f>VLOOKUP($B163,'Afton Update'!$A$5:$CR$582,'Afton Update'!BW$589,0)</f>
        <v>Y</v>
      </c>
      <c r="N163" s="642">
        <f>VLOOKUP($B163,'Afton Update'!$A$5:$CR$582,'Afton Update'!CB$589,0)</f>
        <v>0.9</v>
      </c>
      <c r="P163" s="636">
        <f>VLOOKUP($B163,'Afton Update'!$A$5:$CR$582,'Afton Update'!AH$589,0)</f>
        <v>11240.97293584651</v>
      </c>
      <c r="Q163" s="637">
        <f>VLOOKUP($B163,'Afton Update'!$A$5:$CR$582,'Afton Update'!AI$589,0)</f>
        <v>4455.4365090123283</v>
      </c>
      <c r="R163" s="637">
        <f>VLOOKUP($B163,'Afton Update'!$A$5:$CR$582,'Afton Update'!AJ$589,0)</f>
        <v>6604.2548233587759</v>
      </c>
      <c r="S163" s="637">
        <f>VLOOKUP($B163,'Afton Update'!$A$5:$CR$582,'Afton Update'!AK$589,0)</f>
        <v>6147.6937088818077</v>
      </c>
      <c r="T163" s="643">
        <f t="shared" si="268"/>
        <v>28448.357977099422</v>
      </c>
      <c r="V163" s="636">
        <f t="shared" si="316"/>
        <v>11087.638768894489</v>
      </c>
      <c r="W163" s="637">
        <f t="shared" si="317"/>
        <v>4308.6907199057659</v>
      </c>
      <c r="X163" s="637">
        <f t="shared" si="318"/>
        <v>6544.1917042741279</v>
      </c>
      <c r="Y163" s="637">
        <f t="shared" si="319"/>
        <v>6079.9571906238953</v>
      </c>
      <c r="Z163" s="643">
        <f t="shared" si="320"/>
        <v>28020.478383698279</v>
      </c>
      <c r="AB163" s="644">
        <f t="shared" si="269"/>
        <v>11240.97293584651</v>
      </c>
      <c r="AC163" s="645">
        <f t="shared" si="257"/>
        <v>0</v>
      </c>
      <c r="AD163" s="644">
        <f t="shared" si="321"/>
        <v>0</v>
      </c>
      <c r="AE163" s="645">
        <f t="shared" si="322"/>
        <v>11240.97293584651</v>
      </c>
      <c r="AF163" s="646">
        <f t="shared" si="323"/>
        <v>-139.34030690611405</v>
      </c>
      <c r="AG163" s="647">
        <f t="shared" si="324"/>
        <v>11101.632628940397</v>
      </c>
      <c r="AH163" s="644">
        <f t="shared" si="270"/>
        <v>0</v>
      </c>
      <c r="AI163" s="645">
        <f t="shared" si="271"/>
        <v>11101.632628940397</v>
      </c>
      <c r="AJ163" s="646">
        <f t="shared" si="325"/>
        <v>-13.984944600654293</v>
      </c>
      <c r="AK163" s="647">
        <f t="shared" si="272"/>
        <v>11087.647684339743</v>
      </c>
      <c r="AL163" s="644">
        <f t="shared" si="326"/>
        <v>0</v>
      </c>
      <c r="AM163" s="645">
        <f t="shared" si="327"/>
        <v>11087.647684339743</v>
      </c>
      <c r="AN163" s="646">
        <f t="shared" si="328"/>
        <v>-8.9154452541271387E-3</v>
      </c>
      <c r="AO163" s="647">
        <f t="shared" si="273"/>
        <v>11087.638768894489</v>
      </c>
      <c r="AP163" s="644">
        <f t="shared" si="329"/>
        <v>0</v>
      </c>
      <c r="AQ163" s="645">
        <f t="shared" si="330"/>
        <v>11087.638768894489</v>
      </c>
      <c r="AR163" s="646">
        <f t="shared" si="331"/>
        <v>0</v>
      </c>
      <c r="AS163" s="647">
        <f t="shared" si="274"/>
        <v>11087.638768894489</v>
      </c>
      <c r="AT163" s="644">
        <f t="shared" si="332"/>
        <v>0</v>
      </c>
      <c r="AU163" s="645">
        <f t="shared" si="333"/>
        <v>11087.638768894489</v>
      </c>
      <c r="AV163" s="646">
        <f t="shared" si="334"/>
        <v>0</v>
      </c>
      <c r="AW163" s="647">
        <f t="shared" si="275"/>
        <v>11087.638768894489</v>
      </c>
      <c r="AY163" s="644">
        <f t="shared" si="335"/>
        <v>4455.4365090123283</v>
      </c>
      <c r="AZ163" s="645">
        <f t="shared" si="276"/>
        <v>0</v>
      </c>
      <c r="BA163" s="644">
        <f t="shared" si="336"/>
        <v>0</v>
      </c>
      <c r="BB163" s="645">
        <f t="shared" si="337"/>
        <v>4455.4365090123283</v>
      </c>
      <c r="BC163" s="646">
        <f t="shared" si="338"/>
        <v>-32.040342386148872</v>
      </c>
      <c r="BD163" s="647">
        <f t="shared" si="339"/>
        <v>4423.3961666261794</v>
      </c>
      <c r="BE163" s="644">
        <f t="shared" si="277"/>
        <v>0</v>
      </c>
      <c r="BF163" s="645">
        <f t="shared" si="278"/>
        <v>4423.3961666261794</v>
      </c>
      <c r="BG163" s="646">
        <f t="shared" si="340"/>
        <v>-105.36169188122508</v>
      </c>
      <c r="BH163" s="647">
        <f t="shared" si="279"/>
        <v>4318.0344747449544</v>
      </c>
      <c r="BI163" s="644">
        <f t="shared" si="341"/>
        <v>0</v>
      </c>
      <c r="BJ163" s="645">
        <f t="shared" si="342"/>
        <v>4318.0344747449544</v>
      </c>
      <c r="BK163" s="646">
        <f t="shared" si="343"/>
        <v>-9.1466112029422106</v>
      </c>
      <c r="BL163" s="647">
        <f t="shared" si="280"/>
        <v>4308.8878635420124</v>
      </c>
      <c r="BM163" s="644">
        <f t="shared" si="344"/>
        <v>0</v>
      </c>
      <c r="BN163" s="645">
        <f t="shared" si="345"/>
        <v>4308.8878635420124</v>
      </c>
      <c r="BO163" s="646">
        <f t="shared" si="346"/>
        <v>-0.19714363624654119</v>
      </c>
      <c r="BP163" s="647">
        <f t="shared" si="281"/>
        <v>4308.6907199057659</v>
      </c>
      <c r="BQ163" s="644">
        <f t="shared" si="347"/>
        <v>0</v>
      </c>
      <c r="BR163" s="645">
        <f t="shared" si="348"/>
        <v>4308.6907199057659</v>
      </c>
      <c r="BS163" s="646">
        <f t="shared" si="349"/>
        <v>0</v>
      </c>
      <c r="BT163" s="647">
        <f t="shared" si="282"/>
        <v>4308.6907199057659</v>
      </c>
      <c r="BU163" s="662">
        <f>VLOOKUP(B163,'Afton Update'!$A$5:$AR$582,'Afton Update'!$AO$589,0)-BT163</f>
        <v>0</v>
      </c>
      <c r="BV163" s="644">
        <f t="shared" si="350"/>
        <v>6604.2548233587759</v>
      </c>
      <c r="BW163" s="645">
        <f t="shared" si="258"/>
        <v>0</v>
      </c>
      <c r="BX163" s="644">
        <f t="shared" si="351"/>
        <v>0</v>
      </c>
      <c r="BY163" s="645">
        <f t="shared" si="352"/>
        <v>6604.2548233587759</v>
      </c>
      <c r="BZ163" s="646">
        <f t="shared" si="353"/>
        <v>-57.966246741148616</v>
      </c>
      <c r="CA163" s="647">
        <f t="shared" si="354"/>
        <v>6546.2885766176269</v>
      </c>
      <c r="CB163" s="644">
        <f t="shared" si="283"/>
        <v>0</v>
      </c>
      <c r="CC163" s="645">
        <f t="shared" si="284"/>
        <v>6546.2885766176269</v>
      </c>
      <c r="CD163" s="646">
        <f t="shared" si="355"/>
        <v>-2.0968723434990677</v>
      </c>
      <c r="CE163" s="647">
        <f t="shared" si="285"/>
        <v>6544.1917042741279</v>
      </c>
      <c r="CF163" s="644">
        <f t="shared" si="356"/>
        <v>0</v>
      </c>
      <c r="CG163" s="645">
        <f t="shared" si="357"/>
        <v>6544.1917042741279</v>
      </c>
      <c r="CH163" s="646">
        <f t="shared" si="358"/>
        <v>0</v>
      </c>
      <c r="CI163" s="647">
        <f t="shared" si="286"/>
        <v>6544.1917042741279</v>
      </c>
      <c r="CJ163" s="644">
        <f t="shared" si="359"/>
        <v>0</v>
      </c>
      <c r="CK163" s="645">
        <f t="shared" si="360"/>
        <v>6544.1917042741279</v>
      </c>
      <c r="CL163" s="646">
        <f t="shared" si="361"/>
        <v>0</v>
      </c>
      <c r="CM163" s="647">
        <f t="shared" si="287"/>
        <v>6544.1917042741279</v>
      </c>
      <c r="CN163" s="644">
        <f t="shared" si="362"/>
        <v>0</v>
      </c>
      <c r="CO163" s="645">
        <f t="shared" si="363"/>
        <v>6544.1917042741279</v>
      </c>
      <c r="CP163" s="646">
        <f t="shared" si="364"/>
        <v>0</v>
      </c>
      <c r="CQ163" s="647">
        <f t="shared" si="288"/>
        <v>6544.1917042741279</v>
      </c>
      <c r="CS163" s="644">
        <f t="shared" si="365"/>
        <v>6147.6937088818077</v>
      </c>
      <c r="CT163" s="645">
        <f t="shared" si="259"/>
        <v>0</v>
      </c>
      <c r="CU163" s="644">
        <f t="shared" si="366"/>
        <v>0</v>
      </c>
      <c r="CV163" s="645">
        <f t="shared" si="367"/>
        <v>6147.6937088818077</v>
      </c>
      <c r="CW163" s="646">
        <f t="shared" si="368"/>
        <v>-62.955857775764464</v>
      </c>
      <c r="CX163" s="647">
        <f t="shared" si="369"/>
        <v>6084.7378511060433</v>
      </c>
      <c r="CY163" s="644">
        <f t="shared" si="289"/>
        <v>0</v>
      </c>
      <c r="CZ163" s="645">
        <f t="shared" si="290"/>
        <v>6084.7378511060433</v>
      </c>
      <c r="DA163" s="646">
        <f t="shared" si="370"/>
        <v>-4.7765413101982377</v>
      </c>
      <c r="DB163" s="647">
        <f t="shared" si="291"/>
        <v>6079.9613097958454</v>
      </c>
      <c r="DC163" s="644">
        <f t="shared" si="371"/>
        <v>0</v>
      </c>
      <c r="DD163" s="645">
        <f t="shared" si="372"/>
        <v>6079.9613097958454</v>
      </c>
      <c r="DE163" s="646">
        <f t="shared" si="373"/>
        <v>-4.1191719505024064E-3</v>
      </c>
      <c r="DF163" s="647">
        <f t="shared" si="292"/>
        <v>6079.9571906238953</v>
      </c>
      <c r="DG163" s="644">
        <f t="shared" si="374"/>
        <v>0</v>
      </c>
      <c r="DH163" s="645">
        <f t="shared" si="375"/>
        <v>6079.9571906238953</v>
      </c>
      <c r="DI163" s="646">
        <f t="shared" si="376"/>
        <v>0</v>
      </c>
      <c r="DJ163" s="647">
        <f t="shared" si="293"/>
        <v>6079.9571906238953</v>
      </c>
      <c r="DK163" s="644">
        <f t="shared" si="377"/>
        <v>0</v>
      </c>
      <c r="DL163" s="645">
        <f t="shared" si="378"/>
        <v>6079.9571906238953</v>
      </c>
      <c r="DM163" s="646">
        <f t="shared" si="379"/>
        <v>0</v>
      </c>
      <c r="DN163" s="647">
        <f t="shared" si="294"/>
        <v>6079.9571906238953</v>
      </c>
      <c r="DR163" s="827">
        <f t="shared" si="295"/>
        <v>28020.478383698279</v>
      </c>
      <c r="DV163" s="828">
        <f>IFERROR(VLOOKUP($B163,'Afton FY16 Final'!$A$5:$BV$587,'Afton FY16 Final'!$BV$587,0),0)</f>
        <v>0</v>
      </c>
      <c r="DX163" s="636">
        <f t="shared" si="260"/>
        <v>28020.478383698279</v>
      </c>
      <c r="DY163" s="637">
        <f t="shared" si="261"/>
        <v>28020.478383698279</v>
      </c>
      <c r="DZ163" s="637">
        <f t="shared" si="262"/>
        <v>0</v>
      </c>
      <c r="EA163" s="643">
        <f t="shared" si="263"/>
        <v>26530.102970421682</v>
      </c>
      <c r="EB163" s="637">
        <f t="shared" si="296"/>
        <v>0</v>
      </c>
      <c r="EC163" s="637">
        <f t="shared" si="297"/>
        <v>26530.102970421682</v>
      </c>
      <c r="ED163" s="637">
        <f t="shared" si="298"/>
        <v>26450.991787416006</v>
      </c>
      <c r="EE163" s="643">
        <f t="shared" si="299"/>
        <v>26450.991787416006</v>
      </c>
      <c r="EF163" s="637">
        <f t="shared" si="300"/>
        <v>0</v>
      </c>
      <c r="EG163" s="637">
        <f t="shared" si="301"/>
        <v>26450.991787416006</v>
      </c>
      <c r="EH163" s="637">
        <f t="shared" si="302"/>
        <v>26450.964498960235</v>
      </c>
      <c r="EI163" s="643">
        <f t="shared" si="303"/>
        <v>26450.964498960235</v>
      </c>
      <c r="EJ163" s="637">
        <f t="shared" si="304"/>
        <v>0</v>
      </c>
      <c r="EK163" s="637">
        <f t="shared" si="305"/>
        <v>26450.964498960235</v>
      </c>
      <c r="EL163" s="637">
        <f t="shared" si="306"/>
        <v>26450.964498960195</v>
      </c>
      <c r="EM163" s="643">
        <f t="shared" si="307"/>
        <v>26450.964498960195</v>
      </c>
      <c r="EN163" s="637">
        <f t="shared" si="308"/>
        <v>0</v>
      </c>
      <c r="EO163" s="637">
        <f t="shared" si="309"/>
        <v>26450.964498960195</v>
      </c>
      <c r="EP163" s="637">
        <f t="shared" si="310"/>
        <v>26450.964498960235</v>
      </c>
      <c r="EQ163" s="643">
        <f t="shared" si="311"/>
        <v>26450.964498960235</v>
      </c>
      <c r="ER163" s="637">
        <f t="shared" si="312"/>
        <v>0</v>
      </c>
      <c r="ES163" s="637">
        <f t="shared" si="313"/>
        <v>26450.964498960235</v>
      </c>
      <c r="ET163" s="637">
        <f t="shared" si="314"/>
        <v>26450.964498960195</v>
      </c>
      <c r="EU163" s="643">
        <f t="shared" si="264"/>
        <v>26450.964498960195</v>
      </c>
      <c r="EV163" s="643">
        <f t="shared" si="265"/>
        <v>0</v>
      </c>
      <c r="EX163" s="829">
        <f t="shared" si="266"/>
        <v>1569.513884738084</v>
      </c>
      <c r="EY163" s="638">
        <f t="shared" si="267"/>
        <v>26450.964498960195</v>
      </c>
      <c r="FC163" s="830" t="str">
        <f t="shared" si="315"/>
        <v>N</v>
      </c>
      <c r="FE163" s="830" t="str">
        <f>IFERROR(VLOOKUP($B163,'Historical Conc Grant Elig'!$B$3:$J$707,'HH &amp; SI'!FE$2,0),"N")</f>
        <v>N</v>
      </c>
      <c r="FF163" s="830" t="str">
        <f>IFERROR(VLOOKUP($B163,'Historical Conc Grant Elig'!$B$3:$J$707,'HH &amp; SI'!FF$2,0),"N")</f>
        <v>N</v>
      </c>
      <c r="FG163" s="830" t="str">
        <f>IFERROR(VLOOKUP($B163,'Historical Conc Grant Elig'!$B$3:$J$707,'HH &amp; SI'!FG$2,0),"N")</f>
        <v>N</v>
      </c>
      <c r="FH163" s="830" t="str">
        <f>IFERROR(VLOOKUP($B163,'Historical Conc Grant Elig'!$B$3:$J$707,'HH &amp; SI'!FH$2,0),"N")</f>
        <v>N</v>
      </c>
      <c r="FI163" s="830" t="str">
        <f>IFERROR(VLOOKUP($B163,'Historical Conc Grant Elig'!$B$3:$J$707,'HH &amp; SI'!FI$2,0),"N")</f>
        <v>N</v>
      </c>
      <c r="FJ163" s="830" t="str">
        <f>IFERROR(VLOOKUP($B163,'Historical Conc Grant Elig'!$B$3:$J$707,'HH &amp; SI'!FJ$2,0),"N")</f>
        <v>N</v>
      </c>
      <c r="FK163" s="830" t="str">
        <f>IFERROR(VLOOKUP($B163,'Historical Conc Grant Elig'!$B$3:$J$707,'HH &amp; SI'!FK$2,0),"N")</f>
        <v>N</v>
      </c>
      <c r="FL163" s="957" t="str">
        <f>IFERROR(VLOOKUP($B163,'Historical Conc Grant Elig'!$B$3:$J$707,'HH &amp; SI'!FL$2,0),"N")</f>
        <v>Y</v>
      </c>
    </row>
    <row r="164" spans="2:168" x14ac:dyDescent="0.25">
      <c r="B164" s="634">
        <v>78401000</v>
      </c>
      <c r="C164" s="635" t="str">
        <f>VLOOKUP($B164,'Afton Update'!$A$5:$CR$582,'Afton Update'!D$589,0)</f>
        <v>Empower College Prep</v>
      </c>
      <c r="D164" s="636">
        <f>IFERROR(VLOOKUP($B164,'Afton FY16 Final'!$A$5:$BV$587,'Afton FY16 Final'!AQ$587,0),0)</f>
        <v>113835.83376417593</v>
      </c>
      <c r="E164" s="637">
        <f>IFERROR(VLOOKUP($B164,'Afton FY16 Final'!$A$5:$BV$587,'Afton FY16 Final'!AR$587,0),0)</f>
        <v>25020.798608315632</v>
      </c>
      <c r="F164" s="637">
        <f>IFERROR(VLOOKUP($B164,'Afton FY16 Final'!$A$5:$BV$587,'Afton FY16 Final'!AS$587,0),0)</f>
        <v>61780.04416195918</v>
      </c>
      <c r="G164" s="637">
        <f>IFERROR(VLOOKUP($B164,'Afton FY16 Final'!$A$5:$BV$587,'Afton FY16 Final'!AT$587,0),0)</f>
        <v>51874.130553312774</v>
      </c>
      <c r="H164" s="638">
        <f>IFERROR(VLOOKUP($B164,'Afton FY16 Final'!$A$5:$BV$587,'Afton FY16 Final'!AU$587,0),0)</f>
        <v>252510.8070877635</v>
      </c>
      <c r="I164" s="639" t="str">
        <f>VLOOKUP($B164,'Afton Update'!$A$5:$CR$582,'Afton Update'!BT$589,0)</f>
        <v>Y</v>
      </c>
      <c r="J164" s="640" t="str">
        <f>VLOOKUP($B164,'Afton Update'!$A$5:$CR$582,'Afton Update'!BU$589,0)</f>
        <v>Y</v>
      </c>
      <c r="K164" s="640" t="str">
        <f>VLOOKUP($B164,'Afton Update'!$A$5:$CR$582,'Afton Update'!BV$589,0)</f>
        <v>Y</v>
      </c>
      <c r="L164" s="641" t="str">
        <f>VLOOKUP($B164,'Afton Update'!$A$5:$CR$582,'Afton Update'!BW$589,0)</f>
        <v>Y</v>
      </c>
      <c r="N164" s="642">
        <f>VLOOKUP($B164,'Afton Update'!$A$5:$CR$582,'Afton Update'!CB$589,0)</f>
        <v>0.95</v>
      </c>
      <c r="P164" s="636">
        <f>VLOOKUP($B164,'Afton Update'!$A$5:$CR$582,'Afton Update'!AH$589,0)</f>
        <v>145893.47852907176</v>
      </c>
      <c r="Q164" s="637">
        <f>VLOOKUP($B164,'Afton Update'!$A$5:$CR$582,'Afton Update'!AI$589,0)</f>
        <v>32301.358126889976</v>
      </c>
      <c r="R164" s="637">
        <f>VLOOKUP($B164,'Afton Update'!$A$5:$CR$582,'Afton Update'!AJ$589,0)</f>
        <v>85411.248063613792</v>
      </c>
      <c r="S164" s="637">
        <f>VLOOKUP($B164,'Afton Update'!$A$5:$CR$582,'Afton Update'!AK$589,0)</f>
        <v>79506.652367688963</v>
      </c>
      <c r="T164" s="643">
        <f t="shared" si="268"/>
        <v>343112.73708726448</v>
      </c>
      <c r="V164" s="636">
        <f t="shared" si="316"/>
        <v>143903.39678777955</v>
      </c>
      <c r="W164" s="637">
        <f t="shared" si="317"/>
        <v>31237.469487032573</v>
      </c>
      <c r="X164" s="637">
        <f t="shared" si="318"/>
        <v>84634.466110036141</v>
      </c>
      <c r="Y164" s="637">
        <f t="shared" si="319"/>
        <v>78630.632177882042</v>
      </c>
      <c r="Z164" s="643">
        <f t="shared" si="320"/>
        <v>338405.96456273028</v>
      </c>
      <c r="AB164" s="644">
        <f t="shared" si="269"/>
        <v>145893.47852907176</v>
      </c>
      <c r="AC164" s="645">
        <f t="shared" si="257"/>
        <v>108144.04207596713</v>
      </c>
      <c r="AD164" s="644">
        <f t="shared" si="321"/>
        <v>0</v>
      </c>
      <c r="AE164" s="645">
        <f t="shared" si="322"/>
        <v>145893.47852907176</v>
      </c>
      <c r="AF164" s="646">
        <f t="shared" si="323"/>
        <v>-1808.4593023985019</v>
      </c>
      <c r="AG164" s="647">
        <f t="shared" si="324"/>
        <v>144085.01922667326</v>
      </c>
      <c r="AH164" s="644">
        <f t="shared" si="270"/>
        <v>0</v>
      </c>
      <c r="AI164" s="645">
        <f t="shared" si="271"/>
        <v>144085.01922667326</v>
      </c>
      <c r="AJ164" s="646">
        <f t="shared" si="325"/>
        <v>-181.50672779572594</v>
      </c>
      <c r="AK164" s="647">
        <f t="shared" si="272"/>
        <v>143903.51249887754</v>
      </c>
      <c r="AL164" s="644">
        <f t="shared" si="326"/>
        <v>0</v>
      </c>
      <c r="AM164" s="645">
        <f t="shared" si="327"/>
        <v>143903.51249887754</v>
      </c>
      <c r="AN164" s="646">
        <f t="shared" si="328"/>
        <v>-0.11571109797909694</v>
      </c>
      <c r="AO164" s="647">
        <f t="shared" si="273"/>
        <v>143903.39678777955</v>
      </c>
      <c r="AP164" s="644">
        <f t="shared" si="329"/>
        <v>0</v>
      </c>
      <c r="AQ164" s="645">
        <f t="shared" si="330"/>
        <v>143903.39678777955</v>
      </c>
      <c r="AR164" s="646">
        <f t="shared" si="331"/>
        <v>0</v>
      </c>
      <c r="AS164" s="647">
        <f t="shared" si="274"/>
        <v>143903.39678777955</v>
      </c>
      <c r="AT164" s="644">
        <f t="shared" si="332"/>
        <v>0</v>
      </c>
      <c r="AU164" s="645">
        <f t="shared" si="333"/>
        <v>143903.39678777955</v>
      </c>
      <c r="AV164" s="646">
        <f t="shared" si="334"/>
        <v>0</v>
      </c>
      <c r="AW164" s="647">
        <f t="shared" si="275"/>
        <v>143903.39678777955</v>
      </c>
      <c r="AY164" s="644">
        <f t="shared" si="335"/>
        <v>32301.358126889976</v>
      </c>
      <c r="AZ164" s="645">
        <f t="shared" si="276"/>
        <v>23769.758677899848</v>
      </c>
      <c r="BA164" s="644">
        <f t="shared" si="336"/>
        <v>0</v>
      </c>
      <c r="BB164" s="645">
        <f t="shared" si="337"/>
        <v>32301.358126889976</v>
      </c>
      <c r="BC164" s="646">
        <f t="shared" si="338"/>
        <v>-232.2884798896151</v>
      </c>
      <c r="BD164" s="647">
        <f t="shared" si="339"/>
        <v>32069.06964700036</v>
      </c>
      <c r="BE164" s="644">
        <f t="shared" si="277"/>
        <v>0</v>
      </c>
      <c r="BF164" s="645">
        <f t="shared" si="278"/>
        <v>32069.06964700036</v>
      </c>
      <c r="BG164" s="646">
        <f t="shared" si="340"/>
        <v>-763.85910458522721</v>
      </c>
      <c r="BH164" s="647">
        <f t="shared" si="279"/>
        <v>31305.210542415134</v>
      </c>
      <c r="BI164" s="644">
        <f t="shared" si="341"/>
        <v>0</v>
      </c>
      <c r="BJ164" s="645">
        <f t="shared" si="342"/>
        <v>31305.210542415134</v>
      </c>
      <c r="BK164" s="646">
        <f t="shared" si="343"/>
        <v>-66.311788646530289</v>
      </c>
      <c r="BL164" s="647">
        <f t="shared" si="280"/>
        <v>31238.898753768604</v>
      </c>
      <c r="BM164" s="644">
        <f t="shared" si="344"/>
        <v>0</v>
      </c>
      <c r="BN164" s="645">
        <f t="shared" si="345"/>
        <v>31238.898753768604</v>
      </c>
      <c r="BO164" s="646">
        <f t="shared" si="346"/>
        <v>-1.4292667360326723</v>
      </c>
      <c r="BP164" s="647">
        <f t="shared" si="281"/>
        <v>31237.469487032573</v>
      </c>
      <c r="BQ164" s="644">
        <f t="shared" si="347"/>
        <v>0</v>
      </c>
      <c r="BR164" s="645">
        <f t="shared" si="348"/>
        <v>31237.469487032573</v>
      </c>
      <c r="BS164" s="646">
        <f t="shared" si="349"/>
        <v>0</v>
      </c>
      <c r="BT164" s="647">
        <f t="shared" si="282"/>
        <v>31237.469487032573</v>
      </c>
      <c r="BU164" s="662">
        <f>VLOOKUP(B164,'Afton Update'!$A$5:$AR$582,'Afton Update'!$AO$589,0)-BT164</f>
        <v>0</v>
      </c>
      <c r="BV164" s="644">
        <f t="shared" si="350"/>
        <v>85411.248063613792</v>
      </c>
      <c r="BW164" s="645">
        <f t="shared" si="258"/>
        <v>58691.041953861219</v>
      </c>
      <c r="BX164" s="644">
        <f t="shared" si="351"/>
        <v>0</v>
      </c>
      <c r="BY164" s="645">
        <f t="shared" si="352"/>
        <v>85411.248063613792</v>
      </c>
      <c r="BZ164" s="646">
        <f t="shared" si="353"/>
        <v>-749.66360507678553</v>
      </c>
      <c r="CA164" s="647">
        <f t="shared" si="354"/>
        <v>84661.584458537007</v>
      </c>
      <c r="CB164" s="644">
        <f t="shared" si="283"/>
        <v>0</v>
      </c>
      <c r="CC164" s="645">
        <f t="shared" si="284"/>
        <v>84661.584458537007</v>
      </c>
      <c r="CD164" s="646">
        <f t="shared" si="355"/>
        <v>-27.118348500860183</v>
      </c>
      <c r="CE164" s="647">
        <f t="shared" si="285"/>
        <v>84634.466110036141</v>
      </c>
      <c r="CF164" s="644">
        <f t="shared" si="356"/>
        <v>0</v>
      </c>
      <c r="CG164" s="645">
        <f t="shared" si="357"/>
        <v>84634.466110036141</v>
      </c>
      <c r="CH164" s="646">
        <f t="shared" si="358"/>
        <v>0</v>
      </c>
      <c r="CI164" s="647">
        <f t="shared" si="286"/>
        <v>84634.466110036141</v>
      </c>
      <c r="CJ164" s="644">
        <f t="shared" si="359"/>
        <v>0</v>
      </c>
      <c r="CK164" s="645">
        <f t="shared" si="360"/>
        <v>84634.466110036141</v>
      </c>
      <c r="CL164" s="646">
        <f t="shared" si="361"/>
        <v>0</v>
      </c>
      <c r="CM164" s="647">
        <f t="shared" si="287"/>
        <v>84634.466110036141</v>
      </c>
      <c r="CN164" s="644">
        <f t="shared" si="362"/>
        <v>0</v>
      </c>
      <c r="CO164" s="645">
        <f t="shared" si="363"/>
        <v>84634.466110036141</v>
      </c>
      <c r="CP164" s="646">
        <f t="shared" si="364"/>
        <v>0</v>
      </c>
      <c r="CQ164" s="647">
        <f t="shared" si="288"/>
        <v>84634.466110036141</v>
      </c>
      <c r="CS164" s="644">
        <f t="shared" si="365"/>
        <v>79506.652367688963</v>
      </c>
      <c r="CT164" s="645">
        <f t="shared" si="259"/>
        <v>49280.424025647131</v>
      </c>
      <c r="CU164" s="644">
        <f t="shared" si="366"/>
        <v>0</v>
      </c>
      <c r="CV164" s="645">
        <f t="shared" si="367"/>
        <v>79506.652367688963</v>
      </c>
      <c r="CW164" s="646">
        <f t="shared" si="368"/>
        <v>-814.1930512016022</v>
      </c>
      <c r="CX164" s="647">
        <f t="shared" si="369"/>
        <v>78692.459316487366</v>
      </c>
      <c r="CY164" s="644">
        <f t="shared" si="289"/>
        <v>0</v>
      </c>
      <c r="CZ164" s="645">
        <f t="shared" si="290"/>
        <v>78692.459316487366</v>
      </c>
      <c r="DA164" s="646">
        <f t="shared" si="370"/>
        <v>-61.773866339693079</v>
      </c>
      <c r="DB164" s="647">
        <f t="shared" si="291"/>
        <v>78630.685450147677</v>
      </c>
      <c r="DC164" s="644">
        <f t="shared" si="371"/>
        <v>0</v>
      </c>
      <c r="DD164" s="645">
        <f t="shared" si="372"/>
        <v>78630.685450147677</v>
      </c>
      <c r="DE164" s="646">
        <f t="shared" si="373"/>
        <v>-5.3272265636490006E-2</v>
      </c>
      <c r="DF164" s="647">
        <f t="shared" si="292"/>
        <v>78630.632177882042</v>
      </c>
      <c r="DG164" s="644">
        <f t="shared" si="374"/>
        <v>0</v>
      </c>
      <c r="DH164" s="645">
        <f t="shared" si="375"/>
        <v>78630.632177882042</v>
      </c>
      <c r="DI164" s="646">
        <f t="shared" si="376"/>
        <v>0</v>
      </c>
      <c r="DJ164" s="647">
        <f t="shared" si="293"/>
        <v>78630.632177882042</v>
      </c>
      <c r="DK164" s="644">
        <f t="shared" si="377"/>
        <v>0</v>
      </c>
      <c r="DL164" s="645">
        <f t="shared" si="378"/>
        <v>78630.632177882042</v>
      </c>
      <c r="DM164" s="646">
        <f t="shared" si="379"/>
        <v>0</v>
      </c>
      <c r="DN164" s="647">
        <f t="shared" si="294"/>
        <v>78630.632177882042</v>
      </c>
      <c r="DR164" s="827">
        <f t="shared" si="295"/>
        <v>338405.96456273028</v>
      </c>
      <c r="DV164" s="828">
        <f>IFERROR(VLOOKUP($B164,'Afton FY16 Final'!$A$5:$BV$587,'Afton FY16 Final'!$BV$587,0),0)</f>
        <v>224186.76563368592</v>
      </c>
      <c r="DX164" s="636">
        <f t="shared" si="260"/>
        <v>338405.96456273028</v>
      </c>
      <c r="DY164" s="637">
        <f t="shared" si="261"/>
        <v>114219.19892904436</v>
      </c>
      <c r="DZ164" s="637">
        <f t="shared" si="262"/>
        <v>224186.76563368592</v>
      </c>
      <c r="EA164" s="643">
        <f t="shared" si="263"/>
        <v>320406.55989932292</v>
      </c>
      <c r="EB164" s="637">
        <f t="shared" si="296"/>
        <v>0</v>
      </c>
      <c r="EC164" s="637">
        <f t="shared" si="297"/>
        <v>320406.55989932292</v>
      </c>
      <c r="ED164" s="637">
        <f t="shared" si="298"/>
        <v>319451.12666845025</v>
      </c>
      <c r="EE164" s="643">
        <f t="shared" si="299"/>
        <v>319451.12666845025</v>
      </c>
      <c r="EF164" s="637">
        <f t="shared" si="300"/>
        <v>0</v>
      </c>
      <c r="EG164" s="637">
        <f t="shared" si="301"/>
        <v>319451.12666845025</v>
      </c>
      <c r="EH164" s="637">
        <f t="shared" si="302"/>
        <v>319450.79710319196</v>
      </c>
      <c r="EI164" s="643">
        <f t="shared" si="303"/>
        <v>319450.79710319196</v>
      </c>
      <c r="EJ164" s="637">
        <f t="shared" si="304"/>
        <v>0</v>
      </c>
      <c r="EK164" s="637">
        <f t="shared" si="305"/>
        <v>319450.79710319196</v>
      </c>
      <c r="EL164" s="637">
        <f t="shared" si="306"/>
        <v>319450.79710319149</v>
      </c>
      <c r="EM164" s="643">
        <f t="shared" si="307"/>
        <v>319450.79710319149</v>
      </c>
      <c r="EN164" s="637">
        <f t="shared" si="308"/>
        <v>0</v>
      </c>
      <c r="EO164" s="637">
        <f t="shared" si="309"/>
        <v>319450.79710319149</v>
      </c>
      <c r="EP164" s="637">
        <f t="shared" si="310"/>
        <v>319450.79710319202</v>
      </c>
      <c r="EQ164" s="643">
        <f t="shared" si="311"/>
        <v>319450.79710319202</v>
      </c>
      <c r="ER164" s="637">
        <f t="shared" si="312"/>
        <v>0</v>
      </c>
      <c r="ES164" s="637">
        <f t="shared" si="313"/>
        <v>319450.79710319202</v>
      </c>
      <c r="ET164" s="637">
        <f t="shared" si="314"/>
        <v>319450.79710319155</v>
      </c>
      <c r="EU164" s="643">
        <f t="shared" si="264"/>
        <v>319450.79710319155</v>
      </c>
      <c r="EV164" s="643">
        <f t="shared" si="265"/>
        <v>0</v>
      </c>
      <c r="EX164" s="829">
        <f t="shared" si="266"/>
        <v>18955.16745953873</v>
      </c>
      <c r="EY164" s="638">
        <f t="shared" si="267"/>
        <v>319450.79710319155</v>
      </c>
      <c r="FC164" s="830" t="str">
        <f t="shared" si="315"/>
        <v>Y</v>
      </c>
      <c r="FE164" s="830" t="str">
        <f>IFERROR(VLOOKUP($B164,'Historical Conc Grant Elig'!$B$3:$J$707,'HH &amp; SI'!FE$2,0),"N")</f>
        <v>N</v>
      </c>
      <c r="FF164" s="830" t="str">
        <f>IFERROR(VLOOKUP($B164,'Historical Conc Grant Elig'!$B$3:$J$707,'HH &amp; SI'!FF$2,0),"N")</f>
        <v>N</v>
      </c>
      <c r="FG164" s="830" t="str">
        <f>IFERROR(VLOOKUP($B164,'Historical Conc Grant Elig'!$B$3:$J$707,'HH &amp; SI'!FG$2,0),"N")</f>
        <v>N</v>
      </c>
      <c r="FH164" s="830" t="str">
        <f>IFERROR(VLOOKUP($B164,'Historical Conc Grant Elig'!$B$3:$J$707,'HH &amp; SI'!FH$2,0),"N")</f>
        <v>Y</v>
      </c>
      <c r="FI164" s="830" t="str">
        <f>IFERROR(VLOOKUP($B164,'Historical Conc Grant Elig'!$B$3:$J$707,'HH &amp; SI'!FI$2,0),"N")</f>
        <v>Y</v>
      </c>
      <c r="FJ164" s="830" t="str">
        <f>IFERROR(VLOOKUP($B164,'Historical Conc Grant Elig'!$B$3:$J$707,'HH &amp; SI'!FJ$2,0),"N")</f>
        <v>Y</v>
      </c>
      <c r="FK164" s="830" t="str">
        <f>IFERROR(VLOOKUP($B164,'Historical Conc Grant Elig'!$B$3:$J$707,'HH &amp; SI'!FK$2,0),"N")</f>
        <v>Y</v>
      </c>
      <c r="FL164" s="957" t="str">
        <f>IFERROR(VLOOKUP($B164,'Historical Conc Grant Elig'!$B$3:$J$707,'HH &amp; SI'!FL$2,0),"N")</f>
        <v>Y</v>
      </c>
    </row>
    <row r="165" spans="2:168" x14ac:dyDescent="0.25">
      <c r="B165" s="634">
        <v>78407000</v>
      </c>
      <c r="C165" s="635" t="str">
        <f>VLOOKUP($B165,'Afton Update'!$A$5:$CR$582,'Afton Update'!D$589,0)</f>
        <v>Legacy Traditional School - Peoria</v>
      </c>
      <c r="D165" s="636">
        <f>IFERROR(VLOOKUP($B165,'Afton FY16 Final'!$A$5:$BV$587,'Afton FY16 Final'!AQ$587,0),0)</f>
        <v>0</v>
      </c>
      <c r="E165" s="637">
        <f>IFERROR(VLOOKUP($B165,'Afton FY16 Final'!$A$5:$BV$587,'Afton FY16 Final'!AR$587,0),0)</f>
        <v>0</v>
      </c>
      <c r="F165" s="637">
        <f>IFERROR(VLOOKUP($B165,'Afton FY16 Final'!$A$5:$BV$587,'Afton FY16 Final'!AS$587,0),0)</f>
        <v>0</v>
      </c>
      <c r="G165" s="637">
        <f>IFERROR(VLOOKUP($B165,'Afton FY16 Final'!$A$5:$BV$587,'Afton FY16 Final'!AT$587,0),0)</f>
        <v>0</v>
      </c>
      <c r="H165" s="638">
        <f>IFERROR(VLOOKUP($B165,'Afton FY16 Final'!$A$5:$BV$587,'Afton FY16 Final'!AU$587,0),0)</f>
        <v>0</v>
      </c>
      <c r="I165" s="639" t="str">
        <f>VLOOKUP($B165,'Afton Update'!$A$5:$CR$582,'Afton Update'!BT$589,0)</f>
        <v>Y</v>
      </c>
      <c r="J165" s="640" t="str">
        <f>VLOOKUP($B165,'Afton Update'!$A$5:$CR$582,'Afton Update'!BU$589,0)</f>
        <v>N</v>
      </c>
      <c r="K165" s="640" t="str">
        <f>VLOOKUP($B165,'Afton Update'!$A$5:$CR$582,'Afton Update'!BV$589,0)</f>
        <v>Y</v>
      </c>
      <c r="L165" s="641" t="str">
        <f>VLOOKUP($B165,'Afton Update'!$A$5:$CR$582,'Afton Update'!BW$589,0)</f>
        <v>Y</v>
      </c>
      <c r="N165" s="642">
        <f>VLOOKUP($B165,'Afton Update'!$A$5:$CR$582,'Afton Update'!CB$589,0)</f>
        <v>0.85</v>
      </c>
      <c r="P165" s="636">
        <f>VLOOKUP($B165,'Afton Update'!$A$5:$CR$582,'Afton Update'!AH$589,0)</f>
        <v>7892.5980187858477</v>
      </c>
      <c r="Q165" s="637" t="str">
        <f>VLOOKUP($B165,'Afton Update'!$A$5:$CR$582,'Afton Update'!AI$589,0)</f>
        <v/>
      </c>
      <c r="R165" s="637">
        <f>VLOOKUP($B165,'Afton Update'!$A$5:$CR$582,'Afton Update'!AJ$589,0)</f>
        <v>4644.5782596579411</v>
      </c>
      <c r="S165" s="637">
        <f>VLOOKUP($B165,'Afton Update'!$A$5:$CR$582,'Afton Update'!AK$589,0)</f>
        <v>4323.4922502258569</v>
      </c>
      <c r="T165" s="643">
        <f t="shared" si="268"/>
        <v>16860.668528669645</v>
      </c>
      <c r="V165" s="636">
        <f t="shared" si="316"/>
        <v>7784.9378590110236</v>
      </c>
      <c r="W165" s="637">
        <f t="shared" si="317"/>
        <v>0</v>
      </c>
      <c r="X165" s="637">
        <f t="shared" si="318"/>
        <v>4602.3376337933678</v>
      </c>
      <c r="Y165" s="637">
        <f t="shared" si="319"/>
        <v>4275.85514831197</v>
      </c>
      <c r="Z165" s="643">
        <f t="shared" si="320"/>
        <v>16663.13064111636</v>
      </c>
      <c r="AB165" s="644">
        <f t="shared" si="269"/>
        <v>7892.5980187858477</v>
      </c>
      <c r="AC165" s="645">
        <f t="shared" si="257"/>
        <v>0</v>
      </c>
      <c r="AD165" s="644">
        <f t="shared" si="321"/>
        <v>0</v>
      </c>
      <c r="AE165" s="645">
        <f t="shared" si="322"/>
        <v>7892.5980187858477</v>
      </c>
      <c r="AF165" s="646">
        <f t="shared" si="323"/>
        <v>-97.834683572377955</v>
      </c>
      <c r="AG165" s="647">
        <f t="shared" si="324"/>
        <v>7794.7633352134699</v>
      </c>
      <c r="AH165" s="644">
        <f t="shared" si="270"/>
        <v>0</v>
      </c>
      <c r="AI165" s="645">
        <f t="shared" si="271"/>
        <v>7794.7633352134699</v>
      </c>
      <c r="AJ165" s="646">
        <f t="shared" si="325"/>
        <v>-9.819216421735991</v>
      </c>
      <c r="AK165" s="647">
        <f t="shared" si="272"/>
        <v>7784.9441187917337</v>
      </c>
      <c r="AL165" s="644">
        <f t="shared" si="326"/>
        <v>0</v>
      </c>
      <c r="AM165" s="645">
        <f t="shared" si="327"/>
        <v>7784.9441187917337</v>
      </c>
      <c r="AN165" s="646">
        <f t="shared" si="328"/>
        <v>-6.2597807103445865E-3</v>
      </c>
      <c r="AO165" s="647">
        <f t="shared" si="273"/>
        <v>7784.9378590110236</v>
      </c>
      <c r="AP165" s="644">
        <f t="shared" si="329"/>
        <v>0</v>
      </c>
      <c r="AQ165" s="645">
        <f t="shared" si="330"/>
        <v>7784.9378590110236</v>
      </c>
      <c r="AR165" s="646">
        <f t="shared" si="331"/>
        <v>0</v>
      </c>
      <c r="AS165" s="647">
        <f t="shared" si="274"/>
        <v>7784.9378590110236</v>
      </c>
      <c r="AT165" s="644">
        <f t="shared" si="332"/>
        <v>0</v>
      </c>
      <c r="AU165" s="645">
        <f t="shared" si="333"/>
        <v>7784.9378590110236</v>
      </c>
      <c r="AV165" s="646">
        <f t="shared" si="334"/>
        <v>0</v>
      </c>
      <c r="AW165" s="647">
        <f t="shared" si="275"/>
        <v>7784.9378590110236</v>
      </c>
      <c r="AY165" s="644">
        <f t="shared" si="335"/>
        <v>0</v>
      </c>
      <c r="AZ165" s="645">
        <f t="shared" si="276"/>
        <v>0</v>
      </c>
      <c r="BA165" s="644">
        <f t="shared" si="336"/>
        <v>0</v>
      </c>
      <c r="BB165" s="645">
        <f t="shared" si="337"/>
        <v>0</v>
      </c>
      <c r="BC165" s="646">
        <f t="shared" si="338"/>
        <v>0</v>
      </c>
      <c r="BD165" s="647">
        <f t="shared" si="339"/>
        <v>0</v>
      </c>
      <c r="BE165" s="644">
        <f t="shared" si="277"/>
        <v>0</v>
      </c>
      <c r="BF165" s="645">
        <f t="shared" si="278"/>
        <v>0</v>
      </c>
      <c r="BG165" s="646">
        <f t="shared" si="340"/>
        <v>0</v>
      </c>
      <c r="BH165" s="647">
        <f t="shared" si="279"/>
        <v>0</v>
      </c>
      <c r="BI165" s="644">
        <f t="shared" si="341"/>
        <v>0</v>
      </c>
      <c r="BJ165" s="645">
        <f t="shared" si="342"/>
        <v>0</v>
      </c>
      <c r="BK165" s="646">
        <f t="shared" si="343"/>
        <v>0</v>
      </c>
      <c r="BL165" s="647">
        <f t="shared" si="280"/>
        <v>0</v>
      </c>
      <c r="BM165" s="644">
        <f t="shared" si="344"/>
        <v>0</v>
      </c>
      <c r="BN165" s="645">
        <f t="shared" si="345"/>
        <v>0</v>
      </c>
      <c r="BO165" s="646">
        <f t="shared" si="346"/>
        <v>0</v>
      </c>
      <c r="BP165" s="647">
        <f t="shared" si="281"/>
        <v>0</v>
      </c>
      <c r="BQ165" s="644">
        <f t="shared" si="347"/>
        <v>0</v>
      </c>
      <c r="BR165" s="645">
        <f t="shared" si="348"/>
        <v>0</v>
      </c>
      <c r="BS165" s="646">
        <f t="shared" si="349"/>
        <v>0</v>
      </c>
      <c r="BT165" s="647">
        <f t="shared" si="282"/>
        <v>0</v>
      </c>
      <c r="BU165" s="662">
        <f>VLOOKUP(B165,'Afton Update'!$A$5:$AR$582,'Afton Update'!$AO$589,0)-BT165</f>
        <v>0</v>
      </c>
      <c r="BV165" s="644">
        <f t="shared" si="350"/>
        <v>4644.5782596579411</v>
      </c>
      <c r="BW165" s="645">
        <f t="shared" si="258"/>
        <v>0</v>
      </c>
      <c r="BX165" s="644">
        <f t="shared" si="351"/>
        <v>0</v>
      </c>
      <c r="BY165" s="645">
        <f t="shared" si="352"/>
        <v>4644.5782596579411</v>
      </c>
      <c r="BZ165" s="646">
        <f t="shared" si="353"/>
        <v>-40.76595719106173</v>
      </c>
      <c r="CA165" s="647">
        <f t="shared" si="354"/>
        <v>4603.8123024668794</v>
      </c>
      <c r="CB165" s="644">
        <f t="shared" si="283"/>
        <v>0</v>
      </c>
      <c r="CC165" s="645">
        <f t="shared" si="284"/>
        <v>4603.8123024668794</v>
      </c>
      <c r="CD165" s="646">
        <f t="shared" si="355"/>
        <v>-1.4746686735114027</v>
      </c>
      <c r="CE165" s="647">
        <f t="shared" si="285"/>
        <v>4602.3376337933678</v>
      </c>
      <c r="CF165" s="644">
        <f t="shared" si="356"/>
        <v>0</v>
      </c>
      <c r="CG165" s="645">
        <f t="shared" si="357"/>
        <v>4602.3376337933678</v>
      </c>
      <c r="CH165" s="646">
        <f t="shared" si="358"/>
        <v>0</v>
      </c>
      <c r="CI165" s="647">
        <f t="shared" si="286"/>
        <v>4602.3376337933678</v>
      </c>
      <c r="CJ165" s="644">
        <f t="shared" si="359"/>
        <v>0</v>
      </c>
      <c r="CK165" s="645">
        <f t="shared" si="360"/>
        <v>4602.3376337933678</v>
      </c>
      <c r="CL165" s="646">
        <f t="shared" si="361"/>
        <v>0</v>
      </c>
      <c r="CM165" s="647">
        <f t="shared" si="287"/>
        <v>4602.3376337933678</v>
      </c>
      <c r="CN165" s="644">
        <f t="shared" si="362"/>
        <v>0</v>
      </c>
      <c r="CO165" s="645">
        <f t="shared" si="363"/>
        <v>4602.3376337933678</v>
      </c>
      <c r="CP165" s="646">
        <f t="shared" si="364"/>
        <v>0</v>
      </c>
      <c r="CQ165" s="647">
        <f t="shared" si="288"/>
        <v>4602.3376337933678</v>
      </c>
      <c r="CS165" s="644">
        <f t="shared" si="365"/>
        <v>4323.4922502258569</v>
      </c>
      <c r="CT165" s="645">
        <f t="shared" si="259"/>
        <v>0</v>
      </c>
      <c r="CU165" s="644">
        <f t="shared" si="366"/>
        <v>0</v>
      </c>
      <c r="CV165" s="645">
        <f t="shared" si="367"/>
        <v>4323.4922502258569</v>
      </c>
      <c r="CW165" s="646">
        <f t="shared" si="368"/>
        <v>-44.275003942795138</v>
      </c>
      <c r="CX165" s="647">
        <f t="shared" si="369"/>
        <v>4279.2172462830622</v>
      </c>
      <c r="CY165" s="644">
        <f t="shared" si="289"/>
        <v>0</v>
      </c>
      <c r="CZ165" s="645">
        <f t="shared" si="290"/>
        <v>4279.2172462830622</v>
      </c>
      <c r="DA165" s="646">
        <f t="shared" si="370"/>
        <v>-3.3592010785589337</v>
      </c>
      <c r="DB165" s="647">
        <f t="shared" si="291"/>
        <v>4275.8580452045035</v>
      </c>
      <c r="DC165" s="644">
        <f t="shared" si="371"/>
        <v>0</v>
      </c>
      <c r="DD165" s="645">
        <f t="shared" si="372"/>
        <v>4275.8580452045035</v>
      </c>
      <c r="DE165" s="646">
        <f t="shared" si="373"/>
        <v>-2.8968925337993401E-3</v>
      </c>
      <c r="DF165" s="647">
        <f t="shared" si="292"/>
        <v>4275.85514831197</v>
      </c>
      <c r="DG165" s="644">
        <f t="shared" si="374"/>
        <v>0</v>
      </c>
      <c r="DH165" s="645">
        <f t="shared" si="375"/>
        <v>4275.85514831197</v>
      </c>
      <c r="DI165" s="646">
        <f t="shared" si="376"/>
        <v>0</v>
      </c>
      <c r="DJ165" s="647">
        <f t="shared" si="293"/>
        <v>4275.85514831197</v>
      </c>
      <c r="DK165" s="644">
        <f t="shared" si="377"/>
        <v>0</v>
      </c>
      <c r="DL165" s="645">
        <f t="shared" si="378"/>
        <v>4275.85514831197</v>
      </c>
      <c r="DM165" s="646">
        <f t="shared" si="379"/>
        <v>0</v>
      </c>
      <c r="DN165" s="647">
        <f t="shared" si="294"/>
        <v>4275.85514831197</v>
      </c>
      <c r="DR165" s="827">
        <f t="shared" si="295"/>
        <v>16663.13064111636</v>
      </c>
      <c r="DV165" s="828">
        <f>IFERROR(VLOOKUP($B165,'Afton FY16 Final'!$A$5:$BV$587,'Afton FY16 Final'!$BV$587,0),0)</f>
        <v>0</v>
      </c>
      <c r="DX165" s="636">
        <f t="shared" si="260"/>
        <v>16663.13064111636</v>
      </c>
      <c r="DY165" s="637">
        <f t="shared" si="261"/>
        <v>16663.13064111636</v>
      </c>
      <c r="DZ165" s="637">
        <f t="shared" si="262"/>
        <v>0</v>
      </c>
      <c r="EA165" s="643">
        <f t="shared" si="263"/>
        <v>15776.838841395205</v>
      </c>
      <c r="EB165" s="637">
        <f t="shared" si="296"/>
        <v>0</v>
      </c>
      <c r="EC165" s="637">
        <f t="shared" si="297"/>
        <v>15776.838841395205</v>
      </c>
      <c r="ED165" s="637">
        <f t="shared" si="298"/>
        <v>15729.793249969336</v>
      </c>
      <c r="EE165" s="643">
        <f t="shared" si="299"/>
        <v>15729.793249969336</v>
      </c>
      <c r="EF165" s="637">
        <f t="shared" si="300"/>
        <v>0</v>
      </c>
      <c r="EG165" s="637">
        <f t="shared" si="301"/>
        <v>15729.793249969336</v>
      </c>
      <c r="EH165" s="637">
        <f t="shared" si="302"/>
        <v>15729.77702215562</v>
      </c>
      <c r="EI165" s="643">
        <f t="shared" si="303"/>
        <v>15729.77702215562</v>
      </c>
      <c r="EJ165" s="637">
        <f t="shared" si="304"/>
        <v>0</v>
      </c>
      <c r="EK165" s="637">
        <f t="shared" si="305"/>
        <v>15729.77702215562</v>
      </c>
      <c r="EL165" s="637">
        <f t="shared" si="306"/>
        <v>15729.777022155597</v>
      </c>
      <c r="EM165" s="643">
        <f t="shared" si="307"/>
        <v>15729.777022155597</v>
      </c>
      <c r="EN165" s="637">
        <f t="shared" si="308"/>
        <v>0</v>
      </c>
      <c r="EO165" s="637">
        <f t="shared" si="309"/>
        <v>15729.777022155597</v>
      </c>
      <c r="EP165" s="637">
        <f t="shared" si="310"/>
        <v>15729.77702215562</v>
      </c>
      <c r="EQ165" s="643">
        <f t="shared" si="311"/>
        <v>15729.77702215562</v>
      </c>
      <c r="ER165" s="637">
        <f t="shared" si="312"/>
        <v>0</v>
      </c>
      <c r="ES165" s="637">
        <f t="shared" si="313"/>
        <v>15729.77702215562</v>
      </c>
      <c r="ET165" s="637">
        <f t="shared" si="314"/>
        <v>15729.777022155597</v>
      </c>
      <c r="EU165" s="643">
        <f t="shared" si="264"/>
        <v>15729.777022155597</v>
      </c>
      <c r="EV165" s="643">
        <f t="shared" si="265"/>
        <v>0</v>
      </c>
      <c r="EX165" s="829">
        <f t="shared" si="266"/>
        <v>933.35361896076392</v>
      </c>
      <c r="EY165" s="638">
        <f t="shared" si="267"/>
        <v>15729.777022155597</v>
      </c>
      <c r="FC165" s="830" t="str">
        <f t="shared" si="315"/>
        <v>N</v>
      </c>
      <c r="FE165" s="830" t="str">
        <f>IFERROR(VLOOKUP($B165,'Historical Conc Grant Elig'!$B$3:$J$707,'HH &amp; SI'!FE$2,0),"N")</f>
        <v>N</v>
      </c>
      <c r="FF165" s="830" t="str">
        <f>IFERROR(VLOOKUP($B165,'Historical Conc Grant Elig'!$B$3:$J$707,'HH &amp; SI'!FF$2,0),"N")</f>
        <v>N</v>
      </c>
      <c r="FG165" s="830" t="str">
        <f>IFERROR(VLOOKUP($B165,'Historical Conc Grant Elig'!$B$3:$J$707,'HH &amp; SI'!FG$2,0),"N")</f>
        <v>N</v>
      </c>
      <c r="FH165" s="830" t="str">
        <f>IFERROR(VLOOKUP($B165,'Historical Conc Grant Elig'!$B$3:$J$707,'HH &amp; SI'!FH$2,0),"N")</f>
        <v>N</v>
      </c>
      <c r="FI165" s="830" t="str">
        <f>IFERROR(VLOOKUP($B165,'Historical Conc Grant Elig'!$B$3:$J$707,'HH &amp; SI'!FI$2,0),"N")</f>
        <v>N</v>
      </c>
      <c r="FJ165" s="830" t="str">
        <f>IFERROR(VLOOKUP($B165,'Historical Conc Grant Elig'!$B$3:$J$707,'HH &amp; SI'!FJ$2,0),"N")</f>
        <v>N</v>
      </c>
      <c r="FK165" s="830" t="str">
        <f>IFERROR(VLOOKUP($B165,'Historical Conc Grant Elig'!$B$3:$J$707,'HH &amp; SI'!FK$2,0),"N")</f>
        <v>N</v>
      </c>
      <c r="FL165" s="957" t="str">
        <f>IFERROR(VLOOKUP($B165,'Historical Conc Grant Elig'!$B$3:$J$707,'HH &amp; SI'!FL$2,0),"N")</f>
        <v>N</v>
      </c>
    </row>
    <row r="166" spans="2:168" x14ac:dyDescent="0.25">
      <c r="B166" s="634">
        <v>78408000</v>
      </c>
      <c r="C166" s="635" t="str">
        <f>VLOOKUP($B166,'Afton Update'!$A$5:$CR$582,'Afton Update'!D$589,0)</f>
        <v>Legacy Traditional School - Glendale</v>
      </c>
      <c r="D166" s="636">
        <f>IFERROR(VLOOKUP($B166,'Afton FY16 Final'!$A$5:$BV$587,'Afton FY16 Final'!AQ$587,0),0)</f>
        <v>0</v>
      </c>
      <c r="E166" s="637">
        <f>IFERROR(VLOOKUP($B166,'Afton FY16 Final'!$A$5:$BV$587,'Afton FY16 Final'!AR$587,0),0)</f>
        <v>0</v>
      </c>
      <c r="F166" s="637">
        <f>IFERROR(VLOOKUP($B166,'Afton FY16 Final'!$A$5:$BV$587,'Afton FY16 Final'!AS$587,0),0)</f>
        <v>0</v>
      </c>
      <c r="G166" s="637">
        <f>IFERROR(VLOOKUP($B166,'Afton FY16 Final'!$A$5:$BV$587,'Afton FY16 Final'!AT$587,0),0)</f>
        <v>0</v>
      </c>
      <c r="H166" s="638">
        <f>IFERROR(VLOOKUP($B166,'Afton FY16 Final'!$A$5:$BV$587,'Afton FY16 Final'!AU$587,0),0)</f>
        <v>0</v>
      </c>
      <c r="I166" s="639" t="str">
        <f>VLOOKUP($B166,'Afton Update'!$A$5:$CR$582,'Afton Update'!BT$589,0)</f>
        <v>Y</v>
      </c>
      <c r="J166" s="640" t="str">
        <f>VLOOKUP($B166,'Afton Update'!$A$5:$CR$582,'Afton Update'!BU$589,0)</f>
        <v>N</v>
      </c>
      <c r="K166" s="640" t="str">
        <f>VLOOKUP($B166,'Afton Update'!$A$5:$CR$582,'Afton Update'!BV$589,0)</f>
        <v>Y</v>
      </c>
      <c r="L166" s="641" t="str">
        <f>VLOOKUP($B166,'Afton Update'!$A$5:$CR$582,'Afton Update'!BW$589,0)</f>
        <v>Y</v>
      </c>
      <c r="N166" s="642">
        <f>VLOOKUP($B166,'Afton Update'!$A$5:$CR$582,'Afton Update'!CB$589,0)</f>
        <v>0.85</v>
      </c>
      <c r="P166" s="636">
        <f>VLOOKUP($B166,'Afton Update'!$A$5:$CR$582,'Afton Update'!AH$589,0)</f>
        <v>23438.624419424639</v>
      </c>
      <c r="Q166" s="637" t="str">
        <f>VLOOKUP($B166,'Afton Update'!$A$5:$CR$582,'Afton Update'!AI$589,0)</f>
        <v/>
      </c>
      <c r="R166" s="637">
        <f>VLOOKUP($B166,'Afton Update'!$A$5:$CR$582,'Afton Update'!AJ$589,0)</f>
        <v>13743.076591126106</v>
      </c>
      <c r="S166" s="637">
        <f>VLOOKUP($B166,'Afton Update'!$A$5:$CR$582,'Afton Update'!AK$589,0)</f>
        <v>12792.999022557056</v>
      </c>
      <c r="T166" s="643">
        <f t="shared" si="268"/>
        <v>49974.700033107802</v>
      </c>
      <c r="V166" s="636">
        <f t="shared" si="316"/>
        <v>23118.906369184253</v>
      </c>
      <c r="W166" s="637">
        <f t="shared" si="317"/>
        <v>0</v>
      </c>
      <c r="X166" s="637">
        <f t="shared" si="318"/>
        <v>13618.088675311188</v>
      </c>
      <c r="Y166" s="637">
        <f t="shared" si="319"/>
        <v>12652.04320190305</v>
      </c>
      <c r="Z166" s="643">
        <f t="shared" si="320"/>
        <v>49389.038246398493</v>
      </c>
      <c r="AB166" s="644">
        <f t="shared" si="269"/>
        <v>23438.624419424639</v>
      </c>
      <c r="AC166" s="645">
        <f t="shared" si="257"/>
        <v>0</v>
      </c>
      <c r="AD166" s="644">
        <f t="shared" si="321"/>
        <v>0</v>
      </c>
      <c r="AE166" s="645">
        <f t="shared" si="322"/>
        <v>23438.624419424639</v>
      </c>
      <c r="AF166" s="646">
        <f t="shared" si="323"/>
        <v>-290.53936333615269</v>
      </c>
      <c r="AG166" s="647">
        <f t="shared" si="324"/>
        <v>23148.085056088486</v>
      </c>
      <c r="AH166" s="644">
        <f t="shared" si="270"/>
        <v>0</v>
      </c>
      <c r="AI166" s="645">
        <f t="shared" si="271"/>
        <v>23148.085056088486</v>
      </c>
      <c r="AJ166" s="646">
        <f t="shared" si="325"/>
        <v>-29.160097252428098</v>
      </c>
      <c r="AK166" s="647">
        <f t="shared" si="272"/>
        <v>23118.924958836058</v>
      </c>
      <c r="AL166" s="644">
        <f t="shared" si="326"/>
        <v>0</v>
      </c>
      <c r="AM166" s="645">
        <f t="shared" si="327"/>
        <v>23118.924958836058</v>
      </c>
      <c r="AN166" s="646">
        <f t="shared" si="328"/>
        <v>-1.8589651806477866E-2</v>
      </c>
      <c r="AO166" s="647">
        <f t="shared" si="273"/>
        <v>23118.906369184253</v>
      </c>
      <c r="AP166" s="644">
        <f t="shared" si="329"/>
        <v>0</v>
      </c>
      <c r="AQ166" s="645">
        <f t="shared" si="330"/>
        <v>23118.906369184253</v>
      </c>
      <c r="AR166" s="646">
        <f t="shared" si="331"/>
        <v>0</v>
      </c>
      <c r="AS166" s="647">
        <f t="shared" si="274"/>
        <v>23118.906369184253</v>
      </c>
      <c r="AT166" s="644">
        <f t="shared" si="332"/>
        <v>0</v>
      </c>
      <c r="AU166" s="645">
        <f t="shared" si="333"/>
        <v>23118.906369184253</v>
      </c>
      <c r="AV166" s="646">
        <f t="shared" si="334"/>
        <v>0</v>
      </c>
      <c r="AW166" s="647">
        <f t="shared" si="275"/>
        <v>23118.906369184253</v>
      </c>
      <c r="AY166" s="644">
        <f t="shared" si="335"/>
        <v>0</v>
      </c>
      <c r="AZ166" s="645">
        <f t="shared" si="276"/>
        <v>0</v>
      </c>
      <c r="BA166" s="644">
        <f t="shared" si="336"/>
        <v>0</v>
      </c>
      <c r="BB166" s="645">
        <f t="shared" si="337"/>
        <v>0</v>
      </c>
      <c r="BC166" s="646">
        <f t="shared" si="338"/>
        <v>0</v>
      </c>
      <c r="BD166" s="647">
        <f t="shared" si="339"/>
        <v>0</v>
      </c>
      <c r="BE166" s="644">
        <f t="shared" si="277"/>
        <v>0</v>
      </c>
      <c r="BF166" s="645">
        <f t="shared" si="278"/>
        <v>0</v>
      </c>
      <c r="BG166" s="646">
        <f t="shared" si="340"/>
        <v>0</v>
      </c>
      <c r="BH166" s="647">
        <f t="shared" si="279"/>
        <v>0</v>
      </c>
      <c r="BI166" s="644">
        <f t="shared" si="341"/>
        <v>0</v>
      </c>
      <c r="BJ166" s="645">
        <f t="shared" si="342"/>
        <v>0</v>
      </c>
      <c r="BK166" s="646">
        <f t="shared" si="343"/>
        <v>0</v>
      </c>
      <c r="BL166" s="647">
        <f t="shared" si="280"/>
        <v>0</v>
      </c>
      <c r="BM166" s="644">
        <f t="shared" si="344"/>
        <v>0</v>
      </c>
      <c r="BN166" s="645">
        <f t="shared" si="345"/>
        <v>0</v>
      </c>
      <c r="BO166" s="646">
        <f t="shared" si="346"/>
        <v>0</v>
      </c>
      <c r="BP166" s="647">
        <f t="shared" si="281"/>
        <v>0</v>
      </c>
      <c r="BQ166" s="644">
        <f t="shared" si="347"/>
        <v>0</v>
      </c>
      <c r="BR166" s="645">
        <f t="shared" si="348"/>
        <v>0</v>
      </c>
      <c r="BS166" s="646">
        <f t="shared" si="349"/>
        <v>0</v>
      </c>
      <c r="BT166" s="647">
        <f t="shared" si="282"/>
        <v>0</v>
      </c>
      <c r="BU166" s="662">
        <f>VLOOKUP(B166,'Afton Update'!$A$5:$AR$582,'Afton Update'!$AO$589,0)-BT166</f>
        <v>0</v>
      </c>
      <c r="BV166" s="644">
        <f t="shared" si="350"/>
        <v>13743.076591126106</v>
      </c>
      <c r="BW166" s="645">
        <f t="shared" si="258"/>
        <v>0</v>
      </c>
      <c r="BX166" s="644">
        <f t="shared" si="351"/>
        <v>0</v>
      </c>
      <c r="BY166" s="645">
        <f t="shared" si="352"/>
        <v>13743.076591126106</v>
      </c>
      <c r="BZ166" s="646">
        <f t="shared" si="353"/>
        <v>-120.62444438789372</v>
      </c>
      <c r="CA166" s="647">
        <f t="shared" si="354"/>
        <v>13622.452146738213</v>
      </c>
      <c r="CB166" s="644">
        <f t="shared" si="283"/>
        <v>0</v>
      </c>
      <c r="CC166" s="645">
        <f t="shared" si="284"/>
        <v>13622.452146738213</v>
      </c>
      <c r="CD166" s="646">
        <f t="shared" si="355"/>
        <v>-4.3634714270255639</v>
      </c>
      <c r="CE166" s="647">
        <f t="shared" si="285"/>
        <v>13618.088675311188</v>
      </c>
      <c r="CF166" s="644">
        <f t="shared" si="356"/>
        <v>0</v>
      </c>
      <c r="CG166" s="645">
        <f t="shared" si="357"/>
        <v>13618.088675311188</v>
      </c>
      <c r="CH166" s="646">
        <f t="shared" si="358"/>
        <v>0</v>
      </c>
      <c r="CI166" s="647">
        <f t="shared" si="286"/>
        <v>13618.088675311188</v>
      </c>
      <c r="CJ166" s="644">
        <f t="shared" si="359"/>
        <v>0</v>
      </c>
      <c r="CK166" s="645">
        <f t="shared" si="360"/>
        <v>13618.088675311188</v>
      </c>
      <c r="CL166" s="646">
        <f t="shared" si="361"/>
        <v>0</v>
      </c>
      <c r="CM166" s="647">
        <f t="shared" si="287"/>
        <v>13618.088675311188</v>
      </c>
      <c r="CN166" s="644">
        <f t="shared" si="362"/>
        <v>0</v>
      </c>
      <c r="CO166" s="645">
        <f t="shared" si="363"/>
        <v>13618.088675311188</v>
      </c>
      <c r="CP166" s="646">
        <f t="shared" si="364"/>
        <v>0</v>
      </c>
      <c r="CQ166" s="647">
        <f t="shared" si="288"/>
        <v>13618.088675311188</v>
      </c>
      <c r="CS166" s="644">
        <f t="shared" si="365"/>
        <v>12792.999022557056</v>
      </c>
      <c r="CT166" s="645">
        <f t="shared" si="259"/>
        <v>0</v>
      </c>
      <c r="CU166" s="644">
        <f t="shared" si="366"/>
        <v>0</v>
      </c>
      <c r="CV166" s="645">
        <f t="shared" si="367"/>
        <v>12792.999022557056</v>
      </c>
      <c r="CW166" s="646">
        <f t="shared" si="368"/>
        <v>-131.007539595867</v>
      </c>
      <c r="CX166" s="647">
        <f t="shared" si="369"/>
        <v>12661.99148296119</v>
      </c>
      <c r="CY166" s="644">
        <f t="shared" si="289"/>
        <v>0</v>
      </c>
      <c r="CZ166" s="645">
        <f t="shared" si="290"/>
        <v>12661.99148296119</v>
      </c>
      <c r="DA166" s="646">
        <f t="shared" si="370"/>
        <v>-9.9397092968842706</v>
      </c>
      <c r="DB166" s="647">
        <f t="shared" si="291"/>
        <v>12652.051773664305</v>
      </c>
      <c r="DC166" s="644">
        <f t="shared" si="371"/>
        <v>0</v>
      </c>
      <c r="DD166" s="645">
        <f t="shared" si="372"/>
        <v>12652.051773664305</v>
      </c>
      <c r="DE166" s="646">
        <f t="shared" si="373"/>
        <v>-8.5717612542064326E-3</v>
      </c>
      <c r="DF166" s="647">
        <f t="shared" si="292"/>
        <v>12652.04320190305</v>
      </c>
      <c r="DG166" s="644">
        <f t="shared" si="374"/>
        <v>0</v>
      </c>
      <c r="DH166" s="645">
        <f t="shared" si="375"/>
        <v>12652.04320190305</v>
      </c>
      <c r="DI166" s="646">
        <f t="shared" si="376"/>
        <v>0</v>
      </c>
      <c r="DJ166" s="647">
        <f t="shared" si="293"/>
        <v>12652.04320190305</v>
      </c>
      <c r="DK166" s="644">
        <f t="shared" si="377"/>
        <v>0</v>
      </c>
      <c r="DL166" s="645">
        <f t="shared" si="378"/>
        <v>12652.04320190305</v>
      </c>
      <c r="DM166" s="646">
        <f t="shared" si="379"/>
        <v>0</v>
      </c>
      <c r="DN166" s="647">
        <f t="shared" si="294"/>
        <v>12652.04320190305</v>
      </c>
      <c r="DR166" s="827">
        <f t="shared" si="295"/>
        <v>49389.038246398493</v>
      </c>
      <c r="DV166" s="828">
        <f>IFERROR(VLOOKUP($B166,'Afton FY16 Final'!$A$5:$BV$587,'Afton FY16 Final'!$BV$587,0),0)</f>
        <v>0</v>
      </c>
      <c r="DX166" s="636">
        <f t="shared" si="260"/>
        <v>49389.038246398493</v>
      </c>
      <c r="DY166" s="637">
        <f t="shared" si="261"/>
        <v>49389.038246398493</v>
      </c>
      <c r="DZ166" s="637">
        <f t="shared" si="262"/>
        <v>0</v>
      </c>
      <c r="EA166" s="643">
        <f t="shared" si="263"/>
        <v>46762.094934444423</v>
      </c>
      <c r="EB166" s="637">
        <f t="shared" si="296"/>
        <v>0</v>
      </c>
      <c r="EC166" s="637">
        <f t="shared" si="297"/>
        <v>46762.094934444423</v>
      </c>
      <c r="ED166" s="637">
        <f t="shared" si="298"/>
        <v>46622.65315940827</v>
      </c>
      <c r="EE166" s="643">
        <f t="shared" si="299"/>
        <v>46622.65315940827</v>
      </c>
      <c r="EF166" s="637">
        <f t="shared" si="300"/>
        <v>0</v>
      </c>
      <c r="EG166" s="637">
        <f t="shared" si="301"/>
        <v>46622.65315940827</v>
      </c>
      <c r="EH166" s="637">
        <f t="shared" si="302"/>
        <v>46622.605060636823</v>
      </c>
      <c r="EI166" s="643">
        <f t="shared" si="303"/>
        <v>46622.605060636823</v>
      </c>
      <c r="EJ166" s="637">
        <f t="shared" si="304"/>
        <v>0</v>
      </c>
      <c r="EK166" s="637">
        <f t="shared" si="305"/>
        <v>46622.605060636823</v>
      </c>
      <c r="EL166" s="637">
        <f t="shared" si="306"/>
        <v>46622.605060636757</v>
      </c>
      <c r="EM166" s="643">
        <f t="shared" si="307"/>
        <v>46622.605060636757</v>
      </c>
      <c r="EN166" s="637">
        <f t="shared" si="308"/>
        <v>0</v>
      </c>
      <c r="EO166" s="637">
        <f t="shared" si="309"/>
        <v>46622.605060636757</v>
      </c>
      <c r="EP166" s="637">
        <f t="shared" si="310"/>
        <v>46622.60506063683</v>
      </c>
      <c r="EQ166" s="643">
        <f t="shared" si="311"/>
        <v>46622.60506063683</v>
      </c>
      <c r="ER166" s="637">
        <f t="shared" si="312"/>
        <v>0</v>
      </c>
      <c r="ES166" s="637">
        <f t="shared" si="313"/>
        <v>46622.60506063683</v>
      </c>
      <c r="ET166" s="637">
        <f t="shared" si="314"/>
        <v>46622.605060636757</v>
      </c>
      <c r="EU166" s="643">
        <f t="shared" si="264"/>
        <v>46622.605060636757</v>
      </c>
      <c r="EV166" s="643">
        <f t="shared" si="265"/>
        <v>0</v>
      </c>
      <c r="EX166" s="829">
        <f t="shared" si="266"/>
        <v>2766.4331857617362</v>
      </c>
      <c r="EY166" s="638">
        <f t="shared" si="267"/>
        <v>46622.605060636757</v>
      </c>
      <c r="FC166" s="830" t="str">
        <f t="shared" si="315"/>
        <v>N</v>
      </c>
      <c r="FE166" s="830" t="str">
        <f>IFERROR(VLOOKUP($B166,'Historical Conc Grant Elig'!$B$3:$J$707,'HH &amp; SI'!FE$2,0),"N")</f>
        <v>N</v>
      </c>
      <c r="FF166" s="830" t="str">
        <f>IFERROR(VLOOKUP($B166,'Historical Conc Grant Elig'!$B$3:$J$707,'HH &amp; SI'!FF$2,0),"N")</f>
        <v>N</v>
      </c>
      <c r="FG166" s="830" t="str">
        <f>IFERROR(VLOOKUP($B166,'Historical Conc Grant Elig'!$B$3:$J$707,'HH &amp; SI'!FG$2,0),"N")</f>
        <v>N</v>
      </c>
      <c r="FH166" s="830" t="str">
        <f>IFERROR(VLOOKUP($B166,'Historical Conc Grant Elig'!$B$3:$J$707,'HH &amp; SI'!FH$2,0),"N")</f>
        <v>N</v>
      </c>
      <c r="FI166" s="830" t="str">
        <f>IFERROR(VLOOKUP($B166,'Historical Conc Grant Elig'!$B$3:$J$707,'HH &amp; SI'!FI$2,0),"N")</f>
        <v>N</v>
      </c>
      <c r="FJ166" s="830" t="str">
        <f>IFERROR(VLOOKUP($B166,'Historical Conc Grant Elig'!$B$3:$J$707,'HH &amp; SI'!FJ$2,0),"N")</f>
        <v>N</v>
      </c>
      <c r="FK166" s="830" t="str">
        <f>IFERROR(VLOOKUP($B166,'Historical Conc Grant Elig'!$B$3:$J$707,'HH &amp; SI'!FK$2,0),"N")</f>
        <v>N</v>
      </c>
      <c r="FL166" s="957" t="str">
        <f>IFERROR(VLOOKUP($B166,'Historical Conc Grant Elig'!$B$3:$J$707,'HH &amp; SI'!FL$2,0),"N")</f>
        <v>N</v>
      </c>
    </row>
    <row r="167" spans="2:168" x14ac:dyDescent="0.25">
      <c r="B167" s="634">
        <v>78409000</v>
      </c>
      <c r="C167" s="635" t="str">
        <f>VLOOKUP($B167,'Afton Update'!$A$5:$CR$582,'Afton Update'!D$589,0)</f>
        <v>Legacy Traditional School - North Chandler</v>
      </c>
      <c r="D167" s="636">
        <f>IFERROR(VLOOKUP($B167,'Afton FY16 Final'!$A$5:$BV$587,'Afton FY16 Final'!AQ$587,0),0)</f>
        <v>0</v>
      </c>
      <c r="E167" s="637">
        <f>IFERROR(VLOOKUP($B167,'Afton FY16 Final'!$A$5:$BV$587,'Afton FY16 Final'!AR$587,0),0)</f>
        <v>0</v>
      </c>
      <c r="F167" s="637">
        <f>IFERROR(VLOOKUP($B167,'Afton FY16 Final'!$A$5:$BV$587,'Afton FY16 Final'!AS$587,0),0)</f>
        <v>0</v>
      </c>
      <c r="G167" s="637">
        <f>IFERROR(VLOOKUP($B167,'Afton FY16 Final'!$A$5:$BV$587,'Afton FY16 Final'!AT$587,0),0)</f>
        <v>0</v>
      </c>
      <c r="H167" s="638">
        <f>IFERROR(VLOOKUP($B167,'Afton FY16 Final'!$A$5:$BV$587,'Afton FY16 Final'!AU$587,0),0)</f>
        <v>0</v>
      </c>
      <c r="I167" s="639" t="str">
        <f>VLOOKUP($B167,'Afton Update'!$A$5:$CR$582,'Afton Update'!BT$589,0)</f>
        <v>Y</v>
      </c>
      <c r="J167" s="640" t="str">
        <f>VLOOKUP($B167,'Afton Update'!$A$5:$CR$582,'Afton Update'!BU$589,0)</f>
        <v>N</v>
      </c>
      <c r="K167" s="640" t="str">
        <f>VLOOKUP($B167,'Afton Update'!$A$5:$CR$582,'Afton Update'!BV$589,0)</f>
        <v>N</v>
      </c>
      <c r="L167" s="641" t="str">
        <f>VLOOKUP($B167,'Afton Update'!$A$5:$CR$582,'Afton Update'!BW$589,0)</f>
        <v>N</v>
      </c>
      <c r="N167" s="642">
        <f>VLOOKUP($B167,'Afton Update'!$A$5:$CR$582,'Afton Update'!CB$589,0)</f>
        <v>0.85</v>
      </c>
      <c r="P167" s="636">
        <f>VLOOKUP($B167,'Afton Update'!$A$5:$CR$582,'Afton Update'!AH$589,0)</f>
        <v>10045.124751181987</v>
      </c>
      <c r="Q167" s="637" t="str">
        <f>VLOOKUP($B167,'Afton Update'!$A$5:$CR$582,'Afton Update'!AI$589,0)</f>
        <v/>
      </c>
      <c r="R167" s="637" t="str">
        <f>VLOOKUP($B167,'Afton Update'!$A$5:$CR$582,'Afton Update'!AJ$589,0)</f>
        <v/>
      </c>
      <c r="S167" s="637" t="str">
        <f>VLOOKUP($B167,'Afton Update'!$A$5:$CR$582,'Afton Update'!AK$589,0)</f>
        <v/>
      </c>
      <c r="T167" s="643">
        <f t="shared" si="268"/>
        <v>10045.124751181987</v>
      </c>
      <c r="V167" s="636">
        <f t="shared" si="316"/>
        <v>9908.1027296503926</v>
      </c>
      <c r="W167" s="637">
        <f t="shared" si="317"/>
        <v>0</v>
      </c>
      <c r="X167" s="637">
        <f t="shared" si="318"/>
        <v>0</v>
      </c>
      <c r="Y167" s="637">
        <f t="shared" si="319"/>
        <v>0</v>
      </c>
      <c r="Z167" s="643">
        <f t="shared" si="320"/>
        <v>9908.1027296503926</v>
      </c>
      <c r="AB167" s="644">
        <f t="shared" si="269"/>
        <v>10045.124751181987</v>
      </c>
      <c r="AC167" s="645">
        <f t="shared" si="257"/>
        <v>0</v>
      </c>
      <c r="AD167" s="644">
        <f t="shared" si="321"/>
        <v>0</v>
      </c>
      <c r="AE167" s="645">
        <f t="shared" si="322"/>
        <v>10045.124751181987</v>
      </c>
      <c r="AF167" s="646">
        <f t="shared" si="323"/>
        <v>-124.51687000120829</v>
      </c>
      <c r="AG167" s="647">
        <f t="shared" si="324"/>
        <v>9920.6078811807783</v>
      </c>
      <c r="AH167" s="644">
        <f t="shared" si="270"/>
        <v>0</v>
      </c>
      <c r="AI167" s="645">
        <f t="shared" si="271"/>
        <v>9920.6078811807783</v>
      </c>
      <c r="AJ167" s="646">
        <f t="shared" si="325"/>
        <v>-12.497184536754897</v>
      </c>
      <c r="AK167" s="647">
        <f t="shared" si="272"/>
        <v>9908.1106966440238</v>
      </c>
      <c r="AL167" s="644">
        <f t="shared" si="326"/>
        <v>0</v>
      </c>
      <c r="AM167" s="645">
        <f t="shared" si="327"/>
        <v>9908.1106966440238</v>
      </c>
      <c r="AN167" s="646">
        <f t="shared" si="328"/>
        <v>-7.966993631347655E-3</v>
      </c>
      <c r="AO167" s="647">
        <f t="shared" si="273"/>
        <v>9908.1027296503926</v>
      </c>
      <c r="AP167" s="644">
        <f t="shared" si="329"/>
        <v>0</v>
      </c>
      <c r="AQ167" s="645">
        <f t="shared" si="330"/>
        <v>9908.1027296503926</v>
      </c>
      <c r="AR167" s="646">
        <f t="shared" si="331"/>
        <v>0</v>
      </c>
      <c r="AS167" s="647">
        <f t="shared" si="274"/>
        <v>9908.1027296503926</v>
      </c>
      <c r="AT167" s="644">
        <f t="shared" si="332"/>
        <v>0</v>
      </c>
      <c r="AU167" s="645">
        <f t="shared" si="333"/>
        <v>9908.1027296503926</v>
      </c>
      <c r="AV167" s="646">
        <f t="shared" si="334"/>
        <v>0</v>
      </c>
      <c r="AW167" s="647">
        <f t="shared" si="275"/>
        <v>9908.1027296503926</v>
      </c>
      <c r="AY167" s="644">
        <f t="shared" si="335"/>
        <v>0</v>
      </c>
      <c r="AZ167" s="645">
        <f t="shared" si="276"/>
        <v>0</v>
      </c>
      <c r="BA167" s="644">
        <f t="shared" si="336"/>
        <v>0</v>
      </c>
      <c r="BB167" s="645">
        <f t="shared" si="337"/>
        <v>0</v>
      </c>
      <c r="BC167" s="646">
        <f t="shared" si="338"/>
        <v>0</v>
      </c>
      <c r="BD167" s="647">
        <f t="shared" si="339"/>
        <v>0</v>
      </c>
      <c r="BE167" s="644">
        <f t="shared" si="277"/>
        <v>0</v>
      </c>
      <c r="BF167" s="645">
        <f t="shared" si="278"/>
        <v>0</v>
      </c>
      <c r="BG167" s="646">
        <f t="shared" si="340"/>
        <v>0</v>
      </c>
      <c r="BH167" s="647">
        <f t="shared" si="279"/>
        <v>0</v>
      </c>
      <c r="BI167" s="644">
        <f t="shared" si="341"/>
        <v>0</v>
      </c>
      <c r="BJ167" s="645">
        <f t="shared" si="342"/>
        <v>0</v>
      </c>
      <c r="BK167" s="646">
        <f t="shared" si="343"/>
        <v>0</v>
      </c>
      <c r="BL167" s="647">
        <f t="shared" si="280"/>
        <v>0</v>
      </c>
      <c r="BM167" s="644">
        <f t="shared" si="344"/>
        <v>0</v>
      </c>
      <c r="BN167" s="645">
        <f t="shared" si="345"/>
        <v>0</v>
      </c>
      <c r="BO167" s="646">
        <f t="shared" si="346"/>
        <v>0</v>
      </c>
      <c r="BP167" s="647">
        <f t="shared" si="281"/>
        <v>0</v>
      </c>
      <c r="BQ167" s="644">
        <f t="shared" si="347"/>
        <v>0</v>
      </c>
      <c r="BR167" s="645">
        <f t="shared" si="348"/>
        <v>0</v>
      </c>
      <c r="BS167" s="646">
        <f t="shared" si="349"/>
        <v>0</v>
      </c>
      <c r="BT167" s="647">
        <f t="shared" si="282"/>
        <v>0</v>
      </c>
      <c r="BU167" s="662">
        <f>VLOOKUP(B167,'Afton Update'!$A$5:$AR$582,'Afton Update'!$AO$589,0)-BT167</f>
        <v>0</v>
      </c>
      <c r="BV167" s="644">
        <f t="shared" si="350"/>
        <v>0</v>
      </c>
      <c r="BW167" s="645">
        <f t="shared" si="258"/>
        <v>0</v>
      </c>
      <c r="BX167" s="644">
        <f t="shared" si="351"/>
        <v>0</v>
      </c>
      <c r="BY167" s="645">
        <f t="shared" si="352"/>
        <v>0</v>
      </c>
      <c r="BZ167" s="646">
        <f t="shared" si="353"/>
        <v>0</v>
      </c>
      <c r="CA167" s="647">
        <f t="shared" si="354"/>
        <v>0</v>
      </c>
      <c r="CB167" s="644">
        <f t="shared" si="283"/>
        <v>0</v>
      </c>
      <c r="CC167" s="645">
        <f t="shared" si="284"/>
        <v>0</v>
      </c>
      <c r="CD167" s="646">
        <f t="shared" si="355"/>
        <v>0</v>
      </c>
      <c r="CE167" s="647">
        <f t="shared" si="285"/>
        <v>0</v>
      </c>
      <c r="CF167" s="644">
        <f t="shared" si="356"/>
        <v>0</v>
      </c>
      <c r="CG167" s="645">
        <f t="shared" si="357"/>
        <v>0</v>
      </c>
      <c r="CH167" s="646">
        <f t="shared" si="358"/>
        <v>0</v>
      </c>
      <c r="CI167" s="647">
        <f t="shared" si="286"/>
        <v>0</v>
      </c>
      <c r="CJ167" s="644">
        <f t="shared" si="359"/>
        <v>0</v>
      </c>
      <c r="CK167" s="645">
        <f t="shared" si="360"/>
        <v>0</v>
      </c>
      <c r="CL167" s="646">
        <f t="shared" si="361"/>
        <v>0</v>
      </c>
      <c r="CM167" s="647">
        <f t="shared" si="287"/>
        <v>0</v>
      </c>
      <c r="CN167" s="644">
        <f t="shared" si="362"/>
        <v>0</v>
      </c>
      <c r="CO167" s="645">
        <f t="shared" si="363"/>
        <v>0</v>
      </c>
      <c r="CP167" s="646">
        <f t="shared" si="364"/>
        <v>0</v>
      </c>
      <c r="CQ167" s="647">
        <f t="shared" si="288"/>
        <v>0</v>
      </c>
      <c r="CS167" s="644">
        <f t="shared" si="365"/>
        <v>0</v>
      </c>
      <c r="CT167" s="645">
        <f t="shared" si="259"/>
        <v>0</v>
      </c>
      <c r="CU167" s="644">
        <f t="shared" si="366"/>
        <v>0</v>
      </c>
      <c r="CV167" s="645">
        <f t="shared" si="367"/>
        <v>0</v>
      </c>
      <c r="CW167" s="646">
        <f t="shared" si="368"/>
        <v>0</v>
      </c>
      <c r="CX167" s="647">
        <f t="shared" si="369"/>
        <v>0</v>
      </c>
      <c r="CY167" s="644">
        <f t="shared" si="289"/>
        <v>0</v>
      </c>
      <c r="CZ167" s="645">
        <f t="shared" si="290"/>
        <v>0</v>
      </c>
      <c r="DA167" s="646">
        <f t="shared" si="370"/>
        <v>0</v>
      </c>
      <c r="DB167" s="647">
        <f t="shared" si="291"/>
        <v>0</v>
      </c>
      <c r="DC167" s="644">
        <f t="shared" si="371"/>
        <v>0</v>
      </c>
      <c r="DD167" s="645">
        <f t="shared" si="372"/>
        <v>0</v>
      </c>
      <c r="DE167" s="646">
        <f t="shared" si="373"/>
        <v>0</v>
      </c>
      <c r="DF167" s="647">
        <f t="shared" si="292"/>
        <v>0</v>
      </c>
      <c r="DG167" s="644">
        <f t="shared" si="374"/>
        <v>0</v>
      </c>
      <c r="DH167" s="645">
        <f t="shared" si="375"/>
        <v>0</v>
      </c>
      <c r="DI167" s="646">
        <f t="shared" si="376"/>
        <v>0</v>
      </c>
      <c r="DJ167" s="647">
        <f t="shared" si="293"/>
        <v>0</v>
      </c>
      <c r="DK167" s="644">
        <f t="shared" si="377"/>
        <v>0</v>
      </c>
      <c r="DL167" s="645">
        <f t="shared" si="378"/>
        <v>0</v>
      </c>
      <c r="DM167" s="646">
        <f t="shared" si="379"/>
        <v>0</v>
      </c>
      <c r="DN167" s="647">
        <f t="shared" si="294"/>
        <v>0</v>
      </c>
      <c r="DR167" s="827">
        <f t="shared" si="295"/>
        <v>9908.1027296503926</v>
      </c>
      <c r="DV167" s="828">
        <f>IFERROR(VLOOKUP($B167,'Afton FY16 Final'!$A$5:$BV$587,'Afton FY16 Final'!$BV$587,0),0)</f>
        <v>0</v>
      </c>
      <c r="DX167" s="636">
        <f t="shared" si="260"/>
        <v>9908.1027296503926</v>
      </c>
      <c r="DY167" s="637">
        <f t="shared" si="261"/>
        <v>9908.1027296503926</v>
      </c>
      <c r="DZ167" s="637">
        <f t="shared" si="262"/>
        <v>0</v>
      </c>
      <c r="EA167" s="643">
        <f t="shared" si="263"/>
        <v>9381.1027085129699</v>
      </c>
      <c r="EB167" s="637">
        <f t="shared" si="296"/>
        <v>0</v>
      </c>
      <c r="EC167" s="637">
        <f t="shared" si="297"/>
        <v>9381.1027085129699</v>
      </c>
      <c r="ED167" s="637">
        <f t="shared" si="298"/>
        <v>9353.1288203604945</v>
      </c>
      <c r="EE167" s="643">
        <f t="shared" si="299"/>
        <v>9353.1288203604945</v>
      </c>
      <c r="EF167" s="637">
        <f t="shared" si="300"/>
        <v>0</v>
      </c>
      <c r="EG167" s="637">
        <f t="shared" si="301"/>
        <v>9353.1288203604945</v>
      </c>
      <c r="EH167" s="637">
        <f t="shared" si="302"/>
        <v>9353.1191711025713</v>
      </c>
      <c r="EI167" s="643">
        <f t="shared" si="303"/>
        <v>9353.1191711025713</v>
      </c>
      <c r="EJ167" s="637">
        <f t="shared" si="304"/>
        <v>0</v>
      </c>
      <c r="EK167" s="637">
        <f t="shared" si="305"/>
        <v>9353.1191711025713</v>
      </c>
      <c r="EL167" s="637">
        <f t="shared" si="306"/>
        <v>9353.1191711025567</v>
      </c>
      <c r="EM167" s="643">
        <f t="shared" si="307"/>
        <v>9353.1191711025567</v>
      </c>
      <c r="EN167" s="637">
        <f t="shared" si="308"/>
        <v>0</v>
      </c>
      <c r="EO167" s="637">
        <f t="shared" si="309"/>
        <v>9353.1191711025567</v>
      </c>
      <c r="EP167" s="637">
        <f t="shared" si="310"/>
        <v>9353.1191711025713</v>
      </c>
      <c r="EQ167" s="643">
        <f t="shared" si="311"/>
        <v>9353.1191711025713</v>
      </c>
      <c r="ER167" s="637">
        <f t="shared" si="312"/>
        <v>0</v>
      </c>
      <c r="ES167" s="637">
        <f t="shared" si="313"/>
        <v>9353.1191711025713</v>
      </c>
      <c r="ET167" s="637">
        <f t="shared" si="314"/>
        <v>9353.1191711025567</v>
      </c>
      <c r="EU167" s="643">
        <f t="shared" si="264"/>
        <v>9353.1191711025567</v>
      </c>
      <c r="EV167" s="643">
        <f t="shared" si="265"/>
        <v>0</v>
      </c>
      <c r="EX167" s="829">
        <f t="shared" si="266"/>
        <v>554.98355854783586</v>
      </c>
      <c r="EY167" s="638">
        <f t="shared" si="267"/>
        <v>9353.1191711025567</v>
      </c>
      <c r="FC167" s="830" t="str">
        <f t="shared" si="315"/>
        <v>N</v>
      </c>
      <c r="FE167" s="830" t="str">
        <f>IFERROR(VLOOKUP($B167,'Historical Conc Grant Elig'!$B$3:$J$707,'HH &amp; SI'!FE$2,0),"N")</f>
        <v>N</v>
      </c>
      <c r="FF167" s="830" t="str">
        <f>IFERROR(VLOOKUP($B167,'Historical Conc Grant Elig'!$B$3:$J$707,'HH &amp; SI'!FF$2,0),"N")</f>
        <v>N</v>
      </c>
      <c r="FG167" s="830" t="str">
        <f>IFERROR(VLOOKUP($B167,'Historical Conc Grant Elig'!$B$3:$J$707,'HH &amp; SI'!FG$2,0),"N")</f>
        <v>N</v>
      </c>
      <c r="FH167" s="830" t="str">
        <f>IFERROR(VLOOKUP($B167,'Historical Conc Grant Elig'!$B$3:$J$707,'HH &amp; SI'!FH$2,0),"N")</f>
        <v>N</v>
      </c>
      <c r="FI167" s="830" t="str">
        <f>IFERROR(VLOOKUP($B167,'Historical Conc Grant Elig'!$B$3:$J$707,'HH &amp; SI'!FI$2,0),"N")</f>
        <v>N</v>
      </c>
      <c r="FJ167" s="830" t="str">
        <f>IFERROR(VLOOKUP($B167,'Historical Conc Grant Elig'!$B$3:$J$707,'HH &amp; SI'!FJ$2,0),"N")</f>
        <v>N</v>
      </c>
      <c r="FK167" s="830" t="str">
        <f>IFERROR(VLOOKUP($B167,'Historical Conc Grant Elig'!$B$3:$J$707,'HH &amp; SI'!FK$2,0),"N")</f>
        <v>N</v>
      </c>
      <c r="FL167" s="957" t="str">
        <f>IFERROR(VLOOKUP($B167,'Historical Conc Grant Elig'!$B$3:$J$707,'HH &amp; SI'!FL$2,0),"N")</f>
        <v>N</v>
      </c>
    </row>
    <row r="168" spans="2:168" x14ac:dyDescent="0.25">
      <c r="B168" s="634">
        <v>78507000</v>
      </c>
      <c r="C168" s="635" t="str">
        <f>VLOOKUP($B168,'Afton Update'!$A$5:$CR$582,'Afton Update'!D$589,0)</f>
        <v>Legacy Education Group</v>
      </c>
      <c r="D168" s="636">
        <f>IFERROR(VLOOKUP($B168,'Afton FY16 Final'!$A$5:$BV$587,'Afton FY16 Final'!AQ$587,0),0)</f>
        <v>12340.561975092967</v>
      </c>
      <c r="E168" s="637">
        <f>IFERROR(VLOOKUP($B168,'Afton FY16 Final'!$A$5:$BV$587,'Afton FY16 Final'!AR$587,0),0)</f>
        <v>4415.3518643884645</v>
      </c>
      <c r="F168" s="637">
        <f>IFERROR(VLOOKUP($B168,'Afton FY16 Final'!$A$5:$BV$587,'Afton FY16 Final'!AS$587,0),0)</f>
        <v>6697.3679428925416</v>
      </c>
      <c r="G168" s="637">
        <f>IFERROR(VLOOKUP($B168,'Afton FY16 Final'!$A$5:$BV$587,'Afton FY16 Final'!AT$587,0),0)</f>
        <v>5623.5009823301853</v>
      </c>
      <c r="H168" s="638">
        <f>IFERROR(VLOOKUP($B168,'Afton FY16 Final'!$A$5:$BV$587,'Afton FY16 Final'!AU$587,0),0)</f>
        <v>29076.782764704159</v>
      </c>
      <c r="I168" s="639" t="str">
        <f>VLOOKUP($B168,'Afton Update'!$A$5:$CR$582,'Afton Update'!BT$589,0)</f>
        <v>Y</v>
      </c>
      <c r="J168" s="640" t="str">
        <f>VLOOKUP($B168,'Afton Update'!$A$5:$CR$582,'Afton Update'!BU$589,0)</f>
        <v>Y</v>
      </c>
      <c r="K168" s="640" t="str">
        <f>VLOOKUP($B168,'Afton Update'!$A$5:$CR$582,'Afton Update'!BV$589,0)</f>
        <v>Y</v>
      </c>
      <c r="L168" s="641" t="str">
        <f>VLOOKUP($B168,'Afton Update'!$A$5:$CR$582,'Afton Update'!BW$589,0)</f>
        <v>Y</v>
      </c>
      <c r="N168" s="642">
        <f>VLOOKUP($B168,'Afton Update'!$A$5:$CR$582,'Afton Update'!CB$589,0)</f>
        <v>0.9</v>
      </c>
      <c r="P168" s="636">
        <f>VLOOKUP($B168,'Afton Update'!$A$5:$CR$582,'Afton Update'!AH$589,0)</f>
        <v>8370.9372926516571</v>
      </c>
      <c r="Q168" s="637">
        <f>VLOOKUP($B168,'Afton Update'!$A$5:$CR$582,'Afton Update'!AI$589,0)</f>
        <v>3861.9177533914899</v>
      </c>
      <c r="R168" s="637">
        <f>VLOOKUP($B168,'Afton Update'!$A$5:$CR$582,'Afton Update'!AJ$589,0)</f>
        <v>4924.5320544723463</v>
      </c>
      <c r="S168" s="637">
        <f>VLOOKUP($B168,'Afton Update'!$A$5:$CR$582,'Afton Update'!AK$589,0)</f>
        <v>4584.0924586052788</v>
      </c>
      <c r="T168" s="643">
        <f t="shared" si="268"/>
        <v>21741.479559120773</v>
      </c>
      <c r="V168" s="636">
        <f t="shared" si="316"/>
        <v>11106.50577758367</v>
      </c>
      <c r="W168" s="637">
        <f t="shared" si="317"/>
        <v>3973.8166779496182</v>
      </c>
      <c r="X168" s="637">
        <f t="shared" si="318"/>
        <v>6027.6311486032873</v>
      </c>
      <c r="Y168" s="637">
        <f t="shared" si="319"/>
        <v>5061.1508840971665</v>
      </c>
      <c r="Z168" s="643">
        <f t="shared" si="320"/>
        <v>26169.104488233741</v>
      </c>
      <c r="AB168" s="644">
        <f t="shared" si="269"/>
        <v>8370.9372926516571</v>
      </c>
      <c r="AC168" s="645">
        <f t="shared" si="257"/>
        <v>11106.50577758367</v>
      </c>
      <c r="AD168" s="644">
        <f t="shared" si="321"/>
        <v>2735.5684849320132</v>
      </c>
      <c r="AE168" s="645">
        <f t="shared" si="322"/>
        <v>0</v>
      </c>
      <c r="AF168" s="646">
        <f t="shared" si="323"/>
        <v>0</v>
      </c>
      <c r="AG168" s="647">
        <f t="shared" si="324"/>
        <v>11106.50577758367</v>
      </c>
      <c r="AH168" s="644">
        <f t="shared" si="270"/>
        <v>0</v>
      </c>
      <c r="AI168" s="645">
        <f t="shared" si="271"/>
        <v>0</v>
      </c>
      <c r="AJ168" s="646">
        <f t="shared" si="325"/>
        <v>0</v>
      </c>
      <c r="AK168" s="647">
        <f t="shared" si="272"/>
        <v>11106.50577758367</v>
      </c>
      <c r="AL168" s="644">
        <f t="shared" si="326"/>
        <v>0</v>
      </c>
      <c r="AM168" s="645">
        <f t="shared" si="327"/>
        <v>0</v>
      </c>
      <c r="AN168" s="646">
        <f t="shared" si="328"/>
        <v>0</v>
      </c>
      <c r="AO168" s="647">
        <f t="shared" si="273"/>
        <v>11106.50577758367</v>
      </c>
      <c r="AP168" s="644">
        <f t="shared" si="329"/>
        <v>0</v>
      </c>
      <c r="AQ168" s="645">
        <f t="shared" si="330"/>
        <v>0</v>
      </c>
      <c r="AR168" s="646">
        <f t="shared" si="331"/>
        <v>0</v>
      </c>
      <c r="AS168" s="647">
        <f t="shared" si="274"/>
        <v>11106.50577758367</v>
      </c>
      <c r="AT168" s="644">
        <f t="shared" si="332"/>
        <v>0</v>
      </c>
      <c r="AU168" s="645">
        <f t="shared" si="333"/>
        <v>0</v>
      </c>
      <c r="AV168" s="646">
        <f t="shared" si="334"/>
        <v>0</v>
      </c>
      <c r="AW168" s="647">
        <f t="shared" si="275"/>
        <v>11106.50577758367</v>
      </c>
      <c r="AY168" s="644">
        <f t="shared" si="335"/>
        <v>3861.9177533914899</v>
      </c>
      <c r="AZ168" s="645">
        <f t="shared" si="276"/>
        <v>3973.8166779496182</v>
      </c>
      <c r="BA168" s="644">
        <f t="shared" si="336"/>
        <v>111.89892455812833</v>
      </c>
      <c r="BB168" s="645">
        <f t="shared" si="337"/>
        <v>0</v>
      </c>
      <c r="BC168" s="646">
        <f t="shared" si="338"/>
        <v>0</v>
      </c>
      <c r="BD168" s="647">
        <f t="shared" si="339"/>
        <v>3973.8166779496182</v>
      </c>
      <c r="BE168" s="644">
        <f t="shared" si="277"/>
        <v>0</v>
      </c>
      <c r="BF168" s="645">
        <f t="shared" si="278"/>
        <v>0</v>
      </c>
      <c r="BG168" s="646">
        <f t="shared" si="340"/>
        <v>0</v>
      </c>
      <c r="BH168" s="647">
        <f t="shared" si="279"/>
        <v>3973.8166779496182</v>
      </c>
      <c r="BI168" s="644">
        <f t="shared" si="341"/>
        <v>0</v>
      </c>
      <c r="BJ168" s="645">
        <f t="shared" si="342"/>
        <v>0</v>
      </c>
      <c r="BK168" s="646">
        <f t="shared" si="343"/>
        <v>0</v>
      </c>
      <c r="BL168" s="647">
        <f t="shared" si="280"/>
        <v>3973.8166779496182</v>
      </c>
      <c r="BM168" s="644">
        <f t="shared" si="344"/>
        <v>0</v>
      </c>
      <c r="BN168" s="645">
        <f t="shared" si="345"/>
        <v>0</v>
      </c>
      <c r="BO168" s="646">
        <f t="shared" si="346"/>
        <v>0</v>
      </c>
      <c r="BP168" s="647">
        <f t="shared" si="281"/>
        <v>3973.8166779496182</v>
      </c>
      <c r="BQ168" s="644">
        <f t="shared" si="347"/>
        <v>0</v>
      </c>
      <c r="BR168" s="645">
        <f t="shared" si="348"/>
        <v>0</v>
      </c>
      <c r="BS168" s="646">
        <f t="shared" si="349"/>
        <v>0</v>
      </c>
      <c r="BT168" s="647">
        <f t="shared" si="282"/>
        <v>3973.8166779496182</v>
      </c>
      <c r="BU168" s="662">
        <f>VLOOKUP(B168,'Afton Update'!$A$5:$AR$582,'Afton Update'!$AO$589,0)-BT168</f>
        <v>0</v>
      </c>
      <c r="BV168" s="644">
        <f t="shared" si="350"/>
        <v>4924.5320544723463</v>
      </c>
      <c r="BW168" s="645">
        <f t="shared" si="258"/>
        <v>6027.6311486032873</v>
      </c>
      <c r="BX168" s="644">
        <f t="shared" si="351"/>
        <v>1103.099094130941</v>
      </c>
      <c r="BY168" s="645">
        <f t="shared" si="352"/>
        <v>0</v>
      </c>
      <c r="BZ168" s="646">
        <f t="shared" si="353"/>
        <v>0</v>
      </c>
      <c r="CA168" s="647">
        <f t="shared" si="354"/>
        <v>6027.6311486032873</v>
      </c>
      <c r="CB168" s="644">
        <f t="shared" si="283"/>
        <v>0</v>
      </c>
      <c r="CC168" s="645">
        <f t="shared" si="284"/>
        <v>0</v>
      </c>
      <c r="CD168" s="646">
        <f t="shared" si="355"/>
        <v>0</v>
      </c>
      <c r="CE168" s="647">
        <f t="shared" si="285"/>
        <v>6027.6311486032873</v>
      </c>
      <c r="CF168" s="644">
        <f t="shared" si="356"/>
        <v>0</v>
      </c>
      <c r="CG168" s="645">
        <f t="shared" si="357"/>
        <v>0</v>
      </c>
      <c r="CH168" s="646">
        <f t="shared" si="358"/>
        <v>0</v>
      </c>
      <c r="CI168" s="647">
        <f t="shared" si="286"/>
        <v>6027.6311486032873</v>
      </c>
      <c r="CJ168" s="644">
        <f t="shared" si="359"/>
        <v>0</v>
      </c>
      <c r="CK168" s="645">
        <f t="shared" si="360"/>
        <v>0</v>
      </c>
      <c r="CL168" s="646">
        <f t="shared" si="361"/>
        <v>0</v>
      </c>
      <c r="CM168" s="647">
        <f t="shared" si="287"/>
        <v>6027.6311486032873</v>
      </c>
      <c r="CN168" s="644">
        <f t="shared" si="362"/>
        <v>0</v>
      </c>
      <c r="CO168" s="645">
        <f t="shared" si="363"/>
        <v>0</v>
      </c>
      <c r="CP168" s="646">
        <f t="shared" si="364"/>
        <v>0</v>
      </c>
      <c r="CQ168" s="647">
        <f t="shared" si="288"/>
        <v>6027.6311486032873</v>
      </c>
      <c r="CS168" s="644">
        <f t="shared" si="365"/>
        <v>4584.0924586052788</v>
      </c>
      <c r="CT168" s="645">
        <f t="shared" si="259"/>
        <v>5061.1508840971665</v>
      </c>
      <c r="CU168" s="644">
        <f t="shared" si="366"/>
        <v>477.05842549188765</v>
      </c>
      <c r="CV168" s="645">
        <f t="shared" si="367"/>
        <v>0</v>
      </c>
      <c r="CW168" s="646">
        <f t="shared" si="368"/>
        <v>0</v>
      </c>
      <c r="CX168" s="647">
        <f t="shared" si="369"/>
        <v>5061.1508840971665</v>
      </c>
      <c r="CY168" s="644">
        <f t="shared" si="289"/>
        <v>0</v>
      </c>
      <c r="CZ168" s="645">
        <f t="shared" si="290"/>
        <v>0</v>
      </c>
      <c r="DA168" s="646">
        <f t="shared" si="370"/>
        <v>0</v>
      </c>
      <c r="DB168" s="647">
        <f t="shared" si="291"/>
        <v>5061.1508840971665</v>
      </c>
      <c r="DC168" s="644">
        <f t="shared" si="371"/>
        <v>0</v>
      </c>
      <c r="DD168" s="645">
        <f t="shared" si="372"/>
        <v>0</v>
      </c>
      <c r="DE168" s="646">
        <f t="shared" si="373"/>
        <v>0</v>
      </c>
      <c r="DF168" s="647">
        <f t="shared" si="292"/>
        <v>5061.1508840971665</v>
      </c>
      <c r="DG168" s="644">
        <f t="shared" si="374"/>
        <v>0</v>
      </c>
      <c r="DH168" s="645">
        <f t="shared" si="375"/>
        <v>0</v>
      </c>
      <c r="DI168" s="646">
        <f t="shared" si="376"/>
        <v>0</v>
      </c>
      <c r="DJ168" s="647">
        <f t="shared" si="293"/>
        <v>5061.1508840971665</v>
      </c>
      <c r="DK168" s="644">
        <f t="shared" si="377"/>
        <v>0</v>
      </c>
      <c r="DL168" s="645">
        <f t="shared" si="378"/>
        <v>0</v>
      </c>
      <c r="DM168" s="646">
        <f t="shared" si="379"/>
        <v>0</v>
      </c>
      <c r="DN168" s="647">
        <f t="shared" si="294"/>
        <v>5061.1508840971665</v>
      </c>
      <c r="DR168" s="827">
        <f t="shared" si="295"/>
        <v>26169.104488233741</v>
      </c>
      <c r="DV168" s="828">
        <f>IFERROR(VLOOKUP($B168,'Afton FY16 Final'!$A$5:$BV$587,'Afton FY16 Final'!$BV$587,0),0)</f>
        <v>26873.174779101777</v>
      </c>
      <c r="DX168" s="636">
        <f t="shared" si="260"/>
        <v>0</v>
      </c>
      <c r="DY168" s="637">
        <f t="shared" si="261"/>
        <v>0</v>
      </c>
      <c r="DZ168" s="637">
        <f t="shared" si="262"/>
        <v>0</v>
      </c>
      <c r="EA168" s="643">
        <f t="shared" si="263"/>
        <v>0</v>
      </c>
      <c r="EB168" s="637">
        <f t="shared" si="296"/>
        <v>0</v>
      </c>
      <c r="EC168" s="637">
        <f t="shared" si="297"/>
        <v>0</v>
      </c>
      <c r="ED168" s="637">
        <f t="shared" si="298"/>
        <v>0</v>
      </c>
      <c r="EE168" s="643">
        <f t="shared" si="299"/>
        <v>0</v>
      </c>
      <c r="EF168" s="637">
        <f t="shared" si="300"/>
        <v>0</v>
      </c>
      <c r="EG168" s="637">
        <f t="shared" si="301"/>
        <v>0</v>
      </c>
      <c r="EH168" s="637">
        <f t="shared" si="302"/>
        <v>0</v>
      </c>
      <c r="EI168" s="643">
        <f t="shared" si="303"/>
        <v>0</v>
      </c>
      <c r="EJ168" s="637">
        <f t="shared" si="304"/>
        <v>0</v>
      </c>
      <c r="EK168" s="637">
        <f t="shared" si="305"/>
        <v>0</v>
      </c>
      <c r="EL168" s="637">
        <f t="shared" si="306"/>
        <v>0</v>
      </c>
      <c r="EM168" s="643">
        <f t="shared" si="307"/>
        <v>0</v>
      </c>
      <c r="EN168" s="637">
        <f t="shared" si="308"/>
        <v>0</v>
      </c>
      <c r="EO168" s="637">
        <f t="shared" si="309"/>
        <v>0</v>
      </c>
      <c r="EP168" s="637">
        <f t="shared" si="310"/>
        <v>0</v>
      </c>
      <c r="EQ168" s="643">
        <f t="shared" si="311"/>
        <v>0</v>
      </c>
      <c r="ER168" s="637">
        <f t="shared" si="312"/>
        <v>0</v>
      </c>
      <c r="ES168" s="637">
        <f t="shared" si="313"/>
        <v>0</v>
      </c>
      <c r="ET168" s="637">
        <f t="shared" si="314"/>
        <v>0</v>
      </c>
      <c r="EU168" s="643">
        <f t="shared" si="264"/>
        <v>0</v>
      </c>
      <c r="EV168" s="643">
        <f t="shared" si="265"/>
        <v>0</v>
      </c>
      <c r="EX168" s="829">
        <f t="shared" si="266"/>
        <v>0</v>
      </c>
      <c r="EY168" s="638">
        <f t="shared" si="267"/>
        <v>26169.104488233741</v>
      </c>
      <c r="FC168" s="830" t="str">
        <f t="shared" si="315"/>
        <v>Y</v>
      </c>
      <c r="FE168" s="830" t="str">
        <f>IFERROR(VLOOKUP($B168,'Historical Conc Grant Elig'!$B$3:$J$707,'HH &amp; SI'!FE$2,0),"N")</f>
        <v>Y</v>
      </c>
      <c r="FF168" s="830" t="str">
        <f>IFERROR(VLOOKUP($B168,'Historical Conc Grant Elig'!$B$3:$J$707,'HH &amp; SI'!FF$2,0),"N")</f>
        <v>Y</v>
      </c>
      <c r="FG168" s="830" t="str">
        <f>IFERROR(VLOOKUP($B168,'Historical Conc Grant Elig'!$B$3:$J$707,'HH &amp; SI'!FG$2,0),"N")</f>
        <v>Y</v>
      </c>
      <c r="FH168" s="830" t="str">
        <f>IFERROR(VLOOKUP($B168,'Historical Conc Grant Elig'!$B$3:$J$707,'HH &amp; SI'!FH$2,0),"N")</f>
        <v>Y</v>
      </c>
      <c r="FI168" s="830" t="str">
        <f>IFERROR(VLOOKUP($B168,'Historical Conc Grant Elig'!$B$3:$J$707,'HH &amp; SI'!FI$2,0),"N")</f>
        <v>Y</v>
      </c>
      <c r="FJ168" s="830" t="str">
        <f>IFERROR(VLOOKUP($B168,'Historical Conc Grant Elig'!$B$3:$J$707,'HH &amp; SI'!FJ$2,0),"N")</f>
        <v>Y</v>
      </c>
      <c r="FK168" s="830" t="str">
        <f>IFERROR(VLOOKUP($B168,'Historical Conc Grant Elig'!$B$3:$J$707,'HH &amp; SI'!FK$2,0),"N")</f>
        <v>Y</v>
      </c>
      <c r="FL168" s="957" t="str">
        <f>IFERROR(VLOOKUP($B168,'Historical Conc Grant Elig'!$B$3:$J$707,'HH &amp; SI'!FL$2,0),"N")</f>
        <v>Y</v>
      </c>
    </row>
    <row r="169" spans="2:168" x14ac:dyDescent="0.25">
      <c r="B169" s="634">
        <v>78508000</v>
      </c>
      <c r="C169" s="635" t="str">
        <f>VLOOKUP($B169,'Afton Update'!$A$5:$CR$582,'Afton Update'!D$589,0)</f>
        <v>Rosefield Charter Elementary School, Inc.</v>
      </c>
      <c r="D169" s="636">
        <f>IFERROR(VLOOKUP($B169,'Afton FY16 Final'!$A$5:$BV$587,'Afton FY16 Final'!AQ$587,0),0)</f>
        <v>50756.996624231841</v>
      </c>
      <c r="E169" s="637">
        <f>IFERROR(VLOOKUP($B169,'Afton FY16 Final'!$A$5:$BV$587,'Afton FY16 Final'!AR$587,0),0)</f>
        <v>10144.470736095745</v>
      </c>
      <c r="F169" s="637">
        <f>IFERROR(VLOOKUP($B169,'Afton FY16 Final'!$A$5:$BV$587,'Afton FY16 Final'!AS$587,0),0)</f>
        <v>27546.418287492532</v>
      </c>
      <c r="G169" s="637">
        <f>IFERROR(VLOOKUP($B169,'Afton FY16 Final'!$A$5:$BV$587,'Afton FY16 Final'!AT$587,0),0)</f>
        <v>23800.973697389705</v>
      </c>
      <c r="H169" s="638">
        <f>IFERROR(VLOOKUP($B169,'Afton FY16 Final'!$A$5:$BV$587,'Afton FY16 Final'!AU$587,0),0)</f>
        <v>112248.85934520983</v>
      </c>
      <c r="I169" s="639" t="str">
        <f>VLOOKUP($B169,'Afton Update'!$A$5:$CR$582,'Afton Update'!BT$589,0)</f>
        <v>Y</v>
      </c>
      <c r="J169" s="640" t="str">
        <f>VLOOKUP($B169,'Afton Update'!$A$5:$CR$582,'Afton Update'!BU$589,0)</f>
        <v>Y</v>
      </c>
      <c r="K169" s="640" t="str">
        <f>VLOOKUP($B169,'Afton Update'!$A$5:$CR$582,'Afton Update'!BV$589,0)</f>
        <v>Y</v>
      </c>
      <c r="L169" s="641" t="str">
        <f>VLOOKUP($B169,'Afton Update'!$A$5:$CR$582,'Afton Update'!BW$589,0)</f>
        <v>Y</v>
      </c>
      <c r="N169" s="642">
        <f>VLOOKUP($B169,'Afton Update'!$A$5:$CR$582,'Afton Update'!CB$589,0)</f>
        <v>0.9</v>
      </c>
      <c r="P169" s="636">
        <f>VLOOKUP($B169,'Afton Update'!$A$5:$CR$582,'Afton Update'!AH$589,0)</f>
        <v>60749.087780957736</v>
      </c>
      <c r="Q169" s="637">
        <f>VLOOKUP($B169,'Afton Update'!$A$5:$CR$582,'Afton Update'!AI$589,0)</f>
        <v>14693.635043471781</v>
      </c>
      <c r="R169" s="637">
        <f>VLOOKUP($B169,'Afton Update'!$A$5:$CR$582,'Afton Update'!AJ$589,0)</f>
        <v>35579.472586649696</v>
      </c>
      <c r="S169" s="637">
        <f>VLOOKUP($B169,'Afton Update'!$A$5:$CR$582,'Afton Update'!AK$589,0)</f>
        <v>33119.81527615193</v>
      </c>
      <c r="T169" s="643">
        <f t="shared" si="268"/>
        <v>144142.01068723114</v>
      </c>
      <c r="V169" s="636">
        <f t="shared" si="316"/>
        <v>59920.430793600004</v>
      </c>
      <c r="W169" s="637">
        <f t="shared" si="317"/>
        <v>14209.680426469258</v>
      </c>
      <c r="X169" s="637">
        <f t="shared" si="318"/>
        <v>35255.891174953947</v>
      </c>
      <c r="Y169" s="637">
        <f t="shared" si="319"/>
        <v>32754.894530521644</v>
      </c>
      <c r="Z169" s="643">
        <f t="shared" si="320"/>
        <v>142140.89692554486</v>
      </c>
      <c r="AB169" s="644">
        <f t="shared" si="269"/>
        <v>60749.087780957736</v>
      </c>
      <c r="AC169" s="645">
        <f t="shared" si="257"/>
        <v>45681.296961808657</v>
      </c>
      <c r="AD169" s="644">
        <f t="shared" si="321"/>
        <v>0</v>
      </c>
      <c r="AE169" s="645">
        <f t="shared" si="322"/>
        <v>60749.087780957736</v>
      </c>
      <c r="AF169" s="646">
        <f t="shared" si="323"/>
        <v>-753.03059476921203</v>
      </c>
      <c r="AG169" s="647">
        <f t="shared" si="324"/>
        <v>59996.057186188526</v>
      </c>
      <c r="AH169" s="644">
        <f t="shared" si="270"/>
        <v>0</v>
      </c>
      <c r="AI169" s="645">
        <f t="shared" si="271"/>
        <v>59996.057186188526</v>
      </c>
      <c r="AJ169" s="646">
        <f t="shared" si="325"/>
        <v>-75.578211246089154</v>
      </c>
      <c r="AK169" s="647">
        <f t="shared" si="272"/>
        <v>59920.478974942438</v>
      </c>
      <c r="AL169" s="644">
        <f t="shared" si="326"/>
        <v>0</v>
      </c>
      <c r="AM169" s="645">
        <f t="shared" si="327"/>
        <v>59920.478974942438</v>
      </c>
      <c r="AN169" s="646">
        <f t="shared" si="328"/>
        <v>-4.8181342437197731E-2</v>
      </c>
      <c r="AO169" s="647">
        <f t="shared" si="273"/>
        <v>59920.430793600004</v>
      </c>
      <c r="AP169" s="644">
        <f t="shared" si="329"/>
        <v>0</v>
      </c>
      <c r="AQ169" s="645">
        <f t="shared" si="330"/>
        <v>59920.430793600004</v>
      </c>
      <c r="AR169" s="646">
        <f t="shared" si="331"/>
        <v>0</v>
      </c>
      <c r="AS169" s="647">
        <f t="shared" si="274"/>
        <v>59920.430793600004</v>
      </c>
      <c r="AT169" s="644">
        <f t="shared" si="332"/>
        <v>0</v>
      </c>
      <c r="AU169" s="645">
        <f t="shared" si="333"/>
        <v>59920.430793600004</v>
      </c>
      <c r="AV169" s="646">
        <f t="shared" si="334"/>
        <v>0</v>
      </c>
      <c r="AW169" s="647">
        <f t="shared" si="275"/>
        <v>59920.430793600004</v>
      </c>
      <c r="AY169" s="644">
        <f t="shared" si="335"/>
        <v>14693.635043471781</v>
      </c>
      <c r="AZ169" s="645">
        <f t="shared" si="276"/>
        <v>9130.0236624861718</v>
      </c>
      <c r="BA169" s="644">
        <f t="shared" si="336"/>
        <v>0</v>
      </c>
      <c r="BB169" s="645">
        <f t="shared" si="337"/>
        <v>14693.635043471781</v>
      </c>
      <c r="BC169" s="646">
        <f t="shared" si="338"/>
        <v>-105.66621177019418</v>
      </c>
      <c r="BD169" s="647">
        <f t="shared" si="339"/>
        <v>14587.968831701586</v>
      </c>
      <c r="BE169" s="644">
        <f t="shared" si="277"/>
        <v>0</v>
      </c>
      <c r="BF169" s="645">
        <f t="shared" si="278"/>
        <v>14587.968831701586</v>
      </c>
      <c r="BG169" s="646">
        <f t="shared" si="340"/>
        <v>-347.47352923420624</v>
      </c>
      <c r="BH169" s="647">
        <f t="shared" si="279"/>
        <v>14240.49530246738</v>
      </c>
      <c r="BI169" s="644">
        <f t="shared" si="341"/>
        <v>0</v>
      </c>
      <c r="BJ169" s="645">
        <f t="shared" si="342"/>
        <v>14240.49530246738</v>
      </c>
      <c r="BK169" s="646">
        <f t="shared" si="343"/>
        <v>-30.164713744368012</v>
      </c>
      <c r="BL169" s="647">
        <f t="shared" si="280"/>
        <v>14210.330588723011</v>
      </c>
      <c r="BM169" s="644">
        <f t="shared" si="344"/>
        <v>0</v>
      </c>
      <c r="BN169" s="645">
        <f t="shared" si="345"/>
        <v>14210.330588723011</v>
      </c>
      <c r="BO169" s="646">
        <f t="shared" si="346"/>
        <v>-0.65016225375227654</v>
      </c>
      <c r="BP169" s="647">
        <f t="shared" si="281"/>
        <v>14209.680426469258</v>
      </c>
      <c r="BQ169" s="644">
        <f t="shared" si="347"/>
        <v>0</v>
      </c>
      <c r="BR169" s="645">
        <f t="shared" si="348"/>
        <v>14209.680426469258</v>
      </c>
      <c r="BS169" s="646">
        <f t="shared" si="349"/>
        <v>0</v>
      </c>
      <c r="BT169" s="647">
        <f t="shared" si="282"/>
        <v>14209.680426469258</v>
      </c>
      <c r="BU169" s="662">
        <f>VLOOKUP(B169,'Afton Update'!$A$5:$AR$582,'Afton Update'!$AO$589,0)-BT169</f>
        <v>0</v>
      </c>
      <c r="BV169" s="644">
        <f t="shared" si="350"/>
        <v>35579.472586649696</v>
      </c>
      <c r="BW169" s="645">
        <f t="shared" si="258"/>
        <v>24791.776458743279</v>
      </c>
      <c r="BX169" s="644">
        <f t="shared" si="351"/>
        <v>0</v>
      </c>
      <c r="BY169" s="645">
        <f t="shared" si="352"/>
        <v>35579.472586649696</v>
      </c>
      <c r="BZ169" s="646">
        <f t="shared" si="353"/>
        <v>-312.28481366029041</v>
      </c>
      <c r="CA169" s="647">
        <f t="shared" si="354"/>
        <v>35267.187772989404</v>
      </c>
      <c r="CB169" s="644">
        <f t="shared" si="283"/>
        <v>0</v>
      </c>
      <c r="CC169" s="645">
        <f t="shared" si="284"/>
        <v>35267.187772989404</v>
      </c>
      <c r="CD169" s="646">
        <f t="shared" si="355"/>
        <v>-11.296598035459548</v>
      </c>
      <c r="CE169" s="647">
        <f t="shared" si="285"/>
        <v>35255.891174953947</v>
      </c>
      <c r="CF169" s="644">
        <f t="shared" si="356"/>
        <v>0</v>
      </c>
      <c r="CG169" s="645">
        <f t="shared" si="357"/>
        <v>35255.891174953947</v>
      </c>
      <c r="CH169" s="646">
        <f t="shared" si="358"/>
        <v>0</v>
      </c>
      <c r="CI169" s="647">
        <f t="shared" si="286"/>
        <v>35255.891174953947</v>
      </c>
      <c r="CJ169" s="644">
        <f t="shared" si="359"/>
        <v>0</v>
      </c>
      <c r="CK169" s="645">
        <f t="shared" si="360"/>
        <v>35255.891174953947</v>
      </c>
      <c r="CL169" s="646">
        <f t="shared" si="361"/>
        <v>0</v>
      </c>
      <c r="CM169" s="647">
        <f t="shared" si="287"/>
        <v>35255.891174953947</v>
      </c>
      <c r="CN169" s="644">
        <f t="shared" si="362"/>
        <v>0</v>
      </c>
      <c r="CO169" s="645">
        <f t="shared" si="363"/>
        <v>35255.891174953947</v>
      </c>
      <c r="CP169" s="646">
        <f t="shared" si="364"/>
        <v>0</v>
      </c>
      <c r="CQ169" s="647">
        <f t="shared" si="288"/>
        <v>35255.891174953947</v>
      </c>
      <c r="CS169" s="644">
        <f t="shared" si="365"/>
        <v>33119.81527615193</v>
      </c>
      <c r="CT169" s="645">
        <f t="shared" si="259"/>
        <v>21420.876327650734</v>
      </c>
      <c r="CU169" s="644">
        <f t="shared" si="366"/>
        <v>0</v>
      </c>
      <c r="CV169" s="645">
        <f t="shared" si="367"/>
        <v>33119.81527615193</v>
      </c>
      <c r="CW169" s="646">
        <f t="shared" si="368"/>
        <v>-339.16562516323938</v>
      </c>
      <c r="CX169" s="647">
        <f t="shared" si="369"/>
        <v>32780.649650988693</v>
      </c>
      <c r="CY169" s="644">
        <f t="shared" si="289"/>
        <v>0</v>
      </c>
      <c r="CZ169" s="645">
        <f t="shared" si="290"/>
        <v>32780.649650988693</v>
      </c>
      <c r="DA169" s="646">
        <f t="shared" si="370"/>
        <v>-25.732929020865075</v>
      </c>
      <c r="DB169" s="647">
        <f t="shared" si="291"/>
        <v>32754.916721967827</v>
      </c>
      <c r="DC169" s="644">
        <f t="shared" si="371"/>
        <v>0</v>
      </c>
      <c r="DD169" s="645">
        <f t="shared" si="372"/>
        <v>32754.916721967827</v>
      </c>
      <c r="DE169" s="646">
        <f t="shared" si="373"/>
        <v>-2.2191446183183458E-2</v>
      </c>
      <c r="DF169" s="647">
        <f t="shared" si="292"/>
        <v>32754.894530521644</v>
      </c>
      <c r="DG169" s="644">
        <f t="shared" si="374"/>
        <v>0</v>
      </c>
      <c r="DH169" s="645">
        <f t="shared" si="375"/>
        <v>32754.894530521644</v>
      </c>
      <c r="DI169" s="646">
        <f t="shared" si="376"/>
        <v>0</v>
      </c>
      <c r="DJ169" s="647">
        <f t="shared" si="293"/>
        <v>32754.894530521644</v>
      </c>
      <c r="DK169" s="644">
        <f t="shared" si="377"/>
        <v>0</v>
      </c>
      <c r="DL169" s="645">
        <f t="shared" si="378"/>
        <v>32754.894530521644</v>
      </c>
      <c r="DM169" s="646">
        <f t="shared" si="379"/>
        <v>0</v>
      </c>
      <c r="DN169" s="647">
        <f t="shared" si="294"/>
        <v>32754.894530521644</v>
      </c>
      <c r="DR169" s="827">
        <f t="shared" si="295"/>
        <v>142140.89692554486</v>
      </c>
      <c r="DV169" s="828">
        <f>IFERROR(VLOOKUP($B169,'Afton FY16 Final'!$A$5:$BV$587,'Afton FY16 Final'!$BV$587,0),0)</f>
        <v>110038.67932329203</v>
      </c>
      <c r="DX169" s="636">
        <f t="shared" si="260"/>
        <v>142140.89692554486</v>
      </c>
      <c r="DY169" s="637">
        <f t="shared" si="261"/>
        <v>32102.217602252829</v>
      </c>
      <c r="DZ169" s="637">
        <f t="shared" si="262"/>
        <v>110038.67932329203</v>
      </c>
      <c r="EA169" s="643">
        <f t="shared" si="263"/>
        <v>134580.5942391296</v>
      </c>
      <c r="EB169" s="637">
        <f t="shared" si="296"/>
        <v>0</v>
      </c>
      <c r="EC169" s="637">
        <f t="shared" si="297"/>
        <v>134580.5942391296</v>
      </c>
      <c r="ED169" s="637">
        <f t="shared" si="298"/>
        <v>134179.28294260977</v>
      </c>
      <c r="EE169" s="643">
        <f t="shared" si="299"/>
        <v>134179.28294260977</v>
      </c>
      <c r="EF169" s="637">
        <f t="shared" si="300"/>
        <v>0</v>
      </c>
      <c r="EG169" s="637">
        <f t="shared" si="301"/>
        <v>134179.28294260977</v>
      </c>
      <c r="EH169" s="637">
        <f t="shared" si="302"/>
        <v>134179.14451508096</v>
      </c>
      <c r="EI169" s="643">
        <f t="shared" si="303"/>
        <v>134179.14451508096</v>
      </c>
      <c r="EJ169" s="637">
        <f t="shared" si="304"/>
        <v>0</v>
      </c>
      <c r="EK169" s="637">
        <f t="shared" si="305"/>
        <v>134179.14451508096</v>
      </c>
      <c r="EL169" s="637">
        <f t="shared" si="306"/>
        <v>134179.14451508078</v>
      </c>
      <c r="EM169" s="643">
        <f t="shared" si="307"/>
        <v>134179.14451508078</v>
      </c>
      <c r="EN169" s="637">
        <f t="shared" si="308"/>
        <v>0</v>
      </c>
      <c r="EO169" s="637">
        <f t="shared" si="309"/>
        <v>134179.14451508078</v>
      </c>
      <c r="EP169" s="637">
        <f t="shared" si="310"/>
        <v>134179.14451508099</v>
      </c>
      <c r="EQ169" s="643">
        <f t="shared" si="311"/>
        <v>134179.14451508099</v>
      </c>
      <c r="ER169" s="637">
        <f t="shared" si="312"/>
        <v>0</v>
      </c>
      <c r="ES169" s="637">
        <f t="shared" si="313"/>
        <v>134179.14451508099</v>
      </c>
      <c r="ET169" s="637">
        <f t="shared" si="314"/>
        <v>134179.14451508078</v>
      </c>
      <c r="EU169" s="643">
        <f t="shared" si="264"/>
        <v>134179.14451508078</v>
      </c>
      <c r="EV169" s="643">
        <f t="shared" si="265"/>
        <v>0</v>
      </c>
      <c r="EX169" s="829">
        <f t="shared" si="266"/>
        <v>7961.7524104640761</v>
      </c>
      <c r="EY169" s="638">
        <f t="shared" si="267"/>
        <v>134179.14451508078</v>
      </c>
      <c r="FC169" s="830" t="str">
        <f t="shared" si="315"/>
        <v>Y</v>
      </c>
      <c r="FE169" s="830" t="str">
        <f>IFERROR(VLOOKUP($B169,'Historical Conc Grant Elig'!$B$3:$J$707,'HH &amp; SI'!FE$2,0),"N")</f>
        <v>N</v>
      </c>
      <c r="FF169" s="830" t="str">
        <f>IFERROR(VLOOKUP($B169,'Historical Conc Grant Elig'!$B$3:$J$707,'HH &amp; SI'!FF$2,0),"N")</f>
        <v>N</v>
      </c>
      <c r="FG169" s="830" t="str">
        <f>IFERROR(VLOOKUP($B169,'Historical Conc Grant Elig'!$B$3:$J$707,'HH &amp; SI'!FG$2,0),"N")</f>
        <v>N</v>
      </c>
      <c r="FH169" s="830" t="str">
        <f>IFERROR(VLOOKUP($B169,'Historical Conc Grant Elig'!$B$3:$J$707,'HH &amp; SI'!FH$2,0),"N")</f>
        <v>N</v>
      </c>
      <c r="FI169" s="830" t="str">
        <f>IFERROR(VLOOKUP($B169,'Historical Conc Grant Elig'!$B$3:$J$707,'HH &amp; SI'!FI$2,0),"N")</f>
        <v>Y</v>
      </c>
      <c r="FJ169" s="830" t="str">
        <f>IFERROR(VLOOKUP($B169,'Historical Conc Grant Elig'!$B$3:$J$707,'HH &amp; SI'!FJ$2,0),"N")</f>
        <v>Y</v>
      </c>
      <c r="FK169" s="830" t="str">
        <f>IFERROR(VLOOKUP($B169,'Historical Conc Grant Elig'!$B$3:$J$707,'HH &amp; SI'!FK$2,0),"N")</f>
        <v>N</v>
      </c>
      <c r="FL169" s="957" t="str">
        <f>IFERROR(VLOOKUP($B169,'Historical Conc Grant Elig'!$B$3:$J$707,'HH &amp; SI'!FL$2,0),"N")</f>
        <v>Y</v>
      </c>
    </row>
    <row r="170" spans="2:168" x14ac:dyDescent="0.25">
      <c r="B170" s="634">
        <v>78509000</v>
      </c>
      <c r="C170" s="635" t="str">
        <f>VLOOKUP($B170,'Afton Update'!$A$5:$CR$582,'Afton Update'!D$589,0)</f>
        <v>East Mesa Charter Elementary School  Inc.</v>
      </c>
      <c r="D170" s="636">
        <f>IFERROR(VLOOKUP($B170,'Afton FY16 Final'!$A$5:$BV$587,'Afton FY16 Final'!AQ$587,0),0)</f>
        <v>86480.400811057887</v>
      </c>
      <c r="E170" s="637">
        <f>IFERROR(VLOOKUP($B170,'Afton FY16 Final'!$A$5:$BV$587,'Afton FY16 Final'!AR$587,0),0)</f>
        <v>18569.560609048713</v>
      </c>
      <c r="F170" s="637">
        <f>IFERROR(VLOOKUP($B170,'Afton FY16 Final'!$A$5:$BV$587,'Afton FY16 Final'!AS$587,0),0)</f>
        <v>45853.172039864876</v>
      </c>
      <c r="G170" s="637">
        <f>IFERROR(VLOOKUP($B170,'Afton FY16 Final'!$A$5:$BV$587,'Afton FY16 Final'!AT$587,0),0)</f>
        <v>44179.215627767451</v>
      </c>
      <c r="H170" s="638">
        <f>IFERROR(VLOOKUP($B170,'Afton FY16 Final'!$A$5:$BV$587,'Afton FY16 Final'!AU$587,0),0)</f>
        <v>195082.3490877389</v>
      </c>
      <c r="I170" s="639" t="str">
        <f>VLOOKUP($B170,'Afton Update'!$A$5:$CR$582,'Afton Update'!BT$589,0)</f>
        <v>Y</v>
      </c>
      <c r="J170" s="640" t="str">
        <f>VLOOKUP($B170,'Afton Update'!$A$5:$CR$582,'Afton Update'!BU$589,0)</f>
        <v>Y</v>
      </c>
      <c r="K170" s="640" t="str">
        <f>VLOOKUP($B170,'Afton Update'!$A$5:$CR$582,'Afton Update'!BV$589,0)</f>
        <v>Y</v>
      </c>
      <c r="L170" s="641" t="str">
        <f>VLOOKUP($B170,'Afton Update'!$A$5:$CR$582,'Afton Update'!BW$589,0)</f>
        <v>Y</v>
      </c>
      <c r="N170" s="642">
        <f>VLOOKUP($B170,'Afton Update'!$A$5:$CR$582,'Afton Update'!CB$589,0)</f>
        <v>0.9</v>
      </c>
      <c r="P170" s="636">
        <f>VLOOKUP($B170,'Afton Update'!$A$5:$CR$582,'Afton Update'!AH$589,0)</f>
        <v>88731.935302107566</v>
      </c>
      <c r="Q170" s="637">
        <f>VLOOKUP($B170,'Afton Update'!$A$5:$CR$582,'Afton Update'!AI$589,0)</f>
        <v>20480.442910774953</v>
      </c>
      <c r="R170" s="637">
        <f>VLOOKUP($B170,'Afton Update'!$A$5:$CR$582,'Afton Update'!AJ$589,0)</f>
        <v>51956.769583292393</v>
      </c>
      <c r="S170" s="637">
        <f>VLOOKUP($B170,'Afton Update'!$A$5:$CR$582,'Afton Update'!AK$589,0)</f>
        <v>48364.927466348097</v>
      </c>
      <c r="T170" s="643">
        <f t="shared" si="268"/>
        <v>209534.07526252302</v>
      </c>
      <c r="V170" s="636">
        <f t="shared" si="316"/>
        <v>87521.574111911817</v>
      </c>
      <c r="W170" s="637">
        <f t="shared" si="317"/>
        <v>19805.891999744283</v>
      </c>
      <c r="X170" s="637">
        <f t="shared" si="318"/>
        <v>51484.243049686025</v>
      </c>
      <c r="Y170" s="637">
        <f t="shared" si="319"/>
        <v>47832.033026985599</v>
      </c>
      <c r="Z170" s="643">
        <f t="shared" si="320"/>
        <v>206643.74218832771</v>
      </c>
      <c r="AB170" s="644">
        <f t="shared" si="269"/>
        <v>88731.935302107566</v>
      </c>
      <c r="AC170" s="645">
        <f t="shared" si="257"/>
        <v>77832.360729952095</v>
      </c>
      <c r="AD170" s="644">
        <f t="shared" si="321"/>
        <v>0</v>
      </c>
      <c r="AE170" s="645">
        <f t="shared" si="322"/>
        <v>88731.935302107566</v>
      </c>
      <c r="AF170" s="646">
        <f t="shared" si="323"/>
        <v>-1099.8990183440069</v>
      </c>
      <c r="AG170" s="647">
        <f t="shared" si="324"/>
        <v>87632.036283763562</v>
      </c>
      <c r="AH170" s="644">
        <f t="shared" si="270"/>
        <v>0</v>
      </c>
      <c r="AI170" s="645">
        <f t="shared" si="271"/>
        <v>87632.036283763562</v>
      </c>
      <c r="AJ170" s="646">
        <f t="shared" si="325"/>
        <v>-110.39179674133496</v>
      </c>
      <c r="AK170" s="647">
        <f t="shared" si="272"/>
        <v>87521.644487022233</v>
      </c>
      <c r="AL170" s="644">
        <f t="shared" si="326"/>
        <v>0</v>
      </c>
      <c r="AM170" s="645">
        <f t="shared" si="327"/>
        <v>87521.644487022233</v>
      </c>
      <c r="AN170" s="646">
        <f t="shared" si="328"/>
        <v>-7.037511041023764E-2</v>
      </c>
      <c r="AO170" s="647">
        <f t="shared" si="273"/>
        <v>87521.574111911817</v>
      </c>
      <c r="AP170" s="644">
        <f t="shared" si="329"/>
        <v>0</v>
      </c>
      <c r="AQ170" s="645">
        <f t="shared" si="330"/>
        <v>87521.574111911817</v>
      </c>
      <c r="AR170" s="646">
        <f t="shared" si="331"/>
        <v>0</v>
      </c>
      <c r="AS170" s="647">
        <f t="shared" si="274"/>
        <v>87521.574111911817</v>
      </c>
      <c r="AT170" s="644">
        <f t="shared" si="332"/>
        <v>0</v>
      </c>
      <c r="AU170" s="645">
        <f t="shared" si="333"/>
        <v>87521.574111911817</v>
      </c>
      <c r="AV170" s="646">
        <f t="shared" si="334"/>
        <v>0</v>
      </c>
      <c r="AW170" s="647">
        <f t="shared" si="275"/>
        <v>87521.574111911817</v>
      </c>
      <c r="AY170" s="644">
        <f t="shared" si="335"/>
        <v>20480.442910774953</v>
      </c>
      <c r="AZ170" s="645">
        <f t="shared" si="276"/>
        <v>16712.604548143841</v>
      </c>
      <c r="BA170" s="644">
        <f t="shared" si="336"/>
        <v>0</v>
      </c>
      <c r="BB170" s="645">
        <f t="shared" si="337"/>
        <v>20480.442910774953</v>
      </c>
      <c r="BC170" s="646">
        <f t="shared" si="338"/>
        <v>-147.28083359595894</v>
      </c>
      <c r="BD170" s="647">
        <f t="shared" si="339"/>
        <v>20333.162077178993</v>
      </c>
      <c r="BE170" s="644">
        <f t="shared" si="277"/>
        <v>0</v>
      </c>
      <c r="BF170" s="645">
        <f t="shared" si="278"/>
        <v>20333.162077178993</v>
      </c>
      <c r="BG170" s="646">
        <f t="shared" si="340"/>
        <v>-484.31935034676087</v>
      </c>
      <c r="BH170" s="647">
        <f t="shared" si="279"/>
        <v>19848.842726832234</v>
      </c>
      <c r="BI170" s="644">
        <f t="shared" si="341"/>
        <v>0</v>
      </c>
      <c r="BJ170" s="645">
        <f t="shared" si="342"/>
        <v>19848.842726832234</v>
      </c>
      <c r="BK170" s="646">
        <f t="shared" si="343"/>
        <v>-42.044510833000004</v>
      </c>
      <c r="BL170" s="647">
        <f t="shared" si="280"/>
        <v>19806.798215999235</v>
      </c>
      <c r="BM170" s="644">
        <f t="shared" si="344"/>
        <v>0</v>
      </c>
      <c r="BN170" s="645">
        <f t="shared" si="345"/>
        <v>19806.798215999235</v>
      </c>
      <c r="BO170" s="646">
        <f t="shared" si="346"/>
        <v>-0.90621625495117075</v>
      </c>
      <c r="BP170" s="647">
        <f t="shared" si="281"/>
        <v>19805.891999744283</v>
      </c>
      <c r="BQ170" s="644">
        <f t="shared" si="347"/>
        <v>0</v>
      </c>
      <c r="BR170" s="645">
        <f t="shared" si="348"/>
        <v>19805.891999744283</v>
      </c>
      <c r="BS170" s="646">
        <f t="shared" si="349"/>
        <v>0</v>
      </c>
      <c r="BT170" s="647">
        <f t="shared" si="282"/>
        <v>19805.891999744283</v>
      </c>
      <c r="BU170" s="662">
        <f>VLOOKUP(B170,'Afton Update'!$A$5:$AR$582,'Afton Update'!$AO$589,0)-BT170</f>
        <v>0</v>
      </c>
      <c r="BV170" s="644">
        <f t="shared" si="350"/>
        <v>51956.769583292393</v>
      </c>
      <c r="BW170" s="645">
        <f t="shared" si="258"/>
        <v>41267.854835878388</v>
      </c>
      <c r="BX170" s="644">
        <f t="shared" si="351"/>
        <v>0</v>
      </c>
      <c r="BY170" s="645">
        <f t="shared" si="352"/>
        <v>51956.769583292393</v>
      </c>
      <c r="BZ170" s="646">
        <f t="shared" si="353"/>
        <v>-456.03009061458795</v>
      </c>
      <c r="CA170" s="647">
        <f t="shared" si="354"/>
        <v>51500.739492677807</v>
      </c>
      <c r="CB170" s="644">
        <f t="shared" si="283"/>
        <v>0</v>
      </c>
      <c r="CC170" s="645">
        <f t="shared" si="284"/>
        <v>51500.739492677807</v>
      </c>
      <c r="CD170" s="646">
        <f t="shared" si="355"/>
        <v>-16.496442991785038</v>
      </c>
      <c r="CE170" s="647">
        <f t="shared" si="285"/>
        <v>51484.243049686025</v>
      </c>
      <c r="CF170" s="644">
        <f t="shared" si="356"/>
        <v>0</v>
      </c>
      <c r="CG170" s="645">
        <f t="shared" si="357"/>
        <v>51484.243049686025</v>
      </c>
      <c r="CH170" s="646">
        <f t="shared" si="358"/>
        <v>0</v>
      </c>
      <c r="CI170" s="647">
        <f t="shared" si="286"/>
        <v>51484.243049686025</v>
      </c>
      <c r="CJ170" s="644">
        <f t="shared" si="359"/>
        <v>0</v>
      </c>
      <c r="CK170" s="645">
        <f t="shared" si="360"/>
        <v>51484.243049686025</v>
      </c>
      <c r="CL170" s="646">
        <f t="shared" si="361"/>
        <v>0</v>
      </c>
      <c r="CM170" s="647">
        <f t="shared" si="287"/>
        <v>51484.243049686025</v>
      </c>
      <c r="CN170" s="644">
        <f t="shared" si="362"/>
        <v>0</v>
      </c>
      <c r="CO170" s="645">
        <f t="shared" si="363"/>
        <v>51484.243049686025</v>
      </c>
      <c r="CP170" s="646">
        <f t="shared" si="364"/>
        <v>0</v>
      </c>
      <c r="CQ170" s="647">
        <f t="shared" si="288"/>
        <v>51484.243049686025</v>
      </c>
      <c r="CS170" s="644">
        <f t="shared" si="365"/>
        <v>48364.927466348097</v>
      </c>
      <c r="CT170" s="645">
        <f t="shared" si="259"/>
        <v>39761.29406499071</v>
      </c>
      <c r="CU170" s="644">
        <f t="shared" si="366"/>
        <v>0</v>
      </c>
      <c r="CV170" s="645">
        <f t="shared" si="367"/>
        <v>48364.927466348097</v>
      </c>
      <c r="CW170" s="646">
        <f t="shared" si="368"/>
        <v>-495.28418933876878</v>
      </c>
      <c r="CX170" s="647">
        <f t="shared" si="369"/>
        <v>47869.643277009331</v>
      </c>
      <c r="CY170" s="644">
        <f t="shared" si="289"/>
        <v>0</v>
      </c>
      <c r="CZ170" s="645">
        <f t="shared" si="290"/>
        <v>47869.643277009331</v>
      </c>
      <c r="DA170" s="646">
        <f t="shared" si="370"/>
        <v>-37.577843813850691</v>
      </c>
      <c r="DB170" s="647">
        <f t="shared" si="291"/>
        <v>47832.065433195479</v>
      </c>
      <c r="DC170" s="644">
        <f t="shared" si="371"/>
        <v>0</v>
      </c>
      <c r="DD170" s="645">
        <f t="shared" si="372"/>
        <v>47832.065433195479</v>
      </c>
      <c r="DE170" s="646">
        <f t="shared" si="373"/>
        <v>-3.2406209879916228E-2</v>
      </c>
      <c r="DF170" s="647">
        <f t="shared" si="292"/>
        <v>47832.033026985599</v>
      </c>
      <c r="DG170" s="644">
        <f t="shared" si="374"/>
        <v>0</v>
      </c>
      <c r="DH170" s="645">
        <f t="shared" si="375"/>
        <v>47832.033026985599</v>
      </c>
      <c r="DI170" s="646">
        <f t="shared" si="376"/>
        <v>0</v>
      </c>
      <c r="DJ170" s="647">
        <f t="shared" si="293"/>
        <v>47832.033026985599</v>
      </c>
      <c r="DK170" s="644">
        <f t="shared" si="377"/>
        <v>0</v>
      </c>
      <c r="DL170" s="645">
        <f t="shared" si="378"/>
        <v>47832.033026985599</v>
      </c>
      <c r="DM170" s="646">
        <f t="shared" si="379"/>
        <v>0</v>
      </c>
      <c r="DN170" s="647">
        <f t="shared" si="294"/>
        <v>47832.033026985599</v>
      </c>
      <c r="DR170" s="827">
        <f t="shared" si="295"/>
        <v>206643.74218832771</v>
      </c>
      <c r="DV170" s="828">
        <f>IFERROR(VLOOKUP($B170,'Afton FY16 Final'!$A$5:$BV$587,'Afton FY16 Final'!$BV$587,0),0)</f>
        <v>191241.17766650865</v>
      </c>
      <c r="DX170" s="636">
        <f t="shared" si="260"/>
        <v>206643.74218832771</v>
      </c>
      <c r="DY170" s="637">
        <f t="shared" si="261"/>
        <v>15402.564521819062</v>
      </c>
      <c r="DZ170" s="637">
        <f t="shared" si="262"/>
        <v>191241.17766650865</v>
      </c>
      <c r="EA170" s="643">
        <f t="shared" si="263"/>
        <v>195652.61104318188</v>
      </c>
      <c r="EB170" s="637">
        <f t="shared" si="296"/>
        <v>0</v>
      </c>
      <c r="EC170" s="637">
        <f t="shared" si="297"/>
        <v>195652.61104318188</v>
      </c>
      <c r="ED170" s="637">
        <f t="shared" si="298"/>
        <v>195069.18663902362</v>
      </c>
      <c r="EE170" s="643">
        <f t="shared" si="299"/>
        <v>195069.18663902362</v>
      </c>
      <c r="EF170" s="637">
        <f t="shared" si="300"/>
        <v>0</v>
      </c>
      <c r="EG170" s="637">
        <f t="shared" si="301"/>
        <v>195069.18663902362</v>
      </c>
      <c r="EH170" s="637">
        <f t="shared" si="302"/>
        <v>195068.98539375787</v>
      </c>
      <c r="EI170" s="643">
        <f t="shared" si="303"/>
        <v>195068.98539375787</v>
      </c>
      <c r="EJ170" s="637">
        <f t="shared" si="304"/>
        <v>0</v>
      </c>
      <c r="EK170" s="637">
        <f t="shared" si="305"/>
        <v>195068.98539375787</v>
      </c>
      <c r="EL170" s="637">
        <f t="shared" si="306"/>
        <v>195068.98539375761</v>
      </c>
      <c r="EM170" s="643">
        <f t="shared" si="307"/>
        <v>195068.98539375761</v>
      </c>
      <c r="EN170" s="637">
        <f t="shared" si="308"/>
        <v>0</v>
      </c>
      <c r="EO170" s="637">
        <f t="shared" si="309"/>
        <v>195068.98539375761</v>
      </c>
      <c r="EP170" s="637">
        <f t="shared" si="310"/>
        <v>195068.9853937579</v>
      </c>
      <c r="EQ170" s="643">
        <f t="shared" si="311"/>
        <v>195068.9853937579</v>
      </c>
      <c r="ER170" s="637">
        <f t="shared" si="312"/>
        <v>0</v>
      </c>
      <c r="ES170" s="637">
        <f t="shared" si="313"/>
        <v>195068.9853937579</v>
      </c>
      <c r="ET170" s="637">
        <f t="shared" si="314"/>
        <v>195068.98539375761</v>
      </c>
      <c r="EU170" s="643">
        <f t="shared" si="264"/>
        <v>195068.98539375761</v>
      </c>
      <c r="EV170" s="643">
        <f t="shared" si="265"/>
        <v>0</v>
      </c>
      <c r="EX170" s="829">
        <f t="shared" si="266"/>
        <v>11574.756794570101</v>
      </c>
      <c r="EY170" s="638">
        <f t="shared" si="267"/>
        <v>195068.98539375761</v>
      </c>
      <c r="FC170" s="830" t="str">
        <f t="shared" si="315"/>
        <v>Y</v>
      </c>
      <c r="FE170" s="830" t="str">
        <f>IFERROR(VLOOKUP($B170,'Historical Conc Grant Elig'!$B$3:$J$707,'HH &amp; SI'!FE$2,0),"N")</f>
        <v>N</v>
      </c>
      <c r="FF170" s="830" t="str">
        <f>IFERROR(VLOOKUP($B170,'Historical Conc Grant Elig'!$B$3:$J$707,'HH &amp; SI'!FF$2,0),"N")</f>
        <v>Y</v>
      </c>
      <c r="FG170" s="830" t="str">
        <f>IFERROR(VLOOKUP($B170,'Historical Conc Grant Elig'!$B$3:$J$707,'HH &amp; SI'!FG$2,0),"N")</f>
        <v>Y</v>
      </c>
      <c r="FH170" s="830" t="str">
        <f>IFERROR(VLOOKUP($B170,'Historical Conc Grant Elig'!$B$3:$J$707,'HH &amp; SI'!FH$2,0),"N")</f>
        <v>Y</v>
      </c>
      <c r="FI170" s="830" t="str">
        <f>IFERROR(VLOOKUP($B170,'Historical Conc Grant Elig'!$B$3:$J$707,'HH &amp; SI'!FI$2,0),"N")</f>
        <v>Y</v>
      </c>
      <c r="FJ170" s="830" t="str">
        <f>IFERROR(VLOOKUP($B170,'Historical Conc Grant Elig'!$B$3:$J$707,'HH &amp; SI'!FJ$2,0),"N")</f>
        <v>Y</v>
      </c>
      <c r="FK170" s="830" t="str">
        <f>IFERROR(VLOOKUP($B170,'Historical Conc Grant Elig'!$B$3:$J$707,'HH &amp; SI'!FK$2,0),"N")</f>
        <v>Y</v>
      </c>
      <c r="FL170" s="957" t="str">
        <f>IFERROR(VLOOKUP($B170,'Historical Conc Grant Elig'!$B$3:$J$707,'HH &amp; SI'!FL$2,0),"N")</f>
        <v>Y</v>
      </c>
    </row>
    <row r="171" spans="2:168" x14ac:dyDescent="0.25">
      <c r="B171" s="634">
        <v>78510000</v>
      </c>
      <c r="C171" s="635" t="str">
        <f>VLOOKUP($B171,'Afton Update'!$A$5:$CR$582,'Afton Update'!D$589,0)</f>
        <v>Arizona Agribusiness &amp; Equine Center  Inc.</v>
      </c>
      <c r="D171" s="636">
        <f>IFERROR(VLOOKUP($B171,'Afton FY16 Final'!$A$5:$BV$587,'Afton FY16 Final'!AQ$587,0),0)</f>
        <v>14474.349728066209</v>
      </c>
      <c r="E171" s="637">
        <f>IFERROR(VLOOKUP($B171,'Afton FY16 Final'!$A$5:$BV$587,'Afton FY16 Final'!AR$587,0),0)</f>
        <v>4367.2082972297558</v>
      </c>
      <c r="F171" s="637">
        <f>IFERROR(VLOOKUP($B171,'Afton FY16 Final'!$A$5:$BV$587,'Afton FY16 Final'!AS$587,0),0)</f>
        <v>7674.5117046373434</v>
      </c>
      <c r="G171" s="637">
        <f>IFERROR(VLOOKUP($B171,'Afton FY16 Final'!$A$5:$BV$587,'Afton FY16 Final'!AT$587,0),0)</f>
        <v>7394.3391995263373</v>
      </c>
      <c r="H171" s="638">
        <f>IFERROR(VLOOKUP($B171,'Afton FY16 Final'!$A$5:$BV$587,'Afton FY16 Final'!AU$587,0),0)</f>
        <v>33910.408929459642</v>
      </c>
      <c r="I171" s="639" t="str">
        <f>VLOOKUP($B171,'Afton Update'!$A$5:$CR$582,'Afton Update'!BT$589,0)</f>
        <v>Y</v>
      </c>
      <c r="J171" s="640" t="str">
        <f>VLOOKUP($B171,'Afton Update'!$A$5:$CR$582,'Afton Update'!BU$589,0)</f>
        <v>N</v>
      </c>
      <c r="K171" s="640" t="str">
        <f>VLOOKUP($B171,'Afton Update'!$A$5:$CR$582,'Afton Update'!BV$589,0)</f>
        <v>Y</v>
      </c>
      <c r="L171" s="641" t="str">
        <f>VLOOKUP($B171,'Afton Update'!$A$5:$CR$582,'Afton Update'!BW$589,0)</f>
        <v>Y</v>
      </c>
      <c r="N171" s="642">
        <f>VLOOKUP($B171,'Afton Update'!$A$5:$CR$582,'Afton Update'!CB$589,0)</f>
        <v>0.85</v>
      </c>
      <c r="P171" s="636">
        <f>VLOOKUP($B171,'Afton Update'!$A$5:$CR$582,'Afton Update'!AH$589,0)</f>
        <v>7892.5980187858477</v>
      </c>
      <c r="Q171" s="637" t="str">
        <f>VLOOKUP($B171,'Afton Update'!$A$5:$CR$582,'Afton Update'!AI$589,0)</f>
        <v/>
      </c>
      <c r="R171" s="637">
        <f>VLOOKUP($B171,'Afton Update'!$A$5:$CR$582,'Afton Update'!AJ$589,0)</f>
        <v>4644.5782596579411</v>
      </c>
      <c r="S171" s="637">
        <f>VLOOKUP($B171,'Afton Update'!$A$5:$CR$582,'Afton Update'!AK$589,0)</f>
        <v>4323.4922502258569</v>
      </c>
      <c r="T171" s="643">
        <f t="shared" si="268"/>
        <v>16860.668528669645</v>
      </c>
      <c r="V171" s="636">
        <f t="shared" si="316"/>
        <v>12303.197268856276</v>
      </c>
      <c r="W171" s="637">
        <f t="shared" si="317"/>
        <v>3712.1270526452922</v>
      </c>
      <c r="X171" s="637">
        <f t="shared" si="318"/>
        <v>6523.3349489417415</v>
      </c>
      <c r="Y171" s="637">
        <f t="shared" si="319"/>
        <v>6285.1883195973869</v>
      </c>
      <c r="Z171" s="643">
        <f t="shared" si="320"/>
        <v>28823.847590040696</v>
      </c>
      <c r="AB171" s="644">
        <f t="shared" si="269"/>
        <v>7892.5980187858477</v>
      </c>
      <c r="AC171" s="645">
        <f t="shared" si="257"/>
        <v>12303.197268856276</v>
      </c>
      <c r="AD171" s="644">
        <f t="shared" si="321"/>
        <v>4410.5992500704288</v>
      </c>
      <c r="AE171" s="645">
        <f t="shared" si="322"/>
        <v>0</v>
      </c>
      <c r="AF171" s="646">
        <f t="shared" si="323"/>
        <v>0</v>
      </c>
      <c r="AG171" s="647">
        <f t="shared" si="324"/>
        <v>12303.197268856276</v>
      </c>
      <c r="AH171" s="644">
        <f t="shared" si="270"/>
        <v>0</v>
      </c>
      <c r="AI171" s="645">
        <f t="shared" si="271"/>
        <v>0</v>
      </c>
      <c r="AJ171" s="646">
        <f t="shared" si="325"/>
        <v>0</v>
      </c>
      <c r="AK171" s="647">
        <f t="shared" si="272"/>
        <v>12303.197268856276</v>
      </c>
      <c r="AL171" s="644">
        <f t="shared" si="326"/>
        <v>0</v>
      </c>
      <c r="AM171" s="645">
        <f t="shared" si="327"/>
        <v>0</v>
      </c>
      <c r="AN171" s="646">
        <f t="shared" si="328"/>
        <v>0</v>
      </c>
      <c r="AO171" s="647">
        <f t="shared" si="273"/>
        <v>12303.197268856276</v>
      </c>
      <c r="AP171" s="644">
        <f t="shared" si="329"/>
        <v>0</v>
      </c>
      <c r="AQ171" s="645">
        <f t="shared" si="330"/>
        <v>0</v>
      </c>
      <c r="AR171" s="646">
        <f t="shared" si="331"/>
        <v>0</v>
      </c>
      <c r="AS171" s="647">
        <f t="shared" si="274"/>
        <v>12303.197268856276</v>
      </c>
      <c r="AT171" s="644">
        <f t="shared" si="332"/>
        <v>0</v>
      </c>
      <c r="AU171" s="645">
        <f t="shared" si="333"/>
        <v>0</v>
      </c>
      <c r="AV171" s="646">
        <f t="shared" si="334"/>
        <v>0</v>
      </c>
      <c r="AW171" s="647">
        <f t="shared" si="275"/>
        <v>12303.197268856276</v>
      </c>
      <c r="AY171" s="644">
        <f t="shared" si="335"/>
        <v>0</v>
      </c>
      <c r="AZ171" s="645">
        <f t="shared" si="276"/>
        <v>3712.1270526452922</v>
      </c>
      <c r="BA171" s="644">
        <f t="shared" si="336"/>
        <v>0</v>
      </c>
      <c r="BB171" s="645">
        <f t="shared" si="337"/>
        <v>0</v>
      </c>
      <c r="BC171" s="646">
        <f t="shared" si="338"/>
        <v>0</v>
      </c>
      <c r="BD171" s="647">
        <f t="shared" si="339"/>
        <v>0</v>
      </c>
      <c r="BE171" s="644">
        <f t="shared" si="277"/>
        <v>-3712.1270526452922</v>
      </c>
      <c r="BF171" s="645">
        <f t="shared" si="278"/>
        <v>0</v>
      </c>
      <c r="BG171" s="646">
        <f t="shared" si="340"/>
        <v>0</v>
      </c>
      <c r="BH171" s="647">
        <f t="shared" si="279"/>
        <v>3712.1270526452922</v>
      </c>
      <c r="BI171" s="644">
        <f t="shared" si="341"/>
        <v>0</v>
      </c>
      <c r="BJ171" s="645">
        <f t="shared" si="342"/>
        <v>0</v>
      </c>
      <c r="BK171" s="646">
        <f t="shared" si="343"/>
        <v>0</v>
      </c>
      <c r="BL171" s="647">
        <f t="shared" si="280"/>
        <v>3712.1270526452922</v>
      </c>
      <c r="BM171" s="644">
        <f t="shared" si="344"/>
        <v>0</v>
      </c>
      <c r="BN171" s="645">
        <f t="shared" si="345"/>
        <v>0</v>
      </c>
      <c r="BO171" s="646">
        <f t="shared" si="346"/>
        <v>0</v>
      </c>
      <c r="BP171" s="647">
        <f t="shared" si="281"/>
        <v>3712.1270526452922</v>
      </c>
      <c r="BQ171" s="644">
        <f t="shared" si="347"/>
        <v>0</v>
      </c>
      <c r="BR171" s="645">
        <f t="shared" si="348"/>
        <v>0</v>
      </c>
      <c r="BS171" s="646">
        <f t="shared" si="349"/>
        <v>0</v>
      </c>
      <c r="BT171" s="647">
        <f t="shared" si="282"/>
        <v>3712.1270526452922</v>
      </c>
      <c r="BU171" s="662">
        <f>VLOOKUP(B171,'Afton Update'!$A$5:$AR$582,'Afton Update'!$AO$589,0)-BT171</f>
        <v>0</v>
      </c>
      <c r="BV171" s="644">
        <f t="shared" si="350"/>
        <v>4644.5782596579411</v>
      </c>
      <c r="BW171" s="645">
        <f t="shared" si="258"/>
        <v>6523.3349489417415</v>
      </c>
      <c r="BX171" s="644">
        <f t="shared" si="351"/>
        <v>1878.7566892838004</v>
      </c>
      <c r="BY171" s="645">
        <f t="shared" si="352"/>
        <v>0</v>
      </c>
      <c r="BZ171" s="646">
        <f t="shared" si="353"/>
        <v>0</v>
      </c>
      <c r="CA171" s="647">
        <f t="shared" si="354"/>
        <v>6523.3349489417415</v>
      </c>
      <c r="CB171" s="644">
        <f t="shared" si="283"/>
        <v>0</v>
      </c>
      <c r="CC171" s="645">
        <f t="shared" si="284"/>
        <v>0</v>
      </c>
      <c r="CD171" s="646">
        <f t="shared" si="355"/>
        <v>0</v>
      </c>
      <c r="CE171" s="647">
        <f t="shared" si="285"/>
        <v>6523.3349489417415</v>
      </c>
      <c r="CF171" s="644">
        <f t="shared" si="356"/>
        <v>0</v>
      </c>
      <c r="CG171" s="645">
        <f t="shared" si="357"/>
        <v>0</v>
      </c>
      <c r="CH171" s="646">
        <f t="shared" si="358"/>
        <v>0</v>
      </c>
      <c r="CI171" s="647">
        <f t="shared" si="286"/>
        <v>6523.3349489417415</v>
      </c>
      <c r="CJ171" s="644">
        <f t="shared" si="359"/>
        <v>0</v>
      </c>
      <c r="CK171" s="645">
        <f t="shared" si="360"/>
        <v>0</v>
      </c>
      <c r="CL171" s="646">
        <f t="shared" si="361"/>
        <v>0</v>
      </c>
      <c r="CM171" s="647">
        <f t="shared" si="287"/>
        <v>6523.3349489417415</v>
      </c>
      <c r="CN171" s="644">
        <f t="shared" si="362"/>
        <v>0</v>
      </c>
      <c r="CO171" s="645">
        <f t="shared" si="363"/>
        <v>0</v>
      </c>
      <c r="CP171" s="646">
        <f t="shared" si="364"/>
        <v>0</v>
      </c>
      <c r="CQ171" s="647">
        <f t="shared" si="288"/>
        <v>6523.3349489417415</v>
      </c>
      <c r="CS171" s="644">
        <f t="shared" si="365"/>
        <v>4323.4922502258569</v>
      </c>
      <c r="CT171" s="645">
        <f t="shared" si="259"/>
        <v>6285.1883195973869</v>
      </c>
      <c r="CU171" s="644">
        <f t="shared" si="366"/>
        <v>1961.69606937153</v>
      </c>
      <c r="CV171" s="645">
        <f t="shared" si="367"/>
        <v>0</v>
      </c>
      <c r="CW171" s="646">
        <f t="shared" si="368"/>
        <v>0</v>
      </c>
      <c r="CX171" s="647">
        <f t="shared" si="369"/>
        <v>6285.1883195973869</v>
      </c>
      <c r="CY171" s="644">
        <f t="shared" si="289"/>
        <v>0</v>
      </c>
      <c r="CZ171" s="645">
        <f t="shared" si="290"/>
        <v>0</v>
      </c>
      <c r="DA171" s="646">
        <f t="shared" si="370"/>
        <v>0</v>
      </c>
      <c r="DB171" s="647">
        <f t="shared" si="291"/>
        <v>6285.1883195973869</v>
      </c>
      <c r="DC171" s="644">
        <f t="shared" si="371"/>
        <v>0</v>
      </c>
      <c r="DD171" s="645">
        <f t="shared" si="372"/>
        <v>0</v>
      </c>
      <c r="DE171" s="646">
        <f t="shared" si="373"/>
        <v>0</v>
      </c>
      <c r="DF171" s="647">
        <f t="shared" si="292"/>
        <v>6285.1883195973869</v>
      </c>
      <c r="DG171" s="644">
        <f t="shared" si="374"/>
        <v>0</v>
      </c>
      <c r="DH171" s="645">
        <f t="shared" si="375"/>
        <v>0</v>
      </c>
      <c r="DI171" s="646">
        <f t="shared" si="376"/>
        <v>0</v>
      </c>
      <c r="DJ171" s="647">
        <f t="shared" si="293"/>
        <v>6285.1883195973869</v>
      </c>
      <c r="DK171" s="644">
        <f t="shared" si="377"/>
        <v>0</v>
      </c>
      <c r="DL171" s="645">
        <f t="shared" si="378"/>
        <v>0</v>
      </c>
      <c r="DM171" s="646">
        <f t="shared" si="379"/>
        <v>0</v>
      </c>
      <c r="DN171" s="647">
        <f t="shared" si="294"/>
        <v>6285.1883195973869</v>
      </c>
      <c r="DR171" s="827">
        <f t="shared" si="295"/>
        <v>28823.847590040696</v>
      </c>
      <c r="DV171" s="828">
        <f>IFERROR(VLOOKUP($B171,'Afton FY16 Final'!$A$5:$BV$587,'Afton FY16 Final'!$BV$587,0),0)</f>
        <v>33242.712983254438</v>
      </c>
      <c r="DX171" s="636">
        <f t="shared" si="260"/>
        <v>0</v>
      </c>
      <c r="DY171" s="637">
        <f t="shared" si="261"/>
        <v>0</v>
      </c>
      <c r="DZ171" s="637">
        <f t="shared" si="262"/>
        <v>0</v>
      </c>
      <c r="EA171" s="643">
        <f t="shared" si="263"/>
        <v>0</v>
      </c>
      <c r="EB171" s="637">
        <f t="shared" si="296"/>
        <v>0</v>
      </c>
      <c r="EC171" s="637">
        <f t="shared" si="297"/>
        <v>0</v>
      </c>
      <c r="ED171" s="637">
        <f t="shared" si="298"/>
        <v>0</v>
      </c>
      <c r="EE171" s="643">
        <f t="shared" si="299"/>
        <v>0</v>
      </c>
      <c r="EF171" s="637">
        <f t="shared" si="300"/>
        <v>0</v>
      </c>
      <c r="EG171" s="637">
        <f t="shared" si="301"/>
        <v>0</v>
      </c>
      <c r="EH171" s="637">
        <f t="shared" si="302"/>
        <v>0</v>
      </c>
      <c r="EI171" s="643">
        <f t="shared" si="303"/>
        <v>0</v>
      </c>
      <c r="EJ171" s="637">
        <f t="shared" si="304"/>
        <v>0</v>
      </c>
      <c r="EK171" s="637">
        <f t="shared" si="305"/>
        <v>0</v>
      </c>
      <c r="EL171" s="637">
        <f t="shared" si="306"/>
        <v>0</v>
      </c>
      <c r="EM171" s="643">
        <f t="shared" si="307"/>
        <v>0</v>
      </c>
      <c r="EN171" s="637">
        <f t="shared" si="308"/>
        <v>0</v>
      </c>
      <c r="EO171" s="637">
        <f t="shared" si="309"/>
        <v>0</v>
      </c>
      <c r="EP171" s="637">
        <f t="shared" si="310"/>
        <v>0</v>
      </c>
      <c r="EQ171" s="643">
        <f t="shared" si="311"/>
        <v>0</v>
      </c>
      <c r="ER171" s="637">
        <f t="shared" si="312"/>
        <v>0</v>
      </c>
      <c r="ES171" s="637">
        <f t="shared" si="313"/>
        <v>0</v>
      </c>
      <c r="ET171" s="637">
        <f t="shared" si="314"/>
        <v>0</v>
      </c>
      <c r="EU171" s="643">
        <f t="shared" si="264"/>
        <v>0</v>
      </c>
      <c r="EV171" s="643">
        <f t="shared" si="265"/>
        <v>0</v>
      </c>
      <c r="EX171" s="829">
        <f t="shared" si="266"/>
        <v>0</v>
      </c>
      <c r="EY171" s="638">
        <f t="shared" si="267"/>
        <v>28823.847590040696</v>
      </c>
      <c r="FC171" s="830" t="str">
        <f t="shared" si="315"/>
        <v>Y</v>
      </c>
      <c r="FE171" s="830" t="str">
        <f>IFERROR(VLOOKUP($B171,'Historical Conc Grant Elig'!$B$3:$J$707,'HH &amp; SI'!FE$2,0),"N")</f>
        <v>N</v>
      </c>
      <c r="FF171" s="830" t="str">
        <f>IFERROR(VLOOKUP($B171,'Historical Conc Grant Elig'!$B$3:$J$707,'HH &amp; SI'!FF$2,0),"N")</f>
        <v>N</v>
      </c>
      <c r="FG171" s="830" t="str">
        <f>IFERROR(VLOOKUP($B171,'Historical Conc Grant Elig'!$B$3:$J$707,'HH &amp; SI'!FG$2,0),"N")</f>
        <v>N</v>
      </c>
      <c r="FH171" s="830" t="str">
        <f>IFERROR(VLOOKUP($B171,'Historical Conc Grant Elig'!$B$3:$J$707,'HH &amp; SI'!FH$2,0),"N")</f>
        <v>N</v>
      </c>
      <c r="FI171" s="830" t="str">
        <f>IFERROR(VLOOKUP($B171,'Historical Conc Grant Elig'!$B$3:$J$707,'HH &amp; SI'!FI$2,0),"N")</f>
        <v>Y</v>
      </c>
      <c r="FJ171" s="830" t="str">
        <f>IFERROR(VLOOKUP($B171,'Historical Conc Grant Elig'!$B$3:$J$707,'HH &amp; SI'!FJ$2,0),"N")</f>
        <v>Y</v>
      </c>
      <c r="FK171" s="830" t="str">
        <f>IFERROR(VLOOKUP($B171,'Historical Conc Grant Elig'!$B$3:$J$707,'HH &amp; SI'!FK$2,0),"N")</f>
        <v>Y</v>
      </c>
      <c r="FL171" s="957" t="str">
        <f>IFERROR(VLOOKUP($B171,'Historical Conc Grant Elig'!$B$3:$J$707,'HH &amp; SI'!FL$2,0),"N")</f>
        <v>N</v>
      </c>
    </row>
    <row r="172" spans="2:168" x14ac:dyDescent="0.25">
      <c r="B172" s="634">
        <v>78511000</v>
      </c>
      <c r="C172" s="635" t="str">
        <f>VLOOKUP($B172,'Afton Update'!$A$5:$CR$582,'Afton Update'!D$589,0)</f>
        <v>Arizona Connections Academy Charter School  Inc.</v>
      </c>
      <c r="D172" s="636">
        <f>IFERROR(VLOOKUP($B172,'Afton FY16 Final'!$A$5:$BV$587,'Afton FY16 Final'!AQ$587,0),0)</f>
        <v>202744.94826034698</v>
      </c>
      <c r="E172" s="637">
        <f>IFERROR(VLOOKUP($B172,'Afton FY16 Final'!$A$5:$BV$587,'Afton FY16 Final'!AR$587,0),0)</f>
        <v>42036.45240398914</v>
      </c>
      <c r="F172" s="637">
        <f>IFERROR(VLOOKUP($B172,'Afton FY16 Final'!$A$5:$BV$587,'Afton FY16 Final'!AS$587,0),0)</f>
        <v>107498.33379133098</v>
      </c>
      <c r="G172" s="637">
        <f>IFERROR(VLOOKUP($B172,'Afton FY16 Final'!$A$5:$BV$587,'Afton FY16 Final'!AT$587,0),0)</f>
        <v>103573.90463769817</v>
      </c>
      <c r="H172" s="638">
        <f>IFERROR(VLOOKUP($B172,'Afton FY16 Final'!$A$5:$BV$587,'Afton FY16 Final'!AU$587,0),0)</f>
        <v>455853.63909336529</v>
      </c>
      <c r="I172" s="639" t="str">
        <f>VLOOKUP($B172,'Afton Update'!$A$5:$CR$582,'Afton Update'!BT$589,0)</f>
        <v>Y</v>
      </c>
      <c r="J172" s="640" t="str">
        <f>VLOOKUP($B172,'Afton Update'!$A$5:$CR$582,'Afton Update'!BU$589,0)</f>
        <v>Y</v>
      </c>
      <c r="K172" s="640" t="str">
        <f>VLOOKUP($B172,'Afton Update'!$A$5:$CR$582,'Afton Update'!BV$589,0)</f>
        <v>Y</v>
      </c>
      <c r="L172" s="641" t="str">
        <f>VLOOKUP($B172,'Afton Update'!$A$5:$CR$582,'Afton Update'!BW$589,0)</f>
        <v>Y</v>
      </c>
      <c r="N172" s="642">
        <f>VLOOKUP($B172,'Afton Update'!$A$5:$CR$582,'Afton Update'!CB$589,0)</f>
        <v>0.9</v>
      </c>
      <c r="P172" s="636">
        <f>VLOOKUP($B172,'Afton Update'!$A$5:$CR$582,'Afton Update'!AH$589,0)</f>
        <v>214774.33396574823</v>
      </c>
      <c r="Q172" s="637">
        <f>VLOOKUP($B172,'Afton Update'!$A$5:$CR$582,'Afton Update'!AI$589,0)</f>
        <v>46545.808261790087</v>
      </c>
      <c r="R172" s="637">
        <f>VLOOKUP($B172,'Afton Update'!$A$5:$CR$582,'Afton Update'!AJ$589,0)</f>
        <v>125724.59451688812</v>
      </c>
      <c r="S172" s="637">
        <f>VLOOKUP($B172,'Afton Update'!$A$5:$CR$582,'Afton Update'!AK$589,0)</f>
        <v>117033.08237432565</v>
      </c>
      <c r="T172" s="643">
        <f t="shared" si="268"/>
        <v>504077.81911875209</v>
      </c>
      <c r="V172" s="636">
        <f t="shared" si="316"/>
        <v>211844.67264823936</v>
      </c>
      <c r="W172" s="637">
        <f t="shared" si="317"/>
        <v>45012.759513555691</v>
      </c>
      <c r="X172" s="637">
        <f t="shared" si="318"/>
        <v>124581.17841706894</v>
      </c>
      <c r="Y172" s="637">
        <f t="shared" si="319"/>
        <v>115743.58847687019</v>
      </c>
      <c r="Z172" s="643">
        <f t="shared" si="320"/>
        <v>497182.19905573421</v>
      </c>
      <c r="AB172" s="644">
        <f t="shared" si="269"/>
        <v>214774.33396574823</v>
      </c>
      <c r="AC172" s="645">
        <f t="shared" si="257"/>
        <v>182470.45343431228</v>
      </c>
      <c r="AD172" s="644">
        <f t="shared" si="321"/>
        <v>0</v>
      </c>
      <c r="AE172" s="645">
        <f t="shared" si="322"/>
        <v>214774.33396574823</v>
      </c>
      <c r="AF172" s="646">
        <f t="shared" si="323"/>
        <v>-2662.2892681210728</v>
      </c>
      <c r="AG172" s="647">
        <f t="shared" si="324"/>
        <v>212112.04469762716</v>
      </c>
      <c r="AH172" s="644">
        <f t="shared" si="270"/>
        <v>0</v>
      </c>
      <c r="AI172" s="645">
        <f t="shared" si="271"/>
        <v>212112.04469762716</v>
      </c>
      <c r="AJ172" s="646">
        <f t="shared" si="325"/>
        <v>-267.20170747633097</v>
      </c>
      <c r="AK172" s="647">
        <f t="shared" si="272"/>
        <v>211844.84299015082</v>
      </c>
      <c r="AL172" s="644">
        <f t="shared" si="326"/>
        <v>0</v>
      </c>
      <c r="AM172" s="645">
        <f t="shared" si="327"/>
        <v>211844.84299015082</v>
      </c>
      <c r="AN172" s="646">
        <f t="shared" si="328"/>
        <v>-0.17034191145119515</v>
      </c>
      <c r="AO172" s="647">
        <f t="shared" si="273"/>
        <v>211844.67264823936</v>
      </c>
      <c r="AP172" s="644">
        <f t="shared" si="329"/>
        <v>0</v>
      </c>
      <c r="AQ172" s="645">
        <f t="shared" si="330"/>
        <v>211844.67264823936</v>
      </c>
      <c r="AR172" s="646">
        <f t="shared" si="331"/>
        <v>0</v>
      </c>
      <c r="AS172" s="647">
        <f t="shared" si="274"/>
        <v>211844.67264823936</v>
      </c>
      <c r="AT172" s="644">
        <f t="shared" si="332"/>
        <v>0</v>
      </c>
      <c r="AU172" s="645">
        <f t="shared" si="333"/>
        <v>211844.67264823936</v>
      </c>
      <c r="AV172" s="646">
        <f t="shared" si="334"/>
        <v>0</v>
      </c>
      <c r="AW172" s="647">
        <f t="shared" si="275"/>
        <v>211844.67264823936</v>
      </c>
      <c r="AY172" s="644">
        <f t="shared" si="335"/>
        <v>46545.808261790087</v>
      </c>
      <c r="AZ172" s="645">
        <f t="shared" si="276"/>
        <v>37832.807163590231</v>
      </c>
      <c r="BA172" s="644">
        <f t="shared" si="336"/>
        <v>0</v>
      </c>
      <c r="BB172" s="645">
        <f t="shared" si="337"/>
        <v>46545.808261790087</v>
      </c>
      <c r="BC172" s="646">
        <f t="shared" si="338"/>
        <v>-334.72447207611293</v>
      </c>
      <c r="BD172" s="647">
        <f t="shared" si="339"/>
        <v>46211.083789713972</v>
      </c>
      <c r="BE172" s="644">
        <f t="shared" si="277"/>
        <v>0</v>
      </c>
      <c r="BF172" s="645">
        <f t="shared" si="278"/>
        <v>46211.083789713972</v>
      </c>
      <c r="BG172" s="646">
        <f t="shared" si="340"/>
        <v>-1100.7103565545924</v>
      </c>
      <c r="BH172" s="647">
        <f t="shared" si="279"/>
        <v>45110.373433159381</v>
      </c>
      <c r="BI172" s="644">
        <f t="shared" si="341"/>
        <v>0</v>
      </c>
      <c r="BJ172" s="645">
        <f t="shared" si="342"/>
        <v>45110.373433159381</v>
      </c>
      <c r="BK172" s="646">
        <f t="shared" si="343"/>
        <v>-95.554366095470542</v>
      </c>
      <c r="BL172" s="647">
        <f t="shared" si="280"/>
        <v>45014.819067063909</v>
      </c>
      <c r="BM172" s="644">
        <f t="shared" si="344"/>
        <v>0</v>
      </c>
      <c r="BN172" s="645">
        <f t="shared" si="345"/>
        <v>45014.819067063909</v>
      </c>
      <c r="BO172" s="646">
        <f t="shared" si="346"/>
        <v>-2.0595535082145653</v>
      </c>
      <c r="BP172" s="647">
        <f t="shared" si="281"/>
        <v>45012.759513555691</v>
      </c>
      <c r="BQ172" s="644">
        <f t="shared" si="347"/>
        <v>0</v>
      </c>
      <c r="BR172" s="645">
        <f t="shared" si="348"/>
        <v>45012.759513555691</v>
      </c>
      <c r="BS172" s="646">
        <f t="shared" si="349"/>
        <v>0</v>
      </c>
      <c r="BT172" s="647">
        <f t="shared" si="282"/>
        <v>45012.759513555691</v>
      </c>
      <c r="BU172" s="662">
        <f>VLOOKUP(B172,'Afton Update'!$A$5:$AR$582,'Afton Update'!$AO$589,0)-BT172</f>
        <v>0</v>
      </c>
      <c r="BV172" s="644">
        <f t="shared" si="350"/>
        <v>125724.59451688812</v>
      </c>
      <c r="BW172" s="645">
        <f t="shared" si="258"/>
        <v>96748.500412197885</v>
      </c>
      <c r="BX172" s="644">
        <f t="shared" si="351"/>
        <v>0</v>
      </c>
      <c r="BY172" s="645">
        <f t="shared" si="352"/>
        <v>125724.59451688812</v>
      </c>
      <c r="BZ172" s="646">
        <f t="shared" si="353"/>
        <v>-1103.4981329642872</v>
      </c>
      <c r="CA172" s="647">
        <f t="shared" si="354"/>
        <v>124621.09638392382</v>
      </c>
      <c r="CB172" s="644">
        <f t="shared" si="283"/>
        <v>0</v>
      </c>
      <c r="CC172" s="645">
        <f t="shared" si="284"/>
        <v>124621.09638392382</v>
      </c>
      <c r="CD172" s="646">
        <f t="shared" si="355"/>
        <v>-39.91796685489215</v>
      </c>
      <c r="CE172" s="647">
        <f t="shared" si="285"/>
        <v>124581.17841706894</v>
      </c>
      <c r="CF172" s="644">
        <f t="shared" si="356"/>
        <v>0</v>
      </c>
      <c r="CG172" s="645">
        <f t="shared" si="357"/>
        <v>124581.17841706894</v>
      </c>
      <c r="CH172" s="646">
        <f t="shared" si="358"/>
        <v>0</v>
      </c>
      <c r="CI172" s="647">
        <f t="shared" si="286"/>
        <v>124581.17841706894</v>
      </c>
      <c r="CJ172" s="644">
        <f t="shared" si="359"/>
        <v>0</v>
      </c>
      <c r="CK172" s="645">
        <f t="shared" si="360"/>
        <v>124581.17841706894</v>
      </c>
      <c r="CL172" s="646">
        <f t="shared" si="361"/>
        <v>0</v>
      </c>
      <c r="CM172" s="647">
        <f t="shared" si="287"/>
        <v>124581.17841706894</v>
      </c>
      <c r="CN172" s="644">
        <f t="shared" si="362"/>
        <v>0</v>
      </c>
      <c r="CO172" s="645">
        <f t="shared" si="363"/>
        <v>124581.17841706894</v>
      </c>
      <c r="CP172" s="646">
        <f t="shared" si="364"/>
        <v>0</v>
      </c>
      <c r="CQ172" s="647">
        <f t="shared" si="288"/>
        <v>124581.17841706894</v>
      </c>
      <c r="CS172" s="644">
        <f t="shared" si="365"/>
        <v>117033.08237432565</v>
      </c>
      <c r="CT172" s="645">
        <f t="shared" si="259"/>
        <v>93216.514173928357</v>
      </c>
      <c r="CU172" s="644">
        <f t="shared" si="366"/>
        <v>0</v>
      </c>
      <c r="CV172" s="645">
        <f t="shared" si="367"/>
        <v>117033.08237432565</v>
      </c>
      <c r="CW172" s="646">
        <f t="shared" si="368"/>
        <v>-1198.4849014798281</v>
      </c>
      <c r="CX172" s="647">
        <f t="shared" si="369"/>
        <v>115834.59747284582</v>
      </c>
      <c r="CY172" s="644">
        <f t="shared" si="289"/>
        <v>0</v>
      </c>
      <c r="CZ172" s="645">
        <f t="shared" si="290"/>
        <v>115834.59747284582</v>
      </c>
      <c r="DA172" s="646">
        <f t="shared" si="370"/>
        <v>-90.930579676273027</v>
      </c>
      <c r="DB172" s="647">
        <f t="shared" si="291"/>
        <v>115743.66689316955</v>
      </c>
      <c r="DC172" s="644">
        <f t="shared" si="371"/>
        <v>0</v>
      </c>
      <c r="DD172" s="645">
        <f t="shared" si="372"/>
        <v>115743.66689316955</v>
      </c>
      <c r="DE172" s="646">
        <f t="shared" si="373"/>
        <v>-7.8416299351524499E-2</v>
      </c>
      <c r="DF172" s="647">
        <f t="shared" si="292"/>
        <v>115743.58847687019</v>
      </c>
      <c r="DG172" s="644">
        <f t="shared" si="374"/>
        <v>0</v>
      </c>
      <c r="DH172" s="645">
        <f t="shared" si="375"/>
        <v>115743.58847687019</v>
      </c>
      <c r="DI172" s="646">
        <f t="shared" si="376"/>
        <v>0</v>
      </c>
      <c r="DJ172" s="647">
        <f t="shared" si="293"/>
        <v>115743.58847687019</v>
      </c>
      <c r="DK172" s="644">
        <f t="shared" si="377"/>
        <v>0</v>
      </c>
      <c r="DL172" s="645">
        <f t="shared" si="378"/>
        <v>115743.58847687019</v>
      </c>
      <c r="DM172" s="646">
        <f t="shared" si="379"/>
        <v>0</v>
      </c>
      <c r="DN172" s="647">
        <f t="shared" si="294"/>
        <v>115743.58847687019</v>
      </c>
      <c r="DR172" s="827">
        <f t="shared" si="295"/>
        <v>497182.19905573421</v>
      </c>
      <c r="DV172" s="828">
        <f>IFERROR(VLOOKUP($B172,'Afton FY16 Final'!$A$5:$BV$587,'Afton FY16 Final'!$BV$587,0),0)</f>
        <v>446877.8810151103</v>
      </c>
      <c r="DX172" s="636">
        <f t="shared" si="260"/>
        <v>497182.19905573421</v>
      </c>
      <c r="DY172" s="637">
        <f t="shared" si="261"/>
        <v>50304.318040623912</v>
      </c>
      <c r="DZ172" s="637">
        <f t="shared" si="262"/>
        <v>446877.8810151103</v>
      </c>
      <c r="EA172" s="643">
        <f t="shared" si="263"/>
        <v>470737.67818622082</v>
      </c>
      <c r="EB172" s="637">
        <f t="shared" si="296"/>
        <v>0</v>
      </c>
      <c r="EC172" s="637">
        <f t="shared" si="297"/>
        <v>470737.67818622082</v>
      </c>
      <c r="ED172" s="637">
        <f t="shared" si="298"/>
        <v>469333.96653654589</v>
      </c>
      <c r="EE172" s="643">
        <f t="shared" si="299"/>
        <v>469333.96653654589</v>
      </c>
      <c r="EF172" s="637">
        <f t="shared" si="300"/>
        <v>0</v>
      </c>
      <c r="EG172" s="637">
        <f t="shared" si="301"/>
        <v>469333.96653654589</v>
      </c>
      <c r="EH172" s="637">
        <f t="shared" si="302"/>
        <v>469333.48234301206</v>
      </c>
      <c r="EI172" s="643">
        <f t="shared" si="303"/>
        <v>469333.48234301206</v>
      </c>
      <c r="EJ172" s="637">
        <f t="shared" si="304"/>
        <v>0</v>
      </c>
      <c r="EK172" s="637">
        <f t="shared" si="305"/>
        <v>469333.48234301206</v>
      </c>
      <c r="EL172" s="637">
        <f t="shared" si="306"/>
        <v>469333.48234301142</v>
      </c>
      <c r="EM172" s="643">
        <f t="shared" si="307"/>
        <v>469333.48234301142</v>
      </c>
      <c r="EN172" s="637">
        <f t="shared" si="308"/>
        <v>0</v>
      </c>
      <c r="EO172" s="637">
        <f t="shared" si="309"/>
        <v>469333.48234301142</v>
      </c>
      <c r="EP172" s="637">
        <f t="shared" si="310"/>
        <v>469333.48234301218</v>
      </c>
      <c r="EQ172" s="643">
        <f t="shared" si="311"/>
        <v>469333.48234301218</v>
      </c>
      <c r="ER172" s="637">
        <f t="shared" si="312"/>
        <v>0</v>
      </c>
      <c r="ES172" s="637">
        <f t="shared" si="313"/>
        <v>469333.48234301218</v>
      </c>
      <c r="ET172" s="637">
        <f t="shared" si="314"/>
        <v>469333.48234301142</v>
      </c>
      <c r="EU172" s="643">
        <f t="shared" si="264"/>
        <v>469333.48234301142</v>
      </c>
      <c r="EV172" s="643">
        <f t="shared" si="265"/>
        <v>0</v>
      </c>
      <c r="EX172" s="829">
        <f t="shared" si="266"/>
        <v>27848.716712722788</v>
      </c>
      <c r="EY172" s="638">
        <f t="shared" si="267"/>
        <v>469333.48234301142</v>
      </c>
      <c r="FC172" s="830" t="str">
        <f t="shared" si="315"/>
        <v>Y</v>
      </c>
      <c r="FE172" s="830" t="str">
        <f>IFERROR(VLOOKUP($B172,'Historical Conc Grant Elig'!$B$3:$J$707,'HH &amp; SI'!FE$2,0),"N")</f>
        <v>Y</v>
      </c>
      <c r="FF172" s="830" t="str">
        <f>IFERROR(VLOOKUP($B172,'Historical Conc Grant Elig'!$B$3:$J$707,'HH &amp; SI'!FF$2,0),"N")</f>
        <v>Y</v>
      </c>
      <c r="FG172" s="830" t="str">
        <f>IFERROR(VLOOKUP($B172,'Historical Conc Grant Elig'!$B$3:$J$707,'HH &amp; SI'!FG$2,0),"N")</f>
        <v>Y</v>
      </c>
      <c r="FH172" s="830" t="str">
        <f>IFERROR(VLOOKUP($B172,'Historical Conc Grant Elig'!$B$3:$J$707,'HH &amp; SI'!FH$2,0),"N")</f>
        <v>Y</v>
      </c>
      <c r="FI172" s="830" t="str">
        <f>IFERROR(VLOOKUP($B172,'Historical Conc Grant Elig'!$B$3:$J$707,'HH &amp; SI'!FI$2,0),"N")</f>
        <v>Y</v>
      </c>
      <c r="FJ172" s="830" t="str">
        <f>IFERROR(VLOOKUP($B172,'Historical Conc Grant Elig'!$B$3:$J$707,'HH &amp; SI'!FJ$2,0),"N")</f>
        <v>Y</v>
      </c>
      <c r="FK172" s="830" t="str">
        <f>IFERROR(VLOOKUP($B172,'Historical Conc Grant Elig'!$B$3:$J$707,'HH &amp; SI'!FK$2,0),"N")</f>
        <v>Y</v>
      </c>
      <c r="FL172" s="957" t="str">
        <f>IFERROR(VLOOKUP($B172,'Historical Conc Grant Elig'!$B$3:$J$707,'HH &amp; SI'!FL$2,0),"N")</f>
        <v>Y</v>
      </c>
    </row>
    <row r="173" spans="2:168" x14ac:dyDescent="0.25">
      <c r="B173" s="634">
        <v>78513000</v>
      </c>
      <c r="C173" s="635" t="str">
        <f>VLOOKUP($B173,'Afton Update'!$A$5:$CR$582,'Afton Update'!D$589,0)</f>
        <v>Country Gardens Charter Schools</v>
      </c>
      <c r="D173" s="636">
        <f>IFERROR(VLOOKUP($B173,'Afton FY16 Final'!$A$5:$BV$587,'Afton FY16 Final'!AQ$587,0),0)</f>
        <v>56922.597246933146</v>
      </c>
      <c r="E173" s="637">
        <f>IFERROR(VLOOKUP($B173,'Afton FY16 Final'!$A$5:$BV$587,'Afton FY16 Final'!AR$587,0),0)</f>
        <v>13466.342490225628</v>
      </c>
      <c r="F173" s="637">
        <f>IFERROR(VLOOKUP($B173,'Afton FY16 Final'!$A$5:$BV$587,'Afton FY16 Final'!AS$587,0),0)</f>
        <v>30892.562169959197</v>
      </c>
      <c r="G173" s="637">
        <f>IFERROR(VLOOKUP($B173,'Afton FY16 Final'!$A$5:$BV$587,'Afton FY16 Final'!AT$587,0),0)</f>
        <v>26056.563930666747</v>
      </c>
      <c r="H173" s="638">
        <f>IFERROR(VLOOKUP($B173,'Afton FY16 Final'!$A$5:$BV$587,'Afton FY16 Final'!AU$587,0),0)</f>
        <v>127338.06583778471</v>
      </c>
      <c r="I173" s="639" t="str">
        <f>VLOOKUP($B173,'Afton Update'!$A$5:$CR$582,'Afton Update'!BT$589,0)</f>
        <v>Y</v>
      </c>
      <c r="J173" s="640" t="str">
        <f>VLOOKUP($B173,'Afton Update'!$A$5:$CR$582,'Afton Update'!BU$589,0)</f>
        <v>Y</v>
      </c>
      <c r="K173" s="640" t="str">
        <f>VLOOKUP($B173,'Afton Update'!$A$5:$CR$582,'Afton Update'!BV$589,0)</f>
        <v>Y</v>
      </c>
      <c r="L173" s="641" t="str">
        <f>VLOOKUP($B173,'Afton Update'!$A$5:$CR$582,'Afton Update'!BW$589,0)</f>
        <v>Y</v>
      </c>
      <c r="N173" s="642">
        <f>VLOOKUP($B173,'Afton Update'!$A$5:$CR$582,'Afton Update'!CB$589,0)</f>
        <v>0.95</v>
      </c>
      <c r="P173" s="636">
        <f>VLOOKUP($B173,'Afton Update'!$A$5:$CR$582,'Afton Update'!AH$589,0)</f>
        <v>67206.667978146157</v>
      </c>
      <c r="Q173" s="637">
        <f>VLOOKUP($B173,'Afton Update'!$A$5:$CR$582,'Afton Update'!AI$589,0)</f>
        <v>16029.052243618667</v>
      </c>
      <c r="R173" s="637">
        <f>VLOOKUP($B173,'Afton Update'!$A$5:$CR$582,'Afton Update'!AJ$589,0)</f>
        <v>39358.848816644168</v>
      </c>
      <c r="S173" s="637">
        <f>VLOOKUP($B173,'Afton Update'!$A$5:$CR$582,'Afton Update'!AK$589,0)</f>
        <v>36637.918089274128</v>
      </c>
      <c r="T173" s="643">
        <f t="shared" si="268"/>
        <v>159232.48712768313</v>
      </c>
      <c r="V173" s="636">
        <f t="shared" si="316"/>
        <v>66289.925405518108</v>
      </c>
      <c r="W173" s="637">
        <f t="shared" si="317"/>
        <v>15501.113866455804</v>
      </c>
      <c r="X173" s="637">
        <f t="shared" si="318"/>
        <v>39000.895453738274</v>
      </c>
      <c r="Y173" s="637">
        <f t="shared" si="319"/>
        <v>36234.234183551795</v>
      </c>
      <c r="Z173" s="643">
        <f t="shared" si="320"/>
        <v>157026.168909264</v>
      </c>
      <c r="AB173" s="644">
        <f t="shared" si="269"/>
        <v>67206.667978146157</v>
      </c>
      <c r="AC173" s="645">
        <f t="shared" si="257"/>
        <v>54076.467384586489</v>
      </c>
      <c r="AD173" s="644">
        <f t="shared" si="321"/>
        <v>0</v>
      </c>
      <c r="AE173" s="645">
        <f t="shared" si="322"/>
        <v>67206.667978146157</v>
      </c>
      <c r="AF173" s="646">
        <f t="shared" si="323"/>
        <v>-833.07715405570309</v>
      </c>
      <c r="AG173" s="647">
        <f t="shared" si="324"/>
        <v>66373.590824090454</v>
      </c>
      <c r="AH173" s="644">
        <f t="shared" si="270"/>
        <v>0</v>
      </c>
      <c r="AI173" s="645">
        <f t="shared" si="271"/>
        <v>66373.590824090454</v>
      </c>
      <c r="AJ173" s="646">
        <f t="shared" si="325"/>
        <v>-83.612115591145866</v>
      </c>
      <c r="AK173" s="647">
        <f t="shared" si="272"/>
        <v>66289.978708499315</v>
      </c>
      <c r="AL173" s="644">
        <f t="shared" si="326"/>
        <v>0</v>
      </c>
      <c r="AM173" s="645">
        <f t="shared" si="327"/>
        <v>66289.978708499315</v>
      </c>
      <c r="AN173" s="646">
        <f t="shared" si="328"/>
        <v>-5.3302981200206948E-2</v>
      </c>
      <c r="AO173" s="647">
        <f t="shared" si="273"/>
        <v>66289.925405518108</v>
      </c>
      <c r="AP173" s="644">
        <f t="shared" si="329"/>
        <v>0</v>
      </c>
      <c r="AQ173" s="645">
        <f t="shared" si="330"/>
        <v>66289.925405518108</v>
      </c>
      <c r="AR173" s="646">
        <f t="shared" si="331"/>
        <v>0</v>
      </c>
      <c r="AS173" s="647">
        <f t="shared" si="274"/>
        <v>66289.925405518108</v>
      </c>
      <c r="AT173" s="644">
        <f t="shared" si="332"/>
        <v>0</v>
      </c>
      <c r="AU173" s="645">
        <f t="shared" si="333"/>
        <v>66289.925405518108</v>
      </c>
      <c r="AV173" s="646">
        <f t="shared" si="334"/>
        <v>0</v>
      </c>
      <c r="AW173" s="647">
        <f t="shared" si="275"/>
        <v>66289.925405518108</v>
      </c>
      <c r="AY173" s="644">
        <f t="shared" si="335"/>
        <v>16029.052243618667</v>
      </c>
      <c r="AZ173" s="645">
        <f t="shared" si="276"/>
        <v>12793.025365714346</v>
      </c>
      <c r="BA173" s="644">
        <f t="shared" si="336"/>
        <v>0</v>
      </c>
      <c r="BB173" s="645">
        <f t="shared" si="337"/>
        <v>16029.052243618667</v>
      </c>
      <c r="BC173" s="646">
        <f t="shared" si="338"/>
        <v>-115.26958603767835</v>
      </c>
      <c r="BD173" s="647">
        <f t="shared" si="339"/>
        <v>15913.782657580989</v>
      </c>
      <c r="BE173" s="644">
        <f t="shared" si="277"/>
        <v>0</v>
      </c>
      <c r="BF173" s="645">
        <f t="shared" si="278"/>
        <v>15913.782657580989</v>
      </c>
      <c r="BG173" s="646">
        <f t="shared" si="340"/>
        <v>-379.05333410633426</v>
      </c>
      <c r="BH173" s="647">
        <f t="shared" si="279"/>
        <v>15534.729323474654</v>
      </c>
      <c r="BI173" s="644">
        <f t="shared" si="341"/>
        <v>0</v>
      </c>
      <c r="BJ173" s="645">
        <f t="shared" si="342"/>
        <v>15534.729323474654</v>
      </c>
      <c r="BK173" s="646">
        <f t="shared" si="343"/>
        <v>-32.906205380206167</v>
      </c>
      <c r="BL173" s="647">
        <f t="shared" si="280"/>
        <v>15501.823118094448</v>
      </c>
      <c r="BM173" s="644">
        <f t="shared" si="344"/>
        <v>0</v>
      </c>
      <c r="BN173" s="645">
        <f t="shared" si="345"/>
        <v>15501.823118094448</v>
      </c>
      <c r="BO173" s="646">
        <f t="shared" si="346"/>
        <v>-0.70925163864432916</v>
      </c>
      <c r="BP173" s="647">
        <f t="shared" si="281"/>
        <v>15501.113866455804</v>
      </c>
      <c r="BQ173" s="644">
        <f t="shared" si="347"/>
        <v>0</v>
      </c>
      <c r="BR173" s="645">
        <f t="shared" si="348"/>
        <v>15501.113866455804</v>
      </c>
      <c r="BS173" s="646">
        <f t="shared" si="349"/>
        <v>0</v>
      </c>
      <c r="BT173" s="647">
        <f t="shared" si="282"/>
        <v>15501.113866455804</v>
      </c>
      <c r="BU173" s="662">
        <f>VLOOKUP(B173,'Afton Update'!$A$5:$AR$582,'Afton Update'!$AO$589,0)-BT173</f>
        <v>0</v>
      </c>
      <c r="BV173" s="644">
        <f t="shared" si="350"/>
        <v>39358.848816644168</v>
      </c>
      <c r="BW173" s="645">
        <f t="shared" si="258"/>
        <v>29347.934061461237</v>
      </c>
      <c r="BX173" s="644">
        <f t="shared" si="351"/>
        <v>0</v>
      </c>
      <c r="BY173" s="645">
        <f t="shared" si="352"/>
        <v>39358.848816644168</v>
      </c>
      <c r="BZ173" s="646">
        <f t="shared" si="353"/>
        <v>-345.45680064974374</v>
      </c>
      <c r="CA173" s="647">
        <f t="shared" si="354"/>
        <v>39013.392015994425</v>
      </c>
      <c r="CB173" s="644">
        <f t="shared" si="283"/>
        <v>0</v>
      </c>
      <c r="CC173" s="645">
        <f t="shared" si="284"/>
        <v>39013.392015994425</v>
      </c>
      <c r="CD173" s="646">
        <f t="shared" si="355"/>
        <v>-12.496562256150046</v>
      </c>
      <c r="CE173" s="647">
        <f t="shared" si="285"/>
        <v>39000.895453738274</v>
      </c>
      <c r="CF173" s="644">
        <f t="shared" si="356"/>
        <v>0</v>
      </c>
      <c r="CG173" s="645">
        <f t="shared" si="357"/>
        <v>39000.895453738274</v>
      </c>
      <c r="CH173" s="646">
        <f t="shared" si="358"/>
        <v>0</v>
      </c>
      <c r="CI173" s="647">
        <f t="shared" si="286"/>
        <v>39000.895453738274</v>
      </c>
      <c r="CJ173" s="644">
        <f t="shared" si="359"/>
        <v>0</v>
      </c>
      <c r="CK173" s="645">
        <f t="shared" si="360"/>
        <v>39000.895453738274</v>
      </c>
      <c r="CL173" s="646">
        <f t="shared" si="361"/>
        <v>0</v>
      </c>
      <c r="CM173" s="647">
        <f t="shared" si="287"/>
        <v>39000.895453738274</v>
      </c>
      <c r="CN173" s="644">
        <f t="shared" si="362"/>
        <v>0</v>
      </c>
      <c r="CO173" s="645">
        <f t="shared" si="363"/>
        <v>39000.895453738274</v>
      </c>
      <c r="CP173" s="646">
        <f t="shared" si="364"/>
        <v>0</v>
      </c>
      <c r="CQ173" s="647">
        <f t="shared" si="288"/>
        <v>39000.895453738274</v>
      </c>
      <c r="CS173" s="644">
        <f t="shared" si="365"/>
        <v>36637.918089274128</v>
      </c>
      <c r="CT173" s="645">
        <f t="shared" si="259"/>
        <v>24753.73573413341</v>
      </c>
      <c r="CU173" s="644">
        <f t="shared" si="366"/>
        <v>0</v>
      </c>
      <c r="CV173" s="645">
        <f t="shared" si="367"/>
        <v>36637.918089274128</v>
      </c>
      <c r="CW173" s="646">
        <f t="shared" si="368"/>
        <v>-375.19298612682314</v>
      </c>
      <c r="CX173" s="647">
        <f t="shared" si="369"/>
        <v>36262.725103147306</v>
      </c>
      <c r="CY173" s="644">
        <f t="shared" si="289"/>
        <v>0</v>
      </c>
      <c r="CZ173" s="645">
        <f t="shared" si="290"/>
        <v>36262.725103147306</v>
      </c>
      <c r="DA173" s="646">
        <f t="shared" si="370"/>
        <v>-28.466370896169455</v>
      </c>
      <c r="DB173" s="647">
        <f t="shared" si="291"/>
        <v>36234.258732251139</v>
      </c>
      <c r="DC173" s="644">
        <f t="shared" si="371"/>
        <v>0</v>
      </c>
      <c r="DD173" s="645">
        <f t="shared" si="372"/>
        <v>36234.258732251139</v>
      </c>
      <c r="DE173" s="646">
        <f t="shared" si="373"/>
        <v>-2.4548699343967948E-2</v>
      </c>
      <c r="DF173" s="647">
        <f t="shared" si="292"/>
        <v>36234.234183551795</v>
      </c>
      <c r="DG173" s="644">
        <f t="shared" si="374"/>
        <v>0</v>
      </c>
      <c r="DH173" s="645">
        <f t="shared" si="375"/>
        <v>36234.234183551795</v>
      </c>
      <c r="DI173" s="646">
        <f t="shared" si="376"/>
        <v>0</v>
      </c>
      <c r="DJ173" s="647">
        <f t="shared" si="293"/>
        <v>36234.234183551795</v>
      </c>
      <c r="DK173" s="644">
        <f t="shared" si="377"/>
        <v>0</v>
      </c>
      <c r="DL173" s="645">
        <f t="shared" si="378"/>
        <v>36234.234183551795</v>
      </c>
      <c r="DM173" s="646">
        <f t="shared" si="379"/>
        <v>0</v>
      </c>
      <c r="DN173" s="647">
        <f t="shared" si="294"/>
        <v>36234.234183551795</v>
      </c>
      <c r="DR173" s="827">
        <f t="shared" si="295"/>
        <v>157026.168909264</v>
      </c>
      <c r="DV173" s="828">
        <f>IFERROR(VLOOKUP($B173,'Afton FY16 Final'!$A$5:$BV$587,'Afton FY16 Final'!$BV$587,0),0)</f>
        <v>122874.57430436644</v>
      </c>
      <c r="DX173" s="636">
        <f t="shared" si="260"/>
        <v>157026.168909264</v>
      </c>
      <c r="DY173" s="637">
        <f t="shared" si="261"/>
        <v>34151.59460489756</v>
      </c>
      <c r="DZ173" s="637">
        <f t="shared" si="262"/>
        <v>122874.57430436644</v>
      </c>
      <c r="EA173" s="643">
        <f t="shared" si="263"/>
        <v>148674.13657852632</v>
      </c>
      <c r="EB173" s="637">
        <f t="shared" si="296"/>
        <v>0</v>
      </c>
      <c r="EC173" s="637">
        <f t="shared" si="297"/>
        <v>148674.13657852632</v>
      </c>
      <c r="ED173" s="637">
        <f t="shared" si="298"/>
        <v>148230.79918024378</v>
      </c>
      <c r="EE173" s="643">
        <f t="shared" si="299"/>
        <v>148230.79918024378</v>
      </c>
      <c r="EF173" s="637">
        <f t="shared" si="300"/>
        <v>0</v>
      </c>
      <c r="EG173" s="637">
        <f t="shared" si="301"/>
        <v>148230.79918024378</v>
      </c>
      <c r="EH173" s="637">
        <f t="shared" si="302"/>
        <v>148230.64625631412</v>
      </c>
      <c r="EI173" s="643">
        <f t="shared" si="303"/>
        <v>148230.64625631412</v>
      </c>
      <c r="EJ173" s="637">
        <f t="shared" si="304"/>
        <v>0</v>
      </c>
      <c r="EK173" s="637">
        <f t="shared" si="305"/>
        <v>148230.64625631412</v>
      </c>
      <c r="EL173" s="637">
        <f t="shared" si="306"/>
        <v>148230.64625631389</v>
      </c>
      <c r="EM173" s="643">
        <f t="shared" si="307"/>
        <v>148230.64625631389</v>
      </c>
      <c r="EN173" s="637">
        <f t="shared" si="308"/>
        <v>0</v>
      </c>
      <c r="EO173" s="637">
        <f t="shared" si="309"/>
        <v>148230.64625631389</v>
      </c>
      <c r="EP173" s="637">
        <f t="shared" si="310"/>
        <v>148230.64625631412</v>
      </c>
      <c r="EQ173" s="643">
        <f t="shared" si="311"/>
        <v>148230.64625631412</v>
      </c>
      <c r="ER173" s="637">
        <f t="shared" si="312"/>
        <v>0</v>
      </c>
      <c r="ES173" s="637">
        <f t="shared" si="313"/>
        <v>148230.64625631412</v>
      </c>
      <c r="ET173" s="637">
        <f t="shared" si="314"/>
        <v>148230.64625631389</v>
      </c>
      <c r="EU173" s="643">
        <f t="shared" si="264"/>
        <v>148230.64625631389</v>
      </c>
      <c r="EV173" s="643">
        <f t="shared" si="265"/>
        <v>0</v>
      </c>
      <c r="EX173" s="829">
        <f t="shared" si="266"/>
        <v>8795.5226529501087</v>
      </c>
      <c r="EY173" s="638">
        <f t="shared" si="267"/>
        <v>148230.64625631389</v>
      </c>
      <c r="FC173" s="830" t="str">
        <f t="shared" si="315"/>
        <v>Y</v>
      </c>
      <c r="FE173" s="830" t="str">
        <f>IFERROR(VLOOKUP($B173,'Historical Conc Grant Elig'!$B$3:$J$707,'HH &amp; SI'!FE$2,0),"N")</f>
        <v>N</v>
      </c>
      <c r="FF173" s="830" t="str">
        <f>IFERROR(VLOOKUP($B173,'Historical Conc Grant Elig'!$B$3:$J$707,'HH &amp; SI'!FF$2,0),"N")</f>
        <v>N</v>
      </c>
      <c r="FG173" s="830" t="str">
        <f>IFERROR(VLOOKUP($B173,'Historical Conc Grant Elig'!$B$3:$J$707,'HH &amp; SI'!FG$2,0),"N")</f>
        <v>Y</v>
      </c>
      <c r="FH173" s="830" t="str">
        <f>IFERROR(VLOOKUP($B173,'Historical Conc Grant Elig'!$B$3:$J$707,'HH &amp; SI'!FH$2,0),"N")</f>
        <v>Y</v>
      </c>
      <c r="FI173" s="830" t="str">
        <f>IFERROR(VLOOKUP($B173,'Historical Conc Grant Elig'!$B$3:$J$707,'HH &amp; SI'!FI$2,0),"N")</f>
        <v>Y</v>
      </c>
      <c r="FJ173" s="830" t="str">
        <f>IFERROR(VLOOKUP($B173,'Historical Conc Grant Elig'!$B$3:$J$707,'HH &amp; SI'!FJ$2,0),"N")</f>
        <v>Y</v>
      </c>
      <c r="FK173" s="830" t="str">
        <f>IFERROR(VLOOKUP($B173,'Historical Conc Grant Elig'!$B$3:$J$707,'HH &amp; SI'!FK$2,0),"N")</f>
        <v>Y</v>
      </c>
      <c r="FL173" s="957" t="str">
        <f>IFERROR(VLOOKUP($B173,'Historical Conc Grant Elig'!$B$3:$J$707,'HH &amp; SI'!FL$2,0),"N")</f>
        <v>Y</v>
      </c>
    </row>
    <row r="174" spans="2:168" x14ac:dyDescent="0.25">
      <c r="B174" s="634">
        <v>78516000</v>
      </c>
      <c r="C174" s="635" t="str">
        <f>VLOOKUP($B174,'Afton Update'!$A$5:$CR$582,'Afton Update'!D$589,0)</f>
        <v>Prescott Valley Charter School</v>
      </c>
      <c r="D174" s="636">
        <f>IFERROR(VLOOKUP($B174,'Afton FY16 Final'!$A$5:$BV$587,'Afton FY16 Final'!AQ$587,0),0)</f>
        <v>45517.07796436677</v>
      </c>
      <c r="E174" s="637">
        <f>IFERROR(VLOOKUP($B174,'Afton FY16 Final'!$A$5:$BV$587,'Afton FY16 Final'!AR$587,0),0)</f>
        <v>11009.959851927893</v>
      </c>
      <c r="F174" s="637">
        <f>IFERROR(VLOOKUP($B174,'Afton FY16 Final'!$A$5:$BV$587,'Afton FY16 Final'!AS$587,0),0)</f>
        <v>19133.646481842799</v>
      </c>
      <c r="G174" s="637">
        <f>IFERROR(VLOOKUP($B174,'Afton FY16 Final'!$A$5:$BV$587,'Afton FY16 Final'!AT$587,0),0)</f>
        <v>15191.671717684218</v>
      </c>
      <c r="H174" s="638">
        <f>IFERROR(VLOOKUP($B174,'Afton FY16 Final'!$A$5:$BV$587,'Afton FY16 Final'!AU$587,0),0)</f>
        <v>90852.356015821686</v>
      </c>
      <c r="I174" s="639" t="str">
        <f>VLOOKUP($B174,'Afton Update'!$A$5:$CR$582,'Afton Update'!BT$589,0)</f>
        <v>Y</v>
      </c>
      <c r="J174" s="640" t="str">
        <f>VLOOKUP($B174,'Afton Update'!$A$5:$CR$582,'Afton Update'!BU$589,0)</f>
        <v>Y</v>
      </c>
      <c r="K174" s="640" t="str">
        <f>VLOOKUP($B174,'Afton Update'!$A$5:$CR$582,'Afton Update'!BV$589,0)</f>
        <v>Y</v>
      </c>
      <c r="L174" s="641" t="str">
        <f>VLOOKUP($B174,'Afton Update'!$A$5:$CR$582,'Afton Update'!BW$589,0)</f>
        <v>Y</v>
      </c>
      <c r="N174" s="642">
        <f>VLOOKUP($B174,'Afton Update'!$A$5:$CR$582,'Afton Update'!CB$589,0)</f>
        <v>0.95</v>
      </c>
      <c r="P174" s="636">
        <f>VLOOKUP($B174,'Afton Update'!$A$5:$CR$582,'Afton Update'!AH$589,0)</f>
        <v>48770.746938113327</v>
      </c>
      <c r="Q174" s="637">
        <f>VLOOKUP($B174,'Afton Update'!$A$5:$CR$582,'Afton Update'!AI$589,0)</f>
        <v>14483.005601974748</v>
      </c>
      <c r="R174" s="637">
        <f>VLOOKUP($B174,'Afton Update'!$A$5:$CR$582,'Afton Update'!AJ$589,0)</f>
        <v>20981.073580143908</v>
      </c>
      <c r="S174" s="637">
        <f>VLOOKUP($B174,'Afton Update'!$A$5:$CR$582,'Afton Update'!AK$589,0)</f>
        <v>17031.539338359118</v>
      </c>
      <c r="T174" s="643">
        <f t="shared" si="268"/>
        <v>101266.3654585911</v>
      </c>
      <c r="V174" s="636">
        <f t="shared" si="316"/>
        <v>48105.482294557783</v>
      </c>
      <c r="W174" s="637">
        <f t="shared" si="317"/>
        <v>14005.988348693836</v>
      </c>
      <c r="X174" s="637">
        <f t="shared" si="318"/>
        <v>20790.258907682943</v>
      </c>
      <c r="Y174" s="637">
        <f t="shared" si="319"/>
        <v>16843.882433187286</v>
      </c>
      <c r="Z174" s="643">
        <f t="shared" si="320"/>
        <v>99745.611984121846</v>
      </c>
      <c r="AB174" s="644">
        <f t="shared" si="269"/>
        <v>48770.746938113327</v>
      </c>
      <c r="AC174" s="645">
        <f t="shared" si="257"/>
        <v>43241.224066148432</v>
      </c>
      <c r="AD174" s="644">
        <f t="shared" si="321"/>
        <v>0</v>
      </c>
      <c r="AE174" s="645">
        <f t="shared" si="322"/>
        <v>48770.746938113327</v>
      </c>
      <c r="AF174" s="646">
        <f t="shared" si="323"/>
        <v>-604.55005853862735</v>
      </c>
      <c r="AG174" s="647">
        <f t="shared" si="324"/>
        <v>48166.196879574702</v>
      </c>
      <c r="AH174" s="644">
        <f t="shared" si="270"/>
        <v>0</v>
      </c>
      <c r="AI174" s="645">
        <f t="shared" si="271"/>
        <v>48166.196879574702</v>
      </c>
      <c r="AJ174" s="646">
        <f t="shared" si="325"/>
        <v>-60.675903941288333</v>
      </c>
      <c r="AK174" s="647">
        <f t="shared" si="272"/>
        <v>48105.520975633415</v>
      </c>
      <c r="AL174" s="644">
        <f t="shared" si="326"/>
        <v>0</v>
      </c>
      <c r="AM174" s="645">
        <f t="shared" si="327"/>
        <v>48105.520975633415</v>
      </c>
      <c r="AN174" s="646">
        <f t="shared" si="328"/>
        <v>-3.8681075633858759E-2</v>
      </c>
      <c r="AO174" s="647">
        <f t="shared" si="273"/>
        <v>48105.482294557783</v>
      </c>
      <c r="AP174" s="644">
        <f t="shared" si="329"/>
        <v>0</v>
      </c>
      <c r="AQ174" s="645">
        <f t="shared" si="330"/>
        <v>48105.482294557783</v>
      </c>
      <c r="AR174" s="646">
        <f t="shared" si="331"/>
        <v>0</v>
      </c>
      <c r="AS174" s="647">
        <f t="shared" si="274"/>
        <v>48105.482294557783</v>
      </c>
      <c r="AT174" s="644">
        <f t="shared" si="332"/>
        <v>0</v>
      </c>
      <c r="AU174" s="645">
        <f t="shared" si="333"/>
        <v>48105.482294557783</v>
      </c>
      <c r="AV174" s="646">
        <f t="shared" si="334"/>
        <v>0</v>
      </c>
      <c r="AW174" s="647">
        <f t="shared" si="275"/>
        <v>48105.482294557783</v>
      </c>
      <c r="AY174" s="644">
        <f t="shared" si="335"/>
        <v>14483.005601974748</v>
      </c>
      <c r="AZ174" s="645">
        <f t="shared" si="276"/>
        <v>10459.461859331499</v>
      </c>
      <c r="BA174" s="644">
        <f t="shared" si="336"/>
        <v>0</v>
      </c>
      <c r="BB174" s="645">
        <f t="shared" si="337"/>
        <v>14483.005601974748</v>
      </c>
      <c r="BC174" s="646">
        <f t="shared" si="338"/>
        <v>-104.1515140725573</v>
      </c>
      <c r="BD174" s="647">
        <f t="shared" si="339"/>
        <v>14378.854087902191</v>
      </c>
      <c r="BE174" s="644">
        <f t="shared" si="277"/>
        <v>0</v>
      </c>
      <c r="BF174" s="645">
        <f t="shared" si="278"/>
        <v>14378.854087902191</v>
      </c>
      <c r="BG174" s="646">
        <f t="shared" si="340"/>
        <v>-342.49258645312636</v>
      </c>
      <c r="BH174" s="647">
        <f t="shared" si="279"/>
        <v>14036.361501449064</v>
      </c>
      <c r="BI174" s="644">
        <f t="shared" si="341"/>
        <v>0</v>
      </c>
      <c r="BJ174" s="645">
        <f t="shared" si="342"/>
        <v>14036.361501449064</v>
      </c>
      <c r="BK174" s="646">
        <f t="shared" si="343"/>
        <v>-29.732310408495255</v>
      </c>
      <c r="BL174" s="647">
        <f t="shared" si="280"/>
        <v>14006.629191040569</v>
      </c>
      <c r="BM174" s="644">
        <f t="shared" si="344"/>
        <v>0</v>
      </c>
      <c r="BN174" s="645">
        <f t="shared" si="345"/>
        <v>14006.629191040569</v>
      </c>
      <c r="BO174" s="646">
        <f t="shared" si="346"/>
        <v>-0.64084234673232265</v>
      </c>
      <c r="BP174" s="647">
        <f t="shared" si="281"/>
        <v>14005.988348693836</v>
      </c>
      <c r="BQ174" s="644">
        <f t="shared" si="347"/>
        <v>0</v>
      </c>
      <c r="BR174" s="645">
        <f t="shared" si="348"/>
        <v>14005.988348693836</v>
      </c>
      <c r="BS174" s="646">
        <f t="shared" si="349"/>
        <v>0</v>
      </c>
      <c r="BT174" s="647">
        <f t="shared" si="282"/>
        <v>14005.988348693836</v>
      </c>
      <c r="BU174" s="662">
        <f>VLOOKUP(B174,'Afton Update'!$A$5:$AR$582,'Afton Update'!$AO$589,0)-BT174</f>
        <v>0</v>
      </c>
      <c r="BV174" s="644">
        <f t="shared" si="350"/>
        <v>20981.073580143908</v>
      </c>
      <c r="BW174" s="645">
        <f t="shared" si="258"/>
        <v>18176.964157750659</v>
      </c>
      <c r="BX174" s="644">
        <f t="shared" si="351"/>
        <v>0</v>
      </c>
      <c r="BY174" s="645">
        <f t="shared" si="352"/>
        <v>20981.073580143908</v>
      </c>
      <c r="BZ174" s="646">
        <f t="shared" si="353"/>
        <v>-184.15311349574591</v>
      </c>
      <c r="CA174" s="647">
        <f t="shared" si="354"/>
        <v>20796.92046664816</v>
      </c>
      <c r="CB174" s="644">
        <f t="shared" si="283"/>
        <v>0</v>
      </c>
      <c r="CC174" s="645">
        <f t="shared" si="284"/>
        <v>20796.92046664816</v>
      </c>
      <c r="CD174" s="646">
        <f t="shared" si="355"/>
        <v>-6.6615589652169191</v>
      </c>
      <c r="CE174" s="647">
        <f t="shared" si="285"/>
        <v>20790.258907682943</v>
      </c>
      <c r="CF174" s="644">
        <f t="shared" si="356"/>
        <v>0</v>
      </c>
      <c r="CG174" s="645">
        <f t="shared" si="357"/>
        <v>20790.258907682943</v>
      </c>
      <c r="CH174" s="646">
        <f t="shared" si="358"/>
        <v>0</v>
      </c>
      <c r="CI174" s="647">
        <f t="shared" si="286"/>
        <v>20790.258907682943</v>
      </c>
      <c r="CJ174" s="644">
        <f t="shared" si="359"/>
        <v>0</v>
      </c>
      <c r="CK174" s="645">
        <f t="shared" si="360"/>
        <v>20790.258907682943</v>
      </c>
      <c r="CL174" s="646">
        <f t="shared" si="361"/>
        <v>0</v>
      </c>
      <c r="CM174" s="647">
        <f t="shared" si="287"/>
        <v>20790.258907682943</v>
      </c>
      <c r="CN174" s="644">
        <f t="shared" si="362"/>
        <v>0</v>
      </c>
      <c r="CO174" s="645">
        <f t="shared" si="363"/>
        <v>20790.258907682943</v>
      </c>
      <c r="CP174" s="646">
        <f t="shared" si="364"/>
        <v>0</v>
      </c>
      <c r="CQ174" s="647">
        <f t="shared" si="288"/>
        <v>20790.258907682943</v>
      </c>
      <c r="CS174" s="644">
        <f t="shared" si="365"/>
        <v>17031.539338359118</v>
      </c>
      <c r="CT174" s="645">
        <f t="shared" si="259"/>
        <v>14432.088131800007</v>
      </c>
      <c r="CU174" s="644">
        <f t="shared" si="366"/>
        <v>0</v>
      </c>
      <c r="CV174" s="645">
        <f t="shared" si="367"/>
        <v>17031.539338359118</v>
      </c>
      <c r="CW174" s="646">
        <f t="shared" si="368"/>
        <v>-174.41258772195744</v>
      </c>
      <c r="CX174" s="647">
        <f t="shared" si="369"/>
        <v>16857.126750637162</v>
      </c>
      <c r="CY174" s="644">
        <f t="shared" si="289"/>
        <v>0</v>
      </c>
      <c r="CZ174" s="645">
        <f t="shared" si="290"/>
        <v>16857.126750637162</v>
      </c>
      <c r="DA174" s="646">
        <f t="shared" si="370"/>
        <v>-13.232905716888036</v>
      </c>
      <c r="DB174" s="647">
        <f t="shared" si="291"/>
        <v>16843.893844920276</v>
      </c>
      <c r="DC174" s="644">
        <f t="shared" si="371"/>
        <v>0</v>
      </c>
      <c r="DD174" s="645">
        <f t="shared" si="372"/>
        <v>16843.893844920276</v>
      </c>
      <c r="DE174" s="646">
        <f t="shared" si="373"/>
        <v>-1.1411732991038637E-2</v>
      </c>
      <c r="DF174" s="647">
        <f t="shared" si="292"/>
        <v>16843.882433187286</v>
      </c>
      <c r="DG174" s="644">
        <f t="shared" si="374"/>
        <v>0</v>
      </c>
      <c r="DH174" s="645">
        <f t="shared" si="375"/>
        <v>16843.882433187286</v>
      </c>
      <c r="DI174" s="646">
        <f t="shared" si="376"/>
        <v>0</v>
      </c>
      <c r="DJ174" s="647">
        <f t="shared" si="293"/>
        <v>16843.882433187286</v>
      </c>
      <c r="DK174" s="644">
        <f t="shared" si="377"/>
        <v>0</v>
      </c>
      <c r="DL174" s="645">
        <f t="shared" si="378"/>
        <v>16843.882433187286</v>
      </c>
      <c r="DM174" s="646">
        <f t="shared" si="379"/>
        <v>0</v>
      </c>
      <c r="DN174" s="647">
        <f t="shared" si="294"/>
        <v>16843.882433187286</v>
      </c>
      <c r="DR174" s="827">
        <f t="shared" si="295"/>
        <v>99745.611984121846</v>
      </c>
      <c r="DV174" s="828">
        <f>IFERROR(VLOOKUP($B174,'Afton FY16 Final'!$A$5:$BV$587,'Afton FY16 Final'!$BV$587,0),0)</f>
        <v>80661.481701684461</v>
      </c>
      <c r="DX174" s="636">
        <f t="shared" si="260"/>
        <v>99745.611984121846</v>
      </c>
      <c r="DY174" s="637">
        <f t="shared" si="261"/>
        <v>19084.130282437385</v>
      </c>
      <c r="DZ174" s="637">
        <f t="shared" si="262"/>
        <v>80661.481701684461</v>
      </c>
      <c r="EA174" s="643">
        <f t="shared" si="263"/>
        <v>94440.26331563342</v>
      </c>
      <c r="EB174" s="637">
        <f t="shared" si="296"/>
        <v>0</v>
      </c>
      <c r="EC174" s="637">
        <f t="shared" si="297"/>
        <v>94440.26331563342</v>
      </c>
      <c r="ED174" s="637">
        <f t="shared" si="298"/>
        <v>94158.648089239578</v>
      </c>
      <c r="EE174" s="643">
        <f t="shared" si="299"/>
        <v>94158.648089239578</v>
      </c>
      <c r="EF174" s="637">
        <f t="shared" si="300"/>
        <v>0</v>
      </c>
      <c r="EG174" s="637">
        <f t="shared" si="301"/>
        <v>94158.648089239578</v>
      </c>
      <c r="EH174" s="637">
        <f t="shared" si="302"/>
        <v>94158.550949437631</v>
      </c>
      <c r="EI174" s="643">
        <f t="shared" si="303"/>
        <v>94158.550949437631</v>
      </c>
      <c r="EJ174" s="637">
        <f t="shared" si="304"/>
        <v>0</v>
      </c>
      <c r="EK174" s="637">
        <f t="shared" si="305"/>
        <v>94158.550949437631</v>
      </c>
      <c r="EL174" s="637">
        <f t="shared" si="306"/>
        <v>94158.5509494375</v>
      </c>
      <c r="EM174" s="643">
        <f t="shared" si="307"/>
        <v>94158.5509494375</v>
      </c>
      <c r="EN174" s="637">
        <f t="shared" si="308"/>
        <v>0</v>
      </c>
      <c r="EO174" s="637">
        <f t="shared" si="309"/>
        <v>94158.5509494375</v>
      </c>
      <c r="EP174" s="637">
        <f t="shared" si="310"/>
        <v>94158.550949437646</v>
      </c>
      <c r="EQ174" s="643">
        <f t="shared" si="311"/>
        <v>94158.550949437646</v>
      </c>
      <c r="ER174" s="637">
        <f t="shared" si="312"/>
        <v>0</v>
      </c>
      <c r="ES174" s="637">
        <f t="shared" si="313"/>
        <v>94158.550949437646</v>
      </c>
      <c r="ET174" s="637">
        <f t="shared" si="314"/>
        <v>94158.5509494375</v>
      </c>
      <c r="EU174" s="643">
        <f t="shared" si="264"/>
        <v>94158.5509494375</v>
      </c>
      <c r="EV174" s="643">
        <f t="shared" si="265"/>
        <v>0</v>
      </c>
      <c r="EX174" s="829">
        <f t="shared" si="266"/>
        <v>5587.0610346843459</v>
      </c>
      <c r="EY174" s="638">
        <f t="shared" si="267"/>
        <v>94158.5509494375</v>
      </c>
      <c r="FC174" s="830" t="str">
        <f t="shared" si="315"/>
        <v>Y</v>
      </c>
      <c r="FE174" s="830" t="str">
        <f>IFERROR(VLOOKUP($B174,'Historical Conc Grant Elig'!$B$3:$J$707,'HH &amp; SI'!FE$2,0),"N")</f>
        <v>Y</v>
      </c>
      <c r="FF174" s="830" t="str">
        <f>IFERROR(VLOOKUP($B174,'Historical Conc Grant Elig'!$B$3:$J$707,'HH &amp; SI'!FF$2,0),"N")</f>
        <v>Y</v>
      </c>
      <c r="FG174" s="830" t="str">
        <f>IFERROR(VLOOKUP($B174,'Historical Conc Grant Elig'!$B$3:$J$707,'HH &amp; SI'!FG$2,0),"N")</f>
        <v>Y</v>
      </c>
      <c r="FH174" s="830" t="str">
        <f>IFERROR(VLOOKUP($B174,'Historical Conc Grant Elig'!$B$3:$J$707,'HH &amp; SI'!FH$2,0),"N")</f>
        <v>Y</v>
      </c>
      <c r="FI174" s="830" t="str">
        <f>IFERROR(VLOOKUP($B174,'Historical Conc Grant Elig'!$B$3:$J$707,'HH &amp; SI'!FI$2,0),"N")</f>
        <v>Y</v>
      </c>
      <c r="FJ174" s="830" t="str">
        <f>IFERROR(VLOOKUP($B174,'Historical Conc Grant Elig'!$B$3:$J$707,'HH &amp; SI'!FJ$2,0),"N")</f>
        <v>Y</v>
      </c>
      <c r="FK174" s="830" t="str">
        <f>IFERROR(VLOOKUP($B174,'Historical Conc Grant Elig'!$B$3:$J$707,'HH &amp; SI'!FK$2,0),"N")</f>
        <v>Y</v>
      </c>
      <c r="FL174" s="957" t="str">
        <f>IFERROR(VLOOKUP($B174,'Historical Conc Grant Elig'!$B$3:$J$707,'HH &amp; SI'!FL$2,0),"N")</f>
        <v>Y</v>
      </c>
    </row>
    <row r="175" spans="2:168" x14ac:dyDescent="0.25">
      <c r="B175" s="634">
        <v>78517000</v>
      </c>
      <c r="C175" s="635" t="str">
        <f>VLOOKUP($B175,'Afton Update'!$A$5:$CR$582,'Afton Update'!D$589,0)</f>
        <v xml:space="preserve">American Charter Schools Foundation d.b.a. South Ridge High </v>
      </c>
      <c r="D175" s="636">
        <f>IFERROR(VLOOKUP($B175,'Afton FY16 Final'!$A$5:$BV$587,'Afton FY16 Final'!AQ$587,0),0)</f>
        <v>87452.163636624391</v>
      </c>
      <c r="E175" s="637">
        <f>IFERROR(VLOOKUP($B175,'Afton FY16 Final'!$A$5:$BV$587,'Afton FY16 Final'!AR$587,0),0)</f>
        <v>19580.575519381586</v>
      </c>
      <c r="F175" s="637">
        <f>IFERROR(VLOOKUP($B175,'Afton FY16 Final'!$A$5:$BV$587,'Afton FY16 Final'!AS$587,0),0)</f>
        <v>47237.188057392523</v>
      </c>
      <c r="G175" s="637">
        <f>IFERROR(VLOOKUP($B175,'Afton FY16 Final'!$A$5:$BV$587,'Afton FY16 Final'!AT$587,0),0)</f>
        <v>43542.176951848211</v>
      </c>
      <c r="H175" s="638">
        <f>IFERROR(VLOOKUP($B175,'Afton FY16 Final'!$A$5:$BV$587,'Afton FY16 Final'!AU$587,0),0)</f>
        <v>197812.10416524671</v>
      </c>
      <c r="I175" s="639" t="str">
        <f>VLOOKUP($B175,'Afton Update'!$A$5:$CR$582,'Afton Update'!BT$589,0)</f>
        <v>Y</v>
      </c>
      <c r="J175" s="640" t="str">
        <f>VLOOKUP($B175,'Afton Update'!$A$5:$CR$582,'Afton Update'!BU$589,0)</f>
        <v>Y</v>
      </c>
      <c r="K175" s="640" t="str">
        <f>VLOOKUP($B175,'Afton Update'!$A$5:$CR$582,'Afton Update'!BV$589,0)</f>
        <v>Y</v>
      </c>
      <c r="L175" s="641" t="str">
        <f>VLOOKUP($B175,'Afton Update'!$A$5:$CR$582,'Afton Update'!BW$589,0)</f>
        <v>Y</v>
      </c>
      <c r="N175" s="642">
        <f>VLOOKUP($B175,'Afton Update'!$A$5:$CR$582,'Afton Update'!CB$589,0)</f>
        <v>0.95</v>
      </c>
      <c r="P175" s="636">
        <f>VLOOKUP($B175,'Afton Update'!$A$5:$CR$582,'Afton Update'!AH$589,0)</f>
        <v>64814.971608817119</v>
      </c>
      <c r="Q175" s="637">
        <f>VLOOKUP($B175,'Afton Update'!$A$5:$CR$582,'Afton Update'!AI$589,0)</f>
        <v>15534.453280601303</v>
      </c>
      <c r="R175" s="637">
        <f>VLOOKUP($B175,'Afton Update'!$A$5:$CR$582,'Afton Update'!AJ$589,0)</f>
        <v>37959.079842572144</v>
      </c>
      <c r="S175" s="637">
        <f>VLOOKUP($B175,'Afton Update'!$A$5:$CR$582,'Afton Update'!AK$589,0)</f>
        <v>35334.917047377021</v>
      </c>
      <c r="T175" s="643">
        <f t="shared" si="268"/>
        <v>153643.42177936761</v>
      </c>
      <c r="V175" s="636">
        <f t="shared" si="316"/>
        <v>83079.555454793168</v>
      </c>
      <c r="W175" s="637">
        <f t="shared" si="317"/>
        <v>18601.546743412506</v>
      </c>
      <c r="X175" s="637">
        <f t="shared" si="318"/>
        <v>44875.328654522891</v>
      </c>
      <c r="Y175" s="637">
        <f t="shared" si="319"/>
        <v>41365.068104255799</v>
      </c>
      <c r="Z175" s="643">
        <f t="shared" si="320"/>
        <v>187921.49895698435</v>
      </c>
      <c r="AB175" s="644">
        <f t="shared" si="269"/>
        <v>64814.971608817119</v>
      </c>
      <c r="AC175" s="645">
        <f t="shared" si="257"/>
        <v>83079.555454793168</v>
      </c>
      <c r="AD175" s="644">
        <f t="shared" si="321"/>
        <v>18264.583845976049</v>
      </c>
      <c r="AE175" s="645">
        <f t="shared" si="322"/>
        <v>0</v>
      </c>
      <c r="AF175" s="646">
        <f t="shared" si="323"/>
        <v>0</v>
      </c>
      <c r="AG175" s="647">
        <f t="shared" si="324"/>
        <v>83079.555454793168</v>
      </c>
      <c r="AH175" s="644">
        <f t="shared" si="270"/>
        <v>0</v>
      </c>
      <c r="AI175" s="645">
        <f t="shared" si="271"/>
        <v>0</v>
      </c>
      <c r="AJ175" s="646">
        <f t="shared" si="325"/>
        <v>0</v>
      </c>
      <c r="AK175" s="647">
        <f t="shared" si="272"/>
        <v>83079.555454793168</v>
      </c>
      <c r="AL175" s="644">
        <f t="shared" si="326"/>
        <v>0</v>
      </c>
      <c r="AM175" s="645">
        <f t="shared" si="327"/>
        <v>0</v>
      </c>
      <c r="AN175" s="646">
        <f t="shared" si="328"/>
        <v>0</v>
      </c>
      <c r="AO175" s="647">
        <f t="shared" si="273"/>
        <v>83079.555454793168</v>
      </c>
      <c r="AP175" s="644">
        <f t="shared" si="329"/>
        <v>0</v>
      </c>
      <c r="AQ175" s="645">
        <f t="shared" si="330"/>
        <v>0</v>
      </c>
      <c r="AR175" s="646">
        <f t="shared" si="331"/>
        <v>0</v>
      </c>
      <c r="AS175" s="647">
        <f t="shared" si="274"/>
        <v>83079.555454793168</v>
      </c>
      <c r="AT175" s="644">
        <f t="shared" si="332"/>
        <v>0</v>
      </c>
      <c r="AU175" s="645">
        <f t="shared" si="333"/>
        <v>0</v>
      </c>
      <c r="AV175" s="646">
        <f t="shared" si="334"/>
        <v>0</v>
      </c>
      <c r="AW175" s="647">
        <f t="shared" si="275"/>
        <v>83079.555454793168</v>
      </c>
      <c r="AY175" s="644">
        <f t="shared" si="335"/>
        <v>15534.453280601303</v>
      </c>
      <c r="AZ175" s="645">
        <f t="shared" si="276"/>
        <v>18601.546743412506</v>
      </c>
      <c r="BA175" s="644">
        <f t="shared" si="336"/>
        <v>3067.0934628112027</v>
      </c>
      <c r="BB175" s="645">
        <f t="shared" si="337"/>
        <v>0</v>
      </c>
      <c r="BC175" s="646">
        <f t="shared" si="338"/>
        <v>0</v>
      </c>
      <c r="BD175" s="647">
        <f t="shared" si="339"/>
        <v>18601.546743412506</v>
      </c>
      <c r="BE175" s="644">
        <f t="shared" si="277"/>
        <v>0</v>
      </c>
      <c r="BF175" s="645">
        <f t="shared" si="278"/>
        <v>0</v>
      </c>
      <c r="BG175" s="646">
        <f t="shared" si="340"/>
        <v>0</v>
      </c>
      <c r="BH175" s="647">
        <f t="shared" si="279"/>
        <v>18601.546743412506</v>
      </c>
      <c r="BI175" s="644">
        <f t="shared" si="341"/>
        <v>0</v>
      </c>
      <c r="BJ175" s="645">
        <f t="shared" si="342"/>
        <v>0</v>
      </c>
      <c r="BK175" s="646">
        <f t="shared" si="343"/>
        <v>0</v>
      </c>
      <c r="BL175" s="647">
        <f t="shared" si="280"/>
        <v>18601.546743412506</v>
      </c>
      <c r="BM175" s="644">
        <f t="shared" si="344"/>
        <v>0</v>
      </c>
      <c r="BN175" s="645">
        <f t="shared" si="345"/>
        <v>0</v>
      </c>
      <c r="BO175" s="646">
        <f t="shared" si="346"/>
        <v>0</v>
      </c>
      <c r="BP175" s="647">
        <f t="shared" si="281"/>
        <v>18601.546743412506</v>
      </c>
      <c r="BQ175" s="644">
        <f t="shared" si="347"/>
        <v>0</v>
      </c>
      <c r="BR175" s="645">
        <f t="shared" si="348"/>
        <v>0</v>
      </c>
      <c r="BS175" s="646">
        <f t="shared" si="349"/>
        <v>0</v>
      </c>
      <c r="BT175" s="647">
        <f t="shared" si="282"/>
        <v>18601.546743412506</v>
      </c>
      <c r="BU175" s="662">
        <f>VLOOKUP(B175,'Afton Update'!$A$5:$AR$582,'Afton Update'!$AO$589,0)-BT175</f>
        <v>0</v>
      </c>
      <c r="BV175" s="644">
        <f t="shared" si="350"/>
        <v>37959.079842572144</v>
      </c>
      <c r="BW175" s="645">
        <f t="shared" si="258"/>
        <v>44875.328654522891</v>
      </c>
      <c r="BX175" s="644">
        <f t="shared" si="351"/>
        <v>6916.248811950747</v>
      </c>
      <c r="BY175" s="645">
        <f t="shared" si="352"/>
        <v>0</v>
      </c>
      <c r="BZ175" s="646">
        <f t="shared" si="353"/>
        <v>0</v>
      </c>
      <c r="CA175" s="647">
        <f t="shared" si="354"/>
        <v>44875.328654522891</v>
      </c>
      <c r="CB175" s="644">
        <f t="shared" si="283"/>
        <v>0</v>
      </c>
      <c r="CC175" s="645">
        <f t="shared" si="284"/>
        <v>0</v>
      </c>
      <c r="CD175" s="646">
        <f t="shared" si="355"/>
        <v>0</v>
      </c>
      <c r="CE175" s="647">
        <f t="shared" si="285"/>
        <v>44875.328654522891</v>
      </c>
      <c r="CF175" s="644">
        <f t="shared" si="356"/>
        <v>0</v>
      </c>
      <c r="CG175" s="645">
        <f t="shared" si="357"/>
        <v>0</v>
      </c>
      <c r="CH175" s="646">
        <f t="shared" si="358"/>
        <v>0</v>
      </c>
      <c r="CI175" s="647">
        <f t="shared" si="286"/>
        <v>44875.328654522891</v>
      </c>
      <c r="CJ175" s="644">
        <f t="shared" si="359"/>
        <v>0</v>
      </c>
      <c r="CK175" s="645">
        <f t="shared" si="360"/>
        <v>0</v>
      </c>
      <c r="CL175" s="646">
        <f t="shared" si="361"/>
        <v>0</v>
      </c>
      <c r="CM175" s="647">
        <f t="shared" si="287"/>
        <v>44875.328654522891</v>
      </c>
      <c r="CN175" s="644">
        <f t="shared" si="362"/>
        <v>0</v>
      </c>
      <c r="CO175" s="645">
        <f t="shared" si="363"/>
        <v>0</v>
      </c>
      <c r="CP175" s="646">
        <f t="shared" si="364"/>
        <v>0</v>
      </c>
      <c r="CQ175" s="647">
        <f t="shared" si="288"/>
        <v>44875.328654522891</v>
      </c>
      <c r="CS175" s="644">
        <f t="shared" si="365"/>
        <v>35334.917047377021</v>
      </c>
      <c r="CT175" s="645">
        <f t="shared" si="259"/>
        <v>41365.068104255799</v>
      </c>
      <c r="CU175" s="644">
        <f t="shared" si="366"/>
        <v>6030.151056878778</v>
      </c>
      <c r="CV175" s="645">
        <f t="shared" si="367"/>
        <v>0</v>
      </c>
      <c r="CW175" s="646">
        <f t="shared" si="368"/>
        <v>0</v>
      </c>
      <c r="CX175" s="647">
        <f t="shared" si="369"/>
        <v>41365.068104255799</v>
      </c>
      <c r="CY175" s="644">
        <f t="shared" si="289"/>
        <v>0</v>
      </c>
      <c r="CZ175" s="645">
        <f t="shared" si="290"/>
        <v>0</v>
      </c>
      <c r="DA175" s="646">
        <f t="shared" si="370"/>
        <v>0</v>
      </c>
      <c r="DB175" s="647">
        <f t="shared" si="291"/>
        <v>41365.068104255799</v>
      </c>
      <c r="DC175" s="644">
        <f t="shared" si="371"/>
        <v>0</v>
      </c>
      <c r="DD175" s="645">
        <f t="shared" si="372"/>
        <v>0</v>
      </c>
      <c r="DE175" s="646">
        <f t="shared" si="373"/>
        <v>0</v>
      </c>
      <c r="DF175" s="647">
        <f t="shared" si="292"/>
        <v>41365.068104255799</v>
      </c>
      <c r="DG175" s="644">
        <f t="shared" si="374"/>
        <v>0</v>
      </c>
      <c r="DH175" s="645">
        <f t="shared" si="375"/>
        <v>0</v>
      </c>
      <c r="DI175" s="646">
        <f t="shared" si="376"/>
        <v>0</v>
      </c>
      <c r="DJ175" s="647">
        <f t="shared" si="293"/>
        <v>41365.068104255799</v>
      </c>
      <c r="DK175" s="644">
        <f t="shared" si="377"/>
        <v>0</v>
      </c>
      <c r="DL175" s="645">
        <f t="shared" si="378"/>
        <v>0</v>
      </c>
      <c r="DM175" s="646">
        <f t="shared" si="379"/>
        <v>0</v>
      </c>
      <c r="DN175" s="647">
        <f t="shared" si="294"/>
        <v>41365.068104255799</v>
      </c>
      <c r="DR175" s="827">
        <f t="shared" si="295"/>
        <v>187921.49895698435</v>
      </c>
      <c r="DV175" s="828">
        <f>IFERROR(VLOOKUP($B175,'Afton FY16 Final'!$A$5:$BV$587,'Afton FY16 Final'!$BV$587,0),0)</f>
        <v>193917.18386699245</v>
      </c>
      <c r="DX175" s="636">
        <f t="shared" si="260"/>
        <v>0</v>
      </c>
      <c r="DY175" s="637">
        <f t="shared" si="261"/>
        <v>0</v>
      </c>
      <c r="DZ175" s="637">
        <f t="shared" si="262"/>
        <v>0</v>
      </c>
      <c r="EA175" s="643">
        <f t="shared" si="263"/>
        <v>0</v>
      </c>
      <c r="EB175" s="637">
        <f t="shared" si="296"/>
        <v>0</v>
      </c>
      <c r="EC175" s="637">
        <f t="shared" si="297"/>
        <v>0</v>
      </c>
      <c r="ED175" s="637">
        <f t="shared" si="298"/>
        <v>0</v>
      </c>
      <c r="EE175" s="643">
        <f t="shared" si="299"/>
        <v>0</v>
      </c>
      <c r="EF175" s="637">
        <f t="shared" si="300"/>
        <v>0</v>
      </c>
      <c r="EG175" s="637">
        <f t="shared" si="301"/>
        <v>0</v>
      </c>
      <c r="EH175" s="637">
        <f t="shared" si="302"/>
        <v>0</v>
      </c>
      <c r="EI175" s="643">
        <f t="shared" si="303"/>
        <v>0</v>
      </c>
      <c r="EJ175" s="637">
        <f t="shared" si="304"/>
        <v>0</v>
      </c>
      <c r="EK175" s="637">
        <f t="shared" si="305"/>
        <v>0</v>
      </c>
      <c r="EL175" s="637">
        <f t="shared" si="306"/>
        <v>0</v>
      </c>
      <c r="EM175" s="643">
        <f t="shared" si="307"/>
        <v>0</v>
      </c>
      <c r="EN175" s="637">
        <f t="shared" si="308"/>
        <v>0</v>
      </c>
      <c r="EO175" s="637">
        <f t="shared" si="309"/>
        <v>0</v>
      </c>
      <c r="EP175" s="637">
        <f t="shared" si="310"/>
        <v>0</v>
      </c>
      <c r="EQ175" s="643">
        <f t="shared" si="311"/>
        <v>0</v>
      </c>
      <c r="ER175" s="637">
        <f t="shared" si="312"/>
        <v>0</v>
      </c>
      <c r="ES175" s="637">
        <f t="shared" si="313"/>
        <v>0</v>
      </c>
      <c r="ET175" s="637">
        <f t="shared" si="314"/>
        <v>0</v>
      </c>
      <c r="EU175" s="643">
        <f t="shared" si="264"/>
        <v>0</v>
      </c>
      <c r="EV175" s="643">
        <f t="shared" si="265"/>
        <v>0</v>
      </c>
      <c r="EX175" s="829">
        <f t="shared" si="266"/>
        <v>0</v>
      </c>
      <c r="EY175" s="638">
        <f t="shared" si="267"/>
        <v>187921.49895698435</v>
      </c>
      <c r="FC175" s="830" t="str">
        <f t="shared" si="315"/>
        <v>Y</v>
      </c>
      <c r="FE175" s="830" t="str">
        <f>IFERROR(VLOOKUP($B175,'Historical Conc Grant Elig'!$B$3:$J$707,'HH &amp; SI'!FE$2,0),"N")</f>
        <v>Y</v>
      </c>
      <c r="FF175" s="830" t="str">
        <f>IFERROR(VLOOKUP($B175,'Historical Conc Grant Elig'!$B$3:$J$707,'HH &amp; SI'!FF$2,0),"N")</f>
        <v>Y</v>
      </c>
      <c r="FG175" s="830" t="str">
        <f>IFERROR(VLOOKUP($B175,'Historical Conc Grant Elig'!$B$3:$J$707,'HH &amp; SI'!FG$2,0),"N")</f>
        <v>Y</v>
      </c>
      <c r="FH175" s="830" t="str">
        <f>IFERROR(VLOOKUP($B175,'Historical Conc Grant Elig'!$B$3:$J$707,'HH &amp; SI'!FH$2,0),"N")</f>
        <v>Y</v>
      </c>
      <c r="FI175" s="830" t="str">
        <f>IFERROR(VLOOKUP($B175,'Historical Conc Grant Elig'!$B$3:$J$707,'HH &amp; SI'!FI$2,0),"N")</f>
        <v>Y</v>
      </c>
      <c r="FJ175" s="830" t="str">
        <f>IFERROR(VLOOKUP($B175,'Historical Conc Grant Elig'!$B$3:$J$707,'HH &amp; SI'!FJ$2,0),"N")</f>
        <v>Y</v>
      </c>
      <c r="FK175" s="830" t="str">
        <f>IFERROR(VLOOKUP($B175,'Historical Conc Grant Elig'!$B$3:$J$707,'HH &amp; SI'!FK$2,0),"N")</f>
        <v>Y</v>
      </c>
      <c r="FL175" s="957" t="str">
        <f>IFERROR(VLOOKUP($B175,'Historical Conc Grant Elig'!$B$3:$J$707,'HH &amp; SI'!FL$2,0),"N")</f>
        <v>Y</v>
      </c>
    </row>
    <row r="176" spans="2:168" x14ac:dyDescent="0.25">
      <c r="B176" s="634">
        <v>78518000</v>
      </c>
      <c r="C176" s="635" t="str">
        <f>VLOOKUP($B176,'Afton Update'!$A$5:$CR$582,'Afton Update'!D$589,0)</f>
        <v>Legacy Traditional Charter School â€“ Maricopa</v>
      </c>
      <c r="D176" s="636">
        <f>IFERROR(VLOOKUP($B176,'Afton FY16 Final'!$A$5:$BV$587,'Afton FY16 Final'!AQ$587,0),0)</f>
        <v>193738.04976989841</v>
      </c>
      <c r="E176" s="637">
        <f>IFERROR(VLOOKUP($B176,'Afton FY16 Final'!$A$5:$BV$587,'Afton FY16 Final'!AR$587,0),0)</f>
        <v>37059.86426190858</v>
      </c>
      <c r="F176" s="637">
        <f>IFERROR(VLOOKUP($B176,'Afton FY16 Final'!$A$5:$BV$587,'Afton FY16 Final'!AS$587,0),0)</f>
        <v>97194.799399586816</v>
      </c>
      <c r="G176" s="637">
        <f>IFERROR(VLOOKUP($B176,'Afton FY16 Final'!$A$5:$BV$587,'Afton FY16 Final'!AT$587,0),0)</f>
        <v>91209.987119845522</v>
      </c>
      <c r="H176" s="638">
        <f>IFERROR(VLOOKUP($B176,'Afton FY16 Final'!$A$5:$BV$587,'Afton FY16 Final'!AU$587,0),0)</f>
        <v>419202.70055123931</v>
      </c>
      <c r="I176" s="639" t="str">
        <f>VLOOKUP($B176,'Afton Update'!$A$5:$CR$582,'Afton Update'!BT$589,0)</f>
        <v>Y</v>
      </c>
      <c r="J176" s="640" t="str">
        <f>VLOOKUP($B176,'Afton Update'!$A$5:$CR$582,'Afton Update'!BU$589,0)</f>
        <v>Y</v>
      </c>
      <c r="K176" s="640" t="str">
        <f>VLOOKUP($B176,'Afton Update'!$A$5:$CR$582,'Afton Update'!BV$589,0)</f>
        <v>Y</v>
      </c>
      <c r="L176" s="641" t="str">
        <f>VLOOKUP($B176,'Afton Update'!$A$5:$CR$582,'Afton Update'!BW$589,0)</f>
        <v>Y</v>
      </c>
      <c r="N176" s="642">
        <f>VLOOKUP($B176,'Afton Update'!$A$5:$CR$582,'Afton Update'!CB$589,0)</f>
        <v>0.9</v>
      </c>
      <c r="P176" s="636">
        <f>VLOOKUP($B176,'Afton Update'!$A$5:$CR$582,'Afton Update'!AH$589,0)</f>
        <v>106449.64404834541</v>
      </c>
      <c r="Q176" s="637">
        <f>VLOOKUP($B176,'Afton Update'!$A$5:$CR$582,'Afton Update'!AI$589,0)</f>
        <v>26857.463863834531</v>
      </c>
      <c r="R176" s="637">
        <f>VLOOKUP($B176,'Afton Update'!$A$5:$CR$582,'Afton Update'!AJ$589,0)</f>
        <v>45363.055104221341</v>
      </c>
      <c r="S176" s="637">
        <f>VLOOKUP($B176,'Afton Update'!$A$5:$CR$582,'Afton Update'!AK$589,0)</f>
        <v>37499.279525220722</v>
      </c>
      <c r="T176" s="643">
        <f t="shared" si="268"/>
        <v>216169.44254162197</v>
      </c>
      <c r="V176" s="636">
        <f t="shared" si="316"/>
        <v>174364.24479290858</v>
      </c>
      <c r="W176" s="637">
        <f t="shared" si="317"/>
        <v>33353.877835717722</v>
      </c>
      <c r="X176" s="637">
        <f t="shared" si="318"/>
        <v>87475.319459628139</v>
      </c>
      <c r="Y176" s="637">
        <f t="shared" si="319"/>
        <v>82088.988407860976</v>
      </c>
      <c r="Z176" s="643">
        <f t="shared" si="320"/>
        <v>377282.43049611541</v>
      </c>
      <c r="AB176" s="644">
        <f t="shared" si="269"/>
        <v>106449.64404834541</v>
      </c>
      <c r="AC176" s="645">
        <f t="shared" si="257"/>
        <v>174364.24479290858</v>
      </c>
      <c r="AD176" s="644">
        <f t="shared" si="321"/>
        <v>67914.600744563169</v>
      </c>
      <c r="AE176" s="645">
        <f t="shared" si="322"/>
        <v>0</v>
      </c>
      <c r="AF176" s="646">
        <f t="shared" si="323"/>
        <v>0</v>
      </c>
      <c r="AG176" s="647">
        <f t="shared" si="324"/>
        <v>174364.24479290858</v>
      </c>
      <c r="AH176" s="644">
        <f t="shared" si="270"/>
        <v>0</v>
      </c>
      <c r="AI176" s="645">
        <f t="shared" si="271"/>
        <v>0</v>
      </c>
      <c r="AJ176" s="646">
        <f t="shared" si="325"/>
        <v>0</v>
      </c>
      <c r="AK176" s="647">
        <f t="shared" si="272"/>
        <v>174364.24479290858</v>
      </c>
      <c r="AL176" s="644">
        <f t="shared" si="326"/>
        <v>0</v>
      </c>
      <c r="AM176" s="645">
        <f t="shared" si="327"/>
        <v>0</v>
      </c>
      <c r="AN176" s="646">
        <f t="shared" si="328"/>
        <v>0</v>
      </c>
      <c r="AO176" s="647">
        <f t="shared" si="273"/>
        <v>174364.24479290858</v>
      </c>
      <c r="AP176" s="644">
        <f t="shared" si="329"/>
        <v>0</v>
      </c>
      <c r="AQ176" s="645">
        <f t="shared" si="330"/>
        <v>0</v>
      </c>
      <c r="AR176" s="646">
        <f t="shared" si="331"/>
        <v>0</v>
      </c>
      <c r="AS176" s="647">
        <f t="shared" si="274"/>
        <v>174364.24479290858</v>
      </c>
      <c r="AT176" s="644">
        <f t="shared" si="332"/>
        <v>0</v>
      </c>
      <c r="AU176" s="645">
        <f t="shared" si="333"/>
        <v>0</v>
      </c>
      <c r="AV176" s="646">
        <f t="shared" si="334"/>
        <v>0</v>
      </c>
      <c r="AW176" s="647">
        <f t="shared" si="275"/>
        <v>174364.24479290858</v>
      </c>
      <c r="AY176" s="644">
        <f t="shared" si="335"/>
        <v>26857.463863834531</v>
      </c>
      <c r="AZ176" s="645">
        <f t="shared" si="276"/>
        <v>33353.877835717722</v>
      </c>
      <c r="BA176" s="644">
        <f t="shared" si="336"/>
        <v>6496.4139718831902</v>
      </c>
      <c r="BB176" s="645">
        <f t="shared" si="337"/>
        <v>0</v>
      </c>
      <c r="BC176" s="646">
        <f t="shared" si="338"/>
        <v>0</v>
      </c>
      <c r="BD176" s="647">
        <f t="shared" si="339"/>
        <v>33353.877835717722</v>
      </c>
      <c r="BE176" s="644">
        <f t="shared" si="277"/>
        <v>0</v>
      </c>
      <c r="BF176" s="645">
        <f t="shared" si="278"/>
        <v>0</v>
      </c>
      <c r="BG176" s="646">
        <f t="shared" si="340"/>
        <v>0</v>
      </c>
      <c r="BH176" s="647">
        <f t="shared" si="279"/>
        <v>33353.877835717722</v>
      </c>
      <c r="BI176" s="644">
        <f t="shared" si="341"/>
        <v>0</v>
      </c>
      <c r="BJ176" s="645">
        <f t="shared" si="342"/>
        <v>0</v>
      </c>
      <c r="BK176" s="646">
        <f t="shared" si="343"/>
        <v>0</v>
      </c>
      <c r="BL176" s="647">
        <f t="shared" si="280"/>
        <v>33353.877835717722</v>
      </c>
      <c r="BM176" s="644">
        <f t="shared" si="344"/>
        <v>0</v>
      </c>
      <c r="BN176" s="645">
        <f t="shared" si="345"/>
        <v>0</v>
      </c>
      <c r="BO176" s="646">
        <f t="shared" si="346"/>
        <v>0</v>
      </c>
      <c r="BP176" s="647">
        <f t="shared" si="281"/>
        <v>33353.877835717722</v>
      </c>
      <c r="BQ176" s="644">
        <f t="shared" si="347"/>
        <v>0</v>
      </c>
      <c r="BR176" s="645">
        <f t="shared" si="348"/>
        <v>0</v>
      </c>
      <c r="BS176" s="646">
        <f t="shared" si="349"/>
        <v>0</v>
      </c>
      <c r="BT176" s="647">
        <f t="shared" si="282"/>
        <v>33353.877835717722</v>
      </c>
      <c r="BU176" s="662">
        <f>VLOOKUP(B176,'Afton Update'!$A$5:$AR$582,'Afton Update'!$AO$589,0)-BT176</f>
        <v>0</v>
      </c>
      <c r="BV176" s="644">
        <f t="shared" si="350"/>
        <v>45363.055104221341</v>
      </c>
      <c r="BW176" s="645">
        <f t="shared" si="258"/>
        <v>87475.319459628139</v>
      </c>
      <c r="BX176" s="644">
        <f t="shared" si="351"/>
        <v>42112.264355406798</v>
      </c>
      <c r="BY176" s="645">
        <f t="shared" si="352"/>
        <v>0</v>
      </c>
      <c r="BZ176" s="646">
        <f t="shared" si="353"/>
        <v>0</v>
      </c>
      <c r="CA176" s="647">
        <f t="shared" si="354"/>
        <v>87475.319459628139</v>
      </c>
      <c r="CB176" s="644">
        <f t="shared" si="283"/>
        <v>0</v>
      </c>
      <c r="CC176" s="645">
        <f t="shared" si="284"/>
        <v>0</v>
      </c>
      <c r="CD176" s="646">
        <f t="shared" si="355"/>
        <v>0</v>
      </c>
      <c r="CE176" s="647">
        <f t="shared" si="285"/>
        <v>87475.319459628139</v>
      </c>
      <c r="CF176" s="644">
        <f t="shared" si="356"/>
        <v>0</v>
      </c>
      <c r="CG176" s="645">
        <f t="shared" si="357"/>
        <v>0</v>
      </c>
      <c r="CH176" s="646">
        <f t="shared" si="358"/>
        <v>0</v>
      </c>
      <c r="CI176" s="647">
        <f t="shared" si="286"/>
        <v>87475.319459628139</v>
      </c>
      <c r="CJ176" s="644">
        <f t="shared" si="359"/>
        <v>0</v>
      </c>
      <c r="CK176" s="645">
        <f t="shared" si="360"/>
        <v>0</v>
      </c>
      <c r="CL176" s="646">
        <f t="shared" si="361"/>
        <v>0</v>
      </c>
      <c r="CM176" s="647">
        <f t="shared" si="287"/>
        <v>87475.319459628139</v>
      </c>
      <c r="CN176" s="644">
        <f t="shared" si="362"/>
        <v>0</v>
      </c>
      <c r="CO176" s="645">
        <f t="shared" si="363"/>
        <v>0</v>
      </c>
      <c r="CP176" s="646">
        <f t="shared" si="364"/>
        <v>0</v>
      </c>
      <c r="CQ176" s="647">
        <f t="shared" si="288"/>
        <v>87475.319459628139</v>
      </c>
      <c r="CS176" s="644">
        <f t="shared" si="365"/>
        <v>37499.279525220722</v>
      </c>
      <c r="CT176" s="645">
        <f t="shared" si="259"/>
        <v>82088.988407860976</v>
      </c>
      <c r="CU176" s="644">
        <f t="shared" si="366"/>
        <v>44589.708882640254</v>
      </c>
      <c r="CV176" s="645">
        <f t="shared" si="367"/>
        <v>0</v>
      </c>
      <c r="CW176" s="646">
        <f t="shared" si="368"/>
        <v>0</v>
      </c>
      <c r="CX176" s="647">
        <f t="shared" si="369"/>
        <v>82088.988407860976</v>
      </c>
      <c r="CY176" s="644">
        <f t="shared" si="289"/>
        <v>0</v>
      </c>
      <c r="CZ176" s="645">
        <f t="shared" si="290"/>
        <v>0</v>
      </c>
      <c r="DA176" s="646">
        <f t="shared" si="370"/>
        <v>0</v>
      </c>
      <c r="DB176" s="647">
        <f t="shared" si="291"/>
        <v>82088.988407860976</v>
      </c>
      <c r="DC176" s="644">
        <f t="shared" si="371"/>
        <v>0</v>
      </c>
      <c r="DD176" s="645">
        <f t="shared" si="372"/>
        <v>0</v>
      </c>
      <c r="DE176" s="646">
        <f t="shared" si="373"/>
        <v>0</v>
      </c>
      <c r="DF176" s="647">
        <f t="shared" si="292"/>
        <v>82088.988407860976</v>
      </c>
      <c r="DG176" s="644">
        <f t="shared" si="374"/>
        <v>0</v>
      </c>
      <c r="DH176" s="645">
        <f t="shared" si="375"/>
        <v>0</v>
      </c>
      <c r="DI176" s="646">
        <f t="shared" si="376"/>
        <v>0</v>
      </c>
      <c r="DJ176" s="647">
        <f t="shared" si="293"/>
        <v>82088.988407860976</v>
      </c>
      <c r="DK176" s="644">
        <f t="shared" si="377"/>
        <v>0</v>
      </c>
      <c r="DL176" s="645">
        <f t="shared" si="378"/>
        <v>0</v>
      </c>
      <c r="DM176" s="646">
        <f t="shared" si="379"/>
        <v>0</v>
      </c>
      <c r="DN176" s="647">
        <f t="shared" si="294"/>
        <v>82088.988407860976</v>
      </c>
      <c r="DR176" s="827">
        <f t="shared" si="295"/>
        <v>377282.43049611541</v>
      </c>
      <c r="DV176" s="828">
        <f>IFERROR(VLOOKUP($B176,'Afton FY16 Final'!$A$5:$BV$587,'Afton FY16 Final'!$BV$587,0),0)</f>
        <v>410948.59944680904</v>
      </c>
      <c r="DX176" s="636">
        <f t="shared" si="260"/>
        <v>0</v>
      </c>
      <c r="DY176" s="637">
        <f t="shared" si="261"/>
        <v>0</v>
      </c>
      <c r="DZ176" s="637">
        <f t="shared" si="262"/>
        <v>0</v>
      </c>
      <c r="EA176" s="643">
        <f t="shared" si="263"/>
        <v>0</v>
      </c>
      <c r="EB176" s="637">
        <f t="shared" si="296"/>
        <v>0</v>
      </c>
      <c r="EC176" s="637">
        <f t="shared" si="297"/>
        <v>0</v>
      </c>
      <c r="ED176" s="637">
        <f t="shared" si="298"/>
        <v>0</v>
      </c>
      <c r="EE176" s="643">
        <f t="shared" si="299"/>
        <v>0</v>
      </c>
      <c r="EF176" s="637">
        <f t="shared" si="300"/>
        <v>0</v>
      </c>
      <c r="EG176" s="637">
        <f t="shared" si="301"/>
        <v>0</v>
      </c>
      <c r="EH176" s="637">
        <f t="shared" si="302"/>
        <v>0</v>
      </c>
      <c r="EI176" s="643">
        <f t="shared" si="303"/>
        <v>0</v>
      </c>
      <c r="EJ176" s="637">
        <f t="shared" si="304"/>
        <v>0</v>
      </c>
      <c r="EK176" s="637">
        <f t="shared" si="305"/>
        <v>0</v>
      </c>
      <c r="EL176" s="637">
        <f t="shared" si="306"/>
        <v>0</v>
      </c>
      <c r="EM176" s="643">
        <f t="shared" si="307"/>
        <v>0</v>
      </c>
      <c r="EN176" s="637">
        <f t="shared" si="308"/>
        <v>0</v>
      </c>
      <c r="EO176" s="637">
        <f t="shared" si="309"/>
        <v>0</v>
      </c>
      <c r="EP176" s="637">
        <f t="shared" si="310"/>
        <v>0</v>
      </c>
      <c r="EQ176" s="643">
        <f t="shared" si="311"/>
        <v>0</v>
      </c>
      <c r="ER176" s="637">
        <f t="shared" si="312"/>
        <v>0</v>
      </c>
      <c r="ES176" s="637">
        <f t="shared" si="313"/>
        <v>0</v>
      </c>
      <c r="ET176" s="637">
        <f t="shared" si="314"/>
        <v>0</v>
      </c>
      <c r="EU176" s="643">
        <f t="shared" si="264"/>
        <v>0</v>
      </c>
      <c r="EV176" s="643">
        <f t="shared" si="265"/>
        <v>0</v>
      </c>
      <c r="EX176" s="829">
        <f t="shared" si="266"/>
        <v>0</v>
      </c>
      <c r="EY176" s="638">
        <f t="shared" si="267"/>
        <v>377282.43049611541</v>
      </c>
      <c r="FC176" s="830" t="str">
        <f t="shared" si="315"/>
        <v>Y</v>
      </c>
      <c r="FE176" s="830" t="str">
        <f>IFERROR(VLOOKUP($B176,'Historical Conc Grant Elig'!$B$3:$J$707,'HH &amp; SI'!FE$2,0),"N")</f>
        <v>N</v>
      </c>
      <c r="FF176" s="830" t="str">
        <f>IFERROR(VLOOKUP($B176,'Historical Conc Grant Elig'!$B$3:$J$707,'HH &amp; SI'!FF$2,0),"N")</f>
        <v>N</v>
      </c>
      <c r="FG176" s="830" t="str">
        <f>IFERROR(VLOOKUP($B176,'Historical Conc Grant Elig'!$B$3:$J$707,'HH &amp; SI'!FG$2,0),"N")</f>
        <v>N</v>
      </c>
      <c r="FH176" s="830" t="str">
        <f>IFERROR(VLOOKUP($B176,'Historical Conc Grant Elig'!$B$3:$J$707,'HH &amp; SI'!FH$2,0),"N")</f>
        <v>Y</v>
      </c>
      <c r="FI176" s="830" t="str">
        <f>IFERROR(VLOOKUP($B176,'Historical Conc Grant Elig'!$B$3:$J$707,'HH &amp; SI'!FI$2,0),"N")</f>
        <v>Y</v>
      </c>
      <c r="FJ176" s="830" t="str">
        <f>IFERROR(VLOOKUP($B176,'Historical Conc Grant Elig'!$B$3:$J$707,'HH &amp; SI'!FJ$2,0),"N")</f>
        <v>Y</v>
      </c>
      <c r="FK176" s="830" t="str">
        <f>IFERROR(VLOOKUP($B176,'Historical Conc Grant Elig'!$B$3:$J$707,'HH &amp; SI'!FK$2,0),"N")</f>
        <v>Y</v>
      </c>
      <c r="FL176" s="957" t="str">
        <f>IFERROR(VLOOKUP($B176,'Historical Conc Grant Elig'!$B$3:$J$707,'HH &amp; SI'!FL$2,0),"N")</f>
        <v>Y</v>
      </c>
    </row>
    <row r="177" spans="2:168" x14ac:dyDescent="0.25">
      <c r="B177" s="634">
        <v>78519000</v>
      </c>
      <c r="C177" s="635" t="str">
        <f>VLOOKUP($B177,'Afton Update'!$A$5:$CR$582,'Afton Update'!D$589,0)</f>
        <v>Imagine Charter Elementary at Camelback  Inc.</v>
      </c>
      <c r="D177" s="636">
        <f>IFERROR(VLOOKUP($B177,'Afton FY16 Final'!$A$5:$BV$587,'Afton FY16 Final'!AQ$587,0),0)</f>
        <v>118879.54315012938</v>
      </c>
      <c r="E177" s="637">
        <f>IFERROR(VLOOKUP($B177,'Afton FY16 Final'!$A$5:$BV$587,'Afton FY16 Final'!AR$587,0),0)</f>
        <v>24966.262164124135</v>
      </c>
      <c r="F177" s="637">
        <f>IFERROR(VLOOKUP($B177,'Afton FY16 Final'!$A$5:$BV$587,'Afton FY16 Final'!AS$587,0),0)</f>
        <v>63031.670678686598</v>
      </c>
      <c r="G177" s="637">
        <f>IFERROR(VLOOKUP($B177,'Afton FY16 Final'!$A$5:$BV$587,'Afton FY16 Final'!AT$587,0),0)</f>
        <v>60730.580817202906</v>
      </c>
      <c r="H177" s="638">
        <f>IFERROR(VLOOKUP($B177,'Afton FY16 Final'!$A$5:$BV$587,'Afton FY16 Final'!AU$587,0),0)</f>
        <v>267608.05681014305</v>
      </c>
      <c r="I177" s="639" t="str">
        <f>VLOOKUP($B177,'Afton Update'!$A$5:$CR$582,'Afton Update'!BT$589,0)</f>
        <v>Y</v>
      </c>
      <c r="J177" s="640" t="str">
        <f>VLOOKUP($B177,'Afton Update'!$A$5:$CR$582,'Afton Update'!BU$589,0)</f>
        <v>Y</v>
      </c>
      <c r="K177" s="640" t="str">
        <f>VLOOKUP($B177,'Afton Update'!$A$5:$CR$582,'Afton Update'!BV$589,0)</f>
        <v>Y</v>
      </c>
      <c r="L177" s="641" t="str">
        <f>VLOOKUP($B177,'Afton Update'!$A$5:$CR$582,'Afton Update'!BW$589,0)</f>
        <v>Y</v>
      </c>
      <c r="N177" s="642">
        <f>VLOOKUP($B177,'Afton Update'!$A$5:$CR$582,'Afton Update'!CB$589,0)</f>
        <v>0.95</v>
      </c>
      <c r="P177" s="636">
        <f>VLOOKUP($B177,'Afton Update'!$A$5:$CR$582,'Afton Update'!AH$589,0)</f>
        <v>91362.801308369511</v>
      </c>
      <c r="Q177" s="637">
        <f>VLOOKUP($B177,'Afton Update'!$A$5:$CR$582,'Afton Update'!AI$589,0)</f>
        <v>21024.501770094055</v>
      </c>
      <c r="R177" s="637">
        <f>VLOOKUP($B177,'Afton Update'!$A$5:$CR$582,'Afton Update'!AJ$589,0)</f>
        <v>53496.515454771623</v>
      </c>
      <c r="S177" s="637">
        <f>VLOOKUP($B177,'Afton Update'!$A$5:$CR$582,'Afton Update'!AK$589,0)</f>
        <v>49798.228612434912</v>
      </c>
      <c r="T177" s="643">
        <f t="shared" si="268"/>
        <v>215682.04714567008</v>
      </c>
      <c r="V177" s="636">
        <f t="shared" si="316"/>
        <v>112935.5659926229</v>
      </c>
      <c r="W177" s="637">
        <f t="shared" si="317"/>
        <v>23717.949055917928</v>
      </c>
      <c r="X177" s="637">
        <f t="shared" si="318"/>
        <v>59880.087144752266</v>
      </c>
      <c r="Y177" s="637">
        <f t="shared" si="319"/>
        <v>57694.051776342756</v>
      </c>
      <c r="Z177" s="643">
        <f t="shared" si="320"/>
        <v>254227.65396963587</v>
      </c>
      <c r="AB177" s="644">
        <f t="shared" si="269"/>
        <v>91362.801308369511</v>
      </c>
      <c r="AC177" s="645">
        <f t="shared" si="257"/>
        <v>112935.5659926229</v>
      </c>
      <c r="AD177" s="644">
        <f t="shared" si="321"/>
        <v>21572.764684253387</v>
      </c>
      <c r="AE177" s="645">
        <f t="shared" si="322"/>
        <v>0</v>
      </c>
      <c r="AF177" s="646">
        <f t="shared" si="323"/>
        <v>0</v>
      </c>
      <c r="AG177" s="647">
        <f t="shared" si="324"/>
        <v>112935.5659926229</v>
      </c>
      <c r="AH177" s="644">
        <f t="shared" si="270"/>
        <v>0</v>
      </c>
      <c r="AI177" s="645">
        <f t="shared" si="271"/>
        <v>0</v>
      </c>
      <c r="AJ177" s="646">
        <f t="shared" si="325"/>
        <v>0</v>
      </c>
      <c r="AK177" s="647">
        <f t="shared" si="272"/>
        <v>112935.5659926229</v>
      </c>
      <c r="AL177" s="644">
        <f t="shared" si="326"/>
        <v>0</v>
      </c>
      <c r="AM177" s="645">
        <f t="shared" si="327"/>
        <v>0</v>
      </c>
      <c r="AN177" s="646">
        <f t="shared" si="328"/>
        <v>0</v>
      </c>
      <c r="AO177" s="647">
        <f t="shared" si="273"/>
        <v>112935.5659926229</v>
      </c>
      <c r="AP177" s="644">
        <f t="shared" si="329"/>
        <v>0</v>
      </c>
      <c r="AQ177" s="645">
        <f t="shared" si="330"/>
        <v>0</v>
      </c>
      <c r="AR177" s="646">
        <f t="shared" si="331"/>
        <v>0</v>
      </c>
      <c r="AS177" s="647">
        <f t="shared" si="274"/>
        <v>112935.5659926229</v>
      </c>
      <c r="AT177" s="644">
        <f t="shared" si="332"/>
        <v>0</v>
      </c>
      <c r="AU177" s="645">
        <f t="shared" si="333"/>
        <v>0</v>
      </c>
      <c r="AV177" s="646">
        <f t="shared" si="334"/>
        <v>0</v>
      </c>
      <c r="AW177" s="647">
        <f t="shared" si="275"/>
        <v>112935.5659926229</v>
      </c>
      <c r="AY177" s="644">
        <f t="shared" si="335"/>
        <v>21024.501770094055</v>
      </c>
      <c r="AZ177" s="645">
        <f t="shared" si="276"/>
        <v>23717.949055917928</v>
      </c>
      <c r="BA177" s="644">
        <f t="shared" si="336"/>
        <v>2693.4472858238732</v>
      </c>
      <c r="BB177" s="645">
        <f t="shared" si="337"/>
        <v>0</v>
      </c>
      <c r="BC177" s="646">
        <f t="shared" si="338"/>
        <v>0</v>
      </c>
      <c r="BD177" s="647">
        <f t="shared" si="339"/>
        <v>23717.949055917928</v>
      </c>
      <c r="BE177" s="644">
        <f t="shared" si="277"/>
        <v>0</v>
      </c>
      <c r="BF177" s="645">
        <f t="shared" si="278"/>
        <v>0</v>
      </c>
      <c r="BG177" s="646">
        <f t="shared" si="340"/>
        <v>0</v>
      </c>
      <c r="BH177" s="647">
        <f t="shared" si="279"/>
        <v>23717.949055917928</v>
      </c>
      <c r="BI177" s="644">
        <f t="shared" si="341"/>
        <v>0</v>
      </c>
      <c r="BJ177" s="645">
        <f t="shared" si="342"/>
        <v>0</v>
      </c>
      <c r="BK177" s="646">
        <f t="shared" si="343"/>
        <v>0</v>
      </c>
      <c r="BL177" s="647">
        <f t="shared" si="280"/>
        <v>23717.949055917928</v>
      </c>
      <c r="BM177" s="644">
        <f t="shared" si="344"/>
        <v>0</v>
      </c>
      <c r="BN177" s="645">
        <f t="shared" si="345"/>
        <v>0</v>
      </c>
      <c r="BO177" s="646">
        <f t="shared" si="346"/>
        <v>0</v>
      </c>
      <c r="BP177" s="647">
        <f t="shared" si="281"/>
        <v>23717.949055917928</v>
      </c>
      <c r="BQ177" s="644">
        <f t="shared" si="347"/>
        <v>0</v>
      </c>
      <c r="BR177" s="645">
        <f t="shared" si="348"/>
        <v>0</v>
      </c>
      <c r="BS177" s="646">
        <f t="shared" si="349"/>
        <v>0</v>
      </c>
      <c r="BT177" s="647">
        <f t="shared" si="282"/>
        <v>23717.949055917928</v>
      </c>
      <c r="BU177" s="662">
        <f>VLOOKUP(B177,'Afton Update'!$A$5:$AR$582,'Afton Update'!$AO$589,0)-BT177</f>
        <v>0</v>
      </c>
      <c r="BV177" s="644">
        <f t="shared" si="350"/>
        <v>53496.515454771623</v>
      </c>
      <c r="BW177" s="645">
        <f t="shared" si="258"/>
        <v>59880.087144752266</v>
      </c>
      <c r="BX177" s="644">
        <f t="shared" si="351"/>
        <v>6383.571689980643</v>
      </c>
      <c r="BY177" s="645">
        <f t="shared" si="352"/>
        <v>0</v>
      </c>
      <c r="BZ177" s="646">
        <f t="shared" si="353"/>
        <v>0</v>
      </c>
      <c r="CA177" s="647">
        <f t="shared" si="354"/>
        <v>59880.087144752266</v>
      </c>
      <c r="CB177" s="644">
        <f t="shared" si="283"/>
        <v>0</v>
      </c>
      <c r="CC177" s="645">
        <f t="shared" si="284"/>
        <v>0</v>
      </c>
      <c r="CD177" s="646">
        <f t="shared" si="355"/>
        <v>0</v>
      </c>
      <c r="CE177" s="647">
        <f t="shared" si="285"/>
        <v>59880.087144752266</v>
      </c>
      <c r="CF177" s="644">
        <f t="shared" si="356"/>
        <v>0</v>
      </c>
      <c r="CG177" s="645">
        <f t="shared" si="357"/>
        <v>0</v>
      </c>
      <c r="CH177" s="646">
        <f t="shared" si="358"/>
        <v>0</v>
      </c>
      <c r="CI177" s="647">
        <f t="shared" si="286"/>
        <v>59880.087144752266</v>
      </c>
      <c r="CJ177" s="644">
        <f t="shared" si="359"/>
        <v>0</v>
      </c>
      <c r="CK177" s="645">
        <f t="shared" si="360"/>
        <v>0</v>
      </c>
      <c r="CL177" s="646">
        <f t="shared" si="361"/>
        <v>0</v>
      </c>
      <c r="CM177" s="647">
        <f t="shared" si="287"/>
        <v>59880.087144752266</v>
      </c>
      <c r="CN177" s="644">
        <f t="shared" si="362"/>
        <v>0</v>
      </c>
      <c r="CO177" s="645">
        <f t="shared" si="363"/>
        <v>0</v>
      </c>
      <c r="CP177" s="646">
        <f t="shared" si="364"/>
        <v>0</v>
      </c>
      <c r="CQ177" s="647">
        <f t="shared" si="288"/>
        <v>59880.087144752266</v>
      </c>
      <c r="CS177" s="644">
        <f t="shared" si="365"/>
        <v>49798.228612434912</v>
      </c>
      <c r="CT177" s="645">
        <f t="shared" si="259"/>
        <v>57694.051776342756</v>
      </c>
      <c r="CU177" s="644">
        <f t="shared" si="366"/>
        <v>7895.823163907844</v>
      </c>
      <c r="CV177" s="645">
        <f t="shared" si="367"/>
        <v>0</v>
      </c>
      <c r="CW177" s="646">
        <f t="shared" si="368"/>
        <v>0</v>
      </c>
      <c r="CX177" s="647">
        <f t="shared" si="369"/>
        <v>57694.051776342756</v>
      </c>
      <c r="CY177" s="644">
        <f t="shared" si="289"/>
        <v>0</v>
      </c>
      <c r="CZ177" s="645">
        <f t="shared" si="290"/>
        <v>0</v>
      </c>
      <c r="DA177" s="646">
        <f t="shared" si="370"/>
        <v>0</v>
      </c>
      <c r="DB177" s="647">
        <f t="shared" si="291"/>
        <v>57694.051776342756</v>
      </c>
      <c r="DC177" s="644">
        <f t="shared" si="371"/>
        <v>0</v>
      </c>
      <c r="DD177" s="645">
        <f t="shared" si="372"/>
        <v>0</v>
      </c>
      <c r="DE177" s="646">
        <f t="shared" si="373"/>
        <v>0</v>
      </c>
      <c r="DF177" s="647">
        <f t="shared" si="292"/>
        <v>57694.051776342756</v>
      </c>
      <c r="DG177" s="644">
        <f t="shared" si="374"/>
        <v>0</v>
      </c>
      <c r="DH177" s="645">
        <f t="shared" si="375"/>
        <v>0</v>
      </c>
      <c r="DI177" s="646">
        <f t="shared" si="376"/>
        <v>0</v>
      </c>
      <c r="DJ177" s="647">
        <f t="shared" si="293"/>
        <v>57694.051776342756</v>
      </c>
      <c r="DK177" s="644">
        <f t="shared" si="377"/>
        <v>0</v>
      </c>
      <c r="DL177" s="645">
        <f t="shared" si="378"/>
        <v>0</v>
      </c>
      <c r="DM177" s="646">
        <f t="shared" si="379"/>
        <v>0</v>
      </c>
      <c r="DN177" s="647">
        <f t="shared" si="294"/>
        <v>57694.051776342756</v>
      </c>
      <c r="DR177" s="827">
        <f t="shared" si="295"/>
        <v>254227.65396963587</v>
      </c>
      <c r="DV177" s="828">
        <f>IFERROR(VLOOKUP($B177,'Afton FY16 Final'!$A$5:$BV$587,'Afton FY16 Final'!$BV$587,0),0)</f>
        <v>258136.87614696083</v>
      </c>
      <c r="DX177" s="636">
        <f t="shared" si="260"/>
        <v>0</v>
      </c>
      <c r="DY177" s="637">
        <f t="shared" si="261"/>
        <v>0</v>
      </c>
      <c r="DZ177" s="637">
        <f t="shared" si="262"/>
        <v>0</v>
      </c>
      <c r="EA177" s="643">
        <f t="shared" si="263"/>
        <v>0</v>
      </c>
      <c r="EB177" s="637">
        <f t="shared" si="296"/>
        <v>0</v>
      </c>
      <c r="EC177" s="637">
        <f t="shared" si="297"/>
        <v>0</v>
      </c>
      <c r="ED177" s="637">
        <f t="shared" si="298"/>
        <v>0</v>
      </c>
      <c r="EE177" s="643">
        <f t="shared" si="299"/>
        <v>0</v>
      </c>
      <c r="EF177" s="637">
        <f t="shared" si="300"/>
        <v>0</v>
      </c>
      <c r="EG177" s="637">
        <f t="shared" si="301"/>
        <v>0</v>
      </c>
      <c r="EH177" s="637">
        <f t="shared" si="302"/>
        <v>0</v>
      </c>
      <c r="EI177" s="643">
        <f t="shared" si="303"/>
        <v>0</v>
      </c>
      <c r="EJ177" s="637">
        <f t="shared" si="304"/>
        <v>0</v>
      </c>
      <c r="EK177" s="637">
        <f t="shared" si="305"/>
        <v>0</v>
      </c>
      <c r="EL177" s="637">
        <f t="shared" si="306"/>
        <v>0</v>
      </c>
      <c r="EM177" s="643">
        <f t="shared" si="307"/>
        <v>0</v>
      </c>
      <c r="EN177" s="637">
        <f t="shared" si="308"/>
        <v>0</v>
      </c>
      <c r="EO177" s="637">
        <f t="shared" si="309"/>
        <v>0</v>
      </c>
      <c r="EP177" s="637">
        <f t="shared" si="310"/>
        <v>0</v>
      </c>
      <c r="EQ177" s="643">
        <f t="shared" si="311"/>
        <v>0</v>
      </c>
      <c r="ER177" s="637">
        <f t="shared" si="312"/>
        <v>0</v>
      </c>
      <c r="ES177" s="637">
        <f t="shared" si="313"/>
        <v>0</v>
      </c>
      <c r="ET177" s="637">
        <f t="shared" si="314"/>
        <v>0</v>
      </c>
      <c r="EU177" s="643">
        <f t="shared" si="264"/>
        <v>0</v>
      </c>
      <c r="EV177" s="643">
        <f t="shared" si="265"/>
        <v>0</v>
      </c>
      <c r="EX177" s="829">
        <f t="shared" si="266"/>
        <v>0</v>
      </c>
      <c r="EY177" s="638">
        <f t="shared" si="267"/>
        <v>254227.65396963587</v>
      </c>
      <c r="FC177" s="830" t="str">
        <f t="shared" si="315"/>
        <v>Y</v>
      </c>
      <c r="FE177" s="830" t="str">
        <f>IFERROR(VLOOKUP($B177,'Historical Conc Grant Elig'!$B$3:$J$707,'HH &amp; SI'!FE$2,0),"N")</f>
        <v>Y</v>
      </c>
      <c r="FF177" s="830" t="str">
        <f>IFERROR(VLOOKUP($B177,'Historical Conc Grant Elig'!$B$3:$J$707,'HH &amp; SI'!FF$2,0),"N")</f>
        <v>Y</v>
      </c>
      <c r="FG177" s="830" t="str">
        <f>IFERROR(VLOOKUP($B177,'Historical Conc Grant Elig'!$B$3:$J$707,'HH &amp; SI'!FG$2,0),"N")</f>
        <v>Y</v>
      </c>
      <c r="FH177" s="830" t="str">
        <f>IFERROR(VLOOKUP($B177,'Historical Conc Grant Elig'!$B$3:$J$707,'HH &amp; SI'!FH$2,0),"N")</f>
        <v>Y</v>
      </c>
      <c r="FI177" s="830" t="str">
        <f>IFERROR(VLOOKUP($B177,'Historical Conc Grant Elig'!$B$3:$J$707,'HH &amp; SI'!FI$2,0),"N")</f>
        <v>Y</v>
      </c>
      <c r="FJ177" s="830" t="str">
        <f>IFERROR(VLOOKUP($B177,'Historical Conc Grant Elig'!$B$3:$J$707,'HH &amp; SI'!FJ$2,0),"N")</f>
        <v>Y</v>
      </c>
      <c r="FK177" s="830" t="str">
        <f>IFERROR(VLOOKUP($B177,'Historical Conc Grant Elig'!$B$3:$J$707,'HH &amp; SI'!FK$2,0),"N")</f>
        <v>Y</v>
      </c>
      <c r="FL177" s="957" t="str">
        <f>IFERROR(VLOOKUP($B177,'Historical Conc Grant Elig'!$B$3:$J$707,'HH &amp; SI'!FL$2,0),"N")</f>
        <v>Y</v>
      </c>
    </row>
    <row r="178" spans="2:168" x14ac:dyDescent="0.25">
      <c r="B178" s="634">
        <v>78520000</v>
      </c>
      <c r="C178" s="635" t="str">
        <f>VLOOKUP($B178,'Afton Update'!$A$5:$CR$582,'Afton Update'!D$589,0)</f>
        <v>Imagine Charter Elementary at Desert West  Inc.</v>
      </c>
      <c r="D178" s="636">
        <f>IFERROR(VLOOKUP($B178,'Afton FY16 Final'!$A$5:$BV$587,'Afton FY16 Final'!AQ$587,0),0)</f>
        <v>191012.99347424455</v>
      </c>
      <c r="E178" s="637">
        <f>IFERROR(VLOOKUP($B178,'Afton FY16 Final'!$A$5:$BV$587,'Afton FY16 Final'!AR$587,0),0)</f>
        <v>39680.902150415437</v>
      </c>
      <c r="F178" s="637">
        <f>IFERROR(VLOOKUP($B178,'Afton FY16 Final'!$A$5:$BV$587,'Afton FY16 Final'!AS$587,0),0)</f>
        <v>101277.8799529361</v>
      </c>
      <c r="G178" s="637">
        <f>IFERROR(VLOOKUP($B178,'Afton FY16 Final'!$A$5:$BV$587,'Afton FY16 Final'!AT$587,0),0)</f>
        <v>97580.540183215155</v>
      </c>
      <c r="H178" s="638">
        <f>IFERROR(VLOOKUP($B178,'Afton FY16 Final'!$A$5:$BV$587,'Afton FY16 Final'!AU$587,0),0)</f>
        <v>429552.31576081127</v>
      </c>
      <c r="I178" s="639" t="str">
        <f>VLOOKUP($B178,'Afton Update'!$A$5:$CR$582,'Afton Update'!BT$589,0)</f>
        <v>Y</v>
      </c>
      <c r="J178" s="640" t="str">
        <f>VLOOKUP($B178,'Afton Update'!$A$5:$CR$582,'Afton Update'!BU$589,0)</f>
        <v>Y</v>
      </c>
      <c r="K178" s="640" t="str">
        <f>VLOOKUP($B178,'Afton Update'!$A$5:$CR$582,'Afton Update'!BV$589,0)</f>
        <v>Y</v>
      </c>
      <c r="L178" s="641" t="str">
        <f>VLOOKUP($B178,'Afton Update'!$A$5:$CR$582,'Afton Update'!BW$589,0)</f>
        <v>Y</v>
      </c>
      <c r="N178" s="642">
        <f>VLOOKUP($B178,'Afton Update'!$A$5:$CR$582,'Afton Update'!CB$589,0)</f>
        <v>0.95</v>
      </c>
      <c r="P178" s="636">
        <f>VLOOKUP($B178,'Afton Update'!$A$5:$CR$582,'Afton Update'!AH$589,0)</f>
        <v>176507.1920564835</v>
      </c>
      <c r="Q178" s="637">
        <f>VLOOKUP($B178,'Afton Update'!$A$5:$CR$582,'Afton Update'!AI$589,0)</f>
        <v>38632.224853512249</v>
      </c>
      <c r="R178" s="637">
        <f>VLOOKUP($B178,'Afton Update'!$A$5:$CR$582,'Afton Update'!AJ$589,0)</f>
        <v>103328.29093173571</v>
      </c>
      <c r="S178" s="637">
        <f>VLOOKUP($B178,'Afton Update'!$A$5:$CR$582,'Afton Update'!AK$589,0)</f>
        <v>96185.065703971937</v>
      </c>
      <c r="T178" s="643">
        <f t="shared" si="268"/>
        <v>414652.77354570344</v>
      </c>
      <c r="V178" s="636">
        <f t="shared" si="316"/>
        <v>181462.34380053231</v>
      </c>
      <c r="W178" s="637">
        <f t="shared" si="317"/>
        <v>37696.857042894662</v>
      </c>
      <c r="X178" s="637">
        <f t="shared" si="318"/>
        <v>102388.56046871739</v>
      </c>
      <c r="Y178" s="637">
        <f t="shared" si="319"/>
        <v>95125.279421876767</v>
      </c>
      <c r="Z178" s="643">
        <f t="shared" si="320"/>
        <v>416673.04073402111</v>
      </c>
      <c r="AB178" s="644">
        <f t="shared" si="269"/>
        <v>176507.1920564835</v>
      </c>
      <c r="AC178" s="645">
        <f t="shared" si="257"/>
        <v>181462.34380053231</v>
      </c>
      <c r="AD178" s="644">
        <f t="shared" si="321"/>
        <v>4955.1517440488096</v>
      </c>
      <c r="AE178" s="645">
        <f t="shared" si="322"/>
        <v>0</v>
      </c>
      <c r="AF178" s="646">
        <f t="shared" si="323"/>
        <v>0</v>
      </c>
      <c r="AG178" s="647">
        <f t="shared" si="324"/>
        <v>181462.34380053231</v>
      </c>
      <c r="AH178" s="644">
        <f t="shared" si="270"/>
        <v>0</v>
      </c>
      <c r="AI178" s="645">
        <f t="shared" si="271"/>
        <v>0</v>
      </c>
      <c r="AJ178" s="646">
        <f t="shared" si="325"/>
        <v>0</v>
      </c>
      <c r="AK178" s="647">
        <f t="shared" si="272"/>
        <v>181462.34380053231</v>
      </c>
      <c r="AL178" s="644">
        <f t="shared" si="326"/>
        <v>0</v>
      </c>
      <c r="AM178" s="645">
        <f t="shared" si="327"/>
        <v>0</v>
      </c>
      <c r="AN178" s="646">
        <f t="shared" si="328"/>
        <v>0</v>
      </c>
      <c r="AO178" s="647">
        <f t="shared" si="273"/>
        <v>181462.34380053231</v>
      </c>
      <c r="AP178" s="644">
        <f t="shared" si="329"/>
        <v>0</v>
      </c>
      <c r="AQ178" s="645">
        <f t="shared" si="330"/>
        <v>0</v>
      </c>
      <c r="AR178" s="646">
        <f t="shared" si="331"/>
        <v>0</v>
      </c>
      <c r="AS178" s="647">
        <f t="shared" si="274"/>
        <v>181462.34380053231</v>
      </c>
      <c r="AT178" s="644">
        <f t="shared" si="332"/>
        <v>0</v>
      </c>
      <c r="AU178" s="645">
        <f t="shared" si="333"/>
        <v>0</v>
      </c>
      <c r="AV178" s="646">
        <f t="shared" si="334"/>
        <v>0</v>
      </c>
      <c r="AW178" s="647">
        <f t="shared" si="275"/>
        <v>181462.34380053231</v>
      </c>
      <c r="AY178" s="644">
        <f t="shared" si="335"/>
        <v>38632.224853512249</v>
      </c>
      <c r="AZ178" s="645">
        <f t="shared" si="276"/>
        <v>37696.857042894662</v>
      </c>
      <c r="BA178" s="644">
        <f t="shared" si="336"/>
        <v>0</v>
      </c>
      <c r="BB178" s="645">
        <f t="shared" si="337"/>
        <v>38632.224853512249</v>
      </c>
      <c r="BC178" s="646">
        <f t="shared" si="338"/>
        <v>-277.81558752805859</v>
      </c>
      <c r="BD178" s="647">
        <f t="shared" si="339"/>
        <v>38354.409265984192</v>
      </c>
      <c r="BE178" s="644">
        <f t="shared" si="277"/>
        <v>0</v>
      </c>
      <c r="BF178" s="645">
        <f t="shared" si="278"/>
        <v>38354.409265984192</v>
      </c>
      <c r="BG178" s="646">
        <f t="shared" si="340"/>
        <v>-913.5707721271674</v>
      </c>
      <c r="BH178" s="647">
        <f t="shared" si="279"/>
        <v>37440.838493857023</v>
      </c>
      <c r="BI178" s="644">
        <f t="shared" si="341"/>
        <v>-256.01854903763888</v>
      </c>
      <c r="BJ178" s="645">
        <f t="shared" si="342"/>
        <v>0</v>
      </c>
      <c r="BK178" s="646">
        <f t="shared" si="343"/>
        <v>0</v>
      </c>
      <c r="BL178" s="647">
        <f t="shared" si="280"/>
        <v>37696.857042894662</v>
      </c>
      <c r="BM178" s="644">
        <f t="shared" si="344"/>
        <v>0</v>
      </c>
      <c r="BN178" s="645">
        <f t="shared" si="345"/>
        <v>0</v>
      </c>
      <c r="BO178" s="646">
        <f t="shared" si="346"/>
        <v>0</v>
      </c>
      <c r="BP178" s="647">
        <f t="shared" si="281"/>
        <v>37696.857042894662</v>
      </c>
      <c r="BQ178" s="644">
        <f t="shared" si="347"/>
        <v>0</v>
      </c>
      <c r="BR178" s="645">
        <f t="shared" si="348"/>
        <v>0</v>
      </c>
      <c r="BS178" s="646">
        <f t="shared" si="349"/>
        <v>0</v>
      </c>
      <c r="BT178" s="647">
        <f t="shared" si="282"/>
        <v>37696.857042894662</v>
      </c>
      <c r="BU178" s="662">
        <f>VLOOKUP(B178,'Afton Update'!$A$5:$AR$582,'Afton Update'!$AO$589,0)-BT178</f>
        <v>0</v>
      </c>
      <c r="BV178" s="644">
        <f t="shared" si="350"/>
        <v>103328.29093173571</v>
      </c>
      <c r="BW178" s="645">
        <f t="shared" si="258"/>
        <v>96213.985955289289</v>
      </c>
      <c r="BX178" s="644">
        <f t="shared" si="351"/>
        <v>0</v>
      </c>
      <c r="BY178" s="645">
        <f t="shared" si="352"/>
        <v>103328.29093173571</v>
      </c>
      <c r="BZ178" s="646">
        <f t="shared" si="353"/>
        <v>-906.92339524900842</v>
      </c>
      <c r="CA178" s="647">
        <f t="shared" si="354"/>
        <v>102421.36753648671</v>
      </c>
      <c r="CB178" s="644">
        <f t="shared" si="283"/>
        <v>0</v>
      </c>
      <c r="CC178" s="645">
        <f t="shared" si="284"/>
        <v>102421.36753648671</v>
      </c>
      <c r="CD178" s="646">
        <f t="shared" si="355"/>
        <v>-32.807067769318841</v>
      </c>
      <c r="CE178" s="647">
        <f t="shared" si="285"/>
        <v>102388.56046871739</v>
      </c>
      <c r="CF178" s="644">
        <f t="shared" si="356"/>
        <v>0</v>
      </c>
      <c r="CG178" s="645">
        <f t="shared" si="357"/>
        <v>102388.56046871739</v>
      </c>
      <c r="CH178" s="646">
        <f t="shared" si="358"/>
        <v>0</v>
      </c>
      <c r="CI178" s="647">
        <f t="shared" si="286"/>
        <v>102388.56046871739</v>
      </c>
      <c r="CJ178" s="644">
        <f t="shared" si="359"/>
        <v>0</v>
      </c>
      <c r="CK178" s="645">
        <f t="shared" si="360"/>
        <v>102388.56046871739</v>
      </c>
      <c r="CL178" s="646">
        <f t="shared" si="361"/>
        <v>0</v>
      </c>
      <c r="CM178" s="647">
        <f t="shared" si="287"/>
        <v>102388.56046871739</v>
      </c>
      <c r="CN178" s="644">
        <f t="shared" si="362"/>
        <v>0</v>
      </c>
      <c r="CO178" s="645">
        <f t="shared" si="363"/>
        <v>102388.56046871739</v>
      </c>
      <c r="CP178" s="646">
        <f t="shared" si="364"/>
        <v>0</v>
      </c>
      <c r="CQ178" s="647">
        <f t="shared" si="288"/>
        <v>102388.56046871739</v>
      </c>
      <c r="CS178" s="644">
        <f t="shared" si="365"/>
        <v>96185.065703971937</v>
      </c>
      <c r="CT178" s="645">
        <f t="shared" si="259"/>
        <v>92701.513174054387</v>
      </c>
      <c r="CU178" s="644">
        <f t="shared" si="366"/>
        <v>0</v>
      </c>
      <c r="CV178" s="645">
        <f t="shared" si="367"/>
        <v>96185.065703971937</v>
      </c>
      <c r="CW178" s="646">
        <f t="shared" si="368"/>
        <v>-984.98942910303595</v>
      </c>
      <c r="CX178" s="647">
        <f t="shared" si="369"/>
        <v>95200.076274868901</v>
      </c>
      <c r="CY178" s="644">
        <f t="shared" si="289"/>
        <v>0</v>
      </c>
      <c r="CZ178" s="645">
        <f t="shared" si="290"/>
        <v>95200.076274868901</v>
      </c>
      <c r="DA178" s="646">
        <f t="shared" si="370"/>
        <v>-74.732405600395282</v>
      </c>
      <c r="DB178" s="647">
        <f t="shared" si="291"/>
        <v>95125.343869268501</v>
      </c>
      <c r="DC178" s="644">
        <f t="shared" si="371"/>
        <v>0</v>
      </c>
      <c r="DD178" s="645">
        <f t="shared" si="372"/>
        <v>95125.343869268501</v>
      </c>
      <c r="DE178" s="646">
        <f t="shared" si="373"/>
        <v>-6.4447391732060891E-2</v>
      </c>
      <c r="DF178" s="647">
        <f t="shared" si="292"/>
        <v>95125.279421876767</v>
      </c>
      <c r="DG178" s="644">
        <f t="shared" si="374"/>
        <v>0</v>
      </c>
      <c r="DH178" s="645">
        <f t="shared" si="375"/>
        <v>95125.279421876767</v>
      </c>
      <c r="DI178" s="646">
        <f t="shared" si="376"/>
        <v>0</v>
      </c>
      <c r="DJ178" s="647">
        <f t="shared" si="293"/>
        <v>95125.279421876767</v>
      </c>
      <c r="DK178" s="644">
        <f t="shared" si="377"/>
        <v>0</v>
      </c>
      <c r="DL178" s="645">
        <f t="shared" si="378"/>
        <v>95125.279421876767</v>
      </c>
      <c r="DM178" s="646">
        <f t="shared" si="379"/>
        <v>0</v>
      </c>
      <c r="DN178" s="647">
        <f t="shared" si="294"/>
        <v>95125.279421876767</v>
      </c>
      <c r="DR178" s="827">
        <f t="shared" si="295"/>
        <v>416673.04073402111</v>
      </c>
      <c r="DV178" s="828">
        <f>IFERROR(VLOOKUP($B178,'Afton FY16 Final'!$A$5:$BV$587,'Afton FY16 Final'!$BV$587,0),0)</f>
        <v>414349.60611389932</v>
      </c>
      <c r="DX178" s="636">
        <f t="shared" si="260"/>
        <v>416673.04073402111</v>
      </c>
      <c r="DY178" s="637">
        <f t="shared" si="261"/>
        <v>2323.434620121785</v>
      </c>
      <c r="DZ178" s="637">
        <f t="shared" si="262"/>
        <v>414349.60611389932</v>
      </c>
      <c r="EA178" s="643">
        <f t="shared" si="263"/>
        <v>394510.70478880516</v>
      </c>
      <c r="EB178" s="637">
        <f t="shared" si="296"/>
        <v>414349.60611389932</v>
      </c>
      <c r="EC178" s="637">
        <f t="shared" si="297"/>
        <v>0</v>
      </c>
      <c r="ED178" s="637">
        <f t="shared" si="298"/>
        <v>0</v>
      </c>
      <c r="EE178" s="643">
        <f t="shared" si="299"/>
        <v>414349.60611389932</v>
      </c>
      <c r="EF178" s="637">
        <f t="shared" si="300"/>
        <v>0</v>
      </c>
      <c r="EG178" s="637">
        <f t="shared" si="301"/>
        <v>0</v>
      </c>
      <c r="EH178" s="637">
        <f t="shared" si="302"/>
        <v>0</v>
      </c>
      <c r="EI178" s="643">
        <f t="shared" si="303"/>
        <v>414349.60611389932</v>
      </c>
      <c r="EJ178" s="637">
        <f t="shared" si="304"/>
        <v>0</v>
      </c>
      <c r="EK178" s="637">
        <f t="shared" si="305"/>
        <v>0</v>
      </c>
      <c r="EL178" s="637">
        <f t="shared" si="306"/>
        <v>0</v>
      </c>
      <c r="EM178" s="643">
        <f t="shared" si="307"/>
        <v>414349.60611389932</v>
      </c>
      <c r="EN178" s="637">
        <f t="shared" si="308"/>
        <v>0</v>
      </c>
      <c r="EO178" s="637">
        <f t="shared" si="309"/>
        <v>0</v>
      </c>
      <c r="EP178" s="637">
        <f t="shared" si="310"/>
        <v>0</v>
      </c>
      <c r="EQ178" s="643">
        <f t="shared" si="311"/>
        <v>414349.60611389932</v>
      </c>
      <c r="ER178" s="637">
        <f t="shared" si="312"/>
        <v>0</v>
      </c>
      <c r="ES178" s="637">
        <f t="shared" si="313"/>
        <v>0</v>
      </c>
      <c r="ET178" s="637">
        <f t="shared" si="314"/>
        <v>0</v>
      </c>
      <c r="EU178" s="643">
        <f t="shared" si="264"/>
        <v>414349.60611389932</v>
      </c>
      <c r="EV178" s="643">
        <f t="shared" si="265"/>
        <v>0</v>
      </c>
      <c r="EX178" s="829">
        <f t="shared" si="266"/>
        <v>2323.434620121785</v>
      </c>
      <c r="EY178" s="638">
        <f t="shared" si="267"/>
        <v>414349.60611389932</v>
      </c>
      <c r="FC178" s="830" t="str">
        <f t="shared" si="315"/>
        <v>Y</v>
      </c>
      <c r="FE178" s="830" t="str">
        <f>IFERROR(VLOOKUP($B178,'Historical Conc Grant Elig'!$B$3:$J$707,'HH &amp; SI'!FE$2,0),"N")</f>
        <v>Y</v>
      </c>
      <c r="FF178" s="830" t="str">
        <f>IFERROR(VLOOKUP($B178,'Historical Conc Grant Elig'!$B$3:$J$707,'HH &amp; SI'!FF$2,0),"N")</f>
        <v>Y</v>
      </c>
      <c r="FG178" s="830" t="str">
        <f>IFERROR(VLOOKUP($B178,'Historical Conc Grant Elig'!$B$3:$J$707,'HH &amp; SI'!FG$2,0),"N")</f>
        <v>Y</v>
      </c>
      <c r="FH178" s="830" t="str">
        <f>IFERROR(VLOOKUP($B178,'Historical Conc Grant Elig'!$B$3:$J$707,'HH &amp; SI'!FH$2,0),"N")</f>
        <v>Y</v>
      </c>
      <c r="FI178" s="830" t="str">
        <f>IFERROR(VLOOKUP($B178,'Historical Conc Grant Elig'!$B$3:$J$707,'HH &amp; SI'!FI$2,0),"N")</f>
        <v>Y</v>
      </c>
      <c r="FJ178" s="830" t="str">
        <f>IFERROR(VLOOKUP($B178,'Historical Conc Grant Elig'!$B$3:$J$707,'HH &amp; SI'!FJ$2,0),"N")</f>
        <v>Y</v>
      </c>
      <c r="FK178" s="830" t="str">
        <f>IFERROR(VLOOKUP($B178,'Historical Conc Grant Elig'!$B$3:$J$707,'HH &amp; SI'!FK$2,0),"N")</f>
        <v>Y</v>
      </c>
      <c r="FL178" s="957" t="str">
        <f>IFERROR(VLOOKUP($B178,'Historical Conc Grant Elig'!$B$3:$J$707,'HH &amp; SI'!FL$2,0),"N")</f>
        <v>Y</v>
      </c>
    </row>
    <row r="179" spans="2:168" x14ac:dyDescent="0.25">
      <c r="B179" s="634">
        <v>78521000</v>
      </c>
      <c r="C179" s="635" t="str">
        <f>VLOOKUP($B179,'Afton Update'!$A$5:$CR$582,'Afton Update'!D$589,0)</f>
        <v>Imagine Middle at East Mesa  Inc.</v>
      </c>
      <c r="D179" s="636">
        <f>IFERROR(VLOOKUP($B179,'Afton FY16 Final'!$A$5:$BV$587,'Afton FY16 Final'!AQ$587,0),0)</f>
        <v>17794.747141328731</v>
      </c>
      <c r="E179" s="637">
        <f>IFERROR(VLOOKUP($B179,'Afton FY16 Final'!$A$5:$BV$587,'Afton FY16 Final'!AR$587,0),0)</f>
        <v>5522.653909038756</v>
      </c>
      <c r="F179" s="637">
        <f>IFERROR(VLOOKUP($B179,'Afton FY16 Final'!$A$5:$BV$587,'Afton FY16 Final'!AS$587,0),0)</f>
        <v>9657.4183004592069</v>
      </c>
      <c r="G179" s="637">
        <f>IFERROR(VLOOKUP($B179,'Afton FY16 Final'!$A$5:$BV$587,'Afton FY16 Final'!AT$587,0),0)</f>
        <v>8108.9320106773812</v>
      </c>
      <c r="H179" s="638">
        <f>IFERROR(VLOOKUP($B179,'Afton FY16 Final'!$A$5:$BV$587,'Afton FY16 Final'!AU$587,0),0)</f>
        <v>41083.751361504073</v>
      </c>
      <c r="I179" s="639" t="str">
        <f>VLOOKUP($B179,'Afton Update'!$A$5:$CR$582,'Afton Update'!BT$589,0)</f>
        <v>Y</v>
      </c>
      <c r="J179" s="640" t="str">
        <f>VLOOKUP($B179,'Afton Update'!$A$5:$CR$582,'Afton Update'!BU$589,0)</f>
        <v>Y</v>
      </c>
      <c r="K179" s="640" t="str">
        <f>VLOOKUP($B179,'Afton Update'!$A$5:$CR$582,'Afton Update'!BV$589,0)</f>
        <v>Y</v>
      </c>
      <c r="L179" s="641" t="str">
        <f>VLOOKUP($B179,'Afton Update'!$A$5:$CR$582,'Afton Update'!BW$589,0)</f>
        <v>Y</v>
      </c>
      <c r="N179" s="642">
        <f>VLOOKUP($B179,'Afton Update'!$A$5:$CR$582,'Afton Update'!CB$589,0)</f>
        <v>0.9</v>
      </c>
      <c r="P179" s="636">
        <f>VLOOKUP($B179,'Afton Update'!$A$5:$CR$582,'Afton Update'!AH$589,0)</f>
        <v>16024.365674504601</v>
      </c>
      <c r="Q179" s="637">
        <f>VLOOKUP($B179,'Afton Update'!$A$5:$CR$582,'Afton Update'!AI$589,0)</f>
        <v>5444.6344350470572</v>
      </c>
      <c r="R179" s="637">
        <f>VLOOKUP($B179,'Afton Update'!$A$5:$CR$582,'Afton Update'!AJ$589,0)</f>
        <v>9403.7927715028272</v>
      </c>
      <c r="S179" s="637">
        <f>VLOOKUP($B179,'Afton Update'!$A$5:$CR$582,'Afton Update'!AK$589,0)</f>
        <v>8753.6957926760224</v>
      </c>
      <c r="T179" s="643">
        <f t="shared" si="268"/>
        <v>39626.488673730506</v>
      </c>
      <c r="V179" s="636">
        <f t="shared" si="316"/>
        <v>16015.272427195858</v>
      </c>
      <c r="W179" s="637">
        <f t="shared" si="317"/>
        <v>5265.3080828587599</v>
      </c>
      <c r="X179" s="637">
        <f t="shared" si="318"/>
        <v>9318.2689478180728</v>
      </c>
      <c r="Y179" s="637">
        <f t="shared" si="319"/>
        <v>8657.2458224980728</v>
      </c>
      <c r="Z179" s="643">
        <f t="shared" si="320"/>
        <v>39256.095280370762</v>
      </c>
      <c r="AB179" s="644">
        <f t="shared" si="269"/>
        <v>16024.365674504601</v>
      </c>
      <c r="AC179" s="645">
        <f t="shared" si="257"/>
        <v>16015.272427195858</v>
      </c>
      <c r="AD179" s="644">
        <f t="shared" si="321"/>
        <v>0</v>
      </c>
      <c r="AE179" s="645">
        <f t="shared" si="322"/>
        <v>16024.365674504601</v>
      </c>
      <c r="AF179" s="646">
        <f t="shared" si="323"/>
        <v>-198.63405452573704</v>
      </c>
      <c r="AG179" s="647">
        <f t="shared" si="324"/>
        <v>15825.731619978864</v>
      </c>
      <c r="AH179" s="644">
        <f t="shared" si="270"/>
        <v>-189.54080721699393</v>
      </c>
      <c r="AI179" s="645">
        <f t="shared" si="271"/>
        <v>0</v>
      </c>
      <c r="AJ179" s="646">
        <f t="shared" si="325"/>
        <v>0</v>
      </c>
      <c r="AK179" s="647">
        <f t="shared" si="272"/>
        <v>16015.272427195858</v>
      </c>
      <c r="AL179" s="644">
        <f t="shared" si="326"/>
        <v>0</v>
      </c>
      <c r="AM179" s="645">
        <f t="shared" si="327"/>
        <v>0</v>
      </c>
      <c r="AN179" s="646">
        <f t="shared" si="328"/>
        <v>0</v>
      </c>
      <c r="AO179" s="647">
        <f t="shared" si="273"/>
        <v>16015.272427195858</v>
      </c>
      <c r="AP179" s="644">
        <f t="shared" si="329"/>
        <v>0</v>
      </c>
      <c r="AQ179" s="645">
        <f t="shared" si="330"/>
        <v>0</v>
      </c>
      <c r="AR179" s="646">
        <f t="shared" si="331"/>
        <v>0</v>
      </c>
      <c r="AS179" s="647">
        <f t="shared" si="274"/>
        <v>16015.272427195858</v>
      </c>
      <c r="AT179" s="644">
        <f t="shared" si="332"/>
        <v>0</v>
      </c>
      <c r="AU179" s="645">
        <f t="shared" si="333"/>
        <v>0</v>
      </c>
      <c r="AV179" s="646">
        <f t="shared" si="334"/>
        <v>0</v>
      </c>
      <c r="AW179" s="647">
        <f t="shared" si="275"/>
        <v>16015.272427195858</v>
      </c>
      <c r="AY179" s="644">
        <f t="shared" si="335"/>
        <v>5444.6344350470572</v>
      </c>
      <c r="AZ179" s="645">
        <f t="shared" si="276"/>
        <v>4970.3885181348805</v>
      </c>
      <c r="BA179" s="644">
        <f t="shared" si="336"/>
        <v>0</v>
      </c>
      <c r="BB179" s="645">
        <f t="shared" si="337"/>
        <v>5444.6344350470572</v>
      </c>
      <c r="BC179" s="646">
        <f t="shared" si="338"/>
        <v>-39.153952954655658</v>
      </c>
      <c r="BD179" s="647">
        <f t="shared" si="339"/>
        <v>5405.4804820924019</v>
      </c>
      <c r="BE179" s="644">
        <f t="shared" si="277"/>
        <v>0</v>
      </c>
      <c r="BF179" s="645">
        <f t="shared" si="278"/>
        <v>5405.4804820924019</v>
      </c>
      <c r="BG179" s="646">
        <f t="shared" si="340"/>
        <v>-128.75413993465321</v>
      </c>
      <c r="BH179" s="647">
        <f t="shared" si="279"/>
        <v>5276.7263421577491</v>
      </c>
      <c r="BI179" s="644">
        <f t="shared" si="341"/>
        <v>0</v>
      </c>
      <c r="BJ179" s="645">
        <f t="shared" si="342"/>
        <v>5276.7263421577491</v>
      </c>
      <c r="BK179" s="646">
        <f t="shared" si="343"/>
        <v>-11.177345748007506</v>
      </c>
      <c r="BL179" s="647">
        <f t="shared" si="280"/>
        <v>5265.5489964097414</v>
      </c>
      <c r="BM179" s="644">
        <f t="shared" si="344"/>
        <v>0</v>
      </c>
      <c r="BN179" s="645">
        <f t="shared" si="345"/>
        <v>5265.5489964097414</v>
      </c>
      <c r="BO179" s="646">
        <f t="shared" si="346"/>
        <v>-0.24091355098139483</v>
      </c>
      <c r="BP179" s="647">
        <f t="shared" si="281"/>
        <v>5265.3080828587599</v>
      </c>
      <c r="BQ179" s="644">
        <f t="shared" si="347"/>
        <v>0</v>
      </c>
      <c r="BR179" s="645">
        <f t="shared" si="348"/>
        <v>5265.3080828587599</v>
      </c>
      <c r="BS179" s="646">
        <f t="shared" si="349"/>
        <v>0</v>
      </c>
      <c r="BT179" s="647">
        <f t="shared" si="282"/>
        <v>5265.3080828587599</v>
      </c>
      <c r="BU179" s="662">
        <f>VLOOKUP(B179,'Afton Update'!$A$5:$AR$582,'Afton Update'!$AO$589,0)-BT179</f>
        <v>0</v>
      </c>
      <c r="BV179" s="644">
        <f t="shared" si="350"/>
        <v>9403.7927715028272</v>
      </c>
      <c r="BW179" s="645">
        <f t="shared" si="258"/>
        <v>8691.6764704132856</v>
      </c>
      <c r="BX179" s="644">
        <f t="shared" si="351"/>
        <v>0</v>
      </c>
      <c r="BY179" s="645">
        <f t="shared" si="352"/>
        <v>9403.7927715028272</v>
      </c>
      <c r="BZ179" s="646">
        <f t="shared" si="353"/>
        <v>-82.53808895555845</v>
      </c>
      <c r="CA179" s="647">
        <f t="shared" si="354"/>
        <v>9321.2546825472691</v>
      </c>
      <c r="CB179" s="644">
        <f t="shared" si="283"/>
        <v>0</v>
      </c>
      <c r="CC179" s="645">
        <f t="shared" si="284"/>
        <v>9321.2546825472691</v>
      </c>
      <c r="CD179" s="646">
        <f t="shared" si="355"/>
        <v>-2.985734729195733</v>
      </c>
      <c r="CE179" s="647">
        <f t="shared" si="285"/>
        <v>9318.2689478180728</v>
      </c>
      <c r="CF179" s="644">
        <f t="shared" si="356"/>
        <v>0</v>
      </c>
      <c r="CG179" s="645">
        <f t="shared" si="357"/>
        <v>9318.2689478180728</v>
      </c>
      <c r="CH179" s="646">
        <f t="shared" si="358"/>
        <v>0</v>
      </c>
      <c r="CI179" s="647">
        <f t="shared" si="286"/>
        <v>9318.2689478180728</v>
      </c>
      <c r="CJ179" s="644">
        <f t="shared" si="359"/>
        <v>0</v>
      </c>
      <c r="CK179" s="645">
        <f t="shared" si="360"/>
        <v>9318.2689478180728</v>
      </c>
      <c r="CL179" s="646">
        <f t="shared" si="361"/>
        <v>0</v>
      </c>
      <c r="CM179" s="647">
        <f t="shared" si="287"/>
        <v>9318.2689478180728</v>
      </c>
      <c r="CN179" s="644">
        <f t="shared" si="362"/>
        <v>0</v>
      </c>
      <c r="CO179" s="645">
        <f t="shared" si="363"/>
        <v>9318.2689478180728</v>
      </c>
      <c r="CP179" s="646">
        <f t="shared" si="364"/>
        <v>0</v>
      </c>
      <c r="CQ179" s="647">
        <f t="shared" si="288"/>
        <v>9318.2689478180728</v>
      </c>
      <c r="CS179" s="644">
        <f t="shared" si="365"/>
        <v>8753.6957926760224</v>
      </c>
      <c r="CT179" s="645">
        <f t="shared" si="259"/>
        <v>7298.0388096096431</v>
      </c>
      <c r="CU179" s="644">
        <f t="shared" si="366"/>
        <v>0</v>
      </c>
      <c r="CV179" s="645">
        <f t="shared" si="367"/>
        <v>8753.6957926760224</v>
      </c>
      <c r="CW179" s="646">
        <f t="shared" si="368"/>
        <v>-89.642791822863487</v>
      </c>
      <c r="CX179" s="647">
        <f t="shared" si="369"/>
        <v>8664.0530008531587</v>
      </c>
      <c r="CY179" s="644">
        <f t="shared" si="289"/>
        <v>0</v>
      </c>
      <c r="CZ179" s="645">
        <f t="shared" si="290"/>
        <v>8664.0530008531587</v>
      </c>
      <c r="DA179" s="646">
        <f t="shared" si="370"/>
        <v>-6.8013130696829549</v>
      </c>
      <c r="DB179" s="647">
        <f t="shared" si="291"/>
        <v>8657.2516877834751</v>
      </c>
      <c r="DC179" s="644">
        <f t="shared" si="371"/>
        <v>0</v>
      </c>
      <c r="DD179" s="645">
        <f t="shared" si="372"/>
        <v>8657.2516877834751</v>
      </c>
      <c r="DE179" s="646">
        <f t="shared" si="373"/>
        <v>-5.8652854029353566E-3</v>
      </c>
      <c r="DF179" s="647">
        <f t="shared" si="292"/>
        <v>8657.2458224980728</v>
      </c>
      <c r="DG179" s="644">
        <f t="shared" si="374"/>
        <v>0</v>
      </c>
      <c r="DH179" s="645">
        <f t="shared" si="375"/>
        <v>8657.2458224980728</v>
      </c>
      <c r="DI179" s="646">
        <f t="shared" si="376"/>
        <v>0</v>
      </c>
      <c r="DJ179" s="647">
        <f t="shared" si="293"/>
        <v>8657.2458224980728</v>
      </c>
      <c r="DK179" s="644">
        <f t="shared" si="377"/>
        <v>0</v>
      </c>
      <c r="DL179" s="645">
        <f t="shared" si="378"/>
        <v>8657.2458224980728</v>
      </c>
      <c r="DM179" s="646">
        <f t="shared" si="379"/>
        <v>0</v>
      </c>
      <c r="DN179" s="647">
        <f t="shared" si="294"/>
        <v>8657.2458224980728</v>
      </c>
      <c r="DR179" s="827">
        <f t="shared" si="295"/>
        <v>39256.095280370762</v>
      </c>
      <c r="DV179" s="828">
        <f>IFERROR(VLOOKUP($B179,'Afton FY16 Final'!$A$5:$BV$587,'Afton FY16 Final'!$BV$587,0),0)</f>
        <v>36475.40255428724</v>
      </c>
      <c r="DX179" s="636">
        <f t="shared" si="260"/>
        <v>39256.095280370762</v>
      </c>
      <c r="DY179" s="637">
        <f t="shared" si="261"/>
        <v>2780.6927260835218</v>
      </c>
      <c r="DZ179" s="637">
        <f t="shared" si="262"/>
        <v>36475.40255428724</v>
      </c>
      <c r="EA179" s="643">
        <f t="shared" si="263"/>
        <v>37168.110970254711</v>
      </c>
      <c r="EB179" s="637">
        <f t="shared" si="296"/>
        <v>0</v>
      </c>
      <c r="EC179" s="637">
        <f t="shared" si="297"/>
        <v>37168.110970254711</v>
      </c>
      <c r="ED179" s="637">
        <f t="shared" si="298"/>
        <v>37057.277882564798</v>
      </c>
      <c r="EE179" s="643">
        <f t="shared" si="299"/>
        <v>37057.277882564798</v>
      </c>
      <c r="EF179" s="637">
        <f t="shared" si="300"/>
        <v>0</v>
      </c>
      <c r="EG179" s="637">
        <f t="shared" si="301"/>
        <v>37057.277882564798</v>
      </c>
      <c r="EH179" s="637">
        <f t="shared" si="302"/>
        <v>37057.239652017663</v>
      </c>
      <c r="EI179" s="643">
        <f t="shared" si="303"/>
        <v>37057.239652017663</v>
      </c>
      <c r="EJ179" s="637">
        <f t="shared" si="304"/>
        <v>0</v>
      </c>
      <c r="EK179" s="637">
        <f t="shared" si="305"/>
        <v>37057.239652017663</v>
      </c>
      <c r="EL179" s="637">
        <f t="shared" si="306"/>
        <v>37057.239652017612</v>
      </c>
      <c r="EM179" s="643">
        <f t="shared" si="307"/>
        <v>37057.239652017612</v>
      </c>
      <c r="EN179" s="637">
        <f t="shared" si="308"/>
        <v>0</v>
      </c>
      <c r="EO179" s="637">
        <f t="shared" si="309"/>
        <v>37057.239652017612</v>
      </c>
      <c r="EP179" s="637">
        <f t="shared" si="310"/>
        <v>37057.23965201767</v>
      </c>
      <c r="EQ179" s="643">
        <f t="shared" si="311"/>
        <v>37057.23965201767</v>
      </c>
      <c r="ER179" s="637">
        <f t="shared" si="312"/>
        <v>0</v>
      </c>
      <c r="ES179" s="637">
        <f t="shared" si="313"/>
        <v>37057.23965201767</v>
      </c>
      <c r="ET179" s="637">
        <f t="shared" si="314"/>
        <v>37057.239652017612</v>
      </c>
      <c r="EU179" s="643">
        <f t="shared" si="264"/>
        <v>37057.239652017612</v>
      </c>
      <c r="EV179" s="643">
        <f t="shared" si="265"/>
        <v>0</v>
      </c>
      <c r="EX179" s="829">
        <f t="shared" si="266"/>
        <v>2198.8556283531507</v>
      </c>
      <c r="EY179" s="638">
        <f t="shared" si="267"/>
        <v>37057.239652017612</v>
      </c>
      <c r="FC179" s="830" t="str">
        <f t="shared" si="315"/>
        <v>Y</v>
      </c>
      <c r="FE179" s="830" t="str">
        <f>IFERROR(VLOOKUP($B179,'Historical Conc Grant Elig'!$B$3:$J$707,'HH &amp; SI'!FE$2,0),"N")</f>
        <v>Y</v>
      </c>
      <c r="FF179" s="830" t="str">
        <f>IFERROR(VLOOKUP($B179,'Historical Conc Grant Elig'!$B$3:$J$707,'HH &amp; SI'!FF$2,0),"N")</f>
        <v>Y</v>
      </c>
      <c r="FG179" s="830" t="str">
        <f>IFERROR(VLOOKUP($B179,'Historical Conc Grant Elig'!$B$3:$J$707,'HH &amp; SI'!FG$2,0),"N")</f>
        <v>Y</v>
      </c>
      <c r="FH179" s="830" t="str">
        <f>IFERROR(VLOOKUP($B179,'Historical Conc Grant Elig'!$B$3:$J$707,'HH &amp; SI'!FH$2,0),"N")</f>
        <v>Y</v>
      </c>
      <c r="FI179" s="830" t="str">
        <f>IFERROR(VLOOKUP($B179,'Historical Conc Grant Elig'!$B$3:$J$707,'HH &amp; SI'!FI$2,0),"N")</f>
        <v>Y</v>
      </c>
      <c r="FJ179" s="830" t="str">
        <f>IFERROR(VLOOKUP($B179,'Historical Conc Grant Elig'!$B$3:$J$707,'HH &amp; SI'!FJ$2,0),"N")</f>
        <v>Y</v>
      </c>
      <c r="FK179" s="830" t="str">
        <f>IFERROR(VLOOKUP($B179,'Historical Conc Grant Elig'!$B$3:$J$707,'HH &amp; SI'!FK$2,0),"N")</f>
        <v>Y</v>
      </c>
      <c r="FL179" s="957" t="str">
        <f>IFERROR(VLOOKUP($B179,'Historical Conc Grant Elig'!$B$3:$J$707,'HH &amp; SI'!FL$2,0),"N")</f>
        <v>Y</v>
      </c>
    </row>
    <row r="180" spans="2:168" x14ac:dyDescent="0.25">
      <c r="B180" s="634">
        <v>78522000</v>
      </c>
      <c r="C180" s="635" t="str">
        <f>VLOOKUP($B180,'Afton Update'!$A$5:$CR$582,'Afton Update'!D$589,0)</f>
        <v>Imagine Middle at Surprise  Inc.</v>
      </c>
      <c r="D180" s="636">
        <f>IFERROR(VLOOKUP($B180,'Afton FY16 Final'!$A$5:$BV$587,'Afton FY16 Final'!AQ$587,0),0)</f>
        <v>26398.918697224064</v>
      </c>
      <c r="E180" s="637">
        <f>IFERROR(VLOOKUP($B180,'Afton FY16 Final'!$A$5:$BV$587,'Afton FY16 Final'!AR$587,0),0)</f>
        <v>7111.3916252761319</v>
      </c>
      <c r="F180" s="637">
        <f>IFERROR(VLOOKUP($B180,'Afton FY16 Final'!$A$5:$BV$587,'Afton FY16 Final'!AS$587,0),0)</f>
        <v>13997.092397095406</v>
      </c>
      <c r="G180" s="637">
        <f>IFERROR(VLOOKUP($B180,'Afton FY16 Final'!$A$5:$BV$587,'Afton FY16 Final'!AT$587,0),0)</f>
        <v>13486.102174903846</v>
      </c>
      <c r="H180" s="638">
        <f>IFERROR(VLOOKUP($B180,'Afton FY16 Final'!$A$5:$BV$587,'Afton FY16 Final'!AU$587,0),0)</f>
        <v>60993.504894499449</v>
      </c>
      <c r="I180" s="639" t="str">
        <f>VLOOKUP($B180,'Afton Update'!$A$5:$CR$582,'Afton Update'!BT$589,0)</f>
        <v>Y</v>
      </c>
      <c r="J180" s="640" t="str">
        <f>VLOOKUP($B180,'Afton Update'!$A$5:$CR$582,'Afton Update'!BU$589,0)</f>
        <v>N</v>
      </c>
      <c r="K180" s="640" t="str">
        <f>VLOOKUP($B180,'Afton Update'!$A$5:$CR$582,'Afton Update'!BV$589,0)</f>
        <v>Y</v>
      </c>
      <c r="L180" s="641" t="str">
        <f>VLOOKUP($B180,'Afton Update'!$A$5:$CR$582,'Afton Update'!BW$589,0)</f>
        <v>Y</v>
      </c>
      <c r="N180" s="642">
        <f>VLOOKUP($B180,'Afton Update'!$A$5:$CR$582,'Afton Update'!CB$589,0)</f>
        <v>0.85</v>
      </c>
      <c r="P180" s="636">
        <f>VLOOKUP($B180,'Afton Update'!$A$5:$CR$582,'Afton Update'!AH$589,0)</f>
        <v>25112.81187795497</v>
      </c>
      <c r="Q180" s="637" t="str">
        <f>VLOOKUP($B180,'Afton Update'!$A$5:$CR$582,'Afton Update'!AI$589,0)</f>
        <v/>
      </c>
      <c r="R180" s="637">
        <f>VLOOKUP($B180,'Afton Update'!$A$5:$CR$582,'Afton Update'!AJ$589,0)</f>
        <v>14722.914872976522</v>
      </c>
      <c r="S180" s="637">
        <f>VLOOKUP($B180,'Afton Update'!$A$5:$CR$582,'Afton Update'!AK$589,0)</f>
        <v>13705.099751885031</v>
      </c>
      <c r="T180" s="643">
        <f t="shared" si="268"/>
        <v>53540.826502816519</v>
      </c>
      <c r="V180" s="636">
        <f t="shared" si="316"/>
        <v>24770.256824125983</v>
      </c>
      <c r="W180" s="637">
        <f t="shared" si="317"/>
        <v>6044.6828814847122</v>
      </c>
      <c r="X180" s="637">
        <f t="shared" si="318"/>
        <v>14589.015710551565</v>
      </c>
      <c r="Y180" s="637">
        <f t="shared" si="319"/>
        <v>13554.094223059012</v>
      </c>
      <c r="Z180" s="643">
        <f t="shared" si="320"/>
        <v>58958.049639221281</v>
      </c>
      <c r="AB180" s="644">
        <f t="shared" si="269"/>
        <v>25112.81187795497</v>
      </c>
      <c r="AC180" s="645">
        <f t="shared" si="257"/>
        <v>22439.080892640453</v>
      </c>
      <c r="AD180" s="644">
        <f t="shared" si="321"/>
        <v>0</v>
      </c>
      <c r="AE180" s="645">
        <f t="shared" si="322"/>
        <v>25112.81187795497</v>
      </c>
      <c r="AF180" s="646">
        <f t="shared" si="323"/>
        <v>-311.29217500302076</v>
      </c>
      <c r="AG180" s="647">
        <f t="shared" si="324"/>
        <v>24801.519702951948</v>
      </c>
      <c r="AH180" s="644">
        <f t="shared" si="270"/>
        <v>0</v>
      </c>
      <c r="AI180" s="645">
        <f t="shared" si="271"/>
        <v>24801.519702951948</v>
      </c>
      <c r="AJ180" s="646">
        <f t="shared" si="325"/>
        <v>-31.242961341887241</v>
      </c>
      <c r="AK180" s="647">
        <f t="shared" si="272"/>
        <v>24770.276741610061</v>
      </c>
      <c r="AL180" s="644">
        <f t="shared" si="326"/>
        <v>0</v>
      </c>
      <c r="AM180" s="645">
        <f t="shared" si="327"/>
        <v>24770.276741610061</v>
      </c>
      <c r="AN180" s="646">
        <f t="shared" si="328"/>
        <v>-1.991748407836914E-2</v>
      </c>
      <c r="AO180" s="647">
        <f t="shared" si="273"/>
        <v>24770.256824125983</v>
      </c>
      <c r="AP180" s="644">
        <f t="shared" si="329"/>
        <v>0</v>
      </c>
      <c r="AQ180" s="645">
        <f t="shared" si="330"/>
        <v>24770.256824125983</v>
      </c>
      <c r="AR180" s="646">
        <f t="shared" si="331"/>
        <v>0</v>
      </c>
      <c r="AS180" s="647">
        <f t="shared" si="274"/>
        <v>24770.256824125983</v>
      </c>
      <c r="AT180" s="644">
        <f t="shared" si="332"/>
        <v>0</v>
      </c>
      <c r="AU180" s="645">
        <f t="shared" si="333"/>
        <v>24770.256824125983</v>
      </c>
      <c r="AV180" s="646">
        <f t="shared" si="334"/>
        <v>0</v>
      </c>
      <c r="AW180" s="647">
        <f t="shared" si="275"/>
        <v>24770.256824125983</v>
      </c>
      <c r="AY180" s="644">
        <f t="shared" si="335"/>
        <v>0</v>
      </c>
      <c r="AZ180" s="645">
        <f t="shared" si="276"/>
        <v>6044.6828814847122</v>
      </c>
      <c r="BA180" s="644">
        <f t="shared" si="336"/>
        <v>0</v>
      </c>
      <c r="BB180" s="645">
        <f t="shared" si="337"/>
        <v>0</v>
      </c>
      <c r="BC180" s="646">
        <f t="shared" si="338"/>
        <v>0</v>
      </c>
      <c r="BD180" s="647">
        <f t="shared" si="339"/>
        <v>0</v>
      </c>
      <c r="BE180" s="644">
        <f t="shared" si="277"/>
        <v>-6044.6828814847122</v>
      </c>
      <c r="BF180" s="645">
        <f t="shared" si="278"/>
        <v>0</v>
      </c>
      <c r="BG180" s="646">
        <f t="shared" si="340"/>
        <v>0</v>
      </c>
      <c r="BH180" s="647">
        <f t="shared" si="279"/>
        <v>6044.6828814847122</v>
      </c>
      <c r="BI180" s="644">
        <f t="shared" si="341"/>
        <v>0</v>
      </c>
      <c r="BJ180" s="645">
        <f t="shared" si="342"/>
        <v>0</v>
      </c>
      <c r="BK180" s="646">
        <f t="shared" si="343"/>
        <v>0</v>
      </c>
      <c r="BL180" s="647">
        <f t="shared" si="280"/>
        <v>6044.6828814847122</v>
      </c>
      <c r="BM180" s="644">
        <f t="shared" si="344"/>
        <v>0</v>
      </c>
      <c r="BN180" s="645">
        <f t="shared" si="345"/>
        <v>0</v>
      </c>
      <c r="BO180" s="646">
        <f t="shared" si="346"/>
        <v>0</v>
      </c>
      <c r="BP180" s="647">
        <f t="shared" si="281"/>
        <v>6044.6828814847122</v>
      </c>
      <c r="BQ180" s="644">
        <f t="shared" si="347"/>
        <v>0</v>
      </c>
      <c r="BR180" s="645">
        <f t="shared" si="348"/>
        <v>0</v>
      </c>
      <c r="BS180" s="646">
        <f t="shared" si="349"/>
        <v>0</v>
      </c>
      <c r="BT180" s="647">
        <f t="shared" si="282"/>
        <v>6044.6828814847122</v>
      </c>
      <c r="BU180" s="662">
        <f>VLOOKUP(B180,'Afton Update'!$A$5:$AR$582,'Afton Update'!$AO$589,0)-BT180</f>
        <v>0</v>
      </c>
      <c r="BV180" s="644">
        <f t="shared" si="350"/>
        <v>14722.914872976522</v>
      </c>
      <c r="BW180" s="645">
        <f t="shared" si="258"/>
        <v>11897.528537531096</v>
      </c>
      <c r="BX180" s="644">
        <f t="shared" si="351"/>
        <v>0</v>
      </c>
      <c r="BY180" s="645">
        <f t="shared" si="352"/>
        <v>14722.914872976522</v>
      </c>
      <c r="BZ180" s="646">
        <f t="shared" si="353"/>
        <v>-129.22458916293712</v>
      </c>
      <c r="CA180" s="647">
        <f t="shared" si="354"/>
        <v>14593.690283813585</v>
      </c>
      <c r="CB180" s="644">
        <f t="shared" si="283"/>
        <v>0</v>
      </c>
      <c r="CC180" s="645">
        <f t="shared" si="284"/>
        <v>14593.690283813585</v>
      </c>
      <c r="CD180" s="646">
        <f t="shared" si="355"/>
        <v>-4.674573262019396</v>
      </c>
      <c r="CE180" s="647">
        <f t="shared" si="285"/>
        <v>14589.015710551565</v>
      </c>
      <c r="CF180" s="644">
        <f t="shared" si="356"/>
        <v>0</v>
      </c>
      <c r="CG180" s="645">
        <f t="shared" si="357"/>
        <v>14589.015710551565</v>
      </c>
      <c r="CH180" s="646">
        <f t="shared" si="358"/>
        <v>0</v>
      </c>
      <c r="CI180" s="647">
        <f t="shared" si="286"/>
        <v>14589.015710551565</v>
      </c>
      <c r="CJ180" s="644">
        <f t="shared" si="359"/>
        <v>0</v>
      </c>
      <c r="CK180" s="645">
        <f t="shared" si="360"/>
        <v>14589.015710551565</v>
      </c>
      <c r="CL180" s="646">
        <f t="shared" si="361"/>
        <v>0</v>
      </c>
      <c r="CM180" s="647">
        <f t="shared" si="287"/>
        <v>14589.015710551565</v>
      </c>
      <c r="CN180" s="644">
        <f t="shared" si="362"/>
        <v>0</v>
      </c>
      <c r="CO180" s="645">
        <f t="shared" si="363"/>
        <v>14589.015710551565</v>
      </c>
      <c r="CP180" s="646">
        <f t="shared" si="364"/>
        <v>0</v>
      </c>
      <c r="CQ180" s="647">
        <f t="shared" si="288"/>
        <v>14589.015710551565</v>
      </c>
      <c r="CS180" s="644">
        <f t="shared" si="365"/>
        <v>13705.099751885031</v>
      </c>
      <c r="CT180" s="645">
        <f t="shared" si="259"/>
        <v>11463.186848668269</v>
      </c>
      <c r="CU180" s="644">
        <f t="shared" si="366"/>
        <v>0</v>
      </c>
      <c r="CV180" s="645">
        <f t="shared" si="367"/>
        <v>13705.099751885031</v>
      </c>
      <c r="CW180" s="646">
        <f t="shared" si="368"/>
        <v>-140.34796651235166</v>
      </c>
      <c r="CX180" s="647">
        <f t="shared" si="369"/>
        <v>13564.751785372679</v>
      </c>
      <c r="CY180" s="644">
        <f t="shared" si="289"/>
        <v>0</v>
      </c>
      <c r="CZ180" s="645">
        <f t="shared" si="290"/>
        <v>13564.751785372679</v>
      </c>
      <c r="DA180" s="646">
        <f t="shared" si="370"/>
        <v>-10.648379412703921</v>
      </c>
      <c r="DB180" s="647">
        <f t="shared" si="291"/>
        <v>13554.103405959975</v>
      </c>
      <c r="DC180" s="644">
        <f t="shared" si="371"/>
        <v>0</v>
      </c>
      <c r="DD180" s="645">
        <f t="shared" si="372"/>
        <v>13554.103405959975</v>
      </c>
      <c r="DE180" s="646">
        <f t="shared" si="373"/>
        <v>-9.1829009625579664E-3</v>
      </c>
      <c r="DF180" s="647">
        <f t="shared" si="292"/>
        <v>13554.094223059012</v>
      </c>
      <c r="DG180" s="644">
        <f t="shared" si="374"/>
        <v>0</v>
      </c>
      <c r="DH180" s="645">
        <f t="shared" si="375"/>
        <v>13554.094223059012</v>
      </c>
      <c r="DI180" s="646">
        <f t="shared" si="376"/>
        <v>0</v>
      </c>
      <c r="DJ180" s="647">
        <f t="shared" si="293"/>
        <v>13554.094223059012</v>
      </c>
      <c r="DK180" s="644">
        <f t="shared" si="377"/>
        <v>0</v>
      </c>
      <c r="DL180" s="645">
        <f t="shared" si="378"/>
        <v>13554.094223059012</v>
      </c>
      <c r="DM180" s="646">
        <f t="shared" si="379"/>
        <v>0</v>
      </c>
      <c r="DN180" s="647">
        <f t="shared" si="294"/>
        <v>13554.094223059012</v>
      </c>
      <c r="DR180" s="827">
        <f t="shared" si="295"/>
        <v>58958.049639221281</v>
      </c>
      <c r="DV180" s="828">
        <f>IFERROR(VLOOKUP($B180,'Afton FY16 Final'!$A$5:$BV$587,'Afton FY16 Final'!$BV$587,0),0)</f>
        <v>59792.542793227818</v>
      </c>
      <c r="DX180" s="636">
        <f t="shared" si="260"/>
        <v>0</v>
      </c>
      <c r="DY180" s="637">
        <f t="shared" si="261"/>
        <v>0</v>
      </c>
      <c r="DZ180" s="637">
        <f t="shared" si="262"/>
        <v>0</v>
      </c>
      <c r="EA180" s="643">
        <f t="shared" si="263"/>
        <v>0</v>
      </c>
      <c r="EB180" s="637">
        <f t="shared" si="296"/>
        <v>0</v>
      </c>
      <c r="EC180" s="637">
        <f t="shared" si="297"/>
        <v>0</v>
      </c>
      <c r="ED180" s="637">
        <f t="shared" si="298"/>
        <v>0</v>
      </c>
      <c r="EE180" s="643">
        <f t="shared" si="299"/>
        <v>0</v>
      </c>
      <c r="EF180" s="637">
        <f t="shared" si="300"/>
        <v>0</v>
      </c>
      <c r="EG180" s="637">
        <f t="shared" si="301"/>
        <v>0</v>
      </c>
      <c r="EH180" s="637">
        <f t="shared" si="302"/>
        <v>0</v>
      </c>
      <c r="EI180" s="643">
        <f t="shared" si="303"/>
        <v>0</v>
      </c>
      <c r="EJ180" s="637">
        <f t="shared" si="304"/>
        <v>0</v>
      </c>
      <c r="EK180" s="637">
        <f t="shared" si="305"/>
        <v>0</v>
      </c>
      <c r="EL180" s="637">
        <f t="shared" si="306"/>
        <v>0</v>
      </c>
      <c r="EM180" s="643">
        <f t="shared" si="307"/>
        <v>0</v>
      </c>
      <c r="EN180" s="637">
        <f t="shared" si="308"/>
        <v>0</v>
      </c>
      <c r="EO180" s="637">
        <f t="shared" si="309"/>
        <v>0</v>
      </c>
      <c r="EP180" s="637">
        <f t="shared" si="310"/>
        <v>0</v>
      </c>
      <c r="EQ180" s="643">
        <f t="shared" si="311"/>
        <v>0</v>
      </c>
      <c r="ER180" s="637">
        <f t="shared" si="312"/>
        <v>0</v>
      </c>
      <c r="ES180" s="637">
        <f t="shared" si="313"/>
        <v>0</v>
      </c>
      <c r="ET180" s="637">
        <f t="shared" si="314"/>
        <v>0</v>
      </c>
      <c r="EU180" s="643">
        <f t="shared" si="264"/>
        <v>0</v>
      </c>
      <c r="EV180" s="643">
        <f t="shared" si="265"/>
        <v>0</v>
      </c>
      <c r="EX180" s="829">
        <f t="shared" si="266"/>
        <v>0</v>
      </c>
      <c r="EY180" s="638">
        <f t="shared" si="267"/>
        <v>58958.049639221281</v>
      </c>
      <c r="FC180" s="830" t="str">
        <f t="shared" si="315"/>
        <v>Y</v>
      </c>
      <c r="FE180" s="830" t="str">
        <f>IFERROR(VLOOKUP($B180,'Historical Conc Grant Elig'!$B$3:$J$707,'HH &amp; SI'!FE$2,0),"N")</f>
        <v>N</v>
      </c>
      <c r="FF180" s="830" t="str">
        <f>IFERROR(VLOOKUP($B180,'Historical Conc Grant Elig'!$B$3:$J$707,'HH &amp; SI'!FF$2,0),"N")</f>
        <v>N</v>
      </c>
      <c r="FG180" s="830" t="str">
        <f>IFERROR(VLOOKUP($B180,'Historical Conc Grant Elig'!$B$3:$J$707,'HH &amp; SI'!FG$2,0),"N")</f>
        <v>N</v>
      </c>
      <c r="FH180" s="830" t="str">
        <f>IFERROR(VLOOKUP($B180,'Historical Conc Grant Elig'!$B$3:$J$707,'HH &amp; SI'!FH$2,0),"N")</f>
        <v>Y</v>
      </c>
      <c r="FI180" s="830" t="str">
        <f>IFERROR(VLOOKUP($B180,'Historical Conc Grant Elig'!$B$3:$J$707,'HH &amp; SI'!FI$2,0),"N")</f>
        <v>Y</v>
      </c>
      <c r="FJ180" s="830" t="str">
        <f>IFERROR(VLOOKUP($B180,'Historical Conc Grant Elig'!$B$3:$J$707,'HH &amp; SI'!FJ$2,0),"N")</f>
        <v>Y</v>
      </c>
      <c r="FK180" s="830" t="str">
        <f>IFERROR(VLOOKUP($B180,'Historical Conc Grant Elig'!$B$3:$J$707,'HH &amp; SI'!FK$2,0),"N")</f>
        <v>Y</v>
      </c>
      <c r="FL180" s="957" t="str">
        <f>IFERROR(VLOOKUP($B180,'Historical Conc Grant Elig'!$B$3:$J$707,'HH &amp; SI'!FL$2,0),"N")</f>
        <v>N</v>
      </c>
    </row>
    <row r="181" spans="2:168" x14ac:dyDescent="0.25">
      <c r="B181" s="634">
        <v>78523000</v>
      </c>
      <c r="C181" s="635" t="str">
        <f>VLOOKUP($B181,'Afton Update'!$A$5:$CR$582,'Afton Update'!D$589,0)</f>
        <v>Imagine Elementary at Tempe  Inc.</v>
      </c>
      <c r="D181" s="636">
        <f>IFERROR(VLOOKUP($B181,'Afton FY16 Final'!$A$5:$BV$587,'Afton FY16 Final'!AQ$587,0),0)</f>
        <v>66170.998180985101</v>
      </c>
      <c r="E181" s="637">
        <f>IFERROR(VLOOKUP($B181,'Afton FY16 Final'!$A$5:$BV$587,'Afton FY16 Final'!AR$587,0),0)</f>
        <v>15343.941609415255</v>
      </c>
      <c r="F181" s="637">
        <f>IFERROR(VLOOKUP($B181,'Afton FY16 Final'!$A$5:$BV$587,'Afton FY16 Final'!AS$587,0),0)</f>
        <v>35911.777993659205</v>
      </c>
      <c r="G181" s="637">
        <f>IFERROR(VLOOKUP($B181,'Afton FY16 Final'!$A$5:$BV$587,'Afton FY16 Final'!AT$587,0),0)</f>
        <v>30153.624609930768</v>
      </c>
      <c r="H181" s="638">
        <f>IFERROR(VLOOKUP($B181,'Afton FY16 Final'!$A$5:$BV$587,'Afton FY16 Final'!AU$587,0),0)</f>
        <v>147580.34239399032</v>
      </c>
      <c r="I181" s="639" t="str">
        <f>VLOOKUP($B181,'Afton Update'!$A$5:$CR$582,'Afton Update'!BT$589,0)</f>
        <v>Y</v>
      </c>
      <c r="J181" s="640" t="str">
        <f>VLOOKUP($B181,'Afton Update'!$A$5:$CR$582,'Afton Update'!BU$589,0)</f>
        <v>Y</v>
      </c>
      <c r="K181" s="640" t="str">
        <f>VLOOKUP($B181,'Afton Update'!$A$5:$CR$582,'Afton Update'!BV$589,0)</f>
        <v>Y</v>
      </c>
      <c r="L181" s="641" t="str">
        <f>VLOOKUP($B181,'Afton Update'!$A$5:$CR$582,'Afton Update'!BW$589,0)</f>
        <v>Y</v>
      </c>
      <c r="N181" s="642">
        <f>VLOOKUP($B181,'Afton Update'!$A$5:$CR$582,'Afton Update'!CB$589,0)</f>
        <v>0.95</v>
      </c>
      <c r="P181" s="636">
        <f>VLOOKUP($B181,'Afton Update'!$A$5:$CR$582,'Afton Update'!AH$589,0)</f>
        <v>42811.365010989903</v>
      </c>
      <c r="Q181" s="637">
        <f>VLOOKUP($B181,'Afton Update'!$A$5:$CR$582,'Afton Update'!AI$589,0)</f>
        <v>10984.142820841545</v>
      </c>
      <c r="R181" s="637">
        <f>VLOOKUP($B181,'Afton Update'!$A$5:$CR$582,'Afton Update'!AJ$589,0)</f>
        <v>25081.205281109505</v>
      </c>
      <c r="S181" s="637">
        <f>VLOOKUP($B181,'Afton Update'!$A$5:$CR$582,'Afton Update'!AK$589,0)</f>
        <v>23347.307461923625</v>
      </c>
      <c r="T181" s="643">
        <f t="shared" si="268"/>
        <v>102224.02057486458</v>
      </c>
      <c r="V181" s="636">
        <f t="shared" si="316"/>
        <v>62862.448271935842</v>
      </c>
      <c r="W181" s="637">
        <f t="shared" si="317"/>
        <v>14576.744528944491</v>
      </c>
      <c r="X181" s="637">
        <f t="shared" si="318"/>
        <v>34116.189093976245</v>
      </c>
      <c r="Y181" s="637">
        <f t="shared" si="319"/>
        <v>28645.943379434229</v>
      </c>
      <c r="Z181" s="643">
        <f t="shared" si="320"/>
        <v>140201.32527429081</v>
      </c>
      <c r="AB181" s="644">
        <f t="shared" si="269"/>
        <v>42811.365010989903</v>
      </c>
      <c r="AC181" s="645">
        <f t="shared" si="257"/>
        <v>62862.448271935842</v>
      </c>
      <c r="AD181" s="644">
        <f t="shared" si="321"/>
        <v>20051.083260945939</v>
      </c>
      <c r="AE181" s="645">
        <f t="shared" si="322"/>
        <v>0</v>
      </c>
      <c r="AF181" s="646">
        <f t="shared" si="323"/>
        <v>0</v>
      </c>
      <c r="AG181" s="647">
        <f t="shared" si="324"/>
        <v>62862.448271935842</v>
      </c>
      <c r="AH181" s="644">
        <f t="shared" si="270"/>
        <v>0</v>
      </c>
      <c r="AI181" s="645">
        <f t="shared" si="271"/>
        <v>0</v>
      </c>
      <c r="AJ181" s="646">
        <f t="shared" si="325"/>
        <v>0</v>
      </c>
      <c r="AK181" s="647">
        <f t="shared" si="272"/>
        <v>62862.448271935842</v>
      </c>
      <c r="AL181" s="644">
        <f t="shared" si="326"/>
        <v>0</v>
      </c>
      <c r="AM181" s="645">
        <f t="shared" si="327"/>
        <v>0</v>
      </c>
      <c r="AN181" s="646">
        <f t="shared" si="328"/>
        <v>0</v>
      </c>
      <c r="AO181" s="647">
        <f t="shared" si="273"/>
        <v>62862.448271935842</v>
      </c>
      <c r="AP181" s="644">
        <f t="shared" si="329"/>
        <v>0</v>
      </c>
      <c r="AQ181" s="645">
        <f t="shared" si="330"/>
        <v>0</v>
      </c>
      <c r="AR181" s="646">
        <f t="shared" si="331"/>
        <v>0</v>
      </c>
      <c r="AS181" s="647">
        <f t="shared" si="274"/>
        <v>62862.448271935842</v>
      </c>
      <c r="AT181" s="644">
        <f t="shared" si="332"/>
        <v>0</v>
      </c>
      <c r="AU181" s="645">
        <f t="shared" si="333"/>
        <v>0</v>
      </c>
      <c r="AV181" s="646">
        <f t="shared" si="334"/>
        <v>0</v>
      </c>
      <c r="AW181" s="647">
        <f t="shared" si="275"/>
        <v>62862.448271935842</v>
      </c>
      <c r="AY181" s="644">
        <f t="shared" si="335"/>
        <v>10984.142820841545</v>
      </c>
      <c r="AZ181" s="645">
        <f t="shared" si="276"/>
        <v>14576.744528944491</v>
      </c>
      <c r="BA181" s="644">
        <f t="shared" si="336"/>
        <v>3592.6017081029458</v>
      </c>
      <c r="BB181" s="645">
        <f t="shared" si="337"/>
        <v>0</v>
      </c>
      <c r="BC181" s="646">
        <f t="shared" si="338"/>
        <v>0</v>
      </c>
      <c r="BD181" s="647">
        <f t="shared" si="339"/>
        <v>14576.744528944491</v>
      </c>
      <c r="BE181" s="644">
        <f t="shared" si="277"/>
        <v>0</v>
      </c>
      <c r="BF181" s="645">
        <f t="shared" si="278"/>
        <v>0</v>
      </c>
      <c r="BG181" s="646">
        <f t="shared" si="340"/>
        <v>0</v>
      </c>
      <c r="BH181" s="647">
        <f t="shared" si="279"/>
        <v>14576.744528944491</v>
      </c>
      <c r="BI181" s="644">
        <f t="shared" si="341"/>
        <v>0</v>
      </c>
      <c r="BJ181" s="645">
        <f t="shared" si="342"/>
        <v>0</v>
      </c>
      <c r="BK181" s="646">
        <f t="shared" si="343"/>
        <v>0</v>
      </c>
      <c r="BL181" s="647">
        <f t="shared" si="280"/>
        <v>14576.744528944491</v>
      </c>
      <c r="BM181" s="644">
        <f t="shared" si="344"/>
        <v>0</v>
      </c>
      <c r="BN181" s="645">
        <f t="shared" si="345"/>
        <v>0</v>
      </c>
      <c r="BO181" s="646">
        <f t="shared" si="346"/>
        <v>0</v>
      </c>
      <c r="BP181" s="647">
        <f t="shared" si="281"/>
        <v>14576.744528944491</v>
      </c>
      <c r="BQ181" s="644">
        <f t="shared" si="347"/>
        <v>0</v>
      </c>
      <c r="BR181" s="645">
        <f t="shared" si="348"/>
        <v>0</v>
      </c>
      <c r="BS181" s="646">
        <f t="shared" si="349"/>
        <v>0</v>
      </c>
      <c r="BT181" s="647">
        <f t="shared" si="282"/>
        <v>14576.744528944491</v>
      </c>
      <c r="BU181" s="662">
        <f>VLOOKUP(B181,'Afton Update'!$A$5:$AR$582,'Afton Update'!$AO$589,0)-BT181</f>
        <v>0</v>
      </c>
      <c r="BV181" s="644">
        <f t="shared" si="350"/>
        <v>25081.205281109505</v>
      </c>
      <c r="BW181" s="645">
        <f t="shared" si="258"/>
        <v>34116.189093976245</v>
      </c>
      <c r="BX181" s="644">
        <f t="shared" si="351"/>
        <v>9034.9838128667398</v>
      </c>
      <c r="BY181" s="645">
        <f t="shared" si="352"/>
        <v>0</v>
      </c>
      <c r="BZ181" s="646">
        <f t="shared" si="353"/>
        <v>0</v>
      </c>
      <c r="CA181" s="647">
        <f t="shared" si="354"/>
        <v>34116.189093976245</v>
      </c>
      <c r="CB181" s="644">
        <f t="shared" si="283"/>
        <v>0</v>
      </c>
      <c r="CC181" s="645">
        <f t="shared" si="284"/>
        <v>0</v>
      </c>
      <c r="CD181" s="646">
        <f t="shared" si="355"/>
        <v>0</v>
      </c>
      <c r="CE181" s="647">
        <f t="shared" si="285"/>
        <v>34116.189093976245</v>
      </c>
      <c r="CF181" s="644">
        <f t="shared" si="356"/>
        <v>0</v>
      </c>
      <c r="CG181" s="645">
        <f t="shared" si="357"/>
        <v>0</v>
      </c>
      <c r="CH181" s="646">
        <f t="shared" si="358"/>
        <v>0</v>
      </c>
      <c r="CI181" s="647">
        <f t="shared" si="286"/>
        <v>34116.189093976245</v>
      </c>
      <c r="CJ181" s="644">
        <f t="shared" si="359"/>
        <v>0</v>
      </c>
      <c r="CK181" s="645">
        <f t="shared" si="360"/>
        <v>0</v>
      </c>
      <c r="CL181" s="646">
        <f t="shared" si="361"/>
        <v>0</v>
      </c>
      <c r="CM181" s="647">
        <f t="shared" si="287"/>
        <v>34116.189093976245</v>
      </c>
      <c r="CN181" s="644">
        <f t="shared" si="362"/>
        <v>0</v>
      </c>
      <c r="CO181" s="645">
        <f t="shared" si="363"/>
        <v>0</v>
      </c>
      <c r="CP181" s="646">
        <f t="shared" si="364"/>
        <v>0</v>
      </c>
      <c r="CQ181" s="647">
        <f t="shared" si="288"/>
        <v>34116.189093976245</v>
      </c>
      <c r="CS181" s="644">
        <f t="shared" si="365"/>
        <v>23347.307461923625</v>
      </c>
      <c r="CT181" s="645">
        <f t="shared" si="259"/>
        <v>28645.943379434229</v>
      </c>
      <c r="CU181" s="644">
        <f t="shared" si="366"/>
        <v>5298.6359175106045</v>
      </c>
      <c r="CV181" s="645">
        <f t="shared" si="367"/>
        <v>0</v>
      </c>
      <c r="CW181" s="646">
        <f t="shared" si="368"/>
        <v>0</v>
      </c>
      <c r="CX181" s="647">
        <f t="shared" si="369"/>
        <v>28645.943379434229</v>
      </c>
      <c r="CY181" s="644">
        <f t="shared" si="289"/>
        <v>0</v>
      </c>
      <c r="CZ181" s="645">
        <f t="shared" si="290"/>
        <v>0</v>
      </c>
      <c r="DA181" s="646">
        <f t="shared" si="370"/>
        <v>0</v>
      </c>
      <c r="DB181" s="647">
        <f t="shared" si="291"/>
        <v>28645.943379434229</v>
      </c>
      <c r="DC181" s="644">
        <f t="shared" si="371"/>
        <v>0</v>
      </c>
      <c r="DD181" s="645">
        <f t="shared" si="372"/>
        <v>0</v>
      </c>
      <c r="DE181" s="646">
        <f t="shared" si="373"/>
        <v>0</v>
      </c>
      <c r="DF181" s="647">
        <f t="shared" si="292"/>
        <v>28645.943379434229</v>
      </c>
      <c r="DG181" s="644">
        <f t="shared" si="374"/>
        <v>0</v>
      </c>
      <c r="DH181" s="645">
        <f t="shared" si="375"/>
        <v>0</v>
      </c>
      <c r="DI181" s="646">
        <f t="shared" si="376"/>
        <v>0</v>
      </c>
      <c r="DJ181" s="647">
        <f t="shared" si="293"/>
        <v>28645.943379434229</v>
      </c>
      <c r="DK181" s="644">
        <f t="shared" si="377"/>
        <v>0</v>
      </c>
      <c r="DL181" s="645">
        <f t="shared" si="378"/>
        <v>0</v>
      </c>
      <c r="DM181" s="646">
        <f t="shared" si="379"/>
        <v>0</v>
      </c>
      <c r="DN181" s="647">
        <f t="shared" si="294"/>
        <v>28645.943379434229</v>
      </c>
      <c r="DR181" s="827">
        <f t="shared" si="295"/>
        <v>140201.32527429081</v>
      </c>
      <c r="DV181" s="828">
        <f>IFERROR(VLOOKUP($B181,'Afton FY16 Final'!$A$5:$BV$587,'Afton FY16 Final'!$BV$587,0),0)</f>
        <v>131026.31136465109</v>
      </c>
      <c r="DX181" s="636">
        <f t="shared" si="260"/>
        <v>140201.32527429081</v>
      </c>
      <c r="DY181" s="637">
        <f t="shared" si="261"/>
        <v>9175.0139096397179</v>
      </c>
      <c r="DZ181" s="637">
        <f t="shared" si="262"/>
        <v>131026.31136465109</v>
      </c>
      <c r="EA181" s="643">
        <f t="shared" si="263"/>
        <v>132744.1860621651</v>
      </c>
      <c r="EB181" s="637">
        <f t="shared" si="296"/>
        <v>0</v>
      </c>
      <c r="EC181" s="637">
        <f t="shared" si="297"/>
        <v>132744.1860621651</v>
      </c>
      <c r="ED181" s="637">
        <f t="shared" si="298"/>
        <v>132348.35082518123</v>
      </c>
      <c r="EE181" s="643">
        <f t="shared" si="299"/>
        <v>132348.35082518123</v>
      </c>
      <c r="EF181" s="637">
        <f t="shared" si="300"/>
        <v>0</v>
      </c>
      <c r="EG181" s="637">
        <f t="shared" si="301"/>
        <v>132348.35082518123</v>
      </c>
      <c r="EH181" s="637">
        <f t="shared" si="302"/>
        <v>132348.21428655362</v>
      </c>
      <c r="EI181" s="643">
        <f t="shared" si="303"/>
        <v>132348.21428655362</v>
      </c>
      <c r="EJ181" s="637">
        <f t="shared" si="304"/>
        <v>0</v>
      </c>
      <c r="EK181" s="637">
        <f t="shared" si="305"/>
        <v>132348.21428655362</v>
      </c>
      <c r="EL181" s="637">
        <f t="shared" si="306"/>
        <v>132348.21428655344</v>
      </c>
      <c r="EM181" s="643">
        <f t="shared" si="307"/>
        <v>132348.21428655344</v>
      </c>
      <c r="EN181" s="637">
        <f t="shared" si="308"/>
        <v>0</v>
      </c>
      <c r="EO181" s="637">
        <f t="shared" si="309"/>
        <v>132348.21428655344</v>
      </c>
      <c r="EP181" s="637">
        <f t="shared" si="310"/>
        <v>132348.21428655364</v>
      </c>
      <c r="EQ181" s="643">
        <f t="shared" si="311"/>
        <v>132348.21428655364</v>
      </c>
      <c r="ER181" s="637">
        <f t="shared" si="312"/>
        <v>0</v>
      </c>
      <c r="ES181" s="637">
        <f t="shared" si="313"/>
        <v>132348.21428655364</v>
      </c>
      <c r="ET181" s="637">
        <f t="shared" si="314"/>
        <v>132348.21428655344</v>
      </c>
      <c r="EU181" s="643">
        <f t="shared" si="264"/>
        <v>132348.21428655344</v>
      </c>
      <c r="EV181" s="643">
        <f t="shared" si="265"/>
        <v>0</v>
      </c>
      <c r="EX181" s="829">
        <f t="shared" si="266"/>
        <v>7853.1109877373674</v>
      </c>
      <c r="EY181" s="638">
        <f t="shared" si="267"/>
        <v>132348.21428655344</v>
      </c>
      <c r="FC181" s="830" t="str">
        <f t="shared" si="315"/>
        <v>Y</v>
      </c>
      <c r="FE181" s="830" t="str">
        <f>IFERROR(VLOOKUP($B181,'Historical Conc Grant Elig'!$B$3:$J$707,'HH &amp; SI'!FE$2,0),"N")</f>
        <v>Y</v>
      </c>
      <c r="FF181" s="830" t="str">
        <f>IFERROR(VLOOKUP($B181,'Historical Conc Grant Elig'!$B$3:$J$707,'HH &amp; SI'!FF$2,0),"N")</f>
        <v>Y</v>
      </c>
      <c r="FG181" s="830" t="str">
        <f>IFERROR(VLOOKUP($B181,'Historical Conc Grant Elig'!$B$3:$J$707,'HH &amp; SI'!FG$2,0),"N")</f>
        <v>Y</v>
      </c>
      <c r="FH181" s="830" t="str">
        <f>IFERROR(VLOOKUP($B181,'Historical Conc Grant Elig'!$B$3:$J$707,'HH &amp; SI'!FH$2,0),"N")</f>
        <v>Y</v>
      </c>
      <c r="FI181" s="830" t="str">
        <f>IFERROR(VLOOKUP($B181,'Historical Conc Grant Elig'!$B$3:$J$707,'HH &amp; SI'!FI$2,0),"N")</f>
        <v>Y</v>
      </c>
      <c r="FJ181" s="830" t="str">
        <f>IFERROR(VLOOKUP($B181,'Historical Conc Grant Elig'!$B$3:$J$707,'HH &amp; SI'!FJ$2,0),"N")</f>
        <v>Y</v>
      </c>
      <c r="FK181" s="830" t="str">
        <f>IFERROR(VLOOKUP($B181,'Historical Conc Grant Elig'!$B$3:$J$707,'HH &amp; SI'!FK$2,0),"N")</f>
        <v>Y</v>
      </c>
      <c r="FL181" s="957" t="str">
        <f>IFERROR(VLOOKUP($B181,'Historical Conc Grant Elig'!$B$3:$J$707,'HH &amp; SI'!FL$2,0),"N")</f>
        <v>Y</v>
      </c>
    </row>
    <row r="182" spans="2:168" x14ac:dyDescent="0.25">
      <c r="B182" s="634">
        <v>78524000</v>
      </c>
      <c r="C182" s="635" t="str">
        <f>VLOOKUP($B182,'Afton Update'!$A$5:$CR$582,'Afton Update'!D$589,0)</f>
        <v>Career Success Schools</v>
      </c>
      <c r="D182" s="636">
        <f>IFERROR(VLOOKUP($B182,'Afton FY16 Final'!$A$5:$BV$587,'Afton FY16 Final'!AQ$587,0),0)</f>
        <v>137527.51212992435</v>
      </c>
      <c r="E182" s="637">
        <f>IFERROR(VLOOKUP($B182,'Afton FY16 Final'!$A$5:$BV$587,'Afton FY16 Final'!AR$587,0),0)</f>
        <v>26307.433866844251</v>
      </c>
      <c r="F182" s="637">
        <f>IFERROR(VLOOKUP($B182,'Afton FY16 Final'!$A$5:$BV$587,'Afton FY16 Final'!AS$587,0),0)</f>
        <v>68995.011404667806</v>
      </c>
      <c r="G182" s="637">
        <f>IFERROR(VLOOKUP($B182,'Afton FY16 Final'!$A$5:$BV$587,'Afton FY16 Final'!AT$587,0),0)</f>
        <v>64746.613403474934</v>
      </c>
      <c r="H182" s="638">
        <f>IFERROR(VLOOKUP($B182,'Afton FY16 Final'!$A$5:$BV$587,'Afton FY16 Final'!AU$587,0),0)</f>
        <v>297576.57080491132</v>
      </c>
      <c r="I182" s="639" t="str">
        <f>VLOOKUP($B182,'Afton Update'!$A$5:$CR$582,'Afton Update'!BT$589,0)</f>
        <v>Y</v>
      </c>
      <c r="J182" s="640" t="str">
        <f>VLOOKUP($B182,'Afton Update'!$A$5:$CR$582,'Afton Update'!BU$589,0)</f>
        <v>Y</v>
      </c>
      <c r="K182" s="640" t="str">
        <f>VLOOKUP($B182,'Afton Update'!$A$5:$CR$582,'Afton Update'!BV$589,0)</f>
        <v>Y</v>
      </c>
      <c r="L182" s="641" t="str">
        <f>VLOOKUP($B182,'Afton Update'!$A$5:$CR$582,'Afton Update'!BW$589,0)</f>
        <v>Y</v>
      </c>
      <c r="N182" s="642">
        <f>VLOOKUP($B182,'Afton Update'!$A$5:$CR$582,'Afton Update'!CB$589,0)</f>
        <v>0.95</v>
      </c>
      <c r="P182" s="636">
        <f>VLOOKUP($B182,'Afton Update'!$A$5:$CR$582,'Afton Update'!AH$589,0)</f>
        <v>78208.471277059769</v>
      </c>
      <c r="Q182" s="637">
        <f>VLOOKUP($B182,'Afton Update'!$A$5:$CR$582,'Afton Update'!AI$589,0)</f>
        <v>18304.207473498547</v>
      </c>
      <c r="R182" s="637">
        <f>VLOOKUP($B182,'Afton Update'!$A$5:$CR$582,'Afton Update'!AJ$589,0)</f>
        <v>45797.78609737548</v>
      </c>
      <c r="S182" s="637">
        <f>VLOOKUP($B182,'Afton Update'!$A$5:$CR$582,'Afton Update'!AK$589,0)</f>
        <v>42631.722882000824</v>
      </c>
      <c r="T182" s="643">
        <f t="shared" si="268"/>
        <v>184942.18772993461</v>
      </c>
      <c r="V182" s="636">
        <f t="shared" si="316"/>
        <v>130651.13652342813</v>
      </c>
      <c r="W182" s="637">
        <f t="shared" si="317"/>
        <v>24992.062173502036</v>
      </c>
      <c r="X182" s="637">
        <f t="shared" si="318"/>
        <v>65545.260834434419</v>
      </c>
      <c r="Y182" s="637">
        <f t="shared" si="319"/>
        <v>61509.282733301181</v>
      </c>
      <c r="Z182" s="643">
        <f t="shared" si="320"/>
        <v>282697.74226466578</v>
      </c>
      <c r="AB182" s="644">
        <f t="shared" si="269"/>
        <v>78208.471277059769</v>
      </c>
      <c r="AC182" s="645">
        <f t="shared" si="257"/>
        <v>130651.13652342813</v>
      </c>
      <c r="AD182" s="644">
        <f t="shared" si="321"/>
        <v>52442.665246368357</v>
      </c>
      <c r="AE182" s="645">
        <f t="shared" si="322"/>
        <v>0</v>
      </c>
      <c r="AF182" s="646">
        <f t="shared" si="323"/>
        <v>0</v>
      </c>
      <c r="AG182" s="647">
        <f t="shared" si="324"/>
        <v>130651.13652342813</v>
      </c>
      <c r="AH182" s="644">
        <f t="shared" si="270"/>
        <v>0</v>
      </c>
      <c r="AI182" s="645">
        <f t="shared" si="271"/>
        <v>0</v>
      </c>
      <c r="AJ182" s="646">
        <f t="shared" si="325"/>
        <v>0</v>
      </c>
      <c r="AK182" s="647">
        <f t="shared" si="272"/>
        <v>130651.13652342813</v>
      </c>
      <c r="AL182" s="644">
        <f t="shared" si="326"/>
        <v>0</v>
      </c>
      <c r="AM182" s="645">
        <f t="shared" si="327"/>
        <v>0</v>
      </c>
      <c r="AN182" s="646">
        <f t="shared" si="328"/>
        <v>0</v>
      </c>
      <c r="AO182" s="647">
        <f t="shared" si="273"/>
        <v>130651.13652342813</v>
      </c>
      <c r="AP182" s="644">
        <f t="shared" si="329"/>
        <v>0</v>
      </c>
      <c r="AQ182" s="645">
        <f t="shared" si="330"/>
        <v>0</v>
      </c>
      <c r="AR182" s="646">
        <f t="shared" si="331"/>
        <v>0</v>
      </c>
      <c r="AS182" s="647">
        <f t="shared" si="274"/>
        <v>130651.13652342813</v>
      </c>
      <c r="AT182" s="644">
        <f t="shared" si="332"/>
        <v>0</v>
      </c>
      <c r="AU182" s="645">
        <f t="shared" si="333"/>
        <v>0</v>
      </c>
      <c r="AV182" s="646">
        <f t="shared" si="334"/>
        <v>0</v>
      </c>
      <c r="AW182" s="647">
        <f t="shared" si="275"/>
        <v>130651.13652342813</v>
      </c>
      <c r="AY182" s="644">
        <f t="shared" si="335"/>
        <v>18304.207473498547</v>
      </c>
      <c r="AZ182" s="645">
        <f t="shared" si="276"/>
        <v>24992.062173502036</v>
      </c>
      <c r="BA182" s="644">
        <f t="shared" si="336"/>
        <v>6687.8547000034887</v>
      </c>
      <c r="BB182" s="645">
        <f t="shared" si="337"/>
        <v>0</v>
      </c>
      <c r="BC182" s="646">
        <f t="shared" si="338"/>
        <v>0</v>
      </c>
      <c r="BD182" s="647">
        <f t="shared" si="339"/>
        <v>24992.062173502036</v>
      </c>
      <c r="BE182" s="644">
        <f t="shared" si="277"/>
        <v>0</v>
      </c>
      <c r="BF182" s="645">
        <f t="shared" si="278"/>
        <v>0</v>
      </c>
      <c r="BG182" s="646">
        <f t="shared" si="340"/>
        <v>0</v>
      </c>
      <c r="BH182" s="647">
        <f t="shared" si="279"/>
        <v>24992.062173502036</v>
      </c>
      <c r="BI182" s="644">
        <f t="shared" si="341"/>
        <v>0</v>
      </c>
      <c r="BJ182" s="645">
        <f t="shared" si="342"/>
        <v>0</v>
      </c>
      <c r="BK182" s="646">
        <f t="shared" si="343"/>
        <v>0</v>
      </c>
      <c r="BL182" s="647">
        <f t="shared" si="280"/>
        <v>24992.062173502036</v>
      </c>
      <c r="BM182" s="644">
        <f t="shared" si="344"/>
        <v>0</v>
      </c>
      <c r="BN182" s="645">
        <f t="shared" si="345"/>
        <v>0</v>
      </c>
      <c r="BO182" s="646">
        <f t="shared" si="346"/>
        <v>0</v>
      </c>
      <c r="BP182" s="647">
        <f t="shared" si="281"/>
        <v>24992.062173502036</v>
      </c>
      <c r="BQ182" s="644">
        <f t="shared" si="347"/>
        <v>0</v>
      </c>
      <c r="BR182" s="645">
        <f t="shared" si="348"/>
        <v>0</v>
      </c>
      <c r="BS182" s="646">
        <f t="shared" si="349"/>
        <v>0</v>
      </c>
      <c r="BT182" s="647">
        <f t="shared" si="282"/>
        <v>24992.062173502036</v>
      </c>
      <c r="BU182" s="662">
        <f>VLOOKUP(B182,'Afton Update'!$A$5:$AR$582,'Afton Update'!$AO$589,0)-BT182</f>
        <v>0</v>
      </c>
      <c r="BV182" s="644">
        <f t="shared" si="350"/>
        <v>45797.78609737548</v>
      </c>
      <c r="BW182" s="645">
        <f t="shared" si="258"/>
        <v>65545.260834434419</v>
      </c>
      <c r="BX182" s="644">
        <f t="shared" si="351"/>
        <v>19747.474737058939</v>
      </c>
      <c r="BY182" s="645">
        <f t="shared" si="352"/>
        <v>0</v>
      </c>
      <c r="BZ182" s="646">
        <f t="shared" si="353"/>
        <v>0</v>
      </c>
      <c r="CA182" s="647">
        <f t="shared" si="354"/>
        <v>65545.260834434419</v>
      </c>
      <c r="CB182" s="644">
        <f t="shared" si="283"/>
        <v>0</v>
      </c>
      <c r="CC182" s="645">
        <f t="shared" si="284"/>
        <v>0</v>
      </c>
      <c r="CD182" s="646">
        <f t="shared" si="355"/>
        <v>0</v>
      </c>
      <c r="CE182" s="647">
        <f t="shared" si="285"/>
        <v>65545.260834434419</v>
      </c>
      <c r="CF182" s="644">
        <f t="shared" si="356"/>
        <v>0</v>
      </c>
      <c r="CG182" s="645">
        <f t="shared" si="357"/>
        <v>0</v>
      </c>
      <c r="CH182" s="646">
        <f t="shared" si="358"/>
        <v>0</v>
      </c>
      <c r="CI182" s="647">
        <f t="shared" si="286"/>
        <v>65545.260834434419</v>
      </c>
      <c r="CJ182" s="644">
        <f t="shared" si="359"/>
        <v>0</v>
      </c>
      <c r="CK182" s="645">
        <f t="shared" si="360"/>
        <v>0</v>
      </c>
      <c r="CL182" s="646">
        <f t="shared" si="361"/>
        <v>0</v>
      </c>
      <c r="CM182" s="647">
        <f t="shared" si="287"/>
        <v>65545.260834434419</v>
      </c>
      <c r="CN182" s="644">
        <f t="shared" si="362"/>
        <v>0</v>
      </c>
      <c r="CO182" s="645">
        <f t="shared" si="363"/>
        <v>0</v>
      </c>
      <c r="CP182" s="646">
        <f t="shared" si="364"/>
        <v>0</v>
      </c>
      <c r="CQ182" s="647">
        <f t="shared" si="288"/>
        <v>65545.260834434419</v>
      </c>
      <c r="CS182" s="644">
        <f t="shared" si="365"/>
        <v>42631.722882000824</v>
      </c>
      <c r="CT182" s="645">
        <f t="shared" si="259"/>
        <v>61509.282733301181</v>
      </c>
      <c r="CU182" s="644">
        <f t="shared" si="366"/>
        <v>18877.559851300357</v>
      </c>
      <c r="CV182" s="645">
        <f t="shared" si="367"/>
        <v>0</v>
      </c>
      <c r="CW182" s="646">
        <f t="shared" si="368"/>
        <v>0</v>
      </c>
      <c r="CX182" s="647">
        <f t="shared" si="369"/>
        <v>61509.282733301181</v>
      </c>
      <c r="CY182" s="644">
        <f t="shared" si="289"/>
        <v>0</v>
      </c>
      <c r="CZ182" s="645">
        <f t="shared" si="290"/>
        <v>0</v>
      </c>
      <c r="DA182" s="646">
        <f t="shared" si="370"/>
        <v>0</v>
      </c>
      <c r="DB182" s="647">
        <f t="shared" si="291"/>
        <v>61509.282733301181</v>
      </c>
      <c r="DC182" s="644">
        <f t="shared" si="371"/>
        <v>0</v>
      </c>
      <c r="DD182" s="645">
        <f t="shared" si="372"/>
        <v>0</v>
      </c>
      <c r="DE182" s="646">
        <f t="shared" si="373"/>
        <v>0</v>
      </c>
      <c r="DF182" s="647">
        <f t="shared" si="292"/>
        <v>61509.282733301181</v>
      </c>
      <c r="DG182" s="644">
        <f t="shared" si="374"/>
        <v>0</v>
      </c>
      <c r="DH182" s="645">
        <f t="shared" si="375"/>
        <v>0</v>
      </c>
      <c r="DI182" s="646">
        <f t="shared" si="376"/>
        <v>0</v>
      </c>
      <c r="DJ182" s="647">
        <f t="shared" si="293"/>
        <v>61509.282733301181</v>
      </c>
      <c r="DK182" s="644">
        <f t="shared" si="377"/>
        <v>0</v>
      </c>
      <c r="DL182" s="645">
        <f t="shared" si="378"/>
        <v>0</v>
      </c>
      <c r="DM182" s="646">
        <f t="shared" si="379"/>
        <v>0</v>
      </c>
      <c r="DN182" s="647">
        <f t="shared" si="294"/>
        <v>61509.282733301181</v>
      </c>
      <c r="DR182" s="827">
        <f t="shared" si="295"/>
        <v>282697.74226466578</v>
      </c>
      <c r="DV182" s="828">
        <f>IFERROR(VLOOKUP($B182,'Afton FY16 Final'!$A$5:$BV$587,'Afton FY16 Final'!$BV$587,0),0)</f>
        <v>291717.28817504388</v>
      </c>
      <c r="DX182" s="636">
        <f t="shared" si="260"/>
        <v>0</v>
      </c>
      <c r="DY182" s="637">
        <f t="shared" si="261"/>
        <v>0</v>
      </c>
      <c r="DZ182" s="637">
        <f t="shared" si="262"/>
        <v>0</v>
      </c>
      <c r="EA182" s="643">
        <f t="shared" si="263"/>
        <v>0</v>
      </c>
      <c r="EB182" s="637">
        <f t="shared" si="296"/>
        <v>0</v>
      </c>
      <c r="EC182" s="637">
        <f t="shared" si="297"/>
        <v>0</v>
      </c>
      <c r="ED182" s="637">
        <f t="shared" si="298"/>
        <v>0</v>
      </c>
      <c r="EE182" s="643">
        <f t="shared" si="299"/>
        <v>0</v>
      </c>
      <c r="EF182" s="637">
        <f t="shared" si="300"/>
        <v>0</v>
      </c>
      <c r="EG182" s="637">
        <f t="shared" si="301"/>
        <v>0</v>
      </c>
      <c r="EH182" s="637">
        <f t="shared" si="302"/>
        <v>0</v>
      </c>
      <c r="EI182" s="643">
        <f t="shared" si="303"/>
        <v>0</v>
      </c>
      <c r="EJ182" s="637">
        <f t="shared" si="304"/>
        <v>0</v>
      </c>
      <c r="EK182" s="637">
        <f t="shared" si="305"/>
        <v>0</v>
      </c>
      <c r="EL182" s="637">
        <f t="shared" si="306"/>
        <v>0</v>
      </c>
      <c r="EM182" s="643">
        <f t="shared" si="307"/>
        <v>0</v>
      </c>
      <c r="EN182" s="637">
        <f t="shared" si="308"/>
        <v>0</v>
      </c>
      <c r="EO182" s="637">
        <f t="shared" si="309"/>
        <v>0</v>
      </c>
      <c r="EP182" s="637">
        <f t="shared" si="310"/>
        <v>0</v>
      </c>
      <c r="EQ182" s="643">
        <f t="shared" si="311"/>
        <v>0</v>
      </c>
      <c r="ER182" s="637">
        <f t="shared" si="312"/>
        <v>0</v>
      </c>
      <c r="ES182" s="637">
        <f t="shared" si="313"/>
        <v>0</v>
      </c>
      <c r="ET182" s="637">
        <f t="shared" si="314"/>
        <v>0</v>
      </c>
      <c r="EU182" s="643">
        <f t="shared" si="264"/>
        <v>0</v>
      </c>
      <c r="EV182" s="643">
        <f t="shared" si="265"/>
        <v>0</v>
      </c>
      <c r="EX182" s="829">
        <f t="shared" si="266"/>
        <v>0</v>
      </c>
      <c r="EY182" s="638">
        <f t="shared" si="267"/>
        <v>282697.74226466578</v>
      </c>
      <c r="FC182" s="830" t="str">
        <f t="shared" si="315"/>
        <v>Y</v>
      </c>
      <c r="FE182" s="830" t="str">
        <f>IFERROR(VLOOKUP($B182,'Historical Conc Grant Elig'!$B$3:$J$707,'HH &amp; SI'!FE$2,0),"N")</f>
        <v>Y</v>
      </c>
      <c r="FF182" s="830" t="str">
        <f>IFERROR(VLOOKUP($B182,'Historical Conc Grant Elig'!$B$3:$J$707,'HH &amp; SI'!FF$2,0),"N")</f>
        <v>Y</v>
      </c>
      <c r="FG182" s="830" t="str">
        <f>IFERROR(VLOOKUP($B182,'Historical Conc Grant Elig'!$B$3:$J$707,'HH &amp; SI'!FG$2,0),"N")</f>
        <v>Y</v>
      </c>
      <c r="FH182" s="830" t="str">
        <f>IFERROR(VLOOKUP($B182,'Historical Conc Grant Elig'!$B$3:$J$707,'HH &amp; SI'!FH$2,0),"N")</f>
        <v>Y</v>
      </c>
      <c r="FI182" s="830" t="str">
        <f>IFERROR(VLOOKUP($B182,'Historical Conc Grant Elig'!$B$3:$J$707,'HH &amp; SI'!FI$2,0),"N")</f>
        <v>Y</v>
      </c>
      <c r="FJ182" s="830" t="str">
        <f>IFERROR(VLOOKUP($B182,'Historical Conc Grant Elig'!$B$3:$J$707,'HH &amp; SI'!FJ$2,0),"N")</f>
        <v>Y</v>
      </c>
      <c r="FK182" s="830" t="str">
        <f>IFERROR(VLOOKUP($B182,'Historical Conc Grant Elig'!$B$3:$J$707,'HH &amp; SI'!FK$2,0),"N")</f>
        <v>Y</v>
      </c>
      <c r="FL182" s="957" t="str">
        <f>IFERROR(VLOOKUP($B182,'Historical Conc Grant Elig'!$B$3:$J$707,'HH &amp; SI'!FL$2,0),"N")</f>
        <v>Y</v>
      </c>
    </row>
    <row r="183" spans="2:168" x14ac:dyDescent="0.25">
      <c r="B183" s="634">
        <v>78531000</v>
      </c>
      <c r="C183" s="635" t="str">
        <f>VLOOKUP($B183,'Afton Update'!$A$5:$CR$582,'Afton Update'!D$589,0)</f>
        <v>Imagine Camelback Middle  Inc.</v>
      </c>
      <c r="D183" s="636">
        <f>IFERROR(VLOOKUP($B183,'Afton FY16 Final'!$A$5:$BV$587,'Afton FY16 Final'!AQ$587,0),0)</f>
        <v>35105.856581990083</v>
      </c>
      <c r="E183" s="637">
        <f>IFERROR(VLOOKUP($B183,'Afton FY16 Final'!$A$5:$BV$587,'Afton FY16 Final'!AR$587,0),0)</f>
        <v>9037.1343116244643</v>
      </c>
      <c r="F183" s="637">
        <f>IFERROR(VLOOKUP($B183,'Afton FY16 Final'!$A$5:$BV$587,'Afton FY16 Final'!AS$587,0),0)</f>
        <v>19052.36073969254</v>
      </c>
      <c r="G183" s="637">
        <f>IFERROR(VLOOKUP($B183,'Afton FY16 Final'!$A$5:$BV$587,'Afton FY16 Final'!AT$587,0),0)</f>
        <v>17326.769617638158</v>
      </c>
      <c r="H183" s="638">
        <f>IFERROR(VLOOKUP($B183,'Afton FY16 Final'!$A$5:$BV$587,'Afton FY16 Final'!AU$587,0),0)</f>
        <v>80522.121250945245</v>
      </c>
      <c r="I183" s="639" t="str">
        <f>VLOOKUP($B183,'Afton Update'!$A$5:$CR$582,'Afton Update'!BT$589,0)</f>
        <v>Y</v>
      </c>
      <c r="J183" s="640" t="str">
        <f>VLOOKUP($B183,'Afton Update'!$A$5:$CR$582,'Afton Update'!BU$589,0)</f>
        <v>Y</v>
      </c>
      <c r="K183" s="640" t="str">
        <f>VLOOKUP($B183,'Afton Update'!$A$5:$CR$582,'Afton Update'!BV$589,0)</f>
        <v>Y</v>
      </c>
      <c r="L183" s="641" t="str">
        <f>VLOOKUP($B183,'Afton Update'!$A$5:$CR$582,'Afton Update'!BW$589,0)</f>
        <v>Y</v>
      </c>
      <c r="N183" s="642">
        <f>VLOOKUP($B183,'Afton Update'!$A$5:$CR$582,'Afton Update'!CB$589,0)</f>
        <v>0.95</v>
      </c>
      <c r="P183" s="636">
        <f>VLOOKUP($B183,'Afton Update'!$A$5:$CR$582,'Afton Update'!AH$589,0)</f>
        <v>36592.954450734389</v>
      </c>
      <c r="Q183" s="637">
        <f>VLOOKUP($B183,'Afton Update'!$A$5:$CR$582,'Afton Update'!AI$589,0)</f>
        <v>9698.1855169963965</v>
      </c>
      <c r="R183" s="637">
        <f>VLOOKUP($B183,'Afton Update'!$A$5:$CR$582,'Afton Update'!AJ$589,0)</f>
        <v>21441.805948522244</v>
      </c>
      <c r="S183" s="637">
        <f>VLOOKUP($B183,'Afton Update'!$A$5:$CR$582,'Afton Update'!AK$589,0)</f>
        <v>19959.504752991146</v>
      </c>
      <c r="T183" s="643">
        <f t="shared" si="268"/>
        <v>87692.450669244165</v>
      </c>
      <c r="V183" s="636">
        <f t="shared" si="316"/>
        <v>36093.802800869293</v>
      </c>
      <c r="W183" s="637">
        <f t="shared" si="317"/>
        <v>9378.7627435566355</v>
      </c>
      <c r="X183" s="637">
        <f t="shared" si="318"/>
        <v>21246.801095057031</v>
      </c>
      <c r="Y183" s="637">
        <f t="shared" si="319"/>
        <v>19739.586939557041</v>
      </c>
      <c r="Z183" s="643">
        <f t="shared" si="320"/>
        <v>86458.953579040011</v>
      </c>
      <c r="AB183" s="644">
        <f t="shared" si="269"/>
        <v>36592.954450734389</v>
      </c>
      <c r="AC183" s="645">
        <f t="shared" si="257"/>
        <v>33350.563752890579</v>
      </c>
      <c r="AD183" s="644">
        <f t="shared" si="321"/>
        <v>0</v>
      </c>
      <c r="AE183" s="645">
        <f t="shared" si="322"/>
        <v>36592.954450734389</v>
      </c>
      <c r="AF183" s="646">
        <f t="shared" si="323"/>
        <v>-453.59716929011597</v>
      </c>
      <c r="AG183" s="647">
        <f t="shared" si="324"/>
        <v>36139.357281444274</v>
      </c>
      <c r="AH183" s="644">
        <f t="shared" si="270"/>
        <v>0</v>
      </c>
      <c r="AI183" s="645">
        <f t="shared" si="271"/>
        <v>36139.357281444274</v>
      </c>
      <c r="AJ183" s="646">
        <f t="shared" si="325"/>
        <v>-45.525457955321421</v>
      </c>
      <c r="AK183" s="647">
        <f t="shared" si="272"/>
        <v>36093.831823488952</v>
      </c>
      <c r="AL183" s="644">
        <f t="shared" si="326"/>
        <v>0</v>
      </c>
      <c r="AM183" s="645">
        <f t="shared" si="327"/>
        <v>36093.831823488952</v>
      </c>
      <c r="AN183" s="646">
        <f t="shared" si="328"/>
        <v>-2.9022619657052176E-2</v>
      </c>
      <c r="AO183" s="647">
        <f t="shared" si="273"/>
        <v>36093.802800869293</v>
      </c>
      <c r="AP183" s="644">
        <f t="shared" si="329"/>
        <v>0</v>
      </c>
      <c r="AQ183" s="645">
        <f t="shared" si="330"/>
        <v>36093.802800869293</v>
      </c>
      <c r="AR183" s="646">
        <f t="shared" si="331"/>
        <v>0</v>
      </c>
      <c r="AS183" s="647">
        <f t="shared" si="274"/>
        <v>36093.802800869293</v>
      </c>
      <c r="AT183" s="644">
        <f t="shared" si="332"/>
        <v>0</v>
      </c>
      <c r="AU183" s="645">
        <f t="shared" si="333"/>
        <v>36093.802800869293</v>
      </c>
      <c r="AV183" s="646">
        <f t="shared" si="334"/>
        <v>0</v>
      </c>
      <c r="AW183" s="647">
        <f t="shared" si="275"/>
        <v>36093.802800869293</v>
      </c>
      <c r="AY183" s="644">
        <f t="shared" si="335"/>
        <v>9698.1855169963965</v>
      </c>
      <c r="AZ183" s="645">
        <f t="shared" si="276"/>
        <v>8585.2775960432409</v>
      </c>
      <c r="BA183" s="644">
        <f t="shared" si="336"/>
        <v>0</v>
      </c>
      <c r="BB183" s="645">
        <f t="shared" si="337"/>
        <v>9698.1855169963965</v>
      </c>
      <c r="BC183" s="646">
        <f t="shared" si="338"/>
        <v>-69.742478399234869</v>
      </c>
      <c r="BD183" s="647">
        <f t="shared" si="339"/>
        <v>9628.4430385971609</v>
      </c>
      <c r="BE183" s="644">
        <f t="shared" si="277"/>
        <v>0</v>
      </c>
      <c r="BF183" s="645">
        <f t="shared" si="278"/>
        <v>9628.4430385971609</v>
      </c>
      <c r="BG183" s="646">
        <f t="shared" si="340"/>
        <v>-229.34166656439422</v>
      </c>
      <c r="BH183" s="647">
        <f t="shared" si="279"/>
        <v>9399.1013720327664</v>
      </c>
      <c r="BI183" s="644">
        <f t="shared" si="341"/>
        <v>0</v>
      </c>
      <c r="BJ183" s="645">
        <f t="shared" si="342"/>
        <v>9399.1013720327664</v>
      </c>
      <c r="BK183" s="646">
        <f t="shared" si="343"/>
        <v>-19.909504291788274</v>
      </c>
      <c r="BL183" s="647">
        <f t="shared" si="280"/>
        <v>9379.1918677409776</v>
      </c>
      <c r="BM183" s="644">
        <f t="shared" si="344"/>
        <v>0</v>
      </c>
      <c r="BN183" s="645">
        <f t="shared" si="345"/>
        <v>9379.1918677409776</v>
      </c>
      <c r="BO183" s="646">
        <f t="shared" si="346"/>
        <v>-0.42912418434126554</v>
      </c>
      <c r="BP183" s="647">
        <f t="shared" si="281"/>
        <v>9378.7627435566355</v>
      </c>
      <c r="BQ183" s="644">
        <f t="shared" si="347"/>
        <v>0</v>
      </c>
      <c r="BR183" s="645">
        <f t="shared" si="348"/>
        <v>9378.7627435566355</v>
      </c>
      <c r="BS183" s="646">
        <f t="shared" si="349"/>
        <v>0</v>
      </c>
      <c r="BT183" s="647">
        <f t="shared" si="282"/>
        <v>9378.7627435566355</v>
      </c>
      <c r="BU183" s="662">
        <f>VLOOKUP(B183,'Afton Update'!$A$5:$AR$582,'Afton Update'!$AO$589,0)-BT183</f>
        <v>0</v>
      </c>
      <c r="BV183" s="644">
        <f t="shared" si="350"/>
        <v>21441.805948522244</v>
      </c>
      <c r="BW183" s="645">
        <f t="shared" si="258"/>
        <v>18099.742702707914</v>
      </c>
      <c r="BX183" s="644">
        <f t="shared" si="351"/>
        <v>0</v>
      </c>
      <c r="BY183" s="645">
        <f t="shared" si="352"/>
        <v>21441.805948522244</v>
      </c>
      <c r="BZ183" s="646">
        <f t="shared" si="353"/>
        <v>-188.19701047752073</v>
      </c>
      <c r="CA183" s="647">
        <f t="shared" si="354"/>
        <v>21253.608938044723</v>
      </c>
      <c r="CB183" s="644">
        <f t="shared" si="283"/>
        <v>0</v>
      </c>
      <c r="CC183" s="645">
        <f t="shared" si="284"/>
        <v>21253.608938044723</v>
      </c>
      <c r="CD183" s="646">
        <f t="shared" si="355"/>
        <v>-6.8078429876913917</v>
      </c>
      <c r="CE183" s="647">
        <f t="shared" si="285"/>
        <v>21246.801095057031</v>
      </c>
      <c r="CF183" s="644">
        <f t="shared" si="356"/>
        <v>0</v>
      </c>
      <c r="CG183" s="645">
        <f t="shared" si="357"/>
        <v>21246.801095057031</v>
      </c>
      <c r="CH183" s="646">
        <f t="shared" si="358"/>
        <v>0</v>
      </c>
      <c r="CI183" s="647">
        <f t="shared" si="286"/>
        <v>21246.801095057031</v>
      </c>
      <c r="CJ183" s="644">
        <f t="shared" si="359"/>
        <v>0</v>
      </c>
      <c r="CK183" s="645">
        <f t="shared" si="360"/>
        <v>21246.801095057031</v>
      </c>
      <c r="CL183" s="646">
        <f t="shared" si="361"/>
        <v>0</v>
      </c>
      <c r="CM183" s="647">
        <f t="shared" si="287"/>
        <v>21246.801095057031</v>
      </c>
      <c r="CN183" s="644">
        <f t="shared" si="362"/>
        <v>0</v>
      </c>
      <c r="CO183" s="645">
        <f t="shared" si="363"/>
        <v>21246.801095057031</v>
      </c>
      <c r="CP183" s="646">
        <f t="shared" si="364"/>
        <v>0</v>
      </c>
      <c r="CQ183" s="647">
        <f t="shared" si="288"/>
        <v>21246.801095057031</v>
      </c>
      <c r="CS183" s="644">
        <f t="shared" si="365"/>
        <v>19959.504752991146</v>
      </c>
      <c r="CT183" s="645">
        <f t="shared" si="259"/>
        <v>16460.431136756248</v>
      </c>
      <c r="CU183" s="644">
        <f t="shared" si="366"/>
        <v>0</v>
      </c>
      <c r="CV183" s="645">
        <f t="shared" si="367"/>
        <v>19959.504752991146</v>
      </c>
      <c r="CW183" s="646">
        <f t="shared" si="368"/>
        <v>-204.39660822538931</v>
      </c>
      <c r="CX183" s="647">
        <f t="shared" si="369"/>
        <v>19755.108144765756</v>
      </c>
      <c r="CY183" s="644">
        <f t="shared" si="289"/>
        <v>0</v>
      </c>
      <c r="CZ183" s="645">
        <f t="shared" si="290"/>
        <v>19755.108144765756</v>
      </c>
      <c r="DA183" s="646">
        <f t="shared" si="370"/>
        <v>-15.507831635467248</v>
      </c>
      <c r="DB183" s="647">
        <f t="shared" si="291"/>
        <v>19739.60031313029</v>
      </c>
      <c r="DC183" s="644">
        <f t="shared" si="371"/>
        <v>0</v>
      </c>
      <c r="DD183" s="645">
        <f t="shared" si="372"/>
        <v>19739.60031313029</v>
      </c>
      <c r="DE183" s="646">
        <f t="shared" si="373"/>
        <v>-1.3373573248397049E-2</v>
      </c>
      <c r="DF183" s="647">
        <f t="shared" si="292"/>
        <v>19739.586939557041</v>
      </c>
      <c r="DG183" s="644">
        <f t="shared" si="374"/>
        <v>0</v>
      </c>
      <c r="DH183" s="645">
        <f t="shared" si="375"/>
        <v>19739.586939557041</v>
      </c>
      <c r="DI183" s="646">
        <f t="shared" si="376"/>
        <v>0</v>
      </c>
      <c r="DJ183" s="647">
        <f t="shared" si="293"/>
        <v>19739.586939557041</v>
      </c>
      <c r="DK183" s="644">
        <f t="shared" si="377"/>
        <v>0</v>
      </c>
      <c r="DL183" s="645">
        <f t="shared" si="378"/>
        <v>19739.586939557041</v>
      </c>
      <c r="DM183" s="646">
        <f t="shared" si="379"/>
        <v>0</v>
      </c>
      <c r="DN183" s="647">
        <f t="shared" si="294"/>
        <v>19739.586939557041</v>
      </c>
      <c r="DR183" s="827">
        <f t="shared" si="295"/>
        <v>86458.953579040011</v>
      </c>
      <c r="DV183" s="828">
        <f>IFERROR(VLOOKUP($B183,'Afton FY16 Final'!$A$5:$BV$587,'Afton FY16 Final'!$BV$587,0),0)</f>
        <v>74141.345212748158</v>
      </c>
      <c r="DX183" s="636">
        <f t="shared" si="260"/>
        <v>86458.953579040011</v>
      </c>
      <c r="DY183" s="637">
        <f t="shared" si="261"/>
        <v>12317.608366291854</v>
      </c>
      <c r="DZ183" s="637">
        <f t="shared" si="262"/>
        <v>74141.345212748158</v>
      </c>
      <c r="EA183" s="643">
        <f t="shared" si="263"/>
        <v>81860.306228793852</v>
      </c>
      <c r="EB183" s="637">
        <f t="shared" si="296"/>
        <v>0</v>
      </c>
      <c r="EC183" s="637">
        <f t="shared" si="297"/>
        <v>81860.306228793852</v>
      </c>
      <c r="ED183" s="637">
        <f t="shared" si="298"/>
        <v>81616.203683312327</v>
      </c>
      <c r="EE183" s="643">
        <f t="shared" si="299"/>
        <v>81616.203683312327</v>
      </c>
      <c r="EF183" s="637">
        <f t="shared" si="300"/>
        <v>0</v>
      </c>
      <c r="EG183" s="637">
        <f t="shared" si="301"/>
        <v>81616.203683312327</v>
      </c>
      <c r="EH183" s="637">
        <f t="shared" si="302"/>
        <v>81616.119483060713</v>
      </c>
      <c r="EI183" s="643">
        <f t="shared" si="303"/>
        <v>81616.119483060713</v>
      </c>
      <c r="EJ183" s="637">
        <f t="shared" si="304"/>
        <v>0</v>
      </c>
      <c r="EK183" s="637">
        <f t="shared" si="305"/>
        <v>81616.119483060713</v>
      </c>
      <c r="EL183" s="637">
        <f t="shared" si="306"/>
        <v>81616.119483060596</v>
      </c>
      <c r="EM183" s="643">
        <f t="shared" si="307"/>
        <v>81616.119483060596</v>
      </c>
      <c r="EN183" s="637">
        <f t="shared" si="308"/>
        <v>0</v>
      </c>
      <c r="EO183" s="637">
        <f t="shared" si="309"/>
        <v>81616.119483060596</v>
      </c>
      <c r="EP183" s="637">
        <f t="shared" si="310"/>
        <v>81616.119483060713</v>
      </c>
      <c r="EQ183" s="643">
        <f t="shared" si="311"/>
        <v>81616.119483060713</v>
      </c>
      <c r="ER183" s="637">
        <f t="shared" si="312"/>
        <v>0</v>
      </c>
      <c r="ES183" s="637">
        <f t="shared" si="313"/>
        <v>81616.119483060713</v>
      </c>
      <c r="ET183" s="637">
        <f t="shared" si="314"/>
        <v>81616.119483060582</v>
      </c>
      <c r="EU183" s="643">
        <f t="shared" si="264"/>
        <v>81616.119483060582</v>
      </c>
      <c r="EV183" s="643">
        <f t="shared" si="265"/>
        <v>0</v>
      </c>
      <c r="EX183" s="829">
        <f t="shared" si="266"/>
        <v>4842.8340959794295</v>
      </c>
      <c r="EY183" s="638">
        <f t="shared" si="267"/>
        <v>81616.119483060582</v>
      </c>
      <c r="FC183" s="830" t="str">
        <f t="shared" si="315"/>
        <v>Y</v>
      </c>
      <c r="FE183" s="830" t="str">
        <f>IFERROR(VLOOKUP($B183,'Historical Conc Grant Elig'!$B$3:$J$707,'HH &amp; SI'!FE$2,0),"N")</f>
        <v>N</v>
      </c>
      <c r="FF183" s="830" t="str">
        <f>IFERROR(VLOOKUP($B183,'Historical Conc Grant Elig'!$B$3:$J$707,'HH &amp; SI'!FF$2,0),"N")</f>
        <v>N</v>
      </c>
      <c r="FG183" s="830" t="str">
        <f>IFERROR(VLOOKUP($B183,'Historical Conc Grant Elig'!$B$3:$J$707,'HH &amp; SI'!FG$2,0),"N")</f>
        <v>Y</v>
      </c>
      <c r="FH183" s="830" t="str">
        <f>IFERROR(VLOOKUP($B183,'Historical Conc Grant Elig'!$B$3:$J$707,'HH &amp; SI'!FH$2,0),"N")</f>
        <v>Y</v>
      </c>
      <c r="FI183" s="830" t="str">
        <f>IFERROR(VLOOKUP($B183,'Historical Conc Grant Elig'!$B$3:$J$707,'HH &amp; SI'!FI$2,0),"N")</f>
        <v>Y</v>
      </c>
      <c r="FJ183" s="830" t="str">
        <f>IFERROR(VLOOKUP($B183,'Historical Conc Grant Elig'!$B$3:$J$707,'HH &amp; SI'!FJ$2,0),"N")</f>
        <v>Y</v>
      </c>
      <c r="FK183" s="830" t="str">
        <f>IFERROR(VLOOKUP($B183,'Historical Conc Grant Elig'!$B$3:$J$707,'HH &amp; SI'!FK$2,0),"N")</f>
        <v>Y</v>
      </c>
      <c r="FL183" s="957" t="str">
        <f>IFERROR(VLOOKUP($B183,'Historical Conc Grant Elig'!$B$3:$J$707,'HH &amp; SI'!FL$2,0),"N")</f>
        <v>Y</v>
      </c>
    </row>
    <row r="184" spans="2:168" x14ac:dyDescent="0.25">
      <c r="B184" s="634">
        <v>78532000</v>
      </c>
      <c r="C184" s="635" t="str">
        <f>VLOOKUP($B184,'Afton Update'!$A$5:$CR$582,'Afton Update'!D$589,0)</f>
        <v>Imagine Desert West Middle  Inc.</v>
      </c>
      <c r="D184" s="636">
        <f>IFERROR(VLOOKUP($B184,'Afton FY16 Final'!$A$5:$BV$587,'Afton FY16 Final'!AQ$587,0),0)</f>
        <v>69016.660006847233</v>
      </c>
      <c r="E184" s="637">
        <f>IFERROR(VLOOKUP($B184,'Afton FY16 Final'!$A$5:$BV$587,'Afton FY16 Final'!AR$587,0),0)</f>
        <v>15921.664415319754</v>
      </c>
      <c r="F184" s="637">
        <f>IFERROR(VLOOKUP($B184,'Afton FY16 Final'!$A$5:$BV$587,'Afton FY16 Final'!AS$587,0),0)</f>
        <v>37456.152093259188</v>
      </c>
      <c r="G184" s="637">
        <f>IFERROR(VLOOKUP($B184,'Afton FY16 Final'!$A$5:$BV$587,'Afton FY16 Final'!AT$587,0),0)</f>
        <v>35257.118973583703</v>
      </c>
      <c r="H184" s="638">
        <f>IFERROR(VLOOKUP($B184,'Afton FY16 Final'!$A$5:$BV$587,'Afton FY16 Final'!AU$587,0),0)</f>
        <v>157651.59548900989</v>
      </c>
      <c r="I184" s="639" t="str">
        <f>VLOOKUP($B184,'Afton Update'!$A$5:$CR$582,'Afton Update'!BT$589,0)</f>
        <v>Y</v>
      </c>
      <c r="J184" s="640" t="str">
        <f>VLOOKUP($B184,'Afton Update'!$A$5:$CR$582,'Afton Update'!BU$589,0)</f>
        <v>Y</v>
      </c>
      <c r="K184" s="640" t="str">
        <f>VLOOKUP($B184,'Afton Update'!$A$5:$CR$582,'Afton Update'!BV$589,0)</f>
        <v>Y</v>
      </c>
      <c r="L184" s="641" t="str">
        <f>VLOOKUP($B184,'Afton Update'!$A$5:$CR$582,'Afton Update'!BW$589,0)</f>
        <v>Y</v>
      </c>
      <c r="N184" s="642">
        <f>VLOOKUP($B184,'Afton Update'!$A$5:$CR$582,'Afton Update'!CB$589,0)</f>
        <v>0.95</v>
      </c>
      <c r="P184" s="636">
        <f>VLOOKUP($B184,'Afton Update'!$A$5:$CR$582,'Afton Update'!AH$589,0)</f>
        <v>75577.605270797823</v>
      </c>
      <c r="Q184" s="637">
        <f>VLOOKUP($B184,'Afton Update'!$A$5:$CR$582,'Afton Update'!AI$589,0)</f>
        <v>17760.148614179445</v>
      </c>
      <c r="R184" s="637">
        <f>VLOOKUP($B184,'Afton Update'!$A$5:$CR$582,'Afton Update'!AJ$589,0)</f>
        <v>44258.040225896257</v>
      </c>
      <c r="S184" s="637">
        <f>VLOOKUP($B184,'Afton Update'!$A$5:$CR$582,'Afton Update'!AK$589,0)</f>
        <v>41198.421735914002</v>
      </c>
      <c r="T184" s="643">
        <f t="shared" si="268"/>
        <v>178794.21584678756</v>
      </c>
      <c r="V184" s="636">
        <f t="shared" si="316"/>
        <v>74546.67768022677</v>
      </c>
      <c r="W184" s="637">
        <f t="shared" si="317"/>
        <v>17175.194251623543</v>
      </c>
      <c r="X184" s="637">
        <f t="shared" si="318"/>
        <v>43855.530629940178</v>
      </c>
      <c r="Y184" s="637">
        <f t="shared" si="319"/>
        <v>40744.489289331599</v>
      </c>
      <c r="Z184" s="643">
        <f t="shared" si="320"/>
        <v>176321.89185112208</v>
      </c>
      <c r="AB184" s="644">
        <f t="shared" si="269"/>
        <v>75577.605270797823</v>
      </c>
      <c r="AC184" s="645">
        <f t="shared" si="257"/>
        <v>65565.827006504871</v>
      </c>
      <c r="AD184" s="644">
        <f t="shared" si="321"/>
        <v>0</v>
      </c>
      <c r="AE184" s="645">
        <f t="shared" si="322"/>
        <v>75577.605270797823</v>
      </c>
      <c r="AF184" s="646">
        <f t="shared" si="323"/>
        <v>-936.84121239004355</v>
      </c>
      <c r="AG184" s="647">
        <f t="shared" si="324"/>
        <v>74640.764058407774</v>
      </c>
      <c r="AH184" s="644">
        <f t="shared" si="270"/>
        <v>0</v>
      </c>
      <c r="AI184" s="645">
        <f t="shared" si="271"/>
        <v>74640.764058407774</v>
      </c>
      <c r="AJ184" s="646">
        <f t="shared" si="325"/>
        <v>-94.026436038441631</v>
      </c>
      <c r="AK184" s="647">
        <f t="shared" si="272"/>
        <v>74546.737622369328</v>
      </c>
      <c r="AL184" s="644">
        <f t="shared" si="326"/>
        <v>0</v>
      </c>
      <c r="AM184" s="645">
        <f t="shared" si="327"/>
        <v>74546.737622369328</v>
      </c>
      <c r="AN184" s="646">
        <f t="shared" si="328"/>
        <v>-5.9942142559663313E-2</v>
      </c>
      <c r="AO184" s="647">
        <f t="shared" si="273"/>
        <v>74546.67768022677</v>
      </c>
      <c r="AP184" s="644">
        <f t="shared" si="329"/>
        <v>0</v>
      </c>
      <c r="AQ184" s="645">
        <f t="shared" si="330"/>
        <v>74546.67768022677</v>
      </c>
      <c r="AR184" s="646">
        <f t="shared" si="331"/>
        <v>0</v>
      </c>
      <c r="AS184" s="647">
        <f t="shared" si="274"/>
        <v>74546.67768022677</v>
      </c>
      <c r="AT184" s="644">
        <f t="shared" si="332"/>
        <v>0</v>
      </c>
      <c r="AU184" s="645">
        <f t="shared" si="333"/>
        <v>74546.67768022677</v>
      </c>
      <c r="AV184" s="646">
        <f t="shared" si="334"/>
        <v>0</v>
      </c>
      <c r="AW184" s="647">
        <f t="shared" si="275"/>
        <v>74546.67768022677</v>
      </c>
      <c r="AY184" s="644">
        <f t="shared" si="335"/>
        <v>17760.148614179445</v>
      </c>
      <c r="AZ184" s="645">
        <f t="shared" si="276"/>
        <v>15125.581194553766</v>
      </c>
      <c r="BA184" s="644">
        <f t="shared" si="336"/>
        <v>0</v>
      </c>
      <c r="BB184" s="645">
        <f t="shared" si="337"/>
        <v>17760.148614179445</v>
      </c>
      <c r="BC184" s="646">
        <f t="shared" si="338"/>
        <v>-127.71840453256523</v>
      </c>
      <c r="BD184" s="647">
        <f t="shared" si="339"/>
        <v>17632.430209646878</v>
      </c>
      <c r="BE184" s="644">
        <f t="shared" si="277"/>
        <v>0</v>
      </c>
      <c r="BF184" s="645">
        <f t="shared" si="278"/>
        <v>17632.430209646878</v>
      </c>
      <c r="BG184" s="646">
        <f t="shared" si="340"/>
        <v>-419.99011819983349</v>
      </c>
      <c r="BH184" s="647">
        <f t="shared" si="279"/>
        <v>17212.440091447046</v>
      </c>
      <c r="BI184" s="644">
        <f t="shared" si="341"/>
        <v>0</v>
      </c>
      <c r="BJ184" s="645">
        <f t="shared" si="342"/>
        <v>17212.440091447046</v>
      </c>
      <c r="BK184" s="646">
        <f t="shared" si="343"/>
        <v>-36.459990834070439</v>
      </c>
      <c r="BL184" s="647">
        <f t="shared" si="280"/>
        <v>17175.980100612975</v>
      </c>
      <c r="BM184" s="644">
        <f t="shared" si="344"/>
        <v>0</v>
      </c>
      <c r="BN184" s="645">
        <f t="shared" si="345"/>
        <v>17175.980100612975</v>
      </c>
      <c r="BO184" s="646">
        <f t="shared" si="346"/>
        <v>-0.785848989430323</v>
      </c>
      <c r="BP184" s="647">
        <f t="shared" si="281"/>
        <v>17175.194251623543</v>
      </c>
      <c r="BQ184" s="644">
        <f t="shared" si="347"/>
        <v>0</v>
      </c>
      <c r="BR184" s="645">
        <f t="shared" si="348"/>
        <v>17175.194251623543</v>
      </c>
      <c r="BS184" s="646">
        <f t="shared" si="349"/>
        <v>0</v>
      </c>
      <c r="BT184" s="647">
        <f t="shared" si="282"/>
        <v>17175.194251623543</v>
      </c>
      <c r="BU184" s="662">
        <f>VLOOKUP(B184,'Afton Update'!$A$5:$AR$582,'Afton Update'!$AO$589,0)-BT184</f>
        <v>0</v>
      </c>
      <c r="BV184" s="644">
        <f t="shared" si="350"/>
        <v>44258.040225896257</v>
      </c>
      <c r="BW184" s="645">
        <f t="shared" si="258"/>
        <v>35583.344488596231</v>
      </c>
      <c r="BX184" s="644">
        <f t="shared" si="351"/>
        <v>0</v>
      </c>
      <c r="BY184" s="645">
        <f t="shared" si="352"/>
        <v>44258.040225896257</v>
      </c>
      <c r="BZ184" s="646">
        <f t="shared" si="353"/>
        <v>-388.45752452496089</v>
      </c>
      <c r="CA184" s="647">
        <f t="shared" si="354"/>
        <v>43869.582701371299</v>
      </c>
      <c r="CB184" s="644">
        <f t="shared" si="283"/>
        <v>0</v>
      </c>
      <c r="CC184" s="645">
        <f t="shared" si="284"/>
        <v>43869.582701371299</v>
      </c>
      <c r="CD184" s="646">
        <f t="shared" si="355"/>
        <v>-14.052071431119211</v>
      </c>
      <c r="CE184" s="647">
        <f t="shared" si="285"/>
        <v>43855.530629940178</v>
      </c>
      <c r="CF184" s="644">
        <f t="shared" si="356"/>
        <v>0</v>
      </c>
      <c r="CG184" s="645">
        <f t="shared" si="357"/>
        <v>43855.530629940178</v>
      </c>
      <c r="CH184" s="646">
        <f t="shared" si="358"/>
        <v>0</v>
      </c>
      <c r="CI184" s="647">
        <f t="shared" si="286"/>
        <v>43855.530629940178</v>
      </c>
      <c r="CJ184" s="644">
        <f t="shared" si="359"/>
        <v>0</v>
      </c>
      <c r="CK184" s="645">
        <f t="shared" si="360"/>
        <v>43855.530629940178</v>
      </c>
      <c r="CL184" s="646">
        <f t="shared" si="361"/>
        <v>0</v>
      </c>
      <c r="CM184" s="647">
        <f t="shared" si="287"/>
        <v>43855.530629940178</v>
      </c>
      <c r="CN184" s="644">
        <f t="shared" si="362"/>
        <v>0</v>
      </c>
      <c r="CO184" s="645">
        <f t="shared" si="363"/>
        <v>43855.530629940178</v>
      </c>
      <c r="CP184" s="646">
        <f t="shared" si="364"/>
        <v>0</v>
      </c>
      <c r="CQ184" s="647">
        <f t="shared" si="288"/>
        <v>43855.530629940178</v>
      </c>
      <c r="CS184" s="644">
        <f t="shared" si="365"/>
        <v>41198.421735914002</v>
      </c>
      <c r="CT184" s="645">
        <f t="shared" si="259"/>
        <v>33494.263024904518</v>
      </c>
      <c r="CU184" s="644">
        <f t="shared" si="366"/>
        <v>0</v>
      </c>
      <c r="CV184" s="645">
        <f t="shared" si="367"/>
        <v>41198.421735914002</v>
      </c>
      <c r="CW184" s="646">
        <f t="shared" si="368"/>
        <v>-421.89512070924638</v>
      </c>
      <c r="CX184" s="647">
        <f t="shared" si="369"/>
        <v>40776.526615204755</v>
      </c>
      <c r="CY184" s="644">
        <f t="shared" si="289"/>
        <v>0</v>
      </c>
      <c r="CZ184" s="645">
        <f t="shared" si="290"/>
        <v>40776.526615204755</v>
      </c>
      <c r="DA184" s="646">
        <f t="shared" si="370"/>
        <v>-32.00972147526771</v>
      </c>
      <c r="DB184" s="647">
        <f t="shared" si="291"/>
        <v>40744.516893729487</v>
      </c>
      <c r="DC184" s="644">
        <f t="shared" si="371"/>
        <v>0</v>
      </c>
      <c r="DD184" s="645">
        <f t="shared" si="372"/>
        <v>40744.516893729487</v>
      </c>
      <c r="DE184" s="646">
        <f t="shared" si="373"/>
        <v>-2.760439788572561E-2</v>
      </c>
      <c r="DF184" s="647">
        <f t="shared" si="292"/>
        <v>40744.489289331599</v>
      </c>
      <c r="DG184" s="644">
        <f t="shared" si="374"/>
        <v>0</v>
      </c>
      <c r="DH184" s="645">
        <f t="shared" si="375"/>
        <v>40744.489289331599</v>
      </c>
      <c r="DI184" s="646">
        <f t="shared" si="376"/>
        <v>0</v>
      </c>
      <c r="DJ184" s="647">
        <f t="shared" si="293"/>
        <v>40744.489289331599</v>
      </c>
      <c r="DK184" s="644">
        <f t="shared" si="377"/>
        <v>0</v>
      </c>
      <c r="DL184" s="645">
        <f t="shared" si="378"/>
        <v>40744.489289331599</v>
      </c>
      <c r="DM184" s="646">
        <f t="shared" si="379"/>
        <v>0</v>
      </c>
      <c r="DN184" s="647">
        <f t="shared" si="294"/>
        <v>40744.489289331599</v>
      </c>
      <c r="DR184" s="827">
        <f t="shared" si="295"/>
        <v>176321.89185112208</v>
      </c>
      <c r="DV184" s="828">
        <f>IFERROR(VLOOKUP($B184,'Afton FY16 Final'!$A$5:$BV$587,'Afton FY16 Final'!$BV$587,0),0)</f>
        <v>150150.89502887585</v>
      </c>
      <c r="DX184" s="636">
        <f t="shared" si="260"/>
        <v>176321.89185112208</v>
      </c>
      <c r="DY184" s="637">
        <f t="shared" si="261"/>
        <v>26170.996822246234</v>
      </c>
      <c r="DZ184" s="637">
        <f t="shared" si="262"/>
        <v>150150.89502887585</v>
      </c>
      <c r="EA184" s="643">
        <f t="shared" si="263"/>
        <v>166943.54331478124</v>
      </c>
      <c r="EB184" s="637">
        <f t="shared" si="296"/>
        <v>0</v>
      </c>
      <c r="EC184" s="637">
        <f t="shared" si="297"/>
        <v>166943.54331478124</v>
      </c>
      <c r="ED184" s="637">
        <f t="shared" si="298"/>
        <v>166445.72763643594</v>
      </c>
      <c r="EE184" s="643">
        <f t="shared" si="299"/>
        <v>166445.72763643594</v>
      </c>
      <c r="EF184" s="637">
        <f t="shared" si="300"/>
        <v>0</v>
      </c>
      <c r="EG184" s="637">
        <f t="shared" si="301"/>
        <v>166445.72763643594</v>
      </c>
      <c r="EH184" s="637">
        <f t="shared" si="302"/>
        <v>166445.5559208756</v>
      </c>
      <c r="EI184" s="643">
        <f t="shared" si="303"/>
        <v>166445.5559208756</v>
      </c>
      <c r="EJ184" s="637">
        <f t="shared" si="304"/>
        <v>0</v>
      </c>
      <c r="EK184" s="637">
        <f t="shared" si="305"/>
        <v>166445.5559208756</v>
      </c>
      <c r="EL184" s="637">
        <f t="shared" si="306"/>
        <v>166445.55592087537</v>
      </c>
      <c r="EM184" s="643">
        <f t="shared" si="307"/>
        <v>166445.55592087537</v>
      </c>
      <c r="EN184" s="637">
        <f t="shared" si="308"/>
        <v>0</v>
      </c>
      <c r="EO184" s="637">
        <f t="shared" si="309"/>
        <v>166445.55592087537</v>
      </c>
      <c r="EP184" s="637">
        <f t="shared" si="310"/>
        <v>166445.55592087563</v>
      </c>
      <c r="EQ184" s="643">
        <f t="shared" si="311"/>
        <v>166445.55592087563</v>
      </c>
      <c r="ER184" s="637">
        <f t="shared" si="312"/>
        <v>0</v>
      </c>
      <c r="ES184" s="637">
        <f t="shared" si="313"/>
        <v>166445.55592087563</v>
      </c>
      <c r="ET184" s="637">
        <f t="shared" si="314"/>
        <v>166445.55592087537</v>
      </c>
      <c r="EU184" s="643">
        <f t="shared" si="264"/>
        <v>166445.55592087537</v>
      </c>
      <c r="EV184" s="643">
        <f t="shared" si="265"/>
        <v>0</v>
      </c>
      <c r="EX184" s="829">
        <f t="shared" si="266"/>
        <v>9876.3359302467143</v>
      </c>
      <c r="EY184" s="638">
        <f t="shared" si="267"/>
        <v>166445.55592087537</v>
      </c>
      <c r="FC184" s="830" t="str">
        <f t="shared" si="315"/>
        <v>Y</v>
      </c>
      <c r="FE184" s="830" t="str">
        <f>IFERROR(VLOOKUP($B184,'Historical Conc Grant Elig'!$B$3:$J$707,'HH &amp; SI'!FE$2,0),"N")</f>
        <v>Y</v>
      </c>
      <c r="FF184" s="830" t="str">
        <f>IFERROR(VLOOKUP($B184,'Historical Conc Grant Elig'!$B$3:$J$707,'HH &amp; SI'!FF$2,0),"N")</f>
        <v>Y</v>
      </c>
      <c r="FG184" s="830" t="str">
        <f>IFERROR(VLOOKUP($B184,'Historical Conc Grant Elig'!$B$3:$J$707,'HH &amp; SI'!FG$2,0),"N")</f>
        <v>Y</v>
      </c>
      <c r="FH184" s="830" t="str">
        <f>IFERROR(VLOOKUP($B184,'Historical Conc Grant Elig'!$B$3:$J$707,'HH &amp; SI'!FH$2,0),"N")</f>
        <v>Y</v>
      </c>
      <c r="FI184" s="830" t="str">
        <f>IFERROR(VLOOKUP($B184,'Historical Conc Grant Elig'!$B$3:$J$707,'HH &amp; SI'!FI$2,0),"N")</f>
        <v>Y</v>
      </c>
      <c r="FJ184" s="830" t="str">
        <f>IFERROR(VLOOKUP($B184,'Historical Conc Grant Elig'!$B$3:$J$707,'HH &amp; SI'!FJ$2,0),"N")</f>
        <v>Y</v>
      </c>
      <c r="FK184" s="830" t="str">
        <f>IFERROR(VLOOKUP($B184,'Historical Conc Grant Elig'!$B$3:$J$707,'HH &amp; SI'!FK$2,0),"N")</f>
        <v>Y</v>
      </c>
      <c r="FL184" s="957" t="str">
        <f>IFERROR(VLOOKUP($B184,'Historical Conc Grant Elig'!$B$3:$J$707,'HH &amp; SI'!FL$2,0),"N")</f>
        <v>Y</v>
      </c>
    </row>
    <row r="185" spans="2:168" x14ac:dyDescent="0.25">
      <c r="B185" s="634">
        <v>78535000</v>
      </c>
      <c r="C185" s="635" t="str">
        <f>VLOOKUP($B185,'Afton Update'!$A$5:$CR$582,'Afton Update'!D$589,0)</f>
        <v>Imagine Avondale Elementary  Inc.</v>
      </c>
      <c r="D185" s="636">
        <f>IFERROR(VLOOKUP($B185,'Afton FY16 Final'!$A$5:$BV$587,'Afton FY16 Final'!AQ$587,0),0)</f>
        <v>108471.02515034094</v>
      </c>
      <c r="E185" s="637">
        <f>IFERROR(VLOOKUP($B185,'Afton FY16 Final'!$A$5:$BV$587,'Afton FY16 Final'!AR$587,0),0)</f>
        <v>22843.008743283444</v>
      </c>
      <c r="F185" s="637">
        <f>IFERROR(VLOOKUP($B185,'Afton FY16 Final'!$A$5:$BV$587,'Afton FY16 Final'!AS$587,0),0)</f>
        <v>57512.922360590186</v>
      </c>
      <c r="G185" s="637">
        <f>IFERROR(VLOOKUP($B185,'Afton FY16 Final'!$A$5:$BV$587,'Afton FY16 Final'!AT$587,0),0)</f>
        <v>55413.304801301805</v>
      </c>
      <c r="H185" s="638">
        <f>IFERROR(VLOOKUP($B185,'Afton FY16 Final'!$A$5:$BV$587,'Afton FY16 Final'!AU$587,0),0)</f>
        <v>244240.26105551637</v>
      </c>
      <c r="I185" s="639" t="str">
        <f>VLOOKUP($B185,'Afton Update'!$A$5:$CR$582,'Afton Update'!BT$589,0)</f>
        <v>Y</v>
      </c>
      <c r="J185" s="640" t="str">
        <f>VLOOKUP($B185,'Afton Update'!$A$5:$CR$582,'Afton Update'!BU$589,0)</f>
        <v>Y</v>
      </c>
      <c r="K185" s="640" t="str">
        <f>VLOOKUP($B185,'Afton Update'!$A$5:$CR$582,'Afton Update'!BV$589,0)</f>
        <v>Y</v>
      </c>
      <c r="L185" s="641" t="str">
        <f>VLOOKUP($B185,'Afton Update'!$A$5:$CR$582,'Afton Update'!BW$589,0)</f>
        <v>Y</v>
      </c>
      <c r="N185" s="642">
        <f>VLOOKUP($B185,'Afton Update'!$A$5:$CR$582,'Afton Update'!CB$589,0)</f>
        <v>0.95</v>
      </c>
      <c r="P185" s="636">
        <f>VLOOKUP($B185,'Afton Update'!$A$5:$CR$582,'Afton Update'!AH$589,0)</f>
        <v>104517.13133967925</v>
      </c>
      <c r="Q185" s="637">
        <f>VLOOKUP($B185,'Afton Update'!$A$5:$CR$582,'Afton Update'!AI$589,0)</f>
        <v>23744.79606668956</v>
      </c>
      <c r="R185" s="637">
        <f>VLOOKUP($B185,'Afton Update'!$A$5:$CR$582,'Afton Update'!AJ$589,0)</f>
        <v>61195.244812167759</v>
      </c>
      <c r="S185" s="637">
        <f>VLOOKUP($B185,'Afton Update'!$A$5:$CR$582,'Afton Update'!AK$589,0)</f>
        <v>56964.734342869</v>
      </c>
      <c r="T185" s="643">
        <f t="shared" si="268"/>
        <v>246421.90656140554</v>
      </c>
      <c r="V185" s="636">
        <f t="shared" si="316"/>
        <v>103091.44982993386</v>
      </c>
      <c r="W185" s="637">
        <f t="shared" si="317"/>
        <v>22962.729297489161</v>
      </c>
      <c r="X185" s="637">
        <f t="shared" si="318"/>
        <v>60638.697953381037</v>
      </c>
      <c r="Y185" s="637">
        <f t="shared" si="319"/>
        <v>56337.085512170379</v>
      </c>
      <c r="Z185" s="643">
        <f t="shared" si="320"/>
        <v>243029.96259297442</v>
      </c>
      <c r="AB185" s="644">
        <f t="shared" si="269"/>
        <v>104517.13133967925</v>
      </c>
      <c r="AC185" s="645">
        <f t="shared" si="257"/>
        <v>103047.47389282388</v>
      </c>
      <c r="AD185" s="644">
        <f t="shared" si="321"/>
        <v>0</v>
      </c>
      <c r="AE185" s="645">
        <f t="shared" si="322"/>
        <v>104517.13133967925</v>
      </c>
      <c r="AF185" s="646">
        <f t="shared" si="323"/>
        <v>-1295.5683854887625</v>
      </c>
      <c r="AG185" s="647">
        <f t="shared" si="324"/>
        <v>103221.56295419049</v>
      </c>
      <c r="AH185" s="644">
        <f t="shared" si="270"/>
        <v>0</v>
      </c>
      <c r="AI185" s="645">
        <f t="shared" si="271"/>
        <v>103221.56295419049</v>
      </c>
      <c r="AJ185" s="646">
        <f t="shared" si="325"/>
        <v>-130.0302295848069</v>
      </c>
      <c r="AK185" s="647">
        <f t="shared" si="272"/>
        <v>103091.53272460568</v>
      </c>
      <c r="AL185" s="644">
        <f t="shared" si="326"/>
        <v>0</v>
      </c>
      <c r="AM185" s="645">
        <f t="shared" si="327"/>
        <v>103091.53272460568</v>
      </c>
      <c r="AN185" s="646">
        <f t="shared" si="328"/>
        <v>-8.2894671830926803E-2</v>
      </c>
      <c r="AO185" s="647">
        <f t="shared" si="273"/>
        <v>103091.44982993386</v>
      </c>
      <c r="AP185" s="644">
        <f t="shared" si="329"/>
        <v>0</v>
      </c>
      <c r="AQ185" s="645">
        <f t="shared" si="330"/>
        <v>103091.44982993386</v>
      </c>
      <c r="AR185" s="646">
        <f t="shared" si="331"/>
        <v>0</v>
      </c>
      <c r="AS185" s="647">
        <f t="shared" si="274"/>
        <v>103091.44982993386</v>
      </c>
      <c r="AT185" s="644">
        <f t="shared" si="332"/>
        <v>0</v>
      </c>
      <c r="AU185" s="645">
        <f t="shared" si="333"/>
        <v>103091.44982993386</v>
      </c>
      <c r="AV185" s="646">
        <f t="shared" si="334"/>
        <v>0</v>
      </c>
      <c r="AW185" s="647">
        <f t="shared" si="275"/>
        <v>103091.44982993386</v>
      </c>
      <c r="AY185" s="644">
        <f t="shared" si="335"/>
        <v>23744.79606668956</v>
      </c>
      <c r="AZ185" s="645">
        <f t="shared" si="276"/>
        <v>21700.858306119269</v>
      </c>
      <c r="BA185" s="644">
        <f t="shared" si="336"/>
        <v>0</v>
      </c>
      <c r="BB185" s="645">
        <f t="shared" si="337"/>
        <v>23744.79606668956</v>
      </c>
      <c r="BC185" s="646">
        <f t="shared" si="338"/>
        <v>-170.75574847203134</v>
      </c>
      <c r="BD185" s="647">
        <f t="shared" si="339"/>
        <v>23574.040318217529</v>
      </c>
      <c r="BE185" s="644">
        <f t="shared" si="277"/>
        <v>0</v>
      </c>
      <c r="BF185" s="645">
        <f t="shared" si="278"/>
        <v>23574.040318217529</v>
      </c>
      <c r="BG185" s="646">
        <f t="shared" si="340"/>
        <v>-561.51442892307375</v>
      </c>
      <c r="BH185" s="647">
        <f t="shared" si="279"/>
        <v>23012.525889294455</v>
      </c>
      <c r="BI185" s="644">
        <f t="shared" si="341"/>
        <v>0</v>
      </c>
      <c r="BJ185" s="645">
        <f t="shared" si="342"/>
        <v>23012.525889294455</v>
      </c>
      <c r="BK185" s="646">
        <f t="shared" si="343"/>
        <v>-48.745934831715473</v>
      </c>
      <c r="BL185" s="647">
        <f t="shared" si="280"/>
        <v>22963.779954462738</v>
      </c>
      <c r="BM185" s="644">
        <f t="shared" si="344"/>
        <v>0</v>
      </c>
      <c r="BN185" s="645">
        <f t="shared" si="345"/>
        <v>22963.779954462738</v>
      </c>
      <c r="BO185" s="646">
        <f t="shared" si="346"/>
        <v>-1.0506569735761877</v>
      </c>
      <c r="BP185" s="647">
        <f t="shared" si="281"/>
        <v>22962.729297489161</v>
      </c>
      <c r="BQ185" s="644">
        <f t="shared" si="347"/>
        <v>0</v>
      </c>
      <c r="BR185" s="645">
        <f t="shared" si="348"/>
        <v>22962.729297489161</v>
      </c>
      <c r="BS185" s="646">
        <f t="shared" si="349"/>
        <v>0</v>
      </c>
      <c r="BT185" s="647">
        <f t="shared" si="282"/>
        <v>22962.729297489161</v>
      </c>
      <c r="BU185" s="662">
        <f>VLOOKUP(B185,'Afton Update'!$A$5:$AR$582,'Afton Update'!$AO$589,0)-BT185</f>
        <v>0</v>
      </c>
      <c r="BV185" s="644">
        <f t="shared" si="350"/>
        <v>61195.244812167759</v>
      </c>
      <c r="BW185" s="645">
        <f t="shared" si="258"/>
        <v>54637.276242560671</v>
      </c>
      <c r="BX185" s="644">
        <f t="shared" si="351"/>
        <v>0</v>
      </c>
      <c r="BY185" s="645">
        <f t="shared" si="352"/>
        <v>61195.244812167759</v>
      </c>
      <c r="BZ185" s="646">
        <f t="shared" si="353"/>
        <v>-537.11716992214042</v>
      </c>
      <c r="CA185" s="647">
        <f t="shared" si="354"/>
        <v>60658.127642245621</v>
      </c>
      <c r="CB185" s="644">
        <f t="shared" si="283"/>
        <v>0</v>
      </c>
      <c r="CC185" s="645">
        <f t="shared" si="284"/>
        <v>60658.127642245621</v>
      </c>
      <c r="CD185" s="646">
        <f t="shared" si="355"/>
        <v>-19.429688864584033</v>
      </c>
      <c r="CE185" s="647">
        <f t="shared" si="285"/>
        <v>60638.697953381037</v>
      </c>
      <c r="CF185" s="644">
        <f t="shared" si="356"/>
        <v>0</v>
      </c>
      <c r="CG185" s="645">
        <f t="shared" si="357"/>
        <v>60638.697953381037</v>
      </c>
      <c r="CH185" s="646">
        <f t="shared" si="358"/>
        <v>0</v>
      </c>
      <c r="CI185" s="647">
        <f t="shared" si="286"/>
        <v>60638.697953381037</v>
      </c>
      <c r="CJ185" s="644">
        <f t="shared" si="359"/>
        <v>0</v>
      </c>
      <c r="CK185" s="645">
        <f t="shared" si="360"/>
        <v>60638.697953381037</v>
      </c>
      <c r="CL185" s="646">
        <f t="shared" si="361"/>
        <v>0</v>
      </c>
      <c r="CM185" s="647">
        <f t="shared" si="287"/>
        <v>60638.697953381037</v>
      </c>
      <c r="CN185" s="644">
        <f t="shared" si="362"/>
        <v>0</v>
      </c>
      <c r="CO185" s="645">
        <f t="shared" si="363"/>
        <v>60638.697953381037</v>
      </c>
      <c r="CP185" s="646">
        <f t="shared" si="364"/>
        <v>0</v>
      </c>
      <c r="CQ185" s="647">
        <f t="shared" si="288"/>
        <v>60638.697953381037</v>
      </c>
      <c r="CS185" s="644">
        <f t="shared" si="365"/>
        <v>56964.734342869</v>
      </c>
      <c r="CT185" s="645">
        <f t="shared" si="259"/>
        <v>52642.639561236712</v>
      </c>
      <c r="CU185" s="644">
        <f t="shared" si="366"/>
        <v>0</v>
      </c>
      <c r="CV185" s="645">
        <f t="shared" si="367"/>
        <v>56964.734342869</v>
      </c>
      <c r="CW185" s="646">
        <f t="shared" si="368"/>
        <v>-583.35107169419553</v>
      </c>
      <c r="CX185" s="647">
        <f t="shared" si="369"/>
        <v>56381.383271174804</v>
      </c>
      <c r="CY185" s="644">
        <f t="shared" si="289"/>
        <v>0</v>
      </c>
      <c r="CZ185" s="645">
        <f t="shared" si="290"/>
        <v>56381.383271174804</v>
      </c>
      <c r="DA185" s="646">
        <f t="shared" si="370"/>
        <v>-44.259590620150256</v>
      </c>
      <c r="DB185" s="647">
        <f t="shared" si="291"/>
        <v>56337.12368055465</v>
      </c>
      <c r="DC185" s="644">
        <f t="shared" si="371"/>
        <v>0</v>
      </c>
      <c r="DD185" s="645">
        <f t="shared" si="372"/>
        <v>56337.12368055465</v>
      </c>
      <c r="DE185" s="646">
        <f t="shared" si="373"/>
        <v>-3.8168384272944958E-2</v>
      </c>
      <c r="DF185" s="647">
        <f t="shared" si="292"/>
        <v>56337.085512170379</v>
      </c>
      <c r="DG185" s="644">
        <f t="shared" si="374"/>
        <v>0</v>
      </c>
      <c r="DH185" s="645">
        <f t="shared" si="375"/>
        <v>56337.085512170379</v>
      </c>
      <c r="DI185" s="646">
        <f t="shared" si="376"/>
        <v>0</v>
      </c>
      <c r="DJ185" s="647">
        <f t="shared" si="293"/>
        <v>56337.085512170379</v>
      </c>
      <c r="DK185" s="644">
        <f t="shared" si="377"/>
        <v>0</v>
      </c>
      <c r="DL185" s="645">
        <f t="shared" si="378"/>
        <v>56337.085512170379</v>
      </c>
      <c r="DM185" s="646">
        <f t="shared" si="379"/>
        <v>0</v>
      </c>
      <c r="DN185" s="647">
        <f t="shared" si="294"/>
        <v>56337.085512170379</v>
      </c>
      <c r="DR185" s="827">
        <f t="shared" si="295"/>
        <v>243029.96259297442</v>
      </c>
      <c r="DV185" s="828">
        <f>IFERROR(VLOOKUP($B185,'Afton FY16 Final'!$A$5:$BV$587,'Afton FY16 Final'!$BV$587,0),0)</f>
        <v>235596.11309804019</v>
      </c>
      <c r="DX185" s="636">
        <f t="shared" si="260"/>
        <v>243029.96259297442</v>
      </c>
      <c r="DY185" s="637">
        <f t="shared" si="261"/>
        <v>7433.8494949342276</v>
      </c>
      <c r="DZ185" s="637">
        <f t="shared" si="262"/>
        <v>235596.11309804019</v>
      </c>
      <c r="EA185" s="643">
        <f t="shared" si="263"/>
        <v>230103.49231726266</v>
      </c>
      <c r="EB185" s="637">
        <f t="shared" si="296"/>
        <v>235596.11309804019</v>
      </c>
      <c r="EC185" s="637">
        <f t="shared" si="297"/>
        <v>0</v>
      </c>
      <c r="ED185" s="637">
        <f t="shared" si="298"/>
        <v>0</v>
      </c>
      <c r="EE185" s="643">
        <f t="shared" si="299"/>
        <v>235596.11309804019</v>
      </c>
      <c r="EF185" s="637">
        <f t="shared" si="300"/>
        <v>0</v>
      </c>
      <c r="EG185" s="637">
        <f t="shared" si="301"/>
        <v>0</v>
      </c>
      <c r="EH185" s="637">
        <f t="shared" si="302"/>
        <v>0</v>
      </c>
      <c r="EI185" s="643">
        <f t="shared" si="303"/>
        <v>235596.11309804019</v>
      </c>
      <c r="EJ185" s="637">
        <f t="shared" si="304"/>
        <v>0</v>
      </c>
      <c r="EK185" s="637">
        <f t="shared" si="305"/>
        <v>0</v>
      </c>
      <c r="EL185" s="637">
        <f t="shared" si="306"/>
        <v>0</v>
      </c>
      <c r="EM185" s="643">
        <f t="shared" si="307"/>
        <v>235596.11309804019</v>
      </c>
      <c r="EN185" s="637">
        <f t="shared" si="308"/>
        <v>0</v>
      </c>
      <c r="EO185" s="637">
        <f t="shared" si="309"/>
        <v>0</v>
      </c>
      <c r="EP185" s="637">
        <f t="shared" si="310"/>
        <v>0</v>
      </c>
      <c r="EQ185" s="643">
        <f t="shared" si="311"/>
        <v>235596.11309804019</v>
      </c>
      <c r="ER185" s="637">
        <f t="shared" si="312"/>
        <v>0</v>
      </c>
      <c r="ES185" s="637">
        <f t="shared" si="313"/>
        <v>0</v>
      </c>
      <c r="ET185" s="637">
        <f t="shared" si="314"/>
        <v>0</v>
      </c>
      <c r="EU185" s="643">
        <f t="shared" si="264"/>
        <v>235596.11309804019</v>
      </c>
      <c r="EV185" s="643">
        <f t="shared" si="265"/>
        <v>0</v>
      </c>
      <c r="EX185" s="829">
        <f t="shared" si="266"/>
        <v>7433.8494949342276</v>
      </c>
      <c r="EY185" s="638">
        <f t="shared" si="267"/>
        <v>235596.11309804019</v>
      </c>
      <c r="FC185" s="830" t="str">
        <f t="shared" si="315"/>
        <v>Y</v>
      </c>
      <c r="FE185" s="830" t="str">
        <f>IFERROR(VLOOKUP($B185,'Historical Conc Grant Elig'!$B$3:$J$707,'HH &amp; SI'!FE$2,0),"N")</f>
        <v>N</v>
      </c>
      <c r="FF185" s="830" t="str">
        <f>IFERROR(VLOOKUP($B185,'Historical Conc Grant Elig'!$B$3:$J$707,'HH &amp; SI'!FF$2,0),"N")</f>
        <v>N</v>
      </c>
      <c r="FG185" s="830" t="str">
        <f>IFERROR(VLOOKUP($B185,'Historical Conc Grant Elig'!$B$3:$J$707,'HH &amp; SI'!FG$2,0),"N")</f>
        <v>Y</v>
      </c>
      <c r="FH185" s="830" t="str">
        <f>IFERROR(VLOOKUP($B185,'Historical Conc Grant Elig'!$B$3:$J$707,'HH &amp; SI'!FH$2,0),"N")</f>
        <v>Y</v>
      </c>
      <c r="FI185" s="830" t="str">
        <f>IFERROR(VLOOKUP($B185,'Historical Conc Grant Elig'!$B$3:$J$707,'HH &amp; SI'!FI$2,0),"N")</f>
        <v>Y</v>
      </c>
      <c r="FJ185" s="830" t="str">
        <f>IFERROR(VLOOKUP($B185,'Historical Conc Grant Elig'!$B$3:$J$707,'HH &amp; SI'!FJ$2,0),"N")</f>
        <v>Y</v>
      </c>
      <c r="FK185" s="830" t="str">
        <f>IFERROR(VLOOKUP($B185,'Historical Conc Grant Elig'!$B$3:$J$707,'HH &amp; SI'!FK$2,0),"N")</f>
        <v>Y</v>
      </c>
      <c r="FL185" s="957" t="str">
        <f>IFERROR(VLOOKUP($B185,'Historical Conc Grant Elig'!$B$3:$J$707,'HH &amp; SI'!FL$2,0),"N")</f>
        <v>Y</v>
      </c>
    </row>
    <row r="186" spans="2:168" x14ac:dyDescent="0.25">
      <c r="B186" s="634">
        <v>78536000</v>
      </c>
      <c r="C186" s="635" t="str">
        <f>VLOOKUP($B186,'Afton Update'!$A$5:$CR$582,'Afton Update'!D$589,0)</f>
        <v>Imagine Coolidge Elementary  Inc.</v>
      </c>
      <c r="D186" s="636">
        <f>IFERROR(VLOOKUP($B186,'Afton FY16 Final'!$A$5:$BV$587,'Afton FY16 Final'!AQ$587,0),0)</f>
        <v>130014.23682432163</v>
      </c>
      <c r="E186" s="637">
        <f>IFERROR(VLOOKUP($B186,'Afton FY16 Final'!$A$5:$BV$587,'Afton FY16 Final'!AR$587,0),0)</f>
        <v>27237.649544558361</v>
      </c>
      <c r="F186" s="637">
        <f>IFERROR(VLOOKUP($B186,'Afton FY16 Final'!$A$5:$BV$587,'Afton FY16 Final'!AS$587,0),0)</f>
        <v>68935.447949208334</v>
      </c>
      <c r="G186" s="637">
        <f>IFERROR(VLOOKUP($B186,'Afton FY16 Final'!$A$5:$BV$587,'Afton FY16 Final'!AT$587,0),0)</f>
        <v>66418.829578399425</v>
      </c>
      <c r="H186" s="638">
        <f>IFERROR(VLOOKUP($B186,'Afton FY16 Final'!$A$5:$BV$587,'Afton FY16 Final'!AU$587,0),0)</f>
        <v>292606.16389648773</v>
      </c>
      <c r="I186" s="639" t="str">
        <f>VLOOKUP($B186,'Afton Update'!$A$5:$CR$582,'Afton Update'!BT$589,0)</f>
        <v>Y</v>
      </c>
      <c r="J186" s="640" t="str">
        <f>VLOOKUP($B186,'Afton Update'!$A$5:$CR$582,'Afton Update'!BU$589,0)</f>
        <v>Y</v>
      </c>
      <c r="K186" s="640" t="str">
        <f>VLOOKUP($B186,'Afton Update'!$A$5:$CR$582,'Afton Update'!BV$589,0)</f>
        <v>Y</v>
      </c>
      <c r="L186" s="641" t="str">
        <f>VLOOKUP($B186,'Afton Update'!$A$5:$CR$582,'Afton Update'!BW$589,0)</f>
        <v>Y</v>
      </c>
      <c r="N186" s="642">
        <f>VLOOKUP($B186,'Afton Update'!$A$5:$CR$582,'Afton Update'!CB$589,0)</f>
        <v>0.95</v>
      </c>
      <c r="P186" s="636">
        <f>VLOOKUP($B186,'Afton Update'!$A$5:$CR$582,'Afton Update'!AH$589,0)</f>
        <v>139196.72869495041</v>
      </c>
      <c r="Q186" s="637">
        <f>VLOOKUP($B186,'Afton Update'!$A$5:$CR$582,'Afton Update'!AI$589,0)</f>
        <v>30916.481030441351</v>
      </c>
      <c r="R186" s="637">
        <f>VLOOKUP($B186,'Afton Update'!$A$5:$CR$582,'Afton Update'!AJ$589,0)</f>
        <v>81491.89493621212</v>
      </c>
      <c r="S186" s="637">
        <f>VLOOKUP($B186,'Afton Update'!$A$5:$CR$582,'Afton Update'!AK$589,0)</f>
        <v>75858.249450377058</v>
      </c>
      <c r="T186" s="643">
        <f t="shared" si="268"/>
        <v>327463.35411198094</v>
      </c>
      <c r="V186" s="636">
        <f t="shared" si="316"/>
        <v>137297.99496801262</v>
      </c>
      <c r="W186" s="637">
        <f t="shared" si="317"/>
        <v>29898.205178898374</v>
      </c>
      <c r="X186" s="637">
        <f t="shared" si="318"/>
        <v>80750.757969074621</v>
      </c>
      <c r="Y186" s="637">
        <f t="shared" si="319"/>
        <v>75022.428093258175</v>
      </c>
      <c r="Z186" s="643">
        <f t="shared" si="320"/>
        <v>322969.38620924379</v>
      </c>
      <c r="AB186" s="644">
        <f t="shared" si="269"/>
        <v>139196.72869495041</v>
      </c>
      <c r="AC186" s="645">
        <f t="shared" si="257"/>
        <v>123513.52498310554</v>
      </c>
      <c r="AD186" s="644">
        <f t="shared" si="321"/>
        <v>0</v>
      </c>
      <c r="AE186" s="645">
        <f t="shared" si="322"/>
        <v>139196.72869495041</v>
      </c>
      <c r="AF186" s="646">
        <f t="shared" si="323"/>
        <v>-1725.4480557310294</v>
      </c>
      <c r="AG186" s="647">
        <f t="shared" si="324"/>
        <v>137471.28063921939</v>
      </c>
      <c r="AH186" s="644">
        <f t="shared" si="270"/>
        <v>0</v>
      </c>
      <c r="AI186" s="645">
        <f t="shared" si="271"/>
        <v>137471.28063921939</v>
      </c>
      <c r="AJ186" s="646">
        <f t="shared" si="325"/>
        <v>-173.17527143788931</v>
      </c>
      <c r="AK186" s="647">
        <f t="shared" si="272"/>
        <v>137298.10536778151</v>
      </c>
      <c r="AL186" s="644">
        <f t="shared" si="326"/>
        <v>0</v>
      </c>
      <c r="AM186" s="645">
        <f t="shared" si="327"/>
        <v>137298.10536778151</v>
      </c>
      <c r="AN186" s="646">
        <f t="shared" si="328"/>
        <v>-0.11039976889153183</v>
      </c>
      <c r="AO186" s="647">
        <f t="shared" si="273"/>
        <v>137297.99496801262</v>
      </c>
      <c r="AP186" s="644">
        <f t="shared" si="329"/>
        <v>0</v>
      </c>
      <c r="AQ186" s="645">
        <f t="shared" si="330"/>
        <v>137297.99496801262</v>
      </c>
      <c r="AR186" s="646">
        <f t="shared" si="331"/>
        <v>0</v>
      </c>
      <c r="AS186" s="647">
        <f t="shared" si="274"/>
        <v>137297.99496801262</v>
      </c>
      <c r="AT186" s="644">
        <f t="shared" si="332"/>
        <v>0</v>
      </c>
      <c r="AU186" s="645">
        <f t="shared" si="333"/>
        <v>137297.99496801262</v>
      </c>
      <c r="AV186" s="646">
        <f t="shared" si="334"/>
        <v>0</v>
      </c>
      <c r="AW186" s="647">
        <f t="shared" si="275"/>
        <v>137297.99496801262</v>
      </c>
      <c r="AY186" s="644">
        <f t="shared" si="335"/>
        <v>30916.481030441351</v>
      </c>
      <c r="AZ186" s="645">
        <f t="shared" si="276"/>
        <v>25875.767067330442</v>
      </c>
      <c r="BA186" s="644">
        <f t="shared" si="336"/>
        <v>0</v>
      </c>
      <c r="BB186" s="645">
        <f t="shared" si="337"/>
        <v>30916.481030441351</v>
      </c>
      <c r="BC186" s="646">
        <f t="shared" si="338"/>
        <v>-222.32942509370557</v>
      </c>
      <c r="BD186" s="647">
        <f t="shared" si="339"/>
        <v>30694.151605347644</v>
      </c>
      <c r="BE186" s="644">
        <f t="shared" si="277"/>
        <v>0</v>
      </c>
      <c r="BF186" s="645">
        <f t="shared" si="278"/>
        <v>30694.151605347644</v>
      </c>
      <c r="BG186" s="646">
        <f t="shared" si="340"/>
        <v>-731.10967731042763</v>
      </c>
      <c r="BH186" s="647">
        <f t="shared" si="279"/>
        <v>29963.041928037215</v>
      </c>
      <c r="BI186" s="644">
        <f t="shared" si="341"/>
        <v>0</v>
      </c>
      <c r="BJ186" s="645">
        <f t="shared" si="342"/>
        <v>29963.041928037215</v>
      </c>
      <c r="BK186" s="646">
        <f t="shared" si="343"/>
        <v>-63.468760283438861</v>
      </c>
      <c r="BL186" s="647">
        <f t="shared" si="280"/>
        <v>29899.573167753777</v>
      </c>
      <c r="BM186" s="644">
        <f t="shared" si="344"/>
        <v>0</v>
      </c>
      <c r="BN186" s="645">
        <f t="shared" si="345"/>
        <v>29899.573167753777</v>
      </c>
      <c r="BO186" s="646">
        <f t="shared" si="346"/>
        <v>-1.3679888554038768</v>
      </c>
      <c r="BP186" s="647">
        <f t="shared" si="281"/>
        <v>29898.205178898374</v>
      </c>
      <c r="BQ186" s="644">
        <f t="shared" si="347"/>
        <v>0</v>
      </c>
      <c r="BR186" s="645">
        <f t="shared" si="348"/>
        <v>29898.205178898374</v>
      </c>
      <c r="BS186" s="646">
        <f t="shared" si="349"/>
        <v>0</v>
      </c>
      <c r="BT186" s="647">
        <f t="shared" si="282"/>
        <v>29898.205178898374</v>
      </c>
      <c r="BU186" s="662">
        <f>VLOOKUP(B186,'Afton Update'!$A$5:$AR$582,'Afton Update'!$AO$589,0)-BT186</f>
        <v>0</v>
      </c>
      <c r="BV186" s="644">
        <f t="shared" si="350"/>
        <v>81491.89493621212</v>
      </c>
      <c r="BW186" s="645">
        <f t="shared" si="258"/>
        <v>65488.675551747911</v>
      </c>
      <c r="BX186" s="644">
        <f t="shared" si="351"/>
        <v>0</v>
      </c>
      <c r="BY186" s="645">
        <f t="shared" si="352"/>
        <v>81491.89493621212</v>
      </c>
      <c r="BZ186" s="646">
        <f t="shared" si="353"/>
        <v>-715.26302597661174</v>
      </c>
      <c r="CA186" s="647">
        <f t="shared" si="354"/>
        <v>80776.631910235505</v>
      </c>
      <c r="CB186" s="644">
        <f t="shared" si="283"/>
        <v>0</v>
      </c>
      <c r="CC186" s="645">
        <f t="shared" si="284"/>
        <v>80776.631910235505</v>
      </c>
      <c r="CD186" s="646">
        <f t="shared" si="355"/>
        <v>-25.873941160884851</v>
      </c>
      <c r="CE186" s="647">
        <f t="shared" si="285"/>
        <v>80750.757969074621</v>
      </c>
      <c r="CF186" s="644">
        <f t="shared" si="356"/>
        <v>0</v>
      </c>
      <c r="CG186" s="645">
        <f t="shared" si="357"/>
        <v>80750.757969074621</v>
      </c>
      <c r="CH186" s="646">
        <f t="shared" si="358"/>
        <v>0</v>
      </c>
      <c r="CI186" s="647">
        <f t="shared" si="286"/>
        <v>80750.757969074621</v>
      </c>
      <c r="CJ186" s="644">
        <f t="shared" si="359"/>
        <v>0</v>
      </c>
      <c r="CK186" s="645">
        <f t="shared" si="360"/>
        <v>80750.757969074621</v>
      </c>
      <c r="CL186" s="646">
        <f t="shared" si="361"/>
        <v>0</v>
      </c>
      <c r="CM186" s="647">
        <f t="shared" si="287"/>
        <v>80750.757969074621</v>
      </c>
      <c r="CN186" s="644">
        <f t="shared" si="362"/>
        <v>0</v>
      </c>
      <c r="CO186" s="645">
        <f t="shared" si="363"/>
        <v>80750.757969074621</v>
      </c>
      <c r="CP186" s="646">
        <f t="shared" si="364"/>
        <v>0</v>
      </c>
      <c r="CQ186" s="647">
        <f t="shared" si="288"/>
        <v>80750.757969074621</v>
      </c>
      <c r="CS186" s="644">
        <f t="shared" si="365"/>
        <v>75858.249450377058</v>
      </c>
      <c r="CT186" s="645">
        <f t="shared" si="259"/>
        <v>63097.888099479453</v>
      </c>
      <c r="CU186" s="644">
        <f t="shared" si="366"/>
        <v>0</v>
      </c>
      <c r="CV186" s="645">
        <f t="shared" si="367"/>
        <v>75858.249450377058</v>
      </c>
      <c r="CW186" s="646">
        <f t="shared" si="368"/>
        <v>-776.83134353566345</v>
      </c>
      <c r="CX186" s="647">
        <f t="shared" si="369"/>
        <v>75081.418106841389</v>
      </c>
      <c r="CY186" s="644">
        <f t="shared" si="289"/>
        <v>0</v>
      </c>
      <c r="CZ186" s="645">
        <f t="shared" si="290"/>
        <v>75081.418106841389</v>
      </c>
      <c r="DA186" s="646">
        <f t="shared" si="370"/>
        <v>-58.93918587641447</v>
      </c>
      <c r="DB186" s="647">
        <f t="shared" si="291"/>
        <v>75022.478920964975</v>
      </c>
      <c r="DC186" s="644">
        <f t="shared" si="371"/>
        <v>0</v>
      </c>
      <c r="DD186" s="645">
        <f t="shared" si="372"/>
        <v>75022.478920964975</v>
      </c>
      <c r="DE186" s="646">
        <f t="shared" si="373"/>
        <v>-5.0827706803083864E-2</v>
      </c>
      <c r="DF186" s="647">
        <f t="shared" si="292"/>
        <v>75022.428093258175</v>
      </c>
      <c r="DG186" s="644">
        <f t="shared" si="374"/>
        <v>0</v>
      </c>
      <c r="DH186" s="645">
        <f t="shared" si="375"/>
        <v>75022.428093258175</v>
      </c>
      <c r="DI186" s="646">
        <f t="shared" si="376"/>
        <v>0</v>
      </c>
      <c r="DJ186" s="647">
        <f t="shared" si="293"/>
        <v>75022.428093258175</v>
      </c>
      <c r="DK186" s="644">
        <f t="shared" si="377"/>
        <v>0</v>
      </c>
      <c r="DL186" s="645">
        <f t="shared" si="378"/>
        <v>75022.428093258175</v>
      </c>
      <c r="DM186" s="646">
        <f t="shared" si="379"/>
        <v>0</v>
      </c>
      <c r="DN186" s="647">
        <f t="shared" si="294"/>
        <v>75022.428093258175</v>
      </c>
      <c r="DR186" s="827">
        <f t="shared" si="295"/>
        <v>322969.38620924379</v>
      </c>
      <c r="DV186" s="828">
        <f>IFERROR(VLOOKUP($B186,'Afton FY16 Final'!$A$5:$BV$587,'Afton FY16 Final'!$BV$587,0),0)</f>
        <v>282250.25057138765</v>
      </c>
      <c r="DX186" s="636">
        <f t="shared" si="260"/>
        <v>322969.38620924379</v>
      </c>
      <c r="DY186" s="637">
        <f t="shared" si="261"/>
        <v>40719.135637856147</v>
      </c>
      <c r="DZ186" s="637">
        <f t="shared" si="262"/>
        <v>282250.25057138765</v>
      </c>
      <c r="EA186" s="643">
        <f t="shared" si="263"/>
        <v>305791.03451031895</v>
      </c>
      <c r="EB186" s="637">
        <f t="shared" si="296"/>
        <v>0</v>
      </c>
      <c r="EC186" s="637">
        <f t="shared" si="297"/>
        <v>305791.03451031895</v>
      </c>
      <c r="ED186" s="637">
        <f t="shared" si="298"/>
        <v>304879.18390349654</v>
      </c>
      <c r="EE186" s="643">
        <f t="shared" si="299"/>
        <v>304879.18390349654</v>
      </c>
      <c r="EF186" s="637">
        <f t="shared" si="300"/>
        <v>0</v>
      </c>
      <c r="EG186" s="637">
        <f t="shared" si="301"/>
        <v>304879.18390349654</v>
      </c>
      <c r="EH186" s="637">
        <f t="shared" si="302"/>
        <v>304878.86937154282</v>
      </c>
      <c r="EI186" s="643">
        <f t="shared" si="303"/>
        <v>304878.86937154282</v>
      </c>
      <c r="EJ186" s="637">
        <f t="shared" si="304"/>
        <v>0</v>
      </c>
      <c r="EK186" s="637">
        <f t="shared" si="305"/>
        <v>304878.86937154282</v>
      </c>
      <c r="EL186" s="637">
        <f t="shared" si="306"/>
        <v>304878.86937154242</v>
      </c>
      <c r="EM186" s="643">
        <f t="shared" si="307"/>
        <v>304878.86937154242</v>
      </c>
      <c r="EN186" s="637">
        <f t="shared" si="308"/>
        <v>0</v>
      </c>
      <c r="EO186" s="637">
        <f t="shared" si="309"/>
        <v>304878.86937154242</v>
      </c>
      <c r="EP186" s="637">
        <f t="shared" si="310"/>
        <v>304878.86937154288</v>
      </c>
      <c r="EQ186" s="643">
        <f t="shared" si="311"/>
        <v>304878.86937154288</v>
      </c>
      <c r="ER186" s="637">
        <f t="shared" si="312"/>
        <v>0</v>
      </c>
      <c r="ES186" s="637">
        <f t="shared" si="313"/>
        <v>304878.86937154288</v>
      </c>
      <c r="ET186" s="637">
        <f t="shared" si="314"/>
        <v>304878.86937154242</v>
      </c>
      <c r="EU186" s="643">
        <f t="shared" si="264"/>
        <v>304878.86937154242</v>
      </c>
      <c r="EV186" s="643">
        <f t="shared" si="265"/>
        <v>0</v>
      </c>
      <c r="EX186" s="829">
        <f t="shared" si="266"/>
        <v>18090.516837701376</v>
      </c>
      <c r="EY186" s="638">
        <f t="shared" si="267"/>
        <v>304878.86937154242</v>
      </c>
      <c r="FC186" s="830" t="str">
        <f t="shared" si="315"/>
        <v>Y</v>
      </c>
      <c r="FE186" s="830" t="str">
        <f>IFERROR(VLOOKUP($B186,'Historical Conc Grant Elig'!$B$3:$J$707,'HH &amp; SI'!FE$2,0),"N")</f>
        <v>N</v>
      </c>
      <c r="FF186" s="830" t="str">
        <f>IFERROR(VLOOKUP($B186,'Historical Conc Grant Elig'!$B$3:$J$707,'HH &amp; SI'!FF$2,0),"N")</f>
        <v>N</v>
      </c>
      <c r="FG186" s="830" t="str">
        <f>IFERROR(VLOOKUP($B186,'Historical Conc Grant Elig'!$B$3:$J$707,'HH &amp; SI'!FG$2,0),"N")</f>
        <v>Y</v>
      </c>
      <c r="FH186" s="830" t="str">
        <f>IFERROR(VLOOKUP($B186,'Historical Conc Grant Elig'!$B$3:$J$707,'HH &amp; SI'!FH$2,0),"N")</f>
        <v>Y</v>
      </c>
      <c r="FI186" s="830" t="str">
        <f>IFERROR(VLOOKUP($B186,'Historical Conc Grant Elig'!$B$3:$J$707,'HH &amp; SI'!FI$2,0),"N")</f>
        <v>Y</v>
      </c>
      <c r="FJ186" s="830" t="str">
        <f>IFERROR(VLOOKUP($B186,'Historical Conc Grant Elig'!$B$3:$J$707,'HH &amp; SI'!FJ$2,0),"N")</f>
        <v>Y</v>
      </c>
      <c r="FK186" s="830" t="str">
        <f>IFERROR(VLOOKUP($B186,'Historical Conc Grant Elig'!$B$3:$J$707,'HH &amp; SI'!FK$2,0),"N")</f>
        <v>Y</v>
      </c>
      <c r="FL186" s="957" t="str">
        <f>IFERROR(VLOOKUP($B186,'Historical Conc Grant Elig'!$B$3:$J$707,'HH &amp; SI'!FL$2,0),"N")</f>
        <v>Y</v>
      </c>
    </row>
    <row r="187" spans="2:168" x14ac:dyDescent="0.25">
      <c r="B187" s="634">
        <v>78537000</v>
      </c>
      <c r="C187" s="635" t="str">
        <f>VLOOKUP($B187,'Afton Update'!$A$5:$CR$582,'Afton Update'!D$589,0)</f>
        <v>Imagine Prep Superstition  Inc.</v>
      </c>
      <c r="D187" s="636">
        <f>IFERROR(VLOOKUP($B187,'Afton FY16 Final'!$A$5:$BV$587,'Afton FY16 Final'!AQ$587,0),0)</f>
        <v>23960.347764030037</v>
      </c>
      <c r="E187" s="637">
        <f>IFERROR(VLOOKUP($B187,'Afton FY16 Final'!$A$5:$BV$587,'Afton FY16 Final'!AR$587,0),0)</f>
        <v>6774.3866551651727</v>
      </c>
      <c r="F187" s="637">
        <f>IFERROR(VLOOKUP($B187,'Afton FY16 Final'!$A$5:$BV$587,'Afton FY16 Final'!AS$587,0),0)</f>
        <v>13003.562182925874</v>
      </c>
      <c r="G187" s="637">
        <f>IFERROR(VLOOKUP($B187,'Afton FY16 Final'!$A$5:$BV$587,'Afton FY16 Final'!AT$587,0),0)</f>
        <v>10918.549694895952</v>
      </c>
      <c r="H187" s="638">
        <f>IFERROR(VLOOKUP($B187,'Afton FY16 Final'!$A$5:$BV$587,'Afton FY16 Final'!AU$587,0),0)</f>
        <v>54656.846297017037</v>
      </c>
      <c r="I187" s="639" t="str">
        <f>VLOOKUP($B187,'Afton Update'!$A$5:$CR$582,'Afton Update'!BT$589,0)</f>
        <v>Y</v>
      </c>
      <c r="J187" s="640" t="str">
        <f>VLOOKUP($B187,'Afton Update'!$A$5:$CR$582,'Afton Update'!BU$589,0)</f>
        <v>Y</v>
      </c>
      <c r="K187" s="640" t="str">
        <f>VLOOKUP($B187,'Afton Update'!$A$5:$CR$582,'Afton Update'!BV$589,0)</f>
        <v>Y</v>
      </c>
      <c r="L187" s="641" t="str">
        <f>VLOOKUP($B187,'Afton Update'!$A$5:$CR$582,'Afton Update'!BW$589,0)</f>
        <v>Y</v>
      </c>
      <c r="N187" s="642">
        <f>VLOOKUP($B187,'Afton Update'!$A$5:$CR$582,'Afton Update'!CB$589,0)</f>
        <v>0.9</v>
      </c>
      <c r="P187" s="636">
        <f>VLOOKUP($B187,'Afton Update'!$A$5:$CR$582,'Afton Update'!AH$589,0)</f>
        <v>27743.677884216919</v>
      </c>
      <c r="Q187" s="637">
        <f>VLOOKUP($B187,'Afton Update'!$A$5:$CR$582,'Afton Update'!AI$589,0)</f>
        <v>7868.1693538321451</v>
      </c>
      <c r="R187" s="637">
        <f>VLOOKUP($B187,'Afton Update'!$A$5:$CR$582,'Afton Update'!AJ$589,0)</f>
        <v>16262.66074445575</v>
      </c>
      <c r="S187" s="637">
        <f>VLOOKUP($B187,'Afton Update'!$A$5:$CR$582,'Afton Update'!AK$589,0)</f>
        <v>15138.400897971849</v>
      </c>
      <c r="T187" s="643">
        <f t="shared" si="268"/>
        <v>67012.908880476665</v>
      </c>
      <c r="V187" s="636">
        <f t="shared" si="316"/>
        <v>27365.236110462993</v>
      </c>
      <c r="W187" s="637">
        <f t="shared" si="317"/>
        <v>7609.0206220935961</v>
      </c>
      <c r="X187" s="637">
        <f t="shared" si="318"/>
        <v>16114.758194500735</v>
      </c>
      <c r="Y187" s="637">
        <f t="shared" si="319"/>
        <v>14971.602970589811</v>
      </c>
      <c r="Z187" s="643">
        <f t="shared" si="320"/>
        <v>66060.617897647142</v>
      </c>
      <c r="AB187" s="644">
        <f t="shared" si="269"/>
        <v>27743.677884216919</v>
      </c>
      <c r="AC187" s="645">
        <f t="shared" si="257"/>
        <v>21564.312987627032</v>
      </c>
      <c r="AD187" s="644">
        <f t="shared" si="321"/>
        <v>0</v>
      </c>
      <c r="AE187" s="645">
        <f t="shared" si="322"/>
        <v>27743.677884216919</v>
      </c>
      <c r="AF187" s="646">
        <f t="shared" si="323"/>
        <v>-343.90373619381342</v>
      </c>
      <c r="AG187" s="647">
        <f t="shared" si="324"/>
        <v>27399.774148023105</v>
      </c>
      <c r="AH187" s="644">
        <f t="shared" si="270"/>
        <v>0</v>
      </c>
      <c r="AI187" s="645">
        <f t="shared" si="271"/>
        <v>27399.774148023105</v>
      </c>
      <c r="AJ187" s="646">
        <f t="shared" si="325"/>
        <v>-34.516033482465907</v>
      </c>
      <c r="AK187" s="647">
        <f t="shared" si="272"/>
        <v>27365.25811454064</v>
      </c>
      <c r="AL187" s="644">
        <f t="shared" si="326"/>
        <v>0</v>
      </c>
      <c r="AM187" s="645">
        <f t="shared" si="327"/>
        <v>27365.25811454064</v>
      </c>
      <c r="AN187" s="646">
        <f t="shared" si="328"/>
        <v>-2.2004077648483999E-2</v>
      </c>
      <c r="AO187" s="647">
        <f t="shared" si="273"/>
        <v>27365.236110462993</v>
      </c>
      <c r="AP187" s="644">
        <f t="shared" si="329"/>
        <v>0</v>
      </c>
      <c r="AQ187" s="645">
        <f t="shared" si="330"/>
        <v>27365.236110462993</v>
      </c>
      <c r="AR187" s="646">
        <f t="shared" si="331"/>
        <v>0</v>
      </c>
      <c r="AS187" s="647">
        <f t="shared" si="274"/>
        <v>27365.236110462993</v>
      </c>
      <c r="AT187" s="644">
        <f t="shared" si="332"/>
        <v>0</v>
      </c>
      <c r="AU187" s="645">
        <f t="shared" si="333"/>
        <v>27365.236110462993</v>
      </c>
      <c r="AV187" s="646">
        <f t="shared" si="334"/>
        <v>0</v>
      </c>
      <c r="AW187" s="647">
        <f t="shared" si="275"/>
        <v>27365.236110462993</v>
      </c>
      <c r="AY187" s="644">
        <f t="shared" si="335"/>
        <v>7868.1693538321451</v>
      </c>
      <c r="AZ187" s="645">
        <f t="shared" si="276"/>
        <v>6096.9479896486555</v>
      </c>
      <c r="BA187" s="644">
        <f t="shared" si="336"/>
        <v>0</v>
      </c>
      <c r="BB187" s="645">
        <f t="shared" si="337"/>
        <v>7868.1693538321451</v>
      </c>
      <c r="BC187" s="646">
        <f t="shared" si="338"/>
        <v>-56.582298847497299</v>
      </c>
      <c r="BD187" s="647">
        <f t="shared" si="339"/>
        <v>7811.5870549846477</v>
      </c>
      <c r="BE187" s="644">
        <f t="shared" si="277"/>
        <v>0</v>
      </c>
      <c r="BF187" s="645">
        <f t="shared" si="278"/>
        <v>7811.5870549846477</v>
      </c>
      <c r="BG187" s="646">
        <f t="shared" si="340"/>
        <v>-186.06563766555215</v>
      </c>
      <c r="BH187" s="647">
        <f t="shared" si="279"/>
        <v>7625.5214173190952</v>
      </c>
      <c r="BI187" s="644">
        <f t="shared" si="341"/>
        <v>0</v>
      </c>
      <c r="BJ187" s="645">
        <f t="shared" si="342"/>
        <v>7625.5214173190952</v>
      </c>
      <c r="BK187" s="646">
        <f t="shared" si="343"/>
        <v>-16.152645383417475</v>
      </c>
      <c r="BL187" s="647">
        <f t="shared" si="280"/>
        <v>7609.3687719356776</v>
      </c>
      <c r="BM187" s="644">
        <f t="shared" si="344"/>
        <v>0</v>
      </c>
      <c r="BN187" s="645">
        <f t="shared" si="345"/>
        <v>7609.3687719356776</v>
      </c>
      <c r="BO187" s="646">
        <f t="shared" si="346"/>
        <v>-0.34814984208178629</v>
      </c>
      <c r="BP187" s="647">
        <f t="shared" si="281"/>
        <v>7609.0206220935961</v>
      </c>
      <c r="BQ187" s="644">
        <f t="shared" si="347"/>
        <v>0</v>
      </c>
      <c r="BR187" s="645">
        <f t="shared" si="348"/>
        <v>7609.0206220935961</v>
      </c>
      <c r="BS187" s="646">
        <f t="shared" si="349"/>
        <v>0</v>
      </c>
      <c r="BT187" s="647">
        <f t="shared" si="282"/>
        <v>7609.0206220935961</v>
      </c>
      <c r="BU187" s="662">
        <f>VLOOKUP(B187,'Afton Update'!$A$5:$AR$582,'Afton Update'!$AO$589,0)-BT187</f>
        <v>0</v>
      </c>
      <c r="BV187" s="644">
        <f t="shared" si="350"/>
        <v>16262.66074445575</v>
      </c>
      <c r="BW187" s="645">
        <f t="shared" si="258"/>
        <v>11703.205964633287</v>
      </c>
      <c r="BX187" s="644">
        <f t="shared" si="351"/>
        <v>0</v>
      </c>
      <c r="BY187" s="645">
        <f t="shared" si="352"/>
        <v>16262.66074445575</v>
      </c>
      <c r="BZ187" s="646">
        <f t="shared" si="353"/>
        <v>-142.73910238086256</v>
      </c>
      <c r="CA187" s="647">
        <f t="shared" si="354"/>
        <v>16119.921642074887</v>
      </c>
      <c r="CB187" s="644">
        <f t="shared" si="283"/>
        <v>0</v>
      </c>
      <c r="CC187" s="645">
        <f t="shared" si="284"/>
        <v>16119.921642074887</v>
      </c>
      <c r="CD187" s="646">
        <f t="shared" si="355"/>
        <v>-5.1634475741525616</v>
      </c>
      <c r="CE187" s="647">
        <f t="shared" si="285"/>
        <v>16114.758194500735</v>
      </c>
      <c r="CF187" s="644">
        <f t="shared" si="356"/>
        <v>0</v>
      </c>
      <c r="CG187" s="645">
        <f t="shared" si="357"/>
        <v>16114.758194500735</v>
      </c>
      <c r="CH187" s="646">
        <f t="shared" si="358"/>
        <v>0</v>
      </c>
      <c r="CI187" s="647">
        <f t="shared" si="286"/>
        <v>16114.758194500735</v>
      </c>
      <c r="CJ187" s="644">
        <f t="shared" si="359"/>
        <v>0</v>
      </c>
      <c r="CK187" s="645">
        <f t="shared" si="360"/>
        <v>16114.758194500735</v>
      </c>
      <c r="CL187" s="646">
        <f t="shared" si="361"/>
        <v>0</v>
      </c>
      <c r="CM187" s="647">
        <f t="shared" si="287"/>
        <v>16114.758194500735</v>
      </c>
      <c r="CN187" s="644">
        <f t="shared" si="362"/>
        <v>0</v>
      </c>
      <c r="CO187" s="645">
        <f t="shared" si="363"/>
        <v>16114.758194500735</v>
      </c>
      <c r="CP187" s="646">
        <f t="shared" si="364"/>
        <v>0</v>
      </c>
      <c r="CQ187" s="647">
        <f t="shared" si="288"/>
        <v>16114.758194500735</v>
      </c>
      <c r="CS187" s="644">
        <f t="shared" si="365"/>
        <v>15138.400897971849</v>
      </c>
      <c r="CT187" s="645">
        <f t="shared" si="259"/>
        <v>9826.6947254063562</v>
      </c>
      <c r="CU187" s="644">
        <f t="shared" si="366"/>
        <v>0</v>
      </c>
      <c r="CV187" s="645">
        <f t="shared" si="367"/>
        <v>15138.400897971849</v>
      </c>
      <c r="CW187" s="646">
        <f t="shared" si="368"/>
        <v>-155.02578023825612</v>
      </c>
      <c r="CX187" s="647">
        <f t="shared" si="369"/>
        <v>14983.375117733593</v>
      </c>
      <c r="CY187" s="644">
        <f t="shared" si="289"/>
        <v>0</v>
      </c>
      <c r="CZ187" s="645">
        <f t="shared" si="290"/>
        <v>14983.375117733593</v>
      </c>
      <c r="DA187" s="646">
        <f t="shared" si="370"/>
        <v>-11.762003880420517</v>
      </c>
      <c r="DB187" s="647">
        <f t="shared" si="291"/>
        <v>14971.613113853173</v>
      </c>
      <c r="DC187" s="644">
        <f t="shared" si="371"/>
        <v>0</v>
      </c>
      <c r="DD187" s="645">
        <f t="shared" si="372"/>
        <v>14971.613113853173</v>
      </c>
      <c r="DE187" s="646">
        <f t="shared" si="373"/>
        <v>-1.014326336139609E-2</v>
      </c>
      <c r="DF187" s="647">
        <f t="shared" si="292"/>
        <v>14971.602970589811</v>
      </c>
      <c r="DG187" s="644">
        <f t="shared" si="374"/>
        <v>0</v>
      </c>
      <c r="DH187" s="645">
        <f t="shared" si="375"/>
        <v>14971.602970589811</v>
      </c>
      <c r="DI187" s="646">
        <f t="shared" si="376"/>
        <v>0</v>
      </c>
      <c r="DJ187" s="647">
        <f t="shared" si="293"/>
        <v>14971.602970589811</v>
      </c>
      <c r="DK187" s="644">
        <f t="shared" si="377"/>
        <v>0</v>
      </c>
      <c r="DL187" s="645">
        <f t="shared" si="378"/>
        <v>14971.602970589811</v>
      </c>
      <c r="DM187" s="646">
        <f t="shared" si="379"/>
        <v>0</v>
      </c>
      <c r="DN187" s="647">
        <f t="shared" si="294"/>
        <v>14971.602970589811</v>
      </c>
      <c r="DR187" s="827">
        <f t="shared" si="295"/>
        <v>66060.617897647142</v>
      </c>
      <c r="DV187" s="828">
        <f>IFERROR(VLOOKUP($B187,'Afton FY16 Final'!$A$5:$BV$587,'Afton FY16 Final'!$BV$587,0),0)</f>
        <v>48526.008579137553</v>
      </c>
      <c r="DX187" s="636">
        <f t="shared" si="260"/>
        <v>66060.617897647142</v>
      </c>
      <c r="DY187" s="637">
        <f t="shared" si="261"/>
        <v>17534.609318509589</v>
      </c>
      <c r="DZ187" s="637">
        <f t="shared" si="262"/>
        <v>48526.008579137553</v>
      </c>
      <c r="EA187" s="643">
        <f t="shared" si="263"/>
        <v>62546.933393324325</v>
      </c>
      <c r="EB187" s="637">
        <f t="shared" si="296"/>
        <v>0</v>
      </c>
      <c r="EC187" s="637">
        <f t="shared" si="297"/>
        <v>62546.933393324325</v>
      </c>
      <c r="ED187" s="637">
        <f t="shared" si="298"/>
        <v>62360.422172480598</v>
      </c>
      <c r="EE187" s="643">
        <f t="shared" si="299"/>
        <v>62360.422172480598</v>
      </c>
      <c r="EF187" s="637">
        <f t="shared" si="300"/>
        <v>0</v>
      </c>
      <c r="EG187" s="637">
        <f t="shared" si="301"/>
        <v>62360.422172480598</v>
      </c>
      <c r="EH187" s="637">
        <f t="shared" si="302"/>
        <v>62360.357837667143</v>
      </c>
      <c r="EI187" s="643">
        <f t="shared" si="303"/>
        <v>62360.357837667143</v>
      </c>
      <c r="EJ187" s="637">
        <f t="shared" si="304"/>
        <v>0</v>
      </c>
      <c r="EK187" s="637">
        <f t="shared" si="305"/>
        <v>62360.357837667143</v>
      </c>
      <c r="EL187" s="637">
        <f t="shared" si="306"/>
        <v>62360.357837667056</v>
      </c>
      <c r="EM187" s="643">
        <f t="shared" si="307"/>
        <v>62360.357837667056</v>
      </c>
      <c r="EN187" s="637">
        <f t="shared" si="308"/>
        <v>0</v>
      </c>
      <c r="EO187" s="637">
        <f t="shared" si="309"/>
        <v>62360.357837667056</v>
      </c>
      <c r="EP187" s="637">
        <f t="shared" si="310"/>
        <v>62360.357837667158</v>
      </c>
      <c r="EQ187" s="643">
        <f t="shared" si="311"/>
        <v>62360.357837667158</v>
      </c>
      <c r="ER187" s="637">
        <f t="shared" si="312"/>
        <v>0</v>
      </c>
      <c r="ES187" s="637">
        <f t="shared" si="313"/>
        <v>62360.357837667158</v>
      </c>
      <c r="ET187" s="637">
        <f t="shared" si="314"/>
        <v>62360.357837667063</v>
      </c>
      <c r="EU187" s="643">
        <f t="shared" si="264"/>
        <v>62360.357837667063</v>
      </c>
      <c r="EV187" s="643">
        <f t="shared" si="265"/>
        <v>0</v>
      </c>
      <c r="EX187" s="829">
        <f t="shared" si="266"/>
        <v>3700.2600599800789</v>
      </c>
      <c r="EY187" s="638">
        <f t="shared" si="267"/>
        <v>62360.357837667063</v>
      </c>
      <c r="FC187" s="830" t="str">
        <f t="shared" si="315"/>
        <v>Y</v>
      </c>
      <c r="FE187" s="830" t="str">
        <f>IFERROR(VLOOKUP($B187,'Historical Conc Grant Elig'!$B$3:$J$707,'HH &amp; SI'!FE$2,0),"N")</f>
        <v>N</v>
      </c>
      <c r="FF187" s="830" t="str">
        <f>IFERROR(VLOOKUP($B187,'Historical Conc Grant Elig'!$B$3:$J$707,'HH &amp; SI'!FF$2,0),"N")</f>
        <v>N</v>
      </c>
      <c r="FG187" s="830" t="str">
        <f>IFERROR(VLOOKUP($B187,'Historical Conc Grant Elig'!$B$3:$J$707,'HH &amp; SI'!FG$2,0),"N")</f>
        <v>N</v>
      </c>
      <c r="FH187" s="830" t="str">
        <f>IFERROR(VLOOKUP($B187,'Historical Conc Grant Elig'!$B$3:$J$707,'HH &amp; SI'!FH$2,0),"N")</f>
        <v>Y</v>
      </c>
      <c r="FI187" s="830" t="str">
        <f>IFERROR(VLOOKUP($B187,'Historical Conc Grant Elig'!$B$3:$J$707,'HH &amp; SI'!FI$2,0),"N")</f>
        <v>N</v>
      </c>
      <c r="FJ187" s="830" t="str">
        <f>IFERROR(VLOOKUP($B187,'Historical Conc Grant Elig'!$B$3:$J$707,'HH &amp; SI'!FJ$2,0),"N")</f>
        <v>Y</v>
      </c>
      <c r="FK187" s="830" t="str">
        <f>IFERROR(VLOOKUP($B187,'Historical Conc Grant Elig'!$B$3:$J$707,'HH &amp; SI'!FK$2,0),"N")</f>
        <v>Y</v>
      </c>
      <c r="FL187" s="957" t="str">
        <f>IFERROR(VLOOKUP($B187,'Historical Conc Grant Elig'!$B$3:$J$707,'HH &amp; SI'!FL$2,0),"N")</f>
        <v>Y</v>
      </c>
    </row>
    <row r="188" spans="2:168" x14ac:dyDescent="0.25">
      <c r="B188" s="634">
        <v>78538000</v>
      </c>
      <c r="C188" s="635" t="str">
        <f>VLOOKUP($B188,'Afton Update'!$A$5:$CR$582,'Afton Update'!D$589,0)</f>
        <v>Imagine Prep Surprise  Inc.</v>
      </c>
      <c r="D188" s="636">
        <f>IFERROR(VLOOKUP($B188,'Afton FY16 Final'!$A$5:$BV$587,'Afton FY16 Final'!AQ$587,0),0)</f>
        <v>18980.439568771289</v>
      </c>
      <c r="E188" s="637">
        <f>IFERROR(VLOOKUP($B188,'Afton FY16 Final'!$A$5:$BV$587,'Afton FY16 Final'!AR$587,0),0)</f>
        <v>5763.3717448322977</v>
      </c>
      <c r="F188" s="637">
        <f>IFERROR(VLOOKUP($B188,'Afton FY16 Final'!$A$5:$BV$587,'Afton FY16 Final'!AS$587,0),0)</f>
        <v>10300.907508625874</v>
      </c>
      <c r="G188" s="637">
        <f>IFERROR(VLOOKUP($B188,'Afton FY16 Final'!$A$5:$BV$587,'Afton FY16 Final'!AT$587,0),0)</f>
        <v>8649.2431037963361</v>
      </c>
      <c r="H188" s="638">
        <f>IFERROR(VLOOKUP($B188,'Afton FY16 Final'!$A$5:$BV$587,'Afton FY16 Final'!AU$587,0),0)</f>
        <v>43693.961926025804</v>
      </c>
      <c r="I188" s="639" t="str">
        <f>VLOOKUP($B188,'Afton Update'!$A$5:$CR$582,'Afton Update'!BT$589,0)</f>
        <v>Y</v>
      </c>
      <c r="J188" s="640" t="str">
        <f>VLOOKUP($B188,'Afton Update'!$A$5:$CR$582,'Afton Update'!BU$589,0)</f>
        <v>N</v>
      </c>
      <c r="K188" s="640" t="str">
        <f>VLOOKUP($B188,'Afton Update'!$A$5:$CR$582,'Afton Update'!BV$589,0)</f>
        <v>Y</v>
      </c>
      <c r="L188" s="641" t="str">
        <f>VLOOKUP($B188,'Afton Update'!$A$5:$CR$582,'Afton Update'!BW$589,0)</f>
        <v>Y</v>
      </c>
      <c r="N188" s="642">
        <f>VLOOKUP($B188,'Afton Update'!$A$5:$CR$582,'Afton Update'!CB$589,0)</f>
        <v>0.85</v>
      </c>
      <c r="P188" s="636">
        <f>VLOOKUP($B188,'Afton Update'!$A$5:$CR$582,'Afton Update'!AH$589,0)</f>
        <v>15306.856763705886</v>
      </c>
      <c r="Q188" s="637" t="str">
        <f>VLOOKUP($B188,'Afton Update'!$A$5:$CR$582,'Afton Update'!AI$589,0)</f>
        <v/>
      </c>
      <c r="R188" s="637">
        <f>VLOOKUP($B188,'Afton Update'!$A$5:$CR$582,'Afton Update'!AJ$589,0)</f>
        <v>8983.8620792812198</v>
      </c>
      <c r="S188" s="637">
        <f>VLOOKUP($B188,'Afton Update'!$A$5:$CR$582,'Afton Update'!AK$589,0)</f>
        <v>8362.79548010689</v>
      </c>
      <c r="T188" s="643">
        <f t="shared" si="268"/>
        <v>32653.514323093994</v>
      </c>
      <c r="V188" s="636">
        <f t="shared" si="316"/>
        <v>16133.373633455596</v>
      </c>
      <c r="W188" s="637">
        <f t="shared" si="317"/>
        <v>4898.8659831074528</v>
      </c>
      <c r="X188" s="637">
        <f t="shared" si="318"/>
        <v>8902.1573612864813</v>
      </c>
      <c r="Y188" s="637">
        <f t="shared" si="319"/>
        <v>8270.6525277169458</v>
      </c>
      <c r="Z188" s="643">
        <f t="shared" si="320"/>
        <v>38205.04950556648</v>
      </c>
      <c r="AB188" s="644">
        <f t="shared" si="269"/>
        <v>15306.856763705886</v>
      </c>
      <c r="AC188" s="645">
        <f t="shared" si="257"/>
        <v>16133.373633455596</v>
      </c>
      <c r="AD188" s="644">
        <f t="shared" si="321"/>
        <v>826.51686974971017</v>
      </c>
      <c r="AE188" s="645">
        <f t="shared" si="322"/>
        <v>0</v>
      </c>
      <c r="AF188" s="646">
        <f t="shared" si="323"/>
        <v>0</v>
      </c>
      <c r="AG188" s="647">
        <f t="shared" si="324"/>
        <v>16133.373633455596</v>
      </c>
      <c r="AH188" s="644">
        <f t="shared" si="270"/>
        <v>0</v>
      </c>
      <c r="AI188" s="645">
        <f t="shared" si="271"/>
        <v>0</v>
      </c>
      <c r="AJ188" s="646">
        <f t="shared" si="325"/>
        <v>0</v>
      </c>
      <c r="AK188" s="647">
        <f t="shared" si="272"/>
        <v>16133.373633455596</v>
      </c>
      <c r="AL188" s="644">
        <f t="shared" si="326"/>
        <v>0</v>
      </c>
      <c r="AM188" s="645">
        <f t="shared" si="327"/>
        <v>0</v>
      </c>
      <c r="AN188" s="646">
        <f t="shared" si="328"/>
        <v>0</v>
      </c>
      <c r="AO188" s="647">
        <f t="shared" si="273"/>
        <v>16133.373633455596</v>
      </c>
      <c r="AP188" s="644">
        <f t="shared" si="329"/>
        <v>0</v>
      </c>
      <c r="AQ188" s="645">
        <f t="shared" si="330"/>
        <v>0</v>
      </c>
      <c r="AR188" s="646">
        <f t="shared" si="331"/>
        <v>0</v>
      </c>
      <c r="AS188" s="647">
        <f t="shared" si="274"/>
        <v>16133.373633455596</v>
      </c>
      <c r="AT188" s="644">
        <f t="shared" si="332"/>
        <v>0</v>
      </c>
      <c r="AU188" s="645">
        <f t="shared" si="333"/>
        <v>0</v>
      </c>
      <c r="AV188" s="646">
        <f t="shared" si="334"/>
        <v>0</v>
      </c>
      <c r="AW188" s="647">
        <f t="shared" si="275"/>
        <v>16133.373633455596</v>
      </c>
      <c r="AY188" s="644">
        <f t="shared" si="335"/>
        <v>0</v>
      </c>
      <c r="AZ188" s="645">
        <f t="shared" si="276"/>
        <v>4898.8659831074528</v>
      </c>
      <c r="BA188" s="644">
        <f t="shared" si="336"/>
        <v>0</v>
      </c>
      <c r="BB188" s="645">
        <f t="shared" si="337"/>
        <v>0</v>
      </c>
      <c r="BC188" s="646">
        <f t="shared" si="338"/>
        <v>0</v>
      </c>
      <c r="BD188" s="647">
        <f t="shared" si="339"/>
        <v>0</v>
      </c>
      <c r="BE188" s="644">
        <f t="shared" si="277"/>
        <v>-4898.8659831074528</v>
      </c>
      <c r="BF188" s="645">
        <f t="shared" si="278"/>
        <v>0</v>
      </c>
      <c r="BG188" s="646">
        <f t="shared" si="340"/>
        <v>0</v>
      </c>
      <c r="BH188" s="647">
        <f t="shared" si="279"/>
        <v>4898.8659831074528</v>
      </c>
      <c r="BI188" s="644">
        <f t="shared" si="341"/>
        <v>0</v>
      </c>
      <c r="BJ188" s="645">
        <f t="shared" si="342"/>
        <v>0</v>
      </c>
      <c r="BK188" s="646">
        <f t="shared" si="343"/>
        <v>0</v>
      </c>
      <c r="BL188" s="647">
        <f t="shared" si="280"/>
        <v>4898.8659831074528</v>
      </c>
      <c r="BM188" s="644">
        <f t="shared" si="344"/>
        <v>0</v>
      </c>
      <c r="BN188" s="645">
        <f t="shared" si="345"/>
        <v>0</v>
      </c>
      <c r="BO188" s="646">
        <f t="shared" si="346"/>
        <v>0</v>
      </c>
      <c r="BP188" s="647">
        <f t="shared" si="281"/>
        <v>4898.8659831074528</v>
      </c>
      <c r="BQ188" s="644">
        <f t="shared" si="347"/>
        <v>0</v>
      </c>
      <c r="BR188" s="645">
        <f t="shared" si="348"/>
        <v>0</v>
      </c>
      <c r="BS188" s="646">
        <f t="shared" si="349"/>
        <v>0</v>
      </c>
      <c r="BT188" s="647">
        <f t="shared" si="282"/>
        <v>4898.8659831074528</v>
      </c>
      <c r="BU188" s="662">
        <f>VLOOKUP(B188,'Afton Update'!$A$5:$AR$582,'Afton Update'!$AO$589,0)-BT188</f>
        <v>0</v>
      </c>
      <c r="BV188" s="644">
        <f t="shared" si="350"/>
        <v>8983.8620792812198</v>
      </c>
      <c r="BW188" s="645">
        <f t="shared" si="258"/>
        <v>8755.7713823319937</v>
      </c>
      <c r="BX188" s="644">
        <f t="shared" si="351"/>
        <v>0</v>
      </c>
      <c r="BY188" s="645">
        <f t="shared" si="352"/>
        <v>8983.8620792812198</v>
      </c>
      <c r="BZ188" s="646">
        <f t="shared" si="353"/>
        <v>-78.852312623396983</v>
      </c>
      <c r="CA188" s="647">
        <f t="shared" si="354"/>
        <v>8905.0097666578222</v>
      </c>
      <c r="CB188" s="644">
        <f t="shared" si="283"/>
        <v>0</v>
      </c>
      <c r="CC188" s="645">
        <f t="shared" si="284"/>
        <v>8905.0097666578222</v>
      </c>
      <c r="CD188" s="646">
        <f t="shared" si="355"/>
        <v>-2.852405371341233</v>
      </c>
      <c r="CE188" s="647">
        <f t="shared" si="285"/>
        <v>8902.1573612864813</v>
      </c>
      <c r="CF188" s="644">
        <f t="shared" si="356"/>
        <v>0</v>
      </c>
      <c r="CG188" s="645">
        <f t="shared" si="357"/>
        <v>8902.1573612864813</v>
      </c>
      <c r="CH188" s="646">
        <f t="shared" si="358"/>
        <v>0</v>
      </c>
      <c r="CI188" s="647">
        <f t="shared" si="286"/>
        <v>8902.1573612864813</v>
      </c>
      <c r="CJ188" s="644">
        <f t="shared" si="359"/>
        <v>0</v>
      </c>
      <c r="CK188" s="645">
        <f t="shared" si="360"/>
        <v>8902.1573612864813</v>
      </c>
      <c r="CL188" s="646">
        <f t="shared" si="361"/>
        <v>0</v>
      </c>
      <c r="CM188" s="647">
        <f t="shared" si="287"/>
        <v>8902.1573612864813</v>
      </c>
      <c r="CN188" s="644">
        <f t="shared" si="362"/>
        <v>0</v>
      </c>
      <c r="CO188" s="645">
        <f t="shared" si="363"/>
        <v>8902.1573612864813</v>
      </c>
      <c r="CP188" s="646">
        <f t="shared" si="364"/>
        <v>0</v>
      </c>
      <c r="CQ188" s="647">
        <f t="shared" si="288"/>
        <v>8902.1573612864813</v>
      </c>
      <c r="CS188" s="644">
        <f t="shared" si="365"/>
        <v>8362.79548010689</v>
      </c>
      <c r="CT188" s="645">
        <f t="shared" si="259"/>
        <v>7351.8566382268855</v>
      </c>
      <c r="CU188" s="644">
        <f t="shared" si="366"/>
        <v>0</v>
      </c>
      <c r="CV188" s="645">
        <f t="shared" si="367"/>
        <v>8362.79548010689</v>
      </c>
      <c r="CW188" s="646">
        <f t="shared" si="368"/>
        <v>-85.639751715798639</v>
      </c>
      <c r="CX188" s="647">
        <f t="shared" si="369"/>
        <v>8277.1557283910915</v>
      </c>
      <c r="CY188" s="644">
        <f t="shared" si="289"/>
        <v>0</v>
      </c>
      <c r="CZ188" s="645">
        <f t="shared" si="290"/>
        <v>8277.1557283910915</v>
      </c>
      <c r="DA188" s="646">
        <f t="shared" si="370"/>
        <v>-6.4975973057602472</v>
      </c>
      <c r="DB188" s="647">
        <f t="shared" si="291"/>
        <v>8270.6581310853308</v>
      </c>
      <c r="DC188" s="644">
        <f t="shared" si="371"/>
        <v>0</v>
      </c>
      <c r="DD188" s="645">
        <f t="shared" si="372"/>
        <v>8270.6581310853308</v>
      </c>
      <c r="DE188" s="646">
        <f t="shared" si="373"/>
        <v>-5.603368385070414E-3</v>
      </c>
      <c r="DF188" s="647">
        <f t="shared" si="292"/>
        <v>8270.6525277169458</v>
      </c>
      <c r="DG188" s="644">
        <f t="shared" si="374"/>
        <v>0</v>
      </c>
      <c r="DH188" s="645">
        <f t="shared" si="375"/>
        <v>8270.6525277169458</v>
      </c>
      <c r="DI188" s="646">
        <f t="shared" si="376"/>
        <v>0</v>
      </c>
      <c r="DJ188" s="647">
        <f t="shared" si="293"/>
        <v>8270.6525277169458</v>
      </c>
      <c r="DK188" s="644">
        <f t="shared" si="377"/>
        <v>0</v>
      </c>
      <c r="DL188" s="645">
        <f t="shared" si="378"/>
        <v>8270.6525277169458</v>
      </c>
      <c r="DM188" s="646">
        <f t="shared" si="379"/>
        <v>0</v>
      </c>
      <c r="DN188" s="647">
        <f t="shared" si="294"/>
        <v>8270.6525277169458</v>
      </c>
      <c r="DR188" s="827">
        <f t="shared" si="295"/>
        <v>38205.04950556648</v>
      </c>
      <c r="DV188" s="828">
        <f>IFERROR(VLOOKUP($B188,'Afton FY16 Final'!$A$5:$BV$587,'Afton FY16 Final'!$BV$587,0),0)</f>
        <v>38792.826789835373</v>
      </c>
      <c r="DX188" s="636">
        <f t="shared" si="260"/>
        <v>0</v>
      </c>
      <c r="DY188" s="637">
        <f t="shared" si="261"/>
        <v>0</v>
      </c>
      <c r="DZ188" s="637">
        <f t="shared" si="262"/>
        <v>0</v>
      </c>
      <c r="EA188" s="643">
        <f t="shared" si="263"/>
        <v>0</v>
      </c>
      <c r="EB188" s="637">
        <f t="shared" si="296"/>
        <v>0</v>
      </c>
      <c r="EC188" s="637">
        <f t="shared" si="297"/>
        <v>0</v>
      </c>
      <c r="ED188" s="637">
        <f t="shared" si="298"/>
        <v>0</v>
      </c>
      <c r="EE188" s="643">
        <f t="shared" si="299"/>
        <v>0</v>
      </c>
      <c r="EF188" s="637">
        <f t="shared" si="300"/>
        <v>0</v>
      </c>
      <c r="EG188" s="637">
        <f t="shared" si="301"/>
        <v>0</v>
      </c>
      <c r="EH188" s="637">
        <f t="shared" si="302"/>
        <v>0</v>
      </c>
      <c r="EI188" s="643">
        <f t="shared" si="303"/>
        <v>0</v>
      </c>
      <c r="EJ188" s="637">
        <f t="shared" si="304"/>
        <v>0</v>
      </c>
      <c r="EK188" s="637">
        <f t="shared" si="305"/>
        <v>0</v>
      </c>
      <c r="EL188" s="637">
        <f t="shared" si="306"/>
        <v>0</v>
      </c>
      <c r="EM188" s="643">
        <f t="shared" si="307"/>
        <v>0</v>
      </c>
      <c r="EN188" s="637">
        <f t="shared" si="308"/>
        <v>0</v>
      </c>
      <c r="EO188" s="637">
        <f t="shared" si="309"/>
        <v>0</v>
      </c>
      <c r="EP188" s="637">
        <f t="shared" si="310"/>
        <v>0</v>
      </c>
      <c r="EQ188" s="643">
        <f t="shared" si="311"/>
        <v>0</v>
      </c>
      <c r="ER188" s="637">
        <f t="shared" si="312"/>
        <v>0</v>
      </c>
      <c r="ES188" s="637">
        <f t="shared" si="313"/>
        <v>0</v>
      </c>
      <c r="ET188" s="637">
        <f t="shared" si="314"/>
        <v>0</v>
      </c>
      <c r="EU188" s="643">
        <f t="shared" si="264"/>
        <v>0</v>
      </c>
      <c r="EV188" s="643">
        <f t="shared" si="265"/>
        <v>0</v>
      </c>
      <c r="EX188" s="829">
        <f t="shared" si="266"/>
        <v>0</v>
      </c>
      <c r="EY188" s="638">
        <f t="shared" si="267"/>
        <v>38205.04950556648</v>
      </c>
      <c r="FC188" s="830" t="str">
        <f t="shared" si="315"/>
        <v>Y</v>
      </c>
      <c r="FE188" s="830" t="str">
        <f>IFERROR(VLOOKUP($B188,'Historical Conc Grant Elig'!$B$3:$J$707,'HH &amp; SI'!FE$2,0),"N")</f>
        <v>N</v>
      </c>
      <c r="FF188" s="830" t="str">
        <f>IFERROR(VLOOKUP($B188,'Historical Conc Grant Elig'!$B$3:$J$707,'HH &amp; SI'!FF$2,0),"N")</f>
        <v>N</v>
      </c>
      <c r="FG188" s="830" t="str">
        <f>IFERROR(VLOOKUP($B188,'Historical Conc Grant Elig'!$B$3:$J$707,'HH &amp; SI'!FG$2,0),"N")</f>
        <v>N</v>
      </c>
      <c r="FH188" s="830" t="str">
        <f>IFERROR(VLOOKUP($B188,'Historical Conc Grant Elig'!$B$3:$J$707,'HH &amp; SI'!FH$2,0),"N")</f>
        <v>Y</v>
      </c>
      <c r="FI188" s="830" t="str">
        <f>IFERROR(VLOOKUP($B188,'Historical Conc Grant Elig'!$B$3:$J$707,'HH &amp; SI'!FI$2,0),"N")</f>
        <v>Y</v>
      </c>
      <c r="FJ188" s="830" t="str">
        <f>IFERROR(VLOOKUP($B188,'Historical Conc Grant Elig'!$B$3:$J$707,'HH &amp; SI'!FJ$2,0),"N")</f>
        <v>Y</v>
      </c>
      <c r="FK188" s="830" t="str">
        <f>IFERROR(VLOOKUP($B188,'Historical Conc Grant Elig'!$B$3:$J$707,'HH &amp; SI'!FK$2,0),"N")</f>
        <v>Y</v>
      </c>
      <c r="FL188" s="957" t="str">
        <f>IFERROR(VLOOKUP($B188,'Historical Conc Grant Elig'!$B$3:$J$707,'HH &amp; SI'!FL$2,0),"N")</f>
        <v>N</v>
      </c>
    </row>
    <row r="189" spans="2:168" x14ac:dyDescent="0.25">
      <c r="B189" s="634">
        <v>78539000</v>
      </c>
      <c r="C189" s="635" t="str">
        <f>VLOOKUP($B189,'Afton Update'!$A$5:$CR$582,'Afton Update'!D$589,0)</f>
        <v>San Tan Montessori School  Inc.</v>
      </c>
      <c r="D189" s="636">
        <f>IFERROR(VLOOKUP($B189,'Afton FY16 Final'!$A$5:$BV$587,'Afton FY16 Final'!AQ$587,0),0)</f>
        <v>26806.009589892175</v>
      </c>
      <c r="E189" s="637">
        <f>IFERROR(VLOOKUP($B189,'Afton FY16 Final'!$A$5:$BV$587,'Afton FY16 Final'!AR$587,0),0)</f>
        <v>0</v>
      </c>
      <c r="F189" s="637">
        <f>IFERROR(VLOOKUP($B189,'Afton FY16 Final'!$A$5:$BV$587,'Afton FY16 Final'!AS$587,0),0)</f>
        <v>14547.936282525872</v>
      </c>
      <c r="G189" s="637">
        <f>IFERROR(VLOOKUP($B189,'Afton FY16 Final'!$A$5:$BV$587,'Afton FY16 Final'!AT$587,0),0)</f>
        <v>12215.296318381446</v>
      </c>
      <c r="H189" s="638">
        <f>IFERROR(VLOOKUP($B189,'Afton FY16 Final'!$A$5:$BV$587,'Afton FY16 Final'!AU$587,0),0)</f>
        <v>53569.242190799487</v>
      </c>
      <c r="I189" s="639" t="str">
        <f>VLOOKUP($B189,'Afton Update'!$A$5:$CR$582,'Afton Update'!BT$589,0)</f>
        <v>Y</v>
      </c>
      <c r="J189" s="640" t="str">
        <f>VLOOKUP($B189,'Afton Update'!$A$5:$CR$582,'Afton Update'!BU$589,0)</f>
        <v>N</v>
      </c>
      <c r="K189" s="640" t="str">
        <f>VLOOKUP($B189,'Afton Update'!$A$5:$CR$582,'Afton Update'!BV$589,0)</f>
        <v>Y</v>
      </c>
      <c r="L189" s="641" t="str">
        <f>VLOOKUP($B189,'Afton Update'!$A$5:$CR$582,'Afton Update'!BW$589,0)</f>
        <v>Y</v>
      </c>
      <c r="N189" s="642">
        <f>VLOOKUP($B189,'Afton Update'!$A$5:$CR$582,'Afton Update'!CB$589,0)</f>
        <v>0.85</v>
      </c>
      <c r="P189" s="636">
        <f>VLOOKUP($B189,'Afton Update'!$A$5:$CR$582,'Afton Update'!AH$589,0)</f>
        <v>24873.642241022066</v>
      </c>
      <c r="Q189" s="637" t="str">
        <f>VLOOKUP($B189,'Afton Update'!$A$5:$CR$582,'Afton Update'!AI$589,0)</f>
        <v/>
      </c>
      <c r="R189" s="637">
        <f>VLOOKUP($B189,'Afton Update'!$A$5:$CR$582,'Afton Update'!AJ$589,0)</f>
        <v>14582.937975569321</v>
      </c>
      <c r="S189" s="637">
        <f>VLOOKUP($B189,'Afton Update'!$A$5:$CR$582,'Afton Update'!AK$589,0)</f>
        <v>13574.799647695321</v>
      </c>
      <c r="T189" s="643">
        <f t="shared" si="268"/>
        <v>53031.379864286704</v>
      </c>
      <c r="V189" s="636">
        <f t="shared" si="316"/>
        <v>24534.349616277166</v>
      </c>
      <c r="W189" s="637">
        <f t="shared" si="317"/>
        <v>0</v>
      </c>
      <c r="X189" s="637">
        <f t="shared" si="318"/>
        <v>14450.311848374371</v>
      </c>
      <c r="Y189" s="637">
        <f t="shared" si="319"/>
        <v>13425.229791465305</v>
      </c>
      <c r="Z189" s="643">
        <f t="shared" si="320"/>
        <v>52409.89125611684</v>
      </c>
      <c r="AB189" s="644">
        <f t="shared" si="269"/>
        <v>24873.642241022066</v>
      </c>
      <c r="AC189" s="645">
        <f t="shared" si="257"/>
        <v>22785.108151408349</v>
      </c>
      <c r="AD189" s="644">
        <f t="shared" si="321"/>
        <v>0</v>
      </c>
      <c r="AE189" s="645">
        <f t="shared" si="322"/>
        <v>24873.642241022066</v>
      </c>
      <c r="AF189" s="646">
        <f t="shared" si="323"/>
        <v>-308.3274876220396</v>
      </c>
      <c r="AG189" s="647">
        <f t="shared" si="324"/>
        <v>24565.314753400027</v>
      </c>
      <c r="AH189" s="644">
        <f t="shared" si="270"/>
        <v>0</v>
      </c>
      <c r="AI189" s="645">
        <f t="shared" si="271"/>
        <v>24565.314753400027</v>
      </c>
      <c r="AJ189" s="646">
        <f t="shared" si="325"/>
        <v>-30.94540932910737</v>
      </c>
      <c r="AK189" s="647">
        <f t="shared" si="272"/>
        <v>24534.369344070921</v>
      </c>
      <c r="AL189" s="644">
        <f t="shared" si="326"/>
        <v>0</v>
      </c>
      <c r="AM189" s="645">
        <f t="shared" si="327"/>
        <v>24534.369344070921</v>
      </c>
      <c r="AN189" s="646">
        <f t="shared" si="328"/>
        <v>-1.9727793753813245E-2</v>
      </c>
      <c r="AO189" s="647">
        <f t="shared" si="273"/>
        <v>24534.349616277166</v>
      </c>
      <c r="AP189" s="644">
        <f t="shared" si="329"/>
        <v>0</v>
      </c>
      <c r="AQ189" s="645">
        <f t="shared" si="330"/>
        <v>24534.349616277166</v>
      </c>
      <c r="AR189" s="646">
        <f t="shared" si="331"/>
        <v>0</v>
      </c>
      <c r="AS189" s="647">
        <f t="shared" si="274"/>
        <v>24534.349616277166</v>
      </c>
      <c r="AT189" s="644">
        <f t="shared" si="332"/>
        <v>0</v>
      </c>
      <c r="AU189" s="645">
        <f t="shared" si="333"/>
        <v>24534.349616277166</v>
      </c>
      <c r="AV189" s="646">
        <f t="shared" si="334"/>
        <v>0</v>
      </c>
      <c r="AW189" s="647">
        <f t="shared" si="275"/>
        <v>24534.349616277166</v>
      </c>
      <c r="AY189" s="644">
        <f t="shared" si="335"/>
        <v>0</v>
      </c>
      <c r="AZ189" s="645">
        <f t="shared" si="276"/>
        <v>0</v>
      </c>
      <c r="BA189" s="644">
        <f t="shared" si="336"/>
        <v>0</v>
      </c>
      <c r="BB189" s="645">
        <f t="shared" si="337"/>
        <v>0</v>
      </c>
      <c r="BC189" s="646">
        <f t="shared" si="338"/>
        <v>0</v>
      </c>
      <c r="BD189" s="647">
        <f t="shared" si="339"/>
        <v>0</v>
      </c>
      <c r="BE189" s="644">
        <f t="shared" si="277"/>
        <v>0</v>
      </c>
      <c r="BF189" s="645">
        <f t="shared" si="278"/>
        <v>0</v>
      </c>
      <c r="BG189" s="646">
        <f t="shared" si="340"/>
        <v>0</v>
      </c>
      <c r="BH189" s="647">
        <f t="shared" si="279"/>
        <v>0</v>
      </c>
      <c r="BI189" s="644">
        <f t="shared" si="341"/>
        <v>0</v>
      </c>
      <c r="BJ189" s="645">
        <f t="shared" si="342"/>
        <v>0</v>
      </c>
      <c r="BK189" s="646">
        <f t="shared" si="343"/>
        <v>0</v>
      </c>
      <c r="BL189" s="647">
        <f t="shared" si="280"/>
        <v>0</v>
      </c>
      <c r="BM189" s="644">
        <f t="shared" si="344"/>
        <v>0</v>
      </c>
      <c r="BN189" s="645">
        <f t="shared" si="345"/>
        <v>0</v>
      </c>
      <c r="BO189" s="646">
        <f t="shared" si="346"/>
        <v>0</v>
      </c>
      <c r="BP189" s="647">
        <f t="shared" si="281"/>
        <v>0</v>
      </c>
      <c r="BQ189" s="644">
        <f t="shared" si="347"/>
        <v>0</v>
      </c>
      <c r="BR189" s="645">
        <f t="shared" si="348"/>
        <v>0</v>
      </c>
      <c r="BS189" s="646">
        <f t="shared" si="349"/>
        <v>0</v>
      </c>
      <c r="BT189" s="647">
        <f t="shared" si="282"/>
        <v>0</v>
      </c>
      <c r="BU189" s="662">
        <f>VLOOKUP(B189,'Afton Update'!$A$5:$AR$582,'Afton Update'!$AO$589,0)-BT189</f>
        <v>0</v>
      </c>
      <c r="BV189" s="644">
        <f t="shared" si="350"/>
        <v>14582.937975569321</v>
      </c>
      <c r="BW189" s="645">
        <f t="shared" si="258"/>
        <v>12365.74584014699</v>
      </c>
      <c r="BX189" s="644">
        <f t="shared" si="351"/>
        <v>0</v>
      </c>
      <c r="BY189" s="645">
        <f t="shared" si="352"/>
        <v>14582.937975569321</v>
      </c>
      <c r="BZ189" s="646">
        <f t="shared" si="353"/>
        <v>-127.99599705221665</v>
      </c>
      <c r="CA189" s="647">
        <f t="shared" si="354"/>
        <v>14454.941978517105</v>
      </c>
      <c r="CB189" s="644">
        <f t="shared" si="283"/>
        <v>0</v>
      </c>
      <c r="CC189" s="645">
        <f t="shared" si="284"/>
        <v>14454.941978517105</v>
      </c>
      <c r="CD189" s="646">
        <f t="shared" si="355"/>
        <v>-4.6301301427345631</v>
      </c>
      <c r="CE189" s="647">
        <f t="shared" si="285"/>
        <v>14450.311848374371</v>
      </c>
      <c r="CF189" s="644">
        <f t="shared" si="356"/>
        <v>0</v>
      </c>
      <c r="CG189" s="645">
        <f t="shared" si="357"/>
        <v>14450.311848374371</v>
      </c>
      <c r="CH189" s="646">
        <f t="shared" si="358"/>
        <v>0</v>
      </c>
      <c r="CI189" s="647">
        <f t="shared" si="286"/>
        <v>14450.311848374371</v>
      </c>
      <c r="CJ189" s="644">
        <f t="shared" si="359"/>
        <v>0</v>
      </c>
      <c r="CK189" s="645">
        <f t="shared" si="360"/>
        <v>14450.311848374371</v>
      </c>
      <c r="CL189" s="646">
        <f t="shared" si="361"/>
        <v>0</v>
      </c>
      <c r="CM189" s="647">
        <f t="shared" si="287"/>
        <v>14450.311848374371</v>
      </c>
      <c r="CN189" s="644">
        <f t="shared" si="362"/>
        <v>0</v>
      </c>
      <c r="CO189" s="645">
        <f t="shared" si="363"/>
        <v>14450.311848374371</v>
      </c>
      <c r="CP189" s="646">
        <f t="shared" si="364"/>
        <v>0</v>
      </c>
      <c r="CQ189" s="647">
        <f t="shared" si="288"/>
        <v>14450.311848374371</v>
      </c>
      <c r="CS189" s="644">
        <f t="shared" si="365"/>
        <v>13574.799647695321</v>
      </c>
      <c r="CT189" s="645">
        <f t="shared" si="259"/>
        <v>10383.00187062423</v>
      </c>
      <c r="CU189" s="644">
        <f t="shared" si="366"/>
        <v>0</v>
      </c>
      <c r="CV189" s="645">
        <f t="shared" si="367"/>
        <v>13574.799647695321</v>
      </c>
      <c r="CW189" s="646">
        <f t="shared" si="368"/>
        <v>-139.0136198099967</v>
      </c>
      <c r="CX189" s="647">
        <f t="shared" si="369"/>
        <v>13435.786027885324</v>
      </c>
      <c r="CY189" s="644">
        <f t="shared" si="289"/>
        <v>0</v>
      </c>
      <c r="CZ189" s="645">
        <f t="shared" si="290"/>
        <v>13435.786027885324</v>
      </c>
      <c r="DA189" s="646">
        <f t="shared" si="370"/>
        <v>-10.547140824729686</v>
      </c>
      <c r="DB189" s="647">
        <f t="shared" si="291"/>
        <v>13425.238887060594</v>
      </c>
      <c r="DC189" s="644">
        <f t="shared" si="371"/>
        <v>0</v>
      </c>
      <c r="DD189" s="645">
        <f t="shared" si="372"/>
        <v>13425.238887060594</v>
      </c>
      <c r="DE189" s="646">
        <f t="shared" si="373"/>
        <v>-9.0955952899363177E-3</v>
      </c>
      <c r="DF189" s="647">
        <f t="shared" si="292"/>
        <v>13425.229791465305</v>
      </c>
      <c r="DG189" s="644">
        <f t="shared" si="374"/>
        <v>0</v>
      </c>
      <c r="DH189" s="645">
        <f t="shared" si="375"/>
        <v>13425.229791465305</v>
      </c>
      <c r="DI189" s="646">
        <f t="shared" si="376"/>
        <v>0</v>
      </c>
      <c r="DJ189" s="647">
        <f t="shared" si="293"/>
        <v>13425.229791465305</v>
      </c>
      <c r="DK189" s="644">
        <f t="shared" si="377"/>
        <v>0</v>
      </c>
      <c r="DL189" s="645">
        <f t="shared" si="378"/>
        <v>13425.229791465305</v>
      </c>
      <c r="DM189" s="646">
        <f t="shared" si="379"/>
        <v>0</v>
      </c>
      <c r="DN189" s="647">
        <f t="shared" si="294"/>
        <v>13425.229791465305</v>
      </c>
      <c r="DR189" s="827">
        <f t="shared" si="295"/>
        <v>52409.89125611684</v>
      </c>
      <c r="DV189" s="828">
        <f>IFERROR(VLOOKUP($B189,'Afton FY16 Final'!$A$5:$BV$587,'Afton FY16 Final'!$BV$587,0),0)</f>
        <v>48608.802200626626</v>
      </c>
      <c r="DX189" s="636">
        <f t="shared" si="260"/>
        <v>52409.89125611684</v>
      </c>
      <c r="DY189" s="637">
        <f t="shared" si="261"/>
        <v>3801.0890554902144</v>
      </c>
      <c r="DZ189" s="637">
        <f t="shared" si="262"/>
        <v>48608.802200626626</v>
      </c>
      <c r="EA189" s="643">
        <f t="shared" si="263"/>
        <v>49622.272419956658</v>
      </c>
      <c r="EB189" s="637">
        <f t="shared" si="296"/>
        <v>0</v>
      </c>
      <c r="EC189" s="637">
        <f t="shared" si="297"/>
        <v>49622.272419956658</v>
      </c>
      <c r="ED189" s="637">
        <f t="shared" si="298"/>
        <v>49474.301766433397</v>
      </c>
      <c r="EE189" s="643">
        <f t="shared" si="299"/>
        <v>49474.301766433397</v>
      </c>
      <c r="EF189" s="637">
        <f t="shared" si="300"/>
        <v>0</v>
      </c>
      <c r="EG189" s="637">
        <f t="shared" si="301"/>
        <v>49474.301766433397</v>
      </c>
      <c r="EH189" s="637">
        <f t="shared" si="302"/>
        <v>49474.25072572739</v>
      </c>
      <c r="EI189" s="643">
        <f t="shared" si="303"/>
        <v>49474.25072572739</v>
      </c>
      <c r="EJ189" s="637">
        <f t="shared" si="304"/>
        <v>0</v>
      </c>
      <c r="EK189" s="637">
        <f t="shared" si="305"/>
        <v>49474.25072572739</v>
      </c>
      <c r="EL189" s="637">
        <f t="shared" si="306"/>
        <v>49474.250725727325</v>
      </c>
      <c r="EM189" s="643">
        <f t="shared" si="307"/>
        <v>49474.250725727325</v>
      </c>
      <c r="EN189" s="637">
        <f t="shared" si="308"/>
        <v>0</v>
      </c>
      <c r="EO189" s="637">
        <f t="shared" si="309"/>
        <v>49474.250725727325</v>
      </c>
      <c r="EP189" s="637">
        <f t="shared" si="310"/>
        <v>49474.250725727405</v>
      </c>
      <c r="EQ189" s="643">
        <f t="shared" si="311"/>
        <v>49474.250725727405</v>
      </c>
      <c r="ER189" s="637">
        <f t="shared" si="312"/>
        <v>0</v>
      </c>
      <c r="ES189" s="637">
        <f t="shared" si="313"/>
        <v>49474.250725727405</v>
      </c>
      <c r="ET189" s="637">
        <f t="shared" si="314"/>
        <v>49474.250725727325</v>
      </c>
      <c r="EU189" s="643">
        <f t="shared" si="264"/>
        <v>49474.250725727325</v>
      </c>
      <c r="EV189" s="643">
        <f t="shared" si="265"/>
        <v>0</v>
      </c>
      <c r="EX189" s="829">
        <f t="shared" si="266"/>
        <v>2935.6405303895153</v>
      </c>
      <c r="EY189" s="638">
        <f t="shared" si="267"/>
        <v>49474.250725727325</v>
      </c>
      <c r="FC189" s="830" t="str">
        <f t="shared" si="315"/>
        <v>N</v>
      </c>
      <c r="FE189" s="830" t="str">
        <f>IFERROR(VLOOKUP($B189,'Historical Conc Grant Elig'!$B$3:$J$707,'HH &amp; SI'!FE$2,0),"N")</f>
        <v>N</v>
      </c>
      <c r="FF189" s="830" t="str">
        <f>IFERROR(VLOOKUP($B189,'Historical Conc Grant Elig'!$B$3:$J$707,'HH &amp; SI'!FF$2,0),"N")</f>
        <v>N</v>
      </c>
      <c r="FG189" s="830" t="str">
        <f>IFERROR(VLOOKUP($B189,'Historical Conc Grant Elig'!$B$3:$J$707,'HH &amp; SI'!FG$2,0),"N")</f>
        <v>N</v>
      </c>
      <c r="FH189" s="830" t="str">
        <f>IFERROR(VLOOKUP($B189,'Historical Conc Grant Elig'!$B$3:$J$707,'HH &amp; SI'!FH$2,0),"N")</f>
        <v>N</v>
      </c>
      <c r="FI189" s="830" t="str">
        <f>IFERROR(VLOOKUP($B189,'Historical Conc Grant Elig'!$B$3:$J$707,'HH &amp; SI'!FI$2,0),"N")</f>
        <v>N</v>
      </c>
      <c r="FJ189" s="830" t="str">
        <f>IFERROR(VLOOKUP($B189,'Historical Conc Grant Elig'!$B$3:$J$707,'HH &amp; SI'!FJ$2,0),"N")</f>
        <v>N</v>
      </c>
      <c r="FK189" s="830" t="str">
        <f>IFERROR(VLOOKUP($B189,'Historical Conc Grant Elig'!$B$3:$J$707,'HH &amp; SI'!FK$2,0),"N")</f>
        <v>N</v>
      </c>
      <c r="FL189" s="957" t="str">
        <f>IFERROR(VLOOKUP($B189,'Historical Conc Grant Elig'!$B$3:$J$707,'HH &amp; SI'!FL$2,0),"N")</f>
        <v>N</v>
      </c>
    </row>
    <row r="190" spans="2:168" x14ac:dyDescent="0.25">
      <c r="B190" s="634">
        <v>78541000</v>
      </c>
      <c r="C190" s="635" t="str">
        <f>VLOOKUP($B190,'Afton Update'!$A$5:$CR$582,'Afton Update'!D$589,0)</f>
        <v>EAGLE South Mountain Charter  Inc.</v>
      </c>
      <c r="D190" s="636">
        <f>IFERROR(VLOOKUP($B190,'Afton FY16 Final'!$A$5:$BV$587,'Afton FY16 Final'!AQ$587,0),0)</f>
        <v>62851.059384145941</v>
      </c>
      <c r="E190" s="637">
        <f>IFERROR(VLOOKUP($B190,'Afton FY16 Final'!$A$5:$BV$587,'Afton FY16 Final'!AR$587,0),0)</f>
        <v>14669.931669193336</v>
      </c>
      <c r="F190" s="637">
        <f>IFERROR(VLOOKUP($B190,'Afton FY16 Final'!$A$5:$BV$587,'Afton FY16 Final'!AS$587,0),0)</f>
        <v>34110.008210792526</v>
      </c>
      <c r="G190" s="637">
        <f>IFERROR(VLOOKUP($B190,'Afton FY16 Final'!$A$5:$BV$587,'Afton FY16 Final'!AT$587,0),0)</f>
        <v>31175.644661096227</v>
      </c>
      <c r="H190" s="638">
        <f>IFERROR(VLOOKUP($B190,'Afton FY16 Final'!$A$5:$BV$587,'Afton FY16 Final'!AU$587,0),0)</f>
        <v>142806.64392522804</v>
      </c>
      <c r="I190" s="639" t="str">
        <f>VLOOKUP($B190,'Afton Update'!$A$5:$CR$582,'Afton Update'!BT$589,0)</f>
        <v>Y</v>
      </c>
      <c r="J190" s="640" t="str">
        <f>VLOOKUP($B190,'Afton Update'!$A$5:$CR$582,'Afton Update'!BU$589,0)</f>
        <v>Y</v>
      </c>
      <c r="K190" s="640" t="str">
        <f>VLOOKUP($B190,'Afton Update'!$A$5:$CR$582,'Afton Update'!BV$589,0)</f>
        <v>Y</v>
      </c>
      <c r="L190" s="641" t="str">
        <f>VLOOKUP($B190,'Afton Update'!$A$5:$CR$582,'Afton Update'!BW$589,0)</f>
        <v>Y</v>
      </c>
      <c r="N190" s="642">
        <f>VLOOKUP($B190,'Afton Update'!$A$5:$CR$582,'Afton Update'!CB$589,0)</f>
        <v>0.9</v>
      </c>
      <c r="P190" s="636">
        <f>VLOOKUP($B190,'Afton Update'!$A$5:$CR$582,'Afton Update'!AH$589,0)</f>
        <v>69837.533984408117</v>
      </c>
      <c r="Q190" s="637">
        <f>VLOOKUP($B190,'Afton Update'!$A$5:$CR$582,'Afton Update'!AI$589,0)</f>
        <v>16573.111102937772</v>
      </c>
      <c r="R190" s="637">
        <f>VLOOKUP($B190,'Afton Update'!$A$5:$CR$582,'Afton Update'!AJ$589,0)</f>
        <v>40898.594688123398</v>
      </c>
      <c r="S190" s="637">
        <f>VLOOKUP($B190,'Afton Update'!$A$5:$CR$582,'Afton Update'!AK$589,0)</f>
        <v>38071.219235360943</v>
      </c>
      <c r="T190" s="643">
        <f t="shared" si="268"/>
        <v>165380.45901083021</v>
      </c>
      <c r="V190" s="636">
        <f t="shared" si="316"/>
        <v>68884.904691855132</v>
      </c>
      <c r="W190" s="637">
        <f t="shared" si="317"/>
        <v>16027.253416079951</v>
      </c>
      <c r="X190" s="637">
        <f t="shared" si="318"/>
        <v>40526.637937687447</v>
      </c>
      <c r="Y190" s="637">
        <f t="shared" si="319"/>
        <v>37651.74293108259</v>
      </c>
      <c r="Z190" s="643">
        <f t="shared" si="320"/>
        <v>163090.53897670511</v>
      </c>
      <c r="AB190" s="644">
        <f t="shared" si="269"/>
        <v>69837.533984408117</v>
      </c>
      <c r="AC190" s="645">
        <f t="shared" si="257"/>
        <v>56565.953445731349</v>
      </c>
      <c r="AD190" s="644">
        <f t="shared" si="321"/>
        <v>0</v>
      </c>
      <c r="AE190" s="645">
        <f t="shared" si="322"/>
        <v>69837.533984408117</v>
      </c>
      <c r="AF190" s="646">
        <f t="shared" si="323"/>
        <v>-865.68871524649592</v>
      </c>
      <c r="AG190" s="647">
        <f t="shared" si="324"/>
        <v>68971.845269161626</v>
      </c>
      <c r="AH190" s="644">
        <f t="shared" si="270"/>
        <v>0</v>
      </c>
      <c r="AI190" s="645">
        <f t="shared" si="271"/>
        <v>68971.845269161626</v>
      </c>
      <c r="AJ190" s="646">
        <f t="shared" si="325"/>
        <v>-86.885187731724542</v>
      </c>
      <c r="AK190" s="647">
        <f t="shared" si="272"/>
        <v>68884.960081429905</v>
      </c>
      <c r="AL190" s="644">
        <f t="shared" si="326"/>
        <v>0</v>
      </c>
      <c r="AM190" s="645">
        <f t="shared" si="327"/>
        <v>68884.960081429905</v>
      </c>
      <c r="AN190" s="646">
        <f t="shared" si="328"/>
        <v>-5.538957477032181E-2</v>
      </c>
      <c r="AO190" s="647">
        <f t="shared" si="273"/>
        <v>68884.904691855132</v>
      </c>
      <c r="AP190" s="644">
        <f t="shared" si="329"/>
        <v>0</v>
      </c>
      <c r="AQ190" s="645">
        <f t="shared" si="330"/>
        <v>68884.904691855132</v>
      </c>
      <c r="AR190" s="646">
        <f t="shared" si="331"/>
        <v>0</v>
      </c>
      <c r="AS190" s="647">
        <f t="shared" si="274"/>
        <v>68884.904691855132</v>
      </c>
      <c r="AT190" s="644">
        <f t="shared" si="332"/>
        <v>0</v>
      </c>
      <c r="AU190" s="645">
        <f t="shared" si="333"/>
        <v>68884.904691855132</v>
      </c>
      <c r="AV190" s="646">
        <f t="shared" si="334"/>
        <v>0</v>
      </c>
      <c r="AW190" s="647">
        <f t="shared" si="275"/>
        <v>68884.904691855132</v>
      </c>
      <c r="AY190" s="644">
        <f t="shared" si="335"/>
        <v>16573.111102937772</v>
      </c>
      <c r="AZ190" s="645">
        <f t="shared" si="276"/>
        <v>13202.938502274003</v>
      </c>
      <c r="BA190" s="644">
        <f t="shared" si="336"/>
        <v>0</v>
      </c>
      <c r="BB190" s="645">
        <f t="shared" si="337"/>
        <v>16573.111102937772</v>
      </c>
      <c r="BC190" s="646">
        <f t="shared" si="338"/>
        <v>-119.18207185035712</v>
      </c>
      <c r="BD190" s="647">
        <f t="shared" si="339"/>
        <v>16453.929031087413</v>
      </c>
      <c r="BE190" s="644">
        <f t="shared" si="277"/>
        <v>0</v>
      </c>
      <c r="BF190" s="645">
        <f t="shared" si="278"/>
        <v>16453.929031087413</v>
      </c>
      <c r="BG190" s="646">
        <f t="shared" si="340"/>
        <v>-391.91918053571976</v>
      </c>
      <c r="BH190" s="647">
        <f t="shared" si="279"/>
        <v>16062.009850551693</v>
      </c>
      <c r="BI190" s="644">
        <f t="shared" si="341"/>
        <v>0</v>
      </c>
      <c r="BJ190" s="645">
        <f t="shared" si="342"/>
        <v>16062.009850551693</v>
      </c>
      <c r="BK190" s="646">
        <f t="shared" si="343"/>
        <v>-34.023109379992079</v>
      </c>
      <c r="BL190" s="647">
        <f t="shared" si="280"/>
        <v>16027.9867411717</v>
      </c>
      <c r="BM190" s="644">
        <f t="shared" si="344"/>
        <v>0</v>
      </c>
      <c r="BN190" s="645">
        <f t="shared" si="345"/>
        <v>16027.9867411717</v>
      </c>
      <c r="BO190" s="646">
        <f t="shared" si="346"/>
        <v>-0.7333250917484988</v>
      </c>
      <c r="BP190" s="647">
        <f t="shared" si="281"/>
        <v>16027.253416079951</v>
      </c>
      <c r="BQ190" s="644">
        <f t="shared" si="347"/>
        <v>0</v>
      </c>
      <c r="BR190" s="645">
        <f t="shared" si="348"/>
        <v>16027.253416079951</v>
      </c>
      <c r="BS190" s="646">
        <f t="shared" si="349"/>
        <v>0</v>
      </c>
      <c r="BT190" s="647">
        <f t="shared" si="282"/>
        <v>16027.253416079951</v>
      </c>
      <c r="BU190" s="662">
        <f>VLOOKUP(B190,'Afton Update'!$A$5:$AR$582,'Afton Update'!$AO$589,0)-BT190</f>
        <v>0</v>
      </c>
      <c r="BV190" s="644">
        <f t="shared" si="350"/>
        <v>40898.594688123398</v>
      </c>
      <c r="BW190" s="645">
        <f t="shared" si="258"/>
        <v>30699.007389713275</v>
      </c>
      <c r="BX190" s="644">
        <f t="shared" si="351"/>
        <v>0</v>
      </c>
      <c r="BY190" s="645">
        <f t="shared" si="352"/>
        <v>40898.594688123398</v>
      </c>
      <c r="BZ190" s="646">
        <f t="shared" si="353"/>
        <v>-358.9713138676691</v>
      </c>
      <c r="CA190" s="647">
        <f t="shared" si="354"/>
        <v>40539.623374255731</v>
      </c>
      <c r="CB190" s="644">
        <f t="shared" si="283"/>
        <v>0</v>
      </c>
      <c r="CC190" s="645">
        <f t="shared" si="284"/>
        <v>40539.623374255731</v>
      </c>
      <c r="CD190" s="646">
        <f t="shared" si="355"/>
        <v>-12.985436568283214</v>
      </c>
      <c r="CE190" s="647">
        <f t="shared" si="285"/>
        <v>40526.637937687447</v>
      </c>
      <c r="CF190" s="644">
        <f t="shared" si="356"/>
        <v>0</v>
      </c>
      <c r="CG190" s="645">
        <f t="shared" si="357"/>
        <v>40526.637937687447</v>
      </c>
      <c r="CH190" s="646">
        <f t="shared" si="358"/>
        <v>0</v>
      </c>
      <c r="CI190" s="647">
        <f t="shared" si="286"/>
        <v>40526.637937687447</v>
      </c>
      <c r="CJ190" s="644">
        <f t="shared" si="359"/>
        <v>0</v>
      </c>
      <c r="CK190" s="645">
        <f t="shared" si="360"/>
        <v>40526.637937687447</v>
      </c>
      <c r="CL190" s="646">
        <f t="shared" si="361"/>
        <v>0</v>
      </c>
      <c r="CM190" s="647">
        <f t="shared" si="287"/>
        <v>40526.637937687447</v>
      </c>
      <c r="CN190" s="644">
        <f t="shared" si="362"/>
        <v>0</v>
      </c>
      <c r="CO190" s="645">
        <f t="shared" si="363"/>
        <v>40526.637937687447</v>
      </c>
      <c r="CP190" s="646">
        <f t="shared" si="364"/>
        <v>0</v>
      </c>
      <c r="CQ190" s="647">
        <f t="shared" si="288"/>
        <v>40526.637937687447</v>
      </c>
      <c r="CS190" s="644">
        <f t="shared" si="365"/>
        <v>38071.219235360943</v>
      </c>
      <c r="CT190" s="645">
        <f t="shared" si="259"/>
        <v>28058.080194986604</v>
      </c>
      <c r="CU190" s="644">
        <f t="shared" si="366"/>
        <v>0</v>
      </c>
      <c r="CV190" s="645">
        <f t="shared" si="367"/>
        <v>38071.219235360943</v>
      </c>
      <c r="CW190" s="646">
        <f t="shared" si="368"/>
        <v>-389.8707998527276</v>
      </c>
      <c r="CX190" s="647">
        <f t="shared" si="369"/>
        <v>37681.348435508218</v>
      </c>
      <c r="CY190" s="644">
        <f t="shared" si="289"/>
        <v>0</v>
      </c>
      <c r="CZ190" s="645">
        <f t="shared" si="290"/>
        <v>37681.348435508218</v>
      </c>
      <c r="DA190" s="646">
        <f t="shared" si="370"/>
        <v>-29.579995363886049</v>
      </c>
      <c r="DB190" s="647">
        <f t="shared" si="291"/>
        <v>37651.768440144333</v>
      </c>
      <c r="DC190" s="644">
        <f t="shared" si="371"/>
        <v>0</v>
      </c>
      <c r="DD190" s="645">
        <f t="shared" si="372"/>
        <v>37651.768440144333</v>
      </c>
      <c r="DE190" s="646">
        <f t="shared" si="373"/>
        <v>-2.550906174280607E-2</v>
      </c>
      <c r="DF190" s="647">
        <f t="shared" si="292"/>
        <v>37651.74293108259</v>
      </c>
      <c r="DG190" s="644">
        <f t="shared" si="374"/>
        <v>0</v>
      </c>
      <c r="DH190" s="645">
        <f t="shared" si="375"/>
        <v>37651.74293108259</v>
      </c>
      <c r="DI190" s="646">
        <f t="shared" si="376"/>
        <v>0</v>
      </c>
      <c r="DJ190" s="647">
        <f t="shared" si="293"/>
        <v>37651.74293108259</v>
      </c>
      <c r="DK190" s="644">
        <f t="shared" si="377"/>
        <v>0</v>
      </c>
      <c r="DL190" s="645">
        <f t="shared" si="378"/>
        <v>37651.74293108259</v>
      </c>
      <c r="DM190" s="646">
        <f t="shared" si="379"/>
        <v>0</v>
      </c>
      <c r="DN190" s="647">
        <f t="shared" si="294"/>
        <v>37651.74293108259</v>
      </c>
      <c r="DR190" s="827">
        <f t="shared" si="295"/>
        <v>163090.53897670511</v>
      </c>
      <c r="DV190" s="828">
        <f>IFERROR(VLOOKUP($B190,'Afton FY16 Final'!$A$5:$BV$587,'Afton FY16 Final'!$BV$587,0),0)</f>
        <v>139994.78112999036</v>
      </c>
      <c r="DX190" s="636">
        <f t="shared" si="260"/>
        <v>163090.53897670511</v>
      </c>
      <c r="DY190" s="637">
        <f t="shared" si="261"/>
        <v>23095.757846714754</v>
      </c>
      <c r="DZ190" s="637">
        <f t="shared" si="262"/>
        <v>139994.78112999036</v>
      </c>
      <c r="EA190" s="643">
        <f t="shared" si="263"/>
        <v>154415.9501242064</v>
      </c>
      <c r="EB190" s="637">
        <f t="shared" si="296"/>
        <v>0</v>
      </c>
      <c r="EC190" s="637">
        <f t="shared" si="297"/>
        <v>154415.9501242064</v>
      </c>
      <c r="ED190" s="637">
        <f t="shared" si="298"/>
        <v>153955.49098076127</v>
      </c>
      <c r="EE190" s="643">
        <f t="shared" si="299"/>
        <v>153955.49098076127</v>
      </c>
      <c r="EF190" s="637">
        <f t="shared" si="300"/>
        <v>0</v>
      </c>
      <c r="EG190" s="637">
        <f t="shared" si="301"/>
        <v>153955.49098076127</v>
      </c>
      <c r="EH190" s="637">
        <f t="shared" si="302"/>
        <v>153955.33215089055</v>
      </c>
      <c r="EI190" s="643">
        <f t="shared" si="303"/>
        <v>153955.33215089055</v>
      </c>
      <c r="EJ190" s="637">
        <f t="shared" si="304"/>
        <v>0</v>
      </c>
      <c r="EK190" s="637">
        <f t="shared" si="305"/>
        <v>153955.33215089055</v>
      </c>
      <c r="EL190" s="637">
        <f t="shared" si="306"/>
        <v>153955.33215089035</v>
      </c>
      <c r="EM190" s="643">
        <f t="shared" si="307"/>
        <v>153955.33215089035</v>
      </c>
      <c r="EN190" s="637">
        <f t="shared" si="308"/>
        <v>0</v>
      </c>
      <c r="EO190" s="637">
        <f t="shared" si="309"/>
        <v>153955.33215089035</v>
      </c>
      <c r="EP190" s="637">
        <f t="shared" si="310"/>
        <v>153955.33215089058</v>
      </c>
      <c r="EQ190" s="643">
        <f t="shared" si="311"/>
        <v>153955.33215089058</v>
      </c>
      <c r="ER190" s="637">
        <f t="shared" si="312"/>
        <v>0</v>
      </c>
      <c r="ES190" s="637">
        <f t="shared" si="313"/>
        <v>153955.33215089058</v>
      </c>
      <c r="ET190" s="637">
        <f t="shared" si="314"/>
        <v>153955.33215089035</v>
      </c>
      <c r="EU190" s="643">
        <f t="shared" si="264"/>
        <v>153955.33215089035</v>
      </c>
      <c r="EV190" s="643">
        <f t="shared" si="265"/>
        <v>0</v>
      </c>
      <c r="EX190" s="829">
        <f t="shared" si="266"/>
        <v>9135.2068258147629</v>
      </c>
      <c r="EY190" s="638">
        <f t="shared" si="267"/>
        <v>153955.33215089035</v>
      </c>
      <c r="FC190" s="830" t="str">
        <f t="shared" si="315"/>
        <v>Y</v>
      </c>
      <c r="FE190" s="830" t="str">
        <f>IFERROR(VLOOKUP($B190,'Historical Conc Grant Elig'!$B$3:$J$707,'HH &amp; SI'!FE$2,0),"N")</f>
        <v>Y</v>
      </c>
      <c r="FF190" s="830" t="str">
        <f>IFERROR(VLOOKUP($B190,'Historical Conc Grant Elig'!$B$3:$J$707,'HH &amp; SI'!FF$2,0),"N")</f>
        <v>Y</v>
      </c>
      <c r="FG190" s="830" t="str">
        <f>IFERROR(VLOOKUP($B190,'Historical Conc Grant Elig'!$B$3:$J$707,'HH &amp; SI'!FG$2,0),"N")</f>
        <v>Y</v>
      </c>
      <c r="FH190" s="830" t="str">
        <f>IFERROR(VLOOKUP($B190,'Historical Conc Grant Elig'!$B$3:$J$707,'HH &amp; SI'!FH$2,0),"N")</f>
        <v>Y</v>
      </c>
      <c r="FI190" s="830" t="str">
        <f>IFERROR(VLOOKUP($B190,'Historical Conc Grant Elig'!$B$3:$J$707,'HH &amp; SI'!FI$2,0),"N")</f>
        <v>Y</v>
      </c>
      <c r="FJ190" s="830" t="str">
        <f>IFERROR(VLOOKUP($B190,'Historical Conc Grant Elig'!$B$3:$J$707,'HH &amp; SI'!FJ$2,0),"N")</f>
        <v>Y</v>
      </c>
      <c r="FK190" s="830" t="str">
        <f>IFERROR(VLOOKUP($B190,'Historical Conc Grant Elig'!$B$3:$J$707,'HH &amp; SI'!FK$2,0),"N")</f>
        <v>Y</v>
      </c>
      <c r="FL190" s="957" t="str">
        <f>IFERROR(VLOOKUP($B190,'Historical Conc Grant Elig'!$B$3:$J$707,'HH &amp; SI'!FL$2,0),"N")</f>
        <v>Y</v>
      </c>
    </row>
    <row r="191" spans="2:168" x14ac:dyDescent="0.25">
      <c r="B191" s="634">
        <v>78542000</v>
      </c>
      <c r="C191" s="635" t="str">
        <f>VLOOKUP($B191,'Afton Update'!$A$5:$CR$582,'Afton Update'!D$589,0)</f>
        <v>AZ Compass Schools  Inc.</v>
      </c>
      <c r="D191" s="636">
        <f>IFERROR(VLOOKUP($B191,'Afton FY16 Final'!$A$5:$BV$587,'Afton FY16 Final'!AQ$587,0),0)</f>
        <v>27517.425046357708</v>
      </c>
      <c r="E191" s="637">
        <f>IFERROR(VLOOKUP($B191,'Afton FY16 Final'!$A$5:$BV$587,'Afton FY16 Final'!AR$587,0),0)</f>
        <v>7496.540162545798</v>
      </c>
      <c r="F191" s="637">
        <f>IFERROR(VLOOKUP($B191,'Afton FY16 Final'!$A$5:$BV$587,'Afton FY16 Final'!AS$587,0),0)</f>
        <v>14934.029807425874</v>
      </c>
      <c r="G191" s="637">
        <f>IFERROR(VLOOKUP($B191,'Afton FY16 Final'!$A$5:$BV$587,'Afton FY16 Final'!AT$587,0),0)</f>
        <v>12539.482974252818</v>
      </c>
      <c r="H191" s="638">
        <f>IFERROR(VLOOKUP($B191,'Afton FY16 Final'!$A$5:$BV$587,'Afton FY16 Final'!AU$587,0),0)</f>
        <v>62487.4779905822</v>
      </c>
      <c r="I191" s="639" t="str">
        <f>VLOOKUP($B191,'Afton Update'!$A$5:$CR$582,'Afton Update'!BT$589,0)</f>
        <v>Y</v>
      </c>
      <c r="J191" s="640" t="str">
        <f>VLOOKUP($B191,'Afton Update'!$A$5:$CR$582,'Afton Update'!BU$589,0)</f>
        <v>Y</v>
      </c>
      <c r="K191" s="640" t="str">
        <f>VLOOKUP($B191,'Afton Update'!$A$5:$CR$582,'Afton Update'!BV$589,0)</f>
        <v>Y</v>
      </c>
      <c r="L191" s="641" t="str">
        <f>VLOOKUP($B191,'Afton Update'!$A$5:$CR$582,'Afton Update'!BW$589,0)</f>
        <v>Y</v>
      </c>
      <c r="N191" s="642">
        <f>VLOOKUP($B191,'Afton Update'!$A$5:$CR$582,'Afton Update'!CB$589,0)</f>
        <v>0.95</v>
      </c>
      <c r="P191" s="636">
        <f>VLOOKUP($B191,'Afton Update'!$A$5:$CR$582,'Afton Update'!AH$589,0)</f>
        <v>25351.981514887873</v>
      </c>
      <c r="Q191" s="637">
        <f>VLOOKUP($B191,'Afton Update'!$A$5:$CR$582,'Afton Update'!AI$589,0)</f>
        <v>7373.5703908147807</v>
      </c>
      <c r="R191" s="637">
        <f>VLOOKUP($B191,'Afton Update'!$A$5:$CR$582,'Afton Update'!AJ$589,0)</f>
        <v>14862.891770383725</v>
      </c>
      <c r="S191" s="637">
        <f>VLOOKUP($B191,'Afton Update'!$A$5:$CR$582,'Afton Update'!AK$589,0)</f>
        <v>13835.399856074742</v>
      </c>
      <c r="T191" s="643">
        <f t="shared" si="268"/>
        <v>61423.843532161118</v>
      </c>
      <c r="V191" s="636">
        <f t="shared" si="316"/>
        <v>26141.553794039821</v>
      </c>
      <c r="W191" s="637">
        <f t="shared" si="317"/>
        <v>7130.7119406170996</v>
      </c>
      <c r="X191" s="637">
        <f t="shared" si="318"/>
        <v>14727.719572728764</v>
      </c>
      <c r="Y191" s="637">
        <f t="shared" si="319"/>
        <v>13682.958654652721</v>
      </c>
      <c r="Z191" s="643">
        <f t="shared" si="320"/>
        <v>61682.9439620384</v>
      </c>
      <c r="AB191" s="644">
        <f t="shared" si="269"/>
        <v>25351.981514887873</v>
      </c>
      <c r="AC191" s="645">
        <f t="shared" si="257"/>
        <v>26141.553794039821</v>
      </c>
      <c r="AD191" s="644">
        <f t="shared" si="321"/>
        <v>789.57227915194744</v>
      </c>
      <c r="AE191" s="645">
        <f t="shared" si="322"/>
        <v>0</v>
      </c>
      <c r="AF191" s="646">
        <f t="shared" si="323"/>
        <v>0</v>
      </c>
      <c r="AG191" s="647">
        <f t="shared" si="324"/>
        <v>26141.553794039821</v>
      </c>
      <c r="AH191" s="644">
        <f t="shared" si="270"/>
        <v>0</v>
      </c>
      <c r="AI191" s="645">
        <f t="shared" si="271"/>
        <v>0</v>
      </c>
      <c r="AJ191" s="646">
        <f t="shared" si="325"/>
        <v>0</v>
      </c>
      <c r="AK191" s="647">
        <f t="shared" si="272"/>
        <v>26141.553794039821</v>
      </c>
      <c r="AL191" s="644">
        <f t="shared" si="326"/>
        <v>0</v>
      </c>
      <c r="AM191" s="645">
        <f t="shared" si="327"/>
        <v>0</v>
      </c>
      <c r="AN191" s="646">
        <f t="shared" si="328"/>
        <v>0</v>
      </c>
      <c r="AO191" s="647">
        <f t="shared" si="273"/>
        <v>26141.553794039821</v>
      </c>
      <c r="AP191" s="644">
        <f t="shared" si="329"/>
        <v>0</v>
      </c>
      <c r="AQ191" s="645">
        <f t="shared" si="330"/>
        <v>0</v>
      </c>
      <c r="AR191" s="646">
        <f t="shared" si="331"/>
        <v>0</v>
      </c>
      <c r="AS191" s="647">
        <f t="shared" si="274"/>
        <v>26141.553794039821</v>
      </c>
      <c r="AT191" s="644">
        <f t="shared" si="332"/>
        <v>0</v>
      </c>
      <c r="AU191" s="645">
        <f t="shared" si="333"/>
        <v>0</v>
      </c>
      <c r="AV191" s="646">
        <f t="shared" si="334"/>
        <v>0</v>
      </c>
      <c r="AW191" s="647">
        <f t="shared" si="275"/>
        <v>26141.553794039821</v>
      </c>
      <c r="AY191" s="644">
        <f t="shared" si="335"/>
        <v>7373.5703908147807</v>
      </c>
      <c r="AZ191" s="645">
        <f t="shared" si="276"/>
        <v>7121.7131544185077</v>
      </c>
      <c r="BA191" s="644">
        <f t="shared" si="336"/>
        <v>0</v>
      </c>
      <c r="BB191" s="645">
        <f t="shared" si="337"/>
        <v>7373.5703908147807</v>
      </c>
      <c r="BC191" s="646">
        <f t="shared" si="338"/>
        <v>-53.025493563243906</v>
      </c>
      <c r="BD191" s="647">
        <f t="shared" si="339"/>
        <v>7320.5448972515369</v>
      </c>
      <c r="BE191" s="644">
        <f t="shared" si="277"/>
        <v>0</v>
      </c>
      <c r="BF191" s="645">
        <f t="shared" si="278"/>
        <v>7320.5448972515369</v>
      </c>
      <c r="BG191" s="646">
        <f t="shared" si="340"/>
        <v>-174.36941363883807</v>
      </c>
      <c r="BH191" s="647">
        <f t="shared" si="279"/>
        <v>7146.1754836126984</v>
      </c>
      <c r="BI191" s="644">
        <f t="shared" si="341"/>
        <v>0</v>
      </c>
      <c r="BJ191" s="645">
        <f t="shared" si="342"/>
        <v>7146.1754836126984</v>
      </c>
      <c r="BK191" s="646">
        <f t="shared" si="343"/>
        <v>-15.137278110884829</v>
      </c>
      <c r="BL191" s="647">
        <f t="shared" si="280"/>
        <v>7131.0382055018135</v>
      </c>
      <c r="BM191" s="644">
        <f t="shared" si="344"/>
        <v>0</v>
      </c>
      <c r="BN191" s="645">
        <f t="shared" si="345"/>
        <v>7131.0382055018135</v>
      </c>
      <c r="BO191" s="646">
        <f t="shared" si="346"/>
        <v>-0.32626488471435944</v>
      </c>
      <c r="BP191" s="647">
        <f t="shared" si="281"/>
        <v>7130.7119406170996</v>
      </c>
      <c r="BQ191" s="644">
        <f t="shared" si="347"/>
        <v>0</v>
      </c>
      <c r="BR191" s="645">
        <f t="shared" si="348"/>
        <v>7130.7119406170996</v>
      </c>
      <c r="BS191" s="646">
        <f t="shared" si="349"/>
        <v>0</v>
      </c>
      <c r="BT191" s="647">
        <f t="shared" si="282"/>
        <v>7130.7119406170996</v>
      </c>
      <c r="BU191" s="662">
        <f>VLOOKUP(B191,'Afton Update'!$A$5:$AR$582,'Afton Update'!$AO$589,0)-BT191</f>
        <v>0</v>
      </c>
      <c r="BV191" s="644">
        <f t="shared" si="350"/>
        <v>14862.891770383725</v>
      </c>
      <c r="BW191" s="645">
        <f t="shared" si="258"/>
        <v>14187.328317054578</v>
      </c>
      <c r="BX191" s="644">
        <f t="shared" si="351"/>
        <v>0</v>
      </c>
      <c r="BY191" s="645">
        <f t="shared" si="352"/>
        <v>14862.891770383725</v>
      </c>
      <c r="BZ191" s="646">
        <f t="shared" si="353"/>
        <v>-130.45318127365763</v>
      </c>
      <c r="CA191" s="647">
        <f t="shared" si="354"/>
        <v>14732.438589110068</v>
      </c>
      <c r="CB191" s="644">
        <f t="shared" si="283"/>
        <v>0</v>
      </c>
      <c r="CC191" s="645">
        <f t="shared" si="284"/>
        <v>14732.438589110068</v>
      </c>
      <c r="CD191" s="646">
        <f t="shared" si="355"/>
        <v>-4.7190163813042298</v>
      </c>
      <c r="CE191" s="647">
        <f t="shared" si="285"/>
        <v>14727.719572728764</v>
      </c>
      <c r="CF191" s="644">
        <f t="shared" si="356"/>
        <v>0</v>
      </c>
      <c r="CG191" s="645">
        <f t="shared" si="357"/>
        <v>14727.719572728764</v>
      </c>
      <c r="CH191" s="646">
        <f t="shared" si="358"/>
        <v>0</v>
      </c>
      <c r="CI191" s="647">
        <f t="shared" si="286"/>
        <v>14727.719572728764</v>
      </c>
      <c r="CJ191" s="644">
        <f t="shared" si="359"/>
        <v>0</v>
      </c>
      <c r="CK191" s="645">
        <f t="shared" si="360"/>
        <v>14727.719572728764</v>
      </c>
      <c r="CL191" s="646">
        <f t="shared" si="361"/>
        <v>0</v>
      </c>
      <c r="CM191" s="647">
        <f t="shared" si="287"/>
        <v>14727.719572728764</v>
      </c>
      <c r="CN191" s="644">
        <f t="shared" si="362"/>
        <v>0</v>
      </c>
      <c r="CO191" s="645">
        <f t="shared" si="363"/>
        <v>14727.719572728764</v>
      </c>
      <c r="CP191" s="646">
        <f t="shared" si="364"/>
        <v>0</v>
      </c>
      <c r="CQ191" s="647">
        <f t="shared" si="288"/>
        <v>14727.719572728764</v>
      </c>
      <c r="CS191" s="644">
        <f t="shared" si="365"/>
        <v>13835.399856074742</v>
      </c>
      <c r="CT191" s="645">
        <f t="shared" si="259"/>
        <v>11912.508825540177</v>
      </c>
      <c r="CU191" s="644">
        <f t="shared" si="366"/>
        <v>0</v>
      </c>
      <c r="CV191" s="645">
        <f t="shared" si="367"/>
        <v>13835.399856074742</v>
      </c>
      <c r="CW191" s="646">
        <f t="shared" si="368"/>
        <v>-141.6823132147066</v>
      </c>
      <c r="CX191" s="647">
        <f t="shared" si="369"/>
        <v>13693.717542860035</v>
      </c>
      <c r="CY191" s="644">
        <f t="shared" si="289"/>
        <v>0</v>
      </c>
      <c r="CZ191" s="645">
        <f t="shared" si="290"/>
        <v>13693.717542860035</v>
      </c>
      <c r="DA191" s="646">
        <f t="shared" si="370"/>
        <v>-10.749618000678158</v>
      </c>
      <c r="DB191" s="647">
        <f t="shared" si="291"/>
        <v>13682.967924859357</v>
      </c>
      <c r="DC191" s="644">
        <f t="shared" si="371"/>
        <v>0</v>
      </c>
      <c r="DD191" s="645">
        <f t="shared" si="372"/>
        <v>13682.967924859357</v>
      </c>
      <c r="DE191" s="646">
        <f t="shared" si="373"/>
        <v>-9.2702066351796134E-3</v>
      </c>
      <c r="DF191" s="647">
        <f t="shared" si="292"/>
        <v>13682.958654652721</v>
      </c>
      <c r="DG191" s="644">
        <f t="shared" si="374"/>
        <v>0</v>
      </c>
      <c r="DH191" s="645">
        <f t="shared" si="375"/>
        <v>13682.958654652721</v>
      </c>
      <c r="DI191" s="646">
        <f t="shared" si="376"/>
        <v>0</v>
      </c>
      <c r="DJ191" s="647">
        <f t="shared" si="293"/>
        <v>13682.958654652721</v>
      </c>
      <c r="DK191" s="644">
        <f t="shared" si="377"/>
        <v>0</v>
      </c>
      <c r="DL191" s="645">
        <f t="shared" si="378"/>
        <v>13682.958654652721</v>
      </c>
      <c r="DM191" s="646">
        <f t="shared" si="379"/>
        <v>0</v>
      </c>
      <c r="DN191" s="647">
        <f t="shared" si="294"/>
        <v>13682.958654652721</v>
      </c>
      <c r="DR191" s="827">
        <f t="shared" si="295"/>
        <v>61682.9439620384</v>
      </c>
      <c r="DV191" s="828">
        <f>IFERROR(VLOOKUP($B191,'Afton FY16 Final'!$A$5:$BV$587,'Afton FY16 Final'!$BV$587,0),0)</f>
        <v>55478.281285781937</v>
      </c>
      <c r="DX191" s="636">
        <f t="shared" si="260"/>
        <v>61682.9439620384</v>
      </c>
      <c r="DY191" s="637">
        <f t="shared" si="261"/>
        <v>6204.6626762564629</v>
      </c>
      <c r="DZ191" s="637">
        <f t="shared" si="262"/>
        <v>55478.281285781937</v>
      </c>
      <c r="EA191" s="643">
        <f t="shared" si="263"/>
        <v>58402.102648742934</v>
      </c>
      <c r="EB191" s="637">
        <f t="shared" si="296"/>
        <v>0</v>
      </c>
      <c r="EC191" s="637">
        <f t="shared" si="297"/>
        <v>58402.102648742934</v>
      </c>
      <c r="ED191" s="637">
        <f t="shared" si="298"/>
        <v>58227.951065701134</v>
      </c>
      <c r="EE191" s="643">
        <f t="shared" si="299"/>
        <v>58227.951065701134</v>
      </c>
      <c r="EF191" s="637">
        <f t="shared" si="300"/>
        <v>0</v>
      </c>
      <c r="EG191" s="637">
        <f t="shared" si="301"/>
        <v>58227.951065701134</v>
      </c>
      <c r="EH191" s="637">
        <f t="shared" si="302"/>
        <v>58227.890994196823</v>
      </c>
      <c r="EI191" s="643">
        <f t="shared" si="303"/>
        <v>58227.890994196823</v>
      </c>
      <c r="EJ191" s="637">
        <f t="shared" si="304"/>
        <v>0</v>
      </c>
      <c r="EK191" s="637">
        <f t="shared" si="305"/>
        <v>58227.890994196823</v>
      </c>
      <c r="EL191" s="637">
        <f t="shared" si="306"/>
        <v>58227.890994196743</v>
      </c>
      <c r="EM191" s="643">
        <f t="shared" si="307"/>
        <v>58227.890994196743</v>
      </c>
      <c r="EN191" s="637">
        <f t="shared" si="308"/>
        <v>0</v>
      </c>
      <c r="EO191" s="637">
        <f t="shared" si="309"/>
        <v>58227.890994196743</v>
      </c>
      <c r="EP191" s="637">
        <f t="shared" si="310"/>
        <v>58227.890994196838</v>
      </c>
      <c r="EQ191" s="643">
        <f t="shared" si="311"/>
        <v>58227.890994196838</v>
      </c>
      <c r="ER191" s="637">
        <f t="shared" si="312"/>
        <v>0</v>
      </c>
      <c r="ES191" s="637">
        <f t="shared" si="313"/>
        <v>58227.890994196838</v>
      </c>
      <c r="ET191" s="637">
        <f t="shared" si="314"/>
        <v>58227.890994196743</v>
      </c>
      <c r="EU191" s="643">
        <f t="shared" si="264"/>
        <v>58227.890994196743</v>
      </c>
      <c r="EV191" s="643">
        <f t="shared" si="265"/>
        <v>0</v>
      </c>
      <c r="EX191" s="829">
        <f t="shared" si="266"/>
        <v>3455.0529678416569</v>
      </c>
      <c r="EY191" s="638">
        <f t="shared" si="267"/>
        <v>58227.890994196743</v>
      </c>
      <c r="FC191" s="830" t="str">
        <f t="shared" si="315"/>
        <v>Y</v>
      </c>
      <c r="FE191" s="830" t="str">
        <f>IFERROR(VLOOKUP($B191,'Historical Conc Grant Elig'!$B$3:$J$707,'HH &amp; SI'!FE$2,0),"N")</f>
        <v>N</v>
      </c>
      <c r="FF191" s="830" t="str">
        <f>IFERROR(VLOOKUP($B191,'Historical Conc Grant Elig'!$B$3:$J$707,'HH &amp; SI'!FF$2,0),"N")</f>
        <v>N</v>
      </c>
      <c r="FG191" s="830" t="str">
        <f>IFERROR(VLOOKUP($B191,'Historical Conc Grant Elig'!$B$3:$J$707,'HH &amp; SI'!FG$2,0),"N")</f>
        <v>Y</v>
      </c>
      <c r="FH191" s="830" t="str">
        <f>IFERROR(VLOOKUP($B191,'Historical Conc Grant Elig'!$B$3:$J$707,'HH &amp; SI'!FH$2,0),"N")</f>
        <v>Y</v>
      </c>
      <c r="FI191" s="830" t="str">
        <f>IFERROR(VLOOKUP($B191,'Historical Conc Grant Elig'!$B$3:$J$707,'HH &amp; SI'!FI$2,0),"N")</f>
        <v>Y</v>
      </c>
      <c r="FJ191" s="830" t="str">
        <f>IFERROR(VLOOKUP($B191,'Historical Conc Grant Elig'!$B$3:$J$707,'HH &amp; SI'!FJ$2,0),"N")</f>
        <v>Y</v>
      </c>
      <c r="FK191" s="830" t="str">
        <f>IFERROR(VLOOKUP($B191,'Historical Conc Grant Elig'!$B$3:$J$707,'HH &amp; SI'!FK$2,0),"N")</f>
        <v>Y</v>
      </c>
      <c r="FL191" s="957" t="str">
        <f>IFERROR(VLOOKUP($B191,'Historical Conc Grant Elig'!$B$3:$J$707,'HH &amp; SI'!FL$2,0),"N")</f>
        <v>Y</v>
      </c>
    </row>
    <row r="192" spans="2:168" x14ac:dyDescent="0.25">
      <c r="B192" s="634">
        <v>78544000</v>
      </c>
      <c r="C192" s="635" t="str">
        <f>VLOOKUP($B192,'Afton Update'!$A$5:$CR$582,'Afton Update'!D$589,0)</f>
        <v>Daisy Education Corporation dba Paragon Science Academy</v>
      </c>
      <c r="D192" s="636">
        <f>IFERROR(VLOOKUP($B192,'Afton FY16 Final'!$A$5:$BV$587,'Afton FY16 Final'!AQ$587,0),0)</f>
        <v>35817.272038455616</v>
      </c>
      <c r="E192" s="637">
        <f>IFERROR(VLOOKUP($B192,'Afton FY16 Final'!$A$5:$BV$587,'Afton FY16 Final'!AR$587,0),0)</f>
        <v>9181.5650131005896</v>
      </c>
      <c r="F192" s="637">
        <f>IFERROR(VLOOKUP($B192,'Afton FY16 Final'!$A$5:$BV$587,'Afton FY16 Final'!AS$587,0),0)</f>
        <v>19438.454264592539</v>
      </c>
      <c r="G192" s="637">
        <f>IFERROR(VLOOKUP($B192,'Afton FY16 Final'!$A$5:$BV$587,'Afton FY16 Final'!AT$587,0),0)</f>
        <v>16649.132950580632</v>
      </c>
      <c r="H192" s="638">
        <f>IFERROR(VLOOKUP($B192,'Afton FY16 Final'!$A$5:$BV$587,'Afton FY16 Final'!AU$587,0),0)</f>
        <v>81086.424266729373</v>
      </c>
      <c r="I192" s="639" t="str">
        <f>VLOOKUP($B192,'Afton Update'!$A$5:$CR$582,'Afton Update'!BT$589,0)</f>
        <v>Y</v>
      </c>
      <c r="J192" s="640" t="str">
        <f>VLOOKUP($B192,'Afton Update'!$A$5:$CR$582,'Afton Update'!BU$589,0)</f>
        <v>Y</v>
      </c>
      <c r="K192" s="640" t="str">
        <f>VLOOKUP($B192,'Afton Update'!$A$5:$CR$582,'Afton Update'!BV$589,0)</f>
        <v>Y</v>
      </c>
      <c r="L192" s="641" t="str">
        <f>VLOOKUP($B192,'Afton Update'!$A$5:$CR$582,'Afton Update'!BW$589,0)</f>
        <v>Y</v>
      </c>
      <c r="N192" s="642">
        <f>VLOOKUP($B192,'Afton Update'!$A$5:$CR$582,'Afton Update'!CB$589,0)</f>
        <v>0.9</v>
      </c>
      <c r="P192" s="636">
        <f>VLOOKUP($B192,'Afton Update'!$A$5:$CR$582,'Afton Update'!AH$589,0)</f>
        <v>35157.936629136959</v>
      </c>
      <c r="Q192" s="637">
        <f>VLOOKUP($B192,'Afton Update'!$A$5:$CR$582,'Afton Update'!AI$589,0)</f>
        <v>9401.4261391859764</v>
      </c>
      <c r="R192" s="637">
        <f>VLOOKUP($B192,'Afton Update'!$A$5:$CR$582,'Afton Update'!AJ$589,0)</f>
        <v>20601.944564079029</v>
      </c>
      <c r="S192" s="637">
        <f>VLOOKUP($B192,'Afton Update'!$A$5:$CR$582,'Afton Update'!AK$589,0)</f>
        <v>19177.704127852881</v>
      </c>
      <c r="T192" s="643">
        <f t="shared" si="268"/>
        <v>84339.011460254842</v>
      </c>
      <c r="V192" s="636">
        <f t="shared" si="316"/>
        <v>34678.359553776376</v>
      </c>
      <c r="W192" s="637">
        <f t="shared" si="317"/>
        <v>9091.7775346707385</v>
      </c>
      <c r="X192" s="637">
        <f t="shared" si="318"/>
        <v>20414.577921993849</v>
      </c>
      <c r="Y192" s="637">
        <f t="shared" si="319"/>
        <v>18966.400349994787</v>
      </c>
      <c r="Z192" s="643">
        <f t="shared" si="320"/>
        <v>83151.115360435739</v>
      </c>
      <c r="AB192" s="644">
        <f t="shared" si="269"/>
        <v>35157.936629136959</v>
      </c>
      <c r="AC192" s="645">
        <f t="shared" si="257"/>
        <v>32235.544834610057</v>
      </c>
      <c r="AD192" s="644">
        <f t="shared" si="321"/>
        <v>0</v>
      </c>
      <c r="AE192" s="645">
        <f t="shared" si="322"/>
        <v>35157.936629136959</v>
      </c>
      <c r="AF192" s="646">
        <f t="shared" si="323"/>
        <v>-435.80904500422906</v>
      </c>
      <c r="AG192" s="647">
        <f t="shared" si="324"/>
        <v>34722.12758413273</v>
      </c>
      <c r="AH192" s="644">
        <f t="shared" si="270"/>
        <v>0</v>
      </c>
      <c r="AI192" s="645">
        <f t="shared" si="271"/>
        <v>34722.12758413273</v>
      </c>
      <c r="AJ192" s="646">
        <f t="shared" si="325"/>
        <v>-43.740145878642146</v>
      </c>
      <c r="AK192" s="647">
        <f t="shared" si="272"/>
        <v>34678.387438254089</v>
      </c>
      <c r="AL192" s="644">
        <f t="shared" si="326"/>
        <v>0</v>
      </c>
      <c r="AM192" s="645">
        <f t="shared" si="327"/>
        <v>34678.387438254089</v>
      </c>
      <c r="AN192" s="646">
        <f t="shared" si="328"/>
        <v>-2.7884477709716797E-2</v>
      </c>
      <c r="AO192" s="647">
        <f t="shared" si="273"/>
        <v>34678.359553776376</v>
      </c>
      <c r="AP192" s="644">
        <f t="shared" si="329"/>
        <v>0</v>
      </c>
      <c r="AQ192" s="645">
        <f t="shared" si="330"/>
        <v>34678.359553776376</v>
      </c>
      <c r="AR192" s="646">
        <f t="shared" si="331"/>
        <v>0</v>
      </c>
      <c r="AS192" s="647">
        <f t="shared" si="274"/>
        <v>34678.359553776376</v>
      </c>
      <c r="AT192" s="644">
        <f t="shared" si="332"/>
        <v>0</v>
      </c>
      <c r="AU192" s="645">
        <f t="shared" si="333"/>
        <v>34678.359553776376</v>
      </c>
      <c r="AV192" s="646">
        <f t="shared" si="334"/>
        <v>0</v>
      </c>
      <c r="AW192" s="647">
        <f t="shared" si="275"/>
        <v>34678.359553776376</v>
      </c>
      <c r="AY192" s="644">
        <f t="shared" si="335"/>
        <v>9401.4261391859764</v>
      </c>
      <c r="AZ192" s="645">
        <f t="shared" si="276"/>
        <v>8263.4085117905306</v>
      </c>
      <c r="BA192" s="644">
        <f t="shared" si="336"/>
        <v>0</v>
      </c>
      <c r="BB192" s="645">
        <f t="shared" si="337"/>
        <v>9401.4261391859764</v>
      </c>
      <c r="BC192" s="646">
        <f t="shared" si="338"/>
        <v>-67.608395228682824</v>
      </c>
      <c r="BD192" s="647">
        <f t="shared" si="339"/>
        <v>9333.8177439572937</v>
      </c>
      <c r="BE192" s="644">
        <f t="shared" si="277"/>
        <v>0</v>
      </c>
      <c r="BF192" s="645">
        <f t="shared" si="278"/>
        <v>9333.8177439572937</v>
      </c>
      <c r="BG192" s="646">
        <f t="shared" si="340"/>
        <v>-222.32393214836574</v>
      </c>
      <c r="BH192" s="647">
        <f t="shared" si="279"/>
        <v>9111.4938118089285</v>
      </c>
      <c r="BI192" s="644">
        <f t="shared" si="341"/>
        <v>0</v>
      </c>
      <c r="BJ192" s="645">
        <f t="shared" si="342"/>
        <v>9111.4938118089285</v>
      </c>
      <c r="BK192" s="646">
        <f t="shared" si="343"/>
        <v>-19.300283928268687</v>
      </c>
      <c r="BL192" s="647">
        <f t="shared" si="280"/>
        <v>9092.1935278806595</v>
      </c>
      <c r="BM192" s="644">
        <f t="shared" si="344"/>
        <v>0</v>
      </c>
      <c r="BN192" s="645">
        <f t="shared" si="345"/>
        <v>9092.1935278806595</v>
      </c>
      <c r="BO192" s="646">
        <f t="shared" si="346"/>
        <v>-0.41599320992080951</v>
      </c>
      <c r="BP192" s="647">
        <f t="shared" si="281"/>
        <v>9091.7775346707385</v>
      </c>
      <c r="BQ192" s="644">
        <f t="shared" si="347"/>
        <v>0</v>
      </c>
      <c r="BR192" s="645">
        <f t="shared" si="348"/>
        <v>9091.7775346707385</v>
      </c>
      <c r="BS192" s="646">
        <f t="shared" si="349"/>
        <v>0</v>
      </c>
      <c r="BT192" s="647">
        <f t="shared" si="282"/>
        <v>9091.7775346707385</v>
      </c>
      <c r="BU192" s="662">
        <f>VLOOKUP(B192,'Afton Update'!$A$5:$AR$582,'Afton Update'!$AO$589,0)-BT192</f>
        <v>0</v>
      </c>
      <c r="BV192" s="644">
        <f t="shared" si="350"/>
        <v>20601.944564079029</v>
      </c>
      <c r="BW192" s="645">
        <f t="shared" si="258"/>
        <v>17494.608838133285</v>
      </c>
      <c r="BX192" s="644">
        <f t="shared" si="351"/>
        <v>0</v>
      </c>
      <c r="BY192" s="645">
        <f t="shared" si="352"/>
        <v>20601.944564079029</v>
      </c>
      <c r="BZ192" s="646">
        <f t="shared" si="353"/>
        <v>-180.82545781319777</v>
      </c>
      <c r="CA192" s="647">
        <f t="shared" si="354"/>
        <v>20421.119106265833</v>
      </c>
      <c r="CB192" s="644">
        <f t="shared" si="283"/>
        <v>0</v>
      </c>
      <c r="CC192" s="645">
        <f t="shared" si="284"/>
        <v>20421.119106265833</v>
      </c>
      <c r="CD192" s="646">
        <f t="shared" si="355"/>
        <v>-6.5411842719823925</v>
      </c>
      <c r="CE192" s="647">
        <f t="shared" si="285"/>
        <v>20414.577921993849</v>
      </c>
      <c r="CF192" s="644">
        <f t="shared" si="356"/>
        <v>0</v>
      </c>
      <c r="CG192" s="645">
        <f t="shared" si="357"/>
        <v>20414.577921993849</v>
      </c>
      <c r="CH192" s="646">
        <f t="shared" si="358"/>
        <v>0</v>
      </c>
      <c r="CI192" s="647">
        <f t="shared" si="286"/>
        <v>20414.577921993849</v>
      </c>
      <c r="CJ192" s="644">
        <f t="shared" si="359"/>
        <v>0</v>
      </c>
      <c r="CK192" s="645">
        <f t="shared" si="360"/>
        <v>20414.577921993849</v>
      </c>
      <c r="CL192" s="646">
        <f t="shared" si="361"/>
        <v>0</v>
      </c>
      <c r="CM192" s="647">
        <f t="shared" si="287"/>
        <v>20414.577921993849</v>
      </c>
      <c r="CN192" s="644">
        <f t="shared" si="362"/>
        <v>0</v>
      </c>
      <c r="CO192" s="645">
        <f t="shared" si="363"/>
        <v>20414.577921993849</v>
      </c>
      <c r="CP192" s="646">
        <f t="shared" si="364"/>
        <v>0</v>
      </c>
      <c r="CQ192" s="647">
        <f t="shared" si="288"/>
        <v>20414.577921993849</v>
      </c>
      <c r="CS192" s="644">
        <f t="shared" si="365"/>
        <v>19177.704127852881</v>
      </c>
      <c r="CT192" s="645">
        <f t="shared" si="259"/>
        <v>14984.219655522569</v>
      </c>
      <c r="CU192" s="644">
        <f t="shared" si="366"/>
        <v>0</v>
      </c>
      <c r="CV192" s="645">
        <f t="shared" si="367"/>
        <v>19177.704127852881</v>
      </c>
      <c r="CW192" s="646">
        <f t="shared" si="368"/>
        <v>-196.39052801125959</v>
      </c>
      <c r="CX192" s="647">
        <f t="shared" si="369"/>
        <v>18981.313599841622</v>
      </c>
      <c r="CY192" s="644">
        <f t="shared" si="289"/>
        <v>0</v>
      </c>
      <c r="CZ192" s="645">
        <f t="shared" si="290"/>
        <v>18981.313599841622</v>
      </c>
      <c r="DA192" s="646">
        <f t="shared" si="370"/>
        <v>-14.900400107621833</v>
      </c>
      <c r="DB192" s="647">
        <f t="shared" si="291"/>
        <v>18966.413199734001</v>
      </c>
      <c r="DC192" s="644">
        <f t="shared" si="371"/>
        <v>0</v>
      </c>
      <c r="DD192" s="645">
        <f t="shared" si="372"/>
        <v>18966.413199734001</v>
      </c>
      <c r="DE192" s="646">
        <f t="shared" si="373"/>
        <v>-1.2849739212667166E-2</v>
      </c>
      <c r="DF192" s="647">
        <f t="shared" si="292"/>
        <v>18966.400349994787</v>
      </c>
      <c r="DG192" s="644">
        <f t="shared" si="374"/>
        <v>0</v>
      </c>
      <c r="DH192" s="645">
        <f t="shared" si="375"/>
        <v>18966.400349994787</v>
      </c>
      <c r="DI192" s="646">
        <f t="shared" si="376"/>
        <v>0</v>
      </c>
      <c r="DJ192" s="647">
        <f t="shared" si="293"/>
        <v>18966.400349994787</v>
      </c>
      <c r="DK192" s="644">
        <f t="shared" si="377"/>
        <v>0</v>
      </c>
      <c r="DL192" s="645">
        <f t="shared" si="378"/>
        <v>18966.400349994787</v>
      </c>
      <c r="DM192" s="646">
        <f t="shared" si="379"/>
        <v>0</v>
      </c>
      <c r="DN192" s="647">
        <f t="shared" si="294"/>
        <v>18966.400349994787</v>
      </c>
      <c r="DR192" s="827">
        <f t="shared" si="295"/>
        <v>83151.115360435739</v>
      </c>
      <c r="DV192" s="828">
        <f>IFERROR(VLOOKUP($B192,'Afton FY16 Final'!$A$5:$BV$587,'Afton FY16 Final'!$BV$587,0),0)</f>
        <v>75189.752796418863</v>
      </c>
      <c r="DX192" s="636">
        <f t="shared" si="260"/>
        <v>83151.115360435739</v>
      </c>
      <c r="DY192" s="637">
        <f t="shared" si="261"/>
        <v>7961.3625640168757</v>
      </c>
      <c r="DZ192" s="637">
        <f t="shared" si="262"/>
        <v>75189.752796418863</v>
      </c>
      <c r="EA192" s="643">
        <f t="shared" si="263"/>
        <v>78728.407931150126</v>
      </c>
      <c r="EB192" s="637">
        <f t="shared" si="296"/>
        <v>0</v>
      </c>
      <c r="EC192" s="637">
        <f t="shared" si="297"/>
        <v>78728.407931150126</v>
      </c>
      <c r="ED192" s="637">
        <f t="shared" si="298"/>
        <v>78493.644519393652</v>
      </c>
      <c r="EE192" s="643">
        <f t="shared" si="299"/>
        <v>78493.644519393652</v>
      </c>
      <c r="EF192" s="637">
        <f t="shared" si="300"/>
        <v>0</v>
      </c>
      <c r="EG192" s="637">
        <f t="shared" si="301"/>
        <v>78493.644519393652</v>
      </c>
      <c r="EH192" s="637">
        <f t="shared" si="302"/>
        <v>78493.563540564428</v>
      </c>
      <c r="EI192" s="643">
        <f t="shared" si="303"/>
        <v>78493.563540564428</v>
      </c>
      <c r="EJ192" s="637">
        <f t="shared" si="304"/>
        <v>0</v>
      </c>
      <c r="EK192" s="637">
        <f t="shared" si="305"/>
        <v>78493.563540564428</v>
      </c>
      <c r="EL192" s="637">
        <f t="shared" si="306"/>
        <v>78493.563540564312</v>
      </c>
      <c r="EM192" s="643">
        <f t="shared" si="307"/>
        <v>78493.563540564312</v>
      </c>
      <c r="EN192" s="637">
        <f t="shared" si="308"/>
        <v>0</v>
      </c>
      <c r="EO192" s="637">
        <f t="shared" si="309"/>
        <v>78493.563540564312</v>
      </c>
      <c r="EP192" s="637">
        <f t="shared" si="310"/>
        <v>78493.563540564428</v>
      </c>
      <c r="EQ192" s="643">
        <f t="shared" si="311"/>
        <v>78493.563540564428</v>
      </c>
      <c r="ER192" s="637">
        <f t="shared" si="312"/>
        <v>0</v>
      </c>
      <c r="ES192" s="637">
        <f t="shared" si="313"/>
        <v>78493.563540564428</v>
      </c>
      <c r="ET192" s="637">
        <f t="shared" si="314"/>
        <v>78493.563540564297</v>
      </c>
      <c r="EU192" s="643">
        <f t="shared" si="264"/>
        <v>78493.563540564297</v>
      </c>
      <c r="EV192" s="643">
        <f t="shared" si="265"/>
        <v>0</v>
      </c>
      <c r="EX192" s="829">
        <f t="shared" si="266"/>
        <v>4657.5518198714417</v>
      </c>
      <c r="EY192" s="638">
        <f t="shared" si="267"/>
        <v>78493.563540564297</v>
      </c>
      <c r="FC192" s="830" t="str">
        <f t="shared" si="315"/>
        <v>Y</v>
      </c>
      <c r="FE192" s="830" t="str">
        <f>IFERROR(VLOOKUP($B192,'Historical Conc Grant Elig'!$B$3:$J$707,'HH &amp; SI'!FE$2,0),"N")</f>
        <v>N</v>
      </c>
      <c r="FF192" s="830" t="str">
        <f>IFERROR(VLOOKUP($B192,'Historical Conc Grant Elig'!$B$3:$J$707,'HH &amp; SI'!FF$2,0),"N")</f>
        <v>N</v>
      </c>
      <c r="FG192" s="830" t="str">
        <f>IFERROR(VLOOKUP($B192,'Historical Conc Grant Elig'!$B$3:$J$707,'HH &amp; SI'!FG$2,0),"N")</f>
        <v>N</v>
      </c>
      <c r="FH192" s="830" t="str">
        <f>IFERROR(VLOOKUP($B192,'Historical Conc Grant Elig'!$B$3:$J$707,'HH &amp; SI'!FH$2,0),"N")</f>
        <v>N</v>
      </c>
      <c r="FI192" s="830" t="str">
        <f>IFERROR(VLOOKUP($B192,'Historical Conc Grant Elig'!$B$3:$J$707,'HH &amp; SI'!FI$2,0),"N")</f>
        <v>N</v>
      </c>
      <c r="FJ192" s="830" t="str">
        <f>IFERROR(VLOOKUP($B192,'Historical Conc Grant Elig'!$B$3:$J$707,'HH &amp; SI'!FJ$2,0),"N")</f>
        <v>Y</v>
      </c>
      <c r="FK192" s="830" t="str">
        <f>IFERROR(VLOOKUP($B192,'Historical Conc Grant Elig'!$B$3:$J$707,'HH &amp; SI'!FK$2,0),"N")</f>
        <v>Y</v>
      </c>
      <c r="FL192" s="957" t="str">
        <f>IFERROR(VLOOKUP($B192,'Historical Conc Grant Elig'!$B$3:$J$707,'HH &amp; SI'!FL$2,0),"N")</f>
        <v>Y</v>
      </c>
    </row>
    <row r="193" spans="2:168" x14ac:dyDescent="0.25">
      <c r="B193" s="634">
        <v>78546000</v>
      </c>
      <c r="C193" s="635" t="str">
        <f>VLOOKUP($B193,'Afton Update'!$A$5:$CR$582,'Afton Update'!D$589,0)</f>
        <v>ASU Preparatory Academy</v>
      </c>
      <c r="D193" s="636">
        <f>IFERROR(VLOOKUP($B193,'Afton FY16 Final'!$A$5:$BV$587,'Afton FY16 Final'!AQ$587,0),0)</f>
        <v>116922.34480732246</v>
      </c>
      <c r="E193" s="637">
        <f>IFERROR(VLOOKUP($B193,'Afton FY16 Final'!$A$5:$BV$587,'Afton FY16 Final'!AR$587,0),0)</f>
        <v>22365.901963449465</v>
      </c>
      <c r="F193" s="637">
        <f>IFERROR(VLOOKUP($B193,'Afton FY16 Final'!$A$5:$BV$587,'Afton FY16 Final'!AS$587,0),0)</f>
        <v>58657.779730797716</v>
      </c>
      <c r="G193" s="637">
        <f>IFERROR(VLOOKUP($B193,'Afton FY16 Final'!$A$5:$BV$587,'Afton FY16 Final'!AT$587,0),0)</f>
        <v>55045.901290759168</v>
      </c>
      <c r="H193" s="638">
        <f>IFERROR(VLOOKUP($B193,'Afton FY16 Final'!$A$5:$BV$587,'Afton FY16 Final'!AU$587,0),0)</f>
        <v>252991.92779232882</v>
      </c>
      <c r="I193" s="639" t="str">
        <f>VLOOKUP($B193,'Afton Update'!$A$5:$CR$582,'Afton Update'!BT$589,0)</f>
        <v>Y</v>
      </c>
      <c r="J193" s="640" t="str">
        <f>VLOOKUP($B193,'Afton Update'!$A$5:$CR$582,'Afton Update'!BU$589,0)</f>
        <v>Y</v>
      </c>
      <c r="K193" s="640" t="str">
        <f>VLOOKUP($B193,'Afton Update'!$A$5:$CR$582,'Afton Update'!BV$589,0)</f>
        <v>Y</v>
      </c>
      <c r="L193" s="641" t="str">
        <f>VLOOKUP($B193,'Afton Update'!$A$5:$CR$582,'Afton Update'!BW$589,0)</f>
        <v>Y</v>
      </c>
      <c r="N193" s="642">
        <f>VLOOKUP($B193,'Afton Update'!$A$5:$CR$582,'Afton Update'!CB$589,0)</f>
        <v>0.95</v>
      </c>
      <c r="P193" s="636">
        <f>VLOOKUP($B193,'Afton Update'!$A$5:$CR$582,'Afton Update'!AH$589,0)</f>
        <v>67685.007252011972</v>
      </c>
      <c r="Q193" s="637">
        <f>VLOOKUP($B193,'Afton Update'!$A$5:$CR$582,'Afton Update'!AI$589,0)</f>
        <v>16127.972036222141</v>
      </c>
      <c r="R193" s="637">
        <f>VLOOKUP($B193,'Afton Update'!$A$5:$CR$582,'Afton Update'!AJ$589,0)</f>
        <v>39638.802611458574</v>
      </c>
      <c r="S193" s="637">
        <f>VLOOKUP($B193,'Afton Update'!$A$5:$CR$582,'Afton Update'!AK$589,0)</f>
        <v>36898.518297653551</v>
      </c>
      <c r="T193" s="643">
        <f t="shared" si="268"/>
        <v>160350.30019734625</v>
      </c>
      <c r="V193" s="636">
        <f t="shared" si="316"/>
        <v>111076.22756695632</v>
      </c>
      <c r="W193" s="637">
        <f t="shared" si="317"/>
        <v>21247.60686527699</v>
      </c>
      <c r="X193" s="637">
        <f t="shared" si="318"/>
        <v>55724.890744257827</v>
      </c>
      <c r="Y193" s="637">
        <f t="shared" si="319"/>
        <v>52293.606226221207</v>
      </c>
      <c r="Z193" s="643">
        <f t="shared" si="320"/>
        <v>240342.33140271233</v>
      </c>
      <c r="AB193" s="644">
        <f t="shared" si="269"/>
        <v>67685.007252011972</v>
      </c>
      <c r="AC193" s="645">
        <f t="shared" si="257"/>
        <v>111076.22756695632</v>
      </c>
      <c r="AD193" s="644">
        <f t="shared" si="321"/>
        <v>43391.220314944352</v>
      </c>
      <c r="AE193" s="645">
        <f t="shared" si="322"/>
        <v>0</v>
      </c>
      <c r="AF193" s="646">
        <f t="shared" si="323"/>
        <v>0</v>
      </c>
      <c r="AG193" s="647">
        <f t="shared" si="324"/>
        <v>111076.22756695632</v>
      </c>
      <c r="AH193" s="644">
        <f t="shared" si="270"/>
        <v>0</v>
      </c>
      <c r="AI193" s="645">
        <f t="shared" si="271"/>
        <v>0</v>
      </c>
      <c r="AJ193" s="646">
        <f t="shared" si="325"/>
        <v>0</v>
      </c>
      <c r="AK193" s="647">
        <f t="shared" si="272"/>
        <v>111076.22756695632</v>
      </c>
      <c r="AL193" s="644">
        <f t="shared" si="326"/>
        <v>0</v>
      </c>
      <c r="AM193" s="645">
        <f t="shared" si="327"/>
        <v>0</v>
      </c>
      <c r="AN193" s="646">
        <f t="shared" si="328"/>
        <v>0</v>
      </c>
      <c r="AO193" s="647">
        <f t="shared" si="273"/>
        <v>111076.22756695632</v>
      </c>
      <c r="AP193" s="644">
        <f t="shared" si="329"/>
        <v>0</v>
      </c>
      <c r="AQ193" s="645">
        <f t="shared" si="330"/>
        <v>0</v>
      </c>
      <c r="AR193" s="646">
        <f t="shared" si="331"/>
        <v>0</v>
      </c>
      <c r="AS193" s="647">
        <f t="shared" si="274"/>
        <v>111076.22756695632</v>
      </c>
      <c r="AT193" s="644">
        <f t="shared" si="332"/>
        <v>0</v>
      </c>
      <c r="AU193" s="645">
        <f t="shared" si="333"/>
        <v>0</v>
      </c>
      <c r="AV193" s="646">
        <f t="shared" si="334"/>
        <v>0</v>
      </c>
      <c r="AW193" s="647">
        <f t="shared" si="275"/>
        <v>111076.22756695632</v>
      </c>
      <c r="AY193" s="644">
        <f t="shared" si="335"/>
        <v>16127.972036222141</v>
      </c>
      <c r="AZ193" s="645">
        <f t="shared" si="276"/>
        <v>21247.60686527699</v>
      </c>
      <c r="BA193" s="644">
        <f t="shared" si="336"/>
        <v>5119.6348290548485</v>
      </c>
      <c r="BB193" s="645">
        <f t="shared" si="337"/>
        <v>0</v>
      </c>
      <c r="BC193" s="646">
        <f t="shared" si="338"/>
        <v>0</v>
      </c>
      <c r="BD193" s="647">
        <f t="shared" si="339"/>
        <v>21247.60686527699</v>
      </c>
      <c r="BE193" s="644">
        <f t="shared" si="277"/>
        <v>0</v>
      </c>
      <c r="BF193" s="645">
        <f t="shared" si="278"/>
        <v>0</v>
      </c>
      <c r="BG193" s="646">
        <f t="shared" si="340"/>
        <v>0</v>
      </c>
      <c r="BH193" s="647">
        <f t="shared" si="279"/>
        <v>21247.60686527699</v>
      </c>
      <c r="BI193" s="644">
        <f t="shared" si="341"/>
        <v>0</v>
      </c>
      <c r="BJ193" s="645">
        <f t="shared" si="342"/>
        <v>0</v>
      </c>
      <c r="BK193" s="646">
        <f t="shared" si="343"/>
        <v>0</v>
      </c>
      <c r="BL193" s="647">
        <f t="shared" si="280"/>
        <v>21247.60686527699</v>
      </c>
      <c r="BM193" s="644">
        <f t="shared" si="344"/>
        <v>0</v>
      </c>
      <c r="BN193" s="645">
        <f t="shared" si="345"/>
        <v>0</v>
      </c>
      <c r="BO193" s="646">
        <f t="shared" si="346"/>
        <v>0</v>
      </c>
      <c r="BP193" s="647">
        <f t="shared" si="281"/>
        <v>21247.60686527699</v>
      </c>
      <c r="BQ193" s="644">
        <f t="shared" si="347"/>
        <v>0</v>
      </c>
      <c r="BR193" s="645">
        <f t="shared" si="348"/>
        <v>0</v>
      </c>
      <c r="BS193" s="646">
        <f t="shared" si="349"/>
        <v>0</v>
      </c>
      <c r="BT193" s="647">
        <f t="shared" si="282"/>
        <v>21247.60686527699</v>
      </c>
      <c r="BU193" s="662">
        <f>VLOOKUP(B193,'Afton Update'!$A$5:$AR$582,'Afton Update'!$AO$589,0)-BT193</f>
        <v>0</v>
      </c>
      <c r="BV193" s="644">
        <f t="shared" si="350"/>
        <v>39638.802611458574</v>
      </c>
      <c r="BW193" s="645">
        <f t="shared" si="258"/>
        <v>55724.890744257827</v>
      </c>
      <c r="BX193" s="644">
        <f t="shared" si="351"/>
        <v>16086.088132799254</v>
      </c>
      <c r="BY193" s="645">
        <f t="shared" si="352"/>
        <v>0</v>
      </c>
      <c r="BZ193" s="646">
        <f t="shared" si="353"/>
        <v>0</v>
      </c>
      <c r="CA193" s="647">
        <f t="shared" si="354"/>
        <v>55724.890744257827</v>
      </c>
      <c r="CB193" s="644">
        <f t="shared" si="283"/>
        <v>0</v>
      </c>
      <c r="CC193" s="645">
        <f t="shared" si="284"/>
        <v>0</v>
      </c>
      <c r="CD193" s="646">
        <f t="shared" si="355"/>
        <v>0</v>
      </c>
      <c r="CE193" s="647">
        <f t="shared" si="285"/>
        <v>55724.890744257827</v>
      </c>
      <c r="CF193" s="644">
        <f t="shared" si="356"/>
        <v>0</v>
      </c>
      <c r="CG193" s="645">
        <f t="shared" si="357"/>
        <v>0</v>
      </c>
      <c r="CH193" s="646">
        <f t="shared" si="358"/>
        <v>0</v>
      </c>
      <c r="CI193" s="647">
        <f t="shared" si="286"/>
        <v>55724.890744257827</v>
      </c>
      <c r="CJ193" s="644">
        <f t="shared" si="359"/>
        <v>0</v>
      </c>
      <c r="CK193" s="645">
        <f t="shared" si="360"/>
        <v>0</v>
      </c>
      <c r="CL193" s="646">
        <f t="shared" si="361"/>
        <v>0</v>
      </c>
      <c r="CM193" s="647">
        <f t="shared" si="287"/>
        <v>55724.890744257827</v>
      </c>
      <c r="CN193" s="644">
        <f t="shared" si="362"/>
        <v>0</v>
      </c>
      <c r="CO193" s="645">
        <f t="shared" si="363"/>
        <v>0</v>
      </c>
      <c r="CP193" s="646">
        <f t="shared" si="364"/>
        <v>0</v>
      </c>
      <c r="CQ193" s="647">
        <f t="shared" si="288"/>
        <v>55724.890744257827</v>
      </c>
      <c r="CS193" s="644">
        <f t="shared" si="365"/>
        <v>36898.518297653551</v>
      </c>
      <c r="CT193" s="645">
        <f t="shared" si="259"/>
        <v>52293.606226221207</v>
      </c>
      <c r="CU193" s="644">
        <f t="shared" si="366"/>
        <v>15395.087928567656</v>
      </c>
      <c r="CV193" s="645">
        <f t="shared" si="367"/>
        <v>0</v>
      </c>
      <c r="CW193" s="646">
        <f t="shared" si="368"/>
        <v>0</v>
      </c>
      <c r="CX193" s="647">
        <f t="shared" si="369"/>
        <v>52293.606226221207</v>
      </c>
      <c r="CY193" s="644">
        <f t="shared" si="289"/>
        <v>0</v>
      </c>
      <c r="CZ193" s="645">
        <f t="shared" si="290"/>
        <v>0</v>
      </c>
      <c r="DA193" s="646">
        <f t="shared" si="370"/>
        <v>0</v>
      </c>
      <c r="DB193" s="647">
        <f t="shared" si="291"/>
        <v>52293.606226221207</v>
      </c>
      <c r="DC193" s="644">
        <f t="shared" si="371"/>
        <v>0</v>
      </c>
      <c r="DD193" s="645">
        <f t="shared" si="372"/>
        <v>0</v>
      </c>
      <c r="DE193" s="646">
        <f t="shared" si="373"/>
        <v>0</v>
      </c>
      <c r="DF193" s="647">
        <f t="shared" si="292"/>
        <v>52293.606226221207</v>
      </c>
      <c r="DG193" s="644">
        <f t="shared" si="374"/>
        <v>0</v>
      </c>
      <c r="DH193" s="645">
        <f t="shared" si="375"/>
        <v>0</v>
      </c>
      <c r="DI193" s="646">
        <f t="shared" si="376"/>
        <v>0</v>
      </c>
      <c r="DJ193" s="647">
        <f t="shared" si="293"/>
        <v>52293.606226221207</v>
      </c>
      <c r="DK193" s="644">
        <f t="shared" si="377"/>
        <v>0</v>
      </c>
      <c r="DL193" s="645">
        <f t="shared" si="378"/>
        <v>0</v>
      </c>
      <c r="DM193" s="646">
        <f t="shared" si="379"/>
        <v>0</v>
      </c>
      <c r="DN193" s="647">
        <f t="shared" si="294"/>
        <v>52293.606226221207</v>
      </c>
      <c r="DR193" s="827">
        <f t="shared" si="295"/>
        <v>240342.33140271233</v>
      </c>
      <c r="DV193" s="828">
        <f>IFERROR(VLOOKUP($B193,'Afton FY16 Final'!$A$5:$BV$587,'Afton FY16 Final'!$BV$587,0),0)</f>
        <v>235556.18771308233</v>
      </c>
      <c r="DX193" s="636">
        <f t="shared" si="260"/>
        <v>240342.33140271233</v>
      </c>
      <c r="DY193" s="637">
        <f t="shared" si="261"/>
        <v>4786.1436896300002</v>
      </c>
      <c r="DZ193" s="637">
        <f t="shared" si="262"/>
        <v>235556.18771308233</v>
      </c>
      <c r="EA193" s="643">
        <f t="shared" si="263"/>
        <v>227558.81298496216</v>
      </c>
      <c r="EB193" s="637">
        <f t="shared" si="296"/>
        <v>235556.18771308233</v>
      </c>
      <c r="EC193" s="637">
        <f t="shared" si="297"/>
        <v>0</v>
      </c>
      <c r="ED193" s="637">
        <f t="shared" si="298"/>
        <v>0</v>
      </c>
      <c r="EE193" s="643">
        <f t="shared" si="299"/>
        <v>235556.18771308233</v>
      </c>
      <c r="EF193" s="637">
        <f t="shared" si="300"/>
        <v>0</v>
      </c>
      <c r="EG193" s="637">
        <f t="shared" si="301"/>
        <v>0</v>
      </c>
      <c r="EH193" s="637">
        <f t="shared" si="302"/>
        <v>0</v>
      </c>
      <c r="EI193" s="643">
        <f t="shared" si="303"/>
        <v>235556.18771308233</v>
      </c>
      <c r="EJ193" s="637">
        <f t="shared" si="304"/>
        <v>0</v>
      </c>
      <c r="EK193" s="637">
        <f t="shared" si="305"/>
        <v>0</v>
      </c>
      <c r="EL193" s="637">
        <f t="shared" si="306"/>
        <v>0</v>
      </c>
      <c r="EM193" s="643">
        <f t="shared" si="307"/>
        <v>235556.18771308233</v>
      </c>
      <c r="EN193" s="637">
        <f t="shared" si="308"/>
        <v>0</v>
      </c>
      <c r="EO193" s="637">
        <f t="shared" si="309"/>
        <v>0</v>
      </c>
      <c r="EP193" s="637">
        <f t="shared" si="310"/>
        <v>0</v>
      </c>
      <c r="EQ193" s="643">
        <f t="shared" si="311"/>
        <v>235556.18771308233</v>
      </c>
      <c r="ER193" s="637">
        <f t="shared" si="312"/>
        <v>0</v>
      </c>
      <c r="ES193" s="637">
        <f t="shared" si="313"/>
        <v>0</v>
      </c>
      <c r="ET193" s="637">
        <f t="shared" si="314"/>
        <v>0</v>
      </c>
      <c r="EU193" s="643">
        <f t="shared" si="264"/>
        <v>235556.18771308233</v>
      </c>
      <c r="EV193" s="643">
        <f t="shared" si="265"/>
        <v>0</v>
      </c>
      <c r="EX193" s="829">
        <f t="shared" si="266"/>
        <v>4786.1436896300002</v>
      </c>
      <c r="EY193" s="638">
        <f t="shared" si="267"/>
        <v>235556.18771308233</v>
      </c>
      <c r="FC193" s="830" t="str">
        <f t="shared" si="315"/>
        <v>Y</v>
      </c>
      <c r="FE193" s="830" t="str">
        <f>IFERROR(VLOOKUP($B193,'Historical Conc Grant Elig'!$B$3:$J$707,'HH &amp; SI'!FE$2,0),"N")</f>
        <v>N</v>
      </c>
      <c r="FF193" s="830" t="str">
        <f>IFERROR(VLOOKUP($B193,'Historical Conc Grant Elig'!$B$3:$J$707,'HH &amp; SI'!FF$2,0),"N")</f>
        <v>Y</v>
      </c>
      <c r="FG193" s="830" t="str">
        <f>IFERROR(VLOOKUP($B193,'Historical Conc Grant Elig'!$B$3:$J$707,'HH &amp; SI'!FG$2,0),"N")</f>
        <v>Y</v>
      </c>
      <c r="FH193" s="830" t="str">
        <f>IFERROR(VLOOKUP($B193,'Historical Conc Grant Elig'!$B$3:$J$707,'HH &amp; SI'!FH$2,0),"N")</f>
        <v>Y</v>
      </c>
      <c r="FI193" s="830" t="str">
        <f>IFERROR(VLOOKUP($B193,'Historical Conc Grant Elig'!$B$3:$J$707,'HH &amp; SI'!FI$2,0),"N")</f>
        <v>Y</v>
      </c>
      <c r="FJ193" s="830" t="str">
        <f>IFERROR(VLOOKUP($B193,'Historical Conc Grant Elig'!$B$3:$J$707,'HH &amp; SI'!FJ$2,0),"N")</f>
        <v>Y</v>
      </c>
      <c r="FK193" s="830" t="str">
        <f>IFERROR(VLOOKUP($B193,'Historical Conc Grant Elig'!$B$3:$J$707,'HH &amp; SI'!FK$2,0),"N")</f>
        <v>Y</v>
      </c>
      <c r="FL193" s="957" t="str">
        <f>IFERROR(VLOOKUP($B193,'Historical Conc Grant Elig'!$B$3:$J$707,'HH &amp; SI'!FL$2,0),"N")</f>
        <v>Y</v>
      </c>
    </row>
    <row r="194" spans="2:168" x14ac:dyDescent="0.25">
      <c r="B194" s="634">
        <v>78547000</v>
      </c>
      <c r="C194" s="635" t="str">
        <f>VLOOKUP($B194,'Afton Update'!$A$5:$CR$582,'Afton Update'!D$589,0)</f>
        <v>Imagine Prep Coolidge  Inc.</v>
      </c>
      <c r="D194" s="636">
        <f>IFERROR(VLOOKUP($B194,'Afton FY16 Final'!$A$5:$BV$587,'Afton FY16 Final'!AQ$587,0),0)</f>
        <v>91284.867522783316</v>
      </c>
      <c r="E194" s="637">
        <f>IFERROR(VLOOKUP($B194,'Afton FY16 Final'!$A$5:$BV$587,'Afton FY16 Final'!AR$587,0),0)</f>
        <v>19337.17169956975</v>
      </c>
      <c r="F194" s="637">
        <f>IFERROR(VLOOKUP($B194,'Afton FY16 Final'!$A$5:$BV$587,'Afton FY16 Final'!AS$587,0),0)</f>
        <v>48400.570486524033</v>
      </c>
      <c r="G194" s="637">
        <f>IFERROR(VLOOKUP($B194,'Afton FY16 Final'!$A$5:$BV$587,'Afton FY16 Final'!AT$587,0),0)</f>
        <v>46633.616495976748</v>
      </c>
      <c r="H194" s="638">
        <f>IFERROR(VLOOKUP($B194,'Afton FY16 Final'!$A$5:$BV$587,'Afton FY16 Final'!AU$587,0),0)</f>
        <v>205656.22620485385</v>
      </c>
      <c r="I194" s="639" t="str">
        <f>VLOOKUP($B194,'Afton Update'!$A$5:$CR$582,'Afton Update'!BT$589,0)</f>
        <v>Y</v>
      </c>
      <c r="J194" s="640" t="str">
        <f>VLOOKUP($B194,'Afton Update'!$A$5:$CR$582,'Afton Update'!BU$589,0)</f>
        <v>Y</v>
      </c>
      <c r="K194" s="640" t="str">
        <f>VLOOKUP($B194,'Afton Update'!$A$5:$CR$582,'Afton Update'!BV$589,0)</f>
        <v>Y</v>
      </c>
      <c r="L194" s="641" t="str">
        <f>VLOOKUP($B194,'Afton Update'!$A$5:$CR$582,'Afton Update'!BW$589,0)</f>
        <v>Y</v>
      </c>
      <c r="N194" s="642">
        <f>VLOOKUP($B194,'Afton Update'!$A$5:$CR$582,'Afton Update'!CB$589,0)</f>
        <v>0.95</v>
      </c>
      <c r="P194" s="636">
        <f>VLOOKUP($B194,'Afton Update'!$A$5:$CR$582,'Afton Update'!AH$589,0)</f>
        <v>89688.613849839181</v>
      </c>
      <c r="Q194" s="637">
        <f>VLOOKUP($B194,'Afton Update'!$A$5:$CR$582,'Afton Update'!AI$589,0)</f>
        <v>20678.282495981897</v>
      </c>
      <c r="R194" s="637">
        <f>VLOOKUP($B194,'Afton Update'!$A$5:$CR$582,'Afton Update'!AJ$589,0)</f>
        <v>52516.677172921198</v>
      </c>
      <c r="S194" s="637">
        <f>VLOOKUP($B194,'Afton Update'!$A$5:$CR$582,'Afton Update'!AK$589,0)</f>
        <v>48886.127883106936</v>
      </c>
      <c r="T194" s="643">
        <f t="shared" si="268"/>
        <v>211769.70140184922</v>
      </c>
      <c r="V194" s="636">
        <f t="shared" si="316"/>
        <v>88465.202943307086</v>
      </c>
      <c r="W194" s="637">
        <f t="shared" si="317"/>
        <v>19997.215472334879</v>
      </c>
      <c r="X194" s="637">
        <f t="shared" si="318"/>
        <v>52039.058498394799</v>
      </c>
      <c r="Y194" s="637">
        <f t="shared" si="319"/>
        <v>48347.490753360427</v>
      </c>
      <c r="Z194" s="643">
        <f t="shared" si="320"/>
        <v>208848.96766739717</v>
      </c>
      <c r="AB194" s="644">
        <f t="shared" si="269"/>
        <v>89688.613849839181</v>
      </c>
      <c r="AC194" s="645">
        <f t="shared" si="257"/>
        <v>86720.624146644142</v>
      </c>
      <c r="AD194" s="644">
        <f t="shared" si="321"/>
        <v>0</v>
      </c>
      <c r="AE194" s="645">
        <f t="shared" si="322"/>
        <v>89688.613849839181</v>
      </c>
      <c r="AF194" s="646">
        <f t="shared" si="323"/>
        <v>-1111.7577678679313</v>
      </c>
      <c r="AG194" s="647">
        <f t="shared" si="324"/>
        <v>88576.856081971244</v>
      </c>
      <c r="AH194" s="644">
        <f t="shared" si="270"/>
        <v>0</v>
      </c>
      <c r="AI194" s="645">
        <f t="shared" si="271"/>
        <v>88576.856081971244</v>
      </c>
      <c r="AJ194" s="646">
        <f t="shared" si="325"/>
        <v>-111.58200479245444</v>
      </c>
      <c r="AK194" s="647">
        <f t="shared" si="272"/>
        <v>88465.274077178794</v>
      </c>
      <c r="AL194" s="644">
        <f t="shared" si="326"/>
        <v>0</v>
      </c>
      <c r="AM194" s="645">
        <f t="shared" si="327"/>
        <v>88465.274077178794</v>
      </c>
      <c r="AN194" s="646">
        <f t="shared" si="328"/>
        <v>-7.1133871708461222E-2</v>
      </c>
      <c r="AO194" s="647">
        <f t="shared" si="273"/>
        <v>88465.202943307086</v>
      </c>
      <c r="AP194" s="644">
        <f t="shared" si="329"/>
        <v>0</v>
      </c>
      <c r="AQ194" s="645">
        <f t="shared" si="330"/>
        <v>88465.202943307086</v>
      </c>
      <c r="AR194" s="646">
        <f t="shared" si="331"/>
        <v>0</v>
      </c>
      <c r="AS194" s="647">
        <f t="shared" si="274"/>
        <v>88465.202943307086</v>
      </c>
      <c r="AT194" s="644">
        <f t="shared" si="332"/>
        <v>0</v>
      </c>
      <c r="AU194" s="645">
        <f t="shared" si="333"/>
        <v>88465.202943307086</v>
      </c>
      <c r="AV194" s="646">
        <f t="shared" si="334"/>
        <v>0</v>
      </c>
      <c r="AW194" s="647">
        <f t="shared" si="275"/>
        <v>88465.202943307086</v>
      </c>
      <c r="AY194" s="644">
        <f t="shared" si="335"/>
        <v>20678.282495981897</v>
      </c>
      <c r="AZ194" s="645">
        <f t="shared" si="276"/>
        <v>18370.313114591263</v>
      </c>
      <c r="BA194" s="644">
        <f t="shared" si="336"/>
        <v>0</v>
      </c>
      <c r="BB194" s="645">
        <f t="shared" si="337"/>
        <v>20678.282495981897</v>
      </c>
      <c r="BC194" s="646">
        <f t="shared" si="338"/>
        <v>-148.70355570966026</v>
      </c>
      <c r="BD194" s="647">
        <f t="shared" si="339"/>
        <v>20529.578940272237</v>
      </c>
      <c r="BE194" s="644">
        <f t="shared" si="277"/>
        <v>0</v>
      </c>
      <c r="BF194" s="645">
        <f t="shared" si="278"/>
        <v>20529.578940272237</v>
      </c>
      <c r="BG194" s="646">
        <f t="shared" si="340"/>
        <v>-488.99783995744656</v>
      </c>
      <c r="BH194" s="647">
        <f t="shared" si="279"/>
        <v>20040.58110031479</v>
      </c>
      <c r="BI194" s="644">
        <f t="shared" si="341"/>
        <v>0</v>
      </c>
      <c r="BJ194" s="645">
        <f t="shared" si="342"/>
        <v>20040.58110031479</v>
      </c>
      <c r="BK194" s="646">
        <f t="shared" si="343"/>
        <v>-42.450657742013057</v>
      </c>
      <c r="BL194" s="647">
        <f t="shared" si="280"/>
        <v>19998.130442572776</v>
      </c>
      <c r="BM194" s="644">
        <f t="shared" si="344"/>
        <v>0</v>
      </c>
      <c r="BN194" s="645">
        <f t="shared" si="345"/>
        <v>19998.130442572776</v>
      </c>
      <c r="BO194" s="646">
        <f t="shared" si="346"/>
        <v>-0.91497023789814136</v>
      </c>
      <c r="BP194" s="647">
        <f t="shared" si="281"/>
        <v>19997.215472334879</v>
      </c>
      <c r="BQ194" s="644">
        <f t="shared" si="347"/>
        <v>0</v>
      </c>
      <c r="BR194" s="645">
        <f t="shared" si="348"/>
        <v>19997.215472334879</v>
      </c>
      <c r="BS194" s="646">
        <f t="shared" si="349"/>
        <v>0</v>
      </c>
      <c r="BT194" s="647">
        <f t="shared" si="282"/>
        <v>19997.215472334879</v>
      </c>
      <c r="BU194" s="662">
        <f>VLOOKUP(B194,'Afton Update'!$A$5:$AR$582,'Afton Update'!$AO$589,0)-BT194</f>
        <v>0</v>
      </c>
      <c r="BV194" s="644">
        <f t="shared" si="350"/>
        <v>52516.677172921198</v>
      </c>
      <c r="BW194" s="645">
        <f t="shared" si="258"/>
        <v>45980.541962197829</v>
      </c>
      <c r="BX194" s="644">
        <f t="shared" si="351"/>
        <v>0</v>
      </c>
      <c r="BY194" s="645">
        <f t="shared" si="352"/>
        <v>52516.677172921198</v>
      </c>
      <c r="BZ194" s="646">
        <f t="shared" si="353"/>
        <v>-460.94445905746989</v>
      </c>
      <c r="CA194" s="647">
        <f t="shared" si="354"/>
        <v>52055.732713863727</v>
      </c>
      <c r="CB194" s="644">
        <f t="shared" si="283"/>
        <v>0</v>
      </c>
      <c r="CC194" s="645">
        <f t="shared" si="284"/>
        <v>52055.732713863727</v>
      </c>
      <c r="CD194" s="646">
        <f t="shared" si="355"/>
        <v>-16.67421546892437</v>
      </c>
      <c r="CE194" s="647">
        <f t="shared" si="285"/>
        <v>52039.058498394799</v>
      </c>
      <c r="CF194" s="644">
        <f t="shared" si="356"/>
        <v>0</v>
      </c>
      <c r="CG194" s="645">
        <f t="shared" si="357"/>
        <v>52039.058498394799</v>
      </c>
      <c r="CH194" s="646">
        <f t="shared" si="358"/>
        <v>0</v>
      </c>
      <c r="CI194" s="647">
        <f t="shared" si="286"/>
        <v>52039.058498394799</v>
      </c>
      <c r="CJ194" s="644">
        <f t="shared" si="359"/>
        <v>0</v>
      </c>
      <c r="CK194" s="645">
        <f t="shared" si="360"/>
        <v>52039.058498394799</v>
      </c>
      <c r="CL194" s="646">
        <f t="shared" si="361"/>
        <v>0</v>
      </c>
      <c r="CM194" s="647">
        <f t="shared" si="287"/>
        <v>52039.058498394799</v>
      </c>
      <c r="CN194" s="644">
        <f t="shared" si="362"/>
        <v>0</v>
      </c>
      <c r="CO194" s="645">
        <f t="shared" si="363"/>
        <v>52039.058498394799</v>
      </c>
      <c r="CP194" s="646">
        <f t="shared" si="364"/>
        <v>0</v>
      </c>
      <c r="CQ194" s="647">
        <f t="shared" si="288"/>
        <v>52039.058498394799</v>
      </c>
      <c r="CS194" s="644">
        <f t="shared" si="365"/>
        <v>48886.127883106936</v>
      </c>
      <c r="CT194" s="645">
        <f t="shared" si="259"/>
        <v>44301.935671177911</v>
      </c>
      <c r="CU194" s="644">
        <f t="shared" si="366"/>
        <v>0</v>
      </c>
      <c r="CV194" s="645">
        <f t="shared" si="367"/>
        <v>48886.127883106936</v>
      </c>
      <c r="CW194" s="646">
        <f t="shared" si="368"/>
        <v>-500.62157614818858</v>
      </c>
      <c r="CX194" s="647">
        <f t="shared" si="369"/>
        <v>48385.506306958749</v>
      </c>
      <c r="CY194" s="644">
        <f t="shared" si="289"/>
        <v>0</v>
      </c>
      <c r="CZ194" s="645">
        <f t="shared" si="290"/>
        <v>48385.506306958749</v>
      </c>
      <c r="DA194" s="646">
        <f t="shared" si="370"/>
        <v>-37.982798165747631</v>
      </c>
      <c r="DB194" s="647">
        <f t="shared" si="291"/>
        <v>48347.523508792998</v>
      </c>
      <c r="DC194" s="644">
        <f t="shared" si="371"/>
        <v>0</v>
      </c>
      <c r="DD194" s="645">
        <f t="shared" si="372"/>
        <v>48347.523508792998</v>
      </c>
      <c r="DE194" s="646">
        <f t="shared" si="373"/>
        <v>-3.2755432570402816E-2</v>
      </c>
      <c r="DF194" s="647">
        <f t="shared" si="292"/>
        <v>48347.490753360427</v>
      </c>
      <c r="DG194" s="644">
        <f t="shared" si="374"/>
        <v>0</v>
      </c>
      <c r="DH194" s="645">
        <f t="shared" si="375"/>
        <v>48347.490753360427</v>
      </c>
      <c r="DI194" s="646">
        <f t="shared" si="376"/>
        <v>0</v>
      </c>
      <c r="DJ194" s="647">
        <f t="shared" si="293"/>
        <v>48347.490753360427</v>
      </c>
      <c r="DK194" s="644">
        <f t="shared" si="377"/>
        <v>0</v>
      </c>
      <c r="DL194" s="645">
        <f t="shared" si="378"/>
        <v>48347.490753360427</v>
      </c>
      <c r="DM194" s="646">
        <f t="shared" si="379"/>
        <v>0</v>
      </c>
      <c r="DN194" s="647">
        <f t="shared" si="294"/>
        <v>48347.490753360427</v>
      </c>
      <c r="DR194" s="827">
        <f t="shared" si="295"/>
        <v>208848.96766739717</v>
      </c>
      <c r="DV194" s="828">
        <f>IFERROR(VLOOKUP($B194,'Afton FY16 Final'!$A$5:$BV$587,'Afton FY16 Final'!$BV$587,0),0)</f>
        <v>198377.64387772942</v>
      </c>
      <c r="DX194" s="636">
        <f t="shared" si="260"/>
        <v>208848.96766739717</v>
      </c>
      <c r="DY194" s="637">
        <f t="shared" si="261"/>
        <v>10471.323789667746</v>
      </c>
      <c r="DZ194" s="637">
        <f t="shared" si="262"/>
        <v>198377.64387772942</v>
      </c>
      <c r="EA194" s="643">
        <f t="shared" si="263"/>
        <v>197740.54324161101</v>
      </c>
      <c r="EB194" s="637">
        <f t="shared" si="296"/>
        <v>198377.64387772942</v>
      </c>
      <c r="EC194" s="637">
        <f t="shared" si="297"/>
        <v>0</v>
      </c>
      <c r="ED194" s="637">
        <f t="shared" si="298"/>
        <v>0</v>
      </c>
      <c r="EE194" s="643">
        <f t="shared" si="299"/>
        <v>198377.64387772942</v>
      </c>
      <c r="EF194" s="637">
        <f t="shared" si="300"/>
        <v>0</v>
      </c>
      <c r="EG194" s="637">
        <f t="shared" si="301"/>
        <v>0</v>
      </c>
      <c r="EH194" s="637">
        <f t="shared" si="302"/>
        <v>0</v>
      </c>
      <c r="EI194" s="643">
        <f t="shared" si="303"/>
        <v>198377.64387772942</v>
      </c>
      <c r="EJ194" s="637">
        <f t="shared" si="304"/>
        <v>0</v>
      </c>
      <c r="EK194" s="637">
        <f t="shared" si="305"/>
        <v>0</v>
      </c>
      <c r="EL194" s="637">
        <f t="shared" si="306"/>
        <v>0</v>
      </c>
      <c r="EM194" s="643">
        <f t="shared" si="307"/>
        <v>198377.64387772942</v>
      </c>
      <c r="EN194" s="637">
        <f t="shared" si="308"/>
        <v>0</v>
      </c>
      <c r="EO194" s="637">
        <f t="shared" si="309"/>
        <v>0</v>
      </c>
      <c r="EP194" s="637">
        <f t="shared" si="310"/>
        <v>0</v>
      </c>
      <c r="EQ194" s="643">
        <f t="shared" si="311"/>
        <v>198377.64387772942</v>
      </c>
      <c r="ER194" s="637">
        <f t="shared" si="312"/>
        <v>0</v>
      </c>
      <c r="ES194" s="637">
        <f t="shared" si="313"/>
        <v>0</v>
      </c>
      <c r="ET194" s="637">
        <f t="shared" si="314"/>
        <v>0</v>
      </c>
      <c r="EU194" s="643">
        <f t="shared" si="264"/>
        <v>198377.64387772942</v>
      </c>
      <c r="EV194" s="643">
        <f t="shared" si="265"/>
        <v>0</v>
      </c>
      <c r="EX194" s="829">
        <f t="shared" si="266"/>
        <v>10471.323789667746</v>
      </c>
      <c r="EY194" s="638">
        <f t="shared" si="267"/>
        <v>198377.64387772942</v>
      </c>
      <c r="FC194" s="830" t="str">
        <f t="shared" si="315"/>
        <v>Y</v>
      </c>
      <c r="FE194" s="830" t="str">
        <f>IFERROR(VLOOKUP($B194,'Historical Conc Grant Elig'!$B$3:$J$707,'HH &amp; SI'!FE$2,0),"N")</f>
        <v>Y</v>
      </c>
      <c r="FF194" s="830" t="str">
        <f>IFERROR(VLOOKUP($B194,'Historical Conc Grant Elig'!$B$3:$J$707,'HH &amp; SI'!FF$2,0),"N")</f>
        <v>Y</v>
      </c>
      <c r="FG194" s="830" t="str">
        <f>IFERROR(VLOOKUP($B194,'Historical Conc Grant Elig'!$B$3:$J$707,'HH &amp; SI'!FG$2,0),"N")</f>
        <v>Y</v>
      </c>
      <c r="FH194" s="830" t="str">
        <f>IFERROR(VLOOKUP($B194,'Historical Conc Grant Elig'!$B$3:$J$707,'HH &amp; SI'!FH$2,0),"N")</f>
        <v>Y</v>
      </c>
      <c r="FI194" s="830" t="str">
        <f>IFERROR(VLOOKUP($B194,'Historical Conc Grant Elig'!$B$3:$J$707,'HH &amp; SI'!FI$2,0),"N")</f>
        <v>Y</v>
      </c>
      <c r="FJ194" s="830" t="str">
        <f>IFERROR(VLOOKUP($B194,'Historical Conc Grant Elig'!$B$3:$J$707,'HH &amp; SI'!FJ$2,0),"N")</f>
        <v>Y</v>
      </c>
      <c r="FK194" s="830" t="str">
        <f>IFERROR(VLOOKUP($B194,'Historical Conc Grant Elig'!$B$3:$J$707,'HH &amp; SI'!FK$2,0),"N")</f>
        <v>Y</v>
      </c>
      <c r="FL194" s="957" t="str">
        <f>IFERROR(VLOOKUP($B194,'Historical Conc Grant Elig'!$B$3:$J$707,'HH &amp; SI'!FL$2,0),"N")</f>
        <v>Y</v>
      </c>
    </row>
    <row r="195" spans="2:168" x14ac:dyDescent="0.25">
      <c r="B195" s="634">
        <v>78548000</v>
      </c>
      <c r="C195" s="635" t="str">
        <f>VLOOKUP($B195,'Afton Update'!$A$5:$CR$582,'Afton Update'!D$589,0)</f>
        <v>West Valley Arts and Technology Academy  Inc.</v>
      </c>
      <c r="D195" s="636">
        <f>IFERROR(VLOOKUP($B195,'Afton FY16 Final'!$A$5:$BV$587,'Afton FY16 Final'!AQ$587,0),0)</f>
        <v>78976.47639736472</v>
      </c>
      <c r="E195" s="637">
        <f>IFERROR(VLOOKUP($B195,'Afton FY16 Final'!$A$5:$BV$587,'Afton FY16 Final'!AR$587,0),0)</f>
        <v>17943.694235985509</v>
      </c>
      <c r="F195" s="637">
        <f>IFERROR(VLOOKUP($B195,'Afton FY16 Final'!$A$5:$BV$587,'Afton FY16 Final'!AS$587,0),0)</f>
        <v>42861.461441859203</v>
      </c>
      <c r="G195" s="637">
        <f>IFERROR(VLOOKUP($B195,'Afton FY16 Final'!$A$5:$BV$587,'Afton FY16 Final'!AT$587,0),0)</f>
        <v>35988.984415615487</v>
      </c>
      <c r="H195" s="638">
        <f>IFERROR(VLOOKUP($B195,'Afton FY16 Final'!$A$5:$BV$587,'Afton FY16 Final'!AU$587,0),0)</f>
        <v>175770.6164908249</v>
      </c>
      <c r="I195" s="639" t="str">
        <f>VLOOKUP($B195,'Afton Update'!$A$5:$CR$582,'Afton Update'!BT$589,0)</f>
        <v>Y</v>
      </c>
      <c r="J195" s="640" t="str">
        <f>VLOOKUP($B195,'Afton Update'!$A$5:$CR$582,'Afton Update'!BU$589,0)</f>
        <v>Y</v>
      </c>
      <c r="K195" s="640" t="str">
        <f>VLOOKUP($B195,'Afton Update'!$A$5:$CR$582,'Afton Update'!BV$589,0)</f>
        <v>Y</v>
      </c>
      <c r="L195" s="641" t="str">
        <f>VLOOKUP($B195,'Afton Update'!$A$5:$CR$582,'Afton Update'!BW$589,0)</f>
        <v>Y</v>
      </c>
      <c r="N195" s="642">
        <f>VLOOKUP($B195,'Afton Update'!$A$5:$CR$582,'Afton Update'!CB$589,0)</f>
        <v>0.95</v>
      </c>
      <c r="P195" s="636">
        <f>VLOOKUP($B195,'Afton Update'!$A$5:$CR$582,'Afton Update'!AH$589,0)</f>
        <v>69837.533984408117</v>
      </c>
      <c r="Q195" s="637">
        <f>VLOOKUP($B195,'Afton Update'!$A$5:$CR$582,'Afton Update'!AI$589,0)</f>
        <v>16573.111102937772</v>
      </c>
      <c r="R195" s="637">
        <f>VLOOKUP($B195,'Afton Update'!$A$5:$CR$582,'Afton Update'!AJ$589,0)</f>
        <v>40898.594688123398</v>
      </c>
      <c r="S195" s="637">
        <f>VLOOKUP($B195,'Afton Update'!$A$5:$CR$582,'Afton Update'!AK$589,0)</f>
        <v>38071.219235360943</v>
      </c>
      <c r="T195" s="643">
        <f t="shared" si="268"/>
        <v>165380.45901083021</v>
      </c>
      <c r="V195" s="636">
        <f t="shared" si="316"/>
        <v>75027.652577496483</v>
      </c>
      <c r="W195" s="637">
        <f t="shared" si="317"/>
        <v>17046.509524186233</v>
      </c>
      <c r="X195" s="637">
        <f t="shared" si="318"/>
        <v>40718.388369766239</v>
      </c>
      <c r="Y195" s="637">
        <f t="shared" si="319"/>
        <v>37651.74293108259</v>
      </c>
      <c r="Z195" s="643">
        <f t="shared" si="320"/>
        <v>170444.29340253153</v>
      </c>
      <c r="AB195" s="644">
        <f t="shared" si="269"/>
        <v>69837.533984408117</v>
      </c>
      <c r="AC195" s="645">
        <f t="shared" si="257"/>
        <v>75027.652577496483</v>
      </c>
      <c r="AD195" s="644">
        <f t="shared" si="321"/>
        <v>5190.1185930883657</v>
      </c>
      <c r="AE195" s="645">
        <f t="shared" si="322"/>
        <v>0</v>
      </c>
      <c r="AF195" s="646">
        <f t="shared" si="323"/>
        <v>0</v>
      </c>
      <c r="AG195" s="647">
        <f t="shared" si="324"/>
        <v>75027.652577496483</v>
      </c>
      <c r="AH195" s="644">
        <f t="shared" si="270"/>
        <v>0</v>
      </c>
      <c r="AI195" s="645">
        <f t="shared" si="271"/>
        <v>0</v>
      </c>
      <c r="AJ195" s="646">
        <f t="shared" si="325"/>
        <v>0</v>
      </c>
      <c r="AK195" s="647">
        <f t="shared" si="272"/>
        <v>75027.652577496483</v>
      </c>
      <c r="AL195" s="644">
        <f t="shared" si="326"/>
        <v>0</v>
      </c>
      <c r="AM195" s="645">
        <f t="shared" si="327"/>
        <v>0</v>
      </c>
      <c r="AN195" s="646">
        <f t="shared" si="328"/>
        <v>0</v>
      </c>
      <c r="AO195" s="647">
        <f t="shared" si="273"/>
        <v>75027.652577496483</v>
      </c>
      <c r="AP195" s="644">
        <f t="shared" si="329"/>
        <v>0</v>
      </c>
      <c r="AQ195" s="645">
        <f t="shared" si="330"/>
        <v>0</v>
      </c>
      <c r="AR195" s="646">
        <f t="shared" si="331"/>
        <v>0</v>
      </c>
      <c r="AS195" s="647">
        <f t="shared" si="274"/>
        <v>75027.652577496483</v>
      </c>
      <c r="AT195" s="644">
        <f t="shared" si="332"/>
        <v>0</v>
      </c>
      <c r="AU195" s="645">
        <f t="shared" si="333"/>
        <v>0</v>
      </c>
      <c r="AV195" s="646">
        <f t="shared" si="334"/>
        <v>0</v>
      </c>
      <c r="AW195" s="647">
        <f t="shared" si="275"/>
        <v>75027.652577496483</v>
      </c>
      <c r="AY195" s="644">
        <f t="shared" si="335"/>
        <v>16573.111102937772</v>
      </c>
      <c r="AZ195" s="645">
        <f t="shared" si="276"/>
        <v>17046.509524186233</v>
      </c>
      <c r="BA195" s="644">
        <f t="shared" si="336"/>
        <v>473.39842124846109</v>
      </c>
      <c r="BB195" s="645">
        <f t="shared" si="337"/>
        <v>0</v>
      </c>
      <c r="BC195" s="646">
        <f t="shared" si="338"/>
        <v>0</v>
      </c>
      <c r="BD195" s="647">
        <f t="shared" si="339"/>
        <v>17046.509524186233</v>
      </c>
      <c r="BE195" s="644">
        <f t="shared" si="277"/>
        <v>0</v>
      </c>
      <c r="BF195" s="645">
        <f t="shared" si="278"/>
        <v>0</v>
      </c>
      <c r="BG195" s="646">
        <f t="shared" si="340"/>
        <v>0</v>
      </c>
      <c r="BH195" s="647">
        <f t="shared" si="279"/>
        <v>17046.509524186233</v>
      </c>
      <c r="BI195" s="644">
        <f t="shared" si="341"/>
        <v>0</v>
      </c>
      <c r="BJ195" s="645">
        <f t="shared" si="342"/>
        <v>0</v>
      </c>
      <c r="BK195" s="646">
        <f t="shared" si="343"/>
        <v>0</v>
      </c>
      <c r="BL195" s="647">
        <f t="shared" si="280"/>
        <v>17046.509524186233</v>
      </c>
      <c r="BM195" s="644">
        <f t="shared" si="344"/>
        <v>0</v>
      </c>
      <c r="BN195" s="645">
        <f t="shared" si="345"/>
        <v>0</v>
      </c>
      <c r="BO195" s="646">
        <f t="shared" si="346"/>
        <v>0</v>
      </c>
      <c r="BP195" s="647">
        <f t="shared" si="281"/>
        <v>17046.509524186233</v>
      </c>
      <c r="BQ195" s="644">
        <f t="shared" si="347"/>
        <v>0</v>
      </c>
      <c r="BR195" s="645">
        <f t="shared" si="348"/>
        <v>0</v>
      </c>
      <c r="BS195" s="646">
        <f t="shared" si="349"/>
        <v>0</v>
      </c>
      <c r="BT195" s="647">
        <f t="shared" si="282"/>
        <v>17046.509524186233</v>
      </c>
      <c r="BU195" s="662">
        <f>VLOOKUP(B195,'Afton Update'!$A$5:$AR$582,'Afton Update'!$AO$589,0)-BT195</f>
        <v>0</v>
      </c>
      <c r="BV195" s="644">
        <f t="shared" si="350"/>
        <v>40898.594688123398</v>
      </c>
      <c r="BW195" s="645">
        <f t="shared" si="258"/>
        <v>40718.388369766239</v>
      </c>
      <c r="BX195" s="644">
        <f t="shared" si="351"/>
        <v>0</v>
      </c>
      <c r="BY195" s="645">
        <f t="shared" si="352"/>
        <v>40898.594688123398</v>
      </c>
      <c r="BZ195" s="646">
        <f t="shared" si="353"/>
        <v>-358.9713138676691</v>
      </c>
      <c r="CA195" s="647">
        <f t="shared" si="354"/>
        <v>40539.623374255731</v>
      </c>
      <c r="CB195" s="644">
        <f t="shared" si="283"/>
        <v>-178.76499551050802</v>
      </c>
      <c r="CC195" s="645">
        <f t="shared" si="284"/>
        <v>0</v>
      </c>
      <c r="CD195" s="646">
        <f t="shared" si="355"/>
        <v>0</v>
      </c>
      <c r="CE195" s="647">
        <f t="shared" si="285"/>
        <v>40718.388369766239</v>
      </c>
      <c r="CF195" s="644">
        <f t="shared" si="356"/>
        <v>0</v>
      </c>
      <c r="CG195" s="645">
        <f t="shared" si="357"/>
        <v>0</v>
      </c>
      <c r="CH195" s="646">
        <f t="shared" si="358"/>
        <v>0</v>
      </c>
      <c r="CI195" s="647">
        <f t="shared" si="286"/>
        <v>40718.388369766239</v>
      </c>
      <c r="CJ195" s="644">
        <f t="shared" si="359"/>
        <v>0</v>
      </c>
      <c r="CK195" s="645">
        <f t="shared" si="360"/>
        <v>0</v>
      </c>
      <c r="CL195" s="646">
        <f t="shared" si="361"/>
        <v>0</v>
      </c>
      <c r="CM195" s="647">
        <f t="shared" si="287"/>
        <v>40718.388369766239</v>
      </c>
      <c r="CN195" s="644">
        <f t="shared" si="362"/>
        <v>0</v>
      </c>
      <c r="CO195" s="645">
        <f t="shared" si="363"/>
        <v>0</v>
      </c>
      <c r="CP195" s="646">
        <f t="shared" si="364"/>
        <v>0</v>
      </c>
      <c r="CQ195" s="647">
        <f t="shared" si="288"/>
        <v>40718.388369766239</v>
      </c>
      <c r="CS195" s="644">
        <f t="shared" si="365"/>
        <v>38071.219235360943</v>
      </c>
      <c r="CT195" s="645">
        <f t="shared" si="259"/>
        <v>34189.535194834709</v>
      </c>
      <c r="CU195" s="644">
        <f t="shared" si="366"/>
        <v>0</v>
      </c>
      <c r="CV195" s="645">
        <f t="shared" si="367"/>
        <v>38071.219235360943</v>
      </c>
      <c r="CW195" s="646">
        <f t="shared" si="368"/>
        <v>-389.8707998527276</v>
      </c>
      <c r="CX195" s="647">
        <f t="shared" si="369"/>
        <v>37681.348435508218</v>
      </c>
      <c r="CY195" s="644">
        <f t="shared" si="289"/>
        <v>0</v>
      </c>
      <c r="CZ195" s="645">
        <f t="shared" si="290"/>
        <v>37681.348435508218</v>
      </c>
      <c r="DA195" s="646">
        <f t="shared" si="370"/>
        <v>-29.579995363886049</v>
      </c>
      <c r="DB195" s="647">
        <f t="shared" si="291"/>
        <v>37651.768440144333</v>
      </c>
      <c r="DC195" s="644">
        <f t="shared" si="371"/>
        <v>0</v>
      </c>
      <c r="DD195" s="645">
        <f t="shared" si="372"/>
        <v>37651.768440144333</v>
      </c>
      <c r="DE195" s="646">
        <f t="shared" si="373"/>
        <v>-2.550906174280607E-2</v>
      </c>
      <c r="DF195" s="647">
        <f t="shared" si="292"/>
        <v>37651.74293108259</v>
      </c>
      <c r="DG195" s="644">
        <f t="shared" si="374"/>
        <v>0</v>
      </c>
      <c r="DH195" s="645">
        <f t="shared" si="375"/>
        <v>37651.74293108259</v>
      </c>
      <c r="DI195" s="646">
        <f t="shared" si="376"/>
        <v>0</v>
      </c>
      <c r="DJ195" s="647">
        <f t="shared" si="293"/>
        <v>37651.74293108259</v>
      </c>
      <c r="DK195" s="644">
        <f t="shared" si="377"/>
        <v>0</v>
      </c>
      <c r="DL195" s="645">
        <f t="shared" si="378"/>
        <v>37651.74293108259</v>
      </c>
      <c r="DM195" s="646">
        <f t="shared" si="379"/>
        <v>0</v>
      </c>
      <c r="DN195" s="647">
        <f t="shared" si="294"/>
        <v>37651.74293108259</v>
      </c>
      <c r="DR195" s="827">
        <f t="shared" si="295"/>
        <v>170444.29340253153</v>
      </c>
      <c r="DV195" s="828">
        <f>IFERROR(VLOOKUP($B195,'Afton FY16 Final'!$A$5:$BV$587,'Afton FY16 Final'!$BV$587,0),0)</f>
        <v>156054.4931085709</v>
      </c>
      <c r="DX195" s="636">
        <f t="shared" si="260"/>
        <v>170444.29340253153</v>
      </c>
      <c r="DY195" s="637">
        <f t="shared" si="261"/>
        <v>14389.800293960638</v>
      </c>
      <c r="DZ195" s="637">
        <f t="shared" si="262"/>
        <v>156054.4931085709</v>
      </c>
      <c r="EA195" s="643">
        <f t="shared" si="263"/>
        <v>161378.56723105322</v>
      </c>
      <c r="EB195" s="637">
        <f t="shared" si="296"/>
        <v>0</v>
      </c>
      <c r="EC195" s="637">
        <f t="shared" si="297"/>
        <v>161378.56723105322</v>
      </c>
      <c r="ED195" s="637">
        <f t="shared" si="298"/>
        <v>160897.3459791175</v>
      </c>
      <c r="EE195" s="643">
        <f t="shared" si="299"/>
        <v>160897.3459791175</v>
      </c>
      <c r="EF195" s="637">
        <f t="shared" si="300"/>
        <v>0</v>
      </c>
      <c r="EG195" s="637">
        <f t="shared" si="301"/>
        <v>160897.3459791175</v>
      </c>
      <c r="EH195" s="637">
        <f t="shared" si="302"/>
        <v>160897.17998760595</v>
      </c>
      <c r="EI195" s="643">
        <f t="shared" si="303"/>
        <v>160897.17998760595</v>
      </c>
      <c r="EJ195" s="637">
        <f t="shared" si="304"/>
        <v>0</v>
      </c>
      <c r="EK195" s="637">
        <f t="shared" si="305"/>
        <v>160897.17998760595</v>
      </c>
      <c r="EL195" s="637">
        <f t="shared" si="306"/>
        <v>160897.17998760572</v>
      </c>
      <c r="EM195" s="643">
        <f t="shared" si="307"/>
        <v>160897.17998760572</v>
      </c>
      <c r="EN195" s="637">
        <f t="shared" si="308"/>
        <v>0</v>
      </c>
      <c r="EO195" s="637">
        <f t="shared" si="309"/>
        <v>160897.17998760572</v>
      </c>
      <c r="EP195" s="637">
        <f t="shared" si="310"/>
        <v>160897.17998760595</v>
      </c>
      <c r="EQ195" s="643">
        <f t="shared" si="311"/>
        <v>160897.17998760595</v>
      </c>
      <c r="ER195" s="637">
        <f t="shared" si="312"/>
        <v>0</v>
      </c>
      <c r="ES195" s="637">
        <f t="shared" si="313"/>
        <v>160897.17998760595</v>
      </c>
      <c r="ET195" s="637">
        <f t="shared" si="314"/>
        <v>160897.17998760572</v>
      </c>
      <c r="EU195" s="643">
        <f t="shared" si="264"/>
        <v>160897.17998760572</v>
      </c>
      <c r="EV195" s="643">
        <f t="shared" si="265"/>
        <v>0</v>
      </c>
      <c r="EX195" s="829">
        <f t="shared" si="266"/>
        <v>9547.1134149258141</v>
      </c>
      <c r="EY195" s="638">
        <f t="shared" si="267"/>
        <v>160897.17998760572</v>
      </c>
      <c r="FC195" s="830" t="str">
        <f t="shared" si="315"/>
        <v>Y</v>
      </c>
      <c r="FE195" s="830" t="str">
        <f>IFERROR(VLOOKUP($B195,'Historical Conc Grant Elig'!$B$3:$J$707,'HH &amp; SI'!FE$2,0),"N")</f>
        <v>Y</v>
      </c>
      <c r="FF195" s="830" t="str">
        <f>IFERROR(VLOOKUP($B195,'Historical Conc Grant Elig'!$B$3:$J$707,'HH &amp; SI'!FF$2,0),"N")</f>
        <v>Y</v>
      </c>
      <c r="FG195" s="830" t="str">
        <f>IFERROR(VLOOKUP($B195,'Historical Conc Grant Elig'!$B$3:$J$707,'HH &amp; SI'!FG$2,0),"N")</f>
        <v>Y</v>
      </c>
      <c r="FH195" s="830" t="str">
        <f>IFERROR(VLOOKUP($B195,'Historical Conc Grant Elig'!$B$3:$J$707,'HH &amp; SI'!FH$2,0),"N")</f>
        <v>Y</v>
      </c>
      <c r="FI195" s="830" t="str">
        <f>IFERROR(VLOOKUP($B195,'Historical Conc Grant Elig'!$B$3:$J$707,'HH &amp; SI'!FI$2,0),"N")</f>
        <v>Y</v>
      </c>
      <c r="FJ195" s="830" t="str">
        <f>IFERROR(VLOOKUP($B195,'Historical Conc Grant Elig'!$B$3:$J$707,'HH &amp; SI'!FJ$2,0),"N")</f>
        <v>Y</v>
      </c>
      <c r="FK195" s="830" t="str">
        <f>IFERROR(VLOOKUP($B195,'Historical Conc Grant Elig'!$B$3:$J$707,'HH &amp; SI'!FK$2,0),"N")</f>
        <v>Y</v>
      </c>
      <c r="FL195" s="957" t="str">
        <f>IFERROR(VLOOKUP($B195,'Historical Conc Grant Elig'!$B$3:$J$707,'HH &amp; SI'!FL$2,0),"N")</f>
        <v>Y</v>
      </c>
    </row>
    <row r="196" spans="2:168" x14ac:dyDescent="0.25">
      <c r="B196" s="634">
        <v>78550000</v>
      </c>
      <c r="C196" s="635" t="str">
        <f>VLOOKUP($B196,'Afton Update'!$A$5:$CR$582,'Afton Update'!D$589,0)</f>
        <v>Challenge Foundation Academies of Arizona  Inc.</v>
      </c>
      <c r="D196" s="636">
        <f>IFERROR(VLOOKUP($B196,'Afton FY16 Final'!$A$5:$BV$587,'Afton FY16 Final'!AQ$587,0),0)</f>
        <v>138728.34491716779</v>
      </c>
      <c r="E196" s="637">
        <f>IFERROR(VLOOKUP($B196,'Afton FY16 Final'!$A$5:$BV$587,'Afton FY16 Final'!AR$587,0),0)</f>
        <v>29015.2570596808</v>
      </c>
      <c r="F196" s="637">
        <f>IFERROR(VLOOKUP($B196,'Afton FY16 Final'!$A$5:$BV$587,'Afton FY16 Final'!AS$587,0),0)</f>
        <v>73555.795378312308</v>
      </c>
      <c r="G196" s="637">
        <f>IFERROR(VLOOKUP($B196,'Afton FY16 Final'!$A$5:$BV$587,'Afton FY16 Final'!AT$587,0),0)</f>
        <v>70870.502521944538</v>
      </c>
      <c r="H196" s="638">
        <f>IFERROR(VLOOKUP($B196,'Afton FY16 Final'!$A$5:$BV$587,'Afton FY16 Final'!AU$587,0),0)</f>
        <v>312169.89987710543</v>
      </c>
      <c r="I196" s="639" t="str">
        <f>VLOOKUP($B196,'Afton Update'!$A$5:$CR$582,'Afton Update'!BT$589,0)</f>
        <v>Y</v>
      </c>
      <c r="J196" s="640" t="str">
        <f>VLOOKUP($B196,'Afton Update'!$A$5:$CR$582,'Afton Update'!BU$589,0)</f>
        <v>Y</v>
      </c>
      <c r="K196" s="640" t="str">
        <f>VLOOKUP($B196,'Afton Update'!$A$5:$CR$582,'Afton Update'!BV$589,0)</f>
        <v>Y</v>
      </c>
      <c r="L196" s="641" t="str">
        <f>VLOOKUP($B196,'Afton Update'!$A$5:$CR$582,'Afton Update'!BW$589,0)</f>
        <v>Y</v>
      </c>
      <c r="N196" s="642">
        <f>VLOOKUP($B196,'Afton Update'!$A$5:$CR$582,'Afton Update'!CB$589,0)</f>
        <v>0.95</v>
      </c>
      <c r="P196" s="636">
        <f>VLOOKUP($B196,'Afton Update'!$A$5:$CR$582,'Afton Update'!AH$589,0)</f>
        <v>148763.51417226659</v>
      </c>
      <c r="Q196" s="637">
        <f>VLOOKUP($B196,'Afton Update'!$A$5:$CR$582,'Afton Update'!AI$589,0)</f>
        <v>32894.876882510813</v>
      </c>
      <c r="R196" s="637">
        <f>VLOOKUP($B196,'Afton Update'!$A$5:$CR$582,'Afton Update'!AJ$589,0)</f>
        <v>87090.970832500214</v>
      </c>
      <c r="S196" s="637">
        <f>VLOOKUP($B196,'Afton Update'!$A$5:$CR$582,'Afton Update'!AK$589,0)</f>
        <v>81070.253617965485</v>
      </c>
      <c r="T196" s="643">
        <f t="shared" si="268"/>
        <v>349819.61550524313</v>
      </c>
      <c r="V196" s="636">
        <f t="shared" si="316"/>
        <v>146734.28328196536</v>
      </c>
      <c r="W196" s="637">
        <f t="shared" si="317"/>
        <v>31811.439904804367</v>
      </c>
      <c r="X196" s="637">
        <f t="shared" si="318"/>
        <v>86298.912456162507</v>
      </c>
      <c r="Y196" s="637">
        <f t="shared" si="319"/>
        <v>80177.005357006536</v>
      </c>
      <c r="Z196" s="643">
        <f t="shared" si="320"/>
        <v>345021.64099993883</v>
      </c>
      <c r="AB196" s="644">
        <f t="shared" si="269"/>
        <v>148763.51417226659</v>
      </c>
      <c r="AC196" s="645">
        <f t="shared" si="257"/>
        <v>131791.92767130939</v>
      </c>
      <c r="AD196" s="644">
        <f t="shared" si="321"/>
        <v>0</v>
      </c>
      <c r="AE196" s="645">
        <f t="shared" si="322"/>
        <v>148763.51417226659</v>
      </c>
      <c r="AF196" s="646">
        <f t="shared" si="323"/>
        <v>-1844.0355509702754</v>
      </c>
      <c r="AG196" s="647">
        <f t="shared" si="324"/>
        <v>146919.47862129632</v>
      </c>
      <c r="AH196" s="644">
        <f t="shared" si="270"/>
        <v>0</v>
      </c>
      <c r="AI196" s="645">
        <f t="shared" si="271"/>
        <v>146919.47862129632</v>
      </c>
      <c r="AJ196" s="646">
        <f t="shared" si="325"/>
        <v>-185.07735194908446</v>
      </c>
      <c r="AK196" s="647">
        <f t="shared" si="272"/>
        <v>146734.40126934723</v>
      </c>
      <c r="AL196" s="644">
        <f t="shared" si="326"/>
        <v>0</v>
      </c>
      <c r="AM196" s="645">
        <f t="shared" si="327"/>
        <v>146734.40126934723</v>
      </c>
      <c r="AN196" s="646">
        <f t="shared" si="328"/>
        <v>-0.11798738187376767</v>
      </c>
      <c r="AO196" s="647">
        <f t="shared" si="273"/>
        <v>146734.28328196536</v>
      </c>
      <c r="AP196" s="644">
        <f t="shared" si="329"/>
        <v>0</v>
      </c>
      <c r="AQ196" s="645">
        <f t="shared" si="330"/>
        <v>146734.28328196536</v>
      </c>
      <c r="AR196" s="646">
        <f t="shared" si="331"/>
        <v>0</v>
      </c>
      <c r="AS196" s="647">
        <f t="shared" si="274"/>
        <v>146734.28328196536</v>
      </c>
      <c r="AT196" s="644">
        <f t="shared" si="332"/>
        <v>0</v>
      </c>
      <c r="AU196" s="645">
        <f t="shared" si="333"/>
        <v>146734.28328196536</v>
      </c>
      <c r="AV196" s="646">
        <f t="shared" si="334"/>
        <v>0</v>
      </c>
      <c r="AW196" s="647">
        <f t="shared" si="275"/>
        <v>146734.28328196536</v>
      </c>
      <c r="AY196" s="644">
        <f t="shared" si="335"/>
        <v>32894.876882510813</v>
      </c>
      <c r="AZ196" s="645">
        <f t="shared" si="276"/>
        <v>27564.49420669676</v>
      </c>
      <c r="BA196" s="644">
        <f t="shared" si="336"/>
        <v>0</v>
      </c>
      <c r="BB196" s="645">
        <f t="shared" si="337"/>
        <v>32894.876882510813</v>
      </c>
      <c r="BC196" s="646">
        <f t="shared" si="338"/>
        <v>-236.5566462307192</v>
      </c>
      <c r="BD196" s="647">
        <f t="shared" si="339"/>
        <v>32658.320236280095</v>
      </c>
      <c r="BE196" s="644">
        <f t="shared" si="277"/>
        <v>0</v>
      </c>
      <c r="BF196" s="645">
        <f t="shared" si="278"/>
        <v>32658.320236280095</v>
      </c>
      <c r="BG196" s="646">
        <f t="shared" si="340"/>
        <v>-777.89457341728405</v>
      </c>
      <c r="BH196" s="647">
        <f t="shared" si="279"/>
        <v>31880.42566286281</v>
      </c>
      <c r="BI196" s="644">
        <f t="shared" si="341"/>
        <v>0</v>
      </c>
      <c r="BJ196" s="645">
        <f t="shared" si="342"/>
        <v>31880.42566286281</v>
      </c>
      <c r="BK196" s="646">
        <f t="shared" si="343"/>
        <v>-67.530229373569455</v>
      </c>
      <c r="BL196" s="647">
        <f t="shared" si="280"/>
        <v>31812.895433489241</v>
      </c>
      <c r="BM196" s="644">
        <f t="shared" si="344"/>
        <v>0</v>
      </c>
      <c r="BN196" s="645">
        <f t="shared" si="345"/>
        <v>31812.895433489241</v>
      </c>
      <c r="BO196" s="646">
        <f t="shared" si="346"/>
        <v>-1.4555286848735842</v>
      </c>
      <c r="BP196" s="647">
        <f t="shared" si="281"/>
        <v>31811.439904804367</v>
      </c>
      <c r="BQ196" s="644">
        <f t="shared" si="347"/>
        <v>0</v>
      </c>
      <c r="BR196" s="645">
        <f t="shared" si="348"/>
        <v>31811.439904804367</v>
      </c>
      <c r="BS196" s="646">
        <f t="shared" si="349"/>
        <v>0</v>
      </c>
      <c r="BT196" s="647">
        <f t="shared" si="282"/>
        <v>31811.439904804367</v>
      </c>
      <c r="BU196" s="662">
        <f>VLOOKUP(B196,'Afton Update'!$A$5:$AR$582,'Afton Update'!$AO$589,0)-BT196</f>
        <v>0</v>
      </c>
      <c r="BV196" s="644">
        <f t="shared" si="350"/>
        <v>87090.970832500214</v>
      </c>
      <c r="BW196" s="645">
        <f t="shared" si="258"/>
        <v>69878.005609396685</v>
      </c>
      <c r="BX196" s="644">
        <f t="shared" si="351"/>
        <v>0</v>
      </c>
      <c r="BY196" s="645">
        <f t="shared" si="352"/>
        <v>87090.970832500214</v>
      </c>
      <c r="BZ196" s="646">
        <f t="shared" si="353"/>
        <v>-764.40671040543123</v>
      </c>
      <c r="CA196" s="647">
        <f t="shared" si="354"/>
        <v>86326.564122094787</v>
      </c>
      <c r="CB196" s="644">
        <f t="shared" si="283"/>
        <v>0</v>
      </c>
      <c r="CC196" s="645">
        <f t="shared" si="284"/>
        <v>86326.564122094787</v>
      </c>
      <c r="CD196" s="646">
        <f t="shared" si="355"/>
        <v>-27.651665932278178</v>
      </c>
      <c r="CE196" s="647">
        <f t="shared" si="285"/>
        <v>86298.912456162507</v>
      </c>
      <c r="CF196" s="644">
        <f t="shared" si="356"/>
        <v>0</v>
      </c>
      <c r="CG196" s="645">
        <f t="shared" si="357"/>
        <v>86298.912456162507</v>
      </c>
      <c r="CH196" s="646">
        <f t="shared" si="358"/>
        <v>0</v>
      </c>
      <c r="CI196" s="647">
        <f t="shared" si="286"/>
        <v>86298.912456162507</v>
      </c>
      <c r="CJ196" s="644">
        <f t="shared" si="359"/>
        <v>0</v>
      </c>
      <c r="CK196" s="645">
        <f t="shared" si="360"/>
        <v>86298.912456162507</v>
      </c>
      <c r="CL196" s="646">
        <f t="shared" si="361"/>
        <v>0</v>
      </c>
      <c r="CM196" s="647">
        <f t="shared" si="287"/>
        <v>86298.912456162507</v>
      </c>
      <c r="CN196" s="644">
        <f t="shared" si="362"/>
        <v>0</v>
      </c>
      <c r="CO196" s="645">
        <f t="shared" si="363"/>
        <v>86298.912456162507</v>
      </c>
      <c r="CP196" s="646">
        <f t="shared" si="364"/>
        <v>0</v>
      </c>
      <c r="CQ196" s="647">
        <f t="shared" si="288"/>
        <v>86298.912456162507</v>
      </c>
      <c r="CS196" s="644">
        <f t="shared" si="365"/>
        <v>81070.253617965485</v>
      </c>
      <c r="CT196" s="645">
        <f t="shared" si="259"/>
        <v>67326.977395847309</v>
      </c>
      <c r="CU196" s="644">
        <f t="shared" si="366"/>
        <v>0</v>
      </c>
      <c r="CV196" s="645">
        <f t="shared" si="367"/>
        <v>81070.253617965485</v>
      </c>
      <c r="CW196" s="646">
        <f t="shared" si="368"/>
        <v>-830.20521162986154</v>
      </c>
      <c r="CX196" s="647">
        <f t="shared" si="369"/>
        <v>80240.048406335627</v>
      </c>
      <c r="CY196" s="644">
        <f t="shared" si="289"/>
        <v>0</v>
      </c>
      <c r="CZ196" s="645">
        <f t="shared" si="290"/>
        <v>80240.048406335627</v>
      </c>
      <c r="DA196" s="646">
        <f t="shared" si="370"/>
        <v>-62.988729395383906</v>
      </c>
      <c r="DB196" s="647">
        <f t="shared" si="291"/>
        <v>80177.059676940247</v>
      </c>
      <c r="DC196" s="644">
        <f t="shared" si="371"/>
        <v>0</v>
      </c>
      <c r="DD196" s="645">
        <f t="shared" si="372"/>
        <v>80177.059676940247</v>
      </c>
      <c r="DE196" s="646">
        <f t="shared" si="373"/>
        <v>-5.4319933707949776E-2</v>
      </c>
      <c r="DF196" s="647">
        <f t="shared" si="292"/>
        <v>80177.005357006536</v>
      </c>
      <c r="DG196" s="644">
        <f t="shared" si="374"/>
        <v>0</v>
      </c>
      <c r="DH196" s="645">
        <f t="shared" si="375"/>
        <v>80177.005357006536</v>
      </c>
      <c r="DI196" s="646">
        <f t="shared" si="376"/>
        <v>0</v>
      </c>
      <c r="DJ196" s="647">
        <f t="shared" si="293"/>
        <v>80177.005357006536</v>
      </c>
      <c r="DK196" s="644">
        <f t="shared" si="377"/>
        <v>0</v>
      </c>
      <c r="DL196" s="645">
        <f t="shared" si="378"/>
        <v>80177.005357006536</v>
      </c>
      <c r="DM196" s="646">
        <f t="shared" si="379"/>
        <v>0</v>
      </c>
      <c r="DN196" s="647">
        <f t="shared" si="294"/>
        <v>80177.005357006536</v>
      </c>
      <c r="DR196" s="827">
        <f t="shared" si="295"/>
        <v>345021.64099993883</v>
      </c>
      <c r="DV196" s="828">
        <f>IFERROR(VLOOKUP($B196,'Afton FY16 Final'!$A$5:$BV$587,'Afton FY16 Final'!$BV$587,0),0)</f>
        <v>301121.58707746072</v>
      </c>
      <c r="DX196" s="636">
        <f t="shared" si="260"/>
        <v>345021.64099993883</v>
      </c>
      <c r="DY196" s="637">
        <f t="shared" si="261"/>
        <v>43900.05392247811</v>
      </c>
      <c r="DZ196" s="637">
        <f t="shared" si="262"/>
        <v>301121.58707746072</v>
      </c>
      <c r="EA196" s="643">
        <f t="shared" si="263"/>
        <v>326670.35649461037</v>
      </c>
      <c r="EB196" s="637">
        <f t="shared" si="296"/>
        <v>0</v>
      </c>
      <c r="EC196" s="637">
        <f t="shared" si="297"/>
        <v>326670.35649461037</v>
      </c>
      <c r="ED196" s="637">
        <f t="shared" si="298"/>
        <v>325696.24499628763</v>
      </c>
      <c r="EE196" s="643">
        <f t="shared" si="299"/>
        <v>325696.24499628763</v>
      </c>
      <c r="EF196" s="637">
        <f t="shared" si="300"/>
        <v>0</v>
      </c>
      <c r="EG196" s="637">
        <f t="shared" si="301"/>
        <v>325696.24499628763</v>
      </c>
      <c r="EH196" s="637">
        <f t="shared" si="302"/>
        <v>325695.90898818453</v>
      </c>
      <c r="EI196" s="643">
        <f t="shared" si="303"/>
        <v>325695.90898818453</v>
      </c>
      <c r="EJ196" s="637">
        <f t="shared" si="304"/>
        <v>0</v>
      </c>
      <c r="EK196" s="637">
        <f t="shared" si="305"/>
        <v>325695.90898818453</v>
      </c>
      <c r="EL196" s="637">
        <f t="shared" si="306"/>
        <v>325695.90898818406</v>
      </c>
      <c r="EM196" s="643">
        <f t="shared" si="307"/>
        <v>325695.90898818406</v>
      </c>
      <c r="EN196" s="637">
        <f t="shared" si="308"/>
        <v>0</v>
      </c>
      <c r="EO196" s="637">
        <f t="shared" si="309"/>
        <v>325695.90898818406</v>
      </c>
      <c r="EP196" s="637">
        <f t="shared" si="310"/>
        <v>325695.90898818459</v>
      </c>
      <c r="EQ196" s="643">
        <f t="shared" si="311"/>
        <v>325695.90898818459</v>
      </c>
      <c r="ER196" s="637">
        <f t="shared" si="312"/>
        <v>0</v>
      </c>
      <c r="ES196" s="637">
        <f t="shared" si="313"/>
        <v>325695.90898818459</v>
      </c>
      <c r="ET196" s="637">
        <f t="shared" si="314"/>
        <v>325695.90898818406</v>
      </c>
      <c r="EU196" s="643">
        <f t="shared" si="264"/>
        <v>325695.90898818406</v>
      </c>
      <c r="EV196" s="643">
        <f t="shared" si="265"/>
        <v>0</v>
      </c>
      <c r="EX196" s="829">
        <f t="shared" si="266"/>
        <v>19325.732011754764</v>
      </c>
      <c r="EY196" s="638">
        <f t="shared" si="267"/>
        <v>325695.90898818406</v>
      </c>
      <c r="FC196" s="830" t="str">
        <f t="shared" si="315"/>
        <v>Y</v>
      </c>
      <c r="FE196" s="830" t="str">
        <f>IFERROR(VLOOKUP($B196,'Historical Conc Grant Elig'!$B$3:$J$707,'HH &amp; SI'!FE$2,0),"N")</f>
        <v>N</v>
      </c>
      <c r="FF196" s="830" t="str">
        <f>IFERROR(VLOOKUP($B196,'Historical Conc Grant Elig'!$B$3:$J$707,'HH &amp; SI'!FF$2,0),"N")</f>
        <v>N</v>
      </c>
      <c r="FG196" s="830" t="str">
        <f>IFERROR(VLOOKUP($B196,'Historical Conc Grant Elig'!$B$3:$J$707,'HH &amp; SI'!FG$2,0),"N")</f>
        <v>Y</v>
      </c>
      <c r="FH196" s="830" t="str">
        <f>IFERROR(VLOOKUP($B196,'Historical Conc Grant Elig'!$B$3:$J$707,'HH &amp; SI'!FH$2,0),"N")</f>
        <v>Y</v>
      </c>
      <c r="FI196" s="830" t="str">
        <f>IFERROR(VLOOKUP($B196,'Historical Conc Grant Elig'!$B$3:$J$707,'HH &amp; SI'!FI$2,0),"N")</f>
        <v>Y</v>
      </c>
      <c r="FJ196" s="830" t="str">
        <f>IFERROR(VLOOKUP($B196,'Historical Conc Grant Elig'!$B$3:$J$707,'HH &amp; SI'!FJ$2,0),"N")</f>
        <v>Y</v>
      </c>
      <c r="FK196" s="830" t="str">
        <f>IFERROR(VLOOKUP($B196,'Historical Conc Grant Elig'!$B$3:$J$707,'HH &amp; SI'!FK$2,0),"N")</f>
        <v>Y</v>
      </c>
      <c r="FL196" s="957" t="str">
        <f>IFERROR(VLOOKUP($B196,'Historical Conc Grant Elig'!$B$3:$J$707,'HH &amp; SI'!FL$2,0),"N")</f>
        <v>Y</v>
      </c>
    </row>
    <row r="197" spans="2:168" s="686" customFormat="1" x14ac:dyDescent="0.25">
      <c r="B197" s="663">
        <v>78550001</v>
      </c>
      <c r="C197" s="664" t="str">
        <f>VLOOKUP($B197,'Afton Update'!$A$5:$CR$582,'Afton Update'!D$589,0)</f>
        <v>Pioneer Preparatory School</v>
      </c>
      <c r="D197" s="687">
        <f>IFERROR(VLOOKUP($B197,'Afton FY16 Final'!$A$5:$BV$587,'Afton FY16 Final'!AQ$587,0),0)</f>
        <v>0</v>
      </c>
      <c r="E197" s="688">
        <f>IFERROR(VLOOKUP($B197,'Afton FY16 Final'!$A$5:$BV$587,'Afton FY16 Final'!AR$587,0),0)</f>
        <v>0</v>
      </c>
      <c r="F197" s="688">
        <f>IFERROR(VLOOKUP($B197,'Afton FY16 Final'!$A$5:$BV$587,'Afton FY16 Final'!AS$587,0),0)</f>
        <v>0</v>
      </c>
      <c r="G197" s="688">
        <f>IFERROR(VLOOKUP($B197,'Afton FY16 Final'!$A$5:$BV$587,'Afton FY16 Final'!AT$587,0),0)</f>
        <v>0</v>
      </c>
      <c r="H197" s="689">
        <f>IFERROR(VLOOKUP($B197,'Afton FY16 Final'!$A$5:$BV$587,'Afton FY16 Final'!AU$587,0),0)</f>
        <v>0</v>
      </c>
      <c r="I197" s="690" t="str">
        <f>VLOOKUP($B197,'Afton Update'!$A$5:$CR$582,'Afton Update'!BT$589,0)</f>
        <v>N</v>
      </c>
      <c r="J197" s="691" t="str">
        <f>VLOOKUP($B197,'Afton Update'!$A$5:$CR$582,'Afton Update'!BU$589,0)</f>
        <v>N</v>
      </c>
      <c r="K197" s="691" t="str">
        <f>VLOOKUP($B197,'Afton Update'!$A$5:$CR$582,'Afton Update'!BV$589,0)</f>
        <v>N</v>
      </c>
      <c r="L197" s="692" t="str">
        <f>VLOOKUP($B197,'Afton Update'!$A$5:$CR$582,'Afton Update'!BW$589,0)</f>
        <v>N</v>
      </c>
      <c r="N197" s="693">
        <f>VLOOKUP($B197,'Afton Update'!$A$5:$CR$582,'Afton Update'!CB$589,0)</f>
        <v>0.85</v>
      </c>
      <c r="P197" s="687" t="str">
        <f>VLOOKUP($B197,'Afton Update'!$A$5:$CR$582,'Afton Update'!AH$589,0)</f>
        <v/>
      </c>
      <c r="Q197" s="688" t="str">
        <f>VLOOKUP($B197,'Afton Update'!$A$5:$CR$582,'Afton Update'!AI$589,0)</f>
        <v/>
      </c>
      <c r="R197" s="688" t="str">
        <f>VLOOKUP($B197,'Afton Update'!$A$5:$CR$582,'Afton Update'!AJ$589,0)</f>
        <v/>
      </c>
      <c r="S197" s="688" t="str">
        <f>VLOOKUP($B197,'Afton Update'!$A$5:$CR$582,'Afton Update'!AK$589,0)</f>
        <v/>
      </c>
      <c r="T197" s="694">
        <f t="shared" ref="T197" si="380">SUM(P197:S197)</f>
        <v>0</v>
      </c>
      <c r="V197" s="687">
        <f t="shared" ref="V197" si="381">AW197</f>
        <v>0</v>
      </c>
      <c r="W197" s="688">
        <f t="shared" ref="W197" si="382">BT197</f>
        <v>0</v>
      </c>
      <c r="X197" s="688">
        <f t="shared" ref="X197" si="383">CQ197</f>
        <v>0</v>
      </c>
      <c r="Y197" s="688">
        <f t="shared" ref="Y197" si="384">DN197</f>
        <v>0</v>
      </c>
      <c r="Z197" s="694">
        <f t="shared" ref="Z197" si="385">SUM(V197:Y197)</f>
        <v>0</v>
      </c>
      <c r="AB197" s="695">
        <f t="shared" ref="AB197" si="386">IF(P197="",0,P197)</f>
        <v>0</v>
      </c>
      <c r="AC197" s="696">
        <f t="shared" ref="AC197" si="387">IF(I197="N",0,D197*$N197)</f>
        <v>0</v>
      </c>
      <c r="AD197" s="695">
        <f t="shared" ref="AD197" si="388">IF($I197="N",0,MAX(AC197-AB197,0))</f>
        <v>0</v>
      </c>
      <c r="AE197" s="696">
        <f t="shared" ref="AE197" si="389">IF(AD197=0,AB197,0)</f>
        <v>0</v>
      </c>
      <c r="AF197" s="697">
        <f t="shared" ref="AF197" si="390">-IF(AD197=0,((AE197/AE$2)*AD$2),0)</f>
        <v>0</v>
      </c>
      <c r="AG197" s="698">
        <f t="shared" ref="AG197" si="391">IF(AD197=0,AE197+AF197,AD197+AB197)</f>
        <v>0</v>
      </c>
      <c r="AH197" s="695">
        <f t="shared" ref="AH197" si="392">IF(AG197-AC197&lt;0,AG197-AC197,0)</f>
        <v>0</v>
      </c>
      <c r="AI197" s="696">
        <f t="shared" ref="AI197" si="393">IF(AND(AH197=0,AD197=0),AG197,0)</f>
        <v>0</v>
      </c>
      <c r="AJ197" s="697">
        <f t="shared" ref="AJ197" si="394">IF(AND(AH197=0,AD197=0),((AI197/AI$2))*AH$2,0)</f>
        <v>0</v>
      </c>
      <c r="AK197" s="698">
        <f t="shared" ref="AK197" si="395">AG197-AH197+AJ197</f>
        <v>0</v>
      </c>
      <c r="AL197" s="695">
        <f t="shared" ref="AL197" si="396">IF(AK197-AC197&lt;0,AK197-AC197,0)</f>
        <v>0</v>
      </c>
      <c r="AM197" s="696">
        <f t="shared" ref="AM197" si="397">IF(AND(AH197=0,AD197=0,AL197=0),AK197,0)</f>
        <v>0</v>
      </c>
      <c r="AN197" s="697">
        <f t="shared" ref="AN197" si="398">IF(AND(AL197=0,AH197=0,AD197=0),((AM197/AM$2))*AL$2,0)</f>
        <v>0</v>
      </c>
      <c r="AO197" s="698">
        <f t="shared" ref="AO197" si="399">AK197-AL197+AN197</f>
        <v>0</v>
      </c>
      <c r="AP197" s="695">
        <f t="shared" ref="AP197" si="400">IF(AO197-AC197&lt;0,AO197-AC197,0)</f>
        <v>0</v>
      </c>
      <c r="AQ197" s="696">
        <f t="shared" ref="AQ197" si="401">IF(AND(AH197=0,AD197=0,AL197=0,AP197=0),AO197,0)</f>
        <v>0</v>
      </c>
      <c r="AR197" s="697">
        <f t="shared" ref="AR197" si="402">IF(AND(AP197=0,AL197=0,AH197=0,AD197=0),((AQ197/AQ$2))*AP$2,0)</f>
        <v>0</v>
      </c>
      <c r="AS197" s="698">
        <f t="shared" ref="AS197" si="403">AO197-AP197+AR197</f>
        <v>0</v>
      </c>
      <c r="AT197" s="695">
        <f t="shared" ref="AT197" si="404">IF(AS197-AC197&lt;0,AS197-AC197,0)</f>
        <v>0</v>
      </c>
      <c r="AU197" s="696">
        <f t="shared" ref="AU197" si="405">IF(AND(AP197=0,AL197=0,AT197=0,AD197=0,AH197=0),AS197,0)</f>
        <v>0</v>
      </c>
      <c r="AV197" s="697">
        <f t="shared" ref="AV197" si="406">IF(AND(AT197=0,AP197=0,AL197=0),((AU197/AU$2))*AT$2,0)</f>
        <v>0</v>
      </c>
      <c r="AW197" s="698">
        <f t="shared" ref="AW197" si="407">AS197-AT197+AV197</f>
        <v>0</v>
      </c>
      <c r="AY197" s="695">
        <f t="shared" ref="AY197" si="408">IF(Q197="",0,Q197)</f>
        <v>0</v>
      </c>
      <c r="AZ197" s="696">
        <f t="shared" si="276"/>
        <v>0</v>
      </c>
      <c r="BA197" s="695">
        <f t="shared" ref="BA197" si="409">IF($J197="N",0,MAX(AZ197-AY197,0))</f>
        <v>0</v>
      </c>
      <c r="BB197" s="696">
        <f t="shared" ref="BB197" si="410">IF(BA197=0,AY197,0)</f>
        <v>0</v>
      </c>
      <c r="BC197" s="697">
        <f t="shared" ref="BC197" si="411">-IF(BA197=0,((BB197/BB$2)*BA$2),0)</f>
        <v>0</v>
      </c>
      <c r="BD197" s="698">
        <f t="shared" ref="BD197" si="412">IF(BA197=0,BB197+BC197,BA197+AY197)</f>
        <v>0</v>
      </c>
      <c r="BE197" s="695">
        <f t="shared" ref="BE197" si="413">IF(BD197-AZ197&lt;0,BD197-AZ197,0)</f>
        <v>0</v>
      </c>
      <c r="BF197" s="696">
        <f t="shared" ref="BF197" si="414">IF(AND(BE197=0,BA197=0),BD197,0)</f>
        <v>0</v>
      </c>
      <c r="BG197" s="697">
        <f t="shared" ref="BG197" si="415">IF(AND(BE197=0,BA197=0),((BF197/BF$2))*BE$2,0)</f>
        <v>0</v>
      </c>
      <c r="BH197" s="698">
        <f t="shared" ref="BH197" si="416">BD197-BE197+BG197</f>
        <v>0</v>
      </c>
      <c r="BI197" s="695">
        <f t="shared" ref="BI197" si="417">IF(BH197-AZ197&lt;0,BH197-AZ197,0)</f>
        <v>0</v>
      </c>
      <c r="BJ197" s="696">
        <f t="shared" ref="BJ197" si="418">IF(AND(BE197=0,BA197=0,BI197=0),BH197,0)</f>
        <v>0</v>
      </c>
      <c r="BK197" s="697">
        <f t="shared" ref="BK197" si="419">IF(AND(BI197=0,BE197=0,BA197=0),((BJ197/BJ$2))*BI$2,0)</f>
        <v>0</v>
      </c>
      <c r="BL197" s="698">
        <f t="shared" ref="BL197" si="420">BH197-BI197+BK197</f>
        <v>0</v>
      </c>
      <c r="BM197" s="695">
        <f t="shared" ref="BM197" si="421">IF(BL197-AZ197&lt;0,BL197-AZ197,0)</f>
        <v>0</v>
      </c>
      <c r="BN197" s="696">
        <f t="shared" ref="BN197" si="422">IF(AND(BE197=0,BA197=0,BI197=0,BM197=0),BL197,0)</f>
        <v>0</v>
      </c>
      <c r="BO197" s="697">
        <f t="shared" ref="BO197" si="423">IF(AND(BM197=0,BI197=0,BE197=0,BA197=0),((BN197/BN$2))*BM$2,0)</f>
        <v>0</v>
      </c>
      <c r="BP197" s="698">
        <f t="shared" ref="BP197" si="424">BL197-BM197+BO197</f>
        <v>0</v>
      </c>
      <c r="BQ197" s="695">
        <f t="shared" ref="BQ197" si="425">IF(BP197-AZ197&lt;0,BP197-AZ197,0)</f>
        <v>0</v>
      </c>
      <c r="BR197" s="696">
        <f t="shared" ref="BR197" si="426">IF(AND(BM197=0,BI197=0,BQ197=0,BA197=0,BE197=0),BP197,0)</f>
        <v>0</v>
      </c>
      <c r="BS197" s="697">
        <f t="shared" ref="BS197" si="427">IF(AND(BQ197=0,BM197=0,BI197=0),((BR197/BR$2))*BQ$2,0)</f>
        <v>0</v>
      </c>
      <c r="BT197" s="698">
        <f t="shared" ref="BT197" si="428">BP197-BQ197+BS197</f>
        <v>0</v>
      </c>
      <c r="BU197" s="662">
        <f>VLOOKUP(B197,'Afton Update'!$A$5:$AR$582,'Afton Update'!$AO$589,0)-BT197</f>
        <v>0</v>
      </c>
      <c r="BV197" s="695">
        <f t="shared" ref="BV197" si="429">IF(R197="",0,R197)</f>
        <v>0</v>
      </c>
      <c r="BW197" s="696">
        <f t="shared" ref="BW197" si="430">IF($K197="N",0,F197*$N197)</f>
        <v>0</v>
      </c>
      <c r="BX197" s="695">
        <f t="shared" ref="BX197" si="431">IF($K197="N",0,MAX(BW197-BV197,0))</f>
        <v>0</v>
      </c>
      <c r="BY197" s="696">
        <f t="shared" ref="BY197" si="432">IF(BX197=0,BV197,0)</f>
        <v>0</v>
      </c>
      <c r="BZ197" s="697">
        <f t="shared" ref="BZ197" si="433">-IF(BX197=0,((BY197/BY$2)*BX$2),0)</f>
        <v>0</v>
      </c>
      <c r="CA197" s="698">
        <f t="shared" ref="CA197" si="434">IF(BX197=0,BY197+BZ197,BX197+BV197)</f>
        <v>0</v>
      </c>
      <c r="CB197" s="695">
        <f t="shared" ref="CB197" si="435">IF(CA197-BW197&lt;0,CA197-BW197,0)</f>
        <v>0</v>
      </c>
      <c r="CC197" s="696">
        <f t="shared" ref="CC197" si="436">IF(AND(CB197=0,BX197=0),CA197,0)</f>
        <v>0</v>
      </c>
      <c r="CD197" s="697">
        <f t="shared" ref="CD197" si="437">IF(AND(CB197=0,BX197=0),((CC197/CC$2))*CB$2,0)</f>
        <v>0</v>
      </c>
      <c r="CE197" s="698">
        <f t="shared" ref="CE197" si="438">CA197-CB197+CD197</f>
        <v>0</v>
      </c>
      <c r="CF197" s="695">
        <f t="shared" ref="CF197" si="439">IF(CE197-BW197&lt;0,CE197-BW197,0)</f>
        <v>0</v>
      </c>
      <c r="CG197" s="696">
        <f t="shared" ref="CG197" si="440">IF(AND(CB197=0,BX197=0,CF197=0),CE197,0)</f>
        <v>0</v>
      </c>
      <c r="CH197" s="697">
        <f t="shared" ref="CH197" si="441">IF(AND(CF197=0,CB197=0,BX197=0),((CG197/CG$2))*CF$2,0)</f>
        <v>0</v>
      </c>
      <c r="CI197" s="698">
        <f t="shared" ref="CI197" si="442">CE197-CF197+CH197</f>
        <v>0</v>
      </c>
      <c r="CJ197" s="695">
        <f t="shared" ref="CJ197" si="443">IF(CI197-BW197&lt;0,CI197-BW197,0)</f>
        <v>0</v>
      </c>
      <c r="CK197" s="696">
        <f t="shared" ref="CK197" si="444">IF(AND(CB197=0,BX197=0,CF197=0,CJ197=0),CI197,0)</f>
        <v>0</v>
      </c>
      <c r="CL197" s="697">
        <f t="shared" ref="CL197" si="445">IF(AND(CJ197=0,CF197=0,CB197=0,BX197=0),((CK197/CK$2))*CJ$2,0)</f>
        <v>0</v>
      </c>
      <c r="CM197" s="698">
        <f t="shared" ref="CM197" si="446">CI197-CJ197+CL197</f>
        <v>0</v>
      </c>
      <c r="CN197" s="695">
        <f t="shared" ref="CN197" si="447">IF(CM197-BW197&lt;0,CM197-BW197,0)</f>
        <v>0</v>
      </c>
      <c r="CO197" s="696">
        <f t="shared" ref="CO197" si="448">IF(AND(CJ197=0,CF197=0,CN197=0,BX197=0,CB197=0),CM197,0)</f>
        <v>0</v>
      </c>
      <c r="CP197" s="697">
        <f t="shared" ref="CP197" si="449">IF(AND(CN197=0,CJ197=0,CF197=0),((CO197/CO$2))*CN$2,0)</f>
        <v>0</v>
      </c>
      <c r="CQ197" s="698">
        <f t="shared" ref="CQ197" si="450">CM197-CN197+CP197</f>
        <v>0</v>
      </c>
      <c r="CS197" s="695">
        <f t="shared" ref="CS197" si="451">IF(S197="",0,S197)</f>
        <v>0</v>
      </c>
      <c r="CT197" s="696">
        <f t="shared" ref="CT197" si="452">IF($L197="N",0,G197*$N197)</f>
        <v>0</v>
      </c>
      <c r="CU197" s="695">
        <f t="shared" ref="CU197" si="453">IF($L197="N",0,MAX(CT197-CS197,0))</f>
        <v>0</v>
      </c>
      <c r="CV197" s="696">
        <f t="shared" ref="CV197" si="454">IF(CU197=0,CS197,0)</f>
        <v>0</v>
      </c>
      <c r="CW197" s="697">
        <f t="shared" ref="CW197" si="455">-IF(CU197=0,((CV197/CV$2)*CU$2),0)</f>
        <v>0</v>
      </c>
      <c r="CX197" s="698">
        <f t="shared" ref="CX197" si="456">IF(CU197=0,CV197+CW197,CU197+CS197)</f>
        <v>0</v>
      </c>
      <c r="CY197" s="695">
        <f t="shared" ref="CY197" si="457">IF(CX197-CT197&lt;0,CX197-CT197,0)</f>
        <v>0</v>
      </c>
      <c r="CZ197" s="696">
        <f t="shared" ref="CZ197" si="458">IF(AND(CY197=0,CU197=0),CX197,0)</f>
        <v>0</v>
      </c>
      <c r="DA197" s="697">
        <f t="shared" ref="DA197" si="459">IF(AND(CY197=0,CU197=0),((CZ197/CZ$2))*CY$2,0)</f>
        <v>0</v>
      </c>
      <c r="DB197" s="698">
        <f t="shared" ref="DB197" si="460">CX197-CY197+DA197</f>
        <v>0</v>
      </c>
      <c r="DC197" s="695">
        <f t="shared" ref="DC197" si="461">IF(DB197-CT197&lt;0,DB197-CT197,0)</f>
        <v>0</v>
      </c>
      <c r="DD197" s="696">
        <f t="shared" ref="DD197" si="462">IF(AND(CY197=0,CU197=0,DC197=0),DB197,0)</f>
        <v>0</v>
      </c>
      <c r="DE197" s="697">
        <f t="shared" ref="DE197" si="463">IF(AND(DC197=0,CY197=0,CU197=0),((DD197/DD$2))*DC$2,0)</f>
        <v>0</v>
      </c>
      <c r="DF197" s="698">
        <f t="shared" ref="DF197" si="464">DB197-DC197+DE197</f>
        <v>0</v>
      </c>
      <c r="DG197" s="695">
        <f t="shared" ref="DG197" si="465">IF(DF197-CT197&lt;0,DF197-CT197,0)</f>
        <v>0</v>
      </c>
      <c r="DH197" s="696">
        <f t="shared" ref="DH197" si="466">IF(AND(CY197=0,CU197=0,DC197=0,DG197=0),DF197,0)</f>
        <v>0</v>
      </c>
      <c r="DI197" s="697">
        <f t="shared" ref="DI197" si="467">IF(AND(DG197=0,DC197=0,CY197=0,CU197=0),((DH197/DH$2))*DG$2,0)</f>
        <v>0</v>
      </c>
      <c r="DJ197" s="698">
        <f t="shared" ref="DJ197" si="468">DF197-DG197+DI197</f>
        <v>0</v>
      </c>
      <c r="DK197" s="695">
        <f t="shared" ref="DK197" si="469">IF(DJ197-CT197&lt;0,DJ197-CT197,0)</f>
        <v>0</v>
      </c>
      <c r="DL197" s="696">
        <f t="shared" ref="DL197" si="470">IF(AND(DG197=0,DC197=0,DK197=0,CU197=0,CY197=0),DJ197,0)</f>
        <v>0</v>
      </c>
      <c r="DM197" s="697">
        <f t="shared" ref="DM197" si="471">IF(AND(DK197=0,DG197=0,DC197=0),((DL197/DL$2))*DK$2,0)</f>
        <v>0</v>
      </c>
      <c r="DN197" s="698">
        <f t="shared" ref="DN197" si="472">DJ197-DK197+DM197</f>
        <v>0</v>
      </c>
      <c r="DO197" s="6"/>
      <c r="DP197" s="807"/>
      <c r="DQ197" s="6"/>
      <c r="DR197" s="827">
        <f t="shared" si="295"/>
        <v>0</v>
      </c>
      <c r="DS197" s="6"/>
      <c r="DT197" s="6"/>
      <c r="DU197" s="6"/>
      <c r="DV197" s="828">
        <f>IFERROR(VLOOKUP($B197,'Afton FY16 Final'!$A$5:$BV$587,'Afton FY16 Final'!$BV$587,0),0)</f>
        <v>0</v>
      </c>
      <c r="DW197" s="6"/>
      <c r="DX197" s="636">
        <f t="shared" ref="DX197:DX262" si="473">IF(DR197&gt;DV197,DR197,0)</f>
        <v>0</v>
      </c>
      <c r="DY197" s="637">
        <f t="shared" ref="DY197:DY262" si="474">IF(DX197&gt;0,DX197-DV197,0)</f>
        <v>0</v>
      </c>
      <c r="DZ197" s="637">
        <f t="shared" ref="DZ197:DZ262" si="475">IF(DX197=0,0,DV197)</f>
        <v>0</v>
      </c>
      <c r="EA197" s="643">
        <f t="shared" ref="EA197:EA262" si="476">DX197/$DX$2*$EA$2</f>
        <v>0</v>
      </c>
      <c r="EB197" s="637">
        <f t="shared" si="296"/>
        <v>0</v>
      </c>
      <c r="EC197" s="637">
        <f t="shared" si="297"/>
        <v>0</v>
      </c>
      <c r="ED197" s="637">
        <f t="shared" si="298"/>
        <v>0</v>
      </c>
      <c r="EE197" s="643">
        <f t="shared" si="299"/>
        <v>0</v>
      </c>
      <c r="EF197" s="637">
        <f t="shared" si="300"/>
        <v>0</v>
      </c>
      <c r="EG197" s="637">
        <f t="shared" si="301"/>
        <v>0</v>
      </c>
      <c r="EH197" s="637">
        <f t="shared" si="302"/>
        <v>0</v>
      </c>
      <c r="EI197" s="643">
        <f t="shared" si="303"/>
        <v>0</v>
      </c>
      <c r="EJ197" s="637">
        <f t="shared" si="304"/>
        <v>0</v>
      </c>
      <c r="EK197" s="637">
        <f t="shared" si="305"/>
        <v>0</v>
      </c>
      <c r="EL197" s="637">
        <f t="shared" si="306"/>
        <v>0</v>
      </c>
      <c r="EM197" s="643">
        <f t="shared" si="307"/>
        <v>0</v>
      </c>
      <c r="EN197" s="637">
        <f t="shared" si="308"/>
        <v>0</v>
      </c>
      <c r="EO197" s="637">
        <f t="shared" si="309"/>
        <v>0</v>
      </c>
      <c r="EP197" s="637">
        <f t="shared" si="310"/>
        <v>0</v>
      </c>
      <c r="EQ197" s="643">
        <f t="shared" si="311"/>
        <v>0</v>
      </c>
      <c r="ER197" s="637">
        <f t="shared" si="312"/>
        <v>0</v>
      </c>
      <c r="ES197" s="637">
        <f t="shared" si="313"/>
        <v>0</v>
      </c>
      <c r="ET197" s="637">
        <f t="shared" si="314"/>
        <v>0</v>
      </c>
      <c r="EU197" s="643">
        <f t="shared" ref="EU197:EU262" si="477">$EJ197+$EF197+$EB197+ET197+ER197+EN197</f>
        <v>0</v>
      </c>
      <c r="EV197" s="643">
        <f t="shared" ref="EV197:EV262" si="478">IF(EU197&lt;$DZ197,$DZ197,0)</f>
        <v>0</v>
      </c>
      <c r="EW197" s="6"/>
      <c r="EX197" s="829">
        <f t="shared" ref="EX197:EX262" si="479">IF(EU197=0,0,DR197-EU197)</f>
        <v>0</v>
      </c>
      <c r="EY197" s="638">
        <f t="shared" ref="EY197:EY262" si="480">IF(EU197=0,DR197,EU197)</f>
        <v>0</v>
      </c>
      <c r="EZ197" s="6"/>
      <c r="FA197" s="809"/>
      <c r="FB197" s="6"/>
      <c r="FC197" s="830" t="str">
        <f t="shared" si="315"/>
        <v>N</v>
      </c>
      <c r="FD197" s="6"/>
      <c r="FE197" s="830" t="str">
        <f>IFERROR(VLOOKUP($B197,'Historical Conc Grant Elig'!$B$3:$J$707,'HH &amp; SI'!FE$2,0),"N")</f>
        <v>N</v>
      </c>
      <c r="FF197" s="830" t="str">
        <f>IFERROR(VLOOKUP($B197,'Historical Conc Grant Elig'!$B$3:$J$707,'HH &amp; SI'!FF$2,0),"N")</f>
        <v>N</v>
      </c>
      <c r="FG197" s="830" t="str">
        <f>IFERROR(VLOOKUP($B197,'Historical Conc Grant Elig'!$B$3:$J$707,'HH &amp; SI'!FG$2,0),"N")</f>
        <v>N</v>
      </c>
      <c r="FH197" s="830" t="str">
        <f>IFERROR(VLOOKUP($B197,'Historical Conc Grant Elig'!$B$3:$J$707,'HH &amp; SI'!FH$2,0),"N")</f>
        <v>N</v>
      </c>
      <c r="FI197" s="830" t="str">
        <f>IFERROR(VLOOKUP($B197,'Historical Conc Grant Elig'!$B$3:$J$707,'HH &amp; SI'!FI$2,0),"N")</f>
        <v>N</v>
      </c>
      <c r="FJ197" s="830" t="str">
        <f>IFERROR(VLOOKUP($B197,'Historical Conc Grant Elig'!$B$3:$J$707,'HH &amp; SI'!FJ$2,0),"N")</f>
        <v>N</v>
      </c>
      <c r="FK197" s="830" t="str">
        <f>IFERROR(VLOOKUP($B197,'Historical Conc Grant Elig'!$B$3:$J$707,'HH &amp; SI'!FK$2,0),"N")</f>
        <v>N</v>
      </c>
      <c r="FL197" s="957" t="str">
        <f>IFERROR(VLOOKUP($B197,'Historical Conc Grant Elig'!$B$3:$J$707,'HH &amp; SI'!FL$2,0),"N")</f>
        <v>N</v>
      </c>
    </row>
    <row r="198" spans="2:168" x14ac:dyDescent="0.25">
      <c r="B198" s="634">
        <v>78551000</v>
      </c>
      <c r="C198" s="635" t="str">
        <f>VLOOKUP($B198,'Afton Update'!$A$5:$CR$582,'Afton Update'!D$589,0)</f>
        <v>Teleos Preparatory Academy</v>
      </c>
      <c r="D198" s="636">
        <f>IFERROR(VLOOKUP($B198,'Afton FY16 Final'!$A$5:$BV$587,'Afton FY16 Final'!AQ$587,0),0)</f>
        <v>41745.734175668411</v>
      </c>
      <c r="E198" s="637">
        <f>IFERROR(VLOOKUP($B198,'Afton FY16 Final'!$A$5:$BV$587,'Afton FY16 Final'!AR$587,0),0)</f>
        <v>10385.154192068298</v>
      </c>
      <c r="F198" s="637">
        <f>IFERROR(VLOOKUP($B198,'Afton FY16 Final'!$A$5:$BV$587,'Afton FY16 Final'!AS$587,0),0)</f>
        <v>22655.900305425868</v>
      </c>
      <c r="G198" s="637">
        <f>IFERROR(VLOOKUP($B198,'Afton FY16 Final'!$A$5:$BV$587,'Afton FY16 Final'!AT$587,0),0)</f>
        <v>19023.216091680282</v>
      </c>
      <c r="H198" s="638">
        <f>IFERROR(VLOOKUP($B198,'Afton FY16 Final'!$A$5:$BV$587,'Afton FY16 Final'!AU$587,0),0)</f>
        <v>93810.004764842859</v>
      </c>
      <c r="I198" s="639" t="str">
        <f>VLOOKUP($B198,'Afton Update'!$A$5:$CR$582,'Afton Update'!BT$589,0)</f>
        <v>Y</v>
      </c>
      <c r="J198" s="640" t="str">
        <f>VLOOKUP($B198,'Afton Update'!$A$5:$CR$582,'Afton Update'!BU$589,0)</f>
        <v>Y</v>
      </c>
      <c r="K198" s="640" t="str">
        <f>VLOOKUP($B198,'Afton Update'!$A$5:$CR$582,'Afton Update'!BV$589,0)</f>
        <v>Y</v>
      </c>
      <c r="L198" s="641" t="str">
        <f>VLOOKUP($B198,'Afton Update'!$A$5:$CR$582,'Afton Update'!BW$589,0)</f>
        <v>Y</v>
      </c>
      <c r="N198" s="642">
        <f>VLOOKUP($B198,'Afton Update'!$A$5:$CR$582,'Afton Update'!CB$589,0)</f>
        <v>0.95</v>
      </c>
      <c r="P198" s="636">
        <f>VLOOKUP($B198,'Afton Update'!$A$5:$CR$582,'Afton Update'!AH$589,0)</f>
        <v>48551.436297379609</v>
      </c>
      <c r="Q198" s="637">
        <f>VLOOKUP($B198,'Afton Update'!$A$5:$CR$582,'Afton Update'!AI$589,0)</f>
        <v>12171.18033208322</v>
      </c>
      <c r="R198" s="637">
        <f>VLOOKUP($B198,'Afton Update'!$A$5:$CR$582,'Afton Update'!AJ$589,0)</f>
        <v>28440.650818882368</v>
      </c>
      <c r="S198" s="637">
        <f>VLOOKUP($B198,'Afton Update'!$A$5:$CR$582,'Afton Update'!AK$589,0)</f>
        <v>26474.509962476684</v>
      </c>
      <c r="T198" s="643">
        <f t="shared" si="268"/>
        <v>115637.77741082189</v>
      </c>
      <c r="V198" s="636">
        <f t="shared" si="316"/>
        <v>47889.163193310233</v>
      </c>
      <c r="W198" s="637">
        <f t="shared" si="317"/>
        <v>11770.306150939123</v>
      </c>
      <c r="X198" s="637">
        <f t="shared" si="318"/>
        <v>28181.994203916889</v>
      </c>
      <c r="Y198" s="637">
        <f t="shared" si="319"/>
        <v>26182.808519242488</v>
      </c>
      <c r="Z198" s="643">
        <f t="shared" si="320"/>
        <v>114024.27206740873</v>
      </c>
      <c r="AB198" s="644">
        <f t="shared" si="269"/>
        <v>48551.436297379609</v>
      </c>
      <c r="AC198" s="645">
        <f t="shared" ref="AC198:AC263" si="481">IF(I198="N",0,D198*$N198)</f>
        <v>39658.447466884987</v>
      </c>
      <c r="AD198" s="644">
        <f t="shared" si="321"/>
        <v>0</v>
      </c>
      <c r="AE198" s="645">
        <f t="shared" si="322"/>
        <v>48551.436297379609</v>
      </c>
      <c r="AF198" s="646">
        <f t="shared" si="323"/>
        <v>-601.83153833917345</v>
      </c>
      <c r="AG198" s="647">
        <f t="shared" si="324"/>
        <v>47949.604759040434</v>
      </c>
      <c r="AH198" s="644">
        <f t="shared" si="270"/>
        <v>0</v>
      </c>
      <c r="AI198" s="645">
        <f t="shared" si="271"/>
        <v>47949.604759040434</v>
      </c>
      <c r="AJ198" s="646">
        <f t="shared" si="325"/>
        <v>-60.403058594315347</v>
      </c>
      <c r="AK198" s="647">
        <f t="shared" si="272"/>
        <v>47889.201700446116</v>
      </c>
      <c r="AL198" s="644">
        <f t="shared" si="326"/>
        <v>0</v>
      </c>
      <c r="AM198" s="645">
        <f t="shared" si="327"/>
        <v>47889.201700446116</v>
      </c>
      <c r="AN198" s="646">
        <f t="shared" si="328"/>
        <v>-3.8507135884847006E-2</v>
      </c>
      <c r="AO198" s="647">
        <f t="shared" si="273"/>
        <v>47889.163193310233</v>
      </c>
      <c r="AP198" s="644">
        <f t="shared" si="329"/>
        <v>0</v>
      </c>
      <c r="AQ198" s="645">
        <f t="shared" si="330"/>
        <v>47889.163193310233</v>
      </c>
      <c r="AR198" s="646">
        <f t="shared" si="331"/>
        <v>0</v>
      </c>
      <c r="AS198" s="647">
        <f t="shared" si="274"/>
        <v>47889.163193310233</v>
      </c>
      <c r="AT198" s="644">
        <f t="shared" si="332"/>
        <v>0</v>
      </c>
      <c r="AU198" s="645">
        <f t="shared" si="333"/>
        <v>47889.163193310233</v>
      </c>
      <c r="AV198" s="646">
        <f t="shared" si="334"/>
        <v>0</v>
      </c>
      <c r="AW198" s="647">
        <f t="shared" si="275"/>
        <v>47889.163193310233</v>
      </c>
      <c r="AY198" s="644">
        <f t="shared" si="335"/>
        <v>12171.18033208322</v>
      </c>
      <c r="AZ198" s="645">
        <f t="shared" ref="AZ198:AZ263" si="482">IF(AND($J198="N",FC198="N"),0,E198*$N198)</f>
        <v>9865.8964824648829</v>
      </c>
      <c r="BA198" s="644">
        <f t="shared" si="336"/>
        <v>0</v>
      </c>
      <c r="BB198" s="645">
        <f t="shared" si="337"/>
        <v>12171.18033208322</v>
      </c>
      <c r="BC198" s="646">
        <f t="shared" si="338"/>
        <v>-87.526504820501856</v>
      </c>
      <c r="BD198" s="647">
        <f t="shared" si="339"/>
        <v>12083.653827262719</v>
      </c>
      <c r="BE198" s="644">
        <f t="shared" si="277"/>
        <v>0</v>
      </c>
      <c r="BF198" s="645">
        <f t="shared" si="278"/>
        <v>12083.653827262719</v>
      </c>
      <c r="BG198" s="646">
        <f t="shared" si="340"/>
        <v>-287.82278669796455</v>
      </c>
      <c r="BH198" s="647">
        <f t="shared" si="279"/>
        <v>11795.831040564753</v>
      </c>
      <c r="BI198" s="644">
        <f t="shared" si="341"/>
        <v>0</v>
      </c>
      <c r="BJ198" s="645">
        <f t="shared" si="342"/>
        <v>11795.831040564753</v>
      </c>
      <c r="BK198" s="646">
        <f t="shared" si="343"/>
        <v>-24.986340654451514</v>
      </c>
      <c r="BL198" s="647">
        <f t="shared" si="280"/>
        <v>11770.844699910302</v>
      </c>
      <c r="BM198" s="644">
        <f t="shared" si="344"/>
        <v>0</v>
      </c>
      <c r="BN198" s="645">
        <f t="shared" si="345"/>
        <v>11770.844699910302</v>
      </c>
      <c r="BO198" s="646">
        <f t="shared" si="346"/>
        <v>-0.53854897117839973</v>
      </c>
      <c r="BP198" s="647">
        <f t="shared" si="281"/>
        <v>11770.306150939123</v>
      </c>
      <c r="BQ198" s="644">
        <f t="shared" si="347"/>
        <v>0</v>
      </c>
      <c r="BR198" s="645">
        <f t="shared" si="348"/>
        <v>11770.306150939123</v>
      </c>
      <c r="BS198" s="646">
        <f t="shared" si="349"/>
        <v>0</v>
      </c>
      <c r="BT198" s="647">
        <f t="shared" si="282"/>
        <v>11770.306150939123</v>
      </c>
      <c r="BU198" s="662">
        <f>VLOOKUP(B198,'Afton Update'!$A$5:$AR$582,'Afton Update'!$AO$589,0)-BT198</f>
        <v>0</v>
      </c>
      <c r="BV198" s="644">
        <f t="shared" si="350"/>
        <v>28440.650818882368</v>
      </c>
      <c r="BW198" s="645">
        <f t="shared" ref="BW198:BW263" si="483">IF($K198="N",0,F198*$N198)</f>
        <v>21523.105290154574</v>
      </c>
      <c r="BX198" s="644">
        <f t="shared" si="351"/>
        <v>0</v>
      </c>
      <c r="BY198" s="645">
        <f t="shared" si="352"/>
        <v>28440.650818882368</v>
      </c>
      <c r="BZ198" s="646">
        <f t="shared" si="353"/>
        <v>-249.62661601354532</v>
      </c>
      <c r="CA198" s="647">
        <f t="shared" si="354"/>
        <v>28191.024202868823</v>
      </c>
      <c r="CB198" s="644">
        <f t="shared" si="283"/>
        <v>0</v>
      </c>
      <c r="CC198" s="645">
        <f t="shared" si="284"/>
        <v>28191.024202868823</v>
      </c>
      <c r="CD198" s="646">
        <f t="shared" si="355"/>
        <v>-9.0299989519330524</v>
      </c>
      <c r="CE198" s="647">
        <f t="shared" si="285"/>
        <v>28181.994203916889</v>
      </c>
      <c r="CF198" s="644">
        <f t="shared" si="356"/>
        <v>0</v>
      </c>
      <c r="CG198" s="645">
        <f t="shared" si="357"/>
        <v>28181.994203916889</v>
      </c>
      <c r="CH198" s="646">
        <f t="shared" si="358"/>
        <v>0</v>
      </c>
      <c r="CI198" s="647">
        <f t="shared" si="286"/>
        <v>28181.994203916889</v>
      </c>
      <c r="CJ198" s="644">
        <f t="shared" si="359"/>
        <v>0</v>
      </c>
      <c r="CK198" s="645">
        <f t="shared" si="360"/>
        <v>28181.994203916889</v>
      </c>
      <c r="CL198" s="646">
        <f t="shared" si="361"/>
        <v>0</v>
      </c>
      <c r="CM198" s="647">
        <f t="shared" si="287"/>
        <v>28181.994203916889</v>
      </c>
      <c r="CN198" s="644">
        <f t="shared" si="362"/>
        <v>0</v>
      </c>
      <c r="CO198" s="645">
        <f t="shared" si="363"/>
        <v>28181.994203916889</v>
      </c>
      <c r="CP198" s="646">
        <f t="shared" si="364"/>
        <v>0</v>
      </c>
      <c r="CQ198" s="647">
        <f t="shared" si="288"/>
        <v>28181.994203916889</v>
      </c>
      <c r="CS198" s="644">
        <f t="shared" si="365"/>
        <v>26474.509962476684</v>
      </c>
      <c r="CT198" s="645">
        <f t="shared" ref="CT198:CT263" si="484">IF($L198="N",0,G198*$N198)</f>
        <v>18072.055287096267</v>
      </c>
      <c r="CU198" s="644">
        <f t="shared" si="366"/>
        <v>0</v>
      </c>
      <c r="CV198" s="645">
        <f t="shared" si="367"/>
        <v>26474.509962476684</v>
      </c>
      <c r="CW198" s="646">
        <f t="shared" si="368"/>
        <v>-271.1139433431369</v>
      </c>
      <c r="CX198" s="647">
        <f t="shared" si="369"/>
        <v>26203.396019133546</v>
      </c>
      <c r="CY198" s="644">
        <f t="shared" si="289"/>
        <v>0</v>
      </c>
      <c r="CZ198" s="645">
        <f t="shared" si="290"/>
        <v>26203.396019133546</v>
      </c>
      <c r="DA198" s="646">
        <f t="shared" si="370"/>
        <v>-20.569761034179045</v>
      </c>
      <c r="DB198" s="647">
        <f t="shared" si="291"/>
        <v>26182.826258099369</v>
      </c>
      <c r="DC198" s="644">
        <f t="shared" si="371"/>
        <v>0</v>
      </c>
      <c r="DD198" s="645">
        <f t="shared" si="372"/>
        <v>26182.826258099369</v>
      </c>
      <c r="DE198" s="646">
        <f t="shared" si="373"/>
        <v>-1.7738856879479431E-2</v>
      </c>
      <c r="DF198" s="647">
        <f t="shared" si="292"/>
        <v>26182.808519242488</v>
      </c>
      <c r="DG198" s="644">
        <f t="shared" si="374"/>
        <v>0</v>
      </c>
      <c r="DH198" s="645">
        <f t="shared" si="375"/>
        <v>26182.808519242488</v>
      </c>
      <c r="DI198" s="646">
        <f t="shared" si="376"/>
        <v>0</v>
      </c>
      <c r="DJ198" s="647">
        <f t="shared" si="293"/>
        <v>26182.808519242488</v>
      </c>
      <c r="DK198" s="644">
        <f t="shared" si="377"/>
        <v>0</v>
      </c>
      <c r="DL198" s="645">
        <f t="shared" si="378"/>
        <v>26182.808519242488</v>
      </c>
      <c r="DM198" s="646">
        <f t="shared" si="379"/>
        <v>0</v>
      </c>
      <c r="DN198" s="647">
        <f t="shared" si="294"/>
        <v>26182.808519242488</v>
      </c>
      <c r="DR198" s="827">
        <f t="shared" ref="DR198:DR263" si="485">Z198</f>
        <v>114024.27206740873</v>
      </c>
      <c r="DV198" s="828">
        <f>IFERROR(VLOOKUP($B198,'Afton FY16 Final'!$A$5:$BV$587,'Afton FY16 Final'!$BV$587,0),0)</f>
        <v>83287.372112359517</v>
      </c>
      <c r="DX198" s="636">
        <f t="shared" si="473"/>
        <v>114024.27206740873</v>
      </c>
      <c r="DY198" s="637">
        <f t="shared" si="474"/>
        <v>30736.899955049215</v>
      </c>
      <c r="DZ198" s="637">
        <f t="shared" si="475"/>
        <v>83287.372112359517</v>
      </c>
      <c r="EA198" s="643">
        <f t="shared" si="476"/>
        <v>107959.45870915808</v>
      </c>
      <c r="EB198" s="637">
        <f t="shared" ref="EB198:EB263" si="486">IF(EA198&lt;$DZ198,$DZ198,0)</f>
        <v>0</v>
      </c>
      <c r="EC198" s="637">
        <f t="shared" ref="EC198:EC263" si="487">IF(EB198=0,EA198,0)</f>
        <v>107959.45870915808</v>
      </c>
      <c r="ED198" s="637">
        <f t="shared" ref="ED198:ED263" si="488">EC198/EC$2*ED$2</f>
        <v>107637.53004930116</v>
      </c>
      <c r="EE198" s="643">
        <f t="shared" ref="EE198:EE263" si="489">ED198+EB198</f>
        <v>107637.53004930116</v>
      </c>
      <c r="EF198" s="637">
        <f t="shared" ref="EF198:EF263" si="490">IF(EE198&lt;$DZ198,$DZ198,0)</f>
        <v>0</v>
      </c>
      <c r="EG198" s="637">
        <f t="shared" ref="EG198:EG263" si="491">IF(EB198+EF198=0,EE198,0)</f>
        <v>107637.53004930116</v>
      </c>
      <c r="EH198" s="637">
        <f t="shared" ref="EH198:EH263" si="492">EG198/EG$2*EH$2</f>
        <v>107637.4190038628</v>
      </c>
      <c r="EI198" s="643">
        <f t="shared" ref="EI198:EI263" si="493">EH198+EF198+EB198</f>
        <v>107637.4190038628</v>
      </c>
      <c r="EJ198" s="637">
        <f t="shared" ref="EJ198:EJ263" si="494">IF(EI198&lt;$DZ198,$DZ198,0)</f>
        <v>0</v>
      </c>
      <c r="EK198" s="637">
        <f t="shared" ref="EK198:EK263" si="495">IF($EB198+$EF198+$EJ198=0,EI198,0)</f>
        <v>107637.4190038628</v>
      </c>
      <c r="EL198" s="637">
        <f t="shared" ref="EL198:EL263" si="496">EK198/EK$2*EL$2</f>
        <v>107637.41900386264</v>
      </c>
      <c r="EM198" s="643">
        <f t="shared" ref="EM198:EM263" si="497">$EJ198+$EF198+$EB198+EL198</f>
        <v>107637.41900386264</v>
      </c>
      <c r="EN198" s="637">
        <f t="shared" ref="EN198:EN263" si="498">IF(EM198&lt;$DZ198,$DZ198,0)</f>
        <v>0</v>
      </c>
      <c r="EO198" s="637">
        <f t="shared" ref="EO198:EO263" si="499">IF($EB198+$EF198+$EJ198+EN198=0,EM198,0)</f>
        <v>107637.41900386264</v>
      </c>
      <c r="EP198" s="637">
        <f t="shared" ref="EP198:EP263" si="500">EO198/EO$2*EP$2</f>
        <v>107637.4190038628</v>
      </c>
      <c r="EQ198" s="643">
        <f t="shared" ref="EQ198:EQ263" si="501">$EJ198+$EF198+$EB198+EP198+EN198</f>
        <v>107637.4190038628</v>
      </c>
      <c r="ER198" s="637">
        <f t="shared" ref="ER198:ER263" si="502">IF(EQ198&lt;$DZ198,$DZ198,0)</f>
        <v>0</v>
      </c>
      <c r="ES198" s="637">
        <f t="shared" ref="ES198:ES263" si="503">IF($EB198+$EF198+$EJ198+EN198+ER198=0,EQ198,0)</f>
        <v>107637.4190038628</v>
      </c>
      <c r="ET198" s="637">
        <f t="shared" ref="ET198:ET263" si="504">ES198/ES$2*ET$2</f>
        <v>107637.41900386264</v>
      </c>
      <c r="EU198" s="643">
        <f t="shared" si="477"/>
        <v>107637.41900386264</v>
      </c>
      <c r="EV198" s="643">
        <f t="shared" si="478"/>
        <v>0</v>
      </c>
      <c r="EX198" s="829">
        <f t="shared" si="479"/>
        <v>6386.853063546092</v>
      </c>
      <c r="EY198" s="638">
        <f t="shared" si="480"/>
        <v>107637.41900386264</v>
      </c>
      <c r="FC198" s="830" t="str">
        <f t="shared" ref="FC198:FC263" si="505">IF(OR(FH198="y",FI198="y",FJ198="y",FK198="y"),"Y","N")</f>
        <v>Y</v>
      </c>
      <c r="FE198" s="830" t="str">
        <f>IFERROR(VLOOKUP($B198,'Historical Conc Grant Elig'!$B$3:$J$707,'HH &amp; SI'!FE$2,0),"N")</f>
        <v>N</v>
      </c>
      <c r="FF198" s="830" t="str">
        <f>IFERROR(VLOOKUP($B198,'Historical Conc Grant Elig'!$B$3:$J$707,'HH &amp; SI'!FF$2,0),"N")</f>
        <v>Y</v>
      </c>
      <c r="FG198" s="830" t="str">
        <f>IFERROR(VLOOKUP($B198,'Historical Conc Grant Elig'!$B$3:$J$707,'HH &amp; SI'!FG$2,0),"N")</f>
        <v>N</v>
      </c>
      <c r="FH198" s="830" t="str">
        <f>IFERROR(VLOOKUP($B198,'Historical Conc Grant Elig'!$B$3:$J$707,'HH &amp; SI'!FH$2,0),"N")</f>
        <v>Y</v>
      </c>
      <c r="FI198" s="830" t="str">
        <f>IFERROR(VLOOKUP($B198,'Historical Conc Grant Elig'!$B$3:$J$707,'HH &amp; SI'!FI$2,0),"N")</f>
        <v>Y</v>
      </c>
      <c r="FJ198" s="830" t="str">
        <f>IFERROR(VLOOKUP($B198,'Historical Conc Grant Elig'!$B$3:$J$707,'HH &amp; SI'!FJ$2,0),"N")</f>
        <v>Y</v>
      </c>
      <c r="FK198" s="830" t="str">
        <f>IFERROR(VLOOKUP($B198,'Historical Conc Grant Elig'!$B$3:$J$707,'HH &amp; SI'!FK$2,0),"N")</f>
        <v>Y</v>
      </c>
      <c r="FL198" s="957" t="str">
        <f>IFERROR(VLOOKUP($B198,'Historical Conc Grant Elig'!$B$3:$J$707,'HH &amp; SI'!FL$2,0),"N")</f>
        <v>Y</v>
      </c>
    </row>
    <row r="199" spans="2:168" x14ac:dyDescent="0.25">
      <c r="B199" s="634">
        <v>78552000</v>
      </c>
      <c r="C199" s="635" t="str">
        <f>VLOOKUP($B199,'Afton Update'!$A$5:$CR$582,'Afton Update'!D$589,0)</f>
        <v>Imagine Superstition Middle  Inc.</v>
      </c>
      <c r="D199" s="636">
        <f>IFERROR(VLOOKUP($B199,'Afton FY16 Final'!$A$5:$BV$587,'Afton FY16 Final'!AQ$587,0),0)</f>
        <v>14474.349728066209</v>
      </c>
      <c r="E199" s="637">
        <f>IFERROR(VLOOKUP($B199,'Afton FY16 Final'!$A$5:$BV$587,'Afton FY16 Final'!AR$587,0),0)</f>
        <v>4463.4954315471723</v>
      </c>
      <c r="F199" s="637">
        <f>IFERROR(VLOOKUP($B199,'Afton FY16 Final'!$A$5:$BV$587,'Afton FY16 Final'!AS$587,0),0)</f>
        <v>7674.5117046373434</v>
      </c>
      <c r="G199" s="637">
        <f>IFERROR(VLOOKUP($B199,'Afton FY16 Final'!$A$5:$BV$587,'Afton FY16 Final'!AT$587,0),0)</f>
        <v>7394.3391995263373</v>
      </c>
      <c r="H199" s="638">
        <f>IFERROR(VLOOKUP($B199,'Afton FY16 Final'!$A$5:$BV$587,'Afton FY16 Final'!AU$587,0),0)</f>
        <v>34006.696063777061</v>
      </c>
      <c r="I199" s="639" t="str">
        <f>VLOOKUP($B199,'Afton Update'!$A$5:$CR$582,'Afton Update'!BT$589,0)</f>
        <v>Y</v>
      </c>
      <c r="J199" s="640" t="str">
        <f>VLOOKUP($B199,'Afton Update'!$A$5:$CR$582,'Afton Update'!BU$589,0)</f>
        <v>Y</v>
      </c>
      <c r="K199" s="640" t="str">
        <f>VLOOKUP($B199,'Afton Update'!$A$5:$CR$582,'Afton Update'!BV$589,0)</f>
        <v>Y</v>
      </c>
      <c r="L199" s="641" t="str">
        <f>VLOOKUP($B199,'Afton Update'!$A$5:$CR$582,'Afton Update'!BW$589,0)</f>
        <v>Y</v>
      </c>
      <c r="N199" s="642">
        <f>VLOOKUP($B199,'Afton Update'!$A$5:$CR$582,'Afton Update'!CB$589,0)</f>
        <v>0.95</v>
      </c>
      <c r="P199" s="636">
        <f>VLOOKUP($B199,'Afton Update'!$A$5:$CR$582,'Afton Update'!AH$589,0)</f>
        <v>24395.302967156254</v>
      </c>
      <c r="Q199" s="637">
        <f>VLOOKUP($B199,'Afton Update'!$A$5:$CR$582,'Afton Update'!AI$589,0)</f>
        <v>7175.7308056078346</v>
      </c>
      <c r="R199" s="637">
        <f>VLOOKUP($B199,'Afton Update'!$A$5:$CR$582,'Afton Update'!AJ$589,0)</f>
        <v>14302.984180754915</v>
      </c>
      <c r="S199" s="637">
        <f>VLOOKUP($B199,'Afton Update'!$A$5:$CR$582,'Afton Update'!AK$589,0)</f>
        <v>13314.199439315898</v>
      </c>
      <c r="T199" s="643">
        <f t="shared" ref="T199:T264" si="506">SUM(P199:S199)</f>
        <v>59188.2173928349</v>
      </c>
      <c r="V199" s="636">
        <f t="shared" si="316"/>
        <v>24062.535200579521</v>
      </c>
      <c r="W199" s="637">
        <f t="shared" si="317"/>
        <v>6939.388468026501</v>
      </c>
      <c r="X199" s="637">
        <f t="shared" si="318"/>
        <v>14172.904124019975</v>
      </c>
      <c r="Y199" s="637">
        <f t="shared" si="319"/>
        <v>13167.500928277886</v>
      </c>
      <c r="Z199" s="643">
        <f t="shared" si="320"/>
        <v>58342.328720903883</v>
      </c>
      <c r="AB199" s="644">
        <f t="shared" ref="AB199:AB264" si="507">IF(P199="",0,P199)</f>
        <v>24395.302967156254</v>
      </c>
      <c r="AC199" s="645">
        <f t="shared" si="481"/>
        <v>13750.632241662897</v>
      </c>
      <c r="AD199" s="644">
        <f t="shared" si="321"/>
        <v>0</v>
      </c>
      <c r="AE199" s="645">
        <f t="shared" si="322"/>
        <v>24395.302967156254</v>
      </c>
      <c r="AF199" s="646">
        <f t="shared" si="323"/>
        <v>-302.39811286007728</v>
      </c>
      <c r="AG199" s="647">
        <f t="shared" si="324"/>
        <v>24092.904854296175</v>
      </c>
      <c r="AH199" s="644">
        <f t="shared" ref="AH199:AH264" si="508">IF(AG199-AC199&lt;0,AG199-AC199,0)</f>
        <v>0</v>
      </c>
      <c r="AI199" s="645">
        <f t="shared" ref="AI199:AI264" si="509">IF(AND(AH199=0,AD199=0),AG199,0)</f>
        <v>24092.904854296175</v>
      </c>
      <c r="AJ199" s="646">
        <f t="shared" si="325"/>
        <v>-30.350305303547607</v>
      </c>
      <c r="AK199" s="647">
        <f t="shared" ref="AK199:AK264" si="510">AG199-AH199+AJ199</f>
        <v>24062.554548992626</v>
      </c>
      <c r="AL199" s="644">
        <f t="shared" si="326"/>
        <v>0</v>
      </c>
      <c r="AM199" s="645">
        <f t="shared" si="327"/>
        <v>24062.554548992626</v>
      </c>
      <c r="AN199" s="646">
        <f t="shared" si="328"/>
        <v>-1.9348413104701447E-2</v>
      </c>
      <c r="AO199" s="647">
        <f t="shared" ref="AO199:AO264" si="511">AK199-AL199+AN199</f>
        <v>24062.535200579521</v>
      </c>
      <c r="AP199" s="644">
        <f t="shared" si="329"/>
        <v>0</v>
      </c>
      <c r="AQ199" s="645">
        <f t="shared" si="330"/>
        <v>24062.535200579521</v>
      </c>
      <c r="AR199" s="646">
        <f t="shared" si="331"/>
        <v>0</v>
      </c>
      <c r="AS199" s="647">
        <f t="shared" ref="AS199:AS264" si="512">AO199-AP199+AR199</f>
        <v>24062.535200579521</v>
      </c>
      <c r="AT199" s="644">
        <f t="shared" si="332"/>
        <v>0</v>
      </c>
      <c r="AU199" s="645">
        <f t="shared" si="333"/>
        <v>24062.535200579521</v>
      </c>
      <c r="AV199" s="646">
        <f t="shared" si="334"/>
        <v>0</v>
      </c>
      <c r="AW199" s="647">
        <f t="shared" ref="AW199:AW264" si="513">AS199-AT199+AV199</f>
        <v>24062.535200579521</v>
      </c>
      <c r="AY199" s="644">
        <f t="shared" si="335"/>
        <v>7175.7308056078346</v>
      </c>
      <c r="AZ199" s="645">
        <f t="shared" si="482"/>
        <v>4240.3206599698133</v>
      </c>
      <c r="BA199" s="644">
        <f t="shared" si="336"/>
        <v>0</v>
      </c>
      <c r="BB199" s="645">
        <f t="shared" si="337"/>
        <v>7175.7308056078346</v>
      </c>
      <c r="BC199" s="646">
        <f t="shared" si="338"/>
        <v>-51.602771449542544</v>
      </c>
      <c r="BD199" s="647">
        <f t="shared" si="339"/>
        <v>7124.1280341582924</v>
      </c>
      <c r="BE199" s="644">
        <f t="shared" ref="BE199:BE264" si="514">IF(BD199-AZ199&lt;0,BD199-AZ199,0)</f>
        <v>0</v>
      </c>
      <c r="BF199" s="645">
        <f t="shared" ref="BF199:BF264" si="515">IF(AND(BE199=0,BA199=0),BD199,0)</f>
        <v>7124.1280341582924</v>
      </c>
      <c r="BG199" s="646">
        <f t="shared" si="340"/>
        <v>-169.69092402815247</v>
      </c>
      <c r="BH199" s="647">
        <f t="shared" ref="BH199:BH264" si="516">BD199-BE199+BG199</f>
        <v>6954.4371101301404</v>
      </c>
      <c r="BI199" s="644">
        <f t="shared" si="341"/>
        <v>0</v>
      </c>
      <c r="BJ199" s="645">
        <f t="shared" si="342"/>
        <v>6954.4371101301404</v>
      </c>
      <c r="BK199" s="646">
        <f t="shared" si="343"/>
        <v>-14.731131201871772</v>
      </c>
      <c r="BL199" s="647">
        <f t="shared" ref="BL199:BL264" si="517">BH199-BI199+BK199</f>
        <v>6939.7059789282685</v>
      </c>
      <c r="BM199" s="644">
        <f t="shared" si="344"/>
        <v>0</v>
      </c>
      <c r="BN199" s="645">
        <f t="shared" si="345"/>
        <v>6939.7059789282685</v>
      </c>
      <c r="BO199" s="646">
        <f t="shared" si="346"/>
        <v>-0.31751090176738872</v>
      </c>
      <c r="BP199" s="647">
        <f t="shared" ref="BP199:BP264" si="518">BL199-BM199+BO199</f>
        <v>6939.388468026501</v>
      </c>
      <c r="BQ199" s="644">
        <f t="shared" si="347"/>
        <v>0</v>
      </c>
      <c r="BR199" s="645">
        <f t="shared" si="348"/>
        <v>6939.388468026501</v>
      </c>
      <c r="BS199" s="646">
        <f t="shared" si="349"/>
        <v>0</v>
      </c>
      <c r="BT199" s="647">
        <f t="shared" ref="BT199:BT264" si="519">BP199-BQ199+BS199</f>
        <v>6939.388468026501</v>
      </c>
      <c r="BU199" s="662">
        <f>VLOOKUP(B199,'Afton Update'!$A$5:$AR$582,'Afton Update'!$AO$589,0)-BT199</f>
        <v>0</v>
      </c>
      <c r="BV199" s="644">
        <f t="shared" si="350"/>
        <v>14302.984180754915</v>
      </c>
      <c r="BW199" s="645">
        <f t="shared" si="483"/>
        <v>7290.7861194054758</v>
      </c>
      <c r="BX199" s="644">
        <f t="shared" si="351"/>
        <v>0</v>
      </c>
      <c r="BY199" s="645">
        <f t="shared" si="352"/>
        <v>14302.984180754915</v>
      </c>
      <c r="BZ199" s="646">
        <f t="shared" si="353"/>
        <v>-125.53881283077565</v>
      </c>
      <c r="CA199" s="647">
        <f t="shared" si="354"/>
        <v>14177.44536792414</v>
      </c>
      <c r="CB199" s="644">
        <f t="shared" ref="CB199:CB264" si="520">IF(CA199-BW199&lt;0,CA199-BW199,0)</f>
        <v>0</v>
      </c>
      <c r="CC199" s="645">
        <f t="shared" ref="CC199:CC264" si="521">IF(AND(CB199=0,BX199=0),CA199,0)</f>
        <v>14177.44536792414</v>
      </c>
      <c r="CD199" s="646">
        <f t="shared" si="355"/>
        <v>-4.5412439041648964</v>
      </c>
      <c r="CE199" s="647">
        <f t="shared" ref="CE199:CE264" si="522">CA199-CB199+CD199</f>
        <v>14172.904124019975</v>
      </c>
      <c r="CF199" s="644">
        <f t="shared" si="356"/>
        <v>0</v>
      </c>
      <c r="CG199" s="645">
        <f t="shared" si="357"/>
        <v>14172.904124019975</v>
      </c>
      <c r="CH199" s="646">
        <f t="shared" si="358"/>
        <v>0</v>
      </c>
      <c r="CI199" s="647">
        <f t="shared" ref="CI199:CI264" si="523">CE199-CF199+CH199</f>
        <v>14172.904124019975</v>
      </c>
      <c r="CJ199" s="644">
        <f t="shared" si="359"/>
        <v>0</v>
      </c>
      <c r="CK199" s="645">
        <f t="shared" si="360"/>
        <v>14172.904124019975</v>
      </c>
      <c r="CL199" s="646">
        <f t="shared" si="361"/>
        <v>0</v>
      </c>
      <c r="CM199" s="647">
        <f t="shared" ref="CM199:CM264" si="524">CI199-CJ199+CL199</f>
        <v>14172.904124019975</v>
      </c>
      <c r="CN199" s="644">
        <f t="shared" si="362"/>
        <v>0</v>
      </c>
      <c r="CO199" s="645">
        <f t="shared" si="363"/>
        <v>14172.904124019975</v>
      </c>
      <c r="CP199" s="646">
        <f t="shared" si="364"/>
        <v>0</v>
      </c>
      <c r="CQ199" s="647">
        <f t="shared" ref="CQ199:CQ264" si="525">CM199-CN199+CP199</f>
        <v>14172.904124019975</v>
      </c>
      <c r="CS199" s="644">
        <f t="shared" si="365"/>
        <v>13314.199439315898</v>
      </c>
      <c r="CT199" s="645">
        <f t="shared" si="484"/>
        <v>7024.6222395500199</v>
      </c>
      <c r="CU199" s="644">
        <f t="shared" si="366"/>
        <v>0</v>
      </c>
      <c r="CV199" s="645">
        <f t="shared" si="367"/>
        <v>13314.199439315898</v>
      </c>
      <c r="CW199" s="646">
        <f t="shared" si="368"/>
        <v>-136.3449264052868</v>
      </c>
      <c r="CX199" s="647">
        <f t="shared" si="369"/>
        <v>13177.854512910611</v>
      </c>
      <c r="CY199" s="644">
        <f t="shared" ref="CY199:CY264" si="526">IF(CX199-CT199&lt;0,CX199-CT199,0)</f>
        <v>0</v>
      </c>
      <c r="CZ199" s="645">
        <f t="shared" ref="CZ199:CZ264" si="527">IF(AND(CY199=0,CU199=0),CX199,0)</f>
        <v>13177.854512910611</v>
      </c>
      <c r="DA199" s="646">
        <f t="shared" si="370"/>
        <v>-10.344663648781214</v>
      </c>
      <c r="DB199" s="647">
        <f t="shared" ref="DB199:DB264" si="528">CX199-CY199+DA199</f>
        <v>13167.509849261831</v>
      </c>
      <c r="DC199" s="644">
        <f t="shared" si="371"/>
        <v>0</v>
      </c>
      <c r="DD199" s="645">
        <f t="shared" si="372"/>
        <v>13167.509849261831</v>
      </c>
      <c r="DE199" s="646">
        <f t="shared" si="373"/>
        <v>-8.9209839446930238E-3</v>
      </c>
      <c r="DF199" s="647">
        <f t="shared" ref="DF199:DF264" si="529">DB199-DC199+DE199</f>
        <v>13167.500928277886</v>
      </c>
      <c r="DG199" s="644">
        <f t="shared" si="374"/>
        <v>0</v>
      </c>
      <c r="DH199" s="645">
        <f t="shared" si="375"/>
        <v>13167.500928277886</v>
      </c>
      <c r="DI199" s="646">
        <f t="shared" si="376"/>
        <v>0</v>
      </c>
      <c r="DJ199" s="647">
        <f t="shared" ref="DJ199:DJ264" si="530">DF199-DG199+DI199</f>
        <v>13167.500928277886</v>
      </c>
      <c r="DK199" s="644">
        <f t="shared" si="377"/>
        <v>0</v>
      </c>
      <c r="DL199" s="645">
        <f t="shared" si="378"/>
        <v>13167.500928277886</v>
      </c>
      <c r="DM199" s="646">
        <f t="shared" si="379"/>
        <v>0</v>
      </c>
      <c r="DN199" s="647">
        <f t="shared" ref="DN199:DN264" si="531">DJ199-DK199+DM199</f>
        <v>13167.500928277886</v>
      </c>
      <c r="DR199" s="827">
        <f t="shared" si="485"/>
        <v>58342.328720903883</v>
      </c>
      <c r="DV199" s="828">
        <f>IFERROR(VLOOKUP($B199,'Afton FY16 Final'!$A$5:$BV$587,'Afton FY16 Final'!$BV$587,0),0)</f>
        <v>33337.104223913098</v>
      </c>
      <c r="DX199" s="636">
        <f t="shared" si="473"/>
        <v>58342.328720903883</v>
      </c>
      <c r="DY199" s="637">
        <f t="shared" si="474"/>
        <v>25005.224496990784</v>
      </c>
      <c r="DZ199" s="637">
        <f t="shared" si="475"/>
        <v>33337.104223913098</v>
      </c>
      <c r="EA199" s="643">
        <f t="shared" si="476"/>
        <v>55239.17069882233</v>
      </c>
      <c r="EB199" s="637">
        <f t="shared" si="486"/>
        <v>0</v>
      </c>
      <c r="EC199" s="637">
        <f t="shared" si="487"/>
        <v>55239.17069882233</v>
      </c>
      <c r="ED199" s="637">
        <f t="shared" si="488"/>
        <v>55074.450790003713</v>
      </c>
      <c r="EE199" s="643">
        <f t="shared" si="489"/>
        <v>55074.450790003713</v>
      </c>
      <c r="EF199" s="637">
        <f t="shared" si="490"/>
        <v>0</v>
      </c>
      <c r="EG199" s="637">
        <f t="shared" si="491"/>
        <v>55074.450790003713</v>
      </c>
      <c r="EH199" s="637">
        <f t="shared" si="492"/>
        <v>55074.393971842546</v>
      </c>
      <c r="EI199" s="643">
        <f t="shared" si="493"/>
        <v>55074.393971842546</v>
      </c>
      <c r="EJ199" s="637">
        <f t="shared" si="494"/>
        <v>0</v>
      </c>
      <c r="EK199" s="637">
        <f t="shared" si="495"/>
        <v>55074.393971842546</v>
      </c>
      <c r="EL199" s="637">
        <f t="shared" si="496"/>
        <v>55074.393971842466</v>
      </c>
      <c r="EM199" s="643">
        <f t="shared" si="497"/>
        <v>55074.393971842466</v>
      </c>
      <c r="EN199" s="637">
        <f t="shared" si="498"/>
        <v>0</v>
      </c>
      <c r="EO199" s="637">
        <f t="shared" si="499"/>
        <v>55074.393971842466</v>
      </c>
      <c r="EP199" s="637">
        <f t="shared" si="500"/>
        <v>55074.393971842546</v>
      </c>
      <c r="EQ199" s="643">
        <f t="shared" si="501"/>
        <v>55074.393971842546</v>
      </c>
      <c r="ER199" s="637">
        <f t="shared" si="502"/>
        <v>0</v>
      </c>
      <c r="ES199" s="637">
        <f t="shared" si="503"/>
        <v>55074.393971842546</v>
      </c>
      <c r="ET199" s="637">
        <f t="shared" si="504"/>
        <v>55074.393971842466</v>
      </c>
      <c r="EU199" s="643">
        <f t="shared" si="477"/>
        <v>55074.393971842466</v>
      </c>
      <c r="EV199" s="643">
        <f t="shared" si="478"/>
        <v>0</v>
      </c>
      <c r="EX199" s="829">
        <f t="shared" si="479"/>
        <v>3267.9347490614164</v>
      </c>
      <c r="EY199" s="638">
        <f t="shared" si="480"/>
        <v>55074.393971842466</v>
      </c>
      <c r="FC199" s="830" t="str">
        <f t="shared" si="505"/>
        <v>Y</v>
      </c>
      <c r="FE199" s="830" t="str">
        <f>IFERROR(VLOOKUP($B199,'Historical Conc Grant Elig'!$B$3:$J$707,'HH &amp; SI'!FE$2,0),"N")</f>
        <v>N</v>
      </c>
      <c r="FF199" s="830" t="str">
        <f>IFERROR(VLOOKUP($B199,'Historical Conc Grant Elig'!$B$3:$J$707,'HH &amp; SI'!FF$2,0),"N")</f>
        <v>N</v>
      </c>
      <c r="FG199" s="830" t="str">
        <f>IFERROR(VLOOKUP($B199,'Historical Conc Grant Elig'!$B$3:$J$707,'HH &amp; SI'!FG$2,0),"N")</f>
        <v>N</v>
      </c>
      <c r="FH199" s="830" t="str">
        <f>IFERROR(VLOOKUP($B199,'Historical Conc Grant Elig'!$B$3:$J$707,'HH &amp; SI'!FH$2,0),"N")</f>
        <v>Y</v>
      </c>
      <c r="FI199" s="830" t="str">
        <f>IFERROR(VLOOKUP($B199,'Historical Conc Grant Elig'!$B$3:$J$707,'HH &amp; SI'!FI$2,0),"N")</f>
        <v>Y</v>
      </c>
      <c r="FJ199" s="830" t="str">
        <f>IFERROR(VLOOKUP($B199,'Historical Conc Grant Elig'!$B$3:$J$707,'HH &amp; SI'!FJ$2,0),"N")</f>
        <v>Y</v>
      </c>
      <c r="FK199" s="830" t="str">
        <f>IFERROR(VLOOKUP($B199,'Historical Conc Grant Elig'!$B$3:$J$707,'HH &amp; SI'!FK$2,0),"N")</f>
        <v>Y</v>
      </c>
      <c r="FL199" s="957" t="str">
        <f>IFERROR(VLOOKUP($B199,'Historical Conc Grant Elig'!$B$3:$J$707,'HH &amp; SI'!FL$2,0),"N")</f>
        <v>Y</v>
      </c>
    </row>
    <row r="200" spans="2:168" x14ac:dyDescent="0.25">
      <c r="B200" s="634">
        <v>78553000</v>
      </c>
      <c r="C200" s="635" t="str">
        <f>VLOOKUP($B200,'Afton Update'!$A$5:$CR$582,'Afton Update'!D$589,0)</f>
        <v>Imagine Avondale Middle  Inc.</v>
      </c>
      <c r="D200" s="636">
        <f>IFERROR(VLOOKUP($B200,'Afton FY16 Final'!$A$5:$BV$587,'Afton FY16 Final'!AQ$587,0),0)</f>
        <v>31548.779299662401</v>
      </c>
      <c r="E200" s="637">
        <f>IFERROR(VLOOKUP($B200,'Afton FY16 Final'!$A$5:$BV$587,'Afton FY16 Final'!AR$587,0),0)</f>
        <v>8314.9808042438381</v>
      </c>
      <c r="F200" s="637">
        <f>IFERROR(VLOOKUP($B200,'Afton FY16 Final'!$A$5:$BV$587,'Afton FY16 Final'!AS$587,0),0)</f>
        <v>17121.893115192539</v>
      </c>
      <c r="G200" s="637">
        <f>IFERROR(VLOOKUP($B200,'Afton FY16 Final'!$A$5:$BV$587,'Afton FY16 Final'!AT$587,0),0)</f>
        <v>14376.540690857264</v>
      </c>
      <c r="H200" s="638">
        <f>IFERROR(VLOOKUP($B200,'Afton FY16 Final'!$A$5:$BV$587,'Afton FY16 Final'!AU$587,0),0)</f>
        <v>71362.19390995604</v>
      </c>
      <c r="I200" s="639" t="str">
        <f>VLOOKUP($B200,'Afton Update'!$A$5:$CR$582,'Afton Update'!BT$589,0)</f>
        <v>Y</v>
      </c>
      <c r="J200" s="640" t="str">
        <f>VLOOKUP($B200,'Afton Update'!$A$5:$CR$582,'Afton Update'!BU$589,0)</f>
        <v>Y</v>
      </c>
      <c r="K200" s="640" t="str">
        <f>VLOOKUP($B200,'Afton Update'!$A$5:$CR$582,'Afton Update'!BV$589,0)</f>
        <v>Y</v>
      </c>
      <c r="L200" s="641" t="str">
        <f>VLOOKUP($B200,'Afton Update'!$A$5:$CR$582,'Afton Update'!BW$589,0)</f>
        <v>Y</v>
      </c>
      <c r="N200" s="642">
        <f>VLOOKUP($B200,'Afton Update'!$A$5:$CR$582,'Afton Update'!CB$589,0)</f>
        <v>0.95</v>
      </c>
      <c r="P200" s="636">
        <f>VLOOKUP($B200,'Afton Update'!$A$5:$CR$582,'Afton Update'!AH$589,0)</f>
        <v>33244.579533673721</v>
      </c>
      <c r="Q200" s="637">
        <f>VLOOKUP($B200,'Afton Update'!$A$5:$CR$582,'Afton Update'!AI$589,0)</f>
        <v>9005.7469687720841</v>
      </c>
      <c r="R200" s="637">
        <f>VLOOKUP($B200,'Afton Update'!$A$5:$CR$582,'Afton Update'!AJ$589,0)</f>
        <v>19482.129384821405</v>
      </c>
      <c r="S200" s="637">
        <f>VLOOKUP($B200,'Afton Update'!$A$5:$CR$582,'Afton Update'!AK$589,0)</f>
        <v>18135.303294335194</v>
      </c>
      <c r="T200" s="643">
        <f t="shared" si="506"/>
        <v>79867.759181602407</v>
      </c>
      <c r="V200" s="636">
        <f t="shared" ref="V200:V265" si="532">AW200</f>
        <v>32791.101890985825</v>
      </c>
      <c r="W200" s="637">
        <f t="shared" ref="W200:W265" si="533">BT200</f>
        <v>8709.1305894895413</v>
      </c>
      <c r="X200" s="637">
        <f t="shared" ref="X200:X265" si="534">CQ200</f>
        <v>19304.947024576268</v>
      </c>
      <c r="Y200" s="637">
        <f t="shared" ref="Y200:Y265" si="535">DN200</f>
        <v>17935.484897245115</v>
      </c>
      <c r="Z200" s="643">
        <f t="shared" ref="Z200:Z265" si="536">SUM(V200:Y200)</f>
        <v>78740.664402296752</v>
      </c>
      <c r="AB200" s="644">
        <f t="shared" si="507"/>
        <v>33244.579533673721</v>
      </c>
      <c r="AC200" s="645">
        <f t="shared" si="481"/>
        <v>29971.34033467928</v>
      </c>
      <c r="AD200" s="644">
        <f t="shared" ref="AD200:AD265" si="537">IF($I200="N",0,MAX(AC200-AB200,0))</f>
        <v>0</v>
      </c>
      <c r="AE200" s="645">
        <f t="shared" ref="AE200:AE265" si="538">IF(AD200=0,AB200,0)</f>
        <v>33244.579533673721</v>
      </c>
      <c r="AF200" s="646">
        <f t="shared" ref="AF200:AF265" si="539">-IF(AD200=0,((AE200/AE$2)*AD$2),0)</f>
        <v>-412.09154595637978</v>
      </c>
      <c r="AG200" s="647">
        <f t="shared" ref="AG200:AG265" si="540">IF(AD200=0,AE200+AF200,AD200+AB200)</f>
        <v>32832.487987717344</v>
      </c>
      <c r="AH200" s="644">
        <f t="shared" si="508"/>
        <v>0</v>
      </c>
      <c r="AI200" s="645">
        <f t="shared" si="509"/>
        <v>32832.487987717344</v>
      </c>
      <c r="AJ200" s="646">
        <f t="shared" ref="AJ200:AJ265" si="541">IF(AND(AH200=0,AD200=0),((AI200/AI$2))*AH$2,0)</f>
        <v>-41.359729776403121</v>
      </c>
      <c r="AK200" s="647">
        <f t="shared" si="510"/>
        <v>32791.128257940938</v>
      </c>
      <c r="AL200" s="644">
        <f t="shared" ref="AL200:AL265" si="542">IF(AK200-AC200&lt;0,AK200-AC200,0)</f>
        <v>0</v>
      </c>
      <c r="AM200" s="645">
        <f t="shared" ref="AM200:AM265" si="543">IF(AND(AH200=0,AD200=0,AL200=0),AK200,0)</f>
        <v>32791.128257940938</v>
      </c>
      <c r="AN200" s="646">
        <f t="shared" ref="AN200:AN265" si="544">IF(AND(AL200=0,AH200=0,AD200=0),((AM200/AM$2))*AL$2,0)</f>
        <v>-2.6366955113269624E-2</v>
      </c>
      <c r="AO200" s="647">
        <f t="shared" si="511"/>
        <v>32791.101890985825</v>
      </c>
      <c r="AP200" s="644">
        <f t="shared" ref="AP200:AP265" si="545">IF(AO200-AC200&lt;0,AO200-AC200,0)</f>
        <v>0</v>
      </c>
      <c r="AQ200" s="645">
        <f t="shared" ref="AQ200:AQ265" si="546">IF(AND(AH200=0,AD200=0,AL200=0,AP200=0),AO200,0)</f>
        <v>32791.101890985825</v>
      </c>
      <c r="AR200" s="646">
        <f t="shared" ref="AR200:AR265" si="547">IF(AND(AP200=0,AL200=0,AH200=0,AD200=0),((AQ200/AQ$2))*AP$2,0)</f>
        <v>0</v>
      </c>
      <c r="AS200" s="647">
        <f t="shared" si="512"/>
        <v>32791.101890985825</v>
      </c>
      <c r="AT200" s="644">
        <f t="shared" ref="AT200:AT265" si="548">IF(AS200-AC200&lt;0,AS200-AC200,0)</f>
        <v>0</v>
      </c>
      <c r="AU200" s="645">
        <f t="shared" ref="AU200:AU265" si="549">IF(AND(AP200=0,AL200=0,AT200=0,AD200=0,AH200=0),AS200,0)</f>
        <v>32791.101890985825</v>
      </c>
      <c r="AV200" s="646">
        <f t="shared" ref="AV200:AV265" si="550">IF(AND(AT200=0,AP200=0,AL200=0),((AU200/AU$2))*AT$2,0)</f>
        <v>0</v>
      </c>
      <c r="AW200" s="647">
        <f t="shared" si="513"/>
        <v>32791.101890985825</v>
      </c>
      <c r="AY200" s="644">
        <f t="shared" ref="AY200:AY265" si="551">IF(Q200="",0,Q200)</f>
        <v>9005.7469687720841</v>
      </c>
      <c r="AZ200" s="645">
        <f t="shared" si="482"/>
        <v>7899.231764031646</v>
      </c>
      <c r="BA200" s="644">
        <f t="shared" ref="BA200:BA265" si="552">IF($J200="N",0,MAX(AZ200-AY200,0))</f>
        <v>0</v>
      </c>
      <c r="BB200" s="645">
        <f t="shared" ref="BB200:BB265" si="553">IF(BA200=0,AY200,0)</f>
        <v>9005.7469687720841</v>
      </c>
      <c r="BC200" s="646">
        <f t="shared" ref="BC200:BC265" si="554">-IF(BA200=0,((BB200/BB$2)*BA$2),0)</f>
        <v>-64.762951001280115</v>
      </c>
      <c r="BD200" s="647">
        <f t="shared" ref="BD200:BD265" si="555">IF(BA200=0,BB200+BC200,BA200+AY200)</f>
        <v>8940.9840177708047</v>
      </c>
      <c r="BE200" s="644">
        <f t="shared" si="514"/>
        <v>0</v>
      </c>
      <c r="BF200" s="645">
        <f t="shared" si="515"/>
        <v>8940.9840177708047</v>
      </c>
      <c r="BG200" s="646">
        <f t="shared" ref="BG200:BG265" si="556">IF(AND(BE200=0,BA200=0),((BF200/BF$2))*BE$2,0)</f>
        <v>-212.96695292699451</v>
      </c>
      <c r="BH200" s="647">
        <f t="shared" si="516"/>
        <v>8728.0170648438107</v>
      </c>
      <c r="BI200" s="644">
        <f t="shared" ref="BI200:BI265" si="557">IF(BH200-AZ200&lt;0,BH200-AZ200,0)</f>
        <v>0</v>
      </c>
      <c r="BJ200" s="645">
        <f t="shared" ref="BJ200:BJ265" si="558">IF(AND(BE200=0,BA200=0,BI200=0),BH200,0)</f>
        <v>8728.0170648438107</v>
      </c>
      <c r="BK200" s="646">
        <f t="shared" ref="BK200:BK265" si="559">IF(AND(BI200=0,BE200=0,BA200=0),((BJ200/BJ$2))*BI$2,0)</f>
        <v>-18.487990110242571</v>
      </c>
      <c r="BL200" s="647">
        <f t="shared" si="517"/>
        <v>8709.5290747335675</v>
      </c>
      <c r="BM200" s="644">
        <f t="shared" ref="BM200:BM265" si="560">IF(BL200-AZ200&lt;0,BL200-AZ200,0)</f>
        <v>0</v>
      </c>
      <c r="BN200" s="645">
        <f t="shared" ref="BN200:BN265" si="561">IF(AND(BE200=0,BA200=0,BI200=0,BM200=0),BL200,0)</f>
        <v>8709.5290747335675</v>
      </c>
      <c r="BO200" s="646">
        <f t="shared" ref="BO200:BO265" si="562">IF(AND(BM200=0,BI200=0,BE200=0,BA200=0),((BN200/BN$2))*BM$2,0)</f>
        <v>-0.39848524402686802</v>
      </c>
      <c r="BP200" s="647">
        <f t="shared" si="518"/>
        <v>8709.1305894895413</v>
      </c>
      <c r="BQ200" s="644">
        <f t="shared" ref="BQ200:BQ265" si="563">IF(BP200-AZ200&lt;0,BP200-AZ200,0)</f>
        <v>0</v>
      </c>
      <c r="BR200" s="645">
        <f t="shared" ref="BR200:BR265" si="564">IF(AND(BM200=0,BI200=0,BQ200=0,BA200=0,BE200=0),BP200,0)</f>
        <v>8709.1305894895413</v>
      </c>
      <c r="BS200" s="646">
        <f t="shared" ref="BS200:BS265" si="565">IF(AND(BQ200=0,BM200=0,BI200=0),((BR200/BR$2))*BQ$2,0)</f>
        <v>0</v>
      </c>
      <c r="BT200" s="647">
        <f t="shared" si="519"/>
        <v>8709.1305894895413</v>
      </c>
      <c r="BU200" s="662">
        <f>VLOOKUP(B200,'Afton Update'!$A$5:$AR$582,'Afton Update'!$AO$589,0)-BT200</f>
        <v>0</v>
      </c>
      <c r="BV200" s="644">
        <f t="shared" ref="BV200:BV265" si="566">IF(R200="",0,R200)</f>
        <v>19482.129384821405</v>
      </c>
      <c r="BW200" s="645">
        <f t="shared" si="483"/>
        <v>16265.798459432912</v>
      </c>
      <c r="BX200" s="644">
        <f t="shared" ref="BX200:BX265" si="567">IF($K200="N",0,MAX(BW200-BV200,0))</f>
        <v>0</v>
      </c>
      <c r="BY200" s="645">
        <f t="shared" ref="BY200:BY265" si="568">IF(BX200=0,BV200,0)</f>
        <v>19482.129384821405</v>
      </c>
      <c r="BZ200" s="646">
        <f t="shared" ref="BZ200:BZ265" si="569">-IF(BX200=0,((BY200/BY$2)*BX$2),0)</f>
        <v>-170.99672092743384</v>
      </c>
      <c r="CA200" s="647">
        <f t="shared" ref="CA200:CA265" si="570">IF(BX200=0,BY200+BZ200,BX200+BV200)</f>
        <v>19311.132663893972</v>
      </c>
      <c r="CB200" s="644">
        <f t="shared" si="520"/>
        <v>0</v>
      </c>
      <c r="CC200" s="645">
        <f t="shared" si="521"/>
        <v>19311.132663893972</v>
      </c>
      <c r="CD200" s="646">
        <f t="shared" ref="CD200:CD265" si="571">IF(AND(CB200=0,BX200=0),((CC200/CC$2))*CB$2,0)</f>
        <v>-6.1856393177037257</v>
      </c>
      <c r="CE200" s="647">
        <f t="shared" si="522"/>
        <v>19304.947024576268</v>
      </c>
      <c r="CF200" s="644">
        <f t="shared" ref="CF200:CF265" si="572">IF(CE200-BW200&lt;0,CE200-BW200,0)</f>
        <v>0</v>
      </c>
      <c r="CG200" s="645">
        <f t="shared" ref="CG200:CG265" si="573">IF(AND(CB200=0,BX200=0,CF200=0),CE200,0)</f>
        <v>19304.947024576268</v>
      </c>
      <c r="CH200" s="646">
        <f t="shared" ref="CH200:CH265" si="574">IF(AND(CF200=0,CB200=0,BX200=0),((CG200/CG$2))*CF$2,0)</f>
        <v>0</v>
      </c>
      <c r="CI200" s="647">
        <f t="shared" si="523"/>
        <v>19304.947024576268</v>
      </c>
      <c r="CJ200" s="644">
        <f t="shared" ref="CJ200:CJ265" si="575">IF(CI200-BW200&lt;0,CI200-BW200,0)</f>
        <v>0</v>
      </c>
      <c r="CK200" s="645">
        <f t="shared" ref="CK200:CK265" si="576">IF(AND(CB200=0,BX200=0,CF200=0,CJ200=0),CI200,0)</f>
        <v>19304.947024576268</v>
      </c>
      <c r="CL200" s="646">
        <f t="shared" ref="CL200:CL265" si="577">IF(AND(CJ200=0,CF200=0,CB200=0,BX200=0),((CK200/CK$2))*CJ$2,0)</f>
        <v>0</v>
      </c>
      <c r="CM200" s="647">
        <f t="shared" si="524"/>
        <v>19304.947024576268</v>
      </c>
      <c r="CN200" s="644">
        <f t="shared" ref="CN200:CN265" si="578">IF(CM200-BW200&lt;0,CM200-BW200,0)</f>
        <v>0</v>
      </c>
      <c r="CO200" s="645">
        <f t="shared" ref="CO200:CO265" si="579">IF(AND(CJ200=0,CF200=0,CN200=0,BX200=0,CB200=0),CM200,0)</f>
        <v>19304.947024576268</v>
      </c>
      <c r="CP200" s="646">
        <f t="shared" ref="CP200:CP265" si="580">IF(AND(CN200=0,CJ200=0,CF200=0),((CO200/CO$2))*CN$2,0)</f>
        <v>0</v>
      </c>
      <c r="CQ200" s="647">
        <f t="shared" si="525"/>
        <v>19304.947024576268</v>
      </c>
      <c r="CS200" s="644">
        <f t="shared" ref="CS200:CS265" si="581">IF(S200="",0,S200)</f>
        <v>18135.303294335194</v>
      </c>
      <c r="CT200" s="645">
        <f t="shared" si="484"/>
        <v>13657.713656314399</v>
      </c>
      <c r="CU200" s="644">
        <f t="shared" ref="CU200:CU265" si="582">IF($L200="N",0,MAX(CT200-CS200,0))</f>
        <v>0</v>
      </c>
      <c r="CV200" s="645">
        <f t="shared" ref="CV200:CV265" si="583">IF(CU200=0,CS200,0)</f>
        <v>18135.303294335194</v>
      </c>
      <c r="CW200" s="646">
        <f t="shared" ref="CW200:CW265" si="584">-IF(CU200=0,((CV200/CV$2)*CU$2),0)</f>
        <v>-185.71575439242</v>
      </c>
      <c r="CX200" s="647">
        <f t="shared" ref="CX200:CX265" si="585">IF(CU200=0,CV200+CW200,CU200+CS200)</f>
        <v>17949.587539942775</v>
      </c>
      <c r="CY200" s="644">
        <f t="shared" si="526"/>
        <v>0</v>
      </c>
      <c r="CZ200" s="645">
        <f t="shared" si="527"/>
        <v>17949.587539942775</v>
      </c>
      <c r="DA200" s="646">
        <f t="shared" ref="DA200:DA265" si="586">IF(AND(CY200=0,CU200=0),((CZ200/CZ$2))*CY$2,0)</f>
        <v>-14.090491403827944</v>
      </c>
      <c r="DB200" s="647">
        <f t="shared" si="528"/>
        <v>17935.497048538946</v>
      </c>
      <c r="DC200" s="644">
        <f t="shared" ref="DC200:DC265" si="587">IF(DB200-CT200&lt;0,DB200-CT200,0)</f>
        <v>0</v>
      </c>
      <c r="DD200" s="645">
        <f t="shared" ref="DD200:DD265" si="588">IF(AND(CY200=0,CU200=0,DC200=0),DB200,0)</f>
        <v>17935.497048538946</v>
      </c>
      <c r="DE200" s="646">
        <f t="shared" ref="DE200:DE265" si="589">IF(AND(DC200=0,CY200=0,CU200=0),((DD200/DD$2))*DC$2,0)</f>
        <v>-1.2151293831693982E-2</v>
      </c>
      <c r="DF200" s="647">
        <f t="shared" si="529"/>
        <v>17935.484897245115</v>
      </c>
      <c r="DG200" s="644">
        <f t="shared" ref="DG200:DG265" si="590">IF(DF200-CT200&lt;0,DF200-CT200,0)</f>
        <v>0</v>
      </c>
      <c r="DH200" s="645">
        <f t="shared" ref="DH200:DH265" si="591">IF(AND(CY200=0,CU200=0,DC200=0,DG200=0),DF200,0)</f>
        <v>17935.484897245115</v>
      </c>
      <c r="DI200" s="646">
        <f t="shared" ref="DI200:DI265" si="592">IF(AND(DG200=0,DC200=0,CY200=0,CU200=0),((DH200/DH$2))*DG$2,0)</f>
        <v>0</v>
      </c>
      <c r="DJ200" s="647">
        <f t="shared" si="530"/>
        <v>17935.484897245115</v>
      </c>
      <c r="DK200" s="644">
        <f t="shared" ref="DK200:DK265" si="593">IF(DJ200-CT200&lt;0,DJ200-CT200,0)</f>
        <v>0</v>
      </c>
      <c r="DL200" s="645">
        <f t="shared" ref="DL200:DL265" si="594">IF(AND(DG200=0,DC200=0,DK200=0,CU200=0,CY200=0),DJ200,0)</f>
        <v>17935.484897245115</v>
      </c>
      <c r="DM200" s="646">
        <f t="shared" ref="DM200:DM265" si="595">IF(AND(DK200=0,DG200=0,DC200=0),((DL200/DL$2))*DK$2,0)</f>
        <v>0</v>
      </c>
      <c r="DN200" s="647">
        <f t="shared" si="531"/>
        <v>17935.484897245115</v>
      </c>
      <c r="DR200" s="827">
        <f t="shared" si="485"/>
        <v>78740.664402296752</v>
      </c>
      <c r="DV200" s="828">
        <f>IFERROR(VLOOKUP($B200,'Afton FY16 Final'!$A$5:$BV$587,'Afton FY16 Final'!$BV$587,0),0)</f>
        <v>63357.52368664556</v>
      </c>
      <c r="DX200" s="636">
        <f t="shared" si="473"/>
        <v>78740.664402296752</v>
      </c>
      <c r="DY200" s="637">
        <f t="shared" si="474"/>
        <v>15383.140715651192</v>
      </c>
      <c r="DZ200" s="637">
        <f t="shared" si="475"/>
        <v>63357.52368664556</v>
      </c>
      <c r="EA200" s="643">
        <f t="shared" si="476"/>
        <v>74552.543534291864</v>
      </c>
      <c r="EB200" s="637">
        <f t="shared" si="486"/>
        <v>0</v>
      </c>
      <c r="EC200" s="637">
        <f t="shared" si="487"/>
        <v>74552.543534291864</v>
      </c>
      <c r="ED200" s="637">
        <f t="shared" si="488"/>
        <v>74330.232300835458</v>
      </c>
      <c r="EE200" s="643">
        <f t="shared" si="489"/>
        <v>74330.232300835458</v>
      </c>
      <c r="EF200" s="637">
        <f t="shared" si="490"/>
        <v>0</v>
      </c>
      <c r="EG200" s="637">
        <f t="shared" si="491"/>
        <v>74330.232300835458</v>
      </c>
      <c r="EH200" s="637">
        <f t="shared" si="492"/>
        <v>74330.155617236116</v>
      </c>
      <c r="EI200" s="643">
        <f t="shared" si="493"/>
        <v>74330.155617236116</v>
      </c>
      <c r="EJ200" s="637">
        <f t="shared" si="494"/>
        <v>0</v>
      </c>
      <c r="EK200" s="637">
        <f t="shared" si="495"/>
        <v>74330.155617236116</v>
      </c>
      <c r="EL200" s="637">
        <f t="shared" si="496"/>
        <v>74330.155617236014</v>
      </c>
      <c r="EM200" s="643">
        <f t="shared" si="497"/>
        <v>74330.155617236014</v>
      </c>
      <c r="EN200" s="637">
        <f t="shared" si="498"/>
        <v>0</v>
      </c>
      <c r="EO200" s="637">
        <f t="shared" si="499"/>
        <v>74330.155617236014</v>
      </c>
      <c r="EP200" s="637">
        <f t="shared" si="500"/>
        <v>74330.155617236131</v>
      </c>
      <c r="EQ200" s="643">
        <f t="shared" si="501"/>
        <v>74330.155617236131</v>
      </c>
      <c r="ER200" s="637">
        <f t="shared" si="502"/>
        <v>0</v>
      </c>
      <c r="ES200" s="637">
        <f t="shared" si="503"/>
        <v>74330.155617236131</v>
      </c>
      <c r="ET200" s="637">
        <f t="shared" si="504"/>
        <v>74330.155617236014</v>
      </c>
      <c r="EU200" s="643">
        <f t="shared" si="477"/>
        <v>74330.155617236014</v>
      </c>
      <c r="EV200" s="643">
        <f t="shared" si="478"/>
        <v>0</v>
      </c>
      <c r="EX200" s="829">
        <f t="shared" si="479"/>
        <v>4410.5087850607379</v>
      </c>
      <c r="EY200" s="638">
        <f t="shared" si="480"/>
        <v>74330.155617236014</v>
      </c>
      <c r="FC200" s="830" t="str">
        <f t="shared" si="505"/>
        <v>Y</v>
      </c>
      <c r="FE200" s="830" t="str">
        <f>IFERROR(VLOOKUP($B200,'Historical Conc Grant Elig'!$B$3:$J$707,'HH &amp; SI'!FE$2,0),"N")</f>
        <v>N</v>
      </c>
      <c r="FF200" s="830" t="str">
        <f>IFERROR(VLOOKUP($B200,'Historical Conc Grant Elig'!$B$3:$J$707,'HH &amp; SI'!FF$2,0),"N")</f>
        <v>N</v>
      </c>
      <c r="FG200" s="830" t="str">
        <f>IFERROR(VLOOKUP($B200,'Historical Conc Grant Elig'!$B$3:$J$707,'HH &amp; SI'!FG$2,0),"N")</f>
        <v>Y</v>
      </c>
      <c r="FH200" s="830" t="str">
        <f>IFERROR(VLOOKUP($B200,'Historical Conc Grant Elig'!$B$3:$J$707,'HH &amp; SI'!FH$2,0),"N")</f>
        <v>Y</v>
      </c>
      <c r="FI200" s="830" t="str">
        <f>IFERROR(VLOOKUP($B200,'Historical Conc Grant Elig'!$B$3:$J$707,'HH &amp; SI'!FI$2,0),"N")</f>
        <v>Y</v>
      </c>
      <c r="FJ200" s="830" t="str">
        <f>IFERROR(VLOOKUP($B200,'Historical Conc Grant Elig'!$B$3:$J$707,'HH &amp; SI'!FJ$2,0),"N")</f>
        <v>Y</v>
      </c>
      <c r="FK200" s="830" t="str">
        <f>IFERROR(VLOOKUP($B200,'Historical Conc Grant Elig'!$B$3:$J$707,'HH &amp; SI'!FK$2,0),"N")</f>
        <v>Y</v>
      </c>
      <c r="FL200" s="957" t="str">
        <f>IFERROR(VLOOKUP($B200,'Historical Conc Grant Elig'!$B$3:$J$707,'HH &amp; SI'!FL$2,0),"N")</f>
        <v>Y</v>
      </c>
    </row>
    <row r="201" spans="2:168" x14ac:dyDescent="0.25">
      <c r="B201" s="634">
        <v>78556000</v>
      </c>
      <c r="C201" s="635" t="str">
        <f>VLOOKUP($B201,'Afton Update'!$A$5:$CR$582,'Afton Update'!D$589,0)</f>
        <v>Morrison Education Group  Inc.</v>
      </c>
      <c r="D201" s="636">
        <f>IFERROR(VLOOKUP($B201,'Afton FY16 Final'!$A$5:$BV$587,'Afton FY16 Final'!AQ$587,0),0)</f>
        <v>57634.012703398679</v>
      </c>
      <c r="E201" s="637">
        <f>IFERROR(VLOOKUP($B201,'Afton FY16 Final'!$A$5:$BV$587,'Afton FY16 Final'!AR$587,0),0)</f>
        <v>13610.773191701755</v>
      </c>
      <c r="F201" s="637">
        <f>IFERROR(VLOOKUP($B201,'Afton FY16 Final'!$A$5:$BV$587,'Afton FY16 Final'!AS$587,0),0)</f>
        <v>31278.655694859197</v>
      </c>
      <c r="G201" s="637">
        <f>IFERROR(VLOOKUP($B201,'Afton FY16 Final'!$A$5:$BV$587,'Afton FY16 Final'!AT$587,0),0)</f>
        <v>26263.384739474288</v>
      </c>
      <c r="H201" s="638">
        <f>IFERROR(VLOOKUP($B201,'Afton FY16 Final'!$A$5:$BV$587,'Afton FY16 Final'!AU$587,0),0)</f>
        <v>128786.82632943393</v>
      </c>
      <c r="I201" s="639" t="str">
        <f>VLOOKUP($B201,'Afton Update'!$A$5:$CR$582,'Afton Update'!BT$589,0)</f>
        <v>Y</v>
      </c>
      <c r="J201" s="640" t="str">
        <f>VLOOKUP($B201,'Afton Update'!$A$5:$CR$582,'Afton Update'!BU$589,0)</f>
        <v>Y</v>
      </c>
      <c r="K201" s="640" t="str">
        <f>VLOOKUP($B201,'Afton Update'!$A$5:$CR$582,'Afton Update'!BV$589,0)</f>
        <v>Y</v>
      </c>
      <c r="L201" s="641" t="str">
        <f>VLOOKUP($B201,'Afton Update'!$A$5:$CR$582,'Afton Update'!BW$589,0)</f>
        <v>Y</v>
      </c>
      <c r="N201" s="642">
        <f>VLOOKUP($B201,'Afton Update'!$A$5:$CR$582,'Afton Update'!CB$589,0)</f>
        <v>0.95</v>
      </c>
      <c r="P201" s="636">
        <f>VLOOKUP($B201,'Afton Update'!$A$5:$CR$582,'Afton Update'!AH$589,0)</f>
        <v>56204.864679232553</v>
      </c>
      <c r="Q201" s="637">
        <f>VLOOKUP($B201,'Afton Update'!$A$5:$CR$582,'Afton Update'!AI$589,0)</f>
        <v>13753.89701373879</v>
      </c>
      <c r="R201" s="637">
        <f>VLOOKUP($B201,'Afton Update'!$A$5:$CR$582,'Afton Update'!AJ$589,0)</f>
        <v>32919.911535912848</v>
      </c>
      <c r="S201" s="637">
        <f>VLOOKUP($B201,'Afton Update'!$A$5:$CR$582,'Afton Update'!AK$589,0)</f>
        <v>30644.113296547428</v>
      </c>
      <c r="T201" s="643">
        <f t="shared" si="506"/>
        <v>133522.78652543161</v>
      </c>
      <c r="V201" s="636">
        <f t="shared" si="532"/>
        <v>55438.193844472444</v>
      </c>
      <c r="W201" s="637">
        <f t="shared" si="533"/>
        <v>13300.893931663917</v>
      </c>
      <c r="X201" s="637">
        <f t="shared" si="534"/>
        <v>32620.517793587202</v>
      </c>
      <c r="Y201" s="637">
        <f t="shared" si="535"/>
        <v>30306.470330241176</v>
      </c>
      <c r="Z201" s="643">
        <f t="shared" si="536"/>
        <v>131666.07589996475</v>
      </c>
      <c r="AB201" s="644">
        <f t="shared" si="507"/>
        <v>56204.864679232553</v>
      </c>
      <c r="AC201" s="645">
        <f t="shared" si="481"/>
        <v>54752.312068228741</v>
      </c>
      <c r="AD201" s="644">
        <f t="shared" si="537"/>
        <v>0</v>
      </c>
      <c r="AE201" s="645">
        <f t="shared" si="538"/>
        <v>56204.864679232553</v>
      </c>
      <c r="AF201" s="646">
        <f t="shared" si="539"/>
        <v>-696.70153453057026</v>
      </c>
      <c r="AG201" s="647">
        <f t="shared" si="540"/>
        <v>55508.163144701983</v>
      </c>
      <c r="AH201" s="644">
        <f t="shared" si="508"/>
        <v>0</v>
      </c>
      <c r="AI201" s="645">
        <f t="shared" si="509"/>
        <v>55508.163144701983</v>
      </c>
      <c r="AJ201" s="646">
        <f t="shared" si="541"/>
        <v>-69.924723003271467</v>
      </c>
      <c r="AK201" s="647">
        <f t="shared" si="510"/>
        <v>55438.238421698712</v>
      </c>
      <c r="AL201" s="644">
        <f t="shared" si="542"/>
        <v>0</v>
      </c>
      <c r="AM201" s="645">
        <f t="shared" si="543"/>
        <v>55438.238421698712</v>
      </c>
      <c r="AN201" s="646">
        <f t="shared" si="544"/>
        <v>-4.4577226270635699E-2</v>
      </c>
      <c r="AO201" s="647">
        <f t="shared" si="511"/>
        <v>55438.193844472444</v>
      </c>
      <c r="AP201" s="644">
        <f t="shared" si="545"/>
        <v>0</v>
      </c>
      <c r="AQ201" s="645">
        <f t="shared" si="546"/>
        <v>55438.193844472444</v>
      </c>
      <c r="AR201" s="646">
        <f t="shared" si="547"/>
        <v>0</v>
      </c>
      <c r="AS201" s="647">
        <f t="shared" si="512"/>
        <v>55438.193844472444</v>
      </c>
      <c r="AT201" s="644">
        <f t="shared" si="548"/>
        <v>0</v>
      </c>
      <c r="AU201" s="645">
        <f t="shared" si="549"/>
        <v>55438.193844472444</v>
      </c>
      <c r="AV201" s="646">
        <f t="shared" si="550"/>
        <v>0</v>
      </c>
      <c r="AW201" s="647">
        <f t="shared" si="513"/>
        <v>55438.193844472444</v>
      </c>
      <c r="AY201" s="644">
        <f t="shared" si="551"/>
        <v>13753.89701373879</v>
      </c>
      <c r="AZ201" s="645">
        <f t="shared" si="482"/>
        <v>12930.234532116667</v>
      </c>
      <c r="BA201" s="644">
        <f t="shared" si="552"/>
        <v>0</v>
      </c>
      <c r="BB201" s="645">
        <f t="shared" si="553"/>
        <v>13753.89701373879</v>
      </c>
      <c r="BC201" s="646">
        <f t="shared" si="554"/>
        <v>-98.908281730112733</v>
      </c>
      <c r="BD201" s="647">
        <f t="shared" si="555"/>
        <v>13654.988732008676</v>
      </c>
      <c r="BE201" s="644">
        <f t="shared" si="514"/>
        <v>0</v>
      </c>
      <c r="BF201" s="645">
        <f t="shared" si="515"/>
        <v>13654.988732008676</v>
      </c>
      <c r="BG201" s="646">
        <f t="shared" si="556"/>
        <v>-325.25070358344959</v>
      </c>
      <c r="BH201" s="647">
        <f t="shared" si="516"/>
        <v>13329.738028425227</v>
      </c>
      <c r="BI201" s="644">
        <f t="shared" si="557"/>
        <v>0</v>
      </c>
      <c r="BJ201" s="645">
        <f t="shared" si="558"/>
        <v>13329.738028425227</v>
      </c>
      <c r="BK201" s="646">
        <f t="shared" si="559"/>
        <v>-28.235515926555987</v>
      </c>
      <c r="BL201" s="647">
        <f t="shared" si="517"/>
        <v>13301.502512498671</v>
      </c>
      <c r="BM201" s="644">
        <f t="shared" si="560"/>
        <v>0</v>
      </c>
      <c r="BN201" s="645">
        <f t="shared" si="561"/>
        <v>13301.502512498671</v>
      </c>
      <c r="BO201" s="646">
        <f t="shared" si="562"/>
        <v>-0.60858083475416569</v>
      </c>
      <c r="BP201" s="647">
        <f t="shared" si="518"/>
        <v>13300.893931663917</v>
      </c>
      <c r="BQ201" s="644">
        <f t="shared" si="563"/>
        <v>0</v>
      </c>
      <c r="BR201" s="645">
        <f t="shared" si="564"/>
        <v>13300.893931663917</v>
      </c>
      <c r="BS201" s="646">
        <f t="shared" si="565"/>
        <v>0</v>
      </c>
      <c r="BT201" s="647">
        <f t="shared" si="519"/>
        <v>13300.893931663917</v>
      </c>
      <c r="BU201" s="662">
        <f>VLOOKUP(B201,'Afton Update'!$A$5:$AR$582,'Afton Update'!$AO$589,0)-BT201</f>
        <v>0</v>
      </c>
      <c r="BV201" s="644">
        <f t="shared" si="566"/>
        <v>32919.911535912848</v>
      </c>
      <c r="BW201" s="645">
        <f t="shared" si="483"/>
        <v>29714.722910116237</v>
      </c>
      <c r="BX201" s="644">
        <f t="shared" si="567"/>
        <v>0</v>
      </c>
      <c r="BY201" s="645">
        <f t="shared" si="568"/>
        <v>32919.911535912848</v>
      </c>
      <c r="BZ201" s="646">
        <f t="shared" si="569"/>
        <v>-288.94156355660107</v>
      </c>
      <c r="CA201" s="647">
        <f t="shared" si="570"/>
        <v>32630.969972356248</v>
      </c>
      <c r="CB201" s="644">
        <f t="shared" si="520"/>
        <v>0</v>
      </c>
      <c r="CC201" s="645">
        <f t="shared" si="521"/>
        <v>32630.969972356248</v>
      </c>
      <c r="CD201" s="646">
        <f t="shared" si="571"/>
        <v>-10.452178769047716</v>
      </c>
      <c r="CE201" s="647">
        <f t="shared" si="522"/>
        <v>32620.517793587202</v>
      </c>
      <c r="CF201" s="644">
        <f t="shared" si="572"/>
        <v>0</v>
      </c>
      <c r="CG201" s="645">
        <f t="shared" si="573"/>
        <v>32620.517793587202</v>
      </c>
      <c r="CH201" s="646">
        <f t="shared" si="574"/>
        <v>0</v>
      </c>
      <c r="CI201" s="647">
        <f t="shared" si="523"/>
        <v>32620.517793587202</v>
      </c>
      <c r="CJ201" s="644">
        <f t="shared" si="575"/>
        <v>0</v>
      </c>
      <c r="CK201" s="645">
        <f t="shared" si="576"/>
        <v>32620.517793587202</v>
      </c>
      <c r="CL201" s="646">
        <f t="shared" si="577"/>
        <v>0</v>
      </c>
      <c r="CM201" s="647">
        <f t="shared" si="524"/>
        <v>32620.517793587202</v>
      </c>
      <c r="CN201" s="644">
        <f t="shared" si="578"/>
        <v>0</v>
      </c>
      <c r="CO201" s="645">
        <f t="shared" si="579"/>
        <v>32620.517793587202</v>
      </c>
      <c r="CP201" s="646">
        <f t="shared" si="580"/>
        <v>0</v>
      </c>
      <c r="CQ201" s="647">
        <f t="shared" si="525"/>
        <v>32620.517793587202</v>
      </c>
      <c r="CS201" s="644">
        <f t="shared" si="581"/>
        <v>30644.113296547428</v>
      </c>
      <c r="CT201" s="645">
        <f t="shared" si="484"/>
        <v>24950.215502500574</v>
      </c>
      <c r="CU201" s="644">
        <f t="shared" si="582"/>
        <v>0</v>
      </c>
      <c r="CV201" s="645">
        <f t="shared" si="583"/>
        <v>30644.113296547428</v>
      </c>
      <c r="CW201" s="646">
        <f t="shared" si="584"/>
        <v>-313.81303781849533</v>
      </c>
      <c r="CX201" s="647">
        <f t="shared" si="585"/>
        <v>30330.300258728934</v>
      </c>
      <c r="CY201" s="644">
        <f t="shared" si="526"/>
        <v>0</v>
      </c>
      <c r="CZ201" s="645">
        <f t="shared" si="527"/>
        <v>30330.300258728934</v>
      </c>
      <c r="DA201" s="646">
        <f t="shared" si="586"/>
        <v>-23.809395849354598</v>
      </c>
      <c r="DB201" s="647">
        <f t="shared" si="528"/>
        <v>30306.490862879578</v>
      </c>
      <c r="DC201" s="644">
        <f t="shared" si="587"/>
        <v>0</v>
      </c>
      <c r="DD201" s="645">
        <f t="shared" si="588"/>
        <v>30306.490862879578</v>
      </c>
      <c r="DE201" s="646">
        <f t="shared" si="589"/>
        <v>-2.0532638403372154E-2</v>
      </c>
      <c r="DF201" s="647">
        <f t="shared" si="529"/>
        <v>30306.470330241176</v>
      </c>
      <c r="DG201" s="644">
        <f t="shared" si="590"/>
        <v>0</v>
      </c>
      <c r="DH201" s="645">
        <f t="shared" si="591"/>
        <v>30306.470330241176</v>
      </c>
      <c r="DI201" s="646">
        <f t="shared" si="592"/>
        <v>0</v>
      </c>
      <c r="DJ201" s="647">
        <f t="shared" si="530"/>
        <v>30306.470330241176</v>
      </c>
      <c r="DK201" s="644">
        <f t="shared" si="593"/>
        <v>0</v>
      </c>
      <c r="DL201" s="645">
        <f t="shared" si="594"/>
        <v>30306.470330241176</v>
      </c>
      <c r="DM201" s="646">
        <f t="shared" si="595"/>
        <v>0</v>
      </c>
      <c r="DN201" s="647">
        <f t="shared" si="531"/>
        <v>30306.470330241176</v>
      </c>
      <c r="DR201" s="827">
        <f t="shared" si="485"/>
        <v>131666.07589996475</v>
      </c>
      <c r="DV201" s="828">
        <f>IFERROR(VLOOKUP($B201,'Afton FY16 Final'!$A$5:$BV$587,'Afton FY16 Final'!$BV$587,0),0)</f>
        <v>114340.85686870452</v>
      </c>
      <c r="DX201" s="636">
        <f t="shared" si="473"/>
        <v>131666.07589996475</v>
      </c>
      <c r="DY201" s="637">
        <f t="shared" si="474"/>
        <v>17325.219031260232</v>
      </c>
      <c r="DZ201" s="637">
        <f t="shared" si="475"/>
        <v>114340.85686870452</v>
      </c>
      <c r="EA201" s="643">
        <f t="shared" si="476"/>
        <v>124662.91629659121</v>
      </c>
      <c r="EB201" s="637">
        <f t="shared" si="486"/>
        <v>0</v>
      </c>
      <c r="EC201" s="637">
        <f t="shared" si="487"/>
        <v>124662.91629659121</v>
      </c>
      <c r="ED201" s="637">
        <f t="shared" si="488"/>
        <v>124291.17892353403</v>
      </c>
      <c r="EE201" s="643">
        <f t="shared" si="489"/>
        <v>124291.17892353403</v>
      </c>
      <c r="EF201" s="637">
        <f t="shared" si="490"/>
        <v>0</v>
      </c>
      <c r="EG201" s="637">
        <f t="shared" si="491"/>
        <v>124291.17892353403</v>
      </c>
      <c r="EH201" s="637">
        <f t="shared" si="492"/>
        <v>124291.05069717616</v>
      </c>
      <c r="EI201" s="643">
        <f t="shared" si="493"/>
        <v>124291.05069717616</v>
      </c>
      <c r="EJ201" s="637">
        <f t="shared" si="494"/>
        <v>0</v>
      </c>
      <c r="EK201" s="637">
        <f t="shared" si="495"/>
        <v>124291.05069717616</v>
      </c>
      <c r="EL201" s="637">
        <f t="shared" si="496"/>
        <v>124291.05069717598</v>
      </c>
      <c r="EM201" s="643">
        <f t="shared" si="497"/>
        <v>124291.05069717598</v>
      </c>
      <c r="EN201" s="637">
        <f t="shared" si="498"/>
        <v>0</v>
      </c>
      <c r="EO201" s="637">
        <f t="shared" si="499"/>
        <v>124291.05069717598</v>
      </c>
      <c r="EP201" s="637">
        <f t="shared" si="500"/>
        <v>124291.05069717616</v>
      </c>
      <c r="EQ201" s="643">
        <f t="shared" si="501"/>
        <v>124291.05069717616</v>
      </c>
      <c r="ER201" s="637">
        <f t="shared" si="502"/>
        <v>0</v>
      </c>
      <c r="ES201" s="637">
        <f t="shared" si="503"/>
        <v>124291.05069717616</v>
      </c>
      <c r="ET201" s="637">
        <f t="shared" si="504"/>
        <v>124291.05069717598</v>
      </c>
      <c r="EU201" s="643">
        <f t="shared" si="477"/>
        <v>124291.05069717598</v>
      </c>
      <c r="EV201" s="643">
        <f t="shared" si="478"/>
        <v>0</v>
      </c>
      <c r="EX201" s="829">
        <f t="shared" si="479"/>
        <v>7375.0252027887764</v>
      </c>
      <c r="EY201" s="638">
        <f t="shared" si="480"/>
        <v>124291.05069717598</v>
      </c>
      <c r="FC201" s="830" t="str">
        <f t="shared" si="505"/>
        <v>Y</v>
      </c>
      <c r="FE201" s="830" t="str">
        <f>IFERROR(VLOOKUP($B201,'Historical Conc Grant Elig'!$B$3:$J$707,'HH &amp; SI'!FE$2,0),"N")</f>
        <v>N</v>
      </c>
      <c r="FF201" s="830" t="str">
        <f>IFERROR(VLOOKUP($B201,'Historical Conc Grant Elig'!$B$3:$J$707,'HH &amp; SI'!FF$2,0),"N")</f>
        <v>N</v>
      </c>
      <c r="FG201" s="830" t="str">
        <f>IFERROR(VLOOKUP($B201,'Historical Conc Grant Elig'!$B$3:$J$707,'HH &amp; SI'!FG$2,0),"N")</f>
        <v>Y</v>
      </c>
      <c r="FH201" s="830" t="str">
        <f>IFERROR(VLOOKUP($B201,'Historical Conc Grant Elig'!$B$3:$J$707,'HH &amp; SI'!FH$2,0),"N")</f>
        <v>Y</v>
      </c>
      <c r="FI201" s="830" t="str">
        <f>IFERROR(VLOOKUP($B201,'Historical Conc Grant Elig'!$B$3:$J$707,'HH &amp; SI'!FI$2,0),"N")</f>
        <v>Y</v>
      </c>
      <c r="FJ201" s="830" t="str">
        <f>IFERROR(VLOOKUP($B201,'Historical Conc Grant Elig'!$B$3:$J$707,'HH &amp; SI'!FJ$2,0),"N")</f>
        <v>Y</v>
      </c>
      <c r="FK201" s="830" t="str">
        <f>IFERROR(VLOOKUP($B201,'Historical Conc Grant Elig'!$B$3:$J$707,'HH &amp; SI'!FK$2,0),"N")</f>
        <v>Y</v>
      </c>
      <c r="FL201" s="957" t="str">
        <f>IFERROR(VLOOKUP($B201,'Historical Conc Grant Elig'!$B$3:$J$707,'HH &amp; SI'!FL$2,0),"N")</f>
        <v>Y</v>
      </c>
    </row>
    <row r="202" spans="2:168" x14ac:dyDescent="0.25">
      <c r="B202" s="634">
        <v>78558000</v>
      </c>
      <c r="C202" s="635" t="str">
        <f>VLOOKUP($B202,'Afton Update'!$A$5:$CR$582,'Afton Update'!D$589,0)</f>
        <v>Educational Options Foundation</v>
      </c>
      <c r="D202" s="636">
        <f>IFERROR(VLOOKUP($B202,'Afton FY16 Final'!$A$5:$BV$587,'Afton FY16 Final'!AQ$587,0),0)</f>
        <v>39848.626291760316</v>
      </c>
      <c r="E202" s="637">
        <f>IFERROR(VLOOKUP($B202,'Afton FY16 Final'!$A$5:$BV$587,'Afton FY16 Final'!AR$587,0),0)</f>
        <v>10000.005654798631</v>
      </c>
      <c r="F202" s="637">
        <f>IFERROR(VLOOKUP($B202,'Afton FY16 Final'!$A$5:$BV$587,'Afton FY16 Final'!AS$587,0),0)</f>
        <v>21626.317572359203</v>
      </c>
      <c r="G202" s="637">
        <f>IFERROR(VLOOKUP($B202,'Afton FY16 Final'!$A$5:$BV$587,'Afton FY16 Final'!AT$587,0),0)</f>
        <v>18158.718342689954</v>
      </c>
      <c r="H202" s="638">
        <f>IFERROR(VLOOKUP($B202,'Afton FY16 Final'!$A$5:$BV$587,'Afton FY16 Final'!AU$587,0),0)</f>
        <v>89633.667861608104</v>
      </c>
      <c r="I202" s="639" t="str">
        <f>VLOOKUP($B202,'Afton Update'!$A$5:$CR$582,'Afton Update'!BT$589,0)</f>
        <v>Y</v>
      </c>
      <c r="J202" s="640" t="str">
        <f>VLOOKUP($B202,'Afton Update'!$A$5:$CR$582,'Afton Update'!BU$589,0)</f>
        <v>Y</v>
      </c>
      <c r="K202" s="640" t="str">
        <f>VLOOKUP($B202,'Afton Update'!$A$5:$CR$582,'Afton Update'!BV$589,0)</f>
        <v>Y</v>
      </c>
      <c r="L202" s="641" t="str">
        <f>VLOOKUP($B202,'Afton Update'!$A$5:$CR$582,'Afton Update'!BW$589,0)</f>
        <v>Y</v>
      </c>
      <c r="N202" s="642">
        <f>VLOOKUP($B202,'Afton Update'!$A$5:$CR$582,'Afton Update'!CB$589,0)</f>
        <v>0.9</v>
      </c>
      <c r="P202" s="636">
        <f>VLOOKUP($B202,'Afton Update'!$A$5:$CR$582,'Afton Update'!AH$589,0)</f>
        <v>27743.677884216919</v>
      </c>
      <c r="Q202" s="637">
        <f>VLOOKUP($B202,'Afton Update'!$A$5:$CR$582,'Afton Update'!AI$589,0)</f>
        <v>7868.1693538321451</v>
      </c>
      <c r="R202" s="637">
        <f>VLOOKUP($B202,'Afton Update'!$A$5:$CR$582,'Afton Update'!AJ$589,0)</f>
        <v>16262.66074445575</v>
      </c>
      <c r="S202" s="637">
        <f>VLOOKUP($B202,'Afton Update'!$A$5:$CR$582,'Afton Update'!AK$589,0)</f>
        <v>15138.400897971849</v>
      </c>
      <c r="T202" s="643">
        <f t="shared" si="506"/>
        <v>67012.908880476665</v>
      </c>
      <c r="V202" s="636">
        <f t="shared" si="532"/>
        <v>35863.763662584286</v>
      </c>
      <c r="W202" s="637">
        <f t="shared" si="533"/>
        <v>9000.005089318769</v>
      </c>
      <c r="X202" s="637">
        <f t="shared" si="534"/>
        <v>19463.685815123285</v>
      </c>
      <c r="Y202" s="637">
        <f t="shared" si="535"/>
        <v>16342.846508420958</v>
      </c>
      <c r="Z202" s="643">
        <f t="shared" si="536"/>
        <v>80670.301075447307</v>
      </c>
      <c r="AB202" s="644">
        <f t="shared" si="507"/>
        <v>27743.677884216919</v>
      </c>
      <c r="AC202" s="645">
        <f t="shared" si="481"/>
        <v>35863.763662584286</v>
      </c>
      <c r="AD202" s="644">
        <f t="shared" si="537"/>
        <v>8120.0857783673673</v>
      </c>
      <c r="AE202" s="645">
        <f t="shared" si="538"/>
        <v>0</v>
      </c>
      <c r="AF202" s="646">
        <f t="shared" si="539"/>
        <v>0</v>
      </c>
      <c r="AG202" s="647">
        <f t="shared" si="540"/>
        <v>35863.763662584286</v>
      </c>
      <c r="AH202" s="644">
        <f t="shared" si="508"/>
        <v>0</v>
      </c>
      <c r="AI202" s="645">
        <f t="shared" si="509"/>
        <v>0</v>
      </c>
      <c r="AJ202" s="646">
        <f t="shared" si="541"/>
        <v>0</v>
      </c>
      <c r="AK202" s="647">
        <f t="shared" si="510"/>
        <v>35863.763662584286</v>
      </c>
      <c r="AL202" s="644">
        <f t="shared" si="542"/>
        <v>0</v>
      </c>
      <c r="AM202" s="645">
        <f t="shared" si="543"/>
        <v>0</v>
      </c>
      <c r="AN202" s="646">
        <f t="shared" si="544"/>
        <v>0</v>
      </c>
      <c r="AO202" s="647">
        <f t="shared" si="511"/>
        <v>35863.763662584286</v>
      </c>
      <c r="AP202" s="644">
        <f t="shared" si="545"/>
        <v>0</v>
      </c>
      <c r="AQ202" s="645">
        <f t="shared" si="546"/>
        <v>0</v>
      </c>
      <c r="AR202" s="646">
        <f t="shared" si="547"/>
        <v>0</v>
      </c>
      <c r="AS202" s="647">
        <f t="shared" si="512"/>
        <v>35863.763662584286</v>
      </c>
      <c r="AT202" s="644">
        <f t="shared" si="548"/>
        <v>0</v>
      </c>
      <c r="AU202" s="645">
        <f t="shared" si="549"/>
        <v>0</v>
      </c>
      <c r="AV202" s="646">
        <f t="shared" si="550"/>
        <v>0</v>
      </c>
      <c r="AW202" s="647">
        <f t="shared" si="513"/>
        <v>35863.763662584286</v>
      </c>
      <c r="AY202" s="644">
        <f t="shared" si="551"/>
        <v>7868.1693538321451</v>
      </c>
      <c r="AZ202" s="645">
        <f t="shared" si="482"/>
        <v>9000.005089318769</v>
      </c>
      <c r="BA202" s="644">
        <f t="shared" si="552"/>
        <v>1131.8357354866239</v>
      </c>
      <c r="BB202" s="645">
        <f t="shared" si="553"/>
        <v>0</v>
      </c>
      <c r="BC202" s="646">
        <f t="shared" si="554"/>
        <v>0</v>
      </c>
      <c r="BD202" s="647">
        <f t="shared" si="555"/>
        <v>9000.005089318769</v>
      </c>
      <c r="BE202" s="644">
        <f t="shared" si="514"/>
        <v>0</v>
      </c>
      <c r="BF202" s="645">
        <f t="shared" si="515"/>
        <v>0</v>
      </c>
      <c r="BG202" s="646">
        <f t="shared" si="556"/>
        <v>0</v>
      </c>
      <c r="BH202" s="647">
        <f t="shared" si="516"/>
        <v>9000.005089318769</v>
      </c>
      <c r="BI202" s="644">
        <f t="shared" si="557"/>
        <v>0</v>
      </c>
      <c r="BJ202" s="645">
        <f t="shared" si="558"/>
        <v>0</v>
      </c>
      <c r="BK202" s="646">
        <f t="shared" si="559"/>
        <v>0</v>
      </c>
      <c r="BL202" s="647">
        <f t="shared" si="517"/>
        <v>9000.005089318769</v>
      </c>
      <c r="BM202" s="644">
        <f t="shared" si="560"/>
        <v>0</v>
      </c>
      <c r="BN202" s="645">
        <f t="shared" si="561"/>
        <v>0</v>
      </c>
      <c r="BO202" s="646">
        <f t="shared" si="562"/>
        <v>0</v>
      </c>
      <c r="BP202" s="647">
        <f t="shared" si="518"/>
        <v>9000.005089318769</v>
      </c>
      <c r="BQ202" s="644">
        <f t="shared" si="563"/>
        <v>0</v>
      </c>
      <c r="BR202" s="645">
        <f t="shared" si="564"/>
        <v>0</v>
      </c>
      <c r="BS202" s="646">
        <f t="shared" si="565"/>
        <v>0</v>
      </c>
      <c r="BT202" s="647">
        <f t="shared" si="519"/>
        <v>9000.005089318769</v>
      </c>
      <c r="BU202" s="662">
        <f>VLOOKUP(B202,'Afton Update'!$A$5:$AR$582,'Afton Update'!$AO$589,0)-BT202</f>
        <v>0</v>
      </c>
      <c r="BV202" s="644">
        <f t="shared" si="566"/>
        <v>16262.66074445575</v>
      </c>
      <c r="BW202" s="645">
        <f t="shared" si="483"/>
        <v>19463.685815123285</v>
      </c>
      <c r="BX202" s="644">
        <f t="shared" si="567"/>
        <v>3201.0250706675342</v>
      </c>
      <c r="BY202" s="645">
        <f t="shared" si="568"/>
        <v>0</v>
      </c>
      <c r="BZ202" s="646">
        <f t="shared" si="569"/>
        <v>0</v>
      </c>
      <c r="CA202" s="647">
        <f t="shared" si="570"/>
        <v>19463.685815123285</v>
      </c>
      <c r="CB202" s="644">
        <f t="shared" si="520"/>
        <v>0</v>
      </c>
      <c r="CC202" s="645">
        <f t="shared" si="521"/>
        <v>0</v>
      </c>
      <c r="CD202" s="646">
        <f t="shared" si="571"/>
        <v>0</v>
      </c>
      <c r="CE202" s="647">
        <f t="shared" si="522"/>
        <v>19463.685815123285</v>
      </c>
      <c r="CF202" s="644">
        <f t="shared" si="572"/>
        <v>0</v>
      </c>
      <c r="CG202" s="645">
        <f t="shared" si="573"/>
        <v>0</v>
      </c>
      <c r="CH202" s="646">
        <f t="shared" si="574"/>
        <v>0</v>
      </c>
      <c r="CI202" s="647">
        <f t="shared" si="523"/>
        <v>19463.685815123285</v>
      </c>
      <c r="CJ202" s="644">
        <f t="shared" si="575"/>
        <v>0</v>
      </c>
      <c r="CK202" s="645">
        <f t="shared" si="576"/>
        <v>0</v>
      </c>
      <c r="CL202" s="646">
        <f t="shared" si="577"/>
        <v>0</v>
      </c>
      <c r="CM202" s="647">
        <f t="shared" si="524"/>
        <v>19463.685815123285</v>
      </c>
      <c r="CN202" s="644">
        <f t="shared" si="578"/>
        <v>0</v>
      </c>
      <c r="CO202" s="645">
        <f t="shared" si="579"/>
        <v>0</v>
      </c>
      <c r="CP202" s="646">
        <f t="shared" si="580"/>
        <v>0</v>
      </c>
      <c r="CQ202" s="647">
        <f t="shared" si="525"/>
        <v>19463.685815123285</v>
      </c>
      <c r="CS202" s="644">
        <f t="shared" si="581"/>
        <v>15138.400897971849</v>
      </c>
      <c r="CT202" s="645">
        <f t="shared" si="484"/>
        <v>16342.846508420958</v>
      </c>
      <c r="CU202" s="644">
        <f t="shared" si="582"/>
        <v>1204.4456104491092</v>
      </c>
      <c r="CV202" s="645">
        <f t="shared" si="583"/>
        <v>0</v>
      </c>
      <c r="CW202" s="646">
        <f t="shared" si="584"/>
        <v>0</v>
      </c>
      <c r="CX202" s="647">
        <f t="shared" si="585"/>
        <v>16342.846508420958</v>
      </c>
      <c r="CY202" s="644">
        <f t="shared" si="526"/>
        <v>0</v>
      </c>
      <c r="CZ202" s="645">
        <f t="shared" si="527"/>
        <v>0</v>
      </c>
      <c r="DA202" s="646">
        <f t="shared" si="586"/>
        <v>0</v>
      </c>
      <c r="DB202" s="647">
        <f t="shared" si="528"/>
        <v>16342.846508420958</v>
      </c>
      <c r="DC202" s="644">
        <f t="shared" si="587"/>
        <v>0</v>
      </c>
      <c r="DD202" s="645">
        <f t="shared" si="588"/>
        <v>0</v>
      </c>
      <c r="DE202" s="646">
        <f t="shared" si="589"/>
        <v>0</v>
      </c>
      <c r="DF202" s="647">
        <f t="shared" si="529"/>
        <v>16342.846508420958</v>
      </c>
      <c r="DG202" s="644">
        <f t="shared" si="590"/>
        <v>0</v>
      </c>
      <c r="DH202" s="645">
        <f t="shared" si="591"/>
        <v>0</v>
      </c>
      <c r="DI202" s="646">
        <f t="shared" si="592"/>
        <v>0</v>
      </c>
      <c r="DJ202" s="647">
        <f t="shared" si="530"/>
        <v>16342.846508420958</v>
      </c>
      <c r="DK202" s="644">
        <f t="shared" si="593"/>
        <v>0</v>
      </c>
      <c r="DL202" s="645">
        <f t="shared" si="594"/>
        <v>0</v>
      </c>
      <c r="DM202" s="646">
        <f t="shared" si="595"/>
        <v>0</v>
      </c>
      <c r="DN202" s="647">
        <f t="shared" si="531"/>
        <v>16342.846508420958</v>
      </c>
      <c r="DR202" s="827">
        <f t="shared" si="485"/>
        <v>80670.301075447307</v>
      </c>
      <c r="DV202" s="828">
        <f>IFERROR(VLOOKUP($B202,'Afton FY16 Final'!$A$5:$BV$587,'Afton FY16 Final'!$BV$587,0),0)</f>
        <v>84425.153194574348</v>
      </c>
      <c r="DX202" s="636">
        <f t="shared" si="473"/>
        <v>0</v>
      </c>
      <c r="DY202" s="637">
        <f t="shared" si="474"/>
        <v>0</v>
      </c>
      <c r="DZ202" s="637">
        <f t="shared" si="475"/>
        <v>0</v>
      </c>
      <c r="EA202" s="643">
        <f t="shared" si="476"/>
        <v>0</v>
      </c>
      <c r="EB202" s="637">
        <f t="shared" si="486"/>
        <v>0</v>
      </c>
      <c r="EC202" s="637">
        <f t="shared" si="487"/>
        <v>0</v>
      </c>
      <c r="ED202" s="637">
        <f t="shared" si="488"/>
        <v>0</v>
      </c>
      <c r="EE202" s="643">
        <f t="shared" si="489"/>
        <v>0</v>
      </c>
      <c r="EF202" s="637">
        <f t="shared" si="490"/>
        <v>0</v>
      </c>
      <c r="EG202" s="637">
        <f t="shared" si="491"/>
        <v>0</v>
      </c>
      <c r="EH202" s="637">
        <f t="shared" si="492"/>
        <v>0</v>
      </c>
      <c r="EI202" s="643">
        <f t="shared" si="493"/>
        <v>0</v>
      </c>
      <c r="EJ202" s="637">
        <f t="shared" si="494"/>
        <v>0</v>
      </c>
      <c r="EK202" s="637">
        <f t="shared" si="495"/>
        <v>0</v>
      </c>
      <c r="EL202" s="637">
        <f t="shared" si="496"/>
        <v>0</v>
      </c>
      <c r="EM202" s="643">
        <f t="shared" si="497"/>
        <v>0</v>
      </c>
      <c r="EN202" s="637">
        <f t="shared" si="498"/>
        <v>0</v>
      </c>
      <c r="EO202" s="637">
        <f t="shared" si="499"/>
        <v>0</v>
      </c>
      <c r="EP202" s="637">
        <f t="shared" si="500"/>
        <v>0</v>
      </c>
      <c r="EQ202" s="643">
        <f t="shared" si="501"/>
        <v>0</v>
      </c>
      <c r="ER202" s="637">
        <f t="shared" si="502"/>
        <v>0</v>
      </c>
      <c r="ES202" s="637">
        <f t="shared" si="503"/>
        <v>0</v>
      </c>
      <c r="ET202" s="637">
        <f t="shared" si="504"/>
        <v>0</v>
      </c>
      <c r="EU202" s="643">
        <f t="shared" si="477"/>
        <v>0</v>
      </c>
      <c r="EV202" s="643">
        <f t="shared" si="478"/>
        <v>0</v>
      </c>
      <c r="EX202" s="829">
        <f t="shared" si="479"/>
        <v>0</v>
      </c>
      <c r="EY202" s="638">
        <f t="shared" si="480"/>
        <v>80670.301075447307</v>
      </c>
      <c r="FC202" s="830" t="str">
        <f t="shared" si="505"/>
        <v>Y</v>
      </c>
      <c r="FE202" s="830" t="str">
        <f>IFERROR(VLOOKUP($B202,'Historical Conc Grant Elig'!$B$3:$J$707,'HH &amp; SI'!FE$2,0),"N")</f>
        <v>N</v>
      </c>
      <c r="FF202" s="830" t="str">
        <f>IFERROR(VLOOKUP($B202,'Historical Conc Grant Elig'!$B$3:$J$707,'HH &amp; SI'!FF$2,0),"N")</f>
        <v>N</v>
      </c>
      <c r="FG202" s="830" t="str">
        <f>IFERROR(VLOOKUP($B202,'Historical Conc Grant Elig'!$B$3:$J$707,'HH &amp; SI'!FG$2,0),"N")</f>
        <v>N</v>
      </c>
      <c r="FH202" s="830" t="str">
        <f>IFERROR(VLOOKUP($B202,'Historical Conc Grant Elig'!$B$3:$J$707,'HH &amp; SI'!FH$2,0),"N")</f>
        <v>Y</v>
      </c>
      <c r="FI202" s="830" t="str">
        <f>IFERROR(VLOOKUP($B202,'Historical Conc Grant Elig'!$B$3:$J$707,'HH &amp; SI'!FI$2,0),"N")</f>
        <v>Y</v>
      </c>
      <c r="FJ202" s="830" t="str">
        <f>IFERROR(VLOOKUP($B202,'Historical Conc Grant Elig'!$B$3:$J$707,'HH &amp; SI'!FJ$2,0),"N")</f>
        <v>Y</v>
      </c>
      <c r="FK202" s="830" t="str">
        <f>IFERROR(VLOOKUP($B202,'Historical Conc Grant Elig'!$B$3:$J$707,'HH &amp; SI'!FK$2,0),"N")</f>
        <v>Y</v>
      </c>
      <c r="FL202" s="957" t="str">
        <f>IFERROR(VLOOKUP($B202,'Historical Conc Grant Elig'!$B$3:$J$707,'HH &amp; SI'!FL$2,0),"N")</f>
        <v>Y</v>
      </c>
    </row>
    <row r="203" spans="2:168" s="935" customFormat="1" x14ac:dyDescent="0.25">
      <c r="B203" s="936">
        <v>78267000</v>
      </c>
      <c r="C203" s="937" t="s">
        <v>1394</v>
      </c>
      <c r="D203" s="938">
        <f>IFERROR(VLOOKUP($B205,'Afton FY16 Final'!$A$5:$BV$587,'Afton FY16 Final'!AQ$587,0),0)*'Phoenix Collegiate Split'!$C3</f>
        <v>42718.506516140405</v>
      </c>
      <c r="E203" s="939">
        <f>IFERROR(VLOOKUP($B205,'Afton FY16 Final'!$A$5:$BV$587,'Afton FY16 Final'!AR$587,0),0)*'Phoenix Collegiate Split'!$C3</f>
        <v>9347.2500711292796</v>
      </c>
      <c r="F203" s="939">
        <f>IFERROR(VLOOKUP($B205,'Afton FY16 Final'!$A$5:$BV$587,'Afton FY16 Final'!AS$587,0),0)*'Phoenix Collegiate Split'!$C3</f>
        <v>23183.835281317497</v>
      </c>
      <c r="G203" s="939">
        <f>IFERROR(VLOOKUP($B205,'Afton FY16 Final'!$A$5:$BV$587,'Afton FY16 Final'!AT$587,0),0)*'Phoenix Collegiate Split'!$C3</f>
        <v>19466.501107651919</v>
      </c>
      <c r="H203" s="940">
        <f>IFERROR(VLOOKUP($B205,'Afton FY16 Final'!$A$5:$BV$587,'Afton FY16 Final'!AU$587,0),0)*'Phoenix Collegiate Split'!$C3</f>
        <v>94716.092976239102</v>
      </c>
      <c r="I203" s="941" t="str">
        <f>VLOOKUP($B203,'Afton Update'!$A$5:$CR$582,'Afton Update'!BT$589,0)</f>
        <v>Y</v>
      </c>
      <c r="J203" s="942" t="str">
        <f>VLOOKUP($B203,'Afton Update'!$A$5:$CR$582,'Afton Update'!BU$589,0)</f>
        <v>Y</v>
      </c>
      <c r="K203" s="942" t="str">
        <f>VLOOKUP($B203,'Afton Update'!$A$5:$CR$582,'Afton Update'!BV$589,0)</f>
        <v>Y</v>
      </c>
      <c r="L203" s="943" t="str">
        <f>VLOOKUP($B203,'Afton Update'!$A$5:$CR$582,'Afton Update'!BW$589,0)</f>
        <v>Y</v>
      </c>
      <c r="N203" s="944">
        <f>VLOOKUP($B203,'Afton Update'!$A$5:$CR$582,'Afton Update'!CB$589,0)</f>
        <v>0.95</v>
      </c>
      <c r="P203" s="938">
        <f>VLOOKUP($B203,'Afton Update'!$A$5:$CR$582,'Afton Update'!AH$589,0)</f>
        <v>39702.159730862142</v>
      </c>
      <c r="Q203" s="939">
        <f>VLOOKUP($B203,'Afton Update'!$A$5:$CR$582,'Afton Update'!AI$589,0)</f>
        <v>10341.164168918971</v>
      </c>
      <c r="R203" s="939">
        <f>VLOOKUP($B203,'Afton Update'!$A$5:$CR$582,'Afton Update'!AJ$589,0)</f>
        <v>23261.505614815873</v>
      </c>
      <c r="S203" s="939">
        <f>VLOOKUP($B203,'Afton Update'!$A$5:$CR$582,'Afton Update'!AK$589,0)</f>
        <v>21653.406107457384</v>
      </c>
      <c r="T203" s="945">
        <f t="shared" ref="T203:T204" si="596">SUM(P203:S203)</f>
        <v>94958.235622054373</v>
      </c>
      <c r="V203" s="938">
        <f t="shared" ref="V203:V204" si="597">AW203</f>
        <v>40582.581190333382</v>
      </c>
      <c r="W203" s="939">
        <f t="shared" ref="W203:W204" si="598">BT203</f>
        <v>10000.564029476085</v>
      </c>
      <c r="X203" s="939">
        <f t="shared" ref="X203:X204" si="599">CQ203</f>
        <v>23049.951303360591</v>
      </c>
      <c r="Y203" s="939">
        <f t="shared" ref="Y203:Y204" si="600">DN203</f>
        <v>21414.824550275258</v>
      </c>
      <c r="Z203" s="945">
        <f t="shared" ref="Z203:Z204" si="601">SUM(V203:Y203)</f>
        <v>95047.921073445308</v>
      </c>
      <c r="AB203" s="946">
        <f t="shared" ref="AB203:AB204" si="602">IF(P203="",0,P203)</f>
        <v>39702.159730862142</v>
      </c>
      <c r="AC203" s="947">
        <f t="shared" ref="AC203:AC204" si="603">IF(I203="N",0,D203*$N203)</f>
        <v>40582.581190333382</v>
      </c>
      <c r="AD203" s="946">
        <f t="shared" ref="AD203:AD204" si="604">IF($I203="N",0,MAX(AC203-AB203,0))</f>
        <v>880.42145947123936</v>
      </c>
      <c r="AE203" s="947">
        <f t="shared" ref="AE203:AE204" si="605">IF(AD203=0,AB203,0)</f>
        <v>0</v>
      </c>
      <c r="AF203" s="948">
        <f t="shared" ref="AF203:AF204" si="606">-IF(AD203=0,((AE203/AE$2)*AD$2),0)</f>
        <v>0</v>
      </c>
      <c r="AG203" s="949">
        <f t="shared" ref="AG203:AG204" si="607">IF(AD203=0,AE203+AF203,AD203+AB203)</f>
        <v>40582.581190333382</v>
      </c>
      <c r="AH203" s="946">
        <f t="shared" ref="AH203:AH204" si="608">IF(AG203-AC203&lt;0,AG203-AC203,0)</f>
        <v>0</v>
      </c>
      <c r="AI203" s="947">
        <f t="shared" ref="AI203:AI204" si="609">IF(AND(AH203=0,AD203=0),AG203,0)</f>
        <v>0</v>
      </c>
      <c r="AJ203" s="948">
        <f t="shared" ref="AJ203:AJ204" si="610">IF(AND(AH203=0,AD203=0),((AI203/AI$2))*AH$2,0)</f>
        <v>0</v>
      </c>
      <c r="AK203" s="949">
        <f t="shared" ref="AK203:AK204" si="611">AG203-AH203+AJ203</f>
        <v>40582.581190333382</v>
      </c>
      <c r="AL203" s="946">
        <f t="shared" ref="AL203:AL204" si="612">IF(AK203-AC203&lt;0,AK203-AC203,0)</f>
        <v>0</v>
      </c>
      <c r="AM203" s="947">
        <f t="shared" ref="AM203:AM204" si="613">IF(AND(AH203=0,AD203=0,AL203=0),AK203,0)</f>
        <v>0</v>
      </c>
      <c r="AN203" s="948">
        <f t="shared" ref="AN203:AN204" si="614">IF(AND(AL203=0,AH203=0,AD203=0),((AM203/AM$2))*AL$2,0)</f>
        <v>0</v>
      </c>
      <c r="AO203" s="949">
        <f t="shared" ref="AO203:AO204" si="615">AK203-AL203+AN203</f>
        <v>40582.581190333382</v>
      </c>
      <c r="AP203" s="946">
        <f t="shared" ref="AP203:AP204" si="616">IF(AO203-AC203&lt;0,AO203-AC203,0)</f>
        <v>0</v>
      </c>
      <c r="AQ203" s="947">
        <f t="shared" ref="AQ203:AQ204" si="617">IF(AND(AH203=0,AD203=0,AL203=0,AP203=0),AO203,0)</f>
        <v>0</v>
      </c>
      <c r="AR203" s="948">
        <f t="shared" ref="AR203:AR204" si="618">IF(AND(AP203=0,AL203=0,AH203=0,AD203=0),((AQ203/AQ$2))*AP$2,0)</f>
        <v>0</v>
      </c>
      <c r="AS203" s="949">
        <f t="shared" ref="AS203:AS204" si="619">AO203-AP203+AR203</f>
        <v>40582.581190333382</v>
      </c>
      <c r="AT203" s="946">
        <f t="shared" ref="AT203:AT204" si="620">IF(AS203-AC203&lt;0,AS203-AC203,0)</f>
        <v>0</v>
      </c>
      <c r="AU203" s="947">
        <f t="shared" ref="AU203:AU204" si="621">IF(AND(AP203=0,AL203=0,AT203=0,AD203=0,AH203=0),AS203,0)</f>
        <v>0</v>
      </c>
      <c r="AV203" s="948">
        <f t="shared" ref="AV203:AV204" si="622">IF(AND(AT203=0,AP203=0,AL203=0),((AU203/AU$2))*AT$2,0)</f>
        <v>0</v>
      </c>
      <c r="AW203" s="949">
        <f t="shared" ref="AW203:AW204" si="623">AS203-AT203+AV203</f>
        <v>40582.581190333382</v>
      </c>
      <c r="AY203" s="946">
        <f t="shared" ref="AY203:AY204" si="624">IF(Q203="",0,Q203)</f>
        <v>10341.164168918971</v>
      </c>
      <c r="AZ203" s="947">
        <f t="shared" ref="AZ203:AZ204" si="625">IF(AND($J203="N",FC203="N"),0,E203*$N203)</f>
        <v>8879.8875675728159</v>
      </c>
      <c r="BA203" s="946">
        <f t="shared" ref="BA203:BA204" si="626">IF($J203="N",0,MAX(AZ203-AY203,0))</f>
        <v>0</v>
      </c>
      <c r="BB203" s="947">
        <f t="shared" ref="BB203:BB204" si="627">IF(BA203=0,AY203,0)</f>
        <v>10341.164168918971</v>
      </c>
      <c r="BC203" s="948">
        <f t="shared" ref="BC203:BC204" si="628">-IF(BA203=0,((BB203/BB$2)*BA$2),0)</f>
        <v>-74.366325268764299</v>
      </c>
      <c r="BD203" s="949">
        <f t="shared" ref="BD203:BD204" si="629">IF(BA203=0,BB203+BC203,BA203+AY203)</f>
        <v>10266.797843650207</v>
      </c>
      <c r="BE203" s="946">
        <f t="shared" ref="BE203:BE204" si="630">IF(BD203-AZ203&lt;0,BD203-AZ203,0)</f>
        <v>0</v>
      </c>
      <c r="BF203" s="947">
        <f t="shared" ref="BF203:BF204" si="631">IF(AND(BE203=0,BA203=0),BD203,0)</f>
        <v>10266.797843650207</v>
      </c>
      <c r="BG203" s="948">
        <f t="shared" ref="BG203:BG204" si="632">IF(AND(BE203=0,BA203=0),((BF203/BF$2))*BE$2,0)</f>
        <v>-244.5467577991225</v>
      </c>
      <c r="BH203" s="949">
        <f t="shared" ref="BH203:BH204" si="633">BD203-BE203+BG203</f>
        <v>10022.251085851085</v>
      </c>
      <c r="BI203" s="946">
        <f t="shared" ref="BI203:BI204" si="634">IF(BH203-AZ203&lt;0,BH203-AZ203,0)</f>
        <v>0</v>
      </c>
      <c r="BJ203" s="947">
        <f t="shared" ref="BJ203:BJ204" si="635">IF(AND(BE203=0,BA203=0,BI203=0),BH203,0)</f>
        <v>10022.251085851085</v>
      </c>
      <c r="BK203" s="948">
        <f t="shared" ref="BK203:BK204" si="636">IF(AND(BI203=0,BE203=0,BA203=0),((BJ203/BJ$2))*BI$2,0)</f>
        <v>-21.229481746080722</v>
      </c>
      <c r="BL203" s="949">
        <f t="shared" ref="BL203:BL204" si="637">BH203-BI203+BK203</f>
        <v>10001.021604105004</v>
      </c>
      <c r="BM203" s="946">
        <f t="shared" ref="BM203:BM204" si="638">IF(BL203-AZ203&lt;0,BL203-AZ203,0)</f>
        <v>0</v>
      </c>
      <c r="BN203" s="947">
        <f t="shared" ref="BN203:BN204" si="639">IF(AND(BE203=0,BA203=0,BI203=0,BM203=0),BL203,0)</f>
        <v>10001.021604105004</v>
      </c>
      <c r="BO203" s="948">
        <f t="shared" ref="BO203:BO204" si="640">IF(AND(BM203=0,BI203=0,BE203=0,BA203=0),((BN203/BN$2))*BM$2,0)</f>
        <v>-0.45757462891892059</v>
      </c>
      <c r="BP203" s="949">
        <f t="shared" ref="BP203:BP204" si="641">BL203-BM203+BO203</f>
        <v>10000.564029476085</v>
      </c>
      <c r="BQ203" s="946">
        <f t="shared" ref="BQ203:BQ204" si="642">IF(BP203-AZ203&lt;0,BP203-AZ203,0)</f>
        <v>0</v>
      </c>
      <c r="BR203" s="947">
        <f t="shared" ref="BR203:BR204" si="643">IF(AND(BM203=0,BI203=0,BQ203=0,BA203=0,BE203=0),BP203,0)</f>
        <v>10000.564029476085</v>
      </c>
      <c r="BS203" s="948">
        <f t="shared" ref="BS203:BS204" si="644">IF(AND(BQ203=0,BM203=0,BI203=0),((BR203/BR$2))*BQ$2,0)</f>
        <v>0</v>
      </c>
      <c r="BT203" s="949">
        <f t="shared" ref="BT203:BT204" si="645">BP203-BQ203+BS203</f>
        <v>10000.564029476085</v>
      </c>
      <c r="BU203" s="950">
        <f>VLOOKUP(B203,'Afton Update'!$A$5:$AR$582,'Afton Update'!$AO$589,0)-BT203</f>
        <v>0</v>
      </c>
      <c r="BV203" s="946">
        <f t="shared" ref="BV203:BV204" si="646">IF(R203="",0,R203)</f>
        <v>23261.505614815873</v>
      </c>
      <c r="BW203" s="947">
        <f t="shared" ref="BW203:BW204" si="647">IF($K203="N",0,F203*$N203)</f>
        <v>22024.643517251621</v>
      </c>
      <c r="BX203" s="946">
        <f t="shared" ref="BX203:BX204" si="648">IF($K203="N",0,MAX(BW203-BV203,0))</f>
        <v>0</v>
      </c>
      <c r="BY203" s="947">
        <f t="shared" ref="BY203:BY204" si="649">IF(BX203=0,BV203,0)</f>
        <v>23261.505614815873</v>
      </c>
      <c r="BZ203" s="948">
        <f t="shared" ref="BZ203:BZ204" si="650">-IF(BX203=0,((BY203/BY$2)*BX$2),0)</f>
        <v>-204.16870791688712</v>
      </c>
      <c r="CA203" s="949">
        <f t="shared" ref="CA203:CA204" si="651">IF(BX203=0,BY203+BZ203,BX203+BV203)</f>
        <v>23057.336906898985</v>
      </c>
      <c r="CB203" s="946">
        <f t="shared" ref="CB203:CB204" si="652">IF(CA203-BW203&lt;0,CA203-BW203,0)</f>
        <v>0</v>
      </c>
      <c r="CC203" s="947">
        <f t="shared" ref="CC203:CC204" si="653">IF(AND(CB203=0,BX203=0),CA203,0)</f>
        <v>23057.336906898985</v>
      </c>
      <c r="CD203" s="948">
        <f t="shared" ref="CD203:CD204" si="654">IF(AND(CB203=0,BX203=0),((CC203/CC$2))*CB$2,0)</f>
        <v>-7.3856035383942222</v>
      </c>
      <c r="CE203" s="949">
        <f t="shared" ref="CE203:CE204" si="655">CA203-CB203+CD203</f>
        <v>23049.951303360591</v>
      </c>
      <c r="CF203" s="946">
        <f t="shared" ref="CF203:CF204" si="656">IF(CE203-BW203&lt;0,CE203-BW203,0)</f>
        <v>0</v>
      </c>
      <c r="CG203" s="947">
        <f t="shared" ref="CG203:CG204" si="657">IF(AND(CB203=0,BX203=0,CF203=0),CE203,0)</f>
        <v>23049.951303360591</v>
      </c>
      <c r="CH203" s="948">
        <f t="shared" ref="CH203:CH204" si="658">IF(AND(CF203=0,CB203=0,BX203=0),((CG203/CG$2))*CF$2,0)</f>
        <v>0</v>
      </c>
      <c r="CI203" s="949">
        <f t="shared" ref="CI203:CI204" si="659">CE203-CF203+CH203</f>
        <v>23049.951303360591</v>
      </c>
      <c r="CJ203" s="946">
        <f t="shared" ref="CJ203:CJ204" si="660">IF(CI203-BW203&lt;0,CI203-BW203,0)</f>
        <v>0</v>
      </c>
      <c r="CK203" s="947">
        <f t="shared" ref="CK203:CK204" si="661">IF(AND(CB203=0,BX203=0,CF203=0,CJ203=0),CI203,0)</f>
        <v>23049.951303360591</v>
      </c>
      <c r="CL203" s="948">
        <f t="shared" ref="CL203:CL204" si="662">IF(AND(CJ203=0,CF203=0,CB203=0,BX203=0),((CK203/CK$2))*CJ$2,0)</f>
        <v>0</v>
      </c>
      <c r="CM203" s="949">
        <f t="shared" ref="CM203:CM204" si="663">CI203-CJ203+CL203</f>
        <v>23049.951303360591</v>
      </c>
      <c r="CN203" s="946">
        <f t="shared" ref="CN203:CN204" si="664">IF(CM203-BW203&lt;0,CM203-BW203,0)</f>
        <v>0</v>
      </c>
      <c r="CO203" s="947">
        <f t="shared" ref="CO203:CO204" si="665">IF(AND(CJ203=0,CF203=0,CN203=0,BX203=0,CB203=0),CM203,0)</f>
        <v>23049.951303360591</v>
      </c>
      <c r="CP203" s="948">
        <f t="shared" ref="CP203:CP204" si="666">IF(AND(CN203=0,CJ203=0,CF203=0),((CO203/CO$2))*CN$2,0)</f>
        <v>0</v>
      </c>
      <c r="CQ203" s="949">
        <f t="shared" ref="CQ203:CQ204" si="667">CM203-CN203+CP203</f>
        <v>23049.951303360591</v>
      </c>
      <c r="CS203" s="946">
        <f t="shared" ref="CS203:CS204" si="668">IF(S203="",0,S203)</f>
        <v>21653.406107457384</v>
      </c>
      <c r="CT203" s="947">
        <f t="shared" ref="CT203:CT204" si="669">IF($L203="N",0,G203*$N203)</f>
        <v>18493.176052269322</v>
      </c>
      <c r="CU203" s="946">
        <f t="shared" ref="CU203:CU204" si="670">IF($L203="N",0,MAX(CT203-CS203,0))</f>
        <v>0</v>
      </c>
      <c r="CV203" s="947">
        <f t="shared" ref="CV203:CV204" si="671">IF(CU203=0,CS203,0)</f>
        <v>21653.406107457384</v>
      </c>
      <c r="CW203" s="948">
        <f t="shared" ref="CW203:CW204" si="672">-IF(CU203=0,((CV203/CV$2)*CU$2),0)</f>
        <v>-221.74311535600364</v>
      </c>
      <c r="CX203" s="949">
        <f t="shared" ref="CX203:CX204" si="673">IF(CU203=0,CV203+CW203,CU203+CS203)</f>
        <v>21431.662992101381</v>
      </c>
      <c r="CY203" s="946">
        <f t="shared" ref="CY203:CY204" si="674">IF(CX203-CT203&lt;0,CX203-CT203,0)</f>
        <v>0</v>
      </c>
      <c r="CZ203" s="947">
        <f t="shared" ref="CZ203:CZ204" si="675">IF(AND(CY203=0,CU203=0),CX203,0)</f>
        <v>21431.662992101381</v>
      </c>
      <c r="DA203" s="948">
        <f t="shared" ref="DA203:DA204" si="676">IF(AND(CY203=0,CU203=0),((CZ203/CZ$2))*CY$2,0)</f>
        <v>-16.823933279132316</v>
      </c>
      <c r="DB203" s="949">
        <f t="shared" ref="DB203:DB204" si="677">CX203-CY203+DA203</f>
        <v>21414.83905882225</v>
      </c>
      <c r="DC203" s="946">
        <f t="shared" ref="DC203:DC204" si="678">IF(DB203-CT203&lt;0,DB203-CT203,0)</f>
        <v>0</v>
      </c>
      <c r="DD203" s="947">
        <f t="shared" ref="DD203:DD204" si="679">IF(AND(CY203=0,CU203=0,DC203=0),DB203,0)</f>
        <v>21414.83905882225</v>
      </c>
      <c r="DE203" s="948">
        <f t="shared" ref="DE203:DE204" si="680">IF(AND(DC203=0,CY203=0,CU203=0),((DD203/DD$2))*DC$2,0)</f>
        <v>-1.4508546992478468E-2</v>
      </c>
      <c r="DF203" s="949">
        <f t="shared" ref="DF203:DF204" si="681">DB203-DC203+DE203</f>
        <v>21414.824550275258</v>
      </c>
      <c r="DG203" s="946">
        <f t="shared" ref="DG203:DG204" si="682">IF(DF203-CT203&lt;0,DF203-CT203,0)</f>
        <v>0</v>
      </c>
      <c r="DH203" s="947">
        <f t="shared" ref="DH203:DH204" si="683">IF(AND(CY203=0,CU203=0,DC203=0,DG203=0),DF203,0)</f>
        <v>21414.824550275258</v>
      </c>
      <c r="DI203" s="948">
        <f t="shared" ref="DI203:DI204" si="684">IF(AND(DG203=0,DC203=0,CY203=0,CU203=0),((DH203/DH$2))*DG$2,0)</f>
        <v>0</v>
      </c>
      <c r="DJ203" s="949">
        <f t="shared" ref="DJ203:DJ204" si="685">DF203-DG203+DI203</f>
        <v>21414.824550275258</v>
      </c>
      <c r="DK203" s="946">
        <f t="shared" ref="DK203:DK204" si="686">IF(DJ203-CT203&lt;0,DJ203-CT203,0)</f>
        <v>0</v>
      </c>
      <c r="DL203" s="947">
        <f t="shared" ref="DL203:DL204" si="687">IF(AND(DG203=0,DC203=0,DK203=0,CU203=0,CY203=0),DJ203,0)</f>
        <v>21414.824550275258</v>
      </c>
      <c r="DM203" s="948">
        <f t="shared" ref="DM203:DM204" si="688">IF(AND(DK203=0,DG203=0,DC203=0),((DL203/DL$2))*DK$2,0)</f>
        <v>0</v>
      </c>
      <c r="DN203" s="949">
        <f t="shared" ref="DN203:DN204" si="689">DJ203-DK203+DM203</f>
        <v>21414.824550275258</v>
      </c>
      <c r="DR203" s="951">
        <f t="shared" ref="DR203:DR204" si="690">Z203</f>
        <v>95047.921073445308</v>
      </c>
      <c r="DV203" s="952">
        <f>IFERROR(VLOOKUP($B203,'Afton FY16 Final'!$A$5:$BV$587,'Afton FY16 Final'!$BV$587,0),0)</f>
        <v>0</v>
      </c>
      <c r="DX203" s="938">
        <f t="shared" ref="DX203:DX204" si="691">IF(DR203&gt;DV203,DR203,0)</f>
        <v>95047.921073445308</v>
      </c>
      <c r="DY203" s="939">
        <f t="shared" ref="DY203:DY204" si="692">IF(DX203&gt;0,DX203-DV203,0)</f>
        <v>95047.921073445308</v>
      </c>
      <c r="DZ203" s="939">
        <f t="shared" ref="DZ203:DZ204" si="693">IF(DX203=0,0,DV203)</f>
        <v>0</v>
      </c>
      <c r="EA203" s="945">
        <f t="shared" ref="EA203:EA204" si="694">DX203/$DX$2*$EA$2</f>
        <v>89992.436912499281</v>
      </c>
      <c r="EB203" s="939">
        <f t="shared" ref="EB203:EB204" si="695">IF(EA203&lt;$DZ203,$DZ203,0)</f>
        <v>0</v>
      </c>
      <c r="EC203" s="939">
        <f t="shared" ref="EC203:EC204" si="696">IF(EB203=0,EA203,0)</f>
        <v>89992.436912499281</v>
      </c>
      <c r="ED203" s="939">
        <f t="shared" ref="ED203:ED204" si="697">EC203/EC$2*ED$2</f>
        <v>89724.084838869981</v>
      </c>
      <c r="EE203" s="945">
        <f t="shared" ref="EE203:EE204" si="698">ED203+EB203</f>
        <v>89724.084838869981</v>
      </c>
      <c r="EF203" s="939">
        <f t="shared" ref="EF203:EF204" si="699">IF(EE203&lt;$DZ203,$DZ203,0)</f>
        <v>0</v>
      </c>
      <c r="EG203" s="939">
        <f t="shared" ref="EG203:EG204" si="700">IF(EB203+EF203=0,EE203,0)</f>
        <v>89724.084838869981</v>
      </c>
      <c r="EH203" s="939">
        <f t="shared" ref="EH203:EH204" si="701">EG203/EG$2*EH$2</f>
        <v>89723.992274033852</v>
      </c>
      <c r="EI203" s="945">
        <f t="shared" ref="EI203:EI204" si="702">EH203+EF203+EB203</f>
        <v>89723.992274033852</v>
      </c>
      <c r="EJ203" s="939">
        <f t="shared" ref="EJ203:EJ204" si="703">IF(EI203&lt;$DZ203,$DZ203,0)</f>
        <v>0</v>
      </c>
      <c r="EK203" s="939">
        <f t="shared" ref="EK203:EK204" si="704">IF($EB203+$EF203+$EJ203=0,EI203,0)</f>
        <v>89723.992274033852</v>
      </c>
      <c r="EL203" s="939">
        <f t="shared" ref="EL203:EL204" si="705">EK203/EK$2*EL$2</f>
        <v>89723.992274033721</v>
      </c>
      <c r="EM203" s="945">
        <f t="shared" ref="EM203:EM204" si="706">$EJ203+$EF203+$EB203+EL203</f>
        <v>89723.992274033721</v>
      </c>
      <c r="EN203" s="939">
        <f t="shared" ref="EN203:EN204" si="707">IF(EM203&lt;$DZ203,$DZ203,0)</f>
        <v>0</v>
      </c>
      <c r="EO203" s="939">
        <f t="shared" ref="EO203:EO204" si="708">IF($EB203+$EF203+$EJ203+EN203=0,EM203,0)</f>
        <v>89723.992274033721</v>
      </c>
      <c r="EP203" s="939">
        <f t="shared" ref="EP203:EP204" si="709">EO203/EO$2*EP$2</f>
        <v>89723.992274033852</v>
      </c>
      <c r="EQ203" s="945">
        <f t="shared" ref="EQ203:EQ204" si="710">$EJ203+$EF203+$EB203+EP203+EN203</f>
        <v>89723.992274033852</v>
      </c>
      <c r="ER203" s="939">
        <f t="shared" ref="ER203:ER204" si="711">IF(EQ203&lt;$DZ203,$DZ203,0)</f>
        <v>0</v>
      </c>
      <c r="ES203" s="939">
        <f t="shared" ref="ES203:ES204" si="712">IF($EB203+$EF203+$EJ203+EN203+ER203=0,EQ203,0)</f>
        <v>89723.992274033852</v>
      </c>
      <c r="ET203" s="939">
        <f t="shared" ref="ET203:ET204" si="713">ES203/ES$2*ET$2</f>
        <v>89723.992274033706</v>
      </c>
      <c r="EU203" s="945">
        <f t="shared" ref="EU203:EU204" si="714">$EJ203+$EF203+$EB203+ET203+ER203+EN203</f>
        <v>89723.992274033706</v>
      </c>
      <c r="EV203" s="945">
        <f t="shared" ref="EV203:EV204" si="715">IF(EU203&lt;$DZ203,$DZ203,0)</f>
        <v>0</v>
      </c>
      <c r="EX203" s="953">
        <f t="shared" ref="EX203:EX204" si="716">IF(EU203=0,0,DR203-EU203)</f>
        <v>5323.9287994116021</v>
      </c>
      <c r="EY203" s="940">
        <f t="shared" ref="EY203:EY204" si="717">IF(EU203=0,DR203,EU203)</f>
        <v>89723.992274033706</v>
      </c>
      <c r="FC203" s="954" t="str">
        <f t="shared" ref="FC203:FC204" si="718">IF(OR(FH203="y",FI203="y",FJ203="y",FK203="y"),"Y","N")</f>
        <v>N</v>
      </c>
      <c r="FE203" s="954" t="str">
        <f>IFERROR(VLOOKUP($B203,'Historical Conc Grant Elig'!$B$3:$J$707,'HH &amp; SI'!FE$2,0),"N")</f>
        <v>N</v>
      </c>
      <c r="FF203" s="954" t="str">
        <f>IFERROR(VLOOKUP($B203,'Historical Conc Grant Elig'!$B$3:$J$707,'HH &amp; SI'!FF$2,0),"N")</f>
        <v>N</v>
      </c>
      <c r="FG203" s="954" t="str">
        <f>IFERROR(VLOOKUP($B203,'Historical Conc Grant Elig'!$B$3:$J$707,'HH &amp; SI'!FG$2,0),"N")</f>
        <v>N</v>
      </c>
      <c r="FH203" s="954" t="str">
        <f>IFERROR(VLOOKUP($B203,'Historical Conc Grant Elig'!$B$3:$J$707,'HH &amp; SI'!FH$2,0),"N")</f>
        <v>N</v>
      </c>
      <c r="FI203" s="954" t="str">
        <f>IFERROR(VLOOKUP($B203,'Historical Conc Grant Elig'!$B$3:$J$707,'HH &amp; SI'!FI$2,0),"N")</f>
        <v>N</v>
      </c>
      <c r="FJ203" s="954" t="str">
        <f>IFERROR(VLOOKUP($B203,'Historical Conc Grant Elig'!$B$3:$J$707,'HH &amp; SI'!FJ$2,0),"N")</f>
        <v>N</v>
      </c>
      <c r="FK203" s="954" t="str">
        <f>IFERROR(VLOOKUP($B203,'Historical Conc Grant Elig'!$B$3:$J$707,'HH &amp; SI'!FK$2,0),"N")</f>
        <v>N</v>
      </c>
      <c r="FL203" s="957" t="str">
        <f>IFERROR(VLOOKUP($B203,'Historical Conc Grant Elig'!$B$3:$J$707,'HH &amp; SI'!FL$2,0),"N")</f>
        <v>N</v>
      </c>
    </row>
    <row r="204" spans="2:168" s="935" customFormat="1" x14ac:dyDescent="0.25">
      <c r="B204" s="936">
        <v>78277000</v>
      </c>
      <c r="C204" s="937" t="s">
        <v>1285</v>
      </c>
      <c r="D204" s="938">
        <f>IFERROR(VLOOKUP($B205,'Afton FY16 Final'!$A$5:$BV$587,'Afton FY16 Final'!AQ$587,0),0)*'Phoenix Collegiate Split'!$C4</f>
        <v>33711.592491652969</v>
      </c>
      <c r="E204" s="939">
        <f>IFERROR(VLOOKUP($B205,'Afton FY16 Final'!$A$5:$BV$587,'Afton FY16 Final'!AR$587,0),0)*'Phoenix Collegiate Split'!$C4</f>
        <v>7376.4443332405772</v>
      </c>
      <c r="F204" s="939">
        <f>IFERROR(VLOOKUP($B205,'Afton FY16 Final'!$A$5:$BV$587,'Afton FY16 Final'!AS$587,0),0)*'Phoenix Collegiate Split'!$C4</f>
        <v>18295.677240075856</v>
      </c>
      <c r="G204" s="939">
        <f>IFERROR(VLOOKUP($B205,'Afton FY16 Final'!$A$5:$BV$587,'Afton FY16 Final'!AT$587,0),0)*'Phoenix Collegiate Split'!$C4</f>
        <v>15362.118343990369</v>
      </c>
      <c r="H204" s="940">
        <f>IFERROR(VLOOKUP($B205,'Afton FY16 Final'!$A$5:$BV$587,'Afton FY16 Final'!AU$587,0),0)*'Phoenix Collegiate Split'!$C4</f>
        <v>74745.832408959774</v>
      </c>
      <c r="I204" s="941" t="str">
        <f>VLOOKUP($B204,'Afton Update'!$A$5:$CR$582,'Afton Update'!BT$589,0)</f>
        <v>Y</v>
      </c>
      <c r="J204" s="942" t="str">
        <f>VLOOKUP($B204,'Afton Update'!$A$5:$CR$582,'Afton Update'!BU$589,0)</f>
        <v>Y</v>
      </c>
      <c r="K204" s="942" t="str">
        <f>VLOOKUP($B204,'Afton Update'!$A$5:$CR$582,'Afton Update'!BV$589,0)</f>
        <v>Y</v>
      </c>
      <c r="L204" s="943" t="str">
        <f>VLOOKUP($B204,'Afton Update'!$A$5:$CR$582,'Afton Update'!BW$589,0)</f>
        <v>Y</v>
      </c>
      <c r="N204" s="944">
        <f>VLOOKUP($B204,'Afton Update'!$A$5:$CR$582,'Afton Update'!CB$589,0)</f>
        <v>0.95</v>
      </c>
      <c r="P204" s="938">
        <f>VLOOKUP($B204,'Afton Update'!$A$5:$CR$582,'Afton Update'!AH$589,0)</f>
        <v>31331.222438210483</v>
      </c>
      <c r="Q204" s="939">
        <f>VLOOKUP($B204,'Afton Update'!$A$5:$CR$582,'Afton Update'!AI$589,0)</f>
        <v>8610.0677983581918</v>
      </c>
      <c r="R204" s="939">
        <f>VLOOKUP($B204,'Afton Update'!$A$5:$CR$582,'Afton Update'!AJ$589,0)</f>
        <v>18362.314205563784</v>
      </c>
      <c r="S204" s="939">
        <f>VLOOKUP($B204,'Afton Update'!$A$5:$CR$582,'Afton Update'!AK$589,0)</f>
        <v>17092.902460817506</v>
      </c>
      <c r="T204" s="945">
        <f t="shared" si="596"/>
        <v>75396.506902949972</v>
      </c>
      <c r="V204" s="938">
        <f t="shared" si="597"/>
        <v>32026.01286707032</v>
      </c>
      <c r="W204" s="939">
        <f t="shared" si="598"/>
        <v>8326.4836443083404</v>
      </c>
      <c r="X204" s="939">
        <f t="shared" si="599"/>
        <v>18195.316127158691</v>
      </c>
      <c r="Y204" s="939">
        <f t="shared" si="600"/>
        <v>16904.569444495439</v>
      </c>
      <c r="Z204" s="945">
        <f t="shared" si="601"/>
        <v>75452.38208303279</v>
      </c>
      <c r="AB204" s="946">
        <f t="shared" si="602"/>
        <v>31331.222438210483</v>
      </c>
      <c r="AC204" s="947">
        <f t="shared" si="603"/>
        <v>32026.01286707032</v>
      </c>
      <c r="AD204" s="946">
        <f t="shared" si="604"/>
        <v>694.79042885983654</v>
      </c>
      <c r="AE204" s="947">
        <f t="shared" si="605"/>
        <v>0</v>
      </c>
      <c r="AF204" s="948">
        <f t="shared" si="606"/>
        <v>0</v>
      </c>
      <c r="AG204" s="949">
        <f t="shared" si="607"/>
        <v>32026.01286707032</v>
      </c>
      <c r="AH204" s="946">
        <f t="shared" si="608"/>
        <v>0</v>
      </c>
      <c r="AI204" s="947">
        <f t="shared" si="609"/>
        <v>0</v>
      </c>
      <c r="AJ204" s="948">
        <f t="shared" si="610"/>
        <v>0</v>
      </c>
      <c r="AK204" s="949">
        <f t="shared" si="611"/>
        <v>32026.01286707032</v>
      </c>
      <c r="AL204" s="946">
        <f t="shared" si="612"/>
        <v>0</v>
      </c>
      <c r="AM204" s="947">
        <f t="shared" si="613"/>
        <v>0</v>
      </c>
      <c r="AN204" s="948">
        <f t="shared" si="614"/>
        <v>0</v>
      </c>
      <c r="AO204" s="949">
        <f t="shared" si="615"/>
        <v>32026.01286707032</v>
      </c>
      <c r="AP204" s="946">
        <f t="shared" si="616"/>
        <v>0</v>
      </c>
      <c r="AQ204" s="947">
        <f t="shared" si="617"/>
        <v>0</v>
      </c>
      <c r="AR204" s="948">
        <f t="shared" si="618"/>
        <v>0</v>
      </c>
      <c r="AS204" s="949">
        <f t="shared" si="619"/>
        <v>32026.01286707032</v>
      </c>
      <c r="AT204" s="946">
        <f t="shared" si="620"/>
        <v>0</v>
      </c>
      <c r="AU204" s="947">
        <f t="shared" si="621"/>
        <v>0</v>
      </c>
      <c r="AV204" s="948">
        <f t="shared" si="622"/>
        <v>0</v>
      </c>
      <c r="AW204" s="949">
        <f t="shared" si="623"/>
        <v>32026.01286707032</v>
      </c>
      <c r="AY204" s="946">
        <f t="shared" si="624"/>
        <v>8610.0677983581918</v>
      </c>
      <c r="AZ204" s="947">
        <f t="shared" si="625"/>
        <v>7007.6221165785482</v>
      </c>
      <c r="BA204" s="946">
        <f t="shared" si="626"/>
        <v>0</v>
      </c>
      <c r="BB204" s="947">
        <f t="shared" si="627"/>
        <v>8610.0677983581918</v>
      </c>
      <c r="BC204" s="948">
        <f t="shared" si="628"/>
        <v>-61.917506773877392</v>
      </c>
      <c r="BD204" s="949">
        <f t="shared" si="629"/>
        <v>8548.1502915843139</v>
      </c>
      <c r="BE204" s="946">
        <f t="shared" si="630"/>
        <v>0</v>
      </c>
      <c r="BF204" s="947">
        <f t="shared" si="631"/>
        <v>8548.1502915843139</v>
      </c>
      <c r="BG204" s="948">
        <f t="shared" si="632"/>
        <v>-203.60997370562319</v>
      </c>
      <c r="BH204" s="949">
        <f t="shared" si="633"/>
        <v>8344.540317878691</v>
      </c>
      <c r="BI204" s="946">
        <f t="shared" si="634"/>
        <v>0</v>
      </c>
      <c r="BJ204" s="947">
        <f t="shared" si="635"/>
        <v>8344.540317878691</v>
      </c>
      <c r="BK204" s="948">
        <f t="shared" si="636"/>
        <v>-17.675696292216447</v>
      </c>
      <c r="BL204" s="949">
        <f t="shared" si="637"/>
        <v>8326.8646215864737</v>
      </c>
      <c r="BM204" s="946">
        <f t="shared" si="638"/>
        <v>0</v>
      </c>
      <c r="BN204" s="947">
        <f t="shared" si="639"/>
        <v>8326.8646215864737</v>
      </c>
      <c r="BO204" s="948">
        <f t="shared" si="640"/>
        <v>-0.38097727813292648</v>
      </c>
      <c r="BP204" s="949">
        <f t="shared" si="641"/>
        <v>8326.4836443083404</v>
      </c>
      <c r="BQ204" s="946">
        <f t="shared" si="642"/>
        <v>0</v>
      </c>
      <c r="BR204" s="947">
        <f t="shared" si="643"/>
        <v>8326.4836443083404</v>
      </c>
      <c r="BS204" s="948">
        <f t="shared" si="644"/>
        <v>0</v>
      </c>
      <c r="BT204" s="949">
        <f t="shared" si="645"/>
        <v>8326.4836443083404</v>
      </c>
      <c r="BU204" s="950">
        <f>VLOOKUP(B204,'Afton Update'!$A$5:$AR$582,'Afton Update'!$AO$589,0)-BT204</f>
        <v>0</v>
      </c>
      <c r="BV204" s="946">
        <f t="shared" si="646"/>
        <v>18362.314205563784</v>
      </c>
      <c r="BW204" s="947">
        <f t="shared" si="647"/>
        <v>17380.893378072062</v>
      </c>
      <c r="BX204" s="946">
        <f t="shared" si="648"/>
        <v>0</v>
      </c>
      <c r="BY204" s="947">
        <f t="shared" si="649"/>
        <v>18362.314205563784</v>
      </c>
      <c r="BZ204" s="948">
        <f t="shared" si="650"/>
        <v>-161.16798404166988</v>
      </c>
      <c r="CA204" s="949">
        <f t="shared" si="651"/>
        <v>18201.146221522115</v>
      </c>
      <c r="CB204" s="946">
        <f t="shared" si="652"/>
        <v>0</v>
      </c>
      <c r="CC204" s="947">
        <f t="shared" si="653"/>
        <v>18201.146221522115</v>
      </c>
      <c r="CD204" s="948">
        <f t="shared" si="654"/>
        <v>-5.8300943634250588</v>
      </c>
      <c r="CE204" s="949">
        <f t="shared" si="655"/>
        <v>18195.316127158691</v>
      </c>
      <c r="CF204" s="946">
        <f t="shared" si="656"/>
        <v>0</v>
      </c>
      <c r="CG204" s="947">
        <f t="shared" si="657"/>
        <v>18195.316127158691</v>
      </c>
      <c r="CH204" s="948">
        <f t="shared" si="658"/>
        <v>0</v>
      </c>
      <c r="CI204" s="949">
        <f t="shared" si="659"/>
        <v>18195.316127158691</v>
      </c>
      <c r="CJ204" s="946">
        <f t="shared" si="660"/>
        <v>0</v>
      </c>
      <c r="CK204" s="947">
        <f t="shared" si="661"/>
        <v>18195.316127158691</v>
      </c>
      <c r="CL204" s="948">
        <f t="shared" si="662"/>
        <v>0</v>
      </c>
      <c r="CM204" s="949">
        <f t="shared" si="663"/>
        <v>18195.316127158691</v>
      </c>
      <c r="CN204" s="946">
        <f t="shared" si="664"/>
        <v>0</v>
      </c>
      <c r="CO204" s="947">
        <f t="shared" si="665"/>
        <v>18195.316127158691</v>
      </c>
      <c r="CP204" s="948">
        <f t="shared" si="666"/>
        <v>0</v>
      </c>
      <c r="CQ204" s="949">
        <f t="shared" si="667"/>
        <v>18195.316127158691</v>
      </c>
      <c r="CS204" s="946">
        <f t="shared" si="668"/>
        <v>17092.902460817506</v>
      </c>
      <c r="CT204" s="947">
        <f t="shared" si="669"/>
        <v>14594.01242679085</v>
      </c>
      <c r="CU204" s="946">
        <f t="shared" si="670"/>
        <v>0</v>
      </c>
      <c r="CV204" s="947">
        <f t="shared" si="671"/>
        <v>17092.902460817506</v>
      </c>
      <c r="CW204" s="948">
        <f t="shared" si="672"/>
        <v>-175.04098077358034</v>
      </c>
      <c r="CX204" s="949">
        <f t="shared" si="673"/>
        <v>16917.861480043925</v>
      </c>
      <c r="CY204" s="946">
        <f t="shared" si="674"/>
        <v>0</v>
      </c>
      <c r="CZ204" s="947">
        <f t="shared" si="675"/>
        <v>16917.861480043925</v>
      </c>
      <c r="DA204" s="948">
        <f t="shared" si="676"/>
        <v>-13.280582700034053</v>
      </c>
      <c r="DB204" s="949">
        <f t="shared" si="677"/>
        <v>16904.580897343891</v>
      </c>
      <c r="DC204" s="946">
        <f t="shared" si="678"/>
        <v>0</v>
      </c>
      <c r="DD204" s="947">
        <f t="shared" si="679"/>
        <v>16904.580897343891</v>
      </c>
      <c r="DE204" s="948">
        <f t="shared" si="680"/>
        <v>-1.1452848450720799E-2</v>
      </c>
      <c r="DF204" s="949">
        <f t="shared" si="681"/>
        <v>16904.569444495439</v>
      </c>
      <c r="DG204" s="946">
        <f t="shared" si="682"/>
        <v>0</v>
      </c>
      <c r="DH204" s="947">
        <f t="shared" si="683"/>
        <v>16904.569444495439</v>
      </c>
      <c r="DI204" s="948">
        <f t="shared" si="684"/>
        <v>0</v>
      </c>
      <c r="DJ204" s="949">
        <f t="shared" si="685"/>
        <v>16904.569444495439</v>
      </c>
      <c r="DK204" s="946">
        <f t="shared" si="686"/>
        <v>0</v>
      </c>
      <c r="DL204" s="947">
        <f t="shared" si="687"/>
        <v>16904.569444495439</v>
      </c>
      <c r="DM204" s="948">
        <f t="shared" si="688"/>
        <v>0</v>
      </c>
      <c r="DN204" s="949">
        <f t="shared" si="689"/>
        <v>16904.569444495439</v>
      </c>
      <c r="DR204" s="951">
        <f t="shared" si="690"/>
        <v>75452.38208303279</v>
      </c>
      <c r="DV204" s="952">
        <f>IFERROR(VLOOKUP($B204,'Afton FY16 Final'!$A$5:$BV$587,'Afton FY16 Final'!$BV$587,0),0)</f>
        <v>0</v>
      </c>
      <c r="DX204" s="938">
        <f t="shared" si="691"/>
        <v>75452.38208303279</v>
      </c>
      <c r="DY204" s="939">
        <f t="shared" si="692"/>
        <v>75452.38208303279</v>
      </c>
      <c r="DZ204" s="939">
        <f t="shared" si="693"/>
        <v>0</v>
      </c>
      <c r="EA204" s="945">
        <f t="shared" si="694"/>
        <v>71439.160981314344</v>
      </c>
      <c r="EB204" s="939">
        <f t="shared" si="695"/>
        <v>0</v>
      </c>
      <c r="EC204" s="939">
        <f t="shared" si="696"/>
        <v>71439.160981314344</v>
      </c>
      <c r="ED204" s="939">
        <f t="shared" si="697"/>
        <v>71226.133668737923</v>
      </c>
      <c r="EE204" s="945">
        <f t="shared" si="698"/>
        <v>71226.133668737923</v>
      </c>
      <c r="EF204" s="939">
        <f t="shared" si="699"/>
        <v>0</v>
      </c>
      <c r="EG204" s="939">
        <f t="shared" si="700"/>
        <v>71226.133668737923</v>
      </c>
      <c r="EH204" s="939">
        <f t="shared" si="701"/>
        <v>71226.060187515977</v>
      </c>
      <c r="EI204" s="945">
        <f t="shared" si="702"/>
        <v>71226.060187515977</v>
      </c>
      <c r="EJ204" s="939">
        <f t="shared" si="703"/>
        <v>0</v>
      </c>
      <c r="EK204" s="939">
        <f t="shared" si="704"/>
        <v>71226.060187515977</v>
      </c>
      <c r="EL204" s="939">
        <f t="shared" si="705"/>
        <v>71226.060187515875</v>
      </c>
      <c r="EM204" s="945">
        <f t="shared" si="706"/>
        <v>71226.060187515875</v>
      </c>
      <c r="EN204" s="939">
        <f t="shared" si="707"/>
        <v>0</v>
      </c>
      <c r="EO204" s="939">
        <f t="shared" si="708"/>
        <v>71226.060187515875</v>
      </c>
      <c r="EP204" s="939">
        <f t="shared" si="709"/>
        <v>71226.060187515992</v>
      </c>
      <c r="EQ204" s="945">
        <f t="shared" si="710"/>
        <v>71226.060187515992</v>
      </c>
      <c r="ER204" s="939">
        <f t="shared" si="711"/>
        <v>0</v>
      </c>
      <c r="ES204" s="939">
        <f t="shared" si="712"/>
        <v>71226.060187515992</v>
      </c>
      <c r="ET204" s="939">
        <f t="shared" si="713"/>
        <v>71226.06018751589</v>
      </c>
      <c r="EU204" s="945">
        <f t="shared" si="714"/>
        <v>71226.06018751589</v>
      </c>
      <c r="EV204" s="945">
        <f t="shared" si="715"/>
        <v>0</v>
      </c>
      <c r="EX204" s="953">
        <f t="shared" si="716"/>
        <v>4226.3218955168995</v>
      </c>
      <c r="EY204" s="940">
        <f t="shared" si="717"/>
        <v>71226.06018751589</v>
      </c>
      <c r="FC204" s="954" t="str">
        <f t="shared" si="718"/>
        <v>N</v>
      </c>
      <c r="FE204" s="954" t="str">
        <f>IFERROR(VLOOKUP($B204,'Historical Conc Grant Elig'!$B$3:$J$707,'HH &amp; SI'!FE$2,0),"N")</f>
        <v>N</v>
      </c>
      <c r="FF204" s="954" t="str">
        <f>IFERROR(VLOOKUP($B204,'Historical Conc Grant Elig'!$B$3:$J$707,'HH &amp; SI'!FF$2,0),"N")</f>
        <v>N</v>
      </c>
      <c r="FG204" s="954" t="str">
        <f>IFERROR(VLOOKUP($B204,'Historical Conc Grant Elig'!$B$3:$J$707,'HH &amp; SI'!FG$2,0),"N")</f>
        <v>N</v>
      </c>
      <c r="FH204" s="954" t="str">
        <f>IFERROR(VLOOKUP($B204,'Historical Conc Grant Elig'!$B$3:$J$707,'HH &amp; SI'!FH$2,0),"N")</f>
        <v>N</v>
      </c>
      <c r="FI204" s="954" t="str">
        <f>IFERROR(VLOOKUP($B204,'Historical Conc Grant Elig'!$B$3:$J$707,'HH &amp; SI'!FI$2,0),"N")</f>
        <v>N</v>
      </c>
      <c r="FJ204" s="954" t="str">
        <f>IFERROR(VLOOKUP($B204,'Historical Conc Grant Elig'!$B$3:$J$707,'HH &amp; SI'!FJ$2,0),"N")</f>
        <v>N</v>
      </c>
      <c r="FK204" s="954" t="str">
        <f>IFERROR(VLOOKUP($B204,'Historical Conc Grant Elig'!$B$3:$J$707,'HH &amp; SI'!FK$2,0),"N")</f>
        <v>N</v>
      </c>
      <c r="FL204" s="957" t="str">
        <f>IFERROR(VLOOKUP($B204,'Historical Conc Grant Elig'!$B$3:$J$707,'HH &amp; SI'!FL$2,0),"N")</f>
        <v>N</v>
      </c>
    </row>
    <row r="205" spans="2:168" s="935" customFormat="1" x14ac:dyDescent="0.25">
      <c r="B205" s="936">
        <v>78559000</v>
      </c>
      <c r="C205" s="937" t="s">
        <v>1654</v>
      </c>
      <c r="D205" s="938">
        <f>IFERROR(VLOOKUP($B205,'Afton FY16 Final'!$A$5:$BV$587,'Afton FY16 Final'!AQ$587,0),0)*'Phoenix Collegiate Split'!$C5</f>
        <v>44519.889321037888</v>
      </c>
      <c r="E205" s="939">
        <f>IFERROR(VLOOKUP($B205,'Afton FY16 Final'!$A$5:$BV$587,'Afton FY16 Final'!AR$587,0),0)*'Phoenix Collegiate Split'!$C5</f>
        <v>9741.4112187070205</v>
      </c>
      <c r="F205" s="939">
        <f>IFERROR(VLOOKUP($B205,'Afton FY16 Final'!$A$5:$BV$587,'Afton FY16 Final'!AS$587,0),0)*'Phoenix Collegiate Split'!$C5</f>
        <v>24161.466889565821</v>
      </c>
      <c r="G205" s="939">
        <f>IFERROR(VLOOKUP($B205,'Afton FY16 Final'!$A$5:$BV$587,'Afton FY16 Final'!AT$587,0),0)*'Phoenix Collegiate Split'!$C5</f>
        <v>20287.377660384223</v>
      </c>
      <c r="H205" s="940">
        <f>IFERROR(VLOOKUP($B205,'Afton FY16 Final'!$A$5:$BV$587,'Afton FY16 Final'!AU$587,0),0)*'Phoenix Collegiate Split'!$C5</f>
        <v>98710.145089694968</v>
      </c>
      <c r="I205" s="941" t="str">
        <f>VLOOKUP($B205,'Afton Update'!$A$5:$CR$582,'Afton Update'!BT$589,0)</f>
        <v>Y</v>
      </c>
      <c r="J205" s="942" t="str">
        <f>VLOOKUP($B205,'Afton Update'!$A$5:$CR$582,'Afton Update'!BU$589,0)</f>
        <v>Y</v>
      </c>
      <c r="K205" s="942" t="str">
        <f>VLOOKUP($B205,'Afton Update'!$A$5:$CR$582,'Afton Update'!BV$589,0)</f>
        <v>Y</v>
      </c>
      <c r="L205" s="943" t="str">
        <f>VLOOKUP($B205,'Afton Update'!$A$5:$CR$582,'Afton Update'!BW$589,0)</f>
        <v>Y</v>
      </c>
      <c r="N205" s="944">
        <f>VLOOKUP($B205,'Afton Update'!$A$5:$CR$582,'Afton Update'!CB$589,0)</f>
        <v>0.95</v>
      </c>
      <c r="P205" s="938">
        <f>VLOOKUP($B205,'Afton Update'!$A$5:$CR$582,'Afton Update'!AH$589,0)</f>
        <v>41376.347189392473</v>
      </c>
      <c r="Q205" s="939">
        <f>VLOOKUP($B205,'Afton Update'!$A$5:$CR$582,'Afton Update'!AI$589,0)</f>
        <v>10687.383443031125</v>
      </c>
      <c r="R205" s="939">
        <f>VLOOKUP($B205,'Afton Update'!$A$5:$CR$582,'Afton Update'!AJ$589,0)</f>
        <v>24241.343896666291</v>
      </c>
      <c r="S205" s="939">
        <f>VLOOKUP($B205,'Afton Update'!$A$5:$CR$582,'Afton Update'!AK$589,0)</f>
        <v>22565.50683678536</v>
      </c>
      <c r="T205" s="945">
        <f t="shared" si="506"/>
        <v>98870.58136587526</v>
      </c>
      <c r="V205" s="938">
        <f t="shared" si="532"/>
        <v>42293.894854985992</v>
      </c>
      <c r="W205" s="939">
        <f t="shared" si="533"/>
        <v>10335.380106509632</v>
      </c>
      <c r="X205" s="939">
        <f t="shared" si="534"/>
        <v>24020.878338600971</v>
      </c>
      <c r="Y205" s="939">
        <f t="shared" si="535"/>
        <v>22316.875571431217</v>
      </c>
      <c r="Z205" s="945">
        <f t="shared" si="536"/>
        <v>98967.028871527815</v>
      </c>
      <c r="AB205" s="946">
        <f t="shared" si="507"/>
        <v>41376.347189392473</v>
      </c>
      <c r="AC205" s="947">
        <f t="shared" si="481"/>
        <v>42293.894854985992</v>
      </c>
      <c r="AD205" s="946">
        <f t="shared" si="537"/>
        <v>917.54766559351992</v>
      </c>
      <c r="AE205" s="947">
        <f t="shared" si="538"/>
        <v>0</v>
      </c>
      <c r="AF205" s="948">
        <f t="shared" si="539"/>
        <v>0</v>
      </c>
      <c r="AG205" s="949">
        <f t="shared" si="540"/>
        <v>42293.894854985992</v>
      </c>
      <c r="AH205" s="946">
        <f t="shared" si="508"/>
        <v>0</v>
      </c>
      <c r="AI205" s="947">
        <f t="shared" si="509"/>
        <v>0</v>
      </c>
      <c r="AJ205" s="948">
        <f t="shared" si="541"/>
        <v>0</v>
      </c>
      <c r="AK205" s="949">
        <f t="shared" si="510"/>
        <v>42293.894854985992</v>
      </c>
      <c r="AL205" s="946">
        <f t="shared" si="542"/>
        <v>0</v>
      </c>
      <c r="AM205" s="947">
        <f t="shared" si="543"/>
        <v>0</v>
      </c>
      <c r="AN205" s="948">
        <f t="shared" si="544"/>
        <v>0</v>
      </c>
      <c r="AO205" s="949">
        <f t="shared" si="511"/>
        <v>42293.894854985992</v>
      </c>
      <c r="AP205" s="946">
        <f t="shared" si="545"/>
        <v>0</v>
      </c>
      <c r="AQ205" s="947">
        <f t="shared" si="546"/>
        <v>0</v>
      </c>
      <c r="AR205" s="948">
        <f t="shared" si="547"/>
        <v>0</v>
      </c>
      <c r="AS205" s="949">
        <f t="shared" si="512"/>
        <v>42293.894854985992</v>
      </c>
      <c r="AT205" s="946">
        <f t="shared" si="548"/>
        <v>0</v>
      </c>
      <c r="AU205" s="947">
        <f t="shared" si="549"/>
        <v>0</v>
      </c>
      <c r="AV205" s="948">
        <f t="shared" si="550"/>
        <v>0</v>
      </c>
      <c r="AW205" s="949">
        <f t="shared" si="513"/>
        <v>42293.894854985992</v>
      </c>
      <c r="AY205" s="946">
        <f t="shared" si="551"/>
        <v>10687.383443031125</v>
      </c>
      <c r="AZ205" s="947">
        <f t="shared" si="482"/>
        <v>9254.3406577716687</v>
      </c>
      <c r="BA205" s="946">
        <f t="shared" si="552"/>
        <v>0</v>
      </c>
      <c r="BB205" s="947">
        <f t="shared" si="553"/>
        <v>10687.383443031125</v>
      </c>
      <c r="BC205" s="948">
        <f t="shared" si="554"/>
        <v>-76.856088967741655</v>
      </c>
      <c r="BD205" s="949">
        <f t="shared" si="555"/>
        <v>10610.527354063384</v>
      </c>
      <c r="BE205" s="946">
        <f t="shared" si="514"/>
        <v>0</v>
      </c>
      <c r="BF205" s="947">
        <f t="shared" si="515"/>
        <v>10610.527354063384</v>
      </c>
      <c r="BG205" s="948">
        <f t="shared" si="556"/>
        <v>-252.73411461782231</v>
      </c>
      <c r="BH205" s="949">
        <f t="shared" si="516"/>
        <v>10357.793239445562</v>
      </c>
      <c r="BI205" s="946">
        <f t="shared" si="557"/>
        <v>0</v>
      </c>
      <c r="BJ205" s="947">
        <f t="shared" si="558"/>
        <v>10357.793239445562</v>
      </c>
      <c r="BK205" s="948">
        <f t="shared" si="559"/>
        <v>-21.94023883685357</v>
      </c>
      <c r="BL205" s="949">
        <f t="shared" si="517"/>
        <v>10335.853000608708</v>
      </c>
      <c r="BM205" s="946">
        <f t="shared" si="560"/>
        <v>0</v>
      </c>
      <c r="BN205" s="947">
        <f t="shared" si="561"/>
        <v>10335.853000608708</v>
      </c>
      <c r="BO205" s="948">
        <f t="shared" si="562"/>
        <v>-0.47289409907611929</v>
      </c>
      <c r="BP205" s="949">
        <f t="shared" si="518"/>
        <v>10335.380106509632</v>
      </c>
      <c r="BQ205" s="946">
        <f t="shared" si="563"/>
        <v>0</v>
      </c>
      <c r="BR205" s="947">
        <f t="shared" si="564"/>
        <v>10335.380106509632</v>
      </c>
      <c r="BS205" s="948">
        <f t="shared" si="565"/>
        <v>0</v>
      </c>
      <c r="BT205" s="949">
        <f t="shared" si="519"/>
        <v>10335.380106509632</v>
      </c>
      <c r="BU205" s="950">
        <f>VLOOKUP(B205,'Afton Update'!$A$5:$AR$582,'Afton Update'!$AO$589,0)-BT205</f>
        <v>0</v>
      </c>
      <c r="BV205" s="946">
        <f t="shared" si="566"/>
        <v>24241.343896666291</v>
      </c>
      <c r="BW205" s="947">
        <f t="shared" si="483"/>
        <v>22953.393545087529</v>
      </c>
      <c r="BX205" s="946">
        <f t="shared" si="567"/>
        <v>0</v>
      </c>
      <c r="BY205" s="947">
        <f t="shared" si="568"/>
        <v>24241.343896666291</v>
      </c>
      <c r="BZ205" s="948">
        <f t="shared" si="569"/>
        <v>-212.76885269193056</v>
      </c>
      <c r="CA205" s="949">
        <f t="shared" si="570"/>
        <v>24028.575043974361</v>
      </c>
      <c r="CB205" s="946">
        <f t="shared" si="520"/>
        <v>0</v>
      </c>
      <c r="CC205" s="947">
        <f t="shared" si="521"/>
        <v>24028.575043974361</v>
      </c>
      <c r="CD205" s="948">
        <f t="shared" si="571"/>
        <v>-7.6967053733880553</v>
      </c>
      <c r="CE205" s="949">
        <f t="shared" si="522"/>
        <v>24020.878338600971</v>
      </c>
      <c r="CF205" s="946">
        <f t="shared" si="572"/>
        <v>0</v>
      </c>
      <c r="CG205" s="947">
        <f t="shared" si="573"/>
        <v>24020.878338600971</v>
      </c>
      <c r="CH205" s="948">
        <f t="shared" si="574"/>
        <v>0</v>
      </c>
      <c r="CI205" s="949">
        <f t="shared" si="523"/>
        <v>24020.878338600971</v>
      </c>
      <c r="CJ205" s="946">
        <f t="shared" si="575"/>
        <v>0</v>
      </c>
      <c r="CK205" s="947">
        <f t="shared" si="576"/>
        <v>24020.878338600971</v>
      </c>
      <c r="CL205" s="948">
        <f t="shared" si="577"/>
        <v>0</v>
      </c>
      <c r="CM205" s="949">
        <f t="shared" si="524"/>
        <v>24020.878338600971</v>
      </c>
      <c r="CN205" s="946">
        <f t="shared" si="578"/>
        <v>0</v>
      </c>
      <c r="CO205" s="947">
        <f t="shared" si="579"/>
        <v>24020.878338600971</v>
      </c>
      <c r="CP205" s="948">
        <f t="shared" si="580"/>
        <v>0</v>
      </c>
      <c r="CQ205" s="949">
        <f t="shared" si="525"/>
        <v>24020.878338600971</v>
      </c>
      <c r="CS205" s="946">
        <f t="shared" si="581"/>
        <v>22565.50683678536</v>
      </c>
      <c r="CT205" s="947">
        <f t="shared" si="484"/>
        <v>19273.008777365012</v>
      </c>
      <c r="CU205" s="946">
        <f t="shared" si="582"/>
        <v>0</v>
      </c>
      <c r="CV205" s="947">
        <f t="shared" si="583"/>
        <v>22565.50683678536</v>
      </c>
      <c r="CW205" s="948">
        <f t="shared" si="584"/>
        <v>-231.08354227248833</v>
      </c>
      <c r="CX205" s="949">
        <f t="shared" si="585"/>
        <v>22334.423294512872</v>
      </c>
      <c r="CY205" s="946">
        <f t="shared" si="526"/>
        <v>0</v>
      </c>
      <c r="CZ205" s="947">
        <f t="shared" si="527"/>
        <v>22334.423294512872</v>
      </c>
      <c r="DA205" s="948">
        <f t="shared" si="586"/>
        <v>-17.532603394951966</v>
      </c>
      <c r="DB205" s="949">
        <f t="shared" si="528"/>
        <v>22316.890691117918</v>
      </c>
      <c r="DC205" s="946">
        <f t="shared" si="587"/>
        <v>0</v>
      </c>
      <c r="DD205" s="947">
        <f t="shared" si="588"/>
        <v>22316.890691117918</v>
      </c>
      <c r="DE205" s="948">
        <f t="shared" si="589"/>
        <v>-1.511968670083E-2</v>
      </c>
      <c r="DF205" s="949">
        <f t="shared" si="529"/>
        <v>22316.875571431217</v>
      </c>
      <c r="DG205" s="946">
        <f t="shared" si="590"/>
        <v>0</v>
      </c>
      <c r="DH205" s="947">
        <f t="shared" si="591"/>
        <v>22316.875571431217</v>
      </c>
      <c r="DI205" s="948">
        <f t="shared" si="592"/>
        <v>0</v>
      </c>
      <c r="DJ205" s="949">
        <f t="shared" si="530"/>
        <v>22316.875571431217</v>
      </c>
      <c r="DK205" s="946">
        <f t="shared" si="593"/>
        <v>0</v>
      </c>
      <c r="DL205" s="947">
        <f t="shared" si="594"/>
        <v>22316.875571431217</v>
      </c>
      <c r="DM205" s="948">
        <f t="shared" si="595"/>
        <v>0</v>
      </c>
      <c r="DN205" s="949">
        <f t="shared" si="531"/>
        <v>22316.875571431217</v>
      </c>
      <c r="DR205" s="951">
        <f t="shared" si="485"/>
        <v>98967.028871527815</v>
      </c>
      <c r="DV205" s="952">
        <f>IFERROR(VLOOKUP($B205,'Afton FY16 Final'!$A$5:$BV$587,'Afton FY16 Final'!$BV$587,0),0)</f>
        <v>238091.31104697479</v>
      </c>
      <c r="DX205" s="938">
        <f t="shared" si="473"/>
        <v>0</v>
      </c>
      <c r="DY205" s="939">
        <f t="shared" si="474"/>
        <v>0</v>
      </c>
      <c r="DZ205" s="939">
        <f t="shared" si="475"/>
        <v>0</v>
      </c>
      <c r="EA205" s="945">
        <f t="shared" si="476"/>
        <v>0</v>
      </c>
      <c r="EB205" s="939">
        <f t="shared" si="486"/>
        <v>0</v>
      </c>
      <c r="EC205" s="939">
        <f t="shared" si="487"/>
        <v>0</v>
      </c>
      <c r="ED205" s="939">
        <f t="shared" si="488"/>
        <v>0</v>
      </c>
      <c r="EE205" s="945">
        <f t="shared" si="489"/>
        <v>0</v>
      </c>
      <c r="EF205" s="939">
        <f t="shared" si="490"/>
        <v>0</v>
      </c>
      <c r="EG205" s="939">
        <f t="shared" si="491"/>
        <v>0</v>
      </c>
      <c r="EH205" s="939">
        <f t="shared" si="492"/>
        <v>0</v>
      </c>
      <c r="EI205" s="945">
        <f t="shared" si="493"/>
        <v>0</v>
      </c>
      <c r="EJ205" s="939">
        <f t="shared" si="494"/>
        <v>0</v>
      </c>
      <c r="EK205" s="939">
        <f t="shared" si="495"/>
        <v>0</v>
      </c>
      <c r="EL205" s="939">
        <f t="shared" si="496"/>
        <v>0</v>
      </c>
      <c r="EM205" s="945">
        <f t="shared" si="497"/>
        <v>0</v>
      </c>
      <c r="EN205" s="939">
        <f t="shared" si="498"/>
        <v>0</v>
      </c>
      <c r="EO205" s="939">
        <f t="shared" si="499"/>
        <v>0</v>
      </c>
      <c r="EP205" s="939">
        <f t="shared" si="500"/>
        <v>0</v>
      </c>
      <c r="EQ205" s="945">
        <f t="shared" si="501"/>
        <v>0</v>
      </c>
      <c r="ER205" s="939">
        <f t="shared" si="502"/>
        <v>0</v>
      </c>
      <c r="ES205" s="939">
        <f t="shared" si="503"/>
        <v>0</v>
      </c>
      <c r="ET205" s="939">
        <f t="shared" si="504"/>
        <v>0</v>
      </c>
      <c r="EU205" s="945">
        <f t="shared" si="477"/>
        <v>0</v>
      </c>
      <c r="EV205" s="945">
        <f t="shared" si="478"/>
        <v>0</v>
      </c>
      <c r="EX205" s="953">
        <f t="shared" si="479"/>
        <v>0</v>
      </c>
      <c r="EY205" s="940">
        <f t="shared" si="480"/>
        <v>98967.028871527815</v>
      </c>
      <c r="FC205" s="954" t="str">
        <f t="shared" si="505"/>
        <v>Y</v>
      </c>
      <c r="FE205" s="954" t="str">
        <f>IFERROR(VLOOKUP($B205,'Historical Conc Grant Elig'!$B$3:$J$707,'HH &amp; SI'!FE$2,0),"N")</f>
        <v>N</v>
      </c>
      <c r="FF205" s="954" t="str">
        <f>IFERROR(VLOOKUP($B205,'Historical Conc Grant Elig'!$B$3:$J$707,'HH &amp; SI'!FF$2,0),"N")</f>
        <v>Y</v>
      </c>
      <c r="FG205" s="954" t="str">
        <f>IFERROR(VLOOKUP($B205,'Historical Conc Grant Elig'!$B$3:$J$707,'HH &amp; SI'!FG$2,0),"N")</f>
        <v>Y</v>
      </c>
      <c r="FH205" s="954" t="str">
        <f>IFERROR(VLOOKUP($B205,'Historical Conc Grant Elig'!$B$3:$J$707,'HH &amp; SI'!FH$2,0),"N")</f>
        <v>Y</v>
      </c>
      <c r="FI205" s="954" t="str">
        <f>IFERROR(VLOOKUP($B205,'Historical Conc Grant Elig'!$B$3:$J$707,'HH &amp; SI'!FI$2,0),"N")</f>
        <v>Y</v>
      </c>
      <c r="FJ205" s="954" t="str">
        <f>IFERROR(VLOOKUP($B205,'Historical Conc Grant Elig'!$B$3:$J$707,'HH &amp; SI'!FJ$2,0),"N")</f>
        <v>Y</v>
      </c>
      <c r="FK205" s="954" t="str">
        <f>IFERROR(VLOOKUP($B205,'Historical Conc Grant Elig'!$B$3:$J$707,'HH &amp; SI'!FK$2,0),"N")</f>
        <v>Y</v>
      </c>
      <c r="FL205" s="957" t="str">
        <f>IFERROR(VLOOKUP($B205,'Historical Conc Grant Elig'!$B$3:$J$707,'HH &amp; SI'!FL$2,0),"N")</f>
        <v>Y</v>
      </c>
    </row>
    <row r="206" spans="2:168" x14ac:dyDescent="0.25">
      <c r="B206" s="634">
        <v>78560000</v>
      </c>
      <c r="C206" s="635" t="str">
        <f>VLOOKUP($B206,'Afton Update'!$A$5:$CR$582,'Afton Update'!D$589,0)</f>
        <v>Research Based Education Corporation</v>
      </c>
      <c r="D206" s="636">
        <f>IFERROR(VLOOKUP($B206,'Afton FY16 Final'!$A$5:$BV$587,'Afton FY16 Final'!AQ$587,0),0)</f>
        <v>36291.549009432638</v>
      </c>
      <c r="E206" s="637">
        <f>IFERROR(VLOOKUP($B206,'Afton FY16 Final'!$A$5:$BV$587,'Afton FY16 Final'!AR$587,0),0)</f>
        <v>9277.852147418007</v>
      </c>
      <c r="F206" s="637">
        <f>IFERROR(VLOOKUP($B206,'Afton FY16 Final'!$A$5:$BV$587,'Afton FY16 Final'!AS$587,0),0)</f>
        <v>19695.849947859202</v>
      </c>
      <c r="G206" s="637">
        <f>IFERROR(VLOOKUP($B206,'Afton FY16 Final'!$A$5:$BV$587,'Afton FY16 Final'!AT$587,0),0)</f>
        <v>17574.084781168443</v>
      </c>
      <c r="H206" s="638">
        <f>IFERROR(VLOOKUP($B206,'Afton FY16 Final'!$A$5:$BV$587,'Afton FY16 Final'!AU$587,0),0)</f>
        <v>82839.335885878303</v>
      </c>
      <c r="I206" s="639" t="str">
        <f>VLOOKUP($B206,'Afton Update'!$A$5:$CR$582,'Afton Update'!BT$589,0)</f>
        <v>Y</v>
      </c>
      <c r="J206" s="640" t="str">
        <f>VLOOKUP($B206,'Afton Update'!$A$5:$CR$582,'Afton Update'!BU$589,0)</f>
        <v>Y</v>
      </c>
      <c r="K206" s="640" t="str">
        <f>VLOOKUP($B206,'Afton Update'!$A$5:$CR$582,'Afton Update'!BV$589,0)</f>
        <v>Y</v>
      </c>
      <c r="L206" s="641" t="str">
        <f>VLOOKUP($B206,'Afton Update'!$A$5:$CR$582,'Afton Update'!BW$589,0)</f>
        <v>Y</v>
      </c>
      <c r="N206" s="642">
        <f>VLOOKUP($B206,'Afton Update'!$A$5:$CR$582,'Afton Update'!CB$589,0)</f>
        <v>0.95</v>
      </c>
      <c r="P206" s="636">
        <f>VLOOKUP($B206,'Afton Update'!$A$5:$CR$582,'Afton Update'!AH$589,0)</f>
        <v>26786.999336485304</v>
      </c>
      <c r="Q206" s="637">
        <f>VLOOKUP($B206,'Afton Update'!$A$5:$CR$582,'Afton Update'!AI$589,0)</f>
        <v>7670.3297686251999</v>
      </c>
      <c r="R206" s="637">
        <f>VLOOKUP($B206,'Afton Update'!$A$5:$CR$582,'Afton Update'!AJ$589,0)</f>
        <v>15702.75315482694</v>
      </c>
      <c r="S206" s="637">
        <f>VLOOKUP($B206,'Afton Update'!$A$5:$CR$582,'Afton Update'!AK$589,0)</f>
        <v>14617.200481213007</v>
      </c>
      <c r="T206" s="643">
        <f t="shared" si="506"/>
        <v>64777.282741150455</v>
      </c>
      <c r="V206" s="636">
        <f t="shared" si="532"/>
        <v>34476.971558961006</v>
      </c>
      <c r="W206" s="637">
        <f t="shared" si="533"/>
        <v>8813.9595400471062</v>
      </c>
      <c r="X206" s="637">
        <f t="shared" si="534"/>
        <v>18711.05745046624</v>
      </c>
      <c r="Y206" s="637">
        <f t="shared" si="535"/>
        <v>16695.380542110019</v>
      </c>
      <c r="Z206" s="643">
        <f t="shared" si="536"/>
        <v>78697.369091584376</v>
      </c>
      <c r="AB206" s="644">
        <f t="shared" si="507"/>
        <v>26786.999336485304</v>
      </c>
      <c r="AC206" s="645">
        <f t="shared" si="481"/>
        <v>34476.971558961006</v>
      </c>
      <c r="AD206" s="644">
        <f t="shared" si="537"/>
        <v>7689.9722224757024</v>
      </c>
      <c r="AE206" s="645">
        <f t="shared" si="538"/>
        <v>0</v>
      </c>
      <c r="AF206" s="646">
        <f t="shared" si="539"/>
        <v>0</v>
      </c>
      <c r="AG206" s="647">
        <f t="shared" si="540"/>
        <v>34476.971558961006</v>
      </c>
      <c r="AH206" s="644">
        <f t="shared" si="508"/>
        <v>0</v>
      </c>
      <c r="AI206" s="645">
        <f t="shared" si="509"/>
        <v>0</v>
      </c>
      <c r="AJ206" s="646">
        <f t="shared" si="541"/>
        <v>0</v>
      </c>
      <c r="AK206" s="647">
        <f t="shared" si="510"/>
        <v>34476.971558961006</v>
      </c>
      <c r="AL206" s="644">
        <f t="shared" si="542"/>
        <v>0</v>
      </c>
      <c r="AM206" s="645">
        <f t="shared" si="543"/>
        <v>0</v>
      </c>
      <c r="AN206" s="646">
        <f t="shared" si="544"/>
        <v>0</v>
      </c>
      <c r="AO206" s="647">
        <f t="shared" si="511"/>
        <v>34476.971558961006</v>
      </c>
      <c r="AP206" s="644">
        <f t="shared" si="545"/>
        <v>0</v>
      </c>
      <c r="AQ206" s="645">
        <f t="shared" si="546"/>
        <v>0</v>
      </c>
      <c r="AR206" s="646">
        <f t="shared" si="547"/>
        <v>0</v>
      </c>
      <c r="AS206" s="647">
        <f t="shared" si="512"/>
        <v>34476.971558961006</v>
      </c>
      <c r="AT206" s="644">
        <f t="shared" si="548"/>
        <v>0</v>
      </c>
      <c r="AU206" s="645">
        <f t="shared" si="549"/>
        <v>0</v>
      </c>
      <c r="AV206" s="646">
        <f t="shared" si="550"/>
        <v>0</v>
      </c>
      <c r="AW206" s="647">
        <f t="shared" si="513"/>
        <v>34476.971558961006</v>
      </c>
      <c r="AY206" s="644">
        <f t="shared" si="551"/>
        <v>7670.3297686251999</v>
      </c>
      <c r="AZ206" s="645">
        <f t="shared" si="482"/>
        <v>8813.9595400471062</v>
      </c>
      <c r="BA206" s="644">
        <f t="shared" si="552"/>
        <v>1143.6297714219063</v>
      </c>
      <c r="BB206" s="645">
        <f t="shared" si="553"/>
        <v>0</v>
      </c>
      <c r="BC206" s="646">
        <f t="shared" si="554"/>
        <v>0</v>
      </c>
      <c r="BD206" s="647">
        <f t="shared" si="555"/>
        <v>8813.9595400471062</v>
      </c>
      <c r="BE206" s="644">
        <f t="shared" si="514"/>
        <v>0</v>
      </c>
      <c r="BF206" s="645">
        <f t="shared" si="515"/>
        <v>0</v>
      </c>
      <c r="BG206" s="646">
        <f t="shared" si="556"/>
        <v>0</v>
      </c>
      <c r="BH206" s="647">
        <f t="shared" si="516"/>
        <v>8813.9595400471062</v>
      </c>
      <c r="BI206" s="644">
        <f t="shared" si="557"/>
        <v>0</v>
      </c>
      <c r="BJ206" s="645">
        <f t="shared" si="558"/>
        <v>0</v>
      </c>
      <c r="BK206" s="646">
        <f t="shared" si="559"/>
        <v>0</v>
      </c>
      <c r="BL206" s="647">
        <f t="shared" si="517"/>
        <v>8813.9595400471062</v>
      </c>
      <c r="BM206" s="644">
        <f t="shared" si="560"/>
        <v>0</v>
      </c>
      <c r="BN206" s="645">
        <f t="shared" si="561"/>
        <v>0</v>
      </c>
      <c r="BO206" s="646">
        <f t="shared" si="562"/>
        <v>0</v>
      </c>
      <c r="BP206" s="647">
        <f t="shared" si="518"/>
        <v>8813.9595400471062</v>
      </c>
      <c r="BQ206" s="644">
        <f t="shared" si="563"/>
        <v>0</v>
      </c>
      <c r="BR206" s="645">
        <f t="shared" si="564"/>
        <v>0</v>
      </c>
      <c r="BS206" s="646">
        <f t="shared" si="565"/>
        <v>0</v>
      </c>
      <c r="BT206" s="647">
        <f t="shared" si="519"/>
        <v>8813.9595400471062</v>
      </c>
      <c r="BU206" s="662">
        <f>VLOOKUP(B206,'Afton Update'!$A$5:$AR$582,'Afton Update'!$AO$589,0)-BT206</f>
        <v>0</v>
      </c>
      <c r="BV206" s="644">
        <f t="shared" si="566"/>
        <v>15702.75315482694</v>
      </c>
      <c r="BW206" s="645">
        <f t="shared" si="483"/>
        <v>18711.05745046624</v>
      </c>
      <c r="BX206" s="644">
        <f t="shared" si="567"/>
        <v>3008.3042956393001</v>
      </c>
      <c r="BY206" s="645">
        <f t="shared" si="568"/>
        <v>0</v>
      </c>
      <c r="BZ206" s="646">
        <f t="shared" si="569"/>
        <v>0</v>
      </c>
      <c r="CA206" s="647">
        <f t="shared" si="570"/>
        <v>18711.05745046624</v>
      </c>
      <c r="CB206" s="644">
        <f t="shared" si="520"/>
        <v>0</v>
      </c>
      <c r="CC206" s="645">
        <f t="shared" si="521"/>
        <v>0</v>
      </c>
      <c r="CD206" s="646">
        <f t="shared" si="571"/>
        <v>0</v>
      </c>
      <c r="CE206" s="647">
        <f t="shared" si="522"/>
        <v>18711.05745046624</v>
      </c>
      <c r="CF206" s="644">
        <f t="shared" si="572"/>
        <v>0</v>
      </c>
      <c r="CG206" s="645">
        <f t="shared" si="573"/>
        <v>0</v>
      </c>
      <c r="CH206" s="646">
        <f t="shared" si="574"/>
        <v>0</v>
      </c>
      <c r="CI206" s="647">
        <f t="shared" si="523"/>
        <v>18711.05745046624</v>
      </c>
      <c r="CJ206" s="644">
        <f t="shared" si="575"/>
        <v>0</v>
      </c>
      <c r="CK206" s="645">
        <f t="shared" si="576"/>
        <v>0</v>
      </c>
      <c r="CL206" s="646">
        <f t="shared" si="577"/>
        <v>0</v>
      </c>
      <c r="CM206" s="647">
        <f t="shared" si="524"/>
        <v>18711.05745046624</v>
      </c>
      <c r="CN206" s="644">
        <f t="shared" si="578"/>
        <v>0</v>
      </c>
      <c r="CO206" s="645">
        <f t="shared" si="579"/>
        <v>0</v>
      </c>
      <c r="CP206" s="646">
        <f t="shared" si="580"/>
        <v>0</v>
      </c>
      <c r="CQ206" s="647">
        <f t="shared" si="525"/>
        <v>18711.05745046624</v>
      </c>
      <c r="CS206" s="644">
        <f t="shared" si="581"/>
        <v>14617.200481213007</v>
      </c>
      <c r="CT206" s="645">
        <f t="shared" si="484"/>
        <v>16695.380542110019</v>
      </c>
      <c r="CU206" s="644">
        <f t="shared" si="582"/>
        <v>2078.1800608970116</v>
      </c>
      <c r="CV206" s="645">
        <f t="shared" si="583"/>
        <v>0</v>
      </c>
      <c r="CW206" s="646">
        <f t="shared" si="584"/>
        <v>0</v>
      </c>
      <c r="CX206" s="647">
        <f t="shared" si="585"/>
        <v>16695.380542110019</v>
      </c>
      <c r="CY206" s="644">
        <f t="shared" si="526"/>
        <v>0</v>
      </c>
      <c r="CZ206" s="645">
        <f t="shared" si="527"/>
        <v>0</v>
      </c>
      <c r="DA206" s="646">
        <f t="shared" si="586"/>
        <v>0</v>
      </c>
      <c r="DB206" s="647">
        <f t="shared" si="528"/>
        <v>16695.380542110019</v>
      </c>
      <c r="DC206" s="644">
        <f t="shared" si="587"/>
        <v>0</v>
      </c>
      <c r="DD206" s="645">
        <f t="shared" si="588"/>
        <v>0</v>
      </c>
      <c r="DE206" s="646">
        <f t="shared" si="589"/>
        <v>0</v>
      </c>
      <c r="DF206" s="647">
        <f t="shared" si="529"/>
        <v>16695.380542110019</v>
      </c>
      <c r="DG206" s="644">
        <f t="shared" si="590"/>
        <v>0</v>
      </c>
      <c r="DH206" s="645">
        <f t="shared" si="591"/>
        <v>0</v>
      </c>
      <c r="DI206" s="646">
        <f t="shared" si="592"/>
        <v>0</v>
      </c>
      <c r="DJ206" s="647">
        <f t="shared" si="530"/>
        <v>16695.380542110019</v>
      </c>
      <c r="DK206" s="644">
        <f t="shared" si="593"/>
        <v>0</v>
      </c>
      <c r="DL206" s="645">
        <f t="shared" si="594"/>
        <v>0</v>
      </c>
      <c r="DM206" s="646">
        <f t="shared" si="595"/>
        <v>0</v>
      </c>
      <c r="DN206" s="647">
        <f t="shared" si="531"/>
        <v>16695.380542110019</v>
      </c>
      <c r="DR206" s="827">
        <f t="shared" si="485"/>
        <v>78697.369091584376</v>
      </c>
      <c r="DV206" s="828">
        <f>IFERROR(VLOOKUP($B206,'Afton FY16 Final'!$A$5:$BV$587,'Afton FY16 Final'!$BV$587,0),0)</f>
        <v>75189.752796418863</v>
      </c>
      <c r="DX206" s="636">
        <f t="shared" si="473"/>
        <v>78697.369091584376</v>
      </c>
      <c r="DY206" s="637">
        <f t="shared" si="474"/>
        <v>3507.6162951655133</v>
      </c>
      <c r="DZ206" s="637">
        <f t="shared" si="475"/>
        <v>75189.752796418863</v>
      </c>
      <c r="EA206" s="643">
        <f t="shared" si="476"/>
        <v>74511.551048881476</v>
      </c>
      <c r="EB206" s="637">
        <f t="shared" si="486"/>
        <v>75189.752796418863</v>
      </c>
      <c r="EC206" s="637">
        <f t="shared" si="487"/>
        <v>0</v>
      </c>
      <c r="ED206" s="637">
        <f t="shared" si="488"/>
        <v>0</v>
      </c>
      <c r="EE206" s="643">
        <f t="shared" si="489"/>
        <v>75189.752796418863</v>
      </c>
      <c r="EF206" s="637">
        <f t="shared" si="490"/>
        <v>0</v>
      </c>
      <c r="EG206" s="637">
        <f t="shared" si="491"/>
        <v>0</v>
      </c>
      <c r="EH206" s="637">
        <f t="shared" si="492"/>
        <v>0</v>
      </c>
      <c r="EI206" s="643">
        <f t="shared" si="493"/>
        <v>75189.752796418863</v>
      </c>
      <c r="EJ206" s="637">
        <f t="shared" si="494"/>
        <v>0</v>
      </c>
      <c r="EK206" s="637">
        <f t="shared" si="495"/>
        <v>0</v>
      </c>
      <c r="EL206" s="637">
        <f t="shared" si="496"/>
        <v>0</v>
      </c>
      <c r="EM206" s="643">
        <f t="shared" si="497"/>
        <v>75189.752796418863</v>
      </c>
      <c r="EN206" s="637">
        <f t="shared" si="498"/>
        <v>0</v>
      </c>
      <c r="EO206" s="637">
        <f t="shared" si="499"/>
        <v>0</v>
      </c>
      <c r="EP206" s="637">
        <f t="shared" si="500"/>
        <v>0</v>
      </c>
      <c r="EQ206" s="643">
        <f t="shared" si="501"/>
        <v>75189.752796418863</v>
      </c>
      <c r="ER206" s="637">
        <f t="shared" si="502"/>
        <v>0</v>
      </c>
      <c r="ES206" s="637">
        <f t="shared" si="503"/>
        <v>0</v>
      </c>
      <c r="ET206" s="637">
        <f t="shared" si="504"/>
        <v>0</v>
      </c>
      <c r="EU206" s="643">
        <f t="shared" si="477"/>
        <v>75189.752796418863</v>
      </c>
      <c r="EV206" s="643">
        <f t="shared" si="478"/>
        <v>0</v>
      </c>
      <c r="EX206" s="829">
        <f t="shared" si="479"/>
        <v>3507.6162951655133</v>
      </c>
      <c r="EY206" s="638">
        <f t="shared" si="480"/>
        <v>75189.752796418863</v>
      </c>
      <c r="FC206" s="830" t="str">
        <f t="shared" si="505"/>
        <v>Y</v>
      </c>
      <c r="FE206" s="830" t="str">
        <f>IFERROR(VLOOKUP($B206,'Historical Conc Grant Elig'!$B$3:$J$707,'HH &amp; SI'!FE$2,0),"N")</f>
        <v>N</v>
      </c>
      <c r="FF206" s="830" t="str">
        <f>IFERROR(VLOOKUP($B206,'Historical Conc Grant Elig'!$B$3:$J$707,'HH &amp; SI'!FF$2,0),"N")</f>
        <v>Y</v>
      </c>
      <c r="FG206" s="830" t="str">
        <f>IFERROR(VLOOKUP($B206,'Historical Conc Grant Elig'!$B$3:$J$707,'HH &amp; SI'!FG$2,0),"N")</f>
        <v>Y</v>
      </c>
      <c r="FH206" s="830" t="str">
        <f>IFERROR(VLOOKUP($B206,'Historical Conc Grant Elig'!$B$3:$J$707,'HH &amp; SI'!FH$2,0),"N")</f>
        <v>Y</v>
      </c>
      <c r="FI206" s="830" t="str">
        <f>IFERROR(VLOOKUP($B206,'Historical Conc Grant Elig'!$B$3:$J$707,'HH &amp; SI'!FI$2,0),"N")</f>
        <v>Y</v>
      </c>
      <c r="FJ206" s="830" t="str">
        <f>IFERROR(VLOOKUP($B206,'Historical Conc Grant Elig'!$B$3:$J$707,'HH &amp; SI'!FJ$2,0),"N")</f>
        <v>Y</v>
      </c>
      <c r="FK206" s="830" t="str">
        <f>IFERROR(VLOOKUP($B206,'Historical Conc Grant Elig'!$B$3:$J$707,'HH &amp; SI'!FK$2,0),"N")</f>
        <v>Y</v>
      </c>
      <c r="FL206" s="957" t="str">
        <f>IFERROR(VLOOKUP($B206,'Historical Conc Grant Elig'!$B$3:$J$707,'HH &amp; SI'!FL$2,0),"N")</f>
        <v>Y</v>
      </c>
    </row>
    <row r="207" spans="2:168" x14ac:dyDescent="0.25">
      <c r="B207" s="634">
        <v>78562000</v>
      </c>
      <c r="C207" s="635" t="str">
        <f>VLOOKUP($B207,'Afton Update'!$A$5:$CR$582,'Afton Update'!D$589,0)</f>
        <v>Vector School District  Inc.</v>
      </c>
      <c r="D207" s="636">
        <f>IFERROR(VLOOKUP($B207,'Afton FY16 Final'!$A$5:$BV$587,'Afton FY16 Final'!AQ$587,0),0)</f>
        <v>49408.736965494987</v>
      </c>
      <c r="E207" s="637">
        <f>IFERROR(VLOOKUP($B207,'Afton FY16 Final'!$A$5:$BV$587,'Afton FY16 Final'!AR$587,0),0)</f>
        <v>10794.780029675805</v>
      </c>
      <c r="F207" s="637">
        <f>IFERROR(VLOOKUP($B207,'Afton FY16 Final'!$A$5:$BV$587,'Afton FY16 Final'!AS$587,0),0)</f>
        <v>26197.234229996626</v>
      </c>
      <c r="G207" s="637">
        <f>IFERROR(VLOOKUP($B207,'Afton FY16 Final'!$A$5:$BV$587,'Afton FY16 Final'!AT$587,0),0)</f>
        <v>25240.854850607229</v>
      </c>
      <c r="H207" s="638">
        <f>IFERROR(VLOOKUP($B207,'Afton FY16 Final'!$A$5:$BV$587,'Afton FY16 Final'!AU$587,0),0)</f>
        <v>111641.60607577465</v>
      </c>
      <c r="I207" s="639" t="str">
        <f>VLOOKUP($B207,'Afton Update'!$A$5:$CR$582,'Afton Update'!BT$589,0)</f>
        <v>Y</v>
      </c>
      <c r="J207" s="640" t="str">
        <f>VLOOKUP($B207,'Afton Update'!$A$5:$CR$582,'Afton Update'!BU$589,0)</f>
        <v>Y</v>
      </c>
      <c r="K207" s="640" t="str">
        <f>VLOOKUP($B207,'Afton Update'!$A$5:$CR$582,'Afton Update'!BV$589,0)</f>
        <v>Y</v>
      </c>
      <c r="L207" s="641" t="str">
        <f>VLOOKUP($B207,'Afton Update'!$A$5:$CR$582,'Afton Update'!BW$589,0)</f>
        <v>Y</v>
      </c>
      <c r="N207" s="642">
        <f>VLOOKUP($B207,'Afton Update'!$A$5:$CR$582,'Afton Update'!CB$589,0)</f>
        <v>0.95</v>
      </c>
      <c r="P207" s="636">
        <f>VLOOKUP($B207,'Afton Update'!$A$5:$CR$582,'Afton Update'!AH$589,0)</f>
        <v>46638.079201916371</v>
      </c>
      <c r="Q207" s="637">
        <f>VLOOKUP($B207,'Afton Update'!$A$5:$CR$582,'Afton Update'!AI$589,0)</f>
        <v>11775.501161669328</v>
      </c>
      <c r="R207" s="637">
        <f>VLOOKUP($B207,'Afton Update'!$A$5:$CR$582,'Afton Update'!AJ$589,0)</f>
        <v>27320.835639624747</v>
      </c>
      <c r="S207" s="637">
        <f>VLOOKUP($B207,'Afton Update'!$A$5:$CR$582,'Afton Update'!AK$589,0)</f>
        <v>25432.109128958997</v>
      </c>
      <c r="T207" s="643">
        <f t="shared" si="506"/>
        <v>111166.52513216944</v>
      </c>
      <c r="V207" s="636">
        <f t="shared" si="532"/>
        <v>46938.300117220235</v>
      </c>
      <c r="W207" s="637">
        <f t="shared" si="533"/>
        <v>11387.659205757926</v>
      </c>
      <c r="X207" s="637">
        <f t="shared" si="534"/>
        <v>27072.363306499312</v>
      </c>
      <c r="Y207" s="637">
        <f t="shared" si="535"/>
        <v>25151.893066492816</v>
      </c>
      <c r="Z207" s="643">
        <f t="shared" si="536"/>
        <v>110550.2156959703</v>
      </c>
      <c r="AB207" s="644">
        <f t="shared" si="507"/>
        <v>46638.079201916371</v>
      </c>
      <c r="AC207" s="645">
        <f t="shared" si="481"/>
        <v>46938.300117220235</v>
      </c>
      <c r="AD207" s="644">
        <f t="shared" si="537"/>
        <v>300.22091530386388</v>
      </c>
      <c r="AE207" s="645">
        <f t="shared" si="538"/>
        <v>0</v>
      </c>
      <c r="AF207" s="646">
        <f t="shared" si="539"/>
        <v>0</v>
      </c>
      <c r="AG207" s="647">
        <f t="shared" si="540"/>
        <v>46938.300117220235</v>
      </c>
      <c r="AH207" s="644">
        <f t="shared" si="508"/>
        <v>0</v>
      </c>
      <c r="AI207" s="645">
        <f t="shared" si="509"/>
        <v>0</v>
      </c>
      <c r="AJ207" s="646">
        <f t="shared" si="541"/>
        <v>0</v>
      </c>
      <c r="AK207" s="647">
        <f t="shared" si="510"/>
        <v>46938.300117220235</v>
      </c>
      <c r="AL207" s="644">
        <f t="shared" si="542"/>
        <v>0</v>
      </c>
      <c r="AM207" s="645">
        <f t="shared" si="543"/>
        <v>0</v>
      </c>
      <c r="AN207" s="646">
        <f t="shared" si="544"/>
        <v>0</v>
      </c>
      <c r="AO207" s="647">
        <f t="shared" si="511"/>
        <v>46938.300117220235</v>
      </c>
      <c r="AP207" s="644">
        <f t="shared" si="545"/>
        <v>0</v>
      </c>
      <c r="AQ207" s="645">
        <f t="shared" si="546"/>
        <v>0</v>
      </c>
      <c r="AR207" s="646">
        <f t="shared" si="547"/>
        <v>0</v>
      </c>
      <c r="AS207" s="647">
        <f t="shared" si="512"/>
        <v>46938.300117220235</v>
      </c>
      <c r="AT207" s="644">
        <f t="shared" si="548"/>
        <v>0</v>
      </c>
      <c r="AU207" s="645">
        <f t="shared" si="549"/>
        <v>0</v>
      </c>
      <c r="AV207" s="646">
        <f t="shared" si="550"/>
        <v>0</v>
      </c>
      <c r="AW207" s="647">
        <f t="shared" si="513"/>
        <v>46938.300117220235</v>
      </c>
      <c r="AY207" s="644">
        <f t="shared" si="551"/>
        <v>11775.501161669328</v>
      </c>
      <c r="AZ207" s="645">
        <f t="shared" si="482"/>
        <v>10255.041028192014</v>
      </c>
      <c r="BA207" s="644">
        <f t="shared" si="552"/>
        <v>0</v>
      </c>
      <c r="BB207" s="645">
        <f t="shared" si="553"/>
        <v>11775.501161669328</v>
      </c>
      <c r="BC207" s="646">
        <f t="shared" si="554"/>
        <v>-84.681060593099133</v>
      </c>
      <c r="BD207" s="647">
        <f t="shared" si="555"/>
        <v>11690.82010107623</v>
      </c>
      <c r="BE207" s="644">
        <f t="shared" si="514"/>
        <v>0</v>
      </c>
      <c r="BF207" s="645">
        <f t="shared" si="515"/>
        <v>11690.82010107623</v>
      </c>
      <c r="BG207" s="646">
        <f t="shared" si="556"/>
        <v>-278.46580747659328</v>
      </c>
      <c r="BH207" s="647">
        <f t="shared" si="516"/>
        <v>11412.354293599636</v>
      </c>
      <c r="BI207" s="644">
        <f t="shared" si="557"/>
        <v>0</v>
      </c>
      <c r="BJ207" s="645">
        <f t="shared" si="558"/>
        <v>11412.354293599636</v>
      </c>
      <c r="BK207" s="646">
        <f t="shared" si="559"/>
        <v>-24.174046836425394</v>
      </c>
      <c r="BL207" s="647">
        <f t="shared" si="517"/>
        <v>11388.18024676321</v>
      </c>
      <c r="BM207" s="644">
        <f t="shared" si="560"/>
        <v>0</v>
      </c>
      <c r="BN207" s="645">
        <f t="shared" si="561"/>
        <v>11388.18024676321</v>
      </c>
      <c r="BO207" s="646">
        <f t="shared" si="562"/>
        <v>-0.52104100528445829</v>
      </c>
      <c r="BP207" s="647">
        <f t="shared" si="518"/>
        <v>11387.659205757926</v>
      </c>
      <c r="BQ207" s="644">
        <f t="shared" si="563"/>
        <v>0</v>
      </c>
      <c r="BR207" s="645">
        <f t="shared" si="564"/>
        <v>11387.659205757926</v>
      </c>
      <c r="BS207" s="646">
        <f t="shared" si="565"/>
        <v>0</v>
      </c>
      <c r="BT207" s="647">
        <f t="shared" si="519"/>
        <v>11387.659205757926</v>
      </c>
      <c r="BU207" s="662">
        <f>VLOOKUP(B207,'Afton Update'!$A$5:$AR$582,'Afton Update'!$AO$589,0)-BT207</f>
        <v>0</v>
      </c>
      <c r="BV207" s="644">
        <f t="shared" si="566"/>
        <v>27320.835639624747</v>
      </c>
      <c r="BW207" s="645">
        <f t="shared" si="483"/>
        <v>24887.372518496792</v>
      </c>
      <c r="BX207" s="644">
        <f t="shared" si="567"/>
        <v>0</v>
      </c>
      <c r="BY207" s="645">
        <f t="shared" si="568"/>
        <v>27320.835639624747</v>
      </c>
      <c r="BZ207" s="646">
        <f t="shared" si="569"/>
        <v>-239.79787912778139</v>
      </c>
      <c r="CA207" s="647">
        <f t="shared" si="570"/>
        <v>27081.037760496965</v>
      </c>
      <c r="CB207" s="644">
        <f t="shared" si="520"/>
        <v>0</v>
      </c>
      <c r="CC207" s="645">
        <f t="shared" si="521"/>
        <v>27081.037760496965</v>
      </c>
      <c r="CD207" s="646">
        <f t="shared" si="571"/>
        <v>-8.6744539976543855</v>
      </c>
      <c r="CE207" s="647">
        <f t="shared" si="522"/>
        <v>27072.363306499312</v>
      </c>
      <c r="CF207" s="644">
        <f t="shared" si="572"/>
        <v>0</v>
      </c>
      <c r="CG207" s="645">
        <f t="shared" si="573"/>
        <v>27072.363306499312</v>
      </c>
      <c r="CH207" s="646">
        <f t="shared" si="574"/>
        <v>0</v>
      </c>
      <c r="CI207" s="647">
        <f t="shared" si="523"/>
        <v>27072.363306499312</v>
      </c>
      <c r="CJ207" s="644">
        <f t="shared" si="575"/>
        <v>0</v>
      </c>
      <c r="CK207" s="645">
        <f t="shared" si="576"/>
        <v>27072.363306499312</v>
      </c>
      <c r="CL207" s="646">
        <f t="shared" si="577"/>
        <v>0</v>
      </c>
      <c r="CM207" s="647">
        <f t="shared" si="524"/>
        <v>27072.363306499312</v>
      </c>
      <c r="CN207" s="644">
        <f t="shared" si="578"/>
        <v>0</v>
      </c>
      <c r="CO207" s="645">
        <f t="shared" si="579"/>
        <v>27072.363306499312</v>
      </c>
      <c r="CP207" s="646">
        <f t="shared" si="580"/>
        <v>0</v>
      </c>
      <c r="CQ207" s="647">
        <f t="shared" si="525"/>
        <v>27072.363306499312</v>
      </c>
      <c r="CS207" s="644">
        <f t="shared" si="581"/>
        <v>25432.109128958997</v>
      </c>
      <c r="CT207" s="645">
        <f t="shared" si="484"/>
        <v>23978.812108076865</v>
      </c>
      <c r="CU207" s="644">
        <f t="shared" si="582"/>
        <v>0</v>
      </c>
      <c r="CV207" s="645">
        <f t="shared" si="583"/>
        <v>25432.109128958997</v>
      </c>
      <c r="CW207" s="646">
        <f t="shared" si="584"/>
        <v>-260.4391697242973</v>
      </c>
      <c r="CX207" s="647">
        <f t="shared" si="585"/>
        <v>25171.669959234699</v>
      </c>
      <c r="CY207" s="644">
        <f t="shared" si="526"/>
        <v>0</v>
      </c>
      <c r="CZ207" s="645">
        <f t="shared" si="527"/>
        <v>25171.669959234699</v>
      </c>
      <c r="DA207" s="646">
        <f t="shared" si="586"/>
        <v>-19.759852330385154</v>
      </c>
      <c r="DB207" s="647">
        <f t="shared" si="528"/>
        <v>25151.910106904314</v>
      </c>
      <c r="DC207" s="644">
        <f t="shared" si="587"/>
        <v>0</v>
      </c>
      <c r="DD207" s="645">
        <f t="shared" si="588"/>
        <v>25151.910106904314</v>
      </c>
      <c r="DE207" s="646">
        <f t="shared" si="589"/>
        <v>-1.7040411498506249E-2</v>
      </c>
      <c r="DF207" s="647">
        <f t="shared" si="529"/>
        <v>25151.893066492816</v>
      </c>
      <c r="DG207" s="644">
        <f t="shared" si="590"/>
        <v>0</v>
      </c>
      <c r="DH207" s="645">
        <f t="shared" si="591"/>
        <v>25151.893066492816</v>
      </c>
      <c r="DI207" s="646">
        <f t="shared" si="592"/>
        <v>0</v>
      </c>
      <c r="DJ207" s="647">
        <f t="shared" si="530"/>
        <v>25151.893066492816</v>
      </c>
      <c r="DK207" s="644">
        <f t="shared" si="593"/>
        <v>0</v>
      </c>
      <c r="DL207" s="645">
        <f t="shared" si="594"/>
        <v>25151.893066492816</v>
      </c>
      <c r="DM207" s="646">
        <f t="shared" si="595"/>
        <v>0</v>
      </c>
      <c r="DN207" s="647">
        <f t="shared" si="531"/>
        <v>25151.893066492816</v>
      </c>
      <c r="DR207" s="827">
        <f t="shared" si="485"/>
        <v>110550.2156959703</v>
      </c>
      <c r="DV207" s="828">
        <f>IFERROR(VLOOKUP($B207,'Afton FY16 Final'!$A$5:$BV$587,'Afton FY16 Final'!$BV$587,0),0)</f>
        <v>107690.38789021145</v>
      </c>
      <c r="DX207" s="636">
        <f t="shared" si="473"/>
        <v>110550.2156959703</v>
      </c>
      <c r="DY207" s="637">
        <f t="shared" si="474"/>
        <v>2859.8278057588468</v>
      </c>
      <c r="DZ207" s="637">
        <f t="shared" si="475"/>
        <v>107690.38789021145</v>
      </c>
      <c r="EA207" s="643">
        <f t="shared" si="476"/>
        <v>104670.18320153748</v>
      </c>
      <c r="EB207" s="637">
        <f t="shared" si="486"/>
        <v>107690.38789021145</v>
      </c>
      <c r="EC207" s="637">
        <f t="shared" si="487"/>
        <v>0</v>
      </c>
      <c r="ED207" s="637">
        <f t="shared" si="488"/>
        <v>0</v>
      </c>
      <c r="EE207" s="643">
        <f t="shared" si="489"/>
        <v>107690.38789021145</v>
      </c>
      <c r="EF207" s="637">
        <f t="shared" si="490"/>
        <v>0</v>
      </c>
      <c r="EG207" s="637">
        <f t="shared" si="491"/>
        <v>0</v>
      </c>
      <c r="EH207" s="637">
        <f t="shared" si="492"/>
        <v>0</v>
      </c>
      <c r="EI207" s="643">
        <f t="shared" si="493"/>
        <v>107690.38789021145</v>
      </c>
      <c r="EJ207" s="637">
        <f t="shared" si="494"/>
        <v>0</v>
      </c>
      <c r="EK207" s="637">
        <f t="shared" si="495"/>
        <v>0</v>
      </c>
      <c r="EL207" s="637">
        <f t="shared" si="496"/>
        <v>0</v>
      </c>
      <c r="EM207" s="643">
        <f t="shared" si="497"/>
        <v>107690.38789021145</v>
      </c>
      <c r="EN207" s="637">
        <f t="shared" si="498"/>
        <v>0</v>
      </c>
      <c r="EO207" s="637">
        <f t="shared" si="499"/>
        <v>0</v>
      </c>
      <c r="EP207" s="637">
        <f t="shared" si="500"/>
        <v>0</v>
      </c>
      <c r="EQ207" s="643">
        <f t="shared" si="501"/>
        <v>107690.38789021145</v>
      </c>
      <c r="ER207" s="637">
        <f t="shared" si="502"/>
        <v>0</v>
      </c>
      <c r="ES207" s="637">
        <f t="shared" si="503"/>
        <v>0</v>
      </c>
      <c r="ET207" s="637">
        <f t="shared" si="504"/>
        <v>0</v>
      </c>
      <c r="EU207" s="643">
        <f t="shared" si="477"/>
        <v>107690.38789021145</v>
      </c>
      <c r="EV207" s="643">
        <f t="shared" si="478"/>
        <v>0</v>
      </c>
      <c r="EX207" s="829">
        <f t="shared" si="479"/>
        <v>2859.8278057588468</v>
      </c>
      <c r="EY207" s="638">
        <f t="shared" si="480"/>
        <v>107690.38789021145</v>
      </c>
      <c r="FC207" s="830" t="str">
        <f t="shared" si="505"/>
        <v>Y</v>
      </c>
      <c r="FE207" s="830" t="str">
        <f>IFERROR(VLOOKUP($B207,'Historical Conc Grant Elig'!$B$3:$J$707,'HH &amp; SI'!FE$2,0),"N")</f>
        <v>N</v>
      </c>
      <c r="FF207" s="830" t="str">
        <f>IFERROR(VLOOKUP($B207,'Historical Conc Grant Elig'!$B$3:$J$707,'HH &amp; SI'!FF$2,0),"N")</f>
        <v>Y</v>
      </c>
      <c r="FG207" s="830" t="str">
        <f>IFERROR(VLOOKUP($B207,'Historical Conc Grant Elig'!$B$3:$J$707,'HH &amp; SI'!FG$2,0),"N")</f>
        <v>Y</v>
      </c>
      <c r="FH207" s="830" t="str">
        <f>IFERROR(VLOOKUP($B207,'Historical Conc Grant Elig'!$B$3:$J$707,'HH &amp; SI'!FH$2,0),"N")</f>
        <v>Y</v>
      </c>
      <c r="FI207" s="830" t="str">
        <f>IFERROR(VLOOKUP($B207,'Historical Conc Grant Elig'!$B$3:$J$707,'HH &amp; SI'!FI$2,0),"N")</f>
        <v>Y</v>
      </c>
      <c r="FJ207" s="830" t="str">
        <f>IFERROR(VLOOKUP($B207,'Historical Conc Grant Elig'!$B$3:$J$707,'HH &amp; SI'!FJ$2,0),"N")</f>
        <v>Y</v>
      </c>
      <c r="FK207" s="830" t="str">
        <f>IFERROR(VLOOKUP($B207,'Historical Conc Grant Elig'!$B$3:$J$707,'HH &amp; SI'!FK$2,0),"N")</f>
        <v>Y</v>
      </c>
      <c r="FL207" s="957" t="str">
        <f>IFERROR(VLOOKUP($B207,'Historical Conc Grant Elig'!$B$3:$J$707,'HH &amp; SI'!FL$2,0),"N")</f>
        <v>Y</v>
      </c>
    </row>
    <row r="208" spans="2:168" x14ac:dyDescent="0.25">
      <c r="B208" s="634">
        <v>78564000</v>
      </c>
      <c r="C208" s="635" t="str">
        <f>VLOOKUP($B208,'Afton Update'!$A$5:$CR$582,'Afton Update'!D$589,0)</f>
        <v>CAFA  Inc. dba Learning Foundation and Performing Arts Gilbe</v>
      </c>
      <c r="D208" s="636">
        <f>IFERROR(VLOOKUP($B208,'Afton FY16 Final'!$A$5:$BV$587,'Afton FY16 Final'!AQ$587,0),0)</f>
        <v>80162.16882480729</v>
      </c>
      <c r="E208" s="637">
        <f>IFERROR(VLOOKUP($B208,'Afton FY16 Final'!$A$5:$BV$587,'Afton FY16 Final'!AR$587,0),0)</f>
        <v>18184.412071779047</v>
      </c>
      <c r="F208" s="637">
        <f>IFERROR(VLOOKUP($B208,'Afton FY16 Final'!$A$5:$BV$587,'Afton FY16 Final'!AS$587,0),0)</f>
        <v>43504.950650025865</v>
      </c>
      <c r="G208" s="637">
        <f>IFERROR(VLOOKUP($B208,'Afton FY16 Final'!$A$5:$BV$587,'Afton FY16 Final'!AT$587,0),0)</f>
        <v>36529.295508734438</v>
      </c>
      <c r="H208" s="638">
        <f>IFERROR(VLOOKUP($B208,'Afton FY16 Final'!$A$5:$BV$587,'Afton FY16 Final'!AU$587,0),0)</f>
        <v>178380.82705534666</v>
      </c>
      <c r="I208" s="639" t="str">
        <f>VLOOKUP($B208,'Afton Update'!$A$5:$CR$582,'Afton Update'!BT$589,0)</f>
        <v>Y</v>
      </c>
      <c r="J208" s="640" t="str">
        <f>VLOOKUP($B208,'Afton Update'!$A$5:$CR$582,'Afton Update'!BU$589,0)</f>
        <v>Y</v>
      </c>
      <c r="K208" s="640" t="str">
        <f>VLOOKUP($B208,'Afton Update'!$A$5:$CR$582,'Afton Update'!BV$589,0)</f>
        <v>Y</v>
      </c>
      <c r="L208" s="641" t="str">
        <f>VLOOKUP($B208,'Afton Update'!$A$5:$CR$582,'Afton Update'!BW$589,0)</f>
        <v>Y</v>
      </c>
      <c r="N208" s="642">
        <f>VLOOKUP($B208,'Afton Update'!$A$5:$CR$582,'Afton Update'!CB$589,0)</f>
        <v>0.9</v>
      </c>
      <c r="P208" s="636">
        <f>VLOOKUP($B208,'Afton Update'!$A$5:$CR$582,'Afton Update'!AH$589,0)</f>
        <v>79404.319461724284</v>
      </c>
      <c r="Q208" s="637">
        <f>VLOOKUP($B208,'Afton Update'!$A$5:$CR$582,'Afton Update'!AI$589,0)</f>
        <v>18551.506955007229</v>
      </c>
      <c r="R208" s="637">
        <f>VLOOKUP($B208,'Afton Update'!$A$5:$CR$582,'Afton Update'!AJ$589,0)</f>
        <v>46497.670584411491</v>
      </c>
      <c r="S208" s="637">
        <f>VLOOKUP($B208,'Afton Update'!$A$5:$CR$582,'Afton Update'!AK$589,0)</f>
        <v>43283.22340294937</v>
      </c>
      <c r="T208" s="643">
        <f t="shared" si="506"/>
        <v>187736.72040409237</v>
      </c>
      <c r="V208" s="636">
        <f t="shared" si="532"/>
        <v>78321.193005807872</v>
      </c>
      <c r="W208" s="637">
        <f t="shared" si="533"/>
        <v>17940.488141985945</v>
      </c>
      <c r="X208" s="637">
        <f t="shared" si="534"/>
        <v>46074.792424775333</v>
      </c>
      <c r="Y208" s="637">
        <f t="shared" si="535"/>
        <v>42806.320194830936</v>
      </c>
      <c r="Z208" s="643">
        <f t="shared" si="536"/>
        <v>185142.79376740009</v>
      </c>
      <c r="AB208" s="644">
        <f t="shared" si="507"/>
        <v>79404.319461724284</v>
      </c>
      <c r="AC208" s="645">
        <f t="shared" si="481"/>
        <v>72145.951942326559</v>
      </c>
      <c r="AD208" s="644">
        <f t="shared" si="537"/>
        <v>0</v>
      </c>
      <c r="AE208" s="645">
        <f t="shared" si="538"/>
        <v>79404.319461724284</v>
      </c>
      <c r="AF208" s="646">
        <f t="shared" si="539"/>
        <v>-984.27621048574179</v>
      </c>
      <c r="AG208" s="647">
        <f t="shared" si="540"/>
        <v>78420.043251238545</v>
      </c>
      <c r="AH208" s="644">
        <f t="shared" si="508"/>
        <v>0</v>
      </c>
      <c r="AI208" s="645">
        <f t="shared" si="509"/>
        <v>78420.043251238545</v>
      </c>
      <c r="AJ208" s="646">
        <f t="shared" si="541"/>
        <v>-98.787268242919666</v>
      </c>
      <c r="AK208" s="647">
        <f t="shared" si="510"/>
        <v>78321.25598299563</v>
      </c>
      <c r="AL208" s="644">
        <f t="shared" si="542"/>
        <v>0</v>
      </c>
      <c r="AM208" s="645">
        <f t="shared" si="543"/>
        <v>78321.25598299563</v>
      </c>
      <c r="AN208" s="646">
        <f t="shared" si="544"/>
        <v>-6.2977187752557673E-2</v>
      </c>
      <c r="AO208" s="647">
        <f t="shared" si="511"/>
        <v>78321.193005807872</v>
      </c>
      <c r="AP208" s="644">
        <f t="shared" si="545"/>
        <v>0</v>
      </c>
      <c r="AQ208" s="645">
        <f t="shared" si="546"/>
        <v>78321.193005807872</v>
      </c>
      <c r="AR208" s="646">
        <f t="shared" si="547"/>
        <v>0</v>
      </c>
      <c r="AS208" s="647">
        <f t="shared" si="512"/>
        <v>78321.193005807872</v>
      </c>
      <c r="AT208" s="644">
        <f t="shared" si="548"/>
        <v>0</v>
      </c>
      <c r="AU208" s="645">
        <f t="shared" si="549"/>
        <v>78321.193005807872</v>
      </c>
      <c r="AV208" s="646">
        <f t="shared" si="550"/>
        <v>0</v>
      </c>
      <c r="AW208" s="647">
        <f t="shared" si="513"/>
        <v>78321.193005807872</v>
      </c>
      <c r="AY208" s="644">
        <f t="shared" si="551"/>
        <v>18551.506955007229</v>
      </c>
      <c r="AZ208" s="645">
        <f t="shared" si="482"/>
        <v>16365.970864601142</v>
      </c>
      <c r="BA208" s="644">
        <f t="shared" si="552"/>
        <v>0</v>
      </c>
      <c r="BB208" s="645">
        <f t="shared" si="553"/>
        <v>18551.506955007229</v>
      </c>
      <c r="BC208" s="646">
        <f t="shared" si="554"/>
        <v>-133.40929298737066</v>
      </c>
      <c r="BD208" s="647">
        <f t="shared" si="555"/>
        <v>18418.09766201986</v>
      </c>
      <c r="BE208" s="644">
        <f t="shared" si="514"/>
        <v>0</v>
      </c>
      <c r="BF208" s="645">
        <f t="shared" si="515"/>
        <v>18418.09766201986</v>
      </c>
      <c r="BG208" s="646">
        <f t="shared" si="556"/>
        <v>-438.70407664257613</v>
      </c>
      <c r="BH208" s="647">
        <f t="shared" si="516"/>
        <v>17979.393585377285</v>
      </c>
      <c r="BI208" s="644">
        <f t="shared" si="557"/>
        <v>0</v>
      </c>
      <c r="BJ208" s="645">
        <f t="shared" si="558"/>
        <v>17979.393585377285</v>
      </c>
      <c r="BK208" s="646">
        <f t="shared" si="559"/>
        <v>-38.084578470122679</v>
      </c>
      <c r="BL208" s="647">
        <f t="shared" si="517"/>
        <v>17941.309006907162</v>
      </c>
      <c r="BM208" s="644">
        <f t="shared" si="560"/>
        <v>0</v>
      </c>
      <c r="BN208" s="645">
        <f t="shared" si="561"/>
        <v>17941.309006907162</v>
      </c>
      <c r="BO208" s="646">
        <f t="shared" si="562"/>
        <v>-0.8208649212182062</v>
      </c>
      <c r="BP208" s="647">
        <f t="shared" si="518"/>
        <v>17940.488141985945</v>
      </c>
      <c r="BQ208" s="644">
        <f t="shared" si="563"/>
        <v>0</v>
      </c>
      <c r="BR208" s="645">
        <f t="shared" si="564"/>
        <v>17940.488141985945</v>
      </c>
      <c r="BS208" s="646">
        <f t="shared" si="565"/>
        <v>0</v>
      </c>
      <c r="BT208" s="647">
        <f t="shared" si="519"/>
        <v>17940.488141985945</v>
      </c>
      <c r="BU208" s="662">
        <f>VLOOKUP(B208,'Afton Update'!$A$5:$AR$582,'Afton Update'!$AO$589,0)-BT208</f>
        <v>0</v>
      </c>
      <c r="BV208" s="644">
        <f t="shared" si="566"/>
        <v>46497.670584411491</v>
      </c>
      <c r="BW208" s="645">
        <f t="shared" si="483"/>
        <v>39154.455585023279</v>
      </c>
      <c r="BX208" s="644">
        <f t="shared" si="567"/>
        <v>0</v>
      </c>
      <c r="BY208" s="645">
        <f t="shared" si="568"/>
        <v>46497.670584411491</v>
      </c>
      <c r="BZ208" s="646">
        <f t="shared" si="569"/>
        <v>-408.11499829648875</v>
      </c>
      <c r="CA208" s="647">
        <f t="shared" si="570"/>
        <v>46089.555586115006</v>
      </c>
      <c r="CB208" s="644">
        <f t="shared" si="520"/>
        <v>0</v>
      </c>
      <c r="CC208" s="645">
        <f t="shared" si="521"/>
        <v>46089.555586115006</v>
      </c>
      <c r="CD208" s="646">
        <f t="shared" si="571"/>
        <v>-14.763161339676541</v>
      </c>
      <c r="CE208" s="647">
        <f t="shared" si="522"/>
        <v>46074.792424775333</v>
      </c>
      <c r="CF208" s="644">
        <f t="shared" si="572"/>
        <v>0</v>
      </c>
      <c r="CG208" s="645">
        <f t="shared" si="573"/>
        <v>46074.792424775333</v>
      </c>
      <c r="CH208" s="646">
        <f t="shared" si="574"/>
        <v>0</v>
      </c>
      <c r="CI208" s="647">
        <f t="shared" si="523"/>
        <v>46074.792424775333</v>
      </c>
      <c r="CJ208" s="644">
        <f t="shared" si="575"/>
        <v>0</v>
      </c>
      <c r="CK208" s="645">
        <f t="shared" si="576"/>
        <v>46074.792424775333</v>
      </c>
      <c r="CL208" s="646">
        <f t="shared" si="577"/>
        <v>0</v>
      </c>
      <c r="CM208" s="647">
        <f t="shared" si="524"/>
        <v>46074.792424775333</v>
      </c>
      <c r="CN208" s="644">
        <f t="shared" si="578"/>
        <v>0</v>
      </c>
      <c r="CO208" s="645">
        <f t="shared" si="579"/>
        <v>46074.792424775333</v>
      </c>
      <c r="CP208" s="646">
        <f t="shared" si="580"/>
        <v>0</v>
      </c>
      <c r="CQ208" s="647">
        <f t="shared" si="525"/>
        <v>46074.792424775333</v>
      </c>
      <c r="CS208" s="644">
        <f t="shared" si="581"/>
        <v>43283.22340294937</v>
      </c>
      <c r="CT208" s="645">
        <f t="shared" si="484"/>
        <v>32876.365957860995</v>
      </c>
      <c r="CU208" s="644">
        <f t="shared" si="582"/>
        <v>0</v>
      </c>
      <c r="CV208" s="645">
        <f t="shared" si="583"/>
        <v>43283.22340294937</v>
      </c>
      <c r="CW208" s="646">
        <f t="shared" si="584"/>
        <v>-443.24466794692557</v>
      </c>
      <c r="CX208" s="647">
        <f t="shared" si="585"/>
        <v>42839.978735002442</v>
      </c>
      <c r="CY208" s="644">
        <f t="shared" si="526"/>
        <v>0</v>
      </c>
      <c r="CZ208" s="645">
        <f t="shared" si="527"/>
        <v>42839.978735002442</v>
      </c>
      <c r="DA208" s="646">
        <f t="shared" si="586"/>
        <v>-33.629538882855478</v>
      </c>
      <c r="DB208" s="647">
        <f t="shared" si="528"/>
        <v>42806.349196119583</v>
      </c>
      <c r="DC208" s="644">
        <f t="shared" si="587"/>
        <v>0</v>
      </c>
      <c r="DD208" s="645">
        <f t="shared" si="588"/>
        <v>42806.349196119583</v>
      </c>
      <c r="DE208" s="646">
        <f t="shared" si="589"/>
        <v>-2.9001288647671965E-2</v>
      </c>
      <c r="DF208" s="647">
        <f t="shared" si="529"/>
        <v>42806.320194830936</v>
      </c>
      <c r="DG208" s="644">
        <f t="shared" si="590"/>
        <v>0</v>
      </c>
      <c r="DH208" s="645">
        <f t="shared" si="591"/>
        <v>42806.320194830936</v>
      </c>
      <c r="DI208" s="646">
        <f t="shared" si="592"/>
        <v>0</v>
      </c>
      <c r="DJ208" s="647">
        <f t="shared" si="530"/>
        <v>42806.320194830936</v>
      </c>
      <c r="DK208" s="644">
        <f t="shared" si="593"/>
        <v>0</v>
      </c>
      <c r="DL208" s="645">
        <f t="shared" si="594"/>
        <v>42806.320194830936</v>
      </c>
      <c r="DM208" s="646">
        <f t="shared" si="595"/>
        <v>0</v>
      </c>
      <c r="DN208" s="647">
        <f t="shared" si="531"/>
        <v>42806.320194830936</v>
      </c>
      <c r="DR208" s="827">
        <f t="shared" si="485"/>
        <v>185142.79376740009</v>
      </c>
      <c r="DV208" s="828">
        <f>IFERROR(VLOOKUP($B208,'Afton FY16 Final'!$A$5:$BV$587,'Afton FY16 Final'!$BV$587,0),0)</f>
        <v>158371.91734411914</v>
      </c>
      <c r="DX208" s="636">
        <f t="shared" si="473"/>
        <v>185142.79376740009</v>
      </c>
      <c r="DY208" s="637">
        <f t="shared" si="474"/>
        <v>26770.876423280948</v>
      </c>
      <c r="DZ208" s="637">
        <f t="shared" si="475"/>
        <v>158371.91734411914</v>
      </c>
      <c r="EA208" s="643">
        <f t="shared" si="476"/>
        <v>175295.2721084978</v>
      </c>
      <c r="EB208" s="637">
        <f t="shared" si="486"/>
        <v>0</v>
      </c>
      <c r="EC208" s="637">
        <f t="shared" si="487"/>
        <v>175295.2721084978</v>
      </c>
      <c r="ED208" s="637">
        <f t="shared" si="488"/>
        <v>174772.55207355236</v>
      </c>
      <c r="EE208" s="643">
        <f t="shared" si="489"/>
        <v>174772.55207355236</v>
      </c>
      <c r="EF208" s="637">
        <f t="shared" si="490"/>
        <v>0</v>
      </c>
      <c r="EG208" s="637">
        <f t="shared" si="491"/>
        <v>174772.55207355236</v>
      </c>
      <c r="EH208" s="637">
        <f t="shared" si="492"/>
        <v>174772.37176753228</v>
      </c>
      <c r="EI208" s="643">
        <f t="shared" si="493"/>
        <v>174772.37176753228</v>
      </c>
      <c r="EJ208" s="637">
        <f t="shared" si="494"/>
        <v>0</v>
      </c>
      <c r="EK208" s="637">
        <f t="shared" si="495"/>
        <v>174772.37176753228</v>
      </c>
      <c r="EL208" s="637">
        <f t="shared" si="496"/>
        <v>174772.37176753205</v>
      </c>
      <c r="EM208" s="643">
        <f t="shared" si="497"/>
        <v>174772.37176753205</v>
      </c>
      <c r="EN208" s="637">
        <f t="shared" si="498"/>
        <v>0</v>
      </c>
      <c r="EO208" s="637">
        <f t="shared" si="499"/>
        <v>174772.37176753205</v>
      </c>
      <c r="EP208" s="637">
        <f t="shared" si="500"/>
        <v>174772.37176753231</v>
      </c>
      <c r="EQ208" s="643">
        <f t="shared" si="501"/>
        <v>174772.37176753231</v>
      </c>
      <c r="ER208" s="637">
        <f t="shared" si="502"/>
        <v>0</v>
      </c>
      <c r="ES208" s="637">
        <f t="shared" si="503"/>
        <v>174772.37176753231</v>
      </c>
      <c r="ET208" s="637">
        <f t="shared" si="504"/>
        <v>174772.37176753205</v>
      </c>
      <c r="EU208" s="643">
        <f t="shared" si="477"/>
        <v>174772.37176753205</v>
      </c>
      <c r="EV208" s="643">
        <f t="shared" si="478"/>
        <v>0</v>
      </c>
      <c r="EX208" s="829">
        <f t="shared" si="479"/>
        <v>10370.421999868035</v>
      </c>
      <c r="EY208" s="638">
        <f t="shared" si="480"/>
        <v>174772.37176753205</v>
      </c>
      <c r="FC208" s="830" t="str">
        <f t="shared" si="505"/>
        <v>Y</v>
      </c>
      <c r="FE208" s="830" t="str">
        <f>IFERROR(VLOOKUP($B208,'Historical Conc Grant Elig'!$B$3:$J$707,'HH &amp; SI'!FE$2,0),"N")</f>
        <v>N</v>
      </c>
      <c r="FF208" s="830" t="str">
        <f>IFERROR(VLOOKUP($B208,'Historical Conc Grant Elig'!$B$3:$J$707,'HH &amp; SI'!FF$2,0),"N")</f>
        <v>Y</v>
      </c>
      <c r="FG208" s="830" t="str">
        <f>IFERROR(VLOOKUP($B208,'Historical Conc Grant Elig'!$B$3:$J$707,'HH &amp; SI'!FG$2,0),"N")</f>
        <v>Y</v>
      </c>
      <c r="FH208" s="830" t="str">
        <f>IFERROR(VLOOKUP($B208,'Historical Conc Grant Elig'!$B$3:$J$707,'HH &amp; SI'!FH$2,0),"N")</f>
        <v>Y</v>
      </c>
      <c r="FI208" s="830" t="str">
        <f>IFERROR(VLOOKUP($B208,'Historical Conc Grant Elig'!$B$3:$J$707,'HH &amp; SI'!FI$2,0),"N")</f>
        <v>Y</v>
      </c>
      <c r="FJ208" s="830" t="str">
        <f>IFERROR(VLOOKUP($B208,'Historical Conc Grant Elig'!$B$3:$J$707,'HH &amp; SI'!FJ$2,0),"N")</f>
        <v>Y</v>
      </c>
      <c r="FK208" s="830" t="str">
        <f>IFERROR(VLOOKUP($B208,'Historical Conc Grant Elig'!$B$3:$J$707,'HH &amp; SI'!FK$2,0),"N")</f>
        <v>Y</v>
      </c>
      <c r="FL208" s="957" t="str">
        <f>IFERROR(VLOOKUP($B208,'Historical Conc Grant Elig'!$B$3:$J$707,'HH &amp; SI'!FL$2,0),"N")</f>
        <v>Y</v>
      </c>
    </row>
    <row r="209" spans="2:168" x14ac:dyDescent="0.25">
      <c r="B209" s="634">
        <v>78565000</v>
      </c>
      <c r="C209" s="635" t="str">
        <f>VLOOKUP($B209,'Afton Update'!$A$5:$CR$582,'Afton Update'!D$589,0)</f>
        <v xml:space="preserve">CAFA  Inc. dba Learning Foundation and Performing Arts Alta </v>
      </c>
      <c r="D209" s="636">
        <f>IFERROR(VLOOKUP($B209,'Afton FY16 Final'!$A$5:$BV$587,'Afton FY16 Final'!AQ$587,0),0)</f>
        <v>41271.457204691382</v>
      </c>
      <c r="E209" s="637">
        <f>IFERROR(VLOOKUP($B209,'Afton FY16 Final'!$A$5:$BV$587,'Afton FY16 Final'!AR$587,0),0)</f>
        <v>10288.86705775088</v>
      </c>
      <c r="F209" s="637">
        <f>IFERROR(VLOOKUP($B209,'Afton FY16 Final'!$A$5:$BV$587,'Afton FY16 Final'!AS$587,0),0)</f>
        <v>22398.504622159206</v>
      </c>
      <c r="G209" s="637">
        <f>IFERROR(VLOOKUP($B209,'Afton FY16 Final'!$A$5:$BV$587,'Afton FY16 Final'!AT$587,0),0)</f>
        <v>21036.49707059241</v>
      </c>
      <c r="H209" s="638">
        <f>IFERROR(VLOOKUP($B209,'Afton FY16 Final'!$A$5:$BV$587,'Afton FY16 Final'!AU$587,0),0)</f>
        <v>94995.325955193883</v>
      </c>
      <c r="I209" s="639" t="str">
        <f>VLOOKUP($B209,'Afton Update'!$A$5:$CR$582,'Afton Update'!BT$589,0)</f>
        <v>Y</v>
      </c>
      <c r="J209" s="640" t="str">
        <f>VLOOKUP($B209,'Afton Update'!$A$5:$CR$582,'Afton Update'!BU$589,0)</f>
        <v>Y</v>
      </c>
      <c r="K209" s="640" t="str">
        <f>VLOOKUP($B209,'Afton Update'!$A$5:$CR$582,'Afton Update'!BV$589,0)</f>
        <v>Y</v>
      </c>
      <c r="L209" s="641" t="str">
        <f>VLOOKUP($B209,'Afton Update'!$A$5:$CR$582,'Afton Update'!BW$589,0)</f>
        <v>Y</v>
      </c>
      <c r="N209" s="642">
        <f>VLOOKUP($B209,'Afton Update'!$A$5:$CR$582,'Afton Update'!CB$589,0)</f>
        <v>0.95</v>
      </c>
      <c r="P209" s="636">
        <f>VLOOKUP($B209,'Afton Update'!$A$5:$CR$582,'Afton Update'!AH$589,0)</f>
        <v>39462.990093929235</v>
      </c>
      <c r="Q209" s="637">
        <f>VLOOKUP($B209,'Afton Update'!$A$5:$CR$582,'Afton Update'!AI$589,0)</f>
        <v>10291.704272617233</v>
      </c>
      <c r="R209" s="637">
        <f>VLOOKUP($B209,'Afton Update'!$A$5:$CR$582,'Afton Update'!AJ$589,0)</f>
        <v>23121.52871740867</v>
      </c>
      <c r="S209" s="637">
        <f>VLOOKUP($B209,'Afton Update'!$A$5:$CR$582,'Afton Update'!AK$589,0)</f>
        <v>21523.106003267672</v>
      </c>
      <c r="T209" s="643">
        <f t="shared" si="506"/>
        <v>94399.32908722281</v>
      </c>
      <c r="V209" s="636">
        <f t="shared" si="532"/>
        <v>39207.884344456812</v>
      </c>
      <c r="W209" s="637">
        <f t="shared" si="533"/>
        <v>9952.7331613284332</v>
      </c>
      <c r="X209" s="637">
        <f t="shared" si="534"/>
        <v>22911.247441183394</v>
      </c>
      <c r="Y209" s="637">
        <f t="shared" si="535"/>
        <v>21285.960118681545</v>
      </c>
      <c r="Z209" s="643">
        <f t="shared" si="536"/>
        <v>93357.825065650177</v>
      </c>
      <c r="AB209" s="644">
        <f t="shared" si="507"/>
        <v>39462.990093929235</v>
      </c>
      <c r="AC209" s="645">
        <f t="shared" si="481"/>
        <v>39207.884344456812</v>
      </c>
      <c r="AD209" s="644">
        <f t="shared" si="537"/>
        <v>0</v>
      </c>
      <c r="AE209" s="645">
        <f t="shared" si="538"/>
        <v>39462.990093929235</v>
      </c>
      <c r="AF209" s="646">
        <f t="shared" si="539"/>
        <v>-489.17341786188973</v>
      </c>
      <c r="AG209" s="647">
        <f t="shared" si="540"/>
        <v>38973.816676067348</v>
      </c>
      <c r="AH209" s="644">
        <f t="shared" si="508"/>
        <v>-234.06766838946351</v>
      </c>
      <c r="AI209" s="645">
        <f t="shared" si="509"/>
        <v>0</v>
      </c>
      <c r="AJ209" s="646">
        <f t="shared" si="541"/>
        <v>0</v>
      </c>
      <c r="AK209" s="647">
        <f t="shared" si="510"/>
        <v>39207.884344456812</v>
      </c>
      <c r="AL209" s="644">
        <f t="shared" si="542"/>
        <v>0</v>
      </c>
      <c r="AM209" s="645">
        <f t="shared" si="543"/>
        <v>0</v>
      </c>
      <c r="AN209" s="646">
        <f t="shared" si="544"/>
        <v>0</v>
      </c>
      <c r="AO209" s="647">
        <f t="shared" si="511"/>
        <v>39207.884344456812</v>
      </c>
      <c r="AP209" s="644">
        <f t="shared" si="545"/>
        <v>0</v>
      </c>
      <c r="AQ209" s="645">
        <f t="shared" si="546"/>
        <v>0</v>
      </c>
      <c r="AR209" s="646">
        <f t="shared" si="547"/>
        <v>0</v>
      </c>
      <c r="AS209" s="647">
        <f t="shared" si="512"/>
        <v>39207.884344456812</v>
      </c>
      <c r="AT209" s="644">
        <f t="shared" si="548"/>
        <v>0</v>
      </c>
      <c r="AU209" s="645">
        <f t="shared" si="549"/>
        <v>0</v>
      </c>
      <c r="AV209" s="646">
        <f t="shared" si="550"/>
        <v>0</v>
      </c>
      <c r="AW209" s="647">
        <f t="shared" si="513"/>
        <v>39207.884344456812</v>
      </c>
      <c r="AY209" s="644">
        <f t="shared" si="551"/>
        <v>10291.704272617233</v>
      </c>
      <c r="AZ209" s="645">
        <f t="shared" si="482"/>
        <v>9774.4237048633349</v>
      </c>
      <c r="BA209" s="644">
        <f t="shared" si="552"/>
        <v>0</v>
      </c>
      <c r="BB209" s="645">
        <f t="shared" si="553"/>
        <v>10291.704272617233</v>
      </c>
      <c r="BC209" s="646">
        <f t="shared" si="554"/>
        <v>-74.010644740338947</v>
      </c>
      <c r="BD209" s="647">
        <f t="shared" si="555"/>
        <v>10217.693627876894</v>
      </c>
      <c r="BE209" s="644">
        <f t="shared" si="514"/>
        <v>0</v>
      </c>
      <c r="BF209" s="645">
        <f t="shared" si="515"/>
        <v>10217.693627876894</v>
      </c>
      <c r="BG209" s="646">
        <f t="shared" si="556"/>
        <v>-243.37713539645105</v>
      </c>
      <c r="BH209" s="647">
        <f t="shared" si="516"/>
        <v>9974.3164924804423</v>
      </c>
      <c r="BI209" s="644">
        <f t="shared" si="557"/>
        <v>0</v>
      </c>
      <c r="BJ209" s="645">
        <f t="shared" si="558"/>
        <v>9974.3164924804423</v>
      </c>
      <c r="BK209" s="646">
        <f t="shared" si="559"/>
        <v>-21.12794501882745</v>
      </c>
      <c r="BL209" s="647">
        <f t="shared" si="517"/>
        <v>9953.1885474616156</v>
      </c>
      <c r="BM209" s="644">
        <f t="shared" si="560"/>
        <v>0</v>
      </c>
      <c r="BN209" s="645">
        <f t="shared" si="561"/>
        <v>9953.1885474616156</v>
      </c>
      <c r="BO209" s="646">
        <f t="shared" si="562"/>
        <v>-0.4553861331821778</v>
      </c>
      <c r="BP209" s="647">
        <f t="shared" si="518"/>
        <v>9952.7331613284332</v>
      </c>
      <c r="BQ209" s="644">
        <f t="shared" si="563"/>
        <v>0</v>
      </c>
      <c r="BR209" s="645">
        <f t="shared" si="564"/>
        <v>9952.7331613284332</v>
      </c>
      <c r="BS209" s="646">
        <f t="shared" si="565"/>
        <v>0</v>
      </c>
      <c r="BT209" s="647">
        <f t="shared" si="519"/>
        <v>9952.7331613284332</v>
      </c>
      <c r="BU209" s="662">
        <f>VLOOKUP(B209,'Afton Update'!$A$5:$AR$582,'Afton Update'!$AO$589,0)-BT209</f>
        <v>0</v>
      </c>
      <c r="BV209" s="644">
        <f t="shared" si="566"/>
        <v>23121.52871740867</v>
      </c>
      <c r="BW209" s="645">
        <f t="shared" si="483"/>
        <v>21278.579391051244</v>
      </c>
      <c r="BX209" s="644">
        <f t="shared" si="567"/>
        <v>0</v>
      </c>
      <c r="BY209" s="645">
        <f t="shared" si="568"/>
        <v>23121.52871740867</v>
      </c>
      <c r="BZ209" s="646">
        <f t="shared" si="569"/>
        <v>-202.9401158061666</v>
      </c>
      <c r="CA209" s="647">
        <f t="shared" si="570"/>
        <v>22918.588601602503</v>
      </c>
      <c r="CB209" s="644">
        <f t="shared" si="520"/>
        <v>0</v>
      </c>
      <c r="CC209" s="645">
        <f t="shared" si="521"/>
        <v>22918.588601602503</v>
      </c>
      <c r="CD209" s="646">
        <f t="shared" si="571"/>
        <v>-7.3411604191093893</v>
      </c>
      <c r="CE209" s="647">
        <f t="shared" si="522"/>
        <v>22911.247441183394</v>
      </c>
      <c r="CF209" s="644">
        <f t="shared" si="572"/>
        <v>0</v>
      </c>
      <c r="CG209" s="645">
        <f t="shared" si="573"/>
        <v>22911.247441183394</v>
      </c>
      <c r="CH209" s="646">
        <f t="shared" si="574"/>
        <v>0</v>
      </c>
      <c r="CI209" s="647">
        <f t="shared" si="523"/>
        <v>22911.247441183394</v>
      </c>
      <c r="CJ209" s="644">
        <f t="shared" si="575"/>
        <v>0</v>
      </c>
      <c r="CK209" s="645">
        <f t="shared" si="576"/>
        <v>22911.247441183394</v>
      </c>
      <c r="CL209" s="646">
        <f t="shared" si="577"/>
        <v>0</v>
      </c>
      <c r="CM209" s="647">
        <f t="shared" si="524"/>
        <v>22911.247441183394</v>
      </c>
      <c r="CN209" s="644">
        <f t="shared" si="578"/>
        <v>0</v>
      </c>
      <c r="CO209" s="645">
        <f t="shared" si="579"/>
        <v>22911.247441183394</v>
      </c>
      <c r="CP209" s="646">
        <f t="shared" si="580"/>
        <v>0</v>
      </c>
      <c r="CQ209" s="647">
        <f t="shared" si="525"/>
        <v>22911.247441183394</v>
      </c>
      <c r="CS209" s="644">
        <f t="shared" si="581"/>
        <v>21523.106003267672</v>
      </c>
      <c r="CT209" s="645">
        <f t="shared" si="484"/>
        <v>19984.672217062787</v>
      </c>
      <c r="CU209" s="644">
        <f t="shared" si="582"/>
        <v>0</v>
      </c>
      <c r="CV209" s="645">
        <f t="shared" si="583"/>
        <v>21523.106003267672</v>
      </c>
      <c r="CW209" s="646">
        <f t="shared" si="584"/>
        <v>-220.40876865364868</v>
      </c>
      <c r="CX209" s="647">
        <f t="shared" si="585"/>
        <v>21302.697234614025</v>
      </c>
      <c r="CY209" s="644">
        <f t="shared" si="526"/>
        <v>0</v>
      </c>
      <c r="CZ209" s="645">
        <f t="shared" si="527"/>
        <v>21302.697234614025</v>
      </c>
      <c r="DA209" s="646">
        <f t="shared" si="586"/>
        <v>-16.722694691158075</v>
      </c>
      <c r="DB209" s="647">
        <f t="shared" si="528"/>
        <v>21285.974539922867</v>
      </c>
      <c r="DC209" s="644">
        <f t="shared" si="587"/>
        <v>0</v>
      </c>
      <c r="DD209" s="645">
        <f t="shared" si="588"/>
        <v>21285.974539922867</v>
      </c>
      <c r="DE209" s="646">
        <f t="shared" si="589"/>
        <v>-1.4421241319856819E-2</v>
      </c>
      <c r="DF209" s="647">
        <f t="shared" si="529"/>
        <v>21285.960118681545</v>
      </c>
      <c r="DG209" s="644">
        <f t="shared" si="590"/>
        <v>0</v>
      </c>
      <c r="DH209" s="645">
        <f t="shared" si="591"/>
        <v>21285.960118681545</v>
      </c>
      <c r="DI209" s="646">
        <f t="shared" si="592"/>
        <v>0</v>
      </c>
      <c r="DJ209" s="647">
        <f t="shared" si="530"/>
        <v>21285.960118681545</v>
      </c>
      <c r="DK209" s="644">
        <f t="shared" si="593"/>
        <v>0</v>
      </c>
      <c r="DL209" s="645">
        <f t="shared" si="594"/>
        <v>21285.960118681545</v>
      </c>
      <c r="DM209" s="646">
        <f t="shared" si="595"/>
        <v>0</v>
      </c>
      <c r="DN209" s="647">
        <f t="shared" si="531"/>
        <v>21285.960118681545</v>
      </c>
      <c r="DR209" s="827">
        <f t="shared" si="485"/>
        <v>93357.825065650177</v>
      </c>
      <c r="DV209" s="828">
        <f>IFERROR(VLOOKUP($B209,'Afton FY16 Final'!$A$5:$BV$587,'Afton FY16 Final'!$BV$587,0),0)</f>
        <v>89867.458967809041</v>
      </c>
      <c r="DX209" s="636">
        <f t="shared" si="473"/>
        <v>93357.825065650177</v>
      </c>
      <c r="DY209" s="637">
        <f t="shared" si="474"/>
        <v>3490.3660978411353</v>
      </c>
      <c r="DZ209" s="637">
        <f t="shared" si="475"/>
        <v>89867.458967809041</v>
      </c>
      <c r="EA209" s="643">
        <f t="shared" si="476"/>
        <v>88392.235070735245</v>
      </c>
      <c r="EB209" s="637">
        <f t="shared" si="486"/>
        <v>89867.458967809041</v>
      </c>
      <c r="EC209" s="637">
        <f t="shared" si="487"/>
        <v>0</v>
      </c>
      <c r="ED209" s="637">
        <f t="shared" si="488"/>
        <v>0</v>
      </c>
      <c r="EE209" s="643">
        <f t="shared" si="489"/>
        <v>89867.458967809041</v>
      </c>
      <c r="EF209" s="637">
        <f t="shared" si="490"/>
        <v>0</v>
      </c>
      <c r="EG209" s="637">
        <f t="shared" si="491"/>
        <v>0</v>
      </c>
      <c r="EH209" s="637">
        <f t="shared" si="492"/>
        <v>0</v>
      </c>
      <c r="EI209" s="643">
        <f t="shared" si="493"/>
        <v>89867.458967809041</v>
      </c>
      <c r="EJ209" s="637">
        <f t="shared" si="494"/>
        <v>0</v>
      </c>
      <c r="EK209" s="637">
        <f t="shared" si="495"/>
        <v>0</v>
      </c>
      <c r="EL209" s="637">
        <f t="shared" si="496"/>
        <v>0</v>
      </c>
      <c r="EM209" s="643">
        <f t="shared" si="497"/>
        <v>89867.458967809041</v>
      </c>
      <c r="EN209" s="637">
        <f t="shared" si="498"/>
        <v>0</v>
      </c>
      <c r="EO209" s="637">
        <f t="shared" si="499"/>
        <v>0</v>
      </c>
      <c r="EP209" s="637">
        <f t="shared" si="500"/>
        <v>0</v>
      </c>
      <c r="EQ209" s="643">
        <f t="shared" si="501"/>
        <v>89867.458967809041</v>
      </c>
      <c r="ER209" s="637">
        <f t="shared" si="502"/>
        <v>0</v>
      </c>
      <c r="ES209" s="637">
        <f t="shared" si="503"/>
        <v>0</v>
      </c>
      <c r="ET209" s="637">
        <f t="shared" si="504"/>
        <v>0</v>
      </c>
      <c r="EU209" s="643">
        <f t="shared" si="477"/>
        <v>89867.458967809041</v>
      </c>
      <c r="EV209" s="643">
        <f t="shared" si="478"/>
        <v>0</v>
      </c>
      <c r="EX209" s="829">
        <f t="shared" si="479"/>
        <v>3490.3660978411353</v>
      </c>
      <c r="EY209" s="638">
        <f t="shared" si="480"/>
        <v>89867.458967809041</v>
      </c>
      <c r="FC209" s="830" t="str">
        <f t="shared" si="505"/>
        <v>Y</v>
      </c>
      <c r="FE209" s="830" t="str">
        <f>IFERROR(VLOOKUP($B209,'Historical Conc Grant Elig'!$B$3:$J$707,'HH &amp; SI'!FE$2,0),"N")</f>
        <v>N</v>
      </c>
      <c r="FF209" s="830" t="str">
        <f>IFERROR(VLOOKUP($B209,'Historical Conc Grant Elig'!$B$3:$J$707,'HH &amp; SI'!FF$2,0),"N")</f>
        <v>Y</v>
      </c>
      <c r="FG209" s="830" t="str">
        <f>IFERROR(VLOOKUP($B209,'Historical Conc Grant Elig'!$B$3:$J$707,'HH &amp; SI'!FG$2,0),"N")</f>
        <v>Y</v>
      </c>
      <c r="FH209" s="830" t="str">
        <f>IFERROR(VLOOKUP($B209,'Historical Conc Grant Elig'!$B$3:$J$707,'HH &amp; SI'!FH$2,0),"N")</f>
        <v>Y</v>
      </c>
      <c r="FI209" s="830" t="str">
        <f>IFERROR(VLOOKUP($B209,'Historical Conc Grant Elig'!$B$3:$J$707,'HH &amp; SI'!FI$2,0),"N")</f>
        <v>Y</v>
      </c>
      <c r="FJ209" s="830" t="str">
        <f>IFERROR(VLOOKUP($B209,'Historical Conc Grant Elig'!$B$3:$J$707,'HH &amp; SI'!FJ$2,0),"N")</f>
        <v>Y</v>
      </c>
      <c r="FK209" s="830" t="str">
        <f>IFERROR(VLOOKUP($B209,'Historical Conc Grant Elig'!$B$3:$J$707,'HH &amp; SI'!FK$2,0),"N")</f>
        <v>Y</v>
      </c>
      <c r="FL209" s="957" t="str">
        <f>IFERROR(VLOOKUP($B209,'Historical Conc Grant Elig'!$B$3:$J$707,'HH &amp; SI'!FL$2,0),"N")</f>
        <v>Y</v>
      </c>
    </row>
    <row r="210" spans="2:168" x14ac:dyDescent="0.25">
      <c r="B210" s="634">
        <v>78566000</v>
      </c>
      <c r="C210" s="635" t="str">
        <f>VLOOKUP($B210,'Afton Update'!$A$5:$CR$582,'Afton Update'!D$589,0)</f>
        <v>Skyline Gila River Schools  LLC</v>
      </c>
      <c r="D210" s="636">
        <f>IFERROR(VLOOKUP($B210,'Afton FY16 Final'!$A$5:$BV$587,'Afton FY16 Final'!AQ$587,0),0)</f>
        <v>26115.851606553577</v>
      </c>
      <c r="E210" s="637">
        <f>IFERROR(VLOOKUP($B210,'Afton FY16 Final'!$A$5:$BV$587,'Afton FY16 Final'!AR$587,0),0)</f>
        <v>6148.5202821019639</v>
      </c>
      <c r="F210" s="637">
        <f>IFERROR(VLOOKUP($B210,'Afton FY16 Final'!$A$5:$BV$587,'Afton FY16 Final'!AS$587,0),0)</f>
        <v>13491.278799960714</v>
      </c>
      <c r="G210" s="637">
        <f>IFERROR(VLOOKUP($B210,'Afton FY16 Final'!$A$5:$BV$587,'Afton FY16 Final'!AT$587,0),0)</f>
        <v>12998.754255858195</v>
      </c>
      <c r="H210" s="638">
        <f>IFERROR(VLOOKUP($B210,'Afton FY16 Final'!$A$5:$BV$587,'Afton FY16 Final'!AU$587,0),0)</f>
        <v>58754.404944474445</v>
      </c>
      <c r="I210" s="639" t="str">
        <f>VLOOKUP($B210,'Afton Update'!$A$5:$CR$582,'Afton Update'!BT$589,0)</f>
        <v>Y</v>
      </c>
      <c r="J210" s="640" t="str">
        <f>VLOOKUP($B210,'Afton Update'!$A$5:$CR$582,'Afton Update'!BU$589,0)</f>
        <v>Y</v>
      </c>
      <c r="K210" s="640" t="str">
        <f>VLOOKUP($B210,'Afton Update'!$A$5:$CR$582,'Afton Update'!BV$589,0)</f>
        <v>Y</v>
      </c>
      <c r="L210" s="641" t="str">
        <f>VLOOKUP($B210,'Afton Update'!$A$5:$CR$582,'Afton Update'!BW$589,0)</f>
        <v>Y</v>
      </c>
      <c r="N210" s="642">
        <f>VLOOKUP($B210,'Afton Update'!$A$5:$CR$582,'Afton Update'!CB$589,0)</f>
        <v>0.95</v>
      </c>
      <c r="P210" s="636">
        <f>VLOOKUP($B210,'Afton Update'!$A$5:$CR$582,'Afton Update'!AH$589,0)</f>
        <v>24395.302967156254</v>
      </c>
      <c r="Q210" s="637">
        <f>VLOOKUP($B210,'Afton Update'!$A$5:$CR$582,'Afton Update'!AI$589,0)</f>
        <v>7175.7308056078346</v>
      </c>
      <c r="R210" s="637">
        <f>VLOOKUP($B210,'Afton Update'!$A$5:$CR$582,'Afton Update'!AJ$589,0)</f>
        <v>14302.984180754915</v>
      </c>
      <c r="S210" s="637">
        <f>VLOOKUP($B210,'Afton Update'!$A$5:$CR$582,'Afton Update'!AK$589,0)</f>
        <v>13314.199439315898</v>
      </c>
      <c r="T210" s="643">
        <f t="shared" si="506"/>
        <v>59188.2173928349</v>
      </c>
      <c r="V210" s="636">
        <f t="shared" si="532"/>
        <v>24810.059026225896</v>
      </c>
      <c r="W210" s="637">
        <f t="shared" si="533"/>
        <v>6939.388468026501</v>
      </c>
      <c r="X210" s="637">
        <f t="shared" si="534"/>
        <v>14172.904124019975</v>
      </c>
      <c r="Y210" s="637">
        <f t="shared" si="535"/>
        <v>13167.500928277886</v>
      </c>
      <c r="Z210" s="643">
        <f t="shared" si="536"/>
        <v>59089.852546550253</v>
      </c>
      <c r="AB210" s="644">
        <f t="shared" si="507"/>
        <v>24395.302967156254</v>
      </c>
      <c r="AC210" s="645">
        <f t="shared" si="481"/>
        <v>24810.059026225896</v>
      </c>
      <c r="AD210" s="644">
        <f t="shared" si="537"/>
        <v>414.7560590696412</v>
      </c>
      <c r="AE210" s="645">
        <f t="shared" si="538"/>
        <v>0</v>
      </c>
      <c r="AF210" s="646">
        <f t="shared" si="539"/>
        <v>0</v>
      </c>
      <c r="AG210" s="647">
        <f t="shared" si="540"/>
        <v>24810.059026225896</v>
      </c>
      <c r="AH210" s="644">
        <f t="shared" si="508"/>
        <v>0</v>
      </c>
      <c r="AI210" s="645">
        <f t="shared" si="509"/>
        <v>0</v>
      </c>
      <c r="AJ210" s="646">
        <f t="shared" si="541"/>
        <v>0</v>
      </c>
      <c r="AK210" s="647">
        <f t="shared" si="510"/>
        <v>24810.059026225896</v>
      </c>
      <c r="AL210" s="644">
        <f t="shared" si="542"/>
        <v>0</v>
      </c>
      <c r="AM210" s="645">
        <f t="shared" si="543"/>
        <v>0</v>
      </c>
      <c r="AN210" s="646">
        <f t="shared" si="544"/>
        <v>0</v>
      </c>
      <c r="AO210" s="647">
        <f t="shared" si="511"/>
        <v>24810.059026225896</v>
      </c>
      <c r="AP210" s="644">
        <f t="shared" si="545"/>
        <v>0</v>
      </c>
      <c r="AQ210" s="645">
        <f t="shared" si="546"/>
        <v>0</v>
      </c>
      <c r="AR210" s="646">
        <f t="shared" si="547"/>
        <v>0</v>
      </c>
      <c r="AS210" s="647">
        <f t="shared" si="512"/>
        <v>24810.059026225896</v>
      </c>
      <c r="AT210" s="644">
        <f t="shared" si="548"/>
        <v>0</v>
      </c>
      <c r="AU210" s="645">
        <f t="shared" si="549"/>
        <v>0</v>
      </c>
      <c r="AV210" s="646">
        <f t="shared" si="550"/>
        <v>0</v>
      </c>
      <c r="AW210" s="647">
        <f t="shared" si="513"/>
        <v>24810.059026225896</v>
      </c>
      <c r="AY210" s="644">
        <f t="shared" si="551"/>
        <v>7175.7308056078346</v>
      </c>
      <c r="AZ210" s="645">
        <f t="shared" si="482"/>
        <v>5841.0942679968657</v>
      </c>
      <c r="BA210" s="644">
        <f t="shared" si="552"/>
        <v>0</v>
      </c>
      <c r="BB210" s="645">
        <f t="shared" si="553"/>
        <v>7175.7308056078346</v>
      </c>
      <c r="BC210" s="646">
        <f t="shared" si="554"/>
        <v>-51.602771449542544</v>
      </c>
      <c r="BD210" s="647">
        <f t="shared" si="555"/>
        <v>7124.1280341582924</v>
      </c>
      <c r="BE210" s="644">
        <f t="shared" si="514"/>
        <v>0</v>
      </c>
      <c r="BF210" s="645">
        <f t="shared" si="515"/>
        <v>7124.1280341582924</v>
      </c>
      <c r="BG210" s="646">
        <f t="shared" si="556"/>
        <v>-169.69092402815247</v>
      </c>
      <c r="BH210" s="647">
        <f t="shared" si="516"/>
        <v>6954.4371101301404</v>
      </c>
      <c r="BI210" s="644">
        <f t="shared" si="557"/>
        <v>0</v>
      </c>
      <c r="BJ210" s="645">
        <f t="shared" si="558"/>
        <v>6954.4371101301404</v>
      </c>
      <c r="BK210" s="646">
        <f t="shared" si="559"/>
        <v>-14.731131201871772</v>
      </c>
      <c r="BL210" s="647">
        <f t="shared" si="517"/>
        <v>6939.7059789282685</v>
      </c>
      <c r="BM210" s="644">
        <f t="shared" si="560"/>
        <v>0</v>
      </c>
      <c r="BN210" s="645">
        <f t="shared" si="561"/>
        <v>6939.7059789282685</v>
      </c>
      <c r="BO210" s="646">
        <f t="shared" si="562"/>
        <v>-0.31751090176738872</v>
      </c>
      <c r="BP210" s="647">
        <f t="shared" si="518"/>
        <v>6939.388468026501</v>
      </c>
      <c r="BQ210" s="644">
        <f t="shared" si="563"/>
        <v>0</v>
      </c>
      <c r="BR210" s="645">
        <f t="shared" si="564"/>
        <v>6939.388468026501</v>
      </c>
      <c r="BS210" s="646">
        <f t="shared" si="565"/>
        <v>0</v>
      </c>
      <c r="BT210" s="647">
        <f t="shared" si="519"/>
        <v>6939.388468026501</v>
      </c>
      <c r="BU210" s="662">
        <f>VLOOKUP(B210,'Afton Update'!$A$5:$AR$582,'Afton Update'!$AO$589,0)-BT210</f>
        <v>0</v>
      </c>
      <c r="BV210" s="644">
        <f t="shared" si="566"/>
        <v>14302.984180754915</v>
      </c>
      <c r="BW210" s="645">
        <f t="shared" si="483"/>
        <v>12816.714859962678</v>
      </c>
      <c r="BX210" s="644">
        <f t="shared" si="567"/>
        <v>0</v>
      </c>
      <c r="BY210" s="645">
        <f t="shared" si="568"/>
        <v>14302.984180754915</v>
      </c>
      <c r="BZ210" s="646">
        <f t="shared" si="569"/>
        <v>-125.53881283077565</v>
      </c>
      <c r="CA210" s="647">
        <f t="shared" si="570"/>
        <v>14177.44536792414</v>
      </c>
      <c r="CB210" s="644">
        <f t="shared" si="520"/>
        <v>0</v>
      </c>
      <c r="CC210" s="645">
        <f t="shared" si="521"/>
        <v>14177.44536792414</v>
      </c>
      <c r="CD210" s="646">
        <f t="shared" si="571"/>
        <v>-4.5412439041648964</v>
      </c>
      <c r="CE210" s="647">
        <f t="shared" si="522"/>
        <v>14172.904124019975</v>
      </c>
      <c r="CF210" s="644">
        <f t="shared" si="572"/>
        <v>0</v>
      </c>
      <c r="CG210" s="645">
        <f t="shared" si="573"/>
        <v>14172.904124019975</v>
      </c>
      <c r="CH210" s="646">
        <f t="shared" si="574"/>
        <v>0</v>
      </c>
      <c r="CI210" s="647">
        <f t="shared" si="523"/>
        <v>14172.904124019975</v>
      </c>
      <c r="CJ210" s="644">
        <f t="shared" si="575"/>
        <v>0</v>
      </c>
      <c r="CK210" s="645">
        <f t="shared" si="576"/>
        <v>14172.904124019975</v>
      </c>
      <c r="CL210" s="646">
        <f t="shared" si="577"/>
        <v>0</v>
      </c>
      <c r="CM210" s="647">
        <f t="shared" si="524"/>
        <v>14172.904124019975</v>
      </c>
      <c r="CN210" s="644">
        <f t="shared" si="578"/>
        <v>0</v>
      </c>
      <c r="CO210" s="645">
        <f t="shared" si="579"/>
        <v>14172.904124019975</v>
      </c>
      <c r="CP210" s="646">
        <f t="shared" si="580"/>
        <v>0</v>
      </c>
      <c r="CQ210" s="647">
        <f t="shared" si="525"/>
        <v>14172.904124019975</v>
      </c>
      <c r="CS210" s="644">
        <f t="shared" si="581"/>
        <v>13314.199439315898</v>
      </c>
      <c r="CT210" s="645">
        <f t="shared" si="484"/>
        <v>12348.816543065284</v>
      </c>
      <c r="CU210" s="644">
        <f t="shared" si="582"/>
        <v>0</v>
      </c>
      <c r="CV210" s="645">
        <f t="shared" si="583"/>
        <v>13314.199439315898</v>
      </c>
      <c r="CW210" s="646">
        <f t="shared" si="584"/>
        <v>-136.3449264052868</v>
      </c>
      <c r="CX210" s="647">
        <f t="shared" si="585"/>
        <v>13177.854512910611</v>
      </c>
      <c r="CY210" s="644">
        <f t="shared" si="526"/>
        <v>0</v>
      </c>
      <c r="CZ210" s="645">
        <f t="shared" si="527"/>
        <v>13177.854512910611</v>
      </c>
      <c r="DA210" s="646">
        <f t="shared" si="586"/>
        <v>-10.344663648781214</v>
      </c>
      <c r="DB210" s="647">
        <f t="shared" si="528"/>
        <v>13167.509849261831</v>
      </c>
      <c r="DC210" s="644">
        <f t="shared" si="587"/>
        <v>0</v>
      </c>
      <c r="DD210" s="645">
        <f t="shared" si="588"/>
        <v>13167.509849261831</v>
      </c>
      <c r="DE210" s="646">
        <f t="shared" si="589"/>
        <v>-8.9209839446930238E-3</v>
      </c>
      <c r="DF210" s="647">
        <f t="shared" si="529"/>
        <v>13167.500928277886</v>
      </c>
      <c r="DG210" s="644">
        <f t="shared" si="590"/>
        <v>0</v>
      </c>
      <c r="DH210" s="645">
        <f t="shared" si="591"/>
        <v>13167.500928277886</v>
      </c>
      <c r="DI210" s="646">
        <f t="shared" si="592"/>
        <v>0</v>
      </c>
      <c r="DJ210" s="647">
        <f t="shared" si="530"/>
        <v>13167.500928277886</v>
      </c>
      <c r="DK210" s="644">
        <f t="shared" si="593"/>
        <v>0</v>
      </c>
      <c r="DL210" s="645">
        <f t="shared" si="594"/>
        <v>13167.500928277886</v>
      </c>
      <c r="DM210" s="646">
        <f t="shared" si="595"/>
        <v>0</v>
      </c>
      <c r="DN210" s="647">
        <f t="shared" si="531"/>
        <v>13167.500928277886</v>
      </c>
      <c r="DR210" s="827">
        <f t="shared" si="485"/>
        <v>59089.852546550253</v>
      </c>
      <c r="DV210" s="828">
        <f>IFERROR(VLOOKUP($B210,'Afton FY16 Final'!$A$5:$BV$587,'Afton FY16 Final'!$BV$587,0),0)</f>
        <v>57597.530720847994</v>
      </c>
      <c r="DX210" s="636">
        <f t="shared" si="473"/>
        <v>59089.852546550253</v>
      </c>
      <c r="DY210" s="637">
        <f t="shared" si="474"/>
        <v>1492.32182570226</v>
      </c>
      <c r="DZ210" s="637">
        <f t="shared" si="475"/>
        <v>57597.530720847994</v>
      </c>
      <c r="EA210" s="643">
        <f t="shared" si="476"/>
        <v>55946.934634743549</v>
      </c>
      <c r="EB210" s="637">
        <f t="shared" si="486"/>
        <v>57597.530720847994</v>
      </c>
      <c r="EC210" s="637">
        <f t="shared" si="487"/>
        <v>0</v>
      </c>
      <c r="ED210" s="637">
        <f t="shared" si="488"/>
        <v>0</v>
      </c>
      <c r="EE210" s="643">
        <f t="shared" si="489"/>
        <v>57597.530720847994</v>
      </c>
      <c r="EF210" s="637">
        <f t="shared" si="490"/>
        <v>0</v>
      </c>
      <c r="EG210" s="637">
        <f t="shared" si="491"/>
        <v>0</v>
      </c>
      <c r="EH210" s="637">
        <f t="shared" si="492"/>
        <v>0</v>
      </c>
      <c r="EI210" s="643">
        <f t="shared" si="493"/>
        <v>57597.530720847994</v>
      </c>
      <c r="EJ210" s="637">
        <f t="shared" si="494"/>
        <v>0</v>
      </c>
      <c r="EK210" s="637">
        <f t="shared" si="495"/>
        <v>0</v>
      </c>
      <c r="EL210" s="637">
        <f t="shared" si="496"/>
        <v>0</v>
      </c>
      <c r="EM210" s="643">
        <f t="shared" si="497"/>
        <v>57597.530720847994</v>
      </c>
      <c r="EN210" s="637">
        <f t="shared" si="498"/>
        <v>0</v>
      </c>
      <c r="EO210" s="637">
        <f t="shared" si="499"/>
        <v>0</v>
      </c>
      <c r="EP210" s="637">
        <f t="shared" si="500"/>
        <v>0</v>
      </c>
      <c r="EQ210" s="643">
        <f t="shared" si="501"/>
        <v>57597.530720847994</v>
      </c>
      <c r="ER210" s="637">
        <f t="shared" si="502"/>
        <v>0</v>
      </c>
      <c r="ES210" s="637">
        <f t="shared" si="503"/>
        <v>0</v>
      </c>
      <c r="ET210" s="637">
        <f t="shared" si="504"/>
        <v>0</v>
      </c>
      <c r="EU210" s="643">
        <f t="shared" si="477"/>
        <v>57597.530720847994</v>
      </c>
      <c r="EV210" s="643">
        <f t="shared" si="478"/>
        <v>0</v>
      </c>
      <c r="EX210" s="829">
        <f t="shared" si="479"/>
        <v>1492.32182570226</v>
      </c>
      <c r="EY210" s="638">
        <f t="shared" si="480"/>
        <v>57597.530720847994</v>
      </c>
      <c r="FC210" s="830" t="str">
        <f t="shared" si="505"/>
        <v>Y</v>
      </c>
      <c r="FE210" s="830" t="str">
        <f>IFERROR(VLOOKUP($B210,'Historical Conc Grant Elig'!$B$3:$J$707,'HH &amp; SI'!FE$2,0),"N")</f>
        <v>N</v>
      </c>
      <c r="FF210" s="830" t="str">
        <f>IFERROR(VLOOKUP($B210,'Historical Conc Grant Elig'!$B$3:$J$707,'HH &amp; SI'!FF$2,0),"N")</f>
        <v>Y</v>
      </c>
      <c r="FG210" s="830" t="str">
        <f>IFERROR(VLOOKUP($B210,'Historical Conc Grant Elig'!$B$3:$J$707,'HH &amp; SI'!FG$2,0),"N")</f>
        <v>Y</v>
      </c>
      <c r="FH210" s="830" t="str">
        <f>IFERROR(VLOOKUP($B210,'Historical Conc Grant Elig'!$B$3:$J$707,'HH &amp; SI'!FH$2,0),"N")</f>
        <v>Y</v>
      </c>
      <c r="FI210" s="830" t="str">
        <f>IFERROR(VLOOKUP($B210,'Historical Conc Grant Elig'!$B$3:$J$707,'HH &amp; SI'!FI$2,0),"N")</f>
        <v>Y</v>
      </c>
      <c r="FJ210" s="830" t="str">
        <f>IFERROR(VLOOKUP($B210,'Historical Conc Grant Elig'!$B$3:$J$707,'HH &amp; SI'!FJ$2,0),"N")</f>
        <v>Y</v>
      </c>
      <c r="FK210" s="830" t="str">
        <f>IFERROR(VLOOKUP($B210,'Historical Conc Grant Elig'!$B$3:$J$707,'HH &amp; SI'!FK$2,0),"N")</f>
        <v>Y</v>
      </c>
      <c r="FL210" s="957" t="str">
        <f>IFERROR(VLOOKUP($B210,'Historical Conc Grant Elig'!$B$3:$J$707,'HH &amp; SI'!FL$2,0),"N")</f>
        <v>Y</v>
      </c>
    </row>
    <row r="211" spans="2:168" x14ac:dyDescent="0.25">
      <c r="B211" s="634">
        <v>78567000</v>
      </c>
      <c r="C211" s="635" t="str">
        <f>VLOOKUP($B211,'Afton Update'!$A$5:$CR$582,'Afton Update'!D$589,0)</f>
        <v>Kaizen Education Foundation dba Vista Grove Preparatory Acad</v>
      </c>
      <c r="D211" s="636">
        <f>IFERROR(VLOOKUP($B211,'Afton FY16 Final'!$A$5:$BV$587,'Afton FY16 Final'!AQ$587,0),0)</f>
        <v>79423.998174187189</v>
      </c>
      <c r="E211" s="637">
        <f>IFERROR(VLOOKUP($B211,'Afton FY16 Final'!$A$5:$BV$587,'Afton FY16 Final'!AR$587,0),0)</f>
        <v>16917.650359541978</v>
      </c>
      <c r="F211" s="637">
        <f>IFERROR(VLOOKUP($B211,'Afton FY16 Final'!$A$5:$BV$587,'Afton FY16 Final'!AS$587,0),0)</f>
        <v>42111.764263576966</v>
      </c>
      <c r="G211" s="637">
        <f>IFERROR(VLOOKUP($B211,'Afton FY16 Final'!$A$5:$BV$587,'Afton FY16 Final'!AT$587,0),0)</f>
        <v>40574.394989484805</v>
      </c>
      <c r="H211" s="638">
        <f>IFERROR(VLOOKUP($B211,'Afton FY16 Final'!$A$5:$BV$587,'Afton FY16 Final'!AU$587,0),0)</f>
        <v>179027.80778679095</v>
      </c>
      <c r="I211" s="639" t="str">
        <f>VLOOKUP($B211,'Afton Update'!$A$5:$CR$582,'Afton Update'!BT$589,0)</f>
        <v>Y</v>
      </c>
      <c r="J211" s="640" t="str">
        <f>VLOOKUP($B211,'Afton Update'!$A$5:$CR$582,'Afton Update'!BU$589,0)</f>
        <v>Y</v>
      </c>
      <c r="K211" s="640" t="str">
        <f>VLOOKUP($B211,'Afton Update'!$A$5:$CR$582,'Afton Update'!BV$589,0)</f>
        <v>Y</v>
      </c>
      <c r="L211" s="641" t="str">
        <f>VLOOKUP($B211,'Afton Update'!$A$5:$CR$582,'Afton Update'!BW$589,0)</f>
        <v>Y</v>
      </c>
      <c r="N211" s="642">
        <f>VLOOKUP($B211,'Afton Update'!$A$5:$CR$582,'Afton Update'!CB$589,0)</f>
        <v>0.95</v>
      </c>
      <c r="P211" s="636">
        <f>VLOOKUP($B211,'Afton Update'!$A$5:$CR$582,'Afton Update'!AH$589,0)</f>
        <v>74142.587449200379</v>
      </c>
      <c r="Q211" s="637">
        <f>VLOOKUP($B211,'Afton Update'!$A$5:$CR$582,'Afton Update'!AI$589,0)</f>
        <v>17463.389236369025</v>
      </c>
      <c r="R211" s="637">
        <f>VLOOKUP($B211,'Afton Update'!$A$5:$CR$582,'Afton Update'!AJ$589,0)</f>
        <v>43418.178841453038</v>
      </c>
      <c r="S211" s="637">
        <f>VLOOKUP($B211,'Afton Update'!$A$5:$CR$582,'Afton Update'!AK$589,0)</f>
        <v>40416.621110775734</v>
      </c>
      <c r="T211" s="643">
        <f t="shared" si="506"/>
        <v>175440.77663779818</v>
      </c>
      <c r="V211" s="636">
        <f t="shared" si="532"/>
        <v>75452.798265477832</v>
      </c>
      <c r="W211" s="637">
        <f t="shared" si="533"/>
        <v>16888.209042737642</v>
      </c>
      <c r="X211" s="637">
        <f t="shared" si="534"/>
        <v>43023.307456876988</v>
      </c>
      <c r="Y211" s="637">
        <f t="shared" si="535"/>
        <v>39971.302699769345</v>
      </c>
      <c r="Z211" s="643">
        <f t="shared" si="536"/>
        <v>175335.6174648618</v>
      </c>
      <c r="AB211" s="644">
        <f t="shared" si="507"/>
        <v>74142.587449200379</v>
      </c>
      <c r="AC211" s="645">
        <f t="shared" si="481"/>
        <v>75452.798265477832</v>
      </c>
      <c r="AD211" s="644">
        <f t="shared" si="537"/>
        <v>1310.210816277453</v>
      </c>
      <c r="AE211" s="645">
        <f t="shared" si="538"/>
        <v>0</v>
      </c>
      <c r="AF211" s="646">
        <f t="shared" si="539"/>
        <v>0</v>
      </c>
      <c r="AG211" s="647">
        <f t="shared" si="540"/>
        <v>75452.798265477832</v>
      </c>
      <c r="AH211" s="644">
        <f t="shared" si="508"/>
        <v>0</v>
      </c>
      <c r="AI211" s="645">
        <f t="shared" si="509"/>
        <v>0</v>
      </c>
      <c r="AJ211" s="646">
        <f t="shared" si="541"/>
        <v>0</v>
      </c>
      <c r="AK211" s="647">
        <f t="shared" si="510"/>
        <v>75452.798265477832</v>
      </c>
      <c r="AL211" s="644">
        <f t="shared" si="542"/>
        <v>0</v>
      </c>
      <c r="AM211" s="645">
        <f t="shared" si="543"/>
        <v>0</v>
      </c>
      <c r="AN211" s="646">
        <f t="shared" si="544"/>
        <v>0</v>
      </c>
      <c r="AO211" s="647">
        <f t="shared" si="511"/>
        <v>75452.798265477832</v>
      </c>
      <c r="AP211" s="644">
        <f t="shared" si="545"/>
        <v>0</v>
      </c>
      <c r="AQ211" s="645">
        <f t="shared" si="546"/>
        <v>0</v>
      </c>
      <c r="AR211" s="646">
        <f t="shared" si="547"/>
        <v>0</v>
      </c>
      <c r="AS211" s="647">
        <f t="shared" si="512"/>
        <v>75452.798265477832</v>
      </c>
      <c r="AT211" s="644">
        <f t="shared" si="548"/>
        <v>0</v>
      </c>
      <c r="AU211" s="645">
        <f t="shared" si="549"/>
        <v>0</v>
      </c>
      <c r="AV211" s="646">
        <f t="shared" si="550"/>
        <v>0</v>
      </c>
      <c r="AW211" s="647">
        <f t="shared" si="513"/>
        <v>75452.798265477832</v>
      </c>
      <c r="AY211" s="644">
        <f t="shared" si="551"/>
        <v>17463.389236369025</v>
      </c>
      <c r="AZ211" s="645">
        <f t="shared" si="482"/>
        <v>16071.767841564879</v>
      </c>
      <c r="BA211" s="644">
        <f t="shared" si="552"/>
        <v>0</v>
      </c>
      <c r="BB211" s="645">
        <f t="shared" si="553"/>
        <v>17463.389236369025</v>
      </c>
      <c r="BC211" s="646">
        <f t="shared" si="554"/>
        <v>-125.5843213620132</v>
      </c>
      <c r="BD211" s="647">
        <f t="shared" si="555"/>
        <v>17337.804915007011</v>
      </c>
      <c r="BE211" s="644">
        <f t="shared" si="514"/>
        <v>0</v>
      </c>
      <c r="BF211" s="645">
        <f t="shared" si="515"/>
        <v>17337.804915007011</v>
      </c>
      <c r="BG211" s="646">
        <f t="shared" si="556"/>
        <v>-412.97238378380507</v>
      </c>
      <c r="BH211" s="647">
        <f t="shared" si="516"/>
        <v>16924.832531223205</v>
      </c>
      <c r="BI211" s="644">
        <f t="shared" si="557"/>
        <v>0</v>
      </c>
      <c r="BJ211" s="645">
        <f t="shared" si="558"/>
        <v>16924.832531223205</v>
      </c>
      <c r="BK211" s="646">
        <f t="shared" si="559"/>
        <v>-35.850770470550842</v>
      </c>
      <c r="BL211" s="647">
        <f t="shared" si="517"/>
        <v>16888.981760752653</v>
      </c>
      <c r="BM211" s="644">
        <f t="shared" si="560"/>
        <v>0</v>
      </c>
      <c r="BN211" s="645">
        <f t="shared" si="561"/>
        <v>16888.981760752653</v>
      </c>
      <c r="BO211" s="646">
        <f t="shared" si="562"/>
        <v>-0.77271801500986681</v>
      </c>
      <c r="BP211" s="647">
        <f t="shared" si="518"/>
        <v>16888.209042737642</v>
      </c>
      <c r="BQ211" s="644">
        <f t="shared" si="563"/>
        <v>0</v>
      </c>
      <c r="BR211" s="645">
        <f t="shared" si="564"/>
        <v>16888.209042737642</v>
      </c>
      <c r="BS211" s="646">
        <f t="shared" si="565"/>
        <v>0</v>
      </c>
      <c r="BT211" s="647">
        <f t="shared" si="519"/>
        <v>16888.209042737642</v>
      </c>
      <c r="BU211" s="662">
        <f>VLOOKUP(B211,'Afton Update'!$A$5:$AR$582,'Afton Update'!$AO$589,0)-BT211</f>
        <v>0</v>
      </c>
      <c r="BV211" s="644">
        <f t="shared" si="566"/>
        <v>43418.178841453038</v>
      </c>
      <c r="BW211" s="645">
        <f t="shared" si="483"/>
        <v>40006.176050398113</v>
      </c>
      <c r="BX211" s="644">
        <f t="shared" si="567"/>
        <v>0</v>
      </c>
      <c r="BY211" s="645">
        <f t="shared" si="568"/>
        <v>43418.178841453038</v>
      </c>
      <c r="BZ211" s="646">
        <f t="shared" si="569"/>
        <v>-381.08597186063798</v>
      </c>
      <c r="CA211" s="647">
        <f t="shared" si="570"/>
        <v>43037.092869592401</v>
      </c>
      <c r="CB211" s="644">
        <f t="shared" si="520"/>
        <v>0</v>
      </c>
      <c r="CC211" s="645">
        <f t="shared" si="521"/>
        <v>43037.092869592401</v>
      </c>
      <c r="CD211" s="646">
        <f t="shared" si="571"/>
        <v>-13.78541271541021</v>
      </c>
      <c r="CE211" s="647">
        <f t="shared" si="522"/>
        <v>43023.307456876988</v>
      </c>
      <c r="CF211" s="644">
        <f t="shared" si="572"/>
        <v>0</v>
      </c>
      <c r="CG211" s="645">
        <f t="shared" si="573"/>
        <v>43023.307456876988</v>
      </c>
      <c r="CH211" s="646">
        <f t="shared" si="574"/>
        <v>0</v>
      </c>
      <c r="CI211" s="647">
        <f t="shared" si="523"/>
        <v>43023.307456876988</v>
      </c>
      <c r="CJ211" s="644">
        <f t="shared" si="575"/>
        <v>0</v>
      </c>
      <c r="CK211" s="645">
        <f t="shared" si="576"/>
        <v>43023.307456876988</v>
      </c>
      <c r="CL211" s="646">
        <f t="shared" si="577"/>
        <v>0</v>
      </c>
      <c r="CM211" s="647">
        <f t="shared" si="524"/>
        <v>43023.307456876988</v>
      </c>
      <c r="CN211" s="644">
        <f t="shared" si="578"/>
        <v>0</v>
      </c>
      <c r="CO211" s="645">
        <f t="shared" si="579"/>
        <v>43023.307456876988</v>
      </c>
      <c r="CP211" s="646">
        <f t="shared" si="580"/>
        <v>0</v>
      </c>
      <c r="CQ211" s="647">
        <f t="shared" si="525"/>
        <v>43023.307456876988</v>
      </c>
      <c r="CS211" s="644">
        <f t="shared" si="581"/>
        <v>40416.621110775734</v>
      </c>
      <c r="CT211" s="645">
        <f t="shared" si="484"/>
        <v>38545.675240010562</v>
      </c>
      <c r="CU211" s="644">
        <f t="shared" si="582"/>
        <v>0</v>
      </c>
      <c r="CV211" s="645">
        <f t="shared" si="583"/>
        <v>40416.621110775734</v>
      </c>
      <c r="CW211" s="646">
        <f t="shared" si="584"/>
        <v>-413.88904049511666</v>
      </c>
      <c r="CX211" s="647">
        <f t="shared" si="585"/>
        <v>40002.732070280617</v>
      </c>
      <c r="CY211" s="644">
        <f t="shared" si="526"/>
        <v>0</v>
      </c>
      <c r="CZ211" s="645">
        <f t="shared" si="527"/>
        <v>40002.732070280617</v>
      </c>
      <c r="DA211" s="646">
        <f t="shared" si="586"/>
        <v>-31.402289947422293</v>
      </c>
      <c r="DB211" s="647">
        <f t="shared" si="528"/>
        <v>39971.329780333195</v>
      </c>
      <c r="DC211" s="644">
        <f t="shared" si="587"/>
        <v>0</v>
      </c>
      <c r="DD211" s="645">
        <f t="shared" si="588"/>
        <v>39971.329780333195</v>
      </c>
      <c r="DE211" s="646">
        <f t="shared" si="589"/>
        <v>-2.7080563849995722E-2</v>
      </c>
      <c r="DF211" s="647">
        <f t="shared" si="529"/>
        <v>39971.302699769345</v>
      </c>
      <c r="DG211" s="644">
        <f t="shared" si="590"/>
        <v>0</v>
      </c>
      <c r="DH211" s="645">
        <f t="shared" si="591"/>
        <v>39971.302699769345</v>
      </c>
      <c r="DI211" s="646">
        <f t="shared" si="592"/>
        <v>0</v>
      </c>
      <c r="DJ211" s="647">
        <f t="shared" si="530"/>
        <v>39971.302699769345</v>
      </c>
      <c r="DK211" s="644">
        <f t="shared" si="593"/>
        <v>0</v>
      </c>
      <c r="DL211" s="645">
        <f t="shared" si="594"/>
        <v>39971.302699769345</v>
      </c>
      <c r="DM211" s="646">
        <f t="shared" si="595"/>
        <v>0</v>
      </c>
      <c r="DN211" s="647">
        <f t="shared" si="531"/>
        <v>39971.302699769345</v>
      </c>
      <c r="DR211" s="827">
        <f t="shared" si="485"/>
        <v>175335.6174648618</v>
      </c>
      <c r="DV211" s="828">
        <f>IFERROR(VLOOKUP($B211,'Afton FY16 Final'!$A$5:$BV$587,'Afton FY16 Final'!$BV$587,0),0)</f>
        <v>175502.75028111759</v>
      </c>
      <c r="DX211" s="636">
        <f t="shared" si="473"/>
        <v>0</v>
      </c>
      <c r="DY211" s="637">
        <f t="shared" si="474"/>
        <v>0</v>
      </c>
      <c r="DZ211" s="637">
        <f t="shared" si="475"/>
        <v>0</v>
      </c>
      <c r="EA211" s="643">
        <f t="shared" si="476"/>
        <v>0</v>
      </c>
      <c r="EB211" s="637">
        <f t="shared" si="486"/>
        <v>0</v>
      </c>
      <c r="EC211" s="637">
        <f t="shared" si="487"/>
        <v>0</v>
      </c>
      <c r="ED211" s="637">
        <f t="shared" si="488"/>
        <v>0</v>
      </c>
      <c r="EE211" s="643">
        <f t="shared" si="489"/>
        <v>0</v>
      </c>
      <c r="EF211" s="637">
        <f t="shared" si="490"/>
        <v>0</v>
      </c>
      <c r="EG211" s="637">
        <f t="shared" si="491"/>
        <v>0</v>
      </c>
      <c r="EH211" s="637">
        <f t="shared" si="492"/>
        <v>0</v>
      </c>
      <c r="EI211" s="643">
        <f t="shared" si="493"/>
        <v>0</v>
      </c>
      <c r="EJ211" s="637">
        <f t="shared" si="494"/>
        <v>0</v>
      </c>
      <c r="EK211" s="637">
        <f t="shared" si="495"/>
        <v>0</v>
      </c>
      <c r="EL211" s="637">
        <f t="shared" si="496"/>
        <v>0</v>
      </c>
      <c r="EM211" s="643">
        <f t="shared" si="497"/>
        <v>0</v>
      </c>
      <c r="EN211" s="637">
        <f t="shared" si="498"/>
        <v>0</v>
      </c>
      <c r="EO211" s="637">
        <f t="shared" si="499"/>
        <v>0</v>
      </c>
      <c r="EP211" s="637">
        <f t="shared" si="500"/>
        <v>0</v>
      </c>
      <c r="EQ211" s="643">
        <f t="shared" si="501"/>
        <v>0</v>
      </c>
      <c r="ER211" s="637">
        <f t="shared" si="502"/>
        <v>0</v>
      </c>
      <c r="ES211" s="637">
        <f t="shared" si="503"/>
        <v>0</v>
      </c>
      <c r="ET211" s="637">
        <f t="shared" si="504"/>
        <v>0</v>
      </c>
      <c r="EU211" s="643">
        <f t="shared" si="477"/>
        <v>0</v>
      </c>
      <c r="EV211" s="643">
        <f t="shared" si="478"/>
        <v>0</v>
      </c>
      <c r="EX211" s="829">
        <f t="shared" si="479"/>
        <v>0</v>
      </c>
      <c r="EY211" s="638">
        <f t="shared" si="480"/>
        <v>175335.6174648618</v>
      </c>
      <c r="FC211" s="830" t="str">
        <f t="shared" si="505"/>
        <v>Y</v>
      </c>
      <c r="FE211" s="830" t="str">
        <f>IFERROR(VLOOKUP($B211,'Historical Conc Grant Elig'!$B$3:$J$707,'HH &amp; SI'!FE$2,0),"N")</f>
        <v>N</v>
      </c>
      <c r="FF211" s="830" t="str">
        <f>IFERROR(VLOOKUP($B211,'Historical Conc Grant Elig'!$B$3:$J$707,'HH &amp; SI'!FF$2,0),"N")</f>
        <v>Y</v>
      </c>
      <c r="FG211" s="830" t="str">
        <f>IFERROR(VLOOKUP($B211,'Historical Conc Grant Elig'!$B$3:$J$707,'HH &amp; SI'!FG$2,0),"N")</f>
        <v>Y</v>
      </c>
      <c r="FH211" s="830" t="str">
        <f>IFERROR(VLOOKUP($B211,'Historical Conc Grant Elig'!$B$3:$J$707,'HH &amp; SI'!FH$2,0),"N")</f>
        <v>Y</v>
      </c>
      <c r="FI211" s="830" t="str">
        <f>IFERROR(VLOOKUP($B211,'Historical Conc Grant Elig'!$B$3:$J$707,'HH &amp; SI'!FI$2,0),"N")</f>
        <v>Y</v>
      </c>
      <c r="FJ211" s="830" t="str">
        <f>IFERROR(VLOOKUP($B211,'Historical Conc Grant Elig'!$B$3:$J$707,'HH &amp; SI'!FJ$2,0),"N")</f>
        <v>Y</v>
      </c>
      <c r="FK211" s="830" t="str">
        <f>IFERROR(VLOOKUP($B211,'Historical Conc Grant Elig'!$B$3:$J$707,'HH &amp; SI'!FK$2,0),"N")</f>
        <v>Y</v>
      </c>
      <c r="FL211" s="957" t="str">
        <f>IFERROR(VLOOKUP($B211,'Historical Conc Grant Elig'!$B$3:$J$707,'HH &amp; SI'!FL$2,0),"N")</f>
        <v>Y</v>
      </c>
    </row>
    <row r="212" spans="2:168" x14ac:dyDescent="0.25">
      <c r="B212" s="634">
        <v>78570000</v>
      </c>
      <c r="C212" s="635" t="str">
        <f>VLOOKUP($B212,'Afton Update'!$A$5:$CR$582,'Afton Update'!D$589,0)</f>
        <v>Kaizen Education Foundation dba Gilbert Arts Academy</v>
      </c>
      <c r="D212" s="636">
        <f>IFERROR(VLOOKUP($B212,'Afton FY16 Final'!$A$5:$BV$587,'Afton FY16 Final'!AQ$587,0),0)</f>
        <v>24197.486249518548</v>
      </c>
      <c r="E212" s="637">
        <f>IFERROR(VLOOKUP($B212,'Afton FY16 Final'!$A$5:$BV$587,'Afton FY16 Final'!AR$587,0),0)</f>
        <v>6822.5302223238805</v>
      </c>
      <c r="F212" s="637">
        <f>IFERROR(VLOOKUP($B212,'Afton FY16 Final'!$A$5:$BV$587,'Afton FY16 Final'!AS$587,0),0)</f>
        <v>13132.260024559206</v>
      </c>
      <c r="G212" s="637">
        <f>IFERROR(VLOOKUP($B212,'Afton FY16 Final'!$A$5:$BV$587,'Afton FY16 Final'!AT$587,0),0)</f>
        <v>12256.808765267348</v>
      </c>
      <c r="H212" s="638">
        <f>IFERROR(VLOOKUP($B212,'Afton FY16 Final'!$A$5:$BV$587,'Afton FY16 Final'!AU$587,0),0)</f>
        <v>56409.085261668981</v>
      </c>
      <c r="I212" s="639" t="str">
        <f>VLOOKUP($B212,'Afton Update'!$A$5:$CR$582,'Afton Update'!BT$589,0)</f>
        <v>Y</v>
      </c>
      <c r="J212" s="640" t="str">
        <f>VLOOKUP($B212,'Afton Update'!$A$5:$CR$582,'Afton Update'!BU$589,0)</f>
        <v>Y</v>
      </c>
      <c r="K212" s="640" t="str">
        <f>VLOOKUP($B212,'Afton Update'!$A$5:$CR$582,'Afton Update'!BV$589,0)</f>
        <v>Y</v>
      </c>
      <c r="L212" s="641" t="str">
        <f>VLOOKUP($B212,'Afton Update'!$A$5:$CR$582,'Afton Update'!BW$589,0)</f>
        <v>Y</v>
      </c>
      <c r="N212" s="642">
        <f>VLOOKUP($B212,'Afton Update'!$A$5:$CR$582,'Afton Update'!CB$589,0)</f>
        <v>0.9</v>
      </c>
      <c r="P212" s="636">
        <f>VLOOKUP($B212,'Afton Update'!$A$5:$CR$582,'Afton Update'!AH$589,0)</f>
        <v>18894.401317699456</v>
      </c>
      <c r="Q212" s="637">
        <f>VLOOKUP($B212,'Afton Update'!$A$5:$CR$582,'Afton Update'!AI$589,0)</f>
        <v>6038.1531906678956</v>
      </c>
      <c r="R212" s="637">
        <f>VLOOKUP($B212,'Afton Update'!$A$5:$CR$582,'Afton Update'!AJ$589,0)</f>
        <v>11083.515540389259</v>
      </c>
      <c r="S212" s="637">
        <f>VLOOKUP($B212,'Afton Update'!$A$5:$CR$582,'Afton Update'!AK$589,0)</f>
        <v>10317.297042952552</v>
      </c>
      <c r="T212" s="643">
        <f t="shared" si="506"/>
        <v>46333.367091709159</v>
      </c>
      <c r="V212" s="636">
        <f t="shared" si="532"/>
        <v>21777.737624566693</v>
      </c>
      <c r="W212" s="637">
        <f t="shared" si="533"/>
        <v>6140.2772000914929</v>
      </c>
      <c r="X212" s="637">
        <f t="shared" si="534"/>
        <v>11819.034022103286</v>
      </c>
      <c r="Y212" s="637">
        <f t="shared" si="535"/>
        <v>11031.127888740613</v>
      </c>
      <c r="Z212" s="643">
        <f t="shared" si="536"/>
        <v>50768.176735502086</v>
      </c>
      <c r="AB212" s="644">
        <f t="shared" si="507"/>
        <v>18894.401317699456</v>
      </c>
      <c r="AC212" s="645">
        <f t="shared" si="481"/>
        <v>21777.737624566693</v>
      </c>
      <c r="AD212" s="644">
        <f t="shared" si="537"/>
        <v>2883.336306867237</v>
      </c>
      <c r="AE212" s="645">
        <f t="shared" si="538"/>
        <v>0</v>
      </c>
      <c r="AF212" s="646">
        <f t="shared" si="539"/>
        <v>0</v>
      </c>
      <c r="AG212" s="647">
        <f t="shared" si="540"/>
        <v>21777.737624566693</v>
      </c>
      <c r="AH212" s="644">
        <f t="shared" si="508"/>
        <v>0</v>
      </c>
      <c r="AI212" s="645">
        <f t="shared" si="509"/>
        <v>0</v>
      </c>
      <c r="AJ212" s="646">
        <f t="shared" si="541"/>
        <v>0</v>
      </c>
      <c r="AK212" s="647">
        <f t="shared" si="510"/>
        <v>21777.737624566693</v>
      </c>
      <c r="AL212" s="644">
        <f t="shared" si="542"/>
        <v>0</v>
      </c>
      <c r="AM212" s="645">
        <f t="shared" si="543"/>
        <v>0</v>
      </c>
      <c r="AN212" s="646">
        <f t="shared" si="544"/>
        <v>0</v>
      </c>
      <c r="AO212" s="647">
        <f t="shared" si="511"/>
        <v>21777.737624566693</v>
      </c>
      <c r="AP212" s="644">
        <f t="shared" si="545"/>
        <v>0</v>
      </c>
      <c r="AQ212" s="645">
        <f t="shared" si="546"/>
        <v>0</v>
      </c>
      <c r="AR212" s="646">
        <f t="shared" si="547"/>
        <v>0</v>
      </c>
      <c r="AS212" s="647">
        <f t="shared" si="512"/>
        <v>21777.737624566693</v>
      </c>
      <c r="AT212" s="644">
        <f t="shared" si="548"/>
        <v>0</v>
      </c>
      <c r="AU212" s="645">
        <f t="shared" si="549"/>
        <v>0</v>
      </c>
      <c r="AV212" s="646">
        <f t="shared" si="550"/>
        <v>0</v>
      </c>
      <c r="AW212" s="647">
        <f t="shared" si="513"/>
        <v>21777.737624566693</v>
      </c>
      <c r="AY212" s="644">
        <f t="shared" si="551"/>
        <v>6038.1531906678956</v>
      </c>
      <c r="AZ212" s="645">
        <f t="shared" si="482"/>
        <v>6140.2772000914929</v>
      </c>
      <c r="BA212" s="644">
        <f t="shared" si="552"/>
        <v>102.12400942359727</v>
      </c>
      <c r="BB212" s="645">
        <f t="shared" si="553"/>
        <v>0</v>
      </c>
      <c r="BC212" s="646">
        <f t="shared" si="554"/>
        <v>0</v>
      </c>
      <c r="BD212" s="647">
        <f t="shared" si="555"/>
        <v>6140.2772000914929</v>
      </c>
      <c r="BE212" s="644">
        <f t="shared" si="514"/>
        <v>0</v>
      </c>
      <c r="BF212" s="645">
        <f t="shared" si="515"/>
        <v>0</v>
      </c>
      <c r="BG212" s="646">
        <f t="shared" si="556"/>
        <v>0</v>
      </c>
      <c r="BH212" s="647">
        <f t="shared" si="516"/>
        <v>6140.2772000914929</v>
      </c>
      <c r="BI212" s="644">
        <f t="shared" si="557"/>
        <v>0</v>
      </c>
      <c r="BJ212" s="645">
        <f t="shared" si="558"/>
        <v>0</v>
      </c>
      <c r="BK212" s="646">
        <f t="shared" si="559"/>
        <v>0</v>
      </c>
      <c r="BL212" s="647">
        <f t="shared" si="517"/>
        <v>6140.2772000914929</v>
      </c>
      <c r="BM212" s="644">
        <f t="shared" si="560"/>
        <v>0</v>
      </c>
      <c r="BN212" s="645">
        <f t="shared" si="561"/>
        <v>0</v>
      </c>
      <c r="BO212" s="646">
        <f t="shared" si="562"/>
        <v>0</v>
      </c>
      <c r="BP212" s="647">
        <f t="shared" si="518"/>
        <v>6140.2772000914929</v>
      </c>
      <c r="BQ212" s="644">
        <f t="shared" si="563"/>
        <v>0</v>
      </c>
      <c r="BR212" s="645">
        <f t="shared" si="564"/>
        <v>0</v>
      </c>
      <c r="BS212" s="646">
        <f t="shared" si="565"/>
        <v>0</v>
      </c>
      <c r="BT212" s="647">
        <f t="shared" si="519"/>
        <v>6140.2772000914929</v>
      </c>
      <c r="BU212" s="662">
        <f>VLOOKUP(B212,'Afton Update'!$A$5:$AR$582,'Afton Update'!$AO$589,0)-BT212</f>
        <v>0</v>
      </c>
      <c r="BV212" s="644">
        <f t="shared" si="566"/>
        <v>11083.515540389259</v>
      </c>
      <c r="BW212" s="645">
        <f t="shared" si="483"/>
        <v>11819.034022103286</v>
      </c>
      <c r="BX212" s="644">
        <f t="shared" si="567"/>
        <v>735.51848171402708</v>
      </c>
      <c r="BY212" s="645">
        <f t="shared" si="568"/>
        <v>0</v>
      </c>
      <c r="BZ212" s="646">
        <f t="shared" si="569"/>
        <v>0</v>
      </c>
      <c r="CA212" s="647">
        <f t="shared" si="570"/>
        <v>11819.034022103286</v>
      </c>
      <c r="CB212" s="644">
        <f t="shared" si="520"/>
        <v>0</v>
      </c>
      <c r="CC212" s="645">
        <f t="shared" si="521"/>
        <v>0</v>
      </c>
      <c r="CD212" s="646">
        <f t="shared" si="571"/>
        <v>0</v>
      </c>
      <c r="CE212" s="647">
        <f t="shared" si="522"/>
        <v>11819.034022103286</v>
      </c>
      <c r="CF212" s="644">
        <f t="shared" si="572"/>
        <v>0</v>
      </c>
      <c r="CG212" s="645">
        <f t="shared" si="573"/>
        <v>0</v>
      </c>
      <c r="CH212" s="646">
        <f t="shared" si="574"/>
        <v>0</v>
      </c>
      <c r="CI212" s="647">
        <f t="shared" si="523"/>
        <v>11819.034022103286</v>
      </c>
      <c r="CJ212" s="644">
        <f t="shared" si="575"/>
        <v>0</v>
      </c>
      <c r="CK212" s="645">
        <f t="shared" si="576"/>
        <v>0</v>
      </c>
      <c r="CL212" s="646">
        <f t="shared" si="577"/>
        <v>0</v>
      </c>
      <c r="CM212" s="647">
        <f t="shared" si="524"/>
        <v>11819.034022103286</v>
      </c>
      <c r="CN212" s="644">
        <f t="shared" si="578"/>
        <v>0</v>
      </c>
      <c r="CO212" s="645">
        <f t="shared" si="579"/>
        <v>0</v>
      </c>
      <c r="CP212" s="646">
        <f t="shared" si="580"/>
        <v>0</v>
      </c>
      <c r="CQ212" s="647">
        <f t="shared" si="525"/>
        <v>11819.034022103286</v>
      </c>
      <c r="CS212" s="644">
        <f t="shared" si="581"/>
        <v>10317.297042952552</v>
      </c>
      <c r="CT212" s="645">
        <f t="shared" si="484"/>
        <v>11031.127888740613</v>
      </c>
      <c r="CU212" s="644">
        <f t="shared" si="582"/>
        <v>713.8308457880612</v>
      </c>
      <c r="CV212" s="645">
        <f t="shared" si="583"/>
        <v>0</v>
      </c>
      <c r="CW212" s="646">
        <f t="shared" si="584"/>
        <v>0</v>
      </c>
      <c r="CX212" s="647">
        <f t="shared" si="585"/>
        <v>11031.127888740613</v>
      </c>
      <c r="CY212" s="644">
        <f t="shared" si="526"/>
        <v>0</v>
      </c>
      <c r="CZ212" s="645">
        <f t="shared" si="527"/>
        <v>0</v>
      </c>
      <c r="DA212" s="646">
        <f t="shared" si="586"/>
        <v>0</v>
      </c>
      <c r="DB212" s="647">
        <f t="shared" si="528"/>
        <v>11031.127888740613</v>
      </c>
      <c r="DC212" s="644">
        <f t="shared" si="587"/>
        <v>0</v>
      </c>
      <c r="DD212" s="645">
        <f t="shared" si="588"/>
        <v>0</v>
      </c>
      <c r="DE212" s="646">
        <f t="shared" si="589"/>
        <v>0</v>
      </c>
      <c r="DF212" s="647">
        <f t="shared" si="529"/>
        <v>11031.127888740613</v>
      </c>
      <c r="DG212" s="644">
        <f t="shared" si="590"/>
        <v>0</v>
      </c>
      <c r="DH212" s="645">
        <f t="shared" si="591"/>
        <v>0</v>
      </c>
      <c r="DI212" s="646">
        <f t="shared" si="592"/>
        <v>0</v>
      </c>
      <c r="DJ212" s="647">
        <f t="shared" si="530"/>
        <v>11031.127888740613</v>
      </c>
      <c r="DK212" s="644">
        <f t="shared" si="593"/>
        <v>0</v>
      </c>
      <c r="DL212" s="645">
        <f t="shared" si="594"/>
        <v>0</v>
      </c>
      <c r="DM212" s="646">
        <f t="shared" si="595"/>
        <v>0</v>
      </c>
      <c r="DN212" s="647">
        <f t="shared" si="531"/>
        <v>11031.127888740613</v>
      </c>
      <c r="DR212" s="827">
        <f t="shared" si="485"/>
        <v>50768.176735502086</v>
      </c>
      <c r="DV212" s="828">
        <f>IFERROR(VLOOKUP($B212,'Afton FY16 Final'!$A$5:$BV$587,'Afton FY16 Final'!$BV$587,0),0)</f>
        <v>52648.989747498214</v>
      </c>
      <c r="DX212" s="636">
        <f t="shared" si="473"/>
        <v>0</v>
      </c>
      <c r="DY212" s="637">
        <f t="shared" si="474"/>
        <v>0</v>
      </c>
      <c r="DZ212" s="637">
        <f t="shared" si="475"/>
        <v>0</v>
      </c>
      <c r="EA212" s="643">
        <f t="shared" si="476"/>
        <v>0</v>
      </c>
      <c r="EB212" s="637">
        <f t="shared" si="486"/>
        <v>0</v>
      </c>
      <c r="EC212" s="637">
        <f t="shared" si="487"/>
        <v>0</v>
      </c>
      <c r="ED212" s="637">
        <f t="shared" si="488"/>
        <v>0</v>
      </c>
      <c r="EE212" s="643">
        <f t="shared" si="489"/>
        <v>0</v>
      </c>
      <c r="EF212" s="637">
        <f t="shared" si="490"/>
        <v>0</v>
      </c>
      <c r="EG212" s="637">
        <f t="shared" si="491"/>
        <v>0</v>
      </c>
      <c r="EH212" s="637">
        <f t="shared" si="492"/>
        <v>0</v>
      </c>
      <c r="EI212" s="643">
        <f t="shared" si="493"/>
        <v>0</v>
      </c>
      <c r="EJ212" s="637">
        <f t="shared" si="494"/>
        <v>0</v>
      </c>
      <c r="EK212" s="637">
        <f t="shared" si="495"/>
        <v>0</v>
      </c>
      <c r="EL212" s="637">
        <f t="shared" si="496"/>
        <v>0</v>
      </c>
      <c r="EM212" s="643">
        <f t="shared" si="497"/>
        <v>0</v>
      </c>
      <c r="EN212" s="637">
        <f t="shared" si="498"/>
        <v>0</v>
      </c>
      <c r="EO212" s="637">
        <f t="shared" si="499"/>
        <v>0</v>
      </c>
      <c r="EP212" s="637">
        <f t="shared" si="500"/>
        <v>0</v>
      </c>
      <c r="EQ212" s="643">
        <f t="shared" si="501"/>
        <v>0</v>
      </c>
      <c r="ER212" s="637">
        <f t="shared" si="502"/>
        <v>0</v>
      </c>
      <c r="ES212" s="637">
        <f t="shared" si="503"/>
        <v>0</v>
      </c>
      <c r="ET212" s="637">
        <f t="shared" si="504"/>
        <v>0</v>
      </c>
      <c r="EU212" s="643">
        <f t="shared" si="477"/>
        <v>0</v>
      </c>
      <c r="EV212" s="643">
        <f t="shared" si="478"/>
        <v>0</v>
      </c>
      <c r="EX212" s="829">
        <f t="shared" si="479"/>
        <v>0</v>
      </c>
      <c r="EY212" s="638">
        <f t="shared" si="480"/>
        <v>50768.176735502086</v>
      </c>
      <c r="FC212" s="830" t="str">
        <f t="shared" si="505"/>
        <v>Y</v>
      </c>
      <c r="FE212" s="830" t="str">
        <f>IFERROR(VLOOKUP($B212,'Historical Conc Grant Elig'!$B$3:$J$707,'HH &amp; SI'!FE$2,0),"N")</f>
        <v>N</v>
      </c>
      <c r="FF212" s="830" t="str">
        <f>IFERROR(VLOOKUP($B212,'Historical Conc Grant Elig'!$B$3:$J$707,'HH &amp; SI'!FF$2,0),"N")</f>
        <v>Y</v>
      </c>
      <c r="FG212" s="830" t="str">
        <f>IFERROR(VLOOKUP($B212,'Historical Conc Grant Elig'!$B$3:$J$707,'HH &amp; SI'!FG$2,0),"N")</f>
        <v>Y</v>
      </c>
      <c r="FH212" s="830" t="str">
        <f>IFERROR(VLOOKUP($B212,'Historical Conc Grant Elig'!$B$3:$J$707,'HH &amp; SI'!FH$2,0),"N")</f>
        <v>Y</v>
      </c>
      <c r="FI212" s="830" t="str">
        <f>IFERROR(VLOOKUP($B212,'Historical Conc Grant Elig'!$B$3:$J$707,'HH &amp; SI'!FI$2,0),"N")</f>
        <v>Y</v>
      </c>
      <c r="FJ212" s="830" t="str">
        <f>IFERROR(VLOOKUP($B212,'Historical Conc Grant Elig'!$B$3:$J$707,'HH &amp; SI'!FJ$2,0),"N")</f>
        <v>Y</v>
      </c>
      <c r="FK212" s="830" t="str">
        <f>IFERROR(VLOOKUP($B212,'Historical Conc Grant Elig'!$B$3:$J$707,'HH &amp; SI'!FK$2,0),"N")</f>
        <v>Y</v>
      </c>
      <c r="FL212" s="957" t="str">
        <f>IFERROR(VLOOKUP($B212,'Historical Conc Grant Elig'!$B$3:$J$707,'HH &amp; SI'!FL$2,0),"N")</f>
        <v>Y</v>
      </c>
    </row>
    <row r="213" spans="2:168" x14ac:dyDescent="0.25">
      <c r="B213" s="634">
        <v>78571000</v>
      </c>
      <c r="C213" s="635" t="str">
        <f>VLOOKUP($B213,'Afton Update'!$A$5:$CR$582,'Afton Update'!D$589,0)</f>
        <v>Kaizen Education Foundation dba Liberty Arts Academy</v>
      </c>
      <c r="D213" s="636">
        <f>IFERROR(VLOOKUP($B213,'Afton FY16 Final'!$A$5:$BV$587,'Afton FY16 Final'!AQ$587,0),0)</f>
        <v>42146.98022145655</v>
      </c>
      <c r="E213" s="637">
        <f>IFERROR(VLOOKUP($B213,'Afton FY16 Final'!$A$5:$BV$587,'Afton FY16 Final'!AR$587,0),0)</f>
        <v>9313.4404337404412</v>
      </c>
      <c r="F213" s="637">
        <f>IFERROR(VLOOKUP($B213,'Afton FY16 Final'!$A$5:$BV$587,'Afton FY16 Final'!AS$587,0),0)</f>
        <v>22346.944705743321</v>
      </c>
      <c r="G213" s="637">
        <f>IFERROR(VLOOKUP($B213,'Afton FY16 Final'!$A$5:$BV$587,'Afton FY16 Final'!AT$587,0),0)</f>
        <v>21531.127397652977</v>
      </c>
      <c r="H213" s="638">
        <f>IFERROR(VLOOKUP($B213,'Afton FY16 Final'!$A$5:$BV$587,'Afton FY16 Final'!AU$587,0),0)</f>
        <v>95338.492758593289</v>
      </c>
      <c r="I213" s="639" t="str">
        <f>VLOOKUP($B213,'Afton Update'!$A$5:$CR$582,'Afton Update'!BT$589,0)</f>
        <v>Y</v>
      </c>
      <c r="J213" s="640" t="str">
        <f>VLOOKUP($B213,'Afton Update'!$A$5:$CR$582,'Afton Update'!BU$589,0)</f>
        <v>Y</v>
      </c>
      <c r="K213" s="640" t="str">
        <f>VLOOKUP($B213,'Afton Update'!$A$5:$CR$582,'Afton Update'!BV$589,0)</f>
        <v>Y</v>
      </c>
      <c r="L213" s="641" t="str">
        <f>VLOOKUP($B213,'Afton Update'!$A$5:$CR$582,'Afton Update'!BW$589,0)</f>
        <v>Y</v>
      </c>
      <c r="N213" s="642">
        <f>VLOOKUP($B213,'Afton Update'!$A$5:$CR$582,'Afton Update'!CB$589,0)</f>
        <v>0.95</v>
      </c>
      <c r="P213" s="636">
        <f>VLOOKUP($B213,'Afton Update'!$A$5:$CR$582,'Afton Update'!AH$589,0)</f>
        <v>35875.445539935674</v>
      </c>
      <c r="Q213" s="637">
        <f>VLOOKUP($B213,'Afton Update'!$A$5:$CR$582,'Afton Update'!AI$589,0)</f>
        <v>9549.8058280911864</v>
      </c>
      <c r="R213" s="637">
        <f>VLOOKUP($B213,'Afton Update'!$A$5:$CR$582,'Afton Update'!AJ$589,0)</f>
        <v>21021.875256300635</v>
      </c>
      <c r="S213" s="637">
        <f>VLOOKUP($B213,'Afton Update'!$A$5:$CR$582,'Afton Update'!AK$589,0)</f>
        <v>19568.604440422012</v>
      </c>
      <c r="T213" s="643">
        <f t="shared" si="506"/>
        <v>86015.731064749518</v>
      </c>
      <c r="V213" s="636">
        <f t="shared" si="532"/>
        <v>40039.631210383719</v>
      </c>
      <c r="W213" s="637">
        <f t="shared" si="533"/>
        <v>9235.270139113687</v>
      </c>
      <c r="X213" s="637">
        <f t="shared" si="534"/>
        <v>21229.597470456152</v>
      </c>
      <c r="Y213" s="637">
        <f t="shared" si="535"/>
        <v>20454.571027770329</v>
      </c>
      <c r="Z213" s="643">
        <f t="shared" si="536"/>
        <v>90959.069847723891</v>
      </c>
      <c r="AB213" s="644">
        <f t="shared" si="507"/>
        <v>35875.445539935674</v>
      </c>
      <c r="AC213" s="645">
        <f t="shared" si="481"/>
        <v>40039.631210383719</v>
      </c>
      <c r="AD213" s="644">
        <f t="shared" si="537"/>
        <v>4164.1856704480451</v>
      </c>
      <c r="AE213" s="645">
        <f t="shared" si="538"/>
        <v>0</v>
      </c>
      <c r="AF213" s="646">
        <f t="shared" si="539"/>
        <v>0</v>
      </c>
      <c r="AG213" s="647">
        <f t="shared" si="540"/>
        <v>40039.631210383719</v>
      </c>
      <c r="AH213" s="644">
        <f t="shared" si="508"/>
        <v>0</v>
      </c>
      <c r="AI213" s="645">
        <f t="shared" si="509"/>
        <v>0</v>
      </c>
      <c r="AJ213" s="646">
        <f t="shared" si="541"/>
        <v>0</v>
      </c>
      <c r="AK213" s="647">
        <f t="shared" si="510"/>
        <v>40039.631210383719</v>
      </c>
      <c r="AL213" s="644">
        <f t="shared" si="542"/>
        <v>0</v>
      </c>
      <c r="AM213" s="645">
        <f t="shared" si="543"/>
        <v>0</v>
      </c>
      <c r="AN213" s="646">
        <f t="shared" si="544"/>
        <v>0</v>
      </c>
      <c r="AO213" s="647">
        <f t="shared" si="511"/>
        <v>40039.631210383719</v>
      </c>
      <c r="AP213" s="644">
        <f t="shared" si="545"/>
        <v>0</v>
      </c>
      <c r="AQ213" s="645">
        <f t="shared" si="546"/>
        <v>0</v>
      </c>
      <c r="AR213" s="646">
        <f t="shared" si="547"/>
        <v>0</v>
      </c>
      <c r="AS213" s="647">
        <f t="shared" si="512"/>
        <v>40039.631210383719</v>
      </c>
      <c r="AT213" s="644">
        <f t="shared" si="548"/>
        <v>0</v>
      </c>
      <c r="AU213" s="645">
        <f t="shared" si="549"/>
        <v>0</v>
      </c>
      <c r="AV213" s="646">
        <f t="shared" si="550"/>
        <v>0</v>
      </c>
      <c r="AW213" s="647">
        <f t="shared" si="513"/>
        <v>40039.631210383719</v>
      </c>
      <c r="AY213" s="644">
        <f t="shared" si="551"/>
        <v>9549.8058280911864</v>
      </c>
      <c r="AZ213" s="645">
        <f t="shared" si="482"/>
        <v>8847.7684120534195</v>
      </c>
      <c r="BA213" s="644">
        <f t="shared" si="552"/>
        <v>0</v>
      </c>
      <c r="BB213" s="645">
        <f t="shared" si="553"/>
        <v>9549.8058280911864</v>
      </c>
      <c r="BC213" s="646">
        <f t="shared" si="554"/>
        <v>-68.675436813958854</v>
      </c>
      <c r="BD213" s="647">
        <f t="shared" si="555"/>
        <v>9481.1303912772273</v>
      </c>
      <c r="BE213" s="644">
        <f t="shared" si="514"/>
        <v>0</v>
      </c>
      <c r="BF213" s="645">
        <f t="shared" si="515"/>
        <v>9481.1303912772273</v>
      </c>
      <c r="BG213" s="646">
        <f t="shared" si="556"/>
        <v>-225.83279935637995</v>
      </c>
      <c r="BH213" s="647">
        <f t="shared" si="516"/>
        <v>9255.2975919208475</v>
      </c>
      <c r="BI213" s="644">
        <f t="shared" si="557"/>
        <v>0</v>
      </c>
      <c r="BJ213" s="645">
        <f t="shared" si="558"/>
        <v>9255.2975919208475</v>
      </c>
      <c r="BK213" s="646">
        <f t="shared" si="559"/>
        <v>-19.604894110028479</v>
      </c>
      <c r="BL213" s="647">
        <f t="shared" si="517"/>
        <v>9235.6926978108186</v>
      </c>
      <c r="BM213" s="644">
        <f t="shared" si="560"/>
        <v>0</v>
      </c>
      <c r="BN213" s="645">
        <f t="shared" si="561"/>
        <v>9235.6926978108186</v>
      </c>
      <c r="BO213" s="646">
        <f t="shared" si="562"/>
        <v>-0.42255869713103755</v>
      </c>
      <c r="BP213" s="647">
        <f t="shared" si="518"/>
        <v>9235.270139113687</v>
      </c>
      <c r="BQ213" s="644">
        <f t="shared" si="563"/>
        <v>0</v>
      </c>
      <c r="BR213" s="645">
        <f t="shared" si="564"/>
        <v>9235.270139113687</v>
      </c>
      <c r="BS213" s="646">
        <f t="shared" si="565"/>
        <v>0</v>
      </c>
      <c r="BT213" s="647">
        <f t="shared" si="519"/>
        <v>9235.270139113687</v>
      </c>
      <c r="BU213" s="662">
        <f>VLOOKUP(B213,'Afton Update'!$A$5:$AR$582,'Afton Update'!$AO$589,0)-BT213</f>
        <v>0</v>
      </c>
      <c r="BV213" s="644">
        <f t="shared" si="566"/>
        <v>21021.875256300635</v>
      </c>
      <c r="BW213" s="645">
        <f t="shared" si="483"/>
        <v>21229.597470456152</v>
      </c>
      <c r="BX213" s="644">
        <f t="shared" si="567"/>
        <v>207.72221415551758</v>
      </c>
      <c r="BY213" s="645">
        <f t="shared" si="568"/>
        <v>0</v>
      </c>
      <c r="BZ213" s="646">
        <f t="shared" si="569"/>
        <v>0</v>
      </c>
      <c r="CA213" s="647">
        <f t="shared" si="570"/>
        <v>21229.597470456152</v>
      </c>
      <c r="CB213" s="644">
        <f t="shared" si="520"/>
        <v>0</v>
      </c>
      <c r="CC213" s="645">
        <f t="shared" si="521"/>
        <v>0</v>
      </c>
      <c r="CD213" s="646">
        <f t="shared" si="571"/>
        <v>0</v>
      </c>
      <c r="CE213" s="647">
        <f t="shared" si="522"/>
        <v>21229.597470456152</v>
      </c>
      <c r="CF213" s="644">
        <f t="shared" si="572"/>
        <v>0</v>
      </c>
      <c r="CG213" s="645">
        <f t="shared" si="573"/>
        <v>0</v>
      </c>
      <c r="CH213" s="646">
        <f t="shared" si="574"/>
        <v>0</v>
      </c>
      <c r="CI213" s="647">
        <f t="shared" si="523"/>
        <v>21229.597470456152</v>
      </c>
      <c r="CJ213" s="644">
        <f t="shared" si="575"/>
        <v>0</v>
      </c>
      <c r="CK213" s="645">
        <f t="shared" si="576"/>
        <v>0</v>
      </c>
      <c r="CL213" s="646">
        <f t="shared" si="577"/>
        <v>0</v>
      </c>
      <c r="CM213" s="647">
        <f t="shared" si="524"/>
        <v>21229.597470456152</v>
      </c>
      <c r="CN213" s="644">
        <f t="shared" si="578"/>
        <v>0</v>
      </c>
      <c r="CO213" s="645">
        <f t="shared" si="579"/>
        <v>0</v>
      </c>
      <c r="CP213" s="646">
        <f t="shared" si="580"/>
        <v>0</v>
      </c>
      <c r="CQ213" s="647">
        <f t="shared" si="525"/>
        <v>21229.597470456152</v>
      </c>
      <c r="CS213" s="644">
        <f t="shared" si="581"/>
        <v>19568.604440422012</v>
      </c>
      <c r="CT213" s="645">
        <f t="shared" si="484"/>
        <v>20454.571027770329</v>
      </c>
      <c r="CU213" s="644">
        <f t="shared" si="582"/>
        <v>885.96658734831726</v>
      </c>
      <c r="CV213" s="645">
        <f t="shared" si="583"/>
        <v>0</v>
      </c>
      <c r="CW213" s="646">
        <f t="shared" si="584"/>
        <v>0</v>
      </c>
      <c r="CX213" s="647">
        <f t="shared" si="585"/>
        <v>20454.571027770329</v>
      </c>
      <c r="CY213" s="644">
        <f t="shared" si="526"/>
        <v>0</v>
      </c>
      <c r="CZ213" s="645">
        <f t="shared" si="527"/>
        <v>0</v>
      </c>
      <c r="DA213" s="646">
        <f t="shared" si="586"/>
        <v>0</v>
      </c>
      <c r="DB213" s="647">
        <f t="shared" si="528"/>
        <v>20454.571027770329</v>
      </c>
      <c r="DC213" s="644">
        <f t="shared" si="587"/>
        <v>0</v>
      </c>
      <c r="DD213" s="645">
        <f t="shared" si="588"/>
        <v>0</v>
      </c>
      <c r="DE213" s="646">
        <f t="shared" si="589"/>
        <v>0</v>
      </c>
      <c r="DF213" s="647">
        <f t="shared" si="529"/>
        <v>20454.571027770329</v>
      </c>
      <c r="DG213" s="644">
        <f t="shared" si="590"/>
        <v>0</v>
      </c>
      <c r="DH213" s="645">
        <f t="shared" si="591"/>
        <v>0</v>
      </c>
      <c r="DI213" s="646">
        <f t="shared" si="592"/>
        <v>0</v>
      </c>
      <c r="DJ213" s="647">
        <f t="shared" si="530"/>
        <v>20454.571027770329</v>
      </c>
      <c r="DK213" s="644">
        <f t="shared" si="593"/>
        <v>0</v>
      </c>
      <c r="DL213" s="645">
        <f t="shared" si="594"/>
        <v>0</v>
      </c>
      <c r="DM213" s="646">
        <f t="shared" si="595"/>
        <v>0</v>
      </c>
      <c r="DN213" s="647">
        <f t="shared" si="531"/>
        <v>20454.571027770329</v>
      </c>
      <c r="DR213" s="827">
        <f t="shared" si="485"/>
        <v>90959.069847723891</v>
      </c>
      <c r="DV213" s="828">
        <f>IFERROR(VLOOKUP($B213,'Afton FY16 Final'!$A$5:$BV$587,'Afton FY16 Final'!$BV$587,0),0)</f>
        <v>91964.274135150496</v>
      </c>
      <c r="DX213" s="636">
        <f t="shared" si="473"/>
        <v>0</v>
      </c>
      <c r="DY213" s="637">
        <f t="shared" si="474"/>
        <v>0</v>
      </c>
      <c r="DZ213" s="637">
        <f t="shared" si="475"/>
        <v>0</v>
      </c>
      <c r="EA213" s="643">
        <f t="shared" si="476"/>
        <v>0</v>
      </c>
      <c r="EB213" s="637">
        <f t="shared" si="486"/>
        <v>0</v>
      </c>
      <c r="EC213" s="637">
        <f t="shared" si="487"/>
        <v>0</v>
      </c>
      <c r="ED213" s="637">
        <f t="shared" si="488"/>
        <v>0</v>
      </c>
      <c r="EE213" s="643">
        <f t="shared" si="489"/>
        <v>0</v>
      </c>
      <c r="EF213" s="637">
        <f t="shared" si="490"/>
        <v>0</v>
      </c>
      <c r="EG213" s="637">
        <f t="shared" si="491"/>
        <v>0</v>
      </c>
      <c r="EH213" s="637">
        <f t="shared" si="492"/>
        <v>0</v>
      </c>
      <c r="EI213" s="643">
        <f t="shared" si="493"/>
        <v>0</v>
      </c>
      <c r="EJ213" s="637">
        <f t="shared" si="494"/>
        <v>0</v>
      </c>
      <c r="EK213" s="637">
        <f t="shared" si="495"/>
        <v>0</v>
      </c>
      <c r="EL213" s="637">
        <f t="shared" si="496"/>
        <v>0</v>
      </c>
      <c r="EM213" s="643">
        <f t="shared" si="497"/>
        <v>0</v>
      </c>
      <c r="EN213" s="637">
        <f t="shared" si="498"/>
        <v>0</v>
      </c>
      <c r="EO213" s="637">
        <f t="shared" si="499"/>
        <v>0</v>
      </c>
      <c r="EP213" s="637">
        <f t="shared" si="500"/>
        <v>0</v>
      </c>
      <c r="EQ213" s="643">
        <f t="shared" si="501"/>
        <v>0</v>
      </c>
      <c r="ER213" s="637">
        <f t="shared" si="502"/>
        <v>0</v>
      </c>
      <c r="ES213" s="637">
        <f t="shared" si="503"/>
        <v>0</v>
      </c>
      <c r="ET213" s="637">
        <f t="shared" si="504"/>
        <v>0</v>
      </c>
      <c r="EU213" s="643">
        <f t="shared" si="477"/>
        <v>0</v>
      </c>
      <c r="EV213" s="643">
        <f t="shared" si="478"/>
        <v>0</v>
      </c>
      <c r="EX213" s="829">
        <f t="shared" si="479"/>
        <v>0</v>
      </c>
      <c r="EY213" s="638">
        <f t="shared" si="480"/>
        <v>90959.069847723891</v>
      </c>
      <c r="FC213" s="830" t="str">
        <f t="shared" si="505"/>
        <v>Y</v>
      </c>
      <c r="FE213" s="830" t="str">
        <f>IFERROR(VLOOKUP($B213,'Historical Conc Grant Elig'!$B$3:$J$707,'HH &amp; SI'!FE$2,0),"N")</f>
        <v>N</v>
      </c>
      <c r="FF213" s="830" t="str">
        <f>IFERROR(VLOOKUP($B213,'Historical Conc Grant Elig'!$B$3:$J$707,'HH &amp; SI'!FF$2,0),"N")</f>
        <v>Y</v>
      </c>
      <c r="FG213" s="830" t="str">
        <f>IFERROR(VLOOKUP($B213,'Historical Conc Grant Elig'!$B$3:$J$707,'HH &amp; SI'!FG$2,0),"N")</f>
        <v>Y</v>
      </c>
      <c r="FH213" s="830" t="str">
        <f>IFERROR(VLOOKUP($B213,'Historical Conc Grant Elig'!$B$3:$J$707,'HH &amp; SI'!FH$2,0),"N")</f>
        <v>Y</v>
      </c>
      <c r="FI213" s="830" t="str">
        <f>IFERROR(VLOOKUP($B213,'Historical Conc Grant Elig'!$B$3:$J$707,'HH &amp; SI'!FI$2,0),"N")</f>
        <v>Y</v>
      </c>
      <c r="FJ213" s="830" t="str">
        <f>IFERROR(VLOOKUP($B213,'Historical Conc Grant Elig'!$B$3:$J$707,'HH &amp; SI'!FJ$2,0),"N")</f>
        <v>Y</v>
      </c>
      <c r="FK213" s="830" t="str">
        <f>IFERROR(VLOOKUP($B213,'Historical Conc Grant Elig'!$B$3:$J$707,'HH &amp; SI'!FK$2,0),"N")</f>
        <v>Y</v>
      </c>
      <c r="FL213" s="957" t="str">
        <f>IFERROR(VLOOKUP($B213,'Historical Conc Grant Elig'!$B$3:$J$707,'HH &amp; SI'!FL$2,0),"N")</f>
        <v>Y</v>
      </c>
    </row>
    <row r="214" spans="2:168" x14ac:dyDescent="0.25">
      <c r="B214" s="634">
        <v>78576000</v>
      </c>
      <c r="C214" s="635" t="str">
        <f>VLOOKUP($B214,'Afton Update'!$A$5:$CR$582,'Afton Update'!D$589,0)</f>
        <v xml:space="preserve">Kaizen Education Foundation dba Mission Heights Preparatory </v>
      </c>
      <c r="D214" s="636">
        <f>IFERROR(VLOOKUP($B214,'Afton FY16 Final'!$A$5:$BV$587,'Afton FY16 Final'!AQ$587,0),0)</f>
        <v>34425.0708880034</v>
      </c>
      <c r="E214" s="637">
        <f>IFERROR(VLOOKUP($B214,'Afton FY16 Final'!$A$5:$BV$587,'Afton FY16 Final'!AR$587,0),0)</f>
        <v>8651.9857743547964</v>
      </c>
      <c r="F214" s="637">
        <f>IFERROR(VLOOKUP($B214,'Afton FY16 Final'!$A$5:$BV$587,'Afton FY16 Final'!AS$587,0),0)</f>
        <v>18252.67555548064</v>
      </c>
      <c r="G214" s="637">
        <f>IFERROR(VLOOKUP($B214,'Afton FY16 Final'!$A$5:$BV$587,'Afton FY16 Final'!AT$587,0),0)</f>
        <v>17586.327254484866</v>
      </c>
      <c r="H214" s="638">
        <f>IFERROR(VLOOKUP($B214,'Afton FY16 Final'!$A$5:$BV$587,'Afton FY16 Final'!AU$587,0),0)</f>
        <v>78916.059472323715</v>
      </c>
      <c r="I214" s="639" t="str">
        <f>VLOOKUP($B214,'Afton Update'!$A$5:$CR$582,'Afton Update'!BT$589,0)</f>
        <v>Y</v>
      </c>
      <c r="J214" s="640" t="str">
        <f>VLOOKUP($B214,'Afton Update'!$A$5:$CR$582,'Afton Update'!BU$589,0)</f>
        <v>Y</v>
      </c>
      <c r="K214" s="640" t="str">
        <f>VLOOKUP($B214,'Afton Update'!$A$5:$CR$582,'Afton Update'!BV$589,0)</f>
        <v>Y</v>
      </c>
      <c r="L214" s="641" t="str">
        <f>VLOOKUP($B214,'Afton Update'!$A$5:$CR$582,'Afton Update'!BW$589,0)</f>
        <v>Y</v>
      </c>
      <c r="N214" s="642">
        <f>VLOOKUP($B214,'Afton Update'!$A$5:$CR$582,'Afton Update'!CB$589,0)</f>
        <v>0.9</v>
      </c>
      <c r="P214" s="636">
        <f>VLOOKUP($B214,'Afton Update'!$A$5:$CR$582,'Afton Update'!AH$589,0)</f>
        <v>32048.731349009202</v>
      </c>
      <c r="Q214" s="637">
        <f>VLOOKUP($B214,'Afton Update'!$A$5:$CR$582,'Afton Update'!AI$589,0)</f>
        <v>8758.4474872634019</v>
      </c>
      <c r="R214" s="637">
        <f>VLOOKUP($B214,'Afton Update'!$A$5:$CR$582,'Afton Update'!AJ$589,0)</f>
        <v>18782.244897785393</v>
      </c>
      <c r="S214" s="637">
        <f>VLOOKUP($B214,'Afton Update'!$A$5:$CR$582,'Afton Update'!AK$589,0)</f>
        <v>17483.80277338664</v>
      </c>
      <c r="T214" s="643">
        <f t="shared" si="506"/>
        <v>77073.226507444633</v>
      </c>
      <c r="V214" s="636">
        <f t="shared" si="532"/>
        <v>31611.565851741732</v>
      </c>
      <c r="W214" s="637">
        <f t="shared" si="533"/>
        <v>8469.9762487512926</v>
      </c>
      <c r="X214" s="637">
        <f t="shared" si="534"/>
        <v>18611.427713690282</v>
      </c>
      <c r="Y214" s="637">
        <f t="shared" si="535"/>
        <v>17291.162739276569</v>
      </c>
      <c r="Z214" s="643">
        <f t="shared" si="536"/>
        <v>75984.132553459873</v>
      </c>
      <c r="AB214" s="644">
        <f t="shared" si="507"/>
        <v>32048.731349009202</v>
      </c>
      <c r="AC214" s="645">
        <f t="shared" si="481"/>
        <v>30982.563799203061</v>
      </c>
      <c r="AD214" s="644">
        <f t="shared" si="537"/>
        <v>0</v>
      </c>
      <c r="AE214" s="645">
        <f t="shared" si="538"/>
        <v>32048.731349009202</v>
      </c>
      <c r="AF214" s="646">
        <f t="shared" si="539"/>
        <v>-397.26810905147408</v>
      </c>
      <c r="AG214" s="647">
        <f t="shared" si="540"/>
        <v>31651.463239957728</v>
      </c>
      <c r="AH214" s="644">
        <f t="shared" si="508"/>
        <v>0</v>
      </c>
      <c r="AI214" s="645">
        <f t="shared" si="509"/>
        <v>31651.463239957728</v>
      </c>
      <c r="AJ214" s="646">
        <f t="shared" si="541"/>
        <v>-39.871969712503727</v>
      </c>
      <c r="AK214" s="647">
        <f t="shared" si="510"/>
        <v>31611.591270245222</v>
      </c>
      <c r="AL214" s="644">
        <f t="shared" si="542"/>
        <v>0</v>
      </c>
      <c r="AM214" s="645">
        <f t="shared" si="543"/>
        <v>31611.591270245222</v>
      </c>
      <c r="AN214" s="646">
        <f t="shared" si="544"/>
        <v>-2.5418503490490144E-2</v>
      </c>
      <c r="AO214" s="647">
        <f t="shared" si="511"/>
        <v>31611.565851741732</v>
      </c>
      <c r="AP214" s="644">
        <f t="shared" si="545"/>
        <v>0</v>
      </c>
      <c r="AQ214" s="645">
        <f t="shared" si="546"/>
        <v>31611.565851741732</v>
      </c>
      <c r="AR214" s="646">
        <f t="shared" si="547"/>
        <v>0</v>
      </c>
      <c r="AS214" s="647">
        <f t="shared" si="512"/>
        <v>31611.565851741732</v>
      </c>
      <c r="AT214" s="644">
        <f t="shared" si="548"/>
        <v>0</v>
      </c>
      <c r="AU214" s="645">
        <f t="shared" si="549"/>
        <v>31611.565851741732</v>
      </c>
      <c r="AV214" s="646">
        <f t="shared" si="550"/>
        <v>0</v>
      </c>
      <c r="AW214" s="647">
        <f t="shared" si="513"/>
        <v>31611.565851741732</v>
      </c>
      <c r="AY214" s="644">
        <f t="shared" si="551"/>
        <v>8758.4474872634019</v>
      </c>
      <c r="AZ214" s="645">
        <f t="shared" si="482"/>
        <v>7786.7871969193166</v>
      </c>
      <c r="BA214" s="644">
        <f t="shared" si="552"/>
        <v>0</v>
      </c>
      <c r="BB214" s="645">
        <f t="shared" si="553"/>
        <v>8758.4474872634019</v>
      </c>
      <c r="BC214" s="646">
        <f t="shared" si="554"/>
        <v>-62.984548359153415</v>
      </c>
      <c r="BD214" s="647">
        <f t="shared" si="555"/>
        <v>8695.4629389042493</v>
      </c>
      <c r="BE214" s="644">
        <f t="shared" si="514"/>
        <v>0</v>
      </c>
      <c r="BF214" s="645">
        <f t="shared" si="515"/>
        <v>8695.4629389042493</v>
      </c>
      <c r="BG214" s="646">
        <f t="shared" si="556"/>
        <v>-207.11884091363748</v>
      </c>
      <c r="BH214" s="647">
        <f t="shared" si="516"/>
        <v>8488.3440979906118</v>
      </c>
      <c r="BI214" s="644">
        <f t="shared" si="557"/>
        <v>0</v>
      </c>
      <c r="BJ214" s="645">
        <f t="shared" si="558"/>
        <v>8488.3440979906118</v>
      </c>
      <c r="BK214" s="646">
        <f t="shared" si="559"/>
        <v>-17.980306473976245</v>
      </c>
      <c r="BL214" s="647">
        <f t="shared" si="517"/>
        <v>8470.3637915166364</v>
      </c>
      <c r="BM214" s="644">
        <f t="shared" si="560"/>
        <v>0</v>
      </c>
      <c r="BN214" s="645">
        <f t="shared" si="561"/>
        <v>8470.3637915166364</v>
      </c>
      <c r="BO214" s="646">
        <f t="shared" si="562"/>
        <v>-0.38754276534315468</v>
      </c>
      <c r="BP214" s="647">
        <f t="shared" si="518"/>
        <v>8469.9762487512926</v>
      </c>
      <c r="BQ214" s="644">
        <f t="shared" si="563"/>
        <v>0</v>
      </c>
      <c r="BR214" s="645">
        <f t="shared" si="564"/>
        <v>8469.9762487512926</v>
      </c>
      <c r="BS214" s="646">
        <f t="shared" si="565"/>
        <v>0</v>
      </c>
      <c r="BT214" s="647">
        <f t="shared" si="519"/>
        <v>8469.9762487512926</v>
      </c>
      <c r="BU214" s="662">
        <f>VLOOKUP(B214,'Afton Update'!$A$5:$AR$582,'Afton Update'!$AO$589,0)-BT214</f>
        <v>0</v>
      </c>
      <c r="BV214" s="644">
        <f t="shared" si="566"/>
        <v>18782.244897785393</v>
      </c>
      <c r="BW214" s="645">
        <f t="shared" si="483"/>
        <v>16427.407999932577</v>
      </c>
      <c r="BX214" s="644">
        <f t="shared" si="567"/>
        <v>0</v>
      </c>
      <c r="BY214" s="645">
        <f t="shared" si="568"/>
        <v>18782.244897785393</v>
      </c>
      <c r="BZ214" s="646">
        <f t="shared" si="569"/>
        <v>-164.85376037383136</v>
      </c>
      <c r="CA214" s="647">
        <f t="shared" si="570"/>
        <v>18617.391137411563</v>
      </c>
      <c r="CB214" s="644">
        <f t="shared" si="520"/>
        <v>0</v>
      </c>
      <c r="CC214" s="645">
        <f t="shared" si="521"/>
        <v>18617.391137411563</v>
      </c>
      <c r="CD214" s="646">
        <f t="shared" si="571"/>
        <v>-5.9634237212795602</v>
      </c>
      <c r="CE214" s="647">
        <f t="shared" si="522"/>
        <v>18611.427713690282</v>
      </c>
      <c r="CF214" s="644">
        <f t="shared" si="572"/>
        <v>0</v>
      </c>
      <c r="CG214" s="645">
        <f t="shared" si="573"/>
        <v>18611.427713690282</v>
      </c>
      <c r="CH214" s="646">
        <f t="shared" si="574"/>
        <v>0</v>
      </c>
      <c r="CI214" s="647">
        <f t="shared" si="523"/>
        <v>18611.427713690282</v>
      </c>
      <c r="CJ214" s="644">
        <f t="shared" si="575"/>
        <v>0</v>
      </c>
      <c r="CK214" s="645">
        <f t="shared" si="576"/>
        <v>18611.427713690282</v>
      </c>
      <c r="CL214" s="646">
        <f t="shared" si="577"/>
        <v>0</v>
      </c>
      <c r="CM214" s="647">
        <f t="shared" si="524"/>
        <v>18611.427713690282</v>
      </c>
      <c r="CN214" s="644">
        <f t="shared" si="578"/>
        <v>0</v>
      </c>
      <c r="CO214" s="645">
        <f t="shared" si="579"/>
        <v>18611.427713690282</v>
      </c>
      <c r="CP214" s="646">
        <f t="shared" si="580"/>
        <v>0</v>
      </c>
      <c r="CQ214" s="647">
        <f t="shared" si="525"/>
        <v>18611.427713690282</v>
      </c>
      <c r="CS214" s="644">
        <f t="shared" si="581"/>
        <v>17483.80277338664</v>
      </c>
      <c r="CT214" s="645">
        <f t="shared" si="484"/>
        <v>15827.69452903638</v>
      </c>
      <c r="CU214" s="644">
        <f t="shared" si="582"/>
        <v>0</v>
      </c>
      <c r="CV214" s="645">
        <f t="shared" si="583"/>
        <v>17483.80277338664</v>
      </c>
      <c r="CW214" s="646">
        <f t="shared" si="584"/>
        <v>-179.04402088064521</v>
      </c>
      <c r="CX214" s="647">
        <f t="shared" si="585"/>
        <v>17304.758752505993</v>
      </c>
      <c r="CY214" s="644">
        <f t="shared" si="526"/>
        <v>0</v>
      </c>
      <c r="CZ214" s="645">
        <f t="shared" si="527"/>
        <v>17304.758752505993</v>
      </c>
      <c r="DA214" s="646">
        <f t="shared" si="586"/>
        <v>-13.584298463956761</v>
      </c>
      <c r="DB214" s="647">
        <f t="shared" si="528"/>
        <v>17291.174454042037</v>
      </c>
      <c r="DC214" s="644">
        <f t="shared" si="587"/>
        <v>0</v>
      </c>
      <c r="DD214" s="645">
        <f t="shared" si="588"/>
        <v>17291.174454042037</v>
      </c>
      <c r="DE214" s="646">
        <f t="shared" si="589"/>
        <v>-1.1714765468585743E-2</v>
      </c>
      <c r="DF214" s="647">
        <f t="shared" si="529"/>
        <v>17291.162739276569</v>
      </c>
      <c r="DG214" s="644">
        <f t="shared" si="590"/>
        <v>0</v>
      </c>
      <c r="DH214" s="645">
        <f t="shared" si="591"/>
        <v>17291.162739276569</v>
      </c>
      <c r="DI214" s="646">
        <f t="shared" si="592"/>
        <v>0</v>
      </c>
      <c r="DJ214" s="647">
        <f t="shared" si="530"/>
        <v>17291.162739276569</v>
      </c>
      <c r="DK214" s="644">
        <f t="shared" si="593"/>
        <v>0</v>
      </c>
      <c r="DL214" s="645">
        <f t="shared" si="594"/>
        <v>17291.162739276569</v>
      </c>
      <c r="DM214" s="646">
        <f t="shared" si="595"/>
        <v>0</v>
      </c>
      <c r="DN214" s="647">
        <f t="shared" si="531"/>
        <v>17291.162739276569</v>
      </c>
      <c r="DR214" s="827">
        <f t="shared" si="485"/>
        <v>75984.132553459873</v>
      </c>
      <c r="DV214" s="828">
        <f>IFERROR(VLOOKUP($B214,'Afton FY16 Final'!$A$5:$BV$587,'Afton FY16 Final'!$BV$587,0),0)</f>
        <v>77362.202274382857</v>
      </c>
      <c r="DX214" s="636">
        <f t="shared" si="473"/>
        <v>0</v>
      </c>
      <c r="DY214" s="637">
        <f t="shared" si="474"/>
        <v>0</v>
      </c>
      <c r="DZ214" s="637">
        <f t="shared" si="475"/>
        <v>0</v>
      </c>
      <c r="EA214" s="643">
        <f t="shared" si="476"/>
        <v>0</v>
      </c>
      <c r="EB214" s="637">
        <f t="shared" si="486"/>
        <v>0</v>
      </c>
      <c r="EC214" s="637">
        <f t="shared" si="487"/>
        <v>0</v>
      </c>
      <c r="ED214" s="637">
        <f t="shared" si="488"/>
        <v>0</v>
      </c>
      <c r="EE214" s="643">
        <f t="shared" si="489"/>
        <v>0</v>
      </c>
      <c r="EF214" s="637">
        <f t="shared" si="490"/>
        <v>0</v>
      </c>
      <c r="EG214" s="637">
        <f t="shared" si="491"/>
        <v>0</v>
      </c>
      <c r="EH214" s="637">
        <f t="shared" si="492"/>
        <v>0</v>
      </c>
      <c r="EI214" s="643">
        <f t="shared" si="493"/>
        <v>0</v>
      </c>
      <c r="EJ214" s="637">
        <f t="shared" si="494"/>
        <v>0</v>
      </c>
      <c r="EK214" s="637">
        <f t="shared" si="495"/>
        <v>0</v>
      </c>
      <c r="EL214" s="637">
        <f t="shared" si="496"/>
        <v>0</v>
      </c>
      <c r="EM214" s="643">
        <f t="shared" si="497"/>
        <v>0</v>
      </c>
      <c r="EN214" s="637">
        <f t="shared" si="498"/>
        <v>0</v>
      </c>
      <c r="EO214" s="637">
        <f t="shared" si="499"/>
        <v>0</v>
      </c>
      <c r="EP214" s="637">
        <f t="shared" si="500"/>
        <v>0</v>
      </c>
      <c r="EQ214" s="643">
        <f t="shared" si="501"/>
        <v>0</v>
      </c>
      <c r="ER214" s="637">
        <f t="shared" si="502"/>
        <v>0</v>
      </c>
      <c r="ES214" s="637">
        <f t="shared" si="503"/>
        <v>0</v>
      </c>
      <c r="ET214" s="637">
        <f t="shared" si="504"/>
        <v>0</v>
      </c>
      <c r="EU214" s="643">
        <f t="shared" si="477"/>
        <v>0</v>
      </c>
      <c r="EV214" s="643">
        <f t="shared" si="478"/>
        <v>0</v>
      </c>
      <c r="EX214" s="829">
        <f t="shared" si="479"/>
        <v>0</v>
      </c>
      <c r="EY214" s="638">
        <f t="shared" si="480"/>
        <v>75984.132553459873</v>
      </c>
      <c r="FC214" s="830" t="str">
        <f t="shared" si="505"/>
        <v>Y</v>
      </c>
      <c r="FE214" s="830" t="str">
        <f>IFERROR(VLOOKUP($B214,'Historical Conc Grant Elig'!$B$3:$J$707,'HH &amp; SI'!FE$2,0),"N")</f>
        <v>N</v>
      </c>
      <c r="FF214" s="830" t="str">
        <f>IFERROR(VLOOKUP($B214,'Historical Conc Grant Elig'!$B$3:$J$707,'HH &amp; SI'!FF$2,0),"N")</f>
        <v>N</v>
      </c>
      <c r="FG214" s="830" t="str">
        <f>IFERROR(VLOOKUP($B214,'Historical Conc Grant Elig'!$B$3:$J$707,'HH &amp; SI'!FG$2,0),"N")</f>
        <v>N</v>
      </c>
      <c r="FH214" s="830" t="str">
        <f>IFERROR(VLOOKUP($B214,'Historical Conc Grant Elig'!$B$3:$J$707,'HH &amp; SI'!FH$2,0),"N")</f>
        <v>Y</v>
      </c>
      <c r="FI214" s="830" t="str">
        <f>IFERROR(VLOOKUP($B214,'Historical Conc Grant Elig'!$B$3:$J$707,'HH &amp; SI'!FI$2,0),"N")</f>
        <v>Y</v>
      </c>
      <c r="FJ214" s="830" t="str">
        <f>IFERROR(VLOOKUP($B214,'Historical Conc Grant Elig'!$B$3:$J$707,'HH &amp; SI'!FJ$2,0),"N")</f>
        <v>Y</v>
      </c>
      <c r="FK214" s="830" t="str">
        <f>IFERROR(VLOOKUP($B214,'Historical Conc Grant Elig'!$B$3:$J$707,'HH &amp; SI'!FK$2,0),"N")</f>
        <v>Y</v>
      </c>
      <c r="FL214" s="957" t="str">
        <f>IFERROR(VLOOKUP($B214,'Historical Conc Grant Elig'!$B$3:$J$707,'HH &amp; SI'!FL$2,0),"N")</f>
        <v>Y</v>
      </c>
    </row>
    <row r="215" spans="2:168" x14ac:dyDescent="0.25">
      <c r="B215" s="634">
        <v>78577000</v>
      </c>
      <c r="C215" s="635" t="str">
        <f>VLOOKUP($B215,'Afton Update'!$A$5:$CR$582,'Afton Update'!D$589,0)</f>
        <v>Daisy Education Corporation dba. Sonoran Science Academy Peoria</v>
      </c>
      <c r="D215" s="636">
        <f>IFERROR(VLOOKUP($B215,'Afton FY16 Final'!$A$5:$BV$587,'Afton FY16 Final'!AQ$587,0),0)</f>
        <v>42694.288117622447</v>
      </c>
      <c r="E215" s="637">
        <f>IFERROR(VLOOKUP($B215,'Afton FY16 Final'!$A$5:$BV$587,'Afton FY16 Final'!AR$587,0),0)</f>
        <v>10577.728460703131</v>
      </c>
      <c r="F215" s="637">
        <f>IFERROR(VLOOKUP($B215,'Afton FY16 Final'!$A$5:$BV$587,'Afton FY16 Final'!AS$587,0),0)</f>
        <v>23170.691671959201</v>
      </c>
      <c r="G215" s="637">
        <f>IFERROR(VLOOKUP($B215,'Afton FY16 Final'!$A$5:$BV$587,'Afton FY16 Final'!AT$587,0),0)</f>
        <v>19455.464966175448</v>
      </c>
      <c r="H215" s="638">
        <f>IFERROR(VLOOKUP($B215,'Afton FY16 Final'!$A$5:$BV$587,'Afton FY16 Final'!AU$587,0),0)</f>
        <v>95898.173216460229</v>
      </c>
      <c r="I215" s="639" t="str">
        <f>VLOOKUP($B215,'Afton Update'!$A$5:$CR$582,'Afton Update'!BT$589,0)</f>
        <v>Y</v>
      </c>
      <c r="J215" s="640" t="str">
        <f>VLOOKUP($B215,'Afton Update'!$A$5:$CR$582,'Afton Update'!BU$589,0)</f>
        <v>Y</v>
      </c>
      <c r="K215" s="640" t="str">
        <f>VLOOKUP($B215,'Afton Update'!$A$5:$CR$582,'Afton Update'!BV$589,0)</f>
        <v>Y</v>
      </c>
      <c r="L215" s="641" t="str">
        <f>VLOOKUP($B215,'Afton Update'!$A$5:$CR$582,'Afton Update'!BW$589,0)</f>
        <v>Y</v>
      </c>
      <c r="N215" s="642">
        <f>VLOOKUP($B215,'Afton Update'!$A$5:$CR$582,'Afton Update'!CB$589,0)</f>
        <v>0.95</v>
      </c>
      <c r="P215" s="636">
        <f>VLOOKUP($B215,'Afton Update'!$A$5:$CR$582,'Afton Update'!AH$589,0)</f>
        <v>58118.221774695783</v>
      </c>
      <c r="Q215" s="637">
        <f>VLOOKUP($B215,'Afton Update'!$A$5:$CR$582,'Afton Update'!AI$589,0)</f>
        <v>14149.57618415268</v>
      </c>
      <c r="R215" s="637">
        <f>VLOOKUP($B215,'Afton Update'!$A$5:$CR$582,'Afton Update'!AJ$589,0)</f>
        <v>34039.726715170465</v>
      </c>
      <c r="S215" s="637">
        <f>VLOOKUP($B215,'Afton Update'!$A$5:$CR$582,'Afton Update'!AK$589,0)</f>
        <v>31686.514130065112</v>
      </c>
      <c r="T215" s="643">
        <f t="shared" si="506"/>
        <v>137994.03880408403</v>
      </c>
      <c r="V215" s="636">
        <f t="shared" si="532"/>
        <v>57325.45150726298</v>
      </c>
      <c r="W215" s="637">
        <f t="shared" si="533"/>
        <v>13683.540876845114</v>
      </c>
      <c r="X215" s="637">
        <f t="shared" si="534"/>
        <v>33730.148691004775</v>
      </c>
      <c r="Y215" s="637">
        <f t="shared" si="535"/>
        <v>31337.385782990845</v>
      </c>
      <c r="Z215" s="643">
        <f t="shared" si="536"/>
        <v>136076.52685810369</v>
      </c>
      <c r="AB215" s="644">
        <f t="shared" si="507"/>
        <v>58118.221774695783</v>
      </c>
      <c r="AC215" s="645">
        <f t="shared" si="481"/>
        <v>40559.573711741323</v>
      </c>
      <c r="AD215" s="644">
        <f t="shared" si="537"/>
        <v>0</v>
      </c>
      <c r="AE215" s="645">
        <f t="shared" si="538"/>
        <v>58118.221774695783</v>
      </c>
      <c r="AF215" s="646">
        <f t="shared" si="539"/>
        <v>-720.41903357841943</v>
      </c>
      <c r="AG215" s="647">
        <f t="shared" si="540"/>
        <v>57397.802741117361</v>
      </c>
      <c r="AH215" s="644">
        <f t="shared" si="508"/>
        <v>0</v>
      </c>
      <c r="AI215" s="645">
        <f t="shared" si="509"/>
        <v>57397.802741117361</v>
      </c>
      <c r="AJ215" s="646">
        <f t="shared" si="541"/>
        <v>-72.305139105510477</v>
      </c>
      <c r="AK215" s="647">
        <f t="shared" si="510"/>
        <v>57325.497602011848</v>
      </c>
      <c r="AL215" s="644">
        <f t="shared" si="542"/>
        <v>0</v>
      </c>
      <c r="AM215" s="645">
        <f t="shared" si="543"/>
        <v>57325.497602011848</v>
      </c>
      <c r="AN215" s="646">
        <f t="shared" si="544"/>
        <v>-4.6094748867082862E-2</v>
      </c>
      <c r="AO215" s="647">
        <f t="shared" si="511"/>
        <v>57325.45150726298</v>
      </c>
      <c r="AP215" s="644">
        <f t="shared" si="545"/>
        <v>0</v>
      </c>
      <c r="AQ215" s="645">
        <f t="shared" si="546"/>
        <v>57325.45150726298</v>
      </c>
      <c r="AR215" s="646">
        <f t="shared" si="547"/>
        <v>0</v>
      </c>
      <c r="AS215" s="647">
        <f t="shared" si="512"/>
        <v>57325.45150726298</v>
      </c>
      <c r="AT215" s="644">
        <f t="shared" si="548"/>
        <v>0</v>
      </c>
      <c r="AU215" s="645">
        <f t="shared" si="549"/>
        <v>57325.45150726298</v>
      </c>
      <c r="AV215" s="646">
        <f t="shared" si="550"/>
        <v>0</v>
      </c>
      <c r="AW215" s="647">
        <f t="shared" si="513"/>
        <v>57325.45150726298</v>
      </c>
      <c r="AY215" s="644">
        <f t="shared" si="551"/>
        <v>14149.57618415268</v>
      </c>
      <c r="AZ215" s="645">
        <f t="shared" si="482"/>
        <v>10048.842037667973</v>
      </c>
      <c r="BA215" s="644">
        <f t="shared" si="552"/>
        <v>0</v>
      </c>
      <c r="BB215" s="645">
        <f t="shared" si="553"/>
        <v>14149.57618415268</v>
      </c>
      <c r="BC215" s="646">
        <f t="shared" si="554"/>
        <v>-101.75372595751544</v>
      </c>
      <c r="BD215" s="647">
        <f t="shared" si="555"/>
        <v>14047.822458195165</v>
      </c>
      <c r="BE215" s="644">
        <f t="shared" si="514"/>
        <v>0</v>
      </c>
      <c r="BF215" s="645">
        <f t="shared" si="515"/>
        <v>14047.822458195165</v>
      </c>
      <c r="BG215" s="646">
        <f t="shared" si="556"/>
        <v>-334.6076828048208</v>
      </c>
      <c r="BH215" s="647">
        <f t="shared" si="516"/>
        <v>13713.214775390345</v>
      </c>
      <c r="BI215" s="644">
        <f t="shared" si="557"/>
        <v>0</v>
      </c>
      <c r="BJ215" s="645">
        <f t="shared" si="558"/>
        <v>13713.214775390345</v>
      </c>
      <c r="BK215" s="646">
        <f t="shared" si="559"/>
        <v>-29.047809744582107</v>
      </c>
      <c r="BL215" s="647">
        <f t="shared" si="517"/>
        <v>13684.166965645762</v>
      </c>
      <c r="BM215" s="644">
        <f t="shared" si="560"/>
        <v>0</v>
      </c>
      <c r="BN215" s="645">
        <f t="shared" si="561"/>
        <v>13684.166965645762</v>
      </c>
      <c r="BO215" s="646">
        <f t="shared" si="562"/>
        <v>-0.62608880064810712</v>
      </c>
      <c r="BP215" s="647">
        <f t="shared" si="518"/>
        <v>13683.540876845114</v>
      </c>
      <c r="BQ215" s="644">
        <f t="shared" si="563"/>
        <v>0</v>
      </c>
      <c r="BR215" s="645">
        <f t="shared" si="564"/>
        <v>13683.540876845114</v>
      </c>
      <c r="BS215" s="646">
        <f t="shared" si="565"/>
        <v>0</v>
      </c>
      <c r="BT215" s="647">
        <f t="shared" si="519"/>
        <v>13683.540876845114</v>
      </c>
      <c r="BU215" s="662">
        <f>VLOOKUP(B215,'Afton Update'!$A$5:$AR$582,'Afton Update'!$AO$589,0)-BT215</f>
        <v>0</v>
      </c>
      <c r="BV215" s="644">
        <f t="shared" si="566"/>
        <v>34039.726715170465</v>
      </c>
      <c r="BW215" s="645">
        <f t="shared" si="483"/>
        <v>22012.15708836124</v>
      </c>
      <c r="BX215" s="644">
        <f t="shared" si="567"/>
        <v>0</v>
      </c>
      <c r="BY215" s="645">
        <f t="shared" si="568"/>
        <v>34039.726715170465</v>
      </c>
      <c r="BZ215" s="646">
        <f t="shared" si="569"/>
        <v>-298.77030044236494</v>
      </c>
      <c r="CA215" s="647">
        <f t="shared" si="570"/>
        <v>33740.956414728098</v>
      </c>
      <c r="CB215" s="644">
        <f t="shared" si="520"/>
        <v>0</v>
      </c>
      <c r="CC215" s="645">
        <f t="shared" si="521"/>
        <v>33740.956414728098</v>
      </c>
      <c r="CD215" s="646">
        <f t="shared" si="571"/>
        <v>-10.807723723326381</v>
      </c>
      <c r="CE215" s="647">
        <f t="shared" si="522"/>
        <v>33730.148691004775</v>
      </c>
      <c r="CF215" s="644">
        <f t="shared" si="572"/>
        <v>0</v>
      </c>
      <c r="CG215" s="645">
        <f t="shared" si="573"/>
        <v>33730.148691004775</v>
      </c>
      <c r="CH215" s="646">
        <f t="shared" si="574"/>
        <v>0</v>
      </c>
      <c r="CI215" s="647">
        <f t="shared" si="523"/>
        <v>33730.148691004775</v>
      </c>
      <c r="CJ215" s="644">
        <f t="shared" si="575"/>
        <v>0</v>
      </c>
      <c r="CK215" s="645">
        <f t="shared" si="576"/>
        <v>33730.148691004775</v>
      </c>
      <c r="CL215" s="646">
        <f t="shared" si="577"/>
        <v>0</v>
      </c>
      <c r="CM215" s="647">
        <f t="shared" si="524"/>
        <v>33730.148691004775</v>
      </c>
      <c r="CN215" s="644">
        <f t="shared" si="578"/>
        <v>0</v>
      </c>
      <c r="CO215" s="645">
        <f t="shared" si="579"/>
        <v>33730.148691004775</v>
      </c>
      <c r="CP215" s="646">
        <f t="shared" si="580"/>
        <v>0</v>
      </c>
      <c r="CQ215" s="647">
        <f t="shared" si="525"/>
        <v>33730.148691004775</v>
      </c>
      <c r="CS215" s="644">
        <f t="shared" si="581"/>
        <v>31686.514130065112</v>
      </c>
      <c r="CT215" s="645">
        <f t="shared" si="484"/>
        <v>18482.691717866674</v>
      </c>
      <c r="CU215" s="644">
        <f t="shared" si="582"/>
        <v>0</v>
      </c>
      <c r="CV215" s="645">
        <f t="shared" si="583"/>
        <v>31686.514130065112</v>
      </c>
      <c r="CW215" s="646">
        <f t="shared" si="584"/>
        <v>-324.48781143733493</v>
      </c>
      <c r="CX215" s="647">
        <f t="shared" si="585"/>
        <v>31362.026318627777</v>
      </c>
      <c r="CY215" s="644">
        <f t="shared" si="526"/>
        <v>0</v>
      </c>
      <c r="CZ215" s="645">
        <f t="shared" si="527"/>
        <v>31362.026318627777</v>
      </c>
      <c r="DA215" s="646">
        <f t="shared" si="586"/>
        <v>-24.619304553148481</v>
      </c>
      <c r="DB215" s="647">
        <f t="shared" si="528"/>
        <v>31337.40701407463</v>
      </c>
      <c r="DC215" s="644">
        <f t="shared" si="587"/>
        <v>0</v>
      </c>
      <c r="DD215" s="645">
        <f t="shared" si="588"/>
        <v>31337.40701407463</v>
      </c>
      <c r="DE215" s="646">
        <f t="shared" si="589"/>
        <v>-2.1231083784345333E-2</v>
      </c>
      <c r="DF215" s="647">
        <f t="shared" si="529"/>
        <v>31337.385782990845</v>
      </c>
      <c r="DG215" s="644">
        <f t="shared" si="590"/>
        <v>0</v>
      </c>
      <c r="DH215" s="645">
        <f t="shared" si="591"/>
        <v>31337.385782990845</v>
      </c>
      <c r="DI215" s="646">
        <f t="shared" si="592"/>
        <v>0</v>
      </c>
      <c r="DJ215" s="647">
        <f t="shared" si="530"/>
        <v>31337.385782990845</v>
      </c>
      <c r="DK215" s="644">
        <f t="shared" si="593"/>
        <v>0</v>
      </c>
      <c r="DL215" s="645">
        <f t="shared" si="594"/>
        <v>31337.385782990845</v>
      </c>
      <c r="DM215" s="646">
        <f t="shared" si="595"/>
        <v>0</v>
      </c>
      <c r="DN215" s="647">
        <f t="shared" si="531"/>
        <v>31337.385782990845</v>
      </c>
      <c r="DR215" s="827">
        <f t="shared" si="485"/>
        <v>136076.52685810369</v>
      </c>
      <c r="DV215" s="828">
        <f>IFERROR(VLOOKUP($B215,'Afton FY16 Final'!$A$5:$BV$587,'Afton FY16 Final'!$BV$587,0),0)</f>
        <v>85141.311500797994</v>
      </c>
      <c r="DX215" s="636">
        <f t="shared" si="473"/>
        <v>136076.52685810369</v>
      </c>
      <c r="DY215" s="637">
        <f t="shared" si="474"/>
        <v>50935.2153573057</v>
      </c>
      <c r="DZ215" s="637">
        <f t="shared" si="475"/>
        <v>85141.311500797994</v>
      </c>
      <c r="EA215" s="643">
        <f t="shared" si="476"/>
        <v>128838.78069344941</v>
      </c>
      <c r="EB215" s="637">
        <f t="shared" si="486"/>
        <v>0</v>
      </c>
      <c r="EC215" s="637">
        <f t="shared" si="487"/>
        <v>128838.78069344941</v>
      </c>
      <c r="ED215" s="637">
        <f t="shared" si="488"/>
        <v>128454.59114209218</v>
      </c>
      <c r="EE215" s="643">
        <f t="shared" si="489"/>
        <v>128454.59114209218</v>
      </c>
      <c r="EF215" s="637">
        <f t="shared" si="490"/>
        <v>0</v>
      </c>
      <c r="EG215" s="637">
        <f t="shared" si="491"/>
        <v>128454.59114209218</v>
      </c>
      <c r="EH215" s="637">
        <f t="shared" si="492"/>
        <v>128454.45862050445</v>
      </c>
      <c r="EI215" s="643">
        <f t="shared" si="493"/>
        <v>128454.45862050445</v>
      </c>
      <c r="EJ215" s="637">
        <f t="shared" si="494"/>
        <v>0</v>
      </c>
      <c r="EK215" s="637">
        <f t="shared" si="495"/>
        <v>128454.45862050445</v>
      </c>
      <c r="EL215" s="637">
        <f t="shared" si="496"/>
        <v>128454.45862050426</v>
      </c>
      <c r="EM215" s="643">
        <f t="shared" si="497"/>
        <v>128454.45862050426</v>
      </c>
      <c r="EN215" s="637">
        <f t="shared" si="498"/>
        <v>0</v>
      </c>
      <c r="EO215" s="637">
        <f t="shared" si="499"/>
        <v>128454.45862050426</v>
      </c>
      <c r="EP215" s="637">
        <f t="shared" si="500"/>
        <v>128454.45862050446</v>
      </c>
      <c r="EQ215" s="643">
        <f t="shared" si="501"/>
        <v>128454.45862050446</v>
      </c>
      <c r="ER215" s="637">
        <f t="shared" si="502"/>
        <v>0</v>
      </c>
      <c r="ES215" s="637">
        <f t="shared" si="503"/>
        <v>128454.45862050446</v>
      </c>
      <c r="ET215" s="637">
        <f t="shared" si="504"/>
        <v>128454.45862050426</v>
      </c>
      <c r="EU215" s="643">
        <f t="shared" si="477"/>
        <v>128454.45862050426</v>
      </c>
      <c r="EV215" s="643">
        <f t="shared" si="478"/>
        <v>0</v>
      </c>
      <c r="EX215" s="829">
        <f t="shared" si="479"/>
        <v>7622.0682375994365</v>
      </c>
      <c r="EY215" s="638">
        <f t="shared" si="480"/>
        <v>128454.45862050426</v>
      </c>
      <c r="FC215" s="830" t="str">
        <f t="shared" si="505"/>
        <v>Y</v>
      </c>
      <c r="FE215" s="830" t="str">
        <f>IFERROR(VLOOKUP($B215,'Historical Conc Grant Elig'!$B$3:$J$707,'HH &amp; SI'!FE$2,0),"N")</f>
        <v>N</v>
      </c>
      <c r="FF215" s="830" t="str">
        <f>IFERROR(VLOOKUP($B215,'Historical Conc Grant Elig'!$B$3:$J$707,'HH &amp; SI'!FF$2,0),"N")</f>
        <v>N</v>
      </c>
      <c r="FG215" s="830" t="str">
        <f>IFERROR(VLOOKUP($B215,'Historical Conc Grant Elig'!$B$3:$J$707,'HH &amp; SI'!FG$2,0),"N")</f>
        <v>Y</v>
      </c>
      <c r="FH215" s="830" t="str">
        <f>IFERROR(VLOOKUP($B215,'Historical Conc Grant Elig'!$B$3:$J$707,'HH &amp; SI'!FH$2,0),"N")</f>
        <v>Y</v>
      </c>
      <c r="FI215" s="830" t="str">
        <f>IFERROR(VLOOKUP($B215,'Historical Conc Grant Elig'!$B$3:$J$707,'HH &amp; SI'!FI$2,0),"N")</f>
        <v>Y</v>
      </c>
      <c r="FJ215" s="830" t="str">
        <f>IFERROR(VLOOKUP($B215,'Historical Conc Grant Elig'!$B$3:$J$707,'HH &amp; SI'!FJ$2,0),"N")</f>
        <v>Y</v>
      </c>
      <c r="FK215" s="830" t="str">
        <f>IFERROR(VLOOKUP($B215,'Historical Conc Grant Elig'!$B$3:$J$707,'HH &amp; SI'!FK$2,0),"N")</f>
        <v>Y</v>
      </c>
      <c r="FL215" s="957" t="str">
        <f>IFERROR(VLOOKUP($B215,'Historical Conc Grant Elig'!$B$3:$J$707,'HH &amp; SI'!FL$2,0),"N")</f>
        <v>Y</v>
      </c>
    </row>
    <row r="216" spans="2:168" x14ac:dyDescent="0.25">
      <c r="B216" s="634">
        <v>78578000</v>
      </c>
      <c r="C216" s="635" t="str">
        <f>VLOOKUP($B216,'Afton Update'!$A$5:$CR$582,'Afton Update'!D$589,0)</f>
        <v>South Valley Academy  Inc.</v>
      </c>
      <c r="D216" s="636">
        <f>IFERROR(VLOOKUP($B216,'Afton FY16 Final'!$A$5:$BV$587,'Afton FY16 Final'!AQ$587,0),0)</f>
        <v>48682.561291091144</v>
      </c>
      <c r="E216" s="637">
        <f>IFERROR(VLOOKUP($B216,'Afton FY16 Final'!$A$5:$BV$587,'Afton FY16 Final'!AR$587,0),0)</f>
        <v>10646.646070082268</v>
      </c>
      <c r="F216" s="637">
        <f>IFERROR(VLOOKUP($B216,'Afton FY16 Final'!$A$5:$BV$587,'Afton FY16 Final'!AS$587,0),0)</f>
        <v>25812.205277571298</v>
      </c>
      <c r="G216" s="637">
        <f>IFERROR(VLOOKUP($B216,'Afton FY16 Final'!$A$5:$BV$587,'Afton FY16 Final'!AT$587,0),0)</f>
        <v>24869.882105311804</v>
      </c>
      <c r="H216" s="638">
        <f>IFERROR(VLOOKUP($B216,'Afton FY16 Final'!$A$5:$BV$587,'Afton FY16 Final'!AU$587,0),0)</f>
        <v>110011.2947440565</v>
      </c>
      <c r="I216" s="639" t="str">
        <f>VLOOKUP($B216,'Afton Update'!$A$5:$CR$582,'Afton Update'!BT$589,0)</f>
        <v>Y</v>
      </c>
      <c r="J216" s="640" t="str">
        <f>VLOOKUP($B216,'Afton Update'!$A$5:$CR$582,'Afton Update'!BU$589,0)</f>
        <v>Y</v>
      </c>
      <c r="K216" s="640" t="str">
        <f>VLOOKUP($B216,'Afton Update'!$A$5:$CR$582,'Afton Update'!BV$589,0)</f>
        <v>Y</v>
      </c>
      <c r="L216" s="641" t="str">
        <f>VLOOKUP($B216,'Afton Update'!$A$5:$CR$582,'Afton Update'!BW$589,0)</f>
        <v>Y</v>
      </c>
      <c r="N216" s="642">
        <f>VLOOKUP($B216,'Afton Update'!$A$5:$CR$582,'Afton Update'!CB$589,0)</f>
        <v>0.95</v>
      </c>
      <c r="P216" s="636">
        <f>VLOOKUP($B216,'Afton Update'!$A$5:$CR$582,'Afton Update'!AH$589,0)</f>
        <v>38267.141909264712</v>
      </c>
      <c r="Q216" s="637">
        <f>VLOOKUP($B216,'Afton Update'!$A$5:$CR$582,'Afton Update'!AI$589,0)</f>
        <v>10044.404791108551</v>
      </c>
      <c r="R216" s="637">
        <f>VLOOKUP($B216,'Afton Update'!$A$5:$CR$582,'Afton Update'!AJ$589,0)</f>
        <v>22421.644230372658</v>
      </c>
      <c r="S216" s="637">
        <f>VLOOKUP($B216,'Afton Update'!$A$5:$CR$582,'Afton Update'!AK$589,0)</f>
        <v>20871.605482319119</v>
      </c>
      <c r="T216" s="643">
        <f t="shared" si="506"/>
        <v>91604.796413065036</v>
      </c>
      <c r="V216" s="636">
        <f t="shared" si="532"/>
        <v>46248.433226536588</v>
      </c>
      <c r="W216" s="637">
        <f t="shared" si="533"/>
        <v>10114.313766578154</v>
      </c>
      <c r="X216" s="637">
        <f t="shared" si="534"/>
        <v>24521.595013692731</v>
      </c>
      <c r="Y216" s="637">
        <f t="shared" si="535"/>
        <v>23626.388000046212</v>
      </c>
      <c r="Z216" s="643">
        <f t="shared" si="536"/>
        <v>104510.73000685369</v>
      </c>
      <c r="AB216" s="644">
        <f t="shared" si="507"/>
        <v>38267.141909264712</v>
      </c>
      <c r="AC216" s="645">
        <f t="shared" si="481"/>
        <v>46248.433226536588</v>
      </c>
      <c r="AD216" s="644">
        <f t="shared" si="537"/>
        <v>7981.2913172718763</v>
      </c>
      <c r="AE216" s="645">
        <f t="shared" si="538"/>
        <v>0</v>
      </c>
      <c r="AF216" s="646">
        <f t="shared" si="539"/>
        <v>0</v>
      </c>
      <c r="AG216" s="647">
        <f t="shared" si="540"/>
        <v>46248.433226536588</v>
      </c>
      <c r="AH216" s="644">
        <f t="shared" si="508"/>
        <v>0</v>
      </c>
      <c r="AI216" s="645">
        <f t="shared" si="509"/>
        <v>0</v>
      </c>
      <c r="AJ216" s="646">
        <f t="shared" si="541"/>
        <v>0</v>
      </c>
      <c r="AK216" s="647">
        <f t="shared" si="510"/>
        <v>46248.433226536588</v>
      </c>
      <c r="AL216" s="644">
        <f t="shared" si="542"/>
        <v>0</v>
      </c>
      <c r="AM216" s="645">
        <f t="shared" si="543"/>
        <v>0</v>
      </c>
      <c r="AN216" s="646">
        <f t="shared" si="544"/>
        <v>0</v>
      </c>
      <c r="AO216" s="647">
        <f t="shared" si="511"/>
        <v>46248.433226536588</v>
      </c>
      <c r="AP216" s="644">
        <f t="shared" si="545"/>
        <v>0</v>
      </c>
      <c r="AQ216" s="645">
        <f t="shared" si="546"/>
        <v>0</v>
      </c>
      <c r="AR216" s="646">
        <f t="shared" si="547"/>
        <v>0</v>
      </c>
      <c r="AS216" s="647">
        <f t="shared" si="512"/>
        <v>46248.433226536588</v>
      </c>
      <c r="AT216" s="644">
        <f t="shared" si="548"/>
        <v>0</v>
      </c>
      <c r="AU216" s="645">
        <f t="shared" si="549"/>
        <v>0</v>
      </c>
      <c r="AV216" s="646">
        <f t="shared" si="550"/>
        <v>0</v>
      </c>
      <c r="AW216" s="647">
        <f t="shared" si="513"/>
        <v>46248.433226536588</v>
      </c>
      <c r="AY216" s="644">
        <f t="shared" si="551"/>
        <v>10044.404791108551</v>
      </c>
      <c r="AZ216" s="645">
        <f t="shared" si="482"/>
        <v>10114.313766578154</v>
      </c>
      <c r="BA216" s="644">
        <f t="shared" si="552"/>
        <v>69.90897546960332</v>
      </c>
      <c r="BB216" s="645">
        <f t="shared" si="553"/>
        <v>0</v>
      </c>
      <c r="BC216" s="646">
        <f t="shared" si="554"/>
        <v>0</v>
      </c>
      <c r="BD216" s="647">
        <f t="shared" si="555"/>
        <v>10114.313766578154</v>
      </c>
      <c r="BE216" s="644">
        <f t="shared" si="514"/>
        <v>0</v>
      </c>
      <c r="BF216" s="645">
        <f t="shared" si="515"/>
        <v>0</v>
      </c>
      <c r="BG216" s="646">
        <f t="shared" si="556"/>
        <v>0</v>
      </c>
      <c r="BH216" s="647">
        <f t="shared" si="516"/>
        <v>10114.313766578154</v>
      </c>
      <c r="BI216" s="644">
        <f t="shared" si="557"/>
        <v>0</v>
      </c>
      <c r="BJ216" s="645">
        <f t="shared" si="558"/>
        <v>0</v>
      </c>
      <c r="BK216" s="646">
        <f t="shared" si="559"/>
        <v>0</v>
      </c>
      <c r="BL216" s="647">
        <f t="shared" si="517"/>
        <v>10114.313766578154</v>
      </c>
      <c r="BM216" s="644">
        <f t="shared" si="560"/>
        <v>0</v>
      </c>
      <c r="BN216" s="645">
        <f t="shared" si="561"/>
        <v>0</v>
      </c>
      <c r="BO216" s="646">
        <f t="shared" si="562"/>
        <v>0</v>
      </c>
      <c r="BP216" s="647">
        <f t="shared" si="518"/>
        <v>10114.313766578154</v>
      </c>
      <c r="BQ216" s="644">
        <f t="shared" si="563"/>
        <v>0</v>
      </c>
      <c r="BR216" s="645">
        <f t="shared" si="564"/>
        <v>0</v>
      </c>
      <c r="BS216" s="646">
        <f t="shared" si="565"/>
        <v>0</v>
      </c>
      <c r="BT216" s="647">
        <f t="shared" si="519"/>
        <v>10114.313766578154</v>
      </c>
      <c r="BU216" s="662">
        <f>VLOOKUP(B216,'Afton Update'!$A$5:$AR$582,'Afton Update'!$AO$589,0)-BT216</f>
        <v>0</v>
      </c>
      <c r="BV216" s="644">
        <f t="shared" si="566"/>
        <v>22421.644230372658</v>
      </c>
      <c r="BW216" s="645">
        <f t="shared" si="483"/>
        <v>24521.595013692731</v>
      </c>
      <c r="BX216" s="644">
        <f t="shared" si="567"/>
        <v>2099.9507833200732</v>
      </c>
      <c r="BY216" s="645">
        <f t="shared" si="568"/>
        <v>0</v>
      </c>
      <c r="BZ216" s="646">
        <f t="shared" si="569"/>
        <v>0</v>
      </c>
      <c r="CA216" s="647">
        <f t="shared" si="570"/>
        <v>24521.595013692731</v>
      </c>
      <c r="CB216" s="644">
        <f t="shared" si="520"/>
        <v>0</v>
      </c>
      <c r="CC216" s="645">
        <f t="shared" si="521"/>
        <v>0</v>
      </c>
      <c r="CD216" s="646">
        <f t="shared" si="571"/>
        <v>0</v>
      </c>
      <c r="CE216" s="647">
        <f t="shared" si="522"/>
        <v>24521.595013692731</v>
      </c>
      <c r="CF216" s="644">
        <f t="shared" si="572"/>
        <v>0</v>
      </c>
      <c r="CG216" s="645">
        <f t="shared" si="573"/>
        <v>0</v>
      </c>
      <c r="CH216" s="646">
        <f t="shared" si="574"/>
        <v>0</v>
      </c>
      <c r="CI216" s="647">
        <f t="shared" si="523"/>
        <v>24521.595013692731</v>
      </c>
      <c r="CJ216" s="644">
        <f t="shared" si="575"/>
        <v>0</v>
      </c>
      <c r="CK216" s="645">
        <f t="shared" si="576"/>
        <v>0</v>
      </c>
      <c r="CL216" s="646">
        <f t="shared" si="577"/>
        <v>0</v>
      </c>
      <c r="CM216" s="647">
        <f t="shared" si="524"/>
        <v>24521.595013692731</v>
      </c>
      <c r="CN216" s="644">
        <f t="shared" si="578"/>
        <v>0</v>
      </c>
      <c r="CO216" s="645">
        <f t="shared" si="579"/>
        <v>0</v>
      </c>
      <c r="CP216" s="646">
        <f t="shared" si="580"/>
        <v>0</v>
      </c>
      <c r="CQ216" s="647">
        <f t="shared" si="525"/>
        <v>24521.595013692731</v>
      </c>
      <c r="CS216" s="644">
        <f t="shared" si="581"/>
        <v>20871.605482319119</v>
      </c>
      <c r="CT216" s="645">
        <f t="shared" si="484"/>
        <v>23626.388000046212</v>
      </c>
      <c r="CU216" s="644">
        <f t="shared" si="582"/>
        <v>2754.7825177270934</v>
      </c>
      <c r="CV216" s="645">
        <f t="shared" si="583"/>
        <v>0</v>
      </c>
      <c r="CW216" s="646">
        <f t="shared" si="584"/>
        <v>0</v>
      </c>
      <c r="CX216" s="647">
        <f t="shared" si="585"/>
        <v>23626.388000046212</v>
      </c>
      <c r="CY216" s="644">
        <f t="shared" si="526"/>
        <v>0</v>
      </c>
      <c r="CZ216" s="645">
        <f t="shared" si="527"/>
        <v>0</v>
      </c>
      <c r="DA216" s="646">
        <f t="shared" si="586"/>
        <v>0</v>
      </c>
      <c r="DB216" s="647">
        <f t="shared" si="528"/>
        <v>23626.388000046212</v>
      </c>
      <c r="DC216" s="644">
        <f t="shared" si="587"/>
        <v>0</v>
      </c>
      <c r="DD216" s="645">
        <f t="shared" si="588"/>
        <v>0</v>
      </c>
      <c r="DE216" s="646">
        <f t="shared" si="589"/>
        <v>0</v>
      </c>
      <c r="DF216" s="647">
        <f t="shared" si="529"/>
        <v>23626.388000046212</v>
      </c>
      <c r="DG216" s="644">
        <f t="shared" si="590"/>
        <v>0</v>
      </c>
      <c r="DH216" s="645">
        <f t="shared" si="591"/>
        <v>0</v>
      </c>
      <c r="DI216" s="646">
        <f t="shared" si="592"/>
        <v>0</v>
      </c>
      <c r="DJ216" s="647">
        <f t="shared" si="530"/>
        <v>23626.388000046212</v>
      </c>
      <c r="DK216" s="644">
        <f t="shared" si="593"/>
        <v>0</v>
      </c>
      <c r="DL216" s="645">
        <f t="shared" si="594"/>
        <v>0</v>
      </c>
      <c r="DM216" s="646">
        <f t="shared" si="595"/>
        <v>0</v>
      </c>
      <c r="DN216" s="647">
        <f t="shared" si="531"/>
        <v>23626.388000046212</v>
      </c>
      <c r="DR216" s="827">
        <f t="shared" si="485"/>
        <v>104510.73000685369</v>
      </c>
      <c r="DV216" s="828">
        <f>IFERROR(VLOOKUP($B216,'Afton FY16 Final'!$A$5:$BV$587,'Afton FY16 Final'!$BV$587,0),0)</f>
        <v>106117.77651470536</v>
      </c>
      <c r="DX216" s="636">
        <f t="shared" si="473"/>
        <v>0</v>
      </c>
      <c r="DY216" s="637">
        <f t="shared" si="474"/>
        <v>0</v>
      </c>
      <c r="DZ216" s="637">
        <f t="shared" si="475"/>
        <v>0</v>
      </c>
      <c r="EA216" s="643">
        <f t="shared" si="476"/>
        <v>0</v>
      </c>
      <c r="EB216" s="637">
        <f t="shared" si="486"/>
        <v>0</v>
      </c>
      <c r="EC216" s="637">
        <f t="shared" si="487"/>
        <v>0</v>
      </c>
      <c r="ED216" s="637">
        <f t="shared" si="488"/>
        <v>0</v>
      </c>
      <c r="EE216" s="643">
        <f t="shared" si="489"/>
        <v>0</v>
      </c>
      <c r="EF216" s="637">
        <f t="shared" si="490"/>
        <v>0</v>
      </c>
      <c r="EG216" s="637">
        <f t="shared" si="491"/>
        <v>0</v>
      </c>
      <c r="EH216" s="637">
        <f t="shared" si="492"/>
        <v>0</v>
      </c>
      <c r="EI216" s="643">
        <f t="shared" si="493"/>
        <v>0</v>
      </c>
      <c r="EJ216" s="637">
        <f t="shared" si="494"/>
        <v>0</v>
      </c>
      <c r="EK216" s="637">
        <f t="shared" si="495"/>
        <v>0</v>
      </c>
      <c r="EL216" s="637">
        <f t="shared" si="496"/>
        <v>0</v>
      </c>
      <c r="EM216" s="643">
        <f t="shared" si="497"/>
        <v>0</v>
      </c>
      <c r="EN216" s="637">
        <f t="shared" si="498"/>
        <v>0</v>
      </c>
      <c r="EO216" s="637">
        <f t="shared" si="499"/>
        <v>0</v>
      </c>
      <c r="EP216" s="637">
        <f t="shared" si="500"/>
        <v>0</v>
      </c>
      <c r="EQ216" s="643">
        <f t="shared" si="501"/>
        <v>0</v>
      </c>
      <c r="ER216" s="637">
        <f t="shared" si="502"/>
        <v>0</v>
      </c>
      <c r="ES216" s="637">
        <f t="shared" si="503"/>
        <v>0</v>
      </c>
      <c r="ET216" s="637">
        <f t="shared" si="504"/>
        <v>0</v>
      </c>
      <c r="EU216" s="643">
        <f t="shared" si="477"/>
        <v>0</v>
      </c>
      <c r="EV216" s="643">
        <f t="shared" si="478"/>
        <v>0</v>
      </c>
      <c r="EX216" s="829">
        <f t="shared" si="479"/>
        <v>0</v>
      </c>
      <c r="EY216" s="638">
        <f t="shared" si="480"/>
        <v>104510.73000685369</v>
      </c>
      <c r="FC216" s="830" t="str">
        <f t="shared" si="505"/>
        <v>Y</v>
      </c>
      <c r="FE216" s="830" t="str">
        <f>IFERROR(VLOOKUP($B216,'Historical Conc Grant Elig'!$B$3:$J$707,'HH &amp; SI'!FE$2,0),"N")</f>
        <v>N</v>
      </c>
      <c r="FF216" s="830" t="str">
        <f>IFERROR(VLOOKUP($B216,'Historical Conc Grant Elig'!$B$3:$J$707,'HH &amp; SI'!FF$2,0),"N")</f>
        <v>N</v>
      </c>
      <c r="FG216" s="830" t="str">
        <f>IFERROR(VLOOKUP($B216,'Historical Conc Grant Elig'!$B$3:$J$707,'HH &amp; SI'!FG$2,0),"N")</f>
        <v>N</v>
      </c>
      <c r="FH216" s="830" t="str">
        <f>IFERROR(VLOOKUP($B216,'Historical Conc Grant Elig'!$B$3:$J$707,'HH &amp; SI'!FH$2,0),"N")</f>
        <v>Y</v>
      </c>
      <c r="FI216" s="830" t="str">
        <f>IFERROR(VLOOKUP($B216,'Historical Conc Grant Elig'!$B$3:$J$707,'HH &amp; SI'!FI$2,0),"N")</f>
        <v>Y</v>
      </c>
      <c r="FJ216" s="830" t="str">
        <f>IFERROR(VLOOKUP($B216,'Historical Conc Grant Elig'!$B$3:$J$707,'HH &amp; SI'!FJ$2,0),"N")</f>
        <v>Y</v>
      </c>
      <c r="FK216" s="830" t="str">
        <f>IFERROR(VLOOKUP($B216,'Historical Conc Grant Elig'!$B$3:$J$707,'HH &amp; SI'!FK$2,0),"N")</f>
        <v>Y</v>
      </c>
      <c r="FL216" s="957" t="str">
        <f>IFERROR(VLOOKUP($B216,'Historical Conc Grant Elig'!$B$3:$J$707,'HH &amp; SI'!FL$2,0),"N")</f>
        <v>Y</v>
      </c>
    </row>
    <row r="217" spans="2:168" x14ac:dyDescent="0.25">
      <c r="B217" s="634">
        <v>78580000</v>
      </c>
      <c r="C217" s="635" t="str">
        <f>VLOOKUP($B217,'Afton Update'!$A$5:$CR$582,'Afton Update'!D$589,0)</f>
        <v>Kaizen Education Foundation dba Havasu Preparatory Academy</v>
      </c>
      <c r="D217" s="636">
        <f>IFERROR(VLOOKUP($B217,'Afton FY16 Final'!$A$5:$BV$587,'Afton FY16 Final'!AQ$587,0),0)</f>
        <v>36528.687494921156</v>
      </c>
      <c r="E217" s="637">
        <f>IFERROR(VLOOKUP($B217,'Afton FY16 Final'!$A$5:$BV$587,'Afton FY16 Final'!AR$587,0),0)</f>
        <v>9325.995714576713</v>
      </c>
      <c r="F217" s="637">
        <f>IFERROR(VLOOKUP($B217,'Afton FY16 Final'!$A$5:$BV$587,'Afton FY16 Final'!AS$587,0),0)</f>
        <v>19824.547789492532</v>
      </c>
      <c r="G217" s="637">
        <f>IFERROR(VLOOKUP($B217,'Afton FY16 Final'!$A$5:$BV$587,'Afton FY16 Final'!AT$587,0),0)</f>
        <v>18289.222982413041</v>
      </c>
      <c r="H217" s="638">
        <f>IFERROR(VLOOKUP($B217,'Afton FY16 Final'!$A$5:$BV$587,'Afton FY16 Final'!AU$587,0),0)</f>
        <v>83968.453981403436</v>
      </c>
      <c r="I217" s="639" t="str">
        <f>VLOOKUP($B217,'Afton Update'!$A$5:$CR$582,'Afton Update'!BT$589,0)</f>
        <v>Y</v>
      </c>
      <c r="J217" s="640" t="str">
        <f>VLOOKUP($B217,'Afton Update'!$A$5:$CR$582,'Afton Update'!BU$589,0)</f>
        <v>Y</v>
      </c>
      <c r="K217" s="640" t="str">
        <f>VLOOKUP($B217,'Afton Update'!$A$5:$CR$582,'Afton Update'!BV$589,0)</f>
        <v>Y</v>
      </c>
      <c r="L217" s="641" t="str">
        <f>VLOOKUP($B217,'Afton Update'!$A$5:$CR$582,'Afton Update'!BW$589,0)</f>
        <v>Y</v>
      </c>
      <c r="N217" s="642">
        <f>VLOOKUP($B217,'Afton Update'!$A$5:$CR$582,'Afton Update'!CB$589,0)</f>
        <v>0.95</v>
      </c>
      <c r="P217" s="636">
        <f>VLOOKUP($B217,'Afton Update'!$A$5:$CR$582,'Afton Update'!AH$589,0)</f>
        <v>44007.213195654425</v>
      </c>
      <c r="Q217" s="637">
        <f>VLOOKUP($B217,'Afton Update'!$A$5:$CR$582,'Afton Update'!AI$589,0)</f>
        <v>11231.442302350228</v>
      </c>
      <c r="R217" s="637">
        <f>VLOOKUP($B217,'Afton Update'!$A$5:$CR$582,'Afton Update'!AJ$589,0)</f>
        <v>25781.089768145517</v>
      </c>
      <c r="S217" s="637">
        <f>VLOOKUP($B217,'Afton Update'!$A$5:$CR$582,'Afton Update'!AK$589,0)</f>
        <v>23998.807982872178</v>
      </c>
      <c r="T217" s="643">
        <f t="shared" si="506"/>
        <v>105018.55324902234</v>
      </c>
      <c r="V217" s="636">
        <f t="shared" si="532"/>
        <v>43406.92624418268</v>
      </c>
      <c r="W217" s="637">
        <f t="shared" si="533"/>
        <v>10861.519656133778</v>
      </c>
      <c r="X217" s="637">
        <f t="shared" si="534"/>
        <v>25546.620822550143</v>
      </c>
      <c r="Y217" s="637">
        <f t="shared" si="535"/>
        <v>23734.38431896202</v>
      </c>
      <c r="Z217" s="643">
        <f t="shared" si="536"/>
        <v>103549.45104182862</v>
      </c>
      <c r="AB217" s="644">
        <f t="shared" si="507"/>
        <v>44007.213195654425</v>
      </c>
      <c r="AC217" s="645">
        <f t="shared" si="481"/>
        <v>34702.253120175097</v>
      </c>
      <c r="AD217" s="644">
        <f t="shared" si="537"/>
        <v>0</v>
      </c>
      <c r="AE217" s="645">
        <f t="shared" si="538"/>
        <v>44007.213195654425</v>
      </c>
      <c r="AF217" s="646">
        <f t="shared" si="539"/>
        <v>-545.50247810053156</v>
      </c>
      <c r="AG217" s="647">
        <f t="shared" si="540"/>
        <v>43461.710717553891</v>
      </c>
      <c r="AH217" s="644">
        <f t="shared" si="508"/>
        <v>0</v>
      </c>
      <c r="AI217" s="645">
        <f t="shared" si="509"/>
        <v>43461.710717553891</v>
      </c>
      <c r="AJ217" s="646">
        <f t="shared" si="541"/>
        <v>-54.749570351497653</v>
      </c>
      <c r="AK217" s="647">
        <f t="shared" si="510"/>
        <v>43406.961147202397</v>
      </c>
      <c r="AL217" s="644">
        <f t="shared" si="542"/>
        <v>0</v>
      </c>
      <c r="AM217" s="645">
        <f t="shared" si="543"/>
        <v>43406.961147202397</v>
      </c>
      <c r="AN217" s="646">
        <f t="shared" si="544"/>
        <v>-3.4903019718284974E-2</v>
      </c>
      <c r="AO217" s="647">
        <f t="shared" si="511"/>
        <v>43406.92624418268</v>
      </c>
      <c r="AP217" s="644">
        <f t="shared" si="545"/>
        <v>0</v>
      </c>
      <c r="AQ217" s="645">
        <f t="shared" si="546"/>
        <v>43406.92624418268</v>
      </c>
      <c r="AR217" s="646">
        <f t="shared" si="547"/>
        <v>0</v>
      </c>
      <c r="AS217" s="647">
        <f t="shared" si="512"/>
        <v>43406.92624418268</v>
      </c>
      <c r="AT217" s="644">
        <f t="shared" si="548"/>
        <v>0</v>
      </c>
      <c r="AU217" s="645">
        <f t="shared" si="549"/>
        <v>43406.92624418268</v>
      </c>
      <c r="AV217" s="646">
        <f t="shared" si="550"/>
        <v>0</v>
      </c>
      <c r="AW217" s="647">
        <f t="shared" si="513"/>
        <v>43406.92624418268</v>
      </c>
      <c r="AY217" s="644">
        <f t="shared" si="551"/>
        <v>11231.442302350228</v>
      </c>
      <c r="AZ217" s="645">
        <f t="shared" si="482"/>
        <v>8859.6959288478774</v>
      </c>
      <c r="BA217" s="644">
        <f t="shared" si="552"/>
        <v>0</v>
      </c>
      <c r="BB217" s="645">
        <f t="shared" si="553"/>
        <v>11231.442302350228</v>
      </c>
      <c r="BC217" s="646">
        <f t="shared" si="554"/>
        <v>-80.768574780420408</v>
      </c>
      <c r="BD217" s="647">
        <f t="shared" si="555"/>
        <v>11150.673727569807</v>
      </c>
      <c r="BE217" s="644">
        <f t="shared" si="514"/>
        <v>0</v>
      </c>
      <c r="BF217" s="645">
        <f t="shared" si="515"/>
        <v>11150.673727569807</v>
      </c>
      <c r="BG217" s="646">
        <f t="shared" si="556"/>
        <v>-265.59996104720784</v>
      </c>
      <c r="BH217" s="647">
        <f t="shared" si="516"/>
        <v>10885.073766522599</v>
      </c>
      <c r="BI217" s="644">
        <f t="shared" si="557"/>
        <v>0</v>
      </c>
      <c r="BJ217" s="645">
        <f t="shared" si="558"/>
        <v>10885.073766522599</v>
      </c>
      <c r="BK217" s="646">
        <f t="shared" si="559"/>
        <v>-23.057142836639482</v>
      </c>
      <c r="BL217" s="647">
        <f t="shared" si="517"/>
        <v>10862.016623685959</v>
      </c>
      <c r="BM217" s="644">
        <f t="shared" si="560"/>
        <v>0</v>
      </c>
      <c r="BN217" s="645">
        <f t="shared" si="561"/>
        <v>10862.016623685959</v>
      </c>
      <c r="BO217" s="646">
        <f t="shared" si="562"/>
        <v>-0.49696755218028882</v>
      </c>
      <c r="BP217" s="647">
        <f t="shared" si="518"/>
        <v>10861.519656133778</v>
      </c>
      <c r="BQ217" s="644">
        <f t="shared" si="563"/>
        <v>0</v>
      </c>
      <c r="BR217" s="645">
        <f t="shared" si="564"/>
        <v>10861.519656133778</v>
      </c>
      <c r="BS217" s="646">
        <f t="shared" si="565"/>
        <v>0</v>
      </c>
      <c r="BT217" s="647">
        <f t="shared" si="519"/>
        <v>10861.519656133778</v>
      </c>
      <c r="BU217" s="662">
        <f>VLOOKUP(B217,'Afton Update'!$A$5:$AR$582,'Afton Update'!$AO$589,0)-BT217</f>
        <v>0</v>
      </c>
      <c r="BV217" s="644">
        <f t="shared" si="566"/>
        <v>25781.089768145517</v>
      </c>
      <c r="BW217" s="645">
        <f t="shared" si="483"/>
        <v>18833.320400017903</v>
      </c>
      <c r="BX217" s="644">
        <f t="shared" si="567"/>
        <v>0</v>
      </c>
      <c r="BY217" s="645">
        <f t="shared" si="568"/>
        <v>25781.089768145517</v>
      </c>
      <c r="BZ217" s="646">
        <f t="shared" si="569"/>
        <v>-226.28336590985595</v>
      </c>
      <c r="CA217" s="647">
        <f t="shared" si="570"/>
        <v>25554.806402235663</v>
      </c>
      <c r="CB217" s="644">
        <f t="shared" si="520"/>
        <v>0</v>
      </c>
      <c r="CC217" s="645">
        <f t="shared" si="521"/>
        <v>25554.806402235663</v>
      </c>
      <c r="CD217" s="646">
        <f t="shared" si="571"/>
        <v>-8.1855796855212208</v>
      </c>
      <c r="CE217" s="647">
        <f t="shared" si="522"/>
        <v>25546.620822550143</v>
      </c>
      <c r="CF217" s="644">
        <f t="shared" si="572"/>
        <v>0</v>
      </c>
      <c r="CG217" s="645">
        <f t="shared" si="573"/>
        <v>25546.620822550143</v>
      </c>
      <c r="CH217" s="646">
        <f t="shared" si="574"/>
        <v>0</v>
      </c>
      <c r="CI217" s="647">
        <f t="shared" si="523"/>
        <v>25546.620822550143</v>
      </c>
      <c r="CJ217" s="644">
        <f t="shared" si="575"/>
        <v>0</v>
      </c>
      <c r="CK217" s="645">
        <f t="shared" si="576"/>
        <v>25546.620822550143</v>
      </c>
      <c r="CL217" s="646">
        <f t="shared" si="577"/>
        <v>0</v>
      </c>
      <c r="CM217" s="647">
        <f t="shared" si="524"/>
        <v>25546.620822550143</v>
      </c>
      <c r="CN217" s="644">
        <f t="shared" si="578"/>
        <v>0</v>
      </c>
      <c r="CO217" s="645">
        <f t="shared" si="579"/>
        <v>25546.620822550143</v>
      </c>
      <c r="CP217" s="646">
        <f t="shared" si="580"/>
        <v>0</v>
      </c>
      <c r="CQ217" s="647">
        <f t="shared" si="525"/>
        <v>25546.620822550143</v>
      </c>
      <c r="CS217" s="644">
        <f t="shared" si="581"/>
        <v>23998.807982872178</v>
      </c>
      <c r="CT217" s="645">
        <f t="shared" si="484"/>
        <v>17374.761833292388</v>
      </c>
      <c r="CU217" s="644">
        <f t="shared" si="582"/>
        <v>0</v>
      </c>
      <c r="CV217" s="645">
        <f t="shared" si="583"/>
        <v>23998.807982872178</v>
      </c>
      <c r="CW217" s="646">
        <f t="shared" si="584"/>
        <v>-245.76135599839279</v>
      </c>
      <c r="CX217" s="647">
        <f t="shared" si="585"/>
        <v>23753.046626873787</v>
      </c>
      <c r="CY217" s="644">
        <f t="shared" si="526"/>
        <v>0</v>
      </c>
      <c r="CZ217" s="645">
        <f t="shared" si="527"/>
        <v>23753.046626873787</v>
      </c>
      <c r="DA217" s="646">
        <f t="shared" si="586"/>
        <v>-18.646227862668564</v>
      </c>
      <c r="DB217" s="647">
        <f t="shared" si="528"/>
        <v>23734.40039901112</v>
      </c>
      <c r="DC217" s="644">
        <f t="shared" si="587"/>
        <v>0</v>
      </c>
      <c r="DD217" s="645">
        <f t="shared" si="588"/>
        <v>23734.40039901112</v>
      </c>
      <c r="DE217" s="646">
        <f t="shared" si="589"/>
        <v>-1.6080049099668127E-2</v>
      </c>
      <c r="DF217" s="647">
        <f t="shared" si="529"/>
        <v>23734.38431896202</v>
      </c>
      <c r="DG217" s="644">
        <f t="shared" si="590"/>
        <v>0</v>
      </c>
      <c r="DH217" s="645">
        <f t="shared" si="591"/>
        <v>23734.38431896202</v>
      </c>
      <c r="DI217" s="646">
        <f t="shared" si="592"/>
        <v>0</v>
      </c>
      <c r="DJ217" s="647">
        <f t="shared" si="530"/>
        <v>23734.38431896202</v>
      </c>
      <c r="DK217" s="644">
        <f t="shared" si="593"/>
        <v>0</v>
      </c>
      <c r="DL217" s="645">
        <f t="shared" si="594"/>
        <v>23734.38431896202</v>
      </c>
      <c r="DM217" s="646">
        <f t="shared" si="595"/>
        <v>0</v>
      </c>
      <c r="DN217" s="647">
        <f t="shared" si="531"/>
        <v>23734.38431896202</v>
      </c>
      <c r="DR217" s="827">
        <f t="shared" si="485"/>
        <v>103549.45104182862</v>
      </c>
      <c r="DV217" s="828">
        <f>IFERROR(VLOOKUP($B217,'Afton FY16 Final'!$A$5:$BV$587,'Afton FY16 Final'!$BV$587,0),0)</f>
        <v>82315.115136415523</v>
      </c>
      <c r="DX217" s="636">
        <f t="shared" si="473"/>
        <v>103549.45104182862</v>
      </c>
      <c r="DY217" s="637">
        <f t="shared" si="474"/>
        <v>21234.3359054131</v>
      </c>
      <c r="DZ217" s="637">
        <f t="shared" si="475"/>
        <v>82315.115136415523</v>
      </c>
      <c r="EA217" s="643">
        <f t="shared" si="476"/>
        <v>98041.780766619675</v>
      </c>
      <c r="EB217" s="637">
        <f t="shared" si="486"/>
        <v>0</v>
      </c>
      <c r="EC217" s="637">
        <f t="shared" si="487"/>
        <v>98041.780766619675</v>
      </c>
      <c r="ED217" s="637">
        <f t="shared" si="488"/>
        <v>97749.426030225412</v>
      </c>
      <c r="EE217" s="643">
        <f t="shared" si="489"/>
        <v>97749.426030225412</v>
      </c>
      <c r="EF217" s="637">
        <f t="shared" si="490"/>
        <v>0</v>
      </c>
      <c r="EG217" s="637">
        <f t="shared" si="491"/>
        <v>97749.426030225412</v>
      </c>
      <c r="EH217" s="637">
        <f t="shared" si="492"/>
        <v>97749.32518595802</v>
      </c>
      <c r="EI217" s="643">
        <f t="shared" si="493"/>
        <v>97749.32518595802</v>
      </c>
      <c r="EJ217" s="637">
        <f t="shared" si="494"/>
        <v>0</v>
      </c>
      <c r="EK217" s="637">
        <f t="shared" si="495"/>
        <v>97749.32518595802</v>
      </c>
      <c r="EL217" s="637">
        <f t="shared" si="496"/>
        <v>97749.325185957874</v>
      </c>
      <c r="EM217" s="643">
        <f t="shared" si="497"/>
        <v>97749.325185957874</v>
      </c>
      <c r="EN217" s="637">
        <f t="shared" si="498"/>
        <v>0</v>
      </c>
      <c r="EO217" s="637">
        <f t="shared" si="499"/>
        <v>97749.325185957874</v>
      </c>
      <c r="EP217" s="637">
        <f t="shared" si="500"/>
        <v>97749.32518595802</v>
      </c>
      <c r="EQ217" s="643">
        <f t="shared" si="501"/>
        <v>97749.32518595802</v>
      </c>
      <c r="ER217" s="637">
        <f t="shared" si="502"/>
        <v>0</v>
      </c>
      <c r="ES217" s="637">
        <f t="shared" si="503"/>
        <v>97749.32518595802</v>
      </c>
      <c r="ET217" s="637">
        <f t="shared" si="504"/>
        <v>97749.32518595786</v>
      </c>
      <c r="EU217" s="643">
        <f t="shared" si="477"/>
        <v>97749.32518595786</v>
      </c>
      <c r="EV217" s="643">
        <f t="shared" si="478"/>
        <v>0</v>
      </c>
      <c r="EX217" s="829">
        <f t="shared" si="479"/>
        <v>5800.1258558707632</v>
      </c>
      <c r="EY217" s="638">
        <f t="shared" si="480"/>
        <v>97749.32518595786</v>
      </c>
      <c r="FC217" s="830" t="str">
        <f t="shared" si="505"/>
        <v>Y</v>
      </c>
      <c r="FE217" s="830" t="str">
        <f>IFERROR(VLOOKUP($B217,'Historical Conc Grant Elig'!$B$3:$J$707,'HH &amp; SI'!FE$2,0),"N")</f>
        <v>N</v>
      </c>
      <c r="FF217" s="830" t="str">
        <f>IFERROR(VLOOKUP($B217,'Historical Conc Grant Elig'!$B$3:$J$707,'HH &amp; SI'!FF$2,0),"N")</f>
        <v>N</v>
      </c>
      <c r="FG217" s="830" t="str">
        <f>IFERROR(VLOOKUP($B217,'Historical Conc Grant Elig'!$B$3:$J$707,'HH &amp; SI'!FG$2,0),"N")</f>
        <v>N</v>
      </c>
      <c r="FH217" s="830" t="str">
        <f>IFERROR(VLOOKUP($B217,'Historical Conc Grant Elig'!$B$3:$J$707,'HH &amp; SI'!FH$2,0),"N")</f>
        <v>Y</v>
      </c>
      <c r="FI217" s="830" t="str">
        <f>IFERROR(VLOOKUP($B217,'Historical Conc Grant Elig'!$B$3:$J$707,'HH &amp; SI'!FI$2,0),"N")</f>
        <v>Y</v>
      </c>
      <c r="FJ217" s="830" t="str">
        <f>IFERROR(VLOOKUP($B217,'Historical Conc Grant Elig'!$B$3:$J$707,'HH &amp; SI'!FJ$2,0),"N")</f>
        <v>Y</v>
      </c>
      <c r="FK217" s="830" t="str">
        <f>IFERROR(VLOOKUP($B217,'Historical Conc Grant Elig'!$B$3:$J$707,'HH &amp; SI'!FK$2,0),"N")</f>
        <v>Y</v>
      </c>
      <c r="FL217" s="957" t="str">
        <f>IFERROR(VLOOKUP($B217,'Historical Conc Grant Elig'!$B$3:$J$707,'HH &amp; SI'!FL$2,0),"N")</f>
        <v>Y</v>
      </c>
    </row>
    <row r="218" spans="2:168" x14ac:dyDescent="0.25">
      <c r="B218" s="634">
        <v>78585000</v>
      </c>
      <c r="C218" s="635" t="str">
        <f>VLOOKUP($B218,'Afton Update'!$A$5:$CR$582,'Afton Update'!D$589,0)</f>
        <v>George Gervin Youth Center, Inc.</v>
      </c>
      <c r="D218" s="636">
        <f>IFERROR(VLOOKUP($B218,'Afton FY16 Final'!$A$5:$BV$587,'Afton FY16 Final'!AQ$587,0),0)</f>
        <v>54551.21239204803</v>
      </c>
      <c r="E218" s="637">
        <f>IFERROR(VLOOKUP($B218,'Afton FY16 Final'!$A$5:$BV$587,'Afton FY16 Final'!AR$587,0),0)</f>
        <v>12984.906818638547</v>
      </c>
      <c r="F218" s="637">
        <f>IFERROR(VLOOKUP($B218,'Afton FY16 Final'!$A$5:$BV$587,'Afton FY16 Final'!AS$587,0),0)</f>
        <v>29605.583753625866</v>
      </c>
      <c r="G218" s="637">
        <f>IFERROR(VLOOKUP($B218,'Afton FY16 Final'!$A$5:$BV$587,'Afton FY16 Final'!AT$587,0),0)</f>
        <v>24858.575897365004</v>
      </c>
      <c r="H218" s="638">
        <f>IFERROR(VLOOKUP($B218,'Afton FY16 Final'!$A$5:$BV$587,'Afton FY16 Final'!AU$587,0),0)</f>
        <v>122000.27886167745</v>
      </c>
      <c r="I218" s="639" t="str">
        <f>VLOOKUP($B218,'Afton Update'!$A$5:$CR$582,'Afton Update'!BT$589,0)</f>
        <v>Y</v>
      </c>
      <c r="J218" s="640" t="str">
        <f>VLOOKUP($B218,'Afton Update'!$A$5:$CR$582,'Afton Update'!BU$589,0)</f>
        <v>Y</v>
      </c>
      <c r="K218" s="640" t="str">
        <f>VLOOKUP($B218,'Afton Update'!$A$5:$CR$582,'Afton Update'!BV$589,0)</f>
        <v>Y</v>
      </c>
      <c r="L218" s="641" t="str">
        <f>VLOOKUP($B218,'Afton Update'!$A$5:$CR$582,'Afton Update'!BW$589,0)</f>
        <v>Y</v>
      </c>
      <c r="N218" s="642">
        <f>VLOOKUP($B218,'Afton Update'!$A$5:$CR$582,'Afton Update'!CB$589,0)</f>
        <v>0.95</v>
      </c>
      <c r="P218" s="636">
        <f>VLOOKUP($B218,'Afton Update'!$A$5:$CR$582,'Afton Update'!AH$589,0)</f>
        <v>64575.801971884212</v>
      </c>
      <c r="Q218" s="637">
        <f>VLOOKUP($B218,'Afton Update'!$A$5:$CR$582,'Afton Update'!AI$589,0)</f>
        <v>15484.993384299567</v>
      </c>
      <c r="R218" s="637">
        <f>VLOOKUP($B218,'Afton Update'!$A$5:$CR$582,'Afton Update'!AJ$589,0)</f>
        <v>37819.102945164937</v>
      </c>
      <c r="S218" s="637">
        <f>VLOOKUP($B218,'Afton Update'!$A$5:$CR$582,'Afton Update'!AK$589,0)</f>
        <v>35204.616943187306</v>
      </c>
      <c r="T218" s="643">
        <f t="shared" si="506"/>
        <v>153084.51524453601</v>
      </c>
      <c r="V218" s="636">
        <f t="shared" si="532"/>
        <v>63694.946119181113</v>
      </c>
      <c r="W218" s="637">
        <f t="shared" si="533"/>
        <v>14974.974316831658</v>
      </c>
      <c r="X218" s="637">
        <f t="shared" si="534"/>
        <v>37475.152969789102</v>
      </c>
      <c r="Y218" s="637">
        <f t="shared" si="535"/>
        <v>34816.725436020984</v>
      </c>
      <c r="Z218" s="643">
        <f t="shared" si="536"/>
        <v>150961.79884182286</v>
      </c>
      <c r="AB218" s="644">
        <f t="shared" si="507"/>
        <v>64575.801971884212</v>
      </c>
      <c r="AC218" s="645">
        <f t="shared" si="481"/>
        <v>51823.651772445628</v>
      </c>
      <c r="AD218" s="644">
        <f t="shared" si="537"/>
        <v>0</v>
      </c>
      <c r="AE218" s="645">
        <f t="shared" si="538"/>
        <v>64575.801971884212</v>
      </c>
      <c r="AF218" s="646">
        <f t="shared" si="539"/>
        <v>-800.46559286491049</v>
      </c>
      <c r="AG218" s="647">
        <f t="shared" si="540"/>
        <v>63775.336379019303</v>
      </c>
      <c r="AH218" s="644">
        <f t="shared" si="508"/>
        <v>0</v>
      </c>
      <c r="AI218" s="645">
        <f t="shared" si="509"/>
        <v>63775.336379019303</v>
      </c>
      <c r="AJ218" s="646">
        <f t="shared" si="541"/>
        <v>-80.339043450567203</v>
      </c>
      <c r="AK218" s="647">
        <f t="shared" si="510"/>
        <v>63694.99733556874</v>
      </c>
      <c r="AL218" s="644">
        <f t="shared" si="542"/>
        <v>0</v>
      </c>
      <c r="AM218" s="645">
        <f t="shared" si="543"/>
        <v>63694.99733556874</v>
      </c>
      <c r="AN218" s="646">
        <f t="shared" si="544"/>
        <v>-5.1216387630092078E-2</v>
      </c>
      <c r="AO218" s="647">
        <f t="shared" si="511"/>
        <v>63694.946119181113</v>
      </c>
      <c r="AP218" s="644">
        <f t="shared" si="545"/>
        <v>0</v>
      </c>
      <c r="AQ218" s="645">
        <f t="shared" si="546"/>
        <v>63694.946119181113</v>
      </c>
      <c r="AR218" s="646">
        <f t="shared" si="547"/>
        <v>0</v>
      </c>
      <c r="AS218" s="647">
        <f t="shared" si="512"/>
        <v>63694.946119181113</v>
      </c>
      <c r="AT218" s="644">
        <f t="shared" si="548"/>
        <v>0</v>
      </c>
      <c r="AU218" s="645">
        <f t="shared" si="549"/>
        <v>63694.946119181113</v>
      </c>
      <c r="AV218" s="646">
        <f t="shared" si="550"/>
        <v>0</v>
      </c>
      <c r="AW218" s="647">
        <f t="shared" si="513"/>
        <v>63694.946119181113</v>
      </c>
      <c r="AY218" s="644">
        <f t="shared" si="551"/>
        <v>15484.993384299567</v>
      </c>
      <c r="AZ218" s="645">
        <f t="shared" si="482"/>
        <v>12335.661477706619</v>
      </c>
      <c r="BA218" s="644">
        <f t="shared" si="552"/>
        <v>0</v>
      </c>
      <c r="BB218" s="645">
        <f t="shared" si="553"/>
        <v>15484.993384299567</v>
      </c>
      <c r="BC218" s="646">
        <f t="shared" si="554"/>
        <v>-111.35710022499961</v>
      </c>
      <c r="BD218" s="647">
        <f t="shared" si="555"/>
        <v>15373.636284074568</v>
      </c>
      <c r="BE218" s="644">
        <f t="shared" si="514"/>
        <v>0</v>
      </c>
      <c r="BF218" s="645">
        <f t="shared" si="515"/>
        <v>15373.636284074568</v>
      </c>
      <c r="BG218" s="646">
        <f t="shared" si="556"/>
        <v>-366.18748767694888</v>
      </c>
      <c r="BH218" s="647">
        <f t="shared" si="516"/>
        <v>15007.448796397619</v>
      </c>
      <c r="BI218" s="644">
        <f t="shared" si="557"/>
        <v>0</v>
      </c>
      <c r="BJ218" s="645">
        <f t="shared" si="558"/>
        <v>15007.448796397619</v>
      </c>
      <c r="BK218" s="646">
        <f t="shared" si="559"/>
        <v>-31.789301380420259</v>
      </c>
      <c r="BL218" s="647">
        <f t="shared" si="517"/>
        <v>14975.659495017198</v>
      </c>
      <c r="BM218" s="644">
        <f t="shared" si="560"/>
        <v>0</v>
      </c>
      <c r="BN218" s="645">
        <f t="shared" si="561"/>
        <v>14975.659495017198</v>
      </c>
      <c r="BO218" s="646">
        <f t="shared" si="562"/>
        <v>-0.68517818554015975</v>
      </c>
      <c r="BP218" s="647">
        <f t="shared" si="518"/>
        <v>14974.974316831658</v>
      </c>
      <c r="BQ218" s="644">
        <f t="shared" si="563"/>
        <v>0</v>
      </c>
      <c r="BR218" s="645">
        <f t="shared" si="564"/>
        <v>14974.974316831658</v>
      </c>
      <c r="BS218" s="646">
        <f t="shared" si="565"/>
        <v>0</v>
      </c>
      <c r="BT218" s="647">
        <f t="shared" si="519"/>
        <v>14974.974316831658</v>
      </c>
      <c r="BU218" s="662">
        <f>VLOOKUP(B218,'Afton Update'!$A$5:$AR$582,'Afton Update'!$AO$589,0)-BT218</f>
        <v>0</v>
      </c>
      <c r="BV218" s="644">
        <f t="shared" si="566"/>
        <v>37819.102945164937</v>
      </c>
      <c r="BW218" s="645">
        <f t="shared" si="483"/>
        <v>28125.304565944571</v>
      </c>
      <c r="BX218" s="644">
        <f t="shared" si="567"/>
        <v>0</v>
      </c>
      <c r="BY218" s="645">
        <f t="shared" si="568"/>
        <v>37819.102945164937</v>
      </c>
      <c r="BZ218" s="646">
        <f t="shared" si="569"/>
        <v>-331.94228743181827</v>
      </c>
      <c r="CA218" s="647">
        <f t="shared" si="570"/>
        <v>37487.160657733119</v>
      </c>
      <c r="CB218" s="644">
        <f t="shared" si="520"/>
        <v>0</v>
      </c>
      <c r="CC218" s="645">
        <f t="shared" si="521"/>
        <v>37487.160657733119</v>
      </c>
      <c r="CD218" s="646">
        <f t="shared" si="571"/>
        <v>-12.007687944016881</v>
      </c>
      <c r="CE218" s="647">
        <f t="shared" si="522"/>
        <v>37475.152969789102</v>
      </c>
      <c r="CF218" s="644">
        <f t="shared" si="572"/>
        <v>0</v>
      </c>
      <c r="CG218" s="645">
        <f t="shared" si="573"/>
        <v>37475.152969789102</v>
      </c>
      <c r="CH218" s="646">
        <f t="shared" si="574"/>
        <v>0</v>
      </c>
      <c r="CI218" s="647">
        <f t="shared" si="523"/>
        <v>37475.152969789102</v>
      </c>
      <c r="CJ218" s="644">
        <f t="shared" si="575"/>
        <v>0</v>
      </c>
      <c r="CK218" s="645">
        <f t="shared" si="576"/>
        <v>37475.152969789102</v>
      </c>
      <c r="CL218" s="646">
        <f t="shared" si="577"/>
        <v>0</v>
      </c>
      <c r="CM218" s="647">
        <f t="shared" si="524"/>
        <v>37475.152969789102</v>
      </c>
      <c r="CN218" s="644">
        <f t="shared" si="578"/>
        <v>0</v>
      </c>
      <c r="CO218" s="645">
        <f t="shared" si="579"/>
        <v>37475.152969789102</v>
      </c>
      <c r="CP218" s="646">
        <f t="shared" si="580"/>
        <v>0</v>
      </c>
      <c r="CQ218" s="647">
        <f t="shared" si="525"/>
        <v>37475.152969789102</v>
      </c>
      <c r="CS218" s="644">
        <f t="shared" si="581"/>
        <v>35204.616943187306</v>
      </c>
      <c r="CT218" s="645">
        <f t="shared" si="484"/>
        <v>23615.647102496754</v>
      </c>
      <c r="CU218" s="644">
        <f t="shared" si="582"/>
        <v>0</v>
      </c>
      <c r="CV218" s="645">
        <f t="shared" si="583"/>
        <v>35204.616943187306</v>
      </c>
      <c r="CW218" s="646">
        <f t="shared" si="584"/>
        <v>-360.51517240091863</v>
      </c>
      <c r="CX218" s="647">
        <f t="shared" si="585"/>
        <v>34844.101770786387</v>
      </c>
      <c r="CY218" s="644">
        <f t="shared" si="526"/>
        <v>0</v>
      </c>
      <c r="CZ218" s="645">
        <f t="shared" si="527"/>
        <v>34844.101770786387</v>
      </c>
      <c r="DA218" s="646">
        <f t="shared" si="586"/>
        <v>-27.352746428452853</v>
      </c>
      <c r="DB218" s="647">
        <f t="shared" si="528"/>
        <v>34816.74902435793</v>
      </c>
      <c r="DC218" s="644">
        <f t="shared" si="587"/>
        <v>0</v>
      </c>
      <c r="DD218" s="645">
        <f t="shared" si="588"/>
        <v>34816.74902435793</v>
      </c>
      <c r="DE218" s="646">
        <f t="shared" si="589"/>
        <v>-2.3588336945129816E-2</v>
      </c>
      <c r="DF218" s="647">
        <f t="shared" si="529"/>
        <v>34816.725436020984</v>
      </c>
      <c r="DG218" s="644">
        <f t="shared" si="590"/>
        <v>0</v>
      </c>
      <c r="DH218" s="645">
        <f t="shared" si="591"/>
        <v>34816.725436020984</v>
      </c>
      <c r="DI218" s="646">
        <f t="shared" si="592"/>
        <v>0</v>
      </c>
      <c r="DJ218" s="647">
        <f t="shared" si="530"/>
        <v>34816.725436020984</v>
      </c>
      <c r="DK218" s="644">
        <f t="shared" si="593"/>
        <v>0</v>
      </c>
      <c r="DL218" s="645">
        <f t="shared" si="594"/>
        <v>34816.725436020984</v>
      </c>
      <c r="DM218" s="646">
        <f t="shared" si="595"/>
        <v>0</v>
      </c>
      <c r="DN218" s="647">
        <f t="shared" si="531"/>
        <v>34816.725436020984</v>
      </c>
      <c r="DR218" s="827">
        <f t="shared" si="485"/>
        <v>150961.79884182286</v>
      </c>
      <c r="DV218" s="828">
        <f>IFERROR(VLOOKUP($B218,'Afton FY16 Final'!$A$5:$BV$587,'Afton FY16 Final'!$BV$587,0),0)</f>
        <v>108315.55385627935</v>
      </c>
      <c r="DX218" s="636">
        <f t="shared" si="473"/>
        <v>150961.79884182286</v>
      </c>
      <c r="DY218" s="637">
        <f t="shared" si="474"/>
        <v>42646.244985543512</v>
      </c>
      <c r="DZ218" s="637">
        <f t="shared" si="475"/>
        <v>108315.55385627935</v>
      </c>
      <c r="EA218" s="643">
        <f t="shared" si="476"/>
        <v>142932.32303284615</v>
      </c>
      <c r="EB218" s="637">
        <f t="shared" si="486"/>
        <v>0</v>
      </c>
      <c r="EC218" s="637">
        <f t="shared" si="487"/>
        <v>142932.32303284615</v>
      </c>
      <c r="ED218" s="637">
        <f t="shared" si="488"/>
        <v>142506.10737972619</v>
      </c>
      <c r="EE218" s="643">
        <f t="shared" si="489"/>
        <v>142506.10737972619</v>
      </c>
      <c r="EF218" s="637">
        <f t="shared" si="490"/>
        <v>0</v>
      </c>
      <c r="EG218" s="637">
        <f t="shared" si="491"/>
        <v>142506.10737972619</v>
      </c>
      <c r="EH218" s="637">
        <f t="shared" si="492"/>
        <v>142505.96036173764</v>
      </c>
      <c r="EI218" s="643">
        <f t="shared" si="493"/>
        <v>142505.96036173764</v>
      </c>
      <c r="EJ218" s="637">
        <f t="shared" si="494"/>
        <v>0</v>
      </c>
      <c r="EK218" s="637">
        <f t="shared" si="495"/>
        <v>142505.96036173764</v>
      </c>
      <c r="EL218" s="637">
        <f t="shared" si="496"/>
        <v>142505.96036173744</v>
      </c>
      <c r="EM218" s="643">
        <f t="shared" si="497"/>
        <v>142505.96036173744</v>
      </c>
      <c r="EN218" s="637">
        <f t="shared" si="498"/>
        <v>0</v>
      </c>
      <c r="EO218" s="637">
        <f t="shared" si="499"/>
        <v>142505.96036173744</v>
      </c>
      <c r="EP218" s="637">
        <f t="shared" si="500"/>
        <v>142505.96036173767</v>
      </c>
      <c r="EQ218" s="643">
        <f t="shared" si="501"/>
        <v>142505.96036173767</v>
      </c>
      <c r="ER218" s="637">
        <f t="shared" si="502"/>
        <v>0</v>
      </c>
      <c r="ES218" s="637">
        <f t="shared" si="503"/>
        <v>142505.96036173767</v>
      </c>
      <c r="ET218" s="637">
        <f t="shared" si="504"/>
        <v>142505.96036173744</v>
      </c>
      <c r="EU218" s="643">
        <f t="shared" si="477"/>
        <v>142505.96036173744</v>
      </c>
      <c r="EV218" s="643">
        <f t="shared" si="478"/>
        <v>0</v>
      </c>
      <c r="EX218" s="829">
        <f t="shared" si="479"/>
        <v>8455.8384800854255</v>
      </c>
      <c r="EY218" s="638">
        <f t="shared" si="480"/>
        <v>142505.96036173744</v>
      </c>
      <c r="FC218" s="830" t="str">
        <f t="shared" si="505"/>
        <v>Y</v>
      </c>
      <c r="FE218" s="830" t="str">
        <f>IFERROR(VLOOKUP($B218,'Historical Conc Grant Elig'!$B$3:$J$707,'HH &amp; SI'!FE$2,0),"N")</f>
        <v>N</v>
      </c>
      <c r="FF218" s="830" t="str">
        <f>IFERROR(VLOOKUP($B218,'Historical Conc Grant Elig'!$B$3:$J$707,'HH &amp; SI'!FF$2,0),"N")</f>
        <v>N</v>
      </c>
      <c r="FG218" s="830" t="str">
        <f>IFERROR(VLOOKUP($B218,'Historical Conc Grant Elig'!$B$3:$J$707,'HH &amp; SI'!FG$2,0),"N")</f>
        <v>N</v>
      </c>
      <c r="FH218" s="830" t="str">
        <f>IFERROR(VLOOKUP($B218,'Historical Conc Grant Elig'!$B$3:$J$707,'HH &amp; SI'!FH$2,0),"N")</f>
        <v>Y</v>
      </c>
      <c r="FI218" s="830" t="str">
        <f>IFERROR(VLOOKUP($B218,'Historical Conc Grant Elig'!$B$3:$J$707,'HH &amp; SI'!FI$2,0),"N")</f>
        <v>Y</v>
      </c>
      <c r="FJ218" s="830" t="str">
        <f>IFERROR(VLOOKUP($B218,'Historical Conc Grant Elig'!$B$3:$J$707,'HH &amp; SI'!FJ$2,0),"N")</f>
        <v>N</v>
      </c>
      <c r="FK218" s="830" t="str">
        <f>IFERROR(VLOOKUP($B218,'Historical Conc Grant Elig'!$B$3:$J$707,'HH &amp; SI'!FK$2,0),"N")</f>
        <v>Y</v>
      </c>
      <c r="FL218" s="957" t="str">
        <f>IFERROR(VLOOKUP($B218,'Historical Conc Grant Elig'!$B$3:$J$707,'HH &amp; SI'!FL$2,0),"N")</f>
        <v>Y</v>
      </c>
    </row>
    <row r="219" spans="2:168" x14ac:dyDescent="0.25">
      <c r="B219" s="634">
        <v>78587000</v>
      </c>
      <c r="C219" s="635" t="str">
        <f>VLOOKUP($B219,'Afton Update'!$A$5:$CR$582,'Afton Update'!D$589,0)</f>
        <v>Arizona Agribusiness &amp; Equine Center  Inc</v>
      </c>
      <c r="D219" s="636">
        <f>IFERROR(VLOOKUP($B219,'Afton FY16 Final'!$A$5:$BV$587,'Afton FY16 Final'!AQ$587,0),0)</f>
        <v>37951.518407852222</v>
      </c>
      <c r="E219" s="637">
        <f>IFERROR(VLOOKUP($B219,'Afton FY16 Final'!$A$5:$BV$587,'Afton FY16 Final'!AR$587,0),0)</f>
        <v>9614.8571175289635</v>
      </c>
      <c r="F219" s="637">
        <f>IFERROR(VLOOKUP($B219,'Afton FY16 Final'!$A$5:$BV$587,'Afton FY16 Final'!AS$587,0),0)</f>
        <v>20596.734839292534</v>
      </c>
      <c r="G219" s="637">
        <f>IFERROR(VLOOKUP($B219,'Afton FY16 Final'!$A$5:$BV$587,'Afton FY16 Final'!AT$587,0),0)</f>
        <v>17294.220593699625</v>
      </c>
      <c r="H219" s="638">
        <f>IFERROR(VLOOKUP($B219,'Afton FY16 Final'!$A$5:$BV$587,'Afton FY16 Final'!AU$587,0),0)</f>
        <v>85457.33095837335</v>
      </c>
      <c r="I219" s="639" t="str">
        <f>VLOOKUP($B219,'Afton Update'!$A$5:$CR$582,'Afton Update'!BT$589,0)</f>
        <v>Y</v>
      </c>
      <c r="J219" s="640" t="str">
        <f>VLOOKUP($B219,'Afton Update'!$A$5:$CR$582,'Afton Update'!BU$589,0)</f>
        <v>Y</v>
      </c>
      <c r="K219" s="640" t="str">
        <f>VLOOKUP($B219,'Afton Update'!$A$5:$CR$582,'Afton Update'!BV$589,0)</f>
        <v>Y</v>
      </c>
      <c r="L219" s="641" t="str">
        <f>VLOOKUP($B219,'Afton Update'!$A$5:$CR$582,'Afton Update'!BW$589,0)</f>
        <v>Y</v>
      </c>
      <c r="N219" s="642">
        <f>VLOOKUP($B219,'Afton Update'!$A$5:$CR$582,'Afton Update'!CB$589,0)</f>
        <v>0.9</v>
      </c>
      <c r="P219" s="636">
        <f>VLOOKUP($B219,'Afton Update'!$A$5:$CR$582,'Afton Update'!AH$589,0)</f>
        <v>38267.141909264712</v>
      </c>
      <c r="Q219" s="637">
        <f>VLOOKUP($B219,'Afton Update'!$A$5:$CR$582,'Afton Update'!AI$589,0)</f>
        <v>10044.404791108551</v>
      </c>
      <c r="R219" s="637">
        <f>VLOOKUP($B219,'Afton Update'!$A$5:$CR$582,'Afton Update'!AJ$589,0)</f>
        <v>22421.644230372658</v>
      </c>
      <c r="S219" s="637">
        <f>VLOOKUP($B219,'Afton Update'!$A$5:$CR$582,'Afton Update'!AK$589,0)</f>
        <v>20871.605482319119</v>
      </c>
      <c r="T219" s="643">
        <f t="shared" si="506"/>
        <v>91604.796413065036</v>
      </c>
      <c r="V219" s="636">
        <f t="shared" si="532"/>
        <v>37745.153255811012</v>
      </c>
      <c r="W219" s="637">
        <f t="shared" si="533"/>
        <v>9713.5788205901845</v>
      </c>
      <c r="X219" s="637">
        <f t="shared" si="534"/>
        <v>22217.728130297408</v>
      </c>
      <c r="Y219" s="637">
        <f t="shared" si="535"/>
        <v>20641.637960713004</v>
      </c>
      <c r="Z219" s="643">
        <f t="shared" si="536"/>
        <v>90318.098167411605</v>
      </c>
      <c r="AB219" s="644">
        <f t="shared" si="507"/>
        <v>38267.141909264712</v>
      </c>
      <c r="AC219" s="645">
        <f t="shared" si="481"/>
        <v>34156.366567067002</v>
      </c>
      <c r="AD219" s="644">
        <f t="shared" si="537"/>
        <v>0</v>
      </c>
      <c r="AE219" s="645">
        <f t="shared" si="538"/>
        <v>38267.141909264712</v>
      </c>
      <c r="AF219" s="646">
        <f t="shared" si="539"/>
        <v>-474.34998095698393</v>
      </c>
      <c r="AG219" s="647">
        <f t="shared" si="540"/>
        <v>37792.791928307728</v>
      </c>
      <c r="AH219" s="644">
        <f t="shared" si="508"/>
        <v>0</v>
      </c>
      <c r="AI219" s="645">
        <f t="shared" si="509"/>
        <v>37792.791928307728</v>
      </c>
      <c r="AJ219" s="646">
        <f t="shared" si="541"/>
        <v>-47.608322044780557</v>
      </c>
      <c r="AK219" s="647">
        <f t="shared" si="510"/>
        <v>37745.183606262945</v>
      </c>
      <c r="AL219" s="644">
        <f t="shared" si="542"/>
        <v>0</v>
      </c>
      <c r="AM219" s="645">
        <f t="shared" si="543"/>
        <v>37745.183606262945</v>
      </c>
      <c r="AN219" s="646">
        <f t="shared" si="544"/>
        <v>-3.0350451928943444E-2</v>
      </c>
      <c r="AO219" s="647">
        <f t="shared" si="511"/>
        <v>37745.153255811012</v>
      </c>
      <c r="AP219" s="644">
        <f t="shared" si="545"/>
        <v>0</v>
      </c>
      <c r="AQ219" s="645">
        <f t="shared" si="546"/>
        <v>37745.153255811012</v>
      </c>
      <c r="AR219" s="646">
        <f t="shared" si="547"/>
        <v>0</v>
      </c>
      <c r="AS219" s="647">
        <f t="shared" si="512"/>
        <v>37745.153255811012</v>
      </c>
      <c r="AT219" s="644">
        <f t="shared" si="548"/>
        <v>0</v>
      </c>
      <c r="AU219" s="645">
        <f t="shared" si="549"/>
        <v>37745.153255811012</v>
      </c>
      <c r="AV219" s="646">
        <f t="shared" si="550"/>
        <v>0</v>
      </c>
      <c r="AW219" s="647">
        <f t="shared" si="513"/>
        <v>37745.153255811012</v>
      </c>
      <c r="AY219" s="644">
        <f t="shared" si="551"/>
        <v>10044.404791108551</v>
      </c>
      <c r="AZ219" s="645">
        <f t="shared" si="482"/>
        <v>8653.3714057760681</v>
      </c>
      <c r="BA219" s="644">
        <f t="shared" si="552"/>
        <v>0</v>
      </c>
      <c r="BB219" s="645">
        <f t="shared" si="553"/>
        <v>10044.404791108551</v>
      </c>
      <c r="BC219" s="646">
        <f t="shared" si="554"/>
        <v>-72.23224209821224</v>
      </c>
      <c r="BD219" s="647">
        <f t="shared" si="555"/>
        <v>9972.1725490103381</v>
      </c>
      <c r="BE219" s="644">
        <f t="shared" si="514"/>
        <v>0</v>
      </c>
      <c r="BF219" s="645">
        <f t="shared" si="515"/>
        <v>9972.1725490103381</v>
      </c>
      <c r="BG219" s="646">
        <f t="shared" si="556"/>
        <v>-237.52902338309403</v>
      </c>
      <c r="BH219" s="647">
        <f t="shared" si="516"/>
        <v>9734.6435256272434</v>
      </c>
      <c r="BI219" s="644">
        <f t="shared" si="557"/>
        <v>0</v>
      </c>
      <c r="BJ219" s="645">
        <f t="shared" si="558"/>
        <v>9734.6435256272434</v>
      </c>
      <c r="BK219" s="646">
        <f t="shared" si="559"/>
        <v>-20.620261382561125</v>
      </c>
      <c r="BL219" s="647">
        <f t="shared" si="517"/>
        <v>9714.0232642446827</v>
      </c>
      <c r="BM219" s="644">
        <f t="shared" si="560"/>
        <v>0</v>
      </c>
      <c r="BN219" s="645">
        <f t="shared" si="561"/>
        <v>9714.0232642446827</v>
      </c>
      <c r="BO219" s="646">
        <f t="shared" si="562"/>
        <v>-0.44444365449846435</v>
      </c>
      <c r="BP219" s="647">
        <f t="shared" si="518"/>
        <v>9713.5788205901845</v>
      </c>
      <c r="BQ219" s="644">
        <f t="shared" si="563"/>
        <v>0</v>
      </c>
      <c r="BR219" s="645">
        <f t="shared" si="564"/>
        <v>9713.5788205901845</v>
      </c>
      <c r="BS219" s="646">
        <f t="shared" si="565"/>
        <v>0</v>
      </c>
      <c r="BT219" s="647">
        <f t="shared" si="519"/>
        <v>9713.5788205901845</v>
      </c>
      <c r="BU219" s="662">
        <f>VLOOKUP(B219,'Afton Update'!$A$5:$AR$582,'Afton Update'!$AO$589,0)-BT219</f>
        <v>0</v>
      </c>
      <c r="BV219" s="644">
        <f t="shared" si="566"/>
        <v>22421.644230372658</v>
      </c>
      <c r="BW219" s="645">
        <f t="shared" si="483"/>
        <v>18537.061355363283</v>
      </c>
      <c r="BX219" s="644">
        <f t="shared" si="567"/>
        <v>0</v>
      </c>
      <c r="BY219" s="645">
        <f t="shared" si="568"/>
        <v>22421.644230372658</v>
      </c>
      <c r="BZ219" s="646">
        <f t="shared" si="569"/>
        <v>-196.79715525256418</v>
      </c>
      <c r="CA219" s="647">
        <f t="shared" si="570"/>
        <v>22224.847075120095</v>
      </c>
      <c r="CB219" s="644">
        <f t="shared" si="520"/>
        <v>0</v>
      </c>
      <c r="CC219" s="645">
        <f t="shared" si="521"/>
        <v>22224.847075120095</v>
      </c>
      <c r="CD219" s="646">
        <f t="shared" si="571"/>
        <v>-7.118944822685223</v>
      </c>
      <c r="CE219" s="647">
        <f t="shared" si="522"/>
        <v>22217.728130297408</v>
      </c>
      <c r="CF219" s="644">
        <f t="shared" si="572"/>
        <v>0</v>
      </c>
      <c r="CG219" s="645">
        <f t="shared" si="573"/>
        <v>22217.728130297408</v>
      </c>
      <c r="CH219" s="646">
        <f t="shared" si="574"/>
        <v>0</v>
      </c>
      <c r="CI219" s="647">
        <f t="shared" si="523"/>
        <v>22217.728130297408</v>
      </c>
      <c r="CJ219" s="644">
        <f t="shared" si="575"/>
        <v>0</v>
      </c>
      <c r="CK219" s="645">
        <f t="shared" si="576"/>
        <v>22217.728130297408</v>
      </c>
      <c r="CL219" s="646">
        <f t="shared" si="577"/>
        <v>0</v>
      </c>
      <c r="CM219" s="647">
        <f t="shared" si="524"/>
        <v>22217.728130297408</v>
      </c>
      <c r="CN219" s="644">
        <f t="shared" si="578"/>
        <v>0</v>
      </c>
      <c r="CO219" s="645">
        <f t="shared" si="579"/>
        <v>22217.728130297408</v>
      </c>
      <c r="CP219" s="646">
        <f t="shared" si="580"/>
        <v>0</v>
      </c>
      <c r="CQ219" s="647">
        <f t="shared" si="525"/>
        <v>22217.728130297408</v>
      </c>
      <c r="CS219" s="644">
        <f t="shared" si="581"/>
        <v>20871.605482319119</v>
      </c>
      <c r="CT219" s="645">
        <f t="shared" si="484"/>
        <v>15564.798534329662</v>
      </c>
      <c r="CU219" s="644">
        <f t="shared" si="582"/>
        <v>0</v>
      </c>
      <c r="CV219" s="645">
        <f t="shared" si="583"/>
        <v>20871.605482319119</v>
      </c>
      <c r="CW219" s="646">
        <f t="shared" si="584"/>
        <v>-213.73703514187395</v>
      </c>
      <c r="CX219" s="647">
        <f t="shared" si="585"/>
        <v>20657.868447177247</v>
      </c>
      <c r="CY219" s="644">
        <f t="shared" si="526"/>
        <v>0</v>
      </c>
      <c r="CZ219" s="645">
        <f t="shared" si="527"/>
        <v>20657.868447177247</v>
      </c>
      <c r="DA219" s="646">
        <f t="shared" si="586"/>
        <v>-16.216501751286899</v>
      </c>
      <c r="DB219" s="647">
        <f t="shared" si="528"/>
        <v>20641.651945425961</v>
      </c>
      <c r="DC219" s="644">
        <f t="shared" si="587"/>
        <v>0</v>
      </c>
      <c r="DD219" s="645">
        <f t="shared" si="588"/>
        <v>20641.651945425961</v>
      </c>
      <c r="DE219" s="646">
        <f t="shared" si="589"/>
        <v>-1.3984712956748583E-2</v>
      </c>
      <c r="DF219" s="647">
        <f t="shared" si="529"/>
        <v>20641.637960713004</v>
      </c>
      <c r="DG219" s="644">
        <f t="shared" si="590"/>
        <v>0</v>
      </c>
      <c r="DH219" s="645">
        <f t="shared" si="591"/>
        <v>20641.637960713004</v>
      </c>
      <c r="DI219" s="646">
        <f t="shared" si="592"/>
        <v>0</v>
      </c>
      <c r="DJ219" s="647">
        <f t="shared" si="530"/>
        <v>20641.637960713004</v>
      </c>
      <c r="DK219" s="644">
        <f t="shared" si="593"/>
        <v>0</v>
      </c>
      <c r="DL219" s="645">
        <f t="shared" si="594"/>
        <v>20641.637960713004</v>
      </c>
      <c r="DM219" s="646">
        <f t="shared" si="595"/>
        <v>0</v>
      </c>
      <c r="DN219" s="647">
        <f t="shared" si="531"/>
        <v>20641.637960713004</v>
      </c>
      <c r="DR219" s="827">
        <f t="shared" si="485"/>
        <v>90318.098167411605</v>
      </c>
      <c r="DV219" s="828">
        <f>IFERROR(VLOOKUP($B219,'Afton FY16 Final'!$A$5:$BV$587,'Afton FY16 Final'!$BV$587,0),0)</f>
        <v>75871.614558605521</v>
      </c>
      <c r="DX219" s="636">
        <f t="shared" si="473"/>
        <v>90318.098167411605</v>
      </c>
      <c r="DY219" s="637">
        <f t="shared" si="474"/>
        <v>14446.483608806084</v>
      </c>
      <c r="DZ219" s="637">
        <f t="shared" si="475"/>
        <v>75871.614558605521</v>
      </c>
      <c r="EA219" s="643">
        <f t="shared" si="476"/>
        <v>85514.187576044817</v>
      </c>
      <c r="EB219" s="637">
        <f t="shared" si="486"/>
        <v>0</v>
      </c>
      <c r="EC219" s="637">
        <f t="shared" si="487"/>
        <v>85514.187576044817</v>
      </c>
      <c r="ED219" s="637">
        <f t="shared" si="488"/>
        <v>85259.18937455074</v>
      </c>
      <c r="EE219" s="643">
        <f t="shared" si="489"/>
        <v>85259.18937455074</v>
      </c>
      <c r="EF219" s="637">
        <f t="shared" si="490"/>
        <v>0</v>
      </c>
      <c r="EG219" s="637">
        <f t="shared" si="491"/>
        <v>85259.18937455074</v>
      </c>
      <c r="EH219" s="637">
        <f t="shared" si="492"/>
        <v>85259.101415972982</v>
      </c>
      <c r="EI219" s="643">
        <f t="shared" si="493"/>
        <v>85259.101415972982</v>
      </c>
      <c r="EJ219" s="637">
        <f t="shared" si="494"/>
        <v>0</v>
      </c>
      <c r="EK219" s="637">
        <f t="shared" si="495"/>
        <v>85259.101415972982</v>
      </c>
      <c r="EL219" s="637">
        <f t="shared" si="496"/>
        <v>85259.101415972866</v>
      </c>
      <c r="EM219" s="643">
        <f t="shared" si="497"/>
        <v>85259.101415972866</v>
      </c>
      <c r="EN219" s="637">
        <f t="shared" si="498"/>
        <v>0</v>
      </c>
      <c r="EO219" s="637">
        <f t="shared" si="499"/>
        <v>85259.101415972866</v>
      </c>
      <c r="EP219" s="637">
        <f t="shared" si="500"/>
        <v>85259.101415972997</v>
      </c>
      <c r="EQ219" s="643">
        <f t="shared" si="501"/>
        <v>85259.101415972997</v>
      </c>
      <c r="ER219" s="637">
        <f t="shared" si="502"/>
        <v>0</v>
      </c>
      <c r="ES219" s="637">
        <f t="shared" si="503"/>
        <v>85259.101415972997</v>
      </c>
      <c r="ET219" s="637">
        <f t="shared" si="504"/>
        <v>85259.101415972866</v>
      </c>
      <c r="EU219" s="643">
        <f t="shared" si="477"/>
        <v>85259.101415972866</v>
      </c>
      <c r="EV219" s="643">
        <f t="shared" si="478"/>
        <v>0</v>
      </c>
      <c r="EX219" s="829">
        <f t="shared" si="479"/>
        <v>5058.996751438739</v>
      </c>
      <c r="EY219" s="638">
        <f t="shared" si="480"/>
        <v>85259.101415972866</v>
      </c>
      <c r="FC219" s="830" t="str">
        <f t="shared" si="505"/>
        <v>Y</v>
      </c>
      <c r="FE219" s="830" t="str">
        <f>IFERROR(VLOOKUP($B219,'Historical Conc Grant Elig'!$B$3:$J$707,'HH &amp; SI'!FE$2,0),"N")</f>
        <v>N</v>
      </c>
      <c r="FF219" s="830" t="str">
        <f>IFERROR(VLOOKUP($B219,'Historical Conc Grant Elig'!$B$3:$J$707,'HH &amp; SI'!FF$2,0),"N")</f>
        <v>N</v>
      </c>
      <c r="FG219" s="830" t="str">
        <f>IFERROR(VLOOKUP($B219,'Historical Conc Grant Elig'!$B$3:$J$707,'HH &amp; SI'!FG$2,0),"N")</f>
        <v>N</v>
      </c>
      <c r="FH219" s="830" t="str">
        <f>IFERROR(VLOOKUP($B219,'Historical Conc Grant Elig'!$B$3:$J$707,'HH &amp; SI'!FH$2,0),"N")</f>
        <v>N</v>
      </c>
      <c r="FI219" s="830" t="str">
        <f>IFERROR(VLOOKUP($B219,'Historical Conc Grant Elig'!$B$3:$J$707,'HH &amp; SI'!FI$2,0),"N")</f>
        <v>Y</v>
      </c>
      <c r="FJ219" s="830" t="str">
        <f>IFERROR(VLOOKUP($B219,'Historical Conc Grant Elig'!$B$3:$J$707,'HH &amp; SI'!FJ$2,0),"N")</f>
        <v>Y</v>
      </c>
      <c r="FK219" s="830" t="str">
        <f>IFERROR(VLOOKUP($B219,'Historical Conc Grant Elig'!$B$3:$J$707,'HH &amp; SI'!FK$2,0),"N")</f>
        <v>Y</v>
      </c>
      <c r="FL219" s="957" t="str">
        <f>IFERROR(VLOOKUP($B219,'Historical Conc Grant Elig'!$B$3:$J$707,'HH &amp; SI'!FL$2,0),"N")</f>
        <v>Y</v>
      </c>
    </row>
    <row r="220" spans="2:168" x14ac:dyDescent="0.25">
      <c r="B220" s="634">
        <v>78592000</v>
      </c>
      <c r="C220" s="635" t="str">
        <f>VLOOKUP($B220,'Afton Update'!$A$5:$CR$582,'Afton Update'!D$589,0)</f>
        <v>Maryvale Preparatory Academy</v>
      </c>
      <c r="D220" s="636">
        <f>IFERROR(VLOOKUP($B220,'Afton FY16 Final'!$A$5:$BV$587,'Afton FY16 Final'!AQ$587,0),0)</f>
        <v>61428.228471214861</v>
      </c>
      <c r="E220" s="637">
        <f>IFERROR(VLOOKUP($B220,'Afton FY16 Final'!$A$5:$BV$587,'Afton FY16 Final'!AR$587,0),0)</f>
        <v>14381.070266241089</v>
      </c>
      <c r="F220" s="637">
        <f>IFERROR(VLOOKUP($B220,'Afton FY16 Final'!$A$5:$BV$587,'Afton FY16 Final'!AS$587,0),0)</f>
        <v>33337.821160992527</v>
      </c>
      <c r="G220" s="637">
        <f>IFERROR(VLOOKUP($B220,'Afton FY16 Final'!$A$5:$BV$587,'Afton FY16 Final'!AT$587,0),0)</f>
        <v>29816.185375917474</v>
      </c>
      <c r="H220" s="638">
        <f>IFERROR(VLOOKUP($B220,'Afton FY16 Final'!$A$5:$BV$587,'Afton FY16 Final'!AU$587,0),0)</f>
        <v>138963.30527436594</v>
      </c>
      <c r="I220" s="639" t="str">
        <f>VLOOKUP($B220,'Afton Update'!$A$5:$CR$582,'Afton Update'!BT$589,0)</f>
        <v>Y</v>
      </c>
      <c r="J220" s="640" t="str">
        <f>VLOOKUP($B220,'Afton Update'!$A$5:$CR$582,'Afton Update'!BU$589,0)</f>
        <v>Y</v>
      </c>
      <c r="K220" s="640" t="str">
        <f>VLOOKUP($B220,'Afton Update'!$A$5:$CR$582,'Afton Update'!BV$589,0)</f>
        <v>Y</v>
      </c>
      <c r="L220" s="641" t="str">
        <f>VLOOKUP($B220,'Afton Update'!$A$5:$CR$582,'Afton Update'!BW$589,0)</f>
        <v>Y</v>
      </c>
      <c r="N220" s="642">
        <f>VLOOKUP($B220,'Afton Update'!$A$5:$CR$582,'Afton Update'!CB$589,0)</f>
        <v>0.95</v>
      </c>
      <c r="P220" s="636">
        <f>VLOOKUP($B220,'Afton Update'!$A$5:$CR$582,'Afton Update'!AH$589,0)</f>
        <v>74381.757086133293</v>
      </c>
      <c r="Q220" s="637">
        <f>VLOOKUP($B220,'Afton Update'!$A$5:$CR$582,'Afton Update'!AI$589,0)</f>
        <v>17512.849132670763</v>
      </c>
      <c r="R220" s="637">
        <f>VLOOKUP($B220,'Afton Update'!$A$5:$CR$582,'Afton Update'!AJ$589,0)</f>
        <v>43558.155738860238</v>
      </c>
      <c r="S220" s="637">
        <f>VLOOKUP($B220,'Afton Update'!$A$5:$CR$582,'Afton Update'!AK$589,0)</f>
        <v>40546.921214965449</v>
      </c>
      <c r="T220" s="643">
        <f t="shared" si="506"/>
        <v>175999.68317262974</v>
      </c>
      <c r="V220" s="636">
        <f t="shared" si="532"/>
        <v>73367.141640982678</v>
      </c>
      <c r="W220" s="637">
        <f t="shared" si="533"/>
        <v>16936.039910885298</v>
      </c>
      <c r="X220" s="637">
        <f t="shared" si="534"/>
        <v>43162.011319054189</v>
      </c>
      <c r="Y220" s="637">
        <f t="shared" si="535"/>
        <v>40100.167131363058</v>
      </c>
      <c r="Z220" s="643">
        <f t="shared" si="536"/>
        <v>173565.36000228522</v>
      </c>
      <c r="AB220" s="644">
        <f t="shared" si="507"/>
        <v>74381.757086133293</v>
      </c>
      <c r="AC220" s="645">
        <f t="shared" si="481"/>
        <v>58356.817047654113</v>
      </c>
      <c r="AD220" s="644">
        <f t="shared" si="537"/>
        <v>0</v>
      </c>
      <c r="AE220" s="645">
        <f t="shared" si="538"/>
        <v>74381.757086133293</v>
      </c>
      <c r="AF220" s="646">
        <f t="shared" si="539"/>
        <v>-922.01777548513769</v>
      </c>
      <c r="AG220" s="647">
        <f t="shared" si="540"/>
        <v>73459.739310648161</v>
      </c>
      <c r="AH220" s="644">
        <f t="shared" si="508"/>
        <v>0</v>
      </c>
      <c r="AI220" s="645">
        <f t="shared" si="509"/>
        <v>73459.739310648161</v>
      </c>
      <c r="AJ220" s="646">
        <f t="shared" si="541"/>
        <v>-92.53867597454223</v>
      </c>
      <c r="AK220" s="647">
        <f t="shared" si="510"/>
        <v>73367.200634673616</v>
      </c>
      <c r="AL220" s="644">
        <f t="shared" si="542"/>
        <v>0</v>
      </c>
      <c r="AM220" s="645">
        <f t="shared" si="543"/>
        <v>73367.200634673616</v>
      </c>
      <c r="AN220" s="646">
        <f t="shared" si="544"/>
        <v>-5.8993690936883836E-2</v>
      </c>
      <c r="AO220" s="647">
        <f t="shared" si="511"/>
        <v>73367.141640982678</v>
      </c>
      <c r="AP220" s="644">
        <f t="shared" si="545"/>
        <v>0</v>
      </c>
      <c r="AQ220" s="645">
        <f t="shared" si="546"/>
        <v>73367.141640982678</v>
      </c>
      <c r="AR220" s="646">
        <f t="shared" si="547"/>
        <v>0</v>
      </c>
      <c r="AS220" s="647">
        <f t="shared" si="512"/>
        <v>73367.141640982678</v>
      </c>
      <c r="AT220" s="644">
        <f t="shared" si="548"/>
        <v>0</v>
      </c>
      <c r="AU220" s="645">
        <f t="shared" si="549"/>
        <v>73367.141640982678</v>
      </c>
      <c r="AV220" s="646">
        <f t="shared" si="550"/>
        <v>0</v>
      </c>
      <c r="AW220" s="647">
        <f t="shared" si="513"/>
        <v>73367.141640982678</v>
      </c>
      <c r="AY220" s="644">
        <f t="shared" si="551"/>
        <v>17512.849132670763</v>
      </c>
      <c r="AZ220" s="645">
        <f t="shared" si="482"/>
        <v>13662.016752929034</v>
      </c>
      <c r="BA220" s="644">
        <f t="shared" si="552"/>
        <v>0</v>
      </c>
      <c r="BB220" s="645">
        <f t="shared" si="553"/>
        <v>17512.849132670763</v>
      </c>
      <c r="BC220" s="646">
        <f t="shared" si="554"/>
        <v>-125.94000189043854</v>
      </c>
      <c r="BD220" s="647">
        <f t="shared" si="555"/>
        <v>17386.909130780325</v>
      </c>
      <c r="BE220" s="644">
        <f t="shared" si="514"/>
        <v>0</v>
      </c>
      <c r="BF220" s="645">
        <f t="shared" si="515"/>
        <v>17386.909130780325</v>
      </c>
      <c r="BG220" s="646">
        <f t="shared" si="556"/>
        <v>-414.14200618647652</v>
      </c>
      <c r="BH220" s="647">
        <f t="shared" si="516"/>
        <v>16972.767124593847</v>
      </c>
      <c r="BI220" s="644">
        <f t="shared" si="557"/>
        <v>0</v>
      </c>
      <c r="BJ220" s="645">
        <f t="shared" si="558"/>
        <v>16972.767124593847</v>
      </c>
      <c r="BK220" s="646">
        <f t="shared" si="559"/>
        <v>-35.95230719780411</v>
      </c>
      <c r="BL220" s="647">
        <f t="shared" si="517"/>
        <v>16936.814817396044</v>
      </c>
      <c r="BM220" s="644">
        <f t="shared" si="560"/>
        <v>0</v>
      </c>
      <c r="BN220" s="645">
        <f t="shared" si="561"/>
        <v>16936.814817396044</v>
      </c>
      <c r="BO220" s="646">
        <f t="shared" si="562"/>
        <v>-0.77490651074660966</v>
      </c>
      <c r="BP220" s="647">
        <f t="shared" si="518"/>
        <v>16936.039910885298</v>
      </c>
      <c r="BQ220" s="644">
        <f t="shared" si="563"/>
        <v>0</v>
      </c>
      <c r="BR220" s="645">
        <f t="shared" si="564"/>
        <v>16936.039910885298</v>
      </c>
      <c r="BS220" s="646">
        <f t="shared" si="565"/>
        <v>0</v>
      </c>
      <c r="BT220" s="647">
        <f t="shared" si="519"/>
        <v>16936.039910885298</v>
      </c>
      <c r="BU220" s="662">
        <f>VLOOKUP(B220,'Afton Update'!$A$5:$AR$582,'Afton Update'!$AO$589,0)-BT220</f>
        <v>0</v>
      </c>
      <c r="BV220" s="644">
        <f t="shared" si="566"/>
        <v>43558.155738860238</v>
      </c>
      <c r="BW220" s="645">
        <f t="shared" si="483"/>
        <v>31670.930102942901</v>
      </c>
      <c r="BX220" s="644">
        <f t="shared" si="567"/>
        <v>0</v>
      </c>
      <c r="BY220" s="645">
        <f t="shared" si="568"/>
        <v>43558.155738860238</v>
      </c>
      <c r="BZ220" s="646">
        <f t="shared" si="569"/>
        <v>-382.31456397135838</v>
      </c>
      <c r="CA220" s="647">
        <f t="shared" si="570"/>
        <v>43175.841174888883</v>
      </c>
      <c r="CB220" s="644">
        <f t="shared" si="520"/>
        <v>0</v>
      </c>
      <c r="CC220" s="645">
        <f t="shared" si="521"/>
        <v>43175.841174888883</v>
      </c>
      <c r="CD220" s="646">
        <f t="shared" si="571"/>
        <v>-13.829855834695044</v>
      </c>
      <c r="CE220" s="647">
        <f t="shared" si="522"/>
        <v>43162.011319054189</v>
      </c>
      <c r="CF220" s="644">
        <f t="shared" si="572"/>
        <v>0</v>
      </c>
      <c r="CG220" s="645">
        <f t="shared" si="573"/>
        <v>43162.011319054189</v>
      </c>
      <c r="CH220" s="646">
        <f t="shared" si="574"/>
        <v>0</v>
      </c>
      <c r="CI220" s="647">
        <f t="shared" si="523"/>
        <v>43162.011319054189</v>
      </c>
      <c r="CJ220" s="644">
        <f t="shared" si="575"/>
        <v>0</v>
      </c>
      <c r="CK220" s="645">
        <f t="shared" si="576"/>
        <v>43162.011319054189</v>
      </c>
      <c r="CL220" s="646">
        <f t="shared" si="577"/>
        <v>0</v>
      </c>
      <c r="CM220" s="647">
        <f t="shared" si="524"/>
        <v>43162.011319054189</v>
      </c>
      <c r="CN220" s="644">
        <f t="shared" si="578"/>
        <v>0</v>
      </c>
      <c r="CO220" s="645">
        <f t="shared" si="579"/>
        <v>43162.011319054189</v>
      </c>
      <c r="CP220" s="646">
        <f t="shared" si="580"/>
        <v>0</v>
      </c>
      <c r="CQ220" s="647">
        <f t="shared" si="525"/>
        <v>43162.011319054189</v>
      </c>
      <c r="CS220" s="644">
        <f t="shared" si="581"/>
        <v>40546.921214965449</v>
      </c>
      <c r="CT220" s="645">
        <f t="shared" si="484"/>
        <v>28325.376107121599</v>
      </c>
      <c r="CU220" s="644">
        <f t="shared" si="582"/>
        <v>0</v>
      </c>
      <c r="CV220" s="645">
        <f t="shared" si="583"/>
        <v>40546.921214965449</v>
      </c>
      <c r="CW220" s="646">
        <f t="shared" si="584"/>
        <v>-415.22338719747165</v>
      </c>
      <c r="CX220" s="647">
        <f t="shared" si="585"/>
        <v>40131.697827767974</v>
      </c>
      <c r="CY220" s="644">
        <f t="shared" si="526"/>
        <v>0</v>
      </c>
      <c r="CZ220" s="645">
        <f t="shared" si="527"/>
        <v>40131.697827767974</v>
      </c>
      <c r="DA220" s="646">
        <f t="shared" si="586"/>
        <v>-31.50352853539653</v>
      </c>
      <c r="DB220" s="647">
        <f t="shared" si="528"/>
        <v>40100.194299232578</v>
      </c>
      <c r="DC220" s="644">
        <f t="shared" si="587"/>
        <v>0</v>
      </c>
      <c r="DD220" s="645">
        <f t="shared" si="588"/>
        <v>40100.194299232578</v>
      </c>
      <c r="DE220" s="646">
        <f t="shared" si="589"/>
        <v>-2.716786952261737E-2</v>
      </c>
      <c r="DF220" s="647">
        <f t="shared" si="529"/>
        <v>40100.167131363058</v>
      </c>
      <c r="DG220" s="644">
        <f t="shared" si="590"/>
        <v>0</v>
      </c>
      <c r="DH220" s="645">
        <f t="shared" si="591"/>
        <v>40100.167131363058</v>
      </c>
      <c r="DI220" s="646">
        <f t="shared" si="592"/>
        <v>0</v>
      </c>
      <c r="DJ220" s="647">
        <f t="shared" si="530"/>
        <v>40100.167131363058</v>
      </c>
      <c r="DK220" s="644">
        <f t="shared" si="593"/>
        <v>0</v>
      </c>
      <c r="DL220" s="645">
        <f t="shared" si="594"/>
        <v>40100.167131363058</v>
      </c>
      <c r="DM220" s="646">
        <f t="shared" si="595"/>
        <v>0</v>
      </c>
      <c r="DN220" s="647">
        <f t="shared" si="531"/>
        <v>40100.167131363058</v>
      </c>
      <c r="DR220" s="827">
        <f t="shared" si="485"/>
        <v>173565.36000228522</v>
      </c>
      <c r="DV220" s="828">
        <f>IFERROR(VLOOKUP($B220,'Afton FY16 Final'!$A$5:$BV$587,'Afton FY16 Final'!$BV$587,0),0)</f>
        <v>127085.9281881199</v>
      </c>
      <c r="DX220" s="636">
        <f t="shared" si="473"/>
        <v>173565.36000228522</v>
      </c>
      <c r="DY220" s="637">
        <f t="shared" si="474"/>
        <v>46479.43181416532</v>
      </c>
      <c r="DZ220" s="637">
        <f t="shared" si="475"/>
        <v>127085.9281881199</v>
      </c>
      <c r="EA220" s="643">
        <f t="shared" si="476"/>
        <v>164333.62806674483</v>
      </c>
      <c r="EB220" s="637">
        <f t="shared" si="486"/>
        <v>0</v>
      </c>
      <c r="EC220" s="637">
        <f t="shared" si="487"/>
        <v>164333.62806674483</v>
      </c>
      <c r="ED220" s="637">
        <f t="shared" si="488"/>
        <v>163843.59499983705</v>
      </c>
      <c r="EE220" s="643">
        <f t="shared" si="489"/>
        <v>163843.59499983705</v>
      </c>
      <c r="EF220" s="637">
        <f t="shared" si="490"/>
        <v>0</v>
      </c>
      <c r="EG220" s="637">
        <f t="shared" si="491"/>
        <v>163843.59499983705</v>
      </c>
      <c r="EH220" s="637">
        <f t="shared" si="492"/>
        <v>163843.42596879537</v>
      </c>
      <c r="EI220" s="643">
        <f t="shared" si="493"/>
        <v>163843.42596879537</v>
      </c>
      <c r="EJ220" s="637">
        <f t="shared" si="494"/>
        <v>0</v>
      </c>
      <c r="EK220" s="637">
        <f t="shared" si="495"/>
        <v>163843.42596879537</v>
      </c>
      <c r="EL220" s="637">
        <f t="shared" si="496"/>
        <v>163843.42596879514</v>
      </c>
      <c r="EM220" s="643">
        <f t="shared" si="497"/>
        <v>163843.42596879514</v>
      </c>
      <c r="EN220" s="637">
        <f t="shared" si="498"/>
        <v>0</v>
      </c>
      <c r="EO220" s="637">
        <f t="shared" si="499"/>
        <v>163843.42596879514</v>
      </c>
      <c r="EP220" s="637">
        <f t="shared" si="500"/>
        <v>163843.4259687954</v>
      </c>
      <c r="EQ220" s="643">
        <f t="shared" si="501"/>
        <v>163843.4259687954</v>
      </c>
      <c r="ER220" s="637">
        <f t="shared" si="502"/>
        <v>0</v>
      </c>
      <c r="ES220" s="637">
        <f t="shared" si="503"/>
        <v>163843.4259687954</v>
      </c>
      <c r="ET220" s="637">
        <f t="shared" si="504"/>
        <v>163843.42596879514</v>
      </c>
      <c r="EU220" s="643">
        <f t="shared" si="477"/>
        <v>163843.42596879514</v>
      </c>
      <c r="EV220" s="643">
        <f t="shared" si="478"/>
        <v>0</v>
      </c>
      <c r="EX220" s="829">
        <f t="shared" si="479"/>
        <v>9721.9340334900771</v>
      </c>
      <c r="EY220" s="638">
        <f t="shared" si="480"/>
        <v>163843.42596879514</v>
      </c>
      <c r="FC220" s="830" t="str">
        <f t="shared" si="505"/>
        <v>Y</v>
      </c>
      <c r="FE220" s="830" t="str">
        <f>IFERROR(VLOOKUP($B220,'Historical Conc Grant Elig'!$B$3:$J$707,'HH &amp; SI'!FE$2,0),"N")</f>
        <v>N</v>
      </c>
      <c r="FF220" s="830" t="str">
        <f>IFERROR(VLOOKUP($B220,'Historical Conc Grant Elig'!$B$3:$J$707,'HH &amp; SI'!FF$2,0),"N")</f>
        <v>N</v>
      </c>
      <c r="FG220" s="830" t="str">
        <f>IFERROR(VLOOKUP($B220,'Historical Conc Grant Elig'!$B$3:$J$707,'HH &amp; SI'!FG$2,0),"N")</f>
        <v>N</v>
      </c>
      <c r="FH220" s="830" t="str">
        <f>IFERROR(VLOOKUP($B220,'Historical Conc Grant Elig'!$B$3:$J$707,'HH &amp; SI'!FH$2,0),"N")</f>
        <v>Y</v>
      </c>
      <c r="FI220" s="830" t="str">
        <f>IFERROR(VLOOKUP($B220,'Historical Conc Grant Elig'!$B$3:$J$707,'HH &amp; SI'!FI$2,0),"N")</f>
        <v>Y</v>
      </c>
      <c r="FJ220" s="830" t="str">
        <f>IFERROR(VLOOKUP($B220,'Historical Conc Grant Elig'!$B$3:$J$707,'HH &amp; SI'!FJ$2,0),"N")</f>
        <v>Y</v>
      </c>
      <c r="FK220" s="830" t="str">
        <f>IFERROR(VLOOKUP($B220,'Historical Conc Grant Elig'!$B$3:$J$707,'HH &amp; SI'!FK$2,0),"N")</f>
        <v>Y</v>
      </c>
      <c r="FL220" s="957" t="str">
        <f>IFERROR(VLOOKUP($B220,'Historical Conc Grant Elig'!$B$3:$J$707,'HH &amp; SI'!FL$2,0),"N")</f>
        <v>Y</v>
      </c>
    </row>
    <row r="221" spans="2:168" x14ac:dyDescent="0.25">
      <c r="B221" s="634">
        <v>78599000</v>
      </c>
      <c r="C221" s="635" t="str">
        <f>VLOOKUP($B221,'Afton Update'!$A$5:$CR$582,'Afton Update'!D$589,0)</f>
        <v>South Phoenix Academy Inc.</v>
      </c>
      <c r="D221" s="636">
        <f>IFERROR(VLOOKUP($B221,'Afton FY16 Final'!$A$5:$BV$587,'Afton FY16 Final'!AQ$587,0),0)</f>
        <v>68531.363058129529</v>
      </c>
      <c r="E221" s="637">
        <f>IFERROR(VLOOKUP($B221,'Afton FY16 Final'!$A$5:$BV$587,'Afton FY16 Final'!AR$587,0),0)</f>
        <v>14695.640965638933</v>
      </c>
      <c r="F221" s="637">
        <f>IFERROR(VLOOKUP($B221,'Afton FY16 Final'!$A$5:$BV$587,'Afton FY16 Final'!AS$587,0),0)</f>
        <v>36336.329977196998</v>
      </c>
      <c r="G221" s="637">
        <f>IFERROR(VLOOKUP($B221,'Afton FY16 Final'!$A$5:$BV$587,'Afton FY16 Final'!AT$587,0),0)</f>
        <v>35009.803810053418</v>
      </c>
      <c r="H221" s="638">
        <f>IFERROR(VLOOKUP($B221,'Afton FY16 Final'!$A$5:$BV$587,'Afton FY16 Final'!AU$587,0),0)</f>
        <v>154573.13781101888</v>
      </c>
      <c r="I221" s="639" t="str">
        <f>VLOOKUP($B221,'Afton Update'!$A$5:$CR$582,'Afton Update'!BT$589,0)</f>
        <v>Y</v>
      </c>
      <c r="J221" s="640" t="str">
        <f>VLOOKUP($B221,'Afton Update'!$A$5:$CR$582,'Afton Update'!BU$589,0)</f>
        <v>Y</v>
      </c>
      <c r="K221" s="640" t="str">
        <f>VLOOKUP($B221,'Afton Update'!$A$5:$CR$582,'Afton Update'!BV$589,0)</f>
        <v>Y</v>
      </c>
      <c r="L221" s="641" t="str">
        <f>VLOOKUP($B221,'Afton Update'!$A$5:$CR$582,'Afton Update'!BW$589,0)</f>
        <v>Y</v>
      </c>
      <c r="N221" s="642">
        <f>VLOOKUP($B221,'Afton Update'!$A$5:$CR$582,'Afton Update'!CB$589,0)</f>
        <v>0.95</v>
      </c>
      <c r="P221" s="636">
        <f>VLOOKUP($B221,'Afton Update'!$A$5:$CR$582,'Afton Update'!AH$589,0)</f>
        <v>54769.84685763513</v>
      </c>
      <c r="Q221" s="637">
        <f>VLOOKUP($B221,'Afton Update'!$A$5:$CR$582,'Afton Update'!AI$589,0)</f>
        <v>13457.137635928369</v>
      </c>
      <c r="R221" s="637">
        <f>VLOOKUP($B221,'Afton Update'!$A$5:$CR$582,'Afton Update'!AJ$589,0)</f>
        <v>32080.050151469633</v>
      </c>
      <c r="S221" s="637">
        <f>VLOOKUP($B221,'Afton Update'!$A$5:$CR$582,'Afton Update'!AK$589,0)</f>
        <v>29862.312671409163</v>
      </c>
      <c r="T221" s="643">
        <f t="shared" si="506"/>
        <v>130169.3473164423</v>
      </c>
      <c r="V221" s="636">
        <f t="shared" si="532"/>
        <v>65104.794905223047</v>
      </c>
      <c r="W221" s="637">
        <f t="shared" si="533"/>
        <v>13960.858917356985</v>
      </c>
      <c r="X221" s="637">
        <f t="shared" si="534"/>
        <v>34519.513478337147</v>
      </c>
      <c r="Y221" s="637">
        <f t="shared" si="535"/>
        <v>33259.313619550747</v>
      </c>
      <c r="Z221" s="643">
        <f t="shared" si="536"/>
        <v>146844.48092046793</v>
      </c>
      <c r="AB221" s="644">
        <f t="shared" si="507"/>
        <v>54769.84685763513</v>
      </c>
      <c r="AC221" s="645">
        <f t="shared" si="481"/>
        <v>65104.794905223047</v>
      </c>
      <c r="AD221" s="644">
        <f t="shared" si="537"/>
        <v>10334.948047587917</v>
      </c>
      <c r="AE221" s="645">
        <f t="shared" si="538"/>
        <v>0</v>
      </c>
      <c r="AF221" s="646">
        <f t="shared" si="539"/>
        <v>0</v>
      </c>
      <c r="AG221" s="647">
        <f t="shared" si="540"/>
        <v>65104.794905223047</v>
      </c>
      <c r="AH221" s="644">
        <f t="shared" si="508"/>
        <v>0</v>
      </c>
      <c r="AI221" s="645">
        <f t="shared" si="509"/>
        <v>0</v>
      </c>
      <c r="AJ221" s="646">
        <f t="shared" si="541"/>
        <v>0</v>
      </c>
      <c r="AK221" s="647">
        <f t="shared" si="510"/>
        <v>65104.794905223047</v>
      </c>
      <c r="AL221" s="644">
        <f t="shared" si="542"/>
        <v>0</v>
      </c>
      <c r="AM221" s="645">
        <f t="shared" si="543"/>
        <v>0</v>
      </c>
      <c r="AN221" s="646">
        <f t="shared" si="544"/>
        <v>0</v>
      </c>
      <c r="AO221" s="647">
        <f t="shared" si="511"/>
        <v>65104.794905223047</v>
      </c>
      <c r="AP221" s="644">
        <f t="shared" si="545"/>
        <v>0</v>
      </c>
      <c r="AQ221" s="645">
        <f t="shared" si="546"/>
        <v>0</v>
      </c>
      <c r="AR221" s="646">
        <f t="shared" si="547"/>
        <v>0</v>
      </c>
      <c r="AS221" s="647">
        <f t="shared" si="512"/>
        <v>65104.794905223047</v>
      </c>
      <c r="AT221" s="644">
        <f t="shared" si="548"/>
        <v>0</v>
      </c>
      <c r="AU221" s="645">
        <f t="shared" si="549"/>
        <v>0</v>
      </c>
      <c r="AV221" s="646">
        <f t="shared" si="550"/>
        <v>0</v>
      </c>
      <c r="AW221" s="647">
        <f t="shared" si="513"/>
        <v>65104.794905223047</v>
      </c>
      <c r="AY221" s="644">
        <f t="shared" si="551"/>
        <v>13457.137635928369</v>
      </c>
      <c r="AZ221" s="645">
        <f t="shared" si="482"/>
        <v>13960.858917356985</v>
      </c>
      <c r="BA221" s="644">
        <f t="shared" si="552"/>
        <v>503.72128142861584</v>
      </c>
      <c r="BB221" s="645">
        <f t="shared" si="553"/>
        <v>0</v>
      </c>
      <c r="BC221" s="646">
        <f t="shared" si="554"/>
        <v>0</v>
      </c>
      <c r="BD221" s="647">
        <f t="shared" si="555"/>
        <v>13960.858917356985</v>
      </c>
      <c r="BE221" s="644">
        <f t="shared" si="514"/>
        <v>0</v>
      </c>
      <c r="BF221" s="645">
        <f t="shared" si="515"/>
        <v>0</v>
      </c>
      <c r="BG221" s="646">
        <f t="shared" si="556"/>
        <v>0</v>
      </c>
      <c r="BH221" s="647">
        <f t="shared" si="516"/>
        <v>13960.858917356985</v>
      </c>
      <c r="BI221" s="644">
        <f t="shared" si="557"/>
        <v>0</v>
      </c>
      <c r="BJ221" s="645">
        <f t="shared" si="558"/>
        <v>0</v>
      </c>
      <c r="BK221" s="646">
        <f t="shared" si="559"/>
        <v>0</v>
      </c>
      <c r="BL221" s="647">
        <f t="shared" si="517"/>
        <v>13960.858917356985</v>
      </c>
      <c r="BM221" s="644">
        <f t="shared" si="560"/>
        <v>0</v>
      </c>
      <c r="BN221" s="645">
        <f t="shared" si="561"/>
        <v>0</v>
      </c>
      <c r="BO221" s="646">
        <f t="shared" si="562"/>
        <v>0</v>
      </c>
      <c r="BP221" s="647">
        <f t="shared" si="518"/>
        <v>13960.858917356985</v>
      </c>
      <c r="BQ221" s="644">
        <f t="shared" si="563"/>
        <v>0</v>
      </c>
      <c r="BR221" s="645">
        <f t="shared" si="564"/>
        <v>0</v>
      </c>
      <c r="BS221" s="646">
        <f t="shared" si="565"/>
        <v>0</v>
      </c>
      <c r="BT221" s="647">
        <f t="shared" si="519"/>
        <v>13960.858917356985</v>
      </c>
      <c r="BU221" s="662">
        <f>VLOOKUP(B221,'Afton Update'!$A$5:$AR$582,'Afton Update'!$AO$589,0)-BT221</f>
        <v>0</v>
      </c>
      <c r="BV221" s="644">
        <f t="shared" si="566"/>
        <v>32080.050151469633</v>
      </c>
      <c r="BW221" s="645">
        <f t="shared" si="483"/>
        <v>34519.513478337147</v>
      </c>
      <c r="BX221" s="644">
        <f t="shared" si="567"/>
        <v>2439.4633268675134</v>
      </c>
      <c r="BY221" s="645">
        <f t="shared" si="568"/>
        <v>0</v>
      </c>
      <c r="BZ221" s="646">
        <f t="shared" si="569"/>
        <v>0</v>
      </c>
      <c r="CA221" s="647">
        <f t="shared" si="570"/>
        <v>34519.513478337147</v>
      </c>
      <c r="CB221" s="644">
        <f t="shared" si="520"/>
        <v>0</v>
      </c>
      <c r="CC221" s="645">
        <f t="shared" si="521"/>
        <v>0</v>
      </c>
      <c r="CD221" s="646">
        <f t="shared" si="571"/>
        <v>0</v>
      </c>
      <c r="CE221" s="647">
        <f t="shared" si="522"/>
        <v>34519.513478337147</v>
      </c>
      <c r="CF221" s="644">
        <f t="shared" si="572"/>
        <v>0</v>
      </c>
      <c r="CG221" s="645">
        <f t="shared" si="573"/>
        <v>0</v>
      </c>
      <c r="CH221" s="646">
        <f t="shared" si="574"/>
        <v>0</v>
      </c>
      <c r="CI221" s="647">
        <f t="shared" si="523"/>
        <v>34519.513478337147</v>
      </c>
      <c r="CJ221" s="644">
        <f t="shared" si="575"/>
        <v>0</v>
      </c>
      <c r="CK221" s="645">
        <f t="shared" si="576"/>
        <v>0</v>
      </c>
      <c r="CL221" s="646">
        <f t="shared" si="577"/>
        <v>0</v>
      </c>
      <c r="CM221" s="647">
        <f t="shared" si="524"/>
        <v>34519.513478337147</v>
      </c>
      <c r="CN221" s="644">
        <f t="shared" si="578"/>
        <v>0</v>
      </c>
      <c r="CO221" s="645">
        <f t="shared" si="579"/>
        <v>0</v>
      </c>
      <c r="CP221" s="646">
        <f t="shared" si="580"/>
        <v>0</v>
      </c>
      <c r="CQ221" s="647">
        <f t="shared" si="525"/>
        <v>34519.513478337147</v>
      </c>
      <c r="CS221" s="644">
        <f t="shared" si="581"/>
        <v>29862.312671409163</v>
      </c>
      <c r="CT221" s="645">
        <f t="shared" si="484"/>
        <v>33259.313619550747</v>
      </c>
      <c r="CU221" s="644">
        <f t="shared" si="582"/>
        <v>3397.0009481415836</v>
      </c>
      <c r="CV221" s="645">
        <f t="shared" si="583"/>
        <v>0</v>
      </c>
      <c r="CW221" s="646">
        <f t="shared" si="584"/>
        <v>0</v>
      </c>
      <c r="CX221" s="647">
        <f t="shared" si="585"/>
        <v>33259.313619550747</v>
      </c>
      <c r="CY221" s="644">
        <f t="shared" si="526"/>
        <v>0</v>
      </c>
      <c r="CZ221" s="645">
        <f t="shared" si="527"/>
        <v>0</v>
      </c>
      <c r="DA221" s="646">
        <f t="shared" si="586"/>
        <v>0</v>
      </c>
      <c r="DB221" s="647">
        <f t="shared" si="528"/>
        <v>33259.313619550747</v>
      </c>
      <c r="DC221" s="644">
        <f t="shared" si="587"/>
        <v>0</v>
      </c>
      <c r="DD221" s="645">
        <f t="shared" si="588"/>
        <v>0</v>
      </c>
      <c r="DE221" s="646">
        <f t="shared" si="589"/>
        <v>0</v>
      </c>
      <c r="DF221" s="647">
        <f t="shared" si="529"/>
        <v>33259.313619550747</v>
      </c>
      <c r="DG221" s="644">
        <f t="shared" si="590"/>
        <v>0</v>
      </c>
      <c r="DH221" s="645">
        <f t="shared" si="591"/>
        <v>0</v>
      </c>
      <c r="DI221" s="646">
        <f t="shared" si="592"/>
        <v>0</v>
      </c>
      <c r="DJ221" s="647">
        <f t="shared" si="530"/>
        <v>33259.313619550747</v>
      </c>
      <c r="DK221" s="644">
        <f t="shared" si="593"/>
        <v>0</v>
      </c>
      <c r="DL221" s="645">
        <f t="shared" si="594"/>
        <v>0</v>
      </c>
      <c r="DM221" s="646">
        <f t="shared" si="595"/>
        <v>0</v>
      </c>
      <c r="DN221" s="647">
        <f t="shared" si="531"/>
        <v>33259.313619550747</v>
      </c>
      <c r="DR221" s="827">
        <f t="shared" si="485"/>
        <v>146844.48092046793</v>
      </c>
      <c r="DV221" s="828">
        <f>IFERROR(VLOOKUP($B221,'Afton FY16 Final'!$A$5:$BV$587,'Afton FY16 Final'!$BV$587,0),0)</f>
        <v>115027.70462570613</v>
      </c>
      <c r="DX221" s="636">
        <f t="shared" si="473"/>
        <v>146844.48092046793</v>
      </c>
      <c r="DY221" s="637">
        <f t="shared" si="474"/>
        <v>31816.776294761803</v>
      </c>
      <c r="DZ221" s="637">
        <f t="shared" si="475"/>
        <v>115027.70462570613</v>
      </c>
      <c r="EA221" s="643">
        <f t="shared" si="476"/>
        <v>139034.00028047452</v>
      </c>
      <c r="EB221" s="637">
        <f t="shared" si="486"/>
        <v>0</v>
      </c>
      <c r="EC221" s="637">
        <f t="shared" si="487"/>
        <v>139034.00028047452</v>
      </c>
      <c r="ED221" s="637">
        <f t="shared" si="488"/>
        <v>138619.40919304214</v>
      </c>
      <c r="EE221" s="643">
        <f t="shared" si="489"/>
        <v>138619.40919304214</v>
      </c>
      <c r="EF221" s="637">
        <f t="shared" si="490"/>
        <v>0</v>
      </c>
      <c r="EG221" s="637">
        <f t="shared" si="491"/>
        <v>138619.40919304214</v>
      </c>
      <c r="EH221" s="637">
        <f t="shared" si="492"/>
        <v>138619.2661848084</v>
      </c>
      <c r="EI221" s="643">
        <f t="shared" si="493"/>
        <v>138619.2661848084</v>
      </c>
      <c r="EJ221" s="637">
        <f t="shared" si="494"/>
        <v>0</v>
      </c>
      <c r="EK221" s="637">
        <f t="shared" si="495"/>
        <v>138619.2661848084</v>
      </c>
      <c r="EL221" s="637">
        <f t="shared" si="496"/>
        <v>138619.26618480819</v>
      </c>
      <c r="EM221" s="643">
        <f t="shared" si="497"/>
        <v>138619.26618480819</v>
      </c>
      <c r="EN221" s="637">
        <f t="shared" si="498"/>
        <v>0</v>
      </c>
      <c r="EO221" s="637">
        <f t="shared" si="499"/>
        <v>138619.26618480819</v>
      </c>
      <c r="EP221" s="637">
        <f t="shared" si="500"/>
        <v>138619.2661848084</v>
      </c>
      <c r="EQ221" s="643">
        <f t="shared" si="501"/>
        <v>138619.2661848084</v>
      </c>
      <c r="ER221" s="637">
        <f t="shared" si="502"/>
        <v>0</v>
      </c>
      <c r="ES221" s="637">
        <f t="shared" si="503"/>
        <v>138619.2661848084</v>
      </c>
      <c r="ET221" s="637">
        <f t="shared" si="504"/>
        <v>138619.26618480816</v>
      </c>
      <c r="EU221" s="643">
        <f t="shared" si="477"/>
        <v>138619.26618480816</v>
      </c>
      <c r="EV221" s="643">
        <f t="shared" si="478"/>
        <v>0</v>
      </c>
      <c r="EX221" s="829">
        <f t="shared" si="479"/>
        <v>8225.2147356597707</v>
      </c>
      <c r="EY221" s="638">
        <f t="shared" si="480"/>
        <v>138619.26618480816</v>
      </c>
      <c r="FC221" s="830" t="str">
        <f t="shared" si="505"/>
        <v>Y</v>
      </c>
      <c r="FE221" s="830" t="str">
        <f>IFERROR(VLOOKUP($B221,'Historical Conc Grant Elig'!$B$3:$J$707,'HH &amp; SI'!FE$2,0),"N")</f>
        <v>N</v>
      </c>
      <c r="FF221" s="830" t="str">
        <f>IFERROR(VLOOKUP($B221,'Historical Conc Grant Elig'!$B$3:$J$707,'HH &amp; SI'!FF$2,0),"N")</f>
        <v>N</v>
      </c>
      <c r="FG221" s="830" t="str">
        <f>IFERROR(VLOOKUP($B221,'Historical Conc Grant Elig'!$B$3:$J$707,'HH &amp; SI'!FG$2,0),"N")</f>
        <v>N</v>
      </c>
      <c r="FH221" s="830" t="str">
        <f>IFERROR(VLOOKUP($B221,'Historical Conc Grant Elig'!$B$3:$J$707,'HH &amp; SI'!FH$2,0),"N")</f>
        <v>Y</v>
      </c>
      <c r="FI221" s="830" t="str">
        <f>IFERROR(VLOOKUP($B221,'Historical Conc Grant Elig'!$B$3:$J$707,'HH &amp; SI'!FI$2,0),"N")</f>
        <v>Y</v>
      </c>
      <c r="FJ221" s="830" t="str">
        <f>IFERROR(VLOOKUP($B221,'Historical Conc Grant Elig'!$B$3:$J$707,'HH &amp; SI'!FJ$2,0),"N")</f>
        <v>Y</v>
      </c>
      <c r="FK221" s="830" t="str">
        <f>IFERROR(VLOOKUP($B221,'Historical Conc Grant Elig'!$B$3:$J$707,'HH &amp; SI'!FK$2,0),"N")</f>
        <v>Y</v>
      </c>
      <c r="FL221" s="957" t="str">
        <f>IFERROR(VLOOKUP($B221,'Historical Conc Grant Elig'!$B$3:$J$707,'HH &amp; SI'!FL$2,0),"N")</f>
        <v>Y</v>
      </c>
    </row>
    <row r="222" spans="2:168" x14ac:dyDescent="0.25">
      <c r="B222" s="634">
        <v>78604000</v>
      </c>
      <c r="C222" s="635" t="str">
        <f>VLOOKUP($B222,'Afton Update'!$A$5:$CR$582,'Afton Update'!D$589,0)</f>
        <v>Academy Of Excellence  Inc.</v>
      </c>
      <c r="D222" s="636">
        <f>IFERROR(VLOOKUP($B222,'Afton FY16 Final'!$A$5:$BV$587,'Afton FY16 Final'!AQ$587,0),0)</f>
        <v>35460.055392384682</v>
      </c>
      <c r="E222" s="637">
        <f>IFERROR(VLOOKUP($B222,'Afton FY16 Final'!$A$5:$BV$587,'Afton FY16 Final'!AR$587,0),0)</f>
        <v>8266.8372370851303</v>
      </c>
      <c r="F222" s="637">
        <f>IFERROR(VLOOKUP($B222,'Afton FY16 Final'!$A$5:$BV$587,'Afton FY16 Final'!AS$587,0),0)</f>
        <v>17789.65450852062</v>
      </c>
      <c r="G222" s="637">
        <f>IFERROR(VLOOKUP($B222,'Afton FY16 Final'!$A$5:$BV$587,'Afton FY16 Final'!AT$587,0),0)</f>
        <v>16694.248752115491</v>
      </c>
      <c r="H222" s="638">
        <f>IFERROR(VLOOKUP($B222,'Afton FY16 Final'!$A$5:$BV$587,'Afton FY16 Final'!AU$587,0),0)</f>
        <v>78210.795890105917</v>
      </c>
      <c r="I222" s="639" t="str">
        <f>VLOOKUP($B222,'Afton Update'!$A$5:$CR$582,'Afton Update'!BT$589,0)</f>
        <v>Y</v>
      </c>
      <c r="J222" s="640" t="str">
        <f>VLOOKUP($B222,'Afton Update'!$A$5:$CR$582,'Afton Update'!BU$589,0)</f>
        <v>Y</v>
      </c>
      <c r="K222" s="640" t="str">
        <f>VLOOKUP($B222,'Afton Update'!$A$5:$CR$582,'Afton Update'!BV$589,0)</f>
        <v>Y</v>
      </c>
      <c r="L222" s="641" t="str">
        <f>VLOOKUP($B222,'Afton Update'!$A$5:$CR$582,'Afton Update'!BW$589,0)</f>
        <v>Y</v>
      </c>
      <c r="N222" s="642">
        <f>VLOOKUP($B222,'Afton Update'!$A$5:$CR$582,'Afton Update'!CB$589,0)</f>
        <v>0.95</v>
      </c>
      <c r="P222" s="636">
        <f>VLOOKUP($B222,'Afton Update'!$A$5:$CR$582,'Afton Update'!AH$589,0)</f>
        <v>27504.508247284015</v>
      </c>
      <c r="Q222" s="637">
        <f>VLOOKUP($B222,'Afton Update'!$A$5:$CR$582,'Afton Update'!AI$589,0)</f>
        <v>7818.70945753041</v>
      </c>
      <c r="R222" s="637">
        <f>VLOOKUP($B222,'Afton Update'!$A$5:$CR$582,'Afton Update'!AJ$589,0)</f>
        <v>16122.683847048549</v>
      </c>
      <c r="S222" s="637">
        <f>VLOOKUP($B222,'Afton Update'!$A$5:$CR$582,'Afton Update'!AK$589,0)</f>
        <v>15008.10079378214</v>
      </c>
      <c r="T222" s="643">
        <f t="shared" si="506"/>
        <v>66454.002345645116</v>
      </c>
      <c r="V222" s="636">
        <f t="shared" si="532"/>
        <v>33687.052622765448</v>
      </c>
      <c r="W222" s="637">
        <f t="shared" si="533"/>
        <v>7853.4953752308729</v>
      </c>
      <c r="X222" s="637">
        <f t="shared" si="534"/>
        <v>16900.171783094589</v>
      </c>
      <c r="Y222" s="637">
        <f t="shared" si="535"/>
        <v>15859.536314509716</v>
      </c>
      <c r="Z222" s="643">
        <f t="shared" si="536"/>
        <v>74300.256095600635</v>
      </c>
      <c r="AB222" s="644">
        <f t="shared" si="507"/>
        <v>27504.508247284015</v>
      </c>
      <c r="AC222" s="645">
        <f t="shared" si="481"/>
        <v>33687.052622765448</v>
      </c>
      <c r="AD222" s="644">
        <f t="shared" si="537"/>
        <v>6182.5443754814332</v>
      </c>
      <c r="AE222" s="645">
        <f t="shared" si="538"/>
        <v>0</v>
      </c>
      <c r="AF222" s="646">
        <f t="shared" si="539"/>
        <v>0</v>
      </c>
      <c r="AG222" s="647">
        <f t="shared" si="540"/>
        <v>33687.052622765448</v>
      </c>
      <c r="AH222" s="644">
        <f t="shared" si="508"/>
        <v>0</v>
      </c>
      <c r="AI222" s="645">
        <f t="shared" si="509"/>
        <v>0</v>
      </c>
      <c r="AJ222" s="646">
        <f t="shared" si="541"/>
        <v>0</v>
      </c>
      <c r="AK222" s="647">
        <f t="shared" si="510"/>
        <v>33687.052622765448</v>
      </c>
      <c r="AL222" s="644">
        <f t="shared" si="542"/>
        <v>0</v>
      </c>
      <c r="AM222" s="645">
        <f t="shared" si="543"/>
        <v>0</v>
      </c>
      <c r="AN222" s="646">
        <f t="shared" si="544"/>
        <v>0</v>
      </c>
      <c r="AO222" s="647">
        <f t="shared" si="511"/>
        <v>33687.052622765448</v>
      </c>
      <c r="AP222" s="644">
        <f t="shared" si="545"/>
        <v>0</v>
      </c>
      <c r="AQ222" s="645">
        <f t="shared" si="546"/>
        <v>0</v>
      </c>
      <c r="AR222" s="646">
        <f t="shared" si="547"/>
        <v>0</v>
      </c>
      <c r="AS222" s="647">
        <f t="shared" si="512"/>
        <v>33687.052622765448</v>
      </c>
      <c r="AT222" s="644">
        <f t="shared" si="548"/>
        <v>0</v>
      </c>
      <c r="AU222" s="645">
        <f t="shared" si="549"/>
        <v>0</v>
      </c>
      <c r="AV222" s="646">
        <f t="shared" si="550"/>
        <v>0</v>
      </c>
      <c r="AW222" s="647">
        <f t="shared" si="513"/>
        <v>33687.052622765448</v>
      </c>
      <c r="AY222" s="644">
        <f t="shared" si="551"/>
        <v>7818.70945753041</v>
      </c>
      <c r="AZ222" s="645">
        <f t="shared" si="482"/>
        <v>7853.4953752308729</v>
      </c>
      <c r="BA222" s="644">
        <f t="shared" si="552"/>
        <v>34.78591770046296</v>
      </c>
      <c r="BB222" s="645">
        <f t="shared" si="553"/>
        <v>0</v>
      </c>
      <c r="BC222" s="646">
        <f t="shared" si="554"/>
        <v>0</v>
      </c>
      <c r="BD222" s="647">
        <f t="shared" si="555"/>
        <v>7853.4953752308729</v>
      </c>
      <c r="BE222" s="644">
        <f t="shared" si="514"/>
        <v>0</v>
      </c>
      <c r="BF222" s="645">
        <f t="shared" si="515"/>
        <v>0</v>
      </c>
      <c r="BG222" s="646">
        <f t="shared" si="556"/>
        <v>0</v>
      </c>
      <c r="BH222" s="647">
        <f t="shared" si="516"/>
        <v>7853.4953752308729</v>
      </c>
      <c r="BI222" s="644">
        <f t="shared" si="557"/>
        <v>0</v>
      </c>
      <c r="BJ222" s="645">
        <f t="shared" si="558"/>
        <v>0</v>
      </c>
      <c r="BK222" s="646">
        <f t="shared" si="559"/>
        <v>0</v>
      </c>
      <c r="BL222" s="647">
        <f t="shared" si="517"/>
        <v>7853.4953752308729</v>
      </c>
      <c r="BM222" s="644">
        <f t="shared" si="560"/>
        <v>0</v>
      </c>
      <c r="BN222" s="645">
        <f t="shared" si="561"/>
        <v>0</v>
      </c>
      <c r="BO222" s="646">
        <f t="shared" si="562"/>
        <v>0</v>
      </c>
      <c r="BP222" s="647">
        <f t="shared" si="518"/>
        <v>7853.4953752308729</v>
      </c>
      <c r="BQ222" s="644">
        <f t="shared" si="563"/>
        <v>0</v>
      </c>
      <c r="BR222" s="645">
        <f t="shared" si="564"/>
        <v>0</v>
      </c>
      <c r="BS222" s="646">
        <f t="shared" si="565"/>
        <v>0</v>
      </c>
      <c r="BT222" s="647">
        <f t="shared" si="519"/>
        <v>7853.4953752308729</v>
      </c>
      <c r="BU222" s="662">
        <f>VLOOKUP(B222,'Afton Update'!$A$5:$AR$582,'Afton Update'!$AO$589,0)-BT222</f>
        <v>0</v>
      </c>
      <c r="BV222" s="644">
        <f t="shared" si="566"/>
        <v>16122.683847048549</v>
      </c>
      <c r="BW222" s="645">
        <f t="shared" si="483"/>
        <v>16900.171783094589</v>
      </c>
      <c r="BX222" s="644">
        <f t="shared" si="567"/>
        <v>777.48793604603998</v>
      </c>
      <c r="BY222" s="645">
        <f t="shared" si="568"/>
        <v>0</v>
      </c>
      <c r="BZ222" s="646">
        <f t="shared" si="569"/>
        <v>0</v>
      </c>
      <c r="CA222" s="647">
        <f t="shared" si="570"/>
        <v>16900.171783094589</v>
      </c>
      <c r="CB222" s="644">
        <f t="shared" si="520"/>
        <v>0</v>
      </c>
      <c r="CC222" s="645">
        <f t="shared" si="521"/>
        <v>0</v>
      </c>
      <c r="CD222" s="646">
        <f t="shared" si="571"/>
        <v>0</v>
      </c>
      <c r="CE222" s="647">
        <f t="shared" si="522"/>
        <v>16900.171783094589</v>
      </c>
      <c r="CF222" s="644">
        <f t="shared" si="572"/>
        <v>0</v>
      </c>
      <c r="CG222" s="645">
        <f t="shared" si="573"/>
        <v>0</v>
      </c>
      <c r="CH222" s="646">
        <f t="shared" si="574"/>
        <v>0</v>
      </c>
      <c r="CI222" s="647">
        <f t="shared" si="523"/>
        <v>16900.171783094589</v>
      </c>
      <c r="CJ222" s="644">
        <f t="shared" si="575"/>
        <v>0</v>
      </c>
      <c r="CK222" s="645">
        <f t="shared" si="576"/>
        <v>0</v>
      </c>
      <c r="CL222" s="646">
        <f t="shared" si="577"/>
        <v>0</v>
      </c>
      <c r="CM222" s="647">
        <f t="shared" si="524"/>
        <v>16900.171783094589</v>
      </c>
      <c r="CN222" s="644">
        <f t="shared" si="578"/>
        <v>0</v>
      </c>
      <c r="CO222" s="645">
        <f t="shared" si="579"/>
        <v>0</v>
      </c>
      <c r="CP222" s="646">
        <f t="shared" si="580"/>
        <v>0</v>
      </c>
      <c r="CQ222" s="647">
        <f t="shared" si="525"/>
        <v>16900.171783094589</v>
      </c>
      <c r="CS222" s="644">
        <f t="shared" si="581"/>
        <v>15008.10079378214</v>
      </c>
      <c r="CT222" s="645">
        <f t="shared" si="484"/>
        <v>15859.536314509716</v>
      </c>
      <c r="CU222" s="644">
        <f t="shared" si="582"/>
        <v>851.43552072757666</v>
      </c>
      <c r="CV222" s="645">
        <f t="shared" si="583"/>
        <v>0</v>
      </c>
      <c r="CW222" s="646">
        <f t="shared" si="584"/>
        <v>0</v>
      </c>
      <c r="CX222" s="647">
        <f t="shared" si="585"/>
        <v>15859.536314509716</v>
      </c>
      <c r="CY222" s="644">
        <f t="shared" si="526"/>
        <v>0</v>
      </c>
      <c r="CZ222" s="645">
        <f t="shared" si="527"/>
        <v>0</v>
      </c>
      <c r="DA222" s="646">
        <f t="shared" si="586"/>
        <v>0</v>
      </c>
      <c r="DB222" s="647">
        <f t="shared" si="528"/>
        <v>15859.536314509716</v>
      </c>
      <c r="DC222" s="644">
        <f t="shared" si="587"/>
        <v>0</v>
      </c>
      <c r="DD222" s="645">
        <f t="shared" si="588"/>
        <v>0</v>
      </c>
      <c r="DE222" s="646">
        <f t="shared" si="589"/>
        <v>0</v>
      </c>
      <c r="DF222" s="647">
        <f t="shared" si="529"/>
        <v>15859.536314509716</v>
      </c>
      <c r="DG222" s="644">
        <f t="shared" si="590"/>
        <v>0</v>
      </c>
      <c r="DH222" s="645">
        <f t="shared" si="591"/>
        <v>0</v>
      </c>
      <c r="DI222" s="646">
        <f t="shared" si="592"/>
        <v>0</v>
      </c>
      <c r="DJ222" s="647">
        <f t="shared" si="530"/>
        <v>15859.536314509716</v>
      </c>
      <c r="DK222" s="644">
        <f t="shared" si="593"/>
        <v>0</v>
      </c>
      <c r="DL222" s="645">
        <f t="shared" si="594"/>
        <v>0</v>
      </c>
      <c r="DM222" s="646">
        <f t="shared" si="595"/>
        <v>0</v>
      </c>
      <c r="DN222" s="647">
        <f t="shared" si="531"/>
        <v>15859.536314509716</v>
      </c>
      <c r="DR222" s="827">
        <f t="shared" si="485"/>
        <v>74300.256095600635</v>
      </c>
      <c r="DV222" s="828">
        <f>IFERROR(VLOOKUP($B222,'Afton FY16 Final'!$A$5:$BV$587,'Afton FY16 Final'!$BV$587,0),0)</f>
        <v>76670.825331982138</v>
      </c>
      <c r="DX222" s="636">
        <f t="shared" si="473"/>
        <v>0</v>
      </c>
      <c r="DY222" s="637">
        <f t="shared" si="474"/>
        <v>0</v>
      </c>
      <c r="DZ222" s="637">
        <f t="shared" si="475"/>
        <v>0</v>
      </c>
      <c r="EA222" s="643">
        <f t="shared" si="476"/>
        <v>0</v>
      </c>
      <c r="EB222" s="637">
        <f t="shared" si="486"/>
        <v>0</v>
      </c>
      <c r="EC222" s="637">
        <f t="shared" si="487"/>
        <v>0</v>
      </c>
      <c r="ED222" s="637">
        <f t="shared" si="488"/>
        <v>0</v>
      </c>
      <c r="EE222" s="643">
        <f t="shared" si="489"/>
        <v>0</v>
      </c>
      <c r="EF222" s="637">
        <f t="shared" si="490"/>
        <v>0</v>
      </c>
      <c r="EG222" s="637">
        <f t="shared" si="491"/>
        <v>0</v>
      </c>
      <c r="EH222" s="637">
        <f t="shared" si="492"/>
        <v>0</v>
      </c>
      <c r="EI222" s="643">
        <f t="shared" si="493"/>
        <v>0</v>
      </c>
      <c r="EJ222" s="637">
        <f t="shared" si="494"/>
        <v>0</v>
      </c>
      <c r="EK222" s="637">
        <f t="shared" si="495"/>
        <v>0</v>
      </c>
      <c r="EL222" s="637">
        <f t="shared" si="496"/>
        <v>0</v>
      </c>
      <c r="EM222" s="643">
        <f t="shared" si="497"/>
        <v>0</v>
      </c>
      <c r="EN222" s="637">
        <f t="shared" si="498"/>
        <v>0</v>
      </c>
      <c r="EO222" s="637">
        <f t="shared" si="499"/>
        <v>0</v>
      </c>
      <c r="EP222" s="637">
        <f t="shared" si="500"/>
        <v>0</v>
      </c>
      <c r="EQ222" s="643">
        <f t="shared" si="501"/>
        <v>0</v>
      </c>
      <c r="ER222" s="637">
        <f t="shared" si="502"/>
        <v>0</v>
      </c>
      <c r="ES222" s="637">
        <f t="shared" si="503"/>
        <v>0</v>
      </c>
      <c r="ET222" s="637">
        <f t="shared" si="504"/>
        <v>0</v>
      </c>
      <c r="EU222" s="643">
        <f t="shared" si="477"/>
        <v>0</v>
      </c>
      <c r="EV222" s="643">
        <f t="shared" si="478"/>
        <v>0</v>
      </c>
      <c r="EX222" s="829">
        <f t="shared" si="479"/>
        <v>0</v>
      </c>
      <c r="EY222" s="638">
        <f t="shared" si="480"/>
        <v>74300.256095600635</v>
      </c>
      <c r="FC222" s="830" t="str">
        <f t="shared" si="505"/>
        <v>Y</v>
      </c>
      <c r="FE222" s="830" t="str">
        <f>IFERROR(VLOOKUP($B222,'Historical Conc Grant Elig'!$B$3:$J$707,'HH &amp; SI'!FE$2,0),"N")</f>
        <v>N</v>
      </c>
      <c r="FF222" s="830" t="str">
        <f>IFERROR(VLOOKUP($B222,'Historical Conc Grant Elig'!$B$3:$J$707,'HH &amp; SI'!FF$2,0),"N")</f>
        <v>Y</v>
      </c>
      <c r="FG222" s="830" t="str">
        <f>IFERROR(VLOOKUP($B222,'Historical Conc Grant Elig'!$B$3:$J$707,'HH &amp; SI'!FG$2,0),"N")</f>
        <v>Y</v>
      </c>
      <c r="FH222" s="830" t="str">
        <f>IFERROR(VLOOKUP($B222,'Historical Conc Grant Elig'!$B$3:$J$707,'HH &amp; SI'!FH$2,0),"N")</f>
        <v>Y</v>
      </c>
      <c r="FI222" s="830" t="str">
        <f>IFERROR(VLOOKUP($B222,'Historical Conc Grant Elig'!$B$3:$J$707,'HH &amp; SI'!FI$2,0),"N")</f>
        <v>Y</v>
      </c>
      <c r="FJ222" s="830" t="str">
        <f>IFERROR(VLOOKUP($B222,'Historical Conc Grant Elig'!$B$3:$J$707,'HH &amp; SI'!FJ$2,0),"N")</f>
        <v>Y</v>
      </c>
      <c r="FK222" s="830" t="str">
        <f>IFERROR(VLOOKUP($B222,'Historical Conc Grant Elig'!$B$3:$J$707,'HH &amp; SI'!FK$2,0),"N")</f>
        <v>Y</v>
      </c>
      <c r="FL222" s="957" t="str">
        <f>IFERROR(VLOOKUP($B222,'Historical Conc Grant Elig'!$B$3:$J$707,'HH &amp; SI'!FL$2,0),"N")</f>
        <v>Y</v>
      </c>
    </row>
    <row r="223" spans="2:168" x14ac:dyDescent="0.25">
      <c r="B223" s="634">
        <v>78608000</v>
      </c>
      <c r="C223" s="635" t="str">
        <f>VLOOKUP($B223,'Afton Update'!$A$5:$CR$582,'Afton Update'!D$589,0)</f>
        <v>Florence Crittenton Services of Arizona  Inc.</v>
      </c>
      <c r="D223" s="636">
        <f>IFERROR(VLOOKUP($B223,'Afton FY16 Final'!$A$5:$BV$587,'Afton FY16 Final'!AQ$587,0),0)</f>
        <v>24434.624735007055</v>
      </c>
      <c r="E223" s="637">
        <f>IFERROR(VLOOKUP($B223,'Afton FY16 Final'!$A$5:$BV$587,'Afton FY16 Final'!AR$587,0),0)</f>
        <v>6870.6737894825901</v>
      </c>
      <c r="F223" s="637">
        <f>IFERROR(VLOOKUP($B223,'Afton FY16 Final'!$A$5:$BV$587,'Afton FY16 Final'!AS$587,0),0)</f>
        <v>13260.957866192541</v>
      </c>
      <c r="G223" s="637">
        <f>IFERROR(VLOOKUP($B223,'Afton FY16 Final'!$A$5:$BV$587,'Afton FY16 Final'!AT$587,0),0)</f>
        <v>12009.493601737066</v>
      </c>
      <c r="H223" s="638">
        <f>IFERROR(VLOOKUP($B223,'Afton FY16 Final'!$A$5:$BV$587,'Afton FY16 Final'!AU$587,0),0)</f>
        <v>56575.749992419253</v>
      </c>
      <c r="I223" s="639" t="str">
        <f>VLOOKUP($B223,'Afton Update'!$A$5:$CR$582,'Afton Update'!BT$589,0)</f>
        <v>Y</v>
      </c>
      <c r="J223" s="640" t="str">
        <f>VLOOKUP($B223,'Afton Update'!$A$5:$CR$582,'Afton Update'!BU$589,0)</f>
        <v>Y</v>
      </c>
      <c r="K223" s="640" t="str">
        <f>VLOOKUP($B223,'Afton Update'!$A$5:$CR$582,'Afton Update'!BV$589,0)</f>
        <v>Y</v>
      </c>
      <c r="L223" s="641" t="str">
        <f>VLOOKUP($B223,'Afton Update'!$A$5:$CR$582,'Afton Update'!BW$589,0)</f>
        <v>Y</v>
      </c>
      <c r="N223" s="642">
        <f>VLOOKUP($B223,'Afton Update'!$A$5:$CR$582,'Afton Update'!CB$589,0)</f>
        <v>0.95</v>
      </c>
      <c r="P223" s="636">
        <f>VLOOKUP($B223,'Afton Update'!$A$5:$CR$582,'Afton Update'!AH$589,0)</f>
        <v>20329.419139296879</v>
      </c>
      <c r="Q223" s="637">
        <f>VLOOKUP($B223,'Afton Update'!$A$5:$CR$582,'Afton Update'!AI$589,0)</f>
        <v>6334.9125684783139</v>
      </c>
      <c r="R223" s="637">
        <f>VLOOKUP($B223,'Afton Update'!$A$5:$CR$582,'Afton Update'!AJ$589,0)</f>
        <v>11923.376924832472</v>
      </c>
      <c r="S223" s="637">
        <f>VLOOKUP($B223,'Afton Update'!$A$5:$CR$582,'Afton Update'!AK$589,0)</f>
        <v>11099.097668090815</v>
      </c>
      <c r="T223" s="643">
        <f t="shared" si="506"/>
        <v>49686.806300698481</v>
      </c>
      <c r="V223" s="636">
        <f t="shared" si="532"/>
        <v>23212.893498256701</v>
      </c>
      <c r="W223" s="637">
        <f t="shared" si="533"/>
        <v>6527.1401000084606</v>
      </c>
      <c r="X223" s="637">
        <f t="shared" si="534"/>
        <v>12597.909972882913</v>
      </c>
      <c r="Y223" s="637">
        <f t="shared" si="535"/>
        <v>11409.018921650211</v>
      </c>
      <c r="Z223" s="643">
        <f t="shared" si="536"/>
        <v>53746.962492798288</v>
      </c>
      <c r="AB223" s="644">
        <f t="shared" si="507"/>
        <v>20329.419139296879</v>
      </c>
      <c r="AC223" s="645">
        <f t="shared" si="481"/>
        <v>23212.893498256701</v>
      </c>
      <c r="AD223" s="644">
        <f t="shared" si="537"/>
        <v>2883.474358959822</v>
      </c>
      <c r="AE223" s="645">
        <f t="shared" si="538"/>
        <v>0</v>
      </c>
      <c r="AF223" s="646">
        <f t="shared" si="539"/>
        <v>0</v>
      </c>
      <c r="AG223" s="647">
        <f t="shared" si="540"/>
        <v>23212.893498256701</v>
      </c>
      <c r="AH223" s="644">
        <f t="shared" si="508"/>
        <v>0</v>
      </c>
      <c r="AI223" s="645">
        <f t="shared" si="509"/>
        <v>0</v>
      </c>
      <c r="AJ223" s="646">
        <f t="shared" si="541"/>
        <v>0</v>
      </c>
      <c r="AK223" s="647">
        <f t="shared" si="510"/>
        <v>23212.893498256701</v>
      </c>
      <c r="AL223" s="644">
        <f t="shared" si="542"/>
        <v>0</v>
      </c>
      <c r="AM223" s="645">
        <f t="shared" si="543"/>
        <v>0</v>
      </c>
      <c r="AN223" s="646">
        <f t="shared" si="544"/>
        <v>0</v>
      </c>
      <c r="AO223" s="647">
        <f t="shared" si="511"/>
        <v>23212.893498256701</v>
      </c>
      <c r="AP223" s="644">
        <f t="shared" si="545"/>
        <v>0</v>
      </c>
      <c r="AQ223" s="645">
        <f t="shared" si="546"/>
        <v>0</v>
      </c>
      <c r="AR223" s="646">
        <f t="shared" si="547"/>
        <v>0</v>
      </c>
      <c r="AS223" s="647">
        <f t="shared" si="512"/>
        <v>23212.893498256701</v>
      </c>
      <c r="AT223" s="644">
        <f t="shared" si="548"/>
        <v>0</v>
      </c>
      <c r="AU223" s="645">
        <f t="shared" si="549"/>
        <v>0</v>
      </c>
      <c r="AV223" s="646">
        <f t="shared" si="550"/>
        <v>0</v>
      </c>
      <c r="AW223" s="647">
        <f t="shared" si="513"/>
        <v>23212.893498256701</v>
      </c>
      <c r="AY223" s="644">
        <f t="shared" si="551"/>
        <v>6334.9125684783139</v>
      </c>
      <c r="AZ223" s="645">
        <f t="shared" si="482"/>
        <v>6527.1401000084606</v>
      </c>
      <c r="BA223" s="644">
        <f t="shared" si="552"/>
        <v>192.22753153014673</v>
      </c>
      <c r="BB223" s="645">
        <f t="shared" si="553"/>
        <v>0</v>
      </c>
      <c r="BC223" s="646">
        <f t="shared" si="554"/>
        <v>0</v>
      </c>
      <c r="BD223" s="647">
        <f t="shared" si="555"/>
        <v>6527.1401000084606</v>
      </c>
      <c r="BE223" s="644">
        <f t="shared" si="514"/>
        <v>0</v>
      </c>
      <c r="BF223" s="645">
        <f t="shared" si="515"/>
        <v>0</v>
      </c>
      <c r="BG223" s="646">
        <f t="shared" si="556"/>
        <v>0</v>
      </c>
      <c r="BH223" s="647">
        <f t="shared" si="516"/>
        <v>6527.1401000084606</v>
      </c>
      <c r="BI223" s="644">
        <f t="shared" si="557"/>
        <v>0</v>
      </c>
      <c r="BJ223" s="645">
        <f t="shared" si="558"/>
        <v>0</v>
      </c>
      <c r="BK223" s="646">
        <f t="shared" si="559"/>
        <v>0</v>
      </c>
      <c r="BL223" s="647">
        <f t="shared" si="517"/>
        <v>6527.1401000084606</v>
      </c>
      <c r="BM223" s="644">
        <f t="shared" si="560"/>
        <v>0</v>
      </c>
      <c r="BN223" s="645">
        <f t="shared" si="561"/>
        <v>0</v>
      </c>
      <c r="BO223" s="646">
        <f t="shared" si="562"/>
        <v>0</v>
      </c>
      <c r="BP223" s="647">
        <f t="shared" si="518"/>
        <v>6527.1401000084606</v>
      </c>
      <c r="BQ223" s="644">
        <f t="shared" si="563"/>
        <v>0</v>
      </c>
      <c r="BR223" s="645">
        <f t="shared" si="564"/>
        <v>0</v>
      </c>
      <c r="BS223" s="646">
        <f t="shared" si="565"/>
        <v>0</v>
      </c>
      <c r="BT223" s="647">
        <f t="shared" si="519"/>
        <v>6527.1401000084606</v>
      </c>
      <c r="BU223" s="662">
        <f>VLOOKUP(B223,'Afton Update'!$A$5:$AR$582,'Afton Update'!$AO$589,0)-BT223</f>
        <v>0</v>
      </c>
      <c r="BV223" s="644">
        <f t="shared" si="566"/>
        <v>11923.376924832472</v>
      </c>
      <c r="BW223" s="645">
        <f t="shared" si="483"/>
        <v>12597.909972882913</v>
      </c>
      <c r="BX223" s="644">
        <f t="shared" si="567"/>
        <v>674.53304805044172</v>
      </c>
      <c r="BY223" s="645">
        <f t="shared" si="568"/>
        <v>0</v>
      </c>
      <c r="BZ223" s="646">
        <f t="shared" si="569"/>
        <v>0</v>
      </c>
      <c r="CA223" s="647">
        <f t="shared" si="570"/>
        <v>12597.909972882913</v>
      </c>
      <c r="CB223" s="644">
        <f t="shared" si="520"/>
        <v>0</v>
      </c>
      <c r="CC223" s="645">
        <f t="shared" si="521"/>
        <v>0</v>
      </c>
      <c r="CD223" s="646">
        <f t="shared" si="571"/>
        <v>0</v>
      </c>
      <c r="CE223" s="647">
        <f t="shared" si="522"/>
        <v>12597.909972882913</v>
      </c>
      <c r="CF223" s="644">
        <f t="shared" si="572"/>
        <v>0</v>
      </c>
      <c r="CG223" s="645">
        <f t="shared" si="573"/>
        <v>0</v>
      </c>
      <c r="CH223" s="646">
        <f t="shared" si="574"/>
        <v>0</v>
      </c>
      <c r="CI223" s="647">
        <f t="shared" si="523"/>
        <v>12597.909972882913</v>
      </c>
      <c r="CJ223" s="644">
        <f t="shared" si="575"/>
        <v>0</v>
      </c>
      <c r="CK223" s="645">
        <f t="shared" si="576"/>
        <v>0</v>
      </c>
      <c r="CL223" s="646">
        <f t="shared" si="577"/>
        <v>0</v>
      </c>
      <c r="CM223" s="647">
        <f t="shared" si="524"/>
        <v>12597.909972882913</v>
      </c>
      <c r="CN223" s="644">
        <f t="shared" si="578"/>
        <v>0</v>
      </c>
      <c r="CO223" s="645">
        <f t="shared" si="579"/>
        <v>0</v>
      </c>
      <c r="CP223" s="646">
        <f t="shared" si="580"/>
        <v>0</v>
      </c>
      <c r="CQ223" s="647">
        <f t="shared" si="525"/>
        <v>12597.909972882913</v>
      </c>
      <c r="CS223" s="644">
        <f t="shared" si="581"/>
        <v>11099.097668090815</v>
      </c>
      <c r="CT223" s="645">
        <f t="shared" si="484"/>
        <v>11409.018921650211</v>
      </c>
      <c r="CU223" s="644">
        <f t="shared" si="582"/>
        <v>309.92125355939606</v>
      </c>
      <c r="CV223" s="645">
        <f t="shared" si="583"/>
        <v>0</v>
      </c>
      <c r="CW223" s="646">
        <f t="shared" si="584"/>
        <v>0</v>
      </c>
      <c r="CX223" s="647">
        <f t="shared" si="585"/>
        <v>11409.018921650211</v>
      </c>
      <c r="CY223" s="644">
        <f t="shared" si="526"/>
        <v>0</v>
      </c>
      <c r="CZ223" s="645">
        <f t="shared" si="527"/>
        <v>0</v>
      </c>
      <c r="DA223" s="646">
        <f t="shared" si="586"/>
        <v>0</v>
      </c>
      <c r="DB223" s="647">
        <f t="shared" si="528"/>
        <v>11409.018921650211</v>
      </c>
      <c r="DC223" s="644">
        <f t="shared" si="587"/>
        <v>0</v>
      </c>
      <c r="DD223" s="645">
        <f t="shared" si="588"/>
        <v>0</v>
      </c>
      <c r="DE223" s="646">
        <f t="shared" si="589"/>
        <v>0</v>
      </c>
      <c r="DF223" s="647">
        <f t="shared" si="529"/>
        <v>11409.018921650211</v>
      </c>
      <c r="DG223" s="644">
        <f t="shared" si="590"/>
        <v>0</v>
      </c>
      <c r="DH223" s="645">
        <f t="shared" si="591"/>
        <v>0</v>
      </c>
      <c r="DI223" s="646">
        <f t="shared" si="592"/>
        <v>0</v>
      </c>
      <c r="DJ223" s="647">
        <f t="shared" si="530"/>
        <v>11409.018921650211</v>
      </c>
      <c r="DK223" s="644">
        <f t="shared" si="593"/>
        <v>0</v>
      </c>
      <c r="DL223" s="645">
        <f t="shared" si="594"/>
        <v>0</v>
      </c>
      <c r="DM223" s="646">
        <f t="shared" si="595"/>
        <v>0</v>
      </c>
      <c r="DN223" s="647">
        <f t="shared" si="531"/>
        <v>11409.018921650211</v>
      </c>
      <c r="DR223" s="827">
        <f t="shared" si="485"/>
        <v>53746.962492798288</v>
      </c>
      <c r="DV223" s="828">
        <f>IFERROR(VLOOKUP($B223,'Afton FY16 Final'!$A$5:$BV$587,'Afton FY16 Final'!$BV$587,0),0)</f>
        <v>51600.582163827494</v>
      </c>
      <c r="DX223" s="636">
        <f t="shared" si="473"/>
        <v>53746.962492798288</v>
      </c>
      <c r="DY223" s="637">
        <f t="shared" si="474"/>
        <v>2146.3803289707939</v>
      </c>
      <c r="DZ223" s="637">
        <f t="shared" si="475"/>
        <v>51600.582163827494</v>
      </c>
      <c r="EA223" s="643">
        <f t="shared" si="476"/>
        <v>50888.226451940107</v>
      </c>
      <c r="EB223" s="637">
        <f t="shared" si="486"/>
        <v>51600.582163827494</v>
      </c>
      <c r="EC223" s="637">
        <f t="shared" si="487"/>
        <v>0</v>
      </c>
      <c r="ED223" s="637">
        <f t="shared" si="488"/>
        <v>0</v>
      </c>
      <c r="EE223" s="643">
        <f t="shared" si="489"/>
        <v>51600.582163827494</v>
      </c>
      <c r="EF223" s="637">
        <f t="shared" si="490"/>
        <v>0</v>
      </c>
      <c r="EG223" s="637">
        <f t="shared" si="491"/>
        <v>0</v>
      </c>
      <c r="EH223" s="637">
        <f t="shared" si="492"/>
        <v>0</v>
      </c>
      <c r="EI223" s="643">
        <f t="shared" si="493"/>
        <v>51600.582163827494</v>
      </c>
      <c r="EJ223" s="637">
        <f t="shared" si="494"/>
        <v>0</v>
      </c>
      <c r="EK223" s="637">
        <f t="shared" si="495"/>
        <v>0</v>
      </c>
      <c r="EL223" s="637">
        <f t="shared" si="496"/>
        <v>0</v>
      </c>
      <c r="EM223" s="643">
        <f t="shared" si="497"/>
        <v>51600.582163827494</v>
      </c>
      <c r="EN223" s="637">
        <f t="shared" si="498"/>
        <v>0</v>
      </c>
      <c r="EO223" s="637">
        <f t="shared" si="499"/>
        <v>0</v>
      </c>
      <c r="EP223" s="637">
        <f t="shared" si="500"/>
        <v>0</v>
      </c>
      <c r="EQ223" s="643">
        <f t="shared" si="501"/>
        <v>51600.582163827494</v>
      </c>
      <c r="ER223" s="637">
        <f t="shared" si="502"/>
        <v>0</v>
      </c>
      <c r="ES223" s="637">
        <f t="shared" si="503"/>
        <v>0</v>
      </c>
      <c r="ET223" s="637">
        <f t="shared" si="504"/>
        <v>0</v>
      </c>
      <c r="EU223" s="643">
        <f t="shared" si="477"/>
        <v>51600.582163827494</v>
      </c>
      <c r="EV223" s="643">
        <f t="shared" si="478"/>
        <v>0</v>
      </c>
      <c r="EX223" s="829">
        <f t="shared" si="479"/>
        <v>2146.3803289707939</v>
      </c>
      <c r="EY223" s="638">
        <f t="shared" si="480"/>
        <v>51600.582163827494</v>
      </c>
      <c r="FC223" s="830" t="str">
        <f t="shared" si="505"/>
        <v>Y</v>
      </c>
      <c r="FE223" s="830" t="str">
        <f>IFERROR(VLOOKUP($B223,'Historical Conc Grant Elig'!$B$3:$J$707,'HH &amp; SI'!FE$2,0),"N")</f>
        <v>Y</v>
      </c>
      <c r="FF223" s="830" t="str">
        <f>IFERROR(VLOOKUP($B223,'Historical Conc Grant Elig'!$B$3:$J$707,'HH &amp; SI'!FF$2,0),"N")</f>
        <v>Y</v>
      </c>
      <c r="FG223" s="830" t="str">
        <f>IFERROR(VLOOKUP($B223,'Historical Conc Grant Elig'!$B$3:$J$707,'HH &amp; SI'!FG$2,0),"N")</f>
        <v>Y</v>
      </c>
      <c r="FH223" s="830" t="str">
        <f>IFERROR(VLOOKUP($B223,'Historical Conc Grant Elig'!$B$3:$J$707,'HH &amp; SI'!FH$2,0),"N")</f>
        <v>Y</v>
      </c>
      <c r="FI223" s="830" t="str">
        <f>IFERROR(VLOOKUP($B223,'Historical Conc Grant Elig'!$B$3:$J$707,'HH &amp; SI'!FI$2,0),"N")</f>
        <v>Y</v>
      </c>
      <c r="FJ223" s="830" t="str">
        <f>IFERROR(VLOOKUP($B223,'Historical Conc Grant Elig'!$B$3:$J$707,'HH &amp; SI'!FJ$2,0),"N")</f>
        <v>Y</v>
      </c>
      <c r="FK223" s="830" t="str">
        <f>IFERROR(VLOOKUP($B223,'Historical Conc Grant Elig'!$B$3:$J$707,'HH &amp; SI'!FK$2,0),"N")</f>
        <v>Y</v>
      </c>
      <c r="FL223" s="957" t="str">
        <f>IFERROR(VLOOKUP($B223,'Historical Conc Grant Elig'!$B$3:$J$707,'HH &amp; SI'!FL$2,0),"N")</f>
        <v>Y</v>
      </c>
    </row>
    <row r="224" spans="2:168" x14ac:dyDescent="0.25">
      <c r="B224" s="634">
        <v>78611000</v>
      </c>
      <c r="C224" s="635" t="str">
        <f>VLOOKUP($B224,'Afton Update'!$A$5:$CR$582,'Afton Update'!D$589,0)</f>
        <v>Friendly House  Inc.</v>
      </c>
      <c r="D224" s="636">
        <f>IFERROR(VLOOKUP($B224,'Afton FY16 Final'!$A$5:$BV$587,'Afton FY16 Final'!AQ$587,0),0)</f>
        <v>88699.154302393697</v>
      </c>
      <c r="E224" s="637">
        <f>IFERROR(VLOOKUP($B224,'Afton FY16 Final'!$A$5:$BV$587,'Afton FY16 Final'!AR$587,0),0)</f>
        <v>19917.58048949255</v>
      </c>
      <c r="F224" s="637">
        <f>IFERROR(VLOOKUP($B224,'Afton FY16 Final'!$A$5:$BV$587,'Afton FY16 Final'!AS$587,0),0)</f>
        <v>48138.072948825851</v>
      </c>
      <c r="G224" s="637">
        <f>IFERROR(VLOOKUP($B224,'Afton FY16 Final'!$A$5:$BV$587,'Afton FY16 Final'!AT$587,0),0)</f>
        <v>44655.095187734478</v>
      </c>
      <c r="H224" s="638">
        <f>IFERROR(VLOOKUP($B224,'Afton FY16 Final'!$A$5:$BV$587,'Afton FY16 Final'!AU$587,0),0)</f>
        <v>201409.90292844659</v>
      </c>
      <c r="I224" s="639" t="str">
        <f>VLOOKUP($B224,'Afton Update'!$A$5:$CR$582,'Afton Update'!BT$589,0)</f>
        <v>Y</v>
      </c>
      <c r="J224" s="640" t="str">
        <f>VLOOKUP($B224,'Afton Update'!$A$5:$CR$582,'Afton Update'!BU$589,0)</f>
        <v>Y</v>
      </c>
      <c r="K224" s="640" t="str">
        <f>VLOOKUP($B224,'Afton Update'!$A$5:$CR$582,'Afton Update'!BV$589,0)</f>
        <v>Y</v>
      </c>
      <c r="L224" s="641" t="str">
        <f>VLOOKUP($B224,'Afton Update'!$A$5:$CR$582,'Afton Update'!BW$589,0)</f>
        <v>Y</v>
      </c>
      <c r="N224" s="642">
        <f>VLOOKUP($B224,'Afton Update'!$A$5:$CR$582,'Afton Update'!CB$589,0)</f>
        <v>0.95</v>
      </c>
      <c r="P224" s="636">
        <f>VLOOKUP($B224,'Afton Update'!$A$5:$CR$582,'Afton Update'!AH$589,0)</f>
        <v>88971.104939040466</v>
      </c>
      <c r="Q224" s="637">
        <f>VLOOKUP($B224,'Afton Update'!$A$5:$CR$582,'Afton Update'!AI$589,0)</f>
        <v>20529.902807076691</v>
      </c>
      <c r="R224" s="637">
        <f>VLOOKUP($B224,'Afton Update'!$A$5:$CR$582,'Afton Update'!AJ$589,0)</f>
        <v>52096.746480699599</v>
      </c>
      <c r="S224" s="637">
        <f>VLOOKUP($B224,'Afton Update'!$A$5:$CR$582,'Afton Update'!AK$589,0)</f>
        <v>48495.227570537805</v>
      </c>
      <c r="T224" s="643">
        <f t="shared" si="506"/>
        <v>210092.98179735456</v>
      </c>
      <c r="V224" s="636">
        <f t="shared" si="532"/>
        <v>87757.481319760642</v>
      </c>
      <c r="W224" s="637">
        <f t="shared" si="533"/>
        <v>19853.722867891931</v>
      </c>
      <c r="X224" s="637">
        <f t="shared" si="534"/>
        <v>51622.946911863219</v>
      </c>
      <c r="Y224" s="637">
        <f t="shared" si="535"/>
        <v>47960.897458579304</v>
      </c>
      <c r="Z224" s="643">
        <f t="shared" si="536"/>
        <v>207195.04855809509</v>
      </c>
      <c r="AB224" s="644">
        <f t="shared" si="507"/>
        <v>88971.104939040466</v>
      </c>
      <c r="AC224" s="645">
        <f t="shared" si="481"/>
        <v>84264.196587274011</v>
      </c>
      <c r="AD224" s="644">
        <f t="shared" si="537"/>
        <v>0</v>
      </c>
      <c r="AE224" s="645">
        <f t="shared" si="538"/>
        <v>88971.104939040466</v>
      </c>
      <c r="AF224" s="646">
        <f t="shared" si="539"/>
        <v>-1102.8637057249878</v>
      </c>
      <c r="AG224" s="647">
        <f t="shared" si="540"/>
        <v>87868.241233315479</v>
      </c>
      <c r="AH224" s="644">
        <f t="shared" si="508"/>
        <v>0</v>
      </c>
      <c r="AI224" s="645">
        <f t="shared" si="509"/>
        <v>87868.241233315479</v>
      </c>
      <c r="AJ224" s="646">
        <f t="shared" si="541"/>
        <v>-110.68934875411483</v>
      </c>
      <c r="AK224" s="647">
        <f t="shared" si="510"/>
        <v>87757.55188456137</v>
      </c>
      <c r="AL224" s="644">
        <f t="shared" si="542"/>
        <v>0</v>
      </c>
      <c r="AM224" s="645">
        <f t="shared" si="543"/>
        <v>87757.55188456137</v>
      </c>
      <c r="AN224" s="646">
        <f t="shared" si="544"/>
        <v>-7.0564800734793529E-2</v>
      </c>
      <c r="AO224" s="647">
        <f t="shared" si="511"/>
        <v>87757.481319760642</v>
      </c>
      <c r="AP224" s="644">
        <f t="shared" si="545"/>
        <v>0</v>
      </c>
      <c r="AQ224" s="645">
        <f t="shared" si="546"/>
        <v>87757.481319760642</v>
      </c>
      <c r="AR224" s="646">
        <f t="shared" si="547"/>
        <v>0</v>
      </c>
      <c r="AS224" s="647">
        <f t="shared" si="512"/>
        <v>87757.481319760642</v>
      </c>
      <c r="AT224" s="644">
        <f t="shared" si="548"/>
        <v>0</v>
      </c>
      <c r="AU224" s="645">
        <f t="shared" si="549"/>
        <v>87757.481319760642</v>
      </c>
      <c r="AV224" s="646">
        <f t="shared" si="550"/>
        <v>0</v>
      </c>
      <c r="AW224" s="647">
        <f t="shared" si="513"/>
        <v>87757.481319760642</v>
      </c>
      <c r="AY224" s="644">
        <f t="shared" si="551"/>
        <v>20529.902807076691</v>
      </c>
      <c r="AZ224" s="645">
        <f t="shared" si="482"/>
        <v>18921.701465017923</v>
      </c>
      <c r="BA224" s="644">
        <f t="shared" si="552"/>
        <v>0</v>
      </c>
      <c r="BB224" s="645">
        <f t="shared" si="553"/>
        <v>20529.902807076691</v>
      </c>
      <c r="BC224" s="646">
        <f t="shared" si="554"/>
        <v>-147.63651412438426</v>
      </c>
      <c r="BD224" s="647">
        <f t="shared" si="555"/>
        <v>20382.266292952307</v>
      </c>
      <c r="BE224" s="644">
        <f t="shared" si="514"/>
        <v>0</v>
      </c>
      <c r="BF224" s="645">
        <f t="shared" si="515"/>
        <v>20382.266292952307</v>
      </c>
      <c r="BG224" s="646">
        <f t="shared" si="556"/>
        <v>-485.48897274943238</v>
      </c>
      <c r="BH224" s="647">
        <f t="shared" si="516"/>
        <v>19896.777320202873</v>
      </c>
      <c r="BI224" s="644">
        <f t="shared" si="557"/>
        <v>0</v>
      </c>
      <c r="BJ224" s="645">
        <f t="shared" si="558"/>
        <v>19896.777320202873</v>
      </c>
      <c r="BK224" s="646">
        <f t="shared" si="559"/>
        <v>-42.146047560253265</v>
      </c>
      <c r="BL224" s="647">
        <f t="shared" si="517"/>
        <v>19854.631272642619</v>
      </c>
      <c r="BM224" s="644">
        <f t="shared" si="560"/>
        <v>0</v>
      </c>
      <c r="BN224" s="645">
        <f t="shared" si="561"/>
        <v>19854.631272642619</v>
      </c>
      <c r="BO224" s="646">
        <f t="shared" si="562"/>
        <v>-0.90840475068791338</v>
      </c>
      <c r="BP224" s="647">
        <f t="shared" si="518"/>
        <v>19853.722867891931</v>
      </c>
      <c r="BQ224" s="644">
        <f t="shared" si="563"/>
        <v>0</v>
      </c>
      <c r="BR224" s="645">
        <f t="shared" si="564"/>
        <v>19853.722867891931</v>
      </c>
      <c r="BS224" s="646">
        <f t="shared" si="565"/>
        <v>0</v>
      </c>
      <c r="BT224" s="647">
        <f t="shared" si="519"/>
        <v>19853.722867891931</v>
      </c>
      <c r="BU224" s="662">
        <f>VLOOKUP(B224,'Afton Update'!$A$5:$AR$582,'Afton Update'!$AO$589,0)-BT224</f>
        <v>0</v>
      </c>
      <c r="BV224" s="644">
        <f t="shared" si="566"/>
        <v>52096.746480699599</v>
      </c>
      <c r="BW224" s="645">
        <f t="shared" si="483"/>
        <v>45731.169301384558</v>
      </c>
      <c r="BX224" s="644">
        <f t="shared" si="567"/>
        <v>0</v>
      </c>
      <c r="BY224" s="645">
        <f t="shared" si="568"/>
        <v>52096.746480699599</v>
      </c>
      <c r="BZ224" s="646">
        <f t="shared" si="569"/>
        <v>-457.25868272530846</v>
      </c>
      <c r="CA224" s="647">
        <f t="shared" si="570"/>
        <v>51639.487797974289</v>
      </c>
      <c r="CB224" s="644">
        <f t="shared" si="520"/>
        <v>0</v>
      </c>
      <c r="CC224" s="645">
        <f t="shared" si="521"/>
        <v>51639.487797974289</v>
      </c>
      <c r="CD224" s="646">
        <f t="shared" si="571"/>
        <v>-16.54088611106987</v>
      </c>
      <c r="CE224" s="647">
        <f t="shared" si="522"/>
        <v>51622.946911863219</v>
      </c>
      <c r="CF224" s="644">
        <f t="shared" si="572"/>
        <v>0</v>
      </c>
      <c r="CG224" s="645">
        <f t="shared" si="573"/>
        <v>51622.946911863219</v>
      </c>
      <c r="CH224" s="646">
        <f t="shared" si="574"/>
        <v>0</v>
      </c>
      <c r="CI224" s="647">
        <f t="shared" si="523"/>
        <v>51622.946911863219</v>
      </c>
      <c r="CJ224" s="644">
        <f t="shared" si="575"/>
        <v>0</v>
      </c>
      <c r="CK224" s="645">
        <f t="shared" si="576"/>
        <v>51622.946911863219</v>
      </c>
      <c r="CL224" s="646">
        <f t="shared" si="577"/>
        <v>0</v>
      </c>
      <c r="CM224" s="647">
        <f t="shared" si="524"/>
        <v>51622.946911863219</v>
      </c>
      <c r="CN224" s="644">
        <f t="shared" si="578"/>
        <v>0</v>
      </c>
      <c r="CO224" s="645">
        <f t="shared" si="579"/>
        <v>51622.946911863219</v>
      </c>
      <c r="CP224" s="646">
        <f t="shared" si="580"/>
        <v>0</v>
      </c>
      <c r="CQ224" s="647">
        <f t="shared" si="525"/>
        <v>51622.946911863219</v>
      </c>
      <c r="CS224" s="644">
        <f t="shared" si="581"/>
        <v>48495.227570537805</v>
      </c>
      <c r="CT224" s="645">
        <f t="shared" si="484"/>
        <v>42422.34042834775</v>
      </c>
      <c r="CU224" s="644">
        <f t="shared" si="582"/>
        <v>0</v>
      </c>
      <c r="CV224" s="645">
        <f t="shared" si="583"/>
        <v>48495.227570537805</v>
      </c>
      <c r="CW224" s="646">
        <f t="shared" si="584"/>
        <v>-496.61853604112372</v>
      </c>
      <c r="CX224" s="647">
        <f t="shared" si="585"/>
        <v>47998.60903449668</v>
      </c>
      <c r="CY224" s="644">
        <f t="shared" si="526"/>
        <v>0</v>
      </c>
      <c r="CZ224" s="645">
        <f t="shared" si="527"/>
        <v>47998.60903449668</v>
      </c>
      <c r="DA224" s="646">
        <f t="shared" si="586"/>
        <v>-37.679082401824921</v>
      </c>
      <c r="DB224" s="647">
        <f t="shared" si="528"/>
        <v>47960.929952094855</v>
      </c>
      <c r="DC224" s="644">
        <f t="shared" si="587"/>
        <v>0</v>
      </c>
      <c r="DD224" s="645">
        <f t="shared" si="588"/>
        <v>47960.929952094855</v>
      </c>
      <c r="DE224" s="646">
        <f t="shared" si="589"/>
        <v>-3.2493515552537877E-2</v>
      </c>
      <c r="DF224" s="647">
        <f t="shared" si="529"/>
        <v>47960.897458579304</v>
      </c>
      <c r="DG224" s="644">
        <f t="shared" si="590"/>
        <v>0</v>
      </c>
      <c r="DH224" s="645">
        <f t="shared" si="591"/>
        <v>47960.897458579304</v>
      </c>
      <c r="DI224" s="646">
        <f t="shared" si="592"/>
        <v>0</v>
      </c>
      <c r="DJ224" s="647">
        <f t="shared" si="530"/>
        <v>47960.897458579304</v>
      </c>
      <c r="DK224" s="644">
        <f t="shared" si="593"/>
        <v>0</v>
      </c>
      <c r="DL224" s="645">
        <f t="shared" si="594"/>
        <v>47960.897458579304</v>
      </c>
      <c r="DM224" s="646">
        <f t="shared" si="595"/>
        <v>0</v>
      </c>
      <c r="DN224" s="647">
        <f t="shared" si="531"/>
        <v>47960.897458579304</v>
      </c>
      <c r="DR224" s="827">
        <f t="shared" si="485"/>
        <v>207195.04855809509</v>
      </c>
      <c r="DV224" s="828">
        <f>IFERROR(VLOOKUP($B224,'Afton FY16 Final'!$A$5:$BV$587,'Afton FY16 Final'!$BV$587,0),0)</f>
        <v>189990.38320836355</v>
      </c>
      <c r="DX224" s="636">
        <f t="shared" si="473"/>
        <v>207195.04855809509</v>
      </c>
      <c r="DY224" s="637">
        <f t="shared" si="474"/>
        <v>17204.665349731542</v>
      </c>
      <c r="DZ224" s="637">
        <f t="shared" si="475"/>
        <v>189990.38320836355</v>
      </c>
      <c r="EA224" s="643">
        <f t="shared" si="476"/>
        <v>196174.59409278919</v>
      </c>
      <c r="EB224" s="637">
        <f t="shared" si="486"/>
        <v>0</v>
      </c>
      <c r="EC224" s="637">
        <f t="shared" si="487"/>
        <v>196174.59409278919</v>
      </c>
      <c r="ED224" s="637">
        <f t="shared" si="488"/>
        <v>195589.61316634342</v>
      </c>
      <c r="EE224" s="643">
        <f t="shared" si="489"/>
        <v>195589.61316634342</v>
      </c>
      <c r="EF224" s="637">
        <f t="shared" si="490"/>
        <v>0</v>
      </c>
      <c r="EG224" s="637">
        <f t="shared" si="491"/>
        <v>195589.61316634342</v>
      </c>
      <c r="EH224" s="637">
        <f t="shared" si="492"/>
        <v>195589.41138417396</v>
      </c>
      <c r="EI224" s="643">
        <f t="shared" si="493"/>
        <v>195589.41138417396</v>
      </c>
      <c r="EJ224" s="637">
        <f t="shared" si="494"/>
        <v>0</v>
      </c>
      <c r="EK224" s="637">
        <f t="shared" si="495"/>
        <v>195589.41138417396</v>
      </c>
      <c r="EL224" s="637">
        <f t="shared" si="496"/>
        <v>195589.41138417367</v>
      </c>
      <c r="EM224" s="643">
        <f t="shared" si="497"/>
        <v>195589.41138417367</v>
      </c>
      <c r="EN224" s="637">
        <f t="shared" si="498"/>
        <v>0</v>
      </c>
      <c r="EO224" s="637">
        <f t="shared" si="499"/>
        <v>195589.41138417367</v>
      </c>
      <c r="EP224" s="637">
        <f t="shared" si="500"/>
        <v>195589.41138417399</v>
      </c>
      <c r="EQ224" s="643">
        <f t="shared" si="501"/>
        <v>195589.41138417399</v>
      </c>
      <c r="ER224" s="637">
        <f t="shared" si="502"/>
        <v>0</v>
      </c>
      <c r="ES224" s="637">
        <f t="shared" si="503"/>
        <v>195589.41138417399</v>
      </c>
      <c r="ET224" s="637">
        <f t="shared" si="504"/>
        <v>195589.41138417367</v>
      </c>
      <c r="EU224" s="643">
        <f t="shared" si="477"/>
        <v>195589.41138417367</v>
      </c>
      <c r="EV224" s="643">
        <f t="shared" si="478"/>
        <v>0</v>
      </c>
      <c r="EX224" s="829">
        <f t="shared" si="479"/>
        <v>11605.637173921423</v>
      </c>
      <c r="EY224" s="638">
        <f t="shared" si="480"/>
        <v>195589.41138417367</v>
      </c>
      <c r="FC224" s="830" t="str">
        <f t="shared" si="505"/>
        <v>Y</v>
      </c>
      <c r="FE224" s="830" t="str">
        <f>IFERROR(VLOOKUP($B224,'Historical Conc Grant Elig'!$B$3:$J$707,'HH &amp; SI'!FE$2,0),"N")</f>
        <v>Y</v>
      </c>
      <c r="FF224" s="830" t="str">
        <f>IFERROR(VLOOKUP($B224,'Historical Conc Grant Elig'!$B$3:$J$707,'HH &amp; SI'!FF$2,0),"N")</f>
        <v>Y</v>
      </c>
      <c r="FG224" s="830" t="str">
        <f>IFERROR(VLOOKUP($B224,'Historical Conc Grant Elig'!$B$3:$J$707,'HH &amp; SI'!FG$2,0),"N")</f>
        <v>Y</v>
      </c>
      <c r="FH224" s="830" t="str">
        <f>IFERROR(VLOOKUP($B224,'Historical Conc Grant Elig'!$B$3:$J$707,'HH &amp; SI'!FH$2,0),"N")</f>
        <v>Y</v>
      </c>
      <c r="FI224" s="830" t="str">
        <f>IFERROR(VLOOKUP($B224,'Historical Conc Grant Elig'!$B$3:$J$707,'HH &amp; SI'!FI$2,0),"N")</f>
        <v>Y</v>
      </c>
      <c r="FJ224" s="830" t="str">
        <f>IFERROR(VLOOKUP($B224,'Historical Conc Grant Elig'!$B$3:$J$707,'HH &amp; SI'!FJ$2,0),"N")</f>
        <v>Y</v>
      </c>
      <c r="FK224" s="830" t="str">
        <f>IFERROR(VLOOKUP($B224,'Historical Conc Grant Elig'!$B$3:$J$707,'HH &amp; SI'!FK$2,0),"N")</f>
        <v>Y</v>
      </c>
      <c r="FL224" s="957" t="str">
        <f>IFERROR(VLOOKUP($B224,'Historical Conc Grant Elig'!$B$3:$J$707,'HH &amp; SI'!FL$2,0),"N")</f>
        <v>Y</v>
      </c>
    </row>
    <row r="225" spans="2:168" x14ac:dyDescent="0.25">
      <c r="B225" s="634">
        <v>78613000</v>
      </c>
      <c r="C225" s="635" t="str">
        <f>VLOOKUP($B225,'Afton Update'!$A$5:$CR$582,'Afton Update'!D$589,0)</f>
        <v>Boys &amp; Girls Clubs of the East Valley dba Mesa Arts Academy</v>
      </c>
      <c r="D225" s="636">
        <f>IFERROR(VLOOKUP($B225,'Afton FY16 Final'!$A$5:$BV$587,'Afton FY16 Final'!AQ$587,0),0)</f>
        <v>46251.365399950126</v>
      </c>
      <c r="E225" s="637">
        <f>IFERROR(VLOOKUP($B225,'Afton FY16 Final'!$A$5:$BV$587,'Afton FY16 Final'!AR$587,0),0)</f>
        <v>11299.881968083757</v>
      </c>
      <c r="F225" s="637">
        <f>IFERROR(VLOOKUP($B225,'Afton FY16 Final'!$A$5:$BV$587,'Afton FY16 Final'!AS$587,0),0)</f>
        <v>25101.159296459198</v>
      </c>
      <c r="G225" s="637">
        <f>IFERROR(VLOOKUP($B225,'Afton FY16 Final'!$A$5:$BV$587,'Afton FY16 Final'!AT$587,0),0)</f>
        <v>21076.398245532313</v>
      </c>
      <c r="H225" s="638">
        <f>IFERROR(VLOOKUP($B225,'Afton FY16 Final'!$A$5:$BV$587,'Afton FY16 Final'!AU$587,0),0)</f>
        <v>103728.8049100254</v>
      </c>
      <c r="I225" s="639" t="str">
        <f>VLOOKUP($B225,'Afton Update'!$A$5:$CR$582,'Afton Update'!BT$589,0)</f>
        <v>Y</v>
      </c>
      <c r="J225" s="640" t="str">
        <f>VLOOKUP($B225,'Afton Update'!$A$5:$CR$582,'Afton Update'!BU$589,0)</f>
        <v>Y</v>
      </c>
      <c r="K225" s="640" t="str">
        <f>VLOOKUP($B225,'Afton Update'!$A$5:$CR$582,'Afton Update'!BV$589,0)</f>
        <v>Y</v>
      </c>
      <c r="L225" s="641" t="str">
        <f>VLOOKUP($B225,'Afton Update'!$A$5:$CR$582,'Afton Update'!BW$589,0)</f>
        <v>Y</v>
      </c>
      <c r="N225" s="642">
        <f>VLOOKUP($B225,'Afton Update'!$A$5:$CR$582,'Afton Update'!CB$589,0)</f>
        <v>0.95</v>
      </c>
      <c r="P225" s="636">
        <f>VLOOKUP($B225,'Afton Update'!$A$5:$CR$582,'Afton Update'!AH$589,0)</f>
        <v>52617.320125238984</v>
      </c>
      <c r="Q225" s="637">
        <f>VLOOKUP($B225,'Afton Update'!$A$5:$CR$582,'Afton Update'!AI$589,0)</f>
        <v>13011.998569212741</v>
      </c>
      <c r="R225" s="637">
        <f>VLOOKUP($B225,'Afton Update'!$A$5:$CR$582,'Afton Update'!AJ$589,0)</f>
        <v>30820.258074804806</v>
      </c>
      <c r="S225" s="637">
        <f>VLOOKUP($B225,'Afton Update'!$A$5:$CR$582,'Afton Update'!AK$589,0)</f>
        <v>28689.611733701764</v>
      </c>
      <c r="T225" s="643">
        <f t="shared" si="506"/>
        <v>125139.18850295829</v>
      </c>
      <c r="V225" s="636">
        <f t="shared" si="532"/>
        <v>51899.585726740152</v>
      </c>
      <c r="W225" s="637">
        <f t="shared" si="533"/>
        <v>12583.430909449169</v>
      </c>
      <c r="X225" s="637">
        <f t="shared" si="534"/>
        <v>30539.959860929237</v>
      </c>
      <c r="Y225" s="637">
        <f t="shared" si="535"/>
        <v>28373.503856335537</v>
      </c>
      <c r="Z225" s="643">
        <f t="shared" si="536"/>
        <v>123396.4803534541</v>
      </c>
      <c r="AB225" s="644">
        <f t="shared" si="507"/>
        <v>52617.320125238984</v>
      </c>
      <c r="AC225" s="645">
        <f t="shared" si="481"/>
        <v>43938.797129952618</v>
      </c>
      <c r="AD225" s="644">
        <f t="shared" si="537"/>
        <v>0</v>
      </c>
      <c r="AE225" s="645">
        <f t="shared" si="538"/>
        <v>52617.320125238984</v>
      </c>
      <c r="AF225" s="646">
        <f t="shared" si="539"/>
        <v>-652.23122381585301</v>
      </c>
      <c r="AG225" s="647">
        <f t="shared" si="540"/>
        <v>51965.088901423129</v>
      </c>
      <c r="AH225" s="644">
        <f t="shared" si="508"/>
        <v>0</v>
      </c>
      <c r="AI225" s="645">
        <f t="shared" si="509"/>
        <v>51965.088901423129</v>
      </c>
      <c r="AJ225" s="646">
        <f t="shared" si="541"/>
        <v>-65.461442811573278</v>
      </c>
      <c r="AK225" s="647">
        <f t="shared" si="510"/>
        <v>51899.627458611554</v>
      </c>
      <c r="AL225" s="644">
        <f t="shared" si="542"/>
        <v>0</v>
      </c>
      <c r="AM225" s="645">
        <f t="shared" si="543"/>
        <v>51899.627458611554</v>
      </c>
      <c r="AN225" s="646">
        <f t="shared" si="544"/>
        <v>-4.1731871402297248E-2</v>
      </c>
      <c r="AO225" s="647">
        <f t="shared" si="511"/>
        <v>51899.585726740152</v>
      </c>
      <c r="AP225" s="644">
        <f t="shared" si="545"/>
        <v>0</v>
      </c>
      <c r="AQ225" s="645">
        <f t="shared" si="546"/>
        <v>51899.585726740152</v>
      </c>
      <c r="AR225" s="646">
        <f t="shared" si="547"/>
        <v>0</v>
      </c>
      <c r="AS225" s="647">
        <f t="shared" si="512"/>
        <v>51899.585726740152</v>
      </c>
      <c r="AT225" s="644">
        <f t="shared" si="548"/>
        <v>0</v>
      </c>
      <c r="AU225" s="645">
        <f t="shared" si="549"/>
        <v>51899.585726740152</v>
      </c>
      <c r="AV225" s="646">
        <f t="shared" si="550"/>
        <v>0</v>
      </c>
      <c r="AW225" s="647">
        <f t="shared" si="513"/>
        <v>51899.585726740152</v>
      </c>
      <c r="AY225" s="644">
        <f t="shared" si="551"/>
        <v>13011.998569212741</v>
      </c>
      <c r="AZ225" s="645">
        <f t="shared" si="482"/>
        <v>10734.887869679569</v>
      </c>
      <c r="BA225" s="644">
        <f t="shared" si="552"/>
        <v>0</v>
      </c>
      <c r="BB225" s="645">
        <f t="shared" si="553"/>
        <v>13011.998569212741</v>
      </c>
      <c r="BC225" s="646">
        <f t="shared" si="554"/>
        <v>-93.573073803732626</v>
      </c>
      <c r="BD225" s="647">
        <f t="shared" si="555"/>
        <v>12918.425495409008</v>
      </c>
      <c r="BE225" s="644">
        <f t="shared" si="514"/>
        <v>0</v>
      </c>
      <c r="BF225" s="645">
        <f t="shared" si="515"/>
        <v>12918.425495409008</v>
      </c>
      <c r="BG225" s="646">
        <f t="shared" si="556"/>
        <v>-307.70636754337846</v>
      </c>
      <c r="BH225" s="647">
        <f t="shared" si="516"/>
        <v>12610.71912786563</v>
      </c>
      <c r="BI225" s="644">
        <f t="shared" si="557"/>
        <v>0</v>
      </c>
      <c r="BJ225" s="645">
        <f t="shared" si="558"/>
        <v>12610.71912786563</v>
      </c>
      <c r="BK225" s="646">
        <f t="shared" si="559"/>
        <v>-26.712465017757015</v>
      </c>
      <c r="BL225" s="647">
        <f t="shared" si="517"/>
        <v>12584.006662847873</v>
      </c>
      <c r="BM225" s="644">
        <f t="shared" si="560"/>
        <v>0</v>
      </c>
      <c r="BN225" s="645">
        <f t="shared" si="561"/>
        <v>12584.006662847873</v>
      </c>
      <c r="BO225" s="646">
        <f t="shared" si="562"/>
        <v>-0.57575339870302544</v>
      </c>
      <c r="BP225" s="647">
        <f t="shared" si="518"/>
        <v>12583.430909449169</v>
      </c>
      <c r="BQ225" s="644">
        <f t="shared" si="563"/>
        <v>0</v>
      </c>
      <c r="BR225" s="645">
        <f t="shared" si="564"/>
        <v>12583.430909449169</v>
      </c>
      <c r="BS225" s="646">
        <f t="shared" si="565"/>
        <v>0</v>
      </c>
      <c r="BT225" s="647">
        <f t="shared" si="519"/>
        <v>12583.430909449169</v>
      </c>
      <c r="BU225" s="662">
        <f>VLOOKUP(B225,'Afton Update'!$A$5:$AR$582,'Afton Update'!$AO$589,0)-BT225</f>
        <v>0</v>
      </c>
      <c r="BV225" s="644">
        <f t="shared" si="566"/>
        <v>30820.258074804806</v>
      </c>
      <c r="BW225" s="645">
        <f t="shared" si="483"/>
        <v>23846.101331636237</v>
      </c>
      <c r="BX225" s="644">
        <f t="shared" si="567"/>
        <v>0</v>
      </c>
      <c r="BY225" s="645">
        <f t="shared" si="568"/>
        <v>30820.258074804806</v>
      </c>
      <c r="BZ225" s="646">
        <f t="shared" si="569"/>
        <v>-270.51268189579361</v>
      </c>
      <c r="CA225" s="647">
        <f t="shared" si="570"/>
        <v>30549.745392909012</v>
      </c>
      <c r="CB225" s="644">
        <f t="shared" si="520"/>
        <v>0</v>
      </c>
      <c r="CC225" s="645">
        <f t="shared" si="521"/>
        <v>30549.745392909012</v>
      </c>
      <c r="CD225" s="646">
        <f t="shared" si="571"/>
        <v>-9.7855319797752163</v>
      </c>
      <c r="CE225" s="647">
        <f t="shared" si="522"/>
        <v>30539.959860929237</v>
      </c>
      <c r="CF225" s="644">
        <f t="shared" si="572"/>
        <v>0</v>
      </c>
      <c r="CG225" s="645">
        <f t="shared" si="573"/>
        <v>30539.959860929237</v>
      </c>
      <c r="CH225" s="646">
        <f t="shared" si="574"/>
        <v>0</v>
      </c>
      <c r="CI225" s="647">
        <f t="shared" si="523"/>
        <v>30539.959860929237</v>
      </c>
      <c r="CJ225" s="644">
        <f t="shared" si="575"/>
        <v>0</v>
      </c>
      <c r="CK225" s="645">
        <f t="shared" si="576"/>
        <v>30539.959860929237</v>
      </c>
      <c r="CL225" s="646">
        <f t="shared" si="577"/>
        <v>0</v>
      </c>
      <c r="CM225" s="647">
        <f t="shared" si="524"/>
        <v>30539.959860929237</v>
      </c>
      <c r="CN225" s="644">
        <f t="shared" si="578"/>
        <v>0</v>
      </c>
      <c r="CO225" s="645">
        <f t="shared" si="579"/>
        <v>30539.959860929237</v>
      </c>
      <c r="CP225" s="646">
        <f t="shared" si="580"/>
        <v>0</v>
      </c>
      <c r="CQ225" s="647">
        <f t="shared" si="525"/>
        <v>30539.959860929237</v>
      </c>
      <c r="CS225" s="644">
        <f t="shared" si="581"/>
        <v>28689.611733701764</v>
      </c>
      <c r="CT225" s="645">
        <f t="shared" si="484"/>
        <v>20022.578333255697</v>
      </c>
      <c r="CU225" s="644">
        <f t="shared" si="582"/>
        <v>0</v>
      </c>
      <c r="CV225" s="645">
        <f t="shared" si="583"/>
        <v>28689.611733701764</v>
      </c>
      <c r="CW225" s="646">
        <f t="shared" si="584"/>
        <v>-293.79783728317102</v>
      </c>
      <c r="CX225" s="647">
        <f t="shared" si="585"/>
        <v>28395.813896418593</v>
      </c>
      <c r="CY225" s="644">
        <f t="shared" si="526"/>
        <v>0</v>
      </c>
      <c r="CZ225" s="645">
        <f t="shared" si="527"/>
        <v>28395.813896418593</v>
      </c>
      <c r="DA225" s="646">
        <f t="shared" si="586"/>
        <v>-22.290817029741056</v>
      </c>
      <c r="DB225" s="647">
        <f t="shared" si="528"/>
        <v>28373.523079388851</v>
      </c>
      <c r="DC225" s="644">
        <f t="shared" si="587"/>
        <v>0</v>
      </c>
      <c r="DD225" s="645">
        <f t="shared" si="588"/>
        <v>28373.523079388851</v>
      </c>
      <c r="DE225" s="646">
        <f t="shared" si="589"/>
        <v>-1.9223053314047438E-2</v>
      </c>
      <c r="DF225" s="647">
        <f t="shared" si="529"/>
        <v>28373.503856335537</v>
      </c>
      <c r="DG225" s="644">
        <f t="shared" si="590"/>
        <v>0</v>
      </c>
      <c r="DH225" s="645">
        <f t="shared" si="591"/>
        <v>28373.503856335537</v>
      </c>
      <c r="DI225" s="646">
        <f t="shared" si="592"/>
        <v>0</v>
      </c>
      <c r="DJ225" s="647">
        <f t="shared" si="530"/>
        <v>28373.503856335537</v>
      </c>
      <c r="DK225" s="644">
        <f t="shared" si="593"/>
        <v>0</v>
      </c>
      <c r="DL225" s="645">
        <f t="shared" si="594"/>
        <v>28373.503856335537</v>
      </c>
      <c r="DM225" s="646">
        <f t="shared" si="595"/>
        <v>0</v>
      </c>
      <c r="DN225" s="647">
        <f t="shared" si="531"/>
        <v>28373.503856335537</v>
      </c>
      <c r="DR225" s="827">
        <f t="shared" si="485"/>
        <v>123396.4803534541</v>
      </c>
      <c r="DV225" s="828">
        <f>IFERROR(VLOOKUP($B225,'Afton FY16 Final'!$A$5:$BV$587,'Afton FY16 Final'!$BV$587,0),0)</f>
        <v>92093.584207442414</v>
      </c>
      <c r="DX225" s="636">
        <f t="shared" si="473"/>
        <v>123396.4803534541</v>
      </c>
      <c r="DY225" s="637">
        <f t="shared" si="474"/>
        <v>31302.896146011684</v>
      </c>
      <c r="DZ225" s="637">
        <f t="shared" si="475"/>
        <v>92093.584207442414</v>
      </c>
      <c r="EA225" s="643">
        <f t="shared" si="476"/>
        <v>116833.17055248191</v>
      </c>
      <c r="EB225" s="637">
        <f t="shared" si="486"/>
        <v>0</v>
      </c>
      <c r="EC225" s="637">
        <f t="shared" si="487"/>
        <v>116833.17055248191</v>
      </c>
      <c r="ED225" s="637">
        <f t="shared" si="488"/>
        <v>116484.78101373735</v>
      </c>
      <c r="EE225" s="643">
        <f t="shared" si="489"/>
        <v>116484.78101373735</v>
      </c>
      <c r="EF225" s="637">
        <f t="shared" si="490"/>
        <v>0</v>
      </c>
      <c r="EG225" s="637">
        <f t="shared" si="491"/>
        <v>116484.78101373735</v>
      </c>
      <c r="EH225" s="637">
        <f t="shared" si="492"/>
        <v>116484.6608409355</v>
      </c>
      <c r="EI225" s="643">
        <f t="shared" si="493"/>
        <v>116484.6608409355</v>
      </c>
      <c r="EJ225" s="637">
        <f t="shared" si="494"/>
        <v>0</v>
      </c>
      <c r="EK225" s="637">
        <f t="shared" si="495"/>
        <v>116484.6608409355</v>
      </c>
      <c r="EL225" s="637">
        <f t="shared" si="496"/>
        <v>116484.66084093534</v>
      </c>
      <c r="EM225" s="643">
        <f t="shared" si="497"/>
        <v>116484.66084093534</v>
      </c>
      <c r="EN225" s="637">
        <f t="shared" si="498"/>
        <v>0</v>
      </c>
      <c r="EO225" s="637">
        <f t="shared" si="499"/>
        <v>116484.66084093534</v>
      </c>
      <c r="EP225" s="637">
        <f t="shared" si="500"/>
        <v>116484.66084093552</v>
      </c>
      <c r="EQ225" s="643">
        <f t="shared" si="501"/>
        <v>116484.66084093552</v>
      </c>
      <c r="ER225" s="637">
        <f t="shared" si="502"/>
        <v>0</v>
      </c>
      <c r="ES225" s="637">
        <f t="shared" si="503"/>
        <v>116484.66084093552</v>
      </c>
      <c r="ET225" s="637">
        <f t="shared" si="504"/>
        <v>116484.66084093534</v>
      </c>
      <c r="EU225" s="643">
        <f t="shared" si="477"/>
        <v>116484.66084093534</v>
      </c>
      <c r="EV225" s="643">
        <f t="shared" si="478"/>
        <v>0</v>
      </c>
      <c r="EX225" s="829">
        <f t="shared" si="479"/>
        <v>6911.8195125187631</v>
      </c>
      <c r="EY225" s="638">
        <f t="shared" si="480"/>
        <v>116484.66084093534</v>
      </c>
      <c r="FC225" s="830" t="str">
        <f t="shared" si="505"/>
        <v>Y</v>
      </c>
      <c r="FE225" s="830" t="str">
        <f>IFERROR(VLOOKUP($B225,'Historical Conc Grant Elig'!$B$3:$J$707,'HH &amp; SI'!FE$2,0),"N")</f>
        <v>Y</v>
      </c>
      <c r="FF225" s="830" t="str">
        <f>IFERROR(VLOOKUP($B225,'Historical Conc Grant Elig'!$B$3:$J$707,'HH &amp; SI'!FF$2,0),"N")</f>
        <v>Y</v>
      </c>
      <c r="FG225" s="830" t="str">
        <f>IFERROR(VLOOKUP($B225,'Historical Conc Grant Elig'!$B$3:$J$707,'HH &amp; SI'!FG$2,0),"N")</f>
        <v>Y</v>
      </c>
      <c r="FH225" s="830" t="str">
        <f>IFERROR(VLOOKUP($B225,'Historical Conc Grant Elig'!$B$3:$J$707,'HH &amp; SI'!FH$2,0),"N")</f>
        <v>Y</v>
      </c>
      <c r="FI225" s="830" t="str">
        <f>IFERROR(VLOOKUP($B225,'Historical Conc Grant Elig'!$B$3:$J$707,'HH &amp; SI'!FI$2,0),"N")</f>
        <v>Y</v>
      </c>
      <c r="FJ225" s="830" t="str">
        <f>IFERROR(VLOOKUP($B225,'Historical Conc Grant Elig'!$B$3:$J$707,'HH &amp; SI'!FJ$2,0),"N")</f>
        <v>Y</v>
      </c>
      <c r="FK225" s="830" t="str">
        <f>IFERROR(VLOOKUP($B225,'Historical Conc Grant Elig'!$B$3:$J$707,'HH &amp; SI'!FK$2,0),"N")</f>
        <v>Y</v>
      </c>
      <c r="FL225" s="957" t="str">
        <f>IFERROR(VLOOKUP($B225,'Historical Conc Grant Elig'!$B$3:$J$707,'HH &amp; SI'!FL$2,0),"N")</f>
        <v>Y</v>
      </c>
    </row>
    <row r="226" spans="2:168" x14ac:dyDescent="0.25">
      <c r="B226" s="634">
        <v>78621000</v>
      </c>
      <c r="C226" s="635" t="str">
        <f>VLOOKUP($B226,'Afton Update'!$A$5:$CR$582,'Afton Update'!D$589,0)</f>
        <v>Desert Heights Charter Schools</v>
      </c>
      <c r="D226" s="636">
        <f>IFERROR(VLOOKUP($B226,'Afton FY16 Final'!$A$5:$BV$587,'Afton FY16 Final'!AQ$587,0),0)</f>
        <v>78454.248620278551</v>
      </c>
      <c r="E226" s="637">
        <f>IFERROR(VLOOKUP($B226,'Afton FY16 Final'!$A$5:$BV$587,'Afton FY16 Final'!AR$587,0),0)</f>
        <v>16682.155740926988</v>
      </c>
      <c r="F226" s="637">
        <f>IFERROR(VLOOKUP($B226,'Afton FY16 Final'!$A$5:$BV$587,'Afton FY16 Final'!AS$587,0),0)</f>
        <v>41597.588881479634</v>
      </c>
      <c r="G226" s="637">
        <f>IFERROR(VLOOKUP($B226,'Afton FY16 Final'!$A$5:$BV$587,'Afton FY16 Final'!AT$587,0),0)</f>
        <v>40078.990548186426</v>
      </c>
      <c r="H226" s="638">
        <f>IFERROR(VLOOKUP($B226,'Afton FY16 Final'!$A$5:$BV$587,'Afton FY16 Final'!AU$587,0),0)</f>
        <v>176812.98379087157</v>
      </c>
      <c r="I226" s="639" t="str">
        <f>VLOOKUP($B226,'Afton Update'!$A$5:$CR$582,'Afton Update'!BT$589,0)</f>
        <v>Y</v>
      </c>
      <c r="J226" s="640" t="str">
        <f>VLOOKUP($B226,'Afton Update'!$A$5:$CR$582,'Afton Update'!BU$589,0)</f>
        <v>N</v>
      </c>
      <c r="K226" s="640" t="str">
        <f>VLOOKUP($B226,'Afton Update'!$A$5:$CR$582,'Afton Update'!BV$589,0)</f>
        <v>Y</v>
      </c>
      <c r="L226" s="641" t="str">
        <f>VLOOKUP($B226,'Afton Update'!$A$5:$CR$582,'Afton Update'!BW$589,0)</f>
        <v>Y</v>
      </c>
      <c r="N226" s="642">
        <f>VLOOKUP($B226,'Afton Update'!$A$5:$CR$582,'Afton Update'!CB$589,0)</f>
        <v>0.85</v>
      </c>
      <c r="P226" s="636">
        <f>VLOOKUP($B226,'Afton Update'!$A$5:$CR$582,'Afton Update'!AH$589,0)</f>
        <v>61227.427054823544</v>
      </c>
      <c r="Q226" s="637" t="str">
        <f>VLOOKUP($B226,'Afton Update'!$A$5:$CR$582,'Afton Update'!AI$589,0)</f>
        <v/>
      </c>
      <c r="R226" s="637">
        <f>VLOOKUP($B226,'Afton Update'!$A$5:$CR$582,'Afton Update'!AJ$589,0)</f>
        <v>35859.426381464102</v>
      </c>
      <c r="S226" s="637">
        <f>VLOOKUP($B226,'Afton Update'!$A$5:$CR$582,'Afton Update'!AK$589,0)</f>
        <v>33380.415484531353</v>
      </c>
      <c r="T226" s="643">
        <f t="shared" si="506"/>
        <v>130467.26892081898</v>
      </c>
      <c r="V226" s="636">
        <f t="shared" si="532"/>
        <v>66686.111327236766</v>
      </c>
      <c r="W226" s="637">
        <f t="shared" si="533"/>
        <v>14179.83237978794</v>
      </c>
      <c r="X226" s="637">
        <f t="shared" si="534"/>
        <v>35533.298899308342</v>
      </c>
      <c r="Y226" s="637">
        <f t="shared" si="535"/>
        <v>34067.141965958464</v>
      </c>
      <c r="Z226" s="643">
        <f t="shared" si="536"/>
        <v>150466.38457229151</v>
      </c>
      <c r="AB226" s="644">
        <f t="shared" si="507"/>
        <v>61227.427054823544</v>
      </c>
      <c r="AC226" s="645">
        <f t="shared" si="481"/>
        <v>66686.111327236766</v>
      </c>
      <c r="AD226" s="644">
        <f t="shared" si="537"/>
        <v>5458.6842724132221</v>
      </c>
      <c r="AE226" s="645">
        <f t="shared" si="538"/>
        <v>0</v>
      </c>
      <c r="AF226" s="646">
        <f t="shared" si="539"/>
        <v>0</v>
      </c>
      <c r="AG226" s="647">
        <f t="shared" si="540"/>
        <v>66686.111327236766</v>
      </c>
      <c r="AH226" s="644">
        <f t="shared" si="508"/>
        <v>0</v>
      </c>
      <c r="AI226" s="645">
        <f t="shared" si="509"/>
        <v>0</v>
      </c>
      <c r="AJ226" s="646">
        <f t="shared" si="541"/>
        <v>0</v>
      </c>
      <c r="AK226" s="647">
        <f t="shared" si="510"/>
        <v>66686.111327236766</v>
      </c>
      <c r="AL226" s="644">
        <f t="shared" si="542"/>
        <v>0</v>
      </c>
      <c r="AM226" s="645">
        <f t="shared" si="543"/>
        <v>0</v>
      </c>
      <c r="AN226" s="646">
        <f t="shared" si="544"/>
        <v>0</v>
      </c>
      <c r="AO226" s="647">
        <f t="shared" si="511"/>
        <v>66686.111327236766</v>
      </c>
      <c r="AP226" s="644">
        <f t="shared" si="545"/>
        <v>0</v>
      </c>
      <c r="AQ226" s="645">
        <f t="shared" si="546"/>
        <v>0</v>
      </c>
      <c r="AR226" s="646">
        <f t="shared" si="547"/>
        <v>0</v>
      </c>
      <c r="AS226" s="647">
        <f t="shared" si="512"/>
        <v>66686.111327236766</v>
      </c>
      <c r="AT226" s="644">
        <f t="shared" si="548"/>
        <v>0</v>
      </c>
      <c r="AU226" s="645">
        <f t="shared" si="549"/>
        <v>0</v>
      </c>
      <c r="AV226" s="646">
        <f t="shared" si="550"/>
        <v>0</v>
      </c>
      <c r="AW226" s="647">
        <f t="shared" si="513"/>
        <v>66686.111327236766</v>
      </c>
      <c r="AY226" s="644">
        <f t="shared" si="551"/>
        <v>0</v>
      </c>
      <c r="AZ226" s="645">
        <f t="shared" si="482"/>
        <v>14179.83237978794</v>
      </c>
      <c r="BA226" s="644">
        <f t="shared" si="552"/>
        <v>0</v>
      </c>
      <c r="BB226" s="645">
        <f t="shared" si="553"/>
        <v>0</v>
      </c>
      <c r="BC226" s="646">
        <f t="shared" si="554"/>
        <v>0</v>
      </c>
      <c r="BD226" s="647">
        <f t="shared" si="555"/>
        <v>0</v>
      </c>
      <c r="BE226" s="644">
        <f t="shared" si="514"/>
        <v>-14179.83237978794</v>
      </c>
      <c r="BF226" s="645">
        <f t="shared" si="515"/>
        <v>0</v>
      </c>
      <c r="BG226" s="646">
        <f t="shared" si="556"/>
        <v>0</v>
      </c>
      <c r="BH226" s="647">
        <f t="shared" si="516"/>
        <v>14179.83237978794</v>
      </c>
      <c r="BI226" s="644">
        <f t="shared" si="557"/>
        <v>0</v>
      </c>
      <c r="BJ226" s="645">
        <f t="shared" si="558"/>
        <v>0</v>
      </c>
      <c r="BK226" s="646">
        <f t="shared" si="559"/>
        <v>0</v>
      </c>
      <c r="BL226" s="647">
        <f t="shared" si="517"/>
        <v>14179.83237978794</v>
      </c>
      <c r="BM226" s="644">
        <f t="shared" si="560"/>
        <v>0</v>
      </c>
      <c r="BN226" s="645">
        <f t="shared" si="561"/>
        <v>0</v>
      </c>
      <c r="BO226" s="646">
        <f t="shared" si="562"/>
        <v>0</v>
      </c>
      <c r="BP226" s="647">
        <f t="shared" si="518"/>
        <v>14179.83237978794</v>
      </c>
      <c r="BQ226" s="644">
        <f t="shared" si="563"/>
        <v>0</v>
      </c>
      <c r="BR226" s="645">
        <f t="shared" si="564"/>
        <v>0</v>
      </c>
      <c r="BS226" s="646">
        <f t="shared" si="565"/>
        <v>0</v>
      </c>
      <c r="BT226" s="647">
        <f t="shared" si="519"/>
        <v>14179.83237978794</v>
      </c>
      <c r="BU226" s="662">
        <f>VLOOKUP(B226,'Afton Update'!$A$5:$AR$582,'Afton Update'!$AO$589,0)-BT226</f>
        <v>0</v>
      </c>
      <c r="BV226" s="644">
        <f t="shared" si="566"/>
        <v>35859.426381464102</v>
      </c>
      <c r="BW226" s="645">
        <f t="shared" si="483"/>
        <v>35357.950549257686</v>
      </c>
      <c r="BX226" s="644">
        <f t="shared" si="567"/>
        <v>0</v>
      </c>
      <c r="BY226" s="645">
        <f t="shared" si="568"/>
        <v>35859.426381464102</v>
      </c>
      <c r="BZ226" s="646">
        <f t="shared" si="569"/>
        <v>-314.74199788173138</v>
      </c>
      <c r="CA226" s="647">
        <f t="shared" si="570"/>
        <v>35544.684383582367</v>
      </c>
      <c r="CB226" s="644">
        <f t="shared" si="520"/>
        <v>0</v>
      </c>
      <c r="CC226" s="645">
        <f t="shared" si="521"/>
        <v>35544.684383582367</v>
      </c>
      <c r="CD226" s="646">
        <f t="shared" si="571"/>
        <v>-11.385484274029213</v>
      </c>
      <c r="CE226" s="647">
        <f t="shared" si="522"/>
        <v>35533.298899308342</v>
      </c>
      <c r="CF226" s="644">
        <f t="shared" si="572"/>
        <v>0</v>
      </c>
      <c r="CG226" s="645">
        <f t="shared" si="573"/>
        <v>35533.298899308342</v>
      </c>
      <c r="CH226" s="646">
        <f t="shared" si="574"/>
        <v>0</v>
      </c>
      <c r="CI226" s="647">
        <f t="shared" si="523"/>
        <v>35533.298899308342</v>
      </c>
      <c r="CJ226" s="644">
        <f t="shared" si="575"/>
        <v>0</v>
      </c>
      <c r="CK226" s="645">
        <f t="shared" si="576"/>
        <v>35533.298899308342</v>
      </c>
      <c r="CL226" s="646">
        <f t="shared" si="577"/>
        <v>0</v>
      </c>
      <c r="CM226" s="647">
        <f t="shared" si="524"/>
        <v>35533.298899308342</v>
      </c>
      <c r="CN226" s="644">
        <f t="shared" si="578"/>
        <v>0</v>
      </c>
      <c r="CO226" s="645">
        <f t="shared" si="579"/>
        <v>35533.298899308342</v>
      </c>
      <c r="CP226" s="646">
        <f t="shared" si="580"/>
        <v>0</v>
      </c>
      <c r="CQ226" s="647">
        <f t="shared" si="525"/>
        <v>35533.298899308342</v>
      </c>
      <c r="CS226" s="644">
        <f t="shared" si="581"/>
        <v>33380.415484531353</v>
      </c>
      <c r="CT226" s="645">
        <f t="shared" si="484"/>
        <v>34067.141965958464</v>
      </c>
      <c r="CU226" s="644">
        <f t="shared" si="582"/>
        <v>686.72648142711114</v>
      </c>
      <c r="CV226" s="645">
        <f t="shared" si="583"/>
        <v>0</v>
      </c>
      <c r="CW226" s="646">
        <f t="shared" si="584"/>
        <v>0</v>
      </c>
      <c r="CX226" s="647">
        <f t="shared" si="585"/>
        <v>34067.141965958464</v>
      </c>
      <c r="CY226" s="644">
        <f t="shared" si="526"/>
        <v>0</v>
      </c>
      <c r="CZ226" s="645">
        <f t="shared" si="527"/>
        <v>0</v>
      </c>
      <c r="DA226" s="646">
        <f t="shared" si="586"/>
        <v>0</v>
      </c>
      <c r="DB226" s="647">
        <f t="shared" si="528"/>
        <v>34067.141965958464</v>
      </c>
      <c r="DC226" s="644">
        <f t="shared" si="587"/>
        <v>0</v>
      </c>
      <c r="DD226" s="645">
        <f t="shared" si="588"/>
        <v>0</v>
      </c>
      <c r="DE226" s="646">
        <f t="shared" si="589"/>
        <v>0</v>
      </c>
      <c r="DF226" s="647">
        <f t="shared" si="529"/>
        <v>34067.141965958464</v>
      </c>
      <c r="DG226" s="644">
        <f t="shared" si="590"/>
        <v>0</v>
      </c>
      <c r="DH226" s="645">
        <f t="shared" si="591"/>
        <v>0</v>
      </c>
      <c r="DI226" s="646">
        <f t="shared" si="592"/>
        <v>0</v>
      </c>
      <c r="DJ226" s="647">
        <f t="shared" si="530"/>
        <v>34067.141965958464</v>
      </c>
      <c r="DK226" s="644">
        <f t="shared" si="593"/>
        <v>0</v>
      </c>
      <c r="DL226" s="645">
        <f t="shared" si="594"/>
        <v>0</v>
      </c>
      <c r="DM226" s="646">
        <f t="shared" si="595"/>
        <v>0</v>
      </c>
      <c r="DN226" s="647">
        <f t="shared" si="531"/>
        <v>34067.141965958464</v>
      </c>
      <c r="DR226" s="827">
        <f t="shared" si="485"/>
        <v>150466.38457229151</v>
      </c>
      <c r="DV226" s="828">
        <f>IFERROR(VLOOKUP($B226,'Afton FY16 Final'!$A$5:$BV$587,'Afton FY16 Final'!$BV$587,0),0)</f>
        <v>173331.53616931109</v>
      </c>
      <c r="DX226" s="636">
        <f t="shared" si="473"/>
        <v>0</v>
      </c>
      <c r="DY226" s="637">
        <f t="shared" si="474"/>
        <v>0</v>
      </c>
      <c r="DZ226" s="637">
        <f t="shared" si="475"/>
        <v>0</v>
      </c>
      <c r="EA226" s="643">
        <f t="shared" si="476"/>
        <v>0</v>
      </c>
      <c r="EB226" s="637">
        <f t="shared" si="486"/>
        <v>0</v>
      </c>
      <c r="EC226" s="637">
        <f t="shared" si="487"/>
        <v>0</v>
      </c>
      <c r="ED226" s="637">
        <f t="shared" si="488"/>
        <v>0</v>
      </c>
      <c r="EE226" s="643">
        <f t="shared" si="489"/>
        <v>0</v>
      </c>
      <c r="EF226" s="637">
        <f t="shared" si="490"/>
        <v>0</v>
      </c>
      <c r="EG226" s="637">
        <f t="shared" si="491"/>
        <v>0</v>
      </c>
      <c r="EH226" s="637">
        <f t="shared" si="492"/>
        <v>0</v>
      </c>
      <c r="EI226" s="643">
        <f t="shared" si="493"/>
        <v>0</v>
      </c>
      <c r="EJ226" s="637">
        <f t="shared" si="494"/>
        <v>0</v>
      </c>
      <c r="EK226" s="637">
        <f t="shared" si="495"/>
        <v>0</v>
      </c>
      <c r="EL226" s="637">
        <f t="shared" si="496"/>
        <v>0</v>
      </c>
      <c r="EM226" s="643">
        <f t="shared" si="497"/>
        <v>0</v>
      </c>
      <c r="EN226" s="637">
        <f t="shared" si="498"/>
        <v>0</v>
      </c>
      <c r="EO226" s="637">
        <f t="shared" si="499"/>
        <v>0</v>
      </c>
      <c r="EP226" s="637">
        <f t="shared" si="500"/>
        <v>0</v>
      </c>
      <c r="EQ226" s="643">
        <f t="shared" si="501"/>
        <v>0</v>
      </c>
      <c r="ER226" s="637">
        <f t="shared" si="502"/>
        <v>0</v>
      </c>
      <c r="ES226" s="637">
        <f t="shared" si="503"/>
        <v>0</v>
      </c>
      <c r="ET226" s="637">
        <f t="shared" si="504"/>
        <v>0</v>
      </c>
      <c r="EU226" s="643">
        <f t="shared" si="477"/>
        <v>0</v>
      </c>
      <c r="EV226" s="643">
        <f t="shared" si="478"/>
        <v>0</v>
      </c>
      <c r="EX226" s="829">
        <f t="shared" si="479"/>
        <v>0</v>
      </c>
      <c r="EY226" s="638">
        <f t="shared" si="480"/>
        <v>150466.38457229151</v>
      </c>
      <c r="FC226" s="830" t="str">
        <f t="shared" si="505"/>
        <v>Y</v>
      </c>
      <c r="FE226" s="830" t="str">
        <f>IFERROR(VLOOKUP($B226,'Historical Conc Grant Elig'!$B$3:$J$707,'HH &amp; SI'!FE$2,0),"N")</f>
        <v>Y</v>
      </c>
      <c r="FF226" s="830" t="str">
        <f>IFERROR(VLOOKUP($B226,'Historical Conc Grant Elig'!$B$3:$J$707,'HH &amp; SI'!FF$2,0),"N")</f>
        <v>Y</v>
      </c>
      <c r="FG226" s="830" t="str">
        <f>IFERROR(VLOOKUP($B226,'Historical Conc Grant Elig'!$B$3:$J$707,'HH &amp; SI'!FG$2,0),"N")</f>
        <v>Y</v>
      </c>
      <c r="FH226" s="830" t="str">
        <f>IFERROR(VLOOKUP($B226,'Historical Conc Grant Elig'!$B$3:$J$707,'HH &amp; SI'!FH$2,0),"N")</f>
        <v>Y</v>
      </c>
      <c r="FI226" s="830" t="str">
        <f>IFERROR(VLOOKUP($B226,'Historical Conc Grant Elig'!$B$3:$J$707,'HH &amp; SI'!FI$2,0),"N")</f>
        <v>Y</v>
      </c>
      <c r="FJ226" s="830" t="str">
        <f>IFERROR(VLOOKUP($B226,'Historical Conc Grant Elig'!$B$3:$J$707,'HH &amp; SI'!FJ$2,0),"N")</f>
        <v>Y</v>
      </c>
      <c r="FK226" s="830" t="str">
        <f>IFERROR(VLOOKUP($B226,'Historical Conc Grant Elig'!$B$3:$J$707,'HH &amp; SI'!FK$2,0),"N")</f>
        <v>Y</v>
      </c>
      <c r="FL226" s="957" t="str">
        <f>IFERROR(VLOOKUP($B226,'Historical Conc Grant Elig'!$B$3:$J$707,'HH &amp; SI'!FL$2,0),"N")</f>
        <v>N</v>
      </c>
    </row>
    <row r="227" spans="2:168" x14ac:dyDescent="0.25">
      <c r="B227" s="634">
        <v>78634000</v>
      </c>
      <c r="C227" s="635" t="str">
        <f>VLOOKUP($B227,'Afton Update'!$A$5:$CR$582,'Afton Update'!D$589,0)</f>
        <v>STEP UP Schools, Inc.</v>
      </c>
      <c r="D227" s="636">
        <f>IFERROR(VLOOKUP($B227,'Afton FY16 Final'!$A$5:$BV$587,'Afton FY16 Final'!AQ$587,0),0)</f>
        <v>20166.131996213848</v>
      </c>
      <c r="E227" s="637">
        <f>IFERROR(VLOOKUP($B227,'Afton FY16 Final'!$A$5:$BV$587,'Afton FY16 Final'!AR$587,0),0)</f>
        <v>6004.0895806258404</v>
      </c>
      <c r="F227" s="637">
        <f>IFERROR(VLOOKUP($B227,'Afton FY16 Final'!$A$5:$BV$587,'Afton FY16 Final'!AS$587,0),0)</f>
        <v>10944.39671679254</v>
      </c>
      <c r="G227" s="637">
        <f>IFERROR(VLOOKUP($B227,'Afton FY16 Final'!$A$5:$BV$587,'Afton FY16 Final'!AT$587,0),0)</f>
        <v>9289.0268029039453</v>
      </c>
      <c r="H227" s="638">
        <f>IFERROR(VLOOKUP($B227,'Afton FY16 Final'!$A$5:$BV$587,'Afton FY16 Final'!AU$587,0),0)</f>
        <v>46403.645096536173</v>
      </c>
      <c r="I227" s="639" t="str">
        <f>VLOOKUP($B227,'Afton Update'!$A$5:$CR$582,'Afton Update'!BT$589,0)</f>
        <v>Y</v>
      </c>
      <c r="J227" s="640" t="str">
        <f>VLOOKUP($B227,'Afton Update'!$A$5:$CR$582,'Afton Update'!BU$589,0)</f>
        <v>Y</v>
      </c>
      <c r="K227" s="640" t="str">
        <f>VLOOKUP($B227,'Afton Update'!$A$5:$CR$582,'Afton Update'!BV$589,0)</f>
        <v>Y</v>
      </c>
      <c r="L227" s="641" t="str">
        <f>VLOOKUP($B227,'Afton Update'!$A$5:$CR$582,'Afton Update'!BW$589,0)</f>
        <v>Y</v>
      </c>
      <c r="N227" s="642">
        <f>VLOOKUP($B227,'Afton Update'!$A$5:$CR$582,'Afton Update'!CB$589,0)</f>
        <v>0.95</v>
      </c>
      <c r="P227" s="636">
        <f>VLOOKUP($B227,'Afton Update'!$A$5:$CR$582,'Afton Update'!AH$589,0)</f>
        <v>21764.436960894305</v>
      </c>
      <c r="Q227" s="637">
        <f>VLOOKUP($B227,'Afton Update'!$A$5:$CR$582,'Afton Update'!AI$589,0)</f>
        <v>6631.6719462887331</v>
      </c>
      <c r="R227" s="637">
        <f>VLOOKUP($B227,'Afton Update'!$A$5:$CR$582,'Afton Update'!AJ$589,0)</f>
        <v>12763.238309275686</v>
      </c>
      <c r="S227" s="637">
        <f>VLOOKUP($B227,'Afton Update'!$A$5:$CR$582,'Afton Update'!AK$589,0)</f>
        <v>11880.89829322908</v>
      </c>
      <c r="T227" s="643">
        <f t="shared" si="506"/>
        <v>53040.245509687811</v>
      </c>
      <c r="V227" s="636">
        <f t="shared" si="532"/>
        <v>21467.555914242515</v>
      </c>
      <c r="W227" s="637">
        <f t="shared" si="533"/>
        <v>6413.2489184023525</v>
      </c>
      <c r="X227" s="637">
        <f t="shared" si="534"/>
        <v>12647.161640070804</v>
      </c>
      <c r="Y227" s="637">
        <f t="shared" si="535"/>
        <v>11749.992180747087</v>
      </c>
      <c r="Z227" s="643">
        <f t="shared" si="536"/>
        <v>52277.958653462767</v>
      </c>
      <c r="AB227" s="644">
        <f t="shared" si="507"/>
        <v>21764.436960894305</v>
      </c>
      <c r="AC227" s="645">
        <f t="shared" si="481"/>
        <v>19157.825396403154</v>
      </c>
      <c r="AD227" s="644">
        <f t="shared" si="537"/>
        <v>0</v>
      </c>
      <c r="AE227" s="645">
        <f t="shared" si="538"/>
        <v>21764.436960894305</v>
      </c>
      <c r="AF227" s="646">
        <f t="shared" si="539"/>
        <v>-269.78655166928462</v>
      </c>
      <c r="AG227" s="647">
        <f t="shared" si="540"/>
        <v>21494.650409225022</v>
      </c>
      <c r="AH227" s="644">
        <f t="shared" si="508"/>
        <v>0</v>
      </c>
      <c r="AI227" s="645">
        <f t="shared" si="509"/>
        <v>21494.650409225022</v>
      </c>
      <c r="AJ227" s="646">
        <f t="shared" si="541"/>
        <v>-27.077233162968948</v>
      </c>
      <c r="AK227" s="647">
        <f t="shared" si="510"/>
        <v>21467.573176062051</v>
      </c>
      <c r="AL227" s="644">
        <f t="shared" si="542"/>
        <v>0</v>
      </c>
      <c r="AM227" s="645">
        <f t="shared" si="543"/>
        <v>21467.573176062051</v>
      </c>
      <c r="AN227" s="646">
        <f t="shared" si="544"/>
        <v>-1.7261819534586584E-2</v>
      </c>
      <c r="AO227" s="647">
        <f t="shared" si="511"/>
        <v>21467.555914242515</v>
      </c>
      <c r="AP227" s="644">
        <f t="shared" si="545"/>
        <v>0</v>
      </c>
      <c r="AQ227" s="645">
        <f t="shared" si="546"/>
        <v>21467.555914242515</v>
      </c>
      <c r="AR227" s="646">
        <f t="shared" si="547"/>
        <v>0</v>
      </c>
      <c r="AS227" s="647">
        <f t="shared" si="512"/>
        <v>21467.555914242515</v>
      </c>
      <c r="AT227" s="644">
        <f t="shared" si="548"/>
        <v>0</v>
      </c>
      <c r="AU227" s="645">
        <f t="shared" si="549"/>
        <v>21467.555914242515</v>
      </c>
      <c r="AV227" s="646">
        <f t="shared" si="550"/>
        <v>0</v>
      </c>
      <c r="AW227" s="647">
        <f t="shared" si="513"/>
        <v>21467.555914242515</v>
      </c>
      <c r="AY227" s="644">
        <f t="shared" si="551"/>
        <v>6631.6719462887331</v>
      </c>
      <c r="AZ227" s="645">
        <f t="shared" si="482"/>
        <v>5703.8851015945484</v>
      </c>
      <c r="BA227" s="644">
        <f t="shared" si="552"/>
        <v>0</v>
      </c>
      <c r="BB227" s="645">
        <f t="shared" si="553"/>
        <v>6631.6719462887331</v>
      </c>
      <c r="BC227" s="646">
        <f t="shared" si="554"/>
        <v>-47.690285636863813</v>
      </c>
      <c r="BD227" s="647">
        <f t="shared" si="555"/>
        <v>6583.9816606518689</v>
      </c>
      <c r="BE227" s="644">
        <f t="shared" si="514"/>
        <v>0</v>
      </c>
      <c r="BF227" s="645">
        <f t="shared" si="515"/>
        <v>6583.9816606518689</v>
      </c>
      <c r="BG227" s="646">
        <f t="shared" si="556"/>
        <v>-156.82507759876697</v>
      </c>
      <c r="BH227" s="647">
        <f t="shared" si="516"/>
        <v>6427.1565830531017</v>
      </c>
      <c r="BI227" s="644">
        <f t="shared" si="557"/>
        <v>0</v>
      </c>
      <c r="BJ227" s="645">
        <f t="shared" si="558"/>
        <v>6427.1565830531017</v>
      </c>
      <c r="BK227" s="646">
        <f t="shared" si="559"/>
        <v>-13.614227202085857</v>
      </c>
      <c r="BL227" s="647">
        <f t="shared" si="517"/>
        <v>6413.5423558510156</v>
      </c>
      <c r="BM227" s="644">
        <f t="shared" si="560"/>
        <v>0</v>
      </c>
      <c r="BN227" s="645">
        <f t="shared" si="561"/>
        <v>6413.5423558510156</v>
      </c>
      <c r="BO227" s="646">
        <f t="shared" si="562"/>
        <v>-0.29343744866321919</v>
      </c>
      <c r="BP227" s="647">
        <f t="shared" si="518"/>
        <v>6413.2489184023525</v>
      </c>
      <c r="BQ227" s="644">
        <f t="shared" si="563"/>
        <v>0</v>
      </c>
      <c r="BR227" s="645">
        <f t="shared" si="564"/>
        <v>6413.2489184023525</v>
      </c>
      <c r="BS227" s="646">
        <f t="shared" si="565"/>
        <v>0</v>
      </c>
      <c r="BT227" s="647">
        <f t="shared" si="519"/>
        <v>6413.2489184023525</v>
      </c>
      <c r="BU227" s="662">
        <f>VLOOKUP(B227,'Afton Update'!$A$5:$AR$582,'Afton Update'!$AO$589,0)-BT227</f>
        <v>0</v>
      </c>
      <c r="BV227" s="644">
        <f t="shared" si="566"/>
        <v>12763.238309275686</v>
      </c>
      <c r="BW227" s="645">
        <f t="shared" si="483"/>
        <v>10397.176880952913</v>
      </c>
      <c r="BX227" s="644">
        <f t="shared" si="567"/>
        <v>0</v>
      </c>
      <c r="BY227" s="645">
        <f t="shared" si="568"/>
        <v>12763.238309275686</v>
      </c>
      <c r="BZ227" s="646">
        <f t="shared" si="569"/>
        <v>-112.02429961285024</v>
      </c>
      <c r="CA227" s="647">
        <f t="shared" si="570"/>
        <v>12651.214009662835</v>
      </c>
      <c r="CB227" s="644">
        <f t="shared" si="520"/>
        <v>0</v>
      </c>
      <c r="CC227" s="645">
        <f t="shared" si="521"/>
        <v>12651.214009662835</v>
      </c>
      <c r="CD227" s="646">
        <f t="shared" si="571"/>
        <v>-4.05236959203173</v>
      </c>
      <c r="CE227" s="647">
        <f t="shared" si="522"/>
        <v>12647.161640070804</v>
      </c>
      <c r="CF227" s="644">
        <f t="shared" si="572"/>
        <v>0</v>
      </c>
      <c r="CG227" s="645">
        <f t="shared" si="573"/>
        <v>12647.161640070804</v>
      </c>
      <c r="CH227" s="646">
        <f t="shared" si="574"/>
        <v>0</v>
      </c>
      <c r="CI227" s="647">
        <f t="shared" si="523"/>
        <v>12647.161640070804</v>
      </c>
      <c r="CJ227" s="644">
        <f t="shared" si="575"/>
        <v>0</v>
      </c>
      <c r="CK227" s="645">
        <f t="shared" si="576"/>
        <v>12647.161640070804</v>
      </c>
      <c r="CL227" s="646">
        <f t="shared" si="577"/>
        <v>0</v>
      </c>
      <c r="CM227" s="647">
        <f t="shared" si="524"/>
        <v>12647.161640070804</v>
      </c>
      <c r="CN227" s="644">
        <f t="shared" si="578"/>
        <v>0</v>
      </c>
      <c r="CO227" s="645">
        <f t="shared" si="579"/>
        <v>12647.161640070804</v>
      </c>
      <c r="CP227" s="646">
        <f t="shared" si="580"/>
        <v>0</v>
      </c>
      <c r="CQ227" s="647">
        <f t="shared" si="525"/>
        <v>12647.161640070804</v>
      </c>
      <c r="CS227" s="644">
        <f t="shared" si="581"/>
        <v>11880.89829322908</v>
      </c>
      <c r="CT227" s="645">
        <f t="shared" si="484"/>
        <v>8824.5754627587485</v>
      </c>
      <c r="CU227" s="644">
        <f t="shared" si="582"/>
        <v>0</v>
      </c>
      <c r="CV227" s="645">
        <f t="shared" si="583"/>
        <v>11880.89829322908</v>
      </c>
      <c r="CW227" s="646">
        <f t="shared" si="584"/>
        <v>-121.66711267938233</v>
      </c>
      <c r="CX227" s="647">
        <f t="shared" si="585"/>
        <v>11759.231180549697</v>
      </c>
      <c r="CY227" s="644">
        <f t="shared" si="526"/>
        <v>0</v>
      </c>
      <c r="CZ227" s="645">
        <f t="shared" si="527"/>
        <v>11759.231180549697</v>
      </c>
      <c r="DA227" s="646">
        <f t="shared" si="586"/>
        <v>-9.2310391810646184</v>
      </c>
      <c r="DB227" s="647">
        <f t="shared" si="528"/>
        <v>11750.000141368633</v>
      </c>
      <c r="DC227" s="644">
        <f t="shared" si="587"/>
        <v>0</v>
      </c>
      <c r="DD227" s="645">
        <f t="shared" si="588"/>
        <v>11750.000141368633</v>
      </c>
      <c r="DE227" s="646">
        <f t="shared" si="589"/>
        <v>-7.9606215458548988E-3</v>
      </c>
      <c r="DF227" s="647">
        <f t="shared" si="529"/>
        <v>11749.992180747087</v>
      </c>
      <c r="DG227" s="644">
        <f t="shared" si="590"/>
        <v>0</v>
      </c>
      <c r="DH227" s="645">
        <f t="shared" si="591"/>
        <v>11749.992180747087</v>
      </c>
      <c r="DI227" s="646">
        <f t="shared" si="592"/>
        <v>0</v>
      </c>
      <c r="DJ227" s="647">
        <f t="shared" si="530"/>
        <v>11749.992180747087</v>
      </c>
      <c r="DK227" s="644">
        <f t="shared" si="593"/>
        <v>0</v>
      </c>
      <c r="DL227" s="645">
        <f t="shared" si="594"/>
        <v>11749.992180747087</v>
      </c>
      <c r="DM227" s="646">
        <f t="shared" si="595"/>
        <v>0</v>
      </c>
      <c r="DN227" s="647">
        <f t="shared" si="531"/>
        <v>11749.992180747087</v>
      </c>
      <c r="DR227" s="827">
        <f t="shared" si="485"/>
        <v>52277.958653462767</v>
      </c>
      <c r="DV227" s="828">
        <f>IFERROR(VLOOKUP($B227,'Afton FY16 Final'!$A$5:$BV$587,'Afton FY16 Final'!$BV$587,0),0)</f>
        <v>35968.525956370082</v>
      </c>
      <c r="DX227" s="636">
        <f t="shared" si="473"/>
        <v>52277.958653462767</v>
      </c>
      <c r="DY227" s="637">
        <f t="shared" si="474"/>
        <v>16309.432697092685</v>
      </c>
      <c r="DZ227" s="637">
        <f t="shared" si="475"/>
        <v>35968.525956370082</v>
      </c>
      <c r="EA227" s="643">
        <f t="shared" si="476"/>
        <v>49497.357153142206</v>
      </c>
      <c r="EB227" s="637">
        <f t="shared" si="486"/>
        <v>0</v>
      </c>
      <c r="EC227" s="637">
        <f t="shared" si="487"/>
        <v>49497.357153142206</v>
      </c>
      <c r="ED227" s="637">
        <f t="shared" si="488"/>
        <v>49349.758989486181</v>
      </c>
      <c r="EE227" s="643">
        <f t="shared" si="489"/>
        <v>49349.758989486181</v>
      </c>
      <c r="EF227" s="637">
        <f t="shared" si="490"/>
        <v>0</v>
      </c>
      <c r="EG227" s="637">
        <f t="shared" si="491"/>
        <v>49349.758989486181</v>
      </c>
      <c r="EH227" s="637">
        <f t="shared" si="492"/>
        <v>49349.708077266099</v>
      </c>
      <c r="EI227" s="643">
        <f t="shared" si="493"/>
        <v>49349.708077266099</v>
      </c>
      <c r="EJ227" s="637">
        <f t="shared" si="494"/>
        <v>0</v>
      </c>
      <c r="EK227" s="637">
        <f t="shared" si="495"/>
        <v>49349.708077266099</v>
      </c>
      <c r="EL227" s="637">
        <f t="shared" si="496"/>
        <v>49349.708077266027</v>
      </c>
      <c r="EM227" s="643">
        <f t="shared" si="497"/>
        <v>49349.708077266027</v>
      </c>
      <c r="EN227" s="637">
        <f t="shared" si="498"/>
        <v>0</v>
      </c>
      <c r="EO227" s="637">
        <f t="shared" si="499"/>
        <v>49349.708077266027</v>
      </c>
      <c r="EP227" s="637">
        <f t="shared" si="500"/>
        <v>49349.708077266099</v>
      </c>
      <c r="EQ227" s="643">
        <f t="shared" si="501"/>
        <v>49349.708077266099</v>
      </c>
      <c r="ER227" s="637">
        <f t="shared" si="502"/>
        <v>0</v>
      </c>
      <c r="ES227" s="637">
        <f t="shared" si="503"/>
        <v>49349.708077266099</v>
      </c>
      <c r="ET227" s="637">
        <f t="shared" si="504"/>
        <v>49349.708077266019</v>
      </c>
      <c r="EU227" s="643">
        <f t="shared" si="477"/>
        <v>49349.708077266019</v>
      </c>
      <c r="EV227" s="643">
        <f t="shared" si="478"/>
        <v>0</v>
      </c>
      <c r="EX227" s="829">
        <f t="shared" si="479"/>
        <v>2928.2505761967477</v>
      </c>
      <c r="EY227" s="638">
        <f t="shared" si="480"/>
        <v>49349.708077266019</v>
      </c>
      <c r="FC227" s="830" t="str">
        <f t="shared" si="505"/>
        <v>Y</v>
      </c>
      <c r="FE227" s="830" t="str">
        <f>IFERROR(VLOOKUP($B227,'Historical Conc Grant Elig'!$B$3:$J$707,'HH &amp; SI'!FE$2,0),"N")</f>
        <v>N</v>
      </c>
      <c r="FF227" s="830" t="str">
        <f>IFERROR(VLOOKUP($B227,'Historical Conc Grant Elig'!$B$3:$J$707,'HH &amp; SI'!FF$2,0),"N")</f>
        <v>N</v>
      </c>
      <c r="FG227" s="830" t="str">
        <f>IFERROR(VLOOKUP($B227,'Historical Conc Grant Elig'!$B$3:$J$707,'HH &amp; SI'!FG$2,0),"N")</f>
        <v>N</v>
      </c>
      <c r="FH227" s="830" t="str">
        <f>IFERROR(VLOOKUP($B227,'Historical Conc Grant Elig'!$B$3:$J$707,'HH &amp; SI'!FH$2,0),"N")</f>
        <v>N</v>
      </c>
      <c r="FI227" s="830" t="str">
        <f>IFERROR(VLOOKUP($B227,'Historical Conc Grant Elig'!$B$3:$J$707,'HH &amp; SI'!FI$2,0),"N")</f>
        <v>Y</v>
      </c>
      <c r="FJ227" s="830" t="str">
        <f>IFERROR(VLOOKUP($B227,'Historical Conc Grant Elig'!$B$3:$J$707,'HH &amp; SI'!FJ$2,0),"N")</f>
        <v>Y</v>
      </c>
      <c r="FK227" s="830" t="str">
        <f>IFERROR(VLOOKUP($B227,'Historical Conc Grant Elig'!$B$3:$J$707,'HH &amp; SI'!FK$2,0),"N")</f>
        <v>Y</v>
      </c>
      <c r="FL227" s="957" t="str">
        <f>IFERROR(VLOOKUP($B227,'Historical Conc Grant Elig'!$B$3:$J$707,'HH &amp; SI'!FL$2,0),"N")</f>
        <v>Y</v>
      </c>
    </row>
    <row r="228" spans="2:168" x14ac:dyDescent="0.25">
      <c r="B228" s="634">
        <v>78647000</v>
      </c>
      <c r="C228" s="635" t="str">
        <f>VLOOKUP($B228,'Afton Update'!$A$5:$CR$582,'Afton Update'!D$589,0)</f>
        <v>Maricopa County Community College District dba Gateway Early</v>
      </c>
      <c r="D228" s="636">
        <f>IFERROR(VLOOKUP($B228,'Afton FY16 Final'!$A$5:$BV$587,'Afton FY16 Final'!AQ$587,0),0)</f>
        <v>56428.435151398822</v>
      </c>
      <c r="E228" s="637">
        <f>IFERROR(VLOOKUP($B228,'Afton FY16 Final'!$A$5:$BV$587,'Afton FY16 Final'!AR$587,0),0)</f>
        <v>12226.741639079994</v>
      </c>
      <c r="F228" s="637">
        <f>IFERROR(VLOOKUP($B228,'Afton FY16 Final'!$A$5:$BV$587,'Afton FY16 Final'!AS$587,0),0)</f>
        <v>29919.180770108156</v>
      </c>
      <c r="G228" s="637">
        <f>IFERROR(VLOOKUP($B228,'Afton FY16 Final'!$A$5:$BV$587,'Afton FY16 Final'!AT$587,0),0)</f>
        <v>28826.924721796338</v>
      </c>
      <c r="H228" s="638">
        <f>IFERROR(VLOOKUP($B228,'Afton FY16 Final'!$A$5:$BV$587,'Afton FY16 Final'!AU$587,0),0)</f>
        <v>127401.28228238331</v>
      </c>
      <c r="I228" s="639" t="str">
        <f>VLOOKUP($B228,'Afton Update'!$A$5:$CR$582,'Afton Update'!BT$589,0)</f>
        <v>Y</v>
      </c>
      <c r="J228" s="640" t="str">
        <f>VLOOKUP($B228,'Afton Update'!$A$5:$CR$582,'Afton Update'!BU$589,0)</f>
        <v>Y</v>
      </c>
      <c r="K228" s="640" t="str">
        <f>VLOOKUP($B228,'Afton Update'!$A$5:$CR$582,'Afton Update'!BV$589,0)</f>
        <v>Y</v>
      </c>
      <c r="L228" s="641" t="str">
        <f>VLOOKUP($B228,'Afton Update'!$A$5:$CR$582,'Afton Update'!BW$589,0)</f>
        <v>Y</v>
      </c>
      <c r="N228" s="642">
        <f>VLOOKUP($B228,'Afton Update'!$A$5:$CR$582,'Afton Update'!CB$589,0)</f>
        <v>0.95</v>
      </c>
      <c r="P228" s="636">
        <f>VLOOKUP($B228,'Afton Update'!$A$5:$CR$582,'Afton Update'!AH$589,0)</f>
        <v>44246.382832587333</v>
      </c>
      <c r="Q228" s="637">
        <f>VLOOKUP($B228,'Afton Update'!$A$5:$CR$582,'Afton Update'!AI$589,0)</f>
        <v>11280.902198651964</v>
      </c>
      <c r="R228" s="637">
        <f>VLOOKUP($B228,'Afton Update'!$A$5:$CR$582,'Afton Update'!AJ$589,0)</f>
        <v>25921.06666555272</v>
      </c>
      <c r="S228" s="637">
        <f>VLOOKUP($B228,'Afton Update'!$A$5:$CR$582,'Afton Update'!AK$589,0)</f>
        <v>24129.10808706189</v>
      </c>
      <c r="T228" s="643">
        <f t="shared" si="506"/>
        <v>105577.4597838539</v>
      </c>
      <c r="V228" s="636">
        <f t="shared" si="532"/>
        <v>53607.013393828878</v>
      </c>
      <c r="W228" s="637">
        <f t="shared" si="533"/>
        <v>11615.404557125994</v>
      </c>
      <c r="X228" s="637">
        <f t="shared" si="534"/>
        <v>28423.221731602745</v>
      </c>
      <c r="Y228" s="637">
        <f t="shared" si="535"/>
        <v>27385.578485706519</v>
      </c>
      <c r="Z228" s="643">
        <f t="shared" si="536"/>
        <v>121031.21816826412</v>
      </c>
      <c r="AB228" s="644">
        <f t="shared" si="507"/>
        <v>44246.382832587333</v>
      </c>
      <c r="AC228" s="645">
        <f t="shared" si="481"/>
        <v>53607.013393828878</v>
      </c>
      <c r="AD228" s="644">
        <f t="shared" si="537"/>
        <v>9360.6305612415454</v>
      </c>
      <c r="AE228" s="645">
        <f t="shared" si="538"/>
        <v>0</v>
      </c>
      <c r="AF228" s="646">
        <f t="shared" si="539"/>
        <v>0</v>
      </c>
      <c r="AG228" s="647">
        <f t="shared" si="540"/>
        <v>53607.013393828878</v>
      </c>
      <c r="AH228" s="644">
        <f t="shared" si="508"/>
        <v>0</v>
      </c>
      <c r="AI228" s="645">
        <f t="shared" si="509"/>
        <v>0</v>
      </c>
      <c r="AJ228" s="646">
        <f t="shared" si="541"/>
        <v>0</v>
      </c>
      <c r="AK228" s="647">
        <f t="shared" si="510"/>
        <v>53607.013393828878</v>
      </c>
      <c r="AL228" s="644">
        <f t="shared" si="542"/>
        <v>0</v>
      </c>
      <c r="AM228" s="645">
        <f t="shared" si="543"/>
        <v>0</v>
      </c>
      <c r="AN228" s="646">
        <f t="shared" si="544"/>
        <v>0</v>
      </c>
      <c r="AO228" s="647">
        <f t="shared" si="511"/>
        <v>53607.013393828878</v>
      </c>
      <c r="AP228" s="644">
        <f t="shared" si="545"/>
        <v>0</v>
      </c>
      <c r="AQ228" s="645">
        <f t="shared" si="546"/>
        <v>0</v>
      </c>
      <c r="AR228" s="646">
        <f t="shared" si="547"/>
        <v>0</v>
      </c>
      <c r="AS228" s="647">
        <f t="shared" si="512"/>
        <v>53607.013393828878</v>
      </c>
      <c r="AT228" s="644">
        <f t="shared" si="548"/>
        <v>0</v>
      </c>
      <c r="AU228" s="645">
        <f t="shared" si="549"/>
        <v>0</v>
      </c>
      <c r="AV228" s="646">
        <f t="shared" si="550"/>
        <v>0</v>
      </c>
      <c r="AW228" s="647">
        <f t="shared" si="513"/>
        <v>53607.013393828878</v>
      </c>
      <c r="AY228" s="644">
        <f t="shared" si="551"/>
        <v>11280.902198651964</v>
      </c>
      <c r="AZ228" s="645">
        <f t="shared" si="482"/>
        <v>11615.404557125994</v>
      </c>
      <c r="BA228" s="644">
        <f t="shared" si="552"/>
        <v>334.50235847403019</v>
      </c>
      <c r="BB228" s="645">
        <f t="shared" si="553"/>
        <v>0</v>
      </c>
      <c r="BC228" s="646">
        <f t="shared" si="554"/>
        <v>0</v>
      </c>
      <c r="BD228" s="647">
        <f t="shared" si="555"/>
        <v>11615.404557125994</v>
      </c>
      <c r="BE228" s="644">
        <f t="shared" si="514"/>
        <v>0</v>
      </c>
      <c r="BF228" s="645">
        <f t="shared" si="515"/>
        <v>0</v>
      </c>
      <c r="BG228" s="646">
        <f t="shared" si="556"/>
        <v>0</v>
      </c>
      <c r="BH228" s="647">
        <f t="shared" si="516"/>
        <v>11615.404557125994</v>
      </c>
      <c r="BI228" s="644">
        <f t="shared" si="557"/>
        <v>0</v>
      </c>
      <c r="BJ228" s="645">
        <f t="shared" si="558"/>
        <v>0</v>
      </c>
      <c r="BK228" s="646">
        <f t="shared" si="559"/>
        <v>0</v>
      </c>
      <c r="BL228" s="647">
        <f t="shared" si="517"/>
        <v>11615.404557125994</v>
      </c>
      <c r="BM228" s="644">
        <f t="shared" si="560"/>
        <v>0</v>
      </c>
      <c r="BN228" s="645">
        <f t="shared" si="561"/>
        <v>0</v>
      </c>
      <c r="BO228" s="646">
        <f t="shared" si="562"/>
        <v>0</v>
      </c>
      <c r="BP228" s="647">
        <f t="shared" si="518"/>
        <v>11615.404557125994</v>
      </c>
      <c r="BQ228" s="644">
        <f t="shared" si="563"/>
        <v>0</v>
      </c>
      <c r="BR228" s="645">
        <f t="shared" si="564"/>
        <v>0</v>
      </c>
      <c r="BS228" s="646">
        <f t="shared" si="565"/>
        <v>0</v>
      </c>
      <c r="BT228" s="647">
        <f t="shared" si="519"/>
        <v>11615.404557125994</v>
      </c>
      <c r="BU228" s="662">
        <f>VLOOKUP(B228,'Afton Update'!$A$5:$AR$582,'Afton Update'!$AO$589,0)-BT228</f>
        <v>0</v>
      </c>
      <c r="BV228" s="644">
        <f t="shared" si="566"/>
        <v>25921.06666555272</v>
      </c>
      <c r="BW228" s="645">
        <f t="shared" si="483"/>
        <v>28423.221731602745</v>
      </c>
      <c r="BX228" s="644">
        <f t="shared" si="567"/>
        <v>2502.1550660500252</v>
      </c>
      <c r="BY228" s="645">
        <f t="shared" si="568"/>
        <v>0</v>
      </c>
      <c r="BZ228" s="646">
        <f t="shared" si="569"/>
        <v>0</v>
      </c>
      <c r="CA228" s="647">
        <f t="shared" si="570"/>
        <v>28423.221731602745</v>
      </c>
      <c r="CB228" s="644">
        <f t="shared" si="520"/>
        <v>0</v>
      </c>
      <c r="CC228" s="645">
        <f t="shared" si="521"/>
        <v>0</v>
      </c>
      <c r="CD228" s="646">
        <f t="shared" si="571"/>
        <v>0</v>
      </c>
      <c r="CE228" s="647">
        <f t="shared" si="522"/>
        <v>28423.221731602745</v>
      </c>
      <c r="CF228" s="644">
        <f t="shared" si="572"/>
        <v>0</v>
      </c>
      <c r="CG228" s="645">
        <f t="shared" si="573"/>
        <v>0</v>
      </c>
      <c r="CH228" s="646">
        <f t="shared" si="574"/>
        <v>0</v>
      </c>
      <c r="CI228" s="647">
        <f t="shared" si="523"/>
        <v>28423.221731602745</v>
      </c>
      <c r="CJ228" s="644">
        <f t="shared" si="575"/>
        <v>0</v>
      </c>
      <c r="CK228" s="645">
        <f t="shared" si="576"/>
        <v>0</v>
      </c>
      <c r="CL228" s="646">
        <f t="shared" si="577"/>
        <v>0</v>
      </c>
      <c r="CM228" s="647">
        <f t="shared" si="524"/>
        <v>28423.221731602745</v>
      </c>
      <c r="CN228" s="644">
        <f t="shared" si="578"/>
        <v>0</v>
      </c>
      <c r="CO228" s="645">
        <f t="shared" si="579"/>
        <v>0</v>
      </c>
      <c r="CP228" s="646">
        <f t="shared" si="580"/>
        <v>0</v>
      </c>
      <c r="CQ228" s="647">
        <f t="shared" si="525"/>
        <v>28423.221731602745</v>
      </c>
      <c r="CS228" s="644">
        <f t="shared" si="581"/>
        <v>24129.10808706189</v>
      </c>
      <c r="CT228" s="645">
        <f t="shared" si="484"/>
        <v>27385.578485706519</v>
      </c>
      <c r="CU228" s="644">
        <f t="shared" si="582"/>
        <v>3256.4703986446293</v>
      </c>
      <c r="CV228" s="645">
        <f t="shared" si="583"/>
        <v>0</v>
      </c>
      <c r="CW228" s="646">
        <f t="shared" si="584"/>
        <v>0</v>
      </c>
      <c r="CX228" s="647">
        <f t="shared" si="585"/>
        <v>27385.578485706519</v>
      </c>
      <c r="CY228" s="644">
        <f t="shared" si="526"/>
        <v>0</v>
      </c>
      <c r="CZ228" s="645">
        <f t="shared" si="527"/>
        <v>0</v>
      </c>
      <c r="DA228" s="646">
        <f t="shared" si="586"/>
        <v>0</v>
      </c>
      <c r="DB228" s="647">
        <f t="shared" si="528"/>
        <v>27385.578485706519</v>
      </c>
      <c r="DC228" s="644">
        <f t="shared" si="587"/>
        <v>0</v>
      </c>
      <c r="DD228" s="645">
        <f t="shared" si="588"/>
        <v>0</v>
      </c>
      <c r="DE228" s="646">
        <f t="shared" si="589"/>
        <v>0</v>
      </c>
      <c r="DF228" s="647">
        <f t="shared" si="529"/>
        <v>27385.578485706519</v>
      </c>
      <c r="DG228" s="644">
        <f t="shared" si="590"/>
        <v>0</v>
      </c>
      <c r="DH228" s="645">
        <f t="shared" si="591"/>
        <v>0</v>
      </c>
      <c r="DI228" s="646">
        <f t="shared" si="592"/>
        <v>0</v>
      </c>
      <c r="DJ228" s="647">
        <f t="shared" si="530"/>
        <v>27385.578485706519</v>
      </c>
      <c r="DK228" s="644">
        <f t="shared" si="593"/>
        <v>0</v>
      </c>
      <c r="DL228" s="645">
        <f t="shared" si="594"/>
        <v>0</v>
      </c>
      <c r="DM228" s="646">
        <f t="shared" si="595"/>
        <v>0</v>
      </c>
      <c r="DN228" s="647">
        <f t="shared" si="531"/>
        <v>27385.578485706519</v>
      </c>
      <c r="DR228" s="827">
        <f t="shared" si="485"/>
        <v>121031.21816826412</v>
      </c>
      <c r="DV228" s="828">
        <f>IFERROR(VLOOKUP($B228,'Afton FY16 Final'!$A$5:$BV$587,'Afton FY16 Final'!$BV$587,0),0)</f>
        <v>122892.29785343702</v>
      </c>
      <c r="DX228" s="636">
        <f t="shared" si="473"/>
        <v>0</v>
      </c>
      <c r="DY228" s="637">
        <f t="shared" si="474"/>
        <v>0</v>
      </c>
      <c r="DZ228" s="637">
        <f t="shared" si="475"/>
        <v>0</v>
      </c>
      <c r="EA228" s="643">
        <f t="shared" si="476"/>
        <v>0</v>
      </c>
      <c r="EB228" s="637">
        <f t="shared" si="486"/>
        <v>0</v>
      </c>
      <c r="EC228" s="637">
        <f t="shared" si="487"/>
        <v>0</v>
      </c>
      <c r="ED228" s="637">
        <f t="shared" si="488"/>
        <v>0</v>
      </c>
      <c r="EE228" s="643">
        <f t="shared" si="489"/>
        <v>0</v>
      </c>
      <c r="EF228" s="637">
        <f t="shared" si="490"/>
        <v>0</v>
      </c>
      <c r="EG228" s="637">
        <f t="shared" si="491"/>
        <v>0</v>
      </c>
      <c r="EH228" s="637">
        <f t="shared" si="492"/>
        <v>0</v>
      </c>
      <c r="EI228" s="643">
        <f t="shared" si="493"/>
        <v>0</v>
      </c>
      <c r="EJ228" s="637">
        <f t="shared" si="494"/>
        <v>0</v>
      </c>
      <c r="EK228" s="637">
        <f t="shared" si="495"/>
        <v>0</v>
      </c>
      <c r="EL228" s="637">
        <f t="shared" si="496"/>
        <v>0</v>
      </c>
      <c r="EM228" s="643">
        <f t="shared" si="497"/>
        <v>0</v>
      </c>
      <c r="EN228" s="637">
        <f t="shared" si="498"/>
        <v>0</v>
      </c>
      <c r="EO228" s="637">
        <f t="shared" si="499"/>
        <v>0</v>
      </c>
      <c r="EP228" s="637">
        <f t="shared" si="500"/>
        <v>0</v>
      </c>
      <c r="EQ228" s="643">
        <f t="shared" si="501"/>
        <v>0</v>
      </c>
      <c r="ER228" s="637">
        <f t="shared" si="502"/>
        <v>0</v>
      </c>
      <c r="ES228" s="637">
        <f t="shared" si="503"/>
        <v>0</v>
      </c>
      <c r="ET228" s="637">
        <f t="shared" si="504"/>
        <v>0</v>
      </c>
      <c r="EU228" s="643">
        <f t="shared" si="477"/>
        <v>0</v>
      </c>
      <c r="EV228" s="643">
        <f t="shared" si="478"/>
        <v>0</v>
      </c>
      <c r="EX228" s="829">
        <f t="shared" si="479"/>
        <v>0</v>
      </c>
      <c r="EY228" s="638">
        <f t="shared" si="480"/>
        <v>121031.21816826412</v>
      </c>
      <c r="FC228" s="830" t="str">
        <f t="shared" si="505"/>
        <v>Y</v>
      </c>
      <c r="FE228" s="830" t="str">
        <f>IFERROR(VLOOKUP($B228,'Historical Conc Grant Elig'!$B$3:$J$707,'HH &amp; SI'!FE$2,0),"N")</f>
        <v>Y</v>
      </c>
      <c r="FF228" s="830" t="str">
        <f>IFERROR(VLOOKUP($B228,'Historical Conc Grant Elig'!$B$3:$J$707,'HH &amp; SI'!FF$2,0),"N")</f>
        <v>Y</v>
      </c>
      <c r="FG228" s="830" t="str">
        <f>IFERROR(VLOOKUP($B228,'Historical Conc Grant Elig'!$B$3:$J$707,'HH &amp; SI'!FG$2,0),"N")</f>
        <v>Y</v>
      </c>
      <c r="FH228" s="830" t="str">
        <f>IFERROR(VLOOKUP($B228,'Historical Conc Grant Elig'!$B$3:$J$707,'HH &amp; SI'!FH$2,0),"N")</f>
        <v>Y</v>
      </c>
      <c r="FI228" s="830" t="str">
        <f>IFERROR(VLOOKUP($B228,'Historical Conc Grant Elig'!$B$3:$J$707,'HH &amp; SI'!FI$2,0),"N")</f>
        <v>Y</v>
      </c>
      <c r="FJ228" s="830" t="str">
        <f>IFERROR(VLOOKUP($B228,'Historical Conc Grant Elig'!$B$3:$J$707,'HH &amp; SI'!FJ$2,0),"N")</f>
        <v>Y</v>
      </c>
      <c r="FK228" s="830" t="str">
        <f>IFERROR(VLOOKUP($B228,'Historical Conc Grant Elig'!$B$3:$J$707,'HH &amp; SI'!FK$2,0),"N")</f>
        <v>Y</v>
      </c>
      <c r="FL228" s="957" t="str">
        <f>IFERROR(VLOOKUP($B228,'Historical Conc Grant Elig'!$B$3:$J$707,'HH &amp; SI'!FL$2,0),"N")</f>
        <v>Y</v>
      </c>
    </row>
    <row r="229" spans="2:168" x14ac:dyDescent="0.25">
      <c r="B229" s="634">
        <v>78656000</v>
      </c>
      <c r="C229" s="635" t="str">
        <f>VLOOKUP($B229,'Afton Update'!$A$5:$CR$582,'Afton Update'!D$589,0)</f>
        <v>Salt River Pima-Maricopa  Community Schools</v>
      </c>
      <c r="D229" s="636">
        <f>IFERROR(VLOOKUP($B229,'Afton FY16 Final'!$A$5:$BV$587,'Afton FY16 Final'!AQ$587,0),0)</f>
        <v>27545.511867335401</v>
      </c>
      <c r="E229" s="637">
        <f>IFERROR(VLOOKUP($B229,'Afton FY16 Final'!$A$5:$BV$587,'Afton FY16 Final'!AR$587,0),0)</f>
        <v>7207.6787595935484</v>
      </c>
      <c r="F229" s="637">
        <f>IFERROR(VLOOKUP($B229,'Afton FY16 Final'!$A$5:$BV$587,'Afton FY16 Final'!AS$587,0),0)</f>
        <v>14605.032848293296</v>
      </c>
      <c r="G229" s="637">
        <f>IFERROR(VLOOKUP($B229,'Afton FY16 Final'!$A$5:$BV$587,'Afton FY16 Final'!AT$587,0),0)</f>
        <v>14071.848614843995</v>
      </c>
      <c r="H229" s="638">
        <f>IFERROR(VLOOKUP($B229,'Afton FY16 Final'!$A$5:$BV$587,'Afton FY16 Final'!AU$587,0),0)</f>
        <v>63430.072090066242</v>
      </c>
      <c r="I229" s="639" t="str">
        <f>VLOOKUP($B229,'Afton Update'!$A$5:$CR$582,'Afton Update'!BT$589,0)</f>
        <v>Y</v>
      </c>
      <c r="J229" s="640" t="str">
        <f>VLOOKUP($B229,'Afton Update'!$A$5:$CR$582,'Afton Update'!BU$589,0)</f>
        <v>Y</v>
      </c>
      <c r="K229" s="640" t="str">
        <f>VLOOKUP($B229,'Afton Update'!$A$5:$CR$582,'Afton Update'!BV$589,0)</f>
        <v>Y</v>
      </c>
      <c r="L229" s="641" t="str">
        <f>VLOOKUP($B229,'Afton Update'!$A$5:$CR$582,'Afton Update'!BW$589,0)</f>
        <v>Y</v>
      </c>
      <c r="N229" s="642">
        <f>VLOOKUP($B229,'Afton Update'!$A$5:$CR$582,'Afton Update'!CB$589,0)</f>
        <v>0.9</v>
      </c>
      <c r="P229" s="636">
        <f>VLOOKUP($B229,'Afton Update'!$A$5:$CR$582,'Afton Update'!AH$589,0)</f>
        <v>21764.436960894305</v>
      </c>
      <c r="Q229" s="637">
        <f>VLOOKUP($B229,'Afton Update'!$A$5:$CR$582,'Afton Update'!AI$589,0)</f>
        <v>6631.6719462887331</v>
      </c>
      <c r="R229" s="637">
        <f>VLOOKUP($B229,'Afton Update'!$A$5:$CR$582,'Afton Update'!AJ$589,0)</f>
        <v>12763.238309275686</v>
      </c>
      <c r="S229" s="637">
        <f>VLOOKUP($B229,'Afton Update'!$A$5:$CR$582,'Afton Update'!AK$589,0)</f>
        <v>11880.89829322908</v>
      </c>
      <c r="T229" s="643">
        <f t="shared" si="506"/>
        <v>53040.245509687811</v>
      </c>
      <c r="V229" s="636">
        <f t="shared" si="532"/>
        <v>24790.96068060186</v>
      </c>
      <c r="W229" s="637">
        <f t="shared" si="533"/>
        <v>6486.9108836341939</v>
      </c>
      <c r="X229" s="637">
        <f t="shared" si="534"/>
        <v>13144.529563463968</v>
      </c>
      <c r="Y229" s="637">
        <f t="shared" si="535"/>
        <v>12664.663753359597</v>
      </c>
      <c r="Z229" s="643">
        <f t="shared" si="536"/>
        <v>57087.064881059618</v>
      </c>
      <c r="AB229" s="644">
        <f t="shared" si="507"/>
        <v>21764.436960894305</v>
      </c>
      <c r="AC229" s="645">
        <f t="shared" si="481"/>
        <v>24790.96068060186</v>
      </c>
      <c r="AD229" s="644">
        <f t="shared" si="537"/>
        <v>3026.5237197075548</v>
      </c>
      <c r="AE229" s="645">
        <f t="shared" si="538"/>
        <v>0</v>
      </c>
      <c r="AF229" s="646">
        <f t="shared" si="539"/>
        <v>0</v>
      </c>
      <c r="AG229" s="647">
        <f t="shared" si="540"/>
        <v>24790.96068060186</v>
      </c>
      <c r="AH229" s="644">
        <f t="shared" si="508"/>
        <v>0</v>
      </c>
      <c r="AI229" s="645">
        <f t="shared" si="509"/>
        <v>0</v>
      </c>
      <c r="AJ229" s="646">
        <f t="shared" si="541"/>
        <v>0</v>
      </c>
      <c r="AK229" s="647">
        <f t="shared" si="510"/>
        <v>24790.96068060186</v>
      </c>
      <c r="AL229" s="644">
        <f t="shared" si="542"/>
        <v>0</v>
      </c>
      <c r="AM229" s="645">
        <f t="shared" si="543"/>
        <v>0</v>
      </c>
      <c r="AN229" s="646">
        <f t="shared" si="544"/>
        <v>0</v>
      </c>
      <c r="AO229" s="647">
        <f t="shared" si="511"/>
        <v>24790.96068060186</v>
      </c>
      <c r="AP229" s="644">
        <f t="shared" si="545"/>
        <v>0</v>
      </c>
      <c r="AQ229" s="645">
        <f t="shared" si="546"/>
        <v>0</v>
      </c>
      <c r="AR229" s="646">
        <f t="shared" si="547"/>
        <v>0</v>
      </c>
      <c r="AS229" s="647">
        <f t="shared" si="512"/>
        <v>24790.96068060186</v>
      </c>
      <c r="AT229" s="644">
        <f t="shared" si="548"/>
        <v>0</v>
      </c>
      <c r="AU229" s="645">
        <f t="shared" si="549"/>
        <v>0</v>
      </c>
      <c r="AV229" s="646">
        <f t="shared" si="550"/>
        <v>0</v>
      </c>
      <c r="AW229" s="647">
        <f t="shared" si="513"/>
        <v>24790.96068060186</v>
      </c>
      <c r="AY229" s="644">
        <f t="shared" si="551"/>
        <v>6631.6719462887331</v>
      </c>
      <c r="AZ229" s="645">
        <f t="shared" si="482"/>
        <v>6486.9108836341939</v>
      </c>
      <c r="BA229" s="644">
        <f t="shared" si="552"/>
        <v>0</v>
      </c>
      <c r="BB229" s="645">
        <f t="shared" si="553"/>
        <v>6631.6719462887331</v>
      </c>
      <c r="BC229" s="646">
        <f t="shared" si="554"/>
        <v>-47.690285636863813</v>
      </c>
      <c r="BD229" s="647">
        <f t="shared" si="555"/>
        <v>6583.9816606518689</v>
      </c>
      <c r="BE229" s="644">
        <f t="shared" si="514"/>
        <v>0</v>
      </c>
      <c r="BF229" s="645">
        <f t="shared" si="515"/>
        <v>6583.9816606518689</v>
      </c>
      <c r="BG229" s="646">
        <f t="shared" si="556"/>
        <v>-156.82507759876697</v>
      </c>
      <c r="BH229" s="647">
        <f t="shared" si="516"/>
        <v>6427.1565830531017</v>
      </c>
      <c r="BI229" s="644">
        <f t="shared" si="557"/>
        <v>-59.754300581092139</v>
      </c>
      <c r="BJ229" s="645">
        <f t="shared" si="558"/>
        <v>0</v>
      </c>
      <c r="BK229" s="646">
        <f t="shared" si="559"/>
        <v>0</v>
      </c>
      <c r="BL229" s="647">
        <f t="shared" si="517"/>
        <v>6486.9108836341939</v>
      </c>
      <c r="BM229" s="644">
        <f t="shared" si="560"/>
        <v>0</v>
      </c>
      <c r="BN229" s="645">
        <f t="shared" si="561"/>
        <v>0</v>
      </c>
      <c r="BO229" s="646">
        <f t="shared" si="562"/>
        <v>0</v>
      </c>
      <c r="BP229" s="647">
        <f t="shared" si="518"/>
        <v>6486.9108836341939</v>
      </c>
      <c r="BQ229" s="644">
        <f t="shared" si="563"/>
        <v>0</v>
      </c>
      <c r="BR229" s="645">
        <f t="shared" si="564"/>
        <v>0</v>
      </c>
      <c r="BS229" s="646">
        <f t="shared" si="565"/>
        <v>0</v>
      </c>
      <c r="BT229" s="647">
        <f t="shared" si="519"/>
        <v>6486.9108836341939</v>
      </c>
      <c r="BU229" s="662">
        <f>VLOOKUP(B229,'Afton Update'!$A$5:$AR$582,'Afton Update'!$AO$589,0)-BT229</f>
        <v>0</v>
      </c>
      <c r="BV229" s="644">
        <f t="shared" si="566"/>
        <v>12763.238309275686</v>
      </c>
      <c r="BW229" s="645">
        <f t="shared" si="483"/>
        <v>13144.529563463968</v>
      </c>
      <c r="BX229" s="644">
        <f t="shared" si="567"/>
        <v>381.29125418828153</v>
      </c>
      <c r="BY229" s="645">
        <f t="shared" si="568"/>
        <v>0</v>
      </c>
      <c r="BZ229" s="646">
        <f t="shared" si="569"/>
        <v>0</v>
      </c>
      <c r="CA229" s="647">
        <f t="shared" si="570"/>
        <v>13144.529563463968</v>
      </c>
      <c r="CB229" s="644">
        <f t="shared" si="520"/>
        <v>0</v>
      </c>
      <c r="CC229" s="645">
        <f t="shared" si="521"/>
        <v>0</v>
      </c>
      <c r="CD229" s="646">
        <f t="shared" si="571"/>
        <v>0</v>
      </c>
      <c r="CE229" s="647">
        <f t="shared" si="522"/>
        <v>13144.529563463968</v>
      </c>
      <c r="CF229" s="644">
        <f t="shared" si="572"/>
        <v>0</v>
      </c>
      <c r="CG229" s="645">
        <f t="shared" si="573"/>
        <v>0</v>
      </c>
      <c r="CH229" s="646">
        <f t="shared" si="574"/>
        <v>0</v>
      </c>
      <c r="CI229" s="647">
        <f t="shared" si="523"/>
        <v>13144.529563463968</v>
      </c>
      <c r="CJ229" s="644">
        <f t="shared" si="575"/>
        <v>0</v>
      </c>
      <c r="CK229" s="645">
        <f t="shared" si="576"/>
        <v>0</v>
      </c>
      <c r="CL229" s="646">
        <f t="shared" si="577"/>
        <v>0</v>
      </c>
      <c r="CM229" s="647">
        <f t="shared" si="524"/>
        <v>13144.529563463968</v>
      </c>
      <c r="CN229" s="644">
        <f t="shared" si="578"/>
        <v>0</v>
      </c>
      <c r="CO229" s="645">
        <f t="shared" si="579"/>
        <v>0</v>
      </c>
      <c r="CP229" s="646">
        <f t="shared" si="580"/>
        <v>0</v>
      </c>
      <c r="CQ229" s="647">
        <f t="shared" si="525"/>
        <v>13144.529563463968</v>
      </c>
      <c r="CS229" s="644">
        <f t="shared" si="581"/>
        <v>11880.89829322908</v>
      </c>
      <c r="CT229" s="645">
        <f t="shared" si="484"/>
        <v>12664.663753359597</v>
      </c>
      <c r="CU229" s="644">
        <f t="shared" si="582"/>
        <v>783.76546013051666</v>
      </c>
      <c r="CV229" s="645">
        <f t="shared" si="583"/>
        <v>0</v>
      </c>
      <c r="CW229" s="646">
        <f t="shared" si="584"/>
        <v>0</v>
      </c>
      <c r="CX229" s="647">
        <f t="shared" si="585"/>
        <v>12664.663753359597</v>
      </c>
      <c r="CY229" s="644">
        <f t="shared" si="526"/>
        <v>0</v>
      </c>
      <c r="CZ229" s="645">
        <f t="shared" si="527"/>
        <v>0</v>
      </c>
      <c r="DA229" s="646">
        <f t="shared" si="586"/>
        <v>0</v>
      </c>
      <c r="DB229" s="647">
        <f t="shared" si="528"/>
        <v>12664.663753359597</v>
      </c>
      <c r="DC229" s="644">
        <f t="shared" si="587"/>
        <v>0</v>
      </c>
      <c r="DD229" s="645">
        <f t="shared" si="588"/>
        <v>0</v>
      </c>
      <c r="DE229" s="646">
        <f t="shared" si="589"/>
        <v>0</v>
      </c>
      <c r="DF229" s="647">
        <f t="shared" si="529"/>
        <v>12664.663753359597</v>
      </c>
      <c r="DG229" s="644">
        <f t="shared" si="590"/>
        <v>0</v>
      </c>
      <c r="DH229" s="645">
        <f t="shared" si="591"/>
        <v>0</v>
      </c>
      <c r="DI229" s="646">
        <f t="shared" si="592"/>
        <v>0</v>
      </c>
      <c r="DJ229" s="647">
        <f t="shared" si="530"/>
        <v>12664.663753359597</v>
      </c>
      <c r="DK229" s="644">
        <f t="shared" si="593"/>
        <v>0</v>
      </c>
      <c r="DL229" s="645">
        <f t="shared" si="594"/>
        <v>0</v>
      </c>
      <c r="DM229" s="646">
        <f t="shared" si="595"/>
        <v>0</v>
      </c>
      <c r="DN229" s="647">
        <f t="shared" si="531"/>
        <v>12664.663753359597</v>
      </c>
      <c r="DR229" s="827">
        <f t="shared" si="485"/>
        <v>57087.064881059618</v>
      </c>
      <c r="DV229" s="828">
        <f>IFERROR(VLOOKUP($B229,'Afton FY16 Final'!$A$5:$BV$587,'Afton FY16 Final'!$BV$587,0),0)</f>
        <v>62181.133981117411</v>
      </c>
      <c r="DX229" s="636">
        <f t="shared" si="473"/>
        <v>0</v>
      </c>
      <c r="DY229" s="637">
        <f t="shared" si="474"/>
        <v>0</v>
      </c>
      <c r="DZ229" s="637">
        <f t="shared" si="475"/>
        <v>0</v>
      </c>
      <c r="EA229" s="643">
        <f t="shared" si="476"/>
        <v>0</v>
      </c>
      <c r="EB229" s="637">
        <f t="shared" si="486"/>
        <v>0</v>
      </c>
      <c r="EC229" s="637">
        <f t="shared" si="487"/>
        <v>0</v>
      </c>
      <c r="ED229" s="637">
        <f t="shared" si="488"/>
        <v>0</v>
      </c>
      <c r="EE229" s="643">
        <f t="shared" si="489"/>
        <v>0</v>
      </c>
      <c r="EF229" s="637">
        <f t="shared" si="490"/>
        <v>0</v>
      </c>
      <c r="EG229" s="637">
        <f t="shared" si="491"/>
        <v>0</v>
      </c>
      <c r="EH229" s="637">
        <f t="shared" si="492"/>
        <v>0</v>
      </c>
      <c r="EI229" s="643">
        <f t="shared" si="493"/>
        <v>0</v>
      </c>
      <c r="EJ229" s="637">
        <f t="shared" si="494"/>
        <v>0</v>
      </c>
      <c r="EK229" s="637">
        <f t="shared" si="495"/>
        <v>0</v>
      </c>
      <c r="EL229" s="637">
        <f t="shared" si="496"/>
        <v>0</v>
      </c>
      <c r="EM229" s="643">
        <f t="shared" si="497"/>
        <v>0</v>
      </c>
      <c r="EN229" s="637">
        <f t="shared" si="498"/>
        <v>0</v>
      </c>
      <c r="EO229" s="637">
        <f t="shared" si="499"/>
        <v>0</v>
      </c>
      <c r="EP229" s="637">
        <f t="shared" si="500"/>
        <v>0</v>
      </c>
      <c r="EQ229" s="643">
        <f t="shared" si="501"/>
        <v>0</v>
      </c>
      <c r="ER229" s="637">
        <f t="shared" si="502"/>
        <v>0</v>
      </c>
      <c r="ES229" s="637">
        <f t="shared" si="503"/>
        <v>0</v>
      </c>
      <c r="ET229" s="637">
        <f t="shared" si="504"/>
        <v>0</v>
      </c>
      <c r="EU229" s="643">
        <f t="shared" si="477"/>
        <v>0</v>
      </c>
      <c r="EV229" s="643">
        <f t="shared" si="478"/>
        <v>0</v>
      </c>
      <c r="EX229" s="829">
        <f t="shared" si="479"/>
        <v>0</v>
      </c>
      <c r="EY229" s="638">
        <f t="shared" si="480"/>
        <v>57087.064881059618</v>
      </c>
      <c r="FC229" s="830" t="str">
        <f t="shared" si="505"/>
        <v>Y</v>
      </c>
      <c r="FE229" s="830" t="str">
        <f>IFERROR(VLOOKUP($B229,'Historical Conc Grant Elig'!$B$3:$J$707,'HH &amp; SI'!FE$2,0),"N")</f>
        <v>N</v>
      </c>
      <c r="FF229" s="830" t="str">
        <f>IFERROR(VLOOKUP($B229,'Historical Conc Grant Elig'!$B$3:$J$707,'HH &amp; SI'!FF$2,0),"N")</f>
        <v>Y</v>
      </c>
      <c r="FG229" s="830" t="str">
        <f>IFERROR(VLOOKUP($B229,'Historical Conc Grant Elig'!$B$3:$J$707,'HH &amp; SI'!FG$2,0),"N")</f>
        <v>Y</v>
      </c>
      <c r="FH229" s="830" t="str">
        <f>IFERROR(VLOOKUP($B229,'Historical Conc Grant Elig'!$B$3:$J$707,'HH &amp; SI'!FH$2,0),"N")</f>
        <v>Y</v>
      </c>
      <c r="FI229" s="830" t="str">
        <f>IFERROR(VLOOKUP($B229,'Historical Conc Grant Elig'!$B$3:$J$707,'HH &amp; SI'!FI$2,0),"N")</f>
        <v>Y</v>
      </c>
      <c r="FJ229" s="830" t="str">
        <f>IFERROR(VLOOKUP($B229,'Historical Conc Grant Elig'!$B$3:$J$707,'HH &amp; SI'!FJ$2,0),"N")</f>
        <v>Y</v>
      </c>
      <c r="FK229" s="830" t="str">
        <f>IFERROR(VLOOKUP($B229,'Historical Conc Grant Elig'!$B$3:$J$707,'HH &amp; SI'!FK$2,0),"N")</f>
        <v>Y</v>
      </c>
      <c r="FL229" s="957" t="str">
        <f>IFERROR(VLOOKUP($B229,'Historical Conc Grant Elig'!$B$3:$J$707,'HH &amp; SI'!FL$2,0),"N")</f>
        <v>Y</v>
      </c>
    </row>
    <row r="230" spans="2:168" x14ac:dyDescent="0.25">
      <c r="B230" s="634">
        <v>78664000</v>
      </c>
      <c r="C230" s="635" t="str">
        <f>VLOOKUP($B230,'Afton Update'!$A$5:$CR$582,'Afton Update'!D$589,0)</f>
        <v>Employ-Ability Unlimited  Inc.</v>
      </c>
      <c r="D230" s="636">
        <f>IFERROR(VLOOKUP($B230,'Afton FY16 Final'!$A$5:$BV$587,'Afton FY16 Final'!AQ$587,0),0)</f>
        <v>48440.502732956542</v>
      </c>
      <c r="E230" s="637">
        <f>IFERROR(VLOOKUP($B230,'Afton FY16 Final'!$A$5:$BV$587,'Afton FY16 Final'!AR$587,0),0)</f>
        <v>10770.302729337964</v>
      </c>
      <c r="F230" s="637">
        <f>IFERROR(VLOOKUP($B230,'Afton FY16 Final'!$A$5:$BV$587,'Afton FY16 Final'!AS$587,0),0)</f>
        <v>25683.86229342952</v>
      </c>
      <c r="G230" s="637">
        <f>IFERROR(VLOOKUP($B230,'Afton FY16 Final'!$A$5:$BV$587,'Afton FY16 Final'!AT$587,0),0)</f>
        <v>24746.224523546665</v>
      </c>
      <c r="H230" s="638">
        <f>IFERROR(VLOOKUP($B230,'Afton FY16 Final'!$A$5:$BV$587,'Afton FY16 Final'!AU$587,0),0)</f>
        <v>109640.89227927069</v>
      </c>
      <c r="I230" s="639" t="str">
        <f>VLOOKUP($B230,'Afton Update'!$A$5:$CR$582,'Afton Update'!BT$589,0)</f>
        <v>Y</v>
      </c>
      <c r="J230" s="640" t="str">
        <f>VLOOKUP($B230,'Afton Update'!$A$5:$CR$582,'Afton Update'!BU$589,0)</f>
        <v>Y</v>
      </c>
      <c r="K230" s="640" t="str">
        <f>VLOOKUP($B230,'Afton Update'!$A$5:$CR$582,'Afton Update'!BV$589,0)</f>
        <v>Y</v>
      </c>
      <c r="L230" s="641" t="str">
        <f>VLOOKUP($B230,'Afton Update'!$A$5:$CR$582,'Afton Update'!BW$589,0)</f>
        <v>Y</v>
      </c>
      <c r="N230" s="642">
        <f>VLOOKUP($B230,'Afton Update'!$A$5:$CR$582,'Afton Update'!CB$589,0)</f>
        <v>0.95</v>
      </c>
      <c r="P230" s="636">
        <f>VLOOKUP($B230,'Afton Update'!$A$5:$CR$582,'Afton Update'!AH$589,0)</f>
        <v>41137.177552459572</v>
      </c>
      <c r="Q230" s="637">
        <f>VLOOKUP($B230,'Afton Update'!$A$5:$CR$582,'Afton Update'!AI$589,0)</f>
        <v>10637.923546729389</v>
      </c>
      <c r="R230" s="637">
        <f>VLOOKUP($B230,'Afton Update'!$A$5:$CR$582,'Afton Update'!AJ$589,0)</f>
        <v>24101.366999259088</v>
      </c>
      <c r="S230" s="637">
        <f>VLOOKUP($B230,'Afton Update'!$A$5:$CR$582,'Afton Update'!AK$589,0)</f>
        <v>22435.206732595649</v>
      </c>
      <c r="T230" s="643">
        <f t="shared" si="506"/>
        <v>98311.674831043696</v>
      </c>
      <c r="V230" s="636">
        <f t="shared" si="532"/>
        <v>46018.477596308716</v>
      </c>
      <c r="W230" s="637">
        <f t="shared" si="533"/>
        <v>10287.549238361982</v>
      </c>
      <c r="X230" s="637">
        <f t="shared" si="534"/>
        <v>24399.669178758042</v>
      </c>
      <c r="Y230" s="637">
        <f t="shared" si="535"/>
        <v>23508.91329736933</v>
      </c>
      <c r="Z230" s="643">
        <f t="shared" si="536"/>
        <v>104214.60931079807</v>
      </c>
      <c r="AB230" s="644">
        <f t="shared" si="507"/>
        <v>41137.177552459572</v>
      </c>
      <c r="AC230" s="645">
        <f t="shared" si="481"/>
        <v>46018.477596308716</v>
      </c>
      <c r="AD230" s="644">
        <f t="shared" si="537"/>
        <v>4881.3000438491435</v>
      </c>
      <c r="AE230" s="645">
        <f t="shared" si="538"/>
        <v>0</v>
      </c>
      <c r="AF230" s="646">
        <f t="shared" si="539"/>
        <v>0</v>
      </c>
      <c r="AG230" s="647">
        <f t="shared" si="540"/>
        <v>46018.477596308716</v>
      </c>
      <c r="AH230" s="644">
        <f t="shared" si="508"/>
        <v>0</v>
      </c>
      <c r="AI230" s="645">
        <f t="shared" si="509"/>
        <v>0</v>
      </c>
      <c r="AJ230" s="646">
        <f t="shared" si="541"/>
        <v>0</v>
      </c>
      <c r="AK230" s="647">
        <f t="shared" si="510"/>
        <v>46018.477596308716</v>
      </c>
      <c r="AL230" s="644">
        <f t="shared" si="542"/>
        <v>0</v>
      </c>
      <c r="AM230" s="645">
        <f t="shared" si="543"/>
        <v>0</v>
      </c>
      <c r="AN230" s="646">
        <f t="shared" si="544"/>
        <v>0</v>
      </c>
      <c r="AO230" s="647">
        <f t="shared" si="511"/>
        <v>46018.477596308716</v>
      </c>
      <c r="AP230" s="644">
        <f t="shared" si="545"/>
        <v>0</v>
      </c>
      <c r="AQ230" s="645">
        <f t="shared" si="546"/>
        <v>0</v>
      </c>
      <c r="AR230" s="646">
        <f t="shared" si="547"/>
        <v>0</v>
      </c>
      <c r="AS230" s="647">
        <f t="shared" si="512"/>
        <v>46018.477596308716</v>
      </c>
      <c r="AT230" s="644">
        <f t="shared" si="548"/>
        <v>0</v>
      </c>
      <c r="AU230" s="645">
        <f t="shared" si="549"/>
        <v>0</v>
      </c>
      <c r="AV230" s="646">
        <f t="shared" si="550"/>
        <v>0</v>
      </c>
      <c r="AW230" s="647">
        <f t="shared" si="513"/>
        <v>46018.477596308716</v>
      </c>
      <c r="AY230" s="644">
        <f t="shared" si="551"/>
        <v>10637.923546729389</v>
      </c>
      <c r="AZ230" s="645">
        <f t="shared" si="482"/>
        <v>10231.787592871065</v>
      </c>
      <c r="BA230" s="644">
        <f t="shared" si="552"/>
        <v>0</v>
      </c>
      <c r="BB230" s="645">
        <f t="shared" si="553"/>
        <v>10637.923546729389</v>
      </c>
      <c r="BC230" s="646">
        <f t="shared" si="554"/>
        <v>-76.500408439316331</v>
      </c>
      <c r="BD230" s="647">
        <f t="shared" si="555"/>
        <v>10561.423138290073</v>
      </c>
      <c r="BE230" s="644">
        <f t="shared" si="514"/>
        <v>0</v>
      </c>
      <c r="BF230" s="645">
        <f t="shared" si="515"/>
        <v>10561.423138290073</v>
      </c>
      <c r="BG230" s="646">
        <f t="shared" si="556"/>
        <v>-251.56449221515095</v>
      </c>
      <c r="BH230" s="647">
        <f t="shared" si="516"/>
        <v>10309.858646074921</v>
      </c>
      <c r="BI230" s="644">
        <f t="shared" si="557"/>
        <v>0</v>
      </c>
      <c r="BJ230" s="645">
        <f t="shared" si="558"/>
        <v>10309.858646074921</v>
      </c>
      <c r="BK230" s="646">
        <f t="shared" si="559"/>
        <v>-21.838702109600305</v>
      </c>
      <c r="BL230" s="647">
        <f t="shared" si="517"/>
        <v>10288.019943965321</v>
      </c>
      <c r="BM230" s="644">
        <f t="shared" si="560"/>
        <v>0</v>
      </c>
      <c r="BN230" s="645">
        <f t="shared" si="561"/>
        <v>10288.019943965321</v>
      </c>
      <c r="BO230" s="646">
        <f t="shared" si="562"/>
        <v>-0.47070560333937655</v>
      </c>
      <c r="BP230" s="647">
        <f t="shared" si="518"/>
        <v>10287.549238361982</v>
      </c>
      <c r="BQ230" s="644">
        <f t="shared" si="563"/>
        <v>0</v>
      </c>
      <c r="BR230" s="645">
        <f t="shared" si="564"/>
        <v>10287.549238361982</v>
      </c>
      <c r="BS230" s="646">
        <f t="shared" si="565"/>
        <v>0</v>
      </c>
      <c r="BT230" s="647">
        <f t="shared" si="519"/>
        <v>10287.549238361982</v>
      </c>
      <c r="BU230" s="662">
        <f>VLOOKUP(B230,'Afton Update'!$A$5:$AR$582,'Afton Update'!$AO$589,0)-BT230</f>
        <v>0</v>
      </c>
      <c r="BV230" s="644">
        <f t="shared" si="566"/>
        <v>24101.366999259088</v>
      </c>
      <c r="BW230" s="645">
        <f t="shared" si="483"/>
        <v>24399.669178758042</v>
      </c>
      <c r="BX230" s="644">
        <f t="shared" si="567"/>
        <v>298.3021794989545</v>
      </c>
      <c r="BY230" s="645">
        <f t="shared" si="568"/>
        <v>0</v>
      </c>
      <c r="BZ230" s="646">
        <f t="shared" si="569"/>
        <v>0</v>
      </c>
      <c r="CA230" s="647">
        <f t="shared" si="570"/>
        <v>24399.669178758042</v>
      </c>
      <c r="CB230" s="644">
        <f t="shared" si="520"/>
        <v>0</v>
      </c>
      <c r="CC230" s="645">
        <f t="shared" si="521"/>
        <v>0</v>
      </c>
      <c r="CD230" s="646">
        <f t="shared" si="571"/>
        <v>0</v>
      </c>
      <c r="CE230" s="647">
        <f t="shared" si="522"/>
        <v>24399.669178758042</v>
      </c>
      <c r="CF230" s="644">
        <f t="shared" si="572"/>
        <v>0</v>
      </c>
      <c r="CG230" s="645">
        <f t="shared" si="573"/>
        <v>0</v>
      </c>
      <c r="CH230" s="646">
        <f t="shared" si="574"/>
        <v>0</v>
      </c>
      <c r="CI230" s="647">
        <f t="shared" si="523"/>
        <v>24399.669178758042</v>
      </c>
      <c r="CJ230" s="644">
        <f t="shared" si="575"/>
        <v>0</v>
      </c>
      <c r="CK230" s="645">
        <f t="shared" si="576"/>
        <v>0</v>
      </c>
      <c r="CL230" s="646">
        <f t="shared" si="577"/>
        <v>0</v>
      </c>
      <c r="CM230" s="647">
        <f t="shared" si="524"/>
        <v>24399.669178758042</v>
      </c>
      <c r="CN230" s="644">
        <f t="shared" si="578"/>
        <v>0</v>
      </c>
      <c r="CO230" s="645">
        <f t="shared" si="579"/>
        <v>0</v>
      </c>
      <c r="CP230" s="646">
        <f t="shared" si="580"/>
        <v>0</v>
      </c>
      <c r="CQ230" s="647">
        <f t="shared" si="525"/>
        <v>24399.669178758042</v>
      </c>
      <c r="CS230" s="644">
        <f t="shared" si="581"/>
        <v>22435.206732595649</v>
      </c>
      <c r="CT230" s="645">
        <f t="shared" si="484"/>
        <v>23508.91329736933</v>
      </c>
      <c r="CU230" s="644">
        <f t="shared" si="582"/>
        <v>1073.7065647736817</v>
      </c>
      <c r="CV230" s="645">
        <f t="shared" si="583"/>
        <v>0</v>
      </c>
      <c r="CW230" s="646">
        <f t="shared" si="584"/>
        <v>0</v>
      </c>
      <c r="CX230" s="647">
        <f t="shared" si="585"/>
        <v>23508.91329736933</v>
      </c>
      <c r="CY230" s="644">
        <f t="shared" si="526"/>
        <v>0</v>
      </c>
      <c r="CZ230" s="645">
        <f t="shared" si="527"/>
        <v>0</v>
      </c>
      <c r="DA230" s="646">
        <f t="shared" si="586"/>
        <v>0</v>
      </c>
      <c r="DB230" s="647">
        <f t="shared" si="528"/>
        <v>23508.91329736933</v>
      </c>
      <c r="DC230" s="644">
        <f t="shared" si="587"/>
        <v>0</v>
      </c>
      <c r="DD230" s="645">
        <f t="shared" si="588"/>
        <v>0</v>
      </c>
      <c r="DE230" s="646">
        <f t="shared" si="589"/>
        <v>0</v>
      </c>
      <c r="DF230" s="647">
        <f t="shared" si="529"/>
        <v>23508.91329736933</v>
      </c>
      <c r="DG230" s="644">
        <f t="shared" si="590"/>
        <v>0</v>
      </c>
      <c r="DH230" s="645">
        <f t="shared" si="591"/>
        <v>0</v>
      </c>
      <c r="DI230" s="646">
        <f t="shared" si="592"/>
        <v>0</v>
      </c>
      <c r="DJ230" s="647">
        <f t="shared" si="530"/>
        <v>23508.91329736933</v>
      </c>
      <c r="DK230" s="644">
        <f t="shared" si="593"/>
        <v>0</v>
      </c>
      <c r="DL230" s="645">
        <f t="shared" si="594"/>
        <v>0</v>
      </c>
      <c r="DM230" s="646">
        <f t="shared" si="595"/>
        <v>0</v>
      </c>
      <c r="DN230" s="647">
        <f t="shared" si="531"/>
        <v>23508.91329736933</v>
      </c>
      <c r="DR230" s="827">
        <f t="shared" si="485"/>
        <v>104214.60931079807</v>
      </c>
      <c r="DV230" s="828">
        <f>IFERROR(VLOOKUP($B230,'Afton FY16 Final'!$A$5:$BV$587,'Afton FY16 Final'!$BV$587,0),0)</f>
        <v>105593.57272286998</v>
      </c>
      <c r="DX230" s="636">
        <f t="shared" si="473"/>
        <v>0</v>
      </c>
      <c r="DY230" s="637">
        <f t="shared" si="474"/>
        <v>0</v>
      </c>
      <c r="DZ230" s="637">
        <f t="shared" si="475"/>
        <v>0</v>
      </c>
      <c r="EA230" s="643">
        <f t="shared" si="476"/>
        <v>0</v>
      </c>
      <c r="EB230" s="637">
        <f t="shared" si="486"/>
        <v>0</v>
      </c>
      <c r="EC230" s="637">
        <f t="shared" si="487"/>
        <v>0</v>
      </c>
      <c r="ED230" s="637">
        <f t="shared" si="488"/>
        <v>0</v>
      </c>
      <c r="EE230" s="643">
        <f t="shared" si="489"/>
        <v>0</v>
      </c>
      <c r="EF230" s="637">
        <f t="shared" si="490"/>
        <v>0</v>
      </c>
      <c r="EG230" s="637">
        <f t="shared" si="491"/>
        <v>0</v>
      </c>
      <c r="EH230" s="637">
        <f t="shared" si="492"/>
        <v>0</v>
      </c>
      <c r="EI230" s="643">
        <f t="shared" si="493"/>
        <v>0</v>
      </c>
      <c r="EJ230" s="637">
        <f t="shared" si="494"/>
        <v>0</v>
      </c>
      <c r="EK230" s="637">
        <f t="shared" si="495"/>
        <v>0</v>
      </c>
      <c r="EL230" s="637">
        <f t="shared" si="496"/>
        <v>0</v>
      </c>
      <c r="EM230" s="643">
        <f t="shared" si="497"/>
        <v>0</v>
      </c>
      <c r="EN230" s="637">
        <f t="shared" si="498"/>
        <v>0</v>
      </c>
      <c r="EO230" s="637">
        <f t="shared" si="499"/>
        <v>0</v>
      </c>
      <c r="EP230" s="637">
        <f t="shared" si="500"/>
        <v>0</v>
      </c>
      <c r="EQ230" s="643">
        <f t="shared" si="501"/>
        <v>0</v>
      </c>
      <c r="ER230" s="637">
        <f t="shared" si="502"/>
        <v>0</v>
      </c>
      <c r="ES230" s="637">
        <f t="shared" si="503"/>
        <v>0</v>
      </c>
      <c r="ET230" s="637">
        <f t="shared" si="504"/>
        <v>0</v>
      </c>
      <c r="EU230" s="643">
        <f t="shared" si="477"/>
        <v>0</v>
      </c>
      <c r="EV230" s="643">
        <f t="shared" si="478"/>
        <v>0</v>
      </c>
      <c r="EX230" s="829">
        <f t="shared" si="479"/>
        <v>0</v>
      </c>
      <c r="EY230" s="638">
        <f t="shared" si="480"/>
        <v>104214.60931079807</v>
      </c>
      <c r="FC230" s="830" t="str">
        <f t="shared" si="505"/>
        <v>Y</v>
      </c>
      <c r="FE230" s="830" t="str">
        <f>IFERROR(VLOOKUP($B230,'Historical Conc Grant Elig'!$B$3:$J$707,'HH &amp; SI'!FE$2,0),"N")</f>
        <v>Y</v>
      </c>
      <c r="FF230" s="830" t="str">
        <f>IFERROR(VLOOKUP($B230,'Historical Conc Grant Elig'!$B$3:$J$707,'HH &amp; SI'!FF$2,0),"N")</f>
        <v>Y</v>
      </c>
      <c r="FG230" s="830" t="str">
        <f>IFERROR(VLOOKUP($B230,'Historical Conc Grant Elig'!$B$3:$J$707,'HH &amp; SI'!FG$2,0),"N")</f>
        <v>Y</v>
      </c>
      <c r="FH230" s="830" t="str">
        <f>IFERROR(VLOOKUP($B230,'Historical Conc Grant Elig'!$B$3:$J$707,'HH &amp; SI'!FH$2,0),"N")</f>
        <v>Y</v>
      </c>
      <c r="FI230" s="830" t="str">
        <f>IFERROR(VLOOKUP($B230,'Historical Conc Grant Elig'!$B$3:$J$707,'HH &amp; SI'!FI$2,0),"N")</f>
        <v>Y</v>
      </c>
      <c r="FJ230" s="830" t="str">
        <f>IFERROR(VLOOKUP($B230,'Historical Conc Grant Elig'!$B$3:$J$707,'HH &amp; SI'!FJ$2,0),"N")</f>
        <v>Y</v>
      </c>
      <c r="FK230" s="830" t="str">
        <f>IFERROR(VLOOKUP($B230,'Historical Conc Grant Elig'!$B$3:$J$707,'HH &amp; SI'!FK$2,0),"N")</f>
        <v>Y</v>
      </c>
      <c r="FL230" s="957" t="str">
        <f>IFERROR(VLOOKUP($B230,'Historical Conc Grant Elig'!$B$3:$J$707,'HH &amp; SI'!FL$2,0),"N")</f>
        <v>Y</v>
      </c>
    </row>
    <row r="231" spans="2:168" x14ac:dyDescent="0.25">
      <c r="B231" s="634">
        <v>78665000</v>
      </c>
      <c r="C231" s="635" t="str">
        <f>VLOOKUP($B231,'Afton Update'!$A$5:$CR$582,'Afton Update'!D$589,0)</f>
        <v>Arizona Academy of Science And Technology  Inc.</v>
      </c>
      <c r="D231" s="636">
        <f>IFERROR(VLOOKUP($B231,'Afton FY16 Final'!$A$5:$BV$587,'Afton FY16 Final'!AQ$587,0),0)</f>
        <v>25397.066699951189</v>
      </c>
      <c r="E231" s="637">
        <f>IFERROR(VLOOKUP($B231,'Afton FY16 Final'!$A$5:$BV$587,'Afton FY16 Final'!AR$587,0),0)</f>
        <v>5185.6489389277976</v>
      </c>
      <c r="F231" s="637">
        <f>IFERROR(VLOOKUP($B231,'Afton FY16 Final'!$A$5:$BV$587,'Afton FY16 Final'!AS$587,0),0)</f>
        <v>12741.23903988639</v>
      </c>
      <c r="G231" s="637">
        <f>IFERROR(VLOOKUP($B231,'Afton FY16 Final'!$A$5:$BV$587,'Afton FY16 Final'!AT$587,0),0)</f>
        <v>11956.691673812446</v>
      </c>
      <c r="H231" s="638">
        <f>IFERROR(VLOOKUP($B231,'Afton FY16 Final'!$A$5:$BV$587,'Afton FY16 Final'!AU$587,0),0)</f>
        <v>55280.646352577824</v>
      </c>
      <c r="I231" s="639" t="str">
        <f>VLOOKUP($B231,'Afton Update'!$A$5:$CR$582,'Afton Update'!BT$589,0)</f>
        <v>Y</v>
      </c>
      <c r="J231" s="640" t="str">
        <f>VLOOKUP($B231,'Afton Update'!$A$5:$CR$582,'Afton Update'!BU$589,0)</f>
        <v>Y</v>
      </c>
      <c r="K231" s="640" t="str">
        <f>VLOOKUP($B231,'Afton Update'!$A$5:$CR$582,'Afton Update'!BV$589,0)</f>
        <v>Y</v>
      </c>
      <c r="L231" s="641" t="str">
        <f>VLOOKUP($B231,'Afton Update'!$A$5:$CR$582,'Afton Update'!BW$589,0)</f>
        <v>Y</v>
      </c>
      <c r="N231" s="642">
        <f>VLOOKUP($B231,'Afton Update'!$A$5:$CR$582,'Afton Update'!CB$589,0)</f>
        <v>0.95</v>
      </c>
      <c r="P231" s="636">
        <f>VLOOKUP($B231,'Afton Update'!$A$5:$CR$582,'Afton Update'!AH$589,0)</f>
        <v>12915.160394376842</v>
      </c>
      <c r="Q231" s="637">
        <f>VLOOKUP($B231,'Afton Update'!$A$5:$CR$582,'Afton Update'!AI$589,0)</f>
        <v>4801.6557831244827</v>
      </c>
      <c r="R231" s="637">
        <f>VLOOKUP($B231,'Afton Update'!$A$5:$CR$582,'Afton Update'!AJ$589,0)</f>
        <v>7584.0931052091937</v>
      </c>
      <c r="S231" s="637">
        <f>VLOOKUP($B231,'Afton Update'!$A$5:$CR$582,'Afton Update'!AK$589,0)</f>
        <v>7059.794438209783</v>
      </c>
      <c r="T231" s="643">
        <f t="shared" si="506"/>
        <v>32360.703720920304</v>
      </c>
      <c r="V231" s="636">
        <f t="shared" si="532"/>
        <v>24127.213364953626</v>
      </c>
      <c r="W231" s="637">
        <f t="shared" si="533"/>
        <v>4926.3664919814073</v>
      </c>
      <c r="X231" s="637">
        <f t="shared" si="534"/>
        <v>12104.177087892071</v>
      </c>
      <c r="Y231" s="637">
        <f t="shared" si="535"/>
        <v>11358.857090121823</v>
      </c>
      <c r="Z231" s="643">
        <f t="shared" si="536"/>
        <v>52516.614034948929</v>
      </c>
      <c r="AB231" s="644">
        <f t="shared" si="507"/>
        <v>12915.160394376842</v>
      </c>
      <c r="AC231" s="645">
        <f t="shared" si="481"/>
        <v>24127.213364953626</v>
      </c>
      <c r="AD231" s="644">
        <f t="shared" si="537"/>
        <v>11212.052970576784</v>
      </c>
      <c r="AE231" s="645">
        <f t="shared" si="538"/>
        <v>0</v>
      </c>
      <c r="AF231" s="646">
        <f t="shared" si="539"/>
        <v>0</v>
      </c>
      <c r="AG231" s="647">
        <f t="shared" si="540"/>
        <v>24127.213364953626</v>
      </c>
      <c r="AH231" s="644">
        <f t="shared" si="508"/>
        <v>0</v>
      </c>
      <c r="AI231" s="645">
        <f t="shared" si="509"/>
        <v>0</v>
      </c>
      <c r="AJ231" s="646">
        <f t="shared" si="541"/>
        <v>0</v>
      </c>
      <c r="AK231" s="647">
        <f t="shared" si="510"/>
        <v>24127.213364953626</v>
      </c>
      <c r="AL231" s="644">
        <f t="shared" si="542"/>
        <v>0</v>
      </c>
      <c r="AM231" s="645">
        <f t="shared" si="543"/>
        <v>0</v>
      </c>
      <c r="AN231" s="646">
        <f t="shared" si="544"/>
        <v>0</v>
      </c>
      <c r="AO231" s="647">
        <f t="shared" si="511"/>
        <v>24127.213364953626</v>
      </c>
      <c r="AP231" s="644">
        <f t="shared" si="545"/>
        <v>0</v>
      </c>
      <c r="AQ231" s="645">
        <f t="shared" si="546"/>
        <v>0</v>
      </c>
      <c r="AR231" s="646">
        <f t="shared" si="547"/>
        <v>0</v>
      </c>
      <c r="AS231" s="647">
        <f t="shared" si="512"/>
        <v>24127.213364953626</v>
      </c>
      <c r="AT231" s="644">
        <f t="shared" si="548"/>
        <v>0</v>
      </c>
      <c r="AU231" s="645">
        <f t="shared" si="549"/>
        <v>0</v>
      </c>
      <c r="AV231" s="646">
        <f t="shared" si="550"/>
        <v>0</v>
      </c>
      <c r="AW231" s="647">
        <f t="shared" si="513"/>
        <v>24127.213364953626</v>
      </c>
      <c r="AY231" s="644">
        <f t="shared" si="551"/>
        <v>4801.6557831244827</v>
      </c>
      <c r="AZ231" s="645">
        <f t="shared" si="482"/>
        <v>4926.3664919814073</v>
      </c>
      <c r="BA231" s="644">
        <f t="shared" si="552"/>
        <v>124.71070885692461</v>
      </c>
      <c r="BB231" s="645">
        <f t="shared" si="553"/>
        <v>0</v>
      </c>
      <c r="BC231" s="646">
        <f t="shared" si="554"/>
        <v>0</v>
      </c>
      <c r="BD231" s="647">
        <f t="shared" si="555"/>
        <v>4926.3664919814073</v>
      </c>
      <c r="BE231" s="644">
        <f t="shared" si="514"/>
        <v>0</v>
      </c>
      <c r="BF231" s="645">
        <f t="shared" si="515"/>
        <v>0</v>
      </c>
      <c r="BG231" s="646">
        <f t="shared" si="556"/>
        <v>0</v>
      </c>
      <c r="BH231" s="647">
        <f t="shared" si="516"/>
        <v>4926.3664919814073</v>
      </c>
      <c r="BI231" s="644">
        <f t="shared" si="557"/>
        <v>0</v>
      </c>
      <c r="BJ231" s="645">
        <f t="shared" si="558"/>
        <v>0</v>
      </c>
      <c r="BK231" s="646">
        <f t="shared" si="559"/>
        <v>0</v>
      </c>
      <c r="BL231" s="647">
        <f t="shared" si="517"/>
        <v>4926.3664919814073</v>
      </c>
      <c r="BM231" s="644">
        <f t="shared" si="560"/>
        <v>0</v>
      </c>
      <c r="BN231" s="645">
        <f t="shared" si="561"/>
        <v>0</v>
      </c>
      <c r="BO231" s="646">
        <f t="shared" si="562"/>
        <v>0</v>
      </c>
      <c r="BP231" s="647">
        <f t="shared" si="518"/>
        <v>4926.3664919814073</v>
      </c>
      <c r="BQ231" s="644">
        <f t="shared" si="563"/>
        <v>0</v>
      </c>
      <c r="BR231" s="645">
        <f t="shared" si="564"/>
        <v>0</v>
      </c>
      <c r="BS231" s="646">
        <f t="shared" si="565"/>
        <v>0</v>
      </c>
      <c r="BT231" s="647">
        <f t="shared" si="519"/>
        <v>4926.3664919814073</v>
      </c>
      <c r="BU231" s="662">
        <f>VLOOKUP(B231,'Afton Update'!$A$5:$AR$582,'Afton Update'!$AO$589,0)-BT231</f>
        <v>0</v>
      </c>
      <c r="BV231" s="644">
        <f t="shared" si="566"/>
        <v>7584.0931052091937</v>
      </c>
      <c r="BW231" s="645">
        <f t="shared" si="483"/>
        <v>12104.177087892071</v>
      </c>
      <c r="BX231" s="644">
        <f t="shared" si="567"/>
        <v>4520.0839826828769</v>
      </c>
      <c r="BY231" s="645">
        <f t="shared" si="568"/>
        <v>0</v>
      </c>
      <c r="BZ231" s="646">
        <f t="shared" si="569"/>
        <v>0</v>
      </c>
      <c r="CA231" s="647">
        <f t="shared" si="570"/>
        <v>12104.177087892071</v>
      </c>
      <c r="CB231" s="644">
        <f t="shared" si="520"/>
        <v>0</v>
      </c>
      <c r="CC231" s="645">
        <f t="shared" si="521"/>
        <v>0</v>
      </c>
      <c r="CD231" s="646">
        <f t="shared" si="571"/>
        <v>0</v>
      </c>
      <c r="CE231" s="647">
        <f t="shared" si="522"/>
        <v>12104.177087892071</v>
      </c>
      <c r="CF231" s="644">
        <f t="shared" si="572"/>
        <v>0</v>
      </c>
      <c r="CG231" s="645">
        <f t="shared" si="573"/>
        <v>0</v>
      </c>
      <c r="CH231" s="646">
        <f t="shared" si="574"/>
        <v>0</v>
      </c>
      <c r="CI231" s="647">
        <f t="shared" si="523"/>
        <v>12104.177087892071</v>
      </c>
      <c r="CJ231" s="644">
        <f t="shared" si="575"/>
        <v>0</v>
      </c>
      <c r="CK231" s="645">
        <f t="shared" si="576"/>
        <v>0</v>
      </c>
      <c r="CL231" s="646">
        <f t="shared" si="577"/>
        <v>0</v>
      </c>
      <c r="CM231" s="647">
        <f t="shared" si="524"/>
        <v>12104.177087892071</v>
      </c>
      <c r="CN231" s="644">
        <f t="shared" si="578"/>
        <v>0</v>
      </c>
      <c r="CO231" s="645">
        <f t="shared" si="579"/>
        <v>0</v>
      </c>
      <c r="CP231" s="646">
        <f t="shared" si="580"/>
        <v>0</v>
      </c>
      <c r="CQ231" s="647">
        <f t="shared" si="525"/>
        <v>12104.177087892071</v>
      </c>
      <c r="CS231" s="644">
        <f t="shared" si="581"/>
        <v>7059.794438209783</v>
      </c>
      <c r="CT231" s="645">
        <f t="shared" si="484"/>
        <v>11358.857090121823</v>
      </c>
      <c r="CU231" s="644">
        <f t="shared" si="582"/>
        <v>4299.0626519120397</v>
      </c>
      <c r="CV231" s="645">
        <f t="shared" si="583"/>
        <v>0</v>
      </c>
      <c r="CW231" s="646">
        <f t="shared" si="584"/>
        <v>0</v>
      </c>
      <c r="CX231" s="647">
        <f t="shared" si="585"/>
        <v>11358.857090121823</v>
      </c>
      <c r="CY231" s="644">
        <f t="shared" si="526"/>
        <v>0</v>
      </c>
      <c r="CZ231" s="645">
        <f t="shared" si="527"/>
        <v>0</v>
      </c>
      <c r="DA231" s="646">
        <f t="shared" si="586"/>
        <v>0</v>
      </c>
      <c r="DB231" s="647">
        <f t="shared" si="528"/>
        <v>11358.857090121823</v>
      </c>
      <c r="DC231" s="644">
        <f t="shared" si="587"/>
        <v>0</v>
      </c>
      <c r="DD231" s="645">
        <f t="shared" si="588"/>
        <v>0</v>
      </c>
      <c r="DE231" s="646">
        <f t="shared" si="589"/>
        <v>0</v>
      </c>
      <c r="DF231" s="647">
        <f t="shared" si="529"/>
        <v>11358.857090121823</v>
      </c>
      <c r="DG231" s="644">
        <f t="shared" si="590"/>
        <v>0</v>
      </c>
      <c r="DH231" s="645">
        <f t="shared" si="591"/>
        <v>0</v>
      </c>
      <c r="DI231" s="646">
        <f t="shared" si="592"/>
        <v>0</v>
      </c>
      <c r="DJ231" s="647">
        <f t="shared" si="530"/>
        <v>11358.857090121823</v>
      </c>
      <c r="DK231" s="644">
        <f t="shared" si="593"/>
        <v>0</v>
      </c>
      <c r="DL231" s="645">
        <f t="shared" si="594"/>
        <v>0</v>
      </c>
      <c r="DM231" s="646">
        <f t="shared" si="595"/>
        <v>0</v>
      </c>
      <c r="DN231" s="647">
        <f t="shared" si="531"/>
        <v>11358.857090121823</v>
      </c>
      <c r="DR231" s="827">
        <f t="shared" si="485"/>
        <v>52516.614034948929</v>
      </c>
      <c r="DV231" s="828">
        <f>IFERROR(VLOOKUP($B231,'Afton FY16 Final'!$A$5:$BV$587,'Afton FY16 Final'!$BV$587,0),0)</f>
        <v>50511.816892349569</v>
      </c>
      <c r="DX231" s="636">
        <f t="shared" si="473"/>
        <v>52516.614034948929</v>
      </c>
      <c r="DY231" s="637">
        <f t="shared" si="474"/>
        <v>2004.7971425993601</v>
      </c>
      <c r="DZ231" s="637">
        <f t="shared" si="475"/>
        <v>50511.816892349569</v>
      </c>
      <c r="EA231" s="643">
        <f t="shared" si="476"/>
        <v>49723.318743039854</v>
      </c>
      <c r="EB231" s="637">
        <f t="shared" si="486"/>
        <v>50511.816892349569</v>
      </c>
      <c r="EC231" s="637">
        <f t="shared" si="487"/>
        <v>0</v>
      </c>
      <c r="ED231" s="637">
        <f t="shared" si="488"/>
        <v>0</v>
      </c>
      <c r="EE231" s="643">
        <f t="shared" si="489"/>
        <v>50511.816892349569</v>
      </c>
      <c r="EF231" s="637">
        <f t="shared" si="490"/>
        <v>0</v>
      </c>
      <c r="EG231" s="637">
        <f t="shared" si="491"/>
        <v>0</v>
      </c>
      <c r="EH231" s="637">
        <f t="shared" si="492"/>
        <v>0</v>
      </c>
      <c r="EI231" s="643">
        <f t="shared" si="493"/>
        <v>50511.816892349569</v>
      </c>
      <c r="EJ231" s="637">
        <f t="shared" si="494"/>
        <v>0</v>
      </c>
      <c r="EK231" s="637">
        <f t="shared" si="495"/>
        <v>0</v>
      </c>
      <c r="EL231" s="637">
        <f t="shared" si="496"/>
        <v>0</v>
      </c>
      <c r="EM231" s="643">
        <f t="shared" si="497"/>
        <v>50511.816892349569</v>
      </c>
      <c r="EN231" s="637">
        <f t="shared" si="498"/>
        <v>0</v>
      </c>
      <c r="EO231" s="637">
        <f t="shared" si="499"/>
        <v>0</v>
      </c>
      <c r="EP231" s="637">
        <f t="shared" si="500"/>
        <v>0</v>
      </c>
      <c r="EQ231" s="643">
        <f t="shared" si="501"/>
        <v>50511.816892349569</v>
      </c>
      <c r="ER231" s="637">
        <f t="shared" si="502"/>
        <v>0</v>
      </c>
      <c r="ES231" s="637">
        <f t="shared" si="503"/>
        <v>0</v>
      </c>
      <c r="ET231" s="637">
        <f t="shared" si="504"/>
        <v>0</v>
      </c>
      <c r="EU231" s="643">
        <f t="shared" si="477"/>
        <v>50511.816892349569</v>
      </c>
      <c r="EV231" s="643">
        <f t="shared" si="478"/>
        <v>0</v>
      </c>
      <c r="EX231" s="829">
        <f t="shared" si="479"/>
        <v>2004.7971425993601</v>
      </c>
      <c r="EY231" s="638">
        <f t="shared" si="480"/>
        <v>50511.816892349569</v>
      </c>
      <c r="FC231" s="830" t="str">
        <f t="shared" si="505"/>
        <v>Y</v>
      </c>
      <c r="FE231" s="830" t="str">
        <f>IFERROR(VLOOKUP($B231,'Historical Conc Grant Elig'!$B$3:$J$707,'HH &amp; SI'!FE$2,0),"N")</f>
        <v>Y</v>
      </c>
      <c r="FF231" s="830" t="str">
        <f>IFERROR(VLOOKUP($B231,'Historical Conc Grant Elig'!$B$3:$J$707,'HH &amp; SI'!FF$2,0),"N")</f>
        <v>Y</v>
      </c>
      <c r="FG231" s="830" t="str">
        <f>IFERROR(VLOOKUP($B231,'Historical Conc Grant Elig'!$B$3:$J$707,'HH &amp; SI'!FG$2,0),"N")</f>
        <v>Y</v>
      </c>
      <c r="FH231" s="830" t="str">
        <f>IFERROR(VLOOKUP($B231,'Historical Conc Grant Elig'!$B$3:$J$707,'HH &amp; SI'!FH$2,0),"N")</f>
        <v>Y</v>
      </c>
      <c r="FI231" s="830" t="str">
        <f>IFERROR(VLOOKUP($B231,'Historical Conc Grant Elig'!$B$3:$J$707,'HH &amp; SI'!FI$2,0),"N")</f>
        <v>Y</v>
      </c>
      <c r="FJ231" s="830" t="str">
        <f>IFERROR(VLOOKUP($B231,'Historical Conc Grant Elig'!$B$3:$J$707,'HH &amp; SI'!FJ$2,0),"N")</f>
        <v>Y</v>
      </c>
      <c r="FK231" s="830" t="str">
        <f>IFERROR(VLOOKUP($B231,'Historical Conc Grant Elig'!$B$3:$J$707,'HH &amp; SI'!FK$2,0),"N")</f>
        <v>Y</v>
      </c>
      <c r="FL231" s="957" t="str">
        <f>IFERROR(VLOOKUP($B231,'Historical Conc Grant Elig'!$B$3:$J$707,'HH &amp; SI'!FL$2,0),"N")</f>
        <v>Y</v>
      </c>
    </row>
    <row r="232" spans="2:168" x14ac:dyDescent="0.25">
      <c r="B232" s="634">
        <v>78685000</v>
      </c>
      <c r="C232" s="635" t="str">
        <f>VLOOKUP($B232,'Afton Update'!$A$5:$CR$582,'Afton Update'!D$589,0)</f>
        <v>Legacy Schools</v>
      </c>
      <c r="D232" s="636">
        <f>IFERROR(VLOOKUP($B232,'Afton FY16 Final'!$A$5:$BV$587,'Afton FY16 Final'!AQ$587,0),0)</f>
        <v>51992.108244239695</v>
      </c>
      <c r="E232" s="637">
        <f>IFERROR(VLOOKUP($B232,'Afton FY16 Final'!$A$5:$BV$587,'Afton FY16 Final'!AR$587,0),0)</f>
        <v>10144.436356274757</v>
      </c>
      <c r="F232" s="637">
        <f>IFERROR(VLOOKUP($B232,'Afton FY16 Final'!$A$5:$BV$587,'Afton FY16 Final'!AS$587,0),0)</f>
        <v>26083.479921276856</v>
      </c>
      <c r="G232" s="637">
        <f>IFERROR(VLOOKUP($B232,'Afton FY16 Final'!$A$5:$BV$587,'Afton FY16 Final'!AT$587,0),0)</f>
        <v>24477.378237899062</v>
      </c>
      <c r="H232" s="638">
        <f>IFERROR(VLOOKUP($B232,'Afton FY16 Final'!$A$5:$BV$587,'Afton FY16 Final'!AU$587,0),0)</f>
        <v>112697.40275969036</v>
      </c>
      <c r="I232" s="639" t="str">
        <f>VLOOKUP($B232,'Afton Update'!$A$5:$CR$582,'Afton Update'!BT$589,0)</f>
        <v>Y</v>
      </c>
      <c r="J232" s="640" t="str">
        <f>VLOOKUP($B232,'Afton Update'!$A$5:$CR$582,'Afton Update'!BU$589,0)</f>
        <v>Y</v>
      </c>
      <c r="K232" s="640" t="str">
        <f>VLOOKUP($B232,'Afton Update'!$A$5:$CR$582,'Afton Update'!BV$589,0)</f>
        <v>Y</v>
      </c>
      <c r="L232" s="641" t="str">
        <f>VLOOKUP($B232,'Afton Update'!$A$5:$CR$582,'Afton Update'!BW$589,0)</f>
        <v>Y</v>
      </c>
      <c r="N232" s="642">
        <f>VLOOKUP($B232,'Afton Update'!$A$5:$CR$582,'Afton Update'!CB$589,0)</f>
        <v>0.95</v>
      </c>
      <c r="P232" s="636">
        <f>VLOOKUP($B232,'Afton Update'!$A$5:$CR$582,'Afton Update'!AH$589,0)</f>
        <v>25112.81187795497</v>
      </c>
      <c r="Q232" s="637">
        <f>VLOOKUP($B232,'Afton Update'!$A$5:$CR$582,'Afton Update'!AI$589,0)</f>
        <v>7324.1104945130446</v>
      </c>
      <c r="R232" s="637">
        <f>VLOOKUP($B232,'Afton Update'!$A$5:$CR$582,'Afton Update'!AJ$589,0)</f>
        <v>14722.914872976522</v>
      </c>
      <c r="S232" s="637">
        <f>VLOOKUP($B232,'Afton Update'!$A$5:$CR$582,'Afton Update'!AK$589,0)</f>
        <v>13705.099751885031</v>
      </c>
      <c r="T232" s="643">
        <f t="shared" si="506"/>
        <v>60864.936997329569</v>
      </c>
      <c r="V232" s="636">
        <f t="shared" si="532"/>
        <v>49392.502832027705</v>
      </c>
      <c r="W232" s="637">
        <f t="shared" si="533"/>
        <v>9637.2145384610176</v>
      </c>
      <c r="X232" s="637">
        <f t="shared" si="534"/>
        <v>24779.305925213012</v>
      </c>
      <c r="Y232" s="637">
        <f t="shared" si="535"/>
        <v>23253.509326004107</v>
      </c>
      <c r="Z232" s="643">
        <f t="shared" si="536"/>
        <v>107062.53262170585</v>
      </c>
      <c r="AB232" s="644">
        <f t="shared" si="507"/>
        <v>25112.81187795497</v>
      </c>
      <c r="AC232" s="645">
        <f t="shared" si="481"/>
        <v>49392.502832027705</v>
      </c>
      <c r="AD232" s="644">
        <f t="shared" si="537"/>
        <v>24279.690954072736</v>
      </c>
      <c r="AE232" s="645">
        <f t="shared" si="538"/>
        <v>0</v>
      </c>
      <c r="AF232" s="646">
        <f t="shared" si="539"/>
        <v>0</v>
      </c>
      <c r="AG232" s="647">
        <f t="shared" si="540"/>
        <v>49392.502832027705</v>
      </c>
      <c r="AH232" s="644">
        <f t="shared" si="508"/>
        <v>0</v>
      </c>
      <c r="AI232" s="645">
        <f t="shared" si="509"/>
        <v>0</v>
      </c>
      <c r="AJ232" s="646">
        <f t="shared" si="541"/>
        <v>0</v>
      </c>
      <c r="AK232" s="647">
        <f t="shared" si="510"/>
        <v>49392.502832027705</v>
      </c>
      <c r="AL232" s="644">
        <f t="shared" si="542"/>
        <v>0</v>
      </c>
      <c r="AM232" s="645">
        <f t="shared" si="543"/>
        <v>0</v>
      </c>
      <c r="AN232" s="646">
        <f t="shared" si="544"/>
        <v>0</v>
      </c>
      <c r="AO232" s="647">
        <f t="shared" si="511"/>
        <v>49392.502832027705</v>
      </c>
      <c r="AP232" s="644">
        <f t="shared" si="545"/>
        <v>0</v>
      </c>
      <c r="AQ232" s="645">
        <f t="shared" si="546"/>
        <v>0</v>
      </c>
      <c r="AR232" s="646">
        <f t="shared" si="547"/>
        <v>0</v>
      </c>
      <c r="AS232" s="647">
        <f t="shared" si="512"/>
        <v>49392.502832027705</v>
      </c>
      <c r="AT232" s="644">
        <f t="shared" si="548"/>
        <v>0</v>
      </c>
      <c r="AU232" s="645">
        <f t="shared" si="549"/>
        <v>0</v>
      </c>
      <c r="AV232" s="646">
        <f t="shared" si="550"/>
        <v>0</v>
      </c>
      <c r="AW232" s="647">
        <f t="shared" si="513"/>
        <v>49392.502832027705</v>
      </c>
      <c r="AY232" s="644">
        <f t="shared" si="551"/>
        <v>7324.1104945130446</v>
      </c>
      <c r="AZ232" s="645">
        <f t="shared" si="482"/>
        <v>9637.2145384610176</v>
      </c>
      <c r="BA232" s="644">
        <f t="shared" si="552"/>
        <v>2313.104043947973</v>
      </c>
      <c r="BB232" s="645">
        <f t="shared" si="553"/>
        <v>0</v>
      </c>
      <c r="BC232" s="646">
        <f t="shared" si="554"/>
        <v>0</v>
      </c>
      <c r="BD232" s="647">
        <f t="shared" si="555"/>
        <v>9637.2145384610176</v>
      </c>
      <c r="BE232" s="644">
        <f t="shared" si="514"/>
        <v>0</v>
      </c>
      <c r="BF232" s="645">
        <f t="shared" si="515"/>
        <v>0</v>
      </c>
      <c r="BG232" s="646">
        <f t="shared" si="556"/>
        <v>0</v>
      </c>
      <c r="BH232" s="647">
        <f t="shared" si="516"/>
        <v>9637.2145384610176</v>
      </c>
      <c r="BI232" s="644">
        <f t="shared" si="557"/>
        <v>0</v>
      </c>
      <c r="BJ232" s="645">
        <f t="shared" si="558"/>
        <v>0</v>
      </c>
      <c r="BK232" s="646">
        <f t="shared" si="559"/>
        <v>0</v>
      </c>
      <c r="BL232" s="647">
        <f t="shared" si="517"/>
        <v>9637.2145384610176</v>
      </c>
      <c r="BM232" s="644">
        <f t="shared" si="560"/>
        <v>0</v>
      </c>
      <c r="BN232" s="645">
        <f t="shared" si="561"/>
        <v>0</v>
      </c>
      <c r="BO232" s="646">
        <f t="shared" si="562"/>
        <v>0</v>
      </c>
      <c r="BP232" s="647">
        <f t="shared" si="518"/>
        <v>9637.2145384610176</v>
      </c>
      <c r="BQ232" s="644">
        <f t="shared" si="563"/>
        <v>0</v>
      </c>
      <c r="BR232" s="645">
        <f t="shared" si="564"/>
        <v>0</v>
      </c>
      <c r="BS232" s="646">
        <f t="shared" si="565"/>
        <v>0</v>
      </c>
      <c r="BT232" s="647">
        <f t="shared" si="519"/>
        <v>9637.2145384610176</v>
      </c>
      <c r="BU232" s="662">
        <f>VLOOKUP(B232,'Afton Update'!$A$5:$AR$582,'Afton Update'!$AO$589,0)-BT232</f>
        <v>0</v>
      </c>
      <c r="BV232" s="644">
        <f t="shared" si="566"/>
        <v>14722.914872976522</v>
      </c>
      <c r="BW232" s="645">
        <f t="shared" si="483"/>
        <v>24779.305925213012</v>
      </c>
      <c r="BX232" s="644">
        <f t="shared" si="567"/>
        <v>10056.391052236489</v>
      </c>
      <c r="BY232" s="645">
        <f t="shared" si="568"/>
        <v>0</v>
      </c>
      <c r="BZ232" s="646">
        <f t="shared" si="569"/>
        <v>0</v>
      </c>
      <c r="CA232" s="647">
        <f t="shared" si="570"/>
        <v>24779.305925213012</v>
      </c>
      <c r="CB232" s="644">
        <f t="shared" si="520"/>
        <v>0</v>
      </c>
      <c r="CC232" s="645">
        <f t="shared" si="521"/>
        <v>0</v>
      </c>
      <c r="CD232" s="646">
        <f t="shared" si="571"/>
        <v>0</v>
      </c>
      <c r="CE232" s="647">
        <f t="shared" si="522"/>
        <v>24779.305925213012</v>
      </c>
      <c r="CF232" s="644">
        <f t="shared" si="572"/>
        <v>0</v>
      </c>
      <c r="CG232" s="645">
        <f t="shared" si="573"/>
        <v>0</v>
      </c>
      <c r="CH232" s="646">
        <f t="shared" si="574"/>
        <v>0</v>
      </c>
      <c r="CI232" s="647">
        <f t="shared" si="523"/>
        <v>24779.305925213012</v>
      </c>
      <c r="CJ232" s="644">
        <f t="shared" si="575"/>
        <v>0</v>
      </c>
      <c r="CK232" s="645">
        <f t="shared" si="576"/>
        <v>0</v>
      </c>
      <c r="CL232" s="646">
        <f t="shared" si="577"/>
        <v>0</v>
      </c>
      <c r="CM232" s="647">
        <f t="shared" si="524"/>
        <v>24779.305925213012</v>
      </c>
      <c r="CN232" s="644">
        <f t="shared" si="578"/>
        <v>0</v>
      </c>
      <c r="CO232" s="645">
        <f t="shared" si="579"/>
        <v>0</v>
      </c>
      <c r="CP232" s="646">
        <f t="shared" si="580"/>
        <v>0</v>
      </c>
      <c r="CQ232" s="647">
        <f t="shared" si="525"/>
        <v>24779.305925213012</v>
      </c>
      <c r="CS232" s="644">
        <f t="shared" si="581"/>
        <v>13705.099751885031</v>
      </c>
      <c r="CT232" s="645">
        <f t="shared" si="484"/>
        <v>23253.509326004107</v>
      </c>
      <c r="CU232" s="644">
        <f t="shared" si="582"/>
        <v>9548.4095741190758</v>
      </c>
      <c r="CV232" s="645">
        <f t="shared" si="583"/>
        <v>0</v>
      </c>
      <c r="CW232" s="646">
        <f t="shared" si="584"/>
        <v>0</v>
      </c>
      <c r="CX232" s="647">
        <f t="shared" si="585"/>
        <v>23253.509326004107</v>
      </c>
      <c r="CY232" s="644">
        <f t="shared" si="526"/>
        <v>0</v>
      </c>
      <c r="CZ232" s="645">
        <f t="shared" si="527"/>
        <v>0</v>
      </c>
      <c r="DA232" s="646">
        <f t="shared" si="586"/>
        <v>0</v>
      </c>
      <c r="DB232" s="647">
        <f t="shared" si="528"/>
        <v>23253.509326004107</v>
      </c>
      <c r="DC232" s="644">
        <f t="shared" si="587"/>
        <v>0</v>
      </c>
      <c r="DD232" s="645">
        <f t="shared" si="588"/>
        <v>0</v>
      </c>
      <c r="DE232" s="646">
        <f t="shared" si="589"/>
        <v>0</v>
      </c>
      <c r="DF232" s="647">
        <f t="shared" si="529"/>
        <v>23253.509326004107</v>
      </c>
      <c r="DG232" s="644">
        <f t="shared" si="590"/>
        <v>0</v>
      </c>
      <c r="DH232" s="645">
        <f t="shared" si="591"/>
        <v>0</v>
      </c>
      <c r="DI232" s="646">
        <f t="shared" si="592"/>
        <v>0</v>
      </c>
      <c r="DJ232" s="647">
        <f t="shared" si="530"/>
        <v>23253.509326004107</v>
      </c>
      <c r="DK232" s="644">
        <f t="shared" si="593"/>
        <v>0</v>
      </c>
      <c r="DL232" s="645">
        <f t="shared" si="594"/>
        <v>0</v>
      </c>
      <c r="DM232" s="646">
        <f t="shared" si="595"/>
        <v>0</v>
      </c>
      <c r="DN232" s="647">
        <f t="shared" si="531"/>
        <v>23253.509326004107</v>
      </c>
      <c r="DR232" s="827">
        <f t="shared" si="485"/>
        <v>107062.53262170585</v>
      </c>
      <c r="DV232" s="828">
        <f>IFERROR(VLOOKUP($B232,'Afton FY16 Final'!$A$5:$BV$587,'Afton FY16 Final'!$BV$587,0),0)</f>
        <v>110478.39091801574</v>
      </c>
      <c r="DX232" s="636">
        <f t="shared" si="473"/>
        <v>0</v>
      </c>
      <c r="DY232" s="637">
        <f t="shared" si="474"/>
        <v>0</v>
      </c>
      <c r="DZ232" s="637">
        <f t="shared" si="475"/>
        <v>0</v>
      </c>
      <c r="EA232" s="643">
        <f t="shared" si="476"/>
        <v>0</v>
      </c>
      <c r="EB232" s="637">
        <f t="shared" si="486"/>
        <v>0</v>
      </c>
      <c r="EC232" s="637">
        <f t="shared" si="487"/>
        <v>0</v>
      </c>
      <c r="ED232" s="637">
        <f t="shared" si="488"/>
        <v>0</v>
      </c>
      <c r="EE232" s="643">
        <f t="shared" si="489"/>
        <v>0</v>
      </c>
      <c r="EF232" s="637">
        <f t="shared" si="490"/>
        <v>0</v>
      </c>
      <c r="EG232" s="637">
        <f t="shared" si="491"/>
        <v>0</v>
      </c>
      <c r="EH232" s="637">
        <f t="shared" si="492"/>
        <v>0</v>
      </c>
      <c r="EI232" s="643">
        <f t="shared" si="493"/>
        <v>0</v>
      </c>
      <c r="EJ232" s="637">
        <f t="shared" si="494"/>
        <v>0</v>
      </c>
      <c r="EK232" s="637">
        <f t="shared" si="495"/>
        <v>0</v>
      </c>
      <c r="EL232" s="637">
        <f t="shared" si="496"/>
        <v>0</v>
      </c>
      <c r="EM232" s="643">
        <f t="shared" si="497"/>
        <v>0</v>
      </c>
      <c r="EN232" s="637">
        <f t="shared" si="498"/>
        <v>0</v>
      </c>
      <c r="EO232" s="637">
        <f t="shared" si="499"/>
        <v>0</v>
      </c>
      <c r="EP232" s="637">
        <f t="shared" si="500"/>
        <v>0</v>
      </c>
      <c r="EQ232" s="643">
        <f t="shared" si="501"/>
        <v>0</v>
      </c>
      <c r="ER232" s="637">
        <f t="shared" si="502"/>
        <v>0</v>
      </c>
      <c r="ES232" s="637">
        <f t="shared" si="503"/>
        <v>0</v>
      </c>
      <c r="ET232" s="637">
        <f t="shared" si="504"/>
        <v>0</v>
      </c>
      <c r="EU232" s="643">
        <f t="shared" si="477"/>
        <v>0</v>
      </c>
      <c r="EV232" s="643">
        <f t="shared" si="478"/>
        <v>0</v>
      </c>
      <c r="EX232" s="829">
        <f t="shared" si="479"/>
        <v>0</v>
      </c>
      <c r="EY232" s="638">
        <f t="shared" si="480"/>
        <v>107062.53262170585</v>
      </c>
      <c r="FC232" s="830" t="str">
        <f t="shared" si="505"/>
        <v>Y</v>
      </c>
      <c r="FE232" s="830" t="str">
        <f>IFERROR(VLOOKUP($B232,'Historical Conc Grant Elig'!$B$3:$J$707,'HH &amp; SI'!FE$2,0),"N")</f>
        <v>Y</v>
      </c>
      <c r="FF232" s="830" t="str">
        <f>IFERROR(VLOOKUP($B232,'Historical Conc Grant Elig'!$B$3:$J$707,'HH &amp; SI'!FF$2,0),"N")</f>
        <v>Y</v>
      </c>
      <c r="FG232" s="830" t="str">
        <f>IFERROR(VLOOKUP($B232,'Historical Conc Grant Elig'!$B$3:$J$707,'HH &amp; SI'!FG$2,0),"N")</f>
        <v>Y</v>
      </c>
      <c r="FH232" s="830" t="str">
        <f>IFERROR(VLOOKUP($B232,'Historical Conc Grant Elig'!$B$3:$J$707,'HH &amp; SI'!FH$2,0),"N")</f>
        <v>Y</v>
      </c>
      <c r="FI232" s="830" t="str">
        <f>IFERROR(VLOOKUP($B232,'Historical Conc Grant Elig'!$B$3:$J$707,'HH &amp; SI'!FI$2,0),"N")</f>
        <v>Y</v>
      </c>
      <c r="FJ232" s="830" t="str">
        <f>IFERROR(VLOOKUP($B232,'Historical Conc Grant Elig'!$B$3:$J$707,'HH &amp; SI'!FJ$2,0),"N")</f>
        <v>Y</v>
      </c>
      <c r="FK232" s="830" t="str">
        <f>IFERROR(VLOOKUP($B232,'Historical Conc Grant Elig'!$B$3:$J$707,'HH &amp; SI'!FK$2,0),"N")</f>
        <v>Y</v>
      </c>
      <c r="FL232" s="957" t="str">
        <f>IFERROR(VLOOKUP($B232,'Historical Conc Grant Elig'!$B$3:$J$707,'HH &amp; SI'!FL$2,0),"N")</f>
        <v>Y</v>
      </c>
    </row>
    <row r="233" spans="2:168" x14ac:dyDescent="0.25">
      <c r="B233" s="634">
        <v>78688000</v>
      </c>
      <c r="C233" s="635" t="str">
        <f>VLOOKUP($B233,'Afton Update'!$A$5:$CR$582,'Afton Update'!D$589,0)</f>
        <v>Sage Academy, Inc.</v>
      </c>
      <c r="D233" s="636">
        <f>IFERROR(VLOOKUP($B233,'Afton FY16 Final'!$A$5:$BV$587,'Afton FY16 Final'!AQ$587,0),0)</f>
        <v>13051.977431558504</v>
      </c>
      <c r="E233" s="637">
        <f>IFERROR(VLOOKUP($B233,'Afton FY16 Final'!$A$5:$BV$587,'Afton FY16 Final'!AR$587,0),0)</f>
        <v>4559.7825658645897</v>
      </c>
      <c r="F233" s="637">
        <f>IFERROR(VLOOKUP($B233,'Afton FY16 Final'!$A$5:$BV$587,'Afton FY16 Final'!AS$587,0),0)</f>
        <v>7083.461467792541</v>
      </c>
      <c r="G233" s="637">
        <f>IFERROR(VLOOKUP($B233,'Afton FY16 Final'!$A$5:$BV$587,'Afton FY16 Final'!AT$587,0),0)</f>
        <v>5947.6876382015598</v>
      </c>
      <c r="H233" s="638">
        <f>IFERROR(VLOOKUP($B233,'Afton FY16 Final'!$A$5:$BV$587,'Afton FY16 Final'!AU$587,0),0)</f>
        <v>30642.909103417194</v>
      </c>
      <c r="I233" s="639" t="str">
        <f>VLOOKUP($B233,'Afton Update'!$A$5:$CR$582,'Afton Update'!BT$589,0)</f>
        <v>Y</v>
      </c>
      <c r="J233" s="640" t="str">
        <f>VLOOKUP($B233,'Afton Update'!$A$5:$CR$582,'Afton Update'!BU$589,0)</f>
        <v>Y</v>
      </c>
      <c r="K233" s="640" t="str">
        <f>VLOOKUP($B233,'Afton Update'!$A$5:$CR$582,'Afton Update'!BV$589,0)</f>
        <v>Y</v>
      </c>
      <c r="L233" s="641" t="str">
        <f>VLOOKUP($B233,'Afton Update'!$A$5:$CR$582,'Afton Update'!BW$589,0)</f>
        <v>Y</v>
      </c>
      <c r="N233" s="642">
        <f>VLOOKUP($B233,'Afton Update'!$A$5:$CR$582,'Afton Update'!CB$589,0)</f>
        <v>0.95</v>
      </c>
      <c r="P233" s="636">
        <f>VLOOKUP($B233,'Afton Update'!$A$5:$CR$582,'Afton Update'!AH$589,0)</f>
        <v>25351.981514887873</v>
      </c>
      <c r="Q233" s="637">
        <f>VLOOKUP($B233,'Afton Update'!$A$5:$CR$582,'Afton Update'!AI$589,0)</f>
        <v>7373.5703908147807</v>
      </c>
      <c r="R233" s="637">
        <f>VLOOKUP($B233,'Afton Update'!$A$5:$CR$582,'Afton Update'!AJ$589,0)</f>
        <v>14862.891770383725</v>
      </c>
      <c r="S233" s="637">
        <f>VLOOKUP($B233,'Afton Update'!$A$5:$CR$582,'Afton Update'!AK$589,0)</f>
        <v>13835.399856074742</v>
      </c>
      <c r="T233" s="643">
        <f t="shared" si="506"/>
        <v>61423.843532161118</v>
      </c>
      <c r="V233" s="636">
        <f t="shared" si="532"/>
        <v>25006.164031974804</v>
      </c>
      <c r="W233" s="637">
        <f t="shared" si="533"/>
        <v>7130.7119406170996</v>
      </c>
      <c r="X233" s="637">
        <f t="shared" si="534"/>
        <v>14727.719572728764</v>
      </c>
      <c r="Y233" s="637">
        <f t="shared" si="535"/>
        <v>13682.958654652721</v>
      </c>
      <c r="Z233" s="643">
        <f t="shared" si="536"/>
        <v>60547.55419997339</v>
      </c>
      <c r="AB233" s="644">
        <f t="shared" si="507"/>
        <v>25351.981514887873</v>
      </c>
      <c r="AC233" s="645">
        <f t="shared" si="481"/>
        <v>12399.378559980578</v>
      </c>
      <c r="AD233" s="644">
        <f t="shared" si="537"/>
        <v>0</v>
      </c>
      <c r="AE233" s="645">
        <f t="shared" si="538"/>
        <v>25351.981514887873</v>
      </c>
      <c r="AF233" s="646">
        <f t="shared" si="539"/>
        <v>-314.25686238400186</v>
      </c>
      <c r="AG233" s="647">
        <f t="shared" si="540"/>
        <v>25037.724652503872</v>
      </c>
      <c r="AH233" s="644">
        <f t="shared" si="508"/>
        <v>0</v>
      </c>
      <c r="AI233" s="645">
        <f t="shared" si="509"/>
        <v>25037.724652503872</v>
      </c>
      <c r="AJ233" s="646">
        <f t="shared" si="541"/>
        <v>-31.540513354667123</v>
      </c>
      <c r="AK233" s="647">
        <f t="shared" si="510"/>
        <v>25006.184139149205</v>
      </c>
      <c r="AL233" s="644">
        <f t="shared" si="542"/>
        <v>0</v>
      </c>
      <c r="AM233" s="645">
        <f t="shared" si="543"/>
        <v>25006.184139149205</v>
      </c>
      <c r="AN233" s="646">
        <f t="shared" si="544"/>
        <v>-2.0107174402925036E-2</v>
      </c>
      <c r="AO233" s="647">
        <f t="shared" si="511"/>
        <v>25006.164031974804</v>
      </c>
      <c r="AP233" s="644">
        <f t="shared" si="545"/>
        <v>0</v>
      </c>
      <c r="AQ233" s="645">
        <f t="shared" si="546"/>
        <v>25006.164031974804</v>
      </c>
      <c r="AR233" s="646">
        <f t="shared" si="547"/>
        <v>0</v>
      </c>
      <c r="AS233" s="647">
        <f t="shared" si="512"/>
        <v>25006.164031974804</v>
      </c>
      <c r="AT233" s="644">
        <f t="shared" si="548"/>
        <v>0</v>
      </c>
      <c r="AU233" s="645">
        <f t="shared" si="549"/>
        <v>25006.164031974804</v>
      </c>
      <c r="AV233" s="646">
        <f t="shared" si="550"/>
        <v>0</v>
      </c>
      <c r="AW233" s="647">
        <f t="shared" si="513"/>
        <v>25006.164031974804</v>
      </c>
      <c r="AY233" s="644">
        <f t="shared" si="551"/>
        <v>7373.5703908147807</v>
      </c>
      <c r="AZ233" s="645">
        <f t="shared" si="482"/>
        <v>4331.7934375713603</v>
      </c>
      <c r="BA233" s="644">
        <f t="shared" si="552"/>
        <v>0</v>
      </c>
      <c r="BB233" s="645">
        <f t="shared" si="553"/>
        <v>7373.5703908147807</v>
      </c>
      <c r="BC233" s="646">
        <f t="shared" si="554"/>
        <v>-53.025493563243906</v>
      </c>
      <c r="BD233" s="647">
        <f t="shared" si="555"/>
        <v>7320.5448972515369</v>
      </c>
      <c r="BE233" s="644">
        <f t="shared" si="514"/>
        <v>0</v>
      </c>
      <c r="BF233" s="645">
        <f t="shared" si="515"/>
        <v>7320.5448972515369</v>
      </c>
      <c r="BG233" s="646">
        <f t="shared" si="556"/>
        <v>-174.36941363883807</v>
      </c>
      <c r="BH233" s="647">
        <f t="shared" si="516"/>
        <v>7146.1754836126984</v>
      </c>
      <c r="BI233" s="644">
        <f t="shared" si="557"/>
        <v>0</v>
      </c>
      <c r="BJ233" s="645">
        <f t="shared" si="558"/>
        <v>7146.1754836126984</v>
      </c>
      <c r="BK233" s="646">
        <f t="shared" si="559"/>
        <v>-15.137278110884829</v>
      </c>
      <c r="BL233" s="647">
        <f t="shared" si="517"/>
        <v>7131.0382055018135</v>
      </c>
      <c r="BM233" s="644">
        <f t="shared" si="560"/>
        <v>0</v>
      </c>
      <c r="BN233" s="645">
        <f t="shared" si="561"/>
        <v>7131.0382055018135</v>
      </c>
      <c r="BO233" s="646">
        <f t="shared" si="562"/>
        <v>-0.32626488471435944</v>
      </c>
      <c r="BP233" s="647">
        <f t="shared" si="518"/>
        <v>7130.7119406170996</v>
      </c>
      <c r="BQ233" s="644">
        <f t="shared" si="563"/>
        <v>0</v>
      </c>
      <c r="BR233" s="645">
        <f t="shared" si="564"/>
        <v>7130.7119406170996</v>
      </c>
      <c r="BS233" s="646">
        <f t="shared" si="565"/>
        <v>0</v>
      </c>
      <c r="BT233" s="647">
        <f t="shared" si="519"/>
        <v>7130.7119406170996</v>
      </c>
      <c r="BU233" s="662">
        <f>VLOOKUP(B233,'Afton Update'!$A$5:$AR$582,'Afton Update'!$AO$589,0)-BT233</f>
        <v>0</v>
      </c>
      <c r="BV233" s="644">
        <f t="shared" si="566"/>
        <v>14862.891770383725</v>
      </c>
      <c r="BW233" s="645">
        <f t="shared" si="483"/>
        <v>6729.2883944029136</v>
      </c>
      <c r="BX233" s="644">
        <f t="shared" si="567"/>
        <v>0</v>
      </c>
      <c r="BY233" s="645">
        <f t="shared" si="568"/>
        <v>14862.891770383725</v>
      </c>
      <c r="BZ233" s="646">
        <f t="shared" si="569"/>
        <v>-130.45318127365763</v>
      </c>
      <c r="CA233" s="647">
        <f t="shared" si="570"/>
        <v>14732.438589110068</v>
      </c>
      <c r="CB233" s="644">
        <f t="shared" si="520"/>
        <v>0</v>
      </c>
      <c r="CC233" s="645">
        <f t="shared" si="521"/>
        <v>14732.438589110068</v>
      </c>
      <c r="CD233" s="646">
        <f t="shared" si="571"/>
        <v>-4.7190163813042298</v>
      </c>
      <c r="CE233" s="647">
        <f t="shared" si="522"/>
        <v>14727.719572728764</v>
      </c>
      <c r="CF233" s="644">
        <f t="shared" si="572"/>
        <v>0</v>
      </c>
      <c r="CG233" s="645">
        <f t="shared" si="573"/>
        <v>14727.719572728764</v>
      </c>
      <c r="CH233" s="646">
        <f t="shared" si="574"/>
        <v>0</v>
      </c>
      <c r="CI233" s="647">
        <f t="shared" si="523"/>
        <v>14727.719572728764</v>
      </c>
      <c r="CJ233" s="644">
        <f t="shared" si="575"/>
        <v>0</v>
      </c>
      <c r="CK233" s="645">
        <f t="shared" si="576"/>
        <v>14727.719572728764</v>
      </c>
      <c r="CL233" s="646">
        <f t="shared" si="577"/>
        <v>0</v>
      </c>
      <c r="CM233" s="647">
        <f t="shared" si="524"/>
        <v>14727.719572728764</v>
      </c>
      <c r="CN233" s="644">
        <f t="shared" si="578"/>
        <v>0</v>
      </c>
      <c r="CO233" s="645">
        <f t="shared" si="579"/>
        <v>14727.719572728764</v>
      </c>
      <c r="CP233" s="646">
        <f t="shared" si="580"/>
        <v>0</v>
      </c>
      <c r="CQ233" s="647">
        <f t="shared" si="525"/>
        <v>14727.719572728764</v>
      </c>
      <c r="CS233" s="644">
        <f t="shared" si="581"/>
        <v>13835.399856074742</v>
      </c>
      <c r="CT233" s="645">
        <f t="shared" si="484"/>
        <v>5650.3032562914814</v>
      </c>
      <c r="CU233" s="644">
        <f t="shared" si="582"/>
        <v>0</v>
      </c>
      <c r="CV233" s="645">
        <f t="shared" si="583"/>
        <v>13835.399856074742</v>
      </c>
      <c r="CW233" s="646">
        <f t="shared" si="584"/>
        <v>-141.6823132147066</v>
      </c>
      <c r="CX233" s="647">
        <f t="shared" si="585"/>
        <v>13693.717542860035</v>
      </c>
      <c r="CY233" s="644">
        <f t="shared" si="526"/>
        <v>0</v>
      </c>
      <c r="CZ233" s="645">
        <f t="shared" si="527"/>
        <v>13693.717542860035</v>
      </c>
      <c r="DA233" s="646">
        <f t="shared" si="586"/>
        <v>-10.749618000678158</v>
      </c>
      <c r="DB233" s="647">
        <f t="shared" si="528"/>
        <v>13682.967924859357</v>
      </c>
      <c r="DC233" s="644">
        <f t="shared" si="587"/>
        <v>0</v>
      </c>
      <c r="DD233" s="645">
        <f t="shared" si="588"/>
        <v>13682.967924859357</v>
      </c>
      <c r="DE233" s="646">
        <f t="shared" si="589"/>
        <v>-9.2702066351796134E-3</v>
      </c>
      <c r="DF233" s="647">
        <f t="shared" si="529"/>
        <v>13682.958654652721</v>
      </c>
      <c r="DG233" s="644">
        <f t="shared" si="590"/>
        <v>0</v>
      </c>
      <c r="DH233" s="645">
        <f t="shared" si="591"/>
        <v>13682.958654652721</v>
      </c>
      <c r="DI233" s="646">
        <f t="shared" si="592"/>
        <v>0</v>
      </c>
      <c r="DJ233" s="647">
        <f t="shared" si="530"/>
        <v>13682.958654652721</v>
      </c>
      <c r="DK233" s="644">
        <f t="shared" si="593"/>
        <v>0</v>
      </c>
      <c r="DL233" s="645">
        <f t="shared" si="594"/>
        <v>13682.958654652721</v>
      </c>
      <c r="DM233" s="646">
        <f t="shared" si="595"/>
        <v>0</v>
      </c>
      <c r="DN233" s="647">
        <f t="shared" si="531"/>
        <v>13682.958654652721</v>
      </c>
      <c r="DR233" s="827">
        <f t="shared" si="485"/>
        <v>60547.55419997339</v>
      </c>
      <c r="DV233" s="828">
        <f>IFERROR(VLOOKUP($B233,'Afton FY16 Final'!$A$5:$BV$587,'Afton FY16 Final'!$BV$587,0),0)</f>
        <v>27205.705612094709</v>
      </c>
      <c r="DX233" s="636">
        <f t="shared" si="473"/>
        <v>60547.55419997339</v>
      </c>
      <c r="DY233" s="637">
        <f t="shared" si="474"/>
        <v>33341.848587878681</v>
      </c>
      <c r="DZ233" s="637">
        <f t="shared" si="475"/>
        <v>27205.705612094709</v>
      </c>
      <c r="EA233" s="643">
        <f t="shared" si="476"/>
        <v>57327.102897251476</v>
      </c>
      <c r="EB233" s="637">
        <f t="shared" si="486"/>
        <v>0</v>
      </c>
      <c r="EC233" s="637">
        <f t="shared" si="487"/>
        <v>57327.102897251476</v>
      </c>
      <c r="ED233" s="637">
        <f t="shared" si="488"/>
        <v>57156.156899282832</v>
      </c>
      <c r="EE233" s="643">
        <f t="shared" si="489"/>
        <v>57156.156899282832</v>
      </c>
      <c r="EF233" s="637">
        <f t="shared" si="490"/>
        <v>0</v>
      </c>
      <c r="EG233" s="637">
        <f t="shared" si="491"/>
        <v>57156.156899282832</v>
      </c>
      <c r="EH233" s="637">
        <f t="shared" si="492"/>
        <v>57156.097933506731</v>
      </c>
      <c r="EI233" s="643">
        <f t="shared" si="493"/>
        <v>57156.097933506731</v>
      </c>
      <c r="EJ233" s="637">
        <f t="shared" si="494"/>
        <v>0</v>
      </c>
      <c r="EK233" s="637">
        <f t="shared" si="495"/>
        <v>57156.097933506731</v>
      </c>
      <c r="EL233" s="637">
        <f t="shared" si="496"/>
        <v>57156.097933506651</v>
      </c>
      <c r="EM233" s="643">
        <f t="shared" si="497"/>
        <v>57156.097933506651</v>
      </c>
      <c r="EN233" s="637">
        <f t="shared" si="498"/>
        <v>0</v>
      </c>
      <c r="EO233" s="637">
        <f t="shared" si="499"/>
        <v>57156.097933506651</v>
      </c>
      <c r="EP233" s="637">
        <f t="shared" si="500"/>
        <v>57156.097933506739</v>
      </c>
      <c r="EQ233" s="643">
        <f t="shared" si="501"/>
        <v>57156.097933506739</v>
      </c>
      <c r="ER233" s="637">
        <f t="shared" si="502"/>
        <v>0</v>
      </c>
      <c r="ES233" s="637">
        <f t="shared" si="503"/>
        <v>57156.097933506739</v>
      </c>
      <c r="ET233" s="637">
        <f t="shared" si="504"/>
        <v>57156.097933506651</v>
      </c>
      <c r="EU233" s="643">
        <f t="shared" si="477"/>
        <v>57156.097933506651</v>
      </c>
      <c r="EV233" s="643">
        <f t="shared" si="478"/>
        <v>0</v>
      </c>
      <c r="EX233" s="829">
        <f t="shared" si="479"/>
        <v>3391.4562664667392</v>
      </c>
      <c r="EY233" s="638">
        <f t="shared" si="480"/>
        <v>57156.097933506651</v>
      </c>
      <c r="FC233" s="830" t="str">
        <f t="shared" si="505"/>
        <v>Y</v>
      </c>
      <c r="FE233" s="830" t="str">
        <f>IFERROR(VLOOKUP($B233,'Historical Conc Grant Elig'!$B$3:$J$707,'HH &amp; SI'!FE$2,0),"N")</f>
        <v>N</v>
      </c>
      <c r="FF233" s="830" t="str">
        <f>IFERROR(VLOOKUP($B233,'Historical Conc Grant Elig'!$B$3:$J$707,'HH &amp; SI'!FF$2,0),"N")</f>
        <v>N</v>
      </c>
      <c r="FG233" s="830" t="str">
        <f>IFERROR(VLOOKUP($B233,'Historical Conc Grant Elig'!$B$3:$J$707,'HH &amp; SI'!FG$2,0),"N")</f>
        <v>Y</v>
      </c>
      <c r="FH233" s="830" t="str">
        <f>IFERROR(VLOOKUP($B233,'Historical Conc Grant Elig'!$B$3:$J$707,'HH &amp; SI'!FH$2,0),"N")</f>
        <v>Y</v>
      </c>
      <c r="FI233" s="830" t="str">
        <f>IFERROR(VLOOKUP($B233,'Historical Conc Grant Elig'!$B$3:$J$707,'HH &amp; SI'!FI$2,0),"N")</f>
        <v>Y</v>
      </c>
      <c r="FJ233" s="830" t="str">
        <f>IFERROR(VLOOKUP($B233,'Historical Conc Grant Elig'!$B$3:$J$707,'HH &amp; SI'!FJ$2,0),"N")</f>
        <v>N</v>
      </c>
      <c r="FK233" s="830" t="str">
        <f>IFERROR(VLOOKUP($B233,'Historical Conc Grant Elig'!$B$3:$J$707,'HH &amp; SI'!FK$2,0),"N")</f>
        <v>Y</v>
      </c>
      <c r="FL233" s="957" t="str">
        <f>IFERROR(VLOOKUP($B233,'Historical Conc Grant Elig'!$B$3:$J$707,'HH &amp; SI'!FL$2,0),"N")</f>
        <v>Y</v>
      </c>
    </row>
    <row r="234" spans="2:168" x14ac:dyDescent="0.25">
      <c r="B234" s="634">
        <v>78701000</v>
      </c>
      <c r="C234" s="635" t="str">
        <f>VLOOKUP($B234,'Afton Update'!$A$5:$CR$582,'Afton Update'!D$589,0)</f>
        <v>Acclaim Charter School</v>
      </c>
      <c r="D234" s="636">
        <f>IFERROR(VLOOKUP($B234,'Afton FY16 Final'!$A$5:$BV$587,'Afton FY16 Final'!AQ$587,0),0)</f>
        <v>97035.96239132293</v>
      </c>
      <c r="E234" s="637">
        <f>IFERROR(VLOOKUP($B234,'Afton FY16 Final'!$A$5:$BV$587,'Afton FY16 Final'!AR$587,0),0)</f>
        <v>20206.441892444796</v>
      </c>
      <c r="F234" s="637">
        <f>IFERROR(VLOOKUP($B234,'Afton FY16 Final'!$A$5:$BV$587,'Afton FY16 Final'!AS$587,0),0)</f>
        <v>49684.000327941794</v>
      </c>
      <c r="G234" s="637">
        <f>IFERROR(VLOOKUP($B234,'Afton FY16 Final'!$A$5:$BV$587,'Afton FY16 Final'!AT$587,0),0)</f>
        <v>47870.192313628169</v>
      </c>
      <c r="H234" s="638">
        <f>IFERROR(VLOOKUP($B234,'Afton FY16 Final'!$A$5:$BV$587,'Afton FY16 Final'!AU$587,0),0)</f>
        <v>214796.59692533768</v>
      </c>
      <c r="I234" s="639" t="str">
        <f>VLOOKUP($B234,'Afton Update'!$A$5:$CR$582,'Afton Update'!BT$589,0)</f>
        <v>Y</v>
      </c>
      <c r="J234" s="640" t="str">
        <f>VLOOKUP($B234,'Afton Update'!$A$5:$CR$582,'Afton Update'!BU$589,0)</f>
        <v>Y</v>
      </c>
      <c r="K234" s="640" t="str">
        <f>VLOOKUP($B234,'Afton Update'!$A$5:$CR$582,'Afton Update'!BV$589,0)</f>
        <v>Y</v>
      </c>
      <c r="L234" s="641" t="str">
        <f>VLOOKUP($B234,'Afton Update'!$A$5:$CR$582,'Afton Update'!BW$589,0)</f>
        <v>Y</v>
      </c>
      <c r="N234" s="642">
        <f>VLOOKUP($B234,'Afton Update'!$A$5:$CR$582,'Afton Update'!CB$589,0)</f>
        <v>0.95</v>
      </c>
      <c r="P234" s="636">
        <f>VLOOKUP($B234,'Afton Update'!$A$5:$CR$582,'Afton Update'!AH$589,0)</f>
        <v>92797.819129966942</v>
      </c>
      <c r="Q234" s="637">
        <f>VLOOKUP($B234,'Afton Update'!$A$5:$CR$582,'Afton Update'!AI$589,0)</f>
        <v>21321.261147904472</v>
      </c>
      <c r="R234" s="637">
        <f>VLOOKUP($B234,'Afton Update'!$A$5:$CR$582,'Afton Update'!AJ$589,0)</f>
        <v>54336.376839214834</v>
      </c>
      <c r="S234" s="637">
        <f>VLOOKUP($B234,'Afton Update'!$A$5:$CR$582,'Afton Update'!AK$589,0)</f>
        <v>50580.029237573173</v>
      </c>
      <c r="T234" s="643">
        <f t="shared" si="506"/>
        <v>219035.48635465943</v>
      </c>
      <c r="V234" s="636">
        <f t="shared" si="532"/>
        <v>92184.164271756774</v>
      </c>
      <c r="W234" s="637">
        <f t="shared" si="533"/>
        <v>20619.016758254322</v>
      </c>
      <c r="X234" s="637">
        <f t="shared" si="534"/>
        <v>53842.208706698366</v>
      </c>
      <c r="Y234" s="637">
        <f t="shared" si="535"/>
        <v>50022.728364078641</v>
      </c>
      <c r="Z234" s="643">
        <f t="shared" si="536"/>
        <v>216668.11810078812</v>
      </c>
      <c r="AB234" s="644">
        <f t="shared" si="507"/>
        <v>92797.819129966942</v>
      </c>
      <c r="AC234" s="645">
        <f t="shared" si="481"/>
        <v>92184.164271756774</v>
      </c>
      <c r="AD234" s="644">
        <f t="shared" si="537"/>
        <v>0</v>
      </c>
      <c r="AE234" s="645">
        <f t="shared" si="538"/>
        <v>92797.819129966942</v>
      </c>
      <c r="AF234" s="646">
        <f t="shared" si="539"/>
        <v>-1150.2987038206863</v>
      </c>
      <c r="AG234" s="647">
        <f t="shared" si="540"/>
        <v>91647.52042614625</v>
      </c>
      <c r="AH234" s="644">
        <f t="shared" si="508"/>
        <v>-536.64384561052429</v>
      </c>
      <c r="AI234" s="645">
        <f t="shared" si="509"/>
        <v>0</v>
      </c>
      <c r="AJ234" s="646">
        <f t="shared" si="541"/>
        <v>0</v>
      </c>
      <c r="AK234" s="647">
        <f t="shared" si="510"/>
        <v>92184.164271756774</v>
      </c>
      <c r="AL234" s="644">
        <f t="shared" si="542"/>
        <v>0</v>
      </c>
      <c r="AM234" s="645">
        <f t="shared" si="543"/>
        <v>0</v>
      </c>
      <c r="AN234" s="646">
        <f t="shared" si="544"/>
        <v>0</v>
      </c>
      <c r="AO234" s="647">
        <f t="shared" si="511"/>
        <v>92184.164271756774</v>
      </c>
      <c r="AP234" s="644">
        <f t="shared" si="545"/>
        <v>0</v>
      </c>
      <c r="AQ234" s="645">
        <f t="shared" si="546"/>
        <v>0</v>
      </c>
      <c r="AR234" s="646">
        <f t="shared" si="547"/>
        <v>0</v>
      </c>
      <c r="AS234" s="647">
        <f t="shared" si="512"/>
        <v>92184.164271756774</v>
      </c>
      <c r="AT234" s="644">
        <f t="shared" si="548"/>
        <v>0</v>
      </c>
      <c r="AU234" s="645">
        <f t="shared" si="549"/>
        <v>0</v>
      </c>
      <c r="AV234" s="646">
        <f t="shared" si="550"/>
        <v>0</v>
      </c>
      <c r="AW234" s="647">
        <f t="shared" si="513"/>
        <v>92184.164271756774</v>
      </c>
      <c r="AY234" s="644">
        <f t="shared" si="551"/>
        <v>21321.261147904472</v>
      </c>
      <c r="AZ234" s="645">
        <f t="shared" si="482"/>
        <v>19196.119797822557</v>
      </c>
      <c r="BA234" s="644">
        <f t="shared" si="552"/>
        <v>0</v>
      </c>
      <c r="BB234" s="645">
        <f t="shared" si="553"/>
        <v>21321.261147904472</v>
      </c>
      <c r="BC234" s="646">
        <f t="shared" si="554"/>
        <v>-153.32740257918968</v>
      </c>
      <c r="BD234" s="647">
        <f t="shared" si="555"/>
        <v>21167.933745325281</v>
      </c>
      <c r="BE234" s="644">
        <f t="shared" si="514"/>
        <v>0</v>
      </c>
      <c r="BF234" s="645">
        <f t="shared" si="515"/>
        <v>21167.933745325281</v>
      </c>
      <c r="BG234" s="646">
        <f t="shared" si="556"/>
        <v>-504.20293119217479</v>
      </c>
      <c r="BH234" s="647">
        <f t="shared" si="516"/>
        <v>20663.730814133105</v>
      </c>
      <c r="BI234" s="644">
        <f t="shared" si="557"/>
        <v>0</v>
      </c>
      <c r="BJ234" s="645">
        <f t="shared" si="558"/>
        <v>20663.730814133105</v>
      </c>
      <c r="BK234" s="646">
        <f t="shared" si="559"/>
        <v>-43.770635196305491</v>
      </c>
      <c r="BL234" s="647">
        <f t="shared" si="517"/>
        <v>20619.960178936799</v>
      </c>
      <c r="BM234" s="644">
        <f t="shared" si="560"/>
        <v>0</v>
      </c>
      <c r="BN234" s="645">
        <f t="shared" si="561"/>
        <v>20619.960178936799</v>
      </c>
      <c r="BO234" s="646">
        <f t="shared" si="562"/>
        <v>-0.94342068247579614</v>
      </c>
      <c r="BP234" s="647">
        <f t="shared" si="518"/>
        <v>20619.016758254322</v>
      </c>
      <c r="BQ234" s="644">
        <f t="shared" si="563"/>
        <v>0</v>
      </c>
      <c r="BR234" s="645">
        <f t="shared" si="564"/>
        <v>20619.016758254322</v>
      </c>
      <c r="BS234" s="646">
        <f t="shared" si="565"/>
        <v>0</v>
      </c>
      <c r="BT234" s="647">
        <f t="shared" si="519"/>
        <v>20619.016758254322</v>
      </c>
      <c r="BU234" s="662">
        <f>VLOOKUP(B234,'Afton Update'!$A$5:$AR$582,'Afton Update'!$AO$589,0)-BT234</f>
        <v>0</v>
      </c>
      <c r="BV234" s="644">
        <f t="shared" si="566"/>
        <v>54336.376839214834</v>
      </c>
      <c r="BW234" s="645">
        <f t="shared" si="483"/>
        <v>47199.800311544699</v>
      </c>
      <c r="BX234" s="644">
        <f t="shared" si="567"/>
        <v>0</v>
      </c>
      <c r="BY234" s="645">
        <f t="shared" si="568"/>
        <v>54336.376839214834</v>
      </c>
      <c r="BZ234" s="646">
        <f t="shared" si="569"/>
        <v>-476.91615649683627</v>
      </c>
      <c r="CA234" s="647">
        <f t="shared" si="570"/>
        <v>53859.460682717996</v>
      </c>
      <c r="CB234" s="644">
        <f t="shared" si="520"/>
        <v>0</v>
      </c>
      <c r="CC234" s="645">
        <f t="shared" si="521"/>
        <v>53859.460682717996</v>
      </c>
      <c r="CD234" s="646">
        <f t="shared" si="571"/>
        <v>-17.251976019627204</v>
      </c>
      <c r="CE234" s="647">
        <f t="shared" si="522"/>
        <v>53842.208706698366</v>
      </c>
      <c r="CF234" s="644">
        <f t="shared" si="572"/>
        <v>0</v>
      </c>
      <c r="CG234" s="645">
        <f t="shared" si="573"/>
        <v>53842.208706698366</v>
      </c>
      <c r="CH234" s="646">
        <f t="shared" si="574"/>
        <v>0</v>
      </c>
      <c r="CI234" s="647">
        <f t="shared" si="523"/>
        <v>53842.208706698366</v>
      </c>
      <c r="CJ234" s="644">
        <f t="shared" si="575"/>
        <v>0</v>
      </c>
      <c r="CK234" s="645">
        <f t="shared" si="576"/>
        <v>53842.208706698366</v>
      </c>
      <c r="CL234" s="646">
        <f t="shared" si="577"/>
        <v>0</v>
      </c>
      <c r="CM234" s="647">
        <f t="shared" si="524"/>
        <v>53842.208706698366</v>
      </c>
      <c r="CN234" s="644">
        <f t="shared" si="578"/>
        <v>0</v>
      </c>
      <c r="CO234" s="645">
        <f t="shared" si="579"/>
        <v>53842.208706698366</v>
      </c>
      <c r="CP234" s="646">
        <f t="shared" si="580"/>
        <v>0</v>
      </c>
      <c r="CQ234" s="647">
        <f t="shared" si="525"/>
        <v>53842.208706698366</v>
      </c>
      <c r="CS234" s="644">
        <f t="shared" si="581"/>
        <v>50580.029237573173</v>
      </c>
      <c r="CT234" s="645">
        <f t="shared" si="484"/>
        <v>45476.682697946759</v>
      </c>
      <c r="CU234" s="644">
        <f t="shared" si="582"/>
        <v>0</v>
      </c>
      <c r="CV234" s="645">
        <f t="shared" si="583"/>
        <v>50580.029237573173</v>
      </c>
      <c r="CW234" s="646">
        <f t="shared" si="584"/>
        <v>-517.96808327880285</v>
      </c>
      <c r="CX234" s="647">
        <f t="shared" si="585"/>
        <v>50062.061154294373</v>
      </c>
      <c r="CY234" s="644">
        <f t="shared" si="526"/>
        <v>0</v>
      </c>
      <c r="CZ234" s="645">
        <f t="shared" si="527"/>
        <v>50062.061154294373</v>
      </c>
      <c r="DA234" s="646">
        <f t="shared" si="586"/>
        <v>-39.298899809412703</v>
      </c>
      <c r="DB234" s="647">
        <f t="shared" si="528"/>
        <v>50022.762254484958</v>
      </c>
      <c r="DC234" s="644">
        <f t="shared" si="587"/>
        <v>0</v>
      </c>
      <c r="DD234" s="645">
        <f t="shared" si="588"/>
        <v>50022.762254484958</v>
      </c>
      <c r="DE234" s="646">
        <f t="shared" si="589"/>
        <v>-3.3890406314484235E-2</v>
      </c>
      <c r="DF234" s="647">
        <f t="shared" si="529"/>
        <v>50022.728364078641</v>
      </c>
      <c r="DG234" s="644">
        <f t="shared" si="590"/>
        <v>0</v>
      </c>
      <c r="DH234" s="645">
        <f t="shared" si="591"/>
        <v>50022.728364078641</v>
      </c>
      <c r="DI234" s="646">
        <f t="shared" si="592"/>
        <v>0</v>
      </c>
      <c r="DJ234" s="647">
        <f t="shared" si="530"/>
        <v>50022.728364078641</v>
      </c>
      <c r="DK234" s="644">
        <f t="shared" si="593"/>
        <v>0</v>
      </c>
      <c r="DL234" s="645">
        <f t="shared" si="594"/>
        <v>50022.728364078641</v>
      </c>
      <c r="DM234" s="646">
        <f t="shared" si="595"/>
        <v>0</v>
      </c>
      <c r="DN234" s="647">
        <f t="shared" si="531"/>
        <v>50022.728364078641</v>
      </c>
      <c r="DR234" s="827">
        <f t="shared" si="485"/>
        <v>216668.11810078812</v>
      </c>
      <c r="DV234" s="828">
        <f>IFERROR(VLOOKUP($B234,'Afton FY16 Final'!$A$5:$BV$587,'Afton FY16 Final'!$BV$587,0),0)</f>
        <v>210567.25196744999</v>
      </c>
      <c r="DX234" s="636">
        <f t="shared" si="473"/>
        <v>216668.11810078812</v>
      </c>
      <c r="DY234" s="637">
        <f t="shared" si="474"/>
        <v>6100.8661333381315</v>
      </c>
      <c r="DZ234" s="637">
        <f t="shared" si="475"/>
        <v>210567.25196744999</v>
      </c>
      <c r="EA234" s="643">
        <f t="shared" si="476"/>
        <v>205143.80250429959</v>
      </c>
      <c r="EB234" s="637">
        <f t="shared" si="486"/>
        <v>210567.25196744999</v>
      </c>
      <c r="EC234" s="637">
        <f t="shared" si="487"/>
        <v>0</v>
      </c>
      <c r="ED234" s="637">
        <f t="shared" si="488"/>
        <v>0</v>
      </c>
      <c r="EE234" s="643">
        <f t="shared" si="489"/>
        <v>210567.25196744999</v>
      </c>
      <c r="EF234" s="637">
        <f t="shared" si="490"/>
        <v>0</v>
      </c>
      <c r="EG234" s="637">
        <f t="shared" si="491"/>
        <v>0</v>
      </c>
      <c r="EH234" s="637">
        <f t="shared" si="492"/>
        <v>0</v>
      </c>
      <c r="EI234" s="643">
        <f t="shared" si="493"/>
        <v>210567.25196744999</v>
      </c>
      <c r="EJ234" s="637">
        <f t="shared" si="494"/>
        <v>0</v>
      </c>
      <c r="EK234" s="637">
        <f t="shared" si="495"/>
        <v>0</v>
      </c>
      <c r="EL234" s="637">
        <f t="shared" si="496"/>
        <v>0</v>
      </c>
      <c r="EM234" s="643">
        <f t="shared" si="497"/>
        <v>210567.25196744999</v>
      </c>
      <c r="EN234" s="637">
        <f t="shared" si="498"/>
        <v>0</v>
      </c>
      <c r="EO234" s="637">
        <f t="shared" si="499"/>
        <v>0</v>
      </c>
      <c r="EP234" s="637">
        <f t="shared" si="500"/>
        <v>0</v>
      </c>
      <c r="EQ234" s="643">
        <f t="shared" si="501"/>
        <v>210567.25196744999</v>
      </c>
      <c r="ER234" s="637">
        <f t="shared" si="502"/>
        <v>0</v>
      </c>
      <c r="ES234" s="637">
        <f t="shared" si="503"/>
        <v>0</v>
      </c>
      <c r="ET234" s="637">
        <f t="shared" si="504"/>
        <v>0</v>
      </c>
      <c r="EU234" s="643">
        <f t="shared" si="477"/>
        <v>210567.25196744999</v>
      </c>
      <c r="EV234" s="643">
        <f t="shared" si="478"/>
        <v>0</v>
      </c>
      <c r="EX234" s="829">
        <f t="shared" si="479"/>
        <v>6100.8661333381315</v>
      </c>
      <c r="EY234" s="638">
        <f t="shared" si="480"/>
        <v>210567.25196744999</v>
      </c>
      <c r="FC234" s="830" t="str">
        <f t="shared" si="505"/>
        <v>Y</v>
      </c>
      <c r="FE234" s="830" t="str">
        <f>IFERROR(VLOOKUP($B234,'Historical Conc Grant Elig'!$B$3:$J$707,'HH &amp; SI'!FE$2,0),"N")</f>
        <v>Y</v>
      </c>
      <c r="FF234" s="830" t="str">
        <f>IFERROR(VLOOKUP($B234,'Historical Conc Grant Elig'!$B$3:$J$707,'HH &amp; SI'!FF$2,0),"N")</f>
        <v>Y</v>
      </c>
      <c r="FG234" s="830" t="str">
        <f>IFERROR(VLOOKUP($B234,'Historical Conc Grant Elig'!$B$3:$J$707,'HH &amp; SI'!FG$2,0),"N")</f>
        <v>Y</v>
      </c>
      <c r="FH234" s="830" t="str">
        <f>IFERROR(VLOOKUP($B234,'Historical Conc Grant Elig'!$B$3:$J$707,'HH &amp; SI'!FH$2,0),"N")</f>
        <v>Y</v>
      </c>
      <c r="FI234" s="830" t="str">
        <f>IFERROR(VLOOKUP($B234,'Historical Conc Grant Elig'!$B$3:$J$707,'HH &amp; SI'!FI$2,0),"N")</f>
        <v>Y</v>
      </c>
      <c r="FJ234" s="830" t="str">
        <f>IFERROR(VLOOKUP($B234,'Historical Conc Grant Elig'!$B$3:$J$707,'HH &amp; SI'!FJ$2,0),"N")</f>
        <v>Y</v>
      </c>
      <c r="FK234" s="830" t="str">
        <f>IFERROR(VLOOKUP($B234,'Historical Conc Grant Elig'!$B$3:$J$707,'HH &amp; SI'!FK$2,0),"N")</f>
        <v>Y</v>
      </c>
      <c r="FL234" s="957" t="str">
        <f>IFERROR(VLOOKUP($B234,'Historical Conc Grant Elig'!$B$3:$J$707,'HH &amp; SI'!FL$2,0),"N")</f>
        <v>Y</v>
      </c>
    </row>
    <row r="235" spans="2:168" x14ac:dyDescent="0.25">
      <c r="B235" s="634">
        <v>78705000</v>
      </c>
      <c r="C235" s="635" t="str">
        <f>VLOOKUP($B235,'Afton Update'!$A$5:$CR$582,'Afton Update'!D$589,0)</f>
        <v>Edkey, Inc. - Sequoia Choice Schools</v>
      </c>
      <c r="D235" s="636">
        <f>IFERROR(VLOOKUP($B235,'Afton FY16 Final'!$A$5:$BV$587,'Afton FY16 Final'!AQ$587,0),0)</f>
        <v>65459.582724519561</v>
      </c>
      <c r="E235" s="637">
        <f>IFERROR(VLOOKUP($B235,'Afton FY16 Final'!$A$5:$BV$587,'Afton FY16 Final'!AR$587,0),0)</f>
        <v>15199.51090793913</v>
      </c>
      <c r="F235" s="637">
        <f>IFERROR(VLOOKUP($B235,'Afton FY16 Final'!$A$5:$BV$587,'Afton FY16 Final'!AS$587,0),0)</f>
        <v>35525.684468759202</v>
      </c>
      <c r="G235" s="637">
        <f>IFERROR(VLOOKUP($B235,'Afton FY16 Final'!$A$5:$BV$587,'Afton FY16 Final'!AT$587,0),0)</f>
        <v>29829.437954059398</v>
      </c>
      <c r="H235" s="638">
        <f>IFERROR(VLOOKUP($B235,'Afton FY16 Final'!$A$5:$BV$587,'Afton FY16 Final'!AU$587,0),0)</f>
        <v>146014.2160552773</v>
      </c>
      <c r="I235" s="639" t="str">
        <f>VLOOKUP($B235,'Afton Update'!$A$5:$CR$582,'Afton Update'!BT$589,0)</f>
        <v>Y</v>
      </c>
      <c r="J235" s="640" t="str">
        <f>VLOOKUP($B235,'Afton Update'!$A$5:$CR$582,'Afton Update'!BU$589,0)</f>
        <v>Y</v>
      </c>
      <c r="K235" s="640" t="str">
        <f>VLOOKUP($B235,'Afton Update'!$A$5:$CR$582,'Afton Update'!BV$589,0)</f>
        <v>Y</v>
      </c>
      <c r="L235" s="641" t="str">
        <f>VLOOKUP($B235,'Afton Update'!$A$5:$CR$582,'Afton Update'!BW$589,0)</f>
        <v>Y</v>
      </c>
      <c r="N235" s="642">
        <f>VLOOKUP($B235,'Afton Update'!$A$5:$CR$582,'Afton Update'!CB$589,0)</f>
        <v>0.9</v>
      </c>
      <c r="P235" s="636">
        <f>VLOOKUP($B235,'Afton Update'!$A$5:$CR$582,'Afton Update'!AH$589,0)</f>
        <v>61227.427054823544</v>
      </c>
      <c r="Q235" s="637">
        <f>VLOOKUP($B235,'Afton Update'!$A$5:$CR$582,'Afton Update'!AI$589,0)</f>
        <v>14792.554836075255</v>
      </c>
      <c r="R235" s="637">
        <f>VLOOKUP($B235,'Afton Update'!$A$5:$CR$582,'Afton Update'!AJ$589,0)</f>
        <v>35859.426381464102</v>
      </c>
      <c r="S235" s="637">
        <f>VLOOKUP($B235,'Afton Update'!$A$5:$CR$582,'Afton Update'!AK$589,0)</f>
        <v>33380.415484531353</v>
      </c>
      <c r="T235" s="643">
        <f t="shared" si="506"/>
        <v>145259.82375689424</v>
      </c>
      <c r="V235" s="636">
        <f t="shared" si="532"/>
        <v>60392.245209297631</v>
      </c>
      <c r="W235" s="637">
        <f t="shared" si="533"/>
        <v>14305.34216276456</v>
      </c>
      <c r="X235" s="637">
        <f t="shared" si="534"/>
        <v>35533.298899308342</v>
      </c>
      <c r="Y235" s="637">
        <f t="shared" si="535"/>
        <v>33012.623393709066</v>
      </c>
      <c r="Z235" s="643">
        <f t="shared" si="536"/>
        <v>143243.50966507959</v>
      </c>
      <c r="AB235" s="644">
        <f t="shared" si="507"/>
        <v>61227.427054823544</v>
      </c>
      <c r="AC235" s="645">
        <f t="shared" si="481"/>
        <v>58913.624452067605</v>
      </c>
      <c r="AD235" s="644">
        <f t="shared" si="537"/>
        <v>0</v>
      </c>
      <c r="AE235" s="645">
        <f t="shared" si="538"/>
        <v>61227.427054823544</v>
      </c>
      <c r="AF235" s="646">
        <f t="shared" si="539"/>
        <v>-758.95996953117435</v>
      </c>
      <c r="AG235" s="647">
        <f t="shared" si="540"/>
        <v>60468.467085292366</v>
      </c>
      <c r="AH235" s="644">
        <f t="shared" si="508"/>
        <v>0</v>
      </c>
      <c r="AI235" s="645">
        <f t="shared" si="509"/>
        <v>60468.467085292366</v>
      </c>
      <c r="AJ235" s="646">
        <f t="shared" si="541"/>
        <v>-76.173315271648889</v>
      </c>
      <c r="AK235" s="647">
        <f t="shared" si="510"/>
        <v>60392.293770020719</v>
      </c>
      <c r="AL235" s="644">
        <f t="shared" si="542"/>
        <v>0</v>
      </c>
      <c r="AM235" s="645">
        <f t="shared" si="543"/>
        <v>60392.293770020719</v>
      </c>
      <c r="AN235" s="646">
        <f t="shared" si="544"/>
        <v>-4.8560723086309515E-2</v>
      </c>
      <c r="AO235" s="647">
        <f t="shared" si="511"/>
        <v>60392.245209297631</v>
      </c>
      <c r="AP235" s="644">
        <f t="shared" si="545"/>
        <v>0</v>
      </c>
      <c r="AQ235" s="645">
        <f t="shared" si="546"/>
        <v>60392.245209297631</v>
      </c>
      <c r="AR235" s="646">
        <f t="shared" si="547"/>
        <v>0</v>
      </c>
      <c r="AS235" s="647">
        <f t="shared" si="512"/>
        <v>60392.245209297631</v>
      </c>
      <c r="AT235" s="644">
        <f t="shared" si="548"/>
        <v>0</v>
      </c>
      <c r="AU235" s="645">
        <f t="shared" si="549"/>
        <v>60392.245209297631</v>
      </c>
      <c r="AV235" s="646">
        <f t="shared" si="550"/>
        <v>0</v>
      </c>
      <c r="AW235" s="647">
        <f t="shared" si="513"/>
        <v>60392.245209297631</v>
      </c>
      <c r="AY235" s="644">
        <f t="shared" si="551"/>
        <v>14792.554836075255</v>
      </c>
      <c r="AZ235" s="645">
        <f t="shared" si="482"/>
        <v>13679.559817145217</v>
      </c>
      <c r="BA235" s="644">
        <f t="shared" si="552"/>
        <v>0</v>
      </c>
      <c r="BB235" s="645">
        <f t="shared" si="553"/>
        <v>14792.554836075255</v>
      </c>
      <c r="BC235" s="646">
        <f t="shared" si="554"/>
        <v>-106.37757282704484</v>
      </c>
      <c r="BD235" s="647">
        <f t="shared" si="555"/>
        <v>14686.17726324821</v>
      </c>
      <c r="BE235" s="644">
        <f t="shared" si="514"/>
        <v>0</v>
      </c>
      <c r="BF235" s="645">
        <f t="shared" si="515"/>
        <v>14686.17726324821</v>
      </c>
      <c r="BG235" s="646">
        <f t="shared" si="556"/>
        <v>-349.81277403954908</v>
      </c>
      <c r="BH235" s="647">
        <f t="shared" si="516"/>
        <v>14336.364489208661</v>
      </c>
      <c r="BI235" s="644">
        <f t="shared" si="557"/>
        <v>0</v>
      </c>
      <c r="BJ235" s="645">
        <f t="shared" si="558"/>
        <v>14336.364489208661</v>
      </c>
      <c r="BK235" s="646">
        <f t="shared" si="559"/>
        <v>-30.367787198874545</v>
      </c>
      <c r="BL235" s="647">
        <f t="shared" si="517"/>
        <v>14305.996702009787</v>
      </c>
      <c r="BM235" s="644">
        <f t="shared" si="560"/>
        <v>0</v>
      </c>
      <c r="BN235" s="645">
        <f t="shared" si="561"/>
        <v>14305.996702009787</v>
      </c>
      <c r="BO235" s="646">
        <f t="shared" si="562"/>
        <v>-0.65453924522576212</v>
      </c>
      <c r="BP235" s="647">
        <f t="shared" si="518"/>
        <v>14305.34216276456</v>
      </c>
      <c r="BQ235" s="644">
        <f t="shared" si="563"/>
        <v>0</v>
      </c>
      <c r="BR235" s="645">
        <f t="shared" si="564"/>
        <v>14305.34216276456</v>
      </c>
      <c r="BS235" s="646">
        <f t="shared" si="565"/>
        <v>0</v>
      </c>
      <c r="BT235" s="647">
        <f t="shared" si="519"/>
        <v>14305.34216276456</v>
      </c>
      <c r="BU235" s="662">
        <f>VLOOKUP(B235,'Afton Update'!$A$5:$AR$582,'Afton Update'!$AO$589,0)-BT235</f>
        <v>0</v>
      </c>
      <c r="BV235" s="644">
        <f t="shared" si="566"/>
        <v>35859.426381464102</v>
      </c>
      <c r="BW235" s="645">
        <f t="shared" si="483"/>
        <v>31973.116021883281</v>
      </c>
      <c r="BX235" s="644">
        <f t="shared" si="567"/>
        <v>0</v>
      </c>
      <c r="BY235" s="645">
        <f t="shared" si="568"/>
        <v>35859.426381464102</v>
      </c>
      <c r="BZ235" s="646">
        <f t="shared" si="569"/>
        <v>-314.74199788173138</v>
      </c>
      <c r="CA235" s="647">
        <f t="shared" si="570"/>
        <v>35544.684383582367</v>
      </c>
      <c r="CB235" s="644">
        <f t="shared" si="520"/>
        <v>0</v>
      </c>
      <c r="CC235" s="645">
        <f t="shared" si="521"/>
        <v>35544.684383582367</v>
      </c>
      <c r="CD235" s="646">
        <f t="shared" si="571"/>
        <v>-11.385484274029213</v>
      </c>
      <c r="CE235" s="647">
        <f t="shared" si="522"/>
        <v>35533.298899308342</v>
      </c>
      <c r="CF235" s="644">
        <f t="shared" si="572"/>
        <v>0</v>
      </c>
      <c r="CG235" s="645">
        <f t="shared" si="573"/>
        <v>35533.298899308342</v>
      </c>
      <c r="CH235" s="646">
        <f t="shared" si="574"/>
        <v>0</v>
      </c>
      <c r="CI235" s="647">
        <f t="shared" si="523"/>
        <v>35533.298899308342</v>
      </c>
      <c r="CJ235" s="644">
        <f t="shared" si="575"/>
        <v>0</v>
      </c>
      <c r="CK235" s="645">
        <f t="shared" si="576"/>
        <v>35533.298899308342</v>
      </c>
      <c r="CL235" s="646">
        <f t="shared" si="577"/>
        <v>0</v>
      </c>
      <c r="CM235" s="647">
        <f t="shared" si="524"/>
        <v>35533.298899308342</v>
      </c>
      <c r="CN235" s="644">
        <f t="shared" si="578"/>
        <v>0</v>
      </c>
      <c r="CO235" s="645">
        <f t="shared" si="579"/>
        <v>35533.298899308342</v>
      </c>
      <c r="CP235" s="646">
        <f t="shared" si="580"/>
        <v>0</v>
      </c>
      <c r="CQ235" s="647">
        <f t="shared" si="525"/>
        <v>35533.298899308342</v>
      </c>
      <c r="CS235" s="644">
        <f t="shared" si="581"/>
        <v>33380.415484531353</v>
      </c>
      <c r="CT235" s="645">
        <f t="shared" si="484"/>
        <v>26846.494158653459</v>
      </c>
      <c r="CU235" s="644">
        <f t="shared" si="582"/>
        <v>0</v>
      </c>
      <c r="CV235" s="645">
        <f t="shared" si="583"/>
        <v>33380.415484531353</v>
      </c>
      <c r="CW235" s="646">
        <f t="shared" si="584"/>
        <v>-341.83431856794931</v>
      </c>
      <c r="CX235" s="647">
        <f t="shared" si="585"/>
        <v>33038.581165963406</v>
      </c>
      <c r="CY235" s="644">
        <f t="shared" si="526"/>
        <v>0</v>
      </c>
      <c r="CZ235" s="645">
        <f t="shared" si="527"/>
        <v>33038.581165963406</v>
      </c>
      <c r="DA235" s="646">
        <f t="shared" si="586"/>
        <v>-25.935406196813553</v>
      </c>
      <c r="DB235" s="647">
        <f t="shared" si="528"/>
        <v>33012.645759766594</v>
      </c>
      <c r="DC235" s="644">
        <f t="shared" si="587"/>
        <v>0</v>
      </c>
      <c r="DD235" s="645">
        <f t="shared" si="588"/>
        <v>33012.645759766594</v>
      </c>
      <c r="DE235" s="646">
        <f t="shared" si="589"/>
        <v>-2.2366057528426752E-2</v>
      </c>
      <c r="DF235" s="647">
        <f t="shared" si="529"/>
        <v>33012.623393709066</v>
      </c>
      <c r="DG235" s="644">
        <f t="shared" si="590"/>
        <v>0</v>
      </c>
      <c r="DH235" s="645">
        <f t="shared" si="591"/>
        <v>33012.623393709066</v>
      </c>
      <c r="DI235" s="646">
        <f t="shared" si="592"/>
        <v>0</v>
      </c>
      <c r="DJ235" s="647">
        <f t="shared" si="530"/>
        <v>33012.623393709066</v>
      </c>
      <c r="DK235" s="644">
        <f t="shared" si="593"/>
        <v>0</v>
      </c>
      <c r="DL235" s="645">
        <f t="shared" si="594"/>
        <v>33012.623393709066</v>
      </c>
      <c r="DM235" s="646">
        <f t="shared" si="595"/>
        <v>0</v>
      </c>
      <c r="DN235" s="647">
        <f t="shared" si="531"/>
        <v>33012.623393709066</v>
      </c>
      <c r="DR235" s="827">
        <f t="shared" si="485"/>
        <v>143243.50966507959</v>
      </c>
      <c r="DV235" s="828">
        <f>IFERROR(VLOOKUP($B235,'Afton FY16 Final'!$A$5:$BV$587,'Afton FY16 Final'!$BV$587,0),0)</f>
        <v>129635.8568233222</v>
      </c>
      <c r="DX235" s="636">
        <f t="shared" si="473"/>
        <v>143243.50966507959</v>
      </c>
      <c r="DY235" s="637">
        <f t="shared" si="474"/>
        <v>13607.652841757386</v>
      </c>
      <c r="DZ235" s="637">
        <f t="shared" si="475"/>
        <v>129635.8568233222</v>
      </c>
      <c r="EA235" s="643">
        <f t="shared" si="476"/>
        <v>135624.56033834416</v>
      </c>
      <c r="EB235" s="637">
        <f t="shared" si="486"/>
        <v>0</v>
      </c>
      <c r="EC235" s="637">
        <f t="shared" si="487"/>
        <v>135624.56033834416</v>
      </c>
      <c r="ED235" s="637">
        <f t="shared" si="488"/>
        <v>135220.13599724931</v>
      </c>
      <c r="EE235" s="643">
        <f t="shared" si="489"/>
        <v>135220.13599724931</v>
      </c>
      <c r="EF235" s="637">
        <f t="shared" si="490"/>
        <v>0</v>
      </c>
      <c r="EG235" s="637">
        <f t="shared" si="491"/>
        <v>135220.13599724931</v>
      </c>
      <c r="EH235" s="637">
        <f t="shared" si="492"/>
        <v>135219.99649591302</v>
      </c>
      <c r="EI235" s="643">
        <f t="shared" si="493"/>
        <v>135219.99649591302</v>
      </c>
      <c r="EJ235" s="637">
        <f t="shared" si="494"/>
        <v>0</v>
      </c>
      <c r="EK235" s="637">
        <f t="shared" si="495"/>
        <v>135219.99649591302</v>
      </c>
      <c r="EL235" s="637">
        <f t="shared" si="496"/>
        <v>135219.99649591281</v>
      </c>
      <c r="EM235" s="643">
        <f t="shared" si="497"/>
        <v>135219.99649591281</v>
      </c>
      <c r="EN235" s="637">
        <f t="shared" si="498"/>
        <v>0</v>
      </c>
      <c r="EO235" s="637">
        <f t="shared" si="499"/>
        <v>135219.99649591281</v>
      </c>
      <c r="EP235" s="637">
        <f t="shared" si="500"/>
        <v>135219.99649591302</v>
      </c>
      <c r="EQ235" s="643">
        <f t="shared" si="501"/>
        <v>135219.99649591302</v>
      </c>
      <c r="ER235" s="637">
        <f t="shared" si="502"/>
        <v>0</v>
      </c>
      <c r="ES235" s="637">
        <f t="shared" si="503"/>
        <v>135219.99649591302</v>
      </c>
      <c r="ET235" s="637">
        <f t="shared" si="504"/>
        <v>135219.99649591281</v>
      </c>
      <c r="EU235" s="643">
        <f t="shared" si="477"/>
        <v>135219.99649591281</v>
      </c>
      <c r="EV235" s="643">
        <f t="shared" si="478"/>
        <v>0</v>
      </c>
      <c r="EX235" s="829">
        <f t="shared" si="479"/>
        <v>8023.5131691667775</v>
      </c>
      <c r="EY235" s="638">
        <f t="shared" si="480"/>
        <v>135219.99649591281</v>
      </c>
      <c r="FC235" s="830" t="str">
        <f t="shared" si="505"/>
        <v>Y</v>
      </c>
      <c r="FE235" s="830" t="str">
        <f>IFERROR(VLOOKUP($B235,'Historical Conc Grant Elig'!$B$3:$J$707,'HH &amp; SI'!FE$2,0),"N")</f>
        <v>N</v>
      </c>
      <c r="FF235" s="830" t="str">
        <f>IFERROR(VLOOKUP($B235,'Historical Conc Grant Elig'!$B$3:$J$707,'HH &amp; SI'!FF$2,0),"N")</f>
        <v>N</v>
      </c>
      <c r="FG235" s="830" t="str">
        <f>IFERROR(VLOOKUP($B235,'Historical Conc Grant Elig'!$B$3:$J$707,'HH &amp; SI'!FG$2,0),"N")</f>
        <v>N</v>
      </c>
      <c r="FH235" s="830" t="str">
        <f>IFERROR(VLOOKUP($B235,'Historical Conc Grant Elig'!$B$3:$J$707,'HH &amp; SI'!FH$2,0),"N")</f>
        <v>N</v>
      </c>
      <c r="FI235" s="830" t="str">
        <f>IFERROR(VLOOKUP($B235,'Historical Conc Grant Elig'!$B$3:$J$707,'HH &amp; SI'!FI$2,0),"N")</f>
        <v>Y</v>
      </c>
      <c r="FJ235" s="830" t="str">
        <f>IFERROR(VLOOKUP($B235,'Historical Conc Grant Elig'!$B$3:$J$707,'HH &amp; SI'!FJ$2,0),"N")</f>
        <v>Y</v>
      </c>
      <c r="FK235" s="830" t="str">
        <f>IFERROR(VLOOKUP($B235,'Historical Conc Grant Elig'!$B$3:$J$707,'HH &amp; SI'!FK$2,0),"N")</f>
        <v>Y</v>
      </c>
      <c r="FL235" s="957" t="str">
        <f>IFERROR(VLOOKUP($B235,'Historical Conc Grant Elig'!$B$3:$J$707,'HH &amp; SI'!FL$2,0),"N")</f>
        <v>Y</v>
      </c>
    </row>
    <row r="236" spans="2:168" x14ac:dyDescent="0.25">
      <c r="B236" s="634">
        <v>78707000</v>
      </c>
      <c r="C236" s="635" t="str">
        <f>VLOOKUP($B236,'Afton Update'!$A$5:$CR$582,'Afton Update'!D$589,0)</f>
        <v>Arizona Agribusiness &amp; Equine Center  Inc.</v>
      </c>
      <c r="D236" s="636">
        <f>IFERROR(VLOOKUP($B236,'Afton FY16 Final'!$A$5:$BV$587,'Afton FY16 Final'!AQ$587,0),0)</f>
        <v>21351.824423656406</v>
      </c>
      <c r="E236" s="637">
        <f>IFERROR(VLOOKUP($B236,'Afton FY16 Final'!$A$5:$BV$587,'Afton FY16 Final'!AR$587,0),0)</f>
        <v>4666.1130725312678</v>
      </c>
      <c r="F236" s="637">
        <f>IFERROR(VLOOKUP($B236,'Afton FY16 Final'!$A$5:$BV$587,'Afton FY16 Final'!AS$587,0),0)</f>
        <v>11587.88592495921</v>
      </c>
      <c r="G236" s="637">
        <f>IFERROR(VLOOKUP($B236,'Afton FY16 Final'!$A$5:$BV$587,'Afton FY16 Final'!AT$587,0),0)</f>
        <v>10081.490415236085</v>
      </c>
      <c r="H236" s="638">
        <f>IFERROR(VLOOKUP($B236,'Afton FY16 Final'!$A$5:$BV$587,'Afton FY16 Final'!AU$587,0),0)</f>
        <v>47687.313836382964</v>
      </c>
      <c r="I236" s="639" t="str">
        <f>VLOOKUP($B236,'Afton Update'!$A$5:$CR$582,'Afton Update'!BT$589,0)</f>
        <v>Y</v>
      </c>
      <c r="J236" s="640" t="str">
        <f>VLOOKUP($B236,'Afton Update'!$A$5:$CR$582,'Afton Update'!BU$589,0)</f>
        <v>N</v>
      </c>
      <c r="K236" s="640" t="str">
        <f>VLOOKUP($B236,'Afton Update'!$A$5:$CR$582,'Afton Update'!BV$589,0)</f>
        <v>Y</v>
      </c>
      <c r="L236" s="641" t="str">
        <f>VLOOKUP($B236,'Afton Update'!$A$5:$CR$582,'Afton Update'!BW$589,0)</f>
        <v>Y</v>
      </c>
      <c r="N236" s="642">
        <f>VLOOKUP($B236,'Afton Update'!$A$5:$CR$582,'Afton Update'!CB$589,0)</f>
        <v>0.85</v>
      </c>
      <c r="P236" s="636">
        <f>VLOOKUP($B236,'Afton Update'!$A$5:$CR$582,'Afton Update'!AH$589,0)</f>
        <v>15067.687126772982</v>
      </c>
      <c r="Q236" s="637" t="str">
        <f>VLOOKUP($B236,'Afton Update'!$A$5:$CR$582,'Afton Update'!AI$589,0)</f>
        <v/>
      </c>
      <c r="R236" s="637">
        <f>VLOOKUP($B236,'Afton Update'!$A$5:$CR$582,'Afton Update'!AJ$589,0)</f>
        <v>8843.8851818740186</v>
      </c>
      <c r="S236" s="637">
        <f>VLOOKUP($B236,'Afton Update'!$A$5:$CR$582,'Afton Update'!AK$589,0)</f>
        <v>8232.4953759171804</v>
      </c>
      <c r="T236" s="643">
        <f t="shared" si="506"/>
        <v>32144.067684564183</v>
      </c>
      <c r="V236" s="636">
        <f t="shared" si="532"/>
        <v>18149.050760107944</v>
      </c>
      <c r="W236" s="637">
        <f t="shared" si="533"/>
        <v>3966.1961116515777</v>
      </c>
      <c r="X236" s="637">
        <f t="shared" si="534"/>
        <v>9849.7030362153273</v>
      </c>
      <c r="Y236" s="637">
        <f t="shared" si="535"/>
        <v>8569.2668529506718</v>
      </c>
      <c r="Z236" s="643">
        <f t="shared" si="536"/>
        <v>40534.216760925519</v>
      </c>
      <c r="AB236" s="644">
        <f t="shared" si="507"/>
        <v>15067.687126772982</v>
      </c>
      <c r="AC236" s="645">
        <f t="shared" si="481"/>
        <v>18149.050760107944</v>
      </c>
      <c r="AD236" s="644">
        <f t="shared" si="537"/>
        <v>3081.3636333349623</v>
      </c>
      <c r="AE236" s="645">
        <f t="shared" si="538"/>
        <v>0</v>
      </c>
      <c r="AF236" s="646">
        <f t="shared" si="539"/>
        <v>0</v>
      </c>
      <c r="AG236" s="647">
        <f t="shared" si="540"/>
        <v>18149.050760107944</v>
      </c>
      <c r="AH236" s="644">
        <f t="shared" si="508"/>
        <v>0</v>
      </c>
      <c r="AI236" s="645">
        <f t="shared" si="509"/>
        <v>0</v>
      </c>
      <c r="AJ236" s="646">
        <f t="shared" si="541"/>
        <v>0</v>
      </c>
      <c r="AK236" s="647">
        <f t="shared" si="510"/>
        <v>18149.050760107944</v>
      </c>
      <c r="AL236" s="644">
        <f t="shared" si="542"/>
        <v>0</v>
      </c>
      <c r="AM236" s="645">
        <f t="shared" si="543"/>
        <v>0</v>
      </c>
      <c r="AN236" s="646">
        <f t="shared" si="544"/>
        <v>0</v>
      </c>
      <c r="AO236" s="647">
        <f t="shared" si="511"/>
        <v>18149.050760107944</v>
      </c>
      <c r="AP236" s="644">
        <f t="shared" si="545"/>
        <v>0</v>
      </c>
      <c r="AQ236" s="645">
        <f t="shared" si="546"/>
        <v>0</v>
      </c>
      <c r="AR236" s="646">
        <f t="shared" si="547"/>
        <v>0</v>
      </c>
      <c r="AS236" s="647">
        <f t="shared" si="512"/>
        <v>18149.050760107944</v>
      </c>
      <c r="AT236" s="644">
        <f t="shared" si="548"/>
        <v>0</v>
      </c>
      <c r="AU236" s="645">
        <f t="shared" si="549"/>
        <v>0</v>
      </c>
      <c r="AV236" s="646">
        <f t="shared" si="550"/>
        <v>0</v>
      </c>
      <c r="AW236" s="647">
        <f t="shared" si="513"/>
        <v>18149.050760107944</v>
      </c>
      <c r="AY236" s="644">
        <f t="shared" si="551"/>
        <v>0</v>
      </c>
      <c r="AZ236" s="645">
        <f t="shared" si="482"/>
        <v>3966.1961116515777</v>
      </c>
      <c r="BA236" s="644">
        <f t="shared" si="552"/>
        <v>0</v>
      </c>
      <c r="BB236" s="645">
        <f t="shared" si="553"/>
        <v>0</v>
      </c>
      <c r="BC236" s="646">
        <f t="shared" si="554"/>
        <v>0</v>
      </c>
      <c r="BD236" s="647">
        <f t="shared" si="555"/>
        <v>0</v>
      </c>
      <c r="BE236" s="644">
        <f t="shared" si="514"/>
        <v>-3966.1961116515777</v>
      </c>
      <c r="BF236" s="645">
        <f t="shared" si="515"/>
        <v>0</v>
      </c>
      <c r="BG236" s="646">
        <f t="shared" si="556"/>
        <v>0</v>
      </c>
      <c r="BH236" s="647">
        <f t="shared" si="516"/>
        <v>3966.1961116515777</v>
      </c>
      <c r="BI236" s="644">
        <f t="shared" si="557"/>
        <v>0</v>
      </c>
      <c r="BJ236" s="645">
        <f t="shared" si="558"/>
        <v>0</v>
      </c>
      <c r="BK236" s="646">
        <f t="shared" si="559"/>
        <v>0</v>
      </c>
      <c r="BL236" s="647">
        <f t="shared" si="517"/>
        <v>3966.1961116515777</v>
      </c>
      <c r="BM236" s="644">
        <f t="shared" si="560"/>
        <v>0</v>
      </c>
      <c r="BN236" s="645">
        <f t="shared" si="561"/>
        <v>0</v>
      </c>
      <c r="BO236" s="646">
        <f t="shared" si="562"/>
        <v>0</v>
      </c>
      <c r="BP236" s="647">
        <f t="shared" si="518"/>
        <v>3966.1961116515777</v>
      </c>
      <c r="BQ236" s="644">
        <f t="shared" si="563"/>
        <v>0</v>
      </c>
      <c r="BR236" s="645">
        <f t="shared" si="564"/>
        <v>0</v>
      </c>
      <c r="BS236" s="646">
        <f t="shared" si="565"/>
        <v>0</v>
      </c>
      <c r="BT236" s="647">
        <f t="shared" si="519"/>
        <v>3966.1961116515777</v>
      </c>
      <c r="BU236" s="662">
        <f>VLOOKUP(B236,'Afton Update'!$A$5:$AR$582,'Afton Update'!$AO$589,0)-BT236</f>
        <v>0</v>
      </c>
      <c r="BV236" s="644">
        <f t="shared" si="566"/>
        <v>8843.8851818740186</v>
      </c>
      <c r="BW236" s="645">
        <f t="shared" si="483"/>
        <v>9849.7030362153273</v>
      </c>
      <c r="BX236" s="644">
        <f t="shared" si="567"/>
        <v>1005.8178543413087</v>
      </c>
      <c r="BY236" s="645">
        <f t="shared" si="568"/>
        <v>0</v>
      </c>
      <c r="BZ236" s="646">
        <f t="shared" si="569"/>
        <v>0</v>
      </c>
      <c r="CA236" s="647">
        <f t="shared" si="570"/>
        <v>9849.7030362153273</v>
      </c>
      <c r="CB236" s="644">
        <f t="shared" si="520"/>
        <v>0</v>
      </c>
      <c r="CC236" s="645">
        <f t="shared" si="521"/>
        <v>0</v>
      </c>
      <c r="CD236" s="646">
        <f t="shared" si="571"/>
        <v>0</v>
      </c>
      <c r="CE236" s="647">
        <f t="shared" si="522"/>
        <v>9849.7030362153273</v>
      </c>
      <c r="CF236" s="644">
        <f t="shared" si="572"/>
        <v>0</v>
      </c>
      <c r="CG236" s="645">
        <f t="shared" si="573"/>
        <v>0</v>
      </c>
      <c r="CH236" s="646">
        <f t="shared" si="574"/>
        <v>0</v>
      </c>
      <c r="CI236" s="647">
        <f t="shared" si="523"/>
        <v>9849.7030362153273</v>
      </c>
      <c r="CJ236" s="644">
        <f t="shared" si="575"/>
        <v>0</v>
      </c>
      <c r="CK236" s="645">
        <f t="shared" si="576"/>
        <v>0</v>
      </c>
      <c r="CL236" s="646">
        <f t="shared" si="577"/>
        <v>0</v>
      </c>
      <c r="CM236" s="647">
        <f t="shared" si="524"/>
        <v>9849.7030362153273</v>
      </c>
      <c r="CN236" s="644">
        <f t="shared" si="578"/>
        <v>0</v>
      </c>
      <c r="CO236" s="645">
        <f t="shared" si="579"/>
        <v>0</v>
      </c>
      <c r="CP236" s="646">
        <f t="shared" si="580"/>
        <v>0</v>
      </c>
      <c r="CQ236" s="647">
        <f t="shared" si="525"/>
        <v>9849.7030362153273</v>
      </c>
      <c r="CS236" s="644">
        <f t="shared" si="581"/>
        <v>8232.4953759171804</v>
      </c>
      <c r="CT236" s="645">
        <f t="shared" si="484"/>
        <v>8569.2668529506718</v>
      </c>
      <c r="CU236" s="644">
        <f t="shared" si="582"/>
        <v>336.77147703349146</v>
      </c>
      <c r="CV236" s="645">
        <f t="shared" si="583"/>
        <v>0</v>
      </c>
      <c r="CW236" s="646">
        <f t="shared" si="584"/>
        <v>0</v>
      </c>
      <c r="CX236" s="647">
        <f t="shared" si="585"/>
        <v>8569.2668529506718</v>
      </c>
      <c r="CY236" s="644">
        <f t="shared" si="526"/>
        <v>0</v>
      </c>
      <c r="CZ236" s="645">
        <f t="shared" si="527"/>
        <v>0</v>
      </c>
      <c r="DA236" s="646">
        <f t="shared" si="586"/>
        <v>0</v>
      </c>
      <c r="DB236" s="647">
        <f t="shared" si="528"/>
        <v>8569.2668529506718</v>
      </c>
      <c r="DC236" s="644">
        <f t="shared" si="587"/>
        <v>0</v>
      </c>
      <c r="DD236" s="645">
        <f t="shared" si="588"/>
        <v>0</v>
      </c>
      <c r="DE236" s="646">
        <f t="shared" si="589"/>
        <v>0</v>
      </c>
      <c r="DF236" s="647">
        <f t="shared" si="529"/>
        <v>8569.2668529506718</v>
      </c>
      <c r="DG236" s="644">
        <f t="shared" si="590"/>
        <v>0</v>
      </c>
      <c r="DH236" s="645">
        <f t="shared" si="591"/>
        <v>0</v>
      </c>
      <c r="DI236" s="646">
        <f t="shared" si="592"/>
        <v>0</v>
      </c>
      <c r="DJ236" s="647">
        <f t="shared" si="530"/>
        <v>8569.2668529506718</v>
      </c>
      <c r="DK236" s="644">
        <f t="shared" si="593"/>
        <v>0</v>
      </c>
      <c r="DL236" s="645">
        <f t="shared" si="594"/>
        <v>0</v>
      </c>
      <c r="DM236" s="646">
        <f t="shared" si="595"/>
        <v>0</v>
      </c>
      <c r="DN236" s="647">
        <f t="shared" si="531"/>
        <v>8569.2668529506718</v>
      </c>
      <c r="DR236" s="827">
        <f t="shared" si="485"/>
        <v>40534.216760925519</v>
      </c>
      <c r="DV236" s="828">
        <f>IFERROR(VLOOKUP($B236,'Afton FY16 Final'!$A$5:$BV$587,'Afton FY16 Final'!$BV$587,0),0)</f>
        <v>46748.350634842027</v>
      </c>
      <c r="DX236" s="636">
        <f t="shared" si="473"/>
        <v>0</v>
      </c>
      <c r="DY236" s="637">
        <f t="shared" si="474"/>
        <v>0</v>
      </c>
      <c r="DZ236" s="637">
        <f t="shared" si="475"/>
        <v>0</v>
      </c>
      <c r="EA236" s="643">
        <f t="shared" si="476"/>
        <v>0</v>
      </c>
      <c r="EB236" s="637">
        <f t="shared" si="486"/>
        <v>0</v>
      </c>
      <c r="EC236" s="637">
        <f t="shared" si="487"/>
        <v>0</v>
      </c>
      <c r="ED236" s="637">
        <f t="shared" si="488"/>
        <v>0</v>
      </c>
      <c r="EE236" s="643">
        <f t="shared" si="489"/>
        <v>0</v>
      </c>
      <c r="EF236" s="637">
        <f t="shared" si="490"/>
        <v>0</v>
      </c>
      <c r="EG236" s="637">
        <f t="shared" si="491"/>
        <v>0</v>
      </c>
      <c r="EH236" s="637">
        <f t="shared" si="492"/>
        <v>0</v>
      </c>
      <c r="EI236" s="643">
        <f t="shared" si="493"/>
        <v>0</v>
      </c>
      <c r="EJ236" s="637">
        <f t="shared" si="494"/>
        <v>0</v>
      </c>
      <c r="EK236" s="637">
        <f t="shared" si="495"/>
        <v>0</v>
      </c>
      <c r="EL236" s="637">
        <f t="shared" si="496"/>
        <v>0</v>
      </c>
      <c r="EM236" s="643">
        <f t="shared" si="497"/>
        <v>0</v>
      </c>
      <c r="EN236" s="637">
        <f t="shared" si="498"/>
        <v>0</v>
      </c>
      <c r="EO236" s="637">
        <f t="shared" si="499"/>
        <v>0</v>
      </c>
      <c r="EP236" s="637">
        <f t="shared" si="500"/>
        <v>0</v>
      </c>
      <c r="EQ236" s="643">
        <f t="shared" si="501"/>
        <v>0</v>
      </c>
      <c r="ER236" s="637">
        <f t="shared" si="502"/>
        <v>0</v>
      </c>
      <c r="ES236" s="637">
        <f t="shared" si="503"/>
        <v>0</v>
      </c>
      <c r="ET236" s="637">
        <f t="shared" si="504"/>
        <v>0</v>
      </c>
      <c r="EU236" s="643">
        <f t="shared" si="477"/>
        <v>0</v>
      </c>
      <c r="EV236" s="643">
        <f t="shared" si="478"/>
        <v>0</v>
      </c>
      <c r="EX236" s="829">
        <f t="shared" si="479"/>
        <v>0</v>
      </c>
      <c r="EY236" s="638">
        <f t="shared" si="480"/>
        <v>40534.216760925519</v>
      </c>
      <c r="FC236" s="830" t="str">
        <f t="shared" si="505"/>
        <v>Y</v>
      </c>
      <c r="FE236" s="830" t="str">
        <f>IFERROR(VLOOKUP($B236,'Historical Conc Grant Elig'!$B$3:$J$707,'HH &amp; SI'!FE$2,0),"N")</f>
        <v>N</v>
      </c>
      <c r="FF236" s="830" t="str">
        <f>IFERROR(VLOOKUP($B236,'Historical Conc Grant Elig'!$B$3:$J$707,'HH &amp; SI'!FF$2,0),"N")</f>
        <v>N</v>
      </c>
      <c r="FG236" s="830" t="str">
        <f>IFERROR(VLOOKUP($B236,'Historical Conc Grant Elig'!$B$3:$J$707,'HH &amp; SI'!FG$2,0),"N")</f>
        <v>N</v>
      </c>
      <c r="FH236" s="830" t="str">
        <f>IFERROR(VLOOKUP($B236,'Historical Conc Grant Elig'!$B$3:$J$707,'HH &amp; SI'!FH$2,0),"N")</f>
        <v>N</v>
      </c>
      <c r="FI236" s="830" t="str">
        <f>IFERROR(VLOOKUP($B236,'Historical Conc Grant Elig'!$B$3:$J$707,'HH &amp; SI'!FI$2,0),"N")</f>
        <v>N</v>
      </c>
      <c r="FJ236" s="830" t="str">
        <f>IFERROR(VLOOKUP($B236,'Historical Conc Grant Elig'!$B$3:$J$707,'HH &amp; SI'!FJ$2,0),"N")</f>
        <v>Y</v>
      </c>
      <c r="FK236" s="830" t="str">
        <f>IFERROR(VLOOKUP($B236,'Historical Conc Grant Elig'!$B$3:$J$707,'HH &amp; SI'!FK$2,0),"N")</f>
        <v>N</v>
      </c>
      <c r="FL236" s="957" t="str">
        <f>IFERROR(VLOOKUP($B236,'Historical Conc Grant Elig'!$B$3:$J$707,'HH &amp; SI'!FL$2,0),"N")</f>
        <v>N</v>
      </c>
    </row>
    <row r="237" spans="2:168" x14ac:dyDescent="0.25">
      <c r="B237" s="634">
        <v>78708000</v>
      </c>
      <c r="C237" s="635" t="str">
        <f>VLOOKUP($B237,'Afton Update'!$A$5:$CR$582,'Afton Update'!D$589,0)</f>
        <v>Genesis Program  Inc.</v>
      </c>
      <c r="D237" s="636">
        <f>IFERROR(VLOOKUP($B237,'Afton FY16 Final'!$A$5:$BV$587,'Afton FY16 Final'!AQ$587,0),0)</f>
        <v>23248.932307564501</v>
      </c>
      <c r="E237" s="637">
        <f>IFERROR(VLOOKUP($B237,'Afton FY16 Final'!$A$5:$BV$587,'Afton FY16 Final'!AR$587,0),0)</f>
        <v>6629.9559536890474</v>
      </c>
      <c r="F237" s="637">
        <f>IFERROR(VLOOKUP($B237,'Afton FY16 Final'!$A$5:$BV$587,'Afton FY16 Final'!AS$587,0),0)</f>
        <v>12617.468658025871</v>
      </c>
      <c r="G237" s="637">
        <f>IFERROR(VLOOKUP($B237,'Afton FY16 Final'!$A$5:$BV$587,'Afton FY16 Final'!AT$587,0),0)</f>
        <v>10594.363039024576</v>
      </c>
      <c r="H237" s="638">
        <f>IFERROR(VLOOKUP($B237,'Afton FY16 Final'!$A$5:$BV$587,'Afton FY16 Final'!AU$587,0),0)</f>
        <v>53090.719958303998</v>
      </c>
      <c r="I237" s="639" t="str">
        <f>VLOOKUP($B237,'Afton Update'!$A$5:$CR$582,'Afton Update'!BT$589,0)</f>
        <v>Y</v>
      </c>
      <c r="J237" s="640" t="str">
        <f>VLOOKUP($B237,'Afton Update'!$A$5:$CR$582,'Afton Update'!BU$589,0)</f>
        <v>Y</v>
      </c>
      <c r="K237" s="640" t="str">
        <f>VLOOKUP($B237,'Afton Update'!$A$5:$CR$582,'Afton Update'!BV$589,0)</f>
        <v>Y</v>
      </c>
      <c r="L237" s="641" t="str">
        <f>VLOOKUP($B237,'Afton Update'!$A$5:$CR$582,'Afton Update'!BW$589,0)</f>
        <v>Y</v>
      </c>
      <c r="N237" s="642">
        <f>VLOOKUP($B237,'Afton Update'!$A$5:$CR$582,'Afton Update'!CB$589,0)</f>
        <v>0.95</v>
      </c>
      <c r="P237" s="636">
        <f>VLOOKUP($B237,'Afton Update'!$A$5:$CR$582,'Afton Update'!AH$589,0)</f>
        <v>11719.31220971232</v>
      </c>
      <c r="Q237" s="637">
        <f>VLOOKUP($B237,'Afton Update'!$A$5:$CR$582,'Afton Update'!AI$589,0)</f>
        <v>4554.3563016158005</v>
      </c>
      <c r="R237" s="637">
        <f>VLOOKUP($B237,'Afton Update'!$A$5:$CR$582,'Afton Update'!AJ$589,0)</f>
        <v>6884.208618173182</v>
      </c>
      <c r="S237" s="637">
        <f>VLOOKUP($B237,'Afton Update'!$A$5:$CR$582,'Afton Update'!AK$589,0)</f>
        <v>6408.2939172612296</v>
      </c>
      <c r="T237" s="643">
        <f t="shared" si="506"/>
        <v>29566.171046762531</v>
      </c>
      <c r="V237" s="636">
        <f t="shared" si="532"/>
        <v>22086.485692186274</v>
      </c>
      <c r="W237" s="637">
        <f t="shared" si="533"/>
        <v>6298.4581560045945</v>
      </c>
      <c r="X237" s="637">
        <f t="shared" si="534"/>
        <v>11986.595225124576</v>
      </c>
      <c r="Y237" s="637">
        <f t="shared" si="535"/>
        <v>10064.644887073347</v>
      </c>
      <c r="Z237" s="643">
        <f t="shared" si="536"/>
        <v>50436.183960388793</v>
      </c>
      <c r="AB237" s="644">
        <f t="shared" si="507"/>
        <v>11719.31220971232</v>
      </c>
      <c r="AC237" s="645">
        <f t="shared" si="481"/>
        <v>22086.485692186274</v>
      </c>
      <c r="AD237" s="644">
        <f t="shared" si="537"/>
        <v>10367.173482473954</v>
      </c>
      <c r="AE237" s="645">
        <f t="shared" si="538"/>
        <v>0</v>
      </c>
      <c r="AF237" s="646">
        <f t="shared" si="539"/>
        <v>0</v>
      </c>
      <c r="AG237" s="647">
        <f t="shared" si="540"/>
        <v>22086.485692186274</v>
      </c>
      <c r="AH237" s="644">
        <f t="shared" si="508"/>
        <v>0</v>
      </c>
      <c r="AI237" s="645">
        <f t="shared" si="509"/>
        <v>0</v>
      </c>
      <c r="AJ237" s="646">
        <f t="shared" si="541"/>
        <v>0</v>
      </c>
      <c r="AK237" s="647">
        <f t="shared" si="510"/>
        <v>22086.485692186274</v>
      </c>
      <c r="AL237" s="644">
        <f t="shared" si="542"/>
        <v>0</v>
      </c>
      <c r="AM237" s="645">
        <f t="shared" si="543"/>
        <v>0</v>
      </c>
      <c r="AN237" s="646">
        <f t="shared" si="544"/>
        <v>0</v>
      </c>
      <c r="AO237" s="647">
        <f t="shared" si="511"/>
        <v>22086.485692186274</v>
      </c>
      <c r="AP237" s="644">
        <f t="shared" si="545"/>
        <v>0</v>
      </c>
      <c r="AQ237" s="645">
        <f t="shared" si="546"/>
        <v>0</v>
      </c>
      <c r="AR237" s="646">
        <f t="shared" si="547"/>
        <v>0</v>
      </c>
      <c r="AS237" s="647">
        <f t="shared" si="512"/>
        <v>22086.485692186274</v>
      </c>
      <c r="AT237" s="644">
        <f t="shared" si="548"/>
        <v>0</v>
      </c>
      <c r="AU237" s="645">
        <f t="shared" si="549"/>
        <v>0</v>
      </c>
      <c r="AV237" s="646">
        <f t="shared" si="550"/>
        <v>0</v>
      </c>
      <c r="AW237" s="647">
        <f t="shared" si="513"/>
        <v>22086.485692186274</v>
      </c>
      <c r="AY237" s="644">
        <f t="shared" si="551"/>
        <v>4554.3563016158005</v>
      </c>
      <c r="AZ237" s="645">
        <f t="shared" si="482"/>
        <v>6298.4581560045945</v>
      </c>
      <c r="BA237" s="644">
        <f t="shared" si="552"/>
        <v>1744.101854388794</v>
      </c>
      <c r="BB237" s="645">
        <f t="shared" si="553"/>
        <v>0</v>
      </c>
      <c r="BC237" s="646">
        <f t="shared" si="554"/>
        <v>0</v>
      </c>
      <c r="BD237" s="647">
        <f t="shared" si="555"/>
        <v>6298.4581560045945</v>
      </c>
      <c r="BE237" s="644">
        <f t="shared" si="514"/>
        <v>0</v>
      </c>
      <c r="BF237" s="645">
        <f t="shared" si="515"/>
        <v>0</v>
      </c>
      <c r="BG237" s="646">
        <f t="shared" si="556"/>
        <v>0</v>
      </c>
      <c r="BH237" s="647">
        <f t="shared" si="516"/>
        <v>6298.4581560045945</v>
      </c>
      <c r="BI237" s="644">
        <f t="shared" si="557"/>
        <v>0</v>
      </c>
      <c r="BJ237" s="645">
        <f t="shared" si="558"/>
        <v>0</v>
      </c>
      <c r="BK237" s="646">
        <f t="shared" si="559"/>
        <v>0</v>
      </c>
      <c r="BL237" s="647">
        <f t="shared" si="517"/>
        <v>6298.4581560045945</v>
      </c>
      <c r="BM237" s="644">
        <f t="shared" si="560"/>
        <v>0</v>
      </c>
      <c r="BN237" s="645">
        <f t="shared" si="561"/>
        <v>0</v>
      </c>
      <c r="BO237" s="646">
        <f t="shared" si="562"/>
        <v>0</v>
      </c>
      <c r="BP237" s="647">
        <f t="shared" si="518"/>
        <v>6298.4581560045945</v>
      </c>
      <c r="BQ237" s="644">
        <f t="shared" si="563"/>
        <v>0</v>
      </c>
      <c r="BR237" s="645">
        <f t="shared" si="564"/>
        <v>0</v>
      </c>
      <c r="BS237" s="646">
        <f t="shared" si="565"/>
        <v>0</v>
      </c>
      <c r="BT237" s="647">
        <f t="shared" si="519"/>
        <v>6298.4581560045945</v>
      </c>
      <c r="BU237" s="662">
        <f>VLOOKUP(B237,'Afton Update'!$A$5:$AR$582,'Afton Update'!$AO$589,0)-BT237</f>
        <v>0</v>
      </c>
      <c r="BV237" s="644">
        <f t="shared" si="566"/>
        <v>6884.208618173182</v>
      </c>
      <c r="BW237" s="645">
        <f t="shared" si="483"/>
        <v>11986.595225124576</v>
      </c>
      <c r="BX237" s="644">
        <f t="shared" si="567"/>
        <v>5102.3866069513942</v>
      </c>
      <c r="BY237" s="645">
        <f t="shared" si="568"/>
        <v>0</v>
      </c>
      <c r="BZ237" s="646">
        <f t="shared" si="569"/>
        <v>0</v>
      </c>
      <c r="CA237" s="647">
        <f t="shared" si="570"/>
        <v>11986.595225124576</v>
      </c>
      <c r="CB237" s="644">
        <f t="shared" si="520"/>
        <v>0</v>
      </c>
      <c r="CC237" s="645">
        <f t="shared" si="521"/>
        <v>0</v>
      </c>
      <c r="CD237" s="646">
        <f t="shared" si="571"/>
        <v>0</v>
      </c>
      <c r="CE237" s="647">
        <f t="shared" si="522"/>
        <v>11986.595225124576</v>
      </c>
      <c r="CF237" s="644">
        <f t="shared" si="572"/>
        <v>0</v>
      </c>
      <c r="CG237" s="645">
        <f t="shared" si="573"/>
        <v>0</v>
      </c>
      <c r="CH237" s="646">
        <f t="shared" si="574"/>
        <v>0</v>
      </c>
      <c r="CI237" s="647">
        <f t="shared" si="523"/>
        <v>11986.595225124576</v>
      </c>
      <c r="CJ237" s="644">
        <f t="shared" si="575"/>
        <v>0</v>
      </c>
      <c r="CK237" s="645">
        <f t="shared" si="576"/>
        <v>0</v>
      </c>
      <c r="CL237" s="646">
        <f t="shared" si="577"/>
        <v>0</v>
      </c>
      <c r="CM237" s="647">
        <f t="shared" si="524"/>
        <v>11986.595225124576</v>
      </c>
      <c r="CN237" s="644">
        <f t="shared" si="578"/>
        <v>0</v>
      </c>
      <c r="CO237" s="645">
        <f t="shared" si="579"/>
        <v>0</v>
      </c>
      <c r="CP237" s="646">
        <f t="shared" si="580"/>
        <v>0</v>
      </c>
      <c r="CQ237" s="647">
        <f t="shared" si="525"/>
        <v>11986.595225124576</v>
      </c>
      <c r="CS237" s="644">
        <f t="shared" si="581"/>
        <v>6408.2939172612296</v>
      </c>
      <c r="CT237" s="645">
        <f t="shared" si="484"/>
        <v>10064.644887073347</v>
      </c>
      <c r="CU237" s="644">
        <f t="shared" si="582"/>
        <v>3656.3509698121179</v>
      </c>
      <c r="CV237" s="645">
        <f t="shared" si="583"/>
        <v>0</v>
      </c>
      <c r="CW237" s="646">
        <f t="shared" si="584"/>
        <v>0</v>
      </c>
      <c r="CX237" s="647">
        <f t="shared" si="585"/>
        <v>10064.644887073347</v>
      </c>
      <c r="CY237" s="644">
        <f t="shared" si="526"/>
        <v>0</v>
      </c>
      <c r="CZ237" s="645">
        <f t="shared" si="527"/>
        <v>0</v>
      </c>
      <c r="DA237" s="646">
        <f t="shared" si="586"/>
        <v>0</v>
      </c>
      <c r="DB237" s="647">
        <f t="shared" si="528"/>
        <v>10064.644887073347</v>
      </c>
      <c r="DC237" s="644">
        <f t="shared" si="587"/>
        <v>0</v>
      </c>
      <c r="DD237" s="645">
        <f t="shared" si="588"/>
        <v>0</v>
      </c>
      <c r="DE237" s="646">
        <f t="shared" si="589"/>
        <v>0</v>
      </c>
      <c r="DF237" s="647">
        <f t="shared" si="529"/>
        <v>10064.644887073347</v>
      </c>
      <c r="DG237" s="644">
        <f t="shared" si="590"/>
        <v>0</v>
      </c>
      <c r="DH237" s="645">
        <f t="shared" si="591"/>
        <v>0</v>
      </c>
      <c r="DI237" s="646">
        <f t="shared" si="592"/>
        <v>0</v>
      </c>
      <c r="DJ237" s="647">
        <f t="shared" si="530"/>
        <v>10064.644887073347</v>
      </c>
      <c r="DK237" s="644">
        <f t="shared" si="593"/>
        <v>0</v>
      </c>
      <c r="DL237" s="645">
        <f t="shared" si="594"/>
        <v>0</v>
      </c>
      <c r="DM237" s="646">
        <f t="shared" si="595"/>
        <v>0</v>
      </c>
      <c r="DN237" s="647">
        <f t="shared" si="531"/>
        <v>10064.644887073347</v>
      </c>
      <c r="DR237" s="827">
        <f t="shared" si="485"/>
        <v>50436.183960388793</v>
      </c>
      <c r="DV237" s="828">
        <f>IFERROR(VLOOKUP($B237,'Afton FY16 Final'!$A$5:$BV$587,'Afton FY16 Final'!$BV$587,0),0)</f>
        <v>47135.554037808659</v>
      </c>
      <c r="DX237" s="636">
        <f t="shared" si="473"/>
        <v>50436.183960388793</v>
      </c>
      <c r="DY237" s="637">
        <f t="shared" si="474"/>
        <v>3300.629922580134</v>
      </c>
      <c r="DZ237" s="637">
        <f t="shared" si="475"/>
        <v>47135.554037808659</v>
      </c>
      <c r="EA237" s="643">
        <f t="shared" si="476"/>
        <v>47753.544232232314</v>
      </c>
      <c r="EB237" s="637">
        <f t="shared" si="486"/>
        <v>0</v>
      </c>
      <c r="EC237" s="637">
        <f t="shared" si="487"/>
        <v>47753.544232232314</v>
      </c>
      <c r="ED237" s="637">
        <f t="shared" si="488"/>
        <v>47611.146014587335</v>
      </c>
      <c r="EE237" s="643">
        <f t="shared" si="489"/>
        <v>47611.146014587335</v>
      </c>
      <c r="EF237" s="637">
        <f t="shared" si="490"/>
        <v>0</v>
      </c>
      <c r="EG237" s="637">
        <f t="shared" si="491"/>
        <v>47611.146014587335</v>
      </c>
      <c r="EH237" s="637">
        <f t="shared" si="492"/>
        <v>47611.096896026393</v>
      </c>
      <c r="EI237" s="643">
        <f t="shared" si="493"/>
        <v>47611.096896026393</v>
      </c>
      <c r="EJ237" s="637">
        <f t="shared" si="494"/>
        <v>0</v>
      </c>
      <c r="EK237" s="637">
        <f t="shared" si="495"/>
        <v>47611.096896026393</v>
      </c>
      <c r="EL237" s="637">
        <f t="shared" si="496"/>
        <v>47611.096896026327</v>
      </c>
      <c r="EM237" s="643">
        <f t="shared" si="497"/>
        <v>47611.096896026327</v>
      </c>
      <c r="EN237" s="637">
        <f t="shared" si="498"/>
        <v>0</v>
      </c>
      <c r="EO237" s="637">
        <f t="shared" si="499"/>
        <v>47611.096896026327</v>
      </c>
      <c r="EP237" s="637">
        <f t="shared" si="500"/>
        <v>47611.0968960264</v>
      </c>
      <c r="EQ237" s="643">
        <f t="shared" si="501"/>
        <v>47611.0968960264</v>
      </c>
      <c r="ER237" s="637">
        <f t="shared" si="502"/>
        <v>0</v>
      </c>
      <c r="ES237" s="637">
        <f t="shared" si="503"/>
        <v>47611.0968960264</v>
      </c>
      <c r="ET237" s="637">
        <f t="shared" si="504"/>
        <v>47611.096896026327</v>
      </c>
      <c r="EU237" s="643">
        <f t="shared" si="477"/>
        <v>47611.096896026327</v>
      </c>
      <c r="EV237" s="643">
        <f t="shared" si="478"/>
        <v>0</v>
      </c>
      <c r="EX237" s="829">
        <f t="shared" si="479"/>
        <v>2825.0870643624658</v>
      </c>
      <c r="EY237" s="638">
        <f t="shared" si="480"/>
        <v>47611.096896026327</v>
      </c>
      <c r="FC237" s="830" t="str">
        <f t="shared" si="505"/>
        <v>Y</v>
      </c>
      <c r="FE237" s="830" t="str">
        <f>IFERROR(VLOOKUP($B237,'Historical Conc Grant Elig'!$B$3:$J$707,'HH &amp; SI'!FE$2,0),"N")</f>
        <v>Y</v>
      </c>
      <c r="FF237" s="830" t="str">
        <f>IFERROR(VLOOKUP($B237,'Historical Conc Grant Elig'!$B$3:$J$707,'HH &amp; SI'!FF$2,0),"N")</f>
        <v>Y</v>
      </c>
      <c r="FG237" s="830" t="str">
        <f>IFERROR(VLOOKUP($B237,'Historical Conc Grant Elig'!$B$3:$J$707,'HH &amp; SI'!FG$2,0),"N")</f>
        <v>Y</v>
      </c>
      <c r="FH237" s="830" t="str">
        <f>IFERROR(VLOOKUP($B237,'Historical Conc Grant Elig'!$B$3:$J$707,'HH &amp; SI'!FH$2,0),"N")</f>
        <v>Y</v>
      </c>
      <c r="FI237" s="830" t="str">
        <f>IFERROR(VLOOKUP($B237,'Historical Conc Grant Elig'!$B$3:$J$707,'HH &amp; SI'!FI$2,0),"N")</f>
        <v>Y</v>
      </c>
      <c r="FJ237" s="830" t="str">
        <f>IFERROR(VLOOKUP($B237,'Historical Conc Grant Elig'!$B$3:$J$707,'HH &amp; SI'!FJ$2,0),"N")</f>
        <v>Y</v>
      </c>
      <c r="FK237" s="830" t="str">
        <f>IFERROR(VLOOKUP($B237,'Historical Conc Grant Elig'!$B$3:$J$707,'HH &amp; SI'!FK$2,0),"N")</f>
        <v>Y</v>
      </c>
      <c r="FL237" s="957" t="str">
        <f>IFERROR(VLOOKUP($B237,'Historical Conc Grant Elig'!$B$3:$J$707,'HH &amp; SI'!FL$2,0),"N")</f>
        <v>Y</v>
      </c>
    </row>
    <row r="238" spans="2:168" x14ac:dyDescent="0.25">
      <c r="B238" s="634">
        <v>78711000</v>
      </c>
      <c r="C238" s="635" t="str">
        <f>VLOOKUP($B238,'Afton Update'!$A$5:$CR$582,'Afton Update'!D$589,0)</f>
        <v>Espiritu Community Development Corp.</v>
      </c>
      <c r="D238" s="636">
        <f>IFERROR(VLOOKUP($B238,'Afton FY16 Final'!$A$5:$BV$587,'Afton FY16 Final'!AQ$587,0),0)</f>
        <v>162684.98386100811</v>
      </c>
      <c r="E238" s="637">
        <f>IFERROR(VLOOKUP($B238,'Afton FY16 Final'!$A$5:$BV$587,'Afton FY16 Final'!AR$587,0),0)</f>
        <v>31119.769330291365</v>
      </c>
      <c r="F238" s="637">
        <f>IFERROR(VLOOKUP($B238,'Afton FY16 Final'!$A$5:$BV$587,'Afton FY16 Final'!AS$587,0),0)</f>
        <v>81616.050076253377</v>
      </c>
      <c r="G238" s="637">
        <f>IFERROR(VLOOKUP($B238,'Afton FY16 Final'!$A$5:$BV$587,'Afton FY16 Final'!AT$587,0),0)</f>
        <v>76590.506099232531</v>
      </c>
      <c r="H238" s="638">
        <f>IFERROR(VLOOKUP($B238,'Afton FY16 Final'!$A$5:$BV$587,'Afton FY16 Final'!AU$587,0),0)</f>
        <v>352011.3093667854</v>
      </c>
      <c r="I238" s="639" t="str">
        <f>VLOOKUP($B238,'Afton Update'!$A$5:$CR$582,'Afton Update'!BT$589,0)</f>
        <v>Y</v>
      </c>
      <c r="J238" s="640" t="str">
        <f>VLOOKUP($B238,'Afton Update'!$A$5:$CR$582,'Afton Update'!BU$589,0)</f>
        <v>Y</v>
      </c>
      <c r="K238" s="640" t="str">
        <f>VLOOKUP($B238,'Afton Update'!$A$5:$CR$582,'Afton Update'!BV$589,0)</f>
        <v>Y</v>
      </c>
      <c r="L238" s="641" t="str">
        <f>VLOOKUP($B238,'Afton Update'!$A$5:$CR$582,'Afton Update'!BW$589,0)</f>
        <v>Y</v>
      </c>
      <c r="N238" s="642">
        <f>VLOOKUP($B238,'Afton Update'!$A$5:$CR$582,'Afton Update'!CB$589,0)</f>
        <v>0.95</v>
      </c>
      <c r="P238" s="636">
        <f>VLOOKUP($B238,'Afton Update'!$A$5:$CR$582,'Afton Update'!AH$589,0)</f>
        <v>60031.578870159021</v>
      </c>
      <c r="Q238" s="637">
        <f>VLOOKUP($B238,'Afton Update'!$A$5:$CR$582,'Afton Update'!AI$589,0)</f>
        <v>14545.255354566572</v>
      </c>
      <c r="R238" s="637">
        <f>VLOOKUP($B238,'Afton Update'!$A$5:$CR$582,'Afton Update'!AJ$589,0)</f>
        <v>35159.54189442809</v>
      </c>
      <c r="S238" s="637">
        <f>VLOOKUP($B238,'Afton Update'!$A$5:$CR$582,'Afton Update'!AK$589,0)</f>
        <v>32728.9149635828</v>
      </c>
      <c r="T238" s="643">
        <f t="shared" si="506"/>
        <v>142465.29108273648</v>
      </c>
      <c r="V238" s="636">
        <f t="shared" si="532"/>
        <v>154550.7346679577</v>
      </c>
      <c r="W238" s="637">
        <f t="shared" si="533"/>
        <v>29563.780863776796</v>
      </c>
      <c r="X238" s="637">
        <f t="shared" si="534"/>
        <v>77535.247572440712</v>
      </c>
      <c r="Y238" s="637">
        <f t="shared" si="535"/>
        <v>72760.980794270901</v>
      </c>
      <c r="Z238" s="643">
        <f t="shared" si="536"/>
        <v>334410.74389844609</v>
      </c>
      <c r="AB238" s="644">
        <f t="shared" si="507"/>
        <v>60031.578870159021</v>
      </c>
      <c r="AC238" s="645">
        <f t="shared" si="481"/>
        <v>154550.7346679577</v>
      </c>
      <c r="AD238" s="644">
        <f t="shared" si="537"/>
        <v>94519.155797798681</v>
      </c>
      <c r="AE238" s="645">
        <f t="shared" si="538"/>
        <v>0</v>
      </c>
      <c r="AF238" s="646">
        <f t="shared" si="539"/>
        <v>0</v>
      </c>
      <c r="AG238" s="647">
        <f t="shared" si="540"/>
        <v>154550.7346679577</v>
      </c>
      <c r="AH238" s="644">
        <f t="shared" si="508"/>
        <v>0</v>
      </c>
      <c r="AI238" s="645">
        <f t="shared" si="509"/>
        <v>0</v>
      </c>
      <c r="AJ238" s="646">
        <f t="shared" si="541"/>
        <v>0</v>
      </c>
      <c r="AK238" s="647">
        <f t="shared" si="510"/>
        <v>154550.7346679577</v>
      </c>
      <c r="AL238" s="644">
        <f t="shared" si="542"/>
        <v>0</v>
      </c>
      <c r="AM238" s="645">
        <f t="shared" si="543"/>
        <v>0</v>
      </c>
      <c r="AN238" s="646">
        <f t="shared" si="544"/>
        <v>0</v>
      </c>
      <c r="AO238" s="647">
        <f t="shared" si="511"/>
        <v>154550.7346679577</v>
      </c>
      <c r="AP238" s="644">
        <f t="shared" si="545"/>
        <v>0</v>
      </c>
      <c r="AQ238" s="645">
        <f t="shared" si="546"/>
        <v>0</v>
      </c>
      <c r="AR238" s="646">
        <f t="shared" si="547"/>
        <v>0</v>
      </c>
      <c r="AS238" s="647">
        <f t="shared" si="512"/>
        <v>154550.7346679577</v>
      </c>
      <c r="AT238" s="644">
        <f t="shared" si="548"/>
        <v>0</v>
      </c>
      <c r="AU238" s="645">
        <f t="shared" si="549"/>
        <v>0</v>
      </c>
      <c r="AV238" s="646">
        <f t="shared" si="550"/>
        <v>0</v>
      </c>
      <c r="AW238" s="647">
        <f t="shared" si="513"/>
        <v>154550.7346679577</v>
      </c>
      <c r="AY238" s="644">
        <f t="shared" si="551"/>
        <v>14545.255354566572</v>
      </c>
      <c r="AZ238" s="645">
        <f t="shared" si="482"/>
        <v>29563.780863776796</v>
      </c>
      <c r="BA238" s="644">
        <f t="shared" si="552"/>
        <v>15018.525509210223</v>
      </c>
      <c r="BB238" s="645">
        <f t="shared" si="553"/>
        <v>0</v>
      </c>
      <c r="BC238" s="646">
        <f t="shared" si="554"/>
        <v>0</v>
      </c>
      <c r="BD238" s="647">
        <f t="shared" si="555"/>
        <v>29563.780863776796</v>
      </c>
      <c r="BE238" s="644">
        <f t="shared" si="514"/>
        <v>0</v>
      </c>
      <c r="BF238" s="645">
        <f t="shared" si="515"/>
        <v>0</v>
      </c>
      <c r="BG238" s="646">
        <f t="shared" si="556"/>
        <v>0</v>
      </c>
      <c r="BH238" s="647">
        <f t="shared" si="516"/>
        <v>29563.780863776796</v>
      </c>
      <c r="BI238" s="644">
        <f t="shared" si="557"/>
        <v>0</v>
      </c>
      <c r="BJ238" s="645">
        <f t="shared" si="558"/>
        <v>0</v>
      </c>
      <c r="BK238" s="646">
        <f t="shared" si="559"/>
        <v>0</v>
      </c>
      <c r="BL238" s="647">
        <f t="shared" si="517"/>
        <v>29563.780863776796</v>
      </c>
      <c r="BM238" s="644">
        <f t="shared" si="560"/>
        <v>0</v>
      </c>
      <c r="BN238" s="645">
        <f t="shared" si="561"/>
        <v>0</v>
      </c>
      <c r="BO238" s="646">
        <f t="shared" si="562"/>
        <v>0</v>
      </c>
      <c r="BP238" s="647">
        <f t="shared" si="518"/>
        <v>29563.780863776796</v>
      </c>
      <c r="BQ238" s="644">
        <f t="shared" si="563"/>
        <v>0</v>
      </c>
      <c r="BR238" s="645">
        <f t="shared" si="564"/>
        <v>0</v>
      </c>
      <c r="BS238" s="646">
        <f t="shared" si="565"/>
        <v>0</v>
      </c>
      <c r="BT238" s="647">
        <f t="shared" si="519"/>
        <v>29563.780863776796</v>
      </c>
      <c r="BU238" s="662">
        <f>VLOOKUP(B238,'Afton Update'!$A$5:$AR$582,'Afton Update'!$AO$589,0)-BT238</f>
        <v>0</v>
      </c>
      <c r="BV238" s="644">
        <f t="shared" si="566"/>
        <v>35159.54189442809</v>
      </c>
      <c r="BW238" s="645">
        <f t="shared" si="483"/>
        <v>77535.247572440712</v>
      </c>
      <c r="BX238" s="644">
        <f t="shared" si="567"/>
        <v>42375.705678012622</v>
      </c>
      <c r="BY238" s="645">
        <f t="shared" si="568"/>
        <v>0</v>
      </c>
      <c r="BZ238" s="646">
        <f t="shared" si="569"/>
        <v>0</v>
      </c>
      <c r="CA238" s="647">
        <f t="shared" si="570"/>
        <v>77535.247572440712</v>
      </c>
      <c r="CB238" s="644">
        <f t="shared" si="520"/>
        <v>0</v>
      </c>
      <c r="CC238" s="645">
        <f t="shared" si="521"/>
        <v>0</v>
      </c>
      <c r="CD238" s="646">
        <f t="shared" si="571"/>
        <v>0</v>
      </c>
      <c r="CE238" s="647">
        <f t="shared" si="522"/>
        <v>77535.247572440712</v>
      </c>
      <c r="CF238" s="644">
        <f t="shared" si="572"/>
        <v>0</v>
      </c>
      <c r="CG238" s="645">
        <f t="shared" si="573"/>
        <v>0</v>
      </c>
      <c r="CH238" s="646">
        <f t="shared" si="574"/>
        <v>0</v>
      </c>
      <c r="CI238" s="647">
        <f t="shared" si="523"/>
        <v>77535.247572440712</v>
      </c>
      <c r="CJ238" s="644">
        <f t="shared" si="575"/>
        <v>0</v>
      </c>
      <c r="CK238" s="645">
        <f t="shared" si="576"/>
        <v>0</v>
      </c>
      <c r="CL238" s="646">
        <f t="shared" si="577"/>
        <v>0</v>
      </c>
      <c r="CM238" s="647">
        <f t="shared" si="524"/>
        <v>77535.247572440712</v>
      </c>
      <c r="CN238" s="644">
        <f t="shared" si="578"/>
        <v>0</v>
      </c>
      <c r="CO238" s="645">
        <f t="shared" si="579"/>
        <v>0</v>
      </c>
      <c r="CP238" s="646">
        <f t="shared" si="580"/>
        <v>0</v>
      </c>
      <c r="CQ238" s="647">
        <f t="shared" si="525"/>
        <v>77535.247572440712</v>
      </c>
      <c r="CS238" s="644">
        <f t="shared" si="581"/>
        <v>32728.9149635828</v>
      </c>
      <c r="CT238" s="645">
        <f t="shared" si="484"/>
        <v>72760.980794270901</v>
      </c>
      <c r="CU238" s="644">
        <f t="shared" si="582"/>
        <v>40032.065830688101</v>
      </c>
      <c r="CV238" s="645">
        <f t="shared" si="583"/>
        <v>0</v>
      </c>
      <c r="CW238" s="646">
        <f t="shared" si="584"/>
        <v>0</v>
      </c>
      <c r="CX238" s="647">
        <f t="shared" si="585"/>
        <v>72760.980794270901</v>
      </c>
      <c r="CY238" s="644">
        <f t="shared" si="526"/>
        <v>0</v>
      </c>
      <c r="CZ238" s="645">
        <f t="shared" si="527"/>
        <v>0</v>
      </c>
      <c r="DA238" s="646">
        <f t="shared" si="586"/>
        <v>0</v>
      </c>
      <c r="DB238" s="647">
        <f t="shared" si="528"/>
        <v>72760.980794270901</v>
      </c>
      <c r="DC238" s="644">
        <f t="shared" si="587"/>
        <v>0</v>
      </c>
      <c r="DD238" s="645">
        <f t="shared" si="588"/>
        <v>0</v>
      </c>
      <c r="DE238" s="646">
        <f t="shared" si="589"/>
        <v>0</v>
      </c>
      <c r="DF238" s="647">
        <f t="shared" si="529"/>
        <v>72760.980794270901</v>
      </c>
      <c r="DG238" s="644">
        <f t="shared" si="590"/>
        <v>0</v>
      </c>
      <c r="DH238" s="645">
        <f t="shared" si="591"/>
        <v>0</v>
      </c>
      <c r="DI238" s="646">
        <f t="shared" si="592"/>
        <v>0</v>
      </c>
      <c r="DJ238" s="647">
        <f t="shared" si="530"/>
        <v>72760.980794270901</v>
      </c>
      <c r="DK238" s="644">
        <f t="shared" si="593"/>
        <v>0</v>
      </c>
      <c r="DL238" s="645">
        <f t="shared" si="594"/>
        <v>0</v>
      </c>
      <c r="DM238" s="646">
        <f t="shared" si="595"/>
        <v>0</v>
      </c>
      <c r="DN238" s="647">
        <f t="shared" si="531"/>
        <v>72760.980794270901</v>
      </c>
      <c r="DR238" s="827">
        <f t="shared" si="485"/>
        <v>334410.74389844609</v>
      </c>
      <c r="DV238" s="828">
        <f>IFERROR(VLOOKUP($B238,'Afton FY16 Final'!$A$5:$BV$587,'Afton FY16 Final'!$BV$587,0),0)</f>
        <v>345080.20674364956</v>
      </c>
      <c r="DX238" s="636">
        <f t="shared" si="473"/>
        <v>0</v>
      </c>
      <c r="DY238" s="637">
        <f t="shared" si="474"/>
        <v>0</v>
      </c>
      <c r="DZ238" s="637">
        <f t="shared" si="475"/>
        <v>0</v>
      </c>
      <c r="EA238" s="643">
        <f t="shared" si="476"/>
        <v>0</v>
      </c>
      <c r="EB238" s="637">
        <f t="shared" si="486"/>
        <v>0</v>
      </c>
      <c r="EC238" s="637">
        <f t="shared" si="487"/>
        <v>0</v>
      </c>
      <c r="ED238" s="637">
        <f t="shared" si="488"/>
        <v>0</v>
      </c>
      <c r="EE238" s="643">
        <f t="shared" si="489"/>
        <v>0</v>
      </c>
      <c r="EF238" s="637">
        <f t="shared" si="490"/>
        <v>0</v>
      </c>
      <c r="EG238" s="637">
        <f t="shared" si="491"/>
        <v>0</v>
      </c>
      <c r="EH238" s="637">
        <f t="shared" si="492"/>
        <v>0</v>
      </c>
      <c r="EI238" s="643">
        <f t="shared" si="493"/>
        <v>0</v>
      </c>
      <c r="EJ238" s="637">
        <f t="shared" si="494"/>
        <v>0</v>
      </c>
      <c r="EK238" s="637">
        <f t="shared" si="495"/>
        <v>0</v>
      </c>
      <c r="EL238" s="637">
        <f t="shared" si="496"/>
        <v>0</v>
      </c>
      <c r="EM238" s="643">
        <f t="shared" si="497"/>
        <v>0</v>
      </c>
      <c r="EN238" s="637">
        <f t="shared" si="498"/>
        <v>0</v>
      </c>
      <c r="EO238" s="637">
        <f t="shared" si="499"/>
        <v>0</v>
      </c>
      <c r="EP238" s="637">
        <f t="shared" si="500"/>
        <v>0</v>
      </c>
      <c r="EQ238" s="643">
        <f t="shared" si="501"/>
        <v>0</v>
      </c>
      <c r="ER238" s="637">
        <f t="shared" si="502"/>
        <v>0</v>
      </c>
      <c r="ES238" s="637">
        <f t="shared" si="503"/>
        <v>0</v>
      </c>
      <c r="ET238" s="637">
        <f t="shared" si="504"/>
        <v>0</v>
      </c>
      <c r="EU238" s="643">
        <f t="shared" si="477"/>
        <v>0</v>
      </c>
      <c r="EV238" s="643">
        <f t="shared" si="478"/>
        <v>0</v>
      </c>
      <c r="EX238" s="829">
        <f t="shared" si="479"/>
        <v>0</v>
      </c>
      <c r="EY238" s="638">
        <f t="shared" si="480"/>
        <v>334410.74389844609</v>
      </c>
      <c r="FC238" s="830" t="str">
        <f t="shared" si="505"/>
        <v>Y</v>
      </c>
      <c r="FE238" s="830" t="str">
        <f>IFERROR(VLOOKUP($B238,'Historical Conc Grant Elig'!$B$3:$J$707,'HH &amp; SI'!FE$2,0),"N")</f>
        <v>Y</v>
      </c>
      <c r="FF238" s="830" t="str">
        <f>IFERROR(VLOOKUP($B238,'Historical Conc Grant Elig'!$B$3:$J$707,'HH &amp; SI'!FF$2,0),"N")</f>
        <v>Y</v>
      </c>
      <c r="FG238" s="830" t="str">
        <f>IFERROR(VLOOKUP($B238,'Historical Conc Grant Elig'!$B$3:$J$707,'HH &amp; SI'!FG$2,0),"N")</f>
        <v>Y</v>
      </c>
      <c r="FH238" s="830" t="str">
        <f>IFERROR(VLOOKUP($B238,'Historical Conc Grant Elig'!$B$3:$J$707,'HH &amp; SI'!FH$2,0),"N")</f>
        <v>Y</v>
      </c>
      <c r="FI238" s="830" t="str">
        <f>IFERROR(VLOOKUP($B238,'Historical Conc Grant Elig'!$B$3:$J$707,'HH &amp; SI'!FI$2,0),"N")</f>
        <v>Y</v>
      </c>
      <c r="FJ238" s="830" t="str">
        <f>IFERROR(VLOOKUP($B238,'Historical Conc Grant Elig'!$B$3:$J$707,'HH &amp; SI'!FJ$2,0),"N")</f>
        <v>Y</v>
      </c>
      <c r="FK238" s="830" t="str">
        <f>IFERROR(VLOOKUP($B238,'Historical Conc Grant Elig'!$B$3:$J$707,'HH &amp; SI'!FK$2,0),"N")</f>
        <v>Y</v>
      </c>
      <c r="FL238" s="957" t="str">
        <f>IFERROR(VLOOKUP($B238,'Historical Conc Grant Elig'!$B$3:$J$707,'HH &amp; SI'!FL$2,0),"N")</f>
        <v>Y</v>
      </c>
    </row>
    <row r="239" spans="2:168" x14ac:dyDescent="0.25">
      <c r="B239" s="634">
        <v>78714000</v>
      </c>
      <c r="C239" s="635" t="str">
        <f>VLOOKUP($B239,'Afton Update'!$A$5:$CR$582,'Afton Update'!D$589,0)</f>
        <v>Phoenix Advantage Charter School  Inc.</v>
      </c>
      <c r="D239" s="636">
        <f>IFERROR(VLOOKUP($B239,'Afton FY16 Final'!$A$5:$BV$587,'Afton FY16 Final'!AQ$587,0),0)</f>
        <v>117911.30891759093</v>
      </c>
      <c r="E239" s="637">
        <f>IFERROR(VLOOKUP($B239,'Afton FY16 Final'!$A$5:$BV$587,'Afton FY16 Final'!AR$587,0),0)</f>
        <v>25742.952115696251</v>
      </c>
      <c r="F239" s="637">
        <f>IFERROR(VLOOKUP($B239,'Afton FY16 Final'!$A$5:$BV$587,'Afton FY16 Final'!AS$587,0),0)</f>
        <v>63710.511786459174</v>
      </c>
      <c r="G239" s="637">
        <f>IFERROR(VLOOKUP($B239,'Afton FY16 Final'!$A$5:$BV$587,'Afton FY16 Final'!AT$587,0),0)</f>
        <v>60235.95049014235</v>
      </c>
      <c r="H239" s="638">
        <f>IFERROR(VLOOKUP($B239,'Afton FY16 Final'!$A$5:$BV$587,'Afton FY16 Final'!AU$587,0),0)</f>
        <v>267600.72330988868</v>
      </c>
      <c r="I239" s="639" t="str">
        <f>VLOOKUP($B239,'Afton Update'!$A$5:$CR$582,'Afton Update'!BT$589,0)</f>
        <v>Y</v>
      </c>
      <c r="J239" s="640" t="str">
        <f>VLOOKUP($B239,'Afton Update'!$A$5:$CR$582,'Afton Update'!BU$589,0)</f>
        <v>Y</v>
      </c>
      <c r="K239" s="640" t="str">
        <f>VLOOKUP($B239,'Afton Update'!$A$5:$CR$582,'Afton Update'!BV$589,0)</f>
        <v>Y</v>
      </c>
      <c r="L239" s="641" t="str">
        <f>VLOOKUP($B239,'Afton Update'!$A$5:$CR$582,'Afton Update'!BW$589,0)</f>
        <v>Y</v>
      </c>
      <c r="N239" s="642">
        <f>VLOOKUP($B239,'Afton Update'!$A$5:$CR$582,'Afton Update'!CB$589,0)</f>
        <v>0.95</v>
      </c>
      <c r="P239" s="636">
        <f>VLOOKUP($B239,'Afton Update'!$A$5:$CR$582,'Afton Update'!AH$589,0)</f>
        <v>93515.328040765657</v>
      </c>
      <c r="Q239" s="637">
        <f>VLOOKUP($B239,'Afton Update'!$A$5:$CR$582,'Afton Update'!AI$589,0)</f>
        <v>21469.640836809682</v>
      </c>
      <c r="R239" s="637">
        <f>VLOOKUP($B239,'Afton Update'!$A$5:$CR$582,'Afton Update'!AJ$589,0)</f>
        <v>54756.30753143644</v>
      </c>
      <c r="S239" s="637">
        <f>VLOOKUP($B239,'Afton Update'!$A$5:$CR$582,'Afton Update'!AK$589,0)</f>
        <v>50970.929550142311</v>
      </c>
      <c r="T239" s="643">
        <f t="shared" si="506"/>
        <v>220712.20595915409</v>
      </c>
      <c r="V239" s="636">
        <f t="shared" si="532"/>
        <v>112015.74347171138</v>
      </c>
      <c r="W239" s="637">
        <f t="shared" si="533"/>
        <v>24455.804509911439</v>
      </c>
      <c r="X239" s="637">
        <f t="shared" si="534"/>
        <v>60524.986197136212</v>
      </c>
      <c r="Y239" s="637">
        <f t="shared" si="535"/>
        <v>57224.152965635229</v>
      </c>
      <c r="Z239" s="643">
        <f t="shared" si="536"/>
        <v>254220.68714439427</v>
      </c>
      <c r="AB239" s="644">
        <f t="shared" si="507"/>
        <v>93515.328040765657</v>
      </c>
      <c r="AC239" s="645">
        <f t="shared" si="481"/>
        <v>112015.74347171138</v>
      </c>
      <c r="AD239" s="644">
        <f t="shared" si="537"/>
        <v>18500.415430945723</v>
      </c>
      <c r="AE239" s="645">
        <f t="shared" si="538"/>
        <v>0</v>
      </c>
      <c r="AF239" s="646">
        <f t="shared" si="539"/>
        <v>0</v>
      </c>
      <c r="AG239" s="647">
        <f t="shared" si="540"/>
        <v>112015.74347171138</v>
      </c>
      <c r="AH239" s="644">
        <f t="shared" si="508"/>
        <v>0</v>
      </c>
      <c r="AI239" s="645">
        <f t="shared" si="509"/>
        <v>0</v>
      </c>
      <c r="AJ239" s="646">
        <f t="shared" si="541"/>
        <v>0</v>
      </c>
      <c r="AK239" s="647">
        <f t="shared" si="510"/>
        <v>112015.74347171138</v>
      </c>
      <c r="AL239" s="644">
        <f t="shared" si="542"/>
        <v>0</v>
      </c>
      <c r="AM239" s="645">
        <f t="shared" si="543"/>
        <v>0</v>
      </c>
      <c r="AN239" s="646">
        <f t="shared" si="544"/>
        <v>0</v>
      </c>
      <c r="AO239" s="647">
        <f t="shared" si="511"/>
        <v>112015.74347171138</v>
      </c>
      <c r="AP239" s="644">
        <f t="shared" si="545"/>
        <v>0</v>
      </c>
      <c r="AQ239" s="645">
        <f t="shared" si="546"/>
        <v>0</v>
      </c>
      <c r="AR239" s="646">
        <f t="shared" si="547"/>
        <v>0</v>
      </c>
      <c r="AS239" s="647">
        <f t="shared" si="512"/>
        <v>112015.74347171138</v>
      </c>
      <c r="AT239" s="644">
        <f t="shared" si="548"/>
        <v>0</v>
      </c>
      <c r="AU239" s="645">
        <f t="shared" si="549"/>
        <v>0</v>
      </c>
      <c r="AV239" s="646">
        <f t="shared" si="550"/>
        <v>0</v>
      </c>
      <c r="AW239" s="647">
        <f t="shared" si="513"/>
        <v>112015.74347171138</v>
      </c>
      <c r="AY239" s="644">
        <f t="shared" si="551"/>
        <v>21469.640836809682</v>
      </c>
      <c r="AZ239" s="645">
        <f t="shared" si="482"/>
        <v>24455.804509911439</v>
      </c>
      <c r="BA239" s="644">
        <f t="shared" si="552"/>
        <v>2986.163673101757</v>
      </c>
      <c r="BB239" s="645">
        <f t="shared" si="553"/>
        <v>0</v>
      </c>
      <c r="BC239" s="646">
        <f t="shared" si="554"/>
        <v>0</v>
      </c>
      <c r="BD239" s="647">
        <f t="shared" si="555"/>
        <v>24455.804509911439</v>
      </c>
      <c r="BE239" s="644">
        <f t="shared" si="514"/>
        <v>0</v>
      </c>
      <c r="BF239" s="645">
        <f t="shared" si="515"/>
        <v>0</v>
      </c>
      <c r="BG239" s="646">
        <f t="shared" si="556"/>
        <v>0</v>
      </c>
      <c r="BH239" s="647">
        <f t="shared" si="516"/>
        <v>24455.804509911439</v>
      </c>
      <c r="BI239" s="644">
        <f t="shared" si="557"/>
        <v>0</v>
      </c>
      <c r="BJ239" s="645">
        <f t="shared" si="558"/>
        <v>0</v>
      </c>
      <c r="BK239" s="646">
        <f t="shared" si="559"/>
        <v>0</v>
      </c>
      <c r="BL239" s="647">
        <f t="shared" si="517"/>
        <v>24455.804509911439</v>
      </c>
      <c r="BM239" s="644">
        <f t="shared" si="560"/>
        <v>0</v>
      </c>
      <c r="BN239" s="645">
        <f t="shared" si="561"/>
        <v>0</v>
      </c>
      <c r="BO239" s="646">
        <f t="shared" si="562"/>
        <v>0</v>
      </c>
      <c r="BP239" s="647">
        <f t="shared" si="518"/>
        <v>24455.804509911439</v>
      </c>
      <c r="BQ239" s="644">
        <f t="shared" si="563"/>
        <v>0</v>
      </c>
      <c r="BR239" s="645">
        <f t="shared" si="564"/>
        <v>0</v>
      </c>
      <c r="BS239" s="646">
        <f t="shared" si="565"/>
        <v>0</v>
      </c>
      <c r="BT239" s="647">
        <f t="shared" si="519"/>
        <v>24455.804509911439</v>
      </c>
      <c r="BU239" s="662">
        <f>VLOOKUP(B239,'Afton Update'!$A$5:$AR$582,'Afton Update'!$AO$589,0)-BT239</f>
        <v>0</v>
      </c>
      <c r="BV239" s="644">
        <f t="shared" si="566"/>
        <v>54756.30753143644</v>
      </c>
      <c r="BW239" s="645">
        <f t="shared" si="483"/>
        <v>60524.986197136212</v>
      </c>
      <c r="BX239" s="644">
        <f t="shared" si="567"/>
        <v>5768.678665699772</v>
      </c>
      <c r="BY239" s="645">
        <f t="shared" si="568"/>
        <v>0</v>
      </c>
      <c r="BZ239" s="646">
        <f t="shared" si="569"/>
        <v>0</v>
      </c>
      <c r="CA239" s="647">
        <f t="shared" si="570"/>
        <v>60524.986197136212</v>
      </c>
      <c r="CB239" s="644">
        <f t="shared" si="520"/>
        <v>0</v>
      </c>
      <c r="CC239" s="645">
        <f t="shared" si="521"/>
        <v>0</v>
      </c>
      <c r="CD239" s="646">
        <f t="shared" si="571"/>
        <v>0</v>
      </c>
      <c r="CE239" s="647">
        <f t="shared" si="522"/>
        <v>60524.986197136212</v>
      </c>
      <c r="CF239" s="644">
        <f t="shared" si="572"/>
        <v>0</v>
      </c>
      <c r="CG239" s="645">
        <f t="shared" si="573"/>
        <v>0</v>
      </c>
      <c r="CH239" s="646">
        <f t="shared" si="574"/>
        <v>0</v>
      </c>
      <c r="CI239" s="647">
        <f t="shared" si="523"/>
        <v>60524.986197136212</v>
      </c>
      <c r="CJ239" s="644">
        <f t="shared" si="575"/>
        <v>0</v>
      </c>
      <c r="CK239" s="645">
        <f t="shared" si="576"/>
        <v>0</v>
      </c>
      <c r="CL239" s="646">
        <f t="shared" si="577"/>
        <v>0</v>
      </c>
      <c r="CM239" s="647">
        <f t="shared" si="524"/>
        <v>60524.986197136212</v>
      </c>
      <c r="CN239" s="644">
        <f t="shared" si="578"/>
        <v>0</v>
      </c>
      <c r="CO239" s="645">
        <f t="shared" si="579"/>
        <v>0</v>
      </c>
      <c r="CP239" s="646">
        <f t="shared" si="580"/>
        <v>0</v>
      </c>
      <c r="CQ239" s="647">
        <f t="shared" si="525"/>
        <v>60524.986197136212</v>
      </c>
      <c r="CS239" s="644">
        <f t="shared" si="581"/>
        <v>50970.929550142311</v>
      </c>
      <c r="CT239" s="645">
        <f t="shared" si="484"/>
        <v>57224.152965635229</v>
      </c>
      <c r="CU239" s="644">
        <f t="shared" si="582"/>
        <v>6253.2234154929174</v>
      </c>
      <c r="CV239" s="645">
        <f t="shared" si="583"/>
        <v>0</v>
      </c>
      <c r="CW239" s="646">
        <f t="shared" si="584"/>
        <v>0</v>
      </c>
      <c r="CX239" s="647">
        <f t="shared" si="585"/>
        <v>57224.152965635229</v>
      </c>
      <c r="CY239" s="644">
        <f t="shared" si="526"/>
        <v>0</v>
      </c>
      <c r="CZ239" s="645">
        <f t="shared" si="527"/>
        <v>0</v>
      </c>
      <c r="DA239" s="646">
        <f t="shared" si="586"/>
        <v>0</v>
      </c>
      <c r="DB239" s="647">
        <f t="shared" si="528"/>
        <v>57224.152965635229</v>
      </c>
      <c r="DC239" s="644">
        <f t="shared" si="587"/>
        <v>0</v>
      </c>
      <c r="DD239" s="645">
        <f t="shared" si="588"/>
        <v>0</v>
      </c>
      <c r="DE239" s="646">
        <f t="shared" si="589"/>
        <v>0</v>
      </c>
      <c r="DF239" s="647">
        <f t="shared" si="529"/>
        <v>57224.152965635229</v>
      </c>
      <c r="DG239" s="644">
        <f t="shared" si="590"/>
        <v>0</v>
      </c>
      <c r="DH239" s="645">
        <f t="shared" si="591"/>
        <v>0</v>
      </c>
      <c r="DI239" s="646">
        <f t="shared" si="592"/>
        <v>0</v>
      </c>
      <c r="DJ239" s="647">
        <f t="shared" si="530"/>
        <v>57224.152965635229</v>
      </c>
      <c r="DK239" s="644">
        <f t="shared" si="593"/>
        <v>0</v>
      </c>
      <c r="DL239" s="645">
        <f t="shared" si="594"/>
        <v>0</v>
      </c>
      <c r="DM239" s="646">
        <f t="shared" si="595"/>
        <v>0</v>
      </c>
      <c r="DN239" s="647">
        <f t="shared" si="531"/>
        <v>57224.152965635229</v>
      </c>
      <c r="DR239" s="827">
        <f t="shared" si="485"/>
        <v>254220.68714439427</v>
      </c>
      <c r="DV239" s="828">
        <f>IFERROR(VLOOKUP($B239,'Afton FY16 Final'!$A$5:$BV$587,'Afton FY16 Final'!$BV$587,0),0)</f>
        <v>256040.06097961942</v>
      </c>
      <c r="DX239" s="636">
        <f t="shared" si="473"/>
        <v>0</v>
      </c>
      <c r="DY239" s="637">
        <f t="shared" si="474"/>
        <v>0</v>
      </c>
      <c r="DZ239" s="637">
        <f t="shared" si="475"/>
        <v>0</v>
      </c>
      <c r="EA239" s="643">
        <f t="shared" si="476"/>
        <v>0</v>
      </c>
      <c r="EB239" s="637">
        <f t="shared" si="486"/>
        <v>0</v>
      </c>
      <c r="EC239" s="637">
        <f t="shared" si="487"/>
        <v>0</v>
      </c>
      <c r="ED239" s="637">
        <f t="shared" si="488"/>
        <v>0</v>
      </c>
      <c r="EE239" s="643">
        <f t="shared" si="489"/>
        <v>0</v>
      </c>
      <c r="EF239" s="637">
        <f t="shared" si="490"/>
        <v>0</v>
      </c>
      <c r="EG239" s="637">
        <f t="shared" si="491"/>
        <v>0</v>
      </c>
      <c r="EH239" s="637">
        <f t="shared" si="492"/>
        <v>0</v>
      </c>
      <c r="EI239" s="643">
        <f t="shared" si="493"/>
        <v>0</v>
      </c>
      <c r="EJ239" s="637">
        <f t="shared" si="494"/>
        <v>0</v>
      </c>
      <c r="EK239" s="637">
        <f t="shared" si="495"/>
        <v>0</v>
      </c>
      <c r="EL239" s="637">
        <f t="shared" si="496"/>
        <v>0</v>
      </c>
      <c r="EM239" s="643">
        <f t="shared" si="497"/>
        <v>0</v>
      </c>
      <c r="EN239" s="637">
        <f t="shared" si="498"/>
        <v>0</v>
      </c>
      <c r="EO239" s="637">
        <f t="shared" si="499"/>
        <v>0</v>
      </c>
      <c r="EP239" s="637">
        <f t="shared" si="500"/>
        <v>0</v>
      </c>
      <c r="EQ239" s="643">
        <f t="shared" si="501"/>
        <v>0</v>
      </c>
      <c r="ER239" s="637">
        <f t="shared" si="502"/>
        <v>0</v>
      </c>
      <c r="ES239" s="637">
        <f t="shared" si="503"/>
        <v>0</v>
      </c>
      <c r="ET239" s="637">
        <f t="shared" si="504"/>
        <v>0</v>
      </c>
      <c r="EU239" s="643">
        <f t="shared" si="477"/>
        <v>0</v>
      </c>
      <c r="EV239" s="643">
        <f t="shared" si="478"/>
        <v>0</v>
      </c>
      <c r="EX239" s="829">
        <f t="shared" si="479"/>
        <v>0</v>
      </c>
      <c r="EY239" s="638">
        <f t="shared" si="480"/>
        <v>254220.68714439427</v>
      </c>
      <c r="FC239" s="830" t="str">
        <f t="shared" si="505"/>
        <v>Y</v>
      </c>
      <c r="FE239" s="830" t="str">
        <f>IFERROR(VLOOKUP($B239,'Historical Conc Grant Elig'!$B$3:$J$707,'HH &amp; SI'!FE$2,0),"N")</f>
        <v>Y</v>
      </c>
      <c r="FF239" s="830" t="str">
        <f>IFERROR(VLOOKUP($B239,'Historical Conc Grant Elig'!$B$3:$J$707,'HH &amp; SI'!FF$2,0),"N")</f>
        <v>Y</v>
      </c>
      <c r="FG239" s="830" t="str">
        <f>IFERROR(VLOOKUP($B239,'Historical Conc Grant Elig'!$B$3:$J$707,'HH &amp; SI'!FG$2,0),"N")</f>
        <v>Y</v>
      </c>
      <c r="FH239" s="830" t="str">
        <f>IFERROR(VLOOKUP($B239,'Historical Conc Grant Elig'!$B$3:$J$707,'HH &amp; SI'!FH$2,0),"N")</f>
        <v>Y</v>
      </c>
      <c r="FI239" s="830" t="str">
        <f>IFERROR(VLOOKUP($B239,'Historical Conc Grant Elig'!$B$3:$J$707,'HH &amp; SI'!FI$2,0),"N")</f>
        <v>Y</v>
      </c>
      <c r="FJ239" s="830" t="str">
        <f>IFERROR(VLOOKUP($B239,'Historical Conc Grant Elig'!$B$3:$J$707,'HH &amp; SI'!FJ$2,0),"N")</f>
        <v>Y</v>
      </c>
      <c r="FK239" s="830" t="str">
        <f>IFERROR(VLOOKUP($B239,'Historical Conc Grant Elig'!$B$3:$J$707,'HH &amp; SI'!FK$2,0),"N")</f>
        <v>Y</v>
      </c>
      <c r="FL239" s="957" t="str">
        <f>IFERROR(VLOOKUP($B239,'Historical Conc Grant Elig'!$B$3:$J$707,'HH &amp; SI'!FL$2,0),"N")</f>
        <v>Y</v>
      </c>
    </row>
    <row r="240" spans="2:168" x14ac:dyDescent="0.25">
      <c r="B240" s="634">
        <v>78717000</v>
      </c>
      <c r="C240" s="635" t="str">
        <f>VLOOKUP($B240,'Afton Update'!$A$5:$CR$582,'Afton Update'!D$589,0)</f>
        <v>EduPreneurship  Inc.</v>
      </c>
      <c r="D240" s="636">
        <f>IFERROR(VLOOKUP($B240,'Afton FY16 Final'!$A$5:$BV$587,'Afton FY16 Final'!AQ$587,0),0)</f>
        <v>17083.331684863198</v>
      </c>
      <c r="E240" s="637">
        <f>IFERROR(VLOOKUP($B240,'Afton FY16 Final'!$A$5:$BV$587,'Afton FY16 Final'!AR$587,0),0)</f>
        <v>5378.2232075626307</v>
      </c>
      <c r="F240" s="637">
        <f>IFERROR(VLOOKUP($B240,'Afton FY16 Final'!$A$5:$BV$587,'Afton FY16 Final'!AS$587,0),0)</f>
        <v>9271.3247755592092</v>
      </c>
      <c r="G240" s="637">
        <f>IFERROR(VLOOKUP($B240,'Afton FY16 Final'!$A$5:$BV$587,'Afton FY16 Final'!AT$587,0),0)</f>
        <v>7784.7453548060093</v>
      </c>
      <c r="H240" s="638">
        <f>IFERROR(VLOOKUP($B240,'Afton FY16 Final'!$A$5:$BV$587,'Afton FY16 Final'!AU$587,0),0)</f>
        <v>39517.62502279105</v>
      </c>
      <c r="I240" s="639" t="str">
        <f>VLOOKUP($B240,'Afton Update'!$A$5:$CR$582,'Afton Update'!BT$589,0)</f>
        <v>Y</v>
      </c>
      <c r="J240" s="640" t="str">
        <f>VLOOKUP($B240,'Afton Update'!$A$5:$CR$582,'Afton Update'!BU$589,0)</f>
        <v>Y</v>
      </c>
      <c r="K240" s="640" t="str">
        <f>VLOOKUP($B240,'Afton Update'!$A$5:$CR$582,'Afton Update'!BV$589,0)</f>
        <v>Y</v>
      </c>
      <c r="L240" s="641" t="str">
        <f>VLOOKUP($B240,'Afton Update'!$A$5:$CR$582,'Afton Update'!BW$589,0)</f>
        <v>Y</v>
      </c>
      <c r="N240" s="642">
        <f>VLOOKUP($B240,'Afton Update'!$A$5:$CR$582,'Afton Update'!CB$589,0)</f>
        <v>0.95</v>
      </c>
      <c r="P240" s="636">
        <f>VLOOKUP($B240,'Afton Update'!$A$5:$CR$582,'Afton Update'!AH$589,0)</f>
        <v>16502.704948370407</v>
      </c>
      <c r="Q240" s="637">
        <f>VLOOKUP($B240,'Afton Update'!$A$5:$CR$582,'Afton Update'!AI$589,0)</f>
        <v>5543.5542276505303</v>
      </c>
      <c r="R240" s="637">
        <f>VLOOKUP($B240,'Afton Update'!$A$5:$CR$582,'Afton Update'!AJ$589,0)</f>
        <v>9683.7465663172316</v>
      </c>
      <c r="S240" s="637">
        <f>VLOOKUP($B240,'Afton Update'!$A$5:$CR$582,'Afton Update'!AK$589,0)</f>
        <v>9014.2960010554434</v>
      </c>
      <c r="T240" s="643">
        <f t="shared" si="506"/>
        <v>40744.301743393611</v>
      </c>
      <c r="V240" s="636">
        <f t="shared" si="532"/>
        <v>16277.597341568502</v>
      </c>
      <c r="W240" s="637">
        <f t="shared" si="533"/>
        <v>5360.9698191540592</v>
      </c>
      <c r="X240" s="637">
        <f t="shared" si="534"/>
        <v>9595.6766721724671</v>
      </c>
      <c r="Y240" s="637">
        <f t="shared" si="535"/>
        <v>8914.974685685489</v>
      </c>
      <c r="Z240" s="643">
        <f t="shared" si="536"/>
        <v>40149.218518580514</v>
      </c>
      <c r="AB240" s="644">
        <f t="shared" si="507"/>
        <v>16502.704948370407</v>
      </c>
      <c r="AC240" s="645">
        <f t="shared" si="481"/>
        <v>16229.165100620037</v>
      </c>
      <c r="AD240" s="644">
        <f t="shared" si="537"/>
        <v>0</v>
      </c>
      <c r="AE240" s="645">
        <f t="shared" si="538"/>
        <v>16502.704948370407</v>
      </c>
      <c r="AF240" s="646">
        <f t="shared" si="539"/>
        <v>-204.56342928769934</v>
      </c>
      <c r="AG240" s="647">
        <f t="shared" si="540"/>
        <v>16298.141519082708</v>
      </c>
      <c r="AH240" s="644">
        <f t="shared" si="508"/>
        <v>0</v>
      </c>
      <c r="AI240" s="645">
        <f t="shared" si="509"/>
        <v>16298.141519082708</v>
      </c>
      <c r="AJ240" s="646">
        <f t="shared" si="541"/>
        <v>-20.53108888181162</v>
      </c>
      <c r="AK240" s="647">
        <f t="shared" si="510"/>
        <v>16277.610430200897</v>
      </c>
      <c r="AL240" s="644">
        <f t="shared" si="542"/>
        <v>0</v>
      </c>
      <c r="AM240" s="645">
        <f t="shared" si="543"/>
        <v>16277.610430200897</v>
      </c>
      <c r="AN240" s="646">
        <f t="shared" si="544"/>
        <v>-1.3088632394356864E-2</v>
      </c>
      <c r="AO240" s="647">
        <f t="shared" si="511"/>
        <v>16277.597341568502</v>
      </c>
      <c r="AP240" s="644">
        <f t="shared" si="545"/>
        <v>0</v>
      </c>
      <c r="AQ240" s="645">
        <f t="shared" si="546"/>
        <v>16277.597341568502</v>
      </c>
      <c r="AR240" s="646">
        <f t="shared" si="547"/>
        <v>0</v>
      </c>
      <c r="AS240" s="647">
        <f t="shared" si="512"/>
        <v>16277.597341568502</v>
      </c>
      <c r="AT240" s="644">
        <f t="shared" si="548"/>
        <v>0</v>
      </c>
      <c r="AU240" s="645">
        <f t="shared" si="549"/>
        <v>16277.597341568502</v>
      </c>
      <c r="AV240" s="646">
        <f t="shared" si="550"/>
        <v>0</v>
      </c>
      <c r="AW240" s="647">
        <f t="shared" si="513"/>
        <v>16277.597341568502</v>
      </c>
      <c r="AY240" s="644">
        <f t="shared" si="551"/>
        <v>5543.5542276505303</v>
      </c>
      <c r="AZ240" s="645">
        <f t="shared" si="482"/>
        <v>5109.3120471844986</v>
      </c>
      <c r="BA240" s="644">
        <f t="shared" si="552"/>
        <v>0</v>
      </c>
      <c r="BB240" s="645">
        <f t="shared" si="553"/>
        <v>5543.5542276505303</v>
      </c>
      <c r="BC240" s="646">
        <f t="shared" si="554"/>
        <v>-39.865314011506342</v>
      </c>
      <c r="BD240" s="647">
        <f t="shared" si="555"/>
        <v>5503.6889136390237</v>
      </c>
      <c r="BE240" s="644">
        <f t="shared" si="514"/>
        <v>0</v>
      </c>
      <c r="BF240" s="645">
        <f t="shared" si="515"/>
        <v>5503.6889136390237</v>
      </c>
      <c r="BG240" s="646">
        <f t="shared" si="556"/>
        <v>-131.09338473999603</v>
      </c>
      <c r="BH240" s="647">
        <f t="shared" si="516"/>
        <v>5372.5955288990281</v>
      </c>
      <c r="BI240" s="644">
        <f t="shared" si="557"/>
        <v>0</v>
      </c>
      <c r="BJ240" s="645">
        <f t="shared" si="558"/>
        <v>5372.5955288990281</v>
      </c>
      <c r="BK240" s="646">
        <f t="shared" si="559"/>
        <v>-11.380419202514032</v>
      </c>
      <c r="BL240" s="647">
        <f t="shared" si="517"/>
        <v>5361.2151096965144</v>
      </c>
      <c r="BM240" s="644">
        <f t="shared" si="560"/>
        <v>0</v>
      </c>
      <c r="BN240" s="645">
        <f t="shared" si="561"/>
        <v>5361.2151096965144</v>
      </c>
      <c r="BO240" s="646">
        <f t="shared" si="562"/>
        <v>-0.24529054245488022</v>
      </c>
      <c r="BP240" s="647">
        <f t="shared" si="518"/>
        <v>5360.9698191540592</v>
      </c>
      <c r="BQ240" s="644">
        <f t="shared" si="563"/>
        <v>0</v>
      </c>
      <c r="BR240" s="645">
        <f t="shared" si="564"/>
        <v>5360.9698191540592</v>
      </c>
      <c r="BS240" s="646">
        <f t="shared" si="565"/>
        <v>0</v>
      </c>
      <c r="BT240" s="647">
        <f t="shared" si="519"/>
        <v>5360.9698191540592</v>
      </c>
      <c r="BU240" s="662">
        <f>VLOOKUP(B240,'Afton Update'!$A$5:$AR$582,'Afton Update'!$AO$589,0)-BT240</f>
        <v>0</v>
      </c>
      <c r="BV240" s="644">
        <f t="shared" si="566"/>
        <v>9683.7465663172316</v>
      </c>
      <c r="BW240" s="645">
        <f t="shared" si="483"/>
        <v>8807.758536781248</v>
      </c>
      <c r="BX240" s="644">
        <f t="shared" si="567"/>
        <v>0</v>
      </c>
      <c r="BY240" s="645">
        <f t="shared" si="568"/>
        <v>9683.7465663172316</v>
      </c>
      <c r="BZ240" s="646">
        <f t="shared" si="569"/>
        <v>-84.995273176999433</v>
      </c>
      <c r="CA240" s="647">
        <f t="shared" si="570"/>
        <v>9598.7512931402325</v>
      </c>
      <c r="CB240" s="644">
        <f t="shared" si="520"/>
        <v>0</v>
      </c>
      <c r="CC240" s="645">
        <f t="shared" si="521"/>
        <v>9598.7512931402325</v>
      </c>
      <c r="CD240" s="646">
        <f t="shared" si="571"/>
        <v>-3.0746209677653993</v>
      </c>
      <c r="CE240" s="647">
        <f t="shared" si="522"/>
        <v>9595.6766721724671</v>
      </c>
      <c r="CF240" s="644">
        <f t="shared" si="572"/>
        <v>0</v>
      </c>
      <c r="CG240" s="645">
        <f t="shared" si="573"/>
        <v>9595.6766721724671</v>
      </c>
      <c r="CH240" s="646">
        <f t="shared" si="574"/>
        <v>0</v>
      </c>
      <c r="CI240" s="647">
        <f t="shared" si="523"/>
        <v>9595.6766721724671</v>
      </c>
      <c r="CJ240" s="644">
        <f t="shared" si="575"/>
        <v>0</v>
      </c>
      <c r="CK240" s="645">
        <f t="shared" si="576"/>
        <v>9595.6766721724671</v>
      </c>
      <c r="CL240" s="646">
        <f t="shared" si="577"/>
        <v>0</v>
      </c>
      <c r="CM240" s="647">
        <f t="shared" si="524"/>
        <v>9595.6766721724671</v>
      </c>
      <c r="CN240" s="644">
        <f t="shared" si="578"/>
        <v>0</v>
      </c>
      <c r="CO240" s="645">
        <f t="shared" si="579"/>
        <v>9595.6766721724671</v>
      </c>
      <c r="CP240" s="646">
        <f t="shared" si="580"/>
        <v>0</v>
      </c>
      <c r="CQ240" s="647">
        <f t="shared" si="525"/>
        <v>9595.6766721724671</v>
      </c>
      <c r="CS240" s="644">
        <f t="shared" si="581"/>
        <v>9014.2960010554434</v>
      </c>
      <c r="CT240" s="645">
        <f t="shared" si="484"/>
        <v>7395.5080870657084</v>
      </c>
      <c r="CU240" s="644">
        <f t="shared" si="582"/>
        <v>0</v>
      </c>
      <c r="CV240" s="645">
        <f t="shared" si="583"/>
        <v>9014.2960010554434</v>
      </c>
      <c r="CW240" s="646">
        <f t="shared" si="584"/>
        <v>-92.311485227573385</v>
      </c>
      <c r="CX240" s="647">
        <f t="shared" si="585"/>
        <v>8921.9845158278695</v>
      </c>
      <c r="CY240" s="644">
        <f t="shared" si="526"/>
        <v>0</v>
      </c>
      <c r="CZ240" s="645">
        <f t="shared" si="527"/>
        <v>8921.9845158278695</v>
      </c>
      <c r="DA240" s="646">
        <f t="shared" si="586"/>
        <v>-7.0037902456314276</v>
      </c>
      <c r="DB240" s="647">
        <f t="shared" si="528"/>
        <v>8914.9807255822379</v>
      </c>
      <c r="DC240" s="644">
        <f t="shared" si="587"/>
        <v>0</v>
      </c>
      <c r="DD240" s="645">
        <f t="shared" si="588"/>
        <v>8914.9807255822379</v>
      </c>
      <c r="DE240" s="646">
        <f t="shared" si="589"/>
        <v>-6.0398967481786513E-3</v>
      </c>
      <c r="DF240" s="647">
        <f t="shared" si="529"/>
        <v>8914.974685685489</v>
      </c>
      <c r="DG240" s="644">
        <f t="shared" si="590"/>
        <v>0</v>
      </c>
      <c r="DH240" s="645">
        <f t="shared" si="591"/>
        <v>8914.974685685489</v>
      </c>
      <c r="DI240" s="646">
        <f t="shared" si="592"/>
        <v>0</v>
      </c>
      <c r="DJ240" s="647">
        <f t="shared" si="530"/>
        <v>8914.974685685489</v>
      </c>
      <c r="DK240" s="644">
        <f t="shared" si="593"/>
        <v>0</v>
      </c>
      <c r="DL240" s="645">
        <f t="shared" si="594"/>
        <v>8914.974685685489</v>
      </c>
      <c r="DM240" s="646">
        <f t="shared" si="595"/>
        <v>0</v>
      </c>
      <c r="DN240" s="647">
        <f t="shared" si="531"/>
        <v>8914.974685685489</v>
      </c>
      <c r="DR240" s="827">
        <f t="shared" si="485"/>
        <v>40149.218518580514</v>
      </c>
      <c r="DV240" s="828">
        <f>IFERROR(VLOOKUP($B240,'Afton FY16 Final'!$A$5:$BV$587,'Afton FY16 Final'!$BV$587,0),0)</f>
        <v>35084.948012958368</v>
      </c>
      <c r="DX240" s="636">
        <f t="shared" si="473"/>
        <v>40149.218518580514</v>
      </c>
      <c r="DY240" s="637">
        <f t="shared" si="474"/>
        <v>5064.2705056221457</v>
      </c>
      <c r="DZ240" s="637">
        <f t="shared" si="475"/>
        <v>35084.948012958368</v>
      </c>
      <c r="EA240" s="643">
        <f t="shared" si="476"/>
        <v>38013.730061781935</v>
      </c>
      <c r="EB240" s="637">
        <f t="shared" si="486"/>
        <v>0</v>
      </c>
      <c r="EC240" s="637">
        <f t="shared" si="487"/>
        <v>38013.730061781935</v>
      </c>
      <c r="ED240" s="637">
        <f t="shared" si="488"/>
        <v>37900.375388451088</v>
      </c>
      <c r="EE240" s="643">
        <f t="shared" si="489"/>
        <v>37900.375388451088</v>
      </c>
      <c r="EF240" s="637">
        <f t="shared" si="490"/>
        <v>0</v>
      </c>
      <c r="EG240" s="637">
        <f t="shared" si="491"/>
        <v>37900.375388451088</v>
      </c>
      <c r="EH240" s="637">
        <f t="shared" si="492"/>
        <v>37900.336288113162</v>
      </c>
      <c r="EI240" s="643">
        <f t="shared" si="493"/>
        <v>37900.336288113162</v>
      </c>
      <c r="EJ240" s="637">
        <f t="shared" si="494"/>
        <v>0</v>
      </c>
      <c r="EK240" s="637">
        <f t="shared" si="495"/>
        <v>37900.336288113162</v>
      </c>
      <c r="EL240" s="637">
        <f t="shared" si="496"/>
        <v>37900.336288113103</v>
      </c>
      <c r="EM240" s="643">
        <f t="shared" si="497"/>
        <v>37900.336288113103</v>
      </c>
      <c r="EN240" s="637">
        <f t="shared" si="498"/>
        <v>0</v>
      </c>
      <c r="EO240" s="637">
        <f t="shared" si="499"/>
        <v>37900.336288113103</v>
      </c>
      <c r="EP240" s="637">
        <f t="shared" si="500"/>
        <v>37900.336288113162</v>
      </c>
      <c r="EQ240" s="643">
        <f t="shared" si="501"/>
        <v>37900.336288113162</v>
      </c>
      <c r="ER240" s="637">
        <f t="shared" si="502"/>
        <v>0</v>
      </c>
      <c r="ES240" s="637">
        <f t="shared" si="503"/>
        <v>37900.336288113162</v>
      </c>
      <c r="ET240" s="637">
        <f t="shared" si="504"/>
        <v>37900.336288113103</v>
      </c>
      <c r="EU240" s="643">
        <f t="shared" si="477"/>
        <v>37900.336288113103</v>
      </c>
      <c r="EV240" s="643">
        <f t="shared" si="478"/>
        <v>0</v>
      </c>
      <c r="EX240" s="829">
        <f t="shared" si="479"/>
        <v>2248.8822304674104</v>
      </c>
      <c r="EY240" s="638">
        <f t="shared" si="480"/>
        <v>37900.336288113103</v>
      </c>
      <c r="FC240" s="830" t="str">
        <f t="shared" si="505"/>
        <v>Y</v>
      </c>
      <c r="FE240" s="830" t="str">
        <f>IFERROR(VLOOKUP($B240,'Historical Conc Grant Elig'!$B$3:$J$707,'HH &amp; SI'!FE$2,0),"N")</f>
        <v>Y</v>
      </c>
      <c r="FF240" s="830" t="str">
        <f>IFERROR(VLOOKUP($B240,'Historical Conc Grant Elig'!$B$3:$J$707,'HH &amp; SI'!FF$2,0),"N")</f>
        <v>Y</v>
      </c>
      <c r="FG240" s="830" t="str">
        <f>IFERROR(VLOOKUP($B240,'Historical Conc Grant Elig'!$B$3:$J$707,'HH &amp; SI'!FG$2,0),"N")</f>
        <v>Y</v>
      </c>
      <c r="FH240" s="830" t="str">
        <f>IFERROR(VLOOKUP($B240,'Historical Conc Grant Elig'!$B$3:$J$707,'HH &amp; SI'!FH$2,0),"N")</f>
        <v>N</v>
      </c>
      <c r="FI240" s="830" t="str">
        <f>IFERROR(VLOOKUP($B240,'Historical Conc Grant Elig'!$B$3:$J$707,'HH &amp; SI'!FI$2,0),"N")</f>
        <v>Y</v>
      </c>
      <c r="FJ240" s="830" t="str">
        <f>IFERROR(VLOOKUP($B240,'Historical Conc Grant Elig'!$B$3:$J$707,'HH &amp; SI'!FJ$2,0),"N")</f>
        <v>Y</v>
      </c>
      <c r="FK240" s="830" t="str">
        <f>IFERROR(VLOOKUP($B240,'Historical Conc Grant Elig'!$B$3:$J$707,'HH &amp; SI'!FK$2,0),"N")</f>
        <v>Y</v>
      </c>
      <c r="FL240" s="957" t="str">
        <f>IFERROR(VLOOKUP($B240,'Historical Conc Grant Elig'!$B$3:$J$707,'HH &amp; SI'!FL$2,0),"N")</f>
        <v>Y</v>
      </c>
    </row>
    <row r="241" spans="2:168" x14ac:dyDescent="0.25">
      <c r="B241" s="634">
        <v>78718000</v>
      </c>
      <c r="C241" s="635" t="str">
        <f>VLOOKUP($B241,'Afton Update'!$A$5:$CR$582,'Afton Update'!D$589,0)</f>
        <v>Kaizen Education Foundation dba El Dorado High School</v>
      </c>
      <c r="D241" s="636">
        <f>IFERROR(VLOOKUP($B241,'Afton FY16 Final'!$A$5:$BV$587,'Afton FY16 Final'!AQ$587,0),0)</f>
        <v>49808.442682277804</v>
      </c>
      <c r="E241" s="637">
        <f>IFERROR(VLOOKUP($B241,'Afton FY16 Final'!$A$5:$BV$587,'Afton FY16 Final'!AR$587,0),0)</f>
        <v>12022.035475464379</v>
      </c>
      <c r="F241" s="637">
        <f>IFERROR(VLOOKUP($B241,'Afton FY16 Final'!$A$5:$BV$587,'Afton FY16 Final'!AS$587,0),0)</f>
        <v>27031.626920959196</v>
      </c>
      <c r="G241" s="637">
        <f>IFERROR(VLOOKUP($B241,'Afton FY16 Final'!$A$5:$BV$587,'Afton FY16 Final'!AT$587,0),0)</f>
        <v>24440.557760322696</v>
      </c>
      <c r="H241" s="638">
        <f>IFERROR(VLOOKUP($B241,'Afton FY16 Final'!$A$5:$BV$587,'Afton FY16 Final'!AU$587,0),0)</f>
        <v>113302.66283902408</v>
      </c>
      <c r="I241" s="639" t="str">
        <f>VLOOKUP($B241,'Afton Update'!$A$5:$CR$582,'Afton Update'!BT$589,0)</f>
        <v>Y</v>
      </c>
      <c r="J241" s="640" t="str">
        <f>VLOOKUP($B241,'Afton Update'!$A$5:$CR$582,'Afton Update'!BU$589,0)</f>
        <v>Y</v>
      </c>
      <c r="K241" s="640" t="str">
        <f>VLOOKUP($B241,'Afton Update'!$A$5:$CR$582,'Afton Update'!BV$589,0)</f>
        <v>Y</v>
      </c>
      <c r="L241" s="641" t="str">
        <f>VLOOKUP($B241,'Afton Update'!$A$5:$CR$582,'Afton Update'!BW$589,0)</f>
        <v>Y</v>
      </c>
      <c r="N241" s="642">
        <f>VLOOKUP($B241,'Afton Update'!$A$5:$CR$582,'Afton Update'!CB$589,0)</f>
        <v>0.95</v>
      </c>
      <c r="P241" s="636">
        <f>VLOOKUP($B241,'Afton Update'!$A$5:$CR$582,'Afton Update'!AH$589,0)</f>
        <v>45681.400654184756</v>
      </c>
      <c r="Q241" s="637">
        <f>VLOOKUP($B241,'Afton Update'!$A$5:$CR$582,'Afton Update'!AI$589,0)</f>
        <v>11577.661576462384</v>
      </c>
      <c r="R241" s="637">
        <f>VLOOKUP($B241,'Afton Update'!$A$5:$CR$582,'Afton Update'!AJ$589,0)</f>
        <v>26760.928049995939</v>
      </c>
      <c r="S241" s="637">
        <f>VLOOKUP($B241,'Afton Update'!$A$5:$CR$582,'Afton Update'!AK$589,0)</f>
        <v>24910.908712200155</v>
      </c>
      <c r="T241" s="643">
        <f t="shared" si="506"/>
        <v>108930.89899284323</v>
      </c>
      <c r="V241" s="636">
        <f t="shared" si="532"/>
        <v>47318.020548163913</v>
      </c>
      <c r="W241" s="637">
        <f t="shared" si="533"/>
        <v>11420.93370169116</v>
      </c>
      <c r="X241" s="637">
        <f t="shared" si="534"/>
        <v>26517.547857790523</v>
      </c>
      <c r="Y241" s="637">
        <f t="shared" si="535"/>
        <v>24636.435340117983</v>
      </c>
      <c r="Z241" s="643">
        <f t="shared" si="536"/>
        <v>109892.93744776357</v>
      </c>
      <c r="AB241" s="644">
        <f t="shared" si="507"/>
        <v>45681.400654184756</v>
      </c>
      <c r="AC241" s="645">
        <f t="shared" si="481"/>
        <v>47318.020548163913</v>
      </c>
      <c r="AD241" s="644">
        <f t="shared" si="537"/>
        <v>1636.6198939791575</v>
      </c>
      <c r="AE241" s="645">
        <f t="shared" si="538"/>
        <v>0</v>
      </c>
      <c r="AF241" s="646">
        <f t="shared" si="539"/>
        <v>0</v>
      </c>
      <c r="AG241" s="647">
        <f t="shared" si="540"/>
        <v>47318.020548163913</v>
      </c>
      <c r="AH241" s="644">
        <f t="shared" si="508"/>
        <v>0</v>
      </c>
      <c r="AI241" s="645">
        <f t="shared" si="509"/>
        <v>0</v>
      </c>
      <c r="AJ241" s="646">
        <f t="shared" si="541"/>
        <v>0</v>
      </c>
      <c r="AK241" s="647">
        <f t="shared" si="510"/>
        <v>47318.020548163913</v>
      </c>
      <c r="AL241" s="644">
        <f t="shared" si="542"/>
        <v>0</v>
      </c>
      <c r="AM241" s="645">
        <f t="shared" si="543"/>
        <v>0</v>
      </c>
      <c r="AN241" s="646">
        <f t="shared" si="544"/>
        <v>0</v>
      </c>
      <c r="AO241" s="647">
        <f t="shared" si="511"/>
        <v>47318.020548163913</v>
      </c>
      <c r="AP241" s="644">
        <f t="shared" si="545"/>
        <v>0</v>
      </c>
      <c r="AQ241" s="645">
        <f t="shared" si="546"/>
        <v>0</v>
      </c>
      <c r="AR241" s="646">
        <f t="shared" si="547"/>
        <v>0</v>
      </c>
      <c r="AS241" s="647">
        <f t="shared" si="512"/>
        <v>47318.020548163913</v>
      </c>
      <c r="AT241" s="644">
        <f t="shared" si="548"/>
        <v>0</v>
      </c>
      <c r="AU241" s="645">
        <f t="shared" si="549"/>
        <v>0</v>
      </c>
      <c r="AV241" s="646">
        <f t="shared" si="550"/>
        <v>0</v>
      </c>
      <c r="AW241" s="647">
        <f t="shared" si="513"/>
        <v>47318.020548163913</v>
      </c>
      <c r="AY241" s="644">
        <f t="shared" si="551"/>
        <v>11577.661576462384</v>
      </c>
      <c r="AZ241" s="645">
        <f t="shared" si="482"/>
        <v>11420.93370169116</v>
      </c>
      <c r="BA241" s="644">
        <f t="shared" si="552"/>
        <v>0</v>
      </c>
      <c r="BB241" s="645">
        <f t="shared" si="553"/>
        <v>11577.661576462384</v>
      </c>
      <c r="BC241" s="646">
        <f t="shared" si="554"/>
        <v>-83.258338479397779</v>
      </c>
      <c r="BD241" s="647">
        <f t="shared" si="555"/>
        <v>11494.403237982986</v>
      </c>
      <c r="BE241" s="644">
        <f t="shared" si="514"/>
        <v>0</v>
      </c>
      <c r="BF241" s="645">
        <f t="shared" si="515"/>
        <v>11494.403237982986</v>
      </c>
      <c r="BG241" s="646">
        <f t="shared" si="556"/>
        <v>-273.78731786590771</v>
      </c>
      <c r="BH241" s="647">
        <f t="shared" si="516"/>
        <v>11220.615920117078</v>
      </c>
      <c r="BI241" s="644">
        <f t="shared" si="557"/>
        <v>-200.31778157408189</v>
      </c>
      <c r="BJ241" s="645">
        <f t="shared" si="558"/>
        <v>0</v>
      </c>
      <c r="BK241" s="646">
        <f t="shared" si="559"/>
        <v>0</v>
      </c>
      <c r="BL241" s="647">
        <f t="shared" si="517"/>
        <v>11420.93370169116</v>
      </c>
      <c r="BM241" s="644">
        <f t="shared" si="560"/>
        <v>0</v>
      </c>
      <c r="BN241" s="645">
        <f t="shared" si="561"/>
        <v>0</v>
      </c>
      <c r="BO241" s="646">
        <f t="shared" si="562"/>
        <v>0</v>
      </c>
      <c r="BP241" s="647">
        <f t="shared" si="518"/>
        <v>11420.93370169116</v>
      </c>
      <c r="BQ241" s="644">
        <f t="shared" si="563"/>
        <v>0</v>
      </c>
      <c r="BR241" s="645">
        <f t="shared" si="564"/>
        <v>0</v>
      </c>
      <c r="BS241" s="646">
        <f t="shared" si="565"/>
        <v>0</v>
      </c>
      <c r="BT241" s="647">
        <f t="shared" si="519"/>
        <v>11420.93370169116</v>
      </c>
      <c r="BU241" s="662">
        <f>VLOOKUP(B241,'Afton Update'!$A$5:$AR$582,'Afton Update'!$AO$589,0)-BT241</f>
        <v>0</v>
      </c>
      <c r="BV241" s="644">
        <f t="shared" si="566"/>
        <v>26760.928049995939</v>
      </c>
      <c r="BW241" s="645">
        <f t="shared" si="483"/>
        <v>25680.045574911233</v>
      </c>
      <c r="BX241" s="644">
        <f t="shared" si="567"/>
        <v>0</v>
      </c>
      <c r="BY241" s="645">
        <f t="shared" si="568"/>
        <v>26760.928049995939</v>
      </c>
      <c r="BZ241" s="646">
        <f t="shared" si="569"/>
        <v>-234.88351068489942</v>
      </c>
      <c r="CA241" s="647">
        <f t="shared" si="570"/>
        <v>26526.044539311039</v>
      </c>
      <c r="CB241" s="644">
        <f t="shared" si="520"/>
        <v>0</v>
      </c>
      <c r="CC241" s="645">
        <f t="shared" si="521"/>
        <v>26526.044539311039</v>
      </c>
      <c r="CD241" s="646">
        <f t="shared" si="571"/>
        <v>-8.4966815205150539</v>
      </c>
      <c r="CE241" s="647">
        <f t="shared" si="522"/>
        <v>26517.547857790523</v>
      </c>
      <c r="CF241" s="644">
        <f t="shared" si="572"/>
        <v>0</v>
      </c>
      <c r="CG241" s="645">
        <f t="shared" si="573"/>
        <v>26517.547857790523</v>
      </c>
      <c r="CH241" s="646">
        <f t="shared" si="574"/>
        <v>0</v>
      </c>
      <c r="CI241" s="647">
        <f t="shared" si="523"/>
        <v>26517.547857790523</v>
      </c>
      <c r="CJ241" s="644">
        <f t="shared" si="575"/>
        <v>0</v>
      </c>
      <c r="CK241" s="645">
        <f t="shared" si="576"/>
        <v>26517.547857790523</v>
      </c>
      <c r="CL241" s="646">
        <f t="shared" si="577"/>
        <v>0</v>
      </c>
      <c r="CM241" s="647">
        <f t="shared" si="524"/>
        <v>26517.547857790523</v>
      </c>
      <c r="CN241" s="644">
        <f t="shared" si="578"/>
        <v>0</v>
      </c>
      <c r="CO241" s="645">
        <f t="shared" si="579"/>
        <v>26517.547857790523</v>
      </c>
      <c r="CP241" s="646">
        <f t="shared" si="580"/>
        <v>0</v>
      </c>
      <c r="CQ241" s="647">
        <f t="shared" si="525"/>
        <v>26517.547857790523</v>
      </c>
      <c r="CS241" s="644">
        <f t="shared" si="581"/>
        <v>24910.908712200155</v>
      </c>
      <c r="CT241" s="645">
        <f t="shared" si="484"/>
        <v>23218.529872306561</v>
      </c>
      <c r="CU241" s="644">
        <f t="shared" si="582"/>
        <v>0</v>
      </c>
      <c r="CV241" s="645">
        <f t="shared" si="583"/>
        <v>24910.908712200155</v>
      </c>
      <c r="CW241" s="646">
        <f t="shared" si="584"/>
        <v>-255.10178291487745</v>
      </c>
      <c r="CX241" s="647">
        <f t="shared" si="585"/>
        <v>24655.806929285278</v>
      </c>
      <c r="CY241" s="644">
        <f t="shared" si="526"/>
        <v>0</v>
      </c>
      <c r="CZ241" s="645">
        <f t="shared" si="527"/>
        <v>24655.806929285278</v>
      </c>
      <c r="DA241" s="646">
        <f t="shared" si="586"/>
        <v>-19.354897978488214</v>
      </c>
      <c r="DB241" s="647">
        <f t="shared" si="528"/>
        <v>24636.452031306791</v>
      </c>
      <c r="DC241" s="644">
        <f t="shared" si="587"/>
        <v>0</v>
      </c>
      <c r="DD241" s="645">
        <f t="shared" si="588"/>
        <v>24636.452031306791</v>
      </c>
      <c r="DE241" s="646">
        <f t="shared" si="589"/>
        <v>-1.6691188808019661E-2</v>
      </c>
      <c r="DF241" s="647">
        <f t="shared" si="529"/>
        <v>24636.435340117983</v>
      </c>
      <c r="DG241" s="644">
        <f t="shared" si="590"/>
        <v>0</v>
      </c>
      <c r="DH241" s="645">
        <f t="shared" si="591"/>
        <v>24636.435340117983</v>
      </c>
      <c r="DI241" s="646">
        <f t="shared" si="592"/>
        <v>0</v>
      </c>
      <c r="DJ241" s="647">
        <f t="shared" si="530"/>
        <v>24636.435340117983</v>
      </c>
      <c r="DK241" s="644">
        <f t="shared" si="593"/>
        <v>0</v>
      </c>
      <c r="DL241" s="645">
        <f t="shared" si="594"/>
        <v>24636.435340117983</v>
      </c>
      <c r="DM241" s="646">
        <f t="shared" si="595"/>
        <v>0</v>
      </c>
      <c r="DN241" s="647">
        <f t="shared" si="531"/>
        <v>24636.435340117983</v>
      </c>
      <c r="DR241" s="827">
        <f t="shared" si="485"/>
        <v>109892.93744776357</v>
      </c>
      <c r="DV241" s="828">
        <f>IFERROR(VLOOKUP($B241,'Afton FY16 Final'!$A$5:$BV$587,'Afton FY16 Final'!$BV$587,0),0)</f>
        <v>108868.73610481386</v>
      </c>
      <c r="DX241" s="636">
        <f t="shared" si="473"/>
        <v>109892.93744776357</v>
      </c>
      <c r="DY241" s="637">
        <f t="shared" si="474"/>
        <v>1024.2013429497165</v>
      </c>
      <c r="DZ241" s="637">
        <f t="shared" si="475"/>
        <v>108868.73610481386</v>
      </c>
      <c r="EA241" s="643">
        <f t="shared" si="476"/>
        <v>104047.86478975447</v>
      </c>
      <c r="EB241" s="637">
        <f t="shared" si="486"/>
        <v>108868.73610481386</v>
      </c>
      <c r="EC241" s="637">
        <f t="shared" si="487"/>
        <v>0</v>
      </c>
      <c r="ED241" s="637">
        <f t="shared" si="488"/>
        <v>0</v>
      </c>
      <c r="EE241" s="643">
        <f t="shared" si="489"/>
        <v>108868.73610481386</v>
      </c>
      <c r="EF241" s="637">
        <f t="shared" si="490"/>
        <v>0</v>
      </c>
      <c r="EG241" s="637">
        <f t="shared" si="491"/>
        <v>0</v>
      </c>
      <c r="EH241" s="637">
        <f t="shared" si="492"/>
        <v>0</v>
      </c>
      <c r="EI241" s="643">
        <f t="shared" si="493"/>
        <v>108868.73610481386</v>
      </c>
      <c r="EJ241" s="637">
        <f t="shared" si="494"/>
        <v>0</v>
      </c>
      <c r="EK241" s="637">
        <f t="shared" si="495"/>
        <v>0</v>
      </c>
      <c r="EL241" s="637">
        <f t="shared" si="496"/>
        <v>0</v>
      </c>
      <c r="EM241" s="643">
        <f t="shared" si="497"/>
        <v>108868.73610481386</v>
      </c>
      <c r="EN241" s="637">
        <f t="shared" si="498"/>
        <v>0</v>
      </c>
      <c r="EO241" s="637">
        <f t="shared" si="499"/>
        <v>0</v>
      </c>
      <c r="EP241" s="637">
        <f t="shared" si="500"/>
        <v>0</v>
      </c>
      <c r="EQ241" s="643">
        <f t="shared" si="501"/>
        <v>108868.73610481386</v>
      </c>
      <c r="ER241" s="637">
        <f t="shared" si="502"/>
        <v>0</v>
      </c>
      <c r="ES241" s="637">
        <f t="shared" si="503"/>
        <v>0</v>
      </c>
      <c r="ET241" s="637">
        <f t="shared" si="504"/>
        <v>0</v>
      </c>
      <c r="EU241" s="643">
        <f t="shared" si="477"/>
        <v>108868.73610481386</v>
      </c>
      <c r="EV241" s="643">
        <f t="shared" si="478"/>
        <v>0</v>
      </c>
      <c r="EX241" s="829">
        <f t="shared" si="479"/>
        <v>1024.2013429497165</v>
      </c>
      <c r="EY241" s="638">
        <f t="shared" si="480"/>
        <v>108868.73610481386</v>
      </c>
      <c r="FC241" s="830" t="str">
        <f t="shared" si="505"/>
        <v>Y</v>
      </c>
      <c r="FE241" s="830" t="str">
        <f>IFERROR(VLOOKUP($B241,'Historical Conc Grant Elig'!$B$3:$J$707,'HH &amp; SI'!FE$2,0),"N")</f>
        <v>Y</v>
      </c>
      <c r="FF241" s="830" t="str">
        <f>IFERROR(VLOOKUP($B241,'Historical Conc Grant Elig'!$B$3:$J$707,'HH &amp; SI'!FF$2,0),"N")</f>
        <v>Y</v>
      </c>
      <c r="FG241" s="830" t="str">
        <f>IFERROR(VLOOKUP($B241,'Historical Conc Grant Elig'!$B$3:$J$707,'HH &amp; SI'!FG$2,0),"N")</f>
        <v>Y</v>
      </c>
      <c r="FH241" s="830" t="str">
        <f>IFERROR(VLOOKUP($B241,'Historical Conc Grant Elig'!$B$3:$J$707,'HH &amp; SI'!FH$2,0),"N")</f>
        <v>Y</v>
      </c>
      <c r="FI241" s="830" t="str">
        <f>IFERROR(VLOOKUP($B241,'Historical Conc Grant Elig'!$B$3:$J$707,'HH &amp; SI'!FI$2,0),"N")</f>
        <v>Y</v>
      </c>
      <c r="FJ241" s="830" t="str">
        <f>IFERROR(VLOOKUP($B241,'Historical Conc Grant Elig'!$B$3:$J$707,'HH &amp; SI'!FJ$2,0),"N")</f>
        <v>Y</v>
      </c>
      <c r="FK241" s="830" t="str">
        <f>IFERROR(VLOOKUP($B241,'Historical Conc Grant Elig'!$B$3:$J$707,'HH &amp; SI'!FK$2,0),"N")</f>
        <v>Y</v>
      </c>
      <c r="FL241" s="957" t="str">
        <f>IFERROR(VLOOKUP($B241,'Historical Conc Grant Elig'!$B$3:$J$707,'HH &amp; SI'!FL$2,0),"N")</f>
        <v>Y</v>
      </c>
    </row>
    <row r="242" spans="2:168" x14ac:dyDescent="0.25">
      <c r="B242" s="634">
        <v>78723000</v>
      </c>
      <c r="C242" s="635" t="str">
        <f>VLOOKUP($B242,'Afton Update'!$A$5:$CR$582,'Afton Update'!D$589,0)</f>
        <v>Arizona Call-a-Teen Youth Resources  Inc.</v>
      </c>
      <c r="D242" s="636">
        <f>IFERROR(VLOOKUP($B242,'Afton FY16 Final'!$A$5:$BV$587,'Afton FY16 Final'!AQ$587,0),0)</f>
        <v>14674.918920057118</v>
      </c>
      <c r="E242" s="637">
        <f>IFERROR(VLOOKUP($B242,'Afton FY16 Final'!$A$5:$BV$587,'Afton FY16 Final'!AR$587,0),0)</f>
        <v>4078.3468942775066</v>
      </c>
      <c r="F242" s="637">
        <f>IFERROR(VLOOKUP($B242,'Afton FY16 Final'!$A$5:$BV$587,'Afton FY16 Final'!AS$587,0),0)</f>
        <v>7512.1197661055203</v>
      </c>
      <c r="G242" s="637">
        <f>IFERROR(VLOOKUP($B242,'Afton FY16 Final'!$A$5:$BV$587,'Afton FY16 Final'!AT$587,0),0)</f>
        <v>7512.0329046879269</v>
      </c>
      <c r="H242" s="638">
        <f>IFERROR(VLOOKUP($B242,'Afton FY16 Final'!$A$5:$BV$587,'Afton FY16 Final'!AU$587,0),0)</f>
        <v>33777.418485128073</v>
      </c>
      <c r="I242" s="639" t="str">
        <f>VLOOKUP($B242,'Afton Update'!$A$5:$CR$582,'Afton Update'!BT$589,0)</f>
        <v>Y</v>
      </c>
      <c r="J242" s="640" t="str">
        <f>VLOOKUP($B242,'Afton Update'!$A$5:$CR$582,'Afton Update'!BU$589,0)</f>
        <v>Y</v>
      </c>
      <c r="K242" s="640" t="str">
        <f>VLOOKUP($B242,'Afton Update'!$A$5:$CR$582,'Afton Update'!BV$589,0)</f>
        <v>Y</v>
      </c>
      <c r="L242" s="641" t="str">
        <f>VLOOKUP($B242,'Afton Update'!$A$5:$CR$582,'Afton Update'!BW$589,0)</f>
        <v>Y</v>
      </c>
      <c r="N242" s="642">
        <f>VLOOKUP($B242,'Afton Update'!$A$5:$CR$582,'Afton Update'!CB$589,0)</f>
        <v>0.95</v>
      </c>
      <c r="P242" s="636">
        <f>VLOOKUP($B242,'Afton Update'!$A$5:$CR$582,'Afton Update'!AH$589,0)</f>
        <v>12436.821120511033</v>
      </c>
      <c r="Q242" s="637">
        <f>VLOOKUP($B242,'Afton Update'!$A$5:$CR$582,'Afton Update'!AI$589,0)</f>
        <v>4702.7359905210105</v>
      </c>
      <c r="R242" s="637">
        <f>VLOOKUP($B242,'Afton Update'!$A$5:$CR$582,'Afton Update'!AJ$589,0)</f>
        <v>7304.1393103947894</v>
      </c>
      <c r="S242" s="637">
        <f>VLOOKUP($B242,'Afton Update'!$A$5:$CR$582,'Afton Update'!AK$589,0)</f>
        <v>6799.194229830362</v>
      </c>
      <c r="T242" s="643">
        <f t="shared" si="506"/>
        <v>31242.890651257196</v>
      </c>
      <c r="V242" s="636">
        <f t="shared" si="532"/>
        <v>13941.172974054261</v>
      </c>
      <c r="W242" s="637">
        <f t="shared" si="533"/>
        <v>4547.8450606440128</v>
      </c>
      <c r="X242" s="637">
        <f t="shared" si="534"/>
        <v>7237.7110151601146</v>
      </c>
      <c r="Y242" s="637">
        <f t="shared" si="535"/>
        <v>7136.4312594535304</v>
      </c>
      <c r="Z242" s="643">
        <f t="shared" si="536"/>
        <v>32863.160309311919</v>
      </c>
      <c r="AB242" s="644">
        <f t="shared" si="507"/>
        <v>12436.821120511033</v>
      </c>
      <c r="AC242" s="645">
        <f t="shared" si="481"/>
        <v>13941.172974054261</v>
      </c>
      <c r="AD242" s="644">
        <f t="shared" si="537"/>
        <v>1504.3518535432286</v>
      </c>
      <c r="AE242" s="645">
        <f t="shared" si="538"/>
        <v>0</v>
      </c>
      <c r="AF242" s="646">
        <f t="shared" si="539"/>
        <v>0</v>
      </c>
      <c r="AG242" s="647">
        <f t="shared" si="540"/>
        <v>13941.172974054261</v>
      </c>
      <c r="AH242" s="644">
        <f t="shared" si="508"/>
        <v>0</v>
      </c>
      <c r="AI242" s="645">
        <f t="shared" si="509"/>
        <v>0</v>
      </c>
      <c r="AJ242" s="646">
        <f t="shared" si="541"/>
        <v>0</v>
      </c>
      <c r="AK242" s="647">
        <f t="shared" si="510"/>
        <v>13941.172974054261</v>
      </c>
      <c r="AL242" s="644">
        <f t="shared" si="542"/>
        <v>0</v>
      </c>
      <c r="AM242" s="645">
        <f t="shared" si="543"/>
        <v>0</v>
      </c>
      <c r="AN242" s="646">
        <f t="shared" si="544"/>
        <v>0</v>
      </c>
      <c r="AO242" s="647">
        <f t="shared" si="511"/>
        <v>13941.172974054261</v>
      </c>
      <c r="AP242" s="644">
        <f t="shared" si="545"/>
        <v>0</v>
      </c>
      <c r="AQ242" s="645">
        <f t="shared" si="546"/>
        <v>0</v>
      </c>
      <c r="AR242" s="646">
        <f t="shared" si="547"/>
        <v>0</v>
      </c>
      <c r="AS242" s="647">
        <f t="shared" si="512"/>
        <v>13941.172974054261</v>
      </c>
      <c r="AT242" s="644">
        <f t="shared" si="548"/>
        <v>0</v>
      </c>
      <c r="AU242" s="645">
        <f t="shared" si="549"/>
        <v>0</v>
      </c>
      <c r="AV242" s="646">
        <f t="shared" si="550"/>
        <v>0</v>
      </c>
      <c r="AW242" s="647">
        <f t="shared" si="513"/>
        <v>13941.172974054261</v>
      </c>
      <c r="AY242" s="644">
        <f t="shared" si="551"/>
        <v>4702.7359905210105</v>
      </c>
      <c r="AZ242" s="645">
        <f t="shared" si="482"/>
        <v>3874.4295495636311</v>
      </c>
      <c r="BA242" s="644">
        <f t="shared" si="552"/>
        <v>0</v>
      </c>
      <c r="BB242" s="645">
        <f t="shared" si="553"/>
        <v>4702.7359905210105</v>
      </c>
      <c r="BC242" s="646">
        <f t="shared" si="554"/>
        <v>-33.818745028275565</v>
      </c>
      <c r="BD242" s="647">
        <f t="shared" si="555"/>
        <v>4668.9172454927348</v>
      </c>
      <c r="BE242" s="644">
        <f t="shared" si="514"/>
        <v>0</v>
      </c>
      <c r="BF242" s="645">
        <f t="shared" si="515"/>
        <v>4668.9172454927348</v>
      </c>
      <c r="BG242" s="646">
        <f t="shared" si="556"/>
        <v>-111.20980389458212</v>
      </c>
      <c r="BH242" s="647">
        <f t="shared" si="516"/>
        <v>4557.7074415981524</v>
      </c>
      <c r="BI242" s="644">
        <f t="shared" si="557"/>
        <v>0</v>
      </c>
      <c r="BJ242" s="645">
        <f t="shared" si="558"/>
        <v>4557.7074415981524</v>
      </c>
      <c r="BK242" s="646">
        <f t="shared" si="559"/>
        <v>-9.6542948392085322</v>
      </c>
      <c r="BL242" s="647">
        <f t="shared" si="517"/>
        <v>4548.0531467589435</v>
      </c>
      <c r="BM242" s="644">
        <f t="shared" si="560"/>
        <v>0</v>
      </c>
      <c r="BN242" s="645">
        <f t="shared" si="561"/>
        <v>4548.0531467589435</v>
      </c>
      <c r="BO242" s="646">
        <f t="shared" si="562"/>
        <v>-0.20808611493025456</v>
      </c>
      <c r="BP242" s="647">
        <f t="shared" si="518"/>
        <v>4547.8450606440128</v>
      </c>
      <c r="BQ242" s="644">
        <f t="shared" si="563"/>
        <v>0</v>
      </c>
      <c r="BR242" s="645">
        <f t="shared" si="564"/>
        <v>4547.8450606440128</v>
      </c>
      <c r="BS242" s="646">
        <f t="shared" si="565"/>
        <v>0</v>
      </c>
      <c r="BT242" s="647">
        <f t="shared" si="519"/>
        <v>4547.8450606440128</v>
      </c>
      <c r="BU242" s="662">
        <f>VLOOKUP(B242,'Afton Update'!$A$5:$AR$582,'Afton Update'!$AO$589,0)-BT242</f>
        <v>0</v>
      </c>
      <c r="BV242" s="644">
        <f t="shared" si="566"/>
        <v>7304.1393103947894</v>
      </c>
      <c r="BW242" s="645">
        <f t="shared" si="483"/>
        <v>7136.5137778002436</v>
      </c>
      <c r="BX242" s="644">
        <f t="shared" si="567"/>
        <v>0</v>
      </c>
      <c r="BY242" s="645">
        <f t="shared" si="568"/>
        <v>7304.1393103947894</v>
      </c>
      <c r="BZ242" s="646">
        <f t="shared" si="569"/>
        <v>-64.109207294751073</v>
      </c>
      <c r="CA242" s="647">
        <f t="shared" si="570"/>
        <v>7240.0301031000381</v>
      </c>
      <c r="CB242" s="644">
        <f t="shared" si="520"/>
        <v>0</v>
      </c>
      <c r="CC242" s="645">
        <f t="shared" si="521"/>
        <v>7240.0301031000381</v>
      </c>
      <c r="CD242" s="646">
        <f t="shared" si="571"/>
        <v>-2.3190879399232345</v>
      </c>
      <c r="CE242" s="647">
        <f t="shared" si="522"/>
        <v>7237.7110151601146</v>
      </c>
      <c r="CF242" s="644">
        <f t="shared" si="572"/>
        <v>0</v>
      </c>
      <c r="CG242" s="645">
        <f t="shared" si="573"/>
        <v>7237.7110151601146</v>
      </c>
      <c r="CH242" s="646">
        <f t="shared" si="574"/>
        <v>0</v>
      </c>
      <c r="CI242" s="647">
        <f t="shared" si="523"/>
        <v>7237.7110151601146</v>
      </c>
      <c r="CJ242" s="644">
        <f t="shared" si="575"/>
        <v>0</v>
      </c>
      <c r="CK242" s="645">
        <f t="shared" si="576"/>
        <v>7237.7110151601146</v>
      </c>
      <c r="CL242" s="646">
        <f t="shared" si="577"/>
        <v>0</v>
      </c>
      <c r="CM242" s="647">
        <f t="shared" si="524"/>
        <v>7237.7110151601146</v>
      </c>
      <c r="CN242" s="644">
        <f t="shared" si="578"/>
        <v>0</v>
      </c>
      <c r="CO242" s="645">
        <f t="shared" si="579"/>
        <v>7237.7110151601146</v>
      </c>
      <c r="CP242" s="646">
        <f t="shared" si="580"/>
        <v>0</v>
      </c>
      <c r="CQ242" s="647">
        <f t="shared" si="525"/>
        <v>7237.7110151601146</v>
      </c>
      <c r="CS242" s="644">
        <f t="shared" si="581"/>
        <v>6799.194229830362</v>
      </c>
      <c r="CT242" s="645">
        <f t="shared" si="484"/>
        <v>7136.4312594535304</v>
      </c>
      <c r="CU242" s="644">
        <f t="shared" si="582"/>
        <v>337.23702962316838</v>
      </c>
      <c r="CV242" s="645">
        <f t="shared" si="583"/>
        <v>0</v>
      </c>
      <c r="CW242" s="646">
        <f t="shared" si="584"/>
        <v>0</v>
      </c>
      <c r="CX242" s="647">
        <f t="shared" si="585"/>
        <v>7136.4312594535304</v>
      </c>
      <c r="CY242" s="644">
        <f t="shared" si="526"/>
        <v>0</v>
      </c>
      <c r="CZ242" s="645">
        <f t="shared" si="527"/>
        <v>0</v>
      </c>
      <c r="DA242" s="646">
        <f t="shared" si="586"/>
        <v>0</v>
      </c>
      <c r="DB242" s="647">
        <f t="shared" si="528"/>
        <v>7136.4312594535304</v>
      </c>
      <c r="DC242" s="644">
        <f t="shared" si="587"/>
        <v>0</v>
      </c>
      <c r="DD242" s="645">
        <f t="shared" si="588"/>
        <v>0</v>
      </c>
      <c r="DE242" s="646">
        <f t="shared" si="589"/>
        <v>0</v>
      </c>
      <c r="DF242" s="647">
        <f t="shared" si="529"/>
        <v>7136.4312594535304</v>
      </c>
      <c r="DG242" s="644">
        <f t="shared" si="590"/>
        <v>0</v>
      </c>
      <c r="DH242" s="645">
        <f t="shared" si="591"/>
        <v>0</v>
      </c>
      <c r="DI242" s="646">
        <f t="shared" si="592"/>
        <v>0</v>
      </c>
      <c r="DJ242" s="647">
        <f t="shared" si="530"/>
        <v>7136.4312594535304</v>
      </c>
      <c r="DK242" s="644">
        <f t="shared" si="593"/>
        <v>0</v>
      </c>
      <c r="DL242" s="645">
        <f t="shared" si="594"/>
        <v>0</v>
      </c>
      <c r="DM242" s="646">
        <f t="shared" si="595"/>
        <v>0</v>
      </c>
      <c r="DN242" s="647">
        <f t="shared" si="531"/>
        <v>7136.4312594535304</v>
      </c>
      <c r="DR242" s="827">
        <f t="shared" si="485"/>
        <v>32863.160309311919</v>
      </c>
      <c r="DV242" s="828">
        <f>IFERROR(VLOOKUP($B242,'Afton FY16 Final'!$A$5:$BV$587,'Afton FY16 Final'!$BV$587,0),0)</f>
        <v>31868.503153103189</v>
      </c>
      <c r="DX242" s="636">
        <f t="shared" si="473"/>
        <v>32863.160309311919</v>
      </c>
      <c r="DY242" s="637">
        <f t="shared" si="474"/>
        <v>994.65715620873016</v>
      </c>
      <c r="DZ242" s="637">
        <f t="shared" si="475"/>
        <v>31868.503153103189</v>
      </c>
      <c r="EA242" s="643">
        <f t="shared" si="476"/>
        <v>31115.208491470708</v>
      </c>
      <c r="EB242" s="637">
        <f t="shared" si="486"/>
        <v>31868.503153103189</v>
      </c>
      <c r="EC242" s="637">
        <f t="shared" si="487"/>
        <v>0</v>
      </c>
      <c r="ED242" s="637">
        <f t="shared" si="488"/>
        <v>0</v>
      </c>
      <c r="EE242" s="643">
        <f t="shared" si="489"/>
        <v>31868.503153103189</v>
      </c>
      <c r="EF242" s="637">
        <f t="shared" si="490"/>
        <v>0</v>
      </c>
      <c r="EG242" s="637">
        <f t="shared" si="491"/>
        <v>0</v>
      </c>
      <c r="EH242" s="637">
        <f t="shared" si="492"/>
        <v>0</v>
      </c>
      <c r="EI242" s="643">
        <f t="shared" si="493"/>
        <v>31868.503153103189</v>
      </c>
      <c r="EJ242" s="637">
        <f t="shared" si="494"/>
        <v>0</v>
      </c>
      <c r="EK242" s="637">
        <f t="shared" si="495"/>
        <v>0</v>
      </c>
      <c r="EL242" s="637">
        <f t="shared" si="496"/>
        <v>0</v>
      </c>
      <c r="EM242" s="643">
        <f t="shared" si="497"/>
        <v>31868.503153103189</v>
      </c>
      <c r="EN242" s="637">
        <f t="shared" si="498"/>
        <v>0</v>
      </c>
      <c r="EO242" s="637">
        <f t="shared" si="499"/>
        <v>0</v>
      </c>
      <c r="EP242" s="637">
        <f t="shared" si="500"/>
        <v>0</v>
      </c>
      <c r="EQ242" s="643">
        <f t="shared" si="501"/>
        <v>31868.503153103189</v>
      </c>
      <c r="ER242" s="637">
        <f t="shared" si="502"/>
        <v>0</v>
      </c>
      <c r="ES242" s="637">
        <f t="shared" si="503"/>
        <v>0</v>
      </c>
      <c r="ET242" s="637">
        <f t="shared" si="504"/>
        <v>0</v>
      </c>
      <c r="EU242" s="643">
        <f t="shared" si="477"/>
        <v>31868.503153103189</v>
      </c>
      <c r="EV242" s="643">
        <f t="shared" si="478"/>
        <v>0</v>
      </c>
      <c r="EX242" s="829">
        <f t="shared" si="479"/>
        <v>994.65715620873016</v>
      </c>
      <c r="EY242" s="638">
        <f t="shared" si="480"/>
        <v>31868.503153103189</v>
      </c>
      <c r="FC242" s="830" t="str">
        <f t="shared" si="505"/>
        <v>Y</v>
      </c>
      <c r="FE242" s="830" t="str">
        <f>IFERROR(VLOOKUP($B242,'Historical Conc Grant Elig'!$B$3:$J$707,'HH &amp; SI'!FE$2,0),"N")</f>
        <v>Y</v>
      </c>
      <c r="FF242" s="830" t="str">
        <f>IFERROR(VLOOKUP($B242,'Historical Conc Grant Elig'!$B$3:$J$707,'HH &amp; SI'!FF$2,0),"N")</f>
        <v>Y</v>
      </c>
      <c r="FG242" s="830" t="str">
        <f>IFERROR(VLOOKUP($B242,'Historical Conc Grant Elig'!$B$3:$J$707,'HH &amp; SI'!FG$2,0),"N")</f>
        <v>Y</v>
      </c>
      <c r="FH242" s="830" t="str">
        <f>IFERROR(VLOOKUP($B242,'Historical Conc Grant Elig'!$B$3:$J$707,'HH &amp; SI'!FH$2,0),"N")</f>
        <v>Y</v>
      </c>
      <c r="FI242" s="830" t="str">
        <f>IFERROR(VLOOKUP($B242,'Historical Conc Grant Elig'!$B$3:$J$707,'HH &amp; SI'!FI$2,0),"N")</f>
        <v>Y</v>
      </c>
      <c r="FJ242" s="830" t="str">
        <f>IFERROR(VLOOKUP($B242,'Historical Conc Grant Elig'!$B$3:$J$707,'HH &amp; SI'!FJ$2,0),"N")</f>
        <v>Y</v>
      </c>
      <c r="FK242" s="830" t="str">
        <f>IFERROR(VLOOKUP($B242,'Historical Conc Grant Elig'!$B$3:$J$707,'HH &amp; SI'!FK$2,0),"N")</f>
        <v>Y</v>
      </c>
      <c r="FL242" s="957" t="str">
        <f>IFERROR(VLOOKUP($B242,'Historical Conc Grant Elig'!$B$3:$J$707,'HH &amp; SI'!FL$2,0),"N")</f>
        <v>Y</v>
      </c>
    </row>
    <row r="243" spans="2:168" x14ac:dyDescent="0.25">
      <c r="B243" s="634">
        <v>78725000</v>
      </c>
      <c r="C243" s="635" t="str">
        <f>VLOOKUP($B243,'Afton Update'!$A$5:$CR$582,'Afton Update'!D$589,0)</f>
        <v>American Leadership Academy, Inc.</v>
      </c>
      <c r="D243" s="636">
        <f>IFERROR(VLOOKUP($B243,'Afton FY16 Final'!$A$5:$BV$587,'Afton FY16 Final'!AQ$587,0),0)</f>
        <v>465749.34622912708</v>
      </c>
      <c r="E243" s="637">
        <f>IFERROR(VLOOKUP($B243,'Afton FY16 Final'!$A$5:$BV$587,'Afton FY16 Final'!AR$587,0),0)</f>
        <v>96465.852271838769</v>
      </c>
      <c r="F243" s="637">
        <f>IFERROR(VLOOKUP($B243,'Afton FY16 Final'!$A$5:$BV$587,'Afton FY16 Final'!AS$587,0),0)</f>
        <v>252767.64114582576</v>
      </c>
      <c r="G243" s="637">
        <f>IFERROR(VLOOKUP($B243,'Afton FY16 Final'!$A$5:$BV$587,'Afton FY16 Final'!AT$587,0),0)</f>
        <v>212238.46299101875</v>
      </c>
      <c r="H243" s="638">
        <f>IFERROR(VLOOKUP($B243,'Afton FY16 Final'!$A$5:$BV$587,'Afton FY16 Final'!AU$587,0),0)</f>
        <v>1027221.3026378104</v>
      </c>
      <c r="I243" s="639" t="str">
        <f>VLOOKUP($B243,'Afton Update'!$A$5:$CR$582,'Afton Update'!BT$589,0)</f>
        <v>Y</v>
      </c>
      <c r="J243" s="640" t="str">
        <f>VLOOKUP($B243,'Afton Update'!$A$5:$CR$582,'Afton Update'!BU$589,0)</f>
        <v>Y</v>
      </c>
      <c r="K243" s="640" t="str">
        <f>VLOOKUP($B243,'Afton Update'!$A$5:$CR$582,'Afton Update'!BV$589,0)</f>
        <v>Y</v>
      </c>
      <c r="L243" s="641" t="str">
        <f>VLOOKUP($B243,'Afton Update'!$A$5:$CR$582,'Afton Update'!BW$589,0)</f>
        <v>Y</v>
      </c>
      <c r="N243" s="642">
        <f>VLOOKUP($B243,'Afton Update'!$A$5:$CR$582,'Afton Update'!CB$589,0)</f>
        <v>0.9</v>
      </c>
      <c r="P243" s="636">
        <f>VLOOKUP($B243,'Afton Update'!$A$5:$CR$582,'Afton Update'!AH$589,0)</f>
        <v>476665.08640727861</v>
      </c>
      <c r="Q243" s="637">
        <f>VLOOKUP($B243,'Afton Update'!$A$5:$CR$582,'Afton Update'!AI$589,0)</f>
        <v>100704.39471219154</v>
      </c>
      <c r="R243" s="637">
        <f>VLOOKUP($B243,'Afton Update'!$A$5:$CR$582,'Afton Update'!AJ$589,0)</f>
        <v>278999.29717777483</v>
      </c>
      <c r="S243" s="637">
        <f>VLOOKUP($B243,'Afton Update'!$A$5:$CR$582,'Afton Update'!AK$589,0)</f>
        <v>259711.6964620589</v>
      </c>
      <c r="T243" s="643">
        <f t="shared" si="506"/>
        <v>1116080.474759304</v>
      </c>
      <c r="V243" s="636">
        <f t="shared" si="532"/>
        <v>470163.06524269609</v>
      </c>
      <c r="W243" s="637">
        <f t="shared" si="533"/>
        <v>97387.560135232139</v>
      </c>
      <c r="X243" s="637">
        <f t="shared" si="534"/>
        <v>276461.90750109981</v>
      </c>
      <c r="Y243" s="637">
        <f t="shared" si="535"/>
        <v>256850.14107198149</v>
      </c>
      <c r="Z243" s="643">
        <f t="shared" si="536"/>
        <v>1100862.6739510095</v>
      </c>
      <c r="AB243" s="644">
        <f t="shared" si="507"/>
        <v>476665.08640727861</v>
      </c>
      <c r="AC243" s="645">
        <f t="shared" si="481"/>
        <v>419174.41160621436</v>
      </c>
      <c r="AD243" s="644">
        <f t="shared" si="537"/>
        <v>0</v>
      </c>
      <c r="AE243" s="645">
        <f t="shared" si="538"/>
        <v>476665.08640727861</v>
      </c>
      <c r="AF243" s="646">
        <f t="shared" si="539"/>
        <v>-5908.6219502954309</v>
      </c>
      <c r="AG243" s="647">
        <f t="shared" si="540"/>
        <v>470756.4644569832</v>
      </c>
      <c r="AH243" s="644">
        <f t="shared" si="508"/>
        <v>0</v>
      </c>
      <c r="AI243" s="645">
        <f t="shared" si="509"/>
        <v>470756.4644569832</v>
      </c>
      <c r="AJ243" s="646">
        <f t="shared" si="541"/>
        <v>-593.02116147029801</v>
      </c>
      <c r="AK243" s="647">
        <f t="shared" si="510"/>
        <v>470163.44329551293</v>
      </c>
      <c r="AL243" s="644">
        <f t="shared" si="542"/>
        <v>0</v>
      </c>
      <c r="AM243" s="645">
        <f t="shared" si="543"/>
        <v>470163.44329551293</v>
      </c>
      <c r="AN243" s="646">
        <f t="shared" si="544"/>
        <v>-0.37805281683990188</v>
      </c>
      <c r="AO243" s="647">
        <f t="shared" si="511"/>
        <v>470163.06524269609</v>
      </c>
      <c r="AP243" s="644">
        <f t="shared" si="545"/>
        <v>0</v>
      </c>
      <c r="AQ243" s="645">
        <f t="shared" si="546"/>
        <v>470163.06524269609</v>
      </c>
      <c r="AR243" s="646">
        <f t="shared" si="547"/>
        <v>0</v>
      </c>
      <c r="AS243" s="647">
        <f t="shared" si="512"/>
        <v>470163.06524269609</v>
      </c>
      <c r="AT243" s="644">
        <f t="shared" si="548"/>
        <v>0</v>
      </c>
      <c r="AU243" s="645">
        <f t="shared" si="549"/>
        <v>470163.06524269609</v>
      </c>
      <c r="AV243" s="646">
        <f t="shared" si="550"/>
        <v>0</v>
      </c>
      <c r="AW243" s="647">
        <f t="shared" si="513"/>
        <v>470163.06524269609</v>
      </c>
      <c r="AY243" s="644">
        <f t="shared" si="551"/>
        <v>100704.39471219154</v>
      </c>
      <c r="AZ243" s="645">
        <f t="shared" si="482"/>
        <v>86819.267044654887</v>
      </c>
      <c r="BA243" s="644">
        <f t="shared" si="552"/>
        <v>0</v>
      </c>
      <c r="BB243" s="645">
        <f t="shared" si="553"/>
        <v>100704.39471219154</v>
      </c>
      <c r="BC243" s="646">
        <f t="shared" si="554"/>
        <v>-724.19465070185981</v>
      </c>
      <c r="BD243" s="647">
        <f t="shared" si="555"/>
        <v>99980.200061489682</v>
      </c>
      <c r="BE243" s="644">
        <f t="shared" si="514"/>
        <v>0</v>
      </c>
      <c r="BF243" s="645">
        <f t="shared" si="515"/>
        <v>99980.200061489682</v>
      </c>
      <c r="BG243" s="646">
        <f t="shared" si="556"/>
        <v>-2381.4468874797826</v>
      </c>
      <c r="BH243" s="647">
        <f t="shared" si="516"/>
        <v>97598.753174009893</v>
      </c>
      <c r="BI243" s="644">
        <f t="shared" si="557"/>
        <v>0</v>
      </c>
      <c r="BJ243" s="645">
        <f t="shared" si="558"/>
        <v>97598.753174009893</v>
      </c>
      <c r="BK243" s="646">
        <f t="shared" si="559"/>
        <v>-206.73708243779546</v>
      </c>
      <c r="BL243" s="647">
        <f t="shared" si="517"/>
        <v>97392.016091572092</v>
      </c>
      <c r="BM243" s="644">
        <f t="shared" si="560"/>
        <v>0</v>
      </c>
      <c r="BN243" s="645">
        <f t="shared" si="561"/>
        <v>97392.016091572092</v>
      </c>
      <c r="BO243" s="646">
        <f t="shared" si="562"/>
        <v>-4.4559563399478037</v>
      </c>
      <c r="BP243" s="647">
        <f t="shared" si="518"/>
        <v>97387.560135232139</v>
      </c>
      <c r="BQ243" s="644">
        <f t="shared" si="563"/>
        <v>0</v>
      </c>
      <c r="BR243" s="645">
        <f t="shared" si="564"/>
        <v>97387.560135232139</v>
      </c>
      <c r="BS243" s="646">
        <f t="shared" si="565"/>
        <v>0</v>
      </c>
      <c r="BT243" s="647">
        <f t="shared" si="519"/>
        <v>97387.560135232139</v>
      </c>
      <c r="BU243" s="662">
        <f>VLOOKUP(B243,'Afton Update'!$A$5:$AR$582,'Afton Update'!$AO$589,0)-BT243</f>
        <v>0</v>
      </c>
      <c r="BV243" s="644">
        <f t="shared" si="566"/>
        <v>278999.29717777483</v>
      </c>
      <c r="BW243" s="645">
        <f t="shared" si="483"/>
        <v>227490.8770312432</v>
      </c>
      <c r="BX243" s="644">
        <f t="shared" si="567"/>
        <v>0</v>
      </c>
      <c r="BY243" s="645">
        <f t="shared" si="568"/>
        <v>278999.29717777483</v>
      </c>
      <c r="BZ243" s="646">
        <f t="shared" si="569"/>
        <v>-2448.8064942032252</v>
      </c>
      <c r="CA243" s="647">
        <f t="shared" si="570"/>
        <v>276550.49068357161</v>
      </c>
      <c r="CB243" s="644">
        <f t="shared" si="520"/>
        <v>0</v>
      </c>
      <c r="CC243" s="645">
        <f t="shared" si="521"/>
        <v>276550.49068357161</v>
      </c>
      <c r="CD243" s="646">
        <f t="shared" si="571"/>
        <v>-88.583182471784539</v>
      </c>
      <c r="CE243" s="647">
        <f t="shared" si="522"/>
        <v>276461.90750109981</v>
      </c>
      <c r="CF243" s="644">
        <f t="shared" si="572"/>
        <v>0</v>
      </c>
      <c r="CG243" s="645">
        <f t="shared" si="573"/>
        <v>276461.90750109981</v>
      </c>
      <c r="CH243" s="646">
        <f t="shared" si="574"/>
        <v>0</v>
      </c>
      <c r="CI243" s="647">
        <f t="shared" si="523"/>
        <v>276461.90750109981</v>
      </c>
      <c r="CJ243" s="644">
        <f t="shared" si="575"/>
        <v>0</v>
      </c>
      <c r="CK243" s="645">
        <f t="shared" si="576"/>
        <v>276461.90750109981</v>
      </c>
      <c r="CL243" s="646">
        <f t="shared" si="577"/>
        <v>0</v>
      </c>
      <c r="CM243" s="647">
        <f t="shared" si="524"/>
        <v>276461.90750109981</v>
      </c>
      <c r="CN243" s="644">
        <f t="shared" si="578"/>
        <v>0</v>
      </c>
      <c r="CO243" s="645">
        <f t="shared" si="579"/>
        <v>276461.90750109981</v>
      </c>
      <c r="CP243" s="646">
        <f t="shared" si="580"/>
        <v>0</v>
      </c>
      <c r="CQ243" s="647">
        <f t="shared" si="525"/>
        <v>276461.90750109981</v>
      </c>
      <c r="CS243" s="644">
        <f t="shared" si="581"/>
        <v>259711.6964620589</v>
      </c>
      <c r="CT243" s="645">
        <f t="shared" si="484"/>
        <v>191014.61669191689</v>
      </c>
      <c r="CU243" s="644">
        <f t="shared" si="582"/>
        <v>0</v>
      </c>
      <c r="CV243" s="645">
        <f t="shared" si="583"/>
        <v>259711.6964620589</v>
      </c>
      <c r="CW243" s="646">
        <f t="shared" si="584"/>
        <v>-2659.5945405584998</v>
      </c>
      <c r="CX243" s="647">
        <f t="shared" si="585"/>
        <v>257052.10192150041</v>
      </c>
      <c r="CY243" s="644">
        <f t="shared" si="526"/>
        <v>0</v>
      </c>
      <c r="CZ243" s="645">
        <f t="shared" si="527"/>
        <v>257052.10192150041</v>
      </c>
      <c r="DA243" s="646">
        <f t="shared" si="586"/>
        <v>-201.78683350806136</v>
      </c>
      <c r="DB243" s="647">
        <f t="shared" si="528"/>
        <v>256850.31508799235</v>
      </c>
      <c r="DC243" s="644">
        <f t="shared" si="587"/>
        <v>0</v>
      </c>
      <c r="DD243" s="645">
        <f t="shared" si="588"/>
        <v>256850.31508799235</v>
      </c>
      <c r="DE243" s="646">
        <f t="shared" si="589"/>
        <v>-0.17401601087222859</v>
      </c>
      <c r="DF243" s="647">
        <f t="shared" si="529"/>
        <v>256850.14107198149</v>
      </c>
      <c r="DG243" s="644">
        <f t="shared" si="590"/>
        <v>0</v>
      </c>
      <c r="DH243" s="645">
        <f t="shared" si="591"/>
        <v>256850.14107198149</v>
      </c>
      <c r="DI243" s="646">
        <f t="shared" si="592"/>
        <v>0</v>
      </c>
      <c r="DJ243" s="647">
        <f t="shared" si="530"/>
        <v>256850.14107198149</v>
      </c>
      <c r="DK243" s="644">
        <f t="shared" si="593"/>
        <v>0</v>
      </c>
      <c r="DL243" s="645">
        <f t="shared" si="594"/>
        <v>256850.14107198149</v>
      </c>
      <c r="DM243" s="646">
        <f t="shared" si="595"/>
        <v>0</v>
      </c>
      <c r="DN243" s="647">
        <f t="shared" si="531"/>
        <v>256850.14107198149</v>
      </c>
      <c r="DR243" s="827">
        <f t="shared" si="485"/>
        <v>1100862.6739510095</v>
      </c>
      <c r="DV243" s="828">
        <f>IFERROR(VLOOKUP($B243,'Afton FY16 Final'!$A$5:$BV$587,'Afton FY16 Final'!$BV$587,0),0)</f>
        <v>911998.27874437149</v>
      </c>
      <c r="DX243" s="636">
        <f t="shared" si="473"/>
        <v>1100862.6739510095</v>
      </c>
      <c r="DY243" s="637">
        <f t="shared" si="474"/>
        <v>188864.39520663803</v>
      </c>
      <c r="DZ243" s="637">
        <f t="shared" si="475"/>
        <v>911998.27874437149</v>
      </c>
      <c r="EA243" s="643">
        <f t="shared" si="476"/>
        <v>1042309.1175061974</v>
      </c>
      <c r="EB243" s="637">
        <f t="shared" si="486"/>
        <v>0</v>
      </c>
      <c r="EC243" s="637">
        <f t="shared" si="487"/>
        <v>1042309.1175061974</v>
      </c>
      <c r="ED243" s="637">
        <f t="shared" si="488"/>
        <v>1039201.0139517012</v>
      </c>
      <c r="EE243" s="643">
        <f t="shared" si="489"/>
        <v>1039201.0139517012</v>
      </c>
      <c r="EF243" s="637">
        <f t="shared" si="490"/>
        <v>0</v>
      </c>
      <c r="EG243" s="637">
        <f t="shared" si="491"/>
        <v>1039201.0139517012</v>
      </c>
      <c r="EH243" s="637">
        <f t="shared" si="492"/>
        <v>1039199.9418485782</v>
      </c>
      <c r="EI243" s="643">
        <f t="shared" si="493"/>
        <v>1039199.9418485782</v>
      </c>
      <c r="EJ243" s="637">
        <f t="shared" si="494"/>
        <v>0</v>
      </c>
      <c r="EK243" s="637">
        <f t="shared" si="495"/>
        <v>1039199.9418485782</v>
      </c>
      <c r="EL243" s="637">
        <f t="shared" si="496"/>
        <v>1039199.9418485767</v>
      </c>
      <c r="EM243" s="643">
        <f t="shared" si="497"/>
        <v>1039199.9418485767</v>
      </c>
      <c r="EN243" s="637">
        <f t="shared" si="498"/>
        <v>0</v>
      </c>
      <c r="EO243" s="637">
        <f t="shared" si="499"/>
        <v>1039199.9418485767</v>
      </c>
      <c r="EP243" s="637">
        <f t="shared" si="500"/>
        <v>1039199.9418485783</v>
      </c>
      <c r="EQ243" s="643">
        <f t="shared" si="501"/>
        <v>1039199.9418485783</v>
      </c>
      <c r="ER243" s="637">
        <f t="shared" si="502"/>
        <v>0</v>
      </c>
      <c r="ES243" s="637">
        <f t="shared" si="503"/>
        <v>1039199.9418485783</v>
      </c>
      <c r="ET243" s="637">
        <f t="shared" si="504"/>
        <v>1039199.9418485767</v>
      </c>
      <c r="EU243" s="643">
        <f t="shared" si="477"/>
        <v>1039199.9418485767</v>
      </c>
      <c r="EV243" s="643">
        <f t="shared" si="478"/>
        <v>0</v>
      </c>
      <c r="EX243" s="829">
        <f t="shared" si="479"/>
        <v>61662.73210243287</v>
      </c>
      <c r="EY243" s="638">
        <f t="shared" si="480"/>
        <v>1039199.9418485767</v>
      </c>
      <c r="FC243" s="830" t="str">
        <f t="shared" si="505"/>
        <v>Y</v>
      </c>
      <c r="FE243" s="830" t="str">
        <f>IFERROR(VLOOKUP($B243,'Historical Conc Grant Elig'!$B$3:$J$707,'HH &amp; SI'!FE$2,0),"N")</f>
        <v>N</v>
      </c>
      <c r="FF243" s="830" t="str">
        <f>IFERROR(VLOOKUP($B243,'Historical Conc Grant Elig'!$B$3:$J$707,'HH &amp; SI'!FF$2,0),"N")</f>
        <v>N</v>
      </c>
      <c r="FG243" s="830" t="str">
        <f>IFERROR(VLOOKUP($B243,'Historical Conc Grant Elig'!$B$3:$J$707,'HH &amp; SI'!FG$2,0),"N")</f>
        <v>N</v>
      </c>
      <c r="FH243" s="830" t="str">
        <f>IFERROR(VLOOKUP($B243,'Historical Conc Grant Elig'!$B$3:$J$707,'HH &amp; SI'!FH$2,0),"N")</f>
        <v>N</v>
      </c>
      <c r="FI243" s="830" t="str">
        <f>IFERROR(VLOOKUP($B243,'Historical Conc Grant Elig'!$B$3:$J$707,'HH &amp; SI'!FI$2,0),"N")</f>
        <v>N</v>
      </c>
      <c r="FJ243" s="830" t="str">
        <f>IFERROR(VLOOKUP($B243,'Historical Conc Grant Elig'!$B$3:$J$707,'HH &amp; SI'!FJ$2,0),"N")</f>
        <v>N</v>
      </c>
      <c r="FK243" s="830" t="str">
        <f>IFERROR(VLOOKUP($B243,'Historical Conc Grant Elig'!$B$3:$J$707,'HH &amp; SI'!FK$2,0),"N")</f>
        <v>Y</v>
      </c>
      <c r="FL243" s="957" t="str">
        <f>IFERROR(VLOOKUP($B243,'Historical Conc Grant Elig'!$B$3:$J$707,'HH &amp; SI'!FL$2,0),"N")</f>
        <v>Y</v>
      </c>
    </row>
    <row r="244" spans="2:168" x14ac:dyDescent="0.25">
      <c r="B244" s="634">
        <v>78735000</v>
      </c>
      <c r="C244" s="635" t="str">
        <f>VLOOKUP($B244,'Afton Update'!$A$5:$CR$582,'Afton Update'!D$589,0)</f>
        <v>RSD Charter School  Inc.</v>
      </c>
      <c r="D244" s="636">
        <f>IFERROR(VLOOKUP($B244,'Afton FY16 Final'!$A$5:$BV$587,'Afton FY16 Final'!AQ$587,0),0)</f>
        <v>26413.173942706602</v>
      </c>
      <c r="E244" s="637">
        <f>IFERROR(VLOOKUP($B244,'Afton FY16 Final'!$A$5:$BV$587,'Afton FY16 Final'!AR$587,0),0)</f>
        <v>6103.8713092138123</v>
      </c>
      <c r="F244" s="637">
        <f>IFERROR(VLOOKUP($B244,'Afton FY16 Final'!$A$5:$BV$587,'Afton FY16 Final'!AS$587,0),0)</f>
        <v>14004.650736527821</v>
      </c>
      <c r="G244" s="637">
        <f>IFERROR(VLOOKUP($B244,'Afton FY16 Final'!$A$5:$BV$587,'Afton FY16 Final'!AT$587,0),0)</f>
        <v>13493.384582918765</v>
      </c>
      <c r="H244" s="638">
        <f>IFERROR(VLOOKUP($B244,'Afton FY16 Final'!$A$5:$BV$587,'Afton FY16 Final'!AU$587,0),0)</f>
        <v>60015.080571366998</v>
      </c>
      <c r="I244" s="639" t="str">
        <f>VLOOKUP($B244,'Afton Update'!$A$5:$CR$582,'Afton Update'!BT$589,0)</f>
        <v>Y</v>
      </c>
      <c r="J244" s="640" t="str">
        <f>VLOOKUP($B244,'Afton Update'!$A$5:$CR$582,'Afton Update'!BU$589,0)</f>
        <v>Y</v>
      </c>
      <c r="K244" s="640" t="str">
        <f>VLOOKUP($B244,'Afton Update'!$A$5:$CR$582,'Afton Update'!BV$589,0)</f>
        <v>Y</v>
      </c>
      <c r="L244" s="641" t="str">
        <f>VLOOKUP($B244,'Afton Update'!$A$5:$CR$582,'Afton Update'!BW$589,0)</f>
        <v>Y</v>
      </c>
      <c r="N244" s="642">
        <f>VLOOKUP($B244,'Afton Update'!$A$5:$CR$582,'Afton Update'!CB$589,0)</f>
        <v>0.95</v>
      </c>
      <c r="P244" s="636">
        <f>VLOOKUP($B244,'Afton Update'!$A$5:$CR$582,'Afton Update'!AH$589,0)</f>
        <v>11480.142572779416</v>
      </c>
      <c r="Q244" s="637">
        <f>VLOOKUP($B244,'Afton Update'!$A$5:$CR$582,'Afton Update'!AI$589,0)</f>
        <v>4504.8964053140644</v>
      </c>
      <c r="R244" s="637">
        <f>VLOOKUP($B244,'Afton Update'!$A$5:$CR$582,'Afton Update'!AJ$589,0)</f>
        <v>6744.2317207659798</v>
      </c>
      <c r="S244" s="637">
        <f>VLOOKUP($B244,'Afton Update'!$A$5:$CR$582,'Afton Update'!AK$589,0)</f>
        <v>6277.9938130715191</v>
      </c>
      <c r="T244" s="643">
        <f t="shared" si="506"/>
        <v>29007.264511930978</v>
      </c>
      <c r="V244" s="636">
        <f t="shared" si="532"/>
        <v>25092.51524557127</v>
      </c>
      <c r="W244" s="637">
        <f t="shared" si="533"/>
        <v>5798.6777437531218</v>
      </c>
      <c r="X244" s="637">
        <f t="shared" si="534"/>
        <v>13304.418199701429</v>
      </c>
      <c r="Y244" s="637">
        <f t="shared" si="535"/>
        <v>12818.715353772826</v>
      </c>
      <c r="Z244" s="643">
        <f t="shared" si="536"/>
        <v>57014.326542798648</v>
      </c>
      <c r="AB244" s="644">
        <f t="shared" si="507"/>
        <v>11480.142572779416</v>
      </c>
      <c r="AC244" s="645">
        <f t="shared" si="481"/>
        <v>25092.51524557127</v>
      </c>
      <c r="AD244" s="644">
        <f t="shared" si="537"/>
        <v>13612.372672791855</v>
      </c>
      <c r="AE244" s="645">
        <f t="shared" si="538"/>
        <v>0</v>
      </c>
      <c r="AF244" s="646">
        <f t="shared" si="539"/>
        <v>0</v>
      </c>
      <c r="AG244" s="647">
        <f t="shared" si="540"/>
        <v>25092.51524557127</v>
      </c>
      <c r="AH244" s="644">
        <f t="shared" si="508"/>
        <v>0</v>
      </c>
      <c r="AI244" s="645">
        <f t="shared" si="509"/>
        <v>0</v>
      </c>
      <c r="AJ244" s="646">
        <f t="shared" si="541"/>
        <v>0</v>
      </c>
      <c r="AK244" s="647">
        <f t="shared" si="510"/>
        <v>25092.51524557127</v>
      </c>
      <c r="AL244" s="644">
        <f t="shared" si="542"/>
        <v>0</v>
      </c>
      <c r="AM244" s="645">
        <f t="shared" si="543"/>
        <v>0</v>
      </c>
      <c r="AN244" s="646">
        <f t="shared" si="544"/>
        <v>0</v>
      </c>
      <c r="AO244" s="647">
        <f t="shared" si="511"/>
        <v>25092.51524557127</v>
      </c>
      <c r="AP244" s="644">
        <f t="shared" si="545"/>
        <v>0</v>
      </c>
      <c r="AQ244" s="645">
        <f t="shared" si="546"/>
        <v>0</v>
      </c>
      <c r="AR244" s="646">
        <f t="shared" si="547"/>
        <v>0</v>
      </c>
      <c r="AS244" s="647">
        <f t="shared" si="512"/>
        <v>25092.51524557127</v>
      </c>
      <c r="AT244" s="644">
        <f t="shared" si="548"/>
        <v>0</v>
      </c>
      <c r="AU244" s="645">
        <f t="shared" si="549"/>
        <v>0</v>
      </c>
      <c r="AV244" s="646">
        <f t="shared" si="550"/>
        <v>0</v>
      </c>
      <c r="AW244" s="647">
        <f t="shared" si="513"/>
        <v>25092.51524557127</v>
      </c>
      <c r="AY244" s="644">
        <f t="shared" si="551"/>
        <v>4504.8964053140644</v>
      </c>
      <c r="AZ244" s="645">
        <f t="shared" si="482"/>
        <v>5798.6777437531218</v>
      </c>
      <c r="BA244" s="644">
        <f t="shared" si="552"/>
        <v>1293.7813384390574</v>
      </c>
      <c r="BB244" s="645">
        <f t="shared" si="553"/>
        <v>0</v>
      </c>
      <c r="BC244" s="646">
        <f t="shared" si="554"/>
        <v>0</v>
      </c>
      <c r="BD244" s="647">
        <f t="shared" si="555"/>
        <v>5798.6777437531218</v>
      </c>
      <c r="BE244" s="644">
        <f t="shared" si="514"/>
        <v>0</v>
      </c>
      <c r="BF244" s="645">
        <f t="shared" si="515"/>
        <v>0</v>
      </c>
      <c r="BG244" s="646">
        <f t="shared" si="556"/>
        <v>0</v>
      </c>
      <c r="BH244" s="647">
        <f t="shared" si="516"/>
        <v>5798.6777437531218</v>
      </c>
      <c r="BI244" s="644">
        <f t="shared" si="557"/>
        <v>0</v>
      </c>
      <c r="BJ244" s="645">
        <f t="shared" si="558"/>
        <v>0</v>
      </c>
      <c r="BK244" s="646">
        <f t="shared" si="559"/>
        <v>0</v>
      </c>
      <c r="BL244" s="647">
        <f t="shared" si="517"/>
        <v>5798.6777437531218</v>
      </c>
      <c r="BM244" s="644">
        <f t="shared" si="560"/>
        <v>0</v>
      </c>
      <c r="BN244" s="645">
        <f t="shared" si="561"/>
        <v>0</v>
      </c>
      <c r="BO244" s="646">
        <f t="shared" si="562"/>
        <v>0</v>
      </c>
      <c r="BP244" s="647">
        <f t="shared" si="518"/>
        <v>5798.6777437531218</v>
      </c>
      <c r="BQ244" s="644">
        <f t="shared" si="563"/>
        <v>0</v>
      </c>
      <c r="BR244" s="645">
        <f t="shared" si="564"/>
        <v>0</v>
      </c>
      <c r="BS244" s="646">
        <f t="shared" si="565"/>
        <v>0</v>
      </c>
      <c r="BT244" s="647">
        <f t="shared" si="519"/>
        <v>5798.6777437531218</v>
      </c>
      <c r="BU244" s="662">
        <f>VLOOKUP(B244,'Afton Update'!$A$5:$AR$582,'Afton Update'!$AO$589,0)-BT244</f>
        <v>0</v>
      </c>
      <c r="BV244" s="644">
        <f t="shared" si="566"/>
        <v>6744.2317207659798</v>
      </c>
      <c r="BW244" s="645">
        <f t="shared" si="483"/>
        <v>13304.418199701429</v>
      </c>
      <c r="BX244" s="644">
        <f t="shared" si="567"/>
        <v>6560.1864789354495</v>
      </c>
      <c r="BY244" s="645">
        <f t="shared" si="568"/>
        <v>0</v>
      </c>
      <c r="BZ244" s="646">
        <f t="shared" si="569"/>
        <v>0</v>
      </c>
      <c r="CA244" s="647">
        <f t="shared" si="570"/>
        <v>13304.418199701429</v>
      </c>
      <c r="CB244" s="644">
        <f t="shared" si="520"/>
        <v>0</v>
      </c>
      <c r="CC244" s="645">
        <f t="shared" si="521"/>
        <v>0</v>
      </c>
      <c r="CD244" s="646">
        <f t="shared" si="571"/>
        <v>0</v>
      </c>
      <c r="CE244" s="647">
        <f t="shared" si="522"/>
        <v>13304.418199701429</v>
      </c>
      <c r="CF244" s="644">
        <f t="shared" si="572"/>
        <v>0</v>
      </c>
      <c r="CG244" s="645">
        <f t="shared" si="573"/>
        <v>0</v>
      </c>
      <c r="CH244" s="646">
        <f t="shared" si="574"/>
        <v>0</v>
      </c>
      <c r="CI244" s="647">
        <f t="shared" si="523"/>
        <v>13304.418199701429</v>
      </c>
      <c r="CJ244" s="644">
        <f t="shared" si="575"/>
        <v>0</v>
      </c>
      <c r="CK244" s="645">
        <f t="shared" si="576"/>
        <v>0</v>
      </c>
      <c r="CL244" s="646">
        <f t="shared" si="577"/>
        <v>0</v>
      </c>
      <c r="CM244" s="647">
        <f t="shared" si="524"/>
        <v>13304.418199701429</v>
      </c>
      <c r="CN244" s="644">
        <f t="shared" si="578"/>
        <v>0</v>
      </c>
      <c r="CO244" s="645">
        <f t="shared" si="579"/>
        <v>0</v>
      </c>
      <c r="CP244" s="646">
        <f t="shared" si="580"/>
        <v>0</v>
      </c>
      <c r="CQ244" s="647">
        <f t="shared" si="525"/>
        <v>13304.418199701429</v>
      </c>
      <c r="CS244" s="644">
        <f t="shared" si="581"/>
        <v>6277.9938130715191</v>
      </c>
      <c r="CT244" s="645">
        <f t="shared" si="484"/>
        <v>12818.715353772826</v>
      </c>
      <c r="CU244" s="644">
        <f t="shared" si="582"/>
        <v>6540.7215407013073</v>
      </c>
      <c r="CV244" s="645">
        <f t="shared" si="583"/>
        <v>0</v>
      </c>
      <c r="CW244" s="646">
        <f t="shared" si="584"/>
        <v>0</v>
      </c>
      <c r="CX244" s="647">
        <f t="shared" si="585"/>
        <v>12818.715353772826</v>
      </c>
      <c r="CY244" s="644">
        <f t="shared" si="526"/>
        <v>0</v>
      </c>
      <c r="CZ244" s="645">
        <f t="shared" si="527"/>
        <v>0</v>
      </c>
      <c r="DA244" s="646">
        <f t="shared" si="586"/>
        <v>0</v>
      </c>
      <c r="DB244" s="647">
        <f t="shared" si="528"/>
        <v>12818.715353772826</v>
      </c>
      <c r="DC244" s="644">
        <f t="shared" si="587"/>
        <v>0</v>
      </c>
      <c r="DD244" s="645">
        <f t="shared" si="588"/>
        <v>0</v>
      </c>
      <c r="DE244" s="646">
        <f t="shared" si="589"/>
        <v>0</v>
      </c>
      <c r="DF244" s="647">
        <f t="shared" si="529"/>
        <v>12818.715353772826</v>
      </c>
      <c r="DG244" s="644">
        <f t="shared" si="590"/>
        <v>0</v>
      </c>
      <c r="DH244" s="645">
        <f t="shared" si="591"/>
        <v>0</v>
      </c>
      <c r="DI244" s="646">
        <f t="shared" si="592"/>
        <v>0</v>
      </c>
      <c r="DJ244" s="647">
        <f t="shared" si="530"/>
        <v>12818.715353772826</v>
      </c>
      <c r="DK244" s="644">
        <f t="shared" si="593"/>
        <v>0</v>
      </c>
      <c r="DL244" s="645">
        <f t="shared" si="594"/>
        <v>0</v>
      </c>
      <c r="DM244" s="646">
        <f t="shared" si="595"/>
        <v>0</v>
      </c>
      <c r="DN244" s="647">
        <f t="shared" si="531"/>
        <v>12818.715353772826</v>
      </c>
      <c r="DR244" s="827">
        <f t="shared" si="485"/>
        <v>57014.326542798648</v>
      </c>
      <c r="DV244" s="828">
        <f>IFERROR(VLOOKUP($B244,'Afton FY16 Final'!$A$5:$BV$587,'Afton FY16 Final'!$BV$587,0),0)</f>
        <v>57891.027665851856</v>
      </c>
      <c r="DX244" s="636">
        <f t="shared" si="473"/>
        <v>0</v>
      </c>
      <c r="DY244" s="637">
        <f t="shared" si="474"/>
        <v>0</v>
      </c>
      <c r="DZ244" s="637">
        <f t="shared" si="475"/>
        <v>0</v>
      </c>
      <c r="EA244" s="643">
        <f t="shared" si="476"/>
        <v>0</v>
      </c>
      <c r="EB244" s="637">
        <f t="shared" si="486"/>
        <v>0</v>
      </c>
      <c r="EC244" s="637">
        <f t="shared" si="487"/>
        <v>0</v>
      </c>
      <c r="ED244" s="637">
        <f t="shared" si="488"/>
        <v>0</v>
      </c>
      <c r="EE244" s="643">
        <f t="shared" si="489"/>
        <v>0</v>
      </c>
      <c r="EF244" s="637">
        <f t="shared" si="490"/>
        <v>0</v>
      </c>
      <c r="EG244" s="637">
        <f t="shared" si="491"/>
        <v>0</v>
      </c>
      <c r="EH244" s="637">
        <f t="shared" si="492"/>
        <v>0</v>
      </c>
      <c r="EI244" s="643">
        <f t="shared" si="493"/>
        <v>0</v>
      </c>
      <c r="EJ244" s="637">
        <f t="shared" si="494"/>
        <v>0</v>
      </c>
      <c r="EK244" s="637">
        <f t="shared" si="495"/>
        <v>0</v>
      </c>
      <c r="EL244" s="637">
        <f t="shared" si="496"/>
        <v>0</v>
      </c>
      <c r="EM244" s="643">
        <f t="shared" si="497"/>
        <v>0</v>
      </c>
      <c r="EN244" s="637">
        <f t="shared" si="498"/>
        <v>0</v>
      </c>
      <c r="EO244" s="637">
        <f t="shared" si="499"/>
        <v>0</v>
      </c>
      <c r="EP244" s="637">
        <f t="shared" si="500"/>
        <v>0</v>
      </c>
      <c r="EQ244" s="643">
        <f t="shared" si="501"/>
        <v>0</v>
      </c>
      <c r="ER244" s="637">
        <f t="shared" si="502"/>
        <v>0</v>
      </c>
      <c r="ES244" s="637">
        <f t="shared" si="503"/>
        <v>0</v>
      </c>
      <c r="ET244" s="637">
        <f t="shared" si="504"/>
        <v>0</v>
      </c>
      <c r="EU244" s="643">
        <f t="shared" si="477"/>
        <v>0</v>
      </c>
      <c r="EV244" s="643">
        <f t="shared" si="478"/>
        <v>0</v>
      </c>
      <c r="EX244" s="829">
        <f t="shared" si="479"/>
        <v>0</v>
      </c>
      <c r="EY244" s="638">
        <f t="shared" si="480"/>
        <v>57014.326542798648</v>
      </c>
      <c r="FC244" s="830" t="str">
        <f t="shared" si="505"/>
        <v>Y</v>
      </c>
      <c r="FE244" s="830" t="str">
        <f>IFERROR(VLOOKUP($B244,'Historical Conc Grant Elig'!$B$3:$J$707,'HH &amp; SI'!FE$2,0),"N")</f>
        <v>Y</v>
      </c>
      <c r="FF244" s="830" t="str">
        <f>IFERROR(VLOOKUP($B244,'Historical Conc Grant Elig'!$B$3:$J$707,'HH &amp; SI'!FF$2,0),"N")</f>
        <v>Y</v>
      </c>
      <c r="FG244" s="830" t="str">
        <f>IFERROR(VLOOKUP($B244,'Historical Conc Grant Elig'!$B$3:$J$707,'HH &amp; SI'!FG$2,0),"N")</f>
        <v>Y</v>
      </c>
      <c r="FH244" s="830" t="str">
        <f>IFERROR(VLOOKUP($B244,'Historical Conc Grant Elig'!$B$3:$J$707,'HH &amp; SI'!FH$2,0),"N")</f>
        <v>Y</v>
      </c>
      <c r="FI244" s="830" t="str">
        <f>IFERROR(VLOOKUP($B244,'Historical Conc Grant Elig'!$B$3:$J$707,'HH &amp; SI'!FI$2,0),"N")</f>
        <v>Y</v>
      </c>
      <c r="FJ244" s="830" t="str">
        <f>IFERROR(VLOOKUP($B244,'Historical Conc Grant Elig'!$B$3:$J$707,'HH &amp; SI'!FJ$2,0),"N")</f>
        <v>Y</v>
      </c>
      <c r="FK244" s="830" t="str">
        <f>IFERROR(VLOOKUP($B244,'Historical Conc Grant Elig'!$B$3:$J$707,'HH &amp; SI'!FK$2,0),"N")</f>
        <v>Y</v>
      </c>
      <c r="FL244" s="957" t="str">
        <f>IFERROR(VLOOKUP($B244,'Historical Conc Grant Elig'!$B$3:$J$707,'HH &amp; SI'!FL$2,0),"N")</f>
        <v>Y</v>
      </c>
    </row>
    <row r="245" spans="2:168" x14ac:dyDescent="0.25">
      <c r="B245" s="634">
        <v>78740000</v>
      </c>
      <c r="C245" s="635" t="str">
        <f>VLOOKUP($B245,'Afton Update'!$A$5:$CR$582,'Afton Update'!D$589,0)</f>
        <v>Edkey  Inc. - Redwood Academy</v>
      </c>
      <c r="D245" s="636">
        <f>IFERROR(VLOOKUP($B245,'Afton FY16 Final'!$A$5:$BV$587,'Afton FY16 Final'!AQ$587,0),0)</f>
        <v>52179.827537162913</v>
      </c>
      <c r="E245" s="637">
        <f>IFERROR(VLOOKUP($B245,'Afton FY16 Final'!$A$5:$BV$587,'Afton FY16 Final'!AR$587,0),0)</f>
        <v>12503.471147051465</v>
      </c>
      <c r="F245" s="637">
        <f>IFERROR(VLOOKUP($B245,'Afton FY16 Final'!$A$5:$BV$587,'Afton FY16 Final'!AS$587,0),0)</f>
        <v>28318.605337292531</v>
      </c>
      <c r="G245" s="637">
        <f>IFERROR(VLOOKUP($B245,'Afton FY16 Final'!$A$5:$BV$587,'Afton FY16 Final'!AT$587,0),0)</f>
        <v>23777.953711127095</v>
      </c>
      <c r="H245" s="638">
        <f>IFERROR(VLOOKUP($B245,'Afton FY16 Final'!$A$5:$BV$587,'Afton FY16 Final'!AU$587,0),0)</f>
        <v>116779.857732634</v>
      </c>
      <c r="I245" s="639" t="str">
        <f>VLOOKUP($B245,'Afton Update'!$A$5:$CR$582,'Afton Update'!BT$589,0)</f>
        <v>Y</v>
      </c>
      <c r="J245" s="640" t="str">
        <f>VLOOKUP($B245,'Afton Update'!$A$5:$CR$582,'Afton Update'!BU$589,0)</f>
        <v>Y</v>
      </c>
      <c r="K245" s="640" t="str">
        <f>VLOOKUP($B245,'Afton Update'!$A$5:$CR$582,'Afton Update'!BV$589,0)</f>
        <v>Y</v>
      </c>
      <c r="L245" s="641" t="str">
        <f>VLOOKUP($B245,'Afton Update'!$A$5:$CR$582,'Afton Update'!BW$589,0)</f>
        <v>Y</v>
      </c>
      <c r="N245" s="642">
        <f>VLOOKUP($B245,'Afton Update'!$A$5:$CR$582,'Afton Update'!CB$589,0)</f>
        <v>0.95</v>
      </c>
      <c r="P245" s="636">
        <f>VLOOKUP($B245,'Afton Update'!$A$5:$CR$582,'Afton Update'!AH$589,0)</f>
        <v>56683.20395309836</v>
      </c>
      <c r="Q245" s="637">
        <f>VLOOKUP($B245,'Afton Update'!$A$5:$CR$582,'Afton Update'!AI$589,0)</f>
        <v>13852.816806342262</v>
      </c>
      <c r="R245" s="637">
        <f>VLOOKUP($B245,'Afton Update'!$A$5:$CR$582,'Afton Update'!AJ$589,0)</f>
        <v>33199.865330727254</v>
      </c>
      <c r="S245" s="637">
        <f>VLOOKUP($B245,'Afton Update'!$A$5:$CR$582,'Afton Update'!AK$589,0)</f>
        <v>30904.713504926847</v>
      </c>
      <c r="T245" s="643">
        <f t="shared" si="506"/>
        <v>134640.59959509474</v>
      </c>
      <c r="V245" s="636">
        <f t="shared" si="532"/>
        <v>55910.008260170078</v>
      </c>
      <c r="W245" s="637">
        <f t="shared" si="533"/>
        <v>13396.555667959215</v>
      </c>
      <c r="X245" s="637">
        <f t="shared" si="534"/>
        <v>32897.9255179416</v>
      </c>
      <c r="Y245" s="637">
        <f t="shared" si="535"/>
        <v>30564.199193428594</v>
      </c>
      <c r="Z245" s="643">
        <f t="shared" si="536"/>
        <v>132768.68863949948</v>
      </c>
      <c r="AB245" s="644">
        <f t="shared" si="507"/>
        <v>56683.20395309836</v>
      </c>
      <c r="AC245" s="645">
        <f t="shared" si="481"/>
        <v>49570.836160304767</v>
      </c>
      <c r="AD245" s="644">
        <f t="shared" si="537"/>
        <v>0</v>
      </c>
      <c r="AE245" s="645">
        <f t="shared" si="538"/>
        <v>56683.20395309836</v>
      </c>
      <c r="AF245" s="646">
        <f t="shared" si="539"/>
        <v>-702.63090929253246</v>
      </c>
      <c r="AG245" s="647">
        <f t="shared" si="540"/>
        <v>55980.573043805831</v>
      </c>
      <c r="AH245" s="644">
        <f t="shared" si="508"/>
        <v>0</v>
      </c>
      <c r="AI245" s="645">
        <f t="shared" si="509"/>
        <v>55980.573043805831</v>
      </c>
      <c r="AJ245" s="646">
        <f t="shared" si="541"/>
        <v>-70.519827028831216</v>
      </c>
      <c r="AK245" s="647">
        <f t="shared" si="510"/>
        <v>55910.053216777</v>
      </c>
      <c r="AL245" s="644">
        <f t="shared" si="542"/>
        <v>0</v>
      </c>
      <c r="AM245" s="645">
        <f t="shared" si="543"/>
        <v>55910.053216777</v>
      </c>
      <c r="AN245" s="646">
        <f t="shared" si="544"/>
        <v>-4.495660691974749E-2</v>
      </c>
      <c r="AO245" s="647">
        <f t="shared" si="511"/>
        <v>55910.008260170078</v>
      </c>
      <c r="AP245" s="644">
        <f t="shared" si="545"/>
        <v>0</v>
      </c>
      <c r="AQ245" s="645">
        <f t="shared" si="546"/>
        <v>55910.008260170078</v>
      </c>
      <c r="AR245" s="646">
        <f t="shared" si="547"/>
        <v>0</v>
      </c>
      <c r="AS245" s="647">
        <f t="shared" si="512"/>
        <v>55910.008260170078</v>
      </c>
      <c r="AT245" s="644">
        <f t="shared" si="548"/>
        <v>0</v>
      </c>
      <c r="AU245" s="645">
        <f t="shared" si="549"/>
        <v>55910.008260170078</v>
      </c>
      <c r="AV245" s="646">
        <f t="shared" si="550"/>
        <v>0</v>
      </c>
      <c r="AW245" s="647">
        <f t="shared" si="513"/>
        <v>55910.008260170078</v>
      </c>
      <c r="AY245" s="644">
        <f t="shared" si="551"/>
        <v>13852.816806342262</v>
      </c>
      <c r="AZ245" s="645">
        <f t="shared" si="482"/>
        <v>11878.297589698892</v>
      </c>
      <c r="BA245" s="644">
        <f t="shared" si="552"/>
        <v>0</v>
      </c>
      <c r="BB245" s="645">
        <f t="shared" si="553"/>
        <v>13852.816806342262</v>
      </c>
      <c r="BC245" s="646">
        <f t="shared" si="554"/>
        <v>-99.619642786963411</v>
      </c>
      <c r="BD245" s="647">
        <f t="shared" si="555"/>
        <v>13753.197163555298</v>
      </c>
      <c r="BE245" s="644">
        <f t="shared" si="514"/>
        <v>0</v>
      </c>
      <c r="BF245" s="645">
        <f t="shared" si="515"/>
        <v>13753.197163555298</v>
      </c>
      <c r="BG245" s="646">
        <f t="shared" si="556"/>
        <v>-327.58994838879238</v>
      </c>
      <c r="BH245" s="647">
        <f t="shared" si="516"/>
        <v>13425.607215166507</v>
      </c>
      <c r="BI245" s="644">
        <f t="shared" si="557"/>
        <v>0</v>
      </c>
      <c r="BJ245" s="645">
        <f t="shared" si="558"/>
        <v>13425.607215166507</v>
      </c>
      <c r="BK245" s="646">
        <f t="shared" si="559"/>
        <v>-28.438589381062521</v>
      </c>
      <c r="BL245" s="647">
        <f t="shared" si="517"/>
        <v>13397.168625785444</v>
      </c>
      <c r="BM245" s="644">
        <f t="shared" si="560"/>
        <v>0</v>
      </c>
      <c r="BN245" s="645">
        <f t="shared" si="561"/>
        <v>13397.168625785444</v>
      </c>
      <c r="BO245" s="646">
        <f t="shared" si="562"/>
        <v>-0.61295782622765105</v>
      </c>
      <c r="BP245" s="647">
        <f t="shared" si="518"/>
        <v>13396.555667959215</v>
      </c>
      <c r="BQ245" s="644">
        <f t="shared" si="563"/>
        <v>0</v>
      </c>
      <c r="BR245" s="645">
        <f t="shared" si="564"/>
        <v>13396.555667959215</v>
      </c>
      <c r="BS245" s="646">
        <f t="shared" si="565"/>
        <v>0</v>
      </c>
      <c r="BT245" s="647">
        <f t="shared" si="519"/>
        <v>13396.555667959215</v>
      </c>
      <c r="BU245" s="662">
        <f>VLOOKUP(B245,'Afton Update'!$A$5:$AR$582,'Afton Update'!$AO$589,0)-BT245</f>
        <v>0</v>
      </c>
      <c r="BV245" s="644">
        <f t="shared" si="566"/>
        <v>33199.865330727254</v>
      </c>
      <c r="BW245" s="645">
        <f t="shared" si="483"/>
        <v>26902.675070427904</v>
      </c>
      <c r="BX245" s="644">
        <f t="shared" si="567"/>
        <v>0</v>
      </c>
      <c r="BY245" s="645">
        <f t="shared" si="568"/>
        <v>33199.865330727254</v>
      </c>
      <c r="BZ245" s="646">
        <f t="shared" si="569"/>
        <v>-291.39874777804204</v>
      </c>
      <c r="CA245" s="647">
        <f t="shared" si="570"/>
        <v>32908.466582949215</v>
      </c>
      <c r="CB245" s="644">
        <f t="shared" si="520"/>
        <v>0</v>
      </c>
      <c r="CC245" s="645">
        <f t="shared" si="521"/>
        <v>32908.466582949215</v>
      </c>
      <c r="CD245" s="646">
        <f t="shared" si="571"/>
        <v>-10.541065007617384</v>
      </c>
      <c r="CE245" s="647">
        <f t="shared" si="522"/>
        <v>32897.9255179416</v>
      </c>
      <c r="CF245" s="644">
        <f t="shared" si="572"/>
        <v>0</v>
      </c>
      <c r="CG245" s="645">
        <f t="shared" si="573"/>
        <v>32897.9255179416</v>
      </c>
      <c r="CH245" s="646">
        <f t="shared" si="574"/>
        <v>0</v>
      </c>
      <c r="CI245" s="647">
        <f t="shared" si="523"/>
        <v>32897.9255179416</v>
      </c>
      <c r="CJ245" s="644">
        <f t="shared" si="575"/>
        <v>0</v>
      </c>
      <c r="CK245" s="645">
        <f t="shared" si="576"/>
        <v>32897.9255179416</v>
      </c>
      <c r="CL245" s="646">
        <f t="shared" si="577"/>
        <v>0</v>
      </c>
      <c r="CM245" s="647">
        <f t="shared" si="524"/>
        <v>32897.9255179416</v>
      </c>
      <c r="CN245" s="644">
        <f t="shared" si="578"/>
        <v>0</v>
      </c>
      <c r="CO245" s="645">
        <f t="shared" si="579"/>
        <v>32897.9255179416</v>
      </c>
      <c r="CP245" s="646">
        <f t="shared" si="580"/>
        <v>0</v>
      </c>
      <c r="CQ245" s="647">
        <f t="shared" si="525"/>
        <v>32897.9255179416</v>
      </c>
      <c r="CS245" s="644">
        <f t="shared" si="581"/>
        <v>30904.713504926847</v>
      </c>
      <c r="CT245" s="645">
        <f t="shared" si="484"/>
        <v>22589.056025570739</v>
      </c>
      <c r="CU245" s="644">
        <f t="shared" si="582"/>
        <v>0</v>
      </c>
      <c r="CV245" s="645">
        <f t="shared" si="583"/>
        <v>30904.713504926847</v>
      </c>
      <c r="CW245" s="646">
        <f t="shared" si="584"/>
        <v>-316.4817312232052</v>
      </c>
      <c r="CX245" s="647">
        <f t="shared" si="585"/>
        <v>30588.231773703643</v>
      </c>
      <c r="CY245" s="644">
        <f t="shared" si="526"/>
        <v>0</v>
      </c>
      <c r="CZ245" s="645">
        <f t="shared" si="527"/>
        <v>30588.231773703643</v>
      </c>
      <c r="DA245" s="646">
        <f t="shared" si="586"/>
        <v>-24.011873025303068</v>
      </c>
      <c r="DB245" s="647">
        <f t="shared" si="528"/>
        <v>30564.219900678341</v>
      </c>
      <c r="DC245" s="644">
        <f t="shared" si="587"/>
        <v>0</v>
      </c>
      <c r="DD245" s="645">
        <f t="shared" si="588"/>
        <v>30564.219900678341</v>
      </c>
      <c r="DE245" s="646">
        <f t="shared" si="589"/>
        <v>-2.0707249748615448E-2</v>
      </c>
      <c r="DF245" s="647">
        <f t="shared" si="529"/>
        <v>30564.199193428594</v>
      </c>
      <c r="DG245" s="644">
        <f t="shared" si="590"/>
        <v>0</v>
      </c>
      <c r="DH245" s="645">
        <f t="shared" si="591"/>
        <v>30564.199193428594</v>
      </c>
      <c r="DI245" s="646">
        <f t="shared" si="592"/>
        <v>0</v>
      </c>
      <c r="DJ245" s="647">
        <f t="shared" si="530"/>
        <v>30564.199193428594</v>
      </c>
      <c r="DK245" s="644">
        <f t="shared" si="593"/>
        <v>0</v>
      </c>
      <c r="DL245" s="645">
        <f t="shared" si="594"/>
        <v>30564.199193428594</v>
      </c>
      <c r="DM245" s="646">
        <f t="shared" si="595"/>
        <v>0</v>
      </c>
      <c r="DN245" s="647">
        <f t="shared" si="531"/>
        <v>30564.199193428594</v>
      </c>
      <c r="DR245" s="827">
        <f t="shared" si="485"/>
        <v>132768.68863949948</v>
      </c>
      <c r="DV245" s="828">
        <f>IFERROR(VLOOKUP($B245,'Afton FY16 Final'!$A$5:$BV$587,'Afton FY16 Final'!$BV$587,0),0)</f>
        <v>103680.70538518309</v>
      </c>
      <c r="DX245" s="636">
        <f t="shared" si="473"/>
        <v>132768.68863949948</v>
      </c>
      <c r="DY245" s="637">
        <f t="shared" si="474"/>
        <v>29087.983254316394</v>
      </c>
      <c r="DZ245" s="637">
        <f t="shared" si="475"/>
        <v>103680.70538518309</v>
      </c>
      <c r="EA245" s="643">
        <f t="shared" si="476"/>
        <v>125706.88239580575</v>
      </c>
      <c r="EB245" s="637">
        <f t="shared" si="486"/>
        <v>0</v>
      </c>
      <c r="EC245" s="637">
        <f t="shared" si="487"/>
        <v>125706.88239580575</v>
      </c>
      <c r="ED245" s="637">
        <f t="shared" si="488"/>
        <v>125332.03197817355</v>
      </c>
      <c r="EE245" s="643">
        <f t="shared" si="489"/>
        <v>125332.03197817355</v>
      </c>
      <c r="EF245" s="637">
        <f t="shared" si="490"/>
        <v>0</v>
      </c>
      <c r="EG245" s="637">
        <f t="shared" si="491"/>
        <v>125332.03197817355</v>
      </c>
      <c r="EH245" s="637">
        <f t="shared" si="492"/>
        <v>125331.90267800822</v>
      </c>
      <c r="EI245" s="643">
        <f t="shared" si="493"/>
        <v>125331.90267800822</v>
      </c>
      <c r="EJ245" s="637">
        <f t="shared" si="494"/>
        <v>0</v>
      </c>
      <c r="EK245" s="637">
        <f t="shared" si="495"/>
        <v>125331.90267800822</v>
      </c>
      <c r="EL245" s="637">
        <f t="shared" si="496"/>
        <v>125331.90267800805</v>
      </c>
      <c r="EM245" s="643">
        <f t="shared" si="497"/>
        <v>125331.90267800805</v>
      </c>
      <c r="EN245" s="637">
        <f t="shared" si="498"/>
        <v>0</v>
      </c>
      <c r="EO245" s="637">
        <f t="shared" si="499"/>
        <v>125331.90267800805</v>
      </c>
      <c r="EP245" s="637">
        <f t="shared" si="500"/>
        <v>125331.90267800825</v>
      </c>
      <c r="EQ245" s="643">
        <f t="shared" si="501"/>
        <v>125331.90267800825</v>
      </c>
      <c r="ER245" s="637">
        <f t="shared" si="502"/>
        <v>0</v>
      </c>
      <c r="ES245" s="637">
        <f t="shared" si="503"/>
        <v>125331.90267800825</v>
      </c>
      <c r="ET245" s="637">
        <f t="shared" si="504"/>
        <v>125331.90267800806</v>
      </c>
      <c r="EU245" s="643">
        <f t="shared" si="477"/>
        <v>125331.90267800806</v>
      </c>
      <c r="EV245" s="643">
        <f t="shared" si="478"/>
        <v>0</v>
      </c>
      <c r="EX245" s="829">
        <f t="shared" si="479"/>
        <v>7436.7859614914196</v>
      </c>
      <c r="EY245" s="638">
        <f t="shared" si="480"/>
        <v>125331.90267800806</v>
      </c>
      <c r="FC245" s="830" t="str">
        <f t="shared" si="505"/>
        <v>Y</v>
      </c>
      <c r="FE245" s="830" t="str">
        <f>IFERROR(VLOOKUP($B245,'Historical Conc Grant Elig'!$B$3:$J$707,'HH &amp; SI'!FE$2,0),"N")</f>
        <v>Y</v>
      </c>
      <c r="FF245" s="830" t="str">
        <f>IFERROR(VLOOKUP($B245,'Historical Conc Grant Elig'!$B$3:$J$707,'HH &amp; SI'!FF$2,0),"N")</f>
        <v>Y</v>
      </c>
      <c r="FG245" s="830" t="str">
        <f>IFERROR(VLOOKUP($B245,'Historical Conc Grant Elig'!$B$3:$J$707,'HH &amp; SI'!FG$2,0),"N")</f>
        <v>N</v>
      </c>
      <c r="FH245" s="830" t="str">
        <f>IFERROR(VLOOKUP($B245,'Historical Conc Grant Elig'!$B$3:$J$707,'HH &amp; SI'!FH$2,0),"N")</f>
        <v>Y</v>
      </c>
      <c r="FI245" s="830" t="str">
        <f>IFERROR(VLOOKUP($B245,'Historical Conc Grant Elig'!$B$3:$J$707,'HH &amp; SI'!FI$2,0),"N")</f>
        <v>Y</v>
      </c>
      <c r="FJ245" s="830" t="str">
        <f>IFERROR(VLOOKUP($B245,'Historical Conc Grant Elig'!$B$3:$J$707,'HH &amp; SI'!FJ$2,0),"N")</f>
        <v>Y</v>
      </c>
      <c r="FK245" s="830" t="str">
        <f>IFERROR(VLOOKUP($B245,'Historical Conc Grant Elig'!$B$3:$J$707,'HH &amp; SI'!FK$2,0),"N")</f>
        <v>Y</v>
      </c>
      <c r="FL245" s="957" t="str">
        <f>IFERROR(VLOOKUP($B245,'Historical Conc Grant Elig'!$B$3:$J$707,'HH &amp; SI'!FL$2,0),"N")</f>
        <v>Y</v>
      </c>
    </row>
    <row r="246" spans="2:168" x14ac:dyDescent="0.25">
      <c r="B246" s="634">
        <v>78741000</v>
      </c>
      <c r="C246" s="635" t="str">
        <f>VLOOKUP($B246,'Afton Update'!$A$5:$CR$582,'Afton Update'!D$589,0)</f>
        <v>Intelli-School, Inc.</v>
      </c>
      <c r="D246" s="636">
        <f>IFERROR(VLOOKUP($B246,'Afton FY16 Final'!$A$5:$BV$587,'Afton FY16 Final'!AQ$587,0),0)</f>
        <v>13826.128919706644</v>
      </c>
      <c r="E246" s="637">
        <f>IFERROR(VLOOKUP($B246,'Afton FY16 Final'!$A$5:$BV$587,'Afton FY16 Final'!AR$587,0),0)</f>
        <v>4367.2082972297558</v>
      </c>
      <c r="F246" s="637">
        <f>IFERROR(VLOOKUP($B246,'Afton FY16 Final'!$A$5:$BV$587,'Afton FY16 Final'!AS$587,0),0)</f>
        <v>7330.815561155423</v>
      </c>
      <c r="G246" s="637">
        <f>IFERROR(VLOOKUP($B246,'Afton FY16 Final'!$A$5:$BV$587,'Afton FY16 Final'!AT$587,0),0)</f>
        <v>7063.1903311313936</v>
      </c>
      <c r="H246" s="638">
        <f>IFERROR(VLOOKUP($B246,'Afton FY16 Final'!$A$5:$BV$587,'Afton FY16 Final'!AU$587,0),0)</f>
        <v>32587.34310922322</v>
      </c>
      <c r="I246" s="639" t="str">
        <f>VLOOKUP($B246,'Afton Update'!$A$5:$CR$582,'Afton Update'!BT$589,0)</f>
        <v>Y</v>
      </c>
      <c r="J246" s="640" t="str">
        <f>VLOOKUP($B246,'Afton Update'!$A$5:$CR$582,'Afton Update'!BU$589,0)</f>
        <v>Y</v>
      </c>
      <c r="K246" s="640" t="str">
        <f>VLOOKUP($B246,'Afton Update'!$A$5:$CR$582,'Afton Update'!BV$589,0)</f>
        <v>Y</v>
      </c>
      <c r="L246" s="641" t="str">
        <f>VLOOKUP($B246,'Afton Update'!$A$5:$CR$582,'Afton Update'!BW$589,0)</f>
        <v>Y</v>
      </c>
      <c r="N246" s="642">
        <f>VLOOKUP($B246,'Afton Update'!$A$5:$CR$582,'Afton Update'!CB$589,0)</f>
        <v>0.95</v>
      </c>
      <c r="P246" s="636">
        <f>VLOOKUP($B246,'Afton Update'!$A$5:$CR$582,'Afton Update'!AH$589,0)</f>
        <v>7892.5980187858477</v>
      </c>
      <c r="Q246" s="637">
        <f>VLOOKUP($B246,'Afton Update'!$A$5:$CR$582,'Afton Update'!AI$589,0)</f>
        <v>3762.9979607880168</v>
      </c>
      <c r="R246" s="637">
        <f>VLOOKUP($B246,'Afton Update'!$A$5:$CR$582,'Afton Update'!AJ$589,0)</f>
        <v>4644.5782596579411</v>
      </c>
      <c r="S246" s="637">
        <f>VLOOKUP($B246,'Afton Update'!$A$5:$CR$582,'Afton Update'!AK$589,0)</f>
        <v>4323.4922502258569</v>
      </c>
      <c r="T246" s="643">
        <f t="shared" si="506"/>
        <v>20623.666489457661</v>
      </c>
      <c r="V246" s="636">
        <f t="shared" si="532"/>
        <v>13134.822473721311</v>
      </c>
      <c r="W246" s="637">
        <f t="shared" si="533"/>
        <v>4148.8478823682681</v>
      </c>
      <c r="X246" s="637">
        <f t="shared" si="534"/>
        <v>6964.2747830976514</v>
      </c>
      <c r="Y246" s="637">
        <f t="shared" si="535"/>
        <v>6710.030814574824</v>
      </c>
      <c r="Z246" s="643">
        <f t="shared" si="536"/>
        <v>30957.975953762056</v>
      </c>
      <c r="AB246" s="644">
        <f t="shared" si="507"/>
        <v>7892.5980187858477</v>
      </c>
      <c r="AC246" s="645">
        <f t="shared" si="481"/>
        <v>13134.822473721311</v>
      </c>
      <c r="AD246" s="644">
        <f t="shared" si="537"/>
        <v>5242.2244549354637</v>
      </c>
      <c r="AE246" s="645">
        <f t="shared" si="538"/>
        <v>0</v>
      </c>
      <c r="AF246" s="646">
        <f t="shared" si="539"/>
        <v>0</v>
      </c>
      <c r="AG246" s="647">
        <f t="shared" si="540"/>
        <v>13134.822473721311</v>
      </c>
      <c r="AH246" s="644">
        <f t="shared" si="508"/>
        <v>0</v>
      </c>
      <c r="AI246" s="645">
        <f t="shared" si="509"/>
        <v>0</v>
      </c>
      <c r="AJ246" s="646">
        <f t="shared" si="541"/>
        <v>0</v>
      </c>
      <c r="AK246" s="647">
        <f t="shared" si="510"/>
        <v>13134.822473721311</v>
      </c>
      <c r="AL246" s="644">
        <f t="shared" si="542"/>
        <v>0</v>
      </c>
      <c r="AM246" s="645">
        <f t="shared" si="543"/>
        <v>0</v>
      </c>
      <c r="AN246" s="646">
        <f t="shared" si="544"/>
        <v>0</v>
      </c>
      <c r="AO246" s="647">
        <f t="shared" si="511"/>
        <v>13134.822473721311</v>
      </c>
      <c r="AP246" s="644">
        <f t="shared" si="545"/>
        <v>0</v>
      </c>
      <c r="AQ246" s="645">
        <f t="shared" si="546"/>
        <v>0</v>
      </c>
      <c r="AR246" s="646">
        <f t="shared" si="547"/>
        <v>0</v>
      </c>
      <c r="AS246" s="647">
        <f t="shared" si="512"/>
        <v>13134.822473721311</v>
      </c>
      <c r="AT246" s="644">
        <f t="shared" si="548"/>
        <v>0</v>
      </c>
      <c r="AU246" s="645">
        <f t="shared" si="549"/>
        <v>0</v>
      </c>
      <c r="AV246" s="646">
        <f t="shared" si="550"/>
        <v>0</v>
      </c>
      <c r="AW246" s="647">
        <f t="shared" si="513"/>
        <v>13134.822473721311</v>
      </c>
      <c r="AY246" s="644">
        <f t="shared" si="551"/>
        <v>3762.9979607880168</v>
      </c>
      <c r="AZ246" s="645">
        <f t="shared" si="482"/>
        <v>4148.8478823682681</v>
      </c>
      <c r="BA246" s="644">
        <f t="shared" si="552"/>
        <v>385.84992158025125</v>
      </c>
      <c r="BB246" s="645">
        <f t="shared" si="553"/>
        <v>0</v>
      </c>
      <c r="BC246" s="646">
        <f t="shared" si="554"/>
        <v>0</v>
      </c>
      <c r="BD246" s="647">
        <f t="shared" si="555"/>
        <v>4148.8478823682681</v>
      </c>
      <c r="BE246" s="644">
        <f t="shared" si="514"/>
        <v>0</v>
      </c>
      <c r="BF246" s="645">
        <f t="shared" si="515"/>
        <v>0</v>
      </c>
      <c r="BG246" s="646">
        <f t="shared" si="556"/>
        <v>0</v>
      </c>
      <c r="BH246" s="647">
        <f t="shared" si="516"/>
        <v>4148.8478823682681</v>
      </c>
      <c r="BI246" s="644">
        <f t="shared" si="557"/>
        <v>0</v>
      </c>
      <c r="BJ246" s="645">
        <f t="shared" si="558"/>
        <v>0</v>
      </c>
      <c r="BK246" s="646">
        <f t="shared" si="559"/>
        <v>0</v>
      </c>
      <c r="BL246" s="647">
        <f t="shared" si="517"/>
        <v>4148.8478823682681</v>
      </c>
      <c r="BM246" s="644">
        <f t="shared" si="560"/>
        <v>0</v>
      </c>
      <c r="BN246" s="645">
        <f t="shared" si="561"/>
        <v>0</v>
      </c>
      <c r="BO246" s="646">
        <f t="shared" si="562"/>
        <v>0</v>
      </c>
      <c r="BP246" s="647">
        <f t="shared" si="518"/>
        <v>4148.8478823682681</v>
      </c>
      <c r="BQ246" s="644">
        <f t="shared" si="563"/>
        <v>0</v>
      </c>
      <c r="BR246" s="645">
        <f t="shared" si="564"/>
        <v>0</v>
      </c>
      <c r="BS246" s="646">
        <f t="shared" si="565"/>
        <v>0</v>
      </c>
      <c r="BT246" s="647">
        <f t="shared" si="519"/>
        <v>4148.8478823682681</v>
      </c>
      <c r="BU246" s="662">
        <f>VLOOKUP(B246,'Afton Update'!$A$5:$AR$582,'Afton Update'!$AO$589,0)-BT246</f>
        <v>0</v>
      </c>
      <c r="BV246" s="644">
        <f t="shared" si="566"/>
        <v>4644.5782596579411</v>
      </c>
      <c r="BW246" s="645">
        <f t="shared" si="483"/>
        <v>6964.2747830976514</v>
      </c>
      <c r="BX246" s="644">
        <f t="shared" si="567"/>
        <v>2319.6965234397103</v>
      </c>
      <c r="BY246" s="645">
        <f t="shared" si="568"/>
        <v>0</v>
      </c>
      <c r="BZ246" s="646">
        <f t="shared" si="569"/>
        <v>0</v>
      </c>
      <c r="CA246" s="647">
        <f t="shared" si="570"/>
        <v>6964.2747830976514</v>
      </c>
      <c r="CB246" s="644">
        <f t="shared" si="520"/>
        <v>0</v>
      </c>
      <c r="CC246" s="645">
        <f t="shared" si="521"/>
        <v>0</v>
      </c>
      <c r="CD246" s="646">
        <f t="shared" si="571"/>
        <v>0</v>
      </c>
      <c r="CE246" s="647">
        <f t="shared" si="522"/>
        <v>6964.2747830976514</v>
      </c>
      <c r="CF246" s="644">
        <f t="shared" si="572"/>
        <v>0</v>
      </c>
      <c r="CG246" s="645">
        <f t="shared" si="573"/>
        <v>0</v>
      </c>
      <c r="CH246" s="646">
        <f t="shared" si="574"/>
        <v>0</v>
      </c>
      <c r="CI246" s="647">
        <f t="shared" si="523"/>
        <v>6964.2747830976514</v>
      </c>
      <c r="CJ246" s="644">
        <f t="shared" si="575"/>
        <v>0</v>
      </c>
      <c r="CK246" s="645">
        <f t="shared" si="576"/>
        <v>0</v>
      </c>
      <c r="CL246" s="646">
        <f t="shared" si="577"/>
        <v>0</v>
      </c>
      <c r="CM246" s="647">
        <f t="shared" si="524"/>
        <v>6964.2747830976514</v>
      </c>
      <c r="CN246" s="644">
        <f t="shared" si="578"/>
        <v>0</v>
      </c>
      <c r="CO246" s="645">
        <f t="shared" si="579"/>
        <v>0</v>
      </c>
      <c r="CP246" s="646">
        <f t="shared" si="580"/>
        <v>0</v>
      </c>
      <c r="CQ246" s="647">
        <f t="shared" si="525"/>
        <v>6964.2747830976514</v>
      </c>
      <c r="CS246" s="644">
        <f t="shared" si="581"/>
        <v>4323.4922502258569</v>
      </c>
      <c r="CT246" s="645">
        <f t="shared" si="484"/>
        <v>6710.030814574824</v>
      </c>
      <c r="CU246" s="644">
        <f t="shared" si="582"/>
        <v>2386.5385643489672</v>
      </c>
      <c r="CV246" s="645">
        <f t="shared" si="583"/>
        <v>0</v>
      </c>
      <c r="CW246" s="646">
        <f t="shared" si="584"/>
        <v>0</v>
      </c>
      <c r="CX246" s="647">
        <f t="shared" si="585"/>
        <v>6710.030814574824</v>
      </c>
      <c r="CY246" s="644">
        <f t="shared" si="526"/>
        <v>0</v>
      </c>
      <c r="CZ246" s="645">
        <f t="shared" si="527"/>
        <v>0</v>
      </c>
      <c r="DA246" s="646">
        <f t="shared" si="586"/>
        <v>0</v>
      </c>
      <c r="DB246" s="647">
        <f t="shared" si="528"/>
        <v>6710.030814574824</v>
      </c>
      <c r="DC246" s="644">
        <f t="shared" si="587"/>
        <v>0</v>
      </c>
      <c r="DD246" s="645">
        <f t="shared" si="588"/>
        <v>0</v>
      </c>
      <c r="DE246" s="646">
        <f t="shared" si="589"/>
        <v>0</v>
      </c>
      <c r="DF246" s="647">
        <f t="shared" si="529"/>
        <v>6710.030814574824</v>
      </c>
      <c r="DG246" s="644">
        <f t="shared" si="590"/>
        <v>0</v>
      </c>
      <c r="DH246" s="645">
        <f t="shared" si="591"/>
        <v>0</v>
      </c>
      <c r="DI246" s="646">
        <f t="shared" si="592"/>
        <v>0</v>
      </c>
      <c r="DJ246" s="647">
        <f t="shared" si="530"/>
        <v>6710.030814574824</v>
      </c>
      <c r="DK246" s="644">
        <f t="shared" si="593"/>
        <v>0</v>
      </c>
      <c r="DL246" s="645">
        <f t="shared" si="594"/>
        <v>0</v>
      </c>
      <c r="DM246" s="646">
        <f t="shared" si="595"/>
        <v>0</v>
      </c>
      <c r="DN246" s="647">
        <f t="shared" si="531"/>
        <v>6710.030814574824</v>
      </c>
      <c r="DR246" s="827">
        <f t="shared" si="485"/>
        <v>30957.975953762056</v>
      </c>
      <c r="DV246" s="828">
        <f>IFERROR(VLOOKUP($B246,'Afton FY16 Final'!$A$5:$BV$587,'Afton FY16 Final'!$BV$587,0),0)</f>
        <v>22468.399126150041</v>
      </c>
      <c r="DX246" s="636">
        <f t="shared" si="473"/>
        <v>30957.975953762056</v>
      </c>
      <c r="DY246" s="637">
        <f t="shared" si="474"/>
        <v>8489.5768276120143</v>
      </c>
      <c r="DZ246" s="637">
        <f t="shared" si="475"/>
        <v>22468.399126150041</v>
      </c>
      <c r="EA246" s="643">
        <f t="shared" si="476"/>
        <v>29311.358591471137</v>
      </c>
      <c r="EB246" s="637">
        <f t="shared" si="486"/>
        <v>0</v>
      </c>
      <c r="EC246" s="637">
        <f t="shared" si="487"/>
        <v>29311.358591471137</v>
      </c>
      <c r="ED246" s="637">
        <f t="shared" si="488"/>
        <v>29223.953870265941</v>
      </c>
      <c r="EE246" s="643">
        <f t="shared" si="489"/>
        <v>29223.953870265941</v>
      </c>
      <c r="EF246" s="637">
        <f t="shared" si="490"/>
        <v>0</v>
      </c>
      <c r="EG246" s="637">
        <f t="shared" si="491"/>
        <v>29223.953870265941</v>
      </c>
      <c r="EH246" s="637">
        <f t="shared" si="492"/>
        <v>29223.923721053427</v>
      </c>
      <c r="EI246" s="643">
        <f t="shared" si="493"/>
        <v>29223.923721053427</v>
      </c>
      <c r="EJ246" s="637">
        <f t="shared" si="494"/>
        <v>0</v>
      </c>
      <c r="EK246" s="637">
        <f t="shared" si="495"/>
        <v>29223.923721053427</v>
      </c>
      <c r="EL246" s="637">
        <f t="shared" si="496"/>
        <v>29223.923721053387</v>
      </c>
      <c r="EM246" s="643">
        <f t="shared" si="497"/>
        <v>29223.923721053387</v>
      </c>
      <c r="EN246" s="637">
        <f t="shared" si="498"/>
        <v>0</v>
      </c>
      <c r="EO246" s="637">
        <f t="shared" si="499"/>
        <v>29223.923721053387</v>
      </c>
      <c r="EP246" s="637">
        <f t="shared" si="500"/>
        <v>29223.923721053434</v>
      </c>
      <c r="EQ246" s="643">
        <f t="shared" si="501"/>
        <v>29223.923721053434</v>
      </c>
      <c r="ER246" s="637">
        <f t="shared" si="502"/>
        <v>0</v>
      </c>
      <c r="ES246" s="637">
        <f t="shared" si="503"/>
        <v>29223.923721053434</v>
      </c>
      <c r="ET246" s="637">
        <f t="shared" si="504"/>
        <v>29223.923721053387</v>
      </c>
      <c r="EU246" s="643">
        <f t="shared" si="477"/>
        <v>29223.923721053387</v>
      </c>
      <c r="EV246" s="643">
        <f t="shared" si="478"/>
        <v>0</v>
      </c>
      <c r="EX246" s="829">
        <f t="shared" si="479"/>
        <v>1734.0522327086692</v>
      </c>
      <c r="EY246" s="638">
        <f t="shared" si="480"/>
        <v>29223.923721053387</v>
      </c>
      <c r="FC246" s="830" t="str">
        <f t="shared" si="505"/>
        <v>Y</v>
      </c>
      <c r="FE246" s="830" t="str">
        <f>IFERROR(VLOOKUP($B246,'Historical Conc Grant Elig'!$B$3:$J$707,'HH &amp; SI'!FE$2,0),"N")</f>
        <v>Y</v>
      </c>
      <c r="FF246" s="830" t="str">
        <f>IFERROR(VLOOKUP($B246,'Historical Conc Grant Elig'!$B$3:$J$707,'HH &amp; SI'!FF$2,0),"N")</f>
        <v>Y</v>
      </c>
      <c r="FG246" s="830" t="str">
        <f>IFERROR(VLOOKUP($B246,'Historical Conc Grant Elig'!$B$3:$J$707,'HH &amp; SI'!FG$2,0),"N")</f>
        <v>Y</v>
      </c>
      <c r="FH246" s="830" t="str">
        <f>IFERROR(VLOOKUP($B246,'Historical Conc Grant Elig'!$B$3:$J$707,'HH &amp; SI'!FH$2,0),"N")</f>
        <v>Y</v>
      </c>
      <c r="FI246" s="830" t="str">
        <f>IFERROR(VLOOKUP($B246,'Historical Conc Grant Elig'!$B$3:$J$707,'HH &amp; SI'!FI$2,0),"N")</f>
        <v>Y</v>
      </c>
      <c r="FJ246" s="830" t="str">
        <f>IFERROR(VLOOKUP($B246,'Historical Conc Grant Elig'!$B$3:$J$707,'HH &amp; SI'!FJ$2,0),"N")</f>
        <v>Y</v>
      </c>
      <c r="FK246" s="830" t="str">
        <f>IFERROR(VLOOKUP($B246,'Historical Conc Grant Elig'!$B$3:$J$707,'HH &amp; SI'!FK$2,0),"N")</f>
        <v>Y</v>
      </c>
      <c r="FL246" s="957" t="str">
        <f>IFERROR(VLOOKUP($B246,'Historical Conc Grant Elig'!$B$3:$J$707,'HH &amp; SI'!FL$2,0),"N")</f>
        <v>Y</v>
      </c>
    </row>
    <row r="247" spans="2:168" x14ac:dyDescent="0.25">
      <c r="B247" s="634">
        <v>78742000</v>
      </c>
      <c r="C247" s="635" t="str">
        <f>VLOOKUP($B247,'Afton Update'!$A$5:$CR$582,'Afton Update'!D$589,0)</f>
        <v>Edkey  Inc. - Pathfinder Academy</v>
      </c>
      <c r="D247" s="636">
        <f>IFERROR(VLOOKUP($B247,'Afton FY16 Final'!$A$5:$BV$587,'Afton FY16 Final'!AQ$587,0),0)</f>
        <v>36054.41052394412</v>
      </c>
      <c r="E247" s="637">
        <f>IFERROR(VLOOKUP($B247,'Afton FY16 Final'!$A$5:$BV$587,'Afton FY16 Final'!AR$587,0),0)</f>
        <v>9229.7085802592974</v>
      </c>
      <c r="F247" s="637">
        <f>IFERROR(VLOOKUP($B247,'Afton FY16 Final'!$A$5:$BV$587,'Afton FY16 Final'!AS$587,0),0)</f>
        <v>19567.152106225869</v>
      </c>
      <c r="G247" s="637">
        <f>IFERROR(VLOOKUP($B247,'Afton FY16 Final'!$A$5:$BV$587,'Afton FY16 Final'!AT$587,0),0)</f>
        <v>16429.722844709297</v>
      </c>
      <c r="H247" s="638">
        <f>IFERROR(VLOOKUP($B247,'Afton FY16 Final'!$A$5:$BV$587,'Afton FY16 Final'!AU$587,0),0)</f>
        <v>81280.994055138581</v>
      </c>
      <c r="I247" s="639" t="str">
        <f>VLOOKUP($B247,'Afton Update'!$A$5:$CR$582,'Afton Update'!BT$589,0)</f>
        <v>Y</v>
      </c>
      <c r="J247" s="640" t="str">
        <f>VLOOKUP($B247,'Afton Update'!$A$5:$CR$582,'Afton Update'!BU$589,0)</f>
        <v>N</v>
      </c>
      <c r="K247" s="640" t="str">
        <f>VLOOKUP($B247,'Afton Update'!$A$5:$CR$582,'Afton Update'!BV$589,0)</f>
        <v>Y</v>
      </c>
      <c r="L247" s="641" t="str">
        <f>VLOOKUP($B247,'Afton Update'!$A$5:$CR$582,'Afton Update'!BW$589,0)</f>
        <v>Y</v>
      </c>
      <c r="N247" s="642">
        <f>VLOOKUP($B247,'Afton Update'!$A$5:$CR$582,'Afton Update'!CB$589,0)</f>
        <v>0.85</v>
      </c>
      <c r="P247" s="636">
        <f>VLOOKUP($B247,'Afton Update'!$A$5:$CR$582,'Afton Update'!AH$589,0)</f>
        <v>45681.400654184756</v>
      </c>
      <c r="Q247" s="637" t="str">
        <f>VLOOKUP($B247,'Afton Update'!$A$5:$CR$582,'Afton Update'!AI$589,0)</f>
        <v/>
      </c>
      <c r="R247" s="637">
        <f>VLOOKUP($B247,'Afton Update'!$A$5:$CR$582,'Afton Update'!AJ$589,0)</f>
        <v>26760.928049995939</v>
      </c>
      <c r="S247" s="637">
        <f>VLOOKUP($B247,'Afton Update'!$A$5:$CR$582,'Afton Update'!AK$589,0)</f>
        <v>24910.908712200155</v>
      </c>
      <c r="T247" s="643">
        <f t="shared" si="506"/>
        <v>97353.237416380842</v>
      </c>
      <c r="V247" s="636">
        <f t="shared" si="532"/>
        <v>45058.276699124406</v>
      </c>
      <c r="W247" s="637">
        <f t="shared" si="533"/>
        <v>7845.2522932204029</v>
      </c>
      <c r="X247" s="637">
        <f t="shared" si="534"/>
        <v>26517.547857790523</v>
      </c>
      <c r="Y247" s="637">
        <f t="shared" si="535"/>
        <v>24636.435340117983</v>
      </c>
      <c r="Z247" s="643">
        <f t="shared" si="536"/>
        <v>104057.51219025331</v>
      </c>
      <c r="AB247" s="644">
        <f t="shared" si="507"/>
        <v>45681.400654184756</v>
      </c>
      <c r="AC247" s="645">
        <f t="shared" si="481"/>
        <v>30646.248945352501</v>
      </c>
      <c r="AD247" s="644">
        <f t="shared" si="537"/>
        <v>0</v>
      </c>
      <c r="AE247" s="645">
        <f t="shared" si="538"/>
        <v>45681.400654184756</v>
      </c>
      <c r="AF247" s="646">
        <f t="shared" si="539"/>
        <v>-566.25528976739963</v>
      </c>
      <c r="AG247" s="647">
        <f t="shared" si="540"/>
        <v>45115.145364417353</v>
      </c>
      <c r="AH247" s="644">
        <f t="shared" si="508"/>
        <v>0</v>
      </c>
      <c r="AI247" s="645">
        <f t="shared" si="509"/>
        <v>45115.145364417353</v>
      </c>
      <c r="AJ247" s="646">
        <f t="shared" si="541"/>
        <v>-56.832434440956796</v>
      </c>
      <c r="AK247" s="647">
        <f t="shared" si="510"/>
        <v>45058.312929976397</v>
      </c>
      <c r="AL247" s="644">
        <f t="shared" si="542"/>
        <v>0</v>
      </c>
      <c r="AM247" s="645">
        <f t="shared" si="543"/>
        <v>45058.312929976397</v>
      </c>
      <c r="AN247" s="646">
        <f t="shared" si="544"/>
        <v>-3.6230851990176248E-2</v>
      </c>
      <c r="AO247" s="647">
        <f t="shared" si="511"/>
        <v>45058.276699124406</v>
      </c>
      <c r="AP247" s="644">
        <f t="shared" si="545"/>
        <v>0</v>
      </c>
      <c r="AQ247" s="645">
        <f t="shared" si="546"/>
        <v>45058.276699124406</v>
      </c>
      <c r="AR247" s="646">
        <f t="shared" si="547"/>
        <v>0</v>
      </c>
      <c r="AS247" s="647">
        <f t="shared" si="512"/>
        <v>45058.276699124406</v>
      </c>
      <c r="AT247" s="644">
        <f t="shared" si="548"/>
        <v>0</v>
      </c>
      <c r="AU247" s="645">
        <f t="shared" si="549"/>
        <v>45058.276699124406</v>
      </c>
      <c r="AV247" s="646">
        <f t="shared" si="550"/>
        <v>0</v>
      </c>
      <c r="AW247" s="647">
        <f t="shared" si="513"/>
        <v>45058.276699124406</v>
      </c>
      <c r="AY247" s="644">
        <f t="shared" si="551"/>
        <v>0</v>
      </c>
      <c r="AZ247" s="645">
        <f t="shared" si="482"/>
        <v>7845.2522932204029</v>
      </c>
      <c r="BA247" s="644">
        <f t="shared" si="552"/>
        <v>0</v>
      </c>
      <c r="BB247" s="645">
        <f t="shared" si="553"/>
        <v>0</v>
      </c>
      <c r="BC247" s="646">
        <f t="shared" si="554"/>
        <v>0</v>
      </c>
      <c r="BD247" s="647">
        <f t="shared" si="555"/>
        <v>0</v>
      </c>
      <c r="BE247" s="644">
        <f t="shared" si="514"/>
        <v>-7845.2522932204029</v>
      </c>
      <c r="BF247" s="645">
        <f t="shared" si="515"/>
        <v>0</v>
      </c>
      <c r="BG247" s="646">
        <f t="shared" si="556"/>
        <v>0</v>
      </c>
      <c r="BH247" s="647">
        <f t="shared" si="516"/>
        <v>7845.2522932204029</v>
      </c>
      <c r="BI247" s="644">
        <f t="shared" si="557"/>
        <v>0</v>
      </c>
      <c r="BJ247" s="645">
        <f t="shared" si="558"/>
        <v>0</v>
      </c>
      <c r="BK247" s="646">
        <f t="shared" si="559"/>
        <v>0</v>
      </c>
      <c r="BL247" s="647">
        <f t="shared" si="517"/>
        <v>7845.2522932204029</v>
      </c>
      <c r="BM247" s="644">
        <f t="shared" si="560"/>
        <v>0</v>
      </c>
      <c r="BN247" s="645">
        <f t="shared" si="561"/>
        <v>0</v>
      </c>
      <c r="BO247" s="646">
        <f t="shared" si="562"/>
        <v>0</v>
      </c>
      <c r="BP247" s="647">
        <f t="shared" si="518"/>
        <v>7845.2522932204029</v>
      </c>
      <c r="BQ247" s="644">
        <f t="shared" si="563"/>
        <v>0</v>
      </c>
      <c r="BR247" s="645">
        <f t="shared" si="564"/>
        <v>0</v>
      </c>
      <c r="BS247" s="646">
        <f t="shared" si="565"/>
        <v>0</v>
      </c>
      <c r="BT247" s="647">
        <f t="shared" si="519"/>
        <v>7845.2522932204029</v>
      </c>
      <c r="BU247" s="662">
        <f>VLOOKUP(B247,'Afton Update'!$A$5:$AR$582,'Afton Update'!$AO$589,0)-BT247</f>
        <v>0</v>
      </c>
      <c r="BV247" s="644">
        <f t="shared" si="566"/>
        <v>26760.928049995939</v>
      </c>
      <c r="BW247" s="645">
        <f t="shared" si="483"/>
        <v>16632.079290291989</v>
      </c>
      <c r="BX247" s="644">
        <f t="shared" si="567"/>
        <v>0</v>
      </c>
      <c r="BY247" s="645">
        <f t="shared" si="568"/>
        <v>26760.928049995939</v>
      </c>
      <c r="BZ247" s="646">
        <f t="shared" si="569"/>
        <v>-234.88351068489942</v>
      </c>
      <c r="CA247" s="647">
        <f t="shared" si="570"/>
        <v>26526.044539311039</v>
      </c>
      <c r="CB247" s="644">
        <f t="shared" si="520"/>
        <v>0</v>
      </c>
      <c r="CC247" s="645">
        <f t="shared" si="521"/>
        <v>26526.044539311039</v>
      </c>
      <c r="CD247" s="646">
        <f t="shared" si="571"/>
        <v>-8.4966815205150539</v>
      </c>
      <c r="CE247" s="647">
        <f t="shared" si="522"/>
        <v>26517.547857790523</v>
      </c>
      <c r="CF247" s="644">
        <f t="shared" si="572"/>
        <v>0</v>
      </c>
      <c r="CG247" s="645">
        <f t="shared" si="573"/>
        <v>26517.547857790523</v>
      </c>
      <c r="CH247" s="646">
        <f t="shared" si="574"/>
        <v>0</v>
      </c>
      <c r="CI247" s="647">
        <f t="shared" si="523"/>
        <v>26517.547857790523</v>
      </c>
      <c r="CJ247" s="644">
        <f t="shared" si="575"/>
        <v>0</v>
      </c>
      <c r="CK247" s="645">
        <f t="shared" si="576"/>
        <v>26517.547857790523</v>
      </c>
      <c r="CL247" s="646">
        <f t="shared" si="577"/>
        <v>0</v>
      </c>
      <c r="CM247" s="647">
        <f t="shared" si="524"/>
        <v>26517.547857790523</v>
      </c>
      <c r="CN247" s="644">
        <f t="shared" si="578"/>
        <v>0</v>
      </c>
      <c r="CO247" s="645">
        <f t="shared" si="579"/>
        <v>26517.547857790523</v>
      </c>
      <c r="CP247" s="646">
        <f t="shared" si="580"/>
        <v>0</v>
      </c>
      <c r="CQ247" s="647">
        <f t="shared" si="525"/>
        <v>26517.547857790523</v>
      </c>
      <c r="CS247" s="644">
        <f t="shared" si="581"/>
        <v>24910.908712200155</v>
      </c>
      <c r="CT247" s="645">
        <f t="shared" si="484"/>
        <v>13965.264418002902</v>
      </c>
      <c r="CU247" s="644">
        <f t="shared" si="582"/>
        <v>0</v>
      </c>
      <c r="CV247" s="645">
        <f t="shared" si="583"/>
        <v>24910.908712200155</v>
      </c>
      <c r="CW247" s="646">
        <f t="shared" si="584"/>
        <v>-255.10178291487745</v>
      </c>
      <c r="CX247" s="647">
        <f t="shared" si="585"/>
        <v>24655.806929285278</v>
      </c>
      <c r="CY247" s="644">
        <f t="shared" si="526"/>
        <v>0</v>
      </c>
      <c r="CZ247" s="645">
        <f t="shared" si="527"/>
        <v>24655.806929285278</v>
      </c>
      <c r="DA247" s="646">
        <f t="shared" si="586"/>
        <v>-19.354897978488214</v>
      </c>
      <c r="DB247" s="647">
        <f t="shared" si="528"/>
        <v>24636.452031306791</v>
      </c>
      <c r="DC247" s="644">
        <f t="shared" si="587"/>
        <v>0</v>
      </c>
      <c r="DD247" s="645">
        <f t="shared" si="588"/>
        <v>24636.452031306791</v>
      </c>
      <c r="DE247" s="646">
        <f t="shared" si="589"/>
        <v>-1.6691188808019661E-2</v>
      </c>
      <c r="DF247" s="647">
        <f t="shared" si="529"/>
        <v>24636.435340117983</v>
      </c>
      <c r="DG247" s="644">
        <f t="shared" si="590"/>
        <v>0</v>
      </c>
      <c r="DH247" s="645">
        <f t="shared" si="591"/>
        <v>24636.435340117983</v>
      </c>
      <c r="DI247" s="646">
        <f t="shared" si="592"/>
        <v>0</v>
      </c>
      <c r="DJ247" s="647">
        <f t="shared" si="530"/>
        <v>24636.435340117983</v>
      </c>
      <c r="DK247" s="644">
        <f t="shared" si="593"/>
        <v>0</v>
      </c>
      <c r="DL247" s="645">
        <f t="shared" si="594"/>
        <v>24636.435340117983</v>
      </c>
      <c r="DM247" s="646">
        <f t="shared" si="595"/>
        <v>0</v>
      </c>
      <c r="DN247" s="647">
        <f t="shared" si="531"/>
        <v>24636.435340117983</v>
      </c>
      <c r="DR247" s="827">
        <f t="shared" si="485"/>
        <v>104057.51219025331</v>
      </c>
      <c r="DV247" s="828">
        <f>IFERROR(VLOOKUP($B247,'Afton FY16 Final'!$A$5:$BV$587,'Afton FY16 Final'!$BV$587,0),0)</f>
        <v>72163.735781728508</v>
      </c>
      <c r="DX247" s="636">
        <f t="shared" si="473"/>
        <v>104057.51219025331</v>
      </c>
      <c r="DY247" s="637">
        <f t="shared" si="474"/>
        <v>31893.776408524805</v>
      </c>
      <c r="DZ247" s="637">
        <f t="shared" si="475"/>
        <v>72163.735781728508</v>
      </c>
      <c r="EA247" s="643">
        <f t="shared" si="476"/>
        <v>98522.818755993168</v>
      </c>
      <c r="EB247" s="637">
        <f t="shared" si="486"/>
        <v>0</v>
      </c>
      <c r="EC247" s="637">
        <f t="shared" si="487"/>
        <v>98522.818755993168</v>
      </c>
      <c r="ED247" s="637">
        <f t="shared" si="488"/>
        <v>98229.029593036277</v>
      </c>
      <c r="EE247" s="643">
        <f t="shared" si="489"/>
        <v>98229.029593036277</v>
      </c>
      <c r="EF247" s="637">
        <f t="shared" si="490"/>
        <v>0</v>
      </c>
      <c r="EG247" s="637">
        <f t="shared" si="491"/>
        <v>98229.029593036277</v>
      </c>
      <c r="EH247" s="637">
        <f t="shared" si="492"/>
        <v>98228.928253980601</v>
      </c>
      <c r="EI247" s="643">
        <f t="shared" si="493"/>
        <v>98228.928253980601</v>
      </c>
      <c r="EJ247" s="637">
        <f t="shared" si="494"/>
        <v>0</v>
      </c>
      <c r="EK247" s="637">
        <f t="shared" si="495"/>
        <v>98228.928253980601</v>
      </c>
      <c r="EL247" s="637">
        <f t="shared" si="496"/>
        <v>98228.92825398047</v>
      </c>
      <c r="EM247" s="643">
        <f t="shared" si="497"/>
        <v>98228.92825398047</v>
      </c>
      <c r="EN247" s="637">
        <f t="shared" si="498"/>
        <v>0</v>
      </c>
      <c r="EO247" s="637">
        <f t="shared" si="499"/>
        <v>98228.92825398047</v>
      </c>
      <c r="EP247" s="637">
        <f t="shared" si="500"/>
        <v>98228.928253980615</v>
      </c>
      <c r="EQ247" s="643">
        <f t="shared" si="501"/>
        <v>98228.928253980615</v>
      </c>
      <c r="ER247" s="637">
        <f t="shared" si="502"/>
        <v>0</v>
      </c>
      <c r="ES247" s="637">
        <f t="shared" si="503"/>
        <v>98228.928253980615</v>
      </c>
      <c r="ET247" s="637">
        <f t="shared" si="504"/>
        <v>98228.92825398047</v>
      </c>
      <c r="EU247" s="643">
        <f t="shared" si="477"/>
        <v>98228.92825398047</v>
      </c>
      <c r="EV247" s="643">
        <f t="shared" si="478"/>
        <v>0</v>
      </c>
      <c r="EX247" s="829">
        <f t="shared" si="479"/>
        <v>5828.5839362728439</v>
      </c>
      <c r="EY247" s="638">
        <f t="shared" si="480"/>
        <v>98228.92825398047</v>
      </c>
      <c r="FC247" s="830" t="str">
        <f t="shared" si="505"/>
        <v>Y</v>
      </c>
      <c r="FE247" s="830" t="str">
        <f>IFERROR(VLOOKUP($B247,'Historical Conc Grant Elig'!$B$3:$J$707,'HH &amp; SI'!FE$2,0),"N")</f>
        <v>N</v>
      </c>
      <c r="FF247" s="830" t="str">
        <f>IFERROR(VLOOKUP($B247,'Historical Conc Grant Elig'!$B$3:$J$707,'HH &amp; SI'!FF$2,0),"N")</f>
        <v>Y</v>
      </c>
      <c r="FG247" s="830" t="str">
        <f>IFERROR(VLOOKUP($B247,'Historical Conc Grant Elig'!$B$3:$J$707,'HH &amp; SI'!FG$2,0),"N")</f>
        <v>N</v>
      </c>
      <c r="FH247" s="830" t="str">
        <f>IFERROR(VLOOKUP($B247,'Historical Conc Grant Elig'!$B$3:$J$707,'HH &amp; SI'!FH$2,0),"N")</f>
        <v>Y</v>
      </c>
      <c r="FI247" s="830" t="str">
        <f>IFERROR(VLOOKUP($B247,'Historical Conc Grant Elig'!$B$3:$J$707,'HH &amp; SI'!FI$2,0),"N")</f>
        <v>N</v>
      </c>
      <c r="FJ247" s="830" t="str">
        <f>IFERROR(VLOOKUP($B247,'Historical Conc Grant Elig'!$B$3:$J$707,'HH &amp; SI'!FJ$2,0),"N")</f>
        <v>Y</v>
      </c>
      <c r="FK247" s="830" t="str">
        <f>IFERROR(VLOOKUP($B247,'Historical Conc Grant Elig'!$B$3:$J$707,'HH &amp; SI'!FK$2,0),"N")</f>
        <v>Y</v>
      </c>
      <c r="FL247" s="957" t="str">
        <f>IFERROR(VLOOKUP($B247,'Historical Conc Grant Elig'!$B$3:$J$707,'HH &amp; SI'!FL$2,0),"N")</f>
        <v>N</v>
      </c>
    </row>
    <row r="248" spans="2:168" x14ac:dyDescent="0.25">
      <c r="B248" s="634">
        <v>78743000</v>
      </c>
      <c r="C248" s="635" t="str">
        <f>VLOOKUP($B248,'Afton Update'!$A$5:$CR$582,'Afton Update'!D$589,0)</f>
        <v>MCCCD on behalf of Phoenix College Preparatory Academy</v>
      </c>
      <c r="D248" s="636">
        <f>IFERROR(VLOOKUP($B248,'Afton FY16 Final'!$A$5:$BV$587,'Afton FY16 Final'!AQ$587,0),0)</f>
        <v>21351.824423656406</v>
      </c>
      <c r="E248" s="637">
        <f>IFERROR(VLOOKUP($B248,'Afton FY16 Final'!$A$5:$BV$587,'Afton FY16 Final'!AR$587,0),0)</f>
        <v>6244.8074164193804</v>
      </c>
      <c r="F248" s="637">
        <f>IFERROR(VLOOKUP($B248,'Afton FY16 Final'!$A$5:$BV$587,'Afton FY16 Final'!AS$587,0),0)</f>
        <v>11587.88592495921</v>
      </c>
      <c r="G248" s="637">
        <f>IFERROR(VLOOKUP($B248,'Afton FY16 Final'!$A$5:$BV$587,'Afton FY16 Final'!AT$587,0),0)</f>
        <v>9729.8652900342495</v>
      </c>
      <c r="H248" s="638">
        <f>IFERROR(VLOOKUP($B248,'Afton FY16 Final'!$A$5:$BV$587,'Afton FY16 Final'!AU$587,0),0)</f>
        <v>48914.383055069244</v>
      </c>
      <c r="I248" s="639" t="str">
        <f>VLOOKUP($B248,'Afton Update'!$A$5:$CR$582,'Afton Update'!BT$589,0)</f>
        <v>Y</v>
      </c>
      <c r="J248" s="640" t="str">
        <f>VLOOKUP($B248,'Afton Update'!$A$5:$CR$582,'Afton Update'!BU$589,0)</f>
        <v>Y</v>
      </c>
      <c r="K248" s="640" t="str">
        <f>VLOOKUP($B248,'Afton Update'!$A$5:$CR$582,'Afton Update'!BV$589,0)</f>
        <v>Y</v>
      </c>
      <c r="L248" s="641" t="str">
        <f>VLOOKUP($B248,'Afton Update'!$A$5:$CR$582,'Afton Update'!BW$589,0)</f>
        <v>Y</v>
      </c>
      <c r="N248" s="642">
        <f>VLOOKUP($B248,'Afton Update'!$A$5:$CR$582,'Afton Update'!CB$589,0)</f>
        <v>0.95</v>
      </c>
      <c r="P248" s="636">
        <f>VLOOKUP($B248,'Afton Update'!$A$5:$CR$582,'Afton Update'!AH$589,0)</f>
        <v>20807.75841316269</v>
      </c>
      <c r="Q248" s="637">
        <f>VLOOKUP($B248,'Afton Update'!$A$5:$CR$582,'Afton Update'!AI$589,0)</f>
        <v>6433.8323610817879</v>
      </c>
      <c r="R248" s="637">
        <f>VLOOKUP($B248,'Afton Update'!$A$5:$CR$582,'Afton Update'!AJ$589,0)</f>
        <v>12203.330719646878</v>
      </c>
      <c r="S248" s="637">
        <f>VLOOKUP($B248,'Afton Update'!$A$5:$CR$582,'Afton Update'!AK$589,0)</f>
        <v>11359.697876470238</v>
      </c>
      <c r="T248" s="643">
        <f t="shared" si="506"/>
        <v>50804.619370361586</v>
      </c>
      <c r="V248" s="636">
        <f t="shared" si="532"/>
        <v>20523.927082847244</v>
      </c>
      <c r="W248" s="637">
        <f t="shared" si="533"/>
        <v>6221.9254458117539</v>
      </c>
      <c r="X248" s="637">
        <f t="shared" si="534"/>
        <v>12092.346191362016</v>
      </c>
      <c r="Y248" s="637">
        <f t="shared" si="535"/>
        <v>11234.534454372251</v>
      </c>
      <c r="Z248" s="643">
        <f t="shared" si="536"/>
        <v>50072.733174393266</v>
      </c>
      <c r="AB248" s="644">
        <f t="shared" si="507"/>
        <v>20807.75841316269</v>
      </c>
      <c r="AC248" s="645">
        <f t="shared" si="481"/>
        <v>20284.233202473584</v>
      </c>
      <c r="AD248" s="644">
        <f t="shared" si="537"/>
        <v>0</v>
      </c>
      <c r="AE248" s="645">
        <f t="shared" si="538"/>
        <v>20807.75841316269</v>
      </c>
      <c r="AF248" s="646">
        <f t="shared" si="539"/>
        <v>-257.92780214536003</v>
      </c>
      <c r="AG248" s="647">
        <f t="shared" si="540"/>
        <v>20549.830611017329</v>
      </c>
      <c r="AH248" s="644">
        <f t="shared" si="508"/>
        <v>0</v>
      </c>
      <c r="AI248" s="645">
        <f t="shared" si="509"/>
        <v>20549.830611017329</v>
      </c>
      <c r="AJ248" s="646">
        <f t="shared" si="541"/>
        <v>-25.887025111849432</v>
      </c>
      <c r="AK248" s="647">
        <f t="shared" si="510"/>
        <v>20523.943585905479</v>
      </c>
      <c r="AL248" s="644">
        <f t="shared" si="542"/>
        <v>0</v>
      </c>
      <c r="AM248" s="645">
        <f t="shared" si="543"/>
        <v>20523.943585905479</v>
      </c>
      <c r="AN248" s="646">
        <f t="shared" si="544"/>
        <v>-1.6503058236363003E-2</v>
      </c>
      <c r="AO248" s="647">
        <f t="shared" si="511"/>
        <v>20523.927082847244</v>
      </c>
      <c r="AP248" s="644">
        <f t="shared" si="545"/>
        <v>0</v>
      </c>
      <c r="AQ248" s="645">
        <f t="shared" si="546"/>
        <v>20523.927082847244</v>
      </c>
      <c r="AR248" s="646">
        <f t="shared" si="547"/>
        <v>0</v>
      </c>
      <c r="AS248" s="647">
        <f t="shared" si="512"/>
        <v>20523.927082847244</v>
      </c>
      <c r="AT248" s="644">
        <f t="shared" si="548"/>
        <v>0</v>
      </c>
      <c r="AU248" s="645">
        <f t="shared" si="549"/>
        <v>20523.927082847244</v>
      </c>
      <c r="AV248" s="646">
        <f t="shared" si="550"/>
        <v>0</v>
      </c>
      <c r="AW248" s="647">
        <f t="shared" si="513"/>
        <v>20523.927082847244</v>
      </c>
      <c r="AY248" s="644">
        <f t="shared" si="551"/>
        <v>6433.8323610817879</v>
      </c>
      <c r="AZ248" s="645">
        <f t="shared" si="482"/>
        <v>5932.5670455984109</v>
      </c>
      <c r="BA248" s="644">
        <f t="shared" si="552"/>
        <v>0</v>
      </c>
      <c r="BB248" s="645">
        <f t="shared" si="553"/>
        <v>6433.8323610817879</v>
      </c>
      <c r="BC248" s="646">
        <f t="shared" si="554"/>
        <v>-46.267563523162458</v>
      </c>
      <c r="BD248" s="647">
        <f t="shared" si="555"/>
        <v>6387.5647975586253</v>
      </c>
      <c r="BE248" s="644">
        <f t="shared" si="514"/>
        <v>0</v>
      </c>
      <c r="BF248" s="645">
        <f t="shared" si="515"/>
        <v>6387.5647975586253</v>
      </c>
      <c r="BG248" s="646">
        <f t="shared" si="556"/>
        <v>-152.14658798808136</v>
      </c>
      <c r="BH248" s="647">
        <f t="shared" si="516"/>
        <v>6235.4182095705437</v>
      </c>
      <c r="BI248" s="644">
        <f t="shared" si="557"/>
        <v>0</v>
      </c>
      <c r="BJ248" s="645">
        <f t="shared" si="558"/>
        <v>6235.4182095705437</v>
      </c>
      <c r="BK248" s="646">
        <f t="shared" si="559"/>
        <v>-13.208080293072799</v>
      </c>
      <c r="BL248" s="647">
        <f t="shared" si="517"/>
        <v>6222.2101292774705</v>
      </c>
      <c r="BM248" s="644">
        <f t="shared" si="560"/>
        <v>0</v>
      </c>
      <c r="BN248" s="645">
        <f t="shared" si="561"/>
        <v>6222.2101292774705</v>
      </c>
      <c r="BO248" s="646">
        <f t="shared" si="562"/>
        <v>-0.28468346571624847</v>
      </c>
      <c r="BP248" s="647">
        <f t="shared" si="518"/>
        <v>6221.9254458117539</v>
      </c>
      <c r="BQ248" s="644">
        <f t="shared" si="563"/>
        <v>0</v>
      </c>
      <c r="BR248" s="645">
        <f t="shared" si="564"/>
        <v>6221.9254458117539</v>
      </c>
      <c r="BS248" s="646">
        <f t="shared" si="565"/>
        <v>0</v>
      </c>
      <c r="BT248" s="647">
        <f t="shared" si="519"/>
        <v>6221.9254458117539</v>
      </c>
      <c r="BU248" s="662">
        <f>VLOOKUP(B248,'Afton Update'!$A$5:$AR$582,'Afton Update'!$AO$589,0)-BT248</f>
        <v>0</v>
      </c>
      <c r="BV248" s="644">
        <f t="shared" si="566"/>
        <v>12203.330719646878</v>
      </c>
      <c r="BW248" s="645">
        <f t="shared" si="483"/>
        <v>11008.491628711248</v>
      </c>
      <c r="BX248" s="644">
        <f t="shared" si="567"/>
        <v>0</v>
      </c>
      <c r="BY248" s="645">
        <f t="shared" si="568"/>
        <v>12203.330719646878</v>
      </c>
      <c r="BZ248" s="646">
        <f t="shared" si="569"/>
        <v>-107.10993116996829</v>
      </c>
      <c r="CA248" s="647">
        <f t="shared" si="570"/>
        <v>12096.220788476909</v>
      </c>
      <c r="CB248" s="644">
        <f t="shared" si="520"/>
        <v>0</v>
      </c>
      <c r="CC248" s="645">
        <f t="shared" si="521"/>
        <v>12096.220788476909</v>
      </c>
      <c r="CD248" s="646">
        <f t="shared" si="571"/>
        <v>-3.8745971148923974</v>
      </c>
      <c r="CE248" s="647">
        <f t="shared" si="522"/>
        <v>12092.346191362016</v>
      </c>
      <c r="CF248" s="644">
        <f t="shared" si="572"/>
        <v>0</v>
      </c>
      <c r="CG248" s="645">
        <f t="shared" si="573"/>
        <v>12092.346191362016</v>
      </c>
      <c r="CH248" s="646">
        <f t="shared" si="574"/>
        <v>0</v>
      </c>
      <c r="CI248" s="647">
        <f t="shared" si="523"/>
        <v>12092.346191362016</v>
      </c>
      <c r="CJ248" s="644">
        <f t="shared" si="575"/>
        <v>0</v>
      </c>
      <c r="CK248" s="645">
        <f t="shared" si="576"/>
        <v>12092.346191362016</v>
      </c>
      <c r="CL248" s="646">
        <f t="shared" si="577"/>
        <v>0</v>
      </c>
      <c r="CM248" s="647">
        <f t="shared" si="524"/>
        <v>12092.346191362016</v>
      </c>
      <c r="CN248" s="644">
        <f t="shared" si="578"/>
        <v>0</v>
      </c>
      <c r="CO248" s="645">
        <f t="shared" si="579"/>
        <v>12092.346191362016</v>
      </c>
      <c r="CP248" s="646">
        <f t="shared" si="580"/>
        <v>0</v>
      </c>
      <c r="CQ248" s="647">
        <f t="shared" si="525"/>
        <v>12092.346191362016</v>
      </c>
      <c r="CS248" s="644">
        <f t="shared" si="581"/>
        <v>11359.697876470238</v>
      </c>
      <c r="CT248" s="645">
        <f t="shared" si="484"/>
        <v>9243.372025532537</v>
      </c>
      <c r="CU248" s="644">
        <f t="shared" si="582"/>
        <v>0</v>
      </c>
      <c r="CV248" s="645">
        <f t="shared" si="583"/>
        <v>11359.697876470238</v>
      </c>
      <c r="CW248" s="646">
        <f t="shared" si="584"/>
        <v>-116.32972586996253</v>
      </c>
      <c r="CX248" s="647">
        <f t="shared" si="585"/>
        <v>11243.368150600276</v>
      </c>
      <c r="CY248" s="644">
        <f t="shared" si="526"/>
        <v>0</v>
      </c>
      <c r="CZ248" s="645">
        <f t="shared" si="527"/>
        <v>11243.368150600276</v>
      </c>
      <c r="DA248" s="646">
        <f t="shared" si="586"/>
        <v>-8.8260848291676766</v>
      </c>
      <c r="DB248" s="647">
        <f t="shared" si="528"/>
        <v>11234.542065771107</v>
      </c>
      <c r="DC248" s="644">
        <f t="shared" si="587"/>
        <v>0</v>
      </c>
      <c r="DD248" s="645">
        <f t="shared" si="588"/>
        <v>11234.542065771107</v>
      </c>
      <c r="DE248" s="646">
        <f t="shared" si="589"/>
        <v>-7.6113988553683093E-3</v>
      </c>
      <c r="DF248" s="647">
        <f t="shared" si="529"/>
        <v>11234.534454372251</v>
      </c>
      <c r="DG248" s="644">
        <f t="shared" si="590"/>
        <v>0</v>
      </c>
      <c r="DH248" s="645">
        <f t="shared" si="591"/>
        <v>11234.534454372251</v>
      </c>
      <c r="DI248" s="646">
        <f t="shared" si="592"/>
        <v>0</v>
      </c>
      <c r="DJ248" s="647">
        <f t="shared" si="530"/>
        <v>11234.534454372251</v>
      </c>
      <c r="DK248" s="644">
        <f t="shared" si="593"/>
        <v>0</v>
      </c>
      <c r="DL248" s="645">
        <f t="shared" si="594"/>
        <v>11234.534454372251</v>
      </c>
      <c r="DM248" s="646">
        <f t="shared" si="595"/>
        <v>0</v>
      </c>
      <c r="DN248" s="647">
        <f t="shared" si="531"/>
        <v>11234.534454372251</v>
      </c>
      <c r="DR248" s="827">
        <f t="shared" si="485"/>
        <v>50072.733174393266</v>
      </c>
      <c r="DV248" s="828">
        <f>IFERROR(VLOOKUP($B248,'Afton FY16 Final'!$A$5:$BV$587,'Afton FY16 Final'!$BV$587,0),0)</f>
        <v>43427.675260931632</v>
      </c>
      <c r="DX248" s="636">
        <f t="shared" si="473"/>
        <v>50072.733174393266</v>
      </c>
      <c r="DY248" s="637">
        <f t="shared" si="474"/>
        <v>6645.0579134616346</v>
      </c>
      <c r="DZ248" s="637">
        <f t="shared" si="475"/>
        <v>43427.675260931632</v>
      </c>
      <c r="EA248" s="643">
        <f t="shared" si="476"/>
        <v>47409.42495471306</v>
      </c>
      <c r="EB248" s="637">
        <f t="shared" si="486"/>
        <v>0</v>
      </c>
      <c r="EC248" s="637">
        <f t="shared" si="487"/>
        <v>47409.42495471306</v>
      </c>
      <c r="ED248" s="637">
        <f t="shared" si="488"/>
        <v>47268.052880207062</v>
      </c>
      <c r="EE248" s="643">
        <f t="shared" si="489"/>
        <v>47268.052880207062</v>
      </c>
      <c r="EF248" s="637">
        <f t="shared" si="490"/>
        <v>0</v>
      </c>
      <c r="EG248" s="637">
        <f t="shared" si="491"/>
        <v>47268.052880207062</v>
      </c>
      <c r="EH248" s="637">
        <f t="shared" si="492"/>
        <v>47268.004115601914</v>
      </c>
      <c r="EI248" s="643">
        <f t="shared" si="493"/>
        <v>47268.004115601914</v>
      </c>
      <c r="EJ248" s="637">
        <f t="shared" si="494"/>
        <v>0</v>
      </c>
      <c r="EK248" s="637">
        <f t="shared" si="495"/>
        <v>47268.004115601914</v>
      </c>
      <c r="EL248" s="637">
        <f t="shared" si="496"/>
        <v>47268.004115601849</v>
      </c>
      <c r="EM248" s="643">
        <f t="shared" si="497"/>
        <v>47268.004115601849</v>
      </c>
      <c r="EN248" s="637">
        <f t="shared" si="498"/>
        <v>0</v>
      </c>
      <c r="EO248" s="637">
        <f t="shared" si="499"/>
        <v>47268.004115601849</v>
      </c>
      <c r="EP248" s="637">
        <f t="shared" si="500"/>
        <v>47268.004115601922</v>
      </c>
      <c r="EQ248" s="643">
        <f t="shared" si="501"/>
        <v>47268.004115601922</v>
      </c>
      <c r="ER248" s="637">
        <f t="shared" si="502"/>
        <v>0</v>
      </c>
      <c r="ES248" s="637">
        <f t="shared" si="503"/>
        <v>47268.004115601922</v>
      </c>
      <c r="ET248" s="637">
        <f t="shared" si="504"/>
        <v>47268.004115601849</v>
      </c>
      <c r="EU248" s="643">
        <f t="shared" si="477"/>
        <v>47268.004115601849</v>
      </c>
      <c r="EV248" s="643">
        <f t="shared" si="478"/>
        <v>0</v>
      </c>
      <c r="EX248" s="829">
        <f t="shared" si="479"/>
        <v>2804.7290587914176</v>
      </c>
      <c r="EY248" s="638">
        <f t="shared" si="480"/>
        <v>47268.004115601849</v>
      </c>
      <c r="FC248" s="830" t="str">
        <f t="shared" si="505"/>
        <v>Y</v>
      </c>
      <c r="FE248" s="830" t="str">
        <f>IFERROR(VLOOKUP($B248,'Historical Conc Grant Elig'!$B$3:$J$707,'HH &amp; SI'!FE$2,0),"N")</f>
        <v>N</v>
      </c>
      <c r="FF248" s="830" t="str">
        <f>IFERROR(VLOOKUP($B248,'Historical Conc Grant Elig'!$B$3:$J$707,'HH &amp; SI'!FF$2,0),"N")</f>
        <v>N</v>
      </c>
      <c r="FG248" s="830" t="str">
        <f>IFERROR(VLOOKUP($B248,'Historical Conc Grant Elig'!$B$3:$J$707,'HH &amp; SI'!FG$2,0),"N")</f>
        <v>N</v>
      </c>
      <c r="FH248" s="830" t="str">
        <f>IFERROR(VLOOKUP($B248,'Historical Conc Grant Elig'!$B$3:$J$707,'HH &amp; SI'!FH$2,0),"N")</f>
        <v>N</v>
      </c>
      <c r="FI248" s="830" t="str">
        <f>IFERROR(VLOOKUP($B248,'Historical Conc Grant Elig'!$B$3:$J$707,'HH &amp; SI'!FI$2,0),"N")</f>
        <v>Y</v>
      </c>
      <c r="FJ248" s="830" t="str">
        <f>IFERROR(VLOOKUP($B248,'Historical Conc Grant Elig'!$B$3:$J$707,'HH &amp; SI'!FJ$2,0),"N")</f>
        <v>Y</v>
      </c>
      <c r="FK248" s="830" t="str">
        <f>IFERROR(VLOOKUP($B248,'Historical Conc Grant Elig'!$B$3:$J$707,'HH &amp; SI'!FK$2,0),"N")</f>
        <v>Y</v>
      </c>
      <c r="FL248" s="957" t="str">
        <f>IFERROR(VLOOKUP($B248,'Historical Conc Grant Elig'!$B$3:$J$707,'HH &amp; SI'!FL$2,0),"N")</f>
        <v>Y</v>
      </c>
    </row>
    <row r="249" spans="2:168" x14ac:dyDescent="0.25">
      <c r="B249" s="634">
        <v>78745000</v>
      </c>
      <c r="C249" s="635" t="str">
        <f>VLOOKUP($B249,'Afton Update'!$A$5:$CR$582,'Afton Update'!D$589,0)</f>
        <v>Blueprint Education</v>
      </c>
      <c r="D249" s="636">
        <f>IFERROR(VLOOKUP($B249,'Afton FY16 Final'!$A$5:$BV$587,'Afton FY16 Final'!AQ$587,0),0)</f>
        <v>24197.486249518548</v>
      </c>
      <c r="E249" s="637">
        <f>IFERROR(VLOOKUP($B249,'Afton FY16 Final'!$A$5:$BV$587,'Afton FY16 Final'!AR$587,0),0)</f>
        <v>6822.5302223238805</v>
      </c>
      <c r="F249" s="637">
        <f>IFERROR(VLOOKUP($B249,'Afton FY16 Final'!$A$5:$BV$587,'Afton FY16 Final'!AS$587,0),0)</f>
        <v>13132.260024559206</v>
      </c>
      <c r="G249" s="637">
        <f>IFERROR(VLOOKUP($B249,'Afton FY16 Final'!$A$5:$BV$587,'Afton FY16 Final'!AT$587,0),0)</f>
        <v>11026.61191351974</v>
      </c>
      <c r="H249" s="638">
        <f>IFERROR(VLOOKUP($B249,'Afton FY16 Final'!$A$5:$BV$587,'Afton FY16 Final'!AU$587,0),0)</f>
        <v>55178.888409921376</v>
      </c>
      <c r="I249" s="639" t="str">
        <f>VLOOKUP($B249,'Afton Update'!$A$5:$CR$582,'Afton Update'!BT$589,0)</f>
        <v>Y</v>
      </c>
      <c r="J249" s="640" t="str">
        <f>VLOOKUP($B249,'Afton Update'!$A$5:$CR$582,'Afton Update'!BU$589,0)</f>
        <v>Y</v>
      </c>
      <c r="K249" s="640" t="str">
        <f>VLOOKUP($B249,'Afton Update'!$A$5:$CR$582,'Afton Update'!BV$589,0)</f>
        <v>Y</v>
      </c>
      <c r="L249" s="641" t="str">
        <f>VLOOKUP($B249,'Afton Update'!$A$5:$CR$582,'Afton Update'!BW$589,0)</f>
        <v>Y</v>
      </c>
      <c r="N249" s="642">
        <f>VLOOKUP($B249,'Afton Update'!$A$5:$CR$582,'Afton Update'!CB$589,0)</f>
        <v>0.95</v>
      </c>
      <c r="P249" s="636">
        <f>VLOOKUP($B249,'Afton Update'!$A$5:$CR$582,'Afton Update'!AH$589,0)</f>
        <v>22242.776234760116</v>
      </c>
      <c r="Q249" s="637">
        <f>VLOOKUP($B249,'Afton Update'!$A$5:$CR$582,'Afton Update'!AI$589,0)</f>
        <v>6730.5917388922071</v>
      </c>
      <c r="R249" s="637">
        <f>VLOOKUP($B249,'Afton Update'!$A$5:$CR$582,'Afton Update'!AJ$589,0)</f>
        <v>13043.192104090094</v>
      </c>
      <c r="S249" s="637">
        <f>VLOOKUP($B249,'Afton Update'!$A$5:$CR$582,'Afton Update'!AK$589,0)</f>
        <v>12141.498501608503</v>
      </c>
      <c r="T249" s="643">
        <f t="shared" si="506"/>
        <v>54158.058579350924</v>
      </c>
      <c r="V249" s="636">
        <f t="shared" si="532"/>
        <v>22987.61193704262</v>
      </c>
      <c r="W249" s="637">
        <f t="shared" si="533"/>
        <v>6508.9106546976536</v>
      </c>
      <c r="X249" s="637">
        <f t="shared" si="534"/>
        <v>12924.569364425201</v>
      </c>
      <c r="Y249" s="637">
        <f t="shared" si="535"/>
        <v>12007.721043934507</v>
      </c>
      <c r="Z249" s="643">
        <f t="shared" si="536"/>
        <v>54428.813000099981</v>
      </c>
      <c r="AB249" s="644">
        <f t="shared" si="507"/>
        <v>22242.776234760116</v>
      </c>
      <c r="AC249" s="645">
        <f t="shared" si="481"/>
        <v>22987.61193704262</v>
      </c>
      <c r="AD249" s="644">
        <f t="shared" si="537"/>
        <v>744.83570228250392</v>
      </c>
      <c r="AE249" s="645">
        <f t="shared" si="538"/>
        <v>0</v>
      </c>
      <c r="AF249" s="646">
        <f t="shared" si="539"/>
        <v>0</v>
      </c>
      <c r="AG249" s="647">
        <f t="shared" si="540"/>
        <v>22987.61193704262</v>
      </c>
      <c r="AH249" s="644">
        <f t="shared" si="508"/>
        <v>0</v>
      </c>
      <c r="AI249" s="645">
        <f t="shared" si="509"/>
        <v>0</v>
      </c>
      <c r="AJ249" s="646">
        <f t="shared" si="541"/>
        <v>0</v>
      </c>
      <c r="AK249" s="647">
        <f t="shared" si="510"/>
        <v>22987.61193704262</v>
      </c>
      <c r="AL249" s="644">
        <f t="shared" si="542"/>
        <v>0</v>
      </c>
      <c r="AM249" s="645">
        <f t="shared" si="543"/>
        <v>0</v>
      </c>
      <c r="AN249" s="646">
        <f t="shared" si="544"/>
        <v>0</v>
      </c>
      <c r="AO249" s="647">
        <f t="shared" si="511"/>
        <v>22987.61193704262</v>
      </c>
      <c r="AP249" s="644">
        <f t="shared" si="545"/>
        <v>0</v>
      </c>
      <c r="AQ249" s="645">
        <f t="shared" si="546"/>
        <v>0</v>
      </c>
      <c r="AR249" s="646">
        <f t="shared" si="547"/>
        <v>0</v>
      </c>
      <c r="AS249" s="647">
        <f t="shared" si="512"/>
        <v>22987.61193704262</v>
      </c>
      <c r="AT249" s="644">
        <f t="shared" si="548"/>
        <v>0</v>
      </c>
      <c r="AU249" s="645">
        <f t="shared" si="549"/>
        <v>0</v>
      </c>
      <c r="AV249" s="646">
        <f t="shared" si="550"/>
        <v>0</v>
      </c>
      <c r="AW249" s="647">
        <f t="shared" si="513"/>
        <v>22987.61193704262</v>
      </c>
      <c r="AY249" s="644">
        <f t="shared" si="551"/>
        <v>6730.5917388922071</v>
      </c>
      <c r="AZ249" s="645">
        <f t="shared" si="482"/>
        <v>6481.4037112076858</v>
      </c>
      <c r="BA249" s="644">
        <f t="shared" si="552"/>
        <v>0</v>
      </c>
      <c r="BB249" s="645">
        <f t="shared" si="553"/>
        <v>6730.5917388922071</v>
      </c>
      <c r="BC249" s="646">
        <f t="shared" si="554"/>
        <v>-48.401646693714497</v>
      </c>
      <c r="BD249" s="647">
        <f t="shared" si="555"/>
        <v>6682.1900921984925</v>
      </c>
      <c r="BE249" s="644">
        <f t="shared" si="514"/>
        <v>0</v>
      </c>
      <c r="BF249" s="645">
        <f t="shared" si="515"/>
        <v>6682.1900921984925</v>
      </c>
      <c r="BG249" s="646">
        <f t="shared" si="556"/>
        <v>-159.16432240410978</v>
      </c>
      <c r="BH249" s="647">
        <f t="shared" si="516"/>
        <v>6523.0257697943825</v>
      </c>
      <c r="BI249" s="644">
        <f t="shared" si="557"/>
        <v>0</v>
      </c>
      <c r="BJ249" s="645">
        <f t="shared" si="558"/>
        <v>6523.0257697943825</v>
      </c>
      <c r="BK249" s="646">
        <f t="shared" si="559"/>
        <v>-13.817300656592389</v>
      </c>
      <c r="BL249" s="647">
        <f t="shared" si="517"/>
        <v>6509.2084691377904</v>
      </c>
      <c r="BM249" s="644">
        <f t="shared" si="560"/>
        <v>0</v>
      </c>
      <c r="BN249" s="645">
        <f t="shared" si="561"/>
        <v>6509.2084691377904</v>
      </c>
      <c r="BO249" s="646">
        <f t="shared" si="562"/>
        <v>-0.29781444013670461</v>
      </c>
      <c r="BP249" s="647">
        <f t="shared" si="518"/>
        <v>6508.9106546976536</v>
      </c>
      <c r="BQ249" s="644">
        <f t="shared" si="563"/>
        <v>0</v>
      </c>
      <c r="BR249" s="645">
        <f t="shared" si="564"/>
        <v>6508.9106546976536</v>
      </c>
      <c r="BS249" s="646">
        <f t="shared" si="565"/>
        <v>0</v>
      </c>
      <c r="BT249" s="647">
        <f t="shared" si="519"/>
        <v>6508.9106546976536</v>
      </c>
      <c r="BU249" s="662">
        <f>VLOOKUP(B249,'Afton Update'!$A$5:$AR$582,'Afton Update'!$AO$589,0)-BT249</f>
        <v>0</v>
      </c>
      <c r="BV249" s="644">
        <f t="shared" si="566"/>
        <v>13043.192104090094</v>
      </c>
      <c r="BW249" s="645">
        <f t="shared" si="483"/>
        <v>12475.647023331245</v>
      </c>
      <c r="BX249" s="644">
        <f t="shared" si="567"/>
        <v>0</v>
      </c>
      <c r="BY249" s="645">
        <f t="shared" si="568"/>
        <v>13043.192104090094</v>
      </c>
      <c r="BZ249" s="646">
        <f t="shared" si="569"/>
        <v>-114.48148383429125</v>
      </c>
      <c r="CA249" s="647">
        <f t="shared" si="570"/>
        <v>12928.710620255802</v>
      </c>
      <c r="CB249" s="644">
        <f t="shared" si="520"/>
        <v>0</v>
      </c>
      <c r="CC249" s="645">
        <f t="shared" si="521"/>
        <v>12928.710620255802</v>
      </c>
      <c r="CD249" s="646">
        <f t="shared" si="571"/>
        <v>-4.1412558306013976</v>
      </c>
      <c r="CE249" s="647">
        <f t="shared" si="522"/>
        <v>12924.569364425201</v>
      </c>
      <c r="CF249" s="644">
        <f t="shared" si="572"/>
        <v>0</v>
      </c>
      <c r="CG249" s="645">
        <f t="shared" si="573"/>
        <v>12924.569364425201</v>
      </c>
      <c r="CH249" s="646">
        <f t="shared" si="574"/>
        <v>0</v>
      </c>
      <c r="CI249" s="647">
        <f t="shared" si="523"/>
        <v>12924.569364425201</v>
      </c>
      <c r="CJ249" s="644">
        <f t="shared" si="575"/>
        <v>0</v>
      </c>
      <c r="CK249" s="645">
        <f t="shared" si="576"/>
        <v>12924.569364425201</v>
      </c>
      <c r="CL249" s="646">
        <f t="shared" si="577"/>
        <v>0</v>
      </c>
      <c r="CM249" s="647">
        <f t="shared" si="524"/>
        <v>12924.569364425201</v>
      </c>
      <c r="CN249" s="644">
        <f t="shared" si="578"/>
        <v>0</v>
      </c>
      <c r="CO249" s="645">
        <f t="shared" si="579"/>
        <v>12924.569364425201</v>
      </c>
      <c r="CP249" s="646">
        <f t="shared" si="580"/>
        <v>0</v>
      </c>
      <c r="CQ249" s="647">
        <f t="shared" si="525"/>
        <v>12924.569364425201</v>
      </c>
      <c r="CS249" s="644">
        <f t="shared" si="581"/>
        <v>12141.498501608503</v>
      </c>
      <c r="CT249" s="645">
        <f t="shared" si="484"/>
        <v>10475.281317843754</v>
      </c>
      <c r="CU249" s="644">
        <f t="shared" si="582"/>
        <v>0</v>
      </c>
      <c r="CV249" s="645">
        <f t="shared" si="583"/>
        <v>12141.498501608503</v>
      </c>
      <c r="CW249" s="646">
        <f t="shared" si="584"/>
        <v>-124.33580608409224</v>
      </c>
      <c r="CX249" s="647">
        <f t="shared" si="585"/>
        <v>12017.16269552441</v>
      </c>
      <c r="CY249" s="644">
        <f t="shared" si="526"/>
        <v>0</v>
      </c>
      <c r="CZ249" s="645">
        <f t="shared" si="527"/>
        <v>12017.16269552441</v>
      </c>
      <c r="DA249" s="646">
        <f t="shared" si="586"/>
        <v>-9.433516357013092</v>
      </c>
      <c r="DB249" s="647">
        <f t="shared" si="528"/>
        <v>12007.729179167398</v>
      </c>
      <c r="DC249" s="644">
        <f t="shared" si="587"/>
        <v>0</v>
      </c>
      <c r="DD249" s="645">
        <f t="shared" si="588"/>
        <v>12007.729179167398</v>
      </c>
      <c r="DE249" s="646">
        <f t="shared" si="589"/>
        <v>-8.1352328910981962E-3</v>
      </c>
      <c r="DF249" s="647">
        <f t="shared" si="529"/>
        <v>12007.721043934507</v>
      </c>
      <c r="DG249" s="644">
        <f t="shared" si="590"/>
        <v>0</v>
      </c>
      <c r="DH249" s="645">
        <f t="shared" si="591"/>
        <v>12007.721043934507</v>
      </c>
      <c r="DI249" s="646">
        <f t="shared" si="592"/>
        <v>0</v>
      </c>
      <c r="DJ249" s="647">
        <f t="shared" si="530"/>
        <v>12007.721043934507</v>
      </c>
      <c r="DK249" s="644">
        <f t="shared" si="593"/>
        <v>0</v>
      </c>
      <c r="DL249" s="645">
        <f t="shared" si="594"/>
        <v>12007.721043934507</v>
      </c>
      <c r="DM249" s="646">
        <f t="shared" si="595"/>
        <v>0</v>
      </c>
      <c r="DN249" s="647">
        <f t="shared" si="531"/>
        <v>12007.721043934507</v>
      </c>
      <c r="DR249" s="827">
        <f t="shared" si="485"/>
        <v>54428.813000099981</v>
      </c>
      <c r="DV249" s="828">
        <f>IFERROR(VLOOKUP($B249,'Afton FY16 Final'!$A$5:$BV$587,'Afton FY16 Final'!$BV$587,0),0)</f>
        <v>51381.375145179729</v>
      </c>
      <c r="DX249" s="636">
        <f t="shared" si="473"/>
        <v>54428.813000099981</v>
      </c>
      <c r="DY249" s="637">
        <f t="shared" si="474"/>
        <v>3047.437854920252</v>
      </c>
      <c r="DZ249" s="637">
        <f t="shared" si="475"/>
        <v>51381.375145179729</v>
      </c>
      <c r="EA249" s="643">
        <f t="shared" si="476"/>
        <v>51533.81015402537</v>
      </c>
      <c r="EB249" s="637">
        <f t="shared" si="486"/>
        <v>0</v>
      </c>
      <c r="EC249" s="637">
        <f t="shared" si="487"/>
        <v>51533.81015402537</v>
      </c>
      <c r="ED249" s="637">
        <f t="shared" si="488"/>
        <v>51380.139409112686</v>
      </c>
      <c r="EE249" s="643">
        <f t="shared" si="489"/>
        <v>51380.139409112686</v>
      </c>
      <c r="EF249" s="637">
        <f t="shared" si="490"/>
        <v>51381.375145179729</v>
      </c>
      <c r="EG249" s="637">
        <f t="shared" si="491"/>
        <v>0</v>
      </c>
      <c r="EH249" s="637">
        <f t="shared" si="492"/>
        <v>0</v>
      </c>
      <c r="EI249" s="643">
        <f t="shared" si="493"/>
        <v>51381.375145179729</v>
      </c>
      <c r="EJ249" s="637">
        <f t="shared" si="494"/>
        <v>0</v>
      </c>
      <c r="EK249" s="637">
        <f t="shared" si="495"/>
        <v>0</v>
      </c>
      <c r="EL249" s="637">
        <f t="shared" si="496"/>
        <v>0</v>
      </c>
      <c r="EM249" s="643">
        <f t="shared" si="497"/>
        <v>51381.375145179729</v>
      </c>
      <c r="EN249" s="637">
        <f t="shared" si="498"/>
        <v>0</v>
      </c>
      <c r="EO249" s="637">
        <f t="shared" si="499"/>
        <v>0</v>
      </c>
      <c r="EP249" s="637">
        <f t="shared" si="500"/>
        <v>0</v>
      </c>
      <c r="EQ249" s="643">
        <f t="shared" si="501"/>
        <v>51381.375145179729</v>
      </c>
      <c r="ER249" s="637">
        <f t="shared" si="502"/>
        <v>0</v>
      </c>
      <c r="ES249" s="637">
        <f t="shared" si="503"/>
        <v>0</v>
      </c>
      <c r="ET249" s="637">
        <f t="shared" si="504"/>
        <v>0</v>
      </c>
      <c r="EU249" s="643">
        <f t="shared" si="477"/>
        <v>51381.375145179729</v>
      </c>
      <c r="EV249" s="643">
        <f t="shared" si="478"/>
        <v>0</v>
      </c>
      <c r="EX249" s="829">
        <f t="shared" si="479"/>
        <v>3047.437854920252</v>
      </c>
      <c r="EY249" s="638">
        <f t="shared" si="480"/>
        <v>51381.375145179729</v>
      </c>
      <c r="FC249" s="830" t="str">
        <f t="shared" si="505"/>
        <v>Y</v>
      </c>
      <c r="FE249" s="830" t="str">
        <f>IFERROR(VLOOKUP($B249,'Historical Conc Grant Elig'!$B$3:$J$707,'HH &amp; SI'!FE$2,0),"N")</f>
        <v>N</v>
      </c>
      <c r="FF249" s="830" t="str">
        <f>IFERROR(VLOOKUP($B249,'Historical Conc Grant Elig'!$B$3:$J$707,'HH &amp; SI'!FF$2,0),"N")</f>
        <v>Y</v>
      </c>
      <c r="FG249" s="830" t="str">
        <f>IFERROR(VLOOKUP($B249,'Historical Conc Grant Elig'!$B$3:$J$707,'HH &amp; SI'!FG$2,0),"N")</f>
        <v>Y</v>
      </c>
      <c r="FH249" s="830" t="str">
        <f>IFERROR(VLOOKUP($B249,'Historical Conc Grant Elig'!$B$3:$J$707,'HH &amp; SI'!FH$2,0),"N")</f>
        <v>Y</v>
      </c>
      <c r="FI249" s="830" t="str">
        <f>IFERROR(VLOOKUP($B249,'Historical Conc Grant Elig'!$B$3:$J$707,'HH &amp; SI'!FI$2,0),"N")</f>
        <v>Y</v>
      </c>
      <c r="FJ249" s="830" t="str">
        <f>IFERROR(VLOOKUP($B249,'Historical Conc Grant Elig'!$B$3:$J$707,'HH &amp; SI'!FJ$2,0),"N")</f>
        <v>Y</v>
      </c>
      <c r="FK249" s="830" t="str">
        <f>IFERROR(VLOOKUP($B249,'Historical Conc Grant Elig'!$B$3:$J$707,'HH &amp; SI'!FK$2,0),"N")</f>
        <v>Y</v>
      </c>
      <c r="FL249" s="957" t="str">
        <f>IFERROR(VLOOKUP($B249,'Historical Conc Grant Elig'!$B$3:$J$707,'HH &amp; SI'!FL$2,0),"N")</f>
        <v>Y</v>
      </c>
    </row>
    <row r="250" spans="2:168" x14ac:dyDescent="0.25">
      <c r="B250" s="634">
        <v>78746000</v>
      </c>
      <c r="C250" s="635" t="str">
        <f>VLOOKUP($B250,'Afton Update'!$A$5:$CR$582,'Afton Update'!D$589,0)</f>
        <v>Bradley Academy of Excellence  Inc.</v>
      </c>
      <c r="D250" s="636">
        <f>IFERROR(VLOOKUP($B250,'Afton FY16 Final'!$A$5:$BV$587,'Afton FY16 Final'!AQ$587,0),0)</f>
        <v>105298.84828658952</v>
      </c>
      <c r="E250" s="637">
        <f>IFERROR(VLOOKUP($B250,'Afton FY16 Final'!$A$5:$BV$587,'Afton FY16 Final'!AR$587,0),0)</f>
        <v>23287.630190602129</v>
      </c>
      <c r="F250" s="637">
        <f>IFERROR(VLOOKUP($B250,'Afton FY16 Final'!$A$5:$BV$587,'Afton FY16 Final'!AS$587,0),0)</f>
        <v>57146.921863159187</v>
      </c>
      <c r="G250" s="637">
        <f>IFERROR(VLOOKUP($B250,'Afton FY16 Final'!$A$5:$BV$587,'Afton FY16 Final'!AT$587,0),0)</f>
        <v>47983.890682856298</v>
      </c>
      <c r="H250" s="638">
        <f>IFERROR(VLOOKUP($B250,'Afton FY16 Final'!$A$5:$BV$587,'Afton FY16 Final'!AU$587,0),0)</f>
        <v>233717.29102320713</v>
      </c>
      <c r="I250" s="639" t="str">
        <f>VLOOKUP($B250,'Afton Update'!$A$5:$CR$582,'Afton Update'!BT$589,0)</f>
        <v>Y</v>
      </c>
      <c r="J250" s="640" t="str">
        <f>VLOOKUP($B250,'Afton Update'!$A$5:$CR$582,'Afton Update'!BU$589,0)</f>
        <v>Y</v>
      </c>
      <c r="K250" s="640" t="str">
        <f>VLOOKUP($B250,'Afton Update'!$A$5:$CR$582,'Afton Update'!BV$589,0)</f>
        <v>Y</v>
      </c>
      <c r="L250" s="641" t="str">
        <f>VLOOKUP($B250,'Afton Update'!$A$5:$CR$582,'Afton Update'!BW$589,0)</f>
        <v>Y</v>
      </c>
      <c r="N250" s="642">
        <f>VLOOKUP($B250,'Afton Update'!$A$5:$CR$582,'Afton Update'!CB$589,0)</f>
        <v>0.95</v>
      </c>
      <c r="P250" s="636">
        <f>VLOOKUP($B250,'Afton Update'!$A$5:$CR$582,'Afton Update'!AH$589,0)</f>
        <v>104277.96170274635</v>
      </c>
      <c r="Q250" s="637">
        <f>VLOOKUP($B250,'Afton Update'!$A$5:$CR$582,'Afton Update'!AI$589,0)</f>
        <v>23695.336170387825</v>
      </c>
      <c r="R250" s="637">
        <f>VLOOKUP($B250,'Afton Update'!$A$5:$CR$582,'Afton Update'!AJ$589,0)</f>
        <v>61055.267914760552</v>
      </c>
      <c r="S250" s="637">
        <f>VLOOKUP($B250,'Afton Update'!$A$5:$CR$582,'Afton Update'!AK$589,0)</f>
        <v>56834.434238679292</v>
      </c>
      <c r="T250" s="643">
        <f t="shared" si="506"/>
        <v>245863.00002657401</v>
      </c>
      <c r="V250" s="636">
        <f t="shared" si="532"/>
        <v>102855.54262208503</v>
      </c>
      <c r="W250" s="637">
        <f t="shared" si="533"/>
        <v>22914.898429341516</v>
      </c>
      <c r="X250" s="637">
        <f t="shared" si="534"/>
        <v>60499.994091203836</v>
      </c>
      <c r="Y250" s="637">
        <f t="shared" si="535"/>
        <v>56208.221080576681</v>
      </c>
      <c r="Z250" s="643">
        <f t="shared" si="536"/>
        <v>242478.65622320707</v>
      </c>
      <c r="AB250" s="644">
        <f t="shared" si="507"/>
        <v>104277.96170274635</v>
      </c>
      <c r="AC250" s="645">
        <f t="shared" si="481"/>
        <v>100033.90587226005</v>
      </c>
      <c r="AD250" s="644">
        <f t="shared" si="537"/>
        <v>0</v>
      </c>
      <c r="AE250" s="645">
        <f t="shared" si="538"/>
        <v>104277.96170274635</v>
      </c>
      <c r="AF250" s="646">
        <f t="shared" si="539"/>
        <v>-1292.6036981077814</v>
      </c>
      <c r="AG250" s="647">
        <f t="shared" si="540"/>
        <v>102985.35800463858</v>
      </c>
      <c r="AH250" s="644">
        <f t="shared" si="508"/>
        <v>0</v>
      </c>
      <c r="AI250" s="645">
        <f t="shared" si="509"/>
        <v>102985.35800463858</v>
      </c>
      <c r="AJ250" s="646">
        <f t="shared" si="541"/>
        <v>-129.73267757202706</v>
      </c>
      <c r="AK250" s="647">
        <f t="shared" si="510"/>
        <v>102855.62532706655</v>
      </c>
      <c r="AL250" s="644">
        <f t="shared" si="542"/>
        <v>0</v>
      </c>
      <c r="AM250" s="645">
        <f t="shared" si="543"/>
        <v>102855.62532706655</v>
      </c>
      <c r="AN250" s="646">
        <f t="shared" si="544"/>
        <v>-8.27049815063709E-2</v>
      </c>
      <c r="AO250" s="647">
        <f t="shared" si="511"/>
        <v>102855.54262208503</v>
      </c>
      <c r="AP250" s="644">
        <f t="shared" si="545"/>
        <v>0</v>
      </c>
      <c r="AQ250" s="645">
        <f t="shared" si="546"/>
        <v>102855.54262208503</v>
      </c>
      <c r="AR250" s="646">
        <f t="shared" si="547"/>
        <v>0</v>
      </c>
      <c r="AS250" s="647">
        <f t="shared" si="512"/>
        <v>102855.54262208503</v>
      </c>
      <c r="AT250" s="644">
        <f t="shared" si="548"/>
        <v>0</v>
      </c>
      <c r="AU250" s="645">
        <f t="shared" si="549"/>
        <v>102855.54262208503</v>
      </c>
      <c r="AV250" s="646">
        <f t="shared" si="550"/>
        <v>0</v>
      </c>
      <c r="AW250" s="647">
        <f t="shared" si="513"/>
        <v>102855.54262208503</v>
      </c>
      <c r="AY250" s="644">
        <f t="shared" si="551"/>
        <v>23695.336170387825</v>
      </c>
      <c r="AZ250" s="645">
        <f t="shared" si="482"/>
        <v>22123.248681072022</v>
      </c>
      <c r="BA250" s="644">
        <f t="shared" si="552"/>
        <v>0</v>
      </c>
      <c r="BB250" s="645">
        <f t="shared" si="553"/>
        <v>23695.336170387825</v>
      </c>
      <c r="BC250" s="646">
        <f t="shared" si="554"/>
        <v>-170.40006794360602</v>
      </c>
      <c r="BD250" s="647">
        <f t="shared" si="555"/>
        <v>23524.936102444219</v>
      </c>
      <c r="BE250" s="644">
        <f t="shared" si="514"/>
        <v>0</v>
      </c>
      <c r="BF250" s="645">
        <f t="shared" si="515"/>
        <v>23524.936102444219</v>
      </c>
      <c r="BG250" s="646">
        <f t="shared" si="556"/>
        <v>-560.34480652040236</v>
      </c>
      <c r="BH250" s="647">
        <f t="shared" si="516"/>
        <v>22964.591295923816</v>
      </c>
      <c r="BI250" s="644">
        <f t="shared" si="557"/>
        <v>0</v>
      </c>
      <c r="BJ250" s="645">
        <f t="shared" si="558"/>
        <v>22964.591295923816</v>
      </c>
      <c r="BK250" s="646">
        <f t="shared" si="559"/>
        <v>-48.644398104462212</v>
      </c>
      <c r="BL250" s="647">
        <f t="shared" si="517"/>
        <v>22915.946897819354</v>
      </c>
      <c r="BM250" s="644">
        <f t="shared" si="560"/>
        <v>0</v>
      </c>
      <c r="BN250" s="645">
        <f t="shared" si="561"/>
        <v>22915.946897819354</v>
      </c>
      <c r="BO250" s="646">
        <f t="shared" si="562"/>
        <v>-1.0484684778394451</v>
      </c>
      <c r="BP250" s="647">
        <f t="shared" si="518"/>
        <v>22914.898429341516</v>
      </c>
      <c r="BQ250" s="644">
        <f t="shared" si="563"/>
        <v>0</v>
      </c>
      <c r="BR250" s="645">
        <f t="shared" si="564"/>
        <v>22914.898429341516</v>
      </c>
      <c r="BS250" s="646">
        <f t="shared" si="565"/>
        <v>0</v>
      </c>
      <c r="BT250" s="647">
        <f t="shared" si="519"/>
        <v>22914.898429341516</v>
      </c>
      <c r="BU250" s="662">
        <f>VLOOKUP(B250,'Afton Update'!$A$5:$AR$582,'Afton Update'!$AO$589,0)-BT250</f>
        <v>0</v>
      </c>
      <c r="BV250" s="644">
        <f t="shared" si="566"/>
        <v>61055.267914760552</v>
      </c>
      <c r="BW250" s="645">
        <f t="shared" si="483"/>
        <v>54289.575770001225</v>
      </c>
      <c r="BX250" s="644">
        <f t="shared" si="567"/>
        <v>0</v>
      </c>
      <c r="BY250" s="645">
        <f t="shared" si="568"/>
        <v>61055.267914760552</v>
      </c>
      <c r="BZ250" s="646">
        <f t="shared" si="569"/>
        <v>-535.88857781141985</v>
      </c>
      <c r="CA250" s="647">
        <f t="shared" si="570"/>
        <v>60519.379336949132</v>
      </c>
      <c r="CB250" s="644">
        <f t="shared" si="520"/>
        <v>0</v>
      </c>
      <c r="CC250" s="645">
        <f t="shared" si="521"/>
        <v>60519.379336949132</v>
      </c>
      <c r="CD250" s="646">
        <f t="shared" si="571"/>
        <v>-19.385245745299194</v>
      </c>
      <c r="CE250" s="647">
        <f t="shared" si="522"/>
        <v>60499.994091203836</v>
      </c>
      <c r="CF250" s="644">
        <f t="shared" si="572"/>
        <v>0</v>
      </c>
      <c r="CG250" s="645">
        <f t="shared" si="573"/>
        <v>60499.994091203836</v>
      </c>
      <c r="CH250" s="646">
        <f t="shared" si="574"/>
        <v>0</v>
      </c>
      <c r="CI250" s="647">
        <f t="shared" si="523"/>
        <v>60499.994091203836</v>
      </c>
      <c r="CJ250" s="644">
        <f t="shared" si="575"/>
        <v>0</v>
      </c>
      <c r="CK250" s="645">
        <f t="shared" si="576"/>
        <v>60499.994091203836</v>
      </c>
      <c r="CL250" s="646">
        <f t="shared" si="577"/>
        <v>0</v>
      </c>
      <c r="CM250" s="647">
        <f t="shared" si="524"/>
        <v>60499.994091203836</v>
      </c>
      <c r="CN250" s="644">
        <f t="shared" si="578"/>
        <v>0</v>
      </c>
      <c r="CO250" s="645">
        <f t="shared" si="579"/>
        <v>60499.994091203836</v>
      </c>
      <c r="CP250" s="646">
        <f t="shared" si="580"/>
        <v>0</v>
      </c>
      <c r="CQ250" s="647">
        <f t="shared" si="525"/>
        <v>60499.994091203836</v>
      </c>
      <c r="CS250" s="644">
        <f t="shared" si="581"/>
        <v>56834.434238679292</v>
      </c>
      <c r="CT250" s="645">
        <f t="shared" si="484"/>
        <v>45584.696148713483</v>
      </c>
      <c r="CU250" s="644">
        <f t="shared" si="582"/>
        <v>0</v>
      </c>
      <c r="CV250" s="645">
        <f t="shared" si="583"/>
        <v>56834.434238679292</v>
      </c>
      <c r="CW250" s="646">
        <f t="shared" si="584"/>
        <v>-582.01672499184065</v>
      </c>
      <c r="CX250" s="647">
        <f t="shared" si="585"/>
        <v>56252.417513687455</v>
      </c>
      <c r="CY250" s="644">
        <f t="shared" si="526"/>
        <v>0</v>
      </c>
      <c r="CZ250" s="645">
        <f t="shared" si="527"/>
        <v>56252.417513687455</v>
      </c>
      <c r="DA250" s="646">
        <f t="shared" si="586"/>
        <v>-44.158352032176026</v>
      </c>
      <c r="DB250" s="647">
        <f t="shared" si="528"/>
        <v>56208.259161655282</v>
      </c>
      <c r="DC250" s="644">
        <f t="shared" si="587"/>
        <v>0</v>
      </c>
      <c r="DD250" s="645">
        <f t="shared" si="588"/>
        <v>56208.259161655282</v>
      </c>
      <c r="DE250" s="646">
        <f t="shared" si="589"/>
        <v>-3.8081078600323323E-2</v>
      </c>
      <c r="DF250" s="647">
        <f t="shared" si="529"/>
        <v>56208.221080576681</v>
      </c>
      <c r="DG250" s="644">
        <f t="shared" si="590"/>
        <v>0</v>
      </c>
      <c r="DH250" s="645">
        <f t="shared" si="591"/>
        <v>56208.221080576681</v>
      </c>
      <c r="DI250" s="646">
        <f t="shared" si="592"/>
        <v>0</v>
      </c>
      <c r="DJ250" s="647">
        <f t="shared" si="530"/>
        <v>56208.221080576681</v>
      </c>
      <c r="DK250" s="644">
        <f t="shared" si="593"/>
        <v>0</v>
      </c>
      <c r="DL250" s="645">
        <f t="shared" si="594"/>
        <v>56208.221080576681</v>
      </c>
      <c r="DM250" s="646">
        <f t="shared" si="595"/>
        <v>0</v>
      </c>
      <c r="DN250" s="647">
        <f t="shared" si="531"/>
        <v>56208.221080576681</v>
      </c>
      <c r="DR250" s="827">
        <f t="shared" si="485"/>
        <v>242478.65622320707</v>
      </c>
      <c r="DV250" s="828">
        <f>IFERROR(VLOOKUP($B250,'Afton FY16 Final'!$A$5:$BV$587,'Afton FY16 Final'!$BV$587,0),0)</f>
        <v>178635.83086169828</v>
      </c>
      <c r="DX250" s="636">
        <f t="shared" si="473"/>
        <v>242478.65622320707</v>
      </c>
      <c r="DY250" s="637">
        <f t="shared" si="474"/>
        <v>63842.825361508789</v>
      </c>
      <c r="DZ250" s="637">
        <f t="shared" si="475"/>
        <v>178635.83086169828</v>
      </c>
      <c r="EA250" s="643">
        <f t="shared" si="476"/>
        <v>229581.5092676554</v>
      </c>
      <c r="EB250" s="637">
        <f t="shared" si="486"/>
        <v>0</v>
      </c>
      <c r="EC250" s="637">
        <f t="shared" si="487"/>
        <v>229581.5092676554</v>
      </c>
      <c r="ED250" s="637">
        <f t="shared" si="488"/>
        <v>228896.91091480909</v>
      </c>
      <c r="EE250" s="643">
        <f t="shared" si="489"/>
        <v>228896.91091480909</v>
      </c>
      <c r="EF250" s="637">
        <f t="shared" si="490"/>
        <v>0</v>
      </c>
      <c r="EG250" s="637">
        <f t="shared" si="491"/>
        <v>228896.91091480909</v>
      </c>
      <c r="EH250" s="637">
        <f t="shared" si="492"/>
        <v>228896.67477080063</v>
      </c>
      <c r="EI250" s="643">
        <f t="shared" si="493"/>
        <v>228896.67477080063</v>
      </c>
      <c r="EJ250" s="637">
        <f t="shared" si="494"/>
        <v>0</v>
      </c>
      <c r="EK250" s="637">
        <f t="shared" si="495"/>
        <v>228896.67477080063</v>
      </c>
      <c r="EL250" s="637">
        <f t="shared" si="496"/>
        <v>228896.67477080031</v>
      </c>
      <c r="EM250" s="643">
        <f t="shared" si="497"/>
        <v>228896.67477080031</v>
      </c>
      <c r="EN250" s="637">
        <f t="shared" si="498"/>
        <v>0</v>
      </c>
      <c r="EO250" s="637">
        <f t="shared" si="499"/>
        <v>228896.67477080031</v>
      </c>
      <c r="EP250" s="637">
        <f t="shared" si="500"/>
        <v>228896.67477080069</v>
      </c>
      <c r="EQ250" s="643">
        <f t="shared" si="501"/>
        <v>228896.67477080069</v>
      </c>
      <c r="ER250" s="637">
        <f t="shared" si="502"/>
        <v>0</v>
      </c>
      <c r="ES250" s="637">
        <f t="shared" si="503"/>
        <v>228896.67477080069</v>
      </c>
      <c r="ET250" s="637">
        <f t="shared" si="504"/>
        <v>228896.67477080037</v>
      </c>
      <c r="EU250" s="643">
        <f t="shared" si="477"/>
        <v>228896.67477080037</v>
      </c>
      <c r="EV250" s="643">
        <f t="shared" si="478"/>
        <v>0</v>
      </c>
      <c r="EX250" s="829">
        <f t="shared" si="479"/>
        <v>13581.981452406704</v>
      </c>
      <c r="EY250" s="638">
        <f t="shared" si="480"/>
        <v>228896.67477080037</v>
      </c>
      <c r="FC250" s="830" t="str">
        <f t="shared" si="505"/>
        <v>Y</v>
      </c>
      <c r="FE250" s="830" t="str">
        <f>IFERROR(VLOOKUP($B250,'Historical Conc Grant Elig'!$B$3:$J$707,'HH &amp; SI'!FE$2,0),"N")</f>
        <v>Y</v>
      </c>
      <c r="FF250" s="830" t="str">
        <f>IFERROR(VLOOKUP($B250,'Historical Conc Grant Elig'!$B$3:$J$707,'HH &amp; SI'!FF$2,0),"N")</f>
        <v>Y</v>
      </c>
      <c r="FG250" s="830" t="str">
        <f>IFERROR(VLOOKUP($B250,'Historical Conc Grant Elig'!$B$3:$J$707,'HH &amp; SI'!FG$2,0),"N")</f>
        <v>Y</v>
      </c>
      <c r="FH250" s="830" t="str">
        <f>IFERROR(VLOOKUP($B250,'Historical Conc Grant Elig'!$B$3:$J$707,'HH &amp; SI'!FH$2,0),"N")</f>
        <v>Y</v>
      </c>
      <c r="FI250" s="830" t="str">
        <f>IFERROR(VLOOKUP($B250,'Historical Conc Grant Elig'!$B$3:$J$707,'HH &amp; SI'!FI$2,0),"N")</f>
        <v>Y</v>
      </c>
      <c r="FJ250" s="830" t="str">
        <f>IFERROR(VLOOKUP($B250,'Historical Conc Grant Elig'!$B$3:$J$707,'HH &amp; SI'!FJ$2,0),"N")</f>
        <v>Y</v>
      </c>
      <c r="FK250" s="830" t="str">
        <f>IFERROR(VLOOKUP($B250,'Historical Conc Grant Elig'!$B$3:$J$707,'HH &amp; SI'!FK$2,0),"N")</f>
        <v>Y</v>
      </c>
      <c r="FL250" s="957" t="str">
        <f>IFERROR(VLOOKUP($B250,'Historical Conc Grant Elig'!$B$3:$J$707,'HH &amp; SI'!FL$2,0),"N")</f>
        <v>Y</v>
      </c>
    </row>
    <row r="251" spans="2:168" x14ac:dyDescent="0.25">
      <c r="B251" s="634">
        <v>78751000</v>
      </c>
      <c r="C251" s="635" t="str">
        <f>VLOOKUP($B251,'Afton Update'!$A$5:$CR$582,'Afton Update'!D$589,0)</f>
        <v>Integrity Education Incorporated</v>
      </c>
      <c r="D251" s="636">
        <f>IFERROR(VLOOKUP($B251,'Afton FY16 Final'!$A$5:$BV$587,'Afton FY16 Final'!AQ$587,0),0)</f>
        <v>10437.309105822038</v>
      </c>
      <c r="E251" s="637">
        <f>IFERROR(VLOOKUP($B251,'Afton FY16 Final'!$A$5:$BV$587,'Afton FY16 Final'!AR$587,0),0)</f>
        <v>3645.0547898491313</v>
      </c>
      <c r="F251" s="637">
        <f>IFERROR(VLOOKUP($B251,'Afton FY16 Final'!$A$5:$BV$587,'Afton FY16 Final'!AS$587,0),0)</f>
        <v>5534.013783170547</v>
      </c>
      <c r="G251" s="637">
        <f>IFERROR(VLOOKUP($B251,'Afton FY16 Final'!$A$5:$BV$587,'Afton FY16 Final'!AT$587,0),0)</f>
        <v>5331.9841864194086</v>
      </c>
      <c r="H251" s="638">
        <f>IFERROR(VLOOKUP($B251,'Afton FY16 Final'!$A$5:$BV$587,'Afton FY16 Final'!AU$587,0),0)</f>
        <v>24948.361865261126</v>
      </c>
      <c r="I251" s="639" t="str">
        <f>VLOOKUP($B251,'Afton Update'!$A$5:$CR$582,'Afton Update'!BT$589,0)</f>
        <v>Y</v>
      </c>
      <c r="J251" s="640" t="str">
        <f>VLOOKUP($B251,'Afton Update'!$A$5:$CR$582,'Afton Update'!BU$589,0)</f>
        <v>Y</v>
      </c>
      <c r="K251" s="640" t="str">
        <f>VLOOKUP($B251,'Afton Update'!$A$5:$CR$582,'Afton Update'!BV$589,0)</f>
        <v>Y</v>
      </c>
      <c r="L251" s="641" t="str">
        <f>VLOOKUP($B251,'Afton Update'!$A$5:$CR$582,'Afton Update'!BW$589,0)</f>
        <v>Y</v>
      </c>
      <c r="N251" s="642">
        <f>VLOOKUP($B251,'Afton Update'!$A$5:$CR$582,'Afton Update'!CB$589,0)</f>
        <v>0.95</v>
      </c>
      <c r="P251" s="636">
        <f>VLOOKUP($B251,'Afton Update'!$A$5:$CR$582,'Afton Update'!AH$589,0)</f>
        <v>7175.0891079871344</v>
      </c>
      <c r="Q251" s="637">
        <f>VLOOKUP($B251,'Afton Update'!$A$5:$CR$582,'Afton Update'!AI$589,0)</f>
        <v>3614.6182718828077</v>
      </c>
      <c r="R251" s="637">
        <f>VLOOKUP($B251,'Afton Update'!$A$5:$CR$582,'Afton Update'!AJ$589,0)</f>
        <v>4224.6475674363337</v>
      </c>
      <c r="S251" s="637">
        <f>VLOOKUP($B251,'Afton Update'!$A$5:$CR$582,'Afton Update'!AK$589,0)</f>
        <v>3932.5919376567249</v>
      </c>
      <c r="T251" s="643">
        <f t="shared" si="506"/>
        <v>18946.946884962999</v>
      </c>
      <c r="V251" s="636">
        <f t="shared" si="532"/>
        <v>9915.443650530935</v>
      </c>
      <c r="W251" s="637">
        <f t="shared" si="533"/>
        <v>3495.5659613957196</v>
      </c>
      <c r="X251" s="637">
        <f t="shared" si="534"/>
        <v>5257.3130940120191</v>
      </c>
      <c r="Y251" s="637">
        <f t="shared" si="535"/>
        <v>5065.384977098438</v>
      </c>
      <c r="Z251" s="643">
        <f t="shared" si="536"/>
        <v>23733.707683037112</v>
      </c>
      <c r="AB251" s="644">
        <f t="shared" si="507"/>
        <v>7175.0891079871344</v>
      </c>
      <c r="AC251" s="645">
        <f t="shared" si="481"/>
        <v>9915.443650530935</v>
      </c>
      <c r="AD251" s="644">
        <f t="shared" si="537"/>
        <v>2740.3545425438006</v>
      </c>
      <c r="AE251" s="645">
        <f t="shared" si="538"/>
        <v>0</v>
      </c>
      <c r="AF251" s="646">
        <f t="shared" si="539"/>
        <v>0</v>
      </c>
      <c r="AG251" s="647">
        <f t="shared" si="540"/>
        <v>9915.443650530935</v>
      </c>
      <c r="AH251" s="644">
        <f t="shared" si="508"/>
        <v>0</v>
      </c>
      <c r="AI251" s="645">
        <f t="shared" si="509"/>
        <v>0</v>
      </c>
      <c r="AJ251" s="646">
        <f t="shared" si="541"/>
        <v>0</v>
      </c>
      <c r="AK251" s="647">
        <f t="shared" si="510"/>
        <v>9915.443650530935</v>
      </c>
      <c r="AL251" s="644">
        <f t="shared" si="542"/>
        <v>0</v>
      </c>
      <c r="AM251" s="645">
        <f t="shared" si="543"/>
        <v>0</v>
      </c>
      <c r="AN251" s="646">
        <f t="shared" si="544"/>
        <v>0</v>
      </c>
      <c r="AO251" s="647">
        <f t="shared" si="511"/>
        <v>9915.443650530935</v>
      </c>
      <c r="AP251" s="644">
        <f t="shared" si="545"/>
        <v>0</v>
      </c>
      <c r="AQ251" s="645">
        <f t="shared" si="546"/>
        <v>0</v>
      </c>
      <c r="AR251" s="646">
        <f t="shared" si="547"/>
        <v>0</v>
      </c>
      <c r="AS251" s="647">
        <f t="shared" si="512"/>
        <v>9915.443650530935</v>
      </c>
      <c r="AT251" s="644">
        <f t="shared" si="548"/>
        <v>0</v>
      </c>
      <c r="AU251" s="645">
        <f t="shared" si="549"/>
        <v>0</v>
      </c>
      <c r="AV251" s="646">
        <f t="shared" si="550"/>
        <v>0</v>
      </c>
      <c r="AW251" s="647">
        <f t="shared" si="513"/>
        <v>9915.443650530935</v>
      </c>
      <c r="AY251" s="644">
        <f t="shared" si="551"/>
        <v>3614.6182718828077</v>
      </c>
      <c r="AZ251" s="645">
        <f t="shared" si="482"/>
        <v>3462.8020503566745</v>
      </c>
      <c r="BA251" s="644">
        <f t="shared" si="552"/>
        <v>0</v>
      </c>
      <c r="BB251" s="645">
        <f t="shared" si="553"/>
        <v>3614.6182718828077</v>
      </c>
      <c r="BC251" s="646">
        <f t="shared" si="554"/>
        <v>-25.993773402918094</v>
      </c>
      <c r="BD251" s="647">
        <f t="shared" si="555"/>
        <v>3588.6244984798896</v>
      </c>
      <c r="BE251" s="644">
        <f t="shared" si="514"/>
        <v>0</v>
      </c>
      <c r="BF251" s="645">
        <f t="shared" si="515"/>
        <v>3588.6244984798896</v>
      </c>
      <c r="BG251" s="646">
        <f t="shared" si="556"/>
        <v>-85.478111035811153</v>
      </c>
      <c r="BH251" s="647">
        <f t="shared" si="516"/>
        <v>3503.1463874440783</v>
      </c>
      <c r="BI251" s="644">
        <f t="shared" si="557"/>
        <v>0</v>
      </c>
      <c r="BJ251" s="645">
        <f t="shared" si="558"/>
        <v>3503.1463874440783</v>
      </c>
      <c r="BK251" s="646">
        <f t="shared" si="559"/>
        <v>-7.4204868396367072</v>
      </c>
      <c r="BL251" s="647">
        <f t="shared" si="517"/>
        <v>3495.7259006044414</v>
      </c>
      <c r="BM251" s="644">
        <f t="shared" si="560"/>
        <v>0</v>
      </c>
      <c r="BN251" s="645">
        <f t="shared" si="561"/>
        <v>3495.7259006044414</v>
      </c>
      <c r="BO251" s="646">
        <f t="shared" si="562"/>
        <v>-0.15993920872191553</v>
      </c>
      <c r="BP251" s="647">
        <f t="shared" si="518"/>
        <v>3495.5659613957196</v>
      </c>
      <c r="BQ251" s="644">
        <f t="shared" si="563"/>
        <v>0</v>
      </c>
      <c r="BR251" s="645">
        <f t="shared" si="564"/>
        <v>3495.5659613957196</v>
      </c>
      <c r="BS251" s="646">
        <f t="shared" si="565"/>
        <v>0</v>
      </c>
      <c r="BT251" s="647">
        <f t="shared" si="519"/>
        <v>3495.5659613957196</v>
      </c>
      <c r="BU251" s="662">
        <f>VLOOKUP(B251,'Afton Update'!$A$5:$AR$582,'Afton Update'!$AO$589,0)-BT251</f>
        <v>0</v>
      </c>
      <c r="BV251" s="644">
        <f t="shared" si="566"/>
        <v>4224.6475674363337</v>
      </c>
      <c r="BW251" s="645">
        <f t="shared" si="483"/>
        <v>5257.3130940120191</v>
      </c>
      <c r="BX251" s="644">
        <f t="shared" si="567"/>
        <v>1032.6655265756854</v>
      </c>
      <c r="BY251" s="645">
        <f t="shared" si="568"/>
        <v>0</v>
      </c>
      <c r="BZ251" s="646">
        <f t="shared" si="569"/>
        <v>0</v>
      </c>
      <c r="CA251" s="647">
        <f t="shared" si="570"/>
        <v>5257.3130940120191</v>
      </c>
      <c r="CB251" s="644">
        <f t="shared" si="520"/>
        <v>0</v>
      </c>
      <c r="CC251" s="645">
        <f t="shared" si="521"/>
        <v>0</v>
      </c>
      <c r="CD251" s="646">
        <f t="shared" si="571"/>
        <v>0</v>
      </c>
      <c r="CE251" s="647">
        <f t="shared" si="522"/>
        <v>5257.3130940120191</v>
      </c>
      <c r="CF251" s="644">
        <f t="shared" si="572"/>
        <v>0</v>
      </c>
      <c r="CG251" s="645">
        <f t="shared" si="573"/>
        <v>0</v>
      </c>
      <c r="CH251" s="646">
        <f t="shared" si="574"/>
        <v>0</v>
      </c>
      <c r="CI251" s="647">
        <f t="shared" si="523"/>
        <v>5257.3130940120191</v>
      </c>
      <c r="CJ251" s="644">
        <f t="shared" si="575"/>
        <v>0</v>
      </c>
      <c r="CK251" s="645">
        <f t="shared" si="576"/>
        <v>0</v>
      </c>
      <c r="CL251" s="646">
        <f t="shared" si="577"/>
        <v>0</v>
      </c>
      <c r="CM251" s="647">
        <f t="shared" si="524"/>
        <v>5257.3130940120191</v>
      </c>
      <c r="CN251" s="644">
        <f t="shared" si="578"/>
        <v>0</v>
      </c>
      <c r="CO251" s="645">
        <f t="shared" si="579"/>
        <v>0</v>
      </c>
      <c r="CP251" s="646">
        <f t="shared" si="580"/>
        <v>0</v>
      </c>
      <c r="CQ251" s="647">
        <f t="shared" si="525"/>
        <v>5257.3130940120191</v>
      </c>
      <c r="CS251" s="644">
        <f t="shared" si="581"/>
        <v>3932.5919376567249</v>
      </c>
      <c r="CT251" s="645">
        <f t="shared" si="484"/>
        <v>5065.384977098438</v>
      </c>
      <c r="CU251" s="644">
        <f t="shared" si="582"/>
        <v>1132.7930394417131</v>
      </c>
      <c r="CV251" s="645">
        <f t="shared" si="583"/>
        <v>0</v>
      </c>
      <c r="CW251" s="646">
        <f t="shared" si="584"/>
        <v>0</v>
      </c>
      <c r="CX251" s="647">
        <f t="shared" si="585"/>
        <v>5065.384977098438</v>
      </c>
      <c r="CY251" s="644">
        <f t="shared" si="526"/>
        <v>0</v>
      </c>
      <c r="CZ251" s="645">
        <f t="shared" si="527"/>
        <v>0</v>
      </c>
      <c r="DA251" s="646">
        <f t="shared" si="586"/>
        <v>0</v>
      </c>
      <c r="DB251" s="647">
        <f t="shared" si="528"/>
        <v>5065.384977098438</v>
      </c>
      <c r="DC251" s="644">
        <f t="shared" si="587"/>
        <v>0</v>
      </c>
      <c r="DD251" s="645">
        <f t="shared" si="588"/>
        <v>0</v>
      </c>
      <c r="DE251" s="646">
        <f t="shared" si="589"/>
        <v>0</v>
      </c>
      <c r="DF251" s="647">
        <f t="shared" si="529"/>
        <v>5065.384977098438</v>
      </c>
      <c r="DG251" s="644">
        <f t="shared" si="590"/>
        <v>0</v>
      </c>
      <c r="DH251" s="645">
        <f t="shared" si="591"/>
        <v>0</v>
      </c>
      <c r="DI251" s="646">
        <f t="shared" si="592"/>
        <v>0</v>
      </c>
      <c r="DJ251" s="647">
        <f t="shared" si="530"/>
        <v>5065.384977098438</v>
      </c>
      <c r="DK251" s="644">
        <f t="shared" si="593"/>
        <v>0</v>
      </c>
      <c r="DL251" s="645">
        <f t="shared" si="594"/>
        <v>0</v>
      </c>
      <c r="DM251" s="646">
        <f t="shared" si="595"/>
        <v>0</v>
      </c>
      <c r="DN251" s="647">
        <f t="shared" si="531"/>
        <v>5065.384977098438</v>
      </c>
      <c r="DR251" s="827">
        <f t="shared" si="485"/>
        <v>23733.707683037112</v>
      </c>
      <c r="DV251" s="828">
        <f>IFERROR(VLOOKUP($B251,'Afton FY16 Final'!$A$5:$BV$587,'Afton FY16 Final'!$BV$587,0),0)</f>
        <v>23286.589331496409</v>
      </c>
      <c r="DX251" s="636">
        <f t="shared" si="473"/>
        <v>23733.707683037112</v>
      </c>
      <c r="DY251" s="637">
        <f t="shared" si="474"/>
        <v>447.11835154070286</v>
      </c>
      <c r="DZ251" s="637">
        <f t="shared" si="475"/>
        <v>23286.589331496409</v>
      </c>
      <c r="EA251" s="643">
        <f t="shared" si="476"/>
        <v>22471.340427477651</v>
      </c>
      <c r="EB251" s="637">
        <f t="shared" si="486"/>
        <v>23286.589331496409</v>
      </c>
      <c r="EC251" s="637">
        <f t="shared" si="487"/>
        <v>0</v>
      </c>
      <c r="ED251" s="637">
        <f t="shared" si="488"/>
        <v>0</v>
      </c>
      <c r="EE251" s="643">
        <f t="shared" si="489"/>
        <v>23286.589331496409</v>
      </c>
      <c r="EF251" s="637">
        <f t="shared" si="490"/>
        <v>0</v>
      </c>
      <c r="EG251" s="637">
        <f t="shared" si="491"/>
        <v>0</v>
      </c>
      <c r="EH251" s="637">
        <f t="shared" si="492"/>
        <v>0</v>
      </c>
      <c r="EI251" s="643">
        <f t="shared" si="493"/>
        <v>23286.589331496409</v>
      </c>
      <c r="EJ251" s="637">
        <f t="shared" si="494"/>
        <v>0</v>
      </c>
      <c r="EK251" s="637">
        <f t="shared" si="495"/>
        <v>0</v>
      </c>
      <c r="EL251" s="637">
        <f t="shared" si="496"/>
        <v>0</v>
      </c>
      <c r="EM251" s="643">
        <f t="shared" si="497"/>
        <v>23286.589331496409</v>
      </c>
      <c r="EN251" s="637">
        <f t="shared" si="498"/>
        <v>0</v>
      </c>
      <c r="EO251" s="637">
        <f t="shared" si="499"/>
        <v>0</v>
      </c>
      <c r="EP251" s="637">
        <f t="shared" si="500"/>
        <v>0</v>
      </c>
      <c r="EQ251" s="643">
        <f t="shared" si="501"/>
        <v>23286.589331496409</v>
      </c>
      <c r="ER251" s="637">
        <f t="shared" si="502"/>
        <v>0</v>
      </c>
      <c r="ES251" s="637">
        <f t="shared" si="503"/>
        <v>0</v>
      </c>
      <c r="ET251" s="637">
        <f t="shared" si="504"/>
        <v>0</v>
      </c>
      <c r="EU251" s="643">
        <f t="shared" si="477"/>
        <v>23286.589331496409</v>
      </c>
      <c r="EV251" s="643">
        <f t="shared" si="478"/>
        <v>0</v>
      </c>
      <c r="EX251" s="829">
        <f t="shared" si="479"/>
        <v>447.11835154070286</v>
      </c>
      <c r="EY251" s="638">
        <f t="shared" si="480"/>
        <v>23286.589331496409</v>
      </c>
      <c r="FC251" s="830" t="str">
        <f t="shared" si="505"/>
        <v>Y</v>
      </c>
      <c r="FE251" s="830" t="str">
        <f>IFERROR(VLOOKUP($B251,'Historical Conc Grant Elig'!$B$3:$J$707,'HH &amp; SI'!FE$2,0),"N")</f>
        <v>Y</v>
      </c>
      <c r="FF251" s="830" t="str">
        <f>IFERROR(VLOOKUP($B251,'Historical Conc Grant Elig'!$B$3:$J$707,'HH &amp; SI'!FF$2,0),"N")</f>
        <v>Y</v>
      </c>
      <c r="FG251" s="830" t="str">
        <f>IFERROR(VLOOKUP($B251,'Historical Conc Grant Elig'!$B$3:$J$707,'HH &amp; SI'!FG$2,0),"N")</f>
        <v>Y</v>
      </c>
      <c r="FH251" s="830" t="str">
        <f>IFERROR(VLOOKUP($B251,'Historical Conc Grant Elig'!$B$3:$J$707,'HH &amp; SI'!FH$2,0),"N")</f>
        <v>Y</v>
      </c>
      <c r="FI251" s="830" t="str">
        <f>IFERROR(VLOOKUP($B251,'Historical Conc Grant Elig'!$B$3:$J$707,'HH &amp; SI'!FI$2,0),"N")</f>
        <v>Y</v>
      </c>
      <c r="FJ251" s="830" t="str">
        <f>IFERROR(VLOOKUP($B251,'Historical Conc Grant Elig'!$B$3:$J$707,'HH &amp; SI'!FJ$2,0),"N")</f>
        <v>Y</v>
      </c>
      <c r="FK251" s="830" t="str">
        <f>IFERROR(VLOOKUP($B251,'Historical Conc Grant Elig'!$B$3:$J$707,'HH &amp; SI'!FK$2,0),"N")</f>
        <v>Y</v>
      </c>
      <c r="FL251" s="957" t="str">
        <f>IFERROR(VLOOKUP($B251,'Historical Conc Grant Elig'!$B$3:$J$707,'HH &amp; SI'!FL$2,0),"N")</f>
        <v>Y</v>
      </c>
    </row>
    <row r="252" spans="2:168" x14ac:dyDescent="0.25">
      <c r="B252" s="634">
        <v>78758000</v>
      </c>
      <c r="C252" s="635" t="str">
        <f>VLOOKUP($B252,'Afton Update'!$A$5:$CR$582,'Afton Update'!D$589,0)</f>
        <v>Montessori Day Public Schools Chartered  Inc.</v>
      </c>
      <c r="D252" s="636">
        <f>IFERROR(VLOOKUP($B252,'Afton FY16 Final'!$A$5:$BV$587,'Afton FY16 Final'!AQ$587,0),0)</f>
        <v>28703.117473800266</v>
      </c>
      <c r="E252" s="637">
        <f>IFERROR(VLOOKUP($B252,'Afton FY16 Final'!$A$5:$BV$587,'Afton FY16 Final'!AR$587,0),0)</f>
        <v>7737.257998339338</v>
      </c>
      <c r="F252" s="637">
        <f>IFERROR(VLOOKUP($B252,'Afton FY16 Final'!$A$5:$BV$587,'Afton FY16 Final'!AS$587,0),0)</f>
        <v>15577.519015592537</v>
      </c>
      <c r="G252" s="637">
        <f>IFERROR(VLOOKUP($B252,'Afton FY16 Final'!$A$5:$BV$587,'Afton FY16 Final'!AT$587,0),0)</f>
        <v>14540.445766796111</v>
      </c>
      <c r="H252" s="638">
        <f>IFERROR(VLOOKUP($B252,'Afton FY16 Final'!$A$5:$BV$587,'Afton FY16 Final'!AU$587,0),0)</f>
        <v>66558.340254528244</v>
      </c>
      <c r="I252" s="639" t="str">
        <f>VLOOKUP($B252,'Afton Update'!$A$5:$CR$582,'Afton Update'!BT$589,0)</f>
        <v>Y</v>
      </c>
      <c r="J252" s="640" t="str">
        <f>VLOOKUP($B252,'Afton Update'!$A$5:$CR$582,'Afton Update'!BU$589,0)</f>
        <v>Y</v>
      </c>
      <c r="K252" s="640" t="str">
        <f>VLOOKUP($B252,'Afton Update'!$A$5:$CR$582,'Afton Update'!BV$589,0)</f>
        <v>Y</v>
      </c>
      <c r="L252" s="641" t="str">
        <f>VLOOKUP($B252,'Afton Update'!$A$5:$CR$582,'Afton Update'!BW$589,0)</f>
        <v>Y</v>
      </c>
      <c r="N252" s="642">
        <f>VLOOKUP($B252,'Afton Update'!$A$5:$CR$582,'Afton Update'!CB$589,0)</f>
        <v>0.9</v>
      </c>
      <c r="P252" s="636">
        <f>VLOOKUP($B252,'Afton Update'!$A$5:$CR$582,'Afton Update'!AH$589,0)</f>
        <v>28461.18679501563</v>
      </c>
      <c r="Q252" s="637">
        <f>VLOOKUP($B252,'Afton Update'!$A$5:$CR$582,'Afton Update'!AI$589,0)</f>
        <v>8016.5490427373552</v>
      </c>
      <c r="R252" s="637">
        <f>VLOOKUP($B252,'Afton Update'!$A$5:$CR$582,'Afton Update'!AJ$589,0)</f>
        <v>16682.591436677354</v>
      </c>
      <c r="S252" s="637">
        <f>VLOOKUP($B252,'Afton Update'!$A$5:$CR$582,'Afton Update'!AK$589,0)</f>
        <v>15529.301210540982</v>
      </c>
      <c r="T252" s="643">
        <f t="shared" si="506"/>
        <v>68689.628484971327</v>
      </c>
      <c r="V252" s="636">
        <f t="shared" si="532"/>
        <v>28072.957734009447</v>
      </c>
      <c r="W252" s="637">
        <f t="shared" si="533"/>
        <v>7752.5132265365464</v>
      </c>
      <c r="X252" s="637">
        <f t="shared" si="534"/>
        <v>16530.869781032325</v>
      </c>
      <c r="Y252" s="637">
        <f t="shared" si="535"/>
        <v>15358.19626537094</v>
      </c>
      <c r="Z252" s="643">
        <f t="shared" si="536"/>
        <v>67714.537006949249</v>
      </c>
      <c r="AB252" s="644">
        <f t="shared" si="507"/>
        <v>28461.18679501563</v>
      </c>
      <c r="AC252" s="645">
        <f t="shared" si="481"/>
        <v>25832.80572642024</v>
      </c>
      <c r="AD252" s="644">
        <f t="shared" si="537"/>
        <v>0</v>
      </c>
      <c r="AE252" s="645">
        <f t="shared" si="538"/>
        <v>28461.18679501563</v>
      </c>
      <c r="AF252" s="646">
        <f t="shared" si="539"/>
        <v>-352.79779833675684</v>
      </c>
      <c r="AG252" s="647">
        <f t="shared" si="540"/>
        <v>28108.388996678874</v>
      </c>
      <c r="AH252" s="644">
        <f t="shared" si="508"/>
        <v>0</v>
      </c>
      <c r="AI252" s="645">
        <f t="shared" si="509"/>
        <v>28108.388996678874</v>
      </c>
      <c r="AJ252" s="646">
        <f t="shared" si="541"/>
        <v>-35.408689520805545</v>
      </c>
      <c r="AK252" s="647">
        <f t="shared" si="510"/>
        <v>28072.980307158068</v>
      </c>
      <c r="AL252" s="644">
        <f t="shared" si="542"/>
        <v>0</v>
      </c>
      <c r="AM252" s="645">
        <f t="shared" si="543"/>
        <v>28072.980307158068</v>
      </c>
      <c r="AN252" s="646">
        <f t="shared" si="544"/>
        <v>-2.2573148622151689E-2</v>
      </c>
      <c r="AO252" s="647">
        <f t="shared" si="511"/>
        <v>28072.957734009447</v>
      </c>
      <c r="AP252" s="644">
        <f t="shared" si="545"/>
        <v>0</v>
      </c>
      <c r="AQ252" s="645">
        <f t="shared" si="546"/>
        <v>28072.957734009447</v>
      </c>
      <c r="AR252" s="646">
        <f t="shared" si="547"/>
        <v>0</v>
      </c>
      <c r="AS252" s="647">
        <f t="shared" si="512"/>
        <v>28072.957734009447</v>
      </c>
      <c r="AT252" s="644">
        <f t="shared" si="548"/>
        <v>0</v>
      </c>
      <c r="AU252" s="645">
        <f t="shared" si="549"/>
        <v>28072.957734009447</v>
      </c>
      <c r="AV252" s="646">
        <f t="shared" si="550"/>
        <v>0</v>
      </c>
      <c r="AW252" s="647">
        <f t="shared" si="513"/>
        <v>28072.957734009447</v>
      </c>
      <c r="AY252" s="644">
        <f t="shared" si="551"/>
        <v>8016.5490427373552</v>
      </c>
      <c r="AZ252" s="645">
        <f t="shared" si="482"/>
        <v>6963.5321985054043</v>
      </c>
      <c r="BA252" s="644">
        <f t="shared" si="552"/>
        <v>0</v>
      </c>
      <c r="BB252" s="645">
        <f t="shared" si="553"/>
        <v>8016.5490427373552</v>
      </c>
      <c r="BC252" s="646">
        <f t="shared" si="554"/>
        <v>-57.649340432773322</v>
      </c>
      <c r="BD252" s="647">
        <f t="shared" si="555"/>
        <v>7958.8997023045822</v>
      </c>
      <c r="BE252" s="644">
        <f t="shared" si="514"/>
        <v>0</v>
      </c>
      <c r="BF252" s="645">
        <f t="shared" si="515"/>
        <v>7958.8997023045822</v>
      </c>
      <c r="BG252" s="646">
        <f t="shared" si="556"/>
        <v>-189.57450487356638</v>
      </c>
      <c r="BH252" s="647">
        <f t="shared" si="516"/>
        <v>7769.325197431016</v>
      </c>
      <c r="BI252" s="644">
        <f t="shared" si="557"/>
        <v>0</v>
      </c>
      <c r="BJ252" s="645">
        <f t="shared" si="558"/>
        <v>7769.325197431016</v>
      </c>
      <c r="BK252" s="646">
        <f t="shared" si="559"/>
        <v>-16.457255565177274</v>
      </c>
      <c r="BL252" s="647">
        <f t="shared" si="517"/>
        <v>7752.8679418658385</v>
      </c>
      <c r="BM252" s="644">
        <f t="shared" si="560"/>
        <v>0</v>
      </c>
      <c r="BN252" s="645">
        <f t="shared" si="561"/>
        <v>7752.8679418658385</v>
      </c>
      <c r="BO252" s="646">
        <f t="shared" si="562"/>
        <v>-0.35471532929201438</v>
      </c>
      <c r="BP252" s="647">
        <f t="shared" si="518"/>
        <v>7752.5132265365464</v>
      </c>
      <c r="BQ252" s="644">
        <f t="shared" si="563"/>
        <v>0</v>
      </c>
      <c r="BR252" s="645">
        <f t="shared" si="564"/>
        <v>7752.5132265365464</v>
      </c>
      <c r="BS252" s="646">
        <f t="shared" si="565"/>
        <v>0</v>
      </c>
      <c r="BT252" s="647">
        <f t="shared" si="519"/>
        <v>7752.5132265365464</v>
      </c>
      <c r="BU252" s="662">
        <f>VLOOKUP(B252,'Afton Update'!$A$5:$AR$582,'Afton Update'!$AO$589,0)-BT252</f>
        <v>0</v>
      </c>
      <c r="BV252" s="644">
        <f t="shared" si="566"/>
        <v>16682.591436677354</v>
      </c>
      <c r="BW252" s="645">
        <f t="shared" si="483"/>
        <v>14019.767114033284</v>
      </c>
      <c r="BX252" s="644">
        <f t="shared" si="567"/>
        <v>0</v>
      </c>
      <c r="BY252" s="645">
        <f t="shared" si="568"/>
        <v>16682.591436677354</v>
      </c>
      <c r="BZ252" s="646">
        <f t="shared" si="569"/>
        <v>-146.42487871302399</v>
      </c>
      <c r="CA252" s="647">
        <f t="shared" si="570"/>
        <v>16536.16655796433</v>
      </c>
      <c r="CB252" s="644">
        <f t="shared" si="520"/>
        <v>0</v>
      </c>
      <c r="CC252" s="645">
        <f t="shared" si="521"/>
        <v>16536.16655796433</v>
      </c>
      <c r="CD252" s="646">
        <f t="shared" si="571"/>
        <v>-5.2967769320070603</v>
      </c>
      <c r="CE252" s="647">
        <f t="shared" si="522"/>
        <v>16530.869781032325</v>
      </c>
      <c r="CF252" s="644">
        <f t="shared" si="572"/>
        <v>0</v>
      </c>
      <c r="CG252" s="645">
        <f t="shared" si="573"/>
        <v>16530.869781032325</v>
      </c>
      <c r="CH252" s="646">
        <f t="shared" si="574"/>
        <v>0</v>
      </c>
      <c r="CI252" s="647">
        <f t="shared" si="523"/>
        <v>16530.869781032325</v>
      </c>
      <c r="CJ252" s="644">
        <f t="shared" si="575"/>
        <v>0</v>
      </c>
      <c r="CK252" s="645">
        <f t="shared" si="576"/>
        <v>16530.869781032325</v>
      </c>
      <c r="CL252" s="646">
        <f t="shared" si="577"/>
        <v>0</v>
      </c>
      <c r="CM252" s="647">
        <f t="shared" si="524"/>
        <v>16530.869781032325</v>
      </c>
      <c r="CN252" s="644">
        <f t="shared" si="578"/>
        <v>0</v>
      </c>
      <c r="CO252" s="645">
        <f t="shared" si="579"/>
        <v>16530.869781032325</v>
      </c>
      <c r="CP252" s="646">
        <f t="shared" si="580"/>
        <v>0</v>
      </c>
      <c r="CQ252" s="647">
        <f t="shared" si="525"/>
        <v>16530.869781032325</v>
      </c>
      <c r="CS252" s="644">
        <f t="shared" si="581"/>
        <v>15529.301210540982</v>
      </c>
      <c r="CT252" s="645">
        <f t="shared" si="484"/>
        <v>13086.401190116499</v>
      </c>
      <c r="CU252" s="644">
        <f t="shared" si="582"/>
        <v>0</v>
      </c>
      <c r="CV252" s="645">
        <f t="shared" si="583"/>
        <v>15529.301210540982</v>
      </c>
      <c r="CW252" s="646">
        <f t="shared" si="584"/>
        <v>-159.02882034532098</v>
      </c>
      <c r="CX252" s="647">
        <f t="shared" si="585"/>
        <v>15370.272390195662</v>
      </c>
      <c r="CY252" s="644">
        <f t="shared" si="526"/>
        <v>0</v>
      </c>
      <c r="CZ252" s="645">
        <f t="shared" si="527"/>
        <v>15370.272390195662</v>
      </c>
      <c r="DA252" s="646">
        <f t="shared" si="586"/>
        <v>-12.065719644343227</v>
      </c>
      <c r="DB252" s="647">
        <f t="shared" si="528"/>
        <v>15358.206670551319</v>
      </c>
      <c r="DC252" s="644">
        <f t="shared" si="587"/>
        <v>0</v>
      </c>
      <c r="DD252" s="645">
        <f t="shared" si="588"/>
        <v>15358.206670551319</v>
      </c>
      <c r="DE252" s="646">
        <f t="shared" si="589"/>
        <v>-1.0405180379261032E-2</v>
      </c>
      <c r="DF252" s="647">
        <f t="shared" si="529"/>
        <v>15358.19626537094</v>
      </c>
      <c r="DG252" s="644">
        <f t="shared" si="590"/>
        <v>0</v>
      </c>
      <c r="DH252" s="645">
        <f t="shared" si="591"/>
        <v>15358.19626537094</v>
      </c>
      <c r="DI252" s="646">
        <f t="shared" si="592"/>
        <v>0</v>
      </c>
      <c r="DJ252" s="647">
        <f t="shared" si="530"/>
        <v>15358.19626537094</v>
      </c>
      <c r="DK252" s="644">
        <f t="shared" si="593"/>
        <v>0</v>
      </c>
      <c r="DL252" s="645">
        <f t="shared" si="594"/>
        <v>15358.19626537094</v>
      </c>
      <c r="DM252" s="646">
        <f t="shared" si="595"/>
        <v>0</v>
      </c>
      <c r="DN252" s="647">
        <f t="shared" si="531"/>
        <v>15358.19626537094</v>
      </c>
      <c r="DR252" s="827">
        <f t="shared" si="485"/>
        <v>67714.537006949249</v>
      </c>
      <c r="DV252" s="828">
        <f>IFERROR(VLOOKUP($B252,'Afton FY16 Final'!$A$5:$BV$587,'Afton FY16 Final'!$BV$587,0),0)</f>
        <v>65247.806545939231</v>
      </c>
      <c r="DX252" s="636">
        <f t="shared" si="473"/>
        <v>67714.537006949249</v>
      </c>
      <c r="DY252" s="637">
        <f t="shared" si="474"/>
        <v>2466.7304610100182</v>
      </c>
      <c r="DZ252" s="637">
        <f t="shared" si="475"/>
        <v>65247.806545939231</v>
      </c>
      <c r="EA252" s="643">
        <f t="shared" si="476"/>
        <v>64112.882542146159</v>
      </c>
      <c r="EB252" s="637">
        <f t="shared" si="486"/>
        <v>65247.806545939231</v>
      </c>
      <c r="EC252" s="637">
        <f t="shared" si="487"/>
        <v>0</v>
      </c>
      <c r="ED252" s="637">
        <f t="shared" si="488"/>
        <v>0</v>
      </c>
      <c r="EE252" s="643">
        <f t="shared" si="489"/>
        <v>65247.806545939231</v>
      </c>
      <c r="EF252" s="637">
        <f t="shared" si="490"/>
        <v>0</v>
      </c>
      <c r="EG252" s="637">
        <f t="shared" si="491"/>
        <v>0</v>
      </c>
      <c r="EH252" s="637">
        <f t="shared" si="492"/>
        <v>0</v>
      </c>
      <c r="EI252" s="643">
        <f t="shared" si="493"/>
        <v>65247.806545939231</v>
      </c>
      <c r="EJ252" s="637">
        <f t="shared" si="494"/>
        <v>0</v>
      </c>
      <c r="EK252" s="637">
        <f t="shared" si="495"/>
        <v>0</v>
      </c>
      <c r="EL252" s="637">
        <f t="shared" si="496"/>
        <v>0</v>
      </c>
      <c r="EM252" s="643">
        <f t="shared" si="497"/>
        <v>65247.806545939231</v>
      </c>
      <c r="EN252" s="637">
        <f t="shared" si="498"/>
        <v>0</v>
      </c>
      <c r="EO252" s="637">
        <f t="shared" si="499"/>
        <v>0</v>
      </c>
      <c r="EP252" s="637">
        <f t="shared" si="500"/>
        <v>0</v>
      </c>
      <c r="EQ252" s="643">
        <f t="shared" si="501"/>
        <v>65247.806545939231</v>
      </c>
      <c r="ER252" s="637">
        <f t="shared" si="502"/>
        <v>0</v>
      </c>
      <c r="ES252" s="637">
        <f t="shared" si="503"/>
        <v>0</v>
      </c>
      <c r="ET252" s="637">
        <f t="shared" si="504"/>
        <v>0</v>
      </c>
      <c r="EU252" s="643">
        <f t="shared" si="477"/>
        <v>65247.806545939231</v>
      </c>
      <c r="EV252" s="643">
        <f t="shared" si="478"/>
        <v>0</v>
      </c>
      <c r="EX252" s="829">
        <f t="shared" si="479"/>
        <v>2466.7304610100182</v>
      </c>
      <c r="EY252" s="638">
        <f t="shared" si="480"/>
        <v>65247.806545939231</v>
      </c>
      <c r="FC252" s="830" t="str">
        <f t="shared" si="505"/>
        <v>Y</v>
      </c>
      <c r="FE252" s="830" t="str">
        <f>IFERROR(VLOOKUP($B252,'Historical Conc Grant Elig'!$B$3:$J$707,'HH &amp; SI'!FE$2,0),"N")</f>
        <v>Y</v>
      </c>
      <c r="FF252" s="830" t="str">
        <f>IFERROR(VLOOKUP($B252,'Historical Conc Grant Elig'!$B$3:$J$707,'HH &amp; SI'!FF$2,0),"N")</f>
        <v>Y</v>
      </c>
      <c r="FG252" s="830" t="str">
        <f>IFERROR(VLOOKUP($B252,'Historical Conc Grant Elig'!$B$3:$J$707,'HH &amp; SI'!FG$2,0),"N")</f>
        <v>Y</v>
      </c>
      <c r="FH252" s="830" t="str">
        <f>IFERROR(VLOOKUP($B252,'Historical Conc Grant Elig'!$B$3:$J$707,'HH &amp; SI'!FH$2,0),"N")</f>
        <v>Y</v>
      </c>
      <c r="FI252" s="830" t="str">
        <f>IFERROR(VLOOKUP($B252,'Historical Conc Grant Elig'!$B$3:$J$707,'HH &amp; SI'!FI$2,0),"N")</f>
        <v>Y</v>
      </c>
      <c r="FJ252" s="830" t="str">
        <f>IFERROR(VLOOKUP($B252,'Historical Conc Grant Elig'!$B$3:$J$707,'HH &amp; SI'!FJ$2,0),"N")</f>
        <v>Y</v>
      </c>
      <c r="FK252" s="830" t="str">
        <f>IFERROR(VLOOKUP($B252,'Historical Conc Grant Elig'!$B$3:$J$707,'HH &amp; SI'!FK$2,0),"N")</f>
        <v>Y</v>
      </c>
      <c r="FL252" s="957" t="str">
        <f>IFERROR(VLOOKUP($B252,'Historical Conc Grant Elig'!$B$3:$J$707,'HH &amp; SI'!FL$2,0),"N")</f>
        <v>Y</v>
      </c>
    </row>
    <row r="253" spans="2:168" x14ac:dyDescent="0.25">
      <c r="B253" s="634">
        <v>78759000</v>
      </c>
      <c r="C253" s="635" t="str">
        <f>VLOOKUP($B253,'Afton Update'!$A$5:$CR$582,'Afton Update'!D$589,0)</f>
        <v>Khalsa Montessori Elementary Schools</v>
      </c>
      <c r="D253" s="636">
        <f>IFERROR(VLOOKUP($B253,'Afton FY16 Final'!$A$5:$BV$587,'Afton FY16 Final'!AQ$587,0),0)</f>
        <v>6089.9643407709427</v>
      </c>
      <c r="E253" s="637">
        <f>IFERROR(VLOOKUP($B253,'Afton FY16 Final'!$A$5:$BV$587,'Afton FY16 Final'!AR$587,0),0)</f>
        <v>0</v>
      </c>
      <c r="F253" s="637">
        <f>IFERROR(VLOOKUP($B253,'Afton FY16 Final'!$A$5:$BV$587,'Afton FY16 Final'!AS$587,0),0)</f>
        <v>3228.9880714603264</v>
      </c>
      <c r="G253" s="637">
        <f>IFERROR(VLOOKUP($B253,'Afton FY16 Final'!$A$5:$BV$587,'Afton FY16 Final'!AT$587,0),0)</f>
        <v>3111.1077799483583</v>
      </c>
      <c r="H253" s="638">
        <f>IFERROR(VLOOKUP($B253,'Afton FY16 Final'!$A$5:$BV$587,'Afton FY16 Final'!AU$587,0),0)</f>
        <v>12430.060192179626</v>
      </c>
      <c r="I253" s="639" t="str">
        <f>VLOOKUP($B253,'Afton Update'!$A$5:$CR$582,'Afton Update'!BT$589,0)</f>
        <v>Y</v>
      </c>
      <c r="J253" s="640" t="str">
        <f>VLOOKUP($B253,'Afton Update'!$A$5:$CR$582,'Afton Update'!BU$589,0)</f>
        <v>N</v>
      </c>
      <c r="K253" s="640" t="str">
        <f>VLOOKUP($B253,'Afton Update'!$A$5:$CR$582,'Afton Update'!BV$589,0)</f>
        <v>Y</v>
      </c>
      <c r="L253" s="641" t="str">
        <f>VLOOKUP($B253,'Afton Update'!$A$5:$CR$582,'Afton Update'!BW$589,0)</f>
        <v>Y</v>
      </c>
      <c r="N253" s="642">
        <f>VLOOKUP($B253,'Afton Update'!$A$5:$CR$582,'Afton Update'!CB$589,0)</f>
        <v>0.85</v>
      </c>
      <c r="P253" s="636">
        <f>VLOOKUP($B253,'Afton Update'!$A$5:$CR$582,'Afton Update'!AH$589,0)</f>
        <v>5740.0712863897079</v>
      </c>
      <c r="Q253" s="637" t="str">
        <f>VLOOKUP($B253,'Afton Update'!$A$5:$CR$582,'Afton Update'!AI$589,0)</f>
        <v/>
      </c>
      <c r="R253" s="637">
        <f>VLOOKUP($B253,'Afton Update'!$A$5:$CR$582,'Afton Update'!AJ$589,0)</f>
        <v>3384.7861829931194</v>
      </c>
      <c r="S253" s="637">
        <f>VLOOKUP($B253,'Afton Update'!$A$5:$CR$582,'Afton Update'!AK$589,0)</f>
        <v>3150.7913125184605</v>
      </c>
      <c r="T253" s="643">
        <f t="shared" si="506"/>
        <v>12275.648781901287</v>
      </c>
      <c r="V253" s="636">
        <f t="shared" si="532"/>
        <v>5661.7729883716538</v>
      </c>
      <c r="W253" s="637">
        <f t="shared" si="533"/>
        <v>0</v>
      </c>
      <c r="X253" s="637">
        <f t="shared" si="534"/>
        <v>3354.0028741985943</v>
      </c>
      <c r="Y253" s="637">
        <f t="shared" si="535"/>
        <v>3116.0752639685888</v>
      </c>
      <c r="Z253" s="643">
        <f t="shared" si="536"/>
        <v>12131.851126538837</v>
      </c>
      <c r="AB253" s="644">
        <f t="shared" si="507"/>
        <v>5740.0712863897079</v>
      </c>
      <c r="AC253" s="645">
        <f t="shared" si="481"/>
        <v>5176.4696896553014</v>
      </c>
      <c r="AD253" s="644">
        <f t="shared" si="537"/>
        <v>0</v>
      </c>
      <c r="AE253" s="645">
        <f t="shared" si="538"/>
        <v>5740.0712863897079</v>
      </c>
      <c r="AF253" s="646">
        <f t="shared" si="539"/>
        <v>-71.152497143547606</v>
      </c>
      <c r="AG253" s="647">
        <f t="shared" si="540"/>
        <v>5668.9187892461605</v>
      </c>
      <c r="AH253" s="644">
        <f t="shared" si="508"/>
        <v>0</v>
      </c>
      <c r="AI253" s="645">
        <f t="shared" si="509"/>
        <v>5668.9187892461605</v>
      </c>
      <c r="AJ253" s="646">
        <f t="shared" si="541"/>
        <v>-7.1412483067170864</v>
      </c>
      <c r="AK253" s="647">
        <f t="shared" si="510"/>
        <v>5661.7775409394435</v>
      </c>
      <c r="AL253" s="644">
        <f t="shared" si="542"/>
        <v>0</v>
      </c>
      <c r="AM253" s="645">
        <f t="shared" si="543"/>
        <v>5661.7775409394435</v>
      </c>
      <c r="AN253" s="646">
        <f t="shared" si="544"/>
        <v>-4.5525677893415179E-3</v>
      </c>
      <c r="AO253" s="647">
        <f t="shared" si="511"/>
        <v>5661.7729883716538</v>
      </c>
      <c r="AP253" s="644">
        <f t="shared" si="545"/>
        <v>0</v>
      </c>
      <c r="AQ253" s="645">
        <f t="shared" si="546"/>
        <v>5661.7729883716538</v>
      </c>
      <c r="AR253" s="646">
        <f t="shared" si="547"/>
        <v>0</v>
      </c>
      <c r="AS253" s="647">
        <f t="shared" si="512"/>
        <v>5661.7729883716538</v>
      </c>
      <c r="AT253" s="644">
        <f t="shared" si="548"/>
        <v>0</v>
      </c>
      <c r="AU253" s="645">
        <f t="shared" si="549"/>
        <v>5661.7729883716538</v>
      </c>
      <c r="AV253" s="646">
        <f t="shared" si="550"/>
        <v>0</v>
      </c>
      <c r="AW253" s="647">
        <f t="shared" si="513"/>
        <v>5661.7729883716538</v>
      </c>
      <c r="AY253" s="644">
        <f t="shared" si="551"/>
        <v>0</v>
      </c>
      <c r="AZ253" s="645">
        <f t="shared" si="482"/>
        <v>0</v>
      </c>
      <c r="BA253" s="644">
        <f t="shared" si="552"/>
        <v>0</v>
      </c>
      <c r="BB253" s="645">
        <f t="shared" si="553"/>
        <v>0</v>
      </c>
      <c r="BC253" s="646">
        <f t="shared" si="554"/>
        <v>0</v>
      </c>
      <c r="BD253" s="647">
        <f t="shared" si="555"/>
        <v>0</v>
      </c>
      <c r="BE253" s="644">
        <f t="shared" si="514"/>
        <v>0</v>
      </c>
      <c r="BF253" s="645">
        <f t="shared" si="515"/>
        <v>0</v>
      </c>
      <c r="BG253" s="646">
        <f t="shared" si="556"/>
        <v>0</v>
      </c>
      <c r="BH253" s="647">
        <f t="shared" si="516"/>
        <v>0</v>
      </c>
      <c r="BI253" s="644">
        <f t="shared" si="557"/>
        <v>0</v>
      </c>
      <c r="BJ253" s="645">
        <f t="shared" si="558"/>
        <v>0</v>
      </c>
      <c r="BK253" s="646">
        <f t="shared" si="559"/>
        <v>0</v>
      </c>
      <c r="BL253" s="647">
        <f t="shared" si="517"/>
        <v>0</v>
      </c>
      <c r="BM253" s="644">
        <f t="shared" si="560"/>
        <v>0</v>
      </c>
      <c r="BN253" s="645">
        <f t="shared" si="561"/>
        <v>0</v>
      </c>
      <c r="BO253" s="646">
        <f t="shared" si="562"/>
        <v>0</v>
      </c>
      <c r="BP253" s="647">
        <f t="shared" si="518"/>
        <v>0</v>
      </c>
      <c r="BQ253" s="644">
        <f t="shared" si="563"/>
        <v>0</v>
      </c>
      <c r="BR253" s="645">
        <f t="shared" si="564"/>
        <v>0</v>
      </c>
      <c r="BS253" s="646">
        <f t="shared" si="565"/>
        <v>0</v>
      </c>
      <c r="BT253" s="647">
        <f t="shared" si="519"/>
        <v>0</v>
      </c>
      <c r="BU253" s="662">
        <f>VLOOKUP(B253,'Afton Update'!$A$5:$AR$582,'Afton Update'!$AO$589,0)-BT253</f>
        <v>0</v>
      </c>
      <c r="BV253" s="644">
        <f t="shared" si="566"/>
        <v>3384.7861829931194</v>
      </c>
      <c r="BW253" s="645">
        <f t="shared" si="483"/>
        <v>2744.6398607412775</v>
      </c>
      <c r="BX253" s="644">
        <f t="shared" si="567"/>
        <v>0</v>
      </c>
      <c r="BY253" s="645">
        <f t="shared" si="568"/>
        <v>3384.7861829931194</v>
      </c>
      <c r="BZ253" s="646">
        <f t="shared" si="569"/>
        <v>-29.708628194577319</v>
      </c>
      <c r="CA253" s="647">
        <f t="shared" si="570"/>
        <v>3355.0775547985422</v>
      </c>
      <c r="CB253" s="644">
        <f t="shared" si="520"/>
        <v>0</v>
      </c>
      <c r="CC253" s="645">
        <f t="shared" si="521"/>
        <v>3355.0775547985422</v>
      </c>
      <c r="CD253" s="646">
        <f t="shared" si="571"/>
        <v>-1.0746805999479039</v>
      </c>
      <c r="CE253" s="647">
        <f t="shared" si="522"/>
        <v>3354.0028741985943</v>
      </c>
      <c r="CF253" s="644">
        <f t="shared" si="572"/>
        <v>0</v>
      </c>
      <c r="CG253" s="645">
        <f t="shared" si="573"/>
        <v>3354.0028741985943</v>
      </c>
      <c r="CH253" s="646">
        <f t="shared" si="574"/>
        <v>0</v>
      </c>
      <c r="CI253" s="647">
        <f t="shared" si="523"/>
        <v>3354.0028741985943</v>
      </c>
      <c r="CJ253" s="644">
        <f t="shared" si="575"/>
        <v>0</v>
      </c>
      <c r="CK253" s="645">
        <f t="shared" si="576"/>
        <v>3354.0028741985943</v>
      </c>
      <c r="CL253" s="646">
        <f t="shared" si="577"/>
        <v>0</v>
      </c>
      <c r="CM253" s="647">
        <f t="shared" si="524"/>
        <v>3354.0028741985943</v>
      </c>
      <c r="CN253" s="644">
        <f t="shared" si="578"/>
        <v>0</v>
      </c>
      <c r="CO253" s="645">
        <f t="shared" si="579"/>
        <v>3354.0028741985943</v>
      </c>
      <c r="CP253" s="646">
        <f t="shared" si="580"/>
        <v>0</v>
      </c>
      <c r="CQ253" s="647">
        <f t="shared" si="525"/>
        <v>3354.0028741985943</v>
      </c>
      <c r="CS253" s="644">
        <f t="shared" si="581"/>
        <v>3150.7913125184605</v>
      </c>
      <c r="CT253" s="645">
        <f t="shared" si="484"/>
        <v>2644.4416129561046</v>
      </c>
      <c r="CU253" s="644">
        <f t="shared" si="582"/>
        <v>0</v>
      </c>
      <c r="CV253" s="645">
        <f t="shared" si="583"/>
        <v>3150.7913125184605</v>
      </c>
      <c r="CW253" s="646">
        <f t="shared" si="584"/>
        <v>-32.26588362160058</v>
      </c>
      <c r="CX253" s="647">
        <f t="shared" si="585"/>
        <v>3118.5254288968599</v>
      </c>
      <c r="CY253" s="644">
        <f t="shared" si="526"/>
        <v>0</v>
      </c>
      <c r="CZ253" s="645">
        <f t="shared" si="527"/>
        <v>3118.5254288968599</v>
      </c>
      <c r="DA253" s="646">
        <f t="shared" si="586"/>
        <v>-2.4480537867908101</v>
      </c>
      <c r="DB253" s="647">
        <f t="shared" si="528"/>
        <v>3116.0773751100692</v>
      </c>
      <c r="DC253" s="644">
        <f t="shared" si="587"/>
        <v>0</v>
      </c>
      <c r="DD253" s="645">
        <f t="shared" si="588"/>
        <v>3116.0773751100692</v>
      </c>
      <c r="DE253" s="646">
        <f t="shared" si="589"/>
        <v>-2.1111414802045115E-3</v>
      </c>
      <c r="DF253" s="647">
        <f t="shared" si="529"/>
        <v>3116.0752639685888</v>
      </c>
      <c r="DG253" s="644">
        <f t="shared" si="590"/>
        <v>0</v>
      </c>
      <c r="DH253" s="645">
        <f t="shared" si="591"/>
        <v>3116.0752639685888</v>
      </c>
      <c r="DI253" s="646">
        <f t="shared" si="592"/>
        <v>0</v>
      </c>
      <c r="DJ253" s="647">
        <f t="shared" si="530"/>
        <v>3116.0752639685888</v>
      </c>
      <c r="DK253" s="644">
        <f t="shared" si="593"/>
        <v>0</v>
      </c>
      <c r="DL253" s="645">
        <f t="shared" si="594"/>
        <v>3116.0752639685888</v>
      </c>
      <c r="DM253" s="646">
        <f t="shared" si="595"/>
        <v>0</v>
      </c>
      <c r="DN253" s="647">
        <f t="shared" si="531"/>
        <v>3116.0752639685888</v>
      </c>
      <c r="DR253" s="827">
        <f t="shared" si="485"/>
        <v>12131.851126538837</v>
      </c>
      <c r="DV253" s="828">
        <f>IFERROR(VLOOKUP($B253,'Afton FY16 Final'!$A$5:$BV$587,'Afton FY16 Final'!$BV$587,0),0)</f>
        <v>12185.312309054136</v>
      </c>
      <c r="DX253" s="636">
        <f t="shared" si="473"/>
        <v>0</v>
      </c>
      <c r="DY253" s="637">
        <f t="shared" si="474"/>
        <v>0</v>
      </c>
      <c r="DZ253" s="637">
        <f t="shared" si="475"/>
        <v>0</v>
      </c>
      <c r="EA253" s="643">
        <f t="shared" si="476"/>
        <v>0</v>
      </c>
      <c r="EB253" s="637">
        <f t="shared" si="486"/>
        <v>0</v>
      </c>
      <c r="EC253" s="637">
        <f t="shared" si="487"/>
        <v>0</v>
      </c>
      <c r="ED253" s="637">
        <f t="shared" si="488"/>
        <v>0</v>
      </c>
      <c r="EE253" s="643">
        <f t="shared" si="489"/>
        <v>0</v>
      </c>
      <c r="EF253" s="637">
        <f t="shared" si="490"/>
        <v>0</v>
      </c>
      <c r="EG253" s="637">
        <f t="shared" si="491"/>
        <v>0</v>
      </c>
      <c r="EH253" s="637">
        <f t="shared" si="492"/>
        <v>0</v>
      </c>
      <c r="EI253" s="643">
        <f t="shared" si="493"/>
        <v>0</v>
      </c>
      <c r="EJ253" s="637">
        <f t="shared" si="494"/>
        <v>0</v>
      </c>
      <c r="EK253" s="637">
        <f t="shared" si="495"/>
        <v>0</v>
      </c>
      <c r="EL253" s="637">
        <f t="shared" si="496"/>
        <v>0</v>
      </c>
      <c r="EM253" s="643">
        <f t="shared" si="497"/>
        <v>0</v>
      </c>
      <c r="EN253" s="637">
        <f t="shared" si="498"/>
        <v>0</v>
      </c>
      <c r="EO253" s="637">
        <f t="shared" si="499"/>
        <v>0</v>
      </c>
      <c r="EP253" s="637">
        <f t="shared" si="500"/>
        <v>0</v>
      </c>
      <c r="EQ253" s="643">
        <f t="shared" si="501"/>
        <v>0</v>
      </c>
      <c r="ER253" s="637">
        <f t="shared" si="502"/>
        <v>0</v>
      </c>
      <c r="ES253" s="637">
        <f t="shared" si="503"/>
        <v>0</v>
      </c>
      <c r="ET253" s="637">
        <f t="shared" si="504"/>
        <v>0</v>
      </c>
      <c r="EU253" s="643">
        <f t="shared" si="477"/>
        <v>0</v>
      </c>
      <c r="EV253" s="643">
        <f t="shared" si="478"/>
        <v>0</v>
      </c>
      <c r="EX253" s="829">
        <f t="shared" si="479"/>
        <v>0</v>
      </c>
      <c r="EY253" s="638">
        <f t="shared" si="480"/>
        <v>12131.851126538837</v>
      </c>
      <c r="FC253" s="830" t="str">
        <f t="shared" si="505"/>
        <v>N</v>
      </c>
      <c r="FE253" s="830" t="str">
        <f>IFERROR(VLOOKUP($B253,'Historical Conc Grant Elig'!$B$3:$J$707,'HH &amp; SI'!FE$2,0),"N")</f>
        <v>N</v>
      </c>
      <c r="FF253" s="830" t="str">
        <f>IFERROR(VLOOKUP($B253,'Historical Conc Grant Elig'!$B$3:$J$707,'HH &amp; SI'!FF$2,0),"N")</f>
        <v>N</v>
      </c>
      <c r="FG253" s="830" t="str">
        <f>IFERROR(VLOOKUP($B253,'Historical Conc Grant Elig'!$B$3:$J$707,'HH &amp; SI'!FG$2,0),"N")</f>
        <v>N</v>
      </c>
      <c r="FH253" s="830" t="str">
        <f>IFERROR(VLOOKUP($B253,'Historical Conc Grant Elig'!$B$3:$J$707,'HH &amp; SI'!FH$2,0),"N")</f>
        <v>N</v>
      </c>
      <c r="FI253" s="830" t="str">
        <f>IFERROR(VLOOKUP($B253,'Historical Conc Grant Elig'!$B$3:$J$707,'HH &amp; SI'!FI$2,0),"N")</f>
        <v>N</v>
      </c>
      <c r="FJ253" s="830" t="str">
        <f>IFERROR(VLOOKUP($B253,'Historical Conc Grant Elig'!$B$3:$J$707,'HH &amp; SI'!FJ$2,0),"N")</f>
        <v>N</v>
      </c>
      <c r="FK253" s="830" t="str">
        <f>IFERROR(VLOOKUP($B253,'Historical Conc Grant Elig'!$B$3:$J$707,'HH &amp; SI'!FK$2,0),"N")</f>
        <v>N</v>
      </c>
      <c r="FL253" s="957" t="str">
        <f>IFERROR(VLOOKUP($B253,'Historical Conc Grant Elig'!$B$3:$J$707,'HH &amp; SI'!FL$2,0),"N")</f>
        <v>N</v>
      </c>
    </row>
    <row r="254" spans="2:168" x14ac:dyDescent="0.25">
      <c r="B254" s="634">
        <v>78760000</v>
      </c>
      <c r="C254" s="635" t="str">
        <f>VLOOKUP($B254,'Afton Update'!$A$5:$CR$582,'Afton Update'!D$589,0)</f>
        <v>New World Educational Center</v>
      </c>
      <c r="D254" s="636">
        <f>IFERROR(VLOOKUP($B254,'Afton FY16 Final'!$A$5:$BV$587,'Afton FY16 Final'!AQ$587,0),0)</f>
        <v>46241.828991420567</v>
      </c>
      <c r="E254" s="637">
        <f>IFERROR(VLOOKUP($B254,'Afton FY16 Final'!$A$5:$BV$587,'Afton FY16 Final'!AR$587,0),0)</f>
        <v>8845.5308994789902</v>
      </c>
      <c r="F254" s="637">
        <f>IFERROR(VLOOKUP($B254,'Afton FY16 Final'!$A$5:$BV$587,'Afton FY16 Final'!AS$587,0),0)</f>
        <v>23198.671082057295</v>
      </c>
      <c r="G254" s="637">
        <f>IFERROR(VLOOKUP($B254,'Afton FY16 Final'!$A$5:$BV$587,'Afton FY16 Final'!AT$587,0),0)</f>
        <v>21770.202764583035</v>
      </c>
      <c r="H254" s="638">
        <f>IFERROR(VLOOKUP($B254,'Afton FY16 Final'!$A$5:$BV$587,'Afton FY16 Final'!AU$587,0),0)</f>
        <v>100056.23373753989</v>
      </c>
      <c r="I254" s="639" t="str">
        <f>VLOOKUP($B254,'Afton Update'!$A$5:$CR$582,'Afton Update'!BT$589,0)</f>
        <v>Y</v>
      </c>
      <c r="J254" s="640" t="str">
        <f>VLOOKUP($B254,'Afton Update'!$A$5:$CR$582,'Afton Update'!BU$589,0)</f>
        <v>Y</v>
      </c>
      <c r="K254" s="640" t="str">
        <f>VLOOKUP($B254,'Afton Update'!$A$5:$CR$582,'Afton Update'!BV$589,0)</f>
        <v>Y</v>
      </c>
      <c r="L254" s="641" t="str">
        <f>VLOOKUP($B254,'Afton Update'!$A$5:$CR$582,'Afton Update'!BW$589,0)</f>
        <v>Y</v>
      </c>
      <c r="N254" s="642">
        <f>VLOOKUP($B254,'Afton Update'!$A$5:$CR$582,'Afton Update'!CB$589,0)</f>
        <v>0.95</v>
      </c>
      <c r="P254" s="636">
        <f>VLOOKUP($B254,'Afton Update'!$A$5:$CR$582,'Afton Update'!AH$589,0)</f>
        <v>33244.579533673721</v>
      </c>
      <c r="Q254" s="637">
        <f>VLOOKUP($B254,'Afton Update'!$A$5:$CR$582,'Afton Update'!AI$589,0)</f>
        <v>9005.7469687720841</v>
      </c>
      <c r="R254" s="637">
        <f>VLOOKUP($B254,'Afton Update'!$A$5:$CR$582,'Afton Update'!AJ$589,0)</f>
        <v>19482.129384821405</v>
      </c>
      <c r="S254" s="637">
        <f>VLOOKUP($B254,'Afton Update'!$A$5:$CR$582,'Afton Update'!AK$589,0)</f>
        <v>18135.303294335194</v>
      </c>
      <c r="T254" s="643">
        <f t="shared" si="506"/>
        <v>79867.759181602407</v>
      </c>
      <c r="V254" s="636">
        <f t="shared" si="532"/>
        <v>43929.737541849536</v>
      </c>
      <c r="W254" s="637">
        <f t="shared" si="533"/>
        <v>8709.1305894895413</v>
      </c>
      <c r="X254" s="637">
        <f t="shared" si="534"/>
        <v>22038.737527954429</v>
      </c>
      <c r="Y254" s="637">
        <f t="shared" si="535"/>
        <v>20681.692626353881</v>
      </c>
      <c r="Z254" s="643">
        <f t="shared" si="536"/>
        <v>95359.298285647383</v>
      </c>
      <c r="AB254" s="644">
        <f t="shared" si="507"/>
        <v>33244.579533673721</v>
      </c>
      <c r="AC254" s="645">
        <f t="shared" si="481"/>
        <v>43929.737541849536</v>
      </c>
      <c r="AD254" s="644">
        <f t="shared" si="537"/>
        <v>10685.158008175815</v>
      </c>
      <c r="AE254" s="645">
        <f t="shared" si="538"/>
        <v>0</v>
      </c>
      <c r="AF254" s="646">
        <f t="shared" si="539"/>
        <v>0</v>
      </c>
      <c r="AG254" s="647">
        <f t="shared" si="540"/>
        <v>43929.737541849536</v>
      </c>
      <c r="AH254" s="644">
        <f t="shared" si="508"/>
        <v>0</v>
      </c>
      <c r="AI254" s="645">
        <f t="shared" si="509"/>
        <v>0</v>
      </c>
      <c r="AJ254" s="646">
        <f t="shared" si="541"/>
        <v>0</v>
      </c>
      <c r="AK254" s="647">
        <f t="shared" si="510"/>
        <v>43929.737541849536</v>
      </c>
      <c r="AL254" s="644">
        <f t="shared" si="542"/>
        <v>0</v>
      </c>
      <c r="AM254" s="645">
        <f t="shared" si="543"/>
        <v>0</v>
      </c>
      <c r="AN254" s="646">
        <f t="shared" si="544"/>
        <v>0</v>
      </c>
      <c r="AO254" s="647">
        <f t="shared" si="511"/>
        <v>43929.737541849536</v>
      </c>
      <c r="AP254" s="644">
        <f t="shared" si="545"/>
        <v>0</v>
      </c>
      <c r="AQ254" s="645">
        <f t="shared" si="546"/>
        <v>0</v>
      </c>
      <c r="AR254" s="646">
        <f t="shared" si="547"/>
        <v>0</v>
      </c>
      <c r="AS254" s="647">
        <f t="shared" si="512"/>
        <v>43929.737541849536</v>
      </c>
      <c r="AT254" s="644">
        <f t="shared" si="548"/>
        <v>0</v>
      </c>
      <c r="AU254" s="645">
        <f t="shared" si="549"/>
        <v>0</v>
      </c>
      <c r="AV254" s="646">
        <f t="shared" si="550"/>
        <v>0</v>
      </c>
      <c r="AW254" s="647">
        <f t="shared" si="513"/>
        <v>43929.737541849536</v>
      </c>
      <c r="AY254" s="644">
        <f t="shared" si="551"/>
        <v>9005.7469687720841</v>
      </c>
      <c r="AZ254" s="645">
        <f t="shared" si="482"/>
        <v>8403.2543545050412</v>
      </c>
      <c r="BA254" s="644">
        <f t="shared" si="552"/>
        <v>0</v>
      </c>
      <c r="BB254" s="645">
        <f t="shared" si="553"/>
        <v>9005.7469687720841</v>
      </c>
      <c r="BC254" s="646">
        <f t="shared" si="554"/>
        <v>-64.762951001280115</v>
      </c>
      <c r="BD254" s="647">
        <f t="shared" si="555"/>
        <v>8940.9840177708047</v>
      </c>
      <c r="BE254" s="644">
        <f t="shared" si="514"/>
        <v>0</v>
      </c>
      <c r="BF254" s="645">
        <f t="shared" si="515"/>
        <v>8940.9840177708047</v>
      </c>
      <c r="BG254" s="646">
        <f t="shared" si="556"/>
        <v>-212.96695292699451</v>
      </c>
      <c r="BH254" s="647">
        <f t="shared" si="516"/>
        <v>8728.0170648438107</v>
      </c>
      <c r="BI254" s="644">
        <f t="shared" si="557"/>
        <v>0</v>
      </c>
      <c r="BJ254" s="645">
        <f t="shared" si="558"/>
        <v>8728.0170648438107</v>
      </c>
      <c r="BK254" s="646">
        <f t="shared" si="559"/>
        <v>-18.487990110242571</v>
      </c>
      <c r="BL254" s="647">
        <f t="shared" si="517"/>
        <v>8709.5290747335675</v>
      </c>
      <c r="BM254" s="644">
        <f t="shared" si="560"/>
        <v>0</v>
      </c>
      <c r="BN254" s="645">
        <f t="shared" si="561"/>
        <v>8709.5290747335675</v>
      </c>
      <c r="BO254" s="646">
        <f t="shared" si="562"/>
        <v>-0.39848524402686802</v>
      </c>
      <c r="BP254" s="647">
        <f t="shared" si="518"/>
        <v>8709.1305894895413</v>
      </c>
      <c r="BQ254" s="644">
        <f t="shared" si="563"/>
        <v>0</v>
      </c>
      <c r="BR254" s="645">
        <f t="shared" si="564"/>
        <v>8709.1305894895413</v>
      </c>
      <c r="BS254" s="646">
        <f t="shared" si="565"/>
        <v>0</v>
      </c>
      <c r="BT254" s="647">
        <f t="shared" si="519"/>
        <v>8709.1305894895413</v>
      </c>
      <c r="BU254" s="662">
        <f>VLOOKUP(B254,'Afton Update'!$A$5:$AR$582,'Afton Update'!$AO$589,0)-BT254</f>
        <v>0</v>
      </c>
      <c r="BV254" s="644">
        <f t="shared" si="566"/>
        <v>19482.129384821405</v>
      </c>
      <c r="BW254" s="645">
        <f t="shared" si="483"/>
        <v>22038.737527954429</v>
      </c>
      <c r="BX254" s="644">
        <f t="shared" si="567"/>
        <v>2556.608143133024</v>
      </c>
      <c r="BY254" s="645">
        <f t="shared" si="568"/>
        <v>0</v>
      </c>
      <c r="BZ254" s="646">
        <f t="shared" si="569"/>
        <v>0</v>
      </c>
      <c r="CA254" s="647">
        <f t="shared" si="570"/>
        <v>22038.737527954429</v>
      </c>
      <c r="CB254" s="644">
        <f t="shared" si="520"/>
        <v>0</v>
      </c>
      <c r="CC254" s="645">
        <f t="shared" si="521"/>
        <v>0</v>
      </c>
      <c r="CD254" s="646">
        <f t="shared" si="571"/>
        <v>0</v>
      </c>
      <c r="CE254" s="647">
        <f t="shared" si="522"/>
        <v>22038.737527954429</v>
      </c>
      <c r="CF254" s="644">
        <f t="shared" si="572"/>
        <v>0</v>
      </c>
      <c r="CG254" s="645">
        <f t="shared" si="573"/>
        <v>0</v>
      </c>
      <c r="CH254" s="646">
        <f t="shared" si="574"/>
        <v>0</v>
      </c>
      <c r="CI254" s="647">
        <f t="shared" si="523"/>
        <v>22038.737527954429</v>
      </c>
      <c r="CJ254" s="644">
        <f t="shared" si="575"/>
        <v>0</v>
      </c>
      <c r="CK254" s="645">
        <f t="shared" si="576"/>
        <v>0</v>
      </c>
      <c r="CL254" s="646">
        <f t="shared" si="577"/>
        <v>0</v>
      </c>
      <c r="CM254" s="647">
        <f t="shared" si="524"/>
        <v>22038.737527954429</v>
      </c>
      <c r="CN254" s="644">
        <f t="shared" si="578"/>
        <v>0</v>
      </c>
      <c r="CO254" s="645">
        <f t="shared" si="579"/>
        <v>0</v>
      </c>
      <c r="CP254" s="646">
        <f t="shared" si="580"/>
        <v>0</v>
      </c>
      <c r="CQ254" s="647">
        <f t="shared" si="525"/>
        <v>22038.737527954429</v>
      </c>
      <c r="CS254" s="644">
        <f t="shared" si="581"/>
        <v>18135.303294335194</v>
      </c>
      <c r="CT254" s="645">
        <f t="shared" si="484"/>
        <v>20681.692626353881</v>
      </c>
      <c r="CU254" s="644">
        <f t="shared" si="582"/>
        <v>2546.3893320186871</v>
      </c>
      <c r="CV254" s="645">
        <f t="shared" si="583"/>
        <v>0</v>
      </c>
      <c r="CW254" s="646">
        <f t="shared" si="584"/>
        <v>0</v>
      </c>
      <c r="CX254" s="647">
        <f t="shared" si="585"/>
        <v>20681.692626353881</v>
      </c>
      <c r="CY254" s="644">
        <f t="shared" si="526"/>
        <v>0</v>
      </c>
      <c r="CZ254" s="645">
        <f t="shared" si="527"/>
        <v>0</v>
      </c>
      <c r="DA254" s="646">
        <f t="shared" si="586"/>
        <v>0</v>
      </c>
      <c r="DB254" s="647">
        <f t="shared" si="528"/>
        <v>20681.692626353881</v>
      </c>
      <c r="DC254" s="644">
        <f t="shared" si="587"/>
        <v>0</v>
      </c>
      <c r="DD254" s="645">
        <f t="shared" si="588"/>
        <v>0</v>
      </c>
      <c r="DE254" s="646">
        <f t="shared" si="589"/>
        <v>0</v>
      </c>
      <c r="DF254" s="647">
        <f t="shared" si="529"/>
        <v>20681.692626353881</v>
      </c>
      <c r="DG254" s="644">
        <f t="shared" si="590"/>
        <v>0</v>
      </c>
      <c r="DH254" s="645">
        <f t="shared" si="591"/>
        <v>0</v>
      </c>
      <c r="DI254" s="646">
        <f t="shared" si="592"/>
        <v>0</v>
      </c>
      <c r="DJ254" s="647">
        <f t="shared" si="530"/>
        <v>20681.692626353881</v>
      </c>
      <c r="DK254" s="644">
        <f t="shared" si="593"/>
        <v>0</v>
      </c>
      <c r="DL254" s="645">
        <f t="shared" si="594"/>
        <v>0</v>
      </c>
      <c r="DM254" s="646">
        <f t="shared" si="595"/>
        <v>0</v>
      </c>
      <c r="DN254" s="647">
        <f t="shared" si="531"/>
        <v>20681.692626353881</v>
      </c>
      <c r="DR254" s="827">
        <f t="shared" si="485"/>
        <v>95359.298285647383</v>
      </c>
      <c r="DV254" s="828">
        <f>IFERROR(VLOOKUP($B254,'Afton FY16 Final'!$A$5:$BV$587,'Afton FY16 Final'!$BV$587,0),0)</f>
        <v>98086.126511817914</v>
      </c>
      <c r="DX254" s="636">
        <f t="shared" si="473"/>
        <v>0</v>
      </c>
      <c r="DY254" s="637">
        <f t="shared" si="474"/>
        <v>0</v>
      </c>
      <c r="DZ254" s="637">
        <f t="shared" si="475"/>
        <v>0</v>
      </c>
      <c r="EA254" s="643">
        <f t="shared" si="476"/>
        <v>0</v>
      </c>
      <c r="EB254" s="637">
        <f t="shared" si="486"/>
        <v>0</v>
      </c>
      <c r="EC254" s="637">
        <f t="shared" si="487"/>
        <v>0</v>
      </c>
      <c r="ED254" s="637">
        <f t="shared" si="488"/>
        <v>0</v>
      </c>
      <c r="EE254" s="643">
        <f t="shared" si="489"/>
        <v>0</v>
      </c>
      <c r="EF254" s="637">
        <f t="shared" si="490"/>
        <v>0</v>
      </c>
      <c r="EG254" s="637">
        <f t="shared" si="491"/>
        <v>0</v>
      </c>
      <c r="EH254" s="637">
        <f t="shared" si="492"/>
        <v>0</v>
      </c>
      <c r="EI254" s="643">
        <f t="shared" si="493"/>
        <v>0</v>
      </c>
      <c r="EJ254" s="637">
        <f t="shared" si="494"/>
        <v>0</v>
      </c>
      <c r="EK254" s="637">
        <f t="shared" si="495"/>
        <v>0</v>
      </c>
      <c r="EL254" s="637">
        <f t="shared" si="496"/>
        <v>0</v>
      </c>
      <c r="EM254" s="643">
        <f t="shared" si="497"/>
        <v>0</v>
      </c>
      <c r="EN254" s="637">
        <f t="shared" si="498"/>
        <v>0</v>
      </c>
      <c r="EO254" s="637">
        <f t="shared" si="499"/>
        <v>0</v>
      </c>
      <c r="EP254" s="637">
        <f t="shared" si="500"/>
        <v>0</v>
      </c>
      <c r="EQ254" s="643">
        <f t="shared" si="501"/>
        <v>0</v>
      </c>
      <c r="ER254" s="637">
        <f t="shared" si="502"/>
        <v>0</v>
      </c>
      <c r="ES254" s="637">
        <f t="shared" si="503"/>
        <v>0</v>
      </c>
      <c r="ET254" s="637">
        <f t="shared" si="504"/>
        <v>0</v>
      </c>
      <c r="EU254" s="643">
        <f t="shared" si="477"/>
        <v>0</v>
      </c>
      <c r="EV254" s="643">
        <f t="shared" si="478"/>
        <v>0</v>
      </c>
      <c r="EX254" s="829">
        <f t="shared" si="479"/>
        <v>0</v>
      </c>
      <c r="EY254" s="638">
        <f t="shared" si="480"/>
        <v>95359.298285647383</v>
      </c>
      <c r="FC254" s="830" t="str">
        <f t="shared" si="505"/>
        <v>Y</v>
      </c>
      <c r="FE254" s="830" t="str">
        <f>IFERROR(VLOOKUP($B254,'Historical Conc Grant Elig'!$B$3:$J$707,'HH &amp; SI'!FE$2,0),"N")</f>
        <v>Y</v>
      </c>
      <c r="FF254" s="830" t="str">
        <f>IFERROR(VLOOKUP($B254,'Historical Conc Grant Elig'!$B$3:$J$707,'HH &amp; SI'!FF$2,0),"N")</f>
        <v>Y</v>
      </c>
      <c r="FG254" s="830" t="str">
        <f>IFERROR(VLOOKUP($B254,'Historical Conc Grant Elig'!$B$3:$J$707,'HH &amp; SI'!FG$2,0),"N")</f>
        <v>Y</v>
      </c>
      <c r="FH254" s="830" t="str">
        <f>IFERROR(VLOOKUP($B254,'Historical Conc Grant Elig'!$B$3:$J$707,'HH &amp; SI'!FH$2,0),"N")</f>
        <v>Y</v>
      </c>
      <c r="FI254" s="830" t="str">
        <f>IFERROR(VLOOKUP($B254,'Historical Conc Grant Elig'!$B$3:$J$707,'HH &amp; SI'!FI$2,0),"N")</f>
        <v>Y</v>
      </c>
      <c r="FJ254" s="830" t="str">
        <f>IFERROR(VLOOKUP($B254,'Historical Conc Grant Elig'!$B$3:$J$707,'HH &amp; SI'!FJ$2,0),"N")</f>
        <v>Y</v>
      </c>
      <c r="FK254" s="830" t="str">
        <f>IFERROR(VLOOKUP($B254,'Historical Conc Grant Elig'!$B$3:$J$707,'HH &amp; SI'!FK$2,0),"N")</f>
        <v>Y</v>
      </c>
      <c r="FL254" s="957" t="str">
        <f>IFERROR(VLOOKUP($B254,'Historical Conc Grant Elig'!$B$3:$J$707,'HH &amp; SI'!FL$2,0),"N")</f>
        <v>Y</v>
      </c>
    </row>
    <row r="255" spans="2:168" x14ac:dyDescent="0.25">
      <c r="B255" s="634">
        <v>78765000</v>
      </c>
      <c r="C255" s="635" t="str">
        <f>VLOOKUP($B255,'Afton Update'!$A$5:$CR$582,'Afton Update'!D$589,0)</f>
        <v>Kaizen Education Foundation dba South Pointe Junior High Sch</v>
      </c>
      <c r="D255" s="636">
        <f>IFERROR(VLOOKUP($B255,'Afton FY16 Final'!$A$5:$BV$587,'Afton FY16 Final'!AQ$587,0),0)</f>
        <v>62773.881843275572</v>
      </c>
      <c r="E255" s="637">
        <f>IFERROR(VLOOKUP($B255,'Afton FY16 Final'!$A$5:$BV$587,'Afton FY16 Final'!AR$587,0),0)</f>
        <v>12007.922775458524</v>
      </c>
      <c r="F255" s="637">
        <f>IFERROR(VLOOKUP($B255,'Afton FY16 Final'!$A$5:$BV$587,'Afton FY16 Final'!AS$587,0),0)</f>
        <v>31492.496494813524</v>
      </c>
      <c r="G255" s="637">
        <f>IFERROR(VLOOKUP($B255,'Afton FY16 Final'!$A$5:$BV$587,'Afton FY16 Final'!AT$587,0),0)</f>
        <v>29553.332250366606</v>
      </c>
      <c r="H255" s="638">
        <f>IFERROR(VLOOKUP($B255,'Afton FY16 Final'!$A$5:$BV$587,'Afton FY16 Final'!AU$587,0),0)</f>
        <v>135827.63336391421</v>
      </c>
      <c r="I255" s="639" t="str">
        <f>VLOOKUP($B255,'Afton Update'!$A$5:$CR$582,'Afton Update'!BT$589,0)</f>
        <v>Y</v>
      </c>
      <c r="J255" s="640" t="str">
        <f>VLOOKUP($B255,'Afton Update'!$A$5:$CR$582,'Afton Update'!BU$589,0)</f>
        <v>Y</v>
      </c>
      <c r="K255" s="640" t="str">
        <f>VLOOKUP($B255,'Afton Update'!$A$5:$CR$582,'Afton Update'!BV$589,0)</f>
        <v>Y</v>
      </c>
      <c r="L255" s="641" t="str">
        <f>VLOOKUP($B255,'Afton Update'!$A$5:$CR$582,'Afton Update'!BW$589,0)</f>
        <v>Y</v>
      </c>
      <c r="N255" s="642">
        <f>VLOOKUP($B255,'Afton Update'!$A$5:$CR$582,'Afton Update'!CB$589,0)</f>
        <v>0.95</v>
      </c>
      <c r="P255" s="636">
        <f>VLOOKUP($B255,'Afton Update'!$A$5:$CR$582,'Afton Update'!AH$589,0)</f>
        <v>34918.766992204059</v>
      </c>
      <c r="Q255" s="637">
        <f>VLOOKUP($B255,'Afton Update'!$A$5:$CR$582,'Afton Update'!AI$589,0)</f>
        <v>9351.9662428842421</v>
      </c>
      <c r="R255" s="637">
        <f>VLOOKUP($B255,'Afton Update'!$A$5:$CR$582,'Afton Update'!AJ$589,0)</f>
        <v>20461.967666671826</v>
      </c>
      <c r="S255" s="637">
        <f>VLOOKUP($B255,'Afton Update'!$A$5:$CR$582,'Afton Update'!AK$589,0)</f>
        <v>19047.40402366317</v>
      </c>
      <c r="T255" s="643">
        <f t="shared" si="506"/>
        <v>83780.104925423293</v>
      </c>
      <c r="V255" s="636">
        <f t="shared" si="532"/>
        <v>59635.187751111793</v>
      </c>
      <c r="W255" s="637">
        <f t="shared" si="533"/>
        <v>11407.526636685598</v>
      </c>
      <c r="X255" s="637">
        <f t="shared" si="534"/>
        <v>29917.871670072847</v>
      </c>
      <c r="Y255" s="637">
        <f t="shared" si="535"/>
        <v>28075.665637848273</v>
      </c>
      <c r="Z255" s="643">
        <f t="shared" si="536"/>
        <v>129036.25169571851</v>
      </c>
      <c r="AB255" s="644">
        <f t="shared" si="507"/>
        <v>34918.766992204059</v>
      </c>
      <c r="AC255" s="645">
        <f t="shared" si="481"/>
        <v>59635.187751111793</v>
      </c>
      <c r="AD255" s="644">
        <f t="shared" si="537"/>
        <v>24716.420758907734</v>
      </c>
      <c r="AE255" s="645">
        <f t="shared" si="538"/>
        <v>0</v>
      </c>
      <c r="AF255" s="646">
        <f t="shared" si="539"/>
        <v>0</v>
      </c>
      <c r="AG255" s="647">
        <f t="shared" si="540"/>
        <v>59635.187751111793</v>
      </c>
      <c r="AH255" s="644">
        <f t="shared" si="508"/>
        <v>0</v>
      </c>
      <c r="AI255" s="645">
        <f t="shared" si="509"/>
        <v>0</v>
      </c>
      <c r="AJ255" s="646">
        <f t="shared" si="541"/>
        <v>0</v>
      </c>
      <c r="AK255" s="647">
        <f t="shared" si="510"/>
        <v>59635.187751111793</v>
      </c>
      <c r="AL255" s="644">
        <f t="shared" si="542"/>
        <v>0</v>
      </c>
      <c r="AM255" s="645">
        <f t="shared" si="543"/>
        <v>0</v>
      </c>
      <c r="AN255" s="646">
        <f t="shared" si="544"/>
        <v>0</v>
      </c>
      <c r="AO255" s="647">
        <f t="shared" si="511"/>
        <v>59635.187751111793</v>
      </c>
      <c r="AP255" s="644">
        <f t="shared" si="545"/>
        <v>0</v>
      </c>
      <c r="AQ255" s="645">
        <f t="shared" si="546"/>
        <v>0</v>
      </c>
      <c r="AR255" s="646">
        <f t="shared" si="547"/>
        <v>0</v>
      </c>
      <c r="AS255" s="647">
        <f t="shared" si="512"/>
        <v>59635.187751111793</v>
      </c>
      <c r="AT255" s="644">
        <f t="shared" si="548"/>
        <v>0</v>
      </c>
      <c r="AU255" s="645">
        <f t="shared" si="549"/>
        <v>0</v>
      </c>
      <c r="AV255" s="646">
        <f t="shared" si="550"/>
        <v>0</v>
      </c>
      <c r="AW255" s="647">
        <f t="shared" si="513"/>
        <v>59635.187751111793</v>
      </c>
      <c r="AY255" s="644">
        <f t="shared" si="551"/>
        <v>9351.9662428842421</v>
      </c>
      <c r="AZ255" s="645">
        <f t="shared" si="482"/>
        <v>11407.526636685598</v>
      </c>
      <c r="BA255" s="644">
        <f t="shared" si="552"/>
        <v>2055.5603938013555</v>
      </c>
      <c r="BB255" s="645">
        <f t="shared" si="553"/>
        <v>0</v>
      </c>
      <c r="BC255" s="646">
        <f t="shared" si="554"/>
        <v>0</v>
      </c>
      <c r="BD255" s="647">
        <f t="shared" si="555"/>
        <v>11407.526636685598</v>
      </c>
      <c r="BE255" s="644">
        <f t="shared" si="514"/>
        <v>0</v>
      </c>
      <c r="BF255" s="645">
        <f t="shared" si="515"/>
        <v>0</v>
      </c>
      <c r="BG255" s="646">
        <f t="shared" si="556"/>
        <v>0</v>
      </c>
      <c r="BH255" s="647">
        <f t="shared" si="516"/>
        <v>11407.526636685598</v>
      </c>
      <c r="BI255" s="644">
        <f t="shared" si="557"/>
        <v>0</v>
      </c>
      <c r="BJ255" s="645">
        <f t="shared" si="558"/>
        <v>0</v>
      </c>
      <c r="BK255" s="646">
        <f t="shared" si="559"/>
        <v>0</v>
      </c>
      <c r="BL255" s="647">
        <f t="shared" si="517"/>
        <v>11407.526636685598</v>
      </c>
      <c r="BM255" s="644">
        <f t="shared" si="560"/>
        <v>0</v>
      </c>
      <c r="BN255" s="645">
        <f t="shared" si="561"/>
        <v>0</v>
      </c>
      <c r="BO255" s="646">
        <f t="shared" si="562"/>
        <v>0</v>
      </c>
      <c r="BP255" s="647">
        <f t="shared" si="518"/>
        <v>11407.526636685598</v>
      </c>
      <c r="BQ255" s="644">
        <f t="shared" si="563"/>
        <v>0</v>
      </c>
      <c r="BR255" s="645">
        <f t="shared" si="564"/>
        <v>0</v>
      </c>
      <c r="BS255" s="646">
        <f t="shared" si="565"/>
        <v>0</v>
      </c>
      <c r="BT255" s="647">
        <f t="shared" si="519"/>
        <v>11407.526636685598</v>
      </c>
      <c r="BU255" s="662">
        <f>VLOOKUP(B255,'Afton Update'!$A$5:$AR$582,'Afton Update'!$AO$589,0)-BT255</f>
        <v>0</v>
      </c>
      <c r="BV255" s="644">
        <f t="shared" si="566"/>
        <v>20461.967666671826</v>
      </c>
      <c r="BW255" s="645">
        <f t="shared" si="483"/>
        <v>29917.871670072847</v>
      </c>
      <c r="BX255" s="644">
        <f t="shared" si="567"/>
        <v>9455.9040034010213</v>
      </c>
      <c r="BY255" s="645">
        <f t="shared" si="568"/>
        <v>0</v>
      </c>
      <c r="BZ255" s="646">
        <f t="shared" si="569"/>
        <v>0</v>
      </c>
      <c r="CA255" s="647">
        <f t="shared" si="570"/>
        <v>29917.871670072847</v>
      </c>
      <c r="CB255" s="644">
        <f t="shared" si="520"/>
        <v>0</v>
      </c>
      <c r="CC255" s="645">
        <f t="shared" si="521"/>
        <v>0</v>
      </c>
      <c r="CD255" s="646">
        <f t="shared" si="571"/>
        <v>0</v>
      </c>
      <c r="CE255" s="647">
        <f t="shared" si="522"/>
        <v>29917.871670072847</v>
      </c>
      <c r="CF255" s="644">
        <f t="shared" si="572"/>
        <v>0</v>
      </c>
      <c r="CG255" s="645">
        <f t="shared" si="573"/>
        <v>0</v>
      </c>
      <c r="CH255" s="646">
        <f t="shared" si="574"/>
        <v>0</v>
      </c>
      <c r="CI255" s="647">
        <f t="shared" si="523"/>
        <v>29917.871670072847</v>
      </c>
      <c r="CJ255" s="644">
        <f t="shared" si="575"/>
        <v>0</v>
      </c>
      <c r="CK255" s="645">
        <f t="shared" si="576"/>
        <v>0</v>
      </c>
      <c r="CL255" s="646">
        <f t="shared" si="577"/>
        <v>0</v>
      </c>
      <c r="CM255" s="647">
        <f t="shared" si="524"/>
        <v>29917.871670072847</v>
      </c>
      <c r="CN255" s="644">
        <f t="shared" si="578"/>
        <v>0</v>
      </c>
      <c r="CO255" s="645">
        <f t="shared" si="579"/>
        <v>0</v>
      </c>
      <c r="CP255" s="646">
        <f t="shared" si="580"/>
        <v>0</v>
      </c>
      <c r="CQ255" s="647">
        <f t="shared" si="525"/>
        <v>29917.871670072847</v>
      </c>
      <c r="CS255" s="644">
        <f t="shared" si="581"/>
        <v>19047.40402366317</v>
      </c>
      <c r="CT255" s="645">
        <f t="shared" si="484"/>
        <v>28075.665637848273</v>
      </c>
      <c r="CU255" s="644">
        <f t="shared" si="582"/>
        <v>9028.2616141851031</v>
      </c>
      <c r="CV255" s="645">
        <f t="shared" si="583"/>
        <v>0</v>
      </c>
      <c r="CW255" s="646">
        <f t="shared" si="584"/>
        <v>0</v>
      </c>
      <c r="CX255" s="647">
        <f t="shared" si="585"/>
        <v>28075.665637848273</v>
      </c>
      <c r="CY255" s="644">
        <f t="shared" si="526"/>
        <v>0</v>
      </c>
      <c r="CZ255" s="645">
        <f t="shared" si="527"/>
        <v>0</v>
      </c>
      <c r="DA255" s="646">
        <f t="shared" si="586"/>
        <v>0</v>
      </c>
      <c r="DB255" s="647">
        <f t="shared" si="528"/>
        <v>28075.665637848273</v>
      </c>
      <c r="DC255" s="644">
        <f t="shared" si="587"/>
        <v>0</v>
      </c>
      <c r="DD255" s="645">
        <f t="shared" si="588"/>
        <v>0</v>
      </c>
      <c r="DE255" s="646">
        <f t="shared" si="589"/>
        <v>0</v>
      </c>
      <c r="DF255" s="647">
        <f t="shared" si="529"/>
        <v>28075.665637848273</v>
      </c>
      <c r="DG255" s="644">
        <f t="shared" si="590"/>
        <v>0</v>
      </c>
      <c r="DH255" s="645">
        <f t="shared" si="591"/>
        <v>0</v>
      </c>
      <c r="DI255" s="646">
        <f t="shared" si="592"/>
        <v>0</v>
      </c>
      <c r="DJ255" s="647">
        <f t="shared" si="530"/>
        <v>28075.665637848273</v>
      </c>
      <c r="DK255" s="644">
        <f t="shared" si="593"/>
        <v>0</v>
      </c>
      <c r="DL255" s="645">
        <f t="shared" si="594"/>
        <v>0</v>
      </c>
      <c r="DM255" s="646">
        <f t="shared" si="595"/>
        <v>0</v>
      </c>
      <c r="DN255" s="647">
        <f t="shared" si="531"/>
        <v>28075.665637848273</v>
      </c>
      <c r="DR255" s="827">
        <f t="shared" si="485"/>
        <v>129036.25169571851</v>
      </c>
      <c r="DV255" s="828">
        <f>IFERROR(VLOOKUP($B255,'Afton FY16 Final'!$A$5:$BV$587,'Afton FY16 Final'!$BV$587,0),0)</f>
        <v>133153.18728547299</v>
      </c>
      <c r="DX255" s="636">
        <f t="shared" si="473"/>
        <v>0</v>
      </c>
      <c r="DY255" s="637">
        <f t="shared" si="474"/>
        <v>0</v>
      </c>
      <c r="DZ255" s="637">
        <f t="shared" si="475"/>
        <v>0</v>
      </c>
      <c r="EA255" s="643">
        <f t="shared" si="476"/>
        <v>0</v>
      </c>
      <c r="EB255" s="637">
        <f t="shared" si="486"/>
        <v>0</v>
      </c>
      <c r="EC255" s="637">
        <f t="shared" si="487"/>
        <v>0</v>
      </c>
      <c r="ED255" s="637">
        <f t="shared" si="488"/>
        <v>0</v>
      </c>
      <c r="EE255" s="643">
        <f t="shared" si="489"/>
        <v>0</v>
      </c>
      <c r="EF255" s="637">
        <f t="shared" si="490"/>
        <v>0</v>
      </c>
      <c r="EG255" s="637">
        <f t="shared" si="491"/>
        <v>0</v>
      </c>
      <c r="EH255" s="637">
        <f t="shared" si="492"/>
        <v>0</v>
      </c>
      <c r="EI255" s="643">
        <f t="shared" si="493"/>
        <v>0</v>
      </c>
      <c r="EJ255" s="637">
        <f t="shared" si="494"/>
        <v>0</v>
      </c>
      <c r="EK255" s="637">
        <f t="shared" si="495"/>
        <v>0</v>
      </c>
      <c r="EL255" s="637">
        <f t="shared" si="496"/>
        <v>0</v>
      </c>
      <c r="EM255" s="643">
        <f t="shared" si="497"/>
        <v>0</v>
      </c>
      <c r="EN255" s="637">
        <f t="shared" si="498"/>
        <v>0</v>
      </c>
      <c r="EO255" s="637">
        <f t="shared" si="499"/>
        <v>0</v>
      </c>
      <c r="EP255" s="637">
        <f t="shared" si="500"/>
        <v>0</v>
      </c>
      <c r="EQ255" s="643">
        <f t="shared" si="501"/>
        <v>0</v>
      </c>
      <c r="ER255" s="637">
        <f t="shared" si="502"/>
        <v>0</v>
      </c>
      <c r="ES255" s="637">
        <f t="shared" si="503"/>
        <v>0</v>
      </c>
      <c r="ET255" s="637">
        <f t="shared" si="504"/>
        <v>0</v>
      </c>
      <c r="EU255" s="643">
        <f t="shared" si="477"/>
        <v>0</v>
      </c>
      <c r="EV255" s="643">
        <f t="shared" si="478"/>
        <v>0</v>
      </c>
      <c r="EX255" s="829">
        <f t="shared" si="479"/>
        <v>0</v>
      </c>
      <c r="EY255" s="638">
        <f t="shared" si="480"/>
        <v>129036.25169571851</v>
      </c>
      <c r="FC255" s="830" t="str">
        <f t="shared" si="505"/>
        <v>Y</v>
      </c>
      <c r="FE255" s="830" t="str">
        <f>IFERROR(VLOOKUP($B255,'Historical Conc Grant Elig'!$B$3:$J$707,'HH &amp; SI'!FE$2,0),"N")</f>
        <v>Y</v>
      </c>
      <c r="FF255" s="830" t="str">
        <f>IFERROR(VLOOKUP($B255,'Historical Conc Grant Elig'!$B$3:$J$707,'HH &amp; SI'!FF$2,0),"N")</f>
        <v>Y</v>
      </c>
      <c r="FG255" s="830" t="str">
        <f>IFERROR(VLOOKUP($B255,'Historical Conc Grant Elig'!$B$3:$J$707,'HH &amp; SI'!FG$2,0),"N")</f>
        <v>Y</v>
      </c>
      <c r="FH255" s="830" t="str">
        <f>IFERROR(VLOOKUP($B255,'Historical Conc Grant Elig'!$B$3:$J$707,'HH &amp; SI'!FH$2,0),"N")</f>
        <v>Y</v>
      </c>
      <c r="FI255" s="830" t="str">
        <f>IFERROR(VLOOKUP($B255,'Historical Conc Grant Elig'!$B$3:$J$707,'HH &amp; SI'!FI$2,0),"N")</f>
        <v>Y</v>
      </c>
      <c r="FJ255" s="830" t="str">
        <f>IFERROR(VLOOKUP($B255,'Historical Conc Grant Elig'!$B$3:$J$707,'HH &amp; SI'!FJ$2,0),"N")</f>
        <v>Y</v>
      </c>
      <c r="FK255" s="830" t="str">
        <f>IFERROR(VLOOKUP($B255,'Historical Conc Grant Elig'!$B$3:$J$707,'HH &amp; SI'!FK$2,0),"N")</f>
        <v>Y</v>
      </c>
      <c r="FL255" s="957" t="str">
        <f>IFERROR(VLOOKUP($B255,'Historical Conc Grant Elig'!$B$3:$J$707,'HH &amp; SI'!FL$2,0),"N")</f>
        <v>Y</v>
      </c>
    </row>
    <row r="256" spans="2:168" x14ac:dyDescent="0.25">
      <c r="B256" s="634">
        <v>78771000</v>
      </c>
      <c r="C256" s="635" t="str">
        <f>VLOOKUP($B256,'Afton Update'!$A$5:$CR$582,'Afton Update'!D$589,0)</f>
        <v>New Horizon School for the Performing Arts</v>
      </c>
      <c r="D256" s="636">
        <f>IFERROR(VLOOKUP($B256,'Afton FY16 Final'!$A$5:$BV$587,'Afton FY16 Final'!AQ$587,0),0)</f>
        <v>41982.872661156915</v>
      </c>
      <c r="E256" s="637">
        <f>IFERROR(VLOOKUP($B256,'Afton FY16 Final'!$A$5:$BV$587,'Afton FY16 Final'!AR$587,0),0)</f>
        <v>10433.297759227004</v>
      </c>
      <c r="F256" s="637">
        <f>IFERROR(VLOOKUP($B256,'Afton FY16 Final'!$A$5:$BV$587,'Afton FY16 Final'!AS$587,0),0)</f>
        <v>22784.598147059198</v>
      </c>
      <c r="G256" s="637">
        <f>IFERROR(VLOOKUP($B256,'Afton FY16 Final'!$A$5:$BV$587,'Afton FY16 Final'!AT$587,0),0)</f>
        <v>19401.424225431514</v>
      </c>
      <c r="H256" s="638">
        <f>IFERROR(VLOOKUP($B256,'Afton FY16 Final'!$A$5:$BV$587,'Afton FY16 Final'!AU$587,0),0)</f>
        <v>94602.19279287463</v>
      </c>
      <c r="I256" s="639" t="str">
        <f>VLOOKUP($B256,'Afton Update'!$A$5:$CR$582,'Afton Update'!BT$589,0)</f>
        <v>Y</v>
      </c>
      <c r="J256" s="640" t="str">
        <f>VLOOKUP($B256,'Afton Update'!$A$5:$CR$582,'Afton Update'!BU$589,0)</f>
        <v>Y</v>
      </c>
      <c r="K256" s="640" t="str">
        <f>VLOOKUP($B256,'Afton Update'!$A$5:$CR$582,'Afton Update'!BV$589,0)</f>
        <v>Y</v>
      </c>
      <c r="L256" s="641" t="str">
        <f>VLOOKUP($B256,'Afton Update'!$A$5:$CR$582,'Afton Update'!BW$589,0)</f>
        <v>Y</v>
      </c>
      <c r="N256" s="642">
        <f>VLOOKUP($B256,'Afton Update'!$A$5:$CR$582,'Afton Update'!CB$589,0)</f>
        <v>0.95</v>
      </c>
      <c r="P256" s="636">
        <f>VLOOKUP($B256,'Afton Update'!$A$5:$CR$582,'Afton Update'!AH$589,0)</f>
        <v>37071.293724600189</v>
      </c>
      <c r="Q256" s="637">
        <f>VLOOKUP($B256,'Afton Update'!$A$5:$CR$582,'Afton Update'!AI$589,0)</f>
        <v>9797.1053095998686</v>
      </c>
      <c r="R256" s="637">
        <f>VLOOKUP($B256,'Afton Update'!$A$5:$CR$582,'Afton Update'!AJ$589,0)</f>
        <v>21721.759743336646</v>
      </c>
      <c r="S256" s="637">
        <f>VLOOKUP($B256,'Afton Update'!$A$5:$CR$582,'Afton Update'!AK$589,0)</f>
        <v>20220.104961370565</v>
      </c>
      <c r="T256" s="643">
        <f t="shared" si="506"/>
        <v>88810.263738907277</v>
      </c>
      <c r="V256" s="636">
        <f t="shared" si="532"/>
        <v>39883.729028099064</v>
      </c>
      <c r="W256" s="637">
        <f t="shared" si="533"/>
        <v>9911.6328712656523</v>
      </c>
      <c r="X256" s="637">
        <f t="shared" si="534"/>
        <v>21645.368239706237</v>
      </c>
      <c r="Y256" s="637">
        <f t="shared" si="535"/>
        <v>19997.315802744455</v>
      </c>
      <c r="Z256" s="643">
        <f t="shared" si="536"/>
        <v>91438.045941815406</v>
      </c>
      <c r="AB256" s="644">
        <f t="shared" si="507"/>
        <v>37071.293724600189</v>
      </c>
      <c r="AC256" s="645">
        <f t="shared" si="481"/>
        <v>39883.729028099064</v>
      </c>
      <c r="AD256" s="644">
        <f t="shared" si="537"/>
        <v>2812.4353034988744</v>
      </c>
      <c r="AE256" s="645">
        <f t="shared" si="538"/>
        <v>0</v>
      </c>
      <c r="AF256" s="646">
        <f t="shared" si="539"/>
        <v>0</v>
      </c>
      <c r="AG256" s="647">
        <f t="shared" si="540"/>
        <v>39883.729028099064</v>
      </c>
      <c r="AH256" s="644">
        <f t="shared" si="508"/>
        <v>0</v>
      </c>
      <c r="AI256" s="645">
        <f t="shared" si="509"/>
        <v>0</v>
      </c>
      <c r="AJ256" s="646">
        <f t="shared" si="541"/>
        <v>0</v>
      </c>
      <c r="AK256" s="647">
        <f t="shared" si="510"/>
        <v>39883.729028099064</v>
      </c>
      <c r="AL256" s="644">
        <f t="shared" si="542"/>
        <v>0</v>
      </c>
      <c r="AM256" s="645">
        <f t="shared" si="543"/>
        <v>0</v>
      </c>
      <c r="AN256" s="646">
        <f t="shared" si="544"/>
        <v>0</v>
      </c>
      <c r="AO256" s="647">
        <f t="shared" si="511"/>
        <v>39883.729028099064</v>
      </c>
      <c r="AP256" s="644">
        <f t="shared" si="545"/>
        <v>0</v>
      </c>
      <c r="AQ256" s="645">
        <f t="shared" si="546"/>
        <v>0</v>
      </c>
      <c r="AR256" s="646">
        <f t="shared" si="547"/>
        <v>0</v>
      </c>
      <c r="AS256" s="647">
        <f t="shared" si="512"/>
        <v>39883.729028099064</v>
      </c>
      <c r="AT256" s="644">
        <f t="shared" si="548"/>
        <v>0</v>
      </c>
      <c r="AU256" s="645">
        <f t="shared" si="549"/>
        <v>0</v>
      </c>
      <c r="AV256" s="646">
        <f t="shared" si="550"/>
        <v>0</v>
      </c>
      <c r="AW256" s="647">
        <f t="shared" si="513"/>
        <v>39883.729028099064</v>
      </c>
      <c r="AY256" s="644">
        <f t="shared" si="551"/>
        <v>9797.1053095998686</v>
      </c>
      <c r="AZ256" s="645">
        <f t="shared" si="482"/>
        <v>9911.6328712656523</v>
      </c>
      <c r="BA256" s="644">
        <f t="shared" si="552"/>
        <v>114.52756166578365</v>
      </c>
      <c r="BB256" s="645">
        <f t="shared" si="553"/>
        <v>0</v>
      </c>
      <c r="BC256" s="646">
        <f t="shared" si="554"/>
        <v>0</v>
      </c>
      <c r="BD256" s="647">
        <f t="shared" si="555"/>
        <v>9911.6328712656523</v>
      </c>
      <c r="BE256" s="644">
        <f t="shared" si="514"/>
        <v>0</v>
      </c>
      <c r="BF256" s="645">
        <f t="shared" si="515"/>
        <v>0</v>
      </c>
      <c r="BG256" s="646">
        <f t="shared" si="556"/>
        <v>0</v>
      </c>
      <c r="BH256" s="647">
        <f t="shared" si="516"/>
        <v>9911.6328712656523</v>
      </c>
      <c r="BI256" s="644">
        <f t="shared" si="557"/>
        <v>0</v>
      </c>
      <c r="BJ256" s="645">
        <f t="shared" si="558"/>
        <v>0</v>
      </c>
      <c r="BK256" s="646">
        <f t="shared" si="559"/>
        <v>0</v>
      </c>
      <c r="BL256" s="647">
        <f t="shared" si="517"/>
        <v>9911.6328712656523</v>
      </c>
      <c r="BM256" s="644">
        <f t="shared" si="560"/>
        <v>0</v>
      </c>
      <c r="BN256" s="645">
        <f t="shared" si="561"/>
        <v>0</v>
      </c>
      <c r="BO256" s="646">
        <f t="shared" si="562"/>
        <v>0</v>
      </c>
      <c r="BP256" s="647">
        <f t="shared" si="518"/>
        <v>9911.6328712656523</v>
      </c>
      <c r="BQ256" s="644">
        <f t="shared" si="563"/>
        <v>0</v>
      </c>
      <c r="BR256" s="645">
        <f t="shared" si="564"/>
        <v>0</v>
      </c>
      <c r="BS256" s="646">
        <f t="shared" si="565"/>
        <v>0</v>
      </c>
      <c r="BT256" s="647">
        <f t="shared" si="519"/>
        <v>9911.6328712656523</v>
      </c>
      <c r="BU256" s="662">
        <f>VLOOKUP(B256,'Afton Update'!$A$5:$AR$582,'Afton Update'!$AO$589,0)-BT256</f>
        <v>0</v>
      </c>
      <c r="BV256" s="644">
        <f t="shared" si="566"/>
        <v>21721.759743336646</v>
      </c>
      <c r="BW256" s="645">
        <f t="shared" si="483"/>
        <v>21645.368239706237</v>
      </c>
      <c r="BX256" s="644">
        <f t="shared" si="567"/>
        <v>0</v>
      </c>
      <c r="BY256" s="645">
        <f t="shared" si="568"/>
        <v>21721.759743336646</v>
      </c>
      <c r="BZ256" s="646">
        <f t="shared" si="569"/>
        <v>-190.6541946989617</v>
      </c>
      <c r="CA256" s="647">
        <f t="shared" si="570"/>
        <v>21531.105548637686</v>
      </c>
      <c r="CB256" s="644">
        <f t="shared" si="520"/>
        <v>-114.26269106855034</v>
      </c>
      <c r="CC256" s="645">
        <f t="shared" si="521"/>
        <v>0</v>
      </c>
      <c r="CD256" s="646">
        <f t="shared" si="571"/>
        <v>0</v>
      </c>
      <c r="CE256" s="647">
        <f t="shared" si="522"/>
        <v>21645.368239706237</v>
      </c>
      <c r="CF256" s="644">
        <f t="shared" si="572"/>
        <v>0</v>
      </c>
      <c r="CG256" s="645">
        <f t="shared" si="573"/>
        <v>0</v>
      </c>
      <c r="CH256" s="646">
        <f t="shared" si="574"/>
        <v>0</v>
      </c>
      <c r="CI256" s="647">
        <f t="shared" si="523"/>
        <v>21645.368239706237</v>
      </c>
      <c r="CJ256" s="644">
        <f t="shared" si="575"/>
        <v>0</v>
      </c>
      <c r="CK256" s="645">
        <f t="shared" si="576"/>
        <v>0</v>
      </c>
      <c r="CL256" s="646">
        <f t="shared" si="577"/>
        <v>0</v>
      </c>
      <c r="CM256" s="647">
        <f t="shared" si="524"/>
        <v>21645.368239706237</v>
      </c>
      <c r="CN256" s="644">
        <f t="shared" si="578"/>
        <v>0</v>
      </c>
      <c r="CO256" s="645">
        <f t="shared" si="579"/>
        <v>0</v>
      </c>
      <c r="CP256" s="646">
        <f t="shared" si="580"/>
        <v>0</v>
      </c>
      <c r="CQ256" s="647">
        <f t="shared" si="525"/>
        <v>21645.368239706237</v>
      </c>
      <c r="CS256" s="644">
        <f t="shared" si="581"/>
        <v>20220.104961370565</v>
      </c>
      <c r="CT256" s="645">
        <f t="shared" si="484"/>
        <v>18431.353014159937</v>
      </c>
      <c r="CU256" s="644">
        <f t="shared" si="582"/>
        <v>0</v>
      </c>
      <c r="CV256" s="645">
        <f t="shared" si="583"/>
        <v>20220.104961370565</v>
      </c>
      <c r="CW256" s="646">
        <f t="shared" si="584"/>
        <v>-207.06530163009919</v>
      </c>
      <c r="CX256" s="647">
        <f t="shared" si="585"/>
        <v>20013.039659740465</v>
      </c>
      <c r="CY256" s="644">
        <f t="shared" si="526"/>
        <v>0</v>
      </c>
      <c r="CZ256" s="645">
        <f t="shared" si="527"/>
        <v>20013.039659740465</v>
      </c>
      <c r="DA256" s="646">
        <f t="shared" si="586"/>
        <v>-15.710308811415716</v>
      </c>
      <c r="DB256" s="647">
        <f t="shared" si="528"/>
        <v>19997.329350929049</v>
      </c>
      <c r="DC256" s="644">
        <f t="shared" si="587"/>
        <v>0</v>
      </c>
      <c r="DD256" s="645">
        <f t="shared" si="588"/>
        <v>19997.329350929049</v>
      </c>
      <c r="DE256" s="646">
        <f t="shared" si="589"/>
        <v>-1.3548184593640341E-2</v>
      </c>
      <c r="DF256" s="647">
        <f t="shared" si="529"/>
        <v>19997.315802744455</v>
      </c>
      <c r="DG256" s="644">
        <f t="shared" si="590"/>
        <v>0</v>
      </c>
      <c r="DH256" s="645">
        <f t="shared" si="591"/>
        <v>19997.315802744455</v>
      </c>
      <c r="DI256" s="646">
        <f t="shared" si="592"/>
        <v>0</v>
      </c>
      <c r="DJ256" s="647">
        <f t="shared" si="530"/>
        <v>19997.315802744455</v>
      </c>
      <c r="DK256" s="644">
        <f t="shared" si="593"/>
        <v>0</v>
      </c>
      <c r="DL256" s="645">
        <f t="shared" si="594"/>
        <v>19997.315802744455</v>
      </c>
      <c r="DM256" s="646">
        <f t="shared" si="595"/>
        <v>0</v>
      </c>
      <c r="DN256" s="647">
        <f t="shared" si="531"/>
        <v>19997.315802744455</v>
      </c>
      <c r="DR256" s="827">
        <f t="shared" si="485"/>
        <v>91438.045941815406</v>
      </c>
      <c r="DV256" s="828">
        <f>IFERROR(VLOOKUP($B256,'Afton FY16 Final'!$A$5:$BV$587,'Afton FY16 Final'!$BV$587,0),0)</f>
        <v>91560.106002342814</v>
      </c>
      <c r="DX256" s="636">
        <f t="shared" si="473"/>
        <v>0</v>
      </c>
      <c r="DY256" s="637">
        <f t="shared" si="474"/>
        <v>0</v>
      </c>
      <c r="DZ256" s="637">
        <f t="shared" si="475"/>
        <v>0</v>
      </c>
      <c r="EA256" s="643">
        <f t="shared" si="476"/>
        <v>0</v>
      </c>
      <c r="EB256" s="637">
        <f t="shared" si="486"/>
        <v>0</v>
      </c>
      <c r="EC256" s="637">
        <f t="shared" si="487"/>
        <v>0</v>
      </c>
      <c r="ED256" s="637">
        <f t="shared" si="488"/>
        <v>0</v>
      </c>
      <c r="EE256" s="643">
        <f t="shared" si="489"/>
        <v>0</v>
      </c>
      <c r="EF256" s="637">
        <f t="shared" si="490"/>
        <v>0</v>
      </c>
      <c r="EG256" s="637">
        <f t="shared" si="491"/>
        <v>0</v>
      </c>
      <c r="EH256" s="637">
        <f t="shared" si="492"/>
        <v>0</v>
      </c>
      <c r="EI256" s="643">
        <f t="shared" si="493"/>
        <v>0</v>
      </c>
      <c r="EJ256" s="637">
        <f t="shared" si="494"/>
        <v>0</v>
      </c>
      <c r="EK256" s="637">
        <f t="shared" si="495"/>
        <v>0</v>
      </c>
      <c r="EL256" s="637">
        <f t="shared" si="496"/>
        <v>0</v>
      </c>
      <c r="EM256" s="643">
        <f t="shared" si="497"/>
        <v>0</v>
      </c>
      <c r="EN256" s="637">
        <f t="shared" si="498"/>
        <v>0</v>
      </c>
      <c r="EO256" s="637">
        <f t="shared" si="499"/>
        <v>0</v>
      </c>
      <c r="EP256" s="637">
        <f t="shared" si="500"/>
        <v>0</v>
      </c>
      <c r="EQ256" s="643">
        <f t="shared" si="501"/>
        <v>0</v>
      </c>
      <c r="ER256" s="637">
        <f t="shared" si="502"/>
        <v>0</v>
      </c>
      <c r="ES256" s="637">
        <f t="shared" si="503"/>
        <v>0</v>
      </c>
      <c r="ET256" s="637">
        <f t="shared" si="504"/>
        <v>0</v>
      </c>
      <c r="EU256" s="643">
        <f t="shared" si="477"/>
        <v>0</v>
      </c>
      <c r="EV256" s="643">
        <f t="shared" si="478"/>
        <v>0</v>
      </c>
      <c r="EX256" s="829">
        <f t="shared" si="479"/>
        <v>0</v>
      </c>
      <c r="EY256" s="638">
        <f t="shared" si="480"/>
        <v>91438.045941815406</v>
      </c>
      <c r="FC256" s="830" t="str">
        <f t="shared" si="505"/>
        <v>Y</v>
      </c>
      <c r="FE256" s="830" t="str">
        <f>IFERROR(VLOOKUP($B256,'Historical Conc Grant Elig'!$B$3:$J$707,'HH &amp; SI'!FE$2,0),"N")</f>
        <v>Y</v>
      </c>
      <c r="FF256" s="830" t="str">
        <f>IFERROR(VLOOKUP($B256,'Historical Conc Grant Elig'!$B$3:$J$707,'HH &amp; SI'!FF$2,0),"N")</f>
        <v>Y</v>
      </c>
      <c r="FG256" s="830" t="str">
        <f>IFERROR(VLOOKUP($B256,'Historical Conc Grant Elig'!$B$3:$J$707,'HH &amp; SI'!FG$2,0),"N")</f>
        <v>Y</v>
      </c>
      <c r="FH256" s="830" t="str">
        <f>IFERROR(VLOOKUP($B256,'Historical Conc Grant Elig'!$B$3:$J$707,'HH &amp; SI'!FH$2,0),"N")</f>
        <v>Y</v>
      </c>
      <c r="FI256" s="830" t="str">
        <f>IFERROR(VLOOKUP($B256,'Historical Conc Grant Elig'!$B$3:$J$707,'HH &amp; SI'!FI$2,0),"N")</f>
        <v>Y</v>
      </c>
      <c r="FJ256" s="830" t="str">
        <f>IFERROR(VLOOKUP($B256,'Historical Conc Grant Elig'!$B$3:$J$707,'HH &amp; SI'!FJ$2,0),"N")</f>
        <v>Y</v>
      </c>
      <c r="FK256" s="830" t="str">
        <f>IFERROR(VLOOKUP($B256,'Historical Conc Grant Elig'!$B$3:$J$707,'HH &amp; SI'!FK$2,0),"N")</f>
        <v>Y</v>
      </c>
      <c r="FL256" s="957" t="str">
        <f>IFERROR(VLOOKUP($B256,'Historical Conc Grant Elig'!$B$3:$J$707,'HH &amp; SI'!FL$2,0),"N")</f>
        <v>Y</v>
      </c>
    </row>
    <row r="257" spans="2:168" x14ac:dyDescent="0.25">
      <c r="B257" s="634">
        <v>78772000</v>
      </c>
      <c r="C257" s="635" t="str">
        <f>VLOOKUP($B257,'Afton Update'!$A$5:$CR$582,'Afton Update'!D$589,0)</f>
        <v>Challenge School  Inc.</v>
      </c>
      <c r="D257" s="636">
        <f>IFERROR(VLOOKUP($B257,'Afton FY16 Final'!$A$5:$BV$587,'Afton FY16 Final'!AQ$587,0),0)</f>
        <v>30363.086872219847</v>
      </c>
      <c r="E257" s="637">
        <f>IFERROR(VLOOKUP($B257,'Afton FY16 Final'!$A$5:$BV$587,'Afton FY16 Final'!AR$587,0),0)</f>
        <v>0</v>
      </c>
      <c r="F257" s="637">
        <f>IFERROR(VLOOKUP($B257,'Afton FY16 Final'!$A$5:$BV$587,'Afton FY16 Final'!AS$587,0),0)</f>
        <v>16478.403907025873</v>
      </c>
      <c r="G257" s="637">
        <f>IFERROR(VLOOKUP($B257,'Afton FY16 Final'!$A$5:$BV$587,'Afton FY16 Final'!AT$587,0),0)</f>
        <v>13836.229597738311</v>
      </c>
      <c r="H257" s="638">
        <f>IFERROR(VLOOKUP($B257,'Afton FY16 Final'!$A$5:$BV$587,'Afton FY16 Final'!AU$587,0),0)</f>
        <v>60677.720376984034</v>
      </c>
      <c r="I257" s="639" t="str">
        <f>VLOOKUP($B257,'Afton Update'!$A$5:$CR$582,'Afton Update'!BT$589,0)</f>
        <v>Y</v>
      </c>
      <c r="J257" s="640" t="str">
        <f>VLOOKUP($B257,'Afton Update'!$A$5:$CR$582,'Afton Update'!BU$589,0)</f>
        <v>N</v>
      </c>
      <c r="K257" s="640" t="str">
        <f>VLOOKUP($B257,'Afton Update'!$A$5:$CR$582,'Afton Update'!BV$589,0)</f>
        <v>Y</v>
      </c>
      <c r="L257" s="641" t="str">
        <f>VLOOKUP($B257,'Afton Update'!$A$5:$CR$582,'Afton Update'!BW$589,0)</f>
        <v>Y</v>
      </c>
      <c r="N257" s="642">
        <f>VLOOKUP($B257,'Afton Update'!$A$5:$CR$582,'Afton Update'!CB$589,0)</f>
        <v>0.85</v>
      </c>
      <c r="P257" s="636">
        <f>VLOOKUP($B257,'Afton Update'!$A$5:$CR$582,'Afton Update'!AH$589,0)</f>
        <v>23677.794056357543</v>
      </c>
      <c r="Q257" s="637" t="str">
        <f>VLOOKUP($B257,'Afton Update'!$A$5:$CR$582,'Afton Update'!AI$589,0)</f>
        <v/>
      </c>
      <c r="R257" s="637">
        <f>VLOOKUP($B257,'Afton Update'!$A$5:$CR$582,'Afton Update'!AJ$589,0)</f>
        <v>13883.053488533307</v>
      </c>
      <c r="S257" s="637">
        <f>VLOOKUP($B257,'Afton Update'!$A$5:$CR$582,'Afton Update'!AK$589,0)</f>
        <v>12923.299126746766</v>
      </c>
      <c r="T257" s="643">
        <f t="shared" si="506"/>
        <v>50484.146671637616</v>
      </c>
      <c r="V257" s="636">
        <f t="shared" si="532"/>
        <v>25808.62384138687</v>
      </c>
      <c r="W257" s="637">
        <f t="shared" si="533"/>
        <v>0</v>
      </c>
      <c r="X257" s="637">
        <f t="shared" si="534"/>
        <v>14006.643320971993</v>
      </c>
      <c r="Y257" s="637">
        <f t="shared" si="535"/>
        <v>12780.907633496759</v>
      </c>
      <c r="Z257" s="643">
        <f t="shared" si="536"/>
        <v>52596.174795855623</v>
      </c>
      <c r="AB257" s="644">
        <f t="shared" si="507"/>
        <v>23677.794056357543</v>
      </c>
      <c r="AC257" s="645">
        <f t="shared" si="481"/>
        <v>25808.62384138687</v>
      </c>
      <c r="AD257" s="644">
        <f t="shared" si="537"/>
        <v>2130.8297850293275</v>
      </c>
      <c r="AE257" s="645">
        <f t="shared" si="538"/>
        <v>0</v>
      </c>
      <c r="AF257" s="646">
        <f t="shared" si="539"/>
        <v>0</v>
      </c>
      <c r="AG257" s="647">
        <f t="shared" si="540"/>
        <v>25808.62384138687</v>
      </c>
      <c r="AH257" s="644">
        <f t="shared" si="508"/>
        <v>0</v>
      </c>
      <c r="AI257" s="645">
        <f t="shared" si="509"/>
        <v>0</v>
      </c>
      <c r="AJ257" s="646">
        <f t="shared" si="541"/>
        <v>0</v>
      </c>
      <c r="AK257" s="647">
        <f t="shared" si="510"/>
        <v>25808.62384138687</v>
      </c>
      <c r="AL257" s="644">
        <f t="shared" si="542"/>
        <v>0</v>
      </c>
      <c r="AM257" s="645">
        <f t="shared" si="543"/>
        <v>0</v>
      </c>
      <c r="AN257" s="646">
        <f t="shared" si="544"/>
        <v>0</v>
      </c>
      <c r="AO257" s="647">
        <f t="shared" si="511"/>
        <v>25808.62384138687</v>
      </c>
      <c r="AP257" s="644">
        <f t="shared" si="545"/>
        <v>0</v>
      </c>
      <c r="AQ257" s="645">
        <f t="shared" si="546"/>
        <v>0</v>
      </c>
      <c r="AR257" s="646">
        <f t="shared" si="547"/>
        <v>0</v>
      </c>
      <c r="AS257" s="647">
        <f t="shared" si="512"/>
        <v>25808.62384138687</v>
      </c>
      <c r="AT257" s="644">
        <f t="shared" si="548"/>
        <v>0</v>
      </c>
      <c r="AU257" s="645">
        <f t="shared" si="549"/>
        <v>0</v>
      </c>
      <c r="AV257" s="646">
        <f t="shared" si="550"/>
        <v>0</v>
      </c>
      <c r="AW257" s="647">
        <f t="shared" si="513"/>
        <v>25808.62384138687</v>
      </c>
      <c r="AY257" s="644">
        <f t="shared" si="551"/>
        <v>0</v>
      </c>
      <c r="AZ257" s="645">
        <f t="shared" si="482"/>
        <v>0</v>
      </c>
      <c r="BA257" s="644">
        <f t="shared" si="552"/>
        <v>0</v>
      </c>
      <c r="BB257" s="645">
        <f t="shared" si="553"/>
        <v>0</v>
      </c>
      <c r="BC257" s="646">
        <f t="shared" si="554"/>
        <v>0</v>
      </c>
      <c r="BD257" s="647">
        <f t="shared" si="555"/>
        <v>0</v>
      </c>
      <c r="BE257" s="644">
        <f t="shared" si="514"/>
        <v>0</v>
      </c>
      <c r="BF257" s="645">
        <f t="shared" si="515"/>
        <v>0</v>
      </c>
      <c r="BG257" s="646">
        <f t="shared" si="556"/>
        <v>0</v>
      </c>
      <c r="BH257" s="647">
        <f t="shared" si="516"/>
        <v>0</v>
      </c>
      <c r="BI257" s="644">
        <f t="shared" si="557"/>
        <v>0</v>
      </c>
      <c r="BJ257" s="645">
        <f t="shared" si="558"/>
        <v>0</v>
      </c>
      <c r="BK257" s="646">
        <f t="shared" si="559"/>
        <v>0</v>
      </c>
      <c r="BL257" s="647">
        <f t="shared" si="517"/>
        <v>0</v>
      </c>
      <c r="BM257" s="644">
        <f t="shared" si="560"/>
        <v>0</v>
      </c>
      <c r="BN257" s="645">
        <f t="shared" si="561"/>
        <v>0</v>
      </c>
      <c r="BO257" s="646">
        <f t="shared" si="562"/>
        <v>0</v>
      </c>
      <c r="BP257" s="647">
        <f t="shared" si="518"/>
        <v>0</v>
      </c>
      <c r="BQ257" s="644">
        <f t="shared" si="563"/>
        <v>0</v>
      </c>
      <c r="BR257" s="645">
        <f t="shared" si="564"/>
        <v>0</v>
      </c>
      <c r="BS257" s="646">
        <f t="shared" si="565"/>
        <v>0</v>
      </c>
      <c r="BT257" s="647">
        <f t="shared" si="519"/>
        <v>0</v>
      </c>
      <c r="BU257" s="662">
        <f>VLOOKUP(B257,'Afton Update'!$A$5:$AR$582,'Afton Update'!$AO$589,0)-BT257</f>
        <v>0</v>
      </c>
      <c r="BV257" s="644">
        <f t="shared" si="566"/>
        <v>13883.053488533307</v>
      </c>
      <c r="BW257" s="645">
        <f t="shared" si="483"/>
        <v>14006.643320971993</v>
      </c>
      <c r="BX257" s="644">
        <f t="shared" si="567"/>
        <v>123.58983243868533</v>
      </c>
      <c r="BY257" s="645">
        <f t="shared" si="568"/>
        <v>0</v>
      </c>
      <c r="BZ257" s="646">
        <f t="shared" si="569"/>
        <v>0</v>
      </c>
      <c r="CA257" s="647">
        <f t="shared" si="570"/>
        <v>14006.643320971993</v>
      </c>
      <c r="CB257" s="644">
        <f t="shared" si="520"/>
        <v>0</v>
      </c>
      <c r="CC257" s="645">
        <f t="shared" si="521"/>
        <v>0</v>
      </c>
      <c r="CD257" s="646">
        <f t="shared" si="571"/>
        <v>0</v>
      </c>
      <c r="CE257" s="647">
        <f t="shared" si="522"/>
        <v>14006.643320971993</v>
      </c>
      <c r="CF257" s="644">
        <f t="shared" si="572"/>
        <v>0</v>
      </c>
      <c r="CG257" s="645">
        <f t="shared" si="573"/>
        <v>0</v>
      </c>
      <c r="CH257" s="646">
        <f t="shared" si="574"/>
        <v>0</v>
      </c>
      <c r="CI257" s="647">
        <f t="shared" si="523"/>
        <v>14006.643320971993</v>
      </c>
      <c r="CJ257" s="644">
        <f t="shared" si="575"/>
        <v>0</v>
      </c>
      <c r="CK257" s="645">
        <f t="shared" si="576"/>
        <v>0</v>
      </c>
      <c r="CL257" s="646">
        <f t="shared" si="577"/>
        <v>0</v>
      </c>
      <c r="CM257" s="647">
        <f t="shared" si="524"/>
        <v>14006.643320971993</v>
      </c>
      <c r="CN257" s="644">
        <f t="shared" si="578"/>
        <v>0</v>
      </c>
      <c r="CO257" s="645">
        <f t="shared" si="579"/>
        <v>0</v>
      </c>
      <c r="CP257" s="646">
        <f t="shared" si="580"/>
        <v>0</v>
      </c>
      <c r="CQ257" s="647">
        <f t="shared" si="525"/>
        <v>14006.643320971993</v>
      </c>
      <c r="CS257" s="644">
        <f t="shared" si="581"/>
        <v>12923.299126746766</v>
      </c>
      <c r="CT257" s="645">
        <f t="shared" si="484"/>
        <v>11760.795158077564</v>
      </c>
      <c r="CU257" s="644">
        <f t="shared" si="582"/>
        <v>0</v>
      </c>
      <c r="CV257" s="645">
        <f t="shared" si="583"/>
        <v>12923.299126746766</v>
      </c>
      <c r="CW257" s="646">
        <f t="shared" si="584"/>
        <v>-132.34188629822194</v>
      </c>
      <c r="CX257" s="647">
        <f t="shared" si="585"/>
        <v>12790.957240448544</v>
      </c>
      <c r="CY257" s="644">
        <f t="shared" si="526"/>
        <v>0</v>
      </c>
      <c r="CZ257" s="645">
        <f t="shared" si="527"/>
        <v>12790.957240448544</v>
      </c>
      <c r="DA257" s="646">
        <f t="shared" si="586"/>
        <v>-10.040947884858507</v>
      </c>
      <c r="DB257" s="647">
        <f t="shared" si="528"/>
        <v>12780.916292563687</v>
      </c>
      <c r="DC257" s="644">
        <f t="shared" si="587"/>
        <v>0</v>
      </c>
      <c r="DD257" s="645">
        <f t="shared" si="588"/>
        <v>12780.916292563687</v>
      </c>
      <c r="DE257" s="646">
        <f t="shared" si="589"/>
        <v>-8.6590669268280813E-3</v>
      </c>
      <c r="DF257" s="647">
        <f t="shared" si="529"/>
        <v>12780.907633496759</v>
      </c>
      <c r="DG257" s="644">
        <f t="shared" si="590"/>
        <v>0</v>
      </c>
      <c r="DH257" s="645">
        <f t="shared" si="591"/>
        <v>12780.907633496759</v>
      </c>
      <c r="DI257" s="646">
        <f t="shared" si="592"/>
        <v>0</v>
      </c>
      <c r="DJ257" s="647">
        <f t="shared" si="530"/>
        <v>12780.907633496759</v>
      </c>
      <c r="DK257" s="644">
        <f t="shared" si="593"/>
        <v>0</v>
      </c>
      <c r="DL257" s="645">
        <f t="shared" si="594"/>
        <v>12780.907633496759</v>
      </c>
      <c r="DM257" s="646">
        <f t="shared" si="595"/>
        <v>0</v>
      </c>
      <c r="DN257" s="647">
        <f t="shared" si="531"/>
        <v>12780.907633496759</v>
      </c>
      <c r="DR257" s="827">
        <f t="shared" si="485"/>
        <v>52596.174795855623</v>
      </c>
      <c r="DV257" s="828">
        <f>IFERROR(VLOOKUP($B257,'Afton FY16 Final'!$A$5:$BV$587,'Afton FY16 Final'!$BV$587,0),0)</f>
        <v>57767.98698879459</v>
      </c>
      <c r="DX257" s="636">
        <f t="shared" si="473"/>
        <v>0</v>
      </c>
      <c r="DY257" s="637">
        <f t="shared" si="474"/>
        <v>0</v>
      </c>
      <c r="DZ257" s="637">
        <f t="shared" si="475"/>
        <v>0</v>
      </c>
      <c r="EA257" s="643">
        <f t="shared" si="476"/>
        <v>0</v>
      </c>
      <c r="EB257" s="637">
        <f t="shared" si="486"/>
        <v>0</v>
      </c>
      <c r="EC257" s="637">
        <f t="shared" si="487"/>
        <v>0</v>
      </c>
      <c r="ED257" s="637">
        <f t="shared" si="488"/>
        <v>0</v>
      </c>
      <c r="EE257" s="643">
        <f t="shared" si="489"/>
        <v>0</v>
      </c>
      <c r="EF257" s="637">
        <f t="shared" si="490"/>
        <v>0</v>
      </c>
      <c r="EG257" s="637">
        <f t="shared" si="491"/>
        <v>0</v>
      </c>
      <c r="EH257" s="637">
        <f t="shared" si="492"/>
        <v>0</v>
      </c>
      <c r="EI257" s="643">
        <f t="shared" si="493"/>
        <v>0</v>
      </c>
      <c r="EJ257" s="637">
        <f t="shared" si="494"/>
        <v>0</v>
      </c>
      <c r="EK257" s="637">
        <f t="shared" si="495"/>
        <v>0</v>
      </c>
      <c r="EL257" s="637">
        <f t="shared" si="496"/>
        <v>0</v>
      </c>
      <c r="EM257" s="643">
        <f t="shared" si="497"/>
        <v>0</v>
      </c>
      <c r="EN257" s="637">
        <f t="shared" si="498"/>
        <v>0</v>
      </c>
      <c r="EO257" s="637">
        <f t="shared" si="499"/>
        <v>0</v>
      </c>
      <c r="EP257" s="637">
        <f t="shared" si="500"/>
        <v>0</v>
      </c>
      <c r="EQ257" s="643">
        <f t="shared" si="501"/>
        <v>0</v>
      </c>
      <c r="ER257" s="637">
        <f t="shared" si="502"/>
        <v>0</v>
      </c>
      <c r="ES257" s="637">
        <f t="shared" si="503"/>
        <v>0</v>
      </c>
      <c r="ET257" s="637">
        <f t="shared" si="504"/>
        <v>0</v>
      </c>
      <c r="EU257" s="643">
        <f t="shared" si="477"/>
        <v>0</v>
      </c>
      <c r="EV257" s="643">
        <f t="shared" si="478"/>
        <v>0</v>
      </c>
      <c r="EX257" s="829">
        <f t="shared" si="479"/>
        <v>0</v>
      </c>
      <c r="EY257" s="638">
        <f t="shared" si="480"/>
        <v>52596.174795855623</v>
      </c>
      <c r="FC257" s="830" t="str">
        <f t="shared" si="505"/>
        <v>N</v>
      </c>
      <c r="FE257" s="830" t="str">
        <f>IFERROR(VLOOKUP($B257,'Historical Conc Grant Elig'!$B$3:$J$707,'HH &amp; SI'!FE$2,0),"N")</f>
        <v>N</v>
      </c>
      <c r="FF257" s="830" t="str">
        <f>IFERROR(VLOOKUP($B257,'Historical Conc Grant Elig'!$B$3:$J$707,'HH &amp; SI'!FF$2,0),"N")</f>
        <v>N</v>
      </c>
      <c r="FG257" s="830" t="str">
        <f>IFERROR(VLOOKUP($B257,'Historical Conc Grant Elig'!$B$3:$J$707,'HH &amp; SI'!FG$2,0),"N")</f>
        <v>N</v>
      </c>
      <c r="FH257" s="830" t="str">
        <f>IFERROR(VLOOKUP($B257,'Historical Conc Grant Elig'!$B$3:$J$707,'HH &amp; SI'!FH$2,0),"N")</f>
        <v>N</v>
      </c>
      <c r="FI257" s="830" t="str">
        <f>IFERROR(VLOOKUP($B257,'Historical Conc Grant Elig'!$B$3:$J$707,'HH &amp; SI'!FI$2,0),"N")</f>
        <v>N</v>
      </c>
      <c r="FJ257" s="830" t="str">
        <f>IFERROR(VLOOKUP($B257,'Historical Conc Grant Elig'!$B$3:$J$707,'HH &amp; SI'!FJ$2,0),"N")</f>
        <v>N</v>
      </c>
      <c r="FK257" s="830" t="str">
        <f>IFERROR(VLOOKUP($B257,'Historical Conc Grant Elig'!$B$3:$J$707,'HH &amp; SI'!FK$2,0),"N")</f>
        <v>N</v>
      </c>
      <c r="FL257" s="957" t="str">
        <f>IFERROR(VLOOKUP($B257,'Historical Conc Grant Elig'!$B$3:$J$707,'HH &amp; SI'!FL$2,0),"N")</f>
        <v>N</v>
      </c>
    </row>
    <row r="258" spans="2:168" x14ac:dyDescent="0.25">
      <c r="B258" s="634">
        <v>78774000</v>
      </c>
      <c r="C258" s="635" t="str">
        <f>VLOOKUP($B258,'Afton Update'!$A$5:$CR$582,'Afton Update'!D$589,0)</f>
        <v>Gem Charter School  Inc.</v>
      </c>
      <c r="D258" s="636">
        <f>IFERROR(VLOOKUP($B258,'Afton FY16 Final'!$A$5:$BV$587,'Afton FY16 Final'!AQ$587,0),0)</f>
        <v>7048.4892919374342</v>
      </c>
      <c r="E258" s="637">
        <f>IFERROR(VLOOKUP($B258,'Afton FY16 Final'!$A$5:$BV$587,'Afton FY16 Final'!AR$587,0),0)</f>
        <v>3067.3319839446317</v>
      </c>
      <c r="F258" s="637">
        <f>IFERROR(VLOOKUP($B258,'Afton FY16 Final'!$A$5:$BV$587,'Afton FY16 Final'!AS$587,0),0)</f>
        <v>3737.2120051856709</v>
      </c>
      <c r="G258" s="637">
        <f>IFERROR(VLOOKUP($B258,'Afton FY16 Final'!$A$5:$BV$587,'Afton FY16 Final'!AT$587,0),0)</f>
        <v>3600.778041707425</v>
      </c>
      <c r="H258" s="638">
        <f>IFERROR(VLOOKUP($B258,'Afton FY16 Final'!$A$5:$BV$587,'Afton FY16 Final'!AU$587,0),0)</f>
        <v>17453.811322775164</v>
      </c>
      <c r="I258" s="639" t="str">
        <f>VLOOKUP($B258,'Afton Update'!$A$5:$CR$582,'Afton Update'!BT$589,0)</f>
        <v>Y</v>
      </c>
      <c r="J258" s="640" t="str">
        <f>VLOOKUP($B258,'Afton Update'!$A$5:$CR$582,'Afton Update'!BU$589,0)</f>
        <v>Y</v>
      </c>
      <c r="K258" s="640" t="str">
        <f>VLOOKUP($B258,'Afton Update'!$A$5:$CR$582,'Afton Update'!BV$589,0)</f>
        <v>Y</v>
      </c>
      <c r="L258" s="641" t="str">
        <f>VLOOKUP($B258,'Afton Update'!$A$5:$CR$582,'Afton Update'!BW$589,0)</f>
        <v>Y</v>
      </c>
      <c r="N258" s="642">
        <f>VLOOKUP($B258,'Afton Update'!$A$5:$CR$582,'Afton Update'!CB$589,0)</f>
        <v>0.95</v>
      </c>
      <c r="P258" s="636">
        <f>VLOOKUP($B258,'Afton Update'!$A$5:$CR$582,'Afton Update'!AH$589,0)</f>
        <v>5500.9016494568032</v>
      </c>
      <c r="Q258" s="637">
        <f>VLOOKUP($B258,'Afton Update'!$A$5:$CR$582,'Afton Update'!AI$589,0)</f>
        <v>3268.3989977706519</v>
      </c>
      <c r="R258" s="637">
        <f>VLOOKUP($B258,'Afton Update'!$A$5:$CR$582,'Afton Update'!AJ$589,0)</f>
        <v>3244.8092855859163</v>
      </c>
      <c r="S258" s="637">
        <f>VLOOKUP($B258,'Afton Update'!$A$5:$CR$582,'Afton Update'!AK$589,0)</f>
        <v>3020.4912083287495</v>
      </c>
      <c r="T258" s="643">
        <f t="shared" si="506"/>
        <v>15034.60114114212</v>
      </c>
      <c r="V258" s="636">
        <f t="shared" si="532"/>
        <v>6696.0648273405623</v>
      </c>
      <c r="W258" s="637">
        <f t="shared" si="533"/>
        <v>3160.7498843621706</v>
      </c>
      <c r="X258" s="637">
        <f t="shared" si="534"/>
        <v>3550.3514049263872</v>
      </c>
      <c r="Y258" s="637">
        <f t="shared" si="535"/>
        <v>3420.7391396220537</v>
      </c>
      <c r="Z258" s="643">
        <f t="shared" si="536"/>
        <v>16827.905256251172</v>
      </c>
      <c r="AB258" s="644">
        <f t="shared" si="507"/>
        <v>5500.9016494568032</v>
      </c>
      <c r="AC258" s="645">
        <f t="shared" si="481"/>
        <v>6696.0648273405623</v>
      </c>
      <c r="AD258" s="644">
        <f t="shared" si="537"/>
        <v>1195.1631778837591</v>
      </c>
      <c r="AE258" s="645">
        <f t="shared" si="538"/>
        <v>0</v>
      </c>
      <c r="AF258" s="646">
        <f t="shared" si="539"/>
        <v>0</v>
      </c>
      <c r="AG258" s="647">
        <f t="shared" si="540"/>
        <v>6696.0648273405623</v>
      </c>
      <c r="AH258" s="644">
        <f t="shared" si="508"/>
        <v>0</v>
      </c>
      <c r="AI258" s="645">
        <f t="shared" si="509"/>
        <v>0</v>
      </c>
      <c r="AJ258" s="646">
        <f t="shared" si="541"/>
        <v>0</v>
      </c>
      <c r="AK258" s="647">
        <f t="shared" si="510"/>
        <v>6696.0648273405623</v>
      </c>
      <c r="AL258" s="644">
        <f t="shared" si="542"/>
        <v>0</v>
      </c>
      <c r="AM258" s="645">
        <f t="shared" si="543"/>
        <v>0</v>
      </c>
      <c r="AN258" s="646">
        <f t="shared" si="544"/>
        <v>0</v>
      </c>
      <c r="AO258" s="647">
        <f t="shared" si="511"/>
        <v>6696.0648273405623</v>
      </c>
      <c r="AP258" s="644">
        <f t="shared" si="545"/>
        <v>0</v>
      </c>
      <c r="AQ258" s="645">
        <f t="shared" si="546"/>
        <v>0</v>
      </c>
      <c r="AR258" s="646">
        <f t="shared" si="547"/>
        <v>0</v>
      </c>
      <c r="AS258" s="647">
        <f t="shared" si="512"/>
        <v>6696.0648273405623</v>
      </c>
      <c r="AT258" s="644">
        <f t="shared" si="548"/>
        <v>0</v>
      </c>
      <c r="AU258" s="645">
        <f t="shared" si="549"/>
        <v>0</v>
      </c>
      <c r="AV258" s="646">
        <f t="shared" si="550"/>
        <v>0</v>
      </c>
      <c r="AW258" s="647">
        <f t="shared" si="513"/>
        <v>6696.0648273405623</v>
      </c>
      <c r="AY258" s="644">
        <f t="shared" si="551"/>
        <v>3268.3989977706519</v>
      </c>
      <c r="AZ258" s="645">
        <f t="shared" si="482"/>
        <v>2913.9653847474001</v>
      </c>
      <c r="BA258" s="644">
        <f t="shared" si="552"/>
        <v>0</v>
      </c>
      <c r="BB258" s="645">
        <f t="shared" si="553"/>
        <v>3268.3989977706519</v>
      </c>
      <c r="BC258" s="646">
        <f t="shared" si="554"/>
        <v>-23.504009703940714</v>
      </c>
      <c r="BD258" s="647">
        <f t="shared" si="555"/>
        <v>3244.894988066711</v>
      </c>
      <c r="BE258" s="644">
        <f t="shared" si="514"/>
        <v>0</v>
      </c>
      <c r="BF258" s="645">
        <f t="shared" si="515"/>
        <v>3244.894988066711</v>
      </c>
      <c r="BG258" s="646">
        <f t="shared" si="556"/>
        <v>-77.290754217111314</v>
      </c>
      <c r="BH258" s="647">
        <f t="shared" si="516"/>
        <v>3167.6042338495995</v>
      </c>
      <c r="BI258" s="644">
        <f t="shared" si="557"/>
        <v>0</v>
      </c>
      <c r="BJ258" s="645">
        <f t="shared" si="558"/>
        <v>3167.6042338495995</v>
      </c>
      <c r="BK258" s="646">
        <f t="shared" si="559"/>
        <v>-6.709729748863853</v>
      </c>
      <c r="BL258" s="647">
        <f t="shared" si="517"/>
        <v>3160.8945041007355</v>
      </c>
      <c r="BM258" s="644">
        <f t="shared" si="560"/>
        <v>0</v>
      </c>
      <c r="BN258" s="645">
        <f t="shared" si="561"/>
        <v>3160.8945041007355</v>
      </c>
      <c r="BO258" s="646">
        <f t="shared" si="562"/>
        <v>-0.14461973856471672</v>
      </c>
      <c r="BP258" s="647">
        <f t="shared" si="518"/>
        <v>3160.7498843621706</v>
      </c>
      <c r="BQ258" s="644">
        <f t="shared" si="563"/>
        <v>0</v>
      </c>
      <c r="BR258" s="645">
        <f t="shared" si="564"/>
        <v>3160.7498843621706</v>
      </c>
      <c r="BS258" s="646">
        <f t="shared" si="565"/>
        <v>0</v>
      </c>
      <c r="BT258" s="647">
        <f t="shared" si="519"/>
        <v>3160.7498843621706</v>
      </c>
      <c r="BU258" s="662">
        <f>VLOOKUP(B258,'Afton Update'!$A$5:$AR$582,'Afton Update'!$AO$589,0)-BT258</f>
        <v>0</v>
      </c>
      <c r="BV258" s="644">
        <f t="shared" si="566"/>
        <v>3244.8092855859163</v>
      </c>
      <c r="BW258" s="645">
        <f t="shared" si="483"/>
        <v>3550.3514049263872</v>
      </c>
      <c r="BX258" s="644">
        <f t="shared" si="567"/>
        <v>305.54211934047089</v>
      </c>
      <c r="BY258" s="645">
        <f t="shared" si="568"/>
        <v>0</v>
      </c>
      <c r="BZ258" s="646">
        <f t="shared" si="569"/>
        <v>0</v>
      </c>
      <c r="CA258" s="647">
        <f t="shared" si="570"/>
        <v>3550.3514049263872</v>
      </c>
      <c r="CB258" s="644">
        <f t="shared" si="520"/>
        <v>0</v>
      </c>
      <c r="CC258" s="645">
        <f t="shared" si="521"/>
        <v>0</v>
      </c>
      <c r="CD258" s="646">
        <f t="shared" si="571"/>
        <v>0</v>
      </c>
      <c r="CE258" s="647">
        <f t="shared" si="522"/>
        <v>3550.3514049263872</v>
      </c>
      <c r="CF258" s="644">
        <f t="shared" si="572"/>
        <v>0</v>
      </c>
      <c r="CG258" s="645">
        <f t="shared" si="573"/>
        <v>0</v>
      </c>
      <c r="CH258" s="646">
        <f t="shared" si="574"/>
        <v>0</v>
      </c>
      <c r="CI258" s="647">
        <f t="shared" si="523"/>
        <v>3550.3514049263872</v>
      </c>
      <c r="CJ258" s="644">
        <f t="shared" si="575"/>
        <v>0</v>
      </c>
      <c r="CK258" s="645">
        <f t="shared" si="576"/>
        <v>0</v>
      </c>
      <c r="CL258" s="646">
        <f t="shared" si="577"/>
        <v>0</v>
      </c>
      <c r="CM258" s="647">
        <f t="shared" si="524"/>
        <v>3550.3514049263872</v>
      </c>
      <c r="CN258" s="644">
        <f t="shared" si="578"/>
        <v>0</v>
      </c>
      <c r="CO258" s="645">
        <f t="shared" si="579"/>
        <v>0</v>
      </c>
      <c r="CP258" s="646">
        <f t="shared" si="580"/>
        <v>0</v>
      </c>
      <c r="CQ258" s="647">
        <f t="shared" si="525"/>
        <v>3550.3514049263872</v>
      </c>
      <c r="CS258" s="644">
        <f t="shared" si="581"/>
        <v>3020.4912083287495</v>
      </c>
      <c r="CT258" s="645">
        <f t="shared" si="484"/>
        <v>3420.7391396220537</v>
      </c>
      <c r="CU258" s="644">
        <f t="shared" si="582"/>
        <v>400.24793129330419</v>
      </c>
      <c r="CV258" s="645">
        <f t="shared" si="583"/>
        <v>0</v>
      </c>
      <c r="CW258" s="646">
        <f t="shared" si="584"/>
        <v>0</v>
      </c>
      <c r="CX258" s="647">
        <f t="shared" si="585"/>
        <v>3420.7391396220537</v>
      </c>
      <c r="CY258" s="644">
        <f t="shared" si="526"/>
        <v>0</v>
      </c>
      <c r="CZ258" s="645">
        <f t="shared" si="527"/>
        <v>0</v>
      </c>
      <c r="DA258" s="646">
        <f t="shared" si="586"/>
        <v>0</v>
      </c>
      <c r="DB258" s="647">
        <f t="shared" si="528"/>
        <v>3420.7391396220537</v>
      </c>
      <c r="DC258" s="644">
        <f t="shared" si="587"/>
        <v>0</v>
      </c>
      <c r="DD258" s="645">
        <f t="shared" si="588"/>
        <v>0</v>
      </c>
      <c r="DE258" s="646">
        <f t="shared" si="589"/>
        <v>0</v>
      </c>
      <c r="DF258" s="647">
        <f t="shared" si="529"/>
        <v>3420.7391396220537</v>
      </c>
      <c r="DG258" s="644">
        <f t="shared" si="590"/>
        <v>0</v>
      </c>
      <c r="DH258" s="645">
        <f t="shared" si="591"/>
        <v>0</v>
      </c>
      <c r="DI258" s="646">
        <f t="shared" si="592"/>
        <v>0</v>
      </c>
      <c r="DJ258" s="647">
        <f t="shared" si="530"/>
        <v>3420.7391396220537</v>
      </c>
      <c r="DK258" s="644">
        <f t="shared" si="593"/>
        <v>0</v>
      </c>
      <c r="DL258" s="645">
        <f t="shared" si="594"/>
        <v>0</v>
      </c>
      <c r="DM258" s="646">
        <f t="shared" si="595"/>
        <v>0</v>
      </c>
      <c r="DN258" s="647">
        <f t="shared" si="531"/>
        <v>3420.7391396220537</v>
      </c>
      <c r="DR258" s="827">
        <f t="shared" si="485"/>
        <v>16827.905256251172</v>
      </c>
      <c r="DV258" s="828">
        <f>IFERROR(VLOOKUP($B258,'Afton FY16 Final'!$A$5:$BV$587,'Afton FY16 Final'!$BV$587,0),0)</f>
        <v>14241.385272485652</v>
      </c>
      <c r="DX258" s="636">
        <f t="shared" si="473"/>
        <v>16827.905256251172</v>
      </c>
      <c r="DY258" s="637">
        <f t="shared" si="474"/>
        <v>2586.51998376552</v>
      </c>
      <c r="DZ258" s="637">
        <f t="shared" si="475"/>
        <v>14241.385272485652</v>
      </c>
      <c r="EA258" s="643">
        <f t="shared" si="476"/>
        <v>15932.849293700023</v>
      </c>
      <c r="EB258" s="637">
        <f t="shared" si="486"/>
        <v>0</v>
      </c>
      <c r="EC258" s="637">
        <f t="shared" si="487"/>
        <v>15932.849293700023</v>
      </c>
      <c r="ED258" s="637">
        <f t="shared" si="488"/>
        <v>15885.33848842041</v>
      </c>
      <c r="EE258" s="643">
        <f t="shared" si="489"/>
        <v>15885.33848842041</v>
      </c>
      <c r="EF258" s="637">
        <f t="shared" si="490"/>
        <v>0</v>
      </c>
      <c r="EG258" s="637">
        <f t="shared" si="491"/>
        <v>15885.33848842041</v>
      </c>
      <c r="EH258" s="637">
        <f t="shared" si="492"/>
        <v>15885.322100136742</v>
      </c>
      <c r="EI258" s="643">
        <f t="shared" si="493"/>
        <v>15885.322100136742</v>
      </c>
      <c r="EJ258" s="637">
        <f t="shared" si="494"/>
        <v>0</v>
      </c>
      <c r="EK258" s="637">
        <f t="shared" si="495"/>
        <v>15885.322100136742</v>
      </c>
      <c r="EL258" s="637">
        <f t="shared" si="496"/>
        <v>15885.322100136718</v>
      </c>
      <c r="EM258" s="643">
        <f t="shared" si="497"/>
        <v>15885.322100136718</v>
      </c>
      <c r="EN258" s="637">
        <f t="shared" si="498"/>
        <v>0</v>
      </c>
      <c r="EO258" s="637">
        <f t="shared" si="499"/>
        <v>15885.322100136718</v>
      </c>
      <c r="EP258" s="637">
        <f t="shared" si="500"/>
        <v>15885.322100136744</v>
      </c>
      <c r="EQ258" s="643">
        <f t="shared" si="501"/>
        <v>15885.322100136744</v>
      </c>
      <c r="ER258" s="637">
        <f t="shared" si="502"/>
        <v>0</v>
      </c>
      <c r="ES258" s="637">
        <f t="shared" si="503"/>
        <v>15885.322100136744</v>
      </c>
      <c r="ET258" s="637">
        <f t="shared" si="504"/>
        <v>15885.322100136718</v>
      </c>
      <c r="EU258" s="643">
        <f t="shared" si="477"/>
        <v>15885.322100136718</v>
      </c>
      <c r="EV258" s="643">
        <f t="shared" si="478"/>
        <v>0</v>
      </c>
      <c r="EX258" s="829">
        <f t="shared" si="479"/>
        <v>942.58315611445323</v>
      </c>
      <c r="EY258" s="638">
        <f t="shared" si="480"/>
        <v>15885.322100136718</v>
      </c>
      <c r="FC258" s="830" t="str">
        <f t="shared" si="505"/>
        <v>Y</v>
      </c>
      <c r="FE258" s="830" t="str">
        <f>IFERROR(VLOOKUP($B258,'Historical Conc Grant Elig'!$B$3:$J$707,'HH &amp; SI'!FE$2,0),"N")</f>
        <v>N</v>
      </c>
      <c r="FF258" s="830" t="str">
        <f>IFERROR(VLOOKUP($B258,'Historical Conc Grant Elig'!$B$3:$J$707,'HH &amp; SI'!FF$2,0),"N")</f>
        <v>N</v>
      </c>
      <c r="FG258" s="830" t="str">
        <f>IFERROR(VLOOKUP($B258,'Historical Conc Grant Elig'!$B$3:$J$707,'HH &amp; SI'!FG$2,0),"N")</f>
        <v>Y</v>
      </c>
      <c r="FH258" s="830" t="str">
        <f>IFERROR(VLOOKUP($B258,'Historical Conc Grant Elig'!$B$3:$J$707,'HH &amp; SI'!FH$2,0),"N")</f>
        <v>Y</v>
      </c>
      <c r="FI258" s="830" t="str">
        <f>IFERROR(VLOOKUP($B258,'Historical Conc Grant Elig'!$B$3:$J$707,'HH &amp; SI'!FI$2,0),"N")</f>
        <v>Y</v>
      </c>
      <c r="FJ258" s="830" t="str">
        <f>IFERROR(VLOOKUP($B258,'Historical Conc Grant Elig'!$B$3:$J$707,'HH &amp; SI'!FJ$2,0),"N")</f>
        <v>Y</v>
      </c>
      <c r="FK258" s="830" t="str">
        <f>IFERROR(VLOOKUP($B258,'Historical Conc Grant Elig'!$B$3:$J$707,'HH &amp; SI'!FK$2,0),"N")</f>
        <v>Y</v>
      </c>
      <c r="FL258" s="957" t="str">
        <f>IFERROR(VLOOKUP($B258,'Historical Conc Grant Elig'!$B$3:$J$707,'HH &amp; SI'!FL$2,0),"N")</f>
        <v>Y</v>
      </c>
    </row>
    <row r="259" spans="2:168" x14ac:dyDescent="0.25">
      <c r="B259" s="634">
        <v>78776000</v>
      </c>
      <c r="C259" s="635" t="str">
        <f>VLOOKUP($B259,'Afton Update'!$A$5:$CR$582,'Afton Update'!D$589,0)</f>
        <v>Phoenix School of Academic Excellence The</v>
      </c>
      <c r="D259" s="636">
        <f>IFERROR(VLOOKUP($B259,'Afton FY16 Final'!$A$5:$BV$587,'Afton FY16 Final'!AQ$587,0),0)</f>
        <v>11722.526119799011</v>
      </c>
      <c r="E259" s="637">
        <f>IFERROR(VLOOKUP($B259,'Afton FY16 Final'!$A$5:$BV$587,'Afton FY16 Final'!AR$587,0),0)</f>
        <v>3741.3419241665479</v>
      </c>
      <c r="F259" s="637">
        <f>IFERROR(VLOOKUP($B259,'Afton FY16 Final'!$A$5:$BV$587,'Afton FY16 Final'!AS$587,0),0)</f>
        <v>6215.4546217624056</v>
      </c>
      <c r="G259" s="637">
        <f>IFERROR(VLOOKUP($B259,'Afton FY16 Final'!$A$5:$BV$587,'Afton FY16 Final'!AT$587,0),0)</f>
        <v>5988.5477436699884</v>
      </c>
      <c r="H259" s="638">
        <f>IFERROR(VLOOKUP($B259,'Afton FY16 Final'!$A$5:$BV$587,'Afton FY16 Final'!AU$587,0),0)</f>
        <v>27667.87040939795</v>
      </c>
      <c r="I259" s="639" t="str">
        <f>VLOOKUP($B259,'Afton Update'!$A$5:$CR$582,'Afton Update'!BT$589,0)</f>
        <v>Y</v>
      </c>
      <c r="J259" s="640" t="str">
        <f>VLOOKUP($B259,'Afton Update'!$A$5:$CR$582,'Afton Update'!BU$589,0)</f>
        <v>Y</v>
      </c>
      <c r="K259" s="640" t="str">
        <f>VLOOKUP($B259,'Afton Update'!$A$5:$CR$582,'Afton Update'!BV$589,0)</f>
        <v>Y</v>
      </c>
      <c r="L259" s="641" t="str">
        <f>VLOOKUP($B259,'Afton Update'!$A$5:$CR$582,'Afton Update'!BW$589,0)</f>
        <v>Y</v>
      </c>
      <c r="N259" s="642">
        <f>VLOOKUP($B259,'Afton Update'!$A$5:$CR$582,'Afton Update'!CB$589,0)</f>
        <v>0.9</v>
      </c>
      <c r="P259" s="636">
        <f>VLOOKUP($B259,'Afton Update'!$A$5:$CR$582,'Afton Update'!AH$589,0)</f>
        <v>5261.7320125238984</v>
      </c>
      <c r="Q259" s="637">
        <f>VLOOKUP($B259,'Afton Update'!$A$5:$CR$582,'Afton Update'!AI$589,0)</f>
        <v>3218.9391014689154</v>
      </c>
      <c r="R259" s="637">
        <f>VLOOKUP($B259,'Afton Update'!$A$5:$CR$582,'Afton Update'!AJ$589,0)</f>
        <v>3104.8323881787137</v>
      </c>
      <c r="S259" s="637">
        <f>VLOOKUP($B259,'Afton Update'!$A$5:$CR$582,'Afton Update'!AK$589,0)</f>
        <v>2890.1911041390385</v>
      </c>
      <c r="T259" s="643">
        <f t="shared" si="506"/>
        <v>14475.694606310564</v>
      </c>
      <c r="V259" s="636">
        <f t="shared" si="532"/>
        <v>10550.273507819111</v>
      </c>
      <c r="W259" s="637">
        <f t="shared" si="533"/>
        <v>3367.2077317498934</v>
      </c>
      <c r="X259" s="637">
        <f t="shared" si="534"/>
        <v>5593.9091595861655</v>
      </c>
      <c r="Y259" s="637">
        <f t="shared" si="535"/>
        <v>5389.6929693029897</v>
      </c>
      <c r="Z259" s="643">
        <f t="shared" si="536"/>
        <v>24901.083368458159</v>
      </c>
      <c r="AB259" s="644">
        <f t="shared" si="507"/>
        <v>5261.7320125238984</v>
      </c>
      <c r="AC259" s="645">
        <f t="shared" si="481"/>
        <v>10550.273507819111</v>
      </c>
      <c r="AD259" s="644">
        <f t="shared" si="537"/>
        <v>5288.5414952952124</v>
      </c>
      <c r="AE259" s="645">
        <f t="shared" si="538"/>
        <v>0</v>
      </c>
      <c r="AF259" s="646">
        <f t="shared" si="539"/>
        <v>0</v>
      </c>
      <c r="AG259" s="647">
        <f t="shared" si="540"/>
        <v>10550.273507819111</v>
      </c>
      <c r="AH259" s="644">
        <f t="shared" si="508"/>
        <v>0</v>
      </c>
      <c r="AI259" s="645">
        <f t="shared" si="509"/>
        <v>0</v>
      </c>
      <c r="AJ259" s="646">
        <f t="shared" si="541"/>
        <v>0</v>
      </c>
      <c r="AK259" s="647">
        <f t="shared" si="510"/>
        <v>10550.273507819111</v>
      </c>
      <c r="AL259" s="644">
        <f t="shared" si="542"/>
        <v>0</v>
      </c>
      <c r="AM259" s="645">
        <f t="shared" si="543"/>
        <v>0</v>
      </c>
      <c r="AN259" s="646">
        <f t="shared" si="544"/>
        <v>0</v>
      </c>
      <c r="AO259" s="647">
        <f t="shared" si="511"/>
        <v>10550.273507819111</v>
      </c>
      <c r="AP259" s="644">
        <f t="shared" si="545"/>
        <v>0</v>
      </c>
      <c r="AQ259" s="645">
        <f t="shared" si="546"/>
        <v>0</v>
      </c>
      <c r="AR259" s="646">
        <f t="shared" si="547"/>
        <v>0</v>
      </c>
      <c r="AS259" s="647">
        <f t="shared" si="512"/>
        <v>10550.273507819111</v>
      </c>
      <c r="AT259" s="644">
        <f t="shared" si="548"/>
        <v>0</v>
      </c>
      <c r="AU259" s="645">
        <f t="shared" si="549"/>
        <v>0</v>
      </c>
      <c r="AV259" s="646">
        <f t="shared" si="550"/>
        <v>0</v>
      </c>
      <c r="AW259" s="647">
        <f t="shared" si="513"/>
        <v>10550.273507819111</v>
      </c>
      <c r="AY259" s="644">
        <f t="shared" si="551"/>
        <v>3218.9391014689154</v>
      </c>
      <c r="AZ259" s="645">
        <f t="shared" si="482"/>
        <v>3367.2077317498934</v>
      </c>
      <c r="BA259" s="644">
        <f t="shared" si="552"/>
        <v>148.26863028097796</v>
      </c>
      <c r="BB259" s="645">
        <f t="shared" si="553"/>
        <v>0</v>
      </c>
      <c r="BC259" s="646">
        <f t="shared" si="554"/>
        <v>0</v>
      </c>
      <c r="BD259" s="647">
        <f t="shared" si="555"/>
        <v>3367.2077317498934</v>
      </c>
      <c r="BE259" s="644">
        <f t="shared" si="514"/>
        <v>0</v>
      </c>
      <c r="BF259" s="645">
        <f t="shared" si="515"/>
        <v>0</v>
      </c>
      <c r="BG259" s="646">
        <f t="shared" si="556"/>
        <v>0</v>
      </c>
      <c r="BH259" s="647">
        <f t="shared" si="516"/>
        <v>3367.2077317498934</v>
      </c>
      <c r="BI259" s="644">
        <f t="shared" si="557"/>
        <v>0</v>
      </c>
      <c r="BJ259" s="645">
        <f t="shared" si="558"/>
        <v>0</v>
      </c>
      <c r="BK259" s="646">
        <f t="shared" si="559"/>
        <v>0</v>
      </c>
      <c r="BL259" s="647">
        <f t="shared" si="517"/>
        <v>3367.2077317498934</v>
      </c>
      <c r="BM259" s="644">
        <f t="shared" si="560"/>
        <v>0</v>
      </c>
      <c r="BN259" s="645">
        <f t="shared" si="561"/>
        <v>0</v>
      </c>
      <c r="BO259" s="646">
        <f t="shared" si="562"/>
        <v>0</v>
      </c>
      <c r="BP259" s="647">
        <f t="shared" si="518"/>
        <v>3367.2077317498934</v>
      </c>
      <c r="BQ259" s="644">
        <f t="shared" si="563"/>
        <v>0</v>
      </c>
      <c r="BR259" s="645">
        <f t="shared" si="564"/>
        <v>0</v>
      </c>
      <c r="BS259" s="646">
        <f t="shared" si="565"/>
        <v>0</v>
      </c>
      <c r="BT259" s="647">
        <f t="shared" si="519"/>
        <v>3367.2077317498934</v>
      </c>
      <c r="BU259" s="662">
        <f>VLOOKUP(B259,'Afton Update'!$A$5:$AR$582,'Afton Update'!$AO$589,0)-BT259</f>
        <v>0</v>
      </c>
      <c r="BV259" s="644">
        <f t="shared" si="566"/>
        <v>3104.8323881787137</v>
      </c>
      <c r="BW259" s="645">
        <f t="shared" si="483"/>
        <v>5593.9091595861655</v>
      </c>
      <c r="BX259" s="644">
        <f t="shared" si="567"/>
        <v>2489.0767714074518</v>
      </c>
      <c r="BY259" s="645">
        <f t="shared" si="568"/>
        <v>0</v>
      </c>
      <c r="BZ259" s="646">
        <f t="shared" si="569"/>
        <v>0</v>
      </c>
      <c r="CA259" s="647">
        <f t="shared" si="570"/>
        <v>5593.9091595861655</v>
      </c>
      <c r="CB259" s="644">
        <f t="shared" si="520"/>
        <v>0</v>
      </c>
      <c r="CC259" s="645">
        <f t="shared" si="521"/>
        <v>0</v>
      </c>
      <c r="CD259" s="646">
        <f t="shared" si="571"/>
        <v>0</v>
      </c>
      <c r="CE259" s="647">
        <f t="shared" si="522"/>
        <v>5593.9091595861655</v>
      </c>
      <c r="CF259" s="644">
        <f t="shared" si="572"/>
        <v>0</v>
      </c>
      <c r="CG259" s="645">
        <f t="shared" si="573"/>
        <v>0</v>
      </c>
      <c r="CH259" s="646">
        <f t="shared" si="574"/>
        <v>0</v>
      </c>
      <c r="CI259" s="647">
        <f t="shared" si="523"/>
        <v>5593.9091595861655</v>
      </c>
      <c r="CJ259" s="644">
        <f t="shared" si="575"/>
        <v>0</v>
      </c>
      <c r="CK259" s="645">
        <f t="shared" si="576"/>
        <v>0</v>
      </c>
      <c r="CL259" s="646">
        <f t="shared" si="577"/>
        <v>0</v>
      </c>
      <c r="CM259" s="647">
        <f t="shared" si="524"/>
        <v>5593.9091595861655</v>
      </c>
      <c r="CN259" s="644">
        <f t="shared" si="578"/>
        <v>0</v>
      </c>
      <c r="CO259" s="645">
        <f t="shared" si="579"/>
        <v>0</v>
      </c>
      <c r="CP259" s="646">
        <f t="shared" si="580"/>
        <v>0</v>
      </c>
      <c r="CQ259" s="647">
        <f t="shared" si="525"/>
        <v>5593.9091595861655</v>
      </c>
      <c r="CS259" s="644">
        <f t="shared" si="581"/>
        <v>2890.1911041390385</v>
      </c>
      <c r="CT259" s="645">
        <f t="shared" si="484"/>
        <v>5389.6929693029897</v>
      </c>
      <c r="CU259" s="644">
        <f t="shared" si="582"/>
        <v>2499.5018651639512</v>
      </c>
      <c r="CV259" s="645">
        <f t="shared" si="583"/>
        <v>0</v>
      </c>
      <c r="CW259" s="646">
        <f t="shared" si="584"/>
        <v>0</v>
      </c>
      <c r="CX259" s="647">
        <f t="shared" si="585"/>
        <v>5389.6929693029897</v>
      </c>
      <c r="CY259" s="644">
        <f t="shared" si="526"/>
        <v>0</v>
      </c>
      <c r="CZ259" s="645">
        <f t="shared" si="527"/>
        <v>0</v>
      </c>
      <c r="DA259" s="646">
        <f t="shared" si="586"/>
        <v>0</v>
      </c>
      <c r="DB259" s="647">
        <f t="shared" si="528"/>
        <v>5389.6929693029897</v>
      </c>
      <c r="DC259" s="644">
        <f t="shared" si="587"/>
        <v>0</v>
      </c>
      <c r="DD259" s="645">
        <f t="shared" si="588"/>
        <v>0</v>
      </c>
      <c r="DE259" s="646">
        <f t="shared" si="589"/>
        <v>0</v>
      </c>
      <c r="DF259" s="647">
        <f t="shared" si="529"/>
        <v>5389.6929693029897</v>
      </c>
      <c r="DG259" s="644">
        <f t="shared" si="590"/>
        <v>0</v>
      </c>
      <c r="DH259" s="645">
        <f t="shared" si="591"/>
        <v>0</v>
      </c>
      <c r="DI259" s="646">
        <f t="shared" si="592"/>
        <v>0</v>
      </c>
      <c r="DJ259" s="647">
        <f t="shared" si="530"/>
        <v>5389.6929693029897</v>
      </c>
      <c r="DK259" s="644">
        <f t="shared" si="593"/>
        <v>0</v>
      </c>
      <c r="DL259" s="645">
        <f t="shared" si="594"/>
        <v>0</v>
      </c>
      <c r="DM259" s="646">
        <f t="shared" si="595"/>
        <v>0</v>
      </c>
      <c r="DN259" s="647">
        <f t="shared" si="531"/>
        <v>5389.6929693029897</v>
      </c>
      <c r="DR259" s="827">
        <f t="shared" si="485"/>
        <v>24901.083368458159</v>
      </c>
      <c r="DV259" s="828">
        <f>IFERROR(VLOOKUP($B259,'Afton FY16 Final'!$A$5:$BV$587,'Afton FY16 Final'!$BV$587,0),0)</f>
        <v>27123.090045618945</v>
      </c>
      <c r="DX259" s="636">
        <f t="shared" si="473"/>
        <v>0</v>
      </c>
      <c r="DY259" s="637">
        <f t="shared" si="474"/>
        <v>0</v>
      </c>
      <c r="DZ259" s="637">
        <f t="shared" si="475"/>
        <v>0</v>
      </c>
      <c r="EA259" s="643">
        <f t="shared" si="476"/>
        <v>0</v>
      </c>
      <c r="EB259" s="637">
        <f t="shared" si="486"/>
        <v>0</v>
      </c>
      <c r="EC259" s="637">
        <f t="shared" si="487"/>
        <v>0</v>
      </c>
      <c r="ED259" s="637">
        <f t="shared" si="488"/>
        <v>0</v>
      </c>
      <c r="EE259" s="643">
        <f t="shared" si="489"/>
        <v>0</v>
      </c>
      <c r="EF259" s="637">
        <f t="shared" si="490"/>
        <v>0</v>
      </c>
      <c r="EG259" s="637">
        <f t="shared" si="491"/>
        <v>0</v>
      </c>
      <c r="EH259" s="637">
        <f t="shared" si="492"/>
        <v>0</v>
      </c>
      <c r="EI259" s="643">
        <f t="shared" si="493"/>
        <v>0</v>
      </c>
      <c r="EJ259" s="637">
        <f t="shared" si="494"/>
        <v>0</v>
      </c>
      <c r="EK259" s="637">
        <f t="shared" si="495"/>
        <v>0</v>
      </c>
      <c r="EL259" s="637">
        <f t="shared" si="496"/>
        <v>0</v>
      </c>
      <c r="EM259" s="643">
        <f t="shared" si="497"/>
        <v>0</v>
      </c>
      <c r="EN259" s="637">
        <f t="shared" si="498"/>
        <v>0</v>
      </c>
      <c r="EO259" s="637">
        <f t="shared" si="499"/>
        <v>0</v>
      </c>
      <c r="EP259" s="637">
        <f t="shared" si="500"/>
        <v>0</v>
      </c>
      <c r="EQ259" s="643">
        <f t="shared" si="501"/>
        <v>0</v>
      </c>
      <c r="ER259" s="637">
        <f t="shared" si="502"/>
        <v>0</v>
      </c>
      <c r="ES259" s="637">
        <f t="shared" si="503"/>
        <v>0</v>
      </c>
      <c r="ET259" s="637">
        <f t="shared" si="504"/>
        <v>0</v>
      </c>
      <c r="EU259" s="643">
        <f t="shared" si="477"/>
        <v>0</v>
      </c>
      <c r="EV259" s="643">
        <f t="shared" si="478"/>
        <v>0</v>
      </c>
      <c r="EX259" s="829">
        <f t="shared" si="479"/>
        <v>0</v>
      </c>
      <c r="EY259" s="638">
        <f t="shared" si="480"/>
        <v>24901.083368458159</v>
      </c>
      <c r="FC259" s="830" t="str">
        <f t="shared" si="505"/>
        <v>Y</v>
      </c>
      <c r="FE259" s="830" t="str">
        <f>IFERROR(VLOOKUP($B259,'Historical Conc Grant Elig'!$B$3:$J$707,'HH &amp; SI'!FE$2,0),"N")</f>
        <v>Y</v>
      </c>
      <c r="FF259" s="830" t="str">
        <f>IFERROR(VLOOKUP($B259,'Historical Conc Grant Elig'!$B$3:$J$707,'HH &amp; SI'!FF$2,0),"N")</f>
        <v>Y</v>
      </c>
      <c r="FG259" s="830" t="str">
        <f>IFERROR(VLOOKUP($B259,'Historical Conc Grant Elig'!$B$3:$J$707,'HH &amp; SI'!FG$2,0),"N")</f>
        <v>Y</v>
      </c>
      <c r="FH259" s="830" t="str">
        <f>IFERROR(VLOOKUP($B259,'Historical Conc Grant Elig'!$B$3:$J$707,'HH &amp; SI'!FH$2,0),"N")</f>
        <v>N</v>
      </c>
      <c r="FI259" s="830" t="str">
        <f>IFERROR(VLOOKUP($B259,'Historical Conc Grant Elig'!$B$3:$J$707,'HH &amp; SI'!FI$2,0),"N")</f>
        <v>Y</v>
      </c>
      <c r="FJ259" s="830" t="str">
        <f>IFERROR(VLOOKUP($B259,'Historical Conc Grant Elig'!$B$3:$J$707,'HH &amp; SI'!FJ$2,0),"N")</f>
        <v>Y</v>
      </c>
      <c r="FK259" s="830" t="str">
        <f>IFERROR(VLOOKUP($B259,'Historical Conc Grant Elig'!$B$3:$J$707,'HH &amp; SI'!FK$2,0),"N")</f>
        <v>Y</v>
      </c>
      <c r="FL259" s="957" t="str">
        <f>IFERROR(VLOOKUP($B259,'Historical Conc Grant Elig'!$B$3:$J$707,'HH &amp; SI'!FL$2,0),"N")</f>
        <v>Y</v>
      </c>
    </row>
    <row r="260" spans="2:168" x14ac:dyDescent="0.25">
      <c r="B260" s="634">
        <v>78784000</v>
      </c>
      <c r="C260" s="635" t="str">
        <f>VLOOKUP($B260,'Afton Update'!$A$5:$CR$582,'Afton Update'!D$589,0)</f>
        <v>Liberty Traditional Charter School</v>
      </c>
      <c r="D260" s="636">
        <f>IFERROR(VLOOKUP($B260,'Afton FY16 Final'!$A$5:$BV$587,'Afton FY16 Final'!AQ$587,0),0)</f>
        <v>121058.07017334094</v>
      </c>
      <c r="E260" s="637">
        <f>IFERROR(VLOOKUP($B260,'Afton FY16 Final'!$A$5:$BV$587,'Afton FY16 Final'!AR$587,0),0)</f>
        <v>25410.664042904744</v>
      </c>
      <c r="F260" s="637">
        <f>IFERROR(VLOOKUP($B260,'Afton FY16 Final'!$A$5:$BV$587,'Afton FY16 Final'!AS$587,0),0)</f>
        <v>64186.757535962584</v>
      </c>
      <c r="G260" s="637">
        <f>IFERROR(VLOOKUP($B260,'Afton FY16 Final'!$A$5:$BV$587,'Afton FY16 Final'!AT$587,0),0)</f>
        <v>61843.499053089188</v>
      </c>
      <c r="H260" s="638">
        <f>IFERROR(VLOOKUP($B260,'Afton FY16 Final'!$A$5:$BV$587,'Afton FY16 Final'!AU$587,0),0)</f>
        <v>272498.99080529745</v>
      </c>
      <c r="I260" s="639" t="str">
        <f>VLOOKUP($B260,'Afton Update'!$A$5:$CR$582,'Afton Update'!BT$589,0)</f>
        <v>Y</v>
      </c>
      <c r="J260" s="640" t="str">
        <f>VLOOKUP($B260,'Afton Update'!$A$5:$CR$582,'Afton Update'!BU$589,0)</f>
        <v>Y</v>
      </c>
      <c r="K260" s="640" t="str">
        <f>VLOOKUP($B260,'Afton Update'!$A$5:$CR$582,'Afton Update'!BV$589,0)</f>
        <v>Y</v>
      </c>
      <c r="L260" s="641" t="str">
        <f>VLOOKUP($B260,'Afton Update'!$A$5:$CR$582,'Afton Update'!BW$589,0)</f>
        <v>Y</v>
      </c>
      <c r="N260" s="642">
        <f>VLOOKUP($B260,'Afton Update'!$A$5:$CR$582,'Afton Update'!CB$589,0)</f>
        <v>0.95</v>
      </c>
      <c r="P260" s="636">
        <f>VLOOKUP($B260,'Afton Update'!$A$5:$CR$582,'Afton Update'!AH$589,0)</f>
        <v>114323.08645392834</v>
      </c>
      <c r="Q260" s="637">
        <f>VLOOKUP($B260,'Afton Update'!$A$5:$CR$582,'Afton Update'!AI$589,0)</f>
        <v>25772.651815060755</v>
      </c>
      <c r="R260" s="637">
        <f>VLOOKUP($B260,'Afton Update'!$A$5:$CR$582,'Afton Update'!AJ$589,0)</f>
        <v>66934.297605863059</v>
      </c>
      <c r="S260" s="637">
        <f>VLOOKUP($B260,'Afton Update'!$A$5:$CR$582,'Afton Update'!AK$589,0)</f>
        <v>62307.038614647143</v>
      </c>
      <c r="T260" s="643">
        <f t="shared" si="506"/>
        <v>269337.07448949933</v>
      </c>
      <c r="V260" s="636">
        <f t="shared" si="532"/>
        <v>115005.16666467389</v>
      </c>
      <c r="W260" s="637">
        <f t="shared" si="533"/>
        <v>24923.794891542802</v>
      </c>
      <c r="X260" s="637">
        <f t="shared" si="534"/>
        <v>66325.556302646117</v>
      </c>
      <c r="Y260" s="637">
        <f t="shared" si="535"/>
        <v>61620.527207512445</v>
      </c>
      <c r="Z260" s="643">
        <f t="shared" si="536"/>
        <v>267875.04506637529</v>
      </c>
      <c r="AB260" s="644">
        <f t="shared" si="507"/>
        <v>114323.08645392834</v>
      </c>
      <c r="AC260" s="645">
        <f t="shared" si="481"/>
        <v>115005.16666467389</v>
      </c>
      <c r="AD260" s="644">
        <f t="shared" si="537"/>
        <v>682.0802107455529</v>
      </c>
      <c r="AE260" s="645">
        <f t="shared" si="538"/>
        <v>0</v>
      </c>
      <c r="AF260" s="646">
        <f t="shared" si="539"/>
        <v>0</v>
      </c>
      <c r="AG260" s="647">
        <f t="shared" si="540"/>
        <v>115005.16666467389</v>
      </c>
      <c r="AH260" s="644">
        <f t="shared" si="508"/>
        <v>0</v>
      </c>
      <c r="AI260" s="645">
        <f t="shared" si="509"/>
        <v>0</v>
      </c>
      <c r="AJ260" s="646">
        <f t="shared" si="541"/>
        <v>0</v>
      </c>
      <c r="AK260" s="647">
        <f t="shared" si="510"/>
        <v>115005.16666467389</v>
      </c>
      <c r="AL260" s="644">
        <f t="shared" si="542"/>
        <v>0</v>
      </c>
      <c r="AM260" s="645">
        <f t="shared" si="543"/>
        <v>0</v>
      </c>
      <c r="AN260" s="646">
        <f t="shared" si="544"/>
        <v>0</v>
      </c>
      <c r="AO260" s="647">
        <f t="shared" si="511"/>
        <v>115005.16666467389</v>
      </c>
      <c r="AP260" s="644">
        <f t="shared" si="545"/>
        <v>0</v>
      </c>
      <c r="AQ260" s="645">
        <f t="shared" si="546"/>
        <v>0</v>
      </c>
      <c r="AR260" s="646">
        <f t="shared" si="547"/>
        <v>0</v>
      </c>
      <c r="AS260" s="647">
        <f t="shared" si="512"/>
        <v>115005.16666467389</v>
      </c>
      <c r="AT260" s="644">
        <f t="shared" si="548"/>
        <v>0</v>
      </c>
      <c r="AU260" s="645">
        <f t="shared" si="549"/>
        <v>0</v>
      </c>
      <c r="AV260" s="646">
        <f t="shared" si="550"/>
        <v>0</v>
      </c>
      <c r="AW260" s="647">
        <f t="shared" si="513"/>
        <v>115005.16666467389</v>
      </c>
      <c r="AY260" s="644">
        <f t="shared" si="551"/>
        <v>25772.651815060755</v>
      </c>
      <c r="AZ260" s="645">
        <f t="shared" si="482"/>
        <v>24140.130840759506</v>
      </c>
      <c r="BA260" s="644">
        <f t="shared" si="552"/>
        <v>0</v>
      </c>
      <c r="BB260" s="645">
        <f t="shared" si="553"/>
        <v>25772.651815060755</v>
      </c>
      <c r="BC260" s="646">
        <f t="shared" si="554"/>
        <v>-185.33865013747027</v>
      </c>
      <c r="BD260" s="647">
        <f t="shared" si="555"/>
        <v>25587.313164923286</v>
      </c>
      <c r="BE260" s="644">
        <f t="shared" si="514"/>
        <v>0</v>
      </c>
      <c r="BF260" s="645">
        <f t="shared" si="515"/>
        <v>25587.313164923286</v>
      </c>
      <c r="BG260" s="646">
        <f t="shared" si="556"/>
        <v>-609.46894743260145</v>
      </c>
      <c r="BH260" s="647">
        <f t="shared" si="516"/>
        <v>24977.844217490685</v>
      </c>
      <c r="BI260" s="644">
        <f t="shared" si="557"/>
        <v>0</v>
      </c>
      <c r="BJ260" s="645">
        <f t="shared" si="558"/>
        <v>24977.844217490685</v>
      </c>
      <c r="BK260" s="646">
        <f t="shared" si="559"/>
        <v>-52.908940649099335</v>
      </c>
      <c r="BL260" s="647">
        <f t="shared" si="517"/>
        <v>24924.935276841585</v>
      </c>
      <c r="BM260" s="644">
        <f t="shared" si="560"/>
        <v>0</v>
      </c>
      <c r="BN260" s="645">
        <f t="shared" si="561"/>
        <v>24924.935276841585</v>
      </c>
      <c r="BO260" s="646">
        <f t="shared" si="562"/>
        <v>-1.1403852987826379</v>
      </c>
      <c r="BP260" s="647">
        <f t="shared" si="518"/>
        <v>24923.794891542802</v>
      </c>
      <c r="BQ260" s="644">
        <f t="shared" si="563"/>
        <v>0</v>
      </c>
      <c r="BR260" s="645">
        <f t="shared" si="564"/>
        <v>24923.794891542802</v>
      </c>
      <c r="BS260" s="646">
        <f t="shared" si="565"/>
        <v>0</v>
      </c>
      <c r="BT260" s="647">
        <f t="shared" si="519"/>
        <v>24923.794891542802</v>
      </c>
      <c r="BU260" s="662">
        <f>VLOOKUP(B260,'Afton Update'!$A$5:$AR$582,'Afton Update'!$AO$589,0)-BT260</f>
        <v>0</v>
      </c>
      <c r="BV260" s="644">
        <f t="shared" si="566"/>
        <v>66934.297605863059</v>
      </c>
      <c r="BW260" s="645">
        <f t="shared" si="483"/>
        <v>60977.41965916445</v>
      </c>
      <c r="BX260" s="644">
        <f t="shared" si="567"/>
        <v>0</v>
      </c>
      <c r="BY260" s="645">
        <f t="shared" si="568"/>
        <v>66934.297605863059</v>
      </c>
      <c r="BZ260" s="646">
        <f t="shared" si="569"/>
        <v>-587.48944646168047</v>
      </c>
      <c r="CA260" s="647">
        <f t="shared" si="570"/>
        <v>66346.808159401378</v>
      </c>
      <c r="CB260" s="644">
        <f t="shared" si="520"/>
        <v>0</v>
      </c>
      <c r="CC260" s="645">
        <f t="shared" si="521"/>
        <v>66346.808159401378</v>
      </c>
      <c r="CD260" s="646">
        <f t="shared" si="571"/>
        <v>-21.251856755262192</v>
      </c>
      <c r="CE260" s="647">
        <f t="shared" si="522"/>
        <v>66325.556302646117</v>
      </c>
      <c r="CF260" s="644">
        <f t="shared" si="572"/>
        <v>0</v>
      </c>
      <c r="CG260" s="645">
        <f t="shared" si="573"/>
        <v>66325.556302646117</v>
      </c>
      <c r="CH260" s="646">
        <f t="shared" si="574"/>
        <v>0</v>
      </c>
      <c r="CI260" s="647">
        <f t="shared" si="523"/>
        <v>66325.556302646117</v>
      </c>
      <c r="CJ260" s="644">
        <f t="shared" si="575"/>
        <v>0</v>
      </c>
      <c r="CK260" s="645">
        <f t="shared" si="576"/>
        <v>66325.556302646117</v>
      </c>
      <c r="CL260" s="646">
        <f t="shared" si="577"/>
        <v>0</v>
      </c>
      <c r="CM260" s="647">
        <f t="shared" si="524"/>
        <v>66325.556302646117</v>
      </c>
      <c r="CN260" s="644">
        <f t="shared" si="578"/>
        <v>0</v>
      </c>
      <c r="CO260" s="645">
        <f t="shared" si="579"/>
        <v>66325.556302646117</v>
      </c>
      <c r="CP260" s="646">
        <f t="shared" si="580"/>
        <v>0</v>
      </c>
      <c r="CQ260" s="647">
        <f t="shared" si="525"/>
        <v>66325.556302646117</v>
      </c>
      <c r="CS260" s="644">
        <f t="shared" si="581"/>
        <v>62307.038614647143</v>
      </c>
      <c r="CT260" s="645">
        <f t="shared" si="484"/>
        <v>58751.324100434729</v>
      </c>
      <c r="CU260" s="644">
        <f t="shared" si="582"/>
        <v>0</v>
      </c>
      <c r="CV260" s="645">
        <f t="shared" si="583"/>
        <v>62307.038614647143</v>
      </c>
      <c r="CW260" s="646">
        <f t="shared" si="584"/>
        <v>-638.05928649074849</v>
      </c>
      <c r="CX260" s="647">
        <f t="shared" si="585"/>
        <v>61668.979328156391</v>
      </c>
      <c r="CY260" s="644">
        <f t="shared" si="526"/>
        <v>0</v>
      </c>
      <c r="CZ260" s="645">
        <f t="shared" si="527"/>
        <v>61668.979328156391</v>
      </c>
      <c r="DA260" s="646">
        <f t="shared" si="586"/>
        <v>-48.410372727093929</v>
      </c>
      <c r="DB260" s="647">
        <f t="shared" si="528"/>
        <v>61620.568955429299</v>
      </c>
      <c r="DC260" s="644">
        <f t="shared" si="587"/>
        <v>0</v>
      </c>
      <c r="DD260" s="645">
        <f t="shared" si="588"/>
        <v>61620.568955429299</v>
      </c>
      <c r="DE260" s="646">
        <f t="shared" si="589"/>
        <v>-4.1747916850432512E-2</v>
      </c>
      <c r="DF260" s="647">
        <f t="shared" si="529"/>
        <v>61620.527207512445</v>
      </c>
      <c r="DG260" s="644">
        <f t="shared" si="590"/>
        <v>0</v>
      </c>
      <c r="DH260" s="645">
        <f t="shared" si="591"/>
        <v>61620.527207512445</v>
      </c>
      <c r="DI260" s="646">
        <f t="shared" si="592"/>
        <v>0</v>
      </c>
      <c r="DJ260" s="647">
        <f t="shared" si="530"/>
        <v>61620.527207512445</v>
      </c>
      <c r="DK260" s="644">
        <f t="shared" si="593"/>
        <v>0</v>
      </c>
      <c r="DL260" s="645">
        <f t="shared" si="594"/>
        <v>61620.527207512445</v>
      </c>
      <c r="DM260" s="646">
        <f t="shared" si="595"/>
        <v>0</v>
      </c>
      <c r="DN260" s="647">
        <f t="shared" si="531"/>
        <v>61620.527207512445</v>
      </c>
      <c r="DR260" s="827">
        <f t="shared" si="485"/>
        <v>267875.04506637529</v>
      </c>
      <c r="DV260" s="828">
        <f>IFERROR(VLOOKUP($B260,'Afton FY16 Final'!$A$5:$BV$587,'Afton FY16 Final'!$BV$587,0),0)</f>
        <v>252832.82593206351</v>
      </c>
      <c r="DX260" s="636">
        <f t="shared" si="473"/>
        <v>267875.04506637529</v>
      </c>
      <c r="DY260" s="637">
        <f t="shared" si="474"/>
        <v>15042.219134311774</v>
      </c>
      <c r="DZ260" s="637">
        <f t="shared" si="475"/>
        <v>252832.82593206351</v>
      </c>
      <c r="EA260" s="643">
        <f t="shared" si="476"/>
        <v>253627.09485187958</v>
      </c>
      <c r="EB260" s="637">
        <f t="shared" si="486"/>
        <v>0</v>
      </c>
      <c r="EC260" s="637">
        <f t="shared" si="487"/>
        <v>253627.09485187958</v>
      </c>
      <c r="ED260" s="637">
        <f t="shared" si="488"/>
        <v>252870.79399852839</v>
      </c>
      <c r="EE260" s="643">
        <f t="shared" si="489"/>
        <v>252870.79399852839</v>
      </c>
      <c r="EF260" s="637">
        <f t="shared" si="490"/>
        <v>0</v>
      </c>
      <c r="EG260" s="637">
        <f t="shared" si="491"/>
        <v>252870.79399852839</v>
      </c>
      <c r="EH260" s="637">
        <f t="shared" si="492"/>
        <v>252870.53312160049</v>
      </c>
      <c r="EI260" s="643">
        <f t="shared" si="493"/>
        <v>252870.53312160049</v>
      </c>
      <c r="EJ260" s="637">
        <f t="shared" si="494"/>
        <v>0</v>
      </c>
      <c r="EK260" s="637">
        <f t="shared" si="495"/>
        <v>252870.53312160049</v>
      </c>
      <c r="EL260" s="637">
        <f t="shared" si="496"/>
        <v>252870.53312160011</v>
      </c>
      <c r="EM260" s="643">
        <f t="shared" si="497"/>
        <v>252870.53312160011</v>
      </c>
      <c r="EN260" s="637">
        <f t="shared" si="498"/>
        <v>0</v>
      </c>
      <c r="EO260" s="637">
        <f t="shared" si="499"/>
        <v>252870.53312160011</v>
      </c>
      <c r="EP260" s="637">
        <f t="shared" si="500"/>
        <v>252870.53312160049</v>
      </c>
      <c r="EQ260" s="643">
        <f t="shared" si="501"/>
        <v>252870.53312160049</v>
      </c>
      <c r="ER260" s="637">
        <f t="shared" si="502"/>
        <v>0</v>
      </c>
      <c r="ES260" s="637">
        <f t="shared" si="503"/>
        <v>252870.53312160049</v>
      </c>
      <c r="ET260" s="637">
        <f t="shared" si="504"/>
        <v>252870.53312160011</v>
      </c>
      <c r="EU260" s="643">
        <f t="shared" si="477"/>
        <v>252870.53312160011</v>
      </c>
      <c r="EV260" s="643">
        <f t="shared" si="478"/>
        <v>0</v>
      </c>
      <c r="EX260" s="829">
        <f t="shared" si="479"/>
        <v>15004.511944775179</v>
      </c>
      <c r="EY260" s="638">
        <f t="shared" si="480"/>
        <v>252870.53312160011</v>
      </c>
      <c r="FC260" s="830" t="str">
        <f t="shared" si="505"/>
        <v>Y</v>
      </c>
      <c r="FE260" s="830" t="str">
        <f>IFERROR(VLOOKUP($B260,'Historical Conc Grant Elig'!$B$3:$J$707,'HH &amp; SI'!FE$2,0),"N")</f>
        <v>Y</v>
      </c>
      <c r="FF260" s="830" t="str">
        <f>IFERROR(VLOOKUP($B260,'Historical Conc Grant Elig'!$B$3:$J$707,'HH &amp; SI'!FF$2,0),"N")</f>
        <v>Y</v>
      </c>
      <c r="FG260" s="830" t="str">
        <f>IFERROR(VLOOKUP($B260,'Historical Conc Grant Elig'!$B$3:$J$707,'HH &amp; SI'!FG$2,0),"N")</f>
        <v>Y</v>
      </c>
      <c r="FH260" s="830" t="str">
        <f>IFERROR(VLOOKUP($B260,'Historical Conc Grant Elig'!$B$3:$J$707,'HH &amp; SI'!FH$2,0),"N")</f>
        <v>Y</v>
      </c>
      <c r="FI260" s="830" t="str">
        <f>IFERROR(VLOOKUP($B260,'Historical Conc Grant Elig'!$B$3:$J$707,'HH &amp; SI'!FI$2,0),"N")</f>
        <v>Y</v>
      </c>
      <c r="FJ260" s="830" t="str">
        <f>IFERROR(VLOOKUP($B260,'Historical Conc Grant Elig'!$B$3:$J$707,'HH &amp; SI'!FJ$2,0),"N")</f>
        <v>Y</v>
      </c>
      <c r="FK260" s="830" t="str">
        <f>IFERROR(VLOOKUP($B260,'Historical Conc Grant Elig'!$B$3:$J$707,'HH &amp; SI'!FK$2,0),"N")</f>
        <v>Y</v>
      </c>
      <c r="FL260" s="957" t="str">
        <f>IFERROR(VLOOKUP($B260,'Historical Conc Grant Elig'!$B$3:$J$707,'HH &amp; SI'!FL$2,0),"N")</f>
        <v>Y</v>
      </c>
    </row>
    <row r="261" spans="2:168" x14ac:dyDescent="0.25">
      <c r="B261" s="634">
        <v>78785000</v>
      </c>
      <c r="C261" s="635" t="str">
        <f>VLOOKUP($B261,'Afton Update'!$A$5:$CR$582,'Afton Update'!D$589,0)</f>
        <v>Fit Kids  Inc. dba Champion Schools</v>
      </c>
      <c r="D261" s="636">
        <f>IFERROR(VLOOKUP($B261,'Afton FY16 Final'!$A$5:$BV$587,'Afton FY16 Final'!AQ$587,0),0)</f>
        <v>227899.44528414999</v>
      </c>
      <c r="E261" s="637">
        <f>IFERROR(VLOOKUP($B261,'Afton FY16 Final'!$A$5:$BV$587,'Afton FY16 Final'!AR$587,0),0)</f>
        <v>48177.854411654327</v>
      </c>
      <c r="F261" s="637">
        <f>IFERROR(VLOOKUP($B261,'Afton FY16 Final'!$A$5:$BV$587,'Afton FY16 Final'!AS$587,0),0)</f>
        <v>123683.70598759249</v>
      </c>
      <c r="G261" s="637">
        <f>IFERROR(VLOOKUP($B261,'Afton FY16 Final'!$A$5:$BV$587,'Afton FY16 Final'!AT$587,0),0)</f>
        <v>103852.0577113563</v>
      </c>
      <c r="H261" s="638">
        <f>IFERROR(VLOOKUP($B261,'Afton FY16 Final'!$A$5:$BV$587,'Afton FY16 Final'!AU$587,0),0)</f>
        <v>503613.06339475315</v>
      </c>
      <c r="I261" s="639" t="str">
        <f>VLOOKUP($B261,'Afton Update'!$A$5:$CR$582,'Afton Update'!BT$589,0)</f>
        <v>Y</v>
      </c>
      <c r="J261" s="640" t="str">
        <f>VLOOKUP($B261,'Afton Update'!$A$5:$CR$582,'Afton Update'!BU$589,0)</f>
        <v>Y</v>
      </c>
      <c r="K261" s="640" t="str">
        <f>VLOOKUP($B261,'Afton Update'!$A$5:$CR$582,'Afton Update'!BV$589,0)</f>
        <v>Y</v>
      </c>
      <c r="L261" s="641" t="str">
        <f>VLOOKUP($B261,'Afton Update'!$A$5:$CR$582,'Afton Update'!BW$589,0)</f>
        <v>Y</v>
      </c>
      <c r="N261" s="642">
        <f>VLOOKUP($B261,'Afton Update'!$A$5:$CR$582,'Afton Update'!CB$589,0)</f>
        <v>0.95</v>
      </c>
      <c r="P261" s="636">
        <f>VLOOKUP($B261,'Afton Update'!$A$5:$CR$582,'Afton Update'!AH$589,0)</f>
        <v>225058.62835386311</v>
      </c>
      <c r="Q261" s="637">
        <f>VLOOKUP($B261,'Afton Update'!$A$5:$CR$582,'Afton Update'!AI$589,0)</f>
        <v>48672.583802764755</v>
      </c>
      <c r="R261" s="637">
        <f>VLOOKUP($B261,'Afton Update'!$A$5:$CR$582,'Afton Update'!AJ$589,0)</f>
        <v>131743.6011053978</v>
      </c>
      <c r="S261" s="637">
        <f>VLOOKUP($B261,'Afton Update'!$A$5:$CR$582,'Afton Update'!AK$589,0)</f>
        <v>122635.98685448321</v>
      </c>
      <c r="T261" s="643">
        <f t="shared" si="506"/>
        <v>528110.80011650885</v>
      </c>
      <c r="V261" s="636">
        <f t="shared" si="532"/>
        <v>221988.6825857386</v>
      </c>
      <c r="W261" s="637">
        <f t="shared" si="533"/>
        <v>47069.48684390464</v>
      </c>
      <c r="X261" s="637">
        <f t="shared" si="534"/>
        <v>130545.4444906884</v>
      </c>
      <c r="Y261" s="637">
        <f t="shared" si="535"/>
        <v>121284.75903539968</v>
      </c>
      <c r="Z261" s="643">
        <f t="shared" si="536"/>
        <v>520888.37295573135</v>
      </c>
      <c r="AB261" s="644">
        <f t="shared" si="507"/>
        <v>225058.62835386311</v>
      </c>
      <c r="AC261" s="645">
        <f t="shared" si="481"/>
        <v>216504.47301994247</v>
      </c>
      <c r="AD261" s="644">
        <f t="shared" si="537"/>
        <v>0</v>
      </c>
      <c r="AE261" s="645">
        <f t="shared" si="538"/>
        <v>225058.62835386311</v>
      </c>
      <c r="AF261" s="646">
        <f t="shared" si="539"/>
        <v>-2789.7708255032621</v>
      </c>
      <c r="AG261" s="647">
        <f t="shared" si="540"/>
        <v>222268.85752835986</v>
      </c>
      <c r="AH261" s="644">
        <f t="shared" si="508"/>
        <v>0</v>
      </c>
      <c r="AI261" s="645">
        <f t="shared" si="509"/>
        <v>222268.85752835986</v>
      </c>
      <c r="AJ261" s="646">
        <f t="shared" si="541"/>
        <v>-279.99644402586569</v>
      </c>
      <c r="AK261" s="647">
        <f t="shared" si="510"/>
        <v>221988.861084334</v>
      </c>
      <c r="AL261" s="644">
        <f t="shared" si="542"/>
        <v>0</v>
      </c>
      <c r="AM261" s="645">
        <f t="shared" si="543"/>
        <v>221988.861084334</v>
      </c>
      <c r="AN261" s="646">
        <f t="shared" si="544"/>
        <v>-0.1784985954070987</v>
      </c>
      <c r="AO261" s="647">
        <f t="shared" si="511"/>
        <v>221988.6825857386</v>
      </c>
      <c r="AP261" s="644">
        <f t="shared" si="545"/>
        <v>0</v>
      </c>
      <c r="AQ261" s="645">
        <f t="shared" si="546"/>
        <v>221988.6825857386</v>
      </c>
      <c r="AR261" s="646">
        <f t="shared" si="547"/>
        <v>0</v>
      </c>
      <c r="AS261" s="647">
        <f t="shared" si="512"/>
        <v>221988.6825857386</v>
      </c>
      <c r="AT261" s="644">
        <f t="shared" si="548"/>
        <v>0</v>
      </c>
      <c r="AU261" s="645">
        <f t="shared" si="549"/>
        <v>221988.6825857386</v>
      </c>
      <c r="AV261" s="646">
        <f t="shared" si="550"/>
        <v>0</v>
      </c>
      <c r="AW261" s="647">
        <f t="shared" si="513"/>
        <v>221988.6825857386</v>
      </c>
      <c r="AY261" s="644">
        <f t="shared" si="551"/>
        <v>48672.583802764755</v>
      </c>
      <c r="AZ261" s="645">
        <f t="shared" si="482"/>
        <v>45768.961691071607</v>
      </c>
      <c r="BA261" s="644">
        <f t="shared" si="552"/>
        <v>0</v>
      </c>
      <c r="BB261" s="645">
        <f t="shared" si="553"/>
        <v>48672.583802764755</v>
      </c>
      <c r="BC261" s="646">
        <f t="shared" si="554"/>
        <v>-350.01873479840253</v>
      </c>
      <c r="BD261" s="647">
        <f t="shared" si="555"/>
        <v>48322.565067966352</v>
      </c>
      <c r="BE261" s="644">
        <f t="shared" si="514"/>
        <v>0</v>
      </c>
      <c r="BF261" s="645">
        <f t="shared" si="515"/>
        <v>48322.565067966352</v>
      </c>
      <c r="BG261" s="646">
        <f t="shared" si="556"/>
        <v>-1151.0041198694628</v>
      </c>
      <c r="BH261" s="647">
        <f t="shared" si="516"/>
        <v>47171.560948096892</v>
      </c>
      <c r="BI261" s="644">
        <f t="shared" si="557"/>
        <v>0</v>
      </c>
      <c r="BJ261" s="645">
        <f t="shared" si="558"/>
        <v>47171.560948096892</v>
      </c>
      <c r="BK261" s="646">
        <f t="shared" si="559"/>
        <v>-99.920445367360927</v>
      </c>
      <c r="BL261" s="647">
        <f t="shared" si="517"/>
        <v>47071.640502729533</v>
      </c>
      <c r="BM261" s="644">
        <f t="shared" si="560"/>
        <v>0</v>
      </c>
      <c r="BN261" s="645">
        <f t="shared" si="561"/>
        <v>47071.640502729533</v>
      </c>
      <c r="BO261" s="646">
        <f t="shared" si="562"/>
        <v>-2.1536588248945008</v>
      </c>
      <c r="BP261" s="647">
        <f t="shared" si="518"/>
        <v>47069.48684390464</v>
      </c>
      <c r="BQ261" s="644">
        <f t="shared" si="563"/>
        <v>0</v>
      </c>
      <c r="BR261" s="645">
        <f t="shared" si="564"/>
        <v>47069.48684390464</v>
      </c>
      <c r="BS261" s="646">
        <f t="shared" si="565"/>
        <v>0</v>
      </c>
      <c r="BT261" s="647">
        <f t="shared" si="519"/>
        <v>47069.48684390464</v>
      </c>
      <c r="BU261" s="662">
        <f>VLOOKUP(B261,'Afton Update'!$A$5:$AR$582,'Afton Update'!$AO$589,0)-BT261</f>
        <v>0</v>
      </c>
      <c r="BV261" s="644">
        <f t="shared" si="566"/>
        <v>131743.6011053978</v>
      </c>
      <c r="BW261" s="645">
        <f t="shared" si="483"/>
        <v>117499.52068821286</v>
      </c>
      <c r="BX261" s="644">
        <f t="shared" si="567"/>
        <v>0</v>
      </c>
      <c r="BY261" s="645">
        <f t="shared" si="568"/>
        <v>131743.6011053978</v>
      </c>
      <c r="BZ261" s="646">
        <f t="shared" si="569"/>
        <v>-1156.3275937252679</v>
      </c>
      <c r="CA261" s="647">
        <f t="shared" si="570"/>
        <v>130587.27351167254</v>
      </c>
      <c r="CB261" s="644">
        <f t="shared" si="520"/>
        <v>0</v>
      </c>
      <c r="CC261" s="645">
        <f t="shared" si="521"/>
        <v>130587.27351167254</v>
      </c>
      <c r="CD261" s="646">
        <f t="shared" si="571"/>
        <v>-41.82902098413998</v>
      </c>
      <c r="CE261" s="647">
        <f t="shared" si="522"/>
        <v>130545.4444906884</v>
      </c>
      <c r="CF261" s="644">
        <f t="shared" si="572"/>
        <v>0</v>
      </c>
      <c r="CG261" s="645">
        <f t="shared" si="573"/>
        <v>130545.4444906884</v>
      </c>
      <c r="CH261" s="646">
        <f t="shared" si="574"/>
        <v>0</v>
      </c>
      <c r="CI261" s="647">
        <f t="shared" si="523"/>
        <v>130545.4444906884</v>
      </c>
      <c r="CJ261" s="644">
        <f t="shared" si="575"/>
        <v>0</v>
      </c>
      <c r="CK261" s="645">
        <f t="shared" si="576"/>
        <v>130545.4444906884</v>
      </c>
      <c r="CL261" s="646">
        <f t="shared" si="577"/>
        <v>0</v>
      </c>
      <c r="CM261" s="647">
        <f t="shared" si="524"/>
        <v>130545.4444906884</v>
      </c>
      <c r="CN261" s="644">
        <f t="shared" si="578"/>
        <v>0</v>
      </c>
      <c r="CO261" s="645">
        <f t="shared" si="579"/>
        <v>130545.4444906884</v>
      </c>
      <c r="CP261" s="646">
        <f t="shared" si="580"/>
        <v>0</v>
      </c>
      <c r="CQ261" s="647">
        <f t="shared" si="525"/>
        <v>130545.4444906884</v>
      </c>
      <c r="CS261" s="644">
        <f t="shared" si="581"/>
        <v>122635.98685448321</v>
      </c>
      <c r="CT261" s="645">
        <f t="shared" si="484"/>
        <v>98659.454825788489</v>
      </c>
      <c r="CU261" s="644">
        <f t="shared" si="582"/>
        <v>0</v>
      </c>
      <c r="CV261" s="645">
        <f t="shared" si="583"/>
        <v>122635.98685448321</v>
      </c>
      <c r="CW261" s="646">
        <f t="shared" si="584"/>
        <v>-1255.861809681091</v>
      </c>
      <c r="CX261" s="647">
        <f t="shared" si="585"/>
        <v>121380.12504480212</v>
      </c>
      <c r="CY261" s="644">
        <f t="shared" si="526"/>
        <v>0</v>
      </c>
      <c r="CZ261" s="645">
        <f t="shared" si="527"/>
        <v>121380.12504480212</v>
      </c>
      <c r="DA261" s="646">
        <f t="shared" si="586"/>
        <v>-95.283838959165166</v>
      </c>
      <c r="DB261" s="647">
        <f t="shared" si="528"/>
        <v>121284.84120584295</v>
      </c>
      <c r="DC261" s="644">
        <f t="shared" si="587"/>
        <v>0</v>
      </c>
      <c r="DD261" s="645">
        <f t="shared" si="588"/>
        <v>121284.84120584295</v>
      </c>
      <c r="DE261" s="646">
        <f t="shared" si="589"/>
        <v>-8.2170443274255336E-2</v>
      </c>
      <c r="DF261" s="647">
        <f t="shared" si="529"/>
        <v>121284.75903539968</v>
      </c>
      <c r="DG261" s="644">
        <f t="shared" si="590"/>
        <v>0</v>
      </c>
      <c r="DH261" s="645">
        <f t="shared" si="591"/>
        <v>121284.75903539968</v>
      </c>
      <c r="DI261" s="646">
        <f t="shared" si="592"/>
        <v>0</v>
      </c>
      <c r="DJ261" s="647">
        <f t="shared" si="530"/>
        <v>121284.75903539968</v>
      </c>
      <c r="DK261" s="644">
        <f t="shared" si="593"/>
        <v>0</v>
      </c>
      <c r="DL261" s="645">
        <f t="shared" si="594"/>
        <v>121284.75903539968</v>
      </c>
      <c r="DM261" s="646">
        <f t="shared" si="595"/>
        <v>0</v>
      </c>
      <c r="DN261" s="647">
        <f t="shared" si="531"/>
        <v>121284.75903539968</v>
      </c>
      <c r="DR261" s="827">
        <f t="shared" si="485"/>
        <v>520888.37295573135</v>
      </c>
      <c r="DV261" s="828">
        <f>IFERROR(VLOOKUP($B261,'Afton FY16 Final'!$A$5:$BV$587,'Afton FY16 Final'!$BV$587,0),0)</f>
        <v>447122.97709341627</v>
      </c>
      <c r="DX261" s="636">
        <f t="shared" si="473"/>
        <v>520888.37295573135</v>
      </c>
      <c r="DY261" s="637">
        <f t="shared" si="474"/>
        <v>73765.395862315083</v>
      </c>
      <c r="DZ261" s="637">
        <f t="shared" si="475"/>
        <v>447122.97709341627</v>
      </c>
      <c r="EA261" s="643">
        <f t="shared" si="476"/>
        <v>493182.94931933412</v>
      </c>
      <c r="EB261" s="637">
        <f t="shared" si="486"/>
        <v>0</v>
      </c>
      <c r="EC261" s="637">
        <f t="shared" si="487"/>
        <v>493182.94931933412</v>
      </c>
      <c r="ED261" s="637">
        <f t="shared" si="488"/>
        <v>491712.30721129634</v>
      </c>
      <c r="EE261" s="643">
        <f t="shared" si="489"/>
        <v>491712.30721129634</v>
      </c>
      <c r="EF261" s="637">
        <f t="shared" si="490"/>
        <v>0</v>
      </c>
      <c r="EG261" s="637">
        <f t="shared" si="491"/>
        <v>491712.30721129634</v>
      </c>
      <c r="EH261" s="637">
        <f t="shared" si="492"/>
        <v>491711.79993090191</v>
      </c>
      <c r="EI261" s="643">
        <f t="shared" si="493"/>
        <v>491711.79993090191</v>
      </c>
      <c r="EJ261" s="637">
        <f t="shared" si="494"/>
        <v>0</v>
      </c>
      <c r="EK261" s="637">
        <f t="shared" si="495"/>
        <v>491711.79993090191</v>
      </c>
      <c r="EL261" s="637">
        <f t="shared" si="496"/>
        <v>491711.79993090115</v>
      </c>
      <c r="EM261" s="643">
        <f t="shared" si="497"/>
        <v>491711.79993090115</v>
      </c>
      <c r="EN261" s="637">
        <f t="shared" si="498"/>
        <v>0</v>
      </c>
      <c r="EO261" s="637">
        <f t="shared" si="499"/>
        <v>491711.79993090115</v>
      </c>
      <c r="EP261" s="637">
        <f t="shared" si="500"/>
        <v>491711.79993090191</v>
      </c>
      <c r="EQ261" s="643">
        <f t="shared" si="501"/>
        <v>491711.79993090191</v>
      </c>
      <c r="ER261" s="637">
        <f t="shared" si="502"/>
        <v>0</v>
      </c>
      <c r="ES261" s="637">
        <f t="shared" si="503"/>
        <v>491711.79993090191</v>
      </c>
      <c r="ET261" s="637">
        <f t="shared" si="504"/>
        <v>491711.79993090115</v>
      </c>
      <c r="EU261" s="643">
        <f t="shared" si="477"/>
        <v>491711.79993090115</v>
      </c>
      <c r="EV261" s="643">
        <f t="shared" si="478"/>
        <v>0</v>
      </c>
      <c r="EX261" s="829">
        <f t="shared" si="479"/>
        <v>29176.573024830199</v>
      </c>
      <c r="EY261" s="638">
        <f t="shared" si="480"/>
        <v>491711.79993090115</v>
      </c>
      <c r="FC261" s="830" t="str">
        <f t="shared" si="505"/>
        <v>Y</v>
      </c>
      <c r="FE261" s="830" t="str">
        <f>IFERROR(VLOOKUP($B261,'Historical Conc Grant Elig'!$B$3:$J$707,'HH &amp; SI'!FE$2,0),"N")</f>
        <v>N</v>
      </c>
      <c r="FF261" s="830" t="str">
        <f>IFERROR(VLOOKUP($B261,'Historical Conc Grant Elig'!$B$3:$J$707,'HH &amp; SI'!FF$2,0),"N")</f>
        <v>N</v>
      </c>
      <c r="FG261" s="830" t="str">
        <f>IFERROR(VLOOKUP($B261,'Historical Conc Grant Elig'!$B$3:$J$707,'HH &amp; SI'!FG$2,0),"N")</f>
        <v>Y</v>
      </c>
      <c r="FH261" s="830" t="str">
        <f>IFERROR(VLOOKUP($B261,'Historical Conc Grant Elig'!$B$3:$J$707,'HH &amp; SI'!FH$2,0),"N")</f>
        <v>Y</v>
      </c>
      <c r="FI261" s="830" t="str">
        <f>IFERROR(VLOOKUP($B261,'Historical Conc Grant Elig'!$B$3:$J$707,'HH &amp; SI'!FI$2,0),"N")</f>
        <v>Y</v>
      </c>
      <c r="FJ261" s="830" t="str">
        <f>IFERROR(VLOOKUP($B261,'Historical Conc Grant Elig'!$B$3:$J$707,'HH &amp; SI'!FJ$2,0),"N")</f>
        <v>Y</v>
      </c>
      <c r="FK261" s="830" t="str">
        <f>IFERROR(VLOOKUP($B261,'Historical Conc Grant Elig'!$B$3:$J$707,'HH &amp; SI'!FK$2,0),"N")</f>
        <v>Y</v>
      </c>
      <c r="FL261" s="957" t="str">
        <f>IFERROR(VLOOKUP($B261,'Historical Conc Grant Elig'!$B$3:$J$707,'HH &amp; SI'!FL$2,0),"N")</f>
        <v>Y</v>
      </c>
    </row>
    <row r="262" spans="2:168" x14ac:dyDescent="0.25">
      <c r="B262" s="634">
        <v>78792000</v>
      </c>
      <c r="C262" s="635" t="str">
        <f>VLOOKUP($B262,'Afton Update'!$A$5:$CR$582,'Afton Update'!D$589,0)</f>
        <v>Pathfinder Charter School Foundation</v>
      </c>
      <c r="D262" s="636">
        <f>IFERROR(VLOOKUP($B262,'Afton FY16 Final'!$A$5:$BV$587,'Afton FY16 Final'!AQ$587,0),0)</f>
        <v>148652.745800687</v>
      </c>
      <c r="E262" s="637">
        <f>IFERROR(VLOOKUP($B262,'Afton FY16 Final'!$A$5:$BV$587,'Afton FY16 Final'!AR$587,0),0)</f>
        <v>31039.754507459136</v>
      </c>
      <c r="F262" s="637">
        <f>IFERROR(VLOOKUP($B262,'Afton FY16 Final'!$A$5:$BV$587,'Afton FY16 Final'!AS$587,0),0)</f>
        <v>78817.857728125164</v>
      </c>
      <c r="G262" s="637">
        <f>IFERROR(VLOOKUP($B262,'Afton FY16 Final'!$A$5:$BV$587,'Afton FY16 Final'!AT$587,0),0)</f>
        <v>75940.463374315354</v>
      </c>
      <c r="H262" s="638">
        <f>IFERROR(VLOOKUP($B262,'Afton FY16 Final'!$A$5:$BV$587,'Afton FY16 Final'!AU$587,0),0)</f>
        <v>334450.82141058665</v>
      </c>
      <c r="I262" s="639" t="str">
        <f>VLOOKUP($B262,'Afton Update'!$A$5:$CR$582,'Afton Update'!BT$589,0)</f>
        <v>Y</v>
      </c>
      <c r="J262" s="640" t="str">
        <f>VLOOKUP($B262,'Afton Update'!$A$5:$CR$582,'Afton Update'!BU$589,0)</f>
        <v>Y</v>
      </c>
      <c r="K262" s="640" t="str">
        <f>VLOOKUP($B262,'Afton Update'!$A$5:$CR$582,'Afton Update'!BV$589,0)</f>
        <v>Y</v>
      </c>
      <c r="L262" s="641" t="str">
        <f>VLOOKUP($B262,'Afton Update'!$A$5:$CR$582,'Afton Update'!BW$589,0)</f>
        <v>Y</v>
      </c>
      <c r="N262" s="642">
        <f>VLOOKUP($B262,'Afton Update'!$A$5:$CR$582,'Afton Update'!CB$589,0)</f>
        <v>0.95</v>
      </c>
      <c r="P262" s="636">
        <f>VLOOKUP($B262,'Afton Update'!$A$5:$CR$582,'Afton Update'!AH$589,0)</f>
        <v>131782.46995003038</v>
      </c>
      <c r="Q262" s="637">
        <f>VLOOKUP($B262,'Afton Update'!$A$5:$CR$582,'Afton Update'!AI$589,0)</f>
        <v>29383.22424508752</v>
      </c>
      <c r="R262" s="637">
        <f>VLOOKUP($B262,'Afton Update'!$A$5:$CR$582,'Afton Update'!AJ$589,0)</f>
        <v>77152.611116588843</v>
      </c>
      <c r="S262" s="637">
        <f>VLOOKUP($B262,'Afton Update'!$A$5:$CR$582,'Afton Update'!AK$589,0)</f>
        <v>71818.946220496029</v>
      </c>
      <c r="T262" s="643">
        <f t="shared" si="506"/>
        <v>310137.25153220282</v>
      </c>
      <c r="V262" s="636">
        <f t="shared" si="532"/>
        <v>141220.10851065264</v>
      </c>
      <c r="W262" s="637">
        <f t="shared" si="533"/>
        <v>29487.766782086179</v>
      </c>
      <c r="X262" s="637">
        <f t="shared" si="534"/>
        <v>76450.93824158152</v>
      </c>
      <c r="Y262" s="637">
        <f t="shared" si="535"/>
        <v>72143.440205599589</v>
      </c>
      <c r="Z262" s="643">
        <f t="shared" si="536"/>
        <v>319302.25373991992</v>
      </c>
      <c r="AB262" s="644">
        <f t="shared" si="507"/>
        <v>131782.46995003038</v>
      </c>
      <c r="AC262" s="645">
        <f t="shared" si="481"/>
        <v>141220.10851065264</v>
      </c>
      <c r="AD262" s="644">
        <f t="shared" si="537"/>
        <v>9437.6385606222611</v>
      </c>
      <c r="AE262" s="645">
        <f t="shared" si="538"/>
        <v>0</v>
      </c>
      <c r="AF262" s="646">
        <f t="shared" si="539"/>
        <v>0</v>
      </c>
      <c r="AG262" s="647">
        <f t="shared" si="540"/>
        <v>141220.10851065264</v>
      </c>
      <c r="AH262" s="644">
        <f t="shared" si="508"/>
        <v>0</v>
      </c>
      <c r="AI262" s="645">
        <f t="shared" si="509"/>
        <v>0</v>
      </c>
      <c r="AJ262" s="646">
        <f t="shared" si="541"/>
        <v>0</v>
      </c>
      <c r="AK262" s="647">
        <f t="shared" si="510"/>
        <v>141220.10851065264</v>
      </c>
      <c r="AL262" s="644">
        <f t="shared" si="542"/>
        <v>0</v>
      </c>
      <c r="AM262" s="645">
        <f t="shared" si="543"/>
        <v>0</v>
      </c>
      <c r="AN262" s="646">
        <f t="shared" si="544"/>
        <v>0</v>
      </c>
      <c r="AO262" s="647">
        <f t="shared" si="511"/>
        <v>141220.10851065264</v>
      </c>
      <c r="AP262" s="644">
        <f t="shared" si="545"/>
        <v>0</v>
      </c>
      <c r="AQ262" s="645">
        <f t="shared" si="546"/>
        <v>0</v>
      </c>
      <c r="AR262" s="646">
        <f t="shared" si="547"/>
        <v>0</v>
      </c>
      <c r="AS262" s="647">
        <f t="shared" si="512"/>
        <v>141220.10851065264</v>
      </c>
      <c r="AT262" s="644">
        <f t="shared" si="548"/>
        <v>0</v>
      </c>
      <c r="AU262" s="645">
        <f t="shared" si="549"/>
        <v>0</v>
      </c>
      <c r="AV262" s="646">
        <f t="shared" si="550"/>
        <v>0</v>
      </c>
      <c r="AW262" s="647">
        <f t="shared" si="513"/>
        <v>141220.10851065264</v>
      </c>
      <c r="AY262" s="644">
        <f t="shared" si="551"/>
        <v>29383.22424508752</v>
      </c>
      <c r="AZ262" s="645">
        <f t="shared" si="482"/>
        <v>29487.766782086179</v>
      </c>
      <c r="BA262" s="644">
        <f t="shared" si="552"/>
        <v>104.54253699865876</v>
      </c>
      <c r="BB262" s="645">
        <f t="shared" si="553"/>
        <v>0</v>
      </c>
      <c r="BC262" s="646">
        <f t="shared" si="554"/>
        <v>0</v>
      </c>
      <c r="BD262" s="647">
        <f t="shared" si="555"/>
        <v>29487.766782086179</v>
      </c>
      <c r="BE262" s="644">
        <f t="shared" si="514"/>
        <v>0</v>
      </c>
      <c r="BF262" s="645">
        <f t="shared" si="515"/>
        <v>0</v>
      </c>
      <c r="BG262" s="646">
        <f t="shared" si="556"/>
        <v>0</v>
      </c>
      <c r="BH262" s="647">
        <f t="shared" si="516"/>
        <v>29487.766782086179</v>
      </c>
      <c r="BI262" s="644">
        <f t="shared" si="557"/>
        <v>0</v>
      </c>
      <c r="BJ262" s="645">
        <f t="shared" si="558"/>
        <v>0</v>
      </c>
      <c r="BK262" s="646">
        <f t="shared" si="559"/>
        <v>0</v>
      </c>
      <c r="BL262" s="647">
        <f t="shared" si="517"/>
        <v>29487.766782086179</v>
      </c>
      <c r="BM262" s="644">
        <f t="shared" si="560"/>
        <v>0</v>
      </c>
      <c r="BN262" s="645">
        <f t="shared" si="561"/>
        <v>0</v>
      </c>
      <c r="BO262" s="646">
        <f t="shared" si="562"/>
        <v>0</v>
      </c>
      <c r="BP262" s="647">
        <f t="shared" si="518"/>
        <v>29487.766782086179</v>
      </c>
      <c r="BQ262" s="644">
        <f t="shared" si="563"/>
        <v>0</v>
      </c>
      <c r="BR262" s="645">
        <f t="shared" si="564"/>
        <v>0</v>
      </c>
      <c r="BS262" s="646">
        <f t="shared" si="565"/>
        <v>0</v>
      </c>
      <c r="BT262" s="647">
        <f t="shared" si="519"/>
        <v>29487.766782086179</v>
      </c>
      <c r="BU262" s="662">
        <f>VLOOKUP(B262,'Afton Update'!$A$5:$AR$582,'Afton Update'!$AO$589,0)-BT262</f>
        <v>0</v>
      </c>
      <c r="BV262" s="644">
        <f t="shared" si="566"/>
        <v>77152.611116588843</v>
      </c>
      <c r="BW262" s="645">
        <f t="shared" si="483"/>
        <v>74876.964841718902</v>
      </c>
      <c r="BX262" s="644">
        <f t="shared" si="567"/>
        <v>0</v>
      </c>
      <c r="BY262" s="645">
        <f t="shared" si="568"/>
        <v>77152.611116588843</v>
      </c>
      <c r="BZ262" s="646">
        <f t="shared" si="569"/>
        <v>-677.17667054427648</v>
      </c>
      <c r="CA262" s="647">
        <f t="shared" si="570"/>
        <v>76475.434446044572</v>
      </c>
      <c r="CB262" s="644">
        <f t="shared" si="520"/>
        <v>0</v>
      </c>
      <c r="CC262" s="645">
        <f t="shared" si="521"/>
        <v>76475.434446044572</v>
      </c>
      <c r="CD262" s="646">
        <f t="shared" si="571"/>
        <v>-24.496204463055019</v>
      </c>
      <c r="CE262" s="647">
        <f t="shared" si="522"/>
        <v>76450.93824158152</v>
      </c>
      <c r="CF262" s="644">
        <f t="shared" si="572"/>
        <v>0</v>
      </c>
      <c r="CG262" s="645">
        <f t="shared" si="573"/>
        <v>76450.93824158152</v>
      </c>
      <c r="CH262" s="646">
        <f t="shared" si="574"/>
        <v>0</v>
      </c>
      <c r="CI262" s="647">
        <f t="shared" si="523"/>
        <v>76450.93824158152</v>
      </c>
      <c r="CJ262" s="644">
        <f t="shared" si="575"/>
        <v>0</v>
      </c>
      <c r="CK262" s="645">
        <f t="shared" si="576"/>
        <v>76450.93824158152</v>
      </c>
      <c r="CL262" s="646">
        <f t="shared" si="577"/>
        <v>0</v>
      </c>
      <c r="CM262" s="647">
        <f t="shared" si="524"/>
        <v>76450.93824158152</v>
      </c>
      <c r="CN262" s="644">
        <f t="shared" si="578"/>
        <v>0</v>
      </c>
      <c r="CO262" s="645">
        <f t="shared" si="579"/>
        <v>76450.93824158152</v>
      </c>
      <c r="CP262" s="646">
        <f t="shared" si="580"/>
        <v>0</v>
      </c>
      <c r="CQ262" s="647">
        <f t="shared" si="525"/>
        <v>76450.93824158152</v>
      </c>
      <c r="CS262" s="644">
        <f t="shared" si="581"/>
        <v>71818.946220496029</v>
      </c>
      <c r="CT262" s="645">
        <f t="shared" si="484"/>
        <v>72143.440205599589</v>
      </c>
      <c r="CU262" s="644">
        <f t="shared" si="582"/>
        <v>324.49398510355968</v>
      </c>
      <c r="CV262" s="645">
        <f t="shared" si="583"/>
        <v>0</v>
      </c>
      <c r="CW262" s="646">
        <f t="shared" si="584"/>
        <v>0</v>
      </c>
      <c r="CX262" s="647">
        <f t="shared" si="585"/>
        <v>72143.440205599589</v>
      </c>
      <c r="CY262" s="644">
        <f t="shared" si="526"/>
        <v>0</v>
      </c>
      <c r="CZ262" s="645">
        <f t="shared" si="527"/>
        <v>0</v>
      </c>
      <c r="DA262" s="646">
        <f t="shared" si="586"/>
        <v>0</v>
      </c>
      <c r="DB262" s="647">
        <f t="shared" si="528"/>
        <v>72143.440205599589</v>
      </c>
      <c r="DC262" s="644">
        <f t="shared" si="587"/>
        <v>0</v>
      </c>
      <c r="DD262" s="645">
        <f t="shared" si="588"/>
        <v>0</v>
      </c>
      <c r="DE262" s="646">
        <f t="shared" si="589"/>
        <v>0</v>
      </c>
      <c r="DF262" s="647">
        <f t="shared" si="529"/>
        <v>72143.440205599589</v>
      </c>
      <c r="DG262" s="644">
        <f t="shared" si="590"/>
        <v>0</v>
      </c>
      <c r="DH262" s="645">
        <f t="shared" si="591"/>
        <v>0</v>
      </c>
      <c r="DI262" s="646">
        <f t="shared" si="592"/>
        <v>0</v>
      </c>
      <c r="DJ262" s="647">
        <f t="shared" si="530"/>
        <v>72143.440205599589</v>
      </c>
      <c r="DK262" s="644">
        <f t="shared" si="593"/>
        <v>0</v>
      </c>
      <c r="DL262" s="645">
        <f t="shared" si="594"/>
        <v>0</v>
      </c>
      <c r="DM262" s="646">
        <f t="shared" si="595"/>
        <v>0</v>
      </c>
      <c r="DN262" s="647">
        <f t="shared" si="531"/>
        <v>72143.440205599589</v>
      </c>
      <c r="DR262" s="827">
        <f t="shared" si="485"/>
        <v>319302.25373991992</v>
      </c>
      <c r="DV262" s="828">
        <f>IFERROR(VLOOKUP($B262,'Afton FY16 Final'!$A$5:$BV$587,'Afton FY16 Final'!$BV$587,0),0)</f>
        <v>322613.94254271075</v>
      </c>
      <c r="DX262" s="636">
        <f t="shared" si="473"/>
        <v>0</v>
      </c>
      <c r="DY262" s="637">
        <f t="shared" si="474"/>
        <v>0</v>
      </c>
      <c r="DZ262" s="637">
        <f t="shared" si="475"/>
        <v>0</v>
      </c>
      <c r="EA262" s="643">
        <f t="shared" si="476"/>
        <v>0</v>
      </c>
      <c r="EB262" s="637">
        <f t="shared" si="486"/>
        <v>0</v>
      </c>
      <c r="EC262" s="637">
        <f t="shared" si="487"/>
        <v>0</v>
      </c>
      <c r="ED262" s="637">
        <f t="shared" si="488"/>
        <v>0</v>
      </c>
      <c r="EE262" s="643">
        <f t="shared" si="489"/>
        <v>0</v>
      </c>
      <c r="EF262" s="637">
        <f t="shared" si="490"/>
        <v>0</v>
      </c>
      <c r="EG262" s="637">
        <f t="shared" si="491"/>
        <v>0</v>
      </c>
      <c r="EH262" s="637">
        <f t="shared" si="492"/>
        <v>0</v>
      </c>
      <c r="EI262" s="643">
        <f t="shared" si="493"/>
        <v>0</v>
      </c>
      <c r="EJ262" s="637">
        <f t="shared" si="494"/>
        <v>0</v>
      </c>
      <c r="EK262" s="637">
        <f t="shared" si="495"/>
        <v>0</v>
      </c>
      <c r="EL262" s="637">
        <f t="shared" si="496"/>
        <v>0</v>
      </c>
      <c r="EM262" s="643">
        <f t="shared" si="497"/>
        <v>0</v>
      </c>
      <c r="EN262" s="637">
        <f t="shared" si="498"/>
        <v>0</v>
      </c>
      <c r="EO262" s="637">
        <f t="shared" si="499"/>
        <v>0</v>
      </c>
      <c r="EP262" s="637">
        <f t="shared" si="500"/>
        <v>0</v>
      </c>
      <c r="EQ262" s="643">
        <f t="shared" si="501"/>
        <v>0</v>
      </c>
      <c r="ER262" s="637">
        <f t="shared" si="502"/>
        <v>0</v>
      </c>
      <c r="ES262" s="637">
        <f t="shared" si="503"/>
        <v>0</v>
      </c>
      <c r="ET262" s="637">
        <f t="shared" si="504"/>
        <v>0</v>
      </c>
      <c r="EU262" s="643">
        <f t="shared" si="477"/>
        <v>0</v>
      </c>
      <c r="EV262" s="643">
        <f t="shared" si="478"/>
        <v>0</v>
      </c>
      <c r="EX262" s="829">
        <f t="shared" si="479"/>
        <v>0</v>
      </c>
      <c r="EY262" s="638">
        <f t="shared" si="480"/>
        <v>319302.25373991992</v>
      </c>
      <c r="FC262" s="830" t="str">
        <f t="shared" si="505"/>
        <v>Y</v>
      </c>
      <c r="FE262" s="830" t="str">
        <f>IFERROR(VLOOKUP($B262,'Historical Conc Grant Elig'!$B$3:$J$707,'HH &amp; SI'!FE$2,0),"N")</f>
        <v>Y</v>
      </c>
      <c r="FF262" s="830" t="str">
        <f>IFERROR(VLOOKUP($B262,'Historical Conc Grant Elig'!$B$3:$J$707,'HH &amp; SI'!FF$2,0),"N")</f>
        <v>Y</v>
      </c>
      <c r="FG262" s="830" t="str">
        <f>IFERROR(VLOOKUP($B262,'Historical Conc Grant Elig'!$B$3:$J$707,'HH &amp; SI'!FG$2,0),"N")</f>
        <v>Y</v>
      </c>
      <c r="FH262" s="830" t="str">
        <f>IFERROR(VLOOKUP($B262,'Historical Conc Grant Elig'!$B$3:$J$707,'HH &amp; SI'!FH$2,0),"N")</f>
        <v>Y</v>
      </c>
      <c r="FI262" s="830" t="str">
        <f>IFERROR(VLOOKUP($B262,'Historical Conc Grant Elig'!$B$3:$J$707,'HH &amp; SI'!FI$2,0),"N")</f>
        <v>Y</v>
      </c>
      <c r="FJ262" s="830" t="str">
        <f>IFERROR(VLOOKUP($B262,'Historical Conc Grant Elig'!$B$3:$J$707,'HH &amp; SI'!FJ$2,0),"N")</f>
        <v>Y</v>
      </c>
      <c r="FK262" s="830" t="str">
        <f>IFERROR(VLOOKUP($B262,'Historical Conc Grant Elig'!$B$3:$J$707,'HH &amp; SI'!FK$2,0),"N")</f>
        <v>Y</v>
      </c>
      <c r="FL262" s="957" t="str">
        <f>IFERROR(VLOOKUP($B262,'Historical Conc Grant Elig'!$B$3:$J$707,'HH &amp; SI'!FL$2,0),"N")</f>
        <v>Y</v>
      </c>
    </row>
    <row r="263" spans="2:168" x14ac:dyDescent="0.25">
      <c r="B263" s="634">
        <v>78793000</v>
      </c>
      <c r="C263" s="635" t="str">
        <f>VLOOKUP($B263,'Afton Update'!$A$5:$CR$582,'Afton Update'!D$589,0)</f>
        <v>AIBT Non-Profit Charter High School - Phoenix</v>
      </c>
      <c r="D263" s="636">
        <f>IFERROR(VLOOKUP($B263,'Afton FY16 Final'!$A$5:$BV$587,'Afton FY16 Final'!AQ$587,0),0)</f>
        <v>63206.074779168019</v>
      </c>
      <c r="E263" s="637">
        <f>IFERROR(VLOOKUP($B263,'Afton FY16 Final'!$A$5:$BV$587,'Afton FY16 Final'!AR$587,0),0)</f>
        <v>13609.325261952999</v>
      </c>
      <c r="F263" s="637">
        <f>IFERROR(VLOOKUP($B263,'Afton FY16 Final'!$A$5:$BV$587,'Afton FY16 Final'!AS$587,0),0)</f>
        <v>33512.784326077912</v>
      </c>
      <c r="G263" s="637">
        <f>IFERROR(VLOOKUP($B263,'Afton FY16 Final'!$A$5:$BV$587,'Afton FY16 Final'!AT$587,0),0)</f>
        <v>32289.337011220308</v>
      </c>
      <c r="H263" s="638">
        <f>IFERROR(VLOOKUP($B263,'Afton FY16 Final'!$A$5:$BV$587,'Afton FY16 Final'!AU$587,0),0)</f>
        <v>142617.52137841925</v>
      </c>
      <c r="I263" s="639" t="str">
        <f>VLOOKUP($B263,'Afton Update'!$A$5:$CR$582,'Afton Update'!BT$589,0)</f>
        <v>Y</v>
      </c>
      <c r="J263" s="640" t="str">
        <f>VLOOKUP($B263,'Afton Update'!$A$5:$CR$582,'Afton Update'!BU$589,0)</f>
        <v>Y</v>
      </c>
      <c r="K263" s="640" t="str">
        <f>VLOOKUP($B263,'Afton Update'!$A$5:$CR$582,'Afton Update'!BV$589,0)</f>
        <v>Y</v>
      </c>
      <c r="L263" s="641" t="str">
        <f>VLOOKUP($B263,'Afton Update'!$A$5:$CR$582,'Afton Update'!BW$589,0)</f>
        <v>Y</v>
      </c>
      <c r="N263" s="642">
        <f>VLOOKUP($B263,'Afton Update'!$A$5:$CR$582,'Afton Update'!CB$589,0)</f>
        <v>0.95</v>
      </c>
      <c r="P263" s="636">
        <f>VLOOKUP($B263,'Afton Update'!$A$5:$CR$582,'Afton Update'!AH$589,0)</f>
        <v>37310.463361533097</v>
      </c>
      <c r="Q263" s="637">
        <f>VLOOKUP($B263,'Afton Update'!$A$5:$CR$582,'Afton Update'!AI$589,0)</f>
        <v>9846.5652059016065</v>
      </c>
      <c r="R263" s="637">
        <f>VLOOKUP($B263,'Afton Update'!$A$5:$CR$582,'Afton Update'!AJ$589,0)</f>
        <v>21861.736640743849</v>
      </c>
      <c r="S263" s="637">
        <f>VLOOKUP($B263,'Afton Update'!$A$5:$CR$582,'Afton Update'!AK$589,0)</f>
        <v>20350.405065560277</v>
      </c>
      <c r="T263" s="643">
        <f t="shared" si="506"/>
        <v>89369.170273738826</v>
      </c>
      <c r="V263" s="636">
        <f t="shared" si="532"/>
        <v>60045.771040209613</v>
      </c>
      <c r="W263" s="637">
        <f t="shared" si="533"/>
        <v>12928.858998855349</v>
      </c>
      <c r="X263" s="637">
        <f t="shared" si="534"/>
        <v>31837.145109774014</v>
      </c>
      <c r="Y263" s="637">
        <f t="shared" si="535"/>
        <v>30674.870160659291</v>
      </c>
      <c r="Z263" s="643">
        <f t="shared" si="536"/>
        <v>135486.64530949824</v>
      </c>
      <c r="AB263" s="644">
        <f t="shared" si="507"/>
        <v>37310.463361533097</v>
      </c>
      <c r="AC263" s="645">
        <f t="shared" si="481"/>
        <v>60045.771040209613</v>
      </c>
      <c r="AD263" s="644">
        <f t="shared" si="537"/>
        <v>22735.307678676516</v>
      </c>
      <c r="AE263" s="645">
        <f t="shared" si="538"/>
        <v>0</v>
      </c>
      <c r="AF263" s="646">
        <f t="shared" si="539"/>
        <v>0</v>
      </c>
      <c r="AG263" s="647">
        <f t="shared" si="540"/>
        <v>60045.771040209613</v>
      </c>
      <c r="AH263" s="644">
        <f t="shared" si="508"/>
        <v>0</v>
      </c>
      <c r="AI263" s="645">
        <f t="shared" si="509"/>
        <v>0</v>
      </c>
      <c r="AJ263" s="646">
        <f t="shared" si="541"/>
        <v>0</v>
      </c>
      <c r="AK263" s="647">
        <f t="shared" si="510"/>
        <v>60045.771040209613</v>
      </c>
      <c r="AL263" s="644">
        <f t="shared" si="542"/>
        <v>0</v>
      </c>
      <c r="AM263" s="645">
        <f t="shared" si="543"/>
        <v>0</v>
      </c>
      <c r="AN263" s="646">
        <f t="shared" si="544"/>
        <v>0</v>
      </c>
      <c r="AO263" s="647">
        <f t="shared" si="511"/>
        <v>60045.771040209613</v>
      </c>
      <c r="AP263" s="644">
        <f t="shared" si="545"/>
        <v>0</v>
      </c>
      <c r="AQ263" s="645">
        <f t="shared" si="546"/>
        <v>0</v>
      </c>
      <c r="AR263" s="646">
        <f t="shared" si="547"/>
        <v>0</v>
      </c>
      <c r="AS263" s="647">
        <f t="shared" si="512"/>
        <v>60045.771040209613</v>
      </c>
      <c r="AT263" s="644">
        <f t="shared" si="548"/>
        <v>0</v>
      </c>
      <c r="AU263" s="645">
        <f t="shared" si="549"/>
        <v>0</v>
      </c>
      <c r="AV263" s="646">
        <f t="shared" si="550"/>
        <v>0</v>
      </c>
      <c r="AW263" s="647">
        <f t="shared" si="513"/>
        <v>60045.771040209613</v>
      </c>
      <c r="AY263" s="644">
        <f t="shared" si="551"/>
        <v>9846.5652059016065</v>
      </c>
      <c r="AZ263" s="645">
        <f t="shared" si="482"/>
        <v>12928.858998855349</v>
      </c>
      <c r="BA263" s="644">
        <f t="shared" si="552"/>
        <v>3082.293792953742</v>
      </c>
      <c r="BB263" s="645">
        <f t="shared" si="553"/>
        <v>0</v>
      </c>
      <c r="BC263" s="646">
        <f t="shared" si="554"/>
        <v>0</v>
      </c>
      <c r="BD263" s="647">
        <f t="shared" si="555"/>
        <v>12928.858998855349</v>
      </c>
      <c r="BE263" s="644">
        <f t="shared" si="514"/>
        <v>0</v>
      </c>
      <c r="BF263" s="645">
        <f t="shared" si="515"/>
        <v>0</v>
      </c>
      <c r="BG263" s="646">
        <f t="shared" si="556"/>
        <v>0</v>
      </c>
      <c r="BH263" s="647">
        <f t="shared" si="516"/>
        <v>12928.858998855349</v>
      </c>
      <c r="BI263" s="644">
        <f t="shared" si="557"/>
        <v>0</v>
      </c>
      <c r="BJ263" s="645">
        <f t="shared" si="558"/>
        <v>0</v>
      </c>
      <c r="BK263" s="646">
        <f t="shared" si="559"/>
        <v>0</v>
      </c>
      <c r="BL263" s="647">
        <f t="shared" si="517"/>
        <v>12928.858998855349</v>
      </c>
      <c r="BM263" s="644">
        <f t="shared" si="560"/>
        <v>0</v>
      </c>
      <c r="BN263" s="645">
        <f t="shared" si="561"/>
        <v>0</v>
      </c>
      <c r="BO263" s="646">
        <f t="shared" si="562"/>
        <v>0</v>
      </c>
      <c r="BP263" s="647">
        <f t="shared" si="518"/>
        <v>12928.858998855349</v>
      </c>
      <c r="BQ263" s="644">
        <f t="shared" si="563"/>
        <v>0</v>
      </c>
      <c r="BR263" s="645">
        <f t="shared" si="564"/>
        <v>0</v>
      </c>
      <c r="BS263" s="646">
        <f t="shared" si="565"/>
        <v>0</v>
      </c>
      <c r="BT263" s="647">
        <f t="shared" si="519"/>
        <v>12928.858998855349</v>
      </c>
      <c r="BU263" s="662">
        <f>VLOOKUP(B263,'Afton Update'!$A$5:$AR$582,'Afton Update'!$AO$589,0)-BT263</f>
        <v>0</v>
      </c>
      <c r="BV263" s="644">
        <f t="shared" si="566"/>
        <v>21861.736640743849</v>
      </c>
      <c r="BW263" s="645">
        <f t="shared" si="483"/>
        <v>31837.145109774014</v>
      </c>
      <c r="BX263" s="644">
        <f t="shared" si="567"/>
        <v>9975.4084690301643</v>
      </c>
      <c r="BY263" s="645">
        <f t="shared" si="568"/>
        <v>0</v>
      </c>
      <c r="BZ263" s="646">
        <f t="shared" si="569"/>
        <v>0</v>
      </c>
      <c r="CA263" s="647">
        <f t="shared" si="570"/>
        <v>31837.145109774014</v>
      </c>
      <c r="CB263" s="644">
        <f t="shared" si="520"/>
        <v>0</v>
      </c>
      <c r="CC263" s="645">
        <f t="shared" si="521"/>
        <v>0</v>
      </c>
      <c r="CD263" s="646">
        <f t="shared" si="571"/>
        <v>0</v>
      </c>
      <c r="CE263" s="647">
        <f t="shared" si="522"/>
        <v>31837.145109774014</v>
      </c>
      <c r="CF263" s="644">
        <f t="shared" si="572"/>
        <v>0</v>
      </c>
      <c r="CG263" s="645">
        <f t="shared" si="573"/>
        <v>0</v>
      </c>
      <c r="CH263" s="646">
        <f t="shared" si="574"/>
        <v>0</v>
      </c>
      <c r="CI263" s="647">
        <f t="shared" si="523"/>
        <v>31837.145109774014</v>
      </c>
      <c r="CJ263" s="644">
        <f t="shared" si="575"/>
        <v>0</v>
      </c>
      <c r="CK263" s="645">
        <f t="shared" si="576"/>
        <v>0</v>
      </c>
      <c r="CL263" s="646">
        <f t="shared" si="577"/>
        <v>0</v>
      </c>
      <c r="CM263" s="647">
        <f t="shared" si="524"/>
        <v>31837.145109774014</v>
      </c>
      <c r="CN263" s="644">
        <f t="shared" si="578"/>
        <v>0</v>
      </c>
      <c r="CO263" s="645">
        <f t="shared" si="579"/>
        <v>0</v>
      </c>
      <c r="CP263" s="646">
        <f t="shared" si="580"/>
        <v>0</v>
      </c>
      <c r="CQ263" s="647">
        <f t="shared" si="525"/>
        <v>31837.145109774014</v>
      </c>
      <c r="CS263" s="644">
        <f t="shared" si="581"/>
        <v>20350.405065560277</v>
      </c>
      <c r="CT263" s="645">
        <f t="shared" si="484"/>
        <v>30674.870160659291</v>
      </c>
      <c r="CU263" s="644">
        <f t="shared" si="582"/>
        <v>10324.465095099014</v>
      </c>
      <c r="CV263" s="645">
        <f t="shared" si="583"/>
        <v>0</v>
      </c>
      <c r="CW263" s="646">
        <f t="shared" si="584"/>
        <v>0</v>
      </c>
      <c r="CX263" s="647">
        <f t="shared" si="585"/>
        <v>30674.870160659291</v>
      </c>
      <c r="CY263" s="644">
        <f t="shared" si="526"/>
        <v>0</v>
      </c>
      <c r="CZ263" s="645">
        <f t="shared" si="527"/>
        <v>0</v>
      </c>
      <c r="DA263" s="646">
        <f t="shared" si="586"/>
        <v>0</v>
      </c>
      <c r="DB263" s="647">
        <f t="shared" si="528"/>
        <v>30674.870160659291</v>
      </c>
      <c r="DC263" s="644">
        <f t="shared" si="587"/>
        <v>0</v>
      </c>
      <c r="DD263" s="645">
        <f t="shared" si="588"/>
        <v>0</v>
      </c>
      <c r="DE263" s="646">
        <f t="shared" si="589"/>
        <v>0</v>
      </c>
      <c r="DF263" s="647">
        <f t="shared" si="529"/>
        <v>30674.870160659291</v>
      </c>
      <c r="DG263" s="644">
        <f t="shared" si="590"/>
        <v>0</v>
      </c>
      <c r="DH263" s="645">
        <f t="shared" si="591"/>
        <v>0</v>
      </c>
      <c r="DI263" s="646">
        <f t="shared" si="592"/>
        <v>0</v>
      </c>
      <c r="DJ263" s="647">
        <f t="shared" si="530"/>
        <v>30674.870160659291</v>
      </c>
      <c r="DK263" s="644">
        <f t="shared" si="593"/>
        <v>0</v>
      </c>
      <c r="DL263" s="645">
        <f t="shared" si="594"/>
        <v>0</v>
      </c>
      <c r="DM263" s="646">
        <f t="shared" si="595"/>
        <v>0</v>
      </c>
      <c r="DN263" s="647">
        <f t="shared" si="531"/>
        <v>30674.870160659291</v>
      </c>
      <c r="DR263" s="827">
        <f t="shared" si="485"/>
        <v>135486.64530949824</v>
      </c>
      <c r="DV263" s="828">
        <f>IFERROR(VLOOKUP($B263,'Afton FY16 Final'!$A$5:$BV$587,'Afton FY16 Final'!$BV$587,0),0)</f>
        <v>134687.62778499461</v>
      </c>
      <c r="DX263" s="636">
        <f t="shared" ref="DX263:DX326" si="719">IF(DR263&gt;DV263,DR263,0)</f>
        <v>135486.64530949824</v>
      </c>
      <c r="DY263" s="637">
        <f t="shared" ref="DY263:DY326" si="720">IF(DX263&gt;0,DX263-DV263,0)</f>
        <v>799.01752450363711</v>
      </c>
      <c r="DZ263" s="637">
        <f t="shared" ref="DZ263:DZ326" si="721">IF(DX263=0,0,DV263)</f>
        <v>134687.62778499461</v>
      </c>
      <c r="EA263" s="643">
        <f t="shared" ref="EA263:EA326" si="722">DX263/$DX$2*$EA$2</f>
        <v>128280.27423219074</v>
      </c>
      <c r="EB263" s="637">
        <f t="shared" si="486"/>
        <v>134687.62778499461</v>
      </c>
      <c r="EC263" s="637">
        <f t="shared" si="487"/>
        <v>0</v>
      </c>
      <c r="ED263" s="637">
        <f t="shared" si="488"/>
        <v>0</v>
      </c>
      <c r="EE263" s="643">
        <f t="shared" si="489"/>
        <v>134687.62778499461</v>
      </c>
      <c r="EF263" s="637">
        <f t="shared" si="490"/>
        <v>0</v>
      </c>
      <c r="EG263" s="637">
        <f t="shared" si="491"/>
        <v>0</v>
      </c>
      <c r="EH263" s="637">
        <f t="shared" si="492"/>
        <v>0</v>
      </c>
      <c r="EI263" s="643">
        <f t="shared" si="493"/>
        <v>134687.62778499461</v>
      </c>
      <c r="EJ263" s="637">
        <f t="shared" si="494"/>
        <v>0</v>
      </c>
      <c r="EK263" s="637">
        <f t="shared" si="495"/>
        <v>0</v>
      </c>
      <c r="EL263" s="637">
        <f t="shared" si="496"/>
        <v>0</v>
      </c>
      <c r="EM263" s="643">
        <f t="shared" si="497"/>
        <v>134687.62778499461</v>
      </c>
      <c r="EN263" s="637">
        <f t="shared" si="498"/>
        <v>0</v>
      </c>
      <c r="EO263" s="637">
        <f t="shared" si="499"/>
        <v>0</v>
      </c>
      <c r="EP263" s="637">
        <f t="shared" si="500"/>
        <v>0</v>
      </c>
      <c r="EQ263" s="643">
        <f t="shared" si="501"/>
        <v>134687.62778499461</v>
      </c>
      <c r="ER263" s="637">
        <f t="shared" si="502"/>
        <v>0</v>
      </c>
      <c r="ES263" s="637">
        <f t="shared" si="503"/>
        <v>0</v>
      </c>
      <c r="ET263" s="637">
        <f t="shared" si="504"/>
        <v>0</v>
      </c>
      <c r="EU263" s="643">
        <f t="shared" ref="EU263:EU326" si="723">$EJ263+$EF263+$EB263+ET263+ER263+EN263</f>
        <v>134687.62778499461</v>
      </c>
      <c r="EV263" s="643">
        <f t="shared" ref="EV263:EV326" si="724">IF(EU263&lt;$DZ263,$DZ263,0)</f>
        <v>0</v>
      </c>
      <c r="EX263" s="829">
        <f t="shared" ref="EX263:EX326" si="725">IF(EU263=0,0,DR263-EU263)</f>
        <v>799.01752450363711</v>
      </c>
      <c r="EY263" s="638">
        <f t="shared" ref="EY263:EY326" si="726">IF(EU263=0,DR263,EU263)</f>
        <v>134687.62778499461</v>
      </c>
      <c r="FC263" s="830" t="str">
        <f t="shared" si="505"/>
        <v>Y</v>
      </c>
      <c r="FE263" s="830" t="str">
        <f>IFERROR(VLOOKUP($B263,'Historical Conc Grant Elig'!$B$3:$J$707,'HH &amp; SI'!FE$2,0),"N")</f>
        <v>Y</v>
      </c>
      <c r="FF263" s="830" t="str">
        <f>IFERROR(VLOOKUP($B263,'Historical Conc Grant Elig'!$B$3:$J$707,'HH &amp; SI'!FF$2,0),"N")</f>
        <v>Y</v>
      </c>
      <c r="FG263" s="830" t="str">
        <f>IFERROR(VLOOKUP($B263,'Historical Conc Grant Elig'!$B$3:$J$707,'HH &amp; SI'!FG$2,0),"N")</f>
        <v>Y</v>
      </c>
      <c r="FH263" s="830" t="str">
        <f>IFERROR(VLOOKUP($B263,'Historical Conc Grant Elig'!$B$3:$J$707,'HH &amp; SI'!FH$2,0),"N")</f>
        <v>Y</v>
      </c>
      <c r="FI263" s="830" t="str">
        <f>IFERROR(VLOOKUP($B263,'Historical Conc Grant Elig'!$B$3:$J$707,'HH &amp; SI'!FI$2,0),"N")</f>
        <v>Y</v>
      </c>
      <c r="FJ263" s="830" t="str">
        <f>IFERROR(VLOOKUP($B263,'Historical Conc Grant Elig'!$B$3:$J$707,'HH &amp; SI'!FJ$2,0),"N")</f>
        <v>Y</v>
      </c>
      <c r="FK263" s="830" t="str">
        <f>IFERROR(VLOOKUP($B263,'Historical Conc Grant Elig'!$B$3:$J$707,'HH &amp; SI'!FK$2,0),"N")</f>
        <v>Y</v>
      </c>
      <c r="FL263" s="957" t="str">
        <f>IFERROR(VLOOKUP($B263,'Historical Conc Grant Elig'!$B$3:$J$707,'HH &amp; SI'!FL$2,0),"N")</f>
        <v>Y</v>
      </c>
    </row>
    <row r="264" spans="2:168" x14ac:dyDescent="0.25">
      <c r="B264" s="634">
        <v>78794000</v>
      </c>
      <c r="C264" s="635" t="str">
        <f>VLOOKUP($B264,'Afton Update'!$A$5:$CR$582,'Afton Update'!D$589,0)</f>
        <v>Academy with Community Partners  Inc</v>
      </c>
      <c r="D264" s="636">
        <f>IFERROR(VLOOKUP($B264,'Afton FY16 Final'!$A$5:$BV$587,'Afton FY16 Final'!AQ$587,0),0)</f>
        <v>23959.496886746401</v>
      </c>
      <c r="E264" s="637">
        <f>IFERROR(VLOOKUP($B264,'Afton FY16 Final'!$A$5:$BV$587,'Afton FY16 Final'!AR$587,0),0)</f>
        <v>5215.0675516525926</v>
      </c>
      <c r="F264" s="637">
        <f>IFERROR(VLOOKUP($B264,'Afton FY16 Final'!$A$5:$BV$587,'Afton FY16 Final'!AS$587,0),0)</f>
        <v>12020.036830081501</v>
      </c>
      <c r="G264" s="637">
        <f>IFERROR(VLOOKUP($B264,'Afton FY16 Final'!$A$5:$BV$587,'Afton FY16 Final'!AT$587,0),0)</f>
        <v>11279.897805483439</v>
      </c>
      <c r="H264" s="638">
        <f>IFERROR(VLOOKUP($B264,'Afton FY16 Final'!$A$5:$BV$587,'Afton FY16 Final'!AU$587,0),0)</f>
        <v>52474.499073963932</v>
      </c>
      <c r="I264" s="639" t="str">
        <f>VLOOKUP($B264,'Afton Update'!$A$5:$CR$582,'Afton Update'!BT$589,0)</f>
        <v>Y</v>
      </c>
      <c r="J264" s="640" t="str">
        <f>VLOOKUP($B264,'Afton Update'!$A$5:$CR$582,'Afton Update'!BU$589,0)</f>
        <v>Y</v>
      </c>
      <c r="K264" s="640" t="str">
        <f>VLOOKUP($B264,'Afton Update'!$A$5:$CR$582,'Afton Update'!BV$589,0)</f>
        <v>Y</v>
      </c>
      <c r="L264" s="641" t="str">
        <f>VLOOKUP($B264,'Afton Update'!$A$5:$CR$582,'Afton Update'!BW$589,0)</f>
        <v>Y</v>
      </c>
      <c r="N264" s="642">
        <f>VLOOKUP($B264,'Afton Update'!$A$5:$CR$582,'Afton Update'!CB$589,0)</f>
        <v>0.95</v>
      </c>
      <c r="P264" s="636">
        <f>VLOOKUP($B264,'Afton Update'!$A$5:$CR$582,'Afton Update'!AH$589,0)</f>
        <v>9805.9551142490836</v>
      </c>
      <c r="Q264" s="637">
        <f>VLOOKUP($B264,'Afton Update'!$A$5:$CR$582,'Afton Update'!AI$589,0)</f>
        <v>4158.6771312019091</v>
      </c>
      <c r="R264" s="637">
        <f>VLOOKUP($B264,'Afton Update'!$A$5:$CR$582,'Afton Update'!AJ$589,0)</f>
        <v>5764.393438915562</v>
      </c>
      <c r="S264" s="637">
        <f>VLOOKUP($B264,'Afton Update'!$A$5:$CR$582,'Afton Update'!AK$589,0)</f>
        <v>5365.8930837435437</v>
      </c>
      <c r="T264" s="643">
        <f t="shared" si="506"/>
        <v>25094.918768110099</v>
      </c>
      <c r="V264" s="636">
        <f t="shared" si="532"/>
        <v>22761.52204240908</v>
      </c>
      <c r="W264" s="637">
        <f t="shared" si="533"/>
        <v>4954.314174069963</v>
      </c>
      <c r="X264" s="637">
        <f t="shared" si="534"/>
        <v>11419.034988577425</v>
      </c>
      <c r="Y264" s="637">
        <f t="shared" si="535"/>
        <v>10715.902915209266</v>
      </c>
      <c r="Z264" s="643">
        <f t="shared" si="536"/>
        <v>49850.774120265734</v>
      </c>
      <c r="AB264" s="644">
        <f t="shared" si="507"/>
        <v>9805.9551142490836</v>
      </c>
      <c r="AC264" s="645">
        <f t="shared" ref="AC264:AC327" si="727">IF(I264="N",0,D264*$N264)</f>
        <v>22761.52204240908</v>
      </c>
      <c r="AD264" s="644">
        <f t="shared" si="537"/>
        <v>12955.566928159997</v>
      </c>
      <c r="AE264" s="645">
        <f t="shared" si="538"/>
        <v>0</v>
      </c>
      <c r="AF264" s="646">
        <f t="shared" si="539"/>
        <v>0</v>
      </c>
      <c r="AG264" s="647">
        <f t="shared" si="540"/>
        <v>22761.52204240908</v>
      </c>
      <c r="AH264" s="644">
        <f t="shared" si="508"/>
        <v>0</v>
      </c>
      <c r="AI264" s="645">
        <f t="shared" si="509"/>
        <v>0</v>
      </c>
      <c r="AJ264" s="646">
        <f t="shared" si="541"/>
        <v>0</v>
      </c>
      <c r="AK264" s="647">
        <f t="shared" si="510"/>
        <v>22761.52204240908</v>
      </c>
      <c r="AL264" s="644">
        <f t="shared" si="542"/>
        <v>0</v>
      </c>
      <c r="AM264" s="645">
        <f t="shared" si="543"/>
        <v>0</v>
      </c>
      <c r="AN264" s="646">
        <f t="shared" si="544"/>
        <v>0</v>
      </c>
      <c r="AO264" s="647">
        <f t="shared" si="511"/>
        <v>22761.52204240908</v>
      </c>
      <c r="AP264" s="644">
        <f t="shared" si="545"/>
        <v>0</v>
      </c>
      <c r="AQ264" s="645">
        <f t="shared" si="546"/>
        <v>0</v>
      </c>
      <c r="AR264" s="646">
        <f t="shared" si="547"/>
        <v>0</v>
      </c>
      <c r="AS264" s="647">
        <f t="shared" si="512"/>
        <v>22761.52204240908</v>
      </c>
      <c r="AT264" s="644">
        <f t="shared" si="548"/>
        <v>0</v>
      </c>
      <c r="AU264" s="645">
        <f t="shared" si="549"/>
        <v>0</v>
      </c>
      <c r="AV264" s="646">
        <f t="shared" si="550"/>
        <v>0</v>
      </c>
      <c r="AW264" s="647">
        <f t="shared" si="513"/>
        <v>22761.52204240908</v>
      </c>
      <c r="AY264" s="644">
        <f t="shared" si="551"/>
        <v>4158.6771312019091</v>
      </c>
      <c r="AZ264" s="645">
        <f t="shared" ref="AZ264:AZ327" si="728">IF(AND($J264="N",FC264="N"),0,E264*$N264)</f>
        <v>4954.314174069963</v>
      </c>
      <c r="BA264" s="644">
        <f t="shared" si="552"/>
        <v>795.63704286805387</v>
      </c>
      <c r="BB264" s="645">
        <f t="shared" si="553"/>
        <v>0</v>
      </c>
      <c r="BC264" s="646">
        <f t="shared" si="554"/>
        <v>0</v>
      </c>
      <c r="BD264" s="647">
        <f t="shared" si="555"/>
        <v>4954.314174069963</v>
      </c>
      <c r="BE264" s="644">
        <f t="shared" si="514"/>
        <v>0</v>
      </c>
      <c r="BF264" s="645">
        <f t="shared" si="515"/>
        <v>0</v>
      </c>
      <c r="BG264" s="646">
        <f t="shared" si="556"/>
        <v>0</v>
      </c>
      <c r="BH264" s="647">
        <f t="shared" si="516"/>
        <v>4954.314174069963</v>
      </c>
      <c r="BI264" s="644">
        <f t="shared" si="557"/>
        <v>0</v>
      </c>
      <c r="BJ264" s="645">
        <f t="shared" si="558"/>
        <v>0</v>
      </c>
      <c r="BK264" s="646">
        <f t="shared" si="559"/>
        <v>0</v>
      </c>
      <c r="BL264" s="647">
        <f t="shared" si="517"/>
        <v>4954.314174069963</v>
      </c>
      <c r="BM264" s="644">
        <f t="shared" si="560"/>
        <v>0</v>
      </c>
      <c r="BN264" s="645">
        <f t="shared" si="561"/>
        <v>0</v>
      </c>
      <c r="BO264" s="646">
        <f t="shared" si="562"/>
        <v>0</v>
      </c>
      <c r="BP264" s="647">
        <f t="shared" si="518"/>
        <v>4954.314174069963</v>
      </c>
      <c r="BQ264" s="644">
        <f t="shared" si="563"/>
        <v>0</v>
      </c>
      <c r="BR264" s="645">
        <f t="shared" si="564"/>
        <v>0</v>
      </c>
      <c r="BS264" s="646">
        <f t="shared" si="565"/>
        <v>0</v>
      </c>
      <c r="BT264" s="647">
        <f t="shared" si="519"/>
        <v>4954.314174069963</v>
      </c>
      <c r="BU264" s="662">
        <f>VLOOKUP(B264,'Afton Update'!$A$5:$AR$582,'Afton Update'!$AO$589,0)-BT264</f>
        <v>0</v>
      </c>
      <c r="BV264" s="644">
        <f t="shared" si="566"/>
        <v>5764.393438915562</v>
      </c>
      <c r="BW264" s="645">
        <f t="shared" ref="BW264:BW327" si="729">IF($K264="N",0,F264*$N264)</f>
        <v>11419.034988577425</v>
      </c>
      <c r="BX264" s="644">
        <f t="shared" si="567"/>
        <v>5654.6415496618629</v>
      </c>
      <c r="BY264" s="645">
        <f t="shared" si="568"/>
        <v>0</v>
      </c>
      <c r="BZ264" s="646">
        <f t="shared" si="569"/>
        <v>0</v>
      </c>
      <c r="CA264" s="647">
        <f t="shared" si="570"/>
        <v>11419.034988577425</v>
      </c>
      <c r="CB264" s="644">
        <f t="shared" si="520"/>
        <v>0</v>
      </c>
      <c r="CC264" s="645">
        <f t="shared" si="521"/>
        <v>0</v>
      </c>
      <c r="CD264" s="646">
        <f t="shared" si="571"/>
        <v>0</v>
      </c>
      <c r="CE264" s="647">
        <f t="shared" si="522"/>
        <v>11419.034988577425</v>
      </c>
      <c r="CF264" s="644">
        <f t="shared" si="572"/>
        <v>0</v>
      </c>
      <c r="CG264" s="645">
        <f t="shared" si="573"/>
        <v>0</v>
      </c>
      <c r="CH264" s="646">
        <f t="shared" si="574"/>
        <v>0</v>
      </c>
      <c r="CI264" s="647">
        <f t="shared" si="523"/>
        <v>11419.034988577425</v>
      </c>
      <c r="CJ264" s="644">
        <f t="shared" si="575"/>
        <v>0</v>
      </c>
      <c r="CK264" s="645">
        <f t="shared" si="576"/>
        <v>0</v>
      </c>
      <c r="CL264" s="646">
        <f t="shared" si="577"/>
        <v>0</v>
      </c>
      <c r="CM264" s="647">
        <f t="shared" si="524"/>
        <v>11419.034988577425</v>
      </c>
      <c r="CN264" s="644">
        <f t="shared" si="578"/>
        <v>0</v>
      </c>
      <c r="CO264" s="645">
        <f t="shared" si="579"/>
        <v>0</v>
      </c>
      <c r="CP264" s="646">
        <f t="shared" si="580"/>
        <v>0</v>
      </c>
      <c r="CQ264" s="647">
        <f t="shared" si="525"/>
        <v>11419.034988577425</v>
      </c>
      <c r="CS264" s="644">
        <f t="shared" si="581"/>
        <v>5365.8930837435437</v>
      </c>
      <c r="CT264" s="645">
        <f t="shared" ref="CT264:CT327" si="730">IF($L264="N",0,G264*$N264)</f>
        <v>10715.902915209266</v>
      </c>
      <c r="CU264" s="644">
        <f t="shared" si="582"/>
        <v>5350.0098314657225</v>
      </c>
      <c r="CV264" s="645">
        <f t="shared" si="583"/>
        <v>0</v>
      </c>
      <c r="CW264" s="646">
        <f t="shared" si="584"/>
        <v>0</v>
      </c>
      <c r="CX264" s="647">
        <f t="shared" si="585"/>
        <v>10715.902915209266</v>
      </c>
      <c r="CY264" s="644">
        <f t="shared" si="526"/>
        <v>0</v>
      </c>
      <c r="CZ264" s="645">
        <f t="shared" si="527"/>
        <v>0</v>
      </c>
      <c r="DA264" s="646">
        <f t="shared" si="586"/>
        <v>0</v>
      </c>
      <c r="DB264" s="647">
        <f t="shared" si="528"/>
        <v>10715.902915209266</v>
      </c>
      <c r="DC264" s="644">
        <f t="shared" si="587"/>
        <v>0</v>
      </c>
      <c r="DD264" s="645">
        <f t="shared" si="588"/>
        <v>0</v>
      </c>
      <c r="DE264" s="646">
        <f t="shared" si="589"/>
        <v>0</v>
      </c>
      <c r="DF264" s="647">
        <f t="shared" si="529"/>
        <v>10715.902915209266</v>
      </c>
      <c r="DG264" s="644">
        <f t="shared" si="590"/>
        <v>0</v>
      </c>
      <c r="DH264" s="645">
        <f t="shared" si="591"/>
        <v>0</v>
      </c>
      <c r="DI264" s="646">
        <f t="shared" si="592"/>
        <v>0</v>
      </c>
      <c r="DJ264" s="647">
        <f t="shared" si="530"/>
        <v>10715.902915209266</v>
      </c>
      <c r="DK264" s="644">
        <f t="shared" si="593"/>
        <v>0</v>
      </c>
      <c r="DL264" s="645">
        <f t="shared" si="594"/>
        <v>0</v>
      </c>
      <c r="DM264" s="646">
        <f t="shared" si="595"/>
        <v>0</v>
      </c>
      <c r="DN264" s="647">
        <f t="shared" si="531"/>
        <v>10715.902915209266</v>
      </c>
      <c r="DR264" s="827">
        <f t="shared" ref="DR264:DR327" si="731">Z264</f>
        <v>49850.774120265734</v>
      </c>
      <c r="DV264" s="828">
        <f>IFERROR(VLOOKUP($B264,'Afton FY16 Final'!$A$5:$BV$587,'Afton FY16 Final'!$BV$587,0),0)</f>
        <v>49782.264020899733</v>
      </c>
      <c r="DX264" s="636">
        <f t="shared" si="719"/>
        <v>49850.774120265734</v>
      </c>
      <c r="DY264" s="637">
        <f t="shared" si="720"/>
        <v>68.510099366001668</v>
      </c>
      <c r="DZ264" s="637">
        <f t="shared" si="721"/>
        <v>49782.264020899733</v>
      </c>
      <c r="EA264" s="643">
        <f t="shared" si="722"/>
        <v>47199.271634681005</v>
      </c>
      <c r="EB264" s="637">
        <f t="shared" ref="EB264:EB327" si="732">IF(EA264&lt;$DZ264,$DZ264,0)</f>
        <v>49782.264020899733</v>
      </c>
      <c r="EC264" s="637">
        <f t="shared" ref="EC264:EC327" si="733">IF(EB264=0,EA264,0)</f>
        <v>0</v>
      </c>
      <c r="ED264" s="637">
        <f t="shared" ref="ED264:ED327" si="734">EC264/EC$2*ED$2</f>
        <v>0</v>
      </c>
      <c r="EE264" s="643">
        <f t="shared" ref="EE264:EE327" si="735">ED264+EB264</f>
        <v>49782.264020899733</v>
      </c>
      <c r="EF264" s="637">
        <f t="shared" ref="EF264:EF327" si="736">IF(EE264&lt;$DZ264,$DZ264,0)</f>
        <v>0</v>
      </c>
      <c r="EG264" s="637">
        <f t="shared" ref="EG264:EG327" si="737">IF(EB264+EF264=0,EE264,0)</f>
        <v>0</v>
      </c>
      <c r="EH264" s="637">
        <f t="shared" ref="EH264:EH327" si="738">EG264/EG$2*EH$2</f>
        <v>0</v>
      </c>
      <c r="EI264" s="643">
        <f t="shared" ref="EI264:EI327" si="739">EH264+EF264+EB264</f>
        <v>49782.264020899733</v>
      </c>
      <c r="EJ264" s="637">
        <f t="shared" ref="EJ264:EJ327" si="740">IF(EI264&lt;$DZ264,$DZ264,0)</f>
        <v>0</v>
      </c>
      <c r="EK264" s="637">
        <f t="shared" ref="EK264:EK327" si="741">IF($EB264+$EF264+$EJ264=0,EI264,0)</f>
        <v>0</v>
      </c>
      <c r="EL264" s="637">
        <f t="shared" ref="EL264:EL327" si="742">EK264/EK$2*EL$2</f>
        <v>0</v>
      </c>
      <c r="EM264" s="643">
        <f t="shared" ref="EM264:EM327" si="743">$EJ264+$EF264+$EB264+EL264</f>
        <v>49782.264020899733</v>
      </c>
      <c r="EN264" s="637">
        <f t="shared" ref="EN264:EN327" si="744">IF(EM264&lt;$DZ264,$DZ264,0)</f>
        <v>0</v>
      </c>
      <c r="EO264" s="637">
        <f t="shared" ref="EO264:EO327" si="745">IF($EB264+$EF264+$EJ264+EN264=0,EM264,0)</f>
        <v>0</v>
      </c>
      <c r="EP264" s="637">
        <f t="shared" ref="EP264:EP327" si="746">EO264/EO$2*EP$2</f>
        <v>0</v>
      </c>
      <c r="EQ264" s="643">
        <f t="shared" ref="EQ264:EQ327" si="747">$EJ264+$EF264+$EB264+EP264+EN264</f>
        <v>49782.264020899733</v>
      </c>
      <c r="ER264" s="637">
        <f t="shared" ref="ER264:ER327" si="748">IF(EQ264&lt;$DZ264,$DZ264,0)</f>
        <v>0</v>
      </c>
      <c r="ES264" s="637">
        <f t="shared" ref="ES264:ES327" si="749">IF($EB264+$EF264+$EJ264+EN264+ER264=0,EQ264,0)</f>
        <v>0</v>
      </c>
      <c r="ET264" s="637">
        <f t="shared" ref="ET264:ET327" si="750">ES264/ES$2*ET$2</f>
        <v>0</v>
      </c>
      <c r="EU264" s="643">
        <f t="shared" si="723"/>
        <v>49782.264020899733</v>
      </c>
      <c r="EV264" s="643">
        <f t="shared" si="724"/>
        <v>0</v>
      </c>
      <c r="EX264" s="829">
        <f t="shared" si="725"/>
        <v>68.510099366001668</v>
      </c>
      <c r="EY264" s="638">
        <f t="shared" si="726"/>
        <v>49782.264020899733</v>
      </c>
      <c r="FC264" s="830" t="str">
        <f t="shared" ref="FC264:FC327" si="751">IF(OR(FH264="y",FI264="y",FJ264="y",FK264="y"),"Y","N")</f>
        <v>Y</v>
      </c>
      <c r="FE264" s="830" t="str">
        <f>IFERROR(VLOOKUP($B264,'Historical Conc Grant Elig'!$B$3:$J$707,'HH &amp; SI'!FE$2,0),"N")</f>
        <v>Y</v>
      </c>
      <c r="FF264" s="830" t="str">
        <f>IFERROR(VLOOKUP($B264,'Historical Conc Grant Elig'!$B$3:$J$707,'HH &amp; SI'!FF$2,0),"N")</f>
        <v>Y</v>
      </c>
      <c r="FG264" s="830" t="str">
        <f>IFERROR(VLOOKUP($B264,'Historical Conc Grant Elig'!$B$3:$J$707,'HH &amp; SI'!FG$2,0),"N")</f>
        <v>Y</v>
      </c>
      <c r="FH264" s="830" t="str">
        <f>IFERROR(VLOOKUP($B264,'Historical Conc Grant Elig'!$B$3:$J$707,'HH &amp; SI'!FH$2,0),"N")</f>
        <v>Y</v>
      </c>
      <c r="FI264" s="830" t="str">
        <f>IFERROR(VLOOKUP($B264,'Historical Conc Grant Elig'!$B$3:$J$707,'HH &amp; SI'!FI$2,0),"N")</f>
        <v>Y</v>
      </c>
      <c r="FJ264" s="830" t="str">
        <f>IFERROR(VLOOKUP($B264,'Historical Conc Grant Elig'!$B$3:$J$707,'HH &amp; SI'!FJ$2,0),"N")</f>
        <v>Y</v>
      </c>
      <c r="FK264" s="830" t="str">
        <f>IFERROR(VLOOKUP($B264,'Historical Conc Grant Elig'!$B$3:$J$707,'HH &amp; SI'!FK$2,0),"N")</f>
        <v>Y</v>
      </c>
      <c r="FL264" s="957" t="str">
        <f>IFERROR(VLOOKUP($B264,'Historical Conc Grant Elig'!$B$3:$J$707,'HH &amp; SI'!FL$2,0),"N")</f>
        <v>Y</v>
      </c>
    </row>
    <row r="265" spans="2:168" x14ac:dyDescent="0.25">
      <c r="B265" s="634">
        <v>78901000</v>
      </c>
      <c r="C265" s="635" t="str">
        <f>VLOOKUP($B265,'Afton Update'!$A$5:$CR$582,'Afton Update'!D$589,0)</f>
        <v>Excalibur Charter Schools  Inc.</v>
      </c>
      <c r="D265" s="636">
        <f>IFERROR(VLOOKUP($B265,'Afton FY16 Final'!$A$5:$BV$587,'Afton FY16 Final'!AQ$587,0),0)</f>
        <v>56211.181790467621</v>
      </c>
      <c r="E265" s="637">
        <f>IFERROR(VLOOKUP($B265,'Afton FY16 Final'!$A$5:$BV$587,'Afton FY16 Final'!AR$587,0),0)</f>
        <v>13321.911788749505</v>
      </c>
      <c r="F265" s="637">
        <f>IFERROR(VLOOKUP($B265,'Afton FY16 Final'!$A$5:$BV$587,'Afton FY16 Final'!AS$587,0),0)</f>
        <v>30506.468645059194</v>
      </c>
      <c r="G265" s="637">
        <f>IFERROR(VLOOKUP($B265,'Afton FY16 Final'!$A$5:$BV$587,'Afton FY16 Final'!AT$587,0),0)</f>
        <v>28084.979231205485</v>
      </c>
      <c r="H265" s="638">
        <f>IFERROR(VLOOKUP($B265,'Afton FY16 Final'!$A$5:$BV$587,'Afton FY16 Final'!AU$587,0),0)</f>
        <v>128124.54145548181</v>
      </c>
      <c r="I265" s="639" t="str">
        <f>VLOOKUP($B265,'Afton Update'!$A$5:$CR$582,'Afton Update'!BT$589,0)</f>
        <v>Y</v>
      </c>
      <c r="J265" s="640" t="str">
        <f>VLOOKUP($B265,'Afton Update'!$A$5:$CR$582,'Afton Update'!BU$589,0)</f>
        <v>Y</v>
      </c>
      <c r="K265" s="640" t="str">
        <f>VLOOKUP($B265,'Afton Update'!$A$5:$CR$582,'Afton Update'!BV$589,0)</f>
        <v>Y</v>
      </c>
      <c r="L265" s="641" t="str">
        <f>VLOOKUP($B265,'Afton Update'!$A$5:$CR$582,'Afton Update'!BW$589,0)</f>
        <v>Y</v>
      </c>
      <c r="N265" s="642">
        <f>VLOOKUP($B265,'Afton Update'!$A$5:$CR$582,'Afton Update'!CB$589,0)</f>
        <v>0.95</v>
      </c>
      <c r="P265" s="636">
        <f>VLOOKUP($B265,'Afton Update'!$A$5:$CR$582,'Afton Update'!AH$589,0)</f>
        <v>69598.364347475203</v>
      </c>
      <c r="Q265" s="637">
        <f>VLOOKUP($B265,'Afton Update'!$A$5:$CR$582,'Afton Update'!AI$589,0)</f>
        <v>16523.65120663603</v>
      </c>
      <c r="R265" s="637">
        <f>VLOOKUP($B265,'Afton Update'!$A$5:$CR$582,'Afton Update'!AJ$589,0)</f>
        <v>40758.617790716191</v>
      </c>
      <c r="S265" s="637">
        <f>VLOOKUP($B265,'Afton Update'!$A$5:$CR$582,'Afton Update'!AK$589,0)</f>
        <v>37940.919131171235</v>
      </c>
      <c r="T265" s="643">
        <f t="shared" ref="T265:T328" si="752">SUM(P265:S265)</f>
        <v>164821.55247599864</v>
      </c>
      <c r="V265" s="636">
        <f t="shared" si="532"/>
        <v>68648.997484006308</v>
      </c>
      <c r="W265" s="637">
        <f t="shared" si="533"/>
        <v>15979.422547932301</v>
      </c>
      <c r="X265" s="637">
        <f t="shared" si="534"/>
        <v>40387.934075510246</v>
      </c>
      <c r="Y265" s="637">
        <f t="shared" si="535"/>
        <v>37522.878499488877</v>
      </c>
      <c r="Z265" s="643">
        <f t="shared" si="536"/>
        <v>162539.23260693773</v>
      </c>
      <c r="AB265" s="644">
        <f t="shared" ref="AB265:AB328" si="753">IF(P265="",0,P265)</f>
        <v>69598.364347475203</v>
      </c>
      <c r="AC265" s="645">
        <f t="shared" si="727"/>
        <v>53400.622700944237</v>
      </c>
      <c r="AD265" s="644">
        <f t="shared" si="537"/>
        <v>0</v>
      </c>
      <c r="AE265" s="645">
        <f t="shared" si="538"/>
        <v>69598.364347475203</v>
      </c>
      <c r="AF265" s="646">
        <f t="shared" si="539"/>
        <v>-862.7240278655147</v>
      </c>
      <c r="AG265" s="647">
        <f t="shared" si="540"/>
        <v>68735.640319609694</v>
      </c>
      <c r="AH265" s="644">
        <f t="shared" ref="AH265:AH328" si="754">IF(AG265-AC265&lt;0,AG265-AC265,0)</f>
        <v>0</v>
      </c>
      <c r="AI265" s="645">
        <f t="shared" ref="AI265:AI328" si="755">IF(AND(AH265=0,AD265=0),AG265,0)</f>
        <v>68735.640319609694</v>
      </c>
      <c r="AJ265" s="646">
        <f t="shared" si="541"/>
        <v>-86.587635718944654</v>
      </c>
      <c r="AK265" s="647">
        <f t="shared" ref="AK265:AK328" si="756">AG265-AH265+AJ265</f>
        <v>68649.052683890754</v>
      </c>
      <c r="AL265" s="644">
        <f t="shared" si="542"/>
        <v>0</v>
      </c>
      <c r="AM265" s="645">
        <f t="shared" si="543"/>
        <v>68649.052683890754</v>
      </c>
      <c r="AN265" s="646">
        <f t="shared" si="544"/>
        <v>-5.5199884445765915E-2</v>
      </c>
      <c r="AO265" s="647">
        <f t="shared" ref="AO265:AO328" si="757">AK265-AL265+AN265</f>
        <v>68648.997484006308</v>
      </c>
      <c r="AP265" s="644">
        <f t="shared" si="545"/>
        <v>0</v>
      </c>
      <c r="AQ265" s="645">
        <f t="shared" si="546"/>
        <v>68648.997484006308</v>
      </c>
      <c r="AR265" s="646">
        <f t="shared" si="547"/>
        <v>0</v>
      </c>
      <c r="AS265" s="647">
        <f t="shared" ref="AS265:AS328" si="758">AO265-AP265+AR265</f>
        <v>68648.997484006308</v>
      </c>
      <c r="AT265" s="644">
        <f t="shared" si="548"/>
        <v>0</v>
      </c>
      <c r="AU265" s="645">
        <f t="shared" si="549"/>
        <v>68648.997484006308</v>
      </c>
      <c r="AV265" s="646">
        <f t="shared" si="550"/>
        <v>0</v>
      </c>
      <c r="AW265" s="647">
        <f t="shared" ref="AW265:AW328" si="759">AS265-AT265+AV265</f>
        <v>68648.997484006308</v>
      </c>
      <c r="AY265" s="644">
        <f t="shared" si="551"/>
        <v>16523.65120663603</v>
      </c>
      <c r="AZ265" s="645">
        <f t="shared" si="728"/>
        <v>12655.816199312028</v>
      </c>
      <c r="BA265" s="644">
        <f t="shared" si="552"/>
        <v>0</v>
      </c>
      <c r="BB265" s="645">
        <f t="shared" si="553"/>
        <v>16523.65120663603</v>
      </c>
      <c r="BC265" s="646">
        <f t="shared" si="554"/>
        <v>-118.82639132193172</v>
      </c>
      <c r="BD265" s="647">
        <f t="shared" si="555"/>
        <v>16404.824815314099</v>
      </c>
      <c r="BE265" s="644">
        <f t="shared" ref="BE265:BE328" si="760">IF(BD265-AZ265&lt;0,BD265-AZ265,0)</f>
        <v>0</v>
      </c>
      <c r="BF265" s="645">
        <f t="shared" ref="BF265:BF328" si="761">IF(AND(BE265=0,BA265=0),BD265,0)</f>
        <v>16404.824815314099</v>
      </c>
      <c r="BG265" s="646">
        <f t="shared" si="556"/>
        <v>-390.74955813304831</v>
      </c>
      <c r="BH265" s="647">
        <f t="shared" ref="BH265:BH328" si="762">BD265-BE265+BG265</f>
        <v>16014.075257181052</v>
      </c>
      <c r="BI265" s="644">
        <f t="shared" si="557"/>
        <v>0</v>
      </c>
      <c r="BJ265" s="645">
        <f t="shared" si="558"/>
        <v>16014.075257181052</v>
      </c>
      <c r="BK265" s="646">
        <f t="shared" si="559"/>
        <v>-33.92157265273881</v>
      </c>
      <c r="BL265" s="647">
        <f t="shared" ref="BL265:BL328" si="763">BH265-BI265+BK265</f>
        <v>15980.153684528314</v>
      </c>
      <c r="BM265" s="644">
        <f t="shared" si="560"/>
        <v>0</v>
      </c>
      <c r="BN265" s="645">
        <f t="shared" si="561"/>
        <v>15980.153684528314</v>
      </c>
      <c r="BO265" s="646">
        <f t="shared" si="562"/>
        <v>-0.73113659601175607</v>
      </c>
      <c r="BP265" s="647">
        <f t="shared" ref="BP265:BP328" si="764">BL265-BM265+BO265</f>
        <v>15979.422547932301</v>
      </c>
      <c r="BQ265" s="644">
        <f t="shared" si="563"/>
        <v>0</v>
      </c>
      <c r="BR265" s="645">
        <f t="shared" si="564"/>
        <v>15979.422547932301</v>
      </c>
      <c r="BS265" s="646">
        <f t="shared" si="565"/>
        <v>0</v>
      </c>
      <c r="BT265" s="647">
        <f t="shared" ref="BT265:BT328" si="765">BP265-BQ265+BS265</f>
        <v>15979.422547932301</v>
      </c>
      <c r="BU265" s="662">
        <f>VLOOKUP(B265,'Afton Update'!$A$5:$AR$582,'Afton Update'!$AO$589,0)-BT265</f>
        <v>0</v>
      </c>
      <c r="BV265" s="644">
        <f t="shared" si="566"/>
        <v>40758.617790716191</v>
      </c>
      <c r="BW265" s="645">
        <f t="shared" si="729"/>
        <v>28981.145212806234</v>
      </c>
      <c r="BX265" s="644">
        <f t="shared" si="567"/>
        <v>0</v>
      </c>
      <c r="BY265" s="645">
        <f t="shared" si="568"/>
        <v>40758.617790716191</v>
      </c>
      <c r="BZ265" s="646">
        <f t="shared" si="569"/>
        <v>-357.74272175694858</v>
      </c>
      <c r="CA265" s="647">
        <f t="shared" si="570"/>
        <v>40400.875068959242</v>
      </c>
      <c r="CB265" s="644">
        <f t="shared" ref="CB265:CB328" si="766">IF(CA265-BW265&lt;0,CA265-BW265,0)</f>
        <v>0</v>
      </c>
      <c r="CC265" s="645">
        <f t="shared" ref="CC265:CC328" si="767">IF(AND(CB265=0,BX265=0),CA265,0)</f>
        <v>40400.875068959242</v>
      </c>
      <c r="CD265" s="646">
        <f t="shared" si="571"/>
        <v>-12.940993448998377</v>
      </c>
      <c r="CE265" s="647">
        <f t="shared" ref="CE265:CE328" si="768">CA265-CB265+CD265</f>
        <v>40387.934075510246</v>
      </c>
      <c r="CF265" s="644">
        <f t="shared" si="572"/>
        <v>0</v>
      </c>
      <c r="CG265" s="645">
        <f t="shared" si="573"/>
        <v>40387.934075510246</v>
      </c>
      <c r="CH265" s="646">
        <f t="shared" si="574"/>
        <v>0</v>
      </c>
      <c r="CI265" s="647">
        <f t="shared" ref="CI265:CI328" si="769">CE265-CF265+CH265</f>
        <v>40387.934075510246</v>
      </c>
      <c r="CJ265" s="644">
        <f t="shared" si="575"/>
        <v>0</v>
      </c>
      <c r="CK265" s="645">
        <f t="shared" si="576"/>
        <v>40387.934075510246</v>
      </c>
      <c r="CL265" s="646">
        <f t="shared" si="577"/>
        <v>0</v>
      </c>
      <c r="CM265" s="647">
        <f t="shared" ref="CM265:CM328" si="770">CI265-CJ265+CL265</f>
        <v>40387.934075510246</v>
      </c>
      <c r="CN265" s="644">
        <f t="shared" si="578"/>
        <v>0</v>
      </c>
      <c r="CO265" s="645">
        <f t="shared" si="579"/>
        <v>40387.934075510246</v>
      </c>
      <c r="CP265" s="646">
        <f t="shared" si="580"/>
        <v>0</v>
      </c>
      <c r="CQ265" s="647">
        <f t="shared" ref="CQ265:CQ328" si="771">CM265-CN265+CP265</f>
        <v>40387.934075510246</v>
      </c>
      <c r="CS265" s="644">
        <f t="shared" si="581"/>
        <v>37940.919131171235</v>
      </c>
      <c r="CT265" s="645">
        <f t="shared" si="730"/>
        <v>26680.73026964521</v>
      </c>
      <c r="CU265" s="644">
        <f t="shared" si="582"/>
        <v>0</v>
      </c>
      <c r="CV265" s="645">
        <f t="shared" si="583"/>
        <v>37940.919131171235</v>
      </c>
      <c r="CW265" s="646">
        <f t="shared" si="584"/>
        <v>-388.53645315037267</v>
      </c>
      <c r="CX265" s="647">
        <f t="shared" si="585"/>
        <v>37552.382678020862</v>
      </c>
      <c r="CY265" s="644">
        <f t="shared" ref="CY265:CY328" si="772">IF(CX265-CT265&lt;0,CX265-CT265,0)</f>
        <v>0</v>
      </c>
      <c r="CZ265" s="645">
        <f t="shared" ref="CZ265:CZ328" si="773">IF(AND(CY265=0,CU265=0),CX265,0)</f>
        <v>37552.382678020862</v>
      </c>
      <c r="DA265" s="646">
        <f t="shared" si="586"/>
        <v>-29.478756775911815</v>
      </c>
      <c r="DB265" s="647">
        <f t="shared" ref="DB265:DB328" si="774">CX265-CY265+DA265</f>
        <v>37522.90392124495</v>
      </c>
      <c r="DC265" s="644">
        <f t="shared" si="587"/>
        <v>0</v>
      </c>
      <c r="DD265" s="645">
        <f t="shared" si="588"/>
        <v>37522.90392124495</v>
      </c>
      <c r="DE265" s="646">
        <f t="shared" si="589"/>
        <v>-2.5421756070184418E-2</v>
      </c>
      <c r="DF265" s="647">
        <f t="shared" ref="DF265:DF328" si="775">DB265-DC265+DE265</f>
        <v>37522.878499488877</v>
      </c>
      <c r="DG265" s="644">
        <f t="shared" si="590"/>
        <v>0</v>
      </c>
      <c r="DH265" s="645">
        <f t="shared" si="591"/>
        <v>37522.878499488877</v>
      </c>
      <c r="DI265" s="646">
        <f t="shared" si="592"/>
        <v>0</v>
      </c>
      <c r="DJ265" s="647">
        <f t="shared" ref="DJ265:DJ328" si="776">DF265-DG265+DI265</f>
        <v>37522.878499488877</v>
      </c>
      <c r="DK265" s="644">
        <f t="shared" si="593"/>
        <v>0</v>
      </c>
      <c r="DL265" s="645">
        <f t="shared" si="594"/>
        <v>37522.878499488877</v>
      </c>
      <c r="DM265" s="646">
        <f t="shared" si="595"/>
        <v>0</v>
      </c>
      <c r="DN265" s="647">
        <f t="shared" ref="DN265:DN328" si="777">DJ265-DK265+DM265</f>
        <v>37522.878499488877</v>
      </c>
      <c r="DR265" s="827">
        <f t="shared" si="731"/>
        <v>162539.23260693773</v>
      </c>
      <c r="DV265" s="828">
        <f>IFERROR(VLOOKUP($B265,'Afton FY16 Final'!$A$5:$BV$587,'Afton FY16 Final'!$BV$587,0),0)</f>
        <v>125601.76925544192</v>
      </c>
      <c r="DX265" s="636">
        <f t="shared" si="719"/>
        <v>162539.23260693773</v>
      </c>
      <c r="DY265" s="637">
        <f t="shared" si="720"/>
        <v>36937.463351495811</v>
      </c>
      <c r="DZ265" s="637">
        <f t="shared" si="721"/>
        <v>125601.76925544192</v>
      </c>
      <c r="EA265" s="643">
        <f t="shared" si="722"/>
        <v>153893.96707459915</v>
      </c>
      <c r="EB265" s="637">
        <f t="shared" si="732"/>
        <v>0</v>
      </c>
      <c r="EC265" s="637">
        <f t="shared" si="733"/>
        <v>153893.96707459915</v>
      </c>
      <c r="ED265" s="637">
        <f t="shared" si="734"/>
        <v>153435.06445344153</v>
      </c>
      <c r="EE265" s="643">
        <f t="shared" si="735"/>
        <v>153435.06445344153</v>
      </c>
      <c r="EF265" s="637">
        <f t="shared" si="736"/>
        <v>0</v>
      </c>
      <c r="EG265" s="637">
        <f t="shared" si="737"/>
        <v>153435.06445344153</v>
      </c>
      <c r="EH265" s="637">
        <f t="shared" si="738"/>
        <v>153434.90616047455</v>
      </c>
      <c r="EI265" s="643">
        <f t="shared" si="739"/>
        <v>153434.90616047455</v>
      </c>
      <c r="EJ265" s="637">
        <f t="shared" si="740"/>
        <v>0</v>
      </c>
      <c r="EK265" s="637">
        <f t="shared" si="741"/>
        <v>153434.90616047455</v>
      </c>
      <c r="EL265" s="637">
        <f t="shared" si="742"/>
        <v>153434.90616047432</v>
      </c>
      <c r="EM265" s="643">
        <f t="shared" si="743"/>
        <v>153434.90616047432</v>
      </c>
      <c r="EN265" s="637">
        <f t="shared" si="744"/>
        <v>0</v>
      </c>
      <c r="EO265" s="637">
        <f t="shared" si="745"/>
        <v>153434.90616047432</v>
      </c>
      <c r="EP265" s="637">
        <f t="shared" si="746"/>
        <v>153434.90616047455</v>
      </c>
      <c r="EQ265" s="643">
        <f t="shared" si="747"/>
        <v>153434.90616047455</v>
      </c>
      <c r="ER265" s="637">
        <f t="shared" si="748"/>
        <v>0</v>
      </c>
      <c r="ES265" s="637">
        <f t="shared" si="749"/>
        <v>153434.90616047455</v>
      </c>
      <c r="ET265" s="637">
        <f t="shared" si="750"/>
        <v>153434.90616047432</v>
      </c>
      <c r="EU265" s="643">
        <f t="shared" si="723"/>
        <v>153434.90616047432</v>
      </c>
      <c r="EV265" s="643">
        <f t="shared" si="724"/>
        <v>0</v>
      </c>
      <c r="EX265" s="829">
        <f t="shared" si="725"/>
        <v>9104.3264464634121</v>
      </c>
      <c r="EY265" s="638">
        <f t="shared" si="726"/>
        <v>153434.90616047432</v>
      </c>
      <c r="FC265" s="830" t="str">
        <f t="shared" si="751"/>
        <v>Y</v>
      </c>
      <c r="FE265" s="830" t="str">
        <f>IFERROR(VLOOKUP($B265,'Historical Conc Grant Elig'!$B$3:$J$707,'HH &amp; SI'!FE$2,0),"N")</f>
        <v>Y</v>
      </c>
      <c r="FF265" s="830" t="str">
        <f>IFERROR(VLOOKUP($B265,'Historical Conc Grant Elig'!$B$3:$J$707,'HH &amp; SI'!FF$2,0),"N")</f>
        <v>Y</v>
      </c>
      <c r="FG265" s="830" t="str">
        <f>IFERROR(VLOOKUP($B265,'Historical Conc Grant Elig'!$B$3:$J$707,'HH &amp; SI'!FG$2,0),"N")</f>
        <v>Y</v>
      </c>
      <c r="FH265" s="830" t="str">
        <f>IFERROR(VLOOKUP($B265,'Historical Conc Grant Elig'!$B$3:$J$707,'HH &amp; SI'!FH$2,0),"N")</f>
        <v>Y</v>
      </c>
      <c r="FI265" s="830" t="str">
        <f>IFERROR(VLOOKUP($B265,'Historical Conc Grant Elig'!$B$3:$J$707,'HH &amp; SI'!FI$2,0),"N")</f>
        <v>Y</v>
      </c>
      <c r="FJ265" s="830" t="str">
        <f>IFERROR(VLOOKUP($B265,'Historical Conc Grant Elig'!$B$3:$J$707,'HH &amp; SI'!FJ$2,0),"N")</f>
        <v>Y</v>
      </c>
      <c r="FK265" s="830" t="str">
        <f>IFERROR(VLOOKUP($B265,'Historical Conc Grant Elig'!$B$3:$J$707,'HH &amp; SI'!FK$2,0),"N")</f>
        <v>Y</v>
      </c>
      <c r="FL265" s="957" t="str">
        <f>IFERROR(VLOOKUP($B265,'Historical Conc Grant Elig'!$B$3:$J$707,'HH &amp; SI'!FL$2,0),"N")</f>
        <v>Y</v>
      </c>
    </row>
    <row r="266" spans="2:168" x14ac:dyDescent="0.25">
      <c r="B266" s="634">
        <v>78905000</v>
      </c>
      <c r="C266" s="635" t="str">
        <f>VLOOKUP($B266,'Afton Update'!$A$5:$CR$582,'Afton Update'!D$589,0)</f>
        <v>Paramount Education Studies Inc</v>
      </c>
      <c r="D266" s="636">
        <f>IFERROR(VLOOKUP($B266,'Afton FY16 Final'!$A$5:$BV$587,'Afton FY16 Final'!AQ$587,0),0)</f>
        <v>42984.993166612578</v>
      </c>
      <c r="E266" s="637">
        <f>IFERROR(VLOOKUP($B266,'Afton FY16 Final'!$A$5:$BV$587,'Afton FY16 Final'!AR$587,0),0)</f>
        <v>10385.154192068298</v>
      </c>
      <c r="F266" s="637">
        <f>IFERROR(VLOOKUP($B266,'Afton FY16 Final'!$A$5:$BV$587,'Afton FY16 Final'!AS$587,0),0)</f>
        <v>22655.900305425868</v>
      </c>
      <c r="G266" s="637">
        <f>IFERROR(VLOOKUP($B266,'Afton FY16 Final'!$A$5:$BV$587,'Afton FY16 Final'!AT$587,0),0)</f>
        <v>20236.916174855312</v>
      </c>
      <c r="H266" s="638">
        <f>IFERROR(VLOOKUP($B266,'Afton FY16 Final'!$A$5:$BV$587,'Afton FY16 Final'!AU$587,0),0)</f>
        <v>96262.963838962052</v>
      </c>
      <c r="I266" s="639" t="str">
        <f>VLOOKUP($B266,'Afton Update'!$A$5:$CR$582,'Afton Update'!BT$589,0)</f>
        <v>Y</v>
      </c>
      <c r="J266" s="640" t="str">
        <f>VLOOKUP($B266,'Afton Update'!$A$5:$CR$582,'Afton Update'!BU$589,0)</f>
        <v>Y</v>
      </c>
      <c r="K266" s="640" t="str">
        <f>VLOOKUP($B266,'Afton Update'!$A$5:$CR$582,'Afton Update'!BV$589,0)</f>
        <v>Y</v>
      </c>
      <c r="L266" s="641" t="str">
        <f>VLOOKUP($B266,'Afton Update'!$A$5:$CR$582,'Afton Update'!BW$589,0)</f>
        <v>Y</v>
      </c>
      <c r="N266" s="642">
        <f>VLOOKUP($B266,'Afton Update'!$A$5:$CR$582,'Afton Update'!CB$589,0)</f>
        <v>0.9</v>
      </c>
      <c r="P266" s="636">
        <f>VLOOKUP($B266,'Afton Update'!$A$5:$CR$582,'Afton Update'!AH$589,0)</f>
        <v>48790.605934312509</v>
      </c>
      <c r="Q266" s="637">
        <f>VLOOKUP($B266,'Afton Update'!$A$5:$CR$582,'Afton Update'!AI$589,0)</f>
        <v>12220.640228384957</v>
      </c>
      <c r="R266" s="637">
        <f>VLOOKUP($B266,'Afton Update'!$A$5:$CR$582,'Afton Update'!AJ$589,0)</f>
        <v>28580.627716289568</v>
      </c>
      <c r="S266" s="637">
        <f>VLOOKUP($B266,'Afton Update'!$A$5:$CR$582,'Afton Update'!AK$589,0)</f>
        <v>26604.810066666392</v>
      </c>
      <c r="T266" s="643">
        <f t="shared" si="752"/>
        <v>116196.68394565344</v>
      </c>
      <c r="V266" s="636">
        <f t="shared" ref="V266:V329" si="778">AW266</f>
        <v>48125.070401159042</v>
      </c>
      <c r="W266" s="637">
        <f t="shared" ref="W266:W329" si="779">BT266</f>
        <v>11818.137019086773</v>
      </c>
      <c r="X266" s="637">
        <f t="shared" ref="X266:X329" si="780">CQ266</f>
        <v>28320.698066094083</v>
      </c>
      <c r="Y266" s="637">
        <f t="shared" ref="Y266:Y329" si="781">DN266</f>
        <v>26311.672950836193</v>
      </c>
      <c r="Z266" s="643">
        <f t="shared" ref="Z266:Z329" si="782">SUM(V266:Y266)</f>
        <v>114575.5784371761</v>
      </c>
      <c r="AB266" s="644">
        <f t="shared" si="753"/>
        <v>48790.605934312509</v>
      </c>
      <c r="AC266" s="645">
        <f t="shared" si="727"/>
        <v>38686.493849951323</v>
      </c>
      <c r="AD266" s="644">
        <f t="shared" ref="AD266:AD329" si="783">IF($I266="N",0,MAX(AC266-AB266,0))</f>
        <v>0</v>
      </c>
      <c r="AE266" s="645">
        <f t="shared" ref="AE266:AE329" si="784">IF(AD266=0,AB266,0)</f>
        <v>48790.605934312509</v>
      </c>
      <c r="AF266" s="646">
        <f t="shared" ref="AF266:AF329" si="785">-IF(AD266=0,((AE266/AE$2)*AD$2),0)</f>
        <v>-604.79622572015455</v>
      </c>
      <c r="AG266" s="647">
        <f t="shared" ref="AG266:AG329" si="786">IF(AD266=0,AE266+AF266,AD266+AB266)</f>
        <v>48185.809708592351</v>
      </c>
      <c r="AH266" s="644">
        <f t="shared" si="754"/>
        <v>0</v>
      </c>
      <c r="AI266" s="645">
        <f t="shared" si="755"/>
        <v>48185.809708592351</v>
      </c>
      <c r="AJ266" s="646">
        <f t="shared" ref="AJ266:AJ329" si="787">IF(AND(AH266=0,AD266=0),((AI266/AI$2))*AH$2,0)</f>
        <v>-60.700610607095214</v>
      </c>
      <c r="AK266" s="647">
        <f t="shared" si="756"/>
        <v>48125.109097985252</v>
      </c>
      <c r="AL266" s="644">
        <f t="shared" ref="AL266:AL329" si="788">IF(AK266-AC266&lt;0,AK266-AC266,0)</f>
        <v>0</v>
      </c>
      <c r="AM266" s="645">
        <f t="shared" ref="AM266:AM329" si="789">IF(AND(AH266=0,AD266=0,AL266=0),AK266,0)</f>
        <v>48125.109097985252</v>
      </c>
      <c r="AN266" s="646">
        <f t="shared" ref="AN266:AN329" si="790">IF(AND(AL266=0,AH266=0,AD266=0),((AM266/AM$2))*AL$2,0)</f>
        <v>-3.8696826209402894E-2</v>
      </c>
      <c r="AO266" s="647">
        <f t="shared" si="757"/>
        <v>48125.070401159042</v>
      </c>
      <c r="AP266" s="644">
        <f t="shared" ref="AP266:AP329" si="791">IF(AO266-AC266&lt;0,AO266-AC266,0)</f>
        <v>0</v>
      </c>
      <c r="AQ266" s="645">
        <f t="shared" ref="AQ266:AQ329" si="792">IF(AND(AH266=0,AD266=0,AL266=0,AP266=0),AO266,0)</f>
        <v>48125.070401159042</v>
      </c>
      <c r="AR266" s="646">
        <f t="shared" ref="AR266:AR329" si="793">IF(AND(AP266=0,AL266=0,AH266=0,AD266=0),((AQ266/AQ$2))*AP$2,0)</f>
        <v>0</v>
      </c>
      <c r="AS266" s="647">
        <f t="shared" si="758"/>
        <v>48125.070401159042</v>
      </c>
      <c r="AT266" s="644">
        <f t="shared" ref="AT266:AT329" si="794">IF(AS266-AC266&lt;0,AS266-AC266,0)</f>
        <v>0</v>
      </c>
      <c r="AU266" s="645">
        <f t="shared" ref="AU266:AU329" si="795">IF(AND(AP266=0,AL266=0,AT266=0,AD266=0,AH266=0),AS266,0)</f>
        <v>48125.070401159042</v>
      </c>
      <c r="AV266" s="646">
        <f t="shared" ref="AV266:AV329" si="796">IF(AND(AT266=0,AP266=0,AL266=0),((AU266/AU$2))*AT$2,0)</f>
        <v>0</v>
      </c>
      <c r="AW266" s="647">
        <f t="shared" si="759"/>
        <v>48125.070401159042</v>
      </c>
      <c r="AY266" s="644">
        <f t="shared" ref="AY266:AY329" si="797">IF(Q266="",0,Q266)</f>
        <v>12220.640228384957</v>
      </c>
      <c r="AZ266" s="645">
        <f t="shared" si="728"/>
        <v>9346.6387728614682</v>
      </c>
      <c r="BA266" s="644">
        <f t="shared" ref="BA266:BA329" si="798">IF($J266="N",0,MAX(AZ266-AY266,0))</f>
        <v>0</v>
      </c>
      <c r="BB266" s="645">
        <f t="shared" ref="BB266:BB329" si="799">IF(BA266=0,AY266,0)</f>
        <v>12220.640228384957</v>
      </c>
      <c r="BC266" s="646">
        <f t="shared" ref="BC266:BC329" si="800">-IF(BA266=0,((BB266/BB$2)*BA$2),0)</f>
        <v>-87.88218534892718</v>
      </c>
      <c r="BD266" s="647">
        <f t="shared" ref="BD266:BD329" si="801">IF(BA266=0,BB266+BC266,BA266+AY266)</f>
        <v>12132.758043036029</v>
      </c>
      <c r="BE266" s="644">
        <f t="shared" si="760"/>
        <v>0</v>
      </c>
      <c r="BF266" s="645">
        <f t="shared" si="761"/>
        <v>12132.758043036029</v>
      </c>
      <c r="BG266" s="646">
        <f t="shared" ref="BG266:BG329" si="802">IF(AND(BE266=0,BA266=0),((BF266/BF$2))*BE$2,0)</f>
        <v>-288.99240910063588</v>
      </c>
      <c r="BH266" s="647">
        <f t="shared" si="762"/>
        <v>11843.765633935393</v>
      </c>
      <c r="BI266" s="644">
        <f t="shared" ref="BI266:BI329" si="803">IF(BH266-AZ266&lt;0,BH266-AZ266,0)</f>
        <v>0</v>
      </c>
      <c r="BJ266" s="645">
        <f t="shared" ref="BJ266:BJ329" si="804">IF(AND(BE266=0,BA266=0,BI266=0),BH266,0)</f>
        <v>11843.765633935393</v>
      </c>
      <c r="BK266" s="646">
        <f t="shared" ref="BK266:BK329" si="805">IF(AND(BI266=0,BE266=0,BA266=0),((BJ266/BJ$2))*BI$2,0)</f>
        <v>-25.087877381704775</v>
      </c>
      <c r="BL266" s="647">
        <f t="shared" si="763"/>
        <v>11818.677756553689</v>
      </c>
      <c r="BM266" s="644">
        <f t="shared" ref="BM266:BM329" si="806">IF(BL266-AZ266&lt;0,BL266-AZ266,0)</f>
        <v>0</v>
      </c>
      <c r="BN266" s="645">
        <f t="shared" ref="BN266:BN329" si="807">IF(AND(BE266=0,BA266=0,BI266=0,BM266=0),BL266,0)</f>
        <v>11818.677756553689</v>
      </c>
      <c r="BO266" s="646">
        <f t="shared" ref="BO266:BO329" si="808">IF(AND(BM266=0,BI266=0,BE266=0,BA266=0),((BN266/BN$2))*BM$2,0)</f>
        <v>-0.54073746691514246</v>
      </c>
      <c r="BP266" s="647">
        <f t="shared" si="764"/>
        <v>11818.137019086773</v>
      </c>
      <c r="BQ266" s="644">
        <f t="shared" ref="BQ266:BQ329" si="809">IF(BP266-AZ266&lt;0,BP266-AZ266,0)</f>
        <v>0</v>
      </c>
      <c r="BR266" s="645">
        <f t="shared" ref="BR266:BR329" si="810">IF(AND(BM266=0,BI266=0,BQ266=0,BA266=0,BE266=0),BP266,0)</f>
        <v>11818.137019086773</v>
      </c>
      <c r="BS266" s="646">
        <f t="shared" ref="BS266:BS329" si="811">IF(AND(BQ266=0,BM266=0,BI266=0),((BR266/BR$2))*BQ$2,0)</f>
        <v>0</v>
      </c>
      <c r="BT266" s="647">
        <f t="shared" si="765"/>
        <v>11818.137019086773</v>
      </c>
      <c r="BU266" s="662">
        <f>VLOOKUP(B266,'Afton Update'!$A$5:$AR$582,'Afton Update'!$AO$589,0)-BT266</f>
        <v>0</v>
      </c>
      <c r="BV266" s="644">
        <f t="shared" ref="BV266:BV329" si="812">IF(R266="",0,R266)</f>
        <v>28580.627716289568</v>
      </c>
      <c r="BW266" s="645">
        <f t="shared" si="729"/>
        <v>20390.310274883283</v>
      </c>
      <c r="BX266" s="644">
        <f t="shared" ref="BX266:BX329" si="813">IF($K266="N",0,MAX(BW266-BV266,0))</f>
        <v>0</v>
      </c>
      <c r="BY266" s="645">
        <f t="shared" ref="BY266:BY329" si="814">IF(BX266=0,BV266,0)</f>
        <v>28580.627716289568</v>
      </c>
      <c r="BZ266" s="646">
        <f t="shared" ref="BZ266:BZ329" si="815">-IF(BX266=0,((BY266/BY$2)*BX$2),0)</f>
        <v>-250.8552081242658</v>
      </c>
      <c r="CA266" s="647">
        <f t="shared" ref="CA266:CA329" si="816">IF(BX266=0,BY266+BZ266,BX266+BV266)</f>
        <v>28329.772508165301</v>
      </c>
      <c r="CB266" s="644">
        <f t="shared" si="766"/>
        <v>0</v>
      </c>
      <c r="CC266" s="645">
        <f t="shared" si="767"/>
        <v>28329.772508165301</v>
      </c>
      <c r="CD266" s="646">
        <f t="shared" ref="CD266:CD329" si="817">IF(AND(CB266=0,BX266=0),((CC266/CC$2))*CB$2,0)</f>
        <v>-9.0744420712178844</v>
      </c>
      <c r="CE266" s="647">
        <f t="shared" si="768"/>
        <v>28320.698066094083</v>
      </c>
      <c r="CF266" s="644">
        <f t="shared" ref="CF266:CF329" si="818">IF(CE266-BW266&lt;0,CE266-BW266,0)</f>
        <v>0</v>
      </c>
      <c r="CG266" s="645">
        <f t="shared" ref="CG266:CG329" si="819">IF(AND(CB266=0,BX266=0,CF266=0),CE266,0)</f>
        <v>28320.698066094083</v>
      </c>
      <c r="CH266" s="646">
        <f t="shared" ref="CH266:CH329" si="820">IF(AND(CF266=0,CB266=0,BX266=0),((CG266/CG$2))*CF$2,0)</f>
        <v>0</v>
      </c>
      <c r="CI266" s="647">
        <f t="shared" si="769"/>
        <v>28320.698066094083</v>
      </c>
      <c r="CJ266" s="644">
        <f t="shared" ref="CJ266:CJ329" si="821">IF(CI266-BW266&lt;0,CI266-BW266,0)</f>
        <v>0</v>
      </c>
      <c r="CK266" s="645">
        <f t="shared" ref="CK266:CK329" si="822">IF(AND(CB266=0,BX266=0,CF266=0,CJ266=0),CI266,0)</f>
        <v>28320.698066094083</v>
      </c>
      <c r="CL266" s="646">
        <f t="shared" ref="CL266:CL329" si="823">IF(AND(CJ266=0,CF266=0,CB266=0,BX266=0),((CK266/CK$2))*CJ$2,0)</f>
        <v>0</v>
      </c>
      <c r="CM266" s="647">
        <f t="shared" si="770"/>
        <v>28320.698066094083</v>
      </c>
      <c r="CN266" s="644">
        <f t="shared" ref="CN266:CN329" si="824">IF(CM266-BW266&lt;0,CM266-BW266,0)</f>
        <v>0</v>
      </c>
      <c r="CO266" s="645">
        <f t="shared" ref="CO266:CO329" si="825">IF(AND(CJ266=0,CF266=0,CN266=0,BX266=0,CB266=0),CM266,0)</f>
        <v>28320.698066094083</v>
      </c>
      <c r="CP266" s="646">
        <f t="shared" ref="CP266:CP329" si="826">IF(AND(CN266=0,CJ266=0,CF266=0),((CO266/CO$2))*CN$2,0)</f>
        <v>0</v>
      </c>
      <c r="CQ266" s="647">
        <f t="shared" si="771"/>
        <v>28320.698066094083</v>
      </c>
      <c r="CS266" s="644">
        <f t="shared" ref="CS266:CS329" si="827">IF(S266="",0,S266)</f>
        <v>26604.810066666392</v>
      </c>
      <c r="CT266" s="645">
        <f t="shared" si="730"/>
        <v>18213.22455736978</v>
      </c>
      <c r="CU266" s="644">
        <f t="shared" ref="CU266:CU329" si="828">IF($L266="N",0,MAX(CT266-CS266,0))</f>
        <v>0</v>
      </c>
      <c r="CV266" s="645">
        <f t="shared" ref="CV266:CV329" si="829">IF(CU266=0,CS266,0)</f>
        <v>26604.810066666392</v>
      </c>
      <c r="CW266" s="646">
        <f t="shared" ref="CW266:CW329" si="830">-IF(CU266=0,((CV266/CV$2)*CU$2),0)</f>
        <v>-272.44829004549183</v>
      </c>
      <c r="CX266" s="647">
        <f t="shared" ref="CX266:CX329" si="831">IF(CU266=0,CV266+CW266,CU266+CS266)</f>
        <v>26332.361776620899</v>
      </c>
      <c r="CY266" s="644">
        <f t="shared" si="772"/>
        <v>0</v>
      </c>
      <c r="CZ266" s="645">
        <f t="shared" si="773"/>
        <v>26332.361776620899</v>
      </c>
      <c r="DA266" s="646">
        <f t="shared" ref="DA266:DA329" si="832">IF(AND(CY266=0,CU266=0),((CZ266/CZ$2))*CY$2,0)</f>
        <v>-20.670999622153278</v>
      </c>
      <c r="DB266" s="647">
        <f t="shared" si="774"/>
        <v>26311.690776998745</v>
      </c>
      <c r="DC266" s="644">
        <f t="shared" ref="DC266:DC329" si="833">IF(DB266-CT266&lt;0,DB266-CT266,0)</f>
        <v>0</v>
      </c>
      <c r="DD266" s="645">
        <f t="shared" ref="DD266:DD329" si="834">IF(AND(CY266=0,CU266=0,DC266=0),DB266,0)</f>
        <v>26311.690776998745</v>
      </c>
      <c r="DE266" s="646">
        <f t="shared" ref="DE266:DE329" si="835">IF(AND(DC266=0,CY266=0,CU266=0),((DD266/DD$2))*DC$2,0)</f>
        <v>-1.7826162552101073E-2</v>
      </c>
      <c r="DF266" s="647">
        <f t="shared" si="775"/>
        <v>26311.672950836193</v>
      </c>
      <c r="DG266" s="644">
        <f t="shared" ref="DG266:DG329" si="836">IF(DF266-CT266&lt;0,DF266-CT266,0)</f>
        <v>0</v>
      </c>
      <c r="DH266" s="645">
        <f t="shared" ref="DH266:DH329" si="837">IF(AND(CY266=0,CU266=0,DC266=0,DG266=0),DF266,0)</f>
        <v>26311.672950836193</v>
      </c>
      <c r="DI266" s="646">
        <f t="shared" ref="DI266:DI329" si="838">IF(AND(DG266=0,DC266=0,CY266=0,CU266=0),((DH266/DH$2))*DG$2,0)</f>
        <v>0</v>
      </c>
      <c r="DJ266" s="647">
        <f t="shared" si="776"/>
        <v>26311.672950836193</v>
      </c>
      <c r="DK266" s="644">
        <f t="shared" ref="DK266:DK329" si="839">IF(DJ266-CT266&lt;0,DJ266-CT266,0)</f>
        <v>0</v>
      </c>
      <c r="DL266" s="645">
        <f t="shared" ref="DL266:DL329" si="840">IF(AND(DG266=0,DC266=0,DK266=0,CU266=0,CY266=0),DJ266,0)</f>
        <v>26311.672950836193</v>
      </c>
      <c r="DM266" s="646">
        <f t="shared" ref="DM266:DM329" si="841">IF(AND(DK266=0,DG266=0,DC266=0),((DL266/DL$2))*DK$2,0)</f>
        <v>0</v>
      </c>
      <c r="DN266" s="647">
        <f t="shared" si="777"/>
        <v>26311.672950836193</v>
      </c>
      <c r="DR266" s="827">
        <f t="shared" si="731"/>
        <v>114575.5784371761</v>
      </c>
      <c r="DV266" s="828">
        <f>IFERROR(VLOOKUP($B266,'Afton FY16 Final'!$A$5:$BV$587,'Afton FY16 Final'!$BV$587,0),0)</f>
        <v>94367.546096914884</v>
      </c>
      <c r="DX266" s="636">
        <f t="shared" si="719"/>
        <v>114575.5784371761</v>
      </c>
      <c r="DY266" s="637">
        <f t="shared" si="720"/>
        <v>20208.032340261212</v>
      </c>
      <c r="DZ266" s="637">
        <f t="shared" si="721"/>
        <v>94367.546096914884</v>
      </c>
      <c r="EA266" s="643">
        <f t="shared" si="722"/>
        <v>108481.44175876534</v>
      </c>
      <c r="EB266" s="637">
        <f t="shared" si="732"/>
        <v>0</v>
      </c>
      <c r="EC266" s="637">
        <f t="shared" si="733"/>
        <v>108481.44175876534</v>
      </c>
      <c r="ED266" s="637">
        <f t="shared" si="734"/>
        <v>108157.95657662093</v>
      </c>
      <c r="EE266" s="643">
        <f t="shared" si="735"/>
        <v>108157.95657662093</v>
      </c>
      <c r="EF266" s="637">
        <f t="shared" si="736"/>
        <v>0</v>
      </c>
      <c r="EG266" s="637">
        <f t="shared" si="737"/>
        <v>108157.95657662093</v>
      </c>
      <c r="EH266" s="637">
        <f t="shared" si="738"/>
        <v>108157.84499427883</v>
      </c>
      <c r="EI266" s="643">
        <f t="shared" si="739"/>
        <v>108157.84499427883</v>
      </c>
      <c r="EJ266" s="637">
        <f t="shared" si="740"/>
        <v>0</v>
      </c>
      <c r="EK266" s="637">
        <f t="shared" si="741"/>
        <v>108157.84499427883</v>
      </c>
      <c r="EL266" s="637">
        <f t="shared" si="742"/>
        <v>108157.84499427867</v>
      </c>
      <c r="EM266" s="643">
        <f t="shared" si="743"/>
        <v>108157.84499427867</v>
      </c>
      <c r="EN266" s="637">
        <f t="shared" si="744"/>
        <v>0</v>
      </c>
      <c r="EO266" s="637">
        <f t="shared" si="745"/>
        <v>108157.84499427867</v>
      </c>
      <c r="EP266" s="637">
        <f t="shared" si="746"/>
        <v>108157.84499427883</v>
      </c>
      <c r="EQ266" s="643">
        <f t="shared" si="747"/>
        <v>108157.84499427883</v>
      </c>
      <c r="ER266" s="637">
        <f t="shared" si="748"/>
        <v>0</v>
      </c>
      <c r="ES266" s="637">
        <f t="shared" si="749"/>
        <v>108157.84499427883</v>
      </c>
      <c r="ET266" s="637">
        <f t="shared" si="750"/>
        <v>108157.84499427865</v>
      </c>
      <c r="EU266" s="643">
        <f t="shared" si="723"/>
        <v>108157.84499427865</v>
      </c>
      <c r="EV266" s="643">
        <f t="shared" si="724"/>
        <v>0</v>
      </c>
      <c r="EX266" s="829">
        <f t="shared" si="725"/>
        <v>6417.7334428974427</v>
      </c>
      <c r="EY266" s="638">
        <f t="shared" si="726"/>
        <v>108157.84499427865</v>
      </c>
      <c r="FC266" s="830" t="str">
        <f t="shared" si="751"/>
        <v>Y</v>
      </c>
      <c r="FE266" s="830" t="str">
        <f>IFERROR(VLOOKUP($B266,'Historical Conc Grant Elig'!$B$3:$J$707,'HH &amp; SI'!FE$2,0),"N")</f>
        <v>N</v>
      </c>
      <c r="FF266" s="830" t="str">
        <f>IFERROR(VLOOKUP($B266,'Historical Conc Grant Elig'!$B$3:$J$707,'HH &amp; SI'!FF$2,0),"N")</f>
        <v>Y</v>
      </c>
      <c r="FG266" s="830" t="str">
        <f>IFERROR(VLOOKUP($B266,'Historical Conc Grant Elig'!$B$3:$J$707,'HH &amp; SI'!FG$2,0),"N")</f>
        <v>Y</v>
      </c>
      <c r="FH266" s="830" t="str">
        <f>IFERROR(VLOOKUP($B266,'Historical Conc Grant Elig'!$B$3:$J$707,'HH &amp; SI'!FH$2,0),"N")</f>
        <v>Y</v>
      </c>
      <c r="FI266" s="830" t="str">
        <f>IFERROR(VLOOKUP($B266,'Historical Conc Grant Elig'!$B$3:$J$707,'HH &amp; SI'!FI$2,0),"N")</f>
        <v>Y</v>
      </c>
      <c r="FJ266" s="830" t="str">
        <f>IFERROR(VLOOKUP($B266,'Historical Conc Grant Elig'!$B$3:$J$707,'HH &amp; SI'!FJ$2,0),"N")</f>
        <v>Y</v>
      </c>
      <c r="FK266" s="830" t="str">
        <f>IFERROR(VLOOKUP($B266,'Historical Conc Grant Elig'!$B$3:$J$707,'HH &amp; SI'!FK$2,0),"N")</f>
        <v>Y</v>
      </c>
      <c r="FL266" s="957" t="str">
        <f>IFERROR(VLOOKUP($B266,'Historical Conc Grant Elig'!$B$3:$J$707,'HH &amp; SI'!FL$2,0),"N")</f>
        <v>Y</v>
      </c>
    </row>
    <row r="267" spans="2:168" x14ac:dyDescent="0.25">
      <c r="B267" s="634">
        <v>78906000</v>
      </c>
      <c r="C267" s="635" t="str">
        <f>VLOOKUP($B267,'Afton Update'!$A$5:$CR$582,'Afton Update'!D$589,0)</f>
        <v>Metropolitan Arts Institute, Inc.</v>
      </c>
      <c r="D267" s="636">
        <f>IFERROR(VLOOKUP($B267,'Afton FY16 Final'!$A$5:$BV$587,'Afton FY16 Final'!AQ$587,0),0)</f>
        <v>0</v>
      </c>
      <c r="E267" s="637">
        <f>IFERROR(VLOOKUP($B267,'Afton FY16 Final'!$A$5:$BV$587,'Afton FY16 Final'!AR$587,0),0)</f>
        <v>0</v>
      </c>
      <c r="F267" s="637">
        <f>IFERROR(VLOOKUP($B267,'Afton FY16 Final'!$A$5:$BV$587,'Afton FY16 Final'!AS$587,0),0)</f>
        <v>0</v>
      </c>
      <c r="G267" s="637">
        <f>IFERROR(VLOOKUP($B267,'Afton FY16 Final'!$A$5:$BV$587,'Afton FY16 Final'!AT$587,0),0)</f>
        <v>0</v>
      </c>
      <c r="H267" s="638">
        <f>IFERROR(VLOOKUP($B267,'Afton FY16 Final'!$A$5:$BV$587,'Afton FY16 Final'!AU$587,0),0)</f>
        <v>0</v>
      </c>
      <c r="I267" s="639" t="str">
        <f>VLOOKUP($B267,'Afton Update'!$A$5:$CR$582,'Afton Update'!BT$589,0)</f>
        <v>Y</v>
      </c>
      <c r="J267" s="640" t="str">
        <f>VLOOKUP($B267,'Afton Update'!$A$5:$CR$582,'Afton Update'!BU$589,0)</f>
        <v>N</v>
      </c>
      <c r="K267" s="640" t="str">
        <f>VLOOKUP($B267,'Afton Update'!$A$5:$CR$582,'Afton Update'!BV$589,0)</f>
        <v>Y</v>
      </c>
      <c r="L267" s="641" t="str">
        <f>VLOOKUP($B267,'Afton Update'!$A$5:$CR$582,'Afton Update'!BW$589,0)</f>
        <v>Y</v>
      </c>
      <c r="N267" s="642">
        <f>VLOOKUP($B267,'Afton Update'!$A$5:$CR$582,'Afton Update'!CB$589,0)</f>
        <v>0.85</v>
      </c>
      <c r="P267" s="636">
        <f>VLOOKUP($B267,'Afton Update'!$A$5:$CR$582,'Afton Update'!AH$589,0)</f>
        <v>16981.044222236214</v>
      </c>
      <c r="Q267" s="637" t="str">
        <f>VLOOKUP($B267,'Afton Update'!$A$5:$CR$582,'Afton Update'!AI$589,0)</f>
        <v/>
      </c>
      <c r="R267" s="637">
        <f>VLOOKUP($B267,'Afton Update'!$A$5:$CR$582,'Afton Update'!AJ$589,0)</f>
        <v>9963.7003611316359</v>
      </c>
      <c r="S267" s="637">
        <f>VLOOKUP($B267,'Afton Update'!$A$5:$CR$582,'Afton Update'!AK$589,0)</f>
        <v>9274.8962094348644</v>
      </c>
      <c r="T267" s="643">
        <f t="shared" si="752"/>
        <v>36219.640792802718</v>
      </c>
      <c r="V267" s="636">
        <f t="shared" si="778"/>
        <v>16749.411757266138</v>
      </c>
      <c r="W267" s="637">
        <f t="shared" si="779"/>
        <v>0</v>
      </c>
      <c r="X267" s="637">
        <f t="shared" si="780"/>
        <v>9873.0843965268614</v>
      </c>
      <c r="Y267" s="637">
        <f t="shared" si="781"/>
        <v>9172.703548872907</v>
      </c>
      <c r="Z267" s="643">
        <f t="shared" si="782"/>
        <v>35795.199702665908</v>
      </c>
      <c r="AB267" s="644">
        <f t="shared" si="753"/>
        <v>16981.044222236214</v>
      </c>
      <c r="AC267" s="645">
        <f t="shared" si="727"/>
        <v>0</v>
      </c>
      <c r="AD267" s="644">
        <f t="shared" si="783"/>
        <v>0</v>
      </c>
      <c r="AE267" s="645">
        <f t="shared" si="784"/>
        <v>16981.044222236214</v>
      </c>
      <c r="AF267" s="646">
        <f t="shared" si="785"/>
        <v>-210.49280404966157</v>
      </c>
      <c r="AG267" s="647">
        <f t="shared" si="786"/>
        <v>16770.551418186551</v>
      </c>
      <c r="AH267" s="644">
        <f t="shared" si="754"/>
        <v>0</v>
      </c>
      <c r="AI267" s="645">
        <f t="shared" si="755"/>
        <v>16770.551418186551</v>
      </c>
      <c r="AJ267" s="646">
        <f t="shared" si="787"/>
        <v>-21.126192907371369</v>
      </c>
      <c r="AK267" s="647">
        <f t="shared" si="756"/>
        <v>16749.425225279181</v>
      </c>
      <c r="AL267" s="644">
        <f t="shared" si="788"/>
        <v>0</v>
      </c>
      <c r="AM267" s="645">
        <f t="shared" si="789"/>
        <v>16749.425225279181</v>
      </c>
      <c r="AN267" s="646">
        <f t="shared" si="790"/>
        <v>-1.3468013043468653E-2</v>
      </c>
      <c r="AO267" s="647">
        <f t="shared" si="757"/>
        <v>16749.411757266138</v>
      </c>
      <c r="AP267" s="644">
        <f t="shared" si="791"/>
        <v>0</v>
      </c>
      <c r="AQ267" s="645">
        <f t="shared" si="792"/>
        <v>16749.411757266138</v>
      </c>
      <c r="AR267" s="646">
        <f t="shared" si="793"/>
        <v>0</v>
      </c>
      <c r="AS267" s="647">
        <f t="shared" si="758"/>
        <v>16749.411757266138</v>
      </c>
      <c r="AT267" s="644">
        <f t="shared" si="794"/>
        <v>0</v>
      </c>
      <c r="AU267" s="645">
        <f t="shared" si="795"/>
        <v>16749.411757266138</v>
      </c>
      <c r="AV267" s="646">
        <f t="shared" si="796"/>
        <v>0</v>
      </c>
      <c r="AW267" s="647">
        <f t="shared" si="759"/>
        <v>16749.411757266138</v>
      </c>
      <c r="AY267" s="644">
        <f t="shared" si="797"/>
        <v>0</v>
      </c>
      <c r="AZ267" s="645">
        <f t="shared" si="728"/>
        <v>0</v>
      </c>
      <c r="BA267" s="644">
        <f t="shared" si="798"/>
        <v>0</v>
      </c>
      <c r="BB267" s="645">
        <f t="shared" si="799"/>
        <v>0</v>
      </c>
      <c r="BC267" s="646">
        <f t="shared" si="800"/>
        <v>0</v>
      </c>
      <c r="BD267" s="647">
        <f t="shared" si="801"/>
        <v>0</v>
      </c>
      <c r="BE267" s="644">
        <f t="shared" si="760"/>
        <v>0</v>
      </c>
      <c r="BF267" s="645">
        <f t="shared" si="761"/>
        <v>0</v>
      </c>
      <c r="BG267" s="646">
        <f t="shared" si="802"/>
        <v>0</v>
      </c>
      <c r="BH267" s="647">
        <f t="shared" si="762"/>
        <v>0</v>
      </c>
      <c r="BI267" s="644">
        <f t="shared" si="803"/>
        <v>0</v>
      </c>
      <c r="BJ267" s="645">
        <f t="shared" si="804"/>
        <v>0</v>
      </c>
      <c r="BK267" s="646">
        <f t="shared" si="805"/>
        <v>0</v>
      </c>
      <c r="BL267" s="647">
        <f t="shared" si="763"/>
        <v>0</v>
      </c>
      <c r="BM267" s="644">
        <f t="shared" si="806"/>
        <v>0</v>
      </c>
      <c r="BN267" s="645">
        <f t="shared" si="807"/>
        <v>0</v>
      </c>
      <c r="BO267" s="646">
        <f t="shared" si="808"/>
        <v>0</v>
      </c>
      <c r="BP267" s="647">
        <f t="shared" si="764"/>
        <v>0</v>
      </c>
      <c r="BQ267" s="644">
        <f t="shared" si="809"/>
        <v>0</v>
      </c>
      <c r="BR267" s="645">
        <f t="shared" si="810"/>
        <v>0</v>
      </c>
      <c r="BS267" s="646">
        <f t="shared" si="811"/>
        <v>0</v>
      </c>
      <c r="BT267" s="647">
        <f t="shared" si="765"/>
        <v>0</v>
      </c>
      <c r="BU267" s="662">
        <f>VLOOKUP(B267,'Afton Update'!$A$5:$AR$582,'Afton Update'!$AO$589,0)-BT267</f>
        <v>0</v>
      </c>
      <c r="BV267" s="644">
        <f t="shared" si="812"/>
        <v>9963.7003611316359</v>
      </c>
      <c r="BW267" s="645">
        <f t="shared" si="729"/>
        <v>0</v>
      </c>
      <c r="BX267" s="644">
        <f t="shared" si="813"/>
        <v>0</v>
      </c>
      <c r="BY267" s="645">
        <f t="shared" si="814"/>
        <v>9963.7003611316359</v>
      </c>
      <c r="BZ267" s="646">
        <f t="shared" si="815"/>
        <v>-87.452457398440416</v>
      </c>
      <c r="CA267" s="647">
        <f t="shared" si="816"/>
        <v>9876.2479037331959</v>
      </c>
      <c r="CB267" s="644">
        <f t="shared" si="766"/>
        <v>0</v>
      </c>
      <c r="CC267" s="645">
        <f t="shared" si="767"/>
        <v>9876.2479037331959</v>
      </c>
      <c r="CD267" s="646">
        <f t="shared" si="817"/>
        <v>-3.163507206335066</v>
      </c>
      <c r="CE267" s="647">
        <f t="shared" si="768"/>
        <v>9873.0843965268614</v>
      </c>
      <c r="CF267" s="644">
        <f t="shared" si="818"/>
        <v>0</v>
      </c>
      <c r="CG267" s="645">
        <f t="shared" si="819"/>
        <v>9873.0843965268614</v>
      </c>
      <c r="CH267" s="646">
        <f t="shared" si="820"/>
        <v>0</v>
      </c>
      <c r="CI267" s="647">
        <f t="shared" si="769"/>
        <v>9873.0843965268614</v>
      </c>
      <c r="CJ267" s="644">
        <f t="shared" si="821"/>
        <v>0</v>
      </c>
      <c r="CK267" s="645">
        <f t="shared" si="822"/>
        <v>9873.0843965268614</v>
      </c>
      <c r="CL267" s="646">
        <f t="shared" si="823"/>
        <v>0</v>
      </c>
      <c r="CM267" s="647">
        <f t="shared" si="770"/>
        <v>9873.0843965268614</v>
      </c>
      <c r="CN267" s="644">
        <f t="shared" si="824"/>
        <v>0</v>
      </c>
      <c r="CO267" s="645">
        <f t="shared" si="825"/>
        <v>9873.0843965268614</v>
      </c>
      <c r="CP267" s="646">
        <f t="shared" si="826"/>
        <v>0</v>
      </c>
      <c r="CQ267" s="647">
        <f t="shared" si="771"/>
        <v>9873.0843965268614</v>
      </c>
      <c r="CS267" s="644">
        <f t="shared" si="827"/>
        <v>9274.8962094348644</v>
      </c>
      <c r="CT267" s="645">
        <f t="shared" si="730"/>
        <v>0</v>
      </c>
      <c r="CU267" s="644">
        <f t="shared" si="828"/>
        <v>0</v>
      </c>
      <c r="CV267" s="645">
        <f t="shared" si="829"/>
        <v>9274.8962094348644</v>
      </c>
      <c r="CW267" s="646">
        <f t="shared" si="830"/>
        <v>-94.980178632283284</v>
      </c>
      <c r="CX267" s="647">
        <f t="shared" si="831"/>
        <v>9179.9160308025803</v>
      </c>
      <c r="CY267" s="644">
        <f t="shared" si="772"/>
        <v>0</v>
      </c>
      <c r="CZ267" s="645">
        <f t="shared" si="773"/>
        <v>9179.9160308025803</v>
      </c>
      <c r="DA267" s="646">
        <f t="shared" si="832"/>
        <v>-7.2062674215798985</v>
      </c>
      <c r="DB267" s="647">
        <f t="shared" si="774"/>
        <v>9172.7097633810008</v>
      </c>
      <c r="DC267" s="644">
        <f t="shared" si="833"/>
        <v>0</v>
      </c>
      <c r="DD267" s="645">
        <f t="shared" si="834"/>
        <v>9172.7097633810008</v>
      </c>
      <c r="DE267" s="646">
        <f t="shared" si="835"/>
        <v>-6.2145080934219469E-3</v>
      </c>
      <c r="DF267" s="647">
        <f t="shared" si="775"/>
        <v>9172.703548872907</v>
      </c>
      <c r="DG267" s="644">
        <f t="shared" si="836"/>
        <v>0</v>
      </c>
      <c r="DH267" s="645">
        <f t="shared" si="837"/>
        <v>9172.703548872907</v>
      </c>
      <c r="DI267" s="646">
        <f t="shared" si="838"/>
        <v>0</v>
      </c>
      <c r="DJ267" s="647">
        <f t="shared" si="776"/>
        <v>9172.703548872907</v>
      </c>
      <c r="DK267" s="644">
        <f t="shared" si="839"/>
        <v>0</v>
      </c>
      <c r="DL267" s="645">
        <f t="shared" si="840"/>
        <v>9172.703548872907</v>
      </c>
      <c r="DM267" s="646">
        <f t="shared" si="841"/>
        <v>0</v>
      </c>
      <c r="DN267" s="647">
        <f t="shared" si="777"/>
        <v>9172.703548872907</v>
      </c>
      <c r="DR267" s="827">
        <f t="shared" si="731"/>
        <v>35795.199702665908</v>
      </c>
      <c r="DV267" s="828">
        <f>IFERROR(VLOOKUP($B267,'Afton FY16 Final'!$A$5:$BV$587,'Afton FY16 Final'!$BV$587,0),0)</f>
        <v>0</v>
      </c>
      <c r="DX267" s="636">
        <f t="shared" si="719"/>
        <v>35795.199702665908</v>
      </c>
      <c r="DY267" s="637">
        <f t="shared" si="720"/>
        <v>35795.199702665908</v>
      </c>
      <c r="DZ267" s="637">
        <f t="shared" si="721"/>
        <v>0</v>
      </c>
      <c r="EA267" s="643">
        <f t="shared" si="722"/>
        <v>33891.296249639359</v>
      </c>
      <c r="EB267" s="637">
        <f t="shared" si="732"/>
        <v>0</v>
      </c>
      <c r="EC267" s="637">
        <f t="shared" si="733"/>
        <v>33891.296249639359</v>
      </c>
      <c r="ED267" s="637">
        <f t="shared" si="734"/>
        <v>33790.234427795171</v>
      </c>
      <c r="EE267" s="643">
        <f t="shared" si="735"/>
        <v>33790.234427795171</v>
      </c>
      <c r="EF267" s="637">
        <f t="shared" si="736"/>
        <v>0</v>
      </c>
      <c r="EG267" s="637">
        <f t="shared" si="737"/>
        <v>33790.234427795171</v>
      </c>
      <c r="EH267" s="637">
        <f t="shared" si="738"/>
        <v>33790.199567729243</v>
      </c>
      <c r="EI267" s="643">
        <f t="shared" si="739"/>
        <v>33790.199567729243</v>
      </c>
      <c r="EJ267" s="637">
        <f t="shared" si="740"/>
        <v>0</v>
      </c>
      <c r="EK267" s="637">
        <f t="shared" si="741"/>
        <v>33790.199567729243</v>
      </c>
      <c r="EL267" s="637">
        <f t="shared" si="742"/>
        <v>33790.199567729192</v>
      </c>
      <c r="EM267" s="643">
        <f t="shared" si="743"/>
        <v>33790.199567729192</v>
      </c>
      <c r="EN267" s="637">
        <f t="shared" si="744"/>
        <v>0</v>
      </c>
      <c r="EO267" s="637">
        <f t="shared" si="745"/>
        <v>33790.199567729192</v>
      </c>
      <c r="EP267" s="637">
        <f t="shared" si="746"/>
        <v>33790.199567729251</v>
      </c>
      <c r="EQ267" s="643">
        <f t="shared" si="747"/>
        <v>33790.199567729251</v>
      </c>
      <c r="ER267" s="637">
        <f t="shared" si="748"/>
        <v>0</v>
      </c>
      <c r="ES267" s="637">
        <f t="shared" si="749"/>
        <v>33790.199567729251</v>
      </c>
      <c r="ET267" s="637">
        <f t="shared" si="750"/>
        <v>33790.199567729192</v>
      </c>
      <c r="EU267" s="643">
        <f t="shared" si="723"/>
        <v>33790.199567729192</v>
      </c>
      <c r="EV267" s="643">
        <f t="shared" si="724"/>
        <v>0</v>
      </c>
      <c r="EX267" s="829">
        <f t="shared" si="725"/>
        <v>2005.0001349367158</v>
      </c>
      <c r="EY267" s="638">
        <f t="shared" si="726"/>
        <v>33790.199567729192</v>
      </c>
      <c r="FC267" s="830" t="str">
        <f t="shared" si="751"/>
        <v>N</v>
      </c>
      <c r="FE267" s="830" t="str">
        <f>IFERROR(VLOOKUP($B267,'Historical Conc Grant Elig'!$B$3:$J$707,'HH &amp; SI'!FE$2,0),"N")</f>
        <v>N</v>
      </c>
      <c r="FF267" s="830" t="str">
        <f>IFERROR(VLOOKUP($B267,'Historical Conc Grant Elig'!$B$3:$J$707,'HH &amp; SI'!FF$2,0),"N")</f>
        <v>N</v>
      </c>
      <c r="FG267" s="830" t="str">
        <f>IFERROR(VLOOKUP($B267,'Historical Conc Grant Elig'!$B$3:$J$707,'HH &amp; SI'!FG$2,0),"N")</f>
        <v>N</v>
      </c>
      <c r="FH267" s="830" t="str">
        <f>IFERROR(VLOOKUP($B267,'Historical Conc Grant Elig'!$B$3:$J$707,'HH &amp; SI'!FH$2,0),"N")</f>
        <v>N</v>
      </c>
      <c r="FI267" s="830" t="str">
        <f>IFERROR(VLOOKUP($B267,'Historical Conc Grant Elig'!$B$3:$J$707,'HH &amp; SI'!FI$2,0),"N")</f>
        <v>N</v>
      </c>
      <c r="FJ267" s="830" t="str">
        <f>IFERROR(VLOOKUP($B267,'Historical Conc Grant Elig'!$B$3:$J$707,'HH &amp; SI'!FJ$2,0),"N")</f>
        <v>N</v>
      </c>
      <c r="FK267" s="830" t="str">
        <f>IFERROR(VLOOKUP($B267,'Historical Conc Grant Elig'!$B$3:$J$707,'HH &amp; SI'!FK$2,0),"N")</f>
        <v>N</v>
      </c>
      <c r="FL267" s="957" t="str">
        <f>IFERROR(VLOOKUP($B267,'Historical Conc Grant Elig'!$B$3:$J$707,'HH &amp; SI'!FL$2,0),"N")</f>
        <v>N</v>
      </c>
    </row>
    <row r="268" spans="2:168" x14ac:dyDescent="0.25">
      <c r="B268" s="634">
        <v>78907000</v>
      </c>
      <c r="C268" s="635" t="str">
        <f>VLOOKUP($B268,'Afton Update'!$A$5:$CR$582,'Afton Update'!D$589,0)</f>
        <v>P.L.C. Charter Schools</v>
      </c>
      <c r="D268" s="636">
        <f>IFERROR(VLOOKUP($B268,'Afton FY16 Final'!$A$5:$BV$587,'Afton FY16 Final'!AQ$587,0),0)</f>
        <v>222480.60603174445</v>
      </c>
      <c r="E268" s="637">
        <f>IFERROR(VLOOKUP($B268,'Afton FY16 Final'!$A$5:$BV$587,'Afton FY16 Final'!AR$587,0),0)</f>
        <v>46100.040399468686</v>
      </c>
      <c r="F268" s="637">
        <f>IFERROR(VLOOKUP($B268,'Afton FY16 Final'!$A$5:$BV$587,'Afton FY16 Final'!AS$587,0),0)</f>
        <v>117962.46789136711</v>
      </c>
      <c r="G268" s="637">
        <f>IFERROR(VLOOKUP($B268,'Afton FY16 Final'!$A$5:$BV$587,'Afton FY16 Final'!AT$587,0),0)</f>
        <v>113656.02581268358</v>
      </c>
      <c r="H268" s="638">
        <f>IFERROR(VLOOKUP($B268,'Afton FY16 Final'!$A$5:$BV$587,'Afton FY16 Final'!AU$587,0),0)</f>
        <v>500199.14013526379</v>
      </c>
      <c r="I268" s="639" t="str">
        <f>VLOOKUP($B268,'Afton Update'!$A$5:$CR$582,'Afton Update'!BT$589,0)</f>
        <v>Y</v>
      </c>
      <c r="J268" s="640" t="str">
        <f>VLOOKUP($B268,'Afton Update'!$A$5:$CR$582,'Afton Update'!BU$589,0)</f>
        <v>Y</v>
      </c>
      <c r="K268" s="640" t="str">
        <f>VLOOKUP($B268,'Afton Update'!$A$5:$CR$582,'Afton Update'!BV$589,0)</f>
        <v>Y</v>
      </c>
      <c r="L268" s="641" t="str">
        <f>VLOOKUP($B268,'Afton Update'!$A$5:$CR$582,'Afton Update'!BW$589,0)</f>
        <v>Y</v>
      </c>
      <c r="N268" s="642">
        <f>VLOOKUP($B268,'Afton Update'!$A$5:$CR$582,'Afton Update'!CB$589,0)</f>
        <v>0.95</v>
      </c>
      <c r="P268" s="636">
        <f>VLOOKUP($B268,'Afton Update'!$A$5:$CR$582,'Afton Update'!AH$589,0)</f>
        <v>235103.75310504509</v>
      </c>
      <c r="Q268" s="637">
        <f>VLOOKUP($B268,'Afton Update'!$A$5:$CR$582,'Afton Update'!AI$589,0)</f>
        <v>50749.899447437681</v>
      </c>
      <c r="R268" s="637">
        <f>VLOOKUP($B268,'Afton Update'!$A$5:$CR$582,'Afton Update'!AJ$589,0)</f>
        <v>137622.63079650031</v>
      </c>
      <c r="S268" s="637">
        <f>VLOOKUP($B268,'Afton Update'!$A$5:$CR$582,'Afton Update'!AK$589,0)</f>
        <v>128108.59123045106</v>
      </c>
      <c r="T268" s="643">
        <f t="shared" si="752"/>
        <v>551584.87457943417</v>
      </c>
      <c r="V268" s="636">
        <f t="shared" si="778"/>
        <v>231896.78531538896</v>
      </c>
      <c r="W268" s="637">
        <f t="shared" si="779"/>
        <v>49078.383306105919</v>
      </c>
      <c r="X268" s="637">
        <f t="shared" si="780"/>
        <v>136371.00670213066</v>
      </c>
      <c r="Y268" s="637">
        <f t="shared" si="781"/>
        <v>126697.06516233544</v>
      </c>
      <c r="Z268" s="643">
        <f t="shared" si="782"/>
        <v>544043.24048596097</v>
      </c>
      <c r="AB268" s="644">
        <f t="shared" si="753"/>
        <v>235103.75310504509</v>
      </c>
      <c r="AC268" s="645">
        <f t="shared" si="727"/>
        <v>211356.57573015723</v>
      </c>
      <c r="AD268" s="644">
        <f t="shared" si="783"/>
        <v>0</v>
      </c>
      <c r="AE268" s="645">
        <f t="shared" si="784"/>
        <v>235103.75310504509</v>
      </c>
      <c r="AF268" s="646">
        <f t="shared" si="785"/>
        <v>-2914.2876955044703</v>
      </c>
      <c r="AG268" s="647">
        <f t="shared" si="786"/>
        <v>232189.46540954063</v>
      </c>
      <c r="AH268" s="644">
        <f t="shared" si="754"/>
        <v>0</v>
      </c>
      <c r="AI268" s="645">
        <f t="shared" si="755"/>
        <v>232189.46540954063</v>
      </c>
      <c r="AJ268" s="646">
        <f t="shared" si="787"/>
        <v>-292.49362856262059</v>
      </c>
      <c r="AK268" s="647">
        <f t="shared" si="756"/>
        <v>231896.971780978</v>
      </c>
      <c r="AL268" s="644">
        <f t="shared" si="788"/>
        <v>0</v>
      </c>
      <c r="AM268" s="645">
        <f t="shared" si="789"/>
        <v>231896.971780978</v>
      </c>
      <c r="AN268" s="646">
        <f t="shared" si="790"/>
        <v>-0.18646558903844632</v>
      </c>
      <c r="AO268" s="647">
        <f t="shared" si="757"/>
        <v>231896.78531538896</v>
      </c>
      <c r="AP268" s="644">
        <f t="shared" si="791"/>
        <v>0</v>
      </c>
      <c r="AQ268" s="645">
        <f t="shared" si="792"/>
        <v>231896.78531538896</v>
      </c>
      <c r="AR268" s="646">
        <f t="shared" si="793"/>
        <v>0</v>
      </c>
      <c r="AS268" s="647">
        <f t="shared" si="758"/>
        <v>231896.78531538896</v>
      </c>
      <c r="AT268" s="644">
        <f t="shared" si="794"/>
        <v>0</v>
      </c>
      <c r="AU268" s="645">
        <f t="shared" si="795"/>
        <v>231896.78531538896</v>
      </c>
      <c r="AV268" s="646">
        <f t="shared" si="796"/>
        <v>0</v>
      </c>
      <c r="AW268" s="647">
        <f t="shared" si="759"/>
        <v>231896.78531538896</v>
      </c>
      <c r="AY268" s="644">
        <f t="shared" si="797"/>
        <v>50749.899447437681</v>
      </c>
      <c r="AZ268" s="645">
        <f t="shared" si="728"/>
        <v>43795.03837949525</v>
      </c>
      <c r="BA268" s="644">
        <f t="shared" si="798"/>
        <v>0</v>
      </c>
      <c r="BB268" s="645">
        <f t="shared" si="799"/>
        <v>50749.899447437681</v>
      </c>
      <c r="BC268" s="646">
        <f t="shared" si="800"/>
        <v>-364.95731699226678</v>
      </c>
      <c r="BD268" s="647">
        <f t="shared" si="801"/>
        <v>50384.942130445415</v>
      </c>
      <c r="BE268" s="644">
        <f t="shared" si="760"/>
        <v>0</v>
      </c>
      <c r="BF268" s="645">
        <f t="shared" si="761"/>
        <v>50384.942130445415</v>
      </c>
      <c r="BG268" s="646">
        <f t="shared" si="802"/>
        <v>-1200.1282607816618</v>
      </c>
      <c r="BH268" s="647">
        <f t="shared" si="762"/>
        <v>49184.813869663754</v>
      </c>
      <c r="BI268" s="644">
        <f t="shared" si="803"/>
        <v>0</v>
      </c>
      <c r="BJ268" s="645">
        <f t="shared" si="804"/>
        <v>49184.813869663754</v>
      </c>
      <c r="BK268" s="646">
        <f t="shared" si="805"/>
        <v>-104.18498791199804</v>
      </c>
      <c r="BL268" s="647">
        <f t="shared" si="763"/>
        <v>49080.628881751756</v>
      </c>
      <c r="BM268" s="644">
        <f t="shared" si="806"/>
        <v>0</v>
      </c>
      <c r="BN268" s="645">
        <f t="shared" si="807"/>
        <v>49080.628881751756</v>
      </c>
      <c r="BO268" s="646">
        <f t="shared" si="808"/>
        <v>-2.2455756458376932</v>
      </c>
      <c r="BP268" s="647">
        <f t="shared" si="764"/>
        <v>49078.383306105919</v>
      </c>
      <c r="BQ268" s="644">
        <f t="shared" si="809"/>
        <v>0</v>
      </c>
      <c r="BR268" s="645">
        <f t="shared" si="810"/>
        <v>49078.383306105919</v>
      </c>
      <c r="BS268" s="646">
        <f t="shared" si="811"/>
        <v>0</v>
      </c>
      <c r="BT268" s="647">
        <f t="shared" si="765"/>
        <v>49078.383306105919</v>
      </c>
      <c r="BU268" s="662">
        <f>VLOOKUP(B268,'Afton Update'!$A$5:$AR$582,'Afton Update'!$AO$589,0)-BT268</f>
        <v>0</v>
      </c>
      <c r="BV268" s="644">
        <f t="shared" si="812"/>
        <v>137622.63079650031</v>
      </c>
      <c r="BW268" s="645">
        <f t="shared" si="729"/>
        <v>112064.34449679875</v>
      </c>
      <c r="BX268" s="644">
        <f t="shared" si="813"/>
        <v>0</v>
      </c>
      <c r="BY268" s="645">
        <f t="shared" si="814"/>
        <v>137622.63079650031</v>
      </c>
      <c r="BZ268" s="646">
        <f t="shared" si="815"/>
        <v>-1207.9284623755286</v>
      </c>
      <c r="CA268" s="647">
        <f t="shared" si="816"/>
        <v>136414.70233412477</v>
      </c>
      <c r="CB268" s="644">
        <f t="shared" si="766"/>
        <v>0</v>
      </c>
      <c r="CC268" s="645">
        <f t="shared" si="767"/>
        <v>136414.70233412477</v>
      </c>
      <c r="CD268" s="646">
        <f t="shared" si="817"/>
        <v>-43.695631994102975</v>
      </c>
      <c r="CE268" s="647">
        <f t="shared" si="768"/>
        <v>136371.00670213066</v>
      </c>
      <c r="CF268" s="644">
        <f t="shared" si="818"/>
        <v>0</v>
      </c>
      <c r="CG268" s="645">
        <f t="shared" si="819"/>
        <v>136371.00670213066</v>
      </c>
      <c r="CH268" s="646">
        <f t="shared" si="820"/>
        <v>0</v>
      </c>
      <c r="CI268" s="647">
        <f t="shared" si="769"/>
        <v>136371.00670213066</v>
      </c>
      <c r="CJ268" s="644">
        <f t="shared" si="821"/>
        <v>0</v>
      </c>
      <c r="CK268" s="645">
        <f t="shared" si="822"/>
        <v>136371.00670213066</v>
      </c>
      <c r="CL268" s="646">
        <f t="shared" si="823"/>
        <v>0</v>
      </c>
      <c r="CM268" s="647">
        <f t="shared" si="770"/>
        <v>136371.00670213066</v>
      </c>
      <c r="CN268" s="644">
        <f t="shared" si="824"/>
        <v>0</v>
      </c>
      <c r="CO268" s="645">
        <f t="shared" si="825"/>
        <v>136371.00670213066</v>
      </c>
      <c r="CP268" s="646">
        <f t="shared" si="826"/>
        <v>0</v>
      </c>
      <c r="CQ268" s="647">
        <f t="shared" si="771"/>
        <v>136371.00670213066</v>
      </c>
      <c r="CS268" s="644">
        <f t="shared" si="827"/>
        <v>128108.59123045106</v>
      </c>
      <c r="CT268" s="645">
        <f t="shared" si="730"/>
        <v>107973.22452204939</v>
      </c>
      <c r="CU268" s="644">
        <f t="shared" si="828"/>
        <v>0</v>
      </c>
      <c r="CV268" s="645">
        <f t="shared" si="829"/>
        <v>128108.59123045106</v>
      </c>
      <c r="CW268" s="646">
        <f t="shared" si="830"/>
        <v>-1311.9043711799989</v>
      </c>
      <c r="CX268" s="647">
        <f t="shared" si="831"/>
        <v>126796.68685927105</v>
      </c>
      <c r="CY268" s="644">
        <f t="shared" si="772"/>
        <v>0</v>
      </c>
      <c r="CZ268" s="645">
        <f t="shared" si="773"/>
        <v>126796.68685927105</v>
      </c>
      <c r="DA268" s="646">
        <f t="shared" si="832"/>
        <v>-99.535859654083083</v>
      </c>
      <c r="DB268" s="647">
        <f t="shared" si="774"/>
        <v>126697.15099961696</v>
      </c>
      <c r="DC268" s="644">
        <f t="shared" si="833"/>
        <v>0</v>
      </c>
      <c r="DD268" s="645">
        <f t="shared" si="834"/>
        <v>126697.15099961696</v>
      </c>
      <c r="DE268" s="646">
        <f t="shared" si="835"/>
        <v>-8.5837281524364539E-2</v>
      </c>
      <c r="DF268" s="647">
        <f t="shared" si="775"/>
        <v>126697.06516233544</v>
      </c>
      <c r="DG268" s="644">
        <f t="shared" si="836"/>
        <v>0</v>
      </c>
      <c r="DH268" s="645">
        <f t="shared" si="837"/>
        <v>126697.06516233544</v>
      </c>
      <c r="DI268" s="646">
        <f t="shared" si="838"/>
        <v>0</v>
      </c>
      <c r="DJ268" s="647">
        <f t="shared" si="776"/>
        <v>126697.06516233544</v>
      </c>
      <c r="DK268" s="644">
        <f t="shared" si="839"/>
        <v>0</v>
      </c>
      <c r="DL268" s="645">
        <f t="shared" si="840"/>
        <v>126697.06516233544</v>
      </c>
      <c r="DM268" s="646">
        <f t="shared" si="841"/>
        <v>0</v>
      </c>
      <c r="DN268" s="647">
        <f t="shared" si="777"/>
        <v>126697.06516233544</v>
      </c>
      <c r="DR268" s="827">
        <f t="shared" si="731"/>
        <v>544043.24048596097</v>
      </c>
      <c r="DV268" s="828">
        <f>IFERROR(VLOOKUP($B268,'Afton FY16 Final'!$A$5:$BV$587,'Afton FY16 Final'!$BV$587,0),0)</f>
        <v>482496.09905249689</v>
      </c>
      <c r="DX268" s="636">
        <f t="shared" si="719"/>
        <v>544043.24048596097</v>
      </c>
      <c r="DY268" s="637">
        <f t="shared" si="720"/>
        <v>61547.141433464072</v>
      </c>
      <c r="DZ268" s="637">
        <f t="shared" si="721"/>
        <v>482496.09905249689</v>
      </c>
      <c r="EA268" s="643">
        <f t="shared" si="722"/>
        <v>515106.23740283994</v>
      </c>
      <c r="EB268" s="637">
        <f t="shared" si="732"/>
        <v>0</v>
      </c>
      <c r="EC268" s="637">
        <f t="shared" si="733"/>
        <v>515106.23740283994</v>
      </c>
      <c r="ED268" s="637">
        <f t="shared" si="734"/>
        <v>513570.22135872685</v>
      </c>
      <c r="EE268" s="643">
        <f t="shared" si="735"/>
        <v>513570.22135872685</v>
      </c>
      <c r="EF268" s="637">
        <f t="shared" si="736"/>
        <v>0</v>
      </c>
      <c r="EG268" s="637">
        <f t="shared" si="737"/>
        <v>513570.22135872685</v>
      </c>
      <c r="EH268" s="637">
        <f t="shared" si="738"/>
        <v>513569.69152837561</v>
      </c>
      <c r="EI268" s="643">
        <f t="shared" si="739"/>
        <v>513569.69152837561</v>
      </c>
      <c r="EJ268" s="637">
        <f t="shared" si="740"/>
        <v>0</v>
      </c>
      <c r="EK268" s="637">
        <f t="shared" si="741"/>
        <v>513569.69152837561</v>
      </c>
      <c r="EL268" s="637">
        <f t="shared" si="742"/>
        <v>513569.69152837485</v>
      </c>
      <c r="EM268" s="643">
        <f t="shared" si="743"/>
        <v>513569.69152837485</v>
      </c>
      <c r="EN268" s="637">
        <f t="shared" si="744"/>
        <v>0</v>
      </c>
      <c r="EO268" s="637">
        <f t="shared" si="745"/>
        <v>513569.69152837485</v>
      </c>
      <c r="EP268" s="637">
        <f t="shared" si="746"/>
        <v>513569.69152837567</v>
      </c>
      <c r="EQ268" s="643">
        <f t="shared" si="747"/>
        <v>513569.69152837567</v>
      </c>
      <c r="ER268" s="637">
        <f t="shared" si="748"/>
        <v>0</v>
      </c>
      <c r="ES268" s="637">
        <f t="shared" si="749"/>
        <v>513569.69152837567</v>
      </c>
      <c r="ET268" s="637">
        <f t="shared" si="750"/>
        <v>513569.69152837485</v>
      </c>
      <c r="EU268" s="643">
        <f t="shared" si="723"/>
        <v>513569.69152837485</v>
      </c>
      <c r="EV268" s="643">
        <f t="shared" si="724"/>
        <v>0</v>
      </c>
      <c r="EX268" s="829">
        <f t="shared" si="725"/>
        <v>30473.548957586114</v>
      </c>
      <c r="EY268" s="638">
        <f t="shared" si="726"/>
        <v>513569.69152837485</v>
      </c>
      <c r="FC268" s="830" t="str">
        <f t="shared" si="751"/>
        <v>Y</v>
      </c>
      <c r="FE268" s="830" t="str">
        <f>IFERROR(VLOOKUP($B268,'Historical Conc Grant Elig'!$B$3:$J$707,'HH &amp; SI'!FE$2,0),"N")</f>
        <v>Y</v>
      </c>
      <c r="FF268" s="830" t="str">
        <f>IFERROR(VLOOKUP($B268,'Historical Conc Grant Elig'!$B$3:$J$707,'HH &amp; SI'!FF$2,0),"N")</f>
        <v>Y</v>
      </c>
      <c r="FG268" s="830" t="str">
        <f>IFERROR(VLOOKUP($B268,'Historical Conc Grant Elig'!$B$3:$J$707,'HH &amp; SI'!FG$2,0),"N")</f>
        <v>Y</v>
      </c>
      <c r="FH268" s="830" t="str">
        <f>IFERROR(VLOOKUP($B268,'Historical Conc Grant Elig'!$B$3:$J$707,'HH &amp; SI'!FH$2,0),"N")</f>
        <v>Y</v>
      </c>
      <c r="FI268" s="830" t="str">
        <f>IFERROR(VLOOKUP($B268,'Historical Conc Grant Elig'!$B$3:$J$707,'HH &amp; SI'!FI$2,0),"N")</f>
        <v>Y</v>
      </c>
      <c r="FJ268" s="830" t="str">
        <f>IFERROR(VLOOKUP($B268,'Historical Conc Grant Elig'!$B$3:$J$707,'HH &amp; SI'!FJ$2,0),"N")</f>
        <v>Y</v>
      </c>
      <c r="FK268" s="830" t="str">
        <f>IFERROR(VLOOKUP($B268,'Historical Conc Grant Elig'!$B$3:$J$707,'HH &amp; SI'!FK$2,0),"N")</f>
        <v>Y</v>
      </c>
      <c r="FL268" s="957" t="str">
        <f>IFERROR(VLOOKUP($B268,'Historical Conc Grant Elig'!$B$3:$J$707,'HH &amp; SI'!FL$2,0),"N")</f>
        <v>Y</v>
      </c>
    </row>
    <row r="269" spans="2:168" x14ac:dyDescent="0.25">
      <c r="B269" s="634">
        <v>78909000</v>
      </c>
      <c r="C269" s="635" t="str">
        <f>VLOOKUP($B269,'Afton Update'!$A$5:$CR$582,'Afton Update'!D$589,0)</f>
        <v>Calibre Academy</v>
      </c>
      <c r="D269" s="636">
        <f>IFERROR(VLOOKUP($B269,'Afton FY16 Final'!$A$5:$BV$587,'Afton FY16 Final'!AQ$587,0),0)</f>
        <v>118814.32820819748</v>
      </c>
      <c r="E269" s="637">
        <f>IFERROR(VLOOKUP($B269,'Afton FY16 Final'!$A$5:$BV$587,'Afton FY16 Final'!AR$587,0),0)</f>
        <v>24915.285284651964</v>
      </c>
      <c r="F269" s="637">
        <f>IFERROR(VLOOKUP($B269,'Afton FY16 Final'!$A$5:$BV$587,'Afton FY16 Final'!AS$587,0),0)</f>
        <v>62997.092763645385</v>
      </c>
      <c r="G269" s="637">
        <f>IFERROR(VLOOKUP($B269,'Afton FY16 Final'!$A$5:$BV$587,'Afton FY16 Final'!AT$587,0),0)</f>
        <v>60697.265234079547</v>
      </c>
      <c r="H269" s="638">
        <f>IFERROR(VLOOKUP($B269,'Afton FY16 Final'!$A$5:$BV$587,'Afton FY16 Final'!AU$587,0),0)</f>
        <v>267423.97149057436</v>
      </c>
      <c r="I269" s="639" t="str">
        <f>VLOOKUP($B269,'Afton Update'!$A$5:$CR$582,'Afton Update'!BT$589,0)</f>
        <v>Y</v>
      </c>
      <c r="J269" s="640" t="str">
        <f>VLOOKUP($B269,'Afton Update'!$A$5:$CR$582,'Afton Update'!BU$589,0)</f>
        <v>Y</v>
      </c>
      <c r="K269" s="640" t="str">
        <f>VLOOKUP($B269,'Afton Update'!$A$5:$CR$582,'Afton Update'!BV$589,0)</f>
        <v>Y</v>
      </c>
      <c r="L269" s="641" t="str">
        <f>VLOOKUP($B269,'Afton Update'!$A$5:$CR$582,'Afton Update'!BW$589,0)</f>
        <v>Y</v>
      </c>
      <c r="N269" s="642">
        <f>VLOOKUP($B269,'Afton Update'!$A$5:$CR$582,'Afton Update'!CB$589,0)</f>
        <v>0.9</v>
      </c>
      <c r="P269" s="636">
        <f>VLOOKUP($B269,'Afton Update'!$A$5:$CR$582,'Afton Update'!AH$589,0)</f>
        <v>76295.114181596524</v>
      </c>
      <c r="Q269" s="637">
        <f>VLOOKUP($B269,'Afton Update'!$A$5:$CR$582,'Afton Update'!AI$589,0)</f>
        <v>17908.528303084655</v>
      </c>
      <c r="R269" s="637">
        <f>VLOOKUP($B269,'Afton Update'!$A$5:$CR$582,'Afton Update'!AJ$589,0)</f>
        <v>44677.970918117855</v>
      </c>
      <c r="S269" s="637">
        <f>VLOOKUP($B269,'Afton Update'!$A$5:$CR$582,'Afton Update'!AK$589,0)</f>
        <v>41589.322048483133</v>
      </c>
      <c r="T269" s="643">
        <f t="shared" si="752"/>
        <v>180470.93545128216</v>
      </c>
      <c r="V269" s="636">
        <f t="shared" si="778"/>
        <v>106932.89538737774</v>
      </c>
      <c r="W269" s="637">
        <f t="shared" si="779"/>
        <v>22423.756756186769</v>
      </c>
      <c r="X269" s="637">
        <f t="shared" si="780"/>
        <v>56697.383487280851</v>
      </c>
      <c r="Y269" s="637">
        <f t="shared" si="781"/>
        <v>54627.538710671593</v>
      </c>
      <c r="Z269" s="643">
        <f t="shared" si="782"/>
        <v>240681.57434151694</v>
      </c>
      <c r="AB269" s="644">
        <f t="shared" si="753"/>
        <v>76295.114181596524</v>
      </c>
      <c r="AC269" s="645">
        <f t="shared" si="727"/>
        <v>106932.89538737774</v>
      </c>
      <c r="AD269" s="644">
        <f t="shared" si="783"/>
        <v>30637.781205781212</v>
      </c>
      <c r="AE269" s="645">
        <f t="shared" si="784"/>
        <v>0</v>
      </c>
      <c r="AF269" s="646">
        <f t="shared" si="785"/>
        <v>0</v>
      </c>
      <c r="AG269" s="647">
        <f t="shared" si="786"/>
        <v>106932.89538737774</v>
      </c>
      <c r="AH269" s="644">
        <f t="shared" si="754"/>
        <v>0</v>
      </c>
      <c r="AI269" s="645">
        <f t="shared" si="755"/>
        <v>0</v>
      </c>
      <c r="AJ269" s="646">
        <f t="shared" si="787"/>
        <v>0</v>
      </c>
      <c r="AK269" s="647">
        <f t="shared" si="756"/>
        <v>106932.89538737774</v>
      </c>
      <c r="AL269" s="644">
        <f t="shared" si="788"/>
        <v>0</v>
      </c>
      <c r="AM269" s="645">
        <f t="shared" si="789"/>
        <v>0</v>
      </c>
      <c r="AN269" s="646">
        <f t="shared" si="790"/>
        <v>0</v>
      </c>
      <c r="AO269" s="647">
        <f t="shared" si="757"/>
        <v>106932.89538737774</v>
      </c>
      <c r="AP269" s="644">
        <f t="shared" si="791"/>
        <v>0</v>
      </c>
      <c r="AQ269" s="645">
        <f t="shared" si="792"/>
        <v>0</v>
      </c>
      <c r="AR269" s="646">
        <f t="shared" si="793"/>
        <v>0</v>
      </c>
      <c r="AS269" s="647">
        <f t="shared" si="758"/>
        <v>106932.89538737774</v>
      </c>
      <c r="AT269" s="644">
        <f t="shared" si="794"/>
        <v>0</v>
      </c>
      <c r="AU269" s="645">
        <f t="shared" si="795"/>
        <v>0</v>
      </c>
      <c r="AV269" s="646">
        <f t="shared" si="796"/>
        <v>0</v>
      </c>
      <c r="AW269" s="647">
        <f t="shared" si="759"/>
        <v>106932.89538737774</v>
      </c>
      <c r="AY269" s="644">
        <f t="shared" si="797"/>
        <v>17908.528303084655</v>
      </c>
      <c r="AZ269" s="645">
        <f t="shared" si="728"/>
        <v>22423.756756186769</v>
      </c>
      <c r="BA269" s="644">
        <f t="shared" si="798"/>
        <v>4515.2284531021141</v>
      </c>
      <c r="BB269" s="645">
        <f t="shared" si="799"/>
        <v>0</v>
      </c>
      <c r="BC269" s="646">
        <f t="shared" si="800"/>
        <v>0</v>
      </c>
      <c r="BD269" s="647">
        <f t="shared" si="801"/>
        <v>22423.756756186769</v>
      </c>
      <c r="BE269" s="644">
        <f t="shared" si="760"/>
        <v>0</v>
      </c>
      <c r="BF269" s="645">
        <f t="shared" si="761"/>
        <v>0</v>
      </c>
      <c r="BG269" s="646">
        <f t="shared" si="802"/>
        <v>0</v>
      </c>
      <c r="BH269" s="647">
        <f t="shared" si="762"/>
        <v>22423.756756186769</v>
      </c>
      <c r="BI269" s="644">
        <f t="shared" si="803"/>
        <v>0</v>
      </c>
      <c r="BJ269" s="645">
        <f t="shared" si="804"/>
        <v>0</v>
      </c>
      <c r="BK269" s="646">
        <f t="shared" si="805"/>
        <v>0</v>
      </c>
      <c r="BL269" s="647">
        <f t="shared" si="763"/>
        <v>22423.756756186769</v>
      </c>
      <c r="BM269" s="644">
        <f t="shared" si="806"/>
        <v>0</v>
      </c>
      <c r="BN269" s="645">
        <f t="shared" si="807"/>
        <v>0</v>
      </c>
      <c r="BO269" s="646">
        <f t="shared" si="808"/>
        <v>0</v>
      </c>
      <c r="BP269" s="647">
        <f t="shared" si="764"/>
        <v>22423.756756186769</v>
      </c>
      <c r="BQ269" s="644">
        <f t="shared" si="809"/>
        <v>0</v>
      </c>
      <c r="BR269" s="645">
        <f t="shared" si="810"/>
        <v>0</v>
      </c>
      <c r="BS269" s="646">
        <f t="shared" si="811"/>
        <v>0</v>
      </c>
      <c r="BT269" s="647">
        <f t="shared" si="765"/>
        <v>22423.756756186769</v>
      </c>
      <c r="BU269" s="662">
        <f>VLOOKUP(B269,'Afton Update'!$A$5:$AR$582,'Afton Update'!$AO$589,0)-BT269</f>
        <v>0</v>
      </c>
      <c r="BV269" s="644">
        <f t="shared" si="812"/>
        <v>44677.970918117855</v>
      </c>
      <c r="BW269" s="645">
        <f t="shared" si="729"/>
        <v>56697.383487280851</v>
      </c>
      <c r="BX269" s="644">
        <f t="shared" si="813"/>
        <v>12019.412569162996</v>
      </c>
      <c r="BY269" s="645">
        <f t="shared" si="814"/>
        <v>0</v>
      </c>
      <c r="BZ269" s="646">
        <f t="shared" si="815"/>
        <v>0</v>
      </c>
      <c r="CA269" s="647">
        <f t="shared" si="816"/>
        <v>56697.383487280851</v>
      </c>
      <c r="CB269" s="644">
        <f t="shared" si="766"/>
        <v>0</v>
      </c>
      <c r="CC269" s="645">
        <f t="shared" si="767"/>
        <v>0</v>
      </c>
      <c r="CD269" s="646">
        <f t="shared" si="817"/>
        <v>0</v>
      </c>
      <c r="CE269" s="647">
        <f t="shared" si="768"/>
        <v>56697.383487280851</v>
      </c>
      <c r="CF269" s="644">
        <f t="shared" si="818"/>
        <v>0</v>
      </c>
      <c r="CG269" s="645">
        <f t="shared" si="819"/>
        <v>0</v>
      </c>
      <c r="CH269" s="646">
        <f t="shared" si="820"/>
        <v>0</v>
      </c>
      <c r="CI269" s="647">
        <f t="shared" si="769"/>
        <v>56697.383487280851</v>
      </c>
      <c r="CJ269" s="644">
        <f t="shared" si="821"/>
        <v>0</v>
      </c>
      <c r="CK269" s="645">
        <f t="shared" si="822"/>
        <v>0</v>
      </c>
      <c r="CL269" s="646">
        <f t="shared" si="823"/>
        <v>0</v>
      </c>
      <c r="CM269" s="647">
        <f t="shared" si="770"/>
        <v>56697.383487280851</v>
      </c>
      <c r="CN269" s="644">
        <f t="shared" si="824"/>
        <v>0</v>
      </c>
      <c r="CO269" s="645">
        <f t="shared" si="825"/>
        <v>0</v>
      </c>
      <c r="CP269" s="646">
        <f t="shared" si="826"/>
        <v>0</v>
      </c>
      <c r="CQ269" s="647">
        <f t="shared" si="771"/>
        <v>56697.383487280851</v>
      </c>
      <c r="CS269" s="644">
        <f t="shared" si="827"/>
        <v>41589.322048483133</v>
      </c>
      <c r="CT269" s="645">
        <f t="shared" si="730"/>
        <v>54627.538710671593</v>
      </c>
      <c r="CU269" s="644">
        <f t="shared" si="828"/>
        <v>13038.216662188461</v>
      </c>
      <c r="CV269" s="645">
        <f t="shared" si="829"/>
        <v>0</v>
      </c>
      <c r="CW269" s="646">
        <f t="shared" si="830"/>
        <v>0</v>
      </c>
      <c r="CX269" s="647">
        <f t="shared" si="831"/>
        <v>54627.538710671593</v>
      </c>
      <c r="CY269" s="644">
        <f t="shared" si="772"/>
        <v>0</v>
      </c>
      <c r="CZ269" s="645">
        <f t="shared" si="773"/>
        <v>0</v>
      </c>
      <c r="DA269" s="646">
        <f t="shared" si="832"/>
        <v>0</v>
      </c>
      <c r="DB269" s="647">
        <f t="shared" si="774"/>
        <v>54627.538710671593</v>
      </c>
      <c r="DC269" s="644">
        <f t="shared" si="833"/>
        <v>0</v>
      </c>
      <c r="DD269" s="645">
        <f t="shared" si="834"/>
        <v>0</v>
      </c>
      <c r="DE269" s="646">
        <f t="shared" si="835"/>
        <v>0</v>
      </c>
      <c r="DF269" s="647">
        <f t="shared" si="775"/>
        <v>54627.538710671593</v>
      </c>
      <c r="DG269" s="644">
        <f t="shared" si="836"/>
        <v>0</v>
      </c>
      <c r="DH269" s="645">
        <f t="shared" si="837"/>
        <v>0</v>
      </c>
      <c r="DI269" s="646">
        <f t="shared" si="838"/>
        <v>0</v>
      </c>
      <c r="DJ269" s="647">
        <f t="shared" si="776"/>
        <v>54627.538710671593</v>
      </c>
      <c r="DK269" s="644">
        <f t="shared" si="839"/>
        <v>0</v>
      </c>
      <c r="DL269" s="645">
        <f t="shared" si="840"/>
        <v>0</v>
      </c>
      <c r="DM269" s="646">
        <f t="shared" si="841"/>
        <v>0</v>
      </c>
      <c r="DN269" s="647">
        <f t="shared" si="777"/>
        <v>54627.538710671593</v>
      </c>
      <c r="DR269" s="827">
        <f t="shared" si="731"/>
        <v>240681.57434151694</v>
      </c>
      <c r="DV269" s="828">
        <f>IFERROR(VLOOKUP($B269,'Afton FY16 Final'!$A$5:$BV$587,'Afton FY16 Final'!$BV$587,0),0)</f>
        <v>249744.73518452025</v>
      </c>
      <c r="DX269" s="636">
        <f t="shared" si="719"/>
        <v>0</v>
      </c>
      <c r="DY269" s="637">
        <f t="shared" si="720"/>
        <v>0</v>
      </c>
      <c r="DZ269" s="637">
        <f t="shared" si="721"/>
        <v>0</v>
      </c>
      <c r="EA269" s="643">
        <f t="shared" si="722"/>
        <v>0</v>
      </c>
      <c r="EB269" s="637">
        <f t="shared" si="732"/>
        <v>0</v>
      </c>
      <c r="EC269" s="637">
        <f t="shared" si="733"/>
        <v>0</v>
      </c>
      <c r="ED269" s="637">
        <f t="shared" si="734"/>
        <v>0</v>
      </c>
      <c r="EE269" s="643">
        <f t="shared" si="735"/>
        <v>0</v>
      </c>
      <c r="EF269" s="637">
        <f t="shared" si="736"/>
        <v>0</v>
      </c>
      <c r="EG269" s="637">
        <f t="shared" si="737"/>
        <v>0</v>
      </c>
      <c r="EH269" s="637">
        <f t="shared" si="738"/>
        <v>0</v>
      </c>
      <c r="EI269" s="643">
        <f t="shared" si="739"/>
        <v>0</v>
      </c>
      <c r="EJ269" s="637">
        <f t="shared" si="740"/>
        <v>0</v>
      </c>
      <c r="EK269" s="637">
        <f t="shared" si="741"/>
        <v>0</v>
      </c>
      <c r="EL269" s="637">
        <f t="shared" si="742"/>
        <v>0</v>
      </c>
      <c r="EM269" s="643">
        <f t="shared" si="743"/>
        <v>0</v>
      </c>
      <c r="EN269" s="637">
        <f t="shared" si="744"/>
        <v>0</v>
      </c>
      <c r="EO269" s="637">
        <f t="shared" si="745"/>
        <v>0</v>
      </c>
      <c r="EP269" s="637">
        <f t="shared" si="746"/>
        <v>0</v>
      </c>
      <c r="EQ269" s="643">
        <f t="shared" si="747"/>
        <v>0</v>
      </c>
      <c r="ER269" s="637">
        <f t="shared" si="748"/>
        <v>0</v>
      </c>
      <c r="ES269" s="637">
        <f t="shared" si="749"/>
        <v>0</v>
      </c>
      <c r="ET269" s="637">
        <f t="shared" si="750"/>
        <v>0</v>
      </c>
      <c r="EU269" s="643">
        <f t="shared" si="723"/>
        <v>0</v>
      </c>
      <c r="EV269" s="643">
        <f t="shared" si="724"/>
        <v>0</v>
      </c>
      <c r="EX269" s="829">
        <f t="shared" si="725"/>
        <v>0</v>
      </c>
      <c r="EY269" s="638">
        <f t="shared" si="726"/>
        <v>240681.57434151694</v>
      </c>
      <c r="FC269" s="830" t="str">
        <f t="shared" si="751"/>
        <v>Y</v>
      </c>
      <c r="FE269" s="830" t="str">
        <f>IFERROR(VLOOKUP($B269,'Historical Conc Grant Elig'!$B$3:$J$707,'HH &amp; SI'!FE$2,0),"N")</f>
        <v>N</v>
      </c>
      <c r="FF269" s="830" t="str">
        <f>IFERROR(VLOOKUP($B269,'Historical Conc Grant Elig'!$B$3:$J$707,'HH &amp; SI'!FF$2,0),"N")</f>
        <v>Y</v>
      </c>
      <c r="FG269" s="830" t="str">
        <f>IFERROR(VLOOKUP($B269,'Historical Conc Grant Elig'!$B$3:$J$707,'HH &amp; SI'!FG$2,0),"N")</f>
        <v>Y</v>
      </c>
      <c r="FH269" s="830" t="str">
        <f>IFERROR(VLOOKUP($B269,'Historical Conc Grant Elig'!$B$3:$J$707,'HH &amp; SI'!FH$2,0),"N")</f>
        <v>Y</v>
      </c>
      <c r="FI269" s="830" t="str">
        <f>IFERROR(VLOOKUP($B269,'Historical Conc Grant Elig'!$B$3:$J$707,'HH &amp; SI'!FI$2,0),"N")</f>
        <v>Y</v>
      </c>
      <c r="FJ269" s="830" t="str">
        <f>IFERROR(VLOOKUP($B269,'Historical Conc Grant Elig'!$B$3:$J$707,'HH &amp; SI'!FJ$2,0),"N")</f>
        <v>Y</v>
      </c>
      <c r="FK269" s="830" t="str">
        <f>IFERROR(VLOOKUP($B269,'Historical Conc Grant Elig'!$B$3:$J$707,'HH &amp; SI'!FK$2,0),"N")</f>
        <v>Y</v>
      </c>
      <c r="FL269" s="957" t="str">
        <f>IFERROR(VLOOKUP($B269,'Historical Conc Grant Elig'!$B$3:$J$707,'HH &amp; SI'!FL$2,0),"N")</f>
        <v>Y</v>
      </c>
    </row>
    <row r="270" spans="2:168" x14ac:dyDescent="0.25">
      <c r="B270" s="634">
        <v>78911000</v>
      </c>
      <c r="C270" s="635" t="str">
        <f>VLOOKUP($B270,'Afton Update'!$A$5:$CR$582,'Afton Update'!D$589,0)</f>
        <v>E-Institute Charter Schools  Inc.</v>
      </c>
      <c r="D270" s="636">
        <f>IFERROR(VLOOKUP($B270,'Afton FY16 Final'!$A$5:$BV$587,'Afton FY16 Final'!AQ$587,0),0)</f>
        <v>69253.798492335744</v>
      </c>
      <c r="E270" s="637">
        <f>IFERROR(VLOOKUP($B270,'Afton FY16 Final'!$A$5:$BV$587,'Afton FY16 Final'!AR$587,0),0)</f>
        <v>15969.807982478465</v>
      </c>
      <c r="F270" s="637">
        <f>IFERROR(VLOOKUP($B270,'Afton FY16 Final'!$A$5:$BV$587,'Afton FY16 Final'!AS$587,0),0)</f>
        <v>37584.849934892532</v>
      </c>
      <c r="G270" s="637">
        <f>IFERROR(VLOOKUP($B270,'Afton FY16 Final'!$A$5:$BV$587,'Afton FY16 Final'!AT$587,0),0)</f>
        <v>31558.433452040052</v>
      </c>
      <c r="H270" s="638">
        <f>IFERROR(VLOOKUP($B270,'Afton FY16 Final'!$A$5:$BV$587,'Afton FY16 Final'!AU$587,0),0)</f>
        <v>154366.88986174678</v>
      </c>
      <c r="I270" s="639" t="str">
        <f>VLOOKUP($B270,'Afton Update'!$A$5:$CR$582,'Afton Update'!BT$589,0)</f>
        <v>Y</v>
      </c>
      <c r="J270" s="640" t="str">
        <f>VLOOKUP($B270,'Afton Update'!$A$5:$CR$582,'Afton Update'!BU$589,0)</f>
        <v>Y</v>
      </c>
      <c r="K270" s="640" t="str">
        <f>VLOOKUP($B270,'Afton Update'!$A$5:$CR$582,'Afton Update'!BV$589,0)</f>
        <v>Y</v>
      </c>
      <c r="L270" s="641" t="str">
        <f>VLOOKUP($B270,'Afton Update'!$A$5:$CR$582,'Afton Update'!BW$589,0)</f>
        <v>Y</v>
      </c>
      <c r="N270" s="642">
        <f>VLOOKUP($B270,'Afton Update'!$A$5:$CR$582,'Afton Update'!CB$589,0)</f>
        <v>0.95</v>
      </c>
      <c r="P270" s="636">
        <f>VLOOKUP($B270,'Afton Update'!$A$5:$CR$582,'Afton Update'!AH$589,0)</f>
        <v>49268.945208178324</v>
      </c>
      <c r="Q270" s="637">
        <f>VLOOKUP($B270,'Afton Update'!$A$5:$CR$582,'Afton Update'!AI$589,0)</f>
        <v>12319.560020988431</v>
      </c>
      <c r="R270" s="637">
        <f>VLOOKUP($B270,'Afton Update'!$A$5:$CR$582,'Afton Update'!AJ$589,0)</f>
        <v>28860.581511103974</v>
      </c>
      <c r="S270" s="637">
        <f>VLOOKUP($B270,'Afton Update'!$A$5:$CR$582,'Afton Update'!AK$589,0)</f>
        <v>26865.410275045815</v>
      </c>
      <c r="T270" s="643">
        <f t="shared" si="752"/>
        <v>117314.49701531653</v>
      </c>
      <c r="V270" s="636">
        <f t="shared" si="778"/>
        <v>65791.108567718955</v>
      </c>
      <c r="W270" s="637">
        <f t="shared" si="779"/>
        <v>15171.317583354541</v>
      </c>
      <c r="X270" s="637">
        <f t="shared" si="780"/>
        <v>35705.607438147905</v>
      </c>
      <c r="Y270" s="637">
        <f t="shared" si="781"/>
        <v>29980.511779438049</v>
      </c>
      <c r="Z270" s="643">
        <f t="shared" si="782"/>
        <v>146648.54536865943</v>
      </c>
      <c r="AB270" s="644">
        <f t="shared" si="753"/>
        <v>49268.945208178324</v>
      </c>
      <c r="AC270" s="645">
        <f t="shared" si="727"/>
        <v>65791.108567718955</v>
      </c>
      <c r="AD270" s="644">
        <f t="shared" si="783"/>
        <v>16522.163359540631</v>
      </c>
      <c r="AE270" s="645">
        <f t="shared" si="784"/>
        <v>0</v>
      </c>
      <c r="AF270" s="646">
        <f t="shared" si="785"/>
        <v>0</v>
      </c>
      <c r="AG270" s="647">
        <f t="shared" si="786"/>
        <v>65791.108567718955</v>
      </c>
      <c r="AH270" s="644">
        <f t="shared" si="754"/>
        <v>0</v>
      </c>
      <c r="AI270" s="645">
        <f t="shared" si="755"/>
        <v>0</v>
      </c>
      <c r="AJ270" s="646">
        <f t="shared" si="787"/>
        <v>0</v>
      </c>
      <c r="AK270" s="647">
        <f t="shared" si="756"/>
        <v>65791.108567718955</v>
      </c>
      <c r="AL270" s="644">
        <f t="shared" si="788"/>
        <v>0</v>
      </c>
      <c r="AM270" s="645">
        <f t="shared" si="789"/>
        <v>0</v>
      </c>
      <c r="AN270" s="646">
        <f t="shared" si="790"/>
        <v>0</v>
      </c>
      <c r="AO270" s="647">
        <f t="shared" si="757"/>
        <v>65791.108567718955</v>
      </c>
      <c r="AP270" s="644">
        <f t="shared" si="791"/>
        <v>0</v>
      </c>
      <c r="AQ270" s="645">
        <f t="shared" si="792"/>
        <v>0</v>
      </c>
      <c r="AR270" s="646">
        <f t="shared" si="793"/>
        <v>0</v>
      </c>
      <c r="AS270" s="647">
        <f t="shared" si="758"/>
        <v>65791.108567718955</v>
      </c>
      <c r="AT270" s="644">
        <f t="shared" si="794"/>
        <v>0</v>
      </c>
      <c r="AU270" s="645">
        <f t="shared" si="795"/>
        <v>0</v>
      </c>
      <c r="AV270" s="646">
        <f t="shared" si="796"/>
        <v>0</v>
      </c>
      <c r="AW270" s="647">
        <f t="shared" si="759"/>
        <v>65791.108567718955</v>
      </c>
      <c r="AY270" s="644">
        <f t="shared" si="797"/>
        <v>12319.560020988431</v>
      </c>
      <c r="AZ270" s="645">
        <f t="shared" si="728"/>
        <v>15171.317583354541</v>
      </c>
      <c r="BA270" s="644">
        <f t="shared" si="798"/>
        <v>2851.7575623661105</v>
      </c>
      <c r="BB270" s="645">
        <f t="shared" si="799"/>
        <v>0</v>
      </c>
      <c r="BC270" s="646">
        <f t="shared" si="800"/>
        <v>0</v>
      </c>
      <c r="BD270" s="647">
        <f t="shared" si="801"/>
        <v>15171.317583354541</v>
      </c>
      <c r="BE270" s="644">
        <f t="shared" si="760"/>
        <v>0</v>
      </c>
      <c r="BF270" s="645">
        <f t="shared" si="761"/>
        <v>0</v>
      </c>
      <c r="BG270" s="646">
        <f t="shared" si="802"/>
        <v>0</v>
      </c>
      <c r="BH270" s="647">
        <f t="shared" si="762"/>
        <v>15171.317583354541</v>
      </c>
      <c r="BI270" s="644">
        <f t="shared" si="803"/>
        <v>0</v>
      </c>
      <c r="BJ270" s="645">
        <f t="shared" si="804"/>
        <v>0</v>
      </c>
      <c r="BK270" s="646">
        <f t="shared" si="805"/>
        <v>0</v>
      </c>
      <c r="BL270" s="647">
        <f t="shared" si="763"/>
        <v>15171.317583354541</v>
      </c>
      <c r="BM270" s="644">
        <f t="shared" si="806"/>
        <v>0</v>
      </c>
      <c r="BN270" s="645">
        <f t="shared" si="807"/>
        <v>0</v>
      </c>
      <c r="BO270" s="646">
        <f t="shared" si="808"/>
        <v>0</v>
      </c>
      <c r="BP270" s="647">
        <f t="shared" si="764"/>
        <v>15171.317583354541</v>
      </c>
      <c r="BQ270" s="644">
        <f t="shared" si="809"/>
        <v>0</v>
      </c>
      <c r="BR270" s="645">
        <f t="shared" si="810"/>
        <v>0</v>
      </c>
      <c r="BS270" s="646">
        <f t="shared" si="811"/>
        <v>0</v>
      </c>
      <c r="BT270" s="647">
        <f t="shared" si="765"/>
        <v>15171.317583354541</v>
      </c>
      <c r="BU270" s="662">
        <f>VLOOKUP(B270,'Afton Update'!$A$5:$AR$582,'Afton Update'!$AO$589,0)-BT270</f>
        <v>0</v>
      </c>
      <c r="BV270" s="644">
        <f t="shared" si="812"/>
        <v>28860.581511103974</v>
      </c>
      <c r="BW270" s="645">
        <f t="shared" si="729"/>
        <v>35705.607438147905</v>
      </c>
      <c r="BX270" s="644">
        <f t="shared" si="813"/>
        <v>6845.025927043931</v>
      </c>
      <c r="BY270" s="645">
        <f t="shared" si="814"/>
        <v>0</v>
      </c>
      <c r="BZ270" s="646">
        <f t="shared" si="815"/>
        <v>0</v>
      </c>
      <c r="CA270" s="647">
        <f t="shared" si="816"/>
        <v>35705.607438147905</v>
      </c>
      <c r="CB270" s="644">
        <f t="shared" si="766"/>
        <v>0</v>
      </c>
      <c r="CC270" s="645">
        <f t="shared" si="767"/>
        <v>0</v>
      </c>
      <c r="CD270" s="646">
        <f t="shared" si="817"/>
        <v>0</v>
      </c>
      <c r="CE270" s="647">
        <f t="shared" si="768"/>
        <v>35705.607438147905</v>
      </c>
      <c r="CF270" s="644">
        <f t="shared" si="818"/>
        <v>0</v>
      </c>
      <c r="CG270" s="645">
        <f t="shared" si="819"/>
        <v>0</v>
      </c>
      <c r="CH270" s="646">
        <f t="shared" si="820"/>
        <v>0</v>
      </c>
      <c r="CI270" s="647">
        <f t="shared" si="769"/>
        <v>35705.607438147905</v>
      </c>
      <c r="CJ270" s="644">
        <f t="shared" si="821"/>
        <v>0</v>
      </c>
      <c r="CK270" s="645">
        <f t="shared" si="822"/>
        <v>0</v>
      </c>
      <c r="CL270" s="646">
        <f t="shared" si="823"/>
        <v>0</v>
      </c>
      <c r="CM270" s="647">
        <f t="shared" si="770"/>
        <v>35705.607438147905</v>
      </c>
      <c r="CN270" s="644">
        <f t="shared" si="824"/>
        <v>0</v>
      </c>
      <c r="CO270" s="645">
        <f t="shared" si="825"/>
        <v>0</v>
      </c>
      <c r="CP270" s="646">
        <f t="shared" si="826"/>
        <v>0</v>
      </c>
      <c r="CQ270" s="647">
        <f t="shared" si="771"/>
        <v>35705.607438147905</v>
      </c>
      <c r="CS270" s="644">
        <f t="shared" si="827"/>
        <v>26865.410275045815</v>
      </c>
      <c r="CT270" s="645">
        <f t="shared" si="730"/>
        <v>29980.511779438049</v>
      </c>
      <c r="CU270" s="644">
        <f t="shared" si="828"/>
        <v>3115.1015043922343</v>
      </c>
      <c r="CV270" s="645">
        <f t="shared" si="829"/>
        <v>0</v>
      </c>
      <c r="CW270" s="646">
        <f t="shared" si="830"/>
        <v>0</v>
      </c>
      <c r="CX270" s="647">
        <f t="shared" si="831"/>
        <v>29980.511779438049</v>
      </c>
      <c r="CY270" s="644">
        <f t="shared" si="772"/>
        <v>0</v>
      </c>
      <c r="CZ270" s="645">
        <f t="shared" si="773"/>
        <v>0</v>
      </c>
      <c r="DA270" s="646">
        <f t="shared" si="832"/>
        <v>0</v>
      </c>
      <c r="DB270" s="647">
        <f t="shared" si="774"/>
        <v>29980.511779438049</v>
      </c>
      <c r="DC270" s="644">
        <f t="shared" si="833"/>
        <v>0</v>
      </c>
      <c r="DD270" s="645">
        <f t="shared" si="834"/>
        <v>0</v>
      </c>
      <c r="DE270" s="646">
        <f t="shared" si="835"/>
        <v>0</v>
      </c>
      <c r="DF270" s="647">
        <f t="shared" si="775"/>
        <v>29980.511779438049</v>
      </c>
      <c r="DG270" s="644">
        <f t="shared" si="836"/>
        <v>0</v>
      </c>
      <c r="DH270" s="645">
        <f t="shared" si="837"/>
        <v>0</v>
      </c>
      <c r="DI270" s="646">
        <f t="shared" si="838"/>
        <v>0</v>
      </c>
      <c r="DJ270" s="647">
        <f t="shared" si="776"/>
        <v>29980.511779438049</v>
      </c>
      <c r="DK270" s="644">
        <f t="shared" si="839"/>
        <v>0</v>
      </c>
      <c r="DL270" s="645">
        <f t="shared" si="840"/>
        <v>0</v>
      </c>
      <c r="DM270" s="646">
        <f t="shared" si="841"/>
        <v>0</v>
      </c>
      <c r="DN270" s="647">
        <f t="shared" si="777"/>
        <v>29980.511779438049</v>
      </c>
      <c r="DR270" s="827">
        <f t="shared" si="731"/>
        <v>146648.54536865943</v>
      </c>
      <c r="DV270" s="828">
        <f>IFERROR(VLOOKUP($B270,'Afton FY16 Final'!$A$5:$BV$587,'Afton FY16 Final'!$BV$587,0),0)</f>
        <v>137051.61437707621</v>
      </c>
      <c r="DX270" s="636">
        <f t="shared" si="719"/>
        <v>146648.54536865943</v>
      </c>
      <c r="DY270" s="637">
        <f t="shared" si="720"/>
        <v>9596.9309915832127</v>
      </c>
      <c r="DZ270" s="637">
        <f t="shared" si="721"/>
        <v>137051.61437707621</v>
      </c>
      <c r="EA270" s="643">
        <f t="shared" si="722"/>
        <v>138848.48630409394</v>
      </c>
      <c r="EB270" s="637">
        <f t="shared" si="732"/>
        <v>0</v>
      </c>
      <c r="EC270" s="637">
        <f t="shared" si="733"/>
        <v>138848.48630409394</v>
      </c>
      <c r="ED270" s="637">
        <f t="shared" si="734"/>
        <v>138434.44840826254</v>
      </c>
      <c r="EE270" s="643">
        <f t="shared" si="735"/>
        <v>138434.44840826254</v>
      </c>
      <c r="EF270" s="637">
        <f t="shared" si="736"/>
        <v>0</v>
      </c>
      <c r="EG270" s="637">
        <f t="shared" si="737"/>
        <v>138434.44840826254</v>
      </c>
      <c r="EH270" s="637">
        <f t="shared" si="738"/>
        <v>138434.30559084562</v>
      </c>
      <c r="EI270" s="643">
        <f t="shared" si="739"/>
        <v>138434.30559084562</v>
      </c>
      <c r="EJ270" s="637">
        <f t="shared" si="740"/>
        <v>0</v>
      </c>
      <c r="EK270" s="637">
        <f t="shared" si="741"/>
        <v>138434.30559084562</v>
      </c>
      <c r="EL270" s="637">
        <f t="shared" si="742"/>
        <v>138434.30559084541</v>
      </c>
      <c r="EM270" s="643">
        <f t="shared" si="743"/>
        <v>138434.30559084541</v>
      </c>
      <c r="EN270" s="637">
        <f t="shared" si="744"/>
        <v>0</v>
      </c>
      <c r="EO270" s="637">
        <f t="shared" si="745"/>
        <v>138434.30559084541</v>
      </c>
      <c r="EP270" s="637">
        <f t="shared" si="746"/>
        <v>138434.30559084562</v>
      </c>
      <c r="EQ270" s="643">
        <f t="shared" si="747"/>
        <v>138434.30559084562</v>
      </c>
      <c r="ER270" s="637">
        <f t="shared" si="748"/>
        <v>0</v>
      </c>
      <c r="ES270" s="637">
        <f t="shared" si="749"/>
        <v>138434.30559084562</v>
      </c>
      <c r="ET270" s="637">
        <f t="shared" si="750"/>
        <v>138434.30559084541</v>
      </c>
      <c r="EU270" s="643">
        <f t="shared" si="723"/>
        <v>138434.30559084541</v>
      </c>
      <c r="EV270" s="643">
        <f t="shared" si="724"/>
        <v>0</v>
      </c>
      <c r="EX270" s="829">
        <f t="shared" si="725"/>
        <v>8214.2397778140148</v>
      </c>
      <c r="EY270" s="638">
        <f t="shared" si="726"/>
        <v>138434.30559084541</v>
      </c>
      <c r="FC270" s="830" t="str">
        <f t="shared" si="751"/>
        <v>Y</v>
      </c>
      <c r="FE270" s="830" t="str">
        <f>IFERROR(VLOOKUP($B270,'Historical Conc Grant Elig'!$B$3:$J$707,'HH &amp; SI'!FE$2,0),"N")</f>
        <v>N</v>
      </c>
      <c r="FF270" s="830" t="str">
        <f>IFERROR(VLOOKUP($B270,'Historical Conc Grant Elig'!$B$3:$J$707,'HH &amp; SI'!FF$2,0),"N")</f>
        <v>N</v>
      </c>
      <c r="FG270" s="830" t="str">
        <f>IFERROR(VLOOKUP($B270,'Historical Conc Grant Elig'!$B$3:$J$707,'HH &amp; SI'!FG$2,0),"N")</f>
        <v>Y</v>
      </c>
      <c r="FH270" s="830" t="str">
        <f>IFERROR(VLOOKUP($B270,'Historical Conc Grant Elig'!$B$3:$J$707,'HH &amp; SI'!FH$2,0),"N")</f>
        <v>Y</v>
      </c>
      <c r="FI270" s="830" t="str">
        <f>IFERROR(VLOOKUP($B270,'Historical Conc Grant Elig'!$B$3:$J$707,'HH &amp; SI'!FI$2,0),"N")</f>
        <v>Y</v>
      </c>
      <c r="FJ270" s="830" t="str">
        <f>IFERROR(VLOOKUP($B270,'Historical Conc Grant Elig'!$B$3:$J$707,'HH &amp; SI'!FJ$2,0),"N")</f>
        <v>Y</v>
      </c>
      <c r="FK270" s="830" t="str">
        <f>IFERROR(VLOOKUP($B270,'Historical Conc Grant Elig'!$B$3:$J$707,'HH &amp; SI'!FK$2,0),"N")</f>
        <v>Y</v>
      </c>
      <c r="FL270" s="957" t="str">
        <f>IFERROR(VLOOKUP($B270,'Historical Conc Grant Elig'!$B$3:$J$707,'HH &amp; SI'!FL$2,0),"N")</f>
        <v>Y</v>
      </c>
    </row>
    <row r="271" spans="2:168" x14ac:dyDescent="0.25">
      <c r="B271" s="634">
        <v>78912000</v>
      </c>
      <c r="C271" s="635" t="str">
        <f>VLOOKUP($B271,'Afton Update'!$A$5:$CR$582,'Afton Update'!D$589,0)</f>
        <v>Paragon Management  Inc.</v>
      </c>
      <c r="D271" s="636">
        <f>IFERROR(VLOOKUP($B271,'Afton FY16 Final'!$A$5:$BV$587,'Afton FY16 Final'!AQ$587,0),0)</f>
        <v>110041.61799635974</v>
      </c>
      <c r="E271" s="637">
        <f>IFERROR(VLOOKUP($B271,'Afton FY16 Final'!$A$5:$BV$587,'Afton FY16 Final'!AR$587,0),0)</f>
        <v>0</v>
      </c>
      <c r="F271" s="637">
        <f>IFERROR(VLOOKUP($B271,'Afton FY16 Final'!$A$5:$BV$587,'Afton FY16 Final'!AS$587,0),0)</f>
        <v>59720.878695825857</v>
      </c>
      <c r="G271" s="637">
        <f>IFERROR(VLOOKUP($B271,'Afton FY16 Final'!$A$5:$BV$587,'Afton FY16 Final'!AT$587,0),0)</f>
        <v>50145.135055332117</v>
      </c>
      <c r="H271" s="638">
        <f>IFERROR(VLOOKUP($B271,'Afton FY16 Final'!$A$5:$BV$587,'Afton FY16 Final'!AU$587,0),0)</f>
        <v>219907.63174751771</v>
      </c>
      <c r="I271" s="639" t="str">
        <f>VLOOKUP($B271,'Afton Update'!$A$5:$CR$582,'Afton Update'!BT$589,0)</f>
        <v>Y</v>
      </c>
      <c r="J271" s="640" t="str">
        <f>VLOOKUP($B271,'Afton Update'!$A$5:$CR$582,'Afton Update'!BU$589,0)</f>
        <v>N</v>
      </c>
      <c r="K271" s="640" t="str">
        <f>VLOOKUP($B271,'Afton Update'!$A$5:$CR$582,'Afton Update'!BV$589,0)</f>
        <v>Y</v>
      </c>
      <c r="L271" s="641" t="str">
        <f>VLOOKUP($B271,'Afton Update'!$A$5:$CR$582,'Afton Update'!BW$589,0)</f>
        <v>Y</v>
      </c>
      <c r="N271" s="642">
        <f>VLOOKUP($B271,'Afton Update'!$A$5:$CR$582,'Afton Update'!CB$589,0)</f>
        <v>0.85</v>
      </c>
      <c r="P271" s="636">
        <f>VLOOKUP($B271,'Afton Update'!$A$5:$CR$582,'Afton Update'!AH$589,0)</f>
        <v>113605.57754312962</v>
      </c>
      <c r="Q271" s="637" t="str">
        <f>VLOOKUP($B271,'Afton Update'!$A$5:$CR$582,'Afton Update'!AI$589,0)</f>
        <v/>
      </c>
      <c r="R271" s="637">
        <f>VLOOKUP($B271,'Afton Update'!$A$5:$CR$582,'Afton Update'!AJ$589,0)</f>
        <v>66514.366913641454</v>
      </c>
      <c r="S271" s="637">
        <f>VLOOKUP($B271,'Afton Update'!$A$5:$CR$582,'Afton Update'!AK$589,0)</f>
        <v>61916.138302078005</v>
      </c>
      <c r="T271" s="643">
        <f t="shared" si="752"/>
        <v>242036.08275884908</v>
      </c>
      <c r="V271" s="636">
        <f t="shared" si="778"/>
        <v>112055.92372818897</v>
      </c>
      <c r="W271" s="637">
        <f t="shared" si="779"/>
        <v>0</v>
      </c>
      <c r="X271" s="637">
        <f t="shared" si="780"/>
        <v>65909.444716114522</v>
      </c>
      <c r="Y271" s="637">
        <f t="shared" si="781"/>
        <v>61233.933912731314</v>
      </c>
      <c r="Z271" s="643">
        <f t="shared" si="782"/>
        <v>239199.30235703482</v>
      </c>
      <c r="AB271" s="644">
        <f t="shared" si="753"/>
        <v>113605.57754312962</v>
      </c>
      <c r="AC271" s="645">
        <f t="shared" si="727"/>
        <v>93535.375296905782</v>
      </c>
      <c r="AD271" s="644">
        <f t="shared" si="783"/>
        <v>0</v>
      </c>
      <c r="AE271" s="645">
        <f t="shared" si="784"/>
        <v>113605.57754312962</v>
      </c>
      <c r="AF271" s="646">
        <f t="shared" si="785"/>
        <v>-1408.2265059660463</v>
      </c>
      <c r="AG271" s="647">
        <f t="shared" si="786"/>
        <v>112197.35103716358</v>
      </c>
      <c r="AH271" s="644">
        <f t="shared" si="754"/>
        <v>0</v>
      </c>
      <c r="AI271" s="645">
        <f t="shared" si="755"/>
        <v>112197.35103716358</v>
      </c>
      <c r="AJ271" s="646">
        <f t="shared" si="787"/>
        <v>-141.33720607044231</v>
      </c>
      <c r="AK271" s="647">
        <f t="shared" si="756"/>
        <v>112056.01383109314</v>
      </c>
      <c r="AL271" s="644">
        <f t="shared" si="788"/>
        <v>0</v>
      </c>
      <c r="AM271" s="645">
        <f t="shared" si="789"/>
        <v>112056.01383109314</v>
      </c>
      <c r="AN271" s="646">
        <f t="shared" si="790"/>
        <v>-9.0102904164050868E-2</v>
      </c>
      <c r="AO271" s="647">
        <f t="shared" si="757"/>
        <v>112055.92372818897</v>
      </c>
      <c r="AP271" s="644">
        <f t="shared" si="791"/>
        <v>0</v>
      </c>
      <c r="AQ271" s="645">
        <f t="shared" si="792"/>
        <v>112055.92372818897</v>
      </c>
      <c r="AR271" s="646">
        <f t="shared" si="793"/>
        <v>0</v>
      </c>
      <c r="AS271" s="647">
        <f t="shared" si="758"/>
        <v>112055.92372818897</v>
      </c>
      <c r="AT271" s="644">
        <f t="shared" si="794"/>
        <v>0</v>
      </c>
      <c r="AU271" s="645">
        <f t="shared" si="795"/>
        <v>112055.92372818897</v>
      </c>
      <c r="AV271" s="646">
        <f t="shared" si="796"/>
        <v>0</v>
      </c>
      <c r="AW271" s="647">
        <f t="shared" si="759"/>
        <v>112055.92372818897</v>
      </c>
      <c r="AY271" s="644">
        <f t="shared" si="797"/>
        <v>0</v>
      </c>
      <c r="AZ271" s="645">
        <f t="shared" si="728"/>
        <v>0</v>
      </c>
      <c r="BA271" s="644">
        <f t="shared" si="798"/>
        <v>0</v>
      </c>
      <c r="BB271" s="645">
        <f t="shared" si="799"/>
        <v>0</v>
      </c>
      <c r="BC271" s="646">
        <f t="shared" si="800"/>
        <v>0</v>
      </c>
      <c r="BD271" s="647">
        <f t="shared" si="801"/>
        <v>0</v>
      </c>
      <c r="BE271" s="644">
        <f t="shared" si="760"/>
        <v>0</v>
      </c>
      <c r="BF271" s="645">
        <f t="shared" si="761"/>
        <v>0</v>
      </c>
      <c r="BG271" s="646">
        <f t="shared" si="802"/>
        <v>0</v>
      </c>
      <c r="BH271" s="647">
        <f t="shared" si="762"/>
        <v>0</v>
      </c>
      <c r="BI271" s="644">
        <f t="shared" si="803"/>
        <v>0</v>
      </c>
      <c r="BJ271" s="645">
        <f t="shared" si="804"/>
        <v>0</v>
      </c>
      <c r="BK271" s="646">
        <f t="shared" si="805"/>
        <v>0</v>
      </c>
      <c r="BL271" s="647">
        <f t="shared" si="763"/>
        <v>0</v>
      </c>
      <c r="BM271" s="644">
        <f t="shared" si="806"/>
        <v>0</v>
      </c>
      <c r="BN271" s="645">
        <f t="shared" si="807"/>
        <v>0</v>
      </c>
      <c r="BO271" s="646">
        <f t="shared" si="808"/>
        <v>0</v>
      </c>
      <c r="BP271" s="647">
        <f t="shared" si="764"/>
        <v>0</v>
      </c>
      <c r="BQ271" s="644">
        <f t="shared" si="809"/>
        <v>0</v>
      </c>
      <c r="BR271" s="645">
        <f t="shared" si="810"/>
        <v>0</v>
      </c>
      <c r="BS271" s="646">
        <f t="shared" si="811"/>
        <v>0</v>
      </c>
      <c r="BT271" s="647">
        <f t="shared" si="765"/>
        <v>0</v>
      </c>
      <c r="BU271" s="662">
        <f>VLOOKUP(B271,'Afton Update'!$A$5:$AR$582,'Afton Update'!$AO$589,0)-BT271</f>
        <v>0</v>
      </c>
      <c r="BV271" s="644">
        <f t="shared" si="812"/>
        <v>66514.366913641454</v>
      </c>
      <c r="BW271" s="645">
        <f t="shared" si="729"/>
        <v>50762.746891451978</v>
      </c>
      <c r="BX271" s="644">
        <f t="shared" si="813"/>
        <v>0</v>
      </c>
      <c r="BY271" s="645">
        <f t="shared" si="814"/>
        <v>66514.366913641454</v>
      </c>
      <c r="BZ271" s="646">
        <f t="shared" si="815"/>
        <v>-583.80367012951911</v>
      </c>
      <c r="CA271" s="647">
        <f t="shared" si="816"/>
        <v>65930.563243511933</v>
      </c>
      <c r="CB271" s="644">
        <f t="shared" si="766"/>
        <v>0</v>
      </c>
      <c r="CC271" s="645">
        <f t="shared" si="767"/>
        <v>65930.563243511933</v>
      </c>
      <c r="CD271" s="646">
        <f t="shared" si="817"/>
        <v>-21.118527397407693</v>
      </c>
      <c r="CE271" s="647">
        <f t="shared" si="768"/>
        <v>65909.444716114522</v>
      </c>
      <c r="CF271" s="644">
        <f t="shared" si="818"/>
        <v>0</v>
      </c>
      <c r="CG271" s="645">
        <f t="shared" si="819"/>
        <v>65909.444716114522</v>
      </c>
      <c r="CH271" s="646">
        <f t="shared" si="820"/>
        <v>0</v>
      </c>
      <c r="CI271" s="647">
        <f t="shared" si="769"/>
        <v>65909.444716114522</v>
      </c>
      <c r="CJ271" s="644">
        <f t="shared" si="821"/>
        <v>0</v>
      </c>
      <c r="CK271" s="645">
        <f t="shared" si="822"/>
        <v>65909.444716114522</v>
      </c>
      <c r="CL271" s="646">
        <f t="shared" si="823"/>
        <v>0</v>
      </c>
      <c r="CM271" s="647">
        <f t="shared" si="770"/>
        <v>65909.444716114522</v>
      </c>
      <c r="CN271" s="644">
        <f t="shared" si="824"/>
        <v>0</v>
      </c>
      <c r="CO271" s="645">
        <f t="shared" si="825"/>
        <v>65909.444716114522</v>
      </c>
      <c r="CP271" s="646">
        <f t="shared" si="826"/>
        <v>0</v>
      </c>
      <c r="CQ271" s="647">
        <f t="shared" si="771"/>
        <v>65909.444716114522</v>
      </c>
      <c r="CS271" s="644">
        <f t="shared" si="827"/>
        <v>61916.138302078005</v>
      </c>
      <c r="CT271" s="645">
        <f t="shared" si="730"/>
        <v>42623.3647970323</v>
      </c>
      <c r="CU271" s="644">
        <f t="shared" si="828"/>
        <v>0</v>
      </c>
      <c r="CV271" s="645">
        <f t="shared" si="829"/>
        <v>61916.138302078005</v>
      </c>
      <c r="CW271" s="646">
        <f t="shared" si="830"/>
        <v>-634.05624638368363</v>
      </c>
      <c r="CX271" s="647">
        <f t="shared" si="831"/>
        <v>61282.082055694322</v>
      </c>
      <c r="CY271" s="644">
        <f t="shared" si="772"/>
        <v>0</v>
      </c>
      <c r="CZ271" s="645">
        <f t="shared" si="773"/>
        <v>61282.082055694322</v>
      </c>
      <c r="DA271" s="646">
        <f t="shared" si="832"/>
        <v>-48.106656963171226</v>
      </c>
      <c r="DB271" s="647">
        <f t="shared" si="774"/>
        <v>61233.975398731149</v>
      </c>
      <c r="DC271" s="644">
        <f t="shared" si="833"/>
        <v>0</v>
      </c>
      <c r="DD271" s="645">
        <f t="shared" si="834"/>
        <v>61233.975398731149</v>
      </c>
      <c r="DE271" s="646">
        <f t="shared" si="835"/>
        <v>-4.1485999832567566E-2</v>
      </c>
      <c r="DF271" s="647">
        <f t="shared" si="775"/>
        <v>61233.933912731314</v>
      </c>
      <c r="DG271" s="644">
        <f t="shared" si="836"/>
        <v>0</v>
      </c>
      <c r="DH271" s="645">
        <f t="shared" si="837"/>
        <v>61233.933912731314</v>
      </c>
      <c r="DI271" s="646">
        <f t="shared" si="838"/>
        <v>0</v>
      </c>
      <c r="DJ271" s="647">
        <f t="shared" si="776"/>
        <v>61233.933912731314</v>
      </c>
      <c r="DK271" s="644">
        <f t="shared" si="839"/>
        <v>0</v>
      </c>
      <c r="DL271" s="645">
        <f t="shared" si="840"/>
        <v>61233.933912731314</v>
      </c>
      <c r="DM271" s="646">
        <f t="shared" si="841"/>
        <v>0</v>
      </c>
      <c r="DN271" s="647">
        <f t="shared" si="777"/>
        <v>61233.933912731314</v>
      </c>
      <c r="DR271" s="827">
        <f t="shared" si="731"/>
        <v>239199.30235703482</v>
      </c>
      <c r="DV271" s="828">
        <f>IFERROR(VLOOKUP($B271,'Afton FY16 Final'!$A$5:$BV$587,'Afton FY16 Final'!$BV$587,0),0)</f>
        <v>213084.99041545688</v>
      </c>
      <c r="DX271" s="636">
        <f t="shared" si="719"/>
        <v>239199.30235703482</v>
      </c>
      <c r="DY271" s="637">
        <f t="shared" si="720"/>
        <v>26114.311941577937</v>
      </c>
      <c r="DZ271" s="637">
        <f t="shared" si="721"/>
        <v>213084.99041545688</v>
      </c>
      <c r="EA271" s="643">
        <f t="shared" si="722"/>
        <v>226476.58027412987</v>
      </c>
      <c r="EB271" s="637">
        <f t="shared" si="732"/>
        <v>0</v>
      </c>
      <c r="EC271" s="637">
        <f t="shared" si="733"/>
        <v>226476.58027412987</v>
      </c>
      <c r="ED271" s="637">
        <f t="shared" si="734"/>
        <v>225801.24063415403</v>
      </c>
      <c r="EE271" s="643">
        <f t="shared" si="735"/>
        <v>225801.24063415403</v>
      </c>
      <c r="EF271" s="637">
        <f t="shared" si="736"/>
        <v>0</v>
      </c>
      <c r="EG271" s="637">
        <f t="shared" si="737"/>
        <v>225801.24063415403</v>
      </c>
      <c r="EH271" s="637">
        <f t="shared" si="738"/>
        <v>225801.00768382775</v>
      </c>
      <c r="EI271" s="643">
        <f t="shared" si="739"/>
        <v>225801.00768382775</v>
      </c>
      <c r="EJ271" s="637">
        <f t="shared" si="740"/>
        <v>0</v>
      </c>
      <c r="EK271" s="637">
        <f t="shared" si="741"/>
        <v>225801.00768382775</v>
      </c>
      <c r="EL271" s="637">
        <f t="shared" si="742"/>
        <v>225801.00768382743</v>
      </c>
      <c r="EM271" s="643">
        <f t="shared" si="743"/>
        <v>225801.00768382743</v>
      </c>
      <c r="EN271" s="637">
        <f t="shared" si="744"/>
        <v>0</v>
      </c>
      <c r="EO271" s="637">
        <f t="shared" si="745"/>
        <v>225801.00768382743</v>
      </c>
      <c r="EP271" s="637">
        <f t="shared" si="746"/>
        <v>225801.00768382777</v>
      </c>
      <c r="EQ271" s="643">
        <f t="shared" si="747"/>
        <v>225801.00768382777</v>
      </c>
      <c r="ER271" s="637">
        <f t="shared" si="748"/>
        <v>0</v>
      </c>
      <c r="ES271" s="637">
        <f t="shared" si="749"/>
        <v>225801.00768382777</v>
      </c>
      <c r="ET271" s="637">
        <f t="shared" si="750"/>
        <v>225801.00768382743</v>
      </c>
      <c r="EU271" s="643">
        <f t="shared" si="723"/>
        <v>225801.00768382743</v>
      </c>
      <c r="EV271" s="643">
        <f t="shared" si="724"/>
        <v>0</v>
      </c>
      <c r="EX271" s="829">
        <f t="shared" si="725"/>
        <v>13398.294673207391</v>
      </c>
      <c r="EY271" s="638">
        <f t="shared" si="726"/>
        <v>225801.00768382743</v>
      </c>
      <c r="FC271" s="830" t="str">
        <f t="shared" si="751"/>
        <v>N</v>
      </c>
      <c r="FE271" s="830" t="str">
        <f>IFERROR(VLOOKUP($B271,'Historical Conc Grant Elig'!$B$3:$J$707,'HH &amp; SI'!FE$2,0),"N")</f>
        <v>N</v>
      </c>
      <c r="FF271" s="830" t="str">
        <f>IFERROR(VLOOKUP($B271,'Historical Conc Grant Elig'!$B$3:$J$707,'HH &amp; SI'!FF$2,0),"N")</f>
        <v>N</v>
      </c>
      <c r="FG271" s="830" t="str">
        <f>IFERROR(VLOOKUP($B271,'Historical Conc Grant Elig'!$B$3:$J$707,'HH &amp; SI'!FG$2,0),"N")</f>
        <v>N</v>
      </c>
      <c r="FH271" s="830" t="str">
        <f>IFERROR(VLOOKUP($B271,'Historical Conc Grant Elig'!$B$3:$J$707,'HH &amp; SI'!FH$2,0),"N")</f>
        <v>N</v>
      </c>
      <c r="FI271" s="830" t="str">
        <f>IFERROR(VLOOKUP($B271,'Historical Conc Grant Elig'!$B$3:$J$707,'HH &amp; SI'!FI$2,0),"N")</f>
        <v>N</v>
      </c>
      <c r="FJ271" s="830" t="str">
        <f>IFERROR(VLOOKUP($B271,'Historical Conc Grant Elig'!$B$3:$J$707,'HH &amp; SI'!FJ$2,0),"N")</f>
        <v>N</v>
      </c>
      <c r="FK271" s="830" t="str">
        <f>IFERROR(VLOOKUP($B271,'Historical Conc Grant Elig'!$B$3:$J$707,'HH &amp; SI'!FK$2,0),"N")</f>
        <v>N</v>
      </c>
      <c r="FL271" s="957" t="str">
        <f>IFERROR(VLOOKUP($B271,'Historical Conc Grant Elig'!$B$3:$J$707,'HH &amp; SI'!FL$2,0),"N")</f>
        <v>N</v>
      </c>
    </row>
    <row r="272" spans="2:168" x14ac:dyDescent="0.25">
      <c r="B272" s="634">
        <v>78914000</v>
      </c>
      <c r="C272" s="635" t="str">
        <f>VLOOKUP($B272,'Afton Update'!$A$5:$CR$582,'Afton Update'!D$589,0)</f>
        <v>Skyline Schools  Inc.</v>
      </c>
      <c r="D272" s="636">
        <f>IFERROR(VLOOKUP($B272,'Afton FY16 Final'!$A$5:$BV$587,'Afton FY16 Final'!AQ$587,0),0)</f>
        <v>30528.169430995051</v>
      </c>
      <c r="E272" s="637">
        <f>IFERROR(VLOOKUP($B272,'Afton FY16 Final'!$A$5:$BV$587,'Afton FY16 Final'!AR$587,0),0)</f>
        <v>7448.3965953870893</v>
      </c>
      <c r="F272" s="637">
        <f>IFERROR(VLOOKUP($B272,'Afton FY16 Final'!$A$5:$BV$587,'Afton FY16 Final'!AS$587,0),0)</f>
        <v>16186.481466938028</v>
      </c>
      <c r="G272" s="637">
        <f>IFERROR(VLOOKUP($B272,'Afton FY16 Final'!$A$5:$BV$587,'Afton FY16 Final'!AT$587,0),0)</f>
        <v>15595.563472926176</v>
      </c>
      <c r="H272" s="638">
        <f>IFERROR(VLOOKUP($B272,'Afton FY16 Final'!$A$5:$BV$587,'Afton FY16 Final'!AU$587,0),0)</f>
        <v>69758.610966246342</v>
      </c>
      <c r="I272" s="639" t="str">
        <f>VLOOKUP($B272,'Afton Update'!$A$5:$CR$582,'Afton Update'!BT$589,0)</f>
        <v>Y</v>
      </c>
      <c r="J272" s="640" t="str">
        <f>VLOOKUP($B272,'Afton Update'!$A$5:$CR$582,'Afton Update'!BU$589,0)</f>
        <v>Y</v>
      </c>
      <c r="K272" s="640" t="str">
        <f>VLOOKUP($B272,'Afton Update'!$A$5:$CR$582,'Afton Update'!BV$589,0)</f>
        <v>Y</v>
      </c>
      <c r="L272" s="641" t="str">
        <f>VLOOKUP($B272,'Afton Update'!$A$5:$CR$582,'Afton Update'!BW$589,0)</f>
        <v>Y</v>
      </c>
      <c r="N272" s="642">
        <f>VLOOKUP($B272,'Afton Update'!$A$5:$CR$582,'Afton Update'!CB$589,0)</f>
        <v>0.95</v>
      </c>
      <c r="P272" s="636">
        <f>VLOOKUP($B272,'Afton Update'!$A$5:$CR$582,'Afton Update'!AH$589,0)</f>
        <v>17698.553133034929</v>
      </c>
      <c r="Q272" s="637">
        <f>VLOOKUP($B272,'Afton Update'!$A$5:$CR$582,'Afton Update'!AI$589,0)</f>
        <v>5790.8537091592134</v>
      </c>
      <c r="R272" s="637">
        <f>VLOOKUP($B272,'Afton Update'!$A$5:$CR$582,'Afton Update'!AJ$589,0)</f>
        <v>10383.631053353245</v>
      </c>
      <c r="S272" s="637">
        <f>VLOOKUP($B272,'Afton Update'!$A$5:$CR$582,'Afton Update'!AK$589,0)</f>
        <v>9665.7965220039969</v>
      </c>
      <c r="T272" s="643">
        <f t="shared" si="752"/>
        <v>43538.834417551385</v>
      </c>
      <c r="V272" s="636">
        <f t="shared" si="778"/>
        <v>29001.760959445295</v>
      </c>
      <c r="W272" s="637">
        <f t="shared" si="779"/>
        <v>7075.9767656177346</v>
      </c>
      <c r="X272" s="637">
        <f t="shared" si="780"/>
        <v>15377.157393591126</v>
      </c>
      <c r="Y272" s="637">
        <f t="shared" si="781"/>
        <v>14815.785299279867</v>
      </c>
      <c r="Z272" s="643">
        <f t="shared" si="782"/>
        <v>66270.680417934025</v>
      </c>
      <c r="AB272" s="644">
        <f t="shared" si="753"/>
        <v>17698.553133034929</v>
      </c>
      <c r="AC272" s="645">
        <f t="shared" si="727"/>
        <v>29001.760959445295</v>
      </c>
      <c r="AD272" s="644">
        <f t="shared" si="783"/>
        <v>11303.207826410366</v>
      </c>
      <c r="AE272" s="645">
        <f t="shared" si="784"/>
        <v>0</v>
      </c>
      <c r="AF272" s="646">
        <f t="shared" si="785"/>
        <v>0</v>
      </c>
      <c r="AG272" s="647">
        <f t="shared" si="786"/>
        <v>29001.760959445295</v>
      </c>
      <c r="AH272" s="644">
        <f t="shared" si="754"/>
        <v>0</v>
      </c>
      <c r="AI272" s="645">
        <f t="shared" si="755"/>
        <v>0</v>
      </c>
      <c r="AJ272" s="646">
        <f t="shared" si="787"/>
        <v>0</v>
      </c>
      <c r="AK272" s="647">
        <f t="shared" si="756"/>
        <v>29001.760959445295</v>
      </c>
      <c r="AL272" s="644">
        <f t="shared" si="788"/>
        <v>0</v>
      </c>
      <c r="AM272" s="645">
        <f t="shared" si="789"/>
        <v>0</v>
      </c>
      <c r="AN272" s="646">
        <f t="shared" si="790"/>
        <v>0</v>
      </c>
      <c r="AO272" s="647">
        <f t="shared" si="757"/>
        <v>29001.760959445295</v>
      </c>
      <c r="AP272" s="644">
        <f t="shared" si="791"/>
        <v>0</v>
      </c>
      <c r="AQ272" s="645">
        <f t="shared" si="792"/>
        <v>0</v>
      </c>
      <c r="AR272" s="646">
        <f t="shared" si="793"/>
        <v>0</v>
      </c>
      <c r="AS272" s="647">
        <f t="shared" si="758"/>
        <v>29001.760959445295</v>
      </c>
      <c r="AT272" s="644">
        <f t="shared" si="794"/>
        <v>0</v>
      </c>
      <c r="AU272" s="645">
        <f t="shared" si="795"/>
        <v>0</v>
      </c>
      <c r="AV272" s="646">
        <f t="shared" si="796"/>
        <v>0</v>
      </c>
      <c r="AW272" s="647">
        <f t="shared" si="759"/>
        <v>29001.760959445295</v>
      </c>
      <c r="AY272" s="644">
        <f t="shared" si="797"/>
        <v>5790.8537091592134</v>
      </c>
      <c r="AZ272" s="645">
        <f t="shared" si="728"/>
        <v>7075.9767656177346</v>
      </c>
      <c r="BA272" s="644">
        <f t="shared" si="798"/>
        <v>1285.1230564585212</v>
      </c>
      <c r="BB272" s="645">
        <f t="shared" si="799"/>
        <v>0</v>
      </c>
      <c r="BC272" s="646">
        <f t="shared" si="800"/>
        <v>0</v>
      </c>
      <c r="BD272" s="647">
        <f t="shared" si="801"/>
        <v>7075.9767656177346</v>
      </c>
      <c r="BE272" s="644">
        <f t="shared" si="760"/>
        <v>0</v>
      </c>
      <c r="BF272" s="645">
        <f t="shared" si="761"/>
        <v>0</v>
      </c>
      <c r="BG272" s="646">
        <f t="shared" si="802"/>
        <v>0</v>
      </c>
      <c r="BH272" s="647">
        <f t="shared" si="762"/>
        <v>7075.9767656177346</v>
      </c>
      <c r="BI272" s="644">
        <f t="shared" si="803"/>
        <v>0</v>
      </c>
      <c r="BJ272" s="645">
        <f t="shared" si="804"/>
        <v>0</v>
      </c>
      <c r="BK272" s="646">
        <f t="shared" si="805"/>
        <v>0</v>
      </c>
      <c r="BL272" s="647">
        <f t="shared" si="763"/>
        <v>7075.9767656177346</v>
      </c>
      <c r="BM272" s="644">
        <f t="shared" si="806"/>
        <v>0</v>
      </c>
      <c r="BN272" s="645">
        <f t="shared" si="807"/>
        <v>0</v>
      </c>
      <c r="BO272" s="646">
        <f t="shared" si="808"/>
        <v>0</v>
      </c>
      <c r="BP272" s="647">
        <f t="shared" si="764"/>
        <v>7075.9767656177346</v>
      </c>
      <c r="BQ272" s="644">
        <f t="shared" si="809"/>
        <v>0</v>
      </c>
      <c r="BR272" s="645">
        <f t="shared" si="810"/>
        <v>0</v>
      </c>
      <c r="BS272" s="646">
        <f t="shared" si="811"/>
        <v>0</v>
      </c>
      <c r="BT272" s="647">
        <f t="shared" si="765"/>
        <v>7075.9767656177346</v>
      </c>
      <c r="BU272" s="662">
        <f>VLOOKUP(B272,'Afton Update'!$A$5:$AR$582,'Afton Update'!$AO$589,0)-BT272</f>
        <v>0</v>
      </c>
      <c r="BV272" s="644">
        <f t="shared" si="812"/>
        <v>10383.631053353245</v>
      </c>
      <c r="BW272" s="645">
        <f t="shared" si="729"/>
        <v>15377.157393591126</v>
      </c>
      <c r="BX272" s="644">
        <f t="shared" si="813"/>
        <v>4993.5263402378805</v>
      </c>
      <c r="BY272" s="645">
        <f t="shared" si="814"/>
        <v>0</v>
      </c>
      <c r="BZ272" s="646">
        <f t="shared" si="815"/>
        <v>0</v>
      </c>
      <c r="CA272" s="647">
        <f t="shared" si="816"/>
        <v>15377.157393591126</v>
      </c>
      <c r="CB272" s="644">
        <f t="shared" si="766"/>
        <v>0</v>
      </c>
      <c r="CC272" s="645">
        <f t="shared" si="767"/>
        <v>0</v>
      </c>
      <c r="CD272" s="646">
        <f t="shared" si="817"/>
        <v>0</v>
      </c>
      <c r="CE272" s="647">
        <f t="shared" si="768"/>
        <v>15377.157393591126</v>
      </c>
      <c r="CF272" s="644">
        <f t="shared" si="818"/>
        <v>0</v>
      </c>
      <c r="CG272" s="645">
        <f t="shared" si="819"/>
        <v>0</v>
      </c>
      <c r="CH272" s="646">
        <f t="shared" si="820"/>
        <v>0</v>
      </c>
      <c r="CI272" s="647">
        <f t="shared" si="769"/>
        <v>15377.157393591126</v>
      </c>
      <c r="CJ272" s="644">
        <f t="shared" si="821"/>
        <v>0</v>
      </c>
      <c r="CK272" s="645">
        <f t="shared" si="822"/>
        <v>0</v>
      </c>
      <c r="CL272" s="646">
        <f t="shared" si="823"/>
        <v>0</v>
      </c>
      <c r="CM272" s="647">
        <f t="shared" si="770"/>
        <v>15377.157393591126</v>
      </c>
      <c r="CN272" s="644">
        <f t="shared" si="824"/>
        <v>0</v>
      </c>
      <c r="CO272" s="645">
        <f t="shared" si="825"/>
        <v>0</v>
      </c>
      <c r="CP272" s="646">
        <f t="shared" si="826"/>
        <v>0</v>
      </c>
      <c r="CQ272" s="647">
        <f t="shared" si="771"/>
        <v>15377.157393591126</v>
      </c>
      <c r="CS272" s="644">
        <f t="shared" si="827"/>
        <v>9665.7965220039969</v>
      </c>
      <c r="CT272" s="645">
        <f t="shared" si="730"/>
        <v>14815.785299279867</v>
      </c>
      <c r="CU272" s="644">
        <f t="shared" si="828"/>
        <v>5149.9887772758702</v>
      </c>
      <c r="CV272" s="645">
        <f t="shared" si="829"/>
        <v>0</v>
      </c>
      <c r="CW272" s="646">
        <f t="shared" si="830"/>
        <v>0</v>
      </c>
      <c r="CX272" s="647">
        <f t="shared" si="831"/>
        <v>14815.785299279867</v>
      </c>
      <c r="CY272" s="644">
        <f t="shared" si="772"/>
        <v>0</v>
      </c>
      <c r="CZ272" s="645">
        <f t="shared" si="773"/>
        <v>0</v>
      </c>
      <c r="DA272" s="646">
        <f t="shared" si="832"/>
        <v>0</v>
      </c>
      <c r="DB272" s="647">
        <f t="shared" si="774"/>
        <v>14815.785299279867</v>
      </c>
      <c r="DC272" s="644">
        <f t="shared" si="833"/>
        <v>0</v>
      </c>
      <c r="DD272" s="645">
        <f t="shared" si="834"/>
        <v>0</v>
      </c>
      <c r="DE272" s="646">
        <f t="shared" si="835"/>
        <v>0</v>
      </c>
      <c r="DF272" s="647">
        <f t="shared" si="775"/>
        <v>14815.785299279867</v>
      </c>
      <c r="DG272" s="644">
        <f t="shared" si="836"/>
        <v>0</v>
      </c>
      <c r="DH272" s="645">
        <f t="shared" si="837"/>
        <v>0</v>
      </c>
      <c r="DI272" s="646">
        <f t="shared" si="838"/>
        <v>0</v>
      </c>
      <c r="DJ272" s="647">
        <f t="shared" si="776"/>
        <v>14815.785299279867</v>
      </c>
      <c r="DK272" s="644">
        <f t="shared" si="839"/>
        <v>0</v>
      </c>
      <c r="DL272" s="645">
        <f t="shared" si="840"/>
        <v>0</v>
      </c>
      <c r="DM272" s="646">
        <f t="shared" si="841"/>
        <v>0</v>
      </c>
      <c r="DN272" s="647">
        <f t="shared" si="777"/>
        <v>14815.785299279867</v>
      </c>
      <c r="DR272" s="827">
        <f t="shared" si="731"/>
        <v>66270.680417934025</v>
      </c>
      <c r="DV272" s="828">
        <f>IFERROR(VLOOKUP($B272,'Afton FY16 Final'!$A$5:$BV$587,'Afton FY16 Final'!$BV$587,0),0)</f>
        <v>64041.276698044159</v>
      </c>
      <c r="DX272" s="636">
        <f t="shared" si="719"/>
        <v>66270.680417934025</v>
      </c>
      <c r="DY272" s="637">
        <f t="shared" si="720"/>
        <v>2229.4037198898659</v>
      </c>
      <c r="DZ272" s="637">
        <f t="shared" si="721"/>
        <v>64041.276698044159</v>
      </c>
      <c r="EA272" s="643">
        <f t="shared" si="722"/>
        <v>62745.822941786842</v>
      </c>
      <c r="EB272" s="637">
        <f t="shared" si="732"/>
        <v>64041.276698044159</v>
      </c>
      <c r="EC272" s="637">
        <f t="shared" si="733"/>
        <v>0</v>
      </c>
      <c r="ED272" s="637">
        <f t="shared" si="734"/>
        <v>0</v>
      </c>
      <c r="EE272" s="643">
        <f t="shared" si="735"/>
        <v>64041.276698044159</v>
      </c>
      <c r="EF272" s="637">
        <f t="shared" si="736"/>
        <v>0</v>
      </c>
      <c r="EG272" s="637">
        <f t="shared" si="737"/>
        <v>0</v>
      </c>
      <c r="EH272" s="637">
        <f t="shared" si="738"/>
        <v>0</v>
      </c>
      <c r="EI272" s="643">
        <f t="shared" si="739"/>
        <v>64041.276698044159</v>
      </c>
      <c r="EJ272" s="637">
        <f t="shared" si="740"/>
        <v>0</v>
      </c>
      <c r="EK272" s="637">
        <f t="shared" si="741"/>
        <v>0</v>
      </c>
      <c r="EL272" s="637">
        <f t="shared" si="742"/>
        <v>0</v>
      </c>
      <c r="EM272" s="643">
        <f t="shared" si="743"/>
        <v>64041.276698044159</v>
      </c>
      <c r="EN272" s="637">
        <f t="shared" si="744"/>
        <v>0</v>
      </c>
      <c r="EO272" s="637">
        <f t="shared" si="745"/>
        <v>0</v>
      </c>
      <c r="EP272" s="637">
        <f t="shared" si="746"/>
        <v>0</v>
      </c>
      <c r="EQ272" s="643">
        <f t="shared" si="747"/>
        <v>64041.276698044159</v>
      </c>
      <c r="ER272" s="637">
        <f t="shared" si="748"/>
        <v>0</v>
      </c>
      <c r="ES272" s="637">
        <f t="shared" si="749"/>
        <v>0</v>
      </c>
      <c r="ET272" s="637">
        <f t="shared" si="750"/>
        <v>0</v>
      </c>
      <c r="EU272" s="643">
        <f t="shared" si="723"/>
        <v>64041.276698044159</v>
      </c>
      <c r="EV272" s="643">
        <f t="shared" si="724"/>
        <v>0</v>
      </c>
      <c r="EX272" s="829">
        <f t="shared" si="725"/>
        <v>2229.4037198898659</v>
      </c>
      <c r="EY272" s="638">
        <f t="shared" si="726"/>
        <v>64041.276698044159</v>
      </c>
      <c r="FC272" s="830" t="str">
        <f t="shared" si="751"/>
        <v>Y</v>
      </c>
      <c r="FE272" s="830" t="str">
        <f>IFERROR(VLOOKUP($B272,'Historical Conc Grant Elig'!$B$3:$J$707,'HH &amp; SI'!FE$2,0),"N")</f>
        <v>Y</v>
      </c>
      <c r="FF272" s="830" t="str">
        <f>IFERROR(VLOOKUP($B272,'Historical Conc Grant Elig'!$B$3:$J$707,'HH &amp; SI'!FF$2,0),"N")</f>
        <v>Y</v>
      </c>
      <c r="FG272" s="830" t="str">
        <f>IFERROR(VLOOKUP($B272,'Historical Conc Grant Elig'!$B$3:$J$707,'HH &amp; SI'!FG$2,0),"N")</f>
        <v>N</v>
      </c>
      <c r="FH272" s="830" t="str">
        <f>IFERROR(VLOOKUP($B272,'Historical Conc Grant Elig'!$B$3:$J$707,'HH &amp; SI'!FH$2,0),"N")</f>
        <v>Y</v>
      </c>
      <c r="FI272" s="830" t="str">
        <f>IFERROR(VLOOKUP($B272,'Historical Conc Grant Elig'!$B$3:$J$707,'HH &amp; SI'!FI$2,0),"N")</f>
        <v>Y</v>
      </c>
      <c r="FJ272" s="830" t="str">
        <f>IFERROR(VLOOKUP($B272,'Historical Conc Grant Elig'!$B$3:$J$707,'HH &amp; SI'!FJ$2,0),"N")</f>
        <v>Y</v>
      </c>
      <c r="FK272" s="830" t="str">
        <f>IFERROR(VLOOKUP($B272,'Historical Conc Grant Elig'!$B$3:$J$707,'HH &amp; SI'!FK$2,0),"N")</f>
        <v>Y</v>
      </c>
      <c r="FL272" s="957" t="str">
        <f>IFERROR(VLOOKUP($B272,'Historical Conc Grant Elig'!$B$3:$J$707,'HH &amp; SI'!FL$2,0),"N")</f>
        <v>Y</v>
      </c>
    </row>
    <row r="273" spans="2:168" x14ac:dyDescent="0.25">
      <c r="B273" s="634">
        <v>78915000</v>
      </c>
      <c r="C273" s="635" t="str">
        <f>VLOOKUP($B273,'Afton Update'!$A$5:$CR$582,'Afton Update'!D$589,0)</f>
        <v>Edkey  Inc. - Sequoia Charter School</v>
      </c>
      <c r="D273" s="636">
        <f>IFERROR(VLOOKUP($B273,'Afton FY16 Final'!$A$5:$BV$587,'Afton FY16 Final'!AQ$587,0),0)</f>
        <v>224659.13305495598</v>
      </c>
      <c r="E273" s="637">
        <f>IFERROR(VLOOKUP($B273,'Afton FY16 Final'!$A$5:$BV$587,'Afton FY16 Final'!AR$587,0),0)</f>
        <v>46544.442278249306</v>
      </c>
      <c r="F273" s="637">
        <f>IFERROR(VLOOKUP($B273,'Afton FY16 Final'!$A$5:$BV$587,'Afton FY16 Final'!AS$587,0),0)</f>
        <v>119117.5547486431</v>
      </c>
      <c r="G273" s="637">
        <f>IFERROR(VLOOKUP($B273,'Afton FY16 Final'!$A$5:$BV$587,'Afton FY16 Final'!AT$587,0),0)</f>
        <v>114768.94404856986</v>
      </c>
      <c r="H273" s="638">
        <f>IFERROR(VLOOKUP($B273,'Afton FY16 Final'!$A$5:$BV$587,'Afton FY16 Final'!AU$587,0),0)</f>
        <v>505090.07413041824</v>
      </c>
      <c r="I273" s="639" t="str">
        <f>VLOOKUP($B273,'Afton Update'!$A$5:$CR$582,'Afton Update'!BT$589,0)</f>
        <v>Y</v>
      </c>
      <c r="J273" s="640" t="str">
        <f>VLOOKUP($B273,'Afton Update'!$A$5:$CR$582,'Afton Update'!BU$589,0)</f>
        <v>Y</v>
      </c>
      <c r="K273" s="640" t="str">
        <f>VLOOKUP($B273,'Afton Update'!$A$5:$CR$582,'Afton Update'!BV$589,0)</f>
        <v>Y</v>
      </c>
      <c r="L273" s="641" t="str">
        <f>VLOOKUP($B273,'Afton Update'!$A$5:$CR$582,'Afton Update'!BW$589,0)</f>
        <v>Y</v>
      </c>
      <c r="N273" s="642">
        <f>VLOOKUP($B273,'Afton Update'!$A$5:$CR$582,'Afton Update'!CB$589,0)</f>
        <v>0.95</v>
      </c>
      <c r="P273" s="636">
        <f>VLOOKUP($B273,'Afton Update'!$A$5:$CR$582,'Afton Update'!AH$589,0)</f>
        <v>196836.6111957804</v>
      </c>
      <c r="Q273" s="637">
        <f>VLOOKUP($B273,'Afton Update'!$A$5:$CR$582,'Afton Update'!AI$589,0)</f>
        <v>42836.31603915985</v>
      </c>
      <c r="R273" s="637">
        <f>VLOOKUP($B273,'Afton Update'!$A$5:$CR$582,'Afton Update'!AJ$589,0)</f>
        <v>115226.32721134793</v>
      </c>
      <c r="S273" s="637">
        <f>VLOOKUP($B273,'Afton Update'!$A$5:$CR$582,'Afton Update'!AK$589,0)</f>
        <v>107260.57456009735</v>
      </c>
      <c r="T273" s="643">
        <f t="shared" si="752"/>
        <v>462159.82900638552</v>
      </c>
      <c r="V273" s="636">
        <f t="shared" si="778"/>
        <v>213426.17640220816</v>
      </c>
      <c r="W273" s="637">
        <f t="shared" si="779"/>
        <v>44217.220164336839</v>
      </c>
      <c r="X273" s="637">
        <f t="shared" si="780"/>
        <v>114178.38875377916</v>
      </c>
      <c r="Y273" s="637">
        <f t="shared" si="781"/>
        <v>109030.49684614137</v>
      </c>
      <c r="Z273" s="643">
        <f t="shared" si="782"/>
        <v>480852.28216646553</v>
      </c>
      <c r="AB273" s="644">
        <f t="shared" si="753"/>
        <v>196836.6111957804</v>
      </c>
      <c r="AC273" s="645">
        <f t="shared" si="727"/>
        <v>213426.17640220816</v>
      </c>
      <c r="AD273" s="644">
        <f t="shared" si="783"/>
        <v>16589.565206427767</v>
      </c>
      <c r="AE273" s="645">
        <f t="shared" si="784"/>
        <v>0</v>
      </c>
      <c r="AF273" s="646">
        <f t="shared" si="785"/>
        <v>0</v>
      </c>
      <c r="AG273" s="647">
        <f t="shared" si="786"/>
        <v>213426.17640220816</v>
      </c>
      <c r="AH273" s="644">
        <f t="shared" si="754"/>
        <v>0</v>
      </c>
      <c r="AI273" s="645">
        <f t="shared" si="755"/>
        <v>0</v>
      </c>
      <c r="AJ273" s="646">
        <f t="shared" si="787"/>
        <v>0</v>
      </c>
      <c r="AK273" s="647">
        <f t="shared" si="756"/>
        <v>213426.17640220816</v>
      </c>
      <c r="AL273" s="644">
        <f t="shared" si="788"/>
        <v>0</v>
      </c>
      <c r="AM273" s="645">
        <f t="shared" si="789"/>
        <v>0</v>
      </c>
      <c r="AN273" s="646">
        <f t="shared" si="790"/>
        <v>0</v>
      </c>
      <c r="AO273" s="647">
        <f t="shared" si="757"/>
        <v>213426.17640220816</v>
      </c>
      <c r="AP273" s="644">
        <f t="shared" si="791"/>
        <v>0</v>
      </c>
      <c r="AQ273" s="645">
        <f t="shared" si="792"/>
        <v>0</v>
      </c>
      <c r="AR273" s="646">
        <f t="shared" si="793"/>
        <v>0</v>
      </c>
      <c r="AS273" s="647">
        <f t="shared" si="758"/>
        <v>213426.17640220816</v>
      </c>
      <c r="AT273" s="644">
        <f t="shared" si="794"/>
        <v>0</v>
      </c>
      <c r="AU273" s="645">
        <f t="shared" si="795"/>
        <v>0</v>
      </c>
      <c r="AV273" s="646">
        <f t="shared" si="796"/>
        <v>0</v>
      </c>
      <c r="AW273" s="647">
        <f t="shared" si="759"/>
        <v>213426.17640220816</v>
      </c>
      <c r="AY273" s="644">
        <f t="shared" si="797"/>
        <v>42836.31603915985</v>
      </c>
      <c r="AZ273" s="645">
        <f t="shared" si="728"/>
        <v>44217.220164336839</v>
      </c>
      <c r="BA273" s="644">
        <f t="shared" si="798"/>
        <v>1380.9041251769886</v>
      </c>
      <c r="BB273" s="645">
        <f t="shared" si="799"/>
        <v>0</v>
      </c>
      <c r="BC273" s="646">
        <f t="shared" si="800"/>
        <v>0</v>
      </c>
      <c r="BD273" s="647">
        <f t="shared" si="801"/>
        <v>44217.220164336839</v>
      </c>
      <c r="BE273" s="644">
        <f t="shared" si="760"/>
        <v>0</v>
      </c>
      <c r="BF273" s="645">
        <f t="shared" si="761"/>
        <v>0</v>
      </c>
      <c r="BG273" s="646">
        <f t="shared" si="802"/>
        <v>0</v>
      </c>
      <c r="BH273" s="647">
        <f t="shared" si="762"/>
        <v>44217.220164336839</v>
      </c>
      <c r="BI273" s="644">
        <f t="shared" si="803"/>
        <v>0</v>
      </c>
      <c r="BJ273" s="645">
        <f t="shared" si="804"/>
        <v>0</v>
      </c>
      <c r="BK273" s="646">
        <f t="shared" si="805"/>
        <v>0</v>
      </c>
      <c r="BL273" s="647">
        <f t="shared" si="763"/>
        <v>44217.220164336839</v>
      </c>
      <c r="BM273" s="644">
        <f t="shared" si="806"/>
        <v>0</v>
      </c>
      <c r="BN273" s="645">
        <f t="shared" si="807"/>
        <v>0</v>
      </c>
      <c r="BO273" s="646">
        <f t="shared" si="808"/>
        <v>0</v>
      </c>
      <c r="BP273" s="647">
        <f t="shared" si="764"/>
        <v>44217.220164336839</v>
      </c>
      <c r="BQ273" s="644">
        <f t="shared" si="809"/>
        <v>0</v>
      </c>
      <c r="BR273" s="645">
        <f t="shared" si="810"/>
        <v>0</v>
      </c>
      <c r="BS273" s="646">
        <f t="shared" si="811"/>
        <v>0</v>
      </c>
      <c r="BT273" s="647">
        <f t="shared" si="765"/>
        <v>44217.220164336839</v>
      </c>
      <c r="BU273" s="662">
        <f>VLOOKUP(B273,'Afton Update'!$A$5:$AR$582,'Afton Update'!$AO$589,0)-BT273</f>
        <v>0</v>
      </c>
      <c r="BV273" s="644">
        <f t="shared" si="812"/>
        <v>115226.32721134793</v>
      </c>
      <c r="BW273" s="645">
        <f t="shared" si="729"/>
        <v>113161.67701121094</v>
      </c>
      <c r="BX273" s="644">
        <f t="shared" si="813"/>
        <v>0</v>
      </c>
      <c r="BY273" s="645">
        <f t="shared" si="814"/>
        <v>115226.32721134793</v>
      </c>
      <c r="BZ273" s="646">
        <f t="shared" si="815"/>
        <v>-1011.3537246602502</v>
      </c>
      <c r="CA273" s="647">
        <f t="shared" si="816"/>
        <v>114214.97348668768</v>
      </c>
      <c r="CB273" s="644">
        <f t="shared" si="766"/>
        <v>0</v>
      </c>
      <c r="CC273" s="645">
        <f t="shared" si="767"/>
        <v>114214.97348668768</v>
      </c>
      <c r="CD273" s="646">
        <f t="shared" si="817"/>
        <v>-36.584732908529659</v>
      </c>
      <c r="CE273" s="647">
        <f t="shared" si="768"/>
        <v>114178.38875377916</v>
      </c>
      <c r="CF273" s="644">
        <f t="shared" si="818"/>
        <v>0</v>
      </c>
      <c r="CG273" s="645">
        <f t="shared" si="819"/>
        <v>114178.38875377916</v>
      </c>
      <c r="CH273" s="646">
        <f t="shared" si="820"/>
        <v>0</v>
      </c>
      <c r="CI273" s="647">
        <f t="shared" si="769"/>
        <v>114178.38875377916</v>
      </c>
      <c r="CJ273" s="644">
        <f t="shared" si="821"/>
        <v>0</v>
      </c>
      <c r="CK273" s="645">
        <f t="shared" si="822"/>
        <v>114178.38875377916</v>
      </c>
      <c r="CL273" s="646">
        <f t="shared" si="823"/>
        <v>0</v>
      </c>
      <c r="CM273" s="647">
        <f t="shared" si="770"/>
        <v>114178.38875377916</v>
      </c>
      <c r="CN273" s="644">
        <f t="shared" si="824"/>
        <v>0</v>
      </c>
      <c r="CO273" s="645">
        <f t="shared" si="825"/>
        <v>114178.38875377916</v>
      </c>
      <c r="CP273" s="646">
        <f t="shared" si="826"/>
        <v>0</v>
      </c>
      <c r="CQ273" s="647">
        <f t="shared" si="771"/>
        <v>114178.38875377916</v>
      </c>
      <c r="CS273" s="644">
        <f t="shared" si="827"/>
        <v>107260.57456009735</v>
      </c>
      <c r="CT273" s="645">
        <f t="shared" si="730"/>
        <v>109030.49684614137</v>
      </c>
      <c r="CU273" s="644">
        <f t="shared" si="828"/>
        <v>1769.9222860440204</v>
      </c>
      <c r="CV273" s="645">
        <f t="shared" si="829"/>
        <v>0</v>
      </c>
      <c r="CW273" s="646">
        <f t="shared" si="830"/>
        <v>0</v>
      </c>
      <c r="CX273" s="647">
        <f t="shared" si="831"/>
        <v>109030.49684614137</v>
      </c>
      <c r="CY273" s="644">
        <f t="shared" si="772"/>
        <v>0</v>
      </c>
      <c r="CZ273" s="645">
        <f t="shared" si="773"/>
        <v>0</v>
      </c>
      <c r="DA273" s="646">
        <f t="shared" si="832"/>
        <v>0</v>
      </c>
      <c r="DB273" s="647">
        <f t="shared" si="774"/>
        <v>109030.49684614137</v>
      </c>
      <c r="DC273" s="644">
        <f t="shared" si="833"/>
        <v>0</v>
      </c>
      <c r="DD273" s="645">
        <f t="shared" si="834"/>
        <v>0</v>
      </c>
      <c r="DE273" s="646">
        <f t="shared" si="835"/>
        <v>0</v>
      </c>
      <c r="DF273" s="647">
        <f t="shared" si="775"/>
        <v>109030.49684614137</v>
      </c>
      <c r="DG273" s="644">
        <f t="shared" si="836"/>
        <v>0</v>
      </c>
      <c r="DH273" s="645">
        <f t="shared" si="837"/>
        <v>0</v>
      </c>
      <c r="DI273" s="646">
        <f t="shared" si="838"/>
        <v>0</v>
      </c>
      <c r="DJ273" s="647">
        <f t="shared" si="776"/>
        <v>109030.49684614137</v>
      </c>
      <c r="DK273" s="644">
        <f t="shared" si="839"/>
        <v>0</v>
      </c>
      <c r="DL273" s="645">
        <f t="shared" si="840"/>
        <v>0</v>
      </c>
      <c r="DM273" s="646">
        <f t="shared" si="841"/>
        <v>0</v>
      </c>
      <c r="DN273" s="647">
        <f t="shared" si="777"/>
        <v>109030.49684614137</v>
      </c>
      <c r="DR273" s="827">
        <f t="shared" si="731"/>
        <v>480852.28216646553</v>
      </c>
      <c r="DV273" s="828">
        <f>IFERROR(VLOOKUP($B273,'Afton FY16 Final'!$A$5:$BV$587,'Afton FY16 Final'!$BV$587,0),0)</f>
        <v>487213.93317901494</v>
      </c>
      <c r="DX273" s="636">
        <f t="shared" si="719"/>
        <v>0</v>
      </c>
      <c r="DY273" s="637">
        <f t="shared" si="720"/>
        <v>0</v>
      </c>
      <c r="DZ273" s="637">
        <f t="shared" si="721"/>
        <v>0</v>
      </c>
      <c r="EA273" s="643">
        <f t="shared" si="722"/>
        <v>0</v>
      </c>
      <c r="EB273" s="637">
        <f t="shared" si="732"/>
        <v>0</v>
      </c>
      <c r="EC273" s="637">
        <f t="shared" si="733"/>
        <v>0</v>
      </c>
      <c r="ED273" s="637">
        <f t="shared" si="734"/>
        <v>0</v>
      </c>
      <c r="EE273" s="643">
        <f t="shared" si="735"/>
        <v>0</v>
      </c>
      <c r="EF273" s="637">
        <f t="shared" si="736"/>
        <v>0</v>
      </c>
      <c r="EG273" s="637">
        <f t="shared" si="737"/>
        <v>0</v>
      </c>
      <c r="EH273" s="637">
        <f t="shared" si="738"/>
        <v>0</v>
      </c>
      <c r="EI273" s="643">
        <f t="shared" si="739"/>
        <v>0</v>
      </c>
      <c r="EJ273" s="637">
        <f t="shared" si="740"/>
        <v>0</v>
      </c>
      <c r="EK273" s="637">
        <f t="shared" si="741"/>
        <v>0</v>
      </c>
      <c r="EL273" s="637">
        <f t="shared" si="742"/>
        <v>0</v>
      </c>
      <c r="EM273" s="643">
        <f t="shared" si="743"/>
        <v>0</v>
      </c>
      <c r="EN273" s="637">
        <f t="shared" si="744"/>
        <v>0</v>
      </c>
      <c r="EO273" s="637">
        <f t="shared" si="745"/>
        <v>0</v>
      </c>
      <c r="EP273" s="637">
        <f t="shared" si="746"/>
        <v>0</v>
      </c>
      <c r="EQ273" s="643">
        <f t="shared" si="747"/>
        <v>0</v>
      </c>
      <c r="ER273" s="637">
        <f t="shared" si="748"/>
        <v>0</v>
      </c>
      <c r="ES273" s="637">
        <f t="shared" si="749"/>
        <v>0</v>
      </c>
      <c r="ET273" s="637">
        <f t="shared" si="750"/>
        <v>0</v>
      </c>
      <c r="EU273" s="643">
        <f t="shared" si="723"/>
        <v>0</v>
      </c>
      <c r="EV273" s="643">
        <f t="shared" si="724"/>
        <v>0</v>
      </c>
      <c r="EX273" s="829">
        <f t="shared" si="725"/>
        <v>0</v>
      </c>
      <c r="EY273" s="638">
        <f t="shared" si="726"/>
        <v>480852.28216646553</v>
      </c>
      <c r="FC273" s="830" t="str">
        <f t="shared" si="751"/>
        <v>Y</v>
      </c>
      <c r="FE273" s="830" t="str">
        <f>IFERROR(VLOOKUP($B273,'Historical Conc Grant Elig'!$B$3:$J$707,'HH &amp; SI'!FE$2,0),"N")</f>
        <v>Y</v>
      </c>
      <c r="FF273" s="830" t="str">
        <f>IFERROR(VLOOKUP($B273,'Historical Conc Grant Elig'!$B$3:$J$707,'HH &amp; SI'!FF$2,0),"N")</f>
        <v>Y</v>
      </c>
      <c r="FG273" s="830" t="str">
        <f>IFERROR(VLOOKUP($B273,'Historical Conc Grant Elig'!$B$3:$J$707,'HH &amp; SI'!FG$2,0),"N")</f>
        <v>Y</v>
      </c>
      <c r="FH273" s="830" t="str">
        <f>IFERROR(VLOOKUP($B273,'Historical Conc Grant Elig'!$B$3:$J$707,'HH &amp; SI'!FH$2,0),"N")</f>
        <v>Y</v>
      </c>
      <c r="FI273" s="830" t="str">
        <f>IFERROR(VLOOKUP($B273,'Historical Conc Grant Elig'!$B$3:$J$707,'HH &amp; SI'!FI$2,0),"N")</f>
        <v>Y</v>
      </c>
      <c r="FJ273" s="830" t="str">
        <f>IFERROR(VLOOKUP($B273,'Historical Conc Grant Elig'!$B$3:$J$707,'HH &amp; SI'!FJ$2,0),"N")</f>
        <v>Y</v>
      </c>
      <c r="FK273" s="830" t="str">
        <f>IFERROR(VLOOKUP($B273,'Historical Conc Grant Elig'!$B$3:$J$707,'HH &amp; SI'!FK$2,0),"N")</f>
        <v>Y</v>
      </c>
      <c r="FL273" s="957" t="str">
        <f>IFERROR(VLOOKUP($B273,'Historical Conc Grant Elig'!$B$3:$J$707,'HH &amp; SI'!FL$2,0),"N")</f>
        <v>Y</v>
      </c>
    </row>
    <row r="274" spans="2:168" x14ac:dyDescent="0.25">
      <c r="B274" s="634">
        <v>78917000</v>
      </c>
      <c r="C274" s="635" t="str">
        <f>VLOOKUP($B274,'Afton Update'!$A$5:$CR$582,'Afton Update'!D$589,0)</f>
        <v>Edkey  Inc. - Sequoia Village School</v>
      </c>
      <c r="D274" s="636">
        <f>IFERROR(VLOOKUP($B274,'Afton FY16 Final'!$A$5:$BV$587,'Afton FY16 Final'!AQ$587,0),0)</f>
        <v>49490.614345572678</v>
      </c>
      <c r="E274" s="637">
        <f>IFERROR(VLOOKUP($B274,'Afton FY16 Final'!$A$5:$BV$587,'Afton FY16 Final'!AR$587,0),0)</f>
        <v>12058.893166743708</v>
      </c>
      <c r="F274" s="637">
        <f>IFERROR(VLOOKUP($B274,'Afton FY16 Final'!$A$5:$BV$587,'Afton FY16 Final'!AS$587,0),0)</f>
        <v>28381.710575081699</v>
      </c>
      <c r="G274" s="637">
        <f>IFERROR(VLOOKUP($B274,'Afton FY16 Final'!$A$5:$BV$587,'Afton FY16 Final'!AT$587,0),0)</f>
        <v>30338.671466028176</v>
      </c>
      <c r="H274" s="638">
        <f>IFERROR(VLOOKUP($B274,'Afton FY16 Final'!$A$5:$BV$587,'Afton FY16 Final'!AU$587,0),0)</f>
        <v>120269.88955342626</v>
      </c>
      <c r="I274" s="639" t="str">
        <f>VLOOKUP($B274,'Afton Update'!$A$5:$CR$582,'Afton Update'!BT$589,0)</f>
        <v>Y</v>
      </c>
      <c r="J274" s="640" t="str">
        <f>VLOOKUP($B274,'Afton Update'!$A$5:$CR$582,'Afton Update'!BU$589,0)</f>
        <v>Y</v>
      </c>
      <c r="K274" s="640" t="str">
        <f>VLOOKUP($B274,'Afton Update'!$A$5:$CR$582,'Afton Update'!BV$589,0)</f>
        <v>Y</v>
      </c>
      <c r="L274" s="641" t="str">
        <f>VLOOKUP($B274,'Afton Update'!$A$5:$CR$582,'Afton Update'!BW$589,0)</f>
        <v>Y</v>
      </c>
      <c r="N274" s="642">
        <f>VLOOKUP($B274,'Afton Update'!$A$5:$CR$582,'Afton Update'!CB$589,0)</f>
        <v>0.9</v>
      </c>
      <c r="P274" s="636">
        <f>VLOOKUP($B274,'Afton Update'!$A$5:$CR$582,'Afton Update'!AH$589,0)</f>
        <v>63379.953787219682</v>
      </c>
      <c r="Q274" s="637">
        <f>VLOOKUP($B274,'Afton Update'!$A$5:$CR$582,'Afton Update'!AI$589,0)</f>
        <v>15237.693902790883</v>
      </c>
      <c r="R274" s="637">
        <f>VLOOKUP($B274,'Afton Update'!$A$5:$CR$582,'Afton Update'!AJ$589,0)</f>
        <v>37119.218458128926</v>
      </c>
      <c r="S274" s="637">
        <f>VLOOKUP($B274,'Afton Update'!$A$5:$CR$582,'Afton Update'!AK$589,0)</f>
        <v>34553.116422238752</v>
      </c>
      <c r="T274" s="643">
        <f t="shared" si="752"/>
        <v>150289.98257037826</v>
      </c>
      <c r="V274" s="636">
        <f t="shared" si="778"/>
        <v>62515.410079936999</v>
      </c>
      <c r="W274" s="637">
        <f t="shared" si="779"/>
        <v>14735.819976093408</v>
      </c>
      <c r="X274" s="637">
        <f t="shared" si="780"/>
        <v>36781.63365890312</v>
      </c>
      <c r="Y274" s="637">
        <f t="shared" si="781"/>
        <v>34172.403278052443</v>
      </c>
      <c r="Z274" s="643">
        <f t="shared" si="782"/>
        <v>148205.26699298597</v>
      </c>
      <c r="AB274" s="644">
        <f t="shared" si="753"/>
        <v>63379.953787219682</v>
      </c>
      <c r="AC274" s="645">
        <f t="shared" si="727"/>
        <v>44541.552911015409</v>
      </c>
      <c r="AD274" s="644">
        <f t="shared" si="783"/>
        <v>0</v>
      </c>
      <c r="AE274" s="645">
        <f t="shared" si="784"/>
        <v>63379.953787219682</v>
      </c>
      <c r="AF274" s="646">
        <f t="shared" si="785"/>
        <v>-785.64215596000463</v>
      </c>
      <c r="AG274" s="647">
        <f t="shared" si="786"/>
        <v>62594.311631259676</v>
      </c>
      <c r="AH274" s="644">
        <f t="shared" si="754"/>
        <v>0</v>
      </c>
      <c r="AI274" s="645">
        <f t="shared" si="755"/>
        <v>62594.311631259676</v>
      </c>
      <c r="AJ274" s="646">
        <f t="shared" si="787"/>
        <v>-78.851283386667802</v>
      </c>
      <c r="AK274" s="647">
        <f t="shared" si="756"/>
        <v>62515.460347873006</v>
      </c>
      <c r="AL274" s="644">
        <f t="shared" si="788"/>
        <v>0</v>
      </c>
      <c r="AM274" s="645">
        <f t="shared" si="789"/>
        <v>62515.460347873006</v>
      </c>
      <c r="AN274" s="646">
        <f t="shared" si="790"/>
        <v>-5.0267936007312587E-2</v>
      </c>
      <c r="AO274" s="647">
        <f t="shared" si="757"/>
        <v>62515.410079936999</v>
      </c>
      <c r="AP274" s="644">
        <f t="shared" si="791"/>
        <v>0</v>
      </c>
      <c r="AQ274" s="645">
        <f t="shared" si="792"/>
        <v>62515.410079936999</v>
      </c>
      <c r="AR274" s="646">
        <f t="shared" si="793"/>
        <v>0</v>
      </c>
      <c r="AS274" s="647">
        <f t="shared" si="758"/>
        <v>62515.410079936999</v>
      </c>
      <c r="AT274" s="644">
        <f t="shared" si="794"/>
        <v>0</v>
      </c>
      <c r="AU274" s="645">
        <f t="shared" si="795"/>
        <v>62515.410079936999</v>
      </c>
      <c r="AV274" s="646">
        <f t="shared" si="796"/>
        <v>0</v>
      </c>
      <c r="AW274" s="647">
        <f t="shared" si="759"/>
        <v>62515.410079936999</v>
      </c>
      <c r="AY274" s="644">
        <f t="shared" si="797"/>
        <v>15237.693902790883</v>
      </c>
      <c r="AZ274" s="645">
        <f t="shared" si="728"/>
        <v>10853.003850069337</v>
      </c>
      <c r="BA274" s="644">
        <f t="shared" si="798"/>
        <v>0</v>
      </c>
      <c r="BB274" s="645">
        <f t="shared" si="799"/>
        <v>15237.693902790883</v>
      </c>
      <c r="BC274" s="646">
        <f t="shared" si="800"/>
        <v>-109.57869758287292</v>
      </c>
      <c r="BD274" s="647">
        <f t="shared" si="801"/>
        <v>15128.115205208011</v>
      </c>
      <c r="BE274" s="644">
        <f t="shared" si="760"/>
        <v>0</v>
      </c>
      <c r="BF274" s="645">
        <f t="shared" si="761"/>
        <v>15128.115205208011</v>
      </c>
      <c r="BG274" s="646">
        <f t="shared" si="802"/>
        <v>-360.3393756635918</v>
      </c>
      <c r="BH274" s="647">
        <f t="shared" si="762"/>
        <v>14767.775829544418</v>
      </c>
      <c r="BI274" s="644">
        <f t="shared" si="803"/>
        <v>0</v>
      </c>
      <c r="BJ274" s="645">
        <f t="shared" si="804"/>
        <v>14767.775829544418</v>
      </c>
      <c r="BK274" s="646">
        <f t="shared" si="805"/>
        <v>-31.281617744153927</v>
      </c>
      <c r="BL274" s="647">
        <f t="shared" si="763"/>
        <v>14736.494211800264</v>
      </c>
      <c r="BM274" s="644">
        <f t="shared" si="806"/>
        <v>0</v>
      </c>
      <c r="BN274" s="645">
        <f t="shared" si="807"/>
        <v>14736.494211800264</v>
      </c>
      <c r="BO274" s="646">
        <f t="shared" si="808"/>
        <v>-0.67423570685644618</v>
      </c>
      <c r="BP274" s="647">
        <f t="shared" si="764"/>
        <v>14735.819976093408</v>
      </c>
      <c r="BQ274" s="644">
        <f t="shared" si="809"/>
        <v>0</v>
      </c>
      <c r="BR274" s="645">
        <f t="shared" si="810"/>
        <v>14735.819976093408</v>
      </c>
      <c r="BS274" s="646">
        <f t="shared" si="811"/>
        <v>0</v>
      </c>
      <c r="BT274" s="647">
        <f t="shared" si="765"/>
        <v>14735.819976093408</v>
      </c>
      <c r="BU274" s="662">
        <f>VLOOKUP(B274,'Afton Update'!$A$5:$AR$582,'Afton Update'!$AO$589,0)-BT274</f>
        <v>0</v>
      </c>
      <c r="BV274" s="644">
        <f t="shared" si="812"/>
        <v>37119.218458128926</v>
      </c>
      <c r="BW274" s="645">
        <f t="shared" si="729"/>
        <v>25543.539517573528</v>
      </c>
      <c r="BX274" s="644">
        <f t="shared" si="813"/>
        <v>0</v>
      </c>
      <c r="BY274" s="645">
        <f t="shared" si="814"/>
        <v>37119.218458128926</v>
      </c>
      <c r="BZ274" s="646">
        <f t="shared" si="815"/>
        <v>-325.79932687821582</v>
      </c>
      <c r="CA274" s="647">
        <f t="shared" si="816"/>
        <v>36793.41913125071</v>
      </c>
      <c r="CB274" s="644">
        <f t="shared" si="766"/>
        <v>0</v>
      </c>
      <c r="CC274" s="645">
        <f t="shared" si="767"/>
        <v>36793.41913125071</v>
      </c>
      <c r="CD274" s="646">
        <f t="shared" si="817"/>
        <v>-11.785472347592716</v>
      </c>
      <c r="CE274" s="647">
        <f t="shared" si="768"/>
        <v>36781.63365890312</v>
      </c>
      <c r="CF274" s="644">
        <f t="shared" si="818"/>
        <v>0</v>
      </c>
      <c r="CG274" s="645">
        <f t="shared" si="819"/>
        <v>36781.63365890312</v>
      </c>
      <c r="CH274" s="646">
        <f t="shared" si="820"/>
        <v>0</v>
      </c>
      <c r="CI274" s="647">
        <f t="shared" si="769"/>
        <v>36781.63365890312</v>
      </c>
      <c r="CJ274" s="644">
        <f t="shared" si="821"/>
        <v>0</v>
      </c>
      <c r="CK274" s="645">
        <f t="shared" si="822"/>
        <v>36781.63365890312</v>
      </c>
      <c r="CL274" s="646">
        <f t="shared" si="823"/>
        <v>0</v>
      </c>
      <c r="CM274" s="647">
        <f t="shared" si="770"/>
        <v>36781.63365890312</v>
      </c>
      <c r="CN274" s="644">
        <f t="shared" si="824"/>
        <v>0</v>
      </c>
      <c r="CO274" s="645">
        <f t="shared" si="825"/>
        <v>36781.63365890312</v>
      </c>
      <c r="CP274" s="646">
        <f t="shared" si="826"/>
        <v>0</v>
      </c>
      <c r="CQ274" s="647">
        <f t="shared" si="771"/>
        <v>36781.63365890312</v>
      </c>
      <c r="CS274" s="644">
        <f t="shared" si="827"/>
        <v>34553.116422238752</v>
      </c>
      <c r="CT274" s="645">
        <f t="shared" si="730"/>
        <v>27304.804319425359</v>
      </c>
      <c r="CU274" s="644">
        <f t="shared" si="828"/>
        <v>0</v>
      </c>
      <c r="CV274" s="645">
        <f t="shared" si="829"/>
        <v>34553.116422238752</v>
      </c>
      <c r="CW274" s="646">
        <f t="shared" si="830"/>
        <v>-353.8434388891439</v>
      </c>
      <c r="CX274" s="647">
        <f t="shared" si="831"/>
        <v>34199.272983349605</v>
      </c>
      <c r="CY274" s="644">
        <f t="shared" si="772"/>
        <v>0</v>
      </c>
      <c r="CZ274" s="645">
        <f t="shared" si="773"/>
        <v>34199.272983349605</v>
      </c>
      <c r="DA274" s="646">
        <f t="shared" si="832"/>
        <v>-26.846553488581673</v>
      </c>
      <c r="DB274" s="647">
        <f t="shared" si="774"/>
        <v>34172.426429861021</v>
      </c>
      <c r="DC274" s="644">
        <f t="shared" si="833"/>
        <v>0</v>
      </c>
      <c r="DD274" s="645">
        <f t="shared" si="834"/>
        <v>34172.426429861021</v>
      </c>
      <c r="DE274" s="646">
        <f t="shared" si="835"/>
        <v>-2.315180858202158E-2</v>
      </c>
      <c r="DF274" s="647">
        <f t="shared" si="775"/>
        <v>34172.403278052443</v>
      </c>
      <c r="DG274" s="644">
        <f t="shared" si="836"/>
        <v>0</v>
      </c>
      <c r="DH274" s="645">
        <f t="shared" si="837"/>
        <v>34172.403278052443</v>
      </c>
      <c r="DI274" s="646">
        <f t="shared" si="838"/>
        <v>0</v>
      </c>
      <c r="DJ274" s="647">
        <f t="shared" si="776"/>
        <v>34172.403278052443</v>
      </c>
      <c r="DK274" s="644">
        <f t="shared" si="839"/>
        <v>0</v>
      </c>
      <c r="DL274" s="645">
        <f t="shared" si="840"/>
        <v>34172.403278052443</v>
      </c>
      <c r="DM274" s="646">
        <f t="shared" si="841"/>
        <v>0</v>
      </c>
      <c r="DN274" s="647">
        <f t="shared" si="777"/>
        <v>34172.403278052443</v>
      </c>
      <c r="DR274" s="827">
        <f t="shared" si="731"/>
        <v>148205.26699298597</v>
      </c>
      <c r="DV274" s="828">
        <f>IFERROR(VLOOKUP($B274,'Afton FY16 Final'!$A$5:$BV$587,'Afton FY16 Final'!$BV$587,0),0)</f>
        <v>116013.29927778448</v>
      </c>
      <c r="DX274" s="636">
        <f t="shared" si="719"/>
        <v>148205.26699298597</v>
      </c>
      <c r="DY274" s="637">
        <f t="shared" si="720"/>
        <v>32191.967715201492</v>
      </c>
      <c r="DZ274" s="637">
        <f t="shared" si="721"/>
        <v>116013.29927778448</v>
      </c>
      <c r="EA274" s="643">
        <f t="shared" si="722"/>
        <v>140322.40778480971</v>
      </c>
      <c r="EB274" s="637">
        <f t="shared" si="732"/>
        <v>0</v>
      </c>
      <c r="EC274" s="637">
        <f t="shared" si="733"/>
        <v>140322.40778480971</v>
      </c>
      <c r="ED274" s="637">
        <f t="shared" si="734"/>
        <v>139903.9747431273</v>
      </c>
      <c r="EE274" s="643">
        <f t="shared" si="735"/>
        <v>139903.9747431273</v>
      </c>
      <c r="EF274" s="637">
        <f t="shared" si="736"/>
        <v>0</v>
      </c>
      <c r="EG274" s="637">
        <f t="shared" si="737"/>
        <v>139903.9747431273</v>
      </c>
      <c r="EH274" s="637">
        <f t="shared" si="738"/>
        <v>139903.83040965741</v>
      </c>
      <c r="EI274" s="643">
        <f t="shared" si="739"/>
        <v>139903.83040965741</v>
      </c>
      <c r="EJ274" s="637">
        <f t="shared" si="740"/>
        <v>0</v>
      </c>
      <c r="EK274" s="637">
        <f t="shared" si="741"/>
        <v>139903.83040965741</v>
      </c>
      <c r="EL274" s="637">
        <f t="shared" si="742"/>
        <v>139903.83040965721</v>
      </c>
      <c r="EM274" s="643">
        <f t="shared" si="743"/>
        <v>139903.83040965721</v>
      </c>
      <c r="EN274" s="637">
        <f t="shared" si="744"/>
        <v>0</v>
      </c>
      <c r="EO274" s="637">
        <f t="shared" si="745"/>
        <v>139903.83040965721</v>
      </c>
      <c r="EP274" s="637">
        <f t="shared" si="746"/>
        <v>139903.83040965741</v>
      </c>
      <c r="EQ274" s="643">
        <f t="shared" si="747"/>
        <v>139903.83040965741</v>
      </c>
      <c r="ER274" s="637">
        <f t="shared" si="748"/>
        <v>0</v>
      </c>
      <c r="ES274" s="637">
        <f t="shared" si="749"/>
        <v>139903.83040965741</v>
      </c>
      <c r="ET274" s="637">
        <f t="shared" si="750"/>
        <v>139903.83040965718</v>
      </c>
      <c r="EU274" s="643">
        <f t="shared" si="723"/>
        <v>139903.83040965718</v>
      </c>
      <c r="EV274" s="643">
        <f t="shared" si="724"/>
        <v>0</v>
      </c>
      <c r="EX274" s="829">
        <f t="shared" si="725"/>
        <v>8301.4365833287884</v>
      </c>
      <c r="EY274" s="638">
        <f t="shared" si="726"/>
        <v>139903.83040965718</v>
      </c>
      <c r="FC274" s="830" t="str">
        <f t="shared" si="751"/>
        <v>Y</v>
      </c>
      <c r="FE274" s="830" t="str">
        <f>IFERROR(VLOOKUP($B274,'Historical Conc Grant Elig'!$B$3:$J$707,'HH &amp; SI'!FE$2,0),"N")</f>
        <v>Y</v>
      </c>
      <c r="FF274" s="830" t="str">
        <f>IFERROR(VLOOKUP($B274,'Historical Conc Grant Elig'!$B$3:$J$707,'HH &amp; SI'!FF$2,0),"N")</f>
        <v>Y</v>
      </c>
      <c r="FG274" s="830" t="str">
        <f>IFERROR(VLOOKUP($B274,'Historical Conc Grant Elig'!$B$3:$J$707,'HH &amp; SI'!FG$2,0),"N")</f>
        <v>Y</v>
      </c>
      <c r="FH274" s="830" t="str">
        <f>IFERROR(VLOOKUP($B274,'Historical Conc Grant Elig'!$B$3:$J$707,'HH &amp; SI'!FH$2,0),"N")</f>
        <v>Y</v>
      </c>
      <c r="FI274" s="830" t="str">
        <f>IFERROR(VLOOKUP($B274,'Historical Conc Grant Elig'!$B$3:$J$707,'HH &amp; SI'!FI$2,0),"N")</f>
        <v>Y</v>
      </c>
      <c r="FJ274" s="830" t="str">
        <f>IFERROR(VLOOKUP($B274,'Historical Conc Grant Elig'!$B$3:$J$707,'HH &amp; SI'!FJ$2,0),"N")</f>
        <v>Y</v>
      </c>
      <c r="FK274" s="830" t="str">
        <f>IFERROR(VLOOKUP($B274,'Historical Conc Grant Elig'!$B$3:$J$707,'HH &amp; SI'!FK$2,0),"N")</f>
        <v>Y</v>
      </c>
      <c r="FL274" s="957" t="str">
        <f>IFERROR(VLOOKUP($B274,'Historical Conc Grant Elig'!$B$3:$J$707,'HH &amp; SI'!FL$2,0),"N")</f>
        <v>Y</v>
      </c>
    </row>
    <row r="275" spans="2:168" x14ac:dyDescent="0.25">
      <c r="B275" s="634">
        <v>78924000</v>
      </c>
      <c r="C275" s="635" t="str">
        <f>VLOOKUP($B275,'Afton Update'!$A$5:$CR$582,'Afton Update'!D$589,0)</f>
        <v>Success School</v>
      </c>
      <c r="D275" s="636">
        <f>IFERROR(VLOOKUP($B275,'Afton FY16 Final'!$A$5:$BV$587,'Afton FY16 Final'!AQ$587,0),0)</f>
        <v>134129.23231261011</v>
      </c>
      <c r="E275" s="637">
        <f>IFERROR(VLOOKUP($B275,'Afton FY16 Final'!$A$5:$BV$587,'Afton FY16 Final'!AR$587,0),0)</f>
        <v>28727.853279536172</v>
      </c>
      <c r="F275" s="637">
        <f>IFERROR(VLOOKUP($B275,'Afton FY16 Final'!$A$5:$BV$587,'Afton FY16 Final'!AS$587,0),0)</f>
        <v>71689.777967725851</v>
      </c>
      <c r="G275" s="637">
        <f>IFERROR(VLOOKUP($B275,'Afton FY16 Final'!$A$5:$BV$587,'Afton FY16 Final'!AT$587,0),0)</f>
        <v>68521.008468406828</v>
      </c>
      <c r="H275" s="638">
        <f>IFERROR(VLOOKUP($B275,'Afton FY16 Final'!$A$5:$BV$587,'Afton FY16 Final'!AU$587,0),0)</f>
        <v>303067.872028279</v>
      </c>
      <c r="I275" s="639" t="str">
        <f>VLOOKUP($B275,'Afton Update'!$A$5:$CR$582,'Afton Update'!BT$589,0)</f>
        <v>Y</v>
      </c>
      <c r="J275" s="640" t="str">
        <f>VLOOKUP($B275,'Afton Update'!$A$5:$CR$582,'Afton Update'!BU$589,0)</f>
        <v>Y</v>
      </c>
      <c r="K275" s="640" t="str">
        <f>VLOOKUP($B275,'Afton Update'!$A$5:$CR$582,'Afton Update'!BV$589,0)</f>
        <v>Y</v>
      </c>
      <c r="L275" s="641" t="str">
        <f>VLOOKUP($B275,'Afton Update'!$A$5:$CR$582,'Afton Update'!BW$589,0)</f>
        <v>Y</v>
      </c>
      <c r="N275" s="642">
        <f>VLOOKUP($B275,'Afton Update'!$A$5:$CR$582,'Afton Update'!CB$589,0)</f>
        <v>0.95</v>
      </c>
      <c r="P275" s="636">
        <f>VLOOKUP($B275,'Afton Update'!$A$5:$CR$582,'Afton Update'!AH$589,0)</f>
        <v>138718.3894210846</v>
      </c>
      <c r="Q275" s="637">
        <f>VLOOKUP($B275,'Afton Update'!$A$5:$CR$582,'Afton Update'!AI$589,0)</f>
        <v>30817.561237837879</v>
      </c>
      <c r="R275" s="637">
        <f>VLOOKUP($B275,'Afton Update'!$A$5:$CR$582,'Afton Update'!AJ$589,0)</f>
        <v>81211.941141397707</v>
      </c>
      <c r="S275" s="637">
        <f>VLOOKUP($B275,'Afton Update'!$A$5:$CR$582,'Afton Update'!AK$589,0)</f>
        <v>75597.649241997628</v>
      </c>
      <c r="T275" s="643">
        <f t="shared" si="752"/>
        <v>326345.54104231781</v>
      </c>
      <c r="V275" s="636">
        <f t="shared" si="778"/>
        <v>136826.18055231497</v>
      </c>
      <c r="W275" s="637">
        <f t="shared" si="779"/>
        <v>29802.543442603077</v>
      </c>
      <c r="X275" s="637">
        <f t="shared" si="780"/>
        <v>80473.350244720219</v>
      </c>
      <c r="Y275" s="637">
        <f t="shared" si="781"/>
        <v>74764.69923007075</v>
      </c>
      <c r="Z275" s="643">
        <f t="shared" si="782"/>
        <v>321866.77346970903</v>
      </c>
      <c r="AB275" s="644">
        <f t="shared" si="753"/>
        <v>138718.3894210846</v>
      </c>
      <c r="AC275" s="645">
        <f t="shared" si="727"/>
        <v>127422.7706969796</v>
      </c>
      <c r="AD275" s="644">
        <f t="shared" si="783"/>
        <v>0</v>
      </c>
      <c r="AE275" s="645">
        <f t="shared" si="784"/>
        <v>138718.3894210846</v>
      </c>
      <c r="AF275" s="646">
        <f t="shared" si="785"/>
        <v>-1719.5186809690672</v>
      </c>
      <c r="AG275" s="647">
        <f t="shared" si="786"/>
        <v>136998.87074011553</v>
      </c>
      <c r="AH275" s="644">
        <f t="shared" si="754"/>
        <v>0</v>
      </c>
      <c r="AI275" s="645">
        <f t="shared" si="755"/>
        <v>136998.87074011553</v>
      </c>
      <c r="AJ275" s="646">
        <f t="shared" si="787"/>
        <v>-172.58016741232956</v>
      </c>
      <c r="AK275" s="647">
        <f t="shared" si="756"/>
        <v>136826.2905727032</v>
      </c>
      <c r="AL275" s="644">
        <f t="shared" si="788"/>
        <v>0</v>
      </c>
      <c r="AM275" s="645">
        <f t="shared" si="789"/>
        <v>136826.2905727032</v>
      </c>
      <c r="AN275" s="646">
        <f t="shared" si="790"/>
        <v>-0.11002038824242003</v>
      </c>
      <c r="AO275" s="647">
        <f t="shared" si="757"/>
        <v>136826.18055231497</v>
      </c>
      <c r="AP275" s="644">
        <f t="shared" si="791"/>
        <v>0</v>
      </c>
      <c r="AQ275" s="645">
        <f t="shared" si="792"/>
        <v>136826.18055231497</v>
      </c>
      <c r="AR275" s="646">
        <f t="shared" si="793"/>
        <v>0</v>
      </c>
      <c r="AS275" s="647">
        <f t="shared" si="758"/>
        <v>136826.18055231497</v>
      </c>
      <c r="AT275" s="644">
        <f t="shared" si="794"/>
        <v>0</v>
      </c>
      <c r="AU275" s="645">
        <f t="shared" si="795"/>
        <v>136826.18055231497</v>
      </c>
      <c r="AV275" s="646">
        <f t="shared" si="796"/>
        <v>0</v>
      </c>
      <c r="AW275" s="647">
        <f t="shared" si="759"/>
        <v>136826.18055231497</v>
      </c>
      <c r="AY275" s="644">
        <f t="shared" si="797"/>
        <v>30817.561237837879</v>
      </c>
      <c r="AZ275" s="645">
        <f t="shared" si="728"/>
        <v>27291.460615559361</v>
      </c>
      <c r="BA275" s="644">
        <f t="shared" si="798"/>
        <v>0</v>
      </c>
      <c r="BB275" s="645">
        <f t="shared" si="799"/>
        <v>30817.561237837879</v>
      </c>
      <c r="BC275" s="646">
        <f t="shared" si="800"/>
        <v>-221.61806403685492</v>
      </c>
      <c r="BD275" s="647">
        <f t="shared" si="801"/>
        <v>30595.943173801024</v>
      </c>
      <c r="BE275" s="644">
        <f t="shared" si="760"/>
        <v>0</v>
      </c>
      <c r="BF275" s="645">
        <f t="shared" si="761"/>
        <v>30595.943173801024</v>
      </c>
      <c r="BG275" s="646">
        <f t="shared" si="802"/>
        <v>-728.77043250508507</v>
      </c>
      <c r="BH275" s="647">
        <f t="shared" si="762"/>
        <v>29867.172741295941</v>
      </c>
      <c r="BI275" s="644">
        <f t="shared" si="803"/>
        <v>0</v>
      </c>
      <c r="BJ275" s="645">
        <f t="shared" si="804"/>
        <v>29867.172741295941</v>
      </c>
      <c r="BK275" s="646">
        <f t="shared" si="805"/>
        <v>-63.265686828932338</v>
      </c>
      <c r="BL275" s="647">
        <f t="shared" si="763"/>
        <v>29803.907054467007</v>
      </c>
      <c r="BM275" s="644">
        <f t="shared" si="806"/>
        <v>0</v>
      </c>
      <c r="BN275" s="645">
        <f t="shared" si="807"/>
        <v>29803.907054467007</v>
      </c>
      <c r="BO275" s="646">
        <f t="shared" si="808"/>
        <v>-1.3636118639303916</v>
      </c>
      <c r="BP275" s="647">
        <f t="shared" si="764"/>
        <v>29802.543442603077</v>
      </c>
      <c r="BQ275" s="644">
        <f t="shared" si="809"/>
        <v>0</v>
      </c>
      <c r="BR275" s="645">
        <f t="shared" si="810"/>
        <v>29802.543442603077</v>
      </c>
      <c r="BS275" s="646">
        <f t="shared" si="811"/>
        <v>0</v>
      </c>
      <c r="BT275" s="647">
        <f t="shared" si="765"/>
        <v>29802.543442603077</v>
      </c>
      <c r="BU275" s="662">
        <f>VLOOKUP(B275,'Afton Update'!$A$5:$AR$582,'Afton Update'!$AO$589,0)-BT275</f>
        <v>0</v>
      </c>
      <c r="BV275" s="644">
        <f t="shared" si="812"/>
        <v>81211.941141397707</v>
      </c>
      <c r="BW275" s="645">
        <f t="shared" si="729"/>
        <v>68105.28906933956</v>
      </c>
      <c r="BX275" s="644">
        <f t="shared" si="813"/>
        <v>0</v>
      </c>
      <c r="BY275" s="645">
        <f t="shared" si="814"/>
        <v>81211.941141397707</v>
      </c>
      <c r="BZ275" s="646">
        <f t="shared" si="815"/>
        <v>-712.8058417551706</v>
      </c>
      <c r="CA275" s="647">
        <f t="shared" si="816"/>
        <v>80499.135299642541</v>
      </c>
      <c r="CB275" s="644">
        <f t="shared" si="766"/>
        <v>0</v>
      </c>
      <c r="CC275" s="645">
        <f t="shared" si="767"/>
        <v>80499.135299642541</v>
      </c>
      <c r="CD275" s="646">
        <f t="shared" si="817"/>
        <v>-25.785054922315183</v>
      </c>
      <c r="CE275" s="647">
        <f t="shared" si="768"/>
        <v>80473.350244720219</v>
      </c>
      <c r="CF275" s="644">
        <f t="shared" si="818"/>
        <v>0</v>
      </c>
      <c r="CG275" s="645">
        <f t="shared" si="819"/>
        <v>80473.350244720219</v>
      </c>
      <c r="CH275" s="646">
        <f t="shared" si="820"/>
        <v>0</v>
      </c>
      <c r="CI275" s="647">
        <f t="shared" si="769"/>
        <v>80473.350244720219</v>
      </c>
      <c r="CJ275" s="644">
        <f t="shared" si="821"/>
        <v>0</v>
      </c>
      <c r="CK275" s="645">
        <f t="shared" si="822"/>
        <v>80473.350244720219</v>
      </c>
      <c r="CL275" s="646">
        <f t="shared" si="823"/>
        <v>0</v>
      </c>
      <c r="CM275" s="647">
        <f t="shared" si="770"/>
        <v>80473.350244720219</v>
      </c>
      <c r="CN275" s="644">
        <f t="shared" si="824"/>
        <v>0</v>
      </c>
      <c r="CO275" s="645">
        <f t="shared" si="825"/>
        <v>80473.350244720219</v>
      </c>
      <c r="CP275" s="646">
        <f t="shared" si="826"/>
        <v>0</v>
      </c>
      <c r="CQ275" s="647">
        <f t="shared" si="771"/>
        <v>80473.350244720219</v>
      </c>
      <c r="CS275" s="644">
        <f t="shared" si="827"/>
        <v>75597.649241997628</v>
      </c>
      <c r="CT275" s="645">
        <f t="shared" si="730"/>
        <v>65094.958044986481</v>
      </c>
      <c r="CU275" s="644">
        <f t="shared" si="828"/>
        <v>0</v>
      </c>
      <c r="CV275" s="645">
        <f t="shared" si="829"/>
        <v>75597.649241997628</v>
      </c>
      <c r="CW275" s="646">
        <f t="shared" si="830"/>
        <v>-774.16265013095347</v>
      </c>
      <c r="CX275" s="647">
        <f t="shared" si="831"/>
        <v>74823.486591866676</v>
      </c>
      <c r="CY275" s="644">
        <f t="shared" si="772"/>
        <v>0</v>
      </c>
      <c r="CZ275" s="645">
        <f t="shared" si="773"/>
        <v>74823.486591866676</v>
      </c>
      <c r="DA275" s="646">
        <f t="shared" si="832"/>
        <v>-58.736708700465996</v>
      </c>
      <c r="DB275" s="647">
        <f t="shared" si="774"/>
        <v>74764.749883166209</v>
      </c>
      <c r="DC275" s="644">
        <f t="shared" si="833"/>
        <v>0</v>
      </c>
      <c r="DD275" s="645">
        <f t="shared" si="834"/>
        <v>74764.749883166209</v>
      </c>
      <c r="DE275" s="646">
        <f t="shared" si="835"/>
        <v>-5.0653095457840566E-2</v>
      </c>
      <c r="DF275" s="647">
        <f t="shared" si="775"/>
        <v>74764.69923007075</v>
      </c>
      <c r="DG275" s="644">
        <f t="shared" si="836"/>
        <v>0</v>
      </c>
      <c r="DH275" s="645">
        <f t="shared" si="837"/>
        <v>74764.69923007075</v>
      </c>
      <c r="DI275" s="646">
        <f t="shared" si="838"/>
        <v>0</v>
      </c>
      <c r="DJ275" s="647">
        <f t="shared" si="776"/>
        <v>74764.69923007075</v>
      </c>
      <c r="DK275" s="644">
        <f t="shared" si="839"/>
        <v>0</v>
      </c>
      <c r="DL275" s="645">
        <f t="shared" si="840"/>
        <v>74764.69923007075</v>
      </c>
      <c r="DM275" s="646">
        <f t="shared" si="841"/>
        <v>0</v>
      </c>
      <c r="DN275" s="647">
        <f t="shared" si="777"/>
        <v>74764.69923007075</v>
      </c>
      <c r="DR275" s="827">
        <f t="shared" si="731"/>
        <v>321866.77346970903</v>
      </c>
      <c r="DV275" s="828">
        <f>IFERROR(VLOOKUP($B275,'Afton FY16 Final'!$A$5:$BV$587,'Afton FY16 Final'!$BV$587,0),0)</f>
        <v>291161.71503258892</v>
      </c>
      <c r="DX275" s="636">
        <f t="shared" si="719"/>
        <v>321866.77346970903</v>
      </c>
      <c r="DY275" s="637">
        <f t="shared" si="720"/>
        <v>30705.058437120111</v>
      </c>
      <c r="DZ275" s="637">
        <f t="shared" si="721"/>
        <v>291161.71503258892</v>
      </c>
      <c r="EA275" s="643">
        <f t="shared" si="722"/>
        <v>304747.06841110438</v>
      </c>
      <c r="EB275" s="637">
        <f t="shared" si="732"/>
        <v>0</v>
      </c>
      <c r="EC275" s="637">
        <f t="shared" si="733"/>
        <v>304747.06841110438</v>
      </c>
      <c r="ED275" s="637">
        <f t="shared" si="734"/>
        <v>303838.33084885695</v>
      </c>
      <c r="EE275" s="643">
        <f t="shared" si="735"/>
        <v>303838.33084885695</v>
      </c>
      <c r="EF275" s="637">
        <f t="shared" si="736"/>
        <v>0</v>
      </c>
      <c r="EG275" s="637">
        <f t="shared" si="737"/>
        <v>303838.33084885695</v>
      </c>
      <c r="EH275" s="637">
        <f t="shared" si="738"/>
        <v>303838.01739071071</v>
      </c>
      <c r="EI275" s="643">
        <f t="shared" si="739"/>
        <v>303838.01739071071</v>
      </c>
      <c r="EJ275" s="637">
        <f t="shared" si="740"/>
        <v>0</v>
      </c>
      <c r="EK275" s="637">
        <f t="shared" si="741"/>
        <v>303838.01739071071</v>
      </c>
      <c r="EL275" s="637">
        <f t="shared" si="742"/>
        <v>303838.0173907103</v>
      </c>
      <c r="EM275" s="643">
        <f t="shared" si="743"/>
        <v>303838.0173907103</v>
      </c>
      <c r="EN275" s="637">
        <f t="shared" si="744"/>
        <v>0</v>
      </c>
      <c r="EO275" s="637">
        <f t="shared" si="745"/>
        <v>303838.0173907103</v>
      </c>
      <c r="EP275" s="637">
        <f t="shared" si="746"/>
        <v>303838.01739071077</v>
      </c>
      <c r="EQ275" s="643">
        <f t="shared" si="747"/>
        <v>303838.01739071077</v>
      </c>
      <c r="ER275" s="637">
        <f t="shared" si="748"/>
        <v>0</v>
      </c>
      <c r="ES275" s="637">
        <f t="shared" si="749"/>
        <v>303838.01739071077</v>
      </c>
      <c r="ET275" s="637">
        <f t="shared" si="750"/>
        <v>303838.0173907103</v>
      </c>
      <c r="EU275" s="643">
        <f t="shared" si="723"/>
        <v>303838.0173907103</v>
      </c>
      <c r="EV275" s="643">
        <f t="shared" si="724"/>
        <v>0</v>
      </c>
      <c r="EX275" s="829">
        <f t="shared" si="725"/>
        <v>18028.756078998733</v>
      </c>
      <c r="EY275" s="638">
        <f t="shared" si="726"/>
        <v>303838.0173907103</v>
      </c>
      <c r="FC275" s="830" t="str">
        <f t="shared" si="751"/>
        <v>Y</v>
      </c>
      <c r="FE275" s="830" t="str">
        <f>IFERROR(VLOOKUP($B275,'Historical Conc Grant Elig'!$B$3:$J$707,'HH &amp; SI'!FE$2,0),"N")</f>
        <v>Y</v>
      </c>
      <c r="FF275" s="830" t="str">
        <f>IFERROR(VLOOKUP($B275,'Historical Conc Grant Elig'!$B$3:$J$707,'HH &amp; SI'!FF$2,0),"N")</f>
        <v>Y</v>
      </c>
      <c r="FG275" s="830" t="str">
        <f>IFERROR(VLOOKUP($B275,'Historical Conc Grant Elig'!$B$3:$J$707,'HH &amp; SI'!FG$2,0),"N")</f>
        <v>Y</v>
      </c>
      <c r="FH275" s="830" t="str">
        <f>IFERROR(VLOOKUP($B275,'Historical Conc Grant Elig'!$B$3:$J$707,'HH &amp; SI'!FH$2,0),"N")</f>
        <v>Y</v>
      </c>
      <c r="FI275" s="830" t="str">
        <f>IFERROR(VLOOKUP($B275,'Historical Conc Grant Elig'!$B$3:$J$707,'HH &amp; SI'!FI$2,0),"N")</f>
        <v>Y</v>
      </c>
      <c r="FJ275" s="830" t="str">
        <f>IFERROR(VLOOKUP($B275,'Historical Conc Grant Elig'!$B$3:$J$707,'HH &amp; SI'!FJ$2,0),"N")</f>
        <v>Y</v>
      </c>
      <c r="FK275" s="830" t="str">
        <f>IFERROR(VLOOKUP($B275,'Historical Conc Grant Elig'!$B$3:$J$707,'HH &amp; SI'!FK$2,0),"N")</f>
        <v>Y</v>
      </c>
      <c r="FL275" s="957" t="str">
        <f>IFERROR(VLOOKUP($B275,'Historical Conc Grant Elig'!$B$3:$J$707,'HH &amp; SI'!FL$2,0),"N")</f>
        <v>Y</v>
      </c>
    </row>
    <row r="276" spans="2:168" x14ac:dyDescent="0.25">
      <c r="B276" s="634">
        <v>78928000</v>
      </c>
      <c r="C276" s="635" t="str">
        <f>VLOOKUP($B276,'Afton Update'!$A$5:$CR$582,'Afton Update'!D$589,0)</f>
        <v>James Sandoval Preparatory High School</v>
      </c>
      <c r="D276" s="636">
        <f>IFERROR(VLOOKUP($B276,'Afton FY16 Final'!$A$5:$BV$587,'Afton FY16 Final'!AQ$587,0),0)</f>
        <v>19151.417198668165</v>
      </c>
      <c r="E276" s="637">
        <f>IFERROR(VLOOKUP($B276,'Afton FY16 Final'!$A$5:$BV$587,'Afton FY16 Final'!AR$587,0),0)</f>
        <v>4622.5317132784476</v>
      </c>
      <c r="F276" s="637">
        <f>IFERROR(VLOOKUP($B276,'Afton FY16 Final'!$A$5:$BV$587,'Afton FY16 Final'!AS$587,0),0)</f>
        <v>10154.361212274516</v>
      </c>
      <c r="G276" s="637">
        <f>IFERROR(VLOOKUP($B276,'Afton FY16 Final'!$A$5:$BV$587,'Afton FY16 Final'!AT$587,0),0)</f>
        <v>9783.6571299645129</v>
      </c>
      <c r="H276" s="638">
        <f>IFERROR(VLOOKUP($B276,'Afton FY16 Final'!$A$5:$BV$587,'Afton FY16 Final'!AU$587,0),0)</f>
        <v>43711.967254185642</v>
      </c>
      <c r="I276" s="639" t="str">
        <f>VLOOKUP($B276,'Afton Update'!$A$5:$CR$582,'Afton Update'!BT$589,0)</f>
        <v>Y</v>
      </c>
      <c r="J276" s="640" t="str">
        <f>VLOOKUP($B276,'Afton Update'!$A$5:$CR$582,'Afton Update'!BU$589,0)</f>
        <v>Y</v>
      </c>
      <c r="K276" s="640" t="str">
        <f>VLOOKUP($B276,'Afton Update'!$A$5:$CR$582,'Afton Update'!BV$589,0)</f>
        <v>Y</v>
      </c>
      <c r="L276" s="641" t="str">
        <f>VLOOKUP($B276,'Afton Update'!$A$5:$CR$582,'Afton Update'!BW$589,0)</f>
        <v>Y</v>
      </c>
      <c r="N276" s="642">
        <f>VLOOKUP($B276,'Afton Update'!$A$5:$CR$582,'Afton Update'!CB$589,0)</f>
        <v>0.95</v>
      </c>
      <c r="P276" s="636">
        <f>VLOOKUP($B276,'Afton Update'!$A$5:$CR$582,'Afton Update'!AH$589,0)</f>
        <v>15546.026400638792</v>
      </c>
      <c r="Q276" s="637">
        <f>VLOOKUP($B276,'Afton Update'!$A$5:$CR$582,'Afton Update'!AI$589,0)</f>
        <v>5345.714642443585</v>
      </c>
      <c r="R276" s="637">
        <f>VLOOKUP($B276,'Afton Update'!$A$5:$CR$582,'Afton Update'!AJ$589,0)</f>
        <v>9123.8389766884229</v>
      </c>
      <c r="S276" s="637">
        <f>VLOOKUP($B276,'Afton Update'!$A$5:$CR$582,'Afton Update'!AK$589,0)</f>
        <v>8493.0955842966014</v>
      </c>
      <c r="T276" s="643">
        <f t="shared" si="752"/>
        <v>38508.675604067401</v>
      </c>
      <c r="V276" s="636">
        <f t="shared" si="778"/>
        <v>18193.846338734755</v>
      </c>
      <c r="W276" s="637">
        <f t="shared" si="779"/>
        <v>5169.6463465634615</v>
      </c>
      <c r="X276" s="637">
        <f t="shared" si="780"/>
        <v>9646.64315166079</v>
      </c>
      <c r="Y276" s="637">
        <f t="shared" si="781"/>
        <v>9294.4742734662868</v>
      </c>
      <c r="Z276" s="643">
        <f t="shared" si="782"/>
        <v>42304.610110425296</v>
      </c>
      <c r="AB276" s="644">
        <f t="shared" si="753"/>
        <v>15546.026400638792</v>
      </c>
      <c r="AC276" s="645">
        <f t="shared" si="727"/>
        <v>18193.846338734755</v>
      </c>
      <c r="AD276" s="644">
        <f t="shared" si="783"/>
        <v>2647.8199380959632</v>
      </c>
      <c r="AE276" s="645">
        <f t="shared" si="784"/>
        <v>0</v>
      </c>
      <c r="AF276" s="646">
        <f t="shared" si="785"/>
        <v>0</v>
      </c>
      <c r="AG276" s="647">
        <f t="shared" si="786"/>
        <v>18193.846338734755</v>
      </c>
      <c r="AH276" s="644">
        <f t="shared" si="754"/>
        <v>0</v>
      </c>
      <c r="AI276" s="645">
        <f t="shared" si="755"/>
        <v>0</v>
      </c>
      <c r="AJ276" s="646">
        <f t="shared" si="787"/>
        <v>0</v>
      </c>
      <c r="AK276" s="647">
        <f t="shared" si="756"/>
        <v>18193.846338734755</v>
      </c>
      <c r="AL276" s="644">
        <f t="shared" si="788"/>
        <v>0</v>
      </c>
      <c r="AM276" s="645">
        <f t="shared" si="789"/>
        <v>0</v>
      </c>
      <c r="AN276" s="646">
        <f t="shared" si="790"/>
        <v>0</v>
      </c>
      <c r="AO276" s="647">
        <f t="shared" si="757"/>
        <v>18193.846338734755</v>
      </c>
      <c r="AP276" s="644">
        <f t="shared" si="791"/>
        <v>0</v>
      </c>
      <c r="AQ276" s="645">
        <f t="shared" si="792"/>
        <v>0</v>
      </c>
      <c r="AR276" s="646">
        <f t="shared" si="793"/>
        <v>0</v>
      </c>
      <c r="AS276" s="647">
        <f t="shared" si="758"/>
        <v>18193.846338734755</v>
      </c>
      <c r="AT276" s="644">
        <f t="shared" si="794"/>
        <v>0</v>
      </c>
      <c r="AU276" s="645">
        <f t="shared" si="795"/>
        <v>0</v>
      </c>
      <c r="AV276" s="646">
        <f t="shared" si="796"/>
        <v>0</v>
      </c>
      <c r="AW276" s="647">
        <f t="shared" si="759"/>
        <v>18193.846338734755</v>
      </c>
      <c r="AY276" s="644">
        <f t="shared" si="797"/>
        <v>5345.714642443585</v>
      </c>
      <c r="AZ276" s="645">
        <f t="shared" si="728"/>
        <v>4391.4051276145246</v>
      </c>
      <c r="BA276" s="644">
        <f t="shared" si="798"/>
        <v>0</v>
      </c>
      <c r="BB276" s="645">
        <f t="shared" si="799"/>
        <v>5345.714642443585</v>
      </c>
      <c r="BC276" s="646">
        <f t="shared" si="800"/>
        <v>-38.442591897804988</v>
      </c>
      <c r="BD276" s="647">
        <f t="shared" si="801"/>
        <v>5307.2720505457801</v>
      </c>
      <c r="BE276" s="644">
        <f t="shared" si="760"/>
        <v>0</v>
      </c>
      <c r="BF276" s="645">
        <f t="shared" si="761"/>
        <v>5307.2720505457801</v>
      </c>
      <c r="BG276" s="646">
        <f t="shared" si="802"/>
        <v>-126.41489512931041</v>
      </c>
      <c r="BH276" s="647">
        <f t="shared" si="762"/>
        <v>5180.8571554164701</v>
      </c>
      <c r="BI276" s="644">
        <f t="shared" si="803"/>
        <v>0</v>
      </c>
      <c r="BJ276" s="645">
        <f t="shared" si="804"/>
        <v>5180.8571554164701</v>
      </c>
      <c r="BK276" s="646">
        <f t="shared" si="805"/>
        <v>-10.974272293500976</v>
      </c>
      <c r="BL276" s="647">
        <f t="shared" si="763"/>
        <v>5169.8828831229694</v>
      </c>
      <c r="BM276" s="644">
        <f t="shared" si="806"/>
        <v>0</v>
      </c>
      <c r="BN276" s="645">
        <f t="shared" si="807"/>
        <v>5169.8828831229694</v>
      </c>
      <c r="BO276" s="646">
        <f t="shared" si="808"/>
        <v>-0.23653655950790953</v>
      </c>
      <c r="BP276" s="647">
        <f t="shared" si="764"/>
        <v>5169.6463465634615</v>
      </c>
      <c r="BQ276" s="644">
        <f t="shared" si="809"/>
        <v>0</v>
      </c>
      <c r="BR276" s="645">
        <f t="shared" si="810"/>
        <v>5169.6463465634615</v>
      </c>
      <c r="BS276" s="646">
        <f t="shared" si="811"/>
        <v>0</v>
      </c>
      <c r="BT276" s="647">
        <f t="shared" si="765"/>
        <v>5169.6463465634615</v>
      </c>
      <c r="BU276" s="662">
        <f>VLOOKUP(B276,'Afton Update'!$A$5:$AR$582,'Afton Update'!$AO$589,0)-BT276</f>
        <v>0</v>
      </c>
      <c r="BV276" s="644">
        <f t="shared" si="812"/>
        <v>9123.8389766884229</v>
      </c>
      <c r="BW276" s="645">
        <f t="shared" si="729"/>
        <v>9646.64315166079</v>
      </c>
      <c r="BX276" s="644">
        <f t="shared" si="813"/>
        <v>522.80417497236704</v>
      </c>
      <c r="BY276" s="645">
        <f t="shared" si="814"/>
        <v>0</v>
      </c>
      <c r="BZ276" s="646">
        <f t="shared" si="815"/>
        <v>0</v>
      </c>
      <c r="CA276" s="647">
        <f t="shared" si="816"/>
        <v>9646.64315166079</v>
      </c>
      <c r="CB276" s="644">
        <f t="shared" si="766"/>
        <v>0</v>
      </c>
      <c r="CC276" s="645">
        <f t="shared" si="767"/>
        <v>0</v>
      </c>
      <c r="CD276" s="646">
        <f t="shared" si="817"/>
        <v>0</v>
      </c>
      <c r="CE276" s="647">
        <f t="shared" si="768"/>
        <v>9646.64315166079</v>
      </c>
      <c r="CF276" s="644">
        <f t="shared" si="818"/>
        <v>0</v>
      </c>
      <c r="CG276" s="645">
        <f t="shared" si="819"/>
        <v>0</v>
      </c>
      <c r="CH276" s="646">
        <f t="shared" si="820"/>
        <v>0</v>
      </c>
      <c r="CI276" s="647">
        <f t="shared" si="769"/>
        <v>9646.64315166079</v>
      </c>
      <c r="CJ276" s="644">
        <f t="shared" si="821"/>
        <v>0</v>
      </c>
      <c r="CK276" s="645">
        <f t="shared" si="822"/>
        <v>0</v>
      </c>
      <c r="CL276" s="646">
        <f t="shared" si="823"/>
        <v>0</v>
      </c>
      <c r="CM276" s="647">
        <f t="shared" si="770"/>
        <v>9646.64315166079</v>
      </c>
      <c r="CN276" s="644">
        <f t="shared" si="824"/>
        <v>0</v>
      </c>
      <c r="CO276" s="645">
        <f t="shared" si="825"/>
        <v>0</v>
      </c>
      <c r="CP276" s="646">
        <f t="shared" si="826"/>
        <v>0</v>
      </c>
      <c r="CQ276" s="647">
        <f t="shared" si="771"/>
        <v>9646.64315166079</v>
      </c>
      <c r="CS276" s="644">
        <f t="shared" si="827"/>
        <v>8493.0955842966014</v>
      </c>
      <c r="CT276" s="645">
        <f t="shared" si="730"/>
        <v>9294.4742734662868</v>
      </c>
      <c r="CU276" s="644">
        <f t="shared" si="828"/>
        <v>801.37868916968546</v>
      </c>
      <c r="CV276" s="645">
        <f t="shared" si="829"/>
        <v>0</v>
      </c>
      <c r="CW276" s="646">
        <f t="shared" si="830"/>
        <v>0</v>
      </c>
      <c r="CX276" s="647">
        <f t="shared" si="831"/>
        <v>9294.4742734662868</v>
      </c>
      <c r="CY276" s="644">
        <f t="shared" si="772"/>
        <v>0</v>
      </c>
      <c r="CZ276" s="645">
        <f t="shared" si="773"/>
        <v>0</v>
      </c>
      <c r="DA276" s="646">
        <f t="shared" si="832"/>
        <v>0</v>
      </c>
      <c r="DB276" s="647">
        <f t="shared" si="774"/>
        <v>9294.4742734662868</v>
      </c>
      <c r="DC276" s="644">
        <f t="shared" si="833"/>
        <v>0</v>
      </c>
      <c r="DD276" s="645">
        <f t="shared" si="834"/>
        <v>0</v>
      </c>
      <c r="DE276" s="646">
        <f t="shared" si="835"/>
        <v>0</v>
      </c>
      <c r="DF276" s="647">
        <f t="shared" si="775"/>
        <v>9294.4742734662868</v>
      </c>
      <c r="DG276" s="644">
        <f t="shared" si="836"/>
        <v>0</v>
      </c>
      <c r="DH276" s="645">
        <f t="shared" si="837"/>
        <v>0</v>
      </c>
      <c r="DI276" s="646">
        <f t="shared" si="838"/>
        <v>0</v>
      </c>
      <c r="DJ276" s="647">
        <f t="shared" si="776"/>
        <v>9294.4742734662868</v>
      </c>
      <c r="DK276" s="644">
        <f t="shared" si="839"/>
        <v>0</v>
      </c>
      <c r="DL276" s="645">
        <f t="shared" si="840"/>
        <v>0</v>
      </c>
      <c r="DM276" s="646">
        <f t="shared" si="841"/>
        <v>0</v>
      </c>
      <c r="DN276" s="647">
        <f t="shared" si="777"/>
        <v>9294.4742734662868</v>
      </c>
      <c r="DR276" s="827">
        <f t="shared" si="731"/>
        <v>42304.610110425296</v>
      </c>
      <c r="DV276" s="828">
        <f>IFERROR(VLOOKUP($B276,'Afton FY16 Final'!$A$5:$BV$587,'Afton FY16 Final'!$BV$587,0),0)</f>
        <v>42164.913910790943</v>
      </c>
      <c r="DX276" s="636">
        <f t="shared" si="719"/>
        <v>42304.610110425296</v>
      </c>
      <c r="DY276" s="637">
        <f t="shared" si="720"/>
        <v>139.69619963435252</v>
      </c>
      <c r="DZ276" s="637">
        <f t="shared" si="721"/>
        <v>42164.913910790943</v>
      </c>
      <c r="EA276" s="643">
        <f t="shared" si="722"/>
        <v>40054.478977278362</v>
      </c>
      <c r="EB276" s="637">
        <f t="shared" si="732"/>
        <v>42164.913910790943</v>
      </c>
      <c r="EC276" s="637">
        <f t="shared" si="733"/>
        <v>0</v>
      </c>
      <c r="ED276" s="637">
        <f t="shared" si="734"/>
        <v>0</v>
      </c>
      <c r="EE276" s="643">
        <f t="shared" si="735"/>
        <v>42164.913910790943</v>
      </c>
      <c r="EF276" s="637">
        <f t="shared" si="736"/>
        <v>0</v>
      </c>
      <c r="EG276" s="637">
        <f t="shared" si="737"/>
        <v>0</v>
      </c>
      <c r="EH276" s="637">
        <f t="shared" si="738"/>
        <v>0</v>
      </c>
      <c r="EI276" s="643">
        <f t="shared" si="739"/>
        <v>42164.913910790943</v>
      </c>
      <c r="EJ276" s="637">
        <f t="shared" si="740"/>
        <v>0</v>
      </c>
      <c r="EK276" s="637">
        <f t="shared" si="741"/>
        <v>0</v>
      </c>
      <c r="EL276" s="637">
        <f t="shared" si="742"/>
        <v>0</v>
      </c>
      <c r="EM276" s="643">
        <f t="shared" si="743"/>
        <v>42164.913910790943</v>
      </c>
      <c r="EN276" s="637">
        <f t="shared" si="744"/>
        <v>0</v>
      </c>
      <c r="EO276" s="637">
        <f t="shared" si="745"/>
        <v>0</v>
      </c>
      <c r="EP276" s="637">
        <f t="shared" si="746"/>
        <v>0</v>
      </c>
      <c r="EQ276" s="643">
        <f t="shared" si="747"/>
        <v>42164.913910790943</v>
      </c>
      <c r="ER276" s="637">
        <f t="shared" si="748"/>
        <v>0</v>
      </c>
      <c r="ES276" s="637">
        <f t="shared" si="749"/>
        <v>0</v>
      </c>
      <c r="ET276" s="637">
        <f t="shared" si="750"/>
        <v>0</v>
      </c>
      <c r="EU276" s="643">
        <f t="shared" si="723"/>
        <v>42164.913910790943</v>
      </c>
      <c r="EV276" s="643">
        <f t="shared" si="724"/>
        <v>0</v>
      </c>
      <c r="EX276" s="829">
        <f t="shared" si="725"/>
        <v>139.69619963435252</v>
      </c>
      <c r="EY276" s="638">
        <f t="shared" si="726"/>
        <v>42164.913910790943</v>
      </c>
      <c r="FC276" s="830" t="str">
        <f t="shared" si="751"/>
        <v>Y</v>
      </c>
      <c r="FE276" s="830" t="str">
        <f>IFERROR(VLOOKUP($B276,'Historical Conc Grant Elig'!$B$3:$J$707,'HH &amp; SI'!FE$2,0),"N")</f>
        <v>Y</v>
      </c>
      <c r="FF276" s="830" t="str">
        <f>IFERROR(VLOOKUP($B276,'Historical Conc Grant Elig'!$B$3:$J$707,'HH &amp; SI'!FF$2,0),"N")</f>
        <v>Y</v>
      </c>
      <c r="FG276" s="830" t="str">
        <f>IFERROR(VLOOKUP($B276,'Historical Conc Grant Elig'!$B$3:$J$707,'HH &amp; SI'!FG$2,0),"N")</f>
        <v>Y</v>
      </c>
      <c r="FH276" s="830" t="str">
        <f>IFERROR(VLOOKUP($B276,'Historical Conc Grant Elig'!$B$3:$J$707,'HH &amp; SI'!FH$2,0),"N")</f>
        <v>N</v>
      </c>
      <c r="FI276" s="830" t="str">
        <f>IFERROR(VLOOKUP($B276,'Historical Conc Grant Elig'!$B$3:$J$707,'HH &amp; SI'!FI$2,0),"N")</f>
        <v>Y</v>
      </c>
      <c r="FJ276" s="830" t="str">
        <f>IFERROR(VLOOKUP($B276,'Historical Conc Grant Elig'!$B$3:$J$707,'HH &amp; SI'!FJ$2,0),"N")</f>
        <v>Y</v>
      </c>
      <c r="FK276" s="830" t="str">
        <f>IFERROR(VLOOKUP($B276,'Historical Conc Grant Elig'!$B$3:$J$707,'HH &amp; SI'!FK$2,0),"N")</f>
        <v>Y</v>
      </c>
      <c r="FL276" s="957" t="str">
        <f>IFERROR(VLOOKUP($B276,'Historical Conc Grant Elig'!$B$3:$J$707,'HH &amp; SI'!FL$2,0),"N")</f>
        <v>Y</v>
      </c>
    </row>
    <row r="277" spans="2:168" x14ac:dyDescent="0.25">
      <c r="B277" s="634">
        <v>78930000</v>
      </c>
      <c r="C277" s="635" t="str">
        <f>VLOOKUP($B277,'Afton Update'!$A$5:$CR$582,'Afton Update'!D$589,0)</f>
        <v>Noah Webster Schools-Mesa</v>
      </c>
      <c r="D277" s="636">
        <f>IFERROR(VLOOKUP($B277,'Afton FY16 Final'!$A$5:$BV$587,'Afton FY16 Final'!AQ$587,0),0)</f>
        <v>118768.96216177789</v>
      </c>
      <c r="E277" s="637">
        <f>IFERROR(VLOOKUP($B277,'Afton FY16 Final'!$A$5:$BV$587,'Afton FY16 Final'!AR$587,0),0)</f>
        <v>25598.521414220126</v>
      </c>
      <c r="F277" s="637">
        <f>IFERROR(VLOOKUP($B277,'Afton FY16 Final'!$A$5:$BV$587,'Afton FY16 Final'!AS$587,0),0)</f>
        <v>63324.418261559178</v>
      </c>
      <c r="G277" s="637">
        <f>IFERROR(VLOOKUP($B277,'Afton FY16 Final'!$A$5:$BV$587,'Afton FY16 Final'!AT$587,0),0)</f>
        <v>57417.085170414735</v>
      </c>
      <c r="H277" s="638">
        <f>IFERROR(VLOOKUP($B277,'Afton FY16 Final'!$A$5:$BV$587,'Afton FY16 Final'!AU$587,0),0)</f>
        <v>265108.98700797197</v>
      </c>
      <c r="I277" s="639" t="str">
        <f>VLOOKUP($B277,'Afton Update'!$A$5:$CR$582,'Afton Update'!BT$589,0)</f>
        <v>Y</v>
      </c>
      <c r="J277" s="640" t="str">
        <f>VLOOKUP($B277,'Afton Update'!$A$5:$CR$582,'Afton Update'!BU$589,0)</f>
        <v>Y</v>
      </c>
      <c r="K277" s="640" t="str">
        <f>VLOOKUP($B277,'Afton Update'!$A$5:$CR$582,'Afton Update'!BV$589,0)</f>
        <v>Y</v>
      </c>
      <c r="L277" s="641" t="str">
        <f>VLOOKUP($B277,'Afton Update'!$A$5:$CR$582,'Afton Update'!BW$589,0)</f>
        <v>Y</v>
      </c>
      <c r="N277" s="642">
        <f>VLOOKUP($B277,'Afton Update'!$A$5:$CR$582,'Afton Update'!CB$589,0)</f>
        <v>0.9</v>
      </c>
      <c r="P277" s="636">
        <f>VLOOKUP($B277,'Afton Update'!$A$5:$CR$582,'Afton Update'!AH$589,0)</f>
        <v>125564.05938977485</v>
      </c>
      <c r="Q277" s="637">
        <f>VLOOKUP($B277,'Afton Update'!$A$5:$CR$582,'Afton Update'!AI$589,0)</f>
        <v>28097.266941242371</v>
      </c>
      <c r="R277" s="637">
        <f>VLOOKUP($B277,'Afton Update'!$A$5:$CR$582,'Afton Update'!AJ$589,0)</f>
        <v>73513.211784001571</v>
      </c>
      <c r="S277" s="637">
        <f>VLOOKUP($B277,'Afton Update'!$A$5:$CR$582,'Afton Update'!AK$589,0)</f>
        <v>68431.14351156354</v>
      </c>
      <c r="T277" s="643">
        <f t="shared" si="752"/>
        <v>295605.68162658234</v>
      </c>
      <c r="V277" s="636">
        <f t="shared" si="778"/>
        <v>123851.28412062991</v>
      </c>
      <c r="W277" s="637">
        <f t="shared" si="779"/>
        <v>27171.845694482341</v>
      </c>
      <c r="X277" s="637">
        <f t="shared" si="780"/>
        <v>72844.637824974387</v>
      </c>
      <c r="Y277" s="637">
        <f t="shared" si="781"/>
        <v>67677.155492416772</v>
      </c>
      <c r="Z277" s="643">
        <f t="shared" si="782"/>
        <v>291544.92313250341</v>
      </c>
      <c r="AB277" s="644">
        <f t="shared" si="753"/>
        <v>125564.05938977485</v>
      </c>
      <c r="AC277" s="645">
        <f t="shared" si="727"/>
        <v>106892.0659456001</v>
      </c>
      <c r="AD277" s="644">
        <f t="shared" si="783"/>
        <v>0</v>
      </c>
      <c r="AE277" s="645">
        <f t="shared" si="784"/>
        <v>125564.05938977485</v>
      </c>
      <c r="AF277" s="646">
        <f t="shared" si="785"/>
        <v>-1556.4608750151037</v>
      </c>
      <c r="AG277" s="647">
        <f t="shared" si="786"/>
        <v>124007.59851475974</v>
      </c>
      <c r="AH277" s="644">
        <f t="shared" si="754"/>
        <v>0</v>
      </c>
      <c r="AI277" s="645">
        <f t="shared" si="755"/>
        <v>124007.59851475974</v>
      </c>
      <c r="AJ277" s="646">
        <f t="shared" si="787"/>
        <v>-156.21480670943623</v>
      </c>
      <c r="AK277" s="647">
        <f t="shared" si="756"/>
        <v>123851.3837080503</v>
      </c>
      <c r="AL277" s="644">
        <f t="shared" si="788"/>
        <v>0</v>
      </c>
      <c r="AM277" s="645">
        <f t="shared" si="789"/>
        <v>123851.3837080503</v>
      </c>
      <c r="AN277" s="646">
        <f t="shared" si="790"/>
        <v>-9.9587420391845691E-2</v>
      </c>
      <c r="AO277" s="647">
        <f t="shared" si="757"/>
        <v>123851.28412062991</v>
      </c>
      <c r="AP277" s="644">
        <f t="shared" si="791"/>
        <v>0</v>
      </c>
      <c r="AQ277" s="645">
        <f t="shared" si="792"/>
        <v>123851.28412062991</v>
      </c>
      <c r="AR277" s="646">
        <f t="shared" si="793"/>
        <v>0</v>
      </c>
      <c r="AS277" s="647">
        <f t="shared" si="758"/>
        <v>123851.28412062991</v>
      </c>
      <c r="AT277" s="644">
        <f t="shared" si="794"/>
        <v>0</v>
      </c>
      <c r="AU277" s="645">
        <f t="shared" si="795"/>
        <v>123851.28412062991</v>
      </c>
      <c r="AV277" s="646">
        <f t="shared" si="796"/>
        <v>0</v>
      </c>
      <c r="AW277" s="647">
        <f t="shared" si="759"/>
        <v>123851.28412062991</v>
      </c>
      <c r="AY277" s="644">
        <f t="shared" si="797"/>
        <v>28097.266941242371</v>
      </c>
      <c r="AZ277" s="645">
        <f t="shared" si="728"/>
        <v>23038.669272798114</v>
      </c>
      <c r="BA277" s="644">
        <f t="shared" si="798"/>
        <v>0</v>
      </c>
      <c r="BB277" s="645">
        <f t="shared" si="799"/>
        <v>28097.266941242371</v>
      </c>
      <c r="BC277" s="646">
        <f t="shared" si="800"/>
        <v>-202.05563497346122</v>
      </c>
      <c r="BD277" s="647">
        <f t="shared" si="801"/>
        <v>27895.21130626891</v>
      </c>
      <c r="BE277" s="644">
        <f t="shared" si="760"/>
        <v>0</v>
      </c>
      <c r="BF277" s="645">
        <f t="shared" si="761"/>
        <v>27895.21130626891</v>
      </c>
      <c r="BG277" s="646">
        <f t="shared" si="802"/>
        <v>-664.44120035815763</v>
      </c>
      <c r="BH277" s="647">
        <f t="shared" si="762"/>
        <v>27230.770105910753</v>
      </c>
      <c r="BI277" s="644">
        <f t="shared" si="803"/>
        <v>0</v>
      </c>
      <c r="BJ277" s="645">
        <f t="shared" si="804"/>
        <v>27230.770105910753</v>
      </c>
      <c r="BK277" s="646">
        <f t="shared" si="805"/>
        <v>-57.681166830002773</v>
      </c>
      <c r="BL277" s="647">
        <f t="shared" si="763"/>
        <v>27173.08893908075</v>
      </c>
      <c r="BM277" s="644">
        <f t="shared" si="806"/>
        <v>0</v>
      </c>
      <c r="BN277" s="645">
        <f t="shared" si="807"/>
        <v>27173.08893908075</v>
      </c>
      <c r="BO277" s="646">
        <f t="shared" si="808"/>
        <v>-1.2432445984095442</v>
      </c>
      <c r="BP277" s="647">
        <f t="shared" si="764"/>
        <v>27171.845694482341</v>
      </c>
      <c r="BQ277" s="644">
        <f t="shared" si="809"/>
        <v>0</v>
      </c>
      <c r="BR277" s="645">
        <f t="shared" si="810"/>
        <v>27171.845694482341</v>
      </c>
      <c r="BS277" s="646">
        <f t="shared" si="811"/>
        <v>0</v>
      </c>
      <c r="BT277" s="647">
        <f t="shared" si="765"/>
        <v>27171.845694482341</v>
      </c>
      <c r="BU277" s="662">
        <f>VLOOKUP(B277,'Afton Update'!$A$5:$AR$582,'Afton Update'!$AO$589,0)-BT277</f>
        <v>0</v>
      </c>
      <c r="BV277" s="644">
        <f t="shared" si="812"/>
        <v>73513.211784001571</v>
      </c>
      <c r="BW277" s="645">
        <f t="shared" si="729"/>
        <v>56991.97643540326</v>
      </c>
      <c r="BX277" s="644">
        <f t="shared" si="813"/>
        <v>0</v>
      </c>
      <c r="BY277" s="645">
        <f t="shared" si="814"/>
        <v>73513.211784001571</v>
      </c>
      <c r="BZ277" s="646">
        <f t="shared" si="815"/>
        <v>-645.2332756655436</v>
      </c>
      <c r="CA277" s="647">
        <f t="shared" si="816"/>
        <v>72867.978508336033</v>
      </c>
      <c r="CB277" s="644">
        <f t="shared" si="766"/>
        <v>0</v>
      </c>
      <c r="CC277" s="645">
        <f t="shared" si="767"/>
        <v>72867.978508336033</v>
      </c>
      <c r="CD277" s="646">
        <f t="shared" si="817"/>
        <v>-23.340683361649354</v>
      </c>
      <c r="CE277" s="647">
        <f t="shared" si="768"/>
        <v>72844.637824974387</v>
      </c>
      <c r="CF277" s="644">
        <f t="shared" si="818"/>
        <v>0</v>
      </c>
      <c r="CG277" s="645">
        <f t="shared" si="819"/>
        <v>72844.637824974387</v>
      </c>
      <c r="CH277" s="646">
        <f t="shared" si="820"/>
        <v>0</v>
      </c>
      <c r="CI277" s="647">
        <f t="shared" si="769"/>
        <v>72844.637824974387</v>
      </c>
      <c r="CJ277" s="644">
        <f t="shared" si="821"/>
        <v>0</v>
      </c>
      <c r="CK277" s="645">
        <f t="shared" si="822"/>
        <v>72844.637824974387</v>
      </c>
      <c r="CL277" s="646">
        <f t="shared" si="823"/>
        <v>0</v>
      </c>
      <c r="CM277" s="647">
        <f t="shared" si="770"/>
        <v>72844.637824974387</v>
      </c>
      <c r="CN277" s="644">
        <f t="shared" si="824"/>
        <v>0</v>
      </c>
      <c r="CO277" s="645">
        <f t="shared" si="825"/>
        <v>72844.637824974387</v>
      </c>
      <c r="CP277" s="646">
        <f t="shared" si="826"/>
        <v>0</v>
      </c>
      <c r="CQ277" s="647">
        <f t="shared" si="771"/>
        <v>72844.637824974387</v>
      </c>
      <c r="CS277" s="644">
        <f t="shared" si="827"/>
        <v>68431.14351156354</v>
      </c>
      <c r="CT277" s="645">
        <f t="shared" si="730"/>
        <v>51675.376653373263</v>
      </c>
      <c r="CU277" s="644">
        <f t="shared" si="828"/>
        <v>0</v>
      </c>
      <c r="CV277" s="645">
        <f t="shared" si="829"/>
        <v>68431.14351156354</v>
      </c>
      <c r="CW277" s="646">
        <f t="shared" si="830"/>
        <v>-700.77358150143118</v>
      </c>
      <c r="CX277" s="647">
        <f t="shared" si="831"/>
        <v>67730.369930062108</v>
      </c>
      <c r="CY277" s="644">
        <f t="shared" si="772"/>
        <v>0</v>
      </c>
      <c r="CZ277" s="645">
        <f t="shared" si="773"/>
        <v>67730.369930062108</v>
      </c>
      <c r="DA277" s="646">
        <f t="shared" si="832"/>
        <v>-53.168586361883015</v>
      </c>
      <c r="DB277" s="647">
        <f t="shared" si="774"/>
        <v>67677.201343700232</v>
      </c>
      <c r="DC277" s="644">
        <f t="shared" si="833"/>
        <v>0</v>
      </c>
      <c r="DD277" s="645">
        <f t="shared" si="834"/>
        <v>67677.201343700232</v>
      </c>
      <c r="DE277" s="646">
        <f t="shared" si="835"/>
        <v>-4.5851283463649951E-2</v>
      </c>
      <c r="DF277" s="647">
        <f t="shared" si="775"/>
        <v>67677.155492416772</v>
      </c>
      <c r="DG277" s="644">
        <f t="shared" si="836"/>
        <v>0</v>
      </c>
      <c r="DH277" s="645">
        <f t="shared" si="837"/>
        <v>67677.155492416772</v>
      </c>
      <c r="DI277" s="646">
        <f t="shared" si="838"/>
        <v>0</v>
      </c>
      <c r="DJ277" s="647">
        <f t="shared" si="776"/>
        <v>67677.155492416772</v>
      </c>
      <c r="DK277" s="644">
        <f t="shared" si="839"/>
        <v>0</v>
      </c>
      <c r="DL277" s="645">
        <f t="shared" si="840"/>
        <v>67677.155492416772</v>
      </c>
      <c r="DM277" s="646">
        <f t="shared" si="841"/>
        <v>0</v>
      </c>
      <c r="DN277" s="647">
        <f t="shared" si="777"/>
        <v>67677.155492416772</v>
      </c>
      <c r="DR277" s="827">
        <f t="shared" si="731"/>
        <v>291544.92313250341</v>
      </c>
      <c r="DV277" s="828">
        <f>IFERROR(VLOOKUP($B277,'Afton FY16 Final'!$A$5:$BV$587,'Afton FY16 Final'!$BV$587,0),0)</f>
        <v>259888.99109768934</v>
      </c>
      <c r="DX277" s="636">
        <f t="shared" si="719"/>
        <v>291544.92313250341</v>
      </c>
      <c r="DY277" s="637">
        <f t="shared" si="720"/>
        <v>31655.932034814061</v>
      </c>
      <c r="DZ277" s="637">
        <f t="shared" si="721"/>
        <v>259888.99109768934</v>
      </c>
      <c r="EA277" s="643">
        <f t="shared" si="722"/>
        <v>276038.00068270374</v>
      </c>
      <c r="EB277" s="637">
        <f t="shared" si="732"/>
        <v>0</v>
      </c>
      <c r="EC277" s="637">
        <f t="shared" si="733"/>
        <v>276038.00068270374</v>
      </c>
      <c r="ED277" s="637">
        <f t="shared" si="734"/>
        <v>275214.87184626923</v>
      </c>
      <c r="EE277" s="643">
        <f t="shared" si="735"/>
        <v>275214.87184626923</v>
      </c>
      <c r="EF277" s="637">
        <f t="shared" si="736"/>
        <v>0</v>
      </c>
      <c r="EG277" s="637">
        <f t="shared" si="737"/>
        <v>275214.87184626923</v>
      </c>
      <c r="EH277" s="637">
        <f t="shared" si="738"/>
        <v>275214.58791782841</v>
      </c>
      <c r="EI277" s="643">
        <f t="shared" si="739"/>
        <v>275214.58791782841</v>
      </c>
      <c r="EJ277" s="637">
        <f t="shared" si="740"/>
        <v>0</v>
      </c>
      <c r="EK277" s="637">
        <f t="shared" si="741"/>
        <v>275214.58791782841</v>
      </c>
      <c r="EL277" s="637">
        <f t="shared" si="742"/>
        <v>275214.587917828</v>
      </c>
      <c r="EM277" s="643">
        <f t="shared" si="743"/>
        <v>275214.587917828</v>
      </c>
      <c r="EN277" s="637">
        <f t="shared" si="744"/>
        <v>0</v>
      </c>
      <c r="EO277" s="637">
        <f t="shared" si="745"/>
        <v>275214.587917828</v>
      </c>
      <c r="EP277" s="637">
        <f t="shared" si="746"/>
        <v>275214.58791782847</v>
      </c>
      <c r="EQ277" s="643">
        <f t="shared" si="747"/>
        <v>275214.58791782847</v>
      </c>
      <c r="ER277" s="637">
        <f t="shared" si="748"/>
        <v>0</v>
      </c>
      <c r="ES277" s="637">
        <f t="shared" si="749"/>
        <v>275214.58791782847</v>
      </c>
      <c r="ET277" s="637">
        <f t="shared" si="750"/>
        <v>275214.587917828</v>
      </c>
      <c r="EU277" s="643">
        <f t="shared" si="723"/>
        <v>275214.587917828</v>
      </c>
      <c r="EV277" s="643">
        <f t="shared" si="724"/>
        <v>0</v>
      </c>
      <c r="EX277" s="829">
        <f t="shared" si="725"/>
        <v>16330.335214675404</v>
      </c>
      <c r="EY277" s="638">
        <f t="shared" si="726"/>
        <v>275214.587917828</v>
      </c>
      <c r="FC277" s="830" t="str">
        <f t="shared" si="751"/>
        <v>Y</v>
      </c>
      <c r="FE277" s="830" t="str">
        <f>IFERROR(VLOOKUP($B277,'Historical Conc Grant Elig'!$B$3:$J$707,'HH &amp; SI'!FE$2,0),"N")</f>
        <v>Y</v>
      </c>
      <c r="FF277" s="830" t="str">
        <f>IFERROR(VLOOKUP($B277,'Historical Conc Grant Elig'!$B$3:$J$707,'HH &amp; SI'!FF$2,0),"N")</f>
        <v>Y</v>
      </c>
      <c r="FG277" s="830" t="str">
        <f>IFERROR(VLOOKUP($B277,'Historical Conc Grant Elig'!$B$3:$J$707,'HH &amp; SI'!FG$2,0),"N")</f>
        <v>Y</v>
      </c>
      <c r="FH277" s="830" t="str">
        <f>IFERROR(VLOOKUP($B277,'Historical Conc Grant Elig'!$B$3:$J$707,'HH &amp; SI'!FH$2,0),"N")</f>
        <v>Y</v>
      </c>
      <c r="FI277" s="830" t="str">
        <f>IFERROR(VLOOKUP($B277,'Historical Conc Grant Elig'!$B$3:$J$707,'HH &amp; SI'!FI$2,0),"N")</f>
        <v>Y</v>
      </c>
      <c r="FJ277" s="830" t="str">
        <f>IFERROR(VLOOKUP($B277,'Historical Conc Grant Elig'!$B$3:$J$707,'HH &amp; SI'!FJ$2,0),"N")</f>
        <v>Y</v>
      </c>
      <c r="FK277" s="830" t="str">
        <f>IFERROR(VLOOKUP($B277,'Historical Conc Grant Elig'!$B$3:$J$707,'HH &amp; SI'!FK$2,0),"N")</f>
        <v>Y</v>
      </c>
      <c r="FL277" s="957" t="str">
        <f>IFERROR(VLOOKUP($B277,'Historical Conc Grant Elig'!$B$3:$J$707,'HH &amp; SI'!FL$2,0),"N")</f>
        <v>Y</v>
      </c>
    </row>
    <row r="278" spans="2:168" x14ac:dyDescent="0.25">
      <c r="B278" s="634">
        <v>78935000</v>
      </c>
      <c r="C278" s="635" t="str">
        <f>VLOOKUP($B278,'Afton Update'!$A$5:$CR$582,'Afton Update'!D$589,0)</f>
        <v>West Gilbert Charter Elementary School  Inc.</v>
      </c>
      <c r="D278" s="636">
        <f>IFERROR(VLOOKUP($B278,'Afton FY16 Final'!$A$5:$BV$587,'Afton FY16 Final'!AQ$587,0),0)</f>
        <v>30297.335475602591</v>
      </c>
      <c r="E278" s="637">
        <f>IFERROR(VLOOKUP($B278,'Afton FY16 Final'!$A$5:$BV$587,'Afton FY16 Final'!AR$587,0),0)</f>
        <v>7255.8223267522562</v>
      </c>
      <c r="F278" s="637">
        <f>IFERROR(VLOOKUP($B278,'Afton FY16 Final'!$A$5:$BV$587,'Afton FY16 Final'!AS$587,0),0)</f>
        <v>16064.089931168233</v>
      </c>
      <c r="G278" s="637">
        <f>IFERROR(VLOOKUP($B278,'Afton FY16 Final'!$A$5:$BV$587,'Afton FY16 Final'!AT$587,0),0)</f>
        <v>15477.640070700338</v>
      </c>
      <c r="H278" s="638">
        <f>IFERROR(VLOOKUP($B278,'Afton FY16 Final'!$A$5:$BV$587,'Afton FY16 Final'!AU$587,0),0)</f>
        <v>69094.887804223414</v>
      </c>
      <c r="I278" s="639" t="str">
        <f>VLOOKUP($B278,'Afton Update'!$A$5:$CR$582,'Afton Update'!BT$589,0)</f>
        <v>Y</v>
      </c>
      <c r="J278" s="640" t="str">
        <f>VLOOKUP($B278,'Afton Update'!$A$5:$CR$582,'Afton Update'!BU$589,0)</f>
        <v>Y</v>
      </c>
      <c r="K278" s="640" t="str">
        <f>VLOOKUP($B278,'Afton Update'!$A$5:$CR$582,'Afton Update'!BV$589,0)</f>
        <v>Y</v>
      </c>
      <c r="L278" s="641" t="str">
        <f>VLOOKUP($B278,'Afton Update'!$A$5:$CR$582,'Afton Update'!BW$589,0)</f>
        <v>Y</v>
      </c>
      <c r="N278" s="642">
        <f>VLOOKUP($B278,'Afton Update'!$A$5:$CR$582,'Afton Update'!CB$589,0)</f>
        <v>0.9</v>
      </c>
      <c r="P278" s="636">
        <f>VLOOKUP($B278,'Afton Update'!$A$5:$CR$582,'Afton Update'!AH$589,0)</f>
        <v>28461.18679501563</v>
      </c>
      <c r="Q278" s="637">
        <f>VLOOKUP($B278,'Afton Update'!$A$5:$CR$582,'Afton Update'!AI$589,0)</f>
        <v>8016.5490427373552</v>
      </c>
      <c r="R278" s="637">
        <f>VLOOKUP($B278,'Afton Update'!$A$5:$CR$582,'Afton Update'!AJ$589,0)</f>
        <v>16682.591436677354</v>
      </c>
      <c r="S278" s="637">
        <f>VLOOKUP($B278,'Afton Update'!$A$5:$CR$582,'Afton Update'!AK$589,0)</f>
        <v>15529.301210540982</v>
      </c>
      <c r="T278" s="643">
        <f t="shared" si="752"/>
        <v>68689.628484971327</v>
      </c>
      <c r="V278" s="636">
        <f t="shared" si="778"/>
        <v>28072.957734009447</v>
      </c>
      <c r="W278" s="637">
        <f t="shared" si="779"/>
        <v>7752.5132265365464</v>
      </c>
      <c r="X278" s="637">
        <f t="shared" si="780"/>
        <v>16530.869781032325</v>
      </c>
      <c r="Y278" s="637">
        <f t="shared" si="781"/>
        <v>15358.19626537094</v>
      </c>
      <c r="Z278" s="643">
        <f t="shared" si="782"/>
        <v>67714.537006949249</v>
      </c>
      <c r="AB278" s="644">
        <f t="shared" si="753"/>
        <v>28461.18679501563</v>
      </c>
      <c r="AC278" s="645">
        <f t="shared" si="727"/>
        <v>27267.601928042332</v>
      </c>
      <c r="AD278" s="644">
        <f t="shared" si="783"/>
        <v>0</v>
      </c>
      <c r="AE278" s="645">
        <f t="shared" si="784"/>
        <v>28461.18679501563</v>
      </c>
      <c r="AF278" s="646">
        <f t="shared" si="785"/>
        <v>-352.79779833675684</v>
      </c>
      <c r="AG278" s="647">
        <f t="shared" si="786"/>
        <v>28108.388996678874</v>
      </c>
      <c r="AH278" s="644">
        <f t="shared" si="754"/>
        <v>0</v>
      </c>
      <c r="AI278" s="645">
        <f t="shared" si="755"/>
        <v>28108.388996678874</v>
      </c>
      <c r="AJ278" s="646">
        <f t="shared" si="787"/>
        <v>-35.408689520805545</v>
      </c>
      <c r="AK278" s="647">
        <f t="shared" si="756"/>
        <v>28072.980307158068</v>
      </c>
      <c r="AL278" s="644">
        <f t="shared" si="788"/>
        <v>0</v>
      </c>
      <c r="AM278" s="645">
        <f t="shared" si="789"/>
        <v>28072.980307158068</v>
      </c>
      <c r="AN278" s="646">
        <f t="shared" si="790"/>
        <v>-2.2573148622151689E-2</v>
      </c>
      <c r="AO278" s="647">
        <f t="shared" si="757"/>
        <v>28072.957734009447</v>
      </c>
      <c r="AP278" s="644">
        <f t="shared" si="791"/>
        <v>0</v>
      </c>
      <c r="AQ278" s="645">
        <f t="shared" si="792"/>
        <v>28072.957734009447</v>
      </c>
      <c r="AR278" s="646">
        <f t="shared" si="793"/>
        <v>0</v>
      </c>
      <c r="AS278" s="647">
        <f t="shared" si="758"/>
        <v>28072.957734009447</v>
      </c>
      <c r="AT278" s="644">
        <f t="shared" si="794"/>
        <v>0</v>
      </c>
      <c r="AU278" s="645">
        <f t="shared" si="795"/>
        <v>28072.957734009447</v>
      </c>
      <c r="AV278" s="646">
        <f t="shared" si="796"/>
        <v>0</v>
      </c>
      <c r="AW278" s="647">
        <f t="shared" si="759"/>
        <v>28072.957734009447</v>
      </c>
      <c r="AY278" s="644">
        <f t="shared" si="797"/>
        <v>8016.5490427373552</v>
      </c>
      <c r="AZ278" s="645">
        <f t="shared" si="728"/>
        <v>6530.2400940770303</v>
      </c>
      <c r="BA278" s="644">
        <f t="shared" si="798"/>
        <v>0</v>
      </c>
      <c r="BB278" s="645">
        <f t="shared" si="799"/>
        <v>8016.5490427373552</v>
      </c>
      <c r="BC278" s="646">
        <f t="shared" si="800"/>
        <v>-57.649340432773322</v>
      </c>
      <c r="BD278" s="647">
        <f t="shared" si="801"/>
        <v>7958.8997023045822</v>
      </c>
      <c r="BE278" s="644">
        <f t="shared" si="760"/>
        <v>0</v>
      </c>
      <c r="BF278" s="645">
        <f t="shared" si="761"/>
        <v>7958.8997023045822</v>
      </c>
      <c r="BG278" s="646">
        <f t="shared" si="802"/>
        <v>-189.57450487356638</v>
      </c>
      <c r="BH278" s="647">
        <f t="shared" si="762"/>
        <v>7769.325197431016</v>
      </c>
      <c r="BI278" s="644">
        <f t="shared" si="803"/>
        <v>0</v>
      </c>
      <c r="BJ278" s="645">
        <f t="shared" si="804"/>
        <v>7769.325197431016</v>
      </c>
      <c r="BK278" s="646">
        <f t="shared" si="805"/>
        <v>-16.457255565177274</v>
      </c>
      <c r="BL278" s="647">
        <f t="shared" si="763"/>
        <v>7752.8679418658385</v>
      </c>
      <c r="BM278" s="644">
        <f t="shared" si="806"/>
        <v>0</v>
      </c>
      <c r="BN278" s="645">
        <f t="shared" si="807"/>
        <v>7752.8679418658385</v>
      </c>
      <c r="BO278" s="646">
        <f t="shared" si="808"/>
        <v>-0.35471532929201438</v>
      </c>
      <c r="BP278" s="647">
        <f t="shared" si="764"/>
        <v>7752.5132265365464</v>
      </c>
      <c r="BQ278" s="644">
        <f t="shared" si="809"/>
        <v>0</v>
      </c>
      <c r="BR278" s="645">
        <f t="shared" si="810"/>
        <v>7752.5132265365464</v>
      </c>
      <c r="BS278" s="646">
        <f t="shared" si="811"/>
        <v>0</v>
      </c>
      <c r="BT278" s="647">
        <f t="shared" si="765"/>
        <v>7752.5132265365464</v>
      </c>
      <c r="BU278" s="662">
        <f>VLOOKUP(B278,'Afton Update'!$A$5:$AR$582,'Afton Update'!$AO$589,0)-BT278</f>
        <v>0</v>
      </c>
      <c r="BV278" s="644">
        <f t="shared" si="812"/>
        <v>16682.591436677354</v>
      </c>
      <c r="BW278" s="645">
        <f t="shared" si="729"/>
        <v>14457.68093805141</v>
      </c>
      <c r="BX278" s="644">
        <f t="shared" si="813"/>
        <v>0</v>
      </c>
      <c r="BY278" s="645">
        <f t="shared" si="814"/>
        <v>16682.591436677354</v>
      </c>
      <c r="BZ278" s="646">
        <f t="shared" si="815"/>
        <v>-146.42487871302399</v>
      </c>
      <c r="CA278" s="647">
        <f t="shared" si="816"/>
        <v>16536.16655796433</v>
      </c>
      <c r="CB278" s="644">
        <f t="shared" si="766"/>
        <v>0</v>
      </c>
      <c r="CC278" s="645">
        <f t="shared" si="767"/>
        <v>16536.16655796433</v>
      </c>
      <c r="CD278" s="646">
        <f t="shared" si="817"/>
        <v>-5.2967769320070603</v>
      </c>
      <c r="CE278" s="647">
        <f t="shared" si="768"/>
        <v>16530.869781032325</v>
      </c>
      <c r="CF278" s="644">
        <f t="shared" si="818"/>
        <v>0</v>
      </c>
      <c r="CG278" s="645">
        <f t="shared" si="819"/>
        <v>16530.869781032325</v>
      </c>
      <c r="CH278" s="646">
        <f t="shared" si="820"/>
        <v>0</v>
      </c>
      <c r="CI278" s="647">
        <f t="shared" si="769"/>
        <v>16530.869781032325</v>
      </c>
      <c r="CJ278" s="644">
        <f t="shared" si="821"/>
        <v>0</v>
      </c>
      <c r="CK278" s="645">
        <f t="shared" si="822"/>
        <v>16530.869781032325</v>
      </c>
      <c r="CL278" s="646">
        <f t="shared" si="823"/>
        <v>0</v>
      </c>
      <c r="CM278" s="647">
        <f t="shared" si="770"/>
        <v>16530.869781032325</v>
      </c>
      <c r="CN278" s="644">
        <f t="shared" si="824"/>
        <v>0</v>
      </c>
      <c r="CO278" s="645">
        <f t="shared" si="825"/>
        <v>16530.869781032325</v>
      </c>
      <c r="CP278" s="646">
        <f t="shared" si="826"/>
        <v>0</v>
      </c>
      <c r="CQ278" s="647">
        <f t="shared" si="771"/>
        <v>16530.869781032325</v>
      </c>
      <c r="CS278" s="644">
        <f t="shared" si="827"/>
        <v>15529.301210540982</v>
      </c>
      <c r="CT278" s="645">
        <f t="shared" si="730"/>
        <v>13929.876063630305</v>
      </c>
      <c r="CU278" s="644">
        <f t="shared" si="828"/>
        <v>0</v>
      </c>
      <c r="CV278" s="645">
        <f t="shared" si="829"/>
        <v>15529.301210540982</v>
      </c>
      <c r="CW278" s="646">
        <f t="shared" si="830"/>
        <v>-159.02882034532098</v>
      </c>
      <c r="CX278" s="647">
        <f t="shared" si="831"/>
        <v>15370.272390195662</v>
      </c>
      <c r="CY278" s="644">
        <f t="shared" si="772"/>
        <v>0</v>
      </c>
      <c r="CZ278" s="645">
        <f t="shared" si="773"/>
        <v>15370.272390195662</v>
      </c>
      <c r="DA278" s="646">
        <f t="shared" si="832"/>
        <v>-12.065719644343227</v>
      </c>
      <c r="DB278" s="647">
        <f t="shared" si="774"/>
        <v>15358.206670551319</v>
      </c>
      <c r="DC278" s="644">
        <f t="shared" si="833"/>
        <v>0</v>
      </c>
      <c r="DD278" s="645">
        <f t="shared" si="834"/>
        <v>15358.206670551319</v>
      </c>
      <c r="DE278" s="646">
        <f t="shared" si="835"/>
        <v>-1.0405180379261032E-2</v>
      </c>
      <c r="DF278" s="647">
        <f t="shared" si="775"/>
        <v>15358.19626537094</v>
      </c>
      <c r="DG278" s="644">
        <f t="shared" si="836"/>
        <v>0</v>
      </c>
      <c r="DH278" s="645">
        <f t="shared" si="837"/>
        <v>15358.19626537094</v>
      </c>
      <c r="DI278" s="646">
        <f t="shared" si="838"/>
        <v>0</v>
      </c>
      <c r="DJ278" s="647">
        <f t="shared" si="776"/>
        <v>15358.19626537094</v>
      </c>
      <c r="DK278" s="644">
        <f t="shared" si="839"/>
        <v>0</v>
      </c>
      <c r="DL278" s="645">
        <f t="shared" si="840"/>
        <v>15358.19626537094</v>
      </c>
      <c r="DM278" s="646">
        <f t="shared" si="841"/>
        <v>0</v>
      </c>
      <c r="DN278" s="647">
        <f t="shared" si="777"/>
        <v>15358.19626537094</v>
      </c>
      <c r="DR278" s="827">
        <f t="shared" si="731"/>
        <v>67714.537006949249</v>
      </c>
      <c r="DV278" s="828">
        <f>IFERROR(VLOOKUP($B278,'Afton FY16 Final'!$A$5:$BV$587,'Afton FY16 Final'!$BV$587,0),0)</f>
        <v>67734.409474800967</v>
      </c>
      <c r="DX278" s="636">
        <f t="shared" si="719"/>
        <v>0</v>
      </c>
      <c r="DY278" s="637">
        <f t="shared" si="720"/>
        <v>0</v>
      </c>
      <c r="DZ278" s="637">
        <f t="shared" si="721"/>
        <v>0</v>
      </c>
      <c r="EA278" s="643">
        <f t="shared" si="722"/>
        <v>0</v>
      </c>
      <c r="EB278" s="637">
        <f t="shared" si="732"/>
        <v>0</v>
      </c>
      <c r="EC278" s="637">
        <f t="shared" si="733"/>
        <v>0</v>
      </c>
      <c r="ED278" s="637">
        <f t="shared" si="734"/>
        <v>0</v>
      </c>
      <c r="EE278" s="643">
        <f t="shared" si="735"/>
        <v>0</v>
      </c>
      <c r="EF278" s="637">
        <f t="shared" si="736"/>
        <v>0</v>
      </c>
      <c r="EG278" s="637">
        <f t="shared" si="737"/>
        <v>0</v>
      </c>
      <c r="EH278" s="637">
        <f t="shared" si="738"/>
        <v>0</v>
      </c>
      <c r="EI278" s="643">
        <f t="shared" si="739"/>
        <v>0</v>
      </c>
      <c r="EJ278" s="637">
        <f t="shared" si="740"/>
        <v>0</v>
      </c>
      <c r="EK278" s="637">
        <f t="shared" si="741"/>
        <v>0</v>
      </c>
      <c r="EL278" s="637">
        <f t="shared" si="742"/>
        <v>0</v>
      </c>
      <c r="EM278" s="643">
        <f t="shared" si="743"/>
        <v>0</v>
      </c>
      <c r="EN278" s="637">
        <f t="shared" si="744"/>
        <v>0</v>
      </c>
      <c r="EO278" s="637">
        <f t="shared" si="745"/>
        <v>0</v>
      </c>
      <c r="EP278" s="637">
        <f t="shared" si="746"/>
        <v>0</v>
      </c>
      <c r="EQ278" s="643">
        <f t="shared" si="747"/>
        <v>0</v>
      </c>
      <c r="ER278" s="637">
        <f t="shared" si="748"/>
        <v>0</v>
      </c>
      <c r="ES278" s="637">
        <f t="shared" si="749"/>
        <v>0</v>
      </c>
      <c r="ET278" s="637">
        <f t="shared" si="750"/>
        <v>0</v>
      </c>
      <c r="EU278" s="643">
        <f t="shared" si="723"/>
        <v>0</v>
      </c>
      <c r="EV278" s="643">
        <f t="shared" si="724"/>
        <v>0</v>
      </c>
      <c r="EX278" s="829">
        <f t="shared" si="725"/>
        <v>0</v>
      </c>
      <c r="EY278" s="638">
        <f t="shared" si="726"/>
        <v>67714.537006949249</v>
      </c>
      <c r="FC278" s="830" t="str">
        <f t="shared" si="751"/>
        <v>Y</v>
      </c>
      <c r="FE278" s="830" t="str">
        <f>IFERROR(VLOOKUP($B278,'Historical Conc Grant Elig'!$B$3:$J$707,'HH &amp; SI'!FE$2,0),"N")</f>
        <v>N</v>
      </c>
      <c r="FF278" s="830" t="str">
        <f>IFERROR(VLOOKUP($B278,'Historical Conc Grant Elig'!$B$3:$J$707,'HH &amp; SI'!FF$2,0),"N")</f>
        <v>N</v>
      </c>
      <c r="FG278" s="830" t="str">
        <f>IFERROR(VLOOKUP($B278,'Historical Conc Grant Elig'!$B$3:$J$707,'HH &amp; SI'!FG$2,0),"N")</f>
        <v>N</v>
      </c>
      <c r="FH278" s="830" t="str">
        <f>IFERROR(VLOOKUP($B278,'Historical Conc Grant Elig'!$B$3:$J$707,'HH &amp; SI'!FH$2,0),"N")</f>
        <v>Y</v>
      </c>
      <c r="FI278" s="830" t="str">
        <f>IFERROR(VLOOKUP($B278,'Historical Conc Grant Elig'!$B$3:$J$707,'HH &amp; SI'!FI$2,0),"N")</f>
        <v>Y</v>
      </c>
      <c r="FJ278" s="830" t="str">
        <f>IFERROR(VLOOKUP($B278,'Historical Conc Grant Elig'!$B$3:$J$707,'HH &amp; SI'!FJ$2,0),"N")</f>
        <v>Y</v>
      </c>
      <c r="FK278" s="830" t="str">
        <f>IFERROR(VLOOKUP($B278,'Historical Conc Grant Elig'!$B$3:$J$707,'HH &amp; SI'!FK$2,0),"N")</f>
        <v>Y</v>
      </c>
      <c r="FL278" s="957" t="str">
        <f>IFERROR(VLOOKUP($B278,'Historical Conc Grant Elig'!$B$3:$J$707,'HH &amp; SI'!FL$2,0),"N")</f>
        <v>Y</v>
      </c>
    </row>
    <row r="279" spans="2:168" x14ac:dyDescent="0.25">
      <c r="B279" s="634">
        <v>78939000</v>
      </c>
      <c r="C279" s="635" t="str">
        <f>VLOOKUP($B279,'Afton Update'!$A$5:$CR$582,'Afton Update'!D$589,0)</f>
        <v>Premier Charter High School</v>
      </c>
      <c r="D279" s="636">
        <f>IFERROR(VLOOKUP($B279,'Afton FY16 Final'!$A$5:$BV$587,'Afton FY16 Final'!AQ$587,0),0)</f>
        <v>37410.70879620195</v>
      </c>
      <c r="E279" s="637">
        <f>IFERROR(VLOOKUP($B279,'Afton FY16 Final'!$A$5:$BV$587,'Afton FY16 Final'!AR$587,0),0)</f>
        <v>7881.688699815465</v>
      </c>
      <c r="F279" s="637">
        <f>IFERROR(VLOOKUP($B279,'Afton FY16 Final'!$A$5:$BV$587,'Afton FY16 Final'!AS$587,0),0)</f>
        <v>19150.615178381679</v>
      </c>
      <c r="G279" s="637">
        <f>IFERROR(VLOOKUP($B279,'Afton FY16 Final'!$A$5:$BV$587,'Afton FY16 Final'!AT$587,0),0)</f>
        <v>19150.393742936831</v>
      </c>
      <c r="H279" s="638">
        <f>IFERROR(VLOOKUP($B279,'Afton FY16 Final'!$A$5:$BV$587,'Afton FY16 Final'!AU$587,0),0)</f>
        <v>83593.406417335937</v>
      </c>
      <c r="I279" s="639" t="str">
        <f>VLOOKUP($B279,'Afton Update'!$A$5:$CR$582,'Afton Update'!BT$589,0)</f>
        <v>Y</v>
      </c>
      <c r="J279" s="640" t="str">
        <f>VLOOKUP($B279,'Afton Update'!$A$5:$CR$582,'Afton Update'!BU$589,0)</f>
        <v>Y</v>
      </c>
      <c r="K279" s="640" t="str">
        <f>VLOOKUP($B279,'Afton Update'!$A$5:$CR$582,'Afton Update'!BV$589,0)</f>
        <v>Y</v>
      </c>
      <c r="L279" s="641" t="str">
        <f>VLOOKUP($B279,'Afton Update'!$A$5:$CR$582,'Afton Update'!BW$589,0)</f>
        <v>Y</v>
      </c>
      <c r="N279" s="642">
        <f>VLOOKUP($B279,'Afton Update'!$A$5:$CR$582,'Afton Update'!CB$589,0)</f>
        <v>0.95</v>
      </c>
      <c r="P279" s="636">
        <f>VLOOKUP($B279,'Afton Update'!$A$5:$CR$582,'Afton Update'!AH$589,0)</f>
        <v>35397.106266069859</v>
      </c>
      <c r="Q279" s="637">
        <f>VLOOKUP($B279,'Afton Update'!$A$5:$CR$582,'Afton Update'!AI$589,0)</f>
        <v>9450.8860354877143</v>
      </c>
      <c r="R279" s="637">
        <f>VLOOKUP($B279,'Afton Update'!$A$5:$CR$582,'Afton Update'!AJ$589,0)</f>
        <v>20741.921461486229</v>
      </c>
      <c r="S279" s="637">
        <f>VLOOKUP($B279,'Afton Update'!$A$5:$CR$582,'Afton Update'!AK$589,0)</f>
        <v>19308.004232042589</v>
      </c>
      <c r="T279" s="643">
        <f t="shared" si="752"/>
        <v>84897.917995086391</v>
      </c>
      <c r="V279" s="636">
        <f t="shared" si="778"/>
        <v>35540.173356391853</v>
      </c>
      <c r="W279" s="637">
        <f t="shared" si="779"/>
        <v>9139.6084028183886</v>
      </c>
      <c r="X279" s="637">
        <f t="shared" si="780"/>
        <v>20553.281784171042</v>
      </c>
      <c r="Y279" s="637">
        <f t="shared" si="781"/>
        <v>19095.264781588492</v>
      </c>
      <c r="Z279" s="643">
        <f t="shared" si="782"/>
        <v>84328.328324969771</v>
      </c>
      <c r="AB279" s="644">
        <f t="shared" si="753"/>
        <v>35397.106266069859</v>
      </c>
      <c r="AC279" s="645">
        <f t="shared" si="727"/>
        <v>35540.173356391853</v>
      </c>
      <c r="AD279" s="644">
        <f t="shared" si="783"/>
        <v>143.06709032199433</v>
      </c>
      <c r="AE279" s="645">
        <f t="shared" si="784"/>
        <v>0</v>
      </c>
      <c r="AF279" s="646">
        <f t="shared" si="785"/>
        <v>0</v>
      </c>
      <c r="AG279" s="647">
        <f t="shared" si="786"/>
        <v>35540.173356391853</v>
      </c>
      <c r="AH279" s="644">
        <f t="shared" si="754"/>
        <v>0</v>
      </c>
      <c r="AI279" s="645">
        <f t="shared" si="755"/>
        <v>0</v>
      </c>
      <c r="AJ279" s="646">
        <f t="shared" si="787"/>
        <v>0</v>
      </c>
      <c r="AK279" s="647">
        <f t="shared" si="756"/>
        <v>35540.173356391853</v>
      </c>
      <c r="AL279" s="644">
        <f t="shared" si="788"/>
        <v>0</v>
      </c>
      <c r="AM279" s="645">
        <f t="shared" si="789"/>
        <v>0</v>
      </c>
      <c r="AN279" s="646">
        <f t="shared" si="790"/>
        <v>0</v>
      </c>
      <c r="AO279" s="647">
        <f t="shared" si="757"/>
        <v>35540.173356391853</v>
      </c>
      <c r="AP279" s="644">
        <f t="shared" si="791"/>
        <v>0</v>
      </c>
      <c r="AQ279" s="645">
        <f t="shared" si="792"/>
        <v>0</v>
      </c>
      <c r="AR279" s="646">
        <f t="shared" si="793"/>
        <v>0</v>
      </c>
      <c r="AS279" s="647">
        <f t="shared" si="758"/>
        <v>35540.173356391853</v>
      </c>
      <c r="AT279" s="644">
        <f t="shared" si="794"/>
        <v>0</v>
      </c>
      <c r="AU279" s="645">
        <f t="shared" si="795"/>
        <v>0</v>
      </c>
      <c r="AV279" s="646">
        <f t="shared" si="796"/>
        <v>0</v>
      </c>
      <c r="AW279" s="647">
        <f t="shared" si="759"/>
        <v>35540.173356391853</v>
      </c>
      <c r="AY279" s="644">
        <f t="shared" si="797"/>
        <v>9450.8860354877143</v>
      </c>
      <c r="AZ279" s="645">
        <f t="shared" si="728"/>
        <v>7487.6042648246912</v>
      </c>
      <c r="BA279" s="644">
        <f t="shared" si="798"/>
        <v>0</v>
      </c>
      <c r="BB279" s="645">
        <f t="shared" si="799"/>
        <v>9450.8860354877143</v>
      </c>
      <c r="BC279" s="646">
        <f t="shared" si="800"/>
        <v>-67.964075757108191</v>
      </c>
      <c r="BD279" s="647">
        <f t="shared" si="801"/>
        <v>9382.9219597306055</v>
      </c>
      <c r="BE279" s="644">
        <f t="shared" si="760"/>
        <v>0</v>
      </c>
      <c r="BF279" s="645">
        <f t="shared" si="761"/>
        <v>9382.9219597306055</v>
      </c>
      <c r="BG279" s="646">
        <f t="shared" si="802"/>
        <v>-223.49355455103716</v>
      </c>
      <c r="BH279" s="647">
        <f t="shared" si="762"/>
        <v>9159.4284051795676</v>
      </c>
      <c r="BI279" s="644">
        <f t="shared" si="803"/>
        <v>0</v>
      </c>
      <c r="BJ279" s="645">
        <f t="shared" si="804"/>
        <v>9159.4284051795676</v>
      </c>
      <c r="BK279" s="646">
        <f t="shared" si="805"/>
        <v>-19.401820655521949</v>
      </c>
      <c r="BL279" s="647">
        <f t="shared" si="763"/>
        <v>9140.0265845240465</v>
      </c>
      <c r="BM279" s="644">
        <f t="shared" si="806"/>
        <v>0</v>
      </c>
      <c r="BN279" s="645">
        <f t="shared" si="807"/>
        <v>9140.0265845240465</v>
      </c>
      <c r="BO279" s="646">
        <f t="shared" si="808"/>
        <v>-0.41818170565755219</v>
      </c>
      <c r="BP279" s="647">
        <f t="shared" si="764"/>
        <v>9139.6084028183886</v>
      </c>
      <c r="BQ279" s="644">
        <f t="shared" si="809"/>
        <v>0</v>
      </c>
      <c r="BR279" s="645">
        <f t="shared" si="810"/>
        <v>9139.6084028183886</v>
      </c>
      <c r="BS279" s="646">
        <f t="shared" si="811"/>
        <v>0</v>
      </c>
      <c r="BT279" s="647">
        <f t="shared" si="765"/>
        <v>9139.6084028183886</v>
      </c>
      <c r="BU279" s="662">
        <f>VLOOKUP(B279,'Afton Update'!$A$5:$AR$582,'Afton Update'!$AO$589,0)-BT279</f>
        <v>0</v>
      </c>
      <c r="BV279" s="644">
        <f t="shared" si="812"/>
        <v>20741.921461486229</v>
      </c>
      <c r="BW279" s="645">
        <f t="shared" si="729"/>
        <v>18193.084419462593</v>
      </c>
      <c r="BX279" s="644">
        <f t="shared" si="813"/>
        <v>0</v>
      </c>
      <c r="BY279" s="645">
        <f t="shared" si="814"/>
        <v>20741.921461486229</v>
      </c>
      <c r="BZ279" s="646">
        <f t="shared" si="815"/>
        <v>-182.05404992391826</v>
      </c>
      <c r="CA279" s="647">
        <f t="shared" si="816"/>
        <v>20559.867411562311</v>
      </c>
      <c r="CB279" s="644">
        <f t="shared" si="766"/>
        <v>0</v>
      </c>
      <c r="CC279" s="645">
        <f t="shared" si="767"/>
        <v>20559.867411562311</v>
      </c>
      <c r="CD279" s="646">
        <f t="shared" si="817"/>
        <v>-6.5856273912672245</v>
      </c>
      <c r="CE279" s="647">
        <f t="shared" si="768"/>
        <v>20553.281784171042</v>
      </c>
      <c r="CF279" s="644">
        <f t="shared" si="818"/>
        <v>0</v>
      </c>
      <c r="CG279" s="645">
        <f t="shared" si="819"/>
        <v>20553.281784171042</v>
      </c>
      <c r="CH279" s="646">
        <f t="shared" si="820"/>
        <v>0</v>
      </c>
      <c r="CI279" s="647">
        <f t="shared" si="769"/>
        <v>20553.281784171042</v>
      </c>
      <c r="CJ279" s="644">
        <f t="shared" si="821"/>
        <v>0</v>
      </c>
      <c r="CK279" s="645">
        <f t="shared" si="822"/>
        <v>20553.281784171042</v>
      </c>
      <c r="CL279" s="646">
        <f t="shared" si="823"/>
        <v>0</v>
      </c>
      <c r="CM279" s="647">
        <f t="shared" si="770"/>
        <v>20553.281784171042</v>
      </c>
      <c r="CN279" s="644">
        <f t="shared" si="824"/>
        <v>0</v>
      </c>
      <c r="CO279" s="645">
        <f t="shared" si="825"/>
        <v>20553.281784171042</v>
      </c>
      <c r="CP279" s="646">
        <f t="shared" si="826"/>
        <v>0</v>
      </c>
      <c r="CQ279" s="647">
        <f t="shared" si="771"/>
        <v>20553.281784171042</v>
      </c>
      <c r="CS279" s="644">
        <f t="shared" si="827"/>
        <v>19308.004232042589</v>
      </c>
      <c r="CT279" s="645">
        <f t="shared" si="730"/>
        <v>18192.874055789987</v>
      </c>
      <c r="CU279" s="644">
        <f t="shared" si="828"/>
        <v>0</v>
      </c>
      <c r="CV279" s="645">
        <f t="shared" si="829"/>
        <v>19308.004232042589</v>
      </c>
      <c r="CW279" s="646">
        <f t="shared" si="830"/>
        <v>-197.7248747136145</v>
      </c>
      <c r="CX279" s="647">
        <f t="shared" si="831"/>
        <v>19110.279357328975</v>
      </c>
      <c r="CY279" s="644">
        <f t="shared" si="772"/>
        <v>0</v>
      </c>
      <c r="CZ279" s="645">
        <f t="shared" si="773"/>
        <v>19110.279357328975</v>
      </c>
      <c r="DA279" s="646">
        <f t="shared" si="832"/>
        <v>-15.001638695596066</v>
      </c>
      <c r="DB279" s="647">
        <f t="shared" si="774"/>
        <v>19095.277718633377</v>
      </c>
      <c r="DC279" s="644">
        <f t="shared" si="833"/>
        <v>0</v>
      </c>
      <c r="DD279" s="645">
        <f t="shared" si="834"/>
        <v>19095.277718633377</v>
      </c>
      <c r="DE279" s="646">
        <f t="shared" si="835"/>
        <v>-1.2937044885288809E-2</v>
      </c>
      <c r="DF279" s="647">
        <f t="shared" si="775"/>
        <v>19095.264781588492</v>
      </c>
      <c r="DG279" s="644">
        <f t="shared" si="836"/>
        <v>0</v>
      </c>
      <c r="DH279" s="645">
        <f t="shared" si="837"/>
        <v>19095.264781588492</v>
      </c>
      <c r="DI279" s="646">
        <f t="shared" si="838"/>
        <v>0</v>
      </c>
      <c r="DJ279" s="647">
        <f t="shared" si="776"/>
        <v>19095.264781588492</v>
      </c>
      <c r="DK279" s="644">
        <f t="shared" si="839"/>
        <v>0</v>
      </c>
      <c r="DL279" s="645">
        <f t="shared" si="840"/>
        <v>19095.264781588492</v>
      </c>
      <c r="DM279" s="646">
        <f t="shared" si="841"/>
        <v>0</v>
      </c>
      <c r="DN279" s="647">
        <f t="shared" si="777"/>
        <v>19095.264781588492</v>
      </c>
      <c r="DR279" s="827">
        <f t="shared" si="731"/>
        <v>84328.328324969771</v>
      </c>
      <c r="DV279" s="828">
        <f>IFERROR(VLOOKUP($B279,'Afton FY16 Final'!$A$5:$BV$587,'Afton FY16 Final'!$BV$587,0),0)</f>
        <v>80253.624068358491</v>
      </c>
      <c r="DX279" s="636">
        <f t="shared" si="719"/>
        <v>84328.328324969771</v>
      </c>
      <c r="DY279" s="637">
        <f t="shared" si="720"/>
        <v>4074.7042566112796</v>
      </c>
      <c r="DZ279" s="637">
        <f t="shared" si="721"/>
        <v>80253.624068358491</v>
      </c>
      <c r="EA279" s="643">
        <f t="shared" si="722"/>
        <v>79843.006359468651</v>
      </c>
      <c r="EB279" s="637">
        <f t="shared" si="732"/>
        <v>80253.624068358491</v>
      </c>
      <c r="EC279" s="637">
        <f t="shared" si="733"/>
        <v>0</v>
      </c>
      <c r="ED279" s="637">
        <f t="shared" si="734"/>
        <v>0</v>
      </c>
      <c r="EE279" s="643">
        <f t="shared" si="735"/>
        <v>80253.624068358491</v>
      </c>
      <c r="EF279" s="637">
        <f t="shared" si="736"/>
        <v>0</v>
      </c>
      <c r="EG279" s="637">
        <f t="shared" si="737"/>
        <v>0</v>
      </c>
      <c r="EH279" s="637">
        <f t="shared" si="738"/>
        <v>0</v>
      </c>
      <c r="EI279" s="643">
        <f t="shared" si="739"/>
        <v>80253.624068358491</v>
      </c>
      <c r="EJ279" s="637">
        <f t="shared" si="740"/>
        <v>0</v>
      </c>
      <c r="EK279" s="637">
        <f t="shared" si="741"/>
        <v>0</v>
      </c>
      <c r="EL279" s="637">
        <f t="shared" si="742"/>
        <v>0</v>
      </c>
      <c r="EM279" s="643">
        <f t="shared" si="743"/>
        <v>80253.624068358491</v>
      </c>
      <c r="EN279" s="637">
        <f t="shared" si="744"/>
        <v>0</v>
      </c>
      <c r="EO279" s="637">
        <f t="shared" si="745"/>
        <v>0</v>
      </c>
      <c r="EP279" s="637">
        <f t="shared" si="746"/>
        <v>0</v>
      </c>
      <c r="EQ279" s="643">
        <f t="shared" si="747"/>
        <v>80253.624068358491</v>
      </c>
      <c r="ER279" s="637">
        <f t="shared" si="748"/>
        <v>0</v>
      </c>
      <c r="ES279" s="637">
        <f t="shared" si="749"/>
        <v>0</v>
      </c>
      <c r="ET279" s="637">
        <f t="shared" si="750"/>
        <v>0</v>
      </c>
      <c r="EU279" s="643">
        <f t="shared" si="723"/>
        <v>80253.624068358491</v>
      </c>
      <c r="EV279" s="643">
        <f t="shared" si="724"/>
        <v>0</v>
      </c>
      <c r="EX279" s="829">
        <f t="shared" si="725"/>
        <v>4074.7042566112796</v>
      </c>
      <c r="EY279" s="638">
        <f t="shared" si="726"/>
        <v>80253.624068358491</v>
      </c>
      <c r="FC279" s="830" t="str">
        <f t="shared" si="751"/>
        <v>Y</v>
      </c>
      <c r="FE279" s="830" t="str">
        <f>IFERROR(VLOOKUP($B279,'Historical Conc Grant Elig'!$B$3:$J$707,'HH &amp; SI'!FE$2,0),"N")</f>
        <v>Y</v>
      </c>
      <c r="FF279" s="830" t="str">
        <f>IFERROR(VLOOKUP($B279,'Historical Conc Grant Elig'!$B$3:$J$707,'HH &amp; SI'!FF$2,0),"N")</f>
        <v>Y</v>
      </c>
      <c r="FG279" s="830" t="str">
        <f>IFERROR(VLOOKUP($B279,'Historical Conc Grant Elig'!$B$3:$J$707,'HH &amp; SI'!FG$2,0),"N")</f>
        <v>Y</v>
      </c>
      <c r="FH279" s="830" t="str">
        <f>IFERROR(VLOOKUP($B279,'Historical Conc Grant Elig'!$B$3:$J$707,'HH &amp; SI'!FH$2,0),"N")</f>
        <v>Y</v>
      </c>
      <c r="FI279" s="830" t="str">
        <f>IFERROR(VLOOKUP($B279,'Historical Conc Grant Elig'!$B$3:$J$707,'HH &amp; SI'!FI$2,0),"N")</f>
        <v>Y</v>
      </c>
      <c r="FJ279" s="830" t="str">
        <f>IFERROR(VLOOKUP($B279,'Historical Conc Grant Elig'!$B$3:$J$707,'HH &amp; SI'!FJ$2,0),"N")</f>
        <v>Y</v>
      </c>
      <c r="FK279" s="830" t="str">
        <f>IFERROR(VLOOKUP($B279,'Historical Conc Grant Elig'!$B$3:$J$707,'HH &amp; SI'!FK$2,0),"N")</f>
        <v>Y</v>
      </c>
      <c r="FL279" s="957" t="str">
        <f>IFERROR(VLOOKUP($B279,'Historical Conc Grant Elig'!$B$3:$J$707,'HH &amp; SI'!FL$2,0),"N")</f>
        <v>Y</v>
      </c>
    </row>
    <row r="280" spans="2:168" x14ac:dyDescent="0.25">
      <c r="B280" s="634">
        <v>78940000</v>
      </c>
      <c r="C280" s="635" t="str">
        <f>VLOOKUP($B280,'Afton Update'!$A$5:$CR$582,'Afton Update'!D$589,0)</f>
        <v>Pan-American Elementary Charter</v>
      </c>
      <c r="D280" s="636">
        <f>IFERROR(VLOOKUP($B280,'Afton FY16 Final'!$A$5:$BV$587,'Afton FY16 Final'!AQ$587,0),0)</f>
        <v>178183.88989310997</v>
      </c>
      <c r="E280" s="637">
        <f>IFERROR(VLOOKUP($B280,'Afton FY16 Final'!$A$5:$BV$587,'Afton FY16 Final'!AR$587,0),0)</f>
        <v>37063.868864262957</v>
      </c>
      <c r="F280" s="637">
        <f>IFERROR(VLOOKUP($B280,'Afton FY16 Final'!$A$5:$BV$587,'Afton FY16 Final'!AS$587,0),0)</f>
        <v>94475.701793421933</v>
      </c>
      <c r="G280" s="637">
        <f>IFERROR(VLOOKUP($B280,'Afton FY16 Final'!$A$5:$BV$587,'Afton FY16 Final'!AT$587,0),0)</f>
        <v>91026.688349662625</v>
      </c>
      <c r="H280" s="638">
        <f>IFERROR(VLOOKUP($B280,'Afton FY16 Final'!$A$5:$BV$587,'Afton FY16 Final'!AU$587,0),0)</f>
        <v>400750.14890045748</v>
      </c>
      <c r="I280" s="639" t="str">
        <f>VLOOKUP($B280,'Afton Update'!$A$5:$CR$582,'Afton Update'!BT$589,0)</f>
        <v>Y</v>
      </c>
      <c r="J280" s="640" t="str">
        <f>VLOOKUP($B280,'Afton Update'!$A$5:$CR$582,'Afton Update'!BU$589,0)</f>
        <v>Y</v>
      </c>
      <c r="K280" s="640" t="str">
        <f>VLOOKUP($B280,'Afton Update'!$A$5:$CR$582,'Afton Update'!BV$589,0)</f>
        <v>Y</v>
      </c>
      <c r="L280" s="641" t="str">
        <f>VLOOKUP($B280,'Afton Update'!$A$5:$CR$582,'Afton Update'!BW$589,0)</f>
        <v>Y</v>
      </c>
      <c r="N280" s="642">
        <f>VLOOKUP($B280,'Afton Update'!$A$5:$CR$582,'Afton Update'!CB$589,0)</f>
        <v>0.95</v>
      </c>
      <c r="P280" s="636">
        <f>VLOOKUP($B280,'Afton Update'!$A$5:$CR$582,'Afton Update'!AH$589,0)</f>
        <v>156177.77291718661</v>
      </c>
      <c r="Q280" s="637">
        <f>VLOOKUP($B280,'Afton Update'!$A$5:$CR$582,'Afton Update'!AI$589,0)</f>
        <v>34428.13366786464</v>
      </c>
      <c r="R280" s="637">
        <f>VLOOKUP($B280,'Afton Update'!$A$5:$CR$582,'Afton Update'!AJ$589,0)</f>
        <v>91430.254652123491</v>
      </c>
      <c r="S280" s="637">
        <f>VLOOKUP($B280,'Afton Update'!$A$5:$CR$582,'Afton Update'!AK$589,0)</f>
        <v>85109.556847846514</v>
      </c>
      <c r="T280" s="643">
        <f t="shared" si="752"/>
        <v>367145.71808502125</v>
      </c>
      <c r="V280" s="636">
        <f t="shared" si="778"/>
        <v>169274.69539845447</v>
      </c>
      <c r="W280" s="637">
        <f t="shared" si="779"/>
        <v>35210.675421049804</v>
      </c>
      <c r="X280" s="637">
        <f t="shared" si="780"/>
        <v>90598.732183655608</v>
      </c>
      <c r="Y280" s="637">
        <f t="shared" si="781"/>
        <v>86475.353932179496</v>
      </c>
      <c r="Z280" s="643">
        <f t="shared" si="782"/>
        <v>381559.45693533937</v>
      </c>
      <c r="AB280" s="644">
        <f t="shared" si="753"/>
        <v>156177.77291718661</v>
      </c>
      <c r="AC280" s="645">
        <f t="shared" si="727"/>
        <v>169274.69539845447</v>
      </c>
      <c r="AD280" s="644">
        <f t="shared" si="783"/>
        <v>13096.922481267859</v>
      </c>
      <c r="AE280" s="645">
        <f t="shared" si="784"/>
        <v>0</v>
      </c>
      <c r="AF280" s="646">
        <f t="shared" si="785"/>
        <v>0</v>
      </c>
      <c r="AG280" s="647">
        <f t="shared" si="786"/>
        <v>169274.69539845447</v>
      </c>
      <c r="AH280" s="644">
        <f t="shared" si="754"/>
        <v>0</v>
      </c>
      <c r="AI280" s="645">
        <f t="shared" si="755"/>
        <v>0</v>
      </c>
      <c r="AJ280" s="646">
        <f t="shared" si="787"/>
        <v>0</v>
      </c>
      <c r="AK280" s="647">
        <f t="shared" si="756"/>
        <v>169274.69539845447</v>
      </c>
      <c r="AL280" s="644">
        <f t="shared" si="788"/>
        <v>0</v>
      </c>
      <c r="AM280" s="645">
        <f t="shared" si="789"/>
        <v>0</v>
      </c>
      <c r="AN280" s="646">
        <f t="shared" si="790"/>
        <v>0</v>
      </c>
      <c r="AO280" s="647">
        <f t="shared" si="757"/>
        <v>169274.69539845447</v>
      </c>
      <c r="AP280" s="644">
        <f t="shared" si="791"/>
        <v>0</v>
      </c>
      <c r="AQ280" s="645">
        <f t="shared" si="792"/>
        <v>0</v>
      </c>
      <c r="AR280" s="646">
        <f t="shared" si="793"/>
        <v>0</v>
      </c>
      <c r="AS280" s="647">
        <f t="shared" si="758"/>
        <v>169274.69539845447</v>
      </c>
      <c r="AT280" s="644">
        <f t="shared" si="794"/>
        <v>0</v>
      </c>
      <c r="AU280" s="645">
        <f t="shared" si="795"/>
        <v>0</v>
      </c>
      <c r="AV280" s="646">
        <f t="shared" si="796"/>
        <v>0</v>
      </c>
      <c r="AW280" s="647">
        <f t="shared" si="759"/>
        <v>169274.69539845447</v>
      </c>
      <c r="AY280" s="644">
        <f t="shared" si="797"/>
        <v>34428.13366786464</v>
      </c>
      <c r="AZ280" s="645">
        <f t="shared" si="728"/>
        <v>35210.675421049804</v>
      </c>
      <c r="BA280" s="644">
        <f t="shared" si="798"/>
        <v>782.54175318516354</v>
      </c>
      <c r="BB280" s="645">
        <f t="shared" si="799"/>
        <v>0</v>
      </c>
      <c r="BC280" s="646">
        <f t="shared" si="800"/>
        <v>0</v>
      </c>
      <c r="BD280" s="647">
        <f t="shared" si="801"/>
        <v>35210.675421049804</v>
      </c>
      <c r="BE280" s="644">
        <f t="shared" si="760"/>
        <v>0</v>
      </c>
      <c r="BF280" s="645">
        <f t="shared" si="761"/>
        <v>0</v>
      </c>
      <c r="BG280" s="646">
        <f t="shared" si="802"/>
        <v>0</v>
      </c>
      <c r="BH280" s="647">
        <f t="shared" si="762"/>
        <v>35210.675421049804</v>
      </c>
      <c r="BI280" s="644">
        <f t="shared" si="803"/>
        <v>0</v>
      </c>
      <c r="BJ280" s="645">
        <f t="shared" si="804"/>
        <v>0</v>
      </c>
      <c r="BK280" s="646">
        <f t="shared" si="805"/>
        <v>0</v>
      </c>
      <c r="BL280" s="647">
        <f t="shared" si="763"/>
        <v>35210.675421049804</v>
      </c>
      <c r="BM280" s="644">
        <f t="shared" si="806"/>
        <v>0</v>
      </c>
      <c r="BN280" s="645">
        <f t="shared" si="807"/>
        <v>0</v>
      </c>
      <c r="BO280" s="646">
        <f t="shared" si="808"/>
        <v>0</v>
      </c>
      <c r="BP280" s="647">
        <f t="shared" si="764"/>
        <v>35210.675421049804</v>
      </c>
      <c r="BQ280" s="644">
        <f t="shared" si="809"/>
        <v>0</v>
      </c>
      <c r="BR280" s="645">
        <f t="shared" si="810"/>
        <v>0</v>
      </c>
      <c r="BS280" s="646">
        <f t="shared" si="811"/>
        <v>0</v>
      </c>
      <c r="BT280" s="647">
        <f t="shared" si="765"/>
        <v>35210.675421049804</v>
      </c>
      <c r="BU280" s="662">
        <f>VLOOKUP(B280,'Afton Update'!$A$5:$AR$582,'Afton Update'!$AO$589,0)-BT280</f>
        <v>0</v>
      </c>
      <c r="BV280" s="644">
        <f t="shared" si="812"/>
        <v>91430.254652123491</v>
      </c>
      <c r="BW280" s="645">
        <f t="shared" si="729"/>
        <v>89751.91670375083</v>
      </c>
      <c r="BX280" s="644">
        <f t="shared" si="813"/>
        <v>0</v>
      </c>
      <c r="BY280" s="645">
        <f t="shared" si="814"/>
        <v>91430.254652123491</v>
      </c>
      <c r="BZ280" s="646">
        <f t="shared" si="815"/>
        <v>-802.49306583776649</v>
      </c>
      <c r="CA280" s="647">
        <f t="shared" si="816"/>
        <v>90627.76158628572</v>
      </c>
      <c r="CB280" s="644">
        <f t="shared" si="766"/>
        <v>0</v>
      </c>
      <c r="CC280" s="645">
        <f t="shared" si="767"/>
        <v>90627.76158628572</v>
      </c>
      <c r="CD280" s="646">
        <f t="shared" si="817"/>
        <v>-29.029402630108006</v>
      </c>
      <c r="CE280" s="647">
        <f t="shared" si="768"/>
        <v>90598.732183655608</v>
      </c>
      <c r="CF280" s="644">
        <f t="shared" si="818"/>
        <v>0</v>
      </c>
      <c r="CG280" s="645">
        <f t="shared" si="819"/>
        <v>90598.732183655608</v>
      </c>
      <c r="CH280" s="646">
        <f t="shared" si="820"/>
        <v>0</v>
      </c>
      <c r="CI280" s="647">
        <f t="shared" si="769"/>
        <v>90598.732183655608</v>
      </c>
      <c r="CJ280" s="644">
        <f t="shared" si="821"/>
        <v>0</v>
      </c>
      <c r="CK280" s="645">
        <f t="shared" si="822"/>
        <v>90598.732183655608</v>
      </c>
      <c r="CL280" s="646">
        <f t="shared" si="823"/>
        <v>0</v>
      </c>
      <c r="CM280" s="647">
        <f t="shared" si="770"/>
        <v>90598.732183655608</v>
      </c>
      <c r="CN280" s="644">
        <f t="shared" si="824"/>
        <v>0</v>
      </c>
      <c r="CO280" s="645">
        <f t="shared" si="825"/>
        <v>90598.732183655608</v>
      </c>
      <c r="CP280" s="646">
        <f t="shared" si="826"/>
        <v>0</v>
      </c>
      <c r="CQ280" s="647">
        <f t="shared" si="771"/>
        <v>90598.732183655608</v>
      </c>
      <c r="CS280" s="644">
        <f t="shared" si="827"/>
        <v>85109.556847846514</v>
      </c>
      <c r="CT280" s="645">
        <f t="shared" si="730"/>
        <v>86475.353932179496</v>
      </c>
      <c r="CU280" s="644">
        <f t="shared" si="828"/>
        <v>1365.7970843329822</v>
      </c>
      <c r="CV280" s="645">
        <f t="shared" si="829"/>
        <v>0</v>
      </c>
      <c r="CW280" s="646">
        <f t="shared" si="830"/>
        <v>0</v>
      </c>
      <c r="CX280" s="647">
        <f t="shared" si="831"/>
        <v>86475.353932179496</v>
      </c>
      <c r="CY280" s="644">
        <f t="shared" si="772"/>
        <v>0</v>
      </c>
      <c r="CZ280" s="645">
        <f t="shared" si="773"/>
        <v>0</v>
      </c>
      <c r="DA280" s="646">
        <f t="shared" si="832"/>
        <v>0</v>
      </c>
      <c r="DB280" s="647">
        <f t="shared" si="774"/>
        <v>86475.353932179496</v>
      </c>
      <c r="DC280" s="644">
        <f t="shared" si="833"/>
        <v>0</v>
      </c>
      <c r="DD280" s="645">
        <f t="shared" si="834"/>
        <v>0</v>
      </c>
      <c r="DE280" s="646">
        <f t="shared" si="835"/>
        <v>0</v>
      </c>
      <c r="DF280" s="647">
        <f t="shared" si="775"/>
        <v>86475.353932179496</v>
      </c>
      <c r="DG280" s="644">
        <f t="shared" si="836"/>
        <v>0</v>
      </c>
      <c r="DH280" s="645">
        <f t="shared" si="837"/>
        <v>0</v>
      </c>
      <c r="DI280" s="646">
        <f t="shared" si="838"/>
        <v>0</v>
      </c>
      <c r="DJ280" s="647">
        <f t="shared" si="776"/>
        <v>86475.353932179496</v>
      </c>
      <c r="DK280" s="644">
        <f t="shared" si="839"/>
        <v>0</v>
      </c>
      <c r="DL280" s="645">
        <f t="shared" si="840"/>
        <v>0</v>
      </c>
      <c r="DM280" s="646">
        <f t="shared" si="841"/>
        <v>0</v>
      </c>
      <c r="DN280" s="647">
        <f t="shared" si="777"/>
        <v>86475.353932179496</v>
      </c>
      <c r="DR280" s="827">
        <f t="shared" si="731"/>
        <v>381559.45693533937</v>
      </c>
      <c r="DV280" s="828">
        <f>IFERROR(VLOOKUP($B280,'Afton FY16 Final'!$A$5:$BV$587,'Afton FY16 Final'!$BV$587,0),0)</f>
        <v>386566.80514662503</v>
      </c>
      <c r="DX280" s="636">
        <f t="shared" si="719"/>
        <v>0</v>
      </c>
      <c r="DY280" s="637">
        <f t="shared" si="720"/>
        <v>0</v>
      </c>
      <c r="DZ280" s="637">
        <f t="shared" si="721"/>
        <v>0</v>
      </c>
      <c r="EA280" s="643">
        <f t="shared" si="722"/>
        <v>0</v>
      </c>
      <c r="EB280" s="637">
        <f t="shared" si="732"/>
        <v>0</v>
      </c>
      <c r="EC280" s="637">
        <f t="shared" si="733"/>
        <v>0</v>
      </c>
      <c r="ED280" s="637">
        <f t="shared" si="734"/>
        <v>0</v>
      </c>
      <c r="EE280" s="643">
        <f t="shared" si="735"/>
        <v>0</v>
      </c>
      <c r="EF280" s="637">
        <f t="shared" si="736"/>
        <v>0</v>
      </c>
      <c r="EG280" s="637">
        <f t="shared" si="737"/>
        <v>0</v>
      </c>
      <c r="EH280" s="637">
        <f t="shared" si="738"/>
        <v>0</v>
      </c>
      <c r="EI280" s="643">
        <f t="shared" si="739"/>
        <v>0</v>
      </c>
      <c r="EJ280" s="637">
        <f t="shared" si="740"/>
        <v>0</v>
      </c>
      <c r="EK280" s="637">
        <f t="shared" si="741"/>
        <v>0</v>
      </c>
      <c r="EL280" s="637">
        <f t="shared" si="742"/>
        <v>0</v>
      </c>
      <c r="EM280" s="643">
        <f t="shared" si="743"/>
        <v>0</v>
      </c>
      <c r="EN280" s="637">
        <f t="shared" si="744"/>
        <v>0</v>
      </c>
      <c r="EO280" s="637">
        <f t="shared" si="745"/>
        <v>0</v>
      </c>
      <c r="EP280" s="637">
        <f t="shared" si="746"/>
        <v>0</v>
      </c>
      <c r="EQ280" s="643">
        <f t="shared" si="747"/>
        <v>0</v>
      </c>
      <c r="ER280" s="637">
        <f t="shared" si="748"/>
        <v>0</v>
      </c>
      <c r="ES280" s="637">
        <f t="shared" si="749"/>
        <v>0</v>
      </c>
      <c r="ET280" s="637">
        <f t="shared" si="750"/>
        <v>0</v>
      </c>
      <c r="EU280" s="643">
        <f t="shared" si="723"/>
        <v>0</v>
      </c>
      <c r="EV280" s="643">
        <f t="shared" si="724"/>
        <v>0</v>
      </c>
      <c r="EX280" s="829">
        <f t="shared" si="725"/>
        <v>0</v>
      </c>
      <c r="EY280" s="638">
        <f t="shared" si="726"/>
        <v>381559.45693533937</v>
      </c>
      <c r="FC280" s="830" t="str">
        <f t="shared" si="751"/>
        <v>Y</v>
      </c>
      <c r="FE280" s="830" t="str">
        <f>IFERROR(VLOOKUP($B280,'Historical Conc Grant Elig'!$B$3:$J$707,'HH &amp; SI'!FE$2,0),"N")</f>
        <v>Y</v>
      </c>
      <c r="FF280" s="830" t="str">
        <f>IFERROR(VLOOKUP($B280,'Historical Conc Grant Elig'!$B$3:$J$707,'HH &amp; SI'!FF$2,0),"N")</f>
        <v>Y</v>
      </c>
      <c r="FG280" s="830" t="str">
        <f>IFERROR(VLOOKUP($B280,'Historical Conc Grant Elig'!$B$3:$J$707,'HH &amp; SI'!FG$2,0),"N")</f>
        <v>Y</v>
      </c>
      <c r="FH280" s="830" t="str">
        <f>IFERROR(VLOOKUP($B280,'Historical Conc Grant Elig'!$B$3:$J$707,'HH &amp; SI'!FH$2,0),"N")</f>
        <v>Y</v>
      </c>
      <c r="FI280" s="830" t="str">
        <f>IFERROR(VLOOKUP($B280,'Historical Conc Grant Elig'!$B$3:$J$707,'HH &amp; SI'!FI$2,0),"N")</f>
        <v>Y</v>
      </c>
      <c r="FJ280" s="830" t="str">
        <f>IFERROR(VLOOKUP($B280,'Historical Conc Grant Elig'!$B$3:$J$707,'HH &amp; SI'!FJ$2,0),"N")</f>
        <v>Y</v>
      </c>
      <c r="FK280" s="830" t="str">
        <f>IFERROR(VLOOKUP($B280,'Historical Conc Grant Elig'!$B$3:$J$707,'HH &amp; SI'!FK$2,0),"N")</f>
        <v>Y</v>
      </c>
      <c r="FL280" s="957" t="str">
        <f>IFERROR(VLOOKUP($B280,'Historical Conc Grant Elig'!$B$3:$J$707,'HH &amp; SI'!FL$2,0),"N")</f>
        <v>Y</v>
      </c>
    </row>
    <row r="281" spans="2:168" x14ac:dyDescent="0.25">
      <c r="B281" s="634">
        <v>78945000</v>
      </c>
      <c r="C281" s="635" t="str">
        <f>VLOOKUP($B281,'Afton Update'!$A$5:$CR$582,'Afton Update'!D$589,0)</f>
        <v>North Star Charter School  Inc.</v>
      </c>
      <c r="D281" s="636">
        <f>IFERROR(VLOOKUP($B281,'Afton FY16 Final'!$A$5:$BV$587,'Afton FY16 Final'!AQ$587,0),0)</f>
        <v>10917.731062161898</v>
      </c>
      <c r="E281" s="637">
        <f>IFERROR(VLOOKUP($B281,'Afton FY16 Final'!$A$5:$BV$587,'Afton FY16 Final'!AR$587,0),0)</f>
        <v>4126.4904614362149</v>
      </c>
      <c r="F281" s="637">
        <f>IFERROR(VLOOKUP($B281,'Afton FY16 Final'!$A$5:$BV$587,'Afton FY16 Final'!AS$587,0),0)</f>
        <v>5925.1808930925426</v>
      </c>
      <c r="G281" s="637">
        <f>IFERROR(VLOOKUP($B281,'Afton FY16 Final'!$A$5:$BV$587,'Afton FY16 Final'!AT$587,0),0)</f>
        <v>4975.1276705874388</v>
      </c>
      <c r="H281" s="638">
        <f>IFERROR(VLOOKUP($B281,'Afton FY16 Final'!$A$5:$BV$587,'Afton FY16 Final'!AU$587,0),0)</f>
        <v>25944.530087278094</v>
      </c>
      <c r="I281" s="639" t="str">
        <f>VLOOKUP($B281,'Afton Update'!$A$5:$CR$582,'Afton Update'!BT$589,0)</f>
        <v>Y</v>
      </c>
      <c r="J281" s="640" t="str">
        <f>VLOOKUP($B281,'Afton Update'!$A$5:$CR$582,'Afton Update'!BU$589,0)</f>
        <v>Y</v>
      </c>
      <c r="K281" s="640" t="str">
        <f>VLOOKUP($B281,'Afton Update'!$A$5:$CR$582,'Afton Update'!BV$589,0)</f>
        <v>Y</v>
      </c>
      <c r="L281" s="641" t="str">
        <f>VLOOKUP($B281,'Afton Update'!$A$5:$CR$582,'Afton Update'!BW$589,0)</f>
        <v>Y</v>
      </c>
      <c r="N281" s="642">
        <f>VLOOKUP($B281,'Afton Update'!$A$5:$CR$582,'Afton Update'!CB$589,0)</f>
        <v>0.95</v>
      </c>
      <c r="P281" s="636">
        <f>VLOOKUP($B281,'Afton Update'!$A$5:$CR$582,'Afton Update'!AH$589,0)</f>
        <v>12436.821120511033</v>
      </c>
      <c r="Q281" s="637">
        <f>VLOOKUP($B281,'Afton Update'!$A$5:$CR$582,'Afton Update'!AI$589,0)</f>
        <v>4702.7359905210105</v>
      </c>
      <c r="R281" s="637">
        <f>VLOOKUP($B281,'Afton Update'!$A$5:$CR$582,'Afton Update'!AJ$589,0)</f>
        <v>7304.1393103947894</v>
      </c>
      <c r="S281" s="637">
        <f>VLOOKUP($B281,'Afton Update'!$A$5:$CR$582,'Afton Update'!AK$589,0)</f>
        <v>6799.194229830362</v>
      </c>
      <c r="T281" s="643">
        <f t="shared" si="752"/>
        <v>31242.890651257196</v>
      </c>
      <c r="V281" s="636">
        <f t="shared" si="778"/>
        <v>12267.174808138583</v>
      </c>
      <c r="W281" s="637">
        <f t="shared" si="779"/>
        <v>4547.8450606440128</v>
      </c>
      <c r="X281" s="637">
        <f t="shared" si="780"/>
        <v>7237.7110151601146</v>
      </c>
      <c r="Y281" s="637">
        <f t="shared" si="781"/>
        <v>6724.2793485924403</v>
      </c>
      <c r="Z281" s="643">
        <f t="shared" si="782"/>
        <v>30777.010232535155</v>
      </c>
      <c r="AB281" s="644">
        <f t="shared" si="753"/>
        <v>12436.821120511033</v>
      </c>
      <c r="AC281" s="645">
        <f t="shared" si="727"/>
        <v>10371.844509053803</v>
      </c>
      <c r="AD281" s="644">
        <f t="shared" si="783"/>
        <v>0</v>
      </c>
      <c r="AE281" s="645">
        <f t="shared" si="784"/>
        <v>12436.821120511033</v>
      </c>
      <c r="AF281" s="646">
        <f t="shared" si="785"/>
        <v>-154.1637438110198</v>
      </c>
      <c r="AG281" s="647">
        <f t="shared" si="786"/>
        <v>12282.657376700014</v>
      </c>
      <c r="AH281" s="644">
        <f t="shared" si="754"/>
        <v>0</v>
      </c>
      <c r="AI281" s="645">
        <f t="shared" si="755"/>
        <v>12282.657376700014</v>
      </c>
      <c r="AJ281" s="646">
        <f t="shared" si="787"/>
        <v>-15.472704664553685</v>
      </c>
      <c r="AK281" s="647">
        <f t="shared" si="756"/>
        <v>12267.184672035461</v>
      </c>
      <c r="AL281" s="644">
        <f t="shared" si="788"/>
        <v>0</v>
      </c>
      <c r="AM281" s="645">
        <f t="shared" si="789"/>
        <v>12267.184672035461</v>
      </c>
      <c r="AN281" s="646">
        <f t="shared" si="790"/>
        <v>-9.8638968769066224E-3</v>
      </c>
      <c r="AO281" s="647">
        <f t="shared" si="757"/>
        <v>12267.174808138583</v>
      </c>
      <c r="AP281" s="644">
        <f t="shared" si="791"/>
        <v>0</v>
      </c>
      <c r="AQ281" s="645">
        <f t="shared" si="792"/>
        <v>12267.174808138583</v>
      </c>
      <c r="AR281" s="646">
        <f t="shared" si="793"/>
        <v>0</v>
      </c>
      <c r="AS281" s="647">
        <f t="shared" si="758"/>
        <v>12267.174808138583</v>
      </c>
      <c r="AT281" s="644">
        <f t="shared" si="794"/>
        <v>0</v>
      </c>
      <c r="AU281" s="645">
        <f t="shared" si="795"/>
        <v>12267.174808138583</v>
      </c>
      <c r="AV281" s="646">
        <f t="shared" si="796"/>
        <v>0</v>
      </c>
      <c r="AW281" s="647">
        <f t="shared" si="759"/>
        <v>12267.174808138583</v>
      </c>
      <c r="AY281" s="644">
        <f t="shared" si="797"/>
        <v>4702.7359905210105</v>
      </c>
      <c r="AZ281" s="645">
        <f t="shared" si="728"/>
        <v>3920.1659383644042</v>
      </c>
      <c r="BA281" s="644">
        <f t="shared" si="798"/>
        <v>0</v>
      </c>
      <c r="BB281" s="645">
        <f t="shared" si="799"/>
        <v>4702.7359905210105</v>
      </c>
      <c r="BC281" s="646">
        <f t="shared" si="800"/>
        <v>-33.818745028275565</v>
      </c>
      <c r="BD281" s="647">
        <f t="shared" si="801"/>
        <v>4668.9172454927348</v>
      </c>
      <c r="BE281" s="644">
        <f t="shared" si="760"/>
        <v>0</v>
      </c>
      <c r="BF281" s="645">
        <f t="shared" si="761"/>
        <v>4668.9172454927348</v>
      </c>
      <c r="BG281" s="646">
        <f t="shared" si="802"/>
        <v>-111.20980389458212</v>
      </c>
      <c r="BH281" s="647">
        <f t="shared" si="762"/>
        <v>4557.7074415981524</v>
      </c>
      <c r="BI281" s="644">
        <f t="shared" si="803"/>
        <v>0</v>
      </c>
      <c r="BJ281" s="645">
        <f t="shared" si="804"/>
        <v>4557.7074415981524</v>
      </c>
      <c r="BK281" s="646">
        <f t="shared" si="805"/>
        <v>-9.6542948392085322</v>
      </c>
      <c r="BL281" s="647">
        <f t="shared" si="763"/>
        <v>4548.0531467589435</v>
      </c>
      <c r="BM281" s="644">
        <f t="shared" si="806"/>
        <v>0</v>
      </c>
      <c r="BN281" s="645">
        <f t="shared" si="807"/>
        <v>4548.0531467589435</v>
      </c>
      <c r="BO281" s="646">
        <f t="shared" si="808"/>
        <v>-0.20808611493025456</v>
      </c>
      <c r="BP281" s="647">
        <f t="shared" si="764"/>
        <v>4547.8450606440128</v>
      </c>
      <c r="BQ281" s="644">
        <f t="shared" si="809"/>
        <v>0</v>
      </c>
      <c r="BR281" s="645">
        <f t="shared" si="810"/>
        <v>4547.8450606440128</v>
      </c>
      <c r="BS281" s="646">
        <f t="shared" si="811"/>
        <v>0</v>
      </c>
      <c r="BT281" s="647">
        <f t="shared" si="765"/>
        <v>4547.8450606440128</v>
      </c>
      <c r="BU281" s="662">
        <f>VLOOKUP(B281,'Afton Update'!$A$5:$AR$582,'Afton Update'!$AO$589,0)-BT281</f>
        <v>0</v>
      </c>
      <c r="BV281" s="644">
        <f t="shared" si="812"/>
        <v>7304.1393103947894</v>
      </c>
      <c r="BW281" s="645">
        <f t="shared" si="729"/>
        <v>5628.9218484379153</v>
      </c>
      <c r="BX281" s="644">
        <f t="shared" si="813"/>
        <v>0</v>
      </c>
      <c r="BY281" s="645">
        <f t="shared" si="814"/>
        <v>7304.1393103947894</v>
      </c>
      <c r="BZ281" s="646">
        <f t="shared" si="815"/>
        <v>-64.109207294751073</v>
      </c>
      <c r="CA281" s="647">
        <f t="shared" si="816"/>
        <v>7240.0301031000381</v>
      </c>
      <c r="CB281" s="644">
        <f t="shared" si="766"/>
        <v>0</v>
      </c>
      <c r="CC281" s="645">
        <f t="shared" si="767"/>
        <v>7240.0301031000381</v>
      </c>
      <c r="CD281" s="646">
        <f t="shared" si="817"/>
        <v>-2.3190879399232345</v>
      </c>
      <c r="CE281" s="647">
        <f t="shared" si="768"/>
        <v>7237.7110151601146</v>
      </c>
      <c r="CF281" s="644">
        <f t="shared" si="818"/>
        <v>0</v>
      </c>
      <c r="CG281" s="645">
        <f t="shared" si="819"/>
        <v>7237.7110151601146</v>
      </c>
      <c r="CH281" s="646">
        <f t="shared" si="820"/>
        <v>0</v>
      </c>
      <c r="CI281" s="647">
        <f t="shared" si="769"/>
        <v>7237.7110151601146</v>
      </c>
      <c r="CJ281" s="644">
        <f t="shared" si="821"/>
        <v>0</v>
      </c>
      <c r="CK281" s="645">
        <f t="shared" si="822"/>
        <v>7237.7110151601146</v>
      </c>
      <c r="CL281" s="646">
        <f t="shared" si="823"/>
        <v>0</v>
      </c>
      <c r="CM281" s="647">
        <f t="shared" si="770"/>
        <v>7237.7110151601146</v>
      </c>
      <c r="CN281" s="644">
        <f t="shared" si="824"/>
        <v>0</v>
      </c>
      <c r="CO281" s="645">
        <f t="shared" si="825"/>
        <v>7237.7110151601146</v>
      </c>
      <c r="CP281" s="646">
        <f t="shared" si="826"/>
        <v>0</v>
      </c>
      <c r="CQ281" s="647">
        <f t="shared" si="771"/>
        <v>7237.7110151601146</v>
      </c>
      <c r="CS281" s="644">
        <f t="shared" si="827"/>
        <v>6799.194229830362</v>
      </c>
      <c r="CT281" s="645">
        <f t="shared" si="730"/>
        <v>4726.3712870580666</v>
      </c>
      <c r="CU281" s="644">
        <f t="shared" si="828"/>
        <v>0</v>
      </c>
      <c r="CV281" s="645">
        <f t="shared" si="829"/>
        <v>6799.194229830362</v>
      </c>
      <c r="CW281" s="646">
        <f t="shared" si="830"/>
        <v>-69.627591287539218</v>
      </c>
      <c r="CX281" s="647">
        <f t="shared" si="831"/>
        <v>6729.5666385428231</v>
      </c>
      <c r="CY281" s="644">
        <f t="shared" si="772"/>
        <v>0</v>
      </c>
      <c r="CZ281" s="645">
        <f t="shared" si="773"/>
        <v>6729.5666385428231</v>
      </c>
      <c r="DA281" s="646">
        <f t="shared" si="832"/>
        <v>-5.2827342500694172</v>
      </c>
      <c r="DB281" s="647">
        <f t="shared" si="774"/>
        <v>6724.2839042927535</v>
      </c>
      <c r="DC281" s="644">
        <f t="shared" si="833"/>
        <v>0</v>
      </c>
      <c r="DD281" s="645">
        <f t="shared" si="834"/>
        <v>6724.2839042927535</v>
      </c>
      <c r="DE281" s="646">
        <f t="shared" si="835"/>
        <v>-4.5557003136106446E-3</v>
      </c>
      <c r="DF281" s="647">
        <f t="shared" si="775"/>
        <v>6724.2793485924403</v>
      </c>
      <c r="DG281" s="644">
        <f t="shared" si="836"/>
        <v>0</v>
      </c>
      <c r="DH281" s="645">
        <f t="shared" si="837"/>
        <v>6724.2793485924403</v>
      </c>
      <c r="DI281" s="646">
        <f t="shared" si="838"/>
        <v>0</v>
      </c>
      <c r="DJ281" s="647">
        <f t="shared" si="776"/>
        <v>6724.2793485924403</v>
      </c>
      <c r="DK281" s="644">
        <f t="shared" si="839"/>
        <v>0</v>
      </c>
      <c r="DL281" s="645">
        <f t="shared" si="840"/>
        <v>6724.2793485924403</v>
      </c>
      <c r="DM281" s="646">
        <f t="shared" si="841"/>
        <v>0</v>
      </c>
      <c r="DN281" s="647">
        <f t="shared" si="777"/>
        <v>6724.2793485924403</v>
      </c>
      <c r="DR281" s="827">
        <f t="shared" si="731"/>
        <v>30777.010232535155</v>
      </c>
      <c r="DV281" s="828">
        <f>IFERROR(VLOOKUP($B281,'Afton FY16 Final'!$A$5:$BV$587,'Afton FY16 Final'!$BV$587,0),0)</f>
        <v>23034.341988108066</v>
      </c>
      <c r="DX281" s="636">
        <f t="shared" si="719"/>
        <v>30777.010232535155</v>
      </c>
      <c r="DY281" s="637">
        <f t="shared" si="720"/>
        <v>7742.6682444270882</v>
      </c>
      <c r="DZ281" s="637">
        <f t="shared" si="721"/>
        <v>23034.341988108066</v>
      </c>
      <c r="EA281" s="643">
        <f t="shared" si="722"/>
        <v>29140.01821845811</v>
      </c>
      <c r="EB281" s="637">
        <f t="shared" si="732"/>
        <v>0</v>
      </c>
      <c r="EC281" s="637">
        <f t="shared" si="733"/>
        <v>29140.01821845811</v>
      </c>
      <c r="ED281" s="637">
        <f t="shared" si="734"/>
        <v>29053.124424014895</v>
      </c>
      <c r="EE281" s="643">
        <f t="shared" si="735"/>
        <v>29053.124424014895</v>
      </c>
      <c r="EF281" s="637">
        <f t="shared" si="736"/>
        <v>0</v>
      </c>
      <c r="EG281" s="637">
        <f t="shared" si="737"/>
        <v>29053.124424014895</v>
      </c>
      <c r="EH281" s="637">
        <f t="shared" si="738"/>
        <v>29053.094451040455</v>
      </c>
      <c r="EI281" s="643">
        <f t="shared" si="739"/>
        <v>29053.094451040455</v>
      </c>
      <c r="EJ281" s="637">
        <f t="shared" si="740"/>
        <v>0</v>
      </c>
      <c r="EK281" s="637">
        <f t="shared" si="741"/>
        <v>29053.094451040455</v>
      </c>
      <c r="EL281" s="637">
        <f t="shared" si="742"/>
        <v>29053.094451040415</v>
      </c>
      <c r="EM281" s="643">
        <f t="shared" si="743"/>
        <v>29053.094451040415</v>
      </c>
      <c r="EN281" s="637">
        <f t="shared" si="744"/>
        <v>0</v>
      </c>
      <c r="EO281" s="637">
        <f t="shared" si="745"/>
        <v>29053.094451040415</v>
      </c>
      <c r="EP281" s="637">
        <f t="shared" si="746"/>
        <v>29053.094451040459</v>
      </c>
      <c r="EQ281" s="643">
        <f t="shared" si="747"/>
        <v>29053.094451040459</v>
      </c>
      <c r="ER281" s="637">
        <f t="shared" si="748"/>
        <v>0</v>
      </c>
      <c r="ES281" s="637">
        <f t="shared" si="749"/>
        <v>29053.094451040459</v>
      </c>
      <c r="ET281" s="637">
        <f t="shared" si="750"/>
        <v>29053.094451040415</v>
      </c>
      <c r="EU281" s="643">
        <f t="shared" si="723"/>
        <v>29053.094451040415</v>
      </c>
      <c r="EV281" s="643">
        <f t="shared" si="724"/>
        <v>0</v>
      </c>
      <c r="EX281" s="829">
        <f t="shared" si="725"/>
        <v>1723.9157814947393</v>
      </c>
      <c r="EY281" s="638">
        <f t="shared" si="726"/>
        <v>29053.094451040415</v>
      </c>
      <c r="FC281" s="830" t="str">
        <f t="shared" si="751"/>
        <v>Y</v>
      </c>
      <c r="FE281" s="830" t="str">
        <f>IFERROR(VLOOKUP($B281,'Historical Conc Grant Elig'!$B$3:$J$707,'HH &amp; SI'!FE$2,0),"N")</f>
        <v>N</v>
      </c>
      <c r="FF281" s="830" t="str">
        <f>IFERROR(VLOOKUP($B281,'Historical Conc Grant Elig'!$B$3:$J$707,'HH &amp; SI'!FF$2,0),"N")</f>
        <v>Y</v>
      </c>
      <c r="FG281" s="830" t="str">
        <f>IFERROR(VLOOKUP($B281,'Historical Conc Grant Elig'!$B$3:$J$707,'HH &amp; SI'!FG$2,0),"N")</f>
        <v>Y</v>
      </c>
      <c r="FH281" s="830" t="str">
        <f>IFERROR(VLOOKUP($B281,'Historical Conc Grant Elig'!$B$3:$J$707,'HH &amp; SI'!FH$2,0),"N")</f>
        <v>Y</v>
      </c>
      <c r="FI281" s="830" t="str">
        <f>IFERROR(VLOOKUP($B281,'Historical Conc Grant Elig'!$B$3:$J$707,'HH &amp; SI'!FI$2,0),"N")</f>
        <v>Y</v>
      </c>
      <c r="FJ281" s="830" t="str">
        <f>IFERROR(VLOOKUP($B281,'Historical Conc Grant Elig'!$B$3:$J$707,'HH &amp; SI'!FJ$2,0),"N")</f>
        <v>Y</v>
      </c>
      <c r="FK281" s="830" t="str">
        <f>IFERROR(VLOOKUP($B281,'Historical Conc Grant Elig'!$B$3:$J$707,'HH &amp; SI'!FK$2,0),"N")</f>
        <v>Y</v>
      </c>
      <c r="FL281" s="957" t="str">
        <f>IFERROR(VLOOKUP($B281,'Historical Conc Grant Elig'!$B$3:$J$707,'HH &amp; SI'!FL$2,0),"N")</f>
        <v>Y</v>
      </c>
    </row>
    <row r="282" spans="2:168" x14ac:dyDescent="0.25">
      <c r="B282" s="634">
        <v>78946000</v>
      </c>
      <c r="C282" s="635" t="str">
        <f>VLOOKUP($B282,'Afton Update'!$A$5:$CR$582,'Afton Update'!D$589,0)</f>
        <v>Kaizen Education Foundation dba Vista Grove Preparatory Acad</v>
      </c>
      <c r="D282" s="636">
        <f>IFERROR(VLOOKUP($B282,'Afton FY16 Final'!$A$5:$BV$587,'Afton FY16 Final'!AQ$587,0),0)</f>
        <v>16730.831617322019</v>
      </c>
      <c r="E282" s="637">
        <f>IFERROR(VLOOKUP($B282,'Afton FY16 Final'!$A$5:$BV$587,'Afton FY16 Final'!AR$587,0),0)</f>
        <v>5233.7925060865064</v>
      </c>
      <c r="F282" s="637">
        <f>IFERROR(VLOOKUP($B282,'Afton FY16 Final'!$A$5:$BV$587,'Afton FY16 Final'!AS$587,0),0)</f>
        <v>8885.2312506592098</v>
      </c>
      <c r="G282" s="637">
        <f>IFERROR(VLOOKUP($B282,'Afton FY16 Final'!$A$5:$BV$587,'Afton FY16 Final'!AT$587,0),0)</f>
        <v>8547.0813123130938</v>
      </c>
      <c r="H282" s="638">
        <f>IFERROR(VLOOKUP($B282,'Afton FY16 Final'!$A$5:$BV$587,'Afton FY16 Final'!AU$587,0),0)</f>
        <v>39396.936686380825</v>
      </c>
      <c r="I282" s="639" t="str">
        <f>VLOOKUP($B282,'Afton Update'!$A$5:$CR$582,'Afton Update'!BT$589,0)</f>
        <v>Y</v>
      </c>
      <c r="J282" s="640" t="str">
        <f>VLOOKUP($B282,'Afton Update'!$A$5:$CR$582,'Afton Update'!BU$589,0)</f>
        <v>Y</v>
      </c>
      <c r="K282" s="640" t="str">
        <f>VLOOKUP($B282,'Afton Update'!$A$5:$CR$582,'Afton Update'!BV$589,0)</f>
        <v>Y</v>
      </c>
      <c r="L282" s="641" t="str">
        <f>VLOOKUP($B282,'Afton Update'!$A$5:$CR$582,'Afton Update'!BW$589,0)</f>
        <v>Y</v>
      </c>
      <c r="N282" s="642">
        <f>VLOOKUP($B282,'Afton Update'!$A$5:$CR$582,'Afton Update'!CB$589,0)</f>
        <v>0.95</v>
      </c>
      <c r="P282" s="636">
        <f>VLOOKUP($B282,'Afton Update'!$A$5:$CR$582,'Afton Update'!AH$589,0)</f>
        <v>14589.347852907173</v>
      </c>
      <c r="Q282" s="637">
        <f>VLOOKUP($B282,'Afton Update'!$A$5:$CR$582,'Afton Update'!AI$589,0)</f>
        <v>5147.8750572366389</v>
      </c>
      <c r="R282" s="637">
        <f>VLOOKUP($B282,'Afton Update'!$A$5:$CR$582,'Afton Update'!AJ$589,0)</f>
        <v>8563.9313870596125</v>
      </c>
      <c r="S282" s="637">
        <f>VLOOKUP($B282,'Afton Update'!$A$5:$CR$582,'Afton Update'!AK$589,0)</f>
        <v>7971.8951675377584</v>
      </c>
      <c r="T282" s="643">
        <f t="shared" si="752"/>
        <v>36273.049464741183</v>
      </c>
      <c r="V282" s="636">
        <f t="shared" si="778"/>
        <v>15894.290036455917</v>
      </c>
      <c r="W282" s="637">
        <f t="shared" si="779"/>
        <v>4978.322873972862</v>
      </c>
      <c r="X282" s="637">
        <f t="shared" si="780"/>
        <v>8486.0457747548899</v>
      </c>
      <c r="Y282" s="637">
        <f t="shared" si="781"/>
        <v>8119.7272466974391</v>
      </c>
      <c r="Z282" s="643">
        <f t="shared" si="782"/>
        <v>37478.385931881108</v>
      </c>
      <c r="AB282" s="644">
        <f t="shared" si="753"/>
        <v>14589.347852907173</v>
      </c>
      <c r="AC282" s="645">
        <f t="shared" si="727"/>
        <v>15894.290036455917</v>
      </c>
      <c r="AD282" s="644">
        <f t="shared" si="783"/>
        <v>1304.9421835487447</v>
      </c>
      <c r="AE282" s="645">
        <f t="shared" si="784"/>
        <v>0</v>
      </c>
      <c r="AF282" s="646">
        <f t="shared" si="785"/>
        <v>0</v>
      </c>
      <c r="AG282" s="647">
        <f t="shared" si="786"/>
        <v>15894.290036455917</v>
      </c>
      <c r="AH282" s="644">
        <f t="shared" si="754"/>
        <v>0</v>
      </c>
      <c r="AI282" s="645">
        <f t="shared" si="755"/>
        <v>0</v>
      </c>
      <c r="AJ282" s="646">
        <f t="shared" si="787"/>
        <v>0</v>
      </c>
      <c r="AK282" s="647">
        <f t="shared" si="756"/>
        <v>15894.290036455917</v>
      </c>
      <c r="AL282" s="644">
        <f t="shared" si="788"/>
        <v>0</v>
      </c>
      <c r="AM282" s="645">
        <f t="shared" si="789"/>
        <v>0</v>
      </c>
      <c r="AN282" s="646">
        <f t="shared" si="790"/>
        <v>0</v>
      </c>
      <c r="AO282" s="647">
        <f t="shared" si="757"/>
        <v>15894.290036455917</v>
      </c>
      <c r="AP282" s="644">
        <f t="shared" si="791"/>
        <v>0</v>
      </c>
      <c r="AQ282" s="645">
        <f t="shared" si="792"/>
        <v>0</v>
      </c>
      <c r="AR282" s="646">
        <f t="shared" si="793"/>
        <v>0</v>
      </c>
      <c r="AS282" s="647">
        <f t="shared" si="758"/>
        <v>15894.290036455917</v>
      </c>
      <c r="AT282" s="644">
        <f t="shared" si="794"/>
        <v>0</v>
      </c>
      <c r="AU282" s="645">
        <f t="shared" si="795"/>
        <v>0</v>
      </c>
      <c r="AV282" s="646">
        <f t="shared" si="796"/>
        <v>0</v>
      </c>
      <c r="AW282" s="647">
        <f t="shared" si="759"/>
        <v>15894.290036455917</v>
      </c>
      <c r="AY282" s="644">
        <f t="shared" si="797"/>
        <v>5147.8750572366389</v>
      </c>
      <c r="AZ282" s="645">
        <f t="shared" si="728"/>
        <v>4972.1028807821804</v>
      </c>
      <c r="BA282" s="644">
        <f t="shared" si="798"/>
        <v>0</v>
      </c>
      <c r="BB282" s="645">
        <f t="shared" si="799"/>
        <v>5147.8750572366389</v>
      </c>
      <c r="BC282" s="646">
        <f t="shared" si="800"/>
        <v>-37.019869784103626</v>
      </c>
      <c r="BD282" s="647">
        <f t="shared" si="801"/>
        <v>5110.8551874525356</v>
      </c>
      <c r="BE282" s="644">
        <f t="shared" si="760"/>
        <v>0</v>
      </c>
      <c r="BF282" s="645">
        <f t="shared" si="761"/>
        <v>5110.8551874525356</v>
      </c>
      <c r="BG282" s="646">
        <f t="shared" si="802"/>
        <v>-121.73640551862479</v>
      </c>
      <c r="BH282" s="647">
        <f t="shared" si="762"/>
        <v>4989.1187819339111</v>
      </c>
      <c r="BI282" s="644">
        <f t="shared" si="803"/>
        <v>0</v>
      </c>
      <c r="BJ282" s="645">
        <f t="shared" si="804"/>
        <v>4989.1187819339111</v>
      </c>
      <c r="BK282" s="646">
        <f t="shared" si="805"/>
        <v>-10.568125384487917</v>
      </c>
      <c r="BL282" s="647">
        <f t="shared" si="763"/>
        <v>4978.5506565494234</v>
      </c>
      <c r="BM282" s="644">
        <f t="shared" si="806"/>
        <v>0</v>
      </c>
      <c r="BN282" s="645">
        <f t="shared" si="807"/>
        <v>4978.5506565494234</v>
      </c>
      <c r="BO282" s="646">
        <f t="shared" si="808"/>
        <v>-0.22778257656093875</v>
      </c>
      <c r="BP282" s="647">
        <f t="shared" si="764"/>
        <v>4978.322873972862</v>
      </c>
      <c r="BQ282" s="644">
        <f t="shared" si="809"/>
        <v>0</v>
      </c>
      <c r="BR282" s="645">
        <f t="shared" si="810"/>
        <v>4978.322873972862</v>
      </c>
      <c r="BS282" s="646">
        <f t="shared" si="811"/>
        <v>0</v>
      </c>
      <c r="BT282" s="647">
        <f t="shared" si="765"/>
        <v>4978.322873972862</v>
      </c>
      <c r="BU282" s="662">
        <f>VLOOKUP(B282,'Afton Update'!$A$5:$AR$582,'Afton Update'!$AO$589,0)-BT282</f>
        <v>0</v>
      </c>
      <c r="BV282" s="644">
        <f t="shared" si="812"/>
        <v>8563.9313870596125</v>
      </c>
      <c r="BW282" s="645">
        <f t="shared" si="729"/>
        <v>8440.969688126248</v>
      </c>
      <c r="BX282" s="644">
        <f t="shared" si="813"/>
        <v>0</v>
      </c>
      <c r="BY282" s="645">
        <f t="shared" si="814"/>
        <v>8563.9313870596125</v>
      </c>
      <c r="BZ282" s="646">
        <f t="shared" si="815"/>
        <v>-75.166536291235502</v>
      </c>
      <c r="CA282" s="647">
        <f t="shared" si="816"/>
        <v>8488.7648507683771</v>
      </c>
      <c r="CB282" s="644">
        <f t="shared" si="766"/>
        <v>0</v>
      </c>
      <c r="CC282" s="645">
        <f t="shared" si="767"/>
        <v>8488.7648507683771</v>
      </c>
      <c r="CD282" s="646">
        <f t="shared" si="817"/>
        <v>-2.7190760134867338</v>
      </c>
      <c r="CE282" s="647">
        <f t="shared" si="768"/>
        <v>8486.0457747548899</v>
      </c>
      <c r="CF282" s="644">
        <f t="shared" si="818"/>
        <v>0</v>
      </c>
      <c r="CG282" s="645">
        <f t="shared" si="819"/>
        <v>8486.0457747548899</v>
      </c>
      <c r="CH282" s="646">
        <f t="shared" si="820"/>
        <v>0</v>
      </c>
      <c r="CI282" s="647">
        <f t="shared" si="769"/>
        <v>8486.0457747548899</v>
      </c>
      <c r="CJ282" s="644">
        <f t="shared" si="821"/>
        <v>0</v>
      </c>
      <c r="CK282" s="645">
        <f t="shared" si="822"/>
        <v>8486.0457747548899</v>
      </c>
      <c r="CL282" s="646">
        <f t="shared" si="823"/>
        <v>0</v>
      </c>
      <c r="CM282" s="647">
        <f t="shared" si="770"/>
        <v>8486.0457747548899</v>
      </c>
      <c r="CN282" s="644">
        <f t="shared" si="824"/>
        <v>0</v>
      </c>
      <c r="CO282" s="645">
        <f t="shared" si="825"/>
        <v>8486.0457747548899</v>
      </c>
      <c r="CP282" s="646">
        <f t="shared" si="826"/>
        <v>0</v>
      </c>
      <c r="CQ282" s="647">
        <f t="shared" si="771"/>
        <v>8486.0457747548899</v>
      </c>
      <c r="CS282" s="644">
        <f t="shared" si="827"/>
        <v>7971.8951675377584</v>
      </c>
      <c r="CT282" s="645">
        <f t="shared" si="730"/>
        <v>8119.7272466974391</v>
      </c>
      <c r="CU282" s="644">
        <f t="shared" si="828"/>
        <v>147.83207915968069</v>
      </c>
      <c r="CV282" s="645">
        <f t="shared" si="829"/>
        <v>0</v>
      </c>
      <c r="CW282" s="646">
        <f t="shared" si="830"/>
        <v>0</v>
      </c>
      <c r="CX282" s="647">
        <f t="shared" si="831"/>
        <v>8119.7272466974391</v>
      </c>
      <c r="CY282" s="644">
        <f t="shared" si="772"/>
        <v>0</v>
      </c>
      <c r="CZ282" s="645">
        <f t="shared" si="773"/>
        <v>0</v>
      </c>
      <c r="DA282" s="646">
        <f t="shared" si="832"/>
        <v>0</v>
      </c>
      <c r="DB282" s="647">
        <f t="shared" si="774"/>
        <v>8119.7272466974391</v>
      </c>
      <c r="DC282" s="644">
        <f t="shared" si="833"/>
        <v>0</v>
      </c>
      <c r="DD282" s="645">
        <f t="shared" si="834"/>
        <v>0</v>
      </c>
      <c r="DE282" s="646">
        <f t="shared" si="835"/>
        <v>0</v>
      </c>
      <c r="DF282" s="647">
        <f t="shared" si="775"/>
        <v>8119.7272466974391</v>
      </c>
      <c r="DG282" s="644">
        <f t="shared" si="836"/>
        <v>0</v>
      </c>
      <c r="DH282" s="645">
        <f t="shared" si="837"/>
        <v>0</v>
      </c>
      <c r="DI282" s="646">
        <f t="shared" si="838"/>
        <v>0</v>
      </c>
      <c r="DJ282" s="647">
        <f t="shared" si="776"/>
        <v>8119.7272466974391</v>
      </c>
      <c r="DK282" s="644">
        <f t="shared" si="839"/>
        <v>0</v>
      </c>
      <c r="DL282" s="645">
        <f t="shared" si="840"/>
        <v>0</v>
      </c>
      <c r="DM282" s="646">
        <f t="shared" si="841"/>
        <v>0</v>
      </c>
      <c r="DN282" s="647">
        <f t="shared" si="777"/>
        <v>8119.7272466974391</v>
      </c>
      <c r="DR282" s="827">
        <f t="shared" si="731"/>
        <v>37478.385931881108</v>
      </c>
      <c r="DV282" s="828">
        <f>IFERROR(VLOOKUP($B282,'Afton FY16 Final'!$A$5:$BV$587,'Afton FY16 Final'!$BV$587,0),0)</f>
        <v>38095.174585192748</v>
      </c>
      <c r="DX282" s="636">
        <f t="shared" si="719"/>
        <v>0</v>
      </c>
      <c r="DY282" s="637">
        <f t="shared" si="720"/>
        <v>0</v>
      </c>
      <c r="DZ282" s="637">
        <f t="shared" si="721"/>
        <v>0</v>
      </c>
      <c r="EA282" s="643">
        <f t="shared" si="722"/>
        <v>0</v>
      </c>
      <c r="EB282" s="637">
        <f t="shared" si="732"/>
        <v>0</v>
      </c>
      <c r="EC282" s="637">
        <f t="shared" si="733"/>
        <v>0</v>
      </c>
      <c r="ED282" s="637">
        <f t="shared" si="734"/>
        <v>0</v>
      </c>
      <c r="EE282" s="643">
        <f t="shared" si="735"/>
        <v>0</v>
      </c>
      <c r="EF282" s="637">
        <f t="shared" si="736"/>
        <v>0</v>
      </c>
      <c r="EG282" s="637">
        <f t="shared" si="737"/>
        <v>0</v>
      </c>
      <c r="EH282" s="637">
        <f t="shared" si="738"/>
        <v>0</v>
      </c>
      <c r="EI282" s="643">
        <f t="shared" si="739"/>
        <v>0</v>
      </c>
      <c r="EJ282" s="637">
        <f t="shared" si="740"/>
        <v>0</v>
      </c>
      <c r="EK282" s="637">
        <f t="shared" si="741"/>
        <v>0</v>
      </c>
      <c r="EL282" s="637">
        <f t="shared" si="742"/>
        <v>0</v>
      </c>
      <c r="EM282" s="643">
        <f t="shared" si="743"/>
        <v>0</v>
      </c>
      <c r="EN282" s="637">
        <f t="shared" si="744"/>
        <v>0</v>
      </c>
      <c r="EO282" s="637">
        <f t="shared" si="745"/>
        <v>0</v>
      </c>
      <c r="EP282" s="637">
        <f t="shared" si="746"/>
        <v>0</v>
      </c>
      <c r="EQ282" s="643">
        <f t="shared" si="747"/>
        <v>0</v>
      </c>
      <c r="ER282" s="637">
        <f t="shared" si="748"/>
        <v>0</v>
      </c>
      <c r="ES282" s="637">
        <f t="shared" si="749"/>
        <v>0</v>
      </c>
      <c r="ET282" s="637">
        <f t="shared" si="750"/>
        <v>0</v>
      </c>
      <c r="EU282" s="643">
        <f t="shared" si="723"/>
        <v>0</v>
      </c>
      <c r="EV282" s="643">
        <f t="shared" si="724"/>
        <v>0</v>
      </c>
      <c r="EX282" s="829">
        <f t="shared" si="725"/>
        <v>0</v>
      </c>
      <c r="EY282" s="638">
        <f t="shared" si="726"/>
        <v>37478.385931881108</v>
      </c>
      <c r="FC282" s="830" t="str">
        <f t="shared" si="751"/>
        <v>Y</v>
      </c>
      <c r="FE282" s="830" t="str">
        <f>IFERROR(VLOOKUP($B282,'Historical Conc Grant Elig'!$B$3:$J$707,'HH &amp; SI'!FE$2,0),"N")</f>
        <v>Y</v>
      </c>
      <c r="FF282" s="830" t="str">
        <f>IFERROR(VLOOKUP($B282,'Historical Conc Grant Elig'!$B$3:$J$707,'HH &amp; SI'!FF$2,0),"N")</f>
        <v>Y</v>
      </c>
      <c r="FG282" s="830" t="str">
        <f>IFERROR(VLOOKUP($B282,'Historical Conc Grant Elig'!$B$3:$J$707,'HH &amp; SI'!FG$2,0),"N")</f>
        <v>Y</v>
      </c>
      <c r="FH282" s="830" t="str">
        <f>IFERROR(VLOOKUP($B282,'Historical Conc Grant Elig'!$B$3:$J$707,'HH &amp; SI'!FH$2,0),"N")</f>
        <v>Y</v>
      </c>
      <c r="FI282" s="830" t="str">
        <f>IFERROR(VLOOKUP($B282,'Historical Conc Grant Elig'!$B$3:$J$707,'HH &amp; SI'!FI$2,0),"N")</f>
        <v>Y</v>
      </c>
      <c r="FJ282" s="830" t="str">
        <f>IFERROR(VLOOKUP($B282,'Historical Conc Grant Elig'!$B$3:$J$707,'HH &amp; SI'!FJ$2,0),"N")</f>
        <v>Y</v>
      </c>
      <c r="FK282" s="830" t="str">
        <f>IFERROR(VLOOKUP($B282,'Historical Conc Grant Elig'!$B$3:$J$707,'HH &amp; SI'!FK$2,0),"N")</f>
        <v>Y</v>
      </c>
      <c r="FL282" s="957" t="str">
        <f>IFERROR(VLOOKUP($B282,'Historical Conc Grant Elig'!$B$3:$J$707,'HH &amp; SI'!FL$2,0),"N")</f>
        <v>Y</v>
      </c>
    </row>
    <row r="283" spans="2:168" x14ac:dyDescent="0.25">
      <c r="B283" s="634">
        <v>78947000</v>
      </c>
      <c r="C283" s="635" t="str">
        <f>VLOOKUP($B283,'Afton Update'!$A$5:$CR$582,'Afton Update'!D$589,0)</f>
        <v>American Charter Schools Foundation d.b.a. Desert Hills High</v>
      </c>
      <c r="D283" s="636">
        <f>IFERROR(VLOOKUP($B283,'Afton FY16 Final'!$A$5:$BV$587,'Afton FY16 Final'!AQ$587,0),0)</f>
        <v>29335.729933612376</v>
      </c>
      <c r="E283" s="637">
        <f>IFERROR(VLOOKUP($B283,'Afton FY16 Final'!$A$5:$BV$587,'Afton FY16 Final'!AR$587,0),0)</f>
        <v>5969.7315050575544</v>
      </c>
      <c r="F283" s="637">
        <f>IFERROR(VLOOKUP($B283,'Afton FY16 Final'!$A$5:$BV$587,'Afton FY16 Final'!AS$587,0),0)</f>
        <v>14717.193599937436</v>
      </c>
      <c r="G283" s="637">
        <f>IFERROR(VLOOKUP($B283,'Afton FY16 Final'!$A$5:$BV$587,'Afton FY16 Final'!AT$587,0),0)</f>
        <v>13810.975967673769</v>
      </c>
      <c r="H283" s="638">
        <f>IFERROR(VLOOKUP($B283,'Afton FY16 Final'!$A$5:$BV$587,'Afton FY16 Final'!AU$587,0),0)</f>
        <v>63833.631006281132</v>
      </c>
      <c r="I283" s="639" t="str">
        <f>VLOOKUP($B283,'Afton Update'!$A$5:$CR$582,'Afton Update'!BT$589,0)</f>
        <v>Y</v>
      </c>
      <c r="J283" s="640" t="str">
        <f>VLOOKUP($B283,'Afton Update'!$A$5:$CR$582,'Afton Update'!BU$589,0)</f>
        <v>Y</v>
      </c>
      <c r="K283" s="640" t="str">
        <f>VLOOKUP($B283,'Afton Update'!$A$5:$CR$582,'Afton Update'!BV$589,0)</f>
        <v>Y</v>
      </c>
      <c r="L283" s="641" t="str">
        <f>VLOOKUP($B283,'Afton Update'!$A$5:$CR$582,'Afton Update'!BW$589,0)</f>
        <v>Y</v>
      </c>
      <c r="N283" s="642">
        <f>VLOOKUP($B283,'Afton Update'!$A$5:$CR$582,'Afton Update'!CB$589,0)</f>
        <v>0.9</v>
      </c>
      <c r="P283" s="636">
        <f>VLOOKUP($B283,'Afton Update'!$A$5:$CR$582,'Afton Update'!AH$589,0)</f>
        <v>15546.026400638792</v>
      </c>
      <c r="Q283" s="637">
        <f>VLOOKUP($B283,'Afton Update'!$A$5:$CR$582,'Afton Update'!AI$589,0)</f>
        <v>5345.714642443585</v>
      </c>
      <c r="R283" s="637">
        <f>VLOOKUP($B283,'Afton Update'!$A$5:$CR$582,'Afton Update'!AJ$589,0)</f>
        <v>9123.8389766884229</v>
      </c>
      <c r="S283" s="637">
        <f>VLOOKUP($B283,'Afton Update'!$A$5:$CR$582,'Afton Update'!AK$589,0)</f>
        <v>8493.0955842966014</v>
      </c>
      <c r="T283" s="643">
        <f t="shared" si="752"/>
        <v>38508.675604067401</v>
      </c>
      <c r="V283" s="636">
        <f t="shared" si="778"/>
        <v>26402.156940251138</v>
      </c>
      <c r="W283" s="637">
        <f t="shared" si="779"/>
        <v>5372.7583545517991</v>
      </c>
      <c r="X283" s="637">
        <f t="shared" si="780"/>
        <v>13245.474239943693</v>
      </c>
      <c r="Y283" s="637">
        <f t="shared" si="781"/>
        <v>12429.878370906392</v>
      </c>
      <c r="Z283" s="643">
        <f t="shared" si="782"/>
        <v>57450.267905653025</v>
      </c>
      <c r="AB283" s="644">
        <f t="shared" si="753"/>
        <v>15546.026400638792</v>
      </c>
      <c r="AC283" s="645">
        <f t="shared" si="727"/>
        <v>26402.156940251138</v>
      </c>
      <c r="AD283" s="644">
        <f t="shared" si="783"/>
        <v>10856.130539612346</v>
      </c>
      <c r="AE283" s="645">
        <f t="shared" si="784"/>
        <v>0</v>
      </c>
      <c r="AF283" s="646">
        <f t="shared" si="785"/>
        <v>0</v>
      </c>
      <c r="AG283" s="647">
        <f t="shared" si="786"/>
        <v>26402.156940251138</v>
      </c>
      <c r="AH283" s="644">
        <f t="shared" si="754"/>
        <v>0</v>
      </c>
      <c r="AI283" s="645">
        <f t="shared" si="755"/>
        <v>0</v>
      </c>
      <c r="AJ283" s="646">
        <f t="shared" si="787"/>
        <v>0</v>
      </c>
      <c r="AK283" s="647">
        <f t="shared" si="756"/>
        <v>26402.156940251138</v>
      </c>
      <c r="AL283" s="644">
        <f t="shared" si="788"/>
        <v>0</v>
      </c>
      <c r="AM283" s="645">
        <f t="shared" si="789"/>
        <v>0</v>
      </c>
      <c r="AN283" s="646">
        <f t="shared" si="790"/>
        <v>0</v>
      </c>
      <c r="AO283" s="647">
        <f t="shared" si="757"/>
        <v>26402.156940251138</v>
      </c>
      <c r="AP283" s="644">
        <f t="shared" si="791"/>
        <v>0</v>
      </c>
      <c r="AQ283" s="645">
        <f t="shared" si="792"/>
        <v>0</v>
      </c>
      <c r="AR283" s="646">
        <f t="shared" si="793"/>
        <v>0</v>
      </c>
      <c r="AS283" s="647">
        <f t="shared" si="758"/>
        <v>26402.156940251138</v>
      </c>
      <c r="AT283" s="644">
        <f t="shared" si="794"/>
        <v>0</v>
      </c>
      <c r="AU283" s="645">
        <f t="shared" si="795"/>
        <v>0</v>
      </c>
      <c r="AV283" s="646">
        <f t="shared" si="796"/>
        <v>0</v>
      </c>
      <c r="AW283" s="647">
        <f t="shared" si="759"/>
        <v>26402.156940251138</v>
      </c>
      <c r="AY283" s="644">
        <f t="shared" si="797"/>
        <v>5345.714642443585</v>
      </c>
      <c r="AZ283" s="645">
        <f t="shared" si="728"/>
        <v>5372.7583545517991</v>
      </c>
      <c r="BA283" s="644">
        <f t="shared" si="798"/>
        <v>27.043712108214095</v>
      </c>
      <c r="BB283" s="645">
        <f t="shared" si="799"/>
        <v>0</v>
      </c>
      <c r="BC283" s="646">
        <f t="shared" si="800"/>
        <v>0</v>
      </c>
      <c r="BD283" s="647">
        <f t="shared" si="801"/>
        <v>5372.7583545517991</v>
      </c>
      <c r="BE283" s="644">
        <f t="shared" si="760"/>
        <v>0</v>
      </c>
      <c r="BF283" s="645">
        <f t="shared" si="761"/>
        <v>0</v>
      </c>
      <c r="BG283" s="646">
        <f t="shared" si="802"/>
        <v>0</v>
      </c>
      <c r="BH283" s="647">
        <f t="shared" si="762"/>
        <v>5372.7583545517991</v>
      </c>
      <c r="BI283" s="644">
        <f t="shared" si="803"/>
        <v>0</v>
      </c>
      <c r="BJ283" s="645">
        <f t="shared" si="804"/>
        <v>0</v>
      </c>
      <c r="BK283" s="646">
        <f t="shared" si="805"/>
        <v>0</v>
      </c>
      <c r="BL283" s="647">
        <f t="shared" si="763"/>
        <v>5372.7583545517991</v>
      </c>
      <c r="BM283" s="644">
        <f t="shared" si="806"/>
        <v>0</v>
      </c>
      <c r="BN283" s="645">
        <f t="shared" si="807"/>
        <v>0</v>
      </c>
      <c r="BO283" s="646">
        <f t="shared" si="808"/>
        <v>0</v>
      </c>
      <c r="BP283" s="647">
        <f t="shared" si="764"/>
        <v>5372.7583545517991</v>
      </c>
      <c r="BQ283" s="644">
        <f t="shared" si="809"/>
        <v>0</v>
      </c>
      <c r="BR283" s="645">
        <f t="shared" si="810"/>
        <v>0</v>
      </c>
      <c r="BS283" s="646">
        <f t="shared" si="811"/>
        <v>0</v>
      </c>
      <c r="BT283" s="647">
        <f t="shared" si="765"/>
        <v>5372.7583545517991</v>
      </c>
      <c r="BU283" s="662">
        <f>VLOOKUP(B283,'Afton Update'!$A$5:$AR$582,'Afton Update'!$AO$589,0)-BT283</f>
        <v>0</v>
      </c>
      <c r="BV283" s="644">
        <f t="shared" si="812"/>
        <v>9123.8389766884229</v>
      </c>
      <c r="BW283" s="645">
        <f t="shared" si="729"/>
        <v>13245.474239943693</v>
      </c>
      <c r="BX283" s="644">
        <f t="shared" si="813"/>
        <v>4121.6352632552698</v>
      </c>
      <c r="BY283" s="645">
        <f t="shared" si="814"/>
        <v>0</v>
      </c>
      <c r="BZ283" s="646">
        <f t="shared" si="815"/>
        <v>0</v>
      </c>
      <c r="CA283" s="647">
        <f t="shared" si="816"/>
        <v>13245.474239943693</v>
      </c>
      <c r="CB283" s="644">
        <f t="shared" si="766"/>
        <v>0</v>
      </c>
      <c r="CC283" s="645">
        <f t="shared" si="767"/>
        <v>0</v>
      </c>
      <c r="CD283" s="646">
        <f t="shared" si="817"/>
        <v>0</v>
      </c>
      <c r="CE283" s="647">
        <f t="shared" si="768"/>
        <v>13245.474239943693</v>
      </c>
      <c r="CF283" s="644">
        <f t="shared" si="818"/>
        <v>0</v>
      </c>
      <c r="CG283" s="645">
        <f t="shared" si="819"/>
        <v>0</v>
      </c>
      <c r="CH283" s="646">
        <f t="shared" si="820"/>
        <v>0</v>
      </c>
      <c r="CI283" s="647">
        <f t="shared" si="769"/>
        <v>13245.474239943693</v>
      </c>
      <c r="CJ283" s="644">
        <f t="shared" si="821"/>
        <v>0</v>
      </c>
      <c r="CK283" s="645">
        <f t="shared" si="822"/>
        <v>0</v>
      </c>
      <c r="CL283" s="646">
        <f t="shared" si="823"/>
        <v>0</v>
      </c>
      <c r="CM283" s="647">
        <f t="shared" si="770"/>
        <v>13245.474239943693</v>
      </c>
      <c r="CN283" s="644">
        <f t="shared" si="824"/>
        <v>0</v>
      </c>
      <c r="CO283" s="645">
        <f t="shared" si="825"/>
        <v>0</v>
      </c>
      <c r="CP283" s="646">
        <f t="shared" si="826"/>
        <v>0</v>
      </c>
      <c r="CQ283" s="647">
        <f t="shared" si="771"/>
        <v>13245.474239943693</v>
      </c>
      <c r="CS283" s="644">
        <f t="shared" si="827"/>
        <v>8493.0955842966014</v>
      </c>
      <c r="CT283" s="645">
        <f t="shared" si="730"/>
        <v>12429.878370906392</v>
      </c>
      <c r="CU283" s="644">
        <f t="shared" si="828"/>
        <v>3936.7827866097905</v>
      </c>
      <c r="CV283" s="645">
        <f t="shared" si="829"/>
        <v>0</v>
      </c>
      <c r="CW283" s="646">
        <f t="shared" si="830"/>
        <v>0</v>
      </c>
      <c r="CX283" s="647">
        <f t="shared" si="831"/>
        <v>12429.878370906392</v>
      </c>
      <c r="CY283" s="644">
        <f t="shared" si="772"/>
        <v>0</v>
      </c>
      <c r="CZ283" s="645">
        <f t="shared" si="773"/>
        <v>0</v>
      </c>
      <c r="DA283" s="646">
        <f t="shared" si="832"/>
        <v>0</v>
      </c>
      <c r="DB283" s="647">
        <f t="shared" si="774"/>
        <v>12429.878370906392</v>
      </c>
      <c r="DC283" s="644">
        <f t="shared" si="833"/>
        <v>0</v>
      </c>
      <c r="DD283" s="645">
        <f t="shared" si="834"/>
        <v>0</v>
      </c>
      <c r="DE283" s="646">
        <f t="shared" si="835"/>
        <v>0</v>
      </c>
      <c r="DF283" s="647">
        <f t="shared" si="775"/>
        <v>12429.878370906392</v>
      </c>
      <c r="DG283" s="644">
        <f t="shared" si="836"/>
        <v>0</v>
      </c>
      <c r="DH283" s="645">
        <f t="shared" si="837"/>
        <v>0</v>
      </c>
      <c r="DI283" s="646">
        <f t="shared" si="838"/>
        <v>0</v>
      </c>
      <c r="DJ283" s="647">
        <f t="shared" si="776"/>
        <v>12429.878370906392</v>
      </c>
      <c r="DK283" s="644">
        <f t="shared" si="839"/>
        <v>0</v>
      </c>
      <c r="DL283" s="645">
        <f t="shared" si="840"/>
        <v>0</v>
      </c>
      <c r="DM283" s="646">
        <f t="shared" si="841"/>
        <v>0</v>
      </c>
      <c r="DN283" s="647">
        <f t="shared" si="777"/>
        <v>12429.878370906392</v>
      </c>
      <c r="DR283" s="827">
        <f t="shared" si="731"/>
        <v>57450.267905653025</v>
      </c>
      <c r="DV283" s="828">
        <f>IFERROR(VLOOKUP($B283,'Afton FY16 Final'!$A$5:$BV$587,'Afton FY16 Final'!$BV$587,0),0)</f>
        <v>62576.746822338864</v>
      </c>
      <c r="DX283" s="636">
        <f t="shared" si="719"/>
        <v>0</v>
      </c>
      <c r="DY283" s="637">
        <f t="shared" si="720"/>
        <v>0</v>
      </c>
      <c r="DZ283" s="637">
        <f t="shared" si="721"/>
        <v>0</v>
      </c>
      <c r="EA283" s="643">
        <f t="shared" si="722"/>
        <v>0</v>
      </c>
      <c r="EB283" s="637">
        <f t="shared" si="732"/>
        <v>0</v>
      </c>
      <c r="EC283" s="637">
        <f t="shared" si="733"/>
        <v>0</v>
      </c>
      <c r="ED283" s="637">
        <f t="shared" si="734"/>
        <v>0</v>
      </c>
      <c r="EE283" s="643">
        <f t="shared" si="735"/>
        <v>0</v>
      </c>
      <c r="EF283" s="637">
        <f t="shared" si="736"/>
        <v>0</v>
      </c>
      <c r="EG283" s="637">
        <f t="shared" si="737"/>
        <v>0</v>
      </c>
      <c r="EH283" s="637">
        <f t="shared" si="738"/>
        <v>0</v>
      </c>
      <c r="EI283" s="643">
        <f t="shared" si="739"/>
        <v>0</v>
      </c>
      <c r="EJ283" s="637">
        <f t="shared" si="740"/>
        <v>0</v>
      </c>
      <c r="EK283" s="637">
        <f t="shared" si="741"/>
        <v>0</v>
      </c>
      <c r="EL283" s="637">
        <f t="shared" si="742"/>
        <v>0</v>
      </c>
      <c r="EM283" s="643">
        <f t="shared" si="743"/>
        <v>0</v>
      </c>
      <c r="EN283" s="637">
        <f t="shared" si="744"/>
        <v>0</v>
      </c>
      <c r="EO283" s="637">
        <f t="shared" si="745"/>
        <v>0</v>
      </c>
      <c r="EP283" s="637">
        <f t="shared" si="746"/>
        <v>0</v>
      </c>
      <c r="EQ283" s="643">
        <f t="shared" si="747"/>
        <v>0</v>
      </c>
      <c r="ER283" s="637">
        <f t="shared" si="748"/>
        <v>0</v>
      </c>
      <c r="ES283" s="637">
        <f t="shared" si="749"/>
        <v>0</v>
      </c>
      <c r="ET283" s="637">
        <f t="shared" si="750"/>
        <v>0</v>
      </c>
      <c r="EU283" s="643">
        <f t="shared" si="723"/>
        <v>0</v>
      </c>
      <c r="EV283" s="643">
        <f t="shared" si="724"/>
        <v>0</v>
      </c>
      <c r="EX283" s="829">
        <f t="shared" si="725"/>
        <v>0</v>
      </c>
      <c r="EY283" s="638">
        <f t="shared" si="726"/>
        <v>57450.267905653025</v>
      </c>
      <c r="FC283" s="830" t="str">
        <f t="shared" si="751"/>
        <v>Y</v>
      </c>
      <c r="FE283" s="830" t="str">
        <f>IFERROR(VLOOKUP($B283,'Historical Conc Grant Elig'!$B$3:$J$707,'HH &amp; SI'!FE$2,0),"N")</f>
        <v>N</v>
      </c>
      <c r="FF283" s="830" t="str">
        <f>IFERROR(VLOOKUP($B283,'Historical Conc Grant Elig'!$B$3:$J$707,'HH &amp; SI'!FF$2,0),"N")</f>
        <v>Y</v>
      </c>
      <c r="FG283" s="830" t="str">
        <f>IFERROR(VLOOKUP($B283,'Historical Conc Grant Elig'!$B$3:$J$707,'HH &amp; SI'!FG$2,0),"N")</f>
        <v>N</v>
      </c>
      <c r="FH283" s="830" t="str">
        <f>IFERROR(VLOOKUP($B283,'Historical Conc Grant Elig'!$B$3:$J$707,'HH &amp; SI'!FH$2,0),"N")</f>
        <v>Y</v>
      </c>
      <c r="FI283" s="830" t="str">
        <f>IFERROR(VLOOKUP($B283,'Historical Conc Grant Elig'!$B$3:$J$707,'HH &amp; SI'!FI$2,0),"N")</f>
        <v>Y</v>
      </c>
      <c r="FJ283" s="830" t="str">
        <f>IFERROR(VLOOKUP($B283,'Historical Conc Grant Elig'!$B$3:$J$707,'HH &amp; SI'!FJ$2,0),"N")</f>
        <v>Y</v>
      </c>
      <c r="FK283" s="830" t="str">
        <f>IFERROR(VLOOKUP($B283,'Historical Conc Grant Elig'!$B$3:$J$707,'HH &amp; SI'!FK$2,0),"N")</f>
        <v>Y</v>
      </c>
      <c r="FL283" s="957" t="str">
        <f>IFERROR(VLOOKUP($B283,'Historical Conc Grant Elig'!$B$3:$J$707,'HH &amp; SI'!FL$2,0),"N")</f>
        <v>Y</v>
      </c>
    </row>
    <row r="284" spans="2:168" x14ac:dyDescent="0.25">
      <c r="B284" s="634">
        <v>78948000</v>
      </c>
      <c r="C284" s="635" t="str">
        <f>VLOOKUP($B284,'Afton Update'!$A$5:$CR$582,'Afton Update'!D$589,0)</f>
        <v>American Charter Schools Foundation d.b.a. Estrella High Sch</v>
      </c>
      <c r="D284" s="636">
        <f>IFERROR(VLOOKUP($B284,'Afton FY16 Final'!$A$5:$BV$587,'Afton FY16 Final'!AQ$587,0),0)</f>
        <v>58700.767372528688</v>
      </c>
      <c r="E284" s="637">
        <f>IFERROR(VLOOKUP($B284,'Afton FY16 Final'!$A$5:$BV$587,'Afton FY16 Final'!AR$587,0),0)</f>
        <v>11228.782748043279</v>
      </c>
      <c r="F284" s="637">
        <f>IFERROR(VLOOKUP($B284,'Afton FY16 Final'!$A$5:$BV$587,'Afton FY16 Final'!AS$587,0),0)</f>
        <v>29449.090233699681</v>
      </c>
      <c r="G284" s="637">
        <f>IFERROR(VLOOKUP($B284,'Afton FY16 Final'!$A$5:$BV$587,'Afton FY16 Final'!AT$587,0),0)</f>
        <v>27635.749623434425</v>
      </c>
      <c r="H284" s="638">
        <f>IFERROR(VLOOKUP($B284,'Afton FY16 Final'!$A$5:$BV$587,'Afton FY16 Final'!AU$587,0),0)</f>
        <v>127014.38997770607</v>
      </c>
      <c r="I284" s="639" t="str">
        <f>VLOOKUP($B284,'Afton Update'!$A$5:$CR$582,'Afton Update'!BT$589,0)</f>
        <v>Y</v>
      </c>
      <c r="J284" s="640" t="str">
        <f>VLOOKUP($B284,'Afton Update'!$A$5:$CR$582,'Afton Update'!BU$589,0)</f>
        <v>Y</v>
      </c>
      <c r="K284" s="640" t="str">
        <f>VLOOKUP($B284,'Afton Update'!$A$5:$CR$582,'Afton Update'!BV$589,0)</f>
        <v>Y</v>
      </c>
      <c r="L284" s="641" t="str">
        <f>VLOOKUP($B284,'Afton Update'!$A$5:$CR$582,'Afton Update'!BW$589,0)</f>
        <v>Y</v>
      </c>
      <c r="N284" s="642">
        <f>VLOOKUP($B284,'Afton Update'!$A$5:$CR$582,'Afton Update'!CB$589,0)</f>
        <v>0.95</v>
      </c>
      <c r="P284" s="636">
        <f>VLOOKUP($B284,'Afton Update'!$A$5:$CR$582,'Afton Update'!AH$589,0)</f>
        <v>19133.570954632356</v>
      </c>
      <c r="Q284" s="637">
        <f>VLOOKUP($B284,'Afton Update'!$A$5:$CR$582,'Afton Update'!AI$589,0)</f>
        <v>6087.6130869696317</v>
      </c>
      <c r="R284" s="637">
        <f>VLOOKUP($B284,'Afton Update'!$A$5:$CR$582,'Afton Update'!AJ$589,0)</f>
        <v>11223.49243779646</v>
      </c>
      <c r="S284" s="637">
        <f>VLOOKUP($B284,'Afton Update'!$A$5:$CR$582,'Afton Update'!AK$589,0)</f>
        <v>10447.597147142262</v>
      </c>
      <c r="T284" s="643">
        <f t="shared" si="752"/>
        <v>46892.273626540707</v>
      </c>
      <c r="V284" s="636">
        <f t="shared" si="778"/>
        <v>55765.729003902248</v>
      </c>
      <c r="W284" s="637">
        <f t="shared" si="779"/>
        <v>10667.343610641114</v>
      </c>
      <c r="X284" s="637">
        <f t="shared" si="780"/>
        <v>27976.635722014697</v>
      </c>
      <c r="Y284" s="637">
        <f t="shared" si="781"/>
        <v>26253.962142262702</v>
      </c>
      <c r="Z284" s="643">
        <f t="shared" si="782"/>
        <v>120663.67047882074</v>
      </c>
      <c r="AB284" s="644">
        <f t="shared" si="753"/>
        <v>19133.570954632356</v>
      </c>
      <c r="AC284" s="645">
        <f t="shared" si="727"/>
        <v>55765.729003902248</v>
      </c>
      <c r="AD284" s="644">
        <f t="shared" si="783"/>
        <v>36632.158049269892</v>
      </c>
      <c r="AE284" s="645">
        <f t="shared" si="784"/>
        <v>0</v>
      </c>
      <c r="AF284" s="646">
        <f t="shared" si="785"/>
        <v>0</v>
      </c>
      <c r="AG284" s="647">
        <f t="shared" si="786"/>
        <v>55765.729003902248</v>
      </c>
      <c r="AH284" s="644">
        <f t="shared" si="754"/>
        <v>0</v>
      </c>
      <c r="AI284" s="645">
        <f t="shared" si="755"/>
        <v>0</v>
      </c>
      <c r="AJ284" s="646">
        <f t="shared" si="787"/>
        <v>0</v>
      </c>
      <c r="AK284" s="647">
        <f t="shared" si="756"/>
        <v>55765.729003902248</v>
      </c>
      <c r="AL284" s="644">
        <f t="shared" si="788"/>
        <v>0</v>
      </c>
      <c r="AM284" s="645">
        <f t="shared" si="789"/>
        <v>0</v>
      </c>
      <c r="AN284" s="646">
        <f t="shared" si="790"/>
        <v>0</v>
      </c>
      <c r="AO284" s="647">
        <f t="shared" si="757"/>
        <v>55765.729003902248</v>
      </c>
      <c r="AP284" s="644">
        <f t="shared" si="791"/>
        <v>0</v>
      </c>
      <c r="AQ284" s="645">
        <f t="shared" si="792"/>
        <v>0</v>
      </c>
      <c r="AR284" s="646">
        <f t="shared" si="793"/>
        <v>0</v>
      </c>
      <c r="AS284" s="647">
        <f t="shared" si="758"/>
        <v>55765.729003902248</v>
      </c>
      <c r="AT284" s="644">
        <f t="shared" si="794"/>
        <v>0</v>
      </c>
      <c r="AU284" s="645">
        <f t="shared" si="795"/>
        <v>0</v>
      </c>
      <c r="AV284" s="646">
        <f t="shared" si="796"/>
        <v>0</v>
      </c>
      <c r="AW284" s="647">
        <f t="shared" si="759"/>
        <v>55765.729003902248</v>
      </c>
      <c r="AY284" s="644">
        <f t="shared" si="797"/>
        <v>6087.6130869696317</v>
      </c>
      <c r="AZ284" s="645">
        <f t="shared" si="728"/>
        <v>10667.343610641114</v>
      </c>
      <c r="BA284" s="644">
        <f t="shared" si="798"/>
        <v>4579.7305236714819</v>
      </c>
      <c r="BB284" s="645">
        <f t="shared" si="799"/>
        <v>0</v>
      </c>
      <c r="BC284" s="646">
        <f t="shared" si="800"/>
        <v>0</v>
      </c>
      <c r="BD284" s="647">
        <f t="shared" si="801"/>
        <v>10667.343610641114</v>
      </c>
      <c r="BE284" s="644">
        <f t="shared" si="760"/>
        <v>0</v>
      </c>
      <c r="BF284" s="645">
        <f t="shared" si="761"/>
        <v>0</v>
      </c>
      <c r="BG284" s="646">
        <f t="shared" si="802"/>
        <v>0</v>
      </c>
      <c r="BH284" s="647">
        <f t="shared" si="762"/>
        <v>10667.343610641114</v>
      </c>
      <c r="BI284" s="644">
        <f t="shared" si="803"/>
        <v>0</v>
      </c>
      <c r="BJ284" s="645">
        <f t="shared" si="804"/>
        <v>0</v>
      </c>
      <c r="BK284" s="646">
        <f t="shared" si="805"/>
        <v>0</v>
      </c>
      <c r="BL284" s="647">
        <f t="shared" si="763"/>
        <v>10667.343610641114</v>
      </c>
      <c r="BM284" s="644">
        <f t="shared" si="806"/>
        <v>0</v>
      </c>
      <c r="BN284" s="645">
        <f t="shared" si="807"/>
        <v>0</v>
      </c>
      <c r="BO284" s="646">
        <f t="shared" si="808"/>
        <v>0</v>
      </c>
      <c r="BP284" s="647">
        <f t="shared" si="764"/>
        <v>10667.343610641114</v>
      </c>
      <c r="BQ284" s="644">
        <f t="shared" si="809"/>
        <v>0</v>
      </c>
      <c r="BR284" s="645">
        <f t="shared" si="810"/>
        <v>0</v>
      </c>
      <c r="BS284" s="646">
        <f t="shared" si="811"/>
        <v>0</v>
      </c>
      <c r="BT284" s="647">
        <f t="shared" si="765"/>
        <v>10667.343610641114</v>
      </c>
      <c r="BU284" s="662">
        <f>VLOOKUP(B284,'Afton Update'!$A$5:$AR$582,'Afton Update'!$AO$589,0)-BT284</f>
        <v>0</v>
      </c>
      <c r="BV284" s="644">
        <f t="shared" si="812"/>
        <v>11223.49243779646</v>
      </c>
      <c r="BW284" s="645">
        <f t="shared" si="729"/>
        <v>27976.635722014697</v>
      </c>
      <c r="BX284" s="644">
        <f t="shared" si="813"/>
        <v>16753.143284218237</v>
      </c>
      <c r="BY284" s="645">
        <f t="shared" si="814"/>
        <v>0</v>
      </c>
      <c r="BZ284" s="646">
        <f t="shared" si="815"/>
        <v>0</v>
      </c>
      <c r="CA284" s="647">
        <f t="shared" si="816"/>
        <v>27976.635722014697</v>
      </c>
      <c r="CB284" s="644">
        <f t="shared" si="766"/>
        <v>0</v>
      </c>
      <c r="CC284" s="645">
        <f t="shared" si="767"/>
        <v>0</v>
      </c>
      <c r="CD284" s="646">
        <f t="shared" si="817"/>
        <v>0</v>
      </c>
      <c r="CE284" s="647">
        <f t="shared" si="768"/>
        <v>27976.635722014697</v>
      </c>
      <c r="CF284" s="644">
        <f t="shared" si="818"/>
        <v>0</v>
      </c>
      <c r="CG284" s="645">
        <f t="shared" si="819"/>
        <v>0</v>
      </c>
      <c r="CH284" s="646">
        <f t="shared" si="820"/>
        <v>0</v>
      </c>
      <c r="CI284" s="647">
        <f t="shared" si="769"/>
        <v>27976.635722014697</v>
      </c>
      <c r="CJ284" s="644">
        <f t="shared" si="821"/>
        <v>0</v>
      </c>
      <c r="CK284" s="645">
        <f t="shared" si="822"/>
        <v>0</v>
      </c>
      <c r="CL284" s="646">
        <f t="shared" si="823"/>
        <v>0</v>
      </c>
      <c r="CM284" s="647">
        <f t="shared" si="770"/>
        <v>27976.635722014697</v>
      </c>
      <c r="CN284" s="644">
        <f t="shared" si="824"/>
        <v>0</v>
      </c>
      <c r="CO284" s="645">
        <f t="shared" si="825"/>
        <v>0</v>
      </c>
      <c r="CP284" s="646">
        <f t="shared" si="826"/>
        <v>0</v>
      </c>
      <c r="CQ284" s="647">
        <f t="shared" si="771"/>
        <v>27976.635722014697</v>
      </c>
      <c r="CS284" s="644">
        <f t="shared" si="827"/>
        <v>10447.597147142262</v>
      </c>
      <c r="CT284" s="645">
        <f t="shared" si="730"/>
        <v>26253.962142262702</v>
      </c>
      <c r="CU284" s="644">
        <f t="shared" si="828"/>
        <v>15806.364995120441</v>
      </c>
      <c r="CV284" s="645">
        <f t="shared" si="829"/>
        <v>0</v>
      </c>
      <c r="CW284" s="646">
        <f t="shared" si="830"/>
        <v>0</v>
      </c>
      <c r="CX284" s="647">
        <f t="shared" si="831"/>
        <v>26253.962142262702</v>
      </c>
      <c r="CY284" s="644">
        <f t="shared" si="772"/>
        <v>0</v>
      </c>
      <c r="CZ284" s="645">
        <f t="shared" si="773"/>
        <v>0</v>
      </c>
      <c r="DA284" s="646">
        <f t="shared" si="832"/>
        <v>0</v>
      </c>
      <c r="DB284" s="647">
        <f t="shared" si="774"/>
        <v>26253.962142262702</v>
      </c>
      <c r="DC284" s="644">
        <f t="shared" si="833"/>
        <v>0</v>
      </c>
      <c r="DD284" s="645">
        <f t="shared" si="834"/>
        <v>0</v>
      </c>
      <c r="DE284" s="646">
        <f t="shared" si="835"/>
        <v>0</v>
      </c>
      <c r="DF284" s="647">
        <f t="shared" si="775"/>
        <v>26253.962142262702</v>
      </c>
      <c r="DG284" s="644">
        <f t="shared" si="836"/>
        <v>0</v>
      </c>
      <c r="DH284" s="645">
        <f t="shared" si="837"/>
        <v>0</v>
      </c>
      <c r="DI284" s="646">
        <f t="shared" si="838"/>
        <v>0</v>
      </c>
      <c r="DJ284" s="647">
        <f t="shared" si="776"/>
        <v>26253.962142262702</v>
      </c>
      <c r="DK284" s="644">
        <f t="shared" si="839"/>
        <v>0</v>
      </c>
      <c r="DL284" s="645">
        <f t="shared" si="840"/>
        <v>0</v>
      </c>
      <c r="DM284" s="646">
        <f t="shared" si="841"/>
        <v>0</v>
      </c>
      <c r="DN284" s="647">
        <f t="shared" si="777"/>
        <v>26253.962142262702</v>
      </c>
      <c r="DR284" s="827">
        <f t="shared" si="731"/>
        <v>120663.67047882074</v>
      </c>
      <c r="DV284" s="828">
        <f>IFERROR(VLOOKUP($B284,'Afton FY16 Final'!$A$5:$BV$587,'Afton FY16 Final'!$BV$587,0),0)</f>
        <v>124513.47666007973</v>
      </c>
      <c r="DX284" s="636">
        <f t="shared" si="719"/>
        <v>0</v>
      </c>
      <c r="DY284" s="637">
        <f t="shared" si="720"/>
        <v>0</v>
      </c>
      <c r="DZ284" s="637">
        <f t="shared" si="721"/>
        <v>0</v>
      </c>
      <c r="EA284" s="643">
        <f t="shared" si="722"/>
        <v>0</v>
      </c>
      <c r="EB284" s="637">
        <f t="shared" si="732"/>
        <v>0</v>
      </c>
      <c r="EC284" s="637">
        <f t="shared" si="733"/>
        <v>0</v>
      </c>
      <c r="ED284" s="637">
        <f t="shared" si="734"/>
        <v>0</v>
      </c>
      <c r="EE284" s="643">
        <f t="shared" si="735"/>
        <v>0</v>
      </c>
      <c r="EF284" s="637">
        <f t="shared" si="736"/>
        <v>0</v>
      </c>
      <c r="EG284" s="637">
        <f t="shared" si="737"/>
        <v>0</v>
      </c>
      <c r="EH284" s="637">
        <f t="shared" si="738"/>
        <v>0</v>
      </c>
      <c r="EI284" s="643">
        <f t="shared" si="739"/>
        <v>0</v>
      </c>
      <c r="EJ284" s="637">
        <f t="shared" si="740"/>
        <v>0</v>
      </c>
      <c r="EK284" s="637">
        <f t="shared" si="741"/>
        <v>0</v>
      </c>
      <c r="EL284" s="637">
        <f t="shared" si="742"/>
        <v>0</v>
      </c>
      <c r="EM284" s="643">
        <f t="shared" si="743"/>
        <v>0</v>
      </c>
      <c r="EN284" s="637">
        <f t="shared" si="744"/>
        <v>0</v>
      </c>
      <c r="EO284" s="637">
        <f t="shared" si="745"/>
        <v>0</v>
      </c>
      <c r="EP284" s="637">
        <f t="shared" si="746"/>
        <v>0</v>
      </c>
      <c r="EQ284" s="643">
        <f t="shared" si="747"/>
        <v>0</v>
      </c>
      <c r="ER284" s="637">
        <f t="shared" si="748"/>
        <v>0</v>
      </c>
      <c r="ES284" s="637">
        <f t="shared" si="749"/>
        <v>0</v>
      </c>
      <c r="ET284" s="637">
        <f t="shared" si="750"/>
        <v>0</v>
      </c>
      <c r="EU284" s="643">
        <f t="shared" si="723"/>
        <v>0</v>
      </c>
      <c r="EV284" s="643">
        <f t="shared" si="724"/>
        <v>0</v>
      </c>
      <c r="EX284" s="829">
        <f t="shared" si="725"/>
        <v>0</v>
      </c>
      <c r="EY284" s="638">
        <f t="shared" si="726"/>
        <v>120663.67047882074</v>
      </c>
      <c r="FC284" s="830" t="str">
        <f t="shared" si="751"/>
        <v>Y</v>
      </c>
      <c r="FE284" s="830" t="str">
        <f>IFERROR(VLOOKUP($B284,'Historical Conc Grant Elig'!$B$3:$J$707,'HH &amp; SI'!FE$2,0),"N")</f>
        <v>Y</v>
      </c>
      <c r="FF284" s="830" t="str">
        <f>IFERROR(VLOOKUP($B284,'Historical Conc Grant Elig'!$B$3:$J$707,'HH &amp; SI'!FF$2,0),"N")</f>
        <v>Y</v>
      </c>
      <c r="FG284" s="830" t="str">
        <f>IFERROR(VLOOKUP($B284,'Historical Conc Grant Elig'!$B$3:$J$707,'HH &amp; SI'!FG$2,0),"N")</f>
        <v>Y</v>
      </c>
      <c r="FH284" s="830" t="str">
        <f>IFERROR(VLOOKUP($B284,'Historical Conc Grant Elig'!$B$3:$J$707,'HH &amp; SI'!FH$2,0),"N")</f>
        <v>Y</v>
      </c>
      <c r="FI284" s="830" t="str">
        <f>IFERROR(VLOOKUP($B284,'Historical Conc Grant Elig'!$B$3:$J$707,'HH &amp; SI'!FI$2,0),"N")</f>
        <v>Y</v>
      </c>
      <c r="FJ284" s="830" t="str">
        <f>IFERROR(VLOOKUP($B284,'Historical Conc Grant Elig'!$B$3:$J$707,'HH &amp; SI'!FJ$2,0),"N")</f>
        <v>Y</v>
      </c>
      <c r="FK284" s="830" t="str">
        <f>IFERROR(VLOOKUP($B284,'Historical Conc Grant Elig'!$B$3:$J$707,'HH &amp; SI'!FK$2,0),"N")</f>
        <v>Y</v>
      </c>
      <c r="FL284" s="957" t="str">
        <f>IFERROR(VLOOKUP($B284,'Historical Conc Grant Elig'!$B$3:$J$707,'HH &amp; SI'!FL$2,0),"N")</f>
        <v>Y</v>
      </c>
    </row>
    <row r="285" spans="2:168" x14ac:dyDescent="0.25">
      <c r="B285" s="634">
        <v>78949000</v>
      </c>
      <c r="C285" s="635" t="str">
        <f>VLOOKUP($B285,'Afton Update'!$A$5:$CR$582,'Afton Update'!D$589,0)</f>
        <v>Kaizen Education Foundation dba Maya High School</v>
      </c>
      <c r="D285" s="636">
        <f>IFERROR(VLOOKUP($B285,'Afton FY16 Final'!$A$5:$BV$587,'Afton FY16 Final'!AQ$587,0),0)</f>
        <v>61511.664872225731</v>
      </c>
      <c r="E285" s="637">
        <f>IFERROR(VLOOKUP($B285,'Afton FY16 Final'!$A$5:$BV$587,'Afton FY16 Final'!AR$587,0),0)</f>
        <v>13263.679356234748</v>
      </c>
      <c r="F285" s="637">
        <f>IFERROR(VLOOKUP($B285,'Afton FY16 Final'!$A$5:$BV$587,'Afton FY16 Final'!AS$587,0),0)</f>
        <v>32614.383437085471</v>
      </c>
      <c r="G285" s="637">
        <f>IFERROR(VLOOKUP($B285,'Afton FY16 Final'!$A$5:$BV$587,'Afton FY16 Final'!AT$587,0),0)</f>
        <v>31423.733938864305</v>
      </c>
      <c r="H285" s="638">
        <f>IFERROR(VLOOKUP($B285,'Afton FY16 Final'!$A$5:$BV$587,'Afton FY16 Final'!AU$587,0),0)</f>
        <v>138813.46160441026</v>
      </c>
      <c r="I285" s="639" t="str">
        <f>VLOOKUP($B285,'Afton Update'!$A$5:$CR$582,'Afton Update'!BT$589,0)</f>
        <v>Y</v>
      </c>
      <c r="J285" s="640" t="str">
        <f>VLOOKUP($B285,'Afton Update'!$A$5:$CR$582,'Afton Update'!BU$589,0)</f>
        <v>Y</v>
      </c>
      <c r="K285" s="640" t="str">
        <f>VLOOKUP($B285,'Afton Update'!$A$5:$CR$582,'Afton Update'!BV$589,0)</f>
        <v>Y</v>
      </c>
      <c r="L285" s="641" t="str">
        <f>VLOOKUP($B285,'Afton Update'!$A$5:$CR$582,'Afton Update'!BW$589,0)</f>
        <v>Y</v>
      </c>
      <c r="N285" s="642">
        <f>VLOOKUP($B285,'Afton Update'!$A$5:$CR$582,'Afton Update'!CB$589,0)</f>
        <v>0.95</v>
      </c>
      <c r="P285" s="636">
        <f>VLOOKUP($B285,'Afton Update'!$A$5:$CR$582,'Afton Update'!AH$589,0)</f>
        <v>39702.159730862142</v>
      </c>
      <c r="Q285" s="637">
        <f>VLOOKUP($B285,'Afton Update'!$A$5:$CR$582,'Afton Update'!AI$589,0)</f>
        <v>10341.164168918971</v>
      </c>
      <c r="R285" s="637">
        <f>VLOOKUP($B285,'Afton Update'!$A$5:$CR$582,'Afton Update'!AJ$589,0)</f>
        <v>23261.505614815873</v>
      </c>
      <c r="S285" s="637">
        <f>VLOOKUP($B285,'Afton Update'!$A$5:$CR$582,'Afton Update'!AK$589,0)</f>
        <v>21653.406107457384</v>
      </c>
      <c r="T285" s="643">
        <f t="shared" si="752"/>
        <v>94958.235622054373</v>
      </c>
      <c r="V285" s="636">
        <f t="shared" si="778"/>
        <v>58436.08162861444</v>
      </c>
      <c r="W285" s="637">
        <f t="shared" si="779"/>
        <v>12600.495388423011</v>
      </c>
      <c r="X285" s="637">
        <f t="shared" si="780"/>
        <v>30983.664265231197</v>
      </c>
      <c r="Y285" s="637">
        <f t="shared" si="781"/>
        <v>29852.547241921089</v>
      </c>
      <c r="Z285" s="643">
        <f t="shared" si="782"/>
        <v>131872.78852418973</v>
      </c>
      <c r="AB285" s="644">
        <f t="shared" si="753"/>
        <v>39702.159730862142</v>
      </c>
      <c r="AC285" s="645">
        <f t="shared" si="727"/>
        <v>58436.08162861444</v>
      </c>
      <c r="AD285" s="644">
        <f t="shared" si="783"/>
        <v>18733.921897752298</v>
      </c>
      <c r="AE285" s="645">
        <f t="shared" si="784"/>
        <v>0</v>
      </c>
      <c r="AF285" s="646">
        <f t="shared" si="785"/>
        <v>0</v>
      </c>
      <c r="AG285" s="647">
        <f t="shared" si="786"/>
        <v>58436.08162861444</v>
      </c>
      <c r="AH285" s="644">
        <f t="shared" si="754"/>
        <v>0</v>
      </c>
      <c r="AI285" s="645">
        <f t="shared" si="755"/>
        <v>0</v>
      </c>
      <c r="AJ285" s="646">
        <f t="shared" si="787"/>
        <v>0</v>
      </c>
      <c r="AK285" s="647">
        <f t="shared" si="756"/>
        <v>58436.08162861444</v>
      </c>
      <c r="AL285" s="644">
        <f t="shared" si="788"/>
        <v>0</v>
      </c>
      <c r="AM285" s="645">
        <f t="shared" si="789"/>
        <v>0</v>
      </c>
      <c r="AN285" s="646">
        <f t="shared" si="790"/>
        <v>0</v>
      </c>
      <c r="AO285" s="647">
        <f t="shared" si="757"/>
        <v>58436.08162861444</v>
      </c>
      <c r="AP285" s="644">
        <f t="shared" si="791"/>
        <v>0</v>
      </c>
      <c r="AQ285" s="645">
        <f t="shared" si="792"/>
        <v>0</v>
      </c>
      <c r="AR285" s="646">
        <f t="shared" si="793"/>
        <v>0</v>
      </c>
      <c r="AS285" s="647">
        <f t="shared" si="758"/>
        <v>58436.08162861444</v>
      </c>
      <c r="AT285" s="644">
        <f t="shared" si="794"/>
        <v>0</v>
      </c>
      <c r="AU285" s="645">
        <f t="shared" si="795"/>
        <v>0</v>
      </c>
      <c r="AV285" s="646">
        <f t="shared" si="796"/>
        <v>0</v>
      </c>
      <c r="AW285" s="647">
        <f t="shared" si="759"/>
        <v>58436.08162861444</v>
      </c>
      <c r="AY285" s="644">
        <f t="shared" si="797"/>
        <v>10341.164168918971</v>
      </c>
      <c r="AZ285" s="645">
        <f t="shared" si="728"/>
        <v>12600.495388423011</v>
      </c>
      <c r="BA285" s="644">
        <f t="shared" si="798"/>
        <v>2259.3312195040398</v>
      </c>
      <c r="BB285" s="645">
        <f t="shared" si="799"/>
        <v>0</v>
      </c>
      <c r="BC285" s="646">
        <f t="shared" si="800"/>
        <v>0</v>
      </c>
      <c r="BD285" s="647">
        <f t="shared" si="801"/>
        <v>12600.495388423011</v>
      </c>
      <c r="BE285" s="644">
        <f t="shared" si="760"/>
        <v>0</v>
      </c>
      <c r="BF285" s="645">
        <f t="shared" si="761"/>
        <v>0</v>
      </c>
      <c r="BG285" s="646">
        <f t="shared" si="802"/>
        <v>0</v>
      </c>
      <c r="BH285" s="647">
        <f t="shared" si="762"/>
        <v>12600.495388423011</v>
      </c>
      <c r="BI285" s="644">
        <f t="shared" si="803"/>
        <v>0</v>
      </c>
      <c r="BJ285" s="645">
        <f t="shared" si="804"/>
        <v>0</v>
      </c>
      <c r="BK285" s="646">
        <f t="shared" si="805"/>
        <v>0</v>
      </c>
      <c r="BL285" s="647">
        <f t="shared" si="763"/>
        <v>12600.495388423011</v>
      </c>
      <c r="BM285" s="644">
        <f t="shared" si="806"/>
        <v>0</v>
      </c>
      <c r="BN285" s="645">
        <f t="shared" si="807"/>
        <v>0</v>
      </c>
      <c r="BO285" s="646">
        <f t="shared" si="808"/>
        <v>0</v>
      </c>
      <c r="BP285" s="647">
        <f t="shared" si="764"/>
        <v>12600.495388423011</v>
      </c>
      <c r="BQ285" s="644">
        <f t="shared" si="809"/>
        <v>0</v>
      </c>
      <c r="BR285" s="645">
        <f t="shared" si="810"/>
        <v>0</v>
      </c>
      <c r="BS285" s="646">
        <f t="shared" si="811"/>
        <v>0</v>
      </c>
      <c r="BT285" s="647">
        <f t="shared" si="765"/>
        <v>12600.495388423011</v>
      </c>
      <c r="BU285" s="662">
        <f>VLOOKUP(B285,'Afton Update'!$A$5:$AR$582,'Afton Update'!$AO$589,0)-BT285</f>
        <v>0</v>
      </c>
      <c r="BV285" s="644">
        <f t="shared" si="812"/>
        <v>23261.505614815873</v>
      </c>
      <c r="BW285" s="645">
        <f t="shared" si="729"/>
        <v>30983.664265231197</v>
      </c>
      <c r="BX285" s="644">
        <f t="shared" si="813"/>
        <v>7722.1586504153238</v>
      </c>
      <c r="BY285" s="645">
        <f t="shared" si="814"/>
        <v>0</v>
      </c>
      <c r="BZ285" s="646">
        <f t="shared" si="815"/>
        <v>0</v>
      </c>
      <c r="CA285" s="647">
        <f t="shared" si="816"/>
        <v>30983.664265231197</v>
      </c>
      <c r="CB285" s="644">
        <f t="shared" si="766"/>
        <v>0</v>
      </c>
      <c r="CC285" s="645">
        <f t="shared" si="767"/>
        <v>0</v>
      </c>
      <c r="CD285" s="646">
        <f t="shared" si="817"/>
        <v>0</v>
      </c>
      <c r="CE285" s="647">
        <f t="shared" si="768"/>
        <v>30983.664265231197</v>
      </c>
      <c r="CF285" s="644">
        <f t="shared" si="818"/>
        <v>0</v>
      </c>
      <c r="CG285" s="645">
        <f t="shared" si="819"/>
        <v>0</v>
      </c>
      <c r="CH285" s="646">
        <f t="shared" si="820"/>
        <v>0</v>
      </c>
      <c r="CI285" s="647">
        <f t="shared" si="769"/>
        <v>30983.664265231197</v>
      </c>
      <c r="CJ285" s="644">
        <f t="shared" si="821"/>
        <v>0</v>
      </c>
      <c r="CK285" s="645">
        <f t="shared" si="822"/>
        <v>0</v>
      </c>
      <c r="CL285" s="646">
        <f t="shared" si="823"/>
        <v>0</v>
      </c>
      <c r="CM285" s="647">
        <f t="shared" si="770"/>
        <v>30983.664265231197</v>
      </c>
      <c r="CN285" s="644">
        <f t="shared" si="824"/>
        <v>0</v>
      </c>
      <c r="CO285" s="645">
        <f t="shared" si="825"/>
        <v>0</v>
      </c>
      <c r="CP285" s="646">
        <f t="shared" si="826"/>
        <v>0</v>
      </c>
      <c r="CQ285" s="647">
        <f t="shared" si="771"/>
        <v>30983.664265231197</v>
      </c>
      <c r="CS285" s="644">
        <f t="shared" si="827"/>
        <v>21653.406107457384</v>
      </c>
      <c r="CT285" s="645">
        <f t="shared" si="730"/>
        <v>29852.547241921089</v>
      </c>
      <c r="CU285" s="644">
        <f t="shared" si="828"/>
        <v>8199.1411344637054</v>
      </c>
      <c r="CV285" s="645">
        <f t="shared" si="829"/>
        <v>0</v>
      </c>
      <c r="CW285" s="646">
        <f t="shared" si="830"/>
        <v>0</v>
      </c>
      <c r="CX285" s="647">
        <f t="shared" si="831"/>
        <v>29852.547241921089</v>
      </c>
      <c r="CY285" s="644">
        <f t="shared" si="772"/>
        <v>0</v>
      </c>
      <c r="CZ285" s="645">
        <f t="shared" si="773"/>
        <v>0</v>
      </c>
      <c r="DA285" s="646">
        <f t="shared" si="832"/>
        <v>0</v>
      </c>
      <c r="DB285" s="647">
        <f t="shared" si="774"/>
        <v>29852.547241921089</v>
      </c>
      <c r="DC285" s="644">
        <f t="shared" si="833"/>
        <v>0</v>
      </c>
      <c r="DD285" s="645">
        <f t="shared" si="834"/>
        <v>0</v>
      </c>
      <c r="DE285" s="646">
        <f t="shared" si="835"/>
        <v>0</v>
      </c>
      <c r="DF285" s="647">
        <f t="shared" si="775"/>
        <v>29852.547241921089</v>
      </c>
      <c r="DG285" s="644">
        <f t="shared" si="836"/>
        <v>0</v>
      </c>
      <c r="DH285" s="645">
        <f t="shared" si="837"/>
        <v>0</v>
      </c>
      <c r="DI285" s="646">
        <f t="shared" si="838"/>
        <v>0</v>
      </c>
      <c r="DJ285" s="647">
        <f t="shared" si="776"/>
        <v>29852.547241921089</v>
      </c>
      <c r="DK285" s="644">
        <f t="shared" si="839"/>
        <v>0</v>
      </c>
      <c r="DL285" s="645">
        <f t="shared" si="840"/>
        <v>0</v>
      </c>
      <c r="DM285" s="646">
        <f t="shared" si="841"/>
        <v>0</v>
      </c>
      <c r="DN285" s="647">
        <f t="shared" si="777"/>
        <v>29852.547241921089</v>
      </c>
      <c r="DR285" s="827">
        <f t="shared" si="731"/>
        <v>131872.78852418973</v>
      </c>
      <c r="DV285" s="828">
        <f>IFERROR(VLOOKUP($B285,'Afton FY16 Final'!$A$5:$BV$587,'Afton FY16 Final'!$BV$587,0),0)</f>
        <v>136080.22456840816</v>
      </c>
      <c r="DX285" s="636">
        <f t="shared" si="719"/>
        <v>0</v>
      </c>
      <c r="DY285" s="637">
        <f t="shared" si="720"/>
        <v>0</v>
      </c>
      <c r="DZ285" s="637">
        <f t="shared" si="721"/>
        <v>0</v>
      </c>
      <c r="EA285" s="643">
        <f t="shared" si="722"/>
        <v>0</v>
      </c>
      <c r="EB285" s="637">
        <f t="shared" si="732"/>
        <v>0</v>
      </c>
      <c r="EC285" s="637">
        <f t="shared" si="733"/>
        <v>0</v>
      </c>
      <c r="ED285" s="637">
        <f t="shared" si="734"/>
        <v>0</v>
      </c>
      <c r="EE285" s="643">
        <f t="shared" si="735"/>
        <v>0</v>
      </c>
      <c r="EF285" s="637">
        <f t="shared" si="736"/>
        <v>0</v>
      </c>
      <c r="EG285" s="637">
        <f t="shared" si="737"/>
        <v>0</v>
      </c>
      <c r="EH285" s="637">
        <f t="shared" si="738"/>
        <v>0</v>
      </c>
      <c r="EI285" s="643">
        <f t="shared" si="739"/>
        <v>0</v>
      </c>
      <c r="EJ285" s="637">
        <f t="shared" si="740"/>
        <v>0</v>
      </c>
      <c r="EK285" s="637">
        <f t="shared" si="741"/>
        <v>0</v>
      </c>
      <c r="EL285" s="637">
        <f t="shared" si="742"/>
        <v>0</v>
      </c>
      <c r="EM285" s="643">
        <f t="shared" si="743"/>
        <v>0</v>
      </c>
      <c r="EN285" s="637">
        <f t="shared" si="744"/>
        <v>0</v>
      </c>
      <c r="EO285" s="637">
        <f t="shared" si="745"/>
        <v>0</v>
      </c>
      <c r="EP285" s="637">
        <f t="shared" si="746"/>
        <v>0</v>
      </c>
      <c r="EQ285" s="643">
        <f t="shared" si="747"/>
        <v>0</v>
      </c>
      <c r="ER285" s="637">
        <f t="shared" si="748"/>
        <v>0</v>
      </c>
      <c r="ES285" s="637">
        <f t="shared" si="749"/>
        <v>0</v>
      </c>
      <c r="ET285" s="637">
        <f t="shared" si="750"/>
        <v>0</v>
      </c>
      <c r="EU285" s="643">
        <f t="shared" si="723"/>
        <v>0</v>
      </c>
      <c r="EV285" s="643">
        <f t="shared" si="724"/>
        <v>0</v>
      </c>
      <c r="EX285" s="829">
        <f t="shared" si="725"/>
        <v>0</v>
      </c>
      <c r="EY285" s="638">
        <f t="shared" si="726"/>
        <v>131872.78852418973</v>
      </c>
      <c r="FC285" s="830" t="str">
        <f t="shared" si="751"/>
        <v>Y</v>
      </c>
      <c r="FE285" s="830" t="str">
        <f>IFERROR(VLOOKUP($B285,'Historical Conc Grant Elig'!$B$3:$J$707,'HH &amp; SI'!FE$2,0),"N")</f>
        <v>Y</v>
      </c>
      <c r="FF285" s="830" t="str">
        <f>IFERROR(VLOOKUP($B285,'Historical Conc Grant Elig'!$B$3:$J$707,'HH &amp; SI'!FF$2,0),"N")</f>
        <v>Y</v>
      </c>
      <c r="FG285" s="830" t="str">
        <f>IFERROR(VLOOKUP($B285,'Historical Conc Grant Elig'!$B$3:$J$707,'HH &amp; SI'!FG$2,0),"N")</f>
        <v>Y</v>
      </c>
      <c r="FH285" s="830" t="str">
        <f>IFERROR(VLOOKUP($B285,'Historical Conc Grant Elig'!$B$3:$J$707,'HH &amp; SI'!FH$2,0),"N")</f>
        <v>Y</v>
      </c>
      <c r="FI285" s="830" t="str">
        <f>IFERROR(VLOOKUP($B285,'Historical Conc Grant Elig'!$B$3:$J$707,'HH &amp; SI'!FI$2,0),"N")</f>
        <v>Y</v>
      </c>
      <c r="FJ285" s="830" t="str">
        <f>IFERROR(VLOOKUP($B285,'Historical Conc Grant Elig'!$B$3:$J$707,'HH &amp; SI'!FJ$2,0),"N")</f>
        <v>Y</v>
      </c>
      <c r="FK285" s="830" t="str">
        <f>IFERROR(VLOOKUP($B285,'Historical Conc Grant Elig'!$B$3:$J$707,'HH &amp; SI'!FK$2,0),"N")</f>
        <v>Y</v>
      </c>
      <c r="FL285" s="957" t="str">
        <f>IFERROR(VLOOKUP($B285,'Historical Conc Grant Elig'!$B$3:$J$707,'HH &amp; SI'!FL$2,0),"N")</f>
        <v>Y</v>
      </c>
    </row>
    <row r="286" spans="2:168" x14ac:dyDescent="0.25">
      <c r="B286" s="634">
        <v>78950000</v>
      </c>
      <c r="C286" s="635" t="str">
        <f>VLOOKUP($B286,'Afton Update'!$A$5:$CR$582,'Afton Update'!D$589,0)</f>
        <v>American Charter Schools Foundation d.b.a. Crestview College</v>
      </c>
      <c r="D286" s="636">
        <f>IFERROR(VLOOKUP($B286,'Afton FY16 Final'!$A$5:$BV$587,'Afton FY16 Final'!AQ$587,0),0)</f>
        <v>41689.52458293875</v>
      </c>
      <c r="E286" s="637">
        <f>IFERROR(VLOOKUP($B286,'Afton FY16 Final'!$A$5:$BV$587,'Afton FY16 Final'!AR$587,0),0)</f>
        <v>8325.8807031168617</v>
      </c>
      <c r="F286" s="637">
        <f>IFERROR(VLOOKUP($B286,'Afton FY16 Final'!$A$5:$BV$587,'Afton FY16 Final'!AS$587,0),0)</f>
        <v>20914.864084341807</v>
      </c>
      <c r="G286" s="637">
        <f>IFERROR(VLOOKUP($B286,'Afton FY16 Final'!$A$5:$BV$587,'Afton FY16 Final'!AT$587,0),0)</f>
        <v>19627.022181541179</v>
      </c>
      <c r="H286" s="638">
        <f>IFERROR(VLOOKUP($B286,'Afton FY16 Final'!$A$5:$BV$587,'Afton FY16 Final'!AU$587,0),0)</f>
        <v>90557.291551938601</v>
      </c>
      <c r="I286" s="639" t="str">
        <f>VLOOKUP($B286,'Afton Update'!$A$5:$CR$582,'Afton Update'!BT$589,0)</f>
        <v>Y</v>
      </c>
      <c r="J286" s="640" t="str">
        <f>VLOOKUP($B286,'Afton Update'!$A$5:$CR$582,'Afton Update'!BU$589,0)</f>
        <v>Y</v>
      </c>
      <c r="K286" s="640" t="str">
        <f>VLOOKUP($B286,'Afton Update'!$A$5:$CR$582,'Afton Update'!BV$589,0)</f>
        <v>Y</v>
      </c>
      <c r="L286" s="641" t="str">
        <f>VLOOKUP($B286,'Afton Update'!$A$5:$CR$582,'Afton Update'!BW$589,0)</f>
        <v>Y</v>
      </c>
      <c r="N286" s="642">
        <f>VLOOKUP($B286,'Afton Update'!$A$5:$CR$582,'Afton Update'!CB$589,0)</f>
        <v>0.95</v>
      </c>
      <c r="P286" s="636">
        <f>VLOOKUP($B286,'Afton Update'!$A$5:$CR$582,'Afton Update'!AH$589,0)</f>
        <v>33244.579533673721</v>
      </c>
      <c r="Q286" s="637">
        <f>VLOOKUP($B286,'Afton Update'!$A$5:$CR$582,'Afton Update'!AI$589,0)</f>
        <v>9005.7469687720841</v>
      </c>
      <c r="R286" s="637">
        <f>VLOOKUP($B286,'Afton Update'!$A$5:$CR$582,'Afton Update'!AJ$589,0)</f>
        <v>19482.129384821405</v>
      </c>
      <c r="S286" s="637">
        <f>VLOOKUP($B286,'Afton Update'!$A$5:$CR$582,'Afton Update'!AK$589,0)</f>
        <v>18135.303294335194</v>
      </c>
      <c r="T286" s="643">
        <f t="shared" si="752"/>
        <v>79867.759181602407</v>
      </c>
      <c r="V286" s="636">
        <f t="shared" si="778"/>
        <v>39605.048353791812</v>
      </c>
      <c r="W286" s="637">
        <f t="shared" si="779"/>
        <v>8709.1305894895413</v>
      </c>
      <c r="X286" s="637">
        <f t="shared" si="780"/>
        <v>19869.120880124716</v>
      </c>
      <c r="Y286" s="637">
        <f t="shared" si="781"/>
        <v>18645.67107246412</v>
      </c>
      <c r="Z286" s="643">
        <f t="shared" si="782"/>
        <v>86828.970895870181</v>
      </c>
      <c r="AB286" s="644">
        <f t="shared" si="753"/>
        <v>33244.579533673721</v>
      </c>
      <c r="AC286" s="645">
        <f t="shared" si="727"/>
        <v>39605.048353791812</v>
      </c>
      <c r="AD286" s="644">
        <f t="shared" si="783"/>
        <v>6360.4688201180907</v>
      </c>
      <c r="AE286" s="645">
        <f t="shared" si="784"/>
        <v>0</v>
      </c>
      <c r="AF286" s="646">
        <f t="shared" si="785"/>
        <v>0</v>
      </c>
      <c r="AG286" s="647">
        <f t="shared" si="786"/>
        <v>39605.048353791812</v>
      </c>
      <c r="AH286" s="644">
        <f t="shared" si="754"/>
        <v>0</v>
      </c>
      <c r="AI286" s="645">
        <f t="shared" si="755"/>
        <v>0</v>
      </c>
      <c r="AJ286" s="646">
        <f t="shared" si="787"/>
        <v>0</v>
      </c>
      <c r="AK286" s="647">
        <f t="shared" si="756"/>
        <v>39605.048353791812</v>
      </c>
      <c r="AL286" s="644">
        <f t="shared" si="788"/>
        <v>0</v>
      </c>
      <c r="AM286" s="645">
        <f t="shared" si="789"/>
        <v>0</v>
      </c>
      <c r="AN286" s="646">
        <f t="shared" si="790"/>
        <v>0</v>
      </c>
      <c r="AO286" s="647">
        <f t="shared" si="757"/>
        <v>39605.048353791812</v>
      </c>
      <c r="AP286" s="644">
        <f t="shared" si="791"/>
        <v>0</v>
      </c>
      <c r="AQ286" s="645">
        <f t="shared" si="792"/>
        <v>0</v>
      </c>
      <c r="AR286" s="646">
        <f t="shared" si="793"/>
        <v>0</v>
      </c>
      <c r="AS286" s="647">
        <f t="shared" si="758"/>
        <v>39605.048353791812</v>
      </c>
      <c r="AT286" s="644">
        <f t="shared" si="794"/>
        <v>0</v>
      </c>
      <c r="AU286" s="645">
        <f t="shared" si="795"/>
        <v>0</v>
      </c>
      <c r="AV286" s="646">
        <f t="shared" si="796"/>
        <v>0</v>
      </c>
      <c r="AW286" s="647">
        <f t="shared" si="759"/>
        <v>39605.048353791812</v>
      </c>
      <c r="AY286" s="644">
        <f t="shared" si="797"/>
        <v>9005.7469687720841</v>
      </c>
      <c r="AZ286" s="645">
        <f t="shared" si="728"/>
        <v>7909.5866679610181</v>
      </c>
      <c r="BA286" s="644">
        <f t="shared" si="798"/>
        <v>0</v>
      </c>
      <c r="BB286" s="645">
        <f t="shared" si="799"/>
        <v>9005.7469687720841</v>
      </c>
      <c r="BC286" s="646">
        <f t="shared" si="800"/>
        <v>-64.762951001280115</v>
      </c>
      <c r="BD286" s="647">
        <f t="shared" si="801"/>
        <v>8940.9840177708047</v>
      </c>
      <c r="BE286" s="644">
        <f t="shared" si="760"/>
        <v>0</v>
      </c>
      <c r="BF286" s="645">
        <f t="shared" si="761"/>
        <v>8940.9840177708047</v>
      </c>
      <c r="BG286" s="646">
        <f t="shared" si="802"/>
        <v>-212.96695292699451</v>
      </c>
      <c r="BH286" s="647">
        <f t="shared" si="762"/>
        <v>8728.0170648438107</v>
      </c>
      <c r="BI286" s="644">
        <f t="shared" si="803"/>
        <v>0</v>
      </c>
      <c r="BJ286" s="645">
        <f t="shared" si="804"/>
        <v>8728.0170648438107</v>
      </c>
      <c r="BK286" s="646">
        <f t="shared" si="805"/>
        <v>-18.487990110242571</v>
      </c>
      <c r="BL286" s="647">
        <f t="shared" si="763"/>
        <v>8709.5290747335675</v>
      </c>
      <c r="BM286" s="644">
        <f t="shared" si="806"/>
        <v>0</v>
      </c>
      <c r="BN286" s="645">
        <f t="shared" si="807"/>
        <v>8709.5290747335675</v>
      </c>
      <c r="BO286" s="646">
        <f t="shared" si="808"/>
        <v>-0.39848524402686802</v>
      </c>
      <c r="BP286" s="647">
        <f t="shared" si="764"/>
        <v>8709.1305894895413</v>
      </c>
      <c r="BQ286" s="644">
        <f t="shared" si="809"/>
        <v>0</v>
      </c>
      <c r="BR286" s="645">
        <f t="shared" si="810"/>
        <v>8709.1305894895413</v>
      </c>
      <c r="BS286" s="646">
        <f t="shared" si="811"/>
        <v>0</v>
      </c>
      <c r="BT286" s="647">
        <f t="shared" si="765"/>
        <v>8709.1305894895413</v>
      </c>
      <c r="BU286" s="662">
        <f>VLOOKUP(B286,'Afton Update'!$A$5:$AR$582,'Afton Update'!$AO$589,0)-BT286</f>
        <v>0</v>
      </c>
      <c r="BV286" s="644">
        <f t="shared" si="812"/>
        <v>19482.129384821405</v>
      </c>
      <c r="BW286" s="645">
        <f t="shared" si="729"/>
        <v>19869.120880124716</v>
      </c>
      <c r="BX286" s="644">
        <f t="shared" si="813"/>
        <v>386.99149530331124</v>
      </c>
      <c r="BY286" s="645">
        <f t="shared" si="814"/>
        <v>0</v>
      </c>
      <c r="BZ286" s="646">
        <f t="shared" si="815"/>
        <v>0</v>
      </c>
      <c r="CA286" s="647">
        <f t="shared" si="816"/>
        <v>19869.120880124716</v>
      </c>
      <c r="CB286" s="644">
        <f t="shared" si="766"/>
        <v>0</v>
      </c>
      <c r="CC286" s="645">
        <f t="shared" si="767"/>
        <v>0</v>
      </c>
      <c r="CD286" s="646">
        <f t="shared" si="817"/>
        <v>0</v>
      </c>
      <c r="CE286" s="647">
        <f t="shared" si="768"/>
        <v>19869.120880124716</v>
      </c>
      <c r="CF286" s="644">
        <f t="shared" si="818"/>
        <v>0</v>
      </c>
      <c r="CG286" s="645">
        <f t="shared" si="819"/>
        <v>0</v>
      </c>
      <c r="CH286" s="646">
        <f t="shared" si="820"/>
        <v>0</v>
      </c>
      <c r="CI286" s="647">
        <f t="shared" si="769"/>
        <v>19869.120880124716</v>
      </c>
      <c r="CJ286" s="644">
        <f t="shared" si="821"/>
        <v>0</v>
      </c>
      <c r="CK286" s="645">
        <f t="shared" si="822"/>
        <v>0</v>
      </c>
      <c r="CL286" s="646">
        <f t="shared" si="823"/>
        <v>0</v>
      </c>
      <c r="CM286" s="647">
        <f t="shared" si="770"/>
        <v>19869.120880124716</v>
      </c>
      <c r="CN286" s="644">
        <f t="shared" si="824"/>
        <v>0</v>
      </c>
      <c r="CO286" s="645">
        <f t="shared" si="825"/>
        <v>0</v>
      </c>
      <c r="CP286" s="646">
        <f t="shared" si="826"/>
        <v>0</v>
      </c>
      <c r="CQ286" s="647">
        <f t="shared" si="771"/>
        <v>19869.120880124716</v>
      </c>
      <c r="CS286" s="644">
        <f t="shared" si="827"/>
        <v>18135.303294335194</v>
      </c>
      <c r="CT286" s="645">
        <f t="shared" si="730"/>
        <v>18645.67107246412</v>
      </c>
      <c r="CU286" s="644">
        <f t="shared" si="828"/>
        <v>510.36777812892615</v>
      </c>
      <c r="CV286" s="645">
        <f t="shared" si="829"/>
        <v>0</v>
      </c>
      <c r="CW286" s="646">
        <f t="shared" si="830"/>
        <v>0</v>
      </c>
      <c r="CX286" s="647">
        <f t="shared" si="831"/>
        <v>18645.67107246412</v>
      </c>
      <c r="CY286" s="644">
        <f t="shared" si="772"/>
        <v>0</v>
      </c>
      <c r="CZ286" s="645">
        <f t="shared" si="773"/>
        <v>0</v>
      </c>
      <c r="DA286" s="646">
        <f t="shared" si="832"/>
        <v>0</v>
      </c>
      <c r="DB286" s="647">
        <f t="shared" si="774"/>
        <v>18645.67107246412</v>
      </c>
      <c r="DC286" s="644">
        <f t="shared" si="833"/>
        <v>0</v>
      </c>
      <c r="DD286" s="645">
        <f t="shared" si="834"/>
        <v>0</v>
      </c>
      <c r="DE286" s="646">
        <f t="shared" si="835"/>
        <v>0</v>
      </c>
      <c r="DF286" s="647">
        <f t="shared" si="775"/>
        <v>18645.67107246412</v>
      </c>
      <c r="DG286" s="644">
        <f t="shared" si="836"/>
        <v>0</v>
      </c>
      <c r="DH286" s="645">
        <f t="shared" si="837"/>
        <v>0</v>
      </c>
      <c r="DI286" s="646">
        <f t="shared" si="838"/>
        <v>0</v>
      </c>
      <c r="DJ286" s="647">
        <f t="shared" si="776"/>
        <v>18645.67107246412</v>
      </c>
      <c r="DK286" s="644">
        <f t="shared" si="839"/>
        <v>0</v>
      </c>
      <c r="DL286" s="645">
        <f t="shared" si="840"/>
        <v>0</v>
      </c>
      <c r="DM286" s="646">
        <f t="shared" si="841"/>
        <v>0</v>
      </c>
      <c r="DN286" s="647">
        <f t="shared" si="777"/>
        <v>18645.67107246412</v>
      </c>
      <c r="DR286" s="827">
        <f t="shared" si="731"/>
        <v>86828.970895870181</v>
      </c>
      <c r="DV286" s="828">
        <f>IFERROR(VLOOKUP($B286,'Afton FY16 Final'!$A$5:$BV$587,'Afton FY16 Final'!$BV$587,0),0)</f>
        <v>88774.218496278001</v>
      </c>
      <c r="DX286" s="636">
        <f t="shared" si="719"/>
        <v>0</v>
      </c>
      <c r="DY286" s="637">
        <f t="shared" si="720"/>
        <v>0</v>
      </c>
      <c r="DZ286" s="637">
        <f t="shared" si="721"/>
        <v>0</v>
      </c>
      <c r="EA286" s="643">
        <f t="shared" si="722"/>
        <v>0</v>
      </c>
      <c r="EB286" s="637">
        <f t="shared" si="732"/>
        <v>0</v>
      </c>
      <c r="EC286" s="637">
        <f t="shared" si="733"/>
        <v>0</v>
      </c>
      <c r="ED286" s="637">
        <f t="shared" si="734"/>
        <v>0</v>
      </c>
      <c r="EE286" s="643">
        <f t="shared" si="735"/>
        <v>0</v>
      </c>
      <c r="EF286" s="637">
        <f t="shared" si="736"/>
        <v>0</v>
      </c>
      <c r="EG286" s="637">
        <f t="shared" si="737"/>
        <v>0</v>
      </c>
      <c r="EH286" s="637">
        <f t="shared" si="738"/>
        <v>0</v>
      </c>
      <c r="EI286" s="643">
        <f t="shared" si="739"/>
        <v>0</v>
      </c>
      <c r="EJ286" s="637">
        <f t="shared" si="740"/>
        <v>0</v>
      </c>
      <c r="EK286" s="637">
        <f t="shared" si="741"/>
        <v>0</v>
      </c>
      <c r="EL286" s="637">
        <f t="shared" si="742"/>
        <v>0</v>
      </c>
      <c r="EM286" s="643">
        <f t="shared" si="743"/>
        <v>0</v>
      </c>
      <c r="EN286" s="637">
        <f t="shared" si="744"/>
        <v>0</v>
      </c>
      <c r="EO286" s="637">
        <f t="shared" si="745"/>
        <v>0</v>
      </c>
      <c r="EP286" s="637">
        <f t="shared" si="746"/>
        <v>0</v>
      </c>
      <c r="EQ286" s="643">
        <f t="shared" si="747"/>
        <v>0</v>
      </c>
      <c r="ER286" s="637">
        <f t="shared" si="748"/>
        <v>0</v>
      </c>
      <c r="ES286" s="637">
        <f t="shared" si="749"/>
        <v>0</v>
      </c>
      <c r="ET286" s="637">
        <f t="shared" si="750"/>
        <v>0</v>
      </c>
      <c r="EU286" s="643">
        <f t="shared" si="723"/>
        <v>0</v>
      </c>
      <c r="EV286" s="643">
        <f t="shared" si="724"/>
        <v>0</v>
      </c>
      <c r="EX286" s="829">
        <f t="shared" si="725"/>
        <v>0</v>
      </c>
      <c r="EY286" s="638">
        <f t="shared" si="726"/>
        <v>86828.970895870181</v>
      </c>
      <c r="FC286" s="830" t="str">
        <f t="shared" si="751"/>
        <v>Y</v>
      </c>
      <c r="FE286" s="830" t="str">
        <f>IFERROR(VLOOKUP($B286,'Historical Conc Grant Elig'!$B$3:$J$707,'HH &amp; SI'!FE$2,0),"N")</f>
        <v>Y</v>
      </c>
      <c r="FF286" s="830" t="str">
        <f>IFERROR(VLOOKUP($B286,'Historical Conc Grant Elig'!$B$3:$J$707,'HH &amp; SI'!FF$2,0),"N")</f>
        <v>Y</v>
      </c>
      <c r="FG286" s="830" t="str">
        <f>IFERROR(VLOOKUP($B286,'Historical Conc Grant Elig'!$B$3:$J$707,'HH &amp; SI'!FG$2,0),"N")</f>
        <v>Y</v>
      </c>
      <c r="FH286" s="830" t="str">
        <f>IFERROR(VLOOKUP($B286,'Historical Conc Grant Elig'!$B$3:$J$707,'HH &amp; SI'!FH$2,0),"N")</f>
        <v>Y</v>
      </c>
      <c r="FI286" s="830" t="str">
        <f>IFERROR(VLOOKUP($B286,'Historical Conc Grant Elig'!$B$3:$J$707,'HH &amp; SI'!FI$2,0),"N")</f>
        <v>Y</v>
      </c>
      <c r="FJ286" s="830" t="str">
        <f>IFERROR(VLOOKUP($B286,'Historical Conc Grant Elig'!$B$3:$J$707,'HH &amp; SI'!FJ$2,0),"N")</f>
        <v>Y</v>
      </c>
      <c r="FK286" s="830" t="str">
        <f>IFERROR(VLOOKUP($B286,'Historical Conc Grant Elig'!$B$3:$J$707,'HH &amp; SI'!FK$2,0),"N")</f>
        <v>Y</v>
      </c>
      <c r="FL286" s="957" t="str">
        <f>IFERROR(VLOOKUP($B286,'Historical Conc Grant Elig'!$B$3:$J$707,'HH &amp; SI'!FL$2,0),"N")</f>
        <v>Y</v>
      </c>
    </row>
    <row r="287" spans="2:168" x14ac:dyDescent="0.25">
      <c r="B287" s="634">
        <v>78951000</v>
      </c>
      <c r="C287" s="635" t="str">
        <f>VLOOKUP($B287,'Afton Update'!$A$5:$CR$582,'Afton Update'!D$589,0)</f>
        <v>American Charter Schools Foundation d.b.a. Peoria Accelerate</v>
      </c>
      <c r="D287" s="636">
        <f>IFERROR(VLOOKUP($B287,'Afton FY16 Final'!$A$5:$BV$587,'Afton FY16 Final'!AQ$587,0),0)</f>
        <v>72404.299988283368</v>
      </c>
      <c r="E287" s="637">
        <f>IFERROR(VLOOKUP($B287,'Afton FY16 Final'!$A$5:$BV$587,'Afton FY16 Final'!AR$587,0),0)</f>
        <v>15632.803012367503</v>
      </c>
      <c r="F287" s="637">
        <f>IFERROR(VLOOKUP($B287,'Afton FY16 Final'!$A$5:$BV$587,'Afton FY16 Final'!AS$587,0),0)</f>
        <v>38389.817723465443</v>
      </c>
      <c r="G287" s="637">
        <f>IFERROR(VLOOKUP($B287,'Afton FY16 Final'!$A$5:$BV$587,'Afton FY16 Final'!AT$587,0),0)</f>
        <v>36988.325118295703</v>
      </c>
      <c r="H287" s="638">
        <f>IFERROR(VLOOKUP($B287,'Afton FY16 Final'!$A$5:$BV$587,'Afton FY16 Final'!AU$587,0),0)</f>
        <v>163415.245842412</v>
      </c>
      <c r="I287" s="639" t="str">
        <f>VLOOKUP($B287,'Afton Update'!$A$5:$CR$582,'Afton Update'!BT$589,0)</f>
        <v>Y</v>
      </c>
      <c r="J287" s="640" t="str">
        <f>VLOOKUP($B287,'Afton Update'!$A$5:$CR$582,'Afton Update'!BU$589,0)</f>
        <v>Y</v>
      </c>
      <c r="K287" s="640" t="str">
        <f>VLOOKUP($B287,'Afton Update'!$A$5:$CR$582,'Afton Update'!BV$589,0)</f>
        <v>Y</v>
      </c>
      <c r="L287" s="641" t="str">
        <f>VLOOKUP($B287,'Afton Update'!$A$5:$CR$582,'Afton Update'!BW$589,0)</f>
        <v>Y</v>
      </c>
      <c r="N287" s="642">
        <f>VLOOKUP($B287,'Afton Update'!$A$5:$CR$582,'Afton Update'!CB$589,0)</f>
        <v>0.95</v>
      </c>
      <c r="P287" s="636">
        <f>VLOOKUP($B287,'Afton Update'!$A$5:$CR$582,'Afton Update'!AH$589,0)</f>
        <v>50464.793392842847</v>
      </c>
      <c r="Q287" s="637">
        <f>VLOOKUP($B287,'Afton Update'!$A$5:$CR$582,'Afton Update'!AI$589,0)</f>
        <v>12566.859502497113</v>
      </c>
      <c r="R287" s="637">
        <f>VLOOKUP($B287,'Afton Update'!$A$5:$CR$582,'Afton Update'!AJ$589,0)</f>
        <v>29560.465998139985</v>
      </c>
      <c r="S287" s="637">
        <f>VLOOKUP($B287,'Afton Update'!$A$5:$CR$582,'Afton Update'!AK$589,0)</f>
        <v>27516.910795994369</v>
      </c>
      <c r="T287" s="643">
        <f t="shared" si="752"/>
        <v>120109.02968947431</v>
      </c>
      <c r="V287" s="636">
        <f t="shared" si="778"/>
        <v>68784.084988869203</v>
      </c>
      <c r="W287" s="637">
        <f t="shared" si="779"/>
        <v>14851.162861749128</v>
      </c>
      <c r="X287" s="637">
        <f t="shared" si="780"/>
        <v>36470.326837292167</v>
      </c>
      <c r="Y287" s="637">
        <f t="shared" si="781"/>
        <v>35138.908862380915</v>
      </c>
      <c r="Z287" s="643">
        <f t="shared" si="782"/>
        <v>155244.48355029142</v>
      </c>
      <c r="AB287" s="644">
        <f t="shared" si="753"/>
        <v>50464.793392842847</v>
      </c>
      <c r="AC287" s="645">
        <f t="shared" si="727"/>
        <v>68784.084988869203</v>
      </c>
      <c r="AD287" s="644">
        <f t="shared" si="783"/>
        <v>18319.291596026356</v>
      </c>
      <c r="AE287" s="645">
        <f t="shared" si="784"/>
        <v>0</v>
      </c>
      <c r="AF287" s="646">
        <f t="shared" si="785"/>
        <v>0</v>
      </c>
      <c r="AG287" s="647">
        <f t="shared" si="786"/>
        <v>68784.084988869203</v>
      </c>
      <c r="AH287" s="644">
        <f t="shared" si="754"/>
        <v>0</v>
      </c>
      <c r="AI287" s="645">
        <f t="shared" si="755"/>
        <v>0</v>
      </c>
      <c r="AJ287" s="646">
        <f t="shared" si="787"/>
        <v>0</v>
      </c>
      <c r="AK287" s="647">
        <f t="shared" si="756"/>
        <v>68784.084988869203</v>
      </c>
      <c r="AL287" s="644">
        <f t="shared" si="788"/>
        <v>0</v>
      </c>
      <c r="AM287" s="645">
        <f t="shared" si="789"/>
        <v>0</v>
      </c>
      <c r="AN287" s="646">
        <f t="shared" si="790"/>
        <v>0</v>
      </c>
      <c r="AO287" s="647">
        <f t="shared" si="757"/>
        <v>68784.084988869203</v>
      </c>
      <c r="AP287" s="644">
        <f t="shared" si="791"/>
        <v>0</v>
      </c>
      <c r="AQ287" s="645">
        <f t="shared" si="792"/>
        <v>0</v>
      </c>
      <c r="AR287" s="646">
        <f t="shared" si="793"/>
        <v>0</v>
      </c>
      <c r="AS287" s="647">
        <f t="shared" si="758"/>
        <v>68784.084988869203</v>
      </c>
      <c r="AT287" s="644">
        <f t="shared" si="794"/>
        <v>0</v>
      </c>
      <c r="AU287" s="645">
        <f t="shared" si="795"/>
        <v>0</v>
      </c>
      <c r="AV287" s="646">
        <f t="shared" si="796"/>
        <v>0</v>
      </c>
      <c r="AW287" s="647">
        <f t="shared" si="759"/>
        <v>68784.084988869203</v>
      </c>
      <c r="AY287" s="644">
        <f t="shared" si="797"/>
        <v>12566.859502497113</v>
      </c>
      <c r="AZ287" s="645">
        <f t="shared" si="728"/>
        <v>14851.162861749128</v>
      </c>
      <c r="BA287" s="644">
        <f t="shared" si="798"/>
        <v>2284.3033592520151</v>
      </c>
      <c r="BB287" s="645">
        <f t="shared" si="799"/>
        <v>0</v>
      </c>
      <c r="BC287" s="646">
        <f t="shared" si="800"/>
        <v>0</v>
      </c>
      <c r="BD287" s="647">
        <f t="shared" si="801"/>
        <v>14851.162861749128</v>
      </c>
      <c r="BE287" s="644">
        <f t="shared" si="760"/>
        <v>0</v>
      </c>
      <c r="BF287" s="645">
        <f t="shared" si="761"/>
        <v>0</v>
      </c>
      <c r="BG287" s="646">
        <f t="shared" si="802"/>
        <v>0</v>
      </c>
      <c r="BH287" s="647">
        <f t="shared" si="762"/>
        <v>14851.162861749128</v>
      </c>
      <c r="BI287" s="644">
        <f t="shared" si="803"/>
        <v>0</v>
      </c>
      <c r="BJ287" s="645">
        <f t="shared" si="804"/>
        <v>0</v>
      </c>
      <c r="BK287" s="646">
        <f t="shared" si="805"/>
        <v>0</v>
      </c>
      <c r="BL287" s="647">
        <f t="shared" si="763"/>
        <v>14851.162861749128</v>
      </c>
      <c r="BM287" s="644">
        <f t="shared" si="806"/>
        <v>0</v>
      </c>
      <c r="BN287" s="645">
        <f t="shared" si="807"/>
        <v>0</v>
      </c>
      <c r="BO287" s="646">
        <f t="shared" si="808"/>
        <v>0</v>
      </c>
      <c r="BP287" s="647">
        <f t="shared" si="764"/>
        <v>14851.162861749128</v>
      </c>
      <c r="BQ287" s="644">
        <f t="shared" si="809"/>
        <v>0</v>
      </c>
      <c r="BR287" s="645">
        <f t="shared" si="810"/>
        <v>0</v>
      </c>
      <c r="BS287" s="646">
        <f t="shared" si="811"/>
        <v>0</v>
      </c>
      <c r="BT287" s="647">
        <f t="shared" si="765"/>
        <v>14851.162861749128</v>
      </c>
      <c r="BU287" s="662">
        <f>VLOOKUP(B287,'Afton Update'!$A$5:$AR$582,'Afton Update'!$AO$589,0)-BT287</f>
        <v>0</v>
      </c>
      <c r="BV287" s="644">
        <f t="shared" si="812"/>
        <v>29560.465998139985</v>
      </c>
      <c r="BW287" s="645">
        <f t="shared" si="729"/>
        <v>36470.326837292167</v>
      </c>
      <c r="BX287" s="644">
        <f t="shared" si="813"/>
        <v>6909.8608391521811</v>
      </c>
      <c r="BY287" s="645">
        <f t="shared" si="814"/>
        <v>0</v>
      </c>
      <c r="BZ287" s="646">
        <f t="shared" si="815"/>
        <v>0</v>
      </c>
      <c r="CA287" s="647">
        <f t="shared" si="816"/>
        <v>36470.326837292167</v>
      </c>
      <c r="CB287" s="644">
        <f t="shared" si="766"/>
        <v>0</v>
      </c>
      <c r="CC287" s="645">
        <f t="shared" si="767"/>
        <v>0</v>
      </c>
      <c r="CD287" s="646">
        <f t="shared" si="817"/>
        <v>0</v>
      </c>
      <c r="CE287" s="647">
        <f t="shared" si="768"/>
        <v>36470.326837292167</v>
      </c>
      <c r="CF287" s="644">
        <f t="shared" si="818"/>
        <v>0</v>
      </c>
      <c r="CG287" s="645">
        <f t="shared" si="819"/>
        <v>0</v>
      </c>
      <c r="CH287" s="646">
        <f t="shared" si="820"/>
        <v>0</v>
      </c>
      <c r="CI287" s="647">
        <f t="shared" si="769"/>
        <v>36470.326837292167</v>
      </c>
      <c r="CJ287" s="644">
        <f t="shared" si="821"/>
        <v>0</v>
      </c>
      <c r="CK287" s="645">
        <f t="shared" si="822"/>
        <v>0</v>
      </c>
      <c r="CL287" s="646">
        <f t="shared" si="823"/>
        <v>0</v>
      </c>
      <c r="CM287" s="647">
        <f t="shared" si="770"/>
        <v>36470.326837292167</v>
      </c>
      <c r="CN287" s="644">
        <f t="shared" si="824"/>
        <v>0</v>
      </c>
      <c r="CO287" s="645">
        <f t="shared" si="825"/>
        <v>0</v>
      </c>
      <c r="CP287" s="646">
        <f t="shared" si="826"/>
        <v>0</v>
      </c>
      <c r="CQ287" s="647">
        <f t="shared" si="771"/>
        <v>36470.326837292167</v>
      </c>
      <c r="CS287" s="644">
        <f t="shared" si="827"/>
        <v>27516.910795994369</v>
      </c>
      <c r="CT287" s="645">
        <f t="shared" si="730"/>
        <v>35138.908862380915</v>
      </c>
      <c r="CU287" s="644">
        <f t="shared" si="828"/>
        <v>7621.9980663865463</v>
      </c>
      <c r="CV287" s="645">
        <f t="shared" si="829"/>
        <v>0</v>
      </c>
      <c r="CW287" s="646">
        <f t="shared" si="830"/>
        <v>0</v>
      </c>
      <c r="CX287" s="647">
        <f t="shared" si="831"/>
        <v>35138.908862380915</v>
      </c>
      <c r="CY287" s="644">
        <f t="shared" si="772"/>
        <v>0</v>
      </c>
      <c r="CZ287" s="645">
        <f t="shared" si="773"/>
        <v>0</v>
      </c>
      <c r="DA287" s="646">
        <f t="shared" si="832"/>
        <v>0</v>
      </c>
      <c r="DB287" s="647">
        <f t="shared" si="774"/>
        <v>35138.908862380915</v>
      </c>
      <c r="DC287" s="644">
        <f t="shared" si="833"/>
        <v>0</v>
      </c>
      <c r="DD287" s="645">
        <f t="shared" si="834"/>
        <v>0</v>
      </c>
      <c r="DE287" s="646">
        <f t="shared" si="835"/>
        <v>0</v>
      </c>
      <c r="DF287" s="647">
        <f t="shared" si="775"/>
        <v>35138.908862380915</v>
      </c>
      <c r="DG287" s="644">
        <f t="shared" si="836"/>
        <v>0</v>
      </c>
      <c r="DH287" s="645">
        <f t="shared" si="837"/>
        <v>0</v>
      </c>
      <c r="DI287" s="646">
        <f t="shared" si="838"/>
        <v>0</v>
      </c>
      <c r="DJ287" s="647">
        <f t="shared" si="776"/>
        <v>35138.908862380915</v>
      </c>
      <c r="DK287" s="644">
        <f t="shared" si="839"/>
        <v>0</v>
      </c>
      <c r="DL287" s="645">
        <f t="shared" si="840"/>
        <v>0</v>
      </c>
      <c r="DM287" s="646">
        <f t="shared" si="841"/>
        <v>0</v>
      </c>
      <c r="DN287" s="647">
        <f t="shared" si="777"/>
        <v>35138.908862380915</v>
      </c>
      <c r="DR287" s="827">
        <f t="shared" si="731"/>
        <v>155244.48355029142</v>
      </c>
      <c r="DV287" s="828">
        <f>IFERROR(VLOOKUP($B287,'Afton FY16 Final'!$A$5:$BV$587,'Afton FY16 Final'!$BV$587,0),0)</f>
        <v>160197.59967883793</v>
      </c>
      <c r="DX287" s="636">
        <f t="shared" si="719"/>
        <v>0</v>
      </c>
      <c r="DY287" s="637">
        <f t="shared" si="720"/>
        <v>0</v>
      </c>
      <c r="DZ287" s="637">
        <f t="shared" si="721"/>
        <v>0</v>
      </c>
      <c r="EA287" s="643">
        <f t="shared" si="722"/>
        <v>0</v>
      </c>
      <c r="EB287" s="637">
        <f t="shared" si="732"/>
        <v>0</v>
      </c>
      <c r="EC287" s="637">
        <f t="shared" si="733"/>
        <v>0</v>
      </c>
      <c r="ED287" s="637">
        <f t="shared" si="734"/>
        <v>0</v>
      </c>
      <c r="EE287" s="643">
        <f t="shared" si="735"/>
        <v>0</v>
      </c>
      <c r="EF287" s="637">
        <f t="shared" si="736"/>
        <v>0</v>
      </c>
      <c r="EG287" s="637">
        <f t="shared" si="737"/>
        <v>0</v>
      </c>
      <c r="EH287" s="637">
        <f t="shared" si="738"/>
        <v>0</v>
      </c>
      <c r="EI287" s="643">
        <f t="shared" si="739"/>
        <v>0</v>
      </c>
      <c r="EJ287" s="637">
        <f t="shared" si="740"/>
        <v>0</v>
      </c>
      <c r="EK287" s="637">
        <f t="shared" si="741"/>
        <v>0</v>
      </c>
      <c r="EL287" s="637">
        <f t="shared" si="742"/>
        <v>0</v>
      </c>
      <c r="EM287" s="643">
        <f t="shared" si="743"/>
        <v>0</v>
      </c>
      <c r="EN287" s="637">
        <f t="shared" si="744"/>
        <v>0</v>
      </c>
      <c r="EO287" s="637">
        <f t="shared" si="745"/>
        <v>0</v>
      </c>
      <c r="EP287" s="637">
        <f t="shared" si="746"/>
        <v>0</v>
      </c>
      <c r="EQ287" s="643">
        <f t="shared" si="747"/>
        <v>0</v>
      </c>
      <c r="ER287" s="637">
        <f t="shared" si="748"/>
        <v>0</v>
      </c>
      <c r="ES287" s="637">
        <f t="shared" si="749"/>
        <v>0</v>
      </c>
      <c r="ET287" s="637">
        <f t="shared" si="750"/>
        <v>0</v>
      </c>
      <c r="EU287" s="643">
        <f t="shared" si="723"/>
        <v>0</v>
      </c>
      <c r="EV287" s="643">
        <f t="shared" si="724"/>
        <v>0</v>
      </c>
      <c r="EX287" s="829">
        <f t="shared" si="725"/>
        <v>0</v>
      </c>
      <c r="EY287" s="638">
        <f t="shared" si="726"/>
        <v>155244.48355029142</v>
      </c>
      <c r="FC287" s="830" t="str">
        <f t="shared" si="751"/>
        <v>Y</v>
      </c>
      <c r="FE287" s="830" t="str">
        <f>IFERROR(VLOOKUP($B287,'Historical Conc Grant Elig'!$B$3:$J$707,'HH &amp; SI'!FE$2,0),"N")</f>
        <v>Y</v>
      </c>
      <c r="FF287" s="830" t="str">
        <f>IFERROR(VLOOKUP($B287,'Historical Conc Grant Elig'!$B$3:$J$707,'HH &amp; SI'!FF$2,0),"N")</f>
        <v>Y</v>
      </c>
      <c r="FG287" s="830" t="str">
        <f>IFERROR(VLOOKUP($B287,'Historical Conc Grant Elig'!$B$3:$J$707,'HH &amp; SI'!FG$2,0),"N")</f>
        <v>Y</v>
      </c>
      <c r="FH287" s="830" t="str">
        <f>IFERROR(VLOOKUP($B287,'Historical Conc Grant Elig'!$B$3:$J$707,'HH &amp; SI'!FH$2,0),"N")</f>
        <v>Y</v>
      </c>
      <c r="FI287" s="830" t="str">
        <f>IFERROR(VLOOKUP($B287,'Historical Conc Grant Elig'!$B$3:$J$707,'HH &amp; SI'!FI$2,0),"N")</f>
        <v>Y</v>
      </c>
      <c r="FJ287" s="830" t="str">
        <f>IFERROR(VLOOKUP($B287,'Historical Conc Grant Elig'!$B$3:$J$707,'HH &amp; SI'!FJ$2,0),"N")</f>
        <v>Y</v>
      </c>
      <c r="FK287" s="830" t="str">
        <f>IFERROR(VLOOKUP($B287,'Historical Conc Grant Elig'!$B$3:$J$707,'HH &amp; SI'!FK$2,0),"N")</f>
        <v>Y</v>
      </c>
      <c r="FL287" s="957" t="str">
        <f>IFERROR(VLOOKUP($B287,'Historical Conc Grant Elig'!$B$3:$J$707,'HH &amp; SI'!FL$2,0),"N")</f>
        <v>Y</v>
      </c>
    </row>
    <row r="288" spans="2:168" x14ac:dyDescent="0.25">
      <c r="B288" s="634">
        <v>78952000</v>
      </c>
      <c r="C288" s="635" t="str">
        <f>VLOOKUP($B288,'Afton Update'!$A$5:$CR$582,'Afton Update'!D$589,0)</f>
        <v>Kaizen Education Foundation dba Summit High School</v>
      </c>
      <c r="D288" s="636">
        <f>IFERROR(VLOOKUP($B288,'Afton FY16 Final'!$A$5:$BV$587,'Afton FY16 Final'!AQ$587,0),0)</f>
        <v>61027.547755956497</v>
      </c>
      <c r="E288" s="637">
        <f>IFERROR(VLOOKUP($B288,'Afton FY16 Final'!$A$5:$BV$587,'Afton FY16 Final'!AR$587,0),0)</f>
        <v>13164.923383172389</v>
      </c>
      <c r="F288" s="637">
        <f>IFERROR(VLOOKUP($B288,'Afton FY16 Final'!$A$5:$BV$587,'Afton FY16 Final'!AS$587,0),0)</f>
        <v>32357.697468801925</v>
      </c>
      <c r="G288" s="637">
        <f>IFERROR(VLOOKUP($B288,'Afton FY16 Final'!$A$5:$BV$587,'Afton FY16 Final'!AT$587,0),0)</f>
        <v>31176.41877533403</v>
      </c>
      <c r="H288" s="638">
        <f>IFERROR(VLOOKUP($B288,'Afton FY16 Final'!$A$5:$BV$587,'Afton FY16 Final'!AU$587,0),0)</f>
        <v>137726.58738326485</v>
      </c>
      <c r="I288" s="639" t="str">
        <f>VLOOKUP($B288,'Afton Update'!$A$5:$CR$582,'Afton Update'!BT$589,0)</f>
        <v>Y</v>
      </c>
      <c r="J288" s="640" t="str">
        <f>VLOOKUP($B288,'Afton Update'!$A$5:$CR$582,'Afton Update'!BU$589,0)</f>
        <v>Y</v>
      </c>
      <c r="K288" s="640" t="str">
        <f>VLOOKUP($B288,'Afton Update'!$A$5:$CR$582,'Afton Update'!BV$589,0)</f>
        <v>Y</v>
      </c>
      <c r="L288" s="641" t="str">
        <f>VLOOKUP($B288,'Afton Update'!$A$5:$CR$582,'Afton Update'!BW$589,0)</f>
        <v>Y</v>
      </c>
      <c r="N288" s="642">
        <f>VLOOKUP($B288,'Afton Update'!$A$5:$CR$582,'Afton Update'!CB$589,0)</f>
        <v>0.95</v>
      </c>
      <c r="P288" s="636">
        <f>VLOOKUP($B288,'Afton Update'!$A$5:$CR$582,'Afton Update'!AH$589,0)</f>
        <v>43768.043558721518</v>
      </c>
      <c r="Q288" s="637">
        <f>VLOOKUP($B288,'Afton Update'!$A$5:$CR$582,'Afton Update'!AI$589,0)</f>
        <v>11181.98240604849</v>
      </c>
      <c r="R288" s="637">
        <f>VLOOKUP($B288,'Afton Update'!$A$5:$CR$582,'Afton Update'!AJ$589,0)</f>
        <v>25641.112870738314</v>
      </c>
      <c r="S288" s="637">
        <f>VLOOKUP($B288,'Afton Update'!$A$5:$CR$582,'Afton Update'!AK$589,0)</f>
        <v>23868.507878682467</v>
      </c>
      <c r="T288" s="643">
        <f t="shared" si="752"/>
        <v>104459.64671419078</v>
      </c>
      <c r="V288" s="636">
        <f t="shared" si="778"/>
        <v>57976.170368158666</v>
      </c>
      <c r="W288" s="637">
        <f t="shared" si="779"/>
        <v>12506.677214013769</v>
      </c>
      <c r="X288" s="637">
        <f t="shared" si="780"/>
        <v>30739.812595361829</v>
      </c>
      <c r="Y288" s="637">
        <f t="shared" si="781"/>
        <v>29617.597836567329</v>
      </c>
      <c r="Z288" s="643">
        <f t="shared" si="782"/>
        <v>130840.25801410159</v>
      </c>
      <c r="AB288" s="644">
        <f t="shared" si="753"/>
        <v>43768.043558721518</v>
      </c>
      <c r="AC288" s="645">
        <f t="shared" si="727"/>
        <v>57976.170368158666</v>
      </c>
      <c r="AD288" s="644">
        <f t="shared" si="783"/>
        <v>14208.126809437148</v>
      </c>
      <c r="AE288" s="645">
        <f t="shared" si="784"/>
        <v>0</v>
      </c>
      <c r="AF288" s="646">
        <f t="shared" si="785"/>
        <v>0</v>
      </c>
      <c r="AG288" s="647">
        <f t="shared" si="786"/>
        <v>57976.170368158666</v>
      </c>
      <c r="AH288" s="644">
        <f t="shared" si="754"/>
        <v>0</v>
      </c>
      <c r="AI288" s="645">
        <f t="shared" si="755"/>
        <v>0</v>
      </c>
      <c r="AJ288" s="646">
        <f t="shared" si="787"/>
        <v>0</v>
      </c>
      <c r="AK288" s="647">
        <f t="shared" si="756"/>
        <v>57976.170368158666</v>
      </c>
      <c r="AL288" s="644">
        <f t="shared" si="788"/>
        <v>0</v>
      </c>
      <c r="AM288" s="645">
        <f t="shared" si="789"/>
        <v>0</v>
      </c>
      <c r="AN288" s="646">
        <f t="shared" si="790"/>
        <v>0</v>
      </c>
      <c r="AO288" s="647">
        <f t="shared" si="757"/>
        <v>57976.170368158666</v>
      </c>
      <c r="AP288" s="644">
        <f t="shared" si="791"/>
        <v>0</v>
      </c>
      <c r="AQ288" s="645">
        <f t="shared" si="792"/>
        <v>0</v>
      </c>
      <c r="AR288" s="646">
        <f t="shared" si="793"/>
        <v>0</v>
      </c>
      <c r="AS288" s="647">
        <f t="shared" si="758"/>
        <v>57976.170368158666</v>
      </c>
      <c r="AT288" s="644">
        <f t="shared" si="794"/>
        <v>0</v>
      </c>
      <c r="AU288" s="645">
        <f t="shared" si="795"/>
        <v>0</v>
      </c>
      <c r="AV288" s="646">
        <f t="shared" si="796"/>
        <v>0</v>
      </c>
      <c r="AW288" s="647">
        <f t="shared" si="759"/>
        <v>57976.170368158666</v>
      </c>
      <c r="AY288" s="644">
        <f t="shared" si="797"/>
        <v>11181.98240604849</v>
      </c>
      <c r="AZ288" s="645">
        <f t="shared" si="728"/>
        <v>12506.677214013769</v>
      </c>
      <c r="BA288" s="644">
        <f t="shared" si="798"/>
        <v>1324.6948079652793</v>
      </c>
      <c r="BB288" s="645">
        <f t="shared" si="799"/>
        <v>0</v>
      </c>
      <c r="BC288" s="646">
        <f t="shared" si="800"/>
        <v>0</v>
      </c>
      <c r="BD288" s="647">
        <f t="shared" si="801"/>
        <v>12506.677214013769</v>
      </c>
      <c r="BE288" s="644">
        <f t="shared" si="760"/>
        <v>0</v>
      </c>
      <c r="BF288" s="645">
        <f t="shared" si="761"/>
        <v>0</v>
      </c>
      <c r="BG288" s="646">
        <f t="shared" si="802"/>
        <v>0</v>
      </c>
      <c r="BH288" s="647">
        <f t="shared" si="762"/>
        <v>12506.677214013769</v>
      </c>
      <c r="BI288" s="644">
        <f t="shared" si="803"/>
        <v>0</v>
      </c>
      <c r="BJ288" s="645">
        <f t="shared" si="804"/>
        <v>0</v>
      </c>
      <c r="BK288" s="646">
        <f t="shared" si="805"/>
        <v>0</v>
      </c>
      <c r="BL288" s="647">
        <f t="shared" si="763"/>
        <v>12506.677214013769</v>
      </c>
      <c r="BM288" s="644">
        <f t="shared" si="806"/>
        <v>0</v>
      </c>
      <c r="BN288" s="645">
        <f t="shared" si="807"/>
        <v>0</v>
      </c>
      <c r="BO288" s="646">
        <f t="shared" si="808"/>
        <v>0</v>
      </c>
      <c r="BP288" s="647">
        <f t="shared" si="764"/>
        <v>12506.677214013769</v>
      </c>
      <c r="BQ288" s="644">
        <f t="shared" si="809"/>
        <v>0</v>
      </c>
      <c r="BR288" s="645">
        <f t="shared" si="810"/>
        <v>0</v>
      </c>
      <c r="BS288" s="646">
        <f t="shared" si="811"/>
        <v>0</v>
      </c>
      <c r="BT288" s="647">
        <f t="shared" si="765"/>
        <v>12506.677214013769</v>
      </c>
      <c r="BU288" s="662">
        <f>VLOOKUP(B288,'Afton Update'!$A$5:$AR$582,'Afton Update'!$AO$589,0)-BT288</f>
        <v>0</v>
      </c>
      <c r="BV288" s="644">
        <f t="shared" si="812"/>
        <v>25641.112870738314</v>
      </c>
      <c r="BW288" s="645">
        <f t="shared" si="729"/>
        <v>30739.812595361829</v>
      </c>
      <c r="BX288" s="644">
        <f t="shared" si="813"/>
        <v>5098.6997246235151</v>
      </c>
      <c r="BY288" s="645">
        <f t="shared" si="814"/>
        <v>0</v>
      </c>
      <c r="BZ288" s="646">
        <f t="shared" si="815"/>
        <v>0</v>
      </c>
      <c r="CA288" s="647">
        <f t="shared" si="816"/>
        <v>30739.812595361829</v>
      </c>
      <c r="CB288" s="644">
        <f t="shared" si="766"/>
        <v>0</v>
      </c>
      <c r="CC288" s="645">
        <f t="shared" si="767"/>
        <v>0</v>
      </c>
      <c r="CD288" s="646">
        <f t="shared" si="817"/>
        <v>0</v>
      </c>
      <c r="CE288" s="647">
        <f t="shared" si="768"/>
        <v>30739.812595361829</v>
      </c>
      <c r="CF288" s="644">
        <f t="shared" si="818"/>
        <v>0</v>
      </c>
      <c r="CG288" s="645">
        <f t="shared" si="819"/>
        <v>0</v>
      </c>
      <c r="CH288" s="646">
        <f t="shared" si="820"/>
        <v>0</v>
      </c>
      <c r="CI288" s="647">
        <f t="shared" si="769"/>
        <v>30739.812595361829</v>
      </c>
      <c r="CJ288" s="644">
        <f t="shared" si="821"/>
        <v>0</v>
      </c>
      <c r="CK288" s="645">
        <f t="shared" si="822"/>
        <v>0</v>
      </c>
      <c r="CL288" s="646">
        <f t="shared" si="823"/>
        <v>0</v>
      </c>
      <c r="CM288" s="647">
        <f t="shared" si="770"/>
        <v>30739.812595361829</v>
      </c>
      <c r="CN288" s="644">
        <f t="shared" si="824"/>
        <v>0</v>
      </c>
      <c r="CO288" s="645">
        <f t="shared" si="825"/>
        <v>0</v>
      </c>
      <c r="CP288" s="646">
        <f t="shared" si="826"/>
        <v>0</v>
      </c>
      <c r="CQ288" s="647">
        <f t="shared" si="771"/>
        <v>30739.812595361829</v>
      </c>
      <c r="CS288" s="644">
        <f t="shared" si="827"/>
        <v>23868.507878682467</v>
      </c>
      <c r="CT288" s="645">
        <f t="shared" si="730"/>
        <v>29617.597836567329</v>
      </c>
      <c r="CU288" s="644">
        <f t="shared" si="828"/>
        <v>5749.0899578848621</v>
      </c>
      <c r="CV288" s="645">
        <f t="shared" si="829"/>
        <v>0</v>
      </c>
      <c r="CW288" s="646">
        <f t="shared" si="830"/>
        <v>0</v>
      </c>
      <c r="CX288" s="647">
        <f t="shared" si="831"/>
        <v>29617.597836567329</v>
      </c>
      <c r="CY288" s="644">
        <f t="shared" si="772"/>
        <v>0</v>
      </c>
      <c r="CZ288" s="645">
        <f t="shared" si="773"/>
        <v>0</v>
      </c>
      <c r="DA288" s="646">
        <f t="shared" si="832"/>
        <v>0</v>
      </c>
      <c r="DB288" s="647">
        <f t="shared" si="774"/>
        <v>29617.597836567329</v>
      </c>
      <c r="DC288" s="644">
        <f t="shared" si="833"/>
        <v>0</v>
      </c>
      <c r="DD288" s="645">
        <f t="shared" si="834"/>
        <v>0</v>
      </c>
      <c r="DE288" s="646">
        <f t="shared" si="835"/>
        <v>0</v>
      </c>
      <c r="DF288" s="647">
        <f t="shared" si="775"/>
        <v>29617.597836567329</v>
      </c>
      <c r="DG288" s="644">
        <f t="shared" si="836"/>
        <v>0</v>
      </c>
      <c r="DH288" s="645">
        <f t="shared" si="837"/>
        <v>0</v>
      </c>
      <c r="DI288" s="646">
        <f t="shared" si="838"/>
        <v>0</v>
      </c>
      <c r="DJ288" s="647">
        <f t="shared" si="776"/>
        <v>29617.597836567329</v>
      </c>
      <c r="DK288" s="644">
        <f t="shared" si="839"/>
        <v>0</v>
      </c>
      <c r="DL288" s="645">
        <f t="shared" si="840"/>
        <v>0</v>
      </c>
      <c r="DM288" s="646">
        <f t="shared" si="841"/>
        <v>0</v>
      </c>
      <c r="DN288" s="647">
        <f t="shared" si="777"/>
        <v>29617.597836567329</v>
      </c>
      <c r="DR288" s="827">
        <f t="shared" si="731"/>
        <v>130840.25801410159</v>
      </c>
      <c r="DV288" s="828">
        <f>IFERROR(VLOOKUP($B288,'Afton FY16 Final'!$A$5:$BV$587,'Afton FY16 Final'!$BV$587,0),0)</f>
        <v>135014.75090049711</v>
      </c>
      <c r="DX288" s="636">
        <f t="shared" si="719"/>
        <v>0</v>
      </c>
      <c r="DY288" s="637">
        <f t="shared" si="720"/>
        <v>0</v>
      </c>
      <c r="DZ288" s="637">
        <f t="shared" si="721"/>
        <v>0</v>
      </c>
      <c r="EA288" s="643">
        <f t="shared" si="722"/>
        <v>0</v>
      </c>
      <c r="EB288" s="637">
        <f t="shared" si="732"/>
        <v>0</v>
      </c>
      <c r="EC288" s="637">
        <f t="shared" si="733"/>
        <v>0</v>
      </c>
      <c r="ED288" s="637">
        <f t="shared" si="734"/>
        <v>0</v>
      </c>
      <c r="EE288" s="643">
        <f t="shared" si="735"/>
        <v>0</v>
      </c>
      <c r="EF288" s="637">
        <f t="shared" si="736"/>
        <v>0</v>
      </c>
      <c r="EG288" s="637">
        <f t="shared" si="737"/>
        <v>0</v>
      </c>
      <c r="EH288" s="637">
        <f t="shared" si="738"/>
        <v>0</v>
      </c>
      <c r="EI288" s="643">
        <f t="shared" si="739"/>
        <v>0</v>
      </c>
      <c r="EJ288" s="637">
        <f t="shared" si="740"/>
        <v>0</v>
      </c>
      <c r="EK288" s="637">
        <f t="shared" si="741"/>
        <v>0</v>
      </c>
      <c r="EL288" s="637">
        <f t="shared" si="742"/>
        <v>0</v>
      </c>
      <c r="EM288" s="643">
        <f t="shared" si="743"/>
        <v>0</v>
      </c>
      <c r="EN288" s="637">
        <f t="shared" si="744"/>
        <v>0</v>
      </c>
      <c r="EO288" s="637">
        <f t="shared" si="745"/>
        <v>0</v>
      </c>
      <c r="EP288" s="637">
        <f t="shared" si="746"/>
        <v>0</v>
      </c>
      <c r="EQ288" s="643">
        <f t="shared" si="747"/>
        <v>0</v>
      </c>
      <c r="ER288" s="637">
        <f t="shared" si="748"/>
        <v>0</v>
      </c>
      <c r="ES288" s="637">
        <f t="shared" si="749"/>
        <v>0</v>
      </c>
      <c r="ET288" s="637">
        <f t="shared" si="750"/>
        <v>0</v>
      </c>
      <c r="EU288" s="643">
        <f t="shared" si="723"/>
        <v>0</v>
      </c>
      <c r="EV288" s="643">
        <f t="shared" si="724"/>
        <v>0</v>
      </c>
      <c r="EX288" s="829">
        <f t="shared" si="725"/>
        <v>0</v>
      </c>
      <c r="EY288" s="638">
        <f t="shared" si="726"/>
        <v>130840.25801410159</v>
      </c>
      <c r="FC288" s="830" t="str">
        <f t="shared" si="751"/>
        <v>Y</v>
      </c>
      <c r="FE288" s="830" t="str">
        <f>IFERROR(VLOOKUP($B288,'Historical Conc Grant Elig'!$B$3:$J$707,'HH &amp; SI'!FE$2,0),"N")</f>
        <v>Y</v>
      </c>
      <c r="FF288" s="830" t="str">
        <f>IFERROR(VLOOKUP($B288,'Historical Conc Grant Elig'!$B$3:$J$707,'HH &amp; SI'!FF$2,0),"N")</f>
        <v>Y</v>
      </c>
      <c r="FG288" s="830" t="str">
        <f>IFERROR(VLOOKUP($B288,'Historical Conc Grant Elig'!$B$3:$J$707,'HH &amp; SI'!FG$2,0),"N")</f>
        <v>Y</v>
      </c>
      <c r="FH288" s="830" t="str">
        <f>IFERROR(VLOOKUP($B288,'Historical Conc Grant Elig'!$B$3:$J$707,'HH &amp; SI'!FH$2,0),"N")</f>
        <v>Y</v>
      </c>
      <c r="FI288" s="830" t="str">
        <f>IFERROR(VLOOKUP($B288,'Historical Conc Grant Elig'!$B$3:$J$707,'HH &amp; SI'!FI$2,0),"N")</f>
        <v>Y</v>
      </c>
      <c r="FJ288" s="830" t="str">
        <f>IFERROR(VLOOKUP($B288,'Historical Conc Grant Elig'!$B$3:$J$707,'HH &amp; SI'!FJ$2,0),"N")</f>
        <v>Y</v>
      </c>
      <c r="FK288" s="830" t="str">
        <f>IFERROR(VLOOKUP($B288,'Historical Conc Grant Elig'!$B$3:$J$707,'HH &amp; SI'!FK$2,0),"N")</f>
        <v>Y</v>
      </c>
      <c r="FL288" s="957" t="str">
        <f>IFERROR(VLOOKUP($B288,'Historical Conc Grant Elig'!$B$3:$J$707,'HH &amp; SI'!FL$2,0),"N")</f>
        <v>Y</v>
      </c>
    </row>
    <row r="289" spans="2:168" x14ac:dyDescent="0.25">
      <c r="B289" s="634">
        <v>78953000</v>
      </c>
      <c r="C289" s="635" t="str">
        <f>VLOOKUP($B289,'Afton Update'!$A$5:$CR$582,'Afton Update'!D$589,0)</f>
        <v>American Charter Schools Foundation d.b.a. Sun Valley High S</v>
      </c>
      <c r="D289" s="636">
        <f>IFERROR(VLOOKUP($B289,'Afton FY16 Final'!$A$5:$BV$587,'Afton FY16 Final'!AQ$587,0),0)</f>
        <v>68047.24594186031</v>
      </c>
      <c r="E289" s="637">
        <f>IFERROR(VLOOKUP($B289,'Afton FY16 Final'!$A$5:$BV$587,'Afton FY16 Final'!AR$587,0),0)</f>
        <v>14596.884992576575</v>
      </c>
      <c r="F289" s="637">
        <f>IFERROR(VLOOKUP($B289,'Afton FY16 Final'!$A$5:$BV$587,'Afton FY16 Final'!AS$587,0),0)</f>
        <v>36079.644008913456</v>
      </c>
      <c r="G289" s="637">
        <f>IFERROR(VLOOKUP($B289,'Afton FY16 Final'!$A$5:$BV$587,'Afton FY16 Final'!AT$587,0),0)</f>
        <v>34762.488646523139</v>
      </c>
      <c r="H289" s="638">
        <f>IFERROR(VLOOKUP($B289,'Afton FY16 Final'!$A$5:$BV$587,'Afton FY16 Final'!AU$587,0),0)</f>
        <v>153486.2635898735</v>
      </c>
      <c r="I289" s="639" t="str">
        <f>VLOOKUP($B289,'Afton Update'!$A$5:$CR$582,'Afton Update'!BT$589,0)</f>
        <v>Y</v>
      </c>
      <c r="J289" s="640" t="str">
        <f>VLOOKUP($B289,'Afton Update'!$A$5:$CR$582,'Afton Update'!BU$589,0)</f>
        <v>Y</v>
      </c>
      <c r="K289" s="640" t="str">
        <f>VLOOKUP($B289,'Afton Update'!$A$5:$CR$582,'Afton Update'!BV$589,0)</f>
        <v>Y</v>
      </c>
      <c r="L289" s="641" t="str">
        <f>VLOOKUP($B289,'Afton Update'!$A$5:$CR$582,'Afton Update'!BW$589,0)</f>
        <v>Y</v>
      </c>
      <c r="N289" s="642">
        <f>VLOOKUP($B289,'Afton Update'!$A$5:$CR$582,'Afton Update'!CB$589,0)</f>
        <v>0.95</v>
      </c>
      <c r="P289" s="636">
        <f>VLOOKUP($B289,'Afton Update'!$A$5:$CR$582,'Afton Update'!AH$589,0)</f>
        <v>51899.811214440269</v>
      </c>
      <c r="Q289" s="637">
        <f>VLOOKUP($B289,'Afton Update'!$A$5:$CR$582,'Afton Update'!AI$589,0)</f>
        <v>12863.618880307531</v>
      </c>
      <c r="R289" s="637">
        <f>VLOOKUP($B289,'Afton Update'!$A$5:$CR$582,'Afton Update'!AJ$589,0)</f>
        <v>30400.3273825832</v>
      </c>
      <c r="S289" s="637">
        <f>VLOOKUP($B289,'Afton Update'!$A$5:$CR$582,'Afton Update'!AK$589,0)</f>
        <v>28298.711421132633</v>
      </c>
      <c r="T289" s="643">
        <f t="shared" si="752"/>
        <v>123462.46889846365</v>
      </c>
      <c r="V289" s="636">
        <f t="shared" si="778"/>
        <v>64644.883644767295</v>
      </c>
      <c r="W289" s="637">
        <f t="shared" si="779"/>
        <v>13867.040742947745</v>
      </c>
      <c r="X289" s="637">
        <f t="shared" si="780"/>
        <v>34275.661808467783</v>
      </c>
      <c r="Y289" s="637">
        <f t="shared" si="781"/>
        <v>33024.364214196983</v>
      </c>
      <c r="Z289" s="643">
        <f t="shared" si="782"/>
        <v>145811.9504103798</v>
      </c>
      <c r="AB289" s="644">
        <f t="shared" si="753"/>
        <v>51899.811214440269</v>
      </c>
      <c r="AC289" s="645">
        <f t="shared" si="727"/>
        <v>64644.883644767295</v>
      </c>
      <c r="AD289" s="644">
        <f t="shared" si="783"/>
        <v>12745.072430327025</v>
      </c>
      <c r="AE289" s="645">
        <f t="shared" si="784"/>
        <v>0</v>
      </c>
      <c r="AF289" s="646">
        <f t="shared" si="785"/>
        <v>0</v>
      </c>
      <c r="AG289" s="647">
        <f t="shared" si="786"/>
        <v>64644.883644767295</v>
      </c>
      <c r="AH289" s="644">
        <f t="shared" si="754"/>
        <v>0</v>
      </c>
      <c r="AI289" s="645">
        <f t="shared" si="755"/>
        <v>0</v>
      </c>
      <c r="AJ289" s="646">
        <f t="shared" si="787"/>
        <v>0</v>
      </c>
      <c r="AK289" s="647">
        <f t="shared" si="756"/>
        <v>64644.883644767295</v>
      </c>
      <c r="AL289" s="644">
        <f t="shared" si="788"/>
        <v>0</v>
      </c>
      <c r="AM289" s="645">
        <f t="shared" si="789"/>
        <v>0</v>
      </c>
      <c r="AN289" s="646">
        <f t="shared" si="790"/>
        <v>0</v>
      </c>
      <c r="AO289" s="647">
        <f t="shared" si="757"/>
        <v>64644.883644767295</v>
      </c>
      <c r="AP289" s="644">
        <f t="shared" si="791"/>
        <v>0</v>
      </c>
      <c r="AQ289" s="645">
        <f t="shared" si="792"/>
        <v>0</v>
      </c>
      <c r="AR289" s="646">
        <f t="shared" si="793"/>
        <v>0</v>
      </c>
      <c r="AS289" s="647">
        <f t="shared" si="758"/>
        <v>64644.883644767295</v>
      </c>
      <c r="AT289" s="644">
        <f t="shared" si="794"/>
        <v>0</v>
      </c>
      <c r="AU289" s="645">
        <f t="shared" si="795"/>
        <v>0</v>
      </c>
      <c r="AV289" s="646">
        <f t="shared" si="796"/>
        <v>0</v>
      </c>
      <c r="AW289" s="647">
        <f t="shared" si="759"/>
        <v>64644.883644767295</v>
      </c>
      <c r="AY289" s="644">
        <f t="shared" si="797"/>
        <v>12863.618880307531</v>
      </c>
      <c r="AZ289" s="645">
        <f t="shared" si="728"/>
        <v>13867.040742947745</v>
      </c>
      <c r="BA289" s="644">
        <f t="shared" si="798"/>
        <v>1003.4218626402144</v>
      </c>
      <c r="BB289" s="645">
        <f t="shared" si="799"/>
        <v>0</v>
      </c>
      <c r="BC289" s="646">
        <f t="shared" si="800"/>
        <v>0</v>
      </c>
      <c r="BD289" s="647">
        <f t="shared" si="801"/>
        <v>13867.040742947745</v>
      </c>
      <c r="BE289" s="644">
        <f t="shared" si="760"/>
        <v>0</v>
      </c>
      <c r="BF289" s="645">
        <f t="shared" si="761"/>
        <v>0</v>
      </c>
      <c r="BG289" s="646">
        <f t="shared" si="802"/>
        <v>0</v>
      </c>
      <c r="BH289" s="647">
        <f t="shared" si="762"/>
        <v>13867.040742947745</v>
      </c>
      <c r="BI289" s="644">
        <f t="shared" si="803"/>
        <v>0</v>
      </c>
      <c r="BJ289" s="645">
        <f t="shared" si="804"/>
        <v>0</v>
      </c>
      <c r="BK289" s="646">
        <f t="shared" si="805"/>
        <v>0</v>
      </c>
      <c r="BL289" s="647">
        <f t="shared" si="763"/>
        <v>13867.040742947745</v>
      </c>
      <c r="BM289" s="644">
        <f t="shared" si="806"/>
        <v>0</v>
      </c>
      <c r="BN289" s="645">
        <f t="shared" si="807"/>
        <v>0</v>
      </c>
      <c r="BO289" s="646">
        <f t="shared" si="808"/>
        <v>0</v>
      </c>
      <c r="BP289" s="647">
        <f t="shared" si="764"/>
        <v>13867.040742947745</v>
      </c>
      <c r="BQ289" s="644">
        <f t="shared" si="809"/>
        <v>0</v>
      </c>
      <c r="BR289" s="645">
        <f t="shared" si="810"/>
        <v>0</v>
      </c>
      <c r="BS289" s="646">
        <f t="shared" si="811"/>
        <v>0</v>
      </c>
      <c r="BT289" s="647">
        <f t="shared" si="765"/>
        <v>13867.040742947745</v>
      </c>
      <c r="BU289" s="662">
        <f>VLOOKUP(B289,'Afton Update'!$A$5:$AR$582,'Afton Update'!$AO$589,0)-BT289</f>
        <v>0</v>
      </c>
      <c r="BV289" s="644">
        <f t="shared" si="812"/>
        <v>30400.3273825832</v>
      </c>
      <c r="BW289" s="645">
        <f t="shared" si="729"/>
        <v>34275.661808467783</v>
      </c>
      <c r="BX289" s="644">
        <f t="shared" si="813"/>
        <v>3875.3344258845827</v>
      </c>
      <c r="BY289" s="645">
        <f t="shared" si="814"/>
        <v>0</v>
      </c>
      <c r="BZ289" s="646">
        <f t="shared" si="815"/>
        <v>0</v>
      </c>
      <c r="CA289" s="647">
        <f t="shared" si="816"/>
        <v>34275.661808467783</v>
      </c>
      <c r="CB289" s="644">
        <f t="shared" si="766"/>
        <v>0</v>
      </c>
      <c r="CC289" s="645">
        <f t="shared" si="767"/>
        <v>0</v>
      </c>
      <c r="CD289" s="646">
        <f t="shared" si="817"/>
        <v>0</v>
      </c>
      <c r="CE289" s="647">
        <f t="shared" si="768"/>
        <v>34275.661808467783</v>
      </c>
      <c r="CF289" s="644">
        <f t="shared" si="818"/>
        <v>0</v>
      </c>
      <c r="CG289" s="645">
        <f t="shared" si="819"/>
        <v>0</v>
      </c>
      <c r="CH289" s="646">
        <f t="shared" si="820"/>
        <v>0</v>
      </c>
      <c r="CI289" s="647">
        <f t="shared" si="769"/>
        <v>34275.661808467783</v>
      </c>
      <c r="CJ289" s="644">
        <f t="shared" si="821"/>
        <v>0</v>
      </c>
      <c r="CK289" s="645">
        <f t="shared" si="822"/>
        <v>0</v>
      </c>
      <c r="CL289" s="646">
        <f t="shared" si="823"/>
        <v>0</v>
      </c>
      <c r="CM289" s="647">
        <f t="shared" si="770"/>
        <v>34275.661808467783</v>
      </c>
      <c r="CN289" s="644">
        <f t="shared" si="824"/>
        <v>0</v>
      </c>
      <c r="CO289" s="645">
        <f t="shared" si="825"/>
        <v>0</v>
      </c>
      <c r="CP289" s="646">
        <f t="shared" si="826"/>
        <v>0</v>
      </c>
      <c r="CQ289" s="647">
        <f t="shared" si="771"/>
        <v>34275.661808467783</v>
      </c>
      <c r="CS289" s="644">
        <f t="shared" si="827"/>
        <v>28298.711421132633</v>
      </c>
      <c r="CT289" s="645">
        <f t="shared" si="730"/>
        <v>33024.364214196983</v>
      </c>
      <c r="CU289" s="644">
        <f t="shared" si="828"/>
        <v>4725.6527930643497</v>
      </c>
      <c r="CV289" s="645">
        <f t="shared" si="829"/>
        <v>0</v>
      </c>
      <c r="CW289" s="646">
        <f t="shared" si="830"/>
        <v>0</v>
      </c>
      <c r="CX289" s="647">
        <f t="shared" si="831"/>
        <v>33024.364214196983</v>
      </c>
      <c r="CY289" s="644">
        <f t="shared" si="772"/>
        <v>0</v>
      </c>
      <c r="CZ289" s="645">
        <f t="shared" si="773"/>
        <v>0</v>
      </c>
      <c r="DA289" s="646">
        <f t="shared" si="832"/>
        <v>0</v>
      </c>
      <c r="DB289" s="647">
        <f t="shared" si="774"/>
        <v>33024.364214196983</v>
      </c>
      <c r="DC289" s="644">
        <f t="shared" si="833"/>
        <v>0</v>
      </c>
      <c r="DD289" s="645">
        <f t="shared" si="834"/>
        <v>0</v>
      </c>
      <c r="DE289" s="646">
        <f t="shared" si="835"/>
        <v>0</v>
      </c>
      <c r="DF289" s="647">
        <f t="shared" si="775"/>
        <v>33024.364214196983</v>
      </c>
      <c r="DG289" s="644">
        <f t="shared" si="836"/>
        <v>0</v>
      </c>
      <c r="DH289" s="645">
        <f t="shared" si="837"/>
        <v>0</v>
      </c>
      <c r="DI289" s="646">
        <f t="shared" si="838"/>
        <v>0</v>
      </c>
      <c r="DJ289" s="647">
        <f t="shared" si="776"/>
        <v>33024.364214196983</v>
      </c>
      <c r="DK289" s="644">
        <f t="shared" si="839"/>
        <v>0</v>
      </c>
      <c r="DL289" s="645">
        <f t="shared" si="840"/>
        <v>0</v>
      </c>
      <c r="DM289" s="646">
        <f t="shared" si="841"/>
        <v>0</v>
      </c>
      <c r="DN289" s="647">
        <f t="shared" si="777"/>
        <v>33024.364214196983</v>
      </c>
      <c r="DR289" s="827">
        <f t="shared" si="731"/>
        <v>145811.9504103798</v>
      </c>
      <c r="DV289" s="828">
        <f>IFERROR(VLOOKUP($B289,'Afton FY16 Final'!$A$5:$BV$587,'Afton FY16 Final'!$BV$587,0),0)</f>
        <v>150464.11908520758</v>
      </c>
      <c r="DX289" s="636">
        <f t="shared" si="719"/>
        <v>0</v>
      </c>
      <c r="DY289" s="637">
        <f t="shared" si="720"/>
        <v>0</v>
      </c>
      <c r="DZ289" s="637">
        <f t="shared" si="721"/>
        <v>0</v>
      </c>
      <c r="EA289" s="643">
        <f t="shared" si="722"/>
        <v>0</v>
      </c>
      <c r="EB289" s="637">
        <f t="shared" si="732"/>
        <v>0</v>
      </c>
      <c r="EC289" s="637">
        <f t="shared" si="733"/>
        <v>0</v>
      </c>
      <c r="ED289" s="637">
        <f t="shared" si="734"/>
        <v>0</v>
      </c>
      <c r="EE289" s="643">
        <f t="shared" si="735"/>
        <v>0</v>
      </c>
      <c r="EF289" s="637">
        <f t="shared" si="736"/>
        <v>0</v>
      </c>
      <c r="EG289" s="637">
        <f t="shared" si="737"/>
        <v>0</v>
      </c>
      <c r="EH289" s="637">
        <f t="shared" si="738"/>
        <v>0</v>
      </c>
      <c r="EI289" s="643">
        <f t="shared" si="739"/>
        <v>0</v>
      </c>
      <c r="EJ289" s="637">
        <f t="shared" si="740"/>
        <v>0</v>
      </c>
      <c r="EK289" s="637">
        <f t="shared" si="741"/>
        <v>0</v>
      </c>
      <c r="EL289" s="637">
        <f t="shared" si="742"/>
        <v>0</v>
      </c>
      <c r="EM289" s="643">
        <f t="shared" si="743"/>
        <v>0</v>
      </c>
      <c r="EN289" s="637">
        <f t="shared" si="744"/>
        <v>0</v>
      </c>
      <c r="EO289" s="637">
        <f t="shared" si="745"/>
        <v>0</v>
      </c>
      <c r="EP289" s="637">
        <f t="shared" si="746"/>
        <v>0</v>
      </c>
      <c r="EQ289" s="643">
        <f t="shared" si="747"/>
        <v>0</v>
      </c>
      <c r="ER289" s="637">
        <f t="shared" si="748"/>
        <v>0</v>
      </c>
      <c r="ES289" s="637">
        <f t="shared" si="749"/>
        <v>0</v>
      </c>
      <c r="ET289" s="637">
        <f t="shared" si="750"/>
        <v>0</v>
      </c>
      <c r="EU289" s="643">
        <f t="shared" si="723"/>
        <v>0</v>
      </c>
      <c r="EV289" s="643">
        <f t="shared" si="724"/>
        <v>0</v>
      </c>
      <c r="EX289" s="829">
        <f t="shared" si="725"/>
        <v>0</v>
      </c>
      <c r="EY289" s="638">
        <f t="shared" si="726"/>
        <v>145811.9504103798</v>
      </c>
      <c r="FC289" s="830" t="str">
        <f t="shared" si="751"/>
        <v>Y</v>
      </c>
      <c r="FE289" s="830" t="str">
        <f>IFERROR(VLOOKUP($B289,'Historical Conc Grant Elig'!$B$3:$J$707,'HH &amp; SI'!FE$2,0),"N")</f>
        <v>Y</v>
      </c>
      <c r="FF289" s="830" t="str">
        <f>IFERROR(VLOOKUP($B289,'Historical Conc Grant Elig'!$B$3:$J$707,'HH &amp; SI'!FF$2,0),"N")</f>
        <v>Y</v>
      </c>
      <c r="FG289" s="830" t="str">
        <f>IFERROR(VLOOKUP($B289,'Historical Conc Grant Elig'!$B$3:$J$707,'HH &amp; SI'!FG$2,0),"N")</f>
        <v>Y</v>
      </c>
      <c r="FH289" s="830" t="str">
        <f>IFERROR(VLOOKUP($B289,'Historical Conc Grant Elig'!$B$3:$J$707,'HH &amp; SI'!FH$2,0),"N")</f>
        <v>Y</v>
      </c>
      <c r="FI289" s="830" t="str">
        <f>IFERROR(VLOOKUP($B289,'Historical Conc Grant Elig'!$B$3:$J$707,'HH &amp; SI'!FI$2,0),"N")</f>
        <v>Y</v>
      </c>
      <c r="FJ289" s="830" t="str">
        <f>IFERROR(VLOOKUP($B289,'Historical Conc Grant Elig'!$B$3:$J$707,'HH &amp; SI'!FJ$2,0),"N")</f>
        <v>Y</v>
      </c>
      <c r="FK289" s="830" t="str">
        <f>IFERROR(VLOOKUP($B289,'Historical Conc Grant Elig'!$B$3:$J$707,'HH &amp; SI'!FK$2,0),"N")</f>
        <v>Y</v>
      </c>
      <c r="FL289" s="957" t="str">
        <f>IFERROR(VLOOKUP($B289,'Historical Conc Grant Elig'!$B$3:$J$707,'HH &amp; SI'!FL$2,0),"N")</f>
        <v>Y</v>
      </c>
    </row>
    <row r="290" spans="2:168" x14ac:dyDescent="0.25">
      <c r="B290" s="634">
        <v>78954000</v>
      </c>
      <c r="C290" s="635" t="str">
        <f>VLOOKUP($B290,'Afton Update'!$A$5:$CR$582,'Afton Update'!D$589,0)</f>
        <v>Kaizen Education Foundation dba Tempe Accelerated High Schoo</v>
      </c>
      <c r="D290" s="636">
        <f>IFERROR(VLOOKUP($B290,'Afton FY16 Final'!$A$5:$BV$587,'Afton FY16 Final'!AQ$587,0),0)</f>
        <v>0</v>
      </c>
      <c r="E290" s="637">
        <f>IFERROR(VLOOKUP($B290,'Afton FY16 Final'!$A$5:$BV$587,'Afton FY16 Final'!AR$587,0),0)</f>
        <v>4079.3738614354793</v>
      </c>
      <c r="F290" s="637">
        <f>IFERROR(VLOOKUP($B290,'Afton FY16 Final'!$A$5:$BV$587,'Afton FY16 Final'!AS$587,0),0)</f>
        <v>0</v>
      </c>
      <c r="G290" s="637">
        <f>IFERROR(VLOOKUP($B290,'Afton FY16 Final'!$A$5:$BV$587,'Afton FY16 Final'!AT$587,0),0)</f>
        <v>0</v>
      </c>
      <c r="H290" s="638">
        <f>IFERROR(VLOOKUP($B290,'Afton FY16 Final'!$A$5:$BV$587,'Afton FY16 Final'!AU$587,0),0)</f>
        <v>4079.3738614354793</v>
      </c>
      <c r="I290" s="639" t="str">
        <f>VLOOKUP($B290,'Afton Update'!$A$5:$CR$582,'Afton Update'!BT$589,0)</f>
        <v>Y</v>
      </c>
      <c r="J290" s="640" t="str">
        <f>VLOOKUP($B290,'Afton Update'!$A$5:$CR$582,'Afton Update'!BU$589,0)</f>
        <v>Y</v>
      </c>
      <c r="K290" s="640" t="str">
        <f>VLOOKUP($B290,'Afton Update'!$A$5:$CR$582,'Afton Update'!BV$589,0)</f>
        <v>Y</v>
      </c>
      <c r="L290" s="641" t="str">
        <f>VLOOKUP($B290,'Afton Update'!$A$5:$CR$582,'Afton Update'!BW$589,0)</f>
        <v>Y</v>
      </c>
      <c r="N290" s="642">
        <f>VLOOKUP($B290,'Afton Update'!$A$5:$CR$582,'Afton Update'!CB$589,0)</f>
        <v>0.95</v>
      </c>
      <c r="P290" s="636">
        <f>VLOOKUP($B290,'Afton Update'!$A$5:$CR$582,'Afton Update'!AH$589,0)</f>
        <v>6457.5801971884212</v>
      </c>
      <c r="Q290" s="637">
        <f>VLOOKUP($B290,'Afton Update'!$A$5:$CR$582,'Afton Update'!AI$589,0)</f>
        <v>3466.2385829775976</v>
      </c>
      <c r="R290" s="637">
        <f>VLOOKUP($B290,'Afton Update'!$A$5:$CR$582,'Afton Update'!AJ$589,0)</f>
        <v>3804.7168752147263</v>
      </c>
      <c r="S290" s="637">
        <f>VLOOKUP($B290,'Afton Update'!$A$5:$CR$582,'Afton Update'!AK$589,0)</f>
        <v>3541.6916250875925</v>
      </c>
      <c r="T290" s="643">
        <f t="shared" si="752"/>
        <v>17270.227280468338</v>
      </c>
      <c r="V290" s="636">
        <f t="shared" si="778"/>
        <v>6369.4946119181104</v>
      </c>
      <c r="W290" s="637">
        <f t="shared" si="779"/>
        <v>3875.4051683637053</v>
      </c>
      <c r="X290" s="637">
        <f t="shared" si="780"/>
        <v>3770.1144607301849</v>
      </c>
      <c r="Y290" s="637">
        <f t="shared" si="781"/>
        <v>3502.6685587497154</v>
      </c>
      <c r="Z290" s="643">
        <f t="shared" si="782"/>
        <v>17517.682799761715</v>
      </c>
      <c r="AB290" s="644">
        <f t="shared" si="753"/>
        <v>6457.5801971884212</v>
      </c>
      <c r="AC290" s="645">
        <f t="shared" si="727"/>
        <v>0</v>
      </c>
      <c r="AD290" s="644">
        <f t="shared" si="783"/>
        <v>0</v>
      </c>
      <c r="AE290" s="645">
        <f t="shared" si="784"/>
        <v>6457.5801971884212</v>
      </c>
      <c r="AF290" s="646">
        <f t="shared" si="785"/>
        <v>-80.046559286491046</v>
      </c>
      <c r="AG290" s="647">
        <f t="shared" si="786"/>
        <v>6377.53363790193</v>
      </c>
      <c r="AH290" s="644">
        <f t="shared" si="754"/>
        <v>0</v>
      </c>
      <c r="AI290" s="645">
        <f t="shared" si="755"/>
        <v>6377.53363790193</v>
      </c>
      <c r="AJ290" s="646">
        <f t="shared" si="787"/>
        <v>-8.0339043450567207</v>
      </c>
      <c r="AK290" s="647">
        <f t="shared" si="756"/>
        <v>6369.4997335568733</v>
      </c>
      <c r="AL290" s="644">
        <f t="shared" si="788"/>
        <v>0</v>
      </c>
      <c r="AM290" s="645">
        <f t="shared" si="789"/>
        <v>6369.4997335568733</v>
      </c>
      <c r="AN290" s="646">
        <f t="shared" si="790"/>
        <v>-5.1216387630092074E-3</v>
      </c>
      <c r="AO290" s="647">
        <f t="shared" si="757"/>
        <v>6369.4946119181104</v>
      </c>
      <c r="AP290" s="644">
        <f t="shared" si="791"/>
        <v>0</v>
      </c>
      <c r="AQ290" s="645">
        <f t="shared" si="792"/>
        <v>6369.4946119181104</v>
      </c>
      <c r="AR290" s="646">
        <f t="shared" si="793"/>
        <v>0</v>
      </c>
      <c r="AS290" s="647">
        <f t="shared" si="758"/>
        <v>6369.4946119181104</v>
      </c>
      <c r="AT290" s="644">
        <f t="shared" si="794"/>
        <v>0</v>
      </c>
      <c r="AU290" s="645">
        <f t="shared" si="795"/>
        <v>6369.4946119181104</v>
      </c>
      <c r="AV290" s="646">
        <f t="shared" si="796"/>
        <v>0</v>
      </c>
      <c r="AW290" s="647">
        <f t="shared" si="759"/>
        <v>6369.4946119181104</v>
      </c>
      <c r="AY290" s="644">
        <f t="shared" si="797"/>
        <v>3466.2385829775976</v>
      </c>
      <c r="AZ290" s="645">
        <f t="shared" si="728"/>
        <v>3875.4051683637053</v>
      </c>
      <c r="BA290" s="644">
        <f t="shared" si="798"/>
        <v>409.16658538610773</v>
      </c>
      <c r="BB290" s="645">
        <f t="shared" si="799"/>
        <v>0</v>
      </c>
      <c r="BC290" s="646">
        <f t="shared" si="800"/>
        <v>0</v>
      </c>
      <c r="BD290" s="647">
        <f t="shared" si="801"/>
        <v>3875.4051683637053</v>
      </c>
      <c r="BE290" s="644">
        <f t="shared" si="760"/>
        <v>0</v>
      </c>
      <c r="BF290" s="645">
        <f t="shared" si="761"/>
        <v>0</v>
      </c>
      <c r="BG290" s="646">
        <f t="shared" si="802"/>
        <v>0</v>
      </c>
      <c r="BH290" s="647">
        <f t="shared" si="762"/>
        <v>3875.4051683637053</v>
      </c>
      <c r="BI290" s="644">
        <f t="shared" si="803"/>
        <v>0</v>
      </c>
      <c r="BJ290" s="645">
        <f t="shared" si="804"/>
        <v>0</v>
      </c>
      <c r="BK290" s="646">
        <f t="shared" si="805"/>
        <v>0</v>
      </c>
      <c r="BL290" s="647">
        <f t="shared" si="763"/>
        <v>3875.4051683637053</v>
      </c>
      <c r="BM290" s="644">
        <f t="shared" si="806"/>
        <v>0</v>
      </c>
      <c r="BN290" s="645">
        <f t="shared" si="807"/>
        <v>0</v>
      </c>
      <c r="BO290" s="646">
        <f t="shared" si="808"/>
        <v>0</v>
      </c>
      <c r="BP290" s="647">
        <f t="shared" si="764"/>
        <v>3875.4051683637053</v>
      </c>
      <c r="BQ290" s="644">
        <f t="shared" si="809"/>
        <v>0</v>
      </c>
      <c r="BR290" s="645">
        <f t="shared" si="810"/>
        <v>0</v>
      </c>
      <c r="BS290" s="646">
        <f t="shared" si="811"/>
        <v>0</v>
      </c>
      <c r="BT290" s="647">
        <f t="shared" si="765"/>
        <v>3875.4051683637053</v>
      </c>
      <c r="BU290" s="662">
        <f>VLOOKUP(B290,'Afton Update'!$A$5:$AR$582,'Afton Update'!$AO$589,0)-BT290</f>
        <v>0</v>
      </c>
      <c r="BV290" s="644">
        <f t="shared" si="812"/>
        <v>3804.7168752147263</v>
      </c>
      <c r="BW290" s="645">
        <f t="shared" si="729"/>
        <v>0</v>
      </c>
      <c r="BX290" s="644">
        <f t="shared" si="813"/>
        <v>0</v>
      </c>
      <c r="BY290" s="645">
        <f t="shared" si="814"/>
        <v>3804.7168752147263</v>
      </c>
      <c r="BZ290" s="646">
        <f t="shared" si="815"/>
        <v>-33.394404526738789</v>
      </c>
      <c r="CA290" s="647">
        <f t="shared" si="816"/>
        <v>3771.3224706879873</v>
      </c>
      <c r="CB290" s="644">
        <f t="shared" si="766"/>
        <v>0</v>
      </c>
      <c r="CC290" s="645">
        <f t="shared" si="767"/>
        <v>3771.3224706879873</v>
      </c>
      <c r="CD290" s="646">
        <f t="shared" si="817"/>
        <v>-1.2080099578024033</v>
      </c>
      <c r="CE290" s="647">
        <f t="shared" si="768"/>
        <v>3770.1144607301849</v>
      </c>
      <c r="CF290" s="644">
        <f t="shared" si="818"/>
        <v>0</v>
      </c>
      <c r="CG290" s="645">
        <f t="shared" si="819"/>
        <v>3770.1144607301849</v>
      </c>
      <c r="CH290" s="646">
        <f t="shared" si="820"/>
        <v>0</v>
      </c>
      <c r="CI290" s="647">
        <f t="shared" si="769"/>
        <v>3770.1144607301849</v>
      </c>
      <c r="CJ290" s="644">
        <f t="shared" si="821"/>
        <v>0</v>
      </c>
      <c r="CK290" s="645">
        <f t="shared" si="822"/>
        <v>3770.1144607301849</v>
      </c>
      <c r="CL290" s="646">
        <f t="shared" si="823"/>
        <v>0</v>
      </c>
      <c r="CM290" s="647">
        <f t="shared" si="770"/>
        <v>3770.1144607301849</v>
      </c>
      <c r="CN290" s="644">
        <f t="shared" si="824"/>
        <v>0</v>
      </c>
      <c r="CO290" s="645">
        <f t="shared" si="825"/>
        <v>3770.1144607301849</v>
      </c>
      <c r="CP290" s="646">
        <f t="shared" si="826"/>
        <v>0</v>
      </c>
      <c r="CQ290" s="647">
        <f t="shared" si="771"/>
        <v>3770.1144607301849</v>
      </c>
      <c r="CS290" s="644">
        <f t="shared" si="827"/>
        <v>3541.6916250875925</v>
      </c>
      <c r="CT290" s="645">
        <f t="shared" si="730"/>
        <v>0</v>
      </c>
      <c r="CU290" s="644">
        <f t="shared" si="828"/>
        <v>0</v>
      </c>
      <c r="CV290" s="645">
        <f t="shared" si="829"/>
        <v>3541.6916250875925</v>
      </c>
      <c r="CW290" s="646">
        <f t="shared" si="830"/>
        <v>-36.268923728665435</v>
      </c>
      <c r="CX290" s="647">
        <f t="shared" si="831"/>
        <v>3505.422701358927</v>
      </c>
      <c r="CY290" s="644">
        <f t="shared" si="772"/>
        <v>0</v>
      </c>
      <c r="CZ290" s="645">
        <f t="shared" si="773"/>
        <v>3505.422701358927</v>
      </c>
      <c r="DA290" s="646">
        <f t="shared" si="832"/>
        <v>-2.7517695507135178</v>
      </c>
      <c r="DB290" s="647">
        <f t="shared" si="774"/>
        <v>3502.6709318082135</v>
      </c>
      <c r="DC290" s="644">
        <f t="shared" si="833"/>
        <v>0</v>
      </c>
      <c r="DD290" s="645">
        <f t="shared" si="834"/>
        <v>3502.6709318082135</v>
      </c>
      <c r="DE290" s="646">
        <f t="shared" si="835"/>
        <v>-2.3730584980694541E-3</v>
      </c>
      <c r="DF290" s="647">
        <f t="shared" si="775"/>
        <v>3502.6685587497154</v>
      </c>
      <c r="DG290" s="644">
        <f t="shared" si="836"/>
        <v>0</v>
      </c>
      <c r="DH290" s="645">
        <f t="shared" si="837"/>
        <v>3502.6685587497154</v>
      </c>
      <c r="DI290" s="646">
        <f t="shared" si="838"/>
        <v>0</v>
      </c>
      <c r="DJ290" s="647">
        <f t="shared" si="776"/>
        <v>3502.6685587497154</v>
      </c>
      <c r="DK290" s="644">
        <f t="shared" si="839"/>
        <v>0</v>
      </c>
      <c r="DL290" s="645">
        <f t="shared" si="840"/>
        <v>3502.6685587497154</v>
      </c>
      <c r="DM290" s="646">
        <f t="shared" si="841"/>
        <v>0</v>
      </c>
      <c r="DN290" s="647">
        <f t="shared" si="777"/>
        <v>3502.6685587497154</v>
      </c>
      <c r="DR290" s="827">
        <f t="shared" si="731"/>
        <v>17517.682799761715</v>
      </c>
      <c r="DV290" s="828">
        <f>IFERROR(VLOOKUP($B290,'Afton FY16 Final'!$A$5:$BV$587,'Afton FY16 Final'!$BV$587,0),0)</f>
        <v>3983.4267179411845</v>
      </c>
      <c r="DX290" s="636">
        <f t="shared" si="719"/>
        <v>17517.682799761715</v>
      </c>
      <c r="DY290" s="637">
        <f t="shared" si="720"/>
        <v>13534.256081820531</v>
      </c>
      <c r="DZ290" s="637">
        <f t="shared" si="721"/>
        <v>3983.4267179411845</v>
      </c>
      <c r="EA290" s="643">
        <f t="shared" si="722"/>
        <v>16585.938402509302</v>
      </c>
      <c r="EB290" s="637">
        <f t="shared" si="732"/>
        <v>0</v>
      </c>
      <c r="EC290" s="637">
        <f t="shared" si="733"/>
        <v>16585.938402509302</v>
      </c>
      <c r="ED290" s="637">
        <f t="shared" si="734"/>
        <v>16536.480124501686</v>
      </c>
      <c r="EE290" s="643">
        <f t="shared" si="735"/>
        <v>16536.480124501686</v>
      </c>
      <c r="EF290" s="637">
        <f t="shared" si="736"/>
        <v>0</v>
      </c>
      <c r="EG290" s="637">
        <f t="shared" si="737"/>
        <v>16536.480124501686</v>
      </c>
      <c r="EH290" s="637">
        <f t="shared" si="738"/>
        <v>16536.463064460608</v>
      </c>
      <c r="EI290" s="643">
        <f t="shared" si="739"/>
        <v>16536.463064460608</v>
      </c>
      <c r="EJ290" s="637">
        <f t="shared" si="740"/>
        <v>0</v>
      </c>
      <c r="EK290" s="637">
        <f t="shared" si="741"/>
        <v>16536.463064460608</v>
      </c>
      <c r="EL290" s="637">
        <f t="shared" si="742"/>
        <v>16536.463064460586</v>
      </c>
      <c r="EM290" s="643">
        <f t="shared" si="743"/>
        <v>16536.463064460586</v>
      </c>
      <c r="EN290" s="637">
        <f t="shared" si="744"/>
        <v>0</v>
      </c>
      <c r="EO290" s="637">
        <f t="shared" si="745"/>
        <v>16536.463064460586</v>
      </c>
      <c r="EP290" s="637">
        <f t="shared" si="746"/>
        <v>16536.463064460611</v>
      </c>
      <c r="EQ290" s="643">
        <f t="shared" si="747"/>
        <v>16536.463064460611</v>
      </c>
      <c r="ER290" s="637">
        <f t="shared" si="748"/>
        <v>0</v>
      </c>
      <c r="ES290" s="637">
        <f t="shared" si="749"/>
        <v>16536.463064460611</v>
      </c>
      <c r="ET290" s="637">
        <f t="shared" si="750"/>
        <v>16536.463064460586</v>
      </c>
      <c r="EU290" s="643">
        <f t="shared" si="723"/>
        <v>16536.463064460586</v>
      </c>
      <c r="EV290" s="643">
        <f t="shared" si="724"/>
        <v>0</v>
      </c>
      <c r="EX290" s="829">
        <f t="shared" si="725"/>
        <v>981.21973530112882</v>
      </c>
      <c r="EY290" s="638">
        <f t="shared" si="726"/>
        <v>16536.463064460586</v>
      </c>
      <c r="FC290" s="830" t="str">
        <f t="shared" si="751"/>
        <v>Y</v>
      </c>
      <c r="FE290" s="830" t="str">
        <f>IFERROR(VLOOKUP($B290,'Historical Conc Grant Elig'!$B$3:$J$707,'HH &amp; SI'!FE$2,0),"N")</f>
        <v>Y</v>
      </c>
      <c r="FF290" s="830" t="str">
        <f>IFERROR(VLOOKUP($B290,'Historical Conc Grant Elig'!$B$3:$J$707,'HH &amp; SI'!FF$2,0),"N")</f>
        <v>Y</v>
      </c>
      <c r="FG290" s="830" t="str">
        <f>IFERROR(VLOOKUP($B290,'Historical Conc Grant Elig'!$B$3:$J$707,'HH &amp; SI'!FG$2,0),"N")</f>
        <v>Y</v>
      </c>
      <c r="FH290" s="830" t="str">
        <f>IFERROR(VLOOKUP($B290,'Historical Conc Grant Elig'!$B$3:$J$707,'HH &amp; SI'!FH$2,0),"N")</f>
        <v>Y</v>
      </c>
      <c r="FI290" s="830" t="str">
        <f>IFERROR(VLOOKUP($B290,'Historical Conc Grant Elig'!$B$3:$J$707,'HH &amp; SI'!FI$2,0),"N")</f>
        <v>Y</v>
      </c>
      <c r="FJ290" s="830" t="str">
        <f>IFERROR(VLOOKUP($B290,'Historical Conc Grant Elig'!$B$3:$J$707,'HH &amp; SI'!FJ$2,0),"N")</f>
        <v>Y</v>
      </c>
      <c r="FK290" s="830" t="str">
        <f>IFERROR(VLOOKUP($B290,'Historical Conc Grant Elig'!$B$3:$J$707,'HH &amp; SI'!FK$2,0),"N")</f>
        <v>N</v>
      </c>
      <c r="FL290" s="957" t="str">
        <f>IFERROR(VLOOKUP($B290,'Historical Conc Grant Elig'!$B$3:$J$707,'HH &amp; SI'!FL$2,0),"N")</f>
        <v>Y</v>
      </c>
    </row>
    <row r="291" spans="2:168" x14ac:dyDescent="0.25">
      <c r="B291" s="634">
        <v>78956000</v>
      </c>
      <c r="C291" s="635" t="str">
        <f>VLOOKUP($B291,'Afton Update'!$A$5:$CR$582,'Afton Update'!D$589,0)</f>
        <v>American Charter Schools Foundation d.b.a. West Phoenix High</v>
      </c>
      <c r="D291" s="636">
        <f>IFERROR(VLOOKUP($B291,'Afton FY16 Final'!$A$5:$BV$587,'Afton FY16 Final'!AQ$587,0),0)</f>
        <v>83502.355545113751</v>
      </c>
      <c r="E291" s="637">
        <f>IFERROR(VLOOKUP($B291,'Afton FY16 Final'!$A$5:$BV$587,'Afton FY16 Final'!AR$587,0),0)</f>
        <v>17460.808211384952</v>
      </c>
      <c r="F291" s="637">
        <f>IFERROR(VLOOKUP($B291,'Afton FY16 Final'!$A$5:$BV$587,'Afton FY16 Final'!AS$587,0),0)</f>
        <v>43523.537089136516</v>
      </c>
      <c r="G291" s="637">
        <f>IFERROR(VLOOKUP($B291,'Afton FY16 Final'!$A$5:$BV$587,'Afton FY16 Final'!AT$587,0),0)</f>
        <v>42744.525260477778</v>
      </c>
      <c r="H291" s="638">
        <f>IFERROR(VLOOKUP($B291,'Afton FY16 Final'!$A$5:$BV$587,'Afton FY16 Final'!AU$587,0),0)</f>
        <v>187231.226106113</v>
      </c>
      <c r="I291" s="639" t="str">
        <f>VLOOKUP($B291,'Afton Update'!$A$5:$CR$582,'Afton Update'!BT$589,0)</f>
        <v>Y</v>
      </c>
      <c r="J291" s="640" t="str">
        <f>VLOOKUP($B291,'Afton Update'!$A$5:$CR$582,'Afton Update'!BU$589,0)</f>
        <v>Y</v>
      </c>
      <c r="K291" s="640" t="str">
        <f>VLOOKUP($B291,'Afton Update'!$A$5:$CR$582,'Afton Update'!BV$589,0)</f>
        <v>Y</v>
      </c>
      <c r="L291" s="641" t="str">
        <f>VLOOKUP($B291,'Afton Update'!$A$5:$CR$582,'Afton Update'!BW$589,0)</f>
        <v>Y</v>
      </c>
      <c r="N291" s="642">
        <f>VLOOKUP($B291,'Afton Update'!$A$5:$CR$582,'Afton Update'!CB$589,0)</f>
        <v>0.95</v>
      </c>
      <c r="P291" s="636">
        <f>VLOOKUP($B291,'Afton Update'!$A$5:$CR$582,'Afton Update'!AH$589,0)</f>
        <v>50703.963029775747</v>
      </c>
      <c r="Q291" s="637">
        <f>VLOOKUP($B291,'Afton Update'!$A$5:$CR$582,'Afton Update'!AI$589,0)</f>
        <v>12616.319398798849</v>
      </c>
      <c r="R291" s="637">
        <f>VLOOKUP($B291,'Afton Update'!$A$5:$CR$582,'Afton Update'!AJ$589,0)</f>
        <v>29700.442895547189</v>
      </c>
      <c r="S291" s="637">
        <f>VLOOKUP($B291,'Afton Update'!$A$5:$CR$582,'Afton Update'!AK$589,0)</f>
        <v>27647.21090018408</v>
      </c>
      <c r="T291" s="643">
        <f t="shared" si="752"/>
        <v>120667.93622430586</v>
      </c>
      <c r="V291" s="636">
        <f t="shared" si="778"/>
        <v>79327.237767858052</v>
      </c>
      <c r="W291" s="637">
        <f t="shared" si="779"/>
        <v>16587.767800815705</v>
      </c>
      <c r="X291" s="637">
        <f t="shared" si="780"/>
        <v>41347.360234679691</v>
      </c>
      <c r="Y291" s="637">
        <f t="shared" si="781"/>
        <v>40607.298997453887</v>
      </c>
      <c r="Z291" s="643">
        <f t="shared" si="782"/>
        <v>177869.66480080734</v>
      </c>
      <c r="AB291" s="644">
        <f t="shared" si="753"/>
        <v>50703.963029775747</v>
      </c>
      <c r="AC291" s="645">
        <f t="shared" si="727"/>
        <v>79327.237767858052</v>
      </c>
      <c r="AD291" s="644">
        <f t="shared" si="783"/>
        <v>28623.274738082306</v>
      </c>
      <c r="AE291" s="645">
        <f t="shared" si="784"/>
        <v>0</v>
      </c>
      <c r="AF291" s="646">
        <f t="shared" si="785"/>
        <v>0</v>
      </c>
      <c r="AG291" s="647">
        <f t="shared" si="786"/>
        <v>79327.237767858052</v>
      </c>
      <c r="AH291" s="644">
        <f t="shared" si="754"/>
        <v>0</v>
      </c>
      <c r="AI291" s="645">
        <f t="shared" si="755"/>
        <v>0</v>
      </c>
      <c r="AJ291" s="646">
        <f t="shared" si="787"/>
        <v>0</v>
      </c>
      <c r="AK291" s="647">
        <f t="shared" si="756"/>
        <v>79327.237767858052</v>
      </c>
      <c r="AL291" s="644">
        <f t="shared" si="788"/>
        <v>0</v>
      </c>
      <c r="AM291" s="645">
        <f t="shared" si="789"/>
        <v>0</v>
      </c>
      <c r="AN291" s="646">
        <f t="shared" si="790"/>
        <v>0</v>
      </c>
      <c r="AO291" s="647">
        <f t="shared" si="757"/>
        <v>79327.237767858052</v>
      </c>
      <c r="AP291" s="644">
        <f t="shared" si="791"/>
        <v>0</v>
      </c>
      <c r="AQ291" s="645">
        <f t="shared" si="792"/>
        <v>0</v>
      </c>
      <c r="AR291" s="646">
        <f t="shared" si="793"/>
        <v>0</v>
      </c>
      <c r="AS291" s="647">
        <f t="shared" si="758"/>
        <v>79327.237767858052</v>
      </c>
      <c r="AT291" s="644">
        <f t="shared" si="794"/>
        <v>0</v>
      </c>
      <c r="AU291" s="645">
        <f t="shared" si="795"/>
        <v>0</v>
      </c>
      <c r="AV291" s="646">
        <f t="shared" si="796"/>
        <v>0</v>
      </c>
      <c r="AW291" s="647">
        <f t="shared" si="759"/>
        <v>79327.237767858052</v>
      </c>
      <c r="AY291" s="644">
        <f t="shared" si="797"/>
        <v>12616.319398798849</v>
      </c>
      <c r="AZ291" s="645">
        <f t="shared" si="728"/>
        <v>16587.767800815705</v>
      </c>
      <c r="BA291" s="644">
        <f t="shared" si="798"/>
        <v>3971.4484020168566</v>
      </c>
      <c r="BB291" s="645">
        <f t="shared" si="799"/>
        <v>0</v>
      </c>
      <c r="BC291" s="646">
        <f t="shared" si="800"/>
        <v>0</v>
      </c>
      <c r="BD291" s="647">
        <f t="shared" si="801"/>
        <v>16587.767800815705</v>
      </c>
      <c r="BE291" s="644">
        <f t="shared" si="760"/>
        <v>0</v>
      </c>
      <c r="BF291" s="645">
        <f t="shared" si="761"/>
        <v>0</v>
      </c>
      <c r="BG291" s="646">
        <f t="shared" si="802"/>
        <v>0</v>
      </c>
      <c r="BH291" s="647">
        <f t="shared" si="762"/>
        <v>16587.767800815705</v>
      </c>
      <c r="BI291" s="644">
        <f t="shared" si="803"/>
        <v>0</v>
      </c>
      <c r="BJ291" s="645">
        <f t="shared" si="804"/>
        <v>0</v>
      </c>
      <c r="BK291" s="646">
        <f t="shared" si="805"/>
        <v>0</v>
      </c>
      <c r="BL291" s="647">
        <f t="shared" si="763"/>
        <v>16587.767800815705</v>
      </c>
      <c r="BM291" s="644">
        <f t="shared" si="806"/>
        <v>0</v>
      </c>
      <c r="BN291" s="645">
        <f t="shared" si="807"/>
        <v>0</v>
      </c>
      <c r="BO291" s="646">
        <f t="shared" si="808"/>
        <v>0</v>
      </c>
      <c r="BP291" s="647">
        <f t="shared" si="764"/>
        <v>16587.767800815705</v>
      </c>
      <c r="BQ291" s="644">
        <f t="shared" si="809"/>
        <v>0</v>
      </c>
      <c r="BR291" s="645">
        <f t="shared" si="810"/>
        <v>0</v>
      </c>
      <c r="BS291" s="646">
        <f t="shared" si="811"/>
        <v>0</v>
      </c>
      <c r="BT291" s="647">
        <f t="shared" si="765"/>
        <v>16587.767800815705</v>
      </c>
      <c r="BU291" s="662">
        <f>VLOOKUP(B291,'Afton Update'!$A$5:$AR$582,'Afton Update'!$AO$589,0)-BT291</f>
        <v>0</v>
      </c>
      <c r="BV291" s="644">
        <f t="shared" si="812"/>
        <v>29700.442895547189</v>
      </c>
      <c r="BW291" s="645">
        <f t="shared" si="729"/>
        <v>41347.360234679691</v>
      </c>
      <c r="BX291" s="644">
        <f t="shared" si="813"/>
        <v>11646.917339132502</v>
      </c>
      <c r="BY291" s="645">
        <f t="shared" si="814"/>
        <v>0</v>
      </c>
      <c r="BZ291" s="646">
        <f t="shared" si="815"/>
        <v>0</v>
      </c>
      <c r="CA291" s="647">
        <f t="shared" si="816"/>
        <v>41347.360234679691</v>
      </c>
      <c r="CB291" s="644">
        <f t="shared" si="766"/>
        <v>0</v>
      </c>
      <c r="CC291" s="645">
        <f t="shared" si="767"/>
        <v>0</v>
      </c>
      <c r="CD291" s="646">
        <f t="shared" si="817"/>
        <v>0</v>
      </c>
      <c r="CE291" s="647">
        <f t="shared" si="768"/>
        <v>41347.360234679691</v>
      </c>
      <c r="CF291" s="644">
        <f t="shared" si="818"/>
        <v>0</v>
      </c>
      <c r="CG291" s="645">
        <f t="shared" si="819"/>
        <v>0</v>
      </c>
      <c r="CH291" s="646">
        <f t="shared" si="820"/>
        <v>0</v>
      </c>
      <c r="CI291" s="647">
        <f t="shared" si="769"/>
        <v>41347.360234679691</v>
      </c>
      <c r="CJ291" s="644">
        <f t="shared" si="821"/>
        <v>0</v>
      </c>
      <c r="CK291" s="645">
        <f t="shared" si="822"/>
        <v>0</v>
      </c>
      <c r="CL291" s="646">
        <f t="shared" si="823"/>
        <v>0</v>
      </c>
      <c r="CM291" s="647">
        <f t="shared" si="770"/>
        <v>41347.360234679691</v>
      </c>
      <c r="CN291" s="644">
        <f t="shared" si="824"/>
        <v>0</v>
      </c>
      <c r="CO291" s="645">
        <f t="shared" si="825"/>
        <v>0</v>
      </c>
      <c r="CP291" s="646">
        <f t="shared" si="826"/>
        <v>0</v>
      </c>
      <c r="CQ291" s="647">
        <f t="shared" si="771"/>
        <v>41347.360234679691</v>
      </c>
      <c r="CS291" s="644">
        <f t="shared" si="827"/>
        <v>27647.21090018408</v>
      </c>
      <c r="CT291" s="645">
        <f t="shared" si="730"/>
        <v>40607.298997453887</v>
      </c>
      <c r="CU291" s="644">
        <f t="shared" si="828"/>
        <v>12960.088097269807</v>
      </c>
      <c r="CV291" s="645">
        <f t="shared" si="829"/>
        <v>0</v>
      </c>
      <c r="CW291" s="646">
        <f t="shared" si="830"/>
        <v>0</v>
      </c>
      <c r="CX291" s="647">
        <f t="shared" si="831"/>
        <v>40607.298997453887</v>
      </c>
      <c r="CY291" s="644">
        <f t="shared" si="772"/>
        <v>0</v>
      </c>
      <c r="CZ291" s="645">
        <f t="shared" si="773"/>
        <v>0</v>
      </c>
      <c r="DA291" s="646">
        <f t="shared" si="832"/>
        <v>0</v>
      </c>
      <c r="DB291" s="647">
        <f t="shared" si="774"/>
        <v>40607.298997453887</v>
      </c>
      <c r="DC291" s="644">
        <f t="shared" si="833"/>
        <v>0</v>
      </c>
      <c r="DD291" s="645">
        <f t="shared" si="834"/>
        <v>0</v>
      </c>
      <c r="DE291" s="646">
        <f t="shared" si="835"/>
        <v>0</v>
      </c>
      <c r="DF291" s="647">
        <f t="shared" si="775"/>
        <v>40607.298997453887</v>
      </c>
      <c r="DG291" s="644">
        <f t="shared" si="836"/>
        <v>0</v>
      </c>
      <c r="DH291" s="645">
        <f t="shared" si="837"/>
        <v>0</v>
      </c>
      <c r="DI291" s="646">
        <f t="shared" si="838"/>
        <v>0</v>
      </c>
      <c r="DJ291" s="647">
        <f t="shared" si="776"/>
        <v>40607.298997453887</v>
      </c>
      <c r="DK291" s="644">
        <f t="shared" si="839"/>
        <v>0</v>
      </c>
      <c r="DL291" s="645">
        <f t="shared" si="840"/>
        <v>0</v>
      </c>
      <c r="DM291" s="646">
        <f t="shared" si="841"/>
        <v>0</v>
      </c>
      <c r="DN291" s="647">
        <f t="shared" si="777"/>
        <v>40607.298997453887</v>
      </c>
      <c r="DR291" s="827">
        <f t="shared" si="731"/>
        <v>177869.66480080734</v>
      </c>
      <c r="DV291" s="828">
        <f>IFERROR(VLOOKUP($B291,'Afton FY16 Final'!$A$5:$BV$587,'Afton FY16 Final'!$BV$587,0),0)</f>
        <v>183544.64329509076</v>
      </c>
      <c r="DX291" s="636">
        <f t="shared" si="719"/>
        <v>0</v>
      </c>
      <c r="DY291" s="637">
        <f t="shared" si="720"/>
        <v>0</v>
      </c>
      <c r="DZ291" s="637">
        <f t="shared" si="721"/>
        <v>0</v>
      </c>
      <c r="EA291" s="643">
        <f t="shared" si="722"/>
        <v>0</v>
      </c>
      <c r="EB291" s="637">
        <f t="shared" si="732"/>
        <v>0</v>
      </c>
      <c r="EC291" s="637">
        <f t="shared" si="733"/>
        <v>0</v>
      </c>
      <c r="ED291" s="637">
        <f t="shared" si="734"/>
        <v>0</v>
      </c>
      <c r="EE291" s="643">
        <f t="shared" si="735"/>
        <v>0</v>
      </c>
      <c r="EF291" s="637">
        <f t="shared" si="736"/>
        <v>0</v>
      </c>
      <c r="EG291" s="637">
        <f t="shared" si="737"/>
        <v>0</v>
      </c>
      <c r="EH291" s="637">
        <f t="shared" si="738"/>
        <v>0</v>
      </c>
      <c r="EI291" s="643">
        <f t="shared" si="739"/>
        <v>0</v>
      </c>
      <c r="EJ291" s="637">
        <f t="shared" si="740"/>
        <v>0</v>
      </c>
      <c r="EK291" s="637">
        <f t="shared" si="741"/>
        <v>0</v>
      </c>
      <c r="EL291" s="637">
        <f t="shared" si="742"/>
        <v>0</v>
      </c>
      <c r="EM291" s="643">
        <f t="shared" si="743"/>
        <v>0</v>
      </c>
      <c r="EN291" s="637">
        <f t="shared" si="744"/>
        <v>0</v>
      </c>
      <c r="EO291" s="637">
        <f t="shared" si="745"/>
        <v>0</v>
      </c>
      <c r="EP291" s="637">
        <f t="shared" si="746"/>
        <v>0</v>
      </c>
      <c r="EQ291" s="643">
        <f t="shared" si="747"/>
        <v>0</v>
      </c>
      <c r="ER291" s="637">
        <f t="shared" si="748"/>
        <v>0</v>
      </c>
      <c r="ES291" s="637">
        <f t="shared" si="749"/>
        <v>0</v>
      </c>
      <c r="ET291" s="637">
        <f t="shared" si="750"/>
        <v>0</v>
      </c>
      <c r="EU291" s="643">
        <f t="shared" si="723"/>
        <v>0</v>
      </c>
      <c r="EV291" s="643">
        <f t="shared" si="724"/>
        <v>0</v>
      </c>
      <c r="EX291" s="829">
        <f t="shared" si="725"/>
        <v>0</v>
      </c>
      <c r="EY291" s="638">
        <f t="shared" si="726"/>
        <v>177869.66480080734</v>
      </c>
      <c r="FC291" s="830" t="str">
        <f t="shared" si="751"/>
        <v>Y</v>
      </c>
      <c r="FE291" s="830" t="str">
        <f>IFERROR(VLOOKUP($B291,'Historical Conc Grant Elig'!$B$3:$J$707,'HH &amp; SI'!FE$2,0),"N")</f>
        <v>Y</v>
      </c>
      <c r="FF291" s="830" t="str">
        <f>IFERROR(VLOOKUP($B291,'Historical Conc Grant Elig'!$B$3:$J$707,'HH &amp; SI'!FF$2,0),"N")</f>
        <v>Y</v>
      </c>
      <c r="FG291" s="830" t="str">
        <f>IFERROR(VLOOKUP($B291,'Historical Conc Grant Elig'!$B$3:$J$707,'HH &amp; SI'!FG$2,0),"N")</f>
        <v>Y</v>
      </c>
      <c r="FH291" s="830" t="str">
        <f>IFERROR(VLOOKUP($B291,'Historical Conc Grant Elig'!$B$3:$J$707,'HH &amp; SI'!FH$2,0),"N")</f>
        <v>Y</v>
      </c>
      <c r="FI291" s="830" t="str">
        <f>IFERROR(VLOOKUP($B291,'Historical Conc Grant Elig'!$B$3:$J$707,'HH &amp; SI'!FI$2,0),"N")</f>
        <v>Y</v>
      </c>
      <c r="FJ291" s="830" t="str">
        <f>IFERROR(VLOOKUP($B291,'Historical Conc Grant Elig'!$B$3:$J$707,'HH &amp; SI'!FJ$2,0),"N")</f>
        <v>Y</v>
      </c>
      <c r="FK291" s="830" t="str">
        <f>IFERROR(VLOOKUP($B291,'Historical Conc Grant Elig'!$B$3:$J$707,'HH &amp; SI'!FK$2,0),"N")</f>
        <v>Y</v>
      </c>
      <c r="FL291" s="957" t="str">
        <f>IFERROR(VLOOKUP($B291,'Historical Conc Grant Elig'!$B$3:$J$707,'HH &amp; SI'!FL$2,0),"N")</f>
        <v>Y</v>
      </c>
    </row>
    <row r="292" spans="2:168" x14ac:dyDescent="0.25">
      <c r="B292" s="634">
        <v>78959000</v>
      </c>
      <c r="C292" s="635" t="str">
        <f>VLOOKUP($B292,'Afton Update'!$A$5:$CR$582,'Afton Update'!D$589,0)</f>
        <v>Camelback Education, Inc</v>
      </c>
      <c r="D292" s="636">
        <f>IFERROR(VLOOKUP($B292,'Afton FY16 Final'!$A$5:$BV$587,'Afton FY16 Final'!AQ$587,0),0)</f>
        <v>110041.61799635974</v>
      </c>
      <c r="E292" s="637">
        <f>IFERROR(VLOOKUP($B292,'Afton FY16 Final'!$A$5:$BV$587,'Afton FY16 Final'!AR$587,0),0)</f>
        <v>24250.5015337763</v>
      </c>
      <c r="F292" s="637">
        <f>IFERROR(VLOOKUP($B292,'Afton FY16 Final'!$A$5:$BV$587,'Afton FY16 Final'!AS$587,0),0)</f>
        <v>59720.878695825857</v>
      </c>
      <c r="G292" s="637">
        <f>IFERROR(VLOOKUP($B292,'Afton FY16 Final'!$A$5:$BV$587,'Afton FY16 Final'!AT$587,0),0)</f>
        <v>53311.125911294403</v>
      </c>
      <c r="H292" s="638">
        <f>IFERROR(VLOOKUP($B292,'Afton FY16 Final'!$A$5:$BV$587,'Afton FY16 Final'!AU$587,0),0)</f>
        <v>247324.12413725627</v>
      </c>
      <c r="I292" s="639" t="str">
        <f>VLOOKUP($B292,'Afton Update'!$A$5:$CR$582,'Afton Update'!BT$589,0)</f>
        <v>Y</v>
      </c>
      <c r="J292" s="640" t="str">
        <f>VLOOKUP($B292,'Afton Update'!$A$5:$CR$582,'Afton Update'!BU$589,0)</f>
        <v>Y</v>
      </c>
      <c r="K292" s="640" t="str">
        <f>VLOOKUP($B292,'Afton Update'!$A$5:$CR$582,'Afton Update'!BV$589,0)</f>
        <v>Y</v>
      </c>
      <c r="L292" s="641" t="str">
        <f>VLOOKUP($B292,'Afton Update'!$A$5:$CR$582,'Afton Update'!BW$589,0)</f>
        <v>Y</v>
      </c>
      <c r="N292" s="642">
        <f>VLOOKUP($B292,'Afton Update'!$A$5:$CR$582,'Afton Update'!CB$589,0)</f>
        <v>0.95</v>
      </c>
      <c r="P292" s="636">
        <f>VLOOKUP($B292,'Afton Update'!$A$5:$CR$582,'Afton Update'!AH$589,0)</f>
        <v>111213.88117380058</v>
      </c>
      <c r="Q292" s="637">
        <f>VLOOKUP($B292,'Afton Update'!$A$5:$CR$582,'Afton Update'!AI$589,0)</f>
        <v>25129.673163138181</v>
      </c>
      <c r="R292" s="637">
        <f>VLOOKUP($B292,'Afton Update'!$A$5:$CR$582,'Afton Update'!AJ$589,0)</f>
        <v>65114.597939569423</v>
      </c>
      <c r="S292" s="637">
        <f>VLOOKUP($B292,'Afton Update'!$A$5:$CR$582,'Afton Update'!AK$589,0)</f>
        <v>60613.137260180898</v>
      </c>
      <c r="T292" s="643">
        <f t="shared" si="752"/>
        <v>262071.28953668906</v>
      </c>
      <c r="V292" s="636">
        <f t="shared" si="778"/>
        <v>109696.85164970078</v>
      </c>
      <c r="W292" s="637">
        <f t="shared" si="779"/>
        <v>24301.993605623353</v>
      </c>
      <c r="X292" s="637">
        <f t="shared" si="780"/>
        <v>64522.40609434255</v>
      </c>
      <c r="Y292" s="637">
        <f t="shared" si="781"/>
        <v>59945.289596794231</v>
      </c>
      <c r="Z292" s="643">
        <f t="shared" si="782"/>
        <v>258466.54094646091</v>
      </c>
      <c r="AB292" s="644">
        <f t="shared" si="753"/>
        <v>111213.88117380058</v>
      </c>
      <c r="AC292" s="645">
        <f t="shared" si="727"/>
        <v>104539.53709654175</v>
      </c>
      <c r="AD292" s="644">
        <f t="shared" si="783"/>
        <v>0</v>
      </c>
      <c r="AE292" s="645">
        <f t="shared" si="784"/>
        <v>111213.88117380058</v>
      </c>
      <c r="AF292" s="646">
        <f t="shared" si="785"/>
        <v>-1378.5796321562345</v>
      </c>
      <c r="AG292" s="647">
        <f t="shared" si="786"/>
        <v>109835.30154164434</v>
      </c>
      <c r="AH292" s="644">
        <f t="shared" si="754"/>
        <v>0</v>
      </c>
      <c r="AI292" s="645">
        <f t="shared" si="755"/>
        <v>109835.30154164434</v>
      </c>
      <c r="AJ292" s="646">
        <f t="shared" si="787"/>
        <v>-138.3616859426435</v>
      </c>
      <c r="AK292" s="647">
        <f t="shared" si="756"/>
        <v>109696.9398557017</v>
      </c>
      <c r="AL292" s="644">
        <f t="shared" si="788"/>
        <v>0</v>
      </c>
      <c r="AM292" s="645">
        <f t="shared" si="789"/>
        <v>109696.9398557017</v>
      </c>
      <c r="AN292" s="646">
        <f t="shared" si="790"/>
        <v>-8.8206000918491914E-2</v>
      </c>
      <c r="AO292" s="647">
        <f t="shared" si="757"/>
        <v>109696.85164970078</v>
      </c>
      <c r="AP292" s="644">
        <f t="shared" si="791"/>
        <v>0</v>
      </c>
      <c r="AQ292" s="645">
        <f t="shared" si="792"/>
        <v>109696.85164970078</v>
      </c>
      <c r="AR292" s="646">
        <f t="shared" si="793"/>
        <v>0</v>
      </c>
      <c r="AS292" s="647">
        <f t="shared" si="758"/>
        <v>109696.85164970078</v>
      </c>
      <c r="AT292" s="644">
        <f t="shared" si="794"/>
        <v>0</v>
      </c>
      <c r="AU292" s="645">
        <f t="shared" si="795"/>
        <v>109696.85164970078</v>
      </c>
      <c r="AV292" s="646">
        <f t="shared" si="796"/>
        <v>0</v>
      </c>
      <c r="AW292" s="647">
        <f t="shared" si="759"/>
        <v>109696.85164970078</v>
      </c>
      <c r="AY292" s="644">
        <f t="shared" si="797"/>
        <v>25129.673163138181</v>
      </c>
      <c r="AZ292" s="645">
        <f t="shared" si="728"/>
        <v>23037.976457087483</v>
      </c>
      <c r="BA292" s="644">
        <f t="shared" si="798"/>
        <v>0</v>
      </c>
      <c r="BB292" s="645">
        <f t="shared" si="799"/>
        <v>25129.673163138181</v>
      </c>
      <c r="BC292" s="646">
        <f t="shared" si="800"/>
        <v>-180.71480326794085</v>
      </c>
      <c r="BD292" s="647">
        <f t="shared" si="801"/>
        <v>24948.958359870241</v>
      </c>
      <c r="BE292" s="644">
        <f t="shared" si="760"/>
        <v>0</v>
      </c>
      <c r="BF292" s="645">
        <f t="shared" si="761"/>
        <v>24948.958359870241</v>
      </c>
      <c r="BG292" s="646">
        <f t="shared" si="802"/>
        <v>-594.26385619787311</v>
      </c>
      <c r="BH292" s="647">
        <f t="shared" si="762"/>
        <v>24354.694503672366</v>
      </c>
      <c r="BI292" s="644">
        <f t="shared" si="803"/>
        <v>0</v>
      </c>
      <c r="BJ292" s="645">
        <f t="shared" si="804"/>
        <v>24354.694503672366</v>
      </c>
      <c r="BK292" s="646">
        <f t="shared" si="805"/>
        <v>-51.588963194806887</v>
      </c>
      <c r="BL292" s="647">
        <f t="shared" si="763"/>
        <v>24303.105540477558</v>
      </c>
      <c r="BM292" s="644">
        <f t="shared" si="806"/>
        <v>0</v>
      </c>
      <c r="BN292" s="645">
        <f t="shared" si="807"/>
        <v>24303.105540477558</v>
      </c>
      <c r="BO292" s="646">
        <f t="shared" si="808"/>
        <v>-1.1119348542049827</v>
      </c>
      <c r="BP292" s="647">
        <f t="shared" si="764"/>
        <v>24301.993605623353</v>
      </c>
      <c r="BQ292" s="644">
        <f t="shared" si="809"/>
        <v>0</v>
      </c>
      <c r="BR292" s="645">
        <f t="shared" si="810"/>
        <v>24301.993605623353</v>
      </c>
      <c r="BS292" s="646">
        <f t="shared" si="811"/>
        <v>0</v>
      </c>
      <c r="BT292" s="647">
        <f t="shared" si="765"/>
        <v>24301.993605623353</v>
      </c>
      <c r="BU292" s="662">
        <f>VLOOKUP(B292,'Afton Update'!$A$5:$AR$582,'Afton Update'!$AO$589,0)-BT292</f>
        <v>0</v>
      </c>
      <c r="BV292" s="644">
        <f t="shared" si="812"/>
        <v>65114.597939569423</v>
      </c>
      <c r="BW292" s="645">
        <f t="shared" si="729"/>
        <v>56734.834761034559</v>
      </c>
      <c r="BX292" s="644">
        <f t="shared" si="813"/>
        <v>0</v>
      </c>
      <c r="BY292" s="645">
        <f t="shared" si="814"/>
        <v>65114.597939569423</v>
      </c>
      <c r="BZ292" s="646">
        <f t="shared" si="815"/>
        <v>-571.51774902231409</v>
      </c>
      <c r="CA292" s="647">
        <f t="shared" si="816"/>
        <v>64543.080190547109</v>
      </c>
      <c r="CB292" s="644">
        <f t="shared" si="766"/>
        <v>0</v>
      </c>
      <c r="CC292" s="645">
        <f t="shared" si="767"/>
        <v>64543.080190547109</v>
      </c>
      <c r="CD292" s="646">
        <f t="shared" si="817"/>
        <v>-20.674096204559358</v>
      </c>
      <c r="CE292" s="647">
        <f t="shared" si="768"/>
        <v>64522.40609434255</v>
      </c>
      <c r="CF292" s="644">
        <f t="shared" si="818"/>
        <v>0</v>
      </c>
      <c r="CG292" s="645">
        <f t="shared" si="819"/>
        <v>64522.40609434255</v>
      </c>
      <c r="CH292" s="646">
        <f t="shared" si="820"/>
        <v>0</v>
      </c>
      <c r="CI292" s="647">
        <f t="shared" si="769"/>
        <v>64522.40609434255</v>
      </c>
      <c r="CJ292" s="644">
        <f t="shared" si="821"/>
        <v>0</v>
      </c>
      <c r="CK292" s="645">
        <f t="shared" si="822"/>
        <v>64522.40609434255</v>
      </c>
      <c r="CL292" s="646">
        <f t="shared" si="823"/>
        <v>0</v>
      </c>
      <c r="CM292" s="647">
        <f t="shared" si="770"/>
        <v>64522.40609434255</v>
      </c>
      <c r="CN292" s="644">
        <f t="shared" si="824"/>
        <v>0</v>
      </c>
      <c r="CO292" s="645">
        <f t="shared" si="825"/>
        <v>64522.40609434255</v>
      </c>
      <c r="CP292" s="646">
        <f t="shared" si="826"/>
        <v>0</v>
      </c>
      <c r="CQ292" s="647">
        <f t="shared" si="771"/>
        <v>64522.40609434255</v>
      </c>
      <c r="CS292" s="644">
        <f t="shared" si="827"/>
        <v>60613.137260180898</v>
      </c>
      <c r="CT292" s="645">
        <f t="shared" si="730"/>
        <v>50645.569615729677</v>
      </c>
      <c r="CU292" s="644">
        <f t="shared" si="828"/>
        <v>0</v>
      </c>
      <c r="CV292" s="645">
        <f t="shared" si="829"/>
        <v>60613.137260180898</v>
      </c>
      <c r="CW292" s="646">
        <f t="shared" si="830"/>
        <v>-620.71277936013405</v>
      </c>
      <c r="CX292" s="647">
        <f t="shared" si="831"/>
        <v>59992.424480820766</v>
      </c>
      <c r="CY292" s="644">
        <f t="shared" si="772"/>
        <v>0</v>
      </c>
      <c r="CZ292" s="645">
        <f t="shared" si="773"/>
        <v>59992.424480820766</v>
      </c>
      <c r="DA292" s="646">
        <f t="shared" si="832"/>
        <v>-47.094271083428865</v>
      </c>
      <c r="DB292" s="647">
        <f t="shared" si="774"/>
        <v>59945.330209737338</v>
      </c>
      <c r="DC292" s="644">
        <f t="shared" si="833"/>
        <v>0</v>
      </c>
      <c r="DD292" s="645">
        <f t="shared" si="834"/>
        <v>59945.330209737338</v>
      </c>
      <c r="DE292" s="646">
        <f t="shared" si="835"/>
        <v>-4.06129431063511E-2</v>
      </c>
      <c r="DF292" s="647">
        <f t="shared" si="775"/>
        <v>59945.289596794231</v>
      </c>
      <c r="DG292" s="644">
        <f t="shared" si="836"/>
        <v>0</v>
      </c>
      <c r="DH292" s="645">
        <f t="shared" si="837"/>
        <v>59945.289596794231</v>
      </c>
      <c r="DI292" s="646">
        <f t="shared" si="838"/>
        <v>0</v>
      </c>
      <c r="DJ292" s="647">
        <f t="shared" si="776"/>
        <v>59945.289596794231</v>
      </c>
      <c r="DK292" s="644">
        <f t="shared" si="839"/>
        <v>0</v>
      </c>
      <c r="DL292" s="645">
        <f t="shared" si="840"/>
        <v>59945.289596794231</v>
      </c>
      <c r="DM292" s="646">
        <f t="shared" si="841"/>
        <v>0</v>
      </c>
      <c r="DN292" s="647">
        <f t="shared" si="777"/>
        <v>59945.289596794231</v>
      </c>
      <c r="DR292" s="827">
        <f t="shared" si="731"/>
        <v>258466.54094646091</v>
      </c>
      <c r="DV292" s="828">
        <f>IFERROR(VLOOKUP($B292,'Afton FY16 Final'!$A$5:$BV$587,'Afton FY16 Final'!$BV$587,0),0)</f>
        <v>236144.3061177601</v>
      </c>
      <c r="DX292" s="636">
        <f t="shared" si="719"/>
        <v>258466.54094646091</v>
      </c>
      <c r="DY292" s="637">
        <f t="shared" si="720"/>
        <v>22322.234828700806</v>
      </c>
      <c r="DZ292" s="637">
        <f t="shared" si="721"/>
        <v>236144.3061177601</v>
      </c>
      <c r="EA292" s="643">
        <f t="shared" si="722"/>
        <v>244719.0177062666</v>
      </c>
      <c r="EB292" s="637">
        <f t="shared" si="732"/>
        <v>0</v>
      </c>
      <c r="EC292" s="637">
        <f t="shared" si="733"/>
        <v>244719.0177062666</v>
      </c>
      <c r="ED292" s="637">
        <f t="shared" si="734"/>
        <v>243989.28020708263</v>
      </c>
      <c r="EE292" s="643">
        <f t="shared" si="735"/>
        <v>243989.28020708263</v>
      </c>
      <c r="EF292" s="637">
        <f t="shared" si="736"/>
        <v>0</v>
      </c>
      <c r="EG292" s="637">
        <f t="shared" si="737"/>
        <v>243989.28020708263</v>
      </c>
      <c r="EH292" s="637">
        <f t="shared" si="738"/>
        <v>243989.02849286582</v>
      </c>
      <c r="EI292" s="643">
        <f t="shared" si="739"/>
        <v>243989.02849286582</v>
      </c>
      <c r="EJ292" s="637">
        <f t="shared" si="740"/>
        <v>0</v>
      </c>
      <c r="EK292" s="637">
        <f t="shared" si="741"/>
        <v>243989.02849286582</v>
      </c>
      <c r="EL292" s="637">
        <f t="shared" si="742"/>
        <v>243989.02849286547</v>
      </c>
      <c r="EM292" s="643">
        <f t="shared" si="743"/>
        <v>243989.02849286547</v>
      </c>
      <c r="EN292" s="637">
        <f t="shared" si="744"/>
        <v>0</v>
      </c>
      <c r="EO292" s="637">
        <f t="shared" si="745"/>
        <v>243989.02849286547</v>
      </c>
      <c r="EP292" s="637">
        <f t="shared" si="746"/>
        <v>243989.02849286582</v>
      </c>
      <c r="EQ292" s="643">
        <f t="shared" si="747"/>
        <v>243989.02849286582</v>
      </c>
      <c r="ER292" s="637">
        <f t="shared" si="748"/>
        <v>0</v>
      </c>
      <c r="ES292" s="637">
        <f t="shared" si="749"/>
        <v>243989.02849286582</v>
      </c>
      <c r="ET292" s="637">
        <f t="shared" si="750"/>
        <v>243989.02849286541</v>
      </c>
      <c r="EU292" s="643">
        <f t="shared" si="723"/>
        <v>243989.02849286541</v>
      </c>
      <c r="EV292" s="643">
        <f t="shared" si="724"/>
        <v>0</v>
      </c>
      <c r="EX292" s="829">
        <f t="shared" si="725"/>
        <v>14477.512453595496</v>
      </c>
      <c r="EY292" s="638">
        <f t="shared" si="726"/>
        <v>243989.02849286541</v>
      </c>
      <c r="FC292" s="830" t="str">
        <f t="shared" si="751"/>
        <v>Y</v>
      </c>
      <c r="FE292" s="830" t="str">
        <f>IFERROR(VLOOKUP($B292,'Historical Conc Grant Elig'!$B$3:$J$707,'HH &amp; SI'!FE$2,0),"N")</f>
        <v>Y</v>
      </c>
      <c r="FF292" s="830" t="str">
        <f>IFERROR(VLOOKUP($B292,'Historical Conc Grant Elig'!$B$3:$J$707,'HH &amp; SI'!FF$2,0),"N")</f>
        <v>Y</v>
      </c>
      <c r="FG292" s="830" t="str">
        <f>IFERROR(VLOOKUP($B292,'Historical Conc Grant Elig'!$B$3:$J$707,'HH &amp; SI'!FG$2,0),"N")</f>
        <v>Y</v>
      </c>
      <c r="FH292" s="830" t="str">
        <f>IFERROR(VLOOKUP($B292,'Historical Conc Grant Elig'!$B$3:$J$707,'HH &amp; SI'!FH$2,0),"N")</f>
        <v>Y</v>
      </c>
      <c r="FI292" s="830" t="str">
        <f>IFERROR(VLOOKUP($B292,'Historical Conc Grant Elig'!$B$3:$J$707,'HH &amp; SI'!FI$2,0),"N")</f>
        <v>Y</v>
      </c>
      <c r="FJ292" s="830" t="str">
        <f>IFERROR(VLOOKUP($B292,'Historical Conc Grant Elig'!$B$3:$J$707,'HH &amp; SI'!FJ$2,0),"N")</f>
        <v>Y</v>
      </c>
      <c r="FK292" s="830" t="str">
        <f>IFERROR(VLOOKUP($B292,'Historical Conc Grant Elig'!$B$3:$J$707,'HH &amp; SI'!FK$2,0),"N")</f>
        <v>Y</v>
      </c>
      <c r="FL292" s="957" t="str">
        <f>IFERROR(VLOOKUP($B292,'Historical Conc Grant Elig'!$B$3:$J$707,'HH &amp; SI'!FL$2,0),"N")</f>
        <v>Y</v>
      </c>
    </row>
    <row r="293" spans="2:168" x14ac:dyDescent="0.25">
      <c r="B293" s="634">
        <v>78962000</v>
      </c>
      <c r="C293" s="635" t="str">
        <f>VLOOKUP($B293,'Afton Update'!$A$5:$CR$582,'Afton Update'!D$589,0)</f>
        <v>SC Jensen Corporation  Inc. dba Intelli-School</v>
      </c>
      <c r="D293" s="636">
        <f>IFERROR(VLOOKUP($B293,'Afton FY16 Final'!$A$5:$BV$587,'Afton FY16 Final'!AQ$587,0),0)</f>
        <v>10437.309105822038</v>
      </c>
      <c r="E293" s="637">
        <f>IFERROR(VLOOKUP($B293,'Afton FY16 Final'!$A$5:$BV$587,'Afton FY16 Final'!AR$587,0),0)</f>
        <v>3693.1983570078391</v>
      </c>
      <c r="F293" s="637">
        <f>IFERROR(VLOOKUP($B293,'Afton FY16 Final'!$A$5:$BV$587,'Afton FY16 Final'!AS$587,0),0)</f>
        <v>5534.013783170547</v>
      </c>
      <c r="G293" s="637">
        <f>IFERROR(VLOOKUP($B293,'Afton FY16 Final'!$A$5:$BV$587,'Afton FY16 Final'!AT$587,0),0)</f>
        <v>5331.9841864194086</v>
      </c>
      <c r="H293" s="638">
        <f>IFERROR(VLOOKUP($B293,'Afton FY16 Final'!$A$5:$BV$587,'Afton FY16 Final'!AU$587,0),0)</f>
        <v>24996.505432419835</v>
      </c>
      <c r="I293" s="639" t="str">
        <f>VLOOKUP($B293,'Afton Update'!$A$5:$CR$582,'Afton Update'!BT$589,0)</f>
        <v>Y</v>
      </c>
      <c r="J293" s="640" t="str">
        <f>VLOOKUP($B293,'Afton Update'!$A$5:$CR$582,'Afton Update'!BU$589,0)</f>
        <v>Y</v>
      </c>
      <c r="K293" s="640" t="str">
        <f>VLOOKUP($B293,'Afton Update'!$A$5:$CR$582,'Afton Update'!BV$589,0)</f>
        <v>Y</v>
      </c>
      <c r="L293" s="641" t="str">
        <f>VLOOKUP($B293,'Afton Update'!$A$5:$CR$582,'Afton Update'!BW$589,0)</f>
        <v>Y</v>
      </c>
      <c r="N293" s="642">
        <f>VLOOKUP($B293,'Afton Update'!$A$5:$CR$582,'Afton Update'!CB$589,0)</f>
        <v>0.95</v>
      </c>
      <c r="P293" s="636">
        <f>VLOOKUP($B293,'Afton Update'!$A$5:$CR$582,'Afton Update'!AH$589,0)</f>
        <v>9327.6158403832742</v>
      </c>
      <c r="Q293" s="637">
        <f>VLOOKUP($B293,'Afton Update'!$A$5:$CR$582,'Afton Update'!AI$589,0)</f>
        <v>4059.757338598436</v>
      </c>
      <c r="R293" s="637">
        <f>VLOOKUP($B293,'Afton Update'!$A$5:$CR$582,'Afton Update'!AJ$589,0)</f>
        <v>5484.4396441011568</v>
      </c>
      <c r="S293" s="637">
        <f>VLOOKUP($B293,'Afton Update'!$A$5:$CR$582,'Afton Update'!AK$589,0)</f>
        <v>5105.2928753641218</v>
      </c>
      <c r="T293" s="643">
        <f t="shared" si="752"/>
        <v>23977.105698446987</v>
      </c>
      <c r="V293" s="636">
        <f t="shared" si="778"/>
        <v>9915.443650530935</v>
      </c>
      <c r="W293" s="637">
        <f t="shared" si="779"/>
        <v>3926.0437747245674</v>
      </c>
      <c r="X293" s="637">
        <f t="shared" si="780"/>
        <v>5434.5608068565516</v>
      </c>
      <c r="Y293" s="637">
        <f t="shared" si="781"/>
        <v>5065.384977098438</v>
      </c>
      <c r="Z293" s="643">
        <f t="shared" si="782"/>
        <v>24341.433209210492</v>
      </c>
      <c r="AB293" s="644">
        <f t="shared" si="753"/>
        <v>9327.6158403832742</v>
      </c>
      <c r="AC293" s="645">
        <f t="shared" si="727"/>
        <v>9915.443650530935</v>
      </c>
      <c r="AD293" s="644">
        <f t="shared" si="783"/>
        <v>587.82781014766078</v>
      </c>
      <c r="AE293" s="645">
        <f t="shared" si="784"/>
        <v>0</v>
      </c>
      <c r="AF293" s="646">
        <f t="shared" si="785"/>
        <v>0</v>
      </c>
      <c r="AG293" s="647">
        <f t="shared" si="786"/>
        <v>9915.443650530935</v>
      </c>
      <c r="AH293" s="644">
        <f t="shared" si="754"/>
        <v>0</v>
      </c>
      <c r="AI293" s="645">
        <f t="shared" si="755"/>
        <v>0</v>
      </c>
      <c r="AJ293" s="646">
        <f t="shared" si="787"/>
        <v>0</v>
      </c>
      <c r="AK293" s="647">
        <f t="shared" si="756"/>
        <v>9915.443650530935</v>
      </c>
      <c r="AL293" s="644">
        <f t="shared" si="788"/>
        <v>0</v>
      </c>
      <c r="AM293" s="645">
        <f t="shared" si="789"/>
        <v>0</v>
      </c>
      <c r="AN293" s="646">
        <f t="shared" si="790"/>
        <v>0</v>
      </c>
      <c r="AO293" s="647">
        <f t="shared" si="757"/>
        <v>9915.443650530935</v>
      </c>
      <c r="AP293" s="644">
        <f t="shared" si="791"/>
        <v>0</v>
      </c>
      <c r="AQ293" s="645">
        <f t="shared" si="792"/>
        <v>0</v>
      </c>
      <c r="AR293" s="646">
        <f t="shared" si="793"/>
        <v>0</v>
      </c>
      <c r="AS293" s="647">
        <f t="shared" si="758"/>
        <v>9915.443650530935</v>
      </c>
      <c r="AT293" s="644">
        <f t="shared" si="794"/>
        <v>0</v>
      </c>
      <c r="AU293" s="645">
        <f t="shared" si="795"/>
        <v>0</v>
      </c>
      <c r="AV293" s="646">
        <f t="shared" si="796"/>
        <v>0</v>
      </c>
      <c r="AW293" s="647">
        <f t="shared" si="759"/>
        <v>9915.443650530935</v>
      </c>
      <c r="AY293" s="644">
        <f t="shared" si="797"/>
        <v>4059.757338598436</v>
      </c>
      <c r="AZ293" s="645">
        <f t="shared" si="728"/>
        <v>3508.5384391574471</v>
      </c>
      <c r="BA293" s="644">
        <f t="shared" si="798"/>
        <v>0</v>
      </c>
      <c r="BB293" s="645">
        <f t="shared" si="799"/>
        <v>4059.757338598436</v>
      </c>
      <c r="BC293" s="646">
        <f t="shared" si="800"/>
        <v>-29.194898158746149</v>
      </c>
      <c r="BD293" s="647">
        <f t="shared" si="801"/>
        <v>4030.5624404396899</v>
      </c>
      <c r="BE293" s="644">
        <f t="shared" si="760"/>
        <v>0</v>
      </c>
      <c r="BF293" s="645">
        <f t="shared" si="761"/>
        <v>4030.5624404396899</v>
      </c>
      <c r="BG293" s="646">
        <f t="shared" si="802"/>
        <v>-96.004712659853823</v>
      </c>
      <c r="BH293" s="647">
        <f t="shared" si="762"/>
        <v>3934.5577277798361</v>
      </c>
      <c r="BI293" s="644">
        <f t="shared" si="803"/>
        <v>0</v>
      </c>
      <c r="BJ293" s="645">
        <f t="shared" si="804"/>
        <v>3934.5577277798361</v>
      </c>
      <c r="BK293" s="646">
        <f t="shared" si="805"/>
        <v>-8.3343173849160905</v>
      </c>
      <c r="BL293" s="647">
        <f t="shared" si="763"/>
        <v>3926.2234103949199</v>
      </c>
      <c r="BM293" s="644">
        <f t="shared" si="806"/>
        <v>0</v>
      </c>
      <c r="BN293" s="645">
        <f t="shared" si="807"/>
        <v>3926.2234103949199</v>
      </c>
      <c r="BO293" s="646">
        <f t="shared" si="808"/>
        <v>-0.1796356703525997</v>
      </c>
      <c r="BP293" s="647">
        <f t="shared" si="764"/>
        <v>3926.0437747245674</v>
      </c>
      <c r="BQ293" s="644">
        <f t="shared" si="809"/>
        <v>0</v>
      </c>
      <c r="BR293" s="645">
        <f t="shared" si="810"/>
        <v>3926.0437747245674</v>
      </c>
      <c r="BS293" s="646">
        <f t="shared" si="811"/>
        <v>0</v>
      </c>
      <c r="BT293" s="647">
        <f t="shared" si="765"/>
        <v>3926.0437747245674</v>
      </c>
      <c r="BU293" s="662">
        <f>VLOOKUP(B293,'Afton Update'!$A$5:$AR$582,'Afton Update'!$AO$589,0)-BT293</f>
        <v>0</v>
      </c>
      <c r="BV293" s="644">
        <f t="shared" si="812"/>
        <v>5484.4396441011568</v>
      </c>
      <c r="BW293" s="645">
        <f t="shared" si="729"/>
        <v>5257.3130940120191</v>
      </c>
      <c r="BX293" s="644">
        <f t="shared" si="813"/>
        <v>0</v>
      </c>
      <c r="BY293" s="645">
        <f t="shared" si="814"/>
        <v>5484.4396441011568</v>
      </c>
      <c r="BZ293" s="646">
        <f t="shared" si="815"/>
        <v>-48.137509855384693</v>
      </c>
      <c r="CA293" s="647">
        <f t="shared" si="816"/>
        <v>5436.3021342457723</v>
      </c>
      <c r="CB293" s="644">
        <f t="shared" si="766"/>
        <v>0</v>
      </c>
      <c r="CC293" s="645">
        <f t="shared" si="767"/>
        <v>5436.3021342457723</v>
      </c>
      <c r="CD293" s="646">
        <f t="shared" si="817"/>
        <v>-1.7413273892204024</v>
      </c>
      <c r="CE293" s="647">
        <f t="shared" si="768"/>
        <v>5434.5608068565516</v>
      </c>
      <c r="CF293" s="644">
        <f t="shared" si="818"/>
        <v>0</v>
      </c>
      <c r="CG293" s="645">
        <f t="shared" si="819"/>
        <v>5434.5608068565516</v>
      </c>
      <c r="CH293" s="646">
        <f t="shared" si="820"/>
        <v>0</v>
      </c>
      <c r="CI293" s="647">
        <f t="shared" si="769"/>
        <v>5434.5608068565516</v>
      </c>
      <c r="CJ293" s="644">
        <f t="shared" si="821"/>
        <v>0</v>
      </c>
      <c r="CK293" s="645">
        <f t="shared" si="822"/>
        <v>5434.5608068565516</v>
      </c>
      <c r="CL293" s="646">
        <f t="shared" si="823"/>
        <v>0</v>
      </c>
      <c r="CM293" s="647">
        <f t="shared" si="770"/>
        <v>5434.5608068565516</v>
      </c>
      <c r="CN293" s="644">
        <f t="shared" si="824"/>
        <v>0</v>
      </c>
      <c r="CO293" s="645">
        <f t="shared" si="825"/>
        <v>5434.5608068565516</v>
      </c>
      <c r="CP293" s="646">
        <f t="shared" si="826"/>
        <v>0</v>
      </c>
      <c r="CQ293" s="647">
        <f t="shared" si="771"/>
        <v>5434.5608068565516</v>
      </c>
      <c r="CS293" s="644">
        <f t="shared" si="827"/>
        <v>5105.2928753641218</v>
      </c>
      <c r="CT293" s="645">
        <f t="shared" si="730"/>
        <v>5065.384977098438</v>
      </c>
      <c r="CU293" s="644">
        <f t="shared" si="828"/>
        <v>0</v>
      </c>
      <c r="CV293" s="645">
        <f t="shared" si="829"/>
        <v>5105.2928753641218</v>
      </c>
      <c r="CW293" s="646">
        <f t="shared" si="830"/>
        <v>-52.281084156924855</v>
      </c>
      <c r="CX293" s="647">
        <f t="shared" si="831"/>
        <v>5053.0117912071973</v>
      </c>
      <c r="CY293" s="644">
        <f t="shared" si="772"/>
        <v>-12.37318589124061</v>
      </c>
      <c r="CZ293" s="645">
        <f t="shared" si="773"/>
        <v>0</v>
      </c>
      <c r="DA293" s="646">
        <f t="shared" si="832"/>
        <v>0</v>
      </c>
      <c r="DB293" s="647">
        <f t="shared" si="774"/>
        <v>5065.384977098438</v>
      </c>
      <c r="DC293" s="644">
        <f t="shared" si="833"/>
        <v>0</v>
      </c>
      <c r="DD293" s="645">
        <f t="shared" si="834"/>
        <v>0</v>
      </c>
      <c r="DE293" s="646">
        <f t="shared" si="835"/>
        <v>0</v>
      </c>
      <c r="DF293" s="647">
        <f t="shared" si="775"/>
        <v>5065.384977098438</v>
      </c>
      <c r="DG293" s="644">
        <f t="shared" si="836"/>
        <v>0</v>
      </c>
      <c r="DH293" s="645">
        <f t="shared" si="837"/>
        <v>0</v>
      </c>
      <c r="DI293" s="646">
        <f t="shared" si="838"/>
        <v>0</v>
      </c>
      <c r="DJ293" s="647">
        <f t="shared" si="776"/>
        <v>5065.384977098438</v>
      </c>
      <c r="DK293" s="644">
        <f t="shared" si="839"/>
        <v>0</v>
      </c>
      <c r="DL293" s="645">
        <f t="shared" si="840"/>
        <v>0</v>
      </c>
      <c r="DM293" s="646">
        <f t="shared" si="841"/>
        <v>0</v>
      </c>
      <c r="DN293" s="647">
        <f t="shared" si="777"/>
        <v>5065.384977098438</v>
      </c>
      <c r="DR293" s="827">
        <f t="shared" si="731"/>
        <v>24341.433209210492</v>
      </c>
      <c r="DV293" s="828">
        <f>IFERROR(VLOOKUP($B293,'Afton FY16 Final'!$A$5:$BV$587,'Afton FY16 Final'!$BV$587,0),0)</f>
        <v>23293.577404717824</v>
      </c>
      <c r="DX293" s="636">
        <f t="shared" si="719"/>
        <v>24341.433209210492</v>
      </c>
      <c r="DY293" s="637">
        <f t="shared" si="720"/>
        <v>1047.8558044926685</v>
      </c>
      <c r="DZ293" s="637">
        <f t="shared" si="721"/>
        <v>23293.577404717824</v>
      </c>
      <c r="EA293" s="643">
        <f t="shared" si="722"/>
        <v>23046.741766682251</v>
      </c>
      <c r="EB293" s="637">
        <f t="shared" si="732"/>
        <v>23293.577404717824</v>
      </c>
      <c r="EC293" s="637">
        <f t="shared" si="733"/>
        <v>0</v>
      </c>
      <c r="ED293" s="637">
        <f t="shared" si="734"/>
        <v>0</v>
      </c>
      <c r="EE293" s="643">
        <f t="shared" si="735"/>
        <v>23293.577404717824</v>
      </c>
      <c r="EF293" s="637">
        <f t="shared" si="736"/>
        <v>0</v>
      </c>
      <c r="EG293" s="637">
        <f t="shared" si="737"/>
        <v>0</v>
      </c>
      <c r="EH293" s="637">
        <f t="shared" si="738"/>
        <v>0</v>
      </c>
      <c r="EI293" s="643">
        <f t="shared" si="739"/>
        <v>23293.577404717824</v>
      </c>
      <c r="EJ293" s="637">
        <f t="shared" si="740"/>
        <v>0</v>
      </c>
      <c r="EK293" s="637">
        <f t="shared" si="741"/>
        <v>0</v>
      </c>
      <c r="EL293" s="637">
        <f t="shared" si="742"/>
        <v>0</v>
      </c>
      <c r="EM293" s="643">
        <f t="shared" si="743"/>
        <v>23293.577404717824</v>
      </c>
      <c r="EN293" s="637">
        <f t="shared" si="744"/>
        <v>0</v>
      </c>
      <c r="EO293" s="637">
        <f t="shared" si="745"/>
        <v>0</v>
      </c>
      <c r="EP293" s="637">
        <f t="shared" si="746"/>
        <v>0</v>
      </c>
      <c r="EQ293" s="643">
        <f t="shared" si="747"/>
        <v>23293.577404717824</v>
      </c>
      <c r="ER293" s="637">
        <f t="shared" si="748"/>
        <v>0</v>
      </c>
      <c r="ES293" s="637">
        <f t="shared" si="749"/>
        <v>0</v>
      </c>
      <c r="ET293" s="637">
        <f t="shared" si="750"/>
        <v>0</v>
      </c>
      <c r="EU293" s="643">
        <f t="shared" si="723"/>
        <v>23293.577404717824</v>
      </c>
      <c r="EV293" s="643">
        <f t="shared" si="724"/>
        <v>0</v>
      </c>
      <c r="EX293" s="829">
        <f t="shared" si="725"/>
        <v>1047.8558044926685</v>
      </c>
      <c r="EY293" s="638">
        <f t="shared" si="726"/>
        <v>23293.577404717824</v>
      </c>
      <c r="FC293" s="830" t="str">
        <f t="shared" si="751"/>
        <v>Y</v>
      </c>
      <c r="FE293" s="830" t="str">
        <f>IFERROR(VLOOKUP($B293,'Historical Conc Grant Elig'!$B$3:$J$707,'HH &amp; SI'!FE$2,0),"N")</f>
        <v>N</v>
      </c>
      <c r="FF293" s="830" t="str">
        <f>IFERROR(VLOOKUP($B293,'Historical Conc Grant Elig'!$B$3:$J$707,'HH &amp; SI'!FF$2,0),"N")</f>
        <v>N</v>
      </c>
      <c r="FG293" s="830" t="str">
        <f>IFERROR(VLOOKUP($B293,'Historical Conc Grant Elig'!$B$3:$J$707,'HH &amp; SI'!FG$2,0),"N")</f>
        <v>Y</v>
      </c>
      <c r="FH293" s="830" t="str">
        <f>IFERROR(VLOOKUP($B293,'Historical Conc Grant Elig'!$B$3:$J$707,'HH &amp; SI'!FH$2,0),"N")</f>
        <v>Y</v>
      </c>
      <c r="FI293" s="830" t="str">
        <f>IFERROR(VLOOKUP($B293,'Historical Conc Grant Elig'!$B$3:$J$707,'HH &amp; SI'!FI$2,0),"N")</f>
        <v>Y</v>
      </c>
      <c r="FJ293" s="830" t="str">
        <f>IFERROR(VLOOKUP($B293,'Historical Conc Grant Elig'!$B$3:$J$707,'HH &amp; SI'!FJ$2,0),"N")</f>
        <v>Y</v>
      </c>
      <c r="FK293" s="830" t="str">
        <f>IFERROR(VLOOKUP($B293,'Historical Conc Grant Elig'!$B$3:$J$707,'HH &amp; SI'!FK$2,0),"N")</f>
        <v>Y</v>
      </c>
      <c r="FL293" s="957" t="str">
        <f>IFERROR(VLOOKUP($B293,'Historical Conc Grant Elig'!$B$3:$J$707,'HH &amp; SI'!FL$2,0),"N")</f>
        <v>Y</v>
      </c>
    </row>
    <row r="294" spans="2:168" x14ac:dyDescent="0.25">
      <c r="B294" s="634">
        <v>78963000</v>
      </c>
      <c r="C294" s="635" t="str">
        <f>VLOOKUP($B294,'Afton Update'!$A$5:$CR$582,'Afton Update'!D$589,0)</f>
        <v>PAS Charter  Inc.  dba Intelli-School</v>
      </c>
      <c r="D294" s="636">
        <f>IFERROR(VLOOKUP($B294,'Afton FY16 Final'!$A$5:$BV$587,'Afton FY16 Final'!AQ$587,0),0)</f>
        <v>30528.169430995051</v>
      </c>
      <c r="E294" s="637">
        <f>IFERROR(VLOOKUP($B294,'Afton FY16 Final'!$A$5:$BV$587,'Afton FY16 Final'!AR$587,0),0)</f>
        <v>7881.688699815465</v>
      </c>
      <c r="F294" s="637">
        <f>IFERROR(VLOOKUP($B294,'Afton FY16 Final'!$A$5:$BV$587,'Afton FY16 Final'!AS$587,0),0)</f>
        <v>16186.481466938028</v>
      </c>
      <c r="G294" s="637">
        <f>IFERROR(VLOOKUP($B294,'Afton FY16 Final'!$A$5:$BV$587,'Afton FY16 Final'!AT$587,0),0)</f>
        <v>15595.563472926176</v>
      </c>
      <c r="H294" s="638">
        <f>IFERROR(VLOOKUP($B294,'Afton FY16 Final'!$A$5:$BV$587,'Afton FY16 Final'!AU$587,0),0)</f>
        <v>70191.903070674714</v>
      </c>
      <c r="I294" s="639" t="str">
        <f>VLOOKUP($B294,'Afton Update'!$A$5:$CR$582,'Afton Update'!BT$589,0)</f>
        <v>Y</v>
      </c>
      <c r="J294" s="640" t="str">
        <f>VLOOKUP($B294,'Afton Update'!$A$5:$CR$582,'Afton Update'!BU$589,0)</f>
        <v>Y</v>
      </c>
      <c r="K294" s="640" t="str">
        <f>VLOOKUP($B294,'Afton Update'!$A$5:$CR$582,'Afton Update'!BV$589,0)</f>
        <v>Y</v>
      </c>
      <c r="L294" s="641" t="str">
        <f>VLOOKUP($B294,'Afton Update'!$A$5:$CR$582,'Afton Update'!BW$589,0)</f>
        <v>Y</v>
      </c>
      <c r="N294" s="642">
        <f>VLOOKUP($B294,'Afton Update'!$A$5:$CR$582,'Afton Update'!CB$589,0)</f>
        <v>0.95</v>
      </c>
      <c r="P294" s="636">
        <f>VLOOKUP($B294,'Afton Update'!$A$5:$CR$582,'Afton Update'!AH$589,0)</f>
        <v>23916.963693290447</v>
      </c>
      <c r="Q294" s="637">
        <f>VLOOKUP($B294,'Afton Update'!$A$5:$CR$582,'Afton Update'!AI$589,0)</f>
        <v>7076.8110130043615</v>
      </c>
      <c r="R294" s="637">
        <f>VLOOKUP($B294,'Afton Update'!$A$5:$CR$582,'Afton Update'!AJ$589,0)</f>
        <v>14023.03038594051</v>
      </c>
      <c r="S294" s="637">
        <f>VLOOKUP($B294,'Afton Update'!$A$5:$CR$582,'Afton Update'!AK$589,0)</f>
        <v>13053.599230936477</v>
      </c>
      <c r="T294" s="643">
        <f t="shared" si="752"/>
        <v>58070.404323171795</v>
      </c>
      <c r="V294" s="636">
        <f t="shared" si="778"/>
        <v>29001.760959445295</v>
      </c>
      <c r="W294" s="637">
        <f t="shared" si="779"/>
        <v>7487.6042648246912</v>
      </c>
      <c r="X294" s="637">
        <f t="shared" si="780"/>
        <v>15377.157393591126</v>
      </c>
      <c r="Y294" s="637">
        <f t="shared" si="781"/>
        <v>14815.785299279867</v>
      </c>
      <c r="Z294" s="643">
        <f t="shared" si="782"/>
        <v>66682.307917140992</v>
      </c>
      <c r="AB294" s="644">
        <f t="shared" si="753"/>
        <v>23916.963693290447</v>
      </c>
      <c r="AC294" s="645">
        <f t="shared" si="727"/>
        <v>29001.760959445295</v>
      </c>
      <c r="AD294" s="644">
        <f t="shared" si="783"/>
        <v>5084.7972661548483</v>
      </c>
      <c r="AE294" s="645">
        <f t="shared" si="784"/>
        <v>0</v>
      </c>
      <c r="AF294" s="646">
        <f t="shared" si="785"/>
        <v>0</v>
      </c>
      <c r="AG294" s="647">
        <f t="shared" si="786"/>
        <v>29001.760959445295</v>
      </c>
      <c r="AH294" s="644">
        <f t="shared" si="754"/>
        <v>0</v>
      </c>
      <c r="AI294" s="645">
        <f t="shared" si="755"/>
        <v>0</v>
      </c>
      <c r="AJ294" s="646">
        <f t="shared" si="787"/>
        <v>0</v>
      </c>
      <c r="AK294" s="647">
        <f t="shared" si="756"/>
        <v>29001.760959445295</v>
      </c>
      <c r="AL294" s="644">
        <f t="shared" si="788"/>
        <v>0</v>
      </c>
      <c r="AM294" s="645">
        <f t="shared" si="789"/>
        <v>0</v>
      </c>
      <c r="AN294" s="646">
        <f t="shared" si="790"/>
        <v>0</v>
      </c>
      <c r="AO294" s="647">
        <f t="shared" si="757"/>
        <v>29001.760959445295</v>
      </c>
      <c r="AP294" s="644">
        <f t="shared" si="791"/>
        <v>0</v>
      </c>
      <c r="AQ294" s="645">
        <f t="shared" si="792"/>
        <v>0</v>
      </c>
      <c r="AR294" s="646">
        <f t="shared" si="793"/>
        <v>0</v>
      </c>
      <c r="AS294" s="647">
        <f t="shared" si="758"/>
        <v>29001.760959445295</v>
      </c>
      <c r="AT294" s="644">
        <f t="shared" si="794"/>
        <v>0</v>
      </c>
      <c r="AU294" s="645">
        <f t="shared" si="795"/>
        <v>0</v>
      </c>
      <c r="AV294" s="646">
        <f t="shared" si="796"/>
        <v>0</v>
      </c>
      <c r="AW294" s="647">
        <f t="shared" si="759"/>
        <v>29001.760959445295</v>
      </c>
      <c r="AY294" s="644">
        <f t="shared" si="797"/>
        <v>7076.8110130043615</v>
      </c>
      <c r="AZ294" s="645">
        <f t="shared" si="728"/>
        <v>7487.6042648246912</v>
      </c>
      <c r="BA294" s="644">
        <f t="shared" si="798"/>
        <v>410.79325182032971</v>
      </c>
      <c r="BB294" s="645">
        <f t="shared" si="799"/>
        <v>0</v>
      </c>
      <c r="BC294" s="646">
        <f t="shared" si="800"/>
        <v>0</v>
      </c>
      <c r="BD294" s="647">
        <f t="shared" si="801"/>
        <v>7487.6042648246912</v>
      </c>
      <c r="BE294" s="644">
        <f t="shared" si="760"/>
        <v>0</v>
      </c>
      <c r="BF294" s="645">
        <f t="shared" si="761"/>
        <v>0</v>
      </c>
      <c r="BG294" s="646">
        <f t="shared" si="802"/>
        <v>0</v>
      </c>
      <c r="BH294" s="647">
        <f t="shared" si="762"/>
        <v>7487.6042648246912</v>
      </c>
      <c r="BI294" s="644">
        <f t="shared" si="803"/>
        <v>0</v>
      </c>
      <c r="BJ294" s="645">
        <f t="shared" si="804"/>
        <v>0</v>
      </c>
      <c r="BK294" s="646">
        <f t="shared" si="805"/>
        <v>0</v>
      </c>
      <c r="BL294" s="647">
        <f t="shared" si="763"/>
        <v>7487.6042648246912</v>
      </c>
      <c r="BM294" s="644">
        <f t="shared" si="806"/>
        <v>0</v>
      </c>
      <c r="BN294" s="645">
        <f t="shared" si="807"/>
        <v>0</v>
      </c>
      <c r="BO294" s="646">
        <f t="shared" si="808"/>
        <v>0</v>
      </c>
      <c r="BP294" s="647">
        <f t="shared" si="764"/>
        <v>7487.6042648246912</v>
      </c>
      <c r="BQ294" s="644">
        <f t="shared" si="809"/>
        <v>0</v>
      </c>
      <c r="BR294" s="645">
        <f t="shared" si="810"/>
        <v>0</v>
      </c>
      <c r="BS294" s="646">
        <f t="shared" si="811"/>
        <v>0</v>
      </c>
      <c r="BT294" s="647">
        <f t="shared" si="765"/>
        <v>7487.6042648246912</v>
      </c>
      <c r="BU294" s="662">
        <f>VLOOKUP(B294,'Afton Update'!$A$5:$AR$582,'Afton Update'!$AO$589,0)-BT294</f>
        <v>0</v>
      </c>
      <c r="BV294" s="644">
        <f t="shared" si="812"/>
        <v>14023.03038594051</v>
      </c>
      <c r="BW294" s="645">
        <f t="shared" si="729"/>
        <v>15377.157393591126</v>
      </c>
      <c r="BX294" s="644">
        <f t="shared" si="813"/>
        <v>1354.1270076506153</v>
      </c>
      <c r="BY294" s="645">
        <f t="shared" si="814"/>
        <v>0</v>
      </c>
      <c r="BZ294" s="646">
        <f t="shared" si="815"/>
        <v>0</v>
      </c>
      <c r="CA294" s="647">
        <f t="shared" si="816"/>
        <v>15377.157393591126</v>
      </c>
      <c r="CB294" s="644">
        <f t="shared" si="766"/>
        <v>0</v>
      </c>
      <c r="CC294" s="645">
        <f t="shared" si="767"/>
        <v>0</v>
      </c>
      <c r="CD294" s="646">
        <f t="shared" si="817"/>
        <v>0</v>
      </c>
      <c r="CE294" s="647">
        <f t="shared" si="768"/>
        <v>15377.157393591126</v>
      </c>
      <c r="CF294" s="644">
        <f t="shared" si="818"/>
        <v>0</v>
      </c>
      <c r="CG294" s="645">
        <f t="shared" si="819"/>
        <v>0</v>
      </c>
      <c r="CH294" s="646">
        <f t="shared" si="820"/>
        <v>0</v>
      </c>
      <c r="CI294" s="647">
        <f t="shared" si="769"/>
        <v>15377.157393591126</v>
      </c>
      <c r="CJ294" s="644">
        <f t="shared" si="821"/>
        <v>0</v>
      </c>
      <c r="CK294" s="645">
        <f t="shared" si="822"/>
        <v>0</v>
      </c>
      <c r="CL294" s="646">
        <f t="shared" si="823"/>
        <v>0</v>
      </c>
      <c r="CM294" s="647">
        <f t="shared" si="770"/>
        <v>15377.157393591126</v>
      </c>
      <c r="CN294" s="644">
        <f t="shared" si="824"/>
        <v>0</v>
      </c>
      <c r="CO294" s="645">
        <f t="shared" si="825"/>
        <v>0</v>
      </c>
      <c r="CP294" s="646">
        <f t="shared" si="826"/>
        <v>0</v>
      </c>
      <c r="CQ294" s="647">
        <f t="shared" si="771"/>
        <v>15377.157393591126</v>
      </c>
      <c r="CS294" s="644">
        <f t="shared" si="827"/>
        <v>13053.599230936477</v>
      </c>
      <c r="CT294" s="645">
        <f t="shared" si="730"/>
        <v>14815.785299279867</v>
      </c>
      <c r="CU294" s="644">
        <f t="shared" si="828"/>
        <v>1762.1860683433897</v>
      </c>
      <c r="CV294" s="645">
        <f t="shared" si="829"/>
        <v>0</v>
      </c>
      <c r="CW294" s="646">
        <f t="shared" si="830"/>
        <v>0</v>
      </c>
      <c r="CX294" s="647">
        <f t="shared" si="831"/>
        <v>14815.785299279867</v>
      </c>
      <c r="CY294" s="644">
        <f t="shared" si="772"/>
        <v>0</v>
      </c>
      <c r="CZ294" s="645">
        <f t="shared" si="773"/>
        <v>0</v>
      </c>
      <c r="DA294" s="646">
        <f t="shared" si="832"/>
        <v>0</v>
      </c>
      <c r="DB294" s="647">
        <f t="shared" si="774"/>
        <v>14815.785299279867</v>
      </c>
      <c r="DC294" s="644">
        <f t="shared" si="833"/>
        <v>0</v>
      </c>
      <c r="DD294" s="645">
        <f t="shared" si="834"/>
        <v>0</v>
      </c>
      <c r="DE294" s="646">
        <f t="shared" si="835"/>
        <v>0</v>
      </c>
      <c r="DF294" s="647">
        <f t="shared" si="775"/>
        <v>14815.785299279867</v>
      </c>
      <c r="DG294" s="644">
        <f t="shared" si="836"/>
        <v>0</v>
      </c>
      <c r="DH294" s="645">
        <f t="shared" si="837"/>
        <v>0</v>
      </c>
      <c r="DI294" s="646">
        <f t="shared" si="838"/>
        <v>0</v>
      </c>
      <c r="DJ294" s="647">
        <f t="shared" si="776"/>
        <v>14815.785299279867</v>
      </c>
      <c r="DK294" s="644">
        <f t="shared" si="839"/>
        <v>0</v>
      </c>
      <c r="DL294" s="645">
        <f t="shared" si="840"/>
        <v>0</v>
      </c>
      <c r="DM294" s="646">
        <f t="shared" si="841"/>
        <v>0</v>
      </c>
      <c r="DN294" s="647">
        <f t="shared" si="777"/>
        <v>14815.785299279867</v>
      </c>
      <c r="DR294" s="827">
        <f t="shared" si="731"/>
        <v>66682.307917140992</v>
      </c>
      <c r="DV294" s="828">
        <f>IFERROR(VLOOKUP($B294,'Afton FY16 Final'!$A$5:$BV$587,'Afton FY16 Final'!$BV$587,0),0)</f>
        <v>50193.983949472269</v>
      </c>
      <c r="DX294" s="636">
        <f t="shared" si="719"/>
        <v>66682.307917140992</v>
      </c>
      <c r="DY294" s="637">
        <f t="shared" si="720"/>
        <v>16488.323967668723</v>
      </c>
      <c r="DZ294" s="637">
        <f t="shared" si="721"/>
        <v>50193.983949472269</v>
      </c>
      <c r="EA294" s="643">
        <f t="shared" si="722"/>
        <v>63135.556471310425</v>
      </c>
      <c r="EB294" s="637">
        <f t="shared" si="732"/>
        <v>0</v>
      </c>
      <c r="EC294" s="637">
        <f t="shared" si="733"/>
        <v>63135.556471310425</v>
      </c>
      <c r="ED294" s="637">
        <f t="shared" si="734"/>
        <v>62947.290011593497</v>
      </c>
      <c r="EE294" s="643">
        <f t="shared" si="735"/>
        <v>62947.290011593497</v>
      </c>
      <c r="EF294" s="637">
        <f t="shared" si="736"/>
        <v>0</v>
      </c>
      <c r="EG294" s="637">
        <f t="shared" si="737"/>
        <v>62947.290011593497</v>
      </c>
      <c r="EH294" s="637">
        <f t="shared" si="738"/>
        <v>62947.225071331399</v>
      </c>
      <c r="EI294" s="643">
        <f t="shared" si="739"/>
        <v>62947.225071331399</v>
      </c>
      <c r="EJ294" s="637">
        <f t="shared" si="740"/>
        <v>0</v>
      </c>
      <c r="EK294" s="637">
        <f t="shared" si="741"/>
        <v>62947.225071331399</v>
      </c>
      <c r="EL294" s="637">
        <f t="shared" si="742"/>
        <v>62947.225071331311</v>
      </c>
      <c r="EM294" s="643">
        <f t="shared" si="743"/>
        <v>62947.225071331311</v>
      </c>
      <c r="EN294" s="637">
        <f t="shared" si="744"/>
        <v>0</v>
      </c>
      <c r="EO294" s="637">
        <f t="shared" si="745"/>
        <v>62947.225071331311</v>
      </c>
      <c r="EP294" s="637">
        <f t="shared" si="746"/>
        <v>62947.225071331413</v>
      </c>
      <c r="EQ294" s="643">
        <f t="shared" si="747"/>
        <v>62947.225071331413</v>
      </c>
      <c r="ER294" s="637">
        <f t="shared" si="748"/>
        <v>0</v>
      </c>
      <c r="ES294" s="637">
        <f t="shared" si="749"/>
        <v>62947.225071331413</v>
      </c>
      <c r="ET294" s="637">
        <f t="shared" si="750"/>
        <v>62947.225071331311</v>
      </c>
      <c r="EU294" s="643">
        <f t="shared" si="723"/>
        <v>62947.225071331311</v>
      </c>
      <c r="EV294" s="643">
        <f t="shared" si="724"/>
        <v>0</v>
      </c>
      <c r="EX294" s="829">
        <f t="shared" si="725"/>
        <v>3735.0828458096803</v>
      </c>
      <c r="EY294" s="638">
        <f t="shared" si="726"/>
        <v>62947.225071331311</v>
      </c>
      <c r="FC294" s="830" t="str">
        <f t="shared" si="751"/>
        <v>Y</v>
      </c>
      <c r="FE294" s="830" t="str">
        <f>IFERROR(VLOOKUP($B294,'Historical Conc Grant Elig'!$B$3:$J$707,'HH &amp; SI'!FE$2,0),"N")</f>
        <v>Y</v>
      </c>
      <c r="FF294" s="830" t="str">
        <f>IFERROR(VLOOKUP($B294,'Historical Conc Grant Elig'!$B$3:$J$707,'HH &amp; SI'!FF$2,0),"N")</f>
        <v>Y</v>
      </c>
      <c r="FG294" s="830" t="str">
        <f>IFERROR(VLOOKUP($B294,'Historical Conc Grant Elig'!$B$3:$J$707,'HH &amp; SI'!FG$2,0),"N")</f>
        <v>Y</v>
      </c>
      <c r="FH294" s="830" t="str">
        <f>IFERROR(VLOOKUP($B294,'Historical Conc Grant Elig'!$B$3:$J$707,'HH &amp; SI'!FH$2,0),"N")</f>
        <v>Y</v>
      </c>
      <c r="FI294" s="830" t="str">
        <f>IFERROR(VLOOKUP($B294,'Historical Conc Grant Elig'!$B$3:$J$707,'HH &amp; SI'!FI$2,0),"N")</f>
        <v>Y</v>
      </c>
      <c r="FJ294" s="830" t="str">
        <f>IFERROR(VLOOKUP($B294,'Historical Conc Grant Elig'!$B$3:$J$707,'HH &amp; SI'!FJ$2,0),"N")</f>
        <v>Y</v>
      </c>
      <c r="FK294" s="830" t="str">
        <f>IFERROR(VLOOKUP($B294,'Historical Conc Grant Elig'!$B$3:$J$707,'HH &amp; SI'!FK$2,0),"N")</f>
        <v>Y</v>
      </c>
      <c r="FL294" s="957" t="str">
        <f>IFERROR(VLOOKUP($B294,'Historical Conc Grant Elig'!$B$3:$J$707,'HH &amp; SI'!FL$2,0),"N")</f>
        <v>Y</v>
      </c>
    </row>
    <row r="295" spans="2:168" x14ac:dyDescent="0.25">
      <c r="B295" s="634">
        <v>78967000</v>
      </c>
      <c r="C295" s="635" t="str">
        <f>VLOOKUP($B295,'Afton Update'!$A$5:$CR$582,'Afton Update'!D$589,0)</f>
        <v>All Aboard Charter School</v>
      </c>
      <c r="D295" s="636">
        <f>IFERROR(VLOOKUP($B295,'Afton FY16 Final'!$A$5:$BV$587,'Afton FY16 Final'!AQ$587,0),0)</f>
        <v>22056.119896283537</v>
      </c>
      <c r="E295" s="637">
        <f>IFERROR(VLOOKUP($B295,'Afton FY16 Final'!$A$5:$BV$587,'Afton FY16 Final'!AR$587,0),0)</f>
        <v>6052.2331477845482</v>
      </c>
      <c r="F295" s="637">
        <f>IFERROR(VLOOKUP($B295,'Afton FY16 Final'!$A$5:$BV$587,'Afton FY16 Final'!AS$587,0),0)</f>
        <v>11694.477021975836</v>
      </c>
      <c r="G295" s="637">
        <f>IFERROR(VLOOKUP($B295,'Afton FY16 Final'!$A$5:$BV$587,'Afton FY16 Final'!AT$587,0),0)</f>
        <v>11267.548111146214</v>
      </c>
      <c r="H295" s="638">
        <f>IFERROR(VLOOKUP($B295,'Afton FY16 Final'!$A$5:$BV$587,'Afton FY16 Final'!AU$587,0),0)</f>
        <v>51070.378177190134</v>
      </c>
      <c r="I295" s="639" t="str">
        <f>VLOOKUP($B295,'Afton Update'!$A$5:$CR$582,'Afton Update'!BT$589,0)</f>
        <v>Y</v>
      </c>
      <c r="J295" s="640" t="str">
        <f>VLOOKUP($B295,'Afton Update'!$A$5:$CR$582,'Afton Update'!BU$589,0)</f>
        <v>Y</v>
      </c>
      <c r="K295" s="640" t="str">
        <f>VLOOKUP($B295,'Afton Update'!$A$5:$CR$582,'Afton Update'!BV$589,0)</f>
        <v>Y</v>
      </c>
      <c r="L295" s="641" t="str">
        <f>VLOOKUP($B295,'Afton Update'!$A$5:$CR$582,'Afton Update'!BW$589,0)</f>
        <v>Y</v>
      </c>
      <c r="N295" s="642">
        <f>VLOOKUP($B295,'Afton Update'!$A$5:$CR$582,'Afton Update'!CB$589,0)</f>
        <v>0.95</v>
      </c>
      <c r="P295" s="636">
        <f>VLOOKUP($B295,'Afton Update'!$A$5:$CR$582,'Afton Update'!AH$589,0)</f>
        <v>24156.133330223354</v>
      </c>
      <c r="Q295" s="637">
        <f>VLOOKUP($B295,'Afton Update'!$A$5:$CR$582,'Afton Update'!AI$589,0)</f>
        <v>7126.2709093060985</v>
      </c>
      <c r="R295" s="637">
        <f>VLOOKUP($B295,'Afton Update'!$A$5:$CR$582,'Afton Update'!AJ$589,0)</f>
        <v>14163.007283347713</v>
      </c>
      <c r="S295" s="637">
        <f>VLOOKUP($B295,'Afton Update'!$A$5:$CR$582,'Afton Update'!AK$589,0)</f>
        <v>13183.899335126189</v>
      </c>
      <c r="T295" s="643">
        <f t="shared" si="752"/>
        <v>58629.310858003359</v>
      </c>
      <c r="V295" s="636">
        <f t="shared" si="778"/>
        <v>23826.627992730708</v>
      </c>
      <c r="W295" s="637">
        <f t="shared" si="779"/>
        <v>6891.5575998788509</v>
      </c>
      <c r="X295" s="637">
        <f t="shared" si="780"/>
        <v>14034.200261842778</v>
      </c>
      <c r="Y295" s="637">
        <f t="shared" si="781"/>
        <v>13038.636496684177</v>
      </c>
      <c r="Z295" s="643">
        <f t="shared" si="782"/>
        <v>57791.022351136518</v>
      </c>
      <c r="AB295" s="644">
        <f t="shared" si="753"/>
        <v>24156.133330223354</v>
      </c>
      <c r="AC295" s="645">
        <f t="shared" si="727"/>
        <v>20953.313901469359</v>
      </c>
      <c r="AD295" s="644">
        <f t="shared" si="783"/>
        <v>0</v>
      </c>
      <c r="AE295" s="645">
        <f t="shared" si="784"/>
        <v>24156.133330223354</v>
      </c>
      <c r="AF295" s="646">
        <f t="shared" si="785"/>
        <v>-299.43342547909617</v>
      </c>
      <c r="AG295" s="647">
        <f t="shared" si="786"/>
        <v>23856.699904744259</v>
      </c>
      <c r="AH295" s="644">
        <f t="shared" si="754"/>
        <v>0</v>
      </c>
      <c r="AI295" s="645">
        <f t="shared" si="755"/>
        <v>23856.699904744259</v>
      </c>
      <c r="AJ295" s="646">
        <f t="shared" si="787"/>
        <v>-30.052753290767736</v>
      </c>
      <c r="AK295" s="647">
        <f t="shared" si="756"/>
        <v>23826.64715145349</v>
      </c>
      <c r="AL295" s="644">
        <f t="shared" si="788"/>
        <v>0</v>
      </c>
      <c r="AM295" s="645">
        <f t="shared" si="789"/>
        <v>23826.64715145349</v>
      </c>
      <c r="AN295" s="646">
        <f t="shared" si="790"/>
        <v>-1.9158722780145555E-2</v>
      </c>
      <c r="AO295" s="647">
        <f t="shared" si="757"/>
        <v>23826.627992730708</v>
      </c>
      <c r="AP295" s="644">
        <f t="shared" si="791"/>
        <v>0</v>
      </c>
      <c r="AQ295" s="645">
        <f t="shared" si="792"/>
        <v>23826.627992730708</v>
      </c>
      <c r="AR295" s="646">
        <f t="shared" si="793"/>
        <v>0</v>
      </c>
      <c r="AS295" s="647">
        <f t="shared" si="758"/>
        <v>23826.627992730708</v>
      </c>
      <c r="AT295" s="644">
        <f t="shared" si="794"/>
        <v>0</v>
      </c>
      <c r="AU295" s="645">
        <f t="shared" si="795"/>
        <v>23826.627992730708</v>
      </c>
      <c r="AV295" s="646">
        <f t="shared" si="796"/>
        <v>0</v>
      </c>
      <c r="AW295" s="647">
        <f t="shared" si="759"/>
        <v>23826.627992730708</v>
      </c>
      <c r="AY295" s="644">
        <f t="shared" si="797"/>
        <v>7126.2709093060985</v>
      </c>
      <c r="AZ295" s="645">
        <f t="shared" si="728"/>
        <v>5749.6214903953205</v>
      </c>
      <c r="BA295" s="644">
        <f t="shared" si="798"/>
        <v>0</v>
      </c>
      <c r="BB295" s="645">
        <f t="shared" si="799"/>
        <v>7126.2709093060985</v>
      </c>
      <c r="BC295" s="646">
        <f t="shared" si="800"/>
        <v>-51.247090921117213</v>
      </c>
      <c r="BD295" s="647">
        <f t="shared" si="801"/>
        <v>7075.0238183849815</v>
      </c>
      <c r="BE295" s="644">
        <f t="shared" si="760"/>
        <v>0</v>
      </c>
      <c r="BF295" s="645">
        <f t="shared" si="761"/>
        <v>7075.0238183849815</v>
      </c>
      <c r="BG295" s="646">
        <f t="shared" si="802"/>
        <v>-168.52130162548104</v>
      </c>
      <c r="BH295" s="647">
        <f t="shared" si="762"/>
        <v>6906.5025167595004</v>
      </c>
      <c r="BI295" s="644">
        <f t="shared" si="803"/>
        <v>0</v>
      </c>
      <c r="BJ295" s="645">
        <f t="shared" si="804"/>
        <v>6906.5025167595004</v>
      </c>
      <c r="BK295" s="646">
        <f t="shared" si="805"/>
        <v>-14.629594474618505</v>
      </c>
      <c r="BL295" s="647">
        <f t="shared" si="763"/>
        <v>6891.8729222848815</v>
      </c>
      <c r="BM295" s="644">
        <f t="shared" si="806"/>
        <v>0</v>
      </c>
      <c r="BN295" s="645">
        <f t="shared" si="807"/>
        <v>6891.8729222848815</v>
      </c>
      <c r="BO295" s="646">
        <f t="shared" si="808"/>
        <v>-0.31532240603064604</v>
      </c>
      <c r="BP295" s="647">
        <f t="shared" si="764"/>
        <v>6891.5575998788509</v>
      </c>
      <c r="BQ295" s="644">
        <f t="shared" si="809"/>
        <v>0</v>
      </c>
      <c r="BR295" s="645">
        <f t="shared" si="810"/>
        <v>6891.5575998788509</v>
      </c>
      <c r="BS295" s="646">
        <f t="shared" si="811"/>
        <v>0</v>
      </c>
      <c r="BT295" s="647">
        <f t="shared" si="765"/>
        <v>6891.5575998788509</v>
      </c>
      <c r="BU295" s="662">
        <f>VLOOKUP(B295,'Afton Update'!$A$5:$AR$582,'Afton Update'!$AO$589,0)-BT295</f>
        <v>0</v>
      </c>
      <c r="BV295" s="644">
        <f t="shared" si="812"/>
        <v>14163.007283347713</v>
      </c>
      <c r="BW295" s="645">
        <f t="shared" si="729"/>
        <v>11109.753170877044</v>
      </c>
      <c r="BX295" s="644">
        <f t="shared" si="813"/>
        <v>0</v>
      </c>
      <c r="BY295" s="645">
        <f t="shared" si="814"/>
        <v>14163.007283347713</v>
      </c>
      <c r="BZ295" s="646">
        <f t="shared" si="815"/>
        <v>-124.31022072005517</v>
      </c>
      <c r="CA295" s="647">
        <f t="shared" si="816"/>
        <v>14038.697062627658</v>
      </c>
      <c r="CB295" s="644">
        <f t="shared" si="766"/>
        <v>0</v>
      </c>
      <c r="CC295" s="645">
        <f t="shared" si="767"/>
        <v>14038.697062627658</v>
      </c>
      <c r="CD295" s="646">
        <f t="shared" si="817"/>
        <v>-4.4968007848800635</v>
      </c>
      <c r="CE295" s="647">
        <f t="shared" si="768"/>
        <v>14034.200261842778</v>
      </c>
      <c r="CF295" s="644">
        <f t="shared" si="818"/>
        <v>0</v>
      </c>
      <c r="CG295" s="645">
        <f t="shared" si="819"/>
        <v>14034.200261842778</v>
      </c>
      <c r="CH295" s="646">
        <f t="shared" si="820"/>
        <v>0</v>
      </c>
      <c r="CI295" s="647">
        <f t="shared" si="769"/>
        <v>14034.200261842778</v>
      </c>
      <c r="CJ295" s="644">
        <f t="shared" si="821"/>
        <v>0</v>
      </c>
      <c r="CK295" s="645">
        <f t="shared" si="822"/>
        <v>14034.200261842778</v>
      </c>
      <c r="CL295" s="646">
        <f t="shared" si="823"/>
        <v>0</v>
      </c>
      <c r="CM295" s="647">
        <f t="shared" si="770"/>
        <v>14034.200261842778</v>
      </c>
      <c r="CN295" s="644">
        <f t="shared" si="824"/>
        <v>0</v>
      </c>
      <c r="CO295" s="645">
        <f t="shared" si="825"/>
        <v>14034.200261842778</v>
      </c>
      <c r="CP295" s="646">
        <f t="shared" si="826"/>
        <v>0</v>
      </c>
      <c r="CQ295" s="647">
        <f t="shared" si="771"/>
        <v>14034.200261842778</v>
      </c>
      <c r="CS295" s="644">
        <f t="shared" si="827"/>
        <v>13183.899335126189</v>
      </c>
      <c r="CT295" s="645">
        <f t="shared" si="730"/>
        <v>10704.170705588904</v>
      </c>
      <c r="CU295" s="644">
        <f t="shared" si="828"/>
        <v>0</v>
      </c>
      <c r="CV295" s="645">
        <f t="shared" si="829"/>
        <v>13183.899335126189</v>
      </c>
      <c r="CW295" s="646">
        <f t="shared" si="830"/>
        <v>-135.01057970293186</v>
      </c>
      <c r="CX295" s="647">
        <f t="shared" si="831"/>
        <v>13048.888755423257</v>
      </c>
      <c r="CY295" s="644">
        <f t="shared" si="772"/>
        <v>0</v>
      </c>
      <c r="CZ295" s="645">
        <f t="shared" si="773"/>
        <v>13048.888755423257</v>
      </c>
      <c r="DA295" s="646">
        <f t="shared" si="832"/>
        <v>-10.243425060806979</v>
      </c>
      <c r="DB295" s="647">
        <f t="shared" si="774"/>
        <v>13038.645330362449</v>
      </c>
      <c r="DC295" s="644">
        <f t="shared" si="833"/>
        <v>0</v>
      </c>
      <c r="DD295" s="645">
        <f t="shared" si="834"/>
        <v>13038.645330362449</v>
      </c>
      <c r="DE295" s="646">
        <f t="shared" si="835"/>
        <v>-8.8336782720713752E-3</v>
      </c>
      <c r="DF295" s="647">
        <f t="shared" si="775"/>
        <v>13038.636496684177</v>
      </c>
      <c r="DG295" s="644">
        <f t="shared" si="836"/>
        <v>0</v>
      </c>
      <c r="DH295" s="645">
        <f t="shared" si="837"/>
        <v>13038.636496684177</v>
      </c>
      <c r="DI295" s="646">
        <f t="shared" si="838"/>
        <v>0</v>
      </c>
      <c r="DJ295" s="647">
        <f t="shared" si="776"/>
        <v>13038.636496684177</v>
      </c>
      <c r="DK295" s="644">
        <f t="shared" si="839"/>
        <v>0</v>
      </c>
      <c r="DL295" s="645">
        <f t="shared" si="840"/>
        <v>13038.636496684177</v>
      </c>
      <c r="DM295" s="646">
        <f t="shared" si="841"/>
        <v>0</v>
      </c>
      <c r="DN295" s="647">
        <f t="shared" si="777"/>
        <v>13038.636496684177</v>
      </c>
      <c r="DR295" s="827">
        <f t="shared" si="731"/>
        <v>57791.022351136518</v>
      </c>
      <c r="DV295" s="828">
        <f>IFERROR(VLOOKUP($B295,'Afton FY16 Final'!$A$5:$BV$587,'Afton FY16 Final'!$BV$587,0),0)</f>
        <v>48857.710410918939</v>
      </c>
      <c r="DX295" s="636">
        <f t="shared" si="719"/>
        <v>57791.022351136518</v>
      </c>
      <c r="DY295" s="637">
        <f t="shared" si="720"/>
        <v>8933.3119402175798</v>
      </c>
      <c r="DZ295" s="637">
        <f t="shared" si="721"/>
        <v>48857.710410918939</v>
      </c>
      <c r="EA295" s="643">
        <f t="shared" si="722"/>
        <v>54717.187649215055</v>
      </c>
      <c r="EB295" s="637">
        <f t="shared" si="732"/>
        <v>0</v>
      </c>
      <c r="EC295" s="637">
        <f t="shared" si="733"/>
        <v>54717.187649215055</v>
      </c>
      <c r="ED295" s="637">
        <f t="shared" si="734"/>
        <v>54554.024262683954</v>
      </c>
      <c r="EE295" s="643">
        <f t="shared" si="735"/>
        <v>54554.024262683954</v>
      </c>
      <c r="EF295" s="637">
        <f t="shared" si="736"/>
        <v>0</v>
      </c>
      <c r="EG295" s="637">
        <f t="shared" si="737"/>
        <v>54554.024262683954</v>
      </c>
      <c r="EH295" s="637">
        <f t="shared" si="738"/>
        <v>54553.967981426526</v>
      </c>
      <c r="EI295" s="643">
        <f t="shared" si="739"/>
        <v>54553.967981426526</v>
      </c>
      <c r="EJ295" s="637">
        <f t="shared" si="740"/>
        <v>0</v>
      </c>
      <c r="EK295" s="637">
        <f t="shared" si="741"/>
        <v>54553.967981426526</v>
      </c>
      <c r="EL295" s="637">
        <f t="shared" si="742"/>
        <v>54553.967981426445</v>
      </c>
      <c r="EM295" s="643">
        <f t="shared" si="743"/>
        <v>54553.967981426445</v>
      </c>
      <c r="EN295" s="637">
        <f t="shared" si="744"/>
        <v>0</v>
      </c>
      <c r="EO295" s="637">
        <f t="shared" si="745"/>
        <v>54553.967981426445</v>
      </c>
      <c r="EP295" s="637">
        <f t="shared" si="746"/>
        <v>54553.967981426526</v>
      </c>
      <c r="EQ295" s="643">
        <f t="shared" si="747"/>
        <v>54553.967981426526</v>
      </c>
      <c r="ER295" s="637">
        <f t="shared" si="748"/>
        <v>0</v>
      </c>
      <c r="ES295" s="637">
        <f t="shared" si="749"/>
        <v>54553.967981426526</v>
      </c>
      <c r="ET295" s="637">
        <f t="shared" si="750"/>
        <v>54553.967981426438</v>
      </c>
      <c r="EU295" s="643">
        <f t="shared" si="723"/>
        <v>54553.967981426438</v>
      </c>
      <c r="EV295" s="643">
        <f t="shared" si="724"/>
        <v>0</v>
      </c>
      <c r="EX295" s="829">
        <f t="shared" si="725"/>
        <v>3237.0543697100802</v>
      </c>
      <c r="EY295" s="638">
        <f t="shared" si="726"/>
        <v>54553.967981426438</v>
      </c>
      <c r="FC295" s="830" t="str">
        <f t="shared" si="751"/>
        <v>Y</v>
      </c>
      <c r="FE295" s="830" t="str">
        <f>IFERROR(VLOOKUP($B295,'Historical Conc Grant Elig'!$B$3:$J$707,'HH &amp; SI'!FE$2,0),"N")</f>
        <v>Y</v>
      </c>
      <c r="FF295" s="830" t="str">
        <f>IFERROR(VLOOKUP($B295,'Historical Conc Grant Elig'!$B$3:$J$707,'HH &amp; SI'!FF$2,0),"N")</f>
        <v>Y</v>
      </c>
      <c r="FG295" s="830" t="str">
        <f>IFERROR(VLOOKUP($B295,'Historical Conc Grant Elig'!$B$3:$J$707,'HH &amp; SI'!FG$2,0),"N")</f>
        <v>Y</v>
      </c>
      <c r="FH295" s="830" t="str">
        <f>IFERROR(VLOOKUP($B295,'Historical Conc Grant Elig'!$B$3:$J$707,'HH &amp; SI'!FH$2,0),"N")</f>
        <v>Y</v>
      </c>
      <c r="FI295" s="830" t="str">
        <f>IFERROR(VLOOKUP($B295,'Historical Conc Grant Elig'!$B$3:$J$707,'HH &amp; SI'!FI$2,0),"N")</f>
        <v>Y</v>
      </c>
      <c r="FJ295" s="830" t="str">
        <f>IFERROR(VLOOKUP($B295,'Historical Conc Grant Elig'!$B$3:$J$707,'HH &amp; SI'!FJ$2,0),"N")</f>
        <v>Y</v>
      </c>
      <c r="FK295" s="830" t="str">
        <f>IFERROR(VLOOKUP($B295,'Historical Conc Grant Elig'!$B$3:$J$707,'HH &amp; SI'!FK$2,0),"N")</f>
        <v>Y</v>
      </c>
      <c r="FL295" s="957" t="str">
        <f>IFERROR(VLOOKUP($B295,'Historical Conc Grant Elig'!$B$3:$J$707,'HH &amp; SI'!FL$2,0),"N")</f>
        <v>Y</v>
      </c>
    </row>
    <row r="296" spans="2:168" x14ac:dyDescent="0.25">
      <c r="B296" s="634">
        <v>78968000</v>
      </c>
      <c r="C296" s="635" t="str">
        <f>VLOOKUP($B296,'Afton Update'!$A$5:$CR$582,'Afton Update'!D$589,0)</f>
        <v>LEAD Charter Schools</v>
      </c>
      <c r="D296" s="636">
        <f>IFERROR(VLOOKUP($B296,'Afton FY16 Final'!$A$5:$BV$587,'Afton FY16 Final'!AQ$587,0),0)</f>
        <v>52654.104508139942</v>
      </c>
      <c r="E296" s="637">
        <f>IFERROR(VLOOKUP($B296,'Afton FY16 Final'!$A$5:$BV$587,'Afton FY16 Final'!AR$587,0),0)</f>
        <v>12599.75828136888</v>
      </c>
      <c r="F296" s="637">
        <f>IFERROR(VLOOKUP($B296,'Afton FY16 Final'!$A$5:$BV$587,'Afton FY16 Final'!AS$587,0),0)</f>
        <v>28576.001020559201</v>
      </c>
      <c r="G296" s="637">
        <f>IFERROR(VLOOKUP($B296,'Afton FY16 Final'!$A$5:$BV$587,'Afton FY16 Final'!AT$587,0),0)</f>
        <v>23994.078148374672</v>
      </c>
      <c r="H296" s="638">
        <f>IFERROR(VLOOKUP($B296,'Afton FY16 Final'!$A$5:$BV$587,'Afton FY16 Final'!AU$587,0),0)</f>
        <v>117823.94195844269</v>
      </c>
      <c r="I296" s="639" t="str">
        <f>VLOOKUP($B296,'Afton Update'!$A$5:$CR$582,'Afton Update'!BT$589,0)</f>
        <v>Y</v>
      </c>
      <c r="J296" s="640" t="str">
        <f>VLOOKUP($B296,'Afton Update'!$A$5:$CR$582,'Afton Update'!BU$589,0)</f>
        <v>Y</v>
      </c>
      <c r="K296" s="640" t="str">
        <f>VLOOKUP($B296,'Afton Update'!$A$5:$CR$582,'Afton Update'!BV$589,0)</f>
        <v>Y</v>
      </c>
      <c r="L296" s="641" t="str">
        <f>VLOOKUP($B296,'Afton Update'!$A$5:$CR$582,'Afton Update'!BW$589,0)</f>
        <v>Y</v>
      </c>
      <c r="N296" s="642">
        <f>VLOOKUP($B296,'Afton Update'!$A$5:$CR$582,'Afton Update'!CB$589,0)</f>
        <v>0.9</v>
      </c>
      <c r="P296" s="636">
        <f>VLOOKUP($B296,'Afton Update'!$A$5:$CR$582,'Afton Update'!AH$589,0)</f>
        <v>60270.748507091928</v>
      </c>
      <c r="Q296" s="637">
        <f>VLOOKUP($B296,'Afton Update'!$A$5:$CR$582,'Afton Update'!AI$589,0)</f>
        <v>14594.715250868308</v>
      </c>
      <c r="R296" s="637">
        <f>VLOOKUP($B296,'Afton Update'!$A$5:$CR$582,'Afton Update'!AJ$589,0)</f>
        <v>35299.518791835297</v>
      </c>
      <c r="S296" s="637">
        <f>VLOOKUP($B296,'Afton Update'!$A$5:$CR$582,'Afton Update'!AK$589,0)</f>
        <v>32859.215067772515</v>
      </c>
      <c r="T296" s="643">
        <f t="shared" si="752"/>
        <v>143024.19761756805</v>
      </c>
      <c r="V296" s="636">
        <f t="shared" si="778"/>
        <v>59448.616377902363</v>
      </c>
      <c r="W296" s="637">
        <f t="shared" si="779"/>
        <v>14114.018690173962</v>
      </c>
      <c r="X296" s="637">
        <f t="shared" si="780"/>
        <v>34978.48345059956</v>
      </c>
      <c r="Y296" s="637">
        <f t="shared" si="781"/>
        <v>32497.16566733423</v>
      </c>
      <c r="Z296" s="643">
        <f t="shared" si="782"/>
        <v>141038.2841860101</v>
      </c>
      <c r="AB296" s="644">
        <f t="shared" si="753"/>
        <v>60270.748507091928</v>
      </c>
      <c r="AC296" s="645">
        <f t="shared" si="727"/>
        <v>47388.694057325949</v>
      </c>
      <c r="AD296" s="644">
        <f t="shared" si="783"/>
        <v>0</v>
      </c>
      <c r="AE296" s="645">
        <f t="shared" si="784"/>
        <v>60270.748507091928</v>
      </c>
      <c r="AF296" s="646">
        <f t="shared" si="785"/>
        <v>-747.10122000724982</v>
      </c>
      <c r="AG296" s="647">
        <f t="shared" si="786"/>
        <v>59523.647287084677</v>
      </c>
      <c r="AH296" s="644">
        <f t="shared" si="754"/>
        <v>0</v>
      </c>
      <c r="AI296" s="645">
        <f t="shared" si="755"/>
        <v>59523.647287084677</v>
      </c>
      <c r="AJ296" s="646">
        <f t="shared" si="787"/>
        <v>-74.983107220529391</v>
      </c>
      <c r="AK296" s="647">
        <f t="shared" si="756"/>
        <v>59448.66417986415</v>
      </c>
      <c r="AL296" s="644">
        <f t="shared" si="788"/>
        <v>0</v>
      </c>
      <c r="AM296" s="645">
        <f t="shared" si="789"/>
        <v>59448.66417986415</v>
      </c>
      <c r="AN296" s="646">
        <f t="shared" si="790"/>
        <v>-4.7801961788085941E-2</v>
      </c>
      <c r="AO296" s="647">
        <f t="shared" si="757"/>
        <v>59448.616377902363</v>
      </c>
      <c r="AP296" s="644">
        <f t="shared" si="791"/>
        <v>0</v>
      </c>
      <c r="AQ296" s="645">
        <f t="shared" si="792"/>
        <v>59448.616377902363</v>
      </c>
      <c r="AR296" s="646">
        <f t="shared" si="793"/>
        <v>0</v>
      </c>
      <c r="AS296" s="647">
        <f t="shared" si="758"/>
        <v>59448.616377902363</v>
      </c>
      <c r="AT296" s="644">
        <f t="shared" si="794"/>
        <v>0</v>
      </c>
      <c r="AU296" s="645">
        <f t="shared" si="795"/>
        <v>59448.616377902363</v>
      </c>
      <c r="AV296" s="646">
        <f t="shared" si="796"/>
        <v>0</v>
      </c>
      <c r="AW296" s="647">
        <f t="shared" si="759"/>
        <v>59448.616377902363</v>
      </c>
      <c r="AY296" s="644">
        <f t="shared" si="797"/>
        <v>14594.715250868308</v>
      </c>
      <c r="AZ296" s="645">
        <f t="shared" si="728"/>
        <v>11339.782453231992</v>
      </c>
      <c r="BA296" s="644">
        <f t="shared" si="798"/>
        <v>0</v>
      </c>
      <c r="BB296" s="645">
        <f t="shared" si="799"/>
        <v>14594.715250868308</v>
      </c>
      <c r="BC296" s="646">
        <f t="shared" si="800"/>
        <v>-104.95485071334349</v>
      </c>
      <c r="BD296" s="647">
        <f t="shared" si="801"/>
        <v>14489.760400154964</v>
      </c>
      <c r="BE296" s="644">
        <f t="shared" si="760"/>
        <v>0</v>
      </c>
      <c r="BF296" s="645">
        <f t="shared" si="761"/>
        <v>14489.760400154964</v>
      </c>
      <c r="BG296" s="646">
        <f t="shared" si="802"/>
        <v>-345.13428442886345</v>
      </c>
      <c r="BH296" s="647">
        <f t="shared" si="762"/>
        <v>14144.626115726101</v>
      </c>
      <c r="BI296" s="644">
        <f t="shared" si="803"/>
        <v>0</v>
      </c>
      <c r="BJ296" s="645">
        <f t="shared" si="804"/>
        <v>14144.626115726101</v>
      </c>
      <c r="BK296" s="646">
        <f t="shared" si="805"/>
        <v>-29.961640289861489</v>
      </c>
      <c r="BL296" s="647">
        <f t="shared" si="763"/>
        <v>14114.664475436241</v>
      </c>
      <c r="BM296" s="644">
        <f t="shared" si="806"/>
        <v>0</v>
      </c>
      <c r="BN296" s="645">
        <f t="shared" si="807"/>
        <v>14114.664475436241</v>
      </c>
      <c r="BO296" s="646">
        <f t="shared" si="808"/>
        <v>-0.64578526227879141</v>
      </c>
      <c r="BP296" s="647">
        <f t="shared" si="764"/>
        <v>14114.018690173962</v>
      </c>
      <c r="BQ296" s="644">
        <f t="shared" si="809"/>
        <v>0</v>
      </c>
      <c r="BR296" s="645">
        <f t="shared" si="810"/>
        <v>14114.018690173962</v>
      </c>
      <c r="BS296" s="646">
        <f t="shared" si="811"/>
        <v>0</v>
      </c>
      <c r="BT296" s="647">
        <f t="shared" si="765"/>
        <v>14114.018690173962</v>
      </c>
      <c r="BU296" s="662">
        <f>VLOOKUP(B296,'Afton Update'!$A$5:$AR$582,'Afton Update'!$AO$589,0)-BT296</f>
        <v>0</v>
      </c>
      <c r="BV296" s="644">
        <f t="shared" si="812"/>
        <v>35299.518791835297</v>
      </c>
      <c r="BW296" s="645">
        <f t="shared" si="729"/>
        <v>25718.400918503281</v>
      </c>
      <c r="BX296" s="644">
        <f t="shared" si="813"/>
        <v>0</v>
      </c>
      <c r="BY296" s="645">
        <f t="shared" si="814"/>
        <v>35299.518791835297</v>
      </c>
      <c r="BZ296" s="646">
        <f t="shared" si="815"/>
        <v>-309.82762943884944</v>
      </c>
      <c r="CA296" s="647">
        <f t="shared" si="816"/>
        <v>34989.691162396448</v>
      </c>
      <c r="CB296" s="644">
        <f t="shared" si="766"/>
        <v>0</v>
      </c>
      <c r="CC296" s="645">
        <f t="shared" si="767"/>
        <v>34989.691162396448</v>
      </c>
      <c r="CD296" s="646">
        <f t="shared" si="817"/>
        <v>-11.207711796889885</v>
      </c>
      <c r="CE296" s="647">
        <f t="shared" si="768"/>
        <v>34978.48345059956</v>
      </c>
      <c r="CF296" s="644">
        <f t="shared" si="818"/>
        <v>0</v>
      </c>
      <c r="CG296" s="645">
        <f t="shared" si="819"/>
        <v>34978.48345059956</v>
      </c>
      <c r="CH296" s="646">
        <f t="shared" si="820"/>
        <v>0</v>
      </c>
      <c r="CI296" s="647">
        <f t="shared" si="769"/>
        <v>34978.48345059956</v>
      </c>
      <c r="CJ296" s="644">
        <f t="shared" si="821"/>
        <v>0</v>
      </c>
      <c r="CK296" s="645">
        <f t="shared" si="822"/>
        <v>34978.48345059956</v>
      </c>
      <c r="CL296" s="646">
        <f t="shared" si="823"/>
        <v>0</v>
      </c>
      <c r="CM296" s="647">
        <f t="shared" si="770"/>
        <v>34978.48345059956</v>
      </c>
      <c r="CN296" s="644">
        <f t="shared" si="824"/>
        <v>0</v>
      </c>
      <c r="CO296" s="645">
        <f t="shared" si="825"/>
        <v>34978.48345059956</v>
      </c>
      <c r="CP296" s="646">
        <f t="shared" si="826"/>
        <v>0</v>
      </c>
      <c r="CQ296" s="647">
        <f t="shared" si="771"/>
        <v>34978.48345059956</v>
      </c>
      <c r="CS296" s="644">
        <f t="shared" si="827"/>
        <v>32859.215067772515</v>
      </c>
      <c r="CT296" s="645">
        <f t="shared" si="730"/>
        <v>21594.670333537204</v>
      </c>
      <c r="CU296" s="644">
        <f t="shared" si="828"/>
        <v>0</v>
      </c>
      <c r="CV296" s="645">
        <f t="shared" si="829"/>
        <v>32859.215067772515</v>
      </c>
      <c r="CW296" s="646">
        <f t="shared" si="830"/>
        <v>-336.49693175852957</v>
      </c>
      <c r="CX296" s="647">
        <f t="shared" si="831"/>
        <v>32522.718136013984</v>
      </c>
      <c r="CY296" s="644">
        <f t="shared" si="772"/>
        <v>0</v>
      </c>
      <c r="CZ296" s="645">
        <f t="shared" si="773"/>
        <v>32522.718136013984</v>
      </c>
      <c r="DA296" s="646">
        <f t="shared" si="832"/>
        <v>-25.530451844916609</v>
      </c>
      <c r="DB296" s="647">
        <f t="shared" si="774"/>
        <v>32497.187684169068</v>
      </c>
      <c r="DC296" s="644">
        <f t="shared" si="833"/>
        <v>0</v>
      </c>
      <c r="DD296" s="645">
        <f t="shared" si="834"/>
        <v>32497.187684169068</v>
      </c>
      <c r="DE296" s="646">
        <f t="shared" si="835"/>
        <v>-2.2016834837940164E-2</v>
      </c>
      <c r="DF296" s="647">
        <f t="shared" si="775"/>
        <v>32497.16566733423</v>
      </c>
      <c r="DG296" s="644">
        <f t="shared" si="836"/>
        <v>0</v>
      </c>
      <c r="DH296" s="645">
        <f t="shared" si="837"/>
        <v>32497.16566733423</v>
      </c>
      <c r="DI296" s="646">
        <f t="shared" si="838"/>
        <v>0</v>
      </c>
      <c r="DJ296" s="647">
        <f t="shared" si="776"/>
        <v>32497.16566733423</v>
      </c>
      <c r="DK296" s="644">
        <f t="shared" si="839"/>
        <v>0</v>
      </c>
      <c r="DL296" s="645">
        <f t="shared" si="840"/>
        <v>32497.16566733423</v>
      </c>
      <c r="DM296" s="646">
        <f t="shared" si="841"/>
        <v>0</v>
      </c>
      <c r="DN296" s="647">
        <f t="shared" si="777"/>
        <v>32497.16566733423</v>
      </c>
      <c r="DR296" s="827">
        <f t="shared" si="731"/>
        <v>141038.2841860101</v>
      </c>
      <c r="DV296" s="828">
        <f>IFERROR(VLOOKUP($B296,'Afton FY16 Final'!$A$5:$BV$587,'Afton FY16 Final'!$BV$587,0),0)</f>
        <v>104607.67507940231</v>
      </c>
      <c r="DX296" s="636">
        <f t="shared" si="719"/>
        <v>141038.2841860101</v>
      </c>
      <c r="DY296" s="637">
        <f t="shared" si="720"/>
        <v>36430.609106607793</v>
      </c>
      <c r="DZ296" s="637">
        <f t="shared" si="721"/>
        <v>104607.67507940231</v>
      </c>
      <c r="EA296" s="643">
        <f t="shared" si="722"/>
        <v>133536.62813991503</v>
      </c>
      <c r="EB296" s="637">
        <f t="shared" si="732"/>
        <v>0</v>
      </c>
      <c r="EC296" s="637">
        <f t="shared" si="733"/>
        <v>133536.62813991503</v>
      </c>
      <c r="ED296" s="637">
        <f t="shared" si="734"/>
        <v>133138.42988797024</v>
      </c>
      <c r="EE296" s="643">
        <f t="shared" si="735"/>
        <v>133138.42988797024</v>
      </c>
      <c r="EF296" s="637">
        <f t="shared" si="736"/>
        <v>0</v>
      </c>
      <c r="EG296" s="637">
        <f t="shared" si="737"/>
        <v>133138.42988797024</v>
      </c>
      <c r="EH296" s="637">
        <f t="shared" si="738"/>
        <v>133138.2925342489</v>
      </c>
      <c r="EI296" s="643">
        <f t="shared" si="739"/>
        <v>133138.2925342489</v>
      </c>
      <c r="EJ296" s="637">
        <f t="shared" si="740"/>
        <v>0</v>
      </c>
      <c r="EK296" s="637">
        <f t="shared" si="741"/>
        <v>133138.2925342489</v>
      </c>
      <c r="EL296" s="637">
        <f t="shared" si="742"/>
        <v>133138.29253424873</v>
      </c>
      <c r="EM296" s="643">
        <f t="shared" si="743"/>
        <v>133138.29253424873</v>
      </c>
      <c r="EN296" s="637">
        <f t="shared" si="744"/>
        <v>0</v>
      </c>
      <c r="EO296" s="637">
        <f t="shared" si="745"/>
        <v>133138.29253424873</v>
      </c>
      <c r="EP296" s="637">
        <f t="shared" si="746"/>
        <v>133138.29253424893</v>
      </c>
      <c r="EQ296" s="643">
        <f t="shared" si="747"/>
        <v>133138.29253424893</v>
      </c>
      <c r="ER296" s="637">
        <f t="shared" si="748"/>
        <v>0</v>
      </c>
      <c r="ES296" s="637">
        <f t="shared" si="749"/>
        <v>133138.29253424893</v>
      </c>
      <c r="ET296" s="637">
        <f t="shared" si="750"/>
        <v>133138.29253424873</v>
      </c>
      <c r="EU296" s="643">
        <f t="shared" si="723"/>
        <v>133138.29253424873</v>
      </c>
      <c r="EV296" s="643">
        <f t="shared" si="724"/>
        <v>0</v>
      </c>
      <c r="EX296" s="829">
        <f t="shared" si="725"/>
        <v>7899.9916517613747</v>
      </c>
      <c r="EY296" s="638">
        <f t="shared" si="726"/>
        <v>133138.29253424873</v>
      </c>
      <c r="FC296" s="830" t="str">
        <f t="shared" si="751"/>
        <v>Y</v>
      </c>
      <c r="FE296" s="830" t="str">
        <f>IFERROR(VLOOKUP($B296,'Historical Conc Grant Elig'!$B$3:$J$707,'HH &amp; SI'!FE$2,0),"N")</f>
        <v>Y</v>
      </c>
      <c r="FF296" s="830" t="str">
        <f>IFERROR(VLOOKUP($B296,'Historical Conc Grant Elig'!$B$3:$J$707,'HH &amp; SI'!FF$2,0),"N")</f>
        <v>Y</v>
      </c>
      <c r="FG296" s="830" t="str">
        <f>IFERROR(VLOOKUP($B296,'Historical Conc Grant Elig'!$B$3:$J$707,'HH &amp; SI'!FG$2,0),"N")</f>
        <v>Y</v>
      </c>
      <c r="FH296" s="830" t="str">
        <f>IFERROR(VLOOKUP($B296,'Historical Conc Grant Elig'!$B$3:$J$707,'HH &amp; SI'!FH$2,0),"N")</f>
        <v>Y</v>
      </c>
      <c r="FI296" s="830" t="str">
        <f>IFERROR(VLOOKUP($B296,'Historical Conc Grant Elig'!$B$3:$J$707,'HH &amp; SI'!FI$2,0),"N")</f>
        <v>Y</v>
      </c>
      <c r="FJ296" s="830" t="str">
        <f>IFERROR(VLOOKUP($B296,'Historical Conc Grant Elig'!$B$3:$J$707,'HH &amp; SI'!FJ$2,0),"N")</f>
        <v>Y</v>
      </c>
      <c r="FK296" s="830" t="str">
        <f>IFERROR(VLOOKUP($B296,'Historical Conc Grant Elig'!$B$3:$J$707,'HH &amp; SI'!FK$2,0),"N")</f>
        <v>Y</v>
      </c>
      <c r="FL296" s="957" t="str">
        <f>IFERROR(VLOOKUP($B296,'Historical Conc Grant Elig'!$B$3:$J$707,'HH &amp; SI'!FL$2,0),"N")</f>
        <v>Y</v>
      </c>
    </row>
    <row r="297" spans="2:168" x14ac:dyDescent="0.25">
      <c r="B297" s="634">
        <v>78971000</v>
      </c>
      <c r="C297" s="635" t="str">
        <f>VLOOKUP($B297,'Afton Update'!$A$5:$CR$582,'Afton Update'!D$589,0)</f>
        <v>Edkey  Inc. - AZ Conservatory for Arts and Academics</v>
      </c>
      <c r="D297" s="636">
        <f>IFERROR(VLOOKUP($B297,'Afton FY16 Final'!$A$5:$BV$587,'Afton FY16 Final'!AQ$587,0),0)</f>
        <v>59293.98210181827</v>
      </c>
      <c r="E297" s="637">
        <f>IFERROR(VLOOKUP($B297,'Afton FY16 Final'!$A$5:$BV$587,'Afton FY16 Final'!AR$587,0),0)</f>
        <v>13947.778161812716</v>
      </c>
      <c r="F297" s="637">
        <f>IFERROR(VLOOKUP($B297,'Afton FY16 Final'!$A$5:$BV$587,'Afton FY16 Final'!AS$587,0),0)</f>
        <v>32179.540586292536</v>
      </c>
      <c r="G297" s="637">
        <f>IFERROR(VLOOKUP($B297,'Afton FY16 Final'!$A$5:$BV$587,'Afton FY16 Final'!AT$587,0),0)</f>
        <v>27019.820269840828</v>
      </c>
      <c r="H297" s="638">
        <f>IFERROR(VLOOKUP($B297,'Afton FY16 Final'!$A$5:$BV$587,'Afton FY16 Final'!AU$587,0),0)</f>
        <v>132441.12111976434</v>
      </c>
      <c r="I297" s="639" t="str">
        <f>VLOOKUP($B297,'Afton Update'!$A$5:$CR$582,'Afton Update'!BT$589,0)</f>
        <v>Y</v>
      </c>
      <c r="J297" s="640" t="str">
        <f>VLOOKUP($B297,'Afton Update'!$A$5:$CR$582,'Afton Update'!BU$589,0)</f>
        <v>Y</v>
      </c>
      <c r="K297" s="640" t="str">
        <f>VLOOKUP($B297,'Afton Update'!$A$5:$CR$582,'Afton Update'!BV$589,0)</f>
        <v>Y</v>
      </c>
      <c r="L297" s="641" t="str">
        <f>VLOOKUP($B297,'Afton Update'!$A$5:$CR$582,'Afton Update'!BW$589,0)</f>
        <v>Y</v>
      </c>
      <c r="N297" s="642">
        <f>VLOOKUP($B297,'Afton Update'!$A$5:$CR$582,'Afton Update'!CB$589,0)</f>
        <v>0.9</v>
      </c>
      <c r="P297" s="636">
        <f>VLOOKUP($B297,'Afton Update'!$A$5:$CR$582,'Afton Update'!AH$589,0)</f>
        <v>48312.266660446709</v>
      </c>
      <c r="Q297" s="637">
        <f>VLOOKUP($B297,'Afton Update'!$A$5:$CR$582,'Afton Update'!AI$589,0)</f>
        <v>12121.720435781484</v>
      </c>
      <c r="R297" s="637">
        <f>VLOOKUP($B297,'Afton Update'!$A$5:$CR$582,'Afton Update'!AJ$589,0)</f>
        <v>28300.673921475165</v>
      </c>
      <c r="S297" s="637">
        <f>VLOOKUP($B297,'Afton Update'!$A$5:$CR$582,'Afton Update'!AK$589,0)</f>
        <v>26344.209858286973</v>
      </c>
      <c r="T297" s="643">
        <f t="shared" si="752"/>
        <v>115078.87087599034</v>
      </c>
      <c r="V297" s="636">
        <f t="shared" si="778"/>
        <v>53364.583891636445</v>
      </c>
      <c r="W297" s="637">
        <f t="shared" si="779"/>
        <v>12553.000345631444</v>
      </c>
      <c r="X297" s="637">
        <f t="shared" si="780"/>
        <v>28961.586527663283</v>
      </c>
      <c r="Y297" s="637">
        <f t="shared" si="781"/>
        <v>26053.944087648779</v>
      </c>
      <c r="Z297" s="643">
        <f t="shared" si="782"/>
        <v>120933.11485257995</v>
      </c>
      <c r="AB297" s="644">
        <f t="shared" si="753"/>
        <v>48312.266660446709</v>
      </c>
      <c r="AC297" s="645">
        <f t="shared" si="727"/>
        <v>53364.583891636445</v>
      </c>
      <c r="AD297" s="644">
        <f t="shared" si="783"/>
        <v>5052.317231189736</v>
      </c>
      <c r="AE297" s="645">
        <f t="shared" si="784"/>
        <v>0</v>
      </c>
      <c r="AF297" s="646">
        <f t="shared" si="785"/>
        <v>0</v>
      </c>
      <c r="AG297" s="647">
        <f t="shared" si="786"/>
        <v>53364.583891636445</v>
      </c>
      <c r="AH297" s="644">
        <f t="shared" si="754"/>
        <v>0</v>
      </c>
      <c r="AI297" s="645">
        <f t="shared" si="755"/>
        <v>0</v>
      </c>
      <c r="AJ297" s="646">
        <f t="shared" si="787"/>
        <v>0</v>
      </c>
      <c r="AK297" s="647">
        <f t="shared" si="756"/>
        <v>53364.583891636445</v>
      </c>
      <c r="AL297" s="644">
        <f t="shared" si="788"/>
        <v>0</v>
      </c>
      <c r="AM297" s="645">
        <f t="shared" si="789"/>
        <v>0</v>
      </c>
      <c r="AN297" s="646">
        <f t="shared" si="790"/>
        <v>0</v>
      </c>
      <c r="AO297" s="647">
        <f t="shared" si="757"/>
        <v>53364.583891636445</v>
      </c>
      <c r="AP297" s="644">
        <f t="shared" si="791"/>
        <v>0</v>
      </c>
      <c r="AQ297" s="645">
        <f t="shared" si="792"/>
        <v>0</v>
      </c>
      <c r="AR297" s="646">
        <f t="shared" si="793"/>
        <v>0</v>
      </c>
      <c r="AS297" s="647">
        <f t="shared" si="758"/>
        <v>53364.583891636445</v>
      </c>
      <c r="AT297" s="644">
        <f t="shared" si="794"/>
        <v>0</v>
      </c>
      <c r="AU297" s="645">
        <f t="shared" si="795"/>
        <v>0</v>
      </c>
      <c r="AV297" s="646">
        <f t="shared" si="796"/>
        <v>0</v>
      </c>
      <c r="AW297" s="647">
        <f t="shared" si="759"/>
        <v>53364.583891636445</v>
      </c>
      <c r="AY297" s="644">
        <f t="shared" si="797"/>
        <v>12121.720435781484</v>
      </c>
      <c r="AZ297" s="645">
        <f t="shared" si="728"/>
        <v>12553.000345631444</v>
      </c>
      <c r="BA297" s="644">
        <f t="shared" si="798"/>
        <v>431.27990984995995</v>
      </c>
      <c r="BB297" s="645">
        <f t="shared" si="799"/>
        <v>0</v>
      </c>
      <c r="BC297" s="646">
        <f t="shared" si="800"/>
        <v>0</v>
      </c>
      <c r="BD297" s="647">
        <f t="shared" si="801"/>
        <v>12553.000345631444</v>
      </c>
      <c r="BE297" s="644">
        <f t="shared" si="760"/>
        <v>0</v>
      </c>
      <c r="BF297" s="645">
        <f t="shared" si="761"/>
        <v>0</v>
      </c>
      <c r="BG297" s="646">
        <f t="shared" si="802"/>
        <v>0</v>
      </c>
      <c r="BH297" s="647">
        <f t="shared" si="762"/>
        <v>12553.000345631444</v>
      </c>
      <c r="BI297" s="644">
        <f t="shared" si="803"/>
        <v>0</v>
      </c>
      <c r="BJ297" s="645">
        <f t="shared" si="804"/>
        <v>0</v>
      </c>
      <c r="BK297" s="646">
        <f t="shared" si="805"/>
        <v>0</v>
      </c>
      <c r="BL297" s="647">
        <f t="shared" si="763"/>
        <v>12553.000345631444</v>
      </c>
      <c r="BM297" s="644">
        <f t="shared" si="806"/>
        <v>0</v>
      </c>
      <c r="BN297" s="645">
        <f t="shared" si="807"/>
        <v>0</v>
      </c>
      <c r="BO297" s="646">
        <f t="shared" si="808"/>
        <v>0</v>
      </c>
      <c r="BP297" s="647">
        <f t="shared" si="764"/>
        <v>12553.000345631444</v>
      </c>
      <c r="BQ297" s="644">
        <f t="shared" si="809"/>
        <v>0</v>
      </c>
      <c r="BR297" s="645">
        <f t="shared" si="810"/>
        <v>0</v>
      </c>
      <c r="BS297" s="646">
        <f t="shared" si="811"/>
        <v>0</v>
      </c>
      <c r="BT297" s="647">
        <f t="shared" si="765"/>
        <v>12553.000345631444</v>
      </c>
      <c r="BU297" s="662">
        <f>VLOOKUP(B297,'Afton Update'!$A$5:$AR$582,'Afton Update'!$AO$589,0)-BT297</f>
        <v>0</v>
      </c>
      <c r="BV297" s="644">
        <f t="shared" si="812"/>
        <v>28300.673921475165</v>
      </c>
      <c r="BW297" s="645">
        <f t="shared" si="729"/>
        <v>28961.586527663283</v>
      </c>
      <c r="BX297" s="644">
        <f t="shared" si="813"/>
        <v>660.91260618811793</v>
      </c>
      <c r="BY297" s="645">
        <f t="shared" si="814"/>
        <v>0</v>
      </c>
      <c r="BZ297" s="646">
        <f t="shared" si="815"/>
        <v>0</v>
      </c>
      <c r="CA297" s="647">
        <f t="shared" si="816"/>
        <v>28961.586527663283</v>
      </c>
      <c r="CB297" s="644">
        <f t="shared" si="766"/>
        <v>0</v>
      </c>
      <c r="CC297" s="645">
        <f t="shared" si="767"/>
        <v>0</v>
      </c>
      <c r="CD297" s="646">
        <f t="shared" si="817"/>
        <v>0</v>
      </c>
      <c r="CE297" s="647">
        <f t="shared" si="768"/>
        <v>28961.586527663283</v>
      </c>
      <c r="CF297" s="644">
        <f t="shared" si="818"/>
        <v>0</v>
      </c>
      <c r="CG297" s="645">
        <f t="shared" si="819"/>
        <v>0</v>
      </c>
      <c r="CH297" s="646">
        <f t="shared" si="820"/>
        <v>0</v>
      </c>
      <c r="CI297" s="647">
        <f t="shared" si="769"/>
        <v>28961.586527663283</v>
      </c>
      <c r="CJ297" s="644">
        <f t="shared" si="821"/>
        <v>0</v>
      </c>
      <c r="CK297" s="645">
        <f t="shared" si="822"/>
        <v>0</v>
      </c>
      <c r="CL297" s="646">
        <f t="shared" si="823"/>
        <v>0</v>
      </c>
      <c r="CM297" s="647">
        <f t="shared" si="770"/>
        <v>28961.586527663283</v>
      </c>
      <c r="CN297" s="644">
        <f t="shared" si="824"/>
        <v>0</v>
      </c>
      <c r="CO297" s="645">
        <f t="shared" si="825"/>
        <v>0</v>
      </c>
      <c r="CP297" s="646">
        <f t="shared" si="826"/>
        <v>0</v>
      </c>
      <c r="CQ297" s="647">
        <f t="shared" si="771"/>
        <v>28961.586527663283</v>
      </c>
      <c r="CS297" s="644">
        <f t="shared" si="827"/>
        <v>26344.209858286973</v>
      </c>
      <c r="CT297" s="645">
        <f t="shared" si="730"/>
        <v>24317.838242856746</v>
      </c>
      <c r="CU297" s="644">
        <f t="shared" si="828"/>
        <v>0</v>
      </c>
      <c r="CV297" s="645">
        <f t="shared" si="829"/>
        <v>26344.209858286973</v>
      </c>
      <c r="CW297" s="646">
        <f t="shared" si="830"/>
        <v>-269.7795966407819</v>
      </c>
      <c r="CX297" s="647">
        <f t="shared" si="831"/>
        <v>26074.43026164619</v>
      </c>
      <c r="CY297" s="644">
        <f t="shared" si="772"/>
        <v>0</v>
      </c>
      <c r="CZ297" s="645">
        <f t="shared" si="773"/>
        <v>26074.43026164619</v>
      </c>
      <c r="DA297" s="646">
        <f t="shared" si="832"/>
        <v>-20.468522446204808</v>
      </c>
      <c r="DB297" s="647">
        <f t="shared" si="774"/>
        <v>26053.961739199985</v>
      </c>
      <c r="DC297" s="644">
        <f t="shared" si="833"/>
        <v>0</v>
      </c>
      <c r="DD297" s="645">
        <f t="shared" si="834"/>
        <v>26053.961739199985</v>
      </c>
      <c r="DE297" s="646">
        <f t="shared" si="835"/>
        <v>-1.7651551206857782E-2</v>
      </c>
      <c r="DF297" s="647">
        <f t="shared" si="775"/>
        <v>26053.944087648779</v>
      </c>
      <c r="DG297" s="644">
        <f t="shared" si="836"/>
        <v>0</v>
      </c>
      <c r="DH297" s="645">
        <f t="shared" si="837"/>
        <v>26053.944087648779</v>
      </c>
      <c r="DI297" s="646">
        <f t="shared" si="838"/>
        <v>0</v>
      </c>
      <c r="DJ297" s="647">
        <f t="shared" si="776"/>
        <v>26053.944087648779</v>
      </c>
      <c r="DK297" s="644">
        <f t="shared" si="839"/>
        <v>0</v>
      </c>
      <c r="DL297" s="645">
        <f t="shared" si="840"/>
        <v>26053.944087648779</v>
      </c>
      <c r="DM297" s="646">
        <f t="shared" si="841"/>
        <v>0</v>
      </c>
      <c r="DN297" s="647">
        <f t="shared" si="777"/>
        <v>26053.944087648779</v>
      </c>
      <c r="DR297" s="827">
        <f t="shared" si="731"/>
        <v>120933.11485257995</v>
      </c>
      <c r="DV297" s="828">
        <f>IFERROR(VLOOKUP($B297,'Afton FY16 Final'!$A$5:$BV$587,'Afton FY16 Final'!$BV$587,0),0)</f>
        <v>117585.25079847188</v>
      </c>
      <c r="DX297" s="636">
        <f t="shared" si="719"/>
        <v>120933.11485257995</v>
      </c>
      <c r="DY297" s="637">
        <f t="shared" si="720"/>
        <v>3347.8640541080676</v>
      </c>
      <c r="DZ297" s="637">
        <f t="shared" si="721"/>
        <v>117585.25079847188</v>
      </c>
      <c r="EA297" s="643">
        <f t="shared" si="722"/>
        <v>114500.8284883294</v>
      </c>
      <c r="EB297" s="637">
        <f t="shared" si="732"/>
        <v>117585.25079847188</v>
      </c>
      <c r="EC297" s="637">
        <f t="shared" si="733"/>
        <v>0</v>
      </c>
      <c r="ED297" s="637">
        <f t="shared" si="734"/>
        <v>0</v>
      </c>
      <c r="EE297" s="643">
        <f t="shared" si="735"/>
        <v>117585.25079847188</v>
      </c>
      <c r="EF297" s="637">
        <f t="shared" si="736"/>
        <v>0</v>
      </c>
      <c r="EG297" s="637">
        <f t="shared" si="737"/>
        <v>0</v>
      </c>
      <c r="EH297" s="637">
        <f t="shared" si="738"/>
        <v>0</v>
      </c>
      <c r="EI297" s="643">
        <f t="shared" si="739"/>
        <v>117585.25079847188</v>
      </c>
      <c r="EJ297" s="637">
        <f t="shared" si="740"/>
        <v>0</v>
      </c>
      <c r="EK297" s="637">
        <f t="shared" si="741"/>
        <v>0</v>
      </c>
      <c r="EL297" s="637">
        <f t="shared" si="742"/>
        <v>0</v>
      </c>
      <c r="EM297" s="643">
        <f t="shared" si="743"/>
        <v>117585.25079847188</v>
      </c>
      <c r="EN297" s="637">
        <f t="shared" si="744"/>
        <v>0</v>
      </c>
      <c r="EO297" s="637">
        <f t="shared" si="745"/>
        <v>0</v>
      </c>
      <c r="EP297" s="637">
        <f t="shared" si="746"/>
        <v>0</v>
      </c>
      <c r="EQ297" s="643">
        <f t="shared" si="747"/>
        <v>117585.25079847188</v>
      </c>
      <c r="ER297" s="637">
        <f t="shared" si="748"/>
        <v>0</v>
      </c>
      <c r="ES297" s="637">
        <f t="shared" si="749"/>
        <v>0</v>
      </c>
      <c r="ET297" s="637">
        <f t="shared" si="750"/>
        <v>0</v>
      </c>
      <c r="EU297" s="643">
        <f t="shared" si="723"/>
        <v>117585.25079847188</v>
      </c>
      <c r="EV297" s="643">
        <f t="shared" si="724"/>
        <v>0</v>
      </c>
      <c r="EX297" s="829">
        <f t="shared" si="725"/>
        <v>3347.8640541080676</v>
      </c>
      <c r="EY297" s="638">
        <f t="shared" si="726"/>
        <v>117585.25079847188</v>
      </c>
      <c r="FC297" s="830" t="str">
        <f t="shared" si="751"/>
        <v>Y</v>
      </c>
      <c r="FE297" s="830" t="str">
        <f>IFERROR(VLOOKUP($B297,'Historical Conc Grant Elig'!$B$3:$J$707,'HH &amp; SI'!FE$2,0),"N")</f>
        <v>N</v>
      </c>
      <c r="FF297" s="830" t="str">
        <f>IFERROR(VLOOKUP($B297,'Historical Conc Grant Elig'!$B$3:$J$707,'HH &amp; SI'!FF$2,0),"N")</f>
        <v>N</v>
      </c>
      <c r="FG297" s="830" t="str">
        <f>IFERROR(VLOOKUP($B297,'Historical Conc Grant Elig'!$B$3:$J$707,'HH &amp; SI'!FG$2,0),"N")</f>
        <v>N</v>
      </c>
      <c r="FH297" s="830" t="str">
        <f>IFERROR(VLOOKUP($B297,'Historical Conc Grant Elig'!$B$3:$J$707,'HH &amp; SI'!FH$2,0),"N")</f>
        <v>Y</v>
      </c>
      <c r="FI297" s="830" t="str">
        <f>IFERROR(VLOOKUP($B297,'Historical Conc Grant Elig'!$B$3:$J$707,'HH &amp; SI'!FI$2,0),"N")</f>
        <v>Y</v>
      </c>
      <c r="FJ297" s="830" t="str">
        <f>IFERROR(VLOOKUP($B297,'Historical Conc Grant Elig'!$B$3:$J$707,'HH &amp; SI'!FJ$2,0),"N")</f>
        <v>Y</v>
      </c>
      <c r="FK297" s="830" t="str">
        <f>IFERROR(VLOOKUP($B297,'Historical Conc Grant Elig'!$B$3:$J$707,'HH &amp; SI'!FK$2,0),"N")</f>
        <v>Y</v>
      </c>
      <c r="FL297" s="957" t="str">
        <f>IFERROR(VLOOKUP($B297,'Historical Conc Grant Elig'!$B$3:$J$707,'HH &amp; SI'!FL$2,0),"N")</f>
        <v>Y</v>
      </c>
    </row>
    <row r="298" spans="2:168" x14ac:dyDescent="0.25">
      <c r="B298" s="634">
        <v>78972000</v>
      </c>
      <c r="C298" s="635" t="str">
        <f>VLOOKUP($B298,'Afton Update'!$A$5:$CR$582,'Afton Update'!D$589,0)</f>
        <v>Bell Canyon Charter School  Inc</v>
      </c>
      <c r="D298" s="636">
        <f>IFERROR(VLOOKUP($B298,'Afton FY16 Final'!$A$5:$BV$587,'Afton FY16 Final'!AQ$587,0),0)</f>
        <v>66352.836034918</v>
      </c>
      <c r="E298" s="637">
        <f>IFERROR(VLOOKUP($B298,'Afton FY16 Final'!$A$5:$BV$587,'Afton FY16 Final'!AR$587,0),0)</f>
        <v>14766.218803510756</v>
      </c>
      <c r="F298" s="637">
        <f>IFERROR(VLOOKUP($B298,'Afton FY16 Final'!$A$5:$BV$587,'Afton FY16 Final'!AS$587,0),0)</f>
        <v>35181.243119921011</v>
      </c>
      <c r="G298" s="637">
        <f>IFERROR(VLOOKUP($B298,'Afton FY16 Final'!$A$5:$BV$587,'Afton FY16 Final'!AT$587,0),0)</f>
        <v>33896.885574167136</v>
      </c>
      <c r="H298" s="638">
        <f>IFERROR(VLOOKUP($B298,'Afton FY16 Final'!$A$5:$BV$587,'Afton FY16 Final'!AU$587,0),0)</f>
        <v>150197.18353251691</v>
      </c>
      <c r="I298" s="639" t="str">
        <f>VLOOKUP($B298,'Afton Update'!$A$5:$CR$582,'Afton Update'!BT$589,0)</f>
        <v>Y</v>
      </c>
      <c r="J298" s="640" t="str">
        <f>VLOOKUP($B298,'Afton Update'!$A$5:$CR$582,'Afton Update'!BU$589,0)</f>
        <v>Y</v>
      </c>
      <c r="K298" s="640" t="str">
        <f>VLOOKUP($B298,'Afton Update'!$A$5:$CR$582,'Afton Update'!BV$589,0)</f>
        <v>Y</v>
      </c>
      <c r="L298" s="641" t="str">
        <f>VLOOKUP($B298,'Afton Update'!$A$5:$CR$582,'Afton Update'!BW$589,0)</f>
        <v>Y</v>
      </c>
      <c r="N298" s="642">
        <f>VLOOKUP($B298,'Afton Update'!$A$5:$CR$582,'Afton Update'!CB$589,0)</f>
        <v>0.95</v>
      </c>
      <c r="P298" s="636">
        <f>VLOOKUP($B298,'Afton Update'!$A$5:$CR$582,'Afton Update'!AH$589,0)</f>
        <v>59314.069959360306</v>
      </c>
      <c r="Q298" s="637">
        <f>VLOOKUP($B298,'Afton Update'!$A$5:$CR$582,'Afton Update'!AI$589,0)</f>
        <v>14396.875665661362</v>
      </c>
      <c r="R298" s="637">
        <f>VLOOKUP($B298,'Afton Update'!$A$5:$CR$582,'Afton Update'!AJ$589,0)</f>
        <v>34739.611202206477</v>
      </c>
      <c r="S298" s="637">
        <f>VLOOKUP($B298,'Afton Update'!$A$5:$CR$582,'Afton Update'!AK$589,0)</f>
        <v>32338.014651013666</v>
      </c>
      <c r="T298" s="643">
        <f t="shared" si="752"/>
        <v>140788.57147824182</v>
      </c>
      <c r="V298" s="636">
        <f t="shared" si="778"/>
        <v>63035.1942331721</v>
      </c>
      <c r="W298" s="637">
        <f t="shared" si="779"/>
        <v>14027.907863335216</v>
      </c>
      <c r="X298" s="637">
        <f t="shared" si="780"/>
        <v>34423.668001890757</v>
      </c>
      <c r="Y298" s="637">
        <f t="shared" si="781"/>
        <v>32202.041295458777</v>
      </c>
      <c r="Z298" s="643">
        <f t="shared" si="782"/>
        <v>143688.81139385683</v>
      </c>
      <c r="AB298" s="644">
        <f t="shared" si="753"/>
        <v>59314.069959360306</v>
      </c>
      <c r="AC298" s="645">
        <f t="shared" si="727"/>
        <v>63035.1942331721</v>
      </c>
      <c r="AD298" s="644">
        <f t="shared" si="783"/>
        <v>3721.1242738117944</v>
      </c>
      <c r="AE298" s="645">
        <f t="shared" si="784"/>
        <v>0</v>
      </c>
      <c r="AF298" s="646">
        <f t="shared" si="785"/>
        <v>0</v>
      </c>
      <c r="AG298" s="647">
        <f t="shared" si="786"/>
        <v>63035.1942331721</v>
      </c>
      <c r="AH298" s="644">
        <f t="shared" si="754"/>
        <v>0</v>
      </c>
      <c r="AI298" s="645">
        <f t="shared" si="755"/>
        <v>0</v>
      </c>
      <c r="AJ298" s="646">
        <f t="shared" si="787"/>
        <v>0</v>
      </c>
      <c r="AK298" s="647">
        <f t="shared" si="756"/>
        <v>63035.1942331721</v>
      </c>
      <c r="AL298" s="644">
        <f t="shared" si="788"/>
        <v>0</v>
      </c>
      <c r="AM298" s="645">
        <f t="shared" si="789"/>
        <v>0</v>
      </c>
      <c r="AN298" s="646">
        <f t="shared" si="790"/>
        <v>0</v>
      </c>
      <c r="AO298" s="647">
        <f t="shared" si="757"/>
        <v>63035.1942331721</v>
      </c>
      <c r="AP298" s="644">
        <f t="shared" si="791"/>
        <v>0</v>
      </c>
      <c r="AQ298" s="645">
        <f t="shared" si="792"/>
        <v>0</v>
      </c>
      <c r="AR298" s="646">
        <f t="shared" si="793"/>
        <v>0</v>
      </c>
      <c r="AS298" s="647">
        <f t="shared" si="758"/>
        <v>63035.1942331721</v>
      </c>
      <c r="AT298" s="644">
        <f t="shared" si="794"/>
        <v>0</v>
      </c>
      <c r="AU298" s="645">
        <f t="shared" si="795"/>
        <v>0</v>
      </c>
      <c r="AV298" s="646">
        <f t="shared" si="796"/>
        <v>0</v>
      </c>
      <c r="AW298" s="647">
        <f t="shared" si="759"/>
        <v>63035.1942331721</v>
      </c>
      <c r="AY298" s="644">
        <f t="shared" si="797"/>
        <v>14396.875665661362</v>
      </c>
      <c r="AZ298" s="645">
        <f t="shared" si="728"/>
        <v>14027.907863335216</v>
      </c>
      <c r="BA298" s="644">
        <f t="shared" si="798"/>
        <v>0</v>
      </c>
      <c r="BB298" s="645">
        <f t="shared" si="799"/>
        <v>14396.875665661362</v>
      </c>
      <c r="BC298" s="646">
        <f t="shared" si="800"/>
        <v>-103.53212859964214</v>
      </c>
      <c r="BD298" s="647">
        <f t="shared" si="801"/>
        <v>14293.343537061721</v>
      </c>
      <c r="BE298" s="644">
        <f t="shared" si="760"/>
        <v>0</v>
      </c>
      <c r="BF298" s="645">
        <f t="shared" si="761"/>
        <v>14293.343537061721</v>
      </c>
      <c r="BG298" s="646">
        <f t="shared" si="802"/>
        <v>-340.45579481817782</v>
      </c>
      <c r="BH298" s="647">
        <f t="shared" si="762"/>
        <v>13952.887742243543</v>
      </c>
      <c r="BI298" s="644">
        <f t="shared" si="803"/>
        <v>-75.020121091672991</v>
      </c>
      <c r="BJ298" s="645">
        <f t="shared" si="804"/>
        <v>0</v>
      </c>
      <c r="BK298" s="646">
        <f t="shared" si="805"/>
        <v>0</v>
      </c>
      <c r="BL298" s="647">
        <f t="shared" si="763"/>
        <v>14027.907863335216</v>
      </c>
      <c r="BM298" s="644">
        <f t="shared" si="806"/>
        <v>0</v>
      </c>
      <c r="BN298" s="645">
        <f t="shared" si="807"/>
        <v>0</v>
      </c>
      <c r="BO298" s="646">
        <f t="shared" si="808"/>
        <v>0</v>
      </c>
      <c r="BP298" s="647">
        <f t="shared" si="764"/>
        <v>14027.907863335216</v>
      </c>
      <c r="BQ298" s="644">
        <f t="shared" si="809"/>
        <v>0</v>
      </c>
      <c r="BR298" s="645">
        <f t="shared" si="810"/>
        <v>0</v>
      </c>
      <c r="BS298" s="646">
        <f t="shared" si="811"/>
        <v>0</v>
      </c>
      <c r="BT298" s="647">
        <f t="shared" si="765"/>
        <v>14027.907863335216</v>
      </c>
      <c r="BU298" s="662">
        <f>VLOOKUP(B298,'Afton Update'!$A$5:$AR$582,'Afton Update'!$AO$589,0)-BT298</f>
        <v>0</v>
      </c>
      <c r="BV298" s="644">
        <f t="shared" si="812"/>
        <v>34739.611202206477</v>
      </c>
      <c r="BW298" s="645">
        <f t="shared" si="729"/>
        <v>33422.180963924962</v>
      </c>
      <c r="BX298" s="644">
        <f t="shared" si="813"/>
        <v>0</v>
      </c>
      <c r="BY298" s="645">
        <f t="shared" si="814"/>
        <v>34739.611202206477</v>
      </c>
      <c r="BZ298" s="646">
        <f t="shared" si="815"/>
        <v>-304.91326099596739</v>
      </c>
      <c r="CA298" s="647">
        <f t="shared" si="816"/>
        <v>34434.697941210507</v>
      </c>
      <c r="CB298" s="644">
        <f t="shared" si="766"/>
        <v>0</v>
      </c>
      <c r="CC298" s="645">
        <f t="shared" si="767"/>
        <v>34434.697941210507</v>
      </c>
      <c r="CD298" s="646">
        <f t="shared" si="817"/>
        <v>-11.029939319750547</v>
      </c>
      <c r="CE298" s="647">
        <f t="shared" si="768"/>
        <v>34423.668001890757</v>
      </c>
      <c r="CF298" s="644">
        <f t="shared" si="818"/>
        <v>0</v>
      </c>
      <c r="CG298" s="645">
        <f t="shared" si="819"/>
        <v>34423.668001890757</v>
      </c>
      <c r="CH298" s="646">
        <f t="shared" si="820"/>
        <v>0</v>
      </c>
      <c r="CI298" s="647">
        <f t="shared" si="769"/>
        <v>34423.668001890757</v>
      </c>
      <c r="CJ298" s="644">
        <f t="shared" si="821"/>
        <v>0</v>
      </c>
      <c r="CK298" s="645">
        <f t="shared" si="822"/>
        <v>34423.668001890757</v>
      </c>
      <c r="CL298" s="646">
        <f t="shared" si="823"/>
        <v>0</v>
      </c>
      <c r="CM298" s="647">
        <f t="shared" si="770"/>
        <v>34423.668001890757</v>
      </c>
      <c r="CN298" s="644">
        <f t="shared" si="824"/>
        <v>0</v>
      </c>
      <c r="CO298" s="645">
        <f t="shared" si="825"/>
        <v>34423.668001890757</v>
      </c>
      <c r="CP298" s="646">
        <f t="shared" si="826"/>
        <v>0</v>
      </c>
      <c r="CQ298" s="647">
        <f t="shared" si="771"/>
        <v>34423.668001890757</v>
      </c>
      <c r="CS298" s="644">
        <f t="shared" si="827"/>
        <v>32338.014651013666</v>
      </c>
      <c r="CT298" s="645">
        <f t="shared" si="730"/>
        <v>32202.041295458777</v>
      </c>
      <c r="CU298" s="644">
        <f t="shared" si="828"/>
        <v>0</v>
      </c>
      <c r="CV298" s="645">
        <f t="shared" si="829"/>
        <v>32338.014651013666</v>
      </c>
      <c r="CW298" s="646">
        <f t="shared" si="830"/>
        <v>-331.15954494910966</v>
      </c>
      <c r="CX298" s="647">
        <f t="shared" si="831"/>
        <v>32006.855106064555</v>
      </c>
      <c r="CY298" s="644">
        <f t="shared" si="772"/>
        <v>-195.18618939422231</v>
      </c>
      <c r="CZ298" s="645">
        <f t="shared" si="773"/>
        <v>0</v>
      </c>
      <c r="DA298" s="646">
        <f t="shared" si="832"/>
        <v>0</v>
      </c>
      <c r="DB298" s="647">
        <f t="shared" si="774"/>
        <v>32202.041295458777</v>
      </c>
      <c r="DC298" s="644">
        <f t="shared" si="833"/>
        <v>0</v>
      </c>
      <c r="DD298" s="645">
        <f t="shared" si="834"/>
        <v>0</v>
      </c>
      <c r="DE298" s="646">
        <f t="shared" si="835"/>
        <v>0</v>
      </c>
      <c r="DF298" s="647">
        <f t="shared" si="775"/>
        <v>32202.041295458777</v>
      </c>
      <c r="DG298" s="644">
        <f t="shared" si="836"/>
        <v>0</v>
      </c>
      <c r="DH298" s="645">
        <f t="shared" si="837"/>
        <v>0</v>
      </c>
      <c r="DI298" s="646">
        <f t="shared" si="838"/>
        <v>0</v>
      </c>
      <c r="DJ298" s="647">
        <f t="shared" si="776"/>
        <v>32202.041295458777</v>
      </c>
      <c r="DK298" s="644">
        <f t="shared" si="839"/>
        <v>0</v>
      </c>
      <c r="DL298" s="645">
        <f t="shared" si="840"/>
        <v>0</v>
      </c>
      <c r="DM298" s="646">
        <f t="shared" si="841"/>
        <v>0</v>
      </c>
      <c r="DN298" s="647">
        <f t="shared" si="777"/>
        <v>32202.041295458777</v>
      </c>
      <c r="DR298" s="827">
        <f t="shared" si="731"/>
        <v>143688.81139385683</v>
      </c>
      <c r="DV298" s="828">
        <f>IFERROR(VLOOKUP($B298,'Afton FY16 Final'!$A$5:$BV$587,'Afton FY16 Final'!$BV$587,0),0)</f>
        <v>144384.65331868688</v>
      </c>
      <c r="DX298" s="636">
        <f t="shared" si="719"/>
        <v>0</v>
      </c>
      <c r="DY298" s="637">
        <f t="shared" si="720"/>
        <v>0</v>
      </c>
      <c r="DZ298" s="637">
        <f t="shared" si="721"/>
        <v>0</v>
      </c>
      <c r="EA298" s="643">
        <f t="shared" si="722"/>
        <v>0</v>
      </c>
      <c r="EB298" s="637">
        <f t="shared" si="732"/>
        <v>0</v>
      </c>
      <c r="EC298" s="637">
        <f t="shared" si="733"/>
        <v>0</v>
      </c>
      <c r="ED298" s="637">
        <f t="shared" si="734"/>
        <v>0</v>
      </c>
      <c r="EE298" s="643">
        <f t="shared" si="735"/>
        <v>0</v>
      </c>
      <c r="EF298" s="637">
        <f t="shared" si="736"/>
        <v>0</v>
      </c>
      <c r="EG298" s="637">
        <f t="shared" si="737"/>
        <v>0</v>
      </c>
      <c r="EH298" s="637">
        <f t="shared" si="738"/>
        <v>0</v>
      </c>
      <c r="EI298" s="643">
        <f t="shared" si="739"/>
        <v>0</v>
      </c>
      <c r="EJ298" s="637">
        <f t="shared" si="740"/>
        <v>0</v>
      </c>
      <c r="EK298" s="637">
        <f t="shared" si="741"/>
        <v>0</v>
      </c>
      <c r="EL298" s="637">
        <f t="shared" si="742"/>
        <v>0</v>
      </c>
      <c r="EM298" s="643">
        <f t="shared" si="743"/>
        <v>0</v>
      </c>
      <c r="EN298" s="637">
        <f t="shared" si="744"/>
        <v>0</v>
      </c>
      <c r="EO298" s="637">
        <f t="shared" si="745"/>
        <v>0</v>
      </c>
      <c r="EP298" s="637">
        <f t="shared" si="746"/>
        <v>0</v>
      </c>
      <c r="EQ298" s="643">
        <f t="shared" si="747"/>
        <v>0</v>
      </c>
      <c r="ER298" s="637">
        <f t="shared" si="748"/>
        <v>0</v>
      </c>
      <c r="ES298" s="637">
        <f t="shared" si="749"/>
        <v>0</v>
      </c>
      <c r="ET298" s="637">
        <f t="shared" si="750"/>
        <v>0</v>
      </c>
      <c r="EU298" s="643">
        <f t="shared" si="723"/>
        <v>0</v>
      </c>
      <c r="EV298" s="643">
        <f t="shared" si="724"/>
        <v>0</v>
      </c>
      <c r="EX298" s="829">
        <f t="shared" si="725"/>
        <v>0</v>
      </c>
      <c r="EY298" s="638">
        <f t="shared" si="726"/>
        <v>143688.81139385683</v>
      </c>
      <c r="FC298" s="830" t="str">
        <f t="shared" si="751"/>
        <v>Y</v>
      </c>
      <c r="FE298" s="830" t="str">
        <f>IFERROR(VLOOKUP($B298,'Historical Conc Grant Elig'!$B$3:$J$707,'HH &amp; SI'!FE$2,0),"N")</f>
        <v>Y</v>
      </c>
      <c r="FF298" s="830" t="str">
        <f>IFERROR(VLOOKUP($B298,'Historical Conc Grant Elig'!$B$3:$J$707,'HH &amp; SI'!FF$2,0),"N")</f>
        <v>Y</v>
      </c>
      <c r="FG298" s="830" t="str">
        <f>IFERROR(VLOOKUP($B298,'Historical Conc Grant Elig'!$B$3:$J$707,'HH &amp; SI'!FG$2,0),"N")</f>
        <v>Y</v>
      </c>
      <c r="FH298" s="830" t="str">
        <f>IFERROR(VLOOKUP($B298,'Historical Conc Grant Elig'!$B$3:$J$707,'HH &amp; SI'!FH$2,0),"N")</f>
        <v>Y</v>
      </c>
      <c r="FI298" s="830" t="str">
        <f>IFERROR(VLOOKUP($B298,'Historical Conc Grant Elig'!$B$3:$J$707,'HH &amp; SI'!FI$2,0),"N")</f>
        <v>Y</v>
      </c>
      <c r="FJ298" s="830" t="str">
        <f>IFERROR(VLOOKUP($B298,'Historical Conc Grant Elig'!$B$3:$J$707,'HH &amp; SI'!FJ$2,0),"N")</f>
        <v>Y</v>
      </c>
      <c r="FK298" s="830" t="str">
        <f>IFERROR(VLOOKUP($B298,'Historical Conc Grant Elig'!$B$3:$J$707,'HH &amp; SI'!FK$2,0),"N")</f>
        <v>Y</v>
      </c>
      <c r="FL298" s="957" t="str">
        <f>IFERROR(VLOOKUP($B298,'Historical Conc Grant Elig'!$B$3:$J$707,'HH &amp; SI'!FL$2,0),"N")</f>
        <v>Y</v>
      </c>
    </row>
    <row r="299" spans="2:168" x14ac:dyDescent="0.25">
      <c r="B299" s="634">
        <v>78974000</v>
      </c>
      <c r="C299" s="635" t="str">
        <f>VLOOKUP($B299,'Afton Update'!$A$5:$CR$582,'Afton Update'!D$589,0)</f>
        <v>West Gilbert Charter Middle School  Inc.</v>
      </c>
      <c r="D299" s="636">
        <f>IFERROR(VLOOKUP($B299,'Afton FY16 Final'!$A$5:$BV$587,'Afton FY16 Final'!AQ$587,0),0)</f>
        <v>7606.015310140373</v>
      </c>
      <c r="E299" s="637">
        <f>IFERROR(VLOOKUP($B299,'Afton FY16 Final'!$A$5:$BV$587,'Afton FY16 Final'!AR$587,0),0)</f>
        <v>2192.0160631795702</v>
      </c>
      <c r="F299" s="637">
        <f>IFERROR(VLOOKUP($B299,'Afton FY16 Final'!$A$5:$BV$587,'Afton FY16 Final'!AS$587,0),0)</f>
        <v>4032.8204458219816</v>
      </c>
      <c r="G299" s="637">
        <f>IFERROR(VLOOKUP($B299,'Afton FY16 Final'!$A$5:$BV$587,'Afton FY16 Final'!AT$587,0),0)</f>
        <v>3885.5947394247728</v>
      </c>
      <c r="H299" s="638">
        <f>IFERROR(VLOOKUP($B299,'Afton FY16 Final'!$A$5:$BV$587,'Afton FY16 Final'!AU$587,0),0)</f>
        <v>17716.446558566699</v>
      </c>
      <c r="I299" s="639" t="str">
        <f>VLOOKUP($B299,'Afton Update'!$A$5:$CR$582,'Afton Update'!BT$589,0)</f>
        <v>Y</v>
      </c>
      <c r="J299" s="640" t="str">
        <f>VLOOKUP($B299,'Afton Update'!$A$5:$CR$582,'Afton Update'!BU$589,0)</f>
        <v>Y</v>
      </c>
      <c r="K299" s="640" t="str">
        <f>VLOOKUP($B299,'Afton Update'!$A$5:$CR$582,'Afton Update'!BV$589,0)</f>
        <v>Y</v>
      </c>
      <c r="L299" s="641" t="str">
        <f>VLOOKUP($B299,'Afton Update'!$A$5:$CR$582,'Afton Update'!BW$589,0)</f>
        <v>Y</v>
      </c>
      <c r="N299" s="642">
        <f>VLOOKUP($B299,'Afton Update'!$A$5:$CR$582,'Afton Update'!CB$589,0)</f>
        <v>0.9</v>
      </c>
      <c r="P299" s="636">
        <f>VLOOKUP($B299,'Afton Update'!$A$5:$CR$582,'Afton Update'!AH$589,0)</f>
        <v>9088.4462034503704</v>
      </c>
      <c r="Q299" s="637">
        <f>VLOOKUP($B299,'Afton Update'!$A$5:$CR$582,'Afton Update'!AI$589,0)</f>
        <v>4010.2974422966995</v>
      </c>
      <c r="R299" s="637">
        <f>VLOOKUP($B299,'Afton Update'!$A$5:$CR$582,'Afton Update'!AJ$589,0)</f>
        <v>5344.4627466939546</v>
      </c>
      <c r="S299" s="637">
        <f>VLOOKUP($B299,'Afton Update'!$A$5:$CR$582,'Afton Update'!AK$589,0)</f>
        <v>4974.9927711744112</v>
      </c>
      <c r="T299" s="643">
        <f t="shared" si="752"/>
        <v>23418.199163615434</v>
      </c>
      <c r="V299" s="636">
        <f t="shared" si="778"/>
        <v>8964.4738982551189</v>
      </c>
      <c r="W299" s="637">
        <f t="shared" si="779"/>
        <v>3878.2129065769177</v>
      </c>
      <c r="X299" s="637">
        <f t="shared" si="780"/>
        <v>5295.8569446793554</v>
      </c>
      <c r="Y299" s="637">
        <f t="shared" si="781"/>
        <v>4920.1773062805141</v>
      </c>
      <c r="Z299" s="643">
        <f t="shared" si="782"/>
        <v>23058.721055791906</v>
      </c>
      <c r="AB299" s="644">
        <f t="shared" si="753"/>
        <v>9088.4462034503704</v>
      </c>
      <c r="AC299" s="645">
        <f t="shared" si="727"/>
        <v>6845.4137791263356</v>
      </c>
      <c r="AD299" s="644">
        <f t="shared" si="783"/>
        <v>0</v>
      </c>
      <c r="AE299" s="645">
        <f t="shared" si="784"/>
        <v>9088.4462034503704</v>
      </c>
      <c r="AF299" s="646">
        <f t="shared" si="785"/>
        <v>-112.65812047728372</v>
      </c>
      <c r="AG299" s="647">
        <f t="shared" si="786"/>
        <v>8975.7880829730875</v>
      </c>
      <c r="AH299" s="644">
        <f t="shared" si="754"/>
        <v>0</v>
      </c>
      <c r="AI299" s="645">
        <f t="shared" si="755"/>
        <v>8975.7880829730875</v>
      </c>
      <c r="AJ299" s="646">
        <f t="shared" si="787"/>
        <v>-11.306976485635385</v>
      </c>
      <c r="AK299" s="647">
        <f t="shared" si="756"/>
        <v>8964.4811064874521</v>
      </c>
      <c r="AL299" s="644">
        <f t="shared" si="788"/>
        <v>0</v>
      </c>
      <c r="AM299" s="645">
        <f t="shared" si="789"/>
        <v>8964.4811064874521</v>
      </c>
      <c r="AN299" s="646">
        <f t="shared" si="790"/>
        <v>-7.2082323331240702E-3</v>
      </c>
      <c r="AO299" s="647">
        <f t="shared" si="757"/>
        <v>8964.4738982551189</v>
      </c>
      <c r="AP299" s="644">
        <f t="shared" si="791"/>
        <v>0</v>
      </c>
      <c r="AQ299" s="645">
        <f t="shared" si="792"/>
        <v>8964.4738982551189</v>
      </c>
      <c r="AR299" s="646">
        <f t="shared" si="793"/>
        <v>0</v>
      </c>
      <c r="AS299" s="647">
        <f t="shared" si="758"/>
        <v>8964.4738982551189</v>
      </c>
      <c r="AT299" s="644">
        <f t="shared" si="794"/>
        <v>0</v>
      </c>
      <c r="AU299" s="645">
        <f t="shared" si="795"/>
        <v>8964.4738982551189</v>
      </c>
      <c r="AV299" s="646">
        <f t="shared" si="796"/>
        <v>0</v>
      </c>
      <c r="AW299" s="647">
        <f t="shared" si="759"/>
        <v>8964.4738982551189</v>
      </c>
      <c r="AY299" s="644">
        <f t="shared" si="797"/>
        <v>4010.2974422966995</v>
      </c>
      <c r="AZ299" s="645">
        <f t="shared" si="728"/>
        <v>1972.8144568616133</v>
      </c>
      <c r="BA299" s="644">
        <f t="shared" si="798"/>
        <v>0</v>
      </c>
      <c r="BB299" s="645">
        <f t="shared" si="799"/>
        <v>4010.2974422966995</v>
      </c>
      <c r="BC299" s="646">
        <f t="shared" si="800"/>
        <v>-28.83921763032081</v>
      </c>
      <c r="BD299" s="647">
        <f t="shared" si="801"/>
        <v>3981.4582246663786</v>
      </c>
      <c r="BE299" s="644">
        <f t="shared" si="760"/>
        <v>0</v>
      </c>
      <c r="BF299" s="645">
        <f t="shared" si="761"/>
        <v>3981.4582246663786</v>
      </c>
      <c r="BG299" s="646">
        <f t="shared" si="802"/>
        <v>-94.835090257182415</v>
      </c>
      <c r="BH299" s="647">
        <f t="shared" si="762"/>
        <v>3886.6231344091962</v>
      </c>
      <c r="BI299" s="644">
        <f t="shared" si="803"/>
        <v>0</v>
      </c>
      <c r="BJ299" s="645">
        <f t="shared" si="804"/>
        <v>3886.6231344091962</v>
      </c>
      <c r="BK299" s="646">
        <f t="shared" si="805"/>
        <v>-8.2327806576628255</v>
      </c>
      <c r="BL299" s="647">
        <f t="shared" si="763"/>
        <v>3878.3903537515334</v>
      </c>
      <c r="BM299" s="644">
        <f t="shared" si="806"/>
        <v>0</v>
      </c>
      <c r="BN299" s="645">
        <f t="shared" si="807"/>
        <v>3878.3903537515334</v>
      </c>
      <c r="BO299" s="646">
        <f t="shared" si="808"/>
        <v>-0.17744717461585702</v>
      </c>
      <c r="BP299" s="647">
        <f t="shared" si="764"/>
        <v>3878.2129065769177</v>
      </c>
      <c r="BQ299" s="644">
        <f t="shared" si="809"/>
        <v>0</v>
      </c>
      <c r="BR299" s="645">
        <f t="shared" si="810"/>
        <v>3878.2129065769177</v>
      </c>
      <c r="BS299" s="646">
        <f t="shared" si="811"/>
        <v>0</v>
      </c>
      <c r="BT299" s="647">
        <f t="shared" si="765"/>
        <v>3878.2129065769177</v>
      </c>
      <c r="BU299" s="662">
        <f>VLOOKUP(B299,'Afton Update'!$A$5:$AR$582,'Afton Update'!$AO$589,0)-BT299</f>
        <v>0</v>
      </c>
      <c r="BV299" s="644">
        <f t="shared" si="812"/>
        <v>5344.4627466939546</v>
      </c>
      <c r="BW299" s="645">
        <f t="shared" si="729"/>
        <v>3629.5384012397835</v>
      </c>
      <c r="BX299" s="644">
        <f t="shared" si="813"/>
        <v>0</v>
      </c>
      <c r="BY299" s="645">
        <f t="shared" si="814"/>
        <v>5344.4627466939546</v>
      </c>
      <c r="BZ299" s="646">
        <f t="shared" si="815"/>
        <v>-46.908917744664201</v>
      </c>
      <c r="CA299" s="647">
        <f t="shared" si="816"/>
        <v>5297.5538289492906</v>
      </c>
      <c r="CB299" s="644">
        <f t="shared" si="766"/>
        <v>0</v>
      </c>
      <c r="CC299" s="645">
        <f t="shared" si="767"/>
        <v>5297.5538289492906</v>
      </c>
      <c r="CD299" s="646">
        <f t="shared" si="817"/>
        <v>-1.6968842699355691</v>
      </c>
      <c r="CE299" s="647">
        <f t="shared" si="768"/>
        <v>5295.8569446793554</v>
      </c>
      <c r="CF299" s="644">
        <f t="shared" si="818"/>
        <v>0</v>
      </c>
      <c r="CG299" s="645">
        <f t="shared" si="819"/>
        <v>5295.8569446793554</v>
      </c>
      <c r="CH299" s="646">
        <f t="shared" si="820"/>
        <v>0</v>
      </c>
      <c r="CI299" s="647">
        <f t="shared" si="769"/>
        <v>5295.8569446793554</v>
      </c>
      <c r="CJ299" s="644">
        <f t="shared" si="821"/>
        <v>0</v>
      </c>
      <c r="CK299" s="645">
        <f t="shared" si="822"/>
        <v>5295.8569446793554</v>
      </c>
      <c r="CL299" s="646">
        <f t="shared" si="823"/>
        <v>0</v>
      </c>
      <c r="CM299" s="647">
        <f t="shared" si="770"/>
        <v>5295.8569446793554</v>
      </c>
      <c r="CN299" s="644">
        <f t="shared" si="824"/>
        <v>0</v>
      </c>
      <c r="CO299" s="645">
        <f t="shared" si="825"/>
        <v>5295.8569446793554</v>
      </c>
      <c r="CP299" s="646">
        <f t="shared" si="826"/>
        <v>0</v>
      </c>
      <c r="CQ299" s="647">
        <f t="shared" si="771"/>
        <v>5295.8569446793554</v>
      </c>
      <c r="CS299" s="644">
        <f t="shared" si="827"/>
        <v>4974.9927711744112</v>
      </c>
      <c r="CT299" s="645">
        <f t="shared" si="730"/>
        <v>3497.0352654822955</v>
      </c>
      <c r="CU299" s="644">
        <f t="shared" si="828"/>
        <v>0</v>
      </c>
      <c r="CV299" s="645">
        <f t="shared" si="829"/>
        <v>4974.9927711744112</v>
      </c>
      <c r="CW299" s="646">
        <f t="shared" si="830"/>
        <v>-50.946737454569899</v>
      </c>
      <c r="CX299" s="647">
        <f t="shared" si="831"/>
        <v>4924.046033719841</v>
      </c>
      <c r="CY299" s="644">
        <f t="shared" si="772"/>
        <v>0</v>
      </c>
      <c r="CZ299" s="645">
        <f t="shared" si="773"/>
        <v>4924.046033719841</v>
      </c>
      <c r="DA299" s="646">
        <f t="shared" si="832"/>
        <v>-3.8653940184301137</v>
      </c>
      <c r="DB299" s="647">
        <f t="shared" si="774"/>
        <v>4920.1806397014107</v>
      </c>
      <c r="DC299" s="644">
        <f t="shared" si="833"/>
        <v>0</v>
      </c>
      <c r="DD299" s="645">
        <f t="shared" si="834"/>
        <v>4920.1806397014107</v>
      </c>
      <c r="DE299" s="646">
        <f t="shared" si="835"/>
        <v>-3.3334208969075774E-3</v>
      </c>
      <c r="DF299" s="647">
        <f t="shared" si="775"/>
        <v>4920.1773062805141</v>
      </c>
      <c r="DG299" s="644">
        <f t="shared" si="836"/>
        <v>0</v>
      </c>
      <c r="DH299" s="645">
        <f t="shared" si="837"/>
        <v>4920.1773062805141</v>
      </c>
      <c r="DI299" s="646">
        <f t="shared" si="838"/>
        <v>0</v>
      </c>
      <c r="DJ299" s="647">
        <f t="shared" si="776"/>
        <v>4920.1773062805141</v>
      </c>
      <c r="DK299" s="644">
        <f t="shared" si="839"/>
        <v>0</v>
      </c>
      <c r="DL299" s="645">
        <f t="shared" si="840"/>
        <v>4920.1773062805141</v>
      </c>
      <c r="DM299" s="646">
        <f t="shared" si="841"/>
        <v>0</v>
      </c>
      <c r="DN299" s="647">
        <f t="shared" si="777"/>
        <v>4920.1773062805141</v>
      </c>
      <c r="DR299" s="827">
        <f t="shared" si="731"/>
        <v>23058.721055791906</v>
      </c>
      <c r="DV299" s="828">
        <f>IFERROR(VLOOKUP($B299,'Afton FY16 Final'!$A$5:$BV$587,'Afton FY16 Final'!$BV$587,0),0)</f>
        <v>17367.609728762516</v>
      </c>
      <c r="DX299" s="636">
        <f t="shared" si="719"/>
        <v>23058.721055791906</v>
      </c>
      <c r="DY299" s="637">
        <f t="shared" si="720"/>
        <v>5691.1113270293899</v>
      </c>
      <c r="DZ299" s="637">
        <f t="shared" si="721"/>
        <v>17367.609728762516</v>
      </c>
      <c r="EA299" s="643">
        <f t="shared" si="722"/>
        <v>21832.255523956122</v>
      </c>
      <c r="EB299" s="637">
        <f t="shared" si="732"/>
        <v>0</v>
      </c>
      <c r="EC299" s="637">
        <f t="shared" si="733"/>
        <v>21832.255523956122</v>
      </c>
      <c r="ED299" s="637">
        <f t="shared" si="734"/>
        <v>21767.153041538018</v>
      </c>
      <c r="EE299" s="643">
        <f t="shared" si="735"/>
        <v>21767.153041538018</v>
      </c>
      <c r="EF299" s="637">
        <f t="shared" si="736"/>
        <v>0</v>
      </c>
      <c r="EG299" s="637">
        <f t="shared" si="737"/>
        <v>21767.153041538018</v>
      </c>
      <c r="EH299" s="637">
        <f t="shared" si="738"/>
        <v>21767.130585215862</v>
      </c>
      <c r="EI299" s="643">
        <f t="shared" si="739"/>
        <v>21767.130585215862</v>
      </c>
      <c r="EJ299" s="637">
        <f t="shared" si="740"/>
        <v>0</v>
      </c>
      <c r="EK299" s="637">
        <f t="shared" si="741"/>
        <v>21767.130585215862</v>
      </c>
      <c r="EL299" s="637">
        <f t="shared" si="742"/>
        <v>21767.130585215833</v>
      </c>
      <c r="EM299" s="643">
        <f t="shared" si="743"/>
        <v>21767.130585215833</v>
      </c>
      <c r="EN299" s="637">
        <f t="shared" si="744"/>
        <v>0</v>
      </c>
      <c r="EO299" s="637">
        <f t="shared" si="745"/>
        <v>21767.130585215833</v>
      </c>
      <c r="EP299" s="637">
        <f t="shared" si="746"/>
        <v>21767.130585215866</v>
      </c>
      <c r="EQ299" s="643">
        <f t="shared" si="747"/>
        <v>21767.130585215866</v>
      </c>
      <c r="ER299" s="637">
        <f t="shared" si="748"/>
        <v>0</v>
      </c>
      <c r="ES299" s="637">
        <f t="shared" si="749"/>
        <v>21767.130585215866</v>
      </c>
      <c r="ET299" s="637">
        <f t="shared" si="750"/>
        <v>21767.130585215833</v>
      </c>
      <c r="EU299" s="643">
        <f t="shared" si="723"/>
        <v>21767.130585215833</v>
      </c>
      <c r="EV299" s="643">
        <f t="shared" si="724"/>
        <v>0</v>
      </c>
      <c r="EX299" s="829">
        <f t="shared" si="725"/>
        <v>1291.5904705760731</v>
      </c>
      <c r="EY299" s="638">
        <f t="shared" si="726"/>
        <v>21767.130585215833</v>
      </c>
      <c r="FC299" s="830" t="str">
        <f t="shared" si="751"/>
        <v>Y</v>
      </c>
      <c r="FE299" s="830" t="str">
        <f>IFERROR(VLOOKUP($B299,'Historical Conc Grant Elig'!$B$3:$J$707,'HH &amp; SI'!FE$2,0),"N")</f>
        <v>N</v>
      </c>
      <c r="FF299" s="830" t="str">
        <f>IFERROR(VLOOKUP($B299,'Historical Conc Grant Elig'!$B$3:$J$707,'HH &amp; SI'!FF$2,0),"N")</f>
        <v>N</v>
      </c>
      <c r="FG299" s="830" t="str">
        <f>IFERROR(VLOOKUP($B299,'Historical Conc Grant Elig'!$B$3:$J$707,'HH &amp; SI'!FG$2,0),"N")</f>
        <v>Y</v>
      </c>
      <c r="FH299" s="830" t="str">
        <f>IFERROR(VLOOKUP($B299,'Historical Conc Grant Elig'!$B$3:$J$707,'HH &amp; SI'!FH$2,0),"N")</f>
        <v>Y</v>
      </c>
      <c r="FI299" s="830" t="str">
        <f>IFERROR(VLOOKUP($B299,'Historical Conc Grant Elig'!$B$3:$J$707,'HH &amp; SI'!FI$2,0),"N")</f>
        <v>Y</v>
      </c>
      <c r="FJ299" s="830" t="str">
        <f>IFERROR(VLOOKUP($B299,'Historical Conc Grant Elig'!$B$3:$J$707,'HH &amp; SI'!FJ$2,0),"N")</f>
        <v>Y</v>
      </c>
      <c r="FK299" s="830" t="str">
        <f>IFERROR(VLOOKUP($B299,'Historical Conc Grant Elig'!$B$3:$J$707,'HH &amp; SI'!FK$2,0),"N")</f>
        <v>N</v>
      </c>
      <c r="FL299" s="957" t="str">
        <f>IFERROR(VLOOKUP($B299,'Historical Conc Grant Elig'!$B$3:$J$707,'HH &amp; SI'!FL$2,0),"N")</f>
        <v>Y</v>
      </c>
    </row>
    <row r="300" spans="2:168" x14ac:dyDescent="0.25">
      <c r="B300" s="634">
        <v>78975000</v>
      </c>
      <c r="C300" s="635" t="str">
        <f>VLOOKUP($B300,'Afton Update'!$A$5:$CR$582,'Afton Update'!D$589,0)</f>
        <v>Cortez Park Charter Middle School  Inc.</v>
      </c>
      <c r="D300" s="636">
        <f>IFERROR(VLOOKUP($B300,'Afton FY16 Final'!$A$5:$BV$587,'Afton FY16 Final'!AQ$587,0),0)</f>
        <v>55944.318035129589</v>
      </c>
      <c r="E300" s="637">
        <f>IFERROR(VLOOKUP($B300,'Afton FY16 Final'!$A$5:$BV$587,'Afton FY16 Final'!AR$587,0),0)</f>
        <v>12551.614714210173</v>
      </c>
      <c r="F300" s="637">
        <f>IFERROR(VLOOKUP($B300,'Afton FY16 Final'!$A$5:$BV$587,'Afton FY16 Final'!AS$587,0),0)</f>
        <v>29662.494801824603</v>
      </c>
      <c r="G300" s="637">
        <f>IFERROR(VLOOKUP($B300,'Afton FY16 Final'!$A$5:$BV$587,'Afton FY16 Final'!AT$587,0),0)</f>
        <v>28579.609558266056</v>
      </c>
      <c r="H300" s="638">
        <f>IFERROR(VLOOKUP($B300,'Afton FY16 Final'!$A$5:$BV$587,'Afton FY16 Final'!AU$587,0),0)</f>
        <v>126738.03710943041</v>
      </c>
      <c r="I300" s="639" t="str">
        <f>VLOOKUP($B300,'Afton Update'!$A$5:$CR$582,'Afton Update'!BT$589,0)</f>
        <v>Y</v>
      </c>
      <c r="J300" s="640" t="str">
        <f>VLOOKUP($B300,'Afton Update'!$A$5:$CR$582,'Afton Update'!BU$589,0)</f>
        <v>Y</v>
      </c>
      <c r="K300" s="640" t="str">
        <f>VLOOKUP($B300,'Afton Update'!$A$5:$CR$582,'Afton Update'!BV$589,0)</f>
        <v>Y</v>
      </c>
      <c r="L300" s="641" t="str">
        <f>VLOOKUP($B300,'Afton Update'!$A$5:$CR$582,'Afton Update'!BW$589,0)</f>
        <v>Y</v>
      </c>
      <c r="N300" s="642">
        <f>VLOOKUP($B300,'Afton Update'!$A$5:$CR$582,'Afton Update'!CB$589,0)</f>
        <v>0.95</v>
      </c>
      <c r="P300" s="636">
        <f>VLOOKUP($B300,'Afton Update'!$A$5:$CR$582,'Afton Update'!AH$589,0)</f>
        <v>51660.641577507369</v>
      </c>
      <c r="Q300" s="637">
        <f>VLOOKUP($B300,'Afton Update'!$A$5:$CR$582,'Afton Update'!AI$589,0)</f>
        <v>12814.158984005795</v>
      </c>
      <c r="R300" s="637">
        <f>VLOOKUP($B300,'Afton Update'!$A$5:$CR$582,'Afton Update'!AJ$589,0)</f>
        <v>30260.350485175997</v>
      </c>
      <c r="S300" s="637">
        <f>VLOOKUP($B300,'Afton Update'!$A$5:$CR$582,'Afton Update'!AK$589,0)</f>
        <v>28168.411316942922</v>
      </c>
      <c r="T300" s="643">
        <f t="shared" si="752"/>
        <v>122903.56236363208</v>
      </c>
      <c r="V300" s="636">
        <f t="shared" si="778"/>
        <v>53147.102133373104</v>
      </c>
      <c r="W300" s="637">
        <f t="shared" si="779"/>
        <v>12392.107436858571</v>
      </c>
      <c r="X300" s="637">
        <f t="shared" si="780"/>
        <v>29985.144412220448</v>
      </c>
      <c r="Y300" s="637">
        <f t="shared" si="781"/>
        <v>27858.046129960701</v>
      </c>
      <c r="Z300" s="643">
        <f t="shared" si="782"/>
        <v>123382.40011241283</v>
      </c>
      <c r="AB300" s="644">
        <f t="shared" si="753"/>
        <v>51660.641577507369</v>
      </c>
      <c r="AC300" s="645">
        <f t="shared" si="727"/>
        <v>53147.102133373104</v>
      </c>
      <c r="AD300" s="644">
        <f t="shared" si="783"/>
        <v>1486.4605558657349</v>
      </c>
      <c r="AE300" s="645">
        <f t="shared" si="784"/>
        <v>0</v>
      </c>
      <c r="AF300" s="646">
        <f t="shared" si="785"/>
        <v>0</v>
      </c>
      <c r="AG300" s="647">
        <f t="shared" si="786"/>
        <v>53147.102133373104</v>
      </c>
      <c r="AH300" s="644">
        <f t="shared" si="754"/>
        <v>0</v>
      </c>
      <c r="AI300" s="645">
        <f t="shared" si="755"/>
        <v>0</v>
      </c>
      <c r="AJ300" s="646">
        <f t="shared" si="787"/>
        <v>0</v>
      </c>
      <c r="AK300" s="647">
        <f t="shared" si="756"/>
        <v>53147.102133373104</v>
      </c>
      <c r="AL300" s="644">
        <f t="shared" si="788"/>
        <v>0</v>
      </c>
      <c r="AM300" s="645">
        <f t="shared" si="789"/>
        <v>0</v>
      </c>
      <c r="AN300" s="646">
        <f t="shared" si="790"/>
        <v>0</v>
      </c>
      <c r="AO300" s="647">
        <f t="shared" si="757"/>
        <v>53147.102133373104</v>
      </c>
      <c r="AP300" s="644">
        <f t="shared" si="791"/>
        <v>0</v>
      </c>
      <c r="AQ300" s="645">
        <f t="shared" si="792"/>
        <v>0</v>
      </c>
      <c r="AR300" s="646">
        <f t="shared" si="793"/>
        <v>0</v>
      </c>
      <c r="AS300" s="647">
        <f t="shared" si="758"/>
        <v>53147.102133373104</v>
      </c>
      <c r="AT300" s="644">
        <f t="shared" si="794"/>
        <v>0</v>
      </c>
      <c r="AU300" s="645">
        <f t="shared" si="795"/>
        <v>0</v>
      </c>
      <c r="AV300" s="646">
        <f t="shared" si="796"/>
        <v>0</v>
      </c>
      <c r="AW300" s="647">
        <f t="shared" si="759"/>
        <v>53147.102133373104</v>
      </c>
      <c r="AY300" s="644">
        <f t="shared" si="797"/>
        <v>12814.158984005795</v>
      </c>
      <c r="AZ300" s="645">
        <f t="shared" si="728"/>
        <v>11924.033978499663</v>
      </c>
      <c r="BA300" s="644">
        <f t="shared" si="798"/>
        <v>0</v>
      </c>
      <c r="BB300" s="645">
        <f t="shared" si="799"/>
        <v>12814.158984005795</v>
      </c>
      <c r="BC300" s="646">
        <f t="shared" si="800"/>
        <v>-92.150351690031272</v>
      </c>
      <c r="BD300" s="647">
        <f t="shared" si="801"/>
        <v>12722.008632315763</v>
      </c>
      <c r="BE300" s="644">
        <f t="shared" si="760"/>
        <v>0</v>
      </c>
      <c r="BF300" s="645">
        <f t="shared" si="761"/>
        <v>12722.008632315763</v>
      </c>
      <c r="BG300" s="646">
        <f t="shared" si="802"/>
        <v>-303.02787793269283</v>
      </c>
      <c r="BH300" s="647">
        <f t="shared" si="762"/>
        <v>12418.98075438307</v>
      </c>
      <c r="BI300" s="644">
        <f t="shared" si="803"/>
        <v>0</v>
      </c>
      <c r="BJ300" s="645">
        <f t="shared" si="804"/>
        <v>12418.98075438307</v>
      </c>
      <c r="BK300" s="646">
        <f t="shared" si="805"/>
        <v>-26.306318108743955</v>
      </c>
      <c r="BL300" s="647">
        <f t="shared" si="763"/>
        <v>12392.674436274327</v>
      </c>
      <c r="BM300" s="644">
        <f t="shared" si="806"/>
        <v>0</v>
      </c>
      <c r="BN300" s="645">
        <f t="shared" si="807"/>
        <v>12392.674436274327</v>
      </c>
      <c r="BO300" s="646">
        <f t="shared" si="808"/>
        <v>-0.56699941575605473</v>
      </c>
      <c r="BP300" s="647">
        <f t="shared" si="764"/>
        <v>12392.107436858571</v>
      </c>
      <c r="BQ300" s="644">
        <f t="shared" si="809"/>
        <v>0</v>
      </c>
      <c r="BR300" s="645">
        <f t="shared" si="810"/>
        <v>12392.107436858571</v>
      </c>
      <c r="BS300" s="646">
        <f t="shared" si="811"/>
        <v>0</v>
      </c>
      <c r="BT300" s="647">
        <f t="shared" si="765"/>
        <v>12392.107436858571</v>
      </c>
      <c r="BU300" s="662">
        <f>VLOOKUP(B300,'Afton Update'!$A$5:$AR$582,'Afton Update'!$AO$589,0)-BT300</f>
        <v>0</v>
      </c>
      <c r="BV300" s="644">
        <f t="shared" si="812"/>
        <v>30260.350485175997</v>
      </c>
      <c r="BW300" s="645">
        <f t="shared" si="729"/>
        <v>28179.370061733371</v>
      </c>
      <c r="BX300" s="644">
        <f t="shared" si="813"/>
        <v>0</v>
      </c>
      <c r="BY300" s="645">
        <f t="shared" si="814"/>
        <v>30260.350485175997</v>
      </c>
      <c r="BZ300" s="646">
        <f t="shared" si="815"/>
        <v>-265.59831345291167</v>
      </c>
      <c r="CA300" s="647">
        <f t="shared" si="816"/>
        <v>29994.752171723085</v>
      </c>
      <c r="CB300" s="644">
        <f t="shared" si="766"/>
        <v>0</v>
      </c>
      <c r="CC300" s="645">
        <f t="shared" si="767"/>
        <v>29994.752171723085</v>
      </c>
      <c r="CD300" s="646">
        <f t="shared" si="817"/>
        <v>-9.6077595026358846</v>
      </c>
      <c r="CE300" s="647">
        <f t="shared" si="768"/>
        <v>29985.144412220448</v>
      </c>
      <c r="CF300" s="644">
        <f t="shared" si="818"/>
        <v>0</v>
      </c>
      <c r="CG300" s="645">
        <f t="shared" si="819"/>
        <v>29985.144412220448</v>
      </c>
      <c r="CH300" s="646">
        <f t="shared" si="820"/>
        <v>0</v>
      </c>
      <c r="CI300" s="647">
        <f t="shared" si="769"/>
        <v>29985.144412220448</v>
      </c>
      <c r="CJ300" s="644">
        <f t="shared" si="821"/>
        <v>0</v>
      </c>
      <c r="CK300" s="645">
        <f t="shared" si="822"/>
        <v>29985.144412220448</v>
      </c>
      <c r="CL300" s="646">
        <f t="shared" si="823"/>
        <v>0</v>
      </c>
      <c r="CM300" s="647">
        <f t="shared" si="770"/>
        <v>29985.144412220448</v>
      </c>
      <c r="CN300" s="644">
        <f t="shared" si="824"/>
        <v>0</v>
      </c>
      <c r="CO300" s="645">
        <f t="shared" si="825"/>
        <v>29985.144412220448</v>
      </c>
      <c r="CP300" s="646">
        <f t="shared" si="826"/>
        <v>0</v>
      </c>
      <c r="CQ300" s="647">
        <f t="shared" si="771"/>
        <v>29985.144412220448</v>
      </c>
      <c r="CS300" s="644">
        <f t="shared" si="827"/>
        <v>28168.411316942922</v>
      </c>
      <c r="CT300" s="645">
        <f t="shared" si="730"/>
        <v>27150.629080352752</v>
      </c>
      <c r="CU300" s="644">
        <f t="shared" si="828"/>
        <v>0</v>
      </c>
      <c r="CV300" s="645">
        <f t="shared" si="829"/>
        <v>28168.411316942922</v>
      </c>
      <c r="CW300" s="646">
        <f t="shared" si="830"/>
        <v>-288.46045047375122</v>
      </c>
      <c r="CX300" s="647">
        <f t="shared" si="831"/>
        <v>27879.950866469171</v>
      </c>
      <c r="CY300" s="644">
        <f t="shared" si="772"/>
        <v>0</v>
      </c>
      <c r="CZ300" s="645">
        <f t="shared" si="773"/>
        <v>27879.950866469171</v>
      </c>
      <c r="DA300" s="646">
        <f t="shared" si="832"/>
        <v>-21.885862677844109</v>
      </c>
      <c r="DB300" s="647">
        <f t="shared" si="774"/>
        <v>27858.065003791326</v>
      </c>
      <c r="DC300" s="644">
        <f t="shared" si="833"/>
        <v>0</v>
      </c>
      <c r="DD300" s="645">
        <f t="shared" si="834"/>
        <v>27858.065003791326</v>
      </c>
      <c r="DE300" s="646">
        <f t="shared" si="835"/>
        <v>-1.8873830623560846E-2</v>
      </c>
      <c r="DF300" s="647">
        <f t="shared" si="775"/>
        <v>27858.046129960701</v>
      </c>
      <c r="DG300" s="644">
        <f t="shared" si="836"/>
        <v>0</v>
      </c>
      <c r="DH300" s="645">
        <f t="shared" si="837"/>
        <v>27858.046129960701</v>
      </c>
      <c r="DI300" s="646">
        <f t="shared" si="838"/>
        <v>0</v>
      </c>
      <c r="DJ300" s="647">
        <f t="shared" si="776"/>
        <v>27858.046129960701</v>
      </c>
      <c r="DK300" s="644">
        <f t="shared" si="839"/>
        <v>0</v>
      </c>
      <c r="DL300" s="645">
        <f t="shared" si="840"/>
        <v>27858.046129960701</v>
      </c>
      <c r="DM300" s="646">
        <f t="shared" si="841"/>
        <v>0</v>
      </c>
      <c r="DN300" s="647">
        <f t="shared" si="777"/>
        <v>27858.046129960701</v>
      </c>
      <c r="DR300" s="827">
        <f t="shared" si="731"/>
        <v>123382.40011241283</v>
      </c>
      <c r="DV300" s="828">
        <f>IFERROR(VLOOKUP($B300,'Afton FY16 Final'!$A$5:$BV$587,'Afton FY16 Final'!$BV$587,0),0)</f>
        <v>121843.89026976624</v>
      </c>
      <c r="DX300" s="636">
        <f t="shared" si="719"/>
        <v>123382.40011241283</v>
      </c>
      <c r="DY300" s="637">
        <f t="shared" si="720"/>
        <v>1538.5098426465847</v>
      </c>
      <c r="DZ300" s="637">
        <f t="shared" si="721"/>
        <v>121843.89026976624</v>
      </c>
      <c r="EA300" s="643">
        <f t="shared" si="722"/>
        <v>116819.83922246112</v>
      </c>
      <c r="EB300" s="637">
        <f t="shared" si="732"/>
        <v>121843.89026976624</v>
      </c>
      <c r="EC300" s="637">
        <f t="shared" si="733"/>
        <v>0</v>
      </c>
      <c r="ED300" s="637">
        <f t="shared" si="734"/>
        <v>0</v>
      </c>
      <c r="EE300" s="643">
        <f t="shared" si="735"/>
        <v>121843.89026976624</v>
      </c>
      <c r="EF300" s="637">
        <f t="shared" si="736"/>
        <v>0</v>
      </c>
      <c r="EG300" s="637">
        <f t="shared" si="737"/>
        <v>0</v>
      </c>
      <c r="EH300" s="637">
        <f t="shared" si="738"/>
        <v>0</v>
      </c>
      <c r="EI300" s="643">
        <f t="shared" si="739"/>
        <v>121843.89026976624</v>
      </c>
      <c r="EJ300" s="637">
        <f t="shared" si="740"/>
        <v>0</v>
      </c>
      <c r="EK300" s="637">
        <f t="shared" si="741"/>
        <v>0</v>
      </c>
      <c r="EL300" s="637">
        <f t="shared" si="742"/>
        <v>0</v>
      </c>
      <c r="EM300" s="643">
        <f t="shared" si="743"/>
        <v>121843.89026976624</v>
      </c>
      <c r="EN300" s="637">
        <f t="shared" si="744"/>
        <v>0</v>
      </c>
      <c r="EO300" s="637">
        <f t="shared" si="745"/>
        <v>0</v>
      </c>
      <c r="EP300" s="637">
        <f t="shared" si="746"/>
        <v>0</v>
      </c>
      <c r="EQ300" s="643">
        <f t="shared" si="747"/>
        <v>121843.89026976624</v>
      </c>
      <c r="ER300" s="637">
        <f t="shared" si="748"/>
        <v>0</v>
      </c>
      <c r="ES300" s="637">
        <f t="shared" si="749"/>
        <v>0</v>
      </c>
      <c r="ET300" s="637">
        <f t="shared" si="750"/>
        <v>0</v>
      </c>
      <c r="EU300" s="643">
        <f t="shared" si="723"/>
        <v>121843.89026976624</v>
      </c>
      <c r="EV300" s="643">
        <f t="shared" si="724"/>
        <v>0</v>
      </c>
      <c r="EX300" s="829">
        <f t="shared" si="725"/>
        <v>1538.5098426465847</v>
      </c>
      <c r="EY300" s="638">
        <f t="shared" si="726"/>
        <v>121843.89026976624</v>
      </c>
      <c r="FC300" s="830" t="str">
        <f t="shared" si="751"/>
        <v>Y</v>
      </c>
      <c r="FE300" s="830" t="str">
        <f>IFERROR(VLOOKUP($B300,'Historical Conc Grant Elig'!$B$3:$J$707,'HH &amp; SI'!FE$2,0),"N")</f>
        <v>Y</v>
      </c>
      <c r="FF300" s="830" t="str">
        <f>IFERROR(VLOOKUP($B300,'Historical Conc Grant Elig'!$B$3:$J$707,'HH &amp; SI'!FF$2,0),"N")</f>
        <v>Y</v>
      </c>
      <c r="FG300" s="830" t="str">
        <f>IFERROR(VLOOKUP($B300,'Historical Conc Grant Elig'!$B$3:$J$707,'HH &amp; SI'!FG$2,0),"N")</f>
        <v>Y</v>
      </c>
      <c r="FH300" s="830" t="str">
        <f>IFERROR(VLOOKUP($B300,'Historical Conc Grant Elig'!$B$3:$J$707,'HH &amp; SI'!FH$2,0),"N")</f>
        <v>Y</v>
      </c>
      <c r="FI300" s="830" t="str">
        <f>IFERROR(VLOOKUP($B300,'Historical Conc Grant Elig'!$B$3:$J$707,'HH &amp; SI'!FI$2,0),"N")</f>
        <v>Y</v>
      </c>
      <c r="FJ300" s="830" t="str">
        <f>IFERROR(VLOOKUP($B300,'Historical Conc Grant Elig'!$B$3:$J$707,'HH &amp; SI'!FJ$2,0),"N")</f>
        <v>Y</v>
      </c>
      <c r="FK300" s="830" t="str">
        <f>IFERROR(VLOOKUP($B300,'Historical Conc Grant Elig'!$B$3:$J$707,'HH &amp; SI'!FK$2,0),"N")</f>
        <v>Y</v>
      </c>
      <c r="FL300" s="957" t="str">
        <f>IFERROR(VLOOKUP($B300,'Historical Conc Grant Elig'!$B$3:$J$707,'HH &amp; SI'!FL$2,0),"N")</f>
        <v>Y</v>
      </c>
    </row>
    <row r="301" spans="2:168" x14ac:dyDescent="0.25">
      <c r="B301" s="634">
        <v>78976000</v>
      </c>
      <c r="C301" s="635" t="str">
        <f>VLOOKUP($B301,'Afton Update'!$A$5:$CR$582,'Afton Update'!D$589,0)</f>
        <v>Midtown Primary School</v>
      </c>
      <c r="D301" s="636">
        <f>IFERROR(VLOOKUP($B301,'Afton FY16 Final'!$A$5:$BV$587,'Afton FY16 Final'!AQ$587,0),0)</f>
        <v>23723.209278541523</v>
      </c>
      <c r="E301" s="637">
        <f>IFERROR(VLOOKUP($B301,'Afton FY16 Final'!$A$5:$BV$587,'Afton FY16 Final'!AR$587,0),0)</f>
        <v>6726.2430880064639</v>
      </c>
      <c r="F301" s="637">
        <f>IFERROR(VLOOKUP($B301,'Afton FY16 Final'!$A$5:$BV$587,'Afton FY16 Final'!AS$587,0),0)</f>
        <v>12874.864341292538</v>
      </c>
      <c r="G301" s="637">
        <f>IFERROR(VLOOKUP($B301,'Afton FY16 Final'!$A$5:$BV$587,'Afton FY16 Final'!AT$587,0),0)</f>
        <v>10810.487476272159</v>
      </c>
      <c r="H301" s="638">
        <f>IFERROR(VLOOKUP($B301,'Afton FY16 Final'!$A$5:$BV$587,'Afton FY16 Final'!AU$587,0),0)</f>
        <v>54134.804184112683</v>
      </c>
      <c r="I301" s="639" t="str">
        <f>VLOOKUP($B301,'Afton Update'!$A$5:$CR$582,'Afton Update'!BT$589,0)</f>
        <v>Y</v>
      </c>
      <c r="J301" s="640" t="str">
        <f>VLOOKUP($B301,'Afton Update'!$A$5:$CR$582,'Afton Update'!BU$589,0)</f>
        <v>Y</v>
      </c>
      <c r="K301" s="640" t="str">
        <f>VLOOKUP($B301,'Afton Update'!$A$5:$CR$582,'Afton Update'!BV$589,0)</f>
        <v>Y</v>
      </c>
      <c r="L301" s="641" t="str">
        <f>VLOOKUP($B301,'Afton Update'!$A$5:$CR$582,'Afton Update'!BW$589,0)</f>
        <v>Y</v>
      </c>
      <c r="N301" s="642">
        <f>VLOOKUP($B301,'Afton Update'!$A$5:$CR$582,'Afton Update'!CB$589,0)</f>
        <v>0.95</v>
      </c>
      <c r="P301" s="636">
        <f>VLOOKUP($B301,'Afton Update'!$A$5:$CR$582,'Afton Update'!AH$589,0)</f>
        <v>22960.285145558832</v>
      </c>
      <c r="Q301" s="637">
        <f>VLOOKUP($B301,'Afton Update'!$A$5:$CR$582,'Afton Update'!AI$589,0)</f>
        <v>6878.9714277974163</v>
      </c>
      <c r="R301" s="637">
        <f>VLOOKUP($B301,'Afton Update'!$A$5:$CR$582,'Afton Update'!AJ$589,0)</f>
        <v>13463.122796311702</v>
      </c>
      <c r="S301" s="637">
        <f>VLOOKUP($B301,'Afton Update'!$A$5:$CR$582,'Afton Update'!AK$589,0)</f>
        <v>12532.398814177635</v>
      </c>
      <c r="T301" s="643">
        <f t="shared" si="752"/>
        <v>55834.778183845585</v>
      </c>
      <c r="V301" s="636">
        <f t="shared" si="778"/>
        <v>22647.091953486615</v>
      </c>
      <c r="W301" s="637">
        <f t="shared" si="779"/>
        <v>6652.403259140603</v>
      </c>
      <c r="X301" s="637">
        <f t="shared" si="780"/>
        <v>13340.680950956794</v>
      </c>
      <c r="Y301" s="637">
        <f t="shared" si="781"/>
        <v>12394.314338715634</v>
      </c>
      <c r="Z301" s="643">
        <f t="shared" si="782"/>
        <v>55034.490502299639</v>
      </c>
      <c r="AB301" s="644">
        <f t="shared" si="753"/>
        <v>22960.285145558832</v>
      </c>
      <c r="AC301" s="645">
        <f t="shared" si="727"/>
        <v>22537.048814614445</v>
      </c>
      <c r="AD301" s="644">
        <f t="shared" si="783"/>
        <v>0</v>
      </c>
      <c r="AE301" s="645">
        <f t="shared" si="784"/>
        <v>22960.285145558832</v>
      </c>
      <c r="AF301" s="646">
        <f t="shared" si="785"/>
        <v>-284.60998857419042</v>
      </c>
      <c r="AG301" s="647">
        <f t="shared" si="786"/>
        <v>22675.675156984642</v>
      </c>
      <c r="AH301" s="644">
        <f t="shared" si="754"/>
        <v>0</v>
      </c>
      <c r="AI301" s="645">
        <f t="shared" si="755"/>
        <v>22675.675156984642</v>
      </c>
      <c r="AJ301" s="646">
        <f t="shared" si="787"/>
        <v>-28.564993226868346</v>
      </c>
      <c r="AK301" s="647">
        <f t="shared" si="756"/>
        <v>22647.110163757774</v>
      </c>
      <c r="AL301" s="644">
        <f t="shared" si="788"/>
        <v>0</v>
      </c>
      <c r="AM301" s="645">
        <f t="shared" si="789"/>
        <v>22647.110163757774</v>
      </c>
      <c r="AN301" s="646">
        <f t="shared" si="790"/>
        <v>-1.8210271157366072E-2</v>
      </c>
      <c r="AO301" s="647">
        <f t="shared" si="757"/>
        <v>22647.091953486615</v>
      </c>
      <c r="AP301" s="644">
        <f t="shared" si="791"/>
        <v>0</v>
      </c>
      <c r="AQ301" s="645">
        <f t="shared" si="792"/>
        <v>22647.091953486615</v>
      </c>
      <c r="AR301" s="646">
        <f t="shared" si="793"/>
        <v>0</v>
      </c>
      <c r="AS301" s="647">
        <f t="shared" si="758"/>
        <v>22647.091953486615</v>
      </c>
      <c r="AT301" s="644">
        <f t="shared" si="794"/>
        <v>0</v>
      </c>
      <c r="AU301" s="645">
        <f t="shared" si="795"/>
        <v>22647.091953486615</v>
      </c>
      <c r="AV301" s="646">
        <f t="shared" si="796"/>
        <v>0</v>
      </c>
      <c r="AW301" s="647">
        <f t="shared" si="759"/>
        <v>22647.091953486615</v>
      </c>
      <c r="AY301" s="644">
        <f t="shared" si="797"/>
        <v>6878.9714277974163</v>
      </c>
      <c r="AZ301" s="645">
        <f t="shared" si="728"/>
        <v>6389.9309336061406</v>
      </c>
      <c r="BA301" s="644">
        <f t="shared" si="798"/>
        <v>0</v>
      </c>
      <c r="BB301" s="645">
        <f t="shared" si="799"/>
        <v>6878.9714277974163</v>
      </c>
      <c r="BC301" s="646">
        <f t="shared" si="800"/>
        <v>-49.468688278990513</v>
      </c>
      <c r="BD301" s="647">
        <f t="shared" si="801"/>
        <v>6829.5027395184261</v>
      </c>
      <c r="BE301" s="644">
        <f t="shared" si="760"/>
        <v>0</v>
      </c>
      <c r="BF301" s="645">
        <f t="shared" si="761"/>
        <v>6829.5027395184261</v>
      </c>
      <c r="BG301" s="646">
        <f t="shared" si="802"/>
        <v>-162.67318961212405</v>
      </c>
      <c r="BH301" s="647">
        <f t="shared" si="762"/>
        <v>6666.8295499063024</v>
      </c>
      <c r="BI301" s="644">
        <f t="shared" si="803"/>
        <v>0</v>
      </c>
      <c r="BJ301" s="645">
        <f t="shared" si="804"/>
        <v>6666.8295499063024</v>
      </c>
      <c r="BK301" s="646">
        <f t="shared" si="805"/>
        <v>-14.121910838352184</v>
      </c>
      <c r="BL301" s="647">
        <f t="shared" si="763"/>
        <v>6652.7076390679504</v>
      </c>
      <c r="BM301" s="644">
        <f t="shared" si="806"/>
        <v>0</v>
      </c>
      <c r="BN301" s="645">
        <f t="shared" si="807"/>
        <v>6652.7076390679504</v>
      </c>
      <c r="BO301" s="646">
        <f t="shared" si="808"/>
        <v>-0.3043799273469327</v>
      </c>
      <c r="BP301" s="647">
        <f t="shared" si="764"/>
        <v>6652.403259140603</v>
      </c>
      <c r="BQ301" s="644">
        <f t="shared" si="809"/>
        <v>0</v>
      </c>
      <c r="BR301" s="645">
        <f t="shared" si="810"/>
        <v>6652.403259140603</v>
      </c>
      <c r="BS301" s="646">
        <f t="shared" si="811"/>
        <v>0</v>
      </c>
      <c r="BT301" s="647">
        <f t="shared" si="765"/>
        <v>6652.403259140603</v>
      </c>
      <c r="BU301" s="662">
        <f>VLOOKUP(B301,'Afton Update'!$A$5:$AR$582,'Afton Update'!$AO$589,0)-BT301</f>
        <v>0</v>
      </c>
      <c r="BV301" s="644">
        <f t="shared" si="812"/>
        <v>13463.122796311702</v>
      </c>
      <c r="BW301" s="645">
        <f t="shared" si="729"/>
        <v>12231.12112422791</v>
      </c>
      <c r="BX301" s="644">
        <f t="shared" si="813"/>
        <v>0</v>
      </c>
      <c r="BY301" s="645">
        <f t="shared" si="814"/>
        <v>13463.122796311702</v>
      </c>
      <c r="BZ301" s="646">
        <f t="shared" si="815"/>
        <v>-118.16726016645273</v>
      </c>
      <c r="CA301" s="647">
        <f t="shared" si="816"/>
        <v>13344.955536145249</v>
      </c>
      <c r="CB301" s="644">
        <f t="shared" si="766"/>
        <v>0</v>
      </c>
      <c r="CC301" s="645">
        <f t="shared" si="767"/>
        <v>13344.955536145249</v>
      </c>
      <c r="CD301" s="646">
        <f t="shared" si="817"/>
        <v>-4.2745851884558972</v>
      </c>
      <c r="CE301" s="647">
        <f t="shared" si="768"/>
        <v>13340.680950956794</v>
      </c>
      <c r="CF301" s="644">
        <f t="shared" si="818"/>
        <v>0</v>
      </c>
      <c r="CG301" s="645">
        <f t="shared" si="819"/>
        <v>13340.680950956794</v>
      </c>
      <c r="CH301" s="646">
        <f t="shared" si="820"/>
        <v>0</v>
      </c>
      <c r="CI301" s="647">
        <f t="shared" si="769"/>
        <v>13340.680950956794</v>
      </c>
      <c r="CJ301" s="644">
        <f t="shared" si="821"/>
        <v>0</v>
      </c>
      <c r="CK301" s="645">
        <f t="shared" si="822"/>
        <v>13340.680950956794</v>
      </c>
      <c r="CL301" s="646">
        <f t="shared" si="823"/>
        <v>0</v>
      </c>
      <c r="CM301" s="647">
        <f t="shared" si="770"/>
        <v>13340.680950956794</v>
      </c>
      <c r="CN301" s="644">
        <f t="shared" si="824"/>
        <v>0</v>
      </c>
      <c r="CO301" s="645">
        <f t="shared" si="825"/>
        <v>13340.680950956794</v>
      </c>
      <c r="CP301" s="646">
        <f t="shared" si="826"/>
        <v>0</v>
      </c>
      <c r="CQ301" s="647">
        <f t="shared" si="771"/>
        <v>13340.680950956794</v>
      </c>
      <c r="CS301" s="644">
        <f t="shared" si="827"/>
        <v>12532.398814177635</v>
      </c>
      <c r="CT301" s="645">
        <f t="shared" si="730"/>
        <v>10269.963102458551</v>
      </c>
      <c r="CU301" s="644">
        <f t="shared" si="828"/>
        <v>0</v>
      </c>
      <c r="CV301" s="645">
        <f t="shared" si="829"/>
        <v>12532.398814177635</v>
      </c>
      <c r="CW301" s="646">
        <f t="shared" si="830"/>
        <v>-128.3388461911571</v>
      </c>
      <c r="CX301" s="647">
        <f t="shared" si="831"/>
        <v>12404.059967986479</v>
      </c>
      <c r="CY301" s="644">
        <f t="shared" si="772"/>
        <v>0</v>
      </c>
      <c r="CZ301" s="645">
        <f t="shared" si="773"/>
        <v>12404.059967986479</v>
      </c>
      <c r="DA301" s="646">
        <f t="shared" si="832"/>
        <v>-9.7372321209358006</v>
      </c>
      <c r="DB301" s="647">
        <f t="shared" si="774"/>
        <v>12394.322735865544</v>
      </c>
      <c r="DC301" s="644">
        <f t="shared" si="833"/>
        <v>0</v>
      </c>
      <c r="DD301" s="645">
        <f t="shared" si="834"/>
        <v>12394.322735865544</v>
      </c>
      <c r="DE301" s="646">
        <f t="shared" si="835"/>
        <v>-8.3971499089631387E-3</v>
      </c>
      <c r="DF301" s="647">
        <f t="shared" si="775"/>
        <v>12394.314338715634</v>
      </c>
      <c r="DG301" s="644">
        <f t="shared" si="836"/>
        <v>0</v>
      </c>
      <c r="DH301" s="645">
        <f t="shared" si="837"/>
        <v>12394.314338715634</v>
      </c>
      <c r="DI301" s="646">
        <f t="shared" si="838"/>
        <v>0</v>
      </c>
      <c r="DJ301" s="647">
        <f t="shared" si="776"/>
        <v>12394.314338715634</v>
      </c>
      <c r="DK301" s="644">
        <f t="shared" si="839"/>
        <v>0</v>
      </c>
      <c r="DL301" s="645">
        <f t="shared" si="840"/>
        <v>12394.314338715634</v>
      </c>
      <c r="DM301" s="646">
        <f t="shared" si="841"/>
        <v>0</v>
      </c>
      <c r="DN301" s="647">
        <f t="shared" si="777"/>
        <v>12394.314338715634</v>
      </c>
      <c r="DR301" s="827">
        <f t="shared" si="731"/>
        <v>55034.490502299639</v>
      </c>
      <c r="DV301" s="828">
        <f>IFERROR(VLOOKUP($B301,'Afton FY16 Final'!$A$5:$BV$587,'Afton FY16 Final'!$BV$587,0),0)</f>
        <v>48162.688272930951</v>
      </c>
      <c r="DX301" s="636">
        <f t="shared" si="719"/>
        <v>55034.490502299639</v>
      </c>
      <c r="DY301" s="637">
        <f t="shared" si="720"/>
        <v>6871.8022293686881</v>
      </c>
      <c r="DZ301" s="637">
        <f t="shared" si="721"/>
        <v>48162.688272930951</v>
      </c>
      <c r="EA301" s="643">
        <f t="shared" si="722"/>
        <v>52107.272401178627</v>
      </c>
      <c r="EB301" s="637">
        <f t="shared" si="732"/>
        <v>0</v>
      </c>
      <c r="EC301" s="637">
        <f t="shared" si="733"/>
        <v>52107.272401178627</v>
      </c>
      <c r="ED301" s="637">
        <f t="shared" si="734"/>
        <v>51951.89162608506</v>
      </c>
      <c r="EE301" s="643">
        <f t="shared" si="735"/>
        <v>51951.89162608506</v>
      </c>
      <c r="EF301" s="637">
        <f t="shared" si="736"/>
        <v>0</v>
      </c>
      <c r="EG301" s="637">
        <f t="shared" si="737"/>
        <v>51951.89162608506</v>
      </c>
      <c r="EH301" s="637">
        <f t="shared" si="738"/>
        <v>51951.838029346305</v>
      </c>
      <c r="EI301" s="643">
        <f t="shared" si="739"/>
        <v>51951.838029346305</v>
      </c>
      <c r="EJ301" s="637">
        <f t="shared" si="740"/>
        <v>0</v>
      </c>
      <c r="EK301" s="637">
        <f t="shared" si="741"/>
        <v>51951.838029346305</v>
      </c>
      <c r="EL301" s="637">
        <f t="shared" si="742"/>
        <v>51951.838029346232</v>
      </c>
      <c r="EM301" s="643">
        <f t="shared" si="743"/>
        <v>51951.838029346232</v>
      </c>
      <c r="EN301" s="637">
        <f t="shared" si="744"/>
        <v>0</v>
      </c>
      <c r="EO301" s="637">
        <f t="shared" si="745"/>
        <v>51951.838029346232</v>
      </c>
      <c r="EP301" s="637">
        <f t="shared" si="746"/>
        <v>51951.838029346312</v>
      </c>
      <c r="EQ301" s="643">
        <f t="shared" si="747"/>
        <v>51951.838029346312</v>
      </c>
      <c r="ER301" s="637">
        <f t="shared" si="748"/>
        <v>0</v>
      </c>
      <c r="ES301" s="637">
        <f t="shared" si="749"/>
        <v>51951.838029346312</v>
      </c>
      <c r="ET301" s="637">
        <f t="shared" si="750"/>
        <v>51951.838029346232</v>
      </c>
      <c r="EU301" s="643">
        <f t="shared" si="723"/>
        <v>51951.838029346232</v>
      </c>
      <c r="EV301" s="643">
        <f t="shared" si="724"/>
        <v>0</v>
      </c>
      <c r="EX301" s="829">
        <f t="shared" si="725"/>
        <v>3082.6524729534067</v>
      </c>
      <c r="EY301" s="638">
        <f t="shared" si="726"/>
        <v>51951.838029346232</v>
      </c>
      <c r="FC301" s="830" t="str">
        <f t="shared" si="751"/>
        <v>Y</v>
      </c>
      <c r="FE301" s="830" t="str">
        <f>IFERROR(VLOOKUP($B301,'Historical Conc Grant Elig'!$B$3:$J$707,'HH &amp; SI'!FE$2,0),"N")</f>
        <v>Y</v>
      </c>
      <c r="FF301" s="830" t="str">
        <f>IFERROR(VLOOKUP($B301,'Historical Conc Grant Elig'!$B$3:$J$707,'HH &amp; SI'!FF$2,0),"N")</f>
        <v>Y</v>
      </c>
      <c r="FG301" s="830" t="str">
        <f>IFERROR(VLOOKUP($B301,'Historical Conc Grant Elig'!$B$3:$J$707,'HH &amp; SI'!FG$2,0),"N")</f>
        <v>Y</v>
      </c>
      <c r="FH301" s="830" t="str">
        <f>IFERROR(VLOOKUP($B301,'Historical Conc Grant Elig'!$B$3:$J$707,'HH &amp; SI'!FH$2,0),"N")</f>
        <v>Y</v>
      </c>
      <c r="FI301" s="830" t="str">
        <f>IFERROR(VLOOKUP($B301,'Historical Conc Grant Elig'!$B$3:$J$707,'HH &amp; SI'!FI$2,0),"N")</f>
        <v>Y</v>
      </c>
      <c r="FJ301" s="830" t="str">
        <f>IFERROR(VLOOKUP($B301,'Historical Conc Grant Elig'!$B$3:$J$707,'HH &amp; SI'!FJ$2,0),"N")</f>
        <v>Y</v>
      </c>
      <c r="FK301" s="830" t="str">
        <f>IFERROR(VLOOKUP($B301,'Historical Conc Grant Elig'!$B$3:$J$707,'HH &amp; SI'!FK$2,0),"N")</f>
        <v>Y</v>
      </c>
      <c r="FL301" s="957" t="str">
        <f>IFERROR(VLOOKUP($B301,'Historical Conc Grant Elig'!$B$3:$J$707,'HH &amp; SI'!FL$2,0),"N")</f>
        <v>Y</v>
      </c>
    </row>
    <row r="302" spans="2:168" x14ac:dyDescent="0.25">
      <c r="B302" s="634">
        <v>78977000</v>
      </c>
      <c r="C302" s="635" t="str">
        <f>VLOOKUP($B302,'Afton Update'!$A$5:$CR$582,'Afton Update'!D$589,0)</f>
        <v>Montessori Academy, Inc.</v>
      </c>
      <c r="D302" s="636">
        <f>IFERROR(VLOOKUP($B302,'Afton FY16 Final'!$A$5:$BV$587,'Afton FY16 Final'!AQ$587,0),0)</f>
        <v>13289.115917047013</v>
      </c>
      <c r="E302" s="637">
        <f>IFERROR(VLOOKUP($B302,'Afton FY16 Final'!$A$5:$BV$587,'Afton FY16 Final'!AR$587,0),0)</f>
        <v>4607.9261330232976</v>
      </c>
      <c r="F302" s="637">
        <f>IFERROR(VLOOKUP($B302,'Afton FY16 Final'!$A$5:$BV$587,'Afton FY16 Final'!AS$587,0),0)</f>
        <v>7212.1593094258751</v>
      </c>
      <c r="G302" s="637">
        <f>IFERROR(VLOOKUP($B302,'Afton FY16 Final'!$A$5:$BV$587,'Afton FY16 Final'!AT$587,0),0)</f>
        <v>6691.4434715981624</v>
      </c>
      <c r="H302" s="638">
        <f>IFERROR(VLOOKUP($B302,'Afton FY16 Final'!$A$5:$BV$587,'Afton FY16 Final'!AU$587,0),0)</f>
        <v>31800.644831094349</v>
      </c>
      <c r="I302" s="639" t="str">
        <f>VLOOKUP($B302,'Afton Update'!$A$5:$CR$582,'Afton Update'!BT$589,0)</f>
        <v>Y</v>
      </c>
      <c r="J302" s="640" t="str">
        <f>VLOOKUP($B302,'Afton Update'!$A$5:$CR$582,'Afton Update'!BU$589,0)</f>
        <v>N</v>
      </c>
      <c r="K302" s="640" t="str">
        <f>VLOOKUP($B302,'Afton Update'!$A$5:$CR$582,'Afton Update'!BV$589,0)</f>
        <v>Y</v>
      </c>
      <c r="L302" s="641" t="str">
        <f>VLOOKUP($B302,'Afton Update'!$A$5:$CR$582,'Afton Update'!BW$589,0)</f>
        <v>Y</v>
      </c>
      <c r="N302" s="642">
        <f>VLOOKUP($B302,'Afton Update'!$A$5:$CR$582,'Afton Update'!CB$589,0)</f>
        <v>0.85</v>
      </c>
      <c r="P302" s="636">
        <f>VLOOKUP($B302,'Afton Update'!$A$5:$CR$582,'Afton Update'!AH$589,0)</f>
        <v>9805.9551142490836</v>
      </c>
      <c r="Q302" s="637" t="str">
        <f>VLOOKUP($B302,'Afton Update'!$A$5:$CR$582,'Afton Update'!AI$589,0)</f>
        <v/>
      </c>
      <c r="R302" s="637">
        <f>VLOOKUP($B302,'Afton Update'!$A$5:$CR$582,'Afton Update'!AJ$589,0)</f>
        <v>5764.393438915562</v>
      </c>
      <c r="S302" s="637">
        <f>VLOOKUP($B302,'Afton Update'!$A$5:$CR$582,'Afton Update'!AK$589,0)</f>
        <v>5365.8930837435437</v>
      </c>
      <c r="T302" s="643">
        <f t="shared" si="752"/>
        <v>20936.241636908191</v>
      </c>
      <c r="V302" s="636">
        <f t="shared" si="778"/>
        <v>11295.74852948996</v>
      </c>
      <c r="W302" s="637">
        <f t="shared" si="779"/>
        <v>3916.7372130698027</v>
      </c>
      <c r="X302" s="637">
        <f t="shared" si="780"/>
        <v>6130.3354130119933</v>
      </c>
      <c r="Y302" s="637">
        <f t="shared" si="781"/>
        <v>5687.7269508584377</v>
      </c>
      <c r="Z302" s="643">
        <f t="shared" si="782"/>
        <v>27030.548106430193</v>
      </c>
      <c r="AB302" s="644">
        <f t="shared" si="753"/>
        <v>9805.9551142490836</v>
      </c>
      <c r="AC302" s="645">
        <f t="shared" si="727"/>
        <v>11295.74852948996</v>
      </c>
      <c r="AD302" s="644">
        <f t="shared" si="783"/>
        <v>1489.7934152408761</v>
      </c>
      <c r="AE302" s="645">
        <f t="shared" si="784"/>
        <v>0</v>
      </c>
      <c r="AF302" s="646">
        <f t="shared" si="785"/>
        <v>0</v>
      </c>
      <c r="AG302" s="647">
        <f t="shared" si="786"/>
        <v>11295.74852948996</v>
      </c>
      <c r="AH302" s="644">
        <f t="shared" si="754"/>
        <v>0</v>
      </c>
      <c r="AI302" s="645">
        <f t="shared" si="755"/>
        <v>0</v>
      </c>
      <c r="AJ302" s="646">
        <f t="shared" si="787"/>
        <v>0</v>
      </c>
      <c r="AK302" s="647">
        <f t="shared" si="756"/>
        <v>11295.74852948996</v>
      </c>
      <c r="AL302" s="644">
        <f t="shared" si="788"/>
        <v>0</v>
      </c>
      <c r="AM302" s="645">
        <f t="shared" si="789"/>
        <v>0</v>
      </c>
      <c r="AN302" s="646">
        <f t="shared" si="790"/>
        <v>0</v>
      </c>
      <c r="AO302" s="647">
        <f t="shared" si="757"/>
        <v>11295.74852948996</v>
      </c>
      <c r="AP302" s="644">
        <f t="shared" si="791"/>
        <v>0</v>
      </c>
      <c r="AQ302" s="645">
        <f t="shared" si="792"/>
        <v>0</v>
      </c>
      <c r="AR302" s="646">
        <f t="shared" si="793"/>
        <v>0</v>
      </c>
      <c r="AS302" s="647">
        <f t="shared" si="758"/>
        <v>11295.74852948996</v>
      </c>
      <c r="AT302" s="644">
        <f t="shared" si="794"/>
        <v>0</v>
      </c>
      <c r="AU302" s="645">
        <f t="shared" si="795"/>
        <v>0</v>
      </c>
      <c r="AV302" s="646">
        <f t="shared" si="796"/>
        <v>0</v>
      </c>
      <c r="AW302" s="647">
        <f t="shared" si="759"/>
        <v>11295.74852948996</v>
      </c>
      <c r="AY302" s="644">
        <f t="shared" si="797"/>
        <v>0</v>
      </c>
      <c r="AZ302" s="645">
        <f t="shared" si="728"/>
        <v>3916.7372130698027</v>
      </c>
      <c r="BA302" s="644">
        <f t="shared" si="798"/>
        <v>0</v>
      </c>
      <c r="BB302" s="645">
        <f t="shared" si="799"/>
        <v>0</v>
      </c>
      <c r="BC302" s="646">
        <f t="shared" si="800"/>
        <v>0</v>
      </c>
      <c r="BD302" s="647">
        <f t="shared" si="801"/>
        <v>0</v>
      </c>
      <c r="BE302" s="644">
        <f t="shared" si="760"/>
        <v>-3916.7372130698027</v>
      </c>
      <c r="BF302" s="645">
        <f t="shared" si="761"/>
        <v>0</v>
      </c>
      <c r="BG302" s="646">
        <f t="shared" si="802"/>
        <v>0</v>
      </c>
      <c r="BH302" s="647">
        <f t="shared" si="762"/>
        <v>3916.7372130698027</v>
      </c>
      <c r="BI302" s="644">
        <f t="shared" si="803"/>
        <v>0</v>
      </c>
      <c r="BJ302" s="645">
        <f t="shared" si="804"/>
        <v>0</v>
      </c>
      <c r="BK302" s="646">
        <f t="shared" si="805"/>
        <v>0</v>
      </c>
      <c r="BL302" s="647">
        <f t="shared" si="763"/>
        <v>3916.7372130698027</v>
      </c>
      <c r="BM302" s="644">
        <f t="shared" si="806"/>
        <v>0</v>
      </c>
      <c r="BN302" s="645">
        <f t="shared" si="807"/>
        <v>0</v>
      </c>
      <c r="BO302" s="646">
        <f t="shared" si="808"/>
        <v>0</v>
      </c>
      <c r="BP302" s="647">
        <f t="shared" si="764"/>
        <v>3916.7372130698027</v>
      </c>
      <c r="BQ302" s="644">
        <f t="shared" si="809"/>
        <v>0</v>
      </c>
      <c r="BR302" s="645">
        <f t="shared" si="810"/>
        <v>0</v>
      </c>
      <c r="BS302" s="646">
        <f t="shared" si="811"/>
        <v>0</v>
      </c>
      <c r="BT302" s="647">
        <f t="shared" si="765"/>
        <v>3916.7372130698027</v>
      </c>
      <c r="BU302" s="662">
        <f>VLOOKUP(B302,'Afton Update'!$A$5:$AR$582,'Afton Update'!$AO$589,0)-BT302</f>
        <v>0</v>
      </c>
      <c r="BV302" s="644">
        <f t="shared" si="812"/>
        <v>5764.393438915562</v>
      </c>
      <c r="BW302" s="645">
        <f t="shared" si="729"/>
        <v>6130.3354130119933</v>
      </c>
      <c r="BX302" s="644">
        <f t="shared" si="813"/>
        <v>365.9419740964313</v>
      </c>
      <c r="BY302" s="645">
        <f t="shared" si="814"/>
        <v>0</v>
      </c>
      <c r="BZ302" s="646">
        <f t="shared" si="815"/>
        <v>0</v>
      </c>
      <c r="CA302" s="647">
        <f t="shared" si="816"/>
        <v>6130.3354130119933</v>
      </c>
      <c r="CB302" s="644">
        <f t="shared" si="766"/>
        <v>0</v>
      </c>
      <c r="CC302" s="645">
        <f t="shared" si="767"/>
        <v>0</v>
      </c>
      <c r="CD302" s="646">
        <f t="shared" si="817"/>
        <v>0</v>
      </c>
      <c r="CE302" s="647">
        <f t="shared" si="768"/>
        <v>6130.3354130119933</v>
      </c>
      <c r="CF302" s="644">
        <f t="shared" si="818"/>
        <v>0</v>
      </c>
      <c r="CG302" s="645">
        <f t="shared" si="819"/>
        <v>0</v>
      </c>
      <c r="CH302" s="646">
        <f t="shared" si="820"/>
        <v>0</v>
      </c>
      <c r="CI302" s="647">
        <f t="shared" si="769"/>
        <v>6130.3354130119933</v>
      </c>
      <c r="CJ302" s="644">
        <f t="shared" si="821"/>
        <v>0</v>
      </c>
      <c r="CK302" s="645">
        <f t="shared" si="822"/>
        <v>0</v>
      </c>
      <c r="CL302" s="646">
        <f t="shared" si="823"/>
        <v>0</v>
      </c>
      <c r="CM302" s="647">
        <f t="shared" si="770"/>
        <v>6130.3354130119933</v>
      </c>
      <c r="CN302" s="644">
        <f t="shared" si="824"/>
        <v>0</v>
      </c>
      <c r="CO302" s="645">
        <f t="shared" si="825"/>
        <v>0</v>
      </c>
      <c r="CP302" s="646">
        <f t="shared" si="826"/>
        <v>0</v>
      </c>
      <c r="CQ302" s="647">
        <f t="shared" si="771"/>
        <v>6130.3354130119933</v>
      </c>
      <c r="CS302" s="644">
        <f t="shared" si="827"/>
        <v>5365.8930837435437</v>
      </c>
      <c r="CT302" s="645">
        <f t="shared" si="730"/>
        <v>5687.7269508584377</v>
      </c>
      <c r="CU302" s="644">
        <f t="shared" si="828"/>
        <v>321.83386711489402</v>
      </c>
      <c r="CV302" s="645">
        <f t="shared" si="829"/>
        <v>0</v>
      </c>
      <c r="CW302" s="646">
        <f t="shared" si="830"/>
        <v>0</v>
      </c>
      <c r="CX302" s="647">
        <f t="shared" si="831"/>
        <v>5687.7269508584377</v>
      </c>
      <c r="CY302" s="644">
        <f t="shared" si="772"/>
        <v>0</v>
      </c>
      <c r="CZ302" s="645">
        <f t="shared" si="773"/>
        <v>0</v>
      </c>
      <c r="DA302" s="646">
        <f t="shared" si="832"/>
        <v>0</v>
      </c>
      <c r="DB302" s="647">
        <f t="shared" si="774"/>
        <v>5687.7269508584377</v>
      </c>
      <c r="DC302" s="644">
        <f t="shared" si="833"/>
        <v>0</v>
      </c>
      <c r="DD302" s="645">
        <f t="shared" si="834"/>
        <v>0</v>
      </c>
      <c r="DE302" s="646">
        <f t="shared" si="835"/>
        <v>0</v>
      </c>
      <c r="DF302" s="647">
        <f t="shared" si="775"/>
        <v>5687.7269508584377</v>
      </c>
      <c r="DG302" s="644">
        <f t="shared" si="836"/>
        <v>0</v>
      </c>
      <c r="DH302" s="645">
        <f t="shared" si="837"/>
        <v>0</v>
      </c>
      <c r="DI302" s="646">
        <f t="shared" si="838"/>
        <v>0</v>
      </c>
      <c r="DJ302" s="647">
        <f t="shared" si="776"/>
        <v>5687.7269508584377</v>
      </c>
      <c r="DK302" s="644">
        <f t="shared" si="839"/>
        <v>0</v>
      </c>
      <c r="DL302" s="645">
        <f t="shared" si="840"/>
        <v>0</v>
      </c>
      <c r="DM302" s="646">
        <f t="shared" si="841"/>
        <v>0</v>
      </c>
      <c r="DN302" s="647">
        <f t="shared" si="777"/>
        <v>5687.7269508584377</v>
      </c>
      <c r="DR302" s="827">
        <f t="shared" si="731"/>
        <v>27030.548106430193</v>
      </c>
      <c r="DV302" s="828">
        <f>IFERROR(VLOOKUP($B302,'Afton FY16 Final'!$A$5:$BV$587,'Afton FY16 Final'!$BV$587,0),0)</f>
        <v>30632.430490412917</v>
      </c>
      <c r="DX302" s="636">
        <f t="shared" si="719"/>
        <v>0</v>
      </c>
      <c r="DY302" s="637">
        <f t="shared" si="720"/>
        <v>0</v>
      </c>
      <c r="DZ302" s="637">
        <f t="shared" si="721"/>
        <v>0</v>
      </c>
      <c r="EA302" s="643">
        <f t="shared" si="722"/>
        <v>0</v>
      </c>
      <c r="EB302" s="637">
        <f t="shared" si="732"/>
        <v>0</v>
      </c>
      <c r="EC302" s="637">
        <f t="shared" si="733"/>
        <v>0</v>
      </c>
      <c r="ED302" s="637">
        <f t="shared" si="734"/>
        <v>0</v>
      </c>
      <c r="EE302" s="643">
        <f t="shared" si="735"/>
        <v>0</v>
      </c>
      <c r="EF302" s="637">
        <f t="shared" si="736"/>
        <v>0</v>
      </c>
      <c r="EG302" s="637">
        <f t="shared" si="737"/>
        <v>0</v>
      </c>
      <c r="EH302" s="637">
        <f t="shared" si="738"/>
        <v>0</v>
      </c>
      <c r="EI302" s="643">
        <f t="shared" si="739"/>
        <v>0</v>
      </c>
      <c r="EJ302" s="637">
        <f t="shared" si="740"/>
        <v>0</v>
      </c>
      <c r="EK302" s="637">
        <f t="shared" si="741"/>
        <v>0</v>
      </c>
      <c r="EL302" s="637">
        <f t="shared" si="742"/>
        <v>0</v>
      </c>
      <c r="EM302" s="643">
        <f t="shared" si="743"/>
        <v>0</v>
      </c>
      <c r="EN302" s="637">
        <f t="shared" si="744"/>
        <v>0</v>
      </c>
      <c r="EO302" s="637">
        <f t="shared" si="745"/>
        <v>0</v>
      </c>
      <c r="EP302" s="637">
        <f t="shared" si="746"/>
        <v>0</v>
      </c>
      <c r="EQ302" s="643">
        <f t="shared" si="747"/>
        <v>0</v>
      </c>
      <c r="ER302" s="637">
        <f t="shared" si="748"/>
        <v>0</v>
      </c>
      <c r="ES302" s="637">
        <f t="shared" si="749"/>
        <v>0</v>
      </c>
      <c r="ET302" s="637">
        <f t="shared" si="750"/>
        <v>0</v>
      </c>
      <c r="EU302" s="643">
        <f t="shared" si="723"/>
        <v>0</v>
      </c>
      <c r="EV302" s="643">
        <f t="shared" si="724"/>
        <v>0</v>
      </c>
      <c r="EX302" s="829">
        <f t="shared" si="725"/>
        <v>0</v>
      </c>
      <c r="EY302" s="638">
        <f t="shared" si="726"/>
        <v>27030.548106430193</v>
      </c>
      <c r="FC302" s="830" t="str">
        <f t="shared" si="751"/>
        <v>Y</v>
      </c>
      <c r="FE302" s="830" t="str">
        <f>IFERROR(VLOOKUP($B302,'Historical Conc Grant Elig'!$B$3:$J$707,'HH &amp; SI'!FE$2,0),"N")</f>
        <v>N</v>
      </c>
      <c r="FF302" s="830" t="str">
        <f>IFERROR(VLOOKUP($B302,'Historical Conc Grant Elig'!$B$3:$J$707,'HH &amp; SI'!FF$2,0),"N")</f>
        <v>Y</v>
      </c>
      <c r="FG302" s="830" t="str">
        <f>IFERROR(VLOOKUP($B302,'Historical Conc Grant Elig'!$B$3:$J$707,'HH &amp; SI'!FG$2,0),"N")</f>
        <v>N</v>
      </c>
      <c r="FH302" s="830" t="str">
        <f>IFERROR(VLOOKUP($B302,'Historical Conc Grant Elig'!$B$3:$J$707,'HH &amp; SI'!FH$2,0),"N")</f>
        <v>N</v>
      </c>
      <c r="FI302" s="830" t="str">
        <f>IFERROR(VLOOKUP($B302,'Historical Conc Grant Elig'!$B$3:$J$707,'HH &amp; SI'!FI$2,0),"N")</f>
        <v>N</v>
      </c>
      <c r="FJ302" s="830" t="str">
        <f>IFERROR(VLOOKUP($B302,'Historical Conc Grant Elig'!$B$3:$J$707,'HH &amp; SI'!FJ$2,0),"N")</f>
        <v>Y</v>
      </c>
      <c r="FK302" s="830" t="str">
        <f>IFERROR(VLOOKUP($B302,'Historical Conc Grant Elig'!$B$3:$J$707,'HH &amp; SI'!FK$2,0),"N")</f>
        <v>Y</v>
      </c>
      <c r="FL302" s="957" t="str">
        <f>IFERROR(VLOOKUP($B302,'Historical Conc Grant Elig'!$B$3:$J$707,'HH &amp; SI'!FL$2,0),"N")</f>
        <v>N</v>
      </c>
    </row>
    <row r="303" spans="2:168" x14ac:dyDescent="0.25">
      <c r="B303" s="634">
        <v>78980000</v>
      </c>
      <c r="C303" s="635" t="str">
        <f>VLOOKUP($B303,'Afton Update'!$A$5:$CR$582,'Afton Update'!D$589,0)</f>
        <v>Life Skills Center of Arizona, Inc.</v>
      </c>
      <c r="D303" s="636">
        <f>IFERROR(VLOOKUP($B303,'Afton FY16 Final'!$A$5:$BV$587,'Afton FY16 Final'!AQ$587,0),0)</f>
        <v>0</v>
      </c>
      <c r="E303" s="637">
        <f>IFERROR(VLOOKUP($B303,'Afton FY16 Final'!$A$5:$BV$587,'Afton FY16 Final'!AR$587,0),0)</f>
        <v>0</v>
      </c>
      <c r="F303" s="637">
        <f>IFERROR(VLOOKUP($B303,'Afton FY16 Final'!$A$5:$BV$587,'Afton FY16 Final'!AS$587,0),0)</f>
        <v>0</v>
      </c>
      <c r="G303" s="637">
        <f>IFERROR(VLOOKUP($B303,'Afton FY16 Final'!$A$5:$BV$587,'Afton FY16 Final'!AT$587,0),0)</f>
        <v>0</v>
      </c>
      <c r="H303" s="638">
        <f>IFERROR(VLOOKUP($B303,'Afton FY16 Final'!$A$5:$BV$587,'Afton FY16 Final'!AU$587,0),0)</f>
        <v>0</v>
      </c>
      <c r="I303" s="639" t="str">
        <f>VLOOKUP($B303,'Afton Update'!$A$5:$CR$582,'Afton Update'!BT$589,0)</f>
        <v>Y</v>
      </c>
      <c r="J303" s="640" t="str">
        <f>VLOOKUP($B303,'Afton Update'!$A$5:$CR$582,'Afton Update'!BU$589,0)</f>
        <v>Y</v>
      </c>
      <c r="K303" s="640" t="str">
        <f>VLOOKUP($B303,'Afton Update'!$A$5:$CR$582,'Afton Update'!BV$589,0)</f>
        <v>Y</v>
      </c>
      <c r="L303" s="641" t="str">
        <f>VLOOKUP($B303,'Afton Update'!$A$5:$CR$582,'Afton Update'!BW$589,0)</f>
        <v>Y</v>
      </c>
      <c r="N303" s="642">
        <f>VLOOKUP($B303,'Afton Update'!$A$5:$CR$582,'Afton Update'!CB$589,0)</f>
        <v>0.95</v>
      </c>
      <c r="P303" s="636">
        <f>VLOOKUP($B303,'Afton Update'!$A$5:$CR$582,'Afton Update'!AH$589,0)</f>
        <v>7414.2587449200382</v>
      </c>
      <c r="Q303" s="637">
        <f>VLOOKUP($B303,'Afton Update'!$A$5:$CR$582,'Afton Update'!AI$589,0)</f>
        <v>3664.0781681845438</v>
      </c>
      <c r="R303" s="637">
        <f>VLOOKUP($B303,'Afton Update'!$A$5:$CR$582,'Afton Update'!AJ$589,0)</f>
        <v>4364.6244648435359</v>
      </c>
      <c r="S303" s="637">
        <f>VLOOKUP($B303,'Afton Update'!$A$5:$CR$582,'Afton Update'!AK$589,0)</f>
        <v>4062.8920418464354</v>
      </c>
      <c r="T303" s="643">
        <f t="shared" si="752"/>
        <v>19505.853419794556</v>
      </c>
      <c r="V303" s="636">
        <f t="shared" si="778"/>
        <v>7313.123443313385</v>
      </c>
      <c r="W303" s="637">
        <f t="shared" si="779"/>
        <v>3543.3968295433692</v>
      </c>
      <c r="X303" s="637">
        <f t="shared" si="780"/>
        <v>4324.9299094389735</v>
      </c>
      <c r="Y303" s="637">
        <f t="shared" si="781"/>
        <v>4018.126285124551</v>
      </c>
      <c r="Z303" s="643">
        <f t="shared" si="782"/>
        <v>19199.57646742028</v>
      </c>
      <c r="AB303" s="644">
        <f t="shared" si="753"/>
        <v>7414.2587449200382</v>
      </c>
      <c r="AC303" s="645">
        <f t="shared" si="727"/>
        <v>0</v>
      </c>
      <c r="AD303" s="644">
        <f t="shared" si="783"/>
        <v>0</v>
      </c>
      <c r="AE303" s="645">
        <f t="shared" si="784"/>
        <v>7414.2587449200382</v>
      </c>
      <c r="AF303" s="646">
        <f t="shared" si="785"/>
        <v>-91.905308810415647</v>
      </c>
      <c r="AG303" s="647">
        <f t="shared" si="786"/>
        <v>7322.3534361096226</v>
      </c>
      <c r="AH303" s="644">
        <f t="shared" si="754"/>
        <v>0</v>
      </c>
      <c r="AI303" s="645">
        <f t="shared" si="755"/>
        <v>7322.3534361096226</v>
      </c>
      <c r="AJ303" s="646">
        <f t="shared" si="787"/>
        <v>-9.2241123961762348</v>
      </c>
      <c r="AK303" s="647">
        <f t="shared" si="756"/>
        <v>7313.129323713446</v>
      </c>
      <c r="AL303" s="644">
        <f t="shared" si="788"/>
        <v>0</v>
      </c>
      <c r="AM303" s="645">
        <f t="shared" si="789"/>
        <v>7313.129323713446</v>
      </c>
      <c r="AN303" s="646">
        <f t="shared" si="790"/>
        <v>-5.8804000612327932E-3</v>
      </c>
      <c r="AO303" s="647">
        <f t="shared" si="757"/>
        <v>7313.123443313385</v>
      </c>
      <c r="AP303" s="644">
        <f t="shared" si="791"/>
        <v>0</v>
      </c>
      <c r="AQ303" s="645">
        <f t="shared" si="792"/>
        <v>7313.123443313385</v>
      </c>
      <c r="AR303" s="646">
        <f t="shared" si="793"/>
        <v>0</v>
      </c>
      <c r="AS303" s="647">
        <f t="shared" si="758"/>
        <v>7313.123443313385</v>
      </c>
      <c r="AT303" s="644">
        <f t="shared" si="794"/>
        <v>0</v>
      </c>
      <c r="AU303" s="645">
        <f t="shared" si="795"/>
        <v>7313.123443313385</v>
      </c>
      <c r="AV303" s="646">
        <f t="shared" si="796"/>
        <v>0</v>
      </c>
      <c r="AW303" s="647">
        <f t="shared" si="759"/>
        <v>7313.123443313385</v>
      </c>
      <c r="AY303" s="644">
        <f t="shared" si="797"/>
        <v>3664.0781681845438</v>
      </c>
      <c r="AZ303" s="645">
        <f t="shared" si="728"/>
        <v>0</v>
      </c>
      <c r="BA303" s="644">
        <f t="shared" si="798"/>
        <v>0</v>
      </c>
      <c r="BB303" s="645">
        <f t="shared" si="799"/>
        <v>3664.0781681845438</v>
      </c>
      <c r="BC303" s="646">
        <f t="shared" si="800"/>
        <v>-26.349453931343433</v>
      </c>
      <c r="BD303" s="647">
        <f t="shared" si="801"/>
        <v>3637.7287142532005</v>
      </c>
      <c r="BE303" s="644">
        <f t="shared" si="760"/>
        <v>0</v>
      </c>
      <c r="BF303" s="645">
        <f t="shared" si="761"/>
        <v>3637.7287142532005</v>
      </c>
      <c r="BG303" s="646">
        <f t="shared" si="802"/>
        <v>-86.647733438482575</v>
      </c>
      <c r="BH303" s="647">
        <f t="shared" si="762"/>
        <v>3551.0809808147178</v>
      </c>
      <c r="BI303" s="644">
        <f t="shared" si="803"/>
        <v>0</v>
      </c>
      <c r="BJ303" s="645">
        <f t="shared" si="804"/>
        <v>3551.0809808147178</v>
      </c>
      <c r="BK303" s="646">
        <f t="shared" si="805"/>
        <v>-7.5220235668899722</v>
      </c>
      <c r="BL303" s="647">
        <f t="shared" si="763"/>
        <v>3543.5589572478279</v>
      </c>
      <c r="BM303" s="644">
        <f t="shared" si="806"/>
        <v>0</v>
      </c>
      <c r="BN303" s="645">
        <f t="shared" si="807"/>
        <v>3543.5589572478279</v>
      </c>
      <c r="BO303" s="646">
        <f t="shared" si="808"/>
        <v>-0.16212770445865821</v>
      </c>
      <c r="BP303" s="647">
        <f t="shared" si="764"/>
        <v>3543.3968295433692</v>
      </c>
      <c r="BQ303" s="644">
        <f t="shared" si="809"/>
        <v>0</v>
      </c>
      <c r="BR303" s="645">
        <f t="shared" si="810"/>
        <v>3543.3968295433692</v>
      </c>
      <c r="BS303" s="646">
        <f t="shared" si="811"/>
        <v>0</v>
      </c>
      <c r="BT303" s="647">
        <f t="shared" si="765"/>
        <v>3543.3968295433692</v>
      </c>
      <c r="BU303" s="662">
        <f>VLOOKUP(B303,'Afton Update'!$A$5:$AR$582,'Afton Update'!$AO$589,0)-BT303</f>
        <v>0</v>
      </c>
      <c r="BV303" s="644">
        <f t="shared" si="812"/>
        <v>4364.6244648435359</v>
      </c>
      <c r="BW303" s="645">
        <f t="shared" si="729"/>
        <v>0</v>
      </c>
      <c r="BX303" s="644">
        <f t="shared" si="813"/>
        <v>0</v>
      </c>
      <c r="BY303" s="645">
        <f t="shared" si="814"/>
        <v>4364.6244648435359</v>
      </c>
      <c r="BZ303" s="646">
        <f t="shared" si="815"/>
        <v>-38.308772969620748</v>
      </c>
      <c r="CA303" s="647">
        <f t="shared" si="816"/>
        <v>4326.3156918739151</v>
      </c>
      <c r="CB303" s="644">
        <f t="shared" si="766"/>
        <v>0</v>
      </c>
      <c r="CC303" s="645">
        <f t="shared" si="767"/>
        <v>4326.3156918739151</v>
      </c>
      <c r="CD303" s="646">
        <f t="shared" si="817"/>
        <v>-1.3857824349417363</v>
      </c>
      <c r="CE303" s="647">
        <f t="shared" si="768"/>
        <v>4324.9299094389735</v>
      </c>
      <c r="CF303" s="644">
        <f t="shared" si="818"/>
        <v>0</v>
      </c>
      <c r="CG303" s="645">
        <f t="shared" si="819"/>
        <v>4324.9299094389735</v>
      </c>
      <c r="CH303" s="646">
        <f t="shared" si="820"/>
        <v>0</v>
      </c>
      <c r="CI303" s="647">
        <f t="shared" si="769"/>
        <v>4324.9299094389735</v>
      </c>
      <c r="CJ303" s="644">
        <f t="shared" si="821"/>
        <v>0</v>
      </c>
      <c r="CK303" s="645">
        <f t="shared" si="822"/>
        <v>4324.9299094389735</v>
      </c>
      <c r="CL303" s="646">
        <f t="shared" si="823"/>
        <v>0</v>
      </c>
      <c r="CM303" s="647">
        <f t="shared" si="770"/>
        <v>4324.9299094389735</v>
      </c>
      <c r="CN303" s="644">
        <f t="shared" si="824"/>
        <v>0</v>
      </c>
      <c r="CO303" s="645">
        <f t="shared" si="825"/>
        <v>4324.9299094389735</v>
      </c>
      <c r="CP303" s="646">
        <f t="shared" si="826"/>
        <v>0</v>
      </c>
      <c r="CQ303" s="647">
        <f t="shared" si="771"/>
        <v>4324.9299094389735</v>
      </c>
      <c r="CS303" s="644">
        <f t="shared" si="827"/>
        <v>4062.8920418464354</v>
      </c>
      <c r="CT303" s="645">
        <f t="shared" si="730"/>
        <v>0</v>
      </c>
      <c r="CU303" s="644">
        <f t="shared" si="828"/>
        <v>0</v>
      </c>
      <c r="CV303" s="645">
        <f t="shared" si="829"/>
        <v>4062.8920418464354</v>
      </c>
      <c r="CW303" s="646">
        <f t="shared" si="830"/>
        <v>-41.606310538085232</v>
      </c>
      <c r="CX303" s="647">
        <f t="shared" si="831"/>
        <v>4021.28573130835</v>
      </c>
      <c r="CY303" s="644">
        <f t="shared" si="772"/>
        <v>0</v>
      </c>
      <c r="CZ303" s="645">
        <f t="shared" si="773"/>
        <v>4021.28573130835</v>
      </c>
      <c r="DA303" s="646">
        <f t="shared" si="832"/>
        <v>-3.1567239026104619</v>
      </c>
      <c r="DB303" s="647">
        <f t="shared" si="774"/>
        <v>4018.1290074057397</v>
      </c>
      <c r="DC303" s="644">
        <f t="shared" si="833"/>
        <v>0</v>
      </c>
      <c r="DD303" s="645">
        <f t="shared" si="834"/>
        <v>4018.1290074057397</v>
      </c>
      <c r="DE303" s="646">
        <f t="shared" si="835"/>
        <v>-2.7222811885560445E-3</v>
      </c>
      <c r="DF303" s="647">
        <f t="shared" si="775"/>
        <v>4018.126285124551</v>
      </c>
      <c r="DG303" s="644">
        <f t="shared" si="836"/>
        <v>0</v>
      </c>
      <c r="DH303" s="645">
        <f t="shared" si="837"/>
        <v>4018.126285124551</v>
      </c>
      <c r="DI303" s="646">
        <f t="shared" si="838"/>
        <v>0</v>
      </c>
      <c r="DJ303" s="647">
        <f t="shared" si="776"/>
        <v>4018.126285124551</v>
      </c>
      <c r="DK303" s="644">
        <f t="shared" si="839"/>
        <v>0</v>
      </c>
      <c r="DL303" s="645">
        <f t="shared" si="840"/>
        <v>4018.126285124551</v>
      </c>
      <c r="DM303" s="646">
        <f t="shared" si="841"/>
        <v>0</v>
      </c>
      <c r="DN303" s="647">
        <f t="shared" si="777"/>
        <v>4018.126285124551</v>
      </c>
      <c r="DR303" s="827">
        <f t="shared" si="731"/>
        <v>19199.57646742028</v>
      </c>
      <c r="DV303" s="828">
        <f>IFERROR(VLOOKUP($B303,'Afton FY16 Final'!$A$5:$BV$587,'Afton FY16 Final'!$BV$587,0),0)</f>
        <v>0</v>
      </c>
      <c r="DX303" s="636">
        <f t="shared" si="719"/>
        <v>19199.57646742028</v>
      </c>
      <c r="DY303" s="637">
        <f t="shared" si="720"/>
        <v>19199.57646742028</v>
      </c>
      <c r="DZ303" s="637">
        <f t="shared" si="721"/>
        <v>0</v>
      </c>
      <c r="EA303" s="643">
        <f t="shared" si="722"/>
        <v>18178.374176705129</v>
      </c>
      <c r="EB303" s="637">
        <f t="shared" si="732"/>
        <v>0</v>
      </c>
      <c r="EC303" s="637">
        <f t="shared" si="733"/>
        <v>18178.374176705129</v>
      </c>
      <c r="ED303" s="637">
        <f t="shared" si="734"/>
        <v>18124.16735029958</v>
      </c>
      <c r="EE303" s="643">
        <f t="shared" si="735"/>
        <v>18124.16735029958</v>
      </c>
      <c r="EF303" s="637">
        <f t="shared" si="736"/>
        <v>0</v>
      </c>
      <c r="EG303" s="637">
        <f t="shared" si="737"/>
        <v>18124.16735029958</v>
      </c>
      <c r="EH303" s="637">
        <f t="shared" si="738"/>
        <v>18124.148652303564</v>
      </c>
      <c r="EI303" s="643">
        <f t="shared" si="739"/>
        <v>18124.148652303564</v>
      </c>
      <c r="EJ303" s="637">
        <f t="shared" si="740"/>
        <v>0</v>
      </c>
      <c r="EK303" s="637">
        <f t="shared" si="741"/>
        <v>18124.148652303564</v>
      </c>
      <c r="EL303" s="637">
        <f t="shared" si="742"/>
        <v>18124.148652303538</v>
      </c>
      <c r="EM303" s="643">
        <f t="shared" si="743"/>
        <v>18124.148652303538</v>
      </c>
      <c r="EN303" s="637">
        <f t="shared" si="744"/>
        <v>0</v>
      </c>
      <c r="EO303" s="637">
        <f t="shared" si="745"/>
        <v>18124.148652303538</v>
      </c>
      <c r="EP303" s="637">
        <f t="shared" si="746"/>
        <v>18124.148652303567</v>
      </c>
      <c r="EQ303" s="643">
        <f t="shared" si="747"/>
        <v>18124.148652303567</v>
      </c>
      <c r="ER303" s="637">
        <f t="shared" si="748"/>
        <v>0</v>
      </c>
      <c r="ES303" s="637">
        <f t="shared" si="749"/>
        <v>18124.148652303567</v>
      </c>
      <c r="ET303" s="637">
        <f t="shared" si="750"/>
        <v>18124.148652303538</v>
      </c>
      <c r="EU303" s="643">
        <f t="shared" si="723"/>
        <v>18124.148652303538</v>
      </c>
      <c r="EV303" s="643">
        <f t="shared" si="724"/>
        <v>0</v>
      </c>
      <c r="EX303" s="829">
        <f t="shared" si="725"/>
        <v>1075.4278151167418</v>
      </c>
      <c r="EY303" s="638">
        <f t="shared" si="726"/>
        <v>18124.148652303538</v>
      </c>
      <c r="FC303" s="830" t="str">
        <f t="shared" si="751"/>
        <v>N</v>
      </c>
      <c r="FE303" s="830" t="str">
        <f>IFERROR(VLOOKUP($B303,'Historical Conc Grant Elig'!$B$3:$J$707,'HH &amp; SI'!FE$2,0),"N")</f>
        <v>Y</v>
      </c>
      <c r="FF303" s="830" t="str">
        <f>IFERROR(VLOOKUP($B303,'Historical Conc Grant Elig'!$B$3:$J$707,'HH &amp; SI'!FF$2,0),"N")</f>
        <v>Y</v>
      </c>
      <c r="FG303" s="830" t="str">
        <f>IFERROR(VLOOKUP($B303,'Historical Conc Grant Elig'!$B$3:$J$707,'HH &amp; SI'!FG$2,0),"N")</f>
        <v>N</v>
      </c>
      <c r="FH303" s="830" t="str">
        <f>IFERROR(VLOOKUP($B303,'Historical Conc Grant Elig'!$B$3:$J$707,'HH &amp; SI'!FH$2,0),"N")</f>
        <v>N</v>
      </c>
      <c r="FI303" s="830" t="str">
        <f>IFERROR(VLOOKUP($B303,'Historical Conc Grant Elig'!$B$3:$J$707,'HH &amp; SI'!FI$2,0),"N")</f>
        <v>N</v>
      </c>
      <c r="FJ303" s="830" t="str">
        <f>IFERROR(VLOOKUP($B303,'Historical Conc Grant Elig'!$B$3:$J$707,'HH &amp; SI'!FJ$2,0),"N")</f>
        <v>N</v>
      </c>
      <c r="FK303" s="830" t="str">
        <f>IFERROR(VLOOKUP($B303,'Historical Conc Grant Elig'!$B$3:$J$707,'HH &amp; SI'!FK$2,0),"N")</f>
        <v>N</v>
      </c>
      <c r="FL303" s="957" t="str">
        <f>IFERROR(VLOOKUP($B303,'Historical Conc Grant Elig'!$B$3:$J$707,'HH &amp; SI'!FL$2,0),"N")</f>
        <v>Y</v>
      </c>
    </row>
    <row r="304" spans="2:168" x14ac:dyDescent="0.25">
      <c r="B304" s="634">
        <v>78983000</v>
      </c>
      <c r="C304" s="635" t="str">
        <f>VLOOKUP($B304,'Afton Update'!$A$5:$CR$582,'Afton Update'!D$589,0)</f>
        <v>American Charter Schools Foundation d.b.a. South Pointe High</v>
      </c>
      <c r="D304" s="636">
        <f>IFERROR(VLOOKUP($B304,'Afton FY16 Final'!$A$5:$BV$587,'Afton FY16 Final'!AQ$587,0),0)</f>
        <v>103025.83661300952</v>
      </c>
      <c r="E304" s="637">
        <f>IFERROR(VLOOKUP($B304,'Afton FY16 Final'!$A$5:$BV$587,'Afton FY16 Final'!AR$587,0),0)</f>
        <v>19707.659516973916</v>
      </c>
      <c r="F304" s="637">
        <f>IFERROR(VLOOKUP($B304,'Afton FY16 Final'!$A$5:$BV$587,'Afton FY16 Final'!AS$587,0),0)</f>
        <v>51686.158369350451</v>
      </c>
      <c r="G304" s="637">
        <f>IFERROR(VLOOKUP($B304,'Afton FY16 Final'!$A$5:$BV$587,'Afton FY16 Final'!AT$587,0),0)</f>
        <v>48503.56056357878</v>
      </c>
      <c r="H304" s="638">
        <f>IFERROR(VLOOKUP($B304,'Afton FY16 Final'!$A$5:$BV$587,'Afton FY16 Final'!AU$587,0),0)</f>
        <v>222923.21506291267</v>
      </c>
      <c r="I304" s="639" t="str">
        <f>VLOOKUP($B304,'Afton Update'!$A$5:$CR$582,'Afton Update'!BT$589,0)</f>
        <v>Y</v>
      </c>
      <c r="J304" s="640" t="str">
        <f>VLOOKUP($B304,'Afton Update'!$A$5:$CR$582,'Afton Update'!BU$589,0)</f>
        <v>Y</v>
      </c>
      <c r="K304" s="640" t="str">
        <f>VLOOKUP($B304,'Afton Update'!$A$5:$CR$582,'Afton Update'!BV$589,0)</f>
        <v>Y</v>
      </c>
      <c r="L304" s="641" t="str">
        <f>VLOOKUP($B304,'Afton Update'!$A$5:$CR$582,'Afton Update'!BW$589,0)</f>
        <v>Y</v>
      </c>
      <c r="N304" s="642">
        <f>VLOOKUP($B304,'Afton Update'!$A$5:$CR$582,'Afton Update'!CB$589,0)</f>
        <v>0.95</v>
      </c>
      <c r="P304" s="636">
        <f>VLOOKUP($B304,'Afton Update'!$A$5:$CR$582,'Afton Update'!AH$589,0)</f>
        <v>82513.524741852045</v>
      </c>
      <c r="Q304" s="637">
        <f>VLOOKUP($B304,'Afton Update'!$A$5:$CR$582,'Afton Update'!AI$589,0)</f>
        <v>19194.485606929804</v>
      </c>
      <c r="R304" s="637">
        <f>VLOOKUP($B304,'Afton Update'!$A$5:$CR$582,'Afton Update'!AJ$589,0)</f>
        <v>48317.370250705128</v>
      </c>
      <c r="S304" s="637">
        <f>VLOOKUP($B304,'Afton Update'!$A$5:$CR$582,'Afton Update'!AK$589,0)</f>
        <v>44977.124757415615</v>
      </c>
      <c r="T304" s="643">
        <f t="shared" si="752"/>
        <v>195002.50535690261</v>
      </c>
      <c r="V304" s="636">
        <f t="shared" si="778"/>
        <v>97874.544782359037</v>
      </c>
      <c r="W304" s="637">
        <f t="shared" si="779"/>
        <v>18722.276541125219</v>
      </c>
      <c r="X304" s="637">
        <f t="shared" si="780"/>
        <v>49101.850450882928</v>
      </c>
      <c r="Y304" s="637">
        <f t="shared" si="781"/>
        <v>46078.38253539984</v>
      </c>
      <c r="Z304" s="643">
        <f t="shared" si="782"/>
        <v>211777.05430976703</v>
      </c>
      <c r="AB304" s="644">
        <f t="shared" si="753"/>
        <v>82513.524741852045</v>
      </c>
      <c r="AC304" s="645">
        <f t="shared" si="727"/>
        <v>97874.544782359037</v>
      </c>
      <c r="AD304" s="644">
        <f t="shared" si="783"/>
        <v>15361.020040506992</v>
      </c>
      <c r="AE304" s="645">
        <f t="shared" si="784"/>
        <v>0</v>
      </c>
      <c r="AF304" s="646">
        <f t="shared" si="785"/>
        <v>0</v>
      </c>
      <c r="AG304" s="647">
        <f t="shared" si="786"/>
        <v>97874.544782359037</v>
      </c>
      <c r="AH304" s="644">
        <f t="shared" si="754"/>
        <v>0</v>
      </c>
      <c r="AI304" s="645">
        <f t="shared" si="755"/>
        <v>0</v>
      </c>
      <c r="AJ304" s="646">
        <f t="shared" si="787"/>
        <v>0</v>
      </c>
      <c r="AK304" s="647">
        <f t="shared" si="756"/>
        <v>97874.544782359037</v>
      </c>
      <c r="AL304" s="644">
        <f t="shared" si="788"/>
        <v>0</v>
      </c>
      <c r="AM304" s="645">
        <f t="shared" si="789"/>
        <v>0</v>
      </c>
      <c r="AN304" s="646">
        <f t="shared" si="790"/>
        <v>0</v>
      </c>
      <c r="AO304" s="647">
        <f t="shared" si="757"/>
        <v>97874.544782359037</v>
      </c>
      <c r="AP304" s="644">
        <f t="shared" si="791"/>
        <v>0</v>
      </c>
      <c r="AQ304" s="645">
        <f t="shared" si="792"/>
        <v>0</v>
      </c>
      <c r="AR304" s="646">
        <f t="shared" si="793"/>
        <v>0</v>
      </c>
      <c r="AS304" s="647">
        <f t="shared" si="758"/>
        <v>97874.544782359037</v>
      </c>
      <c r="AT304" s="644">
        <f t="shared" si="794"/>
        <v>0</v>
      </c>
      <c r="AU304" s="645">
        <f t="shared" si="795"/>
        <v>0</v>
      </c>
      <c r="AV304" s="646">
        <f t="shared" si="796"/>
        <v>0</v>
      </c>
      <c r="AW304" s="647">
        <f t="shared" si="759"/>
        <v>97874.544782359037</v>
      </c>
      <c r="AY304" s="644">
        <f t="shared" si="797"/>
        <v>19194.485606929804</v>
      </c>
      <c r="AZ304" s="645">
        <f t="shared" si="728"/>
        <v>18722.276541125219</v>
      </c>
      <c r="BA304" s="644">
        <f t="shared" si="798"/>
        <v>0</v>
      </c>
      <c r="BB304" s="645">
        <f t="shared" si="799"/>
        <v>19194.485606929804</v>
      </c>
      <c r="BC304" s="646">
        <f t="shared" si="800"/>
        <v>-138.03313985690011</v>
      </c>
      <c r="BD304" s="647">
        <f t="shared" si="801"/>
        <v>19056.452467072904</v>
      </c>
      <c r="BE304" s="644">
        <f t="shared" si="760"/>
        <v>0</v>
      </c>
      <c r="BF304" s="645">
        <f t="shared" si="761"/>
        <v>19056.452467072904</v>
      </c>
      <c r="BG304" s="646">
        <f t="shared" si="802"/>
        <v>-453.90916787730436</v>
      </c>
      <c r="BH304" s="647">
        <f t="shared" si="762"/>
        <v>18602.5432991956</v>
      </c>
      <c r="BI304" s="644">
        <f t="shared" si="803"/>
        <v>-119.73324192961809</v>
      </c>
      <c r="BJ304" s="645">
        <f t="shared" si="804"/>
        <v>0</v>
      </c>
      <c r="BK304" s="646">
        <f t="shared" si="805"/>
        <v>0</v>
      </c>
      <c r="BL304" s="647">
        <f t="shared" si="763"/>
        <v>18722.276541125219</v>
      </c>
      <c r="BM304" s="644">
        <f t="shared" si="806"/>
        <v>0</v>
      </c>
      <c r="BN304" s="645">
        <f t="shared" si="807"/>
        <v>0</v>
      </c>
      <c r="BO304" s="646">
        <f t="shared" si="808"/>
        <v>0</v>
      </c>
      <c r="BP304" s="647">
        <f t="shared" si="764"/>
        <v>18722.276541125219</v>
      </c>
      <c r="BQ304" s="644">
        <f t="shared" si="809"/>
        <v>0</v>
      </c>
      <c r="BR304" s="645">
        <f t="shared" si="810"/>
        <v>0</v>
      </c>
      <c r="BS304" s="646">
        <f t="shared" si="811"/>
        <v>0</v>
      </c>
      <c r="BT304" s="647">
        <f t="shared" si="765"/>
        <v>18722.276541125219</v>
      </c>
      <c r="BU304" s="662">
        <f>VLOOKUP(B304,'Afton Update'!$A$5:$AR$582,'Afton Update'!$AO$589,0)-BT304</f>
        <v>0</v>
      </c>
      <c r="BV304" s="644">
        <f t="shared" si="812"/>
        <v>48317.370250705128</v>
      </c>
      <c r="BW304" s="645">
        <f t="shared" si="729"/>
        <v>49101.850450882928</v>
      </c>
      <c r="BX304" s="644">
        <f t="shared" si="813"/>
        <v>784.48020017780073</v>
      </c>
      <c r="BY304" s="645">
        <f t="shared" si="814"/>
        <v>0</v>
      </c>
      <c r="BZ304" s="646">
        <f t="shared" si="815"/>
        <v>0</v>
      </c>
      <c r="CA304" s="647">
        <f t="shared" si="816"/>
        <v>49101.850450882928</v>
      </c>
      <c r="CB304" s="644">
        <f t="shared" si="766"/>
        <v>0</v>
      </c>
      <c r="CC304" s="645">
        <f t="shared" si="767"/>
        <v>0</v>
      </c>
      <c r="CD304" s="646">
        <f t="shared" si="817"/>
        <v>0</v>
      </c>
      <c r="CE304" s="647">
        <f t="shared" si="768"/>
        <v>49101.850450882928</v>
      </c>
      <c r="CF304" s="644">
        <f t="shared" si="818"/>
        <v>0</v>
      </c>
      <c r="CG304" s="645">
        <f t="shared" si="819"/>
        <v>0</v>
      </c>
      <c r="CH304" s="646">
        <f t="shared" si="820"/>
        <v>0</v>
      </c>
      <c r="CI304" s="647">
        <f t="shared" si="769"/>
        <v>49101.850450882928</v>
      </c>
      <c r="CJ304" s="644">
        <f t="shared" si="821"/>
        <v>0</v>
      </c>
      <c r="CK304" s="645">
        <f t="shared" si="822"/>
        <v>0</v>
      </c>
      <c r="CL304" s="646">
        <f t="shared" si="823"/>
        <v>0</v>
      </c>
      <c r="CM304" s="647">
        <f t="shared" si="770"/>
        <v>49101.850450882928</v>
      </c>
      <c r="CN304" s="644">
        <f t="shared" si="824"/>
        <v>0</v>
      </c>
      <c r="CO304" s="645">
        <f t="shared" si="825"/>
        <v>0</v>
      </c>
      <c r="CP304" s="646">
        <f t="shared" si="826"/>
        <v>0</v>
      </c>
      <c r="CQ304" s="647">
        <f t="shared" si="771"/>
        <v>49101.850450882928</v>
      </c>
      <c r="CS304" s="644">
        <f t="shared" si="827"/>
        <v>44977.124757415615</v>
      </c>
      <c r="CT304" s="645">
        <f t="shared" si="730"/>
        <v>46078.38253539984</v>
      </c>
      <c r="CU304" s="644">
        <f t="shared" si="828"/>
        <v>1101.257777984225</v>
      </c>
      <c r="CV304" s="645">
        <f t="shared" si="829"/>
        <v>0</v>
      </c>
      <c r="CW304" s="646">
        <f t="shared" si="830"/>
        <v>0</v>
      </c>
      <c r="CX304" s="647">
        <f t="shared" si="831"/>
        <v>46078.38253539984</v>
      </c>
      <c r="CY304" s="644">
        <f t="shared" si="772"/>
        <v>0</v>
      </c>
      <c r="CZ304" s="645">
        <f t="shared" si="773"/>
        <v>0</v>
      </c>
      <c r="DA304" s="646">
        <f t="shared" si="832"/>
        <v>0</v>
      </c>
      <c r="DB304" s="647">
        <f t="shared" si="774"/>
        <v>46078.38253539984</v>
      </c>
      <c r="DC304" s="644">
        <f t="shared" si="833"/>
        <v>0</v>
      </c>
      <c r="DD304" s="645">
        <f t="shared" si="834"/>
        <v>0</v>
      </c>
      <c r="DE304" s="646">
        <f t="shared" si="835"/>
        <v>0</v>
      </c>
      <c r="DF304" s="647">
        <f t="shared" si="775"/>
        <v>46078.38253539984</v>
      </c>
      <c r="DG304" s="644">
        <f t="shared" si="836"/>
        <v>0</v>
      </c>
      <c r="DH304" s="645">
        <f t="shared" si="837"/>
        <v>0</v>
      </c>
      <c r="DI304" s="646">
        <f t="shared" si="838"/>
        <v>0</v>
      </c>
      <c r="DJ304" s="647">
        <f t="shared" si="776"/>
        <v>46078.38253539984</v>
      </c>
      <c r="DK304" s="644">
        <f t="shared" si="839"/>
        <v>0</v>
      </c>
      <c r="DL304" s="645">
        <f t="shared" si="840"/>
        <v>0</v>
      </c>
      <c r="DM304" s="646">
        <f t="shared" si="841"/>
        <v>0</v>
      </c>
      <c r="DN304" s="647">
        <f t="shared" si="777"/>
        <v>46078.38253539984</v>
      </c>
      <c r="DR304" s="827">
        <f t="shared" si="731"/>
        <v>211777.05430976703</v>
      </c>
      <c r="DV304" s="828">
        <f>IFERROR(VLOOKUP($B304,'Afton FY16 Final'!$A$5:$BV$587,'Afton FY16 Final'!$BV$587,0),0)</f>
        <v>218533.85699524195</v>
      </c>
      <c r="DX304" s="636">
        <f t="shared" si="719"/>
        <v>0</v>
      </c>
      <c r="DY304" s="637">
        <f t="shared" si="720"/>
        <v>0</v>
      </c>
      <c r="DZ304" s="637">
        <f t="shared" si="721"/>
        <v>0</v>
      </c>
      <c r="EA304" s="643">
        <f t="shared" si="722"/>
        <v>0</v>
      </c>
      <c r="EB304" s="637">
        <f t="shared" si="732"/>
        <v>0</v>
      </c>
      <c r="EC304" s="637">
        <f t="shared" si="733"/>
        <v>0</v>
      </c>
      <c r="ED304" s="637">
        <f t="shared" si="734"/>
        <v>0</v>
      </c>
      <c r="EE304" s="643">
        <f t="shared" si="735"/>
        <v>0</v>
      </c>
      <c r="EF304" s="637">
        <f t="shared" si="736"/>
        <v>0</v>
      </c>
      <c r="EG304" s="637">
        <f t="shared" si="737"/>
        <v>0</v>
      </c>
      <c r="EH304" s="637">
        <f t="shared" si="738"/>
        <v>0</v>
      </c>
      <c r="EI304" s="643">
        <f t="shared" si="739"/>
        <v>0</v>
      </c>
      <c r="EJ304" s="637">
        <f t="shared" si="740"/>
        <v>0</v>
      </c>
      <c r="EK304" s="637">
        <f t="shared" si="741"/>
        <v>0</v>
      </c>
      <c r="EL304" s="637">
        <f t="shared" si="742"/>
        <v>0</v>
      </c>
      <c r="EM304" s="643">
        <f t="shared" si="743"/>
        <v>0</v>
      </c>
      <c r="EN304" s="637">
        <f t="shared" si="744"/>
        <v>0</v>
      </c>
      <c r="EO304" s="637">
        <f t="shared" si="745"/>
        <v>0</v>
      </c>
      <c r="EP304" s="637">
        <f t="shared" si="746"/>
        <v>0</v>
      </c>
      <c r="EQ304" s="643">
        <f t="shared" si="747"/>
        <v>0</v>
      </c>
      <c r="ER304" s="637">
        <f t="shared" si="748"/>
        <v>0</v>
      </c>
      <c r="ES304" s="637">
        <f t="shared" si="749"/>
        <v>0</v>
      </c>
      <c r="ET304" s="637">
        <f t="shared" si="750"/>
        <v>0</v>
      </c>
      <c r="EU304" s="643">
        <f t="shared" si="723"/>
        <v>0</v>
      </c>
      <c r="EV304" s="643">
        <f t="shared" si="724"/>
        <v>0</v>
      </c>
      <c r="EX304" s="829">
        <f t="shared" si="725"/>
        <v>0</v>
      </c>
      <c r="EY304" s="638">
        <f t="shared" si="726"/>
        <v>211777.05430976703</v>
      </c>
      <c r="FC304" s="830" t="str">
        <f t="shared" si="751"/>
        <v>Y</v>
      </c>
      <c r="FE304" s="830" t="str">
        <f>IFERROR(VLOOKUP($B304,'Historical Conc Grant Elig'!$B$3:$J$707,'HH &amp; SI'!FE$2,0),"N")</f>
        <v>Y</v>
      </c>
      <c r="FF304" s="830" t="str">
        <f>IFERROR(VLOOKUP($B304,'Historical Conc Grant Elig'!$B$3:$J$707,'HH &amp; SI'!FF$2,0),"N")</f>
        <v>Y</v>
      </c>
      <c r="FG304" s="830" t="str">
        <f>IFERROR(VLOOKUP($B304,'Historical Conc Grant Elig'!$B$3:$J$707,'HH &amp; SI'!FG$2,0),"N")</f>
        <v>Y</v>
      </c>
      <c r="FH304" s="830" t="str">
        <f>IFERROR(VLOOKUP($B304,'Historical Conc Grant Elig'!$B$3:$J$707,'HH &amp; SI'!FH$2,0),"N")</f>
        <v>Y</v>
      </c>
      <c r="FI304" s="830" t="str">
        <f>IFERROR(VLOOKUP($B304,'Historical Conc Grant Elig'!$B$3:$J$707,'HH &amp; SI'!FI$2,0),"N")</f>
        <v>Y</v>
      </c>
      <c r="FJ304" s="830" t="str">
        <f>IFERROR(VLOOKUP($B304,'Historical Conc Grant Elig'!$B$3:$J$707,'HH &amp; SI'!FJ$2,0),"N")</f>
        <v>Y</v>
      </c>
      <c r="FK304" s="830" t="str">
        <f>IFERROR(VLOOKUP($B304,'Historical Conc Grant Elig'!$B$3:$J$707,'HH &amp; SI'!FK$2,0),"N")</f>
        <v>Y</v>
      </c>
      <c r="FL304" s="957" t="str">
        <f>IFERROR(VLOOKUP($B304,'Historical Conc Grant Elig'!$B$3:$J$707,'HH &amp; SI'!FL$2,0),"N")</f>
        <v>Y</v>
      </c>
    </row>
    <row r="305" spans="2:168" x14ac:dyDescent="0.25">
      <c r="B305" s="634">
        <v>78985000</v>
      </c>
      <c r="C305" s="635" t="str">
        <f>VLOOKUP($B305,'Afton Update'!$A$5:$CR$582,'Afton Update'!D$589,0)</f>
        <v>Heritage Elementary School</v>
      </c>
      <c r="D305" s="636">
        <f>IFERROR(VLOOKUP($B305,'Afton FY16 Final'!$A$5:$BV$587,'Afton FY16 Final'!AQ$587,0),0)</f>
        <v>133160.99808007161</v>
      </c>
      <c r="E305" s="637">
        <f>IFERROR(VLOOKUP($B305,'Afton FY16 Final'!$A$5:$BV$587,'Afton FY16 Final'!AR$587,0),0)</f>
        <v>28727.853279536172</v>
      </c>
      <c r="F305" s="637">
        <f>IFERROR(VLOOKUP($B305,'Afton FY16 Final'!$A$5:$BV$587,'Afton FY16 Final'!AS$587,0),0)</f>
        <v>71689.777967725851</v>
      </c>
      <c r="G305" s="637">
        <f>IFERROR(VLOOKUP($B305,'Afton FY16 Final'!$A$5:$BV$587,'Afton FY16 Final'!AT$587,0),0)</f>
        <v>68026.378141346271</v>
      </c>
      <c r="H305" s="638">
        <f>IFERROR(VLOOKUP($B305,'Afton FY16 Final'!$A$5:$BV$587,'Afton FY16 Final'!AU$587,0),0)</f>
        <v>301605.00746867992</v>
      </c>
      <c r="I305" s="639" t="str">
        <f>VLOOKUP($B305,'Afton Update'!$A$5:$CR$582,'Afton Update'!BT$589,0)</f>
        <v>Y</v>
      </c>
      <c r="J305" s="640" t="str">
        <f>VLOOKUP($B305,'Afton Update'!$A$5:$CR$582,'Afton Update'!BU$589,0)</f>
        <v>Y</v>
      </c>
      <c r="K305" s="640" t="str">
        <f>VLOOKUP($B305,'Afton Update'!$A$5:$CR$582,'Afton Update'!BV$589,0)</f>
        <v>Y</v>
      </c>
      <c r="L305" s="641" t="str">
        <f>VLOOKUP($B305,'Afton Update'!$A$5:$CR$582,'Afton Update'!BW$589,0)</f>
        <v>Y</v>
      </c>
      <c r="N305" s="642">
        <f>VLOOKUP($B305,'Afton Update'!$A$5:$CR$582,'Afton Update'!CB$589,0)</f>
        <v>0.95</v>
      </c>
      <c r="P305" s="636">
        <f>VLOOKUP($B305,'Afton Update'!$A$5:$CR$582,'Afton Update'!AH$589,0)</f>
        <v>143980.1214336085</v>
      </c>
      <c r="Q305" s="637">
        <f>VLOOKUP($B305,'Afton Update'!$A$5:$CR$582,'Afton Update'!AI$589,0)</f>
        <v>31905.67895647608</v>
      </c>
      <c r="R305" s="637">
        <f>VLOOKUP($B305,'Afton Update'!$A$5:$CR$582,'Afton Update'!AJ$589,0)</f>
        <v>84291.432884356167</v>
      </c>
      <c r="S305" s="637">
        <f>VLOOKUP($B305,'Afton Update'!$A$5:$CR$582,'Afton Update'!AK$589,0)</f>
        <v>78464.251534171271</v>
      </c>
      <c r="T305" s="643">
        <f t="shared" si="752"/>
        <v>338641.48480861203</v>
      </c>
      <c r="V305" s="636">
        <f t="shared" si="778"/>
        <v>142016.13912498899</v>
      </c>
      <c r="W305" s="637">
        <f t="shared" si="779"/>
        <v>30854.822541851368</v>
      </c>
      <c r="X305" s="637">
        <f t="shared" si="780"/>
        <v>83524.835212618564</v>
      </c>
      <c r="Y305" s="637">
        <f t="shared" si="781"/>
        <v>77599.716725132355</v>
      </c>
      <c r="Z305" s="643">
        <f t="shared" si="782"/>
        <v>333995.51360459131</v>
      </c>
      <c r="AB305" s="644">
        <f t="shared" si="753"/>
        <v>143980.1214336085</v>
      </c>
      <c r="AC305" s="645">
        <f t="shared" si="727"/>
        <v>126502.94817606802</v>
      </c>
      <c r="AD305" s="644">
        <f t="shared" si="783"/>
        <v>0</v>
      </c>
      <c r="AE305" s="645">
        <f t="shared" si="784"/>
        <v>143980.1214336085</v>
      </c>
      <c r="AF305" s="646">
        <f t="shared" si="785"/>
        <v>-1784.7418033506524</v>
      </c>
      <c r="AG305" s="647">
        <f t="shared" si="786"/>
        <v>142195.37963025784</v>
      </c>
      <c r="AH305" s="644">
        <f t="shared" si="754"/>
        <v>0</v>
      </c>
      <c r="AI305" s="645">
        <f t="shared" si="755"/>
        <v>142195.37963025784</v>
      </c>
      <c r="AJ305" s="646">
        <f t="shared" si="787"/>
        <v>-179.12631169348688</v>
      </c>
      <c r="AK305" s="647">
        <f t="shared" si="756"/>
        <v>142016.25331856436</v>
      </c>
      <c r="AL305" s="644">
        <f t="shared" si="788"/>
        <v>0</v>
      </c>
      <c r="AM305" s="645">
        <f t="shared" si="789"/>
        <v>142016.25331856436</v>
      </c>
      <c r="AN305" s="646">
        <f t="shared" si="790"/>
        <v>-0.11419357538264974</v>
      </c>
      <c r="AO305" s="647">
        <f t="shared" si="757"/>
        <v>142016.13912498899</v>
      </c>
      <c r="AP305" s="644">
        <f t="shared" si="791"/>
        <v>0</v>
      </c>
      <c r="AQ305" s="645">
        <f t="shared" si="792"/>
        <v>142016.13912498899</v>
      </c>
      <c r="AR305" s="646">
        <f t="shared" si="793"/>
        <v>0</v>
      </c>
      <c r="AS305" s="647">
        <f t="shared" si="758"/>
        <v>142016.13912498899</v>
      </c>
      <c r="AT305" s="644">
        <f t="shared" si="794"/>
        <v>0</v>
      </c>
      <c r="AU305" s="645">
        <f t="shared" si="795"/>
        <v>142016.13912498899</v>
      </c>
      <c r="AV305" s="646">
        <f t="shared" si="796"/>
        <v>0</v>
      </c>
      <c r="AW305" s="647">
        <f t="shared" si="759"/>
        <v>142016.13912498899</v>
      </c>
      <c r="AY305" s="644">
        <f t="shared" si="797"/>
        <v>31905.67895647608</v>
      </c>
      <c r="AZ305" s="645">
        <f t="shared" si="728"/>
        <v>27291.460615559361</v>
      </c>
      <c r="BA305" s="644">
        <f t="shared" si="798"/>
        <v>0</v>
      </c>
      <c r="BB305" s="645">
        <f t="shared" si="799"/>
        <v>31905.67895647608</v>
      </c>
      <c r="BC305" s="646">
        <f t="shared" si="800"/>
        <v>-229.44303566221237</v>
      </c>
      <c r="BD305" s="647">
        <f t="shared" si="801"/>
        <v>31676.23592081387</v>
      </c>
      <c r="BE305" s="644">
        <f t="shared" si="760"/>
        <v>0</v>
      </c>
      <c r="BF305" s="645">
        <f t="shared" si="761"/>
        <v>31676.23592081387</v>
      </c>
      <c r="BG305" s="646">
        <f t="shared" si="802"/>
        <v>-754.50212536385595</v>
      </c>
      <c r="BH305" s="647">
        <f t="shared" si="762"/>
        <v>30921.733795450014</v>
      </c>
      <c r="BI305" s="644">
        <f t="shared" si="803"/>
        <v>0</v>
      </c>
      <c r="BJ305" s="645">
        <f t="shared" si="804"/>
        <v>30921.733795450014</v>
      </c>
      <c r="BK305" s="646">
        <f t="shared" si="805"/>
        <v>-65.499494828504154</v>
      </c>
      <c r="BL305" s="647">
        <f t="shared" si="763"/>
        <v>30856.234300621509</v>
      </c>
      <c r="BM305" s="644">
        <f t="shared" si="806"/>
        <v>0</v>
      </c>
      <c r="BN305" s="645">
        <f t="shared" si="807"/>
        <v>30856.234300621509</v>
      </c>
      <c r="BO305" s="646">
        <f t="shared" si="808"/>
        <v>-1.4117587701387306</v>
      </c>
      <c r="BP305" s="647">
        <f t="shared" si="764"/>
        <v>30854.822541851368</v>
      </c>
      <c r="BQ305" s="644">
        <f t="shared" si="809"/>
        <v>0</v>
      </c>
      <c r="BR305" s="645">
        <f t="shared" si="810"/>
        <v>30854.822541851368</v>
      </c>
      <c r="BS305" s="646">
        <f t="shared" si="811"/>
        <v>0</v>
      </c>
      <c r="BT305" s="647">
        <f t="shared" si="765"/>
        <v>30854.822541851368</v>
      </c>
      <c r="BU305" s="662">
        <f>VLOOKUP(B305,'Afton Update'!$A$5:$AR$582,'Afton Update'!$AO$589,0)-BT305</f>
        <v>0</v>
      </c>
      <c r="BV305" s="644">
        <f t="shared" si="812"/>
        <v>84291.432884356167</v>
      </c>
      <c r="BW305" s="645">
        <f t="shared" si="729"/>
        <v>68105.28906933956</v>
      </c>
      <c r="BX305" s="644">
        <f t="shared" si="813"/>
        <v>0</v>
      </c>
      <c r="BY305" s="645">
        <f t="shared" si="814"/>
        <v>84291.432884356167</v>
      </c>
      <c r="BZ305" s="646">
        <f t="shared" si="815"/>
        <v>-739.83486819102154</v>
      </c>
      <c r="CA305" s="647">
        <f t="shared" si="816"/>
        <v>83551.598016165139</v>
      </c>
      <c r="CB305" s="644">
        <f t="shared" si="766"/>
        <v>0</v>
      </c>
      <c r="CC305" s="645">
        <f t="shared" si="767"/>
        <v>83551.598016165139</v>
      </c>
      <c r="CD305" s="646">
        <f t="shared" si="817"/>
        <v>-26.762803546581512</v>
      </c>
      <c r="CE305" s="647">
        <f t="shared" si="768"/>
        <v>83524.835212618564</v>
      </c>
      <c r="CF305" s="644">
        <f t="shared" si="818"/>
        <v>0</v>
      </c>
      <c r="CG305" s="645">
        <f t="shared" si="819"/>
        <v>83524.835212618564</v>
      </c>
      <c r="CH305" s="646">
        <f t="shared" si="820"/>
        <v>0</v>
      </c>
      <c r="CI305" s="647">
        <f t="shared" si="769"/>
        <v>83524.835212618564</v>
      </c>
      <c r="CJ305" s="644">
        <f t="shared" si="821"/>
        <v>0</v>
      </c>
      <c r="CK305" s="645">
        <f t="shared" si="822"/>
        <v>83524.835212618564</v>
      </c>
      <c r="CL305" s="646">
        <f t="shared" si="823"/>
        <v>0</v>
      </c>
      <c r="CM305" s="647">
        <f t="shared" si="770"/>
        <v>83524.835212618564</v>
      </c>
      <c r="CN305" s="644">
        <f t="shared" si="824"/>
        <v>0</v>
      </c>
      <c r="CO305" s="645">
        <f t="shared" si="825"/>
        <v>83524.835212618564</v>
      </c>
      <c r="CP305" s="646">
        <f t="shared" si="826"/>
        <v>0</v>
      </c>
      <c r="CQ305" s="647">
        <f t="shared" si="771"/>
        <v>83524.835212618564</v>
      </c>
      <c r="CS305" s="644">
        <f t="shared" si="827"/>
        <v>78464.251534171271</v>
      </c>
      <c r="CT305" s="645">
        <f t="shared" si="730"/>
        <v>64625.059234278953</v>
      </c>
      <c r="CU305" s="644">
        <f t="shared" si="828"/>
        <v>0</v>
      </c>
      <c r="CV305" s="645">
        <f t="shared" si="829"/>
        <v>78464.251534171271</v>
      </c>
      <c r="CW305" s="646">
        <f t="shared" si="830"/>
        <v>-803.51827758276238</v>
      </c>
      <c r="CX305" s="647">
        <f t="shared" si="831"/>
        <v>77660.733256588515</v>
      </c>
      <c r="CY305" s="644">
        <f t="shared" si="772"/>
        <v>0</v>
      </c>
      <c r="CZ305" s="645">
        <f t="shared" si="773"/>
        <v>77660.733256588515</v>
      </c>
      <c r="DA305" s="646">
        <f t="shared" si="832"/>
        <v>-60.963957635899199</v>
      </c>
      <c r="DB305" s="647">
        <f t="shared" si="774"/>
        <v>77599.769298952611</v>
      </c>
      <c r="DC305" s="644">
        <f t="shared" si="833"/>
        <v>0</v>
      </c>
      <c r="DD305" s="645">
        <f t="shared" si="834"/>
        <v>77599.769298952611</v>
      </c>
      <c r="DE305" s="646">
        <f t="shared" si="835"/>
        <v>-5.2573820255516816E-2</v>
      </c>
      <c r="DF305" s="647">
        <f t="shared" si="775"/>
        <v>77599.716725132355</v>
      </c>
      <c r="DG305" s="644">
        <f t="shared" si="836"/>
        <v>0</v>
      </c>
      <c r="DH305" s="645">
        <f t="shared" si="837"/>
        <v>77599.716725132355</v>
      </c>
      <c r="DI305" s="646">
        <f t="shared" si="838"/>
        <v>0</v>
      </c>
      <c r="DJ305" s="647">
        <f t="shared" si="776"/>
        <v>77599.716725132355</v>
      </c>
      <c r="DK305" s="644">
        <f t="shared" si="839"/>
        <v>0</v>
      </c>
      <c r="DL305" s="645">
        <f t="shared" si="840"/>
        <v>77599.716725132355</v>
      </c>
      <c r="DM305" s="646">
        <f t="shared" si="841"/>
        <v>0</v>
      </c>
      <c r="DN305" s="647">
        <f t="shared" si="777"/>
        <v>77599.716725132355</v>
      </c>
      <c r="DR305" s="827">
        <f t="shared" si="731"/>
        <v>333995.51360459131</v>
      </c>
      <c r="DV305" s="828">
        <f>IFERROR(VLOOKUP($B305,'Afton FY16 Final'!$A$5:$BV$587,'Afton FY16 Final'!$BV$587,0),0)</f>
        <v>279181.92110647389</v>
      </c>
      <c r="DX305" s="636">
        <f t="shared" si="719"/>
        <v>333995.51360459131</v>
      </c>
      <c r="DY305" s="637">
        <f t="shared" si="720"/>
        <v>54813.592498117418</v>
      </c>
      <c r="DZ305" s="637">
        <f t="shared" si="721"/>
        <v>279181.92110647389</v>
      </c>
      <c r="EA305" s="643">
        <f t="shared" si="722"/>
        <v>316230.69550246466</v>
      </c>
      <c r="EB305" s="637">
        <f t="shared" si="732"/>
        <v>0</v>
      </c>
      <c r="EC305" s="637">
        <f t="shared" si="733"/>
        <v>316230.69550246466</v>
      </c>
      <c r="ED305" s="637">
        <f t="shared" si="734"/>
        <v>315287.71444989205</v>
      </c>
      <c r="EE305" s="643">
        <f t="shared" si="735"/>
        <v>315287.71444989205</v>
      </c>
      <c r="EF305" s="637">
        <f t="shared" si="736"/>
        <v>0</v>
      </c>
      <c r="EG305" s="637">
        <f t="shared" si="737"/>
        <v>315287.71444989205</v>
      </c>
      <c r="EH305" s="637">
        <f t="shared" si="738"/>
        <v>315287.38917986362</v>
      </c>
      <c r="EI305" s="643">
        <f t="shared" si="739"/>
        <v>315287.38917986362</v>
      </c>
      <c r="EJ305" s="637">
        <f t="shared" si="740"/>
        <v>0</v>
      </c>
      <c r="EK305" s="637">
        <f t="shared" si="741"/>
        <v>315287.38917986362</v>
      </c>
      <c r="EL305" s="637">
        <f t="shared" si="742"/>
        <v>315287.38917986315</v>
      </c>
      <c r="EM305" s="643">
        <f t="shared" si="743"/>
        <v>315287.38917986315</v>
      </c>
      <c r="EN305" s="637">
        <f t="shared" si="744"/>
        <v>0</v>
      </c>
      <c r="EO305" s="637">
        <f t="shared" si="745"/>
        <v>315287.38917986315</v>
      </c>
      <c r="EP305" s="637">
        <f t="shared" si="746"/>
        <v>315287.38917986362</v>
      </c>
      <c r="EQ305" s="643">
        <f t="shared" si="747"/>
        <v>315287.38917986362</v>
      </c>
      <c r="ER305" s="637">
        <f t="shared" si="748"/>
        <v>0</v>
      </c>
      <c r="ES305" s="637">
        <f t="shared" si="749"/>
        <v>315287.38917986362</v>
      </c>
      <c r="ET305" s="637">
        <f t="shared" si="750"/>
        <v>315287.38917986309</v>
      </c>
      <c r="EU305" s="643">
        <f t="shared" si="723"/>
        <v>315287.38917986309</v>
      </c>
      <c r="EV305" s="643">
        <f t="shared" si="724"/>
        <v>0</v>
      </c>
      <c r="EX305" s="829">
        <f t="shared" si="725"/>
        <v>18708.124424728216</v>
      </c>
      <c r="EY305" s="638">
        <f t="shared" si="726"/>
        <v>315287.38917986309</v>
      </c>
      <c r="FC305" s="830" t="str">
        <f t="shared" si="751"/>
        <v>Y</v>
      </c>
      <c r="FE305" s="830" t="str">
        <f>IFERROR(VLOOKUP($B305,'Historical Conc Grant Elig'!$B$3:$J$707,'HH &amp; SI'!FE$2,0),"N")</f>
        <v>Y</v>
      </c>
      <c r="FF305" s="830" t="str">
        <f>IFERROR(VLOOKUP($B305,'Historical Conc Grant Elig'!$B$3:$J$707,'HH &amp; SI'!FF$2,0),"N")</f>
        <v>Y</v>
      </c>
      <c r="FG305" s="830" t="str">
        <f>IFERROR(VLOOKUP($B305,'Historical Conc Grant Elig'!$B$3:$J$707,'HH &amp; SI'!FG$2,0),"N")</f>
        <v>Y</v>
      </c>
      <c r="FH305" s="830" t="str">
        <f>IFERROR(VLOOKUP($B305,'Historical Conc Grant Elig'!$B$3:$J$707,'HH &amp; SI'!FH$2,0),"N")</f>
        <v>Y</v>
      </c>
      <c r="FI305" s="830" t="str">
        <f>IFERROR(VLOOKUP($B305,'Historical Conc Grant Elig'!$B$3:$J$707,'HH &amp; SI'!FI$2,0),"N")</f>
        <v>Y</v>
      </c>
      <c r="FJ305" s="830" t="str">
        <f>IFERROR(VLOOKUP($B305,'Historical Conc Grant Elig'!$B$3:$J$707,'HH &amp; SI'!FJ$2,0),"N")</f>
        <v>Y</v>
      </c>
      <c r="FK305" s="830" t="str">
        <f>IFERROR(VLOOKUP($B305,'Historical Conc Grant Elig'!$B$3:$J$707,'HH &amp; SI'!FK$2,0),"N")</f>
        <v>Y</v>
      </c>
      <c r="FL305" s="957" t="str">
        <f>IFERROR(VLOOKUP($B305,'Historical Conc Grant Elig'!$B$3:$J$707,'HH &amp; SI'!FL$2,0),"N")</f>
        <v>Y</v>
      </c>
    </row>
    <row r="306" spans="2:168" x14ac:dyDescent="0.25">
      <c r="B306" s="634">
        <v>78987000</v>
      </c>
      <c r="C306" s="635" t="str">
        <f>VLOOKUP($B306,'Afton Update'!$A$5:$CR$582,'Afton Update'!D$589,0)</f>
        <v>Ball Charter Schools (Hearn)</v>
      </c>
      <c r="D306" s="636">
        <f>IFERROR(VLOOKUP($B306,'Afton FY16 Final'!$A$5:$BV$587,'Afton FY16 Final'!AQ$587,0),0)</f>
        <v>71804.008233632834</v>
      </c>
      <c r="E306" s="637">
        <f>IFERROR(VLOOKUP($B306,'Afton FY16 Final'!$A$5:$BV$587,'Afton FY16 Final'!AR$587,0),0)</f>
        <v>15325.56053201776</v>
      </c>
      <c r="F306" s="637">
        <f>IFERROR(VLOOKUP($B306,'Afton FY16 Final'!$A$5:$BV$587,'Afton FY16 Final'!AS$587,0),0)</f>
        <v>38071.534264531874</v>
      </c>
      <c r="G306" s="637">
        <f>IFERROR(VLOOKUP($B306,'Afton FY16 Final'!$A$5:$BV$587,'Afton FY16 Final'!AT$587,0),0)</f>
        <v>36681.661196533598</v>
      </c>
      <c r="H306" s="638">
        <f>IFERROR(VLOOKUP($B306,'Afton FY16 Final'!$A$5:$BV$587,'Afton FY16 Final'!AU$587,0),0)</f>
        <v>161882.76422671607</v>
      </c>
      <c r="I306" s="639" t="str">
        <f>VLOOKUP($B306,'Afton Update'!$A$5:$CR$582,'Afton Update'!BT$589,0)</f>
        <v>Y</v>
      </c>
      <c r="J306" s="640" t="str">
        <f>VLOOKUP($B306,'Afton Update'!$A$5:$CR$582,'Afton Update'!BU$589,0)</f>
        <v>Y</v>
      </c>
      <c r="K306" s="640" t="str">
        <f>VLOOKUP($B306,'Afton Update'!$A$5:$CR$582,'Afton Update'!BV$589,0)</f>
        <v>Y</v>
      </c>
      <c r="L306" s="641" t="str">
        <f>VLOOKUP($B306,'Afton Update'!$A$5:$CR$582,'Afton Update'!BW$589,0)</f>
        <v>Y</v>
      </c>
      <c r="N306" s="642">
        <f>VLOOKUP($B306,'Afton Update'!$A$5:$CR$582,'Afton Update'!CB$589,0)</f>
        <v>0.95</v>
      </c>
      <c r="P306" s="636">
        <f>VLOOKUP($B306,'Afton Update'!$A$5:$CR$582,'Afton Update'!AH$589,0)</f>
        <v>130108.28249150005</v>
      </c>
      <c r="Q306" s="637">
        <f>VLOOKUP($B306,'Afton Update'!$A$5:$CR$582,'Afton Update'!AI$589,0)</f>
        <v>29037.004970975366</v>
      </c>
      <c r="R306" s="637">
        <f>VLOOKUP($B306,'Afton Update'!$A$5:$CR$582,'Afton Update'!AJ$589,0)</f>
        <v>76172.772834738425</v>
      </c>
      <c r="S306" s="637">
        <f>VLOOKUP($B306,'Afton Update'!$A$5:$CR$582,'Afton Update'!AK$589,0)</f>
        <v>70906.845491168046</v>
      </c>
      <c r="T306" s="643">
        <f t="shared" si="752"/>
        <v>306224.90578838188</v>
      </c>
      <c r="V306" s="636">
        <f t="shared" si="778"/>
        <v>128333.52106975749</v>
      </c>
      <c r="W306" s="637">
        <f t="shared" si="779"/>
        <v>28080.632189287688</v>
      </c>
      <c r="X306" s="637">
        <f t="shared" si="780"/>
        <v>75480.011206341122</v>
      </c>
      <c r="Y306" s="637">
        <f t="shared" si="781"/>
        <v>70125.579692697225</v>
      </c>
      <c r="Z306" s="643">
        <f t="shared" si="782"/>
        <v>302019.74415808351</v>
      </c>
      <c r="AB306" s="644">
        <f t="shared" si="753"/>
        <v>130108.28249150005</v>
      </c>
      <c r="AC306" s="645">
        <f t="shared" si="727"/>
        <v>68213.807821951195</v>
      </c>
      <c r="AD306" s="644">
        <f t="shared" si="783"/>
        <v>0</v>
      </c>
      <c r="AE306" s="645">
        <f t="shared" si="784"/>
        <v>130108.28249150005</v>
      </c>
      <c r="AF306" s="646">
        <f t="shared" si="785"/>
        <v>-1612.7899352537459</v>
      </c>
      <c r="AG306" s="647">
        <f t="shared" si="786"/>
        <v>128495.4925562463</v>
      </c>
      <c r="AH306" s="644">
        <f t="shared" si="754"/>
        <v>0</v>
      </c>
      <c r="AI306" s="645">
        <f t="shared" si="755"/>
        <v>128495.4925562463</v>
      </c>
      <c r="AJ306" s="646">
        <f t="shared" si="787"/>
        <v>-161.86829495225393</v>
      </c>
      <c r="AK306" s="647">
        <f t="shared" si="756"/>
        <v>128333.62426129406</v>
      </c>
      <c r="AL306" s="644">
        <f t="shared" si="788"/>
        <v>0</v>
      </c>
      <c r="AM306" s="645">
        <f t="shared" si="789"/>
        <v>128333.62426129406</v>
      </c>
      <c r="AN306" s="646">
        <f t="shared" si="790"/>
        <v>-0.10319153655840776</v>
      </c>
      <c r="AO306" s="647">
        <f t="shared" si="757"/>
        <v>128333.52106975749</v>
      </c>
      <c r="AP306" s="644">
        <f t="shared" si="791"/>
        <v>0</v>
      </c>
      <c r="AQ306" s="645">
        <f t="shared" si="792"/>
        <v>128333.52106975749</v>
      </c>
      <c r="AR306" s="646">
        <f t="shared" si="793"/>
        <v>0</v>
      </c>
      <c r="AS306" s="647">
        <f t="shared" si="758"/>
        <v>128333.52106975749</v>
      </c>
      <c r="AT306" s="644">
        <f t="shared" si="794"/>
        <v>0</v>
      </c>
      <c r="AU306" s="645">
        <f t="shared" si="795"/>
        <v>128333.52106975749</v>
      </c>
      <c r="AV306" s="646">
        <f t="shared" si="796"/>
        <v>0</v>
      </c>
      <c r="AW306" s="647">
        <f t="shared" si="759"/>
        <v>128333.52106975749</v>
      </c>
      <c r="AY306" s="644">
        <f t="shared" si="797"/>
        <v>29037.004970975366</v>
      </c>
      <c r="AZ306" s="645">
        <f t="shared" si="728"/>
        <v>14559.282505416872</v>
      </c>
      <c r="BA306" s="644">
        <f t="shared" si="798"/>
        <v>0</v>
      </c>
      <c r="BB306" s="645">
        <f t="shared" si="799"/>
        <v>29037.004970975366</v>
      </c>
      <c r="BC306" s="646">
        <f t="shared" si="800"/>
        <v>-208.81356501354267</v>
      </c>
      <c r="BD306" s="647">
        <f t="shared" si="801"/>
        <v>28828.191405961825</v>
      </c>
      <c r="BE306" s="644">
        <f t="shared" si="760"/>
        <v>0</v>
      </c>
      <c r="BF306" s="645">
        <f t="shared" si="761"/>
        <v>28828.191405961825</v>
      </c>
      <c r="BG306" s="646">
        <f t="shared" si="802"/>
        <v>-686.66402600891433</v>
      </c>
      <c r="BH306" s="647">
        <f t="shared" si="762"/>
        <v>28141.52737995291</v>
      </c>
      <c r="BI306" s="644">
        <f t="shared" si="803"/>
        <v>0</v>
      </c>
      <c r="BJ306" s="645">
        <f t="shared" si="804"/>
        <v>28141.52737995291</v>
      </c>
      <c r="BK306" s="646">
        <f t="shared" si="805"/>
        <v>-59.610364647814812</v>
      </c>
      <c r="BL306" s="647">
        <f t="shared" si="763"/>
        <v>28081.917015305095</v>
      </c>
      <c r="BM306" s="644">
        <f t="shared" si="806"/>
        <v>0</v>
      </c>
      <c r="BN306" s="645">
        <f t="shared" si="807"/>
        <v>28081.917015305095</v>
      </c>
      <c r="BO306" s="646">
        <f t="shared" si="808"/>
        <v>-1.2848260174076549</v>
      </c>
      <c r="BP306" s="647">
        <f t="shared" si="764"/>
        <v>28080.632189287688</v>
      </c>
      <c r="BQ306" s="644">
        <f t="shared" si="809"/>
        <v>0</v>
      </c>
      <c r="BR306" s="645">
        <f t="shared" si="810"/>
        <v>28080.632189287688</v>
      </c>
      <c r="BS306" s="646">
        <f t="shared" si="811"/>
        <v>0</v>
      </c>
      <c r="BT306" s="647">
        <f t="shared" si="765"/>
        <v>28080.632189287688</v>
      </c>
      <c r="BU306" s="662">
        <f>VLOOKUP(B306,'Afton Update'!$A$5:$AR$582,'Afton Update'!$AO$589,0)-BT306</f>
        <v>0</v>
      </c>
      <c r="BV306" s="644">
        <f t="shared" si="812"/>
        <v>76172.772834738425</v>
      </c>
      <c r="BW306" s="645">
        <f t="shared" si="729"/>
        <v>36167.957551305277</v>
      </c>
      <c r="BX306" s="644">
        <f t="shared" si="813"/>
        <v>0</v>
      </c>
      <c r="BY306" s="645">
        <f t="shared" si="814"/>
        <v>76172.772834738425</v>
      </c>
      <c r="BZ306" s="646">
        <f t="shared" si="815"/>
        <v>-668.57652576923294</v>
      </c>
      <c r="CA306" s="647">
        <f t="shared" si="816"/>
        <v>75504.196308969185</v>
      </c>
      <c r="CB306" s="644">
        <f t="shared" si="766"/>
        <v>0</v>
      </c>
      <c r="CC306" s="645">
        <f t="shared" si="767"/>
        <v>75504.196308969185</v>
      </c>
      <c r="CD306" s="646">
        <f t="shared" si="817"/>
        <v>-24.185102628061184</v>
      </c>
      <c r="CE306" s="647">
        <f t="shared" si="768"/>
        <v>75480.011206341122</v>
      </c>
      <c r="CF306" s="644">
        <f t="shared" si="818"/>
        <v>0</v>
      </c>
      <c r="CG306" s="645">
        <f t="shared" si="819"/>
        <v>75480.011206341122</v>
      </c>
      <c r="CH306" s="646">
        <f t="shared" si="820"/>
        <v>0</v>
      </c>
      <c r="CI306" s="647">
        <f t="shared" si="769"/>
        <v>75480.011206341122</v>
      </c>
      <c r="CJ306" s="644">
        <f t="shared" si="821"/>
        <v>0</v>
      </c>
      <c r="CK306" s="645">
        <f t="shared" si="822"/>
        <v>75480.011206341122</v>
      </c>
      <c r="CL306" s="646">
        <f t="shared" si="823"/>
        <v>0</v>
      </c>
      <c r="CM306" s="647">
        <f t="shared" si="770"/>
        <v>75480.011206341122</v>
      </c>
      <c r="CN306" s="644">
        <f t="shared" si="824"/>
        <v>0</v>
      </c>
      <c r="CO306" s="645">
        <f t="shared" si="825"/>
        <v>75480.011206341122</v>
      </c>
      <c r="CP306" s="646">
        <f t="shared" si="826"/>
        <v>0</v>
      </c>
      <c r="CQ306" s="647">
        <f t="shared" si="771"/>
        <v>75480.011206341122</v>
      </c>
      <c r="CS306" s="644">
        <f t="shared" si="827"/>
        <v>70906.845491168046</v>
      </c>
      <c r="CT306" s="645">
        <f t="shared" si="730"/>
        <v>34847.578136706914</v>
      </c>
      <c r="CU306" s="644">
        <f t="shared" si="828"/>
        <v>0</v>
      </c>
      <c r="CV306" s="645">
        <f t="shared" si="829"/>
        <v>70906.845491168046</v>
      </c>
      <c r="CW306" s="646">
        <f t="shared" si="830"/>
        <v>-726.12616884617535</v>
      </c>
      <c r="CX306" s="647">
        <f t="shared" si="831"/>
        <v>70180.719322321864</v>
      </c>
      <c r="CY306" s="644">
        <f t="shared" si="772"/>
        <v>0</v>
      </c>
      <c r="CZ306" s="645">
        <f t="shared" si="773"/>
        <v>70180.719322321864</v>
      </c>
      <c r="DA306" s="646">
        <f t="shared" si="832"/>
        <v>-55.0921195333935</v>
      </c>
      <c r="DB306" s="647">
        <f t="shared" si="774"/>
        <v>70125.62720278847</v>
      </c>
      <c r="DC306" s="644">
        <f t="shared" si="833"/>
        <v>0</v>
      </c>
      <c r="DD306" s="645">
        <f t="shared" si="834"/>
        <v>70125.62720278847</v>
      </c>
      <c r="DE306" s="646">
        <f t="shared" si="835"/>
        <v>-4.7510091243461249E-2</v>
      </c>
      <c r="DF306" s="647">
        <f t="shared" si="775"/>
        <v>70125.579692697225</v>
      </c>
      <c r="DG306" s="644">
        <f t="shared" si="836"/>
        <v>0</v>
      </c>
      <c r="DH306" s="645">
        <f t="shared" si="837"/>
        <v>70125.579692697225</v>
      </c>
      <c r="DI306" s="646">
        <f t="shared" si="838"/>
        <v>0</v>
      </c>
      <c r="DJ306" s="647">
        <f t="shared" si="776"/>
        <v>70125.579692697225</v>
      </c>
      <c r="DK306" s="644">
        <f t="shared" si="839"/>
        <v>0</v>
      </c>
      <c r="DL306" s="645">
        <f t="shared" si="840"/>
        <v>70125.579692697225</v>
      </c>
      <c r="DM306" s="646">
        <f t="shared" si="841"/>
        <v>0</v>
      </c>
      <c r="DN306" s="647">
        <f t="shared" si="777"/>
        <v>70125.579692697225</v>
      </c>
      <c r="DR306" s="827">
        <f t="shared" si="731"/>
        <v>302019.74415808351</v>
      </c>
      <c r="DV306" s="828">
        <f>IFERROR(VLOOKUP($B306,'Afton FY16 Final'!$A$5:$BV$587,'Afton FY16 Final'!$BV$587,0),0)</f>
        <v>158695.29262590126</v>
      </c>
      <c r="DX306" s="636">
        <f t="shared" si="719"/>
        <v>302019.74415808351</v>
      </c>
      <c r="DY306" s="637">
        <f t="shared" si="720"/>
        <v>143324.45153218225</v>
      </c>
      <c r="DZ306" s="637">
        <f t="shared" si="721"/>
        <v>158695.29262590126</v>
      </c>
      <c r="EA306" s="643">
        <f t="shared" si="722"/>
        <v>285955.67862524209</v>
      </c>
      <c r="EB306" s="637">
        <f t="shared" si="732"/>
        <v>0</v>
      </c>
      <c r="EC306" s="637">
        <f t="shared" si="733"/>
        <v>285955.67862524209</v>
      </c>
      <c r="ED306" s="637">
        <f t="shared" si="734"/>
        <v>285102.97586534492</v>
      </c>
      <c r="EE306" s="643">
        <f t="shared" si="735"/>
        <v>285102.97586534492</v>
      </c>
      <c r="EF306" s="637">
        <f t="shared" si="736"/>
        <v>0</v>
      </c>
      <c r="EG306" s="637">
        <f t="shared" si="737"/>
        <v>285102.97586534492</v>
      </c>
      <c r="EH306" s="637">
        <f t="shared" si="738"/>
        <v>285102.68173573312</v>
      </c>
      <c r="EI306" s="643">
        <f t="shared" si="739"/>
        <v>285102.68173573312</v>
      </c>
      <c r="EJ306" s="637">
        <f t="shared" si="740"/>
        <v>0</v>
      </c>
      <c r="EK306" s="637">
        <f t="shared" si="741"/>
        <v>285102.68173573312</v>
      </c>
      <c r="EL306" s="637">
        <f t="shared" si="742"/>
        <v>285102.68173573271</v>
      </c>
      <c r="EM306" s="643">
        <f t="shared" si="743"/>
        <v>285102.68173573271</v>
      </c>
      <c r="EN306" s="637">
        <f t="shared" si="744"/>
        <v>0</v>
      </c>
      <c r="EO306" s="637">
        <f t="shared" si="745"/>
        <v>285102.68173573271</v>
      </c>
      <c r="EP306" s="637">
        <f t="shared" si="746"/>
        <v>285102.68173573317</v>
      </c>
      <c r="EQ306" s="643">
        <f t="shared" si="747"/>
        <v>285102.68173573317</v>
      </c>
      <c r="ER306" s="637">
        <f t="shared" si="748"/>
        <v>0</v>
      </c>
      <c r="ES306" s="637">
        <f t="shared" si="749"/>
        <v>285102.68173573317</v>
      </c>
      <c r="ET306" s="637">
        <f t="shared" si="750"/>
        <v>285102.68173573271</v>
      </c>
      <c r="EU306" s="643">
        <f t="shared" si="723"/>
        <v>285102.68173573271</v>
      </c>
      <c r="EV306" s="643">
        <f t="shared" si="724"/>
        <v>0</v>
      </c>
      <c r="EX306" s="829">
        <f t="shared" si="725"/>
        <v>16917.062422350806</v>
      </c>
      <c r="EY306" s="638">
        <f t="shared" si="726"/>
        <v>285102.68173573271</v>
      </c>
      <c r="FC306" s="830" t="str">
        <f t="shared" si="751"/>
        <v>Y</v>
      </c>
      <c r="FE306" s="830" t="str">
        <f>IFERROR(VLOOKUP($B306,'Historical Conc Grant Elig'!$B$3:$J$707,'HH &amp; SI'!FE$2,0),"N")</f>
        <v>Y</v>
      </c>
      <c r="FF306" s="830" t="str">
        <f>IFERROR(VLOOKUP($B306,'Historical Conc Grant Elig'!$B$3:$J$707,'HH &amp; SI'!FF$2,0),"N")</f>
        <v>Y</v>
      </c>
      <c r="FG306" s="830" t="str">
        <f>IFERROR(VLOOKUP($B306,'Historical Conc Grant Elig'!$B$3:$J$707,'HH &amp; SI'!FG$2,0),"N")</f>
        <v>Y</v>
      </c>
      <c r="FH306" s="830" t="str">
        <f>IFERROR(VLOOKUP($B306,'Historical Conc Grant Elig'!$B$3:$J$707,'HH &amp; SI'!FH$2,0),"N")</f>
        <v>Y</v>
      </c>
      <c r="FI306" s="830" t="str">
        <f>IFERROR(VLOOKUP($B306,'Historical Conc Grant Elig'!$B$3:$J$707,'HH &amp; SI'!FI$2,0),"N")</f>
        <v>Y</v>
      </c>
      <c r="FJ306" s="830" t="str">
        <f>IFERROR(VLOOKUP($B306,'Historical Conc Grant Elig'!$B$3:$J$707,'HH &amp; SI'!FJ$2,0),"N")</f>
        <v>Y</v>
      </c>
      <c r="FK306" s="830" t="str">
        <f>IFERROR(VLOOKUP($B306,'Historical Conc Grant Elig'!$B$3:$J$707,'HH &amp; SI'!FK$2,0),"N")</f>
        <v>Y</v>
      </c>
      <c r="FL306" s="957" t="str">
        <f>IFERROR(VLOOKUP($B306,'Historical Conc Grant Elig'!$B$3:$J$707,'HH &amp; SI'!FL$2,0),"N")</f>
        <v>Y</v>
      </c>
    </row>
    <row r="307" spans="2:168" x14ac:dyDescent="0.25">
      <c r="B307" s="634">
        <v>78988000</v>
      </c>
      <c r="C307" s="635" t="str">
        <f>VLOOKUP($B307,'Afton Update'!$A$5:$CR$582,'Afton Update'!D$589,0)</f>
        <v>Ball Charter Schools (Dobson)</v>
      </c>
      <c r="D307" s="636">
        <f>IFERROR(VLOOKUP($B307,'Afton FY16 Final'!$A$5:$BV$587,'Afton FY16 Final'!AQ$587,0),0)</f>
        <v>44591.396001530542</v>
      </c>
      <c r="E307" s="637">
        <f>IFERROR(VLOOKUP($B307,'Afton FY16 Final'!$A$5:$BV$587,'Afton FY16 Final'!AR$587,0),0)</f>
        <v>10962.876997972797</v>
      </c>
      <c r="F307" s="637">
        <f>IFERROR(VLOOKUP($B307,'Afton FY16 Final'!$A$5:$BV$587,'Afton FY16 Final'!AS$587,0),0)</f>
        <v>24200.274405025866</v>
      </c>
      <c r="G307" s="637">
        <f>IFERROR(VLOOKUP($B307,'Afton FY16 Final'!$A$5:$BV$587,'Afton FY16 Final'!AT$587,0),0)</f>
        <v>20319.962715165781</v>
      </c>
      <c r="H307" s="638">
        <f>IFERROR(VLOOKUP($B307,'Afton FY16 Final'!$A$5:$BV$587,'Afton FY16 Final'!AU$587,0),0)</f>
        <v>100074.51011969498</v>
      </c>
      <c r="I307" s="639" t="str">
        <f>VLOOKUP($B307,'Afton Update'!$A$5:$CR$582,'Afton Update'!BT$589,0)</f>
        <v>Y</v>
      </c>
      <c r="J307" s="640" t="str">
        <f>VLOOKUP($B307,'Afton Update'!$A$5:$CR$582,'Afton Update'!BU$589,0)</f>
        <v>Y</v>
      </c>
      <c r="K307" s="640" t="str">
        <f>VLOOKUP($B307,'Afton Update'!$A$5:$CR$582,'Afton Update'!BV$589,0)</f>
        <v>Y</v>
      </c>
      <c r="L307" s="641" t="str">
        <f>VLOOKUP($B307,'Afton Update'!$A$5:$CR$582,'Afton Update'!BW$589,0)</f>
        <v>Y</v>
      </c>
      <c r="N307" s="642">
        <f>VLOOKUP($B307,'Afton Update'!$A$5:$CR$582,'Afton Update'!CB$589,0)</f>
        <v>0.9</v>
      </c>
      <c r="P307" s="636">
        <f>VLOOKUP($B307,'Afton Update'!$A$5:$CR$582,'Afton Update'!AH$589,0)</f>
        <v>45442.231017251848</v>
      </c>
      <c r="Q307" s="637">
        <f>VLOOKUP($B307,'Afton Update'!$A$5:$CR$582,'Afton Update'!AI$589,0)</f>
        <v>11528.201680160646</v>
      </c>
      <c r="R307" s="637">
        <f>VLOOKUP($B307,'Afton Update'!$A$5:$CR$582,'Afton Update'!AJ$589,0)</f>
        <v>26620.951152588736</v>
      </c>
      <c r="S307" s="637">
        <f>VLOOKUP($B307,'Afton Update'!$A$5:$CR$582,'Afton Update'!AK$589,0)</f>
        <v>24780.608608010443</v>
      </c>
      <c r="T307" s="643">
        <f t="shared" si="752"/>
        <v>108371.99245801168</v>
      </c>
      <c r="V307" s="636">
        <f t="shared" si="778"/>
        <v>44822.369491275589</v>
      </c>
      <c r="W307" s="637">
        <f t="shared" si="779"/>
        <v>11148.50486501968</v>
      </c>
      <c r="X307" s="637">
        <f t="shared" si="780"/>
        <v>26378.843995613326</v>
      </c>
      <c r="Y307" s="637">
        <f t="shared" si="781"/>
        <v>24507.570908524274</v>
      </c>
      <c r="Z307" s="643">
        <f t="shared" si="782"/>
        <v>106857.28926043287</v>
      </c>
      <c r="AB307" s="644">
        <f t="shared" si="753"/>
        <v>45442.231017251848</v>
      </c>
      <c r="AC307" s="645">
        <f t="shared" si="727"/>
        <v>40132.25640137749</v>
      </c>
      <c r="AD307" s="644">
        <f t="shared" si="783"/>
        <v>0</v>
      </c>
      <c r="AE307" s="645">
        <f t="shared" si="784"/>
        <v>45442.231017251848</v>
      </c>
      <c r="AF307" s="646">
        <f t="shared" si="785"/>
        <v>-563.29060238641853</v>
      </c>
      <c r="AG307" s="647">
        <f t="shared" si="786"/>
        <v>44878.940414865428</v>
      </c>
      <c r="AH307" s="644">
        <f t="shared" si="754"/>
        <v>0</v>
      </c>
      <c r="AI307" s="645">
        <f t="shared" si="755"/>
        <v>44878.940414865428</v>
      </c>
      <c r="AJ307" s="646">
        <f t="shared" si="787"/>
        <v>-56.534882428176914</v>
      </c>
      <c r="AK307" s="647">
        <f t="shared" si="756"/>
        <v>44822.405532437253</v>
      </c>
      <c r="AL307" s="644">
        <f t="shared" si="788"/>
        <v>0</v>
      </c>
      <c r="AM307" s="645">
        <f t="shared" si="789"/>
        <v>44822.405532437253</v>
      </c>
      <c r="AN307" s="646">
        <f t="shared" si="790"/>
        <v>-3.6041161665620353E-2</v>
      </c>
      <c r="AO307" s="647">
        <f t="shared" si="757"/>
        <v>44822.369491275589</v>
      </c>
      <c r="AP307" s="644">
        <f t="shared" si="791"/>
        <v>0</v>
      </c>
      <c r="AQ307" s="645">
        <f t="shared" si="792"/>
        <v>44822.369491275589</v>
      </c>
      <c r="AR307" s="646">
        <f t="shared" si="793"/>
        <v>0</v>
      </c>
      <c r="AS307" s="647">
        <f t="shared" si="758"/>
        <v>44822.369491275589</v>
      </c>
      <c r="AT307" s="644">
        <f t="shared" si="794"/>
        <v>0</v>
      </c>
      <c r="AU307" s="645">
        <f t="shared" si="795"/>
        <v>44822.369491275589</v>
      </c>
      <c r="AV307" s="646">
        <f t="shared" si="796"/>
        <v>0</v>
      </c>
      <c r="AW307" s="647">
        <f t="shared" si="759"/>
        <v>44822.369491275589</v>
      </c>
      <c r="AY307" s="644">
        <f t="shared" si="797"/>
        <v>11528.201680160646</v>
      </c>
      <c r="AZ307" s="645">
        <f t="shared" si="728"/>
        <v>9866.5892981755169</v>
      </c>
      <c r="BA307" s="644">
        <f t="shared" si="798"/>
        <v>0</v>
      </c>
      <c r="BB307" s="645">
        <f t="shared" si="799"/>
        <v>11528.201680160646</v>
      </c>
      <c r="BC307" s="646">
        <f t="shared" si="800"/>
        <v>-82.90265795097244</v>
      </c>
      <c r="BD307" s="647">
        <f t="shared" si="801"/>
        <v>11445.299022209674</v>
      </c>
      <c r="BE307" s="644">
        <f t="shared" si="760"/>
        <v>0</v>
      </c>
      <c r="BF307" s="645">
        <f t="shared" si="761"/>
        <v>11445.299022209674</v>
      </c>
      <c r="BG307" s="646">
        <f t="shared" si="802"/>
        <v>-272.61769546323626</v>
      </c>
      <c r="BH307" s="647">
        <f t="shared" si="762"/>
        <v>11172.681326746439</v>
      </c>
      <c r="BI307" s="644">
        <f t="shared" si="803"/>
        <v>0</v>
      </c>
      <c r="BJ307" s="645">
        <f t="shared" si="804"/>
        <v>11172.681326746439</v>
      </c>
      <c r="BK307" s="646">
        <f t="shared" si="805"/>
        <v>-23.666363200159076</v>
      </c>
      <c r="BL307" s="647">
        <f t="shared" si="763"/>
        <v>11149.01496354628</v>
      </c>
      <c r="BM307" s="644">
        <f t="shared" si="806"/>
        <v>0</v>
      </c>
      <c r="BN307" s="645">
        <f t="shared" si="807"/>
        <v>11149.01496354628</v>
      </c>
      <c r="BO307" s="646">
        <f t="shared" si="808"/>
        <v>-0.51009852660074506</v>
      </c>
      <c r="BP307" s="647">
        <f t="shared" si="764"/>
        <v>11148.50486501968</v>
      </c>
      <c r="BQ307" s="644">
        <f t="shared" si="809"/>
        <v>0</v>
      </c>
      <c r="BR307" s="645">
        <f t="shared" si="810"/>
        <v>11148.50486501968</v>
      </c>
      <c r="BS307" s="646">
        <f t="shared" si="811"/>
        <v>0</v>
      </c>
      <c r="BT307" s="647">
        <f t="shared" si="765"/>
        <v>11148.50486501968</v>
      </c>
      <c r="BU307" s="662">
        <f>VLOOKUP(B307,'Afton Update'!$A$5:$AR$582,'Afton Update'!$AO$589,0)-BT307</f>
        <v>0</v>
      </c>
      <c r="BV307" s="644">
        <f t="shared" si="812"/>
        <v>26620.951152588736</v>
      </c>
      <c r="BW307" s="645">
        <f t="shared" si="729"/>
        <v>21780.246964523281</v>
      </c>
      <c r="BX307" s="644">
        <f t="shared" si="813"/>
        <v>0</v>
      </c>
      <c r="BY307" s="645">
        <f t="shared" si="814"/>
        <v>26620.951152588736</v>
      </c>
      <c r="BZ307" s="646">
        <f t="shared" si="815"/>
        <v>-233.65491857417894</v>
      </c>
      <c r="CA307" s="647">
        <f t="shared" si="816"/>
        <v>26387.296234014557</v>
      </c>
      <c r="CB307" s="644">
        <f t="shared" si="766"/>
        <v>0</v>
      </c>
      <c r="CC307" s="645">
        <f t="shared" si="767"/>
        <v>26387.296234014557</v>
      </c>
      <c r="CD307" s="646">
        <f t="shared" si="817"/>
        <v>-8.4522384012302219</v>
      </c>
      <c r="CE307" s="647">
        <f t="shared" si="768"/>
        <v>26378.843995613326</v>
      </c>
      <c r="CF307" s="644">
        <f t="shared" si="818"/>
        <v>0</v>
      </c>
      <c r="CG307" s="645">
        <f t="shared" si="819"/>
        <v>26378.843995613326</v>
      </c>
      <c r="CH307" s="646">
        <f t="shared" si="820"/>
        <v>0</v>
      </c>
      <c r="CI307" s="647">
        <f t="shared" si="769"/>
        <v>26378.843995613326</v>
      </c>
      <c r="CJ307" s="644">
        <f t="shared" si="821"/>
        <v>0</v>
      </c>
      <c r="CK307" s="645">
        <f t="shared" si="822"/>
        <v>26378.843995613326</v>
      </c>
      <c r="CL307" s="646">
        <f t="shared" si="823"/>
        <v>0</v>
      </c>
      <c r="CM307" s="647">
        <f t="shared" si="770"/>
        <v>26378.843995613326</v>
      </c>
      <c r="CN307" s="644">
        <f t="shared" si="824"/>
        <v>0</v>
      </c>
      <c r="CO307" s="645">
        <f t="shared" si="825"/>
        <v>26378.843995613326</v>
      </c>
      <c r="CP307" s="646">
        <f t="shared" si="826"/>
        <v>0</v>
      </c>
      <c r="CQ307" s="647">
        <f t="shared" si="771"/>
        <v>26378.843995613326</v>
      </c>
      <c r="CS307" s="644">
        <f t="shared" si="827"/>
        <v>24780.608608010443</v>
      </c>
      <c r="CT307" s="645">
        <f t="shared" si="730"/>
        <v>18287.966443649202</v>
      </c>
      <c r="CU307" s="644">
        <f t="shared" si="828"/>
        <v>0</v>
      </c>
      <c r="CV307" s="645">
        <f t="shared" si="829"/>
        <v>24780.608608010443</v>
      </c>
      <c r="CW307" s="646">
        <f t="shared" si="830"/>
        <v>-253.76743621252251</v>
      </c>
      <c r="CX307" s="647">
        <f t="shared" si="831"/>
        <v>24526.841171797922</v>
      </c>
      <c r="CY307" s="644">
        <f t="shared" si="772"/>
        <v>0</v>
      </c>
      <c r="CZ307" s="645">
        <f t="shared" si="773"/>
        <v>24526.841171797922</v>
      </c>
      <c r="DA307" s="646">
        <f t="shared" si="832"/>
        <v>-19.253659390513977</v>
      </c>
      <c r="DB307" s="647">
        <f t="shared" si="774"/>
        <v>24507.587512407408</v>
      </c>
      <c r="DC307" s="644">
        <f t="shared" si="833"/>
        <v>0</v>
      </c>
      <c r="DD307" s="645">
        <f t="shared" si="834"/>
        <v>24507.587512407408</v>
      </c>
      <c r="DE307" s="646">
        <f t="shared" si="835"/>
        <v>-1.6603883135398012E-2</v>
      </c>
      <c r="DF307" s="647">
        <f t="shared" si="775"/>
        <v>24507.570908524274</v>
      </c>
      <c r="DG307" s="644">
        <f t="shared" si="836"/>
        <v>0</v>
      </c>
      <c r="DH307" s="645">
        <f t="shared" si="837"/>
        <v>24507.570908524274</v>
      </c>
      <c r="DI307" s="646">
        <f t="shared" si="838"/>
        <v>0</v>
      </c>
      <c r="DJ307" s="647">
        <f t="shared" si="776"/>
        <v>24507.570908524274</v>
      </c>
      <c r="DK307" s="644">
        <f t="shared" si="839"/>
        <v>0</v>
      </c>
      <c r="DL307" s="645">
        <f t="shared" si="840"/>
        <v>24507.570908524274</v>
      </c>
      <c r="DM307" s="646">
        <f t="shared" si="841"/>
        <v>0</v>
      </c>
      <c r="DN307" s="647">
        <f t="shared" si="777"/>
        <v>24507.570908524274</v>
      </c>
      <c r="DR307" s="827">
        <f t="shared" si="731"/>
        <v>106857.28926043287</v>
      </c>
      <c r="DV307" s="828">
        <f>IFERROR(VLOOKUP($B307,'Afton FY16 Final'!$A$5:$BV$587,'Afton FY16 Final'!$BV$587,0),0)</f>
        <v>88849.190277675036</v>
      </c>
      <c r="DX307" s="636">
        <f t="shared" si="719"/>
        <v>106857.28926043287</v>
      </c>
      <c r="DY307" s="637">
        <f t="shared" si="720"/>
        <v>18008.098982757831</v>
      </c>
      <c r="DZ307" s="637">
        <f t="shared" si="721"/>
        <v>88849.190277675036</v>
      </c>
      <c r="EA307" s="643">
        <f t="shared" si="722"/>
        <v>101173.67906426339</v>
      </c>
      <c r="EB307" s="637">
        <f t="shared" si="732"/>
        <v>0</v>
      </c>
      <c r="EC307" s="637">
        <f t="shared" si="733"/>
        <v>101173.67906426339</v>
      </c>
      <c r="ED307" s="637">
        <f t="shared" si="734"/>
        <v>100871.98519414407</v>
      </c>
      <c r="EE307" s="643">
        <f t="shared" si="735"/>
        <v>100871.98519414407</v>
      </c>
      <c r="EF307" s="637">
        <f t="shared" si="736"/>
        <v>0</v>
      </c>
      <c r="EG307" s="637">
        <f t="shared" si="737"/>
        <v>100871.98519414407</v>
      </c>
      <c r="EH307" s="637">
        <f t="shared" si="738"/>
        <v>100871.88112845428</v>
      </c>
      <c r="EI307" s="643">
        <f t="shared" si="739"/>
        <v>100871.88112845428</v>
      </c>
      <c r="EJ307" s="637">
        <f t="shared" si="740"/>
        <v>0</v>
      </c>
      <c r="EK307" s="637">
        <f t="shared" si="741"/>
        <v>100871.88112845428</v>
      </c>
      <c r="EL307" s="637">
        <f t="shared" si="742"/>
        <v>100871.88112845413</v>
      </c>
      <c r="EM307" s="643">
        <f t="shared" si="743"/>
        <v>100871.88112845413</v>
      </c>
      <c r="EN307" s="637">
        <f t="shared" si="744"/>
        <v>0</v>
      </c>
      <c r="EO307" s="637">
        <f t="shared" si="745"/>
        <v>100871.88112845413</v>
      </c>
      <c r="EP307" s="637">
        <f t="shared" si="746"/>
        <v>100871.88112845429</v>
      </c>
      <c r="EQ307" s="643">
        <f t="shared" si="747"/>
        <v>100871.88112845429</v>
      </c>
      <c r="ER307" s="637">
        <f t="shared" si="748"/>
        <v>0</v>
      </c>
      <c r="ES307" s="637">
        <f t="shared" si="749"/>
        <v>100871.88112845429</v>
      </c>
      <c r="ET307" s="637">
        <f t="shared" si="750"/>
        <v>100871.88112845413</v>
      </c>
      <c r="EU307" s="643">
        <f t="shared" si="723"/>
        <v>100871.88112845413</v>
      </c>
      <c r="EV307" s="643">
        <f t="shared" si="724"/>
        <v>0</v>
      </c>
      <c r="EX307" s="829">
        <f t="shared" si="725"/>
        <v>5985.4081319787365</v>
      </c>
      <c r="EY307" s="638">
        <f t="shared" si="726"/>
        <v>100871.88112845413</v>
      </c>
      <c r="FC307" s="830" t="str">
        <f t="shared" si="751"/>
        <v>Y</v>
      </c>
      <c r="FE307" s="830" t="str">
        <f>IFERROR(VLOOKUP($B307,'Historical Conc Grant Elig'!$B$3:$J$707,'HH &amp; SI'!FE$2,0),"N")</f>
        <v>N</v>
      </c>
      <c r="FF307" s="830" t="str">
        <f>IFERROR(VLOOKUP($B307,'Historical Conc Grant Elig'!$B$3:$J$707,'HH &amp; SI'!FF$2,0),"N")</f>
        <v>N</v>
      </c>
      <c r="FG307" s="830" t="str">
        <f>IFERROR(VLOOKUP($B307,'Historical Conc Grant Elig'!$B$3:$J$707,'HH &amp; SI'!FG$2,0),"N")</f>
        <v>N</v>
      </c>
      <c r="FH307" s="830" t="str">
        <f>IFERROR(VLOOKUP($B307,'Historical Conc Grant Elig'!$B$3:$J$707,'HH &amp; SI'!FH$2,0),"N")</f>
        <v>Y</v>
      </c>
      <c r="FI307" s="830" t="str">
        <f>IFERROR(VLOOKUP($B307,'Historical Conc Grant Elig'!$B$3:$J$707,'HH &amp; SI'!FI$2,0),"N")</f>
        <v>N</v>
      </c>
      <c r="FJ307" s="830" t="str">
        <f>IFERROR(VLOOKUP($B307,'Historical Conc Grant Elig'!$B$3:$J$707,'HH &amp; SI'!FJ$2,0),"N")</f>
        <v>Y</v>
      </c>
      <c r="FK307" s="830" t="str">
        <f>IFERROR(VLOOKUP($B307,'Historical Conc Grant Elig'!$B$3:$J$707,'HH &amp; SI'!FK$2,0),"N")</f>
        <v>Y</v>
      </c>
      <c r="FL307" s="957" t="str">
        <f>IFERROR(VLOOKUP($B307,'Historical Conc Grant Elig'!$B$3:$J$707,'HH &amp; SI'!FL$2,0),"N")</f>
        <v>Y</v>
      </c>
    </row>
    <row r="308" spans="2:168" x14ac:dyDescent="0.25">
      <c r="B308" s="634">
        <v>78991000</v>
      </c>
      <c r="C308" s="635" t="str">
        <f>VLOOKUP($B308,'Afton Update'!$A$5:$CR$582,'Afton Update'!D$589,0)</f>
        <v>Arizona Montessori Charter School at Anthem</v>
      </c>
      <c r="D308" s="636">
        <f>IFERROR(VLOOKUP($B308,'Afton FY16 Final'!$A$5:$BV$587,'Afton FY16 Final'!AQ$587,0),0)</f>
        <v>18868.108225456122</v>
      </c>
      <c r="E308" s="637">
        <f>IFERROR(VLOOKUP($B308,'Afton FY16 Final'!$A$5:$BV$587,'Afton FY16 Final'!AR$587,0),0)</f>
        <v>4489.391857577576</v>
      </c>
      <c r="F308" s="637">
        <f>IFERROR(VLOOKUP($B308,'Afton FY16 Final'!$A$5:$BV$587,'Afton FY16 Final'!AS$587,0),0)</f>
        <v>10004.146655365706</v>
      </c>
      <c r="G308" s="637">
        <f>IFERROR(VLOOKUP($B308,'Afton FY16 Final'!$A$5:$BV$587,'Afton FY16 Final'!AT$587,0),0)</f>
        <v>9638.9264383924201</v>
      </c>
      <c r="H308" s="638">
        <f>IFERROR(VLOOKUP($B308,'Afton FY16 Final'!$A$5:$BV$587,'Afton FY16 Final'!AU$587,0),0)</f>
        <v>43000.573176791819</v>
      </c>
      <c r="I308" s="639" t="str">
        <f>VLOOKUP($B308,'Afton Update'!$A$5:$CR$582,'Afton Update'!BT$589,0)</f>
        <v>Y</v>
      </c>
      <c r="J308" s="640" t="str">
        <f>VLOOKUP($B308,'Afton Update'!$A$5:$CR$582,'Afton Update'!BU$589,0)</f>
        <v>N</v>
      </c>
      <c r="K308" s="640" t="str">
        <f>VLOOKUP($B308,'Afton Update'!$A$5:$CR$582,'Afton Update'!BV$589,0)</f>
        <v>Y</v>
      </c>
      <c r="L308" s="641" t="str">
        <f>VLOOKUP($B308,'Afton Update'!$A$5:$CR$582,'Afton Update'!BW$589,0)</f>
        <v>Y</v>
      </c>
      <c r="N308" s="642">
        <f>VLOOKUP($B308,'Afton Update'!$A$5:$CR$582,'Afton Update'!CB$589,0)</f>
        <v>0.85</v>
      </c>
      <c r="P308" s="636">
        <f>VLOOKUP($B308,'Afton Update'!$A$5:$CR$582,'Afton Update'!AH$589,0)</f>
        <v>15546.026400638792</v>
      </c>
      <c r="Q308" s="637" t="str">
        <f>VLOOKUP($B308,'Afton Update'!$A$5:$CR$582,'Afton Update'!AI$589,0)</f>
        <v/>
      </c>
      <c r="R308" s="637">
        <f>VLOOKUP($B308,'Afton Update'!$A$5:$CR$582,'Afton Update'!AJ$589,0)</f>
        <v>9123.8389766884229</v>
      </c>
      <c r="S308" s="637">
        <f>VLOOKUP($B308,'Afton Update'!$A$5:$CR$582,'Afton Update'!AK$589,0)</f>
        <v>8493.0955842966014</v>
      </c>
      <c r="T308" s="643">
        <f t="shared" si="752"/>
        <v>33162.960961623816</v>
      </c>
      <c r="V308" s="636">
        <f t="shared" si="778"/>
        <v>16037.891991637704</v>
      </c>
      <c r="W308" s="637">
        <f t="shared" si="779"/>
        <v>3815.9830789409393</v>
      </c>
      <c r="X308" s="637">
        <f t="shared" si="780"/>
        <v>9040.8612234636803</v>
      </c>
      <c r="Y308" s="637">
        <f t="shared" si="781"/>
        <v>8399.5169593106566</v>
      </c>
      <c r="Z308" s="643">
        <f t="shared" si="782"/>
        <v>37294.253253352981</v>
      </c>
      <c r="AB308" s="644">
        <f t="shared" si="753"/>
        <v>15546.026400638792</v>
      </c>
      <c r="AC308" s="645">
        <f t="shared" si="727"/>
        <v>16037.891991637704</v>
      </c>
      <c r="AD308" s="644">
        <f t="shared" si="783"/>
        <v>491.86559099891201</v>
      </c>
      <c r="AE308" s="645">
        <f t="shared" si="784"/>
        <v>0</v>
      </c>
      <c r="AF308" s="646">
        <f t="shared" si="785"/>
        <v>0</v>
      </c>
      <c r="AG308" s="647">
        <f t="shared" si="786"/>
        <v>16037.891991637704</v>
      </c>
      <c r="AH308" s="644">
        <f t="shared" si="754"/>
        <v>0</v>
      </c>
      <c r="AI308" s="645">
        <f t="shared" si="755"/>
        <v>0</v>
      </c>
      <c r="AJ308" s="646">
        <f t="shared" si="787"/>
        <v>0</v>
      </c>
      <c r="AK308" s="647">
        <f t="shared" si="756"/>
        <v>16037.891991637704</v>
      </c>
      <c r="AL308" s="644">
        <f t="shared" si="788"/>
        <v>0</v>
      </c>
      <c r="AM308" s="645">
        <f t="shared" si="789"/>
        <v>0</v>
      </c>
      <c r="AN308" s="646">
        <f t="shared" si="790"/>
        <v>0</v>
      </c>
      <c r="AO308" s="647">
        <f t="shared" si="757"/>
        <v>16037.891991637704</v>
      </c>
      <c r="AP308" s="644">
        <f t="shared" si="791"/>
        <v>0</v>
      </c>
      <c r="AQ308" s="645">
        <f t="shared" si="792"/>
        <v>0</v>
      </c>
      <c r="AR308" s="646">
        <f t="shared" si="793"/>
        <v>0</v>
      </c>
      <c r="AS308" s="647">
        <f t="shared" si="758"/>
        <v>16037.891991637704</v>
      </c>
      <c r="AT308" s="644">
        <f t="shared" si="794"/>
        <v>0</v>
      </c>
      <c r="AU308" s="645">
        <f t="shared" si="795"/>
        <v>0</v>
      </c>
      <c r="AV308" s="646">
        <f t="shared" si="796"/>
        <v>0</v>
      </c>
      <c r="AW308" s="647">
        <f t="shared" si="759"/>
        <v>16037.891991637704</v>
      </c>
      <c r="AY308" s="644">
        <f t="shared" si="797"/>
        <v>0</v>
      </c>
      <c r="AZ308" s="645">
        <f t="shared" si="728"/>
        <v>3815.9830789409393</v>
      </c>
      <c r="BA308" s="644">
        <f t="shared" si="798"/>
        <v>0</v>
      </c>
      <c r="BB308" s="645">
        <f t="shared" si="799"/>
        <v>0</v>
      </c>
      <c r="BC308" s="646">
        <f t="shared" si="800"/>
        <v>0</v>
      </c>
      <c r="BD308" s="647">
        <f t="shared" si="801"/>
        <v>0</v>
      </c>
      <c r="BE308" s="644">
        <f t="shared" si="760"/>
        <v>-3815.9830789409393</v>
      </c>
      <c r="BF308" s="645">
        <f t="shared" si="761"/>
        <v>0</v>
      </c>
      <c r="BG308" s="646">
        <f t="shared" si="802"/>
        <v>0</v>
      </c>
      <c r="BH308" s="647">
        <f t="shared" si="762"/>
        <v>3815.9830789409393</v>
      </c>
      <c r="BI308" s="644">
        <f t="shared" si="803"/>
        <v>0</v>
      </c>
      <c r="BJ308" s="645">
        <f t="shared" si="804"/>
        <v>0</v>
      </c>
      <c r="BK308" s="646">
        <f t="shared" si="805"/>
        <v>0</v>
      </c>
      <c r="BL308" s="647">
        <f t="shared" si="763"/>
        <v>3815.9830789409393</v>
      </c>
      <c r="BM308" s="644">
        <f t="shared" si="806"/>
        <v>0</v>
      </c>
      <c r="BN308" s="645">
        <f t="shared" si="807"/>
        <v>0</v>
      </c>
      <c r="BO308" s="646">
        <f t="shared" si="808"/>
        <v>0</v>
      </c>
      <c r="BP308" s="647">
        <f t="shared" si="764"/>
        <v>3815.9830789409393</v>
      </c>
      <c r="BQ308" s="644">
        <f t="shared" si="809"/>
        <v>0</v>
      </c>
      <c r="BR308" s="645">
        <f t="shared" si="810"/>
        <v>0</v>
      </c>
      <c r="BS308" s="646">
        <f t="shared" si="811"/>
        <v>0</v>
      </c>
      <c r="BT308" s="647">
        <f t="shared" si="765"/>
        <v>3815.9830789409393</v>
      </c>
      <c r="BU308" s="662">
        <f>VLOOKUP(B308,'Afton Update'!$A$5:$AR$582,'Afton Update'!$AO$589,0)-BT308</f>
        <v>0</v>
      </c>
      <c r="BV308" s="644">
        <f t="shared" si="812"/>
        <v>9123.8389766884229</v>
      </c>
      <c r="BW308" s="645">
        <f t="shared" si="729"/>
        <v>8503.5246570608506</v>
      </c>
      <c r="BX308" s="644">
        <f t="shared" si="813"/>
        <v>0</v>
      </c>
      <c r="BY308" s="645">
        <f t="shared" si="814"/>
        <v>9123.8389766884229</v>
      </c>
      <c r="BZ308" s="646">
        <f t="shared" si="815"/>
        <v>-80.080904734117468</v>
      </c>
      <c r="CA308" s="647">
        <f t="shared" si="816"/>
        <v>9043.7580719543057</v>
      </c>
      <c r="CB308" s="644">
        <f t="shared" si="766"/>
        <v>0</v>
      </c>
      <c r="CC308" s="645">
        <f t="shared" si="767"/>
        <v>9043.7580719543057</v>
      </c>
      <c r="CD308" s="646">
        <f t="shared" si="817"/>
        <v>-2.8968484906260668</v>
      </c>
      <c r="CE308" s="647">
        <f t="shared" si="768"/>
        <v>9040.8612234636803</v>
      </c>
      <c r="CF308" s="644">
        <f t="shared" si="818"/>
        <v>0</v>
      </c>
      <c r="CG308" s="645">
        <f t="shared" si="819"/>
        <v>9040.8612234636803</v>
      </c>
      <c r="CH308" s="646">
        <f t="shared" si="820"/>
        <v>0</v>
      </c>
      <c r="CI308" s="647">
        <f t="shared" si="769"/>
        <v>9040.8612234636803</v>
      </c>
      <c r="CJ308" s="644">
        <f t="shared" si="821"/>
        <v>0</v>
      </c>
      <c r="CK308" s="645">
        <f t="shared" si="822"/>
        <v>9040.8612234636803</v>
      </c>
      <c r="CL308" s="646">
        <f t="shared" si="823"/>
        <v>0</v>
      </c>
      <c r="CM308" s="647">
        <f t="shared" si="770"/>
        <v>9040.8612234636803</v>
      </c>
      <c r="CN308" s="644">
        <f t="shared" si="824"/>
        <v>0</v>
      </c>
      <c r="CO308" s="645">
        <f t="shared" si="825"/>
        <v>9040.8612234636803</v>
      </c>
      <c r="CP308" s="646">
        <f t="shared" si="826"/>
        <v>0</v>
      </c>
      <c r="CQ308" s="647">
        <f t="shared" si="771"/>
        <v>9040.8612234636803</v>
      </c>
      <c r="CS308" s="644">
        <f t="shared" si="827"/>
        <v>8493.0955842966014</v>
      </c>
      <c r="CT308" s="645">
        <f t="shared" si="730"/>
        <v>8193.0874726335569</v>
      </c>
      <c r="CU308" s="644">
        <f t="shared" si="828"/>
        <v>0</v>
      </c>
      <c r="CV308" s="645">
        <f t="shared" si="829"/>
        <v>8493.0955842966014</v>
      </c>
      <c r="CW308" s="646">
        <f t="shared" si="830"/>
        <v>-86.974098418153588</v>
      </c>
      <c r="CX308" s="647">
        <f t="shared" si="831"/>
        <v>8406.1214858784479</v>
      </c>
      <c r="CY308" s="644">
        <f t="shared" si="772"/>
        <v>0</v>
      </c>
      <c r="CZ308" s="645">
        <f t="shared" si="773"/>
        <v>8406.1214858784479</v>
      </c>
      <c r="DA308" s="646">
        <f t="shared" si="832"/>
        <v>-6.598835893734484</v>
      </c>
      <c r="DB308" s="647">
        <f t="shared" si="774"/>
        <v>8399.522649984714</v>
      </c>
      <c r="DC308" s="644">
        <f t="shared" si="833"/>
        <v>0</v>
      </c>
      <c r="DD308" s="645">
        <f t="shared" si="834"/>
        <v>8399.522649984714</v>
      </c>
      <c r="DE308" s="646">
        <f t="shared" si="835"/>
        <v>-5.6906740576920635E-3</v>
      </c>
      <c r="DF308" s="647">
        <f t="shared" si="775"/>
        <v>8399.5169593106566</v>
      </c>
      <c r="DG308" s="644">
        <f t="shared" si="836"/>
        <v>0</v>
      </c>
      <c r="DH308" s="645">
        <f t="shared" si="837"/>
        <v>8399.5169593106566</v>
      </c>
      <c r="DI308" s="646">
        <f t="shared" si="838"/>
        <v>0</v>
      </c>
      <c r="DJ308" s="647">
        <f t="shared" si="776"/>
        <v>8399.5169593106566</v>
      </c>
      <c r="DK308" s="644">
        <f t="shared" si="839"/>
        <v>0</v>
      </c>
      <c r="DL308" s="645">
        <f t="shared" si="840"/>
        <v>8399.5169593106566</v>
      </c>
      <c r="DM308" s="646">
        <f t="shared" si="841"/>
        <v>0</v>
      </c>
      <c r="DN308" s="647">
        <f t="shared" si="777"/>
        <v>8399.5169593106566</v>
      </c>
      <c r="DR308" s="827">
        <f t="shared" si="731"/>
        <v>37294.253253352981</v>
      </c>
      <c r="DV308" s="828">
        <f>IFERROR(VLOOKUP($B308,'Afton FY16 Final'!$A$5:$BV$587,'Afton FY16 Final'!$BV$587,0),0)</f>
        <v>42153.891898062058</v>
      </c>
      <c r="DX308" s="636">
        <f t="shared" si="719"/>
        <v>0</v>
      </c>
      <c r="DY308" s="637">
        <f t="shared" si="720"/>
        <v>0</v>
      </c>
      <c r="DZ308" s="637">
        <f t="shared" si="721"/>
        <v>0</v>
      </c>
      <c r="EA308" s="643">
        <f t="shared" si="722"/>
        <v>0</v>
      </c>
      <c r="EB308" s="637">
        <f t="shared" si="732"/>
        <v>0</v>
      </c>
      <c r="EC308" s="637">
        <f t="shared" si="733"/>
        <v>0</v>
      </c>
      <c r="ED308" s="637">
        <f t="shared" si="734"/>
        <v>0</v>
      </c>
      <c r="EE308" s="643">
        <f t="shared" si="735"/>
        <v>0</v>
      </c>
      <c r="EF308" s="637">
        <f t="shared" si="736"/>
        <v>0</v>
      </c>
      <c r="EG308" s="637">
        <f t="shared" si="737"/>
        <v>0</v>
      </c>
      <c r="EH308" s="637">
        <f t="shared" si="738"/>
        <v>0</v>
      </c>
      <c r="EI308" s="643">
        <f t="shared" si="739"/>
        <v>0</v>
      </c>
      <c r="EJ308" s="637">
        <f t="shared" si="740"/>
        <v>0</v>
      </c>
      <c r="EK308" s="637">
        <f t="shared" si="741"/>
        <v>0</v>
      </c>
      <c r="EL308" s="637">
        <f t="shared" si="742"/>
        <v>0</v>
      </c>
      <c r="EM308" s="643">
        <f t="shared" si="743"/>
        <v>0</v>
      </c>
      <c r="EN308" s="637">
        <f t="shared" si="744"/>
        <v>0</v>
      </c>
      <c r="EO308" s="637">
        <f t="shared" si="745"/>
        <v>0</v>
      </c>
      <c r="EP308" s="637">
        <f t="shared" si="746"/>
        <v>0</v>
      </c>
      <c r="EQ308" s="643">
        <f t="shared" si="747"/>
        <v>0</v>
      </c>
      <c r="ER308" s="637">
        <f t="shared" si="748"/>
        <v>0</v>
      </c>
      <c r="ES308" s="637">
        <f t="shared" si="749"/>
        <v>0</v>
      </c>
      <c r="ET308" s="637">
        <f t="shared" si="750"/>
        <v>0</v>
      </c>
      <c r="EU308" s="643">
        <f t="shared" si="723"/>
        <v>0</v>
      </c>
      <c r="EV308" s="643">
        <f t="shared" si="724"/>
        <v>0</v>
      </c>
      <c r="EX308" s="829">
        <f t="shared" si="725"/>
        <v>0</v>
      </c>
      <c r="EY308" s="638">
        <f t="shared" si="726"/>
        <v>37294.253253352981</v>
      </c>
      <c r="FC308" s="830" t="str">
        <f t="shared" si="751"/>
        <v>Y</v>
      </c>
      <c r="FE308" s="830" t="str">
        <f>IFERROR(VLOOKUP($B308,'Historical Conc Grant Elig'!$B$3:$J$707,'HH &amp; SI'!FE$2,0),"N")</f>
        <v>N</v>
      </c>
      <c r="FF308" s="830" t="str">
        <f>IFERROR(VLOOKUP($B308,'Historical Conc Grant Elig'!$B$3:$J$707,'HH &amp; SI'!FF$2,0),"N")</f>
        <v>N</v>
      </c>
      <c r="FG308" s="830" t="str">
        <f>IFERROR(VLOOKUP($B308,'Historical Conc Grant Elig'!$B$3:$J$707,'HH &amp; SI'!FG$2,0),"N")</f>
        <v>N</v>
      </c>
      <c r="FH308" s="830" t="str">
        <f>IFERROR(VLOOKUP($B308,'Historical Conc Grant Elig'!$B$3:$J$707,'HH &amp; SI'!FH$2,0),"N")</f>
        <v>Y</v>
      </c>
      <c r="FI308" s="830" t="str">
        <f>IFERROR(VLOOKUP($B308,'Historical Conc Grant Elig'!$B$3:$J$707,'HH &amp; SI'!FI$2,0),"N")</f>
        <v>N</v>
      </c>
      <c r="FJ308" s="830" t="str">
        <f>IFERROR(VLOOKUP($B308,'Historical Conc Grant Elig'!$B$3:$J$707,'HH &amp; SI'!FJ$2,0),"N")</f>
        <v>Y</v>
      </c>
      <c r="FK308" s="830" t="str">
        <f>IFERROR(VLOOKUP($B308,'Historical Conc Grant Elig'!$B$3:$J$707,'HH &amp; SI'!FK$2,0),"N")</f>
        <v>N</v>
      </c>
      <c r="FL308" s="957" t="str">
        <f>IFERROR(VLOOKUP($B308,'Historical Conc Grant Elig'!$B$3:$J$707,'HH &amp; SI'!FL$2,0),"N")</f>
        <v>N</v>
      </c>
    </row>
    <row r="309" spans="2:168" x14ac:dyDescent="0.25">
      <c r="B309" s="634">
        <v>78992000</v>
      </c>
      <c r="C309" s="635" t="str">
        <f>VLOOKUP($B309,'Afton Update'!$A$5:$CR$582,'Afton Update'!D$589,0)</f>
        <v>StarShine Academy</v>
      </c>
      <c r="D309" s="636">
        <f>IFERROR(VLOOKUP($B309,'Afton FY16 Final'!$A$5:$BV$587,'Afton FY16 Final'!AQ$587,0),0)</f>
        <v>83538.993662475637</v>
      </c>
      <c r="E309" s="637">
        <f>IFERROR(VLOOKUP($B309,'Afton FY16 Final'!$A$5:$BV$587,'Afton FY16 Final'!AR$587,0),0)</f>
        <v>17757.076130572023</v>
      </c>
      <c r="F309" s="637">
        <f>IFERROR(VLOOKUP($B309,'Afton FY16 Final'!$A$5:$BV$587,'Afton FY16 Final'!AS$587,0),0)</f>
        <v>44293.594993987172</v>
      </c>
      <c r="G309" s="637">
        <f>IFERROR(VLOOKUP($B309,'Afton FY16 Final'!$A$5:$BV$587,'Afton FY16 Final'!AT$587,0),0)</f>
        <v>42676.573879492207</v>
      </c>
      <c r="H309" s="638">
        <f>IFERROR(VLOOKUP($B309,'Afton FY16 Final'!$A$5:$BV$587,'Afton FY16 Final'!AU$587,0),0)</f>
        <v>188266.23866652703</v>
      </c>
      <c r="I309" s="639" t="str">
        <f>VLOOKUP($B309,'Afton Update'!$A$5:$CR$582,'Afton Update'!BT$589,0)</f>
        <v>Y</v>
      </c>
      <c r="J309" s="640" t="str">
        <f>VLOOKUP($B309,'Afton Update'!$A$5:$CR$582,'Afton Update'!BU$589,0)</f>
        <v>Y</v>
      </c>
      <c r="K309" s="640" t="str">
        <f>VLOOKUP($B309,'Afton Update'!$A$5:$CR$582,'Afton Update'!BV$589,0)</f>
        <v>Y</v>
      </c>
      <c r="L309" s="641" t="str">
        <f>VLOOKUP($B309,'Afton Update'!$A$5:$CR$582,'Afton Update'!BW$589,0)</f>
        <v>Y</v>
      </c>
      <c r="N309" s="642">
        <f>VLOOKUP($B309,'Afton Update'!$A$5:$CR$582,'Afton Update'!CB$589,0)</f>
        <v>0.95</v>
      </c>
      <c r="P309" s="636">
        <f>VLOOKUP($B309,'Afton Update'!$A$5:$CR$582,'Afton Update'!AH$589,0)</f>
        <v>35397.106266069859</v>
      </c>
      <c r="Q309" s="637">
        <f>VLOOKUP($B309,'Afton Update'!$A$5:$CR$582,'Afton Update'!AI$589,0)</f>
        <v>9450.8860354877143</v>
      </c>
      <c r="R309" s="637">
        <f>VLOOKUP($B309,'Afton Update'!$A$5:$CR$582,'Afton Update'!AJ$589,0)</f>
        <v>20741.921461486229</v>
      </c>
      <c r="S309" s="637">
        <f>VLOOKUP($B309,'Afton Update'!$A$5:$CR$582,'Afton Update'!AK$589,0)</f>
        <v>19308.004232042589</v>
      </c>
      <c r="T309" s="643">
        <f t="shared" si="752"/>
        <v>84897.917995086391</v>
      </c>
      <c r="V309" s="636">
        <f t="shared" si="778"/>
        <v>79362.043979351845</v>
      </c>
      <c r="W309" s="637">
        <f t="shared" si="779"/>
        <v>16869.222324043421</v>
      </c>
      <c r="X309" s="637">
        <f t="shared" si="780"/>
        <v>42078.915244287811</v>
      </c>
      <c r="Y309" s="637">
        <f t="shared" si="781"/>
        <v>40542.745185517597</v>
      </c>
      <c r="Z309" s="643">
        <f t="shared" si="782"/>
        <v>178852.92673320067</v>
      </c>
      <c r="AB309" s="644">
        <f t="shared" si="753"/>
        <v>35397.106266069859</v>
      </c>
      <c r="AC309" s="645">
        <f t="shared" si="727"/>
        <v>79362.043979351845</v>
      </c>
      <c r="AD309" s="644">
        <f t="shared" si="783"/>
        <v>43964.937713281986</v>
      </c>
      <c r="AE309" s="645">
        <f t="shared" si="784"/>
        <v>0</v>
      </c>
      <c r="AF309" s="646">
        <f t="shared" si="785"/>
        <v>0</v>
      </c>
      <c r="AG309" s="647">
        <f t="shared" si="786"/>
        <v>79362.043979351845</v>
      </c>
      <c r="AH309" s="644">
        <f t="shared" si="754"/>
        <v>0</v>
      </c>
      <c r="AI309" s="645">
        <f t="shared" si="755"/>
        <v>0</v>
      </c>
      <c r="AJ309" s="646">
        <f t="shared" si="787"/>
        <v>0</v>
      </c>
      <c r="AK309" s="647">
        <f t="shared" si="756"/>
        <v>79362.043979351845</v>
      </c>
      <c r="AL309" s="644">
        <f t="shared" si="788"/>
        <v>0</v>
      </c>
      <c r="AM309" s="645">
        <f t="shared" si="789"/>
        <v>0</v>
      </c>
      <c r="AN309" s="646">
        <f t="shared" si="790"/>
        <v>0</v>
      </c>
      <c r="AO309" s="647">
        <f t="shared" si="757"/>
        <v>79362.043979351845</v>
      </c>
      <c r="AP309" s="644">
        <f t="shared" si="791"/>
        <v>0</v>
      </c>
      <c r="AQ309" s="645">
        <f t="shared" si="792"/>
        <v>0</v>
      </c>
      <c r="AR309" s="646">
        <f t="shared" si="793"/>
        <v>0</v>
      </c>
      <c r="AS309" s="647">
        <f t="shared" si="758"/>
        <v>79362.043979351845</v>
      </c>
      <c r="AT309" s="644">
        <f t="shared" si="794"/>
        <v>0</v>
      </c>
      <c r="AU309" s="645">
        <f t="shared" si="795"/>
        <v>0</v>
      </c>
      <c r="AV309" s="646">
        <f t="shared" si="796"/>
        <v>0</v>
      </c>
      <c r="AW309" s="647">
        <f t="shared" si="759"/>
        <v>79362.043979351845</v>
      </c>
      <c r="AY309" s="644">
        <f t="shared" si="797"/>
        <v>9450.8860354877143</v>
      </c>
      <c r="AZ309" s="645">
        <f t="shared" si="728"/>
        <v>16869.222324043421</v>
      </c>
      <c r="BA309" s="644">
        <f t="shared" si="798"/>
        <v>7418.3362885557071</v>
      </c>
      <c r="BB309" s="645">
        <f t="shared" si="799"/>
        <v>0</v>
      </c>
      <c r="BC309" s="646">
        <f t="shared" si="800"/>
        <v>0</v>
      </c>
      <c r="BD309" s="647">
        <f t="shared" si="801"/>
        <v>16869.222324043421</v>
      </c>
      <c r="BE309" s="644">
        <f t="shared" si="760"/>
        <v>0</v>
      </c>
      <c r="BF309" s="645">
        <f t="shared" si="761"/>
        <v>0</v>
      </c>
      <c r="BG309" s="646">
        <f t="shared" si="802"/>
        <v>0</v>
      </c>
      <c r="BH309" s="647">
        <f t="shared" si="762"/>
        <v>16869.222324043421</v>
      </c>
      <c r="BI309" s="644">
        <f t="shared" si="803"/>
        <v>0</v>
      </c>
      <c r="BJ309" s="645">
        <f t="shared" si="804"/>
        <v>0</v>
      </c>
      <c r="BK309" s="646">
        <f t="shared" si="805"/>
        <v>0</v>
      </c>
      <c r="BL309" s="647">
        <f t="shared" si="763"/>
        <v>16869.222324043421</v>
      </c>
      <c r="BM309" s="644">
        <f t="shared" si="806"/>
        <v>0</v>
      </c>
      <c r="BN309" s="645">
        <f t="shared" si="807"/>
        <v>0</v>
      </c>
      <c r="BO309" s="646">
        <f t="shared" si="808"/>
        <v>0</v>
      </c>
      <c r="BP309" s="647">
        <f t="shared" si="764"/>
        <v>16869.222324043421</v>
      </c>
      <c r="BQ309" s="644">
        <f t="shared" si="809"/>
        <v>0</v>
      </c>
      <c r="BR309" s="645">
        <f t="shared" si="810"/>
        <v>0</v>
      </c>
      <c r="BS309" s="646">
        <f t="shared" si="811"/>
        <v>0</v>
      </c>
      <c r="BT309" s="647">
        <f t="shared" si="765"/>
        <v>16869.222324043421</v>
      </c>
      <c r="BU309" s="662">
        <f>VLOOKUP(B309,'Afton Update'!$A$5:$AR$582,'Afton Update'!$AO$589,0)-BT309</f>
        <v>0</v>
      </c>
      <c r="BV309" s="644">
        <f t="shared" si="812"/>
        <v>20741.921461486229</v>
      </c>
      <c r="BW309" s="645">
        <f t="shared" si="729"/>
        <v>42078.915244287811</v>
      </c>
      <c r="BX309" s="644">
        <f t="shared" si="813"/>
        <v>21336.993782801583</v>
      </c>
      <c r="BY309" s="645">
        <f t="shared" si="814"/>
        <v>0</v>
      </c>
      <c r="BZ309" s="646">
        <f t="shared" si="815"/>
        <v>0</v>
      </c>
      <c r="CA309" s="647">
        <f t="shared" si="816"/>
        <v>42078.915244287811</v>
      </c>
      <c r="CB309" s="644">
        <f t="shared" si="766"/>
        <v>0</v>
      </c>
      <c r="CC309" s="645">
        <f t="shared" si="767"/>
        <v>0</v>
      </c>
      <c r="CD309" s="646">
        <f t="shared" si="817"/>
        <v>0</v>
      </c>
      <c r="CE309" s="647">
        <f t="shared" si="768"/>
        <v>42078.915244287811</v>
      </c>
      <c r="CF309" s="644">
        <f t="shared" si="818"/>
        <v>0</v>
      </c>
      <c r="CG309" s="645">
        <f t="shared" si="819"/>
        <v>0</v>
      </c>
      <c r="CH309" s="646">
        <f t="shared" si="820"/>
        <v>0</v>
      </c>
      <c r="CI309" s="647">
        <f t="shared" si="769"/>
        <v>42078.915244287811</v>
      </c>
      <c r="CJ309" s="644">
        <f t="shared" si="821"/>
        <v>0</v>
      </c>
      <c r="CK309" s="645">
        <f t="shared" si="822"/>
        <v>0</v>
      </c>
      <c r="CL309" s="646">
        <f t="shared" si="823"/>
        <v>0</v>
      </c>
      <c r="CM309" s="647">
        <f t="shared" si="770"/>
        <v>42078.915244287811</v>
      </c>
      <c r="CN309" s="644">
        <f t="shared" si="824"/>
        <v>0</v>
      </c>
      <c r="CO309" s="645">
        <f t="shared" si="825"/>
        <v>0</v>
      </c>
      <c r="CP309" s="646">
        <f t="shared" si="826"/>
        <v>0</v>
      </c>
      <c r="CQ309" s="647">
        <f t="shared" si="771"/>
        <v>42078.915244287811</v>
      </c>
      <c r="CS309" s="644">
        <f t="shared" si="827"/>
        <v>19308.004232042589</v>
      </c>
      <c r="CT309" s="645">
        <f t="shared" si="730"/>
        <v>40542.745185517597</v>
      </c>
      <c r="CU309" s="644">
        <f t="shared" si="828"/>
        <v>21234.740953475008</v>
      </c>
      <c r="CV309" s="645">
        <f t="shared" si="829"/>
        <v>0</v>
      </c>
      <c r="CW309" s="646">
        <f t="shared" si="830"/>
        <v>0</v>
      </c>
      <c r="CX309" s="647">
        <f t="shared" si="831"/>
        <v>40542.745185517597</v>
      </c>
      <c r="CY309" s="644">
        <f t="shared" si="772"/>
        <v>0</v>
      </c>
      <c r="CZ309" s="645">
        <f t="shared" si="773"/>
        <v>0</v>
      </c>
      <c r="DA309" s="646">
        <f t="shared" si="832"/>
        <v>0</v>
      </c>
      <c r="DB309" s="647">
        <f t="shared" si="774"/>
        <v>40542.745185517597</v>
      </c>
      <c r="DC309" s="644">
        <f t="shared" si="833"/>
        <v>0</v>
      </c>
      <c r="DD309" s="645">
        <f t="shared" si="834"/>
        <v>0</v>
      </c>
      <c r="DE309" s="646">
        <f t="shared" si="835"/>
        <v>0</v>
      </c>
      <c r="DF309" s="647">
        <f t="shared" si="775"/>
        <v>40542.745185517597</v>
      </c>
      <c r="DG309" s="644">
        <f t="shared" si="836"/>
        <v>0</v>
      </c>
      <c r="DH309" s="645">
        <f t="shared" si="837"/>
        <v>0</v>
      </c>
      <c r="DI309" s="646">
        <f t="shared" si="838"/>
        <v>0</v>
      </c>
      <c r="DJ309" s="647">
        <f t="shared" si="776"/>
        <v>40542.745185517597</v>
      </c>
      <c r="DK309" s="644">
        <f t="shared" si="839"/>
        <v>0</v>
      </c>
      <c r="DL309" s="645">
        <f t="shared" si="840"/>
        <v>0</v>
      </c>
      <c r="DM309" s="646">
        <f t="shared" si="841"/>
        <v>0</v>
      </c>
      <c r="DN309" s="647">
        <f t="shared" si="777"/>
        <v>40542.745185517597</v>
      </c>
      <c r="DR309" s="827">
        <f t="shared" si="731"/>
        <v>178852.92673320067</v>
      </c>
      <c r="DV309" s="828">
        <f>IFERROR(VLOOKUP($B309,'Afton FY16 Final'!$A$5:$BV$587,'Afton FY16 Final'!$BV$587,0),0)</f>
        <v>181603.12253899773</v>
      </c>
      <c r="DX309" s="636">
        <f t="shared" si="719"/>
        <v>0</v>
      </c>
      <c r="DY309" s="637">
        <f t="shared" si="720"/>
        <v>0</v>
      </c>
      <c r="DZ309" s="637">
        <f t="shared" si="721"/>
        <v>0</v>
      </c>
      <c r="EA309" s="643">
        <f t="shared" si="722"/>
        <v>0</v>
      </c>
      <c r="EB309" s="637">
        <f t="shared" si="732"/>
        <v>0</v>
      </c>
      <c r="EC309" s="637">
        <f t="shared" si="733"/>
        <v>0</v>
      </c>
      <c r="ED309" s="637">
        <f t="shared" si="734"/>
        <v>0</v>
      </c>
      <c r="EE309" s="643">
        <f t="shared" si="735"/>
        <v>0</v>
      </c>
      <c r="EF309" s="637">
        <f t="shared" si="736"/>
        <v>0</v>
      </c>
      <c r="EG309" s="637">
        <f t="shared" si="737"/>
        <v>0</v>
      </c>
      <c r="EH309" s="637">
        <f t="shared" si="738"/>
        <v>0</v>
      </c>
      <c r="EI309" s="643">
        <f t="shared" si="739"/>
        <v>0</v>
      </c>
      <c r="EJ309" s="637">
        <f t="shared" si="740"/>
        <v>0</v>
      </c>
      <c r="EK309" s="637">
        <f t="shared" si="741"/>
        <v>0</v>
      </c>
      <c r="EL309" s="637">
        <f t="shared" si="742"/>
        <v>0</v>
      </c>
      <c r="EM309" s="643">
        <f t="shared" si="743"/>
        <v>0</v>
      </c>
      <c r="EN309" s="637">
        <f t="shared" si="744"/>
        <v>0</v>
      </c>
      <c r="EO309" s="637">
        <f t="shared" si="745"/>
        <v>0</v>
      </c>
      <c r="EP309" s="637">
        <f t="shared" si="746"/>
        <v>0</v>
      </c>
      <c r="EQ309" s="643">
        <f t="shared" si="747"/>
        <v>0</v>
      </c>
      <c r="ER309" s="637">
        <f t="shared" si="748"/>
        <v>0</v>
      </c>
      <c r="ES309" s="637">
        <f t="shared" si="749"/>
        <v>0</v>
      </c>
      <c r="ET309" s="637">
        <f t="shared" si="750"/>
        <v>0</v>
      </c>
      <c r="EU309" s="643">
        <f t="shared" si="723"/>
        <v>0</v>
      </c>
      <c r="EV309" s="643">
        <f t="shared" si="724"/>
        <v>0</v>
      </c>
      <c r="EX309" s="829">
        <f t="shared" si="725"/>
        <v>0</v>
      </c>
      <c r="EY309" s="638">
        <f t="shared" si="726"/>
        <v>178852.92673320067</v>
      </c>
      <c r="FC309" s="830" t="str">
        <f t="shared" si="751"/>
        <v>Y</v>
      </c>
      <c r="FE309" s="830" t="str">
        <f>IFERROR(VLOOKUP($B309,'Historical Conc Grant Elig'!$B$3:$J$707,'HH &amp; SI'!FE$2,0),"N")</f>
        <v>Y</v>
      </c>
      <c r="FF309" s="830" t="str">
        <f>IFERROR(VLOOKUP($B309,'Historical Conc Grant Elig'!$B$3:$J$707,'HH &amp; SI'!FF$2,0),"N")</f>
        <v>Y</v>
      </c>
      <c r="FG309" s="830" t="str">
        <f>IFERROR(VLOOKUP($B309,'Historical Conc Grant Elig'!$B$3:$J$707,'HH &amp; SI'!FG$2,0),"N")</f>
        <v>Y</v>
      </c>
      <c r="FH309" s="830" t="str">
        <f>IFERROR(VLOOKUP($B309,'Historical Conc Grant Elig'!$B$3:$J$707,'HH &amp; SI'!FH$2,0),"N")</f>
        <v>Y</v>
      </c>
      <c r="FI309" s="830" t="str">
        <f>IFERROR(VLOOKUP($B309,'Historical Conc Grant Elig'!$B$3:$J$707,'HH &amp; SI'!FI$2,0),"N")</f>
        <v>Y</v>
      </c>
      <c r="FJ309" s="830" t="str">
        <f>IFERROR(VLOOKUP($B309,'Historical Conc Grant Elig'!$B$3:$J$707,'HH &amp; SI'!FJ$2,0),"N")</f>
        <v>Y</v>
      </c>
      <c r="FK309" s="830" t="str">
        <f>IFERROR(VLOOKUP($B309,'Historical Conc Grant Elig'!$B$3:$J$707,'HH &amp; SI'!FK$2,0),"N")</f>
        <v>Y</v>
      </c>
      <c r="FL309" s="957" t="str">
        <f>IFERROR(VLOOKUP($B309,'Historical Conc Grant Elig'!$B$3:$J$707,'HH &amp; SI'!FL$2,0),"N")</f>
        <v>Y</v>
      </c>
    </row>
    <row r="310" spans="2:168" x14ac:dyDescent="0.25">
      <c r="B310" s="634">
        <v>78993000</v>
      </c>
      <c r="C310" s="635" t="str">
        <f>VLOOKUP($B310,'Afton Update'!$A$5:$CR$582,'Afton Update'!D$589,0)</f>
        <v>Arizona Agribusiness &amp; Equine Center  Inc</v>
      </c>
      <c r="D310" s="636">
        <f>IFERROR(VLOOKUP($B310,'Afton FY16 Final'!$A$5:$BV$587,'Afton FY16 Final'!AQ$587,0),0)</f>
        <v>65222.444239031058</v>
      </c>
      <c r="E310" s="637">
        <f>IFERROR(VLOOKUP($B310,'Afton FY16 Final'!$A$5:$BV$587,'Afton FY16 Final'!AR$587,0),0)</f>
        <v>15151.36734078042</v>
      </c>
      <c r="F310" s="637">
        <f>IFERROR(VLOOKUP($B310,'Afton FY16 Final'!$A$5:$BV$587,'Afton FY16 Final'!AS$587,0),0)</f>
        <v>35396.986627125858</v>
      </c>
      <c r="G310" s="637">
        <f>IFERROR(VLOOKUP($B310,'Afton FY16 Final'!$A$5:$BV$587,'Afton FY16 Final'!AT$587,0),0)</f>
        <v>32783.967338280876</v>
      </c>
      <c r="H310" s="638">
        <f>IFERROR(VLOOKUP($B310,'Afton FY16 Final'!$A$5:$BV$587,'Afton FY16 Final'!AU$587,0),0)</f>
        <v>148554.76554521819</v>
      </c>
      <c r="I310" s="639" t="str">
        <f>VLOOKUP($B310,'Afton Update'!$A$5:$CR$582,'Afton Update'!BT$589,0)</f>
        <v>Y</v>
      </c>
      <c r="J310" s="640" t="str">
        <f>VLOOKUP($B310,'Afton Update'!$A$5:$CR$582,'Afton Update'!BU$589,0)</f>
        <v>Y</v>
      </c>
      <c r="K310" s="640" t="str">
        <f>VLOOKUP($B310,'Afton Update'!$A$5:$CR$582,'Afton Update'!BV$589,0)</f>
        <v>Y</v>
      </c>
      <c r="L310" s="641" t="str">
        <f>VLOOKUP($B310,'Afton Update'!$A$5:$CR$582,'Afton Update'!BW$589,0)</f>
        <v>Y</v>
      </c>
      <c r="N310" s="642">
        <f>VLOOKUP($B310,'Afton Update'!$A$5:$CR$582,'Afton Update'!CB$589,0)</f>
        <v>0.95</v>
      </c>
      <c r="P310" s="636">
        <f>VLOOKUP($B310,'Afton Update'!$A$5:$CR$582,'Afton Update'!AH$589,0)</f>
        <v>63379.953787219682</v>
      </c>
      <c r="Q310" s="637">
        <f>VLOOKUP($B310,'Afton Update'!$A$5:$CR$582,'Afton Update'!AI$589,0)</f>
        <v>15237.693902790883</v>
      </c>
      <c r="R310" s="637">
        <f>VLOOKUP($B310,'Afton Update'!$A$5:$CR$582,'Afton Update'!AJ$589,0)</f>
        <v>37119.218458128926</v>
      </c>
      <c r="S310" s="637">
        <f>VLOOKUP($B310,'Afton Update'!$A$5:$CR$582,'Afton Update'!AK$589,0)</f>
        <v>34553.116422238752</v>
      </c>
      <c r="T310" s="643">
        <f t="shared" si="752"/>
        <v>150289.98257037826</v>
      </c>
      <c r="V310" s="636">
        <f t="shared" si="778"/>
        <v>62515.410079936999</v>
      </c>
      <c r="W310" s="637">
        <f t="shared" si="779"/>
        <v>14735.819976093408</v>
      </c>
      <c r="X310" s="637">
        <f t="shared" si="780"/>
        <v>36781.63365890312</v>
      </c>
      <c r="Y310" s="637">
        <f t="shared" si="781"/>
        <v>34172.403278052443</v>
      </c>
      <c r="Z310" s="643">
        <f t="shared" si="782"/>
        <v>148205.26699298597</v>
      </c>
      <c r="AB310" s="644">
        <f t="shared" si="753"/>
        <v>63379.953787219682</v>
      </c>
      <c r="AC310" s="645">
        <f t="shared" si="727"/>
        <v>61961.322027079499</v>
      </c>
      <c r="AD310" s="644">
        <f t="shared" si="783"/>
        <v>0</v>
      </c>
      <c r="AE310" s="645">
        <f t="shared" si="784"/>
        <v>63379.953787219682</v>
      </c>
      <c r="AF310" s="646">
        <f t="shared" si="785"/>
        <v>-785.64215596000463</v>
      </c>
      <c r="AG310" s="647">
        <f t="shared" si="786"/>
        <v>62594.311631259676</v>
      </c>
      <c r="AH310" s="644">
        <f t="shared" si="754"/>
        <v>0</v>
      </c>
      <c r="AI310" s="645">
        <f t="shared" si="755"/>
        <v>62594.311631259676</v>
      </c>
      <c r="AJ310" s="646">
        <f t="shared" si="787"/>
        <v>-78.851283386667802</v>
      </c>
      <c r="AK310" s="647">
        <f t="shared" si="756"/>
        <v>62515.460347873006</v>
      </c>
      <c r="AL310" s="644">
        <f t="shared" si="788"/>
        <v>0</v>
      </c>
      <c r="AM310" s="645">
        <f t="shared" si="789"/>
        <v>62515.460347873006</v>
      </c>
      <c r="AN310" s="646">
        <f t="shared" si="790"/>
        <v>-5.0267936007312587E-2</v>
      </c>
      <c r="AO310" s="647">
        <f t="shared" si="757"/>
        <v>62515.410079936999</v>
      </c>
      <c r="AP310" s="644">
        <f t="shared" si="791"/>
        <v>0</v>
      </c>
      <c r="AQ310" s="645">
        <f t="shared" si="792"/>
        <v>62515.410079936999</v>
      </c>
      <c r="AR310" s="646">
        <f t="shared" si="793"/>
        <v>0</v>
      </c>
      <c r="AS310" s="647">
        <f t="shared" si="758"/>
        <v>62515.410079936999</v>
      </c>
      <c r="AT310" s="644">
        <f t="shared" si="794"/>
        <v>0</v>
      </c>
      <c r="AU310" s="645">
        <f t="shared" si="795"/>
        <v>62515.410079936999</v>
      </c>
      <c r="AV310" s="646">
        <f t="shared" si="796"/>
        <v>0</v>
      </c>
      <c r="AW310" s="647">
        <f t="shared" si="759"/>
        <v>62515.410079936999</v>
      </c>
      <c r="AY310" s="644">
        <f t="shared" si="797"/>
        <v>15237.693902790883</v>
      </c>
      <c r="AZ310" s="645">
        <f t="shared" si="728"/>
        <v>14393.798973741399</v>
      </c>
      <c r="BA310" s="644">
        <f t="shared" si="798"/>
        <v>0</v>
      </c>
      <c r="BB310" s="645">
        <f t="shared" si="799"/>
        <v>15237.693902790883</v>
      </c>
      <c r="BC310" s="646">
        <f t="shared" si="800"/>
        <v>-109.57869758287292</v>
      </c>
      <c r="BD310" s="647">
        <f t="shared" si="801"/>
        <v>15128.115205208011</v>
      </c>
      <c r="BE310" s="644">
        <f t="shared" si="760"/>
        <v>0</v>
      </c>
      <c r="BF310" s="645">
        <f t="shared" si="761"/>
        <v>15128.115205208011</v>
      </c>
      <c r="BG310" s="646">
        <f t="shared" si="802"/>
        <v>-360.3393756635918</v>
      </c>
      <c r="BH310" s="647">
        <f t="shared" si="762"/>
        <v>14767.775829544418</v>
      </c>
      <c r="BI310" s="644">
        <f t="shared" si="803"/>
        <v>0</v>
      </c>
      <c r="BJ310" s="645">
        <f t="shared" si="804"/>
        <v>14767.775829544418</v>
      </c>
      <c r="BK310" s="646">
        <f t="shared" si="805"/>
        <v>-31.281617744153927</v>
      </c>
      <c r="BL310" s="647">
        <f t="shared" si="763"/>
        <v>14736.494211800264</v>
      </c>
      <c r="BM310" s="644">
        <f t="shared" si="806"/>
        <v>0</v>
      </c>
      <c r="BN310" s="645">
        <f t="shared" si="807"/>
        <v>14736.494211800264</v>
      </c>
      <c r="BO310" s="646">
        <f t="shared" si="808"/>
        <v>-0.67423570685644618</v>
      </c>
      <c r="BP310" s="647">
        <f t="shared" si="764"/>
        <v>14735.819976093408</v>
      </c>
      <c r="BQ310" s="644">
        <f t="shared" si="809"/>
        <v>0</v>
      </c>
      <c r="BR310" s="645">
        <f t="shared" si="810"/>
        <v>14735.819976093408</v>
      </c>
      <c r="BS310" s="646">
        <f t="shared" si="811"/>
        <v>0</v>
      </c>
      <c r="BT310" s="647">
        <f t="shared" si="765"/>
        <v>14735.819976093408</v>
      </c>
      <c r="BU310" s="662">
        <f>VLOOKUP(B310,'Afton Update'!$A$5:$AR$582,'Afton Update'!$AO$589,0)-BT310</f>
        <v>0</v>
      </c>
      <c r="BV310" s="644">
        <f t="shared" si="812"/>
        <v>37119.218458128926</v>
      </c>
      <c r="BW310" s="645">
        <f t="shared" si="729"/>
        <v>33627.137295769564</v>
      </c>
      <c r="BX310" s="644">
        <f t="shared" si="813"/>
        <v>0</v>
      </c>
      <c r="BY310" s="645">
        <f t="shared" si="814"/>
        <v>37119.218458128926</v>
      </c>
      <c r="BZ310" s="646">
        <f t="shared" si="815"/>
        <v>-325.79932687821582</v>
      </c>
      <c r="CA310" s="647">
        <f t="shared" si="816"/>
        <v>36793.41913125071</v>
      </c>
      <c r="CB310" s="644">
        <f t="shared" si="766"/>
        <v>0</v>
      </c>
      <c r="CC310" s="645">
        <f t="shared" si="767"/>
        <v>36793.41913125071</v>
      </c>
      <c r="CD310" s="646">
        <f t="shared" si="817"/>
        <v>-11.785472347592716</v>
      </c>
      <c r="CE310" s="647">
        <f t="shared" si="768"/>
        <v>36781.63365890312</v>
      </c>
      <c r="CF310" s="644">
        <f t="shared" si="818"/>
        <v>0</v>
      </c>
      <c r="CG310" s="645">
        <f t="shared" si="819"/>
        <v>36781.63365890312</v>
      </c>
      <c r="CH310" s="646">
        <f t="shared" si="820"/>
        <v>0</v>
      </c>
      <c r="CI310" s="647">
        <f t="shared" si="769"/>
        <v>36781.63365890312</v>
      </c>
      <c r="CJ310" s="644">
        <f t="shared" si="821"/>
        <v>0</v>
      </c>
      <c r="CK310" s="645">
        <f t="shared" si="822"/>
        <v>36781.63365890312</v>
      </c>
      <c r="CL310" s="646">
        <f t="shared" si="823"/>
        <v>0</v>
      </c>
      <c r="CM310" s="647">
        <f t="shared" si="770"/>
        <v>36781.63365890312</v>
      </c>
      <c r="CN310" s="644">
        <f t="shared" si="824"/>
        <v>0</v>
      </c>
      <c r="CO310" s="645">
        <f t="shared" si="825"/>
        <v>36781.63365890312</v>
      </c>
      <c r="CP310" s="646">
        <f t="shared" si="826"/>
        <v>0</v>
      </c>
      <c r="CQ310" s="647">
        <f t="shared" si="771"/>
        <v>36781.63365890312</v>
      </c>
      <c r="CS310" s="644">
        <f t="shared" si="827"/>
        <v>34553.116422238752</v>
      </c>
      <c r="CT310" s="645">
        <f t="shared" si="730"/>
        <v>31144.76897136683</v>
      </c>
      <c r="CU310" s="644">
        <f t="shared" si="828"/>
        <v>0</v>
      </c>
      <c r="CV310" s="645">
        <f t="shared" si="829"/>
        <v>34553.116422238752</v>
      </c>
      <c r="CW310" s="646">
        <f t="shared" si="830"/>
        <v>-353.8434388891439</v>
      </c>
      <c r="CX310" s="647">
        <f t="shared" si="831"/>
        <v>34199.272983349605</v>
      </c>
      <c r="CY310" s="644">
        <f t="shared" si="772"/>
        <v>0</v>
      </c>
      <c r="CZ310" s="645">
        <f t="shared" si="773"/>
        <v>34199.272983349605</v>
      </c>
      <c r="DA310" s="646">
        <f t="shared" si="832"/>
        <v>-26.846553488581673</v>
      </c>
      <c r="DB310" s="647">
        <f t="shared" si="774"/>
        <v>34172.426429861021</v>
      </c>
      <c r="DC310" s="644">
        <f t="shared" si="833"/>
        <v>0</v>
      </c>
      <c r="DD310" s="645">
        <f t="shared" si="834"/>
        <v>34172.426429861021</v>
      </c>
      <c r="DE310" s="646">
        <f t="shared" si="835"/>
        <v>-2.315180858202158E-2</v>
      </c>
      <c r="DF310" s="647">
        <f t="shared" si="775"/>
        <v>34172.403278052443</v>
      </c>
      <c r="DG310" s="644">
        <f t="shared" si="836"/>
        <v>0</v>
      </c>
      <c r="DH310" s="645">
        <f t="shared" si="837"/>
        <v>34172.403278052443</v>
      </c>
      <c r="DI310" s="646">
        <f t="shared" si="838"/>
        <v>0</v>
      </c>
      <c r="DJ310" s="647">
        <f t="shared" si="776"/>
        <v>34172.403278052443</v>
      </c>
      <c r="DK310" s="644">
        <f t="shared" si="839"/>
        <v>0</v>
      </c>
      <c r="DL310" s="645">
        <f t="shared" si="840"/>
        <v>34172.403278052443</v>
      </c>
      <c r="DM310" s="646">
        <f t="shared" si="841"/>
        <v>0</v>
      </c>
      <c r="DN310" s="647">
        <f t="shared" si="777"/>
        <v>34172.403278052443</v>
      </c>
      <c r="DR310" s="827">
        <f t="shared" si="731"/>
        <v>148205.26699298597</v>
      </c>
      <c r="DV310" s="828">
        <f>IFERROR(VLOOKUP($B310,'Afton FY16 Final'!$A$5:$BV$587,'Afton FY16 Final'!$BV$587,0),0)</f>
        <v>139666.81919216871</v>
      </c>
      <c r="DX310" s="636">
        <f t="shared" si="719"/>
        <v>148205.26699298597</v>
      </c>
      <c r="DY310" s="637">
        <f t="shared" si="720"/>
        <v>8538.4478008172591</v>
      </c>
      <c r="DZ310" s="637">
        <f t="shared" si="721"/>
        <v>139666.81919216871</v>
      </c>
      <c r="EA310" s="643">
        <f t="shared" si="722"/>
        <v>140322.40778480971</v>
      </c>
      <c r="EB310" s="637">
        <f t="shared" si="732"/>
        <v>0</v>
      </c>
      <c r="EC310" s="637">
        <f t="shared" si="733"/>
        <v>140322.40778480971</v>
      </c>
      <c r="ED310" s="637">
        <f t="shared" si="734"/>
        <v>139903.9747431273</v>
      </c>
      <c r="EE310" s="643">
        <f t="shared" si="735"/>
        <v>139903.9747431273</v>
      </c>
      <c r="EF310" s="637">
        <f t="shared" si="736"/>
        <v>0</v>
      </c>
      <c r="EG310" s="637">
        <f t="shared" si="737"/>
        <v>139903.9747431273</v>
      </c>
      <c r="EH310" s="637">
        <f t="shared" si="738"/>
        <v>139903.83040965741</v>
      </c>
      <c r="EI310" s="643">
        <f t="shared" si="739"/>
        <v>139903.83040965741</v>
      </c>
      <c r="EJ310" s="637">
        <f t="shared" si="740"/>
        <v>0</v>
      </c>
      <c r="EK310" s="637">
        <f t="shared" si="741"/>
        <v>139903.83040965741</v>
      </c>
      <c r="EL310" s="637">
        <f t="shared" si="742"/>
        <v>139903.83040965721</v>
      </c>
      <c r="EM310" s="643">
        <f t="shared" si="743"/>
        <v>139903.83040965721</v>
      </c>
      <c r="EN310" s="637">
        <f t="shared" si="744"/>
        <v>0</v>
      </c>
      <c r="EO310" s="637">
        <f t="shared" si="745"/>
        <v>139903.83040965721</v>
      </c>
      <c r="EP310" s="637">
        <f t="shared" si="746"/>
        <v>139903.83040965741</v>
      </c>
      <c r="EQ310" s="643">
        <f t="shared" si="747"/>
        <v>139903.83040965741</v>
      </c>
      <c r="ER310" s="637">
        <f t="shared" si="748"/>
        <v>0</v>
      </c>
      <c r="ES310" s="637">
        <f t="shared" si="749"/>
        <v>139903.83040965741</v>
      </c>
      <c r="ET310" s="637">
        <f t="shared" si="750"/>
        <v>139903.83040965718</v>
      </c>
      <c r="EU310" s="643">
        <f t="shared" si="723"/>
        <v>139903.83040965718</v>
      </c>
      <c r="EV310" s="643">
        <f t="shared" si="724"/>
        <v>0</v>
      </c>
      <c r="EX310" s="829">
        <f t="shared" si="725"/>
        <v>8301.4365833287884</v>
      </c>
      <c r="EY310" s="638">
        <f t="shared" si="726"/>
        <v>139903.83040965718</v>
      </c>
      <c r="FC310" s="830" t="str">
        <f t="shared" si="751"/>
        <v>Y</v>
      </c>
      <c r="FE310" s="830" t="str">
        <f>IFERROR(VLOOKUP($B310,'Historical Conc Grant Elig'!$B$3:$J$707,'HH &amp; SI'!FE$2,0),"N")</f>
        <v>Y</v>
      </c>
      <c r="FF310" s="830" t="str">
        <f>IFERROR(VLOOKUP($B310,'Historical Conc Grant Elig'!$B$3:$J$707,'HH &amp; SI'!FF$2,0),"N")</f>
        <v>Y</v>
      </c>
      <c r="FG310" s="830" t="str">
        <f>IFERROR(VLOOKUP($B310,'Historical Conc Grant Elig'!$B$3:$J$707,'HH &amp; SI'!FG$2,0),"N")</f>
        <v>Y</v>
      </c>
      <c r="FH310" s="830" t="str">
        <f>IFERROR(VLOOKUP($B310,'Historical Conc Grant Elig'!$B$3:$J$707,'HH &amp; SI'!FH$2,0),"N")</f>
        <v>Y</v>
      </c>
      <c r="FI310" s="830" t="str">
        <f>IFERROR(VLOOKUP($B310,'Historical Conc Grant Elig'!$B$3:$J$707,'HH &amp; SI'!FI$2,0),"N")</f>
        <v>Y</v>
      </c>
      <c r="FJ310" s="830" t="str">
        <f>IFERROR(VLOOKUP($B310,'Historical Conc Grant Elig'!$B$3:$J$707,'HH &amp; SI'!FJ$2,0),"N")</f>
        <v>Y</v>
      </c>
      <c r="FK310" s="830" t="str">
        <f>IFERROR(VLOOKUP($B310,'Historical Conc Grant Elig'!$B$3:$J$707,'HH &amp; SI'!FK$2,0),"N")</f>
        <v>Y</v>
      </c>
      <c r="FL310" s="957" t="str">
        <f>IFERROR(VLOOKUP($B310,'Historical Conc Grant Elig'!$B$3:$J$707,'HH &amp; SI'!FL$2,0),"N")</f>
        <v>Y</v>
      </c>
    </row>
    <row r="311" spans="2:168" x14ac:dyDescent="0.25">
      <c r="B311" s="634">
        <v>78995000</v>
      </c>
      <c r="C311" s="635" t="str">
        <f>VLOOKUP($B311,'Afton Update'!$A$5:$CR$582,'Afton Update'!D$589,0)</f>
        <v>Cholla Academy</v>
      </c>
      <c r="D311" s="636">
        <f>IFERROR(VLOOKUP($B311,'Afton FY16 Final'!$A$5:$BV$587,'Afton FY16 Final'!AQ$587,0),0)</f>
        <v>75656.537600525568</v>
      </c>
      <c r="E311" s="637">
        <f>IFERROR(VLOOKUP($B311,'Afton FY16 Final'!$A$5:$BV$587,'Afton FY16 Final'!AR$587,0),0)</f>
        <v>17269.684295763589</v>
      </c>
      <c r="F311" s="637">
        <f>IFERROR(VLOOKUP($B311,'Afton FY16 Final'!$A$5:$BV$587,'Afton FY16 Final'!AS$587,0),0)</f>
        <v>41059.691658992524</v>
      </c>
      <c r="G311" s="637">
        <f>IFERROR(VLOOKUP($B311,'Afton FY16 Final'!$A$5:$BV$587,'Afton FY16 Final'!AT$587,0),0)</f>
        <v>37606.613027121399</v>
      </c>
      <c r="H311" s="638">
        <f>IFERROR(VLOOKUP($B311,'Afton FY16 Final'!$A$5:$BV$587,'Afton FY16 Final'!AU$587,0),0)</f>
        <v>171592.52658240308</v>
      </c>
      <c r="I311" s="639" t="str">
        <f>VLOOKUP($B311,'Afton Update'!$A$5:$CR$582,'Afton Update'!BT$589,0)</f>
        <v>Y</v>
      </c>
      <c r="J311" s="640" t="str">
        <f>VLOOKUP($B311,'Afton Update'!$A$5:$CR$582,'Afton Update'!BU$589,0)</f>
        <v>Y</v>
      </c>
      <c r="K311" s="640" t="str">
        <f>VLOOKUP($B311,'Afton Update'!$A$5:$CR$582,'Afton Update'!BV$589,0)</f>
        <v>Y</v>
      </c>
      <c r="L311" s="641" t="str">
        <f>VLOOKUP($B311,'Afton Update'!$A$5:$CR$582,'Afton Update'!BW$589,0)</f>
        <v>Y</v>
      </c>
      <c r="N311" s="642">
        <f>VLOOKUP($B311,'Afton Update'!$A$5:$CR$582,'Afton Update'!CB$589,0)</f>
        <v>0.95</v>
      </c>
      <c r="P311" s="636">
        <f>VLOOKUP($B311,'Afton Update'!$A$5:$CR$582,'Afton Update'!AH$589,0)</f>
        <v>89210.274575973366</v>
      </c>
      <c r="Q311" s="637">
        <f>VLOOKUP($B311,'Afton Update'!$A$5:$CR$582,'Afton Update'!AI$589,0)</f>
        <v>20579.362703378421</v>
      </c>
      <c r="R311" s="637">
        <f>VLOOKUP($B311,'Afton Update'!$A$5:$CR$582,'Afton Update'!AJ$589,0)</f>
        <v>52236.723378106792</v>
      </c>
      <c r="S311" s="637">
        <f>VLOOKUP($B311,'Afton Update'!$A$5:$CR$582,'Afton Update'!AK$589,0)</f>
        <v>48625.527674727513</v>
      </c>
      <c r="T311" s="643">
        <f t="shared" si="752"/>
        <v>210651.88833218612</v>
      </c>
      <c r="V311" s="636">
        <f t="shared" si="778"/>
        <v>87993.388527609452</v>
      </c>
      <c r="W311" s="637">
        <f t="shared" si="779"/>
        <v>19901.553736039576</v>
      </c>
      <c r="X311" s="637">
        <f t="shared" si="780"/>
        <v>51761.650774040405</v>
      </c>
      <c r="Y311" s="637">
        <f t="shared" si="781"/>
        <v>48089.761890173017</v>
      </c>
      <c r="Z311" s="643">
        <f t="shared" si="782"/>
        <v>207746.35492786244</v>
      </c>
      <c r="AB311" s="644">
        <f t="shared" si="753"/>
        <v>89210.274575973366</v>
      </c>
      <c r="AC311" s="645">
        <f t="shared" si="727"/>
        <v>71873.710720499279</v>
      </c>
      <c r="AD311" s="644">
        <f t="shared" si="783"/>
        <v>0</v>
      </c>
      <c r="AE311" s="645">
        <f t="shared" si="784"/>
        <v>89210.274575973366</v>
      </c>
      <c r="AF311" s="646">
        <f t="shared" si="785"/>
        <v>-1105.8283931059689</v>
      </c>
      <c r="AG311" s="647">
        <f t="shared" si="786"/>
        <v>88104.446182867396</v>
      </c>
      <c r="AH311" s="644">
        <f t="shared" si="754"/>
        <v>0</v>
      </c>
      <c r="AI311" s="645">
        <f t="shared" si="755"/>
        <v>88104.446182867396</v>
      </c>
      <c r="AJ311" s="646">
        <f t="shared" si="787"/>
        <v>-110.98690076689468</v>
      </c>
      <c r="AK311" s="647">
        <f t="shared" si="756"/>
        <v>87993.459282100506</v>
      </c>
      <c r="AL311" s="644">
        <f t="shared" si="788"/>
        <v>0</v>
      </c>
      <c r="AM311" s="645">
        <f t="shared" si="789"/>
        <v>87993.459282100506</v>
      </c>
      <c r="AN311" s="646">
        <f t="shared" si="790"/>
        <v>-7.0754491059349431E-2</v>
      </c>
      <c r="AO311" s="647">
        <f t="shared" si="757"/>
        <v>87993.388527609452</v>
      </c>
      <c r="AP311" s="644">
        <f t="shared" si="791"/>
        <v>0</v>
      </c>
      <c r="AQ311" s="645">
        <f t="shared" si="792"/>
        <v>87993.388527609452</v>
      </c>
      <c r="AR311" s="646">
        <f t="shared" si="793"/>
        <v>0</v>
      </c>
      <c r="AS311" s="647">
        <f t="shared" si="758"/>
        <v>87993.388527609452</v>
      </c>
      <c r="AT311" s="644">
        <f t="shared" si="794"/>
        <v>0</v>
      </c>
      <c r="AU311" s="645">
        <f t="shared" si="795"/>
        <v>87993.388527609452</v>
      </c>
      <c r="AV311" s="646">
        <f t="shared" si="796"/>
        <v>0</v>
      </c>
      <c r="AW311" s="647">
        <f t="shared" si="759"/>
        <v>87993.388527609452</v>
      </c>
      <c r="AY311" s="644">
        <f t="shared" si="797"/>
        <v>20579.362703378421</v>
      </c>
      <c r="AZ311" s="645">
        <f t="shared" si="728"/>
        <v>16406.20008097541</v>
      </c>
      <c r="BA311" s="644">
        <f t="shared" si="798"/>
        <v>0</v>
      </c>
      <c r="BB311" s="645">
        <f t="shared" si="799"/>
        <v>20579.362703378421</v>
      </c>
      <c r="BC311" s="646">
        <f t="shared" si="800"/>
        <v>-147.99219465280956</v>
      </c>
      <c r="BD311" s="647">
        <f t="shared" si="801"/>
        <v>20431.370508725613</v>
      </c>
      <c r="BE311" s="644">
        <f t="shared" si="760"/>
        <v>0</v>
      </c>
      <c r="BF311" s="645">
        <f t="shared" si="761"/>
        <v>20431.370508725613</v>
      </c>
      <c r="BG311" s="646">
        <f t="shared" si="802"/>
        <v>-486.65859515210366</v>
      </c>
      <c r="BH311" s="647">
        <f t="shared" si="762"/>
        <v>19944.711913573508</v>
      </c>
      <c r="BI311" s="644">
        <f t="shared" si="803"/>
        <v>0</v>
      </c>
      <c r="BJ311" s="645">
        <f t="shared" si="804"/>
        <v>19944.711913573508</v>
      </c>
      <c r="BK311" s="646">
        <f t="shared" si="805"/>
        <v>-42.24758428750652</v>
      </c>
      <c r="BL311" s="647">
        <f t="shared" si="763"/>
        <v>19902.464329286002</v>
      </c>
      <c r="BM311" s="644">
        <f t="shared" si="806"/>
        <v>0</v>
      </c>
      <c r="BN311" s="645">
        <f t="shared" si="807"/>
        <v>19902.464329286002</v>
      </c>
      <c r="BO311" s="646">
        <f t="shared" si="808"/>
        <v>-0.91059324642465589</v>
      </c>
      <c r="BP311" s="647">
        <f t="shared" si="764"/>
        <v>19901.553736039576</v>
      </c>
      <c r="BQ311" s="644">
        <f t="shared" si="809"/>
        <v>0</v>
      </c>
      <c r="BR311" s="645">
        <f t="shared" si="810"/>
        <v>19901.553736039576</v>
      </c>
      <c r="BS311" s="646">
        <f t="shared" si="811"/>
        <v>0</v>
      </c>
      <c r="BT311" s="647">
        <f t="shared" si="765"/>
        <v>19901.553736039576</v>
      </c>
      <c r="BU311" s="662">
        <f>VLOOKUP(B311,'Afton Update'!$A$5:$AR$582,'Afton Update'!$AO$589,0)-BT311</f>
        <v>0</v>
      </c>
      <c r="BV311" s="644">
        <f t="shared" si="812"/>
        <v>52236.723378106792</v>
      </c>
      <c r="BW311" s="645">
        <f t="shared" si="729"/>
        <v>39006.707076042898</v>
      </c>
      <c r="BX311" s="644">
        <f t="shared" si="813"/>
        <v>0</v>
      </c>
      <c r="BY311" s="645">
        <f t="shared" si="814"/>
        <v>52236.723378106792</v>
      </c>
      <c r="BZ311" s="646">
        <f t="shared" si="815"/>
        <v>-458.48727483602892</v>
      </c>
      <c r="CA311" s="647">
        <f t="shared" si="816"/>
        <v>51778.236103270763</v>
      </c>
      <c r="CB311" s="644">
        <f t="shared" si="766"/>
        <v>0</v>
      </c>
      <c r="CC311" s="645">
        <f t="shared" si="767"/>
        <v>51778.236103270763</v>
      </c>
      <c r="CD311" s="646">
        <f t="shared" si="817"/>
        <v>-16.585329230354702</v>
      </c>
      <c r="CE311" s="647">
        <f t="shared" si="768"/>
        <v>51761.650774040405</v>
      </c>
      <c r="CF311" s="644">
        <f t="shared" si="818"/>
        <v>0</v>
      </c>
      <c r="CG311" s="645">
        <f t="shared" si="819"/>
        <v>51761.650774040405</v>
      </c>
      <c r="CH311" s="646">
        <f t="shared" si="820"/>
        <v>0</v>
      </c>
      <c r="CI311" s="647">
        <f t="shared" si="769"/>
        <v>51761.650774040405</v>
      </c>
      <c r="CJ311" s="644">
        <f t="shared" si="821"/>
        <v>0</v>
      </c>
      <c r="CK311" s="645">
        <f t="shared" si="822"/>
        <v>51761.650774040405</v>
      </c>
      <c r="CL311" s="646">
        <f t="shared" si="823"/>
        <v>0</v>
      </c>
      <c r="CM311" s="647">
        <f t="shared" si="770"/>
        <v>51761.650774040405</v>
      </c>
      <c r="CN311" s="644">
        <f t="shared" si="824"/>
        <v>0</v>
      </c>
      <c r="CO311" s="645">
        <f t="shared" si="825"/>
        <v>51761.650774040405</v>
      </c>
      <c r="CP311" s="646">
        <f t="shared" si="826"/>
        <v>0</v>
      </c>
      <c r="CQ311" s="647">
        <f t="shared" si="771"/>
        <v>51761.650774040405</v>
      </c>
      <c r="CS311" s="644">
        <f t="shared" si="827"/>
        <v>48625.527674727513</v>
      </c>
      <c r="CT311" s="645">
        <f t="shared" si="730"/>
        <v>35726.282375765324</v>
      </c>
      <c r="CU311" s="644">
        <f t="shared" si="828"/>
        <v>0</v>
      </c>
      <c r="CV311" s="645">
        <f t="shared" si="829"/>
        <v>48625.527674727513</v>
      </c>
      <c r="CW311" s="646">
        <f t="shared" si="830"/>
        <v>-497.9528827434786</v>
      </c>
      <c r="CX311" s="647">
        <f t="shared" si="831"/>
        <v>48127.574791984036</v>
      </c>
      <c r="CY311" s="644">
        <f t="shared" si="772"/>
        <v>0</v>
      </c>
      <c r="CZ311" s="645">
        <f t="shared" si="773"/>
        <v>48127.574791984036</v>
      </c>
      <c r="DA311" s="646">
        <f t="shared" si="832"/>
        <v>-37.780320989799158</v>
      </c>
      <c r="DB311" s="647">
        <f t="shared" si="774"/>
        <v>48089.794470994239</v>
      </c>
      <c r="DC311" s="644">
        <f t="shared" si="833"/>
        <v>0</v>
      </c>
      <c r="DD311" s="645">
        <f t="shared" si="834"/>
        <v>48089.794470994239</v>
      </c>
      <c r="DE311" s="646">
        <f t="shared" si="835"/>
        <v>-3.2580821225159519E-2</v>
      </c>
      <c r="DF311" s="647">
        <f t="shared" si="775"/>
        <v>48089.761890173017</v>
      </c>
      <c r="DG311" s="644">
        <f t="shared" si="836"/>
        <v>0</v>
      </c>
      <c r="DH311" s="645">
        <f t="shared" si="837"/>
        <v>48089.761890173017</v>
      </c>
      <c r="DI311" s="646">
        <f t="shared" si="838"/>
        <v>0</v>
      </c>
      <c r="DJ311" s="647">
        <f t="shared" si="776"/>
        <v>48089.761890173017</v>
      </c>
      <c r="DK311" s="644">
        <f t="shared" si="839"/>
        <v>0</v>
      </c>
      <c r="DL311" s="645">
        <f t="shared" si="840"/>
        <v>48089.761890173017</v>
      </c>
      <c r="DM311" s="646">
        <f t="shared" si="841"/>
        <v>0</v>
      </c>
      <c r="DN311" s="647">
        <f t="shared" si="777"/>
        <v>48089.761890173017</v>
      </c>
      <c r="DR311" s="827">
        <f t="shared" si="731"/>
        <v>207746.35492786244</v>
      </c>
      <c r="DV311" s="828">
        <f>IFERROR(VLOOKUP($B311,'Afton FY16 Final'!$A$5:$BV$587,'Afton FY16 Final'!$BV$587,0),0)</f>
        <v>160110.76707374776</v>
      </c>
      <c r="DX311" s="636">
        <f t="shared" si="719"/>
        <v>207746.35492786244</v>
      </c>
      <c r="DY311" s="637">
        <f t="shared" si="720"/>
        <v>47635.587854114681</v>
      </c>
      <c r="DZ311" s="637">
        <f t="shared" si="721"/>
        <v>160110.76707374776</v>
      </c>
      <c r="EA311" s="643">
        <f t="shared" si="722"/>
        <v>196696.57714239645</v>
      </c>
      <c r="EB311" s="637">
        <f t="shared" si="732"/>
        <v>0</v>
      </c>
      <c r="EC311" s="637">
        <f t="shared" si="733"/>
        <v>196696.57714239645</v>
      </c>
      <c r="ED311" s="637">
        <f t="shared" si="734"/>
        <v>196110.03969366316</v>
      </c>
      <c r="EE311" s="643">
        <f t="shared" si="735"/>
        <v>196110.03969366316</v>
      </c>
      <c r="EF311" s="637">
        <f t="shared" si="736"/>
        <v>0</v>
      </c>
      <c r="EG311" s="637">
        <f t="shared" si="737"/>
        <v>196110.03969366316</v>
      </c>
      <c r="EH311" s="637">
        <f t="shared" si="738"/>
        <v>196109.83737458993</v>
      </c>
      <c r="EI311" s="643">
        <f t="shared" si="739"/>
        <v>196109.83737458993</v>
      </c>
      <c r="EJ311" s="637">
        <f t="shared" si="740"/>
        <v>0</v>
      </c>
      <c r="EK311" s="637">
        <f t="shared" si="741"/>
        <v>196109.83737458993</v>
      </c>
      <c r="EL311" s="637">
        <f t="shared" si="742"/>
        <v>196109.83737458967</v>
      </c>
      <c r="EM311" s="643">
        <f t="shared" si="743"/>
        <v>196109.83737458967</v>
      </c>
      <c r="EN311" s="637">
        <f t="shared" si="744"/>
        <v>0</v>
      </c>
      <c r="EO311" s="637">
        <f t="shared" si="745"/>
        <v>196109.83737458967</v>
      </c>
      <c r="EP311" s="637">
        <f t="shared" si="746"/>
        <v>196109.83737458996</v>
      </c>
      <c r="EQ311" s="643">
        <f t="shared" si="747"/>
        <v>196109.83737458996</v>
      </c>
      <c r="ER311" s="637">
        <f t="shared" si="748"/>
        <v>0</v>
      </c>
      <c r="ES311" s="637">
        <f t="shared" si="749"/>
        <v>196109.83737458996</v>
      </c>
      <c r="ET311" s="637">
        <f t="shared" si="750"/>
        <v>196109.83737458967</v>
      </c>
      <c r="EU311" s="643">
        <f t="shared" si="723"/>
        <v>196109.83737458967</v>
      </c>
      <c r="EV311" s="643">
        <f t="shared" si="724"/>
        <v>0</v>
      </c>
      <c r="EX311" s="829">
        <f t="shared" si="725"/>
        <v>11636.517553272774</v>
      </c>
      <c r="EY311" s="638">
        <f t="shared" si="726"/>
        <v>196109.83737458967</v>
      </c>
      <c r="FC311" s="830" t="str">
        <f t="shared" si="751"/>
        <v>Y</v>
      </c>
      <c r="FE311" s="830" t="str">
        <f>IFERROR(VLOOKUP($B311,'Historical Conc Grant Elig'!$B$3:$J$707,'HH &amp; SI'!FE$2,0),"N")</f>
        <v>Y</v>
      </c>
      <c r="FF311" s="830" t="str">
        <f>IFERROR(VLOOKUP($B311,'Historical Conc Grant Elig'!$B$3:$J$707,'HH &amp; SI'!FF$2,0),"N")</f>
        <v>Y</v>
      </c>
      <c r="FG311" s="830" t="str">
        <f>IFERROR(VLOOKUP($B311,'Historical Conc Grant Elig'!$B$3:$J$707,'HH &amp; SI'!FG$2,0),"N")</f>
        <v>Y</v>
      </c>
      <c r="FH311" s="830" t="str">
        <f>IFERROR(VLOOKUP($B311,'Historical Conc Grant Elig'!$B$3:$J$707,'HH &amp; SI'!FH$2,0),"N")</f>
        <v>Y</v>
      </c>
      <c r="FI311" s="830" t="str">
        <f>IFERROR(VLOOKUP($B311,'Historical Conc Grant Elig'!$B$3:$J$707,'HH &amp; SI'!FI$2,0),"N")</f>
        <v>Y</v>
      </c>
      <c r="FJ311" s="830" t="str">
        <f>IFERROR(VLOOKUP($B311,'Historical Conc Grant Elig'!$B$3:$J$707,'HH &amp; SI'!FJ$2,0),"N")</f>
        <v>Y</v>
      </c>
      <c r="FK311" s="830" t="str">
        <f>IFERROR(VLOOKUP($B311,'Historical Conc Grant Elig'!$B$3:$J$707,'HH &amp; SI'!FK$2,0),"N")</f>
        <v>Y</v>
      </c>
      <c r="FL311" s="957" t="str">
        <f>IFERROR(VLOOKUP($B311,'Historical Conc Grant Elig'!$B$3:$J$707,'HH &amp; SI'!FL$2,0),"N")</f>
        <v>Y</v>
      </c>
    </row>
    <row r="312" spans="2:168" x14ac:dyDescent="0.25">
      <c r="B312" s="634">
        <v>78999000</v>
      </c>
      <c r="C312" s="635" t="str">
        <f>VLOOKUP($B312,'Afton Update'!$A$5:$CR$582,'Afton Update'!D$589,0)</f>
        <v>Kaizen Education Foundation dba South Pointe Elementary Scho</v>
      </c>
      <c r="D312" s="636">
        <f>IFERROR(VLOOKUP($B312,'Afton FY16 Final'!$A$5:$BV$587,'Afton FY16 Final'!AQ$587,0),0)</f>
        <v>84193.523078111975</v>
      </c>
      <c r="E312" s="637">
        <f>IFERROR(VLOOKUP($B312,'Afton FY16 Final'!$A$5:$BV$587,'Afton FY16 Final'!AR$587,0),0)</f>
        <v>19002.852713477088</v>
      </c>
      <c r="F312" s="637">
        <f>IFERROR(VLOOKUP($B312,'Afton FY16 Final'!$A$5:$BV$587,'Afton FY16 Final'!AS$587,0),0)</f>
        <v>45692.813957792525</v>
      </c>
      <c r="G312" s="637">
        <f>IFERROR(VLOOKUP($B312,'Afton FY16 Final'!$A$5:$BV$587,'Afton FY16 Final'!AT$587,0),0)</f>
        <v>41439.998061840794</v>
      </c>
      <c r="H312" s="638">
        <f>IFERROR(VLOOKUP($B312,'Afton FY16 Final'!$A$5:$BV$587,'Afton FY16 Final'!AU$587,0),0)</f>
        <v>190329.18781122239</v>
      </c>
      <c r="I312" s="639" t="str">
        <f>VLOOKUP($B312,'Afton Update'!$A$5:$CR$582,'Afton Update'!BT$589,0)</f>
        <v>Y</v>
      </c>
      <c r="J312" s="640" t="str">
        <f>VLOOKUP($B312,'Afton Update'!$A$5:$CR$582,'Afton Update'!BU$589,0)</f>
        <v>Y</v>
      </c>
      <c r="K312" s="640" t="str">
        <f>VLOOKUP($B312,'Afton Update'!$A$5:$CR$582,'Afton Update'!BV$589,0)</f>
        <v>Y</v>
      </c>
      <c r="L312" s="641" t="str">
        <f>VLOOKUP($B312,'Afton Update'!$A$5:$CR$582,'Afton Update'!BW$589,0)</f>
        <v>Y</v>
      </c>
      <c r="N312" s="642">
        <f>VLOOKUP($B312,'Afton Update'!$A$5:$CR$582,'Afton Update'!CB$589,0)</f>
        <v>0.95</v>
      </c>
      <c r="P312" s="636">
        <f>VLOOKUP($B312,'Afton Update'!$A$5:$CR$582,'Afton Update'!AH$589,0)</f>
        <v>81078.506920254629</v>
      </c>
      <c r="Q312" s="637">
        <f>VLOOKUP($B312,'Afton Update'!$A$5:$CR$582,'Afton Update'!AI$589,0)</f>
        <v>18897.726229119384</v>
      </c>
      <c r="R312" s="637">
        <f>VLOOKUP($B312,'Afton Update'!$A$5:$CR$582,'Afton Update'!AJ$589,0)</f>
        <v>47477.508866261916</v>
      </c>
      <c r="S312" s="637">
        <f>VLOOKUP($B312,'Afton Update'!$A$5:$CR$582,'Afton Update'!AK$589,0)</f>
        <v>44195.324132277354</v>
      </c>
      <c r="T312" s="643">
        <f t="shared" si="752"/>
        <v>191649.06614791328</v>
      </c>
      <c r="V312" s="636">
        <f t="shared" si="778"/>
        <v>79983.846924206373</v>
      </c>
      <c r="W312" s="637">
        <f t="shared" si="779"/>
        <v>18275.30421901949</v>
      </c>
      <c r="X312" s="637">
        <f t="shared" si="780"/>
        <v>47045.719460015716</v>
      </c>
      <c r="Y312" s="637">
        <f t="shared" si="781"/>
        <v>43708.37121598691</v>
      </c>
      <c r="Z312" s="643">
        <f t="shared" si="782"/>
        <v>189013.24181922848</v>
      </c>
      <c r="AB312" s="644">
        <f t="shared" si="753"/>
        <v>81078.506920254629</v>
      </c>
      <c r="AC312" s="645">
        <f t="shared" si="727"/>
        <v>79983.846924206373</v>
      </c>
      <c r="AD312" s="644">
        <f t="shared" si="783"/>
        <v>0</v>
      </c>
      <c r="AE312" s="645">
        <f t="shared" si="784"/>
        <v>81078.506920254629</v>
      </c>
      <c r="AF312" s="646">
        <f t="shared" si="785"/>
        <v>-1005.02902215261</v>
      </c>
      <c r="AG312" s="647">
        <f t="shared" si="786"/>
        <v>80073.477898102021</v>
      </c>
      <c r="AH312" s="644">
        <f t="shared" si="754"/>
        <v>0</v>
      </c>
      <c r="AI312" s="645">
        <f t="shared" si="755"/>
        <v>80073.477898102021</v>
      </c>
      <c r="AJ312" s="646">
        <f t="shared" si="787"/>
        <v>-100.87013233237883</v>
      </c>
      <c r="AK312" s="647">
        <f t="shared" si="756"/>
        <v>79972.607765769644</v>
      </c>
      <c r="AL312" s="644">
        <f t="shared" si="788"/>
        <v>-11.239158436728758</v>
      </c>
      <c r="AM312" s="645">
        <f t="shared" si="789"/>
        <v>0</v>
      </c>
      <c r="AN312" s="646">
        <f t="shared" si="790"/>
        <v>0</v>
      </c>
      <c r="AO312" s="647">
        <f t="shared" si="757"/>
        <v>79983.846924206373</v>
      </c>
      <c r="AP312" s="644">
        <f t="shared" si="791"/>
        <v>0</v>
      </c>
      <c r="AQ312" s="645">
        <f t="shared" si="792"/>
        <v>0</v>
      </c>
      <c r="AR312" s="646">
        <f t="shared" si="793"/>
        <v>0</v>
      </c>
      <c r="AS312" s="647">
        <f t="shared" si="758"/>
        <v>79983.846924206373</v>
      </c>
      <c r="AT312" s="644">
        <f t="shared" si="794"/>
        <v>0</v>
      </c>
      <c r="AU312" s="645">
        <f t="shared" si="795"/>
        <v>0</v>
      </c>
      <c r="AV312" s="646">
        <f t="shared" si="796"/>
        <v>0</v>
      </c>
      <c r="AW312" s="647">
        <f t="shared" si="759"/>
        <v>79983.846924206373</v>
      </c>
      <c r="AY312" s="644">
        <f t="shared" si="797"/>
        <v>18897.726229119384</v>
      </c>
      <c r="AZ312" s="645">
        <f t="shared" si="728"/>
        <v>18052.710077803233</v>
      </c>
      <c r="BA312" s="644">
        <f t="shared" si="798"/>
        <v>0</v>
      </c>
      <c r="BB312" s="645">
        <f t="shared" si="799"/>
        <v>18897.726229119384</v>
      </c>
      <c r="BC312" s="646">
        <f t="shared" si="800"/>
        <v>-135.89905668634805</v>
      </c>
      <c r="BD312" s="647">
        <f t="shared" si="801"/>
        <v>18761.827172433037</v>
      </c>
      <c r="BE312" s="644">
        <f t="shared" si="760"/>
        <v>0</v>
      </c>
      <c r="BF312" s="645">
        <f t="shared" si="761"/>
        <v>18761.827172433037</v>
      </c>
      <c r="BG312" s="646">
        <f t="shared" si="802"/>
        <v>-446.89143346127594</v>
      </c>
      <c r="BH312" s="647">
        <f t="shared" si="762"/>
        <v>18314.935738971762</v>
      </c>
      <c r="BI312" s="644">
        <f t="shared" si="803"/>
        <v>0</v>
      </c>
      <c r="BJ312" s="645">
        <f t="shared" si="804"/>
        <v>18314.935738971762</v>
      </c>
      <c r="BK312" s="646">
        <f t="shared" si="805"/>
        <v>-38.795335560895531</v>
      </c>
      <c r="BL312" s="647">
        <f t="shared" si="763"/>
        <v>18276.140403410867</v>
      </c>
      <c r="BM312" s="644">
        <f t="shared" si="806"/>
        <v>0</v>
      </c>
      <c r="BN312" s="645">
        <f t="shared" si="807"/>
        <v>18276.140403410867</v>
      </c>
      <c r="BO312" s="646">
        <f t="shared" si="808"/>
        <v>-0.8361843913754049</v>
      </c>
      <c r="BP312" s="647">
        <f t="shared" si="764"/>
        <v>18275.30421901949</v>
      </c>
      <c r="BQ312" s="644">
        <f t="shared" si="809"/>
        <v>0</v>
      </c>
      <c r="BR312" s="645">
        <f t="shared" si="810"/>
        <v>18275.30421901949</v>
      </c>
      <c r="BS312" s="646">
        <f t="shared" si="811"/>
        <v>0</v>
      </c>
      <c r="BT312" s="647">
        <f t="shared" si="765"/>
        <v>18275.30421901949</v>
      </c>
      <c r="BU312" s="662">
        <f>VLOOKUP(B312,'Afton Update'!$A$5:$AR$582,'Afton Update'!$AO$589,0)-BT312</f>
        <v>0</v>
      </c>
      <c r="BV312" s="644">
        <f t="shared" si="812"/>
        <v>47477.508866261916</v>
      </c>
      <c r="BW312" s="645">
        <f t="shared" si="729"/>
        <v>43408.173259902898</v>
      </c>
      <c r="BX312" s="644">
        <f t="shared" si="813"/>
        <v>0</v>
      </c>
      <c r="BY312" s="645">
        <f t="shared" si="814"/>
        <v>47477.508866261916</v>
      </c>
      <c r="BZ312" s="646">
        <f t="shared" si="815"/>
        <v>-416.71514307153228</v>
      </c>
      <c r="CA312" s="647">
        <f t="shared" si="816"/>
        <v>47060.793723190385</v>
      </c>
      <c r="CB312" s="644">
        <f t="shared" si="766"/>
        <v>0</v>
      </c>
      <c r="CC312" s="645">
        <f t="shared" si="767"/>
        <v>47060.793723190385</v>
      </c>
      <c r="CD312" s="646">
        <f t="shared" si="817"/>
        <v>-15.074263174670374</v>
      </c>
      <c r="CE312" s="647">
        <f t="shared" si="768"/>
        <v>47045.719460015716</v>
      </c>
      <c r="CF312" s="644">
        <f t="shared" si="818"/>
        <v>0</v>
      </c>
      <c r="CG312" s="645">
        <f t="shared" si="819"/>
        <v>47045.719460015716</v>
      </c>
      <c r="CH312" s="646">
        <f t="shared" si="820"/>
        <v>0</v>
      </c>
      <c r="CI312" s="647">
        <f t="shared" si="769"/>
        <v>47045.719460015716</v>
      </c>
      <c r="CJ312" s="644">
        <f t="shared" si="821"/>
        <v>0</v>
      </c>
      <c r="CK312" s="645">
        <f t="shared" si="822"/>
        <v>47045.719460015716</v>
      </c>
      <c r="CL312" s="646">
        <f t="shared" si="823"/>
        <v>0</v>
      </c>
      <c r="CM312" s="647">
        <f t="shared" si="770"/>
        <v>47045.719460015716</v>
      </c>
      <c r="CN312" s="644">
        <f t="shared" si="824"/>
        <v>0</v>
      </c>
      <c r="CO312" s="645">
        <f t="shared" si="825"/>
        <v>47045.719460015716</v>
      </c>
      <c r="CP312" s="646">
        <f t="shared" si="826"/>
        <v>0</v>
      </c>
      <c r="CQ312" s="647">
        <f t="shared" si="771"/>
        <v>47045.719460015716</v>
      </c>
      <c r="CS312" s="644">
        <f t="shared" si="827"/>
        <v>44195.324132277354</v>
      </c>
      <c r="CT312" s="645">
        <f t="shared" si="730"/>
        <v>39367.998158748749</v>
      </c>
      <c r="CU312" s="644">
        <f t="shared" si="828"/>
        <v>0</v>
      </c>
      <c r="CV312" s="645">
        <f t="shared" si="829"/>
        <v>44195.324132277354</v>
      </c>
      <c r="CW312" s="646">
        <f t="shared" si="830"/>
        <v>-452.5850948634104</v>
      </c>
      <c r="CX312" s="647">
        <f t="shared" si="831"/>
        <v>43742.739037413943</v>
      </c>
      <c r="CY312" s="644">
        <f t="shared" si="772"/>
        <v>0</v>
      </c>
      <c r="CZ312" s="645">
        <f t="shared" si="773"/>
        <v>43742.739037413943</v>
      </c>
      <c r="DA312" s="646">
        <f t="shared" si="832"/>
        <v>-34.338208998675142</v>
      </c>
      <c r="DB312" s="647">
        <f t="shared" si="774"/>
        <v>43708.400828415266</v>
      </c>
      <c r="DC312" s="644">
        <f t="shared" si="833"/>
        <v>0</v>
      </c>
      <c r="DD312" s="645">
        <f t="shared" si="834"/>
        <v>43708.400828415266</v>
      </c>
      <c r="DE312" s="646">
        <f t="shared" si="835"/>
        <v>-2.9612428356023505E-2</v>
      </c>
      <c r="DF312" s="647">
        <f t="shared" si="775"/>
        <v>43708.37121598691</v>
      </c>
      <c r="DG312" s="644">
        <f t="shared" si="836"/>
        <v>0</v>
      </c>
      <c r="DH312" s="645">
        <f t="shared" si="837"/>
        <v>43708.37121598691</v>
      </c>
      <c r="DI312" s="646">
        <f t="shared" si="838"/>
        <v>0</v>
      </c>
      <c r="DJ312" s="647">
        <f t="shared" si="776"/>
        <v>43708.37121598691</v>
      </c>
      <c r="DK312" s="644">
        <f t="shared" si="839"/>
        <v>0</v>
      </c>
      <c r="DL312" s="645">
        <f t="shared" si="840"/>
        <v>43708.37121598691</v>
      </c>
      <c r="DM312" s="646">
        <f t="shared" si="841"/>
        <v>0</v>
      </c>
      <c r="DN312" s="647">
        <f t="shared" si="777"/>
        <v>43708.37121598691</v>
      </c>
      <c r="DR312" s="827">
        <f t="shared" si="731"/>
        <v>189013.24181922848</v>
      </c>
      <c r="DV312" s="828">
        <f>IFERROR(VLOOKUP($B312,'Afton FY16 Final'!$A$5:$BV$587,'Afton FY16 Final'!$BV$587,0),0)</f>
        <v>186581.60613473959</v>
      </c>
      <c r="DX312" s="636">
        <f t="shared" si="719"/>
        <v>189013.24181922848</v>
      </c>
      <c r="DY312" s="637">
        <f t="shared" si="720"/>
        <v>2431.6356844888942</v>
      </c>
      <c r="DZ312" s="637">
        <f t="shared" si="721"/>
        <v>186581.60613473959</v>
      </c>
      <c r="EA312" s="643">
        <f t="shared" si="722"/>
        <v>178959.8557016321</v>
      </c>
      <c r="EB312" s="637">
        <f t="shared" si="732"/>
        <v>186581.60613473959</v>
      </c>
      <c r="EC312" s="637">
        <f t="shared" si="733"/>
        <v>0</v>
      </c>
      <c r="ED312" s="637">
        <f t="shared" si="734"/>
        <v>0</v>
      </c>
      <c r="EE312" s="643">
        <f t="shared" si="735"/>
        <v>186581.60613473959</v>
      </c>
      <c r="EF312" s="637">
        <f t="shared" si="736"/>
        <v>0</v>
      </c>
      <c r="EG312" s="637">
        <f t="shared" si="737"/>
        <v>0</v>
      </c>
      <c r="EH312" s="637">
        <f t="shared" si="738"/>
        <v>0</v>
      </c>
      <c r="EI312" s="643">
        <f t="shared" si="739"/>
        <v>186581.60613473959</v>
      </c>
      <c r="EJ312" s="637">
        <f t="shared" si="740"/>
        <v>0</v>
      </c>
      <c r="EK312" s="637">
        <f t="shared" si="741"/>
        <v>0</v>
      </c>
      <c r="EL312" s="637">
        <f t="shared" si="742"/>
        <v>0</v>
      </c>
      <c r="EM312" s="643">
        <f t="shared" si="743"/>
        <v>186581.60613473959</v>
      </c>
      <c r="EN312" s="637">
        <f t="shared" si="744"/>
        <v>0</v>
      </c>
      <c r="EO312" s="637">
        <f t="shared" si="745"/>
        <v>0</v>
      </c>
      <c r="EP312" s="637">
        <f t="shared" si="746"/>
        <v>0</v>
      </c>
      <c r="EQ312" s="643">
        <f t="shared" si="747"/>
        <v>186581.60613473959</v>
      </c>
      <c r="ER312" s="637">
        <f t="shared" si="748"/>
        <v>0</v>
      </c>
      <c r="ES312" s="637">
        <f t="shared" si="749"/>
        <v>0</v>
      </c>
      <c r="ET312" s="637">
        <f t="shared" si="750"/>
        <v>0</v>
      </c>
      <c r="EU312" s="643">
        <f t="shared" si="723"/>
        <v>186581.60613473959</v>
      </c>
      <c r="EV312" s="643">
        <f t="shared" si="724"/>
        <v>0</v>
      </c>
      <c r="EX312" s="829">
        <f t="shared" si="725"/>
        <v>2431.6356844888942</v>
      </c>
      <c r="EY312" s="638">
        <f t="shared" si="726"/>
        <v>186581.60613473959</v>
      </c>
      <c r="FC312" s="830" t="str">
        <f t="shared" si="751"/>
        <v>Y</v>
      </c>
      <c r="FE312" s="830" t="str">
        <f>IFERROR(VLOOKUP($B312,'Historical Conc Grant Elig'!$B$3:$J$707,'HH &amp; SI'!FE$2,0),"N")</f>
        <v>Y</v>
      </c>
      <c r="FF312" s="830" t="str">
        <f>IFERROR(VLOOKUP($B312,'Historical Conc Grant Elig'!$B$3:$J$707,'HH &amp; SI'!FF$2,0),"N")</f>
        <v>Y</v>
      </c>
      <c r="FG312" s="830" t="str">
        <f>IFERROR(VLOOKUP($B312,'Historical Conc Grant Elig'!$B$3:$J$707,'HH &amp; SI'!FG$2,0),"N")</f>
        <v>Y</v>
      </c>
      <c r="FH312" s="830" t="str">
        <f>IFERROR(VLOOKUP($B312,'Historical Conc Grant Elig'!$B$3:$J$707,'HH &amp; SI'!FH$2,0),"N")</f>
        <v>Y</v>
      </c>
      <c r="FI312" s="830" t="str">
        <f>IFERROR(VLOOKUP($B312,'Historical Conc Grant Elig'!$B$3:$J$707,'HH &amp; SI'!FI$2,0),"N")</f>
        <v>Y</v>
      </c>
      <c r="FJ312" s="830" t="str">
        <f>IFERROR(VLOOKUP($B312,'Historical Conc Grant Elig'!$B$3:$J$707,'HH &amp; SI'!FJ$2,0),"N")</f>
        <v>Y</v>
      </c>
      <c r="FK312" s="830" t="str">
        <f>IFERROR(VLOOKUP($B312,'Historical Conc Grant Elig'!$B$3:$J$707,'HH &amp; SI'!FK$2,0),"N")</f>
        <v>Y</v>
      </c>
      <c r="FL312" s="957" t="str">
        <f>IFERROR(VLOOKUP($B312,'Historical Conc Grant Elig'!$B$3:$J$707,'HH &amp; SI'!FL$2,0),"N")</f>
        <v>Y</v>
      </c>
    </row>
    <row r="313" spans="2:168" x14ac:dyDescent="0.25">
      <c r="B313" s="634">
        <v>80201000</v>
      </c>
      <c r="C313" s="635" t="str">
        <f>VLOOKUP($B313,'Afton Update'!$A$5:$CR$582,'Afton Update'!D$589,0)</f>
        <v>Lake Havasu Unified District</v>
      </c>
      <c r="D313" s="636">
        <f>IFERROR(VLOOKUP($B313,'Afton FY16 Final'!$A$5:$BV$587,'Afton FY16 Final'!AQ$587,0),0)</f>
        <v>678988.44831993745</v>
      </c>
      <c r="E313" s="637">
        <f>IFERROR(VLOOKUP($B313,'Afton FY16 Final'!$A$5:$BV$587,'Afton FY16 Final'!AR$587,0),0)</f>
        <v>158230.16508784573</v>
      </c>
      <c r="F313" s="637">
        <f>IFERROR(VLOOKUP($B313,'Afton FY16 Final'!$A$5:$BV$587,'Afton FY16 Final'!AS$587,0),0)</f>
        <v>251970.45436169064</v>
      </c>
      <c r="G313" s="637">
        <f>IFERROR(VLOOKUP($B313,'Afton FY16 Final'!$A$5:$BV$587,'Afton FY16 Final'!AT$587,0),0)</f>
        <v>204025.8605251456</v>
      </c>
      <c r="H313" s="638">
        <f>IFERROR(VLOOKUP($B313,'Afton FY16 Final'!$A$5:$BV$587,'Afton FY16 Final'!AU$587,0),0)</f>
        <v>1293214.9282946195</v>
      </c>
      <c r="I313" s="639" t="str">
        <f>VLOOKUP($B313,'Afton Update'!$A$5:$CR$582,'Afton Update'!BT$589,0)</f>
        <v>Y</v>
      </c>
      <c r="J313" s="640" t="str">
        <f>VLOOKUP($B313,'Afton Update'!$A$5:$CR$582,'Afton Update'!BU$589,0)</f>
        <v>Y</v>
      </c>
      <c r="K313" s="640" t="str">
        <f>VLOOKUP($B313,'Afton Update'!$A$5:$CR$582,'Afton Update'!BV$589,0)</f>
        <v>Y</v>
      </c>
      <c r="L313" s="641" t="str">
        <f>VLOOKUP($B313,'Afton Update'!$A$5:$CR$582,'Afton Update'!BW$589,0)</f>
        <v>Y</v>
      </c>
      <c r="N313" s="642">
        <f>VLOOKUP($B313,'Afton Update'!$A$5:$CR$582,'Afton Update'!CB$589,0)</f>
        <v>0.9</v>
      </c>
      <c r="P313" s="636">
        <f>VLOOKUP($B313,'Afton Update'!$A$5:$CR$582,'Afton Update'!AH$589,0)</f>
        <v>712500.67451116873</v>
      </c>
      <c r="Q313" s="637">
        <f>VLOOKUP($B313,'Afton Update'!$A$5:$CR$582,'Afton Update'!AI$589,0)</f>
        <v>169728.91106835759</v>
      </c>
      <c r="R313" s="637">
        <f>VLOOKUP($B313,'Afton Update'!$A$5:$CR$582,'Afton Update'!AJ$589,0)</f>
        <v>294087.72360933805</v>
      </c>
      <c r="S313" s="637">
        <f>VLOOKUP($B313,'Afton Update'!$A$5:$CR$582,'Afton Update'!AK$589,0)</f>
        <v>226841.88383903145</v>
      </c>
      <c r="T313" s="643">
        <f t="shared" si="752"/>
        <v>1403159.1930278959</v>
      </c>
      <c r="V313" s="636">
        <f t="shared" si="778"/>
        <v>702781.70285253832</v>
      </c>
      <c r="W313" s="637">
        <f t="shared" si="779"/>
        <v>164138.6612828332</v>
      </c>
      <c r="X313" s="637">
        <f t="shared" si="780"/>
        <v>291413.11058532132</v>
      </c>
      <c r="Y313" s="637">
        <f t="shared" si="781"/>
        <v>224342.49461537463</v>
      </c>
      <c r="Z313" s="643">
        <f t="shared" si="782"/>
        <v>1382675.9693360673</v>
      </c>
      <c r="AB313" s="644">
        <f t="shared" si="753"/>
        <v>712500.67451116873</v>
      </c>
      <c r="AC313" s="645">
        <f t="shared" si="727"/>
        <v>611089.60348794376</v>
      </c>
      <c r="AD313" s="644">
        <f t="shared" si="783"/>
        <v>0</v>
      </c>
      <c r="AE313" s="645">
        <f t="shared" si="784"/>
        <v>712500.67451116873</v>
      </c>
      <c r="AF313" s="646">
        <f t="shared" si="785"/>
        <v>-8831.9812905699491</v>
      </c>
      <c r="AG313" s="647">
        <f t="shared" si="786"/>
        <v>703668.69322059874</v>
      </c>
      <c r="AH313" s="644">
        <f t="shared" si="754"/>
        <v>0</v>
      </c>
      <c r="AI313" s="645">
        <f t="shared" si="755"/>
        <v>703668.69322059874</v>
      </c>
      <c r="AJ313" s="646">
        <f t="shared" si="787"/>
        <v>-886.42526922133732</v>
      </c>
      <c r="AK313" s="647">
        <f t="shared" si="756"/>
        <v>702782.26795137743</v>
      </c>
      <c r="AL313" s="644">
        <f t="shared" si="788"/>
        <v>0</v>
      </c>
      <c r="AM313" s="645">
        <f t="shared" si="789"/>
        <v>702782.26795137743</v>
      </c>
      <c r="AN313" s="646">
        <f t="shared" si="790"/>
        <v>-0.56509883916508352</v>
      </c>
      <c r="AO313" s="647">
        <f t="shared" si="757"/>
        <v>702781.70285253832</v>
      </c>
      <c r="AP313" s="644">
        <f t="shared" si="791"/>
        <v>0</v>
      </c>
      <c r="AQ313" s="645">
        <f t="shared" si="792"/>
        <v>702781.70285253832</v>
      </c>
      <c r="AR313" s="646">
        <f t="shared" si="793"/>
        <v>0</v>
      </c>
      <c r="AS313" s="647">
        <f t="shared" si="758"/>
        <v>702781.70285253832</v>
      </c>
      <c r="AT313" s="644">
        <f t="shared" si="794"/>
        <v>0</v>
      </c>
      <c r="AU313" s="645">
        <f t="shared" si="795"/>
        <v>702781.70285253832</v>
      </c>
      <c r="AV313" s="646">
        <f t="shared" si="796"/>
        <v>0</v>
      </c>
      <c r="AW313" s="647">
        <f t="shared" si="759"/>
        <v>702781.70285253832</v>
      </c>
      <c r="AY313" s="644">
        <f t="shared" si="797"/>
        <v>169728.91106835759</v>
      </c>
      <c r="AZ313" s="645">
        <f t="shared" si="728"/>
        <v>142407.14857906115</v>
      </c>
      <c r="BA313" s="644">
        <f t="shared" si="798"/>
        <v>0</v>
      </c>
      <c r="BB313" s="645">
        <f t="shared" si="799"/>
        <v>169728.91106835759</v>
      </c>
      <c r="BC313" s="646">
        <f t="shared" si="800"/>
        <v>-1220.5700636645167</v>
      </c>
      <c r="BD313" s="647">
        <f t="shared" si="801"/>
        <v>168508.34100469307</v>
      </c>
      <c r="BE313" s="644">
        <f t="shared" si="760"/>
        <v>0</v>
      </c>
      <c r="BF313" s="645">
        <f t="shared" si="761"/>
        <v>168508.34100469307</v>
      </c>
      <c r="BG313" s="646">
        <f t="shared" si="802"/>
        <v>-4013.7313583410028</v>
      </c>
      <c r="BH313" s="647">
        <f t="shared" si="762"/>
        <v>164494.60964635207</v>
      </c>
      <c r="BI313" s="644">
        <f t="shared" si="803"/>
        <v>0</v>
      </c>
      <c r="BJ313" s="645">
        <f t="shared" si="804"/>
        <v>164494.60964635207</v>
      </c>
      <c r="BK313" s="646">
        <f t="shared" si="805"/>
        <v>-348.43821841042552</v>
      </c>
      <c r="BL313" s="647">
        <f t="shared" si="763"/>
        <v>164146.17142794165</v>
      </c>
      <c r="BM313" s="644">
        <f t="shared" si="806"/>
        <v>0</v>
      </c>
      <c r="BN313" s="645">
        <f t="shared" si="807"/>
        <v>164146.17142794165</v>
      </c>
      <c r="BO313" s="646">
        <f t="shared" si="808"/>
        <v>-7.5101451084529955</v>
      </c>
      <c r="BP313" s="647">
        <f t="shared" si="764"/>
        <v>164138.6612828332</v>
      </c>
      <c r="BQ313" s="644">
        <f t="shared" si="809"/>
        <v>0</v>
      </c>
      <c r="BR313" s="645">
        <f t="shared" si="810"/>
        <v>164138.6612828332</v>
      </c>
      <c r="BS313" s="646">
        <f t="shared" si="811"/>
        <v>0</v>
      </c>
      <c r="BT313" s="647">
        <f t="shared" si="765"/>
        <v>164138.6612828332</v>
      </c>
      <c r="BU313" s="662">
        <f>VLOOKUP(B313,'Afton Update'!$A$5:$AR$582,'Afton Update'!$AO$589,0)-BT313</f>
        <v>0</v>
      </c>
      <c r="BV313" s="644">
        <f t="shared" si="812"/>
        <v>294087.72360933805</v>
      </c>
      <c r="BW313" s="645">
        <f t="shared" si="729"/>
        <v>226773.40892552159</v>
      </c>
      <c r="BX313" s="644">
        <f t="shared" si="813"/>
        <v>0</v>
      </c>
      <c r="BY313" s="645">
        <f t="shared" si="814"/>
        <v>294087.72360933805</v>
      </c>
      <c r="BZ313" s="646">
        <f t="shared" si="815"/>
        <v>-2581.2392171766323</v>
      </c>
      <c r="CA313" s="647">
        <f t="shared" si="816"/>
        <v>291506.48439216142</v>
      </c>
      <c r="CB313" s="644">
        <f t="shared" si="766"/>
        <v>0</v>
      </c>
      <c r="CC313" s="645">
        <f t="shared" si="767"/>
        <v>291506.48439216142</v>
      </c>
      <c r="CD313" s="646">
        <f t="shared" si="817"/>
        <v>-93.373806840087553</v>
      </c>
      <c r="CE313" s="647">
        <f t="shared" si="768"/>
        <v>291413.11058532132</v>
      </c>
      <c r="CF313" s="644">
        <f t="shared" si="818"/>
        <v>0</v>
      </c>
      <c r="CG313" s="645">
        <f t="shared" si="819"/>
        <v>291413.11058532132</v>
      </c>
      <c r="CH313" s="646">
        <f t="shared" si="820"/>
        <v>0</v>
      </c>
      <c r="CI313" s="647">
        <f t="shared" si="769"/>
        <v>291413.11058532132</v>
      </c>
      <c r="CJ313" s="644">
        <f t="shared" si="821"/>
        <v>0</v>
      </c>
      <c r="CK313" s="645">
        <f t="shared" si="822"/>
        <v>291413.11058532132</v>
      </c>
      <c r="CL313" s="646">
        <f t="shared" si="823"/>
        <v>0</v>
      </c>
      <c r="CM313" s="647">
        <f t="shared" si="770"/>
        <v>291413.11058532132</v>
      </c>
      <c r="CN313" s="644">
        <f t="shared" si="824"/>
        <v>0</v>
      </c>
      <c r="CO313" s="645">
        <f t="shared" si="825"/>
        <v>291413.11058532132</v>
      </c>
      <c r="CP313" s="646">
        <f t="shared" si="826"/>
        <v>0</v>
      </c>
      <c r="CQ313" s="647">
        <f t="shared" si="771"/>
        <v>291413.11058532132</v>
      </c>
      <c r="CS313" s="644">
        <f t="shared" si="827"/>
        <v>226841.88383903145</v>
      </c>
      <c r="CT313" s="645">
        <f t="shared" si="730"/>
        <v>183623.27447263105</v>
      </c>
      <c r="CU313" s="644">
        <f t="shared" si="828"/>
        <v>0</v>
      </c>
      <c r="CV313" s="645">
        <f t="shared" si="829"/>
        <v>226841.88383903145</v>
      </c>
      <c r="CW313" s="646">
        <f t="shared" si="830"/>
        <v>-2322.9890838452484</v>
      </c>
      <c r="CX313" s="647">
        <f t="shared" si="831"/>
        <v>224518.89475518619</v>
      </c>
      <c r="CY313" s="644">
        <f t="shared" si="772"/>
        <v>0</v>
      </c>
      <c r="CZ313" s="645">
        <f t="shared" si="773"/>
        <v>224518.89475518619</v>
      </c>
      <c r="DA313" s="646">
        <f t="shared" si="832"/>
        <v>-176.24814773626758</v>
      </c>
      <c r="DB313" s="647">
        <f t="shared" si="774"/>
        <v>224342.64660744992</v>
      </c>
      <c r="DC313" s="644">
        <f t="shared" si="833"/>
        <v>0</v>
      </c>
      <c r="DD313" s="645">
        <f t="shared" si="834"/>
        <v>224342.64660744992</v>
      </c>
      <c r="DE313" s="646">
        <f t="shared" si="835"/>
        <v>-0.15199207529791195</v>
      </c>
      <c r="DF313" s="647">
        <f t="shared" si="775"/>
        <v>224342.49461537463</v>
      </c>
      <c r="DG313" s="644">
        <f t="shared" si="836"/>
        <v>0</v>
      </c>
      <c r="DH313" s="645">
        <f t="shared" si="837"/>
        <v>224342.49461537463</v>
      </c>
      <c r="DI313" s="646">
        <f t="shared" si="838"/>
        <v>0</v>
      </c>
      <c r="DJ313" s="647">
        <f t="shared" si="776"/>
        <v>224342.49461537463</v>
      </c>
      <c r="DK313" s="644">
        <f t="shared" si="839"/>
        <v>0</v>
      </c>
      <c r="DL313" s="645">
        <f t="shared" si="840"/>
        <v>224342.49461537463</v>
      </c>
      <c r="DM313" s="646">
        <f t="shared" si="841"/>
        <v>0</v>
      </c>
      <c r="DN313" s="647">
        <f t="shared" si="777"/>
        <v>224342.49461537463</v>
      </c>
      <c r="DR313" s="827">
        <f t="shared" si="731"/>
        <v>1382675.9693360673</v>
      </c>
      <c r="DV313" s="828">
        <f>IFERROR(VLOOKUP($B313,'Afton FY16 Final'!$A$5:$BV$587,'Afton FY16 Final'!$BV$587,0),0)</f>
        <v>1267751.5265706661</v>
      </c>
      <c r="DX313" s="636">
        <f t="shared" si="719"/>
        <v>1382675.9693360673</v>
      </c>
      <c r="DY313" s="637">
        <f t="shared" si="720"/>
        <v>114924.44276540121</v>
      </c>
      <c r="DZ313" s="637">
        <f t="shared" si="721"/>
        <v>1267751.5265706661</v>
      </c>
      <c r="EA313" s="643">
        <f t="shared" si="722"/>
        <v>1309133.1039713656</v>
      </c>
      <c r="EB313" s="637">
        <f t="shared" si="732"/>
        <v>0</v>
      </c>
      <c r="EC313" s="637">
        <f t="shared" si="733"/>
        <v>1309133.1039713656</v>
      </c>
      <c r="ED313" s="637">
        <f t="shared" si="734"/>
        <v>1305229.3472206837</v>
      </c>
      <c r="EE313" s="643">
        <f t="shared" si="735"/>
        <v>1305229.3472206837</v>
      </c>
      <c r="EF313" s="637">
        <f t="shared" si="736"/>
        <v>0</v>
      </c>
      <c r="EG313" s="637">
        <f t="shared" si="737"/>
        <v>1305229.3472206837</v>
      </c>
      <c r="EH313" s="637">
        <f t="shared" si="738"/>
        <v>1305228.0006665131</v>
      </c>
      <c r="EI313" s="643">
        <f t="shared" si="739"/>
        <v>1305228.0006665131</v>
      </c>
      <c r="EJ313" s="637">
        <f t="shared" si="740"/>
        <v>0</v>
      </c>
      <c r="EK313" s="637">
        <f t="shared" si="741"/>
        <v>1305228.0006665131</v>
      </c>
      <c r="EL313" s="637">
        <f t="shared" si="742"/>
        <v>1305228.0006665112</v>
      </c>
      <c r="EM313" s="643">
        <f t="shared" si="743"/>
        <v>1305228.0006665112</v>
      </c>
      <c r="EN313" s="637">
        <f t="shared" si="744"/>
        <v>0</v>
      </c>
      <c r="EO313" s="637">
        <f t="shared" si="745"/>
        <v>1305228.0006665112</v>
      </c>
      <c r="EP313" s="637">
        <f t="shared" si="746"/>
        <v>1305228.0006665133</v>
      </c>
      <c r="EQ313" s="643">
        <f t="shared" si="747"/>
        <v>1305228.0006665133</v>
      </c>
      <c r="ER313" s="637">
        <f t="shared" si="748"/>
        <v>0</v>
      </c>
      <c r="ES313" s="637">
        <f t="shared" si="749"/>
        <v>1305228.0006665133</v>
      </c>
      <c r="ET313" s="637">
        <f t="shared" si="750"/>
        <v>1305228.0006665112</v>
      </c>
      <c r="EU313" s="643">
        <f t="shared" si="723"/>
        <v>1305228.0006665112</v>
      </c>
      <c r="EV313" s="643">
        <f t="shared" si="724"/>
        <v>0</v>
      </c>
      <c r="EX313" s="829">
        <f t="shared" si="725"/>
        <v>77447.968669556081</v>
      </c>
      <c r="EY313" s="638">
        <f t="shared" si="726"/>
        <v>1305228.0006665112</v>
      </c>
      <c r="FC313" s="830" t="str">
        <f t="shared" si="751"/>
        <v>Y</v>
      </c>
      <c r="FE313" s="830" t="str">
        <f>IFERROR(VLOOKUP($B313,'Historical Conc Grant Elig'!$B$3:$J$707,'HH &amp; SI'!FE$2,0),"N")</f>
        <v>Y</v>
      </c>
      <c r="FF313" s="830" t="str">
        <f>IFERROR(VLOOKUP($B313,'Historical Conc Grant Elig'!$B$3:$J$707,'HH &amp; SI'!FF$2,0),"N")</f>
        <v>Y</v>
      </c>
      <c r="FG313" s="830" t="str">
        <f>IFERROR(VLOOKUP($B313,'Historical Conc Grant Elig'!$B$3:$J$707,'HH &amp; SI'!FG$2,0),"N")</f>
        <v>Y</v>
      </c>
      <c r="FH313" s="830" t="str">
        <f>IFERROR(VLOOKUP($B313,'Historical Conc Grant Elig'!$B$3:$J$707,'HH &amp; SI'!FH$2,0),"N")</f>
        <v>Y</v>
      </c>
      <c r="FI313" s="830" t="str">
        <f>IFERROR(VLOOKUP($B313,'Historical Conc Grant Elig'!$B$3:$J$707,'HH &amp; SI'!FI$2,0),"N")</f>
        <v>Y</v>
      </c>
      <c r="FJ313" s="830" t="str">
        <f>IFERROR(VLOOKUP($B313,'Historical Conc Grant Elig'!$B$3:$J$707,'HH &amp; SI'!FJ$2,0),"N")</f>
        <v>Y</v>
      </c>
      <c r="FK313" s="830" t="str">
        <f>IFERROR(VLOOKUP($B313,'Historical Conc Grant Elig'!$B$3:$J$707,'HH &amp; SI'!FK$2,0),"N")</f>
        <v>Y</v>
      </c>
      <c r="FL313" s="957" t="str">
        <f>IFERROR(VLOOKUP($B313,'Historical Conc Grant Elig'!$B$3:$J$707,'HH &amp; SI'!FL$2,0),"N")</f>
        <v>Y</v>
      </c>
    </row>
    <row r="314" spans="2:168" x14ac:dyDescent="0.25">
      <c r="B314" s="634">
        <v>80208000</v>
      </c>
      <c r="C314" s="635" t="str">
        <f>VLOOKUP($B314,'Afton Update'!$A$5:$CR$582,'Afton Update'!D$589,0)</f>
        <v>Peach Springs Unified District</v>
      </c>
      <c r="D314" s="636">
        <f>IFERROR(VLOOKUP($B314,'Afton FY16 Final'!$A$5:$BV$587,'Afton FY16 Final'!AQ$587,0),0)</f>
        <v>54311.052739061357</v>
      </c>
      <c r="E314" s="637">
        <f>IFERROR(VLOOKUP($B314,'Afton FY16 Final'!$A$5:$BV$587,'Afton FY16 Final'!AR$587,0),0)</f>
        <v>12403.415045944243</v>
      </c>
      <c r="F314" s="637">
        <f>IFERROR(VLOOKUP($B314,'Afton FY16 Final'!$A$5:$BV$587,'Afton FY16 Final'!AS$587,0),0)</f>
        <v>33296.799209615274</v>
      </c>
      <c r="G314" s="637">
        <f>IFERROR(VLOOKUP($B314,'Afton FY16 Final'!$A$5:$BV$587,'Afton FY16 Final'!AT$587,0),0)</f>
        <v>37053.939998744245</v>
      </c>
      <c r="H314" s="638">
        <f>IFERROR(VLOOKUP($B314,'Afton FY16 Final'!$A$5:$BV$587,'Afton FY16 Final'!AU$587,0),0)</f>
        <v>137065.20699336514</v>
      </c>
      <c r="I314" s="639" t="str">
        <f>VLOOKUP($B314,'Afton Update'!$A$5:$CR$582,'Afton Update'!BT$589,0)</f>
        <v>Y</v>
      </c>
      <c r="J314" s="640" t="str">
        <f>VLOOKUP($B314,'Afton Update'!$A$5:$CR$582,'Afton Update'!BU$589,0)</f>
        <v>Y</v>
      </c>
      <c r="K314" s="640" t="str">
        <f>VLOOKUP($B314,'Afton Update'!$A$5:$CR$582,'Afton Update'!BV$589,0)</f>
        <v>Y</v>
      </c>
      <c r="L314" s="641" t="str">
        <f>VLOOKUP($B314,'Afton Update'!$A$5:$CR$582,'Afton Update'!BW$589,0)</f>
        <v>Y</v>
      </c>
      <c r="N314" s="642">
        <f>VLOOKUP($B314,'Afton Update'!$A$5:$CR$582,'Afton Update'!CB$589,0)</f>
        <v>0.95</v>
      </c>
      <c r="P314" s="636">
        <f>VLOOKUP($B314,'Afton Update'!$A$5:$CR$582,'Afton Update'!AH$589,0)</f>
        <v>52948.330025646079</v>
      </c>
      <c r="Q314" s="637">
        <f>VLOOKUP($B314,'Afton Update'!$A$5:$CR$582,'Afton Update'!AI$589,0)</f>
        <v>12231.953390041783</v>
      </c>
      <c r="R314" s="637">
        <f>VLOOKUP($B314,'Afton Update'!$A$5:$CR$582,'Afton Update'!AJ$589,0)</f>
        <v>32379.294903509406</v>
      </c>
      <c r="S314" s="637">
        <f>VLOOKUP($B314,'Afton Update'!$A$5:$CR$582,'Afton Update'!AK$589,0)</f>
        <v>36197.13812866724</v>
      </c>
      <c r="T314" s="643">
        <f t="shared" si="752"/>
        <v>133756.71644786448</v>
      </c>
      <c r="V314" s="636">
        <f t="shared" si="778"/>
        <v>52226.080437259203</v>
      </c>
      <c r="W314" s="637">
        <f t="shared" si="779"/>
        <v>11829.077566560618</v>
      </c>
      <c r="X314" s="637">
        <f t="shared" si="780"/>
        <v>32084.817858379683</v>
      </c>
      <c r="Y314" s="637">
        <f t="shared" si="781"/>
        <v>35798.310824666332</v>
      </c>
      <c r="Z314" s="643">
        <f t="shared" si="782"/>
        <v>131938.28668686585</v>
      </c>
      <c r="AB314" s="644">
        <f t="shared" si="753"/>
        <v>52948.330025646079</v>
      </c>
      <c r="AC314" s="645">
        <f t="shared" si="727"/>
        <v>51595.500102108286</v>
      </c>
      <c r="AD314" s="644">
        <f t="shared" si="783"/>
        <v>0</v>
      </c>
      <c r="AE314" s="645">
        <f t="shared" si="784"/>
        <v>52948.330025646079</v>
      </c>
      <c r="AF314" s="646">
        <f t="shared" si="785"/>
        <v>-656.3343402787176</v>
      </c>
      <c r="AG314" s="647">
        <f t="shared" si="786"/>
        <v>52291.995685367365</v>
      </c>
      <c r="AH314" s="644">
        <f t="shared" si="754"/>
        <v>0</v>
      </c>
      <c r="AI314" s="645">
        <f t="shared" si="755"/>
        <v>52291.995685367365</v>
      </c>
      <c r="AJ314" s="646">
        <f t="shared" si="787"/>
        <v>-65.873253706046597</v>
      </c>
      <c r="AK314" s="647">
        <f t="shared" si="756"/>
        <v>52226.122431661315</v>
      </c>
      <c r="AL314" s="644">
        <f t="shared" si="788"/>
        <v>0</v>
      </c>
      <c r="AM314" s="645">
        <f t="shared" si="789"/>
        <v>52226.122431661315</v>
      </c>
      <c r="AN314" s="646">
        <f t="shared" si="790"/>
        <v>-4.1994402115830304E-2</v>
      </c>
      <c r="AO314" s="647">
        <f t="shared" si="757"/>
        <v>52226.080437259203</v>
      </c>
      <c r="AP314" s="644">
        <f t="shared" si="791"/>
        <v>0</v>
      </c>
      <c r="AQ314" s="645">
        <f t="shared" si="792"/>
        <v>52226.080437259203</v>
      </c>
      <c r="AR314" s="646">
        <f t="shared" si="793"/>
        <v>0</v>
      </c>
      <c r="AS314" s="647">
        <f t="shared" si="758"/>
        <v>52226.080437259203</v>
      </c>
      <c r="AT314" s="644">
        <f t="shared" si="794"/>
        <v>0</v>
      </c>
      <c r="AU314" s="645">
        <f t="shared" si="795"/>
        <v>52226.080437259203</v>
      </c>
      <c r="AV314" s="646">
        <f t="shared" si="796"/>
        <v>0</v>
      </c>
      <c r="AW314" s="647">
        <f t="shared" si="759"/>
        <v>52226.080437259203</v>
      </c>
      <c r="AY314" s="644">
        <f t="shared" si="797"/>
        <v>12231.953390041783</v>
      </c>
      <c r="AZ314" s="645">
        <f t="shared" si="728"/>
        <v>11783.244293647031</v>
      </c>
      <c r="BA314" s="644">
        <f t="shared" si="798"/>
        <v>0</v>
      </c>
      <c r="BB314" s="645">
        <f t="shared" si="799"/>
        <v>12231.953390041783</v>
      </c>
      <c r="BC314" s="646">
        <f t="shared" si="800"/>
        <v>-87.963541591401153</v>
      </c>
      <c r="BD314" s="647">
        <f t="shared" si="801"/>
        <v>12143.989848450381</v>
      </c>
      <c r="BE314" s="644">
        <f t="shared" si="760"/>
        <v>0</v>
      </c>
      <c r="BF314" s="645">
        <f t="shared" si="761"/>
        <v>12143.989848450381</v>
      </c>
      <c r="BG314" s="646">
        <f t="shared" si="802"/>
        <v>-289.25994155234474</v>
      </c>
      <c r="BH314" s="647">
        <f t="shared" si="762"/>
        <v>11854.729906898036</v>
      </c>
      <c r="BI314" s="644">
        <f t="shared" si="803"/>
        <v>0</v>
      </c>
      <c r="BJ314" s="645">
        <f t="shared" si="804"/>
        <v>11854.729906898036</v>
      </c>
      <c r="BK314" s="646">
        <f t="shared" si="805"/>
        <v>-25.111102287040474</v>
      </c>
      <c r="BL314" s="647">
        <f t="shared" si="763"/>
        <v>11829.618804610995</v>
      </c>
      <c r="BM314" s="644">
        <f t="shared" si="806"/>
        <v>0</v>
      </c>
      <c r="BN314" s="645">
        <f t="shared" si="807"/>
        <v>11829.618804610995</v>
      </c>
      <c r="BO314" s="646">
        <f t="shared" si="808"/>
        <v>-0.54123805037581119</v>
      </c>
      <c r="BP314" s="647">
        <f t="shared" si="764"/>
        <v>11829.077566560618</v>
      </c>
      <c r="BQ314" s="644">
        <f t="shared" si="809"/>
        <v>0</v>
      </c>
      <c r="BR314" s="645">
        <f t="shared" si="810"/>
        <v>11829.077566560618</v>
      </c>
      <c r="BS314" s="646">
        <f t="shared" si="811"/>
        <v>0</v>
      </c>
      <c r="BT314" s="647">
        <f t="shared" si="765"/>
        <v>11829.077566560618</v>
      </c>
      <c r="BU314" s="662">
        <f>VLOOKUP(B314,'Afton Update'!$A$5:$AR$582,'Afton Update'!$AO$589,0)-BT314</f>
        <v>0</v>
      </c>
      <c r="BV314" s="644">
        <f t="shared" si="812"/>
        <v>32379.294903509406</v>
      </c>
      <c r="BW314" s="645">
        <f t="shared" si="729"/>
        <v>31631.95924913451</v>
      </c>
      <c r="BX314" s="644">
        <f t="shared" si="813"/>
        <v>0</v>
      </c>
      <c r="BY314" s="645">
        <f t="shared" si="814"/>
        <v>32379.294903509406</v>
      </c>
      <c r="BZ314" s="646">
        <f t="shared" si="815"/>
        <v>-284.19651389627779</v>
      </c>
      <c r="CA314" s="647">
        <f t="shared" si="816"/>
        <v>32095.098389613129</v>
      </c>
      <c r="CB314" s="644">
        <f t="shared" si="766"/>
        <v>0</v>
      </c>
      <c r="CC314" s="645">
        <f t="shared" si="767"/>
        <v>32095.098389613129</v>
      </c>
      <c r="CD314" s="646">
        <f t="shared" si="817"/>
        <v>-10.280531233444925</v>
      </c>
      <c r="CE314" s="647">
        <f t="shared" si="768"/>
        <v>32084.817858379683</v>
      </c>
      <c r="CF314" s="644">
        <f t="shared" si="818"/>
        <v>0</v>
      </c>
      <c r="CG314" s="645">
        <f t="shared" si="819"/>
        <v>32084.817858379683</v>
      </c>
      <c r="CH314" s="646">
        <f t="shared" si="820"/>
        <v>0</v>
      </c>
      <c r="CI314" s="647">
        <f t="shared" si="769"/>
        <v>32084.817858379683</v>
      </c>
      <c r="CJ314" s="644">
        <f t="shared" si="821"/>
        <v>0</v>
      </c>
      <c r="CK314" s="645">
        <f t="shared" si="822"/>
        <v>32084.817858379683</v>
      </c>
      <c r="CL314" s="646">
        <f t="shared" si="823"/>
        <v>0</v>
      </c>
      <c r="CM314" s="647">
        <f t="shared" si="770"/>
        <v>32084.817858379683</v>
      </c>
      <c r="CN314" s="644">
        <f t="shared" si="824"/>
        <v>0</v>
      </c>
      <c r="CO314" s="645">
        <f t="shared" si="825"/>
        <v>32084.817858379683</v>
      </c>
      <c r="CP314" s="646">
        <f t="shared" si="826"/>
        <v>0</v>
      </c>
      <c r="CQ314" s="647">
        <f t="shared" si="771"/>
        <v>32084.817858379683</v>
      </c>
      <c r="CS314" s="644">
        <f t="shared" si="827"/>
        <v>36197.13812866724</v>
      </c>
      <c r="CT314" s="645">
        <f t="shared" si="730"/>
        <v>35201.242998807029</v>
      </c>
      <c r="CU314" s="644">
        <f t="shared" si="828"/>
        <v>0</v>
      </c>
      <c r="CV314" s="645">
        <f t="shared" si="829"/>
        <v>36197.13812866724</v>
      </c>
      <c r="CW314" s="646">
        <f t="shared" si="830"/>
        <v>-370.67915023576643</v>
      </c>
      <c r="CX314" s="647">
        <f t="shared" si="831"/>
        <v>35826.458978431474</v>
      </c>
      <c r="CY314" s="644">
        <f t="shared" si="772"/>
        <v>0</v>
      </c>
      <c r="CZ314" s="645">
        <f t="shared" si="773"/>
        <v>35826.458978431474</v>
      </c>
      <c r="DA314" s="646">
        <f t="shared" si="832"/>
        <v>-28.123900403941676</v>
      </c>
      <c r="DB314" s="647">
        <f t="shared" si="774"/>
        <v>35798.335078027529</v>
      </c>
      <c r="DC314" s="644">
        <f t="shared" si="833"/>
        <v>0</v>
      </c>
      <c r="DD314" s="645">
        <f t="shared" si="834"/>
        <v>35798.335078027529</v>
      </c>
      <c r="DE314" s="646">
        <f t="shared" si="835"/>
        <v>-2.4253361199933161E-2</v>
      </c>
      <c r="DF314" s="647">
        <f t="shared" si="775"/>
        <v>35798.310824666332</v>
      </c>
      <c r="DG314" s="644">
        <f t="shared" si="836"/>
        <v>0</v>
      </c>
      <c r="DH314" s="645">
        <f t="shared" si="837"/>
        <v>35798.310824666332</v>
      </c>
      <c r="DI314" s="646">
        <f t="shared" si="838"/>
        <v>0</v>
      </c>
      <c r="DJ314" s="647">
        <f t="shared" si="776"/>
        <v>35798.310824666332</v>
      </c>
      <c r="DK314" s="644">
        <f t="shared" si="839"/>
        <v>0</v>
      </c>
      <c r="DL314" s="645">
        <f t="shared" si="840"/>
        <v>35798.310824666332</v>
      </c>
      <c r="DM314" s="646">
        <f t="shared" si="841"/>
        <v>0</v>
      </c>
      <c r="DN314" s="647">
        <f t="shared" si="777"/>
        <v>35798.310824666332</v>
      </c>
      <c r="DR314" s="827">
        <f t="shared" si="731"/>
        <v>131938.28668686585</v>
      </c>
      <c r="DV314" s="828">
        <f>IFERROR(VLOOKUP($B314,'Afton FY16 Final'!$A$5:$BV$587,'Afton FY16 Final'!$BV$587,0),0)</f>
        <v>134366.39309036496</v>
      </c>
      <c r="DX314" s="636">
        <f t="shared" si="719"/>
        <v>0</v>
      </c>
      <c r="DY314" s="637">
        <f t="shared" si="720"/>
        <v>0</v>
      </c>
      <c r="DZ314" s="637">
        <f t="shared" si="721"/>
        <v>0</v>
      </c>
      <c r="EA314" s="643">
        <f t="shared" si="722"/>
        <v>0</v>
      </c>
      <c r="EB314" s="637">
        <f t="shared" si="732"/>
        <v>0</v>
      </c>
      <c r="EC314" s="637">
        <f t="shared" si="733"/>
        <v>0</v>
      </c>
      <c r="ED314" s="637">
        <f t="shared" si="734"/>
        <v>0</v>
      </c>
      <c r="EE314" s="643">
        <f t="shared" si="735"/>
        <v>0</v>
      </c>
      <c r="EF314" s="637">
        <f t="shared" si="736"/>
        <v>0</v>
      </c>
      <c r="EG314" s="637">
        <f t="shared" si="737"/>
        <v>0</v>
      </c>
      <c r="EH314" s="637">
        <f t="shared" si="738"/>
        <v>0</v>
      </c>
      <c r="EI314" s="643">
        <f t="shared" si="739"/>
        <v>0</v>
      </c>
      <c r="EJ314" s="637">
        <f t="shared" si="740"/>
        <v>0</v>
      </c>
      <c r="EK314" s="637">
        <f t="shared" si="741"/>
        <v>0</v>
      </c>
      <c r="EL314" s="637">
        <f t="shared" si="742"/>
        <v>0</v>
      </c>
      <c r="EM314" s="643">
        <f t="shared" si="743"/>
        <v>0</v>
      </c>
      <c r="EN314" s="637">
        <f t="shared" si="744"/>
        <v>0</v>
      </c>
      <c r="EO314" s="637">
        <f t="shared" si="745"/>
        <v>0</v>
      </c>
      <c r="EP314" s="637">
        <f t="shared" si="746"/>
        <v>0</v>
      </c>
      <c r="EQ314" s="643">
        <f t="shared" si="747"/>
        <v>0</v>
      </c>
      <c r="ER314" s="637">
        <f t="shared" si="748"/>
        <v>0</v>
      </c>
      <c r="ES314" s="637">
        <f t="shared" si="749"/>
        <v>0</v>
      </c>
      <c r="ET314" s="637">
        <f t="shared" si="750"/>
        <v>0</v>
      </c>
      <c r="EU314" s="643">
        <f t="shared" si="723"/>
        <v>0</v>
      </c>
      <c r="EV314" s="643">
        <f t="shared" si="724"/>
        <v>0</v>
      </c>
      <c r="EX314" s="829">
        <f t="shared" si="725"/>
        <v>0</v>
      </c>
      <c r="EY314" s="638">
        <f t="shared" si="726"/>
        <v>131938.28668686585</v>
      </c>
      <c r="FC314" s="830" t="str">
        <f t="shared" si="751"/>
        <v>Y</v>
      </c>
      <c r="FE314" s="830" t="str">
        <f>IFERROR(VLOOKUP($B314,'Historical Conc Grant Elig'!$B$3:$J$707,'HH &amp; SI'!FE$2,0),"N")</f>
        <v>Y</v>
      </c>
      <c r="FF314" s="830" t="str">
        <f>IFERROR(VLOOKUP($B314,'Historical Conc Grant Elig'!$B$3:$J$707,'HH &amp; SI'!FF$2,0),"N")</f>
        <v>Y</v>
      </c>
      <c r="FG314" s="830" t="str">
        <f>IFERROR(VLOOKUP($B314,'Historical Conc Grant Elig'!$B$3:$J$707,'HH &amp; SI'!FG$2,0),"N")</f>
        <v>Y</v>
      </c>
      <c r="FH314" s="830" t="str">
        <f>IFERROR(VLOOKUP($B314,'Historical Conc Grant Elig'!$B$3:$J$707,'HH &amp; SI'!FH$2,0),"N")</f>
        <v>Y</v>
      </c>
      <c r="FI314" s="830" t="str">
        <f>IFERROR(VLOOKUP($B314,'Historical Conc Grant Elig'!$B$3:$J$707,'HH &amp; SI'!FI$2,0),"N")</f>
        <v>Y</v>
      </c>
      <c r="FJ314" s="830" t="str">
        <f>IFERROR(VLOOKUP($B314,'Historical Conc Grant Elig'!$B$3:$J$707,'HH &amp; SI'!FJ$2,0),"N")</f>
        <v>Y</v>
      </c>
      <c r="FK314" s="830" t="str">
        <f>IFERROR(VLOOKUP($B314,'Historical Conc Grant Elig'!$B$3:$J$707,'HH &amp; SI'!FK$2,0),"N")</f>
        <v>Y</v>
      </c>
      <c r="FL314" s="957" t="str">
        <f>IFERROR(VLOOKUP($B314,'Historical Conc Grant Elig'!$B$3:$J$707,'HH &amp; SI'!FL$2,0),"N")</f>
        <v>Y</v>
      </c>
    </row>
    <row r="315" spans="2:168" x14ac:dyDescent="0.25">
      <c r="B315" s="634">
        <v>80209000</v>
      </c>
      <c r="C315" s="635" t="str">
        <f>VLOOKUP($B315,'Afton Update'!$A$5:$CR$582,'Afton Update'!D$589,0)</f>
        <v>Littlefield Unified District</v>
      </c>
      <c r="D315" s="636">
        <f>IFERROR(VLOOKUP($B315,'Afton FY16 Final'!$A$5:$BV$587,'Afton FY16 Final'!AQ$587,0),0)</f>
        <v>93988.20964040501</v>
      </c>
      <c r="E315" s="637">
        <f>IFERROR(VLOOKUP($B315,'Afton FY16 Final'!$A$5:$BV$587,'Afton FY16 Final'!AR$587,0),0)</f>
        <v>20116.396931631665</v>
      </c>
      <c r="F315" s="637">
        <f>IFERROR(VLOOKUP($B315,'Afton FY16 Final'!$A$5:$BV$587,'Afton FY16 Final'!AS$587,0),0)</f>
        <v>57491.831398012924</v>
      </c>
      <c r="G315" s="637">
        <f>IFERROR(VLOOKUP($B315,'Afton FY16 Final'!$A$5:$BV$587,'Afton FY16 Final'!AT$587,0),0)</f>
        <v>60231.679899223185</v>
      </c>
      <c r="H315" s="638">
        <f>IFERROR(VLOOKUP($B315,'Afton FY16 Final'!$A$5:$BV$587,'Afton FY16 Final'!AU$587,0),0)</f>
        <v>231828.11786927277</v>
      </c>
      <c r="I315" s="639" t="str">
        <f>VLOOKUP($B315,'Afton Update'!$A$5:$CR$582,'Afton Update'!BT$589,0)</f>
        <v>Y</v>
      </c>
      <c r="J315" s="640" t="str">
        <f>VLOOKUP($B315,'Afton Update'!$A$5:$CR$582,'Afton Update'!BU$589,0)</f>
        <v>Y</v>
      </c>
      <c r="K315" s="640" t="str">
        <f>VLOOKUP($B315,'Afton Update'!$A$5:$CR$582,'Afton Update'!BV$589,0)</f>
        <v>Y</v>
      </c>
      <c r="L315" s="641" t="str">
        <f>VLOOKUP($B315,'Afton Update'!$A$5:$CR$582,'Afton Update'!BW$589,0)</f>
        <v>Y</v>
      </c>
      <c r="N315" s="642">
        <f>VLOOKUP($B315,'Afton Update'!$A$5:$CR$582,'Afton Update'!CB$589,0)</f>
        <v>0.9</v>
      </c>
      <c r="P315" s="636">
        <f>VLOOKUP($B315,'Afton Update'!$A$5:$CR$582,'Afton Update'!AH$589,0)</f>
        <v>86737.037641585324</v>
      </c>
      <c r="Q315" s="637">
        <f>VLOOKUP($B315,'Afton Update'!$A$5:$CR$582,'Afton Update'!AI$589,0)</f>
        <v>18851.622319654689</v>
      </c>
      <c r="R315" s="637">
        <f>VLOOKUP($B315,'Afton Update'!$A$5:$CR$582,'Afton Update'!AJ$589,0)</f>
        <v>52941.133208495266</v>
      </c>
      <c r="S315" s="637">
        <f>VLOOKUP($B315,'Afton Update'!$A$5:$CR$582,'Afton Update'!AK$589,0)</f>
        <v>55578.325220657709</v>
      </c>
      <c r="T315" s="643">
        <f t="shared" si="752"/>
        <v>214108.11839039301</v>
      </c>
      <c r="V315" s="636">
        <f t="shared" si="778"/>
        <v>85553.888150294675</v>
      </c>
      <c r="W315" s="637">
        <f t="shared" si="779"/>
        <v>18230.718803772277</v>
      </c>
      <c r="X315" s="637">
        <f t="shared" si="780"/>
        <v>52459.654272047919</v>
      </c>
      <c r="Y315" s="637">
        <f t="shared" si="781"/>
        <v>54965.952122821953</v>
      </c>
      <c r="Z315" s="643">
        <f t="shared" si="782"/>
        <v>211210.21334893681</v>
      </c>
      <c r="AB315" s="644">
        <f t="shared" si="753"/>
        <v>86737.037641585324</v>
      </c>
      <c r="AC315" s="645">
        <f t="shared" si="727"/>
        <v>84589.388676364513</v>
      </c>
      <c r="AD315" s="644">
        <f t="shared" si="783"/>
        <v>0</v>
      </c>
      <c r="AE315" s="645">
        <f t="shared" si="784"/>
        <v>86737.037641585324</v>
      </c>
      <c r="AF315" s="646">
        <f t="shared" si="785"/>
        <v>-1075.1707627161477</v>
      </c>
      <c r="AG315" s="647">
        <f t="shared" si="786"/>
        <v>85661.866878869172</v>
      </c>
      <c r="AH315" s="644">
        <f t="shared" si="754"/>
        <v>0</v>
      </c>
      <c r="AI315" s="645">
        <f t="shared" si="755"/>
        <v>85661.866878869172</v>
      </c>
      <c r="AJ315" s="646">
        <f t="shared" si="787"/>
        <v>-107.90993565817084</v>
      </c>
      <c r="AK315" s="647">
        <f t="shared" si="756"/>
        <v>85553.956943211</v>
      </c>
      <c r="AL315" s="644">
        <f t="shared" si="788"/>
        <v>0</v>
      </c>
      <c r="AM315" s="645">
        <f t="shared" si="789"/>
        <v>85553.956943211</v>
      </c>
      <c r="AN315" s="646">
        <f t="shared" si="790"/>
        <v>-6.8792916326017722E-2</v>
      </c>
      <c r="AO315" s="647">
        <f t="shared" si="757"/>
        <v>85553.888150294675</v>
      </c>
      <c r="AP315" s="644">
        <f t="shared" si="791"/>
        <v>0</v>
      </c>
      <c r="AQ315" s="645">
        <f t="shared" si="792"/>
        <v>85553.888150294675</v>
      </c>
      <c r="AR315" s="646">
        <f t="shared" si="793"/>
        <v>0</v>
      </c>
      <c r="AS315" s="647">
        <f t="shared" si="758"/>
        <v>85553.888150294675</v>
      </c>
      <c r="AT315" s="644">
        <f t="shared" si="794"/>
        <v>0</v>
      </c>
      <c r="AU315" s="645">
        <f t="shared" si="795"/>
        <v>85553.888150294675</v>
      </c>
      <c r="AV315" s="646">
        <f t="shared" si="796"/>
        <v>0</v>
      </c>
      <c r="AW315" s="647">
        <f t="shared" si="759"/>
        <v>85553.888150294675</v>
      </c>
      <c r="AY315" s="644">
        <f t="shared" si="797"/>
        <v>18851.622319654689</v>
      </c>
      <c r="AZ315" s="645">
        <f t="shared" si="728"/>
        <v>18104.757238468501</v>
      </c>
      <c r="BA315" s="644">
        <f t="shared" si="798"/>
        <v>0</v>
      </c>
      <c r="BB315" s="645">
        <f t="shared" si="799"/>
        <v>18851.622319654689</v>
      </c>
      <c r="BC315" s="646">
        <f t="shared" si="800"/>
        <v>-135.56751003730463</v>
      </c>
      <c r="BD315" s="647">
        <f t="shared" si="801"/>
        <v>18716.054809617384</v>
      </c>
      <c r="BE315" s="644">
        <f t="shared" si="760"/>
        <v>0</v>
      </c>
      <c r="BF315" s="645">
        <f t="shared" si="761"/>
        <v>18716.054809617384</v>
      </c>
      <c r="BG315" s="646">
        <f t="shared" si="802"/>
        <v>-445.80117308079167</v>
      </c>
      <c r="BH315" s="647">
        <f t="shared" si="762"/>
        <v>18270.253636536592</v>
      </c>
      <c r="BI315" s="644">
        <f t="shared" si="803"/>
        <v>0</v>
      </c>
      <c r="BJ315" s="645">
        <f t="shared" si="804"/>
        <v>18270.253636536592</v>
      </c>
      <c r="BK315" s="646">
        <f t="shared" si="805"/>
        <v>-38.700688373362667</v>
      </c>
      <c r="BL315" s="647">
        <f t="shared" si="763"/>
        <v>18231.552948163229</v>
      </c>
      <c r="BM315" s="644">
        <f t="shared" si="806"/>
        <v>0</v>
      </c>
      <c r="BN315" s="645">
        <f t="shared" si="807"/>
        <v>18231.552948163229</v>
      </c>
      <c r="BO315" s="646">
        <f t="shared" si="808"/>
        <v>-0.83414439095374771</v>
      </c>
      <c r="BP315" s="647">
        <f t="shared" si="764"/>
        <v>18230.718803772277</v>
      </c>
      <c r="BQ315" s="644">
        <f t="shared" si="809"/>
        <v>0</v>
      </c>
      <c r="BR315" s="645">
        <f t="shared" si="810"/>
        <v>18230.718803772277</v>
      </c>
      <c r="BS315" s="646">
        <f t="shared" si="811"/>
        <v>0</v>
      </c>
      <c r="BT315" s="647">
        <f t="shared" si="765"/>
        <v>18230.718803772277</v>
      </c>
      <c r="BU315" s="662">
        <f>VLOOKUP(B315,'Afton Update'!$A$5:$AR$582,'Afton Update'!$AO$589,0)-BT315</f>
        <v>0</v>
      </c>
      <c r="BV315" s="644">
        <f t="shared" si="812"/>
        <v>52941.133208495266</v>
      </c>
      <c r="BW315" s="645">
        <f t="shared" si="729"/>
        <v>51742.64825821163</v>
      </c>
      <c r="BX315" s="644">
        <f t="shared" si="813"/>
        <v>0</v>
      </c>
      <c r="BY315" s="645">
        <f t="shared" si="814"/>
        <v>52941.133208495266</v>
      </c>
      <c r="BZ315" s="646">
        <f t="shared" si="815"/>
        <v>-464.66995480936504</v>
      </c>
      <c r="CA315" s="647">
        <f t="shared" si="816"/>
        <v>52476.463253685899</v>
      </c>
      <c r="CB315" s="644">
        <f t="shared" si="766"/>
        <v>0</v>
      </c>
      <c r="CC315" s="645">
        <f t="shared" si="767"/>
        <v>52476.463253685899</v>
      </c>
      <c r="CD315" s="646">
        <f t="shared" si="817"/>
        <v>-16.808981637982313</v>
      </c>
      <c r="CE315" s="647">
        <f t="shared" si="768"/>
        <v>52459.654272047919</v>
      </c>
      <c r="CF315" s="644">
        <f t="shared" si="818"/>
        <v>0</v>
      </c>
      <c r="CG315" s="645">
        <f t="shared" si="819"/>
        <v>52459.654272047919</v>
      </c>
      <c r="CH315" s="646">
        <f t="shared" si="820"/>
        <v>0</v>
      </c>
      <c r="CI315" s="647">
        <f t="shared" si="769"/>
        <v>52459.654272047919</v>
      </c>
      <c r="CJ315" s="644">
        <f t="shared" si="821"/>
        <v>0</v>
      </c>
      <c r="CK315" s="645">
        <f t="shared" si="822"/>
        <v>52459.654272047919</v>
      </c>
      <c r="CL315" s="646">
        <f t="shared" si="823"/>
        <v>0</v>
      </c>
      <c r="CM315" s="647">
        <f t="shared" si="770"/>
        <v>52459.654272047919</v>
      </c>
      <c r="CN315" s="644">
        <f t="shared" si="824"/>
        <v>0</v>
      </c>
      <c r="CO315" s="645">
        <f t="shared" si="825"/>
        <v>52459.654272047919</v>
      </c>
      <c r="CP315" s="646">
        <f t="shared" si="826"/>
        <v>0</v>
      </c>
      <c r="CQ315" s="647">
        <f t="shared" si="771"/>
        <v>52459.654272047919</v>
      </c>
      <c r="CS315" s="644">
        <f t="shared" si="827"/>
        <v>55578.325220657709</v>
      </c>
      <c r="CT315" s="645">
        <f t="shared" si="730"/>
        <v>54208.511909300869</v>
      </c>
      <c r="CU315" s="644">
        <f t="shared" si="828"/>
        <v>0</v>
      </c>
      <c r="CV315" s="645">
        <f t="shared" si="829"/>
        <v>55578.325220657709</v>
      </c>
      <c r="CW315" s="646">
        <f t="shared" si="830"/>
        <v>-569.15345879248957</v>
      </c>
      <c r="CX315" s="647">
        <f t="shared" si="831"/>
        <v>55009.171761865218</v>
      </c>
      <c r="CY315" s="644">
        <f t="shared" si="772"/>
        <v>0</v>
      </c>
      <c r="CZ315" s="645">
        <f t="shared" si="773"/>
        <v>55009.171761865218</v>
      </c>
      <c r="DA315" s="646">
        <f t="shared" si="832"/>
        <v>-43.182399602076195</v>
      </c>
      <c r="DB315" s="647">
        <f t="shared" si="774"/>
        <v>54965.989362263143</v>
      </c>
      <c r="DC315" s="644">
        <f t="shared" si="833"/>
        <v>0</v>
      </c>
      <c r="DD315" s="645">
        <f t="shared" si="834"/>
        <v>54965.989362263143</v>
      </c>
      <c r="DE315" s="646">
        <f t="shared" si="835"/>
        <v>-3.7239441186551002E-2</v>
      </c>
      <c r="DF315" s="647">
        <f t="shared" si="775"/>
        <v>54965.952122821953</v>
      </c>
      <c r="DG315" s="644">
        <f t="shared" si="836"/>
        <v>0</v>
      </c>
      <c r="DH315" s="645">
        <f t="shared" si="837"/>
        <v>54965.952122821953</v>
      </c>
      <c r="DI315" s="646">
        <f t="shared" si="838"/>
        <v>0</v>
      </c>
      <c r="DJ315" s="647">
        <f t="shared" si="776"/>
        <v>54965.952122821953</v>
      </c>
      <c r="DK315" s="644">
        <f t="shared" si="839"/>
        <v>0</v>
      </c>
      <c r="DL315" s="645">
        <f t="shared" si="840"/>
        <v>54965.952122821953</v>
      </c>
      <c r="DM315" s="646">
        <f t="shared" si="841"/>
        <v>0</v>
      </c>
      <c r="DN315" s="647">
        <f t="shared" si="777"/>
        <v>54965.952122821953</v>
      </c>
      <c r="DR315" s="827">
        <f t="shared" si="731"/>
        <v>211210.21334893681</v>
      </c>
      <c r="DV315" s="828">
        <f>IFERROR(VLOOKUP($B315,'Afton FY16 Final'!$A$5:$BV$587,'Afton FY16 Final'!$BV$587,0),0)</f>
        <v>227263.42226681957</v>
      </c>
      <c r="DX315" s="636">
        <f t="shared" si="719"/>
        <v>0</v>
      </c>
      <c r="DY315" s="637">
        <f t="shared" si="720"/>
        <v>0</v>
      </c>
      <c r="DZ315" s="637">
        <f t="shared" si="721"/>
        <v>0</v>
      </c>
      <c r="EA315" s="643">
        <f t="shared" si="722"/>
        <v>0</v>
      </c>
      <c r="EB315" s="637">
        <f t="shared" si="732"/>
        <v>0</v>
      </c>
      <c r="EC315" s="637">
        <f t="shared" si="733"/>
        <v>0</v>
      </c>
      <c r="ED315" s="637">
        <f t="shared" si="734"/>
        <v>0</v>
      </c>
      <c r="EE315" s="643">
        <f t="shared" si="735"/>
        <v>0</v>
      </c>
      <c r="EF315" s="637">
        <f t="shared" si="736"/>
        <v>0</v>
      </c>
      <c r="EG315" s="637">
        <f t="shared" si="737"/>
        <v>0</v>
      </c>
      <c r="EH315" s="637">
        <f t="shared" si="738"/>
        <v>0</v>
      </c>
      <c r="EI315" s="643">
        <f t="shared" si="739"/>
        <v>0</v>
      </c>
      <c r="EJ315" s="637">
        <f t="shared" si="740"/>
        <v>0</v>
      </c>
      <c r="EK315" s="637">
        <f t="shared" si="741"/>
        <v>0</v>
      </c>
      <c r="EL315" s="637">
        <f t="shared" si="742"/>
        <v>0</v>
      </c>
      <c r="EM315" s="643">
        <f t="shared" si="743"/>
        <v>0</v>
      </c>
      <c r="EN315" s="637">
        <f t="shared" si="744"/>
        <v>0</v>
      </c>
      <c r="EO315" s="637">
        <f t="shared" si="745"/>
        <v>0</v>
      </c>
      <c r="EP315" s="637">
        <f t="shared" si="746"/>
        <v>0</v>
      </c>
      <c r="EQ315" s="643">
        <f t="shared" si="747"/>
        <v>0</v>
      </c>
      <c r="ER315" s="637">
        <f t="shared" si="748"/>
        <v>0</v>
      </c>
      <c r="ES315" s="637">
        <f t="shared" si="749"/>
        <v>0</v>
      </c>
      <c r="ET315" s="637">
        <f t="shared" si="750"/>
        <v>0</v>
      </c>
      <c r="EU315" s="643">
        <f t="shared" si="723"/>
        <v>0</v>
      </c>
      <c r="EV315" s="643">
        <f t="shared" si="724"/>
        <v>0</v>
      </c>
      <c r="EX315" s="829">
        <f t="shared" si="725"/>
        <v>0</v>
      </c>
      <c r="EY315" s="638">
        <f t="shared" si="726"/>
        <v>211210.21334893681</v>
      </c>
      <c r="FC315" s="830" t="str">
        <f t="shared" si="751"/>
        <v>Y</v>
      </c>
      <c r="FE315" s="830" t="str">
        <f>IFERROR(VLOOKUP($B315,'Historical Conc Grant Elig'!$B$3:$J$707,'HH &amp; SI'!FE$2,0),"N")</f>
        <v>Y</v>
      </c>
      <c r="FF315" s="830" t="str">
        <f>IFERROR(VLOOKUP($B315,'Historical Conc Grant Elig'!$B$3:$J$707,'HH &amp; SI'!FF$2,0),"N")</f>
        <v>Y</v>
      </c>
      <c r="FG315" s="830" t="str">
        <f>IFERROR(VLOOKUP($B315,'Historical Conc Grant Elig'!$B$3:$J$707,'HH &amp; SI'!FG$2,0),"N")</f>
        <v>Y</v>
      </c>
      <c r="FH315" s="830" t="str">
        <f>IFERROR(VLOOKUP($B315,'Historical Conc Grant Elig'!$B$3:$J$707,'HH &amp; SI'!FH$2,0),"N")</f>
        <v>Y</v>
      </c>
      <c r="FI315" s="830" t="str">
        <f>IFERROR(VLOOKUP($B315,'Historical Conc Grant Elig'!$B$3:$J$707,'HH &amp; SI'!FI$2,0),"N")</f>
        <v>Y</v>
      </c>
      <c r="FJ315" s="830" t="str">
        <f>IFERROR(VLOOKUP($B315,'Historical Conc Grant Elig'!$B$3:$J$707,'HH &amp; SI'!FJ$2,0),"N")</f>
        <v>Y</v>
      </c>
      <c r="FK315" s="830" t="str">
        <f>IFERROR(VLOOKUP($B315,'Historical Conc Grant Elig'!$B$3:$J$707,'HH &amp; SI'!FK$2,0),"N")</f>
        <v>Y</v>
      </c>
      <c r="FL315" s="957" t="str">
        <f>IFERROR(VLOOKUP($B315,'Historical Conc Grant Elig'!$B$3:$J$707,'HH &amp; SI'!FL$2,0),"N")</f>
        <v>Y</v>
      </c>
    </row>
    <row r="316" spans="2:168" x14ac:dyDescent="0.25">
      <c r="B316" s="634">
        <v>80214000</v>
      </c>
      <c r="C316" s="635" t="str">
        <f>VLOOKUP($B316,'Afton Update'!$A$5:$CR$582,'Afton Update'!D$589,0)</f>
        <v>Colorado City Unified District</v>
      </c>
      <c r="D316" s="636">
        <f>IFERROR(VLOOKUP($B316,'Afton FY16 Final'!$A$5:$BV$587,'Afton FY16 Final'!AQ$587,0),0)</f>
        <v>417010.34243908321</v>
      </c>
      <c r="E316" s="637">
        <f>IFERROR(VLOOKUP($B316,'Afton FY16 Final'!$A$5:$BV$587,'Afton FY16 Final'!AR$587,0),0)</f>
        <v>97196.121769023724</v>
      </c>
      <c r="F316" s="637">
        <f>IFERROR(VLOOKUP($B316,'Afton FY16 Final'!$A$5:$BV$587,'Afton FY16 Final'!AS$587,0),0)</f>
        <v>241423.17700928112</v>
      </c>
      <c r="G316" s="637">
        <f>IFERROR(VLOOKUP($B316,'Afton FY16 Final'!$A$5:$BV$587,'Afton FY16 Final'!AT$587,0),0)</f>
        <v>254652.22890205585</v>
      </c>
      <c r="H316" s="638">
        <f>IFERROR(VLOOKUP($B316,'Afton FY16 Final'!$A$5:$BV$587,'Afton FY16 Final'!AU$587,0),0)</f>
        <v>1010281.8701194439</v>
      </c>
      <c r="I316" s="639" t="str">
        <f>VLOOKUP($B316,'Afton Update'!$A$5:$CR$582,'Afton Update'!BT$589,0)</f>
        <v>Y</v>
      </c>
      <c r="J316" s="640" t="str">
        <f>VLOOKUP($B316,'Afton Update'!$A$5:$CR$582,'Afton Update'!BU$589,0)</f>
        <v>Y</v>
      </c>
      <c r="K316" s="640" t="str">
        <f>VLOOKUP($B316,'Afton Update'!$A$5:$CR$582,'Afton Update'!BV$589,0)</f>
        <v>Y</v>
      </c>
      <c r="L316" s="641" t="str">
        <f>VLOOKUP($B316,'Afton Update'!$A$5:$CR$582,'Afton Update'!BW$589,0)</f>
        <v>Y</v>
      </c>
      <c r="N316" s="642">
        <f>VLOOKUP($B316,'Afton Update'!$A$5:$CR$582,'Afton Update'!CB$589,0)</f>
        <v>0.95</v>
      </c>
      <c r="P316" s="636">
        <f>VLOOKUP($B316,'Afton Update'!$A$5:$CR$582,'Afton Update'!AH$589,0)</f>
        <v>456300.10512919462</v>
      </c>
      <c r="Q316" s="637">
        <f>VLOOKUP($B316,'Afton Update'!$A$5:$CR$582,'Afton Update'!AI$589,0)</f>
        <v>108699.59216748897</v>
      </c>
      <c r="R316" s="637">
        <f>VLOOKUP($B316,'Afton Update'!$A$5:$CR$582,'Afton Update'!AJ$589,0)</f>
        <v>305359.42368589173</v>
      </c>
      <c r="S316" s="637">
        <f>VLOOKUP($B316,'Afton Update'!$A$5:$CR$582,'Afton Update'!AK$589,0)</f>
        <v>297484.42128649325</v>
      </c>
      <c r="T316" s="643">
        <f t="shared" si="752"/>
        <v>1167843.5422690685</v>
      </c>
      <c r="V316" s="636">
        <f t="shared" si="778"/>
        <v>450075.87552741449</v>
      </c>
      <c r="W316" s="637">
        <f t="shared" si="779"/>
        <v>105119.42501755561</v>
      </c>
      <c r="X316" s="637">
        <f t="shared" si="780"/>
        <v>302582.29895054764</v>
      </c>
      <c r="Y316" s="637">
        <f t="shared" si="781"/>
        <v>294206.67846322851</v>
      </c>
      <c r="Z316" s="643">
        <f t="shared" si="782"/>
        <v>1151984.2779587463</v>
      </c>
      <c r="AB316" s="644">
        <f t="shared" si="753"/>
        <v>456300.10512919462</v>
      </c>
      <c r="AC316" s="645">
        <f t="shared" si="727"/>
        <v>396159.82531712903</v>
      </c>
      <c r="AD316" s="644">
        <f t="shared" si="783"/>
        <v>0</v>
      </c>
      <c r="AE316" s="645">
        <f t="shared" si="784"/>
        <v>456300.10512919462</v>
      </c>
      <c r="AF316" s="646">
        <f t="shared" si="785"/>
        <v>-5656.1827034775324</v>
      </c>
      <c r="AG316" s="647">
        <f t="shared" si="786"/>
        <v>450643.92242571712</v>
      </c>
      <c r="AH316" s="644">
        <f t="shared" si="754"/>
        <v>0</v>
      </c>
      <c r="AI316" s="645">
        <f t="shared" si="755"/>
        <v>450643.92242571712</v>
      </c>
      <c r="AJ316" s="646">
        <f t="shared" si="787"/>
        <v>-567.68499736842091</v>
      </c>
      <c r="AK316" s="647">
        <f t="shared" si="756"/>
        <v>450076.23742834869</v>
      </c>
      <c r="AL316" s="644">
        <f t="shared" si="788"/>
        <v>0</v>
      </c>
      <c r="AM316" s="645">
        <f t="shared" si="789"/>
        <v>450076.23742834869</v>
      </c>
      <c r="AN316" s="646">
        <f t="shared" si="790"/>
        <v>-0.36190093419395286</v>
      </c>
      <c r="AO316" s="647">
        <f t="shared" si="757"/>
        <v>450075.87552741449</v>
      </c>
      <c r="AP316" s="644">
        <f t="shared" si="791"/>
        <v>0</v>
      </c>
      <c r="AQ316" s="645">
        <f t="shared" si="792"/>
        <v>450075.87552741449</v>
      </c>
      <c r="AR316" s="646">
        <f t="shared" si="793"/>
        <v>0</v>
      </c>
      <c r="AS316" s="647">
        <f t="shared" si="758"/>
        <v>450075.87552741449</v>
      </c>
      <c r="AT316" s="644">
        <f t="shared" si="794"/>
        <v>0</v>
      </c>
      <c r="AU316" s="645">
        <f t="shared" si="795"/>
        <v>450075.87552741449</v>
      </c>
      <c r="AV316" s="646">
        <f t="shared" si="796"/>
        <v>0</v>
      </c>
      <c r="AW316" s="647">
        <f t="shared" si="759"/>
        <v>450075.87552741449</v>
      </c>
      <c r="AY316" s="644">
        <f t="shared" si="797"/>
        <v>108699.59216748897</v>
      </c>
      <c r="AZ316" s="645">
        <f t="shared" si="728"/>
        <v>92336.31568057253</v>
      </c>
      <c r="BA316" s="644">
        <f t="shared" si="798"/>
        <v>0</v>
      </c>
      <c r="BB316" s="645">
        <f t="shared" si="799"/>
        <v>108699.59216748897</v>
      </c>
      <c r="BC316" s="646">
        <f t="shared" si="800"/>
        <v>-781.69044564685009</v>
      </c>
      <c r="BD316" s="647">
        <f t="shared" si="801"/>
        <v>107917.90172184212</v>
      </c>
      <c r="BE316" s="644">
        <f t="shared" si="760"/>
        <v>0</v>
      </c>
      <c r="BF316" s="645">
        <f t="shared" si="761"/>
        <v>107917.90172184212</v>
      </c>
      <c r="BG316" s="646">
        <f t="shared" si="802"/>
        <v>-2570.516472269207</v>
      </c>
      <c r="BH316" s="647">
        <f t="shared" si="762"/>
        <v>105347.38524957291</v>
      </c>
      <c r="BI316" s="644">
        <f t="shared" si="803"/>
        <v>0</v>
      </c>
      <c r="BJ316" s="645">
        <f t="shared" si="804"/>
        <v>105347.38524957291</v>
      </c>
      <c r="BK316" s="646">
        <f t="shared" si="805"/>
        <v>-223.1505051106212</v>
      </c>
      <c r="BL316" s="647">
        <f t="shared" si="763"/>
        <v>105124.23474446229</v>
      </c>
      <c r="BM316" s="644">
        <f t="shared" si="806"/>
        <v>0</v>
      </c>
      <c r="BN316" s="645">
        <f t="shared" si="807"/>
        <v>105124.23474446229</v>
      </c>
      <c r="BO316" s="646">
        <f t="shared" si="808"/>
        <v>-4.8097269066831014</v>
      </c>
      <c r="BP316" s="647">
        <f t="shared" si="764"/>
        <v>105119.42501755561</v>
      </c>
      <c r="BQ316" s="644">
        <f t="shared" si="809"/>
        <v>0</v>
      </c>
      <c r="BR316" s="645">
        <f t="shared" si="810"/>
        <v>105119.42501755561</v>
      </c>
      <c r="BS316" s="646">
        <f t="shared" si="811"/>
        <v>0</v>
      </c>
      <c r="BT316" s="647">
        <f t="shared" si="765"/>
        <v>105119.42501755561</v>
      </c>
      <c r="BU316" s="662">
        <f>VLOOKUP(B316,'Afton Update'!$A$5:$AR$582,'Afton Update'!$AO$589,0)-BT316</f>
        <v>0</v>
      </c>
      <c r="BV316" s="644">
        <f t="shared" si="812"/>
        <v>305359.42368589173</v>
      </c>
      <c r="BW316" s="645">
        <f t="shared" si="729"/>
        <v>229352.01815881705</v>
      </c>
      <c r="BX316" s="644">
        <f t="shared" si="813"/>
        <v>0</v>
      </c>
      <c r="BY316" s="645">
        <f t="shared" si="814"/>
        <v>305359.42368589173</v>
      </c>
      <c r="BZ316" s="646">
        <f t="shared" si="815"/>
        <v>-2680.1721271423085</v>
      </c>
      <c r="CA316" s="647">
        <f t="shared" si="816"/>
        <v>302679.25155874941</v>
      </c>
      <c r="CB316" s="644">
        <f t="shared" si="766"/>
        <v>0</v>
      </c>
      <c r="CC316" s="645">
        <f t="shared" si="767"/>
        <v>302679.25155874941</v>
      </c>
      <c r="CD316" s="646">
        <f t="shared" si="817"/>
        <v>-96.952608201771127</v>
      </c>
      <c r="CE316" s="647">
        <f t="shared" si="768"/>
        <v>302582.29895054764</v>
      </c>
      <c r="CF316" s="644">
        <f t="shared" si="818"/>
        <v>0</v>
      </c>
      <c r="CG316" s="645">
        <f t="shared" si="819"/>
        <v>302582.29895054764</v>
      </c>
      <c r="CH316" s="646">
        <f t="shared" si="820"/>
        <v>0</v>
      </c>
      <c r="CI316" s="647">
        <f t="shared" si="769"/>
        <v>302582.29895054764</v>
      </c>
      <c r="CJ316" s="644">
        <f t="shared" si="821"/>
        <v>0</v>
      </c>
      <c r="CK316" s="645">
        <f t="shared" si="822"/>
        <v>302582.29895054764</v>
      </c>
      <c r="CL316" s="646">
        <f t="shared" si="823"/>
        <v>0</v>
      </c>
      <c r="CM316" s="647">
        <f t="shared" si="770"/>
        <v>302582.29895054764</v>
      </c>
      <c r="CN316" s="644">
        <f t="shared" si="824"/>
        <v>0</v>
      </c>
      <c r="CO316" s="645">
        <f t="shared" si="825"/>
        <v>302582.29895054764</v>
      </c>
      <c r="CP316" s="646">
        <f t="shared" si="826"/>
        <v>0</v>
      </c>
      <c r="CQ316" s="647">
        <f t="shared" si="771"/>
        <v>302582.29895054764</v>
      </c>
      <c r="CS316" s="644">
        <f t="shared" si="827"/>
        <v>297484.42128649325</v>
      </c>
      <c r="CT316" s="645">
        <f t="shared" si="730"/>
        <v>241919.61745695304</v>
      </c>
      <c r="CU316" s="644">
        <f t="shared" si="828"/>
        <v>0</v>
      </c>
      <c r="CV316" s="645">
        <f t="shared" si="829"/>
        <v>297484.42128649325</v>
      </c>
      <c r="CW316" s="646">
        <f t="shared" si="830"/>
        <v>-3046.4085889575881</v>
      </c>
      <c r="CX316" s="647">
        <f t="shared" si="831"/>
        <v>294438.01269753568</v>
      </c>
      <c r="CY316" s="644">
        <f t="shared" si="772"/>
        <v>0</v>
      </c>
      <c r="CZ316" s="645">
        <f t="shared" si="773"/>
        <v>294438.01269753568</v>
      </c>
      <c r="DA316" s="646">
        <f t="shared" si="832"/>
        <v>-231.13490923636212</v>
      </c>
      <c r="DB316" s="647">
        <f t="shared" si="774"/>
        <v>294206.87778829935</v>
      </c>
      <c r="DC316" s="644">
        <f t="shared" si="833"/>
        <v>0</v>
      </c>
      <c r="DD316" s="645">
        <f t="shared" si="834"/>
        <v>294206.87778829935</v>
      </c>
      <c r="DE316" s="646">
        <f t="shared" si="835"/>
        <v>-0.19932507081548273</v>
      </c>
      <c r="DF316" s="647">
        <f t="shared" si="775"/>
        <v>294206.67846322851</v>
      </c>
      <c r="DG316" s="644">
        <f t="shared" si="836"/>
        <v>0</v>
      </c>
      <c r="DH316" s="645">
        <f t="shared" si="837"/>
        <v>294206.67846322851</v>
      </c>
      <c r="DI316" s="646">
        <f t="shared" si="838"/>
        <v>0</v>
      </c>
      <c r="DJ316" s="647">
        <f t="shared" si="776"/>
        <v>294206.67846322851</v>
      </c>
      <c r="DK316" s="644">
        <f t="shared" si="839"/>
        <v>0</v>
      </c>
      <c r="DL316" s="645">
        <f t="shared" si="840"/>
        <v>294206.67846322851</v>
      </c>
      <c r="DM316" s="646">
        <f t="shared" si="841"/>
        <v>0</v>
      </c>
      <c r="DN316" s="647">
        <f t="shared" si="777"/>
        <v>294206.67846322851</v>
      </c>
      <c r="DR316" s="827">
        <f t="shared" si="731"/>
        <v>1151984.2779587463</v>
      </c>
      <c r="DV316" s="828">
        <f>IFERROR(VLOOKUP($B316,'Afton FY16 Final'!$A$5:$BV$587,'Afton FY16 Final'!$BV$587,0),0)</f>
        <v>984204.39222971292</v>
      </c>
      <c r="DX316" s="636">
        <f t="shared" si="719"/>
        <v>1151984.2779587463</v>
      </c>
      <c r="DY316" s="637">
        <f t="shared" si="720"/>
        <v>167779.88572903338</v>
      </c>
      <c r="DZ316" s="637">
        <f t="shared" si="721"/>
        <v>984204.39222971292</v>
      </c>
      <c r="EA316" s="643">
        <f t="shared" si="722"/>
        <v>1090711.6251210361</v>
      </c>
      <c r="EB316" s="637">
        <f t="shared" si="732"/>
        <v>0</v>
      </c>
      <c r="EC316" s="637">
        <f t="shared" si="733"/>
        <v>1090711.6251210361</v>
      </c>
      <c r="ED316" s="637">
        <f t="shared" si="734"/>
        <v>1087459.1881788361</v>
      </c>
      <c r="EE316" s="643">
        <f t="shared" si="735"/>
        <v>1087459.1881788361</v>
      </c>
      <c r="EF316" s="637">
        <f t="shared" si="736"/>
        <v>0</v>
      </c>
      <c r="EG316" s="637">
        <f t="shared" si="737"/>
        <v>1087459.1881788361</v>
      </c>
      <c r="EH316" s="637">
        <f t="shared" si="738"/>
        <v>1087458.0662896384</v>
      </c>
      <c r="EI316" s="643">
        <f t="shared" si="739"/>
        <v>1087458.0662896384</v>
      </c>
      <c r="EJ316" s="637">
        <f t="shared" si="740"/>
        <v>0</v>
      </c>
      <c r="EK316" s="637">
        <f t="shared" si="741"/>
        <v>1087458.0662896384</v>
      </c>
      <c r="EL316" s="637">
        <f t="shared" si="742"/>
        <v>1087458.0662896368</v>
      </c>
      <c r="EM316" s="643">
        <f t="shared" si="743"/>
        <v>1087458.0662896368</v>
      </c>
      <c r="EN316" s="637">
        <f t="shared" si="744"/>
        <v>0</v>
      </c>
      <c r="EO316" s="637">
        <f t="shared" si="745"/>
        <v>1087458.0662896368</v>
      </c>
      <c r="EP316" s="637">
        <f t="shared" si="746"/>
        <v>1087458.0662896384</v>
      </c>
      <c r="EQ316" s="643">
        <f t="shared" si="747"/>
        <v>1087458.0662896384</v>
      </c>
      <c r="ER316" s="637">
        <f t="shared" si="748"/>
        <v>0</v>
      </c>
      <c r="ES316" s="637">
        <f t="shared" si="749"/>
        <v>1087458.0662896384</v>
      </c>
      <c r="ET316" s="637">
        <f t="shared" si="750"/>
        <v>1087458.0662896368</v>
      </c>
      <c r="EU316" s="643">
        <f t="shared" si="723"/>
        <v>1087458.0662896368</v>
      </c>
      <c r="EV316" s="643">
        <f t="shared" si="724"/>
        <v>0</v>
      </c>
      <c r="EX316" s="829">
        <f t="shared" si="725"/>
        <v>64526.211669109529</v>
      </c>
      <c r="EY316" s="638">
        <f t="shared" si="726"/>
        <v>1087458.0662896368</v>
      </c>
      <c r="FC316" s="830" t="str">
        <f t="shared" si="751"/>
        <v>Y</v>
      </c>
      <c r="FE316" s="830" t="str">
        <f>IFERROR(VLOOKUP($B316,'Historical Conc Grant Elig'!$B$3:$J$707,'HH &amp; SI'!FE$2,0),"N")</f>
        <v>Y</v>
      </c>
      <c r="FF316" s="830" t="str">
        <f>IFERROR(VLOOKUP($B316,'Historical Conc Grant Elig'!$B$3:$J$707,'HH &amp; SI'!FF$2,0),"N")</f>
        <v>Y</v>
      </c>
      <c r="FG316" s="830" t="str">
        <f>IFERROR(VLOOKUP($B316,'Historical Conc Grant Elig'!$B$3:$J$707,'HH &amp; SI'!FG$2,0),"N")</f>
        <v>Y</v>
      </c>
      <c r="FH316" s="830" t="str">
        <f>IFERROR(VLOOKUP($B316,'Historical Conc Grant Elig'!$B$3:$J$707,'HH &amp; SI'!FH$2,0),"N")</f>
        <v>Y</v>
      </c>
      <c r="FI316" s="830" t="str">
        <f>IFERROR(VLOOKUP($B316,'Historical Conc Grant Elig'!$B$3:$J$707,'HH &amp; SI'!FI$2,0),"N")</f>
        <v>Y</v>
      </c>
      <c r="FJ316" s="830" t="str">
        <f>IFERROR(VLOOKUP($B316,'Historical Conc Grant Elig'!$B$3:$J$707,'HH &amp; SI'!FJ$2,0),"N")</f>
        <v>Y</v>
      </c>
      <c r="FK316" s="830" t="str">
        <f>IFERROR(VLOOKUP($B316,'Historical Conc Grant Elig'!$B$3:$J$707,'HH &amp; SI'!FK$2,0),"N")</f>
        <v>Y</v>
      </c>
      <c r="FL316" s="957" t="str">
        <f>IFERROR(VLOOKUP($B316,'Historical Conc Grant Elig'!$B$3:$J$707,'HH &amp; SI'!FL$2,0),"N")</f>
        <v>Y</v>
      </c>
    </row>
    <row r="317" spans="2:168" x14ac:dyDescent="0.25">
      <c r="B317" s="634">
        <v>80220000</v>
      </c>
      <c r="C317" s="635" t="str">
        <f>VLOOKUP($B317,'Afton Update'!$A$5:$CR$582,'Afton Update'!D$589,0)</f>
        <v>Kingman Unified School District</v>
      </c>
      <c r="D317" s="636">
        <f>IFERROR(VLOOKUP($B317,'Afton FY16 Final'!$A$5:$BV$587,'Afton FY16 Final'!AQ$587,0),0)</f>
        <v>954692.9519640099</v>
      </c>
      <c r="E317" s="637">
        <f>IFERROR(VLOOKUP($B317,'Afton FY16 Final'!$A$5:$BV$587,'Afton FY16 Final'!AR$587,0),0)</f>
        <v>222462.09989792324</v>
      </c>
      <c r="F317" s="637">
        <f>IFERROR(VLOOKUP($B317,'Afton FY16 Final'!$A$5:$BV$587,'Afton FY16 Final'!AS$587,0),0)</f>
        <v>380705.51422958117</v>
      </c>
      <c r="G317" s="637">
        <f>IFERROR(VLOOKUP($B317,'Afton FY16 Final'!$A$5:$BV$587,'Afton FY16 Final'!AT$587,0),0)</f>
        <v>339457.0626119622</v>
      </c>
      <c r="H317" s="638">
        <f>IFERROR(VLOOKUP($B317,'Afton FY16 Final'!$A$5:$BV$587,'Afton FY16 Final'!AU$587,0),0)</f>
        <v>1897317.6287034766</v>
      </c>
      <c r="I317" s="639" t="str">
        <f>VLOOKUP($B317,'Afton Update'!$A$5:$CR$582,'Afton Update'!BT$589,0)</f>
        <v>Y</v>
      </c>
      <c r="J317" s="640" t="str">
        <f>VLOOKUP($B317,'Afton Update'!$A$5:$CR$582,'Afton Update'!BU$589,0)</f>
        <v>Y</v>
      </c>
      <c r="K317" s="640" t="str">
        <f>VLOOKUP($B317,'Afton Update'!$A$5:$CR$582,'Afton Update'!BV$589,0)</f>
        <v>Y</v>
      </c>
      <c r="L317" s="641" t="str">
        <f>VLOOKUP($B317,'Afton Update'!$A$5:$CR$582,'Afton Update'!BW$589,0)</f>
        <v>Y</v>
      </c>
      <c r="N317" s="642">
        <f>VLOOKUP($B317,'Afton Update'!$A$5:$CR$582,'Afton Update'!CB$589,0)</f>
        <v>0.95</v>
      </c>
      <c r="P317" s="636">
        <f>VLOOKUP($B317,'Afton Update'!$A$5:$CR$582,'Afton Update'!AH$589,0)</f>
        <v>1126616.2015860453</v>
      </c>
      <c r="Q317" s="637">
        <f>VLOOKUP($B317,'Afton Update'!$A$5:$CR$582,'Afton Update'!AI$589,0)</f>
        <v>268375.01722112589</v>
      </c>
      <c r="R317" s="637">
        <f>VLOOKUP($B317,'Afton Update'!$A$5:$CR$582,'Afton Update'!AJ$589,0)</f>
        <v>531791.90648270235</v>
      </c>
      <c r="S317" s="637">
        <f>VLOOKUP($B317,'Afton Update'!$A$5:$CR$582,'Afton Update'!AK$589,0)</f>
        <v>433783.54487414483</v>
      </c>
      <c r="T317" s="643">
        <f t="shared" si="752"/>
        <v>2360566.6701640184</v>
      </c>
      <c r="V317" s="636">
        <f t="shared" si="778"/>
        <v>1111248.4253507724</v>
      </c>
      <c r="W317" s="637">
        <f t="shared" si="779"/>
        <v>259535.72535849048</v>
      </c>
      <c r="X317" s="637">
        <f t="shared" si="780"/>
        <v>526955.4667235415</v>
      </c>
      <c r="Y317" s="637">
        <f t="shared" si="781"/>
        <v>429004.03105989948</v>
      </c>
      <c r="Z317" s="643">
        <f t="shared" si="782"/>
        <v>2326743.6484927041</v>
      </c>
      <c r="AB317" s="644">
        <f t="shared" si="753"/>
        <v>1126616.2015860453</v>
      </c>
      <c r="AC317" s="645">
        <f t="shared" si="727"/>
        <v>906958.30436580931</v>
      </c>
      <c r="AD317" s="644">
        <f t="shared" si="783"/>
        <v>0</v>
      </c>
      <c r="AE317" s="645">
        <f t="shared" si="784"/>
        <v>1126616.2015860453</v>
      </c>
      <c r="AF317" s="646">
        <f t="shared" si="785"/>
        <v>-13965.254448197662</v>
      </c>
      <c r="AG317" s="647">
        <f t="shared" si="786"/>
        <v>1112650.9471378478</v>
      </c>
      <c r="AH317" s="644">
        <f t="shared" si="754"/>
        <v>0</v>
      </c>
      <c r="AI317" s="645">
        <f t="shared" si="755"/>
        <v>1112650.9471378478</v>
      </c>
      <c r="AJ317" s="646">
        <f t="shared" si="787"/>
        <v>-1401.6282447524566</v>
      </c>
      <c r="AK317" s="647">
        <f t="shared" si="756"/>
        <v>1111249.3188930952</v>
      </c>
      <c r="AL317" s="644">
        <f t="shared" si="788"/>
        <v>0</v>
      </c>
      <c r="AM317" s="645">
        <f t="shared" si="789"/>
        <v>1111249.3188930952</v>
      </c>
      <c r="AN317" s="646">
        <f t="shared" si="790"/>
        <v>-0.89354232280220847</v>
      </c>
      <c r="AO317" s="647">
        <f t="shared" si="757"/>
        <v>1111248.4253507724</v>
      </c>
      <c r="AP317" s="644">
        <f t="shared" si="791"/>
        <v>0</v>
      </c>
      <c r="AQ317" s="645">
        <f t="shared" si="792"/>
        <v>1111248.4253507724</v>
      </c>
      <c r="AR317" s="646">
        <f t="shared" si="793"/>
        <v>0</v>
      </c>
      <c r="AS317" s="647">
        <f t="shared" si="758"/>
        <v>1111248.4253507724</v>
      </c>
      <c r="AT317" s="644">
        <f t="shared" si="794"/>
        <v>0</v>
      </c>
      <c r="AU317" s="645">
        <f t="shared" si="795"/>
        <v>1111248.4253507724</v>
      </c>
      <c r="AV317" s="646">
        <f t="shared" si="796"/>
        <v>0</v>
      </c>
      <c r="AW317" s="647">
        <f t="shared" si="759"/>
        <v>1111248.4253507724</v>
      </c>
      <c r="AY317" s="644">
        <f t="shared" si="797"/>
        <v>268375.01722112589</v>
      </c>
      <c r="AZ317" s="645">
        <f t="shared" si="728"/>
        <v>211338.99490302708</v>
      </c>
      <c r="BA317" s="644">
        <f t="shared" si="798"/>
        <v>0</v>
      </c>
      <c r="BB317" s="645">
        <f t="shared" si="799"/>
        <v>268375.01722112589</v>
      </c>
      <c r="BC317" s="646">
        <f t="shared" si="800"/>
        <v>-1929.9629614876151</v>
      </c>
      <c r="BD317" s="647">
        <f t="shared" si="801"/>
        <v>266445.0542596383</v>
      </c>
      <c r="BE317" s="644">
        <f t="shared" si="760"/>
        <v>0</v>
      </c>
      <c r="BF317" s="645">
        <f t="shared" si="761"/>
        <v>266445.0542596383</v>
      </c>
      <c r="BG317" s="646">
        <f t="shared" si="802"/>
        <v>-6346.5040554105008</v>
      </c>
      <c r="BH317" s="647">
        <f t="shared" si="762"/>
        <v>260098.55020422779</v>
      </c>
      <c r="BI317" s="644">
        <f t="shared" si="803"/>
        <v>0</v>
      </c>
      <c r="BJ317" s="645">
        <f t="shared" si="804"/>
        <v>260098.55020422779</v>
      </c>
      <c r="BK317" s="646">
        <f t="shared" si="805"/>
        <v>-550.94981920160194</v>
      </c>
      <c r="BL317" s="647">
        <f t="shared" si="763"/>
        <v>259547.60038502619</v>
      </c>
      <c r="BM317" s="644">
        <f t="shared" si="806"/>
        <v>0</v>
      </c>
      <c r="BN317" s="645">
        <f t="shared" si="807"/>
        <v>259547.60038502619</v>
      </c>
      <c r="BO317" s="646">
        <f t="shared" si="808"/>
        <v>-11.875026535711873</v>
      </c>
      <c r="BP317" s="647">
        <f t="shared" si="764"/>
        <v>259535.72535849048</v>
      </c>
      <c r="BQ317" s="644">
        <f t="shared" si="809"/>
        <v>0</v>
      </c>
      <c r="BR317" s="645">
        <f t="shared" si="810"/>
        <v>259535.72535849048</v>
      </c>
      <c r="BS317" s="646">
        <f t="shared" si="811"/>
        <v>0</v>
      </c>
      <c r="BT317" s="647">
        <f t="shared" si="765"/>
        <v>259535.72535849048</v>
      </c>
      <c r="BU317" s="662">
        <f>VLOOKUP(B317,'Afton Update'!$A$5:$AR$582,'Afton Update'!$AO$589,0)-BT317</f>
        <v>0</v>
      </c>
      <c r="BV317" s="644">
        <f t="shared" si="812"/>
        <v>531791.90648270235</v>
      </c>
      <c r="BW317" s="645">
        <f t="shared" si="729"/>
        <v>361670.23851810209</v>
      </c>
      <c r="BX317" s="644">
        <f t="shared" si="813"/>
        <v>0</v>
      </c>
      <c r="BY317" s="645">
        <f t="shared" si="814"/>
        <v>531791.90648270235</v>
      </c>
      <c r="BZ317" s="646">
        <f t="shared" si="815"/>
        <v>-4667.5941026825421</v>
      </c>
      <c r="CA317" s="647">
        <f t="shared" si="816"/>
        <v>527124.31238001981</v>
      </c>
      <c r="CB317" s="644">
        <f t="shared" si="766"/>
        <v>0</v>
      </c>
      <c r="CC317" s="645">
        <f t="shared" si="767"/>
        <v>527124.31238001981</v>
      </c>
      <c r="CD317" s="646">
        <f t="shared" si="817"/>
        <v>-168.84565647833477</v>
      </c>
      <c r="CE317" s="647">
        <f t="shared" si="768"/>
        <v>526955.4667235415</v>
      </c>
      <c r="CF317" s="644">
        <f t="shared" si="818"/>
        <v>0</v>
      </c>
      <c r="CG317" s="645">
        <f t="shared" si="819"/>
        <v>526955.4667235415</v>
      </c>
      <c r="CH317" s="646">
        <f t="shared" si="820"/>
        <v>0</v>
      </c>
      <c r="CI317" s="647">
        <f t="shared" si="769"/>
        <v>526955.4667235415</v>
      </c>
      <c r="CJ317" s="644">
        <f t="shared" si="821"/>
        <v>0</v>
      </c>
      <c r="CK317" s="645">
        <f t="shared" si="822"/>
        <v>526955.4667235415</v>
      </c>
      <c r="CL317" s="646">
        <f t="shared" si="823"/>
        <v>0</v>
      </c>
      <c r="CM317" s="647">
        <f t="shared" si="770"/>
        <v>526955.4667235415</v>
      </c>
      <c r="CN317" s="644">
        <f t="shared" si="824"/>
        <v>0</v>
      </c>
      <c r="CO317" s="645">
        <f t="shared" si="825"/>
        <v>526955.4667235415</v>
      </c>
      <c r="CP317" s="646">
        <f t="shared" si="826"/>
        <v>0</v>
      </c>
      <c r="CQ317" s="647">
        <f t="shared" si="771"/>
        <v>526955.4667235415</v>
      </c>
      <c r="CS317" s="644">
        <f t="shared" si="827"/>
        <v>433783.54487414483</v>
      </c>
      <c r="CT317" s="645">
        <f t="shared" si="730"/>
        <v>322484.20948136406</v>
      </c>
      <c r="CU317" s="644">
        <f t="shared" si="828"/>
        <v>0</v>
      </c>
      <c r="CV317" s="645">
        <f t="shared" si="829"/>
        <v>433783.54487414483</v>
      </c>
      <c r="CW317" s="646">
        <f t="shared" si="830"/>
        <v>-4442.1886401251477</v>
      </c>
      <c r="CX317" s="647">
        <f t="shared" si="831"/>
        <v>429341.35623401968</v>
      </c>
      <c r="CY317" s="644">
        <f t="shared" si="772"/>
        <v>0</v>
      </c>
      <c r="CZ317" s="645">
        <f t="shared" si="773"/>
        <v>429341.35623401968</v>
      </c>
      <c r="DA317" s="646">
        <f t="shared" si="832"/>
        <v>-337.03452382185333</v>
      </c>
      <c r="DB317" s="647">
        <f t="shared" si="774"/>
        <v>429004.32171019784</v>
      </c>
      <c r="DC317" s="644">
        <f t="shared" si="833"/>
        <v>0</v>
      </c>
      <c r="DD317" s="645">
        <f t="shared" si="834"/>
        <v>429004.32171019784</v>
      </c>
      <c r="DE317" s="646">
        <f t="shared" si="835"/>
        <v>-0.29065029834742401</v>
      </c>
      <c r="DF317" s="647">
        <f t="shared" si="775"/>
        <v>429004.03105989948</v>
      </c>
      <c r="DG317" s="644">
        <f t="shared" si="836"/>
        <v>0</v>
      </c>
      <c r="DH317" s="645">
        <f t="shared" si="837"/>
        <v>429004.03105989948</v>
      </c>
      <c r="DI317" s="646">
        <f t="shared" si="838"/>
        <v>0</v>
      </c>
      <c r="DJ317" s="647">
        <f t="shared" si="776"/>
        <v>429004.03105989948</v>
      </c>
      <c r="DK317" s="644">
        <f t="shared" si="839"/>
        <v>0</v>
      </c>
      <c r="DL317" s="645">
        <f t="shared" si="840"/>
        <v>429004.03105989948</v>
      </c>
      <c r="DM317" s="646">
        <f t="shared" si="841"/>
        <v>0</v>
      </c>
      <c r="DN317" s="647">
        <f t="shared" si="777"/>
        <v>429004.03105989948</v>
      </c>
      <c r="DR317" s="827">
        <f t="shared" si="731"/>
        <v>2326743.6484927041</v>
      </c>
      <c r="DV317" s="828">
        <f>IFERROR(VLOOKUP($B317,'Afton FY16 Final'!$A$5:$BV$587,'Afton FY16 Final'!$BV$587,0),0)</f>
        <v>1859959.4449085176</v>
      </c>
      <c r="DX317" s="636">
        <f t="shared" si="719"/>
        <v>2326743.6484927041</v>
      </c>
      <c r="DY317" s="637">
        <f t="shared" si="720"/>
        <v>466784.2035841865</v>
      </c>
      <c r="DZ317" s="637">
        <f t="shared" si="721"/>
        <v>1859959.4449085176</v>
      </c>
      <c r="EA317" s="643">
        <f t="shared" si="722"/>
        <v>2202986.9631418767</v>
      </c>
      <c r="EB317" s="637">
        <f t="shared" si="732"/>
        <v>0</v>
      </c>
      <c r="EC317" s="637">
        <f t="shared" si="733"/>
        <v>2202986.9631418767</v>
      </c>
      <c r="ED317" s="637">
        <f t="shared" si="734"/>
        <v>2196417.7875531297</v>
      </c>
      <c r="EE317" s="643">
        <f t="shared" si="735"/>
        <v>2196417.7875531297</v>
      </c>
      <c r="EF317" s="637">
        <f t="shared" si="736"/>
        <v>0</v>
      </c>
      <c r="EG317" s="637">
        <f t="shared" si="737"/>
        <v>2196417.7875531297</v>
      </c>
      <c r="EH317" s="637">
        <f t="shared" si="738"/>
        <v>2196415.5215946306</v>
      </c>
      <c r="EI317" s="643">
        <f t="shared" si="739"/>
        <v>2196415.5215946306</v>
      </c>
      <c r="EJ317" s="637">
        <f t="shared" si="740"/>
        <v>0</v>
      </c>
      <c r="EK317" s="637">
        <f t="shared" si="741"/>
        <v>2196415.5215946306</v>
      </c>
      <c r="EL317" s="637">
        <f t="shared" si="742"/>
        <v>2196415.5215946273</v>
      </c>
      <c r="EM317" s="643">
        <f t="shared" si="743"/>
        <v>2196415.5215946273</v>
      </c>
      <c r="EN317" s="637">
        <f t="shared" si="744"/>
        <v>0</v>
      </c>
      <c r="EO317" s="637">
        <f t="shared" si="745"/>
        <v>2196415.5215946273</v>
      </c>
      <c r="EP317" s="637">
        <f t="shared" si="746"/>
        <v>2196415.5215946306</v>
      </c>
      <c r="EQ317" s="643">
        <f t="shared" si="747"/>
        <v>2196415.5215946306</v>
      </c>
      <c r="ER317" s="637">
        <f t="shared" si="748"/>
        <v>0</v>
      </c>
      <c r="ES317" s="637">
        <f t="shared" si="749"/>
        <v>2196415.5215946306</v>
      </c>
      <c r="ET317" s="637">
        <f t="shared" si="750"/>
        <v>2196415.5215946268</v>
      </c>
      <c r="EU317" s="643">
        <f t="shared" si="723"/>
        <v>2196415.5215946268</v>
      </c>
      <c r="EV317" s="643">
        <f t="shared" si="724"/>
        <v>0</v>
      </c>
      <c r="EX317" s="829">
        <f t="shared" si="725"/>
        <v>130328.12689807732</v>
      </c>
      <c r="EY317" s="638">
        <f t="shared" si="726"/>
        <v>2196415.5215946268</v>
      </c>
      <c r="FC317" s="830" t="str">
        <f t="shared" si="751"/>
        <v>Y</v>
      </c>
      <c r="FE317" s="830" t="str">
        <f>IFERROR(VLOOKUP($B317,'Historical Conc Grant Elig'!$B$3:$J$707,'HH &amp; SI'!FE$2,0),"N")</f>
        <v>Y</v>
      </c>
      <c r="FF317" s="830" t="str">
        <f>IFERROR(VLOOKUP($B317,'Historical Conc Grant Elig'!$B$3:$J$707,'HH &amp; SI'!FF$2,0),"N")</f>
        <v>Y</v>
      </c>
      <c r="FG317" s="830" t="str">
        <f>IFERROR(VLOOKUP($B317,'Historical Conc Grant Elig'!$B$3:$J$707,'HH &amp; SI'!FG$2,0),"N")</f>
        <v>Y</v>
      </c>
      <c r="FH317" s="830" t="str">
        <f>IFERROR(VLOOKUP($B317,'Historical Conc Grant Elig'!$B$3:$J$707,'HH &amp; SI'!FH$2,0),"N")</f>
        <v>Y</v>
      </c>
      <c r="FI317" s="830" t="str">
        <f>IFERROR(VLOOKUP($B317,'Historical Conc Grant Elig'!$B$3:$J$707,'HH &amp; SI'!FI$2,0),"N")</f>
        <v>Y</v>
      </c>
      <c r="FJ317" s="830" t="str">
        <f>IFERROR(VLOOKUP($B317,'Historical Conc Grant Elig'!$B$3:$J$707,'HH &amp; SI'!FJ$2,0),"N")</f>
        <v>Y</v>
      </c>
      <c r="FK317" s="830" t="str">
        <f>IFERROR(VLOOKUP($B317,'Historical Conc Grant Elig'!$B$3:$J$707,'HH &amp; SI'!FK$2,0),"N")</f>
        <v>Y</v>
      </c>
      <c r="FL317" s="957" t="str">
        <f>IFERROR(VLOOKUP($B317,'Historical Conc Grant Elig'!$B$3:$J$707,'HH &amp; SI'!FL$2,0),"N")</f>
        <v>Y</v>
      </c>
    </row>
    <row r="318" spans="2:168" x14ac:dyDescent="0.25">
      <c r="B318" s="634">
        <v>80303000</v>
      </c>
      <c r="C318" s="635" t="str">
        <f>VLOOKUP($B318,'Afton Update'!$A$5:$CR$582,'Afton Update'!D$589,0)</f>
        <v>Hackberry School District</v>
      </c>
      <c r="D318" s="636">
        <f>IFERROR(VLOOKUP($B318,'Afton FY16 Final'!$A$5:$BV$587,'Afton FY16 Final'!AQ$587,0),0)</f>
        <v>21044.89065281225</v>
      </c>
      <c r="E318" s="637">
        <f>IFERROR(VLOOKUP($B318,'Afton FY16 Final'!$A$5:$BV$587,'Afton FY16 Final'!AR$587,0),0)</f>
        <v>5083.8873383184437</v>
      </c>
      <c r="F318" s="637">
        <f>IFERROR(VLOOKUP($B318,'Afton FY16 Final'!$A$5:$BV$587,'Afton FY16 Final'!AS$587,0),0)</f>
        <v>7935.5834744776057</v>
      </c>
      <c r="G318" s="637">
        <f>IFERROR(VLOOKUP($B318,'Afton FY16 Final'!$A$5:$BV$587,'Afton FY16 Final'!AT$587,0),0)</f>
        <v>7129.776046142124</v>
      </c>
      <c r="H318" s="638">
        <f>IFERROR(VLOOKUP($B318,'Afton FY16 Final'!$A$5:$BV$587,'Afton FY16 Final'!AU$587,0),0)</f>
        <v>41194.137511750421</v>
      </c>
      <c r="I318" s="639" t="str">
        <f>VLOOKUP($B318,'Afton Update'!$A$5:$CR$582,'Afton Update'!BT$589,0)</f>
        <v>Y</v>
      </c>
      <c r="J318" s="640" t="str">
        <f>VLOOKUP($B318,'Afton Update'!$A$5:$CR$582,'Afton Update'!BU$589,0)</f>
        <v>Y</v>
      </c>
      <c r="K318" s="640" t="str">
        <f>VLOOKUP($B318,'Afton Update'!$A$5:$CR$582,'Afton Update'!BV$589,0)</f>
        <v>Y</v>
      </c>
      <c r="L318" s="641" t="str">
        <f>VLOOKUP($B318,'Afton Update'!$A$5:$CR$582,'Afton Update'!BW$589,0)</f>
        <v>Y</v>
      </c>
      <c r="N318" s="642">
        <f>VLOOKUP($B318,'Afton Update'!$A$5:$CR$582,'Afton Update'!CB$589,0)</f>
        <v>0.9</v>
      </c>
      <c r="P318" s="636">
        <f>VLOOKUP($B318,'Afton Update'!$A$5:$CR$582,'Afton Update'!AH$589,0)</f>
        <v>19598.590821413673</v>
      </c>
      <c r="Q318" s="637">
        <f>VLOOKUP($B318,'Afton Update'!$A$5:$CR$582,'Afton Update'!AI$589,0)</f>
        <v>4778.7141304760025</v>
      </c>
      <c r="R318" s="637">
        <f>VLOOKUP($B318,'Afton Update'!$A$5:$CR$582,'Afton Update'!AJ$589,0)</f>
        <v>7390.512938422331</v>
      </c>
      <c r="S318" s="637">
        <f>VLOOKUP($B318,'Afton Update'!$A$5:$CR$582,'Afton Update'!AK$589,0)</f>
        <v>6808.2261478139562</v>
      </c>
      <c r="T318" s="643">
        <f t="shared" si="752"/>
        <v>38576.044038125961</v>
      </c>
      <c r="V318" s="636">
        <f t="shared" si="778"/>
        <v>19331.253321876429</v>
      </c>
      <c r="W318" s="637">
        <f t="shared" si="779"/>
        <v>4621.3207584522061</v>
      </c>
      <c r="X318" s="637">
        <f t="shared" si="780"/>
        <v>7323.2991087640539</v>
      </c>
      <c r="Y318" s="637">
        <f t="shared" si="781"/>
        <v>6733.211751098137</v>
      </c>
      <c r="Z318" s="643">
        <f t="shared" si="782"/>
        <v>38009.084940190827</v>
      </c>
      <c r="AB318" s="644">
        <f t="shared" si="753"/>
        <v>19598.590821413673</v>
      </c>
      <c r="AC318" s="645">
        <f t="shared" si="727"/>
        <v>18940.401587531025</v>
      </c>
      <c r="AD318" s="644">
        <f t="shared" si="783"/>
        <v>0</v>
      </c>
      <c r="AE318" s="645">
        <f t="shared" si="784"/>
        <v>19598.590821413673</v>
      </c>
      <c r="AF318" s="646">
        <f t="shared" si="785"/>
        <v>-242.93926118037399</v>
      </c>
      <c r="AG318" s="647">
        <f t="shared" si="786"/>
        <v>19355.651560233298</v>
      </c>
      <c r="AH318" s="644">
        <f t="shared" si="754"/>
        <v>0</v>
      </c>
      <c r="AI318" s="645">
        <f t="shared" si="755"/>
        <v>19355.651560233298</v>
      </c>
      <c r="AJ318" s="646">
        <f t="shared" si="787"/>
        <v>-24.382694314148502</v>
      </c>
      <c r="AK318" s="647">
        <f t="shared" si="756"/>
        <v>19331.268865919148</v>
      </c>
      <c r="AL318" s="644">
        <f t="shared" si="788"/>
        <v>0</v>
      </c>
      <c r="AM318" s="645">
        <f t="shared" si="789"/>
        <v>19331.268865919148</v>
      </c>
      <c r="AN318" s="646">
        <f t="shared" si="790"/>
        <v>-1.5544042719750042E-2</v>
      </c>
      <c r="AO318" s="647">
        <f t="shared" si="757"/>
        <v>19331.253321876429</v>
      </c>
      <c r="AP318" s="644">
        <f t="shared" si="791"/>
        <v>0</v>
      </c>
      <c r="AQ318" s="645">
        <f t="shared" si="792"/>
        <v>19331.253321876429</v>
      </c>
      <c r="AR318" s="646">
        <f t="shared" si="793"/>
        <v>0</v>
      </c>
      <c r="AS318" s="647">
        <f t="shared" si="758"/>
        <v>19331.253321876429</v>
      </c>
      <c r="AT318" s="644">
        <f t="shared" si="794"/>
        <v>0</v>
      </c>
      <c r="AU318" s="645">
        <f t="shared" si="795"/>
        <v>19331.253321876429</v>
      </c>
      <c r="AV318" s="646">
        <f t="shared" si="796"/>
        <v>0</v>
      </c>
      <c r="AW318" s="647">
        <f t="shared" si="759"/>
        <v>19331.253321876429</v>
      </c>
      <c r="AY318" s="644">
        <f t="shared" si="797"/>
        <v>4778.7141304760025</v>
      </c>
      <c r="AZ318" s="645">
        <f t="shared" si="728"/>
        <v>4575.4986044865991</v>
      </c>
      <c r="BA318" s="644">
        <f t="shared" si="798"/>
        <v>0</v>
      </c>
      <c r="BB318" s="645">
        <f t="shared" si="799"/>
        <v>4778.7141304760025</v>
      </c>
      <c r="BC318" s="646">
        <f t="shared" si="800"/>
        <v>-34.365125975034992</v>
      </c>
      <c r="BD318" s="647">
        <f t="shared" si="801"/>
        <v>4744.3490045009676</v>
      </c>
      <c r="BE318" s="644">
        <f t="shared" si="760"/>
        <v>0</v>
      </c>
      <c r="BF318" s="645">
        <f t="shared" si="761"/>
        <v>4744.3490045009676</v>
      </c>
      <c r="BG318" s="646">
        <f t="shared" si="802"/>
        <v>-113.00652692170949</v>
      </c>
      <c r="BH318" s="647">
        <f t="shared" si="762"/>
        <v>4631.3424775792582</v>
      </c>
      <c r="BI318" s="644">
        <f t="shared" si="803"/>
        <v>0</v>
      </c>
      <c r="BJ318" s="645">
        <f t="shared" si="804"/>
        <v>4631.3424775792582</v>
      </c>
      <c r="BK318" s="646">
        <f t="shared" si="805"/>
        <v>-9.8102711402253551</v>
      </c>
      <c r="BL318" s="647">
        <f t="shared" si="763"/>
        <v>4621.532206439033</v>
      </c>
      <c r="BM318" s="644">
        <f t="shared" si="806"/>
        <v>0</v>
      </c>
      <c r="BN318" s="645">
        <f t="shared" si="807"/>
        <v>4621.532206439033</v>
      </c>
      <c r="BO318" s="646">
        <f t="shared" si="808"/>
        <v>-0.21144798682668436</v>
      </c>
      <c r="BP318" s="647">
        <f t="shared" si="764"/>
        <v>4621.3207584522061</v>
      </c>
      <c r="BQ318" s="644">
        <f t="shared" si="809"/>
        <v>0</v>
      </c>
      <c r="BR318" s="645">
        <f t="shared" si="810"/>
        <v>4621.3207584522061</v>
      </c>
      <c r="BS318" s="646">
        <f t="shared" si="811"/>
        <v>0</v>
      </c>
      <c r="BT318" s="647">
        <f t="shared" si="765"/>
        <v>4621.3207584522061</v>
      </c>
      <c r="BU318" s="662">
        <f>VLOOKUP(B318,'Afton Update'!$A$5:$AR$582,'Afton Update'!$AO$589,0)-BT318</f>
        <v>0</v>
      </c>
      <c r="BV318" s="644">
        <f t="shared" si="812"/>
        <v>7390.512938422331</v>
      </c>
      <c r="BW318" s="645">
        <f t="shared" si="729"/>
        <v>7142.025127029845</v>
      </c>
      <c r="BX318" s="644">
        <f t="shared" si="813"/>
        <v>0</v>
      </c>
      <c r="BY318" s="645">
        <f t="shared" si="814"/>
        <v>7390.512938422331</v>
      </c>
      <c r="BZ318" s="646">
        <f t="shared" si="815"/>
        <v>-64.867317811090359</v>
      </c>
      <c r="CA318" s="647">
        <f t="shared" si="816"/>
        <v>7325.6456206112407</v>
      </c>
      <c r="CB318" s="644">
        <f t="shared" si="766"/>
        <v>0</v>
      </c>
      <c r="CC318" s="645">
        <f t="shared" si="767"/>
        <v>7325.6456206112407</v>
      </c>
      <c r="CD318" s="646">
        <f t="shared" si="817"/>
        <v>-2.3465118471864792</v>
      </c>
      <c r="CE318" s="647">
        <f t="shared" si="768"/>
        <v>7323.2991087640539</v>
      </c>
      <c r="CF318" s="644">
        <f t="shared" si="818"/>
        <v>0</v>
      </c>
      <c r="CG318" s="645">
        <f t="shared" si="819"/>
        <v>7323.2991087640539</v>
      </c>
      <c r="CH318" s="646">
        <f t="shared" si="820"/>
        <v>0</v>
      </c>
      <c r="CI318" s="647">
        <f t="shared" si="769"/>
        <v>7323.2991087640539</v>
      </c>
      <c r="CJ318" s="644">
        <f t="shared" si="821"/>
        <v>0</v>
      </c>
      <c r="CK318" s="645">
        <f t="shared" si="822"/>
        <v>7323.2991087640539</v>
      </c>
      <c r="CL318" s="646">
        <f t="shared" si="823"/>
        <v>0</v>
      </c>
      <c r="CM318" s="647">
        <f t="shared" si="770"/>
        <v>7323.2991087640539</v>
      </c>
      <c r="CN318" s="644">
        <f t="shared" si="824"/>
        <v>0</v>
      </c>
      <c r="CO318" s="645">
        <f t="shared" si="825"/>
        <v>7323.2991087640539</v>
      </c>
      <c r="CP318" s="646">
        <f t="shared" si="826"/>
        <v>0</v>
      </c>
      <c r="CQ318" s="647">
        <f t="shared" si="771"/>
        <v>7323.2991087640539</v>
      </c>
      <c r="CS318" s="644">
        <f t="shared" si="827"/>
        <v>6808.2261478139562</v>
      </c>
      <c r="CT318" s="645">
        <f t="shared" si="730"/>
        <v>6416.7984415279116</v>
      </c>
      <c r="CU318" s="644">
        <f t="shared" si="828"/>
        <v>0</v>
      </c>
      <c r="CV318" s="645">
        <f t="shared" si="829"/>
        <v>6808.2261478139562</v>
      </c>
      <c r="CW318" s="646">
        <f t="shared" si="830"/>
        <v>-69.720083231826564</v>
      </c>
      <c r="CX318" s="647">
        <f t="shared" si="831"/>
        <v>6738.5060645821295</v>
      </c>
      <c r="CY318" s="644">
        <f t="shared" si="772"/>
        <v>0</v>
      </c>
      <c r="CZ318" s="645">
        <f t="shared" si="773"/>
        <v>6738.5060645821295</v>
      </c>
      <c r="DA318" s="646">
        <f t="shared" si="832"/>
        <v>-5.2897517319743192</v>
      </c>
      <c r="DB318" s="647">
        <f t="shared" si="774"/>
        <v>6733.2163128501552</v>
      </c>
      <c r="DC318" s="644">
        <f t="shared" si="833"/>
        <v>0</v>
      </c>
      <c r="DD318" s="645">
        <f t="shared" si="834"/>
        <v>6733.2163128501552</v>
      </c>
      <c r="DE318" s="646">
        <f t="shared" si="835"/>
        <v>-4.5617520177096155E-3</v>
      </c>
      <c r="DF318" s="647">
        <f t="shared" si="775"/>
        <v>6733.211751098137</v>
      </c>
      <c r="DG318" s="644">
        <f t="shared" si="836"/>
        <v>0</v>
      </c>
      <c r="DH318" s="645">
        <f t="shared" si="837"/>
        <v>6733.211751098137</v>
      </c>
      <c r="DI318" s="646">
        <f t="shared" si="838"/>
        <v>0</v>
      </c>
      <c r="DJ318" s="647">
        <f t="shared" si="776"/>
        <v>6733.211751098137</v>
      </c>
      <c r="DK318" s="644">
        <f t="shared" si="839"/>
        <v>0</v>
      </c>
      <c r="DL318" s="645">
        <f t="shared" si="840"/>
        <v>6733.211751098137</v>
      </c>
      <c r="DM318" s="646">
        <f t="shared" si="841"/>
        <v>0</v>
      </c>
      <c r="DN318" s="647">
        <f t="shared" si="777"/>
        <v>6733.211751098137</v>
      </c>
      <c r="DR318" s="827">
        <f t="shared" si="731"/>
        <v>38009.084940190827</v>
      </c>
      <c r="DV318" s="828">
        <f>IFERROR(VLOOKUP($B318,'Afton FY16 Final'!$A$5:$BV$587,'Afton FY16 Final'!$BV$587,0),0)</f>
        <v>40383.024950966166</v>
      </c>
      <c r="DX318" s="636">
        <f t="shared" si="719"/>
        <v>0</v>
      </c>
      <c r="DY318" s="637">
        <f t="shared" si="720"/>
        <v>0</v>
      </c>
      <c r="DZ318" s="637">
        <f t="shared" si="721"/>
        <v>0</v>
      </c>
      <c r="EA318" s="643">
        <f t="shared" si="722"/>
        <v>0</v>
      </c>
      <c r="EB318" s="637">
        <f t="shared" si="732"/>
        <v>0</v>
      </c>
      <c r="EC318" s="637">
        <f t="shared" si="733"/>
        <v>0</v>
      </c>
      <c r="ED318" s="637">
        <f t="shared" si="734"/>
        <v>0</v>
      </c>
      <c r="EE318" s="643">
        <f t="shared" si="735"/>
        <v>0</v>
      </c>
      <c r="EF318" s="637">
        <f t="shared" si="736"/>
        <v>0</v>
      </c>
      <c r="EG318" s="637">
        <f t="shared" si="737"/>
        <v>0</v>
      </c>
      <c r="EH318" s="637">
        <f t="shared" si="738"/>
        <v>0</v>
      </c>
      <c r="EI318" s="643">
        <f t="shared" si="739"/>
        <v>0</v>
      </c>
      <c r="EJ318" s="637">
        <f t="shared" si="740"/>
        <v>0</v>
      </c>
      <c r="EK318" s="637">
        <f t="shared" si="741"/>
        <v>0</v>
      </c>
      <c r="EL318" s="637">
        <f t="shared" si="742"/>
        <v>0</v>
      </c>
      <c r="EM318" s="643">
        <f t="shared" si="743"/>
        <v>0</v>
      </c>
      <c r="EN318" s="637">
        <f t="shared" si="744"/>
        <v>0</v>
      </c>
      <c r="EO318" s="637">
        <f t="shared" si="745"/>
        <v>0</v>
      </c>
      <c r="EP318" s="637">
        <f t="shared" si="746"/>
        <v>0</v>
      </c>
      <c r="EQ318" s="643">
        <f t="shared" si="747"/>
        <v>0</v>
      </c>
      <c r="ER318" s="637">
        <f t="shared" si="748"/>
        <v>0</v>
      </c>
      <c r="ES318" s="637">
        <f t="shared" si="749"/>
        <v>0</v>
      </c>
      <c r="ET318" s="637">
        <f t="shared" si="750"/>
        <v>0</v>
      </c>
      <c r="EU318" s="643">
        <f t="shared" si="723"/>
        <v>0</v>
      </c>
      <c r="EV318" s="643">
        <f t="shared" si="724"/>
        <v>0</v>
      </c>
      <c r="EX318" s="829">
        <f t="shared" si="725"/>
        <v>0</v>
      </c>
      <c r="EY318" s="638">
        <f t="shared" si="726"/>
        <v>38009.084940190827</v>
      </c>
      <c r="FC318" s="830" t="str">
        <f t="shared" si="751"/>
        <v>Y</v>
      </c>
      <c r="FE318" s="830" t="str">
        <f>IFERROR(VLOOKUP($B318,'Historical Conc Grant Elig'!$B$3:$J$707,'HH &amp; SI'!FE$2,0),"N")</f>
        <v>Y</v>
      </c>
      <c r="FF318" s="830" t="str">
        <f>IFERROR(VLOOKUP($B318,'Historical Conc Grant Elig'!$B$3:$J$707,'HH &amp; SI'!FF$2,0),"N")</f>
        <v>Y</v>
      </c>
      <c r="FG318" s="830" t="str">
        <f>IFERROR(VLOOKUP($B318,'Historical Conc Grant Elig'!$B$3:$J$707,'HH &amp; SI'!FG$2,0),"N")</f>
        <v>Y</v>
      </c>
      <c r="FH318" s="830" t="str">
        <f>IFERROR(VLOOKUP($B318,'Historical Conc Grant Elig'!$B$3:$J$707,'HH &amp; SI'!FH$2,0),"N")</f>
        <v>Y</v>
      </c>
      <c r="FI318" s="830" t="str">
        <f>IFERROR(VLOOKUP($B318,'Historical Conc Grant Elig'!$B$3:$J$707,'HH &amp; SI'!FI$2,0),"N")</f>
        <v>Y</v>
      </c>
      <c r="FJ318" s="830" t="str">
        <f>IFERROR(VLOOKUP($B318,'Historical Conc Grant Elig'!$B$3:$J$707,'HH &amp; SI'!FJ$2,0),"N")</f>
        <v>Y</v>
      </c>
      <c r="FK318" s="830" t="str">
        <f>IFERROR(VLOOKUP($B318,'Historical Conc Grant Elig'!$B$3:$J$707,'HH &amp; SI'!FK$2,0),"N")</f>
        <v>Y</v>
      </c>
      <c r="FL318" s="957" t="str">
        <f>IFERROR(VLOOKUP($B318,'Historical Conc Grant Elig'!$B$3:$J$707,'HH &amp; SI'!FL$2,0),"N")</f>
        <v>Y</v>
      </c>
    </row>
    <row r="319" spans="2:168" x14ac:dyDescent="0.25">
      <c r="B319" s="634">
        <v>80306000</v>
      </c>
      <c r="C319" s="635" t="str">
        <f>VLOOKUP($B319,'Afton Update'!$A$5:$CR$582,'Afton Update'!D$589,0)</f>
        <v>Owens-Whitney Elementary District</v>
      </c>
      <c r="D319" s="636">
        <f>IFERROR(VLOOKUP($B319,'Afton FY16 Final'!$A$5:$BV$587,'Afton FY16 Final'!AQ$587,0),0)</f>
        <v>0</v>
      </c>
      <c r="E319" s="637">
        <f>IFERROR(VLOOKUP($B319,'Afton FY16 Final'!$A$5:$BV$587,'Afton FY16 Final'!AR$587,0),0)</f>
        <v>2292.6626567425487</v>
      </c>
      <c r="F319" s="637">
        <f>IFERROR(VLOOKUP($B319,'Afton FY16 Final'!$A$5:$BV$587,'Afton FY16 Final'!AS$587,0),0)</f>
        <v>0</v>
      </c>
      <c r="G319" s="637">
        <f>IFERROR(VLOOKUP($B319,'Afton FY16 Final'!$A$5:$BV$587,'Afton FY16 Final'!AT$587,0),0)</f>
        <v>0</v>
      </c>
      <c r="H319" s="638">
        <f>IFERROR(VLOOKUP($B319,'Afton FY16 Final'!$A$5:$BV$587,'Afton FY16 Final'!AU$587,0),0)</f>
        <v>2292.6626567425487</v>
      </c>
      <c r="I319" s="639" t="str">
        <f>VLOOKUP($B319,'Afton Update'!$A$5:$CR$582,'Afton Update'!BT$589,0)</f>
        <v>N</v>
      </c>
      <c r="J319" s="640" t="str">
        <f>VLOOKUP($B319,'Afton Update'!$A$5:$CR$582,'Afton Update'!BU$589,0)</f>
        <v>N</v>
      </c>
      <c r="K319" s="640" t="str">
        <f>VLOOKUP($B319,'Afton Update'!$A$5:$CR$582,'Afton Update'!BV$589,0)</f>
        <v>N</v>
      </c>
      <c r="L319" s="641" t="str">
        <f>VLOOKUP($B319,'Afton Update'!$A$5:$CR$582,'Afton Update'!BW$589,0)</f>
        <v>N</v>
      </c>
      <c r="N319" s="642">
        <f>VLOOKUP($B319,'Afton Update'!$A$5:$CR$582,'Afton Update'!CB$589,0)</f>
        <v>0.9</v>
      </c>
      <c r="P319" s="636" t="str">
        <f>VLOOKUP($B319,'Afton Update'!$A$5:$CR$582,'Afton Update'!AH$589,0)</f>
        <v/>
      </c>
      <c r="Q319" s="637" t="str">
        <f>VLOOKUP($B319,'Afton Update'!$A$5:$CR$582,'Afton Update'!AI$589,0)</f>
        <v/>
      </c>
      <c r="R319" s="637" t="str">
        <f>VLOOKUP($B319,'Afton Update'!$A$5:$CR$582,'Afton Update'!AJ$589,0)</f>
        <v/>
      </c>
      <c r="S319" s="637" t="str">
        <f>VLOOKUP($B319,'Afton Update'!$A$5:$CR$582,'Afton Update'!AK$589,0)</f>
        <v/>
      </c>
      <c r="T319" s="643">
        <f t="shared" si="752"/>
        <v>0</v>
      </c>
      <c r="V319" s="636">
        <f t="shared" si="778"/>
        <v>0</v>
      </c>
      <c r="W319" s="637">
        <f t="shared" si="779"/>
        <v>2063.3963910682937</v>
      </c>
      <c r="X319" s="637">
        <f t="shared" si="780"/>
        <v>0</v>
      </c>
      <c r="Y319" s="637">
        <f t="shared" si="781"/>
        <v>0</v>
      </c>
      <c r="Z319" s="643">
        <f t="shared" si="782"/>
        <v>2063.3963910682937</v>
      </c>
      <c r="AB319" s="644">
        <f t="shared" si="753"/>
        <v>0</v>
      </c>
      <c r="AC319" s="645">
        <f t="shared" si="727"/>
        <v>0</v>
      </c>
      <c r="AD319" s="644">
        <f t="shared" si="783"/>
        <v>0</v>
      </c>
      <c r="AE319" s="645">
        <f t="shared" si="784"/>
        <v>0</v>
      </c>
      <c r="AF319" s="646">
        <f t="shared" si="785"/>
        <v>0</v>
      </c>
      <c r="AG319" s="647">
        <f t="shared" si="786"/>
        <v>0</v>
      </c>
      <c r="AH319" s="644">
        <f t="shared" si="754"/>
        <v>0</v>
      </c>
      <c r="AI319" s="645">
        <f t="shared" si="755"/>
        <v>0</v>
      </c>
      <c r="AJ319" s="646">
        <f t="shared" si="787"/>
        <v>0</v>
      </c>
      <c r="AK319" s="647">
        <f t="shared" si="756"/>
        <v>0</v>
      </c>
      <c r="AL319" s="644">
        <f t="shared" si="788"/>
        <v>0</v>
      </c>
      <c r="AM319" s="645">
        <f t="shared" si="789"/>
        <v>0</v>
      </c>
      <c r="AN319" s="646">
        <f t="shared" si="790"/>
        <v>0</v>
      </c>
      <c r="AO319" s="647">
        <f t="shared" si="757"/>
        <v>0</v>
      </c>
      <c r="AP319" s="644">
        <f t="shared" si="791"/>
        <v>0</v>
      </c>
      <c r="AQ319" s="645">
        <f t="shared" si="792"/>
        <v>0</v>
      </c>
      <c r="AR319" s="646">
        <f t="shared" si="793"/>
        <v>0</v>
      </c>
      <c r="AS319" s="647">
        <f t="shared" si="758"/>
        <v>0</v>
      </c>
      <c r="AT319" s="644">
        <f t="shared" si="794"/>
        <v>0</v>
      </c>
      <c r="AU319" s="645">
        <f t="shared" si="795"/>
        <v>0</v>
      </c>
      <c r="AV319" s="646">
        <f t="shared" si="796"/>
        <v>0</v>
      </c>
      <c r="AW319" s="647">
        <f t="shared" si="759"/>
        <v>0</v>
      </c>
      <c r="AY319" s="644">
        <f t="shared" si="797"/>
        <v>0</v>
      </c>
      <c r="AZ319" s="645">
        <f t="shared" si="728"/>
        <v>2063.3963910682937</v>
      </c>
      <c r="BA319" s="644">
        <f t="shared" si="798"/>
        <v>0</v>
      </c>
      <c r="BB319" s="645">
        <f t="shared" si="799"/>
        <v>0</v>
      </c>
      <c r="BC319" s="646">
        <f t="shared" si="800"/>
        <v>0</v>
      </c>
      <c r="BD319" s="647">
        <f t="shared" si="801"/>
        <v>0</v>
      </c>
      <c r="BE319" s="644">
        <f t="shared" si="760"/>
        <v>-2063.3963910682937</v>
      </c>
      <c r="BF319" s="645">
        <f t="shared" si="761"/>
        <v>0</v>
      </c>
      <c r="BG319" s="646">
        <f t="shared" si="802"/>
        <v>0</v>
      </c>
      <c r="BH319" s="647">
        <f t="shared" si="762"/>
        <v>2063.3963910682937</v>
      </c>
      <c r="BI319" s="644">
        <f t="shared" si="803"/>
        <v>0</v>
      </c>
      <c r="BJ319" s="645">
        <f t="shared" si="804"/>
        <v>0</v>
      </c>
      <c r="BK319" s="646">
        <f t="shared" si="805"/>
        <v>0</v>
      </c>
      <c r="BL319" s="647">
        <f t="shared" si="763"/>
        <v>2063.3963910682937</v>
      </c>
      <c r="BM319" s="644">
        <f t="shared" si="806"/>
        <v>0</v>
      </c>
      <c r="BN319" s="645">
        <f t="shared" si="807"/>
        <v>0</v>
      </c>
      <c r="BO319" s="646">
        <f t="shared" si="808"/>
        <v>0</v>
      </c>
      <c r="BP319" s="647">
        <f t="shared" si="764"/>
        <v>2063.3963910682937</v>
      </c>
      <c r="BQ319" s="644">
        <f t="shared" si="809"/>
        <v>0</v>
      </c>
      <c r="BR319" s="645">
        <f t="shared" si="810"/>
        <v>0</v>
      </c>
      <c r="BS319" s="646">
        <f t="shared" si="811"/>
        <v>0</v>
      </c>
      <c r="BT319" s="647">
        <f t="shared" si="765"/>
        <v>2063.3963910682937</v>
      </c>
      <c r="BU319" s="662">
        <f>VLOOKUP(B319,'Afton Update'!$A$5:$AR$582,'Afton Update'!$AO$589,0)-BT319</f>
        <v>0</v>
      </c>
      <c r="BV319" s="644">
        <f t="shared" si="812"/>
        <v>0</v>
      </c>
      <c r="BW319" s="645">
        <f t="shared" si="729"/>
        <v>0</v>
      </c>
      <c r="BX319" s="644">
        <f t="shared" si="813"/>
        <v>0</v>
      </c>
      <c r="BY319" s="645">
        <f t="shared" si="814"/>
        <v>0</v>
      </c>
      <c r="BZ319" s="646">
        <f t="shared" si="815"/>
        <v>0</v>
      </c>
      <c r="CA319" s="647">
        <f t="shared" si="816"/>
        <v>0</v>
      </c>
      <c r="CB319" s="644">
        <f t="shared" si="766"/>
        <v>0</v>
      </c>
      <c r="CC319" s="645">
        <f t="shared" si="767"/>
        <v>0</v>
      </c>
      <c r="CD319" s="646">
        <f t="shared" si="817"/>
        <v>0</v>
      </c>
      <c r="CE319" s="647">
        <f t="shared" si="768"/>
        <v>0</v>
      </c>
      <c r="CF319" s="644">
        <f t="shared" si="818"/>
        <v>0</v>
      </c>
      <c r="CG319" s="645">
        <f t="shared" si="819"/>
        <v>0</v>
      </c>
      <c r="CH319" s="646">
        <f t="shared" si="820"/>
        <v>0</v>
      </c>
      <c r="CI319" s="647">
        <f t="shared" si="769"/>
        <v>0</v>
      </c>
      <c r="CJ319" s="644">
        <f t="shared" si="821"/>
        <v>0</v>
      </c>
      <c r="CK319" s="645">
        <f t="shared" si="822"/>
        <v>0</v>
      </c>
      <c r="CL319" s="646">
        <f t="shared" si="823"/>
        <v>0</v>
      </c>
      <c r="CM319" s="647">
        <f t="shared" si="770"/>
        <v>0</v>
      </c>
      <c r="CN319" s="644">
        <f t="shared" si="824"/>
        <v>0</v>
      </c>
      <c r="CO319" s="645">
        <f t="shared" si="825"/>
        <v>0</v>
      </c>
      <c r="CP319" s="646">
        <f t="shared" si="826"/>
        <v>0</v>
      </c>
      <c r="CQ319" s="647">
        <f t="shared" si="771"/>
        <v>0</v>
      </c>
      <c r="CS319" s="644">
        <f t="shared" si="827"/>
        <v>0</v>
      </c>
      <c r="CT319" s="645">
        <f t="shared" si="730"/>
        <v>0</v>
      </c>
      <c r="CU319" s="644">
        <f t="shared" si="828"/>
        <v>0</v>
      </c>
      <c r="CV319" s="645">
        <f t="shared" si="829"/>
        <v>0</v>
      </c>
      <c r="CW319" s="646">
        <f t="shared" si="830"/>
        <v>0</v>
      </c>
      <c r="CX319" s="647">
        <f t="shared" si="831"/>
        <v>0</v>
      </c>
      <c r="CY319" s="644">
        <f t="shared" si="772"/>
        <v>0</v>
      </c>
      <c r="CZ319" s="645">
        <f t="shared" si="773"/>
        <v>0</v>
      </c>
      <c r="DA319" s="646">
        <f t="shared" si="832"/>
        <v>0</v>
      </c>
      <c r="DB319" s="647">
        <f t="shared" si="774"/>
        <v>0</v>
      </c>
      <c r="DC319" s="644">
        <f t="shared" si="833"/>
        <v>0</v>
      </c>
      <c r="DD319" s="645">
        <f t="shared" si="834"/>
        <v>0</v>
      </c>
      <c r="DE319" s="646">
        <f t="shared" si="835"/>
        <v>0</v>
      </c>
      <c r="DF319" s="647">
        <f t="shared" si="775"/>
        <v>0</v>
      </c>
      <c r="DG319" s="644">
        <f t="shared" si="836"/>
        <v>0</v>
      </c>
      <c r="DH319" s="645">
        <f t="shared" si="837"/>
        <v>0</v>
      </c>
      <c r="DI319" s="646">
        <f t="shared" si="838"/>
        <v>0</v>
      </c>
      <c r="DJ319" s="647">
        <f t="shared" si="776"/>
        <v>0</v>
      </c>
      <c r="DK319" s="644">
        <f t="shared" si="839"/>
        <v>0</v>
      </c>
      <c r="DL319" s="645">
        <f t="shared" si="840"/>
        <v>0</v>
      </c>
      <c r="DM319" s="646">
        <f t="shared" si="841"/>
        <v>0</v>
      </c>
      <c r="DN319" s="647">
        <f t="shared" si="777"/>
        <v>0</v>
      </c>
      <c r="DR319" s="827">
        <f t="shared" si="731"/>
        <v>2063.3963910682937</v>
      </c>
      <c r="DV319" s="828">
        <f>IFERROR(VLOOKUP($B319,'Afton FY16 Final'!$A$5:$BV$587,'Afton FY16 Final'!$BV$587,0),0)</f>
        <v>2247.5201294109729</v>
      </c>
      <c r="DX319" s="636">
        <f t="shared" si="719"/>
        <v>0</v>
      </c>
      <c r="DY319" s="637">
        <f t="shared" si="720"/>
        <v>0</v>
      </c>
      <c r="DZ319" s="637">
        <f t="shared" si="721"/>
        <v>0</v>
      </c>
      <c r="EA319" s="643">
        <f t="shared" si="722"/>
        <v>0</v>
      </c>
      <c r="EB319" s="637">
        <f t="shared" si="732"/>
        <v>0</v>
      </c>
      <c r="EC319" s="637">
        <f t="shared" si="733"/>
        <v>0</v>
      </c>
      <c r="ED319" s="637">
        <f t="shared" si="734"/>
        <v>0</v>
      </c>
      <c r="EE319" s="643">
        <f t="shared" si="735"/>
        <v>0</v>
      </c>
      <c r="EF319" s="637">
        <f t="shared" si="736"/>
        <v>0</v>
      </c>
      <c r="EG319" s="637">
        <f t="shared" si="737"/>
        <v>0</v>
      </c>
      <c r="EH319" s="637">
        <f t="shared" si="738"/>
        <v>0</v>
      </c>
      <c r="EI319" s="643">
        <f t="shared" si="739"/>
        <v>0</v>
      </c>
      <c r="EJ319" s="637">
        <f t="shared" si="740"/>
        <v>0</v>
      </c>
      <c r="EK319" s="637">
        <f t="shared" si="741"/>
        <v>0</v>
      </c>
      <c r="EL319" s="637">
        <f t="shared" si="742"/>
        <v>0</v>
      </c>
      <c r="EM319" s="643">
        <f t="shared" si="743"/>
        <v>0</v>
      </c>
      <c r="EN319" s="637">
        <f t="shared" si="744"/>
        <v>0</v>
      </c>
      <c r="EO319" s="637">
        <f t="shared" si="745"/>
        <v>0</v>
      </c>
      <c r="EP319" s="637">
        <f t="shared" si="746"/>
        <v>0</v>
      </c>
      <c r="EQ319" s="643">
        <f t="shared" si="747"/>
        <v>0</v>
      </c>
      <c r="ER319" s="637">
        <f t="shared" si="748"/>
        <v>0</v>
      </c>
      <c r="ES319" s="637">
        <f t="shared" si="749"/>
        <v>0</v>
      </c>
      <c r="ET319" s="637">
        <f t="shared" si="750"/>
        <v>0</v>
      </c>
      <c r="EU319" s="643">
        <f t="shared" si="723"/>
        <v>0</v>
      </c>
      <c r="EV319" s="643">
        <f t="shared" si="724"/>
        <v>0</v>
      </c>
      <c r="EX319" s="829">
        <f t="shared" si="725"/>
        <v>0</v>
      </c>
      <c r="EY319" s="638">
        <f t="shared" si="726"/>
        <v>2063.3963910682937</v>
      </c>
      <c r="FC319" s="830" t="str">
        <f t="shared" si="751"/>
        <v>Y</v>
      </c>
      <c r="FE319" s="830" t="str">
        <f>IFERROR(VLOOKUP($B319,'Historical Conc Grant Elig'!$B$3:$J$707,'HH &amp; SI'!FE$2,0),"N")</f>
        <v>Y</v>
      </c>
      <c r="FF319" s="830" t="str">
        <f>IFERROR(VLOOKUP($B319,'Historical Conc Grant Elig'!$B$3:$J$707,'HH &amp; SI'!FF$2,0),"N")</f>
        <v>Y</v>
      </c>
      <c r="FG319" s="830" t="str">
        <f>IFERROR(VLOOKUP($B319,'Historical Conc Grant Elig'!$B$3:$J$707,'HH &amp; SI'!FG$2,0),"N")</f>
        <v>Y</v>
      </c>
      <c r="FH319" s="830" t="str">
        <f>IFERROR(VLOOKUP($B319,'Historical Conc Grant Elig'!$B$3:$J$707,'HH &amp; SI'!FH$2,0),"N")</f>
        <v>Y</v>
      </c>
      <c r="FI319" s="830" t="str">
        <f>IFERROR(VLOOKUP($B319,'Historical Conc Grant Elig'!$B$3:$J$707,'HH &amp; SI'!FI$2,0),"N")</f>
        <v>Y</v>
      </c>
      <c r="FJ319" s="830" t="str">
        <f>IFERROR(VLOOKUP($B319,'Historical Conc Grant Elig'!$B$3:$J$707,'HH &amp; SI'!FJ$2,0),"N")</f>
        <v>Y</v>
      </c>
      <c r="FK319" s="830" t="str">
        <f>IFERROR(VLOOKUP($B319,'Historical Conc Grant Elig'!$B$3:$J$707,'HH &amp; SI'!FK$2,0),"N")</f>
        <v>N</v>
      </c>
      <c r="FL319" s="957" t="str">
        <f>IFERROR(VLOOKUP($B319,'Historical Conc Grant Elig'!$B$3:$J$707,'HH &amp; SI'!FL$2,0),"N")</f>
        <v>N</v>
      </c>
    </row>
    <row r="320" spans="2:168" x14ac:dyDescent="0.25">
      <c r="B320" s="634">
        <v>80313000</v>
      </c>
      <c r="C320" s="635" t="str">
        <f>VLOOKUP($B320,'Afton Update'!$A$5:$CR$582,'Afton Update'!D$589,0)</f>
        <v>Yucca Elementary District</v>
      </c>
      <c r="D320" s="636">
        <f>IFERROR(VLOOKUP($B320,'Afton FY16 Final'!$A$5:$BV$587,'Afton FY16 Final'!AQ$587,0),0)</f>
        <v>0</v>
      </c>
      <c r="E320" s="637">
        <f>IFERROR(VLOOKUP($B320,'Afton FY16 Final'!$A$5:$BV$587,'Afton FY16 Final'!AR$587,0),0)</f>
        <v>1711.5830854074752</v>
      </c>
      <c r="F320" s="637">
        <f>IFERROR(VLOOKUP($B320,'Afton FY16 Final'!$A$5:$BV$587,'Afton FY16 Final'!AS$587,0),0)</f>
        <v>0</v>
      </c>
      <c r="G320" s="637">
        <f>IFERROR(VLOOKUP($B320,'Afton FY16 Final'!$A$5:$BV$587,'Afton FY16 Final'!AT$587,0),0)</f>
        <v>0</v>
      </c>
      <c r="H320" s="638">
        <f>IFERROR(VLOOKUP($B320,'Afton FY16 Final'!$A$5:$BV$587,'Afton FY16 Final'!AU$587,0),0)</f>
        <v>1711.5830854074752</v>
      </c>
      <c r="I320" s="639" t="str">
        <f>VLOOKUP($B320,'Afton Update'!$A$5:$CR$582,'Afton Update'!BT$589,0)</f>
        <v>N</v>
      </c>
      <c r="J320" s="640" t="str">
        <f>VLOOKUP($B320,'Afton Update'!$A$5:$CR$582,'Afton Update'!BU$589,0)</f>
        <v>N</v>
      </c>
      <c r="K320" s="640" t="str">
        <f>VLOOKUP($B320,'Afton Update'!$A$5:$CR$582,'Afton Update'!BV$589,0)</f>
        <v>N</v>
      </c>
      <c r="L320" s="641" t="str">
        <f>VLOOKUP($B320,'Afton Update'!$A$5:$CR$582,'Afton Update'!BW$589,0)</f>
        <v>N</v>
      </c>
      <c r="N320" s="642">
        <f>VLOOKUP($B320,'Afton Update'!$A$5:$CR$582,'Afton Update'!CB$589,0)</f>
        <v>0.9</v>
      </c>
      <c r="P320" s="636" t="str">
        <f>VLOOKUP($B320,'Afton Update'!$A$5:$CR$582,'Afton Update'!AH$589,0)</f>
        <v/>
      </c>
      <c r="Q320" s="637" t="str">
        <f>VLOOKUP($B320,'Afton Update'!$A$5:$CR$582,'Afton Update'!AI$589,0)</f>
        <v/>
      </c>
      <c r="R320" s="637" t="str">
        <f>VLOOKUP($B320,'Afton Update'!$A$5:$CR$582,'Afton Update'!AJ$589,0)</f>
        <v/>
      </c>
      <c r="S320" s="637" t="str">
        <f>VLOOKUP($B320,'Afton Update'!$A$5:$CR$582,'Afton Update'!AK$589,0)</f>
        <v/>
      </c>
      <c r="T320" s="643">
        <f t="shared" si="752"/>
        <v>0</v>
      </c>
      <c r="V320" s="636">
        <f t="shared" si="778"/>
        <v>0</v>
      </c>
      <c r="W320" s="637">
        <f t="shared" si="779"/>
        <v>1540.4247768667278</v>
      </c>
      <c r="X320" s="637">
        <f t="shared" si="780"/>
        <v>0</v>
      </c>
      <c r="Y320" s="637">
        <f t="shared" si="781"/>
        <v>0</v>
      </c>
      <c r="Z320" s="643">
        <f t="shared" si="782"/>
        <v>1540.4247768667278</v>
      </c>
      <c r="AB320" s="644">
        <f t="shared" si="753"/>
        <v>0</v>
      </c>
      <c r="AC320" s="645">
        <f t="shared" si="727"/>
        <v>0</v>
      </c>
      <c r="AD320" s="644">
        <f t="shared" si="783"/>
        <v>0</v>
      </c>
      <c r="AE320" s="645">
        <f t="shared" si="784"/>
        <v>0</v>
      </c>
      <c r="AF320" s="646">
        <f t="shared" si="785"/>
        <v>0</v>
      </c>
      <c r="AG320" s="647">
        <f t="shared" si="786"/>
        <v>0</v>
      </c>
      <c r="AH320" s="644">
        <f t="shared" si="754"/>
        <v>0</v>
      </c>
      <c r="AI320" s="645">
        <f t="shared" si="755"/>
        <v>0</v>
      </c>
      <c r="AJ320" s="646">
        <f t="shared" si="787"/>
        <v>0</v>
      </c>
      <c r="AK320" s="647">
        <f t="shared" si="756"/>
        <v>0</v>
      </c>
      <c r="AL320" s="644">
        <f t="shared" si="788"/>
        <v>0</v>
      </c>
      <c r="AM320" s="645">
        <f t="shared" si="789"/>
        <v>0</v>
      </c>
      <c r="AN320" s="646">
        <f t="shared" si="790"/>
        <v>0</v>
      </c>
      <c r="AO320" s="647">
        <f t="shared" si="757"/>
        <v>0</v>
      </c>
      <c r="AP320" s="644">
        <f t="shared" si="791"/>
        <v>0</v>
      </c>
      <c r="AQ320" s="645">
        <f t="shared" si="792"/>
        <v>0</v>
      </c>
      <c r="AR320" s="646">
        <f t="shared" si="793"/>
        <v>0</v>
      </c>
      <c r="AS320" s="647">
        <f t="shared" si="758"/>
        <v>0</v>
      </c>
      <c r="AT320" s="644">
        <f t="shared" si="794"/>
        <v>0</v>
      </c>
      <c r="AU320" s="645">
        <f t="shared" si="795"/>
        <v>0</v>
      </c>
      <c r="AV320" s="646">
        <f t="shared" si="796"/>
        <v>0</v>
      </c>
      <c r="AW320" s="647">
        <f t="shared" si="759"/>
        <v>0</v>
      </c>
      <c r="AY320" s="644">
        <f t="shared" si="797"/>
        <v>0</v>
      </c>
      <c r="AZ320" s="645">
        <f t="shared" si="728"/>
        <v>1540.4247768667278</v>
      </c>
      <c r="BA320" s="644">
        <f t="shared" si="798"/>
        <v>0</v>
      </c>
      <c r="BB320" s="645">
        <f t="shared" si="799"/>
        <v>0</v>
      </c>
      <c r="BC320" s="646">
        <f t="shared" si="800"/>
        <v>0</v>
      </c>
      <c r="BD320" s="647">
        <f t="shared" si="801"/>
        <v>0</v>
      </c>
      <c r="BE320" s="644">
        <f t="shared" si="760"/>
        <v>-1540.4247768667278</v>
      </c>
      <c r="BF320" s="645">
        <f t="shared" si="761"/>
        <v>0</v>
      </c>
      <c r="BG320" s="646">
        <f t="shared" si="802"/>
        <v>0</v>
      </c>
      <c r="BH320" s="647">
        <f t="shared" si="762"/>
        <v>1540.4247768667278</v>
      </c>
      <c r="BI320" s="644">
        <f t="shared" si="803"/>
        <v>0</v>
      </c>
      <c r="BJ320" s="645">
        <f t="shared" si="804"/>
        <v>0</v>
      </c>
      <c r="BK320" s="646">
        <f t="shared" si="805"/>
        <v>0</v>
      </c>
      <c r="BL320" s="647">
        <f t="shared" si="763"/>
        <v>1540.4247768667278</v>
      </c>
      <c r="BM320" s="644">
        <f t="shared" si="806"/>
        <v>0</v>
      </c>
      <c r="BN320" s="645">
        <f t="shared" si="807"/>
        <v>0</v>
      </c>
      <c r="BO320" s="646">
        <f t="shared" si="808"/>
        <v>0</v>
      </c>
      <c r="BP320" s="647">
        <f t="shared" si="764"/>
        <v>1540.4247768667278</v>
      </c>
      <c r="BQ320" s="644">
        <f t="shared" si="809"/>
        <v>0</v>
      </c>
      <c r="BR320" s="645">
        <f t="shared" si="810"/>
        <v>0</v>
      </c>
      <c r="BS320" s="646">
        <f t="shared" si="811"/>
        <v>0</v>
      </c>
      <c r="BT320" s="647">
        <f t="shared" si="765"/>
        <v>1540.4247768667278</v>
      </c>
      <c r="BU320" s="662">
        <f>VLOOKUP(B320,'Afton Update'!$A$5:$AR$582,'Afton Update'!$AO$589,0)-BT320</f>
        <v>0</v>
      </c>
      <c r="BV320" s="644">
        <f t="shared" si="812"/>
        <v>0</v>
      </c>
      <c r="BW320" s="645">
        <f t="shared" si="729"/>
        <v>0</v>
      </c>
      <c r="BX320" s="644">
        <f t="shared" si="813"/>
        <v>0</v>
      </c>
      <c r="BY320" s="645">
        <f t="shared" si="814"/>
        <v>0</v>
      </c>
      <c r="BZ320" s="646">
        <f t="shared" si="815"/>
        <v>0</v>
      </c>
      <c r="CA320" s="647">
        <f t="shared" si="816"/>
        <v>0</v>
      </c>
      <c r="CB320" s="644">
        <f t="shared" si="766"/>
        <v>0</v>
      </c>
      <c r="CC320" s="645">
        <f t="shared" si="767"/>
        <v>0</v>
      </c>
      <c r="CD320" s="646">
        <f t="shared" si="817"/>
        <v>0</v>
      </c>
      <c r="CE320" s="647">
        <f t="shared" si="768"/>
        <v>0</v>
      </c>
      <c r="CF320" s="644">
        <f t="shared" si="818"/>
        <v>0</v>
      </c>
      <c r="CG320" s="645">
        <f t="shared" si="819"/>
        <v>0</v>
      </c>
      <c r="CH320" s="646">
        <f t="shared" si="820"/>
        <v>0</v>
      </c>
      <c r="CI320" s="647">
        <f t="shared" si="769"/>
        <v>0</v>
      </c>
      <c r="CJ320" s="644">
        <f t="shared" si="821"/>
        <v>0</v>
      </c>
      <c r="CK320" s="645">
        <f t="shared" si="822"/>
        <v>0</v>
      </c>
      <c r="CL320" s="646">
        <f t="shared" si="823"/>
        <v>0</v>
      </c>
      <c r="CM320" s="647">
        <f t="shared" si="770"/>
        <v>0</v>
      </c>
      <c r="CN320" s="644">
        <f t="shared" si="824"/>
        <v>0</v>
      </c>
      <c r="CO320" s="645">
        <f t="shared" si="825"/>
        <v>0</v>
      </c>
      <c r="CP320" s="646">
        <f t="shared" si="826"/>
        <v>0</v>
      </c>
      <c r="CQ320" s="647">
        <f t="shared" si="771"/>
        <v>0</v>
      </c>
      <c r="CS320" s="644">
        <f t="shared" si="827"/>
        <v>0</v>
      </c>
      <c r="CT320" s="645">
        <f t="shared" si="730"/>
        <v>0</v>
      </c>
      <c r="CU320" s="644">
        <f t="shared" si="828"/>
        <v>0</v>
      </c>
      <c r="CV320" s="645">
        <f t="shared" si="829"/>
        <v>0</v>
      </c>
      <c r="CW320" s="646">
        <f t="shared" si="830"/>
        <v>0</v>
      </c>
      <c r="CX320" s="647">
        <f t="shared" si="831"/>
        <v>0</v>
      </c>
      <c r="CY320" s="644">
        <f t="shared" si="772"/>
        <v>0</v>
      </c>
      <c r="CZ320" s="645">
        <f t="shared" si="773"/>
        <v>0</v>
      </c>
      <c r="DA320" s="646">
        <f t="shared" si="832"/>
        <v>0</v>
      </c>
      <c r="DB320" s="647">
        <f t="shared" si="774"/>
        <v>0</v>
      </c>
      <c r="DC320" s="644">
        <f t="shared" si="833"/>
        <v>0</v>
      </c>
      <c r="DD320" s="645">
        <f t="shared" si="834"/>
        <v>0</v>
      </c>
      <c r="DE320" s="646">
        <f t="shared" si="835"/>
        <v>0</v>
      </c>
      <c r="DF320" s="647">
        <f t="shared" si="775"/>
        <v>0</v>
      </c>
      <c r="DG320" s="644">
        <f t="shared" si="836"/>
        <v>0</v>
      </c>
      <c r="DH320" s="645">
        <f t="shared" si="837"/>
        <v>0</v>
      </c>
      <c r="DI320" s="646">
        <f t="shared" si="838"/>
        <v>0</v>
      </c>
      <c r="DJ320" s="647">
        <f t="shared" si="776"/>
        <v>0</v>
      </c>
      <c r="DK320" s="644">
        <f t="shared" si="839"/>
        <v>0</v>
      </c>
      <c r="DL320" s="645">
        <f t="shared" si="840"/>
        <v>0</v>
      </c>
      <c r="DM320" s="646">
        <f t="shared" si="841"/>
        <v>0</v>
      </c>
      <c r="DN320" s="647">
        <f t="shared" si="777"/>
        <v>0</v>
      </c>
      <c r="DR320" s="827">
        <f t="shared" si="731"/>
        <v>1540.4247768667278</v>
      </c>
      <c r="DV320" s="828">
        <f>IFERROR(VLOOKUP($B320,'Afton FY16 Final'!$A$5:$BV$587,'Afton FY16 Final'!$BV$587,0),0)</f>
        <v>1677.8820147392551</v>
      </c>
      <c r="DX320" s="636">
        <f t="shared" si="719"/>
        <v>0</v>
      </c>
      <c r="DY320" s="637">
        <f t="shared" si="720"/>
        <v>0</v>
      </c>
      <c r="DZ320" s="637">
        <f t="shared" si="721"/>
        <v>0</v>
      </c>
      <c r="EA320" s="643">
        <f t="shared" si="722"/>
        <v>0</v>
      </c>
      <c r="EB320" s="637">
        <f t="shared" si="732"/>
        <v>0</v>
      </c>
      <c r="EC320" s="637">
        <f t="shared" si="733"/>
        <v>0</v>
      </c>
      <c r="ED320" s="637">
        <f t="shared" si="734"/>
        <v>0</v>
      </c>
      <c r="EE320" s="643">
        <f t="shared" si="735"/>
        <v>0</v>
      </c>
      <c r="EF320" s="637">
        <f t="shared" si="736"/>
        <v>0</v>
      </c>
      <c r="EG320" s="637">
        <f t="shared" si="737"/>
        <v>0</v>
      </c>
      <c r="EH320" s="637">
        <f t="shared" si="738"/>
        <v>0</v>
      </c>
      <c r="EI320" s="643">
        <f t="shared" si="739"/>
        <v>0</v>
      </c>
      <c r="EJ320" s="637">
        <f t="shared" si="740"/>
        <v>0</v>
      </c>
      <c r="EK320" s="637">
        <f t="shared" si="741"/>
        <v>0</v>
      </c>
      <c r="EL320" s="637">
        <f t="shared" si="742"/>
        <v>0</v>
      </c>
      <c r="EM320" s="643">
        <f t="shared" si="743"/>
        <v>0</v>
      </c>
      <c r="EN320" s="637">
        <f t="shared" si="744"/>
        <v>0</v>
      </c>
      <c r="EO320" s="637">
        <f t="shared" si="745"/>
        <v>0</v>
      </c>
      <c r="EP320" s="637">
        <f t="shared" si="746"/>
        <v>0</v>
      </c>
      <c r="EQ320" s="643">
        <f t="shared" si="747"/>
        <v>0</v>
      </c>
      <c r="ER320" s="637">
        <f t="shared" si="748"/>
        <v>0</v>
      </c>
      <c r="ES320" s="637">
        <f t="shared" si="749"/>
        <v>0</v>
      </c>
      <c r="ET320" s="637">
        <f t="shared" si="750"/>
        <v>0</v>
      </c>
      <c r="EU320" s="643">
        <f t="shared" si="723"/>
        <v>0</v>
      </c>
      <c r="EV320" s="643">
        <f t="shared" si="724"/>
        <v>0</v>
      </c>
      <c r="EX320" s="829">
        <f t="shared" si="725"/>
        <v>0</v>
      </c>
      <c r="EY320" s="638">
        <f t="shared" si="726"/>
        <v>1540.4247768667278</v>
      </c>
      <c r="FC320" s="830" t="str">
        <f t="shared" si="751"/>
        <v>Y</v>
      </c>
      <c r="FE320" s="830" t="str">
        <f>IFERROR(VLOOKUP($B320,'Historical Conc Grant Elig'!$B$3:$J$707,'HH &amp; SI'!FE$2,0),"N")</f>
        <v>Y</v>
      </c>
      <c r="FF320" s="830" t="str">
        <f>IFERROR(VLOOKUP($B320,'Historical Conc Grant Elig'!$B$3:$J$707,'HH &amp; SI'!FF$2,0),"N")</f>
        <v>Y</v>
      </c>
      <c r="FG320" s="830" t="str">
        <f>IFERROR(VLOOKUP($B320,'Historical Conc Grant Elig'!$B$3:$J$707,'HH &amp; SI'!FG$2,0),"N")</f>
        <v>Y</v>
      </c>
      <c r="FH320" s="830" t="str">
        <f>IFERROR(VLOOKUP($B320,'Historical Conc Grant Elig'!$B$3:$J$707,'HH &amp; SI'!FH$2,0),"N")</f>
        <v>Y</v>
      </c>
      <c r="FI320" s="830" t="str">
        <f>IFERROR(VLOOKUP($B320,'Historical Conc Grant Elig'!$B$3:$J$707,'HH &amp; SI'!FI$2,0),"N")</f>
        <v>Y</v>
      </c>
      <c r="FJ320" s="830" t="str">
        <f>IFERROR(VLOOKUP($B320,'Historical Conc Grant Elig'!$B$3:$J$707,'HH &amp; SI'!FJ$2,0),"N")</f>
        <v>Y</v>
      </c>
      <c r="FK320" s="830" t="str">
        <f>IFERROR(VLOOKUP($B320,'Historical Conc Grant Elig'!$B$3:$J$707,'HH &amp; SI'!FK$2,0),"N")</f>
        <v>N</v>
      </c>
      <c r="FL320" s="957" t="str">
        <f>IFERROR(VLOOKUP($B320,'Historical Conc Grant Elig'!$B$3:$J$707,'HH &amp; SI'!FL$2,0),"N")</f>
        <v>N</v>
      </c>
    </row>
    <row r="321" spans="2:168" x14ac:dyDescent="0.25">
      <c r="B321" s="634">
        <v>80322000</v>
      </c>
      <c r="C321" s="635" t="str">
        <f>VLOOKUP($B321,'Afton Update'!$A$5:$CR$582,'Afton Update'!D$589,0)</f>
        <v>Valentine Elementary District</v>
      </c>
      <c r="D321" s="636">
        <f>IFERROR(VLOOKUP($B321,'Afton FY16 Final'!$A$5:$BV$587,'Afton FY16 Final'!AQ$587,0),0)</f>
        <v>0</v>
      </c>
      <c r="E321" s="637">
        <f>IFERROR(VLOOKUP($B321,'Afton FY16 Final'!$A$5:$BV$587,'Afton FY16 Final'!AR$587,0),0)</f>
        <v>0</v>
      </c>
      <c r="F321" s="637">
        <f>IFERROR(VLOOKUP($B321,'Afton FY16 Final'!$A$5:$BV$587,'Afton FY16 Final'!AS$587,0),0)</f>
        <v>0</v>
      </c>
      <c r="G321" s="637">
        <f>IFERROR(VLOOKUP($B321,'Afton FY16 Final'!$A$5:$BV$587,'Afton FY16 Final'!AT$587,0),0)</f>
        <v>0</v>
      </c>
      <c r="H321" s="638">
        <f>IFERROR(VLOOKUP($B321,'Afton FY16 Final'!$A$5:$BV$587,'Afton FY16 Final'!AU$587,0),0)</f>
        <v>0</v>
      </c>
      <c r="I321" s="639" t="str">
        <f>VLOOKUP($B321,'Afton Update'!$A$5:$CR$582,'Afton Update'!BT$589,0)</f>
        <v>N</v>
      </c>
      <c r="J321" s="640" t="str">
        <f>VLOOKUP($B321,'Afton Update'!$A$5:$CR$582,'Afton Update'!BU$589,0)</f>
        <v>N</v>
      </c>
      <c r="K321" s="640" t="str">
        <f>VLOOKUP($B321,'Afton Update'!$A$5:$CR$582,'Afton Update'!BV$589,0)</f>
        <v>N</v>
      </c>
      <c r="L321" s="641" t="str">
        <f>VLOOKUP($B321,'Afton Update'!$A$5:$CR$582,'Afton Update'!BW$589,0)</f>
        <v>N</v>
      </c>
      <c r="N321" s="642">
        <f>VLOOKUP($B321,'Afton Update'!$A$5:$CR$582,'Afton Update'!CB$589,0)</f>
        <v>0.9</v>
      </c>
      <c r="P321" s="636" t="str">
        <f>VLOOKUP($B321,'Afton Update'!$A$5:$CR$582,'Afton Update'!AH$589,0)</f>
        <v/>
      </c>
      <c r="Q321" s="637" t="str">
        <f>VLOOKUP($B321,'Afton Update'!$A$5:$CR$582,'Afton Update'!AI$589,0)</f>
        <v/>
      </c>
      <c r="R321" s="637" t="str">
        <f>VLOOKUP($B321,'Afton Update'!$A$5:$CR$582,'Afton Update'!AJ$589,0)</f>
        <v/>
      </c>
      <c r="S321" s="637" t="str">
        <f>VLOOKUP($B321,'Afton Update'!$A$5:$CR$582,'Afton Update'!AK$589,0)</f>
        <v/>
      </c>
      <c r="T321" s="643">
        <f t="shared" si="752"/>
        <v>0</v>
      </c>
      <c r="V321" s="636">
        <f t="shared" si="778"/>
        <v>0</v>
      </c>
      <c r="W321" s="637">
        <f t="shared" si="779"/>
        <v>0</v>
      </c>
      <c r="X321" s="637">
        <f t="shared" si="780"/>
        <v>0</v>
      </c>
      <c r="Y321" s="637">
        <f t="shared" si="781"/>
        <v>0</v>
      </c>
      <c r="Z321" s="643">
        <f t="shared" si="782"/>
        <v>0</v>
      </c>
      <c r="AB321" s="644">
        <f t="shared" si="753"/>
        <v>0</v>
      </c>
      <c r="AC321" s="645">
        <f t="shared" si="727"/>
        <v>0</v>
      </c>
      <c r="AD321" s="644">
        <f t="shared" si="783"/>
        <v>0</v>
      </c>
      <c r="AE321" s="645">
        <f t="shared" si="784"/>
        <v>0</v>
      </c>
      <c r="AF321" s="646">
        <f t="shared" si="785"/>
        <v>0</v>
      </c>
      <c r="AG321" s="647">
        <f t="shared" si="786"/>
        <v>0</v>
      </c>
      <c r="AH321" s="644">
        <f t="shared" si="754"/>
        <v>0</v>
      </c>
      <c r="AI321" s="645">
        <f t="shared" si="755"/>
        <v>0</v>
      </c>
      <c r="AJ321" s="646">
        <f t="shared" si="787"/>
        <v>0</v>
      </c>
      <c r="AK321" s="647">
        <f t="shared" si="756"/>
        <v>0</v>
      </c>
      <c r="AL321" s="644">
        <f t="shared" si="788"/>
        <v>0</v>
      </c>
      <c r="AM321" s="645">
        <f t="shared" si="789"/>
        <v>0</v>
      </c>
      <c r="AN321" s="646">
        <f t="shared" si="790"/>
        <v>0</v>
      </c>
      <c r="AO321" s="647">
        <f t="shared" si="757"/>
        <v>0</v>
      </c>
      <c r="AP321" s="644">
        <f t="shared" si="791"/>
        <v>0</v>
      </c>
      <c r="AQ321" s="645">
        <f t="shared" si="792"/>
        <v>0</v>
      </c>
      <c r="AR321" s="646">
        <f t="shared" si="793"/>
        <v>0</v>
      </c>
      <c r="AS321" s="647">
        <f t="shared" si="758"/>
        <v>0</v>
      </c>
      <c r="AT321" s="644">
        <f t="shared" si="794"/>
        <v>0</v>
      </c>
      <c r="AU321" s="645">
        <f t="shared" si="795"/>
        <v>0</v>
      </c>
      <c r="AV321" s="646">
        <f t="shared" si="796"/>
        <v>0</v>
      </c>
      <c r="AW321" s="647">
        <f t="shared" si="759"/>
        <v>0</v>
      </c>
      <c r="AY321" s="644">
        <f t="shared" si="797"/>
        <v>0</v>
      </c>
      <c r="AZ321" s="645">
        <f t="shared" si="728"/>
        <v>0</v>
      </c>
      <c r="BA321" s="644">
        <f t="shared" si="798"/>
        <v>0</v>
      </c>
      <c r="BB321" s="645">
        <f t="shared" si="799"/>
        <v>0</v>
      </c>
      <c r="BC321" s="646">
        <f t="shared" si="800"/>
        <v>0</v>
      </c>
      <c r="BD321" s="647">
        <f t="shared" si="801"/>
        <v>0</v>
      </c>
      <c r="BE321" s="644">
        <f t="shared" si="760"/>
        <v>0</v>
      </c>
      <c r="BF321" s="645">
        <f t="shared" si="761"/>
        <v>0</v>
      </c>
      <c r="BG321" s="646">
        <f t="shared" si="802"/>
        <v>0</v>
      </c>
      <c r="BH321" s="647">
        <f t="shared" si="762"/>
        <v>0</v>
      </c>
      <c r="BI321" s="644">
        <f t="shared" si="803"/>
        <v>0</v>
      </c>
      <c r="BJ321" s="645">
        <f t="shared" si="804"/>
        <v>0</v>
      </c>
      <c r="BK321" s="646">
        <f t="shared" si="805"/>
        <v>0</v>
      </c>
      <c r="BL321" s="647">
        <f t="shared" si="763"/>
        <v>0</v>
      </c>
      <c r="BM321" s="644">
        <f t="shared" si="806"/>
        <v>0</v>
      </c>
      <c r="BN321" s="645">
        <f t="shared" si="807"/>
        <v>0</v>
      </c>
      <c r="BO321" s="646">
        <f t="shared" si="808"/>
        <v>0</v>
      </c>
      <c r="BP321" s="647">
        <f t="shared" si="764"/>
        <v>0</v>
      </c>
      <c r="BQ321" s="644">
        <f t="shared" si="809"/>
        <v>0</v>
      </c>
      <c r="BR321" s="645">
        <f t="shared" si="810"/>
        <v>0</v>
      </c>
      <c r="BS321" s="646">
        <f t="shared" si="811"/>
        <v>0</v>
      </c>
      <c r="BT321" s="647">
        <f t="shared" si="765"/>
        <v>0</v>
      </c>
      <c r="BU321" s="662">
        <f>VLOOKUP(B321,'Afton Update'!$A$5:$AR$582,'Afton Update'!$AO$589,0)-BT321</f>
        <v>0</v>
      </c>
      <c r="BV321" s="644">
        <f t="shared" si="812"/>
        <v>0</v>
      </c>
      <c r="BW321" s="645">
        <f t="shared" si="729"/>
        <v>0</v>
      </c>
      <c r="BX321" s="644">
        <f t="shared" si="813"/>
        <v>0</v>
      </c>
      <c r="BY321" s="645">
        <f t="shared" si="814"/>
        <v>0</v>
      </c>
      <c r="BZ321" s="646">
        <f t="shared" si="815"/>
        <v>0</v>
      </c>
      <c r="CA321" s="647">
        <f t="shared" si="816"/>
        <v>0</v>
      </c>
      <c r="CB321" s="644">
        <f t="shared" si="766"/>
        <v>0</v>
      </c>
      <c r="CC321" s="645">
        <f t="shared" si="767"/>
        <v>0</v>
      </c>
      <c r="CD321" s="646">
        <f t="shared" si="817"/>
        <v>0</v>
      </c>
      <c r="CE321" s="647">
        <f t="shared" si="768"/>
        <v>0</v>
      </c>
      <c r="CF321" s="644">
        <f t="shared" si="818"/>
        <v>0</v>
      </c>
      <c r="CG321" s="645">
        <f t="shared" si="819"/>
        <v>0</v>
      </c>
      <c r="CH321" s="646">
        <f t="shared" si="820"/>
        <v>0</v>
      </c>
      <c r="CI321" s="647">
        <f t="shared" si="769"/>
        <v>0</v>
      </c>
      <c r="CJ321" s="644">
        <f t="shared" si="821"/>
        <v>0</v>
      </c>
      <c r="CK321" s="645">
        <f t="shared" si="822"/>
        <v>0</v>
      </c>
      <c r="CL321" s="646">
        <f t="shared" si="823"/>
        <v>0</v>
      </c>
      <c r="CM321" s="647">
        <f t="shared" si="770"/>
        <v>0</v>
      </c>
      <c r="CN321" s="644">
        <f t="shared" si="824"/>
        <v>0</v>
      </c>
      <c r="CO321" s="645">
        <f t="shared" si="825"/>
        <v>0</v>
      </c>
      <c r="CP321" s="646">
        <f t="shared" si="826"/>
        <v>0</v>
      </c>
      <c r="CQ321" s="647">
        <f t="shared" si="771"/>
        <v>0</v>
      </c>
      <c r="CS321" s="644">
        <f t="shared" si="827"/>
        <v>0</v>
      </c>
      <c r="CT321" s="645">
        <f t="shared" si="730"/>
        <v>0</v>
      </c>
      <c r="CU321" s="644">
        <f t="shared" si="828"/>
        <v>0</v>
      </c>
      <c r="CV321" s="645">
        <f t="shared" si="829"/>
        <v>0</v>
      </c>
      <c r="CW321" s="646">
        <f t="shared" si="830"/>
        <v>0</v>
      </c>
      <c r="CX321" s="647">
        <f t="shared" si="831"/>
        <v>0</v>
      </c>
      <c r="CY321" s="644">
        <f t="shared" si="772"/>
        <v>0</v>
      </c>
      <c r="CZ321" s="645">
        <f t="shared" si="773"/>
        <v>0</v>
      </c>
      <c r="DA321" s="646">
        <f t="shared" si="832"/>
        <v>0</v>
      </c>
      <c r="DB321" s="647">
        <f t="shared" si="774"/>
        <v>0</v>
      </c>
      <c r="DC321" s="644">
        <f t="shared" si="833"/>
        <v>0</v>
      </c>
      <c r="DD321" s="645">
        <f t="shared" si="834"/>
        <v>0</v>
      </c>
      <c r="DE321" s="646">
        <f t="shared" si="835"/>
        <v>0</v>
      </c>
      <c r="DF321" s="647">
        <f t="shared" si="775"/>
        <v>0</v>
      </c>
      <c r="DG321" s="644">
        <f t="shared" si="836"/>
        <v>0</v>
      </c>
      <c r="DH321" s="645">
        <f t="shared" si="837"/>
        <v>0</v>
      </c>
      <c r="DI321" s="646">
        <f t="shared" si="838"/>
        <v>0</v>
      </c>
      <c r="DJ321" s="647">
        <f t="shared" si="776"/>
        <v>0</v>
      </c>
      <c r="DK321" s="644">
        <f t="shared" si="839"/>
        <v>0</v>
      </c>
      <c r="DL321" s="645">
        <f t="shared" si="840"/>
        <v>0</v>
      </c>
      <c r="DM321" s="646">
        <f t="shared" si="841"/>
        <v>0</v>
      </c>
      <c r="DN321" s="647">
        <f t="shared" si="777"/>
        <v>0</v>
      </c>
      <c r="DR321" s="827">
        <f t="shared" si="731"/>
        <v>0</v>
      </c>
      <c r="DV321" s="828">
        <f>IFERROR(VLOOKUP($B321,'Afton FY16 Final'!$A$5:$BV$587,'Afton FY16 Final'!$BV$587,0),0)</f>
        <v>0</v>
      </c>
      <c r="DX321" s="636">
        <f t="shared" si="719"/>
        <v>0</v>
      </c>
      <c r="DY321" s="637">
        <f t="shared" si="720"/>
        <v>0</v>
      </c>
      <c r="DZ321" s="637">
        <f t="shared" si="721"/>
        <v>0</v>
      </c>
      <c r="EA321" s="643">
        <f t="shared" si="722"/>
        <v>0</v>
      </c>
      <c r="EB321" s="637">
        <f t="shared" si="732"/>
        <v>0</v>
      </c>
      <c r="EC321" s="637">
        <f t="shared" si="733"/>
        <v>0</v>
      </c>
      <c r="ED321" s="637">
        <f t="shared" si="734"/>
        <v>0</v>
      </c>
      <c r="EE321" s="643">
        <f t="shared" si="735"/>
        <v>0</v>
      </c>
      <c r="EF321" s="637">
        <f t="shared" si="736"/>
        <v>0</v>
      </c>
      <c r="EG321" s="637">
        <f t="shared" si="737"/>
        <v>0</v>
      </c>
      <c r="EH321" s="637">
        <f t="shared" si="738"/>
        <v>0</v>
      </c>
      <c r="EI321" s="643">
        <f t="shared" si="739"/>
        <v>0</v>
      </c>
      <c r="EJ321" s="637">
        <f t="shared" si="740"/>
        <v>0</v>
      </c>
      <c r="EK321" s="637">
        <f t="shared" si="741"/>
        <v>0</v>
      </c>
      <c r="EL321" s="637">
        <f t="shared" si="742"/>
        <v>0</v>
      </c>
      <c r="EM321" s="643">
        <f t="shared" si="743"/>
        <v>0</v>
      </c>
      <c r="EN321" s="637">
        <f t="shared" si="744"/>
        <v>0</v>
      </c>
      <c r="EO321" s="637">
        <f t="shared" si="745"/>
        <v>0</v>
      </c>
      <c r="EP321" s="637">
        <f t="shared" si="746"/>
        <v>0</v>
      </c>
      <c r="EQ321" s="643">
        <f t="shared" si="747"/>
        <v>0</v>
      </c>
      <c r="ER321" s="637">
        <f t="shared" si="748"/>
        <v>0</v>
      </c>
      <c r="ES321" s="637">
        <f t="shared" si="749"/>
        <v>0</v>
      </c>
      <c r="ET321" s="637">
        <f t="shared" si="750"/>
        <v>0</v>
      </c>
      <c r="EU321" s="643">
        <f t="shared" si="723"/>
        <v>0</v>
      </c>
      <c r="EV321" s="643">
        <f t="shared" si="724"/>
        <v>0</v>
      </c>
      <c r="EX321" s="829">
        <f t="shared" si="725"/>
        <v>0</v>
      </c>
      <c r="EY321" s="638">
        <f t="shared" si="726"/>
        <v>0</v>
      </c>
      <c r="FC321" s="830" t="str">
        <f t="shared" si="751"/>
        <v>N</v>
      </c>
      <c r="FE321" s="830" t="str">
        <f>IFERROR(VLOOKUP($B321,'Historical Conc Grant Elig'!$B$3:$J$707,'HH &amp; SI'!FE$2,0),"N")</f>
        <v>N</v>
      </c>
      <c r="FF321" s="830" t="str">
        <f>IFERROR(VLOOKUP($B321,'Historical Conc Grant Elig'!$B$3:$J$707,'HH &amp; SI'!FF$2,0),"N")</f>
        <v>N</v>
      </c>
      <c r="FG321" s="830" t="str">
        <f>IFERROR(VLOOKUP($B321,'Historical Conc Grant Elig'!$B$3:$J$707,'HH &amp; SI'!FG$2,0),"N")</f>
        <v>N</v>
      </c>
      <c r="FH321" s="830" t="str">
        <f>IFERROR(VLOOKUP($B321,'Historical Conc Grant Elig'!$B$3:$J$707,'HH &amp; SI'!FH$2,0),"N")</f>
        <v>N</v>
      </c>
      <c r="FI321" s="830" t="str">
        <f>IFERROR(VLOOKUP($B321,'Historical Conc Grant Elig'!$B$3:$J$707,'HH &amp; SI'!FI$2,0),"N")</f>
        <v>N</v>
      </c>
      <c r="FJ321" s="830" t="str">
        <f>IFERROR(VLOOKUP($B321,'Historical Conc Grant Elig'!$B$3:$J$707,'HH &amp; SI'!FJ$2,0),"N")</f>
        <v>N</v>
      </c>
      <c r="FK321" s="830" t="str">
        <f>IFERROR(VLOOKUP($B321,'Historical Conc Grant Elig'!$B$3:$J$707,'HH &amp; SI'!FK$2,0),"N")</f>
        <v>N</v>
      </c>
      <c r="FL321" s="957" t="str">
        <f>IFERROR(VLOOKUP($B321,'Historical Conc Grant Elig'!$B$3:$J$707,'HH &amp; SI'!FL$2,0),"N")</f>
        <v>N</v>
      </c>
    </row>
    <row r="322" spans="2:168" x14ac:dyDescent="0.25">
      <c r="B322" s="634">
        <v>80412000</v>
      </c>
      <c r="C322" s="635" t="str">
        <f>VLOOKUP($B322,'Afton Update'!$A$5:$CR$582,'Afton Update'!D$589,0)</f>
        <v>Topock Elementary District</v>
      </c>
      <c r="D322" s="636">
        <f>IFERROR(VLOOKUP($B322,'Afton FY16 Final'!$A$5:$BV$587,'Afton FY16 Final'!AQ$587,0),0)</f>
        <v>31086.226773850798</v>
      </c>
      <c r="E322" s="637">
        <f>IFERROR(VLOOKUP($B322,'Afton FY16 Final'!$A$5:$BV$587,'Afton FY16 Final'!AR$587,0),0)</f>
        <v>7491.7359120401834</v>
      </c>
      <c r="F322" s="637">
        <f>IFERROR(VLOOKUP($B322,'Afton FY16 Final'!$A$5:$BV$587,'Afton FY16 Final'!AS$587,0),0)</f>
        <v>18051.96230124521</v>
      </c>
      <c r="G322" s="637">
        <f>IFERROR(VLOOKUP($B322,'Afton FY16 Final'!$A$5:$BV$587,'Afton FY16 Final'!AT$587,0),0)</f>
        <v>18956.080267534773</v>
      </c>
      <c r="H322" s="638">
        <f>IFERROR(VLOOKUP($B322,'Afton FY16 Final'!$A$5:$BV$587,'Afton FY16 Final'!AU$587,0),0)</f>
        <v>75586.005254670978</v>
      </c>
      <c r="I322" s="639" t="str">
        <f>VLOOKUP($B322,'Afton Update'!$A$5:$CR$582,'Afton Update'!BT$589,0)</f>
        <v>Y</v>
      </c>
      <c r="J322" s="640" t="str">
        <f>VLOOKUP($B322,'Afton Update'!$A$5:$CR$582,'Afton Update'!BU$589,0)</f>
        <v>Y</v>
      </c>
      <c r="K322" s="640" t="str">
        <f>VLOOKUP($B322,'Afton Update'!$A$5:$CR$582,'Afton Update'!BV$589,0)</f>
        <v>Y</v>
      </c>
      <c r="L322" s="641" t="str">
        <f>VLOOKUP($B322,'Afton Update'!$A$5:$CR$582,'Afton Update'!BW$589,0)</f>
        <v>Y</v>
      </c>
      <c r="N322" s="642">
        <f>VLOOKUP($B322,'Afton Update'!$A$5:$CR$582,'Afton Update'!CB$589,0)</f>
        <v>0.95</v>
      </c>
      <c r="P322" s="636">
        <f>VLOOKUP($B322,'Afton Update'!$A$5:$CR$582,'Afton Update'!AH$589,0)</f>
        <v>30384.161536345164</v>
      </c>
      <c r="Q322" s="637">
        <f>VLOOKUP($B322,'Afton Update'!$A$5:$CR$582,'Afton Update'!AI$589,0)</f>
        <v>7409.2691632639244</v>
      </c>
      <c r="R322" s="637">
        <f>VLOOKUP($B322,'Afton Update'!$A$5:$CR$582,'Afton Update'!AJ$589,0)</f>
        <v>17588.219310295848</v>
      </c>
      <c r="S322" s="637">
        <f>VLOOKUP($B322,'Afton Update'!$A$5:$CR$582,'Afton Update'!AK$589,0)</f>
        <v>18751.896470725093</v>
      </c>
      <c r="T322" s="643">
        <f t="shared" si="752"/>
        <v>74133.54648063003</v>
      </c>
      <c r="V322" s="636">
        <f t="shared" si="778"/>
        <v>29969.701851734215</v>
      </c>
      <c r="W322" s="637">
        <f t="shared" si="779"/>
        <v>7165.2349260198807</v>
      </c>
      <c r="X322" s="637">
        <f t="shared" si="780"/>
        <v>17428.261322729293</v>
      </c>
      <c r="Y322" s="637">
        <f t="shared" si="781"/>
        <v>18545.284326755613</v>
      </c>
      <c r="Z322" s="643">
        <f t="shared" si="782"/>
        <v>73108.482427239011</v>
      </c>
      <c r="AB322" s="644">
        <f t="shared" si="753"/>
        <v>30384.161536345164</v>
      </c>
      <c r="AC322" s="645">
        <f t="shared" si="727"/>
        <v>29531.915435158258</v>
      </c>
      <c r="AD322" s="644">
        <f t="shared" si="783"/>
        <v>0</v>
      </c>
      <c r="AE322" s="645">
        <f t="shared" si="784"/>
        <v>30384.161536345164</v>
      </c>
      <c r="AF322" s="646">
        <f t="shared" si="785"/>
        <v>-376.63451533258723</v>
      </c>
      <c r="AG322" s="647">
        <f t="shared" si="786"/>
        <v>30007.527021012578</v>
      </c>
      <c r="AH322" s="644">
        <f t="shared" si="754"/>
        <v>0</v>
      </c>
      <c r="AI322" s="645">
        <f t="shared" si="755"/>
        <v>30007.527021012578</v>
      </c>
      <c r="AJ322" s="646">
        <f t="shared" si="787"/>
        <v>-37.801070979192708</v>
      </c>
      <c r="AK322" s="647">
        <f t="shared" si="756"/>
        <v>29969.725950033386</v>
      </c>
      <c r="AL322" s="644">
        <f t="shared" si="788"/>
        <v>0</v>
      </c>
      <c r="AM322" s="645">
        <f t="shared" si="789"/>
        <v>29969.725950033386</v>
      </c>
      <c r="AN322" s="646">
        <f t="shared" si="790"/>
        <v>-2.4098299169994526E-2</v>
      </c>
      <c r="AO322" s="647">
        <f t="shared" si="757"/>
        <v>29969.701851734215</v>
      </c>
      <c r="AP322" s="644">
        <f t="shared" si="791"/>
        <v>0</v>
      </c>
      <c r="AQ322" s="645">
        <f t="shared" si="792"/>
        <v>29969.701851734215</v>
      </c>
      <c r="AR322" s="646">
        <f t="shared" si="793"/>
        <v>0</v>
      </c>
      <c r="AS322" s="647">
        <f t="shared" si="758"/>
        <v>29969.701851734215</v>
      </c>
      <c r="AT322" s="644">
        <f t="shared" si="794"/>
        <v>0</v>
      </c>
      <c r="AU322" s="645">
        <f t="shared" si="795"/>
        <v>29969.701851734215</v>
      </c>
      <c r="AV322" s="646">
        <f t="shared" si="796"/>
        <v>0</v>
      </c>
      <c r="AW322" s="647">
        <f t="shared" si="759"/>
        <v>29969.701851734215</v>
      </c>
      <c r="AY322" s="644">
        <f t="shared" si="797"/>
        <v>7409.2691632639244</v>
      </c>
      <c r="AZ322" s="645">
        <f t="shared" si="728"/>
        <v>7117.1491164381741</v>
      </c>
      <c r="BA322" s="644">
        <f t="shared" si="798"/>
        <v>0</v>
      </c>
      <c r="BB322" s="645">
        <f t="shared" si="799"/>
        <v>7409.2691632639244</v>
      </c>
      <c r="BC322" s="646">
        <f t="shared" si="800"/>
        <v>-53.282213839634814</v>
      </c>
      <c r="BD322" s="647">
        <f t="shared" si="801"/>
        <v>7355.9869494242894</v>
      </c>
      <c r="BE322" s="644">
        <f t="shared" si="760"/>
        <v>0</v>
      </c>
      <c r="BF322" s="645">
        <f t="shared" si="761"/>
        <v>7355.9869494242894</v>
      </c>
      <c r="BG322" s="646">
        <f t="shared" si="802"/>
        <v>-175.21361443840425</v>
      </c>
      <c r="BH322" s="647">
        <f t="shared" si="762"/>
        <v>7180.7733349858854</v>
      </c>
      <c r="BI322" s="644">
        <f t="shared" si="803"/>
        <v>0</v>
      </c>
      <c r="BJ322" s="645">
        <f t="shared" si="804"/>
        <v>7180.7733349858854</v>
      </c>
      <c r="BK322" s="646">
        <f t="shared" si="805"/>
        <v>-15.210564486160102</v>
      </c>
      <c r="BL322" s="647">
        <f t="shared" si="763"/>
        <v>7165.562770499725</v>
      </c>
      <c r="BM322" s="644">
        <f t="shared" si="806"/>
        <v>0</v>
      </c>
      <c r="BN322" s="645">
        <f t="shared" si="807"/>
        <v>7165.562770499725</v>
      </c>
      <c r="BO322" s="646">
        <f t="shared" si="808"/>
        <v>-0.32784447984402326</v>
      </c>
      <c r="BP322" s="647">
        <f t="shared" si="764"/>
        <v>7165.2349260198807</v>
      </c>
      <c r="BQ322" s="644">
        <f t="shared" si="809"/>
        <v>0</v>
      </c>
      <c r="BR322" s="645">
        <f t="shared" si="810"/>
        <v>7165.2349260198807</v>
      </c>
      <c r="BS322" s="646">
        <f t="shared" si="811"/>
        <v>0</v>
      </c>
      <c r="BT322" s="647">
        <f t="shared" si="765"/>
        <v>7165.2349260198807</v>
      </c>
      <c r="BU322" s="662">
        <f>VLOOKUP(B322,'Afton Update'!$A$5:$AR$582,'Afton Update'!$AO$589,0)-BT322</f>
        <v>0</v>
      </c>
      <c r="BV322" s="644">
        <f t="shared" si="812"/>
        <v>17588.219310295848</v>
      </c>
      <c r="BW322" s="645">
        <f t="shared" si="729"/>
        <v>17149.364186182949</v>
      </c>
      <c r="BX322" s="644">
        <f t="shared" si="813"/>
        <v>0</v>
      </c>
      <c r="BY322" s="645">
        <f t="shared" si="814"/>
        <v>17588.219310295848</v>
      </c>
      <c r="BZ322" s="646">
        <f t="shared" si="815"/>
        <v>-154.3736708450534</v>
      </c>
      <c r="CA322" s="647">
        <f t="shared" si="816"/>
        <v>17433.845639450796</v>
      </c>
      <c r="CB322" s="644">
        <f t="shared" si="766"/>
        <v>0</v>
      </c>
      <c r="CC322" s="645">
        <f t="shared" si="767"/>
        <v>17433.845639450796</v>
      </c>
      <c r="CD322" s="646">
        <f t="shared" si="817"/>
        <v>-5.5843167215039635</v>
      </c>
      <c r="CE322" s="647">
        <f t="shared" si="768"/>
        <v>17428.261322729293</v>
      </c>
      <c r="CF322" s="644">
        <f t="shared" si="818"/>
        <v>0</v>
      </c>
      <c r="CG322" s="645">
        <f t="shared" si="819"/>
        <v>17428.261322729293</v>
      </c>
      <c r="CH322" s="646">
        <f t="shared" si="820"/>
        <v>0</v>
      </c>
      <c r="CI322" s="647">
        <f t="shared" si="769"/>
        <v>17428.261322729293</v>
      </c>
      <c r="CJ322" s="644">
        <f t="shared" si="821"/>
        <v>0</v>
      </c>
      <c r="CK322" s="645">
        <f t="shared" si="822"/>
        <v>17428.261322729293</v>
      </c>
      <c r="CL322" s="646">
        <f t="shared" si="823"/>
        <v>0</v>
      </c>
      <c r="CM322" s="647">
        <f t="shared" si="770"/>
        <v>17428.261322729293</v>
      </c>
      <c r="CN322" s="644">
        <f t="shared" si="824"/>
        <v>0</v>
      </c>
      <c r="CO322" s="645">
        <f t="shared" si="825"/>
        <v>17428.261322729293</v>
      </c>
      <c r="CP322" s="646">
        <f t="shared" si="826"/>
        <v>0</v>
      </c>
      <c r="CQ322" s="647">
        <f t="shared" si="771"/>
        <v>17428.261322729293</v>
      </c>
      <c r="CS322" s="644">
        <f t="shared" si="827"/>
        <v>18751.896470725093</v>
      </c>
      <c r="CT322" s="645">
        <f t="shared" si="730"/>
        <v>18008.276254158034</v>
      </c>
      <c r="CU322" s="644">
        <f t="shared" si="828"/>
        <v>0</v>
      </c>
      <c r="CV322" s="645">
        <f t="shared" si="829"/>
        <v>18751.896470725093</v>
      </c>
      <c r="CW322" s="646">
        <f t="shared" si="830"/>
        <v>-192.03001696900657</v>
      </c>
      <c r="CX322" s="647">
        <f t="shared" si="831"/>
        <v>18559.866453756087</v>
      </c>
      <c r="CY322" s="644">
        <f t="shared" si="772"/>
        <v>0</v>
      </c>
      <c r="CZ322" s="645">
        <f t="shared" si="773"/>
        <v>18559.866453756087</v>
      </c>
      <c r="DA322" s="646">
        <f t="shared" si="832"/>
        <v>-14.569562567434824</v>
      </c>
      <c r="DB322" s="647">
        <f t="shared" si="774"/>
        <v>18545.296891188653</v>
      </c>
      <c r="DC322" s="644">
        <f t="shared" si="833"/>
        <v>0</v>
      </c>
      <c r="DD322" s="645">
        <f t="shared" si="834"/>
        <v>18545.296891188653</v>
      </c>
      <c r="DE322" s="646">
        <f t="shared" si="835"/>
        <v>-1.2564433040855793E-2</v>
      </c>
      <c r="DF322" s="647">
        <f t="shared" si="775"/>
        <v>18545.284326755613</v>
      </c>
      <c r="DG322" s="644">
        <f t="shared" si="836"/>
        <v>0</v>
      </c>
      <c r="DH322" s="645">
        <f t="shared" si="837"/>
        <v>18545.284326755613</v>
      </c>
      <c r="DI322" s="646">
        <f t="shared" si="838"/>
        <v>0</v>
      </c>
      <c r="DJ322" s="647">
        <f t="shared" si="776"/>
        <v>18545.284326755613</v>
      </c>
      <c r="DK322" s="644">
        <f t="shared" si="839"/>
        <v>0</v>
      </c>
      <c r="DL322" s="645">
        <f t="shared" si="840"/>
        <v>18545.284326755613</v>
      </c>
      <c r="DM322" s="646">
        <f t="shared" si="841"/>
        <v>0</v>
      </c>
      <c r="DN322" s="647">
        <f t="shared" si="777"/>
        <v>18545.284326755613</v>
      </c>
      <c r="DR322" s="827">
        <f t="shared" si="731"/>
        <v>73108.482427239011</v>
      </c>
      <c r="DV322" s="828">
        <f>IFERROR(VLOOKUP($B322,'Afton FY16 Final'!$A$5:$BV$587,'Afton FY16 Final'!$BV$587,0),0)</f>
        <v>74097.716823724215</v>
      </c>
      <c r="DX322" s="636">
        <f t="shared" si="719"/>
        <v>0</v>
      </c>
      <c r="DY322" s="637">
        <f t="shared" si="720"/>
        <v>0</v>
      </c>
      <c r="DZ322" s="637">
        <f t="shared" si="721"/>
        <v>0</v>
      </c>
      <c r="EA322" s="643">
        <f t="shared" si="722"/>
        <v>0</v>
      </c>
      <c r="EB322" s="637">
        <f t="shared" si="732"/>
        <v>0</v>
      </c>
      <c r="EC322" s="637">
        <f t="shared" si="733"/>
        <v>0</v>
      </c>
      <c r="ED322" s="637">
        <f t="shared" si="734"/>
        <v>0</v>
      </c>
      <c r="EE322" s="643">
        <f t="shared" si="735"/>
        <v>0</v>
      </c>
      <c r="EF322" s="637">
        <f t="shared" si="736"/>
        <v>0</v>
      </c>
      <c r="EG322" s="637">
        <f t="shared" si="737"/>
        <v>0</v>
      </c>
      <c r="EH322" s="637">
        <f t="shared" si="738"/>
        <v>0</v>
      </c>
      <c r="EI322" s="643">
        <f t="shared" si="739"/>
        <v>0</v>
      </c>
      <c r="EJ322" s="637">
        <f t="shared" si="740"/>
        <v>0</v>
      </c>
      <c r="EK322" s="637">
        <f t="shared" si="741"/>
        <v>0</v>
      </c>
      <c r="EL322" s="637">
        <f t="shared" si="742"/>
        <v>0</v>
      </c>
      <c r="EM322" s="643">
        <f t="shared" si="743"/>
        <v>0</v>
      </c>
      <c r="EN322" s="637">
        <f t="shared" si="744"/>
        <v>0</v>
      </c>
      <c r="EO322" s="637">
        <f t="shared" si="745"/>
        <v>0</v>
      </c>
      <c r="EP322" s="637">
        <f t="shared" si="746"/>
        <v>0</v>
      </c>
      <c r="EQ322" s="643">
        <f t="shared" si="747"/>
        <v>0</v>
      </c>
      <c r="ER322" s="637">
        <f t="shared" si="748"/>
        <v>0</v>
      </c>
      <c r="ES322" s="637">
        <f t="shared" si="749"/>
        <v>0</v>
      </c>
      <c r="ET322" s="637">
        <f t="shared" si="750"/>
        <v>0</v>
      </c>
      <c r="EU322" s="643">
        <f t="shared" si="723"/>
        <v>0</v>
      </c>
      <c r="EV322" s="643">
        <f t="shared" si="724"/>
        <v>0</v>
      </c>
      <c r="EX322" s="829">
        <f t="shared" si="725"/>
        <v>0</v>
      </c>
      <c r="EY322" s="638">
        <f t="shared" si="726"/>
        <v>73108.482427239011</v>
      </c>
      <c r="FC322" s="830" t="str">
        <f t="shared" si="751"/>
        <v>Y</v>
      </c>
      <c r="FE322" s="830" t="str">
        <f>IFERROR(VLOOKUP($B322,'Historical Conc Grant Elig'!$B$3:$J$707,'HH &amp; SI'!FE$2,0),"N")</f>
        <v>Y</v>
      </c>
      <c r="FF322" s="830" t="str">
        <f>IFERROR(VLOOKUP($B322,'Historical Conc Grant Elig'!$B$3:$J$707,'HH &amp; SI'!FF$2,0),"N")</f>
        <v>Y</v>
      </c>
      <c r="FG322" s="830" t="str">
        <f>IFERROR(VLOOKUP($B322,'Historical Conc Grant Elig'!$B$3:$J$707,'HH &amp; SI'!FG$2,0),"N")</f>
        <v>Y</v>
      </c>
      <c r="FH322" s="830" t="str">
        <f>IFERROR(VLOOKUP($B322,'Historical Conc Grant Elig'!$B$3:$J$707,'HH &amp; SI'!FH$2,0),"N")</f>
        <v>Y</v>
      </c>
      <c r="FI322" s="830" t="str">
        <f>IFERROR(VLOOKUP($B322,'Historical Conc Grant Elig'!$B$3:$J$707,'HH &amp; SI'!FI$2,0),"N")</f>
        <v>Y</v>
      </c>
      <c r="FJ322" s="830" t="str">
        <f>IFERROR(VLOOKUP($B322,'Historical Conc Grant Elig'!$B$3:$J$707,'HH &amp; SI'!FJ$2,0),"N")</f>
        <v>Y</v>
      </c>
      <c r="FK322" s="830" t="str">
        <f>IFERROR(VLOOKUP($B322,'Historical Conc Grant Elig'!$B$3:$J$707,'HH &amp; SI'!FK$2,0),"N")</f>
        <v>Y</v>
      </c>
      <c r="FL322" s="957" t="str">
        <f>IFERROR(VLOOKUP($B322,'Historical Conc Grant Elig'!$B$3:$J$707,'HH &amp; SI'!FL$2,0),"N")</f>
        <v>Y</v>
      </c>
    </row>
    <row r="323" spans="2:168" x14ac:dyDescent="0.25">
      <c r="B323" s="634">
        <v>80415000</v>
      </c>
      <c r="C323" s="635" t="str">
        <f>VLOOKUP($B323,'Afton Update'!$A$5:$CR$582,'Afton Update'!D$589,0)</f>
        <v>Bullhead City School District</v>
      </c>
      <c r="D323" s="636">
        <f>IFERROR(VLOOKUP($B323,'Afton FY16 Final'!$A$5:$BV$587,'Afton FY16 Final'!AQ$587,0),0)</f>
        <v>678768.80619254662</v>
      </c>
      <c r="E323" s="637">
        <f>IFERROR(VLOOKUP($B323,'Afton FY16 Final'!$A$5:$BV$587,'Afton FY16 Final'!AR$587,0),0)</f>
        <v>158079.49895086625</v>
      </c>
      <c r="F323" s="637">
        <f>IFERROR(VLOOKUP($B323,'Afton FY16 Final'!$A$5:$BV$587,'Afton FY16 Final'!AS$587,0),0)</f>
        <v>454093.42390313628</v>
      </c>
      <c r="G323" s="637">
        <f>IFERROR(VLOOKUP($B323,'Afton FY16 Final'!$A$5:$BV$587,'Afton FY16 Final'!AT$587,0),0)</f>
        <v>494984.94029295241</v>
      </c>
      <c r="H323" s="638">
        <f>IFERROR(VLOOKUP($B323,'Afton FY16 Final'!$A$5:$BV$587,'Afton FY16 Final'!AU$587,0),0)</f>
        <v>1785926.6693395015</v>
      </c>
      <c r="I323" s="639" t="str">
        <f>VLOOKUP($B323,'Afton Update'!$A$5:$CR$582,'Afton Update'!BT$589,0)</f>
        <v>Y</v>
      </c>
      <c r="J323" s="640" t="str">
        <f>VLOOKUP($B323,'Afton Update'!$A$5:$CR$582,'Afton Update'!BU$589,0)</f>
        <v>Y</v>
      </c>
      <c r="K323" s="640" t="str">
        <f>VLOOKUP($B323,'Afton Update'!$A$5:$CR$582,'Afton Update'!BV$589,0)</f>
        <v>Y</v>
      </c>
      <c r="L323" s="641" t="str">
        <f>VLOOKUP($B323,'Afton Update'!$A$5:$CR$582,'Afton Update'!BW$589,0)</f>
        <v>Y</v>
      </c>
      <c r="N323" s="642">
        <f>VLOOKUP($B323,'Afton Update'!$A$5:$CR$582,'Afton Update'!CB$589,0)</f>
        <v>0.95</v>
      </c>
      <c r="P323" s="636">
        <f>VLOOKUP($B323,'Afton Update'!$A$5:$CR$582,'Afton Update'!AH$589,0)</f>
        <v>659642.64861736877</v>
      </c>
      <c r="Q323" s="637">
        <f>VLOOKUP($B323,'Afton Update'!$A$5:$CR$582,'Afton Update'!AI$589,0)</f>
        <v>155145.50557638271</v>
      </c>
      <c r="R323" s="637">
        <f>VLOOKUP($B323,'Afton Update'!$A$5:$CR$582,'Afton Update'!AJ$589,0)</f>
        <v>440650.9427158733</v>
      </c>
      <c r="S323" s="637">
        <f>VLOOKUP($B323,'Afton Update'!$A$5:$CR$582,'Afton Update'!AK$589,0)</f>
        <v>478770.94476749981</v>
      </c>
      <c r="T323" s="643">
        <f t="shared" si="752"/>
        <v>1734210.0416771246</v>
      </c>
      <c r="V323" s="636">
        <f t="shared" si="778"/>
        <v>650644.69474015362</v>
      </c>
      <c r="W323" s="637">
        <f t="shared" si="779"/>
        <v>150175.52400332293</v>
      </c>
      <c r="X323" s="637">
        <f t="shared" si="780"/>
        <v>436643.39443752787</v>
      </c>
      <c r="Y323" s="637">
        <f t="shared" si="781"/>
        <v>473495.75078788615</v>
      </c>
      <c r="Z323" s="643">
        <f t="shared" si="782"/>
        <v>1710959.3639688904</v>
      </c>
      <c r="AB323" s="644">
        <f t="shared" si="753"/>
        <v>659642.64861736877</v>
      </c>
      <c r="AC323" s="645">
        <f t="shared" si="727"/>
        <v>644830.36588291929</v>
      </c>
      <c r="AD323" s="644">
        <f t="shared" si="783"/>
        <v>0</v>
      </c>
      <c r="AE323" s="645">
        <f t="shared" si="784"/>
        <v>659642.64861736877</v>
      </c>
      <c r="AF323" s="646">
        <f t="shared" si="785"/>
        <v>-8176.7663378672123</v>
      </c>
      <c r="AG323" s="647">
        <f t="shared" si="786"/>
        <v>651465.88227950153</v>
      </c>
      <c r="AH323" s="644">
        <f t="shared" si="754"/>
        <v>0</v>
      </c>
      <c r="AI323" s="645">
        <f t="shared" si="755"/>
        <v>651465.88227950153</v>
      </c>
      <c r="AJ323" s="646">
        <f t="shared" si="787"/>
        <v>-820.66436328876955</v>
      </c>
      <c r="AK323" s="647">
        <f t="shared" si="756"/>
        <v>650645.21791621274</v>
      </c>
      <c r="AL323" s="644">
        <f t="shared" si="788"/>
        <v>0</v>
      </c>
      <c r="AM323" s="645">
        <f t="shared" si="789"/>
        <v>650645.21791621274</v>
      </c>
      <c r="AN323" s="646">
        <f t="shared" si="790"/>
        <v>-0.52317605910085774</v>
      </c>
      <c r="AO323" s="647">
        <f t="shared" si="757"/>
        <v>650644.69474015362</v>
      </c>
      <c r="AP323" s="644">
        <f t="shared" si="791"/>
        <v>0</v>
      </c>
      <c r="AQ323" s="645">
        <f t="shared" si="792"/>
        <v>650644.69474015362</v>
      </c>
      <c r="AR323" s="646">
        <f t="shared" si="793"/>
        <v>0</v>
      </c>
      <c r="AS323" s="647">
        <f t="shared" si="758"/>
        <v>650644.69474015362</v>
      </c>
      <c r="AT323" s="644">
        <f t="shared" si="794"/>
        <v>0</v>
      </c>
      <c r="AU323" s="645">
        <f t="shared" si="795"/>
        <v>650644.69474015362</v>
      </c>
      <c r="AV323" s="646">
        <f t="shared" si="796"/>
        <v>0</v>
      </c>
      <c r="AW323" s="647">
        <f t="shared" si="759"/>
        <v>650644.69474015362</v>
      </c>
      <c r="AY323" s="644">
        <f t="shared" si="797"/>
        <v>155145.50557638271</v>
      </c>
      <c r="AZ323" s="645">
        <f t="shared" si="728"/>
        <v>150175.52400332293</v>
      </c>
      <c r="BA323" s="644">
        <f t="shared" si="798"/>
        <v>0</v>
      </c>
      <c r="BB323" s="645">
        <f t="shared" si="799"/>
        <v>155145.50557638271</v>
      </c>
      <c r="BC323" s="646">
        <f t="shared" si="800"/>
        <v>-1115.696544723384</v>
      </c>
      <c r="BD323" s="647">
        <f t="shared" si="801"/>
        <v>154029.80903165933</v>
      </c>
      <c r="BE323" s="644">
        <f t="shared" si="760"/>
        <v>0</v>
      </c>
      <c r="BF323" s="645">
        <f t="shared" si="761"/>
        <v>154029.80903165933</v>
      </c>
      <c r="BG323" s="646">
        <f t="shared" si="802"/>
        <v>-3668.8645258956585</v>
      </c>
      <c r="BH323" s="647">
        <f t="shared" si="762"/>
        <v>150360.94450576368</v>
      </c>
      <c r="BI323" s="644">
        <f t="shared" si="803"/>
        <v>0</v>
      </c>
      <c r="BJ323" s="645">
        <f t="shared" si="804"/>
        <v>150360.94450576368</v>
      </c>
      <c r="BK323" s="646">
        <f t="shared" si="805"/>
        <v>-318.49979604033194</v>
      </c>
      <c r="BL323" s="647">
        <f t="shared" si="763"/>
        <v>150042.44470972335</v>
      </c>
      <c r="BM323" s="644">
        <f t="shared" si="806"/>
        <v>-133.07929359958507</v>
      </c>
      <c r="BN323" s="645">
        <f t="shared" si="807"/>
        <v>0</v>
      </c>
      <c r="BO323" s="646">
        <f t="shared" si="808"/>
        <v>0</v>
      </c>
      <c r="BP323" s="647">
        <f t="shared" si="764"/>
        <v>150175.52400332293</v>
      </c>
      <c r="BQ323" s="644">
        <f t="shared" si="809"/>
        <v>0</v>
      </c>
      <c r="BR323" s="645">
        <f t="shared" si="810"/>
        <v>0</v>
      </c>
      <c r="BS323" s="646">
        <f t="shared" si="811"/>
        <v>0</v>
      </c>
      <c r="BT323" s="647">
        <f t="shared" si="765"/>
        <v>150175.52400332293</v>
      </c>
      <c r="BU323" s="662">
        <f>VLOOKUP(B323,'Afton Update'!$A$5:$AR$582,'Afton Update'!$AO$589,0)-BT323</f>
        <v>0</v>
      </c>
      <c r="BV323" s="644">
        <f t="shared" si="812"/>
        <v>440650.9427158733</v>
      </c>
      <c r="BW323" s="645">
        <f t="shared" si="729"/>
        <v>431388.75270797947</v>
      </c>
      <c r="BX323" s="644">
        <f t="shared" si="813"/>
        <v>0</v>
      </c>
      <c r="BY323" s="645">
        <f t="shared" si="814"/>
        <v>440650.9427158733</v>
      </c>
      <c r="BZ323" s="646">
        <f t="shared" si="815"/>
        <v>-3867.6401737020674</v>
      </c>
      <c r="CA323" s="647">
        <f t="shared" si="816"/>
        <v>436783.30254217121</v>
      </c>
      <c r="CB323" s="644">
        <f t="shared" si="766"/>
        <v>0</v>
      </c>
      <c r="CC323" s="645">
        <f t="shared" si="767"/>
        <v>436783.30254217121</v>
      </c>
      <c r="CD323" s="646">
        <f t="shared" si="817"/>
        <v>-139.90810464333154</v>
      </c>
      <c r="CE323" s="647">
        <f t="shared" si="768"/>
        <v>436643.39443752787</v>
      </c>
      <c r="CF323" s="644">
        <f t="shared" si="818"/>
        <v>0</v>
      </c>
      <c r="CG323" s="645">
        <f t="shared" si="819"/>
        <v>436643.39443752787</v>
      </c>
      <c r="CH323" s="646">
        <f t="shared" si="820"/>
        <v>0</v>
      </c>
      <c r="CI323" s="647">
        <f t="shared" si="769"/>
        <v>436643.39443752787</v>
      </c>
      <c r="CJ323" s="644">
        <f t="shared" si="821"/>
        <v>0</v>
      </c>
      <c r="CK323" s="645">
        <f t="shared" si="822"/>
        <v>436643.39443752787</v>
      </c>
      <c r="CL323" s="646">
        <f t="shared" si="823"/>
        <v>0</v>
      </c>
      <c r="CM323" s="647">
        <f t="shared" si="770"/>
        <v>436643.39443752787</v>
      </c>
      <c r="CN323" s="644">
        <f t="shared" si="824"/>
        <v>0</v>
      </c>
      <c r="CO323" s="645">
        <f t="shared" si="825"/>
        <v>436643.39443752787</v>
      </c>
      <c r="CP323" s="646">
        <f t="shared" si="826"/>
        <v>0</v>
      </c>
      <c r="CQ323" s="647">
        <f t="shared" si="771"/>
        <v>436643.39443752787</v>
      </c>
      <c r="CS323" s="644">
        <f t="shared" si="827"/>
        <v>478770.94476749981</v>
      </c>
      <c r="CT323" s="645">
        <f t="shared" si="730"/>
        <v>470235.69327830477</v>
      </c>
      <c r="CU323" s="644">
        <f t="shared" si="828"/>
        <v>0</v>
      </c>
      <c r="CV323" s="645">
        <f t="shared" si="829"/>
        <v>478770.94476749981</v>
      </c>
      <c r="CW323" s="646">
        <f t="shared" si="830"/>
        <v>-4902.8850384014122</v>
      </c>
      <c r="CX323" s="647">
        <f t="shared" si="831"/>
        <v>473868.0597290984</v>
      </c>
      <c r="CY323" s="644">
        <f t="shared" si="772"/>
        <v>0</v>
      </c>
      <c r="CZ323" s="645">
        <f t="shared" si="773"/>
        <v>473868.0597290984</v>
      </c>
      <c r="DA323" s="646">
        <f t="shared" si="832"/>
        <v>-371.98814776680797</v>
      </c>
      <c r="DB323" s="647">
        <f t="shared" si="774"/>
        <v>473496.07158133161</v>
      </c>
      <c r="DC323" s="644">
        <f t="shared" si="833"/>
        <v>0</v>
      </c>
      <c r="DD323" s="645">
        <f t="shared" si="834"/>
        <v>473496.07158133161</v>
      </c>
      <c r="DE323" s="646">
        <f t="shared" si="835"/>
        <v>-0.32079344544322308</v>
      </c>
      <c r="DF323" s="647">
        <f t="shared" si="775"/>
        <v>473495.75078788615</v>
      </c>
      <c r="DG323" s="644">
        <f t="shared" si="836"/>
        <v>0</v>
      </c>
      <c r="DH323" s="645">
        <f t="shared" si="837"/>
        <v>473495.75078788615</v>
      </c>
      <c r="DI323" s="646">
        <f t="shared" si="838"/>
        <v>0</v>
      </c>
      <c r="DJ323" s="647">
        <f t="shared" si="776"/>
        <v>473495.75078788615</v>
      </c>
      <c r="DK323" s="644">
        <f t="shared" si="839"/>
        <v>0</v>
      </c>
      <c r="DL323" s="645">
        <f t="shared" si="840"/>
        <v>473495.75078788615</v>
      </c>
      <c r="DM323" s="646">
        <f t="shared" si="841"/>
        <v>0</v>
      </c>
      <c r="DN323" s="647">
        <f t="shared" si="777"/>
        <v>473495.75078788615</v>
      </c>
      <c r="DR323" s="827">
        <f t="shared" si="731"/>
        <v>1710959.3639688904</v>
      </c>
      <c r="DV323" s="828">
        <f>IFERROR(VLOOKUP($B323,'Afton FY16 Final'!$A$5:$BV$587,'Afton FY16 Final'!$BV$587,0),0)</f>
        <v>1722062.2787567866</v>
      </c>
      <c r="DX323" s="636">
        <f t="shared" si="719"/>
        <v>0</v>
      </c>
      <c r="DY323" s="637">
        <f t="shared" si="720"/>
        <v>0</v>
      </c>
      <c r="DZ323" s="637">
        <f t="shared" si="721"/>
        <v>0</v>
      </c>
      <c r="EA323" s="643">
        <f t="shared" si="722"/>
        <v>0</v>
      </c>
      <c r="EB323" s="637">
        <f t="shared" si="732"/>
        <v>0</v>
      </c>
      <c r="EC323" s="637">
        <f t="shared" si="733"/>
        <v>0</v>
      </c>
      <c r="ED323" s="637">
        <f t="shared" si="734"/>
        <v>0</v>
      </c>
      <c r="EE323" s="643">
        <f t="shared" si="735"/>
        <v>0</v>
      </c>
      <c r="EF323" s="637">
        <f t="shared" si="736"/>
        <v>0</v>
      </c>
      <c r="EG323" s="637">
        <f t="shared" si="737"/>
        <v>0</v>
      </c>
      <c r="EH323" s="637">
        <f t="shared" si="738"/>
        <v>0</v>
      </c>
      <c r="EI323" s="643">
        <f t="shared" si="739"/>
        <v>0</v>
      </c>
      <c r="EJ323" s="637">
        <f t="shared" si="740"/>
        <v>0</v>
      </c>
      <c r="EK323" s="637">
        <f t="shared" si="741"/>
        <v>0</v>
      </c>
      <c r="EL323" s="637">
        <f t="shared" si="742"/>
        <v>0</v>
      </c>
      <c r="EM323" s="643">
        <f t="shared" si="743"/>
        <v>0</v>
      </c>
      <c r="EN323" s="637">
        <f t="shared" si="744"/>
        <v>0</v>
      </c>
      <c r="EO323" s="637">
        <f t="shared" si="745"/>
        <v>0</v>
      </c>
      <c r="EP323" s="637">
        <f t="shared" si="746"/>
        <v>0</v>
      </c>
      <c r="EQ323" s="643">
        <f t="shared" si="747"/>
        <v>0</v>
      </c>
      <c r="ER323" s="637">
        <f t="shared" si="748"/>
        <v>0</v>
      </c>
      <c r="ES323" s="637">
        <f t="shared" si="749"/>
        <v>0</v>
      </c>
      <c r="ET323" s="637">
        <f t="shared" si="750"/>
        <v>0</v>
      </c>
      <c r="EU323" s="643">
        <f t="shared" si="723"/>
        <v>0</v>
      </c>
      <c r="EV323" s="643">
        <f t="shared" si="724"/>
        <v>0</v>
      </c>
      <c r="EX323" s="829">
        <f t="shared" si="725"/>
        <v>0</v>
      </c>
      <c r="EY323" s="638">
        <f t="shared" si="726"/>
        <v>1710959.3639688904</v>
      </c>
      <c r="FC323" s="830" t="str">
        <f t="shared" si="751"/>
        <v>Y</v>
      </c>
      <c r="FE323" s="830" t="str">
        <f>IFERROR(VLOOKUP($B323,'Historical Conc Grant Elig'!$B$3:$J$707,'HH &amp; SI'!FE$2,0),"N")</f>
        <v>Y</v>
      </c>
      <c r="FF323" s="830" t="str">
        <f>IFERROR(VLOOKUP($B323,'Historical Conc Grant Elig'!$B$3:$J$707,'HH &amp; SI'!FF$2,0),"N")</f>
        <v>Y</v>
      </c>
      <c r="FG323" s="830" t="str">
        <f>IFERROR(VLOOKUP($B323,'Historical Conc Grant Elig'!$B$3:$J$707,'HH &amp; SI'!FG$2,0),"N")</f>
        <v>Y</v>
      </c>
      <c r="FH323" s="830" t="str">
        <f>IFERROR(VLOOKUP($B323,'Historical Conc Grant Elig'!$B$3:$J$707,'HH &amp; SI'!FH$2,0),"N")</f>
        <v>Y</v>
      </c>
      <c r="FI323" s="830" t="str">
        <f>IFERROR(VLOOKUP($B323,'Historical Conc Grant Elig'!$B$3:$J$707,'HH &amp; SI'!FI$2,0),"N")</f>
        <v>Y</v>
      </c>
      <c r="FJ323" s="830" t="str">
        <f>IFERROR(VLOOKUP($B323,'Historical Conc Grant Elig'!$B$3:$J$707,'HH &amp; SI'!FJ$2,0),"N")</f>
        <v>Y</v>
      </c>
      <c r="FK323" s="830" t="str">
        <f>IFERROR(VLOOKUP($B323,'Historical Conc Grant Elig'!$B$3:$J$707,'HH &amp; SI'!FK$2,0),"N")</f>
        <v>Y</v>
      </c>
      <c r="FL323" s="957" t="str">
        <f>IFERROR(VLOOKUP($B323,'Historical Conc Grant Elig'!$B$3:$J$707,'HH &amp; SI'!FL$2,0),"N")</f>
        <v>Y</v>
      </c>
    </row>
    <row r="324" spans="2:168" x14ac:dyDescent="0.25">
      <c r="B324" s="634">
        <v>80416000</v>
      </c>
      <c r="C324" s="635" t="str">
        <f>VLOOKUP($B324,'Afton Update'!$A$5:$CR$582,'Afton Update'!D$589,0)</f>
        <v>Mohave Valley Elementary District</v>
      </c>
      <c r="D324" s="636">
        <f>IFERROR(VLOOKUP($B324,'Afton FY16 Final'!$A$5:$BV$587,'Afton FY16 Final'!AQ$587,0),0)</f>
        <v>246018.64458870527</v>
      </c>
      <c r="E324" s="637">
        <f>IFERROR(VLOOKUP($B324,'Afton FY16 Final'!$A$5:$BV$587,'Afton FY16 Final'!AR$587,0),0)</f>
        <v>57359.530620810641</v>
      </c>
      <c r="F324" s="637">
        <f>IFERROR(VLOOKUP($B324,'Afton FY16 Final'!$A$5:$BV$587,'Afton FY16 Final'!AS$587,0),0)</f>
        <v>105395.33877271484</v>
      </c>
      <c r="G324" s="637">
        <f>IFERROR(VLOOKUP($B324,'Afton FY16 Final'!$A$5:$BV$587,'Afton FY16 Final'!AT$587,0),0)</f>
        <v>75661.15463190744</v>
      </c>
      <c r="H324" s="638">
        <f>IFERROR(VLOOKUP($B324,'Afton FY16 Final'!$A$5:$BV$587,'Afton FY16 Final'!AU$587,0),0)</f>
        <v>484434.66861413815</v>
      </c>
      <c r="I324" s="639" t="str">
        <f>VLOOKUP($B324,'Afton Update'!$A$5:$CR$582,'Afton Update'!BT$589,0)</f>
        <v>Y</v>
      </c>
      <c r="J324" s="640" t="str">
        <f>VLOOKUP($B324,'Afton Update'!$A$5:$CR$582,'Afton Update'!BU$589,0)</f>
        <v>Y</v>
      </c>
      <c r="K324" s="640" t="str">
        <f>VLOOKUP($B324,'Afton Update'!$A$5:$CR$582,'Afton Update'!BV$589,0)</f>
        <v>Y</v>
      </c>
      <c r="L324" s="641" t="str">
        <f>VLOOKUP($B324,'Afton Update'!$A$5:$CR$582,'Afton Update'!BW$589,0)</f>
        <v>Y</v>
      </c>
      <c r="N324" s="642">
        <f>VLOOKUP($B324,'Afton Update'!$A$5:$CR$582,'Afton Update'!CB$589,0)</f>
        <v>0.9</v>
      </c>
      <c r="P324" s="636">
        <f>VLOOKUP($B324,'Afton Update'!$A$5:$CR$582,'Afton Update'!AH$589,0)</f>
        <v>229297.35344564781</v>
      </c>
      <c r="Q324" s="637">
        <f>VLOOKUP($B324,'Afton Update'!$A$5:$CR$582,'Afton Update'!AI$589,0)</f>
        <v>54625.460492883096</v>
      </c>
      <c r="R324" s="637">
        <f>VLOOKUP($B324,'Afton Update'!$A$5:$CR$582,'Afton Update'!AJ$589,0)</f>
        <v>100964.6591151616</v>
      </c>
      <c r="S324" s="637">
        <f>VLOOKUP($B324,'Afton Update'!$A$5:$CR$582,'Afton Update'!AK$589,0)</f>
        <v>80154.088370652535</v>
      </c>
      <c r="T324" s="643">
        <f t="shared" si="752"/>
        <v>465041.56142434501</v>
      </c>
      <c r="V324" s="636">
        <f t="shared" si="778"/>
        <v>226169.58871606889</v>
      </c>
      <c r="W324" s="637">
        <f t="shared" si="779"/>
        <v>52826.297540134728</v>
      </c>
      <c r="X324" s="637">
        <f t="shared" si="780"/>
        <v>100046.42496066987</v>
      </c>
      <c r="Y324" s="637">
        <f t="shared" si="781"/>
        <v>79270.934601537272</v>
      </c>
      <c r="Z324" s="643">
        <f t="shared" si="782"/>
        <v>458313.24581841077</v>
      </c>
      <c r="AB324" s="644">
        <f t="shared" si="753"/>
        <v>229297.35344564781</v>
      </c>
      <c r="AC324" s="645">
        <f t="shared" si="727"/>
        <v>221416.78012983475</v>
      </c>
      <c r="AD324" s="644">
        <f t="shared" si="783"/>
        <v>0</v>
      </c>
      <c r="AE324" s="645">
        <f t="shared" si="784"/>
        <v>229297.35344564781</v>
      </c>
      <c r="AF324" s="646">
        <f t="shared" si="785"/>
        <v>-2842.3130083330484</v>
      </c>
      <c r="AG324" s="647">
        <f t="shared" si="786"/>
        <v>226455.04043731475</v>
      </c>
      <c r="AH324" s="644">
        <f t="shared" si="754"/>
        <v>0</v>
      </c>
      <c r="AI324" s="645">
        <f t="shared" si="755"/>
        <v>226455.04043731475</v>
      </c>
      <c r="AJ324" s="646">
        <f t="shared" si="787"/>
        <v>-285.26986083100525</v>
      </c>
      <c r="AK324" s="647">
        <f t="shared" si="756"/>
        <v>226169.77057648374</v>
      </c>
      <c r="AL324" s="644">
        <f t="shared" si="788"/>
        <v>0</v>
      </c>
      <c r="AM324" s="645">
        <f t="shared" si="789"/>
        <v>226169.77057648374</v>
      </c>
      <c r="AN324" s="646">
        <f t="shared" si="790"/>
        <v>-0.18186041486158663</v>
      </c>
      <c r="AO324" s="647">
        <f t="shared" si="757"/>
        <v>226169.58871606889</v>
      </c>
      <c r="AP324" s="644">
        <f t="shared" si="791"/>
        <v>0</v>
      </c>
      <c r="AQ324" s="645">
        <f t="shared" si="792"/>
        <v>226169.58871606889</v>
      </c>
      <c r="AR324" s="646">
        <f t="shared" si="793"/>
        <v>0</v>
      </c>
      <c r="AS324" s="647">
        <f t="shared" si="758"/>
        <v>226169.58871606889</v>
      </c>
      <c r="AT324" s="644">
        <f t="shared" si="794"/>
        <v>0</v>
      </c>
      <c r="AU324" s="645">
        <f t="shared" si="795"/>
        <v>226169.58871606889</v>
      </c>
      <c r="AV324" s="646">
        <f t="shared" si="796"/>
        <v>0</v>
      </c>
      <c r="AW324" s="647">
        <f t="shared" si="759"/>
        <v>226169.58871606889</v>
      </c>
      <c r="AY324" s="644">
        <f t="shared" si="797"/>
        <v>54625.460492883096</v>
      </c>
      <c r="AZ324" s="645">
        <f t="shared" si="728"/>
        <v>51623.577558729579</v>
      </c>
      <c r="BA324" s="644">
        <f t="shared" si="798"/>
        <v>0</v>
      </c>
      <c r="BB324" s="645">
        <f t="shared" si="799"/>
        <v>54625.460492883096</v>
      </c>
      <c r="BC324" s="646">
        <f t="shared" si="800"/>
        <v>-392.82760592654199</v>
      </c>
      <c r="BD324" s="647">
        <f t="shared" si="801"/>
        <v>54232.632886956555</v>
      </c>
      <c r="BE324" s="644">
        <f t="shared" si="760"/>
        <v>0</v>
      </c>
      <c r="BF324" s="645">
        <f t="shared" si="761"/>
        <v>54232.632886956555</v>
      </c>
      <c r="BG324" s="646">
        <f t="shared" si="802"/>
        <v>-1291.7771189600082</v>
      </c>
      <c r="BH324" s="647">
        <f t="shared" si="762"/>
        <v>52940.855767996545</v>
      </c>
      <c r="BI324" s="644">
        <f t="shared" si="803"/>
        <v>0</v>
      </c>
      <c r="BJ324" s="645">
        <f t="shared" si="804"/>
        <v>52940.855767996545</v>
      </c>
      <c r="BK324" s="646">
        <f t="shared" si="805"/>
        <v>-112.14116684177377</v>
      </c>
      <c r="BL324" s="647">
        <f t="shared" si="763"/>
        <v>52828.714601154774</v>
      </c>
      <c r="BM324" s="644">
        <f t="shared" si="806"/>
        <v>0</v>
      </c>
      <c r="BN324" s="645">
        <f t="shared" si="807"/>
        <v>52828.714601154774</v>
      </c>
      <c r="BO324" s="646">
        <f t="shared" si="808"/>
        <v>-2.4170610200426834</v>
      </c>
      <c r="BP324" s="647">
        <f t="shared" si="764"/>
        <v>52826.297540134728</v>
      </c>
      <c r="BQ324" s="644">
        <f t="shared" si="809"/>
        <v>0</v>
      </c>
      <c r="BR324" s="645">
        <f t="shared" si="810"/>
        <v>52826.297540134728</v>
      </c>
      <c r="BS324" s="646">
        <f t="shared" si="811"/>
        <v>0</v>
      </c>
      <c r="BT324" s="647">
        <f t="shared" si="765"/>
        <v>52826.297540134728</v>
      </c>
      <c r="BU324" s="662">
        <f>VLOOKUP(B324,'Afton Update'!$A$5:$AR$582,'Afton Update'!$AO$589,0)-BT324</f>
        <v>0</v>
      </c>
      <c r="BV324" s="644">
        <f t="shared" si="812"/>
        <v>100964.6591151616</v>
      </c>
      <c r="BW324" s="645">
        <f t="shared" si="729"/>
        <v>94855.804895443362</v>
      </c>
      <c r="BX324" s="644">
        <f t="shared" si="813"/>
        <v>0</v>
      </c>
      <c r="BY324" s="645">
        <f t="shared" si="814"/>
        <v>100964.6591151616</v>
      </c>
      <c r="BZ324" s="646">
        <f t="shared" si="815"/>
        <v>-886.17754749641006</v>
      </c>
      <c r="CA324" s="647">
        <f t="shared" si="816"/>
        <v>100078.48156766519</v>
      </c>
      <c r="CB324" s="644">
        <f t="shared" si="766"/>
        <v>0</v>
      </c>
      <c r="CC324" s="645">
        <f t="shared" si="767"/>
        <v>100078.48156766519</v>
      </c>
      <c r="CD324" s="646">
        <f t="shared" si="817"/>
        <v>-32.056606995325247</v>
      </c>
      <c r="CE324" s="647">
        <f t="shared" si="768"/>
        <v>100046.42496066987</v>
      </c>
      <c r="CF324" s="644">
        <f t="shared" si="818"/>
        <v>0</v>
      </c>
      <c r="CG324" s="645">
        <f t="shared" si="819"/>
        <v>100046.42496066987</v>
      </c>
      <c r="CH324" s="646">
        <f t="shared" si="820"/>
        <v>0</v>
      </c>
      <c r="CI324" s="647">
        <f t="shared" si="769"/>
        <v>100046.42496066987</v>
      </c>
      <c r="CJ324" s="644">
        <f t="shared" si="821"/>
        <v>0</v>
      </c>
      <c r="CK324" s="645">
        <f t="shared" si="822"/>
        <v>100046.42496066987</v>
      </c>
      <c r="CL324" s="646">
        <f t="shared" si="823"/>
        <v>0</v>
      </c>
      <c r="CM324" s="647">
        <f t="shared" si="770"/>
        <v>100046.42496066987</v>
      </c>
      <c r="CN324" s="644">
        <f t="shared" si="824"/>
        <v>0</v>
      </c>
      <c r="CO324" s="645">
        <f t="shared" si="825"/>
        <v>100046.42496066987</v>
      </c>
      <c r="CP324" s="646">
        <f t="shared" si="826"/>
        <v>0</v>
      </c>
      <c r="CQ324" s="647">
        <f t="shared" si="771"/>
        <v>100046.42496066987</v>
      </c>
      <c r="CS324" s="644">
        <f t="shared" si="827"/>
        <v>80154.088370652535</v>
      </c>
      <c r="CT324" s="645">
        <f t="shared" si="730"/>
        <v>68095.039168716699</v>
      </c>
      <c r="CU324" s="644">
        <f t="shared" si="828"/>
        <v>0</v>
      </c>
      <c r="CV324" s="645">
        <f t="shared" si="829"/>
        <v>80154.088370652535</v>
      </c>
      <c r="CW324" s="646">
        <f t="shared" si="830"/>
        <v>-820.82316175226231</v>
      </c>
      <c r="CX324" s="647">
        <f t="shared" si="831"/>
        <v>79333.265208900266</v>
      </c>
      <c r="CY324" s="644">
        <f t="shared" si="772"/>
        <v>0</v>
      </c>
      <c r="CZ324" s="645">
        <f t="shared" si="773"/>
        <v>79333.265208900266</v>
      </c>
      <c r="DA324" s="646">
        <f t="shared" si="832"/>
        <v>-62.276901292361146</v>
      </c>
      <c r="DB324" s="647">
        <f t="shared" si="774"/>
        <v>79270.988307607899</v>
      </c>
      <c r="DC324" s="644">
        <f t="shared" si="833"/>
        <v>0</v>
      </c>
      <c r="DD324" s="645">
        <f t="shared" si="834"/>
        <v>79270.988307607899</v>
      </c>
      <c r="DE324" s="646">
        <f t="shared" si="835"/>
        <v>-5.3706070628970336E-2</v>
      </c>
      <c r="DF324" s="647">
        <f t="shared" si="775"/>
        <v>79270.934601537272</v>
      </c>
      <c r="DG324" s="644">
        <f t="shared" si="836"/>
        <v>0</v>
      </c>
      <c r="DH324" s="645">
        <f t="shared" si="837"/>
        <v>79270.934601537272</v>
      </c>
      <c r="DI324" s="646">
        <f t="shared" si="838"/>
        <v>0</v>
      </c>
      <c r="DJ324" s="647">
        <f t="shared" si="776"/>
        <v>79270.934601537272</v>
      </c>
      <c r="DK324" s="644">
        <f t="shared" si="839"/>
        <v>0</v>
      </c>
      <c r="DL324" s="645">
        <f t="shared" si="840"/>
        <v>79270.934601537272</v>
      </c>
      <c r="DM324" s="646">
        <f t="shared" si="841"/>
        <v>0</v>
      </c>
      <c r="DN324" s="647">
        <f t="shared" si="777"/>
        <v>79270.934601537272</v>
      </c>
      <c r="DR324" s="827">
        <f t="shared" si="731"/>
        <v>458313.24581841077</v>
      </c>
      <c r="DV324" s="828">
        <f>IFERROR(VLOOKUP($B324,'Afton FY16 Final'!$A$5:$BV$587,'Afton FY16 Final'!$BV$587,0),0)</f>
        <v>430095.81558100757</v>
      </c>
      <c r="DX324" s="636">
        <f t="shared" si="719"/>
        <v>458313.24581841077</v>
      </c>
      <c r="DY324" s="637">
        <f t="shared" si="720"/>
        <v>28217.430237403198</v>
      </c>
      <c r="DZ324" s="637">
        <f t="shared" si="721"/>
        <v>430095.81558100757</v>
      </c>
      <c r="EA324" s="643">
        <f t="shared" si="722"/>
        <v>433936.11764117947</v>
      </c>
      <c r="EB324" s="637">
        <f t="shared" si="732"/>
        <v>0</v>
      </c>
      <c r="EC324" s="637">
        <f t="shared" si="733"/>
        <v>433936.11764117947</v>
      </c>
      <c r="ED324" s="637">
        <f t="shared" si="734"/>
        <v>432642.1460477123</v>
      </c>
      <c r="EE324" s="643">
        <f t="shared" si="735"/>
        <v>432642.1460477123</v>
      </c>
      <c r="EF324" s="637">
        <f t="shared" si="736"/>
        <v>0</v>
      </c>
      <c r="EG324" s="637">
        <f t="shared" si="737"/>
        <v>432642.1460477123</v>
      </c>
      <c r="EH324" s="637">
        <f t="shared" si="738"/>
        <v>432641.69970769749</v>
      </c>
      <c r="EI324" s="643">
        <f t="shared" si="739"/>
        <v>432641.69970769749</v>
      </c>
      <c r="EJ324" s="637">
        <f t="shared" si="740"/>
        <v>0</v>
      </c>
      <c r="EK324" s="637">
        <f t="shared" si="741"/>
        <v>432641.69970769749</v>
      </c>
      <c r="EL324" s="637">
        <f t="shared" si="742"/>
        <v>432641.69970769685</v>
      </c>
      <c r="EM324" s="643">
        <f t="shared" si="743"/>
        <v>432641.69970769685</v>
      </c>
      <c r="EN324" s="637">
        <f t="shared" si="744"/>
        <v>0</v>
      </c>
      <c r="EO324" s="637">
        <f t="shared" si="745"/>
        <v>432641.69970769685</v>
      </c>
      <c r="EP324" s="637">
        <f t="shared" si="746"/>
        <v>432641.69970769749</v>
      </c>
      <c r="EQ324" s="643">
        <f t="shared" si="747"/>
        <v>432641.69970769749</v>
      </c>
      <c r="ER324" s="637">
        <f t="shared" si="748"/>
        <v>0</v>
      </c>
      <c r="ES324" s="637">
        <f t="shared" si="749"/>
        <v>432641.69970769749</v>
      </c>
      <c r="ET324" s="637">
        <f t="shared" si="750"/>
        <v>432641.69970769685</v>
      </c>
      <c r="EU324" s="643">
        <f t="shared" si="723"/>
        <v>432641.69970769685</v>
      </c>
      <c r="EV324" s="643">
        <f t="shared" si="724"/>
        <v>0</v>
      </c>
      <c r="EX324" s="829">
        <f t="shared" si="725"/>
        <v>25671.546110713913</v>
      </c>
      <c r="EY324" s="638">
        <f t="shared" si="726"/>
        <v>432641.69970769685</v>
      </c>
      <c r="FC324" s="830" t="str">
        <f t="shared" si="751"/>
        <v>Y</v>
      </c>
      <c r="FE324" s="830" t="str">
        <f>IFERROR(VLOOKUP($B324,'Historical Conc Grant Elig'!$B$3:$J$707,'HH &amp; SI'!FE$2,0),"N")</f>
        <v>Y</v>
      </c>
      <c r="FF324" s="830" t="str">
        <f>IFERROR(VLOOKUP($B324,'Historical Conc Grant Elig'!$B$3:$J$707,'HH &amp; SI'!FF$2,0),"N")</f>
        <v>Y</v>
      </c>
      <c r="FG324" s="830" t="str">
        <f>IFERROR(VLOOKUP($B324,'Historical Conc Grant Elig'!$B$3:$J$707,'HH &amp; SI'!FG$2,0),"N")</f>
        <v>Y</v>
      </c>
      <c r="FH324" s="830" t="str">
        <f>IFERROR(VLOOKUP($B324,'Historical Conc Grant Elig'!$B$3:$J$707,'HH &amp; SI'!FH$2,0),"N")</f>
        <v>Y</v>
      </c>
      <c r="FI324" s="830" t="str">
        <f>IFERROR(VLOOKUP($B324,'Historical Conc Grant Elig'!$B$3:$J$707,'HH &amp; SI'!FI$2,0),"N")</f>
        <v>Y</v>
      </c>
      <c r="FJ324" s="830" t="str">
        <f>IFERROR(VLOOKUP($B324,'Historical Conc Grant Elig'!$B$3:$J$707,'HH &amp; SI'!FJ$2,0),"N")</f>
        <v>Y</v>
      </c>
      <c r="FK324" s="830" t="str">
        <f>IFERROR(VLOOKUP($B324,'Historical Conc Grant Elig'!$B$3:$J$707,'HH &amp; SI'!FK$2,0),"N")</f>
        <v>Y</v>
      </c>
      <c r="FL324" s="957" t="str">
        <f>IFERROR(VLOOKUP($B324,'Historical Conc Grant Elig'!$B$3:$J$707,'HH &amp; SI'!FL$2,0),"N")</f>
        <v>Y</v>
      </c>
    </row>
    <row r="325" spans="2:168" x14ac:dyDescent="0.25">
      <c r="B325" s="634">
        <v>80502000</v>
      </c>
      <c r="C325" s="635" t="str">
        <f>VLOOKUP($B325,'Afton Update'!$A$5:$CR$582,'Afton Update'!D$589,0)</f>
        <v>Colorado River Union High School District</v>
      </c>
      <c r="D325" s="636">
        <f>IFERROR(VLOOKUP($B325,'Afton FY16 Final'!$A$5:$BV$587,'Afton FY16 Final'!AQ$587,0),0)</f>
        <v>326941.40916674415</v>
      </c>
      <c r="E325" s="637">
        <f>IFERROR(VLOOKUP($B325,'Afton FY16 Final'!$A$5:$BV$587,'Afton FY16 Final'!AR$587,0),0)</f>
        <v>76567.619997854665</v>
      </c>
      <c r="F325" s="637">
        <f>IFERROR(VLOOKUP($B325,'Afton FY16 Final'!$A$5:$BV$587,'Afton FY16 Final'!AS$587,0),0)</f>
        <v>146298.20747532477</v>
      </c>
      <c r="G325" s="637">
        <f>IFERROR(VLOOKUP($B325,'Afton FY16 Final'!$A$5:$BV$587,'Afton FY16 Final'!AT$587,0),0)</f>
        <v>126565.79808191021</v>
      </c>
      <c r="H325" s="638">
        <f>IFERROR(VLOOKUP($B325,'Afton FY16 Final'!$A$5:$BV$587,'Afton FY16 Final'!AU$587,0),0)</f>
        <v>676373.03472183377</v>
      </c>
      <c r="I325" s="639" t="str">
        <f>VLOOKUP($B325,'Afton Update'!$A$5:$CR$582,'Afton Update'!BT$589,0)</f>
        <v>Y</v>
      </c>
      <c r="J325" s="640" t="str">
        <f>VLOOKUP($B325,'Afton Update'!$A$5:$CR$582,'Afton Update'!BU$589,0)</f>
        <v>Y</v>
      </c>
      <c r="K325" s="640" t="str">
        <f>VLOOKUP($B325,'Afton Update'!$A$5:$CR$582,'Afton Update'!BV$589,0)</f>
        <v>Y</v>
      </c>
      <c r="L325" s="641" t="str">
        <f>VLOOKUP($B325,'Afton Update'!$A$5:$CR$582,'Afton Update'!BW$589,0)</f>
        <v>Y</v>
      </c>
      <c r="N325" s="642">
        <f>VLOOKUP($B325,'Afton Update'!$A$5:$CR$582,'Afton Update'!CB$589,0)</f>
        <v>0.9</v>
      </c>
      <c r="P325" s="636">
        <f>VLOOKUP($B325,'Afton Update'!$A$5:$CR$582,'Afton Update'!AH$589,0)</f>
        <v>311133.4903750426</v>
      </c>
      <c r="Q325" s="637">
        <f>VLOOKUP($B325,'Afton Update'!$A$5:$CR$582,'Afton Update'!AI$589,0)</f>
        <v>74119.576803112446</v>
      </c>
      <c r="R325" s="637">
        <f>VLOOKUP($B325,'Afton Update'!$A$5:$CR$582,'Afton Update'!AJ$589,0)</f>
        <v>134569.29683582622</v>
      </c>
      <c r="S325" s="637">
        <f>VLOOKUP($B325,'Afton Update'!$A$5:$CR$582,'Afton Update'!AK$589,0)</f>
        <v>116852.84535382711</v>
      </c>
      <c r="T325" s="643">
        <f t="shared" si="752"/>
        <v>636675.20936780842</v>
      </c>
      <c r="V325" s="636">
        <f t="shared" si="778"/>
        <v>306889.42762088391</v>
      </c>
      <c r="W325" s="637">
        <f t="shared" si="779"/>
        <v>71678.348931451357</v>
      </c>
      <c r="X325" s="637">
        <f t="shared" si="780"/>
        <v>133345.44162169975</v>
      </c>
      <c r="Y325" s="637">
        <f t="shared" si="781"/>
        <v>115565.33734389434</v>
      </c>
      <c r="Z325" s="643">
        <f t="shared" si="782"/>
        <v>627478.55551792926</v>
      </c>
      <c r="AB325" s="644">
        <f t="shared" si="753"/>
        <v>311133.4903750426</v>
      </c>
      <c r="AC325" s="645">
        <f t="shared" si="727"/>
        <v>294247.26825006976</v>
      </c>
      <c r="AD325" s="644">
        <f t="shared" si="783"/>
        <v>0</v>
      </c>
      <c r="AE325" s="645">
        <f t="shared" si="784"/>
        <v>311133.4903750426</v>
      </c>
      <c r="AF325" s="646">
        <f t="shared" si="785"/>
        <v>-3856.7334237927471</v>
      </c>
      <c r="AG325" s="647">
        <f t="shared" si="786"/>
        <v>307276.75695124984</v>
      </c>
      <c r="AH325" s="644">
        <f t="shared" si="754"/>
        <v>0</v>
      </c>
      <c r="AI325" s="645">
        <f t="shared" si="755"/>
        <v>307276.75695124984</v>
      </c>
      <c r="AJ325" s="646">
        <f t="shared" si="787"/>
        <v>-387.08256403924048</v>
      </c>
      <c r="AK325" s="647">
        <f t="shared" si="756"/>
        <v>306889.67438721063</v>
      </c>
      <c r="AL325" s="644">
        <f t="shared" si="788"/>
        <v>0</v>
      </c>
      <c r="AM325" s="645">
        <f t="shared" si="789"/>
        <v>306889.67438721063</v>
      </c>
      <c r="AN325" s="646">
        <f t="shared" si="790"/>
        <v>-0.24676632672234924</v>
      </c>
      <c r="AO325" s="647">
        <f t="shared" si="757"/>
        <v>306889.42762088391</v>
      </c>
      <c r="AP325" s="644">
        <f t="shared" si="791"/>
        <v>0</v>
      </c>
      <c r="AQ325" s="645">
        <f t="shared" si="792"/>
        <v>306889.42762088391</v>
      </c>
      <c r="AR325" s="646">
        <f t="shared" si="793"/>
        <v>0</v>
      </c>
      <c r="AS325" s="647">
        <f t="shared" si="758"/>
        <v>306889.42762088391</v>
      </c>
      <c r="AT325" s="644">
        <f t="shared" si="794"/>
        <v>0</v>
      </c>
      <c r="AU325" s="645">
        <f t="shared" si="795"/>
        <v>306889.42762088391</v>
      </c>
      <c r="AV325" s="646">
        <f t="shared" si="796"/>
        <v>0</v>
      </c>
      <c r="AW325" s="647">
        <f t="shared" si="759"/>
        <v>306889.42762088391</v>
      </c>
      <c r="AY325" s="644">
        <f t="shared" si="797"/>
        <v>74119.576803112446</v>
      </c>
      <c r="AZ325" s="645">
        <f t="shared" si="728"/>
        <v>68910.857998069201</v>
      </c>
      <c r="BA325" s="644">
        <f t="shared" si="798"/>
        <v>0</v>
      </c>
      <c r="BB325" s="645">
        <f t="shared" si="799"/>
        <v>74119.576803112446</v>
      </c>
      <c r="BC325" s="646">
        <f t="shared" si="800"/>
        <v>-533.01547749237807</v>
      </c>
      <c r="BD325" s="647">
        <f t="shared" si="801"/>
        <v>73586.561325620074</v>
      </c>
      <c r="BE325" s="644">
        <f t="shared" si="760"/>
        <v>0</v>
      </c>
      <c r="BF325" s="645">
        <f t="shared" si="761"/>
        <v>73586.561325620074</v>
      </c>
      <c r="BG325" s="646">
        <f t="shared" si="802"/>
        <v>-1752.7719220551737</v>
      </c>
      <c r="BH325" s="647">
        <f t="shared" si="762"/>
        <v>71833.789403564893</v>
      </c>
      <c r="BI325" s="644">
        <f t="shared" si="803"/>
        <v>0</v>
      </c>
      <c r="BJ325" s="645">
        <f t="shared" si="804"/>
        <v>71833.789403564893</v>
      </c>
      <c r="BK325" s="646">
        <f t="shared" si="805"/>
        <v>-152.16083770318809</v>
      </c>
      <c r="BL325" s="647">
        <f t="shared" si="763"/>
        <v>71681.628565861698</v>
      </c>
      <c r="BM325" s="644">
        <f t="shared" si="806"/>
        <v>0</v>
      </c>
      <c r="BN325" s="645">
        <f t="shared" si="807"/>
        <v>71681.628565861698</v>
      </c>
      <c r="BO325" s="646">
        <f t="shared" si="808"/>
        <v>-3.2796344103351553</v>
      </c>
      <c r="BP325" s="647">
        <f t="shared" si="764"/>
        <v>71678.348931451357</v>
      </c>
      <c r="BQ325" s="644">
        <f t="shared" si="809"/>
        <v>0</v>
      </c>
      <c r="BR325" s="645">
        <f t="shared" si="810"/>
        <v>71678.348931451357</v>
      </c>
      <c r="BS325" s="646">
        <f t="shared" si="811"/>
        <v>0</v>
      </c>
      <c r="BT325" s="647">
        <f t="shared" si="765"/>
        <v>71678.348931451357</v>
      </c>
      <c r="BU325" s="662">
        <f>VLOOKUP(B325,'Afton Update'!$A$5:$AR$582,'Afton Update'!$AO$589,0)-BT325</f>
        <v>0</v>
      </c>
      <c r="BV325" s="644">
        <f t="shared" si="812"/>
        <v>134569.29683582622</v>
      </c>
      <c r="BW325" s="645">
        <f t="shared" si="729"/>
        <v>131668.3867277923</v>
      </c>
      <c r="BX325" s="644">
        <f t="shared" si="813"/>
        <v>0</v>
      </c>
      <c r="BY325" s="645">
        <f t="shared" si="814"/>
        <v>134569.29683582622</v>
      </c>
      <c r="BZ325" s="646">
        <f t="shared" si="815"/>
        <v>-1181.129025575852</v>
      </c>
      <c r="CA325" s="647">
        <f t="shared" si="816"/>
        <v>133388.16781025036</v>
      </c>
      <c r="CB325" s="644">
        <f t="shared" si="766"/>
        <v>0</v>
      </c>
      <c r="CC325" s="645">
        <f t="shared" si="767"/>
        <v>133388.16781025036</v>
      </c>
      <c r="CD325" s="646">
        <f t="shared" si="817"/>
        <v>-42.726188550618787</v>
      </c>
      <c r="CE325" s="647">
        <f t="shared" si="768"/>
        <v>133345.44162169975</v>
      </c>
      <c r="CF325" s="644">
        <f t="shared" si="818"/>
        <v>0</v>
      </c>
      <c r="CG325" s="645">
        <f t="shared" si="819"/>
        <v>133345.44162169975</v>
      </c>
      <c r="CH325" s="646">
        <f t="shared" si="820"/>
        <v>0</v>
      </c>
      <c r="CI325" s="647">
        <f t="shared" si="769"/>
        <v>133345.44162169975</v>
      </c>
      <c r="CJ325" s="644">
        <f t="shared" si="821"/>
        <v>0</v>
      </c>
      <c r="CK325" s="645">
        <f t="shared" si="822"/>
        <v>133345.44162169975</v>
      </c>
      <c r="CL325" s="646">
        <f t="shared" si="823"/>
        <v>0</v>
      </c>
      <c r="CM325" s="647">
        <f t="shared" si="770"/>
        <v>133345.44162169975</v>
      </c>
      <c r="CN325" s="644">
        <f t="shared" si="824"/>
        <v>0</v>
      </c>
      <c r="CO325" s="645">
        <f t="shared" si="825"/>
        <v>133345.44162169975</v>
      </c>
      <c r="CP325" s="646">
        <f t="shared" si="826"/>
        <v>0</v>
      </c>
      <c r="CQ325" s="647">
        <f t="shared" si="771"/>
        <v>133345.44162169975</v>
      </c>
      <c r="CS325" s="644">
        <f t="shared" si="827"/>
        <v>116852.84535382711</v>
      </c>
      <c r="CT325" s="645">
        <f t="shared" si="730"/>
        <v>113909.21827371919</v>
      </c>
      <c r="CU325" s="644">
        <f t="shared" si="828"/>
        <v>0</v>
      </c>
      <c r="CV325" s="645">
        <f t="shared" si="829"/>
        <v>116852.84535382711</v>
      </c>
      <c r="CW325" s="646">
        <f t="shared" si="830"/>
        <v>-1196.639172534022</v>
      </c>
      <c r="CX325" s="647">
        <f t="shared" si="831"/>
        <v>115656.20618129309</v>
      </c>
      <c r="CY325" s="644">
        <f t="shared" si="772"/>
        <v>0</v>
      </c>
      <c r="CZ325" s="645">
        <f t="shared" si="773"/>
        <v>115656.20618129309</v>
      </c>
      <c r="DA325" s="646">
        <f t="shared" si="832"/>
        <v>-90.790541864565768</v>
      </c>
      <c r="DB325" s="647">
        <f t="shared" si="774"/>
        <v>115565.41563942852</v>
      </c>
      <c r="DC325" s="644">
        <f t="shared" si="833"/>
        <v>0</v>
      </c>
      <c r="DD325" s="645">
        <f t="shared" si="834"/>
        <v>115565.41563942852</v>
      </c>
      <c r="DE325" s="646">
        <f t="shared" si="835"/>
        <v>-7.8295534180968407E-2</v>
      </c>
      <c r="DF325" s="647">
        <f t="shared" si="775"/>
        <v>115565.33734389434</v>
      </c>
      <c r="DG325" s="644">
        <f t="shared" si="836"/>
        <v>0</v>
      </c>
      <c r="DH325" s="645">
        <f t="shared" si="837"/>
        <v>115565.33734389434</v>
      </c>
      <c r="DI325" s="646">
        <f t="shared" si="838"/>
        <v>0</v>
      </c>
      <c r="DJ325" s="647">
        <f t="shared" si="776"/>
        <v>115565.33734389434</v>
      </c>
      <c r="DK325" s="644">
        <f t="shared" si="839"/>
        <v>0</v>
      </c>
      <c r="DL325" s="645">
        <f t="shared" si="840"/>
        <v>115565.33734389434</v>
      </c>
      <c r="DM325" s="646">
        <f t="shared" si="841"/>
        <v>0</v>
      </c>
      <c r="DN325" s="647">
        <f t="shared" si="777"/>
        <v>115565.33734389434</v>
      </c>
      <c r="DR325" s="827">
        <f t="shared" si="731"/>
        <v>627478.55551792926</v>
      </c>
      <c r="DV325" s="828">
        <f>IFERROR(VLOOKUP($B325,'Afton FY16 Final'!$A$5:$BV$587,'Afton FY16 Final'!$BV$587,0),0)</f>
        <v>663055.24978017411</v>
      </c>
      <c r="DX325" s="636">
        <f t="shared" si="719"/>
        <v>0</v>
      </c>
      <c r="DY325" s="637">
        <f t="shared" si="720"/>
        <v>0</v>
      </c>
      <c r="DZ325" s="637">
        <f t="shared" si="721"/>
        <v>0</v>
      </c>
      <c r="EA325" s="643">
        <f t="shared" si="722"/>
        <v>0</v>
      </c>
      <c r="EB325" s="637">
        <f t="shared" si="732"/>
        <v>0</v>
      </c>
      <c r="EC325" s="637">
        <f t="shared" si="733"/>
        <v>0</v>
      </c>
      <c r="ED325" s="637">
        <f t="shared" si="734"/>
        <v>0</v>
      </c>
      <c r="EE325" s="643">
        <f t="shared" si="735"/>
        <v>0</v>
      </c>
      <c r="EF325" s="637">
        <f t="shared" si="736"/>
        <v>0</v>
      </c>
      <c r="EG325" s="637">
        <f t="shared" si="737"/>
        <v>0</v>
      </c>
      <c r="EH325" s="637">
        <f t="shared" si="738"/>
        <v>0</v>
      </c>
      <c r="EI325" s="643">
        <f t="shared" si="739"/>
        <v>0</v>
      </c>
      <c r="EJ325" s="637">
        <f t="shared" si="740"/>
        <v>0</v>
      </c>
      <c r="EK325" s="637">
        <f t="shared" si="741"/>
        <v>0</v>
      </c>
      <c r="EL325" s="637">
        <f t="shared" si="742"/>
        <v>0</v>
      </c>
      <c r="EM325" s="643">
        <f t="shared" si="743"/>
        <v>0</v>
      </c>
      <c r="EN325" s="637">
        <f t="shared" si="744"/>
        <v>0</v>
      </c>
      <c r="EO325" s="637">
        <f t="shared" si="745"/>
        <v>0</v>
      </c>
      <c r="EP325" s="637">
        <f t="shared" si="746"/>
        <v>0</v>
      </c>
      <c r="EQ325" s="643">
        <f t="shared" si="747"/>
        <v>0</v>
      </c>
      <c r="ER325" s="637">
        <f t="shared" si="748"/>
        <v>0</v>
      </c>
      <c r="ES325" s="637">
        <f t="shared" si="749"/>
        <v>0</v>
      </c>
      <c r="ET325" s="637">
        <f t="shared" si="750"/>
        <v>0</v>
      </c>
      <c r="EU325" s="643">
        <f t="shared" si="723"/>
        <v>0</v>
      </c>
      <c r="EV325" s="643">
        <f t="shared" si="724"/>
        <v>0</v>
      </c>
      <c r="EX325" s="829">
        <f t="shared" si="725"/>
        <v>0</v>
      </c>
      <c r="EY325" s="638">
        <f t="shared" si="726"/>
        <v>627478.55551792926</v>
      </c>
      <c r="FC325" s="830" t="str">
        <f t="shared" si="751"/>
        <v>Y</v>
      </c>
      <c r="FE325" s="830" t="str">
        <f>IFERROR(VLOOKUP($B325,'Historical Conc Grant Elig'!$B$3:$J$707,'HH &amp; SI'!FE$2,0),"N")</f>
        <v>Y</v>
      </c>
      <c r="FF325" s="830" t="str">
        <f>IFERROR(VLOOKUP($B325,'Historical Conc Grant Elig'!$B$3:$J$707,'HH &amp; SI'!FF$2,0),"N")</f>
        <v>Y</v>
      </c>
      <c r="FG325" s="830" t="str">
        <f>IFERROR(VLOOKUP($B325,'Historical Conc Grant Elig'!$B$3:$J$707,'HH &amp; SI'!FG$2,0),"N")</f>
        <v>Y</v>
      </c>
      <c r="FH325" s="830" t="str">
        <f>IFERROR(VLOOKUP($B325,'Historical Conc Grant Elig'!$B$3:$J$707,'HH &amp; SI'!FH$2,0),"N")</f>
        <v>Y</v>
      </c>
      <c r="FI325" s="830" t="str">
        <f>IFERROR(VLOOKUP($B325,'Historical Conc Grant Elig'!$B$3:$J$707,'HH &amp; SI'!FI$2,0),"N")</f>
        <v>Y</v>
      </c>
      <c r="FJ325" s="830" t="str">
        <f>IFERROR(VLOOKUP($B325,'Historical Conc Grant Elig'!$B$3:$J$707,'HH &amp; SI'!FJ$2,0),"N")</f>
        <v>Y</v>
      </c>
      <c r="FK325" s="830" t="str">
        <f>IFERROR(VLOOKUP($B325,'Historical Conc Grant Elig'!$B$3:$J$707,'HH &amp; SI'!FK$2,0),"N")</f>
        <v>Y</v>
      </c>
      <c r="FL325" s="957" t="str">
        <f>IFERROR(VLOOKUP($B325,'Historical Conc Grant Elig'!$B$3:$J$707,'HH &amp; SI'!FL$2,0),"N")</f>
        <v>Y</v>
      </c>
    </row>
    <row r="326" spans="2:168" x14ac:dyDescent="0.25">
      <c r="B326" s="634">
        <v>88620000</v>
      </c>
      <c r="C326" s="635" t="str">
        <f>VLOOKUP($B326,'Afton Update'!$A$5:$CR$582,'Afton Update'!D$589,0)</f>
        <v>Kingman Academy Of Learning</v>
      </c>
      <c r="D326" s="636">
        <f>IFERROR(VLOOKUP($B326,'Afton FY16 Final'!$A$5:$BV$587,'Afton FY16 Final'!AQ$587,0),0)</f>
        <v>98833.498829885473</v>
      </c>
      <c r="E326" s="637">
        <f>IFERROR(VLOOKUP($B326,'Afton FY16 Final'!$A$5:$BV$587,'Afton FY16 Final'!AR$587,0),0)</f>
        <v>23006.244295499644</v>
      </c>
      <c r="F326" s="637">
        <f>IFERROR(VLOOKUP($B326,'Afton FY16 Final'!$A$5:$BV$587,'Afton FY16 Final'!AS$587,0),0)</f>
        <v>48035.436899217988</v>
      </c>
      <c r="G326" s="637">
        <f>IFERROR(VLOOKUP($B326,'Afton FY16 Final'!$A$5:$BV$587,'Afton FY16 Final'!AT$587,0),0)</f>
        <v>46509.96087087629</v>
      </c>
      <c r="H326" s="638">
        <f>IFERROR(VLOOKUP($B326,'Afton FY16 Final'!$A$5:$BV$587,'Afton FY16 Final'!AU$587,0),0)</f>
        <v>216385.14089547939</v>
      </c>
      <c r="I326" s="639" t="str">
        <f>VLOOKUP($B326,'Afton Update'!$A$5:$CR$582,'Afton Update'!BT$589,0)</f>
        <v>Y</v>
      </c>
      <c r="J326" s="640" t="str">
        <f>VLOOKUP($B326,'Afton Update'!$A$5:$CR$582,'Afton Update'!BU$589,0)</f>
        <v>Y</v>
      </c>
      <c r="K326" s="640" t="str">
        <f>VLOOKUP($B326,'Afton Update'!$A$5:$CR$582,'Afton Update'!BV$589,0)</f>
        <v>Y</v>
      </c>
      <c r="L326" s="641" t="str">
        <f>VLOOKUP($B326,'Afton Update'!$A$5:$CR$582,'Afton Update'!BW$589,0)</f>
        <v>Y</v>
      </c>
      <c r="N326" s="642">
        <f>VLOOKUP($B326,'Afton Update'!$A$5:$CR$582,'Afton Update'!CB$589,0)</f>
        <v>0.9</v>
      </c>
      <c r="P326" s="636">
        <f>VLOOKUP($B326,'Afton Update'!$A$5:$CR$582,'Afton Update'!AH$589,0)</f>
        <v>105248.99072011613</v>
      </c>
      <c r="Q326" s="637">
        <f>VLOOKUP($B326,'Afton Update'!$A$5:$CR$582,'Afton Update'!AI$589,0)</f>
        <v>24967.830847122335</v>
      </c>
      <c r="R326" s="637">
        <f>VLOOKUP($B326,'Afton Update'!$A$5:$CR$582,'Afton Update'!AJ$589,0)</f>
        <v>54714.85490275421</v>
      </c>
      <c r="S326" s="637">
        <f>VLOOKUP($B326,'Afton Update'!$A$5:$CR$582,'Afton Update'!AK$589,0)</f>
        <v>49990.587037696096</v>
      </c>
      <c r="T326" s="643">
        <f t="shared" si="752"/>
        <v>234922.26350768877</v>
      </c>
      <c r="V326" s="636">
        <f t="shared" si="778"/>
        <v>103813.32617339824</v>
      </c>
      <c r="W326" s="637">
        <f t="shared" si="779"/>
        <v>24145.481783786145</v>
      </c>
      <c r="X326" s="637">
        <f t="shared" si="780"/>
        <v>54217.244660021024</v>
      </c>
      <c r="Y326" s="637">
        <f t="shared" si="781"/>
        <v>49439.78075619405</v>
      </c>
      <c r="Z326" s="643">
        <f t="shared" si="782"/>
        <v>231615.83337339948</v>
      </c>
      <c r="AB326" s="644">
        <f t="shared" si="753"/>
        <v>105248.99072011613</v>
      </c>
      <c r="AC326" s="645">
        <f t="shared" si="727"/>
        <v>88950.148946896923</v>
      </c>
      <c r="AD326" s="644">
        <f t="shared" si="783"/>
        <v>0</v>
      </c>
      <c r="AE326" s="645">
        <f t="shared" si="784"/>
        <v>105248.99072011613</v>
      </c>
      <c r="AF326" s="646">
        <f t="shared" si="785"/>
        <v>-1304.6403324869618</v>
      </c>
      <c r="AG326" s="647">
        <f t="shared" si="786"/>
        <v>103944.35038762917</v>
      </c>
      <c r="AH326" s="644">
        <f t="shared" si="754"/>
        <v>0</v>
      </c>
      <c r="AI326" s="645">
        <f t="shared" si="755"/>
        <v>103944.35038762917</v>
      </c>
      <c r="AJ326" s="646">
        <f t="shared" si="787"/>
        <v>-130.94073910647299</v>
      </c>
      <c r="AK326" s="647">
        <f t="shared" si="756"/>
        <v>103813.40964852269</v>
      </c>
      <c r="AL326" s="644">
        <f t="shared" si="788"/>
        <v>0</v>
      </c>
      <c r="AM326" s="645">
        <f t="shared" si="789"/>
        <v>103813.40964852269</v>
      </c>
      <c r="AN326" s="646">
        <f t="shared" si="790"/>
        <v>-8.3475124455200736E-2</v>
      </c>
      <c r="AO326" s="647">
        <f t="shared" si="757"/>
        <v>103813.32617339824</v>
      </c>
      <c r="AP326" s="644">
        <f t="shared" si="791"/>
        <v>0</v>
      </c>
      <c r="AQ326" s="645">
        <f t="shared" si="792"/>
        <v>103813.32617339824</v>
      </c>
      <c r="AR326" s="646">
        <f t="shared" si="793"/>
        <v>0</v>
      </c>
      <c r="AS326" s="647">
        <f t="shared" si="758"/>
        <v>103813.32617339824</v>
      </c>
      <c r="AT326" s="644">
        <f t="shared" si="794"/>
        <v>0</v>
      </c>
      <c r="AU326" s="645">
        <f t="shared" si="795"/>
        <v>103813.32617339824</v>
      </c>
      <c r="AV326" s="646">
        <f t="shared" si="796"/>
        <v>0</v>
      </c>
      <c r="AW326" s="647">
        <f t="shared" si="759"/>
        <v>103813.32617339824</v>
      </c>
      <c r="AY326" s="644">
        <f t="shared" si="797"/>
        <v>24967.830847122335</v>
      </c>
      <c r="AZ326" s="645">
        <f t="shared" si="728"/>
        <v>20705.61986594968</v>
      </c>
      <c r="BA326" s="644">
        <f t="shared" si="798"/>
        <v>0</v>
      </c>
      <c r="BB326" s="645">
        <f t="shared" si="799"/>
        <v>24967.830847122335</v>
      </c>
      <c r="BC326" s="646">
        <f t="shared" si="800"/>
        <v>-179.55094800769285</v>
      </c>
      <c r="BD326" s="647">
        <f t="shared" si="801"/>
        <v>24788.279899114641</v>
      </c>
      <c r="BE326" s="644">
        <f t="shared" si="760"/>
        <v>0</v>
      </c>
      <c r="BF326" s="645">
        <f t="shared" si="761"/>
        <v>24788.279899114641</v>
      </c>
      <c r="BG326" s="646">
        <f t="shared" si="802"/>
        <v>-590.43662620617351</v>
      </c>
      <c r="BH326" s="647">
        <f t="shared" si="762"/>
        <v>24197.843272908467</v>
      </c>
      <c r="BI326" s="644">
        <f t="shared" si="803"/>
        <v>0</v>
      </c>
      <c r="BJ326" s="645">
        <f t="shared" si="804"/>
        <v>24197.843272908467</v>
      </c>
      <c r="BK326" s="646">
        <f t="shared" si="805"/>
        <v>-51.256715448085245</v>
      </c>
      <c r="BL326" s="647">
        <f t="shared" si="763"/>
        <v>24146.586557460381</v>
      </c>
      <c r="BM326" s="644">
        <f t="shared" si="806"/>
        <v>0</v>
      </c>
      <c r="BN326" s="645">
        <f t="shared" si="807"/>
        <v>24146.586557460381</v>
      </c>
      <c r="BO326" s="646">
        <f t="shared" si="808"/>
        <v>-1.1047736742367829</v>
      </c>
      <c r="BP326" s="647">
        <f t="shared" si="764"/>
        <v>24145.481783786145</v>
      </c>
      <c r="BQ326" s="644">
        <f t="shared" si="809"/>
        <v>0</v>
      </c>
      <c r="BR326" s="645">
        <f t="shared" si="810"/>
        <v>24145.481783786145</v>
      </c>
      <c r="BS326" s="646">
        <f t="shared" si="811"/>
        <v>0</v>
      </c>
      <c r="BT326" s="647">
        <f t="shared" si="765"/>
        <v>24145.481783786145</v>
      </c>
      <c r="BU326" s="662">
        <f>VLOOKUP(B326,'Afton Update'!$A$5:$AR$582,'Afton Update'!$AO$589,0)-BT326</f>
        <v>0</v>
      </c>
      <c r="BV326" s="644">
        <f t="shared" si="812"/>
        <v>54714.85490275421</v>
      </c>
      <c r="BW326" s="645">
        <f t="shared" si="729"/>
        <v>43231.893209296191</v>
      </c>
      <c r="BX326" s="644">
        <f t="shared" si="813"/>
        <v>0</v>
      </c>
      <c r="BY326" s="645">
        <f t="shared" si="814"/>
        <v>54714.85490275421</v>
      </c>
      <c r="BZ326" s="646">
        <f t="shared" si="815"/>
        <v>-480.23809869985956</v>
      </c>
      <c r="CA326" s="647">
        <f t="shared" si="816"/>
        <v>54234.616804054349</v>
      </c>
      <c r="CB326" s="644">
        <f t="shared" si="766"/>
        <v>0</v>
      </c>
      <c r="CC326" s="645">
        <f t="shared" si="767"/>
        <v>54234.616804054349</v>
      </c>
      <c r="CD326" s="646">
        <f t="shared" si="817"/>
        <v>-17.372144033321923</v>
      </c>
      <c r="CE326" s="647">
        <f t="shared" si="768"/>
        <v>54217.244660021024</v>
      </c>
      <c r="CF326" s="644">
        <f t="shared" si="818"/>
        <v>0</v>
      </c>
      <c r="CG326" s="645">
        <f t="shared" si="819"/>
        <v>54217.244660021024</v>
      </c>
      <c r="CH326" s="646">
        <f t="shared" si="820"/>
        <v>0</v>
      </c>
      <c r="CI326" s="647">
        <f t="shared" si="769"/>
        <v>54217.244660021024</v>
      </c>
      <c r="CJ326" s="644">
        <f t="shared" si="821"/>
        <v>0</v>
      </c>
      <c r="CK326" s="645">
        <f t="shared" si="822"/>
        <v>54217.244660021024</v>
      </c>
      <c r="CL326" s="646">
        <f t="shared" si="823"/>
        <v>0</v>
      </c>
      <c r="CM326" s="647">
        <f t="shared" si="770"/>
        <v>54217.244660021024</v>
      </c>
      <c r="CN326" s="644">
        <f t="shared" si="824"/>
        <v>0</v>
      </c>
      <c r="CO326" s="645">
        <f t="shared" si="825"/>
        <v>54217.244660021024</v>
      </c>
      <c r="CP326" s="646">
        <f t="shared" si="826"/>
        <v>0</v>
      </c>
      <c r="CQ326" s="647">
        <f t="shared" si="771"/>
        <v>54217.244660021024</v>
      </c>
      <c r="CS326" s="644">
        <f t="shared" si="827"/>
        <v>49990.587037696096</v>
      </c>
      <c r="CT326" s="645">
        <f t="shared" si="730"/>
        <v>41858.964783788659</v>
      </c>
      <c r="CU326" s="644">
        <f t="shared" si="828"/>
        <v>0</v>
      </c>
      <c r="CV326" s="645">
        <f t="shared" si="829"/>
        <v>49990.587037696096</v>
      </c>
      <c r="CW326" s="646">
        <f t="shared" si="830"/>
        <v>-511.93186204532105</v>
      </c>
      <c r="CX326" s="647">
        <f t="shared" si="831"/>
        <v>49478.655175650776</v>
      </c>
      <c r="CY326" s="644">
        <f t="shared" si="772"/>
        <v>0</v>
      </c>
      <c r="CZ326" s="645">
        <f t="shared" si="773"/>
        <v>49478.655175650776</v>
      </c>
      <c r="DA326" s="646">
        <f t="shared" si="832"/>
        <v>-38.840923997504675</v>
      </c>
      <c r="DB326" s="647">
        <f t="shared" si="774"/>
        <v>49439.814251653268</v>
      </c>
      <c r="DC326" s="644">
        <f t="shared" si="833"/>
        <v>0</v>
      </c>
      <c r="DD326" s="645">
        <f t="shared" si="834"/>
        <v>49439.814251653268</v>
      </c>
      <c r="DE326" s="646">
        <f t="shared" si="835"/>
        <v>-3.3495459218686623E-2</v>
      </c>
      <c r="DF326" s="647">
        <f t="shared" si="775"/>
        <v>49439.78075619405</v>
      </c>
      <c r="DG326" s="644">
        <f t="shared" si="836"/>
        <v>0</v>
      </c>
      <c r="DH326" s="645">
        <f t="shared" si="837"/>
        <v>49439.78075619405</v>
      </c>
      <c r="DI326" s="646">
        <f t="shared" si="838"/>
        <v>0</v>
      </c>
      <c r="DJ326" s="647">
        <f t="shared" si="776"/>
        <v>49439.78075619405</v>
      </c>
      <c r="DK326" s="644">
        <f t="shared" si="839"/>
        <v>0</v>
      </c>
      <c r="DL326" s="645">
        <f t="shared" si="840"/>
        <v>49439.78075619405</v>
      </c>
      <c r="DM326" s="646">
        <f t="shared" si="841"/>
        <v>0</v>
      </c>
      <c r="DN326" s="647">
        <f t="shared" si="777"/>
        <v>49439.78075619405</v>
      </c>
      <c r="DR326" s="827">
        <f t="shared" si="731"/>
        <v>231615.83337339948</v>
      </c>
      <c r="DV326" s="828">
        <f>IFERROR(VLOOKUP($B326,'Afton FY16 Final'!$A$5:$BV$587,'Afton FY16 Final'!$BV$587,0),0)</f>
        <v>212124.51750708267</v>
      </c>
      <c r="DX326" s="636">
        <f t="shared" si="719"/>
        <v>231615.83337339948</v>
      </c>
      <c r="DY326" s="637">
        <f t="shared" si="720"/>
        <v>19491.315866316814</v>
      </c>
      <c r="DZ326" s="637">
        <f t="shared" si="721"/>
        <v>212124.51750708267</v>
      </c>
      <c r="EA326" s="643">
        <f t="shared" si="722"/>
        <v>219296.46684944638</v>
      </c>
      <c r="EB326" s="637">
        <f t="shared" si="732"/>
        <v>0</v>
      </c>
      <c r="EC326" s="637">
        <f t="shared" si="733"/>
        <v>219296.46684944638</v>
      </c>
      <c r="ED326" s="637">
        <f t="shared" si="734"/>
        <v>218642.53787899468</v>
      </c>
      <c r="EE326" s="643">
        <f t="shared" si="735"/>
        <v>218642.53787899468</v>
      </c>
      <c r="EF326" s="637">
        <f t="shared" si="736"/>
        <v>0</v>
      </c>
      <c r="EG326" s="637">
        <f t="shared" si="737"/>
        <v>218642.53787899468</v>
      </c>
      <c r="EH326" s="637">
        <f t="shared" si="738"/>
        <v>218642.31231402262</v>
      </c>
      <c r="EI326" s="643">
        <f t="shared" si="739"/>
        <v>218642.31231402262</v>
      </c>
      <c r="EJ326" s="637">
        <f t="shared" si="740"/>
        <v>0</v>
      </c>
      <c r="EK326" s="637">
        <f t="shared" si="741"/>
        <v>218642.31231402262</v>
      </c>
      <c r="EL326" s="637">
        <f t="shared" si="742"/>
        <v>218642.3123140223</v>
      </c>
      <c r="EM326" s="643">
        <f t="shared" si="743"/>
        <v>218642.3123140223</v>
      </c>
      <c r="EN326" s="637">
        <f t="shared" si="744"/>
        <v>0</v>
      </c>
      <c r="EO326" s="637">
        <f t="shared" si="745"/>
        <v>218642.3123140223</v>
      </c>
      <c r="EP326" s="637">
        <f t="shared" si="746"/>
        <v>218642.31231402265</v>
      </c>
      <c r="EQ326" s="643">
        <f t="shared" si="747"/>
        <v>218642.31231402265</v>
      </c>
      <c r="ER326" s="637">
        <f t="shared" si="748"/>
        <v>0</v>
      </c>
      <c r="ES326" s="637">
        <f t="shared" si="749"/>
        <v>218642.31231402265</v>
      </c>
      <c r="ET326" s="637">
        <f t="shared" si="750"/>
        <v>218642.3123140223</v>
      </c>
      <c r="EU326" s="643">
        <f t="shared" si="723"/>
        <v>218642.3123140223</v>
      </c>
      <c r="EV326" s="643">
        <f t="shared" si="724"/>
        <v>0</v>
      </c>
      <c r="EX326" s="829">
        <f t="shared" si="725"/>
        <v>12973.521059377177</v>
      </c>
      <c r="EY326" s="638">
        <f t="shared" si="726"/>
        <v>218642.3123140223</v>
      </c>
      <c r="FC326" s="830" t="str">
        <f t="shared" si="751"/>
        <v>Y</v>
      </c>
      <c r="FE326" s="830" t="str">
        <f>IFERROR(VLOOKUP($B326,'Historical Conc Grant Elig'!$B$3:$J$707,'HH &amp; SI'!FE$2,0),"N")</f>
        <v>N</v>
      </c>
      <c r="FF326" s="830" t="str">
        <f>IFERROR(VLOOKUP($B326,'Historical Conc Grant Elig'!$B$3:$J$707,'HH &amp; SI'!FF$2,0),"N")</f>
        <v>N</v>
      </c>
      <c r="FG326" s="830" t="str">
        <f>IFERROR(VLOOKUP($B326,'Historical Conc Grant Elig'!$B$3:$J$707,'HH &amp; SI'!FG$2,0),"N")</f>
        <v>N</v>
      </c>
      <c r="FH326" s="830" t="str">
        <f>IFERROR(VLOOKUP($B326,'Historical Conc Grant Elig'!$B$3:$J$707,'HH &amp; SI'!FH$2,0),"N")</f>
        <v>Y</v>
      </c>
      <c r="FI326" s="830" t="str">
        <f>IFERROR(VLOOKUP($B326,'Historical Conc Grant Elig'!$B$3:$J$707,'HH &amp; SI'!FI$2,0),"N")</f>
        <v>Y</v>
      </c>
      <c r="FJ326" s="830" t="str">
        <f>IFERROR(VLOOKUP($B326,'Historical Conc Grant Elig'!$B$3:$J$707,'HH &amp; SI'!FJ$2,0),"N")</f>
        <v>Y</v>
      </c>
      <c r="FK326" s="830" t="str">
        <f>IFERROR(VLOOKUP($B326,'Historical Conc Grant Elig'!$B$3:$J$707,'HH &amp; SI'!FK$2,0),"N")</f>
        <v>Y</v>
      </c>
      <c r="FL326" s="957" t="str">
        <f>IFERROR(VLOOKUP($B326,'Historical Conc Grant Elig'!$B$3:$J$707,'HH &amp; SI'!FL$2,0),"N")</f>
        <v>Y</v>
      </c>
    </row>
    <row r="327" spans="2:168" x14ac:dyDescent="0.25">
      <c r="B327" s="634">
        <v>88702000</v>
      </c>
      <c r="C327" s="635" t="str">
        <f>VLOOKUP($B327,'Afton Update'!$A$5:$CR$582,'Afton Update'!D$589,0)</f>
        <v>Telesis Center for Learning  Inc.</v>
      </c>
      <c r="D327" s="636">
        <f>IFERROR(VLOOKUP($B327,'Afton FY16 Final'!$A$5:$BV$587,'Afton FY16 Final'!AQ$587,0),0)</f>
        <v>77159.685845456013</v>
      </c>
      <c r="E327" s="637">
        <f>IFERROR(VLOOKUP($B327,'Afton FY16 Final'!$A$5:$BV$587,'Afton FY16 Final'!AR$587,0),0)</f>
        <v>18004.925377685115</v>
      </c>
      <c r="F327" s="637">
        <f>IFERROR(VLOOKUP($B327,'Afton FY16 Final'!$A$5:$BV$587,'Afton FY16 Final'!AS$587,0),0)</f>
        <v>38163.706162494913</v>
      </c>
      <c r="G327" s="637">
        <f>IFERROR(VLOOKUP($B327,'Afton FY16 Final'!$A$5:$BV$587,'Afton FY16 Final'!AT$587,0),0)</f>
        <v>36913.708835114317</v>
      </c>
      <c r="H327" s="638">
        <f>IFERROR(VLOOKUP($B327,'Afton FY16 Final'!$A$5:$BV$587,'Afton FY16 Final'!AU$587,0),0)</f>
        <v>170242.02622075035</v>
      </c>
      <c r="I327" s="639" t="str">
        <f>VLOOKUP($B327,'Afton Update'!$A$5:$CR$582,'Afton Update'!BT$589,0)</f>
        <v>Y</v>
      </c>
      <c r="J327" s="640" t="str">
        <f>VLOOKUP($B327,'Afton Update'!$A$5:$CR$582,'Afton Update'!BU$589,0)</f>
        <v>Y</v>
      </c>
      <c r="K327" s="640" t="str">
        <f>VLOOKUP($B327,'Afton Update'!$A$5:$CR$582,'Afton Update'!BV$589,0)</f>
        <v>Y</v>
      </c>
      <c r="L327" s="641" t="str">
        <f>VLOOKUP($B327,'Afton Update'!$A$5:$CR$582,'Afton Update'!BW$589,0)</f>
        <v>Y</v>
      </c>
      <c r="N327" s="642">
        <f>VLOOKUP($B327,'Afton Update'!$A$5:$CR$582,'Afton Update'!CB$589,0)</f>
        <v>0.95</v>
      </c>
      <c r="P327" s="636">
        <f>VLOOKUP($B327,'Afton Update'!$A$5:$CR$582,'Afton Update'!AH$589,0)</f>
        <v>70026.30933308792</v>
      </c>
      <c r="Q327" s="637">
        <f>VLOOKUP($B327,'Afton Update'!$A$5:$CR$582,'Afton Update'!AI$589,0)</f>
        <v>16614.036533682505</v>
      </c>
      <c r="R327" s="637">
        <f>VLOOKUP($B327,'Afton Update'!$A$5:$CR$582,'Afton Update'!AJ$589,0)</f>
        <v>36388.761912150832</v>
      </c>
      <c r="S327" s="637">
        <f>VLOOKUP($B327,'Afton Update'!$A$5:$CR$582,'Afton Update'!AK$589,0)</f>
        <v>33253.966359005753</v>
      </c>
      <c r="T327" s="643">
        <f t="shared" si="752"/>
        <v>156283.074137927</v>
      </c>
      <c r="V327" s="636">
        <f t="shared" si="778"/>
        <v>73301.701553183215</v>
      </c>
      <c r="W327" s="637">
        <f t="shared" si="779"/>
        <v>17104.679108800858</v>
      </c>
      <c r="X327" s="637">
        <f t="shared" si="780"/>
        <v>36255.520854370166</v>
      </c>
      <c r="Y327" s="637">
        <f t="shared" si="781"/>
        <v>35068.023393358599</v>
      </c>
      <c r="Z327" s="643">
        <f t="shared" si="782"/>
        <v>161729.92490971283</v>
      </c>
      <c r="AB327" s="644">
        <f t="shared" si="753"/>
        <v>70026.30933308792</v>
      </c>
      <c r="AC327" s="645">
        <f t="shared" si="727"/>
        <v>73301.701553183215</v>
      </c>
      <c r="AD327" s="644">
        <f t="shared" si="783"/>
        <v>3275.3922200952948</v>
      </c>
      <c r="AE327" s="645">
        <f t="shared" si="784"/>
        <v>0</v>
      </c>
      <c r="AF327" s="646">
        <f t="shared" si="785"/>
        <v>0</v>
      </c>
      <c r="AG327" s="647">
        <f t="shared" si="786"/>
        <v>73301.701553183215</v>
      </c>
      <c r="AH327" s="644">
        <f t="shared" si="754"/>
        <v>0</v>
      </c>
      <c r="AI327" s="645">
        <f t="shared" si="755"/>
        <v>0</v>
      </c>
      <c r="AJ327" s="646">
        <f t="shared" si="787"/>
        <v>0</v>
      </c>
      <c r="AK327" s="647">
        <f t="shared" si="756"/>
        <v>73301.701553183215</v>
      </c>
      <c r="AL327" s="644">
        <f t="shared" si="788"/>
        <v>0</v>
      </c>
      <c r="AM327" s="645">
        <f t="shared" si="789"/>
        <v>0</v>
      </c>
      <c r="AN327" s="646">
        <f t="shared" si="790"/>
        <v>0</v>
      </c>
      <c r="AO327" s="647">
        <f t="shared" si="757"/>
        <v>73301.701553183215</v>
      </c>
      <c r="AP327" s="644">
        <f t="shared" si="791"/>
        <v>0</v>
      </c>
      <c r="AQ327" s="645">
        <f t="shared" si="792"/>
        <v>0</v>
      </c>
      <c r="AR327" s="646">
        <f t="shared" si="793"/>
        <v>0</v>
      </c>
      <c r="AS327" s="647">
        <f t="shared" si="758"/>
        <v>73301.701553183215</v>
      </c>
      <c r="AT327" s="644">
        <f t="shared" si="794"/>
        <v>0</v>
      </c>
      <c r="AU327" s="645">
        <f t="shared" si="795"/>
        <v>0</v>
      </c>
      <c r="AV327" s="646">
        <f t="shared" si="796"/>
        <v>0</v>
      </c>
      <c r="AW327" s="647">
        <f t="shared" si="759"/>
        <v>73301.701553183215</v>
      </c>
      <c r="AY327" s="644">
        <f t="shared" si="797"/>
        <v>16614.036533682505</v>
      </c>
      <c r="AZ327" s="645">
        <f t="shared" si="728"/>
        <v>17104.679108800858</v>
      </c>
      <c r="BA327" s="644">
        <f t="shared" si="798"/>
        <v>490.6425751183524</v>
      </c>
      <c r="BB327" s="645">
        <f t="shared" si="799"/>
        <v>0</v>
      </c>
      <c r="BC327" s="646">
        <f t="shared" si="800"/>
        <v>0</v>
      </c>
      <c r="BD327" s="647">
        <f t="shared" si="801"/>
        <v>17104.679108800858</v>
      </c>
      <c r="BE327" s="644">
        <f t="shared" si="760"/>
        <v>0</v>
      </c>
      <c r="BF327" s="645">
        <f t="shared" si="761"/>
        <v>0</v>
      </c>
      <c r="BG327" s="646">
        <f t="shared" si="802"/>
        <v>0</v>
      </c>
      <c r="BH327" s="647">
        <f t="shared" si="762"/>
        <v>17104.679108800858</v>
      </c>
      <c r="BI327" s="644">
        <f t="shared" si="803"/>
        <v>0</v>
      </c>
      <c r="BJ327" s="645">
        <f t="shared" si="804"/>
        <v>0</v>
      </c>
      <c r="BK327" s="646">
        <f t="shared" si="805"/>
        <v>0</v>
      </c>
      <c r="BL327" s="647">
        <f t="shared" si="763"/>
        <v>17104.679108800858</v>
      </c>
      <c r="BM327" s="644">
        <f t="shared" si="806"/>
        <v>0</v>
      </c>
      <c r="BN327" s="645">
        <f t="shared" si="807"/>
        <v>0</v>
      </c>
      <c r="BO327" s="646">
        <f t="shared" si="808"/>
        <v>0</v>
      </c>
      <c r="BP327" s="647">
        <f t="shared" si="764"/>
        <v>17104.679108800858</v>
      </c>
      <c r="BQ327" s="644">
        <f t="shared" si="809"/>
        <v>0</v>
      </c>
      <c r="BR327" s="645">
        <f t="shared" si="810"/>
        <v>0</v>
      </c>
      <c r="BS327" s="646">
        <f t="shared" si="811"/>
        <v>0</v>
      </c>
      <c r="BT327" s="647">
        <f t="shared" si="765"/>
        <v>17104.679108800858</v>
      </c>
      <c r="BU327" s="662">
        <f>VLOOKUP(B327,'Afton Update'!$A$5:$AR$582,'Afton Update'!$AO$589,0)-BT327</f>
        <v>0</v>
      </c>
      <c r="BV327" s="644">
        <f t="shared" si="812"/>
        <v>36388.761912150832</v>
      </c>
      <c r="BW327" s="645">
        <f t="shared" si="729"/>
        <v>36255.520854370166</v>
      </c>
      <c r="BX327" s="644">
        <f t="shared" si="813"/>
        <v>0</v>
      </c>
      <c r="BY327" s="645">
        <f t="shared" si="814"/>
        <v>36388.761912150832</v>
      </c>
      <c r="BZ327" s="646">
        <f t="shared" si="815"/>
        <v>-319.38803211289377</v>
      </c>
      <c r="CA327" s="647">
        <f t="shared" si="816"/>
        <v>36069.373880037936</v>
      </c>
      <c r="CB327" s="644">
        <f t="shared" si="766"/>
        <v>-186.14697433223046</v>
      </c>
      <c r="CC327" s="645">
        <f t="shared" si="767"/>
        <v>0</v>
      </c>
      <c r="CD327" s="646">
        <f t="shared" si="817"/>
        <v>0</v>
      </c>
      <c r="CE327" s="647">
        <f t="shared" si="768"/>
        <v>36255.520854370166</v>
      </c>
      <c r="CF327" s="644">
        <f t="shared" si="818"/>
        <v>0</v>
      </c>
      <c r="CG327" s="645">
        <f t="shared" si="819"/>
        <v>0</v>
      </c>
      <c r="CH327" s="646">
        <f t="shared" si="820"/>
        <v>0</v>
      </c>
      <c r="CI327" s="647">
        <f t="shared" si="769"/>
        <v>36255.520854370166</v>
      </c>
      <c r="CJ327" s="644">
        <f t="shared" si="821"/>
        <v>0</v>
      </c>
      <c r="CK327" s="645">
        <f t="shared" si="822"/>
        <v>0</v>
      </c>
      <c r="CL327" s="646">
        <f t="shared" si="823"/>
        <v>0</v>
      </c>
      <c r="CM327" s="647">
        <f t="shared" si="770"/>
        <v>36255.520854370166</v>
      </c>
      <c r="CN327" s="644">
        <f t="shared" si="824"/>
        <v>0</v>
      </c>
      <c r="CO327" s="645">
        <f t="shared" si="825"/>
        <v>0</v>
      </c>
      <c r="CP327" s="646">
        <f t="shared" si="826"/>
        <v>0</v>
      </c>
      <c r="CQ327" s="647">
        <f t="shared" si="771"/>
        <v>36255.520854370166</v>
      </c>
      <c r="CS327" s="644">
        <f t="shared" si="827"/>
        <v>33253.966359005753</v>
      </c>
      <c r="CT327" s="645">
        <f t="shared" si="730"/>
        <v>35068.023393358599</v>
      </c>
      <c r="CU327" s="644">
        <f t="shared" si="828"/>
        <v>1814.0570343528452</v>
      </c>
      <c r="CV327" s="645">
        <f t="shared" si="829"/>
        <v>0</v>
      </c>
      <c r="CW327" s="646">
        <f t="shared" si="830"/>
        <v>0</v>
      </c>
      <c r="CX327" s="647">
        <f t="shared" si="831"/>
        <v>35068.023393358599</v>
      </c>
      <c r="CY327" s="644">
        <f t="shared" si="772"/>
        <v>0</v>
      </c>
      <c r="CZ327" s="645">
        <f t="shared" si="773"/>
        <v>0</v>
      </c>
      <c r="DA327" s="646">
        <f t="shared" si="832"/>
        <v>0</v>
      </c>
      <c r="DB327" s="647">
        <f t="shared" si="774"/>
        <v>35068.023393358599</v>
      </c>
      <c r="DC327" s="644">
        <f t="shared" si="833"/>
        <v>0</v>
      </c>
      <c r="DD327" s="645">
        <f t="shared" si="834"/>
        <v>0</v>
      </c>
      <c r="DE327" s="646">
        <f t="shared" si="835"/>
        <v>0</v>
      </c>
      <c r="DF327" s="647">
        <f t="shared" si="775"/>
        <v>35068.023393358599</v>
      </c>
      <c r="DG327" s="644">
        <f t="shared" si="836"/>
        <v>0</v>
      </c>
      <c r="DH327" s="645">
        <f t="shared" si="837"/>
        <v>0</v>
      </c>
      <c r="DI327" s="646">
        <f t="shared" si="838"/>
        <v>0</v>
      </c>
      <c r="DJ327" s="647">
        <f t="shared" si="776"/>
        <v>35068.023393358599</v>
      </c>
      <c r="DK327" s="644">
        <f t="shared" si="839"/>
        <v>0</v>
      </c>
      <c r="DL327" s="645">
        <f t="shared" si="840"/>
        <v>0</v>
      </c>
      <c r="DM327" s="646">
        <f t="shared" si="841"/>
        <v>0</v>
      </c>
      <c r="DN327" s="647">
        <f t="shared" si="777"/>
        <v>35068.023393358599</v>
      </c>
      <c r="DR327" s="827">
        <f t="shared" si="731"/>
        <v>161729.92490971283</v>
      </c>
      <c r="DV327" s="828">
        <f>IFERROR(VLOOKUP($B327,'Afton FY16 Final'!$A$5:$BV$587,'Afton FY16 Final'!$BV$587,0),0)</f>
        <v>166889.96075265735</v>
      </c>
      <c r="DX327" s="636">
        <f t="shared" ref="DX327:DX391" si="842">IF(DR327&gt;DV327,DR327,0)</f>
        <v>0</v>
      </c>
      <c r="DY327" s="637">
        <f t="shared" ref="DY327:DY391" si="843">IF(DX327&gt;0,DX327-DV327,0)</f>
        <v>0</v>
      </c>
      <c r="DZ327" s="637">
        <f t="shared" ref="DZ327:DZ391" si="844">IF(DX327=0,0,DV327)</f>
        <v>0</v>
      </c>
      <c r="EA327" s="643">
        <f t="shared" ref="EA327:EA391" si="845">DX327/$DX$2*$EA$2</f>
        <v>0</v>
      </c>
      <c r="EB327" s="637">
        <f t="shared" si="732"/>
        <v>0</v>
      </c>
      <c r="EC327" s="637">
        <f t="shared" si="733"/>
        <v>0</v>
      </c>
      <c r="ED327" s="637">
        <f t="shared" si="734"/>
        <v>0</v>
      </c>
      <c r="EE327" s="643">
        <f t="shared" si="735"/>
        <v>0</v>
      </c>
      <c r="EF327" s="637">
        <f t="shared" si="736"/>
        <v>0</v>
      </c>
      <c r="EG327" s="637">
        <f t="shared" si="737"/>
        <v>0</v>
      </c>
      <c r="EH327" s="637">
        <f t="shared" si="738"/>
        <v>0</v>
      </c>
      <c r="EI327" s="643">
        <f t="shared" si="739"/>
        <v>0</v>
      </c>
      <c r="EJ327" s="637">
        <f t="shared" si="740"/>
        <v>0</v>
      </c>
      <c r="EK327" s="637">
        <f t="shared" si="741"/>
        <v>0</v>
      </c>
      <c r="EL327" s="637">
        <f t="shared" si="742"/>
        <v>0</v>
      </c>
      <c r="EM327" s="643">
        <f t="shared" si="743"/>
        <v>0</v>
      </c>
      <c r="EN327" s="637">
        <f t="shared" si="744"/>
        <v>0</v>
      </c>
      <c r="EO327" s="637">
        <f t="shared" si="745"/>
        <v>0</v>
      </c>
      <c r="EP327" s="637">
        <f t="shared" si="746"/>
        <v>0</v>
      </c>
      <c r="EQ327" s="643">
        <f t="shared" si="747"/>
        <v>0</v>
      </c>
      <c r="ER327" s="637">
        <f t="shared" si="748"/>
        <v>0</v>
      </c>
      <c r="ES327" s="637">
        <f t="shared" si="749"/>
        <v>0</v>
      </c>
      <c r="ET327" s="637">
        <f t="shared" si="750"/>
        <v>0</v>
      </c>
      <c r="EU327" s="643">
        <f t="shared" ref="EU327:EU391" si="846">$EJ327+$EF327+$EB327+ET327+ER327+EN327</f>
        <v>0</v>
      </c>
      <c r="EV327" s="643">
        <f t="shared" ref="EV327:EV391" si="847">IF(EU327&lt;$DZ327,$DZ327,0)</f>
        <v>0</v>
      </c>
      <c r="EX327" s="829">
        <f t="shared" ref="EX327:EX391" si="848">IF(EU327=0,0,DR327-EU327)</f>
        <v>0</v>
      </c>
      <c r="EY327" s="638">
        <f t="shared" ref="EY327:EY391" si="849">IF(EU327=0,DR327,EU327)</f>
        <v>161729.92490971283</v>
      </c>
      <c r="FC327" s="830" t="str">
        <f t="shared" si="751"/>
        <v>Y</v>
      </c>
      <c r="FE327" s="830" t="str">
        <f>IFERROR(VLOOKUP($B327,'Historical Conc Grant Elig'!$B$3:$J$707,'HH &amp; SI'!FE$2,0),"N")</f>
        <v>Y</v>
      </c>
      <c r="FF327" s="830" t="str">
        <f>IFERROR(VLOOKUP($B327,'Historical Conc Grant Elig'!$B$3:$J$707,'HH &amp; SI'!FF$2,0),"N")</f>
        <v>Y</v>
      </c>
      <c r="FG327" s="830" t="str">
        <f>IFERROR(VLOOKUP($B327,'Historical Conc Grant Elig'!$B$3:$J$707,'HH &amp; SI'!FG$2,0),"N")</f>
        <v>Y</v>
      </c>
      <c r="FH327" s="830" t="str">
        <f>IFERROR(VLOOKUP($B327,'Historical Conc Grant Elig'!$B$3:$J$707,'HH &amp; SI'!FH$2,0),"N")</f>
        <v>Y</v>
      </c>
      <c r="FI327" s="830" t="str">
        <f>IFERROR(VLOOKUP($B327,'Historical Conc Grant Elig'!$B$3:$J$707,'HH &amp; SI'!FI$2,0),"N")</f>
        <v>Y</v>
      </c>
      <c r="FJ327" s="830" t="str">
        <f>IFERROR(VLOOKUP($B327,'Historical Conc Grant Elig'!$B$3:$J$707,'HH &amp; SI'!FJ$2,0),"N")</f>
        <v>Y</v>
      </c>
      <c r="FK327" s="830" t="str">
        <f>IFERROR(VLOOKUP($B327,'Historical Conc Grant Elig'!$B$3:$J$707,'HH &amp; SI'!FK$2,0),"N")</f>
        <v>Y</v>
      </c>
      <c r="FL327" s="957" t="str">
        <f>IFERROR(VLOOKUP($B327,'Historical Conc Grant Elig'!$B$3:$J$707,'HH &amp; SI'!FL$2,0),"N")</f>
        <v>Y</v>
      </c>
    </row>
    <row r="328" spans="2:168" x14ac:dyDescent="0.25">
      <c r="B328" s="634">
        <v>88704000</v>
      </c>
      <c r="C328" s="635" t="str">
        <f>VLOOKUP($B328,'Afton Update'!$A$5:$CR$582,'Afton Update'!D$589,0)</f>
        <v>Academy of Building Industries  Inc.</v>
      </c>
      <c r="D328" s="636">
        <f>IFERROR(VLOOKUP($B328,'Afton FY16 Final'!$A$5:$BV$587,'Afton FY16 Final'!AQ$587,0),0)</f>
        <v>16853.992812659337</v>
      </c>
      <c r="E328" s="637">
        <f>IFERROR(VLOOKUP($B328,'Afton FY16 Final'!$A$5:$BV$587,'Afton FY16 Final'!AR$587,0),0)</f>
        <v>3959.3825838841444</v>
      </c>
      <c r="F328" s="637">
        <f>IFERROR(VLOOKUP($B328,'Afton FY16 Final'!$A$5:$BV$587,'Afton FY16 Final'!AS$587,0),0)</f>
        <v>8336.0996395893326</v>
      </c>
      <c r="G328" s="637">
        <f>IFERROR(VLOOKUP($B328,'Afton FY16 Final'!$A$5:$BV$587,'Afton FY16 Final'!AT$587,0),0)</f>
        <v>8063.062680707566</v>
      </c>
      <c r="H328" s="638">
        <f>IFERROR(VLOOKUP($B328,'Afton FY16 Final'!$A$5:$BV$587,'Afton FY16 Final'!AU$587,0),0)</f>
        <v>37212.537716840379</v>
      </c>
      <c r="I328" s="639" t="str">
        <f>VLOOKUP($B328,'Afton Update'!$A$5:$CR$582,'Afton Update'!BT$589,0)</f>
        <v>Y</v>
      </c>
      <c r="J328" s="640" t="str">
        <f>VLOOKUP($B328,'Afton Update'!$A$5:$CR$582,'Afton Update'!BU$589,0)</f>
        <v>Y</v>
      </c>
      <c r="K328" s="640" t="str">
        <f>VLOOKUP($B328,'Afton Update'!$A$5:$CR$582,'Afton Update'!BV$589,0)</f>
        <v>Y</v>
      </c>
      <c r="L328" s="641" t="str">
        <f>VLOOKUP($B328,'Afton Update'!$A$5:$CR$582,'Afton Update'!BW$589,0)</f>
        <v>Y</v>
      </c>
      <c r="N328" s="642">
        <f>VLOOKUP($B328,'Afton Update'!$A$5:$CR$582,'Afton Update'!CB$589,0)</f>
        <v>0.95</v>
      </c>
      <c r="P328" s="636">
        <f>VLOOKUP($B328,'Afton Update'!$A$5:$CR$582,'Afton Update'!AH$589,0)</f>
        <v>12604.459004655408</v>
      </c>
      <c r="Q328" s="637">
        <f>VLOOKUP($B328,'Afton Update'!$A$5:$CR$582,'Afton Update'!AI$589,0)</f>
        <v>2995.2458042091785</v>
      </c>
      <c r="R328" s="637">
        <f>VLOOKUP($B328,'Afton Update'!$A$5:$CR$582,'Afton Update'!AJ$589,0)</f>
        <v>6512.6103140243349</v>
      </c>
      <c r="S328" s="637">
        <f>VLOOKUP($B328,'Afton Update'!$A$5:$CR$582,'Afton Update'!AK$589,0)</f>
        <v>5969.0553366030017</v>
      </c>
      <c r="T328" s="643">
        <f t="shared" si="752"/>
        <v>28081.370459491925</v>
      </c>
      <c r="V328" s="636">
        <f t="shared" si="778"/>
        <v>16011.29317202637</v>
      </c>
      <c r="W328" s="637">
        <f t="shared" si="779"/>
        <v>3761.4134546899372</v>
      </c>
      <c r="X328" s="637">
        <f t="shared" si="780"/>
        <v>7919.2946576098657</v>
      </c>
      <c r="Y328" s="637">
        <f t="shared" si="781"/>
        <v>7659.9095466721874</v>
      </c>
      <c r="Z328" s="643">
        <f t="shared" si="782"/>
        <v>35351.910830998357</v>
      </c>
      <c r="AB328" s="644">
        <f t="shared" si="753"/>
        <v>12604.459004655408</v>
      </c>
      <c r="AC328" s="645">
        <f t="shared" ref="AC328:AC399" si="850">IF(I328="N",0,D328*$N328)</f>
        <v>16011.29317202637</v>
      </c>
      <c r="AD328" s="644">
        <f t="shared" si="783"/>
        <v>3406.8341673709619</v>
      </c>
      <c r="AE328" s="645">
        <f t="shared" si="784"/>
        <v>0</v>
      </c>
      <c r="AF328" s="646">
        <f t="shared" si="785"/>
        <v>0</v>
      </c>
      <c r="AG328" s="647">
        <f t="shared" si="786"/>
        <v>16011.29317202637</v>
      </c>
      <c r="AH328" s="644">
        <f t="shared" si="754"/>
        <v>0</v>
      </c>
      <c r="AI328" s="645">
        <f t="shared" si="755"/>
        <v>0</v>
      </c>
      <c r="AJ328" s="646">
        <f t="shared" si="787"/>
        <v>0</v>
      </c>
      <c r="AK328" s="647">
        <f t="shared" si="756"/>
        <v>16011.29317202637</v>
      </c>
      <c r="AL328" s="644">
        <f t="shared" si="788"/>
        <v>0</v>
      </c>
      <c r="AM328" s="645">
        <f t="shared" si="789"/>
        <v>0</v>
      </c>
      <c r="AN328" s="646">
        <f t="shared" si="790"/>
        <v>0</v>
      </c>
      <c r="AO328" s="647">
        <f t="shared" si="757"/>
        <v>16011.29317202637</v>
      </c>
      <c r="AP328" s="644">
        <f t="shared" si="791"/>
        <v>0</v>
      </c>
      <c r="AQ328" s="645">
        <f t="shared" si="792"/>
        <v>0</v>
      </c>
      <c r="AR328" s="646">
        <f t="shared" si="793"/>
        <v>0</v>
      </c>
      <c r="AS328" s="647">
        <f t="shared" si="758"/>
        <v>16011.29317202637</v>
      </c>
      <c r="AT328" s="644">
        <f t="shared" si="794"/>
        <v>0</v>
      </c>
      <c r="AU328" s="645">
        <f t="shared" si="795"/>
        <v>0</v>
      </c>
      <c r="AV328" s="646">
        <f t="shared" si="796"/>
        <v>0</v>
      </c>
      <c r="AW328" s="647">
        <f t="shared" si="759"/>
        <v>16011.29317202637</v>
      </c>
      <c r="AY328" s="644">
        <f t="shared" si="797"/>
        <v>2995.2458042091785</v>
      </c>
      <c r="AZ328" s="645">
        <f t="shared" ref="AZ328:AZ392" si="851">IF(AND($J328="N",FC328="N"),0,E328*$N328)</f>
        <v>3761.4134546899372</v>
      </c>
      <c r="BA328" s="644">
        <f t="shared" si="798"/>
        <v>766.16765048075877</v>
      </c>
      <c r="BB328" s="645">
        <f t="shared" si="799"/>
        <v>0</v>
      </c>
      <c r="BC328" s="646">
        <f t="shared" si="800"/>
        <v>0</v>
      </c>
      <c r="BD328" s="647">
        <f t="shared" si="801"/>
        <v>3761.4134546899372</v>
      </c>
      <c r="BE328" s="644">
        <f t="shared" si="760"/>
        <v>0</v>
      </c>
      <c r="BF328" s="645">
        <f t="shared" si="761"/>
        <v>0</v>
      </c>
      <c r="BG328" s="646">
        <f t="shared" si="802"/>
        <v>0</v>
      </c>
      <c r="BH328" s="647">
        <f t="shared" si="762"/>
        <v>3761.4134546899372</v>
      </c>
      <c r="BI328" s="644">
        <f t="shared" si="803"/>
        <v>0</v>
      </c>
      <c r="BJ328" s="645">
        <f t="shared" si="804"/>
        <v>0</v>
      </c>
      <c r="BK328" s="646">
        <f t="shared" si="805"/>
        <v>0</v>
      </c>
      <c r="BL328" s="647">
        <f t="shared" si="763"/>
        <v>3761.4134546899372</v>
      </c>
      <c r="BM328" s="644">
        <f t="shared" si="806"/>
        <v>0</v>
      </c>
      <c r="BN328" s="645">
        <f t="shared" si="807"/>
        <v>0</v>
      </c>
      <c r="BO328" s="646">
        <f t="shared" si="808"/>
        <v>0</v>
      </c>
      <c r="BP328" s="647">
        <f t="shared" si="764"/>
        <v>3761.4134546899372</v>
      </c>
      <c r="BQ328" s="644">
        <f t="shared" si="809"/>
        <v>0</v>
      </c>
      <c r="BR328" s="645">
        <f t="shared" si="810"/>
        <v>0</v>
      </c>
      <c r="BS328" s="646">
        <f t="shared" si="811"/>
        <v>0</v>
      </c>
      <c r="BT328" s="647">
        <f t="shared" si="765"/>
        <v>3761.4134546899372</v>
      </c>
      <c r="BU328" s="662">
        <f>VLOOKUP(B328,'Afton Update'!$A$5:$AR$582,'Afton Update'!$AO$589,0)-BT328</f>
        <v>0</v>
      </c>
      <c r="BV328" s="644">
        <f t="shared" si="812"/>
        <v>6512.6103140243349</v>
      </c>
      <c r="BW328" s="645">
        <f t="shared" ref="BW328:BW399" si="852">IF($K328="N",0,F328*$N328)</f>
        <v>7919.2946576098657</v>
      </c>
      <c r="BX328" s="644">
        <f t="shared" si="813"/>
        <v>1406.6843435855308</v>
      </c>
      <c r="BY328" s="645">
        <f t="shared" si="814"/>
        <v>0</v>
      </c>
      <c r="BZ328" s="646">
        <f t="shared" si="815"/>
        <v>0</v>
      </c>
      <c r="CA328" s="647">
        <f t="shared" si="816"/>
        <v>7919.2946576098657</v>
      </c>
      <c r="CB328" s="644">
        <f t="shared" si="766"/>
        <v>0</v>
      </c>
      <c r="CC328" s="645">
        <f t="shared" si="767"/>
        <v>0</v>
      </c>
      <c r="CD328" s="646">
        <f t="shared" si="817"/>
        <v>0</v>
      </c>
      <c r="CE328" s="647">
        <f t="shared" si="768"/>
        <v>7919.2946576098657</v>
      </c>
      <c r="CF328" s="644">
        <f t="shared" si="818"/>
        <v>0</v>
      </c>
      <c r="CG328" s="645">
        <f t="shared" si="819"/>
        <v>0</v>
      </c>
      <c r="CH328" s="646">
        <f t="shared" si="820"/>
        <v>0</v>
      </c>
      <c r="CI328" s="647">
        <f t="shared" si="769"/>
        <v>7919.2946576098657</v>
      </c>
      <c r="CJ328" s="644">
        <f t="shared" si="821"/>
        <v>0</v>
      </c>
      <c r="CK328" s="645">
        <f t="shared" si="822"/>
        <v>0</v>
      </c>
      <c r="CL328" s="646">
        <f t="shared" si="823"/>
        <v>0</v>
      </c>
      <c r="CM328" s="647">
        <f t="shared" si="770"/>
        <v>7919.2946576098657</v>
      </c>
      <c r="CN328" s="644">
        <f t="shared" si="824"/>
        <v>0</v>
      </c>
      <c r="CO328" s="645">
        <f t="shared" si="825"/>
        <v>0</v>
      </c>
      <c r="CP328" s="646">
        <f t="shared" si="826"/>
        <v>0</v>
      </c>
      <c r="CQ328" s="647">
        <f t="shared" si="771"/>
        <v>7919.2946576098657</v>
      </c>
      <c r="CS328" s="644">
        <f t="shared" si="827"/>
        <v>5969.0553366030017</v>
      </c>
      <c r="CT328" s="645">
        <f t="shared" ref="CT328:CT399" si="853">IF($L328="N",0,G328*$N328)</f>
        <v>7659.9095466721874</v>
      </c>
      <c r="CU328" s="644">
        <f t="shared" si="828"/>
        <v>1690.8542100691857</v>
      </c>
      <c r="CV328" s="645">
        <f t="shared" si="829"/>
        <v>0</v>
      </c>
      <c r="CW328" s="646">
        <f t="shared" si="830"/>
        <v>0</v>
      </c>
      <c r="CX328" s="647">
        <f t="shared" si="831"/>
        <v>7659.9095466721874</v>
      </c>
      <c r="CY328" s="644">
        <f t="shared" si="772"/>
        <v>0</v>
      </c>
      <c r="CZ328" s="645">
        <f t="shared" si="773"/>
        <v>0</v>
      </c>
      <c r="DA328" s="646">
        <f t="shared" si="832"/>
        <v>0</v>
      </c>
      <c r="DB328" s="647">
        <f t="shared" si="774"/>
        <v>7659.9095466721874</v>
      </c>
      <c r="DC328" s="644">
        <f t="shared" si="833"/>
        <v>0</v>
      </c>
      <c r="DD328" s="645">
        <f t="shared" si="834"/>
        <v>0</v>
      </c>
      <c r="DE328" s="646">
        <f t="shared" si="835"/>
        <v>0</v>
      </c>
      <c r="DF328" s="647">
        <f t="shared" si="775"/>
        <v>7659.9095466721874</v>
      </c>
      <c r="DG328" s="644">
        <f t="shared" si="836"/>
        <v>0</v>
      </c>
      <c r="DH328" s="645">
        <f t="shared" si="837"/>
        <v>0</v>
      </c>
      <c r="DI328" s="646">
        <f t="shared" si="838"/>
        <v>0</v>
      </c>
      <c r="DJ328" s="647">
        <f t="shared" si="776"/>
        <v>7659.9095466721874</v>
      </c>
      <c r="DK328" s="644">
        <f t="shared" si="839"/>
        <v>0</v>
      </c>
      <c r="DL328" s="645">
        <f t="shared" si="840"/>
        <v>0</v>
      </c>
      <c r="DM328" s="646">
        <f t="shared" si="841"/>
        <v>0</v>
      </c>
      <c r="DN328" s="647">
        <f t="shared" si="777"/>
        <v>7659.9095466721874</v>
      </c>
      <c r="DR328" s="827">
        <f t="shared" ref="DR328:DR392" si="854">Z328</f>
        <v>35351.910830998357</v>
      </c>
      <c r="DV328" s="828">
        <f>IFERROR(VLOOKUP($B328,'Afton FY16 Final'!$A$5:$BV$587,'Afton FY16 Final'!$BV$587,0),0)</f>
        <v>36479.822855358514</v>
      </c>
      <c r="DX328" s="636">
        <f t="shared" si="842"/>
        <v>0</v>
      </c>
      <c r="DY328" s="637">
        <f t="shared" si="843"/>
        <v>0</v>
      </c>
      <c r="DZ328" s="637">
        <f t="shared" si="844"/>
        <v>0</v>
      </c>
      <c r="EA328" s="643">
        <f t="shared" si="845"/>
        <v>0</v>
      </c>
      <c r="EB328" s="637">
        <f t="shared" ref="EB328:EB392" si="855">IF(EA328&lt;$DZ328,$DZ328,0)</f>
        <v>0</v>
      </c>
      <c r="EC328" s="637">
        <f t="shared" ref="EC328:EC392" si="856">IF(EB328=0,EA328,0)</f>
        <v>0</v>
      </c>
      <c r="ED328" s="637">
        <f t="shared" ref="ED328:ED392" si="857">EC328/EC$2*ED$2</f>
        <v>0</v>
      </c>
      <c r="EE328" s="643">
        <f t="shared" ref="EE328:EE392" si="858">ED328+EB328</f>
        <v>0</v>
      </c>
      <c r="EF328" s="637">
        <f t="shared" ref="EF328:EF392" si="859">IF(EE328&lt;$DZ328,$DZ328,0)</f>
        <v>0</v>
      </c>
      <c r="EG328" s="637">
        <f t="shared" ref="EG328:EG392" si="860">IF(EB328+EF328=0,EE328,0)</f>
        <v>0</v>
      </c>
      <c r="EH328" s="637">
        <f t="shared" ref="EH328:EH392" si="861">EG328/EG$2*EH$2</f>
        <v>0</v>
      </c>
      <c r="EI328" s="643">
        <f t="shared" ref="EI328:EI392" si="862">EH328+EF328+EB328</f>
        <v>0</v>
      </c>
      <c r="EJ328" s="637">
        <f t="shared" ref="EJ328:EJ392" si="863">IF(EI328&lt;$DZ328,$DZ328,0)</f>
        <v>0</v>
      </c>
      <c r="EK328" s="637">
        <f t="shared" ref="EK328:EK392" si="864">IF($EB328+$EF328+$EJ328=0,EI328,0)</f>
        <v>0</v>
      </c>
      <c r="EL328" s="637">
        <f t="shared" ref="EL328:EL392" si="865">EK328/EK$2*EL$2</f>
        <v>0</v>
      </c>
      <c r="EM328" s="643">
        <f t="shared" ref="EM328:EM392" si="866">$EJ328+$EF328+$EB328+EL328</f>
        <v>0</v>
      </c>
      <c r="EN328" s="637">
        <f t="shared" ref="EN328:EN392" si="867">IF(EM328&lt;$DZ328,$DZ328,0)</f>
        <v>0</v>
      </c>
      <c r="EO328" s="637">
        <f t="shared" ref="EO328:EO392" si="868">IF($EB328+$EF328+$EJ328+EN328=0,EM328,0)</f>
        <v>0</v>
      </c>
      <c r="EP328" s="637">
        <f t="shared" ref="EP328:EP392" si="869">EO328/EO$2*EP$2</f>
        <v>0</v>
      </c>
      <c r="EQ328" s="643">
        <f t="shared" ref="EQ328:EQ392" si="870">$EJ328+$EF328+$EB328+EP328+EN328</f>
        <v>0</v>
      </c>
      <c r="ER328" s="637">
        <f t="shared" ref="ER328:ER392" si="871">IF(EQ328&lt;$DZ328,$DZ328,0)</f>
        <v>0</v>
      </c>
      <c r="ES328" s="637">
        <f t="shared" ref="ES328:ES392" si="872">IF($EB328+$EF328+$EJ328+EN328+ER328=0,EQ328,0)</f>
        <v>0</v>
      </c>
      <c r="ET328" s="637">
        <f t="shared" ref="ET328:ET392" si="873">ES328/ES$2*ET$2</f>
        <v>0</v>
      </c>
      <c r="EU328" s="643">
        <f t="shared" si="846"/>
        <v>0</v>
      </c>
      <c r="EV328" s="643">
        <f t="shared" si="847"/>
        <v>0</v>
      </c>
      <c r="EX328" s="829">
        <f t="shared" si="848"/>
        <v>0</v>
      </c>
      <c r="EY328" s="638">
        <f t="shared" si="849"/>
        <v>35351.910830998357</v>
      </c>
      <c r="FC328" s="830" t="str">
        <f t="shared" ref="FC328:FC392" si="874">IF(OR(FH328="y",FI328="y",FJ328="y",FK328="y"),"Y","N")</f>
        <v>Y</v>
      </c>
      <c r="FE328" s="830" t="str">
        <f>IFERROR(VLOOKUP($B328,'Historical Conc Grant Elig'!$B$3:$J$707,'HH &amp; SI'!FE$2,0),"N")</f>
        <v>Y</v>
      </c>
      <c r="FF328" s="830" t="str">
        <f>IFERROR(VLOOKUP($B328,'Historical Conc Grant Elig'!$B$3:$J$707,'HH &amp; SI'!FF$2,0),"N")</f>
        <v>Y</v>
      </c>
      <c r="FG328" s="830" t="str">
        <f>IFERROR(VLOOKUP($B328,'Historical Conc Grant Elig'!$B$3:$J$707,'HH &amp; SI'!FG$2,0),"N")</f>
        <v>Y</v>
      </c>
      <c r="FH328" s="830" t="str">
        <f>IFERROR(VLOOKUP($B328,'Historical Conc Grant Elig'!$B$3:$J$707,'HH &amp; SI'!FH$2,0),"N")</f>
        <v>Y</v>
      </c>
      <c r="FI328" s="830" t="str">
        <f>IFERROR(VLOOKUP($B328,'Historical Conc Grant Elig'!$B$3:$J$707,'HH &amp; SI'!FI$2,0),"N")</f>
        <v>Y</v>
      </c>
      <c r="FJ328" s="830" t="str">
        <f>IFERROR(VLOOKUP($B328,'Historical Conc Grant Elig'!$B$3:$J$707,'HH &amp; SI'!FJ$2,0),"N")</f>
        <v>Y</v>
      </c>
      <c r="FK328" s="830" t="str">
        <f>IFERROR(VLOOKUP($B328,'Historical Conc Grant Elig'!$B$3:$J$707,'HH &amp; SI'!FK$2,0),"N")</f>
        <v>Y</v>
      </c>
      <c r="FL328" s="957" t="str">
        <f>IFERROR(VLOOKUP($B328,'Historical Conc Grant Elig'!$B$3:$J$707,'HH &amp; SI'!FL$2,0),"N")</f>
        <v>Y</v>
      </c>
    </row>
    <row r="329" spans="2:168" x14ac:dyDescent="0.25">
      <c r="B329" s="634">
        <v>88755000</v>
      </c>
      <c r="C329" s="635" t="str">
        <f>VLOOKUP($B329,'Afton Update'!$A$5:$CR$582,'Afton Update'!D$589,0)</f>
        <v>Young Scholars Academy Charter School Corp.</v>
      </c>
      <c r="D329" s="636">
        <f>IFERROR(VLOOKUP($B329,'Afton FY16 Final'!$A$5:$BV$587,'Afton FY16 Final'!AQ$587,0),0)</f>
        <v>56589.573334108514</v>
      </c>
      <c r="E329" s="637">
        <f>IFERROR(VLOOKUP($B329,'Afton FY16 Final'!$A$5:$BV$587,'Afton FY16 Final'!AR$587,0),0)</f>
        <v>13191.691055009116</v>
      </c>
      <c r="F329" s="637">
        <f>IFERROR(VLOOKUP($B329,'Afton FY16 Final'!$A$5:$BV$587,'Afton FY16 Final'!AS$587,0),0)</f>
        <v>27419.347338827622</v>
      </c>
      <c r="G329" s="637">
        <f>IFERROR(VLOOKUP($B329,'Afton FY16 Final'!$A$5:$BV$587,'Afton FY16 Final'!AT$587,0),0)</f>
        <v>25470.703942380689</v>
      </c>
      <c r="H329" s="638">
        <f>IFERROR(VLOOKUP($B329,'Afton FY16 Final'!$A$5:$BV$587,'Afton FY16 Final'!AU$587,0),0)</f>
        <v>122671.31567032593</v>
      </c>
      <c r="I329" s="639" t="str">
        <f>VLOOKUP($B329,'Afton Update'!$A$5:$CR$582,'Afton Update'!BT$589,0)</f>
        <v>Y</v>
      </c>
      <c r="J329" s="640" t="str">
        <f>VLOOKUP($B329,'Afton Update'!$A$5:$CR$582,'Afton Update'!BU$589,0)</f>
        <v>Y</v>
      </c>
      <c r="K329" s="640" t="str">
        <f>VLOOKUP($B329,'Afton Update'!$A$5:$CR$582,'Afton Update'!BV$589,0)</f>
        <v>Y</v>
      </c>
      <c r="L329" s="641" t="str">
        <f>VLOOKUP($B329,'Afton Update'!$A$5:$CR$582,'Afton Update'!BW$589,0)</f>
        <v>Y</v>
      </c>
      <c r="N329" s="642">
        <f>VLOOKUP($B329,'Afton Update'!$A$5:$CR$582,'Afton Update'!CB$589,0)</f>
        <v>0.9</v>
      </c>
      <c r="P329" s="636">
        <f>VLOOKUP($B329,'Afton Update'!$A$5:$CR$582,'Afton Update'!AH$589,0)</f>
        <v>47531.15147246488</v>
      </c>
      <c r="Q329" s="637">
        <f>VLOOKUP($B329,'Afton Update'!$A$5:$CR$582,'Afton Update'!AI$589,0)</f>
        <v>11278.840165435224</v>
      </c>
      <c r="R329" s="637">
        <f>VLOOKUP($B329,'Afton Update'!$A$5:$CR$582,'Afton Update'!AJ$589,0)</f>
        <v>24684.702523194061</v>
      </c>
      <c r="S329" s="637">
        <f>VLOOKUP($B329,'Afton Update'!$A$5:$CR$582,'Afton Update'!AK$589,0)</f>
        <v>22565.032144043849</v>
      </c>
      <c r="T329" s="643">
        <f t="shared" ref="T329:T400" si="875">SUM(P329:S329)</f>
        <v>106059.72630513803</v>
      </c>
      <c r="V329" s="636">
        <f t="shared" si="778"/>
        <v>50930.616000697664</v>
      </c>
      <c r="W329" s="637">
        <f t="shared" si="779"/>
        <v>11872.521949508206</v>
      </c>
      <c r="X329" s="637">
        <f t="shared" si="780"/>
        <v>24677.412604944861</v>
      </c>
      <c r="Y329" s="637">
        <f t="shared" si="781"/>
        <v>22923.633548142621</v>
      </c>
      <c r="Z329" s="643">
        <f t="shared" si="782"/>
        <v>110404.18410329334</v>
      </c>
      <c r="AB329" s="644">
        <f t="shared" ref="AB329:AB400" si="876">IF(P329="",0,P329)</f>
        <v>47531.15147246488</v>
      </c>
      <c r="AC329" s="645">
        <f t="shared" si="850"/>
        <v>50930.616000697664</v>
      </c>
      <c r="AD329" s="644">
        <f t="shared" si="783"/>
        <v>3399.4645282327838</v>
      </c>
      <c r="AE329" s="645">
        <f t="shared" si="784"/>
        <v>0</v>
      </c>
      <c r="AF329" s="646">
        <f t="shared" si="785"/>
        <v>0</v>
      </c>
      <c r="AG329" s="647">
        <f t="shared" si="786"/>
        <v>50930.616000697664</v>
      </c>
      <c r="AH329" s="644">
        <f t="shared" ref="AH329:AH400" si="877">IF(AG329-AC329&lt;0,AG329-AC329,0)</f>
        <v>0</v>
      </c>
      <c r="AI329" s="645">
        <f t="shared" ref="AI329:AI400" si="878">IF(AND(AH329=0,AD329=0),AG329,0)</f>
        <v>0</v>
      </c>
      <c r="AJ329" s="646">
        <f t="shared" si="787"/>
        <v>0</v>
      </c>
      <c r="AK329" s="647">
        <f t="shared" ref="AK329:AK400" si="879">AG329-AH329+AJ329</f>
        <v>50930.616000697664</v>
      </c>
      <c r="AL329" s="644">
        <f t="shared" si="788"/>
        <v>0</v>
      </c>
      <c r="AM329" s="645">
        <f t="shared" si="789"/>
        <v>0</v>
      </c>
      <c r="AN329" s="646">
        <f t="shared" si="790"/>
        <v>0</v>
      </c>
      <c r="AO329" s="647">
        <f t="shared" ref="AO329:AO400" si="880">AK329-AL329+AN329</f>
        <v>50930.616000697664</v>
      </c>
      <c r="AP329" s="644">
        <f t="shared" si="791"/>
        <v>0</v>
      </c>
      <c r="AQ329" s="645">
        <f t="shared" si="792"/>
        <v>0</v>
      </c>
      <c r="AR329" s="646">
        <f t="shared" si="793"/>
        <v>0</v>
      </c>
      <c r="AS329" s="647">
        <f t="shared" ref="AS329:AS400" si="881">AO329-AP329+AR329</f>
        <v>50930.616000697664</v>
      </c>
      <c r="AT329" s="644">
        <f t="shared" si="794"/>
        <v>0</v>
      </c>
      <c r="AU329" s="645">
        <f t="shared" si="795"/>
        <v>0</v>
      </c>
      <c r="AV329" s="646">
        <f t="shared" si="796"/>
        <v>0</v>
      </c>
      <c r="AW329" s="647">
        <f t="shared" ref="AW329:AW400" si="882">AS329-AT329+AV329</f>
        <v>50930.616000697664</v>
      </c>
      <c r="AY329" s="644">
        <f t="shared" si="797"/>
        <v>11278.840165435224</v>
      </c>
      <c r="AZ329" s="645">
        <f t="shared" si="851"/>
        <v>11872.521949508206</v>
      </c>
      <c r="BA329" s="644">
        <f t="shared" si="798"/>
        <v>593.68178407298183</v>
      </c>
      <c r="BB329" s="645">
        <f t="shared" si="799"/>
        <v>0</v>
      </c>
      <c r="BC329" s="646">
        <f t="shared" si="800"/>
        <v>0</v>
      </c>
      <c r="BD329" s="647">
        <f t="shared" si="801"/>
        <v>11872.521949508206</v>
      </c>
      <c r="BE329" s="644">
        <f t="shared" ref="BE329:BE400" si="883">IF(BD329-AZ329&lt;0,BD329-AZ329,0)</f>
        <v>0</v>
      </c>
      <c r="BF329" s="645">
        <f t="shared" ref="BF329:BF400" si="884">IF(AND(BE329=0,BA329=0),BD329,0)</f>
        <v>0</v>
      </c>
      <c r="BG329" s="646">
        <f t="shared" si="802"/>
        <v>0</v>
      </c>
      <c r="BH329" s="647">
        <f t="shared" ref="BH329:BH400" si="885">BD329-BE329+BG329</f>
        <v>11872.521949508206</v>
      </c>
      <c r="BI329" s="644">
        <f t="shared" si="803"/>
        <v>0</v>
      </c>
      <c r="BJ329" s="645">
        <f t="shared" si="804"/>
        <v>0</v>
      </c>
      <c r="BK329" s="646">
        <f t="shared" si="805"/>
        <v>0</v>
      </c>
      <c r="BL329" s="647">
        <f t="shared" ref="BL329:BL400" si="886">BH329-BI329+BK329</f>
        <v>11872.521949508206</v>
      </c>
      <c r="BM329" s="644">
        <f t="shared" si="806"/>
        <v>0</v>
      </c>
      <c r="BN329" s="645">
        <f t="shared" si="807"/>
        <v>0</v>
      </c>
      <c r="BO329" s="646">
        <f t="shared" si="808"/>
        <v>0</v>
      </c>
      <c r="BP329" s="647">
        <f t="shared" ref="BP329:BP400" si="887">BL329-BM329+BO329</f>
        <v>11872.521949508206</v>
      </c>
      <c r="BQ329" s="644">
        <f t="shared" si="809"/>
        <v>0</v>
      </c>
      <c r="BR329" s="645">
        <f t="shared" si="810"/>
        <v>0</v>
      </c>
      <c r="BS329" s="646">
        <f t="shared" si="811"/>
        <v>0</v>
      </c>
      <c r="BT329" s="647">
        <f t="shared" ref="BT329:BT400" si="888">BP329-BQ329+BS329</f>
        <v>11872.521949508206</v>
      </c>
      <c r="BU329" s="662">
        <f>VLOOKUP(B329,'Afton Update'!$A$5:$AR$582,'Afton Update'!$AO$589,0)-BT329</f>
        <v>0</v>
      </c>
      <c r="BV329" s="644">
        <f t="shared" si="812"/>
        <v>24684.702523194061</v>
      </c>
      <c r="BW329" s="645">
        <f t="shared" si="852"/>
        <v>24677.412604944861</v>
      </c>
      <c r="BX329" s="644">
        <f t="shared" si="813"/>
        <v>0</v>
      </c>
      <c r="BY329" s="645">
        <f t="shared" si="814"/>
        <v>24684.702523194061</v>
      </c>
      <c r="BZ329" s="646">
        <f t="shared" si="815"/>
        <v>-216.66025849432734</v>
      </c>
      <c r="CA329" s="647">
        <f t="shared" si="816"/>
        <v>24468.042264699732</v>
      </c>
      <c r="CB329" s="644">
        <f t="shared" ref="CB329:CB400" si="889">IF(CA329-BW329&lt;0,CA329-BW329,0)</f>
        <v>-209.37034024512832</v>
      </c>
      <c r="CC329" s="645">
        <f t="shared" ref="CC329:CC400" si="890">IF(AND(CB329=0,BX329=0),CA329,0)</f>
        <v>0</v>
      </c>
      <c r="CD329" s="646">
        <f t="shared" si="817"/>
        <v>0</v>
      </c>
      <c r="CE329" s="647">
        <f t="shared" ref="CE329:CE400" si="891">CA329-CB329+CD329</f>
        <v>24677.412604944861</v>
      </c>
      <c r="CF329" s="644">
        <f t="shared" si="818"/>
        <v>0</v>
      </c>
      <c r="CG329" s="645">
        <f t="shared" si="819"/>
        <v>0</v>
      </c>
      <c r="CH329" s="646">
        <f t="shared" si="820"/>
        <v>0</v>
      </c>
      <c r="CI329" s="647">
        <f t="shared" ref="CI329:CI400" si="892">CE329-CF329+CH329</f>
        <v>24677.412604944861</v>
      </c>
      <c r="CJ329" s="644">
        <f t="shared" si="821"/>
        <v>0</v>
      </c>
      <c r="CK329" s="645">
        <f t="shared" si="822"/>
        <v>0</v>
      </c>
      <c r="CL329" s="646">
        <f t="shared" si="823"/>
        <v>0</v>
      </c>
      <c r="CM329" s="647">
        <f t="shared" ref="CM329:CM400" si="893">CI329-CJ329+CL329</f>
        <v>24677.412604944861</v>
      </c>
      <c r="CN329" s="644">
        <f t="shared" si="824"/>
        <v>0</v>
      </c>
      <c r="CO329" s="645">
        <f t="shared" si="825"/>
        <v>0</v>
      </c>
      <c r="CP329" s="646">
        <f t="shared" si="826"/>
        <v>0</v>
      </c>
      <c r="CQ329" s="647">
        <f t="shared" ref="CQ329:CQ400" si="894">CM329-CN329+CP329</f>
        <v>24677.412604944861</v>
      </c>
      <c r="CS329" s="644">
        <f t="shared" si="827"/>
        <v>22565.032144043849</v>
      </c>
      <c r="CT329" s="645">
        <f t="shared" si="853"/>
        <v>22923.633548142621</v>
      </c>
      <c r="CU329" s="644">
        <f t="shared" si="828"/>
        <v>358.60140409877204</v>
      </c>
      <c r="CV329" s="645">
        <f t="shared" si="829"/>
        <v>0</v>
      </c>
      <c r="CW329" s="646">
        <f t="shared" si="830"/>
        <v>0</v>
      </c>
      <c r="CX329" s="647">
        <f t="shared" si="831"/>
        <v>22923.633548142621</v>
      </c>
      <c r="CY329" s="644">
        <f t="shared" ref="CY329:CY400" si="895">IF(CX329-CT329&lt;0,CX329-CT329,0)</f>
        <v>0</v>
      </c>
      <c r="CZ329" s="645">
        <f t="shared" ref="CZ329:CZ400" si="896">IF(AND(CY329=0,CU329=0),CX329,0)</f>
        <v>0</v>
      </c>
      <c r="DA329" s="646">
        <f t="shared" si="832"/>
        <v>0</v>
      </c>
      <c r="DB329" s="647">
        <f t="shared" ref="DB329:DB400" si="897">CX329-CY329+DA329</f>
        <v>22923.633548142621</v>
      </c>
      <c r="DC329" s="644">
        <f t="shared" si="833"/>
        <v>0</v>
      </c>
      <c r="DD329" s="645">
        <f t="shared" si="834"/>
        <v>0</v>
      </c>
      <c r="DE329" s="646">
        <f t="shared" si="835"/>
        <v>0</v>
      </c>
      <c r="DF329" s="647">
        <f t="shared" ref="DF329:DF400" si="898">DB329-DC329+DE329</f>
        <v>22923.633548142621</v>
      </c>
      <c r="DG329" s="644">
        <f t="shared" si="836"/>
        <v>0</v>
      </c>
      <c r="DH329" s="645">
        <f t="shared" si="837"/>
        <v>0</v>
      </c>
      <c r="DI329" s="646">
        <f t="shared" si="838"/>
        <v>0</v>
      </c>
      <c r="DJ329" s="647">
        <f t="shared" ref="DJ329:DJ400" si="899">DF329-DG329+DI329</f>
        <v>22923.633548142621</v>
      </c>
      <c r="DK329" s="644">
        <f t="shared" si="839"/>
        <v>0</v>
      </c>
      <c r="DL329" s="645">
        <f t="shared" si="840"/>
        <v>0</v>
      </c>
      <c r="DM329" s="646">
        <f t="shared" si="841"/>
        <v>0</v>
      </c>
      <c r="DN329" s="647">
        <f t="shared" ref="DN329:DN400" si="900">DJ329-DK329+DM329</f>
        <v>22923.633548142621</v>
      </c>
      <c r="DR329" s="827">
        <f t="shared" si="854"/>
        <v>110404.18410329334</v>
      </c>
      <c r="DV329" s="828">
        <f>IFERROR(VLOOKUP($B329,'Afton FY16 Final'!$A$5:$BV$587,'Afton FY16 Final'!$BV$587,0),0)</f>
        <v>108911.32072062495</v>
      </c>
      <c r="DX329" s="636">
        <f t="shared" si="842"/>
        <v>110404.18410329334</v>
      </c>
      <c r="DY329" s="637">
        <f t="shared" si="843"/>
        <v>1492.8633826683945</v>
      </c>
      <c r="DZ329" s="637">
        <f t="shared" si="844"/>
        <v>108911.32072062495</v>
      </c>
      <c r="EA329" s="643">
        <f t="shared" si="845"/>
        <v>104531.91885295631</v>
      </c>
      <c r="EB329" s="637">
        <f t="shared" si="855"/>
        <v>108911.32072062495</v>
      </c>
      <c r="EC329" s="637">
        <f t="shared" si="856"/>
        <v>0</v>
      </c>
      <c r="ED329" s="637">
        <f t="shared" si="857"/>
        <v>0</v>
      </c>
      <c r="EE329" s="643">
        <f t="shared" si="858"/>
        <v>108911.32072062495</v>
      </c>
      <c r="EF329" s="637">
        <f t="shared" si="859"/>
        <v>0</v>
      </c>
      <c r="EG329" s="637">
        <f t="shared" si="860"/>
        <v>0</v>
      </c>
      <c r="EH329" s="637">
        <f t="shared" si="861"/>
        <v>0</v>
      </c>
      <c r="EI329" s="643">
        <f t="shared" si="862"/>
        <v>108911.32072062495</v>
      </c>
      <c r="EJ329" s="637">
        <f t="shared" si="863"/>
        <v>0</v>
      </c>
      <c r="EK329" s="637">
        <f t="shared" si="864"/>
        <v>0</v>
      </c>
      <c r="EL329" s="637">
        <f t="shared" si="865"/>
        <v>0</v>
      </c>
      <c r="EM329" s="643">
        <f t="shared" si="866"/>
        <v>108911.32072062495</v>
      </c>
      <c r="EN329" s="637">
        <f t="shared" si="867"/>
        <v>0</v>
      </c>
      <c r="EO329" s="637">
        <f t="shared" si="868"/>
        <v>0</v>
      </c>
      <c r="EP329" s="637">
        <f t="shared" si="869"/>
        <v>0</v>
      </c>
      <c r="EQ329" s="643">
        <f t="shared" si="870"/>
        <v>108911.32072062495</v>
      </c>
      <c r="ER329" s="637">
        <f t="shared" si="871"/>
        <v>0</v>
      </c>
      <c r="ES329" s="637">
        <f t="shared" si="872"/>
        <v>0</v>
      </c>
      <c r="ET329" s="637">
        <f t="shared" si="873"/>
        <v>0</v>
      </c>
      <c r="EU329" s="643">
        <f t="shared" si="846"/>
        <v>108911.32072062495</v>
      </c>
      <c r="EV329" s="643">
        <f t="shared" si="847"/>
        <v>0</v>
      </c>
      <c r="EX329" s="829">
        <f t="shared" si="848"/>
        <v>1492.8633826683945</v>
      </c>
      <c r="EY329" s="638">
        <f t="shared" si="849"/>
        <v>108911.32072062495</v>
      </c>
      <c r="FC329" s="830" t="str">
        <f t="shared" si="874"/>
        <v>Y</v>
      </c>
      <c r="FE329" s="830" t="str">
        <f>IFERROR(VLOOKUP($B329,'Historical Conc Grant Elig'!$B$3:$J$707,'HH &amp; SI'!FE$2,0),"N")</f>
        <v>Y</v>
      </c>
      <c r="FF329" s="830" t="str">
        <f>IFERROR(VLOOKUP($B329,'Historical Conc Grant Elig'!$B$3:$J$707,'HH &amp; SI'!FF$2,0),"N")</f>
        <v>Y</v>
      </c>
      <c r="FG329" s="830" t="str">
        <f>IFERROR(VLOOKUP($B329,'Historical Conc Grant Elig'!$B$3:$J$707,'HH &amp; SI'!FG$2,0),"N")</f>
        <v>Y</v>
      </c>
      <c r="FH329" s="830" t="str">
        <f>IFERROR(VLOOKUP($B329,'Historical Conc Grant Elig'!$B$3:$J$707,'HH &amp; SI'!FH$2,0),"N")</f>
        <v>Y</v>
      </c>
      <c r="FI329" s="830" t="str">
        <f>IFERROR(VLOOKUP($B329,'Historical Conc Grant Elig'!$B$3:$J$707,'HH &amp; SI'!FI$2,0),"N")</f>
        <v>Y</v>
      </c>
      <c r="FJ329" s="830" t="str">
        <f>IFERROR(VLOOKUP($B329,'Historical Conc Grant Elig'!$B$3:$J$707,'HH &amp; SI'!FJ$2,0),"N")</f>
        <v>Y</v>
      </c>
      <c r="FK329" s="830" t="str">
        <f>IFERROR(VLOOKUP($B329,'Historical Conc Grant Elig'!$B$3:$J$707,'HH &amp; SI'!FK$2,0),"N")</f>
        <v>Y</v>
      </c>
      <c r="FL329" s="957" t="str">
        <f>IFERROR(VLOOKUP($B329,'Historical Conc Grant Elig'!$B$3:$J$707,'HH &amp; SI'!FL$2,0),"N")</f>
        <v>Y</v>
      </c>
    </row>
    <row r="330" spans="2:168" s="935" customFormat="1" x14ac:dyDescent="0.25">
      <c r="B330" s="936">
        <v>88703000</v>
      </c>
      <c r="C330" s="937" t="s">
        <v>802</v>
      </c>
      <c r="D330" s="938">
        <f>IFERROR(VLOOKUP($B330,'Afton FY16 Final'!$A$5:$BV$587,'Afton FY16 Final'!AQ$587,0),0)</f>
        <v>87312.428240128138</v>
      </c>
      <c r="E330" s="939">
        <f>IFERROR(VLOOKUP($B330,'Afton FY16 Final'!$A$5:$BV$587,'Afton FY16 Final'!AR$587,0),0)</f>
        <v>20329.547957184051</v>
      </c>
      <c r="F330" s="939">
        <f>IFERROR(VLOOKUP($B330,'Afton FY16 Final'!$A$5:$BV$587,'Afton FY16 Final'!AS$587,0),0)</f>
        <v>42301.0333259787</v>
      </c>
      <c r="G330" s="939">
        <f>IFERROR(VLOOKUP($B330,'Afton FY16 Final'!$A$5:$BV$587,'Afton FY16 Final'!AT$587,0),0)</f>
        <v>39496.408600028466</v>
      </c>
      <c r="H330" s="940">
        <f>IFERROR(VLOOKUP($B330,'Afton FY16 Final'!$A$5:$BV$587,'Afton FY16 Final'!AU$587,0),0)</f>
        <v>189439.41812331937</v>
      </c>
      <c r="I330" s="941" t="str">
        <f>VLOOKUP($B330,'Afton Update'!$A$5:$CR$582,'Afton Update'!BT$589,0)</f>
        <v>Y</v>
      </c>
      <c r="J330" s="942" t="str">
        <f>VLOOKUP($B330,'Afton Update'!$A$5:$CR$582,'Afton Update'!BU$589,0)</f>
        <v>Y</v>
      </c>
      <c r="K330" s="942" t="str">
        <f>VLOOKUP($B330,'Afton Update'!$A$5:$CR$582,'Afton Update'!BV$589,0)</f>
        <v>Y</v>
      </c>
      <c r="L330" s="943" t="str">
        <f>VLOOKUP($B330,'Afton Update'!$A$5:$CR$582,'Afton Update'!BW$589,0)</f>
        <v>Y</v>
      </c>
      <c r="N330" s="944">
        <f>VLOOKUP($B330,'Afton Update'!$A$5:$CR$582,'Afton Update'!CB$589,0)</f>
        <v>0.95</v>
      </c>
      <c r="P330" s="938">
        <f>VLOOKUP($B330,'Afton Update'!$A$5:$CR$582,'Afton Update'!AH$589,0)</f>
        <v>87785.644486211386</v>
      </c>
      <c r="Q330" s="939">
        <f>VLOOKUP($B330,'Afton Update'!$A$5:$CR$582,'Afton Update'!AI$589,0)</f>
        <v>20826.033666509309</v>
      </c>
      <c r="R330" s="939">
        <f>VLOOKUP($B330,'Afton Update'!$A$5:$CR$582,'Afton Update'!AJ$589,0)</f>
        <v>45628.808798169339</v>
      </c>
      <c r="S330" s="939">
        <f>VLOOKUP($B330,'Afton Update'!$A$5:$CR$582,'Afton Update'!AK$589,0)</f>
        <v>41692.598633975671</v>
      </c>
      <c r="T330" s="945">
        <f t="shared" ref="T330" si="901">SUM(P330:S330)</f>
        <v>195933.08558486571</v>
      </c>
      <c r="V330" s="938">
        <f t="shared" ref="V330" si="902">AW330</f>
        <v>86588.191316947443</v>
      </c>
      <c r="W330" s="939">
        <f t="shared" ref="W330" si="903">BT330</f>
        <v>20140.100259497471</v>
      </c>
      <c r="X330" s="939">
        <f t="shared" ref="X330" si="904">CQ330</f>
        <v>45213.832597244793</v>
      </c>
      <c r="Y330" s="939">
        <f t="shared" ref="Y330" si="905">DN330</f>
        <v>41233.221247540489</v>
      </c>
      <c r="Z330" s="945">
        <f t="shared" ref="Z330" si="906">SUM(V330:Y330)</f>
        <v>193175.34542123019</v>
      </c>
      <c r="AB330" s="946">
        <f t="shared" ref="AB330" si="907">IF(P330="",0,P330)</f>
        <v>87785.644486211386</v>
      </c>
      <c r="AC330" s="947">
        <f t="shared" ref="AC330" si="908">IF(I330="N",0,D330*$N330)</f>
        <v>82946.806828121727</v>
      </c>
      <c r="AD330" s="946">
        <f t="shared" ref="AD330" si="909">IF($I330="N",0,MAX(AC330-AB330,0))</f>
        <v>0</v>
      </c>
      <c r="AE330" s="947">
        <f t="shared" ref="AE330" si="910">IF(AD330=0,AB330,0)</f>
        <v>87785.644486211386</v>
      </c>
      <c r="AF330" s="948">
        <f t="shared" ref="AF330" si="911">-IF(AD330=0,((AE330/AE$2)*AD$2),0)</f>
        <v>-1088.1690325623549</v>
      </c>
      <c r="AG330" s="949">
        <f t="shared" ref="AG330" si="912">IF(AD330=0,AE330+AF330,AD330+AB330)</f>
        <v>86697.475453649036</v>
      </c>
      <c r="AH330" s="946">
        <f t="shared" ref="AH330" si="913">IF(AG330-AC330&lt;0,AG330-AC330,0)</f>
        <v>0</v>
      </c>
      <c r="AI330" s="947">
        <f t="shared" ref="AI330" si="914">IF(AND(AH330=0,AD330=0),AG330,0)</f>
        <v>86697.475453649036</v>
      </c>
      <c r="AJ330" s="948">
        <f t="shared" ref="AJ330" si="915">IF(AND(AH330=0,AD330=0),((AI330/AI$2))*AH$2,0)</f>
        <v>-109.21451211375486</v>
      </c>
      <c r="AK330" s="949">
        <f t="shared" ref="AK330" si="916">AG330-AH330+AJ330</f>
        <v>86588.260941535278</v>
      </c>
      <c r="AL330" s="946">
        <f t="shared" ref="AL330" si="917">IF(AK330-AC330&lt;0,AK330-AC330,0)</f>
        <v>0</v>
      </c>
      <c r="AM330" s="947">
        <f t="shared" ref="AM330" si="918">IF(AND(AH330=0,AD330=0,AL330=0),AK330,0)</f>
        <v>86588.260941535278</v>
      </c>
      <c r="AN330" s="948">
        <f t="shared" ref="AN330" si="919">IF(AND(AL330=0,AH330=0,AD330=0),((AM330/AM$2))*AL$2,0)</f>
        <v>-6.9624587834322335E-2</v>
      </c>
      <c r="AO330" s="949">
        <f t="shared" ref="AO330" si="920">AK330-AL330+AN330</f>
        <v>86588.191316947443</v>
      </c>
      <c r="AP330" s="946">
        <f t="shared" ref="AP330" si="921">IF(AO330-AC330&lt;0,AO330-AC330,0)</f>
        <v>0</v>
      </c>
      <c r="AQ330" s="947">
        <f t="shared" ref="AQ330" si="922">IF(AND(AH330=0,AD330=0,AL330=0,AP330=0),AO330,0)</f>
        <v>86588.191316947443</v>
      </c>
      <c r="AR330" s="948">
        <f t="shared" ref="AR330" si="923">IF(AND(AP330=0,AL330=0,AH330=0,AD330=0),((AQ330/AQ$2))*AP$2,0)</f>
        <v>0</v>
      </c>
      <c r="AS330" s="949">
        <f t="shared" ref="AS330" si="924">AO330-AP330+AR330</f>
        <v>86588.191316947443</v>
      </c>
      <c r="AT330" s="946">
        <f t="shared" ref="AT330" si="925">IF(AS330-AC330&lt;0,AS330-AC330,0)</f>
        <v>0</v>
      </c>
      <c r="AU330" s="947">
        <f t="shared" ref="AU330" si="926">IF(AND(AP330=0,AL330=0,AT330=0,AD330=0,AH330=0),AS330,0)</f>
        <v>86588.191316947443</v>
      </c>
      <c r="AV330" s="948">
        <f t="shared" ref="AV330" si="927">IF(AND(AT330=0,AP330=0,AL330=0),((AU330/AU$2))*AT$2,0)</f>
        <v>0</v>
      </c>
      <c r="AW330" s="949">
        <f t="shared" ref="AW330" si="928">AS330-AT330+AV330</f>
        <v>86588.191316947443</v>
      </c>
      <c r="AY330" s="946">
        <f t="shared" ref="AY330" si="929">IF(Q330="",0,Q330)</f>
        <v>20826.033666509309</v>
      </c>
      <c r="AZ330" s="947">
        <f t="shared" ref="AZ330" si="930">IF(AND($J330="N",FC330="N"),0,E330*$N330)</f>
        <v>19313.070559324849</v>
      </c>
      <c r="BA330" s="946">
        <f t="shared" ref="BA330" si="931">IF($J330="N",0,MAX(AZ330-AY330,0))</f>
        <v>0</v>
      </c>
      <c r="BB330" s="947">
        <f t="shared" ref="BB330" si="932">IF(BA330=0,AY330,0)</f>
        <v>20826.033666509309</v>
      </c>
      <c r="BC330" s="948">
        <f t="shared" ref="BC330" si="933">-IF(BA330=0,((BB330/BB$2)*BA$2),0)</f>
        <v>-149.76607743611214</v>
      </c>
      <c r="BD330" s="949">
        <f t="shared" ref="BD330" si="934">IF(BA330=0,BB330+BC330,BA330+AY330)</f>
        <v>20676.267589073195</v>
      </c>
      <c r="BE330" s="946">
        <f t="shared" ref="BE330" si="935">IF(BD330-AZ330&lt;0,BD330-AZ330,0)</f>
        <v>0</v>
      </c>
      <c r="BF330" s="947">
        <f t="shared" ref="BF330" si="936">IF(AND(BE330=0,BA330=0),BD330,0)</f>
        <v>20676.267589073195</v>
      </c>
      <c r="BG330" s="948">
        <f t="shared" ref="BG330" si="937">IF(AND(BE330=0,BA330=0),((BF330/BF$2))*BE$2,0)</f>
        <v>-492.4918440292609</v>
      </c>
      <c r="BH330" s="949">
        <f t="shared" ref="BH330" si="938">BD330-BE330+BG330</f>
        <v>20183.775745043935</v>
      </c>
      <c r="BI330" s="946">
        <f t="shared" ref="BI330" si="939">IF(BH330-AZ330&lt;0,BH330-AZ330,0)</f>
        <v>0</v>
      </c>
      <c r="BJ330" s="947">
        <f t="shared" ref="BJ330" si="940">IF(AND(BE330=0,BA330=0,BI330=0),BH330,0)</f>
        <v>20183.775745043935</v>
      </c>
      <c r="BK330" s="948">
        <f t="shared" ref="BK330" si="941">IF(AND(BI330=0,BE330=0,BA330=0),((BJ330/BJ$2))*BI$2,0)</f>
        <v>-42.753977631963281</v>
      </c>
      <c r="BL330" s="949">
        <f t="shared" ref="BL330" si="942">BH330-BI330+BK330</f>
        <v>20141.02176741197</v>
      </c>
      <c r="BM330" s="946">
        <f t="shared" ref="BM330" si="943">IF(BL330-AZ330&lt;0,BL330-AZ330,0)</f>
        <v>0</v>
      </c>
      <c r="BN330" s="947">
        <f t="shared" ref="BN330" si="944">IF(AND(BE330=0,BA330=0,BI330=0,BM330=0),BL330,0)</f>
        <v>20141.02176741197</v>
      </c>
      <c r="BO330" s="948">
        <f t="shared" ref="BO330" si="945">IF(AND(BM330=0,BI330=0,BE330=0,BA330=0),((BN330/BN$2))*BM$2,0)</f>
        <v>-0.92150791450031866</v>
      </c>
      <c r="BP330" s="949">
        <f t="shared" ref="BP330" si="946">BL330-BM330+BO330</f>
        <v>20140.100259497471</v>
      </c>
      <c r="BQ330" s="946">
        <f t="shared" ref="BQ330" si="947">IF(BP330-AZ330&lt;0,BP330-AZ330,0)</f>
        <v>0</v>
      </c>
      <c r="BR330" s="947">
        <f t="shared" ref="BR330" si="948">IF(AND(BM330=0,BI330=0,BQ330=0,BA330=0,BE330=0),BP330,0)</f>
        <v>20140.100259497471</v>
      </c>
      <c r="BS330" s="948">
        <f t="shared" ref="BS330" si="949">IF(AND(BQ330=0,BM330=0,BI330=0),((BR330/BR$2))*BQ$2,0)</f>
        <v>0</v>
      </c>
      <c r="BT330" s="949">
        <f t="shared" ref="BT330" si="950">BP330-BQ330+BS330</f>
        <v>20140.100259497471</v>
      </c>
      <c r="BU330" s="950">
        <f>VLOOKUP(B330,'Afton Update'!$A$5:$AR$582,'Afton Update'!$AO$589,0)-BT330</f>
        <v>0</v>
      </c>
      <c r="BV330" s="946">
        <f t="shared" ref="BV330" si="951">IF(R330="",0,R330)</f>
        <v>45628.808798169339</v>
      </c>
      <c r="BW330" s="947">
        <f t="shared" ref="BW330" si="952">IF($K330="N",0,F330*$N330)</f>
        <v>40185.981659679761</v>
      </c>
      <c r="BX330" s="946">
        <f t="shared" ref="BX330" si="953">IF($K330="N",0,MAX(BW330-BV330,0))</f>
        <v>0</v>
      </c>
      <c r="BY330" s="947">
        <f t="shared" ref="BY330" si="954">IF(BX330=0,BV330,0)</f>
        <v>45628.808798169339</v>
      </c>
      <c r="BZ330" s="948">
        <f t="shared" ref="BZ330" si="955">-IF(BX330=0,((BY330/BY$2)*BX$2),0)</f>
        <v>-400.48890602228829</v>
      </c>
      <c r="CA330" s="949">
        <f t="shared" ref="CA330" si="956">IF(BX330=0,BY330+BZ330,BX330+BV330)</f>
        <v>45228.319892147054</v>
      </c>
      <c r="CB330" s="946">
        <f t="shared" ref="CB330" si="957">IF(CA330-BW330&lt;0,CA330-BW330,0)</f>
        <v>0</v>
      </c>
      <c r="CC330" s="947">
        <f t="shared" ref="CC330" si="958">IF(AND(CB330=0,BX330=0),CA330,0)</f>
        <v>45228.319892147054</v>
      </c>
      <c r="CD330" s="948">
        <f t="shared" ref="CD330" si="959">IF(AND(CB330=0,BX330=0),((CC330/CC$2))*CB$2,0)</f>
        <v>-14.487294902262517</v>
      </c>
      <c r="CE330" s="949">
        <f t="shared" ref="CE330" si="960">CA330-CB330+CD330</f>
        <v>45213.832597244793</v>
      </c>
      <c r="CF330" s="946">
        <f t="shared" ref="CF330" si="961">IF(CE330-BW330&lt;0,CE330-BW330,0)</f>
        <v>0</v>
      </c>
      <c r="CG330" s="947">
        <f t="shared" ref="CG330" si="962">IF(AND(CB330=0,BX330=0,CF330=0),CE330,0)</f>
        <v>45213.832597244793</v>
      </c>
      <c r="CH330" s="948">
        <f t="shared" ref="CH330" si="963">IF(AND(CF330=0,CB330=0,BX330=0),((CG330/CG$2))*CF$2,0)</f>
        <v>0</v>
      </c>
      <c r="CI330" s="949">
        <f t="shared" ref="CI330" si="964">CE330-CF330+CH330</f>
        <v>45213.832597244793</v>
      </c>
      <c r="CJ330" s="946">
        <f t="shared" ref="CJ330" si="965">IF(CI330-BW330&lt;0,CI330-BW330,0)</f>
        <v>0</v>
      </c>
      <c r="CK330" s="947">
        <f t="shared" ref="CK330" si="966">IF(AND(CB330=0,BX330=0,CF330=0,CJ330=0),CI330,0)</f>
        <v>45213.832597244793</v>
      </c>
      <c r="CL330" s="948">
        <f t="shared" ref="CL330" si="967">IF(AND(CJ330=0,CF330=0,CB330=0,BX330=0),((CK330/CK$2))*CJ$2,0)</f>
        <v>0</v>
      </c>
      <c r="CM330" s="949">
        <f t="shared" ref="CM330" si="968">CI330-CJ330+CL330</f>
        <v>45213.832597244793</v>
      </c>
      <c r="CN330" s="946">
        <f t="shared" ref="CN330" si="969">IF(CM330-BW330&lt;0,CM330-BW330,0)</f>
        <v>0</v>
      </c>
      <c r="CO330" s="947">
        <f t="shared" ref="CO330" si="970">IF(AND(CJ330=0,CF330=0,CN330=0,BX330=0,CB330=0),CM330,0)</f>
        <v>45213.832597244793</v>
      </c>
      <c r="CP330" s="948">
        <f t="shared" ref="CP330" si="971">IF(AND(CN330=0,CJ330=0,CF330=0),((CO330/CO$2))*CN$2,0)</f>
        <v>0</v>
      </c>
      <c r="CQ330" s="949">
        <f t="shared" ref="CQ330" si="972">CM330-CN330+CP330</f>
        <v>45213.832597244793</v>
      </c>
      <c r="CS330" s="946">
        <f t="shared" ref="CS330" si="973">IF(S330="",0,S330)</f>
        <v>41692.598633975671</v>
      </c>
      <c r="CT330" s="947">
        <f t="shared" ref="CT330" si="974">IF($L330="N",0,G330*$N330)</f>
        <v>37521.58817002704</v>
      </c>
      <c r="CU330" s="946">
        <f t="shared" ref="CU330" si="975">IF($L330="N",0,MAX(CT330-CS330,0))</f>
        <v>0</v>
      </c>
      <c r="CV330" s="947">
        <f t="shared" ref="CV330" si="976">IF(CU330=0,CS330,0)</f>
        <v>41692.598633975671</v>
      </c>
      <c r="CW330" s="948">
        <f t="shared" ref="CW330" si="977">-IF(CU330=0,((CV330/CV$2)*CU$2),0)</f>
        <v>-426.95577141562291</v>
      </c>
      <c r="CX330" s="949">
        <f t="shared" ref="CX330" si="978">IF(CU330=0,CV330+CW330,CU330+CS330)</f>
        <v>41265.642862560046</v>
      </c>
      <c r="CY330" s="946">
        <f t="shared" ref="CY330" si="979">IF(CX330-CT330&lt;0,CX330-CT330,0)</f>
        <v>0</v>
      </c>
      <c r="CZ330" s="947">
        <f t="shared" ref="CZ330" si="980">IF(AND(CY330=0,CU330=0),CX330,0)</f>
        <v>41265.642862560046</v>
      </c>
      <c r="DA330" s="948">
        <f t="shared" ref="DA330" si="981">IF(AND(CY330=0,CU330=0),((CZ330/CZ$2))*CY$2,0)</f>
        <v>-32.393679505695758</v>
      </c>
      <c r="DB330" s="949">
        <f t="shared" ref="DB330" si="982">CX330-CY330+DA330</f>
        <v>41233.249183054351</v>
      </c>
      <c r="DC330" s="946">
        <f t="shared" ref="DC330" si="983">IF(DB330-CT330&lt;0,DB330-CT330,0)</f>
        <v>0</v>
      </c>
      <c r="DD330" s="947">
        <f t="shared" ref="DD330" si="984">IF(AND(CY330=0,CU330=0,DC330=0),DB330,0)</f>
        <v>41233.249183054351</v>
      </c>
      <c r="DE330" s="948">
        <f t="shared" ref="DE330" si="985">IF(AND(DC330=0,CY330=0,CU330=0),((DD330/DD$2))*DC$2,0)</f>
        <v>-2.7935513864086891E-2</v>
      </c>
      <c r="DF330" s="949">
        <f t="shared" ref="DF330" si="986">DB330-DC330+DE330</f>
        <v>41233.221247540489</v>
      </c>
      <c r="DG330" s="946">
        <f t="shared" ref="DG330" si="987">IF(DF330-CT330&lt;0,DF330-CT330,0)</f>
        <v>0</v>
      </c>
      <c r="DH330" s="947">
        <f t="shared" ref="DH330" si="988">IF(AND(CY330=0,CU330=0,DC330=0,DG330=0),DF330,0)</f>
        <v>41233.221247540489</v>
      </c>
      <c r="DI330" s="948">
        <f t="shared" ref="DI330" si="989">IF(AND(DG330=0,DC330=0,CY330=0,CU330=0),((DH330/DH$2))*DG$2,0)</f>
        <v>0</v>
      </c>
      <c r="DJ330" s="949">
        <f t="shared" ref="DJ330" si="990">DF330-DG330+DI330</f>
        <v>41233.221247540489</v>
      </c>
      <c r="DK330" s="946">
        <f t="shared" ref="DK330" si="991">IF(DJ330-CT330&lt;0,DJ330-CT330,0)</f>
        <v>0</v>
      </c>
      <c r="DL330" s="947">
        <f t="shared" ref="DL330" si="992">IF(AND(DG330=0,DC330=0,DK330=0,CU330=0,CY330=0),DJ330,0)</f>
        <v>41233.221247540489</v>
      </c>
      <c r="DM330" s="948">
        <f t="shared" ref="DM330" si="993">IF(AND(DK330=0,DG330=0,DC330=0),((DL330/DL$2))*DK$2,0)</f>
        <v>0</v>
      </c>
      <c r="DN330" s="949">
        <f t="shared" ref="DN330" si="994">DJ330-DK330+DM330</f>
        <v>41233.221247540489</v>
      </c>
      <c r="DR330" s="951">
        <f t="shared" ref="DR330" si="995">Z330</f>
        <v>193175.34542123019</v>
      </c>
      <c r="DV330" s="952">
        <f>IFERROR(VLOOKUP($B330,'Afton FY16 Final'!$A$5:$BV$587,'Afton FY16 Final'!$BV$587,0),0)</f>
        <v>175705.9232150742</v>
      </c>
      <c r="DX330" s="938">
        <f t="shared" ref="DX330" si="996">IF(DR330&gt;DV330,DR330,0)</f>
        <v>193175.34542123019</v>
      </c>
      <c r="DY330" s="939">
        <f t="shared" ref="DY330" si="997">IF(DX330&gt;0,DX330-DV330,0)</f>
        <v>17469.422206155985</v>
      </c>
      <c r="DZ330" s="939">
        <f t="shared" ref="DZ330" si="998">IF(DX330=0,0,DV330)</f>
        <v>175705.9232150742</v>
      </c>
      <c r="EA330" s="945">
        <f t="shared" ref="EA330" si="999">DX330/$DX$2*$EA$2</f>
        <v>182900.58203837118</v>
      </c>
      <c r="EB330" s="939">
        <f t="shared" ref="EB330" si="1000">IF(EA330&lt;$DZ330,$DZ330,0)</f>
        <v>0</v>
      </c>
      <c r="EC330" s="939">
        <f t="shared" ref="EC330" si="1001">IF(EB330=0,EA330,0)</f>
        <v>182900.58203837118</v>
      </c>
      <c r="ED330" s="939">
        <f t="shared" ref="ED330" si="1002">EC330/EC$2*ED$2</f>
        <v>182355.18342331061</v>
      </c>
      <c r="EE330" s="945">
        <f t="shared" ref="EE330" si="1003">ED330+EB330</f>
        <v>182355.18342331061</v>
      </c>
      <c r="EF330" s="939">
        <f t="shared" ref="EF330" si="1004">IF(EE330&lt;$DZ330,$DZ330,0)</f>
        <v>0</v>
      </c>
      <c r="EG330" s="939">
        <f t="shared" ref="EG330" si="1005">IF(EB330+EF330=0,EE330,0)</f>
        <v>182355.18342331061</v>
      </c>
      <c r="EH330" s="939">
        <f t="shared" ref="EH330" si="1006">EG330/EG$2*EH$2</f>
        <v>182354.99529458571</v>
      </c>
      <c r="EI330" s="945">
        <f t="shared" ref="EI330" si="1007">EH330+EF330+EB330</f>
        <v>182354.99529458571</v>
      </c>
      <c r="EJ330" s="939">
        <f t="shared" ref="EJ330" si="1008">IF(EI330&lt;$DZ330,$DZ330,0)</f>
        <v>0</v>
      </c>
      <c r="EK330" s="939">
        <f t="shared" ref="EK330" si="1009">IF($EB330+$EF330+$EJ330=0,EI330,0)</f>
        <v>182354.99529458571</v>
      </c>
      <c r="EL330" s="939">
        <f t="shared" ref="EL330" si="1010">EK330/EK$2*EL$2</f>
        <v>182354.99529458545</v>
      </c>
      <c r="EM330" s="945">
        <f t="shared" ref="EM330" si="1011">$EJ330+$EF330+$EB330+EL330</f>
        <v>182354.99529458545</v>
      </c>
      <c r="EN330" s="939">
        <f t="shared" ref="EN330" si="1012">IF(EM330&lt;$DZ330,$DZ330,0)</f>
        <v>0</v>
      </c>
      <c r="EO330" s="939">
        <f t="shared" ref="EO330" si="1013">IF($EB330+$EF330+$EJ330+EN330=0,EM330,0)</f>
        <v>182354.99529458545</v>
      </c>
      <c r="EP330" s="939">
        <f t="shared" ref="EP330" si="1014">EO330/EO$2*EP$2</f>
        <v>182354.99529458571</v>
      </c>
      <c r="EQ330" s="945">
        <f t="shared" ref="EQ330" si="1015">$EJ330+$EF330+$EB330+EP330+EN330</f>
        <v>182354.99529458571</v>
      </c>
      <c r="ER330" s="939">
        <f t="shared" ref="ER330" si="1016">IF(EQ330&lt;$DZ330,$DZ330,0)</f>
        <v>0</v>
      </c>
      <c r="ES330" s="939">
        <f t="shared" ref="ES330" si="1017">IF($EB330+$EF330+$EJ330+EN330+ER330=0,EQ330,0)</f>
        <v>182354.99529458571</v>
      </c>
      <c r="ET330" s="939">
        <f t="shared" ref="ET330" si="1018">ES330/ES$2*ET$2</f>
        <v>182354.99529458542</v>
      </c>
      <c r="EU330" s="945">
        <f t="shared" ref="EU330" si="1019">$EJ330+$EF330+$EB330+ET330+ER330+EN330</f>
        <v>182354.99529458542</v>
      </c>
      <c r="EV330" s="945">
        <f t="shared" ref="EV330" si="1020">IF(EU330&lt;$DZ330,$DZ330,0)</f>
        <v>0</v>
      </c>
      <c r="EX330" s="953">
        <f t="shared" ref="EX330" si="1021">IF(EU330=0,0,DR330-EU330)</f>
        <v>10820.350126644771</v>
      </c>
      <c r="EY330" s="940">
        <f t="shared" ref="EY330" si="1022">IF(EU330=0,DR330,EU330)</f>
        <v>182354.99529458542</v>
      </c>
      <c r="FC330" s="954" t="str">
        <f t="shared" ref="FC330" si="1023">IF(OR(FH330="y",FI330="y",FJ330="y",FK330="y"),"Y","N")</f>
        <v>Y</v>
      </c>
      <c r="FE330" s="954" t="str">
        <f>IFERROR(VLOOKUP($B330,'Historical Conc Grant Elig'!$B$3:$J$707,'HH &amp; SI'!FE$2,0),"N")</f>
        <v>Y</v>
      </c>
      <c r="FF330" s="954" t="str">
        <f>IFERROR(VLOOKUP($B330,'Historical Conc Grant Elig'!$B$3:$J$707,'HH &amp; SI'!FF$2,0),"N")</f>
        <v>Y</v>
      </c>
      <c r="FG330" s="954" t="str">
        <f>IFERROR(VLOOKUP($B330,'Historical Conc Grant Elig'!$B$3:$J$707,'HH &amp; SI'!FG$2,0),"N")</f>
        <v>Y</v>
      </c>
      <c r="FH330" s="954" t="str">
        <f>IFERROR(VLOOKUP($B330,'Historical Conc Grant Elig'!$B$3:$J$707,'HH &amp; SI'!FH$2,0),"N")</f>
        <v>Y</v>
      </c>
      <c r="FI330" s="954" t="str">
        <f>IFERROR(VLOOKUP($B330,'Historical Conc Grant Elig'!$B$3:$J$707,'HH &amp; SI'!FI$2,0),"N")</f>
        <v>Y</v>
      </c>
      <c r="FJ330" s="954" t="str">
        <f>IFERROR(VLOOKUP($B330,'Historical Conc Grant Elig'!$B$3:$J$707,'HH &amp; SI'!FJ$2,0),"N")</f>
        <v>Y</v>
      </c>
      <c r="FK330" s="954" t="str">
        <f>IFERROR(VLOOKUP($B330,'Historical Conc Grant Elig'!$B$3:$J$707,'HH &amp; SI'!FK$2,0),"N")</f>
        <v>Y</v>
      </c>
      <c r="FL330" s="957" t="str">
        <f>IFERROR(VLOOKUP($B330,'Historical Conc Grant Elig'!$B$3:$J$707,'HH &amp; SI'!FL$2,0),"N")</f>
        <v>N</v>
      </c>
    </row>
    <row r="331" spans="2:168" x14ac:dyDescent="0.25">
      <c r="B331" s="634">
        <v>88758000</v>
      </c>
      <c r="C331" s="635" t="str">
        <f>VLOOKUP($B331,'Afton Update'!$A$5:$CR$582,'Afton Update'!D$589,0)</f>
        <v>Mohave Accelerated Learning Center</v>
      </c>
      <c r="D331" s="636">
        <f>IFERROR(VLOOKUP($B331,'Afton FY16 Final'!$A$5:$BV$587,'Afton FY16 Final'!AQ$587,0),0)</f>
        <v>85688.337842933572</v>
      </c>
      <c r="E331" s="637">
        <f>IFERROR(VLOOKUP($B331,'Afton FY16 Final'!$A$5:$BV$587,'Afton FY16 Final'!AR$587,0),0)</f>
        <v>19819.701035600123</v>
      </c>
      <c r="F331" s="637">
        <f>IFERROR(VLOOKUP($B331,'Afton FY16 Final'!$A$5:$BV$587,'Afton FY16 Final'!AS$587,0),0)</f>
        <v>41238.055755467911</v>
      </c>
      <c r="G331" s="637">
        <f>IFERROR(VLOOKUP($B331,'Afton FY16 Final'!$A$5:$BV$587,'Afton FY16 Final'!AT$587,0),0)</f>
        <v>38297.904036551998</v>
      </c>
      <c r="H331" s="638">
        <f>IFERROR(VLOOKUP($B331,'Afton FY16 Final'!$A$5:$BV$587,'Afton FY16 Final'!AU$587,0),0)</f>
        <v>185043.99867055361</v>
      </c>
      <c r="I331" s="639" t="str">
        <f>VLOOKUP($B331,'Afton Update'!$A$5:$CR$582,'Afton Update'!BT$589,0)</f>
        <v>Y</v>
      </c>
      <c r="J331" s="640" t="str">
        <f>VLOOKUP($B331,'Afton Update'!$A$5:$CR$582,'Afton Update'!BU$589,0)</f>
        <v>Y</v>
      </c>
      <c r="K331" s="640" t="str">
        <f>VLOOKUP($B331,'Afton Update'!$A$5:$CR$582,'Afton Update'!BV$589,0)</f>
        <v>Y</v>
      </c>
      <c r="L331" s="641" t="str">
        <f>VLOOKUP($B331,'Afton Update'!$A$5:$CR$582,'Afton Update'!BW$589,0)</f>
        <v>Y</v>
      </c>
      <c r="N331" s="642">
        <f>VLOOKUP($B331,'Afton Update'!$A$5:$CR$582,'Afton Update'!CB$589,0)</f>
        <v>0.95</v>
      </c>
      <c r="P331" s="636">
        <f>VLOOKUP($B331,'Afton Update'!$A$5:$CR$582,'Afton Update'!AH$589,0)</f>
        <v>82753.832859493064</v>
      </c>
      <c r="Q331" s="637">
        <f>VLOOKUP($B331,'Afton Update'!$A$5:$CR$582,'Afton Update'!AI$589,0)</f>
        <v>19632.63447887505</v>
      </c>
      <c r="R331" s="637">
        <f>VLOOKUP($B331,'Afton Update'!$A$5:$CR$582,'Afton Update'!AJ$589,0)</f>
        <v>43010.795513797428</v>
      </c>
      <c r="S331" s="637">
        <f>VLOOKUP($B331,'Afton Update'!$A$5:$CR$582,'Afton Update'!AK$589,0)</f>
        <v>39301.652822734191</v>
      </c>
      <c r="T331" s="643">
        <f t="shared" si="875"/>
        <v>184698.91567489976</v>
      </c>
      <c r="V331" s="636">
        <f t="shared" ref="V331:V401" si="1024">AW331</f>
        <v>81625.016866783641</v>
      </c>
      <c r="W331" s="637">
        <f t="shared" ref="W331:W401" si="1025">BT331</f>
        <v>18986.007277922774</v>
      </c>
      <c r="X331" s="637">
        <f t="shared" ref="X331:X401" si="1026">CQ331</f>
        <v>42619.629121529608</v>
      </c>
      <c r="Y331" s="637">
        <f t="shared" ref="Y331:Y401" si="1027">DN331</f>
        <v>38868.619355216579</v>
      </c>
      <c r="Z331" s="643">
        <f t="shared" ref="Z331:Z401" si="1028">SUM(V331:Y331)</f>
        <v>182099.27262145258</v>
      </c>
      <c r="AB331" s="644">
        <f t="shared" si="876"/>
        <v>82753.832859493064</v>
      </c>
      <c r="AC331" s="645">
        <f t="shared" si="850"/>
        <v>81403.920950786895</v>
      </c>
      <c r="AD331" s="644">
        <f t="shared" ref="AD331:AD401" si="1029">IF($I331="N",0,MAX(AC331-AB331,0))</f>
        <v>0</v>
      </c>
      <c r="AE331" s="645">
        <f t="shared" ref="AE331:AE401" si="1030">IF(AD331=0,AB331,0)</f>
        <v>82753.832859493064</v>
      </c>
      <c r="AF331" s="646">
        <f t="shared" ref="AF331:AF401" si="1031">-IF(AD331=0,((AE331/AE$2)*AD$2),0)</f>
        <v>-1025.7959461434004</v>
      </c>
      <c r="AG331" s="647">
        <f t="shared" ref="AG331:AG401" si="1032">IF(AD331=0,AE331+AF331,AD331+AB331)</f>
        <v>81728.036913349657</v>
      </c>
      <c r="AH331" s="644">
        <f t="shared" si="877"/>
        <v>0</v>
      </c>
      <c r="AI331" s="645">
        <f t="shared" si="878"/>
        <v>81728.036913349657</v>
      </c>
      <c r="AJ331" s="646">
        <f t="shared" ref="AJ331:AJ401" si="1033">IF(AND(AH331=0,AD331=0),((AI331/AI$2))*AH$2,0)</f>
        <v>-102.95441281076825</v>
      </c>
      <c r="AK331" s="647">
        <f t="shared" si="879"/>
        <v>81625.082500538891</v>
      </c>
      <c r="AL331" s="644">
        <f t="shared" ref="AL331:AL401" si="1034">IF(AK331-AC331&lt;0,AK331-AC331,0)</f>
        <v>0</v>
      </c>
      <c r="AM331" s="645">
        <f t="shared" ref="AM331:AM401" si="1035">IF(AND(AH331=0,AD331=0,AL331=0),AK331,0)</f>
        <v>81625.082500538891</v>
      </c>
      <c r="AN331" s="646">
        <f t="shared" ref="AN331:AN401" si="1036">IF(AND(AL331=0,AH331=0,AD331=0),((AM331/AM$2))*AL$2,0)</f>
        <v>-6.5633755248645495E-2</v>
      </c>
      <c r="AO331" s="647">
        <f t="shared" si="880"/>
        <v>81625.016866783641</v>
      </c>
      <c r="AP331" s="644">
        <f t="shared" ref="AP331:AP401" si="1037">IF(AO331-AC331&lt;0,AO331-AC331,0)</f>
        <v>0</v>
      </c>
      <c r="AQ331" s="645">
        <f t="shared" ref="AQ331:AQ401" si="1038">IF(AND(AH331=0,AD331=0,AL331=0,AP331=0),AO331,0)</f>
        <v>81625.016866783641</v>
      </c>
      <c r="AR331" s="646">
        <f t="shared" ref="AR331:AR401" si="1039">IF(AND(AP331=0,AL331=0,AH331=0,AD331=0),((AQ331/AQ$2))*AP$2,0)</f>
        <v>0</v>
      </c>
      <c r="AS331" s="647">
        <f t="shared" si="881"/>
        <v>81625.016866783641</v>
      </c>
      <c r="AT331" s="644">
        <f t="shared" ref="AT331:AT401" si="1040">IF(AS331-AC331&lt;0,AS331-AC331,0)</f>
        <v>0</v>
      </c>
      <c r="AU331" s="645">
        <f t="shared" ref="AU331:AU401" si="1041">IF(AND(AP331=0,AL331=0,AT331=0,AD331=0,AH331=0),AS331,0)</f>
        <v>81625.016866783641</v>
      </c>
      <c r="AV331" s="646">
        <f t="shared" ref="AV331:AV401" si="1042">IF(AND(AT331=0,AP331=0,AL331=0),((AU331/AU$2))*AT$2,0)</f>
        <v>0</v>
      </c>
      <c r="AW331" s="647">
        <f t="shared" si="882"/>
        <v>81625.016866783641</v>
      </c>
      <c r="AY331" s="644">
        <f t="shared" ref="AY331:AY401" si="1043">IF(Q331="",0,Q331)</f>
        <v>19632.63447887505</v>
      </c>
      <c r="AZ331" s="645">
        <f t="shared" si="851"/>
        <v>18828.715983820115</v>
      </c>
      <c r="BA331" s="644">
        <f t="shared" ref="BA331:BA401" si="1044">IF($J331="N",0,MAX(AZ331-AY331,0))</f>
        <v>0</v>
      </c>
      <c r="BB331" s="645">
        <f t="shared" ref="BB331:BB401" si="1045">IF(BA331=0,AY331,0)</f>
        <v>19632.63447887505</v>
      </c>
      <c r="BC331" s="646">
        <f t="shared" ref="BC331:BC401" si="1046">-IF(BA331=0,((BB331/BB$2)*BA$2),0)</f>
        <v>-141.18399608497876</v>
      </c>
      <c r="BD331" s="647">
        <f t="shared" ref="BD331:BD401" si="1047">IF(BA331=0,BB331+BC331,BA331+AY331)</f>
        <v>19491.450482790071</v>
      </c>
      <c r="BE331" s="644">
        <f t="shared" si="883"/>
        <v>0</v>
      </c>
      <c r="BF331" s="645">
        <f t="shared" si="884"/>
        <v>19491.450482790071</v>
      </c>
      <c r="BG331" s="646">
        <f t="shared" ref="BG331:BG401" si="1048">IF(AND(BE331=0,BA331=0),((BF331/BF$2))*BE$2,0)</f>
        <v>-464.27046611387937</v>
      </c>
      <c r="BH331" s="647">
        <f t="shared" si="885"/>
        <v>19027.180016676193</v>
      </c>
      <c r="BI331" s="644">
        <f t="shared" ref="BI331:BI401" si="1049">IF(BH331-AZ331&lt;0,BH331-AZ331,0)</f>
        <v>0</v>
      </c>
      <c r="BJ331" s="645">
        <f t="shared" ref="BJ331:BJ401" si="1050">IF(AND(BE331=0,BA331=0,BI331=0),BH331,0)</f>
        <v>19027.180016676193</v>
      </c>
      <c r="BK331" s="646">
        <f t="shared" ref="BK331:BK401" si="1051">IF(AND(BI331=0,BE331=0,BA331=0),((BJ331/BJ$2))*BI$2,0)</f>
        <v>-40.30403622731798</v>
      </c>
      <c r="BL331" s="647">
        <f t="shared" si="886"/>
        <v>18986.875980448876</v>
      </c>
      <c r="BM331" s="644">
        <f t="shared" ref="BM331:BM401" si="1052">IF(BL331-AZ331&lt;0,BL331-AZ331,0)</f>
        <v>0</v>
      </c>
      <c r="BN331" s="645">
        <f t="shared" ref="BN331:BN401" si="1053">IF(AND(BE331=0,BA331=0,BI331=0,BM331=0),BL331,0)</f>
        <v>18986.875980448876</v>
      </c>
      <c r="BO331" s="646">
        <f t="shared" ref="BO331:BO401" si="1054">IF(AND(BM331=0,BI331=0,BE331=0,BA331=0),((BN331/BN$2))*BM$2,0)</f>
        <v>-0.86870252610167675</v>
      </c>
      <c r="BP331" s="647">
        <f t="shared" si="887"/>
        <v>18986.007277922774</v>
      </c>
      <c r="BQ331" s="644">
        <f t="shared" ref="BQ331:BQ401" si="1055">IF(BP331-AZ331&lt;0,BP331-AZ331,0)</f>
        <v>0</v>
      </c>
      <c r="BR331" s="645">
        <f t="shared" ref="BR331:BR401" si="1056">IF(AND(BM331=0,BI331=0,BQ331=0,BA331=0,BE331=0),BP331,0)</f>
        <v>18986.007277922774</v>
      </c>
      <c r="BS331" s="646">
        <f t="shared" ref="BS331:BS401" si="1057">IF(AND(BQ331=0,BM331=0,BI331=0),((BR331/BR$2))*BQ$2,0)</f>
        <v>0</v>
      </c>
      <c r="BT331" s="647">
        <f t="shared" si="888"/>
        <v>18986.007277922774</v>
      </c>
      <c r="BU331" s="662">
        <f>VLOOKUP(B331,'Afton Update'!$A$5:$AR$582,'Afton Update'!$AO$589,0)-BT331</f>
        <v>0</v>
      </c>
      <c r="BV331" s="644">
        <f t="shared" ref="BV331:BV401" si="1058">IF(R331="",0,R331)</f>
        <v>43010.795513797428</v>
      </c>
      <c r="BW331" s="645">
        <f t="shared" si="852"/>
        <v>39176.152967694514</v>
      </c>
      <c r="BX331" s="644">
        <f t="shared" ref="BX331:BX401" si="1059">IF($K331="N",0,MAX(BW331-BV331,0))</f>
        <v>0</v>
      </c>
      <c r="BY331" s="645">
        <f t="shared" ref="BY331:BY401" si="1060">IF(BX331=0,BV331,0)</f>
        <v>43010.795513797428</v>
      </c>
      <c r="BZ331" s="646">
        <f t="shared" ref="BZ331:BZ401" si="1061">-IF(BX331=0,((BY331/BY$2)*BX$2),0)</f>
        <v>-377.5103250812931</v>
      </c>
      <c r="CA331" s="647">
        <f t="shared" ref="CA331:CA401" si="1062">IF(BX331=0,BY331+BZ331,BX331+BV331)</f>
        <v>42633.285188716138</v>
      </c>
      <c r="CB331" s="644">
        <f t="shared" si="889"/>
        <v>0</v>
      </c>
      <c r="CC331" s="645">
        <f t="shared" si="890"/>
        <v>42633.285188716138</v>
      </c>
      <c r="CD331" s="646">
        <f t="shared" ref="CD331:CD401" si="1063">IF(AND(CB331=0,BX331=0),((CC331/CC$2))*CB$2,0)</f>
        <v>-13.656067186533535</v>
      </c>
      <c r="CE331" s="647">
        <f t="shared" si="891"/>
        <v>42619.629121529608</v>
      </c>
      <c r="CF331" s="644">
        <f t="shared" ref="CF331:CF401" si="1064">IF(CE331-BW331&lt;0,CE331-BW331,0)</f>
        <v>0</v>
      </c>
      <c r="CG331" s="645">
        <f t="shared" ref="CG331:CG401" si="1065">IF(AND(CB331=0,BX331=0,CF331=0),CE331,0)</f>
        <v>42619.629121529608</v>
      </c>
      <c r="CH331" s="646">
        <f t="shared" ref="CH331:CH401" si="1066">IF(AND(CF331=0,CB331=0,BX331=0),((CG331/CG$2))*CF$2,0)</f>
        <v>0</v>
      </c>
      <c r="CI331" s="647">
        <f t="shared" si="892"/>
        <v>42619.629121529608</v>
      </c>
      <c r="CJ331" s="644">
        <f t="shared" ref="CJ331:CJ401" si="1067">IF(CI331-BW331&lt;0,CI331-BW331,0)</f>
        <v>0</v>
      </c>
      <c r="CK331" s="645">
        <f t="shared" ref="CK331:CK401" si="1068">IF(AND(CB331=0,BX331=0,CF331=0,CJ331=0),CI331,0)</f>
        <v>42619.629121529608</v>
      </c>
      <c r="CL331" s="646">
        <f t="shared" ref="CL331:CL401" si="1069">IF(AND(CJ331=0,CF331=0,CB331=0,BX331=0),((CK331/CK$2))*CJ$2,0)</f>
        <v>0</v>
      </c>
      <c r="CM331" s="647">
        <f t="shared" si="893"/>
        <v>42619.629121529608</v>
      </c>
      <c r="CN331" s="644">
        <f t="shared" ref="CN331:CN401" si="1070">IF(CM331-BW331&lt;0,CM331-BW331,0)</f>
        <v>0</v>
      </c>
      <c r="CO331" s="645">
        <f t="shared" ref="CO331:CO401" si="1071">IF(AND(CJ331=0,CF331=0,CN331=0,BX331=0,CB331=0),CM331,0)</f>
        <v>42619.629121529608</v>
      </c>
      <c r="CP331" s="646">
        <f t="shared" ref="CP331:CP401" si="1072">IF(AND(CN331=0,CJ331=0,CF331=0),((CO331/CO$2))*CN$2,0)</f>
        <v>0</v>
      </c>
      <c r="CQ331" s="647">
        <f t="shared" si="894"/>
        <v>42619.629121529608</v>
      </c>
      <c r="CS331" s="644">
        <f t="shared" ref="CS331:CS401" si="1073">IF(S331="",0,S331)</f>
        <v>39301.652822734191</v>
      </c>
      <c r="CT331" s="645">
        <f t="shared" si="853"/>
        <v>36383.008834724395</v>
      </c>
      <c r="CU331" s="644">
        <f t="shared" ref="CU331:CU401" si="1074">IF($L331="N",0,MAX(CT331-CS331,0))</f>
        <v>0</v>
      </c>
      <c r="CV331" s="645">
        <f t="shared" ref="CV331:CV401" si="1075">IF(CU331=0,CS331,0)</f>
        <v>39301.652822734191</v>
      </c>
      <c r="CW331" s="646">
        <f t="shared" ref="CW331:CW401" si="1076">-IF(CU331=0,((CV331/CV$2)*CU$2),0)</f>
        <v>-402.47113513248951</v>
      </c>
      <c r="CX331" s="647">
        <f t="shared" ref="CX331:CX401" si="1077">IF(CU331=0,CV331+CW331,CU331+CS331)</f>
        <v>38899.181687601704</v>
      </c>
      <c r="CY331" s="644">
        <f t="shared" si="895"/>
        <v>0</v>
      </c>
      <c r="CZ331" s="645">
        <f t="shared" si="896"/>
        <v>38899.181687601704</v>
      </c>
      <c r="DA331" s="646">
        <f t="shared" ref="DA331:DA401" si="1078">IF(AND(CY331=0,CU331=0),((CZ331/CZ$2))*CY$2,0)</f>
        <v>-30.535998889411839</v>
      </c>
      <c r="DB331" s="647">
        <f t="shared" si="897"/>
        <v>38868.645688712291</v>
      </c>
      <c r="DC331" s="644">
        <f t="shared" ref="DC331:DC401" si="1079">IF(DB331-CT331&lt;0,DB331-CT331,0)</f>
        <v>0</v>
      </c>
      <c r="DD331" s="645">
        <f t="shared" ref="DD331:DD401" si="1080">IF(AND(CY331=0,CU331=0,DC331=0),DB331,0)</f>
        <v>38868.645688712291</v>
      </c>
      <c r="DE331" s="646">
        <f t="shared" ref="DE331:DE401" si="1081">IF(AND(DC331=0,CY331=0,CU331=0),((DD331/DD$2))*DC$2,0)</f>
        <v>-2.6333495711066631E-2</v>
      </c>
      <c r="DF331" s="647">
        <f t="shared" si="898"/>
        <v>38868.619355216579</v>
      </c>
      <c r="DG331" s="644">
        <f t="shared" ref="DG331:DG401" si="1082">IF(DF331-CT331&lt;0,DF331-CT331,0)</f>
        <v>0</v>
      </c>
      <c r="DH331" s="645">
        <f t="shared" ref="DH331:DH401" si="1083">IF(AND(CY331=0,CU331=0,DC331=0,DG331=0),DF331,0)</f>
        <v>38868.619355216579</v>
      </c>
      <c r="DI331" s="646">
        <f t="shared" ref="DI331:DI401" si="1084">IF(AND(DG331=0,DC331=0,CY331=0,CU331=0),((DH331/DH$2))*DG$2,0)</f>
        <v>0</v>
      </c>
      <c r="DJ331" s="647">
        <f t="shared" si="899"/>
        <v>38868.619355216579</v>
      </c>
      <c r="DK331" s="644">
        <f t="shared" ref="DK331:DK401" si="1085">IF(DJ331-CT331&lt;0,DJ331-CT331,0)</f>
        <v>0</v>
      </c>
      <c r="DL331" s="645">
        <f t="shared" ref="DL331:DL401" si="1086">IF(AND(DG331=0,DC331=0,DK331=0,CU331=0,CY331=0),DJ331,0)</f>
        <v>38868.619355216579</v>
      </c>
      <c r="DM331" s="646">
        <f t="shared" ref="DM331:DM401" si="1087">IF(AND(DK331=0,DG331=0,DC331=0),((DL331/DL$2))*DK$2,0)</f>
        <v>0</v>
      </c>
      <c r="DN331" s="647">
        <f t="shared" si="900"/>
        <v>38868.619355216579</v>
      </c>
      <c r="DR331" s="827">
        <f t="shared" si="854"/>
        <v>182099.27262145258</v>
      </c>
      <c r="DV331" s="828">
        <f>IFERROR(VLOOKUP($B331,'Afton FY16 Final'!$A$5:$BV$587,'Afton FY16 Final'!$BV$587,0),0)</f>
        <v>181400.48236737531</v>
      </c>
      <c r="DX331" s="636">
        <f t="shared" si="842"/>
        <v>182099.27262145258</v>
      </c>
      <c r="DY331" s="637">
        <f t="shared" si="843"/>
        <v>698.79025407726294</v>
      </c>
      <c r="DZ331" s="637">
        <f t="shared" si="844"/>
        <v>181400.48236737531</v>
      </c>
      <c r="EA331" s="643">
        <f t="shared" si="845"/>
        <v>172413.63217755291</v>
      </c>
      <c r="EB331" s="637">
        <f t="shared" si="855"/>
        <v>181400.48236737531</v>
      </c>
      <c r="EC331" s="637">
        <f t="shared" si="856"/>
        <v>0</v>
      </c>
      <c r="ED331" s="637">
        <f t="shared" si="857"/>
        <v>0</v>
      </c>
      <c r="EE331" s="643">
        <f t="shared" si="858"/>
        <v>181400.48236737531</v>
      </c>
      <c r="EF331" s="637">
        <f t="shared" si="859"/>
        <v>0</v>
      </c>
      <c r="EG331" s="637">
        <f t="shared" si="860"/>
        <v>0</v>
      </c>
      <c r="EH331" s="637">
        <f t="shared" si="861"/>
        <v>0</v>
      </c>
      <c r="EI331" s="643">
        <f t="shared" si="862"/>
        <v>181400.48236737531</v>
      </c>
      <c r="EJ331" s="637">
        <f t="shared" si="863"/>
        <v>0</v>
      </c>
      <c r="EK331" s="637">
        <f t="shared" si="864"/>
        <v>0</v>
      </c>
      <c r="EL331" s="637">
        <f t="shared" si="865"/>
        <v>0</v>
      </c>
      <c r="EM331" s="643">
        <f t="shared" si="866"/>
        <v>181400.48236737531</v>
      </c>
      <c r="EN331" s="637">
        <f t="shared" si="867"/>
        <v>0</v>
      </c>
      <c r="EO331" s="637">
        <f t="shared" si="868"/>
        <v>0</v>
      </c>
      <c r="EP331" s="637">
        <f t="shared" si="869"/>
        <v>0</v>
      </c>
      <c r="EQ331" s="643">
        <f t="shared" si="870"/>
        <v>181400.48236737531</v>
      </c>
      <c r="ER331" s="637">
        <f t="shared" si="871"/>
        <v>0</v>
      </c>
      <c r="ES331" s="637">
        <f t="shared" si="872"/>
        <v>0</v>
      </c>
      <c r="ET331" s="637">
        <f t="shared" si="873"/>
        <v>0</v>
      </c>
      <c r="EU331" s="643">
        <f t="shared" si="846"/>
        <v>181400.48236737531</v>
      </c>
      <c r="EV331" s="643">
        <f t="shared" si="847"/>
        <v>0</v>
      </c>
      <c r="EX331" s="829">
        <f t="shared" si="848"/>
        <v>698.79025407726294</v>
      </c>
      <c r="EY331" s="638">
        <f t="shared" si="849"/>
        <v>181400.48236737531</v>
      </c>
      <c r="FC331" s="830" t="str">
        <f t="shared" si="874"/>
        <v>Y</v>
      </c>
      <c r="FE331" s="830" t="str">
        <f>IFERROR(VLOOKUP($B331,'Historical Conc Grant Elig'!$B$3:$J$707,'HH &amp; SI'!FE$2,0),"N")</f>
        <v>Y</v>
      </c>
      <c r="FF331" s="830" t="str">
        <f>IFERROR(VLOOKUP($B331,'Historical Conc Grant Elig'!$B$3:$J$707,'HH &amp; SI'!FF$2,0),"N")</f>
        <v>Y</v>
      </c>
      <c r="FG331" s="830" t="str">
        <f>IFERROR(VLOOKUP($B331,'Historical Conc Grant Elig'!$B$3:$J$707,'HH &amp; SI'!FG$2,0),"N")</f>
        <v>Y</v>
      </c>
      <c r="FH331" s="830" t="str">
        <f>IFERROR(VLOOKUP($B331,'Historical Conc Grant Elig'!$B$3:$J$707,'HH &amp; SI'!FH$2,0),"N")</f>
        <v>Y</v>
      </c>
      <c r="FI331" s="830" t="str">
        <f>IFERROR(VLOOKUP($B331,'Historical Conc Grant Elig'!$B$3:$J$707,'HH &amp; SI'!FI$2,0),"N")</f>
        <v>Y</v>
      </c>
      <c r="FJ331" s="830" t="str">
        <f>IFERROR(VLOOKUP($B331,'Historical Conc Grant Elig'!$B$3:$J$707,'HH &amp; SI'!FJ$2,0),"N")</f>
        <v>Y</v>
      </c>
      <c r="FK331" s="830" t="str">
        <f>IFERROR(VLOOKUP($B331,'Historical Conc Grant Elig'!$B$3:$J$707,'HH &amp; SI'!FK$2,0),"N")</f>
        <v>Y</v>
      </c>
      <c r="FL331" s="957" t="str">
        <f>IFERROR(VLOOKUP($B331,'Historical Conc Grant Elig'!$B$3:$J$707,'HH &amp; SI'!FL$2,0),"N")</f>
        <v>Y</v>
      </c>
    </row>
    <row r="332" spans="2:168" x14ac:dyDescent="0.25">
      <c r="B332" s="634">
        <v>88759000</v>
      </c>
      <c r="C332" s="635" t="str">
        <f>VLOOKUP($B332,'Afton Update'!$A$5:$CR$582,'Afton Update'!D$589,0)</f>
        <v>Masada Charter School  Inc.</v>
      </c>
      <c r="D332" s="636">
        <f>IFERROR(VLOOKUP($B332,'Afton FY16 Final'!$A$5:$BV$587,'Afton FY16 Final'!AQ$587,0),0)</f>
        <v>118694.82959123714</v>
      </c>
      <c r="E332" s="637">
        <f>IFERROR(VLOOKUP($B332,'Afton FY16 Final'!$A$5:$BV$587,'Afton FY16 Final'!AR$587,0),0)</f>
        <v>27680.587644668896</v>
      </c>
      <c r="F332" s="637">
        <f>IFERROR(VLOOKUP($B332,'Afton FY16 Final'!$A$5:$BV$587,'Afton FY16 Final'!AS$587,0),0)</f>
        <v>58707.271159712029</v>
      </c>
      <c r="G332" s="637">
        <f>IFERROR(VLOOKUP($B332,'Afton FY16 Final'!$A$5:$BV$587,'Afton FY16 Final'!AT$587,0),0)</f>
        <v>56784.398896337225</v>
      </c>
      <c r="H332" s="638">
        <f>IFERROR(VLOOKUP($B332,'Afton FY16 Final'!$A$5:$BV$587,'Afton FY16 Final'!AU$587,0),0)</f>
        <v>261867.08729195528</v>
      </c>
      <c r="I332" s="639" t="str">
        <f>VLOOKUP($B332,'Afton Update'!$A$5:$CR$582,'Afton Update'!BT$589,0)</f>
        <v>Y</v>
      </c>
      <c r="J332" s="640" t="str">
        <f>VLOOKUP($B332,'Afton Update'!$A$5:$CR$582,'Afton Update'!BU$589,0)</f>
        <v>Y</v>
      </c>
      <c r="K332" s="640" t="str">
        <f>VLOOKUP($B332,'Afton Update'!$A$5:$CR$582,'Afton Update'!BV$589,0)</f>
        <v>Y</v>
      </c>
      <c r="L332" s="641" t="str">
        <f>VLOOKUP($B332,'Afton Update'!$A$5:$CR$582,'Afton Update'!BW$589,0)</f>
        <v>Y</v>
      </c>
      <c r="N332" s="642">
        <f>VLOOKUP($B332,'Afton Update'!$A$5:$CR$582,'Afton Update'!CB$589,0)</f>
        <v>0.95</v>
      </c>
      <c r="P332" s="636">
        <f>VLOOKUP($B332,'Afton Update'!$A$5:$CR$582,'Afton Update'!AH$589,0)</f>
        <v>96665.312062773126</v>
      </c>
      <c r="Q332" s="637">
        <f>VLOOKUP($B332,'Afton Update'!$A$5:$CR$582,'Afton Update'!AI$589,0)</f>
        <v>22932.032232922713</v>
      </c>
      <c r="R332" s="637">
        <f>VLOOKUP($B332,'Afton Update'!$A$5:$CR$582,'Afton Update'!AJ$589,0)</f>
        <v>50248.832241178599</v>
      </c>
      <c r="S332" s="637">
        <f>VLOOKUP($B332,'Afton Update'!$A$5:$CR$582,'Afton Update'!AK$589,0)</f>
        <v>45911.914771460637</v>
      </c>
      <c r="T332" s="643">
        <f t="shared" si="875"/>
        <v>215758.09130833508</v>
      </c>
      <c r="V332" s="636">
        <f t="shared" si="1024"/>
        <v>112760.08811167527</v>
      </c>
      <c r="W332" s="637">
        <f t="shared" si="1025"/>
        <v>26296.55826243545</v>
      </c>
      <c r="X332" s="637">
        <f t="shared" si="1026"/>
        <v>55771.907601726423</v>
      </c>
      <c r="Y332" s="637">
        <f t="shared" si="1027"/>
        <v>53945.178951520364</v>
      </c>
      <c r="Z332" s="643">
        <f t="shared" si="1028"/>
        <v>248773.73292735749</v>
      </c>
      <c r="AB332" s="644">
        <f t="shared" si="876"/>
        <v>96665.312062773126</v>
      </c>
      <c r="AC332" s="645">
        <f t="shared" si="850"/>
        <v>112760.08811167527</v>
      </c>
      <c r="AD332" s="644">
        <f t="shared" si="1029"/>
        <v>16094.776048902146</v>
      </c>
      <c r="AE332" s="645">
        <f t="shared" si="1030"/>
        <v>0</v>
      </c>
      <c r="AF332" s="646">
        <f t="shared" si="1031"/>
        <v>0</v>
      </c>
      <c r="AG332" s="647">
        <f t="shared" si="1032"/>
        <v>112760.08811167527</v>
      </c>
      <c r="AH332" s="644">
        <f t="shared" si="877"/>
        <v>0</v>
      </c>
      <c r="AI332" s="645">
        <f t="shared" si="878"/>
        <v>0</v>
      </c>
      <c r="AJ332" s="646">
        <f t="shared" si="1033"/>
        <v>0</v>
      </c>
      <c r="AK332" s="647">
        <f t="shared" si="879"/>
        <v>112760.08811167527</v>
      </c>
      <c r="AL332" s="644">
        <f t="shared" si="1034"/>
        <v>0</v>
      </c>
      <c r="AM332" s="645">
        <f t="shared" si="1035"/>
        <v>0</v>
      </c>
      <c r="AN332" s="646">
        <f t="shared" si="1036"/>
        <v>0</v>
      </c>
      <c r="AO332" s="647">
        <f t="shared" si="880"/>
        <v>112760.08811167527</v>
      </c>
      <c r="AP332" s="644">
        <f t="shared" si="1037"/>
        <v>0</v>
      </c>
      <c r="AQ332" s="645">
        <f t="shared" si="1038"/>
        <v>0</v>
      </c>
      <c r="AR332" s="646">
        <f t="shared" si="1039"/>
        <v>0</v>
      </c>
      <c r="AS332" s="647">
        <f t="shared" si="881"/>
        <v>112760.08811167527</v>
      </c>
      <c r="AT332" s="644">
        <f t="shared" si="1040"/>
        <v>0</v>
      </c>
      <c r="AU332" s="645">
        <f t="shared" si="1041"/>
        <v>0</v>
      </c>
      <c r="AV332" s="646">
        <f t="shared" si="1042"/>
        <v>0</v>
      </c>
      <c r="AW332" s="647">
        <f t="shared" si="882"/>
        <v>112760.08811167527</v>
      </c>
      <c r="AY332" s="644">
        <f t="shared" si="1043"/>
        <v>22932.032232922713</v>
      </c>
      <c r="AZ332" s="645">
        <f t="shared" si="851"/>
        <v>26296.55826243545</v>
      </c>
      <c r="BA332" s="644">
        <f t="shared" si="1044"/>
        <v>3364.5260295127373</v>
      </c>
      <c r="BB332" s="645">
        <f t="shared" si="1045"/>
        <v>0</v>
      </c>
      <c r="BC332" s="646">
        <f t="shared" si="1046"/>
        <v>0</v>
      </c>
      <c r="BD332" s="647">
        <f t="shared" si="1047"/>
        <v>26296.55826243545</v>
      </c>
      <c r="BE332" s="644">
        <f t="shared" si="883"/>
        <v>0</v>
      </c>
      <c r="BF332" s="645">
        <f t="shared" si="884"/>
        <v>0</v>
      </c>
      <c r="BG332" s="646">
        <f t="shared" si="1048"/>
        <v>0</v>
      </c>
      <c r="BH332" s="647">
        <f t="shared" si="885"/>
        <v>26296.55826243545</v>
      </c>
      <c r="BI332" s="644">
        <f t="shared" si="1049"/>
        <v>0</v>
      </c>
      <c r="BJ332" s="645">
        <f t="shared" si="1050"/>
        <v>0</v>
      </c>
      <c r="BK332" s="646">
        <f t="shared" si="1051"/>
        <v>0</v>
      </c>
      <c r="BL332" s="647">
        <f t="shared" si="886"/>
        <v>26296.55826243545</v>
      </c>
      <c r="BM332" s="644">
        <f t="shared" si="1052"/>
        <v>0</v>
      </c>
      <c r="BN332" s="645">
        <f t="shared" si="1053"/>
        <v>0</v>
      </c>
      <c r="BO332" s="646">
        <f t="shared" si="1054"/>
        <v>0</v>
      </c>
      <c r="BP332" s="647">
        <f t="shared" si="887"/>
        <v>26296.55826243545</v>
      </c>
      <c r="BQ332" s="644">
        <f t="shared" si="1055"/>
        <v>0</v>
      </c>
      <c r="BR332" s="645">
        <f t="shared" si="1056"/>
        <v>0</v>
      </c>
      <c r="BS332" s="646">
        <f t="shared" si="1057"/>
        <v>0</v>
      </c>
      <c r="BT332" s="647">
        <f t="shared" si="888"/>
        <v>26296.55826243545</v>
      </c>
      <c r="BU332" s="662">
        <f>VLOOKUP(B332,'Afton Update'!$A$5:$AR$582,'Afton Update'!$AO$589,0)-BT332</f>
        <v>0</v>
      </c>
      <c r="BV332" s="644">
        <f t="shared" si="1058"/>
        <v>50248.832241178599</v>
      </c>
      <c r="BW332" s="645">
        <f t="shared" si="852"/>
        <v>55771.907601726423</v>
      </c>
      <c r="BX332" s="644">
        <f t="shared" si="1059"/>
        <v>5523.0753605478239</v>
      </c>
      <c r="BY332" s="645">
        <f t="shared" si="1060"/>
        <v>0</v>
      </c>
      <c r="BZ332" s="646">
        <f t="shared" si="1061"/>
        <v>0</v>
      </c>
      <c r="CA332" s="647">
        <f t="shared" si="1062"/>
        <v>55771.907601726423</v>
      </c>
      <c r="CB332" s="644">
        <f t="shared" si="889"/>
        <v>0</v>
      </c>
      <c r="CC332" s="645">
        <f t="shared" si="890"/>
        <v>0</v>
      </c>
      <c r="CD332" s="646">
        <f t="shared" si="1063"/>
        <v>0</v>
      </c>
      <c r="CE332" s="647">
        <f t="shared" si="891"/>
        <v>55771.907601726423</v>
      </c>
      <c r="CF332" s="644">
        <f t="shared" si="1064"/>
        <v>0</v>
      </c>
      <c r="CG332" s="645">
        <f t="shared" si="1065"/>
        <v>0</v>
      </c>
      <c r="CH332" s="646">
        <f t="shared" si="1066"/>
        <v>0</v>
      </c>
      <c r="CI332" s="647">
        <f t="shared" si="892"/>
        <v>55771.907601726423</v>
      </c>
      <c r="CJ332" s="644">
        <f t="shared" si="1067"/>
        <v>0</v>
      </c>
      <c r="CK332" s="645">
        <f t="shared" si="1068"/>
        <v>0</v>
      </c>
      <c r="CL332" s="646">
        <f t="shared" si="1069"/>
        <v>0</v>
      </c>
      <c r="CM332" s="647">
        <f t="shared" si="893"/>
        <v>55771.907601726423</v>
      </c>
      <c r="CN332" s="644">
        <f t="shared" si="1070"/>
        <v>0</v>
      </c>
      <c r="CO332" s="645">
        <f t="shared" si="1071"/>
        <v>0</v>
      </c>
      <c r="CP332" s="646">
        <f t="shared" si="1072"/>
        <v>0</v>
      </c>
      <c r="CQ332" s="647">
        <f t="shared" si="894"/>
        <v>55771.907601726423</v>
      </c>
      <c r="CS332" s="644">
        <f t="shared" si="1073"/>
        <v>45911.914771460637</v>
      </c>
      <c r="CT332" s="645">
        <f t="shared" si="853"/>
        <v>53945.178951520364</v>
      </c>
      <c r="CU332" s="644">
        <f t="shared" si="1074"/>
        <v>8033.2641800597266</v>
      </c>
      <c r="CV332" s="645">
        <f t="shared" si="1075"/>
        <v>0</v>
      </c>
      <c r="CW332" s="646">
        <f t="shared" si="1076"/>
        <v>0</v>
      </c>
      <c r="CX332" s="647">
        <f t="shared" si="1077"/>
        <v>53945.178951520364</v>
      </c>
      <c r="CY332" s="644">
        <f t="shared" si="895"/>
        <v>0</v>
      </c>
      <c r="CZ332" s="645">
        <f t="shared" si="896"/>
        <v>0</v>
      </c>
      <c r="DA332" s="646">
        <f t="shared" si="1078"/>
        <v>0</v>
      </c>
      <c r="DB332" s="647">
        <f t="shared" si="897"/>
        <v>53945.178951520364</v>
      </c>
      <c r="DC332" s="644">
        <f t="shared" si="1079"/>
        <v>0</v>
      </c>
      <c r="DD332" s="645">
        <f t="shared" si="1080"/>
        <v>0</v>
      </c>
      <c r="DE332" s="646">
        <f t="shared" si="1081"/>
        <v>0</v>
      </c>
      <c r="DF332" s="647">
        <f t="shared" si="898"/>
        <v>53945.178951520364</v>
      </c>
      <c r="DG332" s="644">
        <f t="shared" si="1082"/>
        <v>0</v>
      </c>
      <c r="DH332" s="645">
        <f t="shared" si="1083"/>
        <v>0</v>
      </c>
      <c r="DI332" s="646">
        <f t="shared" si="1084"/>
        <v>0</v>
      </c>
      <c r="DJ332" s="647">
        <f t="shared" si="899"/>
        <v>53945.178951520364</v>
      </c>
      <c r="DK332" s="644">
        <f t="shared" si="1085"/>
        <v>0</v>
      </c>
      <c r="DL332" s="645">
        <f t="shared" si="1086"/>
        <v>0</v>
      </c>
      <c r="DM332" s="646">
        <f t="shared" si="1087"/>
        <v>0</v>
      </c>
      <c r="DN332" s="647">
        <f t="shared" si="900"/>
        <v>53945.178951520364</v>
      </c>
      <c r="DR332" s="827">
        <f t="shared" si="854"/>
        <v>248773.73292735749</v>
      </c>
      <c r="DV332" s="828">
        <f>IFERROR(VLOOKUP($B332,'Afton FY16 Final'!$A$5:$BV$587,'Afton FY16 Final'!$BV$587,0),0)</f>
        <v>252599.09094294033</v>
      </c>
      <c r="DX332" s="636">
        <f t="shared" si="842"/>
        <v>0</v>
      </c>
      <c r="DY332" s="637">
        <f t="shared" si="843"/>
        <v>0</v>
      </c>
      <c r="DZ332" s="637">
        <f t="shared" si="844"/>
        <v>0</v>
      </c>
      <c r="EA332" s="643">
        <f t="shared" si="845"/>
        <v>0</v>
      </c>
      <c r="EB332" s="637">
        <f t="shared" si="855"/>
        <v>0</v>
      </c>
      <c r="EC332" s="637">
        <f t="shared" si="856"/>
        <v>0</v>
      </c>
      <c r="ED332" s="637">
        <f t="shared" si="857"/>
        <v>0</v>
      </c>
      <c r="EE332" s="643">
        <f t="shared" si="858"/>
        <v>0</v>
      </c>
      <c r="EF332" s="637">
        <f t="shared" si="859"/>
        <v>0</v>
      </c>
      <c r="EG332" s="637">
        <f t="shared" si="860"/>
        <v>0</v>
      </c>
      <c r="EH332" s="637">
        <f t="shared" si="861"/>
        <v>0</v>
      </c>
      <c r="EI332" s="643">
        <f t="shared" si="862"/>
        <v>0</v>
      </c>
      <c r="EJ332" s="637">
        <f t="shared" si="863"/>
        <v>0</v>
      </c>
      <c r="EK332" s="637">
        <f t="shared" si="864"/>
        <v>0</v>
      </c>
      <c r="EL332" s="637">
        <f t="shared" si="865"/>
        <v>0</v>
      </c>
      <c r="EM332" s="643">
        <f t="shared" si="866"/>
        <v>0</v>
      </c>
      <c r="EN332" s="637">
        <f t="shared" si="867"/>
        <v>0</v>
      </c>
      <c r="EO332" s="637">
        <f t="shared" si="868"/>
        <v>0</v>
      </c>
      <c r="EP332" s="637">
        <f t="shared" si="869"/>
        <v>0</v>
      </c>
      <c r="EQ332" s="643">
        <f t="shared" si="870"/>
        <v>0</v>
      </c>
      <c r="ER332" s="637">
        <f t="shared" si="871"/>
        <v>0</v>
      </c>
      <c r="ES332" s="637">
        <f t="shared" si="872"/>
        <v>0</v>
      </c>
      <c r="ET332" s="637">
        <f t="shared" si="873"/>
        <v>0</v>
      </c>
      <c r="EU332" s="643">
        <f t="shared" si="846"/>
        <v>0</v>
      </c>
      <c r="EV332" s="643">
        <f t="shared" si="847"/>
        <v>0</v>
      </c>
      <c r="EX332" s="829">
        <f t="shared" si="848"/>
        <v>0</v>
      </c>
      <c r="EY332" s="638">
        <f t="shared" si="849"/>
        <v>248773.73292735749</v>
      </c>
      <c r="FC332" s="830" t="str">
        <f t="shared" si="874"/>
        <v>Y</v>
      </c>
      <c r="FE332" s="830" t="str">
        <f>IFERROR(VLOOKUP($B332,'Historical Conc Grant Elig'!$B$3:$J$707,'HH &amp; SI'!FE$2,0),"N")</f>
        <v>Y</v>
      </c>
      <c r="FF332" s="830" t="str">
        <f>IFERROR(VLOOKUP($B332,'Historical Conc Grant Elig'!$B$3:$J$707,'HH &amp; SI'!FF$2,0),"N")</f>
        <v>Y</v>
      </c>
      <c r="FG332" s="830" t="str">
        <f>IFERROR(VLOOKUP($B332,'Historical Conc Grant Elig'!$B$3:$J$707,'HH &amp; SI'!FG$2,0),"N")</f>
        <v>Y</v>
      </c>
      <c r="FH332" s="830" t="str">
        <f>IFERROR(VLOOKUP($B332,'Historical Conc Grant Elig'!$B$3:$J$707,'HH &amp; SI'!FH$2,0),"N")</f>
        <v>Y</v>
      </c>
      <c r="FI332" s="830" t="str">
        <f>IFERROR(VLOOKUP($B332,'Historical Conc Grant Elig'!$B$3:$J$707,'HH &amp; SI'!FI$2,0),"N")</f>
        <v>Y</v>
      </c>
      <c r="FJ332" s="830" t="str">
        <f>IFERROR(VLOOKUP($B332,'Historical Conc Grant Elig'!$B$3:$J$707,'HH &amp; SI'!FJ$2,0),"N")</f>
        <v>Y</v>
      </c>
      <c r="FK332" s="830" t="str">
        <f>IFERROR(VLOOKUP($B332,'Historical Conc Grant Elig'!$B$3:$J$707,'HH &amp; SI'!FK$2,0),"N")</f>
        <v>Y</v>
      </c>
      <c r="FL332" s="957" t="str">
        <f>IFERROR(VLOOKUP($B332,'Historical Conc Grant Elig'!$B$3:$J$707,'HH &amp; SI'!FL$2,0),"N")</f>
        <v>Y</v>
      </c>
    </row>
    <row r="333" spans="2:168" x14ac:dyDescent="0.25">
      <c r="B333" s="634">
        <v>90201000</v>
      </c>
      <c r="C333" s="635" t="str">
        <f>VLOOKUP($B333,'Afton Update'!$A$5:$CR$582,'Afton Update'!D$589,0)</f>
        <v>Winslow Unified District</v>
      </c>
      <c r="D333" s="636">
        <f>IFERROR(VLOOKUP($B333,'Afton FY16 Final'!$A$5:$BV$587,'Afton FY16 Final'!AQ$587,0),0)</f>
        <v>349006.5769677413</v>
      </c>
      <c r="E333" s="637">
        <f>IFERROR(VLOOKUP($B333,'Afton FY16 Final'!$A$5:$BV$587,'Afton FY16 Final'!AR$587,0),0)</f>
        <v>81303.099451603324</v>
      </c>
      <c r="F333" s="637">
        <f>IFERROR(VLOOKUP($B333,'Afton FY16 Final'!$A$5:$BV$587,'Afton FY16 Final'!AS$587,0),0)</f>
        <v>173323.18403563701</v>
      </c>
      <c r="G333" s="637">
        <f>IFERROR(VLOOKUP($B333,'Afton FY16 Final'!$A$5:$BV$587,'Afton FY16 Final'!AT$587,0),0)</f>
        <v>133093.0244783806</v>
      </c>
      <c r="H333" s="638">
        <f>IFERROR(VLOOKUP($B333,'Afton FY16 Final'!$A$5:$BV$587,'Afton FY16 Final'!AU$587,0),0)</f>
        <v>736725.88493336225</v>
      </c>
      <c r="I333" s="639" t="str">
        <f>VLOOKUP($B333,'Afton Update'!$A$5:$CR$582,'Afton Update'!BT$589,0)</f>
        <v>Y</v>
      </c>
      <c r="J333" s="640" t="str">
        <f>VLOOKUP($B333,'Afton Update'!$A$5:$CR$582,'Afton Update'!BU$589,0)</f>
        <v>Y</v>
      </c>
      <c r="K333" s="640" t="str">
        <f>VLOOKUP($B333,'Afton Update'!$A$5:$CR$582,'Afton Update'!BV$589,0)</f>
        <v>Y</v>
      </c>
      <c r="L333" s="641" t="str">
        <f>VLOOKUP($B333,'Afton Update'!$A$5:$CR$582,'Afton Update'!BW$589,0)</f>
        <v>Y</v>
      </c>
      <c r="N333" s="642">
        <f>VLOOKUP($B333,'Afton Update'!$A$5:$CR$582,'Afton Update'!CB$589,0)</f>
        <v>0.95</v>
      </c>
      <c r="P333" s="636">
        <f>VLOOKUP($B333,'Afton Update'!$A$5:$CR$582,'Afton Update'!AH$589,0)</f>
        <v>336650.34983429406</v>
      </c>
      <c r="Q333" s="637">
        <f>VLOOKUP($B333,'Afton Update'!$A$5:$CR$582,'Afton Update'!AI$589,0)</f>
        <v>80186.39815353103</v>
      </c>
      <c r="R333" s="637">
        <f>VLOOKUP($B333,'Afton Update'!$A$5:$CR$582,'Afton Update'!AJ$589,0)</f>
        <v>172374.81709224585</v>
      </c>
      <c r="S333" s="637">
        <f>VLOOKUP($B333,'Afton Update'!$A$5:$CR$582,'Afton Update'!AK$589,0)</f>
        <v>147276.85117596871</v>
      </c>
      <c r="T333" s="643">
        <f t="shared" si="875"/>
        <v>736488.41625603964</v>
      </c>
      <c r="V333" s="636">
        <f t="shared" si="1024"/>
        <v>332058.22055504489</v>
      </c>
      <c r="W333" s="637">
        <f t="shared" si="1025"/>
        <v>77545.351367463954</v>
      </c>
      <c r="X333" s="637">
        <f t="shared" si="1026"/>
        <v>170807.13543199454</v>
      </c>
      <c r="Y333" s="637">
        <f t="shared" si="1027"/>
        <v>145654.12538788395</v>
      </c>
      <c r="Z333" s="643">
        <f t="shared" si="1028"/>
        <v>726064.83274238731</v>
      </c>
      <c r="AB333" s="644">
        <f t="shared" si="876"/>
        <v>336650.34983429406</v>
      </c>
      <c r="AC333" s="645">
        <f t="shared" si="850"/>
        <v>331556.24811935425</v>
      </c>
      <c r="AD333" s="644">
        <f t="shared" si="1029"/>
        <v>0</v>
      </c>
      <c r="AE333" s="645">
        <f t="shared" si="1030"/>
        <v>336650.34983429406</v>
      </c>
      <c r="AF333" s="646">
        <f t="shared" si="1031"/>
        <v>-4173.0340721996117</v>
      </c>
      <c r="AG333" s="647">
        <f t="shared" si="1032"/>
        <v>332477.31576209445</v>
      </c>
      <c r="AH333" s="644">
        <f t="shared" si="877"/>
        <v>0</v>
      </c>
      <c r="AI333" s="645">
        <f t="shared" si="878"/>
        <v>332477.31576209445</v>
      </c>
      <c r="AJ333" s="646">
        <f t="shared" si="1033"/>
        <v>-418.82820278038031</v>
      </c>
      <c r="AK333" s="647">
        <f t="shared" si="879"/>
        <v>332058.48755931406</v>
      </c>
      <c r="AL333" s="644">
        <f t="shared" si="1034"/>
        <v>0</v>
      </c>
      <c r="AM333" s="645">
        <f t="shared" si="1035"/>
        <v>332058.48755931406</v>
      </c>
      <c r="AN333" s="646">
        <f t="shared" si="1036"/>
        <v>-0.26700426919090131</v>
      </c>
      <c r="AO333" s="647">
        <f t="shared" si="880"/>
        <v>332058.22055504489</v>
      </c>
      <c r="AP333" s="644">
        <f t="shared" si="1037"/>
        <v>0</v>
      </c>
      <c r="AQ333" s="645">
        <f t="shared" si="1038"/>
        <v>332058.22055504489</v>
      </c>
      <c r="AR333" s="646">
        <f t="shared" si="1039"/>
        <v>0</v>
      </c>
      <c r="AS333" s="647">
        <f t="shared" si="881"/>
        <v>332058.22055504489</v>
      </c>
      <c r="AT333" s="644">
        <f t="shared" si="1040"/>
        <v>0</v>
      </c>
      <c r="AU333" s="645">
        <f t="shared" si="1041"/>
        <v>332058.22055504489</v>
      </c>
      <c r="AV333" s="646">
        <f t="shared" si="1042"/>
        <v>0</v>
      </c>
      <c r="AW333" s="647">
        <f t="shared" si="882"/>
        <v>332058.22055504489</v>
      </c>
      <c r="AY333" s="644">
        <f t="shared" si="1043"/>
        <v>80186.39815353103</v>
      </c>
      <c r="AZ333" s="645">
        <f t="shared" si="851"/>
        <v>77237.94447902315</v>
      </c>
      <c r="BA333" s="644">
        <f t="shared" si="1044"/>
        <v>0</v>
      </c>
      <c r="BB333" s="645">
        <f t="shared" si="1045"/>
        <v>80186.39815353103</v>
      </c>
      <c r="BC333" s="646">
        <f t="shared" si="1046"/>
        <v>-576.64375787967958</v>
      </c>
      <c r="BD333" s="647">
        <f t="shared" si="1047"/>
        <v>79609.754395651355</v>
      </c>
      <c r="BE333" s="644">
        <f t="shared" si="883"/>
        <v>0</v>
      </c>
      <c r="BF333" s="645">
        <f t="shared" si="884"/>
        <v>79609.754395651355</v>
      </c>
      <c r="BG333" s="646">
        <f t="shared" si="1048"/>
        <v>-1896.2394724350893</v>
      </c>
      <c r="BH333" s="647">
        <f t="shared" si="885"/>
        <v>77713.514923216266</v>
      </c>
      <c r="BI333" s="644">
        <f t="shared" si="1049"/>
        <v>0</v>
      </c>
      <c r="BJ333" s="645">
        <f t="shared" si="1050"/>
        <v>77713.514923216266</v>
      </c>
      <c r="BK333" s="646">
        <f t="shared" si="1051"/>
        <v>-164.61547733675539</v>
      </c>
      <c r="BL333" s="647">
        <f t="shared" si="886"/>
        <v>77548.899445879506</v>
      </c>
      <c r="BM333" s="644">
        <f t="shared" si="1052"/>
        <v>0</v>
      </c>
      <c r="BN333" s="645">
        <f t="shared" si="1053"/>
        <v>77548.899445879506</v>
      </c>
      <c r="BO333" s="646">
        <f t="shared" si="1054"/>
        <v>-3.5480784155544791</v>
      </c>
      <c r="BP333" s="647">
        <f t="shared" si="887"/>
        <v>77545.351367463954</v>
      </c>
      <c r="BQ333" s="644">
        <f t="shared" si="1055"/>
        <v>0</v>
      </c>
      <c r="BR333" s="645">
        <f t="shared" si="1056"/>
        <v>77545.351367463954</v>
      </c>
      <c r="BS333" s="646">
        <f t="shared" si="1057"/>
        <v>0</v>
      </c>
      <c r="BT333" s="647">
        <f t="shared" si="888"/>
        <v>77545.351367463954</v>
      </c>
      <c r="BU333" s="662">
        <f>VLOOKUP(B333,'Afton Update'!$A$5:$AR$582,'Afton Update'!$AO$589,0)-BT333</f>
        <v>0</v>
      </c>
      <c r="BV333" s="644">
        <f t="shared" si="1058"/>
        <v>172374.81709224585</v>
      </c>
      <c r="BW333" s="645">
        <f t="shared" si="852"/>
        <v>164657.02483385516</v>
      </c>
      <c r="BX333" s="644">
        <f t="shared" si="1059"/>
        <v>0</v>
      </c>
      <c r="BY333" s="645">
        <f t="shared" si="1060"/>
        <v>172374.81709224585</v>
      </c>
      <c r="BZ333" s="646">
        <f t="shared" si="1061"/>
        <v>-1512.9520963044574</v>
      </c>
      <c r="CA333" s="647">
        <f t="shared" si="1062"/>
        <v>170861.8649959414</v>
      </c>
      <c r="CB333" s="644">
        <f t="shared" si="889"/>
        <v>0</v>
      </c>
      <c r="CC333" s="645">
        <f t="shared" si="890"/>
        <v>170861.8649959414</v>
      </c>
      <c r="CD333" s="646">
        <f t="shared" si="1063"/>
        <v>-54.7295639468703</v>
      </c>
      <c r="CE333" s="647">
        <f t="shared" si="891"/>
        <v>170807.13543199454</v>
      </c>
      <c r="CF333" s="644">
        <f t="shared" si="1064"/>
        <v>0</v>
      </c>
      <c r="CG333" s="645">
        <f t="shared" si="1065"/>
        <v>170807.13543199454</v>
      </c>
      <c r="CH333" s="646">
        <f t="shared" si="1066"/>
        <v>0</v>
      </c>
      <c r="CI333" s="647">
        <f t="shared" si="892"/>
        <v>170807.13543199454</v>
      </c>
      <c r="CJ333" s="644">
        <f t="shared" si="1067"/>
        <v>0</v>
      </c>
      <c r="CK333" s="645">
        <f t="shared" si="1068"/>
        <v>170807.13543199454</v>
      </c>
      <c r="CL333" s="646">
        <f t="shared" si="1069"/>
        <v>0</v>
      </c>
      <c r="CM333" s="647">
        <f t="shared" si="893"/>
        <v>170807.13543199454</v>
      </c>
      <c r="CN333" s="644">
        <f t="shared" si="1070"/>
        <v>0</v>
      </c>
      <c r="CO333" s="645">
        <f t="shared" si="1071"/>
        <v>170807.13543199454</v>
      </c>
      <c r="CP333" s="646">
        <f t="shared" si="1072"/>
        <v>0</v>
      </c>
      <c r="CQ333" s="647">
        <f t="shared" si="894"/>
        <v>170807.13543199454</v>
      </c>
      <c r="CS333" s="644">
        <f t="shared" si="1073"/>
        <v>147276.85117596871</v>
      </c>
      <c r="CT333" s="645">
        <f t="shared" si="853"/>
        <v>126438.37325446156</v>
      </c>
      <c r="CU333" s="644">
        <f t="shared" si="1074"/>
        <v>0</v>
      </c>
      <c r="CV333" s="645">
        <f t="shared" si="1075"/>
        <v>147276.85117596871</v>
      </c>
      <c r="CW333" s="646">
        <f t="shared" si="1076"/>
        <v>-1508.1981854270307</v>
      </c>
      <c r="CX333" s="647">
        <f t="shared" si="1077"/>
        <v>145768.65299054168</v>
      </c>
      <c r="CY333" s="644">
        <f t="shared" si="895"/>
        <v>0</v>
      </c>
      <c r="CZ333" s="645">
        <f t="shared" si="896"/>
        <v>145768.65299054168</v>
      </c>
      <c r="DA333" s="646">
        <f t="shared" si="1078"/>
        <v>-114.42892196493081</v>
      </c>
      <c r="DB333" s="647">
        <f t="shared" si="897"/>
        <v>145654.22406857676</v>
      </c>
      <c r="DC333" s="644">
        <f t="shared" si="1079"/>
        <v>0</v>
      </c>
      <c r="DD333" s="645">
        <f t="shared" si="1080"/>
        <v>145654.22406857676</v>
      </c>
      <c r="DE333" s="646">
        <f t="shared" si="1081"/>
        <v>-9.8680692801254022E-2</v>
      </c>
      <c r="DF333" s="647">
        <f t="shared" si="898"/>
        <v>145654.12538788395</v>
      </c>
      <c r="DG333" s="644">
        <f t="shared" si="1082"/>
        <v>0</v>
      </c>
      <c r="DH333" s="645">
        <f t="shared" si="1083"/>
        <v>145654.12538788395</v>
      </c>
      <c r="DI333" s="646">
        <f t="shared" si="1084"/>
        <v>0</v>
      </c>
      <c r="DJ333" s="647">
        <f t="shared" si="899"/>
        <v>145654.12538788395</v>
      </c>
      <c r="DK333" s="644">
        <f t="shared" si="1085"/>
        <v>0</v>
      </c>
      <c r="DL333" s="645">
        <f t="shared" si="1086"/>
        <v>145654.12538788395</v>
      </c>
      <c r="DM333" s="646">
        <f t="shared" si="1087"/>
        <v>0</v>
      </c>
      <c r="DN333" s="647">
        <f t="shared" si="900"/>
        <v>145654.12538788395</v>
      </c>
      <c r="DR333" s="827">
        <f t="shared" si="854"/>
        <v>726064.83274238731</v>
      </c>
      <c r="DV333" s="828">
        <f>IFERROR(VLOOKUP($B333,'Afton FY16 Final'!$A$5:$BV$587,'Afton FY16 Final'!$BV$587,0),0)</f>
        <v>654087.62185937073</v>
      </c>
      <c r="DX333" s="636">
        <f t="shared" si="842"/>
        <v>726064.83274238731</v>
      </c>
      <c r="DY333" s="637">
        <f t="shared" si="843"/>
        <v>71977.210883016582</v>
      </c>
      <c r="DZ333" s="637">
        <f t="shared" si="844"/>
        <v>654087.62185937073</v>
      </c>
      <c r="EA333" s="643">
        <f t="shared" si="845"/>
        <v>687446.32094019104</v>
      </c>
      <c r="EB333" s="637">
        <f t="shared" si="855"/>
        <v>0</v>
      </c>
      <c r="EC333" s="637">
        <f t="shared" si="856"/>
        <v>687446.32094019104</v>
      </c>
      <c r="ED333" s="637">
        <f t="shared" si="857"/>
        <v>685396.39705700404</v>
      </c>
      <c r="EE333" s="643">
        <f t="shared" si="858"/>
        <v>685396.39705700404</v>
      </c>
      <c r="EF333" s="637">
        <f t="shared" si="859"/>
        <v>0</v>
      </c>
      <c r="EG333" s="637">
        <f t="shared" si="860"/>
        <v>685396.39705700404</v>
      </c>
      <c r="EH333" s="637">
        <f t="shared" si="861"/>
        <v>685395.68996029417</v>
      </c>
      <c r="EI333" s="643">
        <f t="shared" si="862"/>
        <v>685395.68996029417</v>
      </c>
      <c r="EJ333" s="637">
        <f t="shared" si="863"/>
        <v>0</v>
      </c>
      <c r="EK333" s="637">
        <f t="shared" si="864"/>
        <v>685395.68996029417</v>
      </c>
      <c r="EL333" s="637">
        <f t="shared" si="865"/>
        <v>685395.68996029324</v>
      </c>
      <c r="EM333" s="643">
        <f t="shared" si="866"/>
        <v>685395.68996029324</v>
      </c>
      <c r="EN333" s="637">
        <f t="shared" si="867"/>
        <v>0</v>
      </c>
      <c r="EO333" s="637">
        <f t="shared" si="868"/>
        <v>685395.68996029324</v>
      </c>
      <c r="EP333" s="637">
        <f t="shared" si="869"/>
        <v>685395.68996029429</v>
      </c>
      <c r="EQ333" s="643">
        <f t="shared" si="870"/>
        <v>685395.68996029429</v>
      </c>
      <c r="ER333" s="637">
        <f t="shared" si="871"/>
        <v>0</v>
      </c>
      <c r="ES333" s="637">
        <f t="shared" si="872"/>
        <v>685395.68996029429</v>
      </c>
      <c r="ET333" s="637">
        <f t="shared" si="873"/>
        <v>685395.68996029324</v>
      </c>
      <c r="EU333" s="643">
        <f t="shared" si="846"/>
        <v>685395.68996029324</v>
      </c>
      <c r="EV333" s="643">
        <f t="shared" si="847"/>
        <v>0</v>
      </c>
      <c r="EX333" s="829">
        <f t="shared" si="848"/>
        <v>40669.142782094073</v>
      </c>
      <c r="EY333" s="638">
        <f t="shared" si="849"/>
        <v>685395.68996029324</v>
      </c>
      <c r="FC333" s="830" t="str">
        <f t="shared" si="874"/>
        <v>Y</v>
      </c>
      <c r="FE333" s="830" t="str">
        <f>IFERROR(VLOOKUP($B333,'Historical Conc Grant Elig'!$B$3:$J$707,'HH &amp; SI'!FE$2,0),"N")</f>
        <v>Y</v>
      </c>
      <c r="FF333" s="830" t="str">
        <f>IFERROR(VLOOKUP($B333,'Historical Conc Grant Elig'!$B$3:$J$707,'HH &amp; SI'!FF$2,0),"N")</f>
        <v>Y</v>
      </c>
      <c r="FG333" s="830" t="str">
        <f>IFERROR(VLOOKUP($B333,'Historical Conc Grant Elig'!$B$3:$J$707,'HH &amp; SI'!FG$2,0),"N")</f>
        <v>Y</v>
      </c>
      <c r="FH333" s="830" t="str">
        <f>IFERROR(VLOOKUP($B333,'Historical Conc Grant Elig'!$B$3:$J$707,'HH &amp; SI'!FH$2,0),"N")</f>
        <v>Y</v>
      </c>
      <c r="FI333" s="830" t="str">
        <f>IFERROR(VLOOKUP($B333,'Historical Conc Grant Elig'!$B$3:$J$707,'HH &amp; SI'!FI$2,0),"N")</f>
        <v>Y</v>
      </c>
      <c r="FJ333" s="830" t="str">
        <f>IFERROR(VLOOKUP($B333,'Historical Conc Grant Elig'!$B$3:$J$707,'HH &amp; SI'!FJ$2,0),"N")</f>
        <v>Y</v>
      </c>
      <c r="FK333" s="830" t="str">
        <f>IFERROR(VLOOKUP($B333,'Historical Conc Grant Elig'!$B$3:$J$707,'HH &amp; SI'!FK$2,0),"N")</f>
        <v>Y</v>
      </c>
      <c r="FL333" s="957" t="str">
        <f>IFERROR(VLOOKUP($B333,'Historical Conc Grant Elig'!$B$3:$J$707,'HH &amp; SI'!FL$2,0),"N")</f>
        <v>Y</v>
      </c>
    </row>
    <row r="334" spans="2:168" x14ac:dyDescent="0.25">
      <c r="B334" s="634">
        <v>90202000</v>
      </c>
      <c r="C334" s="635" t="str">
        <f>VLOOKUP($B334,'Afton Update'!$A$5:$CR$582,'Afton Update'!D$589,0)</f>
        <v>Joseph City Unified District</v>
      </c>
      <c r="D334" s="636">
        <f>IFERROR(VLOOKUP($B334,'Afton FY16 Final'!$A$5:$BV$587,'Afton FY16 Final'!AQ$587,0),0)</f>
        <v>94326.101883173294</v>
      </c>
      <c r="E334" s="637">
        <f>IFERROR(VLOOKUP($B334,'Afton FY16 Final'!$A$5:$BV$587,'Afton FY16 Final'!AR$587,0),0)</f>
        <v>21973.81066259549</v>
      </c>
      <c r="F334" s="637">
        <f>IFERROR(VLOOKUP($B334,'Afton FY16 Final'!$A$5:$BV$587,'Afton FY16 Final'!AS$587,0),0)</f>
        <v>61407.377511545557</v>
      </c>
      <c r="G334" s="637">
        <f>IFERROR(VLOOKUP($B334,'Afton FY16 Final'!$A$5:$BV$587,'Afton FY16 Final'!AT$587,0),0)</f>
        <v>53484.72059479836</v>
      </c>
      <c r="H334" s="638">
        <f>IFERROR(VLOOKUP($B334,'Afton FY16 Final'!$A$5:$BV$587,'Afton FY16 Final'!AU$587,0),0)</f>
        <v>231192.01065211269</v>
      </c>
      <c r="I334" s="639" t="str">
        <f>VLOOKUP($B334,'Afton Update'!$A$5:$CR$582,'Afton Update'!BT$589,0)</f>
        <v>Y</v>
      </c>
      <c r="J334" s="640" t="str">
        <f>VLOOKUP($B334,'Afton Update'!$A$5:$CR$582,'Afton Update'!BU$589,0)</f>
        <v>Y</v>
      </c>
      <c r="K334" s="640" t="str">
        <f>VLOOKUP($B334,'Afton Update'!$A$5:$CR$582,'Afton Update'!BV$589,0)</f>
        <v>Y</v>
      </c>
      <c r="L334" s="641" t="str">
        <f>VLOOKUP($B334,'Afton Update'!$A$5:$CR$582,'Afton Update'!BW$589,0)</f>
        <v>Y</v>
      </c>
      <c r="N334" s="642">
        <f>VLOOKUP($B334,'Afton Update'!$A$5:$CR$582,'Afton Update'!CB$589,0)</f>
        <v>0.95</v>
      </c>
      <c r="P334" s="636">
        <f>VLOOKUP($B334,'Afton Update'!$A$5:$CR$582,'Afton Update'!AH$589,0)</f>
        <v>90976.500139800744</v>
      </c>
      <c r="Q334" s="637">
        <f>VLOOKUP($B334,'Afton Update'!$A$5:$CR$582,'Afton Update'!AI$589,0)</f>
        <v>21555.90036464962</v>
      </c>
      <c r="R334" s="637">
        <f>VLOOKUP($B334,'Afton Update'!$A$5:$CR$582,'Afton Update'!AJ$589,0)</f>
        <v>59150.460525031682</v>
      </c>
      <c r="S334" s="637">
        <f>VLOOKUP($B334,'Afton Update'!$A$5:$CR$582,'Afton Update'!AK$589,0)</f>
        <v>52924.650435118638</v>
      </c>
      <c r="T334" s="643">
        <f t="shared" si="875"/>
        <v>224607.51146460068</v>
      </c>
      <c r="V334" s="636">
        <f t="shared" si="1024"/>
        <v>89735.521628353366</v>
      </c>
      <c r="W334" s="637">
        <f t="shared" si="1025"/>
        <v>20875.120129465715</v>
      </c>
      <c r="X334" s="637">
        <f t="shared" si="1026"/>
        <v>58612.510180980622</v>
      </c>
      <c r="Y334" s="637">
        <f t="shared" si="1027"/>
        <v>52341.516056560897</v>
      </c>
      <c r="Z334" s="643">
        <f t="shared" si="1028"/>
        <v>221564.66799536062</v>
      </c>
      <c r="AB334" s="644">
        <f t="shared" si="876"/>
        <v>90976.500139800744</v>
      </c>
      <c r="AC334" s="645">
        <f t="shared" si="850"/>
        <v>89609.796789014625</v>
      </c>
      <c r="AD334" s="644">
        <f t="shared" si="1029"/>
        <v>0</v>
      </c>
      <c r="AE334" s="645">
        <f t="shared" si="1030"/>
        <v>90976.500139800744</v>
      </c>
      <c r="AF334" s="646">
        <f t="shared" si="1031"/>
        <v>-1127.7220862527888</v>
      </c>
      <c r="AG334" s="647">
        <f t="shared" si="1032"/>
        <v>89848.778053547954</v>
      </c>
      <c r="AH334" s="644">
        <f t="shared" si="877"/>
        <v>0</v>
      </c>
      <c r="AI334" s="645">
        <f t="shared" si="878"/>
        <v>89848.778053547954</v>
      </c>
      <c r="AJ334" s="646">
        <f t="shared" si="1033"/>
        <v>-113.18426987394211</v>
      </c>
      <c r="AK334" s="647">
        <f t="shared" si="879"/>
        <v>89735.593783674005</v>
      </c>
      <c r="AL334" s="644">
        <f t="shared" si="1034"/>
        <v>0</v>
      </c>
      <c r="AM334" s="645">
        <f t="shared" si="1035"/>
        <v>89735.593783674005</v>
      </c>
      <c r="AN334" s="646">
        <f t="shared" si="1036"/>
        <v>-7.2155320632608849E-2</v>
      </c>
      <c r="AO334" s="647">
        <f t="shared" si="880"/>
        <v>89735.521628353366</v>
      </c>
      <c r="AP334" s="644">
        <f t="shared" si="1037"/>
        <v>0</v>
      </c>
      <c r="AQ334" s="645">
        <f t="shared" si="1038"/>
        <v>89735.521628353366</v>
      </c>
      <c r="AR334" s="646">
        <f t="shared" si="1039"/>
        <v>0</v>
      </c>
      <c r="AS334" s="647">
        <f t="shared" si="881"/>
        <v>89735.521628353366</v>
      </c>
      <c r="AT334" s="644">
        <f t="shared" si="1040"/>
        <v>0</v>
      </c>
      <c r="AU334" s="645">
        <f t="shared" si="1041"/>
        <v>89735.521628353366</v>
      </c>
      <c r="AV334" s="646">
        <f t="shared" si="1042"/>
        <v>0</v>
      </c>
      <c r="AW334" s="647">
        <f t="shared" si="882"/>
        <v>89735.521628353366</v>
      </c>
      <c r="AY334" s="644">
        <f t="shared" si="1043"/>
        <v>21555.90036464962</v>
      </c>
      <c r="AZ334" s="645">
        <f t="shared" si="851"/>
        <v>20875.120129465715</v>
      </c>
      <c r="BA334" s="644">
        <f t="shared" si="1044"/>
        <v>0</v>
      </c>
      <c r="BB334" s="645">
        <f t="shared" si="1045"/>
        <v>21555.90036464962</v>
      </c>
      <c r="BC334" s="646">
        <f t="shared" si="1046"/>
        <v>-155.01476156781524</v>
      </c>
      <c r="BD334" s="647">
        <f t="shared" si="1047"/>
        <v>21400.885603081806</v>
      </c>
      <c r="BE334" s="644">
        <f t="shared" si="883"/>
        <v>0</v>
      </c>
      <c r="BF334" s="645">
        <f t="shared" si="884"/>
        <v>21400.885603081806</v>
      </c>
      <c r="BG334" s="646">
        <f t="shared" si="1048"/>
        <v>-509.75165460186713</v>
      </c>
      <c r="BH334" s="647">
        <f t="shared" si="885"/>
        <v>20891.133948479939</v>
      </c>
      <c r="BI334" s="644">
        <f t="shared" si="1049"/>
        <v>0</v>
      </c>
      <c r="BJ334" s="645">
        <f t="shared" si="1050"/>
        <v>20891.133948479939</v>
      </c>
      <c r="BK334" s="646">
        <f t="shared" si="1051"/>
        <v>-44.252328445483123</v>
      </c>
      <c r="BL334" s="647">
        <f t="shared" si="886"/>
        <v>20846.881620034455</v>
      </c>
      <c r="BM334" s="644">
        <f t="shared" si="1052"/>
        <v>-28.238509431259445</v>
      </c>
      <c r="BN334" s="645">
        <f t="shared" si="1053"/>
        <v>0</v>
      </c>
      <c r="BO334" s="646">
        <f t="shared" si="1054"/>
        <v>0</v>
      </c>
      <c r="BP334" s="647">
        <f t="shared" si="887"/>
        <v>20875.120129465715</v>
      </c>
      <c r="BQ334" s="644">
        <f t="shared" si="1055"/>
        <v>0</v>
      </c>
      <c r="BR334" s="645">
        <f t="shared" si="1056"/>
        <v>0</v>
      </c>
      <c r="BS334" s="646">
        <f t="shared" si="1057"/>
        <v>0</v>
      </c>
      <c r="BT334" s="647">
        <f t="shared" si="888"/>
        <v>20875.120129465715</v>
      </c>
      <c r="BU334" s="662">
        <f>VLOOKUP(B334,'Afton Update'!$A$5:$AR$582,'Afton Update'!$AO$589,0)-BT334</f>
        <v>0</v>
      </c>
      <c r="BV334" s="644">
        <f t="shared" si="1058"/>
        <v>59150.460525031682</v>
      </c>
      <c r="BW334" s="645">
        <f t="shared" si="852"/>
        <v>58337.008635968275</v>
      </c>
      <c r="BX334" s="644">
        <f t="shared" si="1059"/>
        <v>0</v>
      </c>
      <c r="BY334" s="645">
        <f t="shared" si="1060"/>
        <v>59150.460525031682</v>
      </c>
      <c r="BZ334" s="646">
        <f t="shared" si="1061"/>
        <v>-519.16988083491037</v>
      </c>
      <c r="CA334" s="647">
        <f t="shared" si="1062"/>
        <v>58631.290644196772</v>
      </c>
      <c r="CB334" s="644">
        <f t="shared" si="889"/>
        <v>0</v>
      </c>
      <c r="CC334" s="645">
        <f t="shared" si="890"/>
        <v>58631.290644196772</v>
      </c>
      <c r="CD334" s="646">
        <f t="shared" si="1063"/>
        <v>-18.780463216150242</v>
      </c>
      <c r="CE334" s="647">
        <f t="shared" si="891"/>
        <v>58612.510180980622</v>
      </c>
      <c r="CF334" s="644">
        <f t="shared" si="1064"/>
        <v>0</v>
      </c>
      <c r="CG334" s="645">
        <f t="shared" si="1065"/>
        <v>58612.510180980622</v>
      </c>
      <c r="CH334" s="646">
        <f t="shared" si="1066"/>
        <v>0</v>
      </c>
      <c r="CI334" s="647">
        <f t="shared" si="892"/>
        <v>58612.510180980622</v>
      </c>
      <c r="CJ334" s="644">
        <f t="shared" si="1067"/>
        <v>0</v>
      </c>
      <c r="CK334" s="645">
        <f t="shared" si="1068"/>
        <v>58612.510180980622</v>
      </c>
      <c r="CL334" s="646">
        <f t="shared" si="1069"/>
        <v>0</v>
      </c>
      <c r="CM334" s="647">
        <f t="shared" si="893"/>
        <v>58612.510180980622</v>
      </c>
      <c r="CN334" s="644">
        <f t="shared" si="1070"/>
        <v>0</v>
      </c>
      <c r="CO334" s="645">
        <f t="shared" si="1071"/>
        <v>58612.510180980622</v>
      </c>
      <c r="CP334" s="646">
        <f t="shared" si="1072"/>
        <v>0</v>
      </c>
      <c r="CQ334" s="647">
        <f t="shared" si="894"/>
        <v>58612.510180980622</v>
      </c>
      <c r="CS334" s="644">
        <f t="shared" si="1073"/>
        <v>52924.650435118638</v>
      </c>
      <c r="CT334" s="645">
        <f t="shared" si="853"/>
        <v>50810.484565058439</v>
      </c>
      <c r="CU334" s="644">
        <f t="shared" si="1074"/>
        <v>0</v>
      </c>
      <c r="CV334" s="645">
        <f t="shared" si="1075"/>
        <v>52924.650435118638</v>
      </c>
      <c r="CW334" s="646">
        <f t="shared" si="1076"/>
        <v>-541.97832933863185</v>
      </c>
      <c r="CX334" s="647">
        <f t="shared" si="1077"/>
        <v>52382.672105780002</v>
      </c>
      <c r="CY334" s="644">
        <f t="shared" si="895"/>
        <v>0</v>
      </c>
      <c r="CZ334" s="645">
        <f t="shared" si="896"/>
        <v>52382.672105780002</v>
      </c>
      <c r="DA334" s="646">
        <f t="shared" si="1078"/>
        <v>-41.120587833762784</v>
      </c>
      <c r="DB334" s="647">
        <f t="shared" si="897"/>
        <v>52341.551517946238</v>
      </c>
      <c r="DC334" s="644">
        <f t="shared" si="1079"/>
        <v>0</v>
      </c>
      <c r="DD334" s="645">
        <f t="shared" si="1080"/>
        <v>52341.551517946238</v>
      </c>
      <c r="DE334" s="646">
        <f t="shared" si="1081"/>
        <v>-3.5461385339924212E-2</v>
      </c>
      <c r="DF334" s="647">
        <f t="shared" si="898"/>
        <v>52341.516056560897</v>
      </c>
      <c r="DG334" s="644">
        <f t="shared" si="1082"/>
        <v>0</v>
      </c>
      <c r="DH334" s="645">
        <f t="shared" si="1083"/>
        <v>52341.516056560897</v>
      </c>
      <c r="DI334" s="646">
        <f t="shared" si="1084"/>
        <v>0</v>
      </c>
      <c r="DJ334" s="647">
        <f t="shared" si="899"/>
        <v>52341.516056560897</v>
      </c>
      <c r="DK334" s="644">
        <f t="shared" si="1085"/>
        <v>0</v>
      </c>
      <c r="DL334" s="645">
        <f t="shared" si="1086"/>
        <v>52341.516056560897</v>
      </c>
      <c r="DM334" s="646">
        <f t="shared" si="1087"/>
        <v>0</v>
      </c>
      <c r="DN334" s="647">
        <f t="shared" si="900"/>
        <v>52341.516056560897</v>
      </c>
      <c r="DR334" s="827">
        <f t="shared" si="854"/>
        <v>221564.66799536062</v>
      </c>
      <c r="DV334" s="828">
        <f>IFERROR(VLOOKUP($B334,'Afton FY16 Final'!$A$5:$BV$587,'Afton FY16 Final'!$BV$587,0),0)</f>
        <v>205259.29050803569</v>
      </c>
      <c r="DX334" s="636">
        <f t="shared" si="842"/>
        <v>221564.66799536062</v>
      </c>
      <c r="DY334" s="637">
        <f t="shared" si="843"/>
        <v>16305.377487324935</v>
      </c>
      <c r="DZ334" s="637">
        <f t="shared" si="844"/>
        <v>205259.29050803569</v>
      </c>
      <c r="EA334" s="643">
        <f t="shared" si="845"/>
        <v>209779.91082207876</v>
      </c>
      <c r="EB334" s="637">
        <f t="shared" si="855"/>
        <v>0</v>
      </c>
      <c r="EC334" s="637">
        <f t="shared" si="856"/>
        <v>209779.91082207876</v>
      </c>
      <c r="ED334" s="637">
        <f t="shared" si="857"/>
        <v>209154.35965348876</v>
      </c>
      <c r="EE334" s="643">
        <f t="shared" si="858"/>
        <v>209154.35965348876</v>
      </c>
      <c r="EF334" s="637">
        <f t="shared" si="859"/>
        <v>0</v>
      </c>
      <c r="EG334" s="637">
        <f t="shared" si="860"/>
        <v>209154.35965348876</v>
      </c>
      <c r="EH334" s="637">
        <f t="shared" si="861"/>
        <v>209154.14387709979</v>
      </c>
      <c r="EI334" s="643">
        <f t="shared" si="862"/>
        <v>209154.14387709979</v>
      </c>
      <c r="EJ334" s="637">
        <f t="shared" si="863"/>
        <v>0</v>
      </c>
      <c r="EK334" s="637">
        <f t="shared" si="864"/>
        <v>209154.14387709979</v>
      </c>
      <c r="EL334" s="637">
        <f t="shared" si="865"/>
        <v>209154.14387709947</v>
      </c>
      <c r="EM334" s="643">
        <f t="shared" si="866"/>
        <v>209154.14387709947</v>
      </c>
      <c r="EN334" s="637">
        <f t="shared" si="867"/>
        <v>0</v>
      </c>
      <c r="EO334" s="637">
        <f t="shared" si="868"/>
        <v>209154.14387709947</v>
      </c>
      <c r="EP334" s="637">
        <f t="shared" si="869"/>
        <v>209154.14387709979</v>
      </c>
      <c r="EQ334" s="643">
        <f t="shared" si="870"/>
        <v>209154.14387709979</v>
      </c>
      <c r="ER334" s="637">
        <f t="shared" si="871"/>
        <v>0</v>
      </c>
      <c r="ES334" s="637">
        <f t="shared" si="872"/>
        <v>209154.14387709979</v>
      </c>
      <c r="ET334" s="637">
        <f t="shared" si="873"/>
        <v>209154.14387709947</v>
      </c>
      <c r="EU334" s="643">
        <f t="shared" si="846"/>
        <v>209154.14387709947</v>
      </c>
      <c r="EV334" s="643">
        <f t="shared" si="847"/>
        <v>0</v>
      </c>
      <c r="EX334" s="829">
        <f t="shared" si="848"/>
        <v>12410.52411826115</v>
      </c>
      <c r="EY334" s="638">
        <f t="shared" si="849"/>
        <v>209154.14387709947</v>
      </c>
      <c r="FC334" s="830" t="str">
        <f t="shared" si="874"/>
        <v>Y</v>
      </c>
      <c r="FE334" s="830" t="str">
        <f>IFERROR(VLOOKUP($B334,'Historical Conc Grant Elig'!$B$3:$J$707,'HH &amp; SI'!FE$2,0),"N")</f>
        <v>Y</v>
      </c>
      <c r="FF334" s="830" t="str">
        <f>IFERROR(VLOOKUP($B334,'Historical Conc Grant Elig'!$B$3:$J$707,'HH &amp; SI'!FF$2,0),"N")</f>
        <v>Y</v>
      </c>
      <c r="FG334" s="830" t="str">
        <f>IFERROR(VLOOKUP($B334,'Historical Conc Grant Elig'!$B$3:$J$707,'HH &amp; SI'!FG$2,0),"N")</f>
        <v>Y</v>
      </c>
      <c r="FH334" s="830" t="str">
        <f>IFERROR(VLOOKUP($B334,'Historical Conc Grant Elig'!$B$3:$J$707,'HH &amp; SI'!FH$2,0),"N")</f>
        <v>Y</v>
      </c>
      <c r="FI334" s="830" t="str">
        <f>IFERROR(VLOOKUP($B334,'Historical Conc Grant Elig'!$B$3:$J$707,'HH &amp; SI'!FI$2,0),"N")</f>
        <v>Y</v>
      </c>
      <c r="FJ334" s="830" t="str">
        <f>IFERROR(VLOOKUP($B334,'Historical Conc Grant Elig'!$B$3:$J$707,'HH &amp; SI'!FJ$2,0),"N")</f>
        <v>Y</v>
      </c>
      <c r="FK334" s="830" t="str">
        <f>IFERROR(VLOOKUP($B334,'Historical Conc Grant Elig'!$B$3:$J$707,'HH &amp; SI'!FK$2,0),"N")</f>
        <v>Y</v>
      </c>
      <c r="FL334" s="957" t="str">
        <f>IFERROR(VLOOKUP($B334,'Historical Conc Grant Elig'!$B$3:$J$707,'HH &amp; SI'!FL$2,0),"N")</f>
        <v>Y</v>
      </c>
    </row>
    <row r="335" spans="2:168" x14ac:dyDescent="0.25">
      <c r="B335" s="634">
        <v>90203000</v>
      </c>
      <c r="C335" s="635" t="str">
        <f>VLOOKUP($B335,'Afton Update'!$A$5:$CR$582,'Afton Update'!D$589,0)</f>
        <v>Holbrook Unified District</v>
      </c>
      <c r="D335" s="636">
        <f>IFERROR(VLOOKUP($B335,'Afton FY16 Final'!$A$5:$BV$587,'Afton FY16 Final'!AQ$587,0),0)</f>
        <v>483938.5861006442</v>
      </c>
      <c r="E335" s="637">
        <f>IFERROR(VLOOKUP($B335,'Afton FY16 Final'!$A$5:$BV$587,'Afton FY16 Final'!AR$587,0),0)</f>
        <v>123725.08118070406</v>
      </c>
      <c r="F335" s="637">
        <f>IFERROR(VLOOKUP($B335,'Afton FY16 Final'!$A$5:$BV$587,'Afton FY16 Final'!AS$587,0),0)</f>
        <v>274895.43639367027</v>
      </c>
      <c r="G335" s="637">
        <f>IFERROR(VLOOKUP($B335,'Afton FY16 Final'!$A$5:$BV$587,'Afton FY16 Final'!AT$587,0),0)</f>
        <v>293262.39058528998</v>
      </c>
      <c r="H335" s="638">
        <f>IFERROR(VLOOKUP($B335,'Afton FY16 Final'!$A$5:$BV$587,'Afton FY16 Final'!AU$587,0),0)</f>
        <v>1175821.4942603086</v>
      </c>
      <c r="I335" s="639" t="str">
        <f>VLOOKUP($B335,'Afton Update'!$A$5:$CR$582,'Afton Update'!BT$589,0)</f>
        <v>Y</v>
      </c>
      <c r="J335" s="640" t="str">
        <f>VLOOKUP($B335,'Afton Update'!$A$5:$CR$582,'Afton Update'!BU$589,0)</f>
        <v>Y</v>
      </c>
      <c r="K335" s="640" t="str">
        <f>VLOOKUP($B335,'Afton Update'!$A$5:$CR$582,'Afton Update'!BV$589,0)</f>
        <v>Y</v>
      </c>
      <c r="L335" s="641" t="str">
        <f>VLOOKUP($B335,'Afton Update'!$A$5:$CR$582,'Afton Update'!BW$589,0)</f>
        <v>Y</v>
      </c>
      <c r="N335" s="642">
        <f>VLOOKUP($B335,'Afton Update'!$A$5:$CR$582,'Afton Update'!CB$589,0)</f>
        <v>0.95</v>
      </c>
      <c r="P335" s="636">
        <f>VLOOKUP($B335,'Afton Update'!$A$5:$CR$582,'Afton Update'!AH$589,0)</f>
        <v>464784.2408349468</v>
      </c>
      <c r="Q335" s="637">
        <f>VLOOKUP($B335,'Afton Update'!$A$5:$CR$582,'Afton Update'!AI$589,0)</f>
        <v>119896.18775050326</v>
      </c>
      <c r="R335" s="637">
        <f>VLOOKUP($B335,'Afton Update'!$A$5:$CR$582,'Afton Update'!AJ$589,0)</f>
        <v>263656.37380001874</v>
      </c>
      <c r="S335" s="637">
        <f>VLOOKUP($B335,'Afton Update'!$A$5:$CR$582,'Afton Update'!AK$589,0)</f>
        <v>281474.95426106633</v>
      </c>
      <c r="T335" s="643">
        <f t="shared" ref="T335:T341" si="1088">SUM(P335:S335)</f>
        <v>1129811.7566465351</v>
      </c>
      <c r="V335" s="636">
        <f t="shared" ref="V335:V341" si="1089">AW335</f>
        <v>459741.65679561195</v>
      </c>
      <c r="W335" s="637">
        <f t="shared" ref="W335:W341" si="1090">BT335</f>
        <v>117538.82712166884</v>
      </c>
      <c r="X335" s="637">
        <f t="shared" ref="X335:X341" si="1091">CQ335</f>
        <v>261258.52202104649</v>
      </c>
      <c r="Y335" s="637">
        <f t="shared" ref="Y335:Y341" si="1092">DN335</f>
        <v>278599.27105602546</v>
      </c>
      <c r="Z335" s="643">
        <f t="shared" ref="Z335:Z341" si="1093">SUM(V335:Y335)</f>
        <v>1117138.2769943527</v>
      </c>
      <c r="AB335" s="644">
        <f t="shared" ref="AB335:AB341" si="1094">IF(P335="",0,P335)</f>
        <v>464784.2408349468</v>
      </c>
      <c r="AC335" s="645">
        <f t="shared" ref="AC335:AC341" si="1095">IF(I335="N",0,D335*$N335)</f>
        <v>459741.65679561195</v>
      </c>
      <c r="AD335" s="644">
        <f t="shared" ref="AD335:AD341" si="1096">IF($I335="N",0,MAX(AC335-AB335,0))</f>
        <v>0</v>
      </c>
      <c r="AE335" s="645">
        <f t="shared" ref="AE335:AE341" si="1097">IF(AD335=0,AB335,0)</f>
        <v>464784.2408349468</v>
      </c>
      <c r="AF335" s="646">
        <f t="shared" ref="AF335:AF341" si="1098">-IF(AD335=0,((AE335/AE$2)*AD$2),0)</f>
        <v>-5761.3499412085966</v>
      </c>
      <c r="AG335" s="647">
        <f t="shared" ref="AG335:AG341" si="1099">IF(AD335=0,AE335+AF335,AD335+AB335)</f>
        <v>459022.89089373819</v>
      </c>
      <c r="AH335" s="644">
        <f t="shared" ref="AH335:AH341" si="1100">IF(AG335-AC335&lt;0,AG335-AC335,0)</f>
        <v>-718.76590187376132</v>
      </c>
      <c r="AI335" s="645">
        <f t="shared" ref="AI335:AI341" si="1101">IF(AND(AH335=0,AD335=0),AG335,0)</f>
        <v>0</v>
      </c>
      <c r="AJ335" s="646">
        <f t="shared" ref="AJ335:AJ341" si="1102">IF(AND(AH335=0,AD335=0),((AI335/AI$2))*AH$2,0)</f>
        <v>0</v>
      </c>
      <c r="AK335" s="647">
        <f t="shared" ref="AK335:AK341" si="1103">AG335-AH335+AJ335</f>
        <v>459741.65679561195</v>
      </c>
      <c r="AL335" s="644">
        <f t="shared" ref="AL335:AL341" si="1104">IF(AK335-AC335&lt;0,AK335-AC335,0)</f>
        <v>0</v>
      </c>
      <c r="AM335" s="645">
        <f t="shared" ref="AM335:AM341" si="1105">IF(AND(AH335=0,AD335=0,AL335=0),AK335,0)</f>
        <v>0</v>
      </c>
      <c r="AN335" s="646">
        <f t="shared" ref="AN335:AN341" si="1106">IF(AND(AL335=0,AH335=0,AD335=0),((AM335/AM$2))*AL$2,0)</f>
        <v>0</v>
      </c>
      <c r="AO335" s="647">
        <f t="shared" ref="AO335:AO341" si="1107">AK335-AL335+AN335</f>
        <v>459741.65679561195</v>
      </c>
      <c r="AP335" s="644">
        <f t="shared" ref="AP335:AP341" si="1108">IF(AO335-AC335&lt;0,AO335-AC335,0)</f>
        <v>0</v>
      </c>
      <c r="AQ335" s="645">
        <f t="shared" ref="AQ335:AQ341" si="1109">IF(AND(AH335=0,AD335=0,AL335=0,AP335=0),AO335,0)</f>
        <v>0</v>
      </c>
      <c r="AR335" s="646">
        <f t="shared" ref="AR335:AR341" si="1110">IF(AND(AP335=0,AL335=0,AH335=0,AD335=0),((AQ335/AQ$2))*AP$2,0)</f>
        <v>0</v>
      </c>
      <c r="AS335" s="647">
        <f t="shared" ref="AS335:AS341" si="1111">AO335-AP335+AR335</f>
        <v>459741.65679561195</v>
      </c>
      <c r="AT335" s="644">
        <f t="shared" ref="AT335:AT341" si="1112">IF(AS335-AC335&lt;0,AS335-AC335,0)</f>
        <v>0</v>
      </c>
      <c r="AU335" s="645">
        <f t="shared" ref="AU335:AU341" si="1113">IF(AND(AP335=0,AL335=0,AT335=0,AD335=0,AH335=0),AS335,0)</f>
        <v>0</v>
      </c>
      <c r="AV335" s="646">
        <f t="shared" ref="AV335:AV341" si="1114">IF(AND(AT335=0,AP335=0,AL335=0),((AU335/AU$2))*AT$2,0)</f>
        <v>0</v>
      </c>
      <c r="AW335" s="647">
        <f t="shared" ref="AW335:AW341" si="1115">AS335-AT335+AV335</f>
        <v>459741.65679561195</v>
      </c>
      <c r="AY335" s="644">
        <f t="shared" ref="AY335:AY341" si="1116">IF(Q335="",0,Q335)</f>
        <v>119896.18775050326</v>
      </c>
      <c r="AZ335" s="645">
        <f t="shared" si="851"/>
        <v>117538.82712166884</v>
      </c>
      <c r="BA335" s="644">
        <f t="shared" ref="BA335:BA341" si="1117">IF($J335="N",0,MAX(AZ335-AY335,0))</f>
        <v>0</v>
      </c>
      <c r="BB335" s="645">
        <f t="shared" ref="BB335:BB341" si="1118">IF(BA335=0,AY335,0)</f>
        <v>119896.18775050326</v>
      </c>
      <c r="BC335" s="646">
        <f t="shared" ref="BC335:BC341" si="1119">-IF(BA335=0,((BB335/BB$2)*BA$2),0)</f>
        <v>-862.2084275131308</v>
      </c>
      <c r="BD335" s="647">
        <f t="shared" ref="BD335:BD341" si="1120">IF(BA335=0,BB335+BC335,BA335+AY335)</f>
        <v>119033.97932299013</v>
      </c>
      <c r="BE335" s="644">
        <f t="shared" ref="BE335:BE341" si="1121">IF(BD335-AZ335&lt;0,BD335-AZ335,0)</f>
        <v>0</v>
      </c>
      <c r="BF335" s="645">
        <f t="shared" ref="BF335:BF341" si="1122">IF(AND(BE335=0,BA335=0),BD335,0)</f>
        <v>119033.97932299013</v>
      </c>
      <c r="BG335" s="646">
        <f t="shared" ref="BG335:BG341" si="1123">IF(AND(BE335=0,BA335=0),((BF335/BF$2))*BE$2,0)</f>
        <v>-2835.2923817788569</v>
      </c>
      <c r="BH335" s="647">
        <f t="shared" ref="BH335:BH341" si="1124">BD335-BE335+BG335</f>
        <v>116198.68694121127</v>
      </c>
      <c r="BI335" s="644">
        <f t="shared" ref="BI335:BI341" si="1125">IF(BH335-AZ335&lt;0,BH335-AZ335,0)</f>
        <v>-1340.1401804575726</v>
      </c>
      <c r="BJ335" s="645">
        <f t="shared" ref="BJ335:BJ341" si="1126">IF(AND(BE335=0,BA335=0,BI335=0),BH335,0)</f>
        <v>0</v>
      </c>
      <c r="BK335" s="646">
        <f t="shared" ref="BK335:BK341" si="1127">IF(AND(BI335=0,BE335=0,BA335=0),((BJ335/BJ$2))*BI$2,0)</f>
        <v>0</v>
      </c>
      <c r="BL335" s="647">
        <f t="shared" ref="BL335:BL341" si="1128">BH335-BI335+BK335</f>
        <v>117538.82712166884</v>
      </c>
      <c r="BM335" s="644">
        <f t="shared" ref="BM335:BM341" si="1129">IF(BL335-AZ335&lt;0,BL335-AZ335,0)</f>
        <v>0</v>
      </c>
      <c r="BN335" s="645">
        <f t="shared" ref="BN335:BN341" si="1130">IF(AND(BE335=0,BA335=0,BI335=0,BM335=0),BL335,0)</f>
        <v>0</v>
      </c>
      <c r="BO335" s="646">
        <f t="shared" ref="BO335:BO341" si="1131">IF(AND(BM335=0,BI335=0,BE335=0,BA335=0),((BN335/BN$2))*BM$2,0)</f>
        <v>0</v>
      </c>
      <c r="BP335" s="647">
        <f t="shared" ref="BP335:BP341" si="1132">BL335-BM335+BO335</f>
        <v>117538.82712166884</v>
      </c>
      <c r="BQ335" s="644">
        <f t="shared" ref="BQ335:BQ341" si="1133">IF(BP335-AZ335&lt;0,BP335-AZ335,0)</f>
        <v>0</v>
      </c>
      <c r="BR335" s="645">
        <f t="shared" ref="BR335:BR341" si="1134">IF(AND(BM335=0,BI335=0,BQ335=0,BA335=0,BE335=0),BP335,0)</f>
        <v>0</v>
      </c>
      <c r="BS335" s="646">
        <f t="shared" ref="BS335:BS341" si="1135">IF(AND(BQ335=0,BM335=0,BI335=0),((BR335/BR$2))*BQ$2,0)</f>
        <v>0</v>
      </c>
      <c r="BT335" s="647">
        <f t="shared" ref="BT335:BT341" si="1136">BP335-BQ335+BS335</f>
        <v>117538.82712166884</v>
      </c>
      <c r="BU335" s="662">
        <f>VLOOKUP(B335,'Afton Update'!$A$5:$AR$582,'Afton Update'!$AO$589,0)-BT335</f>
        <v>0</v>
      </c>
      <c r="BV335" s="644">
        <f t="shared" ref="BV335:BV341" si="1137">IF(R335="",0,R335)</f>
        <v>263656.37380001874</v>
      </c>
      <c r="BW335" s="645">
        <f t="shared" ref="BW335:BW341" si="1138">IF($K335="N",0,F335*$N335)</f>
        <v>261150.66457398675</v>
      </c>
      <c r="BX335" s="644">
        <f t="shared" ref="BX335:BX341" si="1139">IF($K335="N",0,MAX(BW335-BV335,0))</f>
        <v>0</v>
      </c>
      <c r="BY335" s="645">
        <f t="shared" ref="BY335:BY341" si="1140">IF(BX335=0,BV335,0)</f>
        <v>263656.37380001874</v>
      </c>
      <c r="BZ335" s="646">
        <f t="shared" ref="BZ335:BZ341" si="1141">-IF(BX335=0,((BY335/BY$2)*BX$2),0)</f>
        <v>-2314.1400244752699</v>
      </c>
      <c r="CA335" s="647">
        <f t="shared" ref="CA335:CA341" si="1142">IF(BX335=0,BY335+BZ335,BX335+BV335)</f>
        <v>261342.23377554349</v>
      </c>
      <c r="CB335" s="644">
        <f t="shared" ref="CB335:CB341" si="1143">IF(CA335-BW335&lt;0,CA335-BW335,0)</f>
        <v>0</v>
      </c>
      <c r="CC335" s="645">
        <f t="shared" ref="CC335:CC341" si="1144">IF(AND(CB335=0,BX335=0),CA335,0)</f>
        <v>261342.23377554349</v>
      </c>
      <c r="CD335" s="646">
        <f t="shared" ref="CD335:CD341" si="1145">IF(AND(CB335=0,BX335=0),((CC335/CC$2))*CB$2,0)</f>
        <v>-83.711754496980859</v>
      </c>
      <c r="CE335" s="647">
        <f t="shared" ref="CE335:CE341" si="1146">CA335-CB335+CD335</f>
        <v>261258.52202104649</v>
      </c>
      <c r="CF335" s="644">
        <f t="shared" ref="CF335:CF341" si="1147">IF(CE335-BW335&lt;0,CE335-BW335,0)</f>
        <v>0</v>
      </c>
      <c r="CG335" s="645">
        <f t="shared" ref="CG335:CG341" si="1148">IF(AND(CB335=0,BX335=0,CF335=0),CE335,0)</f>
        <v>261258.52202104649</v>
      </c>
      <c r="CH335" s="646">
        <f t="shared" ref="CH335:CH341" si="1149">IF(AND(CF335=0,CB335=0,BX335=0),((CG335/CG$2))*CF$2,0)</f>
        <v>0</v>
      </c>
      <c r="CI335" s="647">
        <f t="shared" ref="CI335:CI341" si="1150">CE335-CF335+CH335</f>
        <v>261258.52202104649</v>
      </c>
      <c r="CJ335" s="644">
        <f t="shared" ref="CJ335:CJ341" si="1151">IF(CI335-BW335&lt;0,CI335-BW335,0)</f>
        <v>0</v>
      </c>
      <c r="CK335" s="645">
        <f t="shared" ref="CK335:CK341" si="1152">IF(AND(CB335=0,BX335=0,CF335=0,CJ335=0),CI335,0)</f>
        <v>261258.52202104649</v>
      </c>
      <c r="CL335" s="646">
        <f t="shared" ref="CL335:CL341" si="1153">IF(AND(CJ335=0,CF335=0,CB335=0,BX335=0),((CK335/CK$2))*CJ$2,0)</f>
        <v>0</v>
      </c>
      <c r="CM335" s="647">
        <f t="shared" ref="CM335:CM341" si="1154">CI335-CJ335+CL335</f>
        <v>261258.52202104649</v>
      </c>
      <c r="CN335" s="644">
        <f t="shared" ref="CN335:CN341" si="1155">IF(CM335-BW335&lt;0,CM335-BW335,0)</f>
        <v>0</v>
      </c>
      <c r="CO335" s="645">
        <f t="shared" ref="CO335:CO341" si="1156">IF(AND(CJ335=0,CF335=0,CN335=0,BX335=0,CB335=0),CM335,0)</f>
        <v>261258.52202104649</v>
      </c>
      <c r="CP335" s="646">
        <f t="shared" ref="CP335:CP341" si="1157">IF(AND(CN335=0,CJ335=0,CF335=0),((CO335/CO$2))*CN$2,0)</f>
        <v>0</v>
      </c>
      <c r="CQ335" s="647">
        <f t="shared" ref="CQ335:CQ341" si="1158">CM335-CN335+CP335</f>
        <v>261258.52202104649</v>
      </c>
      <c r="CS335" s="644">
        <f t="shared" ref="CS335:CS341" si="1159">IF(S335="",0,S335)</f>
        <v>281474.95426106633</v>
      </c>
      <c r="CT335" s="645">
        <f t="shared" ref="CT335:CT341" si="1160">IF($L335="N",0,G335*$N335)</f>
        <v>278599.27105602546</v>
      </c>
      <c r="CU335" s="644">
        <f t="shared" ref="CU335:CU341" si="1161">IF($L335="N",0,MAX(CT335-CS335,0))</f>
        <v>0</v>
      </c>
      <c r="CV335" s="645">
        <f t="shared" ref="CV335:CV341" si="1162">IF(CU335=0,CS335,0)</f>
        <v>281474.95426106633</v>
      </c>
      <c r="CW335" s="646">
        <f t="shared" ref="CW335:CW341" si="1163">-IF(CU335=0,((CV335/CV$2)*CU$2),0)</f>
        <v>-2882.462599315581</v>
      </c>
      <c r="CX335" s="647">
        <f t="shared" ref="CX335:CX341" si="1164">IF(CU335=0,CV335+CW335,CU335+CS335)</f>
        <v>278592.49166175077</v>
      </c>
      <c r="CY335" s="644">
        <f t="shared" ref="CY335:CY341" si="1165">IF(CX335-CT335&lt;0,CX335-CT335,0)</f>
        <v>-6.7793942746939138</v>
      </c>
      <c r="CZ335" s="645">
        <f t="shared" ref="CZ335:CZ341" si="1166">IF(AND(CY335=0,CU335=0),CX335,0)</f>
        <v>0</v>
      </c>
      <c r="DA335" s="646">
        <f t="shared" ref="DA335:DA341" si="1167">IF(AND(CY335=0,CU335=0),((CZ335/CZ$2))*CY$2,0)</f>
        <v>0</v>
      </c>
      <c r="DB335" s="647">
        <f t="shared" ref="DB335:DB341" si="1168">CX335-CY335+DA335</f>
        <v>278599.27105602546</v>
      </c>
      <c r="DC335" s="644">
        <f t="shared" ref="DC335:DC341" si="1169">IF(DB335-CT335&lt;0,DB335-CT335,0)</f>
        <v>0</v>
      </c>
      <c r="DD335" s="645">
        <f t="shared" ref="DD335:DD341" si="1170">IF(AND(CY335=0,CU335=0,DC335=0),DB335,0)</f>
        <v>0</v>
      </c>
      <c r="DE335" s="646">
        <f t="shared" ref="DE335:DE341" si="1171">IF(AND(DC335=0,CY335=0,CU335=0),((DD335/DD$2))*DC$2,0)</f>
        <v>0</v>
      </c>
      <c r="DF335" s="647">
        <f t="shared" ref="DF335:DF341" si="1172">DB335-DC335+DE335</f>
        <v>278599.27105602546</v>
      </c>
      <c r="DG335" s="644">
        <f t="shared" ref="DG335:DG341" si="1173">IF(DF335-CT335&lt;0,DF335-CT335,0)</f>
        <v>0</v>
      </c>
      <c r="DH335" s="645">
        <f t="shared" ref="DH335:DH341" si="1174">IF(AND(CY335=0,CU335=0,DC335=0,DG335=0),DF335,0)</f>
        <v>0</v>
      </c>
      <c r="DI335" s="646">
        <f t="shared" ref="DI335:DI341" si="1175">IF(AND(DG335=0,DC335=0,CY335=0,CU335=0),((DH335/DH$2))*DG$2,0)</f>
        <v>0</v>
      </c>
      <c r="DJ335" s="647">
        <f t="shared" ref="DJ335:DJ341" si="1176">DF335-DG335+DI335</f>
        <v>278599.27105602546</v>
      </c>
      <c r="DK335" s="644">
        <f t="shared" ref="DK335:DK341" si="1177">IF(DJ335-CT335&lt;0,DJ335-CT335,0)</f>
        <v>0</v>
      </c>
      <c r="DL335" s="645">
        <f t="shared" ref="DL335:DL341" si="1178">IF(AND(DG335=0,DC335=0,DK335=0,CU335=0,CY335=0),DJ335,0)</f>
        <v>0</v>
      </c>
      <c r="DM335" s="646">
        <f t="shared" ref="DM335:DM341" si="1179">IF(AND(DK335=0,DG335=0,DC335=0),((DL335/DL$2))*DK$2,0)</f>
        <v>0</v>
      </c>
      <c r="DN335" s="647">
        <f t="shared" ref="DN335:DN341" si="1180">DJ335-DK335+DM335</f>
        <v>278599.27105602546</v>
      </c>
      <c r="DR335" s="827">
        <f t="shared" si="854"/>
        <v>1117138.2769943527</v>
      </c>
      <c r="DV335" s="828">
        <f>IFERROR(VLOOKUP($B335,'Afton FY16 Final'!$A$5:$BV$587,'Afton FY16 Final'!$BV$587,0),0)</f>
        <v>1152669.5692330494</v>
      </c>
      <c r="DX335" s="636">
        <f t="shared" si="842"/>
        <v>0</v>
      </c>
      <c r="DY335" s="637">
        <f t="shared" si="843"/>
        <v>0</v>
      </c>
      <c r="DZ335" s="637">
        <f t="shared" si="844"/>
        <v>0</v>
      </c>
      <c r="EA335" s="643">
        <f t="shared" si="845"/>
        <v>0</v>
      </c>
      <c r="EB335" s="637">
        <f t="shared" si="855"/>
        <v>0</v>
      </c>
      <c r="EC335" s="637">
        <f t="shared" si="856"/>
        <v>0</v>
      </c>
      <c r="ED335" s="637">
        <f t="shared" si="857"/>
        <v>0</v>
      </c>
      <c r="EE335" s="643">
        <f t="shared" si="858"/>
        <v>0</v>
      </c>
      <c r="EF335" s="637">
        <f t="shared" si="859"/>
        <v>0</v>
      </c>
      <c r="EG335" s="637">
        <f t="shared" si="860"/>
        <v>0</v>
      </c>
      <c r="EH335" s="637">
        <f t="shared" si="861"/>
        <v>0</v>
      </c>
      <c r="EI335" s="643">
        <f t="shared" si="862"/>
        <v>0</v>
      </c>
      <c r="EJ335" s="637">
        <f t="shared" si="863"/>
        <v>0</v>
      </c>
      <c r="EK335" s="637">
        <f t="shared" si="864"/>
        <v>0</v>
      </c>
      <c r="EL335" s="637">
        <f t="shared" si="865"/>
        <v>0</v>
      </c>
      <c r="EM335" s="643">
        <f t="shared" si="866"/>
        <v>0</v>
      </c>
      <c r="EN335" s="637">
        <f t="shared" si="867"/>
        <v>0</v>
      </c>
      <c r="EO335" s="637">
        <f t="shared" si="868"/>
        <v>0</v>
      </c>
      <c r="EP335" s="637">
        <f t="shared" si="869"/>
        <v>0</v>
      </c>
      <c r="EQ335" s="643">
        <f t="shared" si="870"/>
        <v>0</v>
      </c>
      <c r="ER335" s="637">
        <f t="shared" si="871"/>
        <v>0</v>
      </c>
      <c r="ES335" s="637">
        <f t="shared" si="872"/>
        <v>0</v>
      </c>
      <c r="ET335" s="637">
        <f t="shared" si="873"/>
        <v>0</v>
      </c>
      <c r="EU335" s="643">
        <f t="shared" si="846"/>
        <v>0</v>
      </c>
      <c r="EV335" s="643">
        <f t="shared" si="847"/>
        <v>0</v>
      </c>
      <c r="EX335" s="829">
        <f t="shared" si="848"/>
        <v>0</v>
      </c>
      <c r="EY335" s="638">
        <f t="shared" si="849"/>
        <v>1117138.2769943527</v>
      </c>
      <c r="FC335" s="830" t="str">
        <f t="shared" si="874"/>
        <v>Y</v>
      </c>
      <c r="FE335" s="830" t="str">
        <f>IFERROR(VLOOKUP($B335,'Historical Conc Grant Elig'!$B$3:$J$707,'HH &amp; SI'!FE$2,0),"N")</f>
        <v>Y</v>
      </c>
      <c r="FF335" s="830" t="str">
        <f>IFERROR(VLOOKUP($B335,'Historical Conc Grant Elig'!$B$3:$J$707,'HH &amp; SI'!FF$2,0),"N")</f>
        <v>Y</v>
      </c>
      <c r="FG335" s="830" t="str">
        <f>IFERROR(VLOOKUP($B335,'Historical Conc Grant Elig'!$B$3:$J$707,'HH &amp; SI'!FG$2,0),"N")</f>
        <v>Y</v>
      </c>
      <c r="FH335" s="830" t="str">
        <f>IFERROR(VLOOKUP($B335,'Historical Conc Grant Elig'!$B$3:$J$707,'HH &amp; SI'!FH$2,0),"N")</f>
        <v>Y</v>
      </c>
      <c r="FI335" s="830" t="str">
        <f>IFERROR(VLOOKUP($B335,'Historical Conc Grant Elig'!$B$3:$J$707,'HH &amp; SI'!FI$2,0),"N")</f>
        <v>Y</v>
      </c>
      <c r="FJ335" s="830" t="str">
        <f>IFERROR(VLOOKUP($B335,'Historical Conc Grant Elig'!$B$3:$J$707,'HH &amp; SI'!FJ$2,0),"N")</f>
        <v>Y</v>
      </c>
      <c r="FK335" s="830" t="str">
        <f>IFERROR(VLOOKUP($B335,'Historical Conc Grant Elig'!$B$3:$J$707,'HH &amp; SI'!FK$2,0),"N")</f>
        <v>Y</v>
      </c>
      <c r="FL335" s="957" t="str">
        <f>IFERROR(VLOOKUP($B335,'Historical Conc Grant Elig'!$B$3:$J$707,'HH &amp; SI'!FL$2,0),"N")</f>
        <v>Y</v>
      </c>
    </row>
    <row r="336" spans="2:168" x14ac:dyDescent="0.25">
      <c r="B336" s="634">
        <v>90204000</v>
      </c>
      <c r="C336" s="635" t="str">
        <f>VLOOKUP($B336,'Afton Update'!$A$5:$CR$582,'Afton Update'!D$589,0)</f>
        <v>Pinon Unified District</v>
      </c>
      <c r="D336" s="636">
        <f>IFERROR(VLOOKUP($B336,'Afton FY16 Final'!$A$5:$BV$587,'Afton FY16 Final'!AQ$587,0),0)</f>
        <v>463837.37715697702</v>
      </c>
      <c r="E336" s="637">
        <f>IFERROR(VLOOKUP($B336,'Afton FY16 Final'!$A$5:$BV$587,'Afton FY16 Final'!AR$587,0),0)</f>
        <v>118586.39290963576</v>
      </c>
      <c r="F336" s="637">
        <f>IFERROR(VLOOKUP($B336,'Afton FY16 Final'!$A$5:$BV$587,'Afton FY16 Final'!AS$587,0),0)</f>
        <v>305981.68647632224</v>
      </c>
      <c r="G336" s="637">
        <f>IFERROR(VLOOKUP($B336,'Afton FY16 Final'!$A$5:$BV$587,'Afton FY16 Final'!AT$587,0),0)</f>
        <v>347844.38782325259</v>
      </c>
      <c r="H336" s="638">
        <f>IFERROR(VLOOKUP($B336,'Afton FY16 Final'!$A$5:$BV$587,'Afton FY16 Final'!AU$587,0),0)</f>
        <v>1236249.8443661877</v>
      </c>
      <c r="I336" s="639" t="str">
        <f>VLOOKUP($B336,'Afton Update'!$A$5:$CR$582,'Afton Update'!BT$589,0)</f>
        <v>Y</v>
      </c>
      <c r="J336" s="640" t="str">
        <f>VLOOKUP($B336,'Afton Update'!$A$5:$CR$582,'Afton Update'!BU$589,0)</f>
        <v>Y</v>
      </c>
      <c r="K336" s="640" t="str">
        <f>VLOOKUP($B336,'Afton Update'!$A$5:$CR$582,'Afton Update'!BV$589,0)</f>
        <v>Y</v>
      </c>
      <c r="L336" s="641" t="str">
        <f>VLOOKUP($B336,'Afton Update'!$A$5:$CR$582,'Afton Update'!BW$589,0)</f>
        <v>Y</v>
      </c>
      <c r="N336" s="642">
        <f>VLOOKUP($B336,'Afton Update'!$A$5:$CR$582,'Afton Update'!CB$589,0)</f>
        <v>0.95</v>
      </c>
      <c r="P336" s="636">
        <f>VLOOKUP($B336,'Afton Update'!$A$5:$CR$582,'Afton Update'!AH$589,0)</f>
        <v>445478.64006848098</v>
      </c>
      <c r="Q336" s="637">
        <f>VLOOKUP($B336,'Afton Update'!$A$5:$CR$582,'Afton Update'!AI$589,0)</f>
        <v>114916.52535820735</v>
      </c>
      <c r="R336" s="637">
        <f>VLOOKUP($B336,'Afton Update'!$A$5:$CR$582,'Afton Update'!AJ$589,0)</f>
        <v>293471.66676870646</v>
      </c>
      <c r="S336" s="637">
        <f>VLOOKUP($B336,'Afton Update'!$A$5:$CR$582,'Afton Update'!AK$589,0)</f>
        <v>333863.07380606118</v>
      </c>
      <c r="T336" s="643">
        <f t="shared" si="1088"/>
        <v>1187729.9060014558</v>
      </c>
      <c r="V336" s="636">
        <f t="shared" si="1089"/>
        <v>440645.50829912815</v>
      </c>
      <c r="W336" s="637">
        <f t="shared" si="1090"/>
        <v>112657.07326415397</v>
      </c>
      <c r="X336" s="637">
        <f t="shared" si="1091"/>
        <v>290802.65654112498</v>
      </c>
      <c r="Y336" s="637">
        <f t="shared" si="1092"/>
        <v>330452.16843208997</v>
      </c>
      <c r="Z336" s="643">
        <f t="shared" si="1093"/>
        <v>1174557.4065364969</v>
      </c>
      <c r="AB336" s="644">
        <f t="shared" si="1094"/>
        <v>445478.64006848098</v>
      </c>
      <c r="AC336" s="645">
        <f t="shared" si="1095"/>
        <v>440645.50829912815</v>
      </c>
      <c r="AD336" s="644">
        <f t="shared" si="1096"/>
        <v>0</v>
      </c>
      <c r="AE336" s="645">
        <f t="shared" si="1097"/>
        <v>445478.64006848098</v>
      </c>
      <c r="AF336" s="646">
        <f t="shared" si="1098"/>
        <v>-5522.0425119354659</v>
      </c>
      <c r="AG336" s="647">
        <f t="shared" si="1099"/>
        <v>439956.59755654552</v>
      </c>
      <c r="AH336" s="644">
        <f t="shared" si="1100"/>
        <v>-688.91074258263689</v>
      </c>
      <c r="AI336" s="645">
        <f t="shared" si="1101"/>
        <v>0</v>
      </c>
      <c r="AJ336" s="646">
        <f t="shared" si="1102"/>
        <v>0</v>
      </c>
      <c r="AK336" s="647">
        <f t="shared" si="1103"/>
        <v>440645.50829912815</v>
      </c>
      <c r="AL336" s="644">
        <f t="shared" si="1104"/>
        <v>0</v>
      </c>
      <c r="AM336" s="645">
        <f t="shared" si="1105"/>
        <v>0</v>
      </c>
      <c r="AN336" s="646">
        <f t="shared" si="1106"/>
        <v>0</v>
      </c>
      <c r="AO336" s="647">
        <f t="shared" si="1107"/>
        <v>440645.50829912815</v>
      </c>
      <c r="AP336" s="644">
        <f t="shared" si="1108"/>
        <v>0</v>
      </c>
      <c r="AQ336" s="645">
        <f t="shared" si="1109"/>
        <v>0</v>
      </c>
      <c r="AR336" s="646">
        <f t="shared" si="1110"/>
        <v>0</v>
      </c>
      <c r="AS336" s="647">
        <f t="shared" si="1111"/>
        <v>440645.50829912815</v>
      </c>
      <c r="AT336" s="644">
        <f t="shared" si="1112"/>
        <v>0</v>
      </c>
      <c r="AU336" s="645">
        <f t="shared" si="1113"/>
        <v>0</v>
      </c>
      <c r="AV336" s="646">
        <f t="shared" si="1114"/>
        <v>0</v>
      </c>
      <c r="AW336" s="647">
        <f t="shared" si="1115"/>
        <v>440645.50829912815</v>
      </c>
      <c r="AY336" s="644">
        <f t="shared" si="1116"/>
        <v>114916.52535820735</v>
      </c>
      <c r="AZ336" s="645">
        <f t="shared" si="851"/>
        <v>112657.07326415397</v>
      </c>
      <c r="BA336" s="644">
        <f t="shared" si="1117"/>
        <v>0</v>
      </c>
      <c r="BB336" s="645">
        <f t="shared" si="1118"/>
        <v>114916.52535820735</v>
      </c>
      <c r="BC336" s="646">
        <f t="shared" si="1119"/>
        <v>-826.39822402490768</v>
      </c>
      <c r="BD336" s="647">
        <f t="shared" si="1120"/>
        <v>114090.12713418245</v>
      </c>
      <c r="BE336" s="644">
        <f t="shared" si="1121"/>
        <v>0</v>
      </c>
      <c r="BF336" s="645">
        <f t="shared" si="1122"/>
        <v>114090.12713418245</v>
      </c>
      <c r="BG336" s="646">
        <f t="shared" si="1123"/>
        <v>-2717.5338515903272</v>
      </c>
      <c r="BH336" s="647">
        <f t="shared" si="1124"/>
        <v>111372.59328259212</v>
      </c>
      <c r="BI336" s="644">
        <f t="shared" si="1125"/>
        <v>-1284.4799815618462</v>
      </c>
      <c r="BJ336" s="645">
        <f t="shared" si="1126"/>
        <v>0</v>
      </c>
      <c r="BK336" s="646">
        <f t="shared" si="1127"/>
        <v>0</v>
      </c>
      <c r="BL336" s="647">
        <f t="shared" si="1128"/>
        <v>112657.07326415397</v>
      </c>
      <c r="BM336" s="644">
        <f t="shared" si="1129"/>
        <v>0</v>
      </c>
      <c r="BN336" s="645">
        <f t="shared" si="1130"/>
        <v>0</v>
      </c>
      <c r="BO336" s="646">
        <f t="shared" si="1131"/>
        <v>0</v>
      </c>
      <c r="BP336" s="647">
        <f t="shared" si="1132"/>
        <v>112657.07326415397</v>
      </c>
      <c r="BQ336" s="644">
        <f t="shared" si="1133"/>
        <v>0</v>
      </c>
      <c r="BR336" s="645">
        <f t="shared" si="1134"/>
        <v>0</v>
      </c>
      <c r="BS336" s="646">
        <f t="shared" si="1135"/>
        <v>0</v>
      </c>
      <c r="BT336" s="647">
        <f t="shared" si="1136"/>
        <v>112657.07326415397</v>
      </c>
      <c r="BU336" s="662">
        <f>VLOOKUP(B336,'Afton Update'!$A$5:$AR$582,'Afton Update'!$AO$589,0)-BT336</f>
        <v>0</v>
      </c>
      <c r="BV336" s="644">
        <f t="shared" si="1137"/>
        <v>293471.66676870646</v>
      </c>
      <c r="BW336" s="645">
        <f t="shared" si="1138"/>
        <v>290682.60215250612</v>
      </c>
      <c r="BX336" s="644">
        <f t="shared" si="1139"/>
        <v>0</v>
      </c>
      <c r="BY336" s="645">
        <f t="shared" si="1140"/>
        <v>293471.66676870646</v>
      </c>
      <c r="BZ336" s="646">
        <f t="shared" si="1141"/>
        <v>-2575.8320207879774</v>
      </c>
      <c r="CA336" s="647">
        <f t="shared" si="1142"/>
        <v>290895.83474791847</v>
      </c>
      <c r="CB336" s="644">
        <f t="shared" si="1143"/>
        <v>0</v>
      </c>
      <c r="CC336" s="645">
        <f t="shared" si="1144"/>
        <v>290895.83474791847</v>
      </c>
      <c r="CD336" s="646">
        <f t="shared" si="1145"/>
        <v>-93.178206793497154</v>
      </c>
      <c r="CE336" s="647">
        <f t="shared" si="1146"/>
        <v>290802.65654112498</v>
      </c>
      <c r="CF336" s="644">
        <f t="shared" si="1147"/>
        <v>0</v>
      </c>
      <c r="CG336" s="645">
        <f t="shared" si="1148"/>
        <v>290802.65654112498</v>
      </c>
      <c r="CH336" s="646">
        <f t="shared" si="1149"/>
        <v>0</v>
      </c>
      <c r="CI336" s="647">
        <f t="shared" si="1150"/>
        <v>290802.65654112498</v>
      </c>
      <c r="CJ336" s="644">
        <f t="shared" si="1151"/>
        <v>0</v>
      </c>
      <c r="CK336" s="645">
        <f t="shared" si="1152"/>
        <v>290802.65654112498</v>
      </c>
      <c r="CL336" s="646">
        <f t="shared" si="1153"/>
        <v>0</v>
      </c>
      <c r="CM336" s="647">
        <f t="shared" si="1154"/>
        <v>290802.65654112498</v>
      </c>
      <c r="CN336" s="644">
        <f t="shared" si="1155"/>
        <v>0</v>
      </c>
      <c r="CO336" s="645">
        <f t="shared" si="1156"/>
        <v>290802.65654112498</v>
      </c>
      <c r="CP336" s="646">
        <f t="shared" si="1157"/>
        <v>0</v>
      </c>
      <c r="CQ336" s="647">
        <f t="shared" si="1158"/>
        <v>290802.65654112498</v>
      </c>
      <c r="CS336" s="644">
        <f t="shared" si="1159"/>
        <v>333863.07380606118</v>
      </c>
      <c r="CT336" s="645">
        <f t="shared" si="1160"/>
        <v>330452.16843208997</v>
      </c>
      <c r="CU336" s="644">
        <f t="shared" si="1161"/>
        <v>0</v>
      </c>
      <c r="CV336" s="645">
        <f t="shared" si="1162"/>
        <v>333863.07380606118</v>
      </c>
      <c r="CW336" s="646">
        <f t="shared" si="1163"/>
        <v>-3418.9465491339483</v>
      </c>
      <c r="CX336" s="647">
        <f t="shared" si="1164"/>
        <v>330444.12725692726</v>
      </c>
      <c r="CY336" s="644">
        <f t="shared" si="1165"/>
        <v>-8.0411751627107151</v>
      </c>
      <c r="CZ336" s="645">
        <f t="shared" si="1166"/>
        <v>0</v>
      </c>
      <c r="DA336" s="646">
        <f t="shared" si="1167"/>
        <v>0</v>
      </c>
      <c r="DB336" s="647">
        <f t="shared" si="1168"/>
        <v>330452.16843208997</v>
      </c>
      <c r="DC336" s="644">
        <f t="shared" si="1169"/>
        <v>0</v>
      </c>
      <c r="DD336" s="645">
        <f t="shared" si="1170"/>
        <v>0</v>
      </c>
      <c r="DE336" s="646">
        <f t="shared" si="1171"/>
        <v>0</v>
      </c>
      <c r="DF336" s="647">
        <f t="shared" si="1172"/>
        <v>330452.16843208997</v>
      </c>
      <c r="DG336" s="644">
        <f t="shared" si="1173"/>
        <v>0</v>
      </c>
      <c r="DH336" s="645">
        <f t="shared" si="1174"/>
        <v>0</v>
      </c>
      <c r="DI336" s="646">
        <f t="shared" si="1175"/>
        <v>0</v>
      </c>
      <c r="DJ336" s="647">
        <f t="shared" si="1176"/>
        <v>330452.16843208997</v>
      </c>
      <c r="DK336" s="644">
        <f t="shared" si="1177"/>
        <v>0</v>
      </c>
      <c r="DL336" s="645">
        <f t="shared" si="1178"/>
        <v>0</v>
      </c>
      <c r="DM336" s="646">
        <f t="shared" si="1179"/>
        <v>0</v>
      </c>
      <c r="DN336" s="647">
        <f t="shared" si="1180"/>
        <v>330452.16843208997</v>
      </c>
      <c r="DR336" s="827">
        <f t="shared" si="854"/>
        <v>1174557.4065364969</v>
      </c>
      <c r="DV336" s="828">
        <f>IFERROR(VLOOKUP($B336,'Afton FY16 Final'!$A$5:$BV$587,'Afton FY16 Final'!$BV$587,0),0)</f>
        <v>1211908.0851353514</v>
      </c>
      <c r="DX336" s="636">
        <f t="shared" si="842"/>
        <v>0</v>
      </c>
      <c r="DY336" s="637">
        <f t="shared" si="843"/>
        <v>0</v>
      </c>
      <c r="DZ336" s="637">
        <f t="shared" si="844"/>
        <v>0</v>
      </c>
      <c r="EA336" s="643">
        <f t="shared" si="845"/>
        <v>0</v>
      </c>
      <c r="EB336" s="637">
        <f t="shared" si="855"/>
        <v>0</v>
      </c>
      <c r="EC336" s="637">
        <f t="shared" si="856"/>
        <v>0</v>
      </c>
      <c r="ED336" s="637">
        <f t="shared" si="857"/>
        <v>0</v>
      </c>
      <c r="EE336" s="643">
        <f t="shared" si="858"/>
        <v>0</v>
      </c>
      <c r="EF336" s="637">
        <f t="shared" si="859"/>
        <v>0</v>
      </c>
      <c r="EG336" s="637">
        <f t="shared" si="860"/>
        <v>0</v>
      </c>
      <c r="EH336" s="637">
        <f t="shared" si="861"/>
        <v>0</v>
      </c>
      <c r="EI336" s="643">
        <f t="shared" si="862"/>
        <v>0</v>
      </c>
      <c r="EJ336" s="637">
        <f t="shared" si="863"/>
        <v>0</v>
      </c>
      <c r="EK336" s="637">
        <f t="shared" si="864"/>
        <v>0</v>
      </c>
      <c r="EL336" s="637">
        <f t="shared" si="865"/>
        <v>0</v>
      </c>
      <c r="EM336" s="643">
        <f t="shared" si="866"/>
        <v>0</v>
      </c>
      <c r="EN336" s="637">
        <f t="shared" si="867"/>
        <v>0</v>
      </c>
      <c r="EO336" s="637">
        <f t="shared" si="868"/>
        <v>0</v>
      </c>
      <c r="EP336" s="637">
        <f t="shared" si="869"/>
        <v>0</v>
      </c>
      <c r="EQ336" s="643">
        <f t="shared" si="870"/>
        <v>0</v>
      </c>
      <c r="ER336" s="637">
        <f t="shared" si="871"/>
        <v>0</v>
      </c>
      <c r="ES336" s="637">
        <f t="shared" si="872"/>
        <v>0</v>
      </c>
      <c r="ET336" s="637">
        <f t="shared" si="873"/>
        <v>0</v>
      </c>
      <c r="EU336" s="643">
        <f t="shared" si="846"/>
        <v>0</v>
      </c>
      <c r="EV336" s="643">
        <f t="shared" si="847"/>
        <v>0</v>
      </c>
      <c r="EX336" s="829">
        <f t="shared" si="848"/>
        <v>0</v>
      </c>
      <c r="EY336" s="638">
        <f t="shared" si="849"/>
        <v>1174557.4065364969</v>
      </c>
      <c r="FC336" s="830" t="str">
        <f t="shared" si="874"/>
        <v>Y</v>
      </c>
      <c r="FE336" s="830" t="str">
        <f>IFERROR(VLOOKUP($B336,'Historical Conc Grant Elig'!$B$3:$J$707,'HH &amp; SI'!FE$2,0),"N")</f>
        <v>Y</v>
      </c>
      <c r="FF336" s="830" t="str">
        <f>IFERROR(VLOOKUP($B336,'Historical Conc Grant Elig'!$B$3:$J$707,'HH &amp; SI'!FF$2,0),"N")</f>
        <v>Y</v>
      </c>
      <c r="FG336" s="830" t="str">
        <f>IFERROR(VLOOKUP($B336,'Historical Conc Grant Elig'!$B$3:$J$707,'HH &amp; SI'!FG$2,0),"N")</f>
        <v>Y</v>
      </c>
      <c r="FH336" s="830" t="str">
        <f>IFERROR(VLOOKUP($B336,'Historical Conc Grant Elig'!$B$3:$J$707,'HH &amp; SI'!FH$2,0),"N")</f>
        <v>Y</v>
      </c>
      <c r="FI336" s="830" t="str">
        <f>IFERROR(VLOOKUP($B336,'Historical Conc Grant Elig'!$B$3:$J$707,'HH &amp; SI'!FI$2,0),"N")</f>
        <v>Y</v>
      </c>
      <c r="FJ336" s="830" t="str">
        <f>IFERROR(VLOOKUP($B336,'Historical Conc Grant Elig'!$B$3:$J$707,'HH &amp; SI'!FJ$2,0),"N")</f>
        <v>Y</v>
      </c>
      <c r="FK336" s="830" t="str">
        <f>IFERROR(VLOOKUP($B336,'Historical Conc Grant Elig'!$B$3:$J$707,'HH &amp; SI'!FK$2,0),"N")</f>
        <v>Y</v>
      </c>
      <c r="FL336" s="957" t="str">
        <f>IFERROR(VLOOKUP($B336,'Historical Conc Grant Elig'!$B$3:$J$707,'HH &amp; SI'!FL$2,0),"N")</f>
        <v>Y</v>
      </c>
    </row>
    <row r="337" spans="2:168" x14ac:dyDescent="0.25">
      <c r="B337" s="634">
        <v>90205000</v>
      </c>
      <c r="C337" s="635" t="str">
        <f>VLOOKUP($B337,'Afton Update'!$A$5:$CR$582,'Afton Update'!D$589,0)</f>
        <v>Snowflake Unified District</v>
      </c>
      <c r="D337" s="636">
        <f>IFERROR(VLOOKUP($B337,'Afton FY16 Final'!$A$5:$BV$587,'Afton FY16 Final'!AQ$587,0),0)</f>
        <v>315767.85535176593</v>
      </c>
      <c r="E337" s="637">
        <f>IFERROR(VLOOKUP($B337,'Afton FY16 Final'!$A$5:$BV$587,'Afton FY16 Final'!AR$587,0),0)</f>
        <v>73559.947122879166</v>
      </c>
      <c r="F337" s="637">
        <f>IFERROR(VLOOKUP($B337,'Afton FY16 Final'!$A$5:$BV$587,'Afton FY16 Final'!AS$587,0),0)</f>
        <v>126171.30203946237</v>
      </c>
      <c r="G337" s="637">
        <f>IFERROR(VLOOKUP($B337,'Afton FY16 Final'!$A$5:$BV$587,'Afton FY16 Final'!AT$587,0),0)</f>
        <v>111628.30442341296</v>
      </c>
      <c r="H337" s="638">
        <f>IFERROR(VLOOKUP($B337,'Afton FY16 Final'!$A$5:$BV$587,'Afton FY16 Final'!AU$587,0),0)</f>
        <v>627127.40893752046</v>
      </c>
      <c r="I337" s="639" t="str">
        <f>VLOOKUP($B337,'Afton Update'!$A$5:$CR$582,'Afton Update'!BT$589,0)</f>
        <v>Y</v>
      </c>
      <c r="J337" s="640" t="str">
        <f>VLOOKUP($B337,'Afton Update'!$A$5:$CR$582,'Afton Update'!BU$589,0)</f>
        <v>Y</v>
      </c>
      <c r="K337" s="640" t="str">
        <f>VLOOKUP($B337,'Afton Update'!$A$5:$CR$582,'Afton Update'!BV$589,0)</f>
        <v>Y</v>
      </c>
      <c r="L337" s="641" t="str">
        <f>VLOOKUP($B337,'Afton Update'!$A$5:$CR$582,'Afton Update'!BW$589,0)</f>
        <v>Y</v>
      </c>
      <c r="N337" s="642">
        <f>VLOOKUP($B337,'Afton Update'!$A$5:$CR$582,'Afton Update'!CB$589,0)</f>
        <v>0.9</v>
      </c>
      <c r="P337" s="636">
        <f>VLOOKUP($B337,'Afton Update'!$A$5:$CR$582,'Afton Update'!AH$589,0)</f>
        <v>288525.47187193955</v>
      </c>
      <c r="Q337" s="637">
        <f>VLOOKUP($B337,'Afton Update'!$A$5:$CR$582,'Afton Update'!AI$589,0)</f>
        <v>68362.998299317362</v>
      </c>
      <c r="R337" s="637">
        <f>VLOOKUP($B337,'Afton Update'!$A$5:$CR$582,'Afton Update'!AJ$589,0)</f>
        <v>114643.71046061144</v>
      </c>
      <c r="S337" s="637">
        <f>VLOOKUP($B337,'Afton Update'!$A$5:$CR$582,'Afton Update'!AK$589,0)</f>
        <v>101502.47194276316</v>
      </c>
      <c r="T337" s="643">
        <f t="shared" si="1088"/>
        <v>573034.6525746315</v>
      </c>
      <c r="V337" s="636">
        <f t="shared" si="1089"/>
        <v>284589.79716420645</v>
      </c>
      <c r="W337" s="637">
        <f t="shared" si="1090"/>
        <v>66203.952410591257</v>
      </c>
      <c r="X337" s="637">
        <f t="shared" si="1091"/>
        <v>113601.07067491651</v>
      </c>
      <c r="Y337" s="637">
        <f t="shared" si="1092"/>
        <v>100465.47398107167</v>
      </c>
      <c r="Z337" s="643">
        <f t="shared" si="1093"/>
        <v>564860.29423078592</v>
      </c>
      <c r="AB337" s="644">
        <f t="shared" si="1094"/>
        <v>288525.47187193955</v>
      </c>
      <c r="AC337" s="645">
        <f t="shared" si="1095"/>
        <v>284191.06981658936</v>
      </c>
      <c r="AD337" s="644">
        <f t="shared" si="1096"/>
        <v>0</v>
      </c>
      <c r="AE337" s="645">
        <f t="shared" si="1097"/>
        <v>288525.47187193955</v>
      </c>
      <c r="AF337" s="646">
        <f t="shared" si="1098"/>
        <v>-3576.4900449731308</v>
      </c>
      <c r="AG337" s="647">
        <f t="shared" si="1099"/>
        <v>284948.9818269664</v>
      </c>
      <c r="AH337" s="644">
        <f t="shared" si="1100"/>
        <v>0</v>
      </c>
      <c r="AI337" s="645">
        <f t="shared" si="1101"/>
        <v>284948.9818269664</v>
      </c>
      <c r="AJ337" s="646">
        <f t="shared" si="1102"/>
        <v>-358.95582731450213</v>
      </c>
      <c r="AK337" s="647">
        <f t="shared" si="1103"/>
        <v>284590.02599965187</v>
      </c>
      <c r="AL337" s="644">
        <f t="shared" si="1104"/>
        <v>0</v>
      </c>
      <c r="AM337" s="645">
        <f t="shared" si="1105"/>
        <v>284590.02599965187</v>
      </c>
      <c r="AN337" s="646">
        <f t="shared" si="1106"/>
        <v>-0.22883544543484527</v>
      </c>
      <c r="AO337" s="647">
        <f t="shared" si="1107"/>
        <v>284589.79716420645</v>
      </c>
      <c r="AP337" s="644">
        <f t="shared" si="1108"/>
        <v>0</v>
      </c>
      <c r="AQ337" s="645">
        <f t="shared" si="1109"/>
        <v>284589.79716420645</v>
      </c>
      <c r="AR337" s="646">
        <f t="shared" si="1110"/>
        <v>0</v>
      </c>
      <c r="AS337" s="647">
        <f t="shared" si="1111"/>
        <v>284589.79716420645</v>
      </c>
      <c r="AT337" s="644">
        <f t="shared" si="1112"/>
        <v>0</v>
      </c>
      <c r="AU337" s="645">
        <f t="shared" si="1113"/>
        <v>284589.79716420645</v>
      </c>
      <c r="AV337" s="646">
        <f t="shared" si="1114"/>
        <v>0</v>
      </c>
      <c r="AW337" s="647">
        <f t="shared" si="1115"/>
        <v>284589.79716420645</v>
      </c>
      <c r="AY337" s="644">
        <f t="shared" si="1116"/>
        <v>68362.998299317362</v>
      </c>
      <c r="AZ337" s="645">
        <f t="shared" si="851"/>
        <v>66203.952410591257</v>
      </c>
      <c r="BA337" s="644">
        <f t="shared" si="1117"/>
        <v>0</v>
      </c>
      <c r="BB337" s="645">
        <f t="shared" si="1118"/>
        <v>68362.998299317362</v>
      </c>
      <c r="BC337" s="646">
        <f t="shared" si="1119"/>
        <v>-491.61824382935686</v>
      </c>
      <c r="BD337" s="647">
        <f t="shared" si="1120"/>
        <v>67871.380055488</v>
      </c>
      <c r="BE337" s="644">
        <f t="shared" si="1121"/>
        <v>0</v>
      </c>
      <c r="BF337" s="645">
        <f t="shared" si="1122"/>
        <v>67871.380055488</v>
      </c>
      <c r="BG337" s="646">
        <f t="shared" si="1123"/>
        <v>-1616.6409617373497</v>
      </c>
      <c r="BH337" s="647">
        <f t="shared" si="1124"/>
        <v>66254.739093750657</v>
      </c>
      <c r="BI337" s="644">
        <f t="shared" si="1125"/>
        <v>0</v>
      </c>
      <c r="BJ337" s="645">
        <f t="shared" si="1126"/>
        <v>66254.739093750657</v>
      </c>
      <c r="BK337" s="646">
        <f t="shared" si="1127"/>
        <v>-140.34309878424648</v>
      </c>
      <c r="BL337" s="647">
        <f t="shared" si="1128"/>
        <v>66114.395994966413</v>
      </c>
      <c r="BM337" s="644">
        <f t="shared" si="1129"/>
        <v>-89.556415624843794</v>
      </c>
      <c r="BN337" s="645">
        <f t="shared" si="1130"/>
        <v>0</v>
      </c>
      <c r="BO337" s="646">
        <f t="shared" si="1131"/>
        <v>0</v>
      </c>
      <c r="BP337" s="647">
        <f t="shared" si="1132"/>
        <v>66203.952410591257</v>
      </c>
      <c r="BQ337" s="644">
        <f t="shared" si="1133"/>
        <v>0</v>
      </c>
      <c r="BR337" s="645">
        <f t="shared" si="1134"/>
        <v>0</v>
      </c>
      <c r="BS337" s="646">
        <f t="shared" si="1135"/>
        <v>0</v>
      </c>
      <c r="BT337" s="647">
        <f t="shared" si="1136"/>
        <v>66203.952410591257</v>
      </c>
      <c r="BU337" s="662">
        <f>VLOOKUP(B337,'Afton Update'!$A$5:$AR$582,'Afton Update'!$AO$589,0)-BT337</f>
        <v>0</v>
      </c>
      <c r="BV337" s="644">
        <f t="shared" si="1137"/>
        <v>114643.71046061144</v>
      </c>
      <c r="BW337" s="645">
        <f t="shared" si="1138"/>
        <v>113554.17183551614</v>
      </c>
      <c r="BX337" s="644">
        <f t="shared" si="1139"/>
        <v>0</v>
      </c>
      <c r="BY337" s="645">
        <f t="shared" si="1140"/>
        <v>114643.71046061144</v>
      </c>
      <c r="BZ337" s="646">
        <f t="shared" si="1141"/>
        <v>-1006.2400354959151</v>
      </c>
      <c r="CA337" s="647">
        <f t="shared" si="1142"/>
        <v>113637.47042511553</v>
      </c>
      <c r="CB337" s="644">
        <f t="shared" si="1143"/>
        <v>0</v>
      </c>
      <c r="CC337" s="645">
        <f t="shared" si="1144"/>
        <v>113637.47042511553</v>
      </c>
      <c r="CD337" s="646">
        <f t="shared" si="1145"/>
        <v>-36.399750199025839</v>
      </c>
      <c r="CE337" s="647">
        <f t="shared" si="1146"/>
        <v>113601.07067491651</v>
      </c>
      <c r="CF337" s="644">
        <f t="shared" si="1147"/>
        <v>0</v>
      </c>
      <c r="CG337" s="645">
        <f t="shared" si="1148"/>
        <v>113601.07067491651</v>
      </c>
      <c r="CH337" s="646">
        <f t="shared" si="1149"/>
        <v>0</v>
      </c>
      <c r="CI337" s="647">
        <f t="shared" si="1150"/>
        <v>113601.07067491651</v>
      </c>
      <c r="CJ337" s="644">
        <f t="shared" si="1151"/>
        <v>0</v>
      </c>
      <c r="CK337" s="645">
        <f t="shared" si="1152"/>
        <v>113601.07067491651</v>
      </c>
      <c r="CL337" s="646">
        <f t="shared" si="1153"/>
        <v>0</v>
      </c>
      <c r="CM337" s="647">
        <f t="shared" si="1154"/>
        <v>113601.07067491651</v>
      </c>
      <c r="CN337" s="644">
        <f t="shared" si="1155"/>
        <v>0</v>
      </c>
      <c r="CO337" s="645">
        <f t="shared" si="1156"/>
        <v>113601.07067491651</v>
      </c>
      <c r="CP337" s="646">
        <f t="shared" si="1157"/>
        <v>0</v>
      </c>
      <c r="CQ337" s="647">
        <f t="shared" si="1158"/>
        <v>113601.07067491651</v>
      </c>
      <c r="CS337" s="644">
        <f t="shared" si="1159"/>
        <v>101502.47194276316</v>
      </c>
      <c r="CT337" s="645">
        <f t="shared" si="1160"/>
        <v>100465.47398107167</v>
      </c>
      <c r="CU337" s="644">
        <f t="shared" si="1161"/>
        <v>0</v>
      </c>
      <c r="CV337" s="645">
        <f t="shared" si="1162"/>
        <v>101502.47194276316</v>
      </c>
      <c r="CW337" s="646">
        <f t="shared" si="1163"/>
        <v>-1039.4426739713774</v>
      </c>
      <c r="CX337" s="647">
        <f t="shared" si="1164"/>
        <v>100463.02926879178</v>
      </c>
      <c r="CY337" s="644">
        <f t="shared" si="1165"/>
        <v>-2.4447122798883356</v>
      </c>
      <c r="CZ337" s="645">
        <f t="shared" si="1166"/>
        <v>0</v>
      </c>
      <c r="DA337" s="646">
        <f t="shared" si="1167"/>
        <v>0</v>
      </c>
      <c r="DB337" s="647">
        <f t="shared" si="1168"/>
        <v>100465.47398107167</v>
      </c>
      <c r="DC337" s="644">
        <f t="shared" si="1169"/>
        <v>0</v>
      </c>
      <c r="DD337" s="645">
        <f t="shared" si="1170"/>
        <v>0</v>
      </c>
      <c r="DE337" s="646">
        <f t="shared" si="1171"/>
        <v>0</v>
      </c>
      <c r="DF337" s="647">
        <f t="shared" si="1172"/>
        <v>100465.47398107167</v>
      </c>
      <c r="DG337" s="644">
        <f t="shared" si="1173"/>
        <v>0</v>
      </c>
      <c r="DH337" s="645">
        <f t="shared" si="1174"/>
        <v>0</v>
      </c>
      <c r="DI337" s="646">
        <f t="shared" si="1175"/>
        <v>0</v>
      </c>
      <c r="DJ337" s="647">
        <f t="shared" si="1176"/>
        <v>100465.47398107167</v>
      </c>
      <c r="DK337" s="644">
        <f t="shared" si="1177"/>
        <v>0</v>
      </c>
      <c r="DL337" s="645">
        <f t="shared" si="1178"/>
        <v>0</v>
      </c>
      <c r="DM337" s="646">
        <f t="shared" si="1179"/>
        <v>0</v>
      </c>
      <c r="DN337" s="647">
        <f t="shared" si="1180"/>
        <v>100465.47398107167</v>
      </c>
      <c r="DR337" s="827">
        <f t="shared" si="854"/>
        <v>564860.29423078592</v>
      </c>
      <c r="DV337" s="828">
        <f>IFERROR(VLOOKUP($B337,'Afton FY16 Final'!$A$5:$BV$587,'Afton FY16 Final'!$BV$587,0),0)</f>
        <v>604682.23834263824</v>
      </c>
      <c r="DX337" s="636">
        <f t="shared" si="842"/>
        <v>0</v>
      </c>
      <c r="DY337" s="637">
        <f t="shared" si="843"/>
        <v>0</v>
      </c>
      <c r="DZ337" s="637">
        <f t="shared" si="844"/>
        <v>0</v>
      </c>
      <c r="EA337" s="643">
        <f t="shared" si="845"/>
        <v>0</v>
      </c>
      <c r="EB337" s="637">
        <f t="shared" si="855"/>
        <v>0</v>
      </c>
      <c r="EC337" s="637">
        <f t="shared" si="856"/>
        <v>0</v>
      </c>
      <c r="ED337" s="637">
        <f t="shared" si="857"/>
        <v>0</v>
      </c>
      <c r="EE337" s="643">
        <f t="shared" si="858"/>
        <v>0</v>
      </c>
      <c r="EF337" s="637">
        <f t="shared" si="859"/>
        <v>0</v>
      </c>
      <c r="EG337" s="637">
        <f t="shared" si="860"/>
        <v>0</v>
      </c>
      <c r="EH337" s="637">
        <f t="shared" si="861"/>
        <v>0</v>
      </c>
      <c r="EI337" s="643">
        <f t="shared" si="862"/>
        <v>0</v>
      </c>
      <c r="EJ337" s="637">
        <f t="shared" si="863"/>
        <v>0</v>
      </c>
      <c r="EK337" s="637">
        <f t="shared" si="864"/>
        <v>0</v>
      </c>
      <c r="EL337" s="637">
        <f t="shared" si="865"/>
        <v>0</v>
      </c>
      <c r="EM337" s="643">
        <f t="shared" si="866"/>
        <v>0</v>
      </c>
      <c r="EN337" s="637">
        <f t="shared" si="867"/>
        <v>0</v>
      </c>
      <c r="EO337" s="637">
        <f t="shared" si="868"/>
        <v>0</v>
      </c>
      <c r="EP337" s="637">
        <f t="shared" si="869"/>
        <v>0</v>
      </c>
      <c r="EQ337" s="643">
        <f t="shared" si="870"/>
        <v>0</v>
      </c>
      <c r="ER337" s="637">
        <f t="shared" si="871"/>
        <v>0</v>
      </c>
      <c r="ES337" s="637">
        <f t="shared" si="872"/>
        <v>0</v>
      </c>
      <c r="ET337" s="637">
        <f t="shared" si="873"/>
        <v>0</v>
      </c>
      <c r="EU337" s="643">
        <f t="shared" si="846"/>
        <v>0</v>
      </c>
      <c r="EV337" s="643">
        <f t="shared" si="847"/>
        <v>0</v>
      </c>
      <c r="EX337" s="829">
        <f t="shared" si="848"/>
        <v>0</v>
      </c>
      <c r="EY337" s="638">
        <f t="shared" si="849"/>
        <v>564860.29423078592</v>
      </c>
      <c r="FC337" s="830" t="str">
        <f t="shared" si="874"/>
        <v>Y</v>
      </c>
      <c r="FE337" s="830" t="str">
        <f>IFERROR(VLOOKUP($B337,'Historical Conc Grant Elig'!$B$3:$J$707,'HH &amp; SI'!FE$2,0),"N")</f>
        <v>Y</v>
      </c>
      <c r="FF337" s="830" t="str">
        <f>IFERROR(VLOOKUP($B337,'Historical Conc Grant Elig'!$B$3:$J$707,'HH &amp; SI'!FF$2,0),"N")</f>
        <v>Y</v>
      </c>
      <c r="FG337" s="830" t="str">
        <f>IFERROR(VLOOKUP($B337,'Historical Conc Grant Elig'!$B$3:$J$707,'HH &amp; SI'!FG$2,0),"N")</f>
        <v>Y</v>
      </c>
      <c r="FH337" s="830" t="str">
        <f>IFERROR(VLOOKUP($B337,'Historical Conc Grant Elig'!$B$3:$J$707,'HH &amp; SI'!FH$2,0),"N")</f>
        <v>Y</v>
      </c>
      <c r="FI337" s="830" t="str">
        <f>IFERROR(VLOOKUP($B337,'Historical Conc Grant Elig'!$B$3:$J$707,'HH &amp; SI'!FI$2,0),"N")</f>
        <v>Y</v>
      </c>
      <c r="FJ337" s="830" t="str">
        <f>IFERROR(VLOOKUP($B337,'Historical Conc Grant Elig'!$B$3:$J$707,'HH &amp; SI'!FJ$2,0),"N")</f>
        <v>Y</v>
      </c>
      <c r="FK337" s="830" t="str">
        <f>IFERROR(VLOOKUP($B337,'Historical Conc Grant Elig'!$B$3:$J$707,'HH &amp; SI'!FK$2,0),"N")</f>
        <v>Y</v>
      </c>
      <c r="FL337" s="957" t="str">
        <f>IFERROR(VLOOKUP($B337,'Historical Conc Grant Elig'!$B$3:$J$707,'HH &amp; SI'!FL$2,0),"N")</f>
        <v>Y</v>
      </c>
    </row>
    <row r="338" spans="2:168" x14ac:dyDescent="0.25">
      <c r="B338" s="634">
        <v>90206000</v>
      </c>
      <c r="C338" s="635" t="str">
        <f>VLOOKUP($B338,'Afton Update'!$A$5:$CR$582,'Afton Update'!D$589,0)</f>
        <v>Heber-Overgaard Unified District</v>
      </c>
      <c r="D338" s="636">
        <f>IFERROR(VLOOKUP($B338,'Afton FY16 Final'!$A$5:$BV$587,'Afton FY16 Final'!AQ$587,0),0)</f>
        <v>94775.273796902693</v>
      </c>
      <c r="E338" s="637">
        <f>IFERROR(VLOOKUP($B338,'Afton FY16 Final'!$A$5:$BV$587,'Afton FY16 Final'!AR$587,0),0)</f>
        <v>22078.4478562269</v>
      </c>
      <c r="F338" s="637">
        <f>IFERROR(VLOOKUP($B338,'Afton FY16 Final'!$A$5:$BV$587,'Afton FY16 Final'!AS$587,0),0)</f>
        <v>55717.882947367092</v>
      </c>
      <c r="G338" s="637">
        <f>IFERROR(VLOOKUP($B338,'Afton FY16 Final'!$A$5:$BV$587,'Afton FY16 Final'!AT$587,0),0)</f>
        <v>46457.902133115866</v>
      </c>
      <c r="H338" s="638">
        <f>IFERROR(VLOOKUP($B338,'Afton FY16 Final'!$A$5:$BV$587,'Afton FY16 Final'!AU$587,0),0)</f>
        <v>219029.50673361254</v>
      </c>
      <c r="I338" s="639" t="str">
        <f>VLOOKUP($B338,'Afton Update'!$A$5:$CR$582,'Afton Update'!BT$589,0)</f>
        <v>Y</v>
      </c>
      <c r="J338" s="640" t="str">
        <f>VLOOKUP($B338,'Afton Update'!$A$5:$CR$582,'Afton Update'!BU$589,0)</f>
        <v>Y</v>
      </c>
      <c r="K338" s="640" t="str">
        <f>VLOOKUP($B338,'Afton Update'!$A$5:$CR$582,'Afton Update'!BV$589,0)</f>
        <v>Y</v>
      </c>
      <c r="L338" s="641" t="str">
        <f>VLOOKUP($B338,'Afton Update'!$A$5:$CR$582,'Afton Update'!BW$589,0)</f>
        <v>Y</v>
      </c>
      <c r="N338" s="642">
        <f>VLOOKUP($B338,'Afton Update'!$A$5:$CR$582,'Afton Update'!CB$589,0)</f>
        <v>0.9</v>
      </c>
      <c r="P338" s="636">
        <f>VLOOKUP($B338,'Afton Update'!$A$5:$CR$582,'Afton Update'!AH$589,0)</f>
        <v>86598.68359172011</v>
      </c>
      <c r="Q338" s="637">
        <f>VLOOKUP($B338,'Afton Update'!$A$5:$CR$582,'Afton Update'!AI$589,0)</f>
        <v>20518.623956125128</v>
      </c>
      <c r="R338" s="637">
        <f>VLOOKUP($B338,'Afton Update'!$A$5:$CR$582,'Afton Update'!AJ$589,0)</f>
        <v>50845.332347159419</v>
      </c>
      <c r="S338" s="637">
        <f>VLOOKUP($B338,'Afton Update'!$A$5:$CR$582,'Afton Update'!AK$589,0)</f>
        <v>43551.86584525252</v>
      </c>
      <c r="T338" s="643">
        <f t="shared" si="1088"/>
        <v>201514.50574025718</v>
      </c>
      <c r="V338" s="636">
        <f t="shared" si="1089"/>
        <v>85417.421339470209</v>
      </c>
      <c r="W338" s="637">
        <f t="shared" si="1090"/>
        <v>19870.603070604211</v>
      </c>
      <c r="X338" s="637">
        <f t="shared" si="1091"/>
        <v>50382.913901271415</v>
      </c>
      <c r="Y338" s="637">
        <f t="shared" si="1092"/>
        <v>43072.002681001002</v>
      </c>
      <c r="Z338" s="643">
        <f t="shared" si="1093"/>
        <v>198742.94099234682</v>
      </c>
      <c r="AB338" s="644">
        <f t="shared" si="1094"/>
        <v>86598.68359172011</v>
      </c>
      <c r="AC338" s="645">
        <f t="shared" si="1095"/>
        <v>85297.746417212431</v>
      </c>
      <c r="AD338" s="644">
        <f t="shared" si="1096"/>
        <v>0</v>
      </c>
      <c r="AE338" s="645">
        <f t="shared" si="1097"/>
        <v>86598.68359172011</v>
      </c>
      <c r="AF338" s="646">
        <f t="shared" si="1098"/>
        <v>-1073.4557602977675</v>
      </c>
      <c r="AG338" s="647">
        <f t="shared" si="1099"/>
        <v>85525.227831422337</v>
      </c>
      <c r="AH338" s="644">
        <f t="shared" si="1100"/>
        <v>0</v>
      </c>
      <c r="AI338" s="645">
        <f t="shared" si="1101"/>
        <v>85525.227831422337</v>
      </c>
      <c r="AJ338" s="646">
        <f t="shared" si="1102"/>
        <v>-107.7378087672261</v>
      </c>
      <c r="AK338" s="647">
        <f t="shared" si="1103"/>
        <v>85417.490022655111</v>
      </c>
      <c r="AL338" s="644">
        <f t="shared" si="1104"/>
        <v>0</v>
      </c>
      <c r="AM338" s="645">
        <f t="shared" si="1105"/>
        <v>85417.490022655111</v>
      </c>
      <c r="AN338" s="646">
        <f t="shared" si="1106"/>
        <v>-6.8683184902919414E-2</v>
      </c>
      <c r="AO338" s="647">
        <f t="shared" si="1107"/>
        <v>85417.421339470209</v>
      </c>
      <c r="AP338" s="644">
        <f t="shared" si="1108"/>
        <v>0</v>
      </c>
      <c r="AQ338" s="645">
        <f t="shared" si="1109"/>
        <v>85417.421339470209</v>
      </c>
      <c r="AR338" s="646">
        <f t="shared" si="1110"/>
        <v>0</v>
      </c>
      <c r="AS338" s="647">
        <f t="shared" si="1111"/>
        <v>85417.421339470209</v>
      </c>
      <c r="AT338" s="644">
        <f t="shared" si="1112"/>
        <v>0</v>
      </c>
      <c r="AU338" s="645">
        <f t="shared" si="1113"/>
        <v>85417.421339470209</v>
      </c>
      <c r="AV338" s="646">
        <f t="shared" si="1114"/>
        <v>0</v>
      </c>
      <c r="AW338" s="647">
        <f t="shared" si="1115"/>
        <v>85417.421339470209</v>
      </c>
      <c r="AY338" s="644">
        <f t="shared" si="1116"/>
        <v>20518.623956125128</v>
      </c>
      <c r="AZ338" s="645">
        <f t="shared" si="851"/>
        <v>19870.603070604211</v>
      </c>
      <c r="BA338" s="644">
        <f t="shared" si="1117"/>
        <v>0</v>
      </c>
      <c r="BB338" s="645">
        <f t="shared" si="1118"/>
        <v>20518.623956125128</v>
      </c>
      <c r="BC338" s="646">
        <f t="shared" si="1119"/>
        <v>-147.55540462019104</v>
      </c>
      <c r="BD338" s="647">
        <f t="shared" si="1120"/>
        <v>20371.068551504937</v>
      </c>
      <c r="BE338" s="644">
        <f t="shared" si="1121"/>
        <v>0</v>
      </c>
      <c r="BF338" s="645">
        <f t="shared" si="1122"/>
        <v>20371.068551504937</v>
      </c>
      <c r="BG338" s="646">
        <f t="shared" si="1123"/>
        <v>-485.22225167365696</v>
      </c>
      <c r="BH338" s="647">
        <f t="shared" si="1124"/>
        <v>19885.846299831279</v>
      </c>
      <c r="BI338" s="644">
        <f t="shared" si="1125"/>
        <v>0</v>
      </c>
      <c r="BJ338" s="645">
        <f t="shared" si="1126"/>
        <v>19885.846299831279</v>
      </c>
      <c r="BK338" s="646">
        <f t="shared" si="1127"/>
        <v>-42.122893091715511</v>
      </c>
      <c r="BL338" s="647">
        <f t="shared" si="1128"/>
        <v>19843.723406739562</v>
      </c>
      <c r="BM338" s="644">
        <f t="shared" si="1129"/>
        <v>-26.879663864649046</v>
      </c>
      <c r="BN338" s="645">
        <f t="shared" si="1130"/>
        <v>0</v>
      </c>
      <c r="BO338" s="646">
        <f t="shared" si="1131"/>
        <v>0</v>
      </c>
      <c r="BP338" s="647">
        <f t="shared" si="1132"/>
        <v>19870.603070604211</v>
      </c>
      <c r="BQ338" s="644">
        <f t="shared" si="1133"/>
        <v>0</v>
      </c>
      <c r="BR338" s="645">
        <f t="shared" si="1134"/>
        <v>0</v>
      </c>
      <c r="BS338" s="646">
        <f t="shared" si="1135"/>
        <v>0</v>
      </c>
      <c r="BT338" s="647">
        <f t="shared" si="1136"/>
        <v>19870.603070604211</v>
      </c>
      <c r="BU338" s="662">
        <f>VLOOKUP(B338,'Afton Update'!$A$5:$AR$582,'Afton Update'!$AO$589,0)-BT338</f>
        <v>0</v>
      </c>
      <c r="BV338" s="644">
        <f t="shared" si="1137"/>
        <v>50845.332347159419</v>
      </c>
      <c r="BW338" s="645">
        <f t="shared" si="1138"/>
        <v>50146.094652630381</v>
      </c>
      <c r="BX338" s="644">
        <f t="shared" si="1139"/>
        <v>0</v>
      </c>
      <c r="BY338" s="645">
        <f t="shared" si="1140"/>
        <v>50845.332347159419</v>
      </c>
      <c r="BZ338" s="646">
        <f t="shared" si="1141"/>
        <v>-446.27488782636198</v>
      </c>
      <c r="CA338" s="647">
        <f t="shared" si="1142"/>
        <v>50399.05745933306</v>
      </c>
      <c r="CB338" s="644">
        <f t="shared" si="1143"/>
        <v>0</v>
      </c>
      <c r="CC338" s="645">
        <f t="shared" si="1144"/>
        <v>50399.05745933306</v>
      </c>
      <c r="CD338" s="646">
        <f t="shared" si="1145"/>
        <v>-16.143558061642835</v>
      </c>
      <c r="CE338" s="647">
        <f t="shared" si="1146"/>
        <v>50382.913901271415</v>
      </c>
      <c r="CF338" s="644">
        <f t="shared" si="1147"/>
        <v>0</v>
      </c>
      <c r="CG338" s="645">
        <f t="shared" si="1148"/>
        <v>50382.913901271415</v>
      </c>
      <c r="CH338" s="646">
        <f t="shared" si="1149"/>
        <v>0</v>
      </c>
      <c r="CI338" s="647">
        <f t="shared" si="1150"/>
        <v>50382.913901271415</v>
      </c>
      <c r="CJ338" s="644">
        <f t="shared" si="1151"/>
        <v>0</v>
      </c>
      <c r="CK338" s="645">
        <f t="shared" si="1152"/>
        <v>50382.913901271415</v>
      </c>
      <c r="CL338" s="646">
        <f t="shared" si="1153"/>
        <v>0</v>
      </c>
      <c r="CM338" s="647">
        <f t="shared" si="1154"/>
        <v>50382.913901271415</v>
      </c>
      <c r="CN338" s="644">
        <f t="shared" si="1155"/>
        <v>0</v>
      </c>
      <c r="CO338" s="645">
        <f t="shared" si="1156"/>
        <v>50382.913901271415</v>
      </c>
      <c r="CP338" s="646">
        <f t="shared" si="1157"/>
        <v>0</v>
      </c>
      <c r="CQ338" s="647">
        <f t="shared" si="1158"/>
        <v>50382.913901271415</v>
      </c>
      <c r="CS338" s="644">
        <f t="shared" si="1159"/>
        <v>43551.86584525252</v>
      </c>
      <c r="CT338" s="645">
        <f t="shared" si="1160"/>
        <v>41812.11191980428</v>
      </c>
      <c r="CU338" s="644">
        <f t="shared" si="1161"/>
        <v>0</v>
      </c>
      <c r="CV338" s="645">
        <f t="shared" si="1162"/>
        <v>43551.86584525252</v>
      </c>
      <c r="CW338" s="646">
        <f t="shared" si="1163"/>
        <v>-445.99571837185761</v>
      </c>
      <c r="CX338" s="647">
        <f t="shared" si="1164"/>
        <v>43105.870126880662</v>
      </c>
      <c r="CY338" s="644">
        <f t="shared" si="1165"/>
        <v>0</v>
      </c>
      <c r="CZ338" s="645">
        <f t="shared" si="1166"/>
        <v>43105.870126880662</v>
      </c>
      <c r="DA338" s="646">
        <f t="shared" si="1167"/>
        <v>-33.838264591079962</v>
      </c>
      <c r="DB338" s="647">
        <f t="shared" si="1168"/>
        <v>43072.031862289579</v>
      </c>
      <c r="DC338" s="644">
        <f t="shared" si="1169"/>
        <v>0</v>
      </c>
      <c r="DD338" s="645">
        <f t="shared" si="1170"/>
        <v>43072.031862289579</v>
      </c>
      <c r="DE338" s="646">
        <f t="shared" si="1171"/>
        <v>-2.9181288573733814E-2</v>
      </c>
      <c r="DF338" s="647">
        <f t="shared" si="1172"/>
        <v>43072.002681001002</v>
      </c>
      <c r="DG338" s="644">
        <f t="shared" si="1173"/>
        <v>0</v>
      </c>
      <c r="DH338" s="645">
        <f t="shared" si="1174"/>
        <v>43072.002681001002</v>
      </c>
      <c r="DI338" s="646">
        <f t="shared" si="1175"/>
        <v>0</v>
      </c>
      <c r="DJ338" s="647">
        <f t="shared" si="1176"/>
        <v>43072.002681001002</v>
      </c>
      <c r="DK338" s="644">
        <f t="shared" si="1177"/>
        <v>0</v>
      </c>
      <c r="DL338" s="645">
        <f t="shared" si="1178"/>
        <v>43072.002681001002</v>
      </c>
      <c r="DM338" s="646">
        <f t="shared" si="1179"/>
        <v>0</v>
      </c>
      <c r="DN338" s="647">
        <f t="shared" si="1180"/>
        <v>43072.002681001002</v>
      </c>
      <c r="DR338" s="827">
        <f t="shared" si="854"/>
        <v>198742.94099234682</v>
      </c>
      <c r="DV338" s="828">
        <f>IFERROR(VLOOKUP($B338,'Afton FY16 Final'!$A$5:$BV$587,'Afton FY16 Final'!$BV$587,0),0)</f>
        <v>194461.05004085487</v>
      </c>
      <c r="DX338" s="636">
        <f t="shared" si="842"/>
        <v>198742.94099234682</v>
      </c>
      <c r="DY338" s="637">
        <f t="shared" si="843"/>
        <v>4281.8909514919505</v>
      </c>
      <c r="DZ338" s="637">
        <f t="shared" si="844"/>
        <v>194461.05004085487</v>
      </c>
      <c r="EA338" s="643">
        <f t="shared" si="845"/>
        <v>188172.04392338035</v>
      </c>
      <c r="EB338" s="637">
        <f t="shared" si="855"/>
        <v>194461.05004085487</v>
      </c>
      <c r="EC338" s="637">
        <f t="shared" si="856"/>
        <v>0</v>
      </c>
      <c r="ED338" s="637">
        <f t="shared" si="857"/>
        <v>0</v>
      </c>
      <c r="EE338" s="643">
        <f t="shared" si="858"/>
        <v>194461.05004085487</v>
      </c>
      <c r="EF338" s="637">
        <f t="shared" si="859"/>
        <v>0</v>
      </c>
      <c r="EG338" s="637">
        <f t="shared" si="860"/>
        <v>0</v>
      </c>
      <c r="EH338" s="637">
        <f t="shared" si="861"/>
        <v>0</v>
      </c>
      <c r="EI338" s="643">
        <f t="shared" si="862"/>
        <v>194461.05004085487</v>
      </c>
      <c r="EJ338" s="637">
        <f t="shared" si="863"/>
        <v>0</v>
      </c>
      <c r="EK338" s="637">
        <f t="shared" si="864"/>
        <v>0</v>
      </c>
      <c r="EL338" s="637">
        <f t="shared" si="865"/>
        <v>0</v>
      </c>
      <c r="EM338" s="643">
        <f t="shared" si="866"/>
        <v>194461.05004085487</v>
      </c>
      <c r="EN338" s="637">
        <f t="shared" si="867"/>
        <v>0</v>
      </c>
      <c r="EO338" s="637">
        <f t="shared" si="868"/>
        <v>0</v>
      </c>
      <c r="EP338" s="637">
        <f t="shared" si="869"/>
        <v>0</v>
      </c>
      <c r="EQ338" s="643">
        <f t="shared" si="870"/>
        <v>194461.05004085487</v>
      </c>
      <c r="ER338" s="637">
        <f t="shared" si="871"/>
        <v>0</v>
      </c>
      <c r="ES338" s="637">
        <f t="shared" si="872"/>
        <v>0</v>
      </c>
      <c r="ET338" s="637">
        <f t="shared" si="873"/>
        <v>0</v>
      </c>
      <c r="EU338" s="643">
        <f t="shared" si="846"/>
        <v>194461.05004085487</v>
      </c>
      <c r="EV338" s="643">
        <f t="shared" si="847"/>
        <v>0</v>
      </c>
      <c r="EX338" s="829">
        <f t="shared" si="848"/>
        <v>4281.8909514919505</v>
      </c>
      <c r="EY338" s="638">
        <f t="shared" si="849"/>
        <v>194461.05004085487</v>
      </c>
      <c r="FC338" s="830" t="str">
        <f t="shared" si="874"/>
        <v>Y</v>
      </c>
      <c r="FE338" s="830" t="str">
        <f>IFERROR(VLOOKUP($B338,'Historical Conc Grant Elig'!$B$3:$J$707,'HH &amp; SI'!FE$2,0),"N")</f>
        <v>Y</v>
      </c>
      <c r="FF338" s="830" t="str">
        <f>IFERROR(VLOOKUP($B338,'Historical Conc Grant Elig'!$B$3:$J$707,'HH &amp; SI'!FF$2,0),"N")</f>
        <v>Y</v>
      </c>
      <c r="FG338" s="830" t="str">
        <f>IFERROR(VLOOKUP($B338,'Historical Conc Grant Elig'!$B$3:$J$707,'HH &amp; SI'!FG$2,0),"N")</f>
        <v>Y</v>
      </c>
      <c r="FH338" s="830" t="str">
        <f>IFERROR(VLOOKUP($B338,'Historical Conc Grant Elig'!$B$3:$J$707,'HH &amp; SI'!FH$2,0),"N")</f>
        <v>Y</v>
      </c>
      <c r="FI338" s="830" t="str">
        <f>IFERROR(VLOOKUP($B338,'Historical Conc Grant Elig'!$B$3:$J$707,'HH &amp; SI'!FI$2,0),"N")</f>
        <v>Y</v>
      </c>
      <c r="FJ338" s="830" t="str">
        <f>IFERROR(VLOOKUP($B338,'Historical Conc Grant Elig'!$B$3:$J$707,'HH &amp; SI'!FJ$2,0),"N")</f>
        <v>Y</v>
      </c>
      <c r="FK338" s="830" t="str">
        <f>IFERROR(VLOOKUP($B338,'Historical Conc Grant Elig'!$B$3:$J$707,'HH &amp; SI'!FK$2,0),"N")</f>
        <v>Y</v>
      </c>
      <c r="FL338" s="957" t="str">
        <f>IFERROR(VLOOKUP($B338,'Historical Conc Grant Elig'!$B$3:$J$707,'HH &amp; SI'!FL$2,0),"N")</f>
        <v>Y</v>
      </c>
    </row>
    <row r="339" spans="2:168" x14ac:dyDescent="0.25">
      <c r="B339" s="634">
        <v>90210000</v>
      </c>
      <c r="C339" s="635" t="str">
        <f>VLOOKUP($B339,'Afton Update'!$A$5:$CR$582,'Afton Update'!D$589,0)</f>
        <v>Show Low Unified District</v>
      </c>
      <c r="D339" s="636">
        <f>IFERROR(VLOOKUP($B339,'Afton FY16 Final'!$A$5:$BV$587,'Afton FY16 Final'!AQ$587,0),0)</f>
        <v>479266.43194926635</v>
      </c>
      <c r="E339" s="637">
        <f>IFERROR(VLOOKUP($B339,'Afton FY16 Final'!$A$5:$BV$587,'Afton FY16 Final'!AR$587,0),0)</f>
        <v>111647.88560471131</v>
      </c>
      <c r="F339" s="637">
        <f>IFERROR(VLOOKUP($B339,'Afton FY16 Final'!$A$5:$BV$587,'Afton FY16 Final'!AS$587,0),0)</f>
        <v>259287.70002595356</v>
      </c>
      <c r="G339" s="637">
        <f>IFERROR(VLOOKUP($B339,'Afton FY16 Final'!$A$5:$BV$587,'Afton FY16 Final'!AT$587,0),0)</f>
        <v>207579.34398292957</v>
      </c>
      <c r="H339" s="638">
        <f>IFERROR(VLOOKUP($B339,'Afton FY16 Final'!$A$5:$BV$587,'Afton FY16 Final'!AU$587,0),0)</f>
        <v>1057781.3615628609</v>
      </c>
      <c r="I339" s="639" t="str">
        <f>VLOOKUP($B339,'Afton Update'!$A$5:$CR$582,'Afton Update'!BT$589,0)</f>
        <v>Y</v>
      </c>
      <c r="J339" s="640" t="str">
        <f>VLOOKUP($B339,'Afton Update'!$A$5:$CR$582,'Afton Update'!BU$589,0)</f>
        <v>Y</v>
      </c>
      <c r="K339" s="640" t="str">
        <f>VLOOKUP($B339,'Afton Update'!$A$5:$CR$582,'Afton Update'!BV$589,0)</f>
        <v>Y</v>
      </c>
      <c r="L339" s="641" t="str">
        <f>VLOOKUP($B339,'Afton Update'!$A$5:$CR$582,'Afton Update'!BW$589,0)</f>
        <v>Y</v>
      </c>
      <c r="N339" s="642">
        <f>VLOOKUP($B339,'Afton Update'!$A$5:$CR$582,'Afton Update'!CB$589,0)</f>
        <v>0.9</v>
      </c>
      <c r="P339" s="636">
        <f>VLOOKUP($B339,'Afton Update'!$A$5:$CR$582,'Afton Update'!AH$589,0)</f>
        <v>437918.46157519135</v>
      </c>
      <c r="Q339" s="637">
        <f>VLOOKUP($B339,'Afton Update'!$A$5:$CR$582,'Afton Update'!AI$589,0)</f>
        <v>103760.05574021566</v>
      </c>
      <c r="R339" s="637">
        <f>VLOOKUP($B339,'Afton Update'!$A$5:$CR$582,'Afton Update'!AJ$589,0)</f>
        <v>236612.88950629739</v>
      </c>
      <c r="S339" s="637">
        <f>VLOOKUP($B339,'Afton Update'!$A$5:$CR$582,'Afton Update'!AK$589,0)</f>
        <v>194594.83373757201</v>
      </c>
      <c r="T339" s="643">
        <f t="shared" si="1088"/>
        <v>972886.24055927643</v>
      </c>
      <c r="V339" s="636">
        <f t="shared" si="1089"/>
        <v>431944.96952234471</v>
      </c>
      <c r="W339" s="637">
        <f t="shared" si="1090"/>
        <v>100483.09704424017</v>
      </c>
      <c r="X339" s="637">
        <f t="shared" si="1091"/>
        <v>234460.98765824732</v>
      </c>
      <c r="Y339" s="637">
        <f t="shared" si="1092"/>
        <v>192450.74895837795</v>
      </c>
      <c r="Z339" s="643">
        <f t="shared" si="1093"/>
        <v>959339.8031832102</v>
      </c>
      <c r="AB339" s="644">
        <f t="shared" si="1094"/>
        <v>437918.46157519135</v>
      </c>
      <c r="AC339" s="645">
        <f t="shared" si="1095"/>
        <v>431339.78875433974</v>
      </c>
      <c r="AD339" s="644">
        <f t="shared" si="1096"/>
        <v>0</v>
      </c>
      <c r="AE339" s="645">
        <f t="shared" si="1097"/>
        <v>437918.46157519135</v>
      </c>
      <c r="AF339" s="646">
        <f t="shared" si="1098"/>
        <v>-5428.3284181882382</v>
      </c>
      <c r="AG339" s="647">
        <f t="shared" si="1099"/>
        <v>432490.13315700309</v>
      </c>
      <c r="AH339" s="644">
        <f t="shared" si="1100"/>
        <v>0</v>
      </c>
      <c r="AI339" s="645">
        <f t="shared" si="1101"/>
        <v>432490.13315700309</v>
      </c>
      <c r="AJ339" s="646">
        <f t="shared" si="1102"/>
        <v>-544.81631258118614</v>
      </c>
      <c r="AK339" s="647">
        <f t="shared" si="1103"/>
        <v>431945.3168444219</v>
      </c>
      <c r="AL339" s="644">
        <f t="shared" si="1104"/>
        <v>0</v>
      </c>
      <c r="AM339" s="645">
        <f t="shared" si="1105"/>
        <v>431945.3168444219</v>
      </c>
      <c r="AN339" s="646">
        <f t="shared" si="1106"/>
        <v>-0.34732207721049774</v>
      </c>
      <c r="AO339" s="647">
        <f t="shared" si="1107"/>
        <v>431944.96952234471</v>
      </c>
      <c r="AP339" s="644">
        <f t="shared" si="1108"/>
        <v>0</v>
      </c>
      <c r="AQ339" s="645">
        <f t="shared" si="1109"/>
        <v>431944.96952234471</v>
      </c>
      <c r="AR339" s="646">
        <f t="shared" si="1110"/>
        <v>0</v>
      </c>
      <c r="AS339" s="647">
        <f t="shared" si="1111"/>
        <v>431944.96952234471</v>
      </c>
      <c r="AT339" s="644">
        <f t="shared" si="1112"/>
        <v>0</v>
      </c>
      <c r="AU339" s="645">
        <f t="shared" si="1113"/>
        <v>431944.96952234471</v>
      </c>
      <c r="AV339" s="646">
        <f t="shared" si="1114"/>
        <v>0</v>
      </c>
      <c r="AW339" s="647">
        <f t="shared" si="1115"/>
        <v>431944.96952234471</v>
      </c>
      <c r="AY339" s="644">
        <f t="shared" si="1116"/>
        <v>103760.05574021566</v>
      </c>
      <c r="AZ339" s="645">
        <f t="shared" si="851"/>
        <v>100483.09704424017</v>
      </c>
      <c r="BA339" s="644">
        <f t="shared" si="1117"/>
        <v>0</v>
      </c>
      <c r="BB339" s="645">
        <f t="shared" si="1118"/>
        <v>103760.05574021566</v>
      </c>
      <c r="BC339" s="646">
        <f t="shared" si="1119"/>
        <v>-746.1687996670322</v>
      </c>
      <c r="BD339" s="647">
        <f t="shared" si="1120"/>
        <v>103013.88694054862</v>
      </c>
      <c r="BE339" s="644">
        <f t="shared" si="1121"/>
        <v>0</v>
      </c>
      <c r="BF339" s="645">
        <f t="shared" si="1122"/>
        <v>103013.88694054862</v>
      </c>
      <c r="BG339" s="646">
        <f t="shared" si="1123"/>
        <v>-2453.7068366625203</v>
      </c>
      <c r="BH339" s="647">
        <f t="shared" si="1124"/>
        <v>100560.1801038861</v>
      </c>
      <c r="BI339" s="644">
        <f t="shared" si="1125"/>
        <v>0</v>
      </c>
      <c r="BJ339" s="645">
        <f t="shared" si="1126"/>
        <v>100560.1801038861</v>
      </c>
      <c r="BK339" s="646">
        <f t="shared" si="1127"/>
        <v>-213.01008023156606</v>
      </c>
      <c r="BL339" s="647">
        <f t="shared" si="1128"/>
        <v>100347.17002365453</v>
      </c>
      <c r="BM339" s="644">
        <f t="shared" si="1129"/>
        <v>-135.92702058564464</v>
      </c>
      <c r="BN339" s="645">
        <f t="shared" si="1130"/>
        <v>0</v>
      </c>
      <c r="BO339" s="646">
        <f t="shared" si="1131"/>
        <v>0</v>
      </c>
      <c r="BP339" s="647">
        <f t="shared" si="1132"/>
        <v>100483.09704424017</v>
      </c>
      <c r="BQ339" s="644">
        <f t="shared" si="1133"/>
        <v>0</v>
      </c>
      <c r="BR339" s="645">
        <f t="shared" si="1134"/>
        <v>0</v>
      </c>
      <c r="BS339" s="646">
        <f t="shared" si="1135"/>
        <v>0</v>
      </c>
      <c r="BT339" s="647">
        <f t="shared" si="1136"/>
        <v>100483.09704424017</v>
      </c>
      <c r="BU339" s="662">
        <f>VLOOKUP(B339,'Afton Update'!$A$5:$AR$582,'Afton Update'!$AO$589,0)-BT339</f>
        <v>0</v>
      </c>
      <c r="BV339" s="644">
        <f t="shared" si="1137"/>
        <v>236612.88950629739</v>
      </c>
      <c r="BW339" s="645">
        <f t="shared" si="1138"/>
        <v>233358.9300233582</v>
      </c>
      <c r="BX339" s="644">
        <f t="shared" si="1139"/>
        <v>0</v>
      </c>
      <c r="BY339" s="645">
        <f t="shared" si="1140"/>
        <v>236612.88950629739</v>
      </c>
      <c r="BZ339" s="646">
        <f t="shared" si="1141"/>
        <v>-2076.7764875981484</v>
      </c>
      <c r="CA339" s="647">
        <f t="shared" si="1142"/>
        <v>234536.11301869925</v>
      </c>
      <c r="CB339" s="644">
        <f t="shared" si="1143"/>
        <v>0</v>
      </c>
      <c r="CC339" s="645">
        <f t="shared" si="1144"/>
        <v>234536.11301869925</v>
      </c>
      <c r="CD339" s="646">
        <f t="shared" si="1145"/>
        <v>-75.125360451919477</v>
      </c>
      <c r="CE339" s="647">
        <f t="shared" si="1146"/>
        <v>234460.98765824732</v>
      </c>
      <c r="CF339" s="644">
        <f t="shared" si="1147"/>
        <v>0</v>
      </c>
      <c r="CG339" s="645">
        <f t="shared" si="1148"/>
        <v>234460.98765824732</v>
      </c>
      <c r="CH339" s="646">
        <f t="shared" si="1149"/>
        <v>0</v>
      </c>
      <c r="CI339" s="647">
        <f t="shared" si="1150"/>
        <v>234460.98765824732</v>
      </c>
      <c r="CJ339" s="644">
        <f t="shared" si="1151"/>
        <v>0</v>
      </c>
      <c r="CK339" s="645">
        <f t="shared" si="1152"/>
        <v>234460.98765824732</v>
      </c>
      <c r="CL339" s="646">
        <f t="shared" si="1153"/>
        <v>0</v>
      </c>
      <c r="CM339" s="647">
        <f t="shared" si="1154"/>
        <v>234460.98765824732</v>
      </c>
      <c r="CN339" s="644">
        <f t="shared" si="1155"/>
        <v>0</v>
      </c>
      <c r="CO339" s="645">
        <f t="shared" si="1156"/>
        <v>234460.98765824732</v>
      </c>
      <c r="CP339" s="646">
        <f t="shared" si="1157"/>
        <v>0</v>
      </c>
      <c r="CQ339" s="647">
        <f t="shared" si="1158"/>
        <v>234460.98765824732</v>
      </c>
      <c r="CS339" s="644">
        <f t="shared" si="1159"/>
        <v>194594.83373757201</v>
      </c>
      <c r="CT339" s="645">
        <f t="shared" si="1160"/>
        <v>186821.40958463663</v>
      </c>
      <c r="CU339" s="644">
        <f t="shared" si="1161"/>
        <v>0</v>
      </c>
      <c r="CV339" s="645">
        <f t="shared" si="1162"/>
        <v>194594.83373757201</v>
      </c>
      <c r="CW339" s="646">
        <f t="shared" si="1163"/>
        <v>-1992.7610672896399</v>
      </c>
      <c r="CX339" s="647">
        <f t="shared" si="1164"/>
        <v>192602.07267028239</v>
      </c>
      <c r="CY339" s="644">
        <f t="shared" si="1165"/>
        <v>0</v>
      </c>
      <c r="CZ339" s="645">
        <f t="shared" si="1166"/>
        <v>192602.07267028239</v>
      </c>
      <c r="DA339" s="646">
        <f t="shared" si="1167"/>
        <v>-151.19332649181928</v>
      </c>
      <c r="DB339" s="647">
        <f t="shared" si="1168"/>
        <v>192450.87934379056</v>
      </c>
      <c r="DC339" s="644">
        <f t="shared" si="1169"/>
        <v>0</v>
      </c>
      <c r="DD339" s="645">
        <f t="shared" si="1170"/>
        <v>192450.87934379056</v>
      </c>
      <c r="DE339" s="646">
        <f t="shared" si="1171"/>
        <v>-0.13038541261195685</v>
      </c>
      <c r="DF339" s="647">
        <f t="shared" si="1172"/>
        <v>192450.74895837795</v>
      </c>
      <c r="DG339" s="644">
        <f t="shared" si="1173"/>
        <v>0</v>
      </c>
      <c r="DH339" s="645">
        <f t="shared" si="1174"/>
        <v>192450.74895837795</v>
      </c>
      <c r="DI339" s="646">
        <f t="shared" si="1175"/>
        <v>0</v>
      </c>
      <c r="DJ339" s="647">
        <f t="shared" si="1176"/>
        <v>192450.74895837795</v>
      </c>
      <c r="DK339" s="644">
        <f t="shared" si="1177"/>
        <v>0</v>
      </c>
      <c r="DL339" s="645">
        <f t="shared" si="1178"/>
        <v>192450.74895837795</v>
      </c>
      <c r="DM339" s="646">
        <f t="shared" si="1179"/>
        <v>0</v>
      </c>
      <c r="DN339" s="647">
        <f t="shared" si="1180"/>
        <v>192450.74895837795</v>
      </c>
      <c r="DR339" s="827">
        <f t="shared" si="854"/>
        <v>959339.8031832102</v>
      </c>
      <c r="DV339" s="828">
        <f>IFERROR(VLOOKUP($B339,'Afton FY16 Final'!$A$5:$BV$587,'Afton FY16 Final'!$BV$587,0),0)</f>
        <v>939130.42745118204</v>
      </c>
      <c r="DX339" s="636">
        <f t="shared" si="842"/>
        <v>959339.8031832102</v>
      </c>
      <c r="DY339" s="637">
        <f t="shared" si="843"/>
        <v>20209.375732028158</v>
      </c>
      <c r="DZ339" s="637">
        <f t="shared" si="844"/>
        <v>939130.42745118204</v>
      </c>
      <c r="EA339" s="643">
        <f t="shared" si="845"/>
        <v>908313.67735968821</v>
      </c>
      <c r="EB339" s="637">
        <f t="shared" si="855"/>
        <v>939130.42745118204</v>
      </c>
      <c r="EC339" s="637">
        <f t="shared" si="856"/>
        <v>0</v>
      </c>
      <c r="ED339" s="637">
        <f t="shared" si="857"/>
        <v>0</v>
      </c>
      <c r="EE339" s="643">
        <f t="shared" si="858"/>
        <v>939130.42745118204</v>
      </c>
      <c r="EF339" s="637">
        <f t="shared" si="859"/>
        <v>0</v>
      </c>
      <c r="EG339" s="637">
        <f t="shared" si="860"/>
        <v>0</v>
      </c>
      <c r="EH339" s="637">
        <f t="shared" si="861"/>
        <v>0</v>
      </c>
      <c r="EI339" s="643">
        <f t="shared" si="862"/>
        <v>939130.42745118204</v>
      </c>
      <c r="EJ339" s="637">
        <f t="shared" si="863"/>
        <v>0</v>
      </c>
      <c r="EK339" s="637">
        <f t="shared" si="864"/>
        <v>0</v>
      </c>
      <c r="EL339" s="637">
        <f t="shared" si="865"/>
        <v>0</v>
      </c>
      <c r="EM339" s="643">
        <f t="shared" si="866"/>
        <v>939130.42745118204</v>
      </c>
      <c r="EN339" s="637">
        <f t="shared" si="867"/>
        <v>0</v>
      </c>
      <c r="EO339" s="637">
        <f t="shared" si="868"/>
        <v>0</v>
      </c>
      <c r="EP339" s="637">
        <f t="shared" si="869"/>
        <v>0</v>
      </c>
      <c r="EQ339" s="643">
        <f t="shared" si="870"/>
        <v>939130.42745118204</v>
      </c>
      <c r="ER339" s="637">
        <f t="shared" si="871"/>
        <v>0</v>
      </c>
      <c r="ES339" s="637">
        <f t="shared" si="872"/>
        <v>0</v>
      </c>
      <c r="ET339" s="637">
        <f t="shared" si="873"/>
        <v>0</v>
      </c>
      <c r="EU339" s="643">
        <f t="shared" si="846"/>
        <v>939130.42745118204</v>
      </c>
      <c r="EV339" s="643">
        <f t="shared" si="847"/>
        <v>0</v>
      </c>
      <c r="EX339" s="829">
        <f t="shared" si="848"/>
        <v>20209.375732028158</v>
      </c>
      <c r="EY339" s="638">
        <f t="shared" si="849"/>
        <v>939130.42745118204</v>
      </c>
      <c r="FC339" s="830" t="str">
        <f t="shared" si="874"/>
        <v>Y</v>
      </c>
      <c r="FE339" s="830" t="str">
        <f>IFERROR(VLOOKUP($B339,'Historical Conc Grant Elig'!$B$3:$J$707,'HH &amp; SI'!FE$2,0),"N")</f>
        <v>Y</v>
      </c>
      <c r="FF339" s="830" t="str">
        <f>IFERROR(VLOOKUP($B339,'Historical Conc Grant Elig'!$B$3:$J$707,'HH &amp; SI'!FF$2,0),"N")</f>
        <v>Y</v>
      </c>
      <c r="FG339" s="830" t="str">
        <f>IFERROR(VLOOKUP($B339,'Historical Conc Grant Elig'!$B$3:$J$707,'HH &amp; SI'!FG$2,0),"N")</f>
        <v>Y</v>
      </c>
      <c r="FH339" s="830" t="str">
        <f>IFERROR(VLOOKUP($B339,'Historical Conc Grant Elig'!$B$3:$J$707,'HH &amp; SI'!FH$2,0),"N")</f>
        <v>Y</v>
      </c>
      <c r="FI339" s="830" t="str">
        <f>IFERROR(VLOOKUP($B339,'Historical Conc Grant Elig'!$B$3:$J$707,'HH &amp; SI'!FI$2,0),"N")</f>
        <v>Y</v>
      </c>
      <c r="FJ339" s="830" t="str">
        <f>IFERROR(VLOOKUP($B339,'Historical Conc Grant Elig'!$B$3:$J$707,'HH &amp; SI'!FJ$2,0),"N")</f>
        <v>Y</v>
      </c>
      <c r="FK339" s="830" t="str">
        <f>IFERROR(VLOOKUP($B339,'Historical Conc Grant Elig'!$B$3:$J$707,'HH &amp; SI'!FK$2,0),"N")</f>
        <v>Y</v>
      </c>
      <c r="FL339" s="957" t="str">
        <f>IFERROR(VLOOKUP($B339,'Historical Conc Grant Elig'!$B$3:$J$707,'HH &amp; SI'!FL$2,0),"N")</f>
        <v>Y</v>
      </c>
    </row>
    <row r="340" spans="2:168" x14ac:dyDescent="0.25">
      <c r="B340" s="634">
        <v>90220000</v>
      </c>
      <c r="C340" s="635" t="str">
        <f>VLOOKUP($B340,'Afton Update'!$A$5:$CR$582,'Afton Update'!D$589,0)</f>
        <v>Whiteriver Unified District</v>
      </c>
      <c r="D340" s="636">
        <f>IFERROR(VLOOKUP($B340,'Afton FY16 Final'!$A$5:$BV$587,'Afton FY16 Final'!AQ$587,0),0)</f>
        <v>694918.09369010106</v>
      </c>
      <c r="E340" s="637">
        <f>IFERROR(VLOOKUP($B340,'Afton FY16 Final'!$A$5:$BV$587,'Afton FY16 Final'!AR$587,0),0)</f>
        <v>177665.35030759289</v>
      </c>
      <c r="F340" s="637">
        <f>IFERROR(VLOOKUP($B340,'Afton FY16 Final'!$A$5:$BV$587,'Afton FY16 Final'!AS$587,0),0)</f>
        <v>471669.0322983666</v>
      </c>
      <c r="G340" s="637">
        <f>IFERROR(VLOOKUP($B340,'Afton FY16 Final'!$A$5:$BV$587,'Afton FY16 Final'!AT$587,0),0)</f>
        <v>541949.39537095954</v>
      </c>
      <c r="H340" s="638">
        <f>IFERROR(VLOOKUP($B340,'Afton FY16 Final'!$A$5:$BV$587,'Afton FY16 Final'!AU$587,0),0)</f>
        <v>1886201.87166702</v>
      </c>
      <c r="I340" s="639" t="str">
        <f>VLOOKUP($B340,'Afton Update'!$A$5:$CR$582,'Afton Update'!BT$589,0)</f>
        <v>Y</v>
      </c>
      <c r="J340" s="640" t="str">
        <f>VLOOKUP($B340,'Afton Update'!$A$5:$CR$582,'Afton Update'!BU$589,0)</f>
        <v>Y</v>
      </c>
      <c r="K340" s="640" t="str">
        <f>VLOOKUP($B340,'Afton Update'!$A$5:$CR$582,'Afton Update'!BV$589,0)</f>
        <v>Y</v>
      </c>
      <c r="L340" s="641" t="str">
        <f>VLOOKUP($B340,'Afton Update'!$A$5:$CR$582,'Afton Update'!BW$589,0)</f>
        <v>Y</v>
      </c>
      <c r="N340" s="642">
        <f>VLOOKUP($B340,'Afton Update'!$A$5:$CR$582,'Afton Update'!CB$589,0)</f>
        <v>0.95</v>
      </c>
      <c r="P340" s="636">
        <f>VLOOKUP($B340,'Afton Update'!$A$5:$CR$582,'Afton Update'!AH$589,0)</f>
        <v>667413.1550879284</v>
      </c>
      <c r="Q340" s="637">
        <f>VLOOKUP($B340,'Afton Update'!$A$5:$CR$582,'Afton Update'!AI$589,0)</f>
        <v>172167.17899038419</v>
      </c>
      <c r="R340" s="637">
        <f>VLOOKUP($B340,'Afton Update'!$A$5:$CR$582,'Afton Update'!AJ$589,0)</f>
        <v>452384.90795263962</v>
      </c>
      <c r="S340" s="637">
        <f>VLOOKUP($B340,'Afton Update'!$A$5:$CR$582,'Afton Update'!AK$589,0)</f>
        <v>520166.19304441096</v>
      </c>
      <c r="T340" s="643">
        <f t="shared" si="1088"/>
        <v>1812131.4350753631</v>
      </c>
      <c r="V340" s="636">
        <f t="shared" si="1089"/>
        <v>660172.18900559598</v>
      </c>
      <c r="W340" s="637">
        <f t="shared" si="1090"/>
        <v>168782.08279221324</v>
      </c>
      <c r="X340" s="637">
        <f t="shared" si="1091"/>
        <v>448270.64384181931</v>
      </c>
      <c r="Y340" s="637">
        <f t="shared" si="1092"/>
        <v>514851.92560241156</v>
      </c>
      <c r="Z340" s="643">
        <f t="shared" si="1093"/>
        <v>1792076.8412420403</v>
      </c>
      <c r="AB340" s="644">
        <f t="shared" si="1094"/>
        <v>667413.1550879284</v>
      </c>
      <c r="AC340" s="645">
        <f t="shared" si="1095"/>
        <v>660172.18900559598</v>
      </c>
      <c r="AD340" s="644">
        <f t="shared" si="1096"/>
        <v>0</v>
      </c>
      <c r="AE340" s="645">
        <f t="shared" si="1097"/>
        <v>667413.1550879284</v>
      </c>
      <c r="AF340" s="646">
        <f t="shared" si="1098"/>
        <v>-8273.0876049499693</v>
      </c>
      <c r="AG340" s="647">
        <f t="shared" si="1099"/>
        <v>659140.06748297845</v>
      </c>
      <c r="AH340" s="644">
        <f t="shared" si="1100"/>
        <v>-1032.1215226175264</v>
      </c>
      <c r="AI340" s="645">
        <f t="shared" si="1101"/>
        <v>0</v>
      </c>
      <c r="AJ340" s="646">
        <f t="shared" si="1102"/>
        <v>0</v>
      </c>
      <c r="AK340" s="647">
        <f t="shared" si="1103"/>
        <v>660172.18900559598</v>
      </c>
      <c r="AL340" s="644">
        <f t="shared" si="1104"/>
        <v>0</v>
      </c>
      <c r="AM340" s="645">
        <f t="shared" si="1105"/>
        <v>0</v>
      </c>
      <c r="AN340" s="646">
        <f t="shared" si="1106"/>
        <v>0</v>
      </c>
      <c r="AO340" s="647">
        <f t="shared" si="1107"/>
        <v>660172.18900559598</v>
      </c>
      <c r="AP340" s="644">
        <f t="shared" si="1108"/>
        <v>0</v>
      </c>
      <c r="AQ340" s="645">
        <f t="shared" si="1109"/>
        <v>0</v>
      </c>
      <c r="AR340" s="646">
        <f t="shared" si="1110"/>
        <v>0</v>
      </c>
      <c r="AS340" s="647">
        <f t="shared" si="1111"/>
        <v>660172.18900559598</v>
      </c>
      <c r="AT340" s="644">
        <f t="shared" si="1112"/>
        <v>0</v>
      </c>
      <c r="AU340" s="645">
        <f t="shared" si="1113"/>
        <v>0</v>
      </c>
      <c r="AV340" s="646">
        <f t="shared" si="1114"/>
        <v>0</v>
      </c>
      <c r="AW340" s="647">
        <f t="shared" si="1115"/>
        <v>660172.18900559598</v>
      </c>
      <c r="AY340" s="644">
        <f t="shared" si="1116"/>
        <v>172167.17899038419</v>
      </c>
      <c r="AZ340" s="645">
        <f t="shared" si="851"/>
        <v>168782.08279221324</v>
      </c>
      <c r="BA340" s="644">
        <f t="shared" si="1117"/>
        <v>0</v>
      </c>
      <c r="BB340" s="645">
        <f t="shared" si="1118"/>
        <v>172167.17899038419</v>
      </c>
      <c r="BC340" s="646">
        <f t="shared" si="1119"/>
        <v>-1238.1043588773136</v>
      </c>
      <c r="BD340" s="647">
        <f t="shared" si="1120"/>
        <v>170929.07463150687</v>
      </c>
      <c r="BE340" s="644">
        <f t="shared" si="1121"/>
        <v>0</v>
      </c>
      <c r="BF340" s="645">
        <f t="shared" si="1122"/>
        <v>170929.07463150687</v>
      </c>
      <c r="BG340" s="646">
        <f t="shared" si="1123"/>
        <v>-4071.3912605761238</v>
      </c>
      <c r="BH340" s="647">
        <f t="shared" si="1124"/>
        <v>166857.68337093075</v>
      </c>
      <c r="BI340" s="644">
        <f t="shared" si="1125"/>
        <v>-1924.3994212824909</v>
      </c>
      <c r="BJ340" s="645">
        <f t="shared" si="1126"/>
        <v>0</v>
      </c>
      <c r="BK340" s="646">
        <f t="shared" si="1127"/>
        <v>0</v>
      </c>
      <c r="BL340" s="647">
        <f t="shared" si="1128"/>
        <v>168782.08279221324</v>
      </c>
      <c r="BM340" s="644">
        <f t="shared" si="1129"/>
        <v>0</v>
      </c>
      <c r="BN340" s="645">
        <f t="shared" si="1130"/>
        <v>0</v>
      </c>
      <c r="BO340" s="646">
        <f t="shared" si="1131"/>
        <v>0</v>
      </c>
      <c r="BP340" s="647">
        <f t="shared" si="1132"/>
        <v>168782.08279221324</v>
      </c>
      <c r="BQ340" s="644">
        <f t="shared" si="1133"/>
        <v>0</v>
      </c>
      <c r="BR340" s="645">
        <f t="shared" si="1134"/>
        <v>0</v>
      </c>
      <c r="BS340" s="646">
        <f t="shared" si="1135"/>
        <v>0</v>
      </c>
      <c r="BT340" s="647">
        <f t="shared" si="1136"/>
        <v>168782.08279221324</v>
      </c>
      <c r="BU340" s="662">
        <f>VLOOKUP(B340,'Afton Update'!$A$5:$AR$582,'Afton Update'!$AO$589,0)-BT340</f>
        <v>0</v>
      </c>
      <c r="BV340" s="644">
        <f t="shared" si="1137"/>
        <v>452384.90795263962</v>
      </c>
      <c r="BW340" s="645">
        <f t="shared" si="1138"/>
        <v>448085.58068344824</v>
      </c>
      <c r="BX340" s="644">
        <f t="shared" si="1139"/>
        <v>0</v>
      </c>
      <c r="BY340" s="645">
        <f t="shared" si="1140"/>
        <v>452384.90795263962</v>
      </c>
      <c r="BZ340" s="646">
        <f t="shared" si="1141"/>
        <v>-3970.6304341264126</v>
      </c>
      <c r="CA340" s="647">
        <f t="shared" si="1142"/>
        <v>448414.2775185132</v>
      </c>
      <c r="CB340" s="644">
        <f t="shared" si="1143"/>
        <v>0</v>
      </c>
      <c r="CC340" s="645">
        <f t="shared" si="1144"/>
        <v>448414.2775185132</v>
      </c>
      <c r="CD340" s="646">
        <f t="shared" si="1145"/>
        <v>-143.63367669387236</v>
      </c>
      <c r="CE340" s="647">
        <f t="shared" si="1146"/>
        <v>448270.64384181931</v>
      </c>
      <c r="CF340" s="644">
        <f t="shared" si="1147"/>
        <v>0</v>
      </c>
      <c r="CG340" s="645">
        <f t="shared" si="1148"/>
        <v>448270.64384181931</v>
      </c>
      <c r="CH340" s="646">
        <f t="shared" si="1149"/>
        <v>0</v>
      </c>
      <c r="CI340" s="647">
        <f t="shared" si="1150"/>
        <v>448270.64384181931</v>
      </c>
      <c r="CJ340" s="644">
        <f t="shared" si="1151"/>
        <v>0</v>
      </c>
      <c r="CK340" s="645">
        <f t="shared" si="1152"/>
        <v>448270.64384181931</v>
      </c>
      <c r="CL340" s="646">
        <f t="shared" si="1153"/>
        <v>0</v>
      </c>
      <c r="CM340" s="647">
        <f t="shared" si="1154"/>
        <v>448270.64384181931</v>
      </c>
      <c r="CN340" s="644">
        <f t="shared" si="1155"/>
        <v>0</v>
      </c>
      <c r="CO340" s="645">
        <f t="shared" si="1156"/>
        <v>448270.64384181931</v>
      </c>
      <c r="CP340" s="646">
        <f t="shared" si="1157"/>
        <v>0</v>
      </c>
      <c r="CQ340" s="647">
        <f t="shared" si="1158"/>
        <v>448270.64384181931</v>
      </c>
      <c r="CS340" s="644">
        <f t="shared" si="1159"/>
        <v>520166.19304441096</v>
      </c>
      <c r="CT340" s="645">
        <f t="shared" si="1160"/>
        <v>514851.92560241156</v>
      </c>
      <c r="CU340" s="644">
        <f t="shared" si="1161"/>
        <v>0</v>
      </c>
      <c r="CV340" s="645">
        <f t="shared" si="1162"/>
        <v>520166.19304441096</v>
      </c>
      <c r="CW340" s="646">
        <f t="shared" si="1163"/>
        <v>-5326.7957741214732</v>
      </c>
      <c r="CX340" s="647">
        <f t="shared" si="1164"/>
        <v>514839.39727028948</v>
      </c>
      <c r="CY340" s="644">
        <f t="shared" si="1165"/>
        <v>-12.5283321220777</v>
      </c>
      <c r="CZ340" s="645">
        <f t="shared" si="1166"/>
        <v>0</v>
      </c>
      <c r="DA340" s="646">
        <f t="shared" si="1167"/>
        <v>0</v>
      </c>
      <c r="DB340" s="647">
        <f t="shared" si="1168"/>
        <v>514851.92560241156</v>
      </c>
      <c r="DC340" s="644">
        <f t="shared" si="1169"/>
        <v>0</v>
      </c>
      <c r="DD340" s="645">
        <f t="shared" si="1170"/>
        <v>0</v>
      </c>
      <c r="DE340" s="646">
        <f t="shared" si="1171"/>
        <v>0</v>
      </c>
      <c r="DF340" s="647">
        <f t="shared" si="1172"/>
        <v>514851.92560241156</v>
      </c>
      <c r="DG340" s="644">
        <f t="shared" si="1173"/>
        <v>0</v>
      </c>
      <c r="DH340" s="645">
        <f t="shared" si="1174"/>
        <v>0</v>
      </c>
      <c r="DI340" s="646">
        <f t="shared" si="1175"/>
        <v>0</v>
      </c>
      <c r="DJ340" s="647">
        <f t="shared" si="1176"/>
        <v>514851.92560241156</v>
      </c>
      <c r="DK340" s="644">
        <f t="shared" si="1177"/>
        <v>0</v>
      </c>
      <c r="DL340" s="645">
        <f t="shared" si="1178"/>
        <v>0</v>
      </c>
      <c r="DM340" s="646">
        <f t="shared" si="1179"/>
        <v>0</v>
      </c>
      <c r="DN340" s="647">
        <f t="shared" si="1180"/>
        <v>514851.92560241156</v>
      </c>
      <c r="DR340" s="827">
        <f t="shared" si="854"/>
        <v>1792076.8412420403</v>
      </c>
      <c r="DV340" s="828">
        <f>IFERROR(VLOOKUP($B340,'Afton FY16 Final'!$A$5:$BV$587,'Afton FY16 Final'!$BV$587,0),0)</f>
        <v>1849062.5571262678</v>
      </c>
      <c r="DX340" s="636">
        <f t="shared" si="842"/>
        <v>0</v>
      </c>
      <c r="DY340" s="637">
        <f t="shared" si="843"/>
        <v>0</v>
      </c>
      <c r="DZ340" s="637">
        <f t="shared" si="844"/>
        <v>0</v>
      </c>
      <c r="EA340" s="643">
        <f t="shared" si="845"/>
        <v>0</v>
      </c>
      <c r="EB340" s="637">
        <f t="shared" si="855"/>
        <v>0</v>
      </c>
      <c r="EC340" s="637">
        <f t="shared" si="856"/>
        <v>0</v>
      </c>
      <c r="ED340" s="637">
        <f t="shared" si="857"/>
        <v>0</v>
      </c>
      <c r="EE340" s="643">
        <f t="shared" si="858"/>
        <v>0</v>
      </c>
      <c r="EF340" s="637">
        <f t="shared" si="859"/>
        <v>0</v>
      </c>
      <c r="EG340" s="637">
        <f t="shared" si="860"/>
        <v>0</v>
      </c>
      <c r="EH340" s="637">
        <f t="shared" si="861"/>
        <v>0</v>
      </c>
      <c r="EI340" s="643">
        <f t="shared" si="862"/>
        <v>0</v>
      </c>
      <c r="EJ340" s="637">
        <f t="shared" si="863"/>
        <v>0</v>
      </c>
      <c r="EK340" s="637">
        <f t="shared" si="864"/>
        <v>0</v>
      </c>
      <c r="EL340" s="637">
        <f t="shared" si="865"/>
        <v>0</v>
      </c>
      <c r="EM340" s="643">
        <f t="shared" si="866"/>
        <v>0</v>
      </c>
      <c r="EN340" s="637">
        <f t="shared" si="867"/>
        <v>0</v>
      </c>
      <c r="EO340" s="637">
        <f t="shared" si="868"/>
        <v>0</v>
      </c>
      <c r="EP340" s="637">
        <f t="shared" si="869"/>
        <v>0</v>
      </c>
      <c r="EQ340" s="643">
        <f t="shared" si="870"/>
        <v>0</v>
      </c>
      <c r="ER340" s="637">
        <f t="shared" si="871"/>
        <v>0</v>
      </c>
      <c r="ES340" s="637">
        <f t="shared" si="872"/>
        <v>0</v>
      </c>
      <c r="ET340" s="637">
        <f t="shared" si="873"/>
        <v>0</v>
      </c>
      <c r="EU340" s="643">
        <f t="shared" si="846"/>
        <v>0</v>
      </c>
      <c r="EV340" s="643">
        <f t="shared" si="847"/>
        <v>0</v>
      </c>
      <c r="EX340" s="829">
        <f t="shared" si="848"/>
        <v>0</v>
      </c>
      <c r="EY340" s="638">
        <f t="shared" si="849"/>
        <v>1792076.8412420403</v>
      </c>
      <c r="FC340" s="830" t="str">
        <f t="shared" si="874"/>
        <v>Y</v>
      </c>
      <c r="FE340" s="830" t="str">
        <f>IFERROR(VLOOKUP($B340,'Historical Conc Grant Elig'!$B$3:$J$707,'HH &amp; SI'!FE$2,0),"N")</f>
        <v>Y</v>
      </c>
      <c r="FF340" s="830" t="str">
        <f>IFERROR(VLOOKUP($B340,'Historical Conc Grant Elig'!$B$3:$J$707,'HH &amp; SI'!FF$2,0),"N")</f>
        <v>Y</v>
      </c>
      <c r="FG340" s="830" t="str">
        <f>IFERROR(VLOOKUP($B340,'Historical Conc Grant Elig'!$B$3:$J$707,'HH &amp; SI'!FG$2,0),"N")</f>
        <v>Y</v>
      </c>
      <c r="FH340" s="830" t="str">
        <f>IFERROR(VLOOKUP($B340,'Historical Conc Grant Elig'!$B$3:$J$707,'HH &amp; SI'!FH$2,0),"N")</f>
        <v>Y</v>
      </c>
      <c r="FI340" s="830" t="str">
        <f>IFERROR(VLOOKUP($B340,'Historical Conc Grant Elig'!$B$3:$J$707,'HH &amp; SI'!FI$2,0),"N")</f>
        <v>Y</v>
      </c>
      <c r="FJ340" s="830" t="str">
        <f>IFERROR(VLOOKUP($B340,'Historical Conc Grant Elig'!$B$3:$J$707,'HH &amp; SI'!FJ$2,0),"N")</f>
        <v>Y</v>
      </c>
      <c r="FK340" s="830" t="str">
        <f>IFERROR(VLOOKUP($B340,'Historical Conc Grant Elig'!$B$3:$J$707,'HH &amp; SI'!FK$2,0),"N")</f>
        <v>Y</v>
      </c>
      <c r="FL340" s="957" t="str">
        <f>IFERROR(VLOOKUP($B340,'Historical Conc Grant Elig'!$B$3:$J$707,'HH &amp; SI'!FL$2,0),"N")</f>
        <v>Y</v>
      </c>
    </row>
    <row r="341" spans="2:168" x14ac:dyDescent="0.25">
      <c r="B341" s="634">
        <v>90225000</v>
      </c>
      <c r="C341" s="635" t="str">
        <f>VLOOKUP($B341,'Afton Update'!$A$5:$CR$582,'Afton Update'!D$589,0)</f>
        <v>Cedar Unified District</v>
      </c>
      <c r="D341" s="636">
        <f>IFERROR(VLOOKUP($B341,'Afton FY16 Final'!$A$5:$BV$587,'Afton FY16 Final'!AQ$587,0),0)</f>
        <v>352602.98672160011</v>
      </c>
      <c r="E341" s="637">
        <f>IFERROR(VLOOKUP($B341,'Afton FY16 Final'!$A$5:$BV$587,'Afton FY16 Final'!AR$587,0),0)</f>
        <v>89226.623548373333</v>
      </c>
      <c r="F341" s="637">
        <f>IFERROR(VLOOKUP($B341,'Afton FY16 Final'!$A$5:$BV$587,'Afton FY16 Final'!AS$587,0),0)</f>
        <v>219091.44127017233</v>
      </c>
      <c r="G341" s="637">
        <f>IFERROR(VLOOKUP($B341,'Afton FY16 Final'!$A$5:$BV$587,'Afton FY16 Final'!AT$587,0),0)</f>
        <v>244234.54890134459</v>
      </c>
      <c r="H341" s="638">
        <f>IFERROR(VLOOKUP($B341,'Afton FY16 Final'!$A$5:$BV$587,'Afton FY16 Final'!AU$587,0),0)</f>
        <v>905155.6004414903</v>
      </c>
      <c r="I341" s="639" t="str">
        <f>VLOOKUP($B341,'Afton Update'!$A$5:$CR$582,'Afton Update'!BT$589,0)</f>
        <v>Y</v>
      </c>
      <c r="J341" s="640" t="str">
        <f>VLOOKUP($B341,'Afton Update'!$A$5:$CR$582,'Afton Update'!BU$589,0)</f>
        <v>Y</v>
      </c>
      <c r="K341" s="640" t="str">
        <f>VLOOKUP($B341,'Afton Update'!$A$5:$CR$582,'Afton Update'!BV$589,0)</f>
        <v>Y</v>
      </c>
      <c r="L341" s="641" t="str">
        <f>VLOOKUP($B341,'Afton Update'!$A$5:$CR$582,'Afton Update'!BW$589,0)</f>
        <v>Y</v>
      </c>
      <c r="N341" s="642">
        <f>VLOOKUP($B341,'Afton Update'!$A$5:$CR$582,'Afton Update'!CB$589,0)</f>
        <v>0.95</v>
      </c>
      <c r="P341" s="636">
        <f>VLOOKUP($B341,'Afton Update'!$A$5:$CR$582,'Afton Update'!AH$589,0)</f>
        <v>338646.91968466202</v>
      </c>
      <c r="Q341" s="637">
        <f>VLOOKUP($B341,'Afton Update'!$A$5:$CR$582,'Afton Update'!AI$589,0)</f>
        <v>86465.346453679886</v>
      </c>
      <c r="R341" s="637">
        <f>VLOOKUP($B341,'Afton Update'!$A$5:$CR$582,'Afton Update'!AJ$589,0)</f>
        <v>210133.91744048425</v>
      </c>
      <c r="S341" s="637">
        <f>VLOOKUP($B341,'Afton Update'!$A$5:$CR$582,'Afton Update'!AK$589,0)</f>
        <v>234417.74563651267</v>
      </c>
      <c r="T341" s="643">
        <f t="shared" si="1088"/>
        <v>869663.92921533878</v>
      </c>
      <c r="V341" s="636">
        <f t="shared" si="1089"/>
        <v>334972.83738552011</v>
      </c>
      <c r="W341" s="637">
        <f t="shared" si="1090"/>
        <v>84765.292370954659</v>
      </c>
      <c r="X341" s="637">
        <f t="shared" si="1091"/>
        <v>208222.83150504899</v>
      </c>
      <c r="Y341" s="637">
        <f t="shared" si="1092"/>
        <v>232022.82145627736</v>
      </c>
      <c r="Z341" s="643">
        <f t="shared" si="1093"/>
        <v>859983.78271780116</v>
      </c>
      <c r="AB341" s="644">
        <f t="shared" si="1094"/>
        <v>338646.91968466202</v>
      </c>
      <c r="AC341" s="645">
        <f t="shared" si="1095"/>
        <v>334972.83738552011</v>
      </c>
      <c r="AD341" s="644">
        <f t="shared" si="1096"/>
        <v>0</v>
      </c>
      <c r="AE341" s="645">
        <f t="shared" si="1097"/>
        <v>338646.91968466202</v>
      </c>
      <c r="AF341" s="646">
        <f t="shared" si="1098"/>
        <v>-4197.7830558772266</v>
      </c>
      <c r="AG341" s="647">
        <f t="shared" si="1099"/>
        <v>334449.13662878476</v>
      </c>
      <c r="AH341" s="644">
        <f t="shared" si="1100"/>
        <v>-523.70075673534302</v>
      </c>
      <c r="AI341" s="645">
        <f t="shared" si="1101"/>
        <v>0</v>
      </c>
      <c r="AJ341" s="646">
        <f t="shared" si="1102"/>
        <v>0</v>
      </c>
      <c r="AK341" s="647">
        <f t="shared" si="1103"/>
        <v>334972.83738552011</v>
      </c>
      <c r="AL341" s="644">
        <f t="shared" si="1104"/>
        <v>0</v>
      </c>
      <c r="AM341" s="645">
        <f t="shared" si="1105"/>
        <v>0</v>
      </c>
      <c r="AN341" s="646">
        <f t="shared" si="1106"/>
        <v>0</v>
      </c>
      <c r="AO341" s="647">
        <f t="shared" si="1107"/>
        <v>334972.83738552011</v>
      </c>
      <c r="AP341" s="644">
        <f t="shared" si="1108"/>
        <v>0</v>
      </c>
      <c r="AQ341" s="645">
        <f t="shared" si="1109"/>
        <v>0</v>
      </c>
      <c r="AR341" s="646">
        <f t="shared" si="1110"/>
        <v>0</v>
      </c>
      <c r="AS341" s="647">
        <f t="shared" si="1111"/>
        <v>334972.83738552011</v>
      </c>
      <c r="AT341" s="644">
        <f t="shared" si="1112"/>
        <v>0</v>
      </c>
      <c r="AU341" s="645">
        <f t="shared" si="1113"/>
        <v>0</v>
      </c>
      <c r="AV341" s="646">
        <f t="shared" si="1114"/>
        <v>0</v>
      </c>
      <c r="AW341" s="647">
        <f t="shared" si="1115"/>
        <v>334972.83738552011</v>
      </c>
      <c r="AY341" s="644">
        <f t="shared" si="1116"/>
        <v>86465.346453679886</v>
      </c>
      <c r="AZ341" s="645">
        <f t="shared" si="851"/>
        <v>84765.292370954659</v>
      </c>
      <c r="BA341" s="644">
        <f t="shared" si="1117"/>
        <v>0</v>
      </c>
      <c r="BB341" s="645">
        <f t="shared" si="1118"/>
        <v>86465.346453679886</v>
      </c>
      <c r="BC341" s="646">
        <f t="shared" si="1119"/>
        <v>-621.79750498274257</v>
      </c>
      <c r="BD341" s="647">
        <f t="shared" si="1120"/>
        <v>85843.548948697149</v>
      </c>
      <c r="BE341" s="644">
        <f t="shared" si="1121"/>
        <v>0</v>
      </c>
      <c r="BF341" s="645">
        <f t="shared" si="1122"/>
        <v>85843.548948697149</v>
      </c>
      <c r="BG341" s="646">
        <f t="shared" si="1123"/>
        <v>-2044.7233785125836</v>
      </c>
      <c r="BH341" s="647">
        <f t="shared" si="1124"/>
        <v>83798.825570184563</v>
      </c>
      <c r="BI341" s="644">
        <f t="shared" si="1125"/>
        <v>-966.4668007700966</v>
      </c>
      <c r="BJ341" s="645">
        <f t="shared" si="1126"/>
        <v>0</v>
      </c>
      <c r="BK341" s="646">
        <f t="shared" si="1127"/>
        <v>0</v>
      </c>
      <c r="BL341" s="647">
        <f t="shared" si="1128"/>
        <v>84765.292370954659</v>
      </c>
      <c r="BM341" s="644">
        <f t="shared" si="1129"/>
        <v>0</v>
      </c>
      <c r="BN341" s="645">
        <f t="shared" si="1130"/>
        <v>0</v>
      </c>
      <c r="BO341" s="646">
        <f t="shared" si="1131"/>
        <v>0</v>
      </c>
      <c r="BP341" s="647">
        <f t="shared" si="1132"/>
        <v>84765.292370954659</v>
      </c>
      <c r="BQ341" s="644">
        <f t="shared" si="1133"/>
        <v>0</v>
      </c>
      <c r="BR341" s="645">
        <f t="shared" si="1134"/>
        <v>0</v>
      </c>
      <c r="BS341" s="646">
        <f t="shared" si="1135"/>
        <v>0</v>
      </c>
      <c r="BT341" s="647">
        <f t="shared" si="1136"/>
        <v>84765.292370954659</v>
      </c>
      <c r="BU341" s="662">
        <f>VLOOKUP(B341,'Afton Update'!$A$5:$AR$582,'Afton Update'!$AO$589,0)-BT341</f>
        <v>0</v>
      </c>
      <c r="BV341" s="644">
        <f t="shared" si="1137"/>
        <v>210133.91744048425</v>
      </c>
      <c r="BW341" s="645">
        <f t="shared" si="1138"/>
        <v>208136.86920666372</v>
      </c>
      <c r="BX341" s="644">
        <f t="shared" si="1139"/>
        <v>0</v>
      </c>
      <c r="BY341" s="645">
        <f t="shared" si="1140"/>
        <v>210133.91744048425</v>
      </c>
      <c r="BZ341" s="646">
        <f t="shared" si="1141"/>
        <v>-1844.3677345636465</v>
      </c>
      <c r="CA341" s="647">
        <f t="shared" si="1142"/>
        <v>208289.5497059206</v>
      </c>
      <c r="CB341" s="644">
        <f t="shared" si="1143"/>
        <v>0</v>
      </c>
      <c r="CC341" s="645">
        <f t="shared" si="1144"/>
        <v>208289.5497059206</v>
      </c>
      <c r="CD341" s="646">
        <f t="shared" si="1145"/>
        <v>-66.71820087159756</v>
      </c>
      <c r="CE341" s="647">
        <f t="shared" si="1146"/>
        <v>208222.83150504899</v>
      </c>
      <c r="CF341" s="644">
        <f t="shared" si="1147"/>
        <v>0</v>
      </c>
      <c r="CG341" s="645">
        <f t="shared" si="1148"/>
        <v>208222.83150504899</v>
      </c>
      <c r="CH341" s="646">
        <f t="shared" si="1149"/>
        <v>0</v>
      </c>
      <c r="CI341" s="647">
        <f t="shared" si="1150"/>
        <v>208222.83150504899</v>
      </c>
      <c r="CJ341" s="644">
        <f t="shared" si="1151"/>
        <v>0</v>
      </c>
      <c r="CK341" s="645">
        <f t="shared" si="1152"/>
        <v>208222.83150504899</v>
      </c>
      <c r="CL341" s="646">
        <f t="shared" si="1153"/>
        <v>0</v>
      </c>
      <c r="CM341" s="647">
        <f t="shared" si="1154"/>
        <v>208222.83150504899</v>
      </c>
      <c r="CN341" s="644">
        <f t="shared" si="1155"/>
        <v>0</v>
      </c>
      <c r="CO341" s="645">
        <f t="shared" si="1156"/>
        <v>208222.83150504899</v>
      </c>
      <c r="CP341" s="646">
        <f t="shared" si="1157"/>
        <v>0</v>
      </c>
      <c r="CQ341" s="647">
        <f t="shared" si="1158"/>
        <v>208222.83150504899</v>
      </c>
      <c r="CS341" s="644">
        <f t="shared" si="1159"/>
        <v>234417.74563651267</v>
      </c>
      <c r="CT341" s="645">
        <f t="shared" si="1160"/>
        <v>232022.82145627736</v>
      </c>
      <c r="CU341" s="644">
        <f t="shared" si="1161"/>
        <v>0</v>
      </c>
      <c r="CV341" s="645">
        <f t="shared" si="1162"/>
        <v>234417.74563651267</v>
      </c>
      <c r="CW341" s="646">
        <f t="shared" si="1163"/>
        <v>-2400.5701899374426</v>
      </c>
      <c r="CX341" s="647">
        <f t="shared" si="1164"/>
        <v>232017.17544657522</v>
      </c>
      <c r="CY341" s="644">
        <f t="shared" si="1165"/>
        <v>-5.6460097021481488</v>
      </c>
      <c r="CZ341" s="645">
        <f t="shared" si="1166"/>
        <v>0</v>
      </c>
      <c r="DA341" s="646">
        <f t="shared" si="1167"/>
        <v>0</v>
      </c>
      <c r="DB341" s="647">
        <f t="shared" si="1168"/>
        <v>232022.82145627736</v>
      </c>
      <c r="DC341" s="644">
        <f t="shared" si="1169"/>
        <v>0</v>
      </c>
      <c r="DD341" s="645">
        <f t="shared" si="1170"/>
        <v>0</v>
      </c>
      <c r="DE341" s="646">
        <f t="shared" si="1171"/>
        <v>0</v>
      </c>
      <c r="DF341" s="647">
        <f t="shared" si="1172"/>
        <v>232022.82145627736</v>
      </c>
      <c r="DG341" s="644">
        <f t="shared" si="1173"/>
        <v>0</v>
      </c>
      <c r="DH341" s="645">
        <f t="shared" si="1174"/>
        <v>0</v>
      </c>
      <c r="DI341" s="646">
        <f t="shared" si="1175"/>
        <v>0</v>
      </c>
      <c r="DJ341" s="647">
        <f t="shared" si="1176"/>
        <v>232022.82145627736</v>
      </c>
      <c r="DK341" s="644">
        <f t="shared" si="1177"/>
        <v>0</v>
      </c>
      <c r="DL341" s="645">
        <f t="shared" si="1178"/>
        <v>0</v>
      </c>
      <c r="DM341" s="646">
        <f t="shared" si="1179"/>
        <v>0</v>
      </c>
      <c r="DN341" s="647">
        <f t="shared" si="1180"/>
        <v>232022.82145627736</v>
      </c>
      <c r="DR341" s="827">
        <f t="shared" si="854"/>
        <v>859983.78271780116</v>
      </c>
      <c r="DV341" s="828">
        <f>IFERROR(VLOOKUP($B341,'Afton FY16 Final'!$A$5:$BV$587,'Afton FY16 Final'!$BV$587,0),0)</f>
        <v>887333.08681869903</v>
      </c>
      <c r="DX341" s="636">
        <f t="shared" si="842"/>
        <v>0</v>
      </c>
      <c r="DY341" s="637">
        <f t="shared" si="843"/>
        <v>0</v>
      </c>
      <c r="DZ341" s="637">
        <f t="shared" si="844"/>
        <v>0</v>
      </c>
      <c r="EA341" s="643">
        <f t="shared" si="845"/>
        <v>0</v>
      </c>
      <c r="EB341" s="637">
        <f t="shared" si="855"/>
        <v>0</v>
      </c>
      <c r="EC341" s="637">
        <f t="shared" si="856"/>
        <v>0</v>
      </c>
      <c r="ED341" s="637">
        <f t="shared" si="857"/>
        <v>0</v>
      </c>
      <c r="EE341" s="643">
        <f t="shared" si="858"/>
        <v>0</v>
      </c>
      <c r="EF341" s="637">
        <f t="shared" si="859"/>
        <v>0</v>
      </c>
      <c r="EG341" s="637">
        <f t="shared" si="860"/>
        <v>0</v>
      </c>
      <c r="EH341" s="637">
        <f t="shared" si="861"/>
        <v>0</v>
      </c>
      <c r="EI341" s="643">
        <f t="shared" si="862"/>
        <v>0</v>
      </c>
      <c r="EJ341" s="637">
        <f t="shared" si="863"/>
        <v>0</v>
      </c>
      <c r="EK341" s="637">
        <f t="shared" si="864"/>
        <v>0</v>
      </c>
      <c r="EL341" s="637">
        <f t="shared" si="865"/>
        <v>0</v>
      </c>
      <c r="EM341" s="643">
        <f t="shared" si="866"/>
        <v>0</v>
      </c>
      <c r="EN341" s="637">
        <f t="shared" si="867"/>
        <v>0</v>
      </c>
      <c r="EO341" s="637">
        <f t="shared" si="868"/>
        <v>0</v>
      </c>
      <c r="EP341" s="637">
        <f t="shared" si="869"/>
        <v>0</v>
      </c>
      <c r="EQ341" s="643">
        <f t="shared" si="870"/>
        <v>0</v>
      </c>
      <c r="ER341" s="637">
        <f t="shared" si="871"/>
        <v>0</v>
      </c>
      <c r="ES341" s="637">
        <f t="shared" si="872"/>
        <v>0</v>
      </c>
      <c r="ET341" s="637">
        <f t="shared" si="873"/>
        <v>0</v>
      </c>
      <c r="EU341" s="643">
        <f t="shared" si="846"/>
        <v>0</v>
      </c>
      <c r="EV341" s="643">
        <f t="shared" si="847"/>
        <v>0</v>
      </c>
      <c r="EX341" s="829">
        <f t="shared" si="848"/>
        <v>0</v>
      </c>
      <c r="EY341" s="638">
        <f t="shared" si="849"/>
        <v>859983.78271780116</v>
      </c>
      <c r="FC341" s="830" t="str">
        <f t="shared" si="874"/>
        <v>Y</v>
      </c>
      <c r="FE341" s="830" t="str">
        <f>IFERROR(VLOOKUP($B341,'Historical Conc Grant Elig'!$B$3:$J$707,'HH &amp; SI'!FE$2,0),"N")</f>
        <v>Y</v>
      </c>
      <c r="FF341" s="830" t="str">
        <f>IFERROR(VLOOKUP($B341,'Historical Conc Grant Elig'!$B$3:$J$707,'HH &amp; SI'!FF$2,0),"N")</f>
        <v>Y</v>
      </c>
      <c r="FG341" s="830" t="str">
        <f>IFERROR(VLOOKUP($B341,'Historical Conc Grant Elig'!$B$3:$J$707,'HH &amp; SI'!FG$2,0),"N")</f>
        <v>Y</v>
      </c>
      <c r="FH341" s="830" t="str">
        <f>IFERROR(VLOOKUP($B341,'Historical Conc Grant Elig'!$B$3:$J$707,'HH &amp; SI'!FH$2,0),"N")</f>
        <v>Y</v>
      </c>
      <c r="FI341" s="830" t="str">
        <f>IFERROR(VLOOKUP($B341,'Historical Conc Grant Elig'!$B$3:$J$707,'HH &amp; SI'!FI$2,0),"N")</f>
        <v>Y</v>
      </c>
      <c r="FJ341" s="830" t="str">
        <f>IFERROR(VLOOKUP($B341,'Historical Conc Grant Elig'!$B$3:$J$707,'HH &amp; SI'!FJ$2,0),"N")</f>
        <v>Y</v>
      </c>
      <c r="FK341" s="830" t="str">
        <f>IFERROR(VLOOKUP($B341,'Historical Conc Grant Elig'!$B$3:$J$707,'HH &amp; SI'!FK$2,0),"N")</f>
        <v>Y</v>
      </c>
      <c r="FL341" s="957" t="str">
        <f>IFERROR(VLOOKUP($B341,'Historical Conc Grant Elig'!$B$3:$J$707,'HH &amp; SI'!FL$2,0),"N")</f>
        <v>Y</v>
      </c>
    </row>
    <row r="342" spans="2:168" x14ac:dyDescent="0.25">
      <c r="B342" s="634">
        <v>90227000</v>
      </c>
      <c r="C342" s="635" t="str">
        <f>VLOOKUP($B342,'Afton Update'!$A$5:$CR$582,'Afton Update'!D$589,0)</f>
        <v>Kayenta Unified District</v>
      </c>
      <c r="D342" s="636">
        <f>IFERROR(VLOOKUP($B342,'Afton FY16 Final'!$A$5:$BV$587,'Afton FY16 Final'!AQ$587,0),0)</f>
        <v>624348.96008386125</v>
      </c>
      <c r="E342" s="637">
        <f>IFERROR(VLOOKUP($B342,'Afton FY16 Final'!$A$5:$BV$587,'Afton FY16 Final'!AR$587,0),0)</f>
        <v>154821.8444987309</v>
      </c>
      <c r="F342" s="637">
        <f>IFERROR(VLOOKUP($B342,'Afton FY16 Final'!$A$5:$BV$587,'Afton FY16 Final'!AS$587,0),0)</f>
        <v>426399.61585754144</v>
      </c>
      <c r="G342" s="637">
        <f>IFERROR(VLOOKUP($B342,'Afton FY16 Final'!$A$5:$BV$587,'Afton FY16 Final'!AT$587,0),0)</f>
        <v>413192.42244784033</v>
      </c>
      <c r="H342" s="638">
        <f>IFERROR(VLOOKUP($B342,'Afton FY16 Final'!$A$5:$BV$587,'Afton FY16 Final'!AU$587,0),0)</f>
        <v>1618762.8428879739</v>
      </c>
      <c r="I342" s="639" t="str">
        <f>VLOOKUP($B342,'Afton Update'!$A$5:$CR$582,'Afton Update'!BT$589,0)</f>
        <v>Y</v>
      </c>
      <c r="J342" s="640" t="str">
        <f>VLOOKUP($B342,'Afton Update'!$A$5:$CR$582,'Afton Update'!BU$589,0)</f>
        <v>Y</v>
      </c>
      <c r="K342" s="640" t="str">
        <f>VLOOKUP($B342,'Afton Update'!$A$5:$CR$582,'Afton Update'!BV$589,0)</f>
        <v>Y</v>
      </c>
      <c r="L342" s="641" t="str">
        <f>VLOOKUP($B342,'Afton Update'!$A$5:$CR$582,'Afton Update'!BW$589,0)</f>
        <v>Y</v>
      </c>
      <c r="N342" s="642">
        <f>VLOOKUP($B342,'Afton Update'!$A$5:$CR$582,'Afton Update'!CB$589,0)</f>
        <v>0.95</v>
      </c>
      <c r="P342" s="636">
        <f>VLOOKUP($B342,'Afton Update'!$A$5:$CR$582,'Afton Update'!AH$589,0)</f>
        <v>602177.78663963359</v>
      </c>
      <c r="Q342" s="637">
        <f>VLOOKUP($B342,'Afton Update'!$A$5:$CR$582,'Afton Update'!AI$589,0)</f>
        <v>150030.60623405795</v>
      </c>
      <c r="R342" s="637">
        <f>VLOOKUP($B342,'Afton Update'!$A$5:$CR$582,'Afton Update'!AJ$589,0)</f>
        <v>410728.06994449632</v>
      </c>
      <c r="S342" s="637">
        <f>VLOOKUP($B342,'Afton Update'!$A$5:$CR$582,'Afton Update'!AK$589,0)</f>
        <v>396584.49887627299</v>
      </c>
      <c r="T342" s="643">
        <f t="shared" si="875"/>
        <v>1559520.9616944608</v>
      </c>
      <c r="V342" s="636">
        <f t="shared" si="1024"/>
        <v>593963.69077814859</v>
      </c>
      <c r="W342" s="637">
        <f t="shared" si="1025"/>
        <v>147080.75227379435</v>
      </c>
      <c r="X342" s="637">
        <f t="shared" si="1026"/>
        <v>406992.65851106268</v>
      </c>
      <c r="Y342" s="637">
        <f t="shared" si="1027"/>
        <v>392532.80132544832</v>
      </c>
      <c r="Z342" s="643">
        <f t="shared" si="1028"/>
        <v>1540569.902888454</v>
      </c>
      <c r="AB342" s="644">
        <f t="shared" si="876"/>
        <v>602177.78663963359</v>
      </c>
      <c r="AC342" s="645">
        <f t="shared" si="850"/>
        <v>593131.51207966811</v>
      </c>
      <c r="AD342" s="644">
        <f t="shared" si="1029"/>
        <v>0</v>
      </c>
      <c r="AE342" s="645">
        <f t="shared" si="1030"/>
        <v>602177.78663963359</v>
      </c>
      <c r="AF342" s="646">
        <f t="shared" si="1031"/>
        <v>-7464.4461899589369</v>
      </c>
      <c r="AG342" s="647">
        <f t="shared" si="1032"/>
        <v>594713.34044967464</v>
      </c>
      <c r="AH342" s="644">
        <f t="shared" si="877"/>
        <v>0</v>
      </c>
      <c r="AI342" s="645">
        <f t="shared" si="878"/>
        <v>594713.34044967464</v>
      </c>
      <c r="AJ342" s="646">
        <f t="shared" si="1033"/>
        <v>-749.17207202275983</v>
      </c>
      <c r="AK342" s="647">
        <f t="shared" si="879"/>
        <v>593964.16837765183</v>
      </c>
      <c r="AL342" s="644">
        <f t="shared" si="1034"/>
        <v>0</v>
      </c>
      <c r="AM342" s="645">
        <f t="shared" si="1035"/>
        <v>593964.16837765183</v>
      </c>
      <c r="AN342" s="646">
        <f t="shared" si="1036"/>
        <v>-0.4775995032348872</v>
      </c>
      <c r="AO342" s="647">
        <f t="shared" si="880"/>
        <v>593963.69077814859</v>
      </c>
      <c r="AP342" s="644">
        <f t="shared" si="1037"/>
        <v>0</v>
      </c>
      <c r="AQ342" s="645">
        <f t="shared" si="1038"/>
        <v>593963.69077814859</v>
      </c>
      <c r="AR342" s="646">
        <f t="shared" si="1039"/>
        <v>0</v>
      </c>
      <c r="AS342" s="647">
        <f t="shared" si="881"/>
        <v>593963.69077814859</v>
      </c>
      <c r="AT342" s="644">
        <f t="shared" si="1040"/>
        <v>0</v>
      </c>
      <c r="AU342" s="645">
        <f t="shared" si="1041"/>
        <v>593963.69077814859</v>
      </c>
      <c r="AV342" s="646">
        <f t="shared" si="1042"/>
        <v>0</v>
      </c>
      <c r="AW342" s="647">
        <f t="shared" si="882"/>
        <v>593963.69077814859</v>
      </c>
      <c r="AY342" s="644">
        <f t="shared" si="1043"/>
        <v>150030.60623405795</v>
      </c>
      <c r="AZ342" s="645">
        <f t="shared" si="851"/>
        <v>147080.75227379435</v>
      </c>
      <c r="BA342" s="644">
        <f t="shared" si="1044"/>
        <v>0</v>
      </c>
      <c r="BB342" s="645">
        <f t="shared" si="1045"/>
        <v>150030.60623405795</v>
      </c>
      <c r="BC342" s="646">
        <f t="shared" si="1046"/>
        <v>-1078.9138129153389</v>
      </c>
      <c r="BD342" s="647">
        <f t="shared" si="1047"/>
        <v>148951.69242114262</v>
      </c>
      <c r="BE342" s="644">
        <f t="shared" si="883"/>
        <v>0</v>
      </c>
      <c r="BF342" s="645">
        <f t="shared" si="884"/>
        <v>148951.69242114262</v>
      </c>
      <c r="BG342" s="646">
        <f t="shared" si="1048"/>
        <v>-3547.9079265996302</v>
      </c>
      <c r="BH342" s="647">
        <f t="shared" si="885"/>
        <v>145403.78449454298</v>
      </c>
      <c r="BI342" s="644">
        <f t="shared" si="1049"/>
        <v>-1676.9677792513685</v>
      </c>
      <c r="BJ342" s="645">
        <f t="shared" si="1050"/>
        <v>0</v>
      </c>
      <c r="BK342" s="646">
        <f t="shared" si="1051"/>
        <v>0</v>
      </c>
      <c r="BL342" s="647">
        <f t="shared" si="886"/>
        <v>147080.75227379435</v>
      </c>
      <c r="BM342" s="644">
        <f t="shared" si="1052"/>
        <v>0</v>
      </c>
      <c r="BN342" s="645">
        <f t="shared" si="1053"/>
        <v>0</v>
      </c>
      <c r="BO342" s="646">
        <f t="shared" si="1054"/>
        <v>0</v>
      </c>
      <c r="BP342" s="647">
        <f t="shared" si="887"/>
        <v>147080.75227379435</v>
      </c>
      <c r="BQ342" s="644">
        <f t="shared" si="1055"/>
        <v>0</v>
      </c>
      <c r="BR342" s="645">
        <f t="shared" si="1056"/>
        <v>0</v>
      </c>
      <c r="BS342" s="646">
        <f t="shared" si="1057"/>
        <v>0</v>
      </c>
      <c r="BT342" s="647">
        <f t="shared" si="888"/>
        <v>147080.75227379435</v>
      </c>
      <c r="BU342" s="662">
        <f>VLOOKUP(B342,'Afton Update'!$A$5:$AR$582,'Afton Update'!$AO$589,0)-BT342</f>
        <v>0</v>
      </c>
      <c r="BV342" s="644">
        <f t="shared" si="1058"/>
        <v>410728.06994449632</v>
      </c>
      <c r="BW342" s="645">
        <f t="shared" si="852"/>
        <v>405079.63506466436</v>
      </c>
      <c r="BX342" s="644">
        <f t="shared" si="1059"/>
        <v>0</v>
      </c>
      <c r="BY342" s="645">
        <f t="shared" si="1060"/>
        <v>410728.06994449632</v>
      </c>
      <c r="BZ342" s="646">
        <f t="shared" si="1061"/>
        <v>-3605.0039380233998</v>
      </c>
      <c r="CA342" s="647">
        <f t="shared" si="1062"/>
        <v>407123.06600647292</v>
      </c>
      <c r="CB342" s="644">
        <f t="shared" si="889"/>
        <v>0</v>
      </c>
      <c r="CC342" s="645">
        <f t="shared" si="890"/>
        <v>407123.06600647292</v>
      </c>
      <c r="CD342" s="646">
        <f t="shared" si="1063"/>
        <v>-130.40749541026273</v>
      </c>
      <c r="CE342" s="647">
        <f t="shared" si="891"/>
        <v>406992.65851106268</v>
      </c>
      <c r="CF342" s="644">
        <f t="shared" si="1064"/>
        <v>0</v>
      </c>
      <c r="CG342" s="645">
        <f t="shared" si="1065"/>
        <v>406992.65851106268</v>
      </c>
      <c r="CH342" s="646">
        <f t="shared" si="1066"/>
        <v>0</v>
      </c>
      <c r="CI342" s="647">
        <f t="shared" si="892"/>
        <v>406992.65851106268</v>
      </c>
      <c r="CJ342" s="644">
        <f t="shared" si="1067"/>
        <v>0</v>
      </c>
      <c r="CK342" s="645">
        <f t="shared" si="1068"/>
        <v>406992.65851106268</v>
      </c>
      <c r="CL342" s="646">
        <f t="shared" si="1069"/>
        <v>0</v>
      </c>
      <c r="CM342" s="647">
        <f t="shared" si="893"/>
        <v>406992.65851106268</v>
      </c>
      <c r="CN342" s="644">
        <f t="shared" si="1070"/>
        <v>0</v>
      </c>
      <c r="CO342" s="645">
        <f t="shared" si="1071"/>
        <v>406992.65851106268</v>
      </c>
      <c r="CP342" s="646">
        <f t="shared" si="1072"/>
        <v>0</v>
      </c>
      <c r="CQ342" s="647">
        <f t="shared" si="894"/>
        <v>406992.65851106268</v>
      </c>
      <c r="CS342" s="644">
        <f t="shared" si="1073"/>
        <v>396584.49887627299</v>
      </c>
      <c r="CT342" s="645">
        <f t="shared" si="853"/>
        <v>392532.80132544832</v>
      </c>
      <c r="CU342" s="644">
        <f t="shared" si="1074"/>
        <v>0</v>
      </c>
      <c r="CV342" s="645">
        <f t="shared" si="1075"/>
        <v>396584.49887627299</v>
      </c>
      <c r="CW342" s="646">
        <f t="shared" si="1076"/>
        <v>-4061.2493871085717</v>
      </c>
      <c r="CX342" s="647">
        <f t="shared" si="1077"/>
        <v>392523.24948916445</v>
      </c>
      <c r="CY342" s="644">
        <f t="shared" si="895"/>
        <v>-9.551836283877492</v>
      </c>
      <c r="CZ342" s="645">
        <f t="shared" si="896"/>
        <v>0</v>
      </c>
      <c r="DA342" s="646">
        <f t="shared" si="1078"/>
        <v>0</v>
      </c>
      <c r="DB342" s="647">
        <f t="shared" si="897"/>
        <v>392532.80132544832</v>
      </c>
      <c r="DC342" s="644">
        <f t="shared" si="1079"/>
        <v>0</v>
      </c>
      <c r="DD342" s="645">
        <f t="shared" si="1080"/>
        <v>0</v>
      </c>
      <c r="DE342" s="646">
        <f t="shared" si="1081"/>
        <v>0</v>
      </c>
      <c r="DF342" s="647">
        <f t="shared" si="898"/>
        <v>392532.80132544832</v>
      </c>
      <c r="DG342" s="644">
        <f t="shared" si="1082"/>
        <v>0</v>
      </c>
      <c r="DH342" s="645">
        <f t="shared" si="1083"/>
        <v>0</v>
      </c>
      <c r="DI342" s="646">
        <f t="shared" si="1084"/>
        <v>0</v>
      </c>
      <c r="DJ342" s="647">
        <f t="shared" si="899"/>
        <v>392532.80132544832</v>
      </c>
      <c r="DK342" s="644">
        <f t="shared" si="1085"/>
        <v>0</v>
      </c>
      <c r="DL342" s="645">
        <f t="shared" si="1086"/>
        <v>0</v>
      </c>
      <c r="DM342" s="646">
        <f t="shared" si="1087"/>
        <v>0</v>
      </c>
      <c r="DN342" s="647">
        <f t="shared" si="900"/>
        <v>392532.80132544832</v>
      </c>
      <c r="DR342" s="827">
        <f t="shared" si="854"/>
        <v>1540569.902888454</v>
      </c>
      <c r="DV342" s="828">
        <f>IFERROR(VLOOKUP($B342,'Afton FY16 Final'!$A$5:$BV$587,'Afton FY16 Final'!$BV$587,0),0)</f>
        <v>1567516.9330944417</v>
      </c>
      <c r="DX342" s="636">
        <f t="shared" si="842"/>
        <v>0</v>
      </c>
      <c r="DY342" s="637">
        <f t="shared" si="843"/>
        <v>0</v>
      </c>
      <c r="DZ342" s="637">
        <f t="shared" si="844"/>
        <v>0</v>
      </c>
      <c r="EA342" s="643">
        <f t="shared" si="845"/>
        <v>0</v>
      </c>
      <c r="EB342" s="637">
        <f t="shared" si="855"/>
        <v>0</v>
      </c>
      <c r="EC342" s="637">
        <f t="shared" si="856"/>
        <v>0</v>
      </c>
      <c r="ED342" s="637">
        <f t="shared" si="857"/>
        <v>0</v>
      </c>
      <c r="EE342" s="643">
        <f t="shared" si="858"/>
        <v>0</v>
      </c>
      <c r="EF342" s="637">
        <f t="shared" si="859"/>
        <v>0</v>
      </c>
      <c r="EG342" s="637">
        <f t="shared" si="860"/>
        <v>0</v>
      </c>
      <c r="EH342" s="637">
        <f t="shared" si="861"/>
        <v>0</v>
      </c>
      <c r="EI342" s="643">
        <f t="shared" si="862"/>
        <v>0</v>
      </c>
      <c r="EJ342" s="637">
        <f t="shared" si="863"/>
        <v>0</v>
      </c>
      <c r="EK342" s="637">
        <f t="shared" si="864"/>
        <v>0</v>
      </c>
      <c r="EL342" s="637">
        <f t="shared" si="865"/>
        <v>0</v>
      </c>
      <c r="EM342" s="643">
        <f t="shared" si="866"/>
        <v>0</v>
      </c>
      <c r="EN342" s="637">
        <f t="shared" si="867"/>
        <v>0</v>
      </c>
      <c r="EO342" s="637">
        <f t="shared" si="868"/>
        <v>0</v>
      </c>
      <c r="EP342" s="637">
        <f t="shared" si="869"/>
        <v>0</v>
      </c>
      <c r="EQ342" s="643">
        <f t="shared" si="870"/>
        <v>0</v>
      </c>
      <c r="ER342" s="637">
        <f t="shared" si="871"/>
        <v>0</v>
      </c>
      <c r="ES342" s="637">
        <f t="shared" si="872"/>
        <v>0</v>
      </c>
      <c r="ET342" s="637">
        <f t="shared" si="873"/>
        <v>0</v>
      </c>
      <c r="EU342" s="643">
        <f t="shared" si="846"/>
        <v>0</v>
      </c>
      <c r="EV342" s="643">
        <f t="shared" si="847"/>
        <v>0</v>
      </c>
      <c r="EX342" s="829">
        <f t="shared" si="848"/>
        <v>0</v>
      </c>
      <c r="EY342" s="638">
        <f t="shared" si="849"/>
        <v>1540569.902888454</v>
      </c>
      <c r="FC342" s="830" t="str">
        <f t="shared" si="874"/>
        <v>Y</v>
      </c>
      <c r="FE342" s="830" t="str">
        <f>IFERROR(VLOOKUP($B342,'Historical Conc Grant Elig'!$B$3:$J$707,'HH &amp; SI'!FE$2,0),"N")</f>
        <v>Y</v>
      </c>
      <c r="FF342" s="830" t="str">
        <f>IFERROR(VLOOKUP($B342,'Historical Conc Grant Elig'!$B$3:$J$707,'HH &amp; SI'!FF$2,0),"N")</f>
        <v>Y</v>
      </c>
      <c r="FG342" s="830" t="str">
        <f>IFERROR(VLOOKUP($B342,'Historical Conc Grant Elig'!$B$3:$J$707,'HH &amp; SI'!FG$2,0),"N")</f>
        <v>Y</v>
      </c>
      <c r="FH342" s="830" t="str">
        <f>IFERROR(VLOOKUP($B342,'Historical Conc Grant Elig'!$B$3:$J$707,'HH &amp; SI'!FH$2,0),"N")</f>
        <v>Y</v>
      </c>
      <c r="FI342" s="830" t="str">
        <f>IFERROR(VLOOKUP($B342,'Historical Conc Grant Elig'!$B$3:$J$707,'HH &amp; SI'!FI$2,0),"N")</f>
        <v>Y</v>
      </c>
      <c r="FJ342" s="830" t="str">
        <f>IFERROR(VLOOKUP($B342,'Historical Conc Grant Elig'!$B$3:$J$707,'HH &amp; SI'!FJ$2,0),"N")</f>
        <v>Y</v>
      </c>
      <c r="FK342" s="830" t="str">
        <f>IFERROR(VLOOKUP($B342,'Historical Conc Grant Elig'!$B$3:$J$707,'HH &amp; SI'!FK$2,0),"N")</f>
        <v>Y</v>
      </c>
      <c r="FL342" s="957" t="str">
        <f>IFERROR(VLOOKUP($B342,'Historical Conc Grant Elig'!$B$3:$J$707,'HH &amp; SI'!FL$2,0),"N")</f>
        <v>Y</v>
      </c>
    </row>
    <row r="343" spans="2:168" x14ac:dyDescent="0.25">
      <c r="B343" s="634">
        <v>90232000</v>
      </c>
      <c r="C343" s="635" t="str">
        <f>VLOOKUP($B343,'Afton Update'!$A$5:$CR$582,'Afton Update'!D$589,0)</f>
        <v>Blue Ridge Unified District</v>
      </c>
      <c r="D343" s="636">
        <f>IFERROR(VLOOKUP($B343,'Afton FY16 Final'!$A$5:$BV$587,'Afton FY16 Final'!AQ$587,0),0)</f>
        <v>418628.22359579772</v>
      </c>
      <c r="E343" s="637">
        <f>IFERROR(VLOOKUP($B343,'Afton FY16 Final'!$A$5:$BV$587,'Afton FY16 Final'!AR$587,0),0)</f>
        <v>97521.864464471393</v>
      </c>
      <c r="F343" s="637">
        <f>IFERROR(VLOOKUP($B343,'Afton FY16 Final'!$A$5:$BV$587,'Afton FY16 Final'!AS$587,0),0)</f>
        <v>214430.46149478733</v>
      </c>
      <c r="G343" s="637">
        <f>IFERROR(VLOOKUP($B343,'Afton FY16 Final'!$A$5:$BV$587,'Afton FY16 Final'!AT$587,0),0)</f>
        <v>167107.7226569342</v>
      </c>
      <c r="H343" s="638">
        <f>IFERROR(VLOOKUP($B343,'Afton FY16 Final'!$A$5:$BV$587,'Afton FY16 Final'!AU$587,0),0)</f>
        <v>897688.27221199067</v>
      </c>
      <c r="I343" s="639" t="str">
        <f>VLOOKUP($B343,'Afton Update'!$A$5:$CR$582,'Afton Update'!BT$589,0)</f>
        <v>Y</v>
      </c>
      <c r="J343" s="640" t="str">
        <f>VLOOKUP($B343,'Afton Update'!$A$5:$CR$582,'Afton Update'!BU$589,0)</f>
        <v>Y</v>
      </c>
      <c r="K343" s="640" t="str">
        <f>VLOOKUP($B343,'Afton Update'!$A$5:$CR$582,'Afton Update'!BV$589,0)</f>
        <v>Y</v>
      </c>
      <c r="L343" s="641" t="str">
        <f>VLOOKUP($B343,'Afton Update'!$A$5:$CR$582,'Afton Update'!BW$589,0)</f>
        <v>Y</v>
      </c>
      <c r="N343" s="642">
        <f>VLOOKUP($B343,'Afton Update'!$A$5:$CR$582,'Afton Update'!CB$589,0)</f>
        <v>0.9</v>
      </c>
      <c r="P343" s="636">
        <f>VLOOKUP($B343,'Afton Update'!$A$5:$CR$582,'Afton Update'!AH$589,0)</f>
        <v>382511.72088854574</v>
      </c>
      <c r="Q343" s="637">
        <f>VLOOKUP($B343,'Afton Update'!$A$5:$CR$582,'Afton Update'!AI$589,0)</f>
        <v>90632.026194827558</v>
      </c>
      <c r="R343" s="637">
        <f>VLOOKUP($B343,'Afton Update'!$A$5:$CR$582,'Afton Update'!AJ$589,0)</f>
        <v>195678.43398422652</v>
      </c>
      <c r="S343" s="637">
        <f>VLOOKUP($B343,'Afton Update'!$A$5:$CR$582,'Afton Update'!AK$589,0)</f>
        <v>156654.79465704726</v>
      </c>
      <c r="T343" s="643">
        <f t="shared" si="875"/>
        <v>825476.97572464705</v>
      </c>
      <c r="V343" s="636">
        <f t="shared" si="1024"/>
        <v>377294.0127411671</v>
      </c>
      <c r="W343" s="637">
        <f t="shared" si="1025"/>
        <v>87769.678018024249</v>
      </c>
      <c r="X343" s="637">
        <f t="shared" si="1026"/>
        <v>193898.81502689581</v>
      </c>
      <c r="Y343" s="637">
        <f t="shared" si="1027"/>
        <v>154928.74081296159</v>
      </c>
      <c r="Z343" s="643">
        <f t="shared" si="1028"/>
        <v>813891.24659904873</v>
      </c>
      <c r="AB343" s="644">
        <f t="shared" si="876"/>
        <v>382511.72088854574</v>
      </c>
      <c r="AC343" s="645">
        <f t="shared" si="850"/>
        <v>376765.40123621793</v>
      </c>
      <c r="AD343" s="644">
        <f t="shared" si="1029"/>
        <v>0</v>
      </c>
      <c r="AE343" s="645">
        <f t="shared" si="1030"/>
        <v>382511.72088854574</v>
      </c>
      <c r="AF343" s="646">
        <f t="shared" si="1031"/>
        <v>-4741.5202303199976</v>
      </c>
      <c r="AG343" s="647">
        <f t="shared" si="1032"/>
        <v>377770.20065822575</v>
      </c>
      <c r="AH343" s="644">
        <f t="shared" si="877"/>
        <v>0</v>
      </c>
      <c r="AI343" s="645">
        <f t="shared" si="878"/>
        <v>377770.20065822575</v>
      </c>
      <c r="AJ343" s="646">
        <f t="shared" si="1033"/>
        <v>-475.88453919931158</v>
      </c>
      <c r="AK343" s="647">
        <f t="shared" si="879"/>
        <v>377294.31611902645</v>
      </c>
      <c r="AL343" s="644">
        <f t="shared" si="1034"/>
        <v>0</v>
      </c>
      <c r="AM343" s="645">
        <f t="shared" si="1035"/>
        <v>377294.31611902645</v>
      </c>
      <c r="AN343" s="646">
        <f t="shared" si="1036"/>
        <v>-0.30337785938161571</v>
      </c>
      <c r="AO343" s="647">
        <f t="shared" si="880"/>
        <v>377294.0127411671</v>
      </c>
      <c r="AP343" s="644">
        <f t="shared" si="1037"/>
        <v>0</v>
      </c>
      <c r="AQ343" s="645">
        <f t="shared" si="1038"/>
        <v>377294.0127411671</v>
      </c>
      <c r="AR343" s="646">
        <f t="shared" si="1039"/>
        <v>0</v>
      </c>
      <c r="AS343" s="647">
        <f t="shared" si="881"/>
        <v>377294.0127411671</v>
      </c>
      <c r="AT343" s="644">
        <f t="shared" si="1040"/>
        <v>0</v>
      </c>
      <c r="AU343" s="645">
        <f t="shared" si="1041"/>
        <v>377294.0127411671</v>
      </c>
      <c r="AV343" s="646">
        <f t="shared" si="1042"/>
        <v>0</v>
      </c>
      <c r="AW343" s="647">
        <f t="shared" si="882"/>
        <v>377294.0127411671</v>
      </c>
      <c r="AY343" s="644">
        <f t="shared" si="1043"/>
        <v>90632.026194827558</v>
      </c>
      <c r="AZ343" s="645">
        <f t="shared" si="851"/>
        <v>87769.678018024249</v>
      </c>
      <c r="BA343" s="644">
        <f t="shared" si="1044"/>
        <v>0</v>
      </c>
      <c r="BB343" s="645">
        <f t="shared" si="1045"/>
        <v>90632.026194827558</v>
      </c>
      <c r="BC343" s="646">
        <f t="shared" si="1046"/>
        <v>-651.76131329866359</v>
      </c>
      <c r="BD343" s="647">
        <f t="shared" si="1047"/>
        <v>89980.264881528899</v>
      </c>
      <c r="BE343" s="644">
        <f t="shared" si="883"/>
        <v>0</v>
      </c>
      <c r="BF343" s="645">
        <f t="shared" si="884"/>
        <v>89980.264881528899</v>
      </c>
      <c r="BG343" s="646">
        <f t="shared" si="1048"/>
        <v>-2143.2565808523614</v>
      </c>
      <c r="BH343" s="647">
        <f t="shared" si="885"/>
        <v>87837.008300676534</v>
      </c>
      <c r="BI343" s="644">
        <f t="shared" si="1049"/>
        <v>0</v>
      </c>
      <c r="BJ343" s="645">
        <f t="shared" si="1050"/>
        <v>87837.008300676534</v>
      </c>
      <c r="BK343" s="646">
        <f t="shared" si="1051"/>
        <v>-186.05941403544477</v>
      </c>
      <c r="BL343" s="647">
        <f t="shared" si="886"/>
        <v>87650.948886641083</v>
      </c>
      <c r="BM343" s="644">
        <f t="shared" si="1052"/>
        <v>-118.72913138316653</v>
      </c>
      <c r="BN343" s="645">
        <f t="shared" si="1053"/>
        <v>0</v>
      </c>
      <c r="BO343" s="646">
        <f t="shared" si="1054"/>
        <v>0</v>
      </c>
      <c r="BP343" s="647">
        <f t="shared" si="887"/>
        <v>87769.678018024249</v>
      </c>
      <c r="BQ343" s="644">
        <f t="shared" si="1055"/>
        <v>0</v>
      </c>
      <c r="BR343" s="645">
        <f t="shared" si="1056"/>
        <v>0</v>
      </c>
      <c r="BS343" s="646">
        <f t="shared" si="1057"/>
        <v>0</v>
      </c>
      <c r="BT343" s="647">
        <f t="shared" si="888"/>
        <v>87769.678018024249</v>
      </c>
      <c r="BU343" s="662">
        <f>VLOOKUP(B343,'Afton Update'!$A$5:$AR$582,'Afton Update'!$AO$589,0)-BT343</f>
        <v>0</v>
      </c>
      <c r="BV343" s="644">
        <f t="shared" si="1058"/>
        <v>195678.43398422652</v>
      </c>
      <c r="BW343" s="645">
        <f t="shared" si="852"/>
        <v>192987.4153453086</v>
      </c>
      <c r="BX343" s="644">
        <f t="shared" si="1059"/>
        <v>0</v>
      </c>
      <c r="BY343" s="645">
        <f t="shared" si="1060"/>
        <v>195678.43398422652</v>
      </c>
      <c r="BZ343" s="646">
        <f t="shared" si="1061"/>
        <v>-1717.4904193782409</v>
      </c>
      <c r="CA343" s="647">
        <f t="shared" si="1062"/>
        <v>193960.94356484828</v>
      </c>
      <c r="CB343" s="644">
        <f t="shared" si="889"/>
        <v>0</v>
      </c>
      <c r="CC343" s="645">
        <f t="shared" si="890"/>
        <v>193960.94356484828</v>
      </c>
      <c r="CD343" s="646">
        <f t="shared" si="1063"/>
        <v>-62.128537952455453</v>
      </c>
      <c r="CE343" s="647">
        <f t="shared" si="891"/>
        <v>193898.81502689581</v>
      </c>
      <c r="CF343" s="644">
        <f t="shared" si="1064"/>
        <v>0</v>
      </c>
      <c r="CG343" s="645">
        <f t="shared" si="1065"/>
        <v>193898.81502689581</v>
      </c>
      <c r="CH343" s="646">
        <f t="shared" si="1066"/>
        <v>0</v>
      </c>
      <c r="CI343" s="647">
        <f t="shared" si="892"/>
        <v>193898.81502689581</v>
      </c>
      <c r="CJ343" s="644">
        <f t="shared" si="1067"/>
        <v>0</v>
      </c>
      <c r="CK343" s="645">
        <f t="shared" si="1068"/>
        <v>193898.81502689581</v>
      </c>
      <c r="CL343" s="646">
        <f t="shared" si="1069"/>
        <v>0</v>
      </c>
      <c r="CM343" s="647">
        <f t="shared" si="893"/>
        <v>193898.81502689581</v>
      </c>
      <c r="CN343" s="644">
        <f t="shared" si="1070"/>
        <v>0</v>
      </c>
      <c r="CO343" s="645">
        <f t="shared" si="1071"/>
        <v>193898.81502689581</v>
      </c>
      <c r="CP343" s="646">
        <f t="shared" si="1072"/>
        <v>0</v>
      </c>
      <c r="CQ343" s="647">
        <f t="shared" si="894"/>
        <v>193898.81502689581</v>
      </c>
      <c r="CS343" s="644">
        <f t="shared" si="1073"/>
        <v>156654.79465704726</v>
      </c>
      <c r="CT343" s="645">
        <f t="shared" si="853"/>
        <v>150396.9503912408</v>
      </c>
      <c r="CU343" s="644">
        <f t="shared" si="1074"/>
        <v>0</v>
      </c>
      <c r="CV343" s="645">
        <f t="shared" si="1075"/>
        <v>156654.79465704726</v>
      </c>
      <c r="CW343" s="646">
        <f t="shared" si="1076"/>
        <v>-1604.2336263552231</v>
      </c>
      <c r="CX343" s="647">
        <f t="shared" si="1077"/>
        <v>155050.56103069204</v>
      </c>
      <c r="CY343" s="644">
        <f t="shared" si="895"/>
        <v>0</v>
      </c>
      <c r="CZ343" s="645">
        <f t="shared" si="896"/>
        <v>155050.56103069204</v>
      </c>
      <c r="DA343" s="646">
        <f t="shared" si="1078"/>
        <v>-121.71525348423863</v>
      </c>
      <c r="DB343" s="647">
        <f t="shared" si="897"/>
        <v>154928.84577720781</v>
      </c>
      <c r="DC343" s="644">
        <f t="shared" si="1079"/>
        <v>0</v>
      </c>
      <c r="DD343" s="645">
        <f t="shared" si="1080"/>
        <v>154928.84577720781</v>
      </c>
      <c r="DE343" s="646">
        <f t="shared" si="1081"/>
        <v>-0.10496424620679314</v>
      </c>
      <c r="DF343" s="647">
        <f t="shared" si="898"/>
        <v>154928.74081296159</v>
      </c>
      <c r="DG343" s="644">
        <f t="shared" si="1082"/>
        <v>0</v>
      </c>
      <c r="DH343" s="645">
        <f t="shared" si="1083"/>
        <v>154928.74081296159</v>
      </c>
      <c r="DI343" s="646">
        <f t="shared" si="1084"/>
        <v>0</v>
      </c>
      <c r="DJ343" s="647">
        <f t="shared" si="899"/>
        <v>154928.74081296159</v>
      </c>
      <c r="DK343" s="644">
        <f t="shared" si="1085"/>
        <v>0</v>
      </c>
      <c r="DL343" s="645">
        <f t="shared" si="1086"/>
        <v>154928.74081296159</v>
      </c>
      <c r="DM343" s="646">
        <f t="shared" si="1087"/>
        <v>0</v>
      </c>
      <c r="DN343" s="647">
        <f t="shared" si="900"/>
        <v>154928.74081296159</v>
      </c>
      <c r="DR343" s="827">
        <f t="shared" si="854"/>
        <v>813891.24659904873</v>
      </c>
      <c r="DV343" s="828">
        <f>IFERROR(VLOOKUP($B343,'Afton FY16 Final'!$A$5:$BV$587,'Afton FY16 Final'!$BV$587,0),0)</f>
        <v>796994.91920973896</v>
      </c>
      <c r="DX343" s="636">
        <f t="shared" si="842"/>
        <v>813891.24659904873</v>
      </c>
      <c r="DY343" s="637">
        <f t="shared" si="843"/>
        <v>16896.327389309765</v>
      </c>
      <c r="DZ343" s="637">
        <f t="shared" si="844"/>
        <v>796994.91920973896</v>
      </c>
      <c r="EA343" s="643">
        <f t="shared" si="845"/>
        <v>770601.35388551245</v>
      </c>
      <c r="EB343" s="637">
        <f t="shared" si="855"/>
        <v>796994.91920973896</v>
      </c>
      <c r="EC343" s="637">
        <f t="shared" si="856"/>
        <v>0</v>
      </c>
      <c r="ED343" s="637">
        <f t="shared" si="857"/>
        <v>0</v>
      </c>
      <c r="EE343" s="643">
        <f t="shared" si="858"/>
        <v>796994.91920973896</v>
      </c>
      <c r="EF343" s="637">
        <f t="shared" si="859"/>
        <v>0</v>
      </c>
      <c r="EG343" s="637">
        <f t="shared" si="860"/>
        <v>0</v>
      </c>
      <c r="EH343" s="637">
        <f t="shared" si="861"/>
        <v>0</v>
      </c>
      <c r="EI343" s="643">
        <f t="shared" si="862"/>
        <v>796994.91920973896</v>
      </c>
      <c r="EJ343" s="637">
        <f t="shared" si="863"/>
        <v>0</v>
      </c>
      <c r="EK343" s="637">
        <f t="shared" si="864"/>
        <v>0</v>
      </c>
      <c r="EL343" s="637">
        <f t="shared" si="865"/>
        <v>0</v>
      </c>
      <c r="EM343" s="643">
        <f t="shared" si="866"/>
        <v>796994.91920973896</v>
      </c>
      <c r="EN343" s="637">
        <f t="shared" si="867"/>
        <v>0</v>
      </c>
      <c r="EO343" s="637">
        <f t="shared" si="868"/>
        <v>0</v>
      </c>
      <c r="EP343" s="637">
        <f t="shared" si="869"/>
        <v>0</v>
      </c>
      <c r="EQ343" s="643">
        <f t="shared" si="870"/>
        <v>796994.91920973896</v>
      </c>
      <c r="ER343" s="637">
        <f t="shared" si="871"/>
        <v>0</v>
      </c>
      <c r="ES343" s="637">
        <f t="shared" si="872"/>
        <v>0</v>
      </c>
      <c r="ET343" s="637">
        <f t="shared" si="873"/>
        <v>0</v>
      </c>
      <c r="EU343" s="643">
        <f t="shared" si="846"/>
        <v>796994.91920973896</v>
      </c>
      <c r="EV343" s="643">
        <f t="shared" si="847"/>
        <v>0</v>
      </c>
      <c r="EX343" s="829">
        <f t="shared" si="848"/>
        <v>16896.327389309765</v>
      </c>
      <c r="EY343" s="638">
        <f t="shared" si="849"/>
        <v>796994.91920973896</v>
      </c>
      <c r="FC343" s="830" t="str">
        <f t="shared" si="874"/>
        <v>Y</v>
      </c>
      <c r="FE343" s="830" t="str">
        <f>IFERROR(VLOOKUP($B343,'Historical Conc Grant Elig'!$B$3:$J$707,'HH &amp; SI'!FE$2,0),"N")</f>
        <v>Y</v>
      </c>
      <c r="FF343" s="830" t="str">
        <f>IFERROR(VLOOKUP($B343,'Historical Conc Grant Elig'!$B$3:$J$707,'HH &amp; SI'!FF$2,0),"N")</f>
        <v>Y</v>
      </c>
      <c r="FG343" s="830" t="str">
        <f>IFERROR(VLOOKUP($B343,'Historical Conc Grant Elig'!$B$3:$J$707,'HH &amp; SI'!FG$2,0),"N")</f>
        <v>Y</v>
      </c>
      <c r="FH343" s="830" t="str">
        <f>IFERROR(VLOOKUP($B343,'Historical Conc Grant Elig'!$B$3:$J$707,'HH &amp; SI'!FH$2,0),"N")</f>
        <v>Y</v>
      </c>
      <c r="FI343" s="830" t="str">
        <f>IFERROR(VLOOKUP($B343,'Historical Conc Grant Elig'!$B$3:$J$707,'HH &amp; SI'!FI$2,0),"N")</f>
        <v>Y</v>
      </c>
      <c r="FJ343" s="830" t="str">
        <f>IFERROR(VLOOKUP($B343,'Historical Conc Grant Elig'!$B$3:$J$707,'HH &amp; SI'!FJ$2,0),"N")</f>
        <v>Y</v>
      </c>
      <c r="FK343" s="830" t="str">
        <f>IFERROR(VLOOKUP($B343,'Historical Conc Grant Elig'!$B$3:$J$707,'HH &amp; SI'!FK$2,0),"N")</f>
        <v>Y</v>
      </c>
      <c r="FL343" s="957" t="str">
        <f>IFERROR(VLOOKUP($B343,'Historical Conc Grant Elig'!$B$3:$J$707,'HH &amp; SI'!FL$2,0),"N")</f>
        <v>Y</v>
      </c>
    </row>
    <row r="344" spans="2:168" x14ac:dyDescent="0.25">
      <c r="B344" s="634">
        <v>98745000</v>
      </c>
      <c r="C344" s="635" t="str">
        <f>VLOOKUP($B344,'Afton Update'!$A$5:$CR$582,'Afton Update'!D$589,0)</f>
        <v>Career Development  Inc.</v>
      </c>
      <c r="D344" s="636">
        <f>IFERROR(VLOOKUP($B344,'Afton FY16 Final'!$A$5:$BV$587,'Afton FY16 Final'!AQ$587,0),0)</f>
        <v>23523.132126331755</v>
      </c>
      <c r="E344" s="637">
        <f>IFERROR(VLOOKUP($B344,'Afton FY16 Final'!$A$5:$BV$587,'Afton FY16 Final'!AR$587,0),0)</f>
        <v>5736.7575940356919</v>
      </c>
      <c r="F344" s="637">
        <f>IFERROR(VLOOKUP($B344,'Afton FY16 Final'!$A$5:$BV$587,'Afton FY16 Final'!AS$587,0),0)</f>
        <v>13922.915188648311</v>
      </c>
      <c r="G344" s="637">
        <f>IFERROR(VLOOKUP($B344,'Afton FY16 Final'!$A$5:$BV$587,'Afton FY16 Final'!AT$587,0),0)</f>
        <v>13485.22684304649</v>
      </c>
      <c r="H344" s="638">
        <f>IFERROR(VLOOKUP($B344,'Afton FY16 Final'!$A$5:$BV$587,'Afton FY16 Final'!AU$587,0),0)</f>
        <v>56668.031752062248</v>
      </c>
      <c r="I344" s="639" t="str">
        <f>VLOOKUP($B344,'Afton Update'!$A$5:$CR$582,'Afton Update'!BT$589,0)</f>
        <v>Y</v>
      </c>
      <c r="J344" s="640" t="str">
        <f>VLOOKUP($B344,'Afton Update'!$A$5:$CR$582,'Afton Update'!BU$589,0)</f>
        <v>Y</v>
      </c>
      <c r="K344" s="640" t="str">
        <f>VLOOKUP($B344,'Afton Update'!$A$5:$CR$582,'Afton Update'!BV$589,0)</f>
        <v>Y</v>
      </c>
      <c r="L344" s="641" t="str">
        <f>VLOOKUP($B344,'Afton Update'!$A$5:$CR$582,'Afton Update'!BW$589,0)</f>
        <v>Y</v>
      </c>
      <c r="N344" s="642">
        <f>VLOOKUP($B344,'Afton Update'!$A$5:$CR$582,'Afton Update'!CB$589,0)</f>
        <v>0.95</v>
      </c>
      <c r="P344" s="636">
        <f>VLOOKUP($B344,'Afton Update'!$A$5:$CR$582,'Afton Update'!AH$589,0)</f>
        <v>15081.067236797118</v>
      </c>
      <c r="Q344" s="637">
        <f>VLOOKUP($B344,'Afton Update'!$A$5:$CR$582,'Afton Update'!AI$589,0)</f>
        <v>3745.037635896897</v>
      </c>
      <c r="R344" s="637">
        <f>VLOOKUP($B344,'Afton Update'!$A$5:$CR$582,'Afton Update'!AJ$589,0)</f>
        <v>8956.4116294641753</v>
      </c>
      <c r="S344" s="637">
        <f>VLOOKUP($B344,'Afton Update'!$A$5:$CR$582,'Afton Update'!AK$589,0)</f>
        <v>8968.5420558028618</v>
      </c>
      <c r="T344" s="643">
        <f t="shared" si="875"/>
        <v>36751.058557961049</v>
      </c>
      <c r="V344" s="636">
        <f t="shared" si="1024"/>
        <v>22346.975520015167</v>
      </c>
      <c r="W344" s="637">
        <f t="shared" si="1025"/>
        <v>5449.919714333907</v>
      </c>
      <c r="X344" s="637">
        <f t="shared" si="1026"/>
        <v>13226.769429215894</v>
      </c>
      <c r="Y344" s="637">
        <f t="shared" si="1027"/>
        <v>12810.965500894165</v>
      </c>
      <c r="Z344" s="643">
        <f t="shared" si="1028"/>
        <v>53834.630164459129</v>
      </c>
      <c r="AB344" s="644">
        <f t="shared" si="876"/>
        <v>15081.067236797118</v>
      </c>
      <c r="AC344" s="645">
        <f t="shared" si="850"/>
        <v>22346.975520015167</v>
      </c>
      <c r="AD344" s="644">
        <f t="shared" si="1029"/>
        <v>7265.9082832180484</v>
      </c>
      <c r="AE344" s="645">
        <f t="shared" si="1030"/>
        <v>0</v>
      </c>
      <c r="AF344" s="646">
        <f t="shared" si="1031"/>
        <v>0</v>
      </c>
      <c r="AG344" s="647">
        <f t="shared" si="1032"/>
        <v>22346.975520015167</v>
      </c>
      <c r="AH344" s="644">
        <f t="shared" si="877"/>
        <v>0</v>
      </c>
      <c r="AI344" s="645">
        <f t="shared" si="878"/>
        <v>0</v>
      </c>
      <c r="AJ344" s="646">
        <f t="shared" si="1033"/>
        <v>0</v>
      </c>
      <c r="AK344" s="647">
        <f t="shared" si="879"/>
        <v>22346.975520015167</v>
      </c>
      <c r="AL344" s="644">
        <f t="shared" si="1034"/>
        <v>0</v>
      </c>
      <c r="AM344" s="645">
        <f t="shared" si="1035"/>
        <v>0</v>
      </c>
      <c r="AN344" s="646">
        <f t="shared" si="1036"/>
        <v>0</v>
      </c>
      <c r="AO344" s="647">
        <f t="shared" si="880"/>
        <v>22346.975520015167</v>
      </c>
      <c r="AP344" s="644">
        <f t="shared" si="1037"/>
        <v>0</v>
      </c>
      <c r="AQ344" s="645">
        <f t="shared" si="1038"/>
        <v>0</v>
      </c>
      <c r="AR344" s="646">
        <f t="shared" si="1039"/>
        <v>0</v>
      </c>
      <c r="AS344" s="647">
        <f t="shared" si="881"/>
        <v>22346.975520015167</v>
      </c>
      <c r="AT344" s="644">
        <f t="shared" si="1040"/>
        <v>0</v>
      </c>
      <c r="AU344" s="645">
        <f t="shared" si="1041"/>
        <v>0</v>
      </c>
      <c r="AV344" s="646">
        <f t="shared" si="1042"/>
        <v>0</v>
      </c>
      <c r="AW344" s="647">
        <f t="shared" si="882"/>
        <v>22346.975520015167</v>
      </c>
      <c r="AY344" s="644">
        <f t="shared" si="1043"/>
        <v>3745.037635896897</v>
      </c>
      <c r="AZ344" s="645">
        <f t="shared" si="851"/>
        <v>5449.919714333907</v>
      </c>
      <c r="BA344" s="644">
        <f t="shared" si="1044"/>
        <v>1704.88207843701</v>
      </c>
      <c r="BB344" s="645">
        <f t="shared" si="1045"/>
        <v>0</v>
      </c>
      <c r="BC344" s="646">
        <f t="shared" si="1046"/>
        <v>0</v>
      </c>
      <c r="BD344" s="647">
        <f t="shared" si="1047"/>
        <v>5449.919714333907</v>
      </c>
      <c r="BE344" s="644">
        <f t="shared" si="883"/>
        <v>0</v>
      </c>
      <c r="BF344" s="645">
        <f t="shared" si="884"/>
        <v>0</v>
      </c>
      <c r="BG344" s="646">
        <f t="shared" si="1048"/>
        <v>0</v>
      </c>
      <c r="BH344" s="647">
        <f t="shared" si="885"/>
        <v>5449.919714333907</v>
      </c>
      <c r="BI344" s="644">
        <f t="shared" si="1049"/>
        <v>0</v>
      </c>
      <c r="BJ344" s="645">
        <f t="shared" si="1050"/>
        <v>0</v>
      </c>
      <c r="BK344" s="646">
        <f t="shared" si="1051"/>
        <v>0</v>
      </c>
      <c r="BL344" s="647">
        <f t="shared" si="886"/>
        <v>5449.919714333907</v>
      </c>
      <c r="BM344" s="644">
        <f t="shared" si="1052"/>
        <v>0</v>
      </c>
      <c r="BN344" s="645">
        <f t="shared" si="1053"/>
        <v>0</v>
      </c>
      <c r="BO344" s="646">
        <f t="shared" si="1054"/>
        <v>0</v>
      </c>
      <c r="BP344" s="647">
        <f t="shared" si="887"/>
        <v>5449.919714333907</v>
      </c>
      <c r="BQ344" s="644">
        <f t="shared" si="1055"/>
        <v>0</v>
      </c>
      <c r="BR344" s="645">
        <f t="shared" si="1056"/>
        <v>0</v>
      </c>
      <c r="BS344" s="646">
        <f t="shared" si="1057"/>
        <v>0</v>
      </c>
      <c r="BT344" s="647">
        <f t="shared" si="888"/>
        <v>5449.919714333907</v>
      </c>
      <c r="BU344" s="662">
        <f>VLOOKUP(B344,'Afton Update'!$A$5:$AR$582,'Afton Update'!$AO$589,0)-BT344</f>
        <v>0</v>
      </c>
      <c r="BV344" s="644">
        <f t="shared" si="1058"/>
        <v>8956.4116294641753</v>
      </c>
      <c r="BW344" s="645">
        <f t="shared" si="852"/>
        <v>13226.769429215894</v>
      </c>
      <c r="BX344" s="644">
        <f t="shared" si="1059"/>
        <v>4270.3577997517186</v>
      </c>
      <c r="BY344" s="645">
        <f t="shared" si="1060"/>
        <v>0</v>
      </c>
      <c r="BZ344" s="646">
        <f t="shared" si="1061"/>
        <v>0</v>
      </c>
      <c r="CA344" s="647">
        <f t="shared" si="1062"/>
        <v>13226.769429215894</v>
      </c>
      <c r="CB344" s="644">
        <f t="shared" si="889"/>
        <v>0</v>
      </c>
      <c r="CC344" s="645">
        <f t="shared" si="890"/>
        <v>0</v>
      </c>
      <c r="CD344" s="646">
        <f t="shared" si="1063"/>
        <v>0</v>
      </c>
      <c r="CE344" s="647">
        <f t="shared" si="891"/>
        <v>13226.769429215894</v>
      </c>
      <c r="CF344" s="644">
        <f t="shared" si="1064"/>
        <v>0</v>
      </c>
      <c r="CG344" s="645">
        <f t="shared" si="1065"/>
        <v>0</v>
      </c>
      <c r="CH344" s="646">
        <f t="shared" si="1066"/>
        <v>0</v>
      </c>
      <c r="CI344" s="647">
        <f t="shared" si="892"/>
        <v>13226.769429215894</v>
      </c>
      <c r="CJ344" s="644">
        <f t="shared" si="1067"/>
        <v>0</v>
      </c>
      <c r="CK344" s="645">
        <f t="shared" si="1068"/>
        <v>0</v>
      </c>
      <c r="CL344" s="646">
        <f t="shared" si="1069"/>
        <v>0</v>
      </c>
      <c r="CM344" s="647">
        <f t="shared" si="893"/>
        <v>13226.769429215894</v>
      </c>
      <c r="CN344" s="644">
        <f t="shared" si="1070"/>
        <v>0</v>
      </c>
      <c r="CO344" s="645">
        <f t="shared" si="1071"/>
        <v>0</v>
      </c>
      <c r="CP344" s="646">
        <f t="shared" si="1072"/>
        <v>0</v>
      </c>
      <c r="CQ344" s="647">
        <f t="shared" si="894"/>
        <v>13226.769429215894</v>
      </c>
      <c r="CS344" s="644">
        <f t="shared" si="1073"/>
        <v>8968.5420558028618</v>
      </c>
      <c r="CT344" s="645">
        <f t="shared" si="853"/>
        <v>12810.965500894165</v>
      </c>
      <c r="CU344" s="644">
        <f t="shared" si="1074"/>
        <v>3842.4234450913027</v>
      </c>
      <c r="CV344" s="645">
        <f t="shared" si="1075"/>
        <v>0</v>
      </c>
      <c r="CW344" s="646">
        <f t="shared" si="1076"/>
        <v>0</v>
      </c>
      <c r="CX344" s="647">
        <f t="shared" si="1077"/>
        <v>12810.965500894165</v>
      </c>
      <c r="CY344" s="644">
        <f t="shared" si="895"/>
        <v>0</v>
      </c>
      <c r="CZ344" s="645">
        <f t="shared" si="896"/>
        <v>0</v>
      </c>
      <c r="DA344" s="646">
        <f t="shared" si="1078"/>
        <v>0</v>
      </c>
      <c r="DB344" s="647">
        <f t="shared" si="897"/>
        <v>12810.965500894165</v>
      </c>
      <c r="DC344" s="644">
        <f t="shared" si="1079"/>
        <v>0</v>
      </c>
      <c r="DD344" s="645">
        <f t="shared" si="1080"/>
        <v>0</v>
      </c>
      <c r="DE344" s="646">
        <f t="shared" si="1081"/>
        <v>0</v>
      </c>
      <c r="DF344" s="647">
        <f t="shared" si="898"/>
        <v>12810.965500894165</v>
      </c>
      <c r="DG344" s="644">
        <f t="shared" si="1082"/>
        <v>0</v>
      </c>
      <c r="DH344" s="645">
        <f t="shared" si="1083"/>
        <v>0</v>
      </c>
      <c r="DI344" s="646">
        <f t="shared" si="1084"/>
        <v>0</v>
      </c>
      <c r="DJ344" s="647">
        <f t="shared" si="899"/>
        <v>12810.965500894165</v>
      </c>
      <c r="DK344" s="644">
        <f t="shared" si="1085"/>
        <v>0</v>
      </c>
      <c r="DL344" s="645">
        <f t="shared" si="1086"/>
        <v>0</v>
      </c>
      <c r="DM344" s="646">
        <f t="shared" si="1087"/>
        <v>0</v>
      </c>
      <c r="DN344" s="647">
        <f t="shared" si="900"/>
        <v>12810.965500894165</v>
      </c>
      <c r="DR344" s="827">
        <f t="shared" si="854"/>
        <v>53834.630164459129</v>
      </c>
      <c r="DV344" s="828">
        <f>IFERROR(VLOOKUP($B344,'Afton FY16 Final'!$A$5:$BV$587,'Afton FY16 Final'!$BV$587,0),0)</f>
        <v>50311.600124529847</v>
      </c>
      <c r="DX344" s="636">
        <f t="shared" si="842"/>
        <v>53834.630164459129</v>
      </c>
      <c r="DY344" s="637">
        <f t="shared" si="843"/>
        <v>3523.0300399292828</v>
      </c>
      <c r="DZ344" s="637">
        <f t="shared" si="844"/>
        <v>50311.600124529847</v>
      </c>
      <c r="EA344" s="643">
        <f t="shared" si="845"/>
        <v>50971.231185995333</v>
      </c>
      <c r="EB344" s="637">
        <f t="shared" si="855"/>
        <v>0</v>
      </c>
      <c r="EC344" s="637">
        <f t="shared" si="856"/>
        <v>50971.231185995333</v>
      </c>
      <c r="ED344" s="637">
        <f t="shared" si="857"/>
        <v>50819.238017975003</v>
      </c>
      <c r="EE344" s="643">
        <f t="shared" si="858"/>
        <v>50819.238017975003</v>
      </c>
      <c r="EF344" s="637">
        <f t="shared" si="859"/>
        <v>0</v>
      </c>
      <c r="EG344" s="637">
        <f t="shared" si="860"/>
        <v>50819.238017975003</v>
      </c>
      <c r="EH344" s="637">
        <f t="shared" si="861"/>
        <v>50819.185589750763</v>
      </c>
      <c r="EI344" s="643">
        <f t="shared" si="862"/>
        <v>50819.185589750763</v>
      </c>
      <c r="EJ344" s="637">
        <f t="shared" si="863"/>
        <v>0</v>
      </c>
      <c r="EK344" s="637">
        <f t="shared" si="864"/>
        <v>50819.185589750763</v>
      </c>
      <c r="EL344" s="637">
        <f t="shared" si="865"/>
        <v>50819.18558975069</v>
      </c>
      <c r="EM344" s="643">
        <f t="shared" si="866"/>
        <v>50819.18558975069</v>
      </c>
      <c r="EN344" s="637">
        <f t="shared" si="867"/>
        <v>0</v>
      </c>
      <c r="EO344" s="637">
        <f t="shared" si="868"/>
        <v>50819.18558975069</v>
      </c>
      <c r="EP344" s="637">
        <f t="shared" si="869"/>
        <v>50819.18558975077</v>
      </c>
      <c r="EQ344" s="643">
        <f t="shared" si="870"/>
        <v>50819.18558975077</v>
      </c>
      <c r="ER344" s="637">
        <f t="shared" si="871"/>
        <v>0</v>
      </c>
      <c r="ES344" s="637">
        <f t="shared" si="872"/>
        <v>50819.18558975077</v>
      </c>
      <c r="ET344" s="637">
        <f t="shared" si="873"/>
        <v>50819.18558975069</v>
      </c>
      <c r="EU344" s="643">
        <f t="shared" si="846"/>
        <v>50819.18558975069</v>
      </c>
      <c r="EV344" s="643">
        <f t="shared" si="847"/>
        <v>0</v>
      </c>
      <c r="EX344" s="829">
        <f t="shared" si="848"/>
        <v>3015.4445747084392</v>
      </c>
      <c r="EY344" s="638">
        <f t="shared" si="849"/>
        <v>50819.18558975069</v>
      </c>
      <c r="FC344" s="830" t="str">
        <f t="shared" si="874"/>
        <v>Y</v>
      </c>
      <c r="FE344" s="830" t="str">
        <f>IFERROR(VLOOKUP($B344,'Historical Conc Grant Elig'!$B$3:$J$707,'HH &amp; SI'!FE$2,0),"N")</f>
        <v>Y</v>
      </c>
      <c r="FF344" s="830" t="str">
        <f>IFERROR(VLOOKUP($B344,'Historical Conc Grant Elig'!$B$3:$J$707,'HH &amp; SI'!FF$2,0),"N")</f>
        <v>Y</v>
      </c>
      <c r="FG344" s="830" t="str">
        <f>IFERROR(VLOOKUP($B344,'Historical Conc Grant Elig'!$B$3:$J$707,'HH &amp; SI'!FG$2,0),"N")</f>
        <v>Y</v>
      </c>
      <c r="FH344" s="830" t="str">
        <f>IFERROR(VLOOKUP($B344,'Historical Conc Grant Elig'!$B$3:$J$707,'HH &amp; SI'!FH$2,0),"N")</f>
        <v>Y</v>
      </c>
      <c r="FI344" s="830" t="str">
        <f>IFERROR(VLOOKUP($B344,'Historical Conc Grant Elig'!$B$3:$J$707,'HH &amp; SI'!FI$2,0),"N")</f>
        <v>Y</v>
      </c>
      <c r="FJ344" s="830" t="str">
        <f>IFERROR(VLOOKUP($B344,'Historical Conc Grant Elig'!$B$3:$J$707,'HH &amp; SI'!FJ$2,0),"N")</f>
        <v>Y</v>
      </c>
      <c r="FK344" s="830" t="str">
        <f>IFERROR(VLOOKUP($B344,'Historical Conc Grant Elig'!$B$3:$J$707,'HH &amp; SI'!FK$2,0),"N")</f>
        <v>Y</v>
      </c>
      <c r="FL344" s="957" t="str">
        <f>IFERROR(VLOOKUP($B344,'Historical Conc Grant Elig'!$B$3:$J$707,'HH &amp; SI'!FL$2,0),"N")</f>
        <v>Y</v>
      </c>
    </row>
    <row r="345" spans="2:168" x14ac:dyDescent="0.25">
      <c r="B345" s="634">
        <v>98746000</v>
      </c>
      <c r="C345" s="635" t="str">
        <f>VLOOKUP($B345,'Afton Update'!$A$5:$CR$582,'Afton Update'!D$589,0)</f>
        <v>Shonto Governing Board of Education, Inc.</v>
      </c>
      <c r="D345" s="636">
        <f>IFERROR(VLOOKUP($B345,'Afton FY16 Final'!$A$5:$BV$587,'Afton FY16 Final'!AQ$587,0),0)</f>
        <v>26805.588055721953</v>
      </c>
      <c r="E345" s="637">
        <f>IFERROR(VLOOKUP($B345,'Afton FY16 Final'!$A$5:$BV$587,'Afton FY16 Final'!AR$587,0),0)</f>
        <v>6716.6574270552765</v>
      </c>
      <c r="F345" s="637">
        <f>IFERROR(VLOOKUP($B345,'Afton FY16 Final'!$A$5:$BV$587,'Afton FY16 Final'!AS$587,0),0)</f>
        <v>14816.544645995627</v>
      </c>
      <c r="G345" s="637">
        <f>IFERROR(VLOOKUP($B345,'Afton FY16 Final'!$A$5:$BV$587,'Afton FY16 Final'!AT$587,0),0)</f>
        <v>15491.287014987505</v>
      </c>
      <c r="H345" s="638">
        <f>IFERROR(VLOOKUP($B345,'Afton FY16 Final'!$A$5:$BV$587,'Afton FY16 Final'!AU$587,0),0)</f>
        <v>63830.077143760369</v>
      </c>
      <c r="I345" s="639" t="str">
        <f>VLOOKUP($B345,'Afton Update'!$A$5:$CR$582,'Afton Update'!BT$589,0)</f>
        <v>Y</v>
      </c>
      <c r="J345" s="640" t="str">
        <f>VLOOKUP($B345,'Afton Update'!$A$5:$CR$582,'Afton Update'!BU$589,0)</f>
        <v>Y</v>
      </c>
      <c r="K345" s="640" t="str">
        <f>VLOOKUP($B345,'Afton Update'!$A$5:$CR$582,'Afton Update'!BV$589,0)</f>
        <v>Y</v>
      </c>
      <c r="L345" s="641" t="str">
        <f>VLOOKUP($B345,'Afton Update'!$A$5:$CR$582,'Afton Update'!BW$589,0)</f>
        <v>Y</v>
      </c>
      <c r="N345" s="642">
        <f>VLOOKUP($B345,'Afton Update'!$A$5:$CR$582,'Afton Update'!CB$589,0)</f>
        <v>0.95</v>
      </c>
      <c r="P345" s="636">
        <f>VLOOKUP($B345,'Afton Update'!$A$5:$CR$582,'Afton Update'!AH$589,0)</f>
        <v>16133.234718434127</v>
      </c>
      <c r="Q345" s="637">
        <f>VLOOKUP($B345,'Afton Update'!$A$5:$CR$582,'Afton Update'!AI$589,0)</f>
        <v>4006.3193314245877</v>
      </c>
      <c r="R345" s="637">
        <f>VLOOKUP($B345,'Afton Update'!$A$5:$CR$582,'Afton Update'!AJ$589,0)</f>
        <v>9581.2775571012116</v>
      </c>
      <c r="S345" s="637">
        <f>VLOOKUP($B345,'Afton Update'!$A$5:$CR$582,'Afton Update'!AK$589,0)</f>
        <v>9594.2542922542252</v>
      </c>
      <c r="T345" s="643">
        <f t="shared" si="875"/>
        <v>39315.085899214151</v>
      </c>
      <c r="V345" s="636">
        <f t="shared" si="1024"/>
        <v>25465.308652935855</v>
      </c>
      <c r="W345" s="637">
        <f t="shared" si="1025"/>
        <v>6380.824555702512</v>
      </c>
      <c r="X345" s="637">
        <f t="shared" si="1026"/>
        <v>14075.717413695846</v>
      </c>
      <c r="Y345" s="637">
        <f t="shared" si="1027"/>
        <v>14716.72266423813</v>
      </c>
      <c r="Z345" s="643">
        <f t="shared" si="1028"/>
        <v>60638.57328657234</v>
      </c>
      <c r="AB345" s="644">
        <f t="shared" si="876"/>
        <v>16133.234718434127</v>
      </c>
      <c r="AC345" s="645">
        <f t="shared" si="850"/>
        <v>25465.308652935855</v>
      </c>
      <c r="AD345" s="644">
        <f t="shared" si="1029"/>
        <v>9332.0739345017282</v>
      </c>
      <c r="AE345" s="645">
        <f t="shared" si="1030"/>
        <v>0</v>
      </c>
      <c r="AF345" s="646">
        <f t="shared" si="1031"/>
        <v>0</v>
      </c>
      <c r="AG345" s="647">
        <f t="shared" si="1032"/>
        <v>25465.308652935855</v>
      </c>
      <c r="AH345" s="644">
        <f t="shared" si="877"/>
        <v>0</v>
      </c>
      <c r="AI345" s="645">
        <f t="shared" si="878"/>
        <v>0</v>
      </c>
      <c r="AJ345" s="646">
        <f t="shared" si="1033"/>
        <v>0</v>
      </c>
      <c r="AK345" s="647">
        <f t="shared" si="879"/>
        <v>25465.308652935855</v>
      </c>
      <c r="AL345" s="644">
        <f t="shared" si="1034"/>
        <v>0</v>
      </c>
      <c r="AM345" s="645">
        <f t="shared" si="1035"/>
        <v>0</v>
      </c>
      <c r="AN345" s="646">
        <f t="shared" si="1036"/>
        <v>0</v>
      </c>
      <c r="AO345" s="647">
        <f t="shared" si="880"/>
        <v>25465.308652935855</v>
      </c>
      <c r="AP345" s="644">
        <f t="shared" si="1037"/>
        <v>0</v>
      </c>
      <c r="AQ345" s="645">
        <f t="shared" si="1038"/>
        <v>0</v>
      </c>
      <c r="AR345" s="646">
        <f t="shared" si="1039"/>
        <v>0</v>
      </c>
      <c r="AS345" s="647">
        <f t="shared" si="881"/>
        <v>25465.308652935855</v>
      </c>
      <c r="AT345" s="644">
        <f t="shared" si="1040"/>
        <v>0</v>
      </c>
      <c r="AU345" s="645">
        <f t="shared" si="1041"/>
        <v>0</v>
      </c>
      <c r="AV345" s="646">
        <f t="shared" si="1042"/>
        <v>0</v>
      </c>
      <c r="AW345" s="647">
        <f t="shared" si="882"/>
        <v>25465.308652935855</v>
      </c>
      <c r="AY345" s="644">
        <f t="shared" si="1043"/>
        <v>4006.3193314245877</v>
      </c>
      <c r="AZ345" s="645">
        <f t="shared" si="851"/>
        <v>6380.824555702512</v>
      </c>
      <c r="BA345" s="644">
        <f t="shared" si="1044"/>
        <v>2374.5052242779243</v>
      </c>
      <c r="BB345" s="645">
        <f t="shared" si="1045"/>
        <v>0</v>
      </c>
      <c r="BC345" s="646">
        <f t="shared" si="1046"/>
        <v>0</v>
      </c>
      <c r="BD345" s="647">
        <f t="shared" si="1047"/>
        <v>6380.824555702512</v>
      </c>
      <c r="BE345" s="644">
        <f t="shared" si="883"/>
        <v>0</v>
      </c>
      <c r="BF345" s="645">
        <f t="shared" si="884"/>
        <v>0</v>
      </c>
      <c r="BG345" s="646">
        <f t="shared" si="1048"/>
        <v>0</v>
      </c>
      <c r="BH345" s="647">
        <f t="shared" si="885"/>
        <v>6380.824555702512</v>
      </c>
      <c r="BI345" s="644">
        <f t="shared" si="1049"/>
        <v>0</v>
      </c>
      <c r="BJ345" s="645">
        <f t="shared" si="1050"/>
        <v>0</v>
      </c>
      <c r="BK345" s="646">
        <f t="shared" si="1051"/>
        <v>0</v>
      </c>
      <c r="BL345" s="647">
        <f t="shared" si="886"/>
        <v>6380.824555702512</v>
      </c>
      <c r="BM345" s="644">
        <f t="shared" si="1052"/>
        <v>0</v>
      </c>
      <c r="BN345" s="645">
        <f t="shared" si="1053"/>
        <v>0</v>
      </c>
      <c r="BO345" s="646">
        <f t="shared" si="1054"/>
        <v>0</v>
      </c>
      <c r="BP345" s="647">
        <f t="shared" si="887"/>
        <v>6380.824555702512</v>
      </c>
      <c r="BQ345" s="644">
        <f t="shared" si="1055"/>
        <v>0</v>
      </c>
      <c r="BR345" s="645">
        <f t="shared" si="1056"/>
        <v>0</v>
      </c>
      <c r="BS345" s="646">
        <f t="shared" si="1057"/>
        <v>0</v>
      </c>
      <c r="BT345" s="647">
        <f t="shared" si="888"/>
        <v>6380.824555702512</v>
      </c>
      <c r="BU345" s="662">
        <f>VLOOKUP(B345,'Afton Update'!$A$5:$AR$582,'Afton Update'!$AO$589,0)-BT345</f>
        <v>0</v>
      </c>
      <c r="BV345" s="644">
        <f t="shared" si="1058"/>
        <v>9581.2775571012116</v>
      </c>
      <c r="BW345" s="645">
        <f t="shared" si="852"/>
        <v>14075.717413695846</v>
      </c>
      <c r="BX345" s="644">
        <f t="shared" si="1059"/>
        <v>4494.439856594634</v>
      </c>
      <c r="BY345" s="645">
        <f t="shared" si="1060"/>
        <v>0</v>
      </c>
      <c r="BZ345" s="646">
        <f t="shared" si="1061"/>
        <v>0</v>
      </c>
      <c r="CA345" s="647">
        <f t="shared" si="1062"/>
        <v>14075.717413695846</v>
      </c>
      <c r="CB345" s="644">
        <f t="shared" si="889"/>
        <v>0</v>
      </c>
      <c r="CC345" s="645">
        <f t="shared" si="890"/>
        <v>0</v>
      </c>
      <c r="CD345" s="646">
        <f t="shared" si="1063"/>
        <v>0</v>
      </c>
      <c r="CE345" s="647">
        <f t="shared" si="891"/>
        <v>14075.717413695846</v>
      </c>
      <c r="CF345" s="644">
        <f t="shared" si="1064"/>
        <v>0</v>
      </c>
      <c r="CG345" s="645">
        <f t="shared" si="1065"/>
        <v>0</v>
      </c>
      <c r="CH345" s="646">
        <f t="shared" si="1066"/>
        <v>0</v>
      </c>
      <c r="CI345" s="647">
        <f t="shared" si="892"/>
        <v>14075.717413695846</v>
      </c>
      <c r="CJ345" s="644">
        <f t="shared" si="1067"/>
        <v>0</v>
      </c>
      <c r="CK345" s="645">
        <f t="shared" si="1068"/>
        <v>0</v>
      </c>
      <c r="CL345" s="646">
        <f t="shared" si="1069"/>
        <v>0</v>
      </c>
      <c r="CM345" s="647">
        <f t="shared" si="893"/>
        <v>14075.717413695846</v>
      </c>
      <c r="CN345" s="644">
        <f t="shared" si="1070"/>
        <v>0</v>
      </c>
      <c r="CO345" s="645">
        <f t="shared" si="1071"/>
        <v>0</v>
      </c>
      <c r="CP345" s="646">
        <f t="shared" si="1072"/>
        <v>0</v>
      </c>
      <c r="CQ345" s="647">
        <f t="shared" si="894"/>
        <v>14075.717413695846</v>
      </c>
      <c r="CS345" s="644">
        <f t="shared" si="1073"/>
        <v>9594.2542922542252</v>
      </c>
      <c r="CT345" s="645">
        <f t="shared" si="853"/>
        <v>14716.72266423813</v>
      </c>
      <c r="CU345" s="644">
        <f t="shared" si="1074"/>
        <v>5122.4683719839049</v>
      </c>
      <c r="CV345" s="645">
        <f t="shared" si="1075"/>
        <v>0</v>
      </c>
      <c r="CW345" s="646">
        <f t="shared" si="1076"/>
        <v>0</v>
      </c>
      <c r="CX345" s="647">
        <f t="shared" si="1077"/>
        <v>14716.72266423813</v>
      </c>
      <c r="CY345" s="644">
        <f t="shared" si="895"/>
        <v>0</v>
      </c>
      <c r="CZ345" s="645">
        <f t="shared" si="896"/>
        <v>0</v>
      </c>
      <c r="DA345" s="646">
        <f t="shared" si="1078"/>
        <v>0</v>
      </c>
      <c r="DB345" s="647">
        <f t="shared" si="897"/>
        <v>14716.72266423813</v>
      </c>
      <c r="DC345" s="644">
        <f t="shared" si="1079"/>
        <v>0</v>
      </c>
      <c r="DD345" s="645">
        <f t="shared" si="1080"/>
        <v>0</v>
      </c>
      <c r="DE345" s="646">
        <f t="shared" si="1081"/>
        <v>0</v>
      </c>
      <c r="DF345" s="647">
        <f t="shared" si="898"/>
        <v>14716.72266423813</v>
      </c>
      <c r="DG345" s="644">
        <f t="shared" si="1082"/>
        <v>0</v>
      </c>
      <c r="DH345" s="645">
        <f t="shared" si="1083"/>
        <v>0</v>
      </c>
      <c r="DI345" s="646">
        <f t="shared" si="1084"/>
        <v>0</v>
      </c>
      <c r="DJ345" s="647">
        <f t="shared" si="899"/>
        <v>14716.72266423813</v>
      </c>
      <c r="DK345" s="644">
        <f t="shared" si="1085"/>
        <v>0</v>
      </c>
      <c r="DL345" s="645">
        <f t="shared" si="1086"/>
        <v>0</v>
      </c>
      <c r="DM345" s="646">
        <f t="shared" si="1087"/>
        <v>0</v>
      </c>
      <c r="DN345" s="647">
        <f t="shared" si="900"/>
        <v>14716.72266423813</v>
      </c>
      <c r="DR345" s="827">
        <f t="shared" si="854"/>
        <v>60638.57328657234</v>
      </c>
      <c r="DV345" s="828">
        <f>IFERROR(VLOOKUP($B345,'Afton FY16 Final'!$A$5:$BV$587,'Afton FY16 Final'!$BV$587,0),0)</f>
        <v>62573.262935370549</v>
      </c>
      <c r="DX345" s="636">
        <f t="shared" si="842"/>
        <v>0</v>
      </c>
      <c r="DY345" s="637">
        <f t="shared" si="843"/>
        <v>0</v>
      </c>
      <c r="DZ345" s="637">
        <f t="shared" si="844"/>
        <v>0</v>
      </c>
      <c r="EA345" s="643">
        <f t="shared" si="845"/>
        <v>0</v>
      </c>
      <c r="EB345" s="637">
        <f t="shared" si="855"/>
        <v>0</v>
      </c>
      <c r="EC345" s="637">
        <f t="shared" si="856"/>
        <v>0</v>
      </c>
      <c r="ED345" s="637">
        <f t="shared" si="857"/>
        <v>0</v>
      </c>
      <c r="EE345" s="643">
        <f t="shared" si="858"/>
        <v>0</v>
      </c>
      <c r="EF345" s="637">
        <f t="shared" si="859"/>
        <v>0</v>
      </c>
      <c r="EG345" s="637">
        <f t="shared" si="860"/>
        <v>0</v>
      </c>
      <c r="EH345" s="637">
        <f t="shared" si="861"/>
        <v>0</v>
      </c>
      <c r="EI345" s="643">
        <f t="shared" si="862"/>
        <v>0</v>
      </c>
      <c r="EJ345" s="637">
        <f t="shared" si="863"/>
        <v>0</v>
      </c>
      <c r="EK345" s="637">
        <f t="shared" si="864"/>
        <v>0</v>
      </c>
      <c r="EL345" s="637">
        <f t="shared" si="865"/>
        <v>0</v>
      </c>
      <c r="EM345" s="643">
        <f t="shared" si="866"/>
        <v>0</v>
      </c>
      <c r="EN345" s="637">
        <f t="shared" si="867"/>
        <v>0</v>
      </c>
      <c r="EO345" s="637">
        <f t="shared" si="868"/>
        <v>0</v>
      </c>
      <c r="EP345" s="637">
        <f t="shared" si="869"/>
        <v>0</v>
      </c>
      <c r="EQ345" s="643">
        <f t="shared" si="870"/>
        <v>0</v>
      </c>
      <c r="ER345" s="637">
        <f t="shared" si="871"/>
        <v>0</v>
      </c>
      <c r="ES345" s="637">
        <f t="shared" si="872"/>
        <v>0</v>
      </c>
      <c r="ET345" s="637">
        <f t="shared" si="873"/>
        <v>0</v>
      </c>
      <c r="EU345" s="643">
        <f t="shared" si="846"/>
        <v>0</v>
      </c>
      <c r="EV345" s="643">
        <f t="shared" si="847"/>
        <v>0</v>
      </c>
      <c r="EX345" s="829">
        <f t="shared" si="848"/>
        <v>0</v>
      </c>
      <c r="EY345" s="638">
        <f t="shared" si="849"/>
        <v>60638.57328657234</v>
      </c>
      <c r="FC345" s="830" t="str">
        <f t="shared" si="874"/>
        <v>Y</v>
      </c>
      <c r="FE345" s="830" t="str">
        <f>IFERROR(VLOOKUP($B345,'Historical Conc Grant Elig'!$B$3:$J$707,'HH &amp; SI'!FE$2,0),"N")</f>
        <v>N</v>
      </c>
      <c r="FF345" s="830" t="str">
        <f>IFERROR(VLOOKUP($B345,'Historical Conc Grant Elig'!$B$3:$J$707,'HH &amp; SI'!FF$2,0),"N")</f>
        <v>N</v>
      </c>
      <c r="FG345" s="830" t="str">
        <f>IFERROR(VLOOKUP($B345,'Historical Conc Grant Elig'!$B$3:$J$707,'HH &amp; SI'!FG$2,0),"N")</f>
        <v>Y</v>
      </c>
      <c r="FH345" s="830" t="str">
        <f>IFERROR(VLOOKUP($B345,'Historical Conc Grant Elig'!$B$3:$J$707,'HH &amp; SI'!FH$2,0),"N")</f>
        <v>Y</v>
      </c>
      <c r="FI345" s="830" t="str">
        <f>IFERROR(VLOOKUP($B345,'Historical Conc Grant Elig'!$B$3:$J$707,'HH &amp; SI'!FI$2,0),"N")</f>
        <v>Y</v>
      </c>
      <c r="FJ345" s="830" t="str">
        <f>IFERROR(VLOOKUP($B345,'Historical Conc Grant Elig'!$B$3:$J$707,'HH &amp; SI'!FJ$2,0),"N")</f>
        <v>Y</v>
      </c>
      <c r="FK345" s="830" t="str">
        <f>IFERROR(VLOOKUP($B345,'Historical Conc Grant Elig'!$B$3:$J$707,'HH &amp; SI'!FK$2,0),"N")</f>
        <v>Y</v>
      </c>
      <c r="FL345" s="957" t="str">
        <f>IFERROR(VLOOKUP($B345,'Historical Conc Grant Elig'!$B$3:$J$707,'HH &amp; SI'!FL$2,0),"N")</f>
        <v>Y</v>
      </c>
    </row>
    <row r="346" spans="2:168" x14ac:dyDescent="0.25">
      <c r="B346" s="634">
        <v>98749000</v>
      </c>
      <c r="C346" s="635" t="str">
        <f>VLOOKUP($B346,'Afton Update'!$A$5:$CR$582,'Afton Update'!D$589,0)</f>
        <v>CAFA  Inc. dba Learning Foundation Performing Arts School</v>
      </c>
      <c r="D346" s="636">
        <f>IFERROR(VLOOKUP($B346,'Afton FY16 Final'!$A$5:$BV$587,'Afton FY16 Final'!AQ$587,0),0)</f>
        <v>40560.041748225842</v>
      </c>
      <c r="E346" s="637">
        <f>IFERROR(VLOOKUP($B346,'Afton FY16 Final'!$A$5:$BV$587,'Afton FY16 Final'!AR$587,0),0)</f>
        <v>10144.436356274757</v>
      </c>
      <c r="F346" s="637">
        <f>IFERROR(VLOOKUP($B346,'Afton FY16 Final'!$A$5:$BV$587,'Afton FY16 Final'!AS$587,0),0)</f>
        <v>22012.411097259203</v>
      </c>
      <c r="G346" s="637">
        <f>IFERROR(VLOOKUP($B346,'Afton FY16 Final'!$A$5:$BV$587,'Afton FY16 Final'!AT$587,0),0)</f>
        <v>18563.345435289579</v>
      </c>
      <c r="H346" s="638">
        <f>IFERROR(VLOOKUP($B346,'Afton FY16 Final'!$A$5:$BV$587,'Afton FY16 Final'!AU$587,0),0)</f>
        <v>91280.234637049376</v>
      </c>
      <c r="I346" s="639" t="str">
        <f>VLOOKUP($B346,'Afton Update'!$A$5:$CR$582,'Afton Update'!BT$589,0)</f>
        <v>Y</v>
      </c>
      <c r="J346" s="640" t="str">
        <f>VLOOKUP($B346,'Afton Update'!$A$5:$CR$582,'Afton Update'!BU$589,0)</f>
        <v>Y</v>
      </c>
      <c r="K346" s="640" t="str">
        <f>VLOOKUP($B346,'Afton Update'!$A$5:$CR$582,'Afton Update'!BV$589,0)</f>
        <v>Y</v>
      </c>
      <c r="L346" s="641" t="str">
        <f>VLOOKUP($B346,'Afton Update'!$A$5:$CR$582,'Afton Update'!BW$589,0)</f>
        <v>Y</v>
      </c>
      <c r="N346" s="642">
        <f>VLOOKUP($B346,'Afton Update'!$A$5:$CR$582,'Afton Update'!CB$589,0)</f>
        <v>0.95</v>
      </c>
      <c r="P346" s="636">
        <f>VLOOKUP($B346,'Afton Update'!$A$5:$CR$582,'Afton Update'!AH$589,0)</f>
        <v>44485.552469520233</v>
      </c>
      <c r="Q346" s="637">
        <f>VLOOKUP($B346,'Afton Update'!$A$5:$CR$582,'Afton Update'!AI$589,0)</f>
        <v>11330.362094953702</v>
      </c>
      <c r="R346" s="637">
        <f>VLOOKUP($B346,'Afton Update'!$A$5:$CR$582,'Afton Update'!AJ$589,0)</f>
        <v>26061.043562959927</v>
      </c>
      <c r="S346" s="637">
        <f>VLOOKUP($B346,'Afton Update'!$A$5:$CR$582,'Afton Update'!AK$589,0)</f>
        <v>24259.408191251601</v>
      </c>
      <c r="T346" s="643">
        <f t="shared" si="875"/>
        <v>106136.36631868545</v>
      </c>
      <c r="V346" s="636">
        <f t="shared" si="1024"/>
        <v>43878.740659880321</v>
      </c>
      <c r="W346" s="637">
        <f t="shared" si="1025"/>
        <v>10957.18139242908</v>
      </c>
      <c r="X346" s="637">
        <f t="shared" si="1026"/>
        <v>25824.028546904538</v>
      </c>
      <c r="Y346" s="637">
        <f t="shared" si="1027"/>
        <v>23992.113182149438</v>
      </c>
      <c r="Z346" s="643">
        <f t="shared" si="1028"/>
        <v>104652.06378136337</v>
      </c>
      <c r="AB346" s="644">
        <f t="shared" si="876"/>
        <v>44485.552469520233</v>
      </c>
      <c r="AC346" s="645">
        <f t="shared" si="850"/>
        <v>38532.039660814546</v>
      </c>
      <c r="AD346" s="644">
        <f t="shared" si="1029"/>
        <v>0</v>
      </c>
      <c r="AE346" s="645">
        <f t="shared" si="1030"/>
        <v>44485.552469520233</v>
      </c>
      <c r="AF346" s="646">
        <f t="shared" si="1031"/>
        <v>-551.43185286249388</v>
      </c>
      <c r="AG346" s="647">
        <f t="shared" si="1032"/>
        <v>43934.120616657739</v>
      </c>
      <c r="AH346" s="644">
        <f t="shared" si="877"/>
        <v>0</v>
      </c>
      <c r="AI346" s="645">
        <f t="shared" si="878"/>
        <v>43934.120616657739</v>
      </c>
      <c r="AJ346" s="646">
        <f t="shared" si="1033"/>
        <v>-55.344674377057416</v>
      </c>
      <c r="AK346" s="647">
        <f t="shared" si="879"/>
        <v>43878.775942280685</v>
      </c>
      <c r="AL346" s="644">
        <f t="shared" si="1034"/>
        <v>0</v>
      </c>
      <c r="AM346" s="645">
        <f t="shared" si="1035"/>
        <v>43878.775942280685</v>
      </c>
      <c r="AN346" s="646">
        <f t="shared" si="1036"/>
        <v>-3.5282400367396764E-2</v>
      </c>
      <c r="AO346" s="647">
        <f t="shared" si="880"/>
        <v>43878.740659880321</v>
      </c>
      <c r="AP346" s="644">
        <f t="shared" si="1037"/>
        <v>0</v>
      </c>
      <c r="AQ346" s="645">
        <f t="shared" si="1038"/>
        <v>43878.740659880321</v>
      </c>
      <c r="AR346" s="646">
        <f t="shared" si="1039"/>
        <v>0</v>
      </c>
      <c r="AS346" s="647">
        <f t="shared" si="881"/>
        <v>43878.740659880321</v>
      </c>
      <c r="AT346" s="644">
        <f t="shared" si="1040"/>
        <v>0</v>
      </c>
      <c r="AU346" s="645">
        <f t="shared" si="1041"/>
        <v>43878.740659880321</v>
      </c>
      <c r="AV346" s="646">
        <f t="shared" si="1042"/>
        <v>0</v>
      </c>
      <c r="AW346" s="647">
        <f t="shared" si="882"/>
        <v>43878.740659880321</v>
      </c>
      <c r="AY346" s="644">
        <f t="shared" si="1043"/>
        <v>11330.362094953702</v>
      </c>
      <c r="AZ346" s="645">
        <f t="shared" si="851"/>
        <v>9637.2145384610176</v>
      </c>
      <c r="BA346" s="644">
        <f t="shared" si="1044"/>
        <v>0</v>
      </c>
      <c r="BB346" s="645">
        <f t="shared" si="1045"/>
        <v>11330.362094953702</v>
      </c>
      <c r="BC346" s="646">
        <f t="shared" si="1046"/>
        <v>-81.4799358372711</v>
      </c>
      <c r="BD346" s="647">
        <f t="shared" si="1047"/>
        <v>11248.882159116431</v>
      </c>
      <c r="BE346" s="644">
        <f t="shared" si="883"/>
        <v>0</v>
      </c>
      <c r="BF346" s="645">
        <f t="shared" si="884"/>
        <v>11248.882159116431</v>
      </c>
      <c r="BG346" s="646">
        <f t="shared" si="1048"/>
        <v>-267.93920585255069</v>
      </c>
      <c r="BH346" s="647">
        <f t="shared" si="885"/>
        <v>10980.942953263881</v>
      </c>
      <c r="BI346" s="644">
        <f t="shared" si="1049"/>
        <v>0</v>
      </c>
      <c r="BJ346" s="645">
        <f t="shared" si="1050"/>
        <v>10980.942953263881</v>
      </c>
      <c r="BK346" s="646">
        <f t="shared" si="1051"/>
        <v>-23.260216291146016</v>
      </c>
      <c r="BL346" s="647">
        <f t="shared" si="886"/>
        <v>10957.682736972734</v>
      </c>
      <c r="BM346" s="644">
        <f t="shared" si="1052"/>
        <v>0</v>
      </c>
      <c r="BN346" s="645">
        <f t="shared" si="1053"/>
        <v>10957.682736972734</v>
      </c>
      <c r="BO346" s="646">
        <f t="shared" si="1054"/>
        <v>-0.50134454365377434</v>
      </c>
      <c r="BP346" s="647">
        <f t="shared" si="887"/>
        <v>10957.18139242908</v>
      </c>
      <c r="BQ346" s="644">
        <f t="shared" si="1055"/>
        <v>0</v>
      </c>
      <c r="BR346" s="645">
        <f t="shared" si="1056"/>
        <v>10957.18139242908</v>
      </c>
      <c r="BS346" s="646">
        <f t="shared" si="1057"/>
        <v>0</v>
      </c>
      <c r="BT346" s="647">
        <f t="shared" si="888"/>
        <v>10957.18139242908</v>
      </c>
      <c r="BU346" s="662">
        <f>VLOOKUP(B346,'Afton Update'!$A$5:$AR$582,'Afton Update'!$AO$589,0)-BT346</f>
        <v>0</v>
      </c>
      <c r="BV346" s="644">
        <f t="shared" si="1058"/>
        <v>26061.043562959927</v>
      </c>
      <c r="BW346" s="645">
        <f t="shared" si="852"/>
        <v>20911.79054239624</v>
      </c>
      <c r="BX346" s="644">
        <f t="shared" si="1059"/>
        <v>0</v>
      </c>
      <c r="BY346" s="645">
        <f t="shared" si="1060"/>
        <v>26061.043562959927</v>
      </c>
      <c r="BZ346" s="646">
        <f t="shared" si="1061"/>
        <v>-228.74055013129697</v>
      </c>
      <c r="CA346" s="647">
        <f t="shared" si="1062"/>
        <v>25832.30301282863</v>
      </c>
      <c r="CB346" s="644">
        <f t="shared" si="889"/>
        <v>0</v>
      </c>
      <c r="CC346" s="645">
        <f t="shared" si="890"/>
        <v>25832.30301282863</v>
      </c>
      <c r="CD346" s="646">
        <f t="shared" si="1063"/>
        <v>-8.2744659240908884</v>
      </c>
      <c r="CE346" s="647">
        <f t="shared" si="891"/>
        <v>25824.028546904538</v>
      </c>
      <c r="CF346" s="644">
        <f t="shared" si="1064"/>
        <v>0</v>
      </c>
      <c r="CG346" s="645">
        <f t="shared" si="1065"/>
        <v>25824.028546904538</v>
      </c>
      <c r="CH346" s="646">
        <f t="shared" si="1066"/>
        <v>0</v>
      </c>
      <c r="CI346" s="647">
        <f t="shared" si="892"/>
        <v>25824.028546904538</v>
      </c>
      <c r="CJ346" s="644">
        <f t="shared" si="1067"/>
        <v>0</v>
      </c>
      <c r="CK346" s="645">
        <f t="shared" si="1068"/>
        <v>25824.028546904538</v>
      </c>
      <c r="CL346" s="646">
        <f t="shared" si="1069"/>
        <v>0</v>
      </c>
      <c r="CM346" s="647">
        <f t="shared" si="893"/>
        <v>25824.028546904538</v>
      </c>
      <c r="CN346" s="644">
        <f t="shared" si="1070"/>
        <v>0</v>
      </c>
      <c r="CO346" s="645">
        <f t="shared" si="1071"/>
        <v>25824.028546904538</v>
      </c>
      <c r="CP346" s="646">
        <f t="shared" si="1072"/>
        <v>0</v>
      </c>
      <c r="CQ346" s="647">
        <f t="shared" si="894"/>
        <v>25824.028546904538</v>
      </c>
      <c r="CS346" s="644">
        <f t="shared" si="1073"/>
        <v>24259.408191251601</v>
      </c>
      <c r="CT346" s="645">
        <f t="shared" si="853"/>
        <v>17635.178163525099</v>
      </c>
      <c r="CU346" s="644">
        <f t="shared" si="1074"/>
        <v>0</v>
      </c>
      <c r="CV346" s="645">
        <f t="shared" si="1075"/>
        <v>24259.408191251601</v>
      </c>
      <c r="CW346" s="646">
        <f t="shared" si="1076"/>
        <v>-248.43004940310271</v>
      </c>
      <c r="CX346" s="647">
        <f t="shared" si="1077"/>
        <v>24010.9781418485</v>
      </c>
      <c r="CY346" s="644">
        <f t="shared" si="895"/>
        <v>0</v>
      </c>
      <c r="CZ346" s="645">
        <f t="shared" si="896"/>
        <v>24010.9781418485</v>
      </c>
      <c r="DA346" s="646">
        <f t="shared" si="1078"/>
        <v>-18.848705038617037</v>
      </c>
      <c r="DB346" s="647">
        <f t="shared" si="897"/>
        <v>23992.129436809882</v>
      </c>
      <c r="DC346" s="644">
        <f t="shared" si="1079"/>
        <v>0</v>
      </c>
      <c r="DD346" s="645">
        <f t="shared" si="1080"/>
        <v>23992.129436809882</v>
      </c>
      <c r="DE346" s="646">
        <f t="shared" si="1081"/>
        <v>-1.6254660444911421E-2</v>
      </c>
      <c r="DF346" s="647">
        <f t="shared" si="898"/>
        <v>23992.113182149438</v>
      </c>
      <c r="DG346" s="644">
        <f t="shared" si="1082"/>
        <v>0</v>
      </c>
      <c r="DH346" s="645">
        <f t="shared" si="1083"/>
        <v>23992.113182149438</v>
      </c>
      <c r="DI346" s="646">
        <f t="shared" si="1084"/>
        <v>0</v>
      </c>
      <c r="DJ346" s="647">
        <f t="shared" si="899"/>
        <v>23992.113182149438</v>
      </c>
      <c r="DK346" s="644">
        <f t="shared" si="1085"/>
        <v>0</v>
      </c>
      <c r="DL346" s="645">
        <f t="shared" si="1086"/>
        <v>23992.113182149438</v>
      </c>
      <c r="DM346" s="646">
        <f t="shared" si="1087"/>
        <v>0</v>
      </c>
      <c r="DN346" s="647">
        <f t="shared" si="900"/>
        <v>23992.113182149438</v>
      </c>
      <c r="DR346" s="827">
        <f t="shared" si="854"/>
        <v>104652.06378136337</v>
      </c>
      <c r="DV346" s="828">
        <f>IFERROR(VLOOKUP($B346,'Afton FY16 Final'!$A$5:$BV$587,'Afton FY16 Final'!$BV$587,0),0)</f>
        <v>81041.365340262739</v>
      </c>
      <c r="DX346" s="636">
        <f t="shared" si="842"/>
        <v>104652.06378136337</v>
      </c>
      <c r="DY346" s="637">
        <f t="shared" si="843"/>
        <v>23610.698441100627</v>
      </c>
      <c r="DZ346" s="637">
        <f t="shared" si="844"/>
        <v>81041.365340262739</v>
      </c>
      <c r="EA346" s="643">
        <f t="shared" si="845"/>
        <v>99085.74686583424</v>
      </c>
      <c r="EB346" s="637">
        <f t="shared" si="855"/>
        <v>0</v>
      </c>
      <c r="EC346" s="637">
        <f t="shared" si="856"/>
        <v>99085.74686583424</v>
      </c>
      <c r="ED346" s="637">
        <f t="shared" si="857"/>
        <v>98790.279084864946</v>
      </c>
      <c r="EE346" s="643">
        <f t="shared" si="858"/>
        <v>98790.279084864946</v>
      </c>
      <c r="EF346" s="637">
        <f t="shared" si="859"/>
        <v>0</v>
      </c>
      <c r="EG346" s="637">
        <f t="shared" si="860"/>
        <v>98790.279084864946</v>
      </c>
      <c r="EH346" s="637">
        <f t="shared" si="861"/>
        <v>98790.17716679009</v>
      </c>
      <c r="EI346" s="643">
        <f t="shared" si="862"/>
        <v>98790.17716679009</v>
      </c>
      <c r="EJ346" s="637">
        <f t="shared" si="863"/>
        <v>0</v>
      </c>
      <c r="EK346" s="637">
        <f t="shared" si="864"/>
        <v>98790.17716679009</v>
      </c>
      <c r="EL346" s="637">
        <f t="shared" si="865"/>
        <v>98790.177166789945</v>
      </c>
      <c r="EM346" s="643">
        <f t="shared" si="866"/>
        <v>98790.177166789945</v>
      </c>
      <c r="EN346" s="637">
        <f t="shared" si="867"/>
        <v>0</v>
      </c>
      <c r="EO346" s="637">
        <f t="shared" si="868"/>
        <v>98790.177166789945</v>
      </c>
      <c r="EP346" s="637">
        <f t="shared" si="869"/>
        <v>98790.17716679009</v>
      </c>
      <c r="EQ346" s="643">
        <f t="shared" si="870"/>
        <v>98790.17716679009</v>
      </c>
      <c r="ER346" s="637">
        <f t="shared" si="871"/>
        <v>0</v>
      </c>
      <c r="ES346" s="637">
        <f t="shared" si="872"/>
        <v>98790.17716679009</v>
      </c>
      <c r="ET346" s="637">
        <f t="shared" si="873"/>
        <v>98790.17716678993</v>
      </c>
      <c r="EU346" s="643">
        <f t="shared" si="846"/>
        <v>98790.17716678993</v>
      </c>
      <c r="EV346" s="643">
        <f t="shared" si="847"/>
        <v>0</v>
      </c>
      <c r="EX346" s="829">
        <f t="shared" si="848"/>
        <v>5861.8866145734355</v>
      </c>
      <c r="EY346" s="638">
        <f t="shared" si="849"/>
        <v>98790.17716678993</v>
      </c>
      <c r="FC346" s="830" t="str">
        <f t="shared" si="874"/>
        <v>Y</v>
      </c>
      <c r="FE346" s="830" t="str">
        <f>IFERROR(VLOOKUP($B346,'Historical Conc Grant Elig'!$B$3:$J$707,'HH &amp; SI'!FE$2,0),"N")</f>
        <v>Y</v>
      </c>
      <c r="FF346" s="830" t="str">
        <f>IFERROR(VLOOKUP($B346,'Historical Conc Grant Elig'!$B$3:$J$707,'HH &amp; SI'!FF$2,0),"N")</f>
        <v>Y</v>
      </c>
      <c r="FG346" s="830" t="str">
        <f>IFERROR(VLOOKUP($B346,'Historical Conc Grant Elig'!$B$3:$J$707,'HH &amp; SI'!FG$2,0),"N")</f>
        <v>Y</v>
      </c>
      <c r="FH346" s="830" t="str">
        <f>IFERROR(VLOOKUP($B346,'Historical Conc Grant Elig'!$B$3:$J$707,'HH &amp; SI'!FH$2,0),"N")</f>
        <v>Y</v>
      </c>
      <c r="FI346" s="830" t="str">
        <f>IFERROR(VLOOKUP($B346,'Historical Conc Grant Elig'!$B$3:$J$707,'HH &amp; SI'!FI$2,0),"N")</f>
        <v>Y</v>
      </c>
      <c r="FJ346" s="830" t="str">
        <f>IFERROR(VLOOKUP($B346,'Historical Conc Grant Elig'!$B$3:$J$707,'HH &amp; SI'!FJ$2,0),"N")</f>
        <v>Y</v>
      </c>
      <c r="FK346" s="830" t="str">
        <f>IFERROR(VLOOKUP($B346,'Historical Conc Grant Elig'!$B$3:$J$707,'HH &amp; SI'!FK$2,0),"N")</f>
        <v>Y</v>
      </c>
      <c r="FL346" s="957" t="str">
        <f>IFERROR(VLOOKUP($B346,'Historical Conc Grant Elig'!$B$3:$J$707,'HH &amp; SI'!FL$2,0),"N")</f>
        <v>Y</v>
      </c>
    </row>
    <row r="347" spans="2:168" x14ac:dyDescent="0.25">
      <c r="B347" s="634">
        <v>98750000</v>
      </c>
      <c r="C347" s="635" t="str">
        <f>VLOOKUP($B347,'Afton Update'!$A$5:$CR$582,'Afton Update'!D$589,0)</f>
        <v>Founding Fathers Academies  Inc</v>
      </c>
      <c r="D347" s="636">
        <f>IFERROR(VLOOKUP($B347,'Afton FY16 Final'!$A$5:$BV$587,'Afton FY16 Final'!AQ$587,0),0)</f>
        <v>39177.397927593614</v>
      </c>
      <c r="E347" s="637">
        <f>IFERROR(VLOOKUP($B347,'Afton FY16 Final'!$A$5:$BV$587,'Afton FY16 Final'!AR$587,0),0)</f>
        <v>9816.6531626192482</v>
      </c>
      <c r="F347" s="637">
        <f>IFERROR(VLOOKUP($B347,'Afton FY16 Final'!$A$5:$BV$587,'Afton FY16 Final'!AS$587,0),0)</f>
        <v>21654.949867224379</v>
      </c>
      <c r="G347" s="637">
        <f>IFERROR(VLOOKUP($B347,'Afton FY16 Final'!$A$5:$BV$587,'Afton FY16 Final'!AT$587,0),0)</f>
        <v>22641.111791135583</v>
      </c>
      <c r="H347" s="638">
        <f>IFERROR(VLOOKUP($B347,'Afton FY16 Final'!$A$5:$BV$587,'Afton FY16 Final'!AU$587,0),0)</f>
        <v>93290.112748572821</v>
      </c>
      <c r="I347" s="639" t="str">
        <f>VLOOKUP($B347,'Afton Update'!$A$5:$CR$582,'Afton Update'!BT$589,0)</f>
        <v>Y</v>
      </c>
      <c r="J347" s="640" t="str">
        <f>VLOOKUP($B347,'Afton Update'!$A$5:$CR$582,'Afton Update'!BU$589,0)</f>
        <v>Y</v>
      </c>
      <c r="K347" s="640" t="str">
        <f>VLOOKUP($B347,'Afton Update'!$A$5:$CR$582,'Afton Update'!BV$589,0)</f>
        <v>Y</v>
      </c>
      <c r="L347" s="641" t="str">
        <f>VLOOKUP($B347,'Afton Update'!$A$5:$CR$582,'Afton Update'!BW$589,0)</f>
        <v>Y</v>
      </c>
      <c r="N347" s="642">
        <f>VLOOKUP($B347,'Afton Update'!$A$5:$CR$582,'Afton Update'!CB$589,0)</f>
        <v>0.95</v>
      </c>
      <c r="P347" s="636">
        <f>VLOOKUP($B347,'Afton Update'!$A$5:$CR$582,'Afton Update'!AH$589,0)</f>
        <v>25252.019559288197</v>
      </c>
      <c r="Q347" s="637">
        <f>VLOOKUP($B347,'Afton Update'!$A$5:$CR$582,'Afton Update'!AI$589,0)</f>
        <v>6270.7606926645713</v>
      </c>
      <c r="R347" s="637">
        <f>VLOOKUP($B347,'Afton Update'!$A$5:$CR$582,'Afton Update'!AJ$589,0)</f>
        <v>14996.782263288851</v>
      </c>
      <c r="S347" s="637">
        <f>VLOOKUP($B347,'Afton Update'!$A$5:$CR$582,'Afton Update'!AK$589,0)</f>
        <v>15017.093674832699</v>
      </c>
      <c r="T347" s="643">
        <f t="shared" si="875"/>
        <v>61536.656190074318</v>
      </c>
      <c r="V347" s="636">
        <f t="shared" si="1024"/>
        <v>37218.528031213929</v>
      </c>
      <c r="W347" s="637">
        <f t="shared" si="1025"/>
        <v>9325.8205044882852</v>
      </c>
      <c r="X347" s="637">
        <f t="shared" si="1026"/>
        <v>20572.202373863158</v>
      </c>
      <c r="Y347" s="637">
        <f t="shared" si="1027"/>
        <v>21509.056201578802</v>
      </c>
      <c r="Z347" s="643">
        <f t="shared" si="1028"/>
        <v>88625.607111144171</v>
      </c>
      <c r="AB347" s="644">
        <f t="shared" si="876"/>
        <v>25252.019559288197</v>
      </c>
      <c r="AC347" s="645">
        <f t="shared" si="850"/>
        <v>37218.528031213929</v>
      </c>
      <c r="AD347" s="644">
        <f t="shared" si="1029"/>
        <v>11966.508471925732</v>
      </c>
      <c r="AE347" s="645">
        <f t="shared" si="1030"/>
        <v>0</v>
      </c>
      <c r="AF347" s="646">
        <f t="shared" si="1031"/>
        <v>0</v>
      </c>
      <c r="AG347" s="647">
        <f t="shared" si="1032"/>
        <v>37218.528031213929</v>
      </c>
      <c r="AH347" s="644">
        <f t="shared" si="877"/>
        <v>0</v>
      </c>
      <c r="AI347" s="645">
        <f t="shared" si="878"/>
        <v>0</v>
      </c>
      <c r="AJ347" s="646">
        <f t="shared" si="1033"/>
        <v>0</v>
      </c>
      <c r="AK347" s="647">
        <f t="shared" si="879"/>
        <v>37218.528031213929</v>
      </c>
      <c r="AL347" s="644">
        <f t="shared" si="1034"/>
        <v>0</v>
      </c>
      <c r="AM347" s="645">
        <f t="shared" si="1035"/>
        <v>0</v>
      </c>
      <c r="AN347" s="646">
        <f t="shared" si="1036"/>
        <v>0</v>
      </c>
      <c r="AO347" s="647">
        <f t="shared" si="880"/>
        <v>37218.528031213929</v>
      </c>
      <c r="AP347" s="644">
        <f t="shared" si="1037"/>
        <v>0</v>
      </c>
      <c r="AQ347" s="645">
        <f t="shared" si="1038"/>
        <v>0</v>
      </c>
      <c r="AR347" s="646">
        <f t="shared" si="1039"/>
        <v>0</v>
      </c>
      <c r="AS347" s="647">
        <f t="shared" si="881"/>
        <v>37218.528031213929</v>
      </c>
      <c r="AT347" s="644">
        <f t="shared" si="1040"/>
        <v>0</v>
      </c>
      <c r="AU347" s="645">
        <f t="shared" si="1041"/>
        <v>0</v>
      </c>
      <c r="AV347" s="646">
        <f t="shared" si="1042"/>
        <v>0</v>
      </c>
      <c r="AW347" s="647">
        <f t="shared" si="882"/>
        <v>37218.528031213929</v>
      </c>
      <c r="AY347" s="644">
        <f t="shared" si="1043"/>
        <v>6270.7606926645713</v>
      </c>
      <c r="AZ347" s="645">
        <f t="shared" si="851"/>
        <v>9325.8205044882852</v>
      </c>
      <c r="BA347" s="644">
        <f t="shared" si="1044"/>
        <v>3055.059811823714</v>
      </c>
      <c r="BB347" s="645">
        <f t="shared" si="1045"/>
        <v>0</v>
      </c>
      <c r="BC347" s="646">
        <f t="shared" si="1046"/>
        <v>0</v>
      </c>
      <c r="BD347" s="647">
        <f t="shared" si="1047"/>
        <v>9325.8205044882852</v>
      </c>
      <c r="BE347" s="644">
        <f t="shared" si="883"/>
        <v>0</v>
      </c>
      <c r="BF347" s="645">
        <f t="shared" si="884"/>
        <v>0</v>
      </c>
      <c r="BG347" s="646">
        <f t="shared" si="1048"/>
        <v>0</v>
      </c>
      <c r="BH347" s="647">
        <f t="shared" si="885"/>
        <v>9325.8205044882852</v>
      </c>
      <c r="BI347" s="644">
        <f t="shared" si="1049"/>
        <v>0</v>
      </c>
      <c r="BJ347" s="645">
        <f t="shared" si="1050"/>
        <v>0</v>
      </c>
      <c r="BK347" s="646">
        <f t="shared" si="1051"/>
        <v>0</v>
      </c>
      <c r="BL347" s="647">
        <f t="shared" si="886"/>
        <v>9325.8205044882852</v>
      </c>
      <c r="BM347" s="644">
        <f t="shared" si="1052"/>
        <v>0</v>
      </c>
      <c r="BN347" s="645">
        <f t="shared" si="1053"/>
        <v>0</v>
      </c>
      <c r="BO347" s="646">
        <f t="shared" si="1054"/>
        <v>0</v>
      </c>
      <c r="BP347" s="647">
        <f t="shared" si="887"/>
        <v>9325.8205044882852</v>
      </c>
      <c r="BQ347" s="644">
        <f t="shared" si="1055"/>
        <v>0</v>
      </c>
      <c r="BR347" s="645">
        <f t="shared" si="1056"/>
        <v>0</v>
      </c>
      <c r="BS347" s="646">
        <f t="shared" si="1057"/>
        <v>0</v>
      </c>
      <c r="BT347" s="647">
        <f t="shared" si="888"/>
        <v>9325.8205044882852</v>
      </c>
      <c r="BU347" s="662">
        <f>VLOOKUP(B347,'Afton Update'!$A$5:$AR$582,'Afton Update'!$AO$589,0)-BT347</f>
        <v>0</v>
      </c>
      <c r="BV347" s="644">
        <f t="shared" si="1058"/>
        <v>14996.782263288851</v>
      </c>
      <c r="BW347" s="645">
        <f t="shared" si="852"/>
        <v>20572.202373863158</v>
      </c>
      <c r="BX347" s="644">
        <f t="shared" si="1059"/>
        <v>5575.4201105743068</v>
      </c>
      <c r="BY347" s="645">
        <f t="shared" si="1060"/>
        <v>0</v>
      </c>
      <c r="BZ347" s="646">
        <f t="shared" si="1061"/>
        <v>0</v>
      </c>
      <c r="CA347" s="647">
        <f t="shared" si="1062"/>
        <v>20572.202373863158</v>
      </c>
      <c r="CB347" s="644">
        <f t="shared" si="889"/>
        <v>0</v>
      </c>
      <c r="CC347" s="645">
        <f t="shared" si="890"/>
        <v>0</v>
      </c>
      <c r="CD347" s="646">
        <f t="shared" si="1063"/>
        <v>0</v>
      </c>
      <c r="CE347" s="647">
        <f t="shared" si="891"/>
        <v>20572.202373863158</v>
      </c>
      <c r="CF347" s="644">
        <f t="shared" si="1064"/>
        <v>0</v>
      </c>
      <c r="CG347" s="645">
        <f t="shared" si="1065"/>
        <v>0</v>
      </c>
      <c r="CH347" s="646">
        <f t="shared" si="1066"/>
        <v>0</v>
      </c>
      <c r="CI347" s="647">
        <f t="shared" si="892"/>
        <v>20572.202373863158</v>
      </c>
      <c r="CJ347" s="644">
        <f t="shared" si="1067"/>
        <v>0</v>
      </c>
      <c r="CK347" s="645">
        <f t="shared" si="1068"/>
        <v>0</v>
      </c>
      <c r="CL347" s="646">
        <f t="shared" si="1069"/>
        <v>0</v>
      </c>
      <c r="CM347" s="647">
        <f t="shared" si="893"/>
        <v>20572.202373863158</v>
      </c>
      <c r="CN347" s="644">
        <f t="shared" si="1070"/>
        <v>0</v>
      </c>
      <c r="CO347" s="645">
        <f t="shared" si="1071"/>
        <v>0</v>
      </c>
      <c r="CP347" s="646">
        <f t="shared" si="1072"/>
        <v>0</v>
      </c>
      <c r="CQ347" s="647">
        <f t="shared" si="894"/>
        <v>20572.202373863158</v>
      </c>
      <c r="CS347" s="644">
        <f t="shared" si="1073"/>
        <v>15017.093674832699</v>
      </c>
      <c r="CT347" s="645">
        <f t="shared" si="853"/>
        <v>21509.056201578802</v>
      </c>
      <c r="CU347" s="644">
        <f t="shared" si="1074"/>
        <v>6491.9625267461033</v>
      </c>
      <c r="CV347" s="645">
        <f t="shared" si="1075"/>
        <v>0</v>
      </c>
      <c r="CW347" s="646">
        <f t="shared" si="1076"/>
        <v>0</v>
      </c>
      <c r="CX347" s="647">
        <f t="shared" si="1077"/>
        <v>21509.056201578802</v>
      </c>
      <c r="CY347" s="644">
        <f t="shared" si="895"/>
        <v>0</v>
      </c>
      <c r="CZ347" s="645">
        <f t="shared" si="896"/>
        <v>0</v>
      </c>
      <c r="DA347" s="646">
        <f t="shared" si="1078"/>
        <v>0</v>
      </c>
      <c r="DB347" s="647">
        <f t="shared" si="897"/>
        <v>21509.056201578802</v>
      </c>
      <c r="DC347" s="644">
        <f t="shared" si="1079"/>
        <v>0</v>
      </c>
      <c r="DD347" s="645">
        <f t="shared" si="1080"/>
        <v>0</v>
      </c>
      <c r="DE347" s="646">
        <f t="shared" si="1081"/>
        <v>0</v>
      </c>
      <c r="DF347" s="647">
        <f t="shared" si="898"/>
        <v>21509.056201578802</v>
      </c>
      <c r="DG347" s="644">
        <f t="shared" si="1082"/>
        <v>0</v>
      </c>
      <c r="DH347" s="645">
        <f t="shared" si="1083"/>
        <v>0</v>
      </c>
      <c r="DI347" s="646">
        <f t="shared" si="1084"/>
        <v>0</v>
      </c>
      <c r="DJ347" s="647">
        <f t="shared" si="899"/>
        <v>21509.056201578802</v>
      </c>
      <c r="DK347" s="644">
        <f t="shared" si="1085"/>
        <v>0</v>
      </c>
      <c r="DL347" s="645">
        <f t="shared" si="1086"/>
        <v>0</v>
      </c>
      <c r="DM347" s="646">
        <f t="shared" si="1087"/>
        <v>0</v>
      </c>
      <c r="DN347" s="647">
        <f t="shared" si="900"/>
        <v>21509.056201578802</v>
      </c>
      <c r="DR347" s="827">
        <f t="shared" si="854"/>
        <v>88625.607111144171</v>
      </c>
      <c r="DV347" s="828">
        <f>IFERROR(VLOOKUP($B347,'Afton FY16 Final'!$A$5:$BV$587,'Afton FY16 Final'!$BV$587,0),0)</f>
        <v>91453.230444003086</v>
      </c>
      <c r="DX347" s="636">
        <f t="shared" si="842"/>
        <v>0</v>
      </c>
      <c r="DY347" s="637">
        <f t="shared" si="843"/>
        <v>0</v>
      </c>
      <c r="DZ347" s="637">
        <f t="shared" si="844"/>
        <v>0</v>
      </c>
      <c r="EA347" s="643">
        <f t="shared" si="845"/>
        <v>0</v>
      </c>
      <c r="EB347" s="637">
        <f t="shared" si="855"/>
        <v>0</v>
      </c>
      <c r="EC347" s="637">
        <f t="shared" si="856"/>
        <v>0</v>
      </c>
      <c r="ED347" s="637">
        <f t="shared" si="857"/>
        <v>0</v>
      </c>
      <c r="EE347" s="643">
        <f t="shared" si="858"/>
        <v>0</v>
      </c>
      <c r="EF347" s="637">
        <f t="shared" si="859"/>
        <v>0</v>
      </c>
      <c r="EG347" s="637">
        <f t="shared" si="860"/>
        <v>0</v>
      </c>
      <c r="EH347" s="637">
        <f t="shared" si="861"/>
        <v>0</v>
      </c>
      <c r="EI347" s="643">
        <f t="shared" si="862"/>
        <v>0</v>
      </c>
      <c r="EJ347" s="637">
        <f t="shared" si="863"/>
        <v>0</v>
      </c>
      <c r="EK347" s="637">
        <f t="shared" si="864"/>
        <v>0</v>
      </c>
      <c r="EL347" s="637">
        <f t="shared" si="865"/>
        <v>0</v>
      </c>
      <c r="EM347" s="643">
        <f t="shared" si="866"/>
        <v>0</v>
      </c>
      <c r="EN347" s="637">
        <f t="shared" si="867"/>
        <v>0</v>
      </c>
      <c r="EO347" s="637">
        <f t="shared" si="868"/>
        <v>0</v>
      </c>
      <c r="EP347" s="637">
        <f t="shared" si="869"/>
        <v>0</v>
      </c>
      <c r="EQ347" s="643">
        <f t="shared" si="870"/>
        <v>0</v>
      </c>
      <c r="ER347" s="637">
        <f t="shared" si="871"/>
        <v>0</v>
      </c>
      <c r="ES347" s="637">
        <f t="shared" si="872"/>
        <v>0</v>
      </c>
      <c r="ET347" s="637">
        <f t="shared" si="873"/>
        <v>0</v>
      </c>
      <c r="EU347" s="643">
        <f t="shared" si="846"/>
        <v>0</v>
      </c>
      <c r="EV347" s="643">
        <f t="shared" si="847"/>
        <v>0</v>
      </c>
      <c r="EX347" s="829">
        <f t="shared" si="848"/>
        <v>0</v>
      </c>
      <c r="EY347" s="638">
        <f t="shared" si="849"/>
        <v>88625.607111144171</v>
      </c>
      <c r="FC347" s="830" t="str">
        <f t="shared" si="874"/>
        <v>Y</v>
      </c>
      <c r="FE347" s="830" t="str">
        <f>IFERROR(VLOOKUP($B347,'Historical Conc Grant Elig'!$B$3:$J$707,'HH &amp; SI'!FE$2,0),"N")</f>
        <v>Y</v>
      </c>
      <c r="FF347" s="830" t="str">
        <f>IFERROR(VLOOKUP($B347,'Historical Conc Grant Elig'!$B$3:$J$707,'HH &amp; SI'!FF$2,0),"N")</f>
        <v>Y</v>
      </c>
      <c r="FG347" s="830" t="str">
        <f>IFERROR(VLOOKUP($B347,'Historical Conc Grant Elig'!$B$3:$J$707,'HH &amp; SI'!FG$2,0),"N")</f>
        <v>Y</v>
      </c>
      <c r="FH347" s="830" t="str">
        <f>IFERROR(VLOOKUP($B347,'Historical Conc Grant Elig'!$B$3:$J$707,'HH &amp; SI'!FH$2,0),"N")</f>
        <v>Y</v>
      </c>
      <c r="FI347" s="830" t="str">
        <f>IFERROR(VLOOKUP($B347,'Historical Conc Grant Elig'!$B$3:$J$707,'HH &amp; SI'!FI$2,0),"N")</f>
        <v>Y</v>
      </c>
      <c r="FJ347" s="830" t="str">
        <f>IFERROR(VLOOKUP($B347,'Historical Conc Grant Elig'!$B$3:$J$707,'HH &amp; SI'!FJ$2,0),"N")</f>
        <v>Y</v>
      </c>
      <c r="FK347" s="830" t="str">
        <f>IFERROR(VLOOKUP($B347,'Historical Conc Grant Elig'!$B$3:$J$707,'HH &amp; SI'!FK$2,0),"N")</f>
        <v>Y</v>
      </c>
      <c r="FL347" s="957" t="str">
        <f>IFERROR(VLOOKUP($B347,'Historical Conc Grant Elig'!$B$3:$J$707,'HH &amp; SI'!FL$2,0),"N")</f>
        <v>Y</v>
      </c>
    </row>
    <row r="348" spans="2:168" x14ac:dyDescent="0.25">
      <c r="B348" s="634">
        <v>100100000</v>
      </c>
      <c r="C348" s="635" t="str">
        <f>VLOOKUP($B348,'Afton Update'!$A$5:$CR$582,'Afton Update'!D$589,0)</f>
        <v>Pima Accommodation District</v>
      </c>
      <c r="D348" s="636">
        <f>IFERROR(VLOOKUP($B348,'Afton FY16 Final'!$A$5:$BV$587,'Afton FY16 Final'!AQ$587,0),0)</f>
        <v>0</v>
      </c>
      <c r="E348" s="637">
        <f>IFERROR(VLOOKUP($B348,'Afton FY16 Final'!$A$5:$BV$587,'Afton FY16 Final'!AR$587,0),0)</f>
        <v>0</v>
      </c>
      <c r="F348" s="637">
        <f>IFERROR(VLOOKUP($B348,'Afton FY16 Final'!$A$5:$BV$587,'Afton FY16 Final'!AS$587,0),0)</f>
        <v>0</v>
      </c>
      <c r="G348" s="637">
        <f>IFERROR(VLOOKUP($B348,'Afton FY16 Final'!$A$5:$BV$587,'Afton FY16 Final'!AT$587,0),0)</f>
        <v>0</v>
      </c>
      <c r="H348" s="638">
        <f>IFERROR(VLOOKUP($B348,'Afton FY16 Final'!$A$5:$BV$587,'Afton FY16 Final'!AU$587,0),0)</f>
        <v>0</v>
      </c>
      <c r="I348" s="639" t="str">
        <f>VLOOKUP($B348,'Afton Update'!$A$5:$CR$582,'Afton Update'!BT$589,0)</f>
        <v>Y</v>
      </c>
      <c r="J348" s="640" t="str">
        <f>VLOOKUP($B348,'Afton Update'!$A$5:$CR$582,'Afton Update'!BU$589,0)</f>
        <v>Y</v>
      </c>
      <c r="K348" s="640" t="str">
        <f>VLOOKUP($B348,'Afton Update'!$A$5:$CR$582,'Afton Update'!BV$589,0)</f>
        <v>Y</v>
      </c>
      <c r="L348" s="641" t="str">
        <f>VLOOKUP($B348,'Afton Update'!$A$5:$CR$582,'Afton Update'!BW$589,0)</f>
        <v>Y</v>
      </c>
      <c r="N348" s="642">
        <f>VLOOKUP($B348,'Afton Update'!$A$5:$CR$582,'Afton Update'!CB$589,0)</f>
        <v>0.95</v>
      </c>
      <c r="P348" s="636">
        <f>VLOOKUP($B348,'Afton Update'!$A$5:$CR$582,'Afton Update'!AH$589,0)</f>
        <v>15542.037785019646</v>
      </c>
      <c r="Q348" s="637">
        <f>VLOOKUP($B348,'Afton Update'!$A$5:$CR$582,'Afton Update'!AI$589,0)</f>
        <v>6237.2281341099551</v>
      </c>
      <c r="R348" s="637">
        <f>VLOOKUP($B348,'Afton Update'!$A$5:$CR$582,'Afton Update'!AJ$589,0)</f>
        <v>9450.0261122533539</v>
      </c>
      <c r="S348" s="637">
        <f>VLOOKUP($B348,'Afton Update'!$A$5:$CR$582,'Afton Update'!AK$589,0)</f>
        <v>9179.9815333280967</v>
      </c>
      <c r="T348" s="643">
        <f t="shared" si="875"/>
        <v>40409.273564711053</v>
      </c>
      <c r="V348" s="636">
        <f t="shared" si="1024"/>
        <v>15330.034301859994</v>
      </c>
      <c r="W348" s="637">
        <f t="shared" si="1025"/>
        <v>6031.7966432725925</v>
      </c>
      <c r="X348" s="637">
        <f t="shared" si="1026"/>
        <v>9364.0818143855995</v>
      </c>
      <c r="Y348" s="637">
        <f t="shared" si="1027"/>
        <v>9078.8346616416929</v>
      </c>
      <c r="Z348" s="643">
        <f t="shared" si="1028"/>
        <v>39804.747421159875</v>
      </c>
      <c r="AB348" s="644">
        <f t="shared" si="876"/>
        <v>15542.037785019646</v>
      </c>
      <c r="AC348" s="645">
        <f t="shared" si="850"/>
        <v>0</v>
      </c>
      <c r="AD348" s="644">
        <f t="shared" si="1029"/>
        <v>0</v>
      </c>
      <c r="AE348" s="645">
        <f t="shared" si="1030"/>
        <v>15542.037785019646</v>
      </c>
      <c r="AF348" s="646">
        <f t="shared" si="1031"/>
        <v>-192.65523787581057</v>
      </c>
      <c r="AG348" s="647">
        <f t="shared" si="1032"/>
        <v>15349.382547143836</v>
      </c>
      <c r="AH348" s="644">
        <f t="shared" si="877"/>
        <v>0</v>
      </c>
      <c r="AI348" s="645">
        <f t="shared" si="878"/>
        <v>15349.382547143836</v>
      </c>
      <c r="AJ348" s="646">
        <f t="shared" si="1033"/>
        <v>-19.335918576198175</v>
      </c>
      <c r="AK348" s="647">
        <f t="shared" si="879"/>
        <v>15330.046628567638</v>
      </c>
      <c r="AL348" s="644">
        <f t="shared" si="1034"/>
        <v>0</v>
      </c>
      <c r="AM348" s="645">
        <f t="shared" si="1035"/>
        <v>15330.046628567638</v>
      </c>
      <c r="AN348" s="646">
        <f t="shared" si="1036"/>
        <v>-1.2326707643610511E-2</v>
      </c>
      <c r="AO348" s="647">
        <f t="shared" si="880"/>
        <v>15330.034301859994</v>
      </c>
      <c r="AP348" s="644">
        <f t="shared" si="1037"/>
        <v>0</v>
      </c>
      <c r="AQ348" s="645">
        <f t="shared" si="1038"/>
        <v>15330.034301859994</v>
      </c>
      <c r="AR348" s="646">
        <f t="shared" si="1039"/>
        <v>0</v>
      </c>
      <c r="AS348" s="647">
        <f t="shared" si="881"/>
        <v>15330.034301859994</v>
      </c>
      <c r="AT348" s="644">
        <f t="shared" si="1040"/>
        <v>0</v>
      </c>
      <c r="AU348" s="645">
        <f t="shared" si="1041"/>
        <v>15330.034301859994</v>
      </c>
      <c r="AV348" s="646">
        <f t="shared" si="1042"/>
        <v>0</v>
      </c>
      <c r="AW348" s="647">
        <f t="shared" si="882"/>
        <v>15330.034301859994</v>
      </c>
      <c r="AY348" s="644">
        <f t="shared" si="1043"/>
        <v>6237.2281341099551</v>
      </c>
      <c r="AZ348" s="645">
        <f t="shared" si="851"/>
        <v>0</v>
      </c>
      <c r="BA348" s="644">
        <f t="shared" si="1044"/>
        <v>0</v>
      </c>
      <c r="BB348" s="645">
        <f t="shared" si="1045"/>
        <v>6237.2281341099551</v>
      </c>
      <c r="BC348" s="646">
        <f t="shared" si="1046"/>
        <v>-44.853725230550793</v>
      </c>
      <c r="BD348" s="647">
        <f t="shared" si="1047"/>
        <v>6192.3744088794047</v>
      </c>
      <c r="BE348" s="644">
        <f t="shared" si="883"/>
        <v>0</v>
      </c>
      <c r="BF348" s="645">
        <f t="shared" si="884"/>
        <v>6192.3744088794047</v>
      </c>
      <c r="BG348" s="646">
        <f t="shared" si="1048"/>
        <v>-147.49731199843325</v>
      </c>
      <c r="BH348" s="647">
        <f t="shared" si="885"/>
        <v>6044.8770968809713</v>
      </c>
      <c r="BI348" s="644">
        <f t="shared" si="1049"/>
        <v>0</v>
      </c>
      <c r="BJ348" s="645">
        <f t="shared" si="1050"/>
        <v>6044.8770968809713</v>
      </c>
      <c r="BK348" s="646">
        <f t="shared" si="1051"/>
        <v>-12.804469463622334</v>
      </c>
      <c r="BL348" s="647">
        <f t="shared" si="886"/>
        <v>6032.0726274173494</v>
      </c>
      <c r="BM348" s="644">
        <f t="shared" si="1052"/>
        <v>0</v>
      </c>
      <c r="BN348" s="645">
        <f t="shared" si="1053"/>
        <v>6032.0726274173494</v>
      </c>
      <c r="BO348" s="646">
        <f t="shared" si="1054"/>
        <v>-0.27598414475672722</v>
      </c>
      <c r="BP348" s="647">
        <f t="shared" si="887"/>
        <v>6031.7966432725925</v>
      </c>
      <c r="BQ348" s="644">
        <f t="shared" si="1055"/>
        <v>0</v>
      </c>
      <c r="BR348" s="645">
        <f t="shared" si="1056"/>
        <v>6031.7966432725925</v>
      </c>
      <c r="BS348" s="646">
        <f t="shared" si="1057"/>
        <v>0</v>
      </c>
      <c r="BT348" s="647">
        <f t="shared" si="888"/>
        <v>6031.7966432725925</v>
      </c>
      <c r="BU348" s="662">
        <f>VLOOKUP(B348,'Afton Update'!$A$5:$AR$582,'Afton Update'!$AO$589,0)-BT348</f>
        <v>0</v>
      </c>
      <c r="BV348" s="644">
        <f t="shared" si="1058"/>
        <v>9450.0261122533539</v>
      </c>
      <c r="BW348" s="645">
        <f t="shared" si="852"/>
        <v>0</v>
      </c>
      <c r="BX348" s="644">
        <f t="shared" si="1059"/>
        <v>0</v>
      </c>
      <c r="BY348" s="645">
        <f t="shared" si="1060"/>
        <v>9450.0261122533539</v>
      </c>
      <c r="BZ348" s="646">
        <f t="shared" si="1061"/>
        <v>-82.943883902799712</v>
      </c>
      <c r="CA348" s="647">
        <f t="shared" si="1062"/>
        <v>9367.0822283505549</v>
      </c>
      <c r="CB348" s="644">
        <f t="shared" si="889"/>
        <v>0</v>
      </c>
      <c r="CC348" s="645">
        <f t="shared" si="890"/>
        <v>9367.0822283505549</v>
      </c>
      <c r="CD348" s="646">
        <f t="shared" si="1063"/>
        <v>-3.00041396495515</v>
      </c>
      <c r="CE348" s="647">
        <f t="shared" si="891"/>
        <v>9364.0818143855995</v>
      </c>
      <c r="CF348" s="644">
        <f t="shared" si="1064"/>
        <v>0</v>
      </c>
      <c r="CG348" s="645">
        <f t="shared" si="1065"/>
        <v>9364.0818143855995</v>
      </c>
      <c r="CH348" s="646">
        <f t="shared" si="1066"/>
        <v>0</v>
      </c>
      <c r="CI348" s="647">
        <f t="shared" si="892"/>
        <v>9364.0818143855995</v>
      </c>
      <c r="CJ348" s="644">
        <f t="shared" si="1067"/>
        <v>0</v>
      </c>
      <c r="CK348" s="645">
        <f t="shared" si="1068"/>
        <v>9364.0818143855995</v>
      </c>
      <c r="CL348" s="646">
        <f t="shared" si="1069"/>
        <v>0</v>
      </c>
      <c r="CM348" s="647">
        <f t="shared" si="893"/>
        <v>9364.0818143855995</v>
      </c>
      <c r="CN348" s="644">
        <f t="shared" si="1070"/>
        <v>0</v>
      </c>
      <c r="CO348" s="645">
        <f t="shared" si="1071"/>
        <v>9364.0818143855995</v>
      </c>
      <c r="CP348" s="646">
        <f t="shared" si="1072"/>
        <v>0</v>
      </c>
      <c r="CQ348" s="647">
        <f t="shared" si="894"/>
        <v>9364.0818143855995</v>
      </c>
      <c r="CS348" s="644">
        <f t="shared" si="1073"/>
        <v>9179.9815333280967</v>
      </c>
      <c r="CT348" s="645">
        <f t="shared" si="853"/>
        <v>0</v>
      </c>
      <c r="CU348" s="644">
        <f t="shared" si="1074"/>
        <v>0</v>
      </c>
      <c r="CV348" s="645">
        <f t="shared" si="1075"/>
        <v>9179.9815333280967</v>
      </c>
      <c r="CW348" s="646">
        <f t="shared" si="1076"/>
        <v>-94.008198710580686</v>
      </c>
      <c r="CX348" s="647">
        <f t="shared" si="1077"/>
        <v>9085.9733346175162</v>
      </c>
      <c r="CY348" s="644">
        <f t="shared" si="895"/>
        <v>0</v>
      </c>
      <c r="CZ348" s="645">
        <f t="shared" si="896"/>
        <v>9085.9733346175162</v>
      </c>
      <c r="DA348" s="646">
        <f t="shared" si="1078"/>
        <v>-7.132522063916249</v>
      </c>
      <c r="DB348" s="647">
        <f t="shared" si="897"/>
        <v>9078.8408125536007</v>
      </c>
      <c r="DC348" s="644">
        <f t="shared" si="1079"/>
        <v>0</v>
      </c>
      <c r="DD348" s="645">
        <f t="shared" si="1080"/>
        <v>9078.8408125536007</v>
      </c>
      <c r="DE348" s="646">
        <f t="shared" si="1081"/>
        <v>-6.1509119075961695E-3</v>
      </c>
      <c r="DF348" s="647">
        <f t="shared" si="898"/>
        <v>9078.8346616416929</v>
      </c>
      <c r="DG348" s="644">
        <f t="shared" si="1082"/>
        <v>0</v>
      </c>
      <c r="DH348" s="645">
        <f t="shared" si="1083"/>
        <v>9078.8346616416929</v>
      </c>
      <c r="DI348" s="646">
        <f t="shared" si="1084"/>
        <v>0</v>
      </c>
      <c r="DJ348" s="647">
        <f t="shared" si="899"/>
        <v>9078.8346616416929</v>
      </c>
      <c r="DK348" s="644">
        <f t="shared" si="1085"/>
        <v>0</v>
      </c>
      <c r="DL348" s="645">
        <f t="shared" si="1086"/>
        <v>9078.8346616416929</v>
      </c>
      <c r="DM348" s="646">
        <f t="shared" si="1087"/>
        <v>0</v>
      </c>
      <c r="DN348" s="647">
        <f t="shared" si="900"/>
        <v>9078.8346616416929</v>
      </c>
      <c r="DR348" s="827">
        <f t="shared" si="854"/>
        <v>39804.747421159875</v>
      </c>
      <c r="DV348" s="828">
        <f>IFERROR(VLOOKUP($B348,'Afton FY16 Final'!$A$5:$BV$587,'Afton FY16 Final'!$BV$587,0),0)</f>
        <v>0</v>
      </c>
      <c r="DX348" s="636">
        <f t="shared" si="842"/>
        <v>39804.747421159875</v>
      </c>
      <c r="DY348" s="637">
        <f t="shared" si="843"/>
        <v>39804.747421159875</v>
      </c>
      <c r="DZ348" s="637">
        <f t="shared" si="844"/>
        <v>0</v>
      </c>
      <c r="EA348" s="643">
        <f t="shared" si="845"/>
        <v>37687.580966118367</v>
      </c>
      <c r="EB348" s="637">
        <f t="shared" si="855"/>
        <v>0</v>
      </c>
      <c r="EC348" s="637">
        <f t="shared" si="856"/>
        <v>37687.580966118367</v>
      </c>
      <c r="ED348" s="637">
        <f t="shared" si="857"/>
        <v>37575.198849917164</v>
      </c>
      <c r="EE348" s="643">
        <f t="shared" si="858"/>
        <v>37575.198849917164</v>
      </c>
      <c r="EF348" s="637">
        <f t="shared" si="859"/>
        <v>0</v>
      </c>
      <c r="EG348" s="637">
        <f t="shared" si="860"/>
        <v>37575.198849917164</v>
      </c>
      <c r="EH348" s="637">
        <f t="shared" si="861"/>
        <v>37575.160085051182</v>
      </c>
      <c r="EI348" s="643">
        <f t="shared" si="862"/>
        <v>37575.160085051182</v>
      </c>
      <c r="EJ348" s="637">
        <f t="shared" si="863"/>
        <v>0</v>
      </c>
      <c r="EK348" s="637">
        <f t="shared" si="864"/>
        <v>37575.160085051182</v>
      </c>
      <c r="EL348" s="637">
        <f t="shared" si="865"/>
        <v>37575.160085051131</v>
      </c>
      <c r="EM348" s="643">
        <f t="shared" si="866"/>
        <v>37575.160085051131</v>
      </c>
      <c r="EN348" s="637">
        <f t="shared" si="867"/>
        <v>0</v>
      </c>
      <c r="EO348" s="637">
        <f t="shared" si="868"/>
        <v>37575.160085051131</v>
      </c>
      <c r="EP348" s="637">
        <f t="shared" si="869"/>
        <v>37575.16008505119</v>
      </c>
      <c r="EQ348" s="643">
        <f t="shared" si="870"/>
        <v>37575.16008505119</v>
      </c>
      <c r="ER348" s="637">
        <f t="shared" si="871"/>
        <v>0</v>
      </c>
      <c r="ES348" s="637">
        <f t="shared" si="872"/>
        <v>37575.16008505119</v>
      </c>
      <c r="ET348" s="637">
        <f t="shared" si="873"/>
        <v>37575.160085051131</v>
      </c>
      <c r="EU348" s="643">
        <f t="shared" si="846"/>
        <v>37575.160085051131</v>
      </c>
      <c r="EV348" s="643">
        <f t="shared" si="847"/>
        <v>0</v>
      </c>
      <c r="EX348" s="829">
        <f t="shared" si="848"/>
        <v>2229.5873361087433</v>
      </c>
      <c r="EY348" s="638">
        <f t="shared" si="849"/>
        <v>37575.160085051131</v>
      </c>
      <c r="FC348" s="830" t="str">
        <f t="shared" si="874"/>
        <v>N</v>
      </c>
      <c r="FE348" s="830" t="str">
        <f>IFERROR(VLOOKUP($B348,'Historical Conc Grant Elig'!$B$3:$J$707,'HH &amp; SI'!FE$2,0),"N")</f>
        <v>N</v>
      </c>
      <c r="FF348" s="830" t="str">
        <f>IFERROR(VLOOKUP($B348,'Historical Conc Grant Elig'!$B$3:$J$707,'HH &amp; SI'!FF$2,0),"N")</f>
        <v>N</v>
      </c>
      <c r="FG348" s="830" t="str">
        <f>IFERROR(VLOOKUP($B348,'Historical Conc Grant Elig'!$B$3:$J$707,'HH &amp; SI'!FG$2,0),"N")</f>
        <v>N</v>
      </c>
      <c r="FH348" s="830" t="str">
        <f>IFERROR(VLOOKUP($B348,'Historical Conc Grant Elig'!$B$3:$J$707,'HH &amp; SI'!FH$2,0),"N")</f>
        <v>N</v>
      </c>
      <c r="FI348" s="830" t="str">
        <f>IFERROR(VLOOKUP($B348,'Historical Conc Grant Elig'!$B$3:$J$707,'HH &amp; SI'!FI$2,0),"N")</f>
        <v>N</v>
      </c>
      <c r="FJ348" s="830" t="str">
        <f>IFERROR(VLOOKUP($B348,'Historical Conc Grant Elig'!$B$3:$J$707,'HH &amp; SI'!FJ$2,0),"N")</f>
        <v>N</v>
      </c>
      <c r="FK348" s="830" t="str">
        <f>IFERROR(VLOOKUP($B348,'Historical Conc Grant Elig'!$B$3:$J$707,'HH &amp; SI'!FK$2,0),"N")</f>
        <v>N</v>
      </c>
      <c r="FL348" s="957" t="str">
        <f>IFERROR(VLOOKUP($B348,'Historical Conc Grant Elig'!$B$3:$J$707,'HH &amp; SI'!FL$2,0),"N")</f>
        <v>Y</v>
      </c>
    </row>
    <row r="349" spans="2:168" x14ac:dyDescent="0.25">
      <c r="B349" s="634">
        <v>100201000</v>
      </c>
      <c r="C349" s="635" t="str">
        <f>VLOOKUP($B349,'Afton Update'!$A$5:$CR$582,'Afton Update'!D$589,0)</f>
        <v>Tucson Unified District</v>
      </c>
      <c r="D349" s="636">
        <f>IFERROR(VLOOKUP($B349,'Afton FY16 Final'!$A$5:$BV$587,'Afton FY16 Final'!AQ$587,0),0)</f>
        <v>8472075.90945209</v>
      </c>
      <c r="E349" s="637">
        <f>IFERROR(VLOOKUP($B349,'Afton FY16 Final'!$A$5:$BV$587,'Afton FY16 Final'!AR$587,0),0)</f>
        <v>1990628.3059806197</v>
      </c>
      <c r="F349" s="637">
        <f>IFERROR(VLOOKUP($B349,'Afton FY16 Final'!$A$5:$BV$587,'Afton FY16 Final'!AS$587,0),0)</f>
        <v>5270669.3326440677</v>
      </c>
      <c r="G349" s="637">
        <f>IFERROR(VLOOKUP($B349,'Afton FY16 Final'!$A$5:$BV$587,'Afton FY16 Final'!AT$587,0),0)</f>
        <v>5438232.9811298558</v>
      </c>
      <c r="H349" s="638">
        <f>IFERROR(VLOOKUP($B349,'Afton FY16 Final'!$A$5:$BV$587,'Afton FY16 Final'!AU$587,0),0)</f>
        <v>21171606.529206634</v>
      </c>
      <c r="I349" s="639" t="str">
        <f>VLOOKUP($B349,'Afton Update'!$A$5:$CR$582,'Afton Update'!BT$589,0)</f>
        <v>Y</v>
      </c>
      <c r="J349" s="640" t="str">
        <f>VLOOKUP($B349,'Afton Update'!$A$5:$CR$582,'Afton Update'!BU$589,0)</f>
        <v>Y</v>
      </c>
      <c r="K349" s="640" t="str">
        <f>VLOOKUP($B349,'Afton Update'!$A$5:$CR$582,'Afton Update'!BV$589,0)</f>
        <v>Y</v>
      </c>
      <c r="L349" s="641" t="str">
        <f>VLOOKUP($B349,'Afton Update'!$A$5:$CR$582,'Afton Update'!BW$589,0)</f>
        <v>Y</v>
      </c>
      <c r="N349" s="642">
        <f>VLOOKUP($B349,'Afton Update'!$A$5:$CR$582,'Afton Update'!CB$589,0)</f>
        <v>0.9</v>
      </c>
      <c r="P349" s="636">
        <f>VLOOKUP($B349,'Afton Update'!$A$5:$CR$582,'Afton Update'!AH$589,0)</f>
        <v>9068566.3224430941</v>
      </c>
      <c r="Q349" s="637">
        <f>VLOOKUP($B349,'Afton Update'!$A$5:$CR$582,'Afton Update'!AI$589,0)</f>
        <v>2163087.2193052606</v>
      </c>
      <c r="R349" s="637">
        <f>VLOOKUP($B349,'Afton Update'!$A$5:$CR$582,'Afton Update'!AJ$589,0)</f>
        <v>6159409.902706068</v>
      </c>
      <c r="S349" s="637">
        <f>VLOOKUP($B349,'Afton Update'!$A$5:$CR$582,'Afton Update'!AK$589,0)</f>
        <v>6099522.3245197088</v>
      </c>
      <c r="T349" s="643">
        <f t="shared" si="875"/>
        <v>23490585.768974133</v>
      </c>
      <c r="V349" s="636">
        <f t="shared" si="1024"/>
        <v>8944865.1917280909</v>
      </c>
      <c r="W349" s="637">
        <f t="shared" si="1025"/>
        <v>2091843.0347542756</v>
      </c>
      <c r="X349" s="637">
        <f t="shared" si="1026"/>
        <v>6103392.4744916242</v>
      </c>
      <c r="Y349" s="637">
        <f t="shared" si="1027"/>
        <v>6032316.5682045445</v>
      </c>
      <c r="Z349" s="643">
        <f t="shared" si="1028"/>
        <v>23172417.269178536</v>
      </c>
      <c r="AB349" s="644">
        <f t="shared" si="876"/>
        <v>9068566.3224430941</v>
      </c>
      <c r="AC349" s="645">
        <f t="shared" si="850"/>
        <v>7624868.3185068816</v>
      </c>
      <c r="AD349" s="644">
        <f t="shared" si="1029"/>
        <v>0</v>
      </c>
      <c r="AE349" s="645">
        <f t="shared" si="1030"/>
        <v>9068566.3224430941</v>
      </c>
      <c r="AF349" s="646">
        <f t="shared" si="1031"/>
        <v>-112411.6944128656</v>
      </c>
      <c r="AG349" s="647">
        <f t="shared" si="1032"/>
        <v>8956154.6280302294</v>
      </c>
      <c r="AH349" s="644">
        <f t="shared" si="877"/>
        <v>0</v>
      </c>
      <c r="AI349" s="645">
        <f t="shared" si="878"/>
        <v>8956154.6280302294</v>
      </c>
      <c r="AJ349" s="646">
        <f t="shared" si="1033"/>
        <v>-11282.243836945541</v>
      </c>
      <c r="AK349" s="647">
        <f t="shared" si="879"/>
        <v>8944872.3841932844</v>
      </c>
      <c r="AL349" s="644">
        <f t="shared" si="1034"/>
        <v>0</v>
      </c>
      <c r="AM349" s="645">
        <f t="shared" si="1035"/>
        <v>8944872.3841932844</v>
      </c>
      <c r="AN349" s="646">
        <f t="shared" si="1036"/>
        <v>-7.1924651934120156</v>
      </c>
      <c r="AO349" s="647">
        <f t="shared" si="880"/>
        <v>8944865.1917280909</v>
      </c>
      <c r="AP349" s="644">
        <f t="shared" si="1037"/>
        <v>0</v>
      </c>
      <c r="AQ349" s="645">
        <f t="shared" si="1038"/>
        <v>8944865.1917280909</v>
      </c>
      <c r="AR349" s="646">
        <f t="shared" si="1039"/>
        <v>0</v>
      </c>
      <c r="AS349" s="647">
        <f t="shared" si="881"/>
        <v>8944865.1917280909</v>
      </c>
      <c r="AT349" s="644">
        <f t="shared" si="1040"/>
        <v>0</v>
      </c>
      <c r="AU349" s="645">
        <f t="shared" si="1041"/>
        <v>8944865.1917280909</v>
      </c>
      <c r="AV349" s="646">
        <f t="shared" si="1042"/>
        <v>0</v>
      </c>
      <c r="AW349" s="647">
        <f t="shared" si="882"/>
        <v>8944865.1917280909</v>
      </c>
      <c r="AY349" s="644">
        <f t="shared" si="1043"/>
        <v>2163087.2193052606</v>
      </c>
      <c r="AZ349" s="645">
        <f t="shared" si="851"/>
        <v>1791565.4753825578</v>
      </c>
      <c r="BA349" s="644">
        <f t="shared" si="1044"/>
        <v>0</v>
      </c>
      <c r="BB349" s="645">
        <f t="shared" si="1045"/>
        <v>2163087.2193052606</v>
      </c>
      <c r="BC349" s="646">
        <f t="shared" si="1046"/>
        <v>-15555.390583493436</v>
      </c>
      <c r="BD349" s="647">
        <f t="shared" si="1047"/>
        <v>2147531.8287217673</v>
      </c>
      <c r="BE349" s="644">
        <f t="shared" si="883"/>
        <v>0</v>
      </c>
      <c r="BF349" s="645">
        <f t="shared" si="884"/>
        <v>2147531.8287217673</v>
      </c>
      <c r="BG349" s="646">
        <f t="shared" si="1048"/>
        <v>-51152.458047972199</v>
      </c>
      <c r="BH349" s="647">
        <f t="shared" si="885"/>
        <v>2096379.370673795</v>
      </c>
      <c r="BI349" s="644">
        <f t="shared" si="1049"/>
        <v>0</v>
      </c>
      <c r="BJ349" s="645">
        <f t="shared" si="1050"/>
        <v>2096379.370673795</v>
      </c>
      <c r="BK349" s="646">
        <f t="shared" si="1051"/>
        <v>-4440.6238879216999</v>
      </c>
      <c r="BL349" s="647">
        <f t="shared" si="886"/>
        <v>2091938.7467858733</v>
      </c>
      <c r="BM349" s="644">
        <f t="shared" si="1052"/>
        <v>0</v>
      </c>
      <c r="BN349" s="645">
        <f t="shared" si="1053"/>
        <v>2091938.7467858733</v>
      </c>
      <c r="BO349" s="646">
        <f t="shared" si="1054"/>
        <v>-95.712031597727915</v>
      </c>
      <c r="BP349" s="647">
        <f t="shared" si="887"/>
        <v>2091843.0347542756</v>
      </c>
      <c r="BQ349" s="644">
        <f t="shared" si="1055"/>
        <v>0</v>
      </c>
      <c r="BR349" s="645">
        <f t="shared" si="1056"/>
        <v>2091843.0347542756</v>
      </c>
      <c r="BS349" s="646">
        <f t="shared" si="1057"/>
        <v>0</v>
      </c>
      <c r="BT349" s="647">
        <f t="shared" si="888"/>
        <v>2091843.0347542756</v>
      </c>
      <c r="BU349" s="662">
        <f>VLOOKUP(B349,'Afton Update'!$A$5:$AR$582,'Afton Update'!$AO$589,0)-BT349</f>
        <v>0</v>
      </c>
      <c r="BV349" s="644">
        <f t="shared" si="1058"/>
        <v>6159409.902706068</v>
      </c>
      <c r="BW349" s="645">
        <f t="shared" si="852"/>
        <v>4743602.3993796613</v>
      </c>
      <c r="BX349" s="644">
        <f t="shared" si="1059"/>
        <v>0</v>
      </c>
      <c r="BY349" s="645">
        <f t="shared" si="1060"/>
        <v>6159409.902706068</v>
      </c>
      <c r="BZ349" s="646">
        <f t="shared" si="1061"/>
        <v>-54061.795577196193</v>
      </c>
      <c r="CA349" s="647">
        <f t="shared" si="1062"/>
        <v>6105348.1071288716</v>
      </c>
      <c r="CB349" s="644">
        <f t="shared" si="889"/>
        <v>0</v>
      </c>
      <c r="CC349" s="645">
        <f t="shared" si="890"/>
        <v>6105348.1071288716</v>
      </c>
      <c r="CD349" s="646">
        <f t="shared" si="1063"/>
        <v>-1955.6326372473475</v>
      </c>
      <c r="CE349" s="647">
        <f t="shared" si="891"/>
        <v>6103392.4744916242</v>
      </c>
      <c r="CF349" s="644">
        <f t="shared" si="1064"/>
        <v>0</v>
      </c>
      <c r="CG349" s="645">
        <f t="shared" si="1065"/>
        <v>6103392.4744916242</v>
      </c>
      <c r="CH349" s="646">
        <f t="shared" si="1066"/>
        <v>0</v>
      </c>
      <c r="CI349" s="647">
        <f t="shared" si="892"/>
        <v>6103392.4744916242</v>
      </c>
      <c r="CJ349" s="644">
        <f t="shared" si="1067"/>
        <v>0</v>
      </c>
      <c r="CK349" s="645">
        <f t="shared" si="1068"/>
        <v>6103392.4744916242</v>
      </c>
      <c r="CL349" s="646">
        <f t="shared" si="1069"/>
        <v>0</v>
      </c>
      <c r="CM349" s="647">
        <f t="shared" si="893"/>
        <v>6103392.4744916242</v>
      </c>
      <c r="CN349" s="644">
        <f t="shared" si="1070"/>
        <v>0</v>
      </c>
      <c r="CO349" s="645">
        <f t="shared" si="1071"/>
        <v>6103392.4744916242</v>
      </c>
      <c r="CP349" s="646">
        <f t="shared" si="1072"/>
        <v>0</v>
      </c>
      <c r="CQ349" s="647">
        <f t="shared" si="894"/>
        <v>6103392.4744916242</v>
      </c>
      <c r="CS349" s="644">
        <f t="shared" si="1073"/>
        <v>6099522.3245197088</v>
      </c>
      <c r="CT349" s="645">
        <f t="shared" si="853"/>
        <v>4894409.6830168702</v>
      </c>
      <c r="CU349" s="644">
        <f t="shared" si="1074"/>
        <v>0</v>
      </c>
      <c r="CV349" s="645">
        <f t="shared" si="1075"/>
        <v>6099522.3245197088</v>
      </c>
      <c r="CW349" s="646">
        <f t="shared" si="1076"/>
        <v>-62462.555577188665</v>
      </c>
      <c r="CX349" s="647">
        <f t="shared" si="1077"/>
        <v>6037059.76894252</v>
      </c>
      <c r="CY349" s="644">
        <f t="shared" si="895"/>
        <v>0</v>
      </c>
      <c r="CZ349" s="645">
        <f t="shared" si="896"/>
        <v>6037059.76894252</v>
      </c>
      <c r="DA349" s="646">
        <f t="shared" si="1078"/>
        <v>-4739.1138425541385</v>
      </c>
      <c r="DB349" s="647">
        <f t="shared" si="897"/>
        <v>6032320.6550999656</v>
      </c>
      <c r="DC349" s="644">
        <f t="shared" si="1079"/>
        <v>0</v>
      </c>
      <c r="DD349" s="645">
        <f t="shared" si="1080"/>
        <v>6032320.6550999656</v>
      </c>
      <c r="DE349" s="646">
        <f t="shared" si="1081"/>
        <v>-4.0868954213391921</v>
      </c>
      <c r="DF349" s="647">
        <f t="shared" si="898"/>
        <v>6032316.5682045445</v>
      </c>
      <c r="DG349" s="644">
        <f t="shared" si="1082"/>
        <v>0</v>
      </c>
      <c r="DH349" s="645">
        <f t="shared" si="1083"/>
        <v>6032316.5682045445</v>
      </c>
      <c r="DI349" s="646">
        <f t="shared" si="1084"/>
        <v>0</v>
      </c>
      <c r="DJ349" s="647">
        <f t="shared" si="899"/>
        <v>6032316.5682045445</v>
      </c>
      <c r="DK349" s="644">
        <f t="shared" si="1085"/>
        <v>0</v>
      </c>
      <c r="DL349" s="645">
        <f t="shared" si="1086"/>
        <v>6032316.5682045445</v>
      </c>
      <c r="DM349" s="646">
        <f t="shared" si="1087"/>
        <v>0</v>
      </c>
      <c r="DN349" s="647">
        <f t="shared" si="900"/>
        <v>6032316.5682045445</v>
      </c>
      <c r="DR349" s="827">
        <f t="shared" si="854"/>
        <v>23172417.269178536</v>
      </c>
      <c r="DV349" s="828">
        <f>IFERROR(VLOOKUP($B349,'Afton FY16 Final'!$A$5:$BV$587,'Afton FY16 Final'!$BV$587,0),0)</f>
        <v>20754737.600152757</v>
      </c>
      <c r="DX349" s="636">
        <f t="shared" si="842"/>
        <v>23172417.269178536</v>
      </c>
      <c r="DY349" s="637">
        <f t="shared" si="843"/>
        <v>2417679.6690257788</v>
      </c>
      <c r="DZ349" s="637">
        <f t="shared" si="844"/>
        <v>20754737.600152757</v>
      </c>
      <c r="EA349" s="643">
        <f t="shared" si="845"/>
        <v>21939904.373029634</v>
      </c>
      <c r="EB349" s="637">
        <f t="shared" si="855"/>
        <v>0</v>
      </c>
      <c r="EC349" s="637">
        <f t="shared" si="856"/>
        <v>21939904.373029634</v>
      </c>
      <c r="ED349" s="637">
        <f t="shared" si="857"/>
        <v>21874480.888171062</v>
      </c>
      <c r="EE349" s="643">
        <f t="shared" si="858"/>
        <v>21874480.888171062</v>
      </c>
      <c r="EF349" s="637">
        <f t="shared" si="859"/>
        <v>0</v>
      </c>
      <c r="EG349" s="637">
        <f t="shared" si="860"/>
        <v>21874480.888171062</v>
      </c>
      <c r="EH349" s="637">
        <f t="shared" si="861"/>
        <v>21874458.321122952</v>
      </c>
      <c r="EI349" s="643">
        <f t="shared" si="862"/>
        <v>21874458.321122952</v>
      </c>
      <c r="EJ349" s="637">
        <f t="shared" si="863"/>
        <v>0</v>
      </c>
      <c r="EK349" s="637">
        <f t="shared" si="864"/>
        <v>21874458.321122952</v>
      </c>
      <c r="EL349" s="637">
        <f t="shared" si="865"/>
        <v>21874458.321122922</v>
      </c>
      <c r="EM349" s="643">
        <f t="shared" si="866"/>
        <v>21874458.321122922</v>
      </c>
      <c r="EN349" s="637">
        <f t="shared" si="867"/>
        <v>0</v>
      </c>
      <c r="EO349" s="637">
        <f t="shared" si="868"/>
        <v>21874458.321122922</v>
      </c>
      <c r="EP349" s="637">
        <f t="shared" si="869"/>
        <v>21874458.321122956</v>
      </c>
      <c r="EQ349" s="643">
        <f t="shared" si="870"/>
        <v>21874458.321122956</v>
      </c>
      <c r="ER349" s="637">
        <f t="shared" si="871"/>
        <v>0</v>
      </c>
      <c r="ES349" s="637">
        <f t="shared" si="872"/>
        <v>21874458.321122956</v>
      </c>
      <c r="ET349" s="637">
        <f t="shared" si="873"/>
        <v>21874458.321122922</v>
      </c>
      <c r="EU349" s="643">
        <f t="shared" si="846"/>
        <v>21874458.321122922</v>
      </c>
      <c r="EV349" s="643">
        <f t="shared" si="847"/>
        <v>0</v>
      </c>
      <c r="EX349" s="829">
        <f t="shared" si="848"/>
        <v>1297958.9480556138</v>
      </c>
      <c r="EY349" s="638">
        <f t="shared" si="849"/>
        <v>21874458.321122922</v>
      </c>
      <c r="FC349" s="830" t="str">
        <f t="shared" si="874"/>
        <v>Y</v>
      </c>
      <c r="FE349" s="830" t="str">
        <f>IFERROR(VLOOKUP($B349,'Historical Conc Grant Elig'!$B$3:$J$707,'HH &amp; SI'!FE$2,0),"N")</f>
        <v>Y</v>
      </c>
      <c r="FF349" s="830" t="str">
        <f>IFERROR(VLOOKUP($B349,'Historical Conc Grant Elig'!$B$3:$J$707,'HH &amp; SI'!FF$2,0),"N")</f>
        <v>Y</v>
      </c>
      <c r="FG349" s="830" t="str">
        <f>IFERROR(VLOOKUP($B349,'Historical Conc Grant Elig'!$B$3:$J$707,'HH &amp; SI'!FG$2,0),"N")</f>
        <v>Y</v>
      </c>
      <c r="FH349" s="830" t="str">
        <f>IFERROR(VLOOKUP($B349,'Historical Conc Grant Elig'!$B$3:$J$707,'HH &amp; SI'!FH$2,0),"N")</f>
        <v>Y</v>
      </c>
      <c r="FI349" s="830" t="str">
        <f>IFERROR(VLOOKUP($B349,'Historical Conc Grant Elig'!$B$3:$J$707,'HH &amp; SI'!FI$2,0),"N")</f>
        <v>Y</v>
      </c>
      <c r="FJ349" s="830" t="str">
        <f>IFERROR(VLOOKUP($B349,'Historical Conc Grant Elig'!$B$3:$J$707,'HH &amp; SI'!FJ$2,0),"N")</f>
        <v>Y</v>
      </c>
      <c r="FK349" s="830" t="str">
        <f>IFERROR(VLOOKUP($B349,'Historical Conc Grant Elig'!$B$3:$J$707,'HH &amp; SI'!FK$2,0),"N")</f>
        <v>Y</v>
      </c>
      <c r="FL349" s="957" t="str">
        <f>IFERROR(VLOOKUP($B349,'Historical Conc Grant Elig'!$B$3:$J$707,'HH &amp; SI'!FL$2,0),"N")</f>
        <v>Y</v>
      </c>
    </row>
    <row r="350" spans="2:168" x14ac:dyDescent="0.25">
      <c r="B350" s="634">
        <v>100206000</v>
      </c>
      <c r="C350" s="635" t="str">
        <f>VLOOKUP($B350,'Afton Update'!$A$5:$CR$582,'Afton Update'!D$589,0)</f>
        <v>Marana Unified District</v>
      </c>
      <c r="D350" s="636">
        <f>IFERROR(VLOOKUP($B350,'Afton FY16 Final'!$A$5:$BV$587,'Afton FY16 Final'!AQ$587,0),0)</f>
        <v>810999.69458788494</v>
      </c>
      <c r="E350" s="637">
        <f>IFERROR(VLOOKUP($B350,'Afton FY16 Final'!$A$5:$BV$587,'Afton FY16 Final'!AR$587,0),0)</f>
        <v>140284.93374477225</v>
      </c>
      <c r="F350" s="637">
        <f>IFERROR(VLOOKUP($B350,'Afton FY16 Final'!$A$5:$BV$587,'Afton FY16 Final'!AS$587,0),0)</f>
        <v>295671.44727456389</v>
      </c>
      <c r="G350" s="637">
        <f>IFERROR(VLOOKUP($B350,'Afton FY16 Final'!$A$5:$BV$587,'Afton FY16 Final'!AT$587,0),0)</f>
        <v>231931.72521192444</v>
      </c>
      <c r="H350" s="638">
        <f>IFERROR(VLOOKUP($B350,'Afton FY16 Final'!$A$5:$BV$587,'Afton FY16 Final'!AU$587,0),0)</f>
        <v>1478887.8008191455</v>
      </c>
      <c r="I350" s="639" t="str">
        <f>VLOOKUP($B350,'Afton Update'!$A$5:$CR$582,'Afton Update'!BT$589,0)</f>
        <v>Y</v>
      </c>
      <c r="J350" s="640" t="str">
        <f>VLOOKUP($B350,'Afton Update'!$A$5:$CR$582,'Afton Update'!BU$589,0)</f>
        <v>N</v>
      </c>
      <c r="K350" s="640" t="str">
        <f>VLOOKUP($B350,'Afton Update'!$A$5:$CR$582,'Afton Update'!BV$589,0)</f>
        <v>Y</v>
      </c>
      <c r="L350" s="641" t="str">
        <f>VLOOKUP($B350,'Afton Update'!$A$5:$CR$582,'Afton Update'!BW$589,0)</f>
        <v>Y</v>
      </c>
      <c r="N350" s="642">
        <f>VLOOKUP($B350,'Afton Update'!$A$5:$CR$582,'Afton Update'!CB$589,0)</f>
        <v>0.85</v>
      </c>
      <c r="P350" s="636">
        <f>VLOOKUP($B350,'Afton Update'!$A$5:$CR$582,'Afton Update'!AH$589,0)</f>
        <v>904261.06806744903</v>
      </c>
      <c r="Q350" s="637" t="str">
        <f>VLOOKUP($B350,'Afton Update'!$A$5:$CR$582,'Afton Update'!AI$589,0)</f>
        <v/>
      </c>
      <c r="R350" s="637">
        <f>VLOOKUP($B350,'Afton Update'!$A$5:$CR$582,'Afton Update'!AJ$589,0)</f>
        <v>365688.51072513923</v>
      </c>
      <c r="S350" s="637">
        <f>VLOOKUP($B350,'Afton Update'!$A$5:$CR$582,'Afton Update'!AK$589,0)</f>
        <v>283684.46740388399</v>
      </c>
      <c r="T350" s="643">
        <f t="shared" si="875"/>
        <v>1553634.0461964724</v>
      </c>
      <c r="V350" s="636">
        <f t="shared" si="1024"/>
        <v>891926.36017600726</v>
      </c>
      <c r="W350" s="637">
        <f t="shared" si="1025"/>
        <v>119242.19368305641</v>
      </c>
      <c r="X350" s="637">
        <f t="shared" si="1026"/>
        <v>362362.71649777464</v>
      </c>
      <c r="Y350" s="637">
        <f t="shared" si="1027"/>
        <v>280558.77523121965</v>
      </c>
      <c r="Z350" s="643">
        <f t="shared" si="1028"/>
        <v>1654090.045588058</v>
      </c>
      <c r="AB350" s="644">
        <f t="shared" si="876"/>
        <v>904261.06806744903</v>
      </c>
      <c r="AC350" s="645">
        <f t="shared" si="850"/>
        <v>689349.74039970222</v>
      </c>
      <c r="AD350" s="644">
        <f t="shared" si="1029"/>
        <v>0</v>
      </c>
      <c r="AE350" s="645">
        <f t="shared" si="1030"/>
        <v>904261.06806744903</v>
      </c>
      <c r="AF350" s="646">
        <f t="shared" si="1031"/>
        <v>-11208.995472799821</v>
      </c>
      <c r="AG350" s="647">
        <f t="shared" si="1032"/>
        <v>893052.07259464916</v>
      </c>
      <c r="AH350" s="644">
        <f t="shared" si="877"/>
        <v>0</v>
      </c>
      <c r="AI350" s="645">
        <f t="shared" si="878"/>
        <v>893052.07259464916</v>
      </c>
      <c r="AJ350" s="646">
        <f t="shared" si="1033"/>
        <v>-1124.9952307174942</v>
      </c>
      <c r="AK350" s="647">
        <f t="shared" si="879"/>
        <v>891927.07736393169</v>
      </c>
      <c r="AL350" s="644">
        <f t="shared" si="1034"/>
        <v>0</v>
      </c>
      <c r="AM350" s="645">
        <f t="shared" si="1035"/>
        <v>891927.07736393169</v>
      </c>
      <c r="AN350" s="646">
        <f t="shared" si="1036"/>
        <v>-0.71718792437309331</v>
      </c>
      <c r="AO350" s="647">
        <f t="shared" si="880"/>
        <v>891926.36017600726</v>
      </c>
      <c r="AP350" s="644">
        <f t="shared" si="1037"/>
        <v>0</v>
      </c>
      <c r="AQ350" s="645">
        <f t="shared" si="1038"/>
        <v>891926.36017600726</v>
      </c>
      <c r="AR350" s="646">
        <f t="shared" si="1039"/>
        <v>0</v>
      </c>
      <c r="AS350" s="647">
        <f t="shared" si="881"/>
        <v>891926.36017600726</v>
      </c>
      <c r="AT350" s="644">
        <f t="shared" si="1040"/>
        <v>0</v>
      </c>
      <c r="AU350" s="645">
        <f t="shared" si="1041"/>
        <v>891926.36017600726</v>
      </c>
      <c r="AV350" s="646">
        <f t="shared" si="1042"/>
        <v>0</v>
      </c>
      <c r="AW350" s="647">
        <f t="shared" si="882"/>
        <v>891926.36017600726</v>
      </c>
      <c r="AY350" s="644">
        <f t="shared" si="1043"/>
        <v>0</v>
      </c>
      <c r="AZ350" s="645">
        <f t="shared" si="851"/>
        <v>119242.19368305641</v>
      </c>
      <c r="BA350" s="644">
        <f t="shared" si="1044"/>
        <v>0</v>
      </c>
      <c r="BB350" s="645">
        <f t="shared" si="1045"/>
        <v>0</v>
      </c>
      <c r="BC350" s="646">
        <f t="shared" si="1046"/>
        <v>0</v>
      </c>
      <c r="BD350" s="647">
        <f t="shared" si="1047"/>
        <v>0</v>
      </c>
      <c r="BE350" s="644">
        <f t="shared" si="883"/>
        <v>-119242.19368305641</v>
      </c>
      <c r="BF350" s="645">
        <f t="shared" si="884"/>
        <v>0</v>
      </c>
      <c r="BG350" s="646">
        <f t="shared" si="1048"/>
        <v>0</v>
      </c>
      <c r="BH350" s="647">
        <f t="shared" si="885"/>
        <v>119242.19368305641</v>
      </c>
      <c r="BI350" s="644">
        <f t="shared" si="1049"/>
        <v>0</v>
      </c>
      <c r="BJ350" s="645">
        <f t="shared" si="1050"/>
        <v>0</v>
      </c>
      <c r="BK350" s="646">
        <f t="shared" si="1051"/>
        <v>0</v>
      </c>
      <c r="BL350" s="647">
        <f t="shared" si="886"/>
        <v>119242.19368305641</v>
      </c>
      <c r="BM350" s="644">
        <f t="shared" si="1052"/>
        <v>0</v>
      </c>
      <c r="BN350" s="645">
        <f t="shared" si="1053"/>
        <v>0</v>
      </c>
      <c r="BO350" s="646">
        <f t="shared" si="1054"/>
        <v>0</v>
      </c>
      <c r="BP350" s="647">
        <f t="shared" si="887"/>
        <v>119242.19368305641</v>
      </c>
      <c r="BQ350" s="644">
        <f t="shared" si="1055"/>
        <v>0</v>
      </c>
      <c r="BR350" s="645">
        <f t="shared" si="1056"/>
        <v>0</v>
      </c>
      <c r="BS350" s="646">
        <f t="shared" si="1057"/>
        <v>0</v>
      </c>
      <c r="BT350" s="647">
        <f t="shared" si="888"/>
        <v>119242.19368305641</v>
      </c>
      <c r="BU350" s="662">
        <f>VLOOKUP(B350,'Afton Update'!$A$5:$AR$582,'Afton Update'!$AO$589,0)-BT350</f>
        <v>0</v>
      </c>
      <c r="BV350" s="644">
        <f t="shared" si="1058"/>
        <v>365688.51072513923</v>
      </c>
      <c r="BW350" s="645">
        <f t="shared" si="852"/>
        <v>251320.73018337929</v>
      </c>
      <c r="BX350" s="644">
        <f t="shared" si="1059"/>
        <v>0</v>
      </c>
      <c r="BY350" s="645">
        <f t="shared" si="1060"/>
        <v>365688.51072513923</v>
      </c>
      <c r="BZ350" s="646">
        <f t="shared" si="1061"/>
        <v>-3209.6869382026616</v>
      </c>
      <c r="CA350" s="647">
        <f t="shared" si="1062"/>
        <v>362478.82378693658</v>
      </c>
      <c r="CB350" s="644">
        <f t="shared" si="889"/>
        <v>0</v>
      </c>
      <c r="CC350" s="645">
        <f t="shared" si="890"/>
        <v>362478.82378693658</v>
      </c>
      <c r="CD350" s="646">
        <f t="shared" si="1063"/>
        <v>-116.10728916194793</v>
      </c>
      <c r="CE350" s="647">
        <f t="shared" si="891"/>
        <v>362362.71649777464</v>
      </c>
      <c r="CF350" s="644">
        <f t="shared" si="1064"/>
        <v>0</v>
      </c>
      <c r="CG350" s="645">
        <f t="shared" si="1065"/>
        <v>362362.71649777464</v>
      </c>
      <c r="CH350" s="646">
        <f t="shared" si="1066"/>
        <v>0</v>
      </c>
      <c r="CI350" s="647">
        <f t="shared" si="892"/>
        <v>362362.71649777464</v>
      </c>
      <c r="CJ350" s="644">
        <f t="shared" si="1067"/>
        <v>0</v>
      </c>
      <c r="CK350" s="645">
        <f t="shared" si="1068"/>
        <v>362362.71649777464</v>
      </c>
      <c r="CL350" s="646">
        <f t="shared" si="1069"/>
        <v>0</v>
      </c>
      <c r="CM350" s="647">
        <f t="shared" si="893"/>
        <v>362362.71649777464</v>
      </c>
      <c r="CN350" s="644">
        <f t="shared" si="1070"/>
        <v>0</v>
      </c>
      <c r="CO350" s="645">
        <f t="shared" si="1071"/>
        <v>362362.71649777464</v>
      </c>
      <c r="CP350" s="646">
        <f t="shared" si="1072"/>
        <v>0</v>
      </c>
      <c r="CQ350" s="647">
        <f t="shared" si="894"/>
        <v>362362.71649777464</v>
      </c>
      <c r="CS350" s="644">
        <f t="shared" si="1073"/>
        <v>283684.46740388399</v>
      </c>
      <c r="CT350" s="645">
        <f t="shared" si="853"/>
        <v>197141.96643013577</v>
      </c>
      <c r="CU350" s="644">
        <f t="shared" si="1074"/>
        <v>0</v>
      </c>
      <c r="CV350" s="645">
        <f t="shared" si="1075"/>
        <v>283684.46740388399</v>
      </c>
      <c r="CW350" s="646">
        <f t="shared" si="1076"/>
        <v>-2905.0892625424663</v>
      </c>
      <c r="CX350" s="647">
        <f t="shared" si="1077"/>
        <v>280779.3781413415</v>
      </c>
      <c r="CY350" s="644">
        <f t="shared" si="895"/>
        <v>0</v>
      </c>
      <c r="CZ350" s="645">
        <f t="shared" si="896"/>
        <v>280779.3781413415</v>
      </c>
      <c r="DA350" s="646">
        <f t="shared" si="1078"/>
        <v>-220.41283150762254</v>
      </c>
      <c r="DB350" s="647">
        <f t="shared" si="897"/>
        <v>280558.96530983387</v>
      </c>
      <c r="DC350" s="644">
        <f t="shared" si="1079"/>
        <v>0</v>
      </c>
      <c r="DD350" s="645">
        <f t="shared" si="1080"/>
        <v>280558.96530983387</v>
      </c>
      <c r="DE350" s="646">
        <f t="shared" si="1081"/>
        <v>-0.19007861423464401</v>
      </c>
      <c r="DF350" s="647">
        <f t="shared" si="898"/>
        <v>280558.77523121965</v>
      </c>
      <c r="DG350" s="644">
        <f t="shared" si="1082"/>
        <v>0</v>
      </c>
      <c r="DH350" s="645">
        <f t="shared" si="1083"/>
        <v>280558.77523121965</v>
      </c>
      <c r="DI350" s="646">
        <f t="shared" si="1084"/>
        <v>0</v>
      </c>
      <c r="DJ350" s="647">
        <f t="shared" si="899"/>
        <v>280558.77523121965</v>
      </c>
      <c r="DK350" s="644">
        <f t="shared" si="1085"/>
        <v>0</v>
      </c>
      <c r="DL350" s="645">
        <f t="shared" si="1086"/>
        <v>280558.77523121965</v>
      </c>
      <c r="DM350" s="646">
        <f t="shared" si="1087"/>
        <v>0</v>
      </c>
      <c r="DN350" s="647">
        <f t="shared" si="900"/>
        <v>280558.77523121965</v>
      </c>
      <c r="DR350" s="827">
        <f t="shared" si="854"/>
        <v>1654090.045588058</v>
      </c>
      <c r="DV350" s="828">
        <f>IFERROR(VLOOKUP($B350,'Afton FY16 Final'!$A$5:$BV$587,'Afton FY16 Final'!$BV$587,0),0)</f>
        <v>1449768.5002659333</v>
      </c>
      <c r="DX350" s="636">
        <f t="shared" si="842"/>
        <v>1654090.045588058</v>
      </c>
      <c r="DY350" s="637">
        <f t="shared" si="843"/>
        <v>204321.54532212461</v>
      </c>
      <c r="DZ350" s="637">
        <f t="shared" si="844"/>
        <v>1449768.5002659333</v>
      </c>
      <c r="EA350" s="643">
        <f t="shared" si="845"/>
        <v>1566110.9932131271</v>
      </c>
      <c r="EB350" s="637">
        <f t="shared" si="855"/>
        <v>0</v>
      </c>
      <c r="EC350" s="637">
        <f t="shared" si="856"/>
        <v>1566110.9932131271</v>
      </c>
      <c r="ED350" s="637">
        <f t="shared" si="857"/>
        <v>1561440.9437402918</v>
      </c>
      <c r="EE350" s="643">
        <f t="shared" si="858"/>
        <v>1561440.9437402918</v>
      </c>
      <c r="EF350" s="637">
        <f t="shared" si="859"/>
        <v>0</v>
      </c>
      <c r="EG350" s="637">
        <f t="shared" si="860"/>
        <v>1561440.9437402918</v>
      </c>
      <c r="EH350" s="637">
        <f t="shared" si="861"/>
        <v>1561439.3328626177</v>
      </c>
      <c r="EI350" s="643">
        <f t="shared" si="862"/>
        <v>1561439.3328626177</v>
      </c>
      <c r="EJ350" s="637">
        <f t="shared" si="863"/>
        <v>0</v>
      </c>
      <c r="EK350" s="637">
        <f t="shared" si="864"/>
        <v>1561439.3328626177</v>
      </c>
      <c r="EL350" s="637">
        <f t="shared" si="865"/>
        <v>1561439.3328626154</v>
      </c>
      <c r="EM350" s="643">
        <f t="shared" si="866"/>
        <v>1561439.3328626154</v>
      </c>
      <c r="EN350" s="637">
        <f t="shared" si="867"/>
        <v>0</v>
      </c>
      <c r="EO350" s="637">
        <f t="shared" si="868"/>
        <v>1561439.3328626154</v>
      </c>
      <c r="EP350" s="637">
        <f t="shared" si="869"/>
        <v>1561439.3328626177</v>
      </c>
      <c r="EQ350" s="643">
        <f t="shared" si="870"/>
        <v>1561439.3328626177</v>
      </c>
      <c r="ER350" s="637">
        <f t="shared" si="871"/>
        <v>0</v>
      </c>
      <c r="ES350" s="637">
        <f t="shared" si="872"/>
        <v>1561439.3328626177</v>
      </c>
      <c r="ET350" s="637">
        <f t="shared" si="873"/>
        <v>1561439.3328626151</v>
      </c>
      <c r="EU350" s="643">
        <f t="shared" si="846"/>
        <v>1561439.3328626151</v>
      </c>
      <c r="EV350" s="643">
        <f t="shared" si="847"/>
        <v>0</v>
      </c>
      <c r="EX350" s="829">
        <f t="shared" si="848"/>
        <v>92650.712725442834</v>
      </c>
      <c r="EY350" s="638">
        <f t="shared" si="849"/>
        <v>1561439.3328626151</v>
      </c>
      <c r="FC350" s="830" t="str">
        <f t="shared" si="874"/>
        <v>Y</v>
      </c>
      <c r="FE350" s="830" t="str">
        <f>IFERROR(VLOOKUP($B350,'Historical Conc Grant Elig'!$B$3:$J$707,'HH &amp; SI'!FE$2,0),"N")</f>
        <v>N</v>
      </c>
      <c r="FF350" s="830" t="str">
        <f>IFERROR(VLOOKUP($B350,'Historical Conc Grant Elig'!$B$3:$J$707,'HH &amp; SI'!FF$2,0),"N")</f>
        <v>N</v>
      </c>
      <c r="FG350" s="830" t="str">
        <f>IFERROR(VLOOKUP($B350,'Historical Conc Grant Elig'!$B$3:$J$707,'HH &amp; SI'!FG$2,0),"N")</f>
        <v>N</v>
      </c>
      <c r="FH350" s="830" t="str">
        <f>IFERROR(VLOOKUP($B350,'Historical Conc Grant Elig'!$B$3:$J$707,'HH &amp; SI'!FH$2,0),"N")</f>
        <v>N</v>
      </c>
      <c r="FI350" s="830" t="str">
        <f>IFERROR(VLOOKUP($B350,'Historical Conc Grant Elig'!$B$3:$J$707,'HH &amp; SI'!FI$2,0),"N")</f>
        <v>Y</v>
      </c>
      <c r="FJ350" s="830" t="str">
        <f>IFERROR(VLOOKUP($B350,'Historical Conc Grant Elig'!$B$3:$J$707,'HH &amp; SI'!FJ$2,0),"N")</f>
        <v>N</v>
      </c>
      <c r="FK350" s="830" t="str">
        <f>IFERROR(VLOOKUP($B350,'Historical Conc Grant Elig'!$B$3:$J$707,'HH &amp; SI'!FK$2,0),"N")</f>
        <v>N</v>
      </c>
      <c r="FL350" s="957" t="str">
        <f>IFERROR(VLOOKUP($B350,'Historical Conc Grant Elig'!$B$3:$J$707,'HH &amp; SI'!FL$2,0),"N")</f>
        <v>N</v>
      </c>
    </row>
    <row r="351" spans="2:168" x14ac:dyDescent="0.25">
      <c r="B351" s="634">
        <v>100208000</v>
      </c>
      <c r="C351" s="635" t="str">
        <f>VLOOKUP($B351,'Afton Update'!$A$5:$CR$582,'Afton Update'!D$589,0)</f>
        <v>Flowing Wells Unified District</v>
      </c>
      <c r="D351" s="636">
        <f>IFERROR(VLOOKUP($B351,'Afton FY16 Final'!$A$5:$BV$587,'Afton FY16 Final'!AQ$587,0),0)</f>
        <v>731158.36661240377</v>
      </c>
      <c r="E351" s="637">
        <f>IFERROR(VLOOKUP($B351,'Afton FY16 Final'!$A$5:$BV$587,'Afton FY16 Final'!AR$587,0),0)</f>
        <v>174606.71352571275</v>
      </c>
      <c r="F351" s="637">
        <f>IFERROR(VLOOKUP($B351,'Afton FY16 Final'!$A$5:$BV$587,'Afton FY16 Final'!AS$587,0),0)</f>
        <v>373696.26480084378</v>
      </c>
      <c r="G351" s="637">
        <f>IFERROR(VLOOKUP($B351,'Afton FY16 Final'!$A$5:$BV$587,'Afton FY16 Final'!AT$587,0),0)</f>
        <v>347155.69718324044</v>
      </c>
      <c r="H351" s="638">
        <f>IFERROR(VLOOKUP($B351,'Afton FY16 Final'!$A$5:$BV$587,'Afton FY16 Final'!AU$587,0),0)</f>
        <v>1626617.0421222008</v>
      </c>
      <c r="I351" s="639" t="str">
        <f>VLOOKUP($B351,'Afton Update'!$A$5:$CR$582,'Afton Update'!BT$589,0)</f>
        <v>Y</v>
      </c>
      <c r="J351" s="640" t="str">
        <f>VLOOKUP($B351,'Afton Update'!$A$5:$CR$582,'Afton Update'!BU$589,0)</f>
        <v>Y</v>
      </c>
      <c r="K351" s="640" t="str">
        <f>VLOOKUP($B351,'Afton Update'!$A$5:$CR$582,'Afton Update'!BV$589,0)</f>
        <v>Y</v>
      </c>
      <c r="L351" s="641" t="str">
        <f>VLOOKUP($B351,'Afton Update'!$A$5:$CR$582,'Afton Update'!BW$589,0)</f>
        <v>Y</v>
      </c>
      <c r="N351" s="642">
        <f>VLOOKUP($B351,'Afton Update'!$A$5:$CR$582,'Afton Update'!CB$589,0)</f>
        <v>0.95</v>
      </c>
      <c r="P351" s="636">
        <f>VLOOKUP($B351,'Afton Update'!$A$5:$CR$582,'Afton Update'!AH$589,0)</f>
        <v>757737.28388985316</v>
      </c>
      <c r="Q351" s="637">
        <f>VLOOKUP($B351,'Afton Update'!$A$5:$CR$582,'Afton Update'!AI$589,0)</f>
        <v>183312.11966912023</v>
      </c>
      <c r="R351" s="637">
        <f>VLOOKUP($B351,'Afton Update'!$A$5:$CR$582,'Afton Update'!AJ$589,0)</f>
        <v>410934.83620450931</v>
      </c>
      <c r="S351" s="637">
        <f>VLOOKUP($B351,'Afton Update'!$A$5:$CR$582,'Afton Update'!AK$589,0)</f>
        <v>361693.27577430004</v>
      </c>
      <c r="T351" s="643">
        <f t="shared" si="875"/>
        <v>1713677.5155377828</v>
      </c>
      <c r="V351" s="636">
        <f t="shared" si="1024"/>
        <v>747401.25551785796</v>
      </c>
      <c r="W351" s="637">
        <f t="shared" si="1025"/>
        <v>177274.48865379134</v>
      </c>
      <c r="X351" s="637">
        <f t="shared" si="1026"/>
        <v>407197.54431266966</v>
      </c>
      <c r="Y351" s="637">
        <f t="shared" si="1027"/>
        <v>357708.06695642183</v>
      </c>
      <c r="Z351" s="643">
        <f t="shared" si="1028"/>
        <v>1689581.3554407409</v>
      </c>
      <c r="AB351" s="644">
        <f t="shared" si="876"/>
        <v>757737.28388985316</v>
      </c>
      <c r="AC351" s="645">
        <f t="shared" si="850"/>
        <v>694600.44828178349</v>
      </c>
      <c r="AD351" s="644">
        <f t="shared" si="1029"/>
        <v>0</v>
      </c>
      <c r="AE351" s="645">
        <f t="shared" si="1030"/>
        <v>757737.28388985316</v>
      </c>
      <c r="AF351" s="646">
        <f t="shared" si="1031"/>
        <v>-9392.7230582257744</v>
      </c>
      <c r="AG351" s="647">
        <f t="shared" si="1032"/>
        <v>748344.56083162734</v>
      </c>
      <c r="AH351" s="644">
        <f t="shared" si="877"/>
        <v>0</v>
      </c>
      <c r="AI351" s="645">
        <f t="shared" si="878"/>
        <v>748344.56083162734</v>
      </c>
      <c r="AJ351" s="646">
        <f t="shared" si="1033"/>
        <v>-942.70433685123362</v>
      </c>
      <c r="AK351" s="647">
        <f t="shared" si="879"/>
        <v>747401.85649477609</v>
      </c>
      <c r="AL351" s="644">
        <f t="shared" si="1034"/>
        <v>0</v>
      </c>
      <c r="AM351" s="645">
        <f t="shared" si="1035"/>
        <v>747401.85649477609</v>
      </c>
      <c r="AN351" s="646">
        <f t="shared" si="1036"/>
        <v>-0.60097691810893472</v>
      </c>
      <c r="AO351" s="647">
        <f t="shared" si="880"/>
        <v>747401.25551785796</v>
      </c>
      <c r="AP351" s="644">
        <f t="shared" si="1037"/>
        <v>0</v>
      </c>
      <c r="AQ351" s="645">
        <f t="shared" si="1038"/>
        <v>747401.25551785796</v>
      </c>
      <c r="AR351" s="646">
        <f t="shared" si="1039"/>
        <v>0</v>
      </c>
      <c r="AS351" s="647">
        <f t="shared" si="881"/>
        <v>747401.25551785796</v>
      </c>
      <c r="AT351" s="644">
        <f t="shared" si="1040"/>
        <v>0</v>
      </c>
      <c r="AU351" s="645">
        <f t="shared" si="1041"/>
        <v>747401.25551785796</v>
      </c>
      <c r="AV351" s="646">
        <f t="shared" si="1042"/>
        <v>0</v>
      </c>
      <c r="AW351" s="647">
        <f t="shared" si="882"/>
        <v>747401.25551785796</v>
      </c>
      <c r="AY351" s="644">
        <f t="shared" si="1043"/>
        <v>183312.11966912023</v>
      </c>
      <c r="AZ351" s="645">
        <f t="shared" si="851"/>
        <v>165876.37784942711</v>
      </c>
      <c r="BA351" s="644">
        <f t="shared" si="1044"/>
        <v>0</v>
      </c>
      <c r="BB351" s="645">
        <f t="shared" si="1045"/>
        <v>183312.11966912023</v>
      </c>
      <c r="BC351" s="646">
        <f t="shared" si="1046"/>
        <v>-1318.250875273118</v>
      </c>
      <c r="BD351" s="647">
        <f t="shared" si="1047"/>
        <v>181993.86879384713</v>
      </c>
      <c r="BE351" s="644">
        <f t="shared" si="883"/>
        <v>0</v>
      </c>
      <c r="BF351" s="645">
        <f t="shared" si="884"/>
        <v>181993.86879384713</v>
      </c>
      <c r="BG351" s="646">
        <f t="shared" si="1048"/>
        <v>-4334.9456403663607</v>
      </c>
      <c r="BH351" s="647">
        <f t="shared" si="885"/>
        <v>177658.92315348078</v>
      </c>
      <c r="BI351" s="644">
        <f t="shared" si="1049"/>
        <v>0</v>
      </c>
      <c r="BJ351" s="645">
        <f t="shared" si="1050"/>
        <v>177658.92315348078</v>
      </c>
      <c r="BK351" s="646">
        <f t="shared" si="1051"/>
        <v>-376.32332634728584</v>
      </c>
      <c r="BL351" s="647">
        <f t="shared" si="886"/>
        <v>177282.5998271335</v>
      </c>
      <c r="BM351" s="644">
        <f t="shared" si="1052"/>
        <v>0</v>
      </c>
      <c r="BN351" s="645">
        <f t="shared" si="1053"/>
        <v>177282.5998271335</v>
      </c>
      <c r="BO351" s="646">
        <f t="shared" si="1054"/>
        <v>-8.1111733421699341</v>
      </c>
      <c r="BP351" s="647">
        <f t="shared" si="887"/>
        <v>177274.48865379134</v>
      </c>
      <c r="BQ351" s="644">
        <f t="shared" si="1055"/>
        <v>0</v>
      </c>
      <c r="BR351" s="645">
        <f t="shared" si="1056"/>
        <v>177274.48865379134</v>
      </c>
      <c r="BS351" s="646">
        <f t="shared" si="1057"/>
        <v>0</v>
      </c>
      <c r="BT351" s="647">
        <f t="shared" si="888"/>
        <v>177274.48865379134</v>
      </c>
      <c r="BU351" s="662">
        <f>VLOOKUP(B351,'Afton Update'!$A$5:$AR$582,'Afton Update'!$AO$589,0)-BT351</f>
        <v>0</v>
      </c>
      <c r="BV351" s="644">
        <f t="shared" si="1058"/>
        <v>410934.83620450931</v>
      </c>
      <c r="BW351" s="645">
        <f t="shared" si="852"/>
        <v>355011.45156080159</v>
      </c>
      <c r="BX351" s="644">
        <f t="shared" si="1059"/>
        <v>0</v>
      </c>
      <c r="BY351" s="645">
        <f t="shared" si="1060"/>
        <v>410934.83620450931</v>
      </c>
      <c r="BZ351" s="646">
        <f t="shared" si="1061"/>
        <v>-3606.818747470677</v>
      </c>
      <c r="CA351" s="647">
        <f t="shared" si="1062"/>
        <v>407328.01745703863</v>
      </c>
      <c r="CB351" s="644">
        <f t="shared" si="889"/>
        <v>0</v>
      </c>
      <c r="CC351" s="645">
        <f t="shared" si="890"/>
        <v>407328.01745703863</v>
      </c>
      <c r="CD351" s="646">
        <f t="shared" si="1063"/>
        <v>-130.47314436896986</v>
      </c>
      <c r="CE351" s="647">
        <f t="shared" si="891"/>
        <v>407197.54431266966</v>
      </c>
      <c r="CF351" s="644">
        <f t="shared" si="1064"/>
        <v>0</v>
      </c>
      <c r="CG351" s="645">
        <f t="shared" si="1065"/>
        <v>407197.54431266966</v>
      </c>
      <c r="CH351" s="646">
        <f t="shared" si="1066"/>
        <v>0</v>
      </c>
      <c r="CI351" s="647">
        <f t="shared" si="892"/>
        <v>407197.54431266966</v>
      </c>
      <c r="CJ351" s="644">
        <f t="shared" si="1067"/>
        <v>0</v>
      </c>
      <c r="CK351" s="645">
        <f t="shared" si="1068"/>
        <v>407197.54431266966</v>
      </c>
      <c r="CL351" s="646">
        <f t="shared" si="1069"/>
        <v>0</v>
      </c>
      <c r="CM351" s="647">
        <f t="shared" si="893"/>
        <v>407197.54431266966</v>
      </c>
      <c r="CN351" s="644">
        <f t="shared" si="1070"/>
        <v>0</v>
      </c>
      <c r="CO351" s="645">
        <f t="shared" si="1071"/>
        <v>407197.54431266966</v>
      </c>
      <c r="CP351" s="646">
        <f t="shared" si="1072"/>
        <v>0</v>
      </c>
      <c r="CQ351" s="647">
        <f t="shared" si="894"/>
        <v>407197.54431266966</v>
      </c>
      <c r="CS351" s="644">
        <f t="shared" si="1073"/>
        <v>361693.27577430004</v>
      </c>
      <c r="CT351" s="645">
        <f t="shared" si="853"/>
        <v>329797.91232407838</v>
      </c>
      <c r="CU351" s="644">
        <f t="shared" si="1074"/>
        <v>0</v>
      </c>
      <c r="CV351" s="645">
        <f t="shared" si="1075"/>
        <v>361693.27577430004</v>
      </c>
      <c r="CW351" s="646">
        <f t="shared" si="1076"/>
        <v>-3703.9435447474352</v>
      </c>
      <c r="CX351" s="647">
        <f t="shared" si="1077"/>
        <v>357989.33222955262</v>
      </c>
      <c r="CY351" s="644">
        <f t="shared" si="895"/>
        <v>0</v>
      </c>
      <c r="CZ351" s="645">
        <f t="shared" si="896"/>
        <v>357989.33222955262</v>
      </c>
      <c r="DA351" s="646">
        <f t="shared" si="1078"/>
        <v>-281.02292585931468</v>
      </c>
      <c r="DB351" s="647">
        <f t="shared" si="897"/>
        <v>357708.3093036933</v>
      </c>
      <c r="DC351" s="644">
        <f t="shared" si="1079"/>
        <v>0</v>
      </c>
      <c r="DD351" s="645">
        <f t="shared" si="1080"/>
        <v>357708.3093036933</v>
      </c>
      <c r="DE351" s="646">
        <f t="shared" si="1081"/>
        <v>-0.24234727148204313</v>
      </c>
      <c r="DF351" s="647">
        <f t="shared" si="898"/>
        <v>357708.06695642183</v>
      </c>
      <c r="DG351" s="644">
        <f t="shared" si="1082"/>
        <v>0</v>
      </c>
      <c r="DH351" s="645">
        <f t="shared" si="1083"/>
        <v>357708.06695642183</v>
      </c>
      <c r="DI351" s="646">
        <f t="shared" si="1084"/>
        <v>0</v>
      </c>
      <c r="DJ351" s="647">
        <f t="shared" si="899"/>
        <v>357708.06695642183</v>
      </c>
      <c r="DK351" s="644">
        <f t="shared" si="1085"/>
        <v>0</v>
      </c>
      <c r="DL351" s="645">
        <f t="shared" si="1086"/>
        <v>357708.06695642183</v>
      </c>
      <c r="DM351" s="646">
        <f t="shared" si="1087"/>
        <v>0</v>
      </c>
      <c r="DN351" s="647">
        <f t="shared" si="900"/>
        <v>357708.06695642183</v>
      </c>
      <c r="DR351" s="827">
        <f t="shared" si="854"/>
        <v>1689581.3554407409</v>
      </c>
      <c r="DV351" s="828">
        <f>IFERROR(VLOOKUP($B351,'Afton FY16 Final'!$A$5:$BV$587,'Afton FY16 Final'!$BV$587,0),0)</f>
        <v>1569047.8341566867</v>
      </c>
      <c r="DX351" s="636">
        <f t="shared" si="842"/>
        <v>1689581.3554407409</v>
      </c>
      <c r="DY351" s="637">
        <f t="shared" si="843"/>
        <v>120533.52128405427</v>
      </c>
      <c r="DZ351" s="637">
        <f t="shared" si="844"/>
        <v>1569047.8341566867</v>
      </c>
      <c r="EA351" s="643">
        <f t="shared" si="845"/>
        <v>1599714.5631469875</v>
      </c>
      <c r="EB351" s="637">
        <f t="shared" si="855"/>
        <v>0</v>
      </c>
      <c r="EC351" s="637">
        <f t="shared" si="856"/>
        <v>1599714.5631469875</v>
      </c>
      <c r="ED351" s="637">
        <f t="shared" si="857"/>
        <v>1594944.3098350021</v>
      </c>
      <c r="EE351" s="643">
        <f t="shared" si="858"/>
        <v>1594944.3098350021</v>
      </c>
      <c r="EF351" s="637">
        <f t="shared" si="859"/>
        <v>0</v>
      </c>
      <c r="EG351" s="637">
        <f t="shared" si="860"/>
        <v>1594944.3098350021</v>
      </c>
      <c r="EH351" s="637">
        <f t="shared" si="861"/>
        <v>1594942.6643932129</v>
      </c>
      <c r="EI351" s="643">
        <f t="shared" si="862"/>
        <v>1594942.6643932129</v>
      </c>
      <c r="EJ351" s="637">
        <f t="shared" si="863"/>
        <v>0</v>
      </c>
      <c r="EK351" s="637">
        <f t="shared" si="864"/>
        <v>1594942.6643932129</v>
      </c>
      <c r="EL351" s="637">
        <f t="shared" si="865"/>
        <v>1594942.6643932106</v>
      </c>
      <c r="EM351" s="643">
        <f t="shared" si="866"/>
        <v>1594942.6643932106</v>
      </c>
      <c r="EN351" s="637">
        <f t="shared" si="867"/>
        <v>0</v>
      </c>
      <c r="EO351" s="637">
        <f t="shared" si="868"/>
        <v>1594942.6643932106</v>
      </c>
      <c r="EP351" s="637">
        <f t="shared" si="869"/>
        <v>1594942.6643932131</v>
      </c>
      <c r="EQ351" s="643">
        <f t="shared" si="870"/>
        <v>1594942.6643932131</v>
      </c>
      <c r="ER351" s="637">
        <f t="shared" si="871"/>
        <v>0</v>
      </c>
      <c r="ES351" s="637">
        <f t="shared" si="872"/>
        <v>1594942.6643932131</v>
      </c>
      <c r="ET351" s="637">
        <f t="shared" si="873"/>
        <v>1594942.6643932106</v>
      </c>
      <c r="EU351" s="643">
        <f t="shared" si="846"/>
        <v>1594942.6643932106</v>
      </c>
      <c r="EV351" s="643">
        <f t="shared" si="847"/>
        <v>0</v>
      </c>
      <c r="EX351" s="829">
        <f t="shared" si="848"/>
        <v>94638.691047530388</v>
      </c>
      <c r="EY351" s="638">
        <f t="shared" si="849"/>
        <v>1594942.6643932106</v>
      </c>
      <c r="FC351" s="830" t="str">
        <f t="shared" si="874"/>
        <v>Y</v>
      </c>
      <c r="FE351" s="830" t="str">
        <f>IFERROR(VLOOKUP($B351,'Historical Conc Grant Elig'!$B$3:$J$707,'HH &amp; SI'!FE$2,0),"N")</f>
        <v>Y</v>
      </c>
      <c r="FF351" s="830" t="str">
        <f>IFERROR(VLOOKUP($B351,'Historical Conc Grant Elig'!$B$3:$J$707,'HH &amp; SI'!FF$2,0),"N")</f>
        <v>Y</v>
      </c>
      <c r="FG351" s="830" t="str">
        <f>IFERROR(VLOOKUP($B351,'Historical Conc Grant Elig'!$B$3:$J$707,'HH &amp; SI'!FG$2,0),"N")</f>
        <v>Y</v>
      </c>
      <c r="FH351" s="830" t="str">
        <f>IFERROR(VLOOKUP($B351,'Historical Conc Grant Elig'!$B$3:$J$707,'HH &amp; SI'!FH$2,0),"N")</f>
        <v>Y</v>
      </c>
      <c r="FI351" s="830" t="str">
        <f>IFERROR(VLOOKUP($B351,'Historical Conc Grant Elig'!$B$3:$J$707,'HH &amp; SI'!FI$2,0),"N")</f>
        <v>Y</v>
      </c>
      <c r="FJ351" s="830" t="str">
        <f>IFERROR(VLOOKUP($B351,'Historical Conc Grant Elig'!$B$3:$J$707,'HH &amp; SI'!FJ$2,0),"N")</f>
        <v>Y</v>
      </c>
      <c r="FK351" s="830" t="str">
        <f>IFERROR(VLOOKUP($B351,'Historical Conc Grant Elig'!$B$3:$J$707,'HH &amp; SI'!FK$2,0),"N")</f>
        <v>Y</v>
      </c>
      <c r="FL351" s="957" t="str">
        <f>IFERROR(VLOOKUP($B351,'Historical Conc Grant Elig'!$B$3:$J$707,'HH &amp; SI'!FL$2,0),"N")</f>
        <v>Y</v>
      </c>
    </row>
    <row r="352" spans="2:168" x14ac:dyDescent="0.25">
      <c r="B352" s="634">
        <v>100210000</v>
      </c>
      <c r="C352" s="635" t="str">
        <f>VLOOKUP($B352,'Afton Update'!$A$5:$CR$582,'Afton Update'!D$589,0)</f>
        <v>Amphitheater Unified District</v>
      </c>
      <c r="D352" s="636">
        <f>IFERROR(VLOOKUP($B352,'Afton FY16 Final'!$A$5:$BV$587,'Afton FY16 Final'!AQ$587,0),0)</f>
        <v>1767880.8550907071</v>
      </c>
      <c r="E352" s="637">
        <f>IFERROR(VLOOKUP($B352,'Afton FY16 Final'!$A$5:$BV$587,'Afton FY16 Final'!AR$587,0),0)</f>
        <v>417682.56975459069</v>
      </c>
      <c r="F352" s="637">
        <f>IFERROR(VLOOKUP($B352,'Afton FY16 Final'!$A$5:$BV$587,'Afton FY16 Final'!AS$587,0),0)</f>
        <v>822850.66939524421</v>
      </c>
      <c r="G352" s="637">
        <f>IFERROR(VLOOKUP($B352,'Afton FY16 Final'!$A$5:$BV$587,'Afton FY16 Final'!AT$587,0),0)</f>
        <v>714295.92634226661</v>
      </c>
      <c r="H352" s="638">
        <f>IFERROR(VLOOKUP($B352,'Afton FY16 Final'!$A$5:$BV$587,'Afton FY16 Final'!AU$587,0),0)</f>
        <v>3722710.0205828086</v>
      </c>
      <c r="I352" s="639" t="str">
        <f>VLOOKUP($B352,'Afton Update'!$A$5:$CR$582,'Afton Update'!BT$589,0)</f>
        <v>Y</v>
      </c>
      <c r="J352" s="640" t="str">
        <f>VLOOKUP($B352,'Afton Update'!$A$5:$CR$582,'Afton Update'!BU$589,0)</f>
        <v>Y</v>
      </c>
      <c r="K352" s="640" t="str">
        <f>VLOOKUP($B352,'Afton Update'!$A$5:$CR$582,'Afton Update'!BV$589,0)</f>
        <v>Y</v>
      </c>
      <c r="L352" s="641" t="str">
        <f>VLOOKUP($B352,'Afton Update'!$A$5:$CR$582,'Afton Update'!BW$589,0)</f>
        <v>Y</v>
      </c>
      <c r="N352" s="642">
        <f>VLOOKUP($B352,'Afton Update'!$A$5:$CR$582,'Afton Update'!CB$589,0)</f>
        <v>0.9</v>
      </c>
      <c r="P352" s="636">
        <f>VLOOKUP($B352,'Afton Update'!$A$5:$CR$582,'Afton Update'!AH$589,0)</f>
        <v>1795962.9546339612</v>
      </c>
      <c r="Q352" s="637">
        <f>VLOOKUP($B352,'Afton Update'!$A$5:$CR$582,'Afton Update'!AI$589,0)</f>
        <v>430634.41702443082</v>
      </c>
      <c r="R352" s="637">
        <f>VLOOKUP($B352,'Afton Update'!$A$5:$CR$582,'Afton Update'!AJ$589,0)</f>
        <v>897449.76194024063</v>
      </c>
      <c r="S352" s="637">
        <f>VLOOKUP($B352,'Afton Update'!$A$5:$CR$582,'Afton Update'!AK$589,0)</f>
        <v>745890.70277328009</v>
      </c>
      <c r="T352" s="643">
        <f t="shared" si="875"/>
        <v>3869937.8363719131</v>
      </c>
      <c r="V352" s="636">
        <f t="shared" si="1024"/>
        <v>1771464.8542384591</v>
      </c>
      <c r="W352" s="637">
        <f t="shared" si="1025"/>
        <v>416450.8937680971</v>
      </c>
      <c r="X352" s="637">
        <f t="shared" si="1026"/>
        <v>889287.80675140512</v>
      </c>
      <c r="Y352" s="637">
        <f t="shared" si="1027"/>
        <v>737672.32990056917</v>
      </c>
      <c r="Z352" s="643">
        <f t="shared" si="1028"/>
        <v>3814875.8846585304</v>
      </c>
      <c r="AB352" s="644">
        <f t="shared" si="876"/>
        <v>1795962.9546339612</v>
      </c>
      <c r="AC352" s="645">
        <f t="shared" si="850"/>
        <v>1591092.7695816364</v>
      </c>
      <c r="AD352" s="644">
        <f t="shared" si="1029"/>
        <v>0</v>
      </c>
      <c r="AE352" s="645">
        <f t="shared" si="1030"/>
        <v>1795962.9546339612</v>
      </c>
      <c r="AF352" s="646">
        <f t="shared" si="1031"/>
        <v>-22262.310452921862</v>
      </c>
      <c r="AG352" s="647">
        <f t="shared" si="1032"/>
        <v>1773700.6441810394</v>
      </c>
      <c r="AH352" s="644">
        <f t="shared" si="877"/>
        <v>0</v>
      </c>
      <c r="AI352" s="645">
        <f t="shared" si="878"/>
        <v>1773700.6441810394</v>
      </c>
      <c r="AJ352" s="646">
        <f t="shared" si="1033"/>
        <v>-2234.3655276750233</v>
      </c>
      <c r="AK352" s="647">
        <f t="shared" si="879"/>
        <v>1771466.2786533644</v>
      </c>
      <c r="AL352" s="644">
        <f t="shared" si="1034"/>
        <v>0</v>
      </c>
      <c r="AM352" s="645">
        <f t="shared" si="1035"/>
        <v>1771466.2786533644</v>
      </c>
      <c r="AN352" s="646">
        <f t="shared" si="1036"/>
        <v>-1.4244149053521158</v>
      </c>
      <c r="AO352" s="647">
        <f t="shared" si="880"/>
        <v>1771464.8542384591</v>
      </c>
      <c r="AP352" s="644">
        <f t="shared" si="1037"/>
        <v>0</v>
      </c>
      <c r="AQ352" s="645">
        <f t="shared" si="1038"/>
        <v>1771464.8542384591</v>
      </c>
      <c r="AR352" s="646">
        <f t="shared" si="1039"/>
        <v>0</v>
      </c>
      <c r="AS352" s="647">
        <f t="shared" si="881"/>
        <v>1771464.8542384591</v>
      </c>
      <c r="AT352" s="644">
        <f t="shared" si="1040"/>
        <v>0</v>
      </c>
      <c r="AU352" s="645">
        <f t="shared" si="1041"/>
        <v>1771464.8542384591</v>
      </c>
      <c r="AV352" s="646">
        <f t="shared" si="1042"/>
        <v>0</v>
      </c>
      <c r="AW352" s="647">
        <f t="shared" si="882"/>
        <v>1771464.8542384591</v>
      </c>
      <c r="AY352" s="644">
        <f t="shared" si="1043"/>
        <v>430634.41702443082</v>
      </c>
      <c r="AZ352" s="645">
        <f t="shared" si="851"/>
        <v>375914.31277913164</v>
      </c>
      <c r="BA352" s="644">
        <f t="shared" si="1044"/>
        <v>0</v>
      </c>
      <c r="BB352" s="645">
        <f t="shared" si="1045"/>
        <v>430634.41702443082</v>
      </c>
      <c r="BC352" s="646">
        <f t="shared" si="1046"/>
        <v>-3096.8175928021515</v>
      </c>
      <c r="BD352" s="647">
        <f t="shared" si="1047"/>
        <v>427537.59943162865</v>
      </c>
      <c r="BE352" s="644">
        <f t="shared" si="883"/>
        <v>0</v>
      </c>
      <c r="BF352" s="645">
        <f t="shared" si="884"/>
        <v>427537.59943162865</v>
      </c>
      <c r="BG352" s="646">
        <f t="shared" si="1048"/>
        <v>-10183.597200454131</v>
      </c>
      <c r="BH352" s="647">
        <f t="shared" si="885"/>
        <v>417354.0022311745</v>
      </c>
      <c r="BI352" s="644">
        <f t="shared" si="1049"/>
        <v>0</v>
      </c>
      <c r="BJ352" s="645">
        <f t="shared" si="1050"/>
        <v>417354.0022311745</v>
      </c>
      <c r="BK352" s="646">
        <f t="shared" si="1051"/>
        <v>-884.05380149863277</v>
      </c>
      <c r="BL352" s="647">
        <f t="shared" si="886"/>
        <v>416469.94842967589</v>
      </c>
      <c r="BM352" s="644">
        <f t="shared" si="1052"/>
        <v>0</v>
      </c>
      <c r="BN352" s="645">
        <f t="shared" si="1053"/>
        <v>416469.94842967589</v>
      </c>
      <c r="BO352" s="646">
        <f t="shared" si="1054"/>
        <v>-19.054661578810258</v>
      </c>
      <c r="BP352" s="647">
        <f t="shared" si="887"/>
        <v>416450.8937680971</v>
      </c>
      <c r="BQ352" s="644">
        <f t="shared" si="1055"/>
        <v>0</v>
      </c>
      <c r="BR352" s="645">
        <f t="shared" si="1056"/>
        <v>416450.8937680971</v>
      </c>
      <c r="BS352" s="646">
        <f t="shared" si="1057"/>
        <v>0</v>
      </c>
      <c r="BT352" s="647">
        <f t="shared" si="888"/>
        <v>416450.8937680971</v>
      </c>
      <c r="BU352" s="662">
        <f>VLOOKUP(B352,'Afton Update'!$A$5:$AR$582,'Afton Update'!$AO$589,0)-BT352</f>
        <v>0</v>
      </c>
      <c r="BV352" s="644">
        <f t="shared" si="1058"/>
        <v>897449.76194024063</v>
      </c>
      <c r="BW352" s="645">
        <f t="shared" si="852"/>
        <v>740565.60245571984</v>
      </c>
      <c r="BX352" s="644">
        <f t="shared" si="1059"/>
        <v>0</v>
      </c>
      <c r="BY352" s="645">
        <f t="shared" si="1060"/>
        <v>897449.76194024063</v>
      </c>
      <c r="BZ352" s="646">
        <f t="shared" si="1061"/>
        <v>-7877.011976342239</v>
      </c>
      <c r="CA352" s="647">
        <f t="shared" si="1062"/>
        <v>889572.74996389844</v>
      </c>
      <c r="CB352" s="644">
        <f t="shared" si="889"/>
        <v>0</v>
      </c>
      <c r="CC352" s="645">
        <f t="shared" si="890"/>
        <v>889572.74996389844</v>
      </c>
      <c r="CD352" s="646">
        <f t="shared" si="1063"/>
        <v>-284.94321249331392</v>
      </c>
      <c r="CE352" s="647">
        <f t="shared" si="891"/>
        <v>889287.80675140512</v>
      </c>
      <c r="CF352" s="644">
        <f t="shared" si="1064"/>
        <v>0</v>
      </c>
      <c r="CG352" s="645">
        <f t="shared" si="1065"/>
        <v>889287.80675140512</v>
      </c>
      <c r="CH352" s="646">
        <f t="shared" si="1066"/>
        <v>0</v>
      </c>
      <c r="CI352" s="647">
        <f t="shared" si="892"/>
        <v>889287.80675140512</v>
      </c>
      <c r="CJ352" s="644">
        <f t="shared" si="1067"/>
        <v>0</v>
      </c>
      <c r="CK352" s="645">
        <f t="shared" si="1068"/>
        <v>889287.80675140512</v>
      </c>
      <c r="CL352" s="646">
        <f t="shared" si="1069"/>
        <v>0</v>
      </c>
      <c r="CM352" s="647">
        <f t="shared" si="893"/>
        <v>889287.80675140512</v>
      </c>
      <c r="CN352" s="644">
        <f t="shared" si="1070"/>
        <v>0</v>
      </c>
      <c r="CO352" s="645">
        <f t="shared" si="1071"/>
        <v>889287.80675140512</v>
      </c>
      <c r="CP352" s="646">
        <f t="shared" si="1072"/>
        <v>0</v>
      </c>
      <c r="CQ352" s="647">
        <f t="shared" si="894"/>
        <v>889287.80675140512</v>
      </c>
      <c r="CS352" s="644">
        <f t="shared" si="1073"/>
        <v>745890.70277328009</v>
      </c>
      <c r="CT352" s="645">
        <f t="shared" si="853"/>
        <v>642866.33370803995</v>
      </c>
      <c r="CU352" s="644">
        <f t="shared" si="1074"/>
        <v>0</v>
      </c>
      <c r="CV352" s="645">
        <f t="shared" si="1075"/>
        <v>745890.70277328009</v>
      </c>
      <c r="CW352" s="646">
        <f t="shared" si="1076"/>
        <v>-7638.3423156259942</v>
      </c>
      <c r="CX352" s="647">
        <f t="shared" si="1077"/>
        <v>738252.36045765411</v>
      </c>
      <c r="CY352" s="644">
        <f t="shared" si="895"/>
        <v>0</v>
      </c>
      <c r="CZ352" s="645">
        <f t="shared" si="896"/>
        <v>738252.36045765411</v>
      </c>
      <c r="DA352" s="646">
        <f t="shared" si="1078"/>
        <v>-579.53078396571482</v>
      </c>
      <c r="DB352" s="647">
        <f t="shared" si="897"/>
        <v>737672.82967368839</v>
      </c>
      <c r="DC352" s="644">
        <f t="shared" si="1079"/>
        <v>0</v>
      </c>
      <c r="DD352" s="645">
        <f t="shared" si="1080"/>
        <v>737672.82967368839</v>
      </c>
      <c r="DE352" s="646">
        <f t="shared" si="1081"/>
        <v>-0.49977311923743595</v>
      </c>
      <c r="DF352" s="647">
        <f t="shared" si="898"/>
        <v>737672.32990056917</v>
      </c>
      <c r="DG352" s="644">
        <f t="shared" si="1082"/>
        <v>0</v>
      </c>
      <c r="DH352" s="645">
        <f t="shared" si="1083"/>
        <v>737672.32990056917</v>
      </c>
      <c r="DI352" s="646">
        <f t="shared" si="1084"/>
        <v>0</v>
      </c>
      <c r="DJ352" s="647">
        <f t="shared" si="899"/>
        <v>737672.32990056917</v>
      </c>
      <c r="DK352" s="644">
        <f t="shared" si="1085"/>
        <v>0</v>
      </c>
      <c r="DL352" s="645">
        <f t="shared" si="1086"/>
        <v>737672.32990056917</v>
      </c>
      <c r="DM352" s="646">
        <f t="shared" si="1087"/>
        <v>0</v>
      </c>
      <c r="DN352" s="647">
        <f t="shared" si="900"/>
        <v>737672.32990056917</v>
      </c>
      <c r="DR352" s="827">
        <f t="shared" si="854"/>
        <v>3814875.8846585304</v>
      </c>
      <c r="DV352" s="828">
        <f>IFERROR(VLOOKUP($B352,'Afton FY16 Final'!$A$5:$BV$587,'Afton FY16 Final'!$BV$587,0),0)</f>
        <v>3649409.8608940467</v>
      </c>
      <c r="DX352" s="636">
        <f t="shared" si="842"/>
        <v>3814875.8846585304</v>
      </c>
      <c r="DY352" s="637">
        <f t="shared" si="843"/>
        <v>165466.02376448363</v>
      </c>
      <c r="DZ352" s="637">
        <f t="shared" si="844"/>
        <v>3649409.8608940467</v>
      </c>
      <c r="EA352" s="643">
        <f t="shared" si="845"/>
        <v>3611967.2424383233</v>
      </c>
      <c r="EB352" s="637">
        <f t="shared" si="855"/>
        <v>3649409.8608940467</v>
      </c>
      <c r="EC352" s="637">
        <f t="shared" si="856"/>
        <v>0</v>
      </c>
      <c r="ED352" s="637">
        <f t="shared" si="857"/>
        <v>0</v>
      </c>
      <c r="EE352" s="643">
        <f t="shared" si="858"/>
        <v>3649409.8608940467</v>
      </c>
      <c r="EF352" s="637">
        <f t="shared" si="859"/>
        <v>0</v>
      </c>
      <c r="EG352" s="637">
        <f t="shared" si="860"/>
        <v>0</v>
      </c>
      <c r="EH352" s="637">
        <f t="shared" si="861"/>
        <v>0</v>
      </c>
      <c r="EI352" s="643">
        <f t="shared" si="862"/>
        <v>3649409.8608940467</v>
      </c>
      <c r="EJ352" s="637">
        <f t="shared" si="863"/>
        <v>0</v>
      </c>
      <c r="EK352" s="637">
        <f t="shared" si="864"/>
        <v>0</v>
      </c>
      <c r="EL352" s="637">
        <f t="shared" si="865"/>
        <v>0</v>
      </c>
      <c r="EM352" s="643">
        <f t="shared" si="866"/>
        <v>3649409.8608940467</v>
      </c>
      <c r="EN352" s="637">
        <f t="shared" si="867"/>
        <v>0</v>
      </c>
      <c r="EO352" s="637">
        <f t="shared" si="868"/>
        <v>0</v>
      </c>
      <c r="EP352" s="637">
        <f t="shared" si="869"/>
        <v>0</v>
      </c>
      <c r="EQ352" s="643">
        <f t="shared" si="870"/>
        <v>3649409.8608940467</v>
      </c>
      <c r="ER352" s="637">
        <f t="shared" si="871"/>
        <v>0</v>
      </c>
      <c r="ES352" s="637">
        <f t="shared" si="872"/>
        <v>0</v>
      </c>
      <c r="ET352" s="637">
        <f t="shared" si="873"/>
        <v>0</v>
      </c>
      <c r="EU352" s="643">
        <f t="shared" si="846"/>
        <v>3649409.8608940467</v>
      </c>
      <c r="EV352" s="643">
        <f t="shared" si="847"/>
        <v>0</v>
      </c>
      <c r="EX352" s="829">
        <f t="shared" si="848"/>
        <v>165466.02376448363</v>
      </c>
      <c r="EY352" s="638">
        <f t="shared" si="849"/>
        <v>3649409.8608940467</v>
      </c>
      <c r="FC352" s="830" t="str">
        <f t="shared" si="874"/>
        <v>Y</v>
      </c>
      <c r="FE352" s="830" t="str">
        <f>IFERROR(VLOOKUP($B352,'Historical Conc Grant Elig'!$B$3:$J$707,'HH &amp; SI'!FE$2,0),"N")</f>
        <v>Y</v>
      </c>
      <c r="FF352" s="830" t="str">
        <f>IFERROR(VLOOKUP($B352,'Historical Conc Grant Elig'!$B$3:$J$707,'HH &amp; SI'!FF$2,0),"N")</f>
        <v>Y</v>
      </c>
      <c r="FG352" s="830" t="str">
        <f>IFERROR(VLOOKUP($B352,'Historical Conc Grant Elig'!$B$3:$J$707,'HH &amp; SI'!FG$2,0),"N")</f>
        <v>Y</v>
      </c>
      <c r="FH352" s="830" t="str">
        <f>IFERROR(VLOOKUP($B352,'Historical Conc Grant Elig'!$B$3:$J$707,'HH &amp; SI'!FH$2,0),"N")</f>
        <v>Y</v>
      </c>
      <c r="FI352" s="830" t="str">
        <f>IFERROR(VLOOKUP($B352,'Historical Conc Grant Elig'!$B$3:$J$707,'HH &amp; SI'!FI$2,0),"N")</f>
        <v>Y</v>
      </c>
      <c r="FJ352" s="830" t="str">
        <f>IFERROR(VLOOKUP($B352,'Historical Conc Grant Elig'!$B$3:$J$707,'HH &amp; SI'!FJ$2,0),"N")</f>
        <v>Y</v>
      </c>
      <c r="FK352" s="830" t="str">
        <f>IFERROR(VLOOKUP($B352,'Historical Conc Grant Elig'!$B$3:$J$707,'HH &amp; SI'!FK$2,0),"N")</f>
        <v>Y</v>
      </c>
      <c r="FL352" s="957" t="str">
        <f>IFERROR(VLOOKUP($B352,'Historical Conc Grant Elig'!$B$3:$J$707,'HH &amp; SI'!FL$2,0),"N")</f>
        <v>Y</v>
      </c>
    </row>
    <row r="353" spans="2:168" x14ac:dyDescent="0.25">
      <c r="B353" s="634">
        <v>100212000</v>
      </c>
      <c r="C353" s="635" t="str">
        <f>VLOOKUP($B353,'Afton Update'!$A$5:$CR$582,'Afton Update'!D$589,0)</f>
        <v>Sunnyside Unified District</v>
      </c>
      <c r="D353" s="636">
        <f>IFERROR(VLOOKUP($B353,'Afton FY16 Final'!$A$5:$BV$587,'Afton FY16 Final'!AQ$587,0),0)</f>
        <v>3490383.4878461501</v>
      </c>
      <c r="E353" s="637">
        <f>IFERROR(VLOOKUP($B353,'Afton FY16 Final'!$A$5:$BV$587,'Afton FY16 Final'!AR$587,0),0)</f>
        <v>821979.19516449433</v>
      </c>
      <c r="F353" s="637">
        <f>IFERROR(VLOOKUP($B353,'Afton FY16 Final'!$A$5:$BV$587,'Afton FY16 Final'!AS$587,0),0)</f>
        <v>2169016.8539452441</v>
      </c>
      <c r="G353" s="637">
        <f>IFERROR(VLOOKUP($B353,'Afton FY16 Final'!$A$5:$BV$587,'Afton FY16 Final'!AT$587,0),0)</f>
        <v>2211476.3250356433</v>
      </c>
      <c r="H353" s="638">
        <f>IFERROR(VLOOKUP($B353,'Afton FY16 Final'!$A$5:$BV$587,'Afton FY16 Final'!AU$587,0),0)</f>
        <v>8692855.8619915321</v>
      </c>
      <c r="I353" s="639" t="str">
        <f>VLOOKUP($B353,'Afton Update'!$A$5:$CR$582,'Afton Update'!BT$589,0)</f>
        <v>Y</v>
      </c>
      <c r="J353" s="640" t="str">
        <f>VLOOKUP($B353,'Afton Update'!$A$5:$CR$582,'Afton Update'!BU$589,0)</f>
        <v>Y</v>
      </c>
      <c r="K353" s="640" t="str">
        <f>VLOOKUP($B353,'Afton Update'!$A$5:$CR$582,'Afton Update'!BV$589,0)</f>
        <v>Y</v>
      </c>
      <c r="L353" s="641" t="str">
        <f>VLOOKUP($B353,'Afton Update'!$A$5:$CR$582,'Afton Update'!BW$589,0)</f>
        <v>Y</v>
      </c>
      <c r="N353" s="642">
        <f>VLOOKUP($B353,'Afton Update'!$A$5:$CR$582,'Afton Update'!CB$589,0)</f>
        <v>0.95</v>
      </c>
      <c r="P353" s="636">
        <f>VLOOKUP($B353,'Afton Update'!$A$5:$CR$582,'Afton Update'!AH$589,0)</f>
        <v>3326927.1795981554</v>
      </c>
      <c r="Q353" s="637">
        <f>VLOOKUP($B353,'Afton Update'!$A$5:$CR$582,'Afton Update'!AI$589,0)</f>
        <v>795335.07889070944</v>
      </c>
      <c r="R353" s="637">
        <f>VLOOKUP($B353,'Afton Update'!$A$5:$CR$582,'Afton Update'!AJ$589,0)</f>
        <v>2055282.0584489284</v>
      </c>
      <c r="S353" s="637">
        <f>VLOOKUP($B353,'Afton Update'!$A$5:$CR$582,'Afton Update'!AK$589,0)</f>
        <v>2097451.1868875735</v>
      </c>
      <c r="T353" s="643">
        <f t="shared" si="875"/>
        <v>8274995.5038253665</v>
      </c>
      <c r="V353" s="636">
        <f t="shared" si="1024"/>
        <v>3315864.3134538424</v>
      </c>
      <c r="W353" s="637">
        <f t="shared" si="1025"/>
        <v>780880.23540626955</v>
      </c>
      <c r="X353" s="637">
        <f t="shared" si="1026"/>
        <v>2060566.0112479818</v>
      </c>
      <c r="Y353" s="637">
        <f t="shared" si="1027"/>
        <v>2100902.5087838611</v>
      </c>
      <c r="Z353" s="643">
        <f t="shared" si="1028"/>
        <v>8258213.0688919546</v>
      </c>
      <c r="AB353" s="644">
        <f t="shared" si="876"/>
        <v>3326927.1795981554</v>
      </c>
      <c r="AC353" s="645">
        <f t="shared" si="850"/>
        <v>3315864.3134538424</v>
      </c>
      <c r="AD353" s="644">
        <f t="shared" si="1029"/>
        <v>0</v>
      </c>
      <c r="AE353" s="645">
        <f t="shared" si="1030"/>
        <v>3326927.1795981554</v>
      </c>
      <c r="AF353" s="646">
        <f t="shared" si="1031"/>
        <v>-41239.762510342662</v>
      </c>
      <c r="AG353" s="647">
        <f t="shared" si="1032"/>
        <v>3285687.4170878129</v>
      </c>
      <c r="AH353" s="644">
        <f t="shared" si="877"/>
        <v>-30176.896366029512</v>
      </c>
      <c r="AI353" s="645">
        <f t="shared" si="878"/>
        <v>0</v>
      </c>
      <c r="AJ353" s="646">
        <f t="shared" si="1033"/>
        <v>0</v>
      </c>
      <c r="AK353" s="647">
        <f t="shared" si="879"/>
        <v>3315864.3134538424</v>
      </c>
      <c r="AL353" s="644">
        <f t="shared" si="1034"/>
        <v>0</v>
      </c>
      <c r="AM353" s="645">
        <f t="shared" si="1035"/>
        <v>0</v>
      </c>
      <c r="AN353" s="646">
        <f t="shared" si="1036"/>
        <v>0</v>
      </c>
      <c r="AO353" s="647">
        <f t="shared" si="880"/>
        <v>3315864.3134538424</v>
      </c>
      <c r="AP353" s="644">
        <f t="shared" si="1037"/>
        <v>0</v>
      </c>
      <c r="AQ353" s="645">
        <f t="shared" si="1038"/>
        <v>0</v>
      </c>
      <c r="AR353" s="646">
        <f t="shared" si="1039"/>
        <v>0</v>
      </c>
      <c r="AS353" s="647">
        <f t="shared" si="881"/>
        <v>3315864.3134538424</v>
      </c>
      <c r="AT353" s="644">
        <f t="shared" si="1040"/>
        <v>0</v>
      </c>
      <c r="AU353" s="645">
        <f t="shared" si="1041"/>
        <v>0</v>
      </c>
      <c r="AV353" s="646">
        <f t="shared" si="1042"/>
        <v>0</v>
      </c>
      <c r="AW353" s="647">
        <f t="shared" si="882"/>
        <v>3315864.3134538424</v>
      </c>
      <c r="AY353" s="644">
        <f t="shared" si="1043"/>
        <v>795335.07889070944</v>
      </c>
      <c r="AZ353" s="645">
        <f t="shared" si="851"/>
        <v>780880.23540626955</v>
      </c>
      <c r="BA353" s="644">
        <f t="shared" si="1044"/>
        <v>0</v>
      </c>
      <c r="BB353" s="645">
        <f t="shared" si="1045"/>
        <v>795335.07889070944</v>
      </c>
      <c r="BC353" s="646">
        <f t="shared" si="1046"/>
        <v>-5719.4863371584734</v>
      </c>
      <c r="BD353" s="647">
        <f t="shared" si="1047"/>
        <v>789615.59255355096</v>
      </c>
      <c r="BE353" s="644">
        <f t="shared" si="883"/>
        <v>0</v>
      </c>
      <c r="BF353" s="645">
        <f t="shared" si="884"/>
        <v>789615.59255355096</v>
      </c>
      <c r="BG353" s="646">
        <f t="shared" si="1048"/>
        <v>-18807.999924341624</v>
      </c>
      <c r="BH353" s="647">
        <f t="shared" si="885"/>
        <v>770807.59262920939</v>
      </c>
      <c r="BI353" s="644">
        <f t="shared" si="1049"/>
        <v>-10072.642777060159</v>
      </c>
      <c r="BJ353" s="645">
        <f t="shared" si="1050"/>
        <v>0</v>
      </c>
      <c r="BK353" s="646">
        <f t="shared" si="1051"/>
        <v>0</v>
      </c>
      <c r="BL353" s="647">
        <f t="shared" si="886"/>
        <v>780880.23540626955</v>
      </c>
      <c r="BM353" s="644">
        <f t="shared" si="1052"/>
        <v>0</v>
      </c>
      <c r="BN353" s="645">
        <f t="shared" si="1053"/>
        <v>0</v>
      </c>
      <c r="BO353" s="646">
        <f t="shared" si="1054"/>
        <v>0</v>
      </c>
      <c r="BP353" s="647">
        <f t="shared" si="887"/>
        <v>780880.23540626955</v>
      </c>
      <c r="BQ353" s="644">
        <f t="shared" si="1055"/>
        <v>0</v>
      </c>
      <c r="BR353" s="645">
        <f t="shared" si="1056"/>
        <v>0</v>
      </c>
      <c r="BS353" s="646">
        <f t="shared" si="1057"/>
        <v>0</v>
      </c>
      <c r="BT353" s="647">
        <f t="shared" si="888"/>
        <v>780880.23540626955</v>
      </c>
      <c r="BU353" s="662">
        <f>VLOOKUP(B353,'Afton Update'!$A$5:$AR$582,'Afton Update'!$AO$589,0)-BT353</f>
        <v>0</v>
      </c>
      <c r="BV353" s="644">
        <f t="shared" si="1058"/>
        <v>2055282.0584489284</v>
      </c>
      <c r="BW353" s="645">
        <f t="shared" si="852"/>
        <v>2060566.0112479818</v>
      </c>
      <c r="BX353" s="644">
        <f t="shared" si="1059"/>
        <v>5283.952799053397</v>
      </c>
      <c r="BY353" s="645">
        <f t="shared" si="1060"/>
        <v>0</v>
      </c>
      <c r="BZ353" s="646">
        <f t="shared" si="1061"/>
        <v>0</v>
      </c>
      <c r="CA353" s="647">
        <f t="shared" si="1062"/>
        <v>2060566.0112479818</v>
      </c>
      <c r="CB353" s="644">
        <f t="shared" si="889"/>
        <v>0</v>
      </c>
      <c r="CC353" s="645">
        <f t="shared" si="890"/>
        <v>0</v>
      </c>
      <c r="CD353" s="646">
        <f t="shared" si="1063"/>
        <v>0</v>
      </c>
      <c r="CE353" s="647">
        <f t="shared" si="891"/>
        <v>2060566.0112479818</v>
      </c>
      <c r="CF353" s="644">
        <f t="shared" si="1064"/>
        <v>0</v>
      </c>
      <c r="CG353" s="645">
        <f t="shared" si="1065"/>
        <v>0</v>
      </c>
      <c r="CH353" s="646">
        <f t="shared" si="1066"/>
        <v>0</v>
      </c>
      <c r="CI353" s="647">
        <f t="shared" si="892"/>
        <v>2060566.0112479818</v>
      </c>
      <c r="CJ353" s="644">
        <f t="shared" si="1067"/>
        <v>0</v>
      </c>
      <c r="CK353" s="645">
        <f t="shared" si="1068"/>
        <v>0</v>
      </c>
      <c r="CL353" s="646">
        <f t="shared" si="1069"/>
        <v>0</v>
      </c>
      <c r="CM353" s="647">
        <f t="shared" si="893"/>
        <v>2060566.0112479818</v>
      </c>
      <c r="CN353" s="644">
        <f t="shared" si="1070"/>
        <v>0</v>
      </c>
      <c r="CO353" s="645">
        <f t="shared" si="1071"/>
        <v>0</v>
      </c>
      <c r="CP353" s="646">
        <f t="shared" si="1072"/>
        <v>0</v>
      </c>
      <c r="CQ353" s="647">
        <f t="shared" si="894"/>
        <v>2060566.0112479818</v>
      </c>
      <c r="CS353" s="644">
        <f t="shared" si="1073"/>
        <v>2097451.1868875735</v>
      </c>
      <c r="CT353" s="645">
        <f t="shared" si="853"/>
        <v>2100902.5087838611</v>
      </c>
      <c r="CU353" s="644">
        <f t="shared" si="1074"/>
        <v>3451.3218962876126</v>
      </c>
      <c r="CV353" s="645">
        <f t="shared" si="1075"/>
        <v>0</v>
      </c>
      <c r="CW353" s="646">
        <f t="shared" si="1076"/>
        <v>0</v>
      </c>
      <c r="CX353" s="647">
        <f t="shared" si="1077"/>
        <v>2100902.5087838611</v>
      </c>
      <c r="CY353" s="644">
        <f t="shared" si="895"/>
        <v>0</v>
      </c>
      <c r="CZ353" s="645">
        <f t="shared" si="896"/>
        <v>0</v>
      </c>
      <c r="DA353" s="646">
        <f t="shared" si="1078"/>
        <v>0</v>
      </c>
      <c r="DB353" s="647">
        <f t="shared" si="897"/>
        <v>2100902.5087838611</v>
      </c>
      <c r="DC353" s="644">
        <f t="shared" si="1079"/>
        <v>0</v>
      </c>
      <c r="DD353" s="645">
        <f t="shared" si="1080"/>
        <v>0</v>
      </c>
      <c r="DE353" s="646">
        <f t="shared" si="1081"/>
        <v>0</v>
      </c>
      <c r="DF353" s="647">
        <f t="shared" si="898"/>
        <v>2100902.5087838611</v>
      </c>
      <c r="DG353" s="644">
        <f t="shared" si="1082"/>
        <v>0</v>
      </c>
      <c r="DH353" s="645">
        <f t="shared" si="1083"/>
        <v>0</v>
      </c>
      <c r="DI353" s="646">
        <f t="shared" si="1084"/>
        <v>0</v>
      </c>
      <c r="DJ353" s="647">
        <f t="shared" si="899"/>
        <v>2100902.5087838611</v>
      </c>
      <c r="DK353" s="644">
        <f t="shared" si="1085"/>
        <v>0</v>
      </c>
      <c r="DL353" s="645">
        <f t="shared" si="1086"/>
        <v>0</v>
      </c>
      <c r="DM353" s="646">
        <f t="shared" si="1087"/>
        <v>0</v>
      </c>
      <c r="DN353" s="647">
        <f t="shared" si="900"/>
        <v>2100902.5087838611</v>
      </c>
      <c r="DR353" s="827">
        <f t="shared" si="854"/>
        <v>8258213.0688919546</v>
      </c>
      <c r="DV353" s="828">
        <f>IFERROR(VLOOKUP($B353,'Afton FY16 Final'!$A$5:$BV$587,'Afton FY16 Final'!$BV$587,0),0)</f>
        <v>8521693.5315085333</v>
      </c>
      <c r="DX353" s="636">
        <f t="shared" si="842"/>
        <v>0</v>
      </c>
      <c r="DY353" s="637">
        <f t="shared" si="843"/>
        <v>0</v>
      </c>
      <c r="DZ353" s="637">
        <f t="shared" si="844"/>
        <v>0</v>
      </c>
      <c r="EA353" s="643">
        <f t="shared" si="845"/>
        <v>0</v>
      </c>
      <c r="EB353" s="637">
        <f t="shared" si="855"/>
        <v>0</v>
      </c>
      <c r="EC353" s="637">
        <f t="shared" si="856"/>
        <v>0</v>
      </c>
      <c r="ED353" s="637">
        <f t="shared" si="857"/>
        <v>0</v>
      </c>
      <c r="EE353" s="643">
        <f t="shared" si="858"/>
        <v>0</v>
      </c>
      <c r="EF353" s="637">
        <f t="shared" si="859"/>
        <v>0</v>
      </c>
      <c r="EG353" s="637">
        <f t="shared" si="860"/>
        <v>0</v>
      </c>
      <c r="EH353" s="637">
        <f t="shared" si="861"/>
        <v>0</v>
      </c>
      <c r="EI353" s="643">
        <f t="shared" si="862"/>
        <v>0</v>
      </c>
      <c r="EJ353" s="637">
        <f t="shared" si="863"/>
        <v>0</v>
      </c>
      <c r="EK353" s="637">
        <f t="shared" si="864"/>
        <v>0</v>
      </c>
      <c r="EL353" s="637">
        <f t="shared" si="865"/>
        <v>0</v>
      </c>
      <c r="EM353" s="643">
        <f t="shared" si="866"/>
        <v>0</v>
      </c>
      <c r="EN353" s="637">
        <f t="shared" si="867"/>
        <v>0</v>
      </c>
      <c r="EO353" s="637">
        <f t="shared" si="868"/>
        <v>0</v>
      </c>
      <c r="EP353" s="637">
        <f t="shared" si="869"/>
        <v>0</v>
      </c>
      <c r="EQ353" s="643">
        <f t="shared" si="870"/>
        <v>0</v>
      </c>
      <c r="ER353" s="637">
        <f t="shared" si="871"/>
        <v>0</v>
      </c>
      <c r="ES353" s="637">
        <f t="shared" si="872"/>
        <v>0</v>
      </c>
      <c r="ET353" s="637">
        <f t="shared" si="873"/>
        <v>0</v>
      </c>
      <c r="EU353" s="643">
        <f t="shared" si="846"/>
        <v>0</v>
      </c>
      <c r="EV353" s="643">
        <f t="shared" si="847"/>
        <v>0</v>
      </c>
      <c r="EX353" s="829">
        <f t="shared" si="848"/>
        <v>0</v>
      </c>
      <c r="EY353" s="638">
        <f t="shared" si="849"/>
        <v>8258213.0688919546</v>
      </c>
      <c r="FC353" s="830" t="str">
        <f t="shared" si="874"/>
        <v>Y</v>
      </c>
      <c r="FE353" s="830" t="str">
        <f>IFERROR(VLOOKUP($B353,'Historical Conc Grant Elig'!$B$3:$J$707,'HH &amp; SI'!FE$2,0),"N")</f>
        <v>Y</v>
      </c>
      <c r="FF353" s="830" t="str">
        <f>IFERROR(VLOOKUP($B353,'Historical Conc Grant Elig'!$B$3:$J$707,'HH &amp; SI'!FF$2,0),"N")</f>
        <v>Y</v>
      </c>
      <c r="FG353" s="830" t="str">
        <f>IFERROR(VLOOKUP($B353,'Historical Conc Grant Elig'!$B$3:$J$707,'HH &amp; SI'!FG$2,0),"N")</f>
        <v>Y</v>
      </c>
      <c r="FH353" s="830" t="str">
        <f>IFERROR(VLOOKUP($B353,'Historical Conc Grant Elig'!$B$3:$J$707,'HH &amp; SI'!FH$2,0),"N")</f>
        <v>Y</v>
      </c>
      <c r="FI353" s="830" t="str">
        <f>IFERROR(VLOOKUP($B353,'Historical Conc Grant Elig'!$B$3:$J$707,'HH &amp; SI'!FI$2,0),"N")</f>
        <v>Y</v>
      </c>
      <c r="FJ353" s="830" t="str">
        <f>IFERROR(VLOOKUP($B353,'Historical Conc Grant Elig'!$B$3:$J$707,'HH &amp; SI'!FJ$2,0),"N")</f>
        <v>Y</v>
      </c>
      <c r="FK353" s="830" t="str">
        <f>IFERROR(VLOOKUP($B353,'Historical Conc Grant Elig'!$B$3:$J$707,'HH &amp; SI'!FK$2,0),"N")</f>
        <v>Y</v>
      </c>
      <c r="FL353" s="957" t="str">
        <f>IFERROR(VLOOKUP($B353,'Historical Conc Grant Elig'!$B$3:$J$707,'HH &amp; SI'!FL$2,0),"N")</f>
        <v>Y</v>
      </c>
    </row>
    <row r="354" spans="2:168" x14ac:dyDescent="0.25">
      <c r="B354" s="634">
        <v>100213000</v>
      </c>
      <c r="C354" s="635" t="str">
        <f>VLOOKUP($B354,'Afton Update'!$A$5:$CR$582,'Afton Update'!D$589,0)</f>
        <v>Tanque Verde Unified District</v>
      </c>
      <c r="D354" s="636">
        <f>IFERROR(VLOOKUP($B354,'Afton FY16 Final'!$A$5:$BV$587,'Afton FY16 Final'!AQ$587,0),0)</f>
        <v>62485.834220018798</v>
      </c>
      <c r="E354" s="637">
        <f>IFERROR(VLOOKUP($B354,'Afton FY16 Final'!$A$5:$BV$587,'Afton FY16 Final'!AR$587,0),0)</f>
        <v>0</v>
      </c>
      <c r="F354" s="637">
        <f>IFERROR(VLOOKUP($B354,'Afton FY16 Final'!$A$5:$BV$587,'Afton FY16 Final'!AS$587,0),0)</f>
        <v>17203.717505541419</v>
      </c>
      <c r="G354" s="637">
        <f>IFERROR(VLOOKUP($B354,'Afton FY16 Final'!$A$5:$BV$587,'Afton FY16 Final'!AT$587,0),0)</f>
        <v>13041.094811623609</v>
      </c>
      <c r="H354" s="638">
        <f>IFERROR(VLOOKUP($B354,'Afton FY16 Final'!$A$5:$BV$587,'Afton FY16 Final'!AU$587,0),0)</f>
        <v>92730.646537183828</v>
      </c>
      <c r="I354" s="639" t="str">
        <f>VLOOKUP($B354,'Afton Update'!$A$5:$CR$582,'Afton Update'!BT$589,0)</f>
        <v>Y</v>
      </c>
      <c r="J354" s="640" t="str">
        <f>VLOOKUP($B354,'Afton Update'!$A$5:$CR$582,'Afton Update'!BU$589,0)</f>
        <v>N</v>
      </c>
      <c r="K354" s="640" t="str">
        <f>VLOOKUP($B354,'Afton Update'!$A$5:$CR$582,'Afton Update'!BV$589,0)</f>
        <v>Y</v>
      </c>
      <c r="L354" s="641" t="str">
        <f>VLOOKUP($B354,'Afton Update'!$A$5:$CR$582,'Afton Update'!BW$589,0)</f>
        <v>Y</v>
      </c>
      <c r="N354" s="642">
        <f>VLOOKUP($B354,'Afton Update'!$A$5:$CR$582,'Afton Update'!CB$589,0)</f>
        <v>0.85</v>
      </c>
      <c r="P354" s="636">
        <f>VLOOKUP($B354,'Afton Update'!$A$5:$CR$582,'Afton Update'!AH$589,0)</f>
        <v>79122.843455901835</v>
      </c>
      <c r="Q354" s="637" t="str">
        <f>VLOOKUP($B354,'Afton Update'!$A$5:$CR$582,'Afton Update'!AI$589,0)</f>
        <v/>
      </c>
      <c r="R354" s="637">
        <f>VLOOKUP($B354,'Afton Update'!$A$5:$CR$582,'Afton Update'!AJ$589,0)</f>
        <v>23878.088971169913</v>
      </c>
      <c r="S354" s="637">
        <f>VLOOKUP($B354,'Afton Update'!$A$5:$CR$582,'Afton Update'!AK$589,0)</f>
        <v>18523.532333506333</v>
      </c>
      <c r="T354" s="643">
        <f t="shared" si="875"/>
        <v>121524.46476057808</v>
      </c>
      <c r="V354" s="636">
        <f t="shared" si="1024"/>
        <v>78043.556515400691</v>
      </c>
      <c r="W354" s="637">
        <f t="shared" si="1025"/>
        <v>0</v>
      </c>
      <c r="X354" s="637">
        <f t="shared" si="1026"/>
        <v>23660.92707482446</v>
      </c>
      <c r="Y354" s="637">
        <f t="shared" si="1027"/>
        <v>18319.436351252556</v>
      </c>
      <c r="Z354" s="643">
        <f t="shared" si="1028"/>
        <v>120023.91994147771</v>
      </c>
      <c r="AB354" s="644">
        <f t="shared" si="876"/>
        <v>79122.843455901835</v>
      </c>
      <c r="AC354" s="645">
        <f t="shared" si="850"/>
        <v>53112.959087015974</v>
      </c>
      <c r="AD354" s="644">
        <f t="shared" si="1029"/>
        <v>0</v>
      </c>
      <c r="AE354" s="645">
        <f t="shared" si="1030"/>
        <v>79122.843455901835</v>
      </c>
      <c r="AF354" s="646">
        <f t="shared" si="1031"/>
        <v>-980.78710386998489</v>
      </c>
      <c r="AG354" s="647">
        <f t="shared" si="1032"/>
        <v>78142.056352031854</v>
      </c>
      <c r="AH354" s="644">
        <f t="shared" si="877"/>
        <v>0</v>
      </c>
      <c r="AI354" s="645">
        <f t="shared" si="878"/>
        <v>78142.056352031854</v>
      </c>
      <c r="AJ354" s="646">
        <f t="shared" si="1033"/>
        <v>-98.437082687780801</v>
      </c>
      <c r="AK354" s="647">
        <f t="shared" si="879"/>
        <v>78043.619269344068</v>
      </c>
      <c r="AL354" s="644">
        <f t="shared" si="1034"/>
        <v>0</v>
      </c>
      <c r="AM354" s="645">
        <f t="shared" si="1035"/>
        <v>78043.619269344068</v>
      </c>
      <c r="AN354" s="646">
        <f t="shared" si="1036"/>
        <v>-6.2753943382645699E-2</v>
      </c>
      <c r="AO354" s="647">
        <f t="shared" si="880"/>
        <v>78043.556515400691</v>
      </c>
      <c r="AP354" s="644">
        <f t="shared" si="1037"/>
        <v>0</v>
      </c>
      <c r="AQ354" s="645">
        <f t="shared" si="1038"/>
        <v>78043.556515400691</v>
      </c>
      <c r="AR354" s="646">
        <f t="shared" si="1039"/>
        <v>0</v>
      </c>
      <c r="AS354" s="647">
        <f t="shared" si="881"/>
        <v>78043.556515400691</v>
      </c>
      <c r="AT354" s="644">
        <f t="shared" si="1040"/>
        <v>0</v>
      </c>
      <c r="AU354" s="645">
        <f t="shared" si="1041"/>
        <v>78043.556515400691</v>
      </c>
      <c r="AV354" s="646">
        <f t="shared" si="1042"/>
        <v>0</v>
      </c>
      <c r="AW354" s="647">
        <f t="shared" si="882"/>
        <v>78043.556515400691</v>
      </c>
      <c r="AY354" s="644">
        <f t="shared" si="1043"/>
        <v>0</v>
      </c>
      <c r="AZ354" s="645">
        <f t="shared" si="851"/>
        <v>0</v>
      </c>
      <c r="BA354" s="644">
        <f t="shared" si="1044"/>
        <v>0</v>
      </c>
      <c r="BB354" s="645">
        <f t="shared" si="1045"/>
        <v>0</v>
      </c>
      <c r="BC354" s="646">
        <f t="shared" si="1046"/>
        <v>0</v>
      </c>
      <c r="BD354" s="647">
        <f t="shared" si="1047"/>
        <v>0</v>
      </c>
      <c r="BE354" s="644">
        <f t="shared" si="883"/>
        <v>0</v>
      </c>
      <c r="BF354" s="645">
        <f t="shared" si="884"/>
        <v>0</v>
      </c>
      <c r="BG354" s="646">
        <f t="shared" si="1048"/>
        <v>0</v>
      </c>
      <c r="BH354" s="647">
        <f t="shared" si="885"/>
        <v>0</v>
      </c>
      <c r="BI354" s="644">
        <f t="shared" si="1049"/>
        <v>0</v>
      </c>
      <c r="BJ354" s="645">
        <f t="shared" si="1050"/>
        <v>0</v>
      </c>
      <c r="BK354" s="646">
        <f t="shared" si="1051"/>
        <v>0</v>
      </c>
      <c r="BL354" s="647">
        <f t="shared" si="886"/>
        <v>0</v>
      </c>
      <c r="BM354" s="644">
        <f t="shared" si="1052"/>
        <v>0</v>
      </c>
      <c r="BN354" s="645">
        <f t="shared" si="1053"/>
        <v>0</v>
      </c>
      <c r="BO354" s="646">
        <f t="shared" si="1054"/>
        <v>0</v>
      </c>
      <c r="BP354" s="647">
        <f t="shared" si="887"/>
        <v>0</v>
      </c>
      <c r="BQ354" s="644">
        <f t="shared" si="1055"/>
        <v>0</v>
      </c>
      <c r="BR354" s="645">
        <f t="shared" si="1056"/>
        <v>0</v>
      </c>
      <c r="BS354" s="646">
        <f t="shared" si="1057"/>
        <v>0</v>
      </c>
      <c r="BT354" s="647">
        <f t="shared" si="888"/>
        <v>0</v>
      </c>
      <c r="BU354" s="662">
        <f>VLOOKUP(B354,'Afton Update'!$A$5:$AR$582,'Afton Update'!$AO$589,0)-BT354</f>
        <v>0</v>
      </c>
      <c r="BV354" s="644">
        <f t="shared" si="1058"/>
        <v>23878.088971169913</v>
      </c>
      <c r="BW354" s="645">
        <f t="shared" si="852"/>
        <v>14623.159879710205</v>
      </c>
      <c r="BX354" s="644">
        <f t="shared" si="1059"/>
        <v>0</v>
      </c>
      <c r="BY354" s="645">
        <f t="shared" si="1060"/>
        <v>23878.088971169913</v>
      </c>
      <c r="BZ354" s="646">
        <f t="shared" si="1061"/>
        <v>-209.58052559001661</v>
      </c>
      <c r="CA354" s="647">
        <f t="shared" si="1062"/>
        <v>23668.508445579897</v>
      </c>
      <c r="CB354" s="644">
        <f t="shared" si="889"/>
        <v>0</v>
      </c>
      <c r="CC354" s="645">
        <f t="shared" si="890"/>
        <v>23668.508445579897</v>
      </c>
      <c r="CD354" s="646">
        <f t="shared" si="1063"/>
        <v>-7.5813707554355361</v>
      </c>
      <c r="CE354" s="647">
        <f t="shared" si="891"/>
        <v>23660.92707482446</v>
      </c>
      <c r="CF354" s="644">
        <f t="shared" si="1064"/>
        <v>0</v>
      </c>
      <c r="CG354" s="645">
        <f t="shared" si="1065"/>
        <v>23660.92707482446</v>
      </c>
      <c r="CH354" s="646">
        <f t="shared" si="1066"/>
        <v>0</v>
      </c>
      <c r="CI354" s="647">
        <f t="shared" si="892"/>
        <v>23660.92707482446</v>
      </c>
      <c r="CJ354" s="644">
        <f t="shared" si="1067"/>
        <v>0</v>
      </c>
      <c r="CK354" s="645">
        <f t="shared" si="1068"/>
        <v>23660.92707482446</v>
      </c>
      <c r="CL354" s="646">
        <f t="shared" si="1069"/>
        <v>0</v>
      </c>
      <c r="CM354" s="647">
        <f t="shared" si="893"/>
        <v>23660.92707482446</v>
      </c>
      <c r="CN354" s="644">
        <f t="shared" si="1070"/>
        <v>0</v>
      </c>
      <c r="CO354" s="645">
        <f t="shared" si="1071"/>
        <v>23660.92707482446</v>
      </c>
      <c r="CP354" s="646">
        <f t="shared" si="1072"/>
        <v>0</v>
      </c>
      <c r="CQ354" s="647">
        <f t="shared" si="894"/>
        <v>23660.92707482446</v>
      </c>
      <c r="CS354" s="644">
        <f t="shared" si="1073"/>
        <v>18523.532333506333</v>
      </c>
      <c r="CT354" s="645">
        <f t="shared" si="853"/>
        <v>11084.930589880067</v>
      </c>
      <c r="CU354" s="644">
        <f t="shared" si="1074"/>
        <v>0</v>
      </c>
      <c r="CV354" s="645">
        <f t="shared" si="1075"/>
        <v>18523.532333506333</v>
      </c>
      <c r="CW354" s="646">
        <f t="shared" si="1076"/>
        <v>-189.69143915029409</v>
      </c>
      <c r="CX354" s="647">
        <f t="shared" si="1077"/>
        <v>18333.840894356039</v>
      </c>
      <c r="CY354" s="644">
        <f t="shared" si="895"/>
        <v>0</v>
      </c>
      <c r="CZ354" s="645">
        <f t="shared" si="896"/>
        <v>18333.840894356039</v>
      </c>
      <c r="DA354" s="646">
        <f t="shared" si="1078"/>
        <v>-14.3921316824808</v>
      </c>
      <c r="DB354" s="647">
        <f t="shared" si="897"/>
        <v>18319.448762673557</v>
      </c>
      <c r="DC354" s="644">
        <f t="shared" si="1079"/>
        <v>0</v>
      </c>
      <c r="DD354" s="645">
        <f t="shared" si="1080"/>
        <v>18319.448762673557</v>
      </c>
      <c r="DE354" s="646">
        <f t="shared" si="1081"/>
        <v>-1.2411421002020287E-2</v>
      </c>
      <c r="DF354" s="647">
        <f t="shared" si="898"/>
        <v>18319.436351252556</v>
      </c>
      <c r="DG354" s="644">
        <f t="shared" si="1082"/>
        <v>0</v>
      </c>
      <c r="DH354" s="645">
        <f t="shared" si="1083"/>
        <v>18319.436351252556</v>
      </c>
      <c r="DI354" s="646">
        <f t="shared" si="1084"/>
        <v>0</v>
      </c>
      <c r="DJ354" s="647">
        <f t="shared" si="899"/>
        <v>18319.436351252556</v>
      </c>
      <c r="DK354" s="644">
        <f t="shared" si="1085"/>
        <v>0</v>
      </c>
      <c r="DL354" s="645">
        <f t="shared" si="1086"/>
        <v>18319.436351252556</v>
      </c>
      <c r="DM354" s="646">
        <f t="shared" si="1087"/>
        <v>0</v>
      </c>
      <c r="DN354" s="647">
        <f t="shared" si="900"/>
        <v>18319.436351252556</v>
      </c>
      <c r="DR354" s="827">
        <f t="shared" si="854"/>
        <v>120023.91994147771</v>
      </c>
      <c r="DV354" s="828">
        <f>IFERROR(VLOOKUP($B354,'Afton FY16 Final'!$A$5:$BV$587,'Afton FY16 Final'!$BV$587,0),0)</f>
        <v>90904.780122223689</v>
      </c>
      <c r="DX354" s="636">
        <f t="shared" si="842"/>
        <v>120023.91994147771</v>
      </c>
      <c r="DY354" s="637">
        <f t="shared" si="843"/>
        <v>29119.139819254022</v>
      </c>
      <c r="DZ354" s="637">
        <f t="shared" si="844"/>
        <v>90904.780122223689</v>
      </c>
      <c r="EA354" s="643">
        <f t="shared" si="845"/>
        <v>113639.99255678589</v>
      </c>
      <c r="EB354" s="637">
        <f t="shared" si="855"/>
        <v>0</v>
      </c>
      <c r="EC354" s="637">
        <f t="shared" si="856"/>
        <v>113639.99255678589</v>
      </c>
      <c r="ED354" s="637">
        <f t="shared" si="857"/>
        <v>113301.12488416712</v>
      </c>
      <c r="EE354" s="643">
        <f t="shared" si="858"/>
        <v>113301.12488416712</v>
      </c>
      <c r="EF354" s="637">
        <f t="shared" si="859"/>
        <v>0</v>
      </c>
      <c r="EG354" s="637">
        <f t="shared" si="860"/>
        <v>113301.12488416712</v>
      </c>
      <c r="EH354" s="637">
        <f t="shared" si="861"/>
        <v>113301.00799581905</v>
      </c>
      <c r="EI354" s="643">
        <f t="shared" si="862"/>
        <v>113301.00799581905</v>
      </c>
      <c r="EJ354" s="637">
        <f t="shared" si="863"/>
        <v>0</v>
      </c>
      <c r="EK354" s="637">
        <f t="shared" si="864"/>
        <v>113301.00799581905</v>
      </c>
      <c r="EL354" s="637">
        <f t="shared" si="865"/>
        <v>113301.00799581889</v>
      </c>
      <c r="EM354" s="643">
        <f t="shared" si="866"/>
        <v>113301.00799581889</v>
      </c>
      <c r="EN354" s="637">
        <f t="shared" si="867"/>
        <v>0</v>
      </c>
      <c r="EO354" s="637">
        <f t="shared" si="868"/>
        <v>113301.00799581889</v>
      </c>
      <c r="EP354" s="637">
        <f t="shared" si="869"/>
        <v>113301.00799581905</v>
      </c>
      <c r="EQ354" s="643">
        <f t="shared" si="870"/>
        <v>113301.00799581905</v>
      </c>
      <c r="ER354" s="637">
        <f t="shared" si="871"/>
        <v>0</v>
      </c>
      <c r="ES354" s="637">
        <f t="shared" si="872"/>
        <v>113301.00799581905</v>
      </c>
      <c r="ET354" s="637">
        <f t="shared" si="873"/>
        <v>113301.00799581887</v>
      </c>
      <c r="EU354" s="643">
        <f t="shared" si="846"/>
        <v>113301.00799581887</v>
      </c>
      <c r="EV354" s="643">
        <f t="shared" si="847"/>
        <v>0</v>
      </c>
      <c r="EX354" s="829">
        <f t="shared" si="848"/>
        <v>6722.9119456588378</v>
      </c>
      <c r="EY354" s="638">
        <f t="shared" si="849"/>
        <v>113301.00799581887</v>
      </c>
      <c r="FC354" s="830" t="str">
        <f t="shared" si="874"/>
        <v>N</v>
      </c>
      <c r="FE354" s="830" t="str">
        <f>IFERROR(VLOOKUP($B354,'Historical Conc Grant Elig'!$B$3:$J$707,'HH &amp; SI'!FE$2,0),"N")</f>
        <v>N</v>
      </c>
      <c r="FF354" s="830" t="str">
        <f>IFERROR(VLOOKUP($B354,'Historical Conc Grant Elig'!$B$3:$J$707,'HH &amp; SI'!FF$2,0),"N")</f>
        <v>N</v>
      </c>
      <c r="FG354" s="830" t="str">
        <f>IFERROR(VLOOKUP($B354,'Historical Conc Grant Elig'!$B$3:$J$707,'HH &amp; SI'!FG$2,0),"N")</f>
        <v>N</v>
      </c>
      <c r="FH354" s="830" t="str">
        <f>IFERROR(VLOOKUP($B354,'Historical Conc Grant Elig'!$B$3:$J$707,'HH &amp; SI'!FH$2,0),"N")</f>
        <v>N</v>
      </c>
      <c r="FI354" s="830" t="str">
        <f>IFERROR(VLOOKUP($B354,'Historical Conc Grant Elig'!$B$3:$J$707,'HH &amp; SI'!FI$2,0),"N")</f>
        <v>N</v>
      </c>
      <c r="FJ354" s="830" t="str">
        <f>IFERROR(VLOOKUP($B354,'Historical Conc Grant Elig'!$B$3:$J$707,'HH &amp; SI'!FJ$2,0),"N")</f>
        <v>N</v>
      </c>
      <c r="FK354" s="830" t="str">
        <f>IFERROR(VLOOKUP($B354,'Historical Conc Grant Elig'!$B$3:$J$707,'HH &amp; SI'!FK$2,0),"N")</f>
        <v>N</v>
      </c>
      <c r="FL354" s="957" t="str">
        <f>IFERROR(VLOOKUP($B354,'Historical Conc Grant Elig'!$B$3:$J$707,'HH &amp; SI'!FL$2,0),"N")</f>
        <v>N</v>
      </c>
    </row>
    <row r="355" spans="2:168" x14ac:dyDescent="0.25">
      <c r="B355" s="634">
        <v>100215000</v>
      </c>
      <c r="C355" s="635" t="str">
        <f>VLOOKUP($B355,'Afton Update'!$A$5:$CR$582,'Afton Update'!D$589,0)</f>
        <v>Ajo Unified District</v>
      </c>
      <c r="D355" s="636">
        <f>IFERROR(VLOOKUP($B355,'Afton FY16 Final'!$A$5:$BV$587,'Afton FY16 Final'!AQ$587,0),0)</f>
        <v>86419.411063959764</v>
      </c>
      <c r="E355" s="637">
        <f>IFERROR(VLOOKUP($B355,'Afton FY16 Final'!$A$5:$BV$587,'Afton FY16 Final'!AR$587,0),0)</f>
        <v>24004.929884272631</v>
      </c>
      <c r="F355" s="637">
        <f>IFERROR(VLOOKUP($B355,'Afton FY16 Final'!$A$5:$BV$587,'Afton FY16 Final'!AS$587,0),0)</f>
        <v>44669.436757264353</v>
      </c>
      <c r="G355" s="637">
        <f>IFERROR(VLOOKUP($B355,'Afton FY16 Final'!$A$5:$BV$587,'Afton FY16 Final'!AT$587,0),0)</f>
        <v>46124.960836087725</v>
      </c>
      <c r="H355" s="638">
        <f>IFERROR(VLOOKUP($B355,'Afton FY16 Final'!$A$5:$BV$587,'Afton FY16 Final'!AU$587,0),0)</f>
        <v>201218.73854158449</v>
      </c>
      <c r="I355" s="639" t="str">
        <f>VLOOKUP($B355,'Afton Update'!$A$5:$CR$582,'Afton Update'!BT$589,0)</f>
        <v>Y</v>
      </c>
      <c r="J355" s="640" t="str">
        <f>VLOOKUP($B355,'Afton Update'!$A$5:$CR$582,'Afton Update'!BU$589,0)</f>
        <v>Y</v>
      </c>
      <c r="K355" s="640" t="str">
        <f>VLOOKUP($B355,'Afton Update'!$A$5:$CR$582,'Afton Update'!BV$589,0)</f>
        <v>Y</v>
      </c>
      <c r="L355" s="641" t="str">
        <f>VLOOKUP($B355,'Afton Update'!$A$5:$CR$582,'Afton Update'!BW$589,0)</f>
        <v>Y</v>
      </c>
      <c r="N355" s="642">
        <f>VLOOKUP($B355,'Afton Update'!$A$5:$CR$582,'Afton Update'!CB$589,0)</f>
        <v>0.95</v>
      </c>
      <c r="P355" s="636">
        <f>VLOOKUP($B355,'Afton Update'!$A$5:$CR$582,'Afton Update'!AH$589,0)</f>
        <v>82004.76555428491</v>
      </c>
      <c r="Q355" s="637">
        <f>VLOOKUP($B355,'Afton Update'!$A$5:$CR$582,'Afton Update'!AI$589,0)</f>
        <v>22807.950638642487</v>
      </c>
      <c r="R355" s="637">
        <f>VLOOKUP($B355,'Afton Update'!$A$5:$CR$582,'Afton Update'!AJ$589,0)</f>
        <v>42327.145481250453</v>
      </c>
      <c r="S355" s="637">
        <f>VLOOKUP($B355,'Afton Update'!$A$5:$CR$582,'Afton Update'!AK$589,0)</f>
        <v>43746.728262730001</v>
      </c>
      <c r="T355" s="643">
        <f t="shared" si="875"/>
        <v>190886.58993690787</v>
      </c>
      <c r="V355" s="636">
        <f t="shared" si="1024"/>
        <v>82098.440510761779</v>
      </c>
      <c r="W355" s="637">
        <f t="shared" si="1025"/>
        <v>22804.683390058999</v>
      </c>
      <c r="X355" s="637">
        <f t="shared" si="1026"/>
        <v>42435.964919401136</v>
      </c>
      <c r="Y355" s="637">
        <f t="shared" si="1027"/>
        <v>43818.712794283339</v>
      </c>
      <c r="Z355" s="643">
        <f t="shared" si="1028"/>
        <v>191157.80161450527</v>
      </c>
      <c r="AB355" s="644">
        <f t="shared" si="876"/>
        <v>82004.76555428491</v>
      </c>
      <c r="AC355" s="645">
        <f t="shared" si="850"/>
        <v>82098.440510761779</v>
      </c>
      <c r="AD355" s="644">
        <f t="shared" si="1029"/>
        <v>93.674956476868829</v>
      </c>
      <c r="AE355" s="645">
        <f t="shared" si="1030"/>
        <v>0</v>
      </c>
      <c r="AF355" s="646">
        <f t="shared" si="1031"/>
        <v>0</v>
      </c>
      <c r="AG355" s="647">
        <f t="shared" si="1032"/>
        <v>82098.440510761779</v>
      </c>
      <c r="AH355" s="644">
        <f t="shared" si="877"/>
        <v>0</v>
      </c>
      <c r="AI355" s="645">
        <f t="shared" si="878"/>
        <v>0</v>
      </c>
      <c r="AJ355" s="646">
        <f t="shared" si="1033"/>
        <v>0</v>
      </c>
      <c r="AK355" s="647">
        <f t="shared" si="879"/>
        <v>82098.440510761779</v>
      </c>
      <c r="AL355" s="644">
        <f t="shared" si="1034"/>
        <v>0</v>
      </c>
      <c r="AM355" s="645">
        <f t="shared" si="1035"/>
        <v>0</v>
      </c>
      <c r="AN355" s="646">
        <f t="shared" si="1036"/>
        <v>0</v>
      </c>
      <c r="AO355" s="647">
        <f t="shared" si="880"/>
        <v>82098.440510761779</v>
      </c>
      <c r="AP355" s="644">
        <f t="shared" si="1037"/>
        <v>0</v>
      </c>
      <c r="AQ355" s="645">
        <f t="shared" si="1038"/>
        <v>0</v>
      </c>
      <c r="AR355" s="646">
        <f t="shared" si="1039"/>
        <v>0</v>
      </c>
      <c r="AS355" s="647">
        <f t="shared" si="881"/>
        <v>82098.440510761779</v>
      </c>
      <c r="AT355" s="644">
        <f t="shared" si="1040"/>
        <v>0</v>
      </c>
      <c r="AU355" s="645">
        <f t="shared" si="1041"/>
        <v>0</v>
      </c>
      <c r="AV355" s="646">
        <f t="shared" si="1042"/>
        <v>0</v>
      </c>
      <c r="AW355" s="647">
        <f t="shared" si="882"/>
        <v>82098.440510761779</v>
      </c>
      <c r="AY355" s="644">
        <f t="shared" si="1043"/>
        <v>22807.950638642487</v>
      </c>
      <c r="AZ355" s="645">
        <f t="shared" si="851"/>
        <v>22804.683390058999</v>
      </c>
      <c r="BA355" s="644">
        <f t="shared" si="1044"/>
        <v>0</v>
      </c>
      <c r="BB355" s="645">
        <f t="shared" si="1045"/>
        <v>22807.950638642487</v>
      </c>
      <c r="BC355" s="646">
        <f t="shared" si="1046"/>
        <v>-164.01861997366552</v>
      </c>
      <c r="BD355" s="647">
        <f t="shared" si="1047"/>
        <v>22643.93201866882</v>
      </c>
      <c r="BE355" s="644">
        <f t="shared" si="883"/>
        <v>-160.75137139017897</v>
      </c>
      <c r="BF355" s="645">
        <f t="shared" si="884"/>
        <v>0</v>
      </c>
      <c r="BG355" s="646">
        <f t="shared" si="1048"/>
        <v>0</v>
      </c>
      <c r="BH355" s="647">
        <f t="shared" si="885"/>
        <v>22804.683390058999</v>
      </c>
      <c r="BI355" s="644">
        <f t="shared" si="1049"/>
        <v>0</v>
      </c>
      <c r="BJ355" s="645">
        <f t="shared" si="1050"/>
        <v>0</v>
      </c>
      <c r="BK355" s="646">
        <f t="shared" si="1051"/>
        <v>0</v>
      </c>
      <c r="BL355" s="647">
        <f t="shared" si="886"/>
        <v>22804.683390058999</v>
      </c>
      <c r="BM355" s="644">
        <f t="shared" si="1052"/>
        <v>0</v>
      </c>
      <c r="BN355" s="645">
        <f t="shared" si="1053"/>
        <v>0</v>
      </c>
      <c r="BO355" s="646">
        <f t="shared" si="1054"/>
        <v>0</v>
      </c>
      <c r="BP355" s="647">
        <f t="shared" si="887"/>
        <v>22804.683390058999</v>
      </c>
      <c r="BQ355" s="644">
        <f t="shared" si="1055"/>
        <v>0</v>
      </c>
      <c r="BR355" s="645">
        <f t="shared" si="1056"/>
        <v>0</v>
      </c>
      <c r="BS355" s="646">
        <f t="shared" si="1057"/>
        <v>0</v>
      </c>
      <c r="BT355" s="647">
        <f t="shared" si="888"/>
        <v>22804.683390058999</v>
      </c>
      <c r="BU355" s="662">
        <f>VLOOKUP(B355,'Afton Update'!$A$5:$AR$582,'Afton Update'!$AO$589,0)-BT355</f>
        <v>0</v>
      </c>
      <c r="BV355" s="644">
        <f t="shared" si="1058"/>
        <v>42327.145481250453</v>
      </c>
      <c r="BW355" s="645">
        <f t="shared" si="852"/>
        <v>42435.964919401136</v>
      </c>
      <c r="BX355" s="644">
        <f t="shared" si="1059"/>
        <v>108.81943815068371</v>
      </c>
      <c r="BY355" s="645">
        <f t="shared" si="1060"/>
        <v>0</v>
      </c>
      <c r="BZ355" s="646">
        <f t="shared" si="1061"/>
        <v>0</v>
      </c>
      <c r="CA355" s="647">
        <f t="shared" si="1062"/>
        <v>42435.964919401136</v>
      </c>
      <c r="CB355" s="644">
        <f t="shared" si="889"/>
        <v>0</v>
      </c>
      <c r="CC355" s="645">
        <f t="shared" si="890"/>
        <v>0</v>
      </c>
      <c r="CD355" s="646">
        <f t="shared" si="1063"/>
        <v>0</v>
      </c>
      <c r="CE355" s="647">
        <f t="shared" si="891"/>
        <v>42435.964919401136</v>
      </c>
      <c r="CF355" s="644">
        <f t="shared" si="1064"/>
        <v>0</v>
      </c>
      <c r="CG355" s="645">
        <f t="shared" si="1065"/>
        <v>0</v>
      </c>
      <c r="CH355" s="646">
        <f t="shared" si="1066"/>
        <v>0</v>
      </c>
      <c r="CI355" s="647">
        <f t="shared" si="892"/>
        <v>42435.964919401136</v>
      </c>
      <c r="CJ355" s="644">
        <f t="shared" si="1067"/>
        <v>0</v>
      </c>
      <c r="CK355" s="645">
        <f t="shared" si="1068"/>
        <v>0</v>
      </c>
      <c r="CL355" s="646">
        <f t="shared" si="1069"/>
        <v>0</v>
      </c>
      <c r="CM355" s="647">
        <f t="shared" si="893"/>
        <v>42435.964919401136</v>
      </c>
      <c r="CN355" s="644">
        <f t="shared" si="1070"/>
        <v>0</v>
      </c>
      <c r="CO355" s="645">
        <f t="shared" si="1071"/>
        <v>0</v>
      </c>
      <c r="CP355" s="646">
        <f t="shared" si="1072"/>
        <v>0</v>
      </c>
      <c r="CQ355" s="647">
        <f t="shared" si="894"/>
        <v>42435.964919401136</v>
      </c>
      <c r="CS355" s="644">
        <f t="shared" si="1073"/>
        <v>43746.728262730001</v>
      </c>
      <c r="CT355" s="645">
        <f t="shared" si="853"/>
        <v>43818.712794283339</v>
      </c>
      <c r="CU355" s="644">
        <f t="shared" si="1074"/>
        <v>71.984531553338456</v>
      </c>
      <c r="CV355" s="645">
        <f t="shared" si="1075"/>
        <v>0</v>
      </c>
      <c r="CW355" s="646">
        <f t="shared" si="1076"/>
        <v>0</v>
      </c>
      <c r="CX355" s="647">
        <f t="shared" si="1077"/>
        <v>43818.712794283339</v>
      </c>
      <c r="CY355" s="644">
        <f t="shared" si="895"/>
        <v>0</v>
      </c>
      <c r="CZ355" s="645">
        <f t="shared" si="896"/>
        <v>0</v>
      </c>
      <c r="DA355" s="646">
        <f t="shared" si="1078"/>
        <v>0</v>
      </c>
      <c r="DB355" s="647">
        <f t="shared" si="897"/>
        <v>43818.712794283339</v>
      </c>
      <c r="DC355" s="644">
        <f t="shared" si="1079"/>
        <v>0</v>
      </c>
      <c r="DD355" s="645">
        <f t="shared" si="1080"/>
        <v>0</v>
      </c>
      <c r="DE355" s="646">
        <f t="shared" si="1081"/>
        <v>0</v>
      </c>
      <c r="DF355" s="647">
        <f t="shared" si="898"/>
        <v>43818.712794283339</v>
      </c>
      <c r="DG355" s="644">
        <f t="shared" si="1082"/>
        <v>0</v>
      </c>
      <c r="DH355" s="645">
        <f t="shared" si="1083"/>
        <v>0</v>
      </c>
      <c r="DI355" s="646">
        <f t="shared" si="1084"/>
        <v>0</v>
      </c>
      <c r="DJ355" s="647">
        <f t="shared" si="899"/>
        <v>43818.712794283339</v>
      </c>
      <c r="DK355" s="644">
        <f t="shared" si="1085"/>
        <v>0</v>
      </c>
      <c r="DL355" s="645">
        <f t="shared" si="1086"/>
        <v>0</v>
      </c>
      <c r="DM355" s="646">
        <f t="shared" si="1087"/>
        <v>0</v>
      </c>
      <c r="DN355" s="647">
        <f t="shared" si="900"/>
        <v>43818.712794283339</v>
      </c>
      <c r="DR355" s="827">
        <f t="shared" si="854"/>
        <v>191157.80161450527</v>
      </c>
      <c r="DV355" s="828">
        <f>IFERROR(VLOOKUP($B355,'Afton FY16 Final'!$A$5:$BV$587,'Afton FY16 Final'!$BV$587,0),0)</f>
        <v>197256.74161302429</v>
      </c>
      <c r="DX355" s="636">
        <f t="shared" si="842"/>
        <v>0</v>
      </c>
      <c r="DY355" s="637">
        <f t="shared" si="843"/>
        <v>0</v>
      </c>
      <c r="DZ355" s="637">
        <f t="shared" si="844"/>
        <v>0</v>
      </c>
      <c r="EA355" s="643">
        <f t="shared" si="845"/>
        <v>0</v>
      </c>
      <c r="EB355" s="637">
        <f t="shared" si="855"/>
        <v>0</v>
      </c>
      <c r="EC355" s="637">
        <f t="shared" si="856"/>
        <v>0</v>
      </c>
      <c r="ED355" s="637">
        <f t="shared" si="857"/>
        <v>0</v>
      </c>
      <c r="EE355" s="643">
        <f t="shared" si="858"/>
        <v>0</v>
      </c>
      <c r="EF355" s="637">
        <f t="shared" si="859"/>
        <v>0</v>
      </c>
      <c r="EG355" s="637">
        <f t="shared" si="860"/>
        <v>0</v>
      </c>
      <c r="EH355" s="637">
        <f t="shared" si="861"/>
        <v>0</v>
      </c>
      <c r="EI355" s="643">
        <f t="shared" si="862"/>
        <v>0</v>
      </c>
      <c r="EJ355" s="637">
        <f t="shared" si="863"/>
        <v>0</v>
      </c>
      <c r="EK355" s="637">
        <f t="shared" si="864"/>
        <v>0</v>
      </c>
      <c r="EL355" s="637">
        <f t="shared" si="865"/>
        <v>0</v>
      </c>
      <c r="EM355" s="643">
        <f t="shared" si="866"/>
        <v>0</v>
      </c>
      <c r="EN355" s="637">
        <f t="shared" si="867"/>
        <v>0</v>
      </c>
      <c r="EO355" s="637">
        <f t="shared" si="868"/>
        <v>0</v>
      </c>
      <c r="EP355" s="637">
        <f t="shared" si="869"/>
        <v>0</v>
      </c>
      <c r="EQ355" s="643">
        <f t="shared" si="870"/>
        <v>0</v>
      </c>
      <c r="ER355" s="637">
        <f t="shared" si="871"/>
        <v>0</v>
      </c>
      <c r="ES355" s="637">
        <f t="shared" si="872"/>
        <v>0</v>
      </c>
      <c r="ET355" s="637">
        <f t="shared" si="873"/>
        <v>0</v>
      </c>
      <c r="EU355" s="643">
        <f t="shared" si="846"/>
        <v>0</v>
      </c>
      <c r="EV355" s="643">
        <f t="shared" si="847"/>
        <v>0</v>
      </c>
      <c r="EX355" s="829">
        <f t="shared" si="848"/>
        <v>0</v>
      </c>
      <c r="EY355" s="638">
        <f t="shared" si="849"/>
        <v>191157.80161450527</v>
      </c>
      <c r="FC355" s="830" t="str">
        <f t="shared" si="874"/>
        <v>Y</v>
      </c>
      <c r="FE355" s="830" t="str">
        <f>IFERROR(VLOOKUP($B355,'Historical Conc Grant Elig'!$B$3:$J$707,'HH &amp; SI'!FE$2,0),"N")</f>
        <v>Y</v>
      </c>
      <c r="FF355" s="830" t="str">
        <f>IFERROR(VLOOKUP($B355,'Historical Conc Grant Elig'!$B$3:$J$707,'HH &amp; SI'!FF$2,0),"N")</f>
        <v>Y</v>
      </c>
      <c r="FG355" s="830" t="str">
        <f>IFERROR(VLOOKUP($B355,'Historical Conc Grant Elig'!$B$3:$J$707,'HH &amp; SI'!FG$2,0),"N")</f>
        <v>Y</v>
      </c>
      <c r="FH355" s="830" t="str">
        <f>IFERROR(VLOOKUP($B355,'Historical Conc Grant Elig'!$B$3:$J$707,'HH &amp; SI'!FH$2,0),"N")</f>
        <v>Y</v>
      </c>
      <c r="FI355" s="830" t="str">
        <f>IFERROR(VLOOKUP($B355,'Historical Conc Grant Elig'!$B$3:$J$707,'HH &amp; SI'!FI$2,0),"N")</f>
        <v>Y</v>
      </c>
      <c r="FJ355" s="830" t="str">
        <f>IFERROR(VLOOKUP($B355,'Historical Conc Grant Elig'!$B$3:$J$707,'HH &amp; SI'!FJ$2,0),"N")</f>
        <v>Y</v>
      </c>
      <c r="FK355" s="830" t="str">
        <f>IFERROR(VLOOKUP($B355,'Historical Conc Grant Elig'!$B$3:$J$707,'HH &amp; SI'!FK$2,0),"N")</f>
        <v>Y</v>
      </c>
      <c r="FL355" s="957" t="str">
        <f>IFERROR(VLOOKUP($B355,'Historical Conc Grant Elig'!$B$3:$J$707,'HH &amp; SI'!FL$2,0),"N")</f>
        <v>Y</v>
      </c>
    </row>
    <row r="356" spans="2:168" x14ac:dyDescent="0.25">
      <c r="B356" s="634">
        <v>100216000</v>
      </c>
      <c r="C356" s="635" t="str">
        <f>VLOOKUP($B356,'Afton Update'!$A$5:$CR$582,'Afton Update'!D$589,0)</f>
        <v>Catalina Foothills Unified District</v>
      </c>
      <c r="D356" s="636">
        <f>IFERROR(VLOOKUP($B356,'Afton FY16 Final'!$A$5:$BV$587,'Afton FY16 Final'!AQ$587,0),0)</f>
        <v>172848.86803921993</v>
      </c>
      <c r="E356" s="637">
        <f>IFERROR(VLOOKUP($B356,'Afton FY16 Final'!$A$5:$BV$587,'Afton FY16 Final'!AR$587,0),0)</f>
        <v>0</v>
      </c>
      <c r="F356" s="637">
        <f>IFERROR(VLOOKUP($B356,'Afton FY16 Final'!$A$5:$BV$587,'Afton FY16 Final'!AS$587,0),0)</f>
        <v>47535.210579257313</v>
      </c>
      <c r="G356" s="637">
        <f>IFERROR(VLOOKUP($B356,'Afton FY16 Final'!$A$5:$BV$587,'Afton FY16 Final'!AT$587,0),0)</f>
        <v>34751.125480684874</v>
      </c>
      <c r="H356" s="638">
        <f>IFERROR(VLOOKUP($B356,'Afton FY16 Final'!$A$5:$BV$587,'Afton FY16 Final'!AU$587,0),0)</f>
        <v>255135.20409916213</v>
      </c>
      <c r="I356" s="639" t="str">
        <f>VLOOKUP($B356,'Afton Update'!$A$5:$CR$582,'Afton Update'!BT$589,0)</f>
        <v>Y</v>
      </c>
      <c r="J356" s="640" t="str">
        <f>VLOOKUP($B356,'Afton Update'!$A$5:$CR$582,'Afton Update'!BU$589,0)</f>
        <v>N</v>
      </c>
      <c r="K356" s="640" t="str">
        <f>VLOOKUP($B356,'Afton Update'!$A$5:$CR$582,'Afton Update'!BV$589,0)</f>
        <v>Y</v>
      </c>
      <c r="L356" s="641" t="str">
        <f>VLOOKUP($B356,'Afton Update'!$A$5:$CR$582,'Afton Update'!BW$589,0)</f>
        <v>Y</v>
      </c>
      <c r="N356" s="642">
        <f>VLOOKUP($B356,'Afton Update'!$A$5:$CR$582,'Afton Update'!CB$589,0)</f>
        <v>0.85</v>
      </c>
      <c r="P356" s="636">
        <f>VLOOKUP($B356,'Afton Update'!$A$5:$CR$582,'Afton Update'!AH$589,0)</f>
        <v>164525.27766227198</v>
      </c>
      <c r="Q356" s="637" t="str">
        <f>VLOOKUP($B356,'Afton Update'!$A$5:$CR$582,'Afton Update'!AI$589,0)</f>
        <v/>
      </c>
      <c r="R356" s="637">
        <f>VLOOKUP($B356,'Afton Update'!$A$5:$CR$582,'Afton Update'!AJ$589,0)</f>
        <v>49651.264368623153</v>
      </c>
      <c r="S356" s="637">
        <f>VLOOKUP($B356,'Afton Update'!$A$5:$CR$582,'Afton Update'!AK$589,0)</f>
        <v>38517.186280783011</v>
      </c>
      <c r="T356" s="643">
        <f t="shared" si="875"/>
        <v>252693.72831167813</v>
      </c>
      <c r="V356" s="636">
        <f t="shared" si="1024"/>
        <v>162281.0460875791</v>
      </c>
      <c r="W356" s="637">
        <f t="shared" si="1025"/>
        <v>0</v>
      </c>
      <c r="X356" s="637">
        <f t="shared" si="1026"/>
        <v>49199.705504793725</v>
      </c>
      <c r="Y356" s="637">
        <f t="shared" si="1027"/>
        <v>38092.796222445788</v>
      </c>
      <c r="Z356" s="643">
        <f t="shared" si="1028"/>
        <v>249573.54781481862</v>
      </c>
      <c r="AB356" s="644">
        <f t="shared" si="876"/>
        <v>164525.27766227198</v>
      </c>
      <c r="AC356" s="645">
        <f t="shared" si="850"/>
        <v>146921.53783333694</v>
      </c>
      <c r="AD356" s="644">
        <f t="shared" si="1029"/>
        <v>0</v>
      </c>
      <c r="AE356" s="645">
        <f t="shared" si="1030"/>
        <v>164525.27766227198</v>
      </c>
      <c r="AF356" s="646">
        <f t="shared" si="1031"/>
        <v>-2039.4144540788561</v>
      </c>
      <c r="AG356" s="647">
        <f t="shared" si="1032"/>
        <v>162485.86320819313</v>
      </c>
      <c r="AH356" s="644">
        <f t="shared" si="877"/>
        <v>0</v>
      </c>
      <c r="AI356" s="645">
        <f t="shared" si="878"/>
        <v>162485.86320819313</v>
      </c>
      <c r="AJ356" s="646">
        <f t="shared" si="1033"/>
        <v>-204.68663225554411</v>
      </c>
      <c r="AK356" s="647">
        <f t="shared" si="879"/>
        <v>162281.17657593757</v>
      </c>
      <c r="AL356" s="644">
        <f t="shared" si="1034"/>
        <v>0</v>
      </c>
      <c r="AM356" s="645">
        <f t="shared" si="1035"/>
        <v>162281.17657593757</v>
      </c>
      <c r="AN356" s="646">
        <f t="shared" si="1036"/>
        <v>-0.1304883584623267</v>
      </c>
      <c r="AO356" s="647">
        <f t="shared" si="880"/>
        <v>162281.0460875791</v>
      </c>
      <c r="AP356" s="644">
        <f t="shared" si="1037"/>
        <v>0</v>
      </c>
      <c r="AQ356" s="645">
        <f t="shared" si="1038"/>
        <v>162281.0460875791</v>
      </c>
      <c r="AR356" s="646">
        <f t="shared" si="1039"/>
        <v>0</v>
      </c>
      <c r="AS356" s="647">
        <f t="shared" si="881"/>
        <v>162281.0460875791</v>
      </c>
      <c r="AT356" s="644">
        <f t="shared" si="1040"/>
        <v>0</v>
      </c>
      <c r="AU356" s="645">
        <f t="shared" si="1041"/>
        <v>162281.0460875791</v>
      </c>
      <c r="AV356" s="646">
        <f t="shared" si="1042"/>
        <v>0</v>
      </c>
      <c r="AW356" s="647">
        <f t="shared" si="882"/>
        <v>162281.0460875791</v>
      </c>
      <c r="AY356" s="644">
        <f t="shared" si="1043"/>
        <v>0</v>
      </c>
      <c r="AZ356" s="645">
        <f t="shared" si="851"/>
        <v>0</v>
      </c>
      <c r="BA356" s="644">
        <f t="shared" si="1044"/>
        <v>0</v>
      </c>
      <c r="BB356" s="645">
        <f t="shared" si="1045"/>
        <v>0</v>
      </c>
      <c r="BC356" s="646">
        <f t="shared" si="1046"/>
        <v>0</v>
      </c>
      <c r="BD356" s="647">
        <f t="shared" si="1047"/>
        <v>0</v>
      </c>
      <c r="BE356" s="644">
        <f t="shared" si="883"/>
        <v>0</v>
      </c>
      <c r="BF356" s="645">
        <f t="shared" si="884"/>
        <v>0</v>
      </c>
      <c r="BG356" s="646">
        <f t="shared" si="1048"/>
        <v>0</v>
      </c>
      <c r="BH356" s="647">
        <f t="shared" si="885"/>
        <v>0</v>
      </c>
      <c r="BI356" s="644">
        <f t="shared" si="1049"/>
        <v>0</v>
      </c>
      <c r="BJ356" s="645">
        <f t="shared" si="1050"/>
        <v>0</v>
      </c>
      <c r="BK356" s="646">
        <f t="shared" si="1051"/>
        <v>0</v>
      </c>
      <c r="BL356" s="647">
        <f t="shared" si="886"/>
        <v>0</v>
      </c>
      <c r="BM356" s="644">
        <f t="shared" si="1052"/>
        <v>0</v>
      </c>
      <c r="BN356" s="645">
        <f t="shared" si="1053"/>
        <v>0</v>
      </c>
      <c r="BO356" s="646">
        <f t="shared" si="1054"/>
        <v>0</v>
      </c>
      <c r="BP356" s="647">
        <f t="shared" si="887"/>
        <v>0</v>
      </c>
      <c r="BQ356" s="644">
        <f t="shared" si="1055"/>
        <v>0</v>
      </c>
      <c r="BR356" s="645">
        <f t="shared" si="1056"/>
        <v>0</v>
      </c>
      <c r="BS356" s="646">
        <f t="shared" si="1057"/>
        <v>0</v>
      </c>
      <c r="BT356" s="647">
        <f t="shared" si="888"/>
        <v>0</v>
      </c>
      <c r="BU356" s="662">
        <f>VLOOKUP(B356,'Afton Update'!$A$5:$AR$582,'Afton Update'!$AO$589,0)-BT356</f>
        <v>0</v>
      </c>
      <c r="BV356" s="644">
        <f t="shared" si="1058"/>
        <v>49651.264368623153</v>
      </c>
      <c r="BW356" s="645">
        <f t="shared" si="852"/>
        <v>40404.928992368717</v>
      </c>
      <c r="BX356" s="644">
        <f t="shared" si="1059"/>
        <v>0</v>
      </c>
      <c r="BY356" s="645">
        <f t="shared" si="1060"/>
        <v>49651.264368623153</v>
      </c>
      <c r="BZ356" s="646">
        <f t="shared" si="1061"/>
        <v>-435.79442622685997</v>
      </c>
      <c r="CA356" s="647">
        <f t="shared" si="1062"/>
        <v>49215.469942396296</v>
      </c>
      <c r="CB356" s="644">
        <f t="shared" si="889"/>
        <v>0</v>
      </c>
      <c r="CC356" s="645">
        <f t="shared" si="890"/>
        <v>49215.469942396296</v>
      </c>
      <c r="CD356" s="646">
        <f t="shared" si="1063"/>
        <v>-15.764437602572304</v>
      </c>
      <c r="CE356" s="647">
        <f t="shared" si="891"/>
        <v>49199.705504793725</v>
      </c>
      <c r="CF356" s="644">
        <f t="shared" si="1064"/>
        <v>0</v>
      </c>
      <c r="CG356" s="645">
        <f t="shared" si="1065"/>
        <v>49199.705504793725</v>
      </c>
      <c r="CH356" s="646">
        <f t="shared" si="1066"/>
        <v>0</v>
      </c>
      <c r="CI356" s="647">
        <f t="shared" si="892"/>
        <v>49199.705504793725</v>
      </c>
      <c r="CJ356" s="644">
        <f t="shared" si="1067"/>
        <v>0</v>
      </c>
      <c r="CK356" s="645">
        <f t="shared" si="1068"/>
        <v>49199.705504793725</v>
      </c>
      <c r="CL356" s="646">
        <f t="shared" si="1069"/>
        <v>0</v>
      </c>
      <c r="CM356" s="647">
        <f t="shared" si="893"/>
        <v>49199.705504793725</v>
      </c>
      <c r="CN356" s="644">
        <f t="shared" si="1070"/>
        <v>0</v>
      </c>
      <c r="CO356" s="645">
        <f t="shared" si="1071"/>
        <v>49199.705504793725</v>
      </c>
      <c r="CP356" s="646">
        <f t="shared" si="1072"/>
        <v>0</v>
      </c>
      <c r="CQ356" s="647">
        <f t="shared" si="894"/>
        <v>49199.705504793725</v>
      </c>
      <c r="CS356" s="644">
        <f t="shared" si="1073"/>
        <v>38517.186280783011</v>
      </c>
      <c r="CT356" s="645">
        <f t="shared" si="853"/>
        <v>29538.456658582141</v>
      </c>
      <c r="CU356" s="644">
        <f t="shared" si="1074"/>
        <v>0</v>
      </c>
      <c r="CV356" s="645">
        <f t="shared" si="1075"/>
        <v>38517.186280783011</v>
      </c>
      <c r="CW356" s="646">
        <f t="shared" si="1076"/>
        <v>-394.43775442362733</v>
      </c>
      <c r="CX356" s="647">
        <f t="shared" si="1077"/>
        <v>38122.748526359384</v>
      </c>
      <c r="CY356" s="644">
        <f t="shared" si="895"/>
        <v>0</v>
      </c>
      <c r="CZ356" s="645">
        <f t="shared" si="896"/>
        <v>38122.748526359384</v>
      </c>
      <c r="DA356" s="646">
        <f t="shared" si="1078"/>
        <v>-29.926496038174356</v>
      </c>
      <c r="DB356" s="647">
        <f t="shared" si="897"/>
        <v>38092.822030321207</v>
      </c>
      <c r="DC356" s="644">
        <f t="shared" si="1079"/>
        <v>0</v>
      </c>
      <c r="DD356" s="645">
        <f t="shared" si="1080"/>
        <v>38092.822030321207</v>
      </c>
      <c r="DE356" s="646">
        <f t="shared" si="1081"/>
        <v>-2.5807875416899329E-2</v>
      </c>
      <c r="DF356" s="647">
        <f t="shared" si="898"/>
        <v>38092.796222445788</v>
      </c>
      <c r="DG356" s="644">
        <f t="shared" si="1082"/>
        <v>0</v>
      </c>
      <c r="DH356" s="645">
        <f t="shared" si="1083"/>
        <v>38092.796222445788</v>
      </c>
      <c r="DI356" s="646">
        <f t="shared" si="1084"/>
        <v>0</v>
      </c>
      <c r="DJ356" s="647">
        <f t="shared" si="899"/>
        <v>38092.796222445788</v>
      </c>
      <c r="DK356" s="644">
        <f t="shared" si="1085"/>
        <v>0</v>
      </c>
      <c r="DL356" s="645">
        <f t="shared" si="1086"/>
        <v>38092.796222445788</v>
      </c>
      <c r="DM356" s="646">
        <f t="shared" si="1087"/>
        <v>0</v>
      </c>
      <c r="DN356" s="647">
        <f t="shared" si="900"/>
        <v>38092.796222445788</v>
      </c>
      <c r="DR356" s="827">
        <f t="shared" si="854"/>
        <v>249573.54781481862</v>
      </c>
      <c r="DV356" s="828">
        <f>IFERROR(VLOOKUP($B356,'Afton FY16 Final'!$A$5:$BV$587,'Afton FY16 Final'!$BV$587,0),0)</f>
        <v>250111.59197270224</v>
      </c>
      <c r="DX356" s="636">
        <f t="shared" si="842"/>
        <v>0</v>
      </c>
      <c r="DY356" s="637">
        <f t="shared" si="843"/>
        <v>0</v>
      </c>
      <c r="DZ356" s="637">
        <f t="shared" si="844"/>
        <v>0</v>
      </c>
      <c r="EA356" s="643">
        <f t="shared" si="845"/>
        <v>0</v>
      </c>
      <c r="EB356" s="637">
        <f t="shared" si="855"/>
        <v>0</v>
      </c>
      <c r="EC356" s="637">
        <f t="shared" si="856"/>
        <v>0</v>
      </c>
      <c r="ED356" s="637">
        <f t="shared" si="857"/>
        <v>0</v>
      </c>
      <c r="EE356" s="643">
        <f t="shared" si="858"/>
        <v>0</v>
      </c>
      <c r="EF356" s="637">
        <f t="shared" si="859"/>
        <v>0</v>
      </c>
      <c r="EG356" s="637">
        <f t="shared" si="860"/>
        <v>0</v>
      </c>
      <c r="EH356" s="637">
        <f t="shared" si="861"/>
        <v>0</v>
      </c>
      <c r="EI356" s="643">
        <f t="shared" si="862"/>
        <v>0</v>
      </c>
      <c r="EJ356" s="637">
        <f t="shared" si="863"/>
        <v>0</v>
      </c>
      <c r="EK356" s="637">
        <f t="shared" si="864"/>
        <v>0</v>
      </c>
      <c r="EL356" s="637">
        <f t="shared" si="865"/>
        <v>0</v>
      </c>
      <c r="EM356" s="643">
        <f t="shared" si="866"/>
        <v>0</v>
      </c>
      <c r="EN356" s="637">
        <f t="shared" si="867"/>
        <v>0</v>
      </c>
      <c r="EO356" s="637">
        <f t="shared" si="868"/>
        <v>0</v>
      </c>
      <c r="EP356" s="637">
        <f t="shared" si="869"/>
        <v>0</v>
      </c>
      <c r="EQ356" s="643">
        <f t="shared" si="870"/>
        <v>0</v>
      </c>
      <c r="ER356" s="637">
        <f t="shared" si="871"/>
        <v>0</v>
      </c>
      <c r="ES356" s="637">
        <f t="shared" si="872"/>
        <v>0</v>
      </c>
      <c r="ET356" s="637">
        <f t="shared" si="873"/>
        <v>0</v>
      </c>
      <c r="EU356" s="643">
        <f t="shared" si="846"/>
        <v>0</v>
      </c>
      <c r="EV356" s="643">
        <f t="shared" si="847"/>
        <v>0</v>
      </c>
      <c r="EX356" s="829">
        <f t="shared" si="848"/>
        <v>0</v>
      </c>
      <c r="EY356" s="638">
        <f t="shared" si="849"/>
        <v>249573.54781481862</v>
      </c>
      <c r="FC356" s="830" t="str">
        <f t="shared" si="874"/>
        <v>N</v>
      </c>
      <c r="FE356" s="830" t="str">
        <f>IFERROR(VLOOKUP($B356,'Historical Conc Grant Elig'!$B$3:$J$707,'HH &amp; SI'!FE$2,0),"N")</f>
        <v>N</v>
      </c>
      <c r="FF356" s="830" t="str">
        <f>IFERROR(VLOOKUP($B356,'Historical Conc Grant Elig'!$B$3:$J$707,'HH &amp; SI'!FF$2,0),"N")</f>
        <v>N</v>
      </c>
      <c r="FG356" s="830" t="str">
        <f>IFERROR(VLOOKUP($B356,'Historical Conc Grant Elig'!$B$3:$J$707,'HH &amp; SI'!FG$2,0),"N")</f>
        <v>N</v>
      </c>
      <c r="FH356" s="830" t="str">
        <f>IFERROR(VLOOKUP($B356,'Historical Conc Grant Elig'!$B$3:$J$707,'HH &amp; SI'!FH$2,0),"N")</f>
        <v>N</v>
      </c>
      <c r="FI356" s="830" t="str">
        <f>IFERROR(VLOOKUP($B356,'Historical Conc Grant Elig'!$B$3:$J$707,'HH &amp; SI'!FI$2,0),"N")</f>
        <v>N</v>
      </c>
      <c r="FJ356" s="830" t="str">
        <f>IFERROR(VLOOKUP($B356,'Historical Conc Grant Elig'!$B$3:$J$707,'HH &amp; SI'!FJ$2,0),"N")</f>
        <v>N</v>
      </c>
      <c r="FK356" s="830" t="str">
        <f>IFERROR(VLOOKUP($B356,'Historical Conc Grant Elig'!$B$3:$J$707,'HH &amp; SI'!FK$2,0),"N")</f>
        <v>N</v>
      </c>
      <c r="FL356" s="957" t="str">
        <f>IFERROR(VLOOKUP($B356,'Historical Conc Grant Elig'!$B$3:$J$707,'HH &amp; SI'!FL$2,0),"N")</f>
        <v>N</v>
      </c>
    </row>
    <row r="357" spans="2:168" x14ac:dyDescent="0.25">
      <c r="B357" s="634">
        <v>100220000</v>
      </c>
      <c r="C357" s="635" t="str">
        <f>VLOOKUP($B357,'Afton Update'!$A$5:$CR$582,'Afton Update'!D$589,0)</f>
        <v>Vail Unified District</v>
      </c>
      <c r="D357" s="636">
        <f>IFERROR(VLOOKUP($B357,'Afton FY16 Final'!$A$5:$BV$587,'Afton FY16 Final'!AQ$587,0),0)</f>
        <v>326071.78105153074</v>
      </c>
      <c r="E357" s="637">
        <f>IFERROR(VLOOKUP($B357,'Afton FY16 Final'!$A$5:$BV$587,'Afton FY16 Final'!AR$587,0),0)</f>
        <v>0</v>
      </c>
      <c r="F357" s="637">
        <f>IFERROR(VLOOKUP($B357,'Afton FY16 Final'!$A$5:$BV$587,'Afton FY16 Final'!AS$587,0),0)</f>
        <v>101716.03483106008</v>
      </c>
      <c r="G357" s="637">
        <f>IFERROR(VLOOKUP($B357,'Afton FY16 Final'!$A$5:$BV$587,'Afton FY16 Final'!AT$587,0),0)</f>
        <v>81827.216289118063</v>
      </c>
      <c r="H357" s="638">
        <f>IFERROR(VLOOKUP($B357,'Afton FY16 Final'!$A$5:$BV$587,'Afton FY16 Final'!AU$587,0),0)</f>
        <v>509615.03217170888</v>
      </c>
      <c r="I357" s="639" t="str">
        <f>VLOOKUP($B357,'Afton Update'!$A$5:$CR$582,'Afton Update'!BT$589,0)</f>
        <v>Y</v>
      </c>
      <c r="J357" s="640" t="str">
        <f>VLOOKUP($B357,'Afton Update'!$A$5:$CR$582,'Afton Update'!BU$589,0)</f>
        <v>N</v>
      </c>
      <c r="K357" s="640" t="str">
        <f>VLOOKUP($B357,'Afton Update'!$A$5:$CR$582,'Afton Update'!BV$589,0)</f>
        <v>Y</v>
      </c>
      <c r="L357" s="641" t="str">
        <f>VLOOKUP($B357,'Afton Update'!$A$5:$CR$582,'Afton Update'!BW$589,0)</f>
        <v>Y</v>
      </c>
      <c r="N357" s="642">
        <f>VLOOKUP($B357,'Afton Update'!$A$5:$CR$582,'Afton Update'!CB$589,0)</f>
        <v>0.85</v>
      </c>
      <c r="P357" s="636">
        <f>VLOOKUP($B357,'Afton Update'!$A$5:$CR$582,'Afton Update'!AH$589,0)</f>
        <v>358355.31216006324</v>
      </c>
      <c r="Q357" s="637" t="str">
        <f>VLOOKUP($B357,'Afton Update'!$A$5:$CR$582,'Afton Update'!AI$589,0)</f>
        <v/>
      </c>
      <c r="R357" s="637">
        <f>VLOOKUP($B357,'Afton Update'!$A$5:$CR$582,'Afton Update'!AJ$589,0)</f>
        <v>118569.2407377934</v>
      </c>
      <c r="S357" s="637">
        <f>VLOOKUP($B357,'Afton Update'!$A$5:$CR$582,'Afton Update'!AK$589,0)</f>
        <v>91980.608968231187</v>
      </c>
      <c r="T357" s="643">
        <f t="shared" si="875"/>
        <v>568905.16186608782</v>
      </c>
      <c r="V357" s="636">
        <f t="shared" si="1024"/>
        <v>353467.11310678819</v>
      </c>
      <c r="W357" s="637">
        <f t="shared" si="1025"/>
        <v>0</v>
      </c>
      <c r="X357" s="637">
        <f t="shared" si="1026"/>
        <v>117490.89978689283</v>
      </c>
      <c r="Y357" s="637">
        <f t="shared" si="1027"/>
        <v>90967.14823095515</v>
      </c>
      <c r="Z357" s="643">
        <f t="shared" si="1028"/>
        <v>561925.16112463619</v>
      </c>
      <c r="AB357" s="644">
        <f t="shared" si="876"/>
        <v>358355.31216006324</v>
      </c>
      <c r="AC357" s="645">
        <f t="shared" si="850"/>
        <v>277161.01389380114</v>
      </c>
      <c r="AD357" s="644">
        <f t="shared" si="1029"/>
        <v>0</v>
      </c>
      <c r="AE357" s="645">
        <f t="shared" si="1030"/>
        <v>358355.31216006324</v>
      </c>
      <c r="AF357" s="646">
        <f t="shared" si="1031"/>
        <v>-4442.0833910725223</v>
      </c>
      <c r="AG357" s="647">
        <f t="shared" si="1032"/>
        <v>353913.22876899072</v>
      </c>
      <c r="AH357" s="644">
        <f t="shared" si="877"/>
        <v>0</v>
      </c>
      <c r="AI357" s="645">
        <f t="shared" si="878"/>
        <v>353913.22876899072</v>
      </c>
      <c r="AJ357" s="646">
        <f t="shared" si="1033"/>
        <v>-445.83144328434048</v>
      </c>
      <c r="AK357" s="647">
        <f t="shared" si="879"/>
        <v>353467.39732570638</v>
      </c>
      <c r="AL357" s="644">
        <f t="shared" si="1034"/>
        <v>0</v>
      </c>
      <c r="AM357" s="645">
        <f t="shared" si="1035"/>
        <v>353467.39732570638</v>
      </c>
      <c r="AN357" s="646">
        <f t="shared" si="1036"/>
        <v>-0.28421891817748524</v>
      </c>
      <c r="AO357" s="647">
        <f t="shared" si="880"/>
        <v>353467.11310678819</v>
      </c>
      <c r="AP357" s="644">
        <f t="shared" si="1037"/>
        <v>0</v>
      </c>
      <c r="AQ357" s="645">
        <f t="shared" si="1038"/>
        <v>353467.11310678819</v>
      </c>
      <c r="AR357" s="646">
        <f t="shared" si="1039"/>
        <v>0</v>
      </c>
      <c r="AS357" s="647">
        <f t="shared" si="881"/>
        <v>353467.11310678819</v>
      </c>
      <c r="AT357" s="644">
        <f t="shared" si="1040"/>
        <v>0</v>
      </c>
      <c r="AU357" s="645">
        <f t="shared" si="1041"/>
        <v>353467.11310678819</v>
      </c>
      <c r="AV357" s="646">
        <f t="shared" si="1042"/>
        <v>0</v>
      </c>
      <c r="AW357" s="647">
        <f t="shared" si="882"/>
        <v>353467.11310678819</v>
      </c>
      <c r="AY357" s="644">
        <f t="shared" si="1043"/>
        <v>0</v>
      </c>
      <c r="AZ357" s="645">
        <f t="shared" si="851"/>
        <v>0</v>
      </c>
      <c r="BA357" s="644">
        <f t="shared" si="1044"/>
        <v>0</v>
      </c>
      <c r="BB357" s="645">
        <f t="shared" si="1045"/>
        <v>0</v>
      </c>
      <c r="BC357" s="646">
        <f t="shared" si="1046"/>
        <v>0</v>
      </c>
      <c r="BD357" s="647">
        <f t="shared" si="1047"/>
        <v>0</v>
      </c>
      <c r="BE357" s="644">
        <f t="shared" si="883"/>
        <v>0</v>
      </c>
      <c r="BF357" s="645">
        <f t="shared" si="884"/>
        <v>0</v>
      </c>
      <c r="BG357" s="646">
        <f t="shared" si="1048"/>
        <v>0</v>
      </c>
      <c r="BH357" s="647">
        <f t="shared" si="885"/>
        <v>0</v>
      </c>
      <c r="BI357" s="644">
        <f t="shared" si="1049"/>
        <v>0</v>
      </c>
      <c r="BJ357" s="645">
        <f t="shared" si="1050"/>
        <v>0</v>
      </c>
      <c r="BK357" s="646">
        <f t="shared" si="1051"/>
        <v>0</v>
      </c>
      <c r="BL357" s="647">
        <f t="shared" si="886"/>
        <v>0</v>
      </c>
      <c r="BM357" s="644">
        <f t="shared" si="1052"/>
        <v>0</v>
      </c>
      <c r="BN357" s="645">
        <f t="shared" si="1053"/>
        <v>0</v>
      </c>
      <c r="BO357" s="646">
        <f t="shared" si="1054"/>
        <v>0</v>
      </c>
      <c r="BP357" s="647">
        <f t="shared" si="887"/>
        <v>0</v>
      </c>
      <c r="BQ357" s="644">
        <f t="shared" si="1055"/>
        <v>0</v>
      </c>
      <c r="BR357" s="645">
        <f t="shared" si="1056"/>
        <v>0</v>
      </c>
      <c r="BS357" s="646">
        <f t="shared" si="1057"/>
        <v>0</v>
      </c>
      <c r="BT357" s="647">
        <f t="shared" si="888"/>
        <v>0</v>
      </c>
      <c r="BU357" s="662">
        <f>VLOOKUP(B357,'Afton Update'!$A$5:$AR$582,'Afton Update'!$AO$589,0)-BT357</f>
        <v>0</v>
      </c>
      <c r="BV357" s="644">
        <f t="shared" si="1058"/>
        <v>118569.2407377934</v>
      </c>
      <c r="BW357" s="645">
        <f t="shared" si="852"/>
        <v>86458.629606401068</v>
      </c>
      <c r="BX357" s="644">
        <f t="shared" si="1059"/>
        <v>0</v>
      </c>
      <c r="BY357" s="645">
        <f t="shared" si="1060"/>
        <v>118569.2407377934</v>
      </c>
      <c r="BZ357" s="646">
        <f t="shared" si="1061"/>
        <v>-1040.6948320964577</v>
      </c>
      <c r="CA357" s="647">
        <f t="shared" si="1062"/>
        <v>117528.54590569694</v>
      </c>
      <c r="CB357" s="644">
        <f t="shared" si="889"/>
        <v>0</v>
      </c>
      <c r="CC357" s="645">
        <f t="shared" si="890"/>
        <v>117528.54590569694</v>
      </c>
      <c r="CD357" s="646">
        <f t="shared" si="1063"/>
        <v>-37.646118804107125</v>
      </c>
      <c r="CE357" s="647">
        <f t="shared" si="891"/>
        <v>117490.89978689283</v>
      </c>
      <c r="CF357" s="644">
        <f t="shared" si="1064"/>
        <v>0</v>
      </c>
      <c r="CG357" s="645">
        <f t="shared" si="1065"/>
        <v>117490.89978689283</v>
      </c>
      <c r="CH357" s="646">
        <f t="shared" si="1066"/>
        <v>0</v>
      </c>
      <c r="CI357" s="647">
        <f t="shared" si="892"/>
        <v>117490.89978689283</v>
      </c>
      <c r="CJ357" s="644">
        <f t="shared" si="1067"/>
        <v>0</v>
      </c>
      <c r="CK357" s="645">
        <f t="shared" si="1068"/>
        <v>117490.89978689283</v>
      </c>
      <c r="CL357" s="646">
        <f t="shared" si="1069"/>
        <v>0</v>
      </c>
      <c r="CM357" s="647">
        <f t="shared" si="893"/>
        <v>117490.89978689283</v>
      </c>
      <c r="CN357" s="644">
        <f t="shared" si="1070"/>
        <v>0</v>
      </c>
      <c r="CO357" s="645">
        <f t="shared" si="1071"/>
        <v>117490.89978689283</v>
      </c>
      <c r="CP357" s="646">
        <f t="shared" si="1072"/>
        <v>0</v>
      </c>
      <c r="CQ357" s="647">
        <f t="shared" si="894"/>
        <v>117490.89978689283</v>
      </c>
      <c r="CS357" s="644">
        <f t="shared" si="1073"/>
        <v>91980.608968231187</v>
      </c>
      <c r="CT357" s="645">
        <f t="shared" si="853"/>
        <v>69553.133845750359</v>
      </c>
      <c r="CU357" s="644">
        <f t="shared" si="1074"/>
        <v>0</v>
      </c>
      <c r="CV357" s="645">
        <f t="shared" si="1075"/>
        <v>91980.608968231187</v>
      </c>
      <c r="CW357" s="646">
        <f t="shared" si="1076"/>
        <v>-941.93341609815343</v>
      </c>
      <c r="CX357" s="647">
        <f t="shared" si="1077"/>
        <v>91038.675552133034</v>
      </c>
      <c r="CY357" s="644">
        <f t="shared" si="895"/>
        <v>0</v>
      </c>
      <c r="CZ357" s="645">
        <f t="shared" si="896"/>
        <v>91038.675552133034</v>
      </c>
      <c r="DA357" s="646">
        <f t="shared" si="1078"/>
        <v>-71.465690920678469</v>
      </c>
      <c r="DB357" s="647">
        <f t="shared" si="897"/>
        <v>90967.209861212352</v>
      </c>
      <c r="DC357" s="644">
        <f t="shared" si="1079"/>
        <v>0</v>
      </c>
      <c r="DD357" s="645">
        <f t="shared" si="1080"/>
        <v>90967.209861212352</v>
      </c>
      <c r="DE357" s="646">
        <f t="shared" si="1081"/>
        <v>-6.1630257197862651E-2</v>
      </c>
      <c r="DF357" s="647">
        <f t="shared" si="898"/>
        <v>90967.14823095515</v>
      </c>
      <c r="DG357" s="644">
        <f t="shared" si="1082"/>
        <v>0</v>
      </c>
      <c r="DH357" s="645">
        <f t="shared" si="1083"/>
        <v>90967.14823095515</v>
      </c>
      <c r="DI357" s="646">
        <f t="shared" si="1084"/>
        <v>0</v>
      </c>
      <c r="DJ357" s="647">
        <f t="shared" si="899"/>
        <v>90967.14823095515</v>
      </c>
      <c r="DK357" s="644">
        <f t="shared" si="1085"/>
        <v>0</v>
      </c>
      <c r="DL357" s="645">
        <f t="shared" si="1086"/>
        <v>90967.14823095515</v>
      </c>
      <c r="DM357" s="646">
        <f t="shared" si="1087"/>
        <v>0</v>
      </c>
      <c r="DN357" s="647">
        <f t="shared" si="900"/>
        <v>90967.14823095515</v>
      </c>
      <c r="DR357" s="827">
        <f t="shared" si="854"/>
        <v>561925.16112463619</v>
      </c>
      <c r="DV357" s="828">
        <f>IFERROR(VLOOKUP($B357,'Afton FY16 Final'!$A$5:$BV$587,'Afton FY16 Final'!$BV$587,0),0)</f>
        <v>499580.71227264468</v>
      </c>
      <c r="DX357" s="636">
        <f t="shared" si="842"/>
        <v>561925.16112463619</v>
      </c>
      <c r="DY357" s="637">
        <f t="shared" si="843"/>
        <v>62344.448851991503</v>
      </c>
      <c r="DZ357" s="637">
        <f t="shared" si="844"/>
        <v>499580.71227264468</v>
      </c>
      <c r="EA357" s="643">
        <f t="shared" si="845"/>
        <v>532037.04027339211</v>
      </c>
      <c r="EB357" s="637">
        <f t="shared" si="855"/>
        <v>0</v>
      </c>
      <c r="EC357" s="637">
        <f t="shared" si="856"/>
        <v>532037.04027339211</v>
      </c>
      <c r="ED357" s="637">
        <f t="shared" si="857"/>
        <v>530450.53758601879</v>
      </c>
      <c r="EE357" s="643">
        <f t="shared" si="858"/>
        <v>530450.53758601879</v>
      </c>
      <c r="EF357" s="637">
        <f t="shared" si="859"/>
        <v>0</v>
      </c>
      <c r="EG357" s="637">
        <f t="shared" si="860"/>
        <v>530450.53758601879</v>
      </c>
      <c r="EH357" s="637">
        <f t="shared" si="861"/>
        <v>530449.9903409041</v>
      </c>
      <c r="EI357" s="643">
        <f t="shared" si="862"/>
        <v>530449.9903409041</v>
      </c>
      <c r="EJ357" s="637">
        <f t="shared" si="863"/>
        <v>0</v>
      </c>
      <c r="EK357" s="637">
        <f t="shared" si="864"/>
        <v>530449.9903409041</v>
      </c>
      <c r="EL357" s="637">
        <f t="shared" si="865"/>
        <v>530449.99034090328</v>
      </c>
      <c r="EM357" s="643">
        <f t="shared" si="866"/>
        <v>530449.99034090328</v>
      </c>
      <c r="EN357" s="637">
        <f t="shared" si="867"/>
        <v>0</v>
      </c>
      <c r="EO357" s="637">
        <f t="shared" si="868"/>
        <v>530449.99034090328</v>
      </c>
      <c r="EP357" s="637">
        <f t="shared" si="869"/>
        <v>530449.9903409041</v>
      </c>
      <c r="EQ357" s="643">
        <f t="shared" si="870"/>
        <v>530449.9903409041</v>
      </c>
      <c r="ER357" s="637">
        <f t="shared" si="871"/>
        <v>0</v>
      </c>
      <c r="ES357" s="637">
        <f t="shared" si="872"/>
        <v>530449.9903409041</v>
      </c>
      <c r="ET357" s="637">
        <f t="shared" si="873"/>
        <v>530449.99034090328</v>
      </c>
      <c r="EU357" s="643">
        <f t="shared" si="846"/>
        <v>530449.99034090328</v>
      </c>
      <c r="EV357" s="643">
        <f t="shared" si="847"/>
        <v>0</v>
      </c>
      <c r="EX357" s="829">
        <f t="shared" si="848"/>
        <v>31475.170783732901</v>
      </c>
      <c r="EY357" s="638">
        <f t="shared" si="849"/>
        <v>530449.99034090328</v>
      </c>
      <c r="FC357" s="830" t="str">
        <f t="shared" si="874"/>
        <v>N</v>
      </c>
      <c r="FE357" s="830" t="str">
        <f>IFERROR(VLOOKUP($B357,'Historical Conc Grant Elig'!$B$3:$J$707,'HH &amp; SI'!FE$2,0),"N")</f>
        <v>N</v>
      </c>
      <c r="FF357" s="830" t="str">
        <f>IFERROR(VLOOKUP($B357,'Historical Conc Grant Elig'!$B$3:$J$707,'HH &amp; SI'!FF$2,0),"N")</f>
        <v>N</v>
      </c>
      <c r="FG357" s="830" t="str">
        <f>IFERROR(VLOOKUP($B357,'Historical Conc Grant Elig'!$B$3:$J$707,'HH &amp; SI'!FG$2,0),"N")</f>
        <v>N</v>
      </c>
      <c r="FH357" s="830" t="str">
        <f>IFERROR(VLOOKUP($B357,'Historical Conc Grant Elig'!$B$3:$J$707,'HH &amp; SI'!FH$2,0),"N")</f>
        <v>N</v>
      </c>
      <c r="FI357" s="830" t="str">
        <f>IFERROR(VLOOKUP($B357,'Historical Conc Grant Elig'!$B$3:$J$707,'HH &amp; SI'!FI$2,0),"N")</f>
        <v>N</v>
      </c>
      <c r="FJ357" s="830" t="str">
        <f>IFERROR(VLOOKUP($B357,'Historical Conc Grant Elig'!$B$3:$J$707,'HH &amp; SI'!FJ$2,0),"N")</f>
        <v>N</v>
      </c>
      <c r="FK357" s="830" t="str">
        <f>IFERROR(VLOOKUP($B357,'Historical Conc Grant Elig'!$B$3:$J$707,'HH &amp; SI'!FK$2,0),"N")</f>
        <v>N</v>
      </c>
      <c r="FL357" s="957" t="str">
        <f>IFERROR(VLOOKUP($B357,'Historical Conc Grant Elig'!$B$3:$J$707,'HH &amp; SI'!FL$2,0),"N")</f>
        <v>N</v>
      </c>
    </row>
    <row r="358" spans="2:168" x14ac:dyDescent="0.25">
      <c r="B358" s="634">
        <v>100230000</v>
      </c>
      <c r="C358" s="635" t="str">
        <f>VLOOKUP($B358,'Afton Update'!$A$5:$CR$582,'Afton Update'!D$589,0)</f>
        <v>Sahuarita Unified District</v>
      </c>
      <c r="D358" s="636">
        <f>IFERROR(VLOOKUP($B358,'Afton FY16 Final'!$A$5:$BV$587,'Afton FY16 Final'!AQ$587,0),0)</f>
        <v>289727.80053409358</v>
      </c>
      <c r="E358" s="637">
        <f>IFERROR(VLOOKUP($B358,'Afton FY16 Final'!$A$5:$BV$587,'Afton FY16 Final'!AR$587,0),0)</f>
        <v>0</v>
      </c>
      <c r="F358" s="637">
        <f>IFERROR(VLOOKUP($B358,'Afton FY16 Final'!$A$5:$BV$587,'Afton FY16 Final'!AS$587,0),0)</f>
        <v>81616.459086000294</v>
      </c>
      <c r="G358" s="637">
        <f>IFERROR(VLOOKUP($B358,'Afton FY16 Final'!$A$5:$BV$587,'Afton FY16 Final'!AT$587,0),0)</f>
        <v>65657.76636372348</v>
      </c>
      <c r="H358" s="638">
        <f>IFERROR(VLOOKUP($B358,'Afton FY16 Final'!$A$5:$BV$587,'Afton FY16 Final'!AU$587,0),0)</f>
        <v>437002.02598381735</v>
      </c>
      <c r="I358" s="639" t="str">
        <f>VLOOKUP($B358,'Afton Update'!$A$5:$CR$582,'Afton Update'!BT$589,0)</f>
        <v>Y</v>
      </c>
      <c r="J358" s="640" t="str">
        <f>VLOOKUP($B358,'Afton Update'!$A$5:$CR$582,'Afton Update'!BU$589,0)</f>
        <v>N</v>
      </c>
      <c r="K358" s="640" t="str">
        <f>VLOOKUP($B358,'Afton Update'!$A$5:$CR$582,'Afton Update'!BV$589,0)</f>
        <v>Y</v>
      </c>
      <c r="L358" s="641" t="str">
        <f>VLOOKUP($B358,'Afton Update'!$A$5:$CR$582,'Afton Update'!BW$589,0)</f>
        <v>Y</v>
      </c>
      <c r="N358" s="642">
        <f>VLOOKUP($B358,'Afton Update'!$A$5:$CR$582,'Afton Update'!CB$589,0)</f>
        <v>0.85</v>
      </c>
      <c r="P358" s="636">
        <f>VLOOKUP($B358,'Afton Update'!$A$5:$CR$582,'Afton Update'!AH$589,0)</f>
        <v>320259.12827388832</v>
      </c>
      <c r="Q358" s="637" t="str">
        <f>VLOOKUP($B358,'Afton Update'!$A$5:$CR$582,'Afton Update'!AI$589,0)</f>
        <v/>
      </c>
      <c r="R358" s="637">
        <f>VLOOKUP($B358,'Afton Update'!$A$5:$CR$582,'Afton Update'!AJ$589,0)</f>
        <v>101323.95425861518</v>
      </c>
      <c r="S358" s="637">
        <f>VLOOKUP($B358,'Afton Update'!$A$5:$CR$582,'Afton Update'!AK$589,0)</f>
        <v>78602.50228292105</v>
      </c>
      <c r="T358" s="643">
        <f t="shared" si="875"/>
        <v>500185.58481542458</v>
      </c>
      <c r="V358" s="636">
        <f t="shared" si="1024"/>
        <v>315890.58589566936</v>
      </c>
      <c r="W358" s="637">
        <f t="shared" si="1025"/>
        <v>0</v>
      </c>
      <c r="X358" s="637">
        <f t="shared" si="1026"/>
        <v>100402.45245507521</v>
      </c>
      <c r="Y358" s="637">
        <f t="shared" si="1027"/>
        <v>77736.444199494974</v>
      </c>
      <c r="Z358" s="643">
        <f t="shared" si="1028"/>
        <v>494029.48255023954</v>
      </c>
      <c r="AB358" s="644">
        <f t="shared" si="876"/>
        <v>320259.12827388832</v>
      </c>
      <c r="AC358" s="645">
        <f t="shared" si="850"/>
        <v>246268.63045397954</v>
      </c>
      <c r="AD358" s="644">
        <f t="shared" si="1029"/>
        <v>0</v>
      </c>
      <c r="AE358" s="645">
        <f t="shared" si="1030"/>
        <v>320259.12827388832</v>
      </c>
      <c r="AF358" s="646">
        <f t="shared" si="1031"/>
        <v>-3969.8525632832707</v>
      </c>
      <c r="AG358" s="647">
        <f t="shared" si="1032"/>
        <v>316289.27571060503</v>
      </c>
      <c r="AH358" s="644">
        <f t="shared" si="877"/>
        <v>0</v>
      </c>
      <c r="AI358" s="645">
        <f t="shared" si="878"/>
        <v>316289.27571060503</v>
      </c>
      <c r="AJ358" s="646">
        <f t="shared" si="1033"/>
        <v>-398.43581087911269</v>
      </c>
      <c r="AK358" s="647">
        <f t="shared" si="879"/>
        <v>315890.83989972592</v>
      </c>
      <c r="AL358" s="644">
        <f t="shared" si="1034"/>
        <v>0</v>
      </c>
      <c r="AM358" s="645">
        <f t="shared" si="1035"/>
        <v>315890.83989972592</v>
      </c>
      <c r="AN358" s="646">
        <f t="shared" si="1036"/>
        <v>-0.25400405654880398</v>
      </c>
      <c r="AO358" s="647">
        <f t="shared" si="880"/>
        <v>315890.58589566936</v>
      </c>
      <c r="AP358" s="644">
        <f t="shared" si="1037"/>
        <v>0</v>
      </c>
      <c r="AQ358" s="645">
        <f t="shared" si="1038"/>
        <v>315890.58589566936</v>
      </c>
      <c r="AR358" s="646">
        <f t="shared" si="1039"/>
        <v>0</v>
      </c>
      <c r="AS358" s="647">
        <f t="shared" si="881"/>
        <v>315890.58589566936</v>
      </c>
      <c r="AT358" s="644">
        <f t="shared" si="1040"/>
        <v>0</v>
      </c>
      <c r="AU358" s="645">
        <f t="shared" si="1041"/>
        <v>315890.58589566936</v>
      </c>
      <c r="AV358" s="646">
        <f t="shared" si="1042"/>
        <v>0</v>
      </c>
      <c r="AW358" s="647">
        <f t="shared" si="882"/>
        <v>315890.58589566936</v>
      </c>
      <c r="AY358" s="644">
        <f t="shared" si="1043"/>
        <v>0</v>
      </c>
      <c r="AZ358" s="645">
        <f t="shared" si="851"/>
        <v>0</v>
      </c>
      <c r="BA358" s="644">
        <f t="shared" si="1044"/>
        <v>0</v>
      </c>
      <c r="BB358" s="645">
        <f t="shared" si="1045"/>
        <v>0</v>
      </c>
      <c r="BC358" s="646">
        <f t="shared" si="1046"/>
        <v>0</v>
      </c>
      <c r="BD358" s="647">
        <f t="shared" si="1047"/>
        <v>0</v>
      </c>
      <c r="BE358" s="644">
        <f t="shared" si="883"/>
        <v>0</v>
      </c>
      <c r="BF358" s="645">
        <f t="shared" si="884"/>
        <v>0</v>
      </c>
      <c r="BG358" s="646">
        <f t="shared" si="1048"/>
        <v>0</v>
      </c>
      <c r="BH358" s="647">
        <f t="shared" si="885"/>
        <v>0</v>
      </c>
      <c r="BI358" s="644">
        <f t="shared" si="1049"/>
        <v>0</v>
      </c>
      <c r="BJ358" s="645">
        <f t="shared" si="1050"/>
        <v>0</v>
      </c>
      <c r="BK358" s="646">
        <f t="shared" si="1051"/>
        <v>0</v>
      </c>
      <c r="BL358" s="647">
        <f t="shared" si="886"/>
        <v>0</v>
      </c>
      <c r="BM358" s="644">
        <f t="shared" si="1052"/>
        <v>0</v>
      </c>
      <c r="BN358" s="645">
        <f t="shared" si="1053"/>
        <v>0</v>
      </c>
      <c r="BO358" s="646">
        <f t="shared" si="1054"/>
        <v>0</v>
      </c>
      <c r="BP358" s="647">
        <f t="shared" si="887"/>
        <v>0</v>
      </c>
      <c r="BQ358" s="644">
        <f t="shared" si="1055"/>
        <v>0</v>
      </c>
      <c r="BR358" s="645">
        <f t="shared" si="1056"/>
        <v>0</v>
      </c>
      <c r="BS358" s="646">
        <f t="shared" si="1057"/>
        <v>0</v>
      </c>
      <c r="BT358" s="647">
        <f t="shared" si="888"/>
        <v>0</v>
      </c>
      <c r="BU358" s="662">
        <f>VLOOKUP(B358,'Afton Update'!$A$5:$AR$582,'Afton Update'!$AO$589,0)-BT358</f>
        <v>0</v>
      </c>
      <c r="BV358" s="644">
        <f t="shared" si="1058"/>
        <v>101323.95425861518</v>
      </c>
      <c r="BW358" s="645">
        <f t="shared" si="852"/>
        <v>69373.990223100249</v>
      </c>
      <c r="BX358" s="644">
        <f t="shared" si="1059"/>
        <v>0</v>
      </c>
      <c r="BY358" s="645">
        <f t="shared" si="1060"/>
        <v>101323.95425861518</v>
      </c>
      <c r="BZ358" s="646">
        <f t="shared" si="1061"/>
        <v>-889.33111917033511</v>
      </c>
      <c r="CA358" s="647">
        <f t="shared" si="1062"/>
        <v>100434.62313944484</v>
      </c>
      <c r="CB358" s="644">
        <f t="shared" si="889"/>
        <v>0</v>
      </c>
      <c r="CC358" s="645">
        <f t="shared" si="890"/>
        <v>100434.62313944484</v>
      </c>
      <c r="CD358" s="646">
        <f t="shared" si="1063"/>
        <v>-32.170684369625924</v>
      </c>
      <c r="CE358" s="647">
        <f t="shared" si="891"/>
        <v>100402.45245507521</v>
      </c>
      <c r="CF358" s="644">
        <f t="shared" si="1064"/>
        <v>0</v>
      </c>
      <c r="CG358" s="645">
        <f t="shared" si="1065"/>
        <v>100402.45245507521</v>
      </c>
      <c r="CH358" s="646">
        <f t="shared" si="1066"/>
        <v>0</v>
      </c>
      <c r="CI358" s="647">
        <f t="shared" si="892"/>
        <v>100402.45245507521</v>
      </c>
      <c r="CJ358" s="644">
        <f t="shared" si="1067"/>
        <v>0</v>
      </c>
      <c r="CK358" s="645">
        <f t="shared" si="1068"/>
        <v>100402.45245507521</v>
      </c>
      <c r="CL358" s="646">
        <f t="shared" si="1069"/>
        <v>0</v>
      </c>
      <c r="CM358" s="647">
        <f t="shared" si="893"/>
        <v>100402.45245507521</v>
      </c>
      <c r="CN358" s="644">
        <f t="shared" si="1070"/>
        <v>0</v>
      </c>
      <c r="CO358" s="645">
        <f t="shared" si="1071"/>
        <v>100402.45245507521</v>
      </c>
      <c r="CP358" s="646">
        <f t="shared" si="1072"/>
        <v>0</v>
      </c>
      <c r="CQ358" s="647">
        <f t="shared" si="894"/>
        <v>100402.45245507521</v>
      </c>
      <c r="CS358" s="644">
        <f t="shared" si="1073"/>
        <v>78602.50228292105</v>
      </c>
      <c r="CT358" s="645">
        <f t="shared" si="853"/>
        <v>55809.101409164956</v>
      </c>
      <c r="CU358" s="644">
        <f t="shared" si="1074"/>
        <v>0</v>
      </c>
      <c r="CV358" s="645">
        <f t="shared" si="1075"/>
        <v>78602.50228292105</v>
      </c>
      <c r="CW358" s="646">
        <f t="shared" si="1076"/>
        <v>-804.93404337849654</v>
      </c>
      <c r="CX358" s="647">
        <f t="shared" si="1077"/>
        <v>77797.568239542554</v>
      </c>
      <c r="CY358" s="644">
        <f t="shared" si="895"/>
        <v>0</v>
      </c>
      <c r="CZ358" s="645">
        <f t="shared" si="896"/>
        <v>77797.568239542554</v>
      </c>
      <c r="DA358" s="646">
        <f t="shared" si="1078"/>
        <v>-61.071373594442321</v>
      </c>
      <c r="DB358" s="647">
        <f t="shared" si="897"/>
        <v>77736.496865948109</v>
      </c>
      <c r="DC358" s="644">
        <f t="shared" si="1079"/>
        <v>0</v>
      </c>
      <c r="DD358" s="645">
        <f t="shared" si="1080"/>
        <v>77736.496865948109</v>
      </c>
      <c r="DE358" s="646">
        <f t="shared" si="1081"/>
        <v>-5.2666453140847995E-2</v>
      </c>
      <c r="DF358" s="647">
        <f t="shared" si="898"/>
        <v>77736.444199494974</v>
      </c>
      <c r="DG358" s="644">
        <f t="shared" si="1082"/>
        <v>0</v>
      </c>
      <c r="DH358" s="645">
        <f t="shared" si="1083"/>
        <v>77736.444199494974</v>
      </c>
      <c r="DI358" s="646">
        <f t="shared" si="1084"/>
        <v>0</v>
      </c>
      <c r="DJ358" s="647">
        <f t="shared" si="899"/>
        <v>77736.444199494974</v>
      </c>
      <c r="DK358" s="644">
        <f t="shared" si="1085"/>
        <v>0</v>
      </c>
      <c r="DL358" s="645">
        <f t="shared" si="1086"/>
        <v>77736.444199494974</v>
      </c>
      <c r="DM358" s="646">
        <f t="shared" si="1087"/>
        <v>0</v>
      </c>
      <c r="DN358" s="647">
        <f t="shared" si="900"/>
        <v>77736.444199494974</v>
      </c>
      <c r="DR358" s="827">
        <f t="shared" si="854"/>
        <v>494029.48255023954</v>
      </c>
      <c r="DV358" s="828">
        <f>IFERROR(VLOOKUP($B358,'Afton FY16 Final'!$A$5:$BV$587,'Afton FY16 Final'!$BV$587,0),0)</f>
        <v>428397.45616456732</v>
      </c>
      <c r="DX358" s="636">
        <f t="shared" si="842"/>
        <v>494029.48255023954</v>
      </c>
      <c r="DY358" s="637">
        <f t="shared" si="843"/>
        <v>65632.026385672216</v>
      </c>
      <c r="DZ358" s="637">
        <f t="shared" si="844"/>
        <v>428397.45616456732</v>
      </c>
      <c r="EA358" s="643">
        <f t="shared" si="845"/>
        <v>467752.65086506051</v>
      </c>
      <c r="EB358" s="637">
        <f t="shared" si="855"/>
        <v>0</v>
      </c>
      <c r="EC358" s="637">
        <f t="shared" si="856"/>
        <v>467752.65086506051</v>
      </c>
      <c r="ED358" s="637">
        <f t="shared" si="857"/>
        <v>466357.84038862801</v>
      </c>
      <c r="EE358" s="643">
        <f t="shared" si="858"/>
        <v>466357.84038862801</v>
      </c>
      <c r="EF358" s="637">
        <f t="shared" si="859"/>
        <v>0</v>
      </c>
      <c r="EG358" s="637">
        <f t="shared" si="860"/>
        <v>466357.84038862801</v>
      </c>
      <c r="EH358" s="637">
        <f t="shared" si="861"/>
        <v>466357.35926544736</v>
      </c>
      <c r="EI358" s="643">
        <f t="shared" si="862"/>
        <v>466357.35926544736</v>
      </c>
      <c r="EJ358" s="637">
        <f t="shared" si="863"/>
        <v>0</v>
      </c>
      <c r="EK358" s="637">
        <f t="shared" si="864"/>
        <v>466357.35926544736</v>
      </c>
      <c r="EL358" s="637">
        <f t="shared" si="865"/>
        <v>466357.35926544672</v>
      </c>
      <c r="EM358" s="643">
        <f t="shared" si="866"/>
        <v>466357.35926544672</v>
      </c>
      <c r="EN358" s="637">
        <f t="shared" si="867"/>
        <v>0</v>
      </c>
      <c r="EO358" s="637">
        <f t="shared" si="868"/>
        <v>466357.35926544672</v>
      </c>
      <c r="EP358" s="637">
        <f t="shared" si="869"/>
        <v>466357.35926544742</v>
      </c>
      <c r="EQ358" s="643">
        <f t="shared" si="870"/>
        <v>466357.35926544742</v>
      </c>
      <c r="ER358" s="637">
        <f t="shared" si="871"/>
        <v>0</v>
      </c>
      <c r="ES358" s="637">
        <f t="shared" si="872"/>
        <v>466357.35926544742</v>
      </c>
      <c r="ET358" s="637">
        <f t="shared" si="873"/>
        <v>466357.35926544672</v>
      </c>
      <c r="EU358" s="643">
        <f t="shared" si="846"/>
        <v>466357.35926544672</v>
      </c>
      <c r="EV358" s="643">
        <f t="shared" si="847"/>
        <v>0</v>
      </c>
      <c r="EX358" s="829">
        <f t="shared" si="848"/>
        <v>27672.123284792819</v>
      </c>
      <c r="EY358" s="638">
        <f t="shared" si="849"/>
        <v>466357.35926544672</v>
      </c>
      <c r="FC358" s="830" t="str">
        <f t="shared" si="874"/>
        <v>N</v>
      </c>
      <c r="FE358" s="830" t="str">
        <f>IFERROR(VLOOKUP($B358,'Historical Conc Grant Elig'!$B$3:$J$707,'HH &amp; SI'!FE$2,0),"N")</f>
        <v>Y</v>
      </c>
      <c r="FF358" s="830" t="str">
        <f>IFERROR(VLOOKUP($B358,'Historical Conc Grant Elig'!$B$3:$J$707,'HH &amp; SI'!FF$2,0),"N")</f>
        <v>N</v>
      </c>
      <c r="FG358" s="830" t="str">
        <f>IFERROR(VLOOKUP($B358,'Historical Conc Grant Elig'!$B$3:$J$707,'HH &amp; SI'!FG$2,0),"N")</f>
        <v>N</v>
      </c>
      <c r="FH358" s="830" t="str">
        <f>IFERROR(VLOOKUP($B358,'Historical Conc Grant Elig'!$B$3:$J$707,'HH &amp; SI'!FH$2,0),"N")</f>
        <v>N</v>
      </c>
      <c r="FI358" s="830" t="str">
        <f>IFERROR(VLOOKUP($B358,'Historical Conc Grant Elig'!$B$3:$J$707,'HH &amp; SI'!FI$2,0),"N")</f>
        <v>N</v>
      </c>
      <c r="FJ358" s="830" t="str">
        <f>IFERROR(VLOOKUP($B358,'Historical Conc Grant Elig'!$B$3:$J$707,'HH &amp; SI'!FJ$2,0),"N")</f>
        <v>N</v>
      </c>
      <c r="FK358" s="830" t="str">
        <f>IFERROR(VLOOKUP($B358,'Historical Conc Grant Elig'!$B$3:$J$707,'HH &amp; SI'!FK$2,0),"N")</f>
        <v>N</v>
      </c>
      <c r="FL358" s="957" t="str">
        <f>IFERROR(VLOOKUP($B358,'Historical Conc Grant Elig'!$B$3:$J$707,'HH &amp; SI'!FL$2,0),"N")</f>
        <v>N</v>
      </c>
    </row>
    <row r="359" spans="2:168" x14ac:dyDescent="0.25">
      <c r="B359" s="634">
        <v>100240000</v>
      </c>
      <c r="C359" s="635" t="str">
        <f>VLOOKUP($B359,'Afton Update'!$A$5:$CR$582,'Afton Update'!D$589,0)</f>
        <v>Baboquivari Unified School District #40</v>
      </c>
      <c r="D359" s="636">
        <f>IFERROR(VLOOKUP($B359,'Afton FY16 Final'!$A$5:$BV$587,'Afton FY16 Final'!AQ$587,0),0)</f>
        <v>542742.82848118665</v>
      </c>
      <c r="E359" s="637">
        <f>IFERROR(VLOOKUP($B359,'Afton FY16 Final'!$A$5:$BV$587,'Afton FY16 Final'!AR$587,0),0)</f>
        <v>134222.89139486622</v>
      </c>
      <c r="F359" s="637">
        <f>IFERROR(VLOOKUP($B359,'Afton FY16 Final'!$A$5:$BV$587,'Afton FY16 Final'!AS$587,0),0)</f>
        <v>397770.60841040284</v>
      </c>
      <c r="G359" s="637">
        <f>IFERROR(VLOOKUP($B359,'Afton FY16 Final'!$A$5:$BV$587,'Afton FY16 Final'!AT$587,0),0)</f>
        <v>465305.40958227176</v>
      </c>
      <c r="H359" s="638">
        <f>IFERROR(VLOOKUP($B359,'Afton FY16 Final'!$A$5:$BV$587,'Afton FY16 Final'!AU$587,0),0)</f>
        <v>1540041.7378687274</v>
      </c>
      <c r="I359" s="639" t="str">
        <f>VLOOKUP($B359,'Afton Update'!$A$5:$CR$582,'Afton Update'!BT$589,0)</f>
        <v>Y</v>
      </c>
      <c r="J359" s="640" t="str">
        <f>VLOOKUP($B359,'Afton Update'!$A$5:$CR$582,'Afton Update'!BU$589,0)</f>
        <v>Y</v>
      </c>
      <c r="K359" s="640" t="str">
        <f>VLOOKUP($B359,'Afton Update'!$A$5:$CR$582,'Afton Update'!BV$589,0)</f>
        <v>Y</v>
      </c>
      <c r="L359" s="641" t="str">
        <f>VLOOKUP($B359,'Afton Update'!$A$5:$CR$582,'Afton Update'!BW$589,0)</f>
        <v>Y</v>
      </c>
      <c r="N359" s="642">
        <f>VLOOKUP($B359,'Afton Update'!$A$5:$CR$582,'Afton Update'!CB$589,0)</f>
        <v>0.95</v>
      </c>
      <c r="P359" s="636">
        <f>VLOOKUP($B359,'Afton Update'!$A$5:$CR$582,'Afton Update'!AH$589,0)</f>
        <v>515017.3769748187</v>
      </c>
      <c r="Q359" s="637">
        <f>VLOOKUP($B359,'Afton Update'!$A$5:$CR$582,'Afton Update'!AI$589,0)</f>
        <v>128421.07319249517</v>
      </c>
      <c r="R359" s="637">
        <f>VLOOKUP($B359,'Afton Update'!$A$5:$CR$582,'Afton Update'!AJ$589,0)</f>
        <v>376913.0670226012</v>
      </c>
      <c r="S359" s="637">
        <f>VLOOKUP($B359,'Afton Update'!$A$5:$CR$582,'Afton Update'!AK$589,0)</f>
        <v>441313.96413561632</v>
      </c>
      <c r="T359" s="643">
        <f t="shared" si="875"/>
        <v>1461665.4813255314</v>
      </c>
      <c r="V359" s="636">
        <f t="shared" si="1024"/>
        <v>515605.6870571273</v>
      </c>
      <c r="W359" s="637">
        <f t="shared" si="1025"/>
        <v>127511.7468251229</v>
      </c>
      <c r="X359" s="637">
        <f t="shared" si="1026"/>
        <v>377882.07798988267</v>
      </c>
      <c r="Y359" s="637">
        <f t="shared" si="1027"/>
        <v>442040.13910315814</v>
      </c>
      <c r="Z359" s="643">
        <f t="shared" si="1028"/>
        <v>1463039.6509752912</v>
      </c>
      <c r="AB359" s="644">
        <f t="shared" si="876"/>
        <v>515017.3769748187</v>
      </c>
      <c r="AC359" s="645">
        <f t="shared" si="850"/>
        <v>515605.6870571273</v>
      </c>
      <c r="AD359" s="644">
        <f t="shared" si="1029"/>
        <v>588.31008230859879</v>
      </c>
      <c r="AE359" s="645">
        <f t="shared" si="1030"/>
        <v>0</v>
      </c>
      <c r="AF359" s="646">
        <f t="shared" si="1031"/>
        <v>0</v>
      </c>
      <c r="AG359" s="647">
        <f t="shared" si="1032"/>
        <v>515605.6870571273</v>
      </c>
      <c r="AH359" s="644">
        <f t="shared" si="877"/>
        <v>0</v>
      </c>
      <c r="AI359" s="645">
        <f t="shared" si="878"/>
        <v>0</v>
      </c>
      <c r="AJ359" s="646">
        <f t="shared" si="1033"/>
        <v>0</v>
      </c>
      <c r="AK359" s="647">
        <f t="shared" si="879"/>
        <v>515605.6870571273</v>
      </c>
      <c r="AL359" s="644">
        <f t="shared" si="1034"/>
        <v>0</v>
      </c>
      <c r="AM359" s="645">
        <f t="shared" si="1035"/>
        <v>0</v>
      </c>
      <c r="AN359" s="646">
        <f t="shared" si="1036"/>
        <v>0</v>
      </c>
      <c r="AO359" s="647">
        <f t="shared" si="880"/>
        <v>515605.6870571273</v>
      </c>
      <c r="AP359" s="644">
        <f t="shared" si="1037"/>
        <v>0</v>
      </c>
      <c r="AQ359" s="645">
        <f t="shared" si="1038"/>
        <v>0</v>
      </c>
      <c r="AR359" s="646">
        <f t="shared" si="1039"/>
        <v>0</v>
      </c>
      <c r="AS359" s="647">
        <f t="shared" si="881"/>
        <v>515605.6870571273</v>
      </c>
      <c r="AT359" s="644">
        <f t="shared" si="1040"/>
        <v>0</v>
      </c>
      <c r="AU359" s="645">
        <f t="shared" si="1041"/>
        <v>0</v>
      </c>
      <c r="AV359" s="646">
        <f t="shared" si="1042"/>
        <v>0</v>
      </c>
      <c r="AW359" s="647">
        <f t="shared" si="882"/>
        <v>515605.6870571273</v>
      </c>
      <c r="AY359" s="644">
        <f t="shared" si="1043"/>
        <v>128421.07319249517</v>
      </c>
      <c r="AZ359" s="645">
        <f t="shared" si="851"/>
        <v>127511.7468251229</v>
      </c>
      <c r="BA359" s="644">
        <f t="shared" si="1044"/>
        <v>0</v>
      </c>
      <c r="BB359" s="645">
        <f t="shared" si="1045"/>
        <v>128421.07319249517</v>
      </c>
      <c r="BC359" s="646">
        <f t="shared" si="1046"/>
        <v>-923.51336313764637</v>
      </c>
      <c r="BD359" s="647">
        <f t="shared" si="1047"/>
        <v>127497.55982935752</v>
      </c>
      <c r="BE359" s="644">
        <f t="shared" si="883"/>
        <v>-14.186995765383472</v>
      </c>
      <c r="BF359" s="645">
        <f t="shared" si="884"/>
        <v>0</v>
      </c>
      <c r="BG359" s="646">
        <f t="shared" si="1048"/>
        <v>0</v>
      </c>
      <c r="BH359" s="647">
        <f t="shared" si="885"/>
        <v>127511.7468251229</v>
      </c>
      <c r="BI359" s="644">
        <f t="shared" si="1049"/>
        <v>0</v>
      </c>
      <c r="BJ359" s="645">
        <f t="shared" si="1050"/>
        <v>0</v>
      </c>
      <c r="BK359" s="646">
        <f t="shared" si="1051"/>
        <v>0</v>
      </c>
      <c r="BL359" s="647">
        <f t="shared" si="886"/>
        <v>127511.7468251229</v>
      </c>
      <c r="BM359" s="644">
        <f t="shared" si="1052"/>
        <v>0</v>
      </c>
      <c r="BN359" s="645">
        <f t="shared" si="1053"/>
        <v>0</v>
      </c>
      <c r="BO359" s="646">
        <f t="shared" si="1054"/>
        <v>0</v>
      </c>
      <c r="BP359" s="647">
        <f t="shared" si="887"/>
        <v>127511.7468251229</v>
      </c>
      <c r="BQ359" s="644">
        <f t="shared" si="1055"/>
        <v>0</v>
      </c>
      <c r="BR359" s="645">
        <f t="shared" si="1056"/>
        <v>0</v>
      </c>
      <c r="BS359" s="646">
        <f t="shared" si="1057"/>
        <v>0</v>
      </c>
      <c r="BT359" s="647">
        <f t="shared" si="888"/>
        <v>127511.7468251229</v>
      </c>
      <c r="BU359" s="662">
        <f>VLOOKUP(B359,'Afton Update'!$A$5:$AR$582,'Afton Update'!$AO$589,0)-BT359</f>
        <v>0</v>
      </c>
      <c r="BV359" s="644">
        <f t="shared" si="1058"/>
        <v>376913.0670226012</v>
      </c>
      <c r="BW359" s="645">
        <f t="shared" si="852"/>
        <v>377882.07798988267</v>
      </c>
      <c r="BX359" s="644">
        <f t="shared" si="1059"/>
        <v>969.0109672814724</v>
      </c>
      <c r="BY359" s="645">
        <f t="shared" si="1060"/>
        <v>0</v>
      </c>
      <c r="BZ359" s="646">
        <f t="shared" si="1061"/>
        <v>0</v>
      </c>
      <c r="CA359" s="647">
        <f t="shared" si="1062"/>
        <v>377882.07798988267</v>
      </c>
      <c r="CB359" s="644">
        <f t="shared" si="889"/>
        <v>0</v>
      </c>
      <c r="CC359" s="645">
        <f t="shared" si="890"/>
        <v>0</v>
      </c>
      <c r="CD359" s="646">
        <f t="shared" si="1063"/>
        <v>0</v>
      </c>
      <c r="CE359" s="647">
        <f t="shared" si="891"/>
        <v>377882.07798988267</v>
      </c>
      <c r="CF359" s="644">
        <f t="shared" si="1064"/>
        <v>0</v>
      </c>
      <c r="CG359" s="645">
        <f t="shared" si="1065"/>
        <v>0</v>
      </c>
      <c r="CH359" s="646">
        <f t="shared" si="1066"/>
        <v>0</v>
      </c>
      <c r="CI359" s="647">
        <f t="shared" si="892"/>
        <v>377882.07798988267</v>
      </c>
      <c r="CJ359" s="644">
        <f t="shared" si="1067"/>
        <v>0</v>
      </c>
      <c r="CK359" s="645">
        <f t="shared" si="1068"/>
        <v>0</v>
      </c>
      <c r="CL359" s="646">
        <f t="shared" si="1069"/>
        <v>0</v>
      </c>
      <c r="CM359" s="647">
        <f t="shared" si="893"/>
        <v>377882.07798988267</v>
      </c>
      <c r="CN359" s="644">
        <f t="shared" si="1070"/>
        <v>0</v>
      </c>
      <c r="CO359" s="645">
        <f t="shared" si="1071"/>
        <v>0</v>
      </c>
      <c r="CP359" s="646">
        <f t="shared" si="1072"/>
        <v>0</v>
      </c>
      <c r="CQ359" s="647">
        <f t="shared" si="894"/>
        <v>377882.07798988267</v>
      </c>
      <c r="CS359" s="644">
        <f t="shared" si="1073"/>
        <v>441313.96413561632</v>
      </c>
      <c r="CT359" s="645">
        <f t="shared" si="853"/>
        <v>442040.13910315814</v>
      </c>
      <c r="CU359" s="644">
        <f t="shared" si="1074"/>
        <v>726.17496754182503</v>
      </c>
      <c r="CV359" s="645">
        <f t="shared" si="1075"/>
        <v>0</v>
      </c>
      <c r="CW359" s="646">
        <f t="shared" si="1076"/>
        <v>0</v>
      </c>
      <c r="CX359" s="647">
        <f t="shared" si="1077"/>
        <v>442040.13910315814</v>
      </c>
      <c r="CY359" s="644">
        <f t="shared" si="895"/>
        <v>0</v>
      </c>
      <c r="CZ359" s="645">
        <f t="shared" si="896"/>
        <v>0</v>
      </c>
      <c r="DA359" s="646">
        <f t="shared" si="1078"/>
        <v>0</v>
      </c>
      <c r="DB359" s="647">
        <f t="shared" si="897"/>
        <v>442040.13910315814</v>
      </c>
      <c r="DC359" s="644">
        <f t="shared" si="1079"/>
        <v>0</v>
      </c>
      <c r="DD359" s="645">
        <f t="shared" si="1080"/>
        <v>0</v>
      </c>
      <c r="DE359" s="646">
        <f t="shared" si="1081"/>
        <v>0</v>
      </c>
      <c r="DF359" s="647">
        <f t="shared" si="898"/>
        <v>442040.13910315814</v>
      </c>
      <c r="DG359" s="644">
        <f t="shared" si="1082"/>
        <v>0</v>
      </c>
      <c r="DH359" s="645">
        <f t="shared" si="1083"/>
        <v>0</v>
      </c>
      <c r="DI359" s="646">
        <f t="shared" si="1084"/>
        <v>0</v>
      </c>
      <c r="DJ359" s="647">
        <f t="shared" si="899"/>
        <v>442040.13910315814</v>
      </c>
      <c r="DK359" s="644">
        <f t="shared" si="1085"/>
        <v>0</v>
      </c>
      <c r="DL359" s="645">
        <f t="shared" si="1086"/>
        <v>0</v>
      </c>
      <c r="DM359" s="646">
        <f t="shared" si="1087"/>
        <v>0</v>
      </c>
      <c r="DN359" s="647">
        <f t="shared" si="900"/>
        <v>442040.13910315814</v>
      </c>
      <c r="DR359" s="827">
        <f t="shared" si="854"/>
        <v>1463039.6509752912</v>
      </c>
      <c r="DV359" s="828">
        <f>IFERROR(VLOOKUP($B359,'Afton FY16 Final'!$A$5:$BV$587,'Afton FY16 Final'!$BV$587,0),0)</f>
        <v>1509718.3163051365</v>
      </c>
      <c r="DX359" s="636">
        <f t="shared" si="842"/>
        <v>0</v>
      </c>
      <c r="DY359" s="637">
        <f t="shared" si="843"/>
        <v>0</v>
      </c>
      <c r="DZ359" s="637">
        <f t="shared" si="844"/>
        <v>0</v>
      </c>
      <c r="EA359" s="643">
        <f t="shared" si="845"/>
        <v>0</v>
      </c>
      <c r="EB359" s="637">
        <f t="shared" si="855"/>
        <v>0</v>
      </c>
      <c r="EC359" s="637">
        <f t="shared" si="856"/>
        <v>0</v>
      </c>
      <c r="ED359" s="637">
        <f t="shared" si="857"/>
        <v>0</v>
      </c>
      <c r="EE359" s="643">
        <f t="shared" si="858"/>
        <v>0</v>
      </c>
      <c r="EF359" s="637">
        <f t="shared" si="859"/>
        <v>0</v>
      </c>
      <c r="EG359" s="637">
        <f t="shared" si="860"/>
        <v>0</v>
      </c>
      <c r="EH359" s="637">
        <f t="shared" si="861"/>
        <v>0</v>
      </c>
      <c r="EI359" s="643">
        <f t="shared" si="862"/>
        <v>0</v>
      </c>
      <c r="EJ359" s="637">
        <f t="shared" si="863"/>
        <v>0</v>
      </c>
      <c r="EK359" s="637">
        <f t="shared" si="864"/>
        <v>0</v>
      </c>
      <c r="EL359" s="637">
        <f t="shared" si="865"/>
        <v>0</v>
      </c>
      <c r="EM359" s="643">
        <f t="shared" si="866"/>
        <v>0</v>
      </c>
      <c r="EN359" s="637">
        <f t="shared" si="867"/>
        <v>0</v>
      </c>
      <c r="EO359" s="637">
        <f t="shared" si="868"/>
        <v>0</v>
      </c>
      <c r="EP359" s="637">
        <f t="shared" si="869"/>
        <v>0</v>
      </c>
      <c r="EQ359" s="643">
        <f t="shared" si="870"/>
        <v>0</v>
      </c>
      <c r="ER359" s="637">
        <f t="shared" si="871"/>
        <v>0</v>
      </c>
      <c r="ES359" s="637">
        <f t="shared" si="872"/>
        <v>0</v>
      </c>
      <c r="ET359" s="637">
        <f t="shared" si="873"/>
        <v>0</v>
      </c>
      <c r="EU359" s="643">
        <f t="shared" si="846"/>
        <v>0</v>
      </c>
      <c r="EV359" s="643">
        <f t="shared" si="847"/>
        <v>0</v>
      </c>
      <c r="EX359" s="829">
        <f t="shared" si="848"/>
        <v>0</v>
      </c>
      <c r="EY359" s="638">
        <f t="shared" si="849"/>
        <v>1463039.6509752912</v>
      </c>
      <c r="FC359" s="830" t="str">
        <f t="shared" si="874"/>
        <v>Y</v>
      </c>
      <c r="FE359" s="830" t="str">
        <f>IFERROR(VLOOKUP($B359,'Historical Conc Grant Elig'!$B$3:$J$707,'HH &amp; SI'!FE$2,0),"N")</f>
        <v>Y</v>
      </c>
      <c r="FF359" s="830" t="str">
        <f>IFERROR(VLOOKUP($B359,'Historical Conc Grant Elig'!$B$3:$J$707,'HH &amp; SI'!FF$2,0),"N")</f>
        <v>Y</v>
      </c>
      <c r="FG359" s="830" t="str">
        <f>IFERROR(VLOOKUP($B359,'Historical Conc Grant Elig'!$B$3:$J$707,'HH &amp; SI'!FG$2,0),"N")</f>
        <v>Y</v>
      </c>
      <c r="FH359" s="830" t="str">
        <f>IFERROR(VLOOKUP($B359,'Historical Conc Grant Elig'!$B$3:$J$707,'HH &amp; SI'!FH$2,0),"N")</f>
        <v>Y</v>
      </c>
      <c r="FI359" s="830" t="str">
        <f>IFERROR(VLOOKUP($B359,'Historical Conc Grant Elig'!$B$3:$J$707,'HH &amp; SI'!FI$2,0),"N")</f>
        <v>Y</v>
      </c>
      <c r="FJ359" s="830" t="str">
        <f>IFERROR(VLOOKUP($B359,'Historical Conc Grant Elig'!$B$3:$J$707,'HH &amp; SI'!FJ$2,0),"N")</f>
        <v>Y</v>
      </c>
      <c r="FK359" s="830" t="str">
        <f>IFERROR(VLOOKUP($B359,'Historical Conc Grant Elig'!$B$3:$J$707,'HH &amp; SI'!FK$2,0),"N")</f>
        <v>Y</v>
      </c>
      <c r="FL359" s="957" t="str">
        <f>IFERROR(VLOOKUP($B359,'Historical Conc Grant Elig'!$B$3:$J$707,'HH &amp; SI'!FL$2,0),"N")</f>
        <v>Y</v>
      </c>
    </row>
    <row r="360" spans="2:168" x14ac:dyDescent="0.25">
      <c r="B360" s="634">
        <v>100335000</v>
      </c>
      <c r="C360" s="635" t="str">
        <f>VLOOKUP($B360,'Afton Update'!$A$5:$CR$582,'Afton Update'!D$589,0)</f>
        <v>San Fernando Elementary District</v>
      </c>
      <c r="D360" s="636">
        <f>IFERROR(VLOOKUP($B360,'Afton FY16 Final'!$A$5:$BV$587,'Afton FY16 Final'!AQ$587,0),0)</f>
        <v>0</v>
      </c>
      <c r="E360" s="637">
        <f>IFERROR(VLOOKUP($B360,'Afton FY16 Final'!$A$5:$BV$587,'Afton FY16 Final'!AR$587,0),0)</f>
        <v>0</v>
      </c>
      <c r="F360" s="637">
        <f>IFERROR(VLOOKUP($B360,'Afton FY16 Final'!$A$5:$BV$587,'Afton FY16 Final'!AS$587,0),0)</f>
        <v>0</v>
      </c>
      <c r="G360" s="637">
        <f>IFERROR(VLOOKUP($B360,'Afton FY16 Final'!$A$5:$BV$587,'Afton FY16 Final'!AT$587,0),0)</f>
        <v>0</v>
      </c>
      <c r="H360" s="638">
        <f>IFERROR(VLOOKUP($B360,'Afton FY16 Final'!$A$5:$BV$587,'Afton FY16 Final'!AU$587,0),0)</f>
        <v>0</v>
      </c>
      <c r="I360" s="639" t="str">
        <f>VLOOKUP($B360,'Afton Update'!$A$5:$CR$582,'Afton Update'!BT$589,0)</f>
        <v>N</v>
      </c>
      <c r="J360" s="640" t="str">
        <f>VLOOKUP($B360,'Afton Update'!$A$5:$CR$582,'Afton Update'!BU$589,0)</f>
        <v>N</v>
      </c>
      <c r="K360" s="640" t="str">
        <f>VLOOKUP($B360,'Afton Update'!$A$5:$CR$582,'Afton Update'!BV$589,0)</f>
        <v>N</v>
      </c>
      <c r="L360" s="641" t="str">
        <f>VLOOKUP($B360,'Afton Update'!$A$5:$CR$582,'Afton Update'!BW$589,0)</f>
        <v>N</v>
      </c>
      <c r="N360" s="642">
        <f>VLOOKUP($B360,'Afton Update'!$A$5:$CR$582,'Afton Update'!CB$589,0)</f>
        <v>0.85</v>
      </c>
      <c r="P360" s="636">
        <f>VLOOKUP($B360,'Afton Update'!$A$5:$CR$582,'Afton Update'!AH$589,0)</f>
        <v>0</v>
      </c>
      <c r="Q360" s="637">
        <f>VLOOKUP($B360,'Afton Update'!$A$5:$CR$582,'Afton Update'!AI$589,0)</f>
        <v>0</v>
      </c>
      <c r="R360" s="637">
        <f>VLOOKUP($B360,'Afton Update'!$A$5:$CR$582,'Afton Update'!AJ$589,0)</f>
        <v>0</v>
      </c>
      <c r="S360" s="637">
        <f>VLOOKUP($B360,'Afton Update'!$A$5:$CR$582,'Afton Update'!AK$589,0)</f>
        <v>0</v>
      </c>
      <c r="T360" s="643">
        <f t="shared" si="875"/>
        <v>0</v>
      </c>
      <c r="V360" s="636">
        <f t="shared" si="1024"/>
        <v>0</v>
      </c>
      <c r="W360" s="637">
        <f t="shared" si="1025"/>
        <v>0</v>
      </c>
      <c r="X360" s="637">
        <f t="shared" si="1026"/>
        <v>0</v>
      </c>
      <c r="Y360" s="637">
        <f t="shared" si="1027"/>
        <v>0</v>
      </c>
      <c r="Z360" s="643">
        <f t="shared" si="1028"/>
        <v>0</v>
      </c>
      <c r="AB360" s="644">
        <f t="shared" si="876"/>
        <v>0</v>
      </c>
      <c r="AC360" s="645">
        <f t="shared" si="850"/>
        <v>0</v>
      </c>
      <c r="AD360" s="644">
        <f t="shared" si="1029"/>
        <v>0</v>
      </c>
      <c r="AE360" s="645">
        <f t="shared" si="1030"/>
        <v>0</v>
      </c>
      <c r="AF360" s="646">
        <f t="shared" si="1031"/>
        <v>0</v>
      </c>
      <c r="AG360" s="647">
        <f t="shared" si="1032"/>
        <v>0</v>
      </c>
      <c r="AH360" s="644">
        <f t="shared" si="877"/>
        <v>0</v>
      </c>
      <c r="AI360" s="645">
        <f t="shared" si="878"/>
        <v>0</v>
      </c>
      <c r="AJ360" s="646">
        <f t="shared" si="1033"/>
        <v>0</v>
      </c>
      <c r="AK360" s="647">
        <f t="shared" si="879"/>
        <v>0</v>
      </c>
      <c r="AL360" s="644">
        <f t="shared" si="1034"/>
        <v>0</v>
      </c>
      <c r="AM360" s="645">
        <f t="shared" si="1035"/>
        <v>0</v>
      </c>
      <c r="AN360" s="646">
        <f t="shared" si="1036"/>
        <v>0</v>
      </c>
      <c r="AO360" s="647">
        <f t="shared" si="880"/>
        <v>0</v>
      </c>
      <c r="AP360" s="644">
        <f t="shared" si="1037"/>
        <v>0</v>
      </c>
      <c r="AQ360" s="645">
        <f t="shared" si="1038"/>
        <v>0</v>
      </c>
      <c r="AR360" s="646">
        <f t="shared" si="1039"/>
        <v>0</v>
      </c>
      <c r="AS360" s="647">
        <f t="shared" si="881"/>
        <v>0</v>
      </c>
      <c r="AT360" s="644">
        <f t="shared" si="1040"/>
        <v>0</v>
      </c>
      <c r="AU360" s="645">
        <f t="shared" si="1041"/>
        <v>0</v>
      </c>
      <c r="AV360" s="646">
        <f t="shared" si="1042"/>
        <v>0</v>
      </c>
      <c r="AW360" s="647">
        <f t="shared" si="882"/>
        <v>0</v>
      </c>
      <c r="AY360" s="644">
        <f t="shared" si="1043"/>
        <v>0</v>
      </c>
      <c r="AZ360" s="645">
        <f t="shared" si="851"/>
        <v>0</v>
      </c>
      <c r="BA360" s="644">
        <f t="shared" si="1044"/>
        <v>0</v>
      </c>
      <c r="BB360" s="645">
        <f t="shared" si="1045"/>
        <v>0</v>
      </c>
      <c r="BC360" s="646">
        <f t="shared" si="1046"/>
        <v>0</v>
      </c>
      <c r="BD360" s="647">
        <f t="shared" si="1047"/>
        <v>0</v>
      </c>
      <c r="BE360" s="644">
        <f t="shared" si="883"/>
        <v>0</v>
      </c>
      <c r="BF360" s="645">
        <f t="shared" si="884"/>
        <v>0</v>
      </c>
      <c r="BG360" s="646">
        <f t="shared" si="1048"/>
        <v>0</v>
      </c>
      <c r="BH360" s="647">
        <f t="shared" si="885"/>
        <v>0</v>
      </c>
      <c r="BI360" s="644">
        <f t="shared" si="1049"/>
        <v>0</v>
      </c>
      <c r="BJ360" s="645">
        <f t="shared" si="1050"/>
        <v>0</v>
      </c>
      <c r="BK360" s="646">
        <f t="shared" si="1051"/>
        <v>0</v>
      </c>
      <c r="BL360" s="647">
        <f t="shared" si="886"/>
        <v>0</v>
      </c>
      <c r="BM360" s="644">
        <f t="shared" si="1052"/>
        <v>0</v>
      </c>
      <c r="BN360" s="645">
        <f t="shared" si="1053"/>
        <v>0</v>
      </c>
      <c r="BO360" s="646">
        <f t="shared" si="1054"/>
        <v>0</v>
      </c>
      <c r="BP360" s="647">
        <f t="shared" si="887"/>
        <v>0</v>
      </c>
      <c r="BQ360" s="644">
        <f t="shared" si="1055"/>
        <v>0</v>
      </c>
      <c r="BR360" s="645">
        <f t="shared" si="1056"/>
        <v>0</v>
      </c>
      <c r="BS360" s="646">
        <f t="shared" si="1057"/>
        <v>0</v>
      </c>
      <c r="BT360" s="647">
        <f t="shared" si="888"/>
        <v>0</v>
      </c>
      <c r="BU360" s="662">
        <f>VLOOKUP(B360,'Afton Update'!$A$5:$AR$582,'Afton Update'!$AO$589,0)-BT360</f>
        <v>0</v>
      </c>
      <c r="BV360" s="644">
        <f t="shared" si="1058"/>
        <v>0</v>
      </c>
      <c r="BW360" s="645">
        <f t="shared" si="852"/>
        <v>0</v>
      </c>
      <c r="BX360" s="644">
        <f t="shared" si="1059"/>
        <v>0</v>
      </c>
      <c r="BY360" s="645">
        <f t="shared" si="1060"/>
        <v>0</v>
      </c>
      <c r="BZ360" s="646">
        <f t="shared" si="1061"/>
        <v>0</v>
      </c>
      <c r="CA360" s="647">
        <f t="shared" si="1062"/>
        <v>0</v>
      </c>
      <c r="CB360" s="644">
        <f t="shared" si="889"/>
        <v>0</v>
      </c>
      <c r="CC360" s="645">
        <f t="shared" si="890"/>
        <v>0</v>
      </c>
      <c r="CD360" s="646">
        <f t="shared" si="1063"/>
        <v>0</v>
      </c>
      <c r="CE360" s="647">
        <f t="shared" si="891"/>
        <v>0</v>
      </c>
      <c r="CF360" s="644">
        <f t="shared" si="1064"/>
        <v>0</v>
      </c>
      <c r="CG360" s="645">
        <f t="shared" si="1065"/>
        <v>0</v>
      </c>
      <c r="CH360" s="646">
        <f t="shared" si="1066"/>
        <v>0</v>
      </c>
      <c r="CI360" s="647">
        <f t="shared" si="892"/>
        <v>0</v>
      </c>
      <c r="CJ360" s="644">
        <f t="shared" si="1067"/>
        <v>0</v>
      </c>
      <c r="CK360" s="645">
        <f t="shared" si="1068"/>
        <v>0</v>
      </c>
      <c r="CL360" s="646">
        <f t="shared" si="1069"/>
        <v>0</v>
      </c>
      <c r="CM360" s="647">
        <f t="shared" si="893"/>
        <v>0</v>
      </c>
      <c r="CN360" s="644">
        <f t="shared" si="1070"/>
        <v>0</v>
      </c>
      <c r="CO360" s="645">
        <f t="shared" si="1071"/>
        <v>0</v>
      </c>
      <c r="CP360" s="646">
        <f t="shared" si="1072"/>
        <v>0</v>
      </c>
      <c r="CQ360" s="647">
        <f t="shared" si="894"/>
        <v>0</v>
      </c>
      <c r="CS360" s="644">
        <f t="shared" si="1073"/>
        <v>0</v>
      </c>
      <c r="CT360" s="645">
        <f t="shared" si="853"/>
        <v>0</v>
      </c>
      <c r="CU360" s="644">
        <f t="shared" si="1074"/>
        <v>0</v>
      </c>
      <c r="CV360" s="645">
        <f t="shared" si="1075"/>
        <v>0</v>
      </c>
      <c r="CW360" s="646">
        <f t="shared" si="1076"/>
        <v>0</v>
      </c>
      <c r="CX360" s="647">
        <f t="shared" si="1077"/>
        <v>0</v>
      </c>
      <c r="CY360" s="644">
        <f t="shared" si="895"/>
        <v>0</v>
      </c>
      <c r="CZ360" s="645">
        <f t="shared" si="896"/>
        <v>0</v>
      </c>
      <c r="DA360" s="646">
        <f t="shared" si="1078"/>
        <v>0</v>
      </c>
      <c r="DB360" s="647">
        <f t="shared" si="897"/>
        <v>0</v>
      </c>
      <c r="DC360" s="644">
        <f t="shared" si="1079"/>
        <v>0</v>
      </c>
      <c r="DD360" s="645">
        <f t="shared" si="1080"/>
        <v>0</v>
      </c>
      <c r="DE360" s="646">
        <f t="shared" si="1081"/>
        <v>0</v>
      </c>
      <c r="DF360" s="647">
        <f t="shared" si="898"/>
        <v>0</v>
      </c>
      <c r="DG360" s="644">
        <f t="shared" si="1082"/>
        <v>0</v>
      </c>
      <c r="DH360" s="645">
        <f t="shared" si="1083"/>
        <v>0</v>
      </c>
      <c r="DI360" s="646">
        <f t="shared" si="1084"/>
        <v>0</v>
      </c>
      <c r="DJ360" s="647">
        <f t="shared" si="899"/>
        <v>0</v>
      </c>
      <c r="DK360" s="644">
        <f t="shared" si="1085"/>
        <v>0</v>
      </c>
      <c r="DL360" s="645">
        <f t="shared" si="1086"/>
        <v>0</v>
      </c>
      <c r="DM360" s="646">
        <f t="shared" si="1087"/>
        <v>0</v>
      </c>
      <c r="DN360" s="647">
        <f t="shared" si="900"/>
        <v>0</v>
      </c>
      <c r="DR360" s="827">
        <f t="shared" si="854"/>
        <v>0</v>
      </c>
      <c r="DV360" s="828">
        <f>IFERROR(VLOOKUP($B360,'Afton FY16 Final'!$A$5:$BV$587,'Afton FY16 Final'!$BV$587,0),0)</f>
        <v>0</v>
      </c>
      <c r="DX360" s="636">
        <f t="shared" si="842"/>
        <v>0</v>
      </c>
      <c r="DY360" s="637">
        <f t="shared" si="843"/>
        <v>0</v>
      </c>
      <c r="DZ360" s="637">
        <f t="shared" si="844"/>
        <v>0</v>
      </c>
      <c r="EA360" s="643">
        <f t="shared" si="845"/>
        <v>0</v>
      </c>
      <c r="EB360" s="637">
        <f t="shared" si="855"/>
        <v>0</v>
      </c>
      <c r="EC360" s="637">
        <f t="shared" si="856"/>
        <v>0</v>
      </c>
      <c r="ED360" s="637">
        <f t="shared" si="857"/>
        <v>0</v>
      </c>
      <c r="EE360" s="643">
        <f t="shared" si="858"/>
        <v>0</v>
      </c>
      <c r="EF360" s="637">
        <f t="shared" si="859"/>
        <v>0</v>
      </c>
      <c r="EG360" s="637">
        <f t="shared" si="860"/>
        <v>0</v>
      </c>
      <c r="EH360" s="637">
        <f t="shared" si="861"/>
        <v>0</v>
      </c>
      <c r="EI360" s="643">
        <f t="shared" si="862"/>
        <v>0</v>
      </c>
      <c r="EJ360" s="637">
        <f t="shared" si="863"/>
        <v>0</v>
      </c>
      <c r="EK360" s="637">
        <f t="shared" si="864"/>
        <v>0</v>
      </c>
      <c r="EL360" s="637">
        <f t="shared" si="865"/>
        <v>0</v>
      </c>
      <c r="EM360" s="643">
        <f t="shared" si="866"/>
        <v>0</v>
      </c>
      <c r="EN360" s="637">
        <f t="shared" si="867"/>
        <v>0</v>
      </c>
      <c r="EO360" s="637">
        <f t="shared" si="868"/>
        <v>0</v>
      </c>
      <c r="EP360" s="637">
        <f t="shared" si="869"/>
        <v>0</v>
      </c>
      <c r="EQ360" s="643">
        <f t="shared" si="870"/>
        <v>0</v>
      </c>
      <c r="ER360" s="637">
        <f t="shared" si="871"/>
        <v>0</v>
      </c>
      <c r="ES360" s="637">
        <f t="shared" si="872"/>
        <v>0</v>
      </c>
      <c r="ET360" s="637">
        <f t="shared" si="873"/>
        <v>0</v>
      </c>
      <c r="EU360" s="643">
        <f t="shared" si="846"/>
        <v>0</v>
      </c>
      <c r="EV360" s="643">
        <f t="shared" si="847"/>
        <v>0</v>
      </c>
      <c r="EX360" s="829">
        <f t="shared" si="848"/>
        <v>0</v>
      </c>
      <c r="EY360" s="638">
        <f t="shared" si="849"/>
        <v>0</v>
      </c>
      <c r="FC360" s="830" t="str">
        <f t="shared" si="874"/>
        <v>N</v>
      </c>
      <c r="FE360" s="830" t="str">
        <f>IFERROR(VLOOKUP($B360,'Historical Conc Grant Elig'!$B$3:$J$707,'HH &amp; SI'!FE$2,0),"N")</f>
        <v>N</v>
      </c>
      <c r="FF360" s="830" t="str">
        <f>IFERROR(VLOOKUP($B360,'Historical Conc Grant Elig'!$B$3:$J$707,'HH &amp; SI'!FF$2,0),"N")</f>
        <v>N</v>
      </c>
      <c r="FG360" s="830" t="str">
        <f>IFERROR(VLOOKUP($B360,'Historical Conc Grant Elig'!$B$3:$J$707,'HH &amp; SI'!FG$2,0),"N")</f>
        <v>N</v>
      </c>
      <c r="FH360" s="830" t="str">
        <f>IFERROR(VLOOKUP($B360,'Historical Conc Grant Elig'!$B$3:$J$707,'HH &amp; SI'!FH$2,0),"N")</f>
        <v>N</v>
      </c>
      <c r="FI360" s="830" t="str">
        <f>IFERROR(VLOOKUP($B360,'Historical Conc Grant Elig'!$B$3:$J$707,'HH &amp; SI'!FI$2,0),"N")</f>
        <v>N</v>
      </c>
      <c r="FJ360" s="830" t="str">
        <f>IFERROR(VLOOKUP($B360,'Historical Conc Grant Elig'!$B$3:$J$707,'HH &amp; SI'!FJ$2,0),"N")</f>
        <v>N</v>
      </c>
      <c r="FK360" s="830" t="str">
        <f>IFERROR(VLOOKUP($B360,'Historical Conc Grant Elig'!$B$3:$J$707,'HH &amp; SI'!FK$2,0),"N")</f>
        <v>N</v>
      </c>
      <c r="FL360" s="957" t="str">
        <f>IFERROR(VLOOKUP($B360,'Historical Conc Grant Elig'!$B$3:$J$707,'HH &amp; SI'!FL$2,0),"N")</f>
        <v>N</v>
      </c>
    </row>
    <row r="361" spans="2:168" x14ac:dyDescent="0.25">
      <c r="B361" s="634">
        <v>100337000</v>
      </c>
      <c r="C361" s="635" t="str">
        <f>VLOOKUP($B361,'Afton Update'!$A$5:$CR$582,'Afton Update'!D$589,0)</f>
        <v>Empire Elementary District</v>
      </c>
      <c r="D361" s="636">
        <f>IFERROR(VLOOKUP($B361,'Afton FY16 Final'!$A$5:$BV$587,'Afton FY16 Final'!AQ$587,0),0)</f>
        <v>0</v>
      </c>
      <c r="E361" s="637">
        <f>IFERROR(VLOOKUP($B361,'Afton FY16 Final'!$A$5:$BV$587,'Afton FY16 Final'!AR$587,0),0)</f>
        <v>4004.2093285060487</v>
      </c>
      <c r="F361" s="637">
        <f>IFERROR(VLOOKUP($B361,'Afton FY16 Final'!$A$5:$BV$587,'Afton FY16 Final'!AS$587,0),0)</f>
        <v>0</v>
      </c>
      <c r="G361" s="637">
        <f>IFERROR(VLOOKUP($B361,'Afton FY16 Final'!$A$5:$BV$587,'Afton FY16 Final'!AT$587,0),0)</f>
        <v>0</v>
      </c>
      <c r="H361" s="638">
        <f>IFERROR(VLOOKUP($B361,'Afton FY16 Final'!$A$5:$BV$587,'Afton FY16 Final'!AU$587,0),0)</f>
        <v>4004.2093285060487</v>
      </c>
      <c r="I361" s="639" t="str">
        <f>VLOOKUP($B361,'Afton Update'!$A$5:$CR$582,'Afton Update'!BT$589,0)</f>
        <v>N</v>
      </c>
      <c r="J361" s="640" t="str">
        <f>VLOOKUP($B361,'Afton Update'!$A$5:$CR$582,'Afton Update'!BU$589,0)</f>
        <v>N</v>
      </c>
      <c r="K361" s="640" t="str">
        <f>VLOOKUP($B361,'Afton Update'!$A$5:$CR$582,'Afton Update'!BV$589,0)</f>
        <v>N</v>
      </c>
      <c r="L361" s="641" t="str">
        <f>VLOOKUP($B361,'Afton Update'!$A$5:$CR$582,'Afton Update'!BW$589,0)</f>
        <v>N</v>
      </c>
      <c r="N361" s="642">
        <f>VLOOKUP($B361,'Afton Update'!$A$5:$CR$582,'Afton Update'!CB$589,0)</f>
        <v>0.85</v>
      </c>
      <c r="P361" s="636" t="str">
        <f>VLOOKUP($B361,'Afton Update'!$A$5:$CR$582,'Afton Update'!AH$589,0)</f>
        <v/>
      </c>
      <c r="Q361" s="637" t="str">
        <f>VLOOKUP($B361,'Afton Update'!$A$5:$CR$582,'Afton Update'!AI$589,0)</f>
        <v/>
      </c>
      <c r="R361" s="637" t="str">
        <f>VLOOKUP($B361,'Afton Update'!$A$5:$CR$582,'Afton Update'!AJ$589,0)</f>
        <v/>
      </c>
      <c r="S361" s="637" t="str">
        <f>VLOOKUP($B361,'Afton Update'!$A$5:$CR$582,'Afton Update'!AK$589,0)</f>
        <v/>
      </c>
      <c r="T361" s="643">
        <f t="shared" si="875"/>
        <v>0</v>
      </c>
      <c r="V361" s="636">
        <f t="shared" si="1024"/>
        <v>0</v>
      </c>
      <c r="W361" s="637">
        <f t="shared" si="1025"/>
        <v>3403.5779292301413</v>
      </c>
      <c r="X361" s="637">
        <f t="shared" si="1026"/>
        <v>0</v>
      </c>
      <c r="Y361" s="637">
        <f t="shared" si="1027"/>
        <v>0</v>
      </c>
      <c r="Z361" s="643">
        <f t="shared" si="1028"/>
        <v>3403.5779292301413</v>
      </c>
      <c r="AB361" s="644">
        <f t="shared" si="876"/>
        <v>0</v>
      </c>
      <c r="AC361" s="645">
        <f t="shared" si="850"/>
        <v>0</v>
      </c>
      <c r="AD361" s="644">
        <f t="shared" si="1029"/>
        <v>0</v>
      </c>
      <c r="AE361" s="645">
        <f t="shared" si="1030"/>
        <v>0</v>
      </c>
      <c r="AF361" s="646">
        <f t="shared" si="1031"/>
        <v>0</v>
      </c>
      <c r="AG361" s="647">
        <f t="shared" si="1032"/>
        <v>0</v>
      </c>
      <c r="AH361" s="644">
        <f t="shared" si="877"/>
        <v>0</v>
      </c>
      <c r="AI361" s="645">
        <f t="shared" si="878"/>
        <v>0</v>
      </c>
      <c r="AJ361" s="646">
        <f t="shared" si="1033"/>
        <v>0</v>
      </c>
      <c r="AK361" s="647">
        <f t="shared" si="879"/>
        <v>0</v>
      </c>
      <c r="AL361" s="644">
        <f t="shared" si="1034"/>
        <v>0</v>
      </c>
      <c r="AM361" s="645">
        <f t="shared" si="1035"/>
        <v>0</v>
      </c>
      <c r="AN361" s="646">
        <f t="shared" si="1036"/>
        <v>0</v>
      </c>
      <c r="AO361" s="647">
        <f t="shared" si="880"/>
        <v>0</v>
      </c>
      <c r="AP361" s="644">
        <f t="shared" si="1037"/>
        <v>0</v>
      </c>
      <c r="AQ361" s="645">
        <f t="shared" si="1038"/>
        <v>0</v>
      </c>
      <c r="AR361" s="646">
        <f t="shared" si="1039"/>
        <v>0</v>
      </c>
      <c r="AS361" s="647">
        <f t="shared" si="881"/>
        <v>0</v>
      </c>
      <c r="AT361" s="644">
        <f t="shared" si="1040"/>
        <v>0</v>
      </c>
      <c r="AU361" s="645">
        <f t="shared" si="1041"/>
        <v>0</v>
      </c>
      <c r="AV361" s="646">
        <f t="shared" si="1042"/>
        <v>0</v>
      </c>
      <c r="AW361" s="647">
        <f t="shared" si="882"/>
        <v>0</v>
      </c>
      <c r="AY361" s="644">
        <f t="shared" si="1043"/>
        <v>0</v>
      </c>
      <c r="AZ361" s="645">
        <f t="shared" si="851"/>
        <v>3403.5779292301413</v>
      </c>
      <c r="BA361" s="644">
        <f t="shared" si="1044"/>
        <v>0</v>
      </c>
      <c r="BB361" s="645">
        <f t="shared" si="1045"/>
        <v>0</v>
      </c>
      <c r="BC361" s="646">
        <f t="shared" si="1046"/>
        <v>0</v>
      </c>
      <c r="BD361" s="647">
        <f t="shared" si="1047"/>
        <v>0</v>
      </c>
      <c r="BE361" s="644">
        <f t="shared" si="883"/>
        <v>-3403.5779292301413</v>
      </c>
      <c r="BF361" s="645">
        <f t="shared" si="884"/>
        <v>0</v>
      </c>
      <c r="BG361" s="646">
        <f t="shared" si="1048"/>
        <v>0</v>
      </c>
      <c r="BH361" s="647">
        <f t="shared" si="885"/>
        <v>3403.5779292301413</v>
      </c>
      <c r="BI361" s="644">
        <f t="shared" si="1049"/>
        <v>0</v>
      </c>
      <c r="BJ361" s="645">
        <f t="shared" si="1050"/>
        <v>0</v>
      </c>
      <c r="BK361" s="646">
        <f t="shared" si="1051"/>
        <v>0</v>
      </c>
      <c r="BL361" s="647">
        <f t="shared" si="886"/>
        <v>3403.5779292301413</v>
      </c>
      <c r="BM361" s="644">
        <f t="shared" si="1052"/>
        <v>0</v>
      </c>
      <c r="BN361" s="645">
        <f t="shared" si="1053"/>
        <v>0</v>
      </c>
      <c r="BO361" s="646">
        <f t="shared" si="1054"/>
        <v>0</v>
      </c>
      <c r="BP361" s="647">
        <f t="shared" si="887"/>
        <v>3403.5779292301413</v>
      </c>
      <c r="BQ361" s="644">
        <f t="shared" si="1055"/>
        <v>0</v>
      </c>
      <c r="BR361" s="645">
        <f t="shared" si="1056"/>
        <v>0</v>
      </c>
      <c r="BS361" s="646">
        <f t="shared" si="1057"/>
        <v>0</v>
      </c>
      <c r="BT361" s="647">
        <f t="shared" si="888"/>
        <v>3403.5779292301413</v>
      </c>
      <c r="BU361" s="662">
        <f>VLOOKUP(B361,'Afton Update'!$A$5:$AR$582,'Afton Update'!$AO$589,0)-BT361</f>
        <v>0</v>
      </c>
      <c r="BV361" s="644">
        <f t="shared" si="1058"/>
        <v>0</v>
      </c>
      <c r="BW361" s="645">
        <f t="shared" si="852"/>
        <v>0</v>
      </c>
      <c r="BX361" s="644">
        <f t="shared" si="1059"/>
        <v>0</v>
      </c>
      <c r="BY361" s="645">
        <f t="shared" si="1060"/>
        <v>0</v>
      </c>
      <c r="BZ361" s="646">
        <f t="shared" si="1061"/>
        <v>0</v>
      </c>
      <c r="CA361" s="647">
        <f t="shared" si="1062"/>
        <v>0</v>
      </c>
      <c r="CB361" s="644">
        <f t="shared" si="889"/>
        <v>0</v>
      </c>
      <c r="CC361" s="645">
        <f t="shared" si="890"/>
        <v>0</v>
      </c>
      <c r="CD361" s="646">
        <f t="shared" si="1063"/>
        <v>0</v>
      </c>
      <c r="CE361" s="647">
        <f t="shared" si="891"/>
        <v>0</v>
      </c>
      <c r="CF361" s="644">
        <f t="shared" si="1064"/>
        <v>0</v>
      </c>
      <c r="CG361" s="645">
        <f t="shared" si="1065"/>
        <v>0</v>
      </c>
      <c r="CH361" s="646">
        <f t="shared" si="1066"/>
        <v>0</v>
      </c>
      <c r="CI361" s="647">
        <f t="shared" si="892"/>
        <v>0</v>
      </c>
      <c r="CJ361" s="644">
        <f t="shared" si="1067"/>
        <v>0</v>
      </c>
      <c r="CK361" s="645">
        <f t="shared" si="1068"/>
        <v>0</v>
      </c>
      <c r="CL361" s="646">
        <f t="shared" si="1069"/>
        <v>0</v>
      </c>
      <c r="CM361" s="647">
        <f t="shared" si="893"/>
        <v>0</v>
      </c>
      <c r="CN361" s="644">
        <f t="shared" si="1070"/>
        <v>0</v>
      </c>
      <c r="CO361" s="645">
        <f t="shared" si="1071"/>
        <v>0</v>
      </c>
      <c r="CP361" s="646">
        <f t="shared" si="1072"/>
        <v>0</v>
      </c>
      <c r="CQ361" s="647">
        <f t="shared" si="894"/>
        <v>0</v>
      </c>
      <c r="CS361" s="644">
        <f t="shared" si="1073"/>
        <v>0</v>
      </c>
      <c r="CT361" s="645">
        <f t="shared" si="853"/>
        <v>0</v>
      </c>
      <c r="CU361" s="644">
        <f t="shared" si="1074"/>
        <v>0</v>
      </c>
      <c r="CV361" s="645">
        <f t="shared" si="1075"/>
        <v>0</v>
      </c>
      <c r="CW361" s="646">
        <f t="shared" si="1076"/>
        <v>0</v>
      </c>
      <c r="CX361" s="647">
        <f t="shared" si="1077"/>
        <v>0</v>
      </c>
      <c r="CY361" s="644">
        <f t="shared" si="895"/>
        <v>0</v>
      </c>
      <c r="CZ361" s="645">
        <f t="shared" si="896"/>
        <v>0</v>
      </c>
      <c r="DA361" s="646">
        <f t="shared" si="1078"/>
        <v>0</v>
      </c>
      <c r="DB361" s="647">
        <f t="shared" si="897"/>
        <v>0</v>
      </c>
      <c r="DC361" s="644">
        <f t="shared" si="1079"/>
        <v>0</v>
      </c>
      <c r="DD361" s="645">
        <f t="shared" si="1080"/>
        <v>0</v>
      </c>
      <c r="DE361" s="646">
        <f t="shared" si="1081"/>
        <v>0</v>
      </c>
      <c r="DF361" s="647">
        <f t="shared" si="898"/>
        <v>0</v>
      </c>
      <c r="DG361" s="644">
        <f t="shared" si="1082"/>
        <v>0</v>
      </c>
      <c r="DH361" s="645">
        <f t="shared" si="1083"/>
        <v>0</v>
      </c>
      <c r="DI361" s="646">
        <f t="shared" si="1084"/>
        <v>0</v>
      </c>
      <c r="DJ361" s="647">
        <f t="shared" si="899"/>
        <v>0</v>
      </c>
      <c r="DK361" s="644">
        <f t="shared" si="1085"/>
        <v>0</v>
      </c>
      <c r="DL361" s="645">
        <f t="shared" si="1086"/>
        <v>0</v>
      </c>
      <c r="DM361" s="646">
        <f t="shared" si="1087"/>
        <v>0</v>
      </c>
      <c r="DN361" s="647">
        <f t="shared" si="900"/>
        <v>0</v>
      </c>
      <c r="DR361" s="827">
        <f t="shared" si="854"/>
        <v>3403.5779292301413</v>
      </c>
      <c r="DV361" s="828">
        <f>IFERROR(VLOOKUP($B361,'Afton FY16 Final'!$A$5:$BV$587,'Afton FY16 Final'!$BV$587,0),0)</f>
        <v>3925.3664474908965</v>
      </c>
      <c r="DX361" s="636">
        <f t="shared" si="842"/>
        <v>0</v>
      </c>
      <c r="DY361" s="637">
        <f t="shared" si="843"/>
        <v>0</v>
      </c>
      <c r="DZ361" s="637">
        <f t="shared" si="844"/>
        <v>0</v>
      </c>
      <c r="EA361" s="643">
        <f t="shared" si="845"/>
        <v>0</v>
      </c>
      <c r="EB361" s="637">
        <f t="shared" si="855"/>
        <v>0</v>
      </c>
      <c r="EC361" s="637">
        <f t="shared" si="856"/>
        <v>0</v>
      </c>
      <c r="ED361" s="637">
        <f t="shared" si="857"/>
        <v>0</v>
      </c>
      <c r="EE361" s="643">
        <f t="shared" si="858"/>
        <v>0</v>
      </c>
      <c r="EF361" s="637">
        <f t="shared" si="859"/>
        <v>0</v>
      </c>
      <c r="EG361" s="637">
        <f t="shared" si="860"/>
        <v>0</v>
      </c>
      <c r="EH361" s="637">
        <f t="shared" si="861"/>
        <v>0</v>
      </c>
      <c r="EI361" s="643">
        <f t="shared" si="862"/>
        <v>0</v>
      </c>
      <c r="EJ361" s="637">
        <f t="shared" si="863"/>
        <v>0</v>
      </c>
      <c r="EK361" s="637">
        <f t="shared" si="864"/>
        <v>0</v>
      </c>
      <c r="EL361" s="637">
        <f t="shared" si="865"/>
        <v>0</v>
      </c>
      <c r="EM361" s="643">
        <f t="shared" si="866"/>
        <v>0</v>
      </c>
      <c r="EN361" s="637">
        <f t="shared" si="867"/>
        <v>0</v>
      </c>
      <c r="EO361" s="637">
        <f t="shared" si="868"/>
        <v>0</v>
      </c>
      <c r="EP361" s="637">
        <f t="shared" si="869"/>
        <v>0</v>
      </c>
      <c r="EQ361" s="643">
        <f t="shared" si="870"/>
        <v>0</v>
      </c>
      <c r="ER361" s="637">
        <f t="shared" si="871"/>
        <v>0</v>
      </c>
      <c r="ES361" s="637">
        <f t="shared" si="872"/>
        <v>0</v>
      </c>
      <c r="ET361" s="637">
        <f t="shared" si="873"/>
        <v>0</v>
      </c>
      <c r="EU361" s="643">
        <f t="shared" si="846"/>
        <v>0</v>
      </c>
      <c r="EV361" s="643">
        <f t="shared" si="847"/>
        <v>0</v>
      </c>
      <c r="EX361" s="829">
        <f t="shared" si="848"/>
        <v>0</v>
      </c>
      <c r="EY361" s="638">
        <f t="shared" si="849"/>
        <v>3403.5779292301413</v>
      </c>
      <c r="FC361" s="830" t="str">
        <f t="shared" si="874"/>
        <v>Y</v>
      </c>
      <c r="FE361" s="830" t="str">
        <f>IFERROR(VLOOKUP($B361,'Historical Conc Grant Elig'!$B$3:$J$707,'HH &amp; SI'!FE$2,0),"N")</f>
        <v>N</v>
      </c>
      <c r="FF361" s="830" t="str">
        <f>IFERROR(VLOOKUP($B361,'Historical Conc Grant Elig'!$B$3:$J$707,'HH &amp; SI'!FF$2,0),"N")</f>
        <v>N</v>
      </c>
      <c r="FG361" s="830" t="str">
        <f>IFERROR(VLOOKUP($B361,'Historical Conc Grant Elig'!$B$3:$J$707,'HH &amp; SI'!FG$2,0),"N")</f>
        <v>Y</v>
      </c>
      <c r="FH361" s="830" t="str">
        <f>IFERROR(VLOOKUP($B361,'Historical Conc Grant Elig'!$B$3:$J$707,'HH &amp; SI'!FH$2,0),"N")</f>
        <v>N</v>
      </c>
      <c r="FI361" s="830" t="str">
        <f>IFERROR(VLOOKUP($B361,'Historical Conc Grant Elig'!$B$3:$J$707,'HH &amp; SI'!FI$2,0),"N")</f>
        <v>Y</v>
      </c>
      <c r="FJ361" s="830" t="str">
        <f>IFERROR(VLOOKUP($B361,'Historical Conc Grant Elig'!$B$3:$J$707,'HH &amp; SI'!FJ$2,0),"N")</f>
        <v>Y</v>
      </c>
      <c r="FK361" s="830" t="str">
        <f>IFERROR(VLOOKUP($B361,'Historical Conc Grant Elig'!$B$3:$J$707,'HH &amp; SI'!FK$2,0),"N")</f>
        <v>N</v>
      </c>
      <c r="FL361" s="957" t="str">
        <f>IFERROR(VLOOKUP($B361,'Historical Conc Grant Elig'!$B$3:$J$707,'HH &amp; SI'!FL$2,0),"N")</f>
        <v>N</v>
      </c>
    </row>
    <row r="362" spans="2:168" x14ac:dyDescent="0.25">
      <c r="B362" s="634">
        <v>100339000</v>
      </c>
      <c r="C362" s="635" t="str">
        <f>VLOOKUP($B362,'Afton Update'!$A$5:$CR$582,'Afton Update'!D$589,0)</f>
        <v>Continental Elementary District</v>
      </c>
      <c r="D362" s="636">
        <f>IFERROR(VLOOKUP($B362,'Afton FY16 Final'!$A$5:$BV$587,'Afton FY16 Final'!AQ$587,0),0)</f>
        <v>47851.204766472008</v>
      </c>
      <c r="E362" s="637">
        <f>IFERROR(VLOOKUP($B362,'Afton FY16 Final'!$A$5:$BV$587,'Afton FY16 Final'!AR$587,0),0)</f>
        <v>13966.158246489025</v>
      </c>
      <c r="F362" s="637">
        <f>IFERROR(VLOOKUP($B362,'Afton FY16 Final'!$A$5:$BV$587,'Afton FY16 Final'!AS$587,0),0)</f>
        <v>15402.120217384956</v>
      </c>
      <c r="G362" s="637">
        <f>IFERROR(VLOOKUP($B362,'Afton FY16 Final'!$A$5:$BV$587,'Afton FY16 Final'!AT$587,0),0)</f>
        <v>11766.625552888592</v>
      </c>
      <c r="H362" s="638">
        <f>IFERROR(VLOOKUP($B362,'Afton FY16 Final'!$A$5:$BV$587,'Afton FY16 Final'!AU$587,0),0)</f>
        <v>88986.10878323458</v>
      </c>
      <c r="I362" s="639" t="str">
        <f>VLOOKUP($B362,'Afton Update'!$A$5:$CR$582,'Afton Update'!BT$589,0)</f>
        <v>Y</v>
      </c>
      <c r="J362" s="640" t="str">
        <f>VLOOKUP($B362,'Afton Update'!$A$5:$CR$582,'Afton Update'!BU$589,0)</f>
        <v>N</v>
      </c>
      <c r="K362" s="640" t="str">
        <f>VLOOKUP($B362,'Afton Update'!$A$5:$CR$582,'Afton Update'!BV$589,0)</f>
        <v>Y</v>
      </c>
      <c r="L362" s="641" t="str">
        <f>VLOOKUP($B362,'Afton Update'!$A$5:$CR$582,'Afton Update'!BW$589,0)</f>
        <v>Y</v>
      </c>
      <c r="N362" s="642">
        <f>VLOOKUP($B362,'Afton Update'!$A$5:$CR$582,'Afton Update'!CB$589,0)</f>
        <v>0.85</v>
      </c>
      <c r="P362" s="636">
        <f>VLOOKUP($B362,'Afton Update'!$A$5:$CR$582,'Afton Update'!AH$589,0)</f>
        <v>40627.115245541187</v>
      </c>
      <c r="Q362" s="637" t="str">
        <f>VLOOKUP($B362,'Afton Update'!$A$5:$CR$582,'Afton Update'!AI$589,0)</f>
        <v/>
      </c>
      <c r="R362" s="637">
        <f>VLOOKUP($B362,'Afton Update'!$A$5:$CR$582,'Afton Update'!AJ$589,0)</f>
        <v>13039.991816648744</v>
      </c>
      <c r="S362" s="637">
        <f>VLOOKUP($B362,'Afton Update'!$A$5:$CR$582,'Afton Update'!AK$589,0)</f>
        <v>9985.2012333385446</v>
      </c>
      <c r="T362" s="643">
        <f t="shared" si="875"/>
        <v>63652.30829552847</v>
      </c>
      <c r="V362" s="636">
        <f t="shared" si="1024"/>
        <v>40673.524051501205</v>
      </c>
      <c r="W362" s="637">
        <f t="shared" si="1025"/>
        <v>11871.234509515671</v>
      </c>
      <c r="X362" s="637">
        <f t="shared" si="1026"/>
        <v>13091.802184777212</v>
      </c>
      <c r="Y362" s="637">
        <f t="shared" si="1027"/>
        <v>10001.631719955303</v>
      </c>
      <c r="Z362" s="643">
        <f t="shared" si="1028"/>
        <v>75638.192465749395</v>
      </c>
      <c r="AB362" s="644">
        <f t="shared" si="876"/>
        <v>40627.115245541187</v>
      </c>
      <c r="AC362" s="645">
        <f t="shared" si="850"/>
        <v>40673.524051501205</v>
      </c>
      <c r="AD362" s="644">
        <f t="shared" si="1029"/>
        <v>46.408805960018071</v>
      </c>
      <c r="AE362" s="645">
        <f t="shared" si="1030"/>
        <v>0</v>
      </c>
      <c r="AF362" s="646">
        <f t="shared" si="1031"/>
        <v>0</v>
      </c>
      <c r="AG362" s="647">
        <f t="shared" si="1032"/>
        <v>40673.524051501205</v>
      </c>
      <c r="AH362" s="644">
        <f t="shared" si="877"/>
        <v>0</v>
      </c>
      <c r="AI362" s="645">
        <f t="shared" si="878"/>
        <v>0</v>
      </c>
      <c r="AJ362" s="646">
        <f t="shared" si="1033"/>
        <v>0</v>
      </c>
      <c r="AK362" s="647">
        <f t="shared" si="879"/>
        <v>40673.524051501205</v>
      </c>
      <c r="AL362" s="644">
        <f t="shared" si="1034"/>
        <v>0</v>
      </c>
      <c r="AM362" s="645">
        <f t="shared" si="1035"/>
        <v>0</v>
      </c>
      <c r="AN362" s="646">
        <f t="shared" si="1036"/>
        <v>0</v>
      </c>
      <c r="AO362" s="647">
        <f t="shared" si="880"/>
        <v>40673.524051501205</v>
      </c>
      <c r="AP362" s="644">
        <f t="shared" si="1037"/>
        <v>0</v>
      </c>
      <c r="AQ362" s="645">
        <f t="shared" si="1038"/>
        <v>0</v>
      </c>
      <c r="AR362" s="646">
        <f t="shared" si="1039"/>
        <v>0</v>
      </c>
      <c r="AS362" s="647">
        <f t="shared" si="881"/>
        <v>40673.524051501205</v>
      </c>
      <c r="AT362" s="644">
        <f t="shared" si="1040"/>
        <v>0</v>
      </c>
      <c r="AU362" s="645">
        <f t="shared" si="1041"/>
        <v>0</v>
      </c>
      <c r="AV362" s="646">
        <f t="shared" si="1042"/>
        <v>0</v>
      </c>
      <c r="AW362" s="647">
        <f t="shared" si="882"/>
        <v>40673.524051501205</v>
      </c>
      <c r="AY362" s="644">
        <f t="shared" si="1043"/>
        <v>0</v>
      </c>
      <c r="AZ362" s="645">
        <f t="shared" si="851"/>
        <v>11871.234509515671</v>
      </c>
      <c r="BA362" s="644">
        <f t="shared" si="1044"/>
        <v>0</v>
      </c>
      <c r="BB362" s="645">
        <f t="shared" si="1045"/>
        <v>0</v>
      </c>
      <c r="BC362" s="646">
        <f t="shared" si="1046"/>
        <v>0</v>
      </c>
      <c r="BD362" s="647">
        <f t="shared" si="1047"/>
        <v>0</v>
      </c>
      <c r="BE362" s="644">
        <f t="shared" si="883"/>
        <v>-11871.234509515671</v>
      </c>
      <c r="BF362" s="645">
        <f t="shared" si="884"/>
        <v>0</v>
      </c>
      <c r="BG362" s="646">
        <f t="shared" si="1048"/>
        <v>0</v>
      </c>
      <c r="BH362" s="647">
        <f t="shared" si="885"/>
        <v>11871.234509515671</v>
      </c>
      <c r="BI362" s="644">
        <f t="shared" si="1049"/>
        <v>0</v>
      </c>
      <c r="BJ362" s="645">
        <f t="shared" si="1050"/>
        <v>0</v>
      </c>
      <c r="BK362" s="646">
        <f t="shared" si="1051"/>
        <v>0</v>
      </c>
      <c r="BL362" s="647">
        <f t="shared" si="886"/>
        <v>11871.234509515671</v>
      </c>
      <c r="BM362" s="644">
        <f t="shared" si="1052"/>
        <v>0</v>
      </c>
      <c r="BN362" s="645">
        <f t="shared" si="1053"/>
        <v>0</v>
      </c>
      <c r="BO362" s="646">
        <f t="shared" si="1054"/>
        <v>0</v>
      </c>
      <c r="BP362" s="647">
        <f t="shared" si="887"/>
        <v>11871.234509515671</v>
      </c>
      <c r="BQ362" s="644">
        <f t="shared" si="1055"/>
        <v>0</v>
      </c>
      <c r="BR362" s="645">
        <f t="shared" si="1056"/>
        <v>0</v>
      </c>
      <c r="BS362" s="646">
        <f t="shared" si="1057"/>
        <v>0</v>
      </c>
      <c r="BT362" s="647">
        <f t="shared" si="888"/>
        <v>11871.234509515671</v>
      </c>
      <c r="BU362" s="662">
        <f>VLOOKUP(B362,'Afton Update'!$A$5:$AR$582,'Afton Update'!$AO$589,0)-BT362</f>
        <v>0</v>
      </c>
      <c r="BV362" s="644">
        <f t="shared" si="1058"/>
        <v>13039.991816648744</v>
      </c>
      <c r="BW362" s="645">
        <f t="shared" si="852"/>
        <v>13091.802184777212</v>
      </c>
      <c r="BX362" s="644">
        <f t="shared" si="1059"/>
        <v>51.810368128468326</v>
      </c>
      <c r="BY362" s="645">
        <f t="shared" si="1060"/>
        <v>0</v>
      </c>
      <c r="BZ362" s="646">
        <f t="shared" si="1061"/>
        <v>0</v>
      </c>
      <c r="CA362" s="647">
        <f t="shared" si="1062"/>
        <v>13091.802184777212</v>
      </c>
      <c r="CB362" s="644">
        <f t="shared" si="889"/>
        <v>0</v>
      </c>
      <c r="CC362" s="645">
        <f t="shared" si="890"/>
        <v>0</v>
      </c>
      <c r="CD362" s="646">
        <f t="shared" si="1063"/>
        <v>0</v>
      </c>
      <c r="CE362" s="647">
        <f t="shared" si="891"/>
        <v>13091.802184777212</v>
      </c>
      <c r="CF362" s="644">
        <f t="shared" si="1064"/>
        <v>0</v>
      </c>
      <c r="CG362" s="645">
        <f t="shared" si="1065"/>
        <v>0</v>
      </c>
      <c r="CH362" s="646">
        <f t="shared" si="1066"/>
        <v>0</v>
      </c>
      <c r="CI362" s="647">
        <f t="shared" si="892"/>
        <v>13091.802184777212</v>
      </c>
      <c r="CJ362" s="644">
        <f t="shared" si="1067"/>
        <v>0</v>
      </c>
      <c r="CK362" s="645">
        <f t="shared" si="1068"/>
        <v>0</v>
      </c>
      <c r="CL362" s="646">
        <f t="shared" si="1069"/>
        <v>0</v>
      </c>
      <c r="CM362" s="647">
        <f t="shared" si="893"/>
        <v>13091.802184777212</v>
      </c>
      <c r="CN362" s="644">
        <f t="shared" si="1070"/>
        <v>0</v>
      </c>
      <c r="CO362" s="645">
        <f t="shared" si="1071"/>
        <v>0</v>
      </c>
      <c r="CP362" s="646">
        <f t="shared" si="1072"/>
        <v>0</v>
      </c>
      <c r="CQ362" s="647">
        <f t="shared" si="894"/>
        <v>13091.802184777212</v>
      </c>
      <c r="CS362" s="644">
        <f t="shared" si="1073"/>
        <v>9985.2012333385446</v>
      </c>
      <c r="CT362" s="645">
        <f t="shared" si="853"/>
        <v>10001.631719955303</v>
      </c>
      <c r="CU362" s="644">
        <f t="shared" si="1074"/>
        <v>16.430486616758571</v>
      </c>
      <c r="CV362" s="645">
        <f t="shared" si="1075"/>
        <v>0</v>
      </c>
      <c r="CW362" s="646">
        <f t="shared" si="1076"/>
        <v>0</v>
      </c>
      <c r="CX362" s="647">
        <f t="shared" si="1077"/>
        <v>10001.631719955303</v>
      </c>
      <c r="CY362" s="644">
        <f t="shared" si="895"/>
        <v>0</v>
      </c>
      <c r="CZ362" s="645">
        <f t="shared" si="896"/>
        <v>0</v>
      </c>
      <c r="DA362" s="646">
        <f t="shared" si="1078"/>
        <v>0</v>
      </c>
      <c r="DB362" s="647">
        <f t="shared" si="897"/>
        <v>10001.631719955303</v>
      </c>
      <c r="DC362" s="644">
        <f t="shared" si="1079"/>
        <v>0</v>
      </c>
      <c r="DD362" s="645">
        <f t="shared" si="1080"/>
        <v>0</v>
      </c>
      <c r="DE362" s="646">
        <f t="shared" si="1081"/>
        <v>0</v>
      </c>
      <c r="DF362" s="647">
        <f t="shared" si="898"/>
        <v>10001.631719955303</v>
      </c>
      <c r="DG362" s="644">
        <f t="shared" si="1082"/>
        <v>0</v>
      </c>
      <c r="DH362" s="645">
        <f t="shared" si="1083"/>
        <v>0</v>
      </c>
      <c r="DI362" s="646">
        <f t="shared" si="1084"/>
        <v>0</v>
      </c>
      <c r="DJ362" s="647">
        <f t="shared" si="899"/>
        <v>10001.631719955303</v>
      </c>
      <c r="DK362" s="644">
        <f t="shared" si="1085"/>
        <v>0</v>
      </c>
      <c r="DL362" s="645">
        <f t="shared" si="1086"/>
        <v>0</v>
      </c>
      <c r="DM362" s="646">
        <f t="shared" si="1087"/>
        <v>0</v>
      </c>
      <c r="DN362" s="647">
        <f t="shared" si="900"/>
        <v>10001.631719955303</v>
      </c>
      <c r="DR362" s="827">
        <f t="shared" si="854"/>
        <v>75638.192465749395</v>
      </c>
      <c r="DV362" s="828">
        <f>IFERROR(VLOOKUP($B362,'Afton FY16 Final'!$A$5:$BV$587,'Afton FY16 Final'!$BV$587,0),0)</f>
        <v>87233.972316029569</v>
      </c>
      <c r="DX362" s="636">
        <f t="shared" si="842"/>
        <v>0</v>
      </c>
      <c r="DY362" s="637">
        <f t="shared" si="843"/>
        <v>0</v>
      </c>
      <c r="DZ362" s="637">
        <f t="shared" si="844"/>
        <v>0</v>
      </c>
      <c r="EA362" s="643">
        <f t="shared" si="845"/>
        <v>0</v>
      </c>
      <c r="EB362" s="637">
        <f t="shared" si="855"/>
        <v>0</v>
      </c>
      <c r="EC362" s="637">
        <f t="shared" si="856"/>
        <v>0</v>
      </c>
      <c r="ED362" s="637">
        <f t="shared" si="857"/>
        <v>0</v>
      </c>
      <c r="EE362" s="643">
        <f t="shared" si="858"/>
        <v>0</v>
      </c>
      <c r="EF362" s="637">
        <f t="shared" si="859"/>
        <v>0</v>
      </c>
      <c r="EG362" s="637">
        <f t="shared" si="860"/>
        <v>0</v>
      </c>
      <c r="EH362" s="637">
        <f t="shared" si="861"/>
        <v>0</v>
      </c>
      <c r="EI362" s="643">
        <f t="shared" si="862"/>
        <v>0</v>
      </c>
      <c r="EJ362" s="637">
        <f t="shared" si="863"/>
        <v>0</v>
      </c>
      <c r="EK362" s="637">
        <f t="shared" si="864"/>
        <v>0</v>
      </c>
      <c r="EL362" s="637">
        <f t="shared" si="865"/>
        <v>0</v>
      </c>
      <c r="EM362" s="643">
        <f t="shared" si="866"/>
        <v>0</v>
      </c>
      <c r="EN362" s="637">
        <f t="shared" si="867"/>
        <v>0</v>
      </c>
      <c r="EO362" s="637">
        <f t="shared" si="868"/>
        <v>0</v>
      </c>
      <c r="EP362" s="637">
        <f t="shared" si="869"/>
        <v>0</v>
      </c>
      <c r="EQ362" s="643">
        <f t="shared" si="870"/>
        <v>0</v>
      </c>
      <c r="ER362" s="637">
        <f t="shared" si="871"/>
        <v>0</v>
      </c>
      <c r="ES362" s="637">
        <f t="shared" si="872"/>
        <v>0</v>
      </c>
      <c r="ET362" s="637">
        <f t="shared" si="873"/>
        <v>0</v>
      </c>
      <c r="EU362" s="643">
        <f t="shared" si="846"/>
        <v>0</v>
      </c>
      <c r="EV362" s="643">
        <f t="shared" si="847"/>
        <v>0</v>
      </c>
      <c r="EX362" s="829">
        <f t="shared" si="848"/>
        <v>0</v>
      </c>
      <c r="EY362" s="638">
        <f t="shared" si="849"/>
        <v>75638.192465749395</v>
      </c>
      <c r="FC362" s="830" t="str">
        <f t="shared" si="874"/>
        <v>Y</v>
      </c>
      <c r="FE362" s="830" t="str">
        <f>IFERROR(VLOOKUP($B362,'Historical Conc Grant Elig'!$B$3:$J$707,'HH &amp; SI'!FE$2,0),"N")</f>
        <v>N</v>
      </c>
      <c r="FF362" s="830" t="str">
        <f>IFERROR(VLOOKUP($B362,'Historical Conc Grant Elig'!$B$3:$J$707,'HH &amp; SI'!FF$2,0),"N")</f>
        <v>N</v>
      </c>
      <c r="FG362" s="830" t="str">
        <f>IFERROR(VLOOKUP($B362,'Historical Conc Grant Elig'!$B$3:$J$707,'HH &amp; SI'!FG$2,0),"N")</f>
        <v>N</v>
      </c>
      <c r="FH362" s="830" t="str">
        <f>IFERROR(VLOOKUP($B362,'Historical Conc Grant Elig'!$B$3:$J$707,'HH &amp; SI'!FH$2,0),"N")</f>
        <v>Y</v>
      </c>
      <c r="FI362" s="830" t="str">
        <f>IFERROR(VLOOKUP($B362,'Historical Conc Grant Elig'!$B$3:$J$707,'HH &amp; SI'!FI$2,0),"N")</f>
        <v>Y</v>
      </c>
      <c r="FJ362" s="830" t="str">
        <f>IFERROR(VLOOKUP($B362,'Historical Conc Grant Elig'!$B$3:$J$707,'HH &amp; SI'!FJ$2,0),"N")</f>
        <v>Y</v>
      </c>
      <c r="FK362" s="830" t="str">
        <f>IFERROR(VLOOKUP($B362,'Historical Conc Grant Elig'!$B$3:$J$707,'HH &amp; SI'!FK$2,0),"N")</f>
        <v>N</v>
      </c>
      <c r="FL362" s="957" t="str">
        <f>IFERROR(VLOOKUP($B362,'Historical Conc Grant Elig'!$B$3:$J$707,'HH &amp; SI'!FL$2,0),"N")</f>
        <v>N</v>
      </c>
    </row>
    <row r="363" spans="2:168" x14ac:dyDescent="0.25">
      <c r="B363" s="634">
        <v>100344000</v>
      </c>
      <c r="C363" s="635" t="str">
        <f>VLOOKUP($B363,'Afton Update'!$A$5:$CR$582,'Afton Update'!D$589,0)</f>
        <v>Redington Elementary District</v>
      </c>
      <c r="D363" s="636">
        <f>IFERROR(VLOOKUP($B363,'Afton FY16 Final'!$A$5:$BV$587,'Afton FY16 Final'!AQ$587,0),0)</f>
        <v>0</v>
      </c>
      <c r="E363" s="637">
        <f>IFERROR(VLOOKUP($B363,'Afton FY16 Final'!$A$5:$BV$587,'Afton FY16 Final'!AR$587,0),0)</f>
        <v>0</v>
      </c>
      <c r="F363" s="637">
        <f>IFERROR(VLOOKUP($B363,'Afton FY16 Final'!$A$5:$BV$587,'Afton FY16 Final'!AS$587,0),0)</f>
        <v>0</v>
      </c>
      <c r="G363" s="637">
        <f>IFERROR(VLOOKUP($B363,'Afton FY16 Final'!$A$5:$BV$587,'Afton FY16 Final'!AT$587,0),0)</f>
        <v>0</v>
      </c>
      <c r="H363" s="638">
        <f>IFERROR(VLOOKUP($B363,'Afton FY16 Final'!$A$5:$BV$587,'Afton FY16 Final'!AU$587,0),0)</f>
        <v>0</v>
      </c>
      <c r="I363" s="639" t="str">
        <f>VLOOKUP($B363,'Afton Update'!$A$5:$CR$582,'Afton Update'!BT$589,0)</f>
        <v>N</v>
      </c>
      <c r="J363" s="640" t="str">
        <f>VLOOKUP($B363,'Afton Update'!$A$5:$CR$582,'Afton Update'!BU$589,0)</f>
        <v>N</v>
      </c>
      <c r="K363" s="640" t="str">
        <f>VLOOKUP($B363,'Afton Update'!$A$5:$CR$582,'Afton Update'!BV$589,0)</f>
        <v>N</v>
      </c>
      <c r="L363" s="641" t="str">
        <f>VLOOKUP($B363,'Afton Update'!$A$5:$CR$582,'Afton Update'!BW$589,0)</f>
        <v>N</v>
      </c>
      <c r="N363" s="642">
        <f>VLOOKUP($B363,'Afton Update'!$A$5:$CR$582,'Afton Update'!CB$589,0)</f>
        <v>0.95</v>
      </c>
      <c r="P363" s="636" t="str">
        <f>VLOOKUP($B363,'Afton Update'!$A$5:$CR$582,'Afton Update'!AH$589,0)</f>
        <v/>
      </c>
      <c r="Q363" s="637" t="str">
        <f>VLOOKUP($B363,'Afton Update'!$A$5:$CR$582,'Afton Update'!AI$589,0)</f>
        <v/>
      </c>
      <c r="R363" s="637" t="str">
        <f>VLOOKUP($B363,'Afton Update'!$A$5:$CR$582,'Afton Update'!AJ$589,0)</f>
        <v/>
      </c>
      <c r="S363" s="637" t="str">
        <f>VLOOKUP($B363,'Afton Update'!$A$5:$CR$582,'Afton Update'!AK$589,0)</f>
        <v/>
      </c>
      <c r="T363" s="643">
        <f t="shared" si="875"/>
        <v>0</v>
      </c>
      <c r="V363" s="636">
        <f t="shared" si="1024"/>
        <v>0</v>
      </c>
      <c r="W363" s="637">
        <f t="shared" si="1025"/>
        <v>0</v>
      </c>
      <c r="X363" s="637">
        <f t="shared" si="1026"/>
        <v>0</v>
      </c>
      <c r="Y363" s="637">
        <f t="shared" si="1027"/>
        <v>0</v>
      </c>
      <c r="Z363" s="643">
        <f t="shared" si="1028"/>
        <v>0</v>
      </c>
      <c r="AB363" s="644">
        <f t="shared" si="876"/>
        <v>0</v>
      </c>
      <c r="AC363" s="645">
        <f t="shared" si="850"/>
        <v>0</v>
      </c>
      <c r="AD363" s="644">
        <f t="shared" si="1029"/>
        <v>0</v>
      </c>
      <c r="AE363" s="645">
        <f t="shared" si="1030"/>
        <v>0</v>
      </c>
      <c r="AF363" s="646">
        <f t="shared" si="1031"/>
        <v>0</v>
      </c>
      <c r="AG363" s="647">
        <f t="shared" si="1032"/>
        <v>0</v>
      </c>
      <c r="AH363" s="644">
        <f t="shared" si="877"/>
        <v>0</v>
      </c>
      <c r="AI363" s="645">
        <f t="shared" si="878"/>
        <v>0</v>
      </c>
      <c r="AJ363" s="646">
        <f t="shared" si="1033"/>
        <v>0</v>
      </c>
      <c r="AK363" s="647">
        <f t="shared" si="879"/>
        <v>0</v>
      </c>
      <c r="AL363" s="644">
        <f t="shared" si="1034"/>
        <v>0</v>
      </c>
      <c r="AM363" s="645">
        <f t="shared" si="1035"/>
        <v>0</v>
      </c>
      <c r="AN363" s="646">
        <f t="shared" si="1036"/>
        <v>0</v>
      </c>
      <c r="AO363" s="647">
        <f t="shared" si="880"/>
        <v>0</v>
      </c>
      <c r="AP363" s="644">
        <f t="shared" si="1037"/>
        <v>0</v>
      </c>
      <c r="AQ363" s="645">
        <f t="shared" si="1038"/>
        <v>0</v>
      </c>
      <c r="AR363" s="646">
        <f t="shared" si="1039"/>
        <v>0</v>
      </c>
      <c r="AS363" s="647">
        <f t="shared" si="881"/>
        <v>0</v>
      </c>
      <c r="AT363" s="644">
        <f t="shared" si="1040"/>
        <v>0</v>
      </c>
      <c r="AU363" s="645">
        <f t="shared" si="1041"/>
        <v>0</v>
      </c>
      <c r="AV363" s="646">
        <f t="shared" si="1042"/>
        <v>0</v>
      </c>
      <c r="AW363" s="647">
        <f t="shared" si="882"/>
        <v>0</v>
      </c>
      <c r="AY363" s="644">
        <f t="shared" si="1043"/>
        <v>0</v>
      </c>
      <c r="AZ363" s="645">
        <f t="shared" si="851"/>
        <v>0</v>
      </c>
      <c r="BA363" s="644">
        <f t="shared" si="1044"/>
        <v>0</v>
      </c>
      <c r="BB363" s="645">
        <f t="shared" si="1045"/>
        <v>0</v>
      </c>
      <c r="BC363" s="646">
        <f t="shared" si="1046"/>
        <v>0</v>
      </c>
      <c r="BD363" s="647">
        <f t="shared" si="1047"/>
        <v>0</v>
      </c>
      <c r="BE363" s="644">
        <f t="shared" si="883"/>
        <v>0</v>
      </c>
      <c r="BF363" s="645">
        <f t="shared" si="884"/>
        <v>0</v>
      </c>
      <c r="BG363" s="646">
        <f t="shared" si="1048"/>
        <v>0</v>
      </c>
      <c r="BH363" s="647">
        <f t="shared" si="885"/>
        <v>0</v>
      </c>
      <c r="BI363" s="644">
        <f t="shared" si="1049"/>
        <v>0</v>
      </c>
      <c r="BJ363" s="645">
        <f t="shared" si="1050"/>
        <v>0</v>
      </c>
      <c r="BK363" s="646">
        <f t="shared" si="1051"/>
        <v>0</v>
      </c>
      <c r="BL363" s="647">
        <f t="shared" si="886"/>
        <v>0</v>
      </c>
      <c r="BM363" s="644">
        <f t="shared" si="1052"/>
        <v>0</v>
      </c>
      <c r="BN363" s="645">
        <f t="shared" si="1053"/>
        <v>0</v>
      </c>
      <c r="BO363" s="646">
        <f t="shared" si="1054"/>
        <v>0</v>
      </c>
      <c r="BP363" s="647">
        <f t="shared" si="887"/>
        <v>0</v>
      </c>
      <c r="BQ363" s="644">
        <f t="shared" si="1055"/>
        <v>0</v>
      </c>
      <c r="BR363" s="645">
        <f t="shared" si="1056"/>
        <v>0</v>
      </c>
      <c r="BS363" s="646">
        <f t="shared" si="1057"/>
        <v>0</v>
      </c>
      <c r="BT363" s="647">
        <f t="shared" si="888"/>
        <v>0</v>
      </c>
      <c r="BU363" s="662">
        <f>VLOOKUP(B363,'Afton Update'!$A$5:$AR$582,'Afton Update'!$AO$589,0)-BT363</f>
        <v>0</v>
      </c>
      <c r="BV363" s="644">
        <f t="shared" si="1058"/>
        <v>0</v>
      </c>
      <c r="BW363" s="645">
        <f t="shared" si="852"/>
        <v>0</v>
      </c>
      <c r="BX363" s="644">
        <f t="shared" si="1059"/>
        <v>0</v>
      </c>
      <c r="BY363" s="645">
        <f t="shared" si="1060"/>
        <v>0</v>
      </c>
      <c r="BZ363" s="646">
        <f t="shared" si="1061"/>
        <v>0</v>
      </c>
      <c r="CA363" s="647">
        <f t="shared" si="1062"/>
        <v>0</v>
      </c>
      <c r="CB363" s="644">
        <f t="shared" si="889"/>
        <v>0</v>
      </c>
      <c r="CC363" s="645">
        <f t="shared" si="890"/>
        <v>0</v>
      </c>
      <c r="CD363" s="646">
        <f t="shared" si="1063"/>
        <v>0</v>
      </c>
      <c r="CE363" s="647">
        <f t="shared" si="891"/>
        <v>0</v>
      </c>
      <c r="CF363" s="644">
        <f t="shared" si="1064"/>
        <v>0</v>
      </c>
      <c r="CG363" s="645">
        <f t="shared" si="1065"/>
        <v>0</v>
      </c>
      <c r="CH363" s="646">
        <f t="shared" si="1066"/>
        <v>0</v>
      </c>
      <c r="CI363" s="647">
        <f t="shared" si="892"/>
        <v>0</v>
      </c>
      <c r="CJ363" s="644">
        <f t="shared" si="1067"/>
        <v>0</v>
      </c>
      <c r="CK363" s="645">
        <f t="shared" si="1068"/>
        <v>0</v>
      </c>
      <c r="CL363" s="646">
        <f t="shared" si="1069"/>
        <v>0</v>
      </c>
      <c r="CM363" s="647">
        <f t="shared" si="893"/>
        <v>0</v>
      </c>
      <c r="CN363" s="644">
        <f t="shared" si="1070"/>
        <v>0</v>
      </c>
      <c r="CO363" s="645">
        <f t="shared" si="1071"/>
        <v>0</v>
      </c>
      <c r="CP363" s="646">
        <f t="shared" si="1072"/>
        <v>0</v>
      </c>
      <c r="CQ363" s="647">
        <f t="shared" si="894"/>
        <v>0</v>
      </c>
      <c r="CS363" s="644">
        <f t="shared" si="1073"/>
        <v>0</v>
      </c>
      <c r="CT363" s="645">
        <f t="shared" si="853"/>
        <v>0</v>
      </c>
      <c r="CU363" s="644">
        <f t="shared" si="1074"/>
        <v>0</v>
      </c>
      <c r="CV363" s="645">
        <f t="shared" si="1075"/>
        <v>0</v>
      </c>
      <c r="CW363" s="646">
        <f t="shared" si="1076"/>
        <v>0</v>
      </c>
      <c r="CX363" s="647">
        <f t="shared" si="1077"/>
        <v>0</v>
      </c>
      <c r="CY363" s="644">
        <f t="shared" si="895"/>
        <v>0</v>
      </c>
      <c r="CZ363" s="645">
        <f t="shared" si="896"/>
        <v>0</v>
      </c>
      <c r="DA363" s="646">
        <f t="shared" si="1078"/>
        <v>0</v>
      </c>
      <c r="DB363" s="647">
        <f t="shared" si="897"/>
        <v>0</v>
      </c>
      <c r="DC363" s="644">
        <f t="shared" si="1079"/>
        <v>0</v>
      </c>
      <c r="DD363" s="645">
        <f t="shared" si="1080"/>
        <v>0</v>
      </c>
      <c r="DE363" s="646">
        <f t="shared" si="1081"/>
        <v>0</v>
      </c>
      <c r="DF363" s="647">
        <f t="shared" si="898"/>
        <v>0</v>
      </c>
      <c r="DG363" s="644">
        <f t="shared" si="1082"/>
        <v>0</v>
      </c>
      <c r="DH363" s="645">
        <f t="shared" si="1083"/>
        <v>0</v>
      </c>
      <c r="DI363" s="646">
        <f t="shared" si="1084"/>
        <v>0</v>
      </c>
      <c r="DJ363" s="647">
        <f t="shared" si="899"/>
        <v>0</v>
      </c>
      <c r="DK363" s="644">
        <f t="shared" si="1085"/>
        <v>0</v>
      </c>
      <c r="DL363" s="645">
        <f t="shared" si="1086"/>
        <v>0</v>
      </c>
      <c r="DM363" s="646">
        <f t="shared" si="1087"/>
        <v>0</v>
      </c>
      <c r="DN363" s="647">
        <f t="shared" si="900"/>
        <v>0</v>
      </c>
      <c r="DR363" s="827">
        <f t="shared" si="854"/>
        <v>0</v>
      </c>
      <c r="DV363" s="828">
        <f>IFERROR(VLOOKUP($B363,'Afton FY16 Final'!$A$5:$BV$587,'Afton FY16 Final'!$BV$587,0),0)</f>
        <v>0</v>
      </c>
      <c r="DX363" s="636">
        <f t="shared" si="842"/>
        <v>0</v>
      </c>
      <c r="DY363" s="637">
        <f t="shared" si="843"/>
        <v>0</v>
      </c>
      <c r="DZ363" s="637">
        <f t="shared" si="844"/>
        <v>0</v>
      </c>
      <c r="EA363" s="643">
        <f t="shared" si="845"/>
        <v>0</v>
      </c>
      <c r="EB363" s="637">
        <f t="shared" si="855"/>
        <v>0</v>
      </c>
      <c r="EC363" s="637">
        <f t="shared" si="856"/>
        <v>0</v>
      </c>
      <c r="ED363" s="637">
        <f t="shared" si="857"/>
        <v>0</v>
      </c>
      <c r="EE363" s="643">
        <f t="shared" si="858"/>
        <v>0</v>
      </c>
      <c r="EF363" s="637">
        <f t="shared" si="859"/>
        <v>0</v>
      </c>
      <c r="EG363" s="637">
        <f t="shared" si="860"/>
        <v>0</v>
      </c>
      <c r="EH363" s="637">
        <f t="shared" si="861"/>
        <v>0</v>
      </c>
      <c r="EI363" s="643">
        <f t="shared" si="862"/>
        <v>0</v>
      </c>
      <c r="EJ363" s="637">
        <f t="shared" si="863"/>
        <v>0</v>
      </c>
      <c r="EK363" s="637">
        <f t="shared" si="864"/>
        <v>0</v>
      </c>
      <c r="EL363" s="637">
        <f t="shared" si="865"/>
        <v>0</v>
      </c>
      <c r="EM363" s="643">
        <f t="shared" si="866"/>
        <v>0</v>
      </c>
      <c r="EN363" s="637">
        <f t="shared" si="867"/>
        <v>0</v>
      </c>
      <c r="EO363" s="637">
        <f t="shared" si="868"/>
        <v>0</v>
      </c>
      <c r="EP363" s="637">
        <f t="shared" si="869"/>
        <v>0</v>
      </c>
      <c r="EQ363" s="643">
        <f t="shared" si="870"/>
        <v>0</v>
      </c>
      <c r="ER363" s="637">
        <f t="shared" si="871"/>
        <v>0</v>
      </c>
      <c r="ES363" s="637">
        <f t="shared" si="872"/>
        <v>0</v>
      </c>
      <c r="ET363" s="637">
        <f t="shared" si="873"/>
        <v>0</v>
      </c>
      <c r="EU363" s="643">
        <f t="shared" si="846"/>
        <v>0</v>
      </c>
      <c r="EV363" s="643">
        <f t="shared" si="847"/>
        <v>0</v>
      </c>
      <c r="EX363" s="829">
        <f t="shared" si="848"/>
        <v>0</v>
      </c>
      <c r="EY363" s="638">
        <f t="shared" si="849"/>
        <v>0</v>
      </c>
      <c r="FC363" s="830" t="str">
        <f t="shared" si="874"/>
        <v>N</v>
      </c>
      <c r="FE363" s="830" t="str">
        <f>IFERROR(VLOOKUP($B363,'Historical Conc Grant Elig'!$B$3:$J$707,'HH &amp; SI'!FE$2,0),"N")</f>
        <v>N</v>
      </c>
      <c r="FF363" s="830" t="str">
        <f>IFERROR(VLOOKUP($B363,'Historical Conc Grant Elig'!$B$3:$J$707,'HH &amp; SI'!FF$2,0),"N")</f>
        <v>N</v>
      </c>
      <c r="FG363" s="830" t="str">
        <f>IFERROR(VLOOKUP($B363,'Historical Conc Grant Elig'!$B$3:$J$707,'HH &amp; SI'!FG$2,0),"N")</f>
        <v>N</v>
      </c>
      <c r="FH363" s="830" t="str">
        <f>IFERROR(VLOOKUP($B363,'Historical Conc Grant Elig'!$B$3:$J$707,'HH &amp; SI'!FH$2,0),"N")</f>
        <v>N</v>
      </c>
      <c r="FI363" s="830" t="str">
        <f>IFERROR(VLOOKUP($B363,'Historical Conc Grant Elig'!$B$3:$J$707,'HH &amp; SI'!FI$2,0),"N")</f>
        <v>N</v>
      </c>
      <c r="FJ363" s="830" t="str">
        <f>IFERROR(VLOOKUP($B363,'Historical Conc Grant Elig'!$B$3:$J$707,'HH &amp; SI'!FJ$2,0),"N")</f>
        <v>N</v>
      </c>
      <c r="FK363" s="830" t="str">
        <f>IFERROR(VLOOKUP($B363,'Historical Conc Grant Elig'!$B$3:$J$707,'HH &amp; SI'!FK$2,0),"N")</f>
        <v>N</v>
      </c>
      <c r="FL363" s="957" t="str">
        <f>IFERROR(VLOOKUP($B363,'Historical Conc Grant Elig'!$B$3:$J$707,'HH &amp; SI'!FL$2,0),"N")</f>
        <v>N</v>
      </c>
    </row>
    <row r="364" spans="2:168" x14ac:dyDescent="0.25">
      <c r="B364" s="634">
        <v>100351000</v>
      </c>
      <c r="C364" s="635" t="str">
        <f>VLOOKUP($B364,'Afton Update'!$A$5:$CR$582,'Afton Update'!D$589,0)</f>
        <v>Altar Valley Elementary District</v>
      </c>
      <c r="D364" s="636">
        <f>IFERROR(VLOOKUP($B364,'Afton FY16 Final'!$A$5:$BV$587,'Afton FY16 Final'!AQ$587,0),0)</f>
        <v>233585.52111848534</v>
      </c>
      <c r="E364" s="637">
        <f>IFERROR(VLOOKUP($B364,'Afton FY16 Final'!$A$5:$BV$587,'Afton FY16 Final'!AR$587,0),0)</f>
        <v>59510.718050488867</v>
      </c>
      <c r="F364" s="637">
        <f>IFERROR(VLOOKUP($B364,'Afton FY16 Final'!$A$5:$BV$587,'Afton FY16 Final'!AS$587,0),0)</f>
        <v>112578.61988391475</v>
      </c>
      <c r="G364" s="637">
        <f>IFERROR(VLOOKUP($B364,'Afton FY16 Final'!$A$5:$BV$587,'Afton FY16 Final'!AT$587,0),0)</f>
        <v>109523.71610498415</v>
      </c>
      <c r="H364" s="638">
        <f>IFERROR(VLOOKUP($B364,'Afton FY16 Final'!$A$5:$BV$587,'Afton FY16 Final'!AU$587,0),0)</f>
        <v>515198.57515787316</v>
      </c>
      <c r="I364" s="639" t="str">
        <f>VLOOKUP($B364,'Afton Update'!$A$5:$CR$582,'Afton Update'!BT$589,0)</f>
        <v>Y</v>
      </c>
      <c r="J364" s="640" t="str">
        <f>VLOOKUP($B364,'Afton Update'!$A$5:$CR$582,'Afton Update'!BU$589,0)</f>
        <v>Y</v>
      </c>
      <c r="K364" s="640" t="str">
        <f>VLOOKUP($B364,'Afton Update'!$A$5:$CR$582,'Afton Update'!BV$589,0)</f>
        <v>Y</v>
      </c>
      <c r="L364" s="641" t="str">
        <f>VLOOKUP($B364,'Afton Update'!$A$5:$CR$582,'Afton Update'!BW$589,0)</f>
        <v>Y</v>
      </c>
      <c r="N364" s="642">
        <f>VLOOKUP($B364,'Afton Update'!$A$5:$CR$582,'Afton Update'!CB$589,0)</f>
        <v>0.9</v>
      </c>
      <c r="P364" s="636">
        <f>VLOOKUP($B364,'Afton Update'!$A$5:$CR$582,'Afton Update'!AH$589,0)</f>
        <v>209987.09840678819</v>
      </c>
      <c r="Q364" s="637">
        <f>VLOOKUP($B364,'Afton Update'!$A$5:$CR$582,'Afton Update'!AI$589,0)</f>
        <v>54023.239634353289</v>
      </c>
      <c r="R364" s="637">
        <f>VLOOKUP($B364,'Afton Update'!$A$5:$CR$582,'Afton Update'!AJ$589,0)</f>
        <v>101060.9389431763</v>
      </c>
      <c r="S364" s="637">
        <f>VLOOKUP($B364,'Afton Update'!$A$5:$CR$582,'Afton Update'!AK$589,0)</f>
        <v>98409.413401454105</v>
      </c>
      <c r="T364" s="643">
        <f t="shared" si="875"/>
        <v>463480.69038577192</v>
      </c>
      <c r="V364" s="636">
        <f t="shared" si="1024"/>
        <v>210226.96900663682</v>
      </c>
      <c r="W364" s="637">
        <f t="shared" si="1025"/>
        <v>53559.646245439981</v>
      </c>
      <c r="X364" s="637">
        <f t="shared" si="1026"/>
        <v>101320.75789552327</v>
      </c>
      <c r="Y364" s="637">
        <f t="shared" si="1027"/>
        <v>98571.344494485733</v>
      </c>
      <c r="Z364" s="643">
        <f t="shared" si="1028"/>
        <v>463678.71764208586</v>
      </c>
      <c r="AB364" s="644">
        <f t="shared" si="876"/>
        <v>209987.09840678819</v>
      </c>
      <c r="AC364" s="645">
        <f t="shared" si="850"/>
        <v>210226.96900663682</v>
      </c>
      <c r="AD364" s="644">
        <f t="shared" si="1029"/>
        <v>239.87059984862572</v>
      </c>
      <c r="AE364" s="645">
        <f t="shared" si="1030"/>
        <v>0</v>
      </c>
      <c r="AF364" s="646">
        <f t="shared" si="1031"/>
        <v>0</v>
      </c>
      <c r="AG364" s="647">
        <f t="shared" si="1032"/>
        <v>210226.96900663682</v>
      </c>
      <c r="AH364" s="644">
        <f t="shared" si="877"/>
        <v>0</v>
      </c>
      <c r="AI364" s="645">
        <f t="shared" si="878"/>
        <v>0</v>
      </c>
      <c r="AJ364" s="646">
        <f t="shared" si="1033"/>
        <v>0</v>
      </c>
      <c r="AK364" s="647">
        <f t="shared" si="879"/>
        <v>210226.96900663682</v>
      </c>
      <c r="AL364" s="644">
        <f t="shared" si="1034"/>
        <v>0</v>
      </c>
      <c r="AM364" s="645">
        <f t="shared" si="1035"/>
        <v>0</v>
      </c>
      <c r="AN364" s="646">
        <f t="shared" si="1036"/>
        <v>0</v>
      </c>
      <c r="AO364" s="647">
        <f t="shared" si="880"/>
        <v>210226.96900663682</v>
      </c>
      <c r="AP364" s="644">
        <f t="shared" si="1037"/>
        <v>0</v>
      </c>
      <c r="AQ364" s="645">
        <f t="shared" si="1038"/>
        <v>0</v>
      </c>
      <c r="AR364" s="646">
        <f t="shared" si="1039"/>
        <v>0</v>
      </c>
      <c r="AS364" s="647">
        <f t="shared" si="881"/>
        <v>210226.96900663682</v>
      </c>
      <c r="AT364" s="644">
        <f t="shared" si="1040"/>
        <v>0</v>
      </c>
      <c r="AU364" s="645">
        <f t="shared" si="1041"/>
        <v>0</v>
      </c>
      <c r="AV364" s="646">
        <f t="shared" si="1042"/>
        <v>0</v>
      </c>
      <c r="AW364" s="647">
        <f t="shared" si="882"/>
        <v>210226.96900663682</v>
      </c>
      <c r="AY364" s="644">
        <f t="shared" si="1043"/>
        <v>54023.239634353289</v>
      </c>
      <c r="AZ364" s="645">
        <f t="shared" si="851"/>
        <v>53559.646245439981</v>
      </c>
      <c r="BA364" s="644">
        <f t="shared" si="1044"/>
        <v>0</v>
      </c>
      <c r="BB364" s="645">
        <f t="shared" si="1045"/>
        <v>54023.239634353289</v>
      </c>
      <c r="BC364" s="646">
        <f t="shared" si="1046"/>
        <v>-388.49686022736176</v>
      </c>
      <c r="BD364" s="647">
        <f t="shared" si="1047"/>
        <v>53634.742774125931</v>
      </c>
      <c r="BE364" s="644">
        <f t="shared" si="883"/>
        <v>0</v>
      </c>
      <c r="BF364" s="645">
        <f t="shared" si="884"/>
        <v>53634.742774125931</v>
      </c>
      <c r="BG364" s="646">
        <f t="shared" si="1048"/>
        <v>-1277.5358637176732</v>
      </c>
      <c r="BH364" s="647">
        <f t="shared" si="885"/>
        <v>52357.206910408255</v>
      </c>
      <c r="BI364" s="644">
        <f t="shared" si="1049"/>
        <v>-1202.4393350317259</v>
      </c>
      <c r="BJ364" s="645">
        <f t="shared" si="1050"/>
        <v>0</v>
      </c>
      <c r="BK364" s="646">
        <f t="shared" si="1051"/>
        <v>0</v>
      </c>
      <c r="BL364" s="647">
        <f t="shared" si="886"/>
        <v>53559.646245439981</v>
      </c>
      <c r="BM364" s="644">
        <f t="shared" si="1052"/>
        <v>0</v>
      </c>
      <c r="BN364" s="645">
        <f t="shared" si="1053"/>
        <v>0</v>
      </c>
      <c r="BO364" s="646">
        <f t="shared" si="1054"/>
        <v>0</v>
      </c>
      <c r="BP364" s="647">
        <f t="shared" si="887"/>
        <v>53559.646245439981</v>
      </c>
      <c r="BQ364" s="644">
        <f t="shared" si="1055"/>
        <v>0</v>
      </c>
      <c r="BR364" s="645">
        <f t="shared" si="1056"/>
        <v>0</v>
      </c>
      <c r="BS364" s="646">
        <f t="shared" si="1057"/>
        <v>0</v>
      </c>
      <c r="BT364" s="647">
        <f t="shared" si="888"/>
        <v>53559.646245439981</v>
      </c>
      <c r="BU364" s="662">
        <f>VLOOKUP(B364,'Afton Update'!$A$5:$AR$582,'Afton Update'!$AO$589,0)-BT364</f>
        <v>0</v>
      </c>
      <c r="BV364" s="644">
        <f t="shared" si="1058"/>
        <v>101060.9389431763</v>
      </c>
      <c r="BW364" s="645">
        <f t="shared" si="852"/>
        <v>101320.75789552327</v>
      </c>
      <c r="BX364" s="644">
        <f t="shared" si="1059"/>
        <v>259.81895234697731</v>
      </c>
      <c r="BY364" s="645">
        <f t="shared" si="1060"/>
        <v>0</v>
      </c>
      <c r="BZ364" s="646">
        <f t="shared" si="1061"/>
        <v>0</v>
      </c>
      <c r="CA364" s="647">
        <f t="shared" si="1062"/>
        <v>101320.75789552327</v>
      </c>
      <c r="CB364" s="644">
        <f t="shared" si="889"/>
        <v>0</v>
      </c>
      <c r="CC364" s="645">
        <f t="shared" si="890"/>
        <v>0</v>
      </c>
      <c r="CD364" s="646">
        <f t="shared" si="1063"/>
        <v>0</v>
      </c>
      <c r="CE364" s="647">
        <f t="shared" si="891"/>
        <v>101320.75789552327</v>
      </c>
      <c r="CF364" s="644">
        <f t="shared" si="1064"/>
        <v>0</v>
      </c>
      <c r="CG364" s="645">
        <f t="shared" si="1065"/>
        <v>0</v>
      </c>
      <c r="CH364" s="646">
        <f t="shared" si="1066"/>
        <v>0</v>
      </c>
      <c r="CI364" s="647">
        <f t="shared" si="892"/>
        <v>101320.75789552327</v>
      </c>
      <c r="CJ364" s="644">
        <f t="shared" si="1067"/>
        <v>0</v>
      </c>
      <c r="CK364" s="645">
        <f t="shared" si="1068"/>
        <v>0</v>
      </c>
      <c r="CL364" s="646">
        <f t="shared" si="1069"/>
        <v>0</v>
      </c>
      <c r="CM364" s="647">
        <f t="shared" si="893"/>
        <v>101320.75789552327</v>
      </c>
      <c r="CN364" s="644">
        <f t="shared" si="1070"/>
        <v>0</v>
      </c>
      <c r="CO364" s="645">
        <f t="shared" si="1071"/>
        <v>0</v>
      </c>
      <c r="CP364" s="646">
        <f t="shared" si="1072"/>
        <v>0</v>
      </c>
      <c r="CQ364" s="647">
        <f t="shared" si="894"/>
        <v>101320.75789552327</v>
      </c>
      <c r="CS364" s="644">
        <f t="shared" si="1073"/>
        <v>98409.413401454105</v>
      </c>
      <c r="CT364" s="645">
        <f t="shared" si="853"/>
        <v>98571.344494485733</v>
      </c>
      <c r="CU364" s="644">
        <f t="shared" si="1074"/>
        <v>161.93109303162782</v>
      </c>
      <c r="CV364" s="645">
        <f t="shared" si="1075"/>
        <v>0</v>
      </c>
      <c r="CW364" s="646">
        <f t="shared" si="1076"/>
        <v>0</v>
      </c>
      <c r="CX364" s="647">
        <f t="shared" si="1077"/>
        <v>98571.344494485733</v>
      </c>
      <c r="CY364" s="644">
        <f t="shared" si="895"/>
        <v>0</v>
      </c>
      <c r="CZ364" s="645">
        <f t="shared" si="896"/>
        <v>0</v>
      </c>
      <c r="DA364" s="646">
        <f t="shared" si="1078"/>
        <v>0</v>
      </c>
      <c r="DB364" s="647">
        <f t="shared" si="897"/>
        <v>98571.344494485733</v>
      </c>
      <c r="DC364" s="644">
        <f t="shared" si="1079"/>
        <v>0</v>
      </c>
      <c r="DD364" s="645">
        <f t="shared" si="1080"/>
        <v>0</v>
      </c>
      <c r="DE364" s="646">
        <f t="shared" si="1081"/>
        <v>0</v>
      </c>
      <c r="DF364" s="647">
        <f t="shared" si="898"/>
        <v>98571.344494485733</v>
      </c>
      <c r="DG364" s="644">
        <f t="shared" si="1082"/>
        <v>0</v>
      </c>
      <c r="DH364" s="645">
        <f t="shared" si="1083"/>
        <v>0</v>
      </c>
      <c r="DI364" s="646">
        <f t="shared" si="1084"/>
        <v>0</v>
      </c>
      <c r="DJ364" s="647">
        <f t="shared" si="899"/>
        <v>98571.344494485733</v>
      </c>
      <c r="DK364" s="644">
        <f t="shared" si="1085"/>
        <v>0</v>
      </c>
      <c r="DL364" s="645">
        <f t="shared" si="1086"/>
        <v>0</v>
      </c>
      <c r="DM364" s="646">
        <f t="shared" si="1087"/>
        <v>0</v>
      </c>
      <c r="DN364" s="647">
        <f t="shared" si="900"/>
        <v>98571.344494485733</v>
      </c>
      <c r="DR364" s="827">
        <f t="shared" si="854"/>
        <v>463678.71764208586</v>
      </c>
      <c r="DV364" s="828">
        <f>IFERROR(VLOOKUP($B364,'Afton FY16 Final'!$A$5:$BV$587,'Afton FY16 Final'!$BV$587,0),0)</f>
        <v>505054.31529833609</v>
      </c>
      <c r="DX364" s="636">
        <f t="shared" si="842"/>
        <v>0</v>
      </c>
      <c r="DY364" s="637">
        <f t="shared" si="843"/>
        <v>0</v>
      </c>
      <c r="DZ364" s="637">
        <f t="shared" si="844"/>
        <v>0</v>
      </c>
      <c r="EA364" s="643">
        <f t="shared" si="845"/>
        <v>0</v>
      </c>
      <c r="EB364" s="637">
        <f t="shared" si="855"/>
        <v>0</v>
      </c>
      <c r="EC364" s="637">
        <f t="shared" si="856"/>
        <v>0</v>
      </c>
      <c r="ED364" s="637">
        <f t="shared" si="857"/>
        <v>0</v>
      </c>
      <c r="EE364" s="643">
        <f t="shared" si="858"/>
        <v>0</v>
      </c>
      <c r="EF364" s="637">
        <f t="shared" si="859"/>
        <v>0</v>
      </c>
      <c r="EG364" s="637">
        <f t="shared" si="860"/>
        <v>0</v>
      </c>
      <c r="EH364" s="637">
        <f t="shared" si="861"/>
        <v>0</v>
      </c>
      <c r="EI364" s="643">
        <f t="shared" si="862"/>
        <v>0</v>
      </c>
      <c r="EJ364" s="637">
        <f t="shared" si="863"/>
        <v>0</v>
      </c>
      <c r="EK364" s="637">
        <f t="shared" si="864"/>
        <v>0</v>
      </c>
      <c r="EL364" s="637">
        <f t="shared" si="865"/>
        <v>0</v>
      </c>
      <c r="EM364" s="643">
        <f t="shared" si="866"/>
        <v>0</v>
      </c>
      <c r="EN364" s="637">
        <f t="shared" si="867"/>
        <v>0</v>
      </c>
      <c r="EO364" s="637">
        <f t="shared" si="868"/>
        <v>0</v>
      </c>
      <c r="EP364" s="637">
        <f t="shared" si="869"/>
        <v>0</v>
      </c>
      <c r="EQ364" s="643">
        <f t="shared" si="870"/>
        <v>0</v>
      </c>
      <c r="ER364" s="637">
        <f t="shared" si="871"/>
        <v>0</v>
      </c>
      <c r="ES364" s="637">
        <f t="shared" si="872"/>
        <v>0</v>
      </c>
      <c r="ET364" s="637">
        <f t="shared" si="873"/>
        <v>0</v>
      </c>
      <c r="EU364" s="643">
        <f t="shared" si="846"/>
        <v>0</v>
      </c>
      <c r="EV364" s="643">
        <f t="shared" si="847"/>
        <v>0</v>
      </c>
      <c r="EX364" s="829">
        <f t="shared" si="848"/>
        <v>0</v>
      </c>
      <c r="EY364" s="638">
        <f t="shared" si="849"/>
        <v>463678.71764208586</v>
      </c>
      <c r="FC364" s="830" t="str">
        <f t="shared" si="874"/>
        <v>Y</v>
      </c>
      <c r="FE364" s="830" t="str">
        <f>IFERROR(VLOOKUP($B364,'Historical Conc Grant Elig'!$B$3:$J$707,'HH &amp; SI'!FE$2,0),"N")</f>
        <v>Y</v>
      </c>
      <c r="FF364" s="830" t="str">
        <f>IFERROR(VLOOKUP($B364,'Historical Conc Grant Elig'!$B$3:$J$707,'HH &amp; SI'!FF$2,0),"N")</f>
        <v>Y</v>
      </c>
      <c r="FG364" s="830" t="str">
        <f>IFERROR(VLOOKUP($B364,'Historical Conc Grant Elig'!$B$3:$J$707,'HH &amp; SI'!FG$2,0),"N")</f>
        <v>Y</v>
      </c>
      <c r="FH364" s="830" t="str">
        <f>IFERROR(VLOOKUP($B364,'Historical Conc Grant Elig'!$B$3:$J$707,'HH &amp; SI'!FH$2,0),"N")</f>
        <v>Y</v>
      </c>
      <c r="FI364" s="830" t="str">
        <f>IFERROR(VLOOKUP($B364,'Historical Conc Grant Elig'!$B$3:$J$707,'HH &amp; SI'!FI$2,0),"N")</f>
        <v>Y</v>
      </c>
      <c r="FJ364" s="830" t="str">
        <f>IFERROR(VLOOKUP($B364,'Historical Conc Grant Elig'!$B$3:$J$707,'HH &amp; SI'!FJ$2,0),"N")</f>
        <v>Y</v>
      </c>
      <c r="FK364" s="830" t="str">
        <f>IFERROR(VLOOKUP($B364,'Historical Conc Grant Elig'!$B$3:$J$707,'HH &amp; SI'!FK$2,0),"N")</f>
        <v>Y</v>
      </c>
      <c r="FL364" s="957" t="str">
        <f>IFERROR(VLOOKUP($B364,'Historical Conc Grant Elig'!$B$3:$J$707,'HH &amp; SI'!FL$2,0),"N")</f>
        <v>Y</v>
      </c>
    </row>
    <row r="365" spans="2:168" x14ac:dyDescent="0.25">
      <c r="B365" s="634">
        <v>108227000</v>
      </c>
      <c r="C365" s="635" t="str">
        <f>VLOOKUP($B365,'Afton Update'!$A$5:$CR$582,'Afton Update'!D$589,0)</f>
        <v>Strengthbuilding Partners</v>
      </c>
      <c r="D365" s="636">
        <f>IFERROR(VLOOKUP($B365,'Afton FY16 Final'!$A$5:$BV$587,'Afton FY16 Final'!AQ$587,0),0)</f>
        <v>10604.857360043094</v>
      </c>
      <c r="E365" s="637">
        <f>IFERROR(VLOOKUP($B365,'Afton FY16 Final'!$A$5:$BV$587,'Afton FY16 Final'!AR$587,0),0)</f>
        <v>5398.0562536464486</v>
      </c>
      <c r="F365" s="637">
        <f>IFERROR(VLOOKUP($B365,'Afton FY16 Final'!$A$5:$BV$587,'Afton FY16 Final'!AS$587,0),0)</f>
        <v>6063.5245131981046</v>
      </c>
      <c r="G365" s="637">
        <f>IFERROR(VLOOKUP($B365,'Afton FY16 Final'!$A$5:$BV$587,'Afton FY16 Final'!AT$587,0),0)</f>
        <v>6078.01902242705</v>
      </c>
      <c r="H365" s="638">
        <f>IFERROR(VLOOKUP($B365,'Afton FY16 Final'!$A$5:$BV$587,'Afton FY16 Final'!AU$587,0),0)</f>
        <v>28144.457149314694</v>
      </c>
      <c r="I365" s="639" t="str">
        <f>VLOOKUP($B365,'Afton Update'!$A$5:$CR$582,'Afton Update'!BT$589,0)</f>
        <v>Y</v>
      </c>
      <c r="J365" s="640" t="str">
        <f>VLOOKUP($B365,'Afton Update'!$A$5:$CR$582,'Afton Update'!BU$589,0)</f>
        <v>Y</v>
      </c>
      <c r="K365" s="640" t="str">
        <f>VLOOKUP($B365,'Afton Update'!$A$5:$CR$582,'Afton Update'!BV$589,0)</f>
        <v>Y</v>
      </c>
      <c r="L365" s="641" t="str">
        <f>VLOOKUP($B365,'Afton Update'!$A$5:$CR$582,'Afton Update'!BW$589,0)</f>
        <v>Y</v>
      </c>
      <c r="N365" s="642">
        <f>VLOOKUP($B365,'Afton Update'!$A$5:$CR$582,'Afton Update'!CB$589,0)</f>
        <v>0.95</v>
      </c>
      <c r="P365" s="636">
        <f>VLOOKUP($B365,'Afton Update'!$A$5:$CR$582,'Afton Update'!AH$589,0)</f>
        <v>16595.735261970131</v>
      </c>
      <c r="Q365" s="637">
        <f>VLOOKUP($B365,'Afton Update'!$A$5:$CR$582,'Afton Update'!AI$589,0)</f>
        <v>6469.8040555502703</v>
      </c>
      <c r="R365" s="637">
        <f>VLOOKUP($B365,'Afton Update'!$A$5:$CR$582,'Afton Update'!AJ$589,0)</f>
        <v>10090.705848677311</v>
      </c>
      <c r="S365" s="637">
        <f>VLOOKUP($B365,'Afton Update'!$A$5:$CR$582,'Afton Update'!AK$589,0)</f>
        <v>9802.353162706273</v>
      </c>
      <c r="T365" s="643">
        <f t="shared" si="875"/>
        <v>42958.598328903987</v>
      </c>
      <c r="V365" s="636">
        <f t="shared" si="1024"/>
        <v>16369.358661308126</v>
      </c>
      <c r="W365" s="637">
        <f t="shared" si="1025"/>
        <v>6256.7123641803873</v>
      </c>
      <c r="X365" s="637">
        <f t="shared" si="1026"/>
        <v>9998.9348187507258</v>
      </c>
      <c r="Y365" s="637">
        <f t="shared" si="1027"/>
        <v>9694.3488759902812</v>
      </c>
      <c r="Z365" s="643">
        <f t="shared" si="1028"/>
        <v>42319.354720229523</v>
      </c>
      <c r="AB365" s="644">
        <f t="shared" si="876"/>
        <v>16595.735261970131</v>
      </c>
      <c r="AC365" s="645">
        <f t="shared" si="850"/>
        <v>10074.614492040939</v>
      </c>
      <c r="AD365" s="644">
        <f t="shared" si="1029"/>
        <v>0</v>
      </c>
      <c r="AE365" s="645">
        <f t="shared" si="1030"/>
        <v>16595.735261970131</v>
      </c>
      <c r="AF365" s="646">
        <f t="shared" si="1031"/>
        <v>-205.71660993518756</v>
      </c>
      <c r="AG365" s="647">
        <f t="shared" si="1032"/>
        <v>16390.018652034942</v>
      </c>
      <c r="AH365" s="644">
        <f t="shared" si="877"/>
        <v>0</v>
      </c>
      <c r="AI365" s="645">
        <f t="shared" si="878"/>
        <v>16390.018652034942</v>
      </c>
      <c r="AJ365" s="646">
        <f t="shared" si="1033"/>
        <v>-20.64682831017771</v>
      </c>
      <c r="AK365" s="647">
        <f t="shared" si="879"/>
        <v>16369.371823724763</v>
      </c>
      <c r="AL365" s="644">
        <f t="shared" si="1034"/>
        <v>0</v>
      </c>
      <c r="AM365" s="645">
        <f t="shared" si="1035"/>
        <v>16369.371823724763</v>
      </c>
      <c r="AN365" s="646">
        <f t="shared" si="1036"/>
        <v>-1.3162416636397663E-2</v>
      </c>
      <c r="AO365" s="647">
        <f t="shared" si="880"/>
        <v>16369.358661308126</v>
      </c>
      <c r="AP365" s="644">
        <f t="shared" si="1037"/>
        <v>0</v>
      </c>
      <c r="AQ365" s="645">
        <f t="shared" si="1038"/>
        <v>16369.358661308126</v>
      </c>
      <c r="AR365" s="646">
        <f t="shared" si="1039"/>
        <v>0</v>
      </c>
      <c r="AS365" s="647">
        <f t="shared" si="881"/>
        <v>16369.358661308126</v>
      </c>
      <c r="AT365" s="644">
        <f t="shared" si="1040"/>
        <v>0</v>
      </c>
      <c r="AU365" s="645">
        <f t="shared" si="1041"/>
        <v>16369.358661308126</v>
      </c>
      <c r="AV365" s="646">
        <f t="shared" si="1042"/>
        <v>0</v>
      </c>
      <c r="AW365" s="647">
        <f t="shared" si="882"/>
        <v>16369.358661308126</v>
      </c>
      <c r="AY365" s="644">
        <f t="shared" si="1043"/>
        <v>6469.8040555502703</v>
      </c>
      <c r="AZ365" s="645">
        <f t="shared" si="851"/>
        <v>5128.1534409641263</v>
      </c>
      <c r="BA365" s="644">
        <f t="shared" si="1044"/>
        <v>0</v>
      </c>
      <c r="BB365" s="645">
        <f t="shared" si="1045"/>
        <v>6469.8040555502703</v>
      </c>
      <c r="BC365" s="646">
        <f t="shared" si="1046"/>
        <v>-46.526246461332214</v>
      </c>
      <c r="BD365" s="647">
        <f t="shared" si="1047"/>
        <v>6423.2778090889378</v>
      </c>
      <c r="BE365" s="644">
        <f t="shared" si="883"/>
        <v>0</v>
      </c>
      <c r="BF365" s="645">
        <f t="shared" si="884"/>
        <v>6423.2778090889378</v>
      </c>
      <c r="BG365" s="646">
        <f t="shared" si="1048"/>
        <v>-152.99724281872867</v>
      </c>
      <c r="BH365" s="647">
        <f t="shared" si="885"/>
        <v>6270.2805662702094</v>
      </c>
      <c r="BI365" s="644">
        <f t="shared" si="1049"/>
        <v>0</v>
      </c>
      <c r="BJ365" s="645">
        <f t="shared" si="1050"/>
        <v>6270.2805662702094</v>
      </c>
      <c r="BK365" s="646">
        <f t="shared" si="1051"/>
        <v>-13.281926952754452</v>
      </c>
      <c r="BL365" s="647">
        <f t="shared" si="886"/>
        <v>6256.9986393174549</v>
      </c>
      <c r="BM365" s="644">
        <f t="shared" si="1052"/>
        <v>0</v>
      </c>
      <c r="BN365" s="645">
        <f t="shared" si="1053"/>
        <v>6256.9986393174549</v>
      </c>
      <c r="BO365" s="646">
        <f t="shared" si="1054"/>
        <v>-0.28627513706766861</v>
      </c>
      <c r="BP365" s="647">
        <f t="shared" si="887"/>
        <v>6256.7123641803873</v>
      </c>
      <c r="BQ365" s="644">
        <f t="shared" si="1055"/>
        <v>0</v>
      </c>
      <c r="BR365" s="645">
        <f t="shared" si="1056"/>
        <v>6256.7123641803873</v>
      </c>
      <c r="BS365" s="646">
        <f t="shared" si="1057"/>
        <v>0</v>
      </c>
      <c r="BT365" s="647">
        <f t="shared" si="888"/>
        <v>6256.7123641803873</v>
      </c>
      <c r="BU365" s="662">
        <f>VLOOKUP(B365,'Afton Update'!$A$5:$AR$582,'Afton Update'!$AO$589,0)-BT365</f>
        <v>0</v>
      </c>
      <c r="BV365" s="644">
        <f t="shared" si="1058"/>
        <v>10090.705848677311</v>
      </c>
      <c r="BW365" s="645">
        <f t="shared" si="852"/>
        <v>5760.3482875381987</v>
      </c>
      <c r="BX365" s="644">
        <f t="shared" si="1059"/>
        <v>0</v>
      </c>
      <c r="BY365" s="645">
        <f t="shared" si="1060"/>
        <v>10090.705848677311</v>
      </c>
      <c r="BZ365" s="646">
        <f t="shared" si="1061"/>
        <v>-88.56719806570139</v>
      </c>
      <c r="CA365" s="647">
        <f t="shared" si="1062"/>
        <v>10002.138650611611</v>
      </c>
      <c r="CB365" s="644">
        <f t="shared" si="889"/>
        <v>0</v>
      </c>
      <c r="CC365" s="645">
        <f t="shared" si="890"/>
        <v>10002.138650611611</v>
      </c>
      <c r="CD365" s="646">
        <f t="shared" si="1063"/>
        <v>-3.2038318608843128</v>
      </c>
      <c r="CE365" s="647">
        <f t="shared" si="891"/>
        <v>9998.9348187507258</v>
      </c>
      <c r="CF365" s="644">
        <f t="shared" si="1064"/>
        <v>0</v>
      </c>
      <c r="CG365" s="645">
        <f t="shared" si="1065"/>
        <v>9998.9348187507258</v>
      </c>
      <c r="CH365" s="646">
        <f t="shared" si="1066"/>
        <v>0</v>
      </c>
      <c r="CI365" s="647">
        <f t="shared" si="892"/>
        <v>9998.9348187507258</v>
      </c>
      <c r="CJ365" s="644">
        <f t="shared" si="1067"/>
        <v>0</v>
      </c>
      <c r="CK365" s="645">
        <f t="shared" si="1068"/>
        <v>9998.9348187507258</v>
      </c>
      <c r="CL365" s="646">
        <f t="shared" si="1069"/>
        <v>0</v>
      </c>
      <c r="CM365" s="647">
        <f t="shared" si="893"/>
        <v>9998.9348187507258</v>
      </c>
      <c r="CN365" s="644">
        <f t="shared" si="1070"/>
        <v>0</v>
      </c>
      <c r="CO365" s="645">
        <f t="shared" si="1071"/>
        <v>9998.9348187507258</v>
      </c>
      <c r="CP365" s="646">
        <f t="shared" si="1072"/>
        <v>0</v>
      </c>
      <c r="CQ365" s="647">
        <f t="shared" si="894"/>
        <v>9998.9348187507258</v>
      </c>
      <c r="CS365" s="644">
        <f t="shared" si="1073"/>
        <v>9802.353162706273</v>
      </c>
      <c r="CT365" s="645">
        <f t="shared" si="853"/>
        <v>5774.1180713056974</v>
      </c>
      <c r="CU365" s="644">
        <f t="shared" si="1074"/>
        <v>0</v>
      </c>
      <c r="CV365" s="645">
        <f t="shared" si="1075"/>
        <v>9802.353162706273</v>
      </c>
      <c r="CW365" s="646">
        <f t="shared" si="1076"/>
        <v>-100.38163591129803</v>
      </c>
      <c r="CX365" s="647">
        <f t="shared" si="1077"/>
        <v>9701.9715267949741</v>
      </c>
      <c r="CY365" s="644">
        <f t="shared" si="895"/>
        <v>0</v>
      </c>
      <c r="CZ365" s="645">
        <f t="shared" si="896"/>
        <v>9701.9715267949741</v>
      </c>
      <c r="DA365" s="646">
        <f t="shared" si="1078"/>
        <v>-7.6160828818088762</v>
      </c>
      <c r="DB365" s="647">
        <f t="shared" si="897"/>
        <v>9694.3554439131658</v>
      </c>
      <c r="DC365" s="644">
        <f t="shared" si="1079"/>
        <v>0</v>
      </c>
      <c r="DD365" s="645">
        <f t="shared" si="1080"/>
        <v>9694.3554439131658</v>
      </c>
      <c r="DE365" s="646">
        <f t="shared" si="1081"/>
        <v>-6.5679228843823489E-3</v>
      </c>
      <c r="DF365" s="647">
        <f t="shared" si="898"/>
        <v>9694.3488759902812</v>
      </c>
      <c r="DG365" s="644">
        <f t="shared" si="1082"/>
        <v>0</v>
      </c>
      <c r="DH365" s="645">
        <f t="shared" si="1083"/>
        <v>9694.3488759902812</v>
      </c>
      <c r="DI365" s="646">
        <f t="shared" si="1084"/>
        <v>0</v>
      </c>
      <c r="DJ365" s="647">
        <f t="shared" si="899"/>
        <v>9694.3488759902812</v>
      </c>
      <c r="DK365" s="644">
        <f t="shared" si="1085"/>
        <v>0</v>
      </c>
      <c r="DL365" s="645">
        <f t="shared" si="1086"/>
        <v>9694.3488759902812</v>
      </c>
      <c r="DM365" s="646">
        <f t="shared" si="1087"/>
        <v>0</v>
      </c>
      <c r="DN365" s="647">
        <f t="shared" si="900"/>
        <v>9694.3488759902812</v>
      </c>
      <c r="DR365" s="827">
        <f t="shared" si="854"/>
        <v>42319.354720229523</v>
      </c>
      <c r="DV365" s="828">
        <f>IFERROR(VLOOKUP($B365,'Afton FY16 Final'!$A$5:$BV$587,'Afton FY16 Final'!$BV$587,0),0)</f>
        <v>27148.368909275421</v>
      </c>
      <c r="DX365" s="636">
        <f t="shared" si="842"/>
        <v>42319.354720229523</v>
      </c>
      <c r="DY365" s="637">
        <f t="shared" si="843"/>
        <v>15170.985810954102</v>
      </c>
      <c r="DZ365" s="637">
        <f t="shared" si="844"/>
        <v>27148.368909275421</v>
      </c>
      <c r="EA365" s="643">
        <f t="shared" si="845"/>
        <v>40068.439339089753</v>
      </c>
      <c r="EB365" s="637">
        <f t="shared" si="855"/>
        <v>0</v>
      </c>
      <c r="EC365" s="637">
        <f t="shared" si="856"/>
        <v>40068.439339089753</v>
      </c>
      <c r="ED365" s="637">
        <f t="shared" si="857"/>
        <v>39948.957645375987</v>
      </c>
      <c r="EE365" s="643">
        <f t="shared" si="858"/>
        <v>39948.957645375987</v>
      </c>
      <c r="EF365" s="637">
        <f t="shared" si="859"/>
        <v>0</v>
      </c>
      <c r="EG365" s="637">
        <f t="shared" si="860"/>
        <v>39948.957645375987</v>
      </c>
      <c r="EH365" s="637">
        <f t="shared" si="861"/>
        <v>39948.91643159571</v>
      </c>
      <c r="EI365" s="643">
        <f t="shared" si="862"/>
        <v>39948.91643159571</v>
      </c>
      <c r="EJ365" s="637">
        <f t="shared" si="863"/>
        <v>0</v>
      </c>
      <c r="EK365" s="637">
        <f t="shared" si="864"/>
        <v>39948.91643159571</v>
      </c>
      <c r="EL365" s="637">
        <f t="shared" si="865"/>
        <v>39948.916431595651</v>
      </c>
      <c r="EM365" s="643">
        <f t="shared" si="866"/>
        <v>39948.916431595651</v>
      </c>
      <c r="EN365" s="637">
        <f t="shared" si="867"/>
        <v>0</v>
      </c>
      <c r="EO365" s="637">
        <f t="shared" si="868"/>
        <v>39948.916431595651</v>
      </c>
      <c r="EP365" s="637">
        <f t="shared" si="869"/>
        <v>39948.91643159571</v>
      </c>
      <c r="EQ365" s="643">
        <f t="shared" si="870"/>
        <v>39948.91643159571</v>
      </c>
      <c r="ER365" s="637">
        <f t="shared" si="871"/>
        <v>0</v>
      </c>
      <c r="ES365" s="637">
        <f t="shared" si="872"/>
        <v>39948.91643159571</v>
      </c>
      <c r="ET365" s="637">
        <f t="shared" si="873"/>
        <v>39948.916431595651</v>
      </c>
      <c r="EU365" s="643">
        <f t="shared" si="846"/>
        <v>39948.916431595651</v>
      </c>
      <c r="EV365" s="643">
        <f t="shared" si="847"/>
        <v>0</v>
      </c>
      <c r="EX365" s="829">
        <f t="shared" si="848"/>
        <v>2370.4382886338717</v>
      </c>
      <c r="EY365" s="638">
        <f t="shared" si="849"/>
        <v>39948.916431595651</v>
      </c>
      <c r="FC365" s="830" t="str">
        <f t="shared" si="874"/>
        <v>Y</v>
      </c>
      <c r="FE365" s="830" t="str">
        <f>IFERROR(VLOOKUP($B365,'Historical Conc Grant Elig'!$B$3:$J$707,'HH &amp; SI'!FE$2,0),"N")</f>
        <v>N</v>
      </c>
      <c r="FF365" s="830" t="str">
        <f>IFERROR(VLOOKUP($B365,'Historical Conc Grant Elig'!$B$3:$J$707,'HH &amp; SI'!FF$2,0),"N")</f>
        <v>N</v>
      </c>
      <c r="FG365" s="830" t="str">
        <f>IFERROR(VLOOKUP($B365,'Historical Conc Grant Elig'!$B$3:$J$707,'HH &amp; SI'!FG$2,0),"N")</f>
        <v>N</v>
      </c>
      <c r="FH365" s="830" t="str">
        <f>IFERROR(VLOOKUP($B365,'Historical Conc Grant Elig'!$B$3:$J$707,'HH &amp; SI'!FH$2,0),"N")</f>
        <v>N</v>
      </c>
      <c r="FI365" s="830" t="str">
        <f>IFERROR(VLOOKUP($B365,'Historical Conc Grant Elig'!$B$3:$J$707,'HH &amp; SI'!FI$2,0),"N")</f>
        <v>N</v>
      </c>
      <c r="FJ365" s="830" t="str">
        <f>IFERROR(VLOOKUP($B365,'Historical Conc Grant Elig'!$B$3:$J$707,'HH &amp; SI'!FJ$2,0),"N")</f>
        <v>Y</v>
      </c>
      <c r="FK365" s="830" t="str">
        <f>IFERROR(VLOOKUP($B365,'Historical Conc Grant Elig'!$B$3:$J$707,'HH &amp; SI'!FK$2,0),"N")</f>
        <v>Y</v>
      </c>
      <c r="FL365" s="957" t="str">
        <f>IFERROR(VLOOKUP($B365,'Historical Conc Grant Elig'!$B$3:$J$707,'HH &amp; SI'!FL$2,0),"N")</f>
        <v>Y</v>
      </c>
    </row>
    <row r="366" spans="2:168" x14ac:dyDescent="0.25">
      <c r="B366" s="634">
        <v>108502000</v>
      </c>
      <c r="C366" s="635" t="str">
        <f>VLOOKUP($B366,'Afton Update'!$A$5:$CR$582,'Afton Update'!D$589,0)</f>
        <v>Daisy Education Corporation dba Sonoran Science Academy - Ph</v>
      </c>
      <c r="D366" s="636">
        <f>IFERROR(VLOOKUP($B366,'Afton FY16 Final'!$A$5:$BV$587,'Afton FY16 Final'!AQ$587,0),0)</f>
        <v>74595.42212859221</v>
      </c>
      <c r="E366" s="637">
        <f>IFERROR(VLOOKUP($B366,'Afton FY16 Final'!$A$5:$BV$587,'Afton FY16 Final'!AR$587,0),0)</f>
        <v>18791.950444038706</v>
      </c>
      <c r="F366" s="637">
        <f>IFERROR(VLOOKUP($B366,'Afton FY16 Final'!$A$5:$BV$587,'Afton FY16 Final'!AS$587,0),0)</f>
        <v>40572.587038153375</v>
      </c>
      <c r="G366" s="637">
        <f>IFERROR(VLOOKUP($B366,'Afton FY16 Final'!$A$5:$BV$587,'Afton FY16 Final'!AT$587,0),0)</f>
        <v>42065.861002292593</v>
      </c>
      <c r="H366" s="638">
        <f>IFERROR(VLOOKUP($B366,'Afton FY16 Final'!$A$5:$BV$587,'Afton FY16 Final'!AU$587,0),0)</f>
        <v>176025.82061307691</v>
      </c>
      <c r="I366" s="639" t="str">
        <f>VLOOKUP($B366,'Afton Update'!$A$5:$CR$582,'Afton Update'!BT$589,0)</f>
        <v>Y</v>
      </c>
      <c r="J366" s="640" t="str">
        <f>VLOOKUP($B366,'Afton Update'!$A$5:$CR$582,'Afton Update'!BU$589,0)</f>
        <v>Y</v>
      </c>
      <c r="K366" s="640" t="str">
        <f>VLOOKUP($B366,'Afton Update'!$A$5:$CR$582,'Afton Update'!BV$589,0)</f>
        <v>Y</v>
      </c>
      <c r="L366" s="641" t="str">
        <f>VLOOKUP($B366,'Afton Update'!$A$5:$CR$582,'Afton Update'!BW$589,0)</f>
        <v>Y</v>
      </c>
      <c r="N366" s="642">
        <f>VLOOKUP($B366,'Afton Update'!$A$5:$CR$582,'Afton Update'!CB$589,0)</f>
        <v>0.95</v>
      </c>
      <c r="P366" s="636">
        <f>VLOOKUP($B366,'Afton Update'!$A$5:$CR$582,'Afton Update'!AH$589,0)</f>
        <v>71124.579694157699</v>
      </c>
      <c r="Q366" s="637">
        <f>VLOOKUP($B366,'Afton Update'!$A$5:$CR$582,'Afton Update'!AI$589,0)</f>
        <v>18505.60799008657</v>
      </c>
      <c r="R366" s="637">
        <f>VLOOKUP($B366,'Afton Update'!$A$5:$CR$582,'Afton Update'!AJ$589,0)</f>
        <v>43245.882208617048</v>
      </c>
      <c r="S366" s="637">
        <f>VLOOKUP($B366,'Afton Update'!$A$5:$CR$582,'Afton Update'!AK$589,0)</f>
        <v>42010.084983026885</v>
      </c>
      <c r="T366" s="643">
        <f t="shared" si="875"/>
        <v>174886.1548758882</v>
      </c>
      <c r="V366" s="636">
        <f t="shared" si="1024"/>
        <v>70865.651022162594</v>
      </c>
      <c r="W366" s="637">
        <f t="shared" si="1025"/>
        <v>17896.100921158777</v>
      </c>
      <c r="X366" s="637">
        <f t="shared" si="1026"/>
        <v>42852.577794645964</v>
      </c>
      <c r="Y366" s="637">
        <f t="shared" si="1027"/>
        <v>41547.209468529778</v>
      </c>
      <c r="Z366" s="643">
        <f t="shared" si="1028"/>
        <v>173161.53920649714</v>
      </c>
      <c r="AB366" s="644">
        <f t="shared" si="876"/>
        <v>71124.579694157699</v>
      </c>
      <c r="AC366" s="645">
        <f t="shared" si="850"/>
        <v>70865.651022162594</v>
      </c>
      <c r="AD366" s="644">
        <f t="shared" si="1029"/>
        <v>0</v>
      </c>
      <c r="AE366" s="645">
        <f t="shared" si="1030"/>
        <v>71124.579694157699</v>
      </c>
      <c r="AF366" s="646">
        <f t="shared" si="1031"/>
        <v>-881.64261400794669</v>
      </c>
      <c r="AG366" s="647">
        <f t="shared" si="1032"/>
        <v>70242.937080149757</v>
      </c>
      <c r="AH366" s="644">
        <f t="shared" si="877"/>
        <v>-622.71394201283692</v>
      </c>
      <c r="AI366" s="645">
        <f t="shared" si="878"/>
        <v>0</v>
      </c>
      <c r="AJ366" s="646">
        <f t="shared" si="1033"/>
        <v>0</v>
      </c>
      <c r="AK366" s="647">
        <f t="shared" si="879"/>
        <v>70865.651022162594</v>
      </c>
      <c r="AL366" s="644">
        <f t="shared" si="1034"/>
        <v>0</v>
      </c>
      <c r="AM366" s="645">
        <f t="shared" si="1035"/>
        <v>0</v>
      </c>
      <c r="AN366" s="646">
        <f t="shared" si="1036"/>
        <v>0</v>
      </c>
      <c r="AO366" s="647">
        <f t="shared" si="880"/>
        <v>70865.651022162594</v>
      </c>
      <c r="AP366" s="644">
        <f t="shared" si="1037"/>
        <v>0</v>
      </c>
      <c r="AQ366" s="645">
        <f t="shared" si="1038"/>
        <v>0</v>
      </c>
      <c r="AR366" s="646">
        <f t="shared" si="1039"/>
        <v>0</v>
      </c>
      <c r="AS366" s="647">
        <f t="shared" si="881"/>
        <v>70865.651022162594</v>
      </c>
      <c r="AT366" s="644">
        <f t="shared" si="1040"/>
        <v>0</v>
      </c>
      <c r="AU366" s="645">
        <f t="shared" si="1041"/>
        <v>0</v>
      </c>
      <c r="AV366" s="646">
        <f t="shared" si="1042"/>
        <v>0</v>
      </c>
      <c r="AW366" s="647">
        <f t="shared" si="882"/>
        <v>70865.651022162594</v>
      </c>
      <c r="AY366" s="644">
        <f t="shared" si="1043"/>
        <v>18505.60799008657</v>
      </c>
      <c r="AZ366" s="645">
        <f t="shared" si="851"/>
        <v>17852.352921836769</v>
      </c>
      <c r="BA366" s="644">
        <f t="shared" si="1044"/>
        <v>0</v>
      </c>
      <c r="BB366" s="645">
        <f t="shared" si="1045"/>
        <v>18505.60799008657</v>
      </c>
      <c r="BC366" s="646">
        <f t="shared" si="1046"/>
        <v>-133.07922015427047</v>
      </c>
      <c r="BD366" s="647">
        <f t="shared" si="1047"/>
        <v>18372.528769932298</v>
      </c>
      <c r="BE366" s="644">
        <f t="shared" si="883"/>
        <v>0</v>
      </c>
      <c r="BF366" s="645">
        <f t="shared" si="884"/>
        <v>18372.528769932298</v>
      </c>
      <c r="BG366" s="646">
        <f t="shared" si="1048"/>
        <v>-437.61866276901827</v>
      </c>
      <c r="BH366" s="647">
        <f t="shared" si="885"/>
        <v>17934.910107163279</v>
      </c>
      <c r="BI366" s="644">
        <f t="shared" si="1049"/>
        <v>0</v>
      </c>
      <c r="BJ366" s="645">
        <f t="shared" si="1050"/>
        <v>17934.910107163279</v>
      </c>
      <c r="BK366" s="646">
        <f t="shared" si="1051"/>
        <v>-37.990352015341514</v>
      </c>
      <c r="BL366" s="647">
        <f t="shared" si="886"/>
        <v>17896.919755147937</v>
      </c>
      <c r="BM366" s="644">
        <f t="shared" si="1052"/>
        <v>0</v>
      </c>
      <c r="BN366" s="645">
        <f t="shared" si="1053"/>
        <v>17896.919755147937</v>
      </c>
      <c r="BO366" s="646">
        <f t="shared" si="1054"/>
        <v>-0.8188339891588875</v>
      </c>
      <c r="BP366" s="647">
        <f t="shared" si="887"/>
        <v>17896.100921158777</v>
      </c>
      <c r="BQ366" s="644">
        <f t="shared" si="1055"/>
        <v>0</v>
      </c>
      <c r="BR366" s="645">
        <f t="shared" si="1056"/>
        <v>17896.100921158777</v>
      </c>
      <c r="BS366" s="646">
        <f t="shared" si="1057"/>
        <v>0</v>
      </c>
      <c r="BT366" s="647">
        <f t="shared" si="888"/>
        <v>17896.100921158777</v>
      </c>
      <c r="BU366" s="662">
        <f>VLOOKUP(B366,'Afton Update'!$A$5:$AR$582,'Afton Update'!$AO$589,0)-BT366</f>
        <v>0</v>
      </c>
      <c r="BV366" s="644">
        <f t="shared" si="1058"/>
        <v>43245.882208617048</v>
      </c>
      <c r="BW366" s="645">
        <f t="shared" si="852"/>
        <v>38543.957686245703</v>
      </c>
      <c r="BX366" s="644">
        <f t="shared" si="1059"/>
        <v>0</v>
      </c>
      <c r="BY366" s="645">
        <f t="shared" si="1060"/>
        <v>43245.882208617048</v>
      </c>
      <c r="BZ366" s="646">
        <f t="shared" si="1061"/>
        <v>-379.57370599586307</v>
      </c>
      <c r="CA366" s="647">
        <f t="shared" si="1062"/>
        <v>42866.308502621185</v>
      </c>
      <c r="CB366" s="644">
        <f t="shared" si="889"/>
        <v>0</v>
      </c>
      <c r="CC366" s="645">
        <f t="shared" si="890"/>
        <v>42866.308502621185</v>
      </c>
      <c r="CD366" s="646">
        <f t="shared" si="1063"/>
        <v>-13.730707975218481</v>
      </c>
      <c r="CE366" s="647">
        <f t="shared" si="891"/>
        <v>42852.577794645964</v>
      </c>
      <c r="CF366" s="644">
        <f t="shared" si="1064"/>
        <v>0</v>
      </c>
      <c r="CG366" s="645">
        <f t="shared" si="1065"/>
        <v>42852.577794645964</v>
      </c>
      <c r="CH366" s="646">
        <f t="shared" si="1066"/>
        <v>0</v>
      </c>
      <c r="CI366" s="647">
        <f t="shared" si="892"/>
        <v>42852.577794645964</v>
      </c>
      <c r="CJ366" s="644">
        <f t="shared" si="1067"/>
        <v>0</v>
      </c>
      <c r="CK366" s="645">
        <f t="shared" si="1068"/>
        <v>42852.577794645964</v>
      </c>
      <c r="CL366" s="646">
        <f t="shared" si="1069"/>
        <v>0</v>
      </c>
      <c r="CM366" s="647">
        <f t="shared" si="893"/>
        <v>42852.577794645964</v>
      </c>
      <c r="CN366" s="644">
        <f t="shared" si="1070"/>
        <v>0</v>
      </c>
      <c r="CO366" s="645">
        <f t="shared" si="1071"/>
        <v>42852.577794645964</v>
      </c>
      <c r="CP366" s="646">
        <f t="shared" si="1072"/>
        <v>0</v>
      </c>
      <c r="CQ366" s="647">
        <f t="shared" si="894"/>
        <v>42852.577794645964</v>
      </c>
      <c r="CS366" s="644">
        <f t="shared" si="1073"/>
        <v>42010.084983026885</v>
      </c>
      <c r="CT366" s="645">
        <f t="shared" si="853"/>
        <v>39962.56795217796</v>
      </c>
      <c r="CU366" s="644">
        <f t="shared" si="1074"/>
        <v>0</v>
      </c>
      <c r="CV366" s="645">
        <f t="shared" si="1075"/>
        <v>42010.084983026885</v>
      </c>
      <c r="CW366" s="646">
        <f t="shared" si="1076"/>
        <v>-430.20701104842016</v>
      </c>
      <c r="CX366" s="647">
        <f t="shared" si="1077"/>
        <v>41579.877971978465</v>
      </c>
      <c r="CY366" s="644">
        <f t="shared" si="895"/>
        <v>0</v>
      </c>
      <c r="CZ366" s="645">
        <f t="shared" si="896"/>
        <v>41579.877971978465</v>
      </c>
      <c r="DA366" s="646">
        <f t="shared" si="1078"/>
        <v>-32.640355207752322</v>
      </c>
      <c r="DB366" s="647">
        <f t="shared" si="897"/>
        <v>41547.237616770712</v>
      </c>
      <c r="DC366" s="644">
        <f t="shared" si="1079"/>
        <v>0</v>
      </c>
      <c r="DD366" s="645">
        <f t="shared" si="1080"/>
        <v>41547.237616770712</v>
      </c>
      <c r="DE366" s="646">
        <f t="shared" si="1081"/>
        <v>-2.8148240933067215E-2</v>
      </c>
      <c r="DF366" s="647">
        <f t="shared" si="898"/>
        <v>41547.209468529778</v>
      </c>
      <c r="DG366" s="644">
        <f t="shared" si="1082"/>
        <v>0</v>
      </c>
      <c r="DH366" s="645">
        <f t="shared" si="1083"/>
        <v>41547.209468529778</v>
      </c>
      <c r="DI366" s="646">
        <f t="shared" si="1084"/>
        <v>0</v>
      </c>
      <c r="DJ366" s="647">
        <f t="shared" si="899"/>
        <v>41547.209468529778</v>
      </c>
      <c r="DK366" s="644">
        <f t="shared" si="1085"/>
        <v>0</v>
      </c>
      <c r="DL366" s="645">
        <f t="shared" si="1086"/>
        <v>41547.209468529778</v>
      </c>
      <c r="DM366" s="646">
        <f t="shared" si="1087"/>
        <v>0</v>
      </c>
      <c r="DN366" s="647">
        <f t="shared" si="900"/>
        <v>41547.209468529778</v>
      </c>
      <c r="DR366" s="827">
        <f t="shared" si="854"/>
        <v>173161.53920649714</v>
      </c>
      <c r="DV366" s="828">
        <f>IFERROR(VLOOKUP($B366,'Afton FY16 Final'!$A$5:$BV$587,'Afton FY16 Final'!$BV$587,0),0)</f>
        <v>172559.87223435682</v>
      </c>
      <c r="DX366" s="636">
        <f t="shared" si="842"/>
        <v>173161.53920649714</v>
      </c>
      <c r="DY366" s="637">
        <f t="shared" si="843"/>
        <v>601.66697214031592</v>
      </c>
      <c r="DZ366" s="637">
        <f t="shared" si="844"/>
        <v>172559.87223435682</v>
      </c>
      <c r="EA366" s="643">
        <f t="shared" si="845"/>
        <v>163951.28601151111</v>
      </c>
      <c r="EB366" s="637">
        <f t="shared" si="855"/>
        <v>172559.87223435682</v>
      </c>
      <c r="EC366" s="637">
        <f t="shared" si="856"/>
        <v>0</v>
      </c>
      <c r="ED366" s="637">
        <f t="shared" si="857"/>
        <v>0</v>
      </c>
      <c r="EE366" s="643">
        <f t="shared" si="858"/>
        <v>172559.87223435682</v>
      </c>
      <c r="EF366" s="637">
        <f t="shared" si="859"/>
        <v>0</v>
      </c>
      <c r="EG366" s="637">
        <f t="shared" si="860"/>
        <v>0</v>
      </c>
      <c r="EH366" s="637">
        <f t="shared" si="861"/>
        <v>0</v>
      </c>
      <c r="EI366" s="643">
        <f t="shared" si="862"/>
        <v>172559.87223435682</v>
      </c>
      <c r="EJ366" s="637">
        <f t="shared" si="863"/>
        <v>0</v>
      </c>
      <c r="EK366" s="637">
        <f t="shared" si="864"/>
        <v>0</v>
      </c>
      <c r="EL366" s="637">
        <f t="shared" si="865"/>
        <v>0</v>
      </c>
      <c r="EM366" s="643">
        <f t="shared" si="866"/>
        <v>172559.87223435682</v>
      </c>
      <c r="EN366" s="637">
        <f t="shared" si="867"/>
        <v>0</v>
      </c>
      <c r="EO366" s="637">
        <f t="shared" si="868"/>
        <v>0</v>
      </c>
      <c r="EP366" s="637">
        <f t="shared" si="869"/>
        <v>0</v>
      </c>
      <c r="EQ366" s="643">
        <f t="shared" si="870"/>
        <v>172559.87223435682</v>
      </c>
      <c r="ER366" s="637">
        <f t="shared" si="871"/>
        <v>0</v>
      </c>
      <c r="ES366" s="637">
        <f t="shared" si="872"/>
        <v>0</v>
      </c>
      <c r="ET366" s="637">
        <f t="shared" si="873"/>
        <v>0</v>
      </c>
      <c r="EU366" s="643">
        <f t="shared" si="846"/>
        <v>172559.87223435682</v>
      </c>
      <c r="EV366" s="643">
        <f t="shared" si="847"/>
        <v>0</v>
      </c>
      <c r="EX366" s="829">
        <f t="shared" si="848"/>
        <v>601.66697214031592</v>
      </c>
      <c r="EY366" s="638">
        <f t="shared" si="849"/>
        <v>172559.87223435682</v>
      </c>
      <c r="FC366" s="830" t="str">
        <f t="shared" si="874"/>
        <v>Y</v>
      </c>
      <c r="FE366" s="830" t="str">
        <f>IFERROR(VLOOKUP($B366,'Historical Conc Grant Elig'!$B$3:$J$707,'HH &amp; SI'!FE$2,0),"N")</f>
        <v>N</v>
      </c>
      <c r="FF366" s="830" t="str">
        <f>IFERROR(VLOOKUP($B366,'Historical Conc Grant Elig'!$B$3:$J$707,'HH &amp; SI'!FF$2,0),"N")</f>
        <v>Y</v>
      </c>
      <c r="FG366" s="830" t="str">
        <f>IFERROR(VLOOKUP($B366,'Historical Conc Grant Elig'!$B$3:$J$707,'HH &amp; SI'!FG$2,0),"N")</f>
        <v>Y</v>
      </c>
      <c r="FH366" s="830" t="str">
        <f>IFERROR(VLOOKUP($B366,'Historical Conc Grant Elig'!$B$3:$J$707,'HH &amp; SI'!FH$2,0),"N")</f>
        <v>Y</v>
      </c>
      <c r="FI366" s="830" t="str">
        <f>IFERROR(VLOOKUP($B366,'Historical Conc Grant Elig'!$B$3:$J$707,'HH &amp; SI'!FI$2,0),"N")</f>
        <v>Y</v>
      </c>
      <c r="FJ366" s="830" t="str">
        <f>IFERROR(VLOOKUP($B366,'Historical Conc Grant Elig'!$B$3:$J$707,'HH &amp; SI'!FJ$2,0),"N")</f>
        <v>Y</v>
      </c>
      <c r="FK366" s="830" t="str">
        <f>IFERROR(VLOOKUP($B366,'Historical Conc Grant Elig'!$B$3:$J$707,'HH &amp; SI'!FK$2,0),"N")</f>
        <v>Y</v>
      </c>
      <c r="FL366" s="957" t="str">
        <f>IFERROR(VLOOKUP($B366,'Historical Conc Grant Elig'!$B$3:$J$707,'HH &amp; SI'!FL$2,0),"N")</f>
        <v>Y</v>
      </c>
    </row>
    <row r="367" spans="2:168" x14ac:dyDescent="0.25">
      <c r="B367" s="634">
        <v>108503000</v>
      </c>
      <c r="C367" s="635" t="str">
        <f>VLOOKUP($B367,'Afton Update'!$A$5:$CR$582,'Afton Update'!D$589,0)</f>
        <v>Sonoran Science Academy - Broadway</v>
      </c>
      <c r="D367" s="636">
        <f>IFERROR(VLOOKUP($B367,'Afton FY16 Final'!$A$5:$BV$587,'Afton FY16 Final'!AQ$587,0),0)</f>
        <v>52810.764662276764</v>
      </c>
      <c r="E367" s="637">
        <f>IFERROR(VLOOKUP($B367,'Afton FY16 Final'!$A$5:$BV$587,'Afton FY16 Final'!AR$587,0),0)</f>
        <v>14866.323664220121</v>
      </c>
      <c r="F367" s="637">
        <f>IFERROR(VLOOKUP($B367,'Afton FY16 Final'!$A$5:$BV$587,'Afton FY16 Final'!AS$587,0),0)</f>
        <v>30197.850624490202</v>
      </c>
      <c r="G367" s="637">
        <f>IFERROR(VLOOKUP($B367,'Afton FY16 Final'!$A$5:$BV$587,'Afton FY16 Final'!AT$587,0),0)</f>
        <v>29474.390454140397</v>
      </c>
      <c r="H367" s="638">
        <f>IFERROR(VLOOKUP($B367,'Afton FY16 Final'!$A$5:$BV$587,'Afton FY16 Final'!AU$587,0),0)</f>
        <v>127349.3294051275</v>
      </c>
      <c r="I367" s="639" t="str">
        <f>VLOOKUP($B367,'Afton Update'!$A$5:$CR$582,'Afton Update'!BT$589,0)</f>
        <v>Y</v>
      </c>
      <c r="J367" s="640" t="str">
        <f>VLOOKUP($B367,'Afton Update'!$A$5:$CR$582,'Afton Update'!BU$589,0)</f>
        <v>Y</v>
      </c>
      <c r="K367" s="640" t="str">
        <f>VLOOKUP($B367,'Afton Update'!$A$5:$CR$582,'Afton Update'!BV$589,0)</f>
        <v>Y</v>
      </c>
      <c r="L367" s="641" t="str">
        <f>VLOOKUP($B367,'Afton Update'!$A$5:$CR$582,'Afton Update'!BW$589,0)</f>
        <v>Y</v>
      </c>
      <c r="N367" s="642">
        <f>VLOOKUP($B367,'Afton Update'!$A$5:$CR$582,'Afton Update'!CB$589,0)</f>
        <v>0.95</v>
      </c>
      <c r="P367" s="636">
        <f>VLOOKUP($B367,'Afton Update'!$A$5:$CR$582,'Afton Update'!AH$589,0)</f>
        <v>50577.478893623251</v>
      </c>
      <c r="Q367" s="637">
        <f>VLOOKUP($B367,'Afton Update'!$A$5:$CR$582,'Afton Update'!AI$589,0)</f>
        <v>13970.377522000428</v>
      </c>
      <c r="R367" s="637">
        <f>VLOOKUP($B367,'Afton Update'!$A$5:$CR$582,'Afton Update'!AJ$589,0)</f>
        <v>30752.627348349899</v>
      </c>
      <c r="S367" s="637">
        <f>VLOOKUP($B367,'Afton Update'!$A$5:$CR$582,'Afton Update'!AK$589,0)</f>
        <v>29873.838210152448</v>
      </c>
      <c r="T367" s="643">
        <f t="shared" si="875"/>
        <v>125174.32197412603</v>
      </c>
      <c r="V367" s="636">
        <f t="shared" si="1024"/>
        <v>50170.226429162925</v>
      </c>
      <c r="W367" s="637">
        <f t="shared" si="1025"/>
        <v>14123.007481009114</v>
      </c>
      <c r="X367" s="637">
        <f t="shared" si="1026"/>
        <v>30472.94420952602</v>
      </c>
      <c r="Y367" s="637">
        <f t="shared" si="1027"/>
        <v>29544.682288732281</v>
      </c>
      <c r="Z367" s="643">
        <f t="shared" si="1028"/>
        <v>124310.86040843034</v>
      </c>
      <c r="AB367" s="644">
        <f t="shared" si="876"/>
        <v>50577.478893623251</v>
      </c>
      <c r="AC367" s="645">
        <f t="shared" si="850"/>
        <v>50170.226429162925</v>
      </c>
      <c r="AD367" s="644">
        <f t="shared" si="1029"/>
        <v>0</v>
      </c>
      <c r="AE367" s="645">
        <f t="shared" si="1030"/>
        <v>50577.478893623251</v>
      </c>
      <c r="AF367" s="646">
        <f t="shared" si="1031"/>
        <v>-626.94585885009542</v>
      </c>
      <c r="AG367" s="647">
        <f t="shared" si="1032"/>
        <v>49950.533034773158</v>
      </c>
      <c r="AH367" s="644">
        <f t="shared" si="877"/>
        <v>-219.69339438976749</v>
      </c>
      <c r="AI367" s="645">
        <f t="shared" si="878"/>
        <v>0</v>
      </c>
      <c r="AJ367" s="646">
        <f t="shared" si="1033"/>
        <v>0</v>
      </c>
      <c r="AK367" s="647">
        <f t="shared" si="879"/>
        <v>50170.226429162925</v>
      </c>
      <c r="AL367" s="644">
        <f t="shared" si="1034"/>
        <v>0</v>
      </c>
      <c r="AM367" s="645">
        <f t="shared" si="1035"/>
        <v>0</v>
      </c>
      <c r="AN367" s="646">
        <f t="shared" si="1036"/>
        <v>0</v>
      </c>
      <c r="AO367" s="647">
        <f t="shared" si="880"/>
        <v>50170.226429162925</v>
      </c>
      <c r="AP367" s="644">
        <f t="shared" si="1037"/>
        <v>0</v>
      </c>
      <c r="AQ367" s="645">
        <f t="shared" si="1038"/>
        <v>0</v>
      </c>
      <c r="AR367" s="646">
        <f t="shared" si="1039"/>
        <v>0</v>
      </c>
      <c r="AS367" s="647">
        <f t="shared" si="881"/>
        <v>50170.226429162925</v>
      </c>
      <c r="AT367" s="644">
        <f t="shared" si="1040"/>
        <v>0</v>
      </c>
      <c r="AU367" s="645">
        <f t="shared" si="1041"/>
        <v>0</v>
      </c>
      <c r="AV367" s="646">
        <f t="shared" si="1042"/>
        <v>0</v>
      </c>
      <c r="AW367" s="647">
        <f t="shared" si="882"/>
        <v>50170.226429162925</v>
      </c>
      <c r="AY367" s="644">
        <f t="shared" si="1043"/>
        <v>13970.377522000428</v>
      </c>
      <c r="AZ367" s="645">
        <f t="shared" si="851"/>
        <v>14123.007481009114</v>
      </c>
      <c r="BA367" s="644">
        <f t="shared" si="1044"/>
        <v>152.62995900868555</v>
      </c>
      <c r="BB367" s="645">
        <f t="shared" si="1045"/>
        <v>0</v>
      </c>
      <c r="BC367" s="646">
        <f t="shared" si="1046"/>
        <v>0</v>
      </c>
      <c r="BD367" s="647">
        <f t="shared" si="1047"/>
        <v>14123.007481009114</v>
      </c>
      <c r="BE367" s="644">
        <f t="shared" si="883"/>
        <v>0</v>
      </c>
      <c r="BF367" s="645">
        <f t="shared" si="884"/>
        <v>0</v>
      </c>
      <c r="BG367" s="646">
        <f t="shared" si="1048"/>
        <v>0</v>
      </c>
      <c r="BH367" s="647">
        <f t="shared" si="885"/>
        <v>14123.007481009114</v>
      </c>
      <c r="BI367" s="644">
        <f t="shared" si="1049"/>
        <v>0</v>
      </c>
      <c r="BJ367" s="645">
        <f t="shared" si="1050"/>
        <v>0</v>
      </c>
      <c r="BK367" s="646">
        <f t="shared" si="1051"/>
        <v>0</v>
      </c>
      <c r="BL367" s="647">
        <f t="shared" si="886"/>
        <v>14123.007481009114</v>
      </c>
      <c r="BM367" s="644">
        <f t="shared" si="1052"/>
        <v>0</v>
      </c>
      <c r="BN367" s="645">
        <f t="shared" si="1053"/>
        <v>0</v>
      </c>
      <c r="BO367" s="646">
        <f t="shared" si="1054"/>
        <v>0</v>
      </c>
      <c r="BP367" s="647">
        <f t="shared" si="887"/>
        <v>14123.007481009114</v>
      </c>
      <c r="BQ367" s="644">
        <f t="shared" si="1055"/>
        <v>0</v>
      </c>
      <c r="BR367" s="645">
        <f t="shared" si="1056"/>
        <v>0</v>
      </c>
      <c r="BS367" s="646">
        <f t="shared" si="1057"/>
        <v>0</v>
      </c>
      <c r="BT367" s="647">
        <f t="shared" si="888"/>
        <v>14123.007481009114</v>
      </c>
      <c r="BU367" s="662">
        <f>VLOOKUP(B367,'Afton Update'!$A$5:$AR$582,'Afton Update'!$AO$589,0)-BT367</f>
        <v>0</v>
      </c>
      <c r="BV367" s="644">
        <f t="shared" si="1058"/>
        <v>30752.627348349899</v>
      </c>
      <c r="BW367" s="645">
        <f t="shared" si="852"/>
        <v>28687.95809326569</v>
      </c>
      <c r="BX367" s="644">
        <f t="shared" si="1059"/>
        <v>0</v>
      </c>
      <c r="BY367" s="645">
        <f t="shared" si="1060"/>
        <v>30752.627348349899</v>
      </c>
      <c r="BZ367" s="646">
        <f t="shared" si="1061"/>
        <v>-269.9190798192804</v>
      </c>
      <c r="CA367" s="647">
        <f t="shared" si="1062"/>
        <v>30482.70826853062</v>
      </c>
      <c r="CB367" s="644">
        <f t="shared" si="889"/>
        <v>0</v>
      </c>
      <c r="CC367" s="645">
        <f t="shared" si="890"/>
        <v>30482.70826853062</v>
      </c>
      <c r="CD367" s="646">
        <f t="shared" si="1063"/>
        <v>-9.7640590045998099</v>
      </c>
      <c r="CE367" s="647">
        <f t="shared" si="891"/>
        <v>30472.94420952602</v>
      </c>
      <c r="CF367" s="644">
        <f t="shared" si="1064"/>
        <v>0</v>
      </c>
      <c r="CG367" s="645">
        <f t="shared" si="1065"/>
        <v>30472.94420952602</v>
      </c>
      <c r="CH367" s="646">
        <f t="shared" si="1066"/>
        <v>0</v>
      </c>
      <c r="CI367" s="647">
        <f t="shared" si="892"/>
        <v>30472.94420952602</v>
      </c>
      <c r="CJ367" s="644">
        <f t="shared" si="1067"/>
        <v>0</v>
      </c>
      <c r="CK367" s="645">
        <f t="shared" si="1068"/>
        <v>30472.94420952602</v>
      </c>
      <c r="CL367" s="646">
        <f t="shared" si="1069"/>
        <v>0</v>
      </c>
      <c r="CM367" s="647">
        <f t="shared" si="893"/>
        <v>30472.94420952602</v>
      </c>
      <c r="CN367" s="644">
        <f t="shared" si="1070"/>
        <v>0</v>
      </c>
      <c r="CO367" s="645">
        <f t="shared" si="1071"/>
        <v>30472.94420952602</v>
      </c>
      <c r="CP367" s="646">
        <f t="shared" si="1072"/>
        <v>0</v>
      </c>
      <c r="CQ367" s="647">
        <f t="shared" si="894"/>
        <v>30472.94420952602</v>
      </c>
      <c r="CS367" s="644">
        <f t="shared" si="1073"/>
        <v>29873.838210152448</v>
      </c>
      <c r="CT367" s="645">
        <f t="shared" si="853"/>
        <v>28000.670931433375</v>
      </c>
      <c r="CU367" s="644">
        <f t="shared" si="1074"/>
        <v>0</v>
      </c>
      <c r="CV367" s="645">
        <f t="shared" si="1075"/>
        <v>29873.838210152448</v>
      </c>
      <c r="CW367" s="646">
        <f t="shared" si="1076"/>
        <v>-305.92498563443206</v>
      </c>
      <c r="CX367" s="647">
        <f t="shared" si="1077"/>
        <v>29567.913224518015</v>
      </c>
      <c r="CY367" s="644">
        <f t="shared" si="895"/>
        <v>0</v>
      </c>
      <c r="CZ367" s="645">
        <f t="shared" si="896"/>
        <v>29567.913224518015</v>
      </c>
      <c r="DA367" s="646">
        <f t="shared" si="1078"/>
        <v>-23.210919258846097</v>
      </c>
      <c r="DB367" s="647">
        <f t="shared" si="897"/>
        <v>29544.702305259168</v>
      </c>
      <c r="DC367" s="644">
        <f t="shared" si="1079"/>
        <v>0</v>
      </c>
      <c r="DD367" s="645">
        <f t="shared" si="1080"/>
        <v>29544.702305259168</v>
      </c>
      <c r="DE367" s="646">
        <f t="shared" si="1081"/>
        <v>-2.0016526885736682E-2</v>
      </c>
      <c r="DF367" s="647">
        <f t="shared" si="898"/>
        <v>29544.682288732281</v>
      </c>
      <c r="DG367" s="644">
        <f t="shared" si="1082"/>
        <v>0</v>
      </c>
      <c r="DH367" s="645">
        <f t="shared" si="1083"/>
        <v>29544.682288732281</v>
      </c>
      <c r="DI367" s="646">
        <f t="shared" si="1084"/>
        <v>0</v>
      </c>
      <c r="DJ367" s="647">
        <f t="shared" si="899"/>
        <v>29544.682288732281</v>
      </c>
      <c r="DK367" s="644">
        <f t="shared" si="1085"/>
        <v>0</v>
      </c>
      <c r="DL367" s="645">
        <f t="shared" si="1086"/>
        <v>29544.682288732281</v>
      </c>
      <c r="DM367" s="646">
        <f t="shared" si="1087"/>
        <v>0</v>
      </c>
      <c r="DN367" s="647">
        <f t="shared" si="900"/>
        <v>29544.682288732281</v>
      </c>
      <c r="DR367" s="827">
        <f t="shared" si="854"/>
        <v>124310.86040843034</v>
      </c>
      <c r="DV367" s="828">
        <f>IFERROR(VLOOKUP($B367,'Afton FY16 Final'!$A$5:$BV$587,'Afton FY16 Final'!$BV$587,0),0)</f>
        <v>121307.4984972707</v>
      </c>
      <c r="DX367" s="636">
        <f t="shared" si="842"/>
        <v>124310.86040843034</v>
      </c>
      <c r="DY367" s="637">
        <f t="shared" si="843"/>
        <v>3003.3619111596345</v>
      </c>
      <c r="DZ367" s="637">
        <f t="shared" si="844"/>
        <v>121307.4984972707</v>
      </c>
      <c r="EA367" s="643">
        <f t="shared" si="845"/>
        <v>117698.91583635731</v>
      </c>
      <c r="EB367" s="637">
        <f t="shared" si="855"/>
        <v>121307.4984972707</v>
      </c>
      <c r="EC367" s="637">
        <f t="shared" si="856"/>
        <v>0</v>
      </c>
      <c r="ED367" s="637">
        <f t="shared" si="857"/>
        <v>0</v>
      </c>
      <c r="EE367" s="643">
        <f t="shared" si="858"/>
        <v>121307.4984972707</v>
      </c>
      <c r="EF367" s="637">
        <f t="shared" si="859"/>
        <v>0</v>
      </c>
      <c r="EG367" s="637">
        <f t="shared" si="860"/>
        <v>0</v>
      </c>
      <c r="EH367" s="637">
        <f t="shared" si="861"/>
        <v>0</v>
      </c>
      <c r="EI367" s="643">
        <f t="shared" si="862"/>
        <v>121307.4984972707</v>
      </c>
      <c r="EJ367" s="637">
        <f t="shared" si="863"/>
        <v>0</v>
      </c>
      <c r="EK367" s="637">
        <f t="shared" si="864"/>
        <v>0</v>
      </c>
      <c r="EL367" s="637">
        <f t="shared" si="865"/>
        <v>0</v>
      </c>
      <c r="EM367" s="643">
        <f t="shared" si="866"/>
        <v>121307.4984972707</v>
      </c>
      <c r="EN367" s="637">
        <f t="shared" si="867"/>
        <v>0</v>
      </c>
      <c r="EO367" s="637">
        <f t="shared" si="868"/>
        <v>0</v>
      </c>
      <c r="EP367" s="637">
        <f t="shared" si="869"/>
        <v>0</v>
      </c>
      <c r="EQ367" s="643">
        <f t="shared" si="870"/>
        <v>121307.4984972707</v>
      </c>
      <c r="ER367" s="637">
        <f t="shared" si="871"/>
        <v>0</v>
      </c>
      <c r="ES367" s="637">
        <f t="shared" si="872"/>
        <v>0</v>
      </c>
      <c r="ET367" s="637">
        <f t="shared" si="873"/>
        <v>0</v>
      </c>
      <c r="EU367" s="643">
        <f t="shared" si="846"/>
        <v>121307.4984972707</v>
      </c>
      <c r="EV367" s="643">
        <f t="shared" si="847"/>
        <v>0</v>
      </c>
      <c r="EX367" s="829">
        <f t="shared" si="848"/>
        <v>3003.3619111596345</v>
      </c>
      <c r="EY367" s="638">
        <f t="shared" si="849"/>
        <v>121307.4984972707</v>
      </c>
      <c r="FC367" s="830" t="str">
        <f t="shared" si="874"/>
        <v>Y</v>
      </c>
      <c r="FE367" s="830" t="str">
        <f>IFERROR(VLOOKUP($B367,'Historical Conc Grant Elig'!$B$3:$J$707,'HH &amp; SI'!FE$2,0),"N")</f>
        <v>Y</v>
      </c>
      <c r="FF367" s="830" t="str">
        <f>IFERROR(VLOOKUP($B367,'Historical Conc Grant Elig'!$B$3:$J$707,'HH &amp; SI'!FF$2,0),"N")</f>
        <v>Y</v>
      </c>
      <c r="FG367" s="830" t="str">
        <f>IFERROR(VLOOKUP($B367,'Historical Conc Grant Elig'!$B$3:$J$707,'HH &amp; SI'!FG$2,0),"N")</f>
        <v>Y</v>
      </c>
      <c r="FH367" s="830" t="str">
        <f>IFERROR(VLOOKUP($B367,'Historical Conc Grant Elig'!$B$3:$J$707,'HH &amp; SI'!FH$2,0),"N")</f>
        <v>Y</v>
      </c>
      <c r="FI367" s="830" t="str">
        <f>IFERROR(VLOOKUP($B367,'Historical Conc Grant Elig'!$B$3:$J$707,'HH &amp; SI'!FI$2,0),"N")</f>
        <v>Y</v>
      </c>
      <c r="FJ367" s="830" t="str">
        <f>IFERROR(VLOOKUP($B367,'Historical Conc Grant Elig'!$B$3:$J$707,'HH &amp; SI'!FJ$2,0),"N")</f>
        <v>Y</v>
      </c>
      <c r="FK367" s="830" t="str">
        <f>IFERROR(VLOOKUP($B367,'Historical Conc Grant Elig'!$B$3:$J$707,'HH &amp; SI'!FK$2,0),"N")</f>
        <v>Y</v>
      </c>
      <c r="FL367" s="957" t="str">
        <f>IFERROR(VLOOKUP($B367,'Historical Conc Grant Elig'!$B$3:$J$707,'HH &amp; SI'!FL$2,0),"N")</f>
        <v>Y</v>
      </c>
    </row>
    <row r="368" spans="2:168" x14ac:dyDescent="0.25">
      <c r="B368" s="634">
        <v>108504000</v>
      </c>
      <c r="C368" s="635" t="str">
        <f>VLOOKUP($B368,'Afton Update'!$A$5:$CR$582,'Afton Update'!D$589,0)</f>
        <v>Sonoran Science Academy - Davis Monthan</v>
      </c>
      <c r="D368" s="636">
        <f>IFERROR(VLOOKUP($B368,'Afton FY16 Final'!$A$5:$BV$587,'Afton FY16 Final'!AQ$587,0),0)</f>
        <v>15489.032851247071</v>
      </c>
      <c r="E368" s="637">
        <f>IFERROR(VLOOKUP($B368,'Afton FY16 Final'!$A$5:$BV$587,'Afton FY16 Final'!AR$587,0),0)</f>
        <v>6701.0199621974607</v>
      </c>
      <c r="F368" s="637">
        <f>IFERROR(VLOOKUP($B368,'Afton FY16 Final'!$A$5:$BV$587,'Afton FY16 Final'!AS$587,0),0)</f>
        <v>8841.0567898687787</v>
      </c>
      <c r="G368" s="637">
        <f>IFERROR(VLOOKUP($B368,'Afton FY16 Final'!$A$5:$BV$587,'Afton FY16 Final'!AT$587,0),0)</f>
        <v>8626.4400359209485</v>
      </c>
      <c r="H368" s="638">
        <f>IFERROR(VLOOKUP($B368,'Afton FY16 Final'!$A$5:$BV$587,'Afton FY16 Final'!AU$587,0),0)</f>
        <v>39657.549639234261</v>
      </c>
      <c r="I368" s="639" t="str">
        <f>VLOOKUP($B368,'Afton Update'!$A$5:$CR$582,'Afton Update'!BT$589,0)</f>
        <v>Y</v>
      </c>
      <c r="J368" s="640" t="str">
        <f>VLOOKUP($B368,'Afton Update'!$A$5:$CR$582,'Afton Update'!BU$589,0)</f>
        <v>Y</v>
      </c>
      <c r="K368" s="640" t="str">
        <f>VLOOKUP($B368,'Afton Update'!$A$5:$CR$582,'Afton Update'!BV$589,0)</f>
        <v>Y</v>
      </c>
      <c r="L368" s="641" t="str">
        <f>VLOOKUP($B368,'Afton Update'!$A$5:$CR$582,'Afton Update'!BW$589,0)</f>
        <v>Y</v>
      </c>
      <c r="N368" s="642">
        <f>VLOOKUP($B368,'Afton Update'!$A$5:$CR$582,'Afton Update'!CB$589,0)</f>
        <v>0.9</v>
      </c>
      <c r="P368" s="636">
        <f>VLOOKUP($B368,'Afton Update'!$A$5:$CR$582,'Afton Update'!AH$589,0)</f>
        <v>29766.953723851184</v>
      </c>
      <c r="Q368" s="637">
        <f>VLOOKUP($B368,'Afton Update'!$A$5:$CR$582,'Afton Update'!AI$589,0)</f>
        <v>9377.0030735542059</v>
      </c>
      <c r="R368" s="637">
        <f>VLOOKUP($B368,'Afton Update'!$A$5:$CR$582,'Afton Update'!AJ$589,0)</f>
        <v>18099.202553976764</v>
      </c>
      <c r="S368" s="637">
        <f>VLOOKUP($B368,'Afton Update'!$A$5:$CR$582,'Afton Update'!AK$589,0)</f>
        <v>17581.998529933473</v>
      </c>
      <c r="T368" s="643">
        <f t="shared" si="875"/>
        <v>74825.157881315623</v>
      </c>
      <c r="V368" s="636">
        <f t="shared" si="1024"/>
        <v>29360.913154409813</v>
      </c>
      <c r="W368" s="637">
        <f t="shared" si="1025"/>
        <v>9068.1588755278244</v>
      </c>
      <c r="X368" s="637">
        <f t="shared" si="1026"/>
        <v>17934.597373314791</v>
      </c>
      <c r="Y368" s="637">
        <f t="shared" si="1027"/>
        <v>17388.276555347649</v>
      </c>
      <c r="Z368" s="643">
        <f t="shared" si="1028"/>
        <v>73751.945958600088</v>
      </c>
      <c r="AB368" s="644">
        <f t="shared" si="876"/>
        <v>29766.953723851184</v>
      </c>
      <c r="AC368" s="645">
        <f t="shared" si="850"/>
        <v>13940.129566122365</v>
      </c>
      <c r="AD368" s="644">
        <f t="shared" si="1029"/>
        <v>0</v>
      </c>
      <c r="AE368" s="645">
        <f t="shared" si="1030"/>
        <v>29766.953723851184</v>
      </c>
      <c r="AF368" s="646">
        <f t="shared" si="1031"/>
        <v>-368.98376067739991</v>
      </c>
      <c r="AG368" s="647">
        <f t="shared" si="1032"/>
        <v>29397.969963173782</v>
      </c>
      <c r="AH368" s="644">
        <f t="shared" si="877"/>
        <v>0</v>
      </c>
      <c r="AI368" s="645">
        <f t="shared" si="878"/>
        <v>29397.969963173782</v>
      </c>
      <c r="AJ368" s="646">
        <f t="shared" si="1033"/>
        <v>-37.033199984921922</v>
      </c>
      <c r="AK368" s="647">
        <f t="shared" si="879"/>
        <v>29360.93676318886</v>
      </c>
      <c r="AL368" s="644">
        <f t="shared" si="1034"/>
        <v>0</v>
      </c>
      <c r="AM368" s="645">
        <f t="shared" si="1035"/>
        <v>29360.93676318886</v>
      </c>
      <c r="AN368" s="646">
        <f t="shared" si="1036"/>
        <v>-2.360877904623708E-2</v>
      </c>
      <c r="AO368" s="647">
        <f t="shared" si="880"/>
        <v>29360.913154409813</v>
      </c>
      <c r="AP368" s="644">
        <f t="shared" si="1037"/>
        <v>0</v>
      </c>
      <c r="AQ368" s="645">
        <f t="shared" si="1038"/>
        <v>29360.913154409813</v>
      </c>
      <c r="AR368" s="646">
        <f t="shared" si="1039"/>
        <v>0</v>
      </c>
      <c r="AS368" s="647">
        <f t="shared" si="881"/>
        <v>29360.913154409813</v>
      </c>
      <c r="AT368" s="644">
        <f t="shared" si="1040"/>
        <v>0</v>
      </c>
      <c r="AU368" s="645">
        <f t="shared" si="1041"/>
        <v>29360.913154409813</v>
      </c>
      <c r="AV368" s="646">
        <f t="shared" si="1042"/>
        <v>0</v>
      </c>
      <c r="AW368" s="647">
        <f t="shared" si="882"/>
        <v>29360.913154409813</v>
      </c>
      <c r="AY368" s="644">
        <f t="shared" si="1043"/>
        <v>9377.0030735542059</v>
      </c>
      <c r="AZ368" s="645">
        <f t="shared" si="851"/>
        <v>6030.9179659777146</v>
      </c>
      <c r="BA368" s="644">
        <f t="shared" si="1044"/>
        <v>0</v>
      </c>
      <c r="BB368" s="645">
        <f t="shared" si="1045"/>
        <v>9377.0030735542059</v>
      </c>
      <c r="BC368" s="646">
        <f t="shared" si="1046"/>
        <v>-67.432761846099908</v>
      </c>
      <c r="BD368" s="647">
        <f t="shared" si="1047"/>
        <v>9309.5703117081066</v>
      </c>
      <c r="BE368" s="644">
        <f t="shared" si="883"/>
        <v>0</v>
      </c>
      <c r="BF368" s="645">
        <f t="shared" si="884"/>
        <v>9309.5703117081066</v>
      </c>
      <c r="BG368" s="646">
        <f t="shared" si="1048"/>
        <v>-221.74637807242181</v>
      </c>
      <c r="BH368" s="647">
        <f t="shared" si="885"/>
        <v>9087.8239336356855</v>
      </c>
      <c r="BI368" s="644">
        <f t="shared" si="1049"/>
        <v>0</v>
      </c>
      <c r="BJ368" s="645">
        <f t="shared" si="1050"/>
        <v>9087.8239336356855</v>
      </c>
      <c r="BK368" s="646">
        <f t="shared" si="1051"/>
        <v>-19.250145566905918</v>
      </c>
      <c r="BL368" s="647">
        <f t="shared" si="886"/>
        <v>9068.5737880687793</v>
      </c>
      <c r="BM368" s="644">
        <f t="shared" si="1052"/>
        <v>0</v>
      </c>
      <c r="BN368" s="645">
        <f t="shared" si="1053"/>
        <v>9068.5737880687793</v>
      </c>
      <c r="BO368" s="646">
        <f t="shared" si="1054"/>
        <v>-0.41491254095443647</v>
      </c>
      <c r="BP368" s="647">
        <f t="shared" si="887"/>
        <v>9068.1588755278244</v>
      </c>
      <c r="BQ368" s="644">
        <f t="shared" si="1055"/>
        <v>0</v>
      </c>
      <c r="BR368" s="645">
        <f t="shared" si="1056"/>
        <v>9068.1588755278244</v>
      </c>
      <c r="BS368" s="646">
        <f t="shared" si="1057"/>
        <v>0</v>
      </c>
      <c r="BT368" s="647">
        <f t="shared" si="888"/>
        <v>9068.1588755278244</v>
      </c>
      <c r="BU368" s="662">
        <f>VLOOKUP(B368,'Afton Update'!$A$5:$AR$582,'Afton Update'!$AO$589,0)-BT368</f>
        <v>0</v>
      </c>
      <c r="BV368" s="644">
        <f t="shared" si="1058"/>
        <v>18099.202553976764</v>
      </c>
      <c r="BW368" s="645">
        <f t="shared" si="852"/>
        <v>7956.9511108819006</v>
      </c>
      <c r="BX368" s="644">
        <f t="shared" si="1059"/>
        <v>0</v>
      </c>
      <c r="BY368" s="645">
        <f t="shared" si="1060"/>
        <v>18099.202553976764</v>
      </c>
      <c r="BZ368" s="646">
        <f t="shared" si="1061"/>
        <v>-158.85862510197234</v>
      </c>
      <c r="CA368" s="647">
        <f t="shared" si="1062"/>
        <v>17940.34392887479</v>
      </c>
      <c r="CB368" s="644">
        <f t="shared" si="889"/>
        <v>0</v>
      </c>
      <c r="CC368" s="645">
        <f t="shared" si="890"/>
        <v>17940.34392887479</v>
      </c>
      <c r="CD368" s="646">
        <f t="shared" si="1063"/>
        <v>-5.7465555599988463</v>
      </c>
      <c r="CE368" s="647">
        <f t="shared" si="891"/>
        <v>17934.597373314791</v>
      </c>
      <c r="CF368" s="644">
        <f t="shared" si="1064"/>
        <v>0</v>
      </c>
      <c r="CG368" s="645">
        <f t="shared" si="1065"/>
        <v>17934.597373314791</v>
      </c>
      <c r="CH368" s="646">
        <f t="shared" si="1066"/>
        <v>0</v>
      </c>
      <c r="CI368" s="647">
        <f t="shared" si="892"/>
        <v>17934.597373314791</v>
      </c>
      <c r="CJ368" s="644">
        <f t="shared" si="1067"/>
        <v>0</v>
      </c>
      <c r="CK368" s="645">
        <f t="shared" si="1068"/>
        <v>17934.597373314791</v>
      </c>
      <c r="CL368" s="646">
        <f t="shared" si="1069"/>
        <v>0</v>
      </c>
      <c r="CM368" s="647">
        <f t="shared" si="893"/>
        <v>17934.597373314791</v>
      </c>
      <c r="CN368" s="644">
        <f t="shared" si="1070"/>
        <v>0</v>
      </c>
      <c r="CO368" s="645">
        <f t="shared" si="1071"/>
        <v>17934.597373314791</v>
      </c>
      <c r="CP368" s="646">
        <f t="shared" si="1072"/>
        <v>0</v>
      </c>
      <c r="CQ368" s="647">
        <f t="shared" si="894"/>
        <v>17934.597373314791</v>
      </c>
      <c r="CS368" s="644">
        <f t="shared" si="1073"/>
        <v>17581.998529933473</v>
      </c>
      <c r="CT368" s="645">
        <f t="shared" si="853"/>
        <v>7763.7960323288535</v>
      </c>
      <c r="CU368" s="644">
        <f t="shared" si="1074"/>
        <v>0</v>
      </c>
      <c r="CV368" s="645">
        <f t="shared" si="1075"/>
        <v>17581.998529933473</v>
      </c>
      <c r="CW368" s="646">
        <f t="shared" si="1076"/>
        <v>-180.04960092026471</v>
      </c>
      <c r="CX368" s="647">
        <f t="shared" si="1077"/>
        <v>17401.948929013208</v>
      </c>
      <c r="CY368" s="644">
        <f t="shared" si="895"/>
        <v>0</v>
      </c>
      <c r="CZ368" s="645">
        <f t="shared" si="896"/>
        <v>17401.948929013208</v>
      </c>
      <c r="DA368" s="646">
        <f t="shared" si="1078"/>
        <v>-13.660593105466713</v>
      </c>
      <c r="DB368" s="647">
        <f t="shared" si="897"/>
        <v>17388.288335907742</v>
      </c>
      <c r="DC368" s="644">
        <f t="shared" si="1079"/>
        <v>0</v>
      </c>
      <c r="DD368" s="645">
        <f t="shared" si="1080"/>
        <v>17388.288335907742</v>
      </c>
      <c r="DE368" s="646">
        <f t="shared" si="1081"/>
        <v>-1.1780560094209611E-2</v>
      </c>
      <c r="DF368" s="647">
        <f t="shared" si="898"/>
        <v>17388.276555347649</v>
      </c>
      <c r="DG368" s="644">
        <f t="shared" si="1082"/>
        <v>0</v>
      </c>
      <c r="DH368" s="645">
        <f t="shared" si="1083"/>
        <v>17388.276555347649</v>
      </c>
      <c r="DI368" s="646">
        <f t="shared" si="1084"/>
        <v>0</v>
      </c>
      <c r="DJ368" s="647">
        <f t="shared" si="899"/>
        <v>17388.276555347649</v>
      </c>
      <c r="DK368" s="644">
        <f t="shared" si="1085"/>
        <v>0</v>
      </c>
      <c r="DL368" s="645">
        <f t="shared" si="1086"/>
        <v>17388.276555347649</v>
      </c>
      <c r="DM368" s="646">
        <f t="shared" si="1087"/>
        <v>0</v>
      </c>
      <c r="DN368" s="647">
        <f t="shared" si="900"/>
        <v>17388.276555347649</v>
      </c>
      <c r="DR368" s="827">
        <f t="shared" si="854"/>
        <v>73751.945958600088</v>
      </c>
      <c r="DV368" s="828">
        <f>IFERROR(VLOOKUP($B368,'Afton FY16 Final'!$A$5:$BV$587,'Afton FY16 Final'!$BV$587,0),0)</f>
        <v>37648.829288630899</v>
      </c>
      <c r="DX368" s="636">
        <f t="shared" si="842"/>
        <v>73751.945958600088</v>
      </c>
      <c r="DY368" s="637">
        <f t="shared" si="843"/>
        <v>36103.116669969189</v>
      </c>
      <c r="DZ368" s="637">
        <f t="shared" si="844"/>
        <v>37648.829288630899</v>
      </c>
      <c r="EA368" s="643">
        <f t="shared" si="845"/>
        <v>69829.169001232018</v>
      </c>
      <c r="EB368" s="637">
        <f t="shared" si="855"/>
        <v>0</v>
      </c>
      <c r="EC368" s="637">
        <f t="shared" si="856"/>
        <v>69829.169001232018</v>
      </c>
      <c r="ED368" s="637">
        <f t="shared" si="857"/>
        <v>69620.942588611244</v>
      </c>
      <c r="EE368" s="643">
        <f t="shared" si="858"/>
        <v>69620.942588611244</v>
      </c>
      <c r="EF368" s="637">
        <f t="shared" si="859"/>
        <v>0</v>
      </c>
      <c r="EG368" s="637">
        <f t="shared" si="860"/>
        <v>69620.942588611244</v>
      </c>
      <c r="EH368" s="637">
        <f t="shared" si="861"/>
        <v>69620.870763402272</v>
      </c>
      <c r="EI368" s="643">
        <f t="shared" si="862"/>
        <v>69620.870763402272</v>
      </c>
      <c r="EJ368" s="637">
        <f t="shared" si="863"/>
        <v>0</v>
      </c>
      <c r="EK368" s="637">
        <f t="shared" si="864"/>
        <v>69620.870763402272</v>
      </c>
      <c r="EL368" s="637">
        <f t="shared" si="865"/>
        <v>69620.87076340217</v>
      </c>
      <c r="EM368" s="643">
        <f t="shared" si="866"/>
        <v>69620.87076340217</v>
      </c>
      <c r="EN368" s="637">
        <f t="shared" si="867"/>
        <v>0</v>
      </c>
      <c r="EO368" s="637">
        <f t="shared" si="868"/>
        <v>69620.87076340217</v>
      </c>
      <c r="EP368" s="637">
        <f t="shared" si="869"/>
        <v>69620.870763402272</v>
      </c>
      <c r="EQ368" s="643">
        <f t="shared" si="870"/>
        <v>69620.870763402272</v>
      </c>
      <c r="ER368" s="637">
        <f t="shared" si="871"/>
        <v>0</v>
      </c>
      <c r="ES368" s="637">
        <f t="shared" si="872"/>
        <v>69620.870763402272</v>
      </c>
      <c r="ET368" s="637">
        <f t="shared" si="873"/>
        <v>69620.870763402156</v>
      </c>
      <c r="EU368" s="643">
        <f t="shared" si="846"/>
        <v>69620.870763402156</v>
      </c>
      <c r="EV368" s="643">
        <f t="shared" si="847"/>
        <v>0</v>
      </c>
      <c r="EX368" s="829">
        <f t="shared" si="848"/>
        <v>4131.0751951979328</v>
      </c>
      <c r="EY368" s="638">
        <f t="shared" si="849"/>
        <v>69620.870763402156</v>
      </c>
      <c r="FC368" s="830" t="str">
        <f t="shared" si="874"/>
        <v>Y</v>
      </c>
      <c r="FE368" s="830" t="str">
        <f>IFERROR(VLOOKUP($B368,'Historical Conc Grant Elig'!$B$3:$J$707,'HH &amp; SI'!FE$2,0),"N")</f>
        <v>N</v>
      </c>
      <c r="FF368" s="830" t="str">
        <f>IFERROR(VLOOKUP($B368,'Historical Conc Grant Elig'!$B$3:$J$707,'HH &amp; SI'!FF$2,0),"N")</f>
        <v>Y</v>
      </c>
      <c r="FG368" s="830" t="str">
        <f>IFERROR(VLOOKUP($B368,'Historical Conc Grant Elig'!$B$3:$J$707,'HH &amp; SI'!FG$2,0),"N")</f>
        <v>N</v>
      </c>
      <c r="FH368" s="830" t="str">
        <f>IFERROR(VLOOKUP($B368,'Historical Conc Grant Elig'!$B$3:$J$707,'HH &amp; SI'!FH$2,0),"N")</f>
        <v>Y</v>
      </c>
      <c r="FI368" s="830" t="str">
        <f>IFERROR(VLOOKUP($B368,'Historical Conc Grant Elig'!$B$3:$J$707,'HH &amp; SI'!FI$2,0),"N")</f>
        <v>Y</v>
      </c>
      <c r="FJ368" s="830" t="str">
        <f>IFERROR(VLOOKUP($B368,'Historical Conc Grant Elig'!$B$3:$J$707,'HH &amp; SI'!FJ$2,0),"N")</f>
        <v>Y</v>
      </c>
      <c r="FK368" s="830" t="str">
        <f>IFERROR(VLOOKUP($B368,'Historical Conc Grant Elig'!$B$3:$J$707,'HH &amp; SI'!FK$2,0),"N")</f>
        <v>Y</v>
      </c>
      <c r="FL368" s="957" t="str">
        <f>IFERROR(VLOOKUP($B368,'Historical Conc Grant Elig'!$B$3:$J$707,'HH &amp; SI'!FL$2,0),"N")</f>
        <v>Y</v>
      </c>
    </row>
    <row r="369" spans="2:168" x14ac:dyDescent="0.25">
      <c r="B369" s="634">
        <v>108505000</v>
      </c>
      <c r="C369" s="635" t="str">
        <f>VLOOKUP($B369,'Afton Update'!$A$5:$CR$582,'Afton Update'!D$589,0)</f>
        <v>CPLC Community Schools dba Hiaki High School</v>
      </c>
      <c r="D369" s="636">
        <f>IFERROR(VLOOKUP($B369,'Afton FY16 Final'!$A$5:$BV$587,'Afton FY16 Final'!AQ$587,0),0)</f>
        <v>13575.097886578884</v>
      </c>
      <c r="E369" s="637">
        <f>IFERROR(VLOOKUP($B369,'Afton FY16 Final'!$A$5:$BV$587,'Afton FY16 Final'!AR$587,0),0)</f>
        <v>6282.2864390168124</v>
      </c>
      <c r="F369" s="637">
        <f>IFERROR(VLOOKUP($B369,'Afton FY16 Final'!$A$5:$BV$587,'Afton FY16 Final'!AS$587,0),0)</f>
        <v>7745.8365932215274</v>
      </c>
      <c r="G369" s="637">
        <f>IFERROR(VLOOKUP($B369,'Afton FY16 Final'!$A$5:$BV$587,'Afton FY16 Final'!AT$587,0),0)</f>
        <v>7557.3143734481555</v>
      </c>
      <c r="H369" s="638">
        <f>IFERROR(VLOOKUP($B369,'Afton FY16 Final'!$A$5:$BV$587,'Afton FY16 Final'!AU$587,0),0)</f>
        <v>35160.535292265376</v>
      </c>
      <c r="I369" s="639" t="str">
        <f>VLOOKUP($B369,'Afton Update'!$A$5:$CR$582,'Afton Update'!BT$589,0)</f>
        <v>Y</v>
      </c>
      <c r="J369" s="640" t="str">
        <f>VLOOKUP($B369,'Afton Update'!$A$5:$CR$582,'Afton Update'!BU$589,0)</f>
        <v>Y</v>
      </c>
      <c r="K369" s="640" t="str">
        <f>VLOOKUP($B369,'Afton Update'!$A$5:$CR$582,'Afton Update'!BV$589,0)</f>
        <v>Y</v>
      </c>
      <c r="L369" s="641" t="str">
        <f>VLOOKUP($B369,'Afton Update'!$A$5:$CR$582,'Afton Update'!BW$589,0)</f>
        <v>Y</v>
      </c>
      <c r="N369" s="642">
        <f>VLOOKUP($B369,'Afton Update'!$A$5:$CR$582,'Afton Update'!CB$589,0)</f>
        <v>0.95</v>
      </c>
      <c r="P369" s="636">
        <f>VLOOKUP($B369,'Afton Update'!$A$5:$CR$582,'Afton Update'!AH$589,0)</f>
        <v>10800.399138742465</v>
      </c>
      <c r="Q369" s="637">
        <f>VLOOKUP($B369,'Afton Update'!$A$5:$CR$582,'Afton Update'!AI$589,0)</f>
        <v>5190.636487628537</v>
      </c>
      <c r="R369" s="637">
        <f>VLOOKUP($B369,'Afton Update'!$A$5:$CR$582,'Afton Update'!AJ$589,0)</f>
        <v>6566.9672983455512</v>
      </c>
      <c r="S369" s="637">
        <f>VLOOKUP($B369,'Afton Update'!$A$5:$CR$582,'Afton Update'!AK$589,0)</f>
        <v>6379.3092011263043</v>
      </c>
      <c r="T369" s="643">
        <f t="shared" si="875"/>
        <v>28937.312125842855</v>
      </c>
      <c r="V369" s="636">
        <f t="shared" si="1024"/>
        <v>12896.34299224994</v>
      </c>
      <c r="W369" s="637">
        <f t="shared" si="1025"/>
        <v>5968.1721170659712</v>
      </c>
      <c r="X369" s="637">
        <f t="shared" si="1026"/>
        <v>7358.5447635604505</v>
      </c>
      <c r="Y369" s="637">
        <f t="shared" si="1027"/>
        <v>7179.4486547757469</v>
      </c>
      <c r="Z369" s="643">
        <f t="shared" si="1028"/>
        <v>33402.508527652106</v>
      </c>
      <c r="AB369" s="644">
        <f t="shared" si="876"/>
        <v>10800.399138742465</v>
      </c>
      <c r="AC369" s="645">
        <f t="shared" si="850"/>
        <v>12896.34299224994</v>
      </c>
      <c r="AD369" s="644">
        <f t="shared" si="1029"/>
        <v>2095.9438535074751</v>
      </c>
      <c r="AE369" s="645">
        <f t="shared" si="1030"/>
        <v>0</v>
      </c>
      <c r="AF369" s="646">
        <f t="shared" si="1031"/>
        <v>0</v>
      </c>
      <c r="AG369" s="647">
        <f t="shared" si="1032"/>
        <v>12896.34299224994</v>
      </c>
      <c r="AH369" s="644">
        <f t="shared" si="877"/>
        <v>0</v>
      </c>
      <c r="AI369" s="645">
        <f t="shared" si="878"/>
        <v>0</v>
      </c>
      <c r="AJ369" s="646">
        <f t="shared" si="1033"/>
        <v>0</v>
      </c>
      <c r="AK369" s="647">
        <f t="shared" si="879"/>
        <v>12896.34299224994</v>
      </c>
      <c r="AL369" s="644">
        <f t="shared" si="1034"/>
        <v>0</v>
      </c>
      <c r="AM369" s="645">
        <f t="shared" si="1035"/>
        <v>0</v>
      </c>
      <c r="AN369" s="646">
        <f t="shared" si="1036"/>
        <v>0</v>
      </c>
      <c r="AO369" s="647">
        <f t="shared" si="880"/>
        <v>12896.34299224994</v>
      </c>
      <c r="AP369" s="644">
        <f t="shared" si="1037"/>
        <v>0</v>
      </c>
      <c r="AQ369" s="645">
        <f t="shared" si="1038"/>
        <v>0</v>
      </c>
      <c r="AR369" s="646">
        <f t="shared" si="1039"/>
        <v>0</v>
      </c>
      <c r="AS369" s="647">
        <f t="shared" si="881"/>
        <v>12896.34299224994</v>
      </c>
      <c r="AT369" s="644">
        <f t="shared" si="1040"/>
        <v>0</v>
      </c>
      <c r="AU369" s="645">
        <f t="shared" si="1041"/>
        <v>0</v>
      </c>
      <c r="AV369" s="646">
        <f t="shared" si="1042"/>
        <v>0</v>
      </c>
      <c r="AW369" s="647">
        <f t="shared" si="882"/>
        <v>12896.34299224994</v>
      </c>
      <c r="AY369" s="644">
        <f t="shared" si="1043"/>
        <v>5190.636487628537</v>
      </c>
      <c r="AZ369" s="645">
        <f t="shared" si="851"/>
        <v>5968.1721170659712</v>
      </c>
      <c r="BA369" s="644">
        <f t="shared" si="1044"/>
        <v>777.53562943743418</v>
      </c>
      <c r="BB369" s="645">
        <f t="shared" si="1045"/>
        <v>0</v>
      </c>
      <c r="BC369" s="646">
        <f t="shared" si="1046"/>
        <v>0</v>
      </c>
      <c r="BD369" s="647">
        <f t="shared" si="1047"/>
        <v>5968.1721170659712</v>
      </c>
      <c r="BE369" s="644">
        <f t="shared" si="883"/>
        <v>0</v>
      </c>
      <c r="BF369" s="645">
        <f t="shared" si="884"/>
        <v>0</v>
      </c>
      <c r="BG369" s="646">
        <f t="shared" si="1048"/>
        <v>0</v>
      </c>
      <c r="BH369" s="647">
        <f t="shared" si="885"/>
        <v>5968.1721170659712</v>
      </c>
      <c r="BI369" s="644">
        <f t="shared" si="1049"/>
        <v>0</v>
      </c>
      <c r="BJ369" s="645">
        <f t="shared" si="1050"/>
        <v>0</v>
      </c>
      <c r="BK369" s="646">
        <f t="shared" si="1051"/>
        <v>0</v>
      </c>
      <c r="BL369" s="647">
        <f t="shared" si="886"/>
        <v>5968.1721170659712</v>
      </c>
      <c r="BM369" s="644">
        <f t="shared" si="1052"/>
        <v>0</v>
      </c>
      <c r="BN369" s="645">
        <f t="shared" si="1053"/>
        <v>0</v>
      </c>
      <c r="BO369" s="646">
        <f t="shared" si="1054"/>
        <v>0</v>
      </c>
      <c r="BP369" s="647">
        <f t="shared" si="887"/>
        <v>5968.1721170659712</v>
      </c>
      <c r="BQ369" s="644">
        <f t="shared" si="1055"/>
        <v>0</v>
      </c>
      <c r="BR369" s="645">
        <f t="shared" si="1056"/>
        <v>0</v>
      </c>
      <c r="BS369" s="646">
        <f t="shared" si="1057"/>
        <v>0</v>
      </c>
      <c r="BT369" s="647">
        <f t="shared" si="888"/>
        <v>5968.1721170659712</v>
      </c>
      <c r="BU369" s="662">
        <f>VLOOKUP(B369,'Afton Update'!$A$5:$AR$582,'Afton Update'!$AO$589,0)-BT369</f>
        <v>0</v>
      </c>
      <c r="BV369" s="644">
        <f t="shared" si="1058"/>
        <v>6566.9672983455512</v>
      </c>
      <c r="BW369" s="645">
        <f t="shared" si="852"/>
        <v>7358.5447635604505</v>
      </c>
      <c r="BX369" s="644">
        <f t="shared" si="1059"/>
        <v>791.57746521489935</v>
      </c>
      <c r="BY369" s="645">
        <f t="shared" si="1060"/>
        <v>0</v>
      </c>
      <c r="BZ369" s="646">
        <f t="shared" si="1061"/>
        <v>0</v>
      </c>
      <c r="CA369" s="647">
        <f t="shared" si="1062"/>
        <v>7358.5447635604505</v>
      </c>
      <c r="CB369" s="644">
        <f t="shared" si="889"/>
        <v>0</v>
      </c>
      <c r="CC369" s="645">
        <f t="shared" si="890"/>
        <v>0</v>
      </c>
      <c r="CD369" s="646">
        <f t="shared" si="1063"/>
        <v>0</v>
      </c>
      <c r="CE369" s="647">
        <f t="shared" si="891"/>
        <v>7358.5447635604505</v>
      </c>
      <c r="CF369" s="644">
        <f t="shared" si="1064"/>
        <v>0</v>
      </c>
      <c r="CG369" s="645">
        <f t="shared" si="1065"/>
        <v>0</v>
      </c>
      <c r="CH369" s="646">
        <f t="shared" si="1066"/>
        <v>0</v>
      </c>
      <c r="CI369" s="647">
        <f t="shared" si="892"/>
        <v>7358.5447635604505</v>
      </c>
      <c r="CJ369" s="644">
        <f t="shared" si="1067"/>
        <v>0</v>
      </c>
      <c r="CK369" s="645">
        <f t="shared" si="1068"/>
        <v>0</v>
      </c>
      <c r="CL369" s="646">
        <f t="shared" si="1069"/>
        <v>0</v>
      </c>
      <c r="CM369" s="647">
        <f t="shared" si="893"/>
        <v>7358.5447635604505</v>
      </c>
      <c r="CN369" s="644">
        <f t="shared" si="1070"/>
        <v>0</v>
      </c>
      <c r="CO369" s="645">
        <f t="shared" si="1071"/>
        <v>0</v>
      </c>
      <c r="CP369" s="646">
        <f t="shared" si="1072"/>
        <v>0</v>
      </c>
      <c r="CQ369" s="647">
        <f t="shared" si="894"/>
        <v>7358.5447635604505</v>
      </c>
      <c r="CS369" s="644">
        <f t="shared" si="1073"/>
        <v>6379.3092011263043</v>
      </c>
      <c r="CT369" s="645">
        <f t="shared" si="853"/>
        <v>7179.4486547757469</v>
      </c>
      <c r="CU369" s="644">
        <f t="shared" si="1074"/>
        <v>800.13945364944266</v>
      </c>
      <c r="CV369" s="645">
        <f t="shared" si="1075"/>
        <v>0</v>
      </c>
      <c r="CW369" s="646">
        <f t="shared" si="1076"/>
        <v>0</v>
      </c>
      <c r="CX369" s="647">
        <f t="shared" si="1077"/>
        <v>7179.4486547757469</v>
      </c>
      <c r="CY369" s="644">
        <f t="shared" si="895"/>
        <v>0</v>
      </c>
      <c r="CZ369" s="645">
        <f t="shared" si="896"/>
        <v>0</v>
      </c>
      <c r="DA369" s="646">
        <f t="shared" si="1078"/>
        <v>0</v>
      </c>
      <c r="DB369" s="647">
        <f t="shared" si="897"/>
        <v>7179.4486547757469</v>
      </c>
      <c r="DC369" s="644">
        <f t="shared" si="1079"/>
        <v>0</v>
      </c>
      <c r="DD369" s="645">
        <f t="shared" si="1080"/>
        <v>0</v>
      </c>
      <c r="DE369" s="646">
        <f t="shared" si="1081"/>
        <v>0</v>
      </c>
      <c r="DF369" s="647">
        <f t="shared" si="898"/>
        <v>7179.4486547757469</v>
      </c>
      <c r="DG369" s="644">
        <f t="shared" si="1082"/>
        <v>0</v>
      </c>
      <c r="DH369" s="645">
        <f t="shared" si="1083"/>
        <v>0</v>
      </c>
      <c r="DI369" s="646">
        <f t="shared" si="1084"/>
        <v>0</v>
      </c>
      <c r="DJ369" s="647">
        <f t="shared" si="899"/>
        <v>7179.4486547757469</v>
      </c>
      <c r="DK369" s="644">
        <f t="shared" si="1085"/>
        <v>0</v>
      </c>
      <c r="DL369" s="645">
        <f t="shared" si="1086"/>
        <v>0</v>
      </c>
      <c r="DM369" s="646">
        <f t="shared" si="1087"/>
        <v>0</v>
      </c>
      <c r="DN369" s="647">
        <f t="shared" si="900"/>
        <v>7179.4486547757469</v>
      </c>
      <c r="DR369" s="827">
        <f t="shared" si="854"/>
        <v>33402.508527652106</v>
      </c>
      <c r="DV369" s="828">
        <f>IFERROR(VLOOKUP($B369,'Afton FY16 Final'!$A$5:$BV$587,'Afton FY16 Final'!$BV$587,0),0)</f>
        <v>32226.344651195464</v>
      </c>
      <c r="DX369" s="636">
        <f t="shared" si="842"/>
        <v>33402.508527652106</v>
      </c>
      <c r="DY369" s="637">
        <f t="shared" si="843"/>
        <v>1176.1638764566414</v>
      </c>
      <c r="DZ369" s="637">
        <f t="shared" si="844"/>
        <v>32226.344651195464</v>
      </c>
      <c r="EA369" s="643">
        <f t="shared" si="845"/>
        <v>31625.869429286933</v>
      </c>
      <c r="EB369" s="637">
        <f t="shared" si="855"/>
        <v>32226.344651195464</v>
      </c>
      <c r="EC369" s="637">
        <f t="shared" si="856"/>
        <v>0</v>
      </c>
      <c r="ED369" s="637">
        <f t="shared" si="857"/>
        <v>0</v>
      </c>
      <c r="EE369" s="643">
        <f t="shared" si="858"/>
        <v>32226.344651195464</v>
      </c>
      <c r="EF369" s="637">
        <f t="shared" si="859"/>
        <v>0</v>
      </c>
      <c r="EG369" s="637">
        <f t="shared" si="860"/>
        <v>0</v>
      </c>
      <c r="EH369" s="637">
        <f t="shared" si="861"/>
        <v>0</v>
      </c>
      <c r="EI369" s="643">
        <f t="shared" si="862"/>
        <v>32226.344651195464</v>
      </c>
      <c r="EJ369" s="637">
        <f t="shared" si="863"/>
        <v>0</v>
      </c>
      <c r="EK369" s="637">
        <f t="shared" si="864"/>
        <v>0</v>
      </c>
      <c r="EL369" s="637">
        <f t="shared" si="865"/>
        <v>0</v>
      </c>
      <c r="EM369" s="643">
        <f t="shared" si="866"/>
        <v>32226.344651195464</v>
      </c>
      <c r="EN369" s="637">
        <f t="shared" si="867"/>
        <v>0</v>
      </c>
      <c r="EO369" s="637">
        <f t="shared" si="868"/>
        <v>0</v>
      </c>
      <c r="EP369" s="637">
        <f t="shared" si="869"/>
        <v>0</v>
      </c>
      <c r="EQ369" s="643">
        <f t="shared" si="870"/>
        <v>32226.344651195464</v>
      </c>
      <c r="ER369" s="637">
        <f t="shared" si="871"/>
        <v>0</v>
      </c>
      <c r="ES369" s="637">
        <f t="shared" si="872"/>
        <v>0</v>
      </c>
      <c r="ET369" s="637">
        <f t="shared" si="873"/>
        <v>0</v>
      </c>
      <c r="EU369" s="643">
        <f t="shared" si="846"/>
        <v>32226.344651195464</v>
      </c>
      <c r="EV369" s="643">
        <f t="shared" si="847"/>
        <v>0</v>
      </c>
      <c r="EX369" s="829">
        <f t="shared" si="848"/>
        <v>1176.1638764566414</v>
      </c>
      <c r="EY369" s="638">
        <f t="shared" si="849"/>
        <v>32226.344651195464</v>
      </c>
      <c r="FC369" s="830" t="str">
        <f t="shared" si="874"/>
        <v>Y</v>
      </c>
      <c r="FE369" s="830" t="str">
        <f>IFERROR(VLOOKUP($B369,'Historical Conc Grant Elig'!$B$3:$J$707,'HH &amp; SI'!FE$2,0),"N")</f>
        <v>N</v>
      </c>
      <c r="FF369" s="830" t="str">
        <f>IFERROR(VLOOKUP($B369,'Historical Conc Grant Elig'!$B$3:$J$707,'HH &amp; SI'!FF$2,0),"N")</f>
        <v>N</v>
      </c>
      <c r="FG369" s="830" t="str">
        <f>IFERROR(VLOOKUP($B369,'Historical Conc Grant Elig'!$B$3:$J$707,'HH &amp; SI'!FG$2,0),"N")</f>
        <v>Y</v>
      </c>
      <c r="FH369" s="830" t="str">
        <f>IFERROR(VLOOKUP($B369,'Historical Conc Grant Elig'!$B$3:$J$707,'HH &amp; SI'!FH$2,0),"N")</f>
        <v>Y</v>
      </c>
      <c r="FI369" s="830" t="str">
        <f>IFERROR(VLOOKUP($B369,'Historical Conc Grant Elig'!$B$3:$J$707,'HH &amp; SI'!FI$2,0),"N")</f>
        <v>Y</v>
      </c>
      <c r="FJ369" s="830" t="str">
        <f>IFERROR(VLOOKUP($B369,'Historical Conc Grant Elig'!$B$3:$J$707,'HH &amp; SI'!FJ$2,0),"N")</f>
        <v>Y</v>
      </c>
      <c r="FK369" s="830" t="str">
        <f>IFERROR(VLOOKUP($B369,'Historical Conc Grant Elig'!$B$3:$J$707,'HH &amp; SI'!FK$2,0),"N")</f>
        <v>Y</v>
      </c>
      <c r="FL369" s="957" t="str">
        <f>IFERROR(VLOOKUP($B369,'Historical Conc Grant Elig'!$B$3:$J$707,'HH &amp; SI'!FL$2,0),"N")</f>
        <v>Y</v>
      </c>
    </row>
    <row r="370" spans="2:168" x14ac:dyDescent="0.25">
      <c r="B370" s="634">
        <v>108506000</v>
      </c>
      <c r="C370" s="635" t="str">
        <f>VLOOKUP($B370,'Afton Update'!$A$5:$CR$582,'Afton Update'!D$589,0)</f>
        <v>Ed Ahead</v>
      </c>
      <c r="D370" s="636">
        <f>IFERROR(VLOOKUP($B370,'Afton FY16 Final'!$A$5:$BV$587,'Afton FY16 Final'!AQ$587,0),0)</f>
        <v>26104.264270875297</v>
      </c>
      <c r="E370" s="637">
        <f>IFERROR(VLOOKUP($B370,'Afton FY16 Final'!$A$5:$BV$587,'Afton FY16 Final'!AR$587,0),0)</f>
        <v>8812.9932522233594</v>
      </c>
      <c r="F370" s="637">
        <f>IFERROR(VLOOKUP($B370,'Afton FY16 Final'!$A$5:$BV$587,'Afton FY16 Final'!AS$587,0),0)</f>
        <v>14925.598801718414</v>
      </c>
      <c r="G370" s="637">
        <f>IFERROR(VLOOKUP($B370,'Afton FY16 Final'!$A$5:$BV$587,'Afton FY16 Final'!AT$587,0),0)</f>
        <v>14961.277593666582</v>
      </c>
      <c r="H370" s="638">
        <f>IFERROR(VLOOKUP($B370,'Afton FY16 Final'!$A$5:$BV$587,'Afton FY16 Final'!AU$587,0),0)</f>
        <v>64804.133918483654</v>
      </c>
      <c r="I370" s="639" t="str">
        <f>VLOOKUP($B370,'Afton Update'!$A$5:$CR$582,'Afton Update'!BT$589,0)</f>
        <v>Y</v>
      </c>
      <c r="J370" s="640" t="str">
        <f>VLOOKUP($B370,'Afton Update'!$A$5:$CR$582,'Afton Update'!BU$589,0)</f>
        <v>Y</v>
      </c>
      <c r="K370" s="640" t="str">
        <f>VLOOKUP($B370,'Afton Update'!$A$5:$CR$582,'Afton Update'!BV$589,0)</f>
        <v>Y</v>
      </c>
      <c r="L370" s="641" t="str">
        <f>VLOOKUP($B370,'Afton Update'!$A$5:$CR$582,'Afton Update'!BW$589,0)</f>
        <v>Y</v>
      </c>
      <c r="N370" s="642">
        <f>VLOOKUP($B370,'Afton Update'!$A$5:$CR$582,'Afton Update'!CB$589,0)</f>
        <v>0.95</v>
      </c>
      <c r="P370" s="636">
        <f>VLOOKUP($B370,'Afton Update'!$A$5:$CR$582,'Afton Update'!AH$589,0)</f>
        <v>20547.100800534445</v>
      </c>
      <c r="Q370" s="637">
        <f>VLOOKUP($B370,'Afton Update'!$A$5:$CR$582,'Afton Update'!AI$589,0)</f>
        <v>7341.9637609514511</v>
      </c>
      <c r="R370" s="637">
        <f>VLOOKUP($B370,'Afton Update'!$A$5:$CR$582,'Afton Update'!AJ$589,0)</f>
        <v>12493.254860267147</v>
      </c>
      <c r="S370" s="637">
        <f>VLOOKUP($B370,'Afton Update'!$A$5:$CR$582,'Afton Update'!AK$589,0)</f>
        <v>12136.246772874432</v>
      </c>
      <c r="T370" s="643">
        <f t="shared" si="875"/>
        <v>52518.56619462747</v>
      </c>
      <c r="V370" s="636">
        <f t="shared" si="1024"/>
        <v>24799.05105733153</v>
      </c>
      <c r="W370" s="637">
        <f t="shared" si="1025"/>
        <v>8372.3435896121919</v>
      </c>
      <c r="X370" s="637">
        <f t="shared" si="1026"/>
        <v>14179.318861632491</v>
      </c>
      <c r="Y370" s="637">
        <f t="shared" si="1027"/>
        <v>14213.213713983252</v>
      </c>
      <c r="Z370" s="643">
        <f t="shared" si="1028"/>
        <v>61563.927222559461</v>
      </c>
      <c r="AB370" s="644">
        <f t="shared" si="876"/>
        <v>20547.100800534445</v>
      </c>
      <c r="AC370" s="645">
        <f t="shared" si="850"/>
        <v>24799.05105733153</v>
      </c>
      <c r="AD370" s="644">
        <f t="shared" si="1029"/>
        <v>4251.9502567970849</v>
      </c>
      <c r="AE370" s="645">
        <f t="shared" si="1030"/>
        <v>0</v>
      </c>
      <c r="AF370" s="646">
        <f t="shared" si="1031"/>
        <v>0</v>
      </c>
      <c r="AG370" s="647">
        <f t="shared" si="1032"/>
        <v>24799.05105733153</v>
      </c>
      <c r="AH370" s="644">
        <f t="shared" si="877"/>
        <v>0</v>
      </c>
      <c r="AI370" s="645">
        <f t="shared" si="878"/>
        <v>0</v>
      </c>
      <c r="AJ370" s="646">
        <f t="shared" si="1033"/>
        <v>0</v>
      </c>
      <c r="AK370" s="647">
        <f t="shared" si="879"/>
        <v>24799.05105733153</v>
      </c>
      <c r="AL370" s="644">
        <f t="shared" si="1034"/>
        <v>0</v>
      </c>
      <c r="AM370" s="645">
        <f t="shared" si="1035"/>
        <v>0</v>
      </c>
      <c r="AN370" s="646">
        <f t="shared" si="1036"/>
        <v>0</v>
      </c>
      <c r="AO370" s="647">
        <f t="shared" si="880"/>
        <v>24799.05105733153</v>
      </c>
      <c r="AP370" s="644">
        <f t="shared" si="1037"/>
        <v>0</v>
      </c>
      <c r="AQ370" s="645">
        <f t="shared" si="1038"/>
        <v>0</v>
      </c>
      <c r="AR370" s="646">
        <f t="shared" si="1039"/>
        <v>0</v>
      </c>
      <c r="AS370" s="647">
        <f t="shared" si="881"/>
        <v>24799.05105733153</v>
      </c>
      <c r="AT370" s="644">
        <f t="shared" si="1040"/>
        <v>0</v>
      </c>
      <c r="AU370" s="645">
        <f t="shared" si="1041"/>
        <v>0</v>
      </c>
      <c r="AV370" s="646">
        <f t="shared" si="1042"/>
        <v>0</v>
      </c>
      <c r="AW370" s="647">
        <f t="shared" si="882"/>
        <v>24799.05105733153</v>
      </c>
      <c r="AY370" s="644">
        <f t="shared" si="1043"/>
        <v>7341.9637609514511</v>
      </c>
      <c r="AZ370" s="645">
        <f t="shared" si="851"/>
        <v>8372.3435896121919</v>
      </c>
      <c r="BA370" s="644">
        <f t="shared" si="1044"/>
        <v>1030.3798286607407</v>
      </c>
      <c r="BB370" s="645">
        <f t="shared" si="1045"/>
        <v>0</v>
      </c>
      <c r="BC370" s="646">
        <f t="shared" si="1046"/>
        <v>0</v>
      </c>
      <c r="BD370" s="647">
        <f t="shared" si="1047"/>
        <v>8372.3435896121919</v>
      </c>
      <c r="BE370" s="644">
        <f t="shared" si="883"/>
        <v>0</v>
      </c>
      <c r="BF370" s="645">
        <f t="shared" si="884"/>
        <v>0</v>
      </c>
      <c r="BG370" s="646">
        <f t="shared" si="1048"/>
        <v>0</v>
      </c>
      <c r="BH370" s="647">
        <f t="shared" si="885"/>
        <v>8372.3435896121919</v>
      </c>
      <c r="BI370" s="644">
        <f t="shared" si="1049"/>
        <v>0</v>
      </c>
      <c r="BJ370" s="645">
        <f t="shared" si="1050"/>
        <v>0</v>
      </c>
      <c r="BK370" s="646">
        <f t="shared" si="1051"/>
        <v>0</v>
      </c>
      <c r="BL370" s="647">
        <f t="shared" si="886"/>
        <v>8372.3435896121919</v>
      </c>
      <c r="BM370" s="644">
        <f t="shared" si="1052"/>
        <v>0</v>
      </c>
      <c r="BN370" s="645">
        <f t="shared" si="1053"/>
        <v>0</v>
      </c>
      <c r="BO370" s="646">
        <f t="shared" si="1054"/>
        <v>0</v>
      </c>
      <c r="BP370" s="647">
        <f t="shared" si="887"/>
        <v>8372.3435896121919</v>
      </c>
      <c r="BQ370" s="644">
        <f t="shared" si="1055"/>
        <v>0</v>
      </c>
      <c r="BR370" s="645">
        <f t="shared" si="1056"/>
        <v>0</v>
      </c>
      <c r="BS370" s="646">
        <f t="shared" si="1057"/>
        <v>0</v>
      </c>
      <c r="BT370" s="647">
        <f t="shared" si="888"/>
        <v>8372.3435896121919</v>
      </c>
      <c r="BU370" s="662">
        <f>VLOOKUP(B370,'Afton Update'!$A$5:$AR$582,'Afton Update'!$AO$589,0)-BT370</f>
        <v>0</v>
      </c>
      <c r="BV370" s="644">
        <f t="shared" si="1058"/>
        <v>12493.254860267147</v>
      </c>
      <c r="BW370" s="645">
        <f t="shared" si="852"/>
        <v>14179.318861632491</v>
      </c>
      <c r="BX370" s="644">
        <f t="shared" si="1059"/>
        <v>1686.0640013653447</v>
      </c>
      <c r="BY370" s="645">
        <f t="shared" si="1060"/>
        <v>0</v>
      </c>
      <c r="BZ370" s="646">
        <f t="shared" si="1061"/>
        <v>0</v>
      </c>
      <c r="CA370" s="647">
        <f t="shared" si="1062"/>
        <v>14179.318861632491</v>
      </c>
      <c r="CB370" s="644">
        <f t="shared" si="889"/>
        <v>0</v>
      </c>
      <c r="CC370" s="645">
        <f t="shared" si="890"/>
        <v>0</v>
      </c>
      <c r="CD370" s="646">
        <f t="shared" si="1063"/>
        <v>0</v>
      </c>
      <c r="CE370" s="647">
        <f t="shared" si="891"/>
        <v>14179.318861632491</v>
      </c>
      <c r="CF370" s="644">
        <f t="shared" si="1064"/>
        <v>0</v>
      </c>
      <c r="CG370" s="645">
        <f t="shared" si="1065"/>
        <v>0</v>
      </c>
      <c r="CH370" s="646">
        <f t="shared" si="1066"/>
        <v>0</v>
      </c>
      <c r="CI370" s="647">
        <f t="shared" si="892"/>
        <v>14179.318861632491</v>
      </c>
      <c r="CJ370" s="644">
        <f t="shared" si="1067"/>
        <v>0</v>
      </c>
      <c r="CK370" s="645">
        <f t="shared" si="1068"/>
        <v>0</v>
      </c>
      <c r="CL370" s="646">
        <f t="shared" si="1069"/>
        <v>0</v>
      </c>
      <c r="CM370" s="647">
        <f t="shared" si="893"/>
        <v>14179.318861632491</v>
      </c>
      <c r="CN370" s="644">
        <f t="shared" si="1070"/>
        <v>0</v>
      </c>
      <c r="CO370" s="645">
        <f t="shared" si="1071"/>
        <v>0</v>
      </c>
      <c r="CP370" s="646">
        <f t="shared" si="1072"/>
        <v>0</v>
      </c>
      <c r="CQ370" s="647">
        <f t="shared" si="894"/>
        <v>14179.318861632491</v>
      </c>
      <c r="CS370" s="644">
        <f t="shared" si="1073"/>
        <v>12136.246772874432</v>
      </c>
      <c r="CT370" s="645">
        <f t="shared" si="853"/>
        <v>14213.213713983252</v>
      </c>
      <c r="CU370" s="644">
        <f t="shared" si="1074"/>
        <v>2076.9669411088198</v>
      </c>
      <c r="CV370" s="645">
        <f t="shared" si="1075"/>
        <v>0</v>
      </c>
      <c r="CW370" s="646">
        <f t="shared" si="1076"/>
        <v>0</v>
      </c>
      <c r="CX370" s="647">
        <f t="shared" si="1077"/>
        <v>14213.213713983252</v>
      </c>
      <c r="CY370" s="644">
        <f t="shared" si="895"/>
        <v>0</v>
      </c>
      <c r="CZ370" s="645">
        <f t="shared" si="896"/>
        <v>0</v>
      </c>
      <c r="DA370" s="646">
        <f t="shared" si="1078"/>
        <v>0</v>
      </c>
      <c r="DB370" s="647">
        <f t="shared" si="897"/>
        <v>14213.213713983252</v>
      </c>
      <c r="DC370" s="644">
        <f t="shared" si="1079"/>
        <v>0</v>
      </c>
      <c r="DD370" s="645">
        <f t="shared" si="1080"/>
        <v>0</v>
      </c>
      <c r="DE370" s="646">
        <f t="shared" si="1081"/>
        <v>0</v>
      </c>
      <c r="DF370" s="647">
        <f t="shared" si="898"/>
        <v>14213.213713983252</v>
      </c>
      <c r="DG370" s="644">
        <f t="shared" si="1082"/>
        <v>0</v>
      </c>
      <c r="DH370" s="645">
        <f t="shared" si="1083"/>
        <v>0</v>
      </c>
      <c r="DI370" s="646">
        <f t="shared" si="1084"/>
        <v>0</v>
      </c>
      <c r="DJ370" s="647">
        <f t="shared" si="899"/>
        <v>14213.213713983252</v>
      </c>
      <c r="DK370" s="644">
        <f t="shared" si="1085"/>
        <v>0</v>
      </c>
      <c r="DL370" s="645">
        <f t="shared" si="1086"/>
        <v>0</v>
      </c>
      <c r="DM370" s="646">
        <f t="shared" si="1087"/>
        <v>0</v>
      </c>
      <c r="DN370" s="647">
        <f t="shared" si="900"/>
        <v>14213.213713983252</v>
      </c>
      <c r="DR370" s="827">
        <f t="shared" si="854"/>
        <v>61563.927222559461</v>
      </c>
      <c r="DV370" s="828">
        <f>IFERROR(VLOOKUP($B370,'Afton FY16 Final'!$A$5:$BV$587,'Afton FY16 Final'!$BV$587,0),0)</f>
        <v>62510.586902825416</v>
      </c>
      <c r="DX370" s="636">
        <f t="shared" si="842"/>
        <v>0</v>
      </c>
      <c r="DY370" s="637">
        <f t="shared" si="843"/>
        <v>0</v>
      </c>
      <c r="DZ370" s="637">
        <f t="shared" si="844"/>
        <v>0</v>
      </c>
      <c r="EA370" s="643">
        <f t="shared" si="845"/>
        <v>0</v>
      </c>
      <c r="EB370" s="637">
        <f t="shared" si="855"/>
        <v>0</v>
      </c>
      <c r="EC370" s="637">
        <f t="shared" si="856"/>
        <v>0</v>
      </c>
      <c r="ED370" s="637">
        <f t="shared" si="857"/>
        <v>0</v>
      </c>
      <c r="EE370" s="643">
        <f t="shared" si="858"/>
        <v>0</v>
      </c>
      <c r="EF370" s="637">
        <f t="shared" si="859"/>
        <v>0</v>
      </c>
      <c r="EG370" s="637">
        <f t="shared" si="860"/>
        <v>0</v>
      </c>
      <c r="EH370" s="637">
        <f t="shared" si="861"/>
        <v>0</v>
      </c>
      <c r="EI370" s="643">
        <f t="shared" si="862"/>
        <v>0</v>
      </c>
      <c r="EJ370" s="637">
        <f t="shared" si="863"/>
        <v>0</v>
      </c>
      <c r="EK370" s="637">
        <f t="shared" si="864"/>
        <v>0</v>
      </c>
      <c r="EL370" s="637">
        <f t="shared" si="865"/>
        <v>0</v>
      </c>
      <c r="EM370" s="643">
        <f t="shared" si="866"/>
        <v>0</v>
      </c>
      <c r="EN370" s="637">
        <f t="shared" si="867"/>
        <v>0</v>
      </c>
      <c r="EO370" s="637">
        <f t="shared" si="868"/>
        <v>0</v>
      </c>
      <c r="EP370" s="637">
        <f t="shared" si="869"/>
        <v>0</v>
      </c>
      <c r="EQ370" s="643">
        <f t="shared" si="870"/>
        <v>0</v>
      </c>
      <c r="ER370" s="637">
        <f t="shared" si="871"/>
        <v>0</v>
      </c>
      <c r="ES370" s="637">
        <f t="shared" si="872"/>
        <v>0</v>
      </c>
      <c r="ET370" s="637">
        <f t="shared" si="873"/>
        <v>0</v>
      </c>
      <c r="EU370" s="643">
        <f t="shared" si="846"/>
        <v>0</v>
      </c>
      <c r="EV370" s="643">
        <f t="shared" si="847"/>
        <v>0</v>
      </c>
      <c r="EX370" s="829">
        <f t="shared" si="848"/>
        <v>0</v>
      </c>
      <c r="EY370" s="638">
        <f t="shared" si="849"/>
        <v>61563.927222559461</v>
      </c>
      <c r="FC370" s="830" t="str">
        <f t="shared" si="874"/>
        <v>Y</v>
      </c>
      <c r="FE370" s="830" t="str">
        <f>IFERROR(VLOOKUP($B370,'Historical Conc Grant Elig'!$B$3:$J$707,'HH &amp; SI'!FE$2,0),"N")</f>
        <v>N</v>
      </c>
      <c r="FF370" s="830" t="str">
        <f>IFERROR(VLOOKUP($B370,'Historical Conc Grant Elig'!$B$3:$J$707,'HH &amp; SI'!FF$2,0),"N")</f>
        <v>N</v>
      </c>
      <c r="FG370" s="830" t="str">
        <f>IFERROR(VLOOKUP($B370,'Historical Conc Grant Elig'!$B$3:$J$707,'HH &amp; SI'!FG$2,0),"N")</f>
        <v>N</v>
      </c>
      <c r="FH370" s="830" t="str">
        <f>IFERROR(VLOOKUP($B370,'Historical Conc Grant Elig'!$B$3:$J$707,'HH &amp; SI'!FH$2,0),"N")</f>
        <v>Y</v>
      </c>
      <c r="FI370" s="830" t="str">
        <f>IFERROR(VLOOKUP($B370,'Historical Conc Grant Elig'!$B$3:$J$707,'HH &amp; SI'!FI$2,0),"N")</f>
        <v>Y</v>
      </c>
      <c r="FJ370" s="830" t="str">
        <f>IFERROR(VLOOKUP($B370,'Historical Conc Grant Elig'!$B$3:$J$707,'HH &amp; SI'!FJ$2,0),"N")</f>
        <v>Y</v>
      </c>
      <c r="FK370" s="830" t="str">
        <f>IFERROR(VLOOKUP($B370,'Historical Conc Grant Elig'!$B$3:$J$707,'HH &amp; SI'!FK$2,0),"N")</f>
        <v>Y</v>
      </c>
      <c r="FL370" s="957" t="str">
        <f>IFERROR(VLOOKUP($B370,'Historical Conc Grant Elig'!$B$3:$J$707,'HH &amp; SI'!FL$2,0),"N")</f>
        <v>Y</v>
      </c>
    </row>
    <row r="371" spans="2:168" x14ac:dyDescent="0.25">
      <c r="B371" s="634">
        <v>108507000</v>
      </c>
      <c r="C371" s="635" t="str">
        <f>VLOOKUP($B371,'Afton Update'!$A$5:$CR$582,'Afton Update'!D$589,0)</f>
        <v>Pima Prevention Partnership</v>
      </c>
      <c r="D371" s="636">
        <f>IFERROR(VLOOKUP($B371,'Afton FY16 Final'!$A$5:$BV$587,'Afton FY16 Final'!AQ$587,0),0)</f>
        <v>41785.817374937542</v>
      </c>
      <c r="E371" s="637">
        <f>IFERROR(VLOOKUP($B371,'Afton FY16 Final'!$A$5:$BV$587,'Afton FY16 Final'!AR$587,0),0)</f>
        <v>10131.039111323218</v>
      </c>
      <c r="F371" s="637">
        <f>IFERROR(VLOOKUP($B371,'Afton FY16 Final'!$A$5:$BV$587,'Afton FY16 Final'!AS$587,0),0)</f>
        <v>22727.382780708322</v>
      </c>
      <c r="G371" s="637">
        <f>IFERROR(VLOOKUP($B371,'Afton FY16 Final'!$A$5:$BV$587,'Afton FY16 Final'!AT$587,0),0)</f>
        <v>23563.864046927385</v>
      </c>
      <c r="H371" s="638">
        <f>IFERROR(VLOOKUP($B371,'Afton FY16 Final'!$A$5:$BV$587,'Afton FY16 Final'!AU$587,0),0)</f>
        <v>98208.10331389647</v>
      </c>
      <c r="I371" s="639" t="str">
        <f>VLOOKUP($B371,'Afton Update'!$A$5:$CR$582,'Afton Update'!BT$589,0)</f>
        <v>Y</v>
      </c>
      <c r="J371" s="640" t="str">
        <f>VLOOKUP($B371,'Afton Update'!$A$5:$CR$582,'Afton Update'!BU$589,0)</f>
        <v>Y</v>
      </c>
      <c r="K371" s="640" t="str">
        <f>VLOOKUP($B371,'Afton Update'!$A$5:$CR$582,'Afton Update'!BV$589,0)</f>
        <v>Y</v>
      </c>
      <c r="L371" s="641" t="str">
        <f>VLOOKUP($B371,'Afton Update'!$A$5:$CR$582,'Afton Update'!BW$589,0)</f>
        <v>Y</v>
      </c>
      <c r="N371" s="642">
        <f>VLOOKUP($B371,'Afton Update'!$A$5:$CR$582,'Afton Update'!CB$589,0)</f>
        <v>0.95</v>
      </c>
      <c r="P371" s="636">
        <f>VLOOKUP($B371,'Afton Update'!$A$5:$CR$582,'Afton Update'!AH$589,0)</f>
        <v>21073.949539009689</v>
      </c>
      <c r="Q371" s="637">
        <f>VLOOKUP($B371,'Afton Update'!$A$5:$CR$582,'Afton Update'!AI$589,0)</f>
        <v>7458.2517216716087</v>
      </c>
      <c r="R371" s="637">
        <f>VLOOKUP($B371,'Afton Update'!$A$5:$CR$582,'Afton Update'!AJ$589,0)</f>
        <v>12813.594728479125</v>
      </c>
      <c r="S371" s="637">
        <f>VLOOKUP($B371,'Afton Update'!$A$5:$CR$582,'Afton Update'!AK$589,0)</f>
        <v>12447.43258756352</v>
      </c>
      <c r="T371" s="643">
        <f t="shared" si="875"/>
        <v>53793.228576723945</v>
      </c>
      <c r="V371" s="636">
        <f t="shared" si="1024"/>
        <v>39696.526506190661</v>
      </c>
      <c r="W371" s="637">
        <f t="shared" si="1025"/>
        <v>9624.4871557570568</v>
      </c>
      <c r="X371" s="637">
        <f t="shared" si="1026"/>
        <v>21591.013641672904</v>
      </c>
      <c r="Y371" s="637">
        <f t="shared" si="1027"/>
        <v>22385.670844581015</v>
      </c>
      <c r="Z371" s="643">
        <f t="shared" si="1028"/>
        <v>93297.698148201627</v>
      </c>
      <c r="AB371" s="644">
        <f t="shared" si="876"/>
        <v>21073.949539009689</v>
      </c>
      <c r="AC371" s="645">
        <f t="shared" si="850"/>
        <v>39696.526506190661</v>
      </c>
      <c r="AD371" s="644">
        <f t="shared" si="1029"/>
        <v>18622.576967180972</v>
      </c>
      <c r="AE371" s="645">
        <f t="shared" si="1030"/>
        <v>0</v>
      </c>
      <c r="AF371" s="646">
        <f t="shared" si="1031"/>
        <v>0</v>
      </c>
      <c r="AG371" s="647">
        <f t="shared" si="1032"/>
        <v>39696.526506190661</v>
      </c>
      <c r="AH371" s="644">
        <f t="shared" si="877"/>
        <v>0</v>
      </c>
      <c r="AI371" s="645">
        <f t="shared" si="878"/>
        <v>0</v>
      </c>
      <c r="AJ371" s="646">
        <f t="shared" si="1033"/>
        <v>0</v>
      </c>
      <c r="AK371" s="647">
        <f t="shared" si="879"/>
        <v>39696.526506190661</v>
      </c>
      <c r="AL371" s="644">
        <f t="shared" si="1034"/>
        <v>0</v>
      </c>
      <c r="AM371" s="645">
        <f t="shared" si="1035"/>
        <v>0</v>
      </c>
      <c r="AN371" s="646">
        <f t="shared" si="1036"/>
        <v>0</v>
      </c>
      <c r="AO371" s="647">
        <f t="shared" si="880"/>
        <v>39696.526506190661</v>
      </c>
      <c r="AP371" s="644">
        <f t="shared" si="1037"/>
        <v>0</v>
      </c>
      <c r="AQ371" s="645">
        <f t="shared" si="1038"/>
        <v>0</v>
      </c>
      <c r="AR371" s="646">
        <f t="shared" si="1039"/>
        <v>0</v>
      </c>
      <c r="AS371" s="647">
        <f t="shared" si="881"/>
        <v>39696.526506190661</v>
      </c>
      <c r="AT371" s="644">
        <f t="shared" si="1040"/>
        <v>0</v>
      </c>
      <c r="AU371" s="645">
        <f t="shared" si="1041"/>
        <v>0</v>
      </c>
      <c r="AV371" s="646">
        <f t="shared" si="1042"/>
        <v>0</v>
      </c>
      <c r="AW371" s="647">
        <f t="shared" si="882"/>
        <v>39696.526506190661</v>
      </c>
      <c r="AY371" s="644">
        <f t="shared" si="1043"/>
        <v>7458.2517216716087</v>
      </c>
      <c r="AZ371" s="645">
        <f t="shared" si="851"/>
        <v>9624.4871557570568</v>
      </c>
      <c r="BA371" s="644">
        <f t="shared" si="1044"/>
        <v>2166.2354340854481</v>
      </c>
      <c r="BB371" s="645">
        <f t="shared" si="1045"/>
        <v>0</v>
      </c>
      <c r="BC371" s="646">
        <f t="shared" si="1046"/>
        <v>0</v>
      </c>
      <c r="BD371" s="647">
        <f t="shared" si="1047"/>
        <v>9624.4871557570568</v>
      </c>
      <c r="BE371" s="644">
        <f t="shared" si="883"/>
        <v>0</v>
      </c>
      <c r="BF371" s="645">
        <f t="shared" si="884"/>
        <v>0</v>
      </c>
      <c r="BG371" s="646">
        <f t="shared" si="1048"/>
        <v>0</v>
      </c>
      <c r="BH371" s="647">
        <f t="shared" si="885"/>
        <v>9624.4871557570568</v>
      </c>
      <c r="BI371" s="644">
        <f t="shared" si="1049"/>
        <v>0</v>
      </c>
      <c r="BJ371" s="645">
        <f t="shared" si="1050"/>
        <v>0</v>
      </c>
      <c r="BK371" s="646">
        <f t="shared" si="1051"/>
        <v>0</v>
      </c>
      <c r="BL371" s="647">
        <f t="shared" si="886"/>
        <v>9624.4871557570568</v>
      </c>
      <c r="BM371" s="644">
        <f t="shared" si="1052"/>
        <v>0</v>
      </c>
      <c r="BN371" s="645">
        <f t="shared" si="1053"/>
        <v>0</v>
      </c>
      <c r="BO371" s="646">
        <f t="shared" si="1054"/>
        <v>0</v>
      </c>
      <c r="BP371" s="647">
        <f t="shared" si="887"/>
        <v>9624.4871557570568</v>
      </c>
      <c r="BQ371" s="644">
        <f t="shared" si="1055"/>
        <v>0</v>
      </c>
      <c r="BR371" s="645">
        <f t="shared" si="1056"/>
        <v>0</v>
      </c>
      <c r="BS371" s="646">
        <f t="shared" si="1057"/>
        <v>0</v>
      </c>
      <c r="BT371" s="647">
        <f t="shared" si="888"/>
        <v>9624.4871557570568</v>
      </c>
      <c r="BU371" s="662">
        <f>VLOOKUP(B371,'Afton Update'!$A$5:$AR$582,'Afton Update'!$AO$589,0)-BT371</f>
        <v>0</v>
      </c>
      <c r="BV371" s="644">
        <f t="shared" si="1058"/>
        <v>12813.594728479125</v>
      </c>
      <c r="BW371" s="645">
        <f t="shared" si="852"/>
        <v>21591.013641672904</v>
      </c>
      <c r="BX371" s="644">
        <f t="shared" si="1059"/>
        <v>8777.4189131937783</v>
      </c>
      <c r="BY371" s="645">
        <f t="shared" si="1060"/>
        <v>0</v>
      </c>
      <c r="BZ371" s="646">
        <f t="shared" si="1061"/>
        <v>0</v>
      </c>
      <c r="CA371" s="647">
        <f t="shared" si="1062"/>
        <v>21591.013641672904</v>
      </c>
      <c r="CB371" s="644">
        <f t="shared" si="889"/>
        <v>0</v>
      </c>
      <c r="CC371" s="645">
        <f t="shared" si="890"/>
        <v>0</v>
      </c>
      <c r="CD371" s="646">
        <f t="shared" si="1063"/>
        <v>0</v>
      </c>
      <c r="CE371" s="647">
        <f t="shared" si="891"/>
        <v>21591.013641672904</v>
      </c>
      <c r="CF371" s="644">
        <f t="shared" si="1064"/>
        <v>0</v>
      </c>
      <c r="CG371" s="645">
        <f t="shared" si="1065"/>
        <v>0</v>
      </c>
      <c r="CH371" s="646">
        <f t="shared" si="1066"/>
        <v>0</v>
      </c>
      <c r="CI371" s="647">
        <f t="shared" si="892"/>
        <v>21591.013641672904</v>
      </c>
      <c r="CJ371" s="644">
        <f t="shared" si="1067"/>
        <v>0</v>
      </c>
      <c r="CK371" s="645">
        <f t="shared" si="1068"/>
        <v>0</v>
      </c>
      <c r="CL371" s="646">
        <f t="shared" si="1069"/>
        <v>0</v>
      </c>
      <c r="CM371" s="647">
        <f t="shared" si="893"/>
        <v>21591.013641672904</v>
      </c>
      <c r="CN371" s="644">
        <f t="shared" si="1070"/>
        <v>0</v>
      </c>
      <c r="CO371" s="645">
        <f t="shared" si="1071"/>
        <v>0</v>
      </c>
      <c r="CP371" s="646">
        <f t="shared" si="1072"/>
        <v>0</v>
      </c>
      <c r="CQ371" s="647">
        <f t="shared" si="894"/>
        <v>21591.013641672904</v>
      </c>
      <c r="CS371" s="644">
        <f t="shared" si="1073"/>
        <v>12447.43258756352</v>
      </c>
      <c r="CT371" s="645">
        <f t="shared" si="853"/>
        <v>22385.670844581015</v>
      </c>
      <c r="CU371" s="644">
        <f t="shared" si="1074"/>
        <v>9938.2382570174941</v>
      </c>
      <c r="CV371" s="645">
        <f t="shared" si="1075"/>
        <v>0</v>
      </c>
      <c r="CW371" s="646">
        <f t="shared" si="1076"/>
        <v>0</v>
      </c>
      <c r="CX371" s="647">
        <f t="shared" si="1077"/>
        <v>22385.670844581015</v>
      </c>
      <c r="CY371" s="644">
        <f t="shared" si="895"/>
        <v>0</v>
      </c>
      <c r="CZ371" s="645">
        <f t="shared" si="896"/>
        <v>0</v>
      </c>
      <c r="DA371" s="646">
        <f t="shared" si="1078"/>
        <v>0</v>
      </c>
      <c r="DB371" s="647">
        <f t="shared" si="897"/>
        <v>22385.670844581015</v>
      </c>
      <c r="DC371" s="644">
        <f t="shared" si="1079"/>
        <v>0</v>
      </c>
      <c r="DD371" s="645">
        <f t="shared" si="1080"/>
        <v>0</v>
      </c>
      <c r="DE371" s="646">
        <f t="shared" si="1081"/>
        <v>0</v>
      </c>
      <c r="DF371" s="647">
        <f t="shared" si="898"/>
        <v>22385.670844581015</v>
      </c>
      <c r="DG371" s="644">
        <f t="shared" si="1082"/>
        <v>0</v>
      </c>
      <c r="DH371" s="645">
        <f t="shared" si="1083"/>
        <v>0</v>
      </c>
      <c r="DI371" s="646">
        <f t="shared" si="1084"/>
        <v>0</v>
      </c>
      <c r="DJ371" s="647">
        <f t="shared" si="899"/>
        <v>22385.670844581015</v>
      </c>
      <c r="DK371" s="644">
        <f t="shared" si="1085"/>
        <v>0</v>
      </c>
      <c r="DL371" s="645">
        <f t="shared" si="1086"/>
        <v>0</v>
      </c>
      <c r="DM371" s="646">
        <f t="shared" si="1087"/>
        <v>0</v>
      </c>
      <c r="DN371" s="647">
        <f t="shared" si="900"/>
        <v>22385.670844581015</v>
      </c>
      <c r="DR371" s="827">
        <f t="shared" si="854"/>
        <v>93297.698148201627</v>
      </c>
      <c r="DV371" s="828">
        <f>IFERROR(VLOOKUP($B371,'Afton FY16 Final'!$A$5:$BV$587,'Afton FY16 Final'!$BV$587,0),0)</f>
        <v>96274.385775909977</v>
      </c>
      <c r="DX371" s="636">
        <f t="shared" si="842"/>
        <v>0</v>
      </c>
      <c r="DY371" s="637">
        <f t="shared" si="843"/>
        <v>0</v>
      </c>
      <c r="DZ371" s="637">
        <f t="shared" si="844"/>
        <v>0</v>
      </c>
      <c r="EA371" s="643">
        <f t="shared" si="845"/>
        <v>0</v>
      </c>
      <c r="EB371" s="637">
        <f t="shared" si="855"/>
        <v>0</v>
      </c>
      <c r="EC371" s="637">
        <f t="shared" si="856"/>
        <v>0</v>
      </c>
      <c r="ED371" s="637">
        <f t="shared" si="857"/>
        <v>0</v>
      </c>
      <c r="EE371" s="643">
        <f t="shared" si="858"/>
        <v>0</v>
      </c>
      <c r="EF371" s="637">
        <f t="shared" si="859"/>
        <v>0</v>
      </c>
      <c r="EG371" s="637">
        <f t="shared" si="860"/>
        <v>0</v>
      </c>
      <c r="EH371" s="637">
        <f t="shared" si="861"/>
        <v>0</v>
      </c>
      <c r="EI371" s="643">
        <f t="shared" si="862"/>
        <v>0</v>
      </c>
      <c r="EJ371" s="637">
        <f t="shared" si="863"/>
        <v>0</v>
      </c>
      <c r="EK371" s="637">
        <f t="shared" si="864"/>
        <v>0</v>
      </c>
      <c r="EL371" s="637">
        <f t="shared" si="865"/>
        <v>0</v>
      </c>
      <c r="EM371" s="643">
        <f t="shared" si="866"/>
        <v>0</v>
      </c>
      <c r="EN371" s="637">
        <f t="shared" si="867"/>
        <v>0</v>
      </c>
      <c r="EO371" s="637">
        <f t="shared" si="868"/>
        <v>0</v>
      </c>
      <c r="EP371" s="637">
        <f t="shared" si="869"/>
        <v>0</v>
      </c>
      <c r="EQ371" s="643">
        <f t="shared" si="870"/>
        <v>0</v>
      </c>
      <c r="ER371" s="637">
        <f t="shared" si="871"/>
        <v>0</v>
      </c>
      <c r="ES371" s="637">
        <f t="shared" si="872"/>
        <v>0</v>
      </c>
      <c r="ET371" s="637">
        <f t="shared" si="873"/>
        <v>0</v>
      </c>
      <c r="EU371" s="643">
        <f t="shared" si="846"/>
        <v>0</v>
      </c>
      <c r="EV371" s="643">
        <f t="shared" si="847"/>
        <v>0</v>
      </c>
      <c r="EX371" s="829">
        <f t="shared" si="848"/>
        <v>0</v>
      </c>
      <c r="EY371" s="638">
        <f t="shared" si="849"/>
        <v>93297.698148201627</v>
      </c>
      <c r="FC371" s="830" t="str">
        <f t="shared" si="874"/>
        <v>Y</v>
      </c>
      <c r="FE371" s="830" t="str">
        <f>IFERROR(VLOOKUP($B371,'Historical Conc Grant Elig'!$B$3:$J$707,'HH &amp; SI'!FE$2,0),"N")</f>
        <v>N</v>
      </c>
      <c r="FF371" s="830" t="str">
        <f>IFERROR(VLOOKUP($B371,'Historical Conc Grant Elig'!$B$3:$J$707,'HH &amp; SI'!FF$2,0),"N")</f>
        <v>N</v>
      </c>
      <c r="FG371" s="830" t="str">
        <f>IFERROR(VLOOKUP($B371,'Historical Conc Grant Elig'!$B$3:$J$707,'HH &amp; SI'!FG$2,0),"N")</f>
        <v>N</v>
      </c>
      <c r="FH371" s="830" t="str">
        <f>IFERROR(VLOOKUP($B371,'Historical Conc Grant Elig'!$B$3:$J$707,'HH &amp; SI'!FH$2,0),"N")</f>
        <v>Y</v>
      </c>
      <c r="FI371" s="830" t="str">
        <f>IFERROR(VLOOKUP($B371,'Historical Conc Grant Elig'!$B$3:$J$707,'HH &amp; SI'!FI$2,0),"N")</f>
        <v>Y</v>
      </c>
      <c r="FJ371" s="830" t="str">
        <f>IFERROR(VLOOKUP($B371,'Historical Conc Grant Elig'!$B$3:$J$707,'HH &amp; SI'!FJ$2,0),"N")</f>
        <v>Y</v>
      </c>
      <c r="FK371" s="830" t="str">
        <f>IFERROR(VLOOKUP($B371,'Historical Conc Grant Elig'!$B$3:$J$707,'HH &amp; SI'!FK$2,0),"N")</f>
        <v>Y</v>
      </c>
      <c r="FL371" s="957" t="str">
        <f>IFERROR(VLOOKUP($B371,'Historical Conc Grant Elig'!$B$3:$J$707,'HH &amp; SI'!FL$2,0),"N")</f>
        <v>Y</v>
      </c>
    </row>
    <row r="372" spans="2:168" x14ac:dyDescent="0.25">
      <c r="B372" s="634">
        <v>108512000</v>
      </c>
      <c r="C372" s="635" t="str">
        <f>VLOOKUP($B372,'Afton Update'!$A$5:$CR$582,'Afton Update'!D$589,0)</f>
        <v>Open Doors Community School  Inc.</v>
      </c>
      <c r="D372" s="636">
        <f>IFERROR(VLOOKUP($B372,'Afton FY16 Final'!$A$5:$BV$587,'Afton FY16 Final'!AQ$587,0),0)</f>
        <v>16924.484074748216</v>
      </c>
      <c r="E372" s="637">
        <f>IFERROR(VLOOKUP($B372,'Afton FY16 Final'!$A$5:$BV$587,'Afton FY16 Final'!AR$587,0),0)</f>
        <v>7015.0701045829483</v>
      </c>
      <c r="F372" s="637">
        <f>IFERROR(VLOOKUP($B372,'Afton FY16 Final'!$A$5:$BV$587,'Afton FY16 Final'!AS$587,0),0)</f>
        <v>9662.4719373542193</v>
      </c>
      <c r="G372" s="637">
        <f>IFERROR(VLOOKUP($B372,'Afton FY16 Final'!$A$5:$BV$587,'Afton FY16 Final'!AT$587,0),0)</f>
        <v>9428.284282775543</v>
      </c>
      <c r="H372" s="638">
        <f>IFERROR(VLOOKUP($B372,'Afton FY16 Final'!$A$5:$BV$587,'Afton FY16 Final'!AU$587,0),0)</f>
        <v>43030.310399460926</v>
      </c>
      <c r="I372" s="639" t="str">
        <f>VLOOKUP($B372,'Afton Update'!$A$5:$CR$582,'Afton Update'!BT$589,0)</f>
        <v>Y</v>
      </c>
      <c r="J372" s="640" t="str">
        <f>VLOOKUP($B372,'Afton Update'!$A$5:$CR$582,'Afton Update'!BU$589,0)</f>
        <v>Y</v>
      </c>
      <c r="K372" s="640" t="str">
        <f>VLOOKUP($B372,'Afton Update'!$A$5:$CR$582,'Afton Update'!BV$589,0)</f>
        <v>Y</v>
      </c>
      <c r="L372" s="641" t="str">
        <f>VLOOKUP($B372,'Afton Update'!$A$5:$CR$582,'Afton Update'!BW$589,0)</f>
        <v>Y</v>
      </c>
      <c r="N372" s="642">
        <f>VLOOKUP($B372,'Afton Update'!$A$5:$CR$582,'Afton Update'!CB$589,0)</f>
        <v>0.95</v>
      </c>
      <c r="P372" s="636">
        <f>VLOOKUP($B372,'Afton Update'!$A$5:$CR$582,'Afton Update'!AH$589,0)</f>
        <v>20810.525169772067</v>
      </c>
      <c r="Q372" s="637">
        <f>VLOOKUP($B372,'Afton Update'!$A$5:$CR$582,'Afton Update'!AI$589,0)</f>
        <v>7400.107741311529</v>
      </c>
      <c r="R372" s="637">
        <f>VLOOKUP($B372,'Afton Update'!$A$5:$CR$582,'Afton Update'!AJ$589,0)</f>
        <v>12653.424794373135</v>
      </c>
      <c r="S372" s="637">
        <f>VLOOKUP($B372,'Afton Update'!$A$5:$CR$582,'Afton Update'!AK$589,0)</f>
        <v>12291.839680218975</v>
      </c>
      <c r="T372" s="643">
        <f t="shared" si="875"/>
        <v>53155.8973856757</v>
      </c>
      <c r="V372" s="636">
        <f t="shared" si="1024"/>
        <v>20526.65609910067</v>
      </c>
      <c r="W372" s="637">
        <f t="shared" si="1025"/>
        <v>7156.3752478115666</v>
      </c>
      <c r="X372" s="637">
        <f t="shared" si="1026"/>
        <v>12538.346836211227</v>
      </c>
      <c r="Y372" s="637">
        <f t="shared" si="1027"/>
        <v>12156.405733384636</v>
      </c>
      <c r="Z372" s="643">
        <f t="shared" si="1028"/>
        <v>52377.783916508102</v>
      </c>
      <c r="AB372" s="644">
        <f t="shared" si="876"/>
        <v>20810.525169772067</v>
      </c>
      <c r="AC372" s="645">
        <f t="shared" si="850"/>
        <v>16078.259871010805</v>
      </c>
      <c r="AD372" s="644">
        <f t="shared" si="1029"/>
        <v>0</v>
      </c>
      <c r="AE372" s="645">
        <f t="shared" si="1030"/>
        <v>20810.525169772067</v>
      </c>
      <c r="AF372" s="646">
        <f t="shared" si="1031"/>
        <v>-257.96209817269556</v>
      </c>
      <c r="AG372" s="647">
        <f t="shared" si="1032"/>
        <v>20552.563071599372</v>
      </c>
      <c r="AH372" s="644">
        <f t="shared" si="877"/>
        <v>0</v>
      </c>
      <c r="AI372" s="645">
        <f t="shared" si="878"/>
        <v>20552.563071599372</v>
      </c>
      <c r="AJ372" s="646">
        <f t="shared" si="1033"/>
        <v>-25.890467246095859</v>
      </c>
      <c r="AK372" s="647">
        <f t="shared" si="879"/>
        <v>20526.672604353276</v>
      </c>
      <c r="AL372" s="644">
        <f t="shared" si="1034"/>
        <v>0</v>
      </c>
      <c r="AM372" s="645">
        <f t="shared" si="1035"/>
        <v>20526.672604353276</v>
      </c>
      <c r="AN372" s="646">
        <f t="shared" si="1036"/>
        <v>-1.6505252607546279E-2</v>
      </c>
      <c r="AO372" s="647">
        <f t="shared" si="880"/>
        <v>20526.65609910067</v>
      </c>
      <c r="AP372" s="644">
        <f t="shared" si="1037"/>
        <v>0</v>
      </c>
      <c r="AQ372" s="645">
        <f t="shared" si="1038"/>
        <v>20526.65609910067</v>
      </c>
      <c r="AR372" s="646">
        <f t="shared" si="1039"/>
        <v>0</v>
      </c>
      <c r="AS372" s="647">
        <f t="shared" si="881"/>
        <v>20526.65609910067</v>
      </c>
      <c r="AT372" s="644">
        <f t="shared" si="1040"/>
        <v>0</v>
      </c>
      <c r="AU372" s="645">
        <f t="shared" si="1041"/>
        <v>20526.65609910067</v>
      </c>
      <c r="AV372" s="646">
        <f t="shared" si="1042"/>
        <v>0</v>
      </c>
      <c r="AW372" s="647">
        <f t="shared" si="882"/>
        <v>20526.65609910067</v>
      </c>
      <c r="AY372" s="644">
        <f t="shared" si="1043"/>
        <v>7400.107741311529</v>
      </c>
      <c r="AZ372" s="645">
        <f t="shared" si="851"/>
        <v>6664.3165993538005</v>
      </c>
      <c r="BA372" s="644">
        <f t="shared" si="1044"/>
        <v>0</v>
      </c>
      <c r="BB372" s="645">
        <f t="shared" si="1045"/>
        <v>7400.107741311529</v>
      </c>
      <c r="BC372" s="646">
        <f t="shared" si="1046"/>
        <v>-53.216331384457867</v>
      </c>
      <c r="BD372" s="647">
        <f t="shared" si="1047"/>
        <v>7346.8914099270714</v>
      </c>
      <c r="BE372" s="644">
        <f t="shared" si="883"/>
        <v>0</v>
      </c>
      <c r="BF372" s="645">
        <f t="shared" si="884"/>
        <v>7346.8914099270714</v>
      </c>
      <c r="BG372" s="646">
        <f t="shared" si="1048"/>
        <v>-174.99696609991048</v>
      </c>
      <c r="BH372" s="647">
        <f t="shared" si="885"/>
        <v>7171.894443827161</v>
      </c>
      <c r="BI372" s="644">
        <f t="shared" si="1049"/>
        <v>0</v>
      </c>
      <c r="BJ372" s="645">
        <f t="shared" si="1050"/>
        <v>7171.894443827161</v>
      </c>
      <c r="BK372" s="646">
        <f t="shared" si="1051"/>
        <v>-15.191756909282919</v>
      </c>
      <c r="BL372" s="647">
        <f t="shared" si="886"/>
        <v>7156.7026869178781</v>
      </c>
      <c r="BM372" s="644">
        <f t="shared" si="1052"/>
        <v>0</v>
      </c>
      <c r="BN372" s="645">
        <f t="shared" si="1053"/>
        <v>7156.7026869178781</v>
      </c>
      <c r="BO372" s="646">
        <f t="shared" si="1054"/>
        <v>-0.3274391063114343</v>
      </c>
      <c r="BP372" s="647">
        <f t="shared" si="887"/>
        <v>7156.3752478115666</v>
      </c>
      <c r="BQ372" s="644">
        <f t="shared" si="1055"/>
        <v>0</v>
      </c>
      <c r="BR372" s="645">
        <f t="shared" si="1056"/>
        <v>7156.3752478115666</v>
      </c>
      <c r="BS372" s="646">
        <f t="shared" si="1057"/>
        <v>0</v>
      </c>
      <c r="BT372" s="647">
        <f t="shared" si="888"/>
        <v>7156.3752478115666</v>
      </c>
      <c r="BU372" s="662">
        <f>VLOOKUP(B372,'Afton Update'!$A$5:$AR$582,'Afton Update'!$AO$589,0)-BT372</f>
        <v>0</v>
      </c>
      <c r="BV372" s="644">
        <f t="shared" si="1058"/>
        <v>12653.424794373135</v>
      </c>
      <c r="BW372" s="645">
        <f t="shared" si="852"/>
        <v>9179.3483404865074</v>
      </c>
      <c r="BX372" s="644">
        <f t="shared" si="1059"/>
        <v>0</v>
      </c>
      <c r="BY372" s="645">
        <f t="shared" si="1060"/>
        <v>12653.424794373135</v>
      </c>
      <c r="BZ372" s="646">
        <f t="shared" si="1061"/>
        <v>-111.06045471730809</v>
      </c>
      <c r="CA372" s="647">
        <f t="shared" si="1062"/>
        <v>12542.364339655827</v>
      </c>
      <c r="CB372" s="644">
        <f t="shared" si="889"/>
        <v>0</v>
      </c>
      <c r="CC372" s="645">
        <f t="shared" si="890"/>
        <v>12542.364339655827</v>
      </c>
      <c r="CD372" s="646">
        <f t="shared" si="1063"/>
        <v>-4.0175034446009628</v>
      </c>
      <c r="CE372" s="647">
        <f t="shared" si="891"/>
        <v>12538.346836211227</v>
      </c>
      <c r="CF372" s="644">
        <f t="shared" si="1064"/>
        <v>0</v>
      </c>
      <c r="CG372" s="645">
        <f t="shared" si="1065"/>
        <v>12538.346836211227</v>
      </c>
      <c r="CH372" s="646">
        <f t="shared" si="1066"/>
        <v>0</v>
      </c>
      <c r="CI372" s="647">
        <f t="shared" si="892"/>
        <v>12538.346836211227</v>
      </c>
      <c r="CJ372" s="644">
        <f t="shared" si="1067"/>
        <v>0</v>
      </c>
      <c r="CK372" s="645">
        <f t="shared" si="1068"/>
        <v>12538.346836211227</v>
      </c>
      <c r="CL372" s="646">
        <f t="shared" si="1069"/>
        <v>0</v>
      </c>
      <c r="CM372" s="647">
        <f t="shared" si="893"/>
        <v>12538.346836211227</v>
      </c>
      <c r="CN372" s="644">
        <f t="shared" si="1070"/>
        <v>0</v>
      </c>
      <c r="CO372" s="645">
        <f t="shared" si="1071"/>
        <v>12538.346836211227</v>
      </c>
      <c r="CP372" s="646">
        <f t="shared" si="1072"/>
        <v>0</v>
      </c>
      <c r="CQ372" s="647">
        <f t="shared" si="894"/>
        <v>12538.346836211227</v>
      </c>
      <c r="CS372" s="644">
        <f t="shared" si="1073"/>
        <v>12291.839680218975</v>
      </c>
      <c r="CT372" s="645">
        <f t="shared" si="853"/>
        <v>8956.8700686367647</v>
      </c>
      <c r="CU372" s="644">
        <f t="shared" si="1074"/>
        <v>0</v>
      </c>
      <c r="CV372" s="645">
        <f t="shared" si="1075"/>
        <v>12291.839680218975</v>
      </c>
      <c r="CW372" s="646">
        <f t="shared" si="1076"/>
        <v>-125.87538471416735</v>
      </c>
      <c r="CX372" s="647">
        <f t="shared" si="1077"/>
        <v>12165.964295504808</v>
      </c>
      <c r="CY372" s="644">
        <f t="shared" si="895"/>
        <v>0</v>
      </c>
      <c r="CZ372" s="645">
        <f t="shared" si="896"/>
        <v>12165.964295504808</v>
      </c>
      <c r="DA372" s="646">
        <f t="shared" si="1078"/>
        <v>-9.5503261533793822</v>
      </c>
      <c r="DB372" s="647">
        <f t="shared" si="897"/>
        <v>12156.413969351428</v>
      </c>
      <c r="DC372" s="644">
        <f t="shared" si="1079"/>
        <v>0</v>
      </c>
      <c r="DD372" s="645">
        <f t="shared" si="1080"/>
        <v>12156.413969351428</v>
      </c>
      <c r="DE372" s="646">
        <f t="shared" si="1081"/>
        <v>-8.2359667915270721E-3</v>
      </c>
      <c r="DF372" s="647">
        <f t="shared" si="898"/>
        <v>12156.405733384636</v>
      </c>
      <c r="DG372" s="644">
        <f t="shared" si="1082"/>
        <v>0</v>
      </c>
      <c r="DH372" s="645">
        <f t="shared" si="1083"/>
        <v>12156.405733384636</v>
      </c>
      <c r="DI372" s="646">
        <f t="shared" si="1084"/>
        <v>0</v>
      </c>
      <c r="DJ372" s="647">
        <f t="shared" si="899"/>
        <v>12156.405733384636</v>
      </c>
      <c r="DK372" s="644">
        <f t="shared" si="1085"/>
        <v>0</v>
      </c>
      <c r="DL372" s="645">
        <f t="shared" si="1086"/>
        <v>12156.405733384636</v>
      </c>
      <c r="DM372" s="646">
        <f t="shared" si="1087"/>
        <v>0</v>
      </c>
      <c r="DN372" s="647">
        <f t="shared" si="900"/>
        <v>12156.405733384636</v>
      </c>
      <c r="DR372" s="827">
        <f t="shared" si="854"/>
        <v>52377.783916508102</v>
      </c>
      <c r="DV372" s="828">
        <f>IFERROR(VLOOKUP($B372,'Afton FY16 Final'!$A$5:$BV$587,'Afton FY16 Final'!$BV$587,0),0)</f>
        <v>38203.616803283287</v>
      </c>
      <c r="DX372" s="636">
        <f t="shared" si="842"/>
        <v>52377.783916508102</v>
      </c>
      <c r="DY372" s="637">
        <f t="shared" si="843"/>
        <v>14174.167113224816</v>
      </c>
      <c r="DZ372" s="637">
        <f t="shared" si="844"/>
        <v>38203.616803283287</v>
      </c>
      <c r="EA372" s="643">
        <f t="shared" si="845"/>
        <v>49591.872830975277</v>
      </c>
      <c r="EB372" s="637">
        <f t="shared" si="855"/>
        <v>0</v>
      </c>
      <c r="EC372" s="637">
        <f t="shared" si="856"/>
        <v>49591.872830975277</v>
      </c>
      <c r="ED372" s="637">
        <f t="shared" si="857"/>
        <v>49443.992827211267</v>
      </c>
      <c r="EE372" s="643">
        <f t="shared" si="858"/>
        <v>49443.992827211267</v>
      </c>
      <c r="EF372" s="637">
        <f t="shared" si="859"/>
        <v>0</v>
      </c>
      <c r="EG372" s="637">
        <f t="shared" si="860"/>
        <v>49443.992827211267</v>
      </c>
      <c r="EH372" s="637">
        <f t="shared" si="861"/>
        <v>49443.941817773812</v>
      </c>
      <c r="EI372" s="643">
        <f t="shared" si="862"/>
        <v>49443.941817773812</v>
      </c>
      <c r="EJ372" s="637">
        <f t="shared" si="863"/>
        <v>0</v>
      </c>
      <c r="EK372" s="637">
        <f t="shared" si="864"/>
        <v>49443.941817773812</v>
      </c>
      <c r="EL372" s="637">
        <f t="shared" si="865"/>
        <v>49443.941817773739</v>
      </c>
      <c r="EM372" s="643">
        <f t="shared" si="866"/>
        <v>49443.941817773739</v>
      </c>
      <c r="EN372" s="637">
        <f t="shared" si="867"/>
        <v>0</v>
      </c>
      <c r="EO372" s="637">
        <f t="shared" si="868"/>
        <v>49443.941817773739</v>
      </c>
      <c r="EP372" s="637">
        <f t="shared" si="869"/>
        <v>49443.941817773812</v>
      </c>
      <c r="EQ372" s="643">
        <f t="shared" si="870"/>
        <v>49443.941817773812</v>
      </c>
      <c r="ER372" s="637">
        <f t="shared" si="871"/>
        <v>0</v>
      </c>
      <c r="ES372" s="637">
        <f t="shared" si="872"/>
        <v>49443.941817773812</v>
      </c>
      <c r="ET372" s="637">
        <f t="shared" si="873"/>
        <v>49443.941817773732</v>
      </c>
      <c r="EU372" s="643">
        <f t="shared" si="846"/>
        <v>49443.941817773732</v>
      </c>
      <c r="EV372" s="643">
        <f t="shared" si="847"/>
        <v>0</v>
      </c>
      <c r="EX372" s="829">
        <f t="shared" si="848"/>
        <v>2933.8420987343707</v>
      </c>
      <c r="EY372" s="638">
        <f t="shared" si="849"/>
        <v>49443.941817773732</v>
      </c>
      <c r="FC372" s="830" t="str">
        <f t="shared" si="874"/>
        <v>Y</v>
      </c>
      <c r="FE372" s="830" t="str">
        <f>IFERROR(VLOOKUP($B372,'Historical Conc Grant Elig'!$B$3:$J$707,'HH &amp; SI'!FE$2,0),"N")</f>
        <v>N</v>
      </c>
      <c r="FF372" s="830" t="str">
        <f>IFERROR(VLOOKUP($B372,'Historical Conc Grant Elig'!$B$3:$J$707,'HH &amp; SI'!FF$2,0),"N")</f>
        <v>N</v>
      </c>
      <c r="FG372" s="830" t="str">
        <f>IFERROR(VLOOKUP($B372,'Historical Conc Grant Elig'!$B$3:$J$707,'HH &amp; SI'!FG$2,0),"N")</f>
        <v>N</v>
      </c>
      <c r="FH372" s="830" t="str">
        <f>IFERROR(VLOOKUP($B372,'Historical Conc Grant Elig'!$B$3:$J$707,'HH &amp; SI'!FH$2,0),"N")</f>
        <v>N</v>
      </c>
      <c r="FI372" s="830" t="str">
        <f>IFERROR(VLOOKUP($B372,'Historical Conc Grant Elig'!$B$3:$J$707,'HH &amp; SI'!FI$2,0),"N")</f>
        <v>N</v>
      </c>
      <c r="FJ372" s="830" t="str">
        <f>IFERROR(VLOOKUP($B372,'Historical Conc Grant Elig'!$B$3:$J$707,'HH &amp; SI'!FJ$2,0),"N")</f>
        <v>Y</v>
      </c>
      <c r="FK372" s="830" t="str">
        <f>IFERROR(VLOOKUP($B372,'Historical Conc Grant Elig'!$B$3:$J$707,'HH &amp; SI'!FK$2,0),"N")</f>
        <v>Y</v>
      </c>
      <c r="FL372" s="957" t="str">
        <f>IFERROR(VLOOKUP($B372,'Historical Conc Grant Elig'!$B$3:$J$707,'HH &amp; SI'!FL$2,0),"N")</f>
        <v>Y</v>
      </c>
    </row>
    <row r="373" spans="2:168" x14ac:dyDescent="0.25">
      <c r="B373" s="634">
        <v>108513000</v>
      </c>
      <c r="C373" s="635" t="str">
        <f>VLOOKUP($B373,'Afton Update'!$A$5:$CR$582,'Afton Update'!D$589,0)</f>
        <v>Innovative Humanities Education Corporation</v>
      </c>
      <c r="D373" s="636">
        <f>IFERROR(VLOOKUP($B373,'Afton FY16 Final'!$A$5:$BV$587,'Afton FY16 Final'!AQ$587,0),0)</f>
        <v>28551.539046269867</v>
      </c>
      <c r="E373" s="637">
        <f>IFERROR(VLOOKUP($B373,'Afton FY16 Final'!$A$5:$BV$587,'Afton FY16 Final'!AR$587,0),0)</f>
        <v>9352.1938309460293</v>
      </c>
      <c r="F373" s="637">
        <f>IFERROR(VLOOKUP($B373,'Afton FY16 Final'!$A$5:$BV$587,'Afton FY16 Final'!AS$587,0),0)</f>
        <v>16324.873689379516</v>
      </c>
      <c r="G373" s="637">
        <f>IFERROR(VLOOKUP($B373,'Afton FY16 Final'!$A$5:$BV$587,'Afton FY16 Final'!AT$587,0),0)</f>
        <v>16363.897368072827</v>
      </c>
      <c r="H373" s="638">
        <f>IFERROR(VLOOKUP($B373,'Afton FY16 Final'!$A$5:$BV$587,'Afton FY16 Final'!AU$587,0),0)</f>
        <v>70592.503934668232</v>
      </c>
      <c r="I373" s="639" t="str">
        <f>VLOOKUP($B373,'Afton Update'!$A$5:$CR$582,'Afton Update'!BT$589,0)</f>
        <v>Y</v>
      </c>
      <c r="J373" s="640" t="str">
        <f>VLOOKUP($B373,'Afton Update'!$A$5:$CR$582,'Afton Update'!BU$589,0)</f>
        <v>Y</v>
      </c>
      <c r="K373" s="640" t="str">
        <f>VLOOKUP($B373,'Afton Update'!$A$5:$CR$582,'Afton Update'!BV$589,0)</f>
        <v>Y</v>
      </c>
      <c r="L373" s="641" t="str">
        <f>VLOOKUP($B373,'Afton Update'!$A$5:$CR$582,'Afton Update'!BW$589,0)</f>
        <v>Y</v>
      </c>
      <c r="N373" s="642">
        <f>VLOOKUP($B373,'Afton Update'!$A$5:$CR$582,'Afton Update'!CB$589,0)</f>
        <v>0.95</v>
      </c>
      <c r="P373" s="636">
        <f>VLOOKUP($B373,'Afton Update'!$A$5:$CR$582,'Afton Update'!AH$589,0)</f>
        <v>45572.415878108448</v>
      </c>
      <c r="Q373" s="637">
        <f>VLOOKUP($B373,'Afton Update'!$A$5:$CR$582,'Afton Update'!AI$589,0)</f>
        <v>12865.641895158929</v>
      </c>
      <c r="R373" s="637">
        <f>VLOOKUP($B373,'Afton Update'!$A$5:$CR$582,'Afton Update'!AJ$589,0)</f>
        <v>27709.398600336106</v>
      </c>
      <c r="S373" s="637">
        <f>VLOOKUP($B373,'Afton Update'!$A$5:$CR$582,'Afton Update'!AK$589,0)</f>
        <v>26917.572970606114</v>
      </c>
      <c r="T373" s="643">
        <f t="shared" si="875"/>
        <v>113065.0293442096</v>
      </c>
      <c r="V373" s="636">
        <f t="shared" si="1024"/>
        <v>44950.778546131834</v>
      </c>
      <c r="W373" s="637">
        <f t="shared" si="1025"/>
        <v>12441.894689144749</v>
      </c>
      <c r="X373" s="637">
        <f t="shared" si="1026"/>
        <v>27457.392438791674</v>
      </c>
      <c r="Y373" s="637">
        <f t="shared" si="1027"/>
        <v>26620.989770576489</v>
      </c>
      <c r="Z373" s="643">
        <f t="shared" si="1028"/>
        <v>111471.05544464475</v>
      </c>
      <c r="AB373" s="644">
        <f t="shared" si="876"/>
        <v>45572.415878108448</v>
      </c>
      <c r="AC373" s="645">
        <f t="shared" si="850"/>
        <v>27123.962093956372</v>
      </c>
      <c r="AD373" s="644">
        <f t="shared" si="1029"/>
        <v>0</v>
      </c>
      <c r="AE373" s="645">
        <f t="shared" si="1030"/>
        <v>45572.415878108448</v>
      </c>
      <c r="AF373" s="646">
        <f t="shared" si="1031"/>
        <v>-564.90434156805475</v>
      </c>
      <c r="AG373" s="647">
        <f t="shared" si="1032"/>
        <v>45007.511536540391</v>
      </c>
      <c r="AH373" s="644">
        <f t="shared" si="877"/>
        <v>0</v>
      </c>
      <c r="AI373" s="645">
        <f t="shared" si="878"/>
        <v>45007.511536540391</v>
      </c>
      <c r="AJ373" s="646">
        <f t="shared" si="1033"/>
        <v>-56.696845994614982</v>
      </c>
      <c r="AK373" s="647">
        <f t="shared" si="879"/>
        <v>44950.814690545776</v>
      </c>
      <c r="AL373" s="644">
        <f t="shared" si="1034"/>
        <v>0</v>
      </c>
      <c r="AM373" s="645">
        <f t="shared" si="1035"/>
        <v>44950.814690545776</v>
      </c>
      <c r="AN373" s="646">
        <f t="shared" si="1036"/>
        <v>-3.6144413938044379E-2</v>
      </c>
      <c r="AO373" s="647">
        <f t="shared" si="880"/>
        <v>44950.778546131834</v>
      </c>
      <c r="AP373" s="644">
        <f t="shared" si="1037"/>
        <v>0</v>
      </c>
      <c r="AQ373" s="645">
        <f t="shared" si="1038"/>
        <v>44950.778546131834</v>
      </c>
      <c r="AR373" s="646">
        <f t="shared" si="1039"/>
        <v>0</v>
      </c>
      <c r="AS373" s="647">
        <f t="shared" si="881"/>
        <v>44950.778546131834</v>
      </c>
      <c r="AT373" s="644">
        <f t="shared" si="1040"/>
        <v>0</v>
      </c>
      <c r="AU373" s="645">
        <f t="shared" si="1041"/>
        <v>44950.778546131834</v>
      </c>
      <c r="AV373" s="646">
        <f t="shared" si="1042"/>
        <v>0</v>
      </c>
      <c r="AW373" s="647">
        <f t="shared" si="882"/>
        <v>44950.778546131834</v>
      </c>
      <c r="AY373" s="644">
        <f t="shared" si="1043"/>
        <v>12865.641895158929</v>
      </c>
      <c r="AZ373" s="645">
        <f t="shared" si="851"/>
        <v>8884.5841393987266</v>
      </c>
      <c r="BA373" s="644">
        <f t="shared" si="1044"/>
        <v>0</v>
      </c>
      <c r="BB373" s="645">
        <f t="shared" si="1045"/>
        <v>12865.641895158929</v>
      </c>
      <c r="BC373" s="646">
        <f t="shared" si="1046"/>
        <v>-92.52058030782112</v>
      </c>
      <c r="BD373" s="647">
        <f t="shared" si="1047"/>
        <v>12773.121314851109</v>
      </c>
      <c r="BE373" s="644">
        <f t="shared" si="883"/>
        <v>0</v>
      </c>
      <c r="BF373" s="645">
        <f t="shared" si="884"/>
        <v>12773.121314851109</v>
      </c>
      <c r="BG373" s="646">
        <f t="shared" si="1048"/>
        <v>-304.24534037685356</v>
      </c>
      <c r="BH373" s="647">
        <f t="shared" si="885"/>
        <v>12468.875974474255</v>
      </c>
      <c r="BI373" s="644">
        <f t="shared" si="1049"/>
        <v>0</v>
      </c>
      <c r="BJ373" s="645">
        <f t="shared" si="1050"/>
        <v>12468.875974474255</v>
      </c>
      <c r="BK373" s="646">
        <f t="shared" si="1051"/>
        <v>-26.41200790388767</v>
      </c>
      <c r="BL373" s="647">
        <f t="shared" si="886"/>
        <v>12442.463966570367</v>
      </c>
      <c r="BM373" s="644">
        <f t="shared" si="1052"/>
        <v>0</v>
      </c>
      <c r="BN373" s="645">
        <f t="shared" si="1053"/>
        <v>12442.463966570367</v>
      </c>
      <c r="BO373" s="646">
        <f t="shared" si="1054"/>
        <v>-0.56927742561855776</v>
      </c>
      <c r="BP373" s="647">
        <f t="shared" si="887"/>
        <v>12441.894689144749</v>
      </c>
      <c r="BQ373" s="644">
        <f t="shared" si="1055"/>
        <v>0</v>
      </c>
      <c r="BR373" s="645">
        <f t="shared" si="1056"/>
        <v>12441.894689144749</v>
      </c>
      <c r="BS373" s="646">
        <f t="shared" si="1057"/>
        <v>0</v>
      </c>
      <c r="BT373" s="647">
        <f t="shared" si="888"/>
        <v>12441.894689144749</v>
      </c>
      <c r="BU373" s="662">
        <f>VLOOKUP(B373,'Afton Update'!$A$5:$AR$582,'Afton Update'!$AO$589,0)-BT373</f>
        <v>0</v>
      </c>
      <c r="BV373" s="644">
        <f t="shared" si="1058"/>
        <v>27709.398600336106</v>
      </c>
      <c r="BW373" s="645">
        <f t="shared" si="852"/>
        <v>15508.630004910539</v>
      </c>
      <c r="BX373" s="644">
        <f t="shared" si="1059"/>
        <v>0</v>
      </c>
      <c r="BY373" s="645">
        <f t="shared" si="1060"/>
        <v>27709.398600336106</v>
      </c>
      <c r="BZ373" s="646">
        <f t="shared" si="1061"/>
        <v>-243.20833754549747</v>
      </c>
      <c r="CA373" s="647">
        <f t="shared" si="1062"/>
        <v>27466.190262790609</v>
      </c>
      <c r="CB373" s="644">
        <f t="shared" si="889"/>
        <v>0</v>
      </c>
      <c r="CC373" s="645">
        <f t="shared" si="890"/>
        <v>27466.190262790609</v>
      </c>
      <c r="CD373" s="646">
        <f t="shared" si="1063"/>
        <v>-8.7978239989362859</v>
      </c>
      <c r="CE373" s="647">
        <f t="shared" si="891"/>
        <v>27457.392438791674</v>
      </c>
      <c r="CF373" s="644">
        <f t="shared" si="1064"/>
        <v>0</v>
      </c>
      <c r="CG373" s="645">
        <f t="shared" si="1065"/>
        <v>27457.392438791674</v>
      </c>
      <c r="CH373" s="646">
        <f t="shared" si="1066"/>
        <v>0</v>
      </c>
      <c r="CI373" s="647">
        <f t="shared" si="892"/>
        <v>27457.392438791674</v>
      </c>
      <c r="CJ373" s="644">
        <f t="shared" si="1067"/>
        <v>0</v>
      </c>
      <c r="CK373" s="645">
        <f t="shared" si="1068"/>
        <v>27457.392438791674</v>
      </c>
      <c r="CL373" s="646">
        <f t="shared" si="1069"/>
        <v>0</v>
      </c>
      <c r="CM373" s="647">
        <f t="shared" si="893"/>
        <v>27457.392438791674</v>
      </c>
      <c r="CN373" s="644">
        <f t="shared" si="1070"/>
        <v>0</v>
      </c>
      <c r="CO373" s="645">
        <f t="shared" si="1071"/>
        <v>27457.392438791674</v>
      </c>
      <c r="CP373" s="646">
        <f t="shared" si="1072"/>
        <v>0</v>
      </c>
      <c r="CQ373" s="647">
        <f t="shared" si="894"/>
        <v>27457.392438791674</v>
      </c>
      <c r="CS373" s="644">
        <f t="shared" si="1073"/>
        <v>26917.572970606114</v>
      </c>
      <c r="CT373" s="645">
        <f t="shared" si="853"/>
        <v>15545.702499669185</v>
      </c>
      <c r="CU373" s="644">
        <f t="shared" si="1074"/>
        <v>0</v>
      </c>
      <c r="CV373" s="645">
        <f t="shared" si="1075"/>
        <v>26917.572970606114</v>
      </c>
      <c r="CW373" s="646">
        <f t="shared" si="1076"/>
        <v>-275.65115893102478</v>
      </c>
      <c r="CX373" s="647">
        <f t="shared" si="1077"/>
        <v>26641.921811675089</v>
      </c>
      <c r="CY373" s="644">
        <f t="shared" si="895"/>
        <v>0</v>
      </c>
      <c r="CZ373" s="645">
        <f t="shared" si="896"/>
        <v>26641.921811675089</v>
      </c>
      <c r="DA373" s="646">
        <f t="shared" si="1078"/>
        <v>-20.914005373856117</v>
      </c>
      <c r="DB373" s="647">
        <f t="shared" si="897"/>
        <v>26621.007806301233</v>
      </c>
      <c r="DC373" s="644">
        <f t="shared" si="1079"/>
        <v>0</v>
      </c>
      <c r="DD373" s="645">
        <f t="shared" si="1080"/>
        <v>26621.007806301233</v>
      </c>
      <c r="DE373" s="646">
        <f t="shared" si="1081"/>
        <v>-1.8035724746002325E-2</v>
      </c>
      <c r="DF373" s="647">
        <f t="shared" si="898"/>
        <v>26620.989770576489</v>
      </c>
      <c r="DG373" s="644">
        <f t="shared" si="1082"/>
        <v>0</v>
      </c>
      <c r="DH373" s="645">
        <f t="shared" si="1083"/>
        <v>26620.989770576489</v>
      </c>
      <c r="DI373" s="646">
        <f t="shared" si="1084"/>
        <v>0</v>
      </c>
      <c r="DJ373" s="647">
        <f t="shared" si="899"/>
        <v>26620.989770576489</v>
      </c>
      <c r="DK373" s="644">
        <f t="shared" si="1085"/>
        <v>0</v>
      </c>
      <c r="DL373" s="645">
        <f t="shared" si="1086"/>
        <v>26620.989770576489</v>
      </c>
      <c r="DM373" s="646">
        <f t="shared" si="1087"/>
        <v>0</v>
      </c>
      <c r="DN373" s="647">
        <f t="shared" si="900"/>
        <v>26620.989770576489</v>
      </c>
      <c r="DR373" s="827">
        <f t="shared" si="854"/>
        <v>111471.05544464475</v>
      </c>
      <c r="DV373" s="828">
        <f>IFERROR(VLOOKUP($B373,'Afton FY16 Final'!$A$5:$BV$587,'Afton FY16 Final'!$BV$587,0),0)</f>
        <v>68094.095007070151</v>
      </c>
      <c r="DX373" s="636">
        <f t="shared" si="842"/>
        <v>111471.05544464475</v>
      </c>
      <c r="DY373" s="637">
        <f t="shared" si="843"/>
        <v>43376.960437574598</v>
      </c>
      <c r="DZ373" s="637">
        <f t="shared" si="844"/>
        <v>68094.095007070151</v>
      </c>
      <c r="EA373" s="643">
        <f t="shared" si="845"/>
        <v>105542.04459580273</v>
      </c>
      <c r="EB373" s="637">
        <f t="shared" si="855"/>
        <v>0</v>
      </c>
      <c r="EC373" s="637">
        <f t="shared" si="856"/>
        <v>105542.04459580273</v>
      </c>
      <c r="ED373" s="637">
        <f t="shared" si="857"/>
        <v>105227.32452049352</v>
      </c>
      <c r="EE373" s="643">
        <f t="shared" si="858"/>
        <v>105227.32452049352</v>
      </c>
      <c r="EF373" s="637">
        <f t="shared" si="859"/>
        <v>0</v>
      </c>
      <c r="EG373" s="637">
        <f t="shared" si="860"/>
        <v>105227.32452049352</v>
      </c>
      <c r="EH373" s="637">
        <f t="shared" si="861"/>
        <v>105227.21596157015</v>
      </c>
      <c r="EI373" s="643">
        <f t="shared" si="862"/>
        <v>105227.21596157015</v>
      </c>
      <c r="EJ373" s="637">
        <f t="shared" si="863"/>
        <v>0</v>
      </c>
      <c r="EK373" s="637">
        <f t="shared" si="864"/>
        <v>105227.21596157015</v>
      </c>
      <c r="EL373" s="637">
        <f t="shared" si="865"/>
        <v>105227.21596157001</v>
      </c>
      <c r="EM373" s="643">
        <f t="shared" si="866"/>
        <v>105227.21596157001</v>
      </c>
      <c r="EN373" s="637">
        <f t="shared" si="867"/>
        <v>0</v>
      </c>
      <c r="EO373" s="637">
        <f t="shared" si="868"/>
        <v>105227.21596157001</v>
      </c>
      <c r="EP373" s="637">
        <f t="shared" si="869"/>
        <v>105227.21596157017</v>
      </c>
      <c r="EQ373" s="643">
        <f t="shared" si="870"/>
        <v>105227.21596157017</v>
      </c>
      <c r="ER373" s="637">
        <f t="shared" si="871"/>
        <v>0</v>
      </c>
      <c r="ES373" s="637">
        <f t="shared" si="872"/>
        <v>105227.21596157017</v>
      </c>
      <c r="ET373" s="637">
        <f t="shared" si="873"/>
        <v>105227.21596157001</v>
      </c>
      <c r="EU373" s="643">
        <f t="shared" si="846"/>
        <v>105227.21596157001</v>
      </c>
      <c r="EV373" s="643">
        <f t="shared" si="847"/>
        <v>0</v>
      </c>
      <c r="EX373" s="829">
        <f t="shared" si="848"/>
        <v>6243.839483074742</v>
      </c>
      <c r="EY373" s="638">
        <f t="shared" si="849"/>
        <v>105227.21596157001</v>
      </c>
      <c r="FC373" s="830" t="str">
        <f t="shared" si="874"/>
        <v>Y</v>
      </c>
      <c r="FE373" s="830" t="str">
        <f>IFERROR(VLOOKUP($B373,'Historical Conc Grant Elig'!$B$3:$J$707,'HH &amp; SI'!FE$2,0),"N")</f>
        <v>N</v>
      </c>
      <c r="FF373" s="830" t="str">
        <f>IFERROR(VLOOKUP($B373,'Historical Conc Grant Elig'!$B$3:$J$707,'HH &amp; SI'!FF$2,0),"N")</f>
        <v>N</v>
      </c>
      <c r="FG373" s="830" t="str">
        <f>IFERROR(VLOOKUP($B373,'Historical Conc Grant Elig'!$B$3:$J$707,'HH &amp; SI'!FG$2,0),"N")</f>
        <v>N</v>
      </c>
      <c r="FH373" s="830" t="str">
        <f>IFERROR(VLOOKUP($B373,'Historical Conc Grant Elig'!$B$3:$J$707,'HH &amp; SI'!FH$2,0),"N")</f>
        <v>N</v>
      </c>
      <c r="FI373" s="830" t="str">
        <f>IFERROR(VLOOKUP($B373,'Historical Conc Grant Elig'!$B$3:$J$707,'HH &amp; SI'!FI$2,0),"N")</f>
        <v>N</v>
      </c>
      <c r="FJ373" s="830" t="str">
        <f>IFERROR(VLOOKUP($B373,'Historical Conc Grant Elig'!$B$3:$J$707,'HH &amp; SI'!FJ$2,0),"N")</f>
        <v>Y</v>
      </c>
      <c r="FK373" s="830" t="str">
        <f>IFERROR(VLOOKUP($B373,'Historical Conc Grant Elig'!$B$3:$J$707,'HH &amp; SI'!FK$2,0),"N")</f>
        <v>Y</v>
      </c>
      <c r="FL373" s="957" t="str">
        <f>IFERROR(VLOOKUP($B373,'Historical Conc Grant Elig'!$B$3:$J$707,'HH &amp; SI'!FL$2,0),"N")</f>
        <v>Y</v>
      </c>
    </row>
    <row r="374" spans="2:168" x14ac:dyDescent="0.25">
      <c r="B374" s="634">
        <v>108601000</v>
      </c>
      <c r="C374" s="635" t="str">
        <f>VLOOKUP($B374,'Afton Update'!$A$5:$CR$582,'Afton Update'!D$589,0)</f>
        <v>Pima County Board of Supervisors</v>
      </c>
      <c r="D374" s="636">
        <f>IFERROR(VLOOKUP($B374,'Afton FY16 Final'!$A$5:$BV$587,'Afton FY16 Final'!AQ$587,0),0)</f>
        <v>14238.130364793531</v>
      </c>
      <c r="E374" s="637">
        <f>IFERROR(VLOOKUP($B374,'Afton FY16 Final'!$A$5:$BV$587,'Afton FY16 Final'!AR$587,0),0)</f>
        <v>5338.1450782328193</v>
      </c>
      <c r="F374" s="637">
        <f>IFERROR(VLOOKUP($B374,'Afton FY16 Final'!$A$5:$BV$587,'Afton FY16 Final'!AS$587,0),0)</f>
        <v>7900.6336728773495</v>
      </c>
      <c r="G374" s="637">
        <f>IFERROR(VLOOKUP($B374,'Afton FY16 Final'!$A$5:$BV$587,'Afton FY16 Final'!AT$587,0),0)</f>
        <v>8139.8873256226889</v>
      </c>
      <c r="H374" s="638">
        <f>IFERROR(VLOOKUP($B374,'Afton FY16 Final'!$A$5:$BV$587,'Afton FY16 Final'!AU$587,0),0)</f>
        <v>35616.796441526392</v>
      </c>
      <c r="I374" s="639" t="str">
        <f>VLOOKUP($B374,'Afton Update'!$A$5:$CR$582,'Afton Update'!BT$589,0)</f>
        <v>Y</v>
      </c>
      <c r="J374" s="640" t="str">
        <f>VLOOKUP($B374,'Afton Update'!$A$5:$CR$582,'Afton Update'!BU$589,0)</f>
        <v>Y</v>
      </c>
      <c r="K374" s="640" t="str">
        <f>VLOOKUP($B374,'Afton Update'!$A$5:$CR$582,'Afton Update'!BV$589,0)</f>
        <v>Y</v>
      </c>
      <c r="L374" s="641" t="str">
        <f>VLOOKUP($B374,'Afton Update'!$A$5:$CR$582,'Afton Update'!BW$589,0)</f>
        <v>Y</v>
      </c>
      <c r="N374" s="642">
        <f>VLOOKUP($B374,'Afton Update'!$A$5:$CR$582,'Afton Update'!CB$589,0)</f>
        <v>0.95</v>
      </c>
      <c r="P374" s="636">
        <f>VLOOKUP($B374,'Afton Update'!$A$5:$CR$582,'Afton Update'!AH$589,0)</f>
        <v>7639.3067078910117</v>
      </c>
      <c r="Q374" s="637">
        <f>VLOOKUP($B374,'Afton Update'!$A$5:$CR$582,'Afton Update'!AI$589,0)</f>
        <v>4492.9087233075925</v>
      </c>
      <c r="R374" s="637">
        <f>VLOOKUP($B374,'Afton Update'!$A$5:$CR$582,'Afton Update'!AJ$589,0)</f>
        <v>4644.9280890736827</v>
      </c>
      <c r="S374" s="637">
        <f>VLOOKUP($B374,'Afton Update'!$A$5:$CR$582,'Afton Update'!AK$589,0)</f>
        <v>4512.1943129917754</v>
      </c>
      <c r="T374" s="643">
        <f t="shared" si="875"/>
        <v>21289.33783326406</v>
      </c>
      <c r="V374" s="636">
        <f t="shared" si="1024"/>
        <v>13526.223846553854</v>
      </c>
      <c r="W374" s="637">
        <f t="shared" si="1025"/>
        <v>5071.2378243211779</v>
      </c>
      <c r="X374" s="637">
        <f t="shared" si="1026"/>
        <v>7505.6019892334816</v>
      </c>
      <c r="Y374" s="637">
        <f t="shared" si="1027"/>
        <v>7732.8929593415542</v>
      </c>
      <c r="Z374" s="643">
        <f t="shared" si="1028"/>
        <v>33835.956619450066</v>
      </c>
      <c r="AB374" s="644">
        <f t="shared" si="876"/>
        <v>7639.3067078910117</v>
      </c>
      <c r="AC374" s="645">
        <f t="shared" si="850"/>
        <v>13526.223846553854</v>
      </c>
      <c r="AD374" s="644">
        <f t="shared" si="1029"/>
        <v>5886.9171386628423</v>
      </c>
      <c r="AE374" s="645">
        <f t="shared" si="1030"/>
        <v>0</v>
      </c>
      <c r="AF374" s="646">
        <f t="shared" si="1031"/>
        <v>0</v>
      </c>
      <c r="AG374" s="647">
        <f t="shared" si="1032"/>
        <v>13526.223846553854</v>
      </c>
      <c r="AH374" s="644">
        <f t="shared" si="877"/>
        <v>0</v>
      </c>
      <c r="AI374" s="645">
        <f t="shared" si="878"/>
        <v>0</v>
      </c>
      <c r="AJ374" s="646">
        <f t="shared" si="1033"/>
        <v>0</v>
      </c>
      <c r="AK374" s="647">
        <f t="shared" si="879"/>
        <v>13526.223846553854</v>
      </c>
      <c r="AL374" s="644">
        <f t="shared" si="1034"/>
        <v>0</v>
      </c>
      <c r="AM374" s="645">
        <f t="shared" si="1035"/>
        <v>0</v>
      </c>
      <c r="AN374" s="646">
        <f t="shared" si="1036"/>
        <v>0</v>
      </c>
      <c r="AO374" s="647">
        <f t="shared" si="880"/>
        <v>13526.223846553854</v>
      </c>
      <c r="AP374" s="644">
        <f t="shared" si="1037"/>
        <v>0</v>
      </c>
      <c r="AQ374" s="645">
        <f t="shared" si="1038"/>
        <v>0</v>
      </c>
      <c r="AR374" s="646">
        <f t="shared" si="1039"/>
        <v>0</v>
      </c>
      <c r="AS374" s="647">
        <f t="shared" si="881"/>
        <v>13526.223846553854</v>
      </c>
      <c r="AT374" s="644">
        <f t="shared" si="1040"/>
        <v>0</v>
      </c>
      <c r="AU374" s="645">
        <f t="shared" si="1041"/>
        <v>0</v>
      </c>
      <c r="AV374" s="646">
        <f t="shared" si="1042"/>
        <v>0</v>
      </c>
      <c r="AW374" s="647">
        <f t="shared" si="882"/>
        <v>13526.223846553854</v>
      </c>
      <c r="AY374" s="644">
        <f t="shared" si="1043"/>
        <v>4492.9087233075925</v>
      </c>
      <c r="AZ374" s="645">
        <f t="shared" si="851"/>
        <v>5071.2378243211779</v>
      </c>
      <c r="BA374" s="644">
        <f t="shared" si="1044"/>
        <v>578.32910101358539</v>
      </c>
      <c r="BB374" s="645">
        <f t="shared" si="1045"/>
        <v>0</v>
      </c>
      <c r="BC374" s="646">
        <f t="shared" si="1046"/>
        <v>0</v>
      </c>
      <c r="BD374" s="647">
        <f t="shared" si="1047"/>
        <v>5071.2378243211779</v>
      </c>
      <c r="BE374" s="644">
        <f t="shared" si="883"/>
        <v>0</v>
      </c>
      <c r="BF374" s="645">
        <f t="shared" si="884"/>
        <v>0</v>
      </c>
      <c r="BG374" s="646">
        <f t="shared" si="1048"/>
        <v>0</v>
      </c>
      <c r="BH374" s="647">
        <f t="shared" si="885"/>
        <v>5071.2378243211779</v>
      </c>
      <c r="BI374" s="644">
        <f t="shared" si="1049"/>
        <v>0</v>
      </c>
      <c r="BJ374" s="645">
        <f t="shared" si="1050"/>
        <v>0</v>
      </c>
      <c r="BK374" s="646">
        <f t="shared" si="1051"/>
        <v>0</v>
      </c>
      <c r="BL374" s="647">
        <f t="shared" si="886"/>
        <v>5071.2378243211779</v>
      </c>
      <c r="BM374" s="644">
        <f t="shared" si="1052"/>
        <v>0</v>
      </c>
      <c r="BN374" s="645">
        <f t="shared" si="1053"/>
        <v>0</v>
      </c>
      <c r="BO374" s="646">
        <f t="shared" si="1054"/>
        <v>0</v>
      </c>
      <c r="BP374" s="647">
        <f t="shared" si="887"/>
        <v>5071.2378243211779</v>
      </c>
      <c r="BQ374" s="644">
        <f t="shared" si="1055"/>
        <v>0</v>
      </c>
      <c r="BR374" s="645">
        <f t="shared" si="1056"/>
        <v>0</v>
      </c>
      <c r="BS374" s="646">
        <f t="shared" si="1057"/>
        <v>0</v>
      </c>
      <c r="BT374" s="647">
        <f t="shared" si="888"/>
        <v>5071.2378243211779</v>
      </c>
      <c r="BU374" s="662">
        <f>VLOOKUP(B374,'Afton Update'!$A$5:$AR$582,'Afton Update'!$AO$589,0)-BT374</f>
        <v>0</v>
      </c>
      <c r="BV374" s="644">
        <f t="shared" si="1058"/>
        <v>4644.9280890736827</v>
      </c>
      <c r="BW374" s="645">
        <f t="shared" si="852"/>
        <v>7505.6019892334816</v>
      </c>
      <c r="BX374" s="644">
        <f t="shared" si="1059"/>
        <v>2860.6739001597989</v>
      </c>
      <c r="BY374" s="645">
        <f t="shared" si="1060"/>
        <v>0</v>
      </c>
      <c r="BZ374" s="646">
        <f t="shared" si="1061"/>
        <v>0</v>
      </c>
      <c r="CA374" s="647">
        <f t="shared" si="1062"/>
        <v>7505.6019892334816</v>
      </c>
      <c r="CB374" s="644">
        <f t="shared" si="889"/>
        <v>0</v>
      </c>
      <c r="CC374" s="645">
        <f t="shared" si="890"/>
        <v>0</v>
      </c>
      <c r="CD374" s="646">
        <f t="shared" si="1063"/>
        <v>0</v>
      </c>
      <c r="CE374" s="647">
        <f t="shared" si="891"/>
        <v>7505.6019892334816</v>
      </c>
      <c r="CF374" s="644">
        <f t="shared" si="1064"/>
        <v>0</v>
      </c>
      <c r="CG374" s="645">
        <f t="shared" si="1065"/>
        <v>0</v>
      </c>
      <c r="CH374" s="646">
        <f t="shared" si="1066"/>
        <v>0</v>
      </c>
      <c r="CI374" s="647">
        <f t="shared" si="892"/>
        <v>7505.6019892334816</v>
      </c>
      <c r="CJ374" s="644">
        <f t="shared" si="1067"/>
        <v>0</v>
      </c>
      <c r="CK374" s="645">
        <f t="shared" si="1068"/>
        <v>0</v>
      </c>
      <c r="CL374" s="646">
        <f t="shared" si="1069"/>
        <v>0</v>
      </c>
      <c r="CM374" s="647">
        <f t="shared" si="893"/>
        <v>7505.6019892334816</v>
      </c>
      <c r="CN374" s="644">
        <f t="shared" si="1070"/>
        <v>0</v>
      </c>
      <c r="CO374" s="645">
        <f t="shared" si="1071"/>
        <v>0</v>
      </c>
      <c r="CP374" s="646">
        <f t="shared" si="1072"/>
        <v>0</v>
      </c>
      <c r="CQ374" s="647">
        <f t="shared" si="894"/>
        <v>7505.6019892334816</v>
      </c>
      <c r="CS374" s="644">
        <f t="shared" si="1073"/>
        <v>4512.1943129917754</v>
      </c>
      <c r="CT374" s="645">
        <f t="shared" si="853"/>
        <v>7732.8929593415542</v>
      </c>
      <c r="CU374" s="644">
        <f t="shared" si="1074"/>
        <v>3220.6986463497788</v>
      </c>
      <c r="CV374" s="645">
        <f t="shared" si="1075"/>
        <v>0</v>
      </c>
      <c r="CW374" s="646">
        <f t="shared" si="1076"/>
        <v>0</v>
      </c>
      <c r="CX374" s="647">
        <f t="shared" si="1077"/>
        <v>7732.8929593415542</v>
      </c>
      <c r="CY374" s="644">
        <f t="shared" si="895"/>
        <v>0</v>
      </c>
      <c r="CZ374" s="645">
        <f t="shared" si="896"/>
        <v>0</v>
      </c>
      <c r="DA374" s="646">
        <f t="shared" si="1078"/>
        <v>0</v>
      </c>
      <c r="DB374" s="647">
        <f t="shared" si="897"/>
        <v>7732.8929593415542</v>
      </c>
      <c r="DC374" s="644">
        <f t="shared" si="1079"/>
        <v>0</v>
      </c>
      <c r="DD374" s="645">
        <f t="shared" si="1080"/>
        <v>0</v>
      </c>
      <c r="DE374" s="646">
        <f t="shared" si="1081"/>
        <v>0</v>
      </c>
      <c r="DF374" s="647">
        <f t="shared" si="898"/>
        <v>7732.8929593415542</v>
      </c>
      <c r="DG374" s="644">
        <f t="shared" si="1082"/>
        <v>0</v>
      </c>
      <c r="DH374" s="645">
        <f t="shared" si="1083"/>
        <v>0</v>
      </c>
      <c r="DI374" s="646">
        <f t="shared" si="1084"/>
        <v>0</v>
      </c>
      <c r="DJ374" s="647">
        <f t="shared" si="899"/>
        <v>7732.8929593415542</v>
      </c>
      <c r="DK374" s="644">
        <f t="shared" si="1085"/>
        <v>0</v>
      </c>
      <c r="DL374" s="645">
        <f t="shared" si="1086"/>
        <v>0</v>
      </c>
      <c r="DM374" s="646">
        <f t="shared" si="1087"/>
        <v>0</v>
      </c>
      <c r="DN374" s="647">
        <f t="shared" si="900"/>
        <v>7732.8929593415542</v>
      </c>
      <c r="DR374" s="827">
        <f t="shared" si="854"/>
        <v>33835.956619450066</v>
      </c>
      <c r="DV374" s="828">
        <f>IFERROR(VLOOKUP($B374,'Afton FY16 Final'!$A$5:$BV$587,'Afton FY16 Final'!$BV$587,0),0)</f>
        <v>34915.501725491187</v>
      </c>
      <c r="DX374" s="636">
        <f t="shared" si="842"/>
        <v>0</v>
      </c>
      <c r="DY374" s="637">
        <f t="shared" si="843"/>
        <v>0</v>
      </c>
      <c r="DZ374" s="637">
        <f t="shared" si="844"/>
        <v>0</v>
      </c>
      <c r="EA374" s="643">
        <f t="shared" si="845"/>
        <v>0</v>
      </c>
      <c r="EB374" s="637">
        <f t="shared" si="855"/>
        <v>0</v>
      </c>
      <c r="EC374" s="637">
        <f t="shared" si="856"/>
        <v>0</v>
      </c>
      <c r="ED374" s="637">
        <f t="shared" si="857"/>
        <v>0</v>
      </c>
      <c r="EE374" s="643">
        <f t="shared" si="858"/>
        <v>0</v>
      </c>
      <c r="EF374" s="637">
        <f t="shared" si="859"/>
        <v>0</v>
      </c>
      <c r="EG374" s="637">
        <f t="shared" si="860"/>
        <v>0</v>
      </c>
      <c r="EH374" s="637">
        <f t="shared" si="861"/>
        <v>0</v>
      </c>
      <c r="EI374" s="643">
        <f t="shared" si="862"/>
        <v>0</v>
      </c>
      <c r="EJ374" s="637">
        <f t="shared" si="863"/>
        <v>0</v>
      </c>
      <c r="EK374" s="637">
        <f t="shared" si="864"/>
        <v>0</v>
      </c>
      <c r="EL374" s="637">
        <f t="shared" si="865"/>
        <v>0</v>
      </c>
      <c r="EM374" s="643">
        <f t="shared" si="866"/>
        <v>0</v>
      </c>
      <c r="EN374" s="637">
        <f t="shared" si="867"/>
        <v>0</v>
      </c>
      <c r="EO374" s="637">
        <f t="shared" si="868"/>
        <v>0</v>
      </c>
      <c r="EP374" s="637">
        <f t="shared" si="869"/>
        <v>0</v>
      </c>
      <c r="EQ374" s="643">
        <f t="shared" si="870"/>
        <v>0</v>
      </c>
      <c r="ER374" s="637">
        <f t="shared" si="871"/>
        <v>0</v>
      </c>
      <c r="ES374" s="637">
        <f t="shared" si="872"/>
        <v>0</v>
      </c>
      <c r="ET374" s="637">
        <f t="shared" si="873"/>
        <v>0</v>
      </c>
      <c r="EU374" s="643">
        <f t="shared" si="846"/>
        <v>0</v>
      </c>
      <c r="EV374" s="643">
        <f t="shared" si="847"/>
        <v>0</v>
      </c>
      <c r="EX374" s="829">
        <f t="shared" si="848"/>
        <v>0</v>
      </c>
      <c r="EY374" s="638">
        <f t="shared" si="849"/>
        <v>33835.956619450066</v>
      </c>
      <c r="FC374" s="830" t="str">
        <f t="shared" si="874"/>
        <v>Y</v>
      </c>
      <c r="FE374" s="830" t="str">
        <f>IFERROR(VLOOKUP($B374,'Historical Conc Grant Elig'!$B$3:$J$707,'HH &amp; SI'!FE$2,0),"N")</f>
        <v>Y</v>
      </c>
      <c r="FF374" s="830" t="str">
        <f>IFERROR(VLOOKUP($B374,'Historical Conc Grant Elig'!$B$3:$J$707,'HH &amp; SI'!FF$2,0),"N")</f>
        <v>Y</v>
      </c>
      <c r="FG374" s="830" t="str">
        <f>IFERROR(VLOOKUP($B374,'Historical Conc Grant Elig'!$B$3:$J$707,'HH &amp; SI'!FG$2,0),"N")</f>
        <v>Y</v>
      </c>
      <c r="FH374" s="830" t="str">
        <f>IFERROR(VLOOKUP($B374,'Historical Conc Grant Elig'!$B$3:$J$707,'HH &amp; SI'!FH$2,0),"N")</f>
        <v>Y</v>
      </c>
      <c r="FI374" s="830" t="str">
        <f>IFERROR(VLOOKUP($B374,'Historical Conc Grant Elig'!$B$3:$J$707,'HH &amp; SI'!FI$2,0),"N")</f>
        <v>Y</v>
      </c>
      <c r="FJ374" s="830" t="str">
        <f>IFERROR(VLOOKUP($B374,'Historical Conc Grant Elig'!$B$3:$J$707,'HH &amp; SI'!FJ$2,0),"N")</f>
        <v>Y</v>
      </c>
      <c r="FK374" s="830" t="str">
        <f>IFERROR(VLOOKUP($B374,'Historical Conc Grant Elig'!$B$3:$J$707,'HH &amp; SI'!FK$2,0),"N")</f>
        <v>Y</v>
      </c>
      <c r="FL374" s="957" t="str">
        <f>IFERROR(VLOOKUP($B374,'Historical Conc Grant Elig'!$B$3:$J$707,'HH &amp; SI'!FL$2,0),"N")</f>
        <v>Y</v>
      </c>
    </row>
    <row r="375" spans="2:168" x14ac:dyDescent="0.25">
      <c r="B375" s="634">
        <v>108653000</v>
      </c>
      <c r="C375" s="635" t="str">
        <f>VLOOKUP($B375,'Afton Update'!$A$5:$CR$582,'Afton Update'!D$589,0)</f>
        <v>Edge School  Inc.  The</v>
      </c>
      <c r="D375" s="636">
        <f>IFERROR(VLOOKUP($B375,'Afton FY16 Final'!$A$5:$BV$587,'Afton FY16 Final'!AQ$587,0),0)</f>
        <v>38071.522497165315</v>
      </c>
      <c r="E375" s="637">
        <f>IFERROR(VLOOKUP($B375,'Afton FY16 Final'!$A$5:$BV$587,'Afton FY16 Final'!AR$587,0),0)</f>
        <v>10969.795567114041</v>
      </c>
      <c r="F375" s="637">
        <f>IFERROR(VLOOKUP($B375,'Afton FY16 Final'!$A$5:$BV$587,'Afton FY16 Final'!AS$587,0),0)</f>
        <v>20707.170977978694</v>
      </c>
      <c r="G375" s="637">
        <f>IFERROR(VLOOKUP($B375,'Afton FY16 Final'!$A$5:$BV$587,'Afton FY16 Final'!AT$587,0),0)</f>
        <v>21469.298353867172</v>
      </c>
      <c r="H375" s="638">
        <f>IFERROR(VLOOKUP($B375,'Afton FY16 Final'!$A$5:$BV$587,'Afton FY16 Final'!AU$587,0),0)</f>
        <v>91217.787396125219</v>
      </c>
      <c r="I375" s="639" t="str">
        <f>VLOOKUP($B375,'Afton Update'!$A$5:$CR$582,'Afton Update'!BT$589,0)</f>
        <v>Y</v>
      </c>
      <c r="J375" s="640" t="str">
        <f>VLOOKUP($B375,'Afton Update'!$A$5:$CR$582,'Afton Update'!BU$589,0)</f>
        <v>Y</v>
      </c>
      <c r="K375" s="640" t="str">
        <f>VLOOKUP($B375,'Afton Update'!$A$5:$CR$582,'Afton Update'!BV$589,0)</f>
        <v>Y</v>
      </c>
      <c r="L375" s="641" t="str">
        <f>VLOOKUP($B375,'Afton Update'!$A$5:$CR$582,'Afton Update'!BW$589,0)</f>
        <v>Y</v>
      </c>
      <c r="N375" s="642">
        <f>VLOOKUP($B375,'Afton Update'!$A$5:$CR$582,'Afton Update'!CB$589,0)</f>
        <v>0.95</v>
      </c>
      <c r="P375" s="636">
        <f>VLOOKUP($B375,'Afton Update'!$A$5:$CR$582,'Afton Update'!AH$589,0)</f>
        <v>23181.344492910655</v>
      </c>
      <c r="Q375" s="637">
        <f>VLOOKUP($B375,'Afton Update'!$A$5:$CR$582,'Afton Update'!AI$589,0)</f>
        <v>7923.4035645522381</v>
      </c>
      <c r="R375" s="637">
        <f>VLOOKUP($B375,'Afton Update'!$A$5:$CR$582,'Afton Update'!AJ$589,0)</f>
        <v>14094.954201327037</v>
      </c>
      <c r="S375" s="637">
        <f>VLOOKUP($B375,'Afton Update'!$A$5:$CR$582,'Afton Update'!AK$589,0)</f>
        <v>13692.175846319871</v>
      </c>
      <c r="T375" s="643">
        <f t="shared" si="875"/>
        <v>58891.878105109798</v>
      </c>
      <c r="V375" s="636">
        <f t="shared" si="1024"/>
        <v>36167.946372307051</v>
      </c>
      <c r="W375" s="637">
        <f t="shared" si="1025"/>
        <v>10421.305788758338</v>
      </c>
      <c r="X375" s="637">
        <f t="shared" si="1026"/>
        <v>19671.812429079757</v>
      </c>
      <c r="Y375" s="637">
        <f t="shared" si="1027"/>
        <v>20395.833436173813</v>
      </c>
      <c r="Z375" s="643">
        <f t="shared" si="1028"/>
        <v>86656.898026318959</v>
      </c>
      <c r="AB375" s="644">
        <f t="shared" si="876"/>
        <v>23181.344492910655</v>
      </c>
      <c r="AC375" s="645">
        <f t="shared" si="850"/>
        <v>36167.946372307051</v>
      </c>
      <c r="AD375" s="644">
        <f t="shared" si="1029"/>
        <v>12986.601879396396</v>
      </c>
      <c r="AE375" s="645">
        <f t="shared" si="1030"/>
        <v>0</v>
      </c>
      <c r="AF375" s="646">
        <f t="shared" si="1031"/>
        <v>0</v>
      </c>
      <c r="AG375" s="647">
        <f t="shared" si="1032"/>
        <v>36167.946372307051</v>
      </c>
      <c r="AH375" s="644">
        <f t="shared" si="877"/>
        <v>0</v>
      </c>
      <c r="AI375" s="645">
        <f t="shared" si="878"/>
        <v>0</v>
      </c>
      <c r="AJ375" s="646">
        <f t="shared" si="1033"/>
        <v>0</v>
      </c>
      <c r="AK375" s="647">
        <f t="shared" si="879"/>
        <v>36167.946372307051</v>
      </c>
      <c r="AL375" s="644">
        <f t="shared" si="1034"/>
        <v>0</v>
      </c>
      <c r="AM375" s="645">
        <f t="shared" si="1035"/>
        <v>0</v>
      </c>
      <c r="AN375" s="646">
        <f t="shared" si="1036"/>
        <v>0</v>
      </c>
      <c r="AO375" s="647">
        <f t="shared" si="880"/>
        <v>36167.946372307051</v>
      </c>
      <c r="AP375" s="644">
        <f t="shared" si="1037"/>
        <v>0</v>
      </c>
      <c r="AQ375" s="645">
        <f t="shared" si="1038"/>
        <v>0</v>
      </c>
      <c r="AR375" s="646">
        <f t="shared" si="1039"/>
        <v>0</v>
      </c>
      <c r="AS375" s="647">
        <f t="shared" si="881"/>
        <v>36167.946372307051</v>
      </c>
      <c r="AT375" s="644">
        <f t="shared" si="1040"/>
        <v>0</v>
      </c>
      <c r="AU375" s="645">
        <f t="shared" si="1041"/>
        <v>0</v>
      </c>
      <c r="AV375" s="646">
        <f t="shared" si="1042"/>
        <v>0</v>
      </c>
      <c r="AW375" s="647">
        <f t="shared" si="882"/>
        <v>36167.946372307051</v>
      </c>
      <c r="AY375" s="644">
        <f t="shared" si="1043"/>
        <v>7923.4035645522381</v>
      </c>
      <c r="AZ375" s="645">
        <f t="shared" si="851"/>
        <v>10421.305788758338</v>
      </c>
      <c r="BA375" s="644">
        <f t="shared" si="1044"/>
        <v>2497.9022242061001</v>
      </c>
      <c r="BB375" s="645">
        <f t="shared" si="1045"/>
        <v>0</v>
      </c>
      <c r="BC375" s="646">
        <f t="shared" si="1046"/>
        <v>0</v>
      </c>
      <c r="BD375" s="647">
        <f t="shared" si="1047"/>
        <v>10421.305788758338</v>
      </c>
      <c r="BE375" s="644">
        <f t="shared" si="883"/>
        <v>0</v>
      </c>
      <c r="BF375" s="645">
        <f t="shared" si="884"/>
        <v>0</v>
      </c>
      <c r="BG375" s="646">
        <f t="shared" si="1048"/>
        <v>0</v>
      </c>
      <c r="BH375" s="647">
        <f t="shared" si="885"/>
        <v>10421.305788758338</v>
      </c>
      <c r="BI375" s="644">
        <f t="shared" si="1049"/>
        <v>0</v>
      </c>
      <c r="BJ375" s="645">
        <f t="shared" si="1050"/>
        <v>0</v>
      </c>
      <c r="BK375" s="646">
        <f t="shared" si="1051"/>
        <v>0</v>
      </c>
      <c r="BL375" s="647">
        <f t="shared" si="886"/>
        <v>10421.305788758338</v>
      </c>
      <c r="BM375" s="644">
        <f t="shared" si="1052"/>
        <v>0</v>
      </c>
      <c r="BN375" s="645">
        <f t="shared" si="1053"/>
        <v>0</v>
      </c>
      <c r="BO375" s="646">
        <f t="shared" si="1054"/>
        <v>0</v>
      </c>
      <c r="BP375" s="647">
        <f t="shared" si="887"/>
        <v>10421.305788758338</v>
      </c>
      <c r="BQ375" s="644">
        <f t="shared" si="1055"/>
        <v>0</v>
      </c>
      <c r="BR375" s="645">
        <f t="shared" si="1056"/>
        <v>0</v>
      </c>
      <c r="BS375" s="646">
        <f t="shared" si="1057"/>
        <v>0</v>
      </c>
      <c r="BT375" s="647">
        <f t="shared" si="888"/>
        <v>10421.305788758338</v>
      </c>
      <c r="BU375" s="662">
        <f>VLOOKUP(B375,'Afton Update'!$A$5:$AR$582,'Afton Update'!$AO$589,0)-BT375</f>
        <v>0</v>
      </c>
      <c r="BV375" s="644">
        <f t="shared" si="1058"/>
        <v>14094.954201327037</v>
      </c>
      <c r="BW375" s="645">
        <f t="shared" si="852"/>
        <v>19671.812429079757</v>
      </c>
      <c r="BX375" s="644">
        <f t="shared" si="1059"/>
        <v>5576.8582277527203</v>
      </c>
      <c r="BY375" s="645">
        <f t="shared" si="1060"/>
        <v>0</v>
      </c>
      <c r="BZ375" s="646">
        <f t="shared" si="1061"/>
        <v>0</v>
      </c>
      <c r="CA375" s="647">
        <f t="shared" si="1062"/>
        <v>19671.812429079757</v>
      </c>
      <c r="CB375" s="644">
        <f t="shared" si="889"/>
        <v>0</v>
      </c>
      <c r="CC375" s="645">
        <f t="shared" si="890"/>
        <v>0</v>
      </c>
      <c r="CD375" s="646">
        <f t="shared" si="1063"/>
        <v>0</v>
      </c>
      <c r="CE375" s="647">
        <f t="shared" si="891"/>
        <v>19671.812429079757</v>
      </c>
      <c r="CF375" s="644">
        <f t="shared" si="1064"/>
        <v>0</v>
      </c>
      <c r="CG375" s="645">
        <f t="shared" si="1065"/>
        <v>0</v>
      </c>
      <c r="CH375" s="646">
        <f t="shared" si="1066"/>
        <v>0</v>
      </c>
      <c r="CI375" s="647">
        <f t="shared" si="892"/>
        <v>19671.812429079757</v>
      </c>
      <c r="CJ375" s="644">
        <f t="shared" si="1067"/>
        <v>0</v>
      </c>
      <c r="CK375" s="645">
        <f t="shared" si="1068"/>
        <v>0</v>
      </c>
      <c r="CL375" s="646">
        <f t="shared" si="1069"/>
        <v>0</v>
      </c>
      <c r="CM375" s="647">
        <f t="shared" si="893"/>
        <v>19671.812429079757</v>
      </c>
      <c r="CN375" s="644">
        <f t="shared" si="1070"/>
        <v>0</v>
      </c>
      <c r="CO375" s="645">
        <f t="shared" si="1071"/>
        <v>0</v>
      </c>
      <c r="CP375" s="646">
        <f t="shared" si="1072"/>
        <v>0</v>
      </c>
      <c r="CQ375" s="647">
        <f t="shared" si="894"/>
        <v>19671.812429079757</v>
      </c>
      <c r="CS375" s="644">
        <f t="shared" si="1073"/>
        <v>13692.175846319871</v>
      </c>
      <c r="CT375" s="645">
        <f t="shared" si="853"/>
        <v>20395.833436173813</v>
      </c>
      <c r="CU375" s="644">
        <f t="shared" si="1074"/>
        <v>6703.6575898539413</v>
      </c>
      <c r="CV375" s="645">
        <f t="shared" si="1075"/>
        <v>0</v>
      </c>
      <c r="CW375" s="646">
        <f t="shared" si="1076"/>
        <v>0</v>
      </c>
      <c r="CX375" s="647">
        <f t="shared" si="1077"/>
        <v>20395.833436173813</v>
      </c>
      <c r="CY375" s="644">
        <f t="shared" si="895"/>
        <v>0</v>
      </c>
      <c r="CZ375" s="645">
        <f t="shared" si="896"/>
        <v>0</v>
      </c>
      <c r="DA375" s="646">
        <f t="shared" si="1078"/>
        <v>0</v>
      </c>
      <c r="DB375" s="647">
        <f t="shared" si="897"/>
        <v>20395.833436173813</v>
      </c>
      <c r="DC375" s="644">
        <f t="shared" si="1079"/>
        <v>0</v>
      </c>
      <c r="DD375" s="645">
        <f t="shared" si="1080"/>
        <v>0</v>
      </c>
      <c r="DE375" s="646">
        <f t="shared" si="1081"/>
        <v>0</v>
      </c>
      <c r="DF375" s="647">
        <f t="shared" si="898"/>
        <v>20395.833436173813</v>
      </c>
      <c r="DG375" s="644">
        <f t="shared" si="1082"/>
        <v>0</v>
      </c>
      <c r="DH375" s="645">
        <f t="shared" si="1083"/>
        <v>0</v>
      </c>
      <c r="DI375" s="646">
        <f t="shared" si="1084"/>
        <v>0</v>
      </c>
      <c r="DJ375" s="647">
        <f t="shared" si="899"/>
        <v>20395.833436173813</v>
      </c>
      <c r="DK375" s="644">
        <f t="shared" si="1085"/>
        <v>0</v>
      </c>
      <c r="DL375" s="645">
        <f t="shared" si="1086"/>
        <v>0</v>
      </c>
      <c r="DM375" s="646">
        <f t="shared" si="1087"/>
        <v>0</v>
      </c>
      <c r="DN375" s="647">
        <f t="shared" si="900"/>
        <v>20395.833436173813</v>
      </c>
      <c r="DR375" s="827">
        <f t="shared" si="854"/>
        <v>86656.898026318959</v>
      </c>
      <c r="DV375" s="828">
        <f>IFERROR(VLOOKUP($B375,'Afton FY16 Final'!$A$5:$BV$587,'Afton FY16 Final'!$BV$587,0),0)</f>
        <v>89421.709177401979</v>
      </c>
      <c r="DX375" s="636">
        <f t="shared" si="842"/>
        <v>0</v>
      </c>
      <c r="DY375" s="637">
        <f t="shared" si="843"/>
        <v>0</v>
      </c>
      <c r="DZ375" s="637">
        <f t="shared" si="844"/>
        <v>0</v>
      </c>
      <c r="EA375" s="643">
        <f t="shared" si="845"/>
        <v>0</v>
      </c>
      <c r="EB375" s="637">
        <f t="shared" si="855"/>
        <v>0</v>
      </c>
      <c r="EC375" s="637">
        <f t="shared" si="856"/>
        <v>0</v>
      </c>
      <c r="ED375" s="637">
        <f t="shared" si="857"/>
        <v>0</v>
      </c>
      <c r="EE375" s="643">
        <f t="shared" si="858"/>
        <v>0</v>
      </c>
      <c r="EF375" s="637">
        <f t="shared" si="859"/>
        <v>0</v>
      </c>
      <c r="EG375" s="637">
        <f t="shared" si="860"/>
        <v>0</v>
      </c>
      <c r="EH375" s="637">
        <f t="shared" si="861"/>
        <v>0</v>
      </c>
      <c r="EI375" s="643">
        <f t="shared" si="862"/>
        <v>0</v>
      </c>
      <c r="EJ375" s="637">
        <f t="shared" si="863"/>
        <v>0</v>
      </c>
      <c r="EK375" s="637">
        <f t="shared" si="864"/>
        <v>0</v>
      </c>
      <c r="EL375" s="637">
        <f t="shared" si="865"/>
        <v>0</v>
      </c>
      <c r="EM375" s="643">
        <f t="shared" si="866"/>
        <v>0</v>
      </c>
      <c r="EN375" s="637">
        <f t="shared" si="867"/>
        <v>0</v>
      </c>
      <c r="EO375" s="637">
        <f t="shared" si="868"/>
        <v>0</v>
      </c>
      <c r="EP375" s="637">
        <f t="shared" si="869"/>
        <v>0</v>
      </c>
      <c r="EQ375" s="643">
        <f t="shared" si="870"/>
        <v>0</v>
      </c>
      <c r="ER375" s="637">
        <f t="shared" si="871"/>
        <v>0</v>
      </c>
      <c r="ES375" s="637">
        <f t="shared" si="872"/>
        <v>0</v>
      </c>
      <c r="ET375" s="637">
        <f t="shared" si="873"/>
        <v>0</v>
      </c>
      <c r="EU375" s="643">
        <f t="shared" si="846"/>
        <v>0</v>
      </c>
      <c r="EV375" s="643">
        <f t="shared" si="847"/>
        <v>0</v>
      </c>
      <c r="EX375" s="829">
        <f t="shared" si="848"/>
        <v>0</v>
      </c>
      <c r="EY375" s="638">
        <f t="shared" si="849"/>
        <v>86656.898026318959</v>
      </c>
      <c r="FC375" s="830" t="str">
        <f t="shared" si="874"/>
        <v>Y</v>
      </c>
      <c r="FE375" s="830" t="str">
        <f>IFERROR(VLOOKUP($B375,'Historical Conc Grant Elig'!$B$3:$J$707,'HH &amp; SI'!FE$2,0),"N")</f>
        <v>Y</v>
      </c>
      <c r="FF375" s="830" t="str">
        <f>IFERROR(VLOOKUP($B375,'Historical Conc Grant Elig'!$B$3:$J$707,'HH &amp; SI'!FF$2,0),"N")</f>
        <v>Y</v>
      </c>
      <c r="FG375" s="830" t="str">
        <f>IFERROR(VLOOKUP($B375,'Historical Conc Grant Elig'!$B$3:$J$707,'HH &amp; SI'!FG$2,0),"N")</f>
        <v>Y</v>
      </c>
      <c r="FH375" s="830" t="str">
        <f>IFERROR(VLOOKUP($B375,'Historical Conc Grant Elig'!$B$3:$J$707,'HH &amp; SI'!FH$2,0),"N")</f>
        <v>Y</v>
      </c>
      <c r="FI375" s="830" t="str">
        <f>IFERROR(VLOOKUP($B375,'Historical Conc Grant Elig'!$B$3:$J$707,'HH &amp; SI'!FI$2,0),"N")</f>
        <v>Y</v>
      </c>
      <c r="FJ375" s="830" t="str">
        <f>IFERROR(VLOOKUP($B375,'Historical Conc Grant Elig'!$B$3:$J$707,'HH &amp; SI'!FJ$2,0),"N")</f>
        <v>Y</v>
      </c>
      <c r="FK375" s="830" t="str">
        <f>IFERROR(VLOOKUP($B375,'Historical Conc Grant Elig'!$B$3:$J$707,'HH &amp; SI'!FK$2,0),"N")</f>
        <v>Y</v>
      </c>
      <c r="FL375" s="957" t="str">
        <f>IFERROR(VLOOKUP($B375,'Historical Conc Grant Elig'!$B$3:$J$707,'HH &amp; SI'!FL$2,0),"N")</f>
        <v>Y</v>
      </c>
    </row>
    <row r="376" spans="2:168" x14ac:dyDescent="0.25">
      <c r="B376" s="634">
        <v>108660000</v>
      </c>
      <c r="C376" s="635" t="str">
        <f>VLOOKUP($B376,'Afton Update'!$A$5:$CR$582,'Afton Update'!D$589,0)</f>
        <v>Tucson Youth Development/ACE Charter High School</v>
      </c>
      <c r="D376" s="636">
        <f>IFERROR(VLOOKUP($B376,'Afton FY16 Final'!$A$5:$BV$587,'Afton FY16 Final'!AQ$587,0),0)</f>
        <v>32255.718675390384</v>
      </c>
      <c r="E376" s="637">
        <f>IFERROR(VLOOKUP($B376,'Afton FY16 Final'!$A$5:$BV$587,'Afton FY16 Final'!AR$587,0),0)</f>
        <v>8213.8814980870593</v>
      </c>
      <c r="F376" s="637">
        <f>IFERROR(VLOOKUP($B376,'Afton FY16 Final'!$A$5:$BV$587,'Afton FY16 Final'!AS$587,0),0)</f>
        <v>17543.944602652038</v>
      </c>
      <c r="G376" s="637">
        <f>IFERROR(VLOOKUP($B376,'Afton FY16 Final'!$A$5:$BV$587,'Afton FY16 Final'!AT$587,0),0)</f>
        <v>18189.649439733421</v>
      </c>
      <c r="H376" s="638">
        <f>IFERROR(VLOOKUP($B376,'Afton FY16 Final'!$A$5:$BV$587,'Afton FY16 Final'!AU$587,0),0)</f>
        <v>76203.19421586291</v>
      </c>
      <c r="I376" s="639" t="str">
        <f>VLOOKUP($B376,'Afton Update'!$A$5:$CR$582,'Afton Update'!BT$589,0)</f>
        <v>Y</v>
      </c>
      <c r="J376" s="640" t="str">
        <f>VLOOKUP($B376,'Afton Update'!$A$5:$CR$582,'Afton Update'!BU$589,0)</f>
        <v>Y</v>
      </c>
      <c r="K376" s="640" t="str">
        <f>VLOOKUP($B376,'Afton Update'!$A$5:$CR$582,'Afton Update'!BV$589,0)</f>
        <v>Y</v>
      </c>
      <c r="L376" s="641" t="str">
        <f>VLOOKUP($B376,'Afton Update'!$A$5:$CR$582,'Afton Update'!BW$589,0)</f>
        <v>Y</v>
      </c>
      <c r="N376" s="642">
        <f>VLOOKUP($B376,'Afton Update'!$A$5:$CR$582,'Afton Update'!CB$589,0)</f>
        <v>0.95</v>
      </c>
      <c r="P376" s="636">
        <f>VLOOKUP($B376,'Afton Update'!$A$5:$CR$582,'Afton Update'!AH$589,0)</f>
        <v>22654.495754435415</v>
      </c>
      <c r="Q376" s="637">
        <f>VLOOKUP($B376,'Afton Update'!$A$5:$CR$582,'Afton Update'!AI$589,0)</f>
        <v>7807.1156038320805</v>
      </c>
      <c r="R376" s="637">
        <f>VLOOKUP($B376,'Afton Update'!$A$5:$CR$582,'Afton Update'!AJ$589,0)</f>
        <v>13774.61433311506</v>
      </c>
      <c r="S376" s="637">
        <f>VLOOKUP($B376,'Afton Update'!$A$5:$CR$582,'Afton Update'!AK$589,0)</f>
        <v>13380.990031630785</v>
      </c>
      <c r="T376" s="643">
        <f t="shared" si="875"/>
        <v>57617.215723013338</v>
      </c>
      <c r="V376" s="636">
        <f t="shared" si="1024"/>
        <v>30642.932741620865</v>
      </c>
      <c r="W376" s="637">
        <f t="shared" si="1025"/>
        <v>7803.187423182706</v>
      </c>
      <c r="X376" s="637">
        <f t="shared" si="1026"/>
        <v>16666.747372519436</v>
      </c>
      <c r="Y376" s="637">
        <f t="shared" si="1027"/>
        <v>17280.166967746751</v>
      </c>
      <c r="Z376" s="643">
        <f t="shared" si="1028"/>
        <v>72393.034505069751</v>
      </c>
      <c r="AB376" s="644">
        <f t="shared" si="876"/>
        <v>22654.495754435415</v>
      </c>
      <c r="AC376" s="645">
        <f t="shared" si="850"/>
        <v>30642.932741620865</v>
      </c>
      <c r="AD376" s="644">
        <f t="shared" si="1029"/>
        <v>7988.4369871854506</v>
      </c>
      <c r="AE376" s="645">
        <f t="shared" si="1030"/>
        <v>0</v>
      </c>
      <c r="AF376" s="646">
        <f t="shared" si="1031"/>
        <v>0</v>
      </c>
      <c r="AG376" s="647">
        <f t="shared" si="1032"/>
        <v>30642.932741620865</v>
      </c>
      <c r="AH376" s="644">
        <f t="shared" si="877"/>
        <v>0</v>
      </c>
      <c r="AI376" s="645">
        <f t="shared" si="878"/>
        <v>0</v>
      </c>
      <c r="AJ376" s="646">
        <f t="shared" si="1033"/>
        <v>0</v>
      </c>
      <c r="AK376" s="647">
        <f t="shared" si="879"/>
        <v>30642.932741620865</v>
      </c>
      <c r="AL376" s="644">
        <f t="shared" si="1034"/>
        <v>0</v>
      </c>
      <c r="AM376" s="645">
        <f t="shared" si="1035"/>
        <v>0</v>
      </c>
      <c r="AN376" s="646">
        <f t="shared" si="1036"/>
        <v>0</v>
      </c>
      <c r="AO376" s="647">
        <f t="shared" si="880"/>
        <v>30642.932741620865</v>
      </c>
      <c r="AP376" s="644">
        <f t="shared" si="1037"/>
        <v>0</v>
      </c>
      <c r="AQ376" s="645">
        <f t="shared" si="1038"/>
        <v>0</v>
      </c>
      <c r="AR376" s="646">
        <f t="shared" si="1039"/>
        <v>0</v>
      </c>
      <c r="AS376" s="647">
        <f t="shared" si="881"/>
        <v>30642.932741620865</v>
      </c>
      <c r="AT376" s="644">
        <f t="shared" si="1040"/>
        <v>0</v>
      </c>
      <c r="AU376" s="645">
        <f t="shared" si="1041"/>
        <v>0</v>
      </c>
      <c r="AV376" s="646">
        <f t="shared" si="1042"/>
        <v>0</v>
      </c>
      <c r="AW376" s="647">
        <f t="shared" si="882"/>
        <v>30642.932741620865</v>
      </c>
      <c r="AY376" s="644">
        <f t="shared" si="1043"/>
        <v>7807.1156038320805</v>
      </c>
      <c r="AZ376" s="645">
        <f t="shared" si="851"/>
        <v>7803.187423182706</v>
      </c>
      <c r="BA376" s="644">
        <f t="shared" si="1044"/>
        <v>0</v>
      </c>
      <c r="BB376" s="645">
        <f t="shared" si="1045"/>
        <v>7807.1156038320805</v>
      </c>
      <c r="BC376" s="646">
        <f t="shared" si="1046"/>
        <v>-56.143243538325351</v>
      </c>
      <c r="BD376" s="647">
        <f t="shared" si="1047"/>
        <v>7750.9723602937556</v>
      </c>
      <c r="BE376" s="644">
        <f t="shared" si="883"/>
        <v>-52.215062888950342</v>
      </c>
      <c r="BF376" s="645">
        <f t="shared" si="884"/>
        <v>0</v>
      </c>
      <c r="BG376" s="646">
        <f t="shared" si="1048"/>
        <v>0</v>
      </c>
      <c r="BH376" s="647">
        <f t="shared" si="885"/>
        <v>7803.187423182706</v>
      </c>
      <c r="BI376" s="644">
        <f t="shared" si="1049"/>
        <v>0</v>
      </c>
      <c r="BJ376" s="645">
        <f t="shared" si="1050"/>
        <v>0</v>
      </c>
      <c r="BK376" s="646">
        <f t="shared" si="1051"/>
        <v>0</v>
      </c>
      <c r="BL376" s="647">
        <f t="shared" si="886"/>
        <v>7803.187423182706</v>
      </c>
      <c r="BM376" s="644">
        <f t="shared" si="1052"/>
        <v>0</v>
      </c>
      <c r="BN376" s="645">
        <f t="shared" si="1053"/>
        <v>0</v>
      </c>
      <c r="BO376" s="646">
        <f t="shared" si="1054"/>
        <v>0</v>
      </c>
      <c r="BP376" s="647">
        <f t="shared" si="887"/>
        <v>7803.187423182706</v>
      </c>
      <c r="BQ376" s="644">
        <f t="shared" si="1055"/>
        <v>0</v>
      </c>
      <c r="BR376" s="645">
        <f t="shared" si="1056"/>
        <v>0</v>
      </c>
      <c r="BS376" s="646">
        <f t="shared" si="1057"/>
        <v>0</v>
      </c>
      <c r="BT376" s="647">
        <f t="shared" si="888"/>
        <v>7803.187423182706</v>
      </c>
      <c r="BU376" s="662">
        <f>VLOOKUP(B376,'Afton Update'!$A$5:$AR$582,'Afton Update'!$AO$589,0)-BT376</f>
        <v>0</v>
      </c>
      <c r="BV376" s="644">
        <f t="shared" si="1058"/>
        <v>13774.61433311506</v>
      </c>
      <c r="BW376" s="645">
        <f t="shared" si="852"/>
        <v>16666.747372519436</v>
      </c>
      <c r="BX376" s="644">
        <f t="shared" si="1059"/>
        <v>2892.1330394043762</v>
      </c>
      <c r="BY376" s="645">
        <f t="shared" si="1060"/>
        <v>0</v>
      </c>
      <c r="BZ376" s="646">
        <f t="shared" si="1061"/>
        <v>0</v>
      </c>
      <c r="CA376" s="647">
        <f t="shared" si="1062"/>
        <v>16666.747372519436</v>
      </c>
      <c r="CB376" s="644">
        <f t="shared" si="889"/>
        <v>0</v>
      </c>
      <c r="CC376" s="645">
        <f t="shared" si="890"/>
        <v>0</v>
      </c>
      <c r="CD376" s="646">
        <f t="shared" si="1063"/>
        <v>0</v>
      </c>
      <c r="CE376" s="647">
        <f t="shared" si="891"/>
        <v>16666.747372519436</v>
      </c>
      <c r="CF376" s="644">
        <f t="shared" si="1064"/>
        <v>0</v>
      </c>
      <c r="CG376" s="645">
        <f t="shared" si="1065"/>
        <v>0</v>
      </c>
      <c r="CH376" s="646">
        <f t="shared" si="1066"/>
        <v>0</v>
      </c>
      <c r="CI376" s="647">
        <f t="shared" si="892"/>
        <v>16666.747372519436</v>
      </c>
      <c r="CJ376" s="644">
        <f t="shared" si="1067"/>
        <v>0</v>
      </c>
      <c r="CK376" s="645">
        <f t="shared" si="1068"/>
        <v>0</v>
      </c>
      <c r="CL376" s="646">
        <f t="shared" si="1069"/>
        <v>0</v>
      </c>
      <c r="CM376" s="647">
        <f t="shared" si="893"/>
        <v>16666.747372519436</v>
      </c>
      <c r="CN376" s="644">
        <f t="shared" si="1070"/>
        <v>0</v>
      </c>
      <c r="CO376" s="645">
        <f t="shared" si="1071"/>
        <v>0</v>
      </c>
      <c r="CP376" s="646">
        <f t="shared" si="1072"/>
        <v>0</v>
      </c>
      <c r="CQ376" s="647">
        <f t="shared" si="894"/>
        <v>16666.747372519436</v>
      </c>
      <c r="CS376" s="644">
        <f t="shared" si="1073"/>
        <v>13380.990031630785</v>
      </c>
      <c r="CT376" s="645">
        <f t="shared" si="853"/>
        <v>17280.166967746751</v>
      </c>
      <c r="CU376" s="644">
        <f t="shared" si="1074"/>
        <v>3899.1769361159659</v>
      </c>
      <c r="CV376" s="645">
        <f t="shared" si="1075"/>
        <v>0</v>
      </c>
      <c r="CW376" s="646">
        <f t="shared" si="1076"/>
        <v>0</v>
      </c>
      <c r="CX376" s="647">
        <f t="shared" si="1077"/>
        <v>17280.166967746751</v>
      </c>
      <c r="CY376" s="644">
        <f t="shared" si="895"/>
        <v>0</v>
      </c>
      <c r="CZ376" s="645">
        <f t="shared" si="896"/>
        <v>0</v>
      </c>
      <c r="DA376" s="646">
        <f t="shared" si="1078"/>
        <v>0</v>
      </c>
      <c r="DB376" s="647">
        <f t="shared" si="897"/>
        <v>17280.166967746751</v>
      </c>
      <c r="DC376" s="644">
        <f t="shared" si="1079"/>
        <v>0</v>
      </c>
      <c r="DD376" s="645">
        <f t="shared" si="1080"/>
        <v>0</v>
      </c>
      <c r="DE376" s="646">
        <f t="shared" si="1081"/>
        <v>0</v>
      </c>
      <c r="DF376" s="647">
        <f t="shared" si="898"/>
        <v>17280.166967746751</v>
      </c>
      <c r="DG376" s="644">
        <f t="shared" si="1082"/>
        <v>0</v>
      </c>
      <c r="DH376" s="645">
        <f t="shared" si="1083"/>
        <v>0</v>
      </c>
      <c r="DI376" s="646">
        <f t="shared" si="1084"/>
        <v>0</v>
      </c>
      <c r="DJ376" s="647">
        <f t="shared" si="899"/>
        <v>17280.166967746751</v>
      </c>
      <c r="DK376" s="644">
        <f t="shared" si="1085"/>
        <v>0</v>
      </c>
      <c r="DL376" s="645">
        <f t="shared" si="1086"/>
        <v>0</v>
      </c>
      <c r="DM376" s="646">
        <f t="shared" si="1087"/>
        <v>0</v>
      </c>
      <c r="DN376" s="647">
        <f t="shared" si="900"/>
        <v>17280.166967746751</v>
      </c>
      <c r="DR376" s="827">
        <f t="shared" si="854"/>
        <v>72393.034505069751</v>
      </c>
      <c r="DV376" s="828">
        <f>IFERROR(VLOOKUP($B376,'Afton FY16 Final'!$A$5:$BV$587,'Afton FY16 Final'!$BV$587,0),0)</f>
        <v>74702.753334372494</v>
      </c>
      <c r="DX376" s="636">
        <f t="shared" si="842"/>
        <v>0</v>
      </c>
      <c r="DY376" s="637">
        <f t="shared" si="843"/>
        <v>0</v>
      </c>
      <c r="DZ376" s="637">
        <f t="shared" si="844"/>
        <v>0</v>
      </c>
      <c r="EA376" s="643">
        <f t="shared" si="845"/>
        <v>0</v>
      </c>
      <c r="EB376" s="637">
        <f t="shared" si="855"/>
        <v>0</v>
      </c>
      <c r="EC376" s="637">
        <f t="shared" si="856"/>
        <v>0</v>
      </c>
      <c r="ED376" s="637">
        <f t="shared" si="857"/>
        <v>0</v>
      </c>
      <c r="EE376" s="643">
        <f t="shared" si="858"/>
        <v>0</v>
      </c>
      <c r="EF376" s="637">
        <f t="shared" si="859"/>
        <v>0</v>
      </c>
      <c r="EG376" s="637">
        <f t="shared" si="860"/>
        <v>0</v>
      </c>
      <c r="EH376" s="637">
        <f t="shared" si="861"/>
        <v>0</v>
      </c>
      <c r="EI376" s="643">
        <f t="shared" si="862"/>
        <v>0</v>
      </c>
      <c r="EJ376" s="637">
        <f t="shared" si="863"/>
        <v>0</v>
      </c>
      <c r="EK376" s="637">
        <f t="shared" si="864"/>
        <v>0</v>
      </c>
      <c r="EL376" s="637">
        <f t="shared" si="865"/>
        <v>0</v>
      </c>
      <c r="EM376" s="643">
        <f t="shared" si="866"/>
        <v>0</v>
      </c>
      <c r="EN376" s="637">
        <f t="shared" si="867"/>
        <v>0</v>
      </c>
      <c r="EO376" s="637">
        <f t="shared" si="868"/>
        <v>0</v>
      </c>
      <c r="EP376" s="637">
        <f t="shared" si="869"/>
        <v>0</v>
      </c>
      <c r="EQ376" s="643">
        <f t="shared" si="870"/>
        <v>0</v>
      </c>
      <c r="ER376" s="637">
        <f t="shared" si="871"/>
        <v>0</v>
      </c>
      <c r="ES376" s="637">
        <f t="shared" si="872"/>
        <v>0</v>
      </c>
      <c r="ET376" s="637">
        <f t="shared" si="873"/>
        <v>0</v>
      </c>
      <c r="EU376" s="643">
        <f t="shared" si="846"/>
        <v>0</v>
      </c>
      <c r="EV376" s="643">
        <f t="shared" si="847"/>
        <v>0</v>
      </c>
      <c r="EX376" s="829">
        <f t="shared" si="848"/>
        <v>0</v>
      </c>
      <c r="EY376" s="638">
        <f t="shared" si="849"/>
        <v>72393.034505069751</v>
      </c>
      <c r="FC376" s="830" t="str">
        <f t="shared" si="874"/>
        <v>Y</v>
      </c>
      <c r="FE376" s="830" t="str">
        <f>IFERROR(VLOOKUP($B376,'Historical Conc Grant Elig'!$B$3:$J$707,'HH &amp; SI'!FE$2,0),"N")</f>
        <v>Y</v>
      </c>
      <c r="FF376" s="830" t="str">
        <f>IFERROR(VLOOKUP($B376,'Historical Conc Grant Elig'!$B$3:$J$707,'HH &amp; SI'!FF$2,0),"N")</f>
        <v>Y</v>
      </c>
      <c r="FG376" s="830" t="str">
        <f>IFERROR(VLOOKUP($B376,'Historical Conc Grant Elig'!$B$3:$J$707,'HH &amp; SI'!FG$2,0),"N")</f>
        <v>Y</v>
      </c>
      <c r="FH376" s="830" t="str">
        <f>IFERROR(VLOOKUP($B376,'Historical Conc Grant Elig'!$B$3:$J$707,'HH &amp; SI'!FH$2,0),"N")</f>
        <v>Y</v>
      </c>
      <c r="FI376" s="830" t="str">
        <f>IFERROR(VLOOKUP($B376,'Historical Conc Grant Elig'!$B$3:$J$707,'HH &amp; SI'!FI$2,0),"N")</f>
        <v>Y</v>
      </c>
      <c r="FJ376" s="830" t="str">
        <f>IFERROR(VLOOKUP($B376,'Historical Conc Grant Elig'!$B$3:$J$707,'HH &amp; SI'!FJ$2,0),"N")</f>
        <v>Y</v>
      </c>
      <c r="FK376" s="830" t="str">
        <f>IFERROR(VLOOKUP($B376,'Historical Conc Grant Elig'!$B$3:$J$707,'HH &amp; SI'!FK$2,0),"N")</f>
        <v>Y</v>
      </c>
      <c r="FL376" s="957" t="str">
        <f>IFERROR(VLOOKUP($B376,'Historical Conc Grant Elig'!$B$3:$J$707,'HH &amp; SI'!FL$2,0),"N")</f>
        <v>Y</v>
      </c>
    </row>
    <row r="377" spans="2:168" x14ac:dyDescent="0.25">
      <c r="B377" s="634">
        <v>108666000</v>
      </c>
      <c r="C377" s="635" t="str">
        <f>VLOOKUP($B377,'Afton Update'!$A$5:$CR$582,'Afton Update'!D$589,0)</f>
        <v>Daisy Education Corporation dba Sonoran Science Academy</v>
      </c>
      <c r="D377" s="636">
        <f>IFERROR(VLOOKUP($B377,'Afton FY16 Final'!$A$5:$BV$587,'Afton FY16 Final'!AQ$587,0),0)</f>
        <v>57961.770996186948</v>
      </c>
      <c r="E377" s="637">
        <f>IFERROR(VLOOKUP($B377,'Afton FY16 Final'!$A$5:$BV$587,'Afton FY16 Final'!AR$587,0),0)</f>
        <v>15670.927781603652</v>
      </c>
      <c r="F377" s="637">
        <f>IFERROR(VLOOKUP($B377,'Afton FY16 Final'!$A$5:$BV$587,'Afton FY16 Final'!AS$587,0),0)</f>
        <v>33140.721023552403</v>
      </c>
      <c r="G377" s="637">
        <f>IFERROR(VLOOKUP($B377,'Afton FY16 Final'!$A$5:$BV$587,'Afton FY16 Final'!AT$587,0),0)</f>
        <v>33219.942025411008</v>
      </c>
      <c r="H377" s="638">
        <f>IFERROR(VLOOKUP($B377,'Afton FY16 Final'!$A$5:$BV$587,'Afton FY16 Final'!AU$587,0),0)</f>
        <v>139993.361826754</v>
      </c>
      <c r="I377" s="639" t="str">
        <f>VLOOKUP($B377,'Afton Update'!$A$5:$CR$582,'Afton Update'!BT$589,0)</f>
        <v>Y</v>
      </c>
      <c r="J377" s="640" t="str">
        <f>VLOOKUP($B377,'Afton Update'!$A$5:$CR$582,'Afton Update'!BU$589,0)</f>
        <v>Y</v>
      </c>
      <c r="K377" s="640" t="str">
        <f>VLOOKUP($B377,'Afton Update'!$A$5:$CR$582,'Afton Update'!BV$589,0)</f>
        <v>Y</v>
      </c>
      <c r="L377" s="641" t="str">
        <f>VLOOKUP($B377,'Afton Update'!$A$5:$CR$582,'Afton Update'!BW$589,0)</f>
        <v>Y</v>
      </c>
      <c r="N377" s="642">
        <f>VLOOKUP($B377,'Afton Update'!$A$5:$CR$582,'Afton Update'!CB$589,0)</f>
        <v>0.9</v>
      </c>
      <c r="P377" s="636">
        <f>VLOOKUP($B377,'Afton Update'!$A$5:$CR$582,'Afton Update'!AH$589,0)</f>
        <v>60324.180555415231</v>
      </c>
      <c r="Q377" s="637">
        <f>VLOOKUP($B377,'Afton Update'!$A$5:$CR$582,'Afton Update'!AI$589,0)</f>
        <v>16121.704795323341</v>
      </c>
      <c r="R377" s="637">
        <f>VLOOKUP($B377,'Afton Update'!$A$5:$CR$582,'Afton Update'!AJ$589,0)</f>
        <v>36678.914910271495</v>
      </c>
      <c r="S377" s="637">
        <f>VLOOKUP($B377,'Afton Update'!$A$5:$CR$582,'Afton Update'!AK$589,0)</f>
        <v>35630.775781900578</v>
      </c>
      <c r="T377" s="643">
        <f t="shared" si="875"/>
        <v>148755.57604291063</v>
      </c>
      <c r="V377" s="636">
        <f t="shared" si="1024"/>
        <v>59501.319578405732</v>
      </c>
      <c r="W377" s="637">
        <f t="shared" si="1025"/>
        <v>15590.71478185388</v>
      </c>
      <c r="X377" s="637">
        <f t="shared" si="1026"/>
        <v>36345.334499903431</v>
      </c>
      <c r="Y377" s="637">
        <f t="shared" si="1027"/>
        <v>35238.188771456735</v>
      </c>
      <c r="Z377" s="643">
        <f t="shared" si="1028"/>
        <v>146675.55763161977</v>
      </c>
      <c r="AB377" s="644">
        <f t="shared" si="876"/>
        <v>60324.180555415231</v>
      </c>
      <c r="AC377" s="645">
        <f t="shared" si="850"/>
        <v>52165.593896568251</v>
      </c>
      <c r="AD377" s="644">
        <f t="shared" si="1029"/>
        <v>0</v>
      </c>
      <c r="AE377" s="645">
        <f t="shared" si="1030"/>
        <v>60324.180555415231</v>
      </c>
      <c r="AF377" s="646">
        <f t="shared" si="1031"/>
        <v>-747.76355039933264</v>
      </c>
      <c r="AG377" s="647">
        <f t="shared" si="1032"/>
        <v>59576.417005015901</v>
      </c>
      <c r="AH377" s="644">
        <f t="shared" si="877"/>
        <v>0</v>
      </c>
      <c r="AI377" s="645">
        <f t="shared" si="878"/>
        <v>59576.417005015901</v>
      </c>
      <c r="AJ377" s="646">
        <f t="shared" si="1033"/>
        <v>-75.049582270328514</v>
      </c>
      <c r="AK377" s="647">
        <f t="shared" si="879"/>
        <v>59501.36742274557</v>
      </c>
      <c r="AL377" s="644">
        <f t="shared" si="1034"/>
        <v>0</v>
      </c>
      <c r="AM377" s="645">
        <f t="shared" si="1035"/>
        <v>59501.36742274557</v>
      </c>
      <c r="AN377" s="646">
        <f t="shared" si="1036"/>
        <v>-4.7844339837064521E-2</v>
      </c>
      <c r="AO377" s="647">
        <f t="shared" si="880"/>
        <v>59501.319578405732</v>
      </c>
      <c r="AP377" s="644">
        <f t="shared" si="1037"/>
        <v>0</v>
      </c>
      <c r="AQ377" s="645">
        <f t="shared" si="1038"/>
        <v>59501.319578405732</v>
      </c>
      <c r="AR377" s="646">
        <f t="shared" si="1039"/>
        <v>0</v>
      </c>
      <c r="AS377" s="647">
        <f t="shared" si="881"/>
        <v>59501.319578405732</v>
      </c>
      <c r="AT377" s="644">
        <f t="shared" si="1040"/>
        <v>0</v>
      </c>
      <c r="AU377" s="645">
        <f t="shared" si="1041"/>
        <v>59501.319578405732</v>
      </c>
      <c r="AV377" s="646">
        <f t="shared" si="1042"/>
        <v>0</v>
      </c>
      <c r="AW377" s="647">
        <f t="shared" si="882"/>
        <v>59501.319578405732</v>
      </c>
      <c r="AY377" s="644">
        <f t="shared" si="1043"/>
        <v>16121.704795323341</v>
      </c>
      <c r="AZ377" s="645">
        <f t="shared" si="851"/>
        <v>14103.835003443288</v>
      </c>
      <c r="BA377" s="644">
        <f t="shared" si="1044"/>
        <v>0</v>
      </c>
      <c r="BB377" s="645">
        <f t="shared" si="1045"/>
        <v>16121.704795323341</v>
      </c>
      <c r="BC377" s="646">
        <f t="shared" si="1046"/>
        <v>-115.93587753876098</v>
      </c>
      <c r="BD377" s="647">
        <f t="shared" si="1047"/>
        <v>16005.76891778458</v>
      </c>
      <c r="BE377" s="644">
        <f t="shared" si="883"/>
        <v>0</v>
      </c>
      <c r="BF377" s="645">
        <f t="shared" si="884"/>
        <v>16005.76891778458</v>
      </c>
      <c r="BG377" s="646">
        <f t="shared" si="1048"/>
        <v>-381.24437186098999</v>
      </c>
      <c r="BH377" s="647">
        <f t="shared" si="885"/>
        <v>15624.52454592359</v>
      </c>
      <c r="BI377" s="644">
        <f t="shared" si="1049"/>
        <v>0</v>
      </c>
      <c r="BJ377" s="645">
        <f t="shared" si="1050"/>
        <v>15624.52454592359</v>
      </c>
      <c r="BK377" s="646">
        <f t="shared" si="1051"/>
        <v>-33.096412751737319</v>
      </c>
      <c r="BL377" s="647">
        <f t="shared" si="886"/>
        <v>15591.428133171852</v>
      </c>
      <c r="BM377" s="644">
        <f t="shared" si="1052"/>
        <v>0</v>
      </c>
      <c r="BN377" s="645">
        <f t="shared" si="1053"/>
        <v>15591.428133171852</v>
      </c>
      <c r="BO377" s="646">
        <f t="shared" si="1054"/>
        <v>-0.7133513179717379</v>
      </c>
      <c r="BP377" s="647">
        <f t="shared" si="887"/>
        <v>15590.71478185388</v>
      </c>
      <c r="BQ377" s="644">
        <f t="shared" si="1055"/>
        <v>0</v>
      </c>
      <c r="BR377" s="645">
        <f t="shared" si="1056"/>
        <v>15590.71478185388</v>
      </c>
      <c r="BS377" s="646">
        <f t="shared" si="1057"/>
        <v>0</v>
      </c>
      <c r="BT377" s="647">
        <f t="shared" si="888"/>
        <v>15590.71478185388</v>
      </c>
      <c r="BU377" s="662">
        <f>VLOOKUP(B377,'Afton Update'!$A$5:$AR$582,'Afton Update'!$AO$589,0)-BT377</f>
        <v>0</v>
      </c>
      <c r="BV377" s="644">
        <f t="shared" si="1058"/>
        <v>36678.914910271495</v>
      </c>
      <c r="BW377" s="645">
        <f t="shared" si="852"/>
        <v>29826.648921197164</v>
      </c>
      <c r="BX377" s="644">
        <f t="shared" si="1059"/>
        <v>0</v>
      </c>
      <c r="BY377" s="645">
        <f t="shared" si="1060"/>
        <v>36678.914910271495</v>
      </c>
      <c r="BZ377" s="646">
        <f t="shared" si="1061"/>
        <v>-321.93473582612086</v>
      </c>
      <c r="CA377" s="647">
        <f t="shared" si="1062"/>
        <v>36356.980174445373</v>
      </c>
      <c r="CB377" s="644">
        <f t="shared" si="889"/>
        <v>0</v>
      </c>
      <c r="CC377" s="645">
        <f t="shared" si="890"/>
        <v>36356.980174445373</v>
      </c>
      <c r="CD377" s="646">
        <f t="shared" si="1063"/>
        <v>-11.645674541944564</v>
      </c>
      <c r="CE377" s="647">
        <f t="shared" si="891"/>
        <v>36345.334499903431</v>
      </c>
      <c r="CF377" s="644">
        <f t="shared" si="1064"/>
        <v>0</v>
      </c>
      <c r="CG377" s="645">
        <f t="shared" si="1065"/>
        <v>36345.334499903431</v>
      </c>
      <c r="CH377" s="646">
        <f t="shared" si="1066"/>
        <v>0</v>
      </c>
      <c r="CI377" s="647">
        <f t="shared" si="892"/>
        <v>36345.334499903431</v>
      </c>
      <c r="CJ377" s="644">
        <f t="shared" si="1067"/>
        <v>0</v>
      </c>
      <c r="CK377" s="645">
        <f t="shared" si="1068"/>
        <v>36345.334499903431</v>
      </c>
      <c r="CL377" s="646">
        <f t="shared" si="1069"/>
        <v>0</v>
      </c>
      <c r="CM377" s="647">
        <f t="shared" si="893"/>
        <v>36345.334499903431</v>
      </c>
      <c r="CN377" s="644">
        <f t="shared" si="1070"/>
        <v>0</v>
      </c>
      <c r="CO377" s="645">
        <f t="shared" si="1071"/>
        <v>36345.334499903431</v>
      </c>
      <c r="CP377" s="646">
        <f t="shared" si="1072"/>
        <v>0</v>
      </c>
      <c r="CQ377" s="647">
        <f t="shared" si="894"/>
        <v>36345.334499903431</v>
      </c>
      <c r="CS377" s="644">
        <f t="shared" si="1073"/>
        <v>35630.775781900578</v>
      </c>
      <c r="CT377" s="645">
        <f t="shared" si="853"/>
        <v>29897.947822869908</v>
      </c>
      <c r="CU377" s="644">
        <f t="shared" si="1074"/>
        <v>0</v>
      </c>
      <c r="CV377" s="645">
        <f t="shared" si="1075"/>
        <v>35630.775781900578</v>
      </c>
      <c r="CW377" s="646">
        <f t="shared" si="1076"/>
        <v>-364.87927974106748</v>
      </c>
      <c r="CX377" s="647">
        <f t="shared" si="1077"/>
        <v>35265.896502159514</v>
      </c>
      <c r="CY377" s="644">
        <f t="shared" si="895"/>
        <v>0</v>
      </c>
      <c r="CZ377" s="645">
        <f t="shared" si="896"/>
        <v>35265.896502159514</v>
      </c>
      <c r="DA377" s="646">
        <f t="shared" si="1078"/>
        <v>-27.683856824352901</v>
      </c>
      <c r="DB377" s="647">
        <f t="shared" si="897"/>
        <v>35238.212645335159</v>
      </c>
      <c r="DC377" s="644">
        <f t="shared" si="1079"/>
        <v>0</v>
      </c>
      <c r="DD377" s="645">
        <f t="shared" si="1080"/>
        <v>35238.212645335159</v>
      </c>
      <c r="DE377" s="646">
        <f t="shared" si="1081"/>
        <v>-2.3873878421008857E-2</v>
      </c>
      <c r="DF377" s="647">
        <f t="shared" si="898"/>
        <v>35238.188771456735</v>
      </c>
      <c r="DG377" s="644">
        <f t="shared" si="1082"/>
        <v>0</v>
      </c>
      <c r="DH377" s="645">
        <f t="shared" si="1083"/>
        <v>35238.188771456735</v>
      </c>
      <c r="DI377" s="646">
        <f t="shared" si="1084"/>
        <v>0</v>
      </c>
      <c r="DJ377" s="647">
        <f t="shared" si="899"/>
        <v>35238.188771456735</v>
      </c>
      <c r="DK377" s="644">
        <f t="shared" si="1085"/>
        <v>0</v>
      </c>
      <c r="DL377" s="645">
        <f t="shared" si="1086"/>
        <v>35238.188771456735</v>
      </c>
      <c r="DM377" s="646">
        <f t="shared" si="1087"/>
        <v>0</v>
      </c>
      <c r="DN377" s="647">
        <f t="shared" si="900"/>
        <v>35238.188771456735</v>
      </c>
      <c r="DR377" s="827">
        <f t="shared" si="854"/>
        <v>146675.55763161977</v>
      </c>
      <c r="DV377" s="828">
        <f>IFERROR(VLOOKUP($B377,'Afton FY16 Final'!$A$5:$BV$587,'Afton FY16 Final'!$BV$587,0),0)</f>
        <v>137236.89255556933</v>
      </c>
      <c r="DX377" s="636">
        <f t="shared" si="842"/>
        <v>146675.55763161977</v>
      </c>
      <c r="DY377" s="637">
        <f t="shared" si="843"/>
        <v>9438.6650760504417</v>
      </c>
      <c r="DZ377" s="637">
        <f t="shared" si="844"/>
        <v>137236.89255556933</v>
      </c>
      <c r="EA377" s="643">
        <f t="shared" si="845"/>
        <v>138874.06181740205</v>
      </c>
      <c r="EB377" s="637">
        <f t="shared" si="855"/>
        <v>0</v>
      </c>
      <c r="EC377" s="637">
        <f t="shared" si="856"/>
        <v>138874.06181740205</v>
      </c>
      <c r="ED377" s="637">
        <f t="shared" si="857"/>
        <v>138459.94765691701</v>
      </c>
      <c r="EE377" s="643">
        <f t="shared" si="858"/>
        <v>138459.94765691701</v>
      </c>
      <c r="EF377" s="637">
        <f t="shared" si="859"/>
        <v>0</v>
      </c>
      <c r="EG377" s="637">
        <f t="shared" si="860"/>
        <v>138459.94765691701</v>
      </c>
      <c r="EH377" s="637">
        <f t="shared" si="861"/>
        <v>138459.80481319351</v>
      </c>
      <c r="EI377" s="643">
        <f t="shared" si="862"/>
        <v>138459.80481319351</v>
      </c>
      <c r="EJ377" s="637">
        <f t="shared" si="863"/>
        <v>0</v>
      </c>
      <c r="EK377" s="637">
        <f t="shared" si="864"/>
        <v>138459.80481319351</v>
      </c>
      <c r="EL377" s="637">
        <f t="shared" si="865"/>
        <v>138459.8048131933</v>
      </c>
      <c r="EM377" s="643">
        <f t="shared" si="866"/>
        <v>138459.8048131933</v>
      </c>
      <c r="EN377" s="637">
        <f t="shared" si="867"/>
        <v>0</v>
      </c>
      <c r="EO377" s="637">
        <f t="shared" si="868"/>
        <v>138459.8048131933</v>
      </c>
      <c r="EP377" s="637">
        <f t="shared" si="869"/>
        <v>138459.80481319351</v>
      </c>
      <c r="EQ377" s="643">
        <f t="shared" si="870"/>
        <v>138459.80481319351</v>
      </c>
      <c r="ER377" s="637">
        <f t="shared" si="871"/>
        <v>0</v>
      </c>
      <c r="ES377" s="637">
        <f t="shared" si="872"/>
        <v>138459.80481319351</v>
      </c>
      <c r="ET377" s="637">
        <f t="shared" si="873"/>
        <v>138459.80481319327</v>
      </c>
      <c r="EU377" s="643">
        <f t="shared" si="846"/>
        <v>138459.80481319327</v>
      </c>
      <c r="EV377" s="643">
        <f t="shared" si="847"/>
        <v>0</v>
      </c>
      <c r="EX377" s="829">
        <f t="shared" si="848"/>
        <v>8215.7528184264957</v>
      </c>
      <c r="EY377" s="638">
        <f t="shared" si="849"/>
        <v>138459.80481319327</v>
      </c>
      <c r="FC377" s="830" t="str">
        <f t="shared" si="874"/>
        <v>Y</v>
      </c>
      <c r="FE377" s="830" t="str">
        <f>IFERROR(VLOOKUP($B377,'Historical Conc Grant Elig'!$B$3:$J$707,'HH &amp; SI'!FE$2,0),"N")</f>
        <v>N</v>
      </c>
      <c r="FF377" s="830" t="str">
        <f>IFERROR(VLOOKUP($B377,'Historical Conc Grant Elig'!$B$3:$J$707,'HH &amp; SI'!FF$2,0),"N")</f>
        <v>N</v>
      </c>
      <c r="FG377" s="830" t="str">
        <f>IFERROR(VLOOKUP($B377,'Historical Conc Grant Elig'!$B$3:$J$707,'HH &amp; SI'!FG$2,0),"N")</f>
        <v>N</v>
      </c>
      <c r="FH377" s="830" t="str">
        <f>IFERROR(VLOOKUP($B377,'Historical Conc Grant Elig'!$B$3:$J$707,'HH &amp; SI'!FH$2,0),"N")</f>
        <v>Y</v>
      </c>
      <c r="FI377" s="830" t="str">
        <f>IFERROR(VLOOKUP($B377,'Historical Conc Grant Elig'!$B$3:$J$707,'HH &amp; SI'!FI$2,0),"N")</f>
        <v>Y</v>
      </c>
      <c r="FJ377" s="830" t="str">
        <f>IFERROR(VLOOKUP($B377,'Historical Conc Grant Elig'!$B$3:$J$707,'HH &amp; SI'!FJ$2,0),"N")</f>
        <v>Y</v>
      </c>
      <c r="FK377" s="830" t="str">
        <f>IFERROR(VLOOKUP($B377,'Historical Conc Grant Elig'!$B$3:$J$707,'HH &amp; SI'!FK$2,0),"N")</f>
        <v>Y</v>
      </c>
      <c r="FL377" s="957" t="str">
        <f>IFERROR(VLOOKUP($B377,'Historical Conc Grant Elig'!$B$3:$J$707,'HH &amp; SI'!FL$2,0),"N")</f>
        <v>Y</v>
      </c>
    </row>
    <row r="378" spans="2:168" x14ac:dyDescent="0.25">
      <c r="B378" s="634">
        <v>108706000</v>
      </c>
      <c r="C378" s="635" t="str">
        <f>VLOOKUP($B378,'Afton Update'!$A$5:$CR$582,'Afton Update'!D$589,0)</f>
        <v>Kaizen Education Foundation dba Skyview High School</v>
      </c>
      <c r="D378" s="636">
        <f>IFERROR(VLOOKUP($B378,'Afton FY16 Final'!$A$5:$BV$587,'Afton FY16 Final'!AQ$587,0),0)</f>
        <v>23214.342986076412</v>
      </c>
      <c r="E378" s="637">
        <f>IFERROR(VLOOKUP($B378,'Afton FY16 Final'!$A$5:$BV$587,'Afton FY16 Final'!AR$587,0),0)</f>
        <v>5877.3456569554901</v>
      </c>
      <c r="F378" s="637">
        <f>IFERROR(VLOOKUP($B378,'Afton FY16 Final'!$A$5:$BV$587,'Afton FY16 Final'!AS$587,0),0)</f>
        <v>12626.323767060181</v>
      </c>
      <c r="G378" s="637">
        <f>IFERROR(VLOOKUP($B378,'Afton FY16 Final'!$A$5:$BV$587,'Afton FY16 Final'!AT$587,0),0)</f>
        <v>13091.035581626325</v>
      </c>
      <c r="H378" s="638">
        <f>IFERROR(VLOOKUP($B378,'Afton FY16 Final'!$A$5:$BV$587,'Afton FY16 Final'!AU$587,0),0)</f>
        <v>54809.047991718406</v>
      </c>
      <c r="I378" s="639" t="str">
        <f>VLOOKUP($B378,'Afton Update'!$A$5:$CR$582,'Afton Update'!BT$589,0)</f>
        <v>Y</v>
      </c>
      <c r="J378" s="640" t="str">
        <f>VLOOKUP($B378,'Afton Update'!$A$5:$CR$582,'Afton Update'!BU$589,0)</f>
        <v>Y</v>
      </c>
      <c r="K378" s="640" t="str">
        <f>VLOOKUP($B378,'Afton Update'!$A$5:$CR$582,'Afton Update'!BV$589,0)</f>
        <v>Y</v>
      </c>
      <c r="L378" s="641" t="str">
        <f>VLOOKUP($B378,'Afton Update'!$A$5:$CR$582,'Afton Update'!BW$589,0)</f>
        <v>Y</v>
      </c>
      <c r="N378" s="642">
        <f>VLOOKUP($B378,'Afton Update'!$A$5:$CR$582,'Afton Update'!CB$589,0)</f>
        <v>0.95</v>
      </c>
      <c r="P378" s="636">
        <f>VLOOKUP($B378,'Afton Update'!$A$5:$CR$582,'Afton Update'!AH$589,0)</f>
        <v>20020.252062059204</v>
      </c>
      <c r="Q378" s="637">
        <f>VLOOKUP($B378,'Afton Update'!$A$5:$CR$582,'Afton Update'!AI$589,0)</f>
        <v>7225.6758002312936</v>
      </c>
      <c r="R378" s="637">
        <f>VLOOKUP($B378,'Afton Update'!$A$5:$CR$582,'Afton Update'!AJ$589,0)</f>
        <v>12172.91499205517</v>
      </c>
      <c r="S378" s="637">
        <f>VLOOKUP($B378,'Afton Update'!$A$5:$CR$582,'Afton Update'!AK$589,0)</f>
        <v>11825.060958185344</v>
      </c>
      <c r="T378" s="643">
        <f t="shared" si="875"/>
        <v>51243.903812531011</v>
      </c>
      <c r="V378" s="636">
        <f t="shared" si="1024"/>
        <v>22053.62583677259</v>
      </c>
      <c r="W378" s="637">
        <f t="shared" si="1025"/>
        <v>6987.6884571307201</v>
      </c>
      <c r="X378" s="637">
        <f t="shared" si="1026"/>
        <v>12062.207082937382</v>
      </c>
      <c r="Y378" s="637">
        <f t="shared" si="1027"/>
        <v>12436.483802545008</v>
      </c>
      <c r="Z378" s="643">
        <f t="shared" si="1028"/>
        <v>53540.005179385698</v>
      </c>
      <c r="AB378" s="644">
        <f t="shared" si="876"/>
        <v>20020.252062059204</v>
      </c>
      <c r="AC378" s="645">
        <f t="shared" si="850"/>
        <v>22053.62583677259</v>
      </c>
      <c r="AD378" s="644">
        <f t="shared" si="1029"/>
        <v>2033.3737747133855</v>
      </c>
      <c r="AE378" s="645">
        <f t="shared" si="1030"/>
        <v>0</v>
      </c>
      <c r="AF378" s="646">
        <f t="shared" si="1031"/>
        <v>0</v>
      </c>
      <c r="AG378" s="647">
        <f t="shared" si="1032"/>
        <v>22053.62583677259</v>
      </c>
      <c r="AH378" s="644">
        <f t="shared" si="877"/>
        <v>0</v>
      </c>
      <c r="AI378" s="645">
        <f t="shared" si="878"/>
        <v>0</v>
      </c>
      <c r="AJ378" s="646">
        <f t="shared" si="1033"/>
        <v>0</v>
      </c>
      <c r="AK378" s="647">
        <f t="shared" si="879"/>
        <v>22053.62583677259</v>
      </c>
      <c r="AL378" s="644">
        <f t="shared" si="1034"/>
        <v>0</v>
      </c>
      <c r="AM378" s="645">
        <f t="shared" si="1035"/>
        <v>0</v>
      </c>
      <c r="AN378" s="646">
        <f t="shared" si="1036"/>
        <v>0</v>
      </c>
      <c r="AO378" s="647">
        <f t="shared" si="880"/>
        <v>22053.62583677259</v>
      </c>
      <c r="AP378" s="644">
        <f t="shared" si="1037"/>
        <v>0</v>
      </c>
      <c r="AQ378" s="645">
        <f t="shared" si="1038"/>
        <v>0</v>
      </c>
      <c r="AR378" s="646">
        <f t="shared" si="1039"/>
        <v>0</v>
      </c>
      <c r="AS378" s="647">
        <f t="shared" si="881"/>
        <v>22053.62583677259</v>
      </c>
      <c r="AT378" s="644">
        <f t="shared" si="1040"/>
        <v>0</v>
      </c>
      <c r="AU378" s="645">
        <f t="shared" si="1041"/>
        <v>0</v>
      </c>
      <c r="AV378" s="646">
        <f t="shared" si="1042"/>
        <v>0</v>
      </c>
      <c r="AW378" s="647">
        <f t="shared" si="882"/>
        <v>22053.62583677259</v>
      </c>
      <c r="AY378" s="644">
        <f t="shared" si="1043"/>
        <v>7225.6758002312936</v>
      </c>
      <c r="AZ378" s="645">
        <f t="shared" si="851"/>
        <v>5583.4783741077154</v>
      </c>
      <c r="BA378" s="644">
        <f t="shared" si="1044"/>
        <v>0</v>
      </c>
      <c r="BB378" s="645">
        <f t="shared" si="1045"/>
        <v>7225.6758002312936</v>
      </c>
      <c r="BC378" s="646">
        <f t="shared" si="1046"/>
        <v>-51.96194046137181</v>
      </c>
      <c r="BD378" s="647">
        <f t="shared" si="1047"/>
        <v>7173.7138597699213</v>
      </c>
      <c r="BE378" s="644">
        <f t="shared" si="883"/>
        <v>0</v>
      </c>
      <c r="BF378" s="645">
        <f t="shared" si="884"/>
        <v>7173.7138597699213</v>
      </c>
      <c r="BG378" s="646">
        <f t="shared" si="1048"/>
        <v>-170.87201798468888</v>
      </c>
      <c r="BH378" s="647">
        <f t="shared" si="885"/>
        <v>7002.8418417852326</v>
      </c>
      <c r="BI378" s="644">
        <f t="shared" si="1049"/>
        <v>0</v>
      </c>
      <c r="BJ378" s="645">
        <f t="shared" si="1050"/>
        <v>7002.8418417852326</v>
      </c>
      <c r="BK378" s="646">
        <f t="shared" si="1051"/>
        <v>-14.83366379243383</v>
      </c>
      <c r="BL378" s="647">
        <f t="shared" si="886"/>
        <v>6988.0081779927987</v>
      </c>
      <c r="BM378" s="644">
        <f t="shared" si="1052"/>
        <v>0</v>
      </c>
      <c r="BN378" s="645">
        <f t="shared" si="1053"/>
        <v>6988.0081779927987</v>
      </c>
      <c r="BO378" s="646">
        <f t="shared" si="1054"/>
        <v>-0.31972086207822825</v>
      </c>
      <c r="BP378" s="647">
        <f t="shared" si="887"/>
        <v>6987.6884571307201</v>
      </c>
      <c r="BQ378" s="644">
        <f t="shared" si="1055"/>
        <v>0</v>
      </c>
      <c r="BR378" s="645">
        <f t="shared" si="1056"/>
        <v>6987.6884571307201</v>
      </c>
      <c r="BS378" s="646">
        <f t="shared" si="1057"/>
        <v>0</v>
      </c>
      <c r="BT378" s="647">
        <f t="shared" si="888"/>
        <v>6987.6884571307201</v>
      </c>
      <c r="BU378" s="662">
        <f>VLOOKUP(B378,'Afton Update'!$A$5:$AR$582,'Afton Update'!$AO$589,0)-BT378</f>
        <v>0</v>
      </c>
      <c r="BV378" s="644">
        <f t="shared" si="1058"/>
        <v>12172.91499205517</v>
      </c>
      <c r="BW378" s="645">
        <f t="shared" si="852"/>
        <v>11995.007578707171</v>
      </c>
      <c r="BX378" s="644">
        <f t="shared" si="1059"/>
        <v>0</v>
      </c>
      <c r="BY378" s="645">
        <f t="shared" si="1060"/>
        <v>12172.91499205517</v>
      </c>
      <c r="BZ378" s="646">
        <f t="shared" si="1061"/>
        <v>-106.84296909513185</v>
      </c>
      <c r="CA378" s="647">
        <f t="shared" si="1062"/>
        <v>12066.072022960037</v>
      </c>
      <c r="CB378" s="644">
        <f t="shared" si="889"/>
        <v>0</v>
      </c>
      <c r="CC378" s="645">
        <f t="shared" si="890"/>
        <v>12066.072022960037</v>
      </c>
      <c r="CD378" s="646">
        <f t="shared" si="1063"/>
        <v>-3.8649400226540913</v>
      </c>
      <c r="CE378" s="647">
        <f t="shared" si="891"/>
        <v>12062.207082937382</v>
      </c>
      <c r="CF378" s="644">
        <f t="shared" si="1064"/>
        <v>0</v>
      </c>
      <c r="CG378" s="645">
        <f t="shared" si="1065"/>
        <v>12062.207082937382</v>
      </c>
      <c r="CH378" s="646">
        <f t="shared" si="1066"/>
        <v>0</v>
      </c>
      <c r="CI378" s="647">
        <f t="shared" si="892"/>
        <v>12062.207082937382</v>
      </c>
      <c r="CJ378" s="644">
        <f t="shared" si="1067"/>
        <v>0</v>
      </c>
      <c r="CK378" s="645">
        <f t="shared" si="1068"/>
        <v>12062.207082937382</v>
      </c>
      <c r="CL378" s="646">
        <f t="shared" si="1069"/>
        <v>0</v>
      </c>
      <c r="CM378" s="647">
        <f t="shared" si="893"/>
        <v>12062.207082937382</v>
      </c>
      <c r="CN378" s="644">
        <f t="shared" si="1070"/>
        <v>0</v>
      </c>
      <c r="CO378" s="645">
        <f t="shared" si="1071"/>
        <v>12062.207082937382</v>
      </c>
      <c r="CP378" s="646">
        <f t="shared" si="1072"/>
        <v>0</v>
      </c>
      <c r="CQ378" s="647">
        <f t="shared" si="894"/>
        <v>12062.207082937382</v>
      </c>
      <c r="CS378" s="644">
        <f t="shared" si="1073"/>
        <v>11825.060958185344</v>
      </c>
      <c r="CT378" s="645">
        <f t="shared" si="853"/>
        <v>12436.483802545008</v>
      </c>
      <c r="CU378" s="644">
        <f t="shared" si="1074"/>
        <v>611.42284435966394</v>
      </c>
      <c r="CV378" s="645">
        <f t="shared" si="1075"/>
        <v>0</v>
      </c>
      <c r="CW378" s="646">
        <f t="shared" si="1076"/>
        <v>0</v>
      </c>
      <c r="CX378" s="647">
        <f t="shared" si="1077"/>
        <v>12436.483802545008</v>
      </c>
      <c r="CY378" s="644">
        <f t="shared" si="895"/>
        <v>0</v>
      </c>
      <c r="CZ378" s="645">
        <f t="shared" si="896"/>
        <v>0</v>
      </c>
      <c r="DA378" s="646">
        <f t="shared" si="1078"/>
        <v>0</v>
      </c>
      <c r="DB378" s="647">
        <f t="shared" si="897"/>
        <v>12436.483802545008</v>
      </c>
      <c r="DC378" s="644">
        <f t="shared" si="1079"/>
        <v>0</v>
      </c>
      <c r="DD378" s="645">
        <f t="shared" si="1080"/>
        <v>0</v>
      </c>
      <c r="DE378" s="646">
        <f t="shared" si="1081"/>
        <v>0</v>
      </c>
      <c r="DF378" s="647">
        <f t="shared" si="898"/>
        <v>12436.483802545008</v>
      </c>
      <c r="DG378" s="644">
        <f t="shared" si="1082"/>
        <v>0</v>
      </c>
      <c r="DH378" s="645">
        <f t="shared" si="1083"/>
        <v>0</v>
      </c>
      <c r="DI378" s="646">
        <f t="shared" si="1084"/>
        <v>0</v>
      </c>
      <c r="DJ378" s="647">
        <f t="shared" si="899"/>
        <v>12436.483802545008</v>
      </c>
      <c r="DK378" s="644">
        <f t="shared" si="1085"/>
        <v>0</v>
      </c>
      <c r="DL378" s="645">
        <f t="shared" si="1086"/>
        <v>0</v>
      </c>
      <c r="DM378" s="646">
        <f t="shared" si="1087"/>
        <v>0</v>
      </c>
      <c r="DN378" s="647">
        <f t="shared" si="900"/>
        <v>12436.483802545008</v>
      </c>
      <c r="DR378" s="827">
        <f t="shared" si="854"/>
        <v>53540.005179385698</v>
      </c>
      <c r="DV378" s="828">
        <f>IFERROR(VLOOKUP($B378,'Afton FY16 Final'!$A$5:$BV$587,'Afton FY16 Final'!$BV$587,0),0)</f>
        <v>53729.857845838327</v>
      </c>
      <c r="DX378" s="636">
        <f t="shared" si="842"/>
        <v>0</v>
      </c>
      <c r="DY378" s="637">
        <f t="shared" si="843"/>
        <v>0</v>
      </c>
      <c r="DZ378" s="637">
        <f t="shared" si="844"/>
        <v>0</v>
      </c>
      <c r="EA378" s="643">
        <f t="shared" si="845"/>
        <v>0</v>
      </c>
      <c r="EB378" s="637">
        <f t="shared" si="855"/>
        <v>0</v>
      </c>
      <c r="EC378" s="637">
        <f t="shared" si="856"/>
        <v>0</v>
      </c>
      <c r="ED378" s="637">
        <f t="shared" si="857"/>
        <v>0</v>
      </c>
      <c r="EE378" s="643">
        <f t="shared" si="858"/>
        <v>0</v>
      </c>
      <c r="EF378" s="637">
        <f t="shared" si="859"/>
        <v>0</v>
      </c>
      <c r="EG378" s="637">
        <f t="shared" si="860"/>
        <v>0</v>
      </c>
      <c r="EH378" s="637">
        <f t="shared" si="861"/>
        <v>0</v>
      </c>
      <c r="EI378" s="643">
        <f t="shared" si="862"/>
        <v>0</v>
      </c>
      <c r="EJ378" s="637">
        <f t="shared" si="863"/>
        <v>0</v>
      </c>
      <c r="EK378" s="637">
        <f t="shared" si="864"/>
        <v>0</v>
      </c>
      <c r="EL378" s="637">
        <f t="shared" si="865"/>
        <v>0</v>
      </c>
      <c r="EM378" s="643">
        <f t="shared" si="866"/>
        <v>0</v>
      </c>
      <c r="EN378" s="637">
        <f t="shared" si="867"/>
        <v>0</v>
      </c>
      <c r="EO378" s="637">
        <f t="shared" si="868"/>
        <v>0</v>
      </c>
      <c r="EP378" s="637">
        <f t="shared" si="869"/>
        <v>0</v>
      </c>
      <c r="EQ378" s="643">
        <f t="shared" si="870"/>
        <v>0</v>
      </c>
      <c r="ER378" s="637">
        <f t="shared" si="871"/>
        <v>0</v>
      </c>
      <c r="ES378" s="637">
        <f t="shared" si="872"/>
        <v>0</v>
      </c>
      <c r="ET378" s="637">
        <f t="shared" si="873"/>
        <v>0</v>
      </c>
      <c r="EU378" s="643">
        <f t="shared" si="846"/>
        <v>0</v>
      </c>
      <c r="EV378" s="643">
        <f t="shared" si="847"/>
        <v>0</v>
      </c>
      <c r="EX378" s="829">
        <f t="shared" si="848"/>
        <v>0</v>
      </c>
      <c r="EY378" s="638">
        <f t="shared" si="849"/>
        <v>53540.005179385698</v>
      </c>
      <c r="FC378" s="830" t="str">
        <f t="shared" si="874"/>
        <v>Y</v>
      </c>
      <c r="FE378" s="830" t="str">
        <f>IFERROR(VLOOKUP($B378,'Historical Conc Grant Elig'!$B$3:$J$707,'HH &amp; SI'!FE$2,0),"N")</f>
        <v>Y</v>
      </c>
      <c r="FF378" s="830" t="str">
        <f>IFERROR(VLOOKUP($B378,'Historical Conc Grant Elig'!$B$3:$J$707,'HH &amp; SI'!FF$2,0),"N")</f>
        <v>Y</v>
      </c>
      <c r="FG378" s="830" t="str">
        <f>IFERROR(VLOOKUP($B378,'Historical Conc Grant Elig'!$B$3:$J$707,'HH &amp; SI'!FG$2,0),"N")</f>
        <v>Y</v>
      </c>
      <c r="FH378" s="830" t="str">
        <f>IFERROR(VLOOKUP($B378,'Historical Conc Grant Elig'!$B$3:$J$707,'HH &amp; SI'!FH$2,0),"N")</f>
        <v>Y</v>
      </c>
      <c r="FI378" s="830" t="str">
        <f>IFERROR(VLOOKUP($B378,'Historical Conc Grant Elig'!$B$3:$J$707,'HH &amp; SI'!FI$2,0),"N")</f>
        <v>Y</v>
      </c>
      <c r="FJ378" s="830" t="str">
        <f>IFERROR(VLOOKUP($B378,'Historical Conc Grant Elig'!$B$3:$J$707,'HH &amp; SI'!FJ$2,0),"N")</f>
        <v>Y</v>
      </c>
      <c r="FK378" s="830" t="str">
        <f>IFERROR(VLOOKUP($B378,'Historical Conc Grant Elig'!$B$3:$J$707,'HH &amp; SI'!FK$2,0),"N")</f>
        <v>Y</v>
      </c>
      <c r="FL378" s="957" t="str">
        <f>IFERROR(VLOOKUP($B378,'Historical Conc Grant Elig'!$B$3:$J$707,'HH &amp; SI'!FL$2,0),"N")</f>
        <v>Y</v>
      </c>
    </row>
    <row r="379" spans="2:168" x14ac:dyDescent="0.25">
      <c r="B379" s="634">
        <v>108707000</v>
      </c>
      <c r="C379" s="635" t="str">
        <f>VLOOKUP($B379,'Afton Update'!$A$5:$CR$582,'Afton Update'!D$589,0)</f>
        <v>Nosotros  Inc</v>
      </c>
      <c r="D379" s="636">
        <f>IFERROR(VLOOKUP($B379,'Afton FY16 Final'!$A$5:$BV$587,'Afton FY16 Final'!AQ$587,0),0)</f>
        <v>38884.476986824673</v>
      </c>
      <c r="E379" s="637">
        <f>IFERROR(VLOOKUP($B379,'Afton FY16 Final'!$A$5:$BV$587,'Afton FY16 Final'!AR$587,0),0)</f>
        <v>11628.818496663967</v>
      </c>
      <c r="F379" s="637">
        <f>IFERROR(VLOOKUP($B379,'Afton FY16 Final'!$A$5:$BV$587,'Afton FY16 Final'!AS$587,0),0)</f>
        <v>22232.923215059724</v>
      </c>
      <c r="G379" s="637">
        <f>IFERROR(VLOOKUP($B379,'Afton FY16 Final'!$A$5:$BV$587,'Afton FY16 Final'!AT$587,0),0)</f>
        <v>22286.069748899183</v>
      </c>
      <c r="H379" s="638">
        <f>IFERROR(VLOOKUP($B379,'Afton FY16 Final'!$A$5:$BV$587,'Afton FY16 Final'!AU$587,0),0)</f>
        <v>95032.288447447543</v>
      </c>
      <c r="I379" s="639" t="str">
        <f>VLOOKUP($B379,'Afton Update'!$A$5:$CR$582,'Afton Update'!BT$589,0)</f>
        <v>Y</v>
      </c>
      <c r="J379" s="640" t="str">
        <f>VLOOKUP($B379,'Afton Update'!$A$5:$CR$582,'Afton Update'!BU$589,0)</f>
        <v>Y</v>
      </c>
      <c r="K379" s="640" t="str">
        <f>VLOOKUP($B379,'Afton Update'!$A$5:$CR$582,'Afton Update'!BV$589,0)</f>
        <v>Y</v>
      </c>
      <c r="L379" s="641" t="str">
        <f>VLOOKUP($B379,'Afton Update'!$A$5:$CR$582,'Afton Update'!BW$589,0)</f>
        <v>Y</v>
      </c>
      <c r="N379" s="642">
        <f>VLOOKUP($B379,'Afton Update'!$A$5:$CR$582,'Afton Update'!CB$589,0)</f>
        <v>0.95</v>
      </c>
      <c r="P379" s="636">
        <f>VLOOKUP($B379,'Afton Update'!$A$5:$CR$582,'Afton Update'!AH$589,0)</f>
        <v>41357.625970306508</v>
      </c>
      <c r="Q379" s="637">
        <f>VLOOKUP($B379,'Afton Update'!$A$5:$CR$582,'Afton Update'!AI$589,0)</f>
        <v>11935.338209397669</v>
      </c>
      <c r="R379" s="637">
        <f>VLOOKUP($B379,'Afton Update'!$A$5:$CR$582,'Afton Update'!AJ$589,0)</f>
        <v>25146.67965464028</v>
      </c>
      <c r="S379" s="637">
        <f>VLOOKUP($B379,'Afton Update'!$A$5:$CR$582,'Afton Update'!AK$589,0)</f>
        <v>24428.086453093409</v>
      </c>
      <c r="T379" s="643">
        <f t="shared" si="875"/>
        <v>102867.73028743787</v>
      </c>
      <c r="V379" s="636">
        <f t="shared" si="1024"/>
        <v>40793.4811083393</v>
      </c>
      <c r="W379" s="637">
        <f t="shared" si="1025"/>
        <v>11542.231805513567</v>
      </c>
      <c r="X379" s="637">
        <f t="shared" si="1026"/>
        <v>24917.980421331173</v>
      </c>
      <c r="Y379" s="637">
        <f t="shared" si="1027"/>
        <v>24158.932913182129</v>
      </c>
      <c r="Z379" s="643">
        <f t="shared" si="1028"/>
        <v>101412.62624836617</v>
      </c>
      <c r="AB379" s="644">
        <f t="shared" si="876"/>
        <v>41357.625970306508</v>
      </c>
      <c r="AC379" s="645">
        <f t="shared" si="850"/>
        <v>36940.253137483436</v>
      </c>
      <c r="AD379" s="644">
        <f t="shared" si="1029"/>
        <v>0</v>
      </c>
      <c r="AE379" s="645">
        <f t="shared" si="1030"/>
        <v>41357.625970306508</v>
      </c>
      <c r="AF379" s="646">
        <f t="shared" si="1031"/>
        <v>-512.65885333054678</v>
      </c>
      <c r="AG379" s="647">
        <f t="shared" si="1032"/>
        <v>40844.96711697596</v>
      </c>
      <c r="AH379" s="644">
        <f t="shared" si="877"/>
        <v>0</v>
      </c>
      <c r="AI379" s="645">
        <f t="shared" si="878"/>
        <v>40844.96711697596</v>
      </c>
      <c r="AJ379" s="646">
        <f t="shared" si="1033"/>
        <v>-51.453207058696826</v>
      </c>
      <c r="AK379" s="647">
        <f t="shared" si="879"/>
        <v>40793.513909917267</v>
      </c>
      <c r="AL379" s="644">
        <f t="shared" si="1034"/>
        <v>0</v>
      </c>
      <c r="AM379" s="645">
        <f t="shared" si="1035"/>
        <v>40793.513909917267</v>
      </c>
      <c r="AN379" s="646">
        <f t="shared" si="1036"/>
        <v>-3.2801577966895763E-2</v>
      </c>
      <c r="AO379" s="647">
        <f t="shared" si="880"/>
        <v>40793.4811083393</v>
      </c>
      <c r="AP379" s="644">
        <f t="shared" si="1037"/>
        <v>0</v>
      </c>
      <c r="AQ379" s="645">
        <f t="shared" si="1038"/>
        <v>40793.4811083393</v>
      </c>
      <c r="AR379" s="646">
        <f t="shared" si="1039"/>
        <v>0</v>
      </c>
      <c r="AS379" s="647">
        <f t="shared" si="881"/>
        <v>40793.4811083393</v>
      </c>
      <c r="AT379" s="644">
        <f t="shared" si="1040"/>
        <v>0</v>
      </c>
      <c r="AU379" s="645">
        <f t="shared" si="1041"/>
        <v>40793.4811083393</v>
      </c>
      <c r="AV379" s="646">
        <f t="shared" si="1042"/>
        <v>0</v>
      </c>
      <c r="AW379" s="647">
        <f t="shared" si="882"/>
        <v>40793.4811083393</v>
      </c>
      <c r="AY379" s="644">
        <f t="shared" si="1043"/>
        <v>11935.338209397669</v>
      </c>
      <c r="AZ379" s="645">
        <f t="shared" si="851"/>
        <v>11047.377571830768</v>
      </c>
      <c r="BA379" s="644">
        <f t="shared" si="1044"/>
        <v>0</v>
      </c>
      <c r="BB379" s="645">
        <f t="shared" si="1045"/>
        <v>11935.338209397669</v>
      </c>
      <c r="BC379" s="646">
        <f t="shared" si="1046"/>
        <v>-85.830495384695453</v>
      </c>
      <c r="BD379" s="647">
        <f t="shared" si="1047"/>
        <v>11849.507714012974</v>
      </c>
      <c r="BE379" s="644">
        <f t="shared" si="883"/>
        <v>0</v>
      </c>
      <c r="BF379" s="645">
        <f t="shared" si="884"/>
        <v>11849.507714012974</v>
      </c>
      <c r="BG379" s="646">
        <f t="shared" si="1048"/>
        <v>-282.24561709567172</v>
      </c>
      <c r="BH379" s="647">
        <f t="shared" si="885"/>
        <v>11567.262096917302</v>
      </c>
      <c r="BI379" s="644">
        <f t="shared" si="1049"/>
        <v>0</v>
      </c>
      <c r="BJ379" s="645">
        <f t="shared" si="1050"/>
        <v>11567.262096917302</v>
      </c>
      <c r="BK379" s="646">
        <f t="shared" si="1051"/>
        <v>-24.502177947359201</v>
      </c>
      <c r="BL379" s="647">
        <f t="shared" si="886"/>
        <v>11542.759918969943</v>
      </c>
      <c r="BM379" s="644">
        <f t="shared" si="1052"/>
        <v>0</v>
      </c>
      <c r="BN379" s="645">
        <f t="shared" si="1053"/>
        <v>11542.759918969943</v>
      </c>
      <c r="BO379" s="646">
        <f t="shared" si="1054"/>
        <v>-0.52811345637479212</v>
      </c>
      <c r="BP379" s="647">
        <f t="shared" si="887"/>
        <v>11542.231805513567</v>
      </c>
      <c r="BQ379" s="644">
        <f t="shared" si="1055"/>
        <v>0</v>
      </c>
      <c r="BR379" s="645">
        <f t="shared" si="1056"/>
        <v>11542.231805513567</v>
      </c>
      <c r="BS379" s="646">
        <f t="shared" si="1057"/>
        <v>0</v>
      </c>
      <c r="BT379" s="647">
        <f t="shared" si="888"/>
        <v>11542.231805513567</v>
      </c>
      <c r="BU379" s="662">
        <f>VLOOKUP(B379,'Afton Update'!$A$5:$AR$582,'Afton Update'!$AO$589,0)-BT379</f>
        <v>0</v>
      </c>
      <c r="BV379" s="644">
        <f t="shared" si="1058"/>
        <v>25146.67965464028</v>
      </c>
      <c r="BW379" s="645">
        <f t="shared" si="852"/>
        <v>21121.277054306738</v>
      </c>
      <c r="BX379" s="644">
        <f t="shared" si="1059"/>
        <v>0</v>
      </c>
      <c r="BY379" s="645">
        <f t="shared" si="1060"/>
        <v>25146.67965464028</v>
      </c>
      <c r="BZ379" s="646">
        <f t="shared" si="1061"/>
        <v>-220.71508089389076</v>
      </c>
      <c r="CA379" s="647">
        <f t="shared" si="1062"/>
        <v>24925.964573746391</v>
      </c>
      <c r="CB379" s="644">
        <f t="shared" si="889"/>
        <v>0</v>
      </c>
      <c r="CC379" s="645">
        <f t="shared" si="890"/>
        <v>24925.964573746391</v>
      </c>
      <c r="CD379" s="646">
        <f t="shared" si="1063"/>
        <v>-7.9841524152196355</v>
      </c>
      <c r="CE379" s="647">
        <f t="shared" si="891"/>
        <v>24917.980421331173</v>
      </c>
      <c r="CF379" s="644">
        <f t="shared" si="1064"/>
        <v>0</v>
      </c>
      <c r="CG379" s="645">
        <f t="shared" si="1065"/>
        <v>24917.980421331173</v>
      </c>
      <c r="CH379" s="646">
        <f t="shared" si="1066"/>
        <v>0</v>
      </c>
      <c r="CI379" s="647">
        <f t="shared" si="892"/>
        <v>24917.980421331173</v>
      </c>
      <c r="CJ379" s="644">
        <f t="shared" si="1067"/>
        <v>0</v>
      </c>
      <c r="CK379" s="645">
        <f t="shared" si="1068"/>
        <v>24917.980421331173</v>
      </c>
      <c r="CL379" s="646">
        <f t="shared" si="1069"/>
        <v>0</v>
      </c>
      <c r="CM379" s="647">
        <f t="shared" si="893"/>
        <v>24917.980421331173</v>
      </c>
      <c r="CN379" s="644">
        <f t="shared" si="1070"/>
        <v>0</v>
      </c>
      <c r="CO379" s="645">
        <f t="shared" si="1071"/>
        <v>24917.980421331173</v>
      </c>
      <c r="CP379" s="646">
        <f t="shared" si="1072"/>
        <v>0</v>
      </c>
      <c r="CQ379" s="647">
        <f t="shared" si="894"/>
        <v>24917.980421331173</v>
      </c>
      <c r="CS379" s="644">
        <f t="shared" si="1073"/>
        <v>24428.086453093409</v>
      </c>
      <c r="CT379" s="645">
        <f t="shared" si="853"/>
        <v>21171.766261454224</v>
      </c>
      <c r="CU379" s="644">
        <f t="shared" si="1074"/>
        <v>0</v>
      </c>
      <c r="CV379" s="645">
        <f t="shared" si="1075"/>
        <v>24428.086453093409</v>
      </c>
      <c r="CW379" s="646">
        <f t="shared" si="1076"/>
        <v>-250.15741012815542</v>
      </c>
      <c r="CX379" s="647">
        <f t="shared" si="1077"/>
        <v>24177.929042965254</v>
      </c>
      <c r="CY379" s="644">
        <f t="shared" si="895"/>
        <v>0</v>
      </c>
      <c r="CZ379" s="645">
        <f t="shared" si="896"/>
        <v>24177.929042965254</v>
      </c>
      <c r="DA379" s="646">
        <f t="shared" si="1078"/>
        <v>-18.979762102285608</v>
      </c>
      <c r="DB379" s="647">
        <f t="shared" si="897"/>
        <v>24158.949280862969</v>
      </c>
      <c r="DC379" s="644">
        <f t="shared" si="1079"/>
        <v>0</v>
      </c>
      <c r="DD379" s="645">
        <f t="shared" si="1080"/>
        <v>24158.949280862969</v>
      </c>
      <c r="DE379" s="646">
        <f t="shared" si="1081"/>
        <v>-1.63676808388576E-2</v>
      </c>
      <c r="DF379" s="647">
        <f t="shared" si="898"/>
        <v>24158.932913182129</v>
      </c>
      <c r="DG379" s="644">
        <f t="shared" si="1082"/>
        <v>0</v>
      </c>
      <c r="DH379" s="645">
        <f t="shared" si="1083"/>
        <v>24158.932913182129</v>
      </c>
      <c r="DI379" s="646">
        <f t="shared" si="1084"/>
        <v>0</v>
      </c>
      <c r="DJ379" s="647">
        <f t="shared" si="899"/>
        <v>24158.932913182129</v>
      </c>
      <c r="DK379" s="644">
        <f t="shared" si="1085"/>
        <v>0</v>
      </c>
      <c r="DL379" s="645">
        <f t="shared" si="1086"/>
        <v>24158.932913182129</v>
      </c>
      <c r="DM379" s="646">
        <f t="shared" si="1087"/>
        <v>0</v>
      </c>
      <c r="DN379" s="647">
        <f t="shared" si="900"/>
        <v>24158.932913182129</v>
      </c>
      <c r="DR379" s="827">
        <f t="shared" si="854"/>
        <v>101412.62624836617</v>
      </c>
      <c r="DV379" s="828">
        <f>IFERROR(VLOOKUP($B379,'Afton FY16 Final'!$A$5:$BV$587,'Afton FY16 Final'!$BV$587,0),0)</f>
        <v>91668.907002770138</v>
      </c>
      <c r="DX379" s="636">
        <f t="shared" si="842"/>
        <v>101412.62624836617</v>
      </c>
      <c r="DY379" s="637">
        <f t="shared" si="843"/>
        <v>9743.7192455960321</v>
      </c>
      <c r="DZ379" s="637">
        <f t="shared" si="844"/>
        <v>91668.907002770138</v>
      </c>
      <c r="EA379" s="643">
        <f t="shared" si="845"/>
        <v>96018.611103917196</v>
      </c>
      <c r="EB379" s="637">
        <f t="shared" si="855"/>
        <v>0</v>
      </c>
      <c r="EC379" s="637">
        <f t="shared" si="856"/>
        <v>96018.611103917196</v>
      </c>
      <c r="ED379" s="637">
        <f t="shared" si="857"/>
        <v>95732.289338658244</v>
      </c>
      <c r="EE379" s="643">
        <f t="shared" si="858"/>
        <v>95732.289338658244</v>
      </c>
      <c r="EF379" s="637">
        <f t="shared" si="859"/>
        <v>0</v>
      </c>
      <c r="EG379" s="637">
        <f t="shared" si="860"/>
        <v>95732.289338658244</v>
      </c>
      <c r="EH379" s="637">
        <f t="shared" si="861"/>
        <v>95732.190575392044</v>
      </c>
      <c r="EI379" s="643">
        <f t="shared" si="862"/>
        <v>95732.190575392044</v>
      </c>
      <c r="EJ379" s="637">
        <f t="shared" si="863"/>
        <v>0</v>
      </c>
      <c r="EK379" s="637">
        <f t="shared" si="864"/>
        <v>95732.190575392044</v>
      </c>
      <c r="EL379" s="637">
        <f t="shared" si="865"/>
        <v>95732.190575391913</v>
      </c>
      <c r="EM379" s="643">
        <f t="shared" si="866"/>
        <v>95732.190575391913</v>
      </c>
      <c r="EN379" s="637">
        <f t="shared" si="867"/>
        <v>0</v>
      </c>
      <c r="EO379" s="637">
        <f t="shared" si="868"/>
        <v>95732.190575391913</v>
      </c>
      <c r="EP379" s="637">
        <f t="shared" si="869"/>
        <v>95732.190575392058</v>
      </c>
      <c r="EQ379" s="643">
        <f t="shared" si="870"/>
        <v>95732.190575392058</v>
      </c>
      <c r="ER379" s="637">
        <f t="shared" si="871"/>
        <v>0</v>
      </c>
      <c r="ES379" s="637">
        <f t="shared" si="872"/>
        <v>95732.190575392058</v>
      </c>
      <c r="ET379" s="637">
        <f t="shared" si="873"/>
        <v>95732.190575391913</v>
      </c>
      <c r="EU379" s="643">
        <f t="shared" si="846"/>
        <v>95732.190575391913</v>
      </c>
      <c r="EV379" s="643">
        <f t="shared" si="847"/>
        <v>0</v>
      </c>
      <c r="EX379" s="829">
        <f t="shared" si="848"/>
        <v>5680.4356729742576</v>
      </c>
      <c r="EY379" s="638">
        <f t="shared" si="849"/>
        <v>95732.190575391913</v>
      </c>
      <c r="FC379" s="830" t="str">
        <f t="shared" si="874"/>
        <v>Y</v>
      </c>
      <c r="FE379" s="830" t="str">
        <f>IFERROR(VLOOKUP($B379,'Historical Conc Grant Elig'!$B$3:$J$707,'HH &amp; SI'!FE$2,0),"N")</f>
        <v>Y</v>
      </c>
      <c r="FF379" s="830" t="str">
        <f>IFERROR(VLOOKUP($B379,'Historical Conc Grant Elig'!$B$3:$J$707,'HH &amp; SI'!FF$2,0),"N")</f>
        <v>Y</v>
      </c>
      <c r="FG379" s="830" t="str">
        <f>IFERROR(VLOOKUP($B379,'Historical Conc Grant Elig'!$B$3:$J$707,'HH &amp; SI'!FG$2,0),"N")</f>
        <v>Y</v>
      </c>
      <c r="FH379" s="830" t="str">
        <f>IFERROR(VLOOKUP($B379,'Historical Conc Grant Elig'!$B$3:$J$707,'HH &amp; SI'!FH$2,0),"N")</f>
        <v>Y</v>
      </c>
      <c r="FI379" s="830" t="str">
        <f>IFERROR(VLOOKUP($B379,'Historical Conc Grant Elig'!$B$3:$J$707,'HH &amp; SI'!FI$2,0),"N")</f>
        <v>Y</v>
      </c>
      <c r="FJ379" s="830" t="str">
        <f>IFERROR(VLOOKUP($B379,'Historical Conc Grant Elig'!$B$3:$J$707,'HH &amp; SI'!FJ$2,0),"N")</f>
        <v>Y</v>
      </c>
      <c r="FK379" s="830" t="str">
        <f>IFERROR(VLOOKUP($B379,'Historical Conc Grant Elig'!$B$3:$J$707,'HH &amp; SI'!FK$2,0),"N")</f>
        <v>Y</v>
      </c>
      <c r="FL379" s="957" t="str">
        <f>IFERROR(VLOOKUP($B379,'Historical Conc Grant Elig'!$B$3:$J$707,'HH &amp; SI'!FL$2,0),"N")</f>
        <v>Y</v>
      </c>
    </row>
    <row r="380" spans="2:168" x14ac:dyDescent="0.25">
      <c r="B380" s="634">
        <v>108709000</v>
      </c>
      <c r="C380" s="635" t="str">
        <f>VLOOKUP($B380,'Afton Update'!$A$5:$CR$582,'Afton Update'!D$589,0)</f>
        <v>Arizona Community Development Corporation</v>
      </c>
      <c r="D380" s="636">
        <f>IFERROR(VLOOKUP($B380,'Afton FY16 Final'!$A$5:$BV$587,'Afton FY16 Final'!AQ$587,0),0)</f>
        <v>350427.6516681803</v>
      </c>
      <c r="E380" s="637">
        <f>IFERROR(VLOOKUP($B380,'Afton FY16 Final'!$A$5:$BV$587,'Afton FY16 Final'!AR$587,0),0)</f>
        <v>79979.386518811065</v>
      </c>
      <c r="F380" s="637">
        <f>IFERROR(VLOOKUP($B380,'Afton FY16 Final'!$A$5:$BV$587,'Afton FY16 Final'!AS$587,0),0)</f>
        <v>200504.59120313797</v>
      </c>
      <c r="G380" s="637">
        <f>IFERROR(VLOOKUP($B380,'Afton FY16 Final'!$A$5:$BV$587,'Afton FY16 Final'!AT$587,0),0)</f>
        <v>195723.43096865958</v>
      </c>
      <c r="H380" s="638">
        <f>IFERROR(VLOOKUP($B380,'Afton FY16 Final'!$A$5:$BV$587,'Afton FY16 Final'!AU$587,0),0)</f>
        <v>826635.06035878893</v>
      </c>
      <c r="I380" s="639" t="str">
        <f>VLOOKUP($B380,'Afton Update'!$A$5:$CR$582,'Afton Update'!BT$589,0)</f>
        <v>Y</v>
      </c>
      <c r="J380" s="640" t="str">
        <f>VLOOKUP($B380,'Afton Update'!$A$5:$CR$582,'Afton Update'!BU$589,0)</f>
        <v>Y</v>
      </c>
      <c r="K380" s="640" t="str">
        <f>VLOOKUP($B380,'Afton Update'!$A$5:$CR$582,'Afton Update'!BV$589,0)</f>
        <v>Y</v>
      </c>
      <c r="L380" s="641" t="str">
        <f>VLOOKUP($B380,'Afton Update'!$A$5:$CR$582,'Afton Update'!BW$589,0)</f>
        <v>Y</v>
      </c>
      <c r="N380" s="642">
        <f>VLOOKUP($B380,'Afton Update'!$A$5:$CR$582,'Afton Update'!CB$589,0)</f>
        <v>0.95</v>
      </c>
      <c r="P380" s="636">
        <f>VLOOKUP($B380,'Afton Update'!$A$5:$CR$582,'Afton Update'!AH$589,0)</f>
        <v>420952.14204171853</v>
      </c>
      <c r="Q380" s="637">
        <f>VLOOKUP($B380,'Afton Update'!$A$5:$CR$582,'Afton Update'!AI$589,0)</f>
        <v>95720.813908271128</v>
      </c>
      <c r="R380" s="637">
        <f>VLOOKUP($B380,'Afton Update'!$A$5:$CR$582,'Afton Update'!AJ$589,0)</f>
        <v>255951.55470137051</v>
      </c>
      <c r="S380" s="637">
        <f>VLOOKUP($B380,'Afton Update'!$A$5:$CR$582,'Afton Update'!AK$589,0)</f>
        <v>248637.46593658131</v>
      </c>
      <c r="T380" s="643">
        <f t="shared" si="875"/>
        <v>1021261.9765879414</v>
      </c>
      <c r="V380" s="636">
        <f t="shared" si="1024"/>
        <v>415210.08159953001</v>
      </c>
      <c r="W380" s="637">
        <f t="shared" si="1025"/>
        <v>92568.120262546712</v>
      </c>
      <c r="X380" s="637">
        <f t="shared" si="1026"/>
        <v>253623.7752438676</v>
      </c>
      <c r="Y380" s="637">
        <f t="shared" si="1027"/>
        <v>245897.92863226138</v>
      </c>
      <c r="Z380" s="643">
        <f t="shared" si="1028"/>
        <v>1007299.9057382056</v>
      </c>
      <c r="AB380" s="644">
        <f t="shared" si="876"/>
        <v>420952.14204171853</v>
      </c>
      <c r="AC380" s="645">
        <f t="shared" si="850"/>
        <v>332906.26908477128</v>
      </c>
      <c r="AD380" s="644">
        <f t="shared" si="1029"/>
        <v>0</v>
      </c>
      <c r="AE380" s="645">
        <f t="shared" si="1030"/>
        <v>420952.14204171853</v>
      </c>
      <c r="AF380" s="646">
        <f t="shared" si="1031"/>
        <v>-5218.0181377211065</v>
      </c>
      <c r="AG380" s="647">
        <f t="shared" si="1032"/>
        <v>415734.12390399742</v>
      </c>
      <c r="AH380" s="644">
        <f t="shared" si="877"/>
        <v>0</v>
      </c>
      <c r="AI380" s="645">
        <f t="shared" si="878"/>
        <v>415734.12390399742</v>
      </c>
      <c r="AJ380" s="646">
        <f t="shared" si="1033"/>
        <v>-523.7084387248251</v>
      </c>
      <c r="AK380" s="647">
        <f t="shared" si="879"/>
        <v>415210.41546527261</v>
      </c>
      <c r="AL380" s="644">
        <f t="shared" si="1034"/>
        <v>0</v>
      </c>
      <c r="AM380" s="645">
        <f t="shared" si="1035"/>
        <v>415210.41546527261</v>
      </c>
      <c r="AN380" s="646">
        <f t="shared" si="1036"/>
        <v>-0.33386574261846774</v>
      </c>
      <c r="AO380" s="647">
        <f t="shared" si="880"/>
        <v>415210.08159953001</v>
      </c>
      <c r="AP380" s="644">
        <f t="shared" si="1037"/>
        <v>0</v>
      </c>
      <c r="AQ380" s="645">
        <f t="shared" si="1038"/>
        <v>415210.08159953001</v>
      </c>
      <c r="AR380" s="646">
        <f t="shared" si="1039"/>
        <v>0</v>
      </c>
      <c r="AS380" s="647">
        <f t="shared" si="881"/>
        <v>415210.08159953001</v>
      </c>
      <c r="AT380" s="644">
        <f t="shared" si="1040"/>
        <v>0</v>
      </c>
      <c r="AU380" s="645">
        <f t="shared" si="1041"/>
        <v>415210.08159953001</v>
      </c>
      <c r="AV380" s="646">
        <f t="shared" si="1042"/>
        <v>0</v>
      </c>
      <c r="AW380" s="647">
        <f t="shared" si="882"/>
        <v>415210.08159953001</v>
      </c>
      <c r="AY380" s="644">
        <f t="shared" si="1043"/>
        <v>95720.813908271128</v>
      </c>
      <c r="AZ380" s="645">
        <f t="shared" si="851"/>
        <v>75980.417192870504</v>
      </c>
      <c r="BA380" s="644">
        <f t="shared" si="1044"/>
        <v>0</v>
      </c>
      <c r="BB380" s="645">
        <f t="shared" si="1045"/>
        <v>95720.813908271128</v>
      </c>
      <c r="BC380" s="646">
        <f t="shared" si="1046"/>
        <v>-688.35626877370044</v>
      </c>
      <c r="BD380" s="647">
        <f t="shared" si="1047"/>
        <v>95032.457639497428</v>
      </c>
      <c r="BE380" s="644">
        <f t="shared" si="883"/>
        <v>0</v>
      </c>
      <c r="BF380" s="645">
        <f t="shared" si="884"/>
        <v>95032.457639497428</v>
      </c>
      <c r="BG380" s="646">
        <f t="shared" si="1048"/>
        <v>-2263.595695107108</v>
      </c>
      <c r="BH380" s="647">
        <f t="shared" si="885"/>
        <v>92768.861944390315</v>
      </c>
      <c r="BI380" s="644">
        <f t="shared" si="1049"/>
        <v>0</v>
      </c>
      <c r="BJ380" s="645">
        <f t="shared" si="1050"/>
        <v>92768.861944390315</v>
      </c>
      <c r="BK380" s="646">
        <f t="shared" si="1051"/>
        <v>-196.50623840720439</v>
      </c>
      <c r="BL380" s="647">
        <f t="shared" si="886"/>
        <v>92572.355705983107</v>
      </c>
      <c r="BM380" s="644">
        <f t="shared" si="1052"/>
        <v>0</v>
      </c>
      <c r="BN380" s="645">
        <f t="shared" si="1053"/>
        <v>92572.355705983107</v>
      </c>
      <c r="BO380" s="646">
        <f t="shared" si="1054"/>
        <v>-4.2354434363914404</v>
      </c>
      <c r="BP380" s="647">
        <f t="shared" si="887"/>
        <v>92568.120262546712</v>
      </c>
      <c r="BQ380" s="644">
        <f t="shared" si="1055"/>
        <v>0</v>
      </c>
      <c r="BR380" s="645">
        <f t="shared" si="1056"/>
        <v>92568.120262546712</v>
      </c>
      <c r="BS380" s="646">
        <f t="shared" si="1057"/>
        <v>0</v>
      </c>
      <c r="BT380" s="647">
        <f t="shared" si="888"/>
        <v>92568.120262546712</v>
      </c>
      <c r="BU380" s="662">
        <f>VLOOKUP(B380,'Afton Update'!$A$5:$AR$582,'Afton Update'!$AO$589,0)-BT380</f>
        <v>0</v>
      </c>
      <c r="BV380" s="644">
        <f t="shared" si="1058"/>
        <v>255951.55470137051</v>
      </c>
      <c r="BW380" s="645">
        <f t="shared" si="852"/>
        <v>190479.36164298106</v>
      </c>
      <c r="BX380" s="644">
        <f t="shared" si="1059"/>
        <v>0</v>
      </c>
      <c r="BY380" s="645">
        <f t="shared" si="1060"/>
        <v>255951.55470137051</v>
      </c>
      <c r="BZ380" s="646">
        <f t="shared" si="1061"/>
        <v>-2246.5140080792194</v>
      </c>
      <c r="CA380" s="647">
        <f t="shared" si="1062"/>
        <v>253705.04069329129</v>
      </c>
      <c r="CB380" s="644">
        <f t="shared" si="889"/>
        <v>0</v>
      </c>
      <c r="CC380" s="645">
        <f t="shared" si="890"/>
        <v>253705.04069329129</v>
      </c>
      <c r="CD380" s="646">
        <f t="shared" si="1063"/>
        <v>-81.265449423700503</v>
      </c>
      <c r="CE380" s="647">
        <f t="shared" si="891"/>
        <v>253623.7752438676</v>
      </c>
      <c r="CF380" s="644">
        <f t="shared" si="1064"/>
        <v>0</v>
      </c>
      <c r="CG380" s="645">
        <f t="shared" si="1065"/>
        <v>253623.7752438676</v>
      </c>
      <c r="CH380" s="646">
        <f t="shared" si="1066"/>
        <v>0</v>
      </c>
      <c r="CI380" s="647">
        <f t="shared" si="892"/>
        <v>253623.7752438676</v>
      </c>
      <c r="CJ380" s="644">
        <f t="shared" si="1067"/>
        <v>0</v>
      </c>
      <c r="CK380" s="645">
        <f t="shared" si="1068"/>
        <v>253623.7752438676</v>
      </c>
      <c r="CL380" s="646">
        <f t="shared" si="1069"/>
        <v>0</v>
      </c>
      <c r="CM380" s="647">
        <f t="shared" si="893"/>
        <v>253623.7752438676</v>
      </c>
      <c r="CN380" s="644">
        <f t="shared" si="1070"/>
        <v>0</v>
      </c>
      <c r="CO380" s="645">
        <f t="shared" si="1071"/>
        <v>253623.7752438676</v>
      </c>
      <c r="CP380" s="646">
        <f t="shared" si="1072"/>
        <v>0</v>
      </c>
      <c r="CQ380" s="647">
        <f t="shared" si="894"/>
        <v>253623.7752438676</v>
      </c>
      <c r="CS380" s="644">
        <f t="shared" si="1073"/>
        <v>248637.46593658131</v>
      </c>
      <c r="CT380" s="645">
        <f t="shared" si="853"/>
        <v>185937.25942022659</v>
      </c>
      <c r="CU380" s="644">
        <f t="shared" si="1074"/>
        <v>0</v>
      </c>
      <c r="CV380" s="645">
        <f t="shared" si="1075"/>
        <v>248637.46593658131</v>
      </c>
      <c r="CW380" s="646">
        <f t="shared" si="1076"/>
        <v>-2546.1881616865753</v>
      </c>
      <c r="CX380" s="647">
        <f t="shared" si="1077"/>
        <v>246091.27777489473</v>
      </c>
      <c r="CY380" s="644">
        <f t="shared" si="895"/>
        <v>0</v>
      </c>
      <c r="CZ380" s="645">
        <f t="shared" si="896"/>
        <v>246091.27777489473</v>
      </c>
      <c r="DA380" s="646">
        <f t="shared" si="1078"/>
        <v>-193.18254674810447</v>
      </c>
      <c r="DB380" s="647">
        <f t="shared" si="897"/>
        <v>245898.09522814662</v>
      </c>
      <c r="DC380" s="644">
        <f t="shared" si="1079"/>
        <v>0</v>
      </c>
      <c r="DD380" s="645">
        <f t="shared" si="1080"/>
        <v>245898.09522814662</v>
      </c>
      <c r="DE380" s="646">
        <f t="shared" si="1081"/>
        <v>-0.16659588522607924</v>
      </c>
      <c r="DF380" s="647">
        <f t="shared" si="898"/>
        <v>245897.92863226138</v>
      </c>
      <c r="DG380" s="644">
        <f t="shared" si="1082"/>
        <v>0</v>
      </c>
      <c r="DH380" s="645">
        <f t="shared" si="1083"/>
        <v>245897.92863226138</v>
      </c>
      <c r="DI380" s="646">
        <f t="shared" si="1084"/>
        <v>0</v>
      </c>
      <c r="DJ380" s="647">
        <f t="shared" si="899"/>
        <v>245897.92863226138</v>
      </c>
      <c r="DK380" s="644">
        <f t="shared" si="1085"/>
        <v>0</v>
      </c>
      <c r="DL380" s="645">
        <f t="shared" si="1086"/>
        <v>245897.92863226138</v>
      </c>
      <c r="DM380" s="646">
        <f t="shared" si="1087"/>
        <v>0</v>
      </c>
      <c r="DN380" s="647">
        <f t="shared" si="900"/>
        <v>245897.92863226138</v>
      </c>
      <c r="DR380" s="827">
        <f t="shared" si="854"/>
        <v>1007299.9057382056</v>
      </c>
      <c r="DV380" s="828">
        <f>IFERROR(VLOOKUP($B380,'Afton FY16 Final'!$A$5:$BV$587,'Afton FY16 Final'!$BV$587,0),0)</f>
        <v>769608.2126831807</v>
      </c>
      <c r="DX380" s="636">
        <f t="shared" si="842"/>
        <v>1007299.9057382056</v>
      </c>
      <c r="DY380" s="637">
        <f t="shared" si="843"/>
        <v>237691.69305502495</v>
      </c>
      <c r="DZ380" s="637">
        <f t="shared" si="844"/>
        <v>769608.2126831807</v>
      </c>
      <c r="EA380" s="643">
        <f t="shared" si="845"/>
        <v>953722.83996685711</v>
      </c>
      <c r="EB380" s="637">
        <f t="shared" si="855"/>
        <v>0</v>
      </c>
      <c r="EC380" s="637">
        <f t="shared" si="856"/>
        <v>953722.83996685711</v>
      </c>
      <c r="ED380" s="637">
        <f t="shared" si="857"/>
        <v>950878.89540269808</v>
      </c>
      <c r="EE380" s="643">
        <f t="shared" si="858"/>
        <v>950878.89540269808</v>
      </c>
      <c r="EF380" s="637">
        <f t="shared" si="859"/>
        <v>0</v>
      </c>
      <c r="EG380" s="637">
        <f t="shared" si="860"/>
        <v>950878.89540269808</v>
      </c>
      <c r="EH380" s="637">
        <f t="shared" si="861"/>
        <v>950877.91441805731</v>
      </c>
      <c r="EI380" s="643">
        <f t="shared" si="862"/>
        <v>950877.91441805731</v>
      </c>
      <c r="EJ380" s="637">
        <f t="shared" si="863"/>
        <v>0</v>
      </c>
      <c r="EK380" s="637">
        <f t="shared" si="864"/>
        <v>950877.91441805731</v>
      </c>
      <c r="EL380" s="637">
        <f t="shared" si="865"/>
        <v>950877.91441805603</v>
      </c>
      <c r="EM380" s="643">
        <f t="shared" si="866"/>
        <v>950877.91441805603</v>
      </c>
      <c r="EN380" s="637">
        <f t="shared" si="867"/>
        <v>0</v>
      </c>
      <c r="EO380" s="637">
        <f t="shared" si="868"/>
        <v>950877.91441805603</v>
      </c>
      <c r="EP380" s="637">
        <f t="shared" si="869"/>
        <v>950877.91441805742</v>
      </c>
      <c r="EQ380" s="643">
        <f t="shared" si="870"/>
        <v>950877.91441805742</v>
      </c>
      <c r="ER380" s="637">
        <f t="shared" si="871"/>
        <v>0</v>
      </c>
      <c r="ES380" s="637">
        <f t="shared" si="872"/>
        <v>950877.91441805742</v>
      </c>
      <c r="ET380" s="637">
        <f t="shared" si="873"/>
        <v>950877.91441805603</v>
      </c>
      <c r="EU380" s="643">
        <f t="shared" si="846"/>
        <v>950877.91441805603</v>
      </c>
      <c r="EV380" s="643">
        <f t="shared" si="847"/>
        <v>0</v>
      </c>
      <c r="EX380" s="829">
        <f t="shared" si="848"/>
        <v>56421.991320149624</v>
      </c>
      <c r="EY380" s="638">
        <f t="shared" si="849"/>
        <v>950877.91441805603</v>
      </c>
      <c r="FC380" s="830" t="str">
        <f t="shared" si="874"/>
        <v>Y</v>
      </c>
      <c r="FE380" s="830" t="str">
        <f>IFERROR(VLOOKUP($B380,'Historical Conc Grant Elig'!$B$3:$J$707,'HH &amp; SI'!FE$2,0),"N")</f>
        <v>Y</v>
      </c>
      <c r="FF380" s="830" t="str">
        <f>IFERROR(VLOOKUP($B380,'Historical Conc Grant Elig'!$B$3:$J$707,'HH &amp; SI'!FF$2,0),"N")</f>
        <v>Y</v>
      </c>
      <c r="FG380" s="830" t="str">
        <f>IFERROR(VLOOKUP($B380,'Historical Conc Grant Elig'!$B$3:$J$707,'HH &amp; SI'!FG$2,0),"N")</f>
        <v>Y</v>
      </c>
      <c r="FH380" s="830" t="str">
        <f>IFERROR(VLOOKUP($B380,'Historical Conc Grant Elig'!$B$3:$J$707,'HH &amp; SI'!FH$2,0),"N")</f>
        <v>Y</v>
      </c>
      <c r="FI380" s="830" t="str">
        <f>IFERROR(VLOOKUP($B380,'Historical Conc Grant Elig'!$B$3:$J$707,'HH &amp; SI'!FI$2,0),"N")</f>
        <v>Y</v>
      </c>
      <c r="FJ380" s="830" t="str">
        <f>IFERROR(VLOOKUP($B380,'Historical Conc Grant Elig'!$B$3:$J$707,'HH &amp; SI'!FJ$2,0),"N")</f>
        <v>Y</v>
      </c>
      <c r="FK380" s="830" t="str">
        <f>IFERROR(VLOOKUP($B380,'Historical Conc Grant Elig'!$B$3:$J$707,'HH &amp; SI'!FK$2,0),"N")</f>
        <v>Y</v>
      </c>
      <c r="FL380" s="957" t="str">
        <f>IFERROR(VLOOKUP($B380,'Historical Conc Grant Elig'!$B$3:$J$707,'HH &amp; SI'!FL$2,0),"N")</f>
        <v>Y</v>
      </c>
    </row>
    <row r="381" spans="2:168" x14ac:dyDescent="0.25">
      <c r="B381" s="634">
        <v>108711000</v>
      </c>
      <c r="C381" s="635" t="str">
        <f>VLOOKUP($B381,'Afton Update'!$A$5:$CR$582,'Afton Update'!D$589,0)</f>
        <v>Pima Prevention Partnership dba Pima Partnership School  The</v>
      </c>
      <c r="D381" s="636">
        <f>IFERROR(VLOOKUP($B381,'Afton FY16 Final'!$A$5:$BV$587,'Afton FY16 Final'!AQ$587,0),0)</f>
        <v>53316.384626839434</v>
      </c>
      <c r="E381" s="637">
        <f>IFERROR(VLOOKUP($B381,'Afton FY16 Final'!$A$5:$BV$587,'Afton FY16 Final'!AR$587,0),0)</f>
        <v>14564.466091931839</v>
      </c>
      <c r="F381" s="637">
        <f>IFERROR(VLOOKUP($B381,'Afton FY16 Final'!$A$5:$BV$587,'Afton FY16 Final'!AS$587,0),0)</f>
        <v>29851.197603436827</v>
      </c>
      <c r="G381" s="637">
        <f>IFERROR(VLOOKUP($B381,'Afton FY16 Final'!$A$5:$BV$587,'Afton FY16 Final'!AT$587,0),0)</f>
        <v>30562.973166017251</v>
      </c>
      <c r="H381" s="638">
        <f>IFERROR(VLOOKUP($B381,'Afton FY16 Final'!$A$5:$BV$587,'Afton FY16 Final'!AU$587,0),0)</f>
        <v>128295.02148822535</v>
      </c>
      <c r="I381" s="639" t="str">
        <f>VLOOKUP($B381,'Afton Update'!$A$5:$CR$582,'Afton Update'!BT$589,0)</f>
        <v>Y</v>
      </c>
      <c r="J381" s="640" t="str">
        <f>VLOOKUP($B381,'Afton Update'!$A$5:$CR$582,'Afton Update'!BU$589,0)</f>
        <v>Y</v>
      </c>
      <c r="K381" s="640" t="str">
        <f>VLOOKUP($B381,'Afton Update'!$A$5:$CR$582,'Afton Update'!BV$589,0)</f>
        <v>Y</v>
      </c>
      <c r="L381" s="641" t="str">
        <f>VLOOKUP($B381,'Afton Update'!$A$5:$CR$582,'Afton Update'!BW$589,0)</f>
        <v>Y</v>
      </c>
      <c r="N381" s="642">
        <f>VLOOKUP($B381,'Afton Update'!$A$5:$CR$582,'Afton Update'!CB$589,0)</f>
        <v>0.95</v>
      </c>
      <c r="P381" s="636">
        <f>VLOOKUP($B381,'Afton Update'!$A$5:$CR$582,'Afton Update'!AH$589,0)</f>
        <v>37406.260431742201</v>
      </c>
      <c r="Q381" s="637">
        <f>VLOOKUP($B381,'Afton Update'!$A$5:$CR$582,'Afton Update'!AI$589,0)</f>
        <v>11063.178503996489</v>
      </c>
      <c r="R381" s="637">
        <f>VLOOKUP($B381,'Afton Update'!$A$5:$CR$582,'Afton Update'!AJ$589,0)</f>
        <v>22744.130643050448</v>
      </c>
      <c r="S381" s="637">
        <f>VLOOKUP($B381,'Afton Update'!$A$5:$CR$582,'Afton Update'!AK$589,0)</f>
        <v>22094.192842925251</v>
      </c>
      <c r="T381" s="643">
        <f t="shared" si="875"/>
        <v>93307.762421714404</v>
      </c>
      <c r="V381" s="636">
        <f t="shared" si="1024"/>
        <v>50650.565395497462</v>
      </c>
      <c r="W381" s="637">
        <f t="shared" si="1025"/>
        <v>13836.242787335246</v>
      </c>
      <c r="X381" s="637">
        <f t="shared" si="1026"/>
        <v>28358.637723264983</v>
      </c>
      <c r="Y381" s="637">
        <f t="shared" si="1027"/>
        <v>29034.824507716388</v>
      </c>
      <c r="Z381" s="643">
        <f t="shared" si="1028"/>
        <v>121880.27041381408</v>
      </c>
      <c r="AB381" s="644">
        <f t="shared" si="876"/>
        <v>37406.260431742201</v>
      </c>
      <c r="AC381" s="645">
        <f t="shared" si="850"/>
        <v>50650.565395497462</v>
      </c>
      <c r="AD381" s="644">
        <f t="shared" si="1029"/>
        <v>13244.304963755261</v>
      </c>
      <c r="AE381" s="645">
        <f t="shared" si="1030"/>
        <v>0</v>
      </c>
      <c r="AF381" s="646">
        <f t="shared" si="1031"/>
        <v>0</v>
      </c>
      <c r="AG381" s="647">
        <f t="shared" si="1032"/>
        <v>50650.565395497462</v>
      </c>
      <c r="AH381" s="644">
        <f t="shared" si="877"/>
        <v>0</v>
      </c>
      <c r="AI381" s="645">
        <f t="shared" si="878"/>
        <v>0</v>
      </c>
      <c r="AJ381" s="646">
        <f t="shared" si="1033"/>
        <v>0</v>
      </c>
      <c r="AK381" s="647">
        <f t="shared" si="879"/>
        <v>50650.565395497462</v>
      </c>
      <c r="AL381" s="644">
        <f t="shared" si="1034"/>
        <v>0</v>
      </c>
      <c r="AM381" s="645">
        <f t="shared" si="1035"/>
        <v>0</v>
      </c>
      <c r="AN381" s="646">
        <f t="shared" si="1036"/>
        <v>0</v>
      </c>
      <c r="AO381" s="647">
        <f t="shared" si="880"/>
        <v>50650.565395497462</v>
      </c>
      <c r="AP381" s="644">
        <f t="shared" si="1037"/>
        <v>0</v>
      </c>
      <c r="AQ381" s="645">
        <f t="shared" si="1038"/>
        <v>0</v>
      </c>
      <c r="AR381" s="646">
        <f t="shared" si="1039"/>
        <v>0</v>
      </c>
      <c r="AS381" s="647">
        <f t="shared" si="881"/>
        <v>50650.565395497462</v>
      </c>
      <c r="AT381" s="644">
        <f t="shared" si="1040"/>
        <v>0</v>
      </c>
      <c r="AU381" s="645">
        <f t="shared" si="1041"/>
        <v>0</v>
      </c>
      <c r="AV381" s="646">
        <f t="shared" si="1042"/>
        <v>0</v>
      </c>
      <c r="AW381" s="647">
        <f t="shared" si="882"/>
        <v>50650.565395497462</v>
      </c>
      <c r="AY381" s="644">
        <f t="shared" si="1043"/>
        <v>11063.178503996489</v>
      </c>
      <c r="AZ381" s="645">
        <f t="shared" si="851"/>
        <v>13836.242787335246</v>
      </c>
      <c r="BA381" s="644">
        <f t="shared" si="1044"/>
        <v>2773.0642833387574</v>
      </c>
      <c r="BB381" s="645">
        <f t="shared" si="1045"/>
        <v>0</v>
      </c>
      <c r="BC381" s="646">
        <f t="shared" si="1046"/>
        <v>0</v>
      </c>
      <c r="BD381" s="647">
        <f t="shared" si="1047"/>
        <v>13836.242787335246</v>
      </c>
      <c r="BE381" s="644">
        <f t="shared" si="883"/>
        <v>0</v>
      </c>
      <c r="BF381" s="645">
        <f t="shared" si="884"/>
        <v>0</v>
      </c>
      <c r="BG381" s="646">
        <f t="shared" si="1048"/>
        <v>0</v>
      </c>
      <c r="BH381" s="647">
        <f t="shared" si="885"/>
        <v>13836.242787335246</v>
      </c>
      <c r="BI381" s="644">
        <f t="shared" si="1049"/>
        <v>0</v>
      </c>
      <c r="BJ381" s="645">
        <f t="shared" si="1050"/>
        <v>0</v>
      </c>
      <c r="BK381" s="646">
        <f t="shared" si="1051"/>
        <v>0</v>
      </c>
      <c r="BL381" s="647">
        <f t="shared" si="886"/>
        <v>13836.242787335246</v>
      </c>
      <c r="BM381" s="644">
        <f t="shared" si="1052"/>
        <v>0</v>
      </c>
      <c r="BN381" s="645">
        <f t="shared" si="1053"/>
        <v>0</v>
      </c>
      <c r="BO381" s="646">
        <f t="shared" si="1054"/>
        <v>0</v>
      </c>
      <c r="BP381" s="647">
        <f t="shared" si="887"/>
        <v>13836.242787335246</v>
      </c>
      <c r="BQ381" s="644">
        <f t="shared" si="1055"/>
        <v>0</v>
      </c>
      <c r="BR381" s="645">
        <f t="shared" si="1056"/>
        <v>0</v>
      </c>
      <c r="BS381" s="646">
        <f t="shared" si="1057"/>
        <v>0</v>
      </c>
      <c r="BT381" s="647">
        <f t="shared" si="888"/>
        <v>13836.242787335246</v>
      </c>
      <c r="BU381" s="662">
        <f>VLOOKUP(B381,'Afton Update'!$A$5:$AR$582,'Afton Update'!$AO$589,0)-BT381</f>
        <v>0</v>
      </c>
      <c r="BV381" s="644">
        <f t="shared" si="1058"/>
        <v>22744.130643050448</v>
      </c>
      <c r="BW381" s="645">
        <f t="shared" si="852"/>
        <v>28358.637723264983</v>
      </c>
      <c r="BX381" s="644">
        <f t="shared" si="1059"/>
        <v>5614.5070802145347</v>
      </c>
      <c r="BY381" s="645">
        <f t="shared" si="1060"/>
        <v>0</v>
      </c>
      <c r="BZ381" s="646">
        <f t="shared" si="1061"/>
        <v>0</v>
      </c>
      <c r="CA381" s="647">
        <f t="shared" si="1062"/>
        <v>28358.637723264983</v>
      </c>
      <c r="CB381" s="644">
        <f t="shared" si="889"/>
        <v>0</v>
      </c>
      <c r="CC381" s="645">
        <f t="shared" si="890"/>
        <v>0</v>
      </c>
      <c r="CD381" s="646">
        <f t="shared" si="1063"/>
        <v>0</v>
      </c>
      <c r="CE381" s="647">
        <f t="shared" si="891"/>
        <v>28358.637723264983</v>
      </c>
      <c r="CF381" s="644">
        <f t="shared" si="1064"/>
        <v>0</v>
      </c>
      <c r="CG381" s="645">
        <f t="shared" si="1065"/>
        <v>0</v>
      </c>
      <c r="CH381" s="646">
        <f t="shared" si="1066"/>
        <v>0</v>
      </c>
      <c r="CI381" s="647">
        <f t="shared" si="892"/>
        <v>28358.637723264983</v>
      </c>
      <c r="CJ381" s="644">
        <f t="shared" si="1067"/>
        <v>0</v>
      </c>
      <c r="CK381" s="645">
        <f t="shared" si="1068"/>
        <v>0</v>
      </c>
      <c r="CL381" s="646">
        <f t="shared" si="1069"/>
        <v>0</v>
      </c>
      <c r="CM381" s="647">
        <f t="shared" si="893"/>
        <v>28358.637723264983</v>
      </c>
      <c r="CN381" s="644">
        <f t="shared" si="1070"/>
        <v>0</v>
      </c>
      <c r="CO381" s="645">
        <f t="shared" si="1071"/>
        <v>0</v>
      </c>
      <c r="CP381" s="646">
        <f t="shared" si="1072"/>
        <v>0</v>
      </c>
      <c r="CQ381" s="647">
        <f t="shared" si="894"/>
        <v>28358.637723264983</v>
      </c>
      <c r="CS381" s="644">
        <f t="shared" si="1073"/>
        <v>22094.192842925251</v>
      </c>
      <c r="CT381" s="645">
        <f t="shared" si="853"/>
        <v>29034.824507716388</v>
      </c>
      <c r="CU381" s="644">
        <f t="shared" si="1074"/>
        <v>6940.6316647911372</v>
      </c>
      <c r="CV381" s="645">
        <f t="shared" si="1075"/>
        <v>0</v>
      </c>
      <c r="CW381" s="646">
        <f t="shared" si="1076"/>
        <v>0</v>
      </c>
      <c r="CX381" s="647">
        <f t="shared" si="1077"/>
        <v>29034.824507716388</v>
      </c>
      <c r="CY381" s="644">
        <f t="shared" si="895"/>
        <v>0</v>
      </c>
      <c r="CZ381" s="645">
        <f t="shared" si="896"/>
        <v>0</v>
      </c>
      <c r="DA381" s="646">
        <f t="shared" si="1078"/>
        <v>0</v>
      </c>
      <c r="DB381" s="647">
        <f t="shared" si="897"/>
        <v>29034.824507716388</v>
      </c>
      <c r="DC381" s="644">
        <f t="shared" si="1079"/>
        <v>0</v>
      </c>
      <c r="DD381" s="645">
        <f t="shared" si="1080"/>
        <v>0</v>
      </c>
      <c r="DE381" s="646">
        <f t="shared" si="1081"/>
        <v>0</v>
      </c>
      <c r="DF381" s="647">
        <f t="shared" si="898"/>
        <v>29034.824507716388</v>
      </c>
      <c r="DG381" s="644">
        <f t="shared" si="1082"/>
        <v>0</v>
      </c>
      <c r="DH381" s="645">
        <f t="shared" si="1083"/>
        <v>0</v>
      </c>
      <c r="DI381" s="646">
        <f t="shared" si="1084"/>
        <v>0</v>
      </c>
      <c r="DJ381" s="647">
        <f t="shared" si="899"/>
        <v>29034.824507716388</v>
      </c>
      <c r="DK381" s="644">
        <f t="shared" si="1085"/>
        <v>0</v>
      </c>
      <c r="DL381" s="645">
        <f t="shared" si="1086"/>
        <v>0</v>
      </c>
      <c r="DM381" s="646">
        <f t="shared" si="1087"/>
        <v>0</v>
      </c>
      <c r="DN381" s="647">
        <f t="shared" si="900"/>
        <v>29034.824507716388</v>
      </c>
      <c r="DR381" s="827">
        <f t="shared" si="854"/>
        <v>121880.27041381408</v>
      </c>
      <c r="DV381" s="828">
        <f>IFERROR(VLOOKUP($B381,'Afton FY16 Final'!$A$5:$BV$587,'Afton FY16 Final'!$BV$587,0),0)</f>
        <v>125768.89253636898</v>
      </c>
      <c r="DX381" s="636">
        <f t="shared" si="842"/>
        <v>0</v>
      </c>
      <c r="DY381" s="637">
        <f t="shared" si="843"/>
        <v>0</v>
      </c>
      <c r="DZ381" s="637">
        <f t="shared" si="844"/>
        <v>0</v>
      </c>
      <c r="EA381" s="643">
        <f t="shared" si="845"/>
        <v>0</v>
      </c>
      <c r="EB381" s="637">
        <f t="shared" si="855"/>
        <v>0</v>
      </c>
      <c r="EC381" s="637">
        <f t="shared" si="856"/>
        <v>0</v>
      </c>
      <c r="ED381" s="637">
        <f t="shared" si="857"/>
        <v>0</v>
      </c>
      <c r="EE381" s="643">
        <f t="shared" si="858"/>
        <v>0</v>
      </c>
      <c r="EF381" s="637">
        <f t="shared" si="859"/>
        <v>0</v>
      </c>
      <c r="EG381" s="637">
        <f t="shared" si="860"/>
        <v>0</v>
      </c>
      <c r="EH381" s="637">
        <f t="shared" si="861"/>
        <v>0</v>
      </c>
      <c r="EI381" s="643">
        <f t="shared" si="862"/>
        <v>0</v>
      </c>
      <c r="EJ381" s="637">
        <f t="shared" si="863"/>
        <v>0</v>
      </c>
      <c r="EK381" s="637">
        <f t="shared" si="864"/>
        <v>0</v>
      </c>
      <c r="EL381" s="637">
        <f t="shared" si="865"/>
        <v>0</v>
      </c>
      <c r="EM381" s="643">
        <f t="shared" si="866"/>
        <v>0</v>
      </c>
      <c r="EN381" s="637">
        <f t="shared" si="867"/>
        <v>0</v>
      </c>
      <c r="EO381" s="637">
        <f t="shared" si="868"/>
        <v>0</v>
      </c>
      <c r="EP381" s="637">
        <f t="shared" si="869"/>
        <v>0</v>
      </c>
      <c r="EQ381" s="643">
        <f t="shared" si="870"/>
        <v>0</v>
      </c>
      <c r="ER381" s="637">
        <f t="shared" si="871"/>
        <v>0</v>
      </c>
      <c r="ES381" s="637">
        <f t="shared" si="872"/>
        <v>0</v>
      </c>
      <c r="ET381" s="637">
        <f t="shared" si="873"/>
        <v>0</v>
      </c>
      <c r="EU381" s="643">
        <f t="shared" si="846"/>
        <v>0</v>
      </c>
      <c r="EV381" s="643">
        <f t="shared" si="847"/>
        <v>0</v>
      </c>
      <c r="EX381" s="829">
        <f t="shared" si="848"/>
        <v>0</v>
      </c>
      <c r="EY381" s="638">
        <f t="shared" si="849"/>
        <v>121880.27041381408</v>
      </c>
      <c r="FC381" s="830" t="str">
        <f t="shared" si="874"/>
        <v>Y</v>
      </c>
      <c r="FE381" s="830" t="str">
        <f>IFERROR(VLOOKUP($B381,'Historical Conc Grant Elig'!$B$3:$J$707,'HH &amp; SI'!FE$2,0),"N")</f>
        <v>Y</v>
      </c>
      <c r="FF381" s="830" t="str">
        <f>IFERROR(VLOOKUP($B381,'Historical Conc Grant Elig'!$B$3:$J$707,'HH &amp; SI'!FF$2,0),"N")</f>
        <v>Y</v>
      </c>
      <c r="FG381" s="830" t="str">
        <f>IFERROR(VLOOKUP($B381,'Historical Conc Grant Elig'!$B$3:$J$707,'HH &amp; SI'!FG$2,0),"N")</f>
        <v>Y</v>
      </c>
      <c r="FH381" s="830" t="str">
        <f>IFERROR(VLOOKUP($B381,'Historical Conc Grant Elig'!$B$3:$J$707,'HH &amp; SI'!FH$2,0),"N")</f>
        <v>Y</v>
      </c>
      <c r="FI381" s="830" t="str">
        <f>IFERROR(VLOOKUP($B381,'Historical Conc Grant Elig'!$B$3:$J$707,'HH &amp; SI'!FI$2,0),"N")</f>
        <v>Y</v>
      </c>
      <c r="FJ381" s="830" t="str">
        <f>IFERROR(VLOOKUP($B381,'Historical Conc Grant Elig'!$B$3:$J$707,'HH &amp; SI'!FJ$2,0),"N")</f>
        <v>Y</v>
      </c>
      <c r="FK381" s="830" t="str">
        <f>IFERROR(VLOOKUP($B381,'Historical Conc Grant Elig'!$B$3:$J$707,'HH &amp; SI'!FK$2,0),"N")</f>
        <v>Y</v>
      </c>
      <c r="FL381" s="957" t="str">
        <f>IFERROR(VLOOKUP($B381,'Historical Conc Grant Elig'!$B$3:$J$707,'HH &amp; SI'!FL$2,0),"N")</f>
        <v>Y</v>
      </c>
    </row>
    <row r="382" spans="2:168" x14ac:dyDescent="0.25">
      <c r="B382" s="634">
        <v>108713000</v>
      </c>
      <c r="C382" s="635" t="str">
        <f>VLOOKUP($B382,'Afton Update'!$A$5:$CR$582,'Afton Update'!D$589,0)</f>
        <v>Academy of Mathematics and Science  Inc.</v>
      </c>
      <c r="D382" s="636">
        <f>IFERROR(VLOOKUP($B382,'Afton FY16 Final'!$A$5:$BV$587,'Afton FY16 Final'!AQ$587,0),0)</f>
        <v>79672.389910067344</v>
      </c>
      <c r="E382" s="637">
        <f>IFERROR(VLOOKUP($B382,'Afton FY16 Final'!$A$5:$BV$587,'Afton FY16 Final'!AR$587,0),0)</f>
        <v>20615.49480870847</v>
      </c>
      <c r="F382" s="637">
        <f>IFERROR(VLOOKUP($B382,'Afton FY16 Final'!$A$5:$BV$587,'Afton FY16 Final'!AS$587,0),0)</f>
        <v>45554.171342744754</v>
      </c>
      <c r="G382" s="637">
        <f>IFERROR(VLOOKUP($B382,'Afton FY16 Final'!$A$5:$BV$587,'Afton FY16 Final'!AT$587,0),0)</f>
        <v>45663.065989003226</v>
      </c>
      <c r="H382" s="638">
        <f>IFERROR(VLOOKUP($B382,'Afton FY16 Final'!$A$5:$BV$587,'Afton FY16 Final'!AU$587,0),0)</f>
        <v>191505.12205052379</v>
      </c>
      <c r="I382" s="639" t="str">
        <f>VLOOKUP($B382,'Afton Update'!$A$5:$CR$582,'Afton Update'!BT$589,0)</f>
        <v>Y</v>
      </c>
      <c r="J382" s="640" t="str">
        <f>VLOOKUP($B382,'Afton Update'!$A$5:$CR$582,'Afton Update'!BU$589,0)</f>
        <v>Y</v>
      </c>
      <c r="K382" s="640" t="str">
        <f>VLOOKUP($B382,'Afton Update'!$A$5:$CR$582,'Afton Update'!BV$589,0)</f>
        <v>Y</v>
      </c>
      <c r="L382" s="641" t="str">
        <f>VLOOKUP($B382,'Afton Update'!$A$5:$CR$582,'Afton Update'!BW$589,0)</f>
        <v>Y</v>
      </c>
      <c r="N382" s="642">
        <f>VLOOKUP($B382,'Afton Update'!$A$5:$CR$582,'Afton Update'!CB$589,0)</f>
        <v>0.95</v>
      </c>
      <c r="P382" s="636">
        <f>VLOOKUP($B382,'Afton Update'!$A$5:$CR$582,'Afton Update'!AH$589,0)</f>
        <v>85349.495632989245</v>
      </c>
      <c r="Q382" s="637">
        <f>VLOOKUP($B382,'Afton Update'!$A$5:$CR$582,'Afton Update'!AI$589,0)</f>
        <v>21645.382929530821</v>
      </c>
      <c r="R382" s="637">
        <f>VLOOKUP($B382,'Afton Update'!$A$5:$CR$582,'Afton Update'!AJ$589,0)</f>
        <v>51895.058650340456</v>
      </c>
      <c r="S382" s="637">
        <f>VLOOKUP($B382,'Afton Update'!$A$5:$CR$582,'Afton Update'!AK$589,0)</f>
        <v>50412.101979632258</v>
      </c>
      <c r="T382" s="643">
        <f t="shared" si="875"/>
        <v>209302.03919249278</v>
      </c>
      <c r="V382" s="636">
        <f t="shared" si="1024"/>
        <v>84185.273115298958</v>
      </c>
      <c r="W382" s="637">
        <f t="shared" si="1025"/>
        <v>20932.46315341401</v>
      </c>
      <c r="X382" s="637">
        <f t="shared" si="1026"/>
        <v>51423.093353575161</v>
      </c>
      <c r="Y382" s="637">
        <f t="shared" si="1027"/>
        <v>49856.651362235738</v>
      </c>
      <c r="Z382" s="643">
        <f t="shared" si="1028"/>
        <v>206397.48098452386</v>
      </c>
      <c r="AB382" s="644">
        <f t="shared" si="876"/>
        <v>85349.495632989245</v>
      </c>
      <c r="AC382" s="645">
        <f t="shared" si="850"/>
        <v>75688.770414563973</v>
      </c>
      <c r="AD382" s="644">
        <f t="shared" si="1029"/>
        <v>0</v>
      </c>
      <c r="AE382" s="645">
        <f t="shared" si="1030"/>
        <v>85349.495632989245</v>
      </c>
      <c r="AF382" s="646">
        <f t="shared" si="1031"/>
        <v>-1057.9711368095361</v>
      </c>
      <c r="AG382" s="647">
        <f t="shared" si="1032"/>
        <v>84291.524496179714</v>
      </c>
      <c r="AH382" s="644">
        <f t="shared" si="877"/>
        <v>0</v>
      </c>
      <c r="AI382" s="645">
        <f t="shared" si="878"/>
        <v>84291.524496179714</v>
      </c>
      <c r="AJ382" s="646">
        <f t="shared" si="1033"/>
        <v>-106.18368845234254</v>
      </c>
      <c r="AK382" s="647">
        <f t="shared" si="879"/>
        <v>84185.340807727378</v>
      </c>
      <c r="AL382" s="644">
        <f t="shared" si="1034"/>
        <v>0</v>
      </c>
      <c r="AM382" s="645">
        <f t="shared" si="1035"/>
        <v>84185.340807727378</v>
      </c>
      <c r="AN382" s="646">
        <f t="shared" si="1036"/>
        <v>-6.7692428415759426E-2</v>
      </c>
      <c r="AO382" s="647">
        <f t="shared" si="880"/>
        <v>84185.273115298958</v>
      </c>
      <c r="AP382" s="644">
        <f t="shared" si="1037"/>
        <v>0</v>
      </c>
      <c r="AQ382" s="645">
        <f t="shared" si="1038"/>
        <v>84185.273115298958</v>
      </c>
      <c r="AR382" s="646">
        <f t="shared" si="1039"/>
        <v>0</v>
      </c>
      <c r="AS382" s="647">
        <f t="shared" si="881"/>
        <v>84185.273115298958</v>
      </c>
      <c r="AT382" s="644">
        <f t="shared" si="1040"/>
        <v>0</v>
      </c>
      <c r="AU382" s="645">
        <f t="shared" si="1041"/>
        <v>84185.273115298958</v>
      </c>
      <c r="AV382" s="646">
        <f t="shared" si="1042"/>
        <v>0</v>
      </c>
      <c r="AW382" s="647">
        <f t="shared" si="882"/>
        <v>84185.273115298958</v>
      </c>
      <c r="AY382" s="644">
        <f t="shared" si="1043"/>
        <v>21645.382929530821</v>
      </c>
      <c r="AZ382" s="645">
        <f t="shared" si="851"/>
        <v>19584.720068273047</v>
      </c>
      <c r="BA382" s="644">
        <f t="shared" si="1044"/>
        <v>0</v>
      </c>
      <c r="BB382" s="645">
        <f t="shared" si="1045"/>
        <v>21645.382929530821</v>
      </c>
      <c r="BC382" s="646">
        <f t="shared" si="1046"/>
        <v>-155.65825676981959</v>
      </c>
      <c r="BD382" s="647">
        <f t="shared" si="1047"/>
        <v>21489.724672761</v>
      </c>
      <c r="BE382" s="644">
        <f t="shared" si="883"/>
        <v>0</v>
      </c>
      <c r="BF382" s="645">
        <f t="shared" si="884"/>
        <v>21489.724672761</v>
      </c>
      <c r="BG382" s="646">
        <f t="shared" si="1048"/>
        <v>-511.86772884300683</v>
      </c>
      <c r="BH382" s="647">
        <f t="shared" si="885"/>
        <v>20977.856943917992</v>
      </c>
      <c r="BI382" s="644">
        <f t="shared" si="1049"/>
        <v>0</v>
      </c>
      <c r="BJ382" s="645">
        <f t="shared" si="1050"/>
        <v>20977.856943917992</v>
      </c>
      <c r="BK382" s="646">
        <f t="shared" si="1051"/>
        <v>-44.436028118625096</v>
      </c>
      <c r="BL382" s="647">
        <f t="shared" si="886"/>
        <v>20933.420915799368</v>
      </c>
      <c r="BM382" s="644">
        <f t="shared" si="1052"/>
        <v>0</v>
      </c>
      <c r="BN382" s="645">
        <f t="shared" si="1053"/>
        <v>20933.420915799368</v>
      </c>
      <c r="BO382" s="646">
        <f t="shared" si="1054"/>
        <v>-0.95776238535659663</v>
      </c>
      <c r="BP382" s="647">
        <f t="shared" si="887"/>
        <v>20932.46315341401</v>
      </c>
      <c r="BQ382" s="644">
        <f t="shared" si="1055"/>
        <v>0</v>
      </c>
      <c r="BR382" s="645">
        <f t="shared" si="1056"/>
        <v>20932.46315341401</v>
      </c>
      <c r="BS382" s="646">
        <f t="shared" si="1057"/>
        <v>0</v>
      </c>
      <c r="BT382" s="647">
        <f t="shared" si="888"/>
        <v>20932.46315341401</v>
      </c>
      <c r="BU382" s="662">
        <f>VLOOKUP(B382,'Afton Update'!$A$5:$AR$582,'Afton Update'!$AO$589,0)-BT382</f>
        <v>0</v>
      </c>
      <c r="BV382" s="644">
        <f t="shared" si="1058"/>
        <v>51895.058650340456</v>
      </c>
      <c r="BW382" s="645">
        <f t="shared" si="852"/>
        <v>43276.462775607513</v>
      </c>
      <c r="BX382" s="644">
        <f t="shared" si="1059"/>
        <v>0</v>
      </c>
      <c r="BY382" s="645">
        <f t="shared" si="1060"/>
        <v>51895.058650340456</v>
      </c>
      <c r="BZ382" s="646">
        <f t="shared" si="1061"/>
        <v>-455.48844719503575</v>
      </c>
      <c r="CA382" s="647">
        <f t="shared" si="1062"/>
        <v>51439.57020314542</v>
      </c>
      <c r="CB382" s="644">
        <f t="shared" si="889"/>
        <v>0</v>
      </c>
      <c r="CC382" s="645">
        <f t="shared" si="890"/>
        <v>51439.57020314542</v>
      </c>
      <c r="CD382" s="646">
        <f t="shared" si="1063"/>
        <v>-16.476849570262178</v>
      </c>
      <c r="CE382" s="647">
        <f t="shared" si="891"/>
        <v>51423.093353575161</v>
      </c>
      <c r="CF382" s="644">
        <f t="shared" si="1064"/>
        <v>0</v>
      </c>
      <c r="CG382" s="645">
        <f t="shared" si="1065"/>
        <v>51423.093353575161</v>
      </c>
      <c r="CH382" s="646">
        <f t="shared" si="1066"/>
        <v>0</v>
      </c>
      <c r="CI382" s="647">
        <f t="shared" si="892"/>
        <v>51423.093353575161</v>
      </c>
      <c r="CJ382" s="644">
        <f t="shared" si="1067"/>
        <v>0</v>
      </c>
      <c r="CK382" s="645">
        <f t="shared" si="1068"/>
        <v>51423.093353575161</v>
      </c>
      <c r="CL382" s="646">
        <f t="shared" si="1069"/>
        <v>0</v>
      </c>
      <c r="CM382" s="647">
        <f t="shared" si="893"/>
        <v>51423.093353575161</v>
      </c>
      <c r="CN382" s="644">
        <f t="shared" si="1070"/>
        <v>0</v>
      </c>
      <c r="CO382" s="645">
        <f t="shared" si="1071"/>
        <v>51423.093353575161</v>
      </c>
      <c r="CP382" s="646">
        <f t="shared" si="1072"/>
        <v>0</v>
      </c>
      <c r="CQ382" s="647">
        <f t="shared" si="894"/>
        <v>51423.093353575161</v>
      </c>
      <c r="CS382" s="644">
        <f t="shared" si="1073"/>
        <v>50412.101979632258</v>
      </c>
      <c r="CT382" s="645">
        <f t="shared" si="853"/>
        <v>43379.912689553064</v>
      </c>
      <c r="CU382" s="644">
        <f t="shared" si="1074"/>
        <v>0</v>
      </c>
      <c r="CV382" s="645">
        <f t="shared" si="1075"/>
        <v>50412.101979632258</v>
      </c>
      <c r="CW382" s="646">
        <f t="shared" si="1076"/>
        <v>-516.24841325810416</v>
      </c>
      <c r="CX382" s="647">
        <f t="shared" si="1077"/>
        <v>49895.853566374157</v>
      </c>
      <c r="CY382" s="644">
        <f t="shared" si="895"/>
        <v>0</v>
      </c>
      <c r="CZ382" s="645">
        <f t="shared" si="896"/>
        <v>49895.853566374157</v>
      </c>
      <c r="DA382" s="646">
        <f t="shared" si="1078"/>
        <v>-39.16842624930279</v>
      </c>
      <c r="DB382" s="647">
        <f t="shared" si="897"/>
        <v>49856.685140124857</v>
      </c>
      <c r="DC382" s="644">
        <f t="shared" si="1079"/>
        <v>0</v>
      </c>
      <c r="DD382" s="645">
        <f t="shared" si="1080"/>
        <v>49856.685140124857</v>
      </c>
      <c r="DE382" s="646">
        <f t="shared" si="1081"/>
        <v>-3.377788911968066E-2</v>
      </c>
      <c r="DF382" s="647">
        <f t="shared" si="898"/>
        <v>49856.651362235738</v>
      </c>
      <c r="DG382" s="644">
        <f t="shared" si="1082"/>
        <v>0</v>
      </c>
      <c r="DH382" s="645">
        <f t="shared" si="1083"/>
        <v>49856.651362235738</v>
      </c>
      <c r="DI382" s="646">
        <f t="shared" si="1084"/>
        <v>0</v>
      </c>
      <c r="DJ382" s="647">
        <f t="shared" si="899"/>
        <v>49856.651362235738</v>
      </c>
      <c r="DK382" s="644">
        <f t="shared" si="1085"/>
        <v>0</v>
      </c>
      <c r="DL382" s="645">
        <f t="shared" si="1086"/>
        <v>49856.651362235738</v>
      </c>
      <c r="DM382" s="646">
        <f t="shared" si="1087"/>
        <v>0</v>
      </c>
      <c r="DN382" s="647">
        <f t="shared" si="900"/>
        <v>49856.651362235738</v>
      </c>
      <c r="DR382" s="827">
        <f t="shared" si="854"/>
        <v>206397.48098452386</v>
      </c>
      <c r="DV382" s="828">
        <f>IFERROR(VLOOKUP($B382,'Afton FY16 Final'!$A$5:$BV$587,'Afton FY16 Final'!$BV$587,0),0)</f>
        <v>184727.37540684911</v>
      </c>
      <c r="DX382" s="636">
        <f t="shared" si="842"/>
        <v>206397.48098452386</v>
      </c>
      <c r="DY382" s="637">
        <f t="shared" si="843"/>
        <v>21670.105577674753</v>
      </c>
      <c r="DZ382" s="637">
        <f t="shared" si="844"/>
        <v>184727.37540684911</v>
      </c>
      <c r="EA382" s="643">
        <f t="shared" si="845"/>
        <v>195419.44817547235</v>
      </c>
      <c r="EB382" s="637">
        <f t="shared" si="855"/>
        <v>0</v>
      </c>
      <c r="EC382" s="637">
        <f t="shared" si="856"/>
        <v>195419.44817547235</v>
      </c>
      <c r="ED382" s="637">
        <f t="shared" si="857"/>
        <v>194836.71904906398</v>
      </c>
      <c r="EE382" s="643">
        <f t="shared" si="858"/>
        <v>194836.71904906398</v>
      </c>
      <c r="EF382" s="637">
        <f t="shared" si="859"/>
        <v>0</v>
      </c>
      <c r="EG382" s="637">
        <f t="shared" si="860"/>
        <v>194836.71904906398</v>
      </c>
      <c r="EH382" s="637">
        <f t="shared" si="861"/>
        <v>194836.51804362598</v>
      </c>
      <c r="EI382" s="643">
        <f t="shared" si="862"/>
        <v>194836.51804362598</v>
      </c>
      <c r="EJ382" s="637">
        <f t="shared" si="863"/>
        <v>0</v>
      </c>
      <c r="EK382" s="637">
        <f t="shared" si="864"/>
        <v>194836.51804362598</v>
      </c>
      <c r="EL382" s="637">
        <f t="shared" si="865"/>
        <v>194836.51804362569</v>
      </c>
      <c r="EM382" s="643">
        <f t="shared" si="866"/>
        <v>194836.51804362569</v>
      </c>
      <c r="EN382" s="637">
        <f t="shared" si="867"/>
        <v>0</v>
      </c>
      <c r="EO382" s="637">
        <f t="shared" si="868"/>
        <v>194836.51804362569</v>
      </c>
      <c r="EP382" s="637">
        <f t="shared" si="869"/>
        <v>194836.51804362601</v>
      </c>
      <c r="EQ382" s="643">
        <f t="shared" si="870"/>
        <v>194836.51804362601</v>
      </c>
      <c r="ER382" s="637">
        <f t="shared" si="871"/>
        <v>0</v>
      </c>
      <c r="ES382" s="637">
        <f t="shared" si="872"/>
        <v>194836.51804362601</v>
      </c>
      <c r="ET382" s="637">
        <f t="shared" si="873"/>
        <v>194836.51804362569</v>
      </c>
      <c r="EU382" s="643">
        <f t="shared" si="846"/>
        <v>194836.51804362569</v>
      </c>
      <c r="EV382" s="643">
        <f t="shared" si="847"/>
        <v>0</v>
      </c>
      <c r="EX382" s="829">
        <f t="shared" si="848"/>
        <v>11560.962940898171</v>
      </c>
      <c r="EY382" s="638">
        <f t="shared" si="849"/>
        <v>194836.51804362569</v>
      </c>
      <c r="FC382" s="830" t="str">
        <f t="shared" si="874"/>
        <v>Y</v>
      </c>
      <c r="FE382" s="830" t="str">
        <f>IFERROR(VLOOKUP($B382,'Historical Conc Grant Elig'!$B$3:$J$707,'HH &amp; SI'!FE$2,0),"N")</f>
        <v>Y</v>
      </c>
      <c r="FF382" s="830" t="str">
        <f>IFERROR(VLOOKUP($B382,'Historical Conc Grant Elig'!$B$3:$J$707,'HH &amp; SI'!FF$2,0),"N")</f>
        <v>Y</v>
      </c>
      <c r="FG382" s="830" t="str">
        <f>IFERROR(VLOOKUP($B382,'Historical Conc Grant Elig'!$B$3:$J$707,'HH &amp; SI'!FG$2,0),"N")</f>
        <v>Y</v>
      </c>
      <c r="FH382" s="830" t="str">
        <f>IFERROR(VLOOKUP($B382,'Historical Conc Grant Elig'!$B$3:$J$707,'HH &amp; SI'!FH$2,0),"N")</f>
        <v>Y</v>
      </c>
      <c r="FI382" s="830" t="str">
        <f>IFERROR(VLOOKUP($B382,'Historical Conc Grant Elig'!$B$3:$J$707,'HH &amp; SI'!FI$2,0),"N")</f>
        <v>Y</v>
      </c>
      <c r="FJ382" s="830" t="str">
        <f>IFERROR(VLOOKUP($B382,'Historical Conc Grant Elig'!$B$3:$J$707,'HH &amp; SI'!FJ$2,0),"N")</f>
        <v>Y</v>
      </c>
      <c r="FK382" s="830" t="str">
        <f>IFERROR(VLOOKUP($B382,'Historical Conc Grant Elig'!$B$3:$J$707,'HH &amp; SI'!FK$2,0),"N")</f>
        <v>Y</v>
      </c>
      <c r="FL382" s="957" t="str">
        <f>IFERROR(VLOOKUP($B382,'Historical Conc Grant Elig'!$B$3:$J$707,'HH &amp; SI'!FL$2,0),"N")</f>
        <v>Y</v>
      </c>
    </row>
    <row r="383" spans="2:168" x14ac:dyDescent="0.25">
      <c r="B383" s="634">
        <v>108714000</v>
      </c>
      <c r="C383" s="635" t="str">
        <f>VLOOKUP($B383,'Afton Update'!$A$5:$CR$582,'Afton Update'!D$589,0)</f>
        <v>Tucson International Academy  Inc.</v>
      </c>
      <c r="D383" s="636">
        <f>IFERROR(VLOOKUP($B383,'Afton FY16 Final'!$A$5:$BV$587,'Afton FY16 Final'!AQ$587,0),0)</f>
        <v>101425.94346913008</v>
      </c>
      <c r="E383" s="637">
        <f>IFERROR(VLOOKUP($B383,'Afton FY16 Final'!$A$5:$BV$587,'Afton FY16 Final'!AR$587,0),0)</f>
        <v>25408.388841798871</v>
      </c>
      <c r="F383" s="637">
        <f>IFERROR(VLOOKUP($B383,'Afton FY16 Final'!$A$5:$BV$587,'Afton FY16 Final'!AS$587,0),0)</f>
        <v>57992.17034417676</v>
      </c>
      <c r="G383" s="637">
        <f>IFERROR(VLOOKUP($B383,'Afton FY16 Final'!$A$5:$BV$587,'Afton FY16 Final'!AT$587,0),0)</f>
        <v>58130.797317058707</v>
      </c>
      <c r="H383" s="638">
        <f>IFERROR(VLOOKUP($B383,'Afton FY16 Final'!$A$5:$BV$587,'Afton FY16 Final'!AU$587,0),0)</f>
        <v>242957.29997216444</v>
      </c>
      <c r="I383" s="639" t="str">
        <f>VLOOKUP($B383,'Afton Update'!$A$5:$CR$582,'Afton Update'!BT$589,0)</f>
        <v>Y</v>
      </c>
      <c r="J383" s="640" t="str">
        <f>VLOOKUP($B383,'Afton Update'!$A$5:$CR$582,'Afton Update'!BU$589,0)</f>
        <v>Y</v>
      </c>
      <c r="K383" s="640" t="str">
        <f>VLOOKUP($B383,'Afton Update'!$A$5:$CR$582,'Afton Update'!BV$589,0)</f>
        <v>Y</v>
      </c>
      <c r="L383" s="641" t="str">
        <f>VLOOKUP($B383,'Afton Update'!$A$5:$CR$582,'Afton Update'!BW$589,0)</f>
        <v>Y</v>
      </c>
      <c r="N383" s="642">
        <f>VLOOKUP($B383,'Afton Update'!$A$5:$CR$582,'Afton Update'!CB$589,0)</f>
        <v>0.95</v>
      </c>
      <c r="P383" s="636">
        <f>VLOOKUP($B383,'Afton Update'!$A$5:$CR$582,'Afton Update'!AH$589,0)</f>
        <v>113272.47877217707</v>
      </c>
      <c r="Q383" s="637">
        <f>VLOOKUP($B383,'Afton Update'!$A$5:$CR$582,'Afton Update'!AI$589,0)</f>
        <v>27808.644847699165</v>
      </c>
      <c r="R383" s="637">
        <f>VLOOKUP($B383,'Afton Update'!$A$5:$CR$582,'Afton Update'!AJ$589,0)</f>
        <v>68873.071665575306</v>
      </c>
      <c r="S383" s="637">
        <f>VLOOKUP($B383,'Afton Update'!$A$5:$CR$582,'Afton Update'!AK$589,0)</f>
        <v>66904.950158153923</v>
      </c>
      <c r="T383" s="643">
        <f t="shared" si="875"/>
        <v>276859.14544360549</v>
      </c>
      <c r="V383" s="636">
        <f t="shared" si="1024"/>
        <v>111727.36864067453</v>
      </c>
      <c r="W383" s="637">
        <f t="shared" si="1025"/>
        <v>26892.729757470577</v>
      </c>
      <c r="X383" s="637">
        <f t="shared" si="1026"/>
        <v>68246.697969250992</v>
      </c>
      <c r="Y383" s="637">
        <f t="shared" si="1027"/>
        <v>66167.77804247335</v>
      </c>
      <c r="Z383" s="643">
        <f t="shared" si="1028"/>
        <v>273034.57440986944</v>
      </c>
      <c r="AB383" s="644">
        <f t="shared" si="876"/>
        <v>113272.47877217707</v>
      </c>
      <c r="AC383" s="645">
        <f t="shared" si="850"/>
        <v>96354.646295673578</v>
      </c>
      <c r="AD383" s="644">
        <f t="shared" si="1029"/>
        <v>0</v>
      </c>
      <c r="AE383" s="645">
        <f t="shared" si="1030"/>
        <v>113272.47877217707</v>
      </c>
      <c r="AF383" s="646">
        <f t="shared" si="1031"/>
        <v>-1404.0974963830263</v>
      </c>
      <c r="AG383" s="647">
        <f t="shared" si="1032"/>
        <v>111868.38127579405</v>
      </c>
      <c r="AH383" s="644">
        <f t="shared" si="877"/>
        <v>0</v>
      </c>
      <c r="AI383" s="645">
        <f t="shared" si="878"/>
        <v>111868.38127579405</v>
      </c>
      <c r="AJ383" s="646">
        <f t="shared" si="1033"/>
        <v>-140.92279640280026</v>
      </c>
      <c r="AK383" s="647">
        <f t="shared" si="879"/>
        <v>111727.45847939125</v>
      </c>
      <c r="AL383" s="644">
        <f t="shared" si="1034"/>
        <v>0</v>
      </c>
      <c r="AM383" s="645">
        <f t="shared" si="1035"/>
        <v>111727.45847939125</v>
      </c>
      <c r="AN383" s="646">
        <f t="shared" si="1036"/>
        <v>-8.9838716724618989E-2</v>
      </c>
      <c r="AO383" s="647">
        <f t="shared" si="880"/>
        <v>111727.36864067453</v>
      </c>
      <c r="AP383" s="644">
        <f t="shared" si="1037"/>
        <v>0</v>
      </c>
      <c r="AQ383" s="645">
        <f t="shared" si="1038"/>
        <v>111727.36864067453</v>
      </c>
      <c r="AR383" s="646">
        <f t="shared" si="1039"/>
        <v>0</v>
      </c>
      <c r="AS383" s="647">
        <f t="shared" si="881"/>
        <v>111727.36864067453</v>
      </c>
      <c r="AT383" s="644">
        <f t="shared" si="1040"/>
        <v>0</v>
      </c>
      <c r="AU383" s="645">
        <f t="shared" si="1041"/>
        <v>111727.36864067453</v>
      </c>
      <c r="AV383" s="646">
        <f t="shared" si="1042"/>
        <v>0</v>
      </c>
      <c r="AW383" s="647">
        <f t="shared" si="882"/>
        <v>111727.36864067453</v>
      </c>
      <c r="AY383" s="644">
        <f t="shared" si="1043"/>
        <v>27808.644847699165</v>
      </c>
      <c r="AZ383" s="645">
        <f t="shared" si="851"/>
        <v>24137.969399708927</v>
      </c>
      <c r="BA383" s="644">
        <f t="shared" si="1044"/>
        <v>0</v>
      </c>
      <c r="BB383" s="645">
        <f t="shared" si="1045"/>
        <v>27808.644847699165</v>
      </c>
      <c r="BC383" s="646">
        <f t="shared" si="1046"/>
        <v>-199.98006938552709</v>
      </c>
      <c r="BD383" s="647">
        <f t="shared" si="1047"/>
        <v>27608.664778313636</v>
      </c>
      <c r="BE383" s="644">
        <f t="shared" si="883"/>
        <v>0</v>
      </c>
      <c r="BF383" s="645">
        <f t="shared" si="884"/>
        <v>27608.664778313636</v>
      </c>
      <c r="BG383" s="646">
        <f t="shared" si="1048"/>
        <v>-657.6158955808362</v>
      </c>
      <c r="BH383" s="647">
        <f t="shared" si="885"/>
        <v>26951.048882732801</v>
      </c>
      <c r="BI383" s="644">
        <f t="shared" si="1049"/>
        <v>0</v>
      </c>
      <c r="BJ383" s="645">
        <f t="shared" si="1050"/>
        <v>26951.048882732801</v>
      </c>
      <c r="BK383" s="646">
        <f t="shared" si="1051"/>
        <v>-57.088651580626198</v>
      </c>
      <c r="BL383" s="647">
        <f t="shared" si="886"/>
        <v>26893.960231152174</v>
      </c>
      <c r="BM383" s="644">
        <f t="shared" si="1052"/>
        <v>0</v>
      </c>
      <c r="BN383" s="645">
        <f t="shared" si="1053"/>
        <v>26893.960231152174</v>
      </c>
      <c r="BO383" s="646">
        <f t="shared" si="1054"/>
        <v>-1.2304736815965445</v>
      </c>
      <c r="BP383" s="647">
        <f t="shared" si="887"/>
        <v>26892.729757470577</v>
      </c>
      <c r="BQ383" s="644">
        <f t="shared" si="1055"/>
        <v>0</v>
      </c>
      <c r="BR383" s="645">
        <f t="shared" si="1056"/>
        <v>26892.729757470577</v>
      </c>
      <c r="BS383" s="646">
        <f t="shared" si="1057"/>
        <v>0</v>
      </c>
      <c r="BT383" s="647">
        <f t="shared" si="888"/>
        <v>26892.729757470577</v>
      </c>
      <c r="BU383" s="662">
        <f>VLOOKUP(B383,'Afton Update'!$A$5:$AR$582,'Afton Update'!$AO$589,0)-BT383</f>
        <v>0</v>
      </c>
      <c r="BV383" s="644">
        <f t="shared" si="1058"/>
        <v>68873.071665575306</v>
      </c>
      <c r="BW383" s="645">
        <f t="shared" si="852"/>
        <v>55092.561826967918</v>
      </c>
      <c r="BX383" s="644">
        <f t="shared" si="1059"/>
        <v>0</v>
      </c>
      <c r="BY383" s="645">
        <f t="shared" si="1060"/>
        <v>68873.071665575306</v>
      </c>
      <c r="BZ383" s="646">
        <f t="shared" si="1061"/>
        <v>-604.50627251193021</v>
      </c>
      <c r="CA383" s="647">
        <f t="shared" si="1062"/>
        <v>68268.565393063371</v>
      </c>
      <c r="CB383" s="644">
        <f t="shared" si="889"/>
        <v>0</v>
      </c>
      <c r="CC383" s="645">
        <f t="shared" si="890"/>
        <v>68268.565393063371</v>
      </c>
      <c r="CD383" s="646">
        <f t="shared" si="1063"/>
        <v>-21.867423812384992</v>
      </c>
      <c r="CE383" s="647">
        <f t="shared" si="891"/>
        <v>68246.697969250992</v>
      </c>
      <c r="CF383" s="644">
        <f t="shared" si="1064"/>
        <v>0</v>
      </c>
      <c r="CG383" s="645">
        <f t="shared" si="1065"/>
        <v>68246.697969250992</v>
      </c>
      <c r="CH383" s="646">
        <f t="shared" si="1066"/>
        <v>0</v>
      </c>
      <c r="CI383" s="647">
        <f t="shared" si="892"/>
        <v>68246.697969250992</v>
      </c>
      <c r="CJ383" s="644">
        <f t="shared" si="1067"/>
        <v>0</v>
      </c>
      <c r="CK383" s="645">
        <f t="shared" si="1068"/>
        <v>68246.697969250992</v>
      </c>
      <c r="CL383" s="646">
        <f t="shared" si="1069"/>
        <v>0</v>
      </c>
      <c r="CM383" s="647">
        <f t="shared" si="893"/>
        <v>68246.697969250992</v>
      </c>
      <c r="CN383" s="644">
        <f t="shared" si="1070"/>
        <v>0</v>
      </c>
      <c r="CO383" s="645">
        <f t="shared" si="1071"/>
        <v>68246.697969250992</v>
      </c>
      <c r="CP383" s="646">
        <f t="shared" si="1072"/>
        <v>0</v>
      </c>
      <c r="CQ383" s="647">
        <f t="shared" si="894"/>
        <v>68246.697969250992</v>
      </c>
      <c r="CS383" s="644">
        <f t="shared" si="1073"/>
        <v>66904.950158153923</v>
      </c>
      <c r="CT383" s="645">
        <f t="shared" si="853"/>
        <v>55224.257451205769</v>
      </c>
      <c r="CU383" s="644">
        <f t="shared" si="1074"/>
        <v>0</v>
      </c>
      <c r="CV383" s="645">
        <f t="shared" si="1075"/>
        <v>66904.950158153923</v>
      </c>
      <c r="CW383" s="646">
        <f t="shared" si="1076"/>
        <v>-685.14449907711355</v>
      </c>
      <c r="CX383" s="647">
        <f t="shared" si="1077"/>
        <v>66219.80565907681</v>
      </c>
      <c r="CY383" s="644">
        <f t="shared" si="895"/>
        <v>0</v>
      </c>
      <c r="CZ383" s="645">
        <f t="shared" si="896"/>
        <v>66219.80565907681</v>
      </c>
      <c r="DA383" s="646">
        <f t="shared" si="1078"/>
        <v>-51.982787923457408</v>
      </c>
      <c r="DB383" s="647">
        <f t="shared" si="897"/>
        <v>66167.822871153359</v>
      </c>
      <c r="DC383" s="644">
        <f t="shared" si="1079"/>
        <v>0</v>
      </c>
      <c r="DD383" s="645">
        <f t="shared" si="1080"/>
        <v>66167.822871153359</v>
      </c>
      <c r="DE383" s="646">
        <f t="shared" si="1081"/>
        <v>-4.4828680004514454E-2</v>
      </c>
      <c r="DF383" s="647">
        <f t="shared" si="898"/>
        <v>66167.77804247335</v>
      </c>
      <c r="DG383" s="644">
        <f t="shared" si="1082"/>
        <v>0</v>
      </c>
      <c r="DH383" s="645">
        <f t="shared" si="1083"/>
        <v>66167.77804247335</v>
      </c>
      <c r="DI383" s="646">
        <f t="shared" si="1084"/>
        <v>0</v>
      </c>
      <c r="DJ383" s="647">
        <f t="shared" si="899"/>
        <v>66167.77804247335</v>
      </c>
      <c r="DK383" s="644">
        <f t="shared" si="1085"/>
        <v>0</v>
      </c>
      <c r="DL383" s="645">
        <f t="shared" si="1086"/>
        <v>66167.77804247335</v>
      </c>
      <c r="DM383" s="646">
        <f t="shared" si="1087"/>
        <v>0</v>
      </c>
      <c r="DN383" s="647">
        <f t="shared" si="900"/>
        <v>66167.77804247335</v>
      </c>
      <c r="DR383" s="827">
        <f t="shared" si="854"/>
        <v>273034.57440986944</v>
      </c>
      <c r="DV383" s="828">
        <f>IFERROR(VLOOKUP($B383,'Afton FY16 Final'!$A$5:$BV$587,'Afton FY16 Final'!$BV$587,0),0)</f>
        <v>234358.55855569112</v>
      </c>
      <c r="DX383" s="636">
        <f t="shared" si="842"/>
        <v>273034.57440986944</v>
      </c>
      <c r="DY383" s="637">
        <f t="shared" si="843"/>
        <v>38676.015854178317</v>
      </c>
      <c r="DZ383" s="637">
        <f t="shared" si="844"/>
        <v>234358.55855569112</v>
      </c>
      <c r="EA383" s="643">
        <f t="shared" si="845"/>
        <v>258512.19505921396</v>
      </c>
      <c r="EB383" s="637">
        <f t="shared" si="855"/>
        <v>0</v>
      </c>
      <c r="EC383" s="637">
        <f t="shared" si="856"/>
        <v>258512.19505921396</v>
      </c>
      <c r="ED383" s="637">
        <f t="shared" si="857"/>
        <v>257741.32712872271</v>
      </c>
      <c r="EE383" s="643">
        <f t="shared" si="858"/>
        <v>257741.32712872271</v>
      </c>
      <c r="EF383" s="637">
        <f t="shared" si="859"/>
        <v>0</v>
      </c>
      <c r="EG383" s="637">
        <f t="shared" si="860"/>
        <v>257741.32712872271</v>
      </c>
      <c r="EH383" s="637">
        <f t="shared" si="861"/>
        <v>257741.06122705591</v>
      </c>
      <c r="EI383" s="643">
        <f t="shared" si="862"/>
        <v>257741.06122705591</v>
      </c>
      <c r="EJ383" s="637">
        <f t="shared" si="863"/>
        <v>0</v>
      </c>
      <c r="EK383" s="637">
        <f t="shared" si="864"/>
        <v>257741.06122705591</v>
      </c>
      <c r="EL383" s="637">
        <f t="shared" si="865"/>
        <v>257741.06122705556</v>
      </c>
      <c r="EM383" s="643">
        <f t="shared" si="866"/>
        <v>257741.06122705556</v>
      </c>
      <c r="EN383" s="637">
        <f t="shared" si="867"/>
        <v>0</v>
      </c>
      <c r="EO383" s="637">
        <f t="shared" si="868"/>
        <v>257741.06122705556</v>
      </c>
      <c r="EP383" s="637">
        <f t="shared" si="869"/>
        <v>257741.06122705596</v>
      </c>
      <c r="EQ383" s="643">
        <f t="shared" si="870"/>
        <v>257741.06122705596</v>
      </c>
      <c r="ER383" s="637">
        <f t="shared" si="871"/>
        <v>0</v>
      </c>
      <c r="ES383" s="637">
        <f t="shared" si="872"/>
        <v>257741.06122705596</v>
      </c>
      <c r="ET383" s="637">
        <f t="shared" si="873"/>
        <v>257741.06122705556</v>
      </c>
      <c r="EU383" s="643">
        <f t="shared" si="846"/>
        <v>257741.06122705556</v>
      </c>
      <c r="EV383" s="643">
        <f t="shared" si="847"/>
        <v>0</v>
      </c>
      <c r="EX383" s="829">
        <f t="shared" si="848"/>
        <v>15293.513182813884</v>
      </c>
      <c r="EY383" s="638">
        <f t="shared" si="849"/>
        <v>257741.06122705556</v>
      </c>
      <c r="FC383" s="830" t="str">
        <f t="shared" si="874"/>
        <v>Y</v>
      </c>
      <c r="FE383" s="830" t="str">
        <f>IFERROR(VLOOKUP($B383,'Historical Conc Grant Elig'!$B$3:$J$707,'HH &amp; SI'!FE$2,0),"N")</f>
        <v>Y</v>
      </c>
      <c r="FF383" s="830" t="str">
        <f>IFERROR(VLOOKUP($B383,'Historical Conc Grant Elig'!$B$3:$J$707,'HH &amp; SI'!FF$2,0),"N")</f>
        <v>Y</v>
      </c>
      <c r="FG383" s="830" t="str">
        <f>IFERROR(VLOOKUP($B383,'Historical Conc Grant Elig'!$B$3:$J$707,'HH &amp; SI'!FG$2,0),"N")</f>
        <v>Y</v>
      </c>
      <c r="FH383" s="830" t="str">
        <f>IFERROR(VLOOKUP($B383,'Historical Conc Grant Elig'!$B$3:$J$707,'HH &amp; SI'!FH$2,0),"N")</f>
        <v>Y</v>
      </c>
      <c r="FI383" s="830" t="str">
        <f>IFERROR(VLOOKUP($B383,'Historical Conc Grant Elig'!$B$3:$J$707,'HH &amp; SI'!FI$2,0),"N")</f>
        <v>Y</v>
      </c>
      <c r="FJ383" s="830" t="str">
        <f>IFERROR(VLOOKUP($B383,'Historical Conc Grant Elig'!$B$3:$J$707,'HH &amp; SI'!FJ$2,0),"N")</f>
        <v>Y</v>
      </c>
      <c r="FK383" s="830" t="str">
        <f>IFERROR(VLOOKUP($B383,'Historical Conc Grant Elig'!$B$3:$J$707,'HH &amp; SI'!FK$2,0),"N")</f>
        <v>Y</v>
      </c>
      <c r="FL383" s="957" t="str">
        <f>IFERROR(VLOOKUP($B383,'Historical Conc Grant Elig'!$B$3:$J$707,'HH &amp; SI'!FL$2,0),"N")</f>
        <v>Y</v>
      </c>
    </row>
    <row r="384" spans="2:168" x14ac:dyDescent="0.25">
      <c r="B384" s="634">
        <v>108720000</v>
      </c>
      <c r="C384" s="635" t="str">
        <f>VLOOKUP($B384,'Afton Update'!$A$5:$CR$582,'Afton Update'!D$589,0)</f>
        <v>CITY Center for Collaborative Learning</v>
      </c>
      <c r="D384" s="636">
        <f>IFERROR(VLOOKUP($B384,'Afton FY16 Final'!$A$5:$BV$587,'Afton FY16 Final'!AQ$587,0),0)</f>
        <v>22224.035833761798</v>
      </c>
      <c r="E384" s="637">
        <f>IFERROR(VLOOKUP($B384,'Afton FY16 Final'!$A$5:$BV$587,'Afton FY16 Final'!AR$587,0),0)</f>
        <v>7695.5120797515019</v>
      </c>
      <c r="F384" s="637">
        <f>IFERROR(VLOOKUP($B384,'Afton FY16 Final'!$A$5:$BV$587,'Afton FY16 Final'!AS$587,0),0)</f>
        <v>12087.693888908581</v>
      </c>
      <c r="G384" s="637">
        <f>IFERROR(VLOOKUP($B384,'Afton FY16 Final'!$A$5:$BV$587,'Afton FY16 Final'!AT$587,0),0)</f>
        <v>12532.581432160827</v>
      </c>
      <c r="H384" s="638">
        <f>IFERROR(VLOOKUP($B384,'Afton FY16 Final'!$A$5:$BV$587,'Afton FY16 Final'!AU$587,0),0)</f>
        <v>54539.823234582705</v>
      </c>
      <c r="I384" s="639" t="str">
        <f>VLOOKUP($B384,'Afton Update'!$A$5:$CR$582,'Afton Update'!BT$589,0)</f>
        <v>Y</v>
      </c>
      <c r="J384" s="640" t="str">
        <f>VLOOKUP($B384,'Afton Update'!$A$5:$CR$582,'Afton Update'!BU$589,0)</f>
        <v>Y</v>
      </c>
      <c r="K384" s="640" t="str">
        <f>VLOOKUP($B384,'Afton Update'!$A$5:$CR$582,'Afton Update'!BV$589,0)</f>
        <v>Y</v>
      </c>
      <c r="L384" s="641" t="str">
        <f>VLOOKUP($B384,'Afton Update'!$A$5:$CR$582,'Afton Update'!BW$589,0)</f>
        <v>Y</v>
      </c>
      <c r="N384" s="642">
        <f>VLOOKUP($B384,'Afton Update'!$A$5:$CR$582,'Afton Update'!CB$589,0)</f>
        <v>0.9</v>
      </c>
      <c r="P384" s="636">
        <f>VLOOKUP($B384,'Afton Update'!$A$5:$CR$582,'Afton Update'!AH$589,0)</f>
        <v>31084.075570039291</v>
      </c>
      <c r="Q384" s="637">
        <f>VLOOKUP($B384,'Afton Update'!$A$5:$CR$582,'Afton Update'!AI$589,0)</f>
        <v>9667.7229753546017</v>
      </c>
      <c r="R384" s="637">
        <f>VLOOKUP($B384,'Afton Update'!$A$5:$CR$582,'Afton Update'!AJ$589,0)</f>
        <v>18900.052224506708</v>
      </c>
      <c r="S384" s="637">
        <f>VLOOKUP($B384,'Afton Update'!$A$5:$CR$582,'Afton Update'!AK$589,0)</f>
        <v>18359.963066656193</v>
      </c>
      <c r="T384" s="643">
        <f t="shared" si="875"/>
        <v>78011.813836556801</v>
      </c>
      <c r="V384" s="636">
        <f t="shared" si="1024"/>
        <v>30660.068603719988</v>
      </c>
      <c r="W384" s="637">
        <f t="shared" si="1025"/>
        <v>9349.3035266625702</v>
      </c>
      <c r="X384" s="637">
        <f t="shared" si="1026"/>
        <v>18728.163628771199</v>
      </c>
      <c r="Y384" s="637">
        <f t="shared" si="1027"/>
        <v>18157.669323283386</v>
      </c>
      <c r="Z384" s="643">
        <f t="shared" si="1028"/>
        <v>76895.20508243714</v>
      </c>
      <c r="AB384" s="644">
        <f t="shared" si="876"/>
        <v>31084.075570039291</v>
      </c>
      <c r="AC384" s="645">
        <f t="shared" si="850"/>
        <v>20001.632250385617</v>
      </c>
      <c r="AD384" s="644">
        <f t="shared" si="1029"/>
        <v>0</v>
      </c>
      <c r="AE384" s="645">
        <f t="shared" si="1030"/>
        <v>31084.075570039291</v>
      </c>
      <c r="AF384" s="646">
        <f t="shared" si="1031"/>
        <v>-385.31047575162114</v>
      </c>
      <c r="AG384" s="647">
        <f t="shared" si="1032"/>
        <v>30698.765094287672</v>
      </c>
      <c r="AH384" s="644">
        <f t="shared" si="877"/>
        <v>0</v>
      </c>
      <c r="AI384" s="645">
        <f t="shared" si="878"/>
        <v>30698.765094287672</v>
      </c>
      <c r="AJ384" s="646">
        <f t="shared" si="1033"/>
        <v>-38.67183715239635</v>
      </c>
      <c r="AK384" s="647">
        <f t="shared" si="879"/>
        <v>30660.093257135275</v>
      </c>
      <c r="AL384" s="644">
        <f t="shared" si="1034"/>
        <v>0</v>
      </c>
      <c r="AM384" s="645">
        <f t="shared" si="1035"/>
        <v>30660.093257135275</v>
      </c>
      <c r="AN384" s="646">
        <f t="shared" si="1036"/>
        <v>-2.4653415287221023E-2</v>
      </c>
      <c r="AO384" s="647">
        <f t="shared" si="880"/>
        <v>30660.068603719988</v>
      </c>
      <c r="AP384" s="644">
        <f t="shared" si="1037"/>
        <v>0</v>
      </c>
      <c r="AQ384" s="645">
        <f t="shared" si="1038"/>
        <v>30660.068603719988</v>
      </c>
      <c r="AR384" s="646">
        <f t="shared" si="1039"/>
        <v>0</v>
      </c>
      <c r="AS384" s="647">
        <f t="shared" si="881"/>
        <v>30660.068603719988</v>
      </c>
      <c r="AT384" s="644">
        <f t="shared" si="1040"/>
        <v>0</v>
      </c>
      <c r="AU384" s="645">
        <f t="shared" si="1041"/>
        <v>30660.068603719988</v>
      </c>
      <c r="AV384" s="646">
        <f t="shared" si="1042"/>
        <v>0</v>
      </c>
      <c r="AW384" s="647">
        <f t="shared" si="882"/>
        <v>30660.068603719988</v>
      </c>
      <c r="AY384" s="644">
        <f t="shared" si="1043"/>
        <v>9667.7229753546017</v>
      </c>
      <c r="AZ384" s="645">
        <f t="shared" si="851"/>
        <v>6925.9608717763522</v>
      </c>
      <c r="BA384" s="644">
        <f t="shared" si="1044"/>
        <v>0</v>
      </c>
      <c r="BB384" s="645">
        <f t="shared" si="1045"/>
        <v>9667.7229753546017</v>
      </c>
      <c r="BC384" s="646">
        <f t="shared" si="1046"/>
        <v>-69.523413384576685</v>
      </c>
      <c r="BD384" s="647">
        <f t="shared" si="1047"/>
        <v>9598.1995619700247</v>
      </c>
      <c r="BE384" s="644">
        <f t="shared" si="883"/>
        <v>0</v>
      </c>
      <c r="BF384" s="645">
        <f t="shared" si="884"/>
        <v>9598.1995619700247</v>
      </c>
      <c r="BG384" s="646">
        <f t="shared" si="1048"/>
        <v>-228.62129159779116</v>
      </c>
      <c r="BH384" s="647">
        <f t="shared" si="885"/>
        <v>9369.5782703722343</v>
      </c>
      <c r="BI384" s="644">
        <f t="shared" si="1049"/>
        <v>0</v>
      </c>
      <c r="BJ384" s="645">
        <f t="shared" si="1050"/>
        <v>9369.5782703722343</v>
      </c>
      <c r="BK384" s="646">
        <f t="shared" si="1051"/>
        <v>-19.846967428321065</v>
      </c>
      <c r="BL384" s="647">
        <f t="shared" si="886"/>
        <v>9349.7313029439138</v>
      </c>
      <c r="BM384" s="644">
        <f t="shared" si="1052"/>
        <v>0</v>
      </c>
      <c r="BN384" s="645">
        <f t="shared" si="1053"/>
        <v>9349.7313029439138</v>
      </c>
      <c r="BO384" s="646">
        <f t="shared" si="1054"/>
        <v>-0.42777628134311335</v>
      </c>
      <c r="BP384" s="647">
        <f t="shared" si="887"/>
        <v>9349.3035266625702</v>
      </c>
      <c r="BQ384" s="644">
        <f t="shared" si="1055"/>
        <v>0</v>
      </c>
      <c r="BR384" s="645">
        <f t="shared" si="1056"/>
        <v>9349.3035266625702</v>
      </c>
      <c r="BS384" s="646">
        <f t="shared" si="1057"/>
        <v>0</v>
      </c>
      <c r="BT384" s="647">
        <f t="shared" si="888"/>
        <v>9349.3035266625702</v>
      </c>
      <c r="BU384" s="662">
        <f>VLOOKUP(B384,'Afton Update'!$A$5:$AR$582,'Afton Update'!$AO$589,0)-BT384</f>
        <v>0</v>
      </c>
      <c r="BV384" s="644">
        <f t="shared" si="1058"/>
        <v>18900.052224506708</v>
      </c>
      <c r="BW384" s="645">
        <f t="shared" si="852"/>
        <v>10878.924500017723</v>
      </c>
      <c r="BX384" s="644">
        <f t="shared" si="1059"/>
        <v>0</v>
      </c>
      <c r="BY384" s="645">
        <f t="shared" si="1060"/>
        <v>18900.052224506708</v>
      </c>
      <c r="BZ384" s="646">
        <f t="shared" si="1061"/>
        <v>-165.88776780559942</v>
      </c>
      <c r="CA384" s="647">
        <f t="shared" si="1062"/>
        <v>18734.16445670111</v>
      </c>
      <c r="CB384" s="644">
        <f t="shared" si="889"/>
        <v>0</v>
      </c>
      <c r="CC384" s="645">
        <f t="shared" si="890"/>
        <v>18734.16445670111</v>
      </c>
      <c r="CD384" s="646">
        <f t="shared" si="1063"/>
        <v>-6.0008279299103</v>
      </c>
      <c r="CE384" s="647">
        <f t="shared" si="891"/>
        <v>18728.163628771199</v>
      </c>
      <c r="CF384" s="644">
        <f t="shared" si="1064"/>
        <v>0</v>
      </c>
      <c r="CG384" s="645">
        <f t="shared" si="1065"/>
        <v>18728.163628771199</v>
      </c>
      <c r="CH384" s="646">
        <f t="shared" si="1066"/>
        <v>0</v>
      </c>
      <c r="CI384" s="647">
        <f t="shared" si="892"/>
        <v>18728.163628771199</v>
      </c>
      <c r="CJ384" s="644">
        <f t="shared" si="1067"/>
        <v>0</v>
      </c>
      <c r="CK384" s="645">
        <f t="shared" si="1068"/>
        <v>18728.163628771199</v>
      </c>
      <c r="CL384" s="646">
        <f t="shared" si="1069"/>
        <v>0</v>
      </c>
      <c r="CM384" s="647">
        <f t="shared" si="893"/>
        <v>18728.163628771199</v>
      </c>
      <c r="CN384" s="644">
        <f t="shared" si="1070"/>
        <v>0</v>
      </c>
      <c r="CO384" s="645">
        <f t="shared" si="1071"/>
        <v>18728.163628771199</v>
      </c>
      <c r="CP384" s="646">
        <f t="shared" si="1072"/>
        <v>0</v>
      </c>
      <c r="CQ384" s="647">
        <f t="shared" si="894"/>
        <v>18728.163628771199</v>
      </c>
      <c r="CS384" s="644">
        <f t="shared" si="1073"/>
        <v>18359.963066656193</v>
      </c>
      <c r="CT384" s="645">
        <f t="shared" si="853"/>
        <v>11279.323288944744</v>
      </c>
      <c r="CU384" s="644">
        <f t="shared" si="1074"/>
        <v>0</v>
      </c>
      <c r="CV384" s="645">
        <f t="shared" si="1075"/>
        <v>18359.963066656193</v>
      </c>
      <c r="CW384" s="646">
        <f t="shared" si="1076"/>
        <v>-188.01639742116137</v>
      </c>
      <c r="CX384" s="647">
        <f t="shared" si="1077"/>
        <v>18171.946669235032</v>
      </c>
      <c r="CY384" s="644">
        <f t="shared" si="895"/>
        <v>0</v>
      </c>
      <c r="CZ384" s="645">
        <f t="shared" si="896"/>
        <v>18171.946669235032</v>
      </c>
      <c r="DA384" s="646">
        <f t="shared" si="1078"/>
        <v>-14.265044127832498</v>
      </c>
      <c r="DB384" s="647">
        <f t="shared" si="897"/>
        <v>18157.681625107201</v>
      </c>
      <c r="DC384" s="644">
        <f t="shared" si="1079"/>
        <v>0</v>
      </c>
      <c r="DD384" s="645">
        <f t="shared" si="1080"/>
        <v>18157.681625107201</v>
      </c>
      <c r="DE384" s="646">
        <f t="shared" si="1081"/>
        <v>-1.2301823815192339E-2</v>
      </c>
      <c r="DF384" s="647">
        <f t="shared" si="898"/>
        <v>18157.669323283386</v>
      </c>
      <c r="DG384" s="644">
        <f t="shared" si="1082"/>
        <v>0</v>
      </c>
      <c r="DH384" s="645">
        <f t="shared" si="1083"/>
        <v>18157.669323283386</v>
      </c>
      <c r="DI384" s="646">
        <f t="shared" si="1084"/>
        <v>0</v>
      </c>
      <c r="DJ384" s="647">
        <f t="shared" si="899"/>
        <v>18157.669323283386</v>
      </c>
      <c r="DK384" s="644">
        <f t="shared" si="1085"/>
        <v>0</v>
      </c>
      <c r="DL384" s="645">
        <f t="shared" si="1086"/>
        <v>18157.669323283386</v>
      </c>
      <c r="DM384" s="646">
        <f t="shared" si="1087"/>
        <v>0</v>
      </c>
      <c r="DN384" s="647">
        <f t="shared" si="900"/>
        <v>18157.669323283386</v>
      </c>
      <c r="DR384" s="827">
        <f t="shared" si="854"/>
        <v>76895.20508243714</v>
      </c>
      <c r="DV384" s="828">
        <f>IFERROR(VLOOKUP($B384,'Afton FY16 Final'!$A$5:$BV$587,'Afton FY16 Final'!$BV$587,0),0)</f>
        <v>53465.934124126041</v>
      </c>
      <c r="DX384" s="636">
        <f t="shared" si="842"/>
        <v>76895.20508243714</v>
      </c>
      <c r="DY384" s="637">
        <f t="shared" si="843"/>
        <v>23429.270958311099</v>
      </c>
      <c r="DZ384" s="637">
        <f t="shared" si="844"/>
        <v>53465.934124126041</v>
      </c>
      <c r="EA384" s="643">
        <f t="shared" si="845"/>
        <v>72805.241967446244</v>
      </c>
      <c r="EB384" s="637">
        <f t="shared" si="855"/>
        <v>0</v>
      </c>
      <c r="EC384" s="637">
        <f t="shared" si="856"/>
        <v>72805.241967446244</v>
      </c>
      <c r="ED384" s="637">
        <f t="shared" si="857"/>
        <v>72588.141082934759</v>
      </c>
      <c r="EE384" s="643">
        <f t="shared" si="858"/>
        <v>72588.141082934759</v>
      </c>
      <c r="EF384" s="637">
        <f t="shared" si="859"/>
        <v>0</v>
      </c>
      <c r="EG384" s="637">
        <f t="shared" si="860"/>
        <v>72588.141082934759</v>
      </c>
      <c r="EH384" s="637">
        <f t="shared" si="861"/>
        <v>72588.06619658292</v>
      </c>
      <c r="EI384" s="643">
        <f t="shared" si="862"/>
        <v>72588.06619658292</v>
      </c>
      <c r="EJ384" s="637">
        <f t="shared" si="863"/>
        <v>0</v>
      </c>
      <c r="EK384" s="637">
        <f t="shared" si="864"/>
        <v>72588.06619658292</v>
      </c>
      <c r="EL384" s="637">
        <f t="shared" si="865"/>
        <v>72588.066196582819</v>
      </c>
      <c r="EM384" s="643">
        <f t="shared" si="866"/>
        <v>72588.066196582819</v>
      </c>
      <c r="EN384" s="637">
        <f t="shared" si="867"/>
        <v>0</v>
      </c>
      <c r="EO384" s="637">
        <f t="shared" si="868"/>
        <v>72588.066196582819</v>
      </c>
      <c r="EP384" s="637">
        <f t="shared" si="869"/>
        <v>72588.06619658292</v>
      </c>
      <c r="EQ384" s="643">
        <f t="shared" si="870"/>
        <v>72588.06619658292</v>
      </c>
      <c r="ER384" s="637">
        <f t="shared" si="871"/>
        <v>0</v>
      </c>
      <c r="ES384" s="637">
        <f t="shared" si="872"/>
        <v>72588.06619658292</v>
      </c>
      <c r="ET384" s="637">
        <f t="shared" si="873"/>
        <v>72588.066196582819</v>
      </c>
      <c r="EU384" s="643">
        <f t="shared" si="846"/>
        <v>72588.066196582819</v>
      </c>
      <c r="EV384" s="643">
        <f t="shared" si="847"/>
        <v>0</v>
      </c>
      <c r="EX384" s="829">
        <f t="shared" si="848"/>
        <v>4307.1388858543214</v>
      </c>
      <c r="EY384" s="638">
        <f t="shared" si="849"/>
        <v>72588.066196582819</v>
      </c>
      <c r="FC384" s="830" t="str">
        <f t="shared" si="874"/>
        <v>Y</v>
      </c>
      <c r="FE384" s="830" t="str">
        <f>IFERROR(VLOOKUP($B384,'Historical Conc Grant Elig'!$B$3:$J$707,'HH &amp; SI'!FE$2,0),"N")</f>
        <v>Y</v>
      </c>
      <c r="FF384" s="830" t="str">
        <f>IFERROR(VLOOKUP($B384,'Historical Conc Grant Elig'!$B$3:$J$707,'HH &amp; SI'!FF$2,0),"N")</f>
        <v>Y</v>
      </c>
      <c r="FG384" s="830" t="str">
        <f>IFERROR(VLOOKUP($B384,'Historical Conc Grant Elig'!$B$3:$J$707,'HH &amp; SI'!FG$2,0),"N")</f>
        <v>Y</v>
      </c>
      <c r="FH384" s="830" t="str">
        <f>IFERROR(VLOOKUP($B384,'Historical Conc Grant Elig'!$B$3:$J$707,'HH &amp; SI'!FH$2,0),"N")</f>
        <v>Y</v>
      </c>
      <c r="FI384" s="830" t="str">
        <f>IFERROR(VLOOKUP($B384,'Historical Conc Grant Elig'!$B$3:$J$707,'HH &amp; SI'!FI$2,0),"N")</f>
        <v>Y</v>
      </c>
      <c r="FJ384" s="830" t="str">
        <f>IFERROR(VLOOKUP($B384,'Historical Conc Grant Elig'!$B$3:$J$707,'HH &amp; SI'!FJ$2,0),"N")</f>
        <v>Y</v>
      </c>
      <c r="FK384" s="830" t="str">
        <f>IFERROR(VLOOKUP($B384,'Historical Conc Grant Elig'!$B$3:$J$707,'HH &amp; SI'!FK$2,0),"N")</f>
        <v>Y</v>
      </c>
      <c r="FL384" s="957" t="str">
        <f>IFERROR(VLOOKUP($B384,'Historical Conc Grant Elig'!$B$3:$J$707,'HH &amp; SI'!FL$2,0),"N")</f>
        <v>Y</v>
      </c>
    </row>
    <row r="385" spans="2:168" s="686" customFormat="1" x14ac:dyDescent="0.25">
      <c r="B385" s="663">
        <v>108720001</v>
      </c>
      <c r="C385" s="664" t="str">
        <f>VLOOKUP($B385,'Afton Update'!$A$5:$CR$582,'Afton Update'!D$589,0)</f>
        <v>Tucson Small School Project</v>
      </c>
      <c r="D385" s="687">
        <f>IFERROR(VLOOKUP($B385,'Afton FY16 Final'!$A$5:$BV$587,'Afton FY16 Final'!AQ$587,0),0)</f>
        <v>0</v>
      </c>
      <c r="E385" s="688">
        <f>IFERROR(VLOOKUP($B385,'Afton FY16 Final'!$A$5:$BV$587,'Afton FY16 Final'!AR$587,0),0)</f>
        <v>0</v>
      </c>
      <c r="F385" s="688">
        <f>IFERROR(VLOOKUP($B385,'Afton FY16 Final'!$A$5:$BV$587,'Afton FY16 Final'!AS$587,0),0)</f>
        <v>0</v>
      </c>
      <c r="G385" s="688">
        <f>IFERROR(VLOOKUP($B385,'Afton FY16 Final'!$A$5:$BV$587,'Afton FY16 Final'!AT$587,0),0)</f>
        <v>0</v>
      </c>
      <c r="H385" s="689">
        <f>IFERROR(VLOOKUP($B385,'Afton FY16 Final'!$A$5:$BV$587,'Afton FY16 Final'!AU$587,0),0)</f>
        <v>0</v>
      </c>
      <c r="I385" s="690" t="str">
        <f>VLOOKUP($B385,'Afton Update'!$A$5:$CR$582,'Afton Update'!BT$589,0)</f>
        <v>N</v>
      </c>
      <c r="J385" s="691" t="str">
        <f>VLOOKUP($B385,'Afton Update'!$A$5:$CR$582,'Afton Update'!BU$589,0)</f>
        <v>N</v>
      </c>
      <c r="K385" s="691" t="str">
        <f>VLOOKUP($B385,'Afton Update'!$A$5:$CR$582,'Afton Update'!BV$589,0)</f>
        <v>N</v>
      </c>
      <c r="L385" s="692" t="str">
        <f>VLOOKUP($B385,'Afton Update'!$A$5:$CR$582,'Afton Update'!BW$589,0)</f>
        <v>N</v>
      </c>
      <c r="N385" s="693">
        <f>VLOOKUP($B385,'Afton Update'!$A$5:$CR$582,'Afton Update'!CB$589,0)</f>
        <v>0.85</v>
      </c>
      <c r="P385" s="687" t="str">
        <f>VLOOKUP($B385,'Afton Update'!$A$5:$CR$582,'Afton Update'!AH$589,0)</f>
        <v/>
      </c>
      <c r="Q385" s="688" t="str">
        <f>VLOOKUP($B385,'Afton Update'!$A$5:$CR$582,'Afton Update'!AI$589,0)</f>
        <v/>
      </c>
      <c r="R385" s="688" t="str">
        <f>VLOOKUP($B385,'Afton Update'!$A$5:$CR$582,'Afton Update'!AJ$589,0)</f>
        <v/>
      </c>
      <c r="S385" s="688" t="str">
        <f>VLOOKUP($B385,'Afton Update'!$A$5:$CR$582,'Afton Update'!AK$589,0)</f>
        <v/>
      </c>
      <c r="T385" s="694">
        <f t="shared" ref="T385" si="1181">SUM(P385:S385)</f>
        <v>0</v>
      </c>
      <c r="V385" s="687">
        <f t="shared" ref="V385" si="1182">AW385</f>
        <v>0</v>
      </c>
      <c r="W385" s="688">
        <f t="shared" ref="W385" si="1183">BT385</f>
        <v>0</v>
      </c>
      <c r="X385" s="688">
        <f t="shared" ref="X385" si="1184">CQ385</f>
        <v>0</v>
      </c>
      <c r="Y385" s="688">
        <f t="shared" ref="Y385" si="1185">DN385</f>
        <v>0</v>
      </c>
      <c r="Z385" s="694">
        <f t="shared" ref="Z385" si="1186">SUM(V385:Y385)</f>
        <v>0</v>
      </c>
      <c r="AB385" s="695">
        <f t="shared" ref="AB385" si="1187">IF(P385="",0,P385)</f>
        <v>0</v>
      </c>
      <c r="AC385" s="696">
        <f t="shared" ref="AC385" si="1188">IF(I385="N",0,D385*$N385)</f>
        <v>0</v>
      </c>
      <c r="AD385" s="695">
        <f t="shared" ref="AD385" si="1189">IF($I385="N",0,MAX(AC385-AB385,0))</f>
        <v>0</v>
      </c>
      <c r="AE385" s="696">
        <f t="shared" ref="AE385" si="1190">IF(AD385=0,AB385,0)</f>
        <v>0</v>
      </c>
      <c r="AF385" s="697">
        <f t="shared" ref="AF385" si="1191">-IF(AD385=0,((AE385/AE$2)*AD$2),0)</f>
        <v>0</v>
      </c>
      <c r="AG385" s="698">
        <f t="shared" ref="AG385" si="1192">IF(AD385=0,AE385+AF385,AD385+AB385)</f>
        <v>0</v>
      </c>
      <c r="AH385" s="695">
        <f t="shared" ref="AH385" si="1193">IF(AG385-AC385&lt;0,AG385-AC385,0)</f>
        <v>0</v>
      </c>
      <c r="AI385" s="696">
        <f t="shared" ref="AI385" si="1194">IF(AND(AH385=0,AD385=0),AG385,0)</f>
        <v>0</v>
      </c>
      <c r="AJ385" s="697">
        <f t="shared" ref="AJ385" si="1195">IF(AND(AH385=0,AD385=0),((AI385/AI$2))*AH$2,0)</f>
        <v>0</v>
      </c>
      <c r="AK385" s="698">
        <f t="shared" ref="AK385" si="1196">AG385-AH385+AJ385</f>
        <v>0</v>
      </c>
      <c r="AL385" s="695">
        <f t="shared" ref="AL385" si="1197">IF(AK385-AC385&lt;0,AK385-AC385,0)</f>
        <v>0</v>
      </c>
      <c r="AM385" s="696">
        <f t="shared" ref="AM385" si="1198">IF(AND(AH385=0,AD385=0,AL385=0),AK385,0)</f>
        <v>0</v>
      </c>
      <c r="AN385" s="697">
        <f t="shared" ref="AN385" si="1199">IF(AND(AL385=0,AH385=0,AD385=0),((AM385/AM$2))*AL$2,0)</f>
        <v>0</v>
      </c>
      <c r="AO385" s="698">
        <f t="shared" ref="AO385" si="1200">AK385-AL385+AN385</f>
        <v>0</v>
      </c>
      <c r="AP385" s="695">
        <f t="shared" ref="AP385" si="1201">IF(AO385-AC385&lt;0,AO385-AC385,0)</f>
        <v>0</v>
      </c>
      <c r="AQ385" s="696">
        <f t="shared" ref="AQ385" si="1202">IF(AND(AH385=0,AD385=0,AL385=0,AP385=0),AO385,0)</f>
        <v>0</v>
      </c>
      <c r="AR385" s="697">
        <f t="shared" ref="AR385" si="1203">IF(AND(AP385=0,AL385=0,AH385=0,AD385=0),((AQ385/AQ$2))*AP$2,0)</f>
        <v>0</v>
      </c>
      <c r="AS385" s="698">
        <f t="shared" ref="AS385" si="1204">AO385-AP385+AR385</f>
        <v>0</v>
      </c>
      <c r="AT385" s="695">
        <f t="shared" ref="AT385" si="1205">IF(AS385-AC385&lt;0,AS385-AC385,0)</f>
        <v>0</v>
      </c>
      <c r="AU385" s="696">
        <f t="shared" ref="AU385" si="1206">IF(AND(AP385=0,AL385=0,AT385=0,AD385=0,AH385=0),AS385,0)</f>
        <v>0</v>
      </c>
      <c r="AV385" s="697">
        <f t="shared" ref="AV385" si="1207">IF(AND(AT385=0,AP385=0,AL385=0),((AU385/AU$2))*AT$2,0)</f>
        <v>0</v>
      </c>
      <c r="AW385" s="698">
        <f t="shared" ref="AW385" si="1208">AS385-AT385+AV385</f>
        <v>0</v>
      </c>
      <c r="AY385" s="695">
        <f t="shared" ref="AY385" si="1209">IF(Q385="",0,Q385)</f>
        <v>0</v>
      </c>
      <c r="AZ385" s="696">
        <f t="shared" si="851"/>
        <v>0</v>
      </c>
      <c r="BA385" s="695">
        <f t="shared" ref="BA385" si="1210">IF($J385="N",0,MAX(AZ385-AY385,0))</f>
        <v>0</v>
      </c>
      <c r="BB385" s="696">
        <f t="shared" ref="BB385" si="1211">IF(BA385=0,AY385,0)</f>
        <v>0</v>
      </c>
      <c r="BC385" s="697">
        <f t="shared" ref="BC385" si="1212">-IF(BA385=0,((BB385/BB$2)*BA$2),0)</f>
        <v>0</v>
      </c>
      <c r="BD385" s="698">
        <f t="shared" ref="BD385" si="1213">IF(BA385=0,BB385+BC385,BA385+AY385)</f>
        <v>0</v>
      </c>
      <c r="BE385" s="695">
        <f t="shared" ref="BE385" si="1214">IF(BD385-AZ385&lt;0,BD385-AZ385,0)</f>
        <v>0</v>
      </c>
      <c r="BF385" s="696">
        <f t="shared" ref="BF385" si="1215">IF(AND(BE385=0,BA385=0),BD385,0)</f>
        <v>0</v>
      </c>
      <c r="BG385" s="697">
        <f t="shared" ref="BG385" si="1216">IF(AND(BE385=0,BA385=0),((BF385/BF$2))*BE$2,0)</f>
        <v>0</v>
      </c>
      <c r="BH385" s="698">
        <f t="shared" ref="BH385" si="1217">BD385-BE385+BG385</f>
        <v>0</v>
      </c>
      <c r="BI385" s="695">
        <f t="shared" ref="BI385" si="1218">IF(BH385-AZ385&lt;0,BH385-AZ385,0)</f>
        <v>0</v>
      </c>
      <c r="BJ385" s="696">
        <f t="shared" ref="BJ385" si="1219">IF(AND(BE385=0,BA385=0,BI385=0),BH385,0)</f>
        <v>0</v>
      </c>
      <c r="BK385" s="697">
        <f t="shared" ref="BK385" si="1220">IF(AND(BI385=0,BE385=0,BA385=0),((BJ385/BJ$2))*BI$2,0)</f>
        <v>0</v>
      </c>
      <c r="BL385" s="698">
        <f t="shared" ref="BL385" si="1221">BH385-BI385+BK385</f>
        <v>0</v>
      </c>
      <c r="BM385" s="695">
        <f t="shared" ref="BM385" si="1222">IF(BL385-AZ385&lt;0,BL385-AZ385,0)</f>
        <v>0</v>
      </c>
      <c r="BN385" s="696">
        <f t="shared" ref="BN385" si="1223">IF(AND(BE385=0,BA385=0,BI385=0,BM385=0),BL385,0)</f>
        <v>0</v>
      </c>
      <c r="BO385" s="697">
        <f t="shared" ref="BO385" si="1224">IF(AND(BM385=0,BI385=0,BE385=0,BA385=0),((BN385/BN$2))*BM$2,0)</f>
        <v>0</v>
      </c>
      <c r="BP385" s="698">
        <f t="shared" ref="BP385" si="1225">BL385-BM385+BO385</f>
        <v>0</v>
      </c>
      <c r="BQ385" s="695">
        <f t="shared" ref="BQ385" si="1226">IF(BP385-AZ385&lt;0,BP385-AZ385,0)</f>
        <v>0</v>
      </c>
      <c r="BR385" s="696">
        <f t="shared" ref="BR385" si="1227">IF(AND(BM385=0,BI385=0,BQ385=0,BA385=0,BE385=0),BP385,0)</f>
        <v>0</v>
      </c>
      <c r="BS385" s="697">
        <f t="shared" ref="BS385" si="1228">IF(AND(BQ385=0,BM385=0,BI385=0),((BR385/BR$2))*BQ$2,0)</f>
        <v>0</v>
      </c>
      <c r="BT385" s="698">
        <f t="shared" ref="BT385" si="1229">BP385-BQ385+BS385</f>
        <v>0</v>
      </c>
      <c r="BU385" s="662">
        <f>VLOOKUP(B385,'Afton Update'!$A$5:$AR$582,'Afton Update'!$AO$589,0)-BT385</f>
        <v>0</v>
      </c>
      <c r="BV385" s="695">
        <f t="shared" ref="BV385" si="1230">IF(R385="",0,R385)</f>
        <v>0</v>
      </c>
      <c r="BW385" s="696">
        <f t="shared" ref="BW385" si="1231">IF($K385="N",0,F385*$N385)</f>
        <v>0</v>
      </c>
      <c r="BX385" s="695">
        <f t="shared" ref="BX385" si="1232">IF($K385="N",0,MAX(BW385-BV385,0))</f>
        <v>0</v>
      </c>
      <c r="BY385" s="696">
        <f t="shared" ref="BY385" si="1233">IF(BX385=0,BV385,0)</f>
        <v>0</v>
      </c>
      <c r="BZ385" s="697">
        <f t="shared" ref="BZ385" si="1234">-IF(BX385=0,((BY385/BY$2)*BX$2),0)</f>
        <v>0</v>
      </c>
      <c r="CA385" s="698">
        <f t="shared" ref="CA385" si="1235">IF(BX385=0,BY385+BZ385,BX385+BV385)</f>
        <v>0</v>
      </c>
      <c r="CB385" s="695">
        <f t="shared" ref="CB385" si="1236">IF(CA385-BW385&lt;0,CA385-BW385,0)</f>
        <v>0</v>
      </c>
      <c r="CC385" s="696">
        <f t="shared" ref="CC385" si="1237">IF(AND(CB385=0,BX385=0),CA385,0)</f>
        <v>0</v>
      </c>
      <c r="CD385" s="697">
        <f t="shared" ref="CD385" si="1238">IF(AND(CB385=0,BX385=0),((CC385/CC$2))*CB$2,0)</f>
        <v>0</v>
      </c>
      <c r="CE385" s="698">
        <f t="shared" ref="CE385" si="1239">CA385-CB385+CD385</f>
        <v>0</v>
      </c>
      <c r="CF385" s="695">
        <f t="shared" ref="CF385" si="1240">IF(CE385-BW385&lt;0,CE385-BW385,0)</f>
        <v>0</v>
      </c>
      <c r="CG385" s="696">
        <f t="shared" ref="CG385" si="1241">IF(AND(CB385=0,BX385=0,CF385=0),CE385,0)</f>
        <v>0</v>
      </c>
      <c r="CH385" s="697">
        <f t="shared" ref="CH385" si="1242">IF(AND(CF385=0,CB385=0,BX385=0),((CG385/CG$2))*CF$2,0)</f>
        <v>0</v>
      </c>
      <c r="CI385" s="698">
        <f t="shared" ref="CI385" si="1243">CE385-CF385+CH385</f>
        <v>0</v>
      </c>
      <c r="CJ385" s="695">
        <f t="shared" ref="CJ385" si="1244">IF(CI385-BW385&lt;0,CI385-BW385,0)</f>
        <v>0</v>
      </c>
      <c r="CK385" s="696">
        <f t="shared" ref="CK385" si="1245">IF(AND(CB385=0,BX385=0,CF385=0,CJ385=0),CI385,0)</f>
        <v>0</v>
      </c>
      <c r="CL385" s="697">
        <f t="shared" ref="CL385" si="1246">IF(AND(CJ385=0,CF385=0,CB385=0,BX385=0),((CK385/CK$2))*CJ$2,0)</f>
        <v>0</v>
      </c>
      <c r="CM385" s="698">
        <f t="shared" ref="CM385" si="1247">CI385-CJ385+CL385</f>
        <v>0</v>
      </c>
      <c r="CN385" s="695">
        <f t="shared" ref="CN385" si="1248">IF(CM385-BW385&lt;0,CM385-BW385,0)</f>
        <v>0</v>
      </c>
      <c r="CO385" s="696">
        <f t="shared" ref="CO385" si="1249">IF(AND(CJ385=0,CF385=0,CN385=0,BX385=0,CB385=0),CM385,0)</f>
        <v>0</v>
      </c>
      <c r="CP385" s="697">
        <f t="shared" ref="CP385" si="1250">IF(AND(CN385=0,CJ385=0,CF385=0),((CO385/CO$2))*CN$2,0)</f>
        <v>0</v>
      </c>
      <c r="CQ385" s="698">
        <f t="shared" ref="CQ385" si="1251">CM385-CN385+CP385</f>
        <v>0</v>
      </c>
      <c r="CS385" s="695">
        <f t="shared" ref="CS385" si="1252">IF(S385="",0,S385)</f>
        <v>0</v>
      </c>
      <c r="CT385" s="696">
        <f t="shared" ref="CT385" si="1253">IF($L385="N",0,G385*$N385)</f>
        <v>0</v>
      </c>
      <c r="CU385" s="695">
        <f t="shared" ref="CU385" si="1254">IF($L385="N",0,MAX(CT385-CS385,0))</f>
        <v>0</v>
      </c>
      <c r="CV385" s="696">
        <f t="shared" ref="CV385" si="1255">IF(CU385=0,CS385,0)</f>
        <v>0</v>
      </c>
      <c r="CW385" s="697">
        <f t="shared" ref="CW385" si="1256">-IF(CU385=0,((CV385/CV$2)*CU$2),0)</f>
        <v>0</v>
      </c>
      <c r="CX385" s="698">
        <f t="shared" ref="CX385" si="1257">IF(CU385=0,CV385+CW385,CU385+CS385)</f>
        <v>0</v>
      </c>
      <c r="CY385" s="695">
        <f t="shared" ref="CY385" si="1258">IF(CX385-CT385&lt;0,CX385-CT385,0)</f>
        <v>0</v>
      </c>
      <c r="CZ385" s="696">
        <f t="shared" ref="CZ385" si="1259">IF(AND(CY385=0,CU385=0),CX385,0)</f>
        <v>0</v>
      </c>
      <c r="DA385" s="697">
        <f t="shared" ref="DA385" si="1260">IF(AND(CY385=0,CU385=0),((CZ385/CZ$2))*CY$2,0)</f>
        <v>0</v>
      </c>
      <c r="DB385" s="698">
        <f t="shared" ref="DB385" si="1261">CX385-CY385+DA385</f>
        <v>0</v>
      </c>
      <c r="DC385" s="695">
        <f t="shared" ref="DC385" si="1262">IF(DB385-CT385&lt;0,DB385-CT385,0)</f>
        <v>0</v>
      </c>
      <c r="DD385" s="696">
        <f t="shared" ref="DD385" si="1263">IF(AND(CY385=0,CU385=0,DC385=0),DB385,0)</f>
        <v>0</v>
      </c>
      <c r="DE385" s="697">
        <f t="shared" ref="DE385" si="1264">IF(AND(DC385=0,CY385=0,CU385=0),((DD385/DD$2))*DC$2,0)</f>
        <v>0</v>
      </c>
      <c r="DF385" s="698">
        <f t="shared" ref="DF385" si="1265">DB385-DC385+DE385</f>
        <v>0</v>
      </c>
      <c r="DG385" s="695">
        <f t="shared" ref="DG385" si="1266">IF(DF385-CT385&lt;0,DF385-CT385,0)</f>
        <v>0</v>
      </c>
      <c r="DH385" s="696">
        <f t="shared" ref="DH385" si="1267">IF(AND(CY385=0,CU385=0,DC385=0,DG385=0),DF385,0)</f>
        <v>0</v>
      </c>
      <c r="DI385" s="697">
        <f t="shared" ref="DI385" si="1268">IF(AND(DG385=0,DC385=0,CY385=0,CU385=0),((DH385/DH$2))*DG$2,0)</f>
        <v>0</v>
      </c>
      <c r="DJ385" s="698">
        <f t="shared" ref="DJ385" si="1269">DF385-DG385+DI385</f>
        <v>0</v>
      </c>
      <c r="DK385" s="695">
        <f t="shared" ref="DK385" si="1270">IF(DJ385-CT385&lt;0,DJ385-CT385,0)</f>
        <v>0</v>
      </c>
      <c r="DL385" s="696">
        <f t="shared" ref="DL385" si="1271">IF(AND(DG385=0,DC385=0,DK385=0,CU385=0,CY385=0),DJ385,0)</f>
        <v>0</v>
      </c>
      <c r="DM385" s="697">
        <f t="shared" ref="DM385" si="1272">IF(AND(DK385=0,DG385=0,DC385=0),((DL385/DL$2))*DK$2,0)</f>
        <v>0</v>
      </c>
      <c r="DN385" s="698">
        <f t="shared" ref="DN385" si="1273">DJ385-DK385+DM385</f>
        <v>0</v>
      </c>
      <c r="DO385" s="6"/>
      <c r="DP385" s="807"/>
      <c r="DQ385" s="6"/>
      <c r="DR385" s="827">
        <f t="shared" si="854"/>
        <v>0</v>
      </c>
      <c r="DS385" s="6"/>
      <c r="DT385" s="6"/>
      <c r="DU385" s="6"/>
      <c r="DV385" s="828">
        <f>IFERROR(VLOOKUP($B385,'Afton FY16 Final'!$A$5:$BV$587,'Afton FY16 Final'!$BV$587,0),0)</f>
        <v>0</v>
      </c>
      <c r="DW385" s="6"/>
      <c r="DX385" s="636">
        <f t="shared" si="842"/>
        <v>0</v>
      </c>
      <c r="DY385" s="637">
        <f t="shared" si="843"/>
        <v>0</v>
      </c>
      <c r="DZ385" s="637">
        <f t="shared" si="844"/>
        <v>0</v>
      </c>
      <c r="EA385" s="643">
        <f t="shared" si="845"/>
        <v>0</v>
      </c>
      <c r="EB385" s="637">
        <f t="shared" si="855"/>
        <v>0</v>
      </c>
      <c r="EC385" s="637">
        <f t="shared" si="856"/>
        <v>0</v>
      </c>
      <c r="ED385" s="637">
        <f t="shared" si="857"/>
        <v>0</v>
      </c>
      <c r="EE385" s="643">
        <f t="shared" si="858"/>
        <v>0</v>
      </c>
      <c r="EF385" s="637">
        <f t="shared" si="859"/>
        <v>0</v>
      </c>
      <c r="EG385" s="637">
        <f t="shared" si="860"/>
        <v>0</v>
      </c>
      <c r="EH385" s="637">
        <f t="shared" si="861"/>
        <v>0</v>
      </c>
      <c r="EI385" s="643">
        <f t="shared" si="862"/>
        <v>0</v>
      </c>
      <c r="EJ385" s="637">
        <f t="shared" si="863"/>
        <v>0</v>
      </c>
      <c r="EK385" s="637">
        <f t="shared" si="864"/>
        <v>0</v>
      </c>
      <c r="EL385" s="637">
        <f t="shared" si="865"/>
        <v>0</v>
      </c>
      <c r="EM385" s="643">
        <f t="shared" si="866"/>
        <v>0</v>
      </c>
      <c r="EN385" s="637">
        <f t="shared" si="867"/>
        <v>0</v>
      </c>
      <c r="EO385" s="637">
        <f t="shared" si="868"/>
        <v>0</v>
      </c>
      <c r="EP385" s="637">
        <f t="shared" si="869"/>
        <v>0</v>
      </c>
      <c r="EQ385" s="643">
        <f t="shared" si="870"/>
        <v>0</v>
      </c>
      <c r="ER385" s="637">
        <f t="shared" si="871"/>
        <v>0</v>
      </c>
      <c r="ES385" s="637">
        <f t="shared" si="872"/>
        <v>0</v>
      </c>
      <c r="ET385" s="637">
        <f t="shared" si="873"/>
        <v>0</v>
      </c>
      <c r="EU385" s="643">
        <f t="shared" si="846"/>
        <v>0</v>
      </c>
      <c r="EV385" s="643">
        <f t="shared" si="847"/>
        <v>0</v>
      </c>
      <c r="EW385" s="6"/>
      <c r="EX385" s="829">
        <f t="shared" si="848"/>
        <v>0</v>
      </c>
      <c r="EY385" s="638">
        <f t="shared" si="849"/>
        <v>0</v>
      </c>
      <c r="EZ385" s="6"/>
      <c r="FA385" s="809"/>
      <c r="FB385" s="6"/>
      <c r="FC385" s="830" t="str">
        <f t="shared" si="874"/>
        <v>N</v>
      </c>
      <c r="FD385" s="6"/>
      <c r="FE385" s="830" t="str">
        <f>IFERROR(VLOOKUP($B385,'Historical Conc Grant Elig'!$B$3:$J$707,'HH &amp; SI'!FE$2,0),"N")</f>
        <v>N</v>
      </c>
      <c r="FF385" s="830" t="str">
        <f>IFERROR(VLOOKUP($B385,'Historical Conc Grant Elig'!$B$3:$J$707,'HH &amp; SI'!FF$2,0),"N")</f>
        <v>N</v>
      </c>
      <c r="FG385" s="830" t="str">
        <f>IFERROR(VLOOKUP($B385,'Historical Conc Grant Elig'!$B$3:$J$707,'HH &amp; SI'!FG$2,0),"N")</f>
        <v>N</v>
      </c>
      <c r="FH385" s="830" t="str">
        <f>IFERROR(VLOOKUP($B385,'Historical Conc Grant Elig'!$B$3:$J$707,'HH &amp; SI'!FH$2,0),"N")</f>
        <v>N</v>
      </c>
      <c r="FI385" s="830" t="str">
        <f>IFERROR(VLOOKUP($B385,'Historical Conc Grant Elig'!$B$3:$J$707,'HH &amp; SI'!FI$2,0),"N")</f>
        <v>N</v>
      </c>
      <c r="FJ385" s="830" t="str">
        <f>IFERROR(VLOOKUP($B385,'Historical Conc Grant Elig'!$B$3:$J$707,'HH &amp; SI'!FJ$2,0),"N")</f>
        <v>N</v>
      </c>
      <c r="FK385" s="830" t="str">
        <f>IFERROR(VLOOKUP($B385,'Historical Conc Grant Elig'!$B$3:$J$707,'HH &amp; SI'!FK$2,0),"N")</f>
        <v>N</v>
      </c>
      <c r="FL385" s="957" t="str">
        <f>IFERROR(VLOOKUP($B385,'Historical Conc Grant Elig'!$B$3:$J$707,'HH &amp; SI'!FL$2,0),"N")</f>
        <v>N</v>
      </c>
    </row>
    <row r="386" spans="2:168" x14ac:dyDescent="0.25">
      <c r="B386" s="634">
        <v>108722000</v>
      </c>
      <c r="C386" s="635" t="str">
        <f>VLOOKUP($B386,'Afton Update'!$A$5:$CR$582,'Afton Update'!D$589,0)</f>
        <v>The Charter Foundation  Inc.</v>
      </c>
      <c r="D386" s="636">
        <f>IFERROR(VLOOKUP($B386,'Afton FY16 Final'!$A$5:$BV$587,'Afton FY16 Final'!AQ$587,0),0)</f>
        <v>134600.11264670079</v>
      </c>
      <c r="E386" s="637">
        <f>IFERROR(VLOOKUP($B386,'Afton FY16 Final'!$A$5:$BV$587,'Afton FY16 Final'!AR$587,0),0)</f>
        <v>32717.552242261725</v>
      </c>
      <c r="F386" s="637">
        <f>IFERROR(VLOOKUP($B386,'Afton FY16 Final'!$A$5:$BV$587,'Afton FY16 Final'!AS$587,0),0)</f>
        <v>76960.118821360578</v>
      </c>
      <c r="G386" s="637">
        <f>IFERROR(VLOOKUP($B386,'Afton FY16 Final'!$A$5:$BV$587,'Afton FY16 Final'!AT$587,0),0)</f>
        <v>77144.087592343305</v>
      </c>
      <c r="H386" s="638">
        <f>IFERROR(VLOOKUP($B386,'Afton FY16 Final'!$A$5:$BV$587,'Afton FY16 Final'!AU$587,0),0)</f>
        <v>321421.87130266638</v>
      </c>
      <c r="I386" s="639" t="str">
        <f>VLOOKUP($B386,'Afton Update'!$A$5:$CR$582,'Afton Update'!BT$589,0)</f>
        <v>Y</v>
      </c>
      <c r="J386" s="640" t="str">
        <f>VLOOKUP($B386,'Afton Update'!$A$5:$CR$582,'Afton Update'!BU$589,0)</f>
        <v>Y</v>
      </c>
      <c r="K386" s="640" t="str">
        <f>VLOOKUP($B386,'Afton Update'!$A$5:$CR$582,'Afton Update'!BV$589,0)</f>
        <v>Y</v>
      </c>
      <c r="L386" s="641" t="str">
        <f>VLOOKUP($B386,'Afton Update'!$A$5:$CR$582,'Afton Update'!BW$589,0)</f>
        <v>Y</v>
      </c>
      <c r="N386" s="642">
        <f>VLOOKUP($B386,'Afton Update'!$A$5:$CR$582,'Afton Update'!CB$589,0)</f>
        <v>0.95</v>
      </c>
      <c r="P386" s="636">
        <f>VLOOKUP($B386,'Afton Update'!$A$5:$CR$582,'Afton Update'!AH$589,0)</f>
        <v>153049.55852705784</v>
      </c>
      <c r="Q386" s="637">
        <f>VLOOKUP($B386,'Afton Update'!$A$5:$CR$582,'Afton Update'!AI$589,0)</f>
        <v>36588.385882071059</v>
      </c>
      <c r="R386" s="637">
        <f>VLOOKUP($B386,'Afton Update'!$A$5:$CR$582,'Afton Update'!AJ$589,0)</f>
        <v>93058.731715579648</v>
      </c>
      <c r="S386" s="637">
        <f>VLOOKUP($B386,'Afton Update'!$A$5:$CR$582,'Afton Update'!AK$589,0)</f>
        <v>90399.479167180063</v>
      </c>
      <c r="T386" s="643">
        <f t="shared" si="875"/>
        <v>373096.15529188863</v>
      </c>
      <c r="V386" s="636">
        <f t="shared" si="1024"/>
        <v>150961.86320984163</v>
      </c>
      <c r="W386" s="637">
        <f t="shared" si="1025"/>
        <v>35383.298221739846</v>
      </c>
      <c r="X386" s="637">
        <f t="shared" si="1026"/>
        <v>92212.398884034468</v>
      </c>
      <c r="Y386" s="637">
        <f t="shared" si="1027"/>
        <v>89403.439634132592</v>
      </c>
      <c r="Z386" s="643">
        <f t="shared" si="1028"/>
        <v>367960.99994974857</v>
      </c>
      <c r="AB386" s="644">
        <f t="shared" si="876"/>
        <v>153049.55852705784</v>
      </c>
      <c r="AC386" s="645">
        <f t="shared" si="850"/>
        <v>127870.10701436574</v>
      </c>
      <c r="AD386" s="644">
        <f t="shared" si="1029"/>
        <v>0</v>
      </c>
      <c r="AE386" s="645">
        <f t="shared" si="1030"/>
        <v>153049.55852705784</v>
      </c>
      <c r="AF386" s="646">
        <f t="shared" si="1031"/>
        <v>-1897.1642916245073</v>
      </c>
      <c r="AG386" s="647">
        <f t="shared" si="1032"/>
        <v>151152.39423543334</v>
      </c>
      <c r="AH386" s="644">
        <f t="shared" si="877"/>
        <v>0</v>
      </c>
      <c r="AI386" s="645">
        <f t="shared" si="878"/>
        <v>151152.39423543334</v>
      </c>
      <c r="AJ386" s="646">
        <f t="shared" si="1033"/>
        <v>-190.40963886052776</v>
      </c>
      <c r="AK386" s="647">
        <f t="shared" si="879"/>
        <v>150961.98459657282</v>
      </c>
      <c r="AL386" s="644">
        <f t="shared" si="1034"/>
        <v>0</v>
      </c>
      <c r="AM386" s="645">
        <f t="shared" si="1035"/>
        <v>150961.98459657282</v>
      </c>
      <c r="AN386" s="646">
        <f t="shared" si="1036"/>
        <v>-0.12138673120233402</v>
      </c>
      <c r="AO386" s="647">
        <f t="shared" si="880"/>
        <v>150961.86320984163</v>
      </c>
      <c r="AP386" s="644">
        <f t="shared" si="1037"/>
        <v>0</v>
      </c>
      <c r="AQ386" s="645">
        <f t="shared" si="1038"/>
        <v>150961.86320984163</v>
      </c>
      <c r="AR386" s="646">
        <f t="shared" si="1039"/>
        <v>0</v>
      </c>
      <c r="AS386" s="647">
        <f t="shared" si="881"/>
        <v>150961.86320984163</v>
      </c>
      <c r="AT386" s="644">
        <f t="shared" si="1040"/>
        <v>0</v>
      </c>
      <c r="AU386" s="645">
        <f t="shared" si="1041"/>
        <v>150961.86320984163</v>
      </c>
      <c r="AV386" s="646">
        <f t="shared" si="1042"/>
        <v>0</v>
      </c>
      <c r="AW386" s="647">
        <f t="shared" si="882"/>
        <v>150961.86320984163</v>
      </c>
      <c r="AY386" s="644">
        <f t="shared" si="1043"/>
        <v>36588.385882071059</v>
      </c>
      <c r="AZ386" s="645">
        <f t="shared" si="851"/>
        <v>31081.674630148638</v>
      </c>
      <c r="BA386" s="644">
        <f t="shared" si="1044"/>
        <v>0</v>
      </c>
      <c r="BB386" s="645">
        <f t="shared" si="1045"/>
        <v>36588.385882071059</v>
      </c>
      <c r="BC386" s="646">
        <f t="shared" si="1046"/>
        <v>-263.11774584752555</v>
      </c>
      <c r="BD386" s="647">
        <f t="shared" si="1047"/>
        <v>36325.268136223531</v>
      </c>
      <c r="BE386" s="644">
        <f t="shared" si="883"/>
        <v>0</v>
      </c>
      <c r="BF386" s="645">
        <f t="shared" si="884"/>
        <v>36325.268136223531</v>
      </c>
      <c r="BG386" s="646">
        <f t="shared" si="1048"/>
        <v>-865.23828404698963</v>
      </c>
      <c r="BH386" s="647">
        <f t="shared" si="885"/>
        <v>35460.029852176543</v>
      </c>
      <c r="BI386" s="644">
        <f t="shared" si="1049"/>
        <v>0</v>
      </c>
      <c r="BJ386" s="645">
        <f t="shared" si="1050"/>
        <v>35460.029852176543</v>
      </c>
      <c r="BK386" s="646">
        <f t="shared" si="1051"/>
        <v>-75.112671795363639</v>
      </c>
      <c r="BL386" s="647">
        <f t="shared" si="886"/>
        <v>35384.917180381177</v>
      </c>
      <c r="BM386" s="644">
        <f t="shared" si="1052"/>
        <v>0</v>
      </c>
      <c r="BN386" s="645">
        <f t="shared" si="1053"/>
        <v>35384.917180381177</v>
      </c>
      <c r="BO386" s="646">
        <f t="shared" si="1054"/>
        <v>-1.6189586413345836</v>
      </c>
      <c r="BP386" s="647">
        <f t="shared" si="887"/>
        <v>35383.298221739846</v>
      </c>
      <c r="BQ386" s="644">
        <f t="shared" si="1055"/>
        <v>0</v>
      </c>
      <c r="BR386" s="645">
        <f t="shared" si="1056"/>
        <v>35383.298221739846</v>
      </c>
      <c r="BS386" s="646">
        <f t="shared" si="1057"/>
        <v>0</v>
      </c>
      <c r="BT386" s="647">
        <f t="shared" si="888"/>
        <v>35383.298221739846</v>
      </c>
      <c r="BU386" s="662">
        <f>VLOOKUP(B386,'Afton Update'!$A$5:$AR$582,'Afton Update'!$AO$589,0)-BT386</f>
        <v>0</v>
      </c>
      <c r="BV386" s="644">
        <f t="shared" si="1058"/>
        <v>93058.731715579648</v>
      </c>
      <c r="BW386" s="645">
        <f t="shared" si="852"/>
        <v>73112.112880292552</v>
      </c>
      <c r="BX386" s="644">
        <f t="shared" si="1059"/>
        <v>0</v>
      </c>
      <c r="BY386" s="645">
        <f t="shared" si="1060"/>
        <v>93058.731715579648</v>
      </c>
      <c r="BZ386" s="646">
        <f t="shared" si="1061"/>
        <v>-816.7863821614684</v>
      </c>
      <c r="CA386" s="647">
        <f t="shared" si="1062"/>
        <v>92241.945333418174</v>
      </c>
      <c r="CB386" s="644">
        <f t="shared" si="889"/>
        <v>0</v>
      </c>
      <c r="CC386" s="645">
        <f t="shared" si="890"/>
        <v>92241.945333418174</v>
      </c>
      <c r="CD386" s="646">
        <f t="shared" si="1063"/>
        <v>-29.546449383710879</v>
      </c>
      <c r="CE386" s="647">
        <f t="shared" si="891"/>
        <v>92212.398884034468</v>
      </c>
      <c r="CF386" s="644">
        <f t="shared" si="1064"/>
        <v>0</v>
      </c>
      <c r="CG386" s="645">
        <f t="shared" si="1065"/>
        <v>92212.398884034468</v>
      </c>
      <c r="CH386" s="646">
        <f t="shared" si="1066"/>
        <v>0</v>
      </c>
      <c r="CI386" s="647">
        <f t="shared" si="892"/>
        <v>92212.398884034468</v>
      </c>
      <c r="CJ386" s="644">
        <f t="shared" si="1067"/>
        <v>0</v>
      </c>
      <c r="CK386" s="645">
        <f t="shared" si="1068"/>
        <v>92212.398884034468</v>
      </c>
      <c r="CL386" s="646">
        <f t="shared" si="1069"/>
        <v>0</v>
      </c>
      <c r="CM386" s="647">
        <f t="shared" si="893"/>
        <v>92212.398884034468</v>
      </c>
      <c r="CN386" s="644">
        <f t="shared" si="1070"/>
        <v>0</v>
      </c>
      <c r="CO386" s="645">
        <f t="shared" si="1071"/>
        <v>92212.398884034468</v>
      </c>
      <c r="CP386" s="646">
        <f t="shared" si="1072"/>
        <v>0</v>
      </c>
      <c r="CQ386" s="647">
        <f t="shared" si="894"/>
        <v>92212.398884034468</v>
      </c>
      <c r="CS386" s="644">
        <f t="shared" si="1073"/>
        <v>90399.479167180063</v>
      </c>
      <c r="CT386" s="645">
        <f t="shared" si="853"/>
        <v>73286.883212726141</v>
      </c>
      <c r="CU386" s="644">
        <f t="shared" si="1074"/>
        <v>0</v>
      </c>
      <c r="CV386" s="645">
        <f t="shared" si="1075"/>
        <v>90399.479167180063</v>
      </c>
      <c r="CW386" s="646">
        <f t="shared" si="1076"/>
        <v>-925.74175340419288</v>
      </c>
      <c r="CX386" s="647">
        <f t="shared" si="1077"/>
        <v>89473.737413775874</v>
      </c>
      <c r="CY386" s="644">
        <f t="shared" si="895"/>
        <v>0</v>
      </c>
      <c r="CZ386" s="645">
        <f t="shared" si="896"/>
        <v>89473.737413775874</v>
      </c>
      <c r="DA386" s="646">
        <f t="shared" si="1078"/>
        <v>-70.237208798904078</v>
      </c>
      <c r="DB386" s="647">
        <f t="shared" si="897"/>
        <v>89403.500204976968</v>
      </c>
      <c r="DC386" s="644">
        <f t="shared" si="1079"/>
        <v>0</v>
      </c>
      <c r="DD386" s="645">
        <f t="shared" si="1080"/>
        <v>89403.500204976968</v>
      </c>
      <c r="DE386" s="646">
        <f t="shared" si="1081"/>
        <v>-6.0570844378192774E-2</v>
      </c>
      <c r="DF386" s="647">
        <f t="shared" si="898"/>
        <v>89403.439634132592</v>
      </c>
      <c r="DG386" s="644">
        <f t="shared" si="1082"/>
        <v>0</v>
      </c>
      <c r="DH386" s="645">
        <f t="shared" si="1083"/>
        <v>89403.439634132592</v>
      </c>
      <c r="DI386" s="646">
        <f t="shared" si="1084"/>
        <v>0</v>
      </c>
      <c r="DJ386" s="647">
        <f t="shared" si="899"/>
        <v>89403.439634132592</v>
      </c>
      <c r="DK386" s="644">
        <f t="shared" si="1085"/>
        <v>0</v>
      </c>
      <c r="DL386" s="645">
        <f t="shared" si="1086"/>
        <v>89403.439634132592</v>
      </c>
      <c r="DM386" s="646">
        <f t="shared" si="1087"/>
        <v>0</v>
      </c>
      <c r="DN386" s="647">
        <f t="shared" si="900"/>
        <v>89403.439634132592</v>
      </c>
      <c r="DR386" s="827">
        <f t="shared" si="854"/>
        <v>367960.99994974857</v>
      </c>
      <c r="DV386" s="828">
        <f>IFERROR(VLOOKUP($B386,'Afton FY16 Final'!$A$5:$BV$587,'Afton FY16 Final'!$BV$587,0),0)</f>
        <v>310046.11285767535</v>
      </c>
      <c r="DX386" s="636">
        <f t="shared" si="842"/>
        <v>367960.99994974857</v>
      </c>
      <c r="DY386" s="637">
        <f t="shared" si="843"/>
        <v>57914.887092073215</v>
      </c>
      <c r="DZ386" s="637">
        <f t="shared" si="844"/>
        <v>310046.11285767535</v>
      </c>
      <c r="EA386" s="643">
        <f t="shared" si="845"/>
        <v>348389.59863888362</v>
      </c>
      <c r="EB386" s="637">
        <f t="shared" si="855"/>
        <v>0</v>
      </c>
      <c r="EC386" s="637">
        <f t="shared" si="856"/>
        <v>348389.59863888362</v>
      </c>
      <c r="ED386" s="637">
        <f t="shared" si="857"/>
        <v>347350.72165729321</v>
      </c>
      <c r="EE386" s="643">
        <f t="shared" si="858"/>
        <v>347350.72165729321</v>
      </c>
      <c r="EF386" s="637">
        <f t="shared" si="859"/>
        <v>0</v>
      </c>
      <c r="EG386" s="637">
        <f t="shared" si="860"/>
        <v>347350.72165729321</v>
      </c>
      <c r="EH386" s="637">
        <f t="shared" si="861"/>
        <v>347350.3633091118</v>
      </c>
      <c r="EI386" s="643">
        <f t="shared" si="862"/>
        <v>347350.3633091118</v>
      </c>
      <c r="EJ386" s="637">
        <f t="shared" si="863"/>
        <v>0</v>
      </c>
      <c r="EK386" s="637">
        <f t="shared" si="864"/>
        <v>347350.3633091118</v>
      </c>
      <c r="EL386" s="637">
        <f t="shared" si="865"/>
        <v>347350.36330911133</v>
      </c>
      <c r="EM386" s="643">
        <f t="shared" si="866"/>
        <v>347350.36330911133</v>
      </c>
      <c r="EN386" s="637">
        <f t="shared" si="867"/>
        <v>0</v>
      </c>
      <c r="EO386" s="637">
        <f t="shared" si="868"/>
        <v>347350.36330911133</v>
      </c>
      <c r="EP386" s="637">
        <f t="shared" si="869"/>
        <v>347350.36330911185</v>
      </c>
      <c r="EQ386" s="643">
        <f t="shared" si="870"/>
        <v>347350.36330911185</v>
      </c>
      <c r="ER386" s="637">
        <f t="shared" si="871"/>
        <v>0</v>
      </c>
      <c r="ES386" s="637">
        <f t="shared" si="872"/>
        <v>347350.36330911185</v>
      </c>
      <c r="ET386" s="637">
        <f t="shared" si="873"/>
        <v>347350.36330911133</v>
      </c>
      <c r="EU386" s="643">
        <f t="shared" si="846"/>
        <v>347350.36330911133</v>
      </c>
      <c r="EV386" s="643">
        <f t="shared" si="847"/>
        <v>0</v>
      </c>
      <c r="EX386" s="829">
        <f t="shared" si="848"/>
        <v>20610.63664063724</v>
      </c>
      <c r="EY386" s="638">
        <f t="shared" si="849"/>
        <v>347350.36330911133</v>
      </c>
      <c r="FC386" s="830" t="str">
        <f t="shared" si="874"/>
        <v>Y</v>
      </c>
      <c r="FE386" s="830" t="str">
        <f>IFERROR(VLOOKUP($B386,'Historical Conc Grant Elig'!$B$3:$J$707,'HH &amp; SI'!FE$2,0),"N")</f>
        <v>N</v>
      </c>
      <c r="FF386" s="830" t="str">
        <f>IFERROR(VLOOKUP($B386,'Historical Conc Grant Elig'!$B$3:$J$707,'HH &amp; SI'!FF$2,0),"N")</f>
        <v>N</v>
      </c>
      <c r="FG386" s="830" t="str">
        <f>IFERROR(VLOOKUP($B386,'Historical Conc Grant Elig'!$B$3:$J$707,'HH &amp; SI'!FG$2,0),"N")</f>
        <v>N</v>
      </c>
      <c r="FH386" s="830" t="str">
        <f>IFERROR(VLOOKUP($B386,'Historical Conc Grant Elig'!$B$3:$J$707,'HH &amp; SI'!FH$2,0),"N")</f>
        <v>N</v>
      </c>
      <c r="FI386" s="830" t="str">
        <f>IFERROR(VLOOKUP($B386,'Historical Conc Grant Elig'!$B$3:$J$707,'HH &amp; SI'!FI$2,0),"N")</f>
        <v>N</v>
      </c>
      <c r="FJ386" s="830" t="str">
        <f>IFERROR(VLOOKUP($B386,'Historical Conc Grant Elig'!$B$3:$J$707,'HH &amp; SI'!FJ$2,0),"N")</f>
        <v>Y</v>
      </c>
      <c r="FK386" s="830" t="str">
        <f>IFERROR(VLOOKUP($B386,'Historical Conc Grant Elig'!$B$3:$J$707,'HH &amp; SI'!FK$2,0),"N")</f>
        <v>Y</v>
      </c>
      <c r="FL386" s="957" t="str">
        <f>IFERROR(VLOOKUP($B386,'Historical Conc Grant Elig'!$B$3:$J$707,'HH &amp; SI'!FL$2,0),"N")</f>
        <v>Y</v>
      </c>
    </row>
    <row r="387" spans="2:168" x14ac:dyDescent="0.25">
      <c r="B387" s="634">
        <v>108726000</v>
      </c>
      <c r="C387" s="635" t="str">
        <f>VLOOKUP($B387,'Afton Update'!$A$5:$CR$582,'Afton Update'!D$589,0)</f>
        <v>Ha:san Educational Services</v>
      </c>
      <c r="D387" s="636">
        <f>IFERROR(VLOOKUP($B387,'Afton FY16 Final'!$A$5:$BV$587,'Afton FY16 Final'!AQ$587,0),0)</f>
        <v>29911.136143711286</v>
      </c>
      <c r="E387" s="637">
        <f>IFERROR(VLOOKUP($B387,'Afton FY16 Final'!$A$5:$BV$587,'Afton FY16 Final'!AR$587,0),0)</f>
        <v>9651.7497080141802</v>
      </c>
      <c r="F387" s="637">
        <f>IFERROR(VLOOKUP($B387,'Afton FY16 Final'!$A$5:$BV$587,'Afton FY16 Final'!AS$587,0),0)</f>
        <v>17102.248626969013</v>
      </c>
      <c r="G387" s="637">
        <f>IFERROR(VLOOKUP($B387,'Afton FY16 Final'!$A$5:$BV$587,'Afton FY16 Final'!AT$587,0),0)</f>
        <v>17143.130576076292</v>
      </c>
      <c r="H387" s="638">
        <f>IFERROR(VLOOKUP($B387,'Afton FY16 Final'!$A$5:$BV$587,'Afton FY16 Final'!AU$587,0),0)</f>
        <v>73808.265054770774</v>
      </c>
      <c r="I387" s="639" t="str">
        <f>VLOOKUP($B387,'Afton Update'!$A$5:$CR$582,'Afton Update'!BT$589,0)</f>
        <v>Y</v>
      </c>
      <c r="J387" s="640" t="str">
        <f>VLOOKUP($B387,'Afton Update'!$A$5:$CR$582,'Afton Update'!BU$589,0)</f>
        <v>Y</v>
      </c>
      <c r="K387" s="640" t="str">
        <f>VLOOKUP($B387,'Afton Update'!$A$5:$CR$582,'Afton Update'!BV$589,0)</f>
        <v>Y</v>
      </c>
      <c r="L387" s="641" t="str">
        <f>VLOOKUP($B387,'Afton Update'!$A$5:$CR$582,'Afton Update'!BW$589,0)</f>
        <v>Y</v>
      </c>
      <c r="N387" s="642">
        <f>VLOOKUP($B387,'Afton Update'!$A$5:$CR$582,'Afton Update'!CB$589,0)</f>
        <v>0.95</v>
      </c>
      <c r="P387" s="636">
        <f>VLOOKUP($B387,'Afton Update'!$A$5:$CR$582,'Afton Update'!AH$589,0)</f>
        <v>13171.218461881055</v>
      </c>
      <c r="Q387" s="637">
        <f>VLOOKUP($B387,'Afton Update'!$A$5:$CR$582,'Afton Update'!AI$589,0)</f>
        <v>5713.9323108692461</v>
      </c>
      <c r="R387" s="637">
        <f>VLOOKUP($B387,'Afton Update'!$A$5:$CR$582,'Afton Update'!AJ$589,0)</f>
        <v>8008.4967052994534</v>
      </c>
      <c r="S387" s="637">
        <f>VLOOKUP($B387,'Afton Update'!$A$5:$CR$582,'Afton Update'!AK$589,0)</f>
        <v>7779.6453672272</v>
      </c>
      <c r="T387" s="643">
        <f t="shared" si="875"/>
        <v>34673.292845276956</v>
      </c>
      <c r="V387" s="636">
        <f t="shared" si="1024"/>
        <v>28415.57933652572</v>
      </c>
      <c r="W387" s="637">
        <f t="shared" si="1025"/>
        <v>9169.1622226134714</v>
      </c>
      <c r="X387" s="637">
        <f t="shared" si="1026"/>
        <v>16247.136195620562</v>
      </c>
      <c r="Y387" s="637">
        <f t="shared" si="1027"/>
        <v>16285.974047272477</v>
      </c>
      <c r="Z387" s="643">
        <f t="shared" si="1028"/>
        <v>70117.851802032237</v>
      </c>
      <c r="AB387" s="644">
        <f t="shared" si="876"/>
        <v>13171.218461881055</v>
      </c>
      <c r="AC387" s="645">
        <f t="shared" si="850"/>
        <v>28415.57933652572</v>
      </c>
      <c r="AD387" s="644">
        <f t="shared" si="1029"/>
        <v>15244.360874644664</v>
      </c>
      <c r="AE387" s="645">
        <f t="shared" si="1030"/>
        <v>0</v>
      </c>
      <c r="AF387" s="646">
        <f t="shared" si="1031"/>
        <v>0</v>
      </c>
      <c r="AG387" s="647">
        <f t="shared" si="1032"/>
        <v>28415.57933652572</v>
      </c>
      <c r="AH387" s="644">
        <f t="shared" si="877"/>
        <v>0</v>
      </c>
      <c r="AI387" s="645">
        <f t="shared" si="878"/>
        <v>0</v>
      </c>
      <c r="AJ387" s="646">
        <f t="shared" si="1033"/>
        <v>0</v>
      </c>
      <c r="AK387" s="647">
        <f t="shared" si="879"/>
        <v>28415.57933652572</v>
      </c>
      <c r="AL387" s="644">
        <f t="shared" si="1034"/>
        <v>0</v>
      </c>
      <c r="AM387" s="645">
        <f t="shared" si="1035"/>
        <v>0</v>
      </c>
      <c r="AN387" s="646">
        <f t="shared" si="1036"/>
        <v>0</v>
      </c>
      <c r="AO387" s="647">
        <f t="shared" si="880"/>
        <v>28415.57933652572</v>
      </c>
      <c r="AP387" s="644">
        <f t="shared" si="1037"/>
        <v>0</v>
      </c>
      <c r="AQ387" s="645">
        <f t="shared" si="1038"/>
        <v>0</v>
      </c>
      <c r="AR387" s="646">
        <f t="shared" si="1039"/>
        <v>0</v>
      </c>
      <c r="AS387" s="647">
        <f t="shared" si="881"/>
        <v>28415.57933652572</v>
      </c>
      <c r="AT387" s="644">
        <f t="shared" si="1040"/>
        <v>0</v>
      </c>
      <c r="AU387" s="645">
        <f t="shared" si="1041"/>
        <v>0</v>
      </c>
      <c r="AV387" s="646">
        <f t="shared" si="1042"/>
        <v>0</v>
      </c>
      <c r="AW387" s="647">
        <f t="shared" si="882"/>
        <v>28415.57933652572</v>
      </c>
      <c r="AY387" s="644">
        <f t="shared" si="1043"/>
        <v>5713.9323108692461</v>
      </c>
      <c r="AZ387" s="645">
        <f t="shared" si="851"/>
        <v>9169.1622226134714</v>
      </c>
      <c r="BA387" s="644">
        <f t="shared" si="1044"/>
        <v>3455.2299117442253</v>
      </c>
      <c r="BB387" s="645">
        <f t="shared" si="1045"/>
        <v>0</v>
      </c>
      <c r="BC387" s="646">
        <f t="shared" si="1046"/>
        <v>0</v>
      </c>
      <c r="BD387" s="647">
        <f t="shared" si="1047"/>
        <v>9169.1622226134714</v>
      </c>
      <c r="BE387" s="644">
        <f t="shared" si="883"/>
        <v>0</v>
      </c>
      <c r="BF387" s="645">
        <f t="shared" si="884"/>
        <v>0</v>
      </c>
      <c r="BG387" s="646">
        <f t="shared" si="1048"/>
        <v>0</v>
      </c>
      <c r="BH387" s="647">
        <f t="shared" si="885"/>
        <v>9169.1622226134714</v>
      </c>
      <c r="BI387" s="644">
        <f t="shared" si="1049"/>
        <v>0</v>
      </c>
      <c r="BJ387" s="645">
        <f t="shared" si="1050"/>
        <v>0</v>
      </c>
      <c r="BK387" s="646">
        <f t="shared" si="1051"/>
        <v>0</v>
      </c>
      <c r="BL387" s="647">
        <f t="shared" si="886"/>
        <v>9169.1622226134714</v>
      </c>
      <c r="BM387" s="644">
        <f t="shared" si="1052"/>
        <v>0</v>
      </c>
      <c r="BN387" s="645">
        <f t="shared" si="1053"/>
        <v>0</v>
      </c>
      <c r="BO387" s="646">
        <f t="shared" si="1054"/>
        <v>0</v>
      </c>
      <c r="BP387" s="647">
        <f t="shared" si="887"/>
        <v>9169.1622226134714</v>
      </c>
      <c r="BQ387" s="644">
        <f t="shared" si="1055"/>
        <v>0</v>
      </c>
      <c r="BR387" s="645">
        <f t="shared" si="1056"/>
        <v>0</v>
      </c>
      <c r="BS387" s="646">
        <f t="shared" si="1057"/>
        <v>0</v>
      </c>
      <c r="BT387" s="647">
        <f t="shared" si="888"/>
        <v>9169.1622226134714</v>
      </c>
      <c r="BU387" s="662">
        <f>VLOOKUP(B387,'Afton Update'!$A$5:$AR$582,'Afton Update'!$AO$589,0)-BT387</f>
        <v>0</v>
      </c>
      <c r="BV387" s="644">
        <f t="shared" si="1058"/>
        <v>8008.4967052994534</v>
      </c>
      <c r="BW387" s="645">
        <f t="shared" si="852"/>
        <v>16247.136195620562</v>
      </c>
      <c r="BX387" s="644">
        <f t="shared" si="1059"/>
        <v>8238.6394903211076</v>
      </c>
      <c r="BY387" s="645">
        <f t="shared" si="1060"/>
        <v>0</v>
      </c>
      <c r="BZ387" s="646">
        <f t="shared" si="1061"/>
        <v>0</v>
      </c>
      <c r="CA387" s="647">
        <f t="shared" si="1062"/>
        <v>16247.136195620562</v>
      </c>
      <c r="CB387" s="644">
        <f t="shared" si="889"/>
        <v>0</v>
      </c>
      <c r="CC387" s="645">
        <f t="shared" si="890"/>
        <v>0</v>
      </c>
      <c r="CD387" s="646">
        <f t="shared" si="1063"/>
        <v>0</v>
      </c>
      <c r="CE387" s="647">
        <f t="shared" si="891"/>
        <v>16247.136195620562</v>
      </c>
      <c r="CF387" s="644">
        <f t="shared" si="1064"/>
        <v>0</v>
      </c>
      <c r="CG387" s="645">
        <f t="shared" si="1065"/>
        <v>0</v>
      </c>
      <c r="CH387" s="646">
        <f t="shared" si="1066"/>
        <v>0</v>
      </c>
      <c r="CI387" s="647">
        <f t="shared" si="892"/>
        <v>16247.136195620562</v>
      </c>
      <c r="CJ387" s="644">
        <f t="shared" si="1067"/>
        <v>0</v>
      </c>
      <c r="CK387" s="645">
        <f t="shared" si="1068"/>
        <v>0</v>
      </c>
      <c r="CL387" s="646">
        <f t="shared" si="1069"/>
        <v>0</v>
      </c>
      <c r="CM387" s="647">
        <f t="shared" si="893"/>
        <v>16247.136195620562</v>
      </c>
      <c r="CN387" s="644">
        <f t="shared" si="1070"/>
        <v>0</v>
      </c>
      <c r="CO387" s="645">
        <f t="shared" si="1071"/>
        <v>0</v>
      </c>
      <c r="CP387" s="646">
        <f t="shared" si="1072"/>
        <v>0</v>
      </c>
      <c r="CQ387" s="647">
        <f t="shared" si="894"/>
        <v>16247.136195620562</v>
      </c>
      <c r="CS387" s="644">
        <f t="shared" si="1073"/>
        <v>7779.6453672272</v>
      </c>
      <c r="CT387" s="645">
        <f t="shared" si="853"/>
        <v>16285.974047272477</v>
      </c>
      <c r="CU387" s="644">
        <f t="shared" si="1074"/>
        <v>8506.328680045277</v>
      </c>
      <c r="CV387" s="645">
        <f t="shared" si="1075"/>
        <v>0</v>
      </c>
      <c r="CW387" s="646">
        <f t="shared" si="1076"/>
        <v>0</v>
      </c>
      <c r="CX387" s="647">
        <f t="shared" si="1077"/>
        <v>16285.974047272477</v>
      </c>
      <c r="CY387" s="644">
        <f t="shared" si="895"/>
        <v>0</v>
      </c>
      <c r="CZ387" s="645">
        <f t="shared" si="896"/>
        <v>0</v>
      </c>
      <c r="DA387" s="646">
        <f t="shared" si="1078"/>
        <v>0</v>
      </c>
      <c r="DB387" s="647">
        <f t="shared" si="897"/>
        <v>16285.974047272477</v>
      </c>
      <c r="DC387" s="644">
        <f t="shared" si="1079"/>
        <v>0</v>
      </c>
      <c r="DD387" s="645">
        <f t="shared" si="1080"/>
        <v>0</v>
      </c>
      <c r="DE387" s="646">
        <f t="shared" si="1081"/>
        <v>0</v>
      </c>
      <c r="DF387" s="647">
        <f t="shared" si="898"/>
        <v>16285.974047272477</v>
      </c>
      <c r="DG387" s="644">
        <f t="shared" si="1082"/>
        <v>0</v>
      </c>
      <c r="DH387" s="645">
        <f t="shared" si="1083"/>
        <v>0</v>
      </c>
      <c r="DI387" s="646">
        <f t="shared" si="1084"/>
        <v>0</v>
      </c>
      <c r="DJ387" s="647">
        <f t="shared" si="899"/>
        <v>16285.974047272477</v>
      </c>
      <c r="DK387" s="644">
        <f t="shared" si="1085"/>
        <v>0</v>
      </c>
      <c r="DL387" s="645">
        <f t="shared" si="1086"/>
        <v>0</v>
      </c>
      <c r="DM387" s="646">
        <f t="shared" si="1087"/>
        <v>0</v>
      </c>
      <c r="DN387" s="647">
        <f t="shared" si="900"/>
        <v>16285.974047272477</v>
      </c>
      <c r="DR387" s="827">
        <f t="shared" si="854"/>
        <v>70117.851802032237</v>
      </c>
      <c r="DV387" s="828">
        <f>IFERROR(VLOOKUP($B387,'Afton FY16 Final'!$A$5:$BV$587,'Afton FY16 Final'!$BV$587,0),0)</f>
        <v>67259.664213045733</v>
      </c>
      <c r="DX387" s="636">
        <f t="shared" si="842"/>
        <v>70117.851802032237</v>
      </c>
      <c r="DY387" s="637">
        <f t="shared" si="843"/>
        <v>2858.1875889865041</v>
      </c>
      <c r="DZ387" s="637">
        <f t="shared" si="844"/>
        <v>67259.664213045733</v>
      </c>
      <c r="EA387" s="643">
        <f t="shared" si="845"/>
        <v>66388.367925043261</v>
      </c>
      <c r="EB387" s="637">
        <f t="shared" si="855"/>
        <v>67259.664213045733</v>
      </c>
      <c r="EC387" s="637">
        <f t="shared" si="856"/>
        <v>0</v>
      </c>
      <c r="ED387" s="637">
        <f t="shared" si="857"/>
        <v>0</v>
      </c>
      <c r="EE387" s="643">
        <f t="shared" si="858"/>
        <v>67259.664213045733</v>
      </c>
      <c r="EF387" s="637">
        <f t="shared" si="859"/>
        <v>0</v>
      </c>
      <c r="EG387" s="637">
        <f t="shared" si="860"/>
        <v>0</v>
      </c>
      <c r="EH387" s="637">
        <f t="shared" si="861"/>
        <v>0</v>
      </c>
      <c r="EI387" s="643">
        <f t="shared" si="862"/>
        <v>67259.664213045733</v>
      </c>
      <c r="EJ387" s="637">
        <f t="shared" si="863"/>
        <v>0</v>
      </c>
      <c r="EK387" s="637">
        <f t="shared" si="864"/>
        <v>0</v>
      </c>
      <c r="EL387" s="637">
        <f t="shared" si="865"/>
        <v>0</v>
      </c>
      <c r="EM387" s="643">
        <f t="shared" si="866"/>
        <v>67259.664213045733</v>
      </c>
      <c r="EN387" s="637">
        <f t="shared" si="867"/>
        <v>0</v>
      </c>
      <c r="EO387" s="637">
        <f t="shared" si="868"/>
        <v>0</v>
      </c>
      <c r="EP387" s="637">
        <f t="shared" si="869"/>
        <v>0</v>
      </c>
      <c r="EQ387" s="643">
        <f t="shared" si="870"/>
        <v>67259.664213045733</v>
      </c>
      <c r="ER387" s="637">
        <f t="shared" si="871"/>
        <v>0</v>
      </c>
      <c r="ES387" s="637">
        <f t="shared" si="872"/>
        <v>0</v>
      </c>
      <c r="ET387" s="637">
        <f t="shared" si="873"/>
        <v>0</v>
      </c>
      <c r="EU387" s="643">
        <f t="shared" si="846"/>
        <v>67259.664213045733</v>
      </c>
      <c r="EV387" s="643">
        <f t="shared" si="847"/>
        <v>0</v>
      </c>
      <c r="EX387" s="829">
        <f t="shared" si="848"/>
        <v>2858.1875889865041</v>
      </c>
      <c r="EY387" s="638">
        <f t="shared" si="849"/>
        <v>67259.664213045733</v>
      </c>
      <c r="FC387" s="830" t="str">
        <f t="shared" si="874"/>
        <v>Y</v>
      </c>
      <c r="FE387" s="830" t="str">
        <f>IFERROR(VLOOKUP($B387,'Historical Conc Grant Elig'!$B$3:$J$707,'HH &amp; SI'!FE$2,0),"N")</f>
        <v>Y</v>
      </c>
      <c r="FF387" s="830" t="str">
        <f>IFERROR(VLOOKUP($B387,'Historical Conc Grant Elig'!$B$3:$J$707,'HH &amp; SI'!FF$2,0),"N")</f>
        <v>Y</v>
      </c>
      <c r="FG387" s="830" t="str">
        <f>IFERROR(VLOOKUP($B387,'Historical Conc Grant Elig'!$B$3:$J$707,'HH &amp; SI'!FG$2,0),"N")</f>
        <v>Y</v>
      </c>
      <c r="FH387" s="830" t="str">
        <f>IFERROR(VLOOKUP($B387,'Historical Conc Grant Elig'!$B$3:$J$707,'HH &amp; SI'!FH$2,0),"N")</f>
        <v>Y</v>
      </c>
      <c r="FI387" s="830" t="str">
        <f>IFERROR(VLOOKUP($B387,'Historical Conc Grant Elig'!$B$3:$J$707,'HH &amp; SI'!FI$2,0),"N")</f>
        <v>Y</v>
      </c>
      <c r="FJ387" s="830" t="str">
        <f>IFERROR(VLOOKUP($B387,'Historical Conc Grant Elig'!$B$3:$J$707,'HH &amp; SI'!FJ$2,0),"N")</f>
        <v>Y</v>
      </c>
      <c r="FK387" s="830" t="str">
        <f>IFERROR(VLOOKUP($B387,'Historical Conc Grant Elig'!$B$3:$J$707,'HH &amp; SI'!FK$2,0),"N")</f>
        <v>Y</v>
      </c>
      <c r="FL387" s="957" t="str">
        <f>IFERROR(VLOOKUP($B387,'Historical Conc Grant Elig'!$B$3:$J$707,'HH &amp; SI'!FL$2,0),"N")</f>
        <v>Y</v>
      </c>
    </row>
    <row r="388" spans="2:168" x14ac:dyDescent="0.25">
      <c r="B388" s="634">
        <v>108735000</v>
      </c>
      <c r="C388" s="635" t="str">
        <f>VLOOKUP($B388,'Afton Update'!$A$5:$CR$582,'Afton Update'!D$589,0)</f>
        <v>Institute for Transformative Education  Inc.</v>
      </c>
      <c r="D388" s="636">
        <f>IFERROR(VLOOKUP($B388,'Afton FY16 Final'!$A$5:$BV$587,'Afton FY16 Final'!AQ$587,0),0)</f>
        <v>8758.6676172015814</v>
      </c>
      <c r="E388" s="637">
        <f>IFERROR(VLOOKUP($B388,'Afton FY16 Final'!$A$5:$BV$587,'Afton FY16 Final'!AR$587,0),0)</f>
        <v>4830.1582514952324</v>
      </c>
      <c r="F388" s="637">
        <f>IFERROR(VLOOKUP($B388,'Afton FY16 Final'!$A$5:$BV$587,'Afton FY16 Final'!AS$587,0),0)</f>
        <v>5007.9311768923626</v>
      </c>
      <c r="G388" s="637">
        <f>IFERROR(VLOOKUP($B388,'Afton FY16 Final'!$A$5:$BV$587,'Afton FY16 Final'!AT$587,0),0)</f>
        <v>5019.9023505065516</v>
      </c>
      <c r="H388" s="638">
        <f>IFERROR(VLOOKUP($B388,'Afton FY16 Final'!$A$5:$BV$587,'Afton FY16 Final'!AU$587,0),0)</f>
        <v>23616.659396095729</v>
      </c>
      <c r="I388" s="639" t="str">
        <f>VLOOKUP($B388,'Afton Update'!$A$5:$CR$582,'Afton Update'!BT$589,0)</f>
        <v>Y</v>
      </c>
      <c r="J388" s="640" t="str">
        <f>VLOOKUP($B388,'Afton Update'!$A$5:$CR$582,'Afton Update'!BU$589,0)</f>
        <v>Y</v>
      </c>
      <c r="K388" s="640" t="str">
        <f>VLOOKUP($B388,'Afton Update'!$A$5:$CR$582,'Afton Update'!BV$589,0)</f>
        <v>Y</v>
      </c>
      <c r="L388" s="641" t="str">
        <f>VLOOKUP($B388,'Afton Update'!$A$5:$CR$582,'Afton Update'!BW$589,0)</f>
        <v>Y</v>
      </c>
      <c r="N388" s="642">
        <f>VLOOKUP($B388,'Afton Update'!$A$5:$CR$582,'Afton Update'!CB$589,0)</f>
        <v>0.95</v>
      </c>
      <c r="P388" s="636">
        <f>VLOOKUP($B388,'Afton Update'!$A$5:$CR$582,'Afton Update'!AH$589,0)</f>
        <v>13171.218461881055</v>
      </c>
      <c r="Q388" s="637">
        <f>VLOOKUP($B388,'Afton Update'!$A$5:$CR$582,'Afton Update'!AI$589,0)</f>
        <v>5713.9323108692461</v>
      </c>
      <c r="R388" s="637">
        <f>VLOOKUP($B388,'Afton Update'!$A$5:$CR$582,'Afton Update'!AJ$589,0)</f>
        <v>8008.4967052994534</v>
      </c>
      <c r="S388" s="637">
        <f>VLOOKUP($B388,'Afton Update'!$A$5:$CR$582,'Afton Update'!AK$589,0)</f>
        <v>7779.6453672272</v>
      </c>
      <c r="T388" s="643">
        <f t="shared" si="875"/>
        <v>34673.292845276956</v>
      </c>
      <c r="V388" s="636">
        <f t="shared" si="1024"/>
        <v>12991.554493101688</v>
      </c>
      <c r="W388" s="637">
        <f t="shared" si="1025"/>
        <v>5525.7362712300528</v>
      </c>
      <c r="X388" s="637">
        <f t="shared" si="1026"/>
        <v>7935.6625545640682</v>
      </c>
      <c r="Y388" s="637">
        <f t="shared" si="1027"/>
        <v>7693.9276793573654</v>
      </c>
      <c r="Z388" s="643">
        <f t="shared" si="1028"/>
        <v>34146.880998253175</v>
      </c>
      <c r="AB388" s="644">
        <f t="shared" si="876"/>
        <v>13171.218461881055</v>
      </c>
      <c r="AC388" s="645">
        <f t="shared" si="850"/>
        <v>8320.7342363415028</v>
      </c>
      <c r="AD388" s="644">
        <f t="shared" si="1029"/>
        <v>0</v>
      </c>
      <c r="AE388" s="645">
        <f t="shared" si="1030"/>
        <v>13171.218461881055</v>
      </c>
      <c r="AF388" s="646">
        <f t="shared" si="1031"/>
        <v>-163.26715074221235</v>
      </c>
      <c r="AG388" s="647">
        <f t="shared" si="1032"/>
        <v>13007.951311138842</v>
      </c>
      <c r="AH388" s="644">
        <f t="shared" si="877"/>
        <v>0</v>
      </c>
      <c r="AI388" s="645">
        <f t="shared" si="878"/>
        <v>13007.951311138842</v>
      </c>
      <c r="AJ388" s="646">
        <f t="shared" si="1033"/>
        <v>-16.386371674744215</v>
      </c>
      <c r="AK388" s="647">
        <f t="shared" si="879"/>
        <v>12991.564939464099</v>
      </c>
      <c r="AL388" s="644">
        <f t="shared" si="1034"/>
        <v>0</v>
      </c>
      <c r="AM388" s="645">
        <f t="shared" si="1035"/>
        <v>12991.564939464099</v>
      </c>
      <c r="AN388" s="646">
        <f t="shared" si="1036"/>
        <v>-1.0446362409839417E-2</v>
      </c>
      <c r="AO388" s="647">
        <f t="shared" si="880"/>
        <v>12991.554493101688</v>
      </c>
      <c r="AP388" s="644">
        <f t="shared" si="1037"/>
        <v>0</v>
      </c>
      <c r="AQ388" s="645">
        <f t="shared" si="1038"/>
        <v>12991.554493101688</v>
      </c>
      <c r="AR388" s="646">
        <f t="shared" si="1039"/>
        <v>0</v>
      </c>
      <c r="AS388" s="647">
        <f t="shared" si="881"/>
        <v>12991.554493101688</v>
      </c>
      <c r="AT388" s="644">
        <f t="shared" si="1040"/>
        <v>0</v>
      </c>
      <c r="AU388" s="645">
        <f t="shared" si="1041"/>
        <v>12991.554493101688</v>
      </c>
      <c r="AV388" s="646">
        <f t="shared" si="1042"/>
        <v>0</v>
      </c>
      <c r="AW388" s="647">
        <f t="shared" si="882"/>
        <v>12991.554493101688</v>
      </c>
      <c r="AY388" s="644">
        <f t="shared" si="1043"/>
        <v>5713.9323108692461</v>
      </c>
      <c r="AZ388" s="645">
        <f t="shared" si="851"/>
        <v>4588.6503389204709</v>
      </c>
      <c r="BA388" s="644">
        <f t="shared" si="1044"/>
        <v>0</v>
      </c>
      <c r="BB388" s="645">
        <f t="shared" si="1045"/>
        <v>5713.9323108692461</v>
      </c>
      <c r="BC388" s="646">
        <f t="shared" si="1046"/>
        <v>-41.09055246129261</v>
      </c>
      <c r="BD388" s="647">
        <f t="shared" si="1047"/>
        <v>5672.8417584079534</v>
      </c>
      <c r="BE388" s="644">
        <f t="shared" si="883"/>
        <v>0</v>
      </c>
      <c r="BF388" s="645">
        <f t="shared" si="884"/>
        <v>5672.8417584079534</v>
      </c>
      <c r="BG388" s="646">
        <f t="shared" si="1048"/>
        <v>-135.12246765276845</v>
      </c>
      <c r="BH388" s="647">
        <f t="shared" si="885"/>
        <v>5537.7192907551853</v>
      </c>
      <c r="BI388" s="644">
        <f t="shared" si="1049"/>
        <v>0</v>
      </c>
      <c r="BJ388" s="645">
        <f t="shared" si="1050"/>
        <v>5537.7192907551853</v>
      </c>
      <c r="BK388" s="646">
        <f t="shared" si="1051"/>
        <v>-11.730190113075071</v>
      </c>
      <c r="BL388" s="647">
        <f t="shared" si="886"/>
        <v>5525.9891006421103</v>
      </c>
      <c r="BM388" s="644">
        <f t="shared" si="1052"/>
        <v>0</v>
      </c>
      <c r="BN388" s="645">
        <f t="shared" si="1053"/>
        <v>5525.9891006421103</v>
      </c>
      <c r="BO388" s="646">
        <f t="shared" si="1054"/>
        <v>-0.25282941205710896</v>
      </c>
      <c r="BP388" s="647">
        <f t="shared" si="887"/>
        <v>5525.7362712300528</v>
      </c>
      <c r="BQ388" s="644">
        <f t="shared" si="1055"/>
        <v>0</v>
      </c>
      <c r="BR388" s="645">
        <f t="shared" si="1056"/>
        <v>5525.7362712300528</v>
      </c>
      <c r="BS388" s="646">
        <f t="shared" si="1057"/>
        <v>0</v>
      </c>
      <c r="BT388" s="647">
        <f t="shared" si="888"/>
        <v>5525.7362712300528</v>
      </c>
      <c r="BU388" s="662">
        <f>VLOOKUP(B388,'Afton Update'!$A$5:$AR$582,'Afton Update'!$AO$589,0)-BT388</f>
        <v>0</v>
      </c>
      <c r="BV388" s="644">
        <f t="shared" si="1058"/>
        <v>8008.4967052994534</v>
      </c>
      <c r="BW388" s="645">
        <f t="shared" si="852"/>
        <v>4757.5346180477445</v>
      </c>
      <c r="BX388" s="644">
        <f t="shared" si="1059"/>
        <v>0</v>
      </c>
      <c r="BY388" s="645">
        <f t="shared" si="1060"/>
        <v>8008.4967052994534</v>
      </c>
      <c r="BZ388" s="646">
        <f t="shared" si="1061"/>
        <v>-70.291427036270946</v>
      </c>
      <c r="CA388" s="647">
        <f t="shared" si="1062"/>
        <v>7938.2052782631827</v>
      </c>
      <c r="CB388" s="644">
        <f t="shared" si="889"/>
        <v>0</v>
      </c>
      <c r="CC388" s="645">
        <f t="shared" si="890"/>
        <v>7938.2052782631827</v>
      </c>
      <c r="CD388" s="646">
        <f t="shared" si="1063"/>
        <v>-2.5427236991145339</v>
      </c>
      <c r="CE388" s="647">
        <f t="shared" si="891"/>
        <v>7935.6625545640682</v>
      </c>
      <c r="CF388" s="644">
        <f t="shared" si="1064"/>
        <v>0</v>
      </c>
      <c r="CG388" s="645">
        <f t="shared" si="1065"/>
        <v>7935.6625545640682</v>
      </c>
      <c r="CH388" s="646">
        <f t="shared" si="1066"/>
        <v>0</v>
      </c>
      <c r="CI388" s="647">
        <f t="shared" si="892"/>
        <v>7935.6625545640682</v>
      </c>
      <c r="CJ388" s="644">
        <f t="shared" si="1067"/>
        <v>0</v>
      </c>
      <c r="CK388" s="645">
        <f t="shared" si="1068"/>
        <v>7935.6625545640682</v>
      </c>
      <c r="CL388" s="646">
        <f t="shared" si="1069"/>
        <v>0</v>
      </c>
      <c r="CM388" s="647">
        <f t="shared" si="893"/>
        <v>7935.6625545640682</v>
      </c>
      <c r="CN388" s="644">
        <f t="shared" si="1070"/>
        <v>0</v>
      </c>
      <c r="CO388" s="645">
        <f t="shared" si="1071"/>
        <v>7935.6625545640682</v>
      </c>
      <c r="CP388" s="646">
        <f t="shared" si="1072"/>
        <v>0</v>
      </c>
      <c r="CQ388" s="647">
        <f t="shared" si="894"/>
        <v>7935.6625545640682</v>
      </c>
      <c r="CS388" s="644">
        <f t="shared" si="1073"/>
        <v>7779.6453672272</v>
      </c>
      <c r="CT388" s="645">
        <f t="shared" si="853"/>
        <v>4768.9072329812234</v>
      </c>
      <c r="CU388" s="644">
        <f t="shared" si="1074"/>
        <v>0</v>
      </c>
      <c r="CV388" s="645">
        <f t="shared" si="1075"/>
        <v>7779.6453672272</v>
      </c>
      <c r="CW388" s="646">
        <f t="shared" si="1076"/>
        <v>-79.667965008966689</v>
      </c>
      <c r="CX388" s="647">
        <f t="shared" si="1077"/>
        <v>7699.9774022182337</v>
      </c>
      <c r="CY388" s="644">
        <f t="shared" si="895"/>
        <v>0</v>
      </c>
      <c r="CZ388" s="645">
        <f t="shared" si="896"/>
        <v>7699.9774022182337</v>
      </c>
      <c r="DA388" s="646">
        <f t="shared" si="1078"/>
        <v>-6.0445102236578379</v>
      </c>
      <c r="DB388" s="647">
        <f t="shared" si="897"/>
        <v>7693.9328919945756</v>
      </c>
      <c r="DC388" s="644">
        <f t="shared" si="1079"/>
        <v>0</v>
      </c>
      <c r="DD388" s="645">
        <f t="shared" si="1080"/>
        <v>7693.9328919945756</v>
      </c>
      <c r="DE388" s="646">
        <f t="shared" si="1081"/>
        <v>-5.2126372098272615E-3</v>
      </c>
      <c r="DF388" s="647">
        <f t="shared" si="898"/>
        <v>7693.9276793573654</v>
      </c>
      <c r="DG388" s="644">
        <f t="shared" si="1082"/>
        <v>0</v>
      </c>
      <c r="DH388" s="645">
        <f t="shared" si="1083"/>
        <v>7693.9276793573654</v>
      </c>
      <c r="DI388" s="646">
        <f t="shared" si="1084"/>
        <v>0</v>
      </c>
      <c r="DJ388" s="647">
        <f t="shared" si="899"/>
        <v>7693.9276793573654</v>
      </c>
      <c r="DK388" s="644">
        <f t="shared" si="1085"/>
        <v>0</v>
      </c>
      <c r="DL388" s="645">
        <f t="shared" si="1086"/>
        <v>7693.9276793573654</v>
      </c>
      <c r="DM388" s="646">
        <f t="shared" si="1087"/>
        <v>0</v>
      </c>
      <c r="DN388" s="647">
        <f t="shared" si="900"/>
        <v>7693.9276793573654</v>
      </c>
      <c r="DR388" s="827">
        <f t="shared" si="854"/>
        <v>34146.880998253175</v>
      </c>
      <c r="DV388" s="828">
        <f>IFERROR(VLOOKUP($B388,'Afton FY16 Final'!$A$5:$BV$587,'Afton FY16 Final'!$BV$587,0),0)</f>
        <v>21323.697285626669</v>
      </c>
      <c r="DX388" s="636">
        <f t="shared" si="842"/>
        <v>34146.880998253175</v>
      </c>
      <c r="DY388" s="637">
        <f t="shared" si="843"/>
        <v>12823.183712626505</v>
      </c>
      <c r="DZ388" s="637">
        <f t="shared" si="844"/>
        <v>21323.697285626669</v>
      </c>
      <c r="EA388" s="643">
        <f t="shared" si="845"/>
        <v>32330.649626932765</v>
      </c>
      <c r="EB388" s="637">
        <f t="shared" si="855"/>
        <v>0</v>
      </c>
      <c r="EC388" s="637">
        <f t="shared" si="856"/>
        <v>32330.649626932765</v>
      </c>
      <c r="ED388" s="637">
        <f t="shared" si="857"/>
        <v>32234.241560134826</v>
      </c>
      <c r="EE388" s="643">
        <f t="shared" si="858"/>
        <v>32234.241560134826</v>
      </c>
      <c r="EF388" s="637">
        <f t="shared" si="859"/>
        <v>0</v>
      </c>
      <c r="EG388" s="637">
        <f t="shared" si="860"/>
        <v>32234.241560134826</v>
      </c>
      <c r="EH388" s="637">
        <f t="shared" si="861"/>
        <v>32234.208305326003</v>
      </c>
      <c r="EI388" s="643">
        <f t="shared" si="862"/>
        <v>32234.208305326003</v>
      </c>
      <c r="EJ388" s="637">
        <f t="shared" si="863"/>
        <v>0</v>
      </c>
      <c r="EK388" s="637">
        <f t="shared" si="864"/>
        <v>32234.208305326003</v>
      </c>
      <c r="EL388" s="637">
        <f t="shared" si="865"/>
        <v>32234.208305325959</v>
      </c>
      <c r="EM388" s="643">
        <f t="shared" si="866"/>
        <v>32234.208305325959</v>
      </c>
      <c r="EN388" s="637">
        <f t="shared" si="867"/>
        <v>0</v>
      </c>
      <c r="EO388" s="637">
        <f t="shared" si="868"/>
        <v>32234.208305325959</v>
      </c>
      <c r="EP388" s="637">
        <f t="shared" si="869"/>
        <v>32234.20830532601</v>
      </c>
      <c r="EQ388" s="643">
        <f t="shared" si="870"/>
        <v>32234.20830532601</v>
      </c>
      <c r="ER388" s="637">
        <f t="shared" si="871"/>
        <v>0</v>
      </c>
      <c r="ES388" s="637">
        <f t="shared" si="872"/>
        <v>32234.20830532601</v>
      </c>
      <c r="ET388" s="637">
        <f t="shared" si="873"/>
        <v>32234.208305325959</v>
      </c>
      <c r="EU388" s="643">
        <f t="shared" si="846"/>
        <v>32234.208305325959</v>
      </c>
      <c r="EV388" s="643">
        <f t="shared" si="847"/>
        <v>0</v>
      </c>
      <c r="EX388" s="829">
        <f t="shared" si="848"/>
        <v>1912.6726929272154</v>
      </c>
      <c r="EY388" s="638">
        <f t="shared" si="849"/>
        <v>32234.208305325959</v>
      </c>
      <c r="FC388" s="830" t="str">
        <f t="shared" si="874"/>
        <v>Y</v>
      </c>
      <c r="FE388" s="830" t="str">
        <f>IFERROR(VLOOKUP($B388,'Historical Conc Grant Elig'!$B$3:$J$707,'HH &amp; SI'!FE$2,0),"N")</f>
        <v>N</v>
      </c>
      <c r="FF388" s="830" t="str">
        <f>IFERROR(VLOOKUP($B388,'Historical Conc Grant Elig'!$B$3:$J$707,'HH &amp; SI'!FF$2,0),"N")</f>
        <v>N</v>
      </c>
      <c r="FG388" s="830" t="str">
        <f>IFERROR(VLOOKUP($B388,'Historical Conc Grant Elig'!$B$3:$J$707,'HH &amp; SI'!FG$2,0),"N")</f>
        <v>N</v>
      </c>
      <c r="FH388" s="830" t="str">
        <f>IFERROR(VLOOKUP($B388,'Historical Conc Grant Elig'!$B$3:$J$707,'HH &amp; SI'!FH$2,0),"N")</f>
        <v>N</v>
      </c>
      <c r="FI388" s="830" t="str">
        <f>IFERROR(VLOOKUP($B388,'Historical Conc Grant Elig'!$B$3:$J$707,'HH &amp; SI'!FI$2,0),"N")</f>
        <v>Y</v>
      </c>
      <c r="FJ388" s="830" t="str">
        <f>IFERROR(VLOOKUP($B388,'Historical Conc Grant Elig'!$B$3:$J$707,'HH &amp; SI'!FJ$2,0),"N")</f>
        <v>Y</v>
      </c>
      <c r="FK388" s="830" t="str">
        <f>IFERROR(VLOOKUP($B388,'Historical Conc Grant Elig'!$B$3:$J$707,'HH &amp; SI'!FK$2,0),"N")</f>
        <v>Y</v>
      </c>
      <c r="FL388" s="957" t="str">
        <f>IFERROR(VLOOKUP($B388,'Historical Conc Grant Elig'!$B$3:$J$707,'HH &amp; SI'!FL$2,0),"N")</f>
        <v>Y</v>
      </c>
    </row>
    <row r="389" spans="2:168" x14ac:dyDescent="0.25">
      <c r="B389" s="634">
        <v>108744000</v>
      </c>
      <c r="C389" s="635" t="str">
        <f>VLOOKUP($B389,'Afton Update'!$A$5:$CR$582,'Afton Update'!D$589,0)</f>
        <v>Portable Practical Educational Preparation  Inc. (PPEP  Inc.</v>
      </c>
      <c r="D389" s="636">
        <f>IFERROR(VLOOKUP($B389,'Afton FY16 Final'!$A$5:$BV$587,'Afton FY16 Final'!AQ$587,0),0)</f>
        <v>121276.06109177487</v>
      </c>
      <c r="E389" s="637">
        <f>IFERROR(VLOOKUP($B389,'Afton FY16 Final'!$A$5:$BV$587,'Afton FY16 Final'!AR$587,0),0)</f>
        <v>29781.904646993862</v>
      </c>
      <c r="F389" s="637">
        <f>IFERROR(VLOOKUP($B389,'Afton FY16 Final'!$A$5:$BV$587,'Afton FY16 Final'!AS$587,0),0)</f>
        <v>69341.844432983475</v>
      </c>
      <c r="G389" s="637">
        <f>IFERROR(VLOOKUP($B389,'Afton FY16 Final'!$A$5:$BV$587,'Afton FY16 Final'!AT$587,0),0)</f>
        <v>69507.602153909349</v>
      </c>
      <c r="H389" s="638">
        <f>IFERROR(VLOOKUP($B389,'Afton FY16 Final'!$A$5:$BV$587,'Afton FY16 Final'!AU$587,0),0)</f>
        <v>289907.41232566157</v>
      </c>
      <c r="I389" s="639" t="str">
        <f>VLOOKUP($B389,'Afton Update'!$A$5:$CR$582,'Afton Update'!BT$589,0)</f>
        <v>Y</v>
      </c>
      <c r="J389" s="640" t="str">
        <f>VLOOKUP($B389,'Afton Update'!$A$5:$CR$582,'Afton Update'!BU$589,0)</f>
        <v>Y</v>
      </c>
      <c r="K389" s="640" t="str">
        <f>VLOOKUP($B389,'Afton Update'!$A$5:$CR$582,'Afton Update'!BV$589,0)</f>
        <v>Y</v>
      </c>
      <c r="L389" s="641" t="str">
        <f>VLOOKUP($B389,'Afton Update'!$A$5:$CR$582,'Afton Update'!BW$589,0)</f>
        <v>Y</v>
      </c>
      <c r="N389" s="642">
        <f>VLOOKUP($B389,'Afton Update'!$A$5:$CR$582,'Afton Update'!CB$589,0)</f>
        <v>0.95</v>
      </c>
      <c r="P389" s="636">
        <f>VLOOKUP($B389,'Afton Update'!$A$5:$CR$582,'Afton Update'!AH$589,0)</f>
        <v>82451.827571375397</v>
      </c>
      <c r="Q389" s="637">
        <f>VLOOKUP($B389,'Afton Update'!$A$5:$CR$582,'Afton Update'!AI$589,0)</f>
        <v>21005.799145569952</v>
      </c>
      <c r="R389" s="637">
        <f>VLOOKUP($B389,'Afton Update'!$A$5:$CR$582,'Afton Update'!AJ$589,0)</f>
        <v>50133.189375174574</v>
      </c>
      <c r="S389" s="637">
        <f>VLOOKUP($B389,'Afton Update'!$A$5:$CR$582,'Afton Update'!AK$589,0)</f>
        <v>48700.579998842273</v>
      </c>
      <c r="T389" s="643">
        <f t="shared" si="875"/>
        <v>202291.3960909622</v>
      </c>
      <c r="V389" s="636">
        <f t="shared" si="1024"/>
        <v>115212.25803718613</v>
      </c>
      <c r="W389" s="637">
        <f t="shared" si="1025"/>
        <v>28292.809414644169</v>
      </c>
      <c r="X389" s="637">
        <f t="shared" si="1026"/>
        <v>65874.7522113343</v>
      </c>
      <c r="Y389" s="637">
        <f t="shared" si="1027"/>
        <v>66032.222046213879</v>
      </c>
      <c r="Z389" s="643">
        <f t="shared" si="1028"/>
        <v>275412.04170937848</v>
      </c>
      <c r="AB389" s="644">
        <f t="shared" si="876"/>
        <v>82451.827571375397</v>
      </c>
      <c r="AC389" s="645">
        <f t="shared" si="850"/>
        <v>115212.25803718613</v>
      </c>
      <c r="AD389" s="644">
        <f t="shared" si="1029"/>
        <v>32760.430465810728</v>
      </c>
      <c r="AE389" s="645">
        <f t="shared" si="1030"/>
        <v>0</v>
      </c>
      <c r="AF389" s="646">
        <f t="shared" si="1031"/>
        <v>0</v>
      </c>
      <c r="AG389" s="647">
        <f t="shared" si="1032"/>
        <v>115212.25803718613</v>
      </c>
      <c r="AH389" s="644">
        <f t="shared" si="877"/>
        <v>0</v>
      </c>
      <c r="AI389" s="645">
        <f t="shared" si="878"/>
        <v>0</v>
      </c>
      <c r="AJ389" s="646">
        <f t="shared" si="1033"/>
        <v>0</v>
      </c>
      <c r="AK389" s="647">
        <f t="shared" si="879"/>
        <v>115212.25803718613</v>
      </c>
      <c r="AL389" s="644">
        <f t="shared" si="1034"/>
        <v>0</v>
      </c>
      <c r="AM389" s="645">
        <f t="shared" si="1035"/>
        <v>0</v>
      </c>
      <c r="AN389" s="646">
        <f t="shared" si="1036"/>
        <v>0</v>
      </c>
      <c r="AO389" s="647">
        <f t="shared" si="880"/>
        <v>115212.25803718613</v>
      </c>
      <c r="AP389" s="644">
        <f t="shared" si="1037"/>
        <v>0</v>
      </c>
      <c r="AQ389" s="645">
        <f t="shared" si="1038"/>
        <v>0</v>
      </c>
      <c r="AR389" s="646">
        <f t="shared" si="1039"/>
        <v>0</v>
      </c>
      <c r="AS389" s="647">
        <f t="shared" si="881"/>
        <v>115212.25803718613</v>
      </c>
      <c r="AT389" s="644">
        <f t="shared" si="1040"/>
        <v>0</v>
      </c>
      <c r="AU389" s="645">
        <f t="shared" si="1041"/>
        <v>0</v>
      </c>
      <c r="AV389" s="646">
        <f t="shared" si="1042"/>
        <v>0</v>
      </c>
      <c r="AW389" s="647">
        <f t="shared" si="882"/>
        <v>115212.25803718613</v>
      </c>
      <c r="AY389" s="644">
        <f t="shared" si="1043"/>
        <v>21005.799145569952</v>
      </c>
      <c r="AZ389" s="645">
        <f t="shared" si="851"/>
        <v>28292.809414644169</v>
      </c>
      <c r="BA389" s="644">
        <f t="shared" si="1044"/>
        <v>7287.0102690742169</v>
      </c>
      <c r="BB389" s="645">
        <f t="shared" si="1045"/>
        <v>0</v>
      </c>
      <c r="BC389" s="646">
        <f t="shared" si="1046"/>
        <v>0</v>
      </c>
      <c r="BD389" s="647">
        <f t="shared" si="1047"/>
        <v>28292.809414644169</v>
      </c>
      <c r="BE389" s="644">
        <f t="shared" si="883"/>
        <v>0</v>
      </c>
      <c r="BF389" s="645">
        <f t="shared" si="884"/>
        <v>0</v>
      </c>
      <c r="BG389" s="646">
        <f t="shared" si="1048"/>
        <v>0</v>
      </c>
      <c r="BH389" s="647">
        <f t="shared" si="885"/>
        <v>28292.809414644169</v>
      </c>
      <c r="BI389" s="644">
        <f t="shared" si="1049"/>
        <v>0</v>
      </c>
      <c r="BJ389" s="645">
        <f t="shared" si="1050"/>
        <v>0</v>
      </c>
      <c r="BK389" s="646">
        <f t="shared" si="1051"/>
        <v>0</v>
      </c>
      <c r="BL389" s="647">
        <f t="shared" si="886"/>
        <v>28292.809414644169</v>
      </c>
      <c r="BM389" s="644">
        <f t="shared" si="1052"/>
        <v>0</v>
      </c>
      <c r="BN389" s="645">
        <f t="shared" si="1053"/>
        <v>0</v>
      </c>
      <c r="BO389" s="646">
        <f t="shared" si="1054"/>
        <v>0</v>
      </c>
      <c r="BP389" s="647">
        <f t="shared" si="887"/>
        <v>28292.809414644169</v>
      </c>
      <c r="BQ389" s="644">
        <f t="shared" si="1055"/>
        <v>0</v>
      </c>
      <c r="BR389" s="645">
        <f t="shared" si="1056"/>
        <v>0</v>
      </c>
      <c r="BS389" s="646">
        <f t="shared" si="1057"/>
        <v>0</v>
      </c>
      <c r="BT389" s="647">
        <f t="shared" si="888"/>
        <v>28292.809414644169</v>
      </c>
      <c r="BU389" s="662">
        <f>VLOOKUP(B389,'Afton Update'!$A$5:$AR$582,'Afton Update'!$AO$589,0)-BT389</f>
        <v>0</v>
      </c>
      <c r="BV389" s="644">
        <f t="shared" si="1058"/>
        <v>50133.189375174574</v>
      </c>
      <c r="BW389" s="645">
        <f t="shared" si="852"/>
        <v>65874.7522113343</v>
      </c>
      <c r="BX389" s="644">
        <f t="shared" si="1059"/>
        <v>15741.562836159726</v>
      </c>
      <c r="BY389" s="645">
        <f t="shared" si="1060"/>
        <v>0</v>
      </c>
      <c r="BZ389" s="646">
        <f t="shared" si="1061"/>
        <v>0</v>
      </c>
      <c r="CA389" s="647">
        <f t="shared" si="1062"/>
        <v>65874.7522113343</v>
      </c>
      <c r="CB389" s="644">
        <f t="shared" si="889"/>
        <v>0</v>
      </c>
      <c r="CC389" s="645">
        <f t="shared" si="890"/>
        <v>0</v>
      </c>
      <c r="CD389" s="646">
        <f t="shared" si="1063"/>
        <v>0</v>
      </c>
      <c r="CE389" s="647">
        <f t="shared" si="891"/>
        <v>65874.7522113343</v>
      </c>
      <c r="CF389" s="644">
        <f t="shared" si="1064"/>
        <v>0</v>
      </c>
      <c r="CG389" s="645">
        <f t="shared" si="1065"/>
        <v>0</v>
      </c>
      <c r="CH389" s="646">
        <f t="shared" si="1066"/>
        <v>0</v>
      </c>
      <c r="CI389" s="647">
        <f t="shared" si="892"/>
        <v>65874.7522113343</v>
      </c>
      <c r="CJ389" s="644">
        <f t="shared" si="1067"/>
        <v>0</v>
      </c>
      <c r="CK389" s="645">
        <f t="shared" si="1068"/>
        <v>0</v>
      </c>
      <c r="CL389" s="646">
        <f t="shared" si="1069"/>
        <v>0</v>
      </c>
      <c r="CM389" s="647">
        <f t="shared" si="893"/>
        <v>65874.7522113343</v>
      </c>
      <c r="CN389" s="644">
        <f t="shared" si="1070"/>
        <v>0</v>
      </c>
      <c r="CO389" s="645">
        <f t="shared" si="1071"/>
        <v>0</v>
      </c>
      <c r="CP389" s="646">
        <f t="shared" si="1072"/>
        <v>0</v>
      </c>
      <c r="CQ389" s="647">
        <f t="shared" si="894"/>
        <v>65874.7522113343</v>
      </c>
      <c r="CS389" s="644">
        <f t="shared" si="1073"/>
        <v>48700.579998842273</v>
      </c>
      <c r="CT389" s="645">
        <f t="shared" si="853"/>
        <v>66032.222046213879</v>
      </c>
      <c r="CU389" s="644">
        <f t="shared" si="1074"/>
        <v>17331.642047371606</v>
      </c>
      <c r="CV389" s="645">
        <f t="shared" si="1075"/>
        <v>0</v>
      </c>
      <c r="CW389" s="646">
        <f t="shared" si="1076"/>
        <v>0</v>
      </c>
      <c r="CX389" s="647">
        <f t="shared" si="1077"/>
        <v>66032.222046213879</v>
      </c>
      <c r="CY389" s="644">
        <f t="shared" si="895"/>
        <v>0</v>
      </c>
      <c r="CZ389" s="645">
        <f t="shared" si="896"/>
        <v>0</v>
      </c>
      <c r="DA389" s="646">
        <f t="shared" si="1078"/>
        <v>0</v>
      </c>
      <c r="DB389" s="647">
        <f t="shared" si="897"/>
        <v>66032.222046213879</v>
      </c>
      <c r="DC389" s="644">
        <f t="shared" si="1079"/>
        <v>0</v>
      </c>
      <c r="DD389" s="645">
        <f t="shared" si="1080"/>
        <v>0</v>
      </c>
      <c r="DE389" s="646">
        <f t="shared" si="1081"/>
        <v>0</v>
      </c>
      <c r="DF389" s="647">
        <f t="shared" si="898"/>
        <v>66032.222046213879</v>
      </c>
      <c r="DG389" s="644">
        <f t="shared" si="1082"/>
        <v>0</v>
      </c>
      <c r="DH389" s="645">
        <f t="shared" si="1083"/>
        <v>0</v>
      </c>
      <c r="DI389" s="646">
        <f t="shared" si="1084"/>
        <v>0</v>
      </c>
      <c r="DJ389" s="647">
        <f t="shared" si="899"/>
        <v>66032.222046213879</v>
      </c>
      <c r="DK389" s="644">
        <f t="shared" si="1085"/>
        <v>0</v>
      </c>
      <c r="DL389" s="645">
        <f t="shared" si="1086"/>
        <v>0</v>
      </c>
      <c r="DM389" s="646">
        <f t="shared" si="1087"/>
        <v>0</v>
      </c>
      <c r="DN389" s="647">
        <f t="shared" si="900"/>
        <v>66032.222046213879</v>
      </c>
      <c r="DR389" s="827">
        <f t="shared" si="854"/>
        <v>275412.04170937848</v>
      </c>
      <c r="DV389" s="828">
        <f>IFERROR(VLOOKUP($B389,'Afton FY16 Final'!$A$5:$BV$587,'Afton FY16 Final'!$BV$587,0),0)</f>
        <v>279647.01317900961</v>
      </c>
      <c r="DX389" s="636">
        <f t="shared" si="842"/>
        <v>0</v>
      </c>
      <c r="DY389" s="637">
        <f t="shared" si="843"/>
        <v>0</v>
      </c>
      <c r="DZ389" s="637">
        <f t="shared" si="844"/>
        <v>0</v>
      </c>
      <c r="EA389" s="643">
        <f t="shared" si="845"/>
        <v>0</v>
      </c>
      <c r="EB389" s="637">
        <f t="shared" si="855"/>
        <v>0</v>
      </c>
      <c r="EC389" s="637">
        <f t="shared" si="856"/>
        <v>0</v>
      </c>
      <c r="ED389" s="637">
        <f t="shared" si="857"/>
        <v>0</v>
      </c>
      <c r="EE389" s="643">
        <f t="shared" si="858"/>
        <v>0</v>
      </c>
      <c r="EF389" s="637">
        <f t="shared" si="859"/>
        <v>0</v>
      </c>
      <c r="EG389" s="637">
        <f t="shared" si="860"/>
        <v>0</v>
      </c>
      <c r="EH389" s="637">
        <f t="shared" si="861"/>
        <v>0</v>
      </c>
      <c r="EI389" s="643">
        <f t="shared" si="862"/>
        <v>0</v>
      </c>
      <c r="EJ389" s="637">
        <f t="shared" si="863"/>
        <v>0</v>
      </c>
      <c r="EK389" s="637">
        <f t="shared" si="864"/>
        <v>0</v>
      </c>
      <c r="EL389" s="637">
        <f t="shared" si="865"/>
        <v>0</v>
      </c>
      <c r="EM389" s="643">
        <f t="shared" si="866"/>
        <v>0</v>
      </c>
      <c r="EN389" s="637">
        <f t="shared" si="867"/>
        <v>0</v>
      </c>
      <c r="EO389" s="637">
        <f t="shared" si="868"/>
        <v>0</v>
      </c>
      <c r="EP389" s="637">
        <f t="shared" si="869"/>
        <v>0</v>
      </c>
      <c r="EQ389" s="643">
        <f t="shared" si="870"/>
        <v>0</v>
      </c>
      <c r="ER389" s="637">
        <f t="shared" si="871"/>
        <v>0</v>
      </c>
      <c r="ES389" s="637">
        <f t="shared" si="872"/>
        <v>0</v>
      </c>
      <c r="ET389" s="637">
        <f t="shared" si="873"/>
        <v>0</v>
      </c>
      <c r="EU389" s="643">
        <f t="shared" si="846"/>
        <v>0</v>
      </c>
      <c r="EV389" s="643">
        <f t="shared" si="847"/>
        <v>0</v>
      </c>
      <c r="EX389" s="829">
        <f t="shared" si="848"/>
        <v>0</v>
      </c>
      <c r="EY389" s="638">
        <f t="shared" si="849"/>
        <v>275412.04170937848</v>
      </c>
      <c r="FC389" s="830" t="str">
        <f t="shared" si="874"/>
        <v>Y</v>
      </c>
      <c r="FE389" s="830" t="str">
        <f>IFERROR(VLOOKUP($B389,'Historical Conc Grant Elig'!$B$3:$J$707,'HH &amp; SI'!FE$2,0),"N")</f>
        <v>Y</v>
      </c>
      <c r="FF389" s="830" t="str">
        <f>IFERROR(VLOOKUP($B389,'Historical Conc Grant Elig'!$B$3:$J$707,'HH &amp; SI'!FF$2,0),"N")</f>
        <v>Y</v>
      </c>
      <c r="FG389" s="830" t="str">
        <f>IFERROR(VLOOKUP($B389,'Historical Conc Grant Elig'!$B$3:$J$707,'HH &amp; SI'!FG$2,0),"N")</f>
        <v>Y</v>
      </c>
      <c r="FH389" s="830" t="str">
        <f>IFERROR(VLOOKUP($B389,'Historical Conc Grant Elig'!$B$3:$J$707,'HH &amp; SI'!FH$2,0),"N")</f>
        <v>Y</v>
      </c>
      <c r="FI389" s="830" t="str">
        <f>IFERROR(VLOOKUP($B389,'Historical Conc Grant Elig'!$B$3:$J$707,'HH &amp; SI'!FI$2,0),"N")</f>
        <v>Y</v>
      </c>
      <c r="FJ389" s="830" t="str">
        <f>IFERROR(VLOOKUP($B389,'Historical Conc Grant Elig'!$B$3:$J$707,'HH &amp; SI'!FJ$2,0),"N")</f>
        <v>Y</v>
      </c>
      <c r="FK389" s="830" t="str">
        <f>IFERROR(VLOOKUP($B389,'Historical Conc Grant Elig'!$B$3:$J$707,'HH &amp; SI'!FK$2,0),"N")</f>
        <v>Y</v>
      </c>
      <c r="FL389" s="957" t="str">
        <f>IFERROR(VLOOKUP($B389,'Historical Conc Grant Elig'!$B$3:$J$707,'HH &amp; SI'!FL$2,0),"N")</f>
        <v>Y</v>
      </c>
    </row>
    <row r="390" spans="2:168" x14ac:dyDescent="0.25">
      <c r="B390" s="634">
        <v>108767000</v>
      </c>
      <c r="C390" s="635" t="str">
        <f>VLOOKUP($B390,'Afton Update'!$A$5:$CR$582,'Afton Update'!D$589,0)</f>
        <v>Accelerated Elementary and Secondary Schools</v>
      </c>
      <c r="D390" s="636">
        <f>IFERROR(VLOOKUP($B390,'Afton FY16 Final'!$A$5:$BV$587,'Afton FY16 Final'!AQ$587,0),0)</f>
        <v>23144.772709919831</v>
      </c>
      <c r="E390" s="637">
        <f>IFERROR(VLOOKUP($B390,'Afton FY16 Final'!$A$5:$BV$587,'Afton FY16 Final'!AR$587,0),0)</f>
        <v>8375.9540549200574</v>
      </c>
      <c r="F390" s="637">
        <f>IFERROR(VLOOKUP($B390,'Afton FY16 Final'!$A$5:$BV$587,'Afton FY16 Final'!AS$587,0),0)</f>
        <v>13221.937576457789</v>
      </c>
      <c r="G390" s="637">
        <f>IFERROR(VLOOKUP($B390,'Afton FY16 Final'!$A$5:$BV$587,'Afton FY16 Final'!AT$587,0),0)</f>
        <v>12902.942685812117</v>
      </c>
      <c r="H390" s="638">
        <f>IFERROR(VLOOKUP($B390,'Afton FY16 Final'!$A$5:$BV$587,'Afton FY16 Final'!AU$587,0),0)</f>
        <v>57645.607027109792</v>
      </c>
      <c r="I390" s="639" t="str">
        <f>VLOOKUP($B390,'Afton Update'!$A$5:$CR$582,'Afton Update'!BT$589,0)</f>
        <v>Y</v>
      </c>
      <c r="J390" s="640" t="str">
        <f>VLOOKUP($B390,'Afton Update'!$A$5:$CR$582,'Afton Update'!BU$589,0)</f>
        <v>Y</v>
      </c>
      <c r="K390" s="640" t="str">
        <f>VLOOKUP($B390,'Afton Update'!$A$5:$CR$582,'Afton Update'!BV$589,0)</f>
        <v>Y</v>
      </c>
      <c r="L390" s="641" t="str">
        <f>VLOOKUP($B390,'Afton Update'!$A$5:$CR$582,'Afton Update'!BW$589,0)</f>
        <v>Y</v>
      </c>
      <c r="N390" s="642">
        <f>VLOOKUP($B390,'Afton Update'!$A$5:$CR$582,'Afton Update'!CB$589,0)</f>
        <v>0.9</v>
      </c>
      <c r="P390" s="636">
        <f>VLOOKUP($B390,'Afton Update'!$A$5:$CR$582,'Afton Update'!AH$589,0)</f>
        <v>26079.012554524488</v>
      </c>
      <c r="Q390" s="637">
        <f>VLOOKUP($B390,'Afton Update'!$A$5:$CR$582,'Afton Update'!AI$589,0)</f>
        <v>8562.9873485131047</v>
      </c>
      <c r="R390" s="637">
        <f>VLOOKUP($B390,'Afton Update'!$A$5:$CR$582,'Afton Update'!AJ$589,0)</f>
        <v>15856.823476492917</v>
      </c>
      <c r="S390" s="637">
        <f>VLOOKUP($B390,'Afton Update'!$A$5:$CR$582,'Afton Update'!AK$589,0)</f>
        <v>15403.697827109856</v>
      </c>
      <c r="T390" s="643">
        <f t="shared" si="875"/>
        <v>65902.521206640362</v>
      </c>
      <c r="V390" s="636">
        <f t="shared" si="1024"/>
        <v>25723.277896341344</v>
      </c>
      <c r="W390" s="637">
        <f t="shared" si="1025"/>
        <v>8280.9538523505435</v>
      </c>
      <c r="X390" s="637">
        <f t="shared" si="1026"/>
        <v>15712.611858036853</v>
      </c>
      <c r="Y390" s="637">
        <f t="shared" si="1027"/>
        <v>15233.976805127586</v>
      </c>
      <c r="Z390" s="643">
        <f t="shared" si="1028"/>
        <v>64950.82041185633</v>
      </c>
      <c r="AB390" s="644">
        <f t="shared" si="876"/>
        <v>26079.012554524488</v>
      </c>
      <c r="AC390" s="645">
        <f t="shared" si="850"/>
        <v>20830.295438927849</v>
      </c>
      <c r="AD390" s="644">
        <f t="shared" si="1029"/>
        <v>0</v>
      </c>
      <c r="AE390" s="645">
        <f t="shared" si="1030"/>
        <v>26079.012554524488</v>
      </c>
      <c r="AF390" s="646">
        <f t="shared" si="1031"/>
        <v>-323.26895846958047</v>
      </c>
      <c r="AG390" s="647">
        <f t="shared" si="1032"/>
        <v>25755.743596054908</v>
      </c>
      <c r="AH390" s="644">
        <f t="shared" si="877"/>
        <v>0</v>
      </c>
      <c r="AI390" s="645">
        <f t="shared" si="878"/>
        <v>25755.743596054908</v>
      </c>
      <c r="AJ390" s="646">
        <f t="shared" si="1033"/>
        <v>-32.445015915993544</v>
      </c>
      <c r="AK390" s="647">
        <f t="shared" si="879"/>
        <v>25723.298580138915</v>
      </c>
      <c r="AL390" s="644">
        <f t="shared" si="1034"/>
        <v>0</v>
      </c>
      <c r="AM390" s="645">
        <f t="shared" si="1035"/>
        <v>25723.298580138915</v>
      </c>
      <c r="AN390" s="646">
        <f t="shared" si="1036"/>
        <v>-2.0683797571482046E-2</v>
      </c>
      <c r="AO390" s="647">
        <f t="shared" si="880"/>
        <v>25723.277896341344</v>
      </c>
      <c r="AP390" s="644">
        <f t="shared" si="1037"/>
        <v>0</v>
      </c>
      <c r="AQ390" s="645">
        <f t="shared" si="1038"/>
        <v>25723.277896341344</v>
      </c>
      <c r="AR390" s="646">
        <f t="shared" si="1039"/>
        <v>0</v>
      </c>
      <c r="AS390" s="647">
        <f t="shared" si="881"/>
        <v>25723.277896341344</v>
      </c>
      <c r="AT390" s="644">
        <f t="shared" si="1040"/>
        <v>0</v>
      </c>
      <c r="AU390" s="645">
        <f t="shared" si="1041"/>
        <v>25723.277896341344</v>
      </c>
      <c r="AV390" s="646">
        <f t="shared" si="1042"/>
        <v>0</v>
      </c>
      <c r="AW390" s="647">
        <f t="shared" si="882"/>
        <v>25723.277896341344</v>
      </c>
      <c r="AY390" s="644">
        <f t="shared" si="1043"/>
        <v>8562.9873485131047</v>
      </c>
      <c r="AZ390" s="645">
        <f t="shared" si="851"/>
        <v>7538.3586494280516</v>
      </c>
      <c r="BA390" s="644">
        <f t="shared" si="1044"/>
        <v>0</v>
      </c>
      <c r="BB390" s="645">
        <f t="shared" si="1045"/>
        <v>8562.9873485131047</v>
      </c>
      <c r="BC390" s="646">
        <f t="shared" si="1046"/>
        <v>-61.578937538364947</v>
      </c>
      <c r="BD390" s="647">
        <f t="shared" si="1047"/>
        <v>8501.40841097474</v>
      </c>
      <c r="BE390" s="644">
        <f t="shared" si="883"/>
        <v>0</v>
      </c>
      <c r="BF390" s="645">
        <f t="shared" si="884"/>
        <v>8501.40841097474</v>
      </c>
      <c r="BG390" s="646">
        <f t="shared" si="1048"/>
        <v>-202.49662020138774</v>
      </c>
      <c r="BH390" s="647">
        <f t="shared" si="885"/>
        <v>8298.9117907733525</v>
      </c>
      <c r="BI390" s="644">
        <f t="shared" si="1049"/>
        <v>0</v>
      </c>
      <c r="BJ390" s="645">
        <f t="shared" si="1050"/>
        <v>8298.9117907733525</v>
      </c>
      <c r="BK390" s="646">
        <f t="shared" si="1051"/>
        <v>-17.579044354943509</v>
      </c>
      <c r="BL390" s="647">
        <f t="shared" si="886"/>
        <v>8281.3327464184094</v>
      </c>
      <c r="BM390" s="644">
        <f t="shared" si="1052"/>
        <v>0</v>
      </c>
      <c r="BN390" s="645">
        <f t="shared" si="1053"/>
        <v>8281.3327464184094</v>
      </c>
      <c r="BO390" s="646">
        <f t="shared" si="1054"/>
        <v>-0.37889406786614149</v>
      </c>
      <c r="BP390" s="647">
        <f t="shared" si="887"/>
        <v>8280.9538523505435</v>
      </c>
      <c r="BQ390" s="644">
        <f t="shared" si="1055"/>
        <v>0</v>
      </c>
      <c r="BR390" s="645">
        <f t="shared" si="1056"/>
        <v>8280.9538523505435</v>
      </c>
      <c r="BS390" s="646">
        <f t="shared" si="1057"/>
        <v>0</v>
      </c>
      <c r="BT390" s="647">
        <f t="shared" si="888"/>
        <v>8280.9538523505435</v>
      </c>
      <c r="BU390" s="662">
        <f>VLOOKUP(B390,'Afton Update'!$A$5:$AR$582,'Afton Update'!$AO$589,0)-BT390</f>
        <v>0</v>
      </c>
      <c r="BV390" s="644">
        <f t="shared" si="1058"/>
        <v>15856.823476492917</v>
      </c>
      <c r="BW390" s="645">
        <f t="shared" si="852"/>
        <v>11899.74381881201</v>
      </c>
      <c r="BX390" s="644">
        <f t="shared" si="1059"/>
        <v>0</v>
      </c>
      <c r="BY390" s="645">
        <f t="shared" si="1060"/>
        <v>15856.823476492917</v>
      </c>
      <c r="BZ390" s="646">
        <f t="shared" si="1061"/>
        <v>-139.17702553181647</v>
      </c>
      <c r="CA390" s="647">
        <f t="shared" si="1062"/>
        <v>15717.6464509611</v>
      </c>
      <c r="CB390" s="644">
        <f t="shared" si="889"/>
        <v>0</v>
      </c>
      <c r="CC390" s="645">
        <f t="shared" si="890"/>
        <v>15717.6464509611</v>
      </c>
      <c r="CD390" s="646">
        <f t="shared" si="1063"/>
        <v>-5.0345929242467768</v>
      </c>
      <c r="CE390" s="647">
        <f t="shared" si="891"/>
        <v>15712.611858036853</v>
      </c>
      <c r="CF390" s="644">
        <f t="shared" si="1064"/>
        <v>0</v>
      </c>
      <c r="CG390" s="645">
        <f t="shared" si="1065"/>
        <v>15712.611858036853</v>
      </c>
      <c r="CH390" s="646">
        <f t="shared" si="1066"/>
        <v>0</v>
      </c>
      <c r="CI390" s="647">
        <f t="shared" si="892"/>
        <v>15712.611858036853</v>
      </c>
      <c r="CJ390" s="644">
        <f t="shared" si="1067"/>
        <v>0</v>
      </c>
      <c r="CK390" s="645">
        <f t="shared" si="1068"/>
        <v>15712.611858036853</v>
      </c>
      <c r="CL390" s="646">
        <f t="shared" si="1069"/>
        <v>0</v>
      </c>
      <c r="CM390" s="647">
        <f t="shared" si="893"/>
        <v>15712.611858036853</v>
      </c>
      <c r="CN390" s="644">
        <f t="shared" si="1070"/>
        <v>0</v>
      </c>
      <c r="CO390" s="645">
        <f t="shared" si="1071"/>
        <v>15712.611858036853</v>
      </c>
      <c r="CP390" s="646">
        <f t="shared" si="1072"/>
        <v>0</v>
      </c>
      <c r="CQ390" s="647">
        <f t="shared" si="894"/>
        <v>15712.611858036853</v>
      </c>
      <c r="CS390" s="644">
        <f t="shared" si="1073"/>
        <v>15403.697827109856</v>
      </c>
      <c r="CT390" s="645">
        <f t="shared" si="853"/>
        <v>11612.648417230905</v>
      </c>
      <c r="CU390" s="644">
        <f t="shared" si="1074"/>
        <v>0</v>
      </c>
      <c r="CV390" s="645">
        <f t="shared" si="1075"/>
        <v>15403.697827109856</v>
      </c>
      <c r="CW390" s="646">
        <f t="shared" si="1076"/>
        <v>-157.74257071775406</v>
      </c>
      <c r="CX390" s="647">
        <f t="shared" si="1077"/>
        <v>15245.955256392102</v>
      </c>
      <c r="CY390" s="644">
        <f t="shared" si="895"/>
        <v>0</v>
      </c>
      <c r="CZ390" s="645">
        <f t="shared" si="896"/>
        <v>15245.955256392102</v>
      </c>
      <c r="DA390" s="646">
        <f t="shared" si="1078"/>
        <v>-11.968130242842518</v>
      </c>
      <c r="DB390" s="647">
        <f t="shared" si="897"/>
        <v>15233.987126149261</v>
      </c>
      <c r="DC390" s="644">
        <f t="shared" si="1079"/>
        <v>0</v>
      </c>
      <c r="DD390" s="645">
        <f t="shared" si="1080"/>
        <v>15233.987126149261</v>
      </c>
      <c r="DE390" s="646">
        <f t="shared" si="1081"/>
        <v>-1.0321021675457977E-2</v>
      </c>
      <c r="DF390" s="647">
        <f t="shared" si="898"/>
        <v>15233.976805127586</v>
      </c>
      <c r="DG390" s="644">
        <f t="shared" si="1082"/>
        <v>0</v>
      </c>
      <c r="DH390" s="645">
        <f t="shared" si="1083"/>
        <v>15233.976805127586</v>
      </c>
      <c r="DI390" s="646">
        <f t="shared" si="1084"/>
        <v>0</v>
      </c>
      <c r="DJ390" s="647">
        <f t="shared" si="899"/>
        <v>15233.976805127586</v>
      </c>
      <c r="DK390" s="644">
        <f t="shared" si="1085"/>
        <v>0</v>
      </c>
      <c r="DL390" s="645">
        <f t="shared" si="1086"/>
        <v>15233.976805127586</v>
      </c>
      <c r="DM390" s="646">
        <f t="shared" si="1087"/>
        <v>0</v>
      </c>
      <c r="DN390" s="647">
        <f t="shared" si="900"/>
        <v>15233.976805127586</v>
      </c>
      <c r="DR390" s="827">
        <f t="shared" si="854"/>
        <v>64950.82041185633</v>
      </c>
      <c r="DV390" s="828">
        <f>IFERROR(VLOOKUP($B390,'Afton FY16 Final'!$A$5:$BV$587,'Afton FY16 Final'!$BV$587,0),0)</f>
        <v>56510.565034292624</v>
      </c>
      <c r="DX390" s="636">
        <f t="shared" si="842"/>
        <v>64950.82041185633</v>
      </c>
      <c r="DY390" s="637">
        <f t="shared" si="843"/>
        <v>8440.2553775637061</v>
      </c>
      <c r="DZ390" s="637">
        <f t="shared" si="844"/>
        <v>56510.565034292624</v>
      </c>
      <c r="EA390" s="643">
        <f t="shared" si="845"/>
        <v>61496.164695832187</v>
      </c>
      <c r="EB390" s="637">
        <f t="shared" si="855"/>
        <v>0</v>
      </c>
      <c r="EC390" s="637">
        <f t="shared" si="856"/>
        <v>61496.164695832187</v>
      </c>
      <c r="ED390" s="637">
        <f t="shared" si="857"/>
        <v>61312.786804505376</v>
      </c>
      <c r="EE390" s="643">
        <f t="shared" si="858"/>
        <v>61312.786804505376</v>
      </c>
      <c r="EF390" s="637">
        <f t="shared" si="859"/>
        <v>0</v>
      </c>
      <c r="EG390" s="637">
        <f t="shared" si="860"/>
        <v>61312.786804505376</v>
      </c>
      <c r="EH390" s="637">
        <f t="shared" si="861"/>
        <v>61312.723550496448</v>
      </c>
      <c r="EI390" s="643">
        <f t="shared" si="862"/>
        <v>61312.723550496448</v>
      </c>
      <c r="EJ390" s="637">
        <f t="shared" si="863"/>
        <v>0</v>
      </c>
      <c r="EK390" s="637">
        <f t="shared" si="864"/>
        <v>61312.723550496448</v>
      </c>
      <c r="EL390" s="637">
        <f t="shared" si="865"/>
        <v>61312.723550496354</v>
      </c>
      <c r="EM390" s="643">
        <f t="shared" si="866"/>
        <v>61312.723550496354</v>
      </c>
      <c r="EN390" s="637">
        <f t="shared" si="867"/>
        <v>0</v>
      </c>
      <c r="EO390" s="637">
        <f t="shared" si="868"/>
        <v>61312.723550496354</v>
      </c>
      <c r="EP390" s="637">
        <f t="shared" si="869"/>
        <v>61312.723550496448</v>
      </c>
      <c r="EQ390" s="643">
        <f t="shared" si="870"/>
        <v>61312.723550496448</v>
      </c>
      <c r="ER390" s="637">
        <f t="shared" si="871"/>
        <v>0</v>
      </c>
      <c r="ES390" s="637">
        <f t="shared" si="872"/>
        <v>61312.723550496448</v>
      </c>
      <c r="ET390" s="637">
        <f t="shared" si="873"/>
        <v>61312.723550496354</v>
      </c>
      <c r="EU390" s="643">
        <f t="shared" si="846"/>
        <v>61312.723550496354</v>
      </c>
      <c r="EV390" s="643">
        <f t="shared" si="847"/>
        <v>0</v>
      </c>
      <c r="EX390" s="829">
        <f t="shared" si="848"/>
        <v>3638.0968613599762</v>
      </c>
      <c r="EY390" s="638">
        <f t="shared" si="849"/>
        <v>61312.723550496354</v>
      </c>
      <c r="FC390" s="830" t="str">
        <f t="shared" si="874"/>
        <v>Y</v>
      </c>
      <c r="FE390" s="830" t="str">
        <f>IFERROR(VLOOKUP($B390,'Historical Conc Grant Elig'!$B$3:$J$707,'HH &amp; SI'!FE$2,0),"N")</f>
        <v>Y</v>
      </c>
      <c r="FF390" s="830" t="str">
        <f>IFERROR(VLOOKUP($B390,'Historical Conc Grant Elig'!$B$3:$J$707,'HH &amp; SI'!FF$2,0),"N")</f>
        <v>Y</v>
      </c>
      <c r="FG390" s="830" t="str">
        <f>IFERROR(VLOOKUP($B390,'Historical Conc Grant Elig'!$B$3:$J$707,'HH &amp; SI'!FG$2,0),"N")</f>
        <v>Y</v>
      </c>
      <c r="FH390" s="830" t="str">
        <f>IFERROR(VLOOKUP($B390,'Historical Conc Grant Elig'!$B$3:$J$707,'HH &amp; SI'!FH$2,0),"N")</f>
        <v>Y</v>
      </c>
      <c r="FI390" s="830" t="str">
        <f>IFERROR(VLOOKUP($B390,'Historical Conc Grant Elig'!$B$3:$J$707,'HH &amp; SI'!FI$2,0),"N")</f>
        <v>Y</v>
      </c>
      <c r="FJ390" s="830" t="str">
        <f>IFERROR(VLOOKUP($B390,'Historical Conc Grant Elig'!$B$3:$J$707,'HH &amp; SI'!FJ$2,0),"N")</f>
        <v>Y</v>
      </c>
      <c r="FK390" s="830" t="str">
        <f>IFERROR(VLOOKUP($B390,'Historical Conc Grant Elig'!$B$3:$J$707,'HH &amp; SI'!FK$2,0),"N")</f>
        <v>Y</v>
      </c>
      <c r="FL390" s="957" t="str">
        <f>IFERROR(VLOOKUP($B390,'Historical Conc Grant Elig'!$B$3:$J$707,'HH &amp; SI'!FL$2,0),"N")</f>
        <v>Y</v>
      </c>
    </row>
    <row r="391" spans="2:168" x14ac:dyDescent="0.25">
      <c r="B391" s="634">
        <v>108768000</v>
      </c>
      <c r="C391" s="635" t="str">
        <f>VLOOKUP($B391,'Afton Update'!$A$5:$CR$582,'Afton Update'!D$589,0)</f>
        <v>Tucson Preparatory School</v>
      </c>
      <c r="D391" s="636">
        <f>IFERROR(VLOOKUP($B391,'Afton FY16 Final'!$A$5:$BV$587,'Afton FY16 Final'!AQ$587,0),0)</f>
        <v>20428.62182774724</v>
      </c>
      <c r="E391" s="637">
        <f>IFERROR(VLOOKUP($B391,'Afton FY16 Final'!$A$5:$BV$587,'Afton FY16 Final'!AR$587,0),0)</f>
        <v>7375.1250422962394</v>
      </c>
      <c r="F391" s="637">
        <f>IFERROR(VLOOKUP($B391,'Afton FY16 Final'!$A$5:$BV$587,'Afton FY16 Final'!AS$587,0),0)</f>
        <v>11194.19910128881</v>
      </c>
      <c r="G391" s="637">
        <f>IFERROR(VLOOKUP($B391,'Afton FY16 Final'!$A$5:$BV$587,'Afton FY16 Final'!AT$587,0),0)</f>
        <v>11520.111311831166</v>
      </c>
      <c r="H391" s="638">
        <f>IFERROR(VLOOKUP($B391,'Afton FY16 Final'!$A$5:$BV$587,'Afton FY16 Final'!AU$587,0),0)</f>
        <v>50518.057283163449</v>
      </c>
      <c r="I391" s="639" t="str">
        <f>VLOOKUP($B391,'Afton Update'!$A$5:$CR$582,'Afton Update'!BT$589,0)</f>
        <v>Y</v>
      </c>
      <c r="J391" s="640" t="str">
        <f>VLOOKUP($B391,'Afton Update'!$A$5:$CR$582,'Afton Update'!BU$589,0)</f>
        <v>Y</v>
      </c>
      <c r="K391" s="640" t="str">
        <f>VLOOKUP($B391,'Afton Update'!$A$5:$CR$582,'Afton Update'!BV$589,0)</f>
        <v>Y</v>
      </c>
      <c r="L391" s="641" t="str">
        <f>VLOOKUP($B391,'Afton Update'!$A$5:$CR$582,'Afton Update'!BW$589,0)</f>
        <v>Y</v>
      </c>
      <c r="N391" s="642">
        <f>VLOOKUP($B391,'Afton Update'!$A$5:$CR$582,'Afton Update'!CB$589,0)</f>
        <v>0.95</v>
      </c>
      <c r="P391" s="636">
        <f>VLOOKUP($B391,'Afton Update'!$A$5:$CR$582,'Afton Update'!AH$589,0)</f>
        <v>10273.550400267222</v>
      </c>
      <c r="Q391" s="637">
        <f>VLOOKUP($B391,'Afton Update'!$A$5:$CR$582,'Afton Update'!AI$589,0)</f>
        <v>5074.3485269083803</v>
      </c>
      <c r="R391" s="637">
        <f>VLOOKUP($B391,'Afton Update'!$A$5:$CR$582,'Afton Update'!AJ$589,0)</f>
        <v>6246.6274301335734</v>
      </c>
      <c r="S391" s="637">
        <f>VLOOKUP($B391,'Afton Update'!$A$5:$CR$582,'Afton Update'!AK$589,0)</f>
        <v>6068.1233864372161</v>
      </c>
      <c r="T391" s="643">
        <f t="shared" si="875"/>
        <v>27662.649743746391</v>
      </c>
      <c r="V391" s="636">
        <f t="shared" si="1024"/>
        <v>19407.190736359877</v>
      </c>
      <c r="W391" s="637">
        <f t="shared" si="1025"/>
        <v>7006.3687901814274</v>
      </c>
      <c r="X391" s="637">
        <f t="shared" si="1026"/>
        <v>10634.489146224369</v>
      </c>
      <c r="Y391" s="637">
        <f t="shared" si="1027"/>
        <v>10944.105746239607</v>
      </c>
      <c r="Z391" s="643">
        <f t="shared" si="1028"/>
        <v>47992.154419005274</v>
      </c>
      <c r="AB391" s="644">
        <f t="shared" si="876"/>
        <v>10273.550400267222</v>
      </c>
      <c r="AC391" s="645">
        <f t="shared" si="850"/>
        <v>19407.190736359877</v>
      </c>
      <c r="AD391" s="644">
        <f t="shared" si="1029"/>
        <v>9133.6403360926543</v>
      </c>
      <c r="AE391" s="645">
        <f t="shared" si="1030"/>
        <v>0</v>
      </c>
      <c r="AF391" s="646">
        <f t="shared" si="1031"/>
        <v>0</v>
      </c>
      <c r="AG391" s="647">
        <f t="shared" si="1032"/>
        <v>19407.190736359877</v>
      </c>
      <c r="AH391" s="644">
        <f t="shared" si="877"/>
        <v>0</v>
      </c>
      <c r="AI391" s="645">
        <f t="shared" si="878"/>
        <v>0</v>
      </c>
      <c r="AJ391" s="646">
        <f t="shared" si="1033"/>
        <v>0</v>
      </c>
      <c r="AK391" s="647">
        <f t="shared" si="879"/>
        <v>19407.190736359877</v>
      </c>
      <c r="AL391" s="644">
        <f t="shared" si="1034"/>
        <v>0</v>
      </c>
      <c r="AM391" s="645">
        <f t="shared" si="1035"/>
        <v>0</v>
      </c>
      <c r="AN391" s="646">
        <f t="shared" si="1036"/>
        <v>0</v>
      </c>
      <c r="AO391" s="647">
        <f t="shared" si="880"/>
        <v>19407.190736359877</v>
      </c>
      <c r="AP391" s="644">
        <f t="shared" si="1037"/>
        <v>0</v>
      </c>
      <c r="AQ391" s="645">
        <f t="shared" si="1038"/>
        <v>0</v>
      </c>
      <c r="AR391" s="646">
        <f t="shared" si="1039"/>
        <v>0</v>
      </c>
      <c r="AS391" s="647">
        <f t="shared" si="881"/>
        <v>19407.190736359877</v>
      </c>
      <c r="AT391" s="644">
        <f t="shared" si="1040"/>
        <v>0</v>
      </c>
      <c r="AU391" s="645">
        <f t="shared" si="1041"/>
        <v>0</v>
      </c>
      <c r="AV391" s="646">
        <f t="shared" si="1042"/>
        <v>0</v>
      </c>
      <c r="AW391" s="647">
        <f t="shared" si="882"/>
        <v>19407.190736359877</v>
      </c>
      <c r="AY391" s="644">
        <f t="shared" si="1043"/>
        <v>5074.3485269083803</v>
      </c>
      <c r="AZ391" s="645">
        <f t="shared" si="851"/>
        <v>7006.3687901814274</v>
      </c>
      <c r="BA391" s="644">
        <f t="shared" si="1044"/>
        <v>1932.020263273047</v>
      </c>
      <c r="BB391" s="645">
        <f t="shared" si="1045"/>
        <v>0</v>
      </c>
      <c r="BC391" s="646">
        <f t="shared" si="1046"/>
        <v>0</v>
      </c>
      <c r="BD391" s="647">
        <f t="shared" si="1047"/>
        <v>7006.3687901814274</v>
      </c>
      <c r="BE391" s="644">
        <f t="shared" si="883"/>
        <v>0</v>
      </c>
      <c r="BF391" s="645">
        <f t="shared" si="884"/>
        <v>0</v>
      </c>
      <c r="BG391" s="646">
        <f t="shared" si="1048"/>
        <v>0</v>
      </c>
      <c r="BH391" s="647">
        <f t="shared" si="885"/>
        <v>7006.3687901814274</v>
      </c>
      <c r="BI391" s="644">
        <f t="shared" si="1049"/>
        <v>0</v>
      </c>
      <c r="BJ391" s="645">
        <f t="shared" si="1050"/>
        <v>0</v>
      </c>
      <c r="BK391" s="646">
        <f t="shared" si="1051"/>
        <v>0</v>
      </c>
      <c r="BL391" s="647">
        <f t="shared" si="886"/>
        <v>7006.3687901814274</v>
      </c>
      <c r="BM391" s="644">
        <f t="shared" si="1052"/>
        <v>0</v>
      </c>
      <c r="BN391" s="645">
        <f t="shared" si="1053"/>
        <v>0</v>
      </c>
      <c r="BO391" s="646">
        <f t="shared" si="1054"/>
        <v>0</v>
      </c>
      <c r="BP391" s="647">
        <f t="shared" si="887"/>
        <v>7006.3687901814274</v>
      </c>
      <c r="BQ391" s="644">
        <f t="shared" si="1055"/>
        <v>0</v>
      </c>
      <c r="BR391" s="645">
        <f t="shared" si="1056"/>
        <v>0</v>
      </c>
      <c r="BS391" s="646">
        <f t="shared" si="1057"/>
        <v>0</v>
      </c>
      <c r="BT391" s="647">
        <f t="shared" si="888"/>
        <v>7006.3687901814274</v>
      </c>
      <c r="BU391" s="662">
        <f>VLOOKUP(B391,'Afton Update'!$A$5:$AR$582,'Afton Update'!$AO$589,0)-BT391</f>
        <v>0</v>
      </c>
      <c r="BV391" s="644">
        <f t="shared" si="1058"/>
        <v>6246.6274301335734</v>
      </c>
      <c r="BW391" s="645">
        <f t="shared" si="852"/>
        <v>10634.489146224369</v>
      </c>
      <c r="BX391" s="644">
        <f t="shared" si="1059"/>
        <v>4387.8617160907952</v>
      </c>
      <c r="BY391" s="645">
        <f t="shared" si="1060"/>
        <v>0</v>
      </c>
      <c r="BZ391" s="646">
        <f t="shared" si="1061"/>
        <v>0</v>
      </c>
      <c r="CA391" s="647">
        <f t="shared" si="1062"/>
        <v>10634.489146224369</v>
      </c>
      <c r="CB391" s="644">
        <f t="shared" si="889"/>
        <v>0</v>
      </c>
      <c r="CC391" s="645">
        <f t="shared" si="890"/>
        <v>0</v>
      </c>
      <c r="CD391" s="646">
        <f t="shared" si="1063"/>
        <v>0</v>
      </c>
      <c r="CE391" s="647">
        <f t="shared" si="891"/>
        <v>10634.489146224369</v>
      </c>
      <c r="CF391" s="644">
        <f t="shared" si="1064"/>
        <v>0</v>
      </c>
      <c r="CG391" s="645">
        <f t="shared" si="1065"/>
        <v>0</v>
      </c>
      <c r="CH391" s="646">
        <f t="shared" si="1066"/>
        <v>0</v>
      </c>
      <c r="CI391" s="647">
        <f t="shared" si="892"/>
        <v>10634.489146224369</v>
      </c>
      <c r="CJ391" s="644">
        <f t="shared" si="1067"/>
        <v>0</v>
      </c>
      <c r="CK391" s="645">
        <f t="shared" si="1068"/>
        <v>0</v>
      </c>
      <c r="CL391" s="646">
        <f t="shared" si="1069"/>
        <v>0</v>
      </c>
      <c r="CM391" s="647">
        <f t="shared" si="893"/>
        <v>10634.489146224369</v>
      </c>
      <c r="CN391" s="644">
        <f t="shared" si="1070"/>
        <v>0</v>
      </c>
      <c r="CO391" s="645">
        <f t="shared" si="1071"/>
        <v>0</v>
      </c>
      <c r="CP391" s="646">
        <f t="shared" si="1072"/>
        <v>0</v>
      </c>
      <c r="CQ391" s="647">
        <f t="shared" si="894"/>
        <v>10634.489146224369</v>
      </c>
      <c r="CS391" s="644">
        <f t="shared" si="1073"/>
        <v>6068.1233864372161</v>
      </c>
      <c r="CT391" s="645">
        <f t="shared" si="853"/>
        <v>10944.105746239607</v>
      </c>
      <c r="CU391" s="644">
        <f t="shared" si="1074"/>
        <v>4875.9823598023913</v>
      </c>
      <c r="CV391" s="645">
        <f t="shared" si="1075"/>
        <v>0</v>
      </c>
      <c r="CW391" s="646">
        <f t="shared" si="1076"/>
        <v>0</v>
      </c>
      <c r="CX391" s="647">
        <f t="shared" si="1077"/>
        <v>10944.105746239607</v>
      </c>
      <c r="CY391" s="644">
        <f t="shared" si="895"/>
        <v>0</v>
      </c>
      <c r="CZ391" s="645">
        <f t="shared" si="896"/>
        <v>0</v>
      </c>
      <c r="DA391" s="646">
        <f t="shared" si="1078"/>
        <v>0</v>
      </c>
      <c r="DB391" s="647">
        <f t="shared" si="897"/>
        <v>10944.105746239607</v>
      </c>
      <c r="DC391" s="644">
        <f t="shared" si="1079"/>
        <v>0</v>
      </c>
      <c r="DD391" s="645">
        <f t="shared" si="1080"/>
        <v>0</v>
      </c>
      <c r="DE391" s="646">
        <f t="shared" si="1081"/>
        <v>0</v>
      </c>
      <c r="DF391" s="647">
        <f t="shared" si="898"/>
        <v>10944.105746239607</v>
      </c>
      <c r="DG391" s="644">
        <f t="shared" si="1082"/>
        <v>0</v>
      </c>
      <c r="DH391" s="645">
        <f t="shared" si="1083"/>
        <v>0</v>
      </c>
      <c r="DI391" s="646">
        <f t="shared" si="1084"/>
        <v>0</v>
      </c>
      <c r="DJ391" s="647">
        <f t="shared" si="899"/>
        <v>10944.105746239607</v>
      </c>
      <c r="DK391" s="644">
        <f t="shared" si="1085"/>
        <v>0</v>
      </c>
      <c r="DL391" s="645">
        <f t="shared" si="1086"/>
        <v>0</v>
      </c>
      <c r="DM391" s="646">
        <f t="shared" si="1087"/>
        <v>0</v>
      </c>
      <c r="DN391" s="647">
        <f t="shared" si="900"/>
        <v>10944.105746239607</v>
      </c>
      <c r="DR391" s="827">
        <f t="shared" si="854"/>
        <v>47992.154419005274</v>
      </c>
      <c r="DV391" s="828">
        <f>IFERROR(VLOOKUP($B391,'Afton FY16 Final'!$A$5:$BV$587,'Afton FY16 Final'!$BV$587,0),0)</f>
        <v>49523.356743624194</v>
      </c>
      <c r="DX391" s="636">
        <f t="shared" si="842"/>
        <v>0</v>
      </c>
      <c r="DY391" s="637">
        <f t="shared" si="843"/>
        <v>0</v>
      </c>
      <c r="DZ391" s="637">
        <f t="shared" si="844"/>
        <v>0</v>
      </c>
      <c r="EA391" s="643">
        <f t="shared" si="845"/>
        <v>0</v>
      </c>
      <c r="EB391" s="637">
        <f t="shared" si="855"/>
        <v>0</v>
      </c>
      <c r="EC391" s="637">
        <f t="shared" si="856"/>
        <v>0</v>
      </c>
      <c r="ED391" s="637">
        <f t="shared" si="857"/>
        <v>0</v>
      </c>
      <c r="EE391" s="643">
        <f t="shared" si="858"/>
        <v>0</v>
      </c>
      <c r="EF391" s="637">
        <f t="shared" si="859"/>
        <v>0</v>
      </c>
      <c r="EG391" s="637">
        <f t="shared" si="860"/>
        <v>0</v>
      </c>
      <c r="EH391" s="637">
        <f t="shared" si="861"/>
        <v>0</v>
      </c>
      <c r="EI391" s="643">
        <f t="shared" si="862"/>
        <v>0</v>
      </c>
      <c r="EJ391" s="637">
        <f t="shared" si="863"/>
        <v>0</v>
      </c>
      <c r="EK391" s="637">
        <f t="shared" si="864"/>
        <v>0</v>
      </c>
      <c r="EL391" s="637">
        <f t="shared" si="865"/>
        <v>0</v>
      </c>
      <c r="EM391" s="643">
        <f t="shared" si="866"/>
        <v>0</v>
      </c>
      <c r="EN391" s="637">
        <f t="shared" si="867"/>
        <v>0</v>
      </c>
      <c r="EO391" s="637">
        <f t="shared" si="868"/>
        <v>0</v>
      </c>
      <c r="EP391" s="637">
        <f t="shared" si="869"/>
        <v>0</v>
      </c>
      <c r="EQ391" s="643">
        <f t="shared" si="870"/>
        <v>0</v>
      </c>
      <c r="ER391" s="637">
        <f t="shared" si="871"/>
        <v>0</v>
      </c>
      <c r="ES391" s="637">
        <f t="shared" si="872"/>
        <v>0</v>
      </c>
      <c r="ET391" s="637">
        <f t="shared" si="873"/>
        <v>0</v>
      </c>
      <c r="EU391" s="643">
        <f t="shared" si="846"/>
        <v>0</v>
      </c>
      <c r="EV391" s="643">
        <f t="shared" si="847"/>
        <v>0</v>
      </c>
      <c r="EX391" s="829">
        <f t="shared" si="848"/>
        <v>0</v>
      </c>
      <c r="EY391" s="638">
        <f t="shared" si="849"/>
        <v>47992.154419005274</v>
      </c>
      <c r="FC391" s="830" t="str">
        <f t="shared" si="874"/>
        <v>Y</v>
      </c>
      <c r="FE391" s="830" t="str">
        <f>IFERROR(VLOOKUP($B391,'Historical Conc Grant Elig'!$B$3:$J$707,'HH &amp; SI'!FE$2,0),"N")</f>
        <v>Y</v>
      </c>
      <c r="FF391" s="830" t="str">
        <f>IFERROR(VLOOKUP($B391,'Historical Conc Grant Elig'!$B$3:$J$707,'HH &amp; SI'!FF$2,0),"N")</f>
        <v>Y</v>
      </c>
      <c r="FG391" s="830" t="str">
        <f>IFERROR(VLOOKUP($B391,'Historical Conc Grant Elig'!$B$3:$J$707,'HH &amp; SI'!FG$2,0),"N")</f>
        <v>N</v>
      </c>
      <c r="FH391" s="830" t="str">
        <f>IFERROR(VLOOKUP($B391,'Historical Conc Grant Elig'!$B$3:$J$707,'HH &amp; SI'!FH$2,0),"N")</f>
        <v>Y</v>
      </c>
      <c r="FI391" s="830" t="str">
        <f>IFERROR(VLOOKUP($B391,'Historical Conc Grant Elig'!$B$3:$J$707,'HH &amp; SI'!FI$2,0),"N")</f>
        <v>Y</v>
      </c>
      <c r="FJ391" s="830" t="str">
        <f>IFERROR(VLOOKUP($B391,'Historical Conc Grant Elig'!$B$3:$J$707,'HH &amp; SI'!FJ$2,0),"N")</f>
        <v>Y</v>
      </c>
      <c r="FK391" s="830" t="str">
        <f>IFERROR(VLOOKUP($B391,'Historical Conc Grant Elig'!$B$3:$J$707,'HH &amp; SI'!FK$2,0),"N")</f>
        <v>Y</v>
      </c>
      <c r="FL391" s="957" t="str">
        <f>IFERROR(VLOOKUP($B391,'Historical Conc Grant Elig'!$B$3:$J$707,'HH &amp; SI'!FL$2,0),"N")</f>
        <v>Y</v>
      </c>
    </row>
    <row r="392" spans="2:168" x14ac:dyDescent="0.25">
      <c r="B392" s="634">
        <v>108770000</v>
      </c>
      <c r="C392" s="635" t="str">
        <f>VLOOKUP($B392,'Afton Update'!$A$5:$CR$582,'Afton Update'!D$589,0)</f>
        <v>Great Expectations Academy</v>
      </c>
      <c r="D392" s="636">
        <f>IFERROR(VLOOKUP($B392,'Afton FY16 Final'!$A$5:$BV$587,'Afton FY16 Final'!AQ$587,0),0)</f>
        <v>25058.707674588022</v>
      </c>
      <c r="E392" s="637">
        <f>IFERROR(VLOOKUP($B392,'Afton FY16 Final'!$A$5:$BV$587,'Afton FY16 Final'!AR$587,0),0)</f>
        <v>8794.6875781007057</v>
      </c>
      <c r="F392" s="637">
        <f>IFERROR(VLOOKUP($B392,'Afton FY16 Final'!$A$5:$BV$587,'Afton FY16 Final'!AS$587,0),0)</f>
        <v>14317.157773105042</v>
      </c>
      <c r="G392" s="637">
        <f>IFERROR(VLOOKUP($B392,'Afton FY16 Final'!$A$5:$BV$587,'Afton FY16 Final'!AT$587,0),0)</f>
        <v>13972.068348284911</v>
      </c>
      <c r="H392" s="638">
        <f>IFERROR(VLOOKUP($B392,'Afton FY16 Final'!$A$5:$BV$587,'Afton FY16 Final'!AU$587,0),0)</f>
        <v>62142.621374078684</v>
      </c>
      <c r="I392" s="639" t="str">
        <f>VLOOKUP($B392,'Afton Update'!$A$5:$CR$582,'Afton Update'!BT$589,0)</f>
        <v>Y</v>
      </c>
      <c r="J392" s="640" t="str">
        <f>VLOOKUP($B392,'Afton Update'!$A$5:$CR$582,'Afton Update'!BU$589,0)</f>
        <v>Y</v>
      </c>
      <c r="K392" s="640" t="str">
        <f>VLOOKUP($B392,'Afton Update'!$A$5:$CR$582,'Afton Update'!BV$589,0)</f>
        <v>Y</v>
      </c>
      <c r="L392" s="641" t="str">
        <f>VLOOKUP($B392,'Afton Update'!$A$5:$CR$582,'Afton Update'!BW$589,0)</f>
        <v>Y</v>
      </c>
      <c r="N392" s="642">
        <f>VLOOKUP($B392,'Afton Update'!$A$5:$CR$582,'Afton Update'!CB$589,0)</f>
        <v>0.9</v>
      </c>
      <c r="P392" s="636">
        <f>VLOOKUP($B392,'Afton Update'!$A$5:$CR$582,'Afton Update'!AH$589,0)</f>
        <v>21337.373908247311</v>
      </c>
      <c r="Q392" s="637">
        <f>VLOOKUP($B392,'Afton Update'!$A$5:$CR$582,'Afton Update'!AI$589,0)</f>
        <v>7516.3957020316875</v>
      </c>
      <c r="R392" s="637">
        <f>VLOOKUP($B392,'Afton Update'!$A$5:$CR$582,'Afton Update'!AJ$589,0)</f>
        <v>12973.764662585114</v>
      </c>
      <c r="S392" s="637">
        <f>VLOOKUP($B392,'Afton Update'!$A$5:$CR$582,'Afton Update'!AK$589,0)</f>
        <v>12603.025494908065</v>
      </c>
      <c r="T392" s="643">
        <f t="shared" si="875"/>
        <v>54430.559767772174</v>
      </c>
      <c r="V392" s="636">
        <f t="shared" si="1024"/>
        <v>22552.836907129222</v>
      </c>
      <c r="W392" s="637">
        <f t="shared" si="1025"/>
        <v>7915.2188202906354</v>
      </c>
      <c r="X392" s="637">
        <f t="shared" si="1026"/>
        <v>12885.441995794537</v>
      </c>
      <c r="Y392" s="637">
        <f t="shared" si="1027"/>
        <v>12574.861513456421</v>
      </c>
      <c r="Z392" s="643">
        <f t="shared" si="1028"/>
        <v>55928.359236670818</v>
      </c>
      <c r="AB392" s="644">
        <f t="shared" si="876"/>
        <v>21337.373908247311</v>
      </c>
      <c r="AC392" s="645">
        <f t="shared" si="850"/>
        <v>22552.836907129222</v>
      </c>
      <c r="AD392" s="644">
        <f t="shared" si="1029"/>
        <v>1215.4629988819106</v>
      </c>
      <c r="AE392" s="645">
        <f t="shared" si="1030"/>
        <v>0</v>
      </c>
      <c r="AF392" s="646">
        <f t="shared" si="1031"/>
        <v>0</v>
      </c>
      <c r="AG392" s="647">
        <f t="shared" si="1032"/>
        <v>22552.836907129222</v>
      </c>
      <c r="AH392" s="644">
        <f t="shared" si="877"/>
        <v>0</v>
      </c>
      <c r="AI392" s="645">
        <f t="shared" si="878"/>
        <v>0</v>
      </c>
      <c r="AJ392" s="646">
        <f t="shared" si="1033"/>
        <v>0</v>
      </c>
      <c r="AK392" s="647">
        <f t="shared" si="879"/>
        <v>22552.836907129222</v>
      </c>
      <c r="AL392" s="644">
        <f t="shared" si="1034"/>
        <v>0</v>
      </c>
      <c r="AM392" s="645">
        <f t="shared" si="1035"/>
        <v>0</v>
      </c>
      <c r="AN392" s="646">
        <f t="shared" si="1036"/>
        <v>0</v>
      </c>
      <c r="AO392" s="647">
        <f t="shared" si="880"/>
        <v>22552.836907129222</v>
      </c>
      <c r="AP392" s="644">
        <f t="shared" si="1037"/>
        <v>0</v>
      </c>
      <c r="AQ392" s="645">
        <f t="shared" si="1038"/>
        <v>0</v>
      </c>
      <c r="AR392" s="646">
        <f t="shared" si="1039"/>
        <v>0</v>
      </c>
      <c r="AS392" s="647">
        <f t="shared" si="881"/>
        <v>22552.836907129222</v>
      </c>
      <c r="AT392" s="644">
        <f t="shared" si="1040"/>
        <v>0</v>
      </c>
      <c r="AU392" s="645">
        <f t="shared" si="1041"/>
        <v>0</v>
      </c>
      <c r="AV392" s="646">
        <f t="shared" si="1042"/>
        <v>0</v>
      </c>
      <c r="AW392" s="647">
        <f t="shared" si="882"/>
        <v>22552.836907129222</v>
      </c>
      <c r="AY392" s="644">
        <f t="shared" si="1043"/>
        <v>7516.3957020316875</v>
      </c>
      <c r="AZ392" s="645">
        <f t="shared" si="851"/>
        <v>7915.2188202906354</v>
      </c>
      <c r="BA392" s="644">
        <f t="shared" si="1044"/>
        <v>398.82311825894794</v>
      </c>
      <c r="BB392" s="645">
        <f t="shared" si="1045"/>
        <v>0</v>
      </c>
      <c r="BC392" s="646">
        <f t="shared" si="1046"/>
        <v>0</v>
      </c>
      <c r="BD392" s="647">
        <f t="shared" si="1047"/>
        <v>7915.2188202906354</v>
      </c>
      <c r="BE392" s="644">
        <f t="shared" si="883"/>
        <v>0</v>
      </c>
      <c r="BF392" s="645">
        <f t="shared" si="884"/>
        <v>0</v>
      </c>
      <c r="BG392" s="646">
        <f t="shared" si="1048"/>
        <v>0</v>
      </c>
      <c r="BH392" s="647">
        <f t="shared" si="885"/>
        <v>7915.2188202906354</v>
      </c>
      <c r="BI392" s="644">
        <f t="shared" si="1049"/>
        <v>0</v>
      </c>
      <c r="BJ392" s="645">
        <f t="shared" si="1050"/>
        <v>0</v>
      </c>
      <c r="BK392" s="646">
        <f t="shared" si="1051"/>
        <v>0</v>
      </c>
      <c r="BL392" s="647">
        <f t="shared" si="886"/>
        <v>7915.2188202906354</v>
      </c>
      <c r="BM392" s="644">
        <f t="shared" si="1052"/>
        <v>0</v>
      </c>
      <c r="BN392" s="645">
        <f t="shared" si="1053"/>
        <v>0</v>
      </c>
      <c r="BO392" s="646">
        <f t="shared" si="1054"/>
        <v>0</v>
      </c>
      <c r="BP392" s="647">
        <f t="shared" si="887"/>
        <v>7915.2188202906354</v>
      </c>
      <c r="BQ392" s="644">
        <f t="shared" si="1055"/>
        <v>0</v>
      </c>
      <c r="BR392" s="645">
        <f t="shared" si="1056"/>
        <v>0</v>
      </c>
      <c r="BS392" s="646">
        <f t="shared" si="1057"/>
        <v>0</v>
      </c>
      <c r="BT392" s="647">
        <f t="shared" si="888"/>
        <v>7915.2188202906354</v>
      </c>
      <c r="BU392" s="662">
        <f>VLOOKUP(B392,'Afton Update'!$A$5:$AR$582,'Afton Update'!$AO$589,0)-BT392</f>
        <v>0</v>
      </c>
      <c r="BV392" s="644">
        <f t="shared" si="1058"/>
        <v>12973.764662585114</v>
      </c>
      <c r="BW392" s="645">
        <f t="shared" si="852"/>
        <v>12885.441995794537</v>
      </c>
      <c r="BX392" s="644">
        <f t="shared" si="1059"/>
        <v>0</v>
      </c>
      <c r="BY392" s="645">
        <f t="shared" si="1060"/>
        <v>12973.764662585114</v>
      </c>
      <c r="BZ392" s="646">
        <f t="shared" si="1061"/>
        <v>-113.87211179875894</v>
      </c>
      <c r="CA392" s="647">
        <f t="shared" si="1062"/>
        <v>12859.892550786355</v>
      </c>
      <c r="CB392" s="644">
        <f t="shared" si="889"/>
        <v>-25.549445008182374</v>
      </c>
      <c r="CC392" s="645">
        <f t="shared" si="890"/>
        <v>0</v>
      </c>
      <c r="CD392" s="646">
        <f t="shared" si="1063"/>
        <v>0</v>
      </c>
      <c r="CE392" s="647">
        <f t="shared" si="891"/>
        <v>12885.441995794537</v>
      </c>
      <c r="CF392" s="644">
        <f t="shared" si="1064"/>
        <v>0</v>
      </c>
      <c r="CG392" s="645">
        <f t="shared" si="1065"/>
        <v>0</v>
      </c>
      <c r="CH392" s="646">
        <f t="shared" si="1066"/>
        <v>0</v>
      </c>
      <c r="CI392" s="647">
        <f t="shared" si="892"/>
        <v>12885.441995794537</v>
      </c>
      <c r="CJ392" s="644">
        <f t="shared" si="1067"/>
        <v>0</v>
      </c>
      <c r="CK392" s="645">
        <f t="shared" si="1068"/>
        <v>0</v>
      </c>
      <c r="CL392" s="646">
        <f t="shared" si="1069"/>
        <v>0</v>
      </c>
      <c r="CM392" s="647">
        <f t="shared" si="893"/>
        <v>12885.441995794537</v>
      </c>
      <c r="CN392" s="644">
        <f t="shared" si="1070"/>
        <v>0</v>
      </c>
      <c r="CO392" s="645">
        <f t="shared" si="1071"/>
        <v>0</v>
      </c>
      <c r="CP392" s="646">
        <f t="shared" si="1072"/>
        <v>0</v>
      </c>
      <c r="CQ392" s="647">
        <f t="shared" si="894"/>
        <v>12885.441995794537</v>
      </c>
      <c r="CS392" s="644">
        <f t="shared" si="1073"/>
        <v>12603.025494908065</v>
      </c>
      <c r="CT392" s="645">
        <f t="shared" si="853"/>
        <v>12574.861513456421</v>
      </c>
      <c r="CU392" s="644">
        <f t="shared" si="1074"/>
        <v>0</v>
      </c>
      <c r="CV392" s="645">
        <f t="shared" si="1075"/>
        <v>12603.025494908065</v>
      </c>
      <c r="CW392" s="646">
        <f t="shared" si="1076"/>
        <v>-129.06210331452604</v>
      </c>
      <c r="CX392" s="647">
        <f t="shared" si="1077"/>
        <v>12473.963391593539</v>
      </c>
      <c r="CY392" s="644">
        <f t="shared" si="895"/>
        <v>-100.89812186288145</v>
      </c>
      <c r="CZ392" s="645">
        <f t="shared" si="896"/>
        <v>0</v>
      </c>
      <c r="DA392" s="646">
        <f t="shared" si="1078"/>
        <v>0</v>
      </c>
      <c r="DB392" s="647">
        <f t="shared" si="897"/>
        <v>12574.861513456421</v>
      </c>
      <c r="DC392" s="644">
        <f t="shared" si="1079"/>
        <v>0</v>
      </c>
      <c r="DD392" s="645">
        <f t="shared" si="1080"/>
        <v>0</v>
      </c>
      <c r="DE392" s="646">
        <f t="shared" si="1081"/>
        <v>0</v>
      </c>
      <c r="DF392" s="647">
        <f t="shared" si="898"/>
        <v>12574.861513456421</v>
      </c>
      <c r="DG392" s="644">
        <f t="shared" si="1082"/>
        <v>0</v>
      </c>
      <c r="DH392" s="645">
        <f t="shared" si="1083"/>
        <v>0</v>
      </c>
      <c r="DI392" s="646">
        <f t="shared" si="1084"/>
        <v>0</v>
      </c>
      <c r="DJ392" s="647">
        <f t="shared" si="899"/>
        <v>12574.861513456421</v>
      </c>
      <c r="DK392" s="644">
        <f t="shared" si="1085"/>
        <v>0</v>
      </c>
      <c r="DL392" s="645">
        <f t="shared" si="1086"/>
        <v>0</v>
      </c>
      <c r="DM392" s="646">
        <f t="shared" si="1087"/>
        <v>0</v>
      </c>
      <c r="DN392" s="647">
        <f t="shared" si="900"/>
        <v>12574.861513456421</v>
      </c>
      <c r="DR392" s="827">
        <f t="shared" si="854"/>
        <v>55928.359236670818</v>
      </c>
      <c r="DV392" s="828">
        <f>IFERROR(VLOOKUP($B392,'Afton FY16 Final'!$A$5:$BV$587,'Afton FY16 Final'!$BV$587,0),0)</f>
        <v>55172.107105148032</v>
      </c>
      <c r="DX392" s="636">
        <f t="shared" ref="DX392:DX455" si="1274">IF(DR392&gt;DV392,DR392,0)</f>
        <v>55928.359236670818</v>
      </c>
      <c r="DY392" s="637">
        <f t="shared" ref="DY392:DY455" si="1275">IF(DX392&gt;0,DX392-DV392,0)</f>
        <v>756.25213152278593</v>
      </c>
      <c r="DZ392" s="637">
        <f t="shared" ref="DZ392:DZ455" si="1276">IF(DX392=0,0,DV392)</f>
        <v>55172.107105148032</v>
      </c>
      <c r="EA392" s="643">
        <f t="shared" ref="EA392:EA455" si="1277">DX392/$DX$2*$EA$2</f>
        <v>52953.59733682657</v>
      </c>
      <c r="EB392" s="637">
        <f t="shared" si="855"/>
        <v>55172.107105148032</v>
      </c>
      <c r="EC392" s="637">
        <f t="shared" si="856"/>
        <v>0</v>
      </c>
      <c r="ED392" s="637">
        <f t="shared" si="857"/>
        <v>0</v>
      </c>
      <c r="EE392" s="643">
        <f t="shared" si="858"/>
        <v>55172.107105148032</v>
      </c>
      <c r="EF392" s="637">
        <f t="shared" si="859"/>
        <v>0</v>
      </c>
      <c r="EG392" s="637">
        <f t="shared" si="860"/>
        <v>0</v>
      </c>
      <c r="EH392" s="637">
        <f t="shared" si="861"/>
        <v>0</v>
      </c>
      <c r="EI392" s="643">
        <f t="shared" si="862"/>
        <v>55172.107105148032</v>
      </c>
      <c r="EJ392" s="637">
        <f t="shared" si="863"/>
        <v>0</v>
      </c>
      <c r="EK392" s="637">
        <f t="shared" si="864"/>
        <v>0</v>
      </c>
      <c r="EL392" s="637">
        <f t="shared" si="865"/>
        <v>0</v>
      </c>
      <c r="EM392" s="643">
        <f t="shared" si="866"/>
        <v>55172.107105148032</v>
      </c>
      <c r="EN392" s="637">
        <f t="shared" si="867"/>
        <v>0</v>
      </c>
      <c r="EO392" s="637">
        <f t="shared" si="868"/>
        <v>0</v>
      </c>
      <c r="EP392" s="637">
        <f t="shared" si="869"/>
        <v>0</v>
      </c>
      <c r="EQ392" s="643">
        <f t="shared" si="870"/>
        <v>55172.107105148032</v>
      </c>
      <c r="ER392" s="637">
        <f t="shared" si="871"/>
        <v>0</v>
      </c>
      <c r="ES392" s="637">
        <f t="shared" si="872"/>
        <v>0</v>
      </c>
      <c r="ET392" s="637">
        <f t="shared" si="873"/>
        <v>0</v>
      </c>
      <c r="EU392" s="643">
        <f t="shared" ref="EU392:EU455" si="1278">$EJ392+$EF392+$EB392+ET392+ER392+EN392</f>
        <v>55172.107105148032</v>
      </c>
      <c r="EV392" s="643">
        <f t="shared" ref="EV392:EV455" si="1279">IF(EU392&lt;$DZ392,$DZ392,0)</f>
        <v>0</v>
      </c>
      <c r="EX392" s="829">
        <f t="shared" ref="EX392:EX455" si="1280">IF(EU392=0,0,DR392-EU392)</f>
        <v>756.25213152278593</v>
      </c>
      <c r="EY392" s="638">
        <f t="shared" ref="EY392:EY455" si="1281">IF(EU392=0,DR392,EU392)</f>
        <v>55172.107105148032</v>
      </c>
      <c r="FC392" s="830" t="str">
        <f t="shared" si="874"/>
        <v>Y</v>
      </c>
      <c r="FE392" s="830" t="str">
        <f>IFERROR(VLOOKUP($B392,'Historical Conc Grant Elig'!$B$3:$J$707,'HH &amp; SI'!FE$2,0),"N")</f>
        <v>N</v>
      </c>
      <c r="FF392" s="830" t="str">
        <f>IFERROR(VLOOKUP($B392,'Historical Conc Grant Elig'!$B$3:$J$707,'HH &amp; SI'!FF$2,0),"N")</f>
        <v>Y</v>
      </c>
      <c r="FG392" s="830" t="str">
        <f>IFERROR(VLOOKUP($B392,'Historical Conc Grant Elig'!$B$3:$J$707,'HH &amp; SI'!FG$2,0),"N")</f>
        <v>N</v>
      </c>
      <c r="FH392" s="830" t="str">
        <f>IFERROR(VLOOKUP($B392,'Historical Conc Grant Elig'!$B$3:$J$707,'HH &amp; SI'!FH$2,0),"N")</f>
        <v>N</v>
      </c>
      <c r="FI392" s="830" t="str">
        <f>IFERROR(VLOOKUP($B392,'Historical Conc Grant Elig'!$B$3:$J$707,'HH &amp; SI'!FI$2,0),"N")</f>
        <v>Y</v>
      </c>
      <c r="FJ392" s="830" t="str">
        <f>IFERROR(VLOOKUP($B392,'Historical Conc Grant Elig'!$B$3:$J$707,'HH &amp; SI'!FJ$2,0),"N")</f>
        <v>Y</v>
      </c>
      <c r="FK392" s="830" t="str">
        <f>IFERROR(VLOOKUP($B392,'Historical Conc Grant Elig'!$B$3:$J$707,'HH &amp; SI'!FK$2,0),"N")</f>
        <v>Y</v>
      </c>
      <c r="FL392" s="957" t="str">
        <f>IFERROR(VLOOKUP($B392,'Historical Conc Grant Elig'!$B$3:$J$707,'HH &amp; SI'!FL$2,0),"N")</f>
        <v>Y</v>
      </c>
    </row>
    <row r="393" spans="2:168" x14ac:dyDescent="0.25">
      <c r="B393" s="634">
        <v>108775000</v>
      </c>
      <c r="C393" s="635" t="str">
        <f>VLOOKUP($B393,'Afton Update'!$A$5:$CR$582,'Afton Update'!D$589,0)</f>
        <v>Highland Free School</v>
      </c>
      <c r="D393" s="636">
        <f>IFERROR(VLOOKUP($B393,'Afton FY16 Final'!$A$5:$BV$587,'Afton FY16 Final'!AQ$587,0),0)</f>
        <v>0</v>
      </c>
      <c r="E393" s="637">
        <f>IFERROR(VLOOKUP($B393,'Afton FY16 Final'!$A$5:$BV$587,'Afton FY16 Final'!AR$587,0),0)</f>
        <v>4262.5786949450539</v>
      </c>
      <c r="F393" s="637">
        <f>IFERROR(VLOOKUP($B393,'Afton FY16 Final'!$A$5:$BV$587,'Afton FY16 Final'!AS$587,0),0)</f>
        <v>0</v>
      </c>
      <c r="G393" s="637">
        <f>IFERROR(VLOOKUP($B393,'Afton FY16 Final'!$A$5:$BV$587,'Afton FY16 Final'!AT$587,0),0)</f>
        <v>0</v>
      </c>
      <c r="H393" s="638">
        <f>IFERROR(VLOOKUP($B393,'Afton FY16 Final'!$A$5:$BV$587,'Afton FY16 Final'!AU$587,0),0)</f>
        <v>4262.5786949450539</v>
      </c>
      <c r="I393" s="639" t="str">
        <f>VLOOKUP($B393,'Afton Update'!$A$5:$CR$582,'Afton Update'!BT$589,0)</f>
        <v>Y</v>
      </c>
      <c r="J393" s="640" t="str">
        <f>VLOOKUP($B393,'Afton Update'!$A$5:$CR$582,'Afton Update'!BU$589,0)</f>
        <v>Y</v>
      </c>
      <c r="K393" s="640" t="str">
        <f>VLOOKUP($B393,'Afton Update'!$A$5:$CR$582,'Afton Update'!BV$589,0)</f>
        <v>Y</v>
      </c>
      <c r="L393" s="641" t="str">
        <f>VLOOKUP($B393,'Afton Update'!$A$5:$CR$582,'Afton Update'!BW$589,0)</f>
        <v>Y</v>
      </c>
      <c r="N393" s="642">
        <f>VLOOKUP($B393,'Afton Update'!$A$5:$CR$582,'Afton Update'!CB$589,0)</f>
        <v>0.95</v>
      </c>
      <c r="P393" s="636">
        <f>VLOOKUP($B393,'Afton Update'!$A$5:$CR$582,'Afton Update'!AH$589,0)</f>
        <v>6849.0336001781488</v>
      </c>
      <c r="Q393" s="637">
        <f>VLOOKUP($B393,'Afton Update'!$A$5:$CR$582,'Afton Update'!AI$589,0)</f>
        <v>4318.476782227357</v>
      </c>
      <c r="R393" s="637">
        <f>VLOOKUP($B393,'Afton Update'!$A$5:$CR$582,'Afton Update'!AJ$589,0)</f>
        <v>4164.4182867557156</v>
      </c>
      <c r="S393" s="637">
        <f>VLOOKUP($B393,'Afton Update'!$A$5:$CR$582,'Afton Update'!AK$589,0)</f>
        <v>4045.4155909581441</v>
      </c>
      <c r="T393" s="643">
        <f t="shared" si="875"/>
        <v>19377.344260119367</v>
      </c>
      <c r="V393" s="636">
        <f t="shared" si="1024"/>
        <v>6755.6083364128781</v>
      </c>
      <c r="W393" s="637">
        <f t="shared" si="1025"/>
        <v>4176.241945783283</v>
      </c>
      <c r="X393" s="637">
        <f t="shared" si="1026"/>
        <v>4126.5445283733152</v>
      </c>
      <c r="Y393" s="637">
        <f t="shared" si="1027"/>
        <v>4000.8423932658297</v>
      </c>
      <c r="Z393" s="643">
        <f t="shared" si="1028"/>
        <v>19059.237203835306</v>
      </c>
      <c r="AB393" s="644">
        <f t="shared" si="876"/>
        <v>6849.0336001781488</v>
      </c>
      <c r="AC393" s="645">
        <f t="shared" si="850"/>
        <v>0</v>
      </c>
      <c r="AD393" s="644">
        <f t="shared" si="1029"/>
        <v>0</v>
      </c>
      <c r="AE393" s="645">
        <f t="shared" si="1030"/>
        <v>6849.0336001781488</v>
      </c>
      <c r="AF393" s="646">
        <f t="shared" si="1031"/>
        <v>-84.898918385950438</v>
      </c>
      <c r="AG393" s="647">
        <f t="shared" si="1032"/>
        <v>6764.1346817921985</v>
      </c>
      <c r="AH393" s="644">
        <f t="shared" si="877"/>
        <v>0</v>
      </c>
      <c r="AI393" s="645">
        <f t="shared" si="878"/>
        <v>6764.1346817921985</v>
      </c>
      <c r="AJ393" s="646">
        <f t="shared" si="1033"/>
        <v>-8.5209132708669912</v>
      </c>
      <c r="AK393" s="647">
        <f t="shared" si="879"/>
        <v>6755.6137685213316</v>
      </c>
      <c r="AL393" s="644">
        <f t="shared" si="1034"/>
        <v>0</v>
      </c>
      <c r="AM393" s="645">
        <f t="shared" si="1035"/>
        <v>6755.6137685213316</v>
      </c>
      <c r="AN393" s="646">
        <f t="shared" si="1036"/>
        <v>-5.4321084531164963E-3</v>
      </c>
      <c r="AO393" s="647">
        <f t="shared" si="880"/>
        <v>6755.6083364128781</v>
      </c>
      <c r="AP393" s="644">
        <f t="shared" si="1037"/>
        <v>0</v>
      </c>
      <c r="AQ393" s="645">
        <f t="shared" si="1038"/>
        <v>6755.6083364128781</v>
      </c>
      <c r="AR393" s="646">
        <f t="shared" si="1039"/>
        <v>0</v>
      </c>
      <c r="AS393" s="647">
        <f t="shared" si="881"/>
        <v>6755.6083364128781</v>
      </c>
      <c r="AT393" s="644">
        <f t="shared" si="1040"/>
        <v>0</v>
      </c>
      <c r="AU393" s="645">
        <f t="shared" si="1041"/>
        <v>6755.6083364128781</v>
      </c>
      <c r="AV393" s="646">
        <f t="shared" si="1042"/>
        <v>0</v>
      </c>
      <c r="AW393" s="647">
        <f t="shared" si="882"/>
        <v>6755.6083364128781</v>
      </c>
      <c r="AY393" s="644">
        <f t="shared" si="1043"/>
        <v>4318.476782227357</v>
      </c>
      <c r="AZ393" s="645">
        <f t="shared" ref="AZ393:AZ456" si="1282">IF(AND($J393="N",FC393="N"),0,E393*$N393)</f>
        <v>4049.449760197801</v>
      </c>
      <c r="BA393" s="644">
        <f t="shared" si="1044"/>
        <v>0</v>
      </c>
      <c r="BB393" s="645">
        <f t="shared" si="1045"/>
        <v>4318.476782227357</v>
      </c>
      <c r="BC393" s="646">
        <f t="shared" si="1046"/>
        <v>-31.05542507660412</v>
      </c>
      <c r="BD393" s="647">
        <f t="shared" si="1047"/>
        <v>4287.4213571507526</v>
      </c>
      <c r="BE393" s="644">
        <f t="shared" si="883"/>
        <v>0</v>
      </c>
      <c r="BF393" s="645">
        <f t="shared" si="884"/>
        <v>4287.4213571507526</v>
      </c>
      <c r="BG393" s="646">
        <f t="shared" si="1048"/>
        <v>-102.12288273099576</v>
      </c>
      <c r="BH393" s="647">
        <f t="shared" si="885"/>
        <v>4185.2984744197565</v>
      </c>
      <c r="BI393" s="644">
        <f t="shared" si="1049"/>
        <v>0</v>
      </c>
      <c r="BJ393" s="645">
        <f t="shared" si="1050"/>
        <v>4185.2984744197565</v>
      </c>
      <c r="BK393" s="646">
        <f t="shared" si="1051"/>
        <v>-8.865445178282366</v>
      </c>
      <c r="BL393" s="647">
        <f t="shared" si="886"/>
        <v>4176.4330292414743</v>
      </c>
      <c r="BM393" s="644">
        <f t="shared" si="1052"/>
        <v>0</v>
      </c>
      <c r="BN393" s="645">
        <f t="shared" si="1053"/>
        <v>4176.4330292414743</v>
      </c>
      <c r="BO393" s="646">
        <f t="shared" si="1054"/>
        <v>-0.19108345819146041</v>
      </c>
      <c r="BP393" s="647">
        <f t="shared" si="887"/>
        <v>4176.241945783283</v>
      </c>
      <c r="BQ393" s="644">
        <f t="shared" si="1055"/>
        <v>0</v>
      </c>
      <c r="BR393" s="645">
        <f t="shared" si="1056"/>
        <v>4176.241945783283</v>
      </c>
      <c r="BS393" s="646">
        <f t="shared" si="1057"/>
        <v>0</v>
      </c>
      <c r="BT393" s="647">
        <f t="shared" si="888"/>
        <v>4176.241945783283</v>
      </c>
      <c r="BU393" s="662">
        <f>VLOOKUP(B393,'Afton Update'!$A$5:$AR$582,'Afton Update'!$AO$589,0)-BT393</f>
        <v>0</v>
      </c>
      <c r="BV393" s="644">
        <f t="shared" si="1058"/>
        <v>4164.4182867557156</v>
      </c>
      <c r="BW393" s="645">
        <f t="shared" si="852"/>
        <v>0</v>
      </c>
      <c r="BX393" s="644">
        <f t="shared" si="1059"/>
        <v>0</v>
      </c>
      <c r="BY393" s="645">
        <f t="shared" si="1060"/>
        <v>4164.4182867557156</v>
      </c>
      <c r="BZ393" s="646">
        <f t="shared" si="1061"/>
        <v>-36.551542058860889</v>
      </c>
      <c r="CA393" s="647">
        <f t="shared" si="1062"/>
        <v>4127.8667446968548</v>
      </c>
      <c r="CB393" s="644">
        <f t="shared" si="889"/>
        <v>0</v>
      </c>
      <c r="CC393" s="645">
        <f t="shared" si="890"/>
        <v>4127.8667446968548</v>
      </c>
      <c r="CD393" s="646">
        <f t="shared" si="1063"/>
        <v>-1.3222163235395576</v>
      </c>
      <c r="CE393" s="647">
        <f t="shared" si="891"/>
        <v>4126.5445283733152</v>
      </c>
      <c r="CF393" s="644">
        <f t="shared" si="1064"/>
        <v>0</v>
      </c>
      <c r="CG393" s="645">
        <f t="shared" si="1065"/>
        <v>4126.5445283733152</v>
      </c>
      <c r="CH393" s="646">
        <f t="shared" si="1066"/>
        <v>0</v>
      </c>
      <c r="CI393" s="647">
        <f t="shared" si="892"/>
        <v>4126.5445283733152</v>
      </c>
      <c r="CJ393" s="644">
        <f t="shared" si="1067"/>
        <v>0</v>
      </c>
      <c r="CK393" s="645">
        <f t="shared" si="1068"/>
        <v>4126.5445283733152</v>
      </c>
      <c r="CL393" s="646">
        <f t="shared" si="1069"/>
        <v>0</v>
      </c>
      <c r="CM393" s="647">
        <f t="shared" si="893"/>
        <v>4126.5445283733152</v>
      </c>
      <c r="CN393" s="644">
        <f t="shared" si="1070"/>
        <v>0</v>
      </c>
      <c r="CO393" s="645">
        <f t="shared" si="1071"/>
        <v>4126.5445283733152</v>
      </c>
      <c r="CP393" s="646">
        <f t="shared" si="1072"/>
        <v>0</v>
      </c>
      <c r="CQ393" s="647">
        <f t="shared" si="894"/>
        <v>4126.5445283733152</v>
      </c>
      <c r="CS393" s="644">
        <f t="shared" si="1073"/>
        <v>4045.4155909581441</v>
      </c>
      <c r="CT393" s="645">
        <f t="shared" si="853"/>
        <v>0</v>
      </c>
      <c r="CU393" s="644">
        <f t="shared" si="1074"/>
        <v>0</v>
      </c>
      <c r="CV393" s="645">
        <f t="shared" si="1075"/>
        <v>4045.4155909581441</v>
      </c>
      <c r="CW393" s="646">
        <f t="shared" si="1076"/>
        <v>-41.427341804662682</v>
      </c>
      <c r="CX393" s="647">
        <f t="shared" si="1077"/>
        <v>4003.9882491534813</v>
      </c>
      <c r="CY393" s="644">
        <f t="shared" si="895"/>
        <v>0</v>
      </c>
      <c r="CZ393" s="645">
        <f t="shared" si="896"/>
        <v>4003.9882491534813</v>
      </c>
      <c r="DA393" s="646">
        <f t="shared" si="1078"/>
        <v>-3.1431453163020757</v>
      </c>
      <c r="DB393" s="647">
        <f t="shared" si="897"/>
        <v>4000.8451038371791</v>
      </c>
      <c r="DC393" s="644">
        <f t="shared" si="1079"/>
        <v>0</v>
      </c>
      <c r="DD393" s="645">
        <f t="shared" si="1080"/>
        <v>4000.8451038371791</v>
      </c>
      <c r="DE393" s="646">
        <f t="shared" si="1081"/>
        <v>-2.7105713491101758E-3</v>
      </c>
      <c r="DF393" s="647">
        <f t="shared" si="898"/>
        <v>4000.8423932658297</v>
      </c>
      <c r="DG393" s="644">
        <f t="shared" si="1082"/>
        <v>0</v>
      </c>
      <c r="DH393" s="645">
        <f t="shared" si="1083"/>
        <v>4000.8423932658297</v>
      </c>
      <c r="DI393" s="646">
        <f t="shared" si="1084"/>
        <v>0</v>
      </c>
      <c r="DJ393" s="647">
        <f t="shared" si="899"/>
        <v>4000.8423932658297</v>
      </c>
      <c r="DK393" s="644">
        <f t="shared" si="1085"/>
        <v>0</v>
      </c>
      <c r="DL393" s="645">
        <f t="shared" si="1086"/>
        <v>4000.8423932658297</v>
      </c>
      <c r="DM393" s="646">
        <f t="shared" si="1087"/>
        <v>0</v>
      </c>
      <c r="DN393" s="647">
        <f t="shared" si="900"/>
        <v>4000.8423932658297</v>
      </c>
      <c r="DR393" s="827">
        <f t="shared" ref="DR393:DR456" si="1283">Z393</f>
        <v>19059.237203835306</v>
      </c>
      <c r="DV393" s="828">
        <f>IFERROR(VLOOKUP($B393,'Afton FY16 Final'!$A$5:$BV$587,'Afton FY16 Final'!$BV$587,0),0)</f>
        <v>4178.6485211475056</v>
      </c>
      <c r="DX393" s="636">
        <f t="shared" si="1274"/>
        <v>19059.237203835306</v>
      </c>
      <c r="DY393" s="637">
        <f t="shared" si="1275"/>
        <v>14880.588682687801</v>
      </c>
      <c r="DZ393" s="637">
        <f t="shared" si="1276"/>
        <v>4178.6485211475056</v>
      </c>
      <c r="EA393" s="643">
        <f t="shared" si="1277"/>
        <v>18045.49938910448</v>
      </c>
      <c r="EB393" s="637">
        <f t="shared" ref="EB393:EB456" si="1284">IF(EA393&lt;$DZ393,$DZ393,0)</f>
        <v>0</v>
      </c>
      <c r="EC393" s="637">
        <f t="shared" ref="EC393:EC456" si="1285">IF(EB393=0,EA393,0)</f>
        <v>18045.49938910448</v>
      </c>
      <c r="ED393" s="637">
        <f t="shared" ref="ED393:ED456" si="1286">EC393/EC$2*ED$2</f>
        <v>17991.688787381907</v>
      </c>
      <c r="EE393" s="643">
        <f t="shared" ref="EE393:EE456" si="1287">ED393+EB393</f>
        <v>17991.688787381907</v>
      </c>
      <c r="EF393" s="637">
        <f t="shared" ref="EF393:EF456" si="1288">IF(EE393&lt;$DZ393,$DZ393,0)</f>
        <v>0</v>
      </c>
      <c r="EG393" s="637">
        <f t="shared" ref="EG393:EG456" si="1289">IF(EB393+EF393=0,EE393,0)</f>
        <v>17991.688787381907</v>
      </c>
      <c r="EH393" s="637">
        <f t="shared" ref="EH393:EH456" si="1290">EG393/EG$2*EH$2</f>
        <v>17991.67022605885</v>
      </c>
      <c r="EI393" s="643">
        <f t="shared" ref="EI393:EI456" si="1291">EH393+EF393+EB393</f>
        <v>17991.67022605885</v>
      </c>
      <c r="EJ393" s="637">
        <f t="shared" ref="EJ393:EJ456" si="1292">IF(EI393&lt;$DZ393,$DZ393,0)</f>
        <v>0</v>
      </c>
      <c r="EK393" s="637">
        <f t="shared" ref="EK393:EK456" si="1293">IF($EB393+$EF393+$EJ393=0,EI393,0)</f>
        <v>17991.67022605885</v>
      </c>
      <c r="EL393" s="637">
        <f t="shared" ref="EL393:EL456" si="1294">EK393/EK$2*EL$2</f>
        <v>17991.670226058824</v>
      </c>
      <c r="EM393" s="643">
        <f t="shared" ref="EM393:EM456" si="1295">$EJ393+$EF393+$EB393+EL393</f>
        <v>17991.670226058824</v>
      </c>
      <c r="EN393" s="637">
        <f t="shared" ref="EN393:EN456" si="1296">IF(EM393&lt;$DZ393,$DZ393,0)</f>
        <v>0</v>
      </c>
      <c r="EO393" s="637">
        <f t="shared" ref="EO393:EO456" si="1297">IF($EB393+$EF393+$EJ393+EN393=0,EM393,0)</f>
        <v>17991.670226058824</v>
      </c>
      <c r="EP393" s="637">
        <f t="shared" ref="EP393:EP456" si="1298">EO393/EO$2*EP$2</f>
        <v>17991.67022605885</v>
      </c>
      <c r="EQ393" s="643">
        <f t="shared" ref="EQ393:EQ456" si="1299">$EJ393+$EF393+$EB393+EP393+EN393</f>
        <v>17991.67022605885</v>
      </c>
      <c r="ER393" s="637">
        <f t="shared" ref="ER393:ER456" si="1300">IF(EQ393&lt;$DZ393,$DZ393,0)</f>
        <v>0</v>
      </c>
      <c r="ES393" s="637">
        <f t="shared" ref="ES393:ES456" si="1301">IF($EB393+$EF393+$EJ393+EN393+ER393=0,EQ393,0)</f>
        <v>17991.67022605885</v>
      </c>
      <c r="ET393" s="637">
        <f t="shared" ref="ET393:ET456" si="1302">ES393/ES$2*ET$2</f>
        <v>17991.670226058824</v>
      </c>
      <c r="EU393" s="643">
        <f t="shared" si="1278"/>
        <v>17991.670226058824</v>
      </c>
      <c r="EV393" s="643">
        <f t="shared" si="1279"/>
        <v>0</v>
      </c>
      <c r="EX393" s="829">
        <f t="shared" si="1280"/>
        <v>1067.5669777764815</v>
      </c>
      <c r="EY393" s="638">
        <f t="shared" si="1281"/>
        <v>17991.670226058824</v>
      </c>
      <c r="FC393" s="830" t="str">
        <f t="shared" ref="FC393:FC456" si="1303">IF(OR(FH393="y",FI393="y",FJ393="y",FK393="y"),"Y","N")</f>
        <v>Y</v>
      </c>
      <c r="FE393" s="830" t="str">
        <f>IFERROR(VLOOKUP($B393,'Historical Conc Grant Elig'!$B$3:$J$707,'HH &amp; SI'!FE$2,0),"N")</f>
        <v>Y</v>
      </c>
      <c r="FF393" s="830" t="str">
        <f>IFERROR(VLOOKUP($B393,'Historical Conc Grant Elig'!$B$3:$J$707,'HH &amp; SI'!FF$2,0),"N")</f>
        <v>Y</v>
      </c>
      <c r="FG393" s="830" t="str">
        <f>IFERROR(VLOOKUP($B393,'Historical Conc Grant Elig'!$B$3:$J$707,'HH &amp; SI'!FG$2,0),"N")</f>
        <v>Y</v>
      </c>
      <c r="FH393" s="830" t="str">
        <f>IFERROR(VLOOKUP($B393,'Historical Conc Grant Elig'!$B$3:$J$707,'HH &amp; SI'!FH$2,0),"N")</f>
        <v>Y</v>
      </c>
      <c r="FI393" s="830" t="str">
        <f>IFERROR(VLOOKUP($B393,'Historical Conc Grant Elig'!$B$3:$J$707,'HH &amp; SI'!FI$2,0),"N")</f>
        <v>Y</v>
      </c>
      <c r="FJ393" s="830" t="str">
        <f>IFERROR(VLOOKUP($B393,'Historical Conc Grant Elig'!$B$3:$J$707,'HH &amp; SI'!FJ$2,0),"N")</f>
        <v>Y</v>
      </c>
      <c r="FK393" s="830" t="str">
        <f>IFERROR(VLOOKUP($B393,'Historical Conc Grant Elig'!$B$3:$J$707,'HH &amp; SI'!FK$2,0),"N")</f>
        <v>N</v>
      </c>
      <c r="FL393" s="957" t="str">
        <f>IFERROR(VLOOKUP($B393,'Historical Conc Grant Elig'!$B$3:$J$707,'HH &amp; SI'!FL$2,0),"N")</f>
        <v>Y</v>
      </c>
    </row>
    <row r="394" spans="2:168" x14ac:dyDescent="0.25">
      <c r="B394" s="634">
        <v>108778000</v>
      </c>
      <c r="C394" s="635" t="str">
        <f>VLOOKUP($B394,'Afton Update'!$A$5:$CR$582,'Afton Update'!D$589,0)</f>
        <v>Presidio School</v>
      </c>
      <c r="D394" s="636">
        <f>IFERROR(VLOOKUP($B394,'Afton FY16 Final'!$A$5:$BV$587,'Afton FY16 Final'!AQ$587,0),0)</f>
        <v>87286.133655739279</v>
      </c>
      <c r="E394" s="637">
        <f>IFERROR(VLOOKUP($B394,'Afton FY16 Final'!$A$5:$BV$587,'Afton FY16 Final'!AR$587,0),0)</f>
        <v>22293.007720290108</v>
      </c>
      <c r="F394" s="637">
        <f>IFERROR(VLOOKUP($B394,'Afton FY16 Final'!$A$5:$BV$587,'Afton FY16 Final'!AS$587,0),0)</f>
        <v>49907.470993245952</v>
      </c>
      <c r="G394" s="637">
        <f>IFERROR(VLOOKUP($B394,'Afton FY16 Final'!$A$5:$BV$587,'Afton FY16 Final'!AT$587,0),0)</f>
        <v>50026.77195382263</v>
      </c>
      <c r="H394" s="638">
        <f>IFERROR(VLOOKUP($B394,'Afton FY16 Final'!$A$5:$BV$587,'Afton FY16 Final'!AU$587,0),0)</f>
        <v>209513.38432309797</v>
      </c>
      <c r="I394" s="639" t="str">
        <f>VLOOKUP($B394,'Afton Update'!$A$5:$CR$582,'Afton Update'!BT$589,0)</f>
        <v>Y</v>
      </c>
      <c r="J394" s="640" t="str">
        <f>VLOOKUP($B394,'Afton Update'!$A$5:$CR$582,'Afton Update'!BU$589,0)</f>
        <v>Y</v>
      </c>
      <c r="K394" s="640" t="str">
        <f>VLOOKUP($B394,'Afton Update'!$A$5:$CR$582,'Afton Update'!BV$589,0)</f>
        <v>Y</v>
      </c>
      <c r="L394" s="641" t="str">
        <f>VLOOKUP($B394,'Afton Update'!$A$5:$CR$582,'Afton Update'!BW$589,0)</f>
        <v>Y</v>
      </c>
      <c r="N394" s="642">
        <f>VLOOKUP($B394,'Afton Update'!$A$5:$CR$582,'Afton Update'!CB$589,0)</f>
        <v>0.95</v>
      </c>
      <c r="P394" s="636">
        <f>VLOOKUP($B394,'Afton Update'!$A$5:$CR$582,'Afton Update'!AH$589,0)</f>
        <v>80081.008248236816</v>
      </c>
      <c r="Q394" s="637">
        <f>VLOOKUP($B394,'Afton Update'!$A$5:$CR$582,'Afton Update'!AI$589,0)</f>
        <v>20482.503322329245</v>
      </c>
      <c r="R394" s="637">
        <f>VLOOKUP($B394,'Afton Update'!$A$5:$CR$582,'Afton Update'!AJ$589,0)</f>
        <v>48691.65996822068</v>
      </c>
      <c r="S394" s="637">
        <f>VLOOKUP($B394,'Afton Update'!$A$5:$CR$582,'Afton Update'!AK$589,0)</f>
        <v>47300.243832741377</v>
      </c>
      <c r="T394" s="643">
        <f t="shared" si="875"/>
        <v>196555.4153715281</v>
      </c>
      <c r="V394" s="636">
        <f t="shared" si="1024"/>
        <v>82921.826972952316</v>
      </c>
      <c r="W394" s="637">
        <f t="shared" si="1025"/>
        <v>21178.357334275603</v>
      </c>
      <c r="X394" s="637">
        <f t="shared" si="1026"/>
        <v>48248.82833174953</v>
      </c>
      <c r="Y394" s="637">
        <f t="shared" si="1027"/>
        <v>47525.4333561315</v>
      </c>
      <c r="Z394" s="643">
        <f t="shared" si="1028"/>
        <v>199874.44599510892</v>
      </c>
      <c r="AB394" s="644">
        <f t="shared" si="876"/>
        <v>80081.008248236816</v>
      </c>
      <c r="AC394" s="645">
        <f t="shared" si="850"/>
        <v>82921.826972952316</v>
      </c>
      <c r="AD394" s="644">
        <f t="shared" si="1029"/>
        <v>2840.8187247155001</v>
      </c>
      <c r="AE394" s="645">
        <f t="shared" si="1030"/>
        <v>0</v>
      </c>
      <c r="AF394" s="646">
        <f t="shared" si="1031"/>
        <v>0</v>
      </c>
      <c r="AG394" s="647">
        <f t="shared" si="1032"/>
        <v>82921.826972952316</v>
      </c>
      <c r="AH394" s="644">
        <f t="shared" si="877"/>
        <v>0</v>
      </c>
      <c r="AI394" s="645">
        <f t="shared" si="878"/>
        <v>0</v>
      </c>
      <c r="AJ394" s="646">
        <f t="shared" si="1033"/>
        <v>0</v>
      </c>
      <c r="AK394" s="647">
        <f t="shared" si="879"/>
        <v>82921.826972952316</v>
      </c>
      <c r="AL394" s="644">
        <f t="shared" si="1034"/>
        <v>0</v>
      </c>
      <c r="AM394" s="645">
        <f t="shared" si="1035"/>
        <v>0</v>
      </c>
      <c r="AN394" s="646">
        <f t="shared" si="1036"/>
        <v>0</v>
      </c>
      <c r="AO394" s="647">
        <f t="shared" si="880"/>
        <v>82921.826972952316</v>
      </c>
      <c r="AP394" s="644">
        <f t="shared" si="1037"/>
        <v>0</v>
      </c>
      <c r="AQ394" s="645">
        <f t="shared" si="1038"/>
        <v>0</v>
      </c>
      <c r="AR394" s="646">
        <f t="shared" si="1039"/>
        <v>0</v>
      </c>
      <c r="AS394" s="647">
        <f t="shared" si="881"/>
        <v>82921.826972952316</v>
      </c>
      <c r="AT394" s="644">
        <f t="shared" si="1040"/>
        <v>0</v>
      </c>
      <c r="AU394" s="645">
        <f t="shared" si="1041"/>
        <v>0</v>
      </c>
      <c r="AV394" s="646">
        <f t="shared" si="1042"/>
        <v>0</v>
      </c>
      <c r="AW394" s="647">
        <f t="shared" si="882"/>
        <v>82921.826972952316</v>
      </c>
      <c r="AY394" s="644">
        <f t="shared" si="1043"/>
        <v>20482.503322329245</v>
      </c>
      <c r="AZ394" s="645">
        <f t="shared" si="1282"/>
        <v>21178.357334275603</v>
      </c>
      <c r="BA394" s="644">
        <f t="shared" si="1044"/>
        <v>695.85401194635779</v>
      </c>
      <c r="BB394" s="645">
        <f t="shared" si="1045"/>
        <v>0</v>
      </c>
      <c r="BC394" s="646">
        <f t="shared" si="1046"/>
        <v>0</v>
      </c>
      <c r="BD394" s="647">
        <f t="shared" si="1047"/>
        <v>21178.357334275603</v>
      </c>
      <c r="BE394" s="644">
        <f t="shared" si="883"/>
        <v>0</v>
      </c>
      <c r="BF394" s="645">
        <f t="shared" si="884"/>
        <v>0</v>
      </c>
      <c r="BG394" s="646">
        <f t="shared" si="1048"/>
        <v>0</v>
      </c>
      <c r="BH394" s="647">
        <f t="shared" si="885"/>
        <v>21178.357334275603</v>
      </c>
      <c r="BI394" s="644">
        <f t="shared" si="1049"/>
        <v>0</v>
      </c>
      <c r="BJ394" s="645">
        <f t="shared" si="1050"/>
        <v>0</v>
      </c>
      <c r="BK394" s="646">
        <f t="shared" si="1051"/>
        <v>0</v>
      </c>
      <c r="BL394" s="647">
        <f t="shared" si="886"/>
        <v>21178.357334275603</v>
      </c>
      <c r="BM394" s="644">
        <f t="shared" si="1052"/>
        <v>0</v>
      </c>
      <c r="BN394" s="645">
        <f t="shared" si="1053"/>
        <v>0</v>
      </c>
      <c r="BO394" s="646">
        <f t="shared" si="1054"/>
        <v>0</v>
      </c>
      <c r="BP394" s="647">
        <f t="shared" si="887"/>
        <v>21178.357334275603</v>
      </c>
      <c r="BQ394" s="644">
        <f t="shared" si="1055"/>
        <v>0</v>
      </c>
      <c r="BR394" s="645">
        <f t="shared" si="1056"/>
        <v>0</v>
      </c>
      <c r="BS394" s="646">
        <f t="shared" si="1057"/>
        <v>0</v>
      </c>
      <c r="BT394" s="647">
        <f t="shared" si="888"/>
        <v>21178.357334275603</v>
      </c>
      <c r="BU394" s="662">
        <f>VLOOKUP(B394,'Afton Update'!$A$5:$AR$582,'Afton Update'!$AO$589,0)-BT394</f>
        <v>0</v>
      </c>
      <c r="BV394" s="644">
        <f t="shared" si="1058"/>
        <v>48691.65996822068</v>
      </c>
      <c r="BW394" s="645">
        <f t="shared" si="852"/>
        <v>47412.097443583654</v>
      </c>
      <c r="BX394" s="644">
        <f t="shared" si="1059"/>
        <v>0</v>
      </c>
      <c r="BY394" s="645">
        <f t="shared" si="1060"/>
        <v>48691.65996822068</v>
      </c>
      <c r="BZ394" s="646">
        <f t="shared" si="1061"/>
        <v>-427.3718763805274</v>
      </c>
      <c r="CA394" s="647">
        <f t="shared" si="1062"/>
        <v>48264.28809184015</v>
      </c>
      <c r="CB394" s="644">
        <f t="shared" si="889"/>
        <v>0</v>
      </c>
      <c r="CC394" s="645">
        <f t="shared" si="890"/>
        <v>48264.28809184015</v>
      </c>
      <c r="CD394" s="646">
        <f t="shared" si="1063"/>
        <v>-15.459760090616365</v>
      </c>
      <c r="CE394" s="647">
        <f t="shared" si="891"/>
        <v>48248.82833174953</v>
      </c>
      <c r="CF394" s="644">
        <f t="shared" si="1064"/>
        <v>0</v>
      </c>
      <c r="CG394" s="645">
        <f t="shared" si="1065"/>
        <v>48248.82833174953</v>
      </c>
      <c r="CH394" s="646">
        <f t="shared" si="1066"/>
        <v>0</v>
      </c>
      <c r="CI394" s="647">
        <f t="shared" si="892"/>
        <v>48248.82833174953</v>
      </c>
      <c r="CJ394" s="644">
        <f t="shared" si="1067"/>
        <v>0</v>
      </c>
      <c r="CK394" s="645">
        <f t="shared" si="1068"/>
        <v>48248.82833174953</v>
      </c>
      <c r="CL394" s="646">
        <f t="shared" si="1069"/>
        <v>0</v>
      </c>
      <c r="CM394" s="647">
        <f t="shared" si="893"/>
        <v>48248.82833174953</v>
      </c>
      <c r="CN394" s="644">
        <f t="shared" si="1070"/>
        <v>0</v>
      </c>
      <c r="CO394" s="645">
        <f t="shared" si="1071"/>
        <v>48248.82833174953</v>
      </c>
      <c r="CP394" s="646">
        <f t="shared" si="1072"/>
        <v>0</v>
      </c>
      <c r="CQ394" s="647">
        <f t="shared" si="894"/>
        <v>48248.82833174953</v>
      </c>
      <c r="CS394" s="644">
        <f t="shared" si="1073"/>
        <v>47300.243832741377</v>
      </c>
      <c r="CT394" s="645">
        <f t="shared" si="853"/>
        <v>47525.4333561315</v>
      </c>
      <c r="CU394" s="644">
        <f t="shared" si="1074"/>
        <v>225.18952339012321</v>
      </c>
      <c r="CV394" s="645">
        <f t="shared" si="1075"/>
        <v>0</v>
      </c>
      <c r="CW394" s="646">
        <f t="shared" si="1076"/>
        <v>0</v>
      </c>
      <c r="CX394" s="647">
        <f t="shared" si="1077"/>
        <v>47525.4333561315</v>
      </c>
      <c r="CY394" s="644">
        <f t="shared" si="895"/>
        <v>0</v>
      </c>
      <c r="CZ394" s="645">
        <f t="shared" si="896"/>
        <v>0</v>
      </c>
      <c r="DA394" s="646">
        <f t="shared" si="1078"/>
        <v>0</v>
      </c>
      <c r="DB394" s="647">
        <f t="shared" si="897"/>
        <v>47525.4333561315</v>
      </c>
      <c r="DC394" s="644">
        <f t="shared" si="1079"/>
        <v>0</v>
      </c>
      <c r="DD394" s="645">
        <f t="shared" si="1080"/>
        <v>0</v>
      </c>
      <c r="DE394" s="646">
        <f t="shared" si="1081"/>
        <v>0</v>
      </c>
      <c r="DF394" s="647">
        <f t="shared" si="898"/>
        <v>47525.4333561315</v>
      </c>
      <c r="DG394" s="644">
        <f t="shared" si="1082"/>
        <v>0</v>
      </c>
      <c r="DH394" s="645">
        <f t="shared" si="1083"/>
        <v>0</v>
      </c>
      <c r="DI394" s="646">
        <f t="shared" si="1084"/>
        <v>0</v>
      </c>
      <c r="DJ394" s="647">
        <f t="shared" si="899"/>
        <v>47525.4333561315</v>
      </c>
      <c r="DK394" s="644">
        <f t="shared" si="1085"/>
        <v>0</v>
      </c>
      <c r="DL394" s="645">
        <f t="shared" si="1086"/>
        <v>0</v>
      </c>
      <c r="DM394" s="646">
        <f t="shared" si="1087"/>
        <v>0</v>
      </c>
      <c r="DN394" s="647">
        <f t="shared" si="900"/>
        <v>47525.4333561315</v>
      </c>
      <c r="DR394" s="827">
        <f t="shared" si="1283"/>
        <v>199874.44599510892</v>
      </c>
      <c r="DV394" s="828">
        <f>IFERROR(VLOOKUP($B394,'Afton FY16 Final'!$A$5:$BV$587,'Afton FY16 Final'!$BV$587,0),0)</f>
        <v>202922.39319835725</v>
      </c>
      <c r="DX394" s="636">
        <f t="shared" si="1274"/>
        <v>0</v>
      </c>
      <c r="DY394" s="637">
        <f t="shared" si="1275"/>
        <v>0</v>
      </c>
      <c r="DZ394" s="637">
        <f t="shared" si="1276"/>
        <v>0</v>
      </c>
      <c r="EA394" s="643">
        <f t="shared" si="1277"/>
        <v>0</v>
      </c>
      <c r="EB394" s="637">
        <f t="shared" si="1284"/>
        <v>0</v>
      </c>
      <c r="EC394" s="637">
        <f t="shared" si="1285"/>
        <v>0</v>
      </c>
      <c r="ED394" s="637">
        <f t="shared" si="1286"/>
        <v>0</v>
      </c>
      <c r="EE394" s="643">
        <f t="shared" si="1287"/>
        <v>0</v>
      </c>
      <c r="EF394" s="637">
        <f t="shared" si="1288"/>
        <v>0</v>
      </c>
      <c r="EG394" s="637">
        <f t="shared" si="1289"/>
        <v>0</v>
      </c>
      <c r="EH394" s="637">
        <f t="shared" si="1290"/>
        <v>0</v>
      </c>
      <c r="EI394" s="643">
        <f t="shared" si="1291"/>
        <v>0</v>
      </c>
      <c r="EJ394" s="637">
        <f t="shared" si="1292"/>
        <v>0</v>
      </c>
      <c r="EK394" s="637">
        <f t="shared" si="1293"/>
        <v>0</v>
      </c>
      <c r="EL394" s="637">
        <f t="shared" si="1294"/>
        <v>0</v>
      </c>
      <c r="EM394" s="643">
        <f t="shared" si="1295"/>
        <v>0</v>
      </c>
      <c r="EN394" s="637">
        <f t="shared" si="1296"/>
        <v>0</v>
      </c>
      <c r="EO394" s="637">
        <f t="shared" si="1297"/>
        <v>0</v>
      </c>
      <c r="EP394" s="637">
        <f t="shared" si="1298"/>
        <v>0</v>
      </c>
      <c r="EQ394" s="643">
        <f t="shared" si="1299"/>
        <v>0</v>
      </c>
      <c r="ER394" s="637">
        <f t="shared" si="1300"/>
        <v>0</v>
      </c>
      <c r="ES394" s="637">
        <f t="shared" si="1301"/>
        <v>0</v>
      </c>
      <c r="ET394" s="637">
        <f t="shared" si="1302"/>
        <v>0</v>
      </c>
      <c r="EU394" s="643">
        <f t="shared" si="1278"/>
        <v>0</v>
      </c>
      <c r="EV394" s="643">
        <f t="shared" si="1279"/>
        <v>0</v>
      </c>
      <c r="EX394" s="829">
        <f t="shared" si="1280"/>
        <v>0</v>
      </c>
      <c r="EY394" s="638">
        <f t="shared" si="1281"/>
        <v>199874.44599510892</v>
      </c>
      <c r="FC394" s="830" t="str">
        <f t="shared" si="1303"/>
        <v>Y</v>
      </c>
      <c r="FE394" s="830" t="str">
        <f>IFERROR(VLOOKUP($B394,'Historical Conc Grant Elig'!$B$3:$J$707,'HH &amp; SI'!FE$2,0),"N")</f>
        <v>Y</v>
      </c>
      <c r="FF394" s="830" t="str">
        <f>IFERROR(VLOOKUP($B394,'Historical Conc Grant Elig'!$B$3:$J$707,'HH &amp; SI'!FF$2,0),"N")</f>
        <v>Y</v>
      </c>
      <c r="FG394" s="830" t="str">
        <f>IFERROR(VLOOKUP($B394,'Historical Conc Grant Elig'!$B$3:$J$707,'HH &amp; SI'!FG$2,0),"N")</f>
        <v>Y</v>
      </c>
      <c r="FH394" s="830" t="str">
        <f>IFERROR(VLOOKUP($B394,'Historical Conc Grant Elig'!$B$3:$J$707,'HH &amp; SI'!FH$2,0),"N")</f>
        <v>Y</v>
      </c>
      <c r="FI394" s="830" t="str">
        <f>IFERROR(VLOOKUP($B394,'Historical Conc Grant Elig'!$B$3:$J$707,'HH &amp; SI'!FI$2,0),"N")</f>
        <v>Y</v>
      </c>
      <c r="FJ394" s="830" t="str">
        <f>IFERROR(VLOOKUP($B394,'Historical Conc Grant Elig'!$B$3:$J$707,'HH &amp; SI'!FJ$2,0),"N")</f>
        <v>Y</v>
      </c>
      <c r="FK394" s="830" t="str">
        <f>IFERROR(VLOOKUP($B394,'Historical Conc Grant Elig'!$B$3:$J$707,'HH &amp; SI'!FK$2,0),"N")</f>
        <v>Y</v>
      </c>
      <c r="FL394" s="957" t="str">
        <f>IFERROR(VLOOKUP($B394,'Historical Conc Grant Elig'!$B$3:$J$707,'HH &amp; SI'!FL$2,0),"N")</f>
        <v>Y</v>
      </c>
    </row>
    <row r="395" spans="2:168" x14ac:dyDescent="0.25">
      <c r="B395" s="634">
        <v>108779000</v>
      </c>
      <c r="C395" s="635" t="str">
        <f>VLOOKUP($B395,'Afton Update'!$A$5:$CR$582,'Afton Update'!D$589,0)</f>
        <v>Southgate Academy, Inc.</v>
      </c>
      <c r="D395" s="636">
        <f>IFERROR(VLOOKUP($B395,'Afton FY16 Final'!$A$5:$BV$587,'Afton FY16 Final'!AQ$587,0),0)</f>
        <v>122908.63274324923</v>
      </c>
      <c r="E395" s="637">
        <f>IFERROR(VLOOKUP($B395,'Afton FY16 Final'!$A$5:$BV$587,'Afton FY16 Final'!AR$587,0),0)</f>
        <v>30202.438950711399</v>
      </c>
      <c r="F395" s="637">
        <f>IFERROR(VLOOKUP($B395,'Afton FY16 Final'!$A$5:$BV$587,'Afton FY16 Final'!AS$587,0),0)</f>
        <v>70310.290326695816</v>
      </c>
      <c r="G395" s="637">
        <f>IFERROR(VLOOKUP($B395,'Afton FY16 Final'!$A$5:$BV$587,'Afton FY16 Final'!AT$587,0),0)</f>
        <v>68631.117842206426</v>
      </c>
      <c r="H395" s="638">
        <f>IFERROR(VLOOKUP($B395,'Afton FY16 Final'!$A$5:$BV$587,'Afton FY16 Final'!AU$587,0),0)</f>
        <v>292052.47986286291</v>
      </c>
      <c r="I395" s="639" t="str">
        <f>VLOOKUP($B395,'Afton Update'!$A$5:$CR$582,'Afton Update'!BT$589,0)</f>
        <v>Y</v>
      </c>
      <c r="J395" s="640" t="str">
        <f>VLOOKUP($B395,'Afton Update'!$A$5:$CR$582,'Afton Update'!BU$589,0)</f>
        <v>Y</v>
      </c>
      <c r="K395" s="640" t="str">
        <f>VLOOKUP($B395,'Afton Update'!$A$5:$CR$582,'Afton Update'!BV$589,0)</f>
        <v>Y</v>
      </c>
      <c r="L395" s="641" t="str">
        <f>VLOOKUP($B395,'Afton Update'!$A$5:$CR$582,'Afton Update'!BW$589,0)</f>
        <v>Y</v>
      </c>
      <c r="N395" s="642">
        <f>VLOOKUP($B395,'Afton Update'!$A$5:$CR$582,'Afton Update'!CB$589,0)</f>
        <v>0.95</v>
      </c>
      <c r="P395" s="636">
        <f>VLOOKUP($B395,'Afton Update'!$A$5:$CR$582,'Afton Update'!AH$589,0)</f>
        <v>165957.35261970127</v>
      </c>
      <c r="Q395" s="637">
        <f>VLOOKUP($B395,'Afton Update'!$A$5:$CR$582,'Afton Update'!AI$589,0)</f>
        <v>39437.440919714914</v>
      </c>
      <c r="R395" s="637">
        <f>VLOOKUP($B395,'Afton Update'!$A$5:$CR$582,'Afton Update'!AJ$589,0)</f>
        <v>100907.05848677311</v>
      </c>
      <c r="S395" s="637">
        <f>VLOOKUP($B395,'Afton Update'!$A$5:$CR$582,'Afton Update'!AK$589,0)</f>
        <v>98023.531627062723</v>
      </c>
      <c r="T395" s="643">
        <f t="shared" si="875"/>
        <v>404325.38365325204</v>
      </c>
      <c r="V395" s="636">
        <f t="shared" si="1024"/>
        <v>163693.58661308125</v>
      </c>
      <c r="W395" s="637">
        <f t="shared" si="1025"/>
        <v>38138.515802860333</v>
      </c>
      <c r="X395" s="637">
        <f t="shared" si="1026"/>
        <v>99989.348187507247</v>
      </c>
      <c r="Y395" s="637">
        <f t="shared" si="1027"/>
        <v>96943.488759902801</v>
      </c>
      <c r="Z395" s="643">
        <f t="shared" si="1028"/>
        <v>398764.93936335167</v>
      </c>
      <c r="AB395" s="644">
        <f t="shared" si="876"/>
        <v>165957.35261970127</v>
      </c>
      <c r="AC395" s="645">
        <f t="shared" si="850"/>
        <v>116763.20110608675</v>
      </c>
      <c r="AD395" s="644">
        <f t="shared" si="1029"/>
        <v>0</v>
      </c>
      <c r="AE395" s="645">
        <f t="shared" si="1030"/>
        <v>165957.35261970127</v>
      </c>
      <c r="AF395" s="646">
        <f t="shared" si="1031"/>
        <v>-2057.1660993518753</v>
      </c>
      <c r="AG395" s="647">
        <f t="shared" si="1032"/>
        <v>163900.18652034938</v>
      </c>
      <c r="AH395" s="644">
        <f t="shared" si="877"/>
        <v>0</v>
      </c>
      <c r="AI395" s="645">
        <f t="shared" si="878"/>
        <v>163900.18652034938</v>
      </c>
      <c r="AJ395" s="646">
        <f t="shared" si="1033"/>
        <v>-206.46828310177705</v>
      </c>
      <c r="AK395" s="647">
        <f t="shared" si="879"/>
        <v>163693.71823724761</v>
      </c>
      <c r="AL395" s="644">
        <f t="shared" si="1034"/>
        <v>0</v>
      </c>
      <c r="AM395" s="645">
        <f t="shared" si="1035"/>
        <v>163693.71823724761</v>
      </c>
      <c r="AN395" s="646">
        <f t="shared" si="1036"/>
        <v>-0.13162416636397661</v>
      </c>
      <c r="AO395" s="647">
        <f t="shared" si="880"/>
        <v>163693.58661308125</v>
      </c>
      <c r="AP395" s="644">
        <f t="shared" si="1037"/>
        <v>0</v>
      </c>
      <c r="AQ395" s="645">
        <f t="shared" si="1038"/>
        <v>163693.58661308125</v>
      </c>
      <c r="AR395" s="646">
        <f t="shared" si="1039"/>
        <v>0</v>
      </c>
      <c r="AS395" s="647">
        <f t="shared" si="881"/>
        <v>163693.58661308125</v>
      </c>
      <c r="AT395" s="644">
        <f t="shared" si="1040"/>
        <v>0</v>
      </c>
      <c r="AU395" s="645">
        <f t="shared" si="1041"/>
        <v>163693.58661308125</v>
      </c>
      <c r="AV395" s="646">
        <f t="shared" si="1042"/>
        <v>0</v>
      </c>
      <c r="AW395" s="647">
        <f t="shared" si="882"/>
        <v>163693.58661308125</v>
      </c>
      <c r="AY395" s="644">
        <f t="shared" si="1043"/>
        <v>39437.440919714914</v>
      </c>
      <c r="AZ395" s="645">
        <f t="shared" si="1282"/>
        <v>28692.317003175827</v>
      </c>
      <c r="BA395" s="644">
        <f t="shared" si="1044"/>
        <v>0</v>
      </c>
      <c r="BB395" s="645">
        <f t="shared" si="1045"/>
        <v>39437.440919714914</v>
      </c>
      <c r="BC395" s="646">
        <f t="shared" si="1046"/>
        <v>-283.60613092459789</v>
      </c>
      <c r="BD395" s="647">
        <f t="shared" si="1047"/>
        <v>39153.834788790315</v>
      </c>
      <c r="BE395" s="644">
        <f t="shared" si="883"/>
        <v>0</v>
      </c>
      <c r="BF395" s="645">
        <f t="shared" si="884"/>
        <v>39153.834788790315</v>
      </c>
      <c r="BG395" s="646">
        <f t="shared" si="1048"/>
        <v>-932.61243659560887</v>
      </c>
      <c r="BH395" s="647">
        <f t="shared" si="885"/>
        <v>38221.222352194709</v>
      </c>
      <c r="BI395" s="644">
        <f t="shared" si="1049"/>
        <v>0</v>
      </c>
      <c r="BJ395" s="645">
        <f t="shared" si="1050"/>
        <v>38221.222352194709</v>
      </c>
      <c r="BK395" s="646">
        <f t="shared" si="1051"/>
        <v>-80.961526037232076</v>
      </c>
      <c r="BL395" s="647">
        <f t="shared" si="886"/>
        <v>38140.260826157479</v>
      </c>
      <c r="BM395" s="644">
        <f t="shared" si="1052"/>
        <v>0</v>
      </c>
      <c r="BN395" s="645">
        <f t="shared" si="1053"/>
        <v>38140.260826157479</v>
      </c>
      <c r="BO395" s="646">
        <f t="shared" si="1054"/>
        <v>-1.7450232971436161</v>
      </c>
      <c r="BP395" s="647">
        <f t="shared" si="887"/>
        <v>38138.515802860333</v>
      </c>
      <c r="BQ395" s="644">
        <f t="shared" si="1055"/>
        <v>0</v>
      </c>
      <c r="BR395" s="645">
        <f t="shared" si="1056"/>
        <v>38138.515802860333</v>
      </c>
      <c r="BS395" s="646">
        <f t="shared" si="1057"/>
        <v>0</v>
      </c>
      <c r="BT395" s="647">
        <f t="shared" si="888"/>
        <v>38138.515802860333</v>
      </c>
      <c r="BU395" s="662">
        <f>VLOOKUP(B395,'Afton Update'!$A$5:$AR$582,'Afton Update'!$AO$589,0)-BT395</f>
        <v>0</v>
      </c>
      <c r="BV395" s="644">
        <f t="shared" si="1058"/>
        <v>100907.05848677311</v>
      </c>
      <c r="BW395" s="645">
        <f t="shared" si="852"/>
        <v>66794.775810361025</v>
      </c>
      <c r="BX395" s="644">
        <f t="shared" si="1059"/>
        <v>0</v>
      </c>
      <c r="BY395" s="645">
        <f t="shared" si="1060"/>
        <v>100907.05848677311</v>
      </c>
      <c r="BZ395" s="646">
        <f t="shared" si="1061"/>
        <v>-885.67198065701393</v>
      </c>
      <c r="CA395" s="647">
        <f t="shared" si="1062"/>
        <v>100021.38650611609</v>
      </c>
      <c r="CB395" s="644">
        <f t="shared" si="889"/>
        <v>0</v>
      </c>
      <c r="CC395" s="645">
        <f t="shared" si="890"/>
        <v>100021.38650611609</v>
      </c>
      <c r="CD395" s="646">
        <f t="shared" si="1063"/>
        <v>-32.038318608843127</v>
      </c>
      <c r="CE395" s="647">
        <f t="shared" si="891"/>
        <v>99989.348187507247</v>
      </c>
      <c r="CF395" s="644">
        <f t="shared" si="1064"/>
        <v>0</v>
      </c>
      <c r="CG395" s="645">
        <f t="shared" si="1065"/>
        <v>99989.348187507247</v>
      </c>
      <c r="CH395" s="646">
        <f t="shared" si="1066"/>
        <v>0</v>
      </c>
      <c r="CI395" s="647">
        <f t="shared" si="892"/>
        <v>99989.348187507247</v>
      </c>
      <c r="CJ395" s="644">
        <f t="shared" si="1067"/>
        <v>0</v>
      </c>
      <c r="CK395" s="645">
        <f t="shared" si="1068"/>
        <v>99989.348187507247</v>
      </c>
      <c r="CL395" s="646">
        <f t="shared" si="1069"/>
        <v>0</v>
      </c>
      <c r="CM395" s="647">
        <f t="shared" si="893"/>
        <v>99989.348187507247</v>
      </c>
      <c r="CN395" s="644">
        <f t="shared" si="1070"/>
        <v>0</v>
      </c>
      <c r="CO395" s="645">
        <f t="shared" si="1071"/>
        <v>99989.348187507247</v>
      </c>
      <c r="CP395" s="646">
        <f t="shared" si="1072"/>
        <v>0</v>
      </c>
      <c r="CQ395" s="647">
        <f t="shared" si="894"/>
        <v>99989.348187507247</v>
      </c>
      <c r="CS395" s="644">
        <f t="shared" si="1073"/>
        <v>98023.531627062723</v>
      </c>
      <c r="CT395" s="645">
        <f t="shared" si="853"/>
        <v>65199.561950096104</v>
      </c>
      <c r="CU395" s="644">
        <f t="shared" si="1074"/>
        <v>0</v>
      </c>
      <c r="CV395" s="645">
        <f t="shared" si="1075"/>
        <v>98023.531627062723</v>
      </c>
      <c r="CW395" s="646">
        <f t="shared" si="1076"/>
        <v>-1003.8163591129803</v>
      </c>
      <c r="CX395" s="647">
        <f t="shared" si="1077"/>
        <v>97019.715267949738</v>
      </c>
      <c r="CY395" s="644">
        <f t="shared" si="895"/>
        <v>0</v>
      </c>
      <c r="CZ395" s="645">
        <f t="shared" si="896"/>
        <v>97019.715267949738</v>
      </c>
      <c r="DA395" s="646">
        <f t="shared" si="1078"/>
        <v>-76.16082881808876</v>
      </c>
      <c r="DB395" s="647">
        <f t="shared" si="897"/>
        <v>96943.554439131651</v>
      </c>
      <c r="DC395" s="644">
        <f t="shared" si="1079"/>
        <v>0</v>
      </c>
      <c r="DD395" s="645">
        <f t="shared" si="1080"/>
        <v>96943.554439131651</v>
      </c>
      <c r="DE395" s="646">
        <f t="shared" si="1081"/>
        <v>-6.5679228843823489E-2</v>
      </c>
      <c r="DF395" s="647">
        <f t="shared" si="898"/>
        <v>96943.488759902801</v>
      </c>
      <c r="DG395" s="644">
        <f t="shared" si="1082"/>
        <v>0</v>
      </c>
      <c r="DH395" s="645">
        <f t="shared" si="1083"/>
        <v>96943.488759902801</v>
      </c>
      <c r="DI395" s="646">
        <f t="shared" si="1084"/>
        <v>0</v>
      </c>
      <c r="DJ395" s="647">
        <f t="shared" si="899"/>
        <v>96943.488759902801</v>
      </c>
      <c r="DK395" s="644">
        <f t="shared" si="1085"/>
        <v>0</v>
      </c>
      <c r="DL395" s="645">
        <f t="shared" si="1086"/>
        <v>96943.488759902801</v>
      </c>
      <c r="DM395" s="646">
        <f t="shared" si="1087"/>
        <v>0</v>
      </c>
      <c r="DN395" s="647">
        <f t="shared" si="900"/>
        <v>96943.488759902801</v>
      </c>
      <c r="DR395" s="827">
        <f t="shared" si="1283"/>
        <v>398764.93936335167</v>
      </c>
      <c r="DV395" s="828">
        <f>IFERROR(VLOOKUP($B395,'Afton FY16 Final'!$A$5:$BV$587,'Afton FY16 Final'!$BV$587,0),0)</f>
        <v>259293.06397169753</v>
      </c>
      <c r="DX395" s="636">
        <f t="shared" si="1274"/>
        <v>398764.93936335167</v>
      </c>
      <c r="DY395" s="637">
        <f t="shared" si="1275"/>
        <v>139471.87539165415</v>
      </c>
      <c r="DZ395" s="637">
        <f t="shared" si="1276"/>
        <v>259293.06397169753</v>
      </c>
      <c r="EA395" s="643">
        <f t="shared" si="1277"/>
        <v>377555.11370778299</v>
      </c>
      <c r="EB395" s="637">
        <f t="shared" si="1284"/>
        <v>0</v>
      </c>
      <c r="EC395" s="637">
        <f t="shared" si="1285"/>
        <v>377555.11370778299</v>
      </c>
      <c r="ED395" s="637">
        <f t="shared" si="1286"/>
        <v>376429.26690166368</v>
      </c>
      <c r="EE395" s="643">
        <f t="shared" si="1287"/>
        <v>376429.26690166368</v>
      </c>
      <c r="EF395" s="637">
        <f t="shared" si="1288"/>
        <v>0</v>
      </c>
      <c r="EG395" s="637">
        <f t="shared" si="1289"/>
        <v>376429.26690166368</v>
      </c>
      <c r="EH395" s="637">
        <f t="shared" si="1290"/>
        <v>376428.87855428213</v>
      </c>
      <c r="EI395" s="643">
        <f t="shared" si="1291"/>
        <v>376428.87855428213</v>
      </c>
      <c r="EJ395" s="637">
        <f t="shared" si="1292"/>
        <v>0</v>
      </c>
      <c r="EK395" s="637">
        <f t="shared" si="1293"/>
        <v>376428.87855428213</v>
      </c>
      <c r="EL395" s="637">
        <f t="shared" si="1294"/>
        <v>376428.8785542816</v>
      </c>
      <c r="EM395" s="643">
        <f t="shared" si="1295"/>
        <v>376428.8785542816</v>
      </c>
      <c r="EN395" s="637">
        <f t="shared" si="1296"/>
        <v>0</v>
      </c>
      <c r="EO395" s="637">
        <f t="shared" si="1297"/>
        <v>376428.8785542816</v>
      </c>
      <c r="EP395" s="637">
        <f t="shared" si="1298"/>
        <v>376428.87855428219</v>
      </c>
      <c r="EQ395" s="643">
        <f t="shared" si="1299"/>
        <v>376428.87855428219</v>
      </c>
      <c r="ER395" s="637">
        <f t="shared" si="1300"/>
        <v>0</v>
      </c>
      <c r="ES395" s="637">
        <f t="shared" si="1301"/>
        <v>376428.87855428219</v>
      </c>
      <c r="ET395" s="637">
        <f t="shared" si="1302"/>
        <v>376428.8785542816</v>
      </c>
      <c r="EU395" s="643">
        <f t="shared" si="1278"/>
        <v>376428.8785542816</v>
      </c>
      <c r="EV395" s="643">
        <f t="shared" si="1279"/>
        <v>0</v>
      </c>
      <c r="EX395" s="829">
        <f t="shared" si="1280"/>
        <v>22336.06080907007</v>
      </c>
      <c r="EY395" s="638">
        <f t="shared" si="1281"/>
        <v>376428.8785542816</v>
      </c>
      <c r="FC395" s="830" t="str">
        <f t="shared" si="1303"/>
        <v>Y</v>
      </c>
      <c r="FE395" s="830" t="str">
        <f>IFERROR(VLOOKUP($B395,'Historical Conc Grant Elig'!$B$3:$J$707,'HH &amp; SI'!FE$2,0),"N")</f>
        <v>Y</v>
      </c>
      <c r="FF395" s="830" t="str">
        <f>IFERROR(VLOOKUP($B395,'Historical Conc Grant Elig'!$B$3:$J$707,'HH &amp; SI'!FF$2,0),"N")</f>
        <v>Y</v>
      </c>
      <c r="FG395" s="830" t="str">
        <f>IFERROR(VLOOKUP($B395,'Historical Conc Grant Elig'!$B$3:$J$707,'HH &amp; SI'!FG$2,0),"N")</f>
        <v>Y</v>
      </c>
      <c r="FH395" s="830" t="str">
        <f>IFERROR(VLOOKUP($B395,'Historical Conc Grant Elig'!$B$3:$J$707,'HH &amp; SI'!FH$2,0),"N")</f>
        <v>Y</v>
      </c>
      <c r="FI395" s="830" t="str">
        <f>IFERROR(VLOOKUP($B395,'Historical Conc Grant Elig'!$B$3:$J$707,'HH &amp; SI'!FI$2,0),"N")</f>
        <v>Y</v>
      </c>
      <c r="FJ395" s="830" t="str">
        <f>IFERROR(VLOOKUP($B395,'Historical Conc Grant Elig'!$B$3:$J$707,'HH &amp; SI'!FJ$2,0),"N")</f>
        <v>Y</v>
      </c>
      <c r="FK395" s="830" t="str">
        <f>IFERROR(VLOOKUP($B395,'Historical Conc Grant Elig'!$B$3:$J$707,'HH &amp; SI'!FK$2,0),"N")</f>
        <v>Y</v>
      </c>
      <c r="FL395" s="957" t="str">
        <f>IFERROR(VLOOKUP($B395,'Historical Conc Grant Elig'!$B$3:$J$707,'HH &amp; SI'!FL$2,0),"N")</f>
        <v>Y</v>
      </c>
    </row>
    <row r="396" spans="2:168" x14ac:dyDescent="0.25">
      <c r="B396" s="634">
        <v>108785000</v>
      </c>
      <c r="C396" s="635" t="str">
        <f>VLOOKUP($B396,'Afton Update'!$A$5:$CR$582,'Afton Update'!D$589,0)</f>
        <v>Aprender Tucson</v>
      </c>
      <c r="D396" s="636">
        <f>IFERROR(VLOOKUP($B396,'Afton FY16 Final'!$A$5:$BV$587,'Afton FY16 Final'!AQ$587,0),0)</f>
        <v>76143.04499433063</v>
      </c>
      <c r="E396" s="637">
        <f>IFERROR(VLOOKUP($B396,'Afton FY16 Final'!$A$5:$BV$587,'Afton FY16 Final'!AR$587,0),0)</f>
        <v>16820.411038266204</v>
      </c>
      <c r="F396" s="637">
        <f>IFERROR(VLOOKUP($B396,'Afton FY16 Final'!$A$5:$BV$587,'Afton FY16 Final'!AS$587,0),0)</f>
        <v>41414.341955957389</v>
      </c>
      <c r="G396" s="637">
        <f>IFERROR(VLOOKUP($B396,'Afton FY16 Final'!$A$5:$BV$587,'Afton FY16 Final'!AT$587,0),0)</f>
        <v>42938.596707734345</v>
      </c>
      <c r="H396" s="638">
        <f>IFERROR(VLOOKUP($B396,'Afton FY16 Final'!$A$5:$BV$587,'Afton FY16 Final'!AU$587,0),0)</f>
        <v>177316.39469628857</v>
      </c>
      <c r="I396" s="639" t="str">
        <f>VLOOKUP($B396,'Afton Update'!$A$5:$CR$582,'Afton Update'!BT$589,0)</f>
        <v>Y</v>
      </c>
      <c r="J396" s="640" t="str">
        <f>VLOOKUP($B396,'Afton Update'!$A$5:$CR$582,'Afton Update'!BU$589,0)</f>
        <v>Y</v>
      </c>
      <c r="K396" s="640" t="str">
        <f>VLOOKUP($B396,'Afton Update'!$A$5:$CR$582,'Afton Update'!BV$589,0)</f>
        <v>Y</v>
      </c>
      <c r="L396" s="641" t="str">
        <f>VLOOKUP($B396,'Afton Update'!$A$5:$CR$582,'Afton Update'!BW$589,0)</f>
        <v>Y</v>
      </c>
      <c r="N396" s="642">
        <f>VLOOKUP($B396,'Afton Update'!$A$5:$CR$582,'Afton Update'!CB$589,0)</f>
        <v>0.95</v>
      </c>
      <c r="P396" s="636">
        <f>VLOOKUP($B396,'Afton Update'!$A$5:$CR$582,'Afton Update'!AH$589,0)</f>
        <v>53475.146955237084</v>
      </c>
      <c r="Q396" s="637">
        <f>VLOOKUP($B396,'Afton Update'!$A$5:$CR$582,'Afton Update'!AI$589,0)</f>
        <v>14609.961305961293</v>
      </c>
      <c r="R396" s="637">
        <f>VLOOKUP($B396,'Afton Update'!$A$5:$CR$582,'Afton Update'!AJ$589,0)</f>
        <v>32514.496623515777</v>
      </c>
      <c r="S396" s="637">
        <f>VLOOKUP($B396,'Afton Update'!$A$5:$CR$582,'Afton Update'!AK$589,0)</f>
        <v>31585.360190942432</v>
      </c>
      <c r="T396" s="643">
        <f t="shared" si="875"/>
        <v>132184.9650756566</v>
      </c>
      <c r="V396" s="636">
        <f t="shared" si="1024"/>
        <v>72335.892744614102</v>
      </c>
      <c r="W396" s="637">
        <f t="shared" si="1025"/>
        <v>15979.390486352893</v>
      </c>
      <c r="X396" s="637">
        <f t="shared" si="1026"/>
        <v>39343.624858159514</v>
      </c>
      <c r="Y396" s="637">
        <f t="shared" si="1027"/>
        <v>40791.666872347625</v>
      </c>
      <c r="Z396" s="643">
        <f t="shared" si="1028"/>
        <v>168450.57496147414</v>
      </c>
      <c r="AB396" s="644">
        <f t="shared" si="876"/>
        <v>53475.146955237084</v>
      </c>
      <c r="AC396" s="645">
        <f t="shared" si="850"/>
        <v>72335.892744614102</v>
      </c>
      <c r="AD396" s="644">
        <f t="shared" si="1029"/>
        <v>18860.745789377019</v>
      </c>
      <c r="AE396" s="645">
        <f t="shared" si="1030"/>
        <v>0</v>
      </c>
      <c r="AF396" s="646">
        <f t="shared" si="1031"/>
        <v>0</v>
      </c>
      <c r="AG396" s="647">
        <f t="shared" si="1032"/>
        <v>72335.892744614102</v>
      </c>
      <c r="AH396" s="644">
        <f t="shared" si="877"/>
        <v>0</v>
      </c>
      <c r="AI396" s="645">
        <f t="shared" si="878"/>
        <v>0</v>
      </c>
      <c r="AJ396" s="646">
        <f t="shared" si="1033"/>
        <v>0</v>
      </c>
      <c r="AK396" s="647">
        <f t="shared" si="879"/>
        <v>72335.892744614102</v>
      </c>
      <c r="AL396" s="644">
        <f t="shared" si="1034"/>
        <v>0</v>
      </c>
      <c r="AM396" s="645">
        <f t="shared" si="1035"/>
        <v>0</v>
      </c>
      <c r="AN396" s="646">
        <f t="shared" si="1036"/>
        <v>0</v>
      </c>
      <c r="AO396" s="647">
        <f t="shared" si="880"/>
        <v>72335.892744614102</v>
      </c>
      <c r="AP396" s="644">
        <f t="shared" si="1037"/>
        <v>0</v>
      </c>
      <c r="AQ396" s="645">
        <f t="shared" si="1038"/>
        <v>0</v>
      </c>
      <c r="AR396" s="646">
        <f t="shared" si="1039"/>
        <v>0</v>
      </c>
      <c r="AS396" s="647">
        <f t="shared" si="881"/>
        <v>72335.892744614102</v>
      </c>
      <c r="AT396" s="644">
        <f t="shared" si="1040"/>
        <v>0</v>
      </c>
      <c r="AU396" s="645">
        <f t="shared" si="1041"/>
        <v>0</v>
      </c>
      <c r="AV396" s="646">
        <f t="shared" si="1042"/>
        <v>0</v>
      </c>
      <c r="AW396" s="647">
        <f t="shared" si="882"/>
        <v>72335.892744614102</v>
      </c>
      <c r="AY396" s="644">
        <f t="shared" si="1043"/>
        <v>14609.961305961293</v>
      </c>
      <c r="AZ396" s="645">
        <f t="shared" si="1282"/>
        <v>15979.390486352893</v>
      </c>
      <c r="BA396" s="644">
        <f t="shared" si="1044"/>
        <v>1369.4291803916003</v>
      </c>
      <c r="BB396" s="645">
        <f t="shared" si="1045"/>
        <v>0</v>
      </c>
      <c r="BC396" s="646">
        <f t="shared" si="1046"/>
        <v>0</v>
      </c>
      <c r="BD396" s="647">
        <f t="shared" si="1047"/>
        <v>15979.390486352893</v>
      </c>
      <c r="BE396" s="644">
        <f t="shared" si="883"/>
        <v>0</v>
      </c>
      <c r="BF396" s="645">
        <f t="shared" si="884"/>
        <v>0</v>
      </c>
      <c r="BG396" s="646">
        <f t="shared" si="1048"/>
        <v>0</v>
      </c>
      <c r="BH396" s="647">
        <f t="shared" si="885"/>
        <v>15979.390486352893</v>
      </c>
      <c r="BI396" s="644">
        <f t="shared" si="1049"/>
        <v>0</v>
      </c>
      <c r="BJ396" s="645">
        <f t="shared" si="1050"/>
        <v>0</v>
      </c>
      <c r="BK396" s="646">
        <f t="shared" si="1051"/>
        <v>0</v>
      </c>
      <c r="BL396" s="647">
        <f t="shared" si="886"/>
        <v>15979.390486352893</v>
      </c>
      <c r="BM396" s="644">
        <f t="shared" si="1052"/>
        <v>0</v>
      </c>
      <c r="BN396" s="645">
        <f t="shared" si="1053"/>
        <v>0</v>
      </c>
      <c r="BO396" s="646">
        <f t="shared" si="1054"/>
        <v>0</v>
      </c>
      <c r="BP396" s="647">
        <f t="shared" si="887"/>
        <v>15979.390486352893</v>
      </c>
      <c r="BQ396" s="644">
        <f t="shared" si="1055"/>
        <v>0</v>
      </c>
      <c r="BR396" s="645">
        <f t="shared" si="1056"/>
        <v>0</v>
      </c>
      <c r="BS396" s="646">
        <f t="shared" si="1057"/>
        <v>0</v>
      </c>
      <c r="BT396" s="647">
        <f t="shared" si="888"/>
        <v>15979.390486352893</v>
      </c>
      <c r="BU396" s="662">
        <f>VLOOKUP(B396,'Afton Update'!$A$5:$AR$582,'Afton Update'!$AO$589,0)-BT396</f>
        <v>0</v>
      </c>
      <c r="BV396" s="644">
        <f t="shared" si="1058"/>
        <v>32514.496623515777</v>
      </c>
      <c r="BW396" s="645">
        <f t="shared" si="852"/>
        <v>39343.624858159514</v>
      </c>
      <c r="BX396" s="644">
        <f t="shared" si="1059"/>
        <v>6829.1282346437365</v>
      </c>
      <c r="BY396" s="645">
        <f t="shared" si="1060"/>
        <v>0</v>
      </c>
      <c r="BZ396" s="646">
        <f t="shared" si="1061"/>
        <v>0</v>
      </c>
      <c r="CA396" s="647">
        <f t="shared" si="1062"/>
        <v>39343.624858159514</v>
      </c>
      <c r="CB396" s="644">
        <f t="shared" si="889"/>
        <v>0</v>
      </c>
      <c r="CC396" s="645">
        <f t="shared" si="890"/>
        <v>0</v>
      </c>
      <c r="CD396" s="646">
        <f t="shared" si="1063"/>
        <v>0</v>
      </c>
      <c r="CE396" s="647">
        <f t="shared" si="891"/>
        <v>39343.624858159514</v>
      </c>
      <c r="CF396" s="644">
        <f t="shared" si="1064"/>
        <v>0</v>
      </c>
      <c r="CG396" s="645">
        <f t="shared" si="1065"/>
        <v>0</v>
      </c>
      <c r="CH396" s="646">
        <f t="shared" si="1066"/>
        <v>0</v>
      </c>
      <c r="CI396" s="647">
        <f t="shared" si="892"/>
        <v>39343.624858159514</v>
      </c>
      <c r="CJ396" s="644">
        <f t="shared" si="1067"/>
        <v>0</v>
      </c>
      <c r="CK396" s="645">
        <f t="shared" si="1068"/>
        <v>0</v>
      </c>
      <c r="CL396" s="646">
        <f t="shared" si="1069"/>
        <v>0</v>
      </c>
      <c r="CM396" s="647">
        <f t="shared" si="893"/>
        <v>39343.624858159514</v>
      </c>
      <c r="CN396" s="644">
        <f t="shared" si="1070"/>
        <v>0</v>
      </c>
      <c r="CO396" s="645">
        <f t="shared" si="1071"/>
        <v>0</v>
      </c>
      <c r="CP396" s="646">
        <f t="shared" si="1072"/>
        <v>0</v>
      </c>
      <c r="CQ396" s="647">
        <f t="shared" si="894"/>
        <v>39343.624858159514</v>
      </c>
      <c r="CS396" s="644">
        <f t="shared" si="1073"/>
        <v>31585.360190942432</v>
      </c>
      <c r="CT396" s="645">
        <f t="shared" si="853"/>
        <v>40791.666872347625</v>
      </c>
      <c r="CU396" s="644">
        <f t="shared" si="1074"/>
        <v>9206.3066814051926</v>
      </c>
      <c r="CV396" s="645">
        <f t="shared" si="1075"/>
        <v>0</v>
      </c>
      <c r="CW396" s="646">
        <f t="shared" si="1076"/>
        <v>0</v>
      </c>
      <c r="CX396" s="647">
        <f t="shared" si="1077"/>
        <v>40791.666872347625</v>
      </c>
      <c r="CY396" s="644">
        <f t="shared" si="895"/>
        <v>0</v>
      </c>
      <c r="CZ396" s="645">
        <f t="shared" si="896"/>
        <v>0</v>
      </c>
      <c r="DA396" s="646">
        <f t="shared" si="1078"/>
        <v>0</v>
      </c>
      <c r="DB396" s="647">
        <f t="shared" si="897"/>
        <v>40791.666872347625</v>
      </c>
      <c r="DC396" s="644">
        <f t="shared" si="1079"/>
        <v>0</v>
      </c>
      <c r="DD396" s="645">
        <f t="shared" si="1080"/>
        <v>0</v>
      </c>
      <c r="DE396" s="646">
        <f t="shared" si="1081"/>
        <v>0</v>
      </c>
      <c r="DF396" s="647">
        <f t="shared" si="898"/>
        <v>40791.666872347625</v>
      </c>
      <c r="DG396" s="644">
        <f t="shared" si="1082"/>
        <v>0</v>
      </c>
      <c r="DH396" s="645">
        <f t="shared" si="1083"/>
        <v>0</v>
      </c>
      <c r="DI396" s="646">
        <f t="shared" si="1084"/>
        <v>0</v>
      </c>
      <c r="DJ396" s="647">
        <f t="shared" si="899"/>
        <v>40791.666872347625</v>
      </c>
      <c r="DK396" s="644">
        <f t="shared" si="1085"/>
        <v>0</v>
      </c>
      <c r="DL396" s="645">
        <f t="shared" si="1086"/>
        <v>0</v>
      </c>
      <c r="DM396" s="646">
        <f t="shared" si="1087"/>
        <v>0</v>
      </c>
      <c r="DN396" s="647">
        <f t="shared" si="900"/>
        <v>40791.666872347625</v>
      </c>
      <c r="DR396" s="827">
        <f t="shared" si="1283"/>
        <v>168450.57496147414</v>
      </c>
      <c r="DV396" s="828">
        <f>IFERROR(VLOOKUP($B396,'Afton FY16 Final'!$A$5:$BV$587,'Afton FY16 Final'!$BV$587,0),0)</f>
        <v>173825.03491408381</v>
      </c>
      <c r="DX396" s="636">
        <f t="shared" si="1274"/>
        <v>0</v>
      </c>
      <c r="DY396" s="637">
        <f t="shared" si="1275"/>
        <v>0</v>
      </c>
      <c r="DZ396" s="637">
        <f t="shared" si="1276"/>
        <v>0</v>
      </c>
      <c r="EA396" s="643">
        <f t="shared" si="1277"/>
        <v>0</v>
      </c>
      <c r="EB396" s="637">
        <f t="shared" si="1284"/>
        <v>0</v>
      </c>
      <c r="EC396" s="637">
        <f t="shared" si="1285"/>
        <v>0</v>
      </c>
      <c r="ED396" s="637">
        <f t="shared" si="1286"/>
        <v>0</v>
      </c>
      <c r="EE396" s="643">
        <f t="shared" si="1287"/>
        <v>0</v>
      </c>
      <c r="EF396" s="637">
        <f t="shared" si="1288"/>
        <v>0</v>
      </c>
      <c r="EG396" s="637">
        <f t="shared" si="1289"/>
        <v>0</v>
      </c>
      <c r="EH396" s="637">
        <f t="shared" si="1290"/>
        <v>0</v>
      </c>
      <c r="EI396" s="643">
        <f t="shared" si="1291"/>
        <v>0</v>
      </c>
      <c r="EJ396" s="637">
        <f t="shared" si="1292"/>
        <v>0</v>
      </c>
      <c r="EK396" s="637">
        <f t="shared" si="1293"/>
        <v>0</v>
      </c>
      <c r="EL396" s="637">
        <f t="shared" si="1294"/>
        <v>0</v>
      </c>
      <c r="EM396" s="643">
        <f t="shared" si="1295"/>
        <v>0</v>
      </c>
      <c r="EN396" s="637">
        <f t="shared" si="1296"/>
        <v>0</v>
      </c>
      <c r="EO396" s="637">
        <f t="shared" si="1297"/>
        <v>0</v>
      </c>
      <c r="EP396" s="637">
        <f t="shared" si="1298"/>
        <v>0</v>
      </c>
      <c r="EQ396" s="643">
        <f t="shared" si="1299"/>
        <v>0</v>
      </c>
      <c r="ER396" s="637">
        <f t="shared" si="1300"/>
        <v>0</v>
      </c>
      <c r="ES396" s="637">
        <f t="shared" si="1301"/>
        <v>0</v>
      </c>
      <c r="ET396" s="637">
        <f t="shared" si="1302"/>
        <v>0</v>
      </c>
      <c r="EU396" s="643">
        <f t="shared" si="1278"/>
        <v>0</v>
      </c>
      <c r="EV396" s="643">
        <f t="shared" si="1279"/>
        <v>0</v>
      </c>
      <c r="EX396" s="829">
        <f t="shared" si="1280"/>
        <v>0</v>
      </c>
      <c r="EY396" s="638">
        <f t="shared" si="1281"/>
        <v>168450.57496147414</v>
      </c>
      <c r="FC396" s="830" t="str">
        <f t="shared" si="1303"/>
        <v>Y</v>
      </c>
      <c r="FE396" s="830" t="str">
        <f>IFERROR(VLOOKUP($B396,'Historical Conc Grant Elig'!$B$3:$J$707,'HH &amp; SI'!FE$2,0),"N")</f>
        <v>Y</v>
      </c>
      <c r="FF396" s="830" t="str">
        <f>IFERROR(VLOOKUP($B396,'Historical Conc Grant Elig'!$B$3:$J$707,'HH &amp; SI'!FF$2,0),"N")</f>
        <v>Y</v>
      </c>
      <c r="FG396" s="830" t="str">
        <f>IFERROR(VLOOKUP($B396,'Historical Conc Grant Elig'!$B$3:$J$707,'HH &amp; SI'!FG$2,0),"N")</f>
        <v>Y</v>
      </c>
      <c r="FH396" s="830" t="str">
        <f>IFERROR(VLOOKUP($B396,'Historical Conc Grant Elig'!$B$3:$J$707,'HH &amp; SI'!FH$2,0),"N")</f>
        <v>Y</v>
      </c>
      <c r="FI396" s="830" t="str">
        <f>IFERROR(VLOOKUP($B396,'Historical Conc Grant Elig'!$B$3:$J$707,'HH &amp; SI'!FI$2,0),"N")</f>
        <v>Y</v>
      </c>
      <c r="FJ396" s="830" t="str">
        <f>IFERROR(VLOOKUP($B396,'Historical Conc Grant Elig'!$B$3:$J$707,'HH &amp; SI'!FJ$2,0),"N")</f>
        <v>Y</v>
      </c>
      <c r="FK396" s="830" t="str">
        <f>IFERROR(VLOOKUP($B396,'Historical Conc Grant Elig'!$B$3:$J$707,'HH &amp; SI'!FK$2,0),"N")</f>
        <v>Y</v>
      </c>
      <c r="FL396" s="957" t="str">
        <f>IFERROR(VLOOKUP($B396,'Historical Conc Grant Elig'!$B$3:$J$707,'HH &amp; SI'!FL$2,0),"N")</f>
        <v>Y</v>
      </c>
    </row>
    <row r="397" spans="2:168" x14ac:dyDescent="0.25">
      <c r="B397" s="634">
        <v>108789000</v>
      </c>
      <c r="C397" s="635" t="str">
        <f>VLOOKUP($B397,'Afton Update'!$A$5:$CR$582,'Afton Update'!D$589,0)</f>
        <v>Griffin Foundation  Inc. The</v>
      </c>
      <c r="D397" s="636">
        <f>IFERROR(VLOOKUP($B397,'Afton FY16 Final'!$A$5:$BV$587,'Afton FY16 Final'!AQ$587,0),0)</f>
        <v>87285.929627647303</v>
      </c>
      <c r="E397" s="637">
        <f>IFERROR(VLOOKUP($B397,'Afton FY16 Final'!$A$5:$BV$587,'Afton FY16 Final'!AR$587,0),0)</f>
        <v>21094.784212017508</v>
      </c>
      <c r="F397" s="637">
        <f>IFERROR(VLOOKUP($B397,'Afton FY16 Final'!$A$5:$BV$587,'Afton FY16 Final'!AS$587,0),0)</f>
        <v>47474.97736414626</v>
      </c>
      <c r="G397" s="637">
        <f>IFERROR(VLOOKUP($B397,'Afton FY16 Final'!$A$5:$BV$587,'Afton FY16 Final'!AT$587,0),0)</f>
        <v>49222.293786914975</v>
      </c>
      <c r="H397" s="638">
        <f>IFERROR(VLOOKUP($B397,'Afton FY16 Final'!$A$5:$BV$587,'Afton FY16 Final'!AU$587,0),0)</f>
        <v>205077.98499072605</v>
      </c>
      <c r="I397" s="639" t="str">
        <f>VLOOKUP($B397,'Afton Update'!$A$5:$CR$582,'Afton Update'!BT$589,0)</f>
        <v>Y</v>
      </c>
      <c r="J397" s="640" t="str">
        <f>VLOOKUP($B397,'Afton Update'!$A$5:$CR$582,'Afton Update'!BU$589,0)</f>
        <v>Y</v>
      </c>
      <c r="K397" s="640" t="str">
        <f>VLOOKUP($B397,'Afton Update'!$A$5:$CR$582,'Afton Update'!BV$589,0)</f>
        <v>Y</v>
      </c>
      <c r="L397" s="641" t="str">
        <f>VLOOKUP($B397,'Afton Update'!$A$5:$CR$582,'Afton Update'!BW$589,0)</f>
        <v>Y</v>
      </c>
      <c r="N397" s="642">
        <f>VLOOKUP($B397,'Afton Update'!$A$5:$CR$582,'Afton Update'!CB$589,0)</f>
        <v>0.95</v>
      </c>
      <c r="P397" s="636">
        <f>VLOOKUP($B397,'Afton Update'!$A$5:$CR$582,'Afton Update'!AH$589,0)</f>
        <v>72968.550278821043</v>
      </c>
      <c r="Q397" s="637">
        <f>VLOOKUP($B397,'Afton Update'!$A$5:$CR$582,'Afton Update'!AI$589,0)</f>
        <v>18912.615852607119</v>
      </c>
      <c r="R397" s="637">
        <f>VLOOKUP($B397,'Afton Update'!$A$5:$CR$582,'Afton Update'!AJ$589,0)</f>
        <v>44367.071747358968</v>
      </c>
      <c r="S397" s="637">
        <f>VLOOKUP($B397,'Afton Update'!$A$5:$CR$582,'Afton Update'!AK$589,0)</f>
        <v>43099.235334438687</v>
      </c>
      <c r="T397" s="643">
        <f t="shared" si="875"/>
        <v>179347.47321322581</v>
      </c>
      <c r="V397" s="636">
        <f t="shared" si="1024"/>
        <v>82921.63314626494</v>
      </c>
      <c r="W397" s="637">
        <f t="shared" si="1025"/>
        <v>20040.045001416631</v>
      </c>
      <c r="X397" s="637">
        <f t="shared" si="1026"/>
        <v>45101.228495938944</v>
      </c>
      <c r="Y397" s="637">
        <f t="shared" si="1027"/>
        <v>46761.179097569227</v>
      </c>
      <c r="Z397" s="643">
        <f t="shared" si="1028"/>
        <v>194824.08574118975</v>
      </c>
      <c r="AB397" s="644">
        <f t="shared" si="876"/>
        <v>72968.550278821043</v>
      </c>
      <c r="AC397" s="645">
        <f t="shared" si="850"/>
        <v>82921.63314626494</v>
      </c>
      <c r="AD397" s="644">
        <f t="shared" si="1029"/>
        <v>9953.0828674438962</v>
      </c>
      <c r="AE397" s="645">
        <f t="shared" si="1030"/>
        <v>0</v>
      </c>
      <c r="AF397" s="646">
        <f t="shared" si="1031"/>
        <v>0</v>
      </c>
      <c r="AG397" s="647">
        <f t="shared" si="1032"/>
        <v>82921.63314626494</v>
      </c>
      <c r="AH397" s="644">
        <f t="shared" si="877"/>
        <v>0</v>
      </c>
      <c r="AI397" s="645">
        <f t="shared" si="878"/>
        <v>0</v>
      </c>
      <c r="AJ397" s="646">
        <f t="shared" si="1033"/>
        <v>0</v>
      </c>
      <c r="AK397" s="647">
        <f t="shared" si="879"/>
        <v>82921.63314626494</v>
      </c>
      <c r="AL397" s="644">
        <f t="shared" si="1034"/>
        <v>0</v>
      </c>
      <c r="AM397" s="645">
        <f t="shared" si="1035"/>
        <v>0</v>
      </c>
      <c r="AN397" s="646">
        <f t="shared" si="1036"/>
        <v>0</v>
      </c>
      <c r="AO397" s="647">
        <f t="shared" si="880"/>
        <v>82921.63314626494</v>
      </c>
      <c r="AP397" s="644">
        <f t="shared" si="1037"/>
        <v>0</v>
      </c>
      <c r="AQ397" s="645">
        <f t="shared" si="1038"/>
        <v>0</v>
      </c>
      <c r="AR397" s="646">
        <f t="shared" si="1039"/>
        <v>0</v>
      </c>
      <c r="AS397" s="647">
        <f t="shared" si="881"/>
        <v>82921.63314626494</v>
      </c>
      <c r="AT397" s="644">
        <f t="shared" si="1040"/>
        <v>0</v>
      </c>
      <c r="AU397" s="645">
        <f t="shared" si="1041"/>
        <v>0</v>
      </c>
      <c r="AV397" s="646">
        <f t="shared" si="1042"/>
        <v>0</v>
      </c>
      <c r="AW397" s="647">
        <f t="shared" si="882"/>
        <v>82921.63314626494</v>
      </c>
      <c r="AY397" s="644">
        <f t="shared" si="1043"/>
        <v>18912.615852607119</v>
      </c>
      <c r="AZ397" s="645">
        <f t="shared" si="1282"/>
        <v>20040.045001416631</v>
      </c>
      <c r="BA397" s="644">
        <f t="shared" si="1044"/>
        <v>1127.4291488095114</v>
      </c>
      <c r="BB397" s="645">
        <f t="shared" si="1045"/>
        <v>0</v>
      </c>
      <c r="BC397" s="646">
        <f t="shared" si="1046"/>
        <v>0</v>
      </c>
      <c r="BD397" s="647">
        <f t="shared" si="1047"/>
        <v>20040.045001416631</v>
      </c>
      <c r="BE397" s="644">
        <f t="shared" si="883"/>
        <v>0</v>
      </c>
      <c r="BF397" s="645">
        <f t="shared" si="884"/>
        <v>0</v>
      </c>
      <c r="BG397" s="646">
        <f t="shared" si="1048"/>
        <v>0</v>
      </c>
      <c r="BH397" s="647">
        <f t="shared" si="885"/>
        <v>20040.045001416631</v>
      </c>
      <c r="BI397" s="644">
        <f t="shared" si="1049"/>
        <v>0</v>
      </c>
      <c r="BJ397" s="645">
        <f t="shared" si="1050"/>
        <v>0</v>
      </c>
      <c r="BK397" s="646">
        <f t="shared" si="1051"/>
        <v>0</v>
      </c>
      <c r="BL397" s="647">
        <f t="shared" si="886"/>
        <v>20040.045001416631</v>
      </c>
      <c r="BM397" s="644">
        <f t="shared" si="1052"/>
        <v>0</v>
      </c>
      <c r="BN397" s="645">
        <f t="shared" si="1053"/>
        <v>0</v>
      </c>
      <c r="BO397" s="646">
        <f t="shared" si="1054"/>
        <v>0</v>
      </c>
      <c r="BP397" s="647">
        <f t="shared" si="887"/>
        <v>20040.045001416631</v>
      </c>
      <c r="BQ397" s="644">
        <f t="shared" si="1055"/>
        <v>0</v>
      </c>
      <c r="BR397" s="645">
        <f t="shared" si="1056"/>
        <v>0</v>
      </c>
      <c r="BS397" s="646">
        <f t="shared" si="1057"/>
        <v>0</v>
      </c>
      <c r="BT397" s="647">
        <f t="shared" si="888"/>
        <v>20040.045001416631</v>
      </c>
      <c r="BU397" s="662">
        <f>VLOOKUP(B397,'Afton Update'!$A$5:$AR$582,'Afton Update'!$AO$589,0)-BT397</f>
        <v>0</v>
      </c>
      <c r="BV397" s="644">
        <f t="shared" si="1058"/>
        <v>44367.071747358968</v>
      </c>
      <c r="BW397" s="645">
        <f t="shared" si="852"/>
        <v>45101.228495938944</v>
      </c>
      <c r="BX397" s="644">
        <f t="shared" si="1059"/>
        <v>734.1567485799751</v>
      </c>
      <c r="BY397" s="645">
        <f t="shared" si="1060"/>
        <v>0</v>
      </c>
      <c r="BZ397" s="646">
        <f t="shared" si="1061"/>
        <v>0</v>
      </c>
      <c r="CA397" s="647">
        <f t="shared" si="1062"/>
        <v>45101.228495938944</v>
      </c>
      <c r="CB397" s="644">
        <f t="shared" si="889"/>
        <v>0</v>
      </c>
      <c r="CC397" s="645">
        <f t="shared" si="890"/>
        <v>0</v>
      </c>
      <c r="CD397" s="646">
        <f t="shared" si="1063"/>
        <v>0</v>
      </c>
      <c r="CE397" s="647">
        <f t="shared" si="891"/>
        <v>45101.228495938944</v>
      </c>
      <c r="CF397" s="644">
        <f t="shared" si="1064"/>
        <v>0</v>
      </c>
      <c r="CG397" s="645">
        <f t="shared" si="1065"/>
        <v>0</v>
      </c>
      <c r="CH397" s="646">
        <f t="shared" si="1066"/>
        <v>0</v>
      </c>
      <c r="CI397" s="647">
        <f t="shared" si="892"/>
        <v>45101.228495938944</v>
      </c>
      <c r="CJ397" s="644">
        <f t="shared" si="1067"/>
        <v>0</v>
      </c>
      <c r="CK397" s="645">
        <f t="shared" si="1068"/>
        <v>0</v>
      </c>
      <c r="CL397" s="646">
        <f t="shared" si="1069"/>
        <v>0</v>
      </c>
      <c r="CM397" s="647">
        <f t="shared" si="893"/>
        <v>45101.228495938944</v>
      </c>
      <c r="CN397" s="644">
        <f t="shared" si="1070"/>
        <v>0</v>
      </c>
      <c r="CO397" s="645">
        <f t="shared" si="1071"/>
        <v>0</v>
      </c>
      <c r="CP397" s="646">
        <f t="shared" si="1072"/>
        <v>0</v>
      </c>
      <c r="CQ397" s="647">
        <f t="shared" si="894"/>
        <v>45101.228495938944</v>
      </c>
      <c r="CS397" s="644">
        <f t="shared" si="1073"/>
        <v>43099.235334438687</v>
      </c>
      <c r="CT397" s="645">
        <f t="shared" si="853"/>
        <v>46761.179097569227</v>
      </c>
      <c r="CU397" s="644">
        <f t="shared" si="1074"/>
        <v>3661.9437631305409</v>
      </c>
      <c r="CV397" s="645">
        <f t="shared" si="1075"/>
        <v>0</v>
      </c>
      <c r="CW397" s="646">
        <f t="shared" si="1076"/>
        <v>0</v>
      </c>
      <c r="CX397" s="647">
        <f t="shared" si="1077"/>
        <v>46761.179097569227</v>
      </c>
      <c r="CY397" s="644">
        <f t="shared" si="895"/>
        <v>0</v>
      </c>
      <c r="CZ397" s="645">
        <f t="shared" si="896"/>
        <v>0</v>
      </c>
      <c r="DA397" s="646">
        <f t="shared" si="1078"/>
        <v>0</v>
      </c>
      <c r="DB397" s="647">
        <f t="shared" si="897"/>
        <v>46761.179097569227</v>
      </c>
      <c r="DC397" s="644">
        <f t="shared" si="1079"/>
        <v>0</v>
      </c>
      <c r="DD397" s="645">
        <f t="shared" si="1080"/>
        <v>0</v>
      </c>
      <c r="DE397" s="646">
        <f t="shared" si="1081"/>
        <v>0</v>
      </c>
      <c r="DF397" s="647">
        <f t="shared" si="898"/>
        <v>46761.179097569227</v>
      </c>
      <c r="DG397" s="644">
        <f t="shared" si="1082"/>
        <v>0</v>
      </c>
      <c r="DH397" s="645">
        <f t="shared" si="1083"/>
        <v>0</v>
      </c>
      <c r="DI397" s="646">
        <f t="shared" si="1084"/>
        <v>0</v>
      </c>
      <c r="DJ397" s="647">
        <f t="shared" si="899"/>
        <v>46761.179097569227</v>
      </c>
      <c r="DK397" s="644">
        <f t="shared" si="1085"/>
        <v>0</v>
      </c>
      <c r="DL397" s="645">
        <f t="shared" si="1086"/>
        <v>0</v>
      </c>
      <c r="DM397" s="646">
        <f t="shared" si="1087"/>
        <v>0</v>
      </c>
      <c r="DN397" s="647">
        <f t="shared" si="900"/>
        <v>46761.179097569227</v>
      </c>
      <c r="DR397" s="827">
        <f t="shared" si="1283"/>
        <v>194824.08574118975</v>
      </c>
      <c r="DV397" s="828">
        <f>IFERROR(VLOOKUP($B397,'Afton FY16 Final'!$A$5:$BV$587,'Afton FY16 Final'!$BV$587,0),0)</f>
        <v>189558.67459034952</v>
      </c>
      <c r="DX397" s="636">
        <f t="shared" si="1274"/>
        <v>194824.08574118975</v>
      </c>
      <c r="DY397" s="637">
        <f t="shared" si="1275"/>
        <v>5265.4111508402275</v>
      </c>
      <c r="DZ397" s="637">
        <f t="shared" si="1276"/>
        <v>189558.67459034952</v>
      </c>
      <c r="EA397" s="643">
        <f t="shared" si="1277"/>
        <v>184461.62785140274</v>
      </c>
      <c r="EB397" s="637">
        <f t="shared" si="1284"/>
        <v>189558.67459034952</v>
      </c>
      <c r="EC397" s="637">
        <f t="shared" si="1285"/>
        <v>0</v>
      </c>
      <c r="ED397" s="637">
        <f t="shared" si="1286"/>
        <v>0</v>
      </c>
      <c r="EE397" s="643">
        <f t="shared" si="1287"/>
        <v>189558.67459034952</v>
      </c>
      <c r="EF397" s="637">
        <f t="shared" si="1288"/>
        <v>0</v>
      </c>
      <c r="EG397" s="637">
        <f t="shared" si="1289"/>
        <v>0</v>
      </c>
      <c r="EH397" s="637">
        <f t="shared" si="1290"/>
        <v>0</v>
      </c>
      <c r="EI397" s="643">
        <f t="shared" si="1291"/>
        <v>189558.67459034952</v>
      </c>
      <c r="EJ397" s="637">
        <f t="shared" si="1292"/>
        <v>0</v>
      </c>
      <c r="EK397" s="637">
        <f t="shared" si="1293"/>
        <v>0</v>
      </c>
      <c r="EL397" s="637">
        <f t="shared" si="1294"/>
        <v>0</v>
      </c>
      <c r="EM397" s="643">
        <f t="shared" si="1295"/>
        <v>189558.67459034952</v>
      </c>
      <c r="EN397" s="637">
        <f t="shared" si="1296"/>
        <v>0</v>
      </c>
      <c r="EO397" s="637">
        <f t="shared" si="1297"/>
        <v>0</v>
      </c>
      <c r="EP397" s="637">
        <f t="shared" si="1298"/>
        <v>0</v>
      </c>
      <c r="EQ397" s="643">
        <f t="shared" si="1299"/>
        <v>189558.67459034952</v>
      </c>
      <c r="ER397" s="637">
        <f t="shared" si="1300"/>
        <v>0</v>
      </c>
      <c r="ES397" s="637">
        <f t="shared" si="1301"/>
        <v>0</v>
      </c>
      <c r="ET397" s="637">
        <f t="shared" si="1302"/>
        <v>0</v>
      </c>
      <c r="EU397" s="643">
        <f t="shared" si="1278"/>
        <v>189558.67459034952</v>
      </c>
      <c r="EV397" s="643">
        <f t="shared" si="1279"/>
        <v>0</v>
      </c>
      <c r="EX397" s="829">
        <f t="shared" si="1280"/>
        <v>5265.4111508402275</v>
      </c>
      <c r="EY397" s="638">
        <f t="shared" si="1281"/>
        <v>189558.67459034952</v>
      </c>
      <c r="FC397" s="830" t="str">
        <f t="shared" si="1303"/>
        <v>Y</v>
      </c>
      <c r="FE397" s="830" t="str">
        <f>IFERROR(VLOOKUP($B397,'Historical Conc Grant Elig'!$B$3:$J$707,'HH &amp; SI'!FE$2,0),"N")</f>
        <v>Y</v>
      </c>
      <c r="FF397" s="830" t="str">
        <f>IFERROR(VLOOKUP($B397,'Historical Conc Grant Elig'!$B$3:$J$707,'HH &amp; SI'!FF$2,0),"N")</f>
        <v>Y</v>
      </c>
      <c r="FG397" s="830" t="str">
        <f>IFERROR(VLOOKUP($B397,'Historical Conc Grant Elig'!$B$3:$J$707,'HH &amp; SI'!FG$2,0),"N")</f>
        <v>Y</v>
      </c>
      <c r="FH397" s="830" t="str">
        <f>IFERROR(VLOOKUP($B397,'Historical Conc Grant Elig'!$B$3:$J$707,'HH &amp; SI'!FH$2,0),"N")</f>
        <v>Y</v>
      </c>
      <c r="FI397" s="830" t="str">
        <f>IFERROR(VLOOKUP($B397,'Historical Conc Grant Elig'!$B$3:$J$707,'HH &amp; SI'!FI$2,0),"N")</f>
        <v>Y</v>
      </c>
      <c r="FJ397" s="830" t="str">
        <f>IFERROR(VLOOKUP($B397,'Historical Conc Grant Elig'!$B$3:$J$707,'HH &amp; SI'!FJ$2,0),"N")</f>
        <v>Y</v>
      </c>
      <c r="FK397" s="830" t="str">
        <f>IFERROR(VLOOKUP($B397,'Historical Conc Grant Elig'!$B$3:$J$707,'HH &amp; SI'!FK$2,0),"N")</f>
        <v>Y</v>
      </c>
      <c r="FL397" s="957" t="str">
        <f>IFERROR(VLOOKUP($B397,'Historical Conc Grant Elig'!$B$3:$J$707,'HH &amp; SI'!FL$2,0),"N")</f>
        <v>Y</v>
      </c>
    </row>
    <row r="398" spans="2:168" x14ac:dyDescent="0.25">
      <c r="B398" s="634">
        <v>108793000</v>
      </c>
      <c r="C398" s="635" t="str">
        <f>VLOOKUP($B398,'Afton Update'!$A$5:$CR$582,'Afton Update'!D$589,0)</f>
        <v>CPLC Community Schools dba Toltecalli High School</v>
      </c>
      <c r="D398" s="636">
        <f>IFERROR(VLOOKUP($B398,'Afton FY16 Final'!$A$5:$BV$587,'Afton FY16 Final'!AQ$587,0),0)</f>
        <v>25690.539571257894</v>
      </c>
      <c r="E398" s="637">
        <f>IFERROR(VLOOKUP($B398,'Afton FY16 Final'!$A$5:$BV$587,'Afton FY16 Final'!AR$587,0),0)</f>
        <v>7794.5032701916507</v>
      </c>
      <c r="F398" s="637">
        <f>IFERROR(VLOOKUP($B398,'Afton FY16 Final'!$A$5:$BV$587,'Afton FY16 Final'!AS$587,0),0)</f>
        <v>13973.131635546597</v>
      </c>
      <c r="G398" s="637">
        <f>IFERROR(VLOOKUP($B398,'Afton FY16 Final'!$A$5:$BV$587,'Afton FY16 Final'!AT$587,0),0)</f>
        <v>14487.412710333134</v>
      </c>
      <c r="H398" s="638">
        <f>IFERROR(VLOOKUP($B398,'Afton FY16 Final'!$A$5:$BV$587,'Afton FY16 Final'!AU$587,0),0)</f>
        <v>61945.587187329278</v>
      </c>
      <c r="I398" s="639" t="str">
        <f>VLOOKUP($B398,'Afton Update'!$A$5:$CR$582,'Afton Update'!BT$589,0)</f>
        <v>Y</v>
      </c>
      <c r="J398" s="640" t="str">
        <f>VLOOKUP($B398,'Afton Update'!$A$5:$CR$582,'Afton Update'!BU$589,0)</f>
        <v>Y</v>
      </c>
      <c r="K398" s="640" t="str">
        <f>VLOOKUP($B398,'Afton Update'!$A$5:$CR$582,'Afton Update'!BV$589,0)</f>
        <v>Y</v>
      </c>
      <c r="L398" s="641" t="str">
        <f>VLOOKUP($B398,'Afton Update'!$A$5:$CR$582,'Afton Update'!BW$589,0)</f>
        <v>Y</v>
      </c>
      <c r="N398" s="642">
        <f>VLOOKUP($B398,'Afton Update'!$A$5:$CR$582,'Afton Update'!CB$589,0)</f>
        <v>0.95</v>
      </c>
      <c r="P398" s="636">
        <f>VLOOKUP($B398,'Afton Update'!$A$5:$CR$582,'Afton Update'!AH$589,0)</f>
        <v>14488.340308069161</v>
      </c>
      <c r="Q398" s="637">
        <f>VLOOKUP($B398,'Afton Update'!$A$5:$CR$582,'Afton Update'!AI$589,0)</f>
        <v>6004.65221266964</v>
      </c>
      <c r="R398" s="637">
        <f>VLOOKUP($B398,'Afton Update'!$A$5:$CR$582,'Afton Update'!AJ$589,0)</f>
        <v>8809.3463758293983</v>
      </c>
      <c r="S398" s="637">
        <f>VLOOKUP($B398,'Afton Update'!$A$5:$CR$582,'Afton Update'!AK$589,0)</f>
        <v>8557.6099039499204</v>
      </c>
      <c r="T398" s="643">
        <f t="shared" si="875"/>
        <v>37859.948800518119</v>
      </c>
      <c r="V398" s="636">
        <f t="shared" si="1024"/>
        <v>24406.012592694999</v>
      </c>
      <c r="W398" s="637">
        <f t="shared" si="1025"/>
        <v>7404.778106682068</v>
      </c>
      <c r="X398" s="637">
        <f t="shared" si="1026"/>
        <v>13274.475053769267</v>
      </c>
      <c r="Y398" s="637">
        <f t="shared" si="1027"/>
        <v>13763.042074816476</v>
      </c>
      <c r="Z398" s="643">
        <f t="shared" si="1028"/>
        <v>58848.30782796281</v>
      </c>
      <c r="AB398" s="644">
        <f t="shared" si="876"/>
        <v>14488.340308069161</v>
      </c>
      <c r="AC398" s="645">
        <f t="shared" si="850"/>
        <v>24406.012592694999</v>
      </c>
      <c r="AD398" s="644">
        <f t="shared" si="1029"/>
        <v>9917.6722846258381</v>
      </c>
      <c r="AE398" s="645">
        <f t="shared" si="1030"/>
        <v>0</v>
      </c>
      <c r="AF398" s="646">
        <f t="shared" si="1031"/>
        <v>0</v>
      </c>
      <c r="AG398" s="647">
        <f t="shared" si="1032"/>
        <v>24406.012592694999</v>
      </c>
      <c r="AH398" s="644">
        <f t="shared" si="877"/>
        <v>0</v>
      </c>
      <c r="AI398" s="645">
        <f t="shared" si="878"/>
        <v>0</v>
      </c>
      <c r="AJ398" s="646">
        <f t="shared" si="1033"/>
        <v>0</v>
      </c>
      <c r="AK398" s="647">
        <f t="shared" si="879"/>
        <v>24406.012592694999</v>
      </c>
      <c r="AL398" s="644">
        <f t="shared" si="1034"/>
        <v>0</v>
      </c>
      <c r="AM398" s="645">
        <f t="shared" si="1035"/>
        <v>0</v>
      </c>
      <c r="AN398" s="646">
        <f t="shared" si="1036"/>
        <v>0</v>
      </c>
      <c r="AO398" s="647">
        <f t="shared" si="880"/>
        <v>24406.012592694999</v>
      </c>
      <c r="AP398" s="644">
        <f t="shared" si="1037"/>
        <v>0</v>
      </c>
      <c r="AQ398" s="645">
        <f t="shared" si="1038"/>
        <v>0</v>
      </c>
      <c r="AR398" s="646">
        <f t="shared" si="1039"/>
        <v>0</v>
      </c>
      <c r="AS398" s="647">
        <f t="shared" si="881"/>
        <v>24406.012592694999</v>
      </c>
      <c r="AT398" s="644">
        <f t="shared" si="1040"/>
        <v>0</v>
      </c>
      <c r="AU398" s="645">
        <f t="shared" si="1041"/>
        <v>0</v>
      </c>
      <c r="AV398" s="646">
        <f t="shared" si="1042"/>
        <v>0</v>
      </c>
      <c r="AW398" s="647">
        <f t="shared" si="882"/>
        <v>24406.012592694999</v>
      </c>
      <c r="AY398" s="644">
        <f t="shared" si="1043"/>
        <v>6004.65221266964</v>
      </c>
      <c r="AZ398" s="645">
        <f t="shared" si="1282"/>
        <v>7404.778106682068</v>
      </c>
      <c r="BA398" s="644">
        <f t="shared" si="1044"/>
        <v>1400.125894012428</v>
      </c>
      <c r="BB398" s="645">
        <f t="shared" si="1045"/>
        <v>0</v>
      </c>
      <c r="BC398" s="646">
        <f t="shared" si="1046"/>
        <v>0</v>
      </c>
      <c r="BD398" s="647">
        <f t="shared" si="1047"/>
        <v>7404.778106682068</v>
      </c>
      <c r="BE398" s="644">
        <f t="shared" si="883"/>
        <v>0</v>
      </c>
      <c r="BF398" s="645">
        <f t="shared" si="884"/>
        <v>0</v>
      </c>
      <c r="BG398" s="646">
        <f t="shared" si="1048"/>
        <v>0</v>
      </c>
      <c r="BH398" s="647">
        <f t="shared" si="885"/>
        <v>7404.778106682068</v>
      </c>
      <c r="BI398" s="644">
        <f t="shared" si="1049"/>
        <v>0</v>
      </c>
      <c r="BJ398" s="645">
        <f t="shared" si="1050"/>
        <v>0</v>
      </c>
      <c r="BK398" s="646">
        <f t="shared" si="1051"/>
        <v>0</v>
      </c>
      <c r="BL398" s="647">
        <f t="shared" si="886"/>
        <v>7404.778106682068</v>
      </c>
      <c r="BM398" s="644">
        <f t="shared" si="1052"/>
        <v>0</v>
      </c>
      <c r="BN398" s="645">
        <f t="shared" si="1053"/>
        <v>0</v>
      </c>
      <c r="BO398" s="646">
        <f t="shared" si="1054"/>
        <v>0</v>
      </c>
      <c r="BP398" s="647">
        <f t="shared" si="887"/>
        <v>7404.778106682068</v>
      </c>
      <c r="BQ398" s="644">
        <f t="shared" si="1055"/>
        <v>0</v>
      </c>
      <c r="BR398" s="645">
        <f t="shared" si="1056"/>
        <v>0</v>
      </c>
      <c r="BS398" s="646">
        <f t="shared" si="1057"/>
        <v>0</v>
      </c>
      <c r="BT398" s="647">
        <f t="shared" si="888"/>
        <v>7404.778106682068</v>
      </c>
      <c r="BU398" s="662">
        <f>VLOOKUP(B398,'Afton Update'!$A$5:$AR$582,'Afton Update'!$AO$589,0)-BT398</f>
        <v>0</v>
      </c>
      <c r="BV398" s="644">
        <f t="shared" si="1058"/>
        <v>8809.3463758293983</v>
      </c>
      <c r="BW398" s="645">
        <f t="shared" si="852"/>
        <v>13274.475053769267</v>
      </c>
      <c r="BX398" s="644">
        <f t="shared" si="1059"/>
        <v>4465.1286779398688</v>
      </c>
      <c r="BY398" s="645">
        <f t="shared" si="1060"/>
        <v>0</v>
      </c>
      <c r="BZ398" s="646">
        <f t="shared" si="1061"/>
        <v>0</v>
      </c>
      <c r="CA398" s="647">
        <f t="shared" si="1062"/>
        <v>13274.475053769267</v>
      </c>
      <c r="CB398" s="644">
        <f t="shared" si="889"/>
        <v>0</v>
      </c>
      <c r="CC398" s="645">
        <f t="shared" si="890"/>
        <v>0</v>
      </c>
      <c r="CD398" s="646">
        <f t="shared" si="1063"/>
        <v>0</v>
      </c>
      <c r="CE398" s="647">
        <f t="shared" si="891"/>
        <v>13274.475053769267</v>
      </c>
      <c r="CF398" s="644">
        <f t="shared" si="1064"/>
        <v>0</v>
      </c>
      <c r="CG398" s="645">
        <f t="shared" si="1065"/>
        <v>0</v>
      </c>
      <c r="CH398" s="646">
        <f t="shared" si="1066"/>
        <v>0</v>
      </c>
      <c r="CI398" s="647">
        <f t="shared" si="892"/>
        <v>13274.475053769267</v>
      </c>
      <c r="CJ398" s="644">
        <f t="shared" si="1067"/>
        <v>0</v>
      </c>
      <c r="CK398" s="645">
        <f t="shared" si="1068"/>
        <v>0</v>
      </c>
      <c r="CL398" s="646">
        <f t="shared" si="1069"/>
        <v>0</v>
      </c>
      <c r="CM398" s="647">
        <f t="shared" si="893"/>
        <v>13274.475053769267</v>
      </c>
      <c r="CN398" s="644">
        <f t="shared" si="1070"/>
        <v>0</v>
      </c>
      <c r="CO398" s="645">
        <f t="shared" si="1071"/>
        <v>0</v>
      </c>
      <c r="CP398" s="646">
        <f t="shared" si="1072"/>
        <v>0</v>
      </c>
      <c r="CQ398" s="647">
        <f t="shared" si="894"/>
        <v>13274.475053769267</v>
      </c>
      <c r="CS398" s="644">
        <f t="shared" si="1073"/>
        <v>8557.6099039499204</v>
      </c>
      <c r="CT398" s="645">
        <f t="shared" si="853"/>
        <v>13763.042074816476</v>
      </c>
      <c r="CU398" s="644">
        <f t="shared" si="1074"/>
        <v>5205.4321708665557</v>
      </c>
      <c r="CV398" s="645">
        <f t="shared" si="1075"/>
        <v>0</v>
      </c>
      <c r="CW398" s="646">
        <f t="shared" si="1076"/>
        <v>0</v>
      </c>
      <c r="CX398" s="647">
        <f t="shared" si="1077"/>
        <v>13763.042074816476</v>
      </c>
      <c r="CY398" s="644">
        <f t="shared" si="895"/>
        <v>0</v>
      </c>
      <c r="CZ398" s="645">
        <f t="shared" si="896"/>
        <v>0</v>
      </c>
      <c r="DA398" s="646">
        <f t="shared" si="1078"/>
        <v>0</v>
      </c>
      <c r="DB398" s="647">
        <f t="shared" si="897"/>
        <v>13763.042074816476</v>
      </c>
      <c r="DC398" s="644">
        <f t="shared" si="1079"/>
        <v>0</v>
      </c>
      <c r="DD398" s="645">
        <f t="shared" si="1080"/>
        <v>0</v>
      </c>
      <c r="DE398" s="646">
        <f t="shared" si="1081"/>
        <v>0</v>
      </c>
      <c r="DF398" s="647">
        <f t="shared" si="898"/>
        <v>13763.042074816476</v>
      </c>
      <c r="DG398" s="644">
        <f t="shared" si="1082"/>
        <v>0</v>
      </c>
      <c r="DH398" s="645">
        <f t="shared" si="1083"/>
        <v>0</v>
      </c>
      <c r="DI398" s="646">
        <f t="shared" si="1084"/>
        <v>0</v>
      </c>
      <c r="DJ398" s="647">
        <f t="shared" si="899"/>
        <v>13763.042074816476</v>
      </c>
      <c r="DK398" s="644">
        <f t="shared" si="1085"/>
        <v>0</v>
      </c>
      <c r="DL398" s="645">
        <f t="shared" si="1086"/>
        <v>0</v>
      </c>
      <c r="DM398" s="646">
        <f t="shared" si="1087"/>
        <v>0</v>
      </c>
      <c r="DN398" s="647">
        <f t="shared" si="900"/>
        <v>13763.042074816476</v>
      </c>
      <c r="DR398" s="827">
        <f t="shared" si="1283"/>
        <v>58848.30782796281</v>
      </c>
      <c r="DV398" s="828">
        <f>IFERROR(VLOOKUP($B398,'Afton FY16 Final'!$A$5:$BV$587,'Afton FY16 Final'!$BV$587,0),0)</f>
        <v>60725.878585869497</v>
      </c>
      <c r="DX398" s="636">
        <f t="shared" si="1274"/>
        <v>0</v>
      </c>
      <c r="DY398" s="637">
        <f t="shared" si="1275"/>
        <v>0</v>
      </c>
      <c r="DZ398" s="637">
        <f t="shared" si="1276"/>
        <v>0</v>
      </c>
      <c r="EA398" s="643">
        <f t="shared" si="1277"/>
        <v>0</v>
      </c>
      <c r="EB398" s="637">
        <f t="shared" si="1284"/>
        <v>0</v>
      </c>
      <c r="EC398" s="637">
        <f t="shared" si="1285"/>
        <v>0</v>
      </c>
      <c r="ED398" s="637">
        <f t="shared" si="1286"/>
        <v>0</v>
      </c>
      <c r="EE398" s="643">
        <f t="shared" si="1287"/>
        <v>0</v>
      </c>
      <c r="EF398" s="637">
        <f t="shared" si="1288"/>
        <v>0</v>
      </c>
      <c r="EG398" s="637">
        <f t="shared" si="1289"/>
        <v>0</v>
      </c>
      <c r="EH398" s="637">
        <f t="shared" si="1290"/>
        <v>0</v>
      </c>
      <c r="EI398" s="643">
        <f t="shared" si="1291"/>
        <v>0</v>
      </c>
      <c r="EJ398" s="637">
        <f t="shared" si="1292"/>
        <v>0</v>
      </c>
      <c r="EK398" s="637">
        <f t="shared" si="1293"/>
        <v>0</v>
      </c>
      <c r="EL398" s="637">
        <f t="shared" si="1294"/>
        <v>0</v>
      </c>
      <c r="EM398" s="643">
        <f t="shared" si="1295"/>
        <v>0</v>
      </c>
      <c r="EN398" s="637">
        <f t="shared" si="1296"/>
        <v>0</v>
      </c>
      <c r="EO398" s="637">
        <f t="shared" si="1297"/>
        <v>0</v>
      </c>
      <c r="EP398" s="637">
        <f t="shared" si="1298"/>
        <v>0</v>
      </c>
      <c r="EQ398" s="643">
        <f t="shared" si="1299"/>
        <v>0</v>
      </c>
      <c r="ER398" s="637">
        <f t="shared" si="1300"/>
        <v>0</v>
      </c>
      <c r="ES398" s="637">
        <f t="shared" si="1301"/>
        <v>0</v>
      </c>
      <c r="ET398" s="637">
        <f t="shared" si="1302"/>
        <v>0</v>
      </c>
      <c r="EU398" s="643">
        <f t="shared" si="1278"/>
        <v>0</v>
      </c>
      <c r="EV398" s="643">
        <f t="shared" si="1279"/>
        <v>0</v>
      </c>
      <c r="EX398" s="829">
        <f t="shared" si="1280"/>
        <v>0</v>
      </c>
      <c r="EY398" s="638">
        <f t="shared" si="1281"/>
        <v>58848.30782796281</v>
      </c>
      <c r="FC398" s="830" t="str">
        <f t="shared" si="1303"/>
        <v>Y</v>
      </c>
      <c r="FE398" s="830" t="str">
        <f>IFERROR(VLOOKUP($B398,'Historical Conc Grant Elig'!$B$3:$J$707,'HH &amp; SI'!FE$2,0),"N")</f>
        <v>Y</v>
      </c>
      <c r="FF398" s="830" t="str">
        <f>IFERROR(VLOOKUP($B398,'Historical Conc Grant Elig'!$B$3:$J$707,'HH &amp; SI'!FF$2,0),"N")</f>
        <v>Y</v>
      </c>
      <c r="FG398" s="830" t="str">
        <f>IFERROR(VLOOKUP($B398,'Historical Conc Grant Elig'!$B$3:$J$707,'HH &amp; SI'!FG$2,0),"N")</f>
        <v>Y</v>
      </c>
      <c r="FH398" s="830" t="str">
        <f>IFERROR(VLOOKUP($B398,'Historical Conc Grant Elig'!$B$3:$J$707,'HH &amp; SI'!FH$2,0),"N")</f>
        <v>Y</v>
      </c>
      <c r="FI398" s="830" t="str">
        <f>IFERROR(VLOOKUP($B398,'Historical Conc Grant Elig'!$B$3:$J$707,'HH &amp; SI'!FI$2,0),"N")</f>
        <v>Y</v>
      </c>
      <c r="FJ398" s="830" t="str">
        <f>IFERROR(VLOOKUP($B398,'Historical Conc Grant Elig'!$B$3:$J$707,'HH &amp; SI'!FJ$2,0),"N")</f>
        <v>Y</v>
      </c>
      <c r="FK398" s="830" t="str">
        <f>IFERROR(VLOOKUP($B398,'Historical Conc Grant Elig'!$B$3:$J$707,'HH &amp; SI'!FK$2,0),"N")</f>
        <v>Y</v>
      </c>
      <c r="FL398" s="957" t="str">
        <f>IFERROR(VLOOKUP($B398,'Historical Conc Grant Elig'!$B$3:$J$707,'HH &amp; SI'!FL$2,0),"N")</f>
        <v>Y</v>
      </c>
    </row>
    <row r="399" spans="2:168" x14ac:dyDescent="0.25">
      <c r="B399" s="634">
        <v>108794000</v>
      </c>
      <c r="C399" s="635" t="str">
        <f>VLOOKUP($B399,'Afton Update'!$A$5:$CR$582,'Afton Update'!D$589,0)</f>
        <v>American Charter Schools Foundation d.b.a. Alta Vista High S</v>
      </c>
      <c r="D399" s="636">
        <f>IFERROR(VLOOKUP($B399,'Afton FY16 Final'!$A$5:$BV$587,'Afton FY16 Final'!AQ$587,0),0)</f>
        <v>118547.91151556355</v>
      </c>
      <c r="E399" s="637">
        <f>IFERROR(VLOOKUP($B399,'Afton FY16 Final'!$A$5:$BV$587,'Afton FY16 Final'!AR$587,0),0)</f>
        <v>27205.724104207769</v>
      </c>
      <c r="F399" s="637">
        <f>IFERROR(VLOOKUP($B399,'Afton FY16 Final'!$A$5:$BV$587,'Afton FY16 Final'!AS$587,0),0)</f>
        <v>64478.4267037873</v>
      </c>
      <c r="G399" s="637">
        <f>IFERROR(VLOOKUP($B399,'Afton FY16 Final'!$A$5:$BV$587,'Afton FY16 Final'!AT$587,0),0)</f>
        <v>66851.555036838428</v>
      </c>
      <c r="H399" s="638">
        <f>IFERROR(VLOOKUP($B399,'Afton FY16 Final'!$A$5:$BV$587,'Afton FY16 Final'!AU$587,0),0)</f>
        <v>277083.61736039701</v>
      </c>
      <c r="I399" s="639" t="str">
        <f>VLOOKUP($B399,'Afton Update'!$A$5:$CR$582,'Afton Update'!BT$589,0)</f>
        <v>Y</v>
      </c>
      <c r="J399" s="640" t="str">
        <f>VLOOKUP($B399,'Afton Update'!$A$5:$CR$582,'Afton Update'!BU$589,0)</f>
        <v>Y</v>
      </c>
      <c r="K399" s="640" t="str">
        <f>VLOOKUP($B399,'Afton Update'!$A$5:$CR$582,'Afton Update'!BV$589,0)</f>
        <v>Y</v>
      </c>
      <c r="L399" s="641" t="str">
        <f>VLOOKUP($B399,'Afton Update'!$A$5:$CR$582,'Afton Update'!BW$589,0)</f>
        <v>Y</v>
      </c>
      <c r="N399" s="642">
        <f>VLOOKUP($B399,'Afton Update'!$A$5:$CR$582,'Afton Update'!CB$589,0)</f>
        <v>0.95</v>
      </c>
      <c r="P399" s="636">
        <f>VLOOKUP($B399,'Afton Update'!$A$5:$CR$582,'Afton Update'!AH$589,0)</f>
        <v>90617.983017741659</v>
      </c>
      <c r="Q399" s="637">
        <f>VLOOKUP($B399,'Afton Update'!$A$5:$CR$582,'Afton Update'!AI$589,0)</f>
        <v>22808.262536732393</v>
      </c>
      <c r="R399" s="637">
        <f>VLOOKUP($B399,'Afton Update'!$A$5:$CR$582,'Afton Update'!AJ$589,0)</f>
        <v>55098.457332460239</v>
      </c>
      <c r="S399" s="637">
        <f>VLOOKUP($B399,'Afton Update'!$A$5:$CR$582,'Afton Update'!AK$589,0)</f>
        <v>53523.960126523139</v>
      </c>
      <c r="T399" s="643">
        <f t="shared" si="875"/>
        <v>222048.66301345741</v>
      </c>
      <c r="V399" s="636">
        <f t="shared" si="1024"/>
        <v>112620.51593978537</v>
      </c>
      <c r="W399" s="637">
        <f t="shared" si="1025"/>
        <v>25845.437898997381</v>
      </c>
      <c r="X399" s="637">
        <f t="shared" si="1026"/>
        <v>61254.505368597929</v>
      </c>
      <c r="Y399" s="637">
        <f t="shared" si="1027"/>
        <v>63508.977284996501</v>
      </c>
      <c r="Z399" s="643">
        <f t="shared" si="1028"/>
        <v>263229.43649237719</v>
      </c>
      <c r="AB399" s="644">
        <f t="shared" si="876"/>
        <v>90617.983017741659</v>
      </c>
      <c r="AC399" s="645">
        <f t="shared" si="850"/>
        <v>112620.51593978537</v>
      </c>
      <c r="AD399" s="644">
        <f t="shared" si="1029"/>
        <v>22002.532922043712</v>
      </c>
      <c r="AE399" s="645">
        <f t="shared" si="1030"/>
        <v>0</v>
      </c>
      <c r="AF399" s="646">
        <f t="shared" si="1031"/>
        <v>0</v>
      </c>
      <c r="AG399" s="647">
        <f t="shared" si="1032"/>
        <v>112620.51593978537</v>
      </c>
      <c r="AH399" s="644">
        <f t="shared" si="877"/>
        <v>0</v>
      </c>
      <c r="AI399" s="645">
        <f t="shared" si="878"/>
        <v>0</v>
      </c>
      <c r="AJ399" s="646">
        <f t="shared" si="1033"/>
        <v>0</v>
      </c>
      <c r="AK399" s="647">
        <f t="shared" si="879"/>
        <v>112620.51593978537</v>
      </c>
      <c r="AL399" s="644">
        <f t="shared" si="1034"/>
        <v>0</v>
      </c>
      <c r="AM399" s="645">
        <f t="shared" si="1035"/>
        <v>0</v>
      </c>
      <c r="AN399" s="646">
        <f t="shared" si="1036"/>
        <v>0</v>
      </c>
      <c r="AO399" s="647">
        <f t="shared" si="880"/>
        <v>112620.51593978537</v>
      </c>
      <c r="AP399" s="644">
        <f t="shared" si="1037"/>
        <v>0</v>
      </c>
      <c r="AQ399" s="645">
        <f t="shared" si="1038"/>
        <v>0</v>
      </c>
      <c r="AR399" s="646">
        <f t="shared" si="1039"/>
        <v>0</v>
      </c>
      <c r="AS399" s="647">
        <f t="shared" si="881"/>
        <v>112620.51593978537</v>
      </c>
      <c r="AT399" s="644">
        <f t="shared" si="1040"/>
        <v>0</v>
      </c>
      <c r="AU399" s="645">
        <f t="shared" si="1041"/>
        <v>0</v>
      </c>
      <c r="AV399" s="646">
        <f t="shared" si="1042"/>
        <v>0</v>
      </c>
      <c r="AW399" s="647">
        <f t="shared" si="882"/>
        <v>112620.51593978537</v>
      </c>
      <c r="AY399" s="644">
        <f t="shared" si="1043"/>
        <v>22808.262536732393</v>
      </c>
      <c r="AZ399" s="645">
        <f t="shared" si="1282"/>
        <v>25845.437898997381</v>
      </c>
      <c r="BA399" s="644">
        <f t="shared" si="1044"/>
        <v>3037.1753622649885</v>
      </c>
      <c r="BB399" s="645">
        <f t="shared" si="1045"/>
        <v>0</v>
      </c>
      <c r="BC399" s="646">
        <f t="shared" si="1046"/>
        <v>0</v>
      </c>
      <c r="BD399" s="647">
        <f t="shared" si="1047"/>
        <v>25845.437898997381</v>
      </c>
      <c r="BE399" s="644">
        <f t="shared" si="883"/>
        <v>0</v>
      </c>
      <c r="BF399" s="645">
        <f t="shared" si="884"/>
        <v>0</v>
      </c>
      <c r="BG399" s="646">
        <f t="shared" si="1048"/>
        <v>0</v>
      </c>
      <c r="BH399" s="647">
        <f t="shared" si="885"/>
        <v>25845.437898997381</v>
      </c>
      <c r="BI399" s="644">
        <f t="shared" si="1049"/>
        <v>0</v>
      </c>
      <c r="BJ399" s="645">
        <f t="shared" si="1050"/>
        <v>0</v>
      </c>
      <c r="BK399" s="646">
        <f t="shared" si="1051"/>
        <v>0</v>
      </c>
      <c r="BL399" s="647">
        <f t="shared" si="886"/>
        <v>25845.437898997381</v>
      </c>
      <c r="BM399" s="644">
        <f t="shared" si="1052"/>
        <v>0</v>
      </c>
      <c r="BN399" s="645">
        <f t="shared" si="1053"/>
        <v>0</v>
      </c>
      <c r="BO399" s="646">
        <f t="shared" si="1054"/>
        <v>0</v>
      </c>
      <c r="BP399" s="647">
        <f t="shared" si="887"/>
        <v>25845.437898997381</v>
      </c>
      <c r="BQ399" s="644">
        <f t="shared" si="1055"/>
        <v>0</v>
      </c>
      <c r="BR399" s="645">
        <f t="shared" si="1056"/>
        <v>0</v>
      </c>
      <c r="BS399" s="646">
        <f t="shared" si="1057"/>
        <v>0</v>
      </c>
      <c r="BT399" s="647">
        <f t="shared" si="888"/>
        <v>25845.437898997381</v>
      </c>
      <c r="BU399" s="662">
        <f>VLOOKUP(B399,'Afton Update'!$A$5:$AR$582,'Afton Update'!$AO$589,0)-BT399</f>
        <v>0</v>
      </c>
      <c r="BV399" s="644">
        <f t="shared" si="1058"/>
        <v>55098.457332460239</v>
      </c>
      <c r="BW399" s="645">
        <f t="shared" si="852"/>
        <v>61254.505368597929</v>
      </c>
      <c r="BX399" s="644">
        <f t="shared" si="1059"/>
        <v>6156.0480361376904</v>
      </c>
      <c r="BY399" s="645">
        <f t="shared" si="1060"/>
        <v>0</v>
      </c>
      <c r="BZ399" s="646">
        <f t="shared" si="1061"/>
        <v>0</v>
      </c>
      <c r="CA399" s="647">
        <f t="shared" si="1062"/>
        <v>61254.505368597929</v>
      </c>
      <c r="CB399" s="644">
        <f t="shared" si="889"/>
        <v>0</v>
      </c>
      <c r="CC399" s="645">
        <f t="shared" si="890"/>
        <v>0</v>
      </c>
      <c r="CD399" s="646">
        <f t="shared" si="1063"/>
        <v>0</v>
      </c>
      <c r="CE399" s="647">
        <f t="shared" si="891"/>
        <v>61254.505368597929</v>
      </c>
      <c r="CF399" s="644">
        <f t="shared" si="1064"/>
        <v>0</v>
      </c>
      <c r="CG399" s="645">
        <f t="shared" si="1065"/>
        <v>0</v>
      </c>
      <c r="CH399" s="646">
        <f t="shared" si="1066"/>
        <v>0</v>
      </c>
      <c r="CI399" s="647">
        <f t="shared" si="892"/>
        <v>61254.505368597929</v>
      </c>
      <c r="CJ399" s="644">
        <f t="shared" si="1067"/>
        <v>0</v>
      </c>
      <c r="CK399" s="645">
        <f t="shared" si="1068"/>
        <v>0</v>
      </c>
      <c r="CL399" s="646">
        <f t="shared" si="1069"/>
        <v>0</v>
      </c>
      <c r="CM399" s="647">
        <f t="shared" si="893"/>
        <v>61254.505368597929</v>
      </c>
      <c r="CN399" s="644">
        <f t="shared" si="1070"/>
        <v>0</v>
      </c>
      <c r="CO399" s="645">
        <f t="shared" si="1071"/>
        <v>0</v>
      </c>
      <c r="CP399" s="646">
        <f t="shared" si="1072"/>
        <v>0</v>
      </c>
      <c r="CQ399" s="647">
        <f t="shared" si="894"/>
        <v>61254.505368597929</v>
      </c>
      <c r="CS399" s="644">
        <f t="shared" si="1073"/>
        <v>53523.960126523139</v>
      </c>
      <c r="CT399" s="645">
        <f t="shared" si="853"/>
        <v>63508.977284996501</v>
      </c>
      <c r="CU399" s="644">
        <f t="shared" si="1074"/>
        <v>9985.0171584733616</v>
      </c>
      <c r="CV399" s="645">
        <f t="shared" si="1075"/>
        <v>0</v>
      </c>
      <c r="CW399" s="646">
        <f t="shared" si="1076"/>
        <v>0</v>
      </c>
      <c r="CX399" s="647">
        <f t="shared" si="1077"/>
        <v>63508.977284996501</v>
      </c>
      <c r="CY399" s="644">
        <f t="shared" si="895"/>
        <v>0</v>
      </c>
      <c r="CZ399" s="645">
        <f t="shared" si="896"/>
        <v>0</v>
      </c>
      <c r="DA399" s="646">
        <f t="shared" si="1078"/>
        <v>0</v>
      </c>
      <c r="DB399" s="647">
        <f t="shared" si="897"/>
        <v>63508.977284996501</v>
      </c>
      <c r="DC399" s="644">
        <f t="shared" si="1079"/>
        <v>0</v>
      </c>
      <c r="DD399" s="645">
        <f t="shared" si="1080"/>
        <v>0</v>
      </c>
      <c r="DE399" s="646">
        <f t="shared" si="1081"/>
        <v>0</v>
      </c>
      <c r="DF399" s="647">
        <f t="shared" si="898"/>
        <v>63508.977284996501</v>
      </c>
      <c r="DG399" s="644">
        <f t="shared" si="1082"/>
        <v>0</v>
      </c>
      <c r="DH399" s="645">
        <f t="shared" si="1083"/>
        <v>0</v>
      </c>
      <c r="DI399" s="646">
        <f t="shared" si="1084"/>
        <v>0</v>
      </c>
      <c r="DJ399" s="647">
        <f t="shared" si="899"/>
        <v>63508.977284996501</v>
      </c>
      <c r="DK399" s="644">
        <f t="shared" si="1085"/>
        <v>0</v>
      </c>
      <c r="DL399" s="645">
        <f t="shared" si="1086"/>
        <v>0</v>
      </c>
      <c r="DM399" s="646">
        <f t="shared" si="1087"/>
        <v>0</v>
      </c>
      <c r="DN399" s="647">
        <f t="shared" si="900"/>
        <v>63508.977284996501</v>
      </c>
      <c r="DR399" s="827">
        <f t="shared" si="1283"/>
        <v>263229.43649237719</v>
      </c>
      <c r="DV399" s="828">
        <f>IFERROR(VLOOKUP($B399,'Afton FY16 Final'!$A$5:$BV$587,'Afton FY16 Final'!$BV$587,0),0)</f>
        <v>271627.84098045831</v>
      </c>
      <c r="DX399" s="636">
        <f t="shared" si="1274"/>
        <v>0</v>
      </c>
      <c r="DY399" s="637">
        <f t="shared" si="1275"/>
        <v>0</v>
      </c>
      <c r="DZ399" s="637">
        <f t="shared" si="1276"/>
        <v>0</v>
      </c>
      <c r="EA399" s="643">
        <f t="shared" si="1277"/>
        <v>0</v>
      </c>
      <c r="EB399" s="637">
        <f t="shared" si="1284"/>
        <v>0</v>
      </c>
      <c r="EC399" s="637">
        <f t="shared" si="1285"/>
        <v>0</v>
      </c>
      <c r="ED399" s="637">
        <f t="shared" si="1286"/>
        <v>0</v>
      </c>
      <c r="EE399" s="643">
        <f t="shared" si="1287"/>
        <v>0</v>
      </c>
      <c r="EF399" s="637">
        <f t="shared" si="1288"/>
        <v>0</v>
      </c>
      <c r="EG399" s="637">
        <f t="shared" si="1289"/>
        <v>0</v>
      </c>
      <c r="EH399" s="637">
        <f t="shared" si="1290"/>
        <v>0</v>
      </c>
      <c r="EI399" s="643">
        <f t="shared" si="1291"/>
        <v>0</v>
      </c>
      <c r="EJ399" s="637">
        <f t="shared" si="1292"/>
        <v>0</v>
      </c>
      <c r="EK399" s="637">
        <f t="shared" si="1293"/>
        <v>0</v>
      </c>
      <c r="EL399" s="637">
        <f t="shared" si="1294"/>
        <v>0</v>
      </c>
      <c r="EM399" s="643">
        <f t="shared" si="1295"/>
        <v>0</v>
      </c>
      <c r="EN399" s="637">
        <f t="shared" si="1296"/>
        <v>0</v>
      </c>
      <c r="EO399" s="637">
        <f t="shared" si="1297"/>
        <v>0</v>
      </c>
      <c r="EP399" s="637">
        <f t="shared" si="1298"/>
        <v>0</v>
      </c>
      <c r="EQ399" s="643">
        <f t="shared" si="1299"/>
        <v>0</v>
      </c>
      <c r="ER399" s="637">
        <f t="shared" si="1300"/>
        <v>0</v>
      </c>
      <c r="ES399" s="637">
        <f t="shared" si="1301"/>
        <v>0</v>
      </c>
      <c r="ET399" s="637">
        <f t="shared" si="1302"/>
        <v>0</v>
      </c>
      <c r="EU399" s="643">
        <f t="shared" si="1278"/>
        <v>0</v>
      </c>
      <c r="EV399" s="643">
        <f t="shared" si="1279"/>
        <v>0</v>
      </c>
      <c r="EX399" s="829">
        <f t="shared" si="1280"/>
        <v>0</v>
      </c>
      <c r="EY399" s="638">
        <f t="shared" si="1281"/>
        <v>263229.43649237719</v>
      </c>
      <c r="FC399" s="830" t="str">
        <f t="shared" si="1303"/>
        <v>Y</v>
      </c>
      <c r="FE399" s="830" t="str">
        <f>IFERROR(VLOOKUP($B399,'Historical Conc Grant Elig'!$B$3:$J$707,'HH &amp; SI'!FE$2,0),"N")</f>
        <v>Y</v>
      </c>
      <c r="FF399" s="830" t="str">
        <f>IFERROR(VLOOKUP($B399,'Historical Conc Grant Elig'!$B$3:$J$707,'HH &amp; SI'!FF$2,0),"N")</f>
        <v>Y</v>
      </c>
      <c r="FG399" s="830" t="str">
        <f>IFERROR(VLOOKUP($B399,'Historical Conc Grant Elig'!$B$3:$J$707,'HH &amp; SI'!FG$2,0),"N")</f>
        <v>Y</v>
      </c>
      <c r="FH399" s="830" t="str">
        <f>IFERROR(VLOOKUP($B399,'Historical Conc Grant Elig'!$B$3:$J$707,'HH &amp; SI'!FH$2,0),"N")</f>
        <v>Y</v>
      </c>
      <c r="FI399" s="830" t="str">
        <f>IFERROR(VLOOKUP($B399,'Historical Conc Grant Elig'!$B$3:$J$707,'HH &amp; SI'!FI$2,0),"N")</f>
        <v>Y</v>
      </c>
      <c r="FJ399" s="830" t="str">
        <f>IFERROR(VLOOKUP($B399,'Historical Conc Grant Elig'!$B$3:$J$707,'HH &amp; SI'!FJ$2,0),"N")</f>
        <v>Y</v>
      </c>
      <c r="FK399" s="830" t="str">
        <f>IFERROR(VLOOKUP($B399,'Historical Conc Grant Elig'!$B$3:$J$707,'HH &amp; SI'!FK$2,0),"N")</f>
        <v>Y</v>
      </c>
      <c r="FL399" s="957" t="str">
        <f>IFERROR(VLOOKUP($B399,'Historical Conc Grant Elig'!$B$3:$J$707,'HH &amp; SI'!FL$2,0),"N")</f>
        <v>Y</v>
      </c>
    </row>
    <row r="400" spans="2:168" x14ac:dyDescent="0.25">
      <c r="B400" s="634">
        <v>108798000</v>
      </c>
      <c r="C400" s="635" t="str">
        <f>VLOOKUP($B400,'Afton Update'!$A$5:$CR$582,'Afton Update'!D$589,0)</f>
        <v>Math and Science Success Academy  Inc.</v>
      </c>
      <c r="D400" s="636">
        <f>IFERROR(VLOOKUP($B400,'Afton FY16 Final'!$A$5:$BV$587,'Afton FY16 Final'!AQ$587,0),0)</f>
        <v>80802.06352054904</v>
      </c>
      <c r="E400" s="637">
        <f>IFERROR(VLOOKUP($B400,'Afton FY16 Final'!$A$5:$BV$587,'Afton FY16 Final'!AR$587,0),0)</f>
        <v>20990.301440737112</v>
      </c>
      <c r="F400" s="637">
        <f>IFERROR(VLOOKUP($B400,'Afton FY16 Final'!$A$5:$BV$587,'Afton FY16 Final'!AS$587,0),0)</f>
        <v>46215.446000456272</v>
      </c>
      <c r="G400" s="637">
        <f>IFERROR(VLOOKUP($B400,'Afton FY16 Final'!$A$5:$BV$587,'Afton FY16 Final'!AT$587,0),0)</f>
        <v>45110.353267804981</v>
      </c>
      <c r="H400" s="638">
        <f>IFERROR(VLOOKUP($B400,'Afton FY16 Final'!$A$5:$BV$587,'Afton FY16 Final'!AU$587,0),0)</f>
        <v>193118.1642295474</v>
      </c>
      <c r="I400" s="639" t="str">
        <f>VLOOKUP($B400,'Afton Update'!$A$5:$CR$582,'Afton Update'!BT$589,0)</f>
        <v>Y</v>
      </c>
      <c r="J400" s="640" t="str">
        <f>VLOOKUP($B400,'Afton Update'!$A$5:$CR$582,'Afton Update'!BU$589,0)</f>
        <v>Y</v>
      </c>
      <c r="K400" s="640" t="str">
        <f>VLOOKUP($B400,'Afton Update'!$A$5:$CR$582,'Afton Update'!BV$589,0)</f>
        <v>Y</v>
      </c>
      <c r="L400" s="641" t="str">
        <f>VLOOKUP($B400,'Afton Update'!$A$5:$CR$582,'Afton Update'!BW$589,0)</f>
        <v>Y</v>
      </c>
      <c r="N400" s="642">
        <f>VLOOKUP($B400,'Afton Update'!$A$5:$CR$582,'Afton Update'!CB$589,0)</f>
        <v>0.95</v>
      </c>
      <c r="P400" s="636">
        <f>VLOOKUP($B400,'Afton Update'!$A$5:$CR$582,'Afton Update'!AH$589,0)</f>
        <v>87983.739325365445</v>
      </c>
      <c r="Q400" s="637">
        <f>VLOOKUP($B400,'Afton Update'!$A$5:$CR$582,'Afton Update'!AI$589,0)</f>
        <v>22226.822733131605</v>
      </c>
      <c r="R400" s="637">
        <f>VLOOKUP($B400,'Afton Update'!$A$5:$CR$582,'Afton Update'!AJ$589,0)</f>
        <v>53496.757991400344</v>
      </c>
      <c r="S400" s="637">
        <f>VLOOKUP($B400,'Afton Update'!$A$5:$CR$582,'Afton Update'!AK$589,0)</f>
        <v>51968.031053077691</v>
      </c>
      <c r="T400" s="643">
        <f t="shared" si="875"/>
        <v>215675.35110297508</v>
      </c>
      <c r="V400" s="636">
        <f t="shared" si="1024"/>
        <v>86783.584013919288</v>
      </c>
      <c r="W400" s="637">
        <f t="shared" si="1025"/>
        <v>21494.752455683494</v>
      </c>
      <c r="X400" s="637">
        <f t="shared" si="1026"/>
        <v>53010.225864487969</v>
      </c>
      <c r="Y400" s="637">
        <f t="shared" si="1027"/>
        <v>51395.436898107197</v>
      </c>
      <c r="Z400" s="643">
        <f t="shared" si="1028"/>
        <v>212683.99923219797</v>
      </c>
      <c r="AB400" s="644">
        <f t="shared" si="876"/>
        <v>87983.739325365445</v>
      </c>
      <c r="AC400" s="645">
        <f t="shared" ref="AC400:AC463" si="1304">IF(I400="N",0,D400*$N400)</f>
        <v>76761.960344521591</v>
      </c>
      <c r="AD400" s="644">
        <f t="shared" si="1029"/>
        <v>0</v>
      </c>
      <c r="AE400" s="645">
        <f t="shared" si="1030"/>
        <v>87983.739325365445</v>
      </c>
      <c r="AF400" s="646">
        <f t="shared" si="1031"/>
        <v>-1090.6245669579787</v>
      </c>
      <c r="AG400" s="647">
        <f t="shared" si="1032"/>
        <v>86893.114758407464</v>
      </c>
      <c r="AH400" s="644">
        <f t="shared" si="877"/>
        <v>0</v>
      </c>
      <c r="AI400" s="645">
        <f t="shared" si="878"/>
        <v>86893.114758407464</v>
      </c>
      <c r="AJ400" s="646">
        <f t="shared" si="1033"/>
        <v>-109.46096278729135</v>
      </c>
      <c r="AK400" s="647">
        <f t="shared" si="879"/>
        <v>86783.653795620179</v>
      </c>
      <c r="AL400" s="644">
        <f t="shared" si="1034"/>
        <v>0</v>
      </c>
      <c r="AM400" s="645">
        <f t="shared" si="1035"/>
        <v>86783.653795620179</v>
      </c>
      <c r="AN400" s="646">
        <f t="shared" si="1036"/>
        <v>-6.9781700897727297E-2</v>
      </c>
      <c r="AO400" s="647">
        <f t="shared" si="880"/>
        <v>86783.584013919288</v>
      </c>
      <c r="AP400" s="644">
        <f t="shared" si="1037"/>
        <v>0</v>
      </c>
      <c r="AQ400" s="645">
        <f t="shared" si="1038"/>
        <v>86783.584013919288</v>
      </c>
      <c r="AR400" s="646">
        <f t="shared" si="1039"/>
        <v>0</v>
      </c>
      <c r="AS400" s="647">
        <f t="shared" si="881"/>
        <v>86783.584013919288</v>
      </c>
      <c r="AT400" s="644">
        <f t="shared" si="1040"/>
        <v>0</v>
      </c>
      <c r="AU400" s="645">
        <f t="shared" si="1041"/>
        <v>86783.584013919288</v>
      </c>
      <c r="AV400" s="646">
        <f t="shared" si="1042"/>
        <v>0</v>
      </c>
      <c r="AW400" s="647">
        <f t="shared" si="882"/>
        <v>86783.584013919288</v>
      </c>
      <c r="AY400" s="644">
        <f t="shared" si="1043"/>
        <v>22226.822733131605</v>
      </c>
      <c r="AZ400" s="645">
        <f t="shared" si="1282"/>
        <v>19940.786368700254</v>
      </c>
      <c r="BA400" s="644">
        <f t="shared" si="1044"/>
        <v>0</v>
      </c>
      <c r="BB400" s="645">
        <f t="shared" si="1045"/>
        <v>22226.822733131605</v>
      </c>
      <c r="BC400" s="646">
        <f t="shared" si="1046"/>
        <v>-159.83955984677308</v>
      </c>
      <c r="BD400" s="647">
        <f t="shared" si="1047"/>
        <v>22066.983173284832</v>
      </c>
      <c r="BE400" s="644">
        <f t="shared" si="883"/>
        <v>0</v>
      </c>
      <c r="BF400" s="645">
        <f t="shared" si="884"/>
        <v>22066.983173284832</v>
      </c>
      <c r="BG400" s="646">
        <f t="shared" si="1048"/>
        <v>-525.61755589374536</v>
      </c>
      <c r="BH400" s="647">
        <f t="shared" si="885"/>
        <v>21541.365617391086</v>
      </c>
      <c r="BI400" s="644">
        <f t="shared" si="1049"/>
        <v>0</v>
      </c>
      <c r="BJ400" s="645">
        <f t="shared" si="1050"/>
        <v>21541.365617391086</v>
      </c>
      <c r="BK400" s="646">
        <f t="shared" si="1051"/>
        <v>-45.629671841455377</v>
      </c>
      <c r="BL400" s="647">
        <f t="shared" si="886"/>
        <v>21495.73594554963</v>
      </c>
      <c r="BM400" s="644">
        <f t="shared" si="1052"/>
        <v>0</v>
      </c>
      <c r="BN400" s="645">
        <f t="shared" si="1053"/>
        <v>21495.73594554963</v>
      </c>
      <c r="BO400" s="646">
        <f t="shared" si="1054"/>
        <v>-0.98348986613395006</v>
      </c>
      <c r="BP400" s="647">
        <f t="shared" si="887"/>
        <v>21494.752455683494</v>
      </c>
      <c r="BQ400" s="644">
        <f t="shared" si="1055"/>
        <v>0</v>
      </c>
      <c r="BR400" s="645">
        <f t="shared" si="1056"/>
        <v>21494.752455683494</v>
      </c>
      <c r="BS400" s="646">
        <f t="shared" si="1057"/>
        <v>0</v>
      </c>
      <c r="BT400" s="647">
        <f t="shared" si="888"/>
        <v>21494.752455683494</v>
      </c>
      <c r="BU400" s="662">
        <f>VLOOKUP(B400,'Afton Update'!$A$5:$AR$582,'Afton Update'!$AO$589,0)-BT400</f>
        <v>0</v>
      </c>
      <c r="BV400" s="644">
        <f t="shared" si="1058"/>
        <v>53496.757991400344</v>
      </c>
      <c r="BW400" s="645">
        <f t="shared" ref="BW400:BW463" si="1305">IF($K400="N",0,F400*$N400)</f>
        <v>43904.673700433457</v>
      </c>
      <c r="BX400" s="644">
        <f t="shared" si="1059"/>
        <v>0</v>
      </c>
      <c r="BY400" s="645">
        <f t="shared" si="1060"/>
        <v>53496.757991400344</v>
      </c>
      <c r="BZ400" s="646">
        <f t="shared" si="1061"/>
        <v>-469.54673260228986</v>
      </c>
      <c r="CA400" s="647">
        <f t="shared" si="1062"/>
        <v>53027.211258798052</v>
      </c>
      <c r="CB400" s="644">
        <f t="shared" si="889"/>
        <v>0</v>
      </c>
      <c r="CC400" s="645">
        <f t="shared" si="890"/>
        <v>53027.211258798052</v>
      </c>
      <c r="CD400" s="646">
        <f t="shared" si="1063"/>
        <v>-16.985394310085084</v>
      </c>
      <c r="CE400" s="647">
        <f t="shared" si="891"/>
        <v>53010.225864487969</v>
      </c>
      <c r="CF400" s="644">
        <f t="shared" si="1064"/>
        <v>0</v>
      </c>
      <c r="CG400" s="645">
        <f t="shared" si="1065"/>
        <v>53010.225864487969</v>
      </c>
      <c r="CH400" s="646">
        <f t="shared" si="1066"/>
        <v>0</v>
      </c>
      <c r="CI400" s="647">
        <f t="shared" si="892"/>
        <v>53010.225864487969</v>
      </c>
      <c r="CJ400" s="644">
        <f t="shared" si="1067"/>
        <v>0</v>
      </c>
      <c r="CK400" s="645">
        <f t="shared" si="1068"/>
        <v>53010.225864487969</v>
      </c>
      <c r="CL400" s="646">
        <f t="shared" si="1069"/>
        <v>0</v>
      </c>
      <c r="CM400" s="647">
        <f t="shared" si="893"/>
        <v>53010.225864487969</v>
      </c>
      <c r="CN400" s="644">
        <f t="shared" si="1070"/>
        <v>0</v>
      </c>
      <c r="CO400" s="645">
        <f t="shared" si="1071"/>
        <v>53010.225864487969</v>
      </c>
      <c r="CP400" s="646">
        <f t="shared" si="1072"/>
        <v>0</v>
      </c>
      <c r="CQ400" s="647">
        <f t="shared" si="894"/>
        <v>53010.225864487969</v>
      </c>
      <c r="CS400" s="644">
        <f t="shared" si="1073"/>
        <v>51968.031053077691</v>
      </c>
      <c r="CT400" s="645">
        <f t="shared" ref="CT400:CT463" si="1306">IF($L400="N",0,G400*$N400)</f>
        <v>42854.835604414729</v>
      </c>
      <c r="CU400" s="644">
        <f t="shared" si="1074"/>
        <v>0</v>
      </c>
      <c r="CV400" s="645">
        <f t="shared" si="1075"/>
        <v>51968.031053077691</v>
      </c>
      <c r="CW400" s="646">
        <f t="shared" si="1076"/>
        <v>-532.18200625989743</v>
      </c>
      <c r="CX400" s="647">
        <f t="shared" si="1077"/>
        <v>51435.849046817792</v>
      </c>
      <c r="CY400" s="644">
        <f t="shared" si="895"/>
        <v>0</v>
      </c>
      <c r="CZ400" s="645">
        <f t="shared" si="896"/>
        <v>51435.849046817792</v>
      </c>
      <c r="DA400" s="646">
        <f t="shared" si="1078"/>
        <v>-40.377328294034349</v>
      </c>
      <c r="DB400" s="647">
        <f t="shared" si="897"/>
        <v>51395.471718523761</v>
      </c>
      <c r="DC400" s="644">
        <f t="shared" si="1079"/>
        <v>0</v>
      </c>
      <c r="DD400" s="645">
        <f t="shared" si="1080"/>
        <v>51395.471718523761</v>
      </c>
      <c r="DE400" s="646">
        <f t="shared" si="1081"/>
        <v>-3.4820416561646098E-2</v>
      </c>
      <c r="DF400" s="647">
        <f t="shared" si="898"/>
        <v>51395.436898107197</v>
      </c>
      <c r="DG400" s="644">
        <f t="shared" si="1082"/>
        <v>0</v>
      </c>
      <c r="DH400" s="645">
        <f t="shared" si="1083"/>
        <v>51395.436898107197</v>
      </c>
      <c r="DI400" s="646">
        <f t="shared" si="1084"/>
        <v>0</v>
      </c>
      <c r="DJ400" s="647">
        <f t="shared" si="899"/>
        <v>51395.436898107197</v>
      </c>
      <c r="DK400" s="644">
        <f t="shared" si="1085"/>
        <v>0</v>
      </c>
      <c r="DL400" s="645">
        <f t="shared" si="1086"/>
        <v>51395.436898107197</v>
      </c>
      <c r="DM400" s="646">
        <f t="shared" si="1087"/>
        <v>0</v>
      </c>
      <c r="DN400" s="647">
        <f t="shared" si="900"/>
        <v>51395.436898107197</v>
      </c>
      <c r="DR400" s="827">
        <f t="shared" si="1283"/>
        <v>212683.99923219797</v>
      </c>
      <c r="DV400" s="828">
        <f>IFERROR(VLOOKUP($B400,'Afton FY16 Final'!$A$5:$BV$587,'Afton FY16 Final'!$BV$587,0),0)</f>
        <v>171456.17299733876</v>
      </c>
      <c r="DX400" s="636">
        <f t="shared" si="1274"/>
        <v>212683.99923219797</v>
      </c>
      <c r="DY400" s="637">
        <f t="shared" si="1275"/>
        <v>41227.826234859211</v>
      </c>
      <c r="DZ400" s="637">
        <f t="shared" si="1276"/>
        <v>171456.17299733876</v>
      </c>
      <c r="EA400" s="643">
        <f t="shared" si="1277"/>
        <v>201371.5941079008</v>
      </c>
      <c r="EB400" s="637">
        <f t="shared" si="1284"/>
        <v>0</v>
      </c>
      <c r="EC400" s="637">
        <f t="shared" si="1285"/>
        <v>201371.5941079008</v>
      </c>
      <c r="ED400" s="637">
        <f t="shared" si="1286"/>
        <v>200771.11603771104</v>
      </c>
      <c r="EE400" s="643">
        <f t="shared" si="1287"/>
        <v>200771.11603771104</v>
      </c>
      <c r="EF400" s="637">
        <f t="shared" si="1288"/>
        <v>0</v>
      </c>
      <c r="EG400" s="637">
        <f t="shared" si="1289"/>
        <v>200771.11603771104</v>
      </c>
      <c r="EH400" s="637">
        <f t="shared" si="1290"/>
        <v>200770.90890998731</v>
      </c>
      <c r="EI400" s="643">
        <f t="shared" si="1291"/>
        <v>200770.90890998731</v>
      </c>
      <c r="EJ400" s="637">
        <f t="shared" si="1292"/>
        <v>0</v>
      </c>
      <c r="EK400" s="637">
        <f t="shared" si="1293"/>
        <v>200770.90890998731</v>
      </c>
      <c r="EL400" s="637">
        <f t="shared" si="1294"/>
        <v>200770.90890998702</v>
      </c>
      <c r="EM400" s="643">
        <f t="shared" si="1295"/>
        <v>200770.90890998702</v>
      </c>
      <c r="EN400" s="637">
        <f t="shared" si="1296"/>
        <v>0</v>
      </c>
      <c r="EO400" s="637">
        <f t="shared" si="1297"/>
        <v>200770.90890998702</v>
      </c>
      <c r="EP400" s="637">
        <f t="shared" si="1298"/>
        <v>200770.90890998731</v>
      </c>
      <c r="EQ400" s="643">
        <f t="shared" si="1299"/>
        <v>200770.90890998731</v>
      </c>
      <c r="ER400" s="637">
        <f t="shared" si="1300"/>
        <v>0</v>
      </c>
      <c r="ES400" s="637">
        <f t="shared" si="1301"/>
        <v>200770.90890998731</v>
      </c>
      <c r="ET400" s="637">
        <f t="shared" si="1302"/>
        <v>200770.90890998699</v>
      </c>
      <c r="EU400" s="643">
        <f t="shared" si="1278"/>
        <v>200770.90890998699</v>
      </c>
      <c r="EV400" s="643">
        <f t="shared" si="1279"/>
        <v>0</v>
      </c>
      <c r="EX400" s="829">
        <f t="shared" si="1280"/>
        <v>11913.090322210977</v>
      </c>
      <c r="EY400" s="638">
        <f t="shared" si="1281"/>
        <v>200770.90890998699</v>
      </c>
      <c r="FC400" s="830" t="str">
        <f t="shared" si="1303"/>
        <v>Y</v>
      </c>
      <c r="FE400" s="830" t="str">
        <f>IFERROR(VLOOKUP($B400,'Historical Conc Grant Elig'!$B$3:$J$707,'HH &amp; SI'!FE$2,0),"N")</f>
        <v>Y</v>
      </c>
      <c r="FF400" s="830" t="str">
        <f>IFERROR(VLOOKUP($B400,'Historical Conc Grant Elig'!$B$3:$J$707,'HH &amp; SI'!FF$2,0),"N")</f>
        <v>Y</v>
      </c>
      <c r="FG400" s="830" t="str">
        <f>IFERROR(VLOOKUP($B400,'Historical Conc Grant Elig'!$B$3:$J$707,'HH &amp; SI'!FG$2,0),"N")</f>
        <v>Y</v>
      </c>
      <c r="FH400" s="830" t="str">
        <f>IFERROR(VLOOKUP($B400,'Historical Conc Grant Elig'!$B$3:$J$707,'HH &amp; SI'!FH$2,0),"N")</f>
        <v>Y</v>
      </c>
      <c r="FI400" s="830" t="str">
        <f>IFERROR(VLOOKUP($B400,'Historical Conc Grant Elig'!$B$3:$J$707,'HH &amp; SI'!FI$2,0),"N")</f>
        <v>Y</v>
      </c>
      <c r="FJ400" s="830" t="str">
        <f>IFERROR(VLOOKUP($B400,'Historical Conc Grant Elig'!$B$3:$J$707,'HH &amp; SI'!FJ$2,0),"N")</f>
        <v>Y</v>
      </c>
      <c r="FK400" s="830" t="str">
        <f>IFERROR(VLOOKUP($B400,'Historical Conc Grant Elig'!$B$3:$J$707,'HH &amp; SI'!FK$2,0),"N")</f>
        <v>Y</v>
      </c>
      <c r="FL400" s="957" t="str">
        <f>IFERROR(VLOOKUP($B400,'Historical Conc Grant Elig'!$B$3:$J$707,'HH &amp; SI'!FL$2,0),"N")</f>
        <v>Y</v>
      </c>
    </row>
    <row r="401" spans="2:168" x14ac:dyDescent="0.25">
      <c r="B401" s="634">
        <v>108799000</v>
      </c>
      <c r="C401" s="635" t="str">
        <f>VLOOKUP($B401,'Afton Update'!$A$5:$CR$582,'Afton Update'!D$589,0)</f>
        <v>Pima Prevention Partnership dba Pima Partnership Academy</v>
      </c>
      <c r="D401" s="636">
        <f>IFERROR(VLOOKUP($B401,'Afton FY16 Final'!$A$5:$BV$587,'Afton FY16 Final'!AQ$587,0),0)</f>
        <v>30183.055563199567</v>
      </c>
      <c r="E401" s="637">
        <f>IFERROR(VLOOKUP($B401,'Afton FY16 Final'!$A$5:$BV$587,'Afton FY16 Final'!AR$587,0),0)</f>
        <v>9711.6608834278122</v>
      </c>
      <c r="F401" s="637">
        <f>IFERROR(VLOOKUP($B401,'Afton FY16 Final'!$A$5:$BV$587,'Afton FY16 Final'!AS$587,0),0)</f>
        <v>17257.72361448692</v>
      </c>
      <c r="G401" s="637">
        <f>IFERROR(VLOOKUP($B401,'Afton FY16 Final'!$A$5:$BV$587,'Afton FY16 Final'!AT$587,0),0)</f>
        <v>17298.977217676987</v>
      </c>
      <c r="H401" s="638">
        <f>IFERROR(VLOOKUP($B401,'Afton FY16 Final'!$A$5:$BV$587,'Afton FY16 Final'!AU$587,0),0)</f>
        <v>74451.417278791298</v>
      </c>
      <c r="I401" s="639" t="str">
        <f>VLOOKUP($B401,'Afton Update'!$A$5:$CR$582,'Afton Update'!BT$589,0)</f>
        <v>Y</v>
      </c>
      <c r="J401" s="640" t="str">
        <f>VLOOKUP($B401,'Afton Update'!$A$5:$CR$582,'Afton Update'!BU$589,0)</f>
        <v>Y</v>
      </c>
      <c r="K401" s="640" t="str">
        <f>VLOOKUP($B401,'Afton Update'!$A$5:$CR$582,'Afton Update'!BV$589,0)</f>
        <v>Y</v>
      </c>
      <c r="L401" s="641" t="str">
        <f>VLOOKUP($B401,'Afton Update'!$A$5:$CR$582,'Afton Update'!BW$589,0)</f>
        <v>Y</v>
      </c>
      <c r="N401" s="642">
        <f>VLOOKUP($B401,'Afton Update'!$A$5:$CR$582,'Afton Update'!CB$589,0)</f>
        <v>0.95</v>
      </c>
      <c r="P401" s="636">
        <f>VLOOKUP($B401,'Afton Update'!$A$5:$CR$582,'Afton Update'!AH$589,0)</f>
        <v>25025.315077574003</v>
      </c>
      <c r="Q401" s="637">
        <f>VLOOKUP($B401,'Afton Update'!$A$5:$CR$582,'Afton Update'!AI$589,0)</f>
        <v>8330.4114270727896</v>
      </c>
      <c r="R401" s="637">
        <f>VLOOKUP($B401,'Afton Update'!$A$5:$CR$582,'Afton Update'!AJ$589,0)</f>
        <v>15216.143740068961</v>
      </c>
      <c r="S401" s="637">
        <f>VLOOKUP($B401,'Afton Update'!$A$5:$CR$582,'Afton Update'!AK$589,0)</f>
        <v>14781.32619773168</v>
      </c>
      <c r="T401" s="643">
        <f t="shared" ref="T401:T464" si="1307">SUM(P401:S401)</f>
        <v>63353.196442447435</v>
      </c>
      <c r="V401" s="636">
        <f t="shared" si="1024"/>
        <v>28673.902785039587</v>
      </c>
      <c r="W401" s="637">
        <f t="shared" si="1025"/>
        <v>9226.0778392564207</v>
      </c>
      <c r="X401" s="637">
        <f t="shared" si="1026"/>
        <v>16394.837433762572</v>
      </c>
      <c r="Y401" s="637">
        <f t="shared" si="1027"/>
        <v>16434.028356793136</v>
      </c>
      <c r="Z401" s="643">
        <f t="shared" si="1028"/>
        <v>70728.846414851709</v>
      </c>
      <c r="AB401" s="644">
        <f t="shared" ref="AB401:AB464" si="1308">IF(P401="",0,P401)</f>
        <v>25025.315077574003</v>
      </c>
      <c r="AC401" s="645">
        <f t="shared" si="1304"/>
        <v>28673.902785039587</v>
      </c>
      <c r="AD401" s="644">
        <f t="shared" si="1029"/>
        <v>3648.5877074655837</v>
      </c>
      <c r="AE401" s="645">
        <f t="shared" si="1030"/>
        <v>0</v>
      </c>
      <c r="AF401" s="646">
        <f t="shared" si="1031"/>
        <v>0</v>
      </c>
      <c r="AG401" s="647">
        <f t="shared" si="1032"/>
        <v>28673.902785039587</v>
      </c>
      <c r="AH401" s="644">
        <f t="shared" ref="AH401:AH464" si="1309">IF(AG401-AC401&lt;0,AG401-AC401,0)</f>
        <v>0</v>
      </c>
      <c r="AI401" s="645">
        <f t="shared" ref="AI401:AI464" si="1310">IF(AND(AH401=0,AD401=0),AG401,0)</f>
        <v>0</v>
      </c>
      <c r="AJ401" s="646">
        <f t="shared" si="1033"/>
        <v>0</v>
      </c>
      <c r="AK401" s="647">
        <f t="shared" ref="AK401:AK464" si="1311">AG401-AH401+AJ401</f>
        <v>28673.902785039587</v>
      </c>
      <c r="AL401" s="644">
        <f t="shared" si="1034"/>
        <v>0</v>
      </c>
      <c r="AM401" s="645">
        <f t="shared" si="1035"/>
        <v>0</v>
      </c>
      <c r="AN401" s="646">
        <f t="shared" si="1036"/>
        <v>0</v>
      </c>
      <c r="AO401" s="647">
        <f t="shared" ref="AO401:AO464" si="1312">AK401-AL401+AN401</f>
        <v>28673.902785039587</v>
      </c>
      <c r="AP401" s="644">
        <f t="shared" si="1037"/>
        <v>0</v>
      </c>
      <c r="AQ401" s="645">
        <f t="shared" si="1038"/>
        <v>0</v>
      </c>
      <c r="AR401" s="646">
        <f t="shared" si="1039"/>
        <v>0</v>
      </c>
      <c r="AS401" s="647">
        <f t="shared" ref="AS401:AS464" si="1313">AO401-AP401+AR401</f>
        <v>28673.902785039587</v>
      </c>
      <c r="AT401" s="644">
        <f t="shared" si="1040"/>
        <v>0</v>
      </c>
      <c r="AU401" s="645">
        <f t="shared" si="1041"/>
        <v>0</v>
      </c>
      <c r="AV401" s="646">
        <f t="shared" si="1042"/>
        <v>0</v>
      </c>
      <c r="AW401" s="647">
        <f t="shared" ref="AW401:AW464" si="1314">AS401-AT401+AV401</f>
        <v>28673.902785039587</v>
      </c>
      <c r="AY401" s="644">
        <f t="shared" si="1043"/>
        <v>8330.4114270727896</v>
      </c>
      <c r="AZ401" s="645">
        <f t="shared" si="1282"/>
        <v>9226.0778392564207</v>
      </c>
      <c r="BA401" s="644">
        <f t="shared" si="1044"/>
        <v>895.66641218363111</v>
      </c>
      <c r="BB401" s="645">
        <f t="shared" si="1045"/>
        <v>0</v>
      </c>
      <c r="BC401" s="646">
        <f t="shared" si="1046"/>
        <v>0</v>
      </c>
      <c r="BD401" s="647">
        <f t="shared" si="1047"/>
        <v>9226.0778392564207</v>
      </c>
      <c r="BE401" s="644">
        <f t="shared" ref="BE401:BE464" si="1315">IF(BD401-AZ401&lt;0,BD401-AZ401,0)</f>
        <v>0</v>
      </c>
      <c r="BF401" s="645">
        <f t="shared" ref="BF401:BF464" si="1316">IF(AND(BE401=0,BA401=0),BD401,0)</f>
        <v>0</v>
      </c>
      <c r="BG401" s="646">
        <f t="shared" si="1048"/>
        <v>0</v>
      </c>
      <c r="BH401" s="647">
        <f t="shared" ref="BH401:BH464" si="1317">BD401-BE401+BG401</f>
        <v>9226.0778392564207</v>
      </c>
      <c r="BI401" s="644">
        <f t="shared" si="1049"/>
        <v>0</v>
      </c>
      <c r="BJ401" s="645">
        <f t="shared" si="1050"/>
        <v>0</v>
      </c>
      <c r="BK401" s="646">
        <f t="shared" si="1051"/>
        <v>0</v>
      </c>
      <c r="BL401" s="647">
        <f t="shared" ref="BL401:BL464" si="1318">BH401-BI401+BK401</f>
        <v>9226.0778392564207</v>
      </c>
      <c r="BM401" s="644">
        <f t="shared" si="1052"/>
        <v>0</v>
      </c>
      <c r="BN401" s="645">
        <f t="shared" si="1053"/>
        <v>0</v>
      </c>
      <c r="BO401" s="646">
        <f t="shared" si="1054"/>
        <v>0</v>
      </c>
      <c r="BP401" s="647">
        <f t="shared" ref="BP401:BP464" si="1319">BL401-BM401+BO401</f>
        <v>9226.0778392564207</v>
      </c>
      <c r="BQ401" s="644">
        <f t="shared" si="1055"/>
        <v>0</v>
      </c>
      <c r="BR401" s="645">
        <f t="shared" si="1056"/>
        <v>0</v>
      </c>
      <c r="BS401" s="646">
        <f t="shared" si="1057"/>
        <v>0</v>
      </c>
      <c r="BT401" s="647">
        <f t="shared" ref="BT401:BT464" si="1320">BP401-BQ401+BS401</f>
        <v>9226.0778392564207</v>
      </c>
      <c r="BU401" s="662">
        <f>VLOOKUP(B401,'Afton Update'!$A$5:$AR$582,'Afton Update'!$AO$589,0)-BT401</f>
        <v>0</v>
      </c>
      <c r="BV401" s="644">
        <f t="shared" si="1058"/>
        <v>15216.143740068961</v>
      </c>
      <c r="BW401" s="645">
        <f t="shared" si="1305"/>
        <v>16394.837433762572</v>
      </c>
      <c r="BX401" s="644">
        <f t="shared" si="1059"/>
        <v>1178.6936936936108</v>
      </c>
      <c r="BY401" s="645">
        <f t="shared" si="1060"/>
        <v>0</v>
      </c>
      <c r="BZ401" s="646">
        <f t="shared" si="1061"/>
        <v>0</v>
      </c>
      <c r="CA401" s="647">
        <f t="shared" si="1062"/>
        <v>16394.837433762572</v>
      </c>
      <c r="CB401" s="644">
        <f t="shared" ref="CB401:CB464" si="1321">IF(CA401-BW401&lt;0,CA401-BW401,0)</f>
        <v>0</v>
      </c>
      <c r="CC401" s="645">
        <f t="shared" ref="CC401:CC464" si="1322">IF(AND(CB401=0,BX401=0),CA401,0)</f>
        <v>0</v>
      </c>
      <c r="CD401" s="646">
        <f t="shared" si="1063"/>
        <v>0</v>
      </c>
      <c r="CE401" s="647">
        <f t="shared" ref="CE401:CE464" si="1323">CA401-CB401+CD401</f>
        <v>16394.837433762572</v>
      </c>
      <c r="CF401" s="644">
        <f t="shared" si="1064"/>
        <v>0</v>
      </c>
      <c r="CG401" s="645">
        <f t="shared" si="1065"/>
        <v>0</v>
      </c>
      <c r="CH401" s="646">
        <f t="shared" si="1066"/>
        <v>0</v>
      </c>
      <c r="CI401" s="647">
        <f t="shared" ref="CI401:CI464" si="1324">CE401-CF401+CH401</f>
        <v>16394.837433762572</v>
      </c>
      <c r="CJ401" s="644">
        <f t="shared" si="1067"/>
        <v>0</v>
      </c>
      <c r="CK401" s="645">
        <f t="shared" si="1068"/>
        <v>0</v>
      </c>
      <c r="CL401" s="646">
        <f t="shared" si="1069"/>
        <v>0</v>
      </c>
      <c r="CM401" s="647">
        <f t="shared" ref="CM401:CM464" si="1325">CI401-CJ401+CL401</f>
        <v>16394.837433762572</v>
      </c>
      <c r="CN401" s="644">
        <f t="shared" si="1070"/>
        <v>0</v>
      </c>
      <c r="CO401" s="645">
        <f t="shared" si="1071"/>
        <v>0</v>
      </c>
      <c r="CP401" s="646">
        <f t="shared" si="1072"/>
        <v>0</v>
      </c>
      <c r="CQ401" s="647">
        <f t="shared" ref="CQ401:CQ464" si="1326">CM401-CN401+CP401</f>
        <v>16394.837433762572</v>
      </c>
      <c r="CS401" s="644">
        <f t="shared" si="1073"/>
        <v>14781.32619773168</v>
      </c>
      <c r="CT401" s="645">
        <f t="shared" si="1306"/>
        <v>16434.028356793136</v>
      </c>
      <c r="CU401" s="644">
        <f t="shared" si="1074"/>
        <v>1652.7021590614568</v>
      </c>
      <c r="CV401" s="645">
        <f t="shared" si="1075"/>
        <v>0</v>
      </c>
      <c r="CW401" s="646">
        <f t="shared" si="1076"/>
        <v>0</v>
      </c>
      <c r="CX401" s="647">
        <f t="shared" si="1077"/>
        <v>16434.028356793136</v>
      </c>
      <c r="CY401" s="644">
        <f t="shared" ref="CY401:CY464" si="1327">IF(CX401-CT401&lt;0,CX401-CT401,0)</f>
        <v>0</v>
      </c>
      <c r="CZ401" s="645">
        <f t="shared" ref="CZ401:CZ464" si="1328">IF(AND(CY401=0,CU401=0),CX401,0)</f>
        <v>0</v>
      </c>
      <c r="DA401" s="646">
        <f t="shared" si="1078"/>
        <v>0</v>
      </c>
      <c r="DB401" s="647">
        <f t="shared" ref="DB401:DB464" si="1329">CX401-CY401+DA401</f>
        <v>16434.028356793136</v>
      </c>
      <c r="DC401" s="644">
        <f t="shared" si="1079"/>
        <v>0</v>
      </c>
      <c r="DD401" s="645">
        <f t="shared" si="1080"/>
        <v>0</v>
      </c>
      <c r="DE401" s="646">
        <f t="shared" si="1081"/>
        <v>0</v>
      </c>
      <c r="DF401" s="647">
        <f t="shared" ref="DF401:DF464" si="1330">DB401-DC401+DE401</f>
        <v>16434.028356793136</v>
      </c>
      <c r="DG401" s="644">
        <f t="shared" si="1082"/>
        <v>0</v>
      </c>
      <c r="DH401" s="645">
        <f t="shared" si="1083"/>
        <v>0</v>
      </c>
      <c r="DI401" s="646">
        <f t="shared" si="1084"/>
        <v>0</v>
      </c>
      <c r="DJ401" s="647">
        <f t="shared" ref="DJ401:DJ464" si="1331">DF401-DG401+DI401</f>
        <v>16434.028356793136</v>
      </c>
      <c r="DK401" s="644">
        <f t="shared" si="1085"/>
        <v>0</v>
      </c>
      <c r="DL401" s="645">
        <f t="shared" si="1086"/>
        <v>0</v>
      </c>
      <c r="DM401" s="646">
        <f t="shared" si="1087"/>
        <v>0</v>
      </c>
      <c r="DN401" s="647">
        <f t="shared" ref="DN401:DN464" si="1332">DJ401-DK401+DM401</f>
        <v>16434.028356793136</v>
      </c>
      <c r="DR401" s="827">
        <f t="shared" si="1283"/>
        <v>70728.846414851709</v>
      </c>
      <c r="DV401" s="828">
        <f>IFERROR(VLOOKUP($B401,'Afton FY16 Final'!$A$5:$BV$587,'Afton FY16 Final'!$BV$587,0),0)</f>
        <v>71816.433743233327</v>
      </c>
      <c r="DX401" s="636">
        <f t="shared" si="1274"/>
        <v>0</v>
      </c>
      <c r="DY401" s="637">
        <f t="shared" si="1275"/>
        <v>0</v>
      </c>
      <c r="DZ401" s="637">
        <f t="shared" si="1276"/>
        <v>0</v>
      </c>
      <c r="EA401" s="643">
        <f t="shared" si="1277"/>
        <v>0</v>
      </c>
      <c r="EB401" s="637">
        <f t="shared" si="1284"/>
        <v>0</v>
      </c>
      <c r="EC401" s="637">
        <f t="shared" si="1285"/>
        <v>0</v>
      </c>
      <c r="ED401" s="637">
        <f t="shared" si="1286"/>
        <v>0</v>
      </c>
      <c r="EE401" s="643">
        <f t="shared" si="1287"/>
        <v>0</v>
      </c>
      <c r="EF401" s="637">
        <f t="shared" si="1288"/>
        <v>0</v>
      </c>
      <c r="EG401" s="637">
        <f t="shared" si="1289"/>
        <v>0</v>
      </c>
      <c r="EH401" s="637">
        <f t="shared" si="1290"/>
        <v>0</v>
      </c>
      <c r="EI401" s="643">
        <f t="shared" si="1291"/>
        <v>0</v>
      </c>
      <c r="EJ401" s="637">
        <f t="shared" si="1292"/>
        <v>0</v>
      </c>
      <c r="EK401" s="637">
        <f t="shared" si="1293"/>
        <v>0</v>
      </c>
      <c r="EL401" s="637">
        <f t="shared" si="1294"/>
        <v>0</v>
      </c>
      <c r="EM401" s="643">
        <f t="shared" si="1295"/>
        <v>0</v>
      </c>
      <c r="EN401" s="637">
        <f t="shared" si="1296"/>
        <v>0</v>
      </c>
      <c r="EO401" s="637">
        <f t="shared" si="1297"/>
        <v>0</v>
      </c>
      <c r="EP401" s="637">
        <f t="shared" si="1298"/>
        <v>0</v>
      </c>
      <c r="EQ401" s="643">
        <f t="shared" si="1299"/>
        <v>0</v>
      </c>
      <c r="ER401" s="637">
        <f t="shared" si="1300"/>
        <v>0</v>
      </c>
      <c r="ES401" s="637">
        <f t="shared" si="1301"/>
        <v>0</v>
      </c>
      <c r="ET401" s="637">
        <f t="shared" si="1302"/>
        <v>0</v>
      </c>
      <c r="EU401" s="643">
        <f t="shared" si="1278"/>
        <v>0</v>
      </c>
      <c r="EV401" s="643">
        <f t="shared" si="1279"/>
        <v>0</v>
      </c>
      <c r="EX401" s="829">
        <f t="shared" si="1280"/>
        <v>0</v>
      </c>
      <c r="EY401" s="638">
        <f t="shared" si="1281"/>
        <v>70728.846414851709</v>
      </c>
      <c r="FC401" s="830" t="str">
        <f t="shared" si="1303"/>
        <v>Y</v>
      </c>
      <c r="FE401" s="830" t="str">
        <f>IFERROR(VLOOKUP($B401,'Historical Conc Grant Elig'!$B$3:$J$707,'HH &amp; SI'!FE$2,0),"N")</f>
        <v>Y</v>
      </c>
      <c r="FF401" s="830" t="str">
        <f>IFERROR(VLOOKUP($B401,'Historical Conc Grant Elig'!$B$3:$J$707,'HH &amp; SI'!FF$2,0),"N")</f>
        <v>Y</v>
      </c>
      <c r="FG401" s="830" t="str">
        <f>IFERROR(VLOOKUP($B401,'Historical Conc Grant Elig'!$B$3:$J$707,'HH &amp; SI'!FG$2,0),"N")</f>
        <v>Y</v>
      </c>
      <c r="FH401" s="830" t="str">
        <f>IFERROR(VLOOKUP($B401,'Historical Conc Grant Elig'!$B$3:$J$707,'HH &amp; SI'!FH$2,0),"N")</f>
        <v>Y</v>
      </c>
      <c r="FI401" s="830" t="str">
        <f>IFERROR(VLOOKUP($B401,'Historical Conc Grant Elig'!$B$3:$J$707,'HH &amp; SI'!FI$2,0),"N")</f>
        <v>Y</v>
      </c>
      <c r="FJ401" s="830" t="str">
        <f>IFERROR(VLOOKUP($B401,'Historical Conc Grant Elig'!$B$3:$J$707,'HH &amp; SI'!FJ$2,0),"N")</f>
        <v>Y</v>
      </c>
      <c r="FK401" s="830" t="str">
        <f>IFERROR(VLOOKUP($B401,'Historical Conc Grant Elig'!$B$3:$J$707,'HH &amp; SI'!FK$2,0),"N")</f>
        <v>Y</v>
      </c>
      <c r="FL401" s="957" t="str">
        <f>IFERROR(VLOOKUP($B401,'Historical Conc Grant Elig'!$B$3:$J$707,'HH &amp; SI'!FL$2,0),"N")</f>
        <v>Y</v>
      </c>
    </row>
    <row r="402" spans="2:168" x14ac:dyDescent="0.25">
      <c r="B402" s="634">
        <v>108909000</v>
      </c>
      <c r="C402" s="635" t="str">
        <f>VLOOKUP($B402,'Afton Update'!$A$5:$CR$582,'Afton Update'!D$589,0)</f>
        <v>Collaborative Pathways  Inc.</v>
      </c>
      <c r="D402" s="636">
        <f>IFERROR(VLOOKUP($B402,'Afton FY16 Final'!$A$5:$BV$587,'Afton FY16 Final'!AQ$587,0),0)</f>
        <v>22595.293839781039</v>
      </c>
      <c r="E402" s="637">
        <f>IFERROR(VLOOKUP($B402,'Afton FY16 Final'!$A$5:$BV$587,'Afton FY16 Final'!AR$587,0),0)</f>
        <v>7135.4803406417195</v>
      </c>
      <c r="F402" s="637">
        <f>IFERROR(VLOOKUP($B402,'Afton FY16 Final'!$A$5:$BV$587,'Afton FY16 Final'!AS$587,0),0)</f>
        <v>12289.621799938572</v>
      </c>
      <c r="G402" s="637">
        <f>IFERROR(VLOOKUP($B402,'Afton FY16 Final'!$A$5:$BV$587,'Afton FY16 Final'!AT$587,0),0)</f>
        <v>12741.941299449623</v>
      </c>
      <c r="H402" s="638">
        <f>IFERROR(VLOOKUP($B402,'Afton FY16 Final'!$A$5:$BV$587,'Afton FY16 Final'!AU$587,0),0)</f>
        <v>54762.337279810956</v>
      </c>
      <c r="I402" s="639" t="str">
        <f>VLOOKUP($B402,'Afton Update'!$A$5:$CR$582,'Afton Update'!BT$589,0)</f>
        <v>Y</v>
      </c>
      <c r="J402" s="640" t="str">
        <f>VLOOKUP($B402,'Afton Update'!$A$5:$CR$582,'Afton Update'!BU$589,0)</f>
        <v>Y</v>
      </c>
      <c r="K402" s="640" t="str">
        <f>VLOOKUP($B402,'Afton Update'!$A$5:$CR$582,'Afton Update'!BV$589,0)</f>
        <v>Y</v>
      </c>
      <c r="L402" s="641" t="str">
        <f>VLOOKUP($B402,'Afton Update'!$A$5:$CR$582,'Afton Update'!BW$589,0)</f>
        <v>Y</v>
      </c>
      <c r="N402" s="642">
        <f>VLOOKUP($B402,'Afton Update'!$A$5:$CR$582,'Afton Update'!CB$589,0)</f>
        <v>0.95</v>
      </c>
      <c r="P402" s="636">
        <f>VLOOKUP($B402,'Afton Update'!$A$5:$CR$582,'Afton Update'!AH$589,0)</f>
        <v>20020.252062059204</v>
      </c>
      <c r="Q402" s="637">
        <f>VLOOKUP($B402,'Afton Update'!$A$5:$CR$582,'Afton Update'!AI$589,0)</f>
        <v>7225.6758002312936</v>
      </c>
      <c r="R402" s="637">
        <f>VLOOKUP($B402,'Afton Update'!$A$5:$CR$582,'Afton Update'!AJ$589,0)</f>
        <v>12172.91499205517</v>
      </c>
      <c r="S402" s="637">
        <f>VLOOKUP($B402,'Afton Update'!$A$5:$CR$582,'Afton Update'!AK$589,0)</f>
        <v>11825.060958185344</v>
      </c>
      <c r="T402" s="643">
        <f t="shared" si="1307"/>
        <v>51243.903812531011</v>
      </c>
      <c r="V402" s="636">
        <f t="shared" ref="V402:V465" si="1333">AW402</f>
        <v>21465.529147791985</v>
      </c>
      <c r="W402" s="637">
        <f t="shared" ref="W402:W465" si="1334">BT402</f>
        <v>6987.6884571307201</v>
      </c>
      <c r="X402" s="637">
        <f t="shared" ref="X402:X465" si="1335">CQ402</f>
        <v>12062.207082937382</v>
      </c>
      <c r="Y402" s="637">
        <f t="shared" ref="Y402:Y465" si="1336">DN402</f>
        <v>12104.844234477141</v>
      </c>
      <c r="Z402" s="643">
        <f t="shared" ref="Z402:Z465" si="1337">SUM(V402:Y402)</f>
        <v>52620.268922337229</v>
      </c>
      <c r="AB402" s="644">
        <f t="shared" si="1308"/>
        <v>20020.252062059204</v>
      </c>
      <c r="AC402" s="645">
        <f t="shared" si="1304"/>
        <v>21465.529147791985</v>
      </c>
      <c r="AD402" s="644">
        <f t="shared" ref="AD402:AD465" si="1338">IF($I402="N",0,MAX(AC402-AB402,0))</f>
        <v>1445.2770857327814</v>
      </c>
      <c r="AE402" s="645">
        <f t="shared" ref="AE402:AE465" si="1339">IF(AD402=0,AB402,0)</f>
        <v>0</v>
      </c>
      <c r="AF402" s="646">
        <f t="shared" ref="AF402:AF465" si="1340">-IF(AD402=0,((AE402/AE$2)*AD$2),0)</f>
        <v>0</v>
      </c>
      <c r="AG402" s="647">
        <f t="shared" ref="AG402:AG465" si="1341">IF(AD402=0,AE402+AF402,AD402+AB402)</f>
        <v>21465.529147791985</v>
      </c>
      <c r="AH402" s="644">
        <f t="shared" si="1309"/>
        <v>0</v>
      </c>
      <c r="AI402" s="645">
        <f t="shared" si="1310"/>
        <v>0</v>
      </c>
      <c r="AJ402" s="646">
        <f t="shared" ref="AJ402:AJ465" si="1342">IF(AND(AH402=0,AD402=0),((AI402/AI$2))*AH$2,0)</f>
        <v>0</v>
      </c>
      <c r="AK402" s="647">
        <f t="shared" si="1311"/>
        <v>21465.529147791985</v>
      </c>
      <c r="AL402" s="644">
        <f t="shared" ref="AL402:AL465" si="1343">IF(AK402-AC402&lt;0,AK402-AC402,0)</f>
        <v>0</v>
      </c>
      <c r="AM402" s="645">
        <f t="shared" ref="AM402:AM465" si="1344">IF(AND(AH402=0,AD402=0,AL402=0),AK402,0)</f>
        <v>0</v>
      </c>
      <c r="AN402" s="646">
        <f t="shared" ref="AN402:AN465" si="1345">IF(AND(AL402=0,AH402=0,AD402=0),((AM402/AM$2))*AL$2,0)</f>
        <v>0</v>
      </c>
      <c r="AO402" s="647">
        <f t="shared" si="1312"/>
        <v>21465.529147791985</v>
      </c>
      <c r="AP402" s="644">
        <f t="shared" ref="AP402:AP465" si="1346">IF(AO402-AC402&lt;0,AO402-AC402,0)</f>
        <v>0</v>
      </c>
      <c r="AQ402" s="645">
        <f t="shared" ref="AQ402:AQ465" si="1347">IF(AND(AH402=0,AD402=0,AL402=0,AP402=0),AO402,0)</f>
        <v>0</v>
      </c>
      <c r="AR402" s="646">
        <f t="shared" ref="AR402:AR465" si="1348">IF(AND(AP402=0,AL402=0,AH402=0,AD402=0),((AQ402/AQ$2))*AP$2,0)</f>
        <v>0</v>
      </c>
      <c r="AS402" s="647">
        <f t="shared" si="1313"/>
        <v>21465.529147791985</v>
      </c>
      <c r="AT402" s="644">
        <f t="shared" ref="AT402:AT465" si="1349">IF(AS402-AC402&lt;0,AS402-AC402,0)</f>
        <v>0</v>
      </c>
      <c r="AU402" s="645">
        <f t="shared" ref="AU402:AU465" si="1350">IF(AND(AP402=0,AL402=0,AT402=0,AD402=0,AH402=0),AS402,0)</f>
        <v>0</v>
      </c>
      <c r="AV402" s="646">
        <f t="shared" ref="AV402:AV465" si="1351">IF(AND(AT402=0,AP402=0,AL402=0),((AU402/AU$2))*AT$2,0)</f>
        <v>0</v>
      </c>
      <c r="AW402" s="647">
        <f t="shared" si="1314"/>
        <v>21465.529147791985</v>
      </c>
      <c r="AY402" s="644">
        <f t="shared" ref="AY402:AY465" si="1352">IF(Q402="",0,Q402)</f>
        <v>7225.6758002312936</v>
      </c>
      <c r="AZ402" s="645">
        <f t="shared" si="1282"/>
        <v>6778.7063236096328</v>
      </c>
      <c r="BA402" s="644">
        <f t="shared" ref="BA402:BA465" si="1353">IF($J402="N",0,MAX(AZ402-AY402,0))</f>
        <v>0</v>
      </c>
      <c r="BB402" s="645">
        <f t="shared" ref="BB402:BB465" si="1354">IF(BA402=0,AY402,0)</f>
        <v>7225.6758002312936</v>
      </c>
      <c r="BC402" s="646">
        <f t="shared" ref="BC402:BC465" si="1355">-IF(BA402=0,((BB402/BB$2)*BA$2),0)</f>
        <v>-51.96194046137181</v>
      </c>
      <c r="BD402" s="647">
        <f t="shared" ref="BD402:BD465" si="1356">IF(BA402=0,BB402+BC402,BA402+AY402)</f>
        <v>7173.7138597699213</v>
      </c>
      <c r="BE402" s="644">
        <f t="shared" si="1315"/>
        <v>0</v>
      </c>
      <c r="BF402" s="645">
        <f t="shared" si="1316"/>
        <v>7173.7138597699213</v>
      </c>
      <c r="BG402" s="646">
        <f t="shared" ref="BG402:BG465" si="1357">IF(AND(BE402=0,BA402=0),((BF402/BF$2))*BE$2,0)</f>
        <v>-170.87201798468888</v>
      </c>
      <c r="BH402" s="647">
        <f t="shared" si="1317"/>
        <v>7002.8418417852326</v>
      </c>
      <c r="BI402" s="644">
        <f t="shared" ref="BI402:BI465" si="1358">IF(BH402-AZ402&lt;0,BH402-AZ402,0)</f>
        <v>0</v>
      </c>
      <c r="BJ402" s="645">
        <f t="shared" ref="BJ402:BJ465" si="1359">IF(AND(BE402=0,BA402=0,BI402=0),BH402,0)</f>
        <v>7002.8418417852326</v>
      </c>
      <c r="BK402" s="646">
        <f t="shared" ref="BK402:BK465" si="1360">IF(AND(BI402=0,BE402=0,BA402=0),((BJ402/BJ$2))*BI$2,0)</f>
        <v>-14.83366379243383</v>
      </c>
      <c r="BL402" s="647">
        <f t="shared" si="1318"/>
        <v>6988.0081779927987</v>
      </c>
      <c r="BM402" s="644">
        <f t="shared" ref="BM402:BM465" si="1361">IF(BL402-AZ402&lt;0,BL402-AZ402,0)</f>
        <v>0</v>
      </c>
      <c r="BN402" s="645">
        <f t="shared" ref="BN402:BN465" si="1362">IF(AND(BE402=0,BA402=0,BI402=0,BM402=0),BL402,0)</f>
        <v>6988.0081779927987</v>
      </c>
      <c r="BO402" s="646">
        <f t="shared" ref="BO402:BO465" si="1363">IF(AND(BM402=0,BI402=0,BE402=0,BA402=0),((BN402/BN$2))*BM$2,0)</f>
        <v>-0.31972086207822825</v>
      </c>
      <c r="BP402" s="647">
        <f t="shared" si="1319"/>
        <v>6987.6884571307201</v>
      </c>
      <c r="BQ402" s="644">
        <f t="shared" ref="BQ402:BQ465" si="1364">IF(BP402-AZ402&lt;0,BP402-AZ402,0)</f>
        <v>0</v>
      </c>
      <c r="BR402" s="645">
        <f t="shared" ref="BR402:BR465" si="1365">IF(AND(BM402=0,BI402=0,BQ402=0,BA402=0,BE402=0),BP402,0)</f>
        <v>6987.6884571307201</v>
      </c>
      <c r="BS402" s="646">
        <f t="shared" ref="BS402:BS465" si="1366">IF(AND(BQ402=0,BM402=0,BI402=0),((BR402/BR$2))*BQ$2,0)</f>
        <v>0</v>
      </c>
      <c r="BT402" s="647">
        <f t="shared" si="1320"/>
        <v>6987.6884571307201</v>
      </c>
      <c r="BU402" s="662">
        <f>VLOOKUP(B402,'Afton Update'!$A$5:$AR$582,'Afton Update'!$AO$589,0)-BT402</f>
        <v>0</v>
      </c>
      <c r="BV402" s="644">
        <f t="shared" ref="BV402:BV465" si="1367">IF(R402="",0,R402)</f>
        <v>12172.91499205517</v>
      </c>
      <c r="BW402" s="645">
        <f t="shared" si="1305"/>
        <v>11675.140709941643</v>
      </c>
      <c r="BX402" s="644">
        <f t="shared" ref="BX402:BX465" si="1368">IF($K402="N",0,MAX(BW402-BV402,0))</f>
        <v>0</v>
      </c>
      <c r="BY402" s="645">
        <f t="shared" ref="BY402:BY465" si="1369">IF(BX402=0,BV402,0)</f>
        <v>12172.91499205517</v>
      </c>
      <c r="BZ402" s="646">
        <f t="shared" ref="BZ402:BZ465" si="1370">-IF(BX402=0,((BY402/BY$2)*BX$2),0)</f>
        <v>-106.84296909513185</v>
      </c>
      <c r="CA402" s="647">
        <f t="shared" ref="CA402:CA465" si="1371">IF(BX402=0,BY402+BZ402,BX402+BV402)</f>
        <v>12066.072022960037</v>
      </c>
      <c r="CB402" s="644">
        <f t="shared" si="1321"/>
        <v>0</v>
      </c>
      <c r="CC402" s="645">
        <f t="shared" si="1322"/>
        <v>12066.072022960037</v>
      </c>
      <c r="CD402" s="646">
        <f t="shared" ref="CD402:CD465" si="1372">IF(AND(CB402=0,BX402=0),((CC402/CC$2))*CB$2,0)</f>
        <v>-3.8649400226540913</v>
      </c>
      <c r="CE402" s="647">
        <f t="shared" si="1323"/>
        <v>12062.207082937382</v>
      </c>
      <c r="CF402" s="644">
        <f t="shared" ref="CF402:CF465" si="1373">IF(CE402-BW402&lt;0,CE402-BW402,0)</f>
        <v>0</v>
      </c>
      <c r="CG402" s="645">
        <f t="shared" ref="CG402:CG465" si="1374">IF(AND(CB402=0,BX402=0,CF402=0),CE402,0)</f>
        <v>12062.207082937382</v>
      </c>
      <c r="CH402" s="646">
        <f t="shared" ref="CH402:CH465" si="1375">IF(AND(CF402=0,CB402=0,BX402=0),((CG402/CG$2))*CF$2,0)</f>
        <v>0</v>
      </c>
      <c r="CI402" s="647">
        <f t="shared" si="1324"/>
        <v>12062.207082937382</v>
      </c>
      <c r="CJ402" s="644">
        <f t="shared" ref="CJ402:CJ465" si="1376">IF(CI402-BW402&lt;0,CI402-BW402,0)</f>
        <v>0</v>
      </c>
      <c r="CK402" s="645">
        <f t="shared" ref="CK402:CK465" si="1377">IF(AND(CB402=0,BX402=0,CF402=0,CJ402=0),CI402,0)</f>
        <v>12062.207082937382</v>
      </c>
      <c r="CL402" s="646">
        <f t="shared" ref="CL402:CL465" si="1378">IF(AND(CJ402=0,CF402=0,CB402=0,BX402=0),((CK402/CK$2))*CJ$2,0)</f>
        <v>0</v>
      </c>
      <c r="CM402" s="647">
        <f t="shared" si="1325"/>
        <v>12062.207082937382</v>
      </c>
      <c r="CN402" s="644">
        <f t="shared" ref="CN402:CN465" si="1379">IF(CM402-BW402&lt;0,CM402-BW402,0)</f>
        <v>0</v>
      </c>
      <c r="CO402" s="645">
        <f t="shared" ref="CO402:CO465" si="1380">IF(AND(CJ402=0,CF402=0,CN402=0,BX402=0,CB402=0),CM402,0)</f>
        <v>12062.207082937382</v>
      </c>
      <c r="CP402" s="646">
        <f t="shared" ref="CP402:CP465" si="1381">IF(AND(CN402=0,CJ402=0,CF402=0),((CO402/CO$2))*CN$2,0)</f>
        <v>0</v>
      </c>
      <c r="CQ402" s="647">
        <f t="shared" si="1326"/>
        <v>12062.207082937382</v>
      </c>
      <c r="CS402" s="644">
        <f t="shared" ref="CS402:CS465" si="1382">IF(S402="",0,S402)</f>
        <v>11825.060958185344</v>
      </c>
      <c r="CT402" s="645">
        <f t="shared" si="1306"/>
        <v>12104.844234477141</v>
      </c>
      <c r="CU402" s="644">
        <f t="shared" ref="CU402:CU465" si="1383">IF($L402="N",0,MAX(CT402-CS402,0))</f>
        <v>279.78327629179694</v>
      </c>
      <c r="CV402" s="645">
        <f t="shared" ref="CV402:CV465" si="1384">IF(CU402=0,CS402,0)</f>
        <v>0</v>
      </c>
      <c r="CW402" s="646">
        <f t="shared" ref="CW402:CW465" si="1385">-IF(CU402=0,((CV402/CV$2)*CU$2),0)</f>
        <v>0</v>
      </c>
      <c r="CX402" s="647">
        <f t="shared" ref="CX402:CX465" si="1386">IF(CU402=0,CV402+CW402,CU402+CS402)</f>
        <v>12104.844234477141</v>
      </c>
      <c r="CY402" s="644">
        <f t="shared" si="1327"/>
        <v>0</v>
      </c>
      <c r="CZ402" s="645">
        <f t="shared" si="1328"/>
        <v>0</v>
      </c>
      <c r="DA402" s="646">
        <f t="shared" ref="DA402:DA465" si="1387">IF(AND(CY402=0,CU402=0),((CZ402/CZ$2))*CY$2,0)</f>
        <v>0</v>
      </c>
      <c r="DB402" s="647">
        <f t="shared" si="1329"/>
        <v>12104.844234477141</v>
      </c>
      <c r="DC402" s="644">
        <f t="shared" ref="DC402:DC465" si="1388">IF(DB402-CT402&lt;0,DB402-CT402,0)</f>
        <v>0</v>
      </c>
      <c r="DD402" s="645">
        <f t="shared" ref="DD402:DD465" si="1389">IF(AND(CY402=0,CU402=0,DC402=0),DB402,0)</f>
        <v>0</v>
      </c>
      <c r="DE402" s="646">
        <f t="shared" ref="DE402:DE465" si="1390">IF(AND(DC402=0,CY402=0,CU402=0),((DD402/DD$2))*DC$2,0)</f>
        <v>0</v>
      </c>
      <c r="DF402" s="647">
        <f t="shared" si="1330"/>
        <v>12104.844234477141</v>
      </c>
      <c r="DG402" s="644">
        <f t="shared" ref="DG402:DG465" si="1391">IF(DF402-CT402&lt;0,DF402-CT402,0)</f>
        <v>0</v>
      </c>
      <c r="DH402" s="645">
        <f t="shared" ref="DH402:DH465" si="1392">IF(AND(CY402=0,CU402=0,DC402=0,DG402=0),DF402,0)</f>
        <v>0</v>
      </c>
      <c r="DI402" s="646">
        <f t="shared" ref="DI402:DI465" si="1393">IF(AND(DG402=0,DC402=0,CY402=0,CU402=0),((DH402/DH$2))*DG$2,0)</f>
        <v>0</v>
      </c>
      <c r="DJ402" s="647">
        <f t="shared" si="1331"/>
        <v>12104.844234477141</v>
      </c>
      <c r="DK402" s="644">
        <f t="shared" ref="DK402:DK465" si="1394">IF(DJ402-CT402&lt;0,DJ402-CT402,0)</f>
        <v>0</v>
      </c>
      <c r="DL402" s="645">
        <f t="shared" ref="DL402:DL465" si="1395">IF(AND(DG402=0,DC402=0,DK402=0,CU402=0,CY402=0),DJ402,0)</f>
        <v>0</v>
      </c>
      <c r="DM402" s="646">
        <f t="shared" ref="DM402:DM465" si="1396">IF(AND(DK402=0,DG402=0,DC402=0),((DL402/DL$2))*DK$2,0)</f>
        <v>0</v>
      </c>
      <c r="DN402" s="647">
        <f t="shared" si="1332"/>
        <v>12104.844234477141</v>
      </c>
      <c r="DR402" s="827">
        <f t="shared" si="1283"/>
        <v>52620.268922337229</v>
      </c>
      <c r="DV402" s="828">
        <f>IFERROR(VLOOKUP($B402,'Afton FY16 Final'!$A$5:$BV$587,'Afton FY16 Final'!$BV$587,0),0)</f>
        <v>53684.0668678406</v>
      </c>
      <c r="DX402" s="636">
        <f t="shared" si="1274"/>
        <v>0</v>
      </c>
      <c r="DY402" s="637">
        <f t="shared" si="1275"/>
        <v>0</v>
      </c>
      <c r="DZ402" s="637">
        <f t="shared" si="1276"/>
        <v>0</v>
      </c>
      <c r="EA402" s="643">
        <f t="shared" si="1277"/>
        <v>0</v>
      </c>
      <c r="EB402" s="637">
        <f t="shared" si="1284"/>
        <v>0</v>
      </c>
      <c r="EC402" s="637">
        <f t="shared" si="1285"/>
        <v>0</v>
      </c>
      <c r="ED402" s="637">
        <f t="shared" si="1286"/>
        <v>0</v>
      </c>
      <c r="EE402" s="643">
        <f t="shared" si="1287"/>
        <v>0</v>
      </c>
      <c r="EF402" s="637">
        <f t="shared" si="1288"/>
        <v>0</v>
      </c>
      <c r="EG402" s="637">
        <f t="shared" si="1289"/>
        <v>0</v>
      </c>
      <c r="EH402" s="637">
        <f t="shared" si="1290"/>
        <v>0</v>
      </c>
      <c r="EI402" s="643">
        <f t="shared" si="1291"/>
        <v>0</v>
      </c>
      <c r="EJ402" s="637">
        <f t="shared" si="1292"/>
        <v>0</v>
      </c>
      <c r="EK402" s="637">
        <f t="shared" si="1293"/>
        <v>0</v>
      </c>
      <c r="EL402" s="637">
        <f t="shared" si="1294"/>
        <v>0</v>
      </c>
      <c r="EM402" s="643">
        <f t="shared" si="1295"/>
        <v>0</v>
      </c>
      <c r="EN402" s="637">
        <f t="shared" si="1296"/>
        <v>0</v>
      </c>
      <c r="EO402" s="637">
        <f t="shared" si="1297"/>
        <v>0</v>
      </c>
      <c r="EP402" s="637">
        <f t="shared" si="1298"/>
        <v>0</v>
      </c>
      <c r="EQ402" s="643">
        <f t="shared" si="1299"/>
        <v>0</v>
      </c>
      <c r="ER402" s="637">
        <f t="shared" si="1300"/>
        <v>0</v>
      </c>
      <c r="ES402" s="637">
        <f t="shared" si="1301"/>
        <v>0</v>
      </c>
      <c r="ET402" s="637">
        <f t="shared" si="1302"/>
        <v>0</v>
      </c>
      <c r="EU402" s="643">
        <f t="shared" si="1278"/>
        <v>0</v>
      </c>
      <c r="EV402" s="643">
        <f t="shared" si="1279"/>
        <v>0</v>
      </c>
      <c r="EX402" s="829">
        <f t="shared" si="1280"/>
        <v>0</v>
      </c>
      <c r="EY402" s="638">
        <f t="shared" si="1281"/>
        <v>52620.268922337229</v>
      </c>
      <c r="FC402" s="830" t="str">
        <f t="shared" si="1303"/>
        <v>Y</v>
      </c>
      <c r="FE402" s="830" t="str">
        <f>IFERROR(VLOOKUP($B402,'Historical Conc Grant Elig'!$B$3:$J$707,'HH &amp; SI'!FE$2,0),"N")</f>
        <v>N</v>
      </c>
      <c r="FF402" s="830" t="str">
        <f>IFERROR(VLOOKUP($B402,'Historical Conc Grant Elig'!$B$3:$J$707,'HH &amp; SI'!FF$2,0),"N")</f>
        <v>N</v>
      </c>
      <c r="FG402" s="830" t="str">
        <f>IFERROR(VLOOKUP($B402,'Historical Conc Grant Elig'!$B$3:$J$707,'HH &amp; SI'!FG$2,0),"N")</f>
        <v>N</v>
      </c>
      <c r="FH402" s="830" t="str">
        <f>IFERROR(VLOOKUP($B402,'Historical Conc Grant Elig'!$B$3:$J$707,'HH &amp; SI'!FH$2,0),"N")</f>
        <v>Y</v>
      </c>
      <c r="FI402" s="830" t="str">
        <f>IFERROR(VLOOKUP($B402,'Historical Conc Grant Elig'!$B$3:$J$707,'HH &amp; SI'!FI$2,0),"N")</f>
        <v>Y</v>
      </c>
      <c r="FJ402" s="830" t="str">
        <f>IFERROR(VLOOKUP($B402,'Historical Conc Grant Elig'!$B$3:$J$707,'HH &amp; SI'!FJ$2,0),"N")</f>
        <v>Y</v>
      </c>
      <c r="FK402" s="830" t="str">
        <f>IFERROR(VLOOKUP($B402,'Historical Conc Grant Elig'!$B$3:$J$707,'HH &amp; SI'!FK$2,0),"N")</f>
        <v>Y</v>
      </c>
      <c r="FL402" s="957" t="str">
        <f>IFERROR(VLOOKUP($B402,'Historical Conc Grant Elig'!$B$3:$J$707,'HH &amp; SI'!FL$2,0),"N")</f>
        <v>Y</v>
      </c>
    </row>
    <row r="403" spans="2:168" x14ac:dyDescent="0.25">
      <c r="B403" s="634">
        <v>110100000</v>
      </c>
      <c r="C403" s="635" t="str">
        <f>VLOOKUP($B403,'Afton Update'!$A$5:$CR$582,'Afton Update'!D$589,0)</f>
        <v>Mary C O'Brien Accommodation District</v>
      </c>
      <c r="D403" s="636">
        <f>IFERROR(VLOOKUP($B403,'Afton FY16 Final'!$A$5:$BV$587,'Afton FY16 Final'!AQ$587,0),0)</f>
        <v>55307.727241998509</v>
      </c>
      <c r="E403" s="637">
        <f>IFERROR(VLOOKUP($B403,'Afton FY16 Final'!$A$5:$BV$587,'Afton FY16 Final'!AR$587,0),0)</f>
        <v>13252.513889062346</v>
      </c>
      <c r="F403" s="637">
        <f>IFERROR(VLOOKUP($B403,'Afton FY16 Final'!$A$5:$BV$587,'Afton FY16 Final'!AS$587,0),0)</f>
        <v>22140.336655105395</v>
      </c>
      <c r="G403" s="637">
        <f>IFERROR(VLOOKUP($B403,'Afton FY16 Final'!$A$5:$BV$587,'Afton FY16 Final'!AT$587,0),0)</f>
        <v>19007.912252516824</v>
      </c>
      <c r="H403" s="638">
        <f>IFERROR(VLOOKUP($B403,'Afton FY16 Final'!$A$5:$BV$587,'Afton FY16 Final'!AU$587,0),0)</f>
        <v>109708.49003868307</v>
      </c>
      <c r="I403" s="639" t="str">
        <f>VLOOKUP($B403,'Afton Update'!$A$5:$CR$582,'Afton Update'!BT$589,0)</f>
        <v>Y</v>
      </c>
      <c r="J403" s="640" t="str">
        <f>VLOOKUP($B403,'Afton Update'!$A$5:$CR$582,'Afton Update'!BU$589,0)</f>
        <v>Y</v>
      </c>
      <c r="K403" s="640" t="str">
        <f>VLOOKUP($B403,'Afton Update'!$A$5:$CR$582,'Afton Update'!BV$589,0)</f>
        <v>Y</v>
      </c>
      <c r="L403" s="641" t="str">
        <f>VLOOKUP($B403,'Afton Update'!$A$5:$CR$582,'Afton Update'!BW$589,0)</f>
        <v>Y</v>
      </c>
      <c r="N403" s="642">
        <f>VLOOKUP($B403,'Afton Update'!$A$5:$CR$582,'Afton Update'!CB$589,0)</f>
        <v>0.95</v>
      </c>
      <c r="P403" s="636">
        <f>VLOOKUP($B403,'Afton Update'!$A$5:$CR$582,'Afton Update'!AH$589,0)</f>
        <v>28275.68670034175</v>
      </c>
      <c r="Q403" s="637">
        <f>VLOOKUP($B403,'Afton Update'!$A$5:$CR$582,'Afton Update'!AI$589,0)</f>
        <v>8171.5413447722767</v>
      </c>
      <c r="R403" s="637">
        <f>VLOOKUP($B403,'Afton Update'!$A$5:$CR$582,'Afton Update'!AJ$589,0)</f>
        <v>12049.561512058794</v>
      </c>
      <c r="S403" s="637">
        <f>VLOOKUP($B403,'Afton Update'!$A$5:$CR$582,'Afton Update'!AK$589,0)</f>
        <v>9960.7461238867545</v>
      </c>
      <c r="T403" s="643">
        <f t="shared" si="1307"/>
        <v>58457.535681059569</v>
      </c>
      <c r="V403" s="636">
        <f t="shared" si="1333"/>
        <v>52542.340879898584</v>
      </c>
      <c r="W403" s="637">
        <f t="shared" si="1334"/>
        <v>12589.888194609228</v>
      </c>
      <c r="X403" s="637">
        <f t="shared" si="1335"/>
        <v>21033.319822350124</v>
      </c>
      <c r="Y403" s="637">
        <f t="shared" si="1336"/>
        <v>18057.516639890982</v>
      </c>
      <c r="Z403" s="643">
        <f t="shared" si="1337"/>
        <v>104223.06553674892</v>
      </c>
      <c r="AB403" s="644">
        <f t="shared" si="1308"/>
        <v>28275.68670034175</v>
      </c>
      <c r="AC403" s="645">
        <f t="shared" si="1304"/>
        <v>52542.340879898584</v>
      </c>
      <c r="AD403" s="644">
        <f t="shared" si="1338"/>
        <v>24266.654179556834</v>
      </c>
      <c r="AE403" s="645">
        <f t="shared" si="1339"/>
        <v>0</v>
      </c>
      <c r="AF403" s="646">
        <f t="shared" si="1340"/>
        <v>0</v>
      </c>
      <c r="AG403" s="647">
        <f t="shared" si="1341"/>
        <v>52542.340879898584</v>
      </c>
      <c r="AH403" s="644">
        <f t="shared" si="1309"/>
        <v>0</v>
      </c>
      <c r="AI403" s="645">
        <f t="shared" si="1310"/>
        <v>0</v>
      </c>
      <c r="AJ403" s="646">
        <f t="shared" si="1342"/>
        <v>0</v>
      </c>
      <c r="AK403" s="647">
        <f t="shared" si="1311"/>
        <v>52542.340879898584</v>
      </c>
      <c r="AL403" s="644">
        <f t="shared" si="1343"/>
        <v>0</v>
      </c>
      <c r="AM403" s="645">
        <f t="shared" si="1344"/>
        <v>0</v>
      </c>
      <c r="AN403" s="646">
        <f t="shared" si="1345"/>
        <v>0</v>
      </c>
      <c r="AO403" s="647">
        <f t="shared" si="1312"/>
        <v>52542.340879898584</v>
      </c>
      <c r="AP403" s="644">
        <f t="shared" si="1346"/>
        <v>0</v>
      </c>
      <c r="AQ403" s="645">
        <f t="shared" si="1347"/>
        <v>0</v>
      </c>
      <c r="AR403" s="646">
        <f t="shared" si="1348"/>
        <v>0</v>
      </c>
      <c r="AS403" s="647">
        <f t="shared" si="1313"/>
        <v>52542.340879898584</v>
      </c>
      <c r="AT403" s="644">
        <f t="shared" si="1349"/>
        <v>0</v>
      </c>
      <c r="AU403" s="645">
        <f t="shared" si="1350"/>
        <v>0</v>
      </c>
      <c r="AV403" s="646">
        <f t="shared" si="1351"/>
        <v>0</v>
      </c>
      <c r="AW403" s="647">
        <f t="shared" si="1314"/>
        <v>52542.340879898584</v>
      </c>
      <c r="AY403" s="644">
        <f t="shared" si="1352"/>
        <v>8171.5413447722767</v>
      </c>
      <c r="AZ403" s="645">
        <f t="shared" si="1282"/>
        <v>12589.888194609228</v>
      </c>
      <c r="BA403" s="644">
        <f t="shared" si="1353"/>
        <v>4418.3468498369512</v>
      </c>
      <c r="BB403" s="645">
        <f t="shared" si="1354"/>
        <v>0</v>
      </c>
      <c r="BC403" s="646">
        <f t="shared" si="1355"/>
        <v>0</v>
      </c>
      <c r="BD403" s="647">
        <f t="shared" si="1356"/>
        <v>12589.888194609228</v>
      </c>
      <c r="BE403" s="644">
        <f t="shared" si="1315"/>
        <v>0</v>
      </c>
      <c r="BF403" s="645">
        <f t="shared" si="1316"/>
        <v>0</v>
      </c>
      <c r="BG403" s="646">
        <f t="shared" si="1357"/>
        <v>0</v>
      </c>
      <c r="BH403" s="647">
        <f t="shared" si="1317"/>
        <v>12589.888194609228</v>
      </c>
      <c r="BI403" s="644">
        <f t="shared" si="1358"/>
        <v>0</v>
      </c>
      <c r="BJ403" s="645">
        <f t="shared" si="1359"/>
        <v>0</v>
      </c>
      <c r="BK403" s="646">
        <f t="shared" si="1360"/>
        <v>0</v>
      </c>
      <c r="BL403" s="647">
        <f t="shared" si="1318"/>
        <v>12589.888194609228</v>
      </c>
      <c r="BM403" s="644">
        <f t="shared" si="1361"/>
        <v>0</v>
      </c>
      <c r="BN403" s="645">
        <f t="shared" si="1362"/>
        <v>0</v>
      </c>
      <c r="BO403" s="646">
        <f t="shared" si="1363"/>
        <v>0</v>
      </c>
      <c r="BP403" s="647">
        <f t="shared" si="1319"/>
        <v>12589.888194609228</v>
      </c>
      <c r="BQ403" s="644">
        <f t="shared" si="1364"/>
        <v>0</v>
      </c>
      <c r="BR403" s="645">
        <f t="shared" si="1365"/>
        <v>0</v>
      </c>
      <c r="BS403" s="646">
        <f t="shared" si="1366"/>
        <v>0</v>
      </c>
      <c r="BT403" s="647">
        <f t="shared" si="1320"/>
        <v>12589.888194609228</v>
      </c>
      <c r="BU403" s="662">
        <f>VLOOKUP(B403,'Afton Update'!$A$5:$AR$582,'Afton Update'!$AO$589,0)-BT403</f>
        <v>0</v>
      </c>
      <c r="BV403" s="644">
        <f t="shared" si="1367"/>
        <v>12049.561512058794</v>
      </c>
      <c r="BW403" s="645">
        <f t="shared" si="1305"/>
        <v>21033.319822350124</v>
      </c>
      <c r="BX403" s="644">
        <f t="shared" si="1368"/>
        <v>8983.7583102913304</v>
      </c>
      <c r="BY403" s="645">
        <f t="shared" si="1369"/>
        <v>0</v>
      </c>
      <c r="BZ403" s="646">
        <f t="shared" si="1370"/>
        <v>0</v>
      </c>
      <c r="CA403" s="647">
        <f t="shared" si="1371"/>
        <v>21033.319822350124</v>
      </c>
      <c r="CB403" s="644">
        <f t="shared" si="1321"/>
        <v>0</v>
      </c>
      <c r="CC403" s="645">
        <f t="shared" si="1322"/>
        <v>0</v>
      </c>
      <c r="CD403" s="646">
        <f t="shared" si="1372"/>
        <v>0</v>
      </c>
      <c r="CE403" s="647">
        <f t="shared" si="1323"/>
        <v>21033.319822350124</v>
      </c>
      <c r="CF403" s="644">
        <f t="shared" si="1373"/>
        <v>0</v>
      </c>
      <c r="CG403" s="645">
        <f t="shared" si="1374"/>
        <v>0</v>
      </c>
      <c r="CH403" s="646">
        <f t="shared" si="1375"/>
        <v>0</v>
      </c>
      <c r="CI403" s="647">
        <f t="shared" si="1324"/>
        <v>21033.319822350124</v>
      </c>
      <c r="CJ403" s="644">
        <f t="shared" si="1376"/>
        <v>0</v>
      </c>
      <c r="CK403" s="645">
        <f t="shared" si="1377"/>
        <v>0</v>
      </c>
      <c r="CL403" s="646">
        <f t="shared" si="1378"/>
        <v>0</v>
      </c>
      <c r="CM403" s="647">
        <f t="shared" si="1325"/>
        <v>21033.319822350124</v>
      </c>
      <c r="CN403" s="644">
        <f t="shared" si="1379"/>
        <v>0</v>
      </c>
      <c r="CO403" s="645">
        <f t="shared" si="1380"/>
        <v>0</v>
      </c>
      <c r="CP403" s="646">
        <f t="shared" si="1381"/>
        <v>0</v>
      </c>
      <c r="CQ403" s="647">
        <f t="shared" si="1326"/>
        <v>21033.319822350124</v>
      </c>
      <c r="CS403" s="644">
        <f t="shared" si="1382"/>
        <v>9960.7461238867545</v>
      </c>
      <c r="CT403" s="645">
        <f t="shared" si="1306"/>
        <v>18057.516639890982</v>
      </c>
      <c r="CU403" s="644">
        <f t="shared" si="1383"/>
        <v>8096.7705160042278</v>
      </c>
      <c r="CV403" s="645">
        <f t="shared" si="1384"/>
        <v>0</v>
      </c>
      <c r="CW403" s="646">
        <f t="shared" si="1385"/>
        <v>0</v>
      </c>
      <c r="CX403" s="647">
        <f t="shared" si="1386"/>
        <v>18057.516639890982</v>
      </c>
      <c r="CY403" s="644">
        <f t="shared" si="1327"/>
        <v>0</v>
      </c>
      <c r="CZ403" s="645">
        <f t="shared" si="1328"/>
        <v>0</v>
      </c>
      <c r="DA403" s="646">
        <f t="shared" si="1387"/>
        <v>0</v>
      </c>
      <c r="DB403" s="647">
        <f t="shared" si="1329"/>
        <v>18057.516639890982</v>
      </c>
      <c r="DC403" s="644">
        <f t="shared" si="1388"/>
        <v>0</v>
      </c>
      <c r="DD403" s="645">
        <f t="shared" si="1389"/>
        <v>0</v>
      </c>
      <c r="DE403" s="646">
        <f t="shared" si="1390"/>
        <v>0</v>
      </c>
      <c r="DF403" s="647">
        <f t="shared" si="1330"/>
        <v>18057.516639890982</v>
      </c>
      <c r="DG403" s="644">
        <f t="shared" si="1391"/>
        <v>0</v>
      </c>
      <c r="DH403" s="645">
        <f t="shared" si="1392"/>
        <v>0</v>
      </c>
      <c r="DI403" s="646">
        <f t="shared" si="1393"/>
        <v>0</v>
      </c>
      <c r="DJ403" s="647">
        <f t="shared" si="1331"/>
        <v>18057.516639890982</v>
      </c>
      <c r="DK403" s="644">
        <f t="shared" si="1394"/>
        <v>0</v>
      </c>
      <c r="DL403" s="645">
        <f t="shared" si="1395"/>
        <v>0</v>
      </c>
      <c r="DM403" s="646">
        <f t="shared" si="1396"/>
        <v>0</v>
      </c>
      <c r="DN403" s="647">
        <f t="shared" si="1332"/>
        <v>18057.516639890982</v>
      </c>
      <c r="DR403" s="827">
        <f t="shared" si="1283"/>
        <v>104223.06553674892</v>
      </c>
      <c r="DV403" s="828">
        <f>IFERROR(VLOOKUP($B403,'Afton FY16 Final'!$A$5:$BV$587,'Afton FY16 Final'!$BV$587,0),0)</f>
        <v>105825.68866929661</v>
      </c>
      <c r="DX403" s="636">
        <f t="shared" si="1274"/>
        <v>0</v>
      </c>
      <c r="DY403" s="637">
        <f t="shared" si="1275"/>
        <v>0</v>
      </c>
      <c r="DZ403" s="637">
        <f t="shared" si="1276"/>
        <v>0</v>
      </c>
      <c r="EA403" s="643">
        <f t="shared" si="1277"/>
        <v>0</v>
      </c>
      <c r="EB403" s="637">
        <f t="shared" si="1284"/>
        <v>0</v>
      </c>
      <c r="EC403" s="637">
        <f t="shared" si="1285"/>
        <v>0</v>
      </c>
      <c r="ED403" s="637">
        <f t="shared" si="1286"/>
        <v>0</v>
      </c>
      <c r="EE403" s="643">
        <f t="shared" si="1287"/>
        <v>0</v>
      </c>
      <c r="EF403" s="637">
        <f t="shared" si="1288"/>
        <v>0</v>
      </c>
      <c r="EG403" s="637">
        <f t="shared" si="1289"/>
        <v>0</v>
      </c>
      <c r="EH403" s="637">
        <f t="shared" si="1290"/>
        <v>0</v>
      </c>
      <c r="EI403" s="643">
        <f t="shared" si="1291"/>
        <v>0</v>
      </c>
      <c r="EJ403" s="637">
        <f t="shared" si="1292"/>
        <v>0</v>
      </c>
      <c r="EK403" s="637">
        <f t="shared" si="1293"/>
        <v>0</v>
      </c>
      <c r="EL403" s="637">
        <f t="shared" si="1294"/>
        <v>0</v>
      </c>
      <c r="EM403" s="643">
        <f t="shared" si="1295"/>
        <v>0</v>
      </c>
      <c r="EN403" s="637">
        <f t="shared" si="1296"/>
        <v>0</v>
      </c>
      <c r="EO403" s="637">
        <f t="shared" si="1297"/>
        <v>0</v>
      </c>
      <c r="EP403" s="637">
        <f t="shared" si="1298"/>
        <v>0</v>
      </c>
      <c r="EQ403" s="643">
        <f t="shared" si="1299"/>
        <v>0</v>
      </c>
      <c r="ER403" s="637">
        <f t="shared" si="1300"/>
        <v>0</v>
      </c>
      <c r="ES403" s="637">
        <f t="shared" si="1301"/>
        <v>0</v>
      </c>
      <c r="ET403" s="637">
        <f t="shared" si="1302"/>
        <v>0</v>
      </c>
      <c r="EU403" s="643">
        <f t="shared" si="1278"/>
        <v>0</v>
      </c>
      <c r="EV403" s="643">
        <f t="shared" si="1279"/>
        <v>0</v>
      </c>
      <c r="EX403" s="829">
        <f t="shared" si="1280"/>
        <v>0</v>
      </c>
      <c r="EY403" s="638">
        <f t="shared" si="1281"/>
        <v>104223.06553674892</v>
      </c>
      <c r="FC403" s="830" t="str">
        <f t="shared" si="1303"/>
        <v>Y</v>
      </c>
      <c r="FE403" s="830" t="str">
        <f>IFERROR(VLOOKUP($B403,'Historical Conc Grant Elig'!$B$3:$J$707,'HH &amp; SI'!FE$2,0),"N")</f>
        <v>Y</v>
      </c>
      <c r="FF403" s="830" t="str">
        <f>IFERROR(VLOOKUP($B403,'Historical Conc Grant Elig'!$B$3:$J$707,'HH &amp; SI'!FF$2,0),"N")</f>
        <v>Y</v>
      </c>
      <c r="FG403" s="830" t="str">
        <f>IFERROR(VLOOKUP($B403,'Historical Conc Grant Elig'!$B$3:$J$707,'HH &amp; SI'!FG$2,0),"N")</f>
        <v>Y</v>
      </c>
      <c r="FH403" s="830" t="str">
        <f>IFERROR(VLOOKUP($B403,'Historical Conc Grant Elig'!$B$3:$J$707,'HH &amp; SI'!FH$2,0),"N")</f>
        <v>Y</v>
      </c>
      <c r="FI403" s="830" t="str">
        <f>IFERROR(VLOOKUP($B403,'Historical Conc Grant Elig'!$B$3:$J$707,'HH &amp; SI'!FI$2,0),"N")</f>
        <v>Y</v>
      </c>
      <c r="FJ403" s="830" t="str">
        <f>IFERROR(VLOOKUP($B403,'Historical Conc Grant Elig'!$B$3:$J$707,'HH &amp; SI'!FJ$2,0),"N")</f>
        <v>Y</v>
      </c>
      <c r="FK403" s="830" t="str">
        <f>IFERROR(VLOOKUP($B403,'Historical Conc Grant Elig'!$B$3:$J$707,'HH &amp; SI'!FK$2,0),"N")</f>
        <v>Y</v>
      </c>
      <c r="FL403" s="957" t="str">
        <f>IFERROR(VLOOKUP($B403,'Historical Conc Grant Elig'!$B$3:$J$707,'HH &amp; SI'!FL$2,0),"N")</f>
        <v>Y</v>
      </c>
    </row>
    <row r="404" spans="2:168" x14ac:dyDescent="0.25">
      <c r="B404" s="634">
        <v>110201000</v>
      </c>
      <c r="C404" s="635" t="str">
        <f>VLOOKUP($B404,'Afton Update'!$A$5:$CR$582,'Afton Update'!D$589,0)</f>
        <v>Florence Unified School District</v>
      </c>
      <c r="D404" s="636">
        <f>IFERROR(VLOOKUP($B404,'Afton FY16 Final'!$A$5:$BV$587,'Afton FY16 Final'!AQ$587,0),0)</f>
        <v>1013695.1669072974</v>
      </c>
      <c r="E404" s="637">
        <f>IFERROR(VLOOKUP($B404,'Afton FY16 Final'!$A$5:$BV$587,'Afton FY16 Final'!AR$587,0),0)</f>
        <v>237058.77288889282</v>
      </c>
      <c r="F404" s="637">
        <f>IFERROR(VLOOKUP($B404,'Afton FY16 Final'!$A$5:$BV$587,'Afton FY16 Final'!AS$587,0),0)</f>
        <v>387078.23887294455</v>
      </c>
      <c r="G404" s="637">
        <f>IFERROR(VLOOKUP($B404,'Afton FY16 Final'!$A$5:$BV$587,'Afton FY16 Final'!AT$587,0),0)</f>
        <v>312177.19806965545</v>
      </c>
      <c r="H404" s="638">
        <f>IFERROR(VLOOKUP($B404,'Afton FY16 Final'!$A$5:$BV$587,'Afton FY16 Final'!AU$587,0),0)</f>
        <v>1950009.3767387904</v>
      </c>
      <c r="I404" s="639" t="str">
        <f>VLOOKUP($B404,'Afton Update'!$A$5:$CR$582,'Afton Update'!BT$589,0)</f>
        <v>Y</v>
      </c>
      <c r="J404" s="640" t="str">
        <f>VLOOKUP($B404,'Afton Update'!$A$5:$CR$582,'Afton Update'!BU$589,0)</f>
        <v>Y</v>
      </c>
      <c r="K404" s="640" t="str">
        <f>VLOOKUP($B404,'Afton Update'!$A$5:$CR$582,'Afton Update'!BV$589,0)</f>
        <v>Y</v>
      </c>
      <c r="L404" s="641" t="str">
        <f>VLOOKUP($B404,'Afton Update'!$A$5:$CR$582,'Afton Update'!BW$589,0)</f>
        <v>Y</v>
      </c>
      <c r="N404" s="642">
        <f>VLOOKUP($B404,'Afton Update'!$A$5:$CR$582,'Afton Update'!CB$589,0)</f>
        <v>0.9</v>
      </c>
      <c r="P404" s="636">
        <f>VLOOKUP($B404,'Afton Update'!$A$5:$CR$582,'Afton Update'!AH$589,0)</f>
        <v>1083607.3500134361</v>
      </c>
      <c r="Q404" s="637">
        <f>VLOOKUP($B404,'Afton Update'!$A$5:$CR$582,'Afton Update'!AI$589,0)</f>
        <v>259537.98512768355</v>
      </c>
      <c r="R404" s="637">
        <f>VLOOKUP($B404,'Afton Update'!$A$5:$CR$582,'Afton Update'!AJ$589,0)</f>
        <v>464552.53083598829</v>
      </c>
      <c r="S404" s="637">
        <f>VLOOKUP($B404,'Afton Update'!$A$5:$CR$582,'Afton Update'!AK$589,0)</f>
        <v>367508.792105284</v>
      </c>
      <c r="T404" s="643">
        <f t="shared" si="1307"/>
        <v>2175206.6580823916</v>
      </c>
      <c r="V404" s="636">
        <f t="shared" si="1333"/>
        <v>1068826.2424290963</v>
      </c>
      <c r="W404" s="637">
        <f t="shared" si="1334"/>
        <v>250989.75279317496</v>
      </c>
      <c r="X404" s="637">
        <f t="shared" si="1335"/>
        <v>460327.60694571264</v>
      </c>
      <c r="Y404" s="637">
        <f t="shared" si="1336"/>
        <v>363459.50676590251</v>
      </c>
      <c r="Z404" s="643">
        <f t="shared" si="1337"/>
        <v>2143603.1089338865</v>
      </c>
      <c r="AB404" s="644">
        <f t="shared" si="1308"/>
        <v>1083607.3500134361</v>
      </c>
      <c r="AC404" s="645">
        <f t="shared" si="1304"/>
        <v>912325.65021656768</v>
      </c>
      <c r="AD404" s="644">
        <f t="shared" si="1338"/>
        <v>0</v>
      </c>
      <c r="AE404" s="645">
        <f t="shared" si="1339"/>
        <v>1083607.3500134361</v>
      </c>
      <c r="AF404" s="646">
        <f t="shared" si="1340"/>
        <v>-13432.127412663564</v>
      </c>
      <c r="AG404" s="647">
        <f t="shared" si="1341"/>
        <v>1070175.2226007725</v>
      </c>
      <c r="AH404" s="644">
        <f t="shared" si="1309"/>
        <v>0</v>
      </c>
      <c r="AI404" s="645">
        <f t="shared" si="1310"/>
        <v>1070175.2226007725</v>
      </c>
      <c r="AJ404" s="646">
        <f t="shared" si="1342"/>
        <v>-1348.1207405521175</v>
      </c>
      <c r="AK404" s="647">
        <f t="shared" si="1311"/>
        <v>1068827.1018602203</v>
      </c>
      <c r="AL404" s="644">
        <f t="shared" si="1343"/>
        <v>0</v>
      </c>
      <c r="AM404" s="645">
        <f t="shared" si="1344"/>
        <v>1068827.1018602203</v>
      </c>
      <c r="AN404" s="646">
        <f t="shared" si="1345"/>
        <v>-0.85943112408063604</v>
      </c>
      <c r="AO404" s="647">
        <f t="shared" si="1312"/>
        <v>1068826.2424290963</v>
      </c>
      <c r="AP404" s="644">
        <f t="shared" si="1346"/>
        <v>0</v>
      </c>
      <c r="AQ404" s="645">
        <f t="shared" si="1347"/>
        <v>1068826.2424290963</v>
      </c>
      <c r="AR404" s="646">
        <f t="shared" si="1348"/>
        <v>0</v>
      </c>
      <c r="AS404" s="647">
        <f t="shared" si="1313"/>
        <v>1068826.2424290963</v>
      </c>
      <c r="AT404" s="644">
        <f t="shared" si="1349"/>
        <v>0</v>
      </c>
      <c r="AU404" s="645">
        <f t="shared" si="1350"/>
        <v>1068826.2424290963</v>
      </c>
      <c r="AV404" s="646">
        <f t="shared" si="1351"/>
        <v>0</v>
      </c>
      <c r="AW404" s="647">
        <f t="shared" si="1314"/>
        <v>1068826.2424290963</v>
      </c>
      <c r="AY404" s="644">
        <f t="shared" si="1352"/>
        <v>259537.98512768355</v>
      </c>
      <c r="AZ404" s="645">
        <f t="shared" si="1282"/>
        <v>213352.89560000354</v>
      </c>
      <c r="BA404" s="644">
        <f t="shared" si="1353"/>
        <v>0</v>
      </c>
      <c r="BB404" s="645">
        <f t="shared" si="1354"/>
        <v>259537.98512768355</v>
      </c>
      <c r="BC404" s="646">
        <f t="shared" si="1355"/>
        <v>-1866.4132883234818</v>
      </c>
      <c r="BD404" s="647">
        <f t="shared" si="1356"/>
        <v>257671.57183936008</v>
      </c>
      <c r="BE404" s="644">
        <f t="shared" si="1315"/>
        <v>0</v>
      </c>
      <c r="BF404" s="645">
        <f t="shared" si="1316"/>
        <v>257671.57183936008</v>
      </c>
      <c r="BG404" s="646">
        <f t="shared" si="1357"/>
        <v>-6137.5268540318257</v>
      </c>
      <c r="BH404" s="647">
        <f t="shared" si="1317"/>
        <v>251534.04498532825</v>
      </c>
      <c r="BI404" s="644">
        <f t="shared" si="1358"/>
        <v>0</v>
      </c>
      <c r="BJ404" s="645">
        <f t="shared" si="1359"/>
        <v>251534.04498532825</v>
      </c>
      <c r="BK404" s="646">
        <f t="shared" si="1360"/>
        <v>-532.80818558542512</v>
      </c>
      <c r="BL404" s="647">
        <f t="shared" si="1318"/>
        <v>251001.23679974282</v>
      </c>
      <c r="BM404" s="644">
        <f t="shared" si="1361"/>
        <v>0</v>
      </c>
      <c r="BN404" s="645">
        <f t="shared" si="1362"/>
        <v>251001.23679974282</v>
      </c>
      <c r="BO404" s="646">
        <f t="shared" si="1363"/>
        <v>-11.484006567858081</v>
      </c>
      <c r="BP404" s="647">
        <f t="shared" si="1319"/>
        <v>250989.75279317496</v>
      </c>
      <c r="BQ404" s="644">
        <f t="shared" si="1364"/>
        <v>0</v>
      </c>
      <c r="BR404" s="645">
        <f t="shared" si="1365"/>
        <v>250989.75279317496</v>
      </c>
      <c r="BS404" s="646">
        <f t="shared" si="1366"/>
        <v>0</v>
      </c>
      <c r="BT404" s="647">
        <f t="shared" si="1320"/>
        <v>250989.75279317496</v>
      </c>
      <c r="BU404" s="662">
        <f>VLOOKUP(B404,'Afton Update'!$A$5:$AR$582,'Afton Update'!$AO$589,0)-BT404</f>
        <v>0</v>
      </c>
      <c r="BV404" s="644">
        <f t="shared" si="1367"/>
        <v>464552.53083598829</v>
      </c>
      <c r="BW404" s="645">
        <f t="shared" si="1305"/>
        <v>348370.4149856501</v>
      </c>
      <c r="BX404" s="644">
        <f t="shared" si="1368"/>
        <v>0</v>
      </c>
      <c r="BY404" s="645">
        <f t="shared" si="1369"/>
        <v>464552.53083598829</v>
      </c>
      <c r="BZ404" s="646">
        <f t="shared" si="1370"/>
        <v>-4077.4269538207768</v>
      </c>
      <c r="CA404" s="647">
        <f t="shared" si="1371"/>
        <v>460475.10388216749</v>
      </c>
      <c r="CB404" s="644">
        <f t="shared" si="1321"/>
        <v>0</v>
      </c>
      <c r="CC404" s="645">
        <f t="shared" si="1322"/>
        <v>460475.10388216749</v>
      </c>
      <c r="CD404" s="646">
        <f t="shared" si="1372"/>
        <v>-147.49693645483421</v>
      </c>
      <c r="CE404" s="647">
        <f t="shared" si="1323"/>
        <v>460327.60694571264</v>
      </c>
      <c r="CF404" s="644">
        <f t="shared" si="1373"/>
        <v>0</v>
      </c>
      <c r="CG404" s="645">
        <f t="shared" si="1374"/>
        <v>460327.60694571264</v>
      </c>
      <c r="CH404" s="646">
        <f t="shared" si="1375"/>
        <v>0</v>
      </c>
      <c r="CI404" s="647">
        <f t="shared" si="1324"/>
        <v>460327.60694571264</v>
      </c>
      <c r="CJ404" s="644">
        <f t="shared" si="1376"/>
        <v>0</v>
      </c>
      <c r="CK404" s="645">
        <f t="shared" si="1377"/>
        <v>460327.60694571264</v>
      </c>
      <c r="CL404" s="646">
        <f t="shared" si="1378"/>
        <v>0</v>
      </c>
      <c r="CM404" s="647">
        <f t="shared" si="1325"/>
        <v>460327.60694571264</v>
      </c>
      <c r="CN404" s="644">
        <f t="shared" si="1379"/>
        <v>0</v>
      </c>
      <c r="CO404" s="645">
        <f t="shared" si="1380"/>
        <v>460327.60694571264</v>
      </c>
      <c r="CP404" s="646">
        <f t="shared" si="1381"/>
        <v>0</v>
      </c>
      <c r="CQ404" s="647">
        <f t="shared" si="1326"/>
        <v>460327.60694571264</v>
      </c>
      <c r="CS404" s="644">
        <f t="shared" si="1382"/>
        <v>367508.792105284</v>
      </c>
      <c r="CT404" s="645">
        <f t="shared" si="1306"/>
        <v>280959.4782626899</v>
      </c>
      <c r="CU404" s="644">
        <f t="shared" si="1383"/>
        <v>0</v>
      </c>
      <c r="CV404" s="645">
        <f t="shared" si="1384"/>
        <v>367508.792105284</v>
      </c>
      <c r="CW404" s="646">
        <f t="shared" si="1385"/>
        <v>-3763.4977184527893</v>
      </c>
      <c r="CX404" s="647">
        <f t="shared" si="1386"/>
        <v>363745.29438683123</v>
      </c>
      <c r="CY404" s="644">
        <f t="shared" si="1327"/>
        <v>0</v>
      </c>
      <c r="CZ404" s="645">
        <f t="shared" si="1328"/>
        <v>363745.29438683123</v>
      </c>
      <c r="DA404" s="646">
        <f t="shared" si="1387"/>
        <v>-285.54137705589028</v>
      </c>
      <c r="DB404" s="647">
        <f t="shared" si="1329"/>
        <v>363459.75300977536</v>
      </c>
      <c r="DC404" s="644">
        <f t="shared" si="1388"/>
        <v>0</v>
      </c>
      <c r="DD404" s="645">
        <f t="shared" si="1389"/>
        <v>363459.75300977536</v>
      </c>
      <c r="DE404" s="646">
        <f t="shared" si="1390"/>
        <v>-0.24624387285528154</v>
      </c>
      <c r="DF404" s="647">
        <f t="shared" si="1330"/>
        <v>363459.50676590251</v>
      </c>
      <c r="DG404" s="644">
        <f t="shared" si="1391"/>
        <v>0</v>
      </c>
      <c r="DH404" s="645">
        <f t="shared" si="1392"/>
        <v>363459.50676590251</v>
      </c>
      <c r="DI404" s="646">
        <f t="shared" si="1393"/>
        <v>0</v>
      </c>
      <c r="DJ404" s="647">
        <f t="shared" si="1331"/>
        <v>363459.50676590251</v>
      </c>
      <c r="DK404" s="644">
        <f t="shared" si="1394"/>
        <v>0</v>
      </c>
      <c r="DL404" s="645">
        <f t="shared" si="1395"/>
        <v>363459.50676590251</v>
      </c>
      <c r="DM404" s="646">
        <f t="shared" si="1396"/>
        <v>0</v>
      </c>
      <c r="DN404" s="647">
        <f t="shared" si="1332"/>
        <v>363459.50676590251</v>
      </c>
      <c r="DR404" s="827">
        <f t="shared" si="1283"/>
        <v>2143603.1089338865</v>
      </c>
      <c r="DV404" s="828">
        <f>IFERROR(VLOOKUP($B404,'Afton FY16 Final'!$A$5:$BV$587,'Afton FY16 Final'!$BV$587,0),0)</f>
        <v>1911613.6924337421</v>
      </c>
      <c r="DX404" s="636">
        <f t="shared" si="1274"/>
        <v>2143603.1089338865</v>
      </c>
      <c r="DY404" s="637">
        <f t="shared" si="1275"/>
        <v>231989.41650014441</v>
      </c>
      <c r="DZ404" s="637">
        <f t="shared" si="1276"/>
        <v>1911613.6924337421</v>
      </c>
      <c r="EA404" s="643">
        <f t="shared" si="1277"/>
        <v>2029587.4477581305</v>
      </c>
      <c r="EB404" s="637">
        <f t="shared" si="1284"/>
        <v>0</v>
      </c>
      <c r="EC404" s="637">
        <f t="shared" si="1285"/>
        <v>2029587.4477581305</v>
      </c>
      <c r="ED404" s="637">
        <f t="shared" si="1286"/>
        <v>2023535.3391709672</v>
      </c>
      <c r="EE404" s="643">
        <f t="shared" si="1287"/>
        <v>2023535.3391709672</v>
      </c>
      <c r="EF404" s="637">
        <f t="shared" si="1288"/>
        <v>0</v>
      </c>
      <c r="EG404" s="637">
        <f t="shared" si="1289"/>
        <v>2023535.3391709672</v>
      </c>
      <c r="EH404" s="637">
        <f t="shared" si="1290"/>
        <v>2023533.2515685421</v>
      </c>
      <c r="EI404" s="643">
        <f t="shared" si="1291"/>
        <v>2023533.2515685421</v>
      </c>
      <c r="EJ404" s="637">
        <f t="shared" si="1292"/>
        <v>0</v>
      </c>
      <c r="EK404" s="637">
        <f t="shared" si="1293"/>
        <v>2023533.2515685421</v>
      </c>
      <c r="EL404" s="637">
        <f t="shared" si="1294"/>
        <v>2023533.2515685393</v>
      </c>
      <c r="EM404" s="643">
        <f t="shared" si="1295"/>
        <v>2023533.2515685393</v>
      </c>
      <c r="EN404" s="637">
        <f t="shared" si="1296"/>
        <v>0</v>
      </c>
      <c r="EO404" s="637">
        <f t="shared" si="1297"/>
        <v>2023533.2515685393</v>
      </c>
      <c r="EP404" s="637">
        <f t="shared" si="1298"/>
        <v>2023533.2515685426</v>
      </c>
      <c r="EQ404" s="643">
        <f t="shared" si="1299"/>
        <v>2023533.2515685426</v>
      </c>
      <c r="ER404" s="637">
        <f t="shared" si="1300"/>
        <v>0</v>
      </c>
      <c r="ES404" s="637">
        <f t="shared" si="1301"/>
        <v>2023533.2515685426</v>
      </c>
      <c r="ET404" s="637">
        <f t="shared" si="1302"/>
        <v>2023533.2515685393</v>
      </c>
      <c r="EU404" s="643">
        <f t="shared" si="1278"/>
        <v>2023533.2515685393</v>
      </c>
      <c r="EV404" s="643">
        <f t="shared" si="1279"/>
        <v>0</v>
      </c>
      <c r="EX404" s="829">
        <f t="shared" si="1280"/>
        <v>120069.85736534721</v>
      </c>
      <c r="EY404" s="638">
        <f t="shared" si="1281"/>
        <v>2023533.2515685393</v>
      </c>
      <c r="FC404" s="830" t="str">
        <f t="shared" si="1303"/>
        <v>Y</v>
      </c>
      <c r="FE404" s="830" t="str">
        <f>IFERROR(VLOOKUP($B404,'Historical Conc Grant Elig'!$B$3:$J$707,'HH &amp; SI'!FE$2,0),"N")</f>
        <v>N</v>
      </c>
      <c r="FF404" s="830" t="str">
        <f>IFERROR(VLOOKUP($B404,'Historical Conc Grant Elig'!$B$3:$J$707,'HH &amp; SI'!FF$2,0),"N")</f>
        <v>N</v>
      </c>
      <c r="FG404" s="830" t="str">
        <f>IFERROR(VLOOKUP($B404,'Historical Conc Grant Elig'!$B$3:$J$707,'HH &amp; SI'!FG$2,0),"N")</f>
        <v>N</v>
      </c>
      <c r="FH404" s="830" t="str">
        <f>IFERROR(VLOOKUP($B404,'Historical Conc Grant Elig'!$B$3:$J$707,'HH &amp; SI'!FH$2,0),"N")</f>
        <v>N</v>
      </c>
      <c r="FI404" s="830" t="str">
        <f>IFERROR(VLOOKUP($B404,'Historical Conc Grant Elig'!$B$3:$J$707,'HH &amp; SI'!FI$2,0),"N")</f>
        <v>Y</v>
      </c>
      <c r="FJ404" s="830" t="str">
        <f>IFERROR(VLOOKUP($B404,'Historical Conc Grant Elig'!$B$3:$J$707,'HH &amp; SI'!FJ$2,0),"N")</f>
        <v>Y</v>
      </c>
      <c r="FK404" s="830" t="str">
        <f>IFERROR(VLOOKUP($B404,'Historical Conc Grant Elig'!$B$3:$J$707,'HH &amp; SI'!FK$2,0),"N")</f>
        <v>Y</v>
      </c>
      <c r="FL404" s="957" t="str">
        <f>IFERROR(VLOOKUP($B404,'Historical Conc Grant Elig'!$B$3:$J$707,'HH &amp; SI'!FL$2,0),"N")</f>
        <v>Y</v>
      </c>
    </row>
    <row r="405" spans="2:168" x14ac:dyDescent="0.25">
      <c r="B405" s="634">
        <v>110203000</v>
      </c>
      <c r="C405" s="635" t="str">
        <f>VLOOKUP($B405,'Afton Update'!$A$5:$CR$582,'Afton Update'!D$589,0)</f>
        <v>Ray Unified District</v>
      </c>
      <c r="D405" s="636">
        <f>IFERROR(VLOOKUP($B405,'Afton FY16 Final'!$A$5:$BV$587,'Afton FY16 Final'!AQ$587,0),0)</f>
        <v>149079.10927312443</v>
      </c>
      <c r="E405" s="637">
        <f>IFERROR(VLOOKUP($B405,'Afton FY16 Final'!$A$5:$BV$587,'Afton FY16 Final'!AR$587,0),0)</f>
        <v>36503.792162807258</v>
      </c>
      <c r="F405" s="637">
        <f>IFERROR(VLOOKUP($B405,'Afton FY16 Final'!$A$5:$BV$587,'Afton FY16 Final'!AS$587,0),0)</f>
        <v>47425.067319985312</v>
      </c>
      <c r="G405" s="637">
        <f>IFERROR(VLOOKUP($B405,'Afton FY16 Final'!$A$5:$BV$587,'Afton FY16 Final'!AT$587,0),0)</f>
        <v>39302.768906725432</v>
      </c>
      <c r="H405" s="638">
        <f>IFERROR(VLOOKUP($B405,'Afton FY16 Final'!$A$5:$BV$587,'Afton FY16 Final'!AU$587,0),0)</f>
        <v>272310.73766264244</v>
      </c>
      <c r="I405" s="639" t="str">
        <f>VLOOKUP($B405,'Afton Update'!$A$5:$CR$582,'Afton Update'!BT$589,0)</f>
        <v>Y</v>
      </c>
      <c r="J405" s="640" t="str">
        <f>VLOOKUP($B405,'Afton Update'!$A$5:$CR$582,'Afton Update'!BU$589,0)</f>
        <v>Y</v>
      </c>
      <c r="K405" s="640" t="str">
        <f>VLOOKUP($B405,'Afton Update'!$A$5:$CR$582,'Afton Update'!BV$589,0)</f>
        <v>Y</v>
      </c>
      <c r="L405" s="641" t="str">
        <f>VLOOKUP($B405,'Afton Update'!$A$5:$CR$582,'Afton Update'!BW$589,0)</f>
        <v>Y</v>
      </c>
      <c r="N405" s="642">
        <f>VLOOKUP($B405,'Afton Update'!$A$5:$CR$582,'Afton Update'!CB$589,0)</f>
        <v>0.9</v>
      </c>
      <c r="P405" s="636">
        <f>VLOOKUP($B405,'Afton Update'!$A$5:$CR$582,'Afton Update'!AH$589,0)</f>
        <v>119189.06443055143</v>
      </c>
      <c r="Q405" s="637">
        <f>VLOOKUP($B405,'Afton Update'!$A$5:$CR$582,'Afton Update'!AI$589,0)</f>
        <v>30482.511597283436</v>
      </c>
      <c r="R405" s="637">
        <f>VLOOKUP($B405,'Afton Update'!$A$5:$CR$582,'Afton Update'!AJ$589,0)</f>
        <v>37996.466178365088</v>
      </c>
      <c r="S405" s="637">
        <f>VLOOKUP($B405,'Afton Update'!$A$5:$CR$582,'Afton Update'!AK$589,0)</f>
        <v>31451.766693284051</v>
      </c>
      <c r="T405" s="643">
        <f t="shared" si="1307"/>
        <v>219119.80889948399</v>
      </c>
      <c r="V405" s="636">
        <f t="shared" si="1333"/>
        <v>134171.19834581198</v>
      </c>
      <c r="W405" s="637">
        <f t="shared" si="1334"/>
        <v>32853.412946526536</v>
      </c>
      <c r="X405" s="637">
        <f t="shared" si="1335"/>
        <v>42682.56058798678</v>
      </c>
      <c r="Y405" s="637">
        <f t="shared" si="1336"/>
        <v>35372.492016052893</v>
      </c>
      <c r="Z405" s="643">
        <f t="shared" si="1337"/>
        <v>245079.66389637819</v>
      </c>
      <c r="AB405" s="644">
        <f t="shared" si="1308"/>
        <v>119189.06443055143</v>
      </c>
      <c r="AC405" s="645">
        <f t="shared" si="1304"/>
        <v>134171.19834581198</v>
      </c>
      <c r="AD405" s="644">
        <f t="shared" si="1338"/>
        <v>14982.133915260551</v>
      </c>
      <c r="AE405" s="645">
        <f t="shared" si="1339"/>
        <v>0</v>
      </c>
      <c r="AF405" s="646">
        <f t="shared" si="1340"/>
        <v>0</v>
      </c>
      <c r="AG405" s="647">
        <f t="shared" si="1341"/>
        <v>134171.19834581198</v>
      </c>
      <c r="AH405" s="644">
        <f t="shared" si="1309"/>
        <v>0</v>
      </c>
      <c r="AI405" s="645">
        <f t="shared" si="1310"/>
        <v>0</v>
      </c>
      <c r="AJ405" s="646">
        <f t="shared" si="1342"/>
        <v>0</v>
      </c>
      <c r="AK405" s="647">
        <f t="shared" si="1311"/>
        <v>134171.19834581198</v>
      </c>
      <c r="AL405" s="644">
        <f t="shared" si="1343"/>
        <v>0</v>
      </c>
      <c r="AM405" s="645">
        <f t="shared" si="1344"/>
        <v>0</v>
      </c>
      <c r="AN405" s="646">
        <f t="shared" si="1345"/>
        <v>0</v>
      </c>
      <c r="AO405" s="647">
        <f t="shared" si="1312"/>
        <v>134171.19834581198</v>
      </c>
      <c r="AP405" s="644">
        <f t="shared" si="1346"/>
        <v>0</v>
      </c>
      <c r="AQ405" s="645">
        <f t="shared" si="1347"/>
        <v>0</v>
      </c>
      <c r="AR405" s="646">
        <f t="shared" si="1348"/>
        <v>0</v>
      </c>
      <c r="AS405" s="647">
        <f t="shared" si="1313"/>
        <v>134171.19834581198</v>
      </c>
      <c r="AT405" s="644">
        <f t="shared" si="1349"/>
        <v>0</v>
      </c>
      <c r="AU405" s="645">
        <f t="shared" si="1350"/>
        <v>0</v>
      </c>
      <c r="AV405" s="646">
        <f t="shared" si="1351"/>
        <v>0</v>
      </c>
      <c r="AW405" s="647">
        <f t="shared" si="1314"/>
        <v>134171.19834581198</v>
      </c>
      <c r="AY405" s="644">
        <f t="shared" si="1352"/>
        <v>30482.511597283436</v>
      </c>
      <c r="AZ405" s="645">
        <f t="shared" si="1282"/>
        <v>32853.412946526536</v>
      </c>
      <c r="BA405" s="644">
        <f t="shared" si="1353"/>
        <v>2370.9013492431004</v>
      </c>
      <c r="BB405" s="645">
        <f t="shared" si="1354"/>
        <v>0</v>
      </c>
      <c r="BC405" s="646">
        <f t="shared" si="1355"/>
        <v>0</v>
      </c>
      <c r="BD405" s="647">
        <f t="shared" si="1356"/>
        <v>32853.412946526536</v>
      </c>
      <c r="BE405" s="644">
        <f t="shared" si="1315"/>
        <v>0</v>
      </c>
      <c r="BF405" s="645">
        <f t="shared" si="1316"/>
        <v>0</v>
      </c>
      <c r="BG405" s="646">
        <f t="shared" si="1357"/>
        <v>0</v>
      </c>
      <c r="BH405" s="647">
        <f t="shared" si="1317"/>
        <v>32853.412946526536</v>
      </c>
      <c r="BI405" s="644">
        <f t="shared" si="1358"/>
        <v>0</v>
      </c>
      <c r="BJ405" s="645">
        <f t="shared" si="1359"/>
        <v>0</v>
      </c>
      <c r="BK405" s="646">
        <f t="shared" si="1360"/>
        <v>0</v>
      </c>
      <c r="BL405" s="647">
        <f t="shared" si="1318"/>
        <v>32853.412946526536</v>
      </c>
      <c r="BM405" s="644">
        <f t="shared" si="1361"/>
        <v>0</v>
      </c>
      <c r="BN405" s="645">
        <f t="shared" si="1362"/>
        <v>0</v>
      </c>
      <c r="BO405" s="646">
        <f t="shared" si="1363"/>
        <v>0</v>
      </c>
      <c r="BP405" s="647">
        <f t="shared" si="1319"/>
        <v>32853.412946526536</v>
      </c>
      <c r="BQ405" s="644">
        <f t="shared" si="1364"/>
        <v>0</v>
      </c>
      <c r="BR405" s="645">
        <f t="shared" si="1365"/>
        <v>0</v>
      </c>
      <c r="BS405" s="646">
        <f t="shared" si="1366"/>
        <v>0</v>
      </c>
      <c r="BT405" s="647">
        <f t="shared" si="1320"/>
        <v>32853.412946526536</v>
      </c>
      <c r="BU405" s="662">
        <f>VLOOKUP(B405,'Afton Update'!$A$5:$AR$582,'Afton Update'!$AO$589,0)-BT405</f>
        <v>0</v>
      </c>
      <c r="BV405" s="644">
        <f t="shared" si="1367"/>
        <v>37996.466178365088</v>
      </c>
      <c r="BW405" s="645">
        <f t="shared" si="1305"/>
        <v>42682.56058798678</v>
      </c>
      <c r="BX405" s="644">
        <f t="shared" si="1368"/>
        <v>4686.0944096216917</v>
      </c>
      <c r="BY405" s="645">
        <f t="shared" si="1369"/>
        <v>0</v>
      </c>
      <c r="BZ405" s="646">
        <f t="shared" si="1370"/>
        <v>0</v>
      </c>
      <c r="CA405" s="647">
        <f t="shared" si="1371"/>
        <v>42682.56058798678</v>
      </c>
      <c r="CB405" s="644">
        <f t="shared" si="1321"/>
        <v>0</v>
      </c>
      <c r="CC405" s="645">
        <f t="shared" si="1322"/>
        <v>0</v>
      </c>
      <c r="CD405" s="646">
        <f t="shared" si="1372"/>
        <v>0</v>
      </c>
      <c r="CE405" s="647">
        <f t="shared" si="1323"/>
        <v>42682.56058798678</v>
      </c>
      <c r="CF405" s="644">
        <f t="shared" si="1373"/>
        <v>0</v>
      </c>
      <c r="CG405" s="645">
        <f t="shared" si="1374"/>
        <v>0</v>
      </c>
      <c r="CH405" s="646">
        <f t="shared" si="1375"/>
        <v>0</v>
      </c>
      <c r="CI405" s="647">
        <f t="shared" si="1324"/>
        <v>42682.56058798678</v>
      </c>
      <c r="CJ405" s="644">
        <f t="shared" si="1376"/>
        <v>0</v>
      </c>
      <c r="CK405" s="645">
        <f t="shared" si="1377"/>
        <v>0</v>
      </c>
      <c r="CL405" s="646">
        <f t="shared" si="1378"/>
        <v>0</v>
      </c>
      <c r="CM405" s="647">
        <f t="shared" si="1325"/>
        <v>42682.56058798678</v>
      </c>
      <c r="CN405" s="644">
        <f t="shared" si="1379"/>
        <v>0</v>
      </c>
      <c r="CO405" s="645">
        <f t="shared" si="1380"/>
        <v>0</v>
      </c>
      <c r="CP405" s="646">
        <f t="shared" si="1381"/>
        <v>0</v>
      </c>
      <c r="CQ405" s="647">
        <f t="shared" si="1326"/>
        <v>42682.56058798678</v>
      </c>
      <c r="CS405" s="644">
        <f t="shared" si="1382"/>
        <v>31451.766693284051</v>
      </c>
      <c r="CT405" s="645">
        <f t="shared" si="1306"/>
        <v>35372.492016052893</v>
      </c>
      <c r="CU405" s="644">
        <f t="shared" si="1383"/>
        <v>3920.7253227688416</v>
      </c>
      <c r="CV405" s="645">
        <f t="shared" si="1384"/>
        <v>0</v>
      </c>
      <c r="CW405" s="646">
        <f t="shared" si="1385"/>
        <v>0</v>
      </c>
      <c r="CX405" s="647">
        <f t="shared" si="1386"/>
        <v>35372.492016052893</v>
      </c>
      <c r="CY405" s="644">
        <f t="shared" si="1327"/>
        <v>0</v>
      </c>
      <c r="CZ405" s="645">
        <f t="shared" si="1328"/>
        <v>0</v>
      </c>
      <c r="DA405" s="646">
        <f t="shared" si="1387"/>
        <v>0</v>
      </c>
      <c r="DB405" s="647">
        <f t="shared" si="1329"/>
        <v>35372.492016052893</v>
      </c>
      <c r="DC405" s="644">
        <f t="shared" si="1388"/>
        <v>0</v>
      </c>
      <c r="DD405" s="645">
        <f t="shared" si="1389"/>
        <v>0</v>
      </c>
      <c r="DE405" s="646">
        <f t="shared" si="1390"/>
        <v>0</v>
      </c>
      <c r="DF405" s="647">
        <f t="shared" si="1330"/>
        <v>35372.492016052893</v>
      </c>
      <c r="DG405" s="644">
        <f t="shared" si="1391"/>
        <v>0</v>
      </c>
      <c r="DH405" s="645">
        <f t="shared" si="1392"/>
        <v>0</v>
      </c>
      <c r="DI405" s="646">
        <f t="shared" si="1393"/>
        <v>0</v>
      </c>
      <c r="DJ405" s="647">
        <f t="shared" si="1331"/>
        <v>35372.492016052893</v>
      </c>
      <c r="DK405" s="644">
        <f t="shared" si="1394"/>
        <v>0</v>
      </c>
      <c r="DL405" s="645">
        <f t="shared" si="1395"/>
        <v>0</v>
      </c>
      <c r="DM405" s="646">
        <f t="shared" si="1396"/>
        <v>0</v>
      </c>
      <c r="DN405" s="647">
        <f t="shared" si="1332"/>
        <v>35372.492016052893</v>
      </c>
      <c r="DR405" s="827">
        <f t="shared" si="1283"/>
        <v>245079.66389637819</v>
      </c>
      <c r="DV405" s="828">
        <f>IFERROR(VLOOKUP($B405,'Afton FY16 Final'!$A$5:$BV$587,'Afton FY16 Final'!$BV$587,0),0)</f>
        <v>266948.93928316201</v>
      </c>
      <c r="DX405" s="636">
        <f t="shared" si="1274"/>
        <v>0</v>
      </c>
      <c r="DY405" s="637">
        <f t="shared" si="1275"/>
        <v>0</v>
      </c>
      <c r="DZ405" s="637">
        <f t="shared" si="1276"/>
        <v>0</v>
      </c>
      <c r="EA405" s="643">
        <f t="shared" si="1277"/>
        <v>0</v>
      </c>
      <c r="EB405" s="637">
        <f t="shared" si="1284"/>
        <v>0</v>
      </c>
      <c r="EC405" s="637">
        <f t="shared" si="1285"/>
        <v>0</v>
      </c>
      <c r="ED405" s="637">
        <f t="shared" si="1286"/>
        <v>0</v>
      </c>
      <c r="EE405" s="643">
        <f t="shared" si="1287"/>
        <v>0</v>
      </c>
      <c r="EF405" s="637">
        <f t="shared" si="1288"/>
        <v>0</v>
      </c>
      <c r="EG405" s="637">
        <f t="shared" si="1289"/>
        <v>0</v>
      </c>
      <c r="EH405" s="637">
        <f t="shared" si="1290"/>
        <v>0</v>
      </c>
      <c r="EI405" s="643">
        <f t="shared" si="1291"/>
        <v>0</v>
      </c>
      <c r="EJ405" s="637">
        <f t="shared" si="1292"/>
        <v>0</v>
      </c>
      <c r="EK405" s="637">
        <f t="shared" si="1293"/>
        <v>0</v>
      </c>
      <c r="EL405" s="637">
        <f t="shared" si="1294"/>
        <v>0</v>
      </c>
      <c r="EM405" s="643">
        <f t="shared" si="1295"/>
        <v>0</v>
      </c>
      <c r="EN405" s="637">
        <f t="shared" si="1296"/>
        <v>0</v>
      </c>
      <c r="EO405" s="637">
        <f t="shared" si="1297"/>
        <v>0</v>
      </c>
      <c r="EP405" s="637">
        <f t="shared" si="1298"/>
        <v>0</v>
      </c>
      <c r="EQ405" s="643">
        <f t="shared" si="1299"/>
        <v>0</v>
      </c>
      <c r="ER405" s="637">
        <f t="shared" si="1300"/>
        <v>0</v>
      </c>
      <c r="ES405" s="637">
        <f t="shared" si="1301"/>
        <v>0</v>
      </c>
      <c r="ET405" s="637">
        <f t="shared" si="1302"/>
        <v>0</v>
      </c>
      <c r="EU405" s="643">
        <f t="shared" si="1278"/>
        <v>0</v>
      </c>
      <c r="EV405" s="643">
        <f t="shared" si="1279"/>
        <v>0</v>
      </c>
      <c r="EX405" s="829">
        <f t="shared" si="1280"/>
        <v>0</v>
      </c>
      <c r="EY405" s="638">
        <f t="shared" si="1281"/>
        <v>245079.66389637819</v>
      </c>
      <c r="FC405" s="830" t="str">
        <f t="shared" si="1303"/>
        <v>Y</v>
      </c>
      <c r="FE405" s="830" t="str">
        <f>IFERROR(VLOOKUP($B405,'Historical Conc Grant Elig'!$B$3:$J$707,'HH &amp; SI'!FE$2,0),"N")</f>
        <v>Y</v>
      </c>
      <c r="FF405" s="830" t="str">
        <f>IFERROR(VLOOKUP($B405,'Historical Conc Grant Elig'!$B$3:$J$707,'HH &amp; SI'!FF$2,0),"N")</f>
        <v>Y</v>
      </c>
      <c r="FG405" s="830" t="str">
        <f>IFERROR(VLOOKUP($B405,'Historical Conc Grant Elig'!$B$3:$J$707,'HH &amp; SI'!FG$2,0),"N")</f>
        <v>Y</v>
      </c>
      <c r="FH405" s="830" t="str">
        <f>IFERROR(VLOOKUP($B405,'Historical Conc Grant Elig'!$B$3:$J$707,'HH &amp; SI'!FH$2,0),"N")</f>
        <v>Y</v>
      </c>
      <c r="FI405" s="830" t="str">
        <f>IFERROR(VLOOKUP($B405,'Historical Conc Grant Elig'!$B$3:$J$707,'HH &amp; SI'!FI$2,0),"N")</f>
        <v>Y</v>
      </c>
      <c r="FJ405" s="830" t="str">
        <f>IFERROR(VLOOKUP($B405,'Historical Conc Grant Elig'!$B$3:$J$707,'HH &amp; SI'!FJ$2,0),"N")</f>
        <v>Y</v>
      </c>
      <c r="FK405" s="830" t="str">
        <f>IFERROR(VLOOKUP($B405,'Historical Conc Grant Elig'!$B$3:$J$707,'HH &amp; SI'!FK$2,0),"N")</f>
        <v>Y</v>
      </c>
      <c r="FL405" s="957" t="str">
        <f>IFERROR(VLOOKUP($B405,'Historical Conc Grant Elig'!$B$3:$J$707,'HH &amp; SI'!FL$2,0),"N")</f>
        <v>Y</v>
      </c>
    </row>
    <row r="406" spans="2:168" x14ac:dyDescent="0.25">
      <c r="B406" s="634">
        <v>110208000</v>
      </c>
      <c r="C406" s="635" t="str">
        <f>VLOOKUP($B406,'Afton Update'!$A$5:$CR$582,'Afton Update'!D$589,0)</f>
        <v>Mammoth-San Manuel Unified District</v>
      </c>
      <c r="D406" s="636">
        <f>IFERROR(VLOOKUP($B406,'Afton FY16 Final'!$A$5:$BV$587,'Afton FY16 Final'!AQ$587,0),0)</f>
        <v>237397.59656710937</v>
      </c>
      <c r="E406" s="637">
        <f>IFERROR(VLOOKUP($B406,'Afton FY16 Final'!$A$5:$BV$587,'Afton FY16 Final'!AR$587,0),0)</f>
        <v>58129.623709778898</v>
      </c>
      <c r="F406" s="637">
        <f>IFERROR(VLOOKUP($B406,'Afton FY16 Final'!$A$5:$BV$587,'Afton FY16 Final'!AS$587,0),0)</f>
        <v>78786.982657953267</v>
      </c>
      <c r="G406" s="637">
        <f>IFERROR(VLOOKUP($B406,'Afton FY16 Final'!$A$5:$BV$587,'Afton FY16 Final'!AT$587,0),0)</f>
        <v>64479.661176994705</v>
      </c>
      <c r="H406" s="638">
        <f>IFERROR(VLOOKUP($B406,'Afton FY16 Final'!$A$5:$BV$587,'Afton FY16 Final'!AU$587,0),0)</f>
        <v>438793.8641118363</v>
      </c>
      <c r="I406" s="639" t="str">
        <f>VLOOKUP($B406,'Afton Update'!$A$5:$CR$582,'Afton Update'!BT$589,0)</f>
        <v>Y</v>
      </c>
      <c r="J406" s="640" t="str">
        <f>VLOOKUP($B406,'Afton Update'!$A$5:$CR$582,'Afton Update'!BU$589,0)</f>
        <v>Y</v>
      </c>
      <c r="K406" s="640" t="str">
        <f>VLOOKUP($B406,'Afton Update'!$A$5:$CR$582,'Afton Update'!BV$589,0)</f>
        <v>Y</v>
      </c>
      <c r="L406" s="641" t="str">
        <f>VLOOKUP($B406,'Afton Update'!$A$5:$CR$582,'Afton Update'!BW$589,0)</f>
        <v>Y</v>
      </c>
      <c r="N406" s="642">
        <f>VLOOKUP($B406,'Afton Update'!$A$5:$CR$582,'Afton Update'!CB$589,0)</f>
        <v>0.9</v>
      </c>
      <c r="P406" s="636">
        <f>VLOOKUP($B406,'Afton Update'!$A$5:$CR$582,'Afton Update'!AH$589,0)</f>
        <v>200344.32048500481</v>
      </c>
      <c r="Q406" s="637">
        <f>VLOOKUP($B406,'Afton Update'!$A$5:$CR$582,'Afton Update'!AI$589,0)</f>
        <v>50275.934949066723</v>
      </c>
      <c r="R406" s="637">
        <f>VLOOKUP($B406,'Afton Update'!$A$5:$CR$582,'Afton Update'!AJ$589,0)</f>
        <v>66630.153781492772</v>
      </c>
      <c r="S406" s="637">
        <f>VLOOKUP($B406,'Afton Update'!$A$5:$CR$582,'Afton Update'!AK$589,0)</f>
        <v>54466.032416841415</v>
      </c>
      <c r="T406" s="643">
        <f t="shared" si="1307"/>
        <v>371716.44163240574</v>
      </c>
      <c r="V406" s="636">
        <f t="shared" si="1333"/>
        <v>213657.83691039844</v>
      </c>
      <c r="W406" s="637">
        <f t="shared" si="1334"/>
        <v>52316.661338801008</v>
      </c>
      <c r="X406" s="637">
        <f t="shared" si="1335"/>
        <v>70908.284392157948</v>
      </c>
      <c r="Y406" s="637">
        <f t="shared" si="1336"/>
        <v>58031.695059295234</v>
      </c>
      <c r="Z406" s="643">
        <f t="shared" si="1337"/>
        <v>394914.47770065261</v>
      </c>
      <c r="AB406" s="644">
        <f t="shared" si="1308"/>
        <v>200344.32048500481</v>
      </c>
      <c r="AC406" s="645">
        <f t="shared" si="1304"/>
        <v>213657.83691039844</v>
      </c>
      <c r="AD406" s="644">
        <f t="shared" si="1338"/>
        <v>13313.516425393638</v>
      </c>
      <c r="AE406" s="645">
        <f t="shared" si="1339"/>
        <v>0</v>
      </c>
      <c r="AF406" s="646">
        <f t="shared" si="1340"/>
        <v>0</v>
      </c>
      <c r="AG406" s="647">
        <f t="shared" si="1341"/>
        <v>213657.83691039844</v>
      </c>
      <c r="AH406" s="644">
        <f t="shared" si="1309"/>
        <v>0</v>
      </c>
      <c r="AI406" s="645">
        <f t="shared" si="1310"/>
        <v>0</v>
      </c>
      <c r="AJ406" s="646">
        <f t="shared" si="1342"/>
        <v>0</v>
      </c>
      <c r="AK406" s="647">
        <f t="shared" si="1311"/>
        <v>213657.83691039844</v>
      </c>
      <c r="AL406" s="644">
        <f t="shared" si="1343"/>
        <v>0</v>
      </c>
      <c r="AM406" s="645">
        <f t="shared" si="1344"/>
        <v>0</v>
      </c>
      <c r="AN406" s="646">
        <f t="shared" si="1345"/>
        <v>0</v>
      </c>
      <c r="AO406" s="647">
        <f t="shared" si="1312"/>
        <v>213657.83691039844</v>
      </c>
      <c r="AP406" s="644">
        <f t="shared" si="1346"/>
        <v>0</v>
      </c>
      <c r="AQ406" s="645">
        <f t="shared" si="1347"/>
        <v>0</v>
      </c>
      <c r="AR406" s="646">
        <f t="shared" si="1348"/>
        <v>0</v>
      </c>
      <c r="AS406" s="647">
        <f t="shared" si="1313"/>
        <v>213657.83691039844</v>
      </c>
      <c r="AT406" s="644">
        <f t="shared" si="1349"/>
        <v>0</v>
      </c>
      <c r="AU406" s="645">
        <f t="shared" si="1350"/>
        <v>0</v>
      </c>
      <c r="AV406" s="646">
        <f t="shared" si="1351"/>
        <v>0</v>
      </c>
      <c r="AW406" s="647">
        <f t="shared" si="1314"/>
        <v>213657.83691039844</v>
      </c>
      <c r="AY406" s="644">
        <f t="shared" si="1352"/>
        <v>50275.934949066723</v>
      </c>
      <c r="AZ406" s="645">
        <f t="shared" si="1282"/>
        <v>52316.661338801008</v>
      </c>
      <c r="BA406" s="644">
        <f t="shared" si="1353"/>
        <v>2040.7263897342855</v>
      </c>
      <c r="BB406" s="645">
        <f t="shared" si="1354"/>
        <v>0</v>
      </c>
      <c r="BC406" s="646">
        <f t="shared" si="1355"/>
        <v>0</v>
      </c>
      <c r="BD406" s="647">
        <f t="shared" si="1356"/>
        <v>52316.661338801008</v>
      </c>
      <c r="BE406" s="644">
        <f t="shared" si="1315"/>
        <v>0</v>
      </c>
      <c r="BF406" s="645">
        <f t="shared" si="1316"/>
        <v>0</v>
      </c>
      <c r="BG406" s="646">
        <f t="shared" si="1357"/>
        <v>0</v>
      </c>
      <c r="BH406" s="647">
        <f t="shared" si="1317"/>
        <v>52316.661338801008</v>
      </c>
      <c r="BI406" s="644">
        <f t="shared" si="1358"/>
        <v>0</v>
      </c>
      <c r="BJ406" s="645">
        <f t="shared" si="1359"/>
        <v>0</v>
      </c>
      <c r="BK406" s="646">
        <f t="shared" si="1360"/>
        <v>0</v>
      </c>
      <c r="BL406" s="647">
        <f t="shared" si="1318"/>
        <v>52316.661338801008</v>
      </c>
      <c r="BM406" s="644">
        <f t="shared" si="1361"/>
        <v>0</v>
      </c>
      <c r="BN406" s="645">
        <f t="shared" si="1362"/>
        <v>0</v>
      </c>
      <c r="BO406" s="646">
        <f t="shared" si="1363"/>
        <v>0</v>
      </c>
      <c r="BP406" s="647">
        <f t="shared" si="1319"/>
        <v>52316.661338801008</v>
      </c>
      <c r="BQ406" s="644">
        <f t="shared" si="1364"/>
        <v>0</v>
      </c>
      <c r="BR406" s="645">
        <f t="shared" si="1365"/>
        <v>0</v>
      </c>
      <c r="BS406" s="646">
        <f t="shared" si="1366"/>
        <v>0</v>
      </c>
      <c r="BT406" s="647">
        <f t="shared" si="1320"/>
        <v>52316.661338801008</v>
      </c>
      <c r="BU406" s="662">
        <f>VLOOKUP(B406,'Afton Update'!$A$5:$AR$582,'Afton Update'!$AO$589,0)-BT406</f>
        <v>0</v>
      </c>
      <c r="BV406" s="644">
        <f t="shared" si="1367"/>
        <v>66630.153781492772</v>
      </c>
      <c r="BW406" s="645">
        <f t="shared" si="1305"/>
        <v>70908.284392157948</v>
      </c>
      <c r="BX406" s="644">
        <f t="shared" si="1368"/>
        <v>4278.1306106651755</v>
      </c>
      <c r="BY406" s="645">
        <f t="shared" si="1369"/>
        <v>0</v>
      </c>
      <c r="BZ406" s="646">
        <f t="shared" si="1370"/>
        <v>0</v>
      </c>
      <c r="CA406" s="647">
        <f t="shared" si="1371"/>
        <v>70908.284392157948</v>
      </c>
      <c r="CB406" s="644">
        <f t="shared" si="1321"/>
        <v>0</v>
      </c>
      <c r="CC406" s="645">
        <f t="shared" si="1322"/>
        <v>0</v>
      </c>
      <c r="CD406" s="646">
        <f t="shared" si="1372"/>
        <v>0</v>
      </c>
      <c r="CE406" s="647">
        <f t="shared" si="1323"/>
        <v>70908.284392157948</v>
      </c>
      <c r="CF406" s="644">
        <f t="shared" si="1373"/>
        <v>0</v>
      </c>
      <c r="CG406" s="645">
        <f t="shared" si="1374"/>
        <v>0</v>
      </c>
      <c r="CH406" s="646">
        <f t="shared" si="1375"/>
        <v>0</v>
      </c>
      <c r="CI406" s="647">
        <f t="shared" si="1324"/>
        <v>70908.284392157948</v>
      </c>
      <c r="CJ406" s="644">
        <f t="shared" si="1376"/>
        <v>0</v>
      </c>
      <c r="CK406" s="645">
        <f t="shared" si="1377"/>
        <v>0</v>
      </c>
      <c r="CL406" s="646">
        <f t="shared" si="1378"/>
        <v>0</v>
      </c>
      <c r="CM406" s="647">
        <f t="shared" si="1325"/>
        <v>70908.284392157948</v>
      </c>
      <c r="CN406" s="644">
        <f t="shared" si="1379"/>
        <v>0</v>
      </c>
      <c r="CO406" s="645">
        <f t="shared" si="1380"/>
        <v>0</v>
      </c>
      <c r="CP406" s="646">
        <f t="shared" si="1381"/>
        <v>0</v>
      </c>
      <c r="CQ406" s="647">
        <f t="shared" si="1326"/>
        <v>70908.284392157948</v>
      </c>
      <c r="CS406" s="644">
        <f t="shared" si="1382"/>
        <v>54466.032416841415</v>
      </c>
      <c r="CT406" s="645">
        <f t="shared" si="1306"/>
        <v>58031.695059295234</v>
      </c>
      <c r="CU406" s="644">
        <f t="shared" si="1383"/>
        <v>3565.662642453819</v>
      </c>
      <c r="CV406" s="645">
        <f t="shared" si="1384"/>
        <v>0</v>
      </c>
      <c r="CW406" s="646">
        <f t="shared" si="1385"/>
        <v>0</v>
      </c>
      <c r="CX406" s="647">
        <f t="shared" si="1386"/>
        <v>58031.695059295234</v>
      </c>
      <c r="CY406" s="644">
        <f t="shared" si="1327"/>
        <v>0</v>
      </c>
      <c r="CZ406" s="645">
        <f t="shared" si="1328"/>
        <v>0</v>
      </c>
      <c r="DA406" s="646">
        <f t="shared" si="1387"/>
        <v>0</v>
      </c>
      <c r="DB406" s="647">
        <f t="shared" si="1329"/>
        <v>58031.695059295234</v>
      </c>
      <c r="DC406" s="644">
        <f t="shared" si="1388"/>
        <v>0</v>
      </c>
      <c r="DD406" s="645">
        <f t="shared" si="1389"/>
        <v>0</v>
      </c>
      <c r="DE406" s="646">
        <f t="shared" si="1390"/>
        <v>0</v>
      </c>
      <c r="DF406" s="647">
        <f t="shared" si="1330"/>
        <v>58031.695059295234</v>
      </c>
      <c r="DG406" s="644">
        <f t="shared" si="1391"/>
        <v>0</v>
      </c>
      <c r="DH406" s="645">
        <f t="shared" si="1392"/>
        <v>0</v>
      </c>
      <c r="DI406" s="646">
        <f t="shared" si="1393"/>
        <v>0</v>
      </c>
      <c r="DJ406" s="647">
        <f t="shared" si="1331"/>
        <v>58031.695059295234</v>
      </c>
      <c r="DK406" s="644">
        <f t="shared" si="1394"/>
        <v>0</v>
      </c>
      <c r="DL406" s="645">
        <f t="shared" si="1395"/>
        <v>0</v>
      </c>
      <c r="DM406" s="646">
        <f t="shared" si="1396"/>
        <v>0</v>
      </c>
      <c r="DN406" s="647">
        <f t="shared" si="1332"/>
        <v>58031.695059295234</v>
      </c>
      <c r="DR406" s="827">
        <f t="shared" si="1283"/>
        <v>394914.47770065261</v>
      </c>
      <c r="DV406" s="828">
        <f>IFERROR(VLOOKUP($B406,'Afton FY16 Final'!$A$5:$BV$587,'Afton FY16 Final'!$BV$587,0),0)</f>
        <v>430154.01300014235</v>
      </c>
      <c r="DX406" s="636">
        <f t="shared" si="1274"/>
        <v>0</v>
      </c>
      <c r="DY406" s="637">
        <f t="shared" si="1275"/>
        <v>0</v>
      </c>
      <c r="DZ406" s="637">
        <f t="shared" si="1276"/>
        <v>0</v>
      </c>
      <c r="EA406" s="643">
        <f t="shared" si="1277"/>
        <v>0</v>
      </c>
      <c r="EB406" s="637">
        <f t="shared" si="1284"/>
        <v>0</v>
      </c>
      <c r="EC406" s="637">
        <f t="shared" si="1285"/>
        <v>0</v>
      </c>
      <c r="ED406" s="637">
        <f t="shared" si="1286"/>
        <v>0</v>
      </c>
      <c r="EE406" s="643">
        <f t="shared" si="1287"/>
        <v>0</v>
      </c>
      <c r="EF406" s="637">
        <f t="shared" si="1288"/>
        <v>0</v>
      </c>
      <c r="EG406" s="637">
        <f t="shared" si="1289"/>
        <v>0</v>
      </c>
      <c r="EH406" s="637">
        <f t="shared" si="1290"/>
        <v>0</v>
      </c>
      <c r="EI406" s="643">
        <f t="shared" si="1291"/>
        <v>0</v>
      </c>
      <c r="EJ406" s="637">
        <f t="shared" si="1292"/>
        <v>0</v>
      </c>
      <c r="EK406" s="637">
        <f t="shared" si="1293"/>
        <v>0</v>
      </c>
      <c r="EL406" s="637">
        <f t="shared" si="1294"/>
        <v>0</v>
      </c>
      <c r="EM406" s="643">
        <f t="shared" si="1295"/>
        <v>0</v>
      </c>
      <c r="EN406" s="637">
        <f t="shared" si="1296"/>
        <v>0</v>
      </c>
      <c r="EO406" s="637">
        <f t="shared" si="1297"/>
        <v>0</v>
      </c>
      <c r="EP406" s="637">
        <f t="shared" si="1298"/>
        <v>0</v>
      </c>
      <c r="EQ406" s="643">
        <f t="shared" si="1299"/>
        <v>0</v>
      </c>
      <c r="ER406" s="637">
        <f t="shared" si="1300"/>
        <v>0</v>
      </c>
      <c r="ES406" s="637">
        <f t="shared" si="1301"/>
        <v>0</v>
      </c>
      <c r="ET406" s="637">
        <f t="shared" si="1302"/>
        <v>0</v>
      </c>
      <c r="EU406" s="643">
        <f t="shared" si="1278"/>
        <v>0</v>
      </c>
      <c r="EV406" s="643">
        <f t="shared" si="1279"/>
        <v>0</v>
      </c>
      <c r="EX406" s="829">
        <f t="shared" si="1280"/>
        <v>0</v>
      </c>
      <c r="EY406" s="638">
        <f t="shared" si="1281"/>
        <v>394914.47770065261</v>
      </c>
      <c r="FC406" s="830" t="str">
        <f t="shared" si="1303"/>
        <v>Y</v>
      </c>
      <c r="FE406" s="830" t="str">
        <f>IFERROR(VLOOKUP($B406,'Historical Conc Grant Elig'!$B$3:$J$707,'HH &amp; SI'!FE$2,0),"N")</f>
        <v>Y</v>
      </c>
      <c r="FF406" s="830" t="str">
        <f>IFERROR(VLOOKUP($B406,'Historical Conc Grant Elig'!$B$3:$J$707,'HH &amp; SI'!FF$2,0),"N")</f>
        <v>Y</v>
      </c>
      <c r="FG406" s="830" t="str">
        <f>IFERROR(VLOOKUP($B406,'Historical Conc Grant Elig'!$B$3:$J$707,'HH &amp; SI'!FG$2,0),"N")</f>
        <v>Y</v>
      </c>
      <c r="FH406" s="830" t="str">
        <f>IFERROR(VLOOKUP($B406,'Historical Conc Grant Elig'!$B$3:$J$707,'HH &amp; SI'!FH$2,0),"N")</f>
        <v>Y</v>
      </c>
      <c r="FI406" s="830" t="str">
        <f>IFERROR(VLOOKUP($B406,'Historical Conc Grant Elig'!$B$3:$J$707,'HH &amp; SI'!FI$2,0),"N")</f>
        <v>Y</v>
      </c>
      <c r="FJ406" s="830" t="str">
        <f>IFERROR(VLOOKUP($B406,'Historical Conc Grant Elig'!$B$3:$J$707,'HH &amp; SI'!FJ$2,0),"N")</f>
        <v>Y</v>
      </c>
      <c r="FK406" s="830" t="str">
        <f>IFERROR(VLOOKUP($B406,'Historical Conc Grant Elig'!$B$3:$J$707,'HH &amp; SI'!FK$2,0),"N")</f>
        <v>Y</v>
      </c>
      <c r="FL406" s="957" t="str">
        <f>IFERROR(VLOOKUP($B406,'Historical Conc Grant Elig'!$B$3:$J$707,'HH &amp; SI'!FL$2,0),"N")</f>
        <v>Y</v>
      </c>
    </row>
    <row r="407" spans="2:168" x14ac:dyDescent="0.25">
      <c r="B407" s="634">
        <v>110215000</v>
      </c>
      <c r="C407" s="635" t="str">
        <f>VLOOKUP($B407,'Afton Update'!$A$5:$CR$582,'Afton Update'!D$589,0)</f>
        <v>Superior Unified School District</v>
      </c>
      <c r="D407" s="636">
        <f>IFERROR(VLOOKUP($B407,'Afton FY16 Final'!$A$5:$BV$587,'Afton FY16 Final'!AQ$587,0),0)</f>
        <v>130405.15133952595</v>
      </c>
      <c r="E407" s="637">
        <f>IFERROR(VLOOKUP($B407,'Afton FY16 Final'!$A$5:$BV$587,'Afton FY16 Final'!AR$587,0),0)</f>
        <v>31926.645185959631</v>
      </c>
      <c r="F407" s="637">
        <f>IFERROR(VLOOKUP($B407,'Afton FY16 Final'!$A$5:$BV$587,'Afton FY16 Final'!AS$587,0),0)</f>
        <v>51229.872925451717</v>
      </c>
      <c r="G407" s="637">
        <f>IFERROR(VLOOKUP($B407,'Afton FY16 Final'!$A$5:$BV$587,'Afton FY16 Final'!AT$587,0),0)</f>
        <v>45240.235969188579</v>
      </c>
      <c r="H407" s="638">
        <f>IFERROR(VLOOKUP($B407,'Afton FY16 Final'!$A$5:$BV$587,'Afton FY16 Final'!AU$587,0),0)</f>
        <v>258801.90542012587</v>
      </c>
      <c r="I407" s="639" t="str">
        <f>VLOOKUP($B407,'Afton Update'!$A$5:$CR$582,'Afton Update'!BT$589,0)</f>
        <v>Y</v>
      </c>
      <c r="J407" s="640" t="str">
        <f>VLOOKUP($B407,'Afton Update'!$A$5:$CR$582,'Afton Update'!BU$589,0)</f>
        <v>Y</v>
      </c>
      <c r="K407" s="640" t="str">
        <f>VLOOKUP($B407,'Afton Update'!$A$5:$CR$582,'Afton Update'!BV$589,0)</f>
        <v>Y</v>
      </c>
      <c r="L407" s="641" t="str">
        <f>VLOOKUP($B407,'Afton Update'!$A$5:$CR$582,'Afton Update'!BW$589,0)</f>
        <v>Y</v>
      </c>
      <c r="N407" s="642">
        <f>VLOOKUP($B407,'Afton Update'!$A$5:$CR$582,'Afton Update'!CB$589,0)</f>
        <v>0.9</v>
      </c>
      <c r="P407" s="636">
        <f>VLOOKUP($B407,'Afton Update'!$A$5:$CR$582,'Afton Update'!AH$589,0)</f>
        <v>110061.47036298613</v>
      </c>
      <c r="Q407" s="637">
        <f>VLOOKUP($B407,'Afton Update'!$A$5:$CR$582,'Afton Update'!AI$589,0)</f>
        <v>28256.330049149063</v>
      </c>
      <c r="R407" s="637">
        <f>VLOOKUP($B407,'Afton Update'!$A$5:$CR$582,'Afton Update'!AJ$589,0)</f>
        <v>43334.17023815924</v>
      </c>
      <c r="S407" s="637">
        <f>VLOOKUP($B407,'Afton Update'!$A$5:$CR$582,'Afton Update'!AK$589,0)</f>
        <v>38219.948641672818</v>
      </c>
      <c r="T407" s="643">
        <f t="shared" si="1307"/>
        <v>219871.91929196726</v>
      </c>
      <c r="V407" s="636">
        <f t="shared" si="1333"/>
        <v>117364.63620557336</v>
      </c>
      <c r="W407" s="637">
        <f t="shared" si="1334"/>
        <v>28733.980667363667</v>
      </c>
      <c r="X407" s="637">
        <f t="shared" si="1335"/>
        <v>46106.885632906546</v>
      </c>
      <c r="Y407" s="637">
        <f t="shared" si="1336"/>
        <v>40716.212372269722</v>
      </c>
      <c r="Z407" s="643">
        <f t="shared" si="1337"/>
        <v>232921.7148781133</v>
      </c>
      <c r="AB407" s="644">
        <f t="shared" si="1308"/>
        <v>110061.47036298613</v>
      </c>
      <c r="AC407" s="645">
        <f t="shared" si="1304"/>
        <v>117364.63620557336</v>
      </c>
      <c r="AD407" s="644">
        <f t="shared" si="1338"/>
        <v>7303.1658425872301</v>
      </c>
      <c r="AE407" s="645">
        <f t="shared" si="1339"/>
        <v>0</v>
      </c>
      <c r="AF407" s="646">
        <f t="shared" si="1340"/>
        <v>0</v>
      </c>
      <c r="AG407" s="647">
        <f t="shared" si="1341"/>
        <v>117364.63620557336</v>
      </c>
      <c r="AH407" s="644">
        <f t="shared" si="1309"/>
        <v>0</v>
      </c>
      <c r="AI407" s="645">
        <f t="shared" si="1310"/>
        <v>0</v>
      </c>
      <c r="AJ407" s="646">
        <f t="shared" si="1342"/>
        <v>0</v>
      </c>
      <c r="AK407" s="647">
        <f t="shared" si="1311"/>
        <v>117364.63620557336</v>
      </c>
      <c r="AL407" s="644">
        <f t="shared" si="1343"/>
        <v>0</v>
      </c>
      <c r="AM407" s="645">
        <f t="shared" si="1344"/>
        <v>0</v>
      </c>
      <c r="AN407" s="646">
        <f t="shared" si="1345"/>
        <v>0</v>
      </c>
      <c r="AO407" s="647">
        <f t="shared" si="1312"/>
        <v>117364.63620557336</v>
      </c>
      <c r="AP407" s="644">
        <f t="shared" si="1346"/>
        <v>0</v>
      </c>
      <c r="AQ407" s="645">
        <f t="shared" si="1347"/>
        <v>0</v>
      </c>
      <c r="AR407" s="646">
        <f t="shared" si="1348"/>
        <v>0</v>
      </c>
      <c r="AS407" s="647">
        <f t="shared" si="1313"/>
        <v>117364.63620557336</v>
      </c>
      <c r="AT407" s="644">
        <f t="shared" si="1349"/>
        <v>0</v>
      </c>
      <c r="AU407" s="645">
        <f t="shared" si="1350"/>
        <v>0</v>
      </c>
      <c r="AV407" s="646">
        <f t="shared" si="1351"/>
        <v>0</v>
      </c>
      <c r="AW407" s="647">
        <f t="shared" si="1314"/>
        <v>117364.63620557336</v>
      </c>
      <c r="AY407" s="644">
        <f t="shared" si="1352"/>
        <v>28256.330049149063</v>
      </c>
      <c r="AZ407" s="645">
        <f t="shared" si="1282"/>
        <v>28733.980667363667</v>
      </c>
      <c r="BA407" s="644">
        <f t="shared" si="1353"/>
        <v>477.65061821460404</v>
      </c>
      <c r="BB407" s="645">
        <f t="shared" si="1354"/>
        <v>0</v>
      </c>
      <c r="BC407" s="646">
        <f t="shared" si="1355"/>
        <v>0</v>
      </c>
      <c r="BD407" s="647">
        <f t="shared" si="1356"/>
        <v>28733.980667363667</v>
      </c>
      <c r="BE407" s="644">
        <f t="shared" si="1315"/>
        <v>0</v>
      </c>
      <c r="BF407" s="645">
        <f t="shared" si="1316"/>
        <v>0</v>
      </c>
      <c r="BG407" s="646">
        <f t="shared" si="1357"/>
        <v>0</v>
      </c>
      <c r="BH407" s="647">
        <f t="shared" si="1317"/>
        <v>28733.980667363667</v>
      </c>
      <c r="BI407" s="644">
        <f t="shared" si="1358"/>
        <v>0</v>
      </c>
      <c r="BJ407" s="645">
        <f t="shared" si="1359"/>
        <v>0</v>
      </c>
      <c r="BK407" s="646">
        <f t="shared" si="1360"/>
        <v>0</v>
      </c>
      <c r="BL407" s="647">
        <f t="shared" si="1318"/>
        <v>28733.980667363667</v>
      </c>
      <c r="BM407" s="644">
        <f t="shared" si="1361"/>
        <v>0</v>
      </c>
      <c r="BN407" s="645">
        <f t="shared" si="1362"/>
        <v>0</v>
      </c>
      <c r="BO407" s="646">
        <f t="shared" si="1363"/>
        <v>0</v>
      </c>
      <c r="BP407" s="647">
        <f t="shared" si="1319"/>
        <v>28733.980667363667</v>
      </c>
      <c r="BQ407" s="644">
        <f t="shared" si="1364"/>
        <v>0</v>
      </c>
      <c r="BR407" s="645">
        <f t="shared" si="1365"/>
        <v>0</v>
      </c>
      <c r="BS407" s="646">
        <f t="shared" si="1366"/>
        <v>0</v>
      </c>
      <c r="BT407" s="647">
        <f t="shared" si="1320"/>
        <v>28733.980667363667</v>
      </c>
      <c r="BU407" s="662">
        <f>VLOOKUP(B407,'Afton Update'!$A$5:$AR$582,'Afton Update'!$AO$589,0)-BT407</f>
        <v>0</v>
      </c>
      <c r="BV407" s="644">
        <f t="shared" si="1367"/>
        <v>43334.17023815924</v>
      </c>
      <c r="BW407" s="645">
        <f t="shared" si="1305"/>
        <v>46106.885632906546</v>
      </c>
      <c r="BX407" s="644">
        <f t="shared" si="1368"/>
        <v>2772.7153947473053</v>
      </c>
      <c r="BY407" s="645">
        <f t="shared" si="1369"/>
        <v>0</v>
      </c>
      <c r="BZ407" s="646">
        <f t="shared" si="1370"/>
        <v>0</v>
      </c>
      <c r="CA407" s="647">
        <f t="shared" si="1371"/>
        <v>46106.885632906546</v>
      </c>
      <c r="CB407" s="644">
        <f t="shared" si="1321"/>
        <v>0</v>
      </c>
      <c r="CC407" s="645">
        <f t="shared" si="1322"/>
        <v>0</v>
      </c>
      <c r="CD407" s="646">
        <f t="shared" si="1372"/>
        <v>0</v>
      </c>
      <c r="CE407" s="647">
        <f t="shared" si="1323"/>
        <v>46106.885632906546</v>
      </c>
      <c r="CF407" s="644">
        <f t="shared" si="1373"/>
        <v>0</v>
      </c>
      <c r="CG407" s="645">
        <f t="shared" si="1374"/>
        <v>0</v>
      </c>
      <c r="CH407" s="646">
        <f t="shared" si="1375"/>
        <v>0</v>
      </c>
      <c r="CI407" s="647">
        <f t="shared" si="1324"/>
        <v>46106.885632906546</v>
      </c>
      <c r="CJ407" s="644">
        <f t="shared" si="1376"/>
        <v>0</v>
      </c>
      <c r="CK407" s="645">
        <f t="shared" si="1377"/>
        <v>0</v>
      </c>
      <c r="CL407" s="646">
        <f t="shared" si="1378"/>
        <v>0</v>
      </c>
      <c r="CM407" s="647">
        <f t="shared" si="1325"/>
        <v>46106.885632906546</v>
      </c>
      <c r="CN407" s="644">
        <f t="shared" si="1379"/>
        <v>0</v>
      </c>
      <c r="CO407" s="645">
        <f t="shared" si="1380"/>
        <v>0</v>
      </c>
      <c r="CP407" s="646">
        <f t="shared" si="1381"/>
        <v>0</v>
      </c>
      <c r="CQ407" s="647">
        <f t="shared" si="1326"/>
        <v>46106.885632906546</v>
      </c>
      <c r="CS407" s="644">
        <f t="shared" si="1382"/>
        <v>38219.948641672818</v>
      </c>
      <c r="CT407" s="645">
        <f t="shared" si="1306"/>
        <v>40716.212372269722</v>
      </c>
      <c r="CU407" s="644">
        <f t="shared" si="1383"/>
        <v>2496.2637305969038</v>
      </c>
      <c r="CV407" s="645">
        <f t="shared" si="1384"/>
        <v>0</v>
      </c>
      <c r="CW407" s="646">
        <f t="shared" si="1385"/>
        <v>0</v>
      </c>
      <c r="CX407" s="647">
        <f t="shared" si="1386"/>
        <v>40716.212372269722</v>
      </c>
      <c r="CY407" s="644">
        <f t="shared" si="1327"/>
        <v>0</v>
      </c>
      <c r="CZ407" s="645">
        <f t="shared" si="1328"/>
        <v>0</v>
      </c>
      <c r="DA407" s="646">
        <f t="shared" si="1387"/>
        <v>0</v>
      </c>
      <c r="DB407" s="647">
        <f t="shared" si="1329"/>
        <v>40716.212372269722</v>
      </c>
      <c r="DC407" s="644">
        <f t="shared" si="1388"/>
        <v>0</v>
      </c>
      <c r="DD407" s="645">
        <f t="shared" si="1389"/>
        <v>0</v>
      </c>
      <c r="DE407" s="646">
        <f t="shared" si="1390"/>
        <v>0</v>
      </c>
      <c r="DF407" s="647">
        <f t="shared" si="1330"/>
        <v>40716.212372269722</v>
      </c>
      <c r="DG407" s="644">
        <f t="shared" si="1391"/>
        <v>0</v>
      </c>
      <c r="DH407" s="645">
        <f t="shared" si="1392"/>
        <v>0</v>
      </c>
      <c r="DI407" s="646">
        <f t="shared" si="1393"/>
        <v>0</v>
      </c>
      <c r="DJ407" s="647">
        <f t="shared" si="1331"/>
        <v>40716.212372269722</v>
      </c>
      <c r="DK407" s="644">
        <f t="shared" si="1394"/>
        <v>0</v>
      </c>
      <c r="DL407" s="645">
        <f t="shared" si="1395"/>
        <v>0</v>
      </c>
      <c r="DM407" s="646">
        <f t="shared" si="1396"/>
        <v>0</v>
      </c>
      <c r="DN407" s="647">
        <f t="shared" si="1332"/>
        <v>40716.212372269722</v>
      </c>
      <c r="DR407" s="827">
        <f t="shared" si="1283"/>
        <v>232921.7148781133</v>
      </c>
      <c r="DV407" s="828">
        <f>IFERROR(VLOOKUP($B407,'Afton FY16 Final'!$A$5:$BV$587,'Afton FY16 Final'!$BV$587,0),0)</f>
        <v>253706.09594526346</v>
      </c>
      <c r="DX407" s="636">
        <f t="shared" si="1274"/>
        <v>0</v>
      </c>
      <c r="DY407" s="637">
        <f t="shared" si="1275"/>
        <v>0</v>
      </c>
      <c r="DZ407" s="637">
        <f t="shared" si="1276"/>
        <v>0</v>
      </c>
      <c r="EA407" s="643">
        <f t="shared" si="1277"/>
        <v>0</v>
      </c>
      <c r="EB407" s="637">
        <f t="shared" si="1284"/>
        <v>0</v>
      </c>
      <c r="EC407" s="637">
        <f t="shared" si="1285"/>
        <v>0</v>
      </c>
      <c r="ED407" s="637">
        <f t="shared" si="1286"/>
        <v>0</v>
      </c>
      <c r="EE407" s="643">
        <f t="shared" si="1287"/>
        <v>0</v>
      </c>
      <c r="EF407" s="637">
        <f t="shared" si="1288"/>
        <v>0</v>
      </c>
      <c r="EG407" s="637">
        <f t="shared" si="1289"/>
        <v>0</v>
      </c>
      <c r="EH407" s="637">
        <f t="shared" si="1290"/>
        <v>0</v>
      </c>
      <c r="EI407" s="643">
        <f t="shared" si="1291"/>
        <v>0</v>
      </c>
      <c r="EJ407" s="637">
        <f t="shared" si="1292"/>
        <v>0</v>
      </c>
      <c r="EK407" s="637">
        <f t="shared" si="1293"/>
        <v>0</v>
      </c>
      <c r="EL407" s="637">
        <f t="shared" si="1294"/>
        <v>0</v>
      </c>
      <c r="EM407" s="643">
        <f t="shared" si="1295"/>
        <v>0</v>
      </c>
      <c r="EN407" s="637">
        <f t="shared" si="1296"/>
        <v>0</v>
      </c>
      <c r="EO407" s="637">
        <f t="shared" si="1297"/>
        <v>0</v>
      </c>
      <c r="EP407" s="637">
        <f t="shared" si="1298"/>
        <v>0</v>
      </c>
      <c r="EQ407" s="643">
        <f t="shared" si="1299"/>
        <v>0</v>
      </c>
      <c r="ER407" s="637">
        <f t="shared" si="1300"/>
        <v>0</v>
      </c>
      <c r="ES407" s="637">
        <f t="shared" si="1301"/>
        <v>0</v>
      </c>
      <c r="ET407" s="637">
        <f t="shared" si="1302"/>
        <v>0</v>
      </c>
      <c r="EU407" s="643">
        <f t="shared" si="1278"/>
        <v>0</v>
      </c>
      <c r="EV407" s="643">
        <f t="shared" si="1279"/>
        <v>0</v>
      </c>
      <c r="EX407" s="829">
        <f t="shared" si="1280"/>
        <v>0</v>
      </c>
      <c r="EY407" s="638">
        <f t="shared" si="1281"/>
        <v>232921.7148781133</v>
      </c>
      <c r="FC407" s="830" t="str">
        <f t="shared" si="1303"/>
        <v>Y</v>
      </c>
      <c r="FE407" s="830" t="str">
        <f>IFERROR(VLOOKUP($B407,'Historical Conc Grant Elig'!$B$3:$J$707,'HH &amp; SI'!FE$2,0),"N")</f>
        <v>Y</v>
      </c>
      <c r="FF407" s="830" t="str">
        <f>IFERROR(VLOOKUP($B407,'Historical Conc Grant Elig'!$B$3:$J$707,'HH &amp; SI'!FF$2,0),"N")</f>
        <v>Y</v>
      </c>
      <c r="FG407" s="830" t="str">
        <f>IFERROR(VLOOKUP($B407,'Historical Conc Grant Elig'!$B$3:$J$707,'HH &amp; SI'!FG$2,0),"N")</f>
        <v>Y</v>
      </c>
      <c r="FH407" s="830" t="str">
        <f>IFERROR(VLOOKUP($B407,'Historical Conc Grant Elig'!$B$3:$J$707,'HH &amp; SI'!FH$2,0),"N")</f>
        <v>Y</v>
      </c>
      <c r="FI407" s="830" t="str">
        <f>IFERROR(VLOOKUP($B407,'Historical Conc Grant Elig'!$B$3:$J$707,'HH &amp; SI'!FI$2,0),"N")</f>
        <v>Y</v>
      </c>
      <c r="FJ407" s="830" t="str">
        <f>IFERROR(VLOOKUP($B407,'Historical Conc Grant Elig'!$B$3:$J$707,'HH &amp; SI'!FJ$2,0),"N")</f>
        <v>Y</v>
      </c>
      <c r="FK407" s="830" t="str">
        <f>IFERROR(VLOOKUP($B407,'Historical Conc Grant Elig'!$B$3:$J$707,'HH &amp; SI'!FK$2,0),"N")</f>
        <v>Y</v>
      </c>
      <c r="FL407" s="957" t="str">
        <f>IFERROR(VLOOKUP($B407,'Historical Conc Grant Elig'!$B$3:$J$707,'HH &amp; SI'!FL$2,0),"N")</f>
        <v>Y</v>
      </c>
    </row>
    <row r="408" spans="2:168" x14ac:dyDescent="0.25">
      <c r="B408" s="634">
        <v>110220000</v>
      </c>
      <c r="C408" s="635" t="str">
        <f>VLOOKUP($B408,'Afton Update'!$A$5:$CR$582,'Afton Update'!D$589,0)</f>
        <v>Maricopa Unified School District</v>
      </c>
      <c r="D408" s="636">
        <f>IFERROR(VLOOKUP($B408,'Afton FY16 Final'!$A$5:$BV$587,'Afton FY16 Final'!AQ$587,0),0)</f>
        <v>676256.61713675736</v>
      </c>
      <c r="E408" s="637">
        <f>IFERROR(VLOOKUP($B408,'Afton FY16 Final'!$A$5:$BV$587,'Afton FY16 Final'!AR$587,0),0)</f>
        <v>0</v>
      </c>
      <c r="F408" s="637">
        <f>IFERROR(VLOOKUP($B408,'Afton FY16 Final'!$A$5:$BV$587,'Afton FY16 Final'!AS$587,0),0)</f>
        <v>238983.01414336282</v>
      </c>
      <c r="G408" s="637">
        <f>IFERROR(VLOOKUP($B408,'Afton FY16 Final'!$A$5:$BV$587,'Afton FY16 Final'!AT$587,0),0)</f>
        <v>161311.25208514763</v>
      </c>
      <c r="H408" s="638">
        <f>IFERROR(VLOOKUP($B408,'Afton FY16 Final'!$A$5:$BV$587,'Afton FY16 Final'!AU$587,0),0)</f>
        <v>1076550.8833652679</v>
      </c>
      <c r="I408" s="639" t="str">
        <f>VLOOKUP($B408,'Afton Update'!$A$5:$CR$582,'Afton Update'!BT$589,0)</f>
        <v>Y</v>
      </c>
      <c r="J408" s="640" t="str">
        <f>VLOOKUP($B408,'Afton Update'!$A$5:$CR$582,'Afton Update'!BU$589,0)</f>
        <v>Y</v>
      </c>
      <c r="K408" s="640" t="str">
        <f>VLOOKUP($B408,'Afton Update'!$A$5:$CR$582,'Afton Update'!BV$589,0)</f>
        <v>Y</v>
      </c>
      <c r="L408" s="641" t="str">
        <f>VLOOKUP($B408,'Afton Update'!$A$5:$CR$582,'Afton Update'!BW$589,0)</f>
        <v>Y</v>
      </c>
      <c r="N408" s="642">
        <f>VLOOKUP($B408,'Afton Update'!$A$5:$CR$582,'Afton Update'!CB$589,0)</f>
        <v>0.9</v>
      </c>
      <c r="P408" s="636">
        <f>VLOOKUP($B408,'Afton Update'!$A$5:$CR$582,'Afton Update'!AH$589,0)</f>
        <v>719994.99355288374</v>
      </c>
      <c r="Q408" s="637">
        <f>VLOOKUP($B408,'Afton Update'!$A$5:$CR$582,'Afton Update'!AI$589,0)</f>
        <v>172922.19612979729</v>
      </c>
      <c r="R408" s="637">
        <f>VLOOKUP($B408,'Afton Update'!$A$5:$CR$582,'Afton Update'!AJ$589,0)</f>
        <v>281593.66007850756</v>
      </c>
      <c r="S408" s="637">
        <f>VLOOKUP($B408,'Afton Update'!$A$5:$CR$582,'Afton Update'!AK$589,0)</f>
        <v>218454.15602248529</v>
      </c>
      <c r="T408" s="643">
        <f t="shared" si="1307"/>
        <v>1392965.0057836738</v>
      </c>
      <c r="V408" s="636">
        <f t="shared" si="1333"/>
        <v>710173.79451823421</v>
      </c>
      <c r="W408" s="637">
        <f t="shared" si="1334"/>
        <v>167226.77120930344</v>
      </c>
      <c r="X408" s="637">
        <f t="shared" si="1335"/>
        <v>279032.6756841811</v>
      </c>
      <c r="Y408" s="637">
        <f t="shared" si="1336"/>
        <v>216047.1844606855</v>
      </c>
      <c r="Z408" s="643">
        <f t="shared" si="1337"/>
        <v>1372480.4258724044</v>
      </c>
      <c r="AB408" s="644">
        <f t="shared" si="1308"/>
        <v>719994.99355288374</v>
      </c>
      <c r="AC408" s="645">
        <f t="shared" si="1304"/>
        <v>608630.95542308164</v>
      </c>
      <c r="AD408" s="644">
        <f t="shared" si="1338"/>
        <v>0</v>
      </c>
      <c r="AE408" s="645">
        <f t="shared" si="1339"/>
        <v>719994.99355288374</v>
      </c>
      <c r="AF408" s="646">
        <f t="shared" si="1340"/>
        <v>-8924.8790069228489</v>
      </c>
      <c r="AG408" s="647">
        <f t="shared" si="1341"/>
        <v>711070.11454596091</v>
      </c>
      <c r="AH408" s="644">
        <f t="shared" si="1309"/>
        <v>0</v>
      </c>
      <c r="AI408" s="645">
        <f t="shared" si="1310"/>
        <v>711070.11454596091</v>
      </c>
      <c r="AJ408" s="646">
        <f t="shared" si="1342"/>
        <v>-895.74898499008464</v>
      </c>
      <c r="AK408" s="647">
        <f t="shared" si="1311"/>
        <v>710174.36556097085</v>
      </c>
      <c r="AL408" s="644">
        <f t="shared" si="1343"/>
        <v>0</v>
      </c>
      <c r="AM408" s="645">
        <f t="shared" si="1344"/>
        <v>710174.36556097085</v>
      </c>
      <c r="AN408" s="646">
        <f t="shared" si="1345"/>
        <v>-0.57104273668309158</v>
      </c>
      <c r="AO408" s="647">
        <f t="shared" si="1312"/>
        <v>710173.79451823421</v>
      </c>
      <c r="AP408" s="644">
        <f t="shared" si="1346"/>
        <v>0</v>
      </c>
      <c r="AQ408" s="645">
        <f t="shared" si="1347"/>
        <v>710173.79451823421</v>
      </c>
      <c r="AR408" s="646">
        <f t="shared" si="1348"/>
        <v>0</v>
      </c>
      <c r="AS408" s="647">
        <f t="shared" si="1313"/>
        <v>710173.79451823421</v>
      </c>
      <c r="AT408" s="644">
        <f t="shared" si="1349"/>
        <v>0</v>
      </c>
      <c r="AU408" s="645">
        <f t="shared" si="1350"/>
        <v>710173.79451823421</v>
      </c>
      <c r="AV408" s="646">
        <f t="shared" si="1351"/>
        <v>0</v>
      </c>
      <c r="AW408" s="647">
        <f t="shared" si="1314"/>
        <v>710173.79451823421</v>
      </c>
      <c r="AY408" s="644">
        <f t="shared" si="1352"/>
        <v>172922.19612979729</v>
      </c>
      <c r="AZ408" s="645">
        <f t="shared" si="1282"/>
        <v>0</v>
      </c>
      <c r="BA408" s="644">
        <f t="shared" si="1353"/>
        <v>0</v>
      </c>
      <c r="BB408" s="645">
        <f t="shared" si="1354"/>
        <v>172922.19612979729</v>
      </c>
      <c r="BC408" s="646">
        <f t="shared" si="1355"/>
        <v>-1243.5339071618137</v>
      </c>
      <c r="BD408" s="647">
        <f t="shared" si="1356"/>
        <v>171678.66222263547</v>
      </c>
      <c r="BE408" s="644">
        <f t="shared" si="1315"/>
        <v>0</v>
      </c>
      <c r="BF408" s="645">
        <f t="shared" si="1316"/>
        <v>171678.66222263547</v>
      </c>
      <c r="BG408" s="646">
        <f t="shared" si="1357"/>
        <v>-4089.2458261269908</v>
      </c>
      <c r="BH408" s="647">
        <f t="shared" si="1317"/>
        <v>167589.41639650849</v>
      </c>
      <c r="BI408" s="644">
        <f t="shared" si="1358"/>
        <v>0</v>
      </c>
      <c r="BJ408" s="645">
        <f t="shared" si="1359"/>
        <v>167589.41639650849</v>
      </c>
      <c r="BK408" s="646">
        <f t="shared" si="1360"/>
        <v>-354.99374599073599</v>
      </c>
      <c r="BL408" s="647">
        <f t="shared" si="1318"/>
        <v>167234.42265051775</v>
      </c>
      <c r="BM408" s="644">
        <f t="shared" si="1361"/>
        <v>0</v>
      </c>
      <c r="BN408" s="645">
        <f t="shared" si="1362"/>
        <v>167234.42265051775</v>
      </c>
      <c r="BO408" s="646">
        <f t="shared" si="1363"/>
        <v>-7.651441214302686</v>
      </c>
      <c r="BP408" s="647">
        <f t="shared" si="1319"/>
        <v>167226.77120930344</v>
      </c>
      <c r="BQ408" s="644">
        <f t="shared" si="1364"/>
        <v>0</v>
      </c>
      <c r="BR408" s="645">
        <f t="shared" si="1365"/>
        <v>167226.77120930344</v>
      </c>
      <c r="BS408" s="646">
        <f t="shared" si="1366"/>
        <v>0</v>
      </c>
      <c r="BT408" s="647">
        <f t="shared" si="1320"/>
        <v>167226.77120930344</v>
      </c>
      <c r="BU408" s="662">
        <f>VLOOKUP(B408,'Afton Update'!$A$5:$AR$582,'Afton Update'!$AO$589,0)-BT408</f>
        <v>0</v>
      </c>
      <c r="BV408" s="644">
        <f t="shared" si="1367"/>
        <v>281593.66007850756</v>
      </c>
      <c r="BW408" s="645">
        <f t="shared" si="1305"/>
        <v>215084.71272902653</v>
      </c>
      <c r="BX408" s="644">
        <f t="shared" si="1368"/>
        <v>0</v>
      </c>
      <c r="BY408" s="645">
        <f t="shared" si="1369"/>
        <v>281593.66007850756</v>
      </c>
      <c r="BZ408" s="646">
        <f t="shared" si="1370"/>
        <v>-2471.5774932125382</v>
      </c>
      <c r="CA408" s="647">
        <f t="shared" si="1371"/>
        <v>279122.08258529502</v>
      </c>
      <c r="CB408" s="644">
        <f t="shared" si="1321"/>
        <v>0</v>
      </c>
      <c r="CC408" s="645">
        <f t="shared" si="1322"/>
        <v>279122.08258529502</v>
      </c>
      <c r="CD408" s="646">
        <f t="shared" si="1372"/>
        <v>-89.406901113940108</v>
      </c>
      <c r="CE408" s="647">
        <f t="shared" si="1323"/>
        <v>279032.6756841811</v>
      </c>
      <c r="CF408" s="644">
        <f t="shared" si="1373"/>
        <v>0</v>
      </c>
      <c r="CG408" s="645">
        <f t="shared" si="1374"/>
        <v>279032.6756841811</v>
      </c>
      <c r="CH408" s="646">
        <f t="shared" si="1375"/>
        <v>0</v>
      </c>
      <c r="CI408" s="647">
        <f t="shared" si="1324"/>
        <v>279032.6756841811</v>
      </c>
      <c r="CJ408" s="644">
        <f t="shared" si="1376"/>
        <v>0</v>
      </c>
      <c r="CK408" s="645">
        <f t="shared" si="1377"/>
        <v>279032.6756841811</v>
      </c>
      <c r="CL408" s="646">
        <f t="shared" si="1378"/>
        <v>0</v>
      </c>
      <c r="CM408" s="647">
        <f t="shared" si="1325"/>
        <v>279032.6756841811</v>
      </c>
      <c r="CN408" s="644">
        <f t="shared" si="1379"/>
        <v>0</v>
      </c>
      <c r="CO408" s="645">
        <f t="shared" si="1380"/>
        <v>279032.6756841811</v>
      </c>
      <c r="CP408" s="646">
        <f t="shared" si="1381"/>
        <v>0</v>
      </c>
      <c r="CQ408" s="647">
        <f t="shared" si="1326"/>
        <v>279032.6756841811</v>
      </c>
      <c r="CS408" s="644">
        <f t="shared" si="1382"/>
        <v>218454.15602248529</v>
      </c>
      <c r="CT408" s="645">
        <f t="shared" si="1306"/>
        <v>145180.12687663286</v>
      </c>
      <c r="CU408" s="644">
        <f t="shared" si="1383"/>
        <v>0</v>
      </c>
      <c r="CV408" s="645">
        <f t="shared" si="1384"/>
        <v>218454.15602248529</v>
      </c>
      <c r="CW408" s="646">
        <f t="shared" si="1385"/>
        <v>-2237.0940109145004</v>
      </c>
      <c r="CX408" s="647">
        <f t="shared" si="1386"/>
        <v>216217.06201157079</v>
      </c>
      <c r="CY408" s="644">
        <f t="shared" si="1327"/>
        <v>0</v>
      </c>
      <c r="CZ408" s="645">
        <f t="shared" si="1328"/>
        <v>216217.06201157079</v>
      </c>
      <c r="DA408" s="646">
        <f t="shared" si="1387"/>
        <v>-169.7311788839402</v>
      </c>
      <c r="DB408" s="647">
        <f t="shared" si="1329"/>
        <v>216047.33083268686</v>
      </c>
      <c r="DC408" s="644">
        <f t="shared" si="1388"/>
        <v>0</v>
      </c>
      <c r="DD408" s="645">
        <f t="shared" si="1389"/>
        <v>216047.33083268686</v>
      </c>
      <c r="DE408" s="646">
        <f t="shared" si="1390"/>
        <v>-0.14637200136669948</v>
      </c>
      <c r="DF408" s="647">
        <f t="shared" si="1330"/>
        <v>216047.1844606855</v>
      </c>
      <c r="DG408" s="644">
        <f t="shared" si="1391"/>
        <v>0</v>
      </c>
      <c r="DH408" s="645">
        <f t="shared" si="1392"/>
        <v>216047.1844606855</v>
      </c>
      <c r="DI408" s="646">
        <f t="shared" si="1393"/>
        <v>0</v>
      </c>
      <c r="DJ408" s="647">
        <f t="shared" si="1331"/>
        <v>216047.1844606855</v>
      </c>
      <c r="DK408" s="644">
        <f t="shared" si="1394"/>
        <v>0</v>
      </c>
      <c r="DL408" s="645">
        <f t="shared" si="1395"/>
        <v>216047.1844606855</v>
      </c>
      <c r="DM408" s="646">
        <f t="shared" si="1396"/>
        <v>0</v>
      </c>
      <c r="DN408" s="647">
        <f t="shared" si="1332"/>
        <v>216047.1844606855</v>
      </c>
      <c r="DR408" s="827">
        <f t="shared" si="1283"/>
        <v>1372480.4258724044</v>
      </c>
      <c r="DV408" s="828">
        <f>IFERROR(VLOOKUP($B408,'Afton FY16 Final'!$A$5:$BV$587,'Afton FY16 Final'!$BV$587,0),0)</f>
        <v>955794.57911226375</v>
      </c>
      <c r="DX408" s="636">
        <f t="shared" si="1274"/>
        <v>1372480.4258724044</v>
      </c>
      <c r="DY408" s="637">
        <f t="shared" si="1275"/>
        <v>416685.84676014062</v>
      </c>
      <c r="DZ408" s="637">
        <f t="shared" si="1276"/>
        <v>955794.57911226375</v>
      </c>
      <c r="EA408" s="643">
        <f t="shared" si="1277"/>
        <v>1299479.849154426</v>
      </c>
      <c r="EB408" s="637">
        <f t="shared" si="1284"/>
        <v>0</v>
      </c>
      <c r="EC408" s="637">
        <f t="shared" si="1285"/>
        <v>1299479.849154426</v>
      </c>
      <c r="ED408" s="637">
        <f t="shared" si="1286"/>
        <v>1295604.8778332344</v>
      </c>
      <c r="EE408" s="643">
        <f t="shared" si="1287"/>
        <v>1295604.8778332344</v>
      </c>
      <c r="EF408" s="637">
        <f t="shared" si="1288"/>
        <v>0</v>
      </c>
      <c r="EG408" s="637">
        <f t="shared" si="1289"/>
        <v>1295604.8778332344</v>
      </c>
      <c r="EH408" s="637">
        <f t="shared" si="1290"/>
        <v>1295603.5412082532</v>
      </c>
      <c r="EI408" s="643">
        <f t="shared" si="1291"/>
        <v>1295603.5412082532</v>
      </c>
      <c r="EJ408" s="637">
        <f t="shared" si="1292"/>
        <v>0</v>
      </c>
      <c r="EK408" s="637">
        <f t="shared" si="1293"/>
        <v>1295603.5412082532</v>
      </c>
      <c r="EL408" s="637">
        <f t="shared" si="1294"/>
        <v>1295603.5412082514</v>
      </c>
      <c r="EM408" s="643">
        <f t="shared" si="1295"/>
        <v>1295603.5412082514</v>
      </c>
      <c r="EN408" s="637">
        <f t="shared" si="1296"/>
        <v>0</v>
      </c>
      <c r="EO408" s="637">
        <f t="shared" si="1297"/>
        <v>1295603.5412082514</v>
      </c>
      <c r="EP408" s="637">
        <f t="shared" si="1298"/>
        <v>1295603.5412082535</v>
      </c>
      <c r="EQ408" s="643">
        <f t="shared" si="1299"/>
        <v>1295603.5412082535</v>
      </c>
      <c r="ER408" s="637">
        <f t="shared" si="1300"/>
        <v>0</v>
      </c>
      <c r="ES408" s="637">
        <f t="shared" si="1301"/>
        <v>1295603.5412082535</v>
      </c>
      <c r="ET408" s="637">
        <f t="shared" si="1302"/>
        <v>1295603.5412082514</v>
      </c>
      <c r="EU408" s="643">
        <f t="shared" si="1278"/>
        <v>1295603.5412082514</v>
      </c>
      <c r="EV408" s="643">
        <f t="shared" si="1279"/>
        <v>0</v>
      </c>
      <c r="EX408" s="829">
        <f t="shared" si="1280"/>
        <v>76876.884664152982</v>
      </c>
      <c r="EY408" s="638">
        <f t="shared" si="1281"/>
        <v>1295603.5412082514</v>
      </c>
      <c r="FC408" s="830" t="str">
        <f t="shared" si="1303"/>
        <v>Y</v>
      </c>
      <c r="FE408" s="830" t="str">
        <f>IFERROR(VLOOKUP($B408,'Historical Conc Grant Elig'!$B$3:$J$707,'HH &amp; SI'!FE$2,0),"N")</f>
        <v>N</v>
      </c>
      <c r="FF408" s="830" t="str">
        <f>IFERROR(VLOOKUP($B408,'Historical Conc Grant Elig'!$B$3:$J$707,'HH &amp; SI'!FF$2,0),"N")</f>
        <v>N</v>
      </c>
      <c r="FG408" s="830" t="str">
        <f>IFERROR(VLOOKUP($B408,'Historical Conc Grant Elig'!$B$3:$J$707,'HH &amp; SI'!FG$2,0),"N")</f>
        <v>N</v>
      </c>
      <c r="FH408" s="830" t="str">
        <f>IFERROR(VLOOKUP($B408,'Historical Conc Grant Elig'!$B$3:$J$707,'HH &amp; SI'!FH$2,0),"N")</f>
        <v>N</v>
      </c>
      <c r="FI408" s="830" t="str">
        <f>IFERROR(VLOOKUP($B408,'Historical Conc Grant Elig'!$B$3:$J$707,'HH &amp; SI'!FI$2,0),"N")</f>
        <v>N</v>
      </c>
      <c r="FJ408" s="830" t="str">
        <f>IFERROR(VLOOKUP($B408,'Historical Conc Grant Elig'!$B$3:$J$707,'HH &amp; SI'!FJ$2,0),"N")</f>
        <v>N</v>
      </c>
      <c r="FK408" s="830" t="str">
        <f>IFERROR(VLOOKUP($B408,'Historical Conc Grant Elig'!$B$3:$J$707,'HH &amp; SI'!FK$2,0),"N")</f>
        <v>Y</v>
      </c>
      <c r="FL408" s="957" t="str">
        <f>IFERROR(VLOOKUP($B408,'Historical Conc Grant Elig'!$B$3:$J$707,'HH &amp; SI'!FL$2,0),"N")</f>
        <v>Y</v>
      </c>
    </row>
    <row r="409" spans="2:168" x14ac:dyDescent="0.25">
      <c r="B409" s="634">
        <v>110221000</v>
      </c>
      <c r="C409" s="635" t="str">
        <f>VLOOKUP($B409,'Afton Update'!$A$5:$CR$582,'Afton Update'!D$589,0)</f>
        <v>Coolidge Unified District</v>
      </c>
      <c r="D409" s="636">
        <f>IFERROR(VLOOKUP($B409,'Afton FY16 Final'!$A$5:$BV$587,'Afton FY16 Final'!AQ$587,0),0)</f>
        <v>832610.1315024856</v>
      </c>
      <c r="E409" s="637">
        <f>IFERROR(VLOOKUP($B409,'Afton FY16 Final'!$A$5:$BV$587,'Afton FY16 Final'!AR$587,0),0)</f>
        <v>194870.69820942255</v>
      </c>
      <c r="F409" s="637">
        <f>IFERROR(VLOOKUP($B409,'Afton FY16 Final'!$A$5:$BV$587,'Afton FY16 Final'!AS$587,0),0)</f>
        <v>311873.90833542764</v>
      </c>
      <c r="G409" s="637">
        <f>IFERROR(VLOOKUP($B409,'Afton FY16 Final'!$A$5:$BV$587,'Afton FY16 Final'!AT$587,0),0)</f>
        <v>241306.72411412184</v>
      </c>
      <c r="H409" s="638">
        <f>IFERROR(VLOOKUP($B409,'Afton FY16 Final'!$A$5:$BV$587,'Afton FY16 Final'!AU$587,0),0)</f>
        <v>1580661.4621614576</v>
      </c>
      <c r="I409" s="639" t="str">
        <f>VLOOKUP($B409,'Afton Update'!$A$5:$CR$582,'Afton Update'!BT$589,0)</f>
        <v>Y</v>
      </c>
      <c r="J409" s="640" t="str">
        <f>VLOOKUP($B409,'Afton Update'!$A$5:$CR$582,'Afton Update'!BU$589,0)</f>
        <v>Y</v>
      </c>
      <c r="K409" s="640" t="str">
        <f>VLOOKUP($B409,'Afton Update'!$A$5:$CR$582,'Afton Update'!BV$589,0)</f>
        <v>Y</v>
      </c>
      <c r="L409" s="641" t="str">
        <f>VLOOKUP($B409,'Afton Update'!$A$5:$CR$582,'Afton Update'!BW$589,0)</f>
        <v>Y</v>
      </c>
      <c r="N409" s="642">
        <f>VLOOKUP($B409,'Afton Update'!$A$5:$CR$582,'Afton Update'!CB$589,0)</f>
        <v>0.9</v>
      </c>
      <c r="P409" s="636">
        <f>VLOOKUP($B409,'Afton Update'!$A$5:$CR$582,'Afton Update'!AH$589,0)</f>
        <v>778258.02610855096</v>
      </c>
      <c r="Q409" s="637">
        <f>VLOOKUP($B409,'Afton Update'!$A$5:$CR$582,'Afton Update'!AI$589,0)</f>
        <v>186800.98337273343</v>
      </c>
      <c r="R409" s="637">
        <f>VLOOKUP($B409,'Afton Update'!$A$5:$CR$582,'Afton Update'!AJ$589,0)</f>
        <v>307969.00061913353</v>
      </c>
      <c r="S409" s="637">
        <f>VLOOKUP($B409,'Afton Update'!$A$5:$CR$582,'Afton Update'!AK$589,0)</f>
        <v>238915.5639817472</v>
      </c>
      <c r="T409" s="643">
        <f t="shared" si="1307"/>
        <v>1511943.5740821653</v>
      </c>
      <c r="V409" s="636">
        <f t="shared" si="1333"/>
        <v>767642.0814934246</v>
      </c>
      <c r="W409" s="637">
        <f t="shared" si="1334"/>
        <v>180648.44194262553</v>
      </c>
      <c r="X409" s="637">
        <f t="shared" si="1335"/>
        <v>305168.14280045236</v>
      </c>
      <c r="Y409" s="637">
        <f t="shared" si="1336"/>
        <v>236283.14453665208</v>
      </c>
      <c r="Z409" s="643">
        <f t="shared" si="1337"/>
        <v>1489741.8107731547</v>
      </c>
      <c r="AB409" s="644">
        <f t="shared" si="1308"/>
        <v>778258.02610855096</v>
      </c>
      <c r="AC409" s="645">
        <f t="shared" si="1304"/>
        <v>749349.11835223704</v>
      </c>
      <c r="AD409" s="644">
        <f t="shared" si="1338"/>
        <v>0</v>
      </c>
      <c r="AE409" s="645">
        <f t="shared" si="1339"/>
        <v>778258.02610855096</v>
      </c>
      <c r="AF409" s="646">
        <f t="shared" si="1340"/>
        <v>-9647.0930789538143</v>
      </c>
      <c r="AG409" s="647">
        <f t="shared" si="1341"/>
        <v>768610.93302959716</v>
      </c>
      <c r="AH409" s="644">
        <f t="shared" si="1309"/>
        <v>0</v>
      </c>
      <c r="AI409" s="645">
        <f t="shared" si="1310"/>
        <v>768610.93302959716</v>
      </c>
      <c r="AJ409" s="646">
        <f t="shared" si="1342"/>
        <v>-968.23428383452699</v>
      </c>
      <c r="AK409" s="647">
        <f t="shared" si="1311"/>
        <v>767642.69874576258</v>
      </c>
      <c r="AL409" s="644">
        <f t="shared" si="1343"/>
        <v>0</v>
      </c>
      <c r="AM409" s="645">
        <f t="shared" si="1344"/>
        <v>767642.69874576258</v>
      </c>
      <c r="AN409" s="646">
        <f t="shared" si="1345"/>
        <v>-0.61725233793860435</v>
      </c>
      <c r="AO409" s="647">
        <f t="shared" si="1312"/>
        <v>767642.0814934246</v>
      </c>
      <c r="AP409" s="644">
        <f t="shared" si="1346"/>
        <v>0</v>
      </c>
      <c r="AQ409" s="645">
        <f t="shared" si="1347"/>
        <v>767642.0814934246</v>
      </c>
      <c r="AR409" s="646">
        <f t="shared" si="1348"/>
        <v>0</v>
      </c>
      <c r="AS409" s="647">
        <f t="shared" si="1313"/>
        <v>767642.0814934246</v>
      </c>
      <c r="AT409" s="644">
        <f t="shared" si="1349"/>
        <v>0</v>
      </c>
      <c r="AU409" s="645">
        <f t="shared" si="1350"/>
        <v>767642.0814934246</v>
      </c>
      <c r="AV409" s="646">
        <f t="shared" si="1351"/>
        <v>0</v>
      </c>
      <c r="AW409" s="647">
        <f t="shared" si="1314"/>
        <v>767642.0814934246</v>
      </c>
      <c r="AY409" s="644">
        <f t="shared" si="1352"/>
        <v>186800.98337273343</v>
      </c>
      <c r="AZ409" s="645">
        <f t="shared" si="1282"/>
        <v>175383.62838848031</v>
      </c>
      <c r="BA409" s="644">
        <f t="shared" si="1353"/>
        <v>0</v>
      </c>
      <c r="BB409" s="645">
        <f t="shared" si="1354"/>
        <v>186800.98337273343</v>
      </c>
      <c r="BC409" s="646">
        <f t="shared" si="1355"/>
        <v>-1343.3403109268997</v>
      </c>
      <c r="BD409" s="647">
        <f t="shared" si="1356"/>
        <v>185457.64306180654</v>
      </c>
      <c r="BE409" s="644">
        <f t="shared" si="1315"/>
        <v>0</v>
      </c>
      <c r="BF409" s="645">
        <f t="shared" si="1316"/>
        <v>185457.64306180654</v>
      </c>
      <c r="BG409" s="646">
        <f t="shared" si="1357"/>
        <v>-4417.4499206567707</v>
      </c>
      <c r="BH409" s="647">
        <f t="shared" si="1317"/>
        <v>181040.19314114976</v>
      </c>
      <c r="BI409" s="644">
        <f t="shared" si="1358"/>
        <v>0</v>
      </c>
      <c r="BJ409" s="645">
        <f t="shared" si="1359"/>
        <v>181040.19314114976</v>
      </c>
      <c r="BK409" s="646">
        <f t="shared" si="1360"/>
        <v>-383.48565034684407</v>
      </c>
      <c r="BL409" s="647">
        <f t="shared" si="1318"/>
        <v>180656.70749080292</v>
      </c>
      <c r="BM409" s="644">
        <f t="shared" si="1361"/>
        <v>0</v>
      </c>
      <c r="BN409" s="645">
        <f t="shared" si="1362"/>
        <v>180656.70749080292</v>
      </c>
      <c r="BO409" s="646">
        <f t="shared" si="1363"/>
        <v>-8.2655481773870001</v>
      </c>
      <c r="BP409" s="647">
        <f t="shared" si="1319"/>
        <v>180648.44194262553</v>
      </c>
      <c r="BQ409" s="644">
        <f t="shared" si="1364"/>
        <v>0</v>
      </c>
      <c r="BR409" s="645">
        <f t="shared" si="1365"/>
        <v>180648.44194262553</v>
      </c>
      <c r="BS409" s="646">
        <f t="shared" si="1366"/>
        <v>0</v>
      </c>
      <c r="BT409" s="647">
        <f t="shared" si="1320"/>
        <v>180648.44194262553</v>
      </c>
      <c r="BU409" s="662">
        <f>VLOOKUP(B409,'Afton Update'!$A$5:$AR$582,'Afton Update'!$AO$589,0)-BT409</f>
        <v>0</v>
      </c>
      <c r="BV409" s="644">
        <f t="shared" si="1367"/>
        <v>307969.00061913353</v>
      </c>
      <c r="BW409" s="645">
        <f t="shared" si="1305"/>
        <v>280686.5175018849</v>
      </c>
      <c r="BX409" s="644">
        <f t="shared" si="1368"/>
        <v>0</v>
      </c>
      <c r="BY409" s="645">
        <f t="shared" si="1369"/>
        <v>307969.00061913353</v>
      </c>
      <c r="BZ409" s="646">
        <f t="shared" si="1370"/>
        <v>-2703.0766613324918</v>
      </c>
      <c r="CA409" s="647">
        <f t="shared" si="1371"/>
        <v>305265.92395780102</v>
      </c>
      <c r="CB409" s="644">
        <f t="shared" si="1321"/>
        <v>0</v>
      </c>
      <c r="CC409" s="645">
        <f t="shared" si="1322"/>
        <v>305265.92395780102</v>
      </c>
      <c r="CD409" s="646">
        <f t="shared" si="1372"/>
        <v>-97.78115734863232</v>
      </c>
      <c r="CE409" s="647">
        <f t="shared" si="1323"/>
        <v>305168.14280045236</v>
      </c>
      <c r="CF409" s="644">
        <f t="shared" si="1373"/>
        <v>0</v>
      </c>
      <c r="CG409" s="645">
        <f t="shared" si="1374"/>
        <v>305168.14280045236</v>
      </c>
      <c r="CH409" s="646">
        <f t="shared" si="1375"/>
        <v>0</v>
      </c>
      <c r="CI409" s="647">
        <f t="shared" si="1324"/>
        <v>305168.14280045236</v>
      </c>
      <c r="CJ409" s="644">
        <f t="shared" si="1376"/>
        <v>0</v>
      </c>
      <c r="CK409" s="645">
        <f t="shared" si="1377"/>
        <v>305168.14280045236</v>
      </c>
      <c r="CL409" s="646">
        <f t="shared" si="1378"/>
        <v>0</v>
      </c>
      <c r="CM409" s="647">
        <f t="shared" si="1325"/>
        <v>305168.14280045236</v>
      </c>
      <c r="CN409" s="644">
        <f t="shared" si="1379"/>
        <v>0</v>
      </c>
      <c r="CO409" s="645">
        <f t="shared" si="1380"/>
        <v>305168.14280045236</v>
      </c>
      <c r="CP409" s="646">
        <f t="shared" si="1381"/>
        <v>0</v>
      </c>
      <c r="CQ409" s="647">
        <f t="shared" si="1326"/>
        <v>305168.14280045236</v>
      </c>
      <c r="CS409" s="644">
        <f t="shared" si="1382"/>
        <v>238915.5639817472</v>
      </c>
      <c r="CT409" s="645">
        <f t="shared" si="1306"/>
        <v>217176.05170270966</v>
      </c>
      <c r="CU409" s="644">
        <f t="shared" si="1383"/>
        <v>0</v>
      </c>
      <c r="CV409" s="645">
        <f t="shared" si="1384"/>
        <v>238915.5639817472</v>
      </c>
      <c r="CW409" s="646">
        <f t="shared" si="1385"/>
        <v>-2446.6303916086335</v>
      </c>
      <c r="CX409" s="647">
        <f t="shared" si="1386"/>
        <v>236468.93359013856</v>
      </c>
      <c r="CY409" s="644">
        <f t="shared" si="1327"/>
        <v>0</v>
      </c>
      <c r="CZ409" s="645">
        <f t="shared" si="1328"/>
        <v>236468.93359013856</v>
      </c>
      <c r="DA409" s="646">
        <f t="shared" si="1387"/>
        <v>-185.6289716189674</v>
      </c>
      <c r="DB409" s="647">
        <f t="shared" si="1329"/>
        <v>236283.30461851959</v>
      </c>
      <c r="DC409" s="644">
        <f t="shared" si="1388"/>
        <v>0</v>
      </c>
      <c r="DD409" s="645">
        <f t="shared" si="1389"/>
        <v>236283.30461851959</v>
      </c>
      <c r="DE409" s="646">
        <f t="shared" si="1390"/>
        <v>-0.16008186749288755</v>
      </c>
      <c r="DF409" s="647">
        <f t="shared" si="1330"/>
        <v>236283.14453665208</v>
      </c>
      <c r="DG409" s="644">
        <f t="shared" si="1391"/>
        <v>0</v>
      </c>
      <c r="DH409" s="645">
        <f t="shared" si="1392"/>
        <v>236283.14453665208</v>
      </c>
      <c r="DI409" s="646">
        <f t="shared" si="1393"/>
        <v>0</v>
      </c>
      <c r="DJ409" s="647">
        <f t="shared" si="1331"/>
        <v>236283.14453665208</v>
      </c>
      <c r="DK409" s="644">
        <f t="shared" si="1394"/>
        <v>0</v>
      </c>
      <c r="DL409" s="645">
        <f t="shared" si="1395"/>
        <v>236283.14453665208</v>
      </c>
      <c r="DM409" s="646">
        <f t="shared" si="1396"/>
        <v>0</v>
      </c>
      <c r="DN409" s="647">
        <f t="shared" si="1332"/>
        <v>236283.14453665208</v>
      </c>
      <c r="DR409" s="827">
        <f t="shared" si="1283"/>
        <v>1489741.8107731547</v>
      </c>
      <c r="DV409" s="828">
        <f>IFERROR(VLOOKUP($B409,'Afton FY16 Final'!$A$5:$BV$587,'Afton FY16 Final'!$BV$587,0),0)</f>
        <v>1511923.601339767</v>
      </c>
      <c r="DX409" s="636">
        <f t="shared" si="1274"/>
        <v>0</v>
      </c>
      <c r="DY409" s="637">
        <f t="shared" si="1275"/>
        <v>0</v>
      </c>
      <c r="DZ409" s="637">
        <f t="shared" si="1276"/>
        <v>0</v>
      </c>
      <c r="EA409" s="643">
        <f t="shared" si="1277"/>
        <v>0</v>
      </c>
      <c r="EB409" s="637">
        <f t="shared" si="1284"/>
        <v>0</v>
      </c>
      <c r="EC409" s="637">
        <f t="shared" si="1285"/>
        <v>0</v>
      </c>
      <c r="ED409" s="637">
        <f t="shared" si="1286"/>
        <v>0</v>
      </c>
      <c r="EE409" s="643">
        <f t="shared" si="1287"/>
        <v>0</v>
      </c>
      <c r="EF409" s="637">
        <f t="shared" si="1288"/>
        <v>0</v>
      </c>
      <c r="EG409" s="637">
        <f t="shared" si="1289"/>
        <v>0</v>
      </c>
      <c r="EH409" s="637">
        <f t="shared" si="1290"/>
        <v>0</v>
      </c>
      <c r="EI409" s="643">
        <f t="shared" si="1291"/>
        <v>0</v>
      </c>
      <c r="EJ409" s="637">
        <f t="shared" si="1292"/>
        <v>0</v>
      </c>
      <c r="EK409" s="637">
        <f t="shared" si="1293"/>
        <v>0</v>
      </c>
      <c r="EL409" s="637">
        <f t="shared" si="1294"/>
        <v>0</v>
      </c>
      <c r="EM409" s="643">
        <f t="shared" si="1295"/>
        <v>0</v>
      </c>
      <c r="EN409" s="637">
        <f t="shared" si="1296"/>
        <v>0</v>
      </c>
      <c r="EO409" s="637">
        <f t="shared" si="1297"/>
        <v>0</v>
      </c>
      <c r="EP409" s="637">
        <f t="shared" si="1298"/>
        <v>0</v>
      </c>
      <c r="EQ409" s="643">
        <f t="shared" si="1299"/>
        <v>0</v>
      </c>
      <c r="ER409" s="637">
        <f t="shared" si="1300"/>
        <v>0</v>
      </c>
      <c r="ES409" s="637">
        <f t="shared" si="1301"/>
        <v>0</v>
      </c>
      <c r="ET409" s="637">
        <f t="shared" si="1302"/>
        <v>0</v>
      </c>
      <c r="EU409" s="643">
        <f t="shared" si="1278"/>
        <v>0</v>
      </c>
      <c r="EV409" s="643">
        <f t="shared" si="1279"/>
        <v>0</v>
      </c>
      <c r="EX409" s="829">
        <f t="shared" si="1280"/>
        <v>0</v>
      </c>
      <c r="EY409" s="638">
        <f t="shared" si="1281"/>
        <v>1489741.8107731547</v>
      </c>
      <c r="FC409" s="830" t="str">
        <f t="shared" si="1303"/>
        <v>Y</v>
      </c>
      <c r="FE409" s="830" t="str">
        <f>IFERROR(VLOOKUP($B409,'Historical Conc Grant Elig'!$B$3:$J$707,'HH &amp; SI'!FE$2,0),"N")</f>
        <v>Y</v>
      </c>
      <c r="FF409" s="830" t="str">
        <f>IFERROR(VLOOKUP($B409,'Historical Conc Grant Elig'!$B$3:$J$707,'HH &amp; SI'!FF$2,0),"N")</f>
        <v>Y</v>
      </c>
      <c r="FG409" s="830" t="str">
        <f>IFERROR(VLOOKUP($B409,'Historical Conc Grant Elig'!$B$3:$J$707,'HH &amp; SI'!FG$2,0),"N")</f>
        <v>Y</v>
      </c>
      <c r="FH409" s="830" t="str">
        <f>IFERROR(VLOOKUP($B409,'Historical Conc Grant Elig'!$B$3:$J$707,'HH &amp; SI'!FH$2,0),"N")</f>
        <v>Y</v>
      </c>
      <c r="FI409" s="830" t="str">
        <f>IFERROR(VLOOKUP($B409,'Historical Conc Grant Elig'!$B$3:$J$707,'HH &amp; SI'!FI$2,0),"N")</f>
        <v>Y</v>
      </c>
      <c r="FJ409" s="830" t="str">
        <f>IFERROR(VLOOKUP($B409,'Historical Conc Grant Elig'!$B$3:$J$707,'HH &amp; SI'!FJ$2,0),"N")</f>
        <v>Y</v>
      </c>
      <c r="FK409" s="830" t="str">
        <f>IFERROR(VLOOKUP($B409,'Historical Conc Grant Elig'!$B$3:$J$707,'HH &amp; SI'!FK$2,0),"N")</f>
        <v>Y</v>
      </c>
      <c r="FL409" s="957" t="str">
        <f>IFERROR(VLOOKUP($B409,'Historical Conc Grant Elig'!$B$3:$J$707,'HH &amp; SI'!FL$2,0),"N")</f>
        <v>Y</v>
      </c>
    </row>
    <row r="410" spans="2:168" x14ac:dyDescent="0.25">
      <c r="B410" s="634">
        <v>110243000</v>
      </c>
      <c r="C410" s="635" t="str">
        <f>VLOOKUP($B410,'Afton Update'!$A$5:$CR$582,'Afton Update'!D$589,0)</f>
        <v>Apache Junction Unified District</v>
      </c>
      <c r="D410" s="636">
        <f>IFERROR(VLOOKUP($B410,'Afton FY16 Final'!$A$5:$BV$587,'Afton FY16 Final'!AQ$587,0),0)</f>
        <v>914769.08275096514</v>
      </c>
      <c r="E410" s="637">
        <f>IFERROR(VLOOKUP($B410,'Afton FY16 Final'!$A$5:$BV$587,'Afton FY16 Final'!AR$587,0),0)</f>
        <v>214011.58394362679</v>
      </c>
      <c r="F410" s="637">
        <f>IFERROR(VLOOKUP($B410,'Afton FY16 Final'!$A$5:$BV$587,'Afton FY16 Final'!AS$587,0),0)</f>
        <v>386788.63235354639</v>
      </c>
      <c r="G410" s="637">
        <f>IFERROR(VLOOKUP($B410,'Afton FY16 Final'!$A$5:$BV$587,'Afton FY16 Final'!AT$587,0),0)</f>
        <v>272687.29856994067</v>
      </c>
      <c r="H410" s="638">
        <f>IFERROR(VLOOKUP($B410,'Afton FY16 Final'!$A$5:$BV$587,'Afton FY16 Final'!AU$587,0),0)</f>
        <v>1788256.597618079</v>
      </c>
      <c r="I410" s="639" t="str">
        <f>VLOOKUP($B410,'Afton Update'!$A$5:$CR$582,'Afton Update'!BT$589,0)</f>
        <v>Y</v>
      </c>
      <c r="J410" s="640" t="str">
        <f>VLOOKUP($B410,'Afton Update'!$A$5:$CR$582,'Afton Update'!BU$589,0)</f>
        <v>Y</v>
      </c>
      <c r="K410" s="640" t="str">
        <f>VLOOKUP($B410,'Afton Update'!$A$5:$CR$582,'Afton Update'!BV$589,0)</f>
        <v>Y</v>
      </c>
      <c r="L410" s="641" t="str">
        <f>VLOOKUP($B410,'Afton Update'!$A$5:$CR$582,'Afton Update'!BW$589,0)</f>
        <v>Y</v>
      </c>
      <c r="N410" s="642">
        <f>VLOOKUP($B410,'Afton Update'!$A$5:$CR$582,'Afton Update'!CB$589,0)</f>
        <v>0.9</v>
      </c>
      <c r="P410" s="636">
        <f>VLOOKUP($B410,'Afton Update'!$A$5:$CR$582,'Afton Update'!AH$589,0)</f>
        <v>911795.19561570138</v>
      </c>
      <c r="Q410" s="637">
        <f>VLOOKUP($B410,'Afton Update'!$A$5:$CR$582,'Afton Update'!AI$589,0)</f>
        <v>218610.75851347757</v>
      </c>
      <c r="R410" s="637">
        <f>VLOOKUP($B410,'Afton Update'!$A$5:$CR$582,'Afton Update'!AJ$589,0)</f>
        <v>413623.65099862614</v>
      </c>
      <c r="S410" s="637">
        <f>VLOOKUP($B410,'Afton Update'!$A$5:$CR$582,'Afton Update'!AK$589,0)</f>
        <v>332101.34123451193</v>
      </c>
      <c r="T410" s="643">
        <f t="shared" si="1307"/>
        <v>1876130.9463623171</v>
      </c>
      <c r="V410" s="636">
        <f t="shared" si="1333"/>
        <v>899357.71733437304</v>
      </c>
      <c r="W410" s="637">
        <f t="shared" si="1334"/>
        <v>211410.51938980169</v>
      </c>
      <c r="X410" s="637">
        <f t="shared" si="1335"/>
        <v>409861.90538604202</v>
      </c>
      <c r="Y410" s="637">
        <f t="shared" si="1336"/>
        <v>328442.18226705899</v>
      </c>
      <c r="Z410" s="643">
        <f t="shared" si="1337"/>
        <v>1849072.324377276</v>
      </c>
      <c r="AB410" s="644">
        <f t="shared" si="1308"/>
        <v>911795.19561570138</v>
      </c>
      <c r="AC410" s="645">
        <f t="shared" si="1304"/>
        <v>823292.1744758687</v>
      </c>
      <c r="AD410" s="644">
        <f t="shared" si="1338"/>
        <v>0</v>
      </c>
      <c r="AE410" s="645">
        <f t="shared" si="1339"/>
        <v>911795.19561570138</v>
      </c>
      <c r="AF410" s="646">
        <f t="shared" si="1340"/>
        <v>-11302.386645506547</v>
      </c>
      <c r="AG410" s="647">
        <f t="shared" si="1341"/>
        <v>900492.80897019478</v>
      </c>
      <c r="AH410" s="644">
        <f t="shared" si="1309"/>
        <v>0</v>
      </c>
      <c r="AI410" s="645">
        <f t="shared" si="1310"/>
        <v>900492.80897019478</v>
      </c>
      <c r="AJ410" s="646">
        <f t="shared" si="1342"/>
        <v>-1134.3684724268996</v>
      </c>
      <c r="AK410" s="647">
        <f t="shared" si="1311"/>
        <v>899358.44049776788</v>
      </c>
      <c r="AL410" s="644">
        <f t="shared" si="1343"/>
        <v>0</v>
      </c>
      <c r="AM410" s="645">
        <f t="shared" si="1344"/>
        <v>899358.44049776788</v>
      </c>
      <c r="AN410" s="646">
        <f t="shared" si="1345"/>
        <v>-0.72316339483080205</v>
      </c>
      <c r="AO410" s="647">
        <f t="shared" si="1312"/>
        <v>899357.71733437304</v>
      </c>
      <c r="AP410" s="644">
        <f t="shared" si="1346"/>
        <v>0</v>
      </c>
      <c r="AQ410" s="645">
        <f t="shared" si="1347"/>
        <v>899357.71733437304</v>
      </c>
      <c r="AR410" s="646">
        <f t="shared" si="1348"/>
        <v>0</v>
      </c>
      <c r="AS410" s="647">
        <f t="shared" si="1313"/>
        <v>899357.71733437304</v>
      </c>
      <c r="AT410" s="644">
        <f t="shared" si="1349"/>
        <v>0</v>
      </c>
      <c r="AU410" s="645">
        <f t="shared" si="1350"/>
        <v>899357.71733437304</v>
      </c>
      <c r="AV410" s="646">
        <f t="shared" si="1351"/>
        <v>0</v>
      </c>
      <c r="AW410" s="647">
        <f t="shared" si="1314"/>
        <v>899357.71733437304</v>
      </c>
      <c r="AY410" s="644">
        <f t="shared" si="1352"/>
        <v>218610.75851347757</v>
      </c>
      <c r="AZ410" s="645">
        <f t="shared" si="1282"/>
        <v>192610.42554926412</v>
      </c>
      <c r="BA410" s="644">
        <f t="shared" si="1353"/>
        <v>0</v>
      </c>
      <c r="BB410" s="645">
        <f t="shared" si="1354"/>
        <v>218610.75851347757</v>
      </c>
      <c r="BC410" s="646">
        <f t="shared" si="1355"/>
        <v>-1572.093674300892</v>
      </c>
      <c r="BD410" s="647">
        <f t="shared" si="1356"/>
        <v>217038.66483917669</v>
      </c>
      <c r="BE410" s="644">
        <f t="shared" si="1315"/>
        <v>0</v>
      </c>
      <c r="BF410" s="645">
        <f t="shared" si="1316"/>
        <v>217038.66483917669</v>
      </c>
      <c r="BG410" s="646">
        <f t="shared" si="1357"/>
        <v>-5169.6841227177265</v>
      </c>
      <c r="BH410" s="647">
        <f t="shared" si="1317"/>
        <v>211868.98071645896</v>
      </c>
      <c r="BI410" s="644">
        <f t="shared" si="1358"/>
        <v>0</v>
      </c>
      <c r="BJ410" s="645">
        <f t="shared" si="1359"/>
        <v>211868.98071645896</v>
      </c>
      <c r="BK410" s="646">
        <f t="shared" si="1360"/>
        <v>-448.78826325062442</v>
      </c>
      <c r="BL410" s="647">
        <f t="shared" si="1318"/>
        <v>211420.19245320832</v>
      </c>
      <c r="BM410" s="644">
        <f t="shared" si="1361"/>
        <v>0</v>
      </c>
      <c r="BN410" s="645">
        <f t="shared" si="1362"/>
        <v>211420.19245320832</v>
      </c>
      <c r="BO410" s="646">
        <f t="shared" si="1363"/>
        <v>-9.6730634066459373</v>
      </c>
      <c r="BP410" s="647">
        <f t="shared" si="1319"/>
        <v>211410.51938980169</v>
      </c>
      <c r="BQ410" s="644">
        <f t="shared" si="1364"/>
        <v>0</v>
      </c>
      <c r="BR410" s="645">
        <f t="shared" si="1365"/>
        <v>211410.51938980169</v>
      </c>
      <c r="BS410" s="646">
        <f t="shared" si="1366"/>
        <v>0</v>
      </c>
      <c r="BT410" s="647">
        <f t="shared" si="1320"/>
        <v>211410.51938980169</v>
      </c>
      <c r="BU410" s="662">
        <f>VLOOKUP(B410,'Afton Update'!$A$5:$AR$582,'Afton Update'!$AO$589,0)-BT410</f>
        <v>0</v>
      </c>
      <c r="BV410" s="644">
        <f t="shared" si="1367"/>
        <v>413623.65099862614</v>
      </c>
      <c r="BW410" s="645">
        <f t="shared" si="1305"/>
        <v>348109.76911819173</v>
      </c>
      <c r="BX410" s="644">
        <f t="shared" si="1368"/>
        <v>0</v>
      </c>
      <c r="BY410" s="645">
        <f t="shared" si="1369"/>
        <v>413623.65099862614</v>
      </c>
      <c r="BZ410" s="646">
        <f t="shared" si="1370"/>
        <v>-3630.4187607902354</v>
      </c>
      <c r="CA410" s="647">
        <f t="shared" si="1371"/>
        <v>409993.23223783588</v>
      </c>
      <c r="CB410" s="644">
        <f t="shared" si="1321"/>
        <v>0</v>
      </c>
      <c r="CC410" s="645">
        <f t="shared" si="1322"/>
        <v>409993.23223783588</v>
      </c>
      <c r="CD410" s="646">
        <f t="shared" si="1372"/>
        <v>-131.32685179386101</v>
      </c>
      <c r="CE410" s="647">
        <f t="shared" si="1323"/>
        <v>409861.90538604202</v>
      </c>
      <c r="CF410" s="644">
        <f t="shared" si="1373"/>
        <v>0</v>
      </c>
      <c r="CG410" s="645">
        <f t="shared" si="1374"/>
        <v>409861.90538604202</v>
      </c>
      <c r="CH410" s="646">
        <f t="shared" si="1375"/>
        <v>0</v>
      </c>
      <c r="CI410" s="647">
        <f t="shared" si="1324"/>
        <v>409861.90538604202</v>
      </c>
      <c r="CJ410" s="644">
        <f t="shared" si="1376"/>
        <v>0</v>
      </c>
      <c r="CK410" s="645">
        <f t="shared" si="1377"/>
        <v>409861.90538604202</v>
      </c>
      <c r="CL410" s="646">
        <f t="shared" si="1378"/>
        <v>0</v>
      </c>
      <c r="CM410" s="647">
        <f t="shared" si="1325"/>
        <v>409861.90538604202</v>
      </c>
      <c r="CN410" s="644">
        <f t="shared" si="1379"/>
        <v>0</v>
      </c>
      <c r="CO410" s="645">
        <f t="shared" si="1380"/>
        <v>409861.90538604202</v>
      </c>
      <c r="CP410" s="646">
        <f t="shared" si="1381"/>
        <v>0</v>
      </c>
      <c r="CQ410" s="647">
        <f t="shared" si="1326"/>
        <v>409861.90538604202</v>
      </c>
      <c r="CS410" s="644">
        <f t="shared" si="1382"/>
        <v>332101.34123451193</v>
      </c>
      <c r="CT410" s="645">
        <f t="shared" si="1306"/>
        <v>245418.56871294661</v>
      </c>
      <c r="CU410" s="644">
        <f t="shared" si="1383"/>
        <v>0</v>
      </c>
      <c r="CV410" s="645">
        <f t="shared" si="1384"/>
        <v>332101.34123451193</v>
      </c>
      <c r="CW410" s="646">
        <f t="shared" si="1385"/>
        <v>-3400.9054120074929</v>
      </c>
      <c r="CX410" s="647">
        <f t="shared" si="1386"/>
        <v>328700.43582250446</v>
      </c>
      <c r="CY410" s="644">
        <f t="shared" si="1327"/>
        <v>0</v>
      </c>
      <c r="CZ410" s="645">
        <f t="shared" si="1328"/>
        <v>328700.43582250446</v>
      </c>
      <c r="DA410" s="646">
        <f t="shared" si="1387"/>
        <v>-258.03103581544821</v>
      </c>
      <c r="DB410" s="647">
        <f t="shared" si="1329"/>
        <v>328442.40478668903</v>
      </c>
      <c r="DC410" s="644">
        <f t="shared" si="1388"/>
        <v>0</v>
      </c>
      <c r="DD410" s="645">
        <f t="shared" si="1389"/>
        <v>328442.40478668903</v>
      </c>
      <c r="DE410" s="646">
        <f t="shared" si="1390"/>
        <v>-0.22251963001361849</v>
      </c>
      <c r="DF410" s="647">
        <f t="shared" si="1330"/>
        <v>328442.18226705899</v>
      </c>
      <c r="DG410" s="644">
        <f t="shared" si="1391"/>
        <v>0</v>
      </c>
      <c r="DH410" s="645">
        <f t="shared" si="1392"/>
        <v>328442.18226705899</v>
      </c>
      <c r="DI410" s="646">
        <f t="shared" si="1393"/>
        <v>0</v>
      </c>
      <c r="DJ410" s="647">
        <f t="shared" si="1331"/>
        <v>328442.18226705899</v>
      </c>
      <c r="DK410" s="644">
        <f t="shared" si="1394"/>
        <v>0</v>
      </c>
      <c r="DL410" s="645">
        <f t="shared" si="1395"/>
        <v>328442.18226705899</v>
      </c>
      <c r="DM410" s="646">
        <f t="shared" si="1396"/>
        <v>0</v>
      </c>
      <c r="DN410" s="647">
        <f t="shared" si="1332"/>
        <v>328442.18226705899</v>
      </c>
      <c r="DR410" s="827">
        <f t="shared" si="1283"/>
        <v>1849072.324377276</v>
      </c>
      <c r="DV410" s="828">
        <f>IFERROR(VLOOKUP($B410,'Afton FY16 Final'!$A$5:$BV$587,'Afton FY16 Final'!$BV$587,0),0)</f>
        <v>1587668.5333462087</v>
      </c>
      <c r="DX410" s="636">
        <f t="shared" si="1274"/>
        <v>1849072.324377276</v>
      </c>
      <c r="DY410" s="637">
        <f t="shared" si="1275"/>
        <v>261403.79103106726</v>
      </c>
      <c r="DZ410" s="637">
        <f t="shared" si="1276"/>
        <v>1587668.5333462087</v>
      </c>
      <c r="EA410" s="643">
        <f t="shared" si="1277"/>
        <v>1750722.400015336</v>
      </c>
      <c r="EB410" s="637">
        <f t="shared" si="1284"/>
        <v>0</v>
      </c>
      <c r="EC410" s="637">
        <f t="shared" si="1285"/>
        <v>1750722.400015336</v>
      </c>
      <c r="ED410" s="637">
        <f t="shared" si="1286"/>
        <v>1745501.8503501436</v>
      </c>
      <c r="EE410" s="643">
        <f t="shared" si="1287"/>
        <v>1745501.8503501436</v>
      </c>
      <c r="EF410" s="637">
        <f t="shared" si="1288"/>
        <v>0</v>
      </c>
      <c r="EG410" s="637">
        <f t="shared" si="1289"/>
        <v>1745501.8503501436</v>
      </c>
      <c r="EH410" s="637">
        <f t="shared" si="1290"/>
        <v>1745500.0495840164</v>
      </c>
      <c r="EI410" s="643">
        <f t="shared" si="1291"/>
        <v>1745500.0495840164</v>
      </c>
      <c r="EJ410" s="637">
        <f t="shared" si="1292"/>
        <v>0</v>
      </c>
      <c r="EK410" s="637">
        <f t="shared" si="1293"/>
        <v>1745500.0495840164</v>
      </c>
      <c r="EL410" s="637">
        <f t="shared" si="1294"/>
        <v>1745500.0495840139</v>
      </c>
      <c r="EM410" s="643">
        <f t="shared" si="1295"/>
        <v>1745500.0495840139</v>
      </c>
      <c r="EN410" s="637">
        <f t="shared" si="1296"/>
        <v>0</v>
      </c>
      <c r="EO410" s="637">
        <f t="shared" si="1297"/>
        <v>1745500.0495840139</v>
      </c>
      <c r="EP410" s="637">
        <f t="shared" si="1298"/>
        <v>1745500.0495840164</v>
      </c>
      <c r="EQ410" s="643">
        <f t="shared" si="1299"/>
        <v>1745500.0495840164</v>
      </c>
      <c r="ER410" s="637">
        <f t="shared" si="1300"/>
        <v>0</v>
      </c>
      <c r="ES410" s="637">
        <f t="shared" si="1301"/>
        <v>1745500.0495840164</v>
      </c>
      <c r="ET410" s="637">
        <f t="shared" si="1302"/>
        <v>1745500.0495840139</v>
      </c>
      <c r="EU410" s="643">
        <f t="shared" si="1278"/>
        <v>1745500.0495840139</v>
      </c>
      <c r="EV410" s="643">
        <f t="shared" si="1279"/>
        <v>0</v>
      </c>
      <c r="EX410" s="829">
        <f t="shared" si="1280"/>
        <v>103572.27479326213</v>
      </c>
      <c r="EY410" s="638">
        <f t="shared" si="1281"/>
        <v>1745500.0495840139</v>
      </c>
      <c r="FC410" s="830" t="str">
        <f t="shared" si="1303"/>
        <v>Y</v>
      </c>
      <c r="FE410" s="830" t="str">
        <f>IFERROR(VLOOKUP($B410,'Historical Conc Grant Elig'!$B$3:$J$707,'HH &amp; SI'!FE$2,0),"N")</f>
        <v>N</v>
      </c>
      <c r="FF410" s="830" t="str">
        <f>IFERROR(VLOOKUP($B410,'Historical Conc Grant Elig'!$B$3:$J$707,'HH &amp; SI'!FF$2,0),"N")</f>
        <v>N</v>
      </c>
      <c r="FG410" s="830" t="str">
        <f>IFERROR(VLOOKUP($B410,'Historical Conc Grant Elig'!$B$3:$J$707,'HH &amp; SI'!FG$2,0),"N")</f>
        <v>Y</v>
      </c>
      <c r="FH410" s="830" t="str">
        <f>IFERROR(VLOOKUP($B410,'Historical Conc Grant Elig'!$B$3:$J$707,'HH &amp; SI'!FH$2,0),"N")</f>
        <v>Y</v>
      </c>
      <c r="FI410" s="830" t="str">
        <f>IFERROR(VLOOKUP($B410,'Historical Conc Grant Elig'!$B$3:$J$707,'HH &amp; SI'!FI$2,0),"N")</f>
        <v>Y</v>
      </c>
      <c r="FJ410" s="830" t="str">
        <f>IFERROR(VLOOKUP($B410,'Historical Conc Grant Elig'!$B$3:$J$707,'HH &amp; SI'!FJ$2,0),"N")</f>
        <v>Y</v>
      </c>
      <c r="FK410" s="830" t="str">
        <f>IFERROR(VLOOKUP($B410,'Historical Conc Grant Elig'!$B$3:$J$707,'HH &amp; SI'!FK$2,0),"N")</f>
        <v>Y</v>
      </c>
      <c r="FL410" s="957" t="str">
        <f>IFERROR(VLOOKUP($B410,'Historical Conc Grant Elig'!$B$3:$J$707,'HH &amp; SI'!FL$2,0),"N")</f>
        <v>Y</v>
      </c>
    </row>
    <row r="411" spans="2:168" x14ac:dyDescent="0.25">
      <c r="B411" s="634">
        <v>110244000</v>
      </c>
      <c r="C411" s="635" t="str">
        <f>VLOOKUP($B411,'Afton Update'!$A$5:$CR$582,'Afton Update'!D$589,0)</f>
        <v>J O Combs Unified School District</v>
      </c>
      <c r="D411" s="636">
        <f>IFERROR(VLOOKUP($B411,'Afton FY16 Final'!$A$5:$BV$587,'Afton FY16 Final'!AQ$587,0),0)</f>
        <v>758834.74670793291</v>
      </c>
      <c r="E411" s="637">
        <f>IFERROR(VLOOKUP($B411,'Afton FY16 Final'!$A$5:$BV$587,'Afton FY16 Final'!AR$587,0),0)</f>
        <v>177682.96408074943</v>
      </c>
      <c r="F411" s="637">
        <f>IFERROR(VLOOKUP($B411,'Afton FY16 Final'!$A$5:$BV$587,'Afton FY16 Final'!AS$587,0),0)</f>
        <v>273025.90710920608</v>
      </c>
      <c r="G411" s="637">
        <f>IFERROR(VLOOKUP($B411,'Afton FY16 Final'!$A$5:$BV$587,'Afton FY16 Final'!AT$587,0),0)</f>
        <v>184289.09504903882</v>
      </c>
      <c r="H411" s="638">
        <f>IFERROR(VLOOKUP($B411,'Afton FY16 Final'!$A$5:$BV$587,'Afton FY16 Final'!AU$587,0),0)</f>
        <v>1393832.7129469272</v>
      </c>
      <c r="I411" s="639" t="str">
        <f>VLOOKUP($B411,'Afton Update'!$A$5:$CR$582,'Afton Update'!BT$589,0)</f>
        <v>Y</v>
      </c>
      <c r="J411" s="640" t="str">
        <f>VLOOKUP($B411,'Afton Update'!$A$5:$CR$582,'Afton Update'!BU$589,0)</f>
        <v>Y</v>
      </c>
      <c r="K411" s="640" t="str">
        <f>VLOOKUP($B411,'Afton Update'!$A$5:$CR$582,'Afton Update'!BV$589,0)</f>
        <v>Y</v>
      </c>
      <c r="L411" s="641" t="str">
        <f>VLOOKUP($B411,'Afton Update'!$A$5:$CR$582,'Afton Update'!BW$589,0)</f>
        <v>Y</v>
      </c>
      <c r="N411" s="642">
        <f>VLOOKUP($B411,'Afton Update'!$A$5:$CR$582,'Afton Update'!CB$589,0)</f>
        <v>0.9</v>
      </c>
      <c r="P411" s="636">
        <f>VLOOKUP($B411,'Afton Update'!$A$5:$CR$582,'Afton Update'!AH$589,0)</f>
        <v>675668.00566603825</v>
      </c>
      <c r="Q411" s="637">
        <f>VLOOKUP($B411,'Afton Update'!$A$5:$CR$582,'Afton Update'!AI$589,0)</f>
        <v>161518.61383112997</v>
      </c>
      <c r="R411" s="637">
        <f>VLOOKUP($B411,'Afton Update'!$A$5:$CR$582,'Afton Update'!AJ$589,0)</f>
        <v>242768.17846816557</v>
      </c>
      <c r="S411" s="637">
        <f>VLOOKUP($B411,'Afton Update'!$A$5:$CR$582,'Afton Update'!AK$589,0)</f>
        <v>176485.86670458305</v>
      </c>
      <c r="T411" s="643">
        <f t="shared" si="1307"/>
        <v>1256440.664669917</v>
      </c>
      <c r="V411" s="636">
        <f t="shared" si="1333"/>
        <v>682951.27203713963</v>
      </c>
      <c r="W411" s="637">
        <f t="shared" si="1334"/>
        <v>159914.66767267449</v>
      </c>
      <c r="X411" s="637">
        <f t="shared" si="1335"/>
        <v>245723.31639828547</v>
      </c>
      <c r="Y411" s="637">
        <f t="shared" si="1336"/>
        <v>174541.31014428672</v>
      </c>
      <c r="Z411" s="643">
        <f t="shared" si="1337"/>
        <v>1263130.5662523862</v>
      </c>
      <c r="AB411" s="644">
        <f t="shared" si="1308"/>
        <v>675668.00566603825</v>
      </c>
      <c r="AC411" s="645">
        <f t="shared" si="1304"/>
        <v>682951.27203713963</v>
      </c>
      <c r="AD411" s="644">
        <f t="shared" si="1338"/>
        <v>7283.2663711013738</v>
      </c>
      <c r="AE411" s="645">
        <f t="shared" si="1339"/>
        <v>0</v>
      </c>
      <c r="AF411" s="646">
        <f t="shared" si="1340"/>
        <v>0</v>
      </c>
      <c r="AG411" s="647">
        <f t="shared" si="1341"/>
        <v>682951.27203713963</v>
      </c>
      <c r="AH411" s="644">
        <f t="shared" si="1309"/>
        <v>0</v>
      </c>
      <c r="AI411" s="645">
        <f t="shared" si="1310"/>
        <v>0</v>
      </c>
      <c r="AJ411" s="646">
        <f t="shared" si="1342"/>
        <v>0</v>
      </c>
      <c r="AK411" s="647">
        <f t="shared" si="1311"/>
        <v>682951.27203713963</v>
      </c>
      <c r="AL411" s="644">
        <f t="shared" si="1343"/>
        <v>0</v>
      </c>
      <c r="AM411" s="645">
        <f t="shared" si="1344"/>
        <v>0</v>
      </c>
      <c r="AN411" s="646">
        <f t="shared" si="1345"/>
        <v>0</v>
      </c>
      <c r="AO411" s="647">
        <f t="shared" si="1312"/>
        <v>682951.27203713963</v>
      </c>
      <c r="AP411" s="644">
        <f t="shared" si="1346"/>
        <v>0</v>
      </c>
      <c r="AQ411" s="645">
        <f t="shared" si="1347"/>
        <v>0</v>
      </c>
      <c r="AR411" s="646">
        <f t="shared" si="1348"/>
        <v>0</v>
      </c>
      <c r="AS411" s="647">
        <f t="shared" si="1313"/>
        <v>682951.27203713963</v>
      </c>
      <c r="AT411" s="644">
        <f t="shared" si="1349"/>
        <v>0</v>
      </c>
      <c r="AU411" s="645">
        <f t="shared" si="1350"/>
        <v>0</v>
      </c>
      <c r="AV411" s="646">
        <f t="shared" si="1351"/>
        <v>0</v>
      </c>
      <c r="AW411" s="647">
        <f t="shared" si="1314"/>
        <v>682951.27203713963</v>
      </c>
      <c r="AY411" s="644">
        <f t="shared" si="1352"/>
        <v>161518.61383112997</v>
      </c>
      <c r="AZ411" s="645">
        <f t="shared" si="1282"/>
        <v>159914.66767267449</v>
      </c>
      <c r="BA411" s="644">
        <f t="shared" si="1353"/>
        <v>0</v>
      </c>
      <c r="BB411" s="645">
        <f t="shared" si="1354"/>
        <v>161518.61383112997</v>
      </c>
      <c r="BC411" s="646">
        <f t="shared" si="1355"/>
        <v>-1161.5274235010415</v>
      </c>
      <c r="BD411" s="647">
        <f t="shared" si="1356"/>
        <v>160357.08640762893</v>
      </c>
      <c r="BE411" s="644">
        <f t="shared" si="1315"/>
        <v>0</v>
      </c>
      <c r="BF411" s="645">
        <f t="shared" si="1316"/>
        <v>160357.08640762893</v>
      </c>
      <c r="BG411" s="646">
        <f t="shared" si="1357"/>
        <v>-3819.5751166321934</v>
      </c>
      <c r="BH411" s="647">
        <f t="shared" si="1317"/>
        <v>156537.51129099674</v>
      </c>
      <c r="BI411" s="644">
        <f t="shared" si="1358"/>
        <v>-3377.1563816777489</v>
      </c>
      <c r="BJ411" s="645">
        <f t="shared" si="1359"/>
        <v>0</v>
      </c>
      <c r="BK411" s="646">
        <f t="shared" si="1360"/>
        <v>0</v>
      </c>
      <c r="BL411" s="647">
        <f t="shared" si="1318"/>
        <v>159914.66767267449</v>
      </c>
      <c r="BM411" s="644">
        <f t="shared" si="1361"/>
        <v>0</v>
      </c>
      <c r="BN411" s="645">
        <f t="shared" si="1362"/>
        <v>0</v>
      </c>
      <c r="BO411" s="646">
        <f t="shared" si="1363"/>
        <v>0</v>
      </c>
      <c r="BP411" s="647">
        <f t="shared" si="1319"/>
        <v>159914.66767267449</v>
      </c>
      <c r="BQ411" s="644">
        <f t="shared" si="1364"/>
        <v>0</v>
      </c>
      <c r="BR411" s="645">
        <f t="shared" si="1365"/>
        <v>0</v>
      </c>
      <c r="BS411" s="646">
        <f t="shared" si="1366"/>
        <v>0</v>
      </c>
      <c r="BT411" s="647">
        <f t="shared" si="1320"/>
        <v>159914.66767267449</v>
      </c>
      <c r="BU411" s="662">
        <f>VLOOKUP(B411,'Afton Update'!$A$5:$AR$582,'Afton Update'!$AO$589,0)-BT411</f>
        <v>0</v>
      </c>
      <c r="BV411" s="644">
        <f t="shared" si="1367"/>
        <v>242768.17846816557</v>
      </c>
      <c r="BW411" s="645">
        <f t="shared" si="1305"/>
        <v>245723.31639828547</v>
      </c>
      <c r="BX411" s="644">
        <f t="shared" si="1368"/>
        <v>2955.1379301199049</v>
      </c>
      <c r="BY411" s="645">
        <f t="shared" si="1369"/>
        <v>0</v>
      </c>
      <c r="BZ411" s="646">
        <f t="shared" si="1370"/>
        <v>0</v>
      </c>
      <c r="CA411" s="647">
        <f t="shared" si="1371"/>
        <v>245723.31639828547</v>
      </c>
      <c r="CB411" s="644">
        <f t="shared" si="1321"/>
        <v>0</v>
      </c>
      <c r="CC411" s="645">
        <f t="shared" si="1322"/>
        <v>0</v>
      </c>
      <c r="CD411" s="646">
        <f t="shared" si="1372"/>
        <v>0</v>
      </c>
      <c r="CE411" s="647">
        <f t="shared" si="1323"/>
        <v>245723.31639828547</v>
      </c>
      <c r="CF411" s="644">
        <f t="shared" si="1373"/>
        <v>0</v>
      </c>
      <c r="CG411" s="645">
        <f t="shared" si="1374"/>
        <v>0</v>
      </c>
      <c r="CH411" s="646">
        <f t="shared" si="1375"/>
        <v>0</v>
      </c>
      <c r="CI411" s="647">
        <f t="shared" si="1324"/>
        <v>245723.31639828547</v>
      </c>
      <c r="CJ411" s="644">
        <f t="shared" si="1376"/>
        <v>0</v>
      </c>
      <c r="CK411" s="645">
        <f t="shared" si="1377"/>
        <v>0</v>
      </c>
      <c r="CL411" s="646">
        <f t="shared" si="1378"/>
        <v>0</v>
      </c>
      <c r="CM411" s="647">
        <f t="shared" si="1325"/>
        <v>245723.31639828547</v>
      </c>
      <c r="CN411" s="644">
        <f t="shared" si="1379"/>
        <v>0</v>
      </c>
      <c r="CO411" s="645">
        <f t="shared" si="1380"/>
        <v>0</v>
      </c>
      <c r="CP411" s="646">
        <f t="shared" si="1381"/>
        <v>0</v>
      </c>
      <c r="CQ411" s="647">
        <f t="shared" si="1326"/>
        <v>245723.31639828547</v>
      </c>
      <c r="CS411" s="644">
        <f t="shared" si="1382"/>
        <v>176485.86670458305</v>
      </c>
      <c r="CT411" s="645">
        <f t="shared" si="1306"/>
        <v>165860.18554413493</v>
      </c>
      <c r="CU411" s="644">
        <f t="shared" si="1383"/>
        <v>0</v>
      </c>
      <c r="CV411" s="645">
        <f t="shared" si="1384"/>
        <v>176485.86670458305</v>
      </c>
      <c r="CW411" s="646">
        <f t="shared" si="1385"/>
        <v>-1807.3150110966055</v>
      </c>
      <c r="CX411" s="647">
        <f t="shared" si="1386"/>
        <v>174678.55169348646</v>
      </c>
      <c r="CY411" s="644">
        <f t="shared" si="1327"/>
        <v>0</v>
      </c>
      <c r="CZ411" s="645">
        <f t="shared" si="1328"/>
        <v>174678.55169348646</v>
      </c>
      <c r="DA411" s="646">
        <f t="shared" si="1387"/>
        <v>-137.12329743472381</v>
      </c>
      <c r="DB411" s="647">
        <f t="shared" si="1329"/>
        <v>174541.42839605172</v>
      </c>
      <c r="DC411" s="644">
        <f t="shared" si="1388"/>
        <v>0</v>
      </c>
      <c r="DD411" s="645">
        <f t="shared" si="1389"/>
        <v>174541.42839605172</v>
      </c>
      <c r="DE411" s="646">
        <f t="shared" si="1390"/>
        <v>-0.11825176500568588</v>
      </c>
      <c r="DF411" s="647">
        <f t="shared" si="1330"/>
        <v>174541.31014428672</v>
      </c>
      <c r="DG411" s="644">
        <f t="shared" si="1391"/>
        <v>0</v>
      </c>
      <c r="DH411" s="645">
        <f t="shared" si="1392"/>
        <v>174541.31014428672</v>
      </c>
      <c r="DI411" s="646">
        <f t="shared" si="1393"/>
        <v>0</v>
      </c>
      <c r="DJ411" s="647">
        <f t="shared" si="1331"/>
        <v>174541.31014428672</v>
      </c>
      <c r="DK411" s="644">
        <f t="shared" si="1394"/>
        <v>0</v>
      </c>
      <c r="DL411" s="645">
        <f t="shared" si="1395"/>
        <v>174541.31014428672</v>
      </c>
      <c r="DM411" s="646">
        <f t="shared" si="1396"/>
        <v>0</v>
      </c>
      <c r="DN411" s="647">
        <f t="shared" si="1332"/>
        <v>174541.31014428672</v>
      </c>
      <c r="DR411" s="827">
        <f t="shared" si="1283"/>
        <v>1263130.5662523862</v>
      </c>
      <c r="DV411" s="828">
        <f>IFERROR(VLOOKUP($B411,'Afton FY16 Final'!$A$5:$BV$587,'Afton FY16 Final'!$BV$587,0),0)</f>
        <v>1237487.0262142532</v>
      </c>
      <c r="DX411" s="636">
        <f t="shared" si="1274"/>
        <v>1263130.5662523862</v>
      </c>
      <c r="DY411" s="637">
        <f t="shared" si="1275"/>
        <v>25643.54003813304</v>
      </c>
      <c r="DZ411" s="637">
        <f t="shared" si="1276"/>
        <v>1237487.0262142532</v>
      </c>
      <c r="EA411" s="643">
        <f t="shared" si="1277"/>
        <v>1195946.1765384718</v>
      </c>
      <c r="EB411" s="637">
        <f t="shared" si="1284"/>
        <v>1237487.0262142532</v>
      </c>
      <c r="EC411" s="637">
        <f t="shared" si="1285"/>
        <v>0</v>
      </c>
      <c r="ED411" s="637">
        <f t="shared" si="1286"/>
        <v>0</v>
      </c>
      <c r="EE411" s="643">
        <f t="shared" si="1287"/>
        <v>1237487.0262142532</v>
      </c>
      <c r="EF411" s="637">
        <f t="shared" si="1288"/>
        <v>0</v>
      </c>
      <c r="EG411" s="637">
        <f t="shared" si="1289"/>
        <v>0</v>
      </c>
      <c r="EH411" s="637">
        <f t="shared" si="1290"/>
        <v>0</v>
      </c>
      <c r="EI411" s="643">
        <f t="shared" si="1291"/>
        <v>1237487.0262142532</v>
      </c>
      <c r="EJ411" s="637">
        <f t="shared" si="1292"/>
        <v>0</v>
      </c>
      <c r="EK411" s="637">
        <f t="shared" si="1293"/>
        <v>0</v>
      </c>
      <c r="EL411" s="637">
        <f t="shared" si="1294"/>
        <v>0</v>
      </c>
      <c r="EM411" s="643">
        <f t="shared" si="1295"/>
        <v>1237487.0262142532</v>
      </c>
      <c r="EN411" s="637">
        <f t="shared" si="1296"/>
        <v>0</v>
      </c>
      <c r="EO411" s="637">
        <f t="shared" si="1297"/>
        <v>0</v>
      </c>
      <c r="EP411" s="637">
        <f t="shared" si="1298"/>
        <v>0</v>
      </c>
      <c r="EQ411" s="643">
        <f t="shared" si="1299"/>
        <v>1237487.0262142532</v>
      </c>
      <c r="ER411" s="637">
        <f t="shared" si="1300"/>
        <v>0</v>
      </c>
      <c r="ES411" s="637">
        <f t="shared" si="1301"/>
        <v>0</v>
      </c>
      <c r="ET411" s="637">
        <f t="shared" si="1302"/>
        <v>0</v>
      </c>
      <c r="EU411" s="643">
        <f t="shared" si="1278"/>
        <v>1237487.0262142532</v>
      </c>
      <c r="EV411" s="643">
        <f t="shared" si="1279"/>
        <v>0</v>
      </c>
      <c r="EX411" s="829">
        <f t="shared" si="1280"/>
        <v>25643.54003813304</v>
      </c>
      <c r="EY411" s="638">
        <f t="shared" si="1281"/>
        <v>1237487.0262142532</v>
      </c>
      <c r="FC411" s="830" t="str">
        <f t="shared" si="1303"/>
        <v>Y</v>
      </c>
      <c r="FE411" s="830" t="str">
        <f>IFERROR(VLOOKUP($B411,'Historical Conc Grant Elig'!$B$3:$J$707,'HH &amp; SI'!FE$2,0),"N")</f>
        <v>N</v>
      </c>
      <c r="FF411" s="830" t="str">
        <f>IFERROR(VLOOKUP($B411,'Historical Conc Grant Elig'!$B$3:$J$707,'HH &amp; SI'!FF$2,0),"N")</f>
        <v>N</v>
      </c>
      <c r="FG411" s="830" t="str">
        <f>IFERROR(VLOOKUP($B411,'Historical Conc Grant Elig'!$B$3:$J$707,'HH &amp; SI'!FG$2,0),"N")</f>
        <v>N</v>
      </c>
      <c r="FH411" s="830" t="str">
        <f>IFERROR(VLOOKUP($B411,'Historical Conc Grant Elig'!$B$3:$J$707,'HH &amp; SI'!FH$2,0),"N")</f>
        <v>N</v>
      </c>
      <c r="FI411" s="830" t="str">
        <f>IFERROR(VLOOKUP($B411,'Historical Conc Grant Elig'!$B$3:$J$707,'HH &amp; SI'!FI$2,0),"N")</f>
        <v>Y</v>
      </c>
      <c r="FJ411" s="830" t="str">
        <f>IFERROR(VLOOKUP($B411,'Historical Conc Grant Elig'!$B$3:$J$707,'HH &amp; SI'!FJ$2,0),"N")</f>
        <v>Y</v>
      </c>
      <c r="FK411" s="830" t="str">
        <f>IFERROR(VLOOKUP($B411,'Historical Conc Grant Elig'!$B$3:$J$707,'HH &amp; SI'!FK$2,0),"N")</f>
        <v>Y</v>
      </c>
      <c r="FL411" s="957" t="str">
        <f>IFERROR(VLOOKUP($B411,'Historical Conc Grant Elig'!$B$3:$J$707,'HH &amp; SI'!FL$2,0),"N")</f>
        <v>Y</v>
      </c>
    </row>
    <row r="412" spans="2:168" x14ac:dyDescent="0.25">
      <c r="B412" s="634">
        <v>110302000</v>
      </c>
      <c r="C412" s="635" t="str">
        <f>VLOOKUP($B412,'Afton Update'!$A$5:$CR$582,'Afton Update'!D$589,0)</f>
        <v>Oracle Elementary District</v>
      </c>
      <c r="D412" s="636">
        <f>IFERROR(VLOOKUP($B412,'Afton FY16 Final'!$A$5:$BV$587,'Afton FY16 Final'!AQ$587,0),0)</f>
        <v>60483.661095858137</v>
      </c>
      <c r="E412" s="637">
        <f>IFERROR(VLOOKUP($B412,'Afton FY16 Final'!$A$5:$BV$587,'Afton FY16 Final'!AR$587,0),0)</f>
        <v>14054.48795122095</v>
      </c>
      <c r="F412" s="637">
        <f>IFERROR(VLOOKUP($B412,'Afton FY16 Final'!$A$5:$BV$587,'Afton FY16 Final'!AS$587,0),0)</f>
        <v>19339.779475450505</v>
      </c>
      <c r="G412" s="637">
        <f>IFERROR(VLOOKUP($B412,'Afton FY16 Final'!$A$5:$BV$587,'Afton FY16 Final'!AT$587,0),0)</f>
        <v>11698.155649957951</v>
      </c>
      <c r="H412" s="638">
        <f>IFERROR(VLOOKUP($B412,'Afton FY16 Final'!$A$5:$BV$587,'Afton FY16 Final'!AU$587,0),0)</f>
        <v>105576.08417248754</v>
      </c>
      <c r="I412" s="639" t="str">
        <f>VLOOKUP($B412,'Afton Update'!$A$5:$CR$582,'Afton Update'!BT$589,0)</f>
        <v>Y</v>
      </c>
      <c r="J412" s="640" t="str">
        <f>VLOOKUP($B412,'Afton Update'!$A$5:$CR$582,'Afton Update'!BU$589,0)</f>
        <v>Y</v>
      </c>
      <c r="K412" s="640" t="str">
        <f>VLOOKUP($B412,'Afton Update'!$A$5:$CR$582,'Afton Update'!BV$589,0)</f>
        <v>Y</v>
      </c>
      <c r="L412" s="641" t="str">
        <f>VLOOKUP($B412,'Afton Update'!$A$5:$CR$582,'Afton Update'!BW$589,0)</f>
        <v>Y</v>
      </c>
      <c r="N412" s="642">
        <f>VLOOKUP($B412,'Afton Update'!$A$5:$CR$582,'Afton Update'!CB$589,0)</f>
        <v>0.9</v>
      </c>
      <c r="P412" s="636">
        <f>VLOOKUP($B412,'Afton Update'!$A$5:$CR$582,'Afton Update'!AH$589,0)</f>
        <v>93135.796567088852</v>
      </c>
      <c r="Q412" s="637">
        <f>VLOOKUP($B412,'Afton Update'!$A$5:$CR$582,'Afton Update'!AI$589,0)</f>
        <v>23598.601997768976</v>
      </c>
      <c r="R412" s="637">
        <f>VLOOKUP($B412,'Afton Update'!$A$5:$CR$582,'Afton Update'!AJ$589,0)</f>
        <v>33426.816712272332</v>
      </c>
      <c r="S412" s="637">
        <f>VLOOKUP($B412,'Afton Update'!$A$5:$CR$582,'Afton Update'!AK$589,0)</f>
        <v>24556.387868173697</v>
      </c>
      <c r="T412" s="643">
        <f t="shared" si="1307"/>
        <v>174717.60314530384</v>
      </c>
      <c r="V412" s="636">
        <f t="shared" si="1333"/>
        <v>91865.363850852416</v>
      </c>
      <c r="W412" s="637">
        <f t="shared" si="1334"/>
        <v>22821.350326699383</v>
      </c>
      <c r="X412" s="637">
        <f t="shared" si="1335"/>
        <v>33122.812865281332</v>
      </c>
      <c r="Y412" s="637">
        <f t="shared" si="1336"/>
        <v>24285.820677622578</v>
      </c>
      <c r="Z412" s="643">
        <f t="shared" si="1337"/>
        <v>172095.3477204557</v>
      </c>
      <c r="AB412" s="644">
        <f t="shared" si="1308"/>
        <v>93135.796567088852</v>
      </c>
      <c r="AC412" s="645">
        <f t="shared" si="1304"/>
        <v>54435.294986272325</v>
      </c>
      <c r="AD412" s="644">
        <f t="shared" si="1338"/>
        <v>0</v>
      </c>
      <c r="AE412" s="645">
        <f t="shared" si="1339"/>
        <v>93135.796567088852</v>
      </c>
      <c r="AF412" s="646">
        <f t="shared" si="1340"/>
        <v>-1154.4881881370954</v>
      </c>
      <c r="AG412" s="647">
        <f t="shared" si="1341"/>
        <v>91981.308378951755</v>
      </c>
      <c r="AH412" s="644">
        <f t="shared" si="1309"/>
        <v>0</v>
      </c>
      <c r="AI412" s="645">
        <f t="shared" si="1310"/>
        <v>91981.308378951755</v>
      </c>
      <c r="AJ412" s="646">
        <f t="shared" si="1342"/>
        <v>-115.87066019659089</v>
      </c>
      <c r="AK412" s="647">
        <f t="shared" si="1311"/>
        <v>91865.437718755158</v>
      </c>
      <c r="AL412" s="644">
        <f t="shared" si="1343"/>
        <v>0</v>
      </c>
      <c r="AM412" s="645">
        <f t="shared" si="1344"/>
        <v>91865.437718755158</v>
      </c>
      <c r="AN412" s="646">
        <f t="shared" si="1345"/>
        <v>-7.3867902736914917E-2</v>
      </c>
      <c r="AO412" s="647">
        <f t="shared" si="1312"/>
        <v>91865.363850852416</v>
      </c>
      <c r="AP412" s="644">
        <f t="shared" si="1346"/>
        <v>0</v>
      </c>
      <c r="AQ412" s="645">
        <f t="shared" si="1347"/>
        <v>91865.363850852416</v>
      </c>
      <c r="AR412" s="646">
        <f t="shared" si="1348"/>
        <v>0</v>
      </c>
      <c r="AS412" s="647">
        <f t="shared" si="1313"/>
        <v>91865.363850852416</v>
      </c>
      <c r="AT412" s="644">
        <f t="shared" si="1349"/>
        <v>0</v>
      </c>
      <c r="AU412" s="645">
        <f t="shared" si="1350"/>
        <v>91865.363850852416</v>
      </c>
      <c r="AV412" s="646">
        <f t="shared" si="1351"/>
        <v>0</v>
      </c>
      <c r="AW412" s="647">
        <f t="shared" si="1314"/>
        <v>91865.363850852416</v>
      </c>
      <c r="AY412" s="644">
        <f t="shared" si="1352"/>
        <v>23598.601997768976</v>
      </c>
      <c r="AZ412" s="645">
        <f t="shared" si="1282"/>
        <v>12649.039156098856</v>
      </c>
      <c r="BA412" s="644">
        <f t="shared" si="1353"/>
        <v>0</v>
      </c>
      <c r="BB412" s="645">
        <f t="shared" si="1354"/>
        <v>23598.601997768976</v>
      </c>
      <c r="BC412" s="646">
        <f t="shared" si="1355"/>
        <v>-169.70442431702097</v>
      </c>
      <c r="BD412" s="647">
        <f t="shared" si="1356"/>
        <v>23428.897573451955</v>
      </c>
      <c r="BE412" s="644">
        <f t="shared" si="1315"/>
        <v>0</v>
      </c>
      <c r="BF412" s="645">
        <f t="shared" si="1316"/>
        <v>23428.897573451955</v>
      </c>
      <c r="BG412" s="646">
        <f t="shared" si="1357"/>
        <v>-558.05724702556142</v>
      </c>
      <c r="BH412" s="647">
        <f t="shared" si="1317"/>
        <v>22870.840326426394</v>
      </c>
      <c r="BI412" s="644">
        <f t="shared" si="1358"/>
        <v>0</v>
      </c>
      <c r="BJ412" s="645">
        <f t="shared" si="1359"/>
        <v>22870.840326426394</v>
      </c>
      <c r="BK412" s="646">
        <f t="shared" si="1360"/>
        <v>-48.445811531588113</v>
      </c>
      <c r="BL412" s="647">
        <f t="shared" si="1318"/>
        <v>22822.394514894808</v>
      </c>
      <c r="BM412" s="644">
        <f t="shared" si="1361"/>
        <v>0</v>
      </c>
      <c r="BN412" s="645">
        <f t="shared" si="1362"/>
        <v>22822.394514894808</v>
      </c>
      <c r="BO412" s="646">
        <f t="shared" si="1363"/>
        <v>-1.0441881954247358</v>
      </c>
      <c r="BP412" s="647">
        <f t="shared" si="1319"/>
        <v>22821.350326699383</v>
      </c>
      <c r="BQ412" s="644">
        <f t="shared" si="1364"/>
        <v>0</v>
      </c>
      <c r="BR412" s="645">
        <f t="shared" si="1365"/>
        <v>22821.350326699383</v>
      </c>
      <c r="BS412" s="646">
        <f t="shared" si="1366"/>
        <v>0</v>
      </c>
      <c r="BT412" s="647">
        <f t="shared" si="1320"/>
        <v>22821.350326699383</v>
      </c>
      <c r="BU412" s="662">
        <f>VLOOKUP(B412,'Afton Update'!$A$5:$AR$582,'Afton Update'!$AO$589,0)-BT412</f>
        <v>0</v>
      </c>
      <c r="BV412" s="644">
        <f t="shared" si="1367"/>
        <v>33426.816712272332</v>
      </c>
      <c r="BW412" s="645">
        <f t="shared" si="1305"/>
        <v>17405.801527905456</v>
      </c>
      <c r="BX412" s="644">
        <f t="shared" si="1368"/>
        <v>0</v>
      </c>
      <c r="BY412" s="645">
        <f t="shared" si="1369"/>
        <v>33426.816712272332</v>
      </c>
      <c r="BZ412" s="646">
        <f t="shared" si="1370"/>
        <v>-293.39072418306449</v>
      </c>
      <c r="CA412" s="647">
        <f t="shared" si="1371"/>
        <v>33133.425988089264</v>
      </c>
      <c r="CB412" s="644">
        <f t="shared" si="1321"/>
        <v>0</v>
      </c>
      <c r="CC412" s="645">
        <f t="shared" si="1322"/>
        <v>33133.425988089264</v>
      </c>
      <c r="CD412" s="646">
        <f t="shared" si="1372"/>
        <v>-10.613122807930839</v>
      </c>
      <c r="CE412" s="647">
        <f t="shared" si="1323"/>
        <v>33122.812865281332</v>
      </c>
      <c r="CF412" s="644">
        <f t="shared" si="1373"/>
        <v>0</v>
      </c>
      <c r="CG412" s="645">
        <f t="shared" si="1374"/>
        <v>33122.812865281332</v>
      </c>
      <c r="CH412" s="646">
        <f t="shared" si="1375"/>
        <v>0</v>
      </c>
      <c r="CI412" s="647">
        <f t="shared" si="1324"/>
        <v>33122.812865281332</v>
      </c>
      <c r="CJ412" s="644">
        <f t="shared" si="1376"/>
        <v>0</v>
      </c>
      <c r="CK412" s="645">
        <f t="shared" si="1377"/>
        <v>33122.812865281332</v>
      </c>
      <c r="CL412" s="646">
        <f t="shared" si="1378"/>
        <v>0</v>
      </c>
      <c r="CM412" s="647">
        <f t="shared" si="1325"/>
        <v>33122.812865281332</v>
      </c>
      <c r="CN412" s="644">
        <f t="shared" si="1379"/>
        <v>0</v>
      </c>
      <c r="CO412" s="645">
        <f t="shared" si="1380"/>
        <v>33122.812865281332</v>
      </c>
      <c r="CP412" s="646">
        <f t="shared" si="1381"/>
        <v>0</v>
      </c>
      <c r="CQ412" s="647">
        <f t="shared" si="1326"/>
        <v>33122.812865281332</v>
      </c>
      <c r="CS412" s="644">
        <f t="shared" si="1382"/>
        <v>24556.387868173697</v>
      </c>
      <c r="CT412" s="645">
        <f t="shared" si="1306"/>
        <v>10528.340084962156</v>
      </c>
      <c r="CU412" s="644">
        <f t="shared" si="1383"/>
        <v>0</v>
      </c>
      <c r="CV412" s="645">
        <f t="shared" si="1384"/>
        <v>24556.387868173697</v>
      </c>
      <c r="CW412" s="646">
        <f t="shared" si="1385"/>
        <v>-251.47128912452675</v>
      </c>
      <c r="CX412" s="647">
        <f t="shared" si="1386"/>
        <v>24304.916579049172</v>
      </c>
      <c r="CY412" s="644">
        <f t="shared" si="1327"/>
        <v>0</v>
      </c>
      <c r="CZ412" s="645">
        <f t="shared" si="1328"/>
        <v>24304.916579049172</v>
      </c>
      <c r="DA412" s="646">
        <f t="shared" si="1387"/>
        <v>-19.079447779274119</v>
      </c>
      <c r="DB412" s="647">
        <f t="shared" si="1329"/>
        <v>24285.837131269898</v>
      </c>
      <c r="DC412" s="644">
        <f t="shared" si="1388"/>
        <v>0</v>
      </c>
      <c r="DD412" s="645">
        <f t="shared" si="1389"/>
        <v>24285.837131269898</v>
      </c>
      <c r="DE412" s="646">
        <f t="shared" si="1390"/>
        <v>-1.6453647319172805E-2</v>
      </c>
      <c r="DF412" s="647">
        <f t="shared" si="1330"/>
        <v>24285.820677622578</v>
      </c>
      <c r="DG412" s="644">
        <f t="shared" si="1391"/>
        <v>0</v>
      </c>
      <c r="DH412" s="645">
        <f t="shared" si="1392"/>
        <v>24285.820677622578</v>
      </c>
      <c r="DI412" s="646">
        <f t="shared" si="1393"/>
        <v>0</v>
      </c>
      <c r="DJ412" s="647">
        <f t="shared" si="1331"/>
        <v>24285.820677622578</v>
      </c>
      <c r="DK412" s="644">
        <f t="shared" si="1394"/>
        <v>0</v>
      </c>
      <c r="DL412" s="645">
        <f t="shared" si="1395"/>
        <v>24285.820677622578</v>
      </c>
      <c r="DM412" s="646">
        <f t="shared" si="1396"/>
        <v>0</v>
      </c>
      <c r="DN412" s="647">
        <f t="shared" si="1332"/>
        <v>24285.820677622578</v>
      </c>
      <c r="DR412" s="827">
        <f t="shared" si="1283"/>
        <v>172095.3477204557</v>
      </c>
      <c r="DV412" s="828">
        <f>IFERROR(VLOOKUP($B412,'Afton FY16 Final'!$A$5:$BV$587,'Afton FY16 Final'!$BV$587,0),0)</f>
        <v>103497.29109261559</v>
      </c>
      <c r="DX412" s="636">
        <f t="shared" si="1274"/>
        <v>172095.3477204557</v>
      </c>
      <c r="DY412" s="637">
        <f t="shared" si="1275"/>
        <v>68598.056627840109</v>
      </c>
      <c r="DZ412" s="637">
        <f t="shared" si="1276"/>
        <v>103497.29109261559</v>
      </c>
      <c r="EA412" s="643">
        <f t="shared" si="1277"/>
        <v>162941.80396329158</v>
      </c>
      <c r="EB412" s="637">
        <f t="shared" si="1284"/>
        <v>0</v>
      </c>
      <c r="EC412" s="637">
        <f t="shared" si="1285"/>
        <v>162941.80396329158</v>
      </c>
      <c r="ED412" s="637">
        <f t="shared" si="1286"/>
        <v>162455.92123275765</v>
      </c>
      <c r="EE412" s="643">
        <f t="shared" si="1287"/>
        <v>162455.92123275765</v>
      </c>
      <c r="EF412" s="637">
        <f t="shared" si="1288"/>
        <v>0</v>
      </c>
      <c r="EG412" s="637">
        <f t="shared" si="1289"/>
        <v>162455.92123275765</v>
      </c>
      <c r="EH412" s="637">
        <f t="shared" si="1290"/>
        <v>162455.75363332484</v>
      </c>
      <c r="EI412" s="643">
        <f t="shared" si="1291"/>
        <v>162455.75363332484</v>
      </c>
      <c r="EJ412" s="637">
        <f t="shared" si="1292"/>
        <v>0</v>
      </c>
      <c r="EK412" s="637">
        <f t="shared" si="1293"/>
        <v>162455.75363332484</v>
      </c>
      <c r="EL412" s="637">
        <f t="shared" si="1294"/>
        <v>162455.75363332464</v>
      </c>
      <c r="EM412" s="643">
        <f t="shared" si="1295"/>
        <v>162455.75363332464</v>
      </c>
      <c r="EN412" s="637">
        <f t="shared" si="1296"/>
        <v>0</v>
      </c>
      <c r="EO412" s="637">
        <f t="shared" si="1297"/>
        <v>162455.75363332464</v>
      </c>
      <c r="EP412" s="637">
        <f t="shared" si="1298"/>
        <v>162455.7536333249</v>
      </c>
      <c r="EQ412" s="643">
        <f t="shared" si="1299"/>
        <v>162455.7536333249</v>
      </c>
      <c r="ER412" s="637">
        <f t="shared" si="1300"/>
        <v>0</v>
      </c>
      <c r="ES412" s="637">
        <f t="shared" si="1301"/>
        <v>162455.7536333249</v>
      </c>
      <c r="ET412" s="637">
        <f t="shared" si="1302"/>
        <v>162455.75363332464</v>
      </c>
      <c r="EU412" s="643">
        <f t="shared" si="1278"/>
        <v>162455.75363332464</v>
      </c>
      <c r="EV412" s="643">
        <f t="shared" si="1279"/>
        <v>0</v>
      </c>
      <c r="EX412" s="829">
        <f t="shared" si="1280"/>
        <v>9639.5940871310595</v>
      </c>
      <c r="EY412" s="638">
        <f t="shared" si="1281"/>
        <v>162455.75363332464</v>
      </c>
      <c r="FC412" s="830" t="str">
        <f t="shared" si="1303"/>
        <v>Y</v>
      </c>
      <c r="FE412" s="830" t="str">
        <f>IFERROR(VLOOKUP($B412,'Historical Conc Grant Elig'!$B$3:$J$707,'HH &amp; SI'!FE$2,0),"N")</f>
        <v>N</v>
      </c>
      <c r="FF412" s="830" t="str">
        <f>IFERROR(VLOOKUP($B412,'Historical Conc Grant Elig'!$B$3:$J$707,'HH &amp; SI'!FF$2,0),"N")</f>
        <v>N</v>
      </c>
      <c r="FG412" s="830" t="str">
        <f>IFERROR(VLOOKUP($B412,'Historical Conc Grant Elig'!$B$3:$J$707,'HH &amp; SI'!FG$2,0),"N")</f>
        <v>N</v>
      </c>
      <c r="FH412" s="830" t="str">
        <f>IFERROR(VLOOKUP($B412,'Historical Conc Grant Elig'!$B$3:$J$707,'HH &amp; SI'!FH$2,0),"N")</f>
        <v>Y</v>
      </c>
      <c r="FI412" s="830" t="str">
        <f>IFERROR(VLOOKUP($B412,'Historical Conc Grant Elig'!$B$3:$J$707,'HH &amp; SI'!FI$2,0),"N")</f>
        <v>N</v>
      </c>
      <c r="FJ412" s="830" t="str">
        <f>IFERROR(VLOOKUP($B412,'Historical Conc Grant Elig'!$B$3:$J$707,'HH &amp; SI'!FJ$2,0),"N")</f>
        <v>N</v>
      </c>
      <c r="FK412" s="830" t="str">
        <f>IFERROR(VLOOKUP($B412,'Historical Conc Grant Elig'!$B$3:$J$707,'HH &amp; SI'!FK$2,0),"N")</f>
        <v>Y</v>
      </c>
      <c r="FL412" s="957" t="str">
        <f>IFERROR(VLOOKUP($B412,'Historical Conc Grant Elig'!$B$3:$J$707,'HH &amp; SI'!FL$2,0),"N")</f>
        <v>Y</v>
      </c>
    </row>
    <row r="413" spans="2:168" x14ac:dyDescent="0.25">
      <c r="B413" s="634">
        <v>110404000</v>
      </c>
      <c r="C413" s="635" t="str">
        <f>VLOOKUP($B413,'Afton Update'!$A$5:$CR$582,'Afton Update'!D$589,0)</f>
        <v>Casa Grande Elementary District</v>
      </c>
      <c r="D413" s="636">
        <f>IFERROR(VLOOKUP($B413,'Afton FY16 Final'!$A$5:$BV$587,'Afton FY16 Final'!AQ$587,0),0)</f>
        <v>1004892.4221306746</v>
      </c>
      <c r="E413" s="637">
        <f>IFERROR(VLOOKUP($B413,'Afton FY16 Final'!$A$5:$BV$587,'Afton FY16 Final'!AR$587,0),0)</f>
        <v>235007.96370308541</v>
      </c>
      <c r="F413" s="637">
        <f>IFERROR(VLOOKUP($B413,'Afton FY16 Final'!$A$5:$BV$587,'Afton FY16 Final'!AS$587,0),0)</f>
        <v>395043.21018647833</v>
      </c>
      <c r="G413" s="637">
        <f>IFERROR(VLOOKUP($B413,'Afton FY16 Final'!$A$5:$BV$587,'Afton FY16 Final'!AT$587,0),0)</f>
        <v>302413.28903490695</v>
      </c>
      <c r="H413" s="638">
        <f>IFERROR(VLOOKUP($B413,'Afton FY16 Final'!$A$5:$BV$587,'Afton FY16 Final'!AU$587,0),0)</f>
        <v>1937356.8850551455</v>
      </c>
      <c r="I413" s="639" t="str">
        <f>VLOOKUP($B413,'Afton Update'!$A$5:$CR$582,'Afton Update'!BT$589,0)</f>
        <v>Y</v>
      </c>
      <c r="J413" s="640" t="str">
        <f>VLOOKUP($B413,'Afton Update'!$A$5:$CR$582,'Afton Update'!BU$589,0)</f>
        <v>Y</v>
      </c>
      <c r="K413" s="640" t="str">
        <f>VLOOKUP($B413,'Afton Update'!$A$5:$CR$582,'Afton Update'!BV$589,0)</f>
        <v>Y</v>
      </c>
      <c r="L413" s="641" t="str">
        <f>VLOOKUP($B413,'Afton Update'!$A$5:$CR$582,'Afton Update'!BW$589,0)</f>
        <v>Y</v>
      </c>
      <c r="N413" s="642">
        <f>VLOOKUP($B413,'Afton Update'!$A$5:$CR$582,'Afton Update'!CB$589,0)</f>
        <v>0.9</v>
      </c>
      <c r="P413" s="636">
        <f>VLOOKUP($B413,'Afton Update'!$A$5:$CR$582,'Afton Update'!AH$589,0)</f>
        <v>1101043.7320191471</v>
      </c>
      <c r="Q413" s="637">
        <f>VLOOKUP($B413,'Afton Update'!$A$5:$CR$582,'Afton Update'!AI$589,0)</f>
        <v>263691.4907989272</v>
      </c>
      <c r="R413" s="637">
        <f>VLOOKUP($B413,'Afton Update'!$A$5:$CR$582,'Afton Update'!AJ$589,0)</f>
        <v>495494.84822555364</v>
      </c>
      <c r="S413" s="637">
        <f>VLOOKUP($B413,'Afton Update'!$A$5:$CR$582,'Afton Update'!AK$589,0)</f>
        <v>396558.81382488681</v>
      </c>
      <c r="T413" s="643">
        <f t="shared" si="1307"/>
        <v>2256788.8848685147</v>
      </c>
      <c r="V413" s="636">
        <f t="shared" si="1333"/>
        <v>1086024.7808669275</v>
      </c>
      <c r="W413" s="637">
        <f t="shared" si="1334"/>
        <v>255006.45717322023</v>
      </c>
      <c r="X413" s="637">
        <f t="shared" si="1335"/>
        <v>490988.51603959099</v>
      </c>
      <c r="Y413" s="637">
        <f t="shared" si="1336"/>
        <v>392189.44953886548</v>
      </c>
      <c r="Z413" s="643">
        <f t="shared" si="1337"/>
        <v>2224209.2036186042</v>
      </c>
      <c r="AB413" s="644">
        <f t="shared" si="1308"/>
        <v>1101043.7320191471</v>
      </c>
      <c r="AC413" s="645">
        <f t="shared" si="1304"/>
        <v>904403.17991760711</v>
      </c>
      <c r="AD413" s="644">
        <f t="shared" si="1338"/>
        <v>0</v>
      </c>
      <c r="AE413" s="645">
        <f t="shared" si="1339"/>
        <v>1101043.7320191471</v>
      </c>
      <c r="AF413" s="646">
        <f t="shared" si="1340"/>
        <v>-13648.264470716631</v>
      </c>
      <c r="AG413" s="647">
        <f t="shared" si="1341"/>
        <v>1087395.4675484304</v>
      </c>
      <c r="AH413" s="644">
        <f t="shared" si="1309"/>
        <v>0</v>
      </c>
      <c r="AI413" s="645">
        <f t="shared" si="1310"/>
        <v>1087395.4675484304</v>
      </c>
      <c r="AJ413" s="646">
        <f t="shared" si="1342"/>
        <v>-1369.8134212281918</v>
      </c>
      <c r="AK413" s="647">
        <f t="shared" si="1311"/>
        <v>1086025.6541272022</v>
      </c>
      <c r="AL413" s="644">
        <f t="shared" si="1343"/>
        <v>0</v>
      </c>
      <c r="AM413" s="645">
        <f t="shared" si="1344"/>
        <v>1086025.6541272022</v>
      </c>
      <c r="AN413" s="646">
        <f t="shared" si="1345"/>
        <v>-0.87326027482133728</v>
      </c>
      <c r="AO413" s="647">
        <f t="shared" si="1312"/>
        <v>1086024.7808669275</v>
      </c>
      <c r="AP413" s="644">
        <f t="shared" si="1346"/>
        <v>0</v>
      </c>
      <c r="AQ413" s="645">
        <f t="shared" si="1347"/>
        <v>1086024.7808669275</v>
      </c>
      <c r="AR413" s="646">
        <f t="shared" si="1348"/>
        <v>0</v>
      </c>
      <c r="AS413" s="647">
        <f t="shared" si="1313"/>
        <v>1086024.7808669275</v>
      </c>
      <c r="AT413" s="644">
        <f t="shared" si="1349"/>
        <v>0</v>
      </c>
      <c r="AU413" s="645">
        <f t="shared" si="1350"/>
        <v>1086024.7808669275</v>
      </c>
      <c r="AV413" s="646">
        <f t="shared" si="1351"/>
        <v>0</v>
      </c>
      <c r="AW413" s="647">
        <f t="shared" si="1314"/>
        <v>1086024.7808669275</v>
      </c>
      <c r="AY413" s="644">
        <f t="shared" si="1352"/>
        <v>263691.4907989272</v>
      </c>
      <c r="AZ413" s="645">
        <f t="shared" si="1282"/>
        <v>211507.16733277688</v>
      </c>
      <c r="BA413" s="644">
        <f t="shared" si="1353"/>
        <v>0</v>
      </c>
      <c r="BB413" s="645">
        <f t="shared" si="1354"/>
        <v>263691.4907989272</v>
      </c>
      <c r="BC413" s="646">
        <f t="shared" si="1355"/>
        <v>-1896.2823580633981</v>
      </c>
      <c r="BD413" s="647">
        <f t="shared" si="1356"/>
        <v>261795.20844086382</v>
      </c>
      <c r="BE413" s="644">
        <f t="shared" si="1315"/>
        <v>0</v>
      </c>
      <c r="BF413" s="645">
        <f t="shared" si="1316"/>
        <v>261795.20844086382</v>
      </c>
      <c r="BG413" s="646">
        <f t="shared" si="1357"/>
        <v>-6235.7485173582563</v>
      </c>
      <c r="BH413" s="647">
        <f t="shared" si="1317"/>
        <v>255559.45992350555</v>
      </c>
      <c r="BI413" s="644">
        <f t="shared" si="1358"/>
        <v>0</v>
      </c>
      <c r="BJ413" s="645">
        <f t="shared" si="1359"/>
        <v>255559.45992350555</v>
      </c>
      <c r="BK413" s="646">
        <f t="shared" si="1360"/>
        <v>-541.33495988177856</v>
      </c>
      <c r="BL413" s="647">
        <f t="shared" si="1318"/>
        <v>255018.12496362376</v>
      </c>
      <c r="BM413" s="644">
        <f t="shared" si="1361"/>
        <v>0</v>
      </c>
      <c r="BN413" s="645">
        <f t="shared" si="1362"/>
        <v>255018.12496362376</v>
      </c>
      <c r="BO413" s="646">
        <f t="shared" si="1363"/>
        <v>-11.667790403525649</v>
      </c>
      <c r="BP413" s="647">
        <f t="shared" si="1319"/>
        <v>255006.45717322023</v>
      </c>
      <c r="BQ413" s="644">
        <f t="shared" si="1364"/>
        <v>0</v>
      </c>
      <c r="BR413" s="645">
        <f t="shared" si="1365"/>
        <v>255006.45717322023</v>
      </c>
      <c r="BS413" s="646">
        <f t="shared" si="1366"/>
        <v>0</v>
      </c>
      <c r="BT413" s="647">
        <f t="shared" si="1320"/>
        <v>255006.45717322023</v>
      </c>
      <c r="BU413" s="662">
        <f>VLOOKUP(B413,'Afton Update'!$A$5:$AR$582,'Afton Update'!$AO$589,0)-BT413</f>
        <v>0</v>
      </c>
      <c r="BV413" s="644">
        <f t="shared" si="1367"/>
        <v>495494.84822555364</v>
      </c>
      <c r="BW413" s="645">
        <f t="shared" si="1305"/>
        <v>355538.88916783052</v>
      </c>
      <c r="BX413" s="644">
        <f t="shared" si="1368"/>
        <v>0</v>
      </c>
      <c r="BY413" s="645">
        <f t="shared" si="1369"/>
        <v>495494.84822555364</v>
      </c>
      <c r="BZ413" s="646">
        <f t="shared" si="1370"/>
        <v>-4349.0109632994254</v>
      </c>
      <c r="CA413" s="647">
        <f t="shared" si="1371"/>
        <v>491145.83726225421</v>
      </c>
      <c r="CB413" s="644">
        <f t="shared" si="1321"/>
        <v>0</v>
      </c>
      <c r="CC413" s="645">
        <f t="shared" si="1322"/>
        <v>491145.83726225421</v>
      </c>
      <c r="CD413" s="646">
        <f t="shared" si="1372"/>
        <v>-157.32122266324438</v>
      </c>
      <c r="CE413" s="647">
        <f t="shared" si="1323"/>
        <v>490988.51603959099</v>
      </c>
      <c r="CF413" s="644">
        <f t="shared" si="1373"/>
        <v>0</v>
      </c>
      <c r="CG413" s="645">
        <f t="shared" si="1374"/>
        <v>490988.51603959099</v>
      </c>
      <c r="CH413" s="646">
        <f t="shared" si="1375"/>
        <v>0</v>
      </c>
      <c r="CI413" s="647">
        <f t="shared" si="1324"/>
        <v>490988.51603959099</v>
      </c>
      <c r="CJ413" s="644">
        <f t="shared" si="1376"/>
        <v>0</v>
      </c>
      <c r="CK413" s="645">
        <f t="shared" si="1377"/>
        <v>490988.51603959099</v>
      </c>
      <c r="CL413" s="646">
        <f t="shared" si="1378"/>
        <v>0</v>
      </c>
      <c r="CM413" s="647">
        <f t="shared" si="1325"/>
        <v>490988.51603959099</v>
      </c>
      <c r="CN413" s="644">
        <f t="shared" si="1379"/>
        <v>0</v>
      </c>
      <c r="CO413" s="645">
        <f t="shared" si="1380"/>
        <v>490988.51603959099</v>
      </c>
      <c r="CP413" s="646">
        <f t="shared" si="1381"/>
        <v>0</v>
      </c>
      <c r="CQ413" s="647">
        <f t="shared" si="1326"/>
        <v>490988.51603959099</v>
      </c>
      <c r="CS413" s="644">
        <f t="shared" si="1382"/>
        <v>396558.81382488681</v>
      </c>
      <c r="CT413" s="645">
        <f t="shared" si="1306"/>
        <v>272171.96013141627</v>
      </c>
      <c r="CU413" s="644">
        <f t="shared" si="1383"/>
        <v>0</v>
      </c>
      <c r="CV413" s="645">
        <f t="shared" si="1384"/>
        <v>396558.81382488681</v>
      </c>
      <c r="CW413" s="646">
        <f t="shared" si="1385"/>
        <v>-4060.9863576671901</v>
      </c>
      <c r="CX413" s="647">
        <f t="shared" si="1386"/>
        <v>392497.82746721961</v>
      </c>
      <c r="CY413" s="644">
        <f t="shared" si="1327"/>
        <v>0</v>
      </c>
      <c r="CZ413" s="645">
        <f t="shared" si="1328"/>
        <v>392497.82746721961</v>
      </c>
      <c r="DA413" s="646">
        <f t="shared" si="1387"/>
        <v>-308.11221994049413</v>
      </c>
      <c r="DB413" s="647">
        <f t="shared" si="1329"/>
        <v>392189.71524727909</v>
      </c>
      <c r="DC413" s="644">
        <f t="shared" si="1388"/>
        <v>0</v>
      </c>
      <c r="DD413" s="645">
        <f t="shared" si="1389"/>
        <v>392189.71524727909</v>
      </c>
      <c r="DE413" s="646">
        <f t="shared" si="1390"/>
        <v>-0.26570841359126407</v>
      </c>
      <c r="DF413" s="647">
        <f t="shared" si="1330"/>
        <v>392189.44953886548</v>
      </c>
      <c r="DG413" s="644">
        <f t="shared" si="1391"/>
        <v>0</v>
      </c>
      <c r="DH413" s="645">
        <f t="shared" si="1392"/>
        <v>392189.44953886548</v>
      </c>
      <c r="DI413" s="646">
        <f t="shared" si="1393"/>
        <v>0</v>
      </c>
      <c r="DJ413" s="647">
        <f t="shared" si="1331"/>
        <v>392189.44953886548</v>
      </c>
      <c r="DK413" s="644">
        <f t="shared" si="1394"/>
        <v>0</v>
      </c>
      <c r="DL413" s="645">
        <f t="shared" si="1395"/>
        <v>392189.44953886548</v>
      </c>
      <c r="DM413" s="646">
        <f t="shared" si="1396"/>
        <v>0</v>
      </c>
      <c r="DN413" s="647">
        <f t="shared" si="1332"/>
        <v>392189.44953886548</v>
      </c>
      <c r="DR413" s="827">
        <f t="shared" si="1283"/>
        <v>2224209.2036186042</v>
      </c>
      <c r="DV413" s="828">
        <f>IFERROR(VLOOKUP($B413,'Afton FY16 Final'!$A$5:$BV$587,'Afton FY16 Final'!$BV$587,0),0)</f>
        <v>1890794.3506469713</v>
      </c>
      <c r="DX413" s="636">
        <f t="shared" si="1274"/>
        <v>2224209.2036186042</v>
      </c>
      <c r="DY413" s="637">
        <f t="shared" si="1275"/>
        <v>333414.85297163296</v>
      </c>
      <c r="DZ413" s="637">
        <f t="shared" si="1276"/>
        <v>1890794.3506469713</v>
      </c>
      <c r="EA413" s="643">
        <f t="shared" si="1277"/>
        <v>2105906.2015904435</v>
      </c>
      <c r="EB413" s="637">
        <f t="shared" si="1284"/>
        <v>0</v>
      </c>
      <c r="EC413" s="637">
        <f t="shared" si="1285"/>
        <v>2105906.2015904435</v>
      </c>
      <c r="ED413" s="637">
        <f t="shared" si="1286"/>
        <v>2099626.5150361718</v>
      </c>
      <c r="EE413" s="643">
        <f t="shared" si="1287"/>
        <v>2099626.5150361718</v>
      </c>
      <c r="EF413" s="637">
        <f t="shared" si="1288"/>
        <v>0</v>
      </c>
      <c r="EG413" s="637">
        <f t="shared" si="1289"/>
        <v>2099626.5150361718</v>
      </c>
      <c r="EH413" s="637">
        <f t="shared" si="1290"/>
        <v>2099624.3489334509</v>
      </c>
      <c r="EI413" s="643">
        <f t="shared" si="1291"/>
        <v>2099624.3489334509</v>
      </c>
      <c r="EJ413" s="637">
        <f t="shared" si="1292"/>
        <v>0</v>
      </c>
      <c r="EK413" s="637">
        <f t="shared" si="1293"/>
        <v>2099624.3489334509</v>
      </c>
      <c r="EL413" s="637">
        <f t="shared" si="1294"/>
        <v>2099624.3489334476</v>
      </c>
      <c r="EM413" s="643">
        <f t="shared" si="1295"/>
        <v>2099624.3489334476</v>
      </c>
      <c r="EN413" s="637">
        <f t="shared" si="1296"/>
        <v>0</v>
      </c>
      <c r="EO413" s="637">
        <f t="shared" si="1297"/>
        <v>2099624.3489334476</v>
      </c>
      <c r="EP413" s="637">
        <f t="shared" si="1298"/>
        <v>2099624.3489334509</v>
      </c>
      <c r="EQ413" s="643">
        <f t="shared" si="1299"/>
        <v>2099624.3489334509</v>
      </c>
      <c r="ER413" s="637">
        <f t="shared" si="1300"/>
        <v>0</v>
      </c>
      <c r="ES413" s="637">
        <f t="shared" si="1301"/>
        <v>2099624.3489334509</v>
      </c>
      <c r="ET413" s="637">
        <f t="shared" si="1302"/>
        <v>2099624.3489334476</v>
      </c>
      <c r="EU413" s="643">
        <f t="shared" si="1278"/>
        <v>2099624.3489334476</v>
      </c>
      <c r="EV413" s="643">
        <f t="shared" si="1279"/>
        <v>0</v>
      </c>
      <c r="EX413" s="829">
        <f t="shared" si="1280"/>
        <v>124584.85468515661</v>
      </c>
      <c r="EY413" s="638">
        <f t="shared" si="1281"/>
        <v>2099624.3489334476</v>
      </c>
      <c r="FC413" s="830" t="str">
        <f t="shared" si="1303"/>
        <v>Y</v>
      </c>
      <c r="FE413" s="830" t="str">
        <f>IFERROR(VLOOKUP($B413,'Historical Conc Grant Elig'!$B$3:$J$707,'HH &amp; SI'!FE$2,0),"N")</f>
        <v>Y</v>
      </c>
      <c r="FF413" s="830" t="str">
        <f>IFERROR(VLOOKUP($B413,'Historical Conc Grant Elig'!$B$3:$J$707,'HH &amp; SI'!FF$2,0),"N")</f>
        <v>Y</v>
      </c>
      <c r="FG413" s="830" t="str">
        <f>IFERROR(VLOOKUP($B413,'Historical Conc Grant Elig'!$B$3:$J$707,'HH &amp; SI'!FG$2,0),"N")</f>
        <v>Y</v>
      </c>
      <c r="FH413" s="830" t="str">
        <f>IFERROR(VLOOKUP($B413,'Historical Conc Grant Elig'!$B$3:$J$707,'HH &amp; SI'!FH$2,0),"N")</f>
        <v>Y</v>
      </c>
      <c r="FI413" s="830" t="str">
        <f>IFERROR(VLOOKUP($B413,'Historical Conc Grant Elig'!$B$3:$J$707,'HH &amp; SI'!FI$2,0),"N")</f>
        <v>Y</v>
      </c>
      <c r="FJ413" s="830" t="str">
        <f>IFERROR(VLOOKUP($B413,'Historical Conc Grant Elig'!$B$3:$J$707,'HH &amp; SI'!FJ$2,0),"N")</f>
        <v>Y</v>
      </c>
      <c r="FK413" s="830" t="str">
        <f>IFERROR(VLOOKUP($B413,'Historical Conc Grant Elig'!$B$3:$J$707,'HH &amp; SI'!FK$2,0),"N")</f>
        <v>Y</v>
      </c>
      <c r="FL413" s="957" t="str">
        <f>IFERROR(VLOOKUP($B413,'Historical Conc Grant Elig'!$B$3:$J$707,'HH &amp; SI'!FL$2,0),"N")</f>
        <v>Y</v>
      </c>
    </row>
    <row r="414" spans="2:168" x14ac:dyDescent="0.25">
      <c r="B414" s="634">
        <v>110405000</v>
      </c>
      <c r="C414" s="635" t="str">
        <f>VLOOKUP($B414,'Afton Update'!$A$5:$CR$582,'Afton Update'!D$589,0)</f>
        <v>Red Rock Elementary District</v>
      </c>
      <c r="D414" s="636">
        <f>IFERROR(VLOOKUP($B414,'Afton FY16 Final'!$A$5:$BV$587,'Afton FY16 Final'!AQ$587,0),0)</f>
        <v>53357.629610020638</v>
      </c>
      <c r="E414" s="637">
        <f>IFERROR(VLOOKUP($B414,'Afton FY16 Final'!$A$5:$BV$587,'Afton FY16 Final'!AR$587,0),0)</f>
        <v>13325.256475312741</v>
      </c>
      <c r="F414" s="637">
        <f>IFERROR(VLOOKUP($B414,'Afton FY16 Final'!$A$5:$BV$587,'Afton FY16 Final'!AS$587,0),0)</f>
        <v>17859.027265423483</v>
      </c>
      <c r="G414" s="637">
        <f>IFERROR(VLOOKUP($B414,'Afton FY16 Final'!$A$5:$BV$587,'Afton FY16 Final'!AT$587,0),0)</f>
        <v>11344.544304041856</v>
      </c>
      <c r="H414" s="638">
        <f>IFERROR(VLOOKUP($B414,'Afton FY16 Final'!$A$5:$BV$587,'Afton FY16 Final'!AU$587,0),0)</f>
        <v>95886.457654798724</v>
      </c>
      <c r="I414" s="639" t="str">
        <f>VLOOKUP($B414,'Afton Update'!$A$5:$CR$582,'Afton Update'!BT$589,0)</f>
        <v>Y</v>
      </c>
      <c r="J414" s="640" t="str">
        <f>VLOOKUP($B414,'Afton Update'!$A$5:$CR$582,'Afton Update'!BU$589,0)</f>
        <v>Y</v>
      </c>
      <c r="K414" s="640" t="str">
        <f>VLOOKUP($B414,'Afton Update'!$A$5:$CR$582,'Afton Update'!BV$589,0)</f>
        <v>Y</v>
      </c>
      <c r="L414" s="641" t="str">
        <f>VLOOKUP($B414,'Afton Update'!$A$5:$CR$582,'Afton Update'!BW$589,0)</f>
        <v>Y</v>
      </c>
      <c r="N414" s="642">
        <f>VLOOKUP($B414,'Afton Update'!$A$5:$CR$582,'Afton Update'!CB$589,0)</f>
        <v>0.9</v>
      </c>
      <c r="P414" s="636">
        <f>VLOOKUP($B414,'Afton Update'!$A$5:$CR$582,'Afton Update'!AH$589,0)</f>
        <v>48481.647528073663</v>
      </c>
      <c r="Q414" s="637">
        <f>VLOOKUP($B414,'Afton Update'!$A$5:$CR$582,'Afton Update'!AI$589,0)</f>
        <v>12961.575278730328</v>
      </c>
      <c r="R414" s="637">
        <f>VLOOKUP($B414,'Afton Update'!$A$5:$CR$582,'Afton Update'!AJ$589,0)</f>
        <v>16771.809520756608</v>
      </c>
      <c r="S414" s="637">
        <f>VLOOKUP($B414,'Afton Update'!$A$5:$CR$582,'Afton Update'!AK$589,0)</f>
        <v>12457.751501207698</v>
      </c>
      <c r="T414" s="643">
        <f t="shared" si="1307"/>
        <v>90672.783828768297</v>
      </c>
      <c r="V414" s="636">
        <f t="shared" si="1333"/>
        <v>48021.866649018579</v>
      </c>
      <c r="W414" s="637">
        <f t="shared" si="1334"/>
        <v>12534.668377802895</v>
      </c>
      <c r="X414" s="637">
        <f t="shared" si="1335"/>
        <v>16619.276461470759</v>
      </c>
      <c r="Y414" s="637">
        <f t="shared" si="1336"/>
        <v>12320.489504762598</v>
      </c>
      <c r="Z414" s="643">
        <f t="shared" si="1337"/>
        <v>89496.300993054843</v>
      </c>
      <c r="AB414" s="644">
        <f t="shared" si="1308"/>
        <v>48481.647528073663</v>
      </c>
      <c r="AC414" s="645">
        <f t="shared" si="1304"/>
        <v>48021.866649018579</v>
      </c>
      <c r="AD414" s="644">
        <f t="shared" si="1338"/>
        <v>0</v>
      </c>
      <c r="AE414" s="645">
        <f t="shared" si="1339"/>
        <v>48481.647528073663</v>
      </c>
      <c r="AF414" s="646">
        <f t="shared" si="1340"/>
        <v>-600.96645409876214</v>
      </c>
      <c r="AG414" s="647">
        <f t="shared" si="1341"/>
        <v>47880.681073974898</v>
      </c>
      <c r="AH414" s="644">
        <f t="shared" si="1309"/>
        <v>-141.18557504368073</v>
      </c>
      <c r="AI414" s="645">
        <f t="shared" si="1310"/>
        <v>0</v>
      </c>
      <c r="AJ414" s="646">
        <f t="shared" si="1342"/>
        <v>0</v>
      </c>
      <c r="AK414" s="647">
        <f t="shared" si="1311"/>
        <v>48021.866649018579</v>
      </c>
      <c r="AL414" s="644">
        <f t="shared" si="1343"/>
        <v>0</v>
      </c>
      <c r="AM414" s="645">
        <f t="shared" si="1344"/>
        <v>0</v>
      </c>
      <c r="AN414" s="646">
        <f t="shared" si="1345"/>
        <v>0</v>
      </c>
      <c r="AO414" s="647">
        <f t="shared" si="1312"/>
        <v>48021.866649018579</v>
      </c>
      <c r="AP414" s="644">
        <f t="shared" si="1346"/>
        <v>0</v>
      </c>
      <c r="AQ414" s="645">
        <f t="shared" si="1347"/>
        <v>0</v>
      </c>
      <c r="AR414" s="646">
        <f t="shared" si="1348"/>
        <v>0</v>
      </c>
      <c r="AS414" s="647">
        <f t="shared" si="1313"/>
        <v>48021.866649018579</v>
      </c>
      <c r="AT414" s="644">
        <f t="shared" si="1349"/>
        <v>0</v>
      </c>
      <c r="AU414" s="645">
        <f t="shared" si="1350"/>
        <v>0</v>
      </c>
      <c r="AV414" s="646">
        <f t="shared" si="1351"/>
        <v>0</v>
      </c>
      <c r="AW414" s="647">
        <f t="shared" si="1314"/>
        <v>48021.866649018579</v>
      </c>
      <c r="AY414" s="644">
        <f t="shared" si="1352"/>
        <v>12961.575278730328</v>
      </c>
      <c r="AZ414" s="645">
        <f t="shared" si="1282"/>
        <v>11992.730827781466</v>
      </c>
      <c r="BA414" s="644">
        <f t="shared" si="1353"/>
        <v>0</v>
      </c>
      <c r="BB414" s="645">
        <f t="shared" si="1354"/>
        <v>12961.575278730328</v>
      </c>
      <c r="BC414" s="646">
        <f t="shared" si="1355"/>
        <v>-93.210465226991658</v>
      </c>
      <c r="BD414" s="647">
        <f t="shared" si="1356"/>
        <v>12868.364813503336</v>
      </c>
      <c r="BE414" s="644">
        <f t="shared" si="1315"/>
        <v>0</v>
      </c>
      <c r="BF414" s="645">
        <f t="shared" si="1316"/>
        <v>12868.364813503336</v>
      </c>
      <c r="BG414" s="646">
        <f t="shared" si="1357"/>
        <v>-306.51396289689791</v>
      </c>
      <c r="BH414" s="647">
        <f t="shared" si="1317"/>
        <v>12561.850850606439</v>
      </c>
      <c r="BI414" s="644">
        <f t="shared" si="1358"/>
        <v>0</v>
      </c>
      <c r="BJ414" s="645">
        <f t="shared" si="1359"/>
        <v>12561.850850606439</v>
      </c>
      <c r="BK414" s="646">
        <f t="shared" si="1360"/>
        <v>-26.608950528731587</v>
      </c>
      <c r="BL414" s="647">
        <f t="shared" si="1318"/>
        <v>12535.241900077708</v>
      </c>
      <c r="BM414" s="644">
        <f t="shared" si="1361"/>
        <v>0</v>
      </c>
      <c r="BN414" s="645">
        <f t="shared" si="1362"/>
        <v>12535.241900077708</v>
      </c>
      <c r="BO414" s="646">
        <f t="shared" si="1363"/>
        <v>-0.57352227481267026</v>
      </c>
      <c r="BP414" s="647">
        <f t="shared" si="1319"/>
        <v>12534.668377802895</v>
      </c>
      <c r="BQ414" s="644">
        <f t="shared" si="1364"/>
        <v>0</v>
      </c>
      <c r="BR414" s="645">
        <f t="shared" si="1365"/>
        <v>12534.668377802895</v>
      </c>
      <c r="BS414" s="646">
        <f t="shared" si="1366"/>
        <v>0</v>
      </c>
      <c r="BT414" s="647">
        <f t="shared" si="1320"/>
        <v>12534.668377802895</v>
      </c>
      <c r="BU414" s="662">
        <f>VLOOKUP(B414,'Afton Update'!$A$5:$AR$582,'Afton Update'!$AO$589,0)-BT414</f>
        <v>0</v>
      </c>
      <c r="BV414" s="644">
        <f t="shared" si="1367"/>
        <v>16771.809520756608</v>
      </c>
      <c r="BW414" s="645">
        <f t="shared" si="1305"/>
        <v>16073.124538881135</v>
      </c>
      <c r="BX414" s="644">
        <f t="shared" si="1368"/>
        <v>0</v>
      </c>
      <c r="BY414" s="645">
        <f t="shared" si="1369"/>
        <v>16771.809520756608</v>
      </c>
      <c r="BZ414" s="646">
        <f t="shared" si="1370"/>
        <v>-147.20795532254834</v>
      </c>
      <c r="CA414" s="647">
        <f t="shared" si="1371"/>
        <v>16624.601565434059</v>
      </c>
      <c r="CB414" s="644">
        <f t="shared" si="1321"/>
        <v>0</v>
      </c>
      <c r="CC414" s="645">
        <f t="shared" si="1322"/>
        <v>16624.601565434059</v>
      </c>
      <c r="CD414" s="646">
        <f t="shared" si="1372"/>
        <v>-5.3251039632996857</v>
      </c>
      <c r="CE414" s="647">
        <f t="shared" si="1323"/>
        <v>16619.276461470759</v>
      </c>
      <c r="CF414" s="644">
        <f t="shared" si="1373"/>
        <v>0</v>
      </c>
      <c r="CG414" s="645">
        <f t="shared" si="1374"/>
        <v>16619.276461470759</v>
      </c>
      <c r="CH414" s="646">
        <f t="shared" si="1375"/>
        <v>0</v>
      </c>
      <c r="CI414" s="647">
        <f t="shared" si="1324"/>
        <v>16619.276461470759</v>
      </c>
      <c r="CJ414" s="644">
        <f t="shared" si="1376"/>
        <v>0</v>
      </c>
      <c r="CK414" s="645">
        <f t="shared" si="1377"/>
        <v>16619.276461470759</v>
      </c>
      <c r="CL414" s="646">
        <f t="shared" si="1378"/>
        <v>0</v>
      </c>
      <c r="CM414" s="647">
        <f t="shared" si="1325"/>
        <v>16619.276461470759</v>
      </c>
      <c r="CN414" s="644">
        <f t="shared" si="1379"/>
        <v>0</v>
      </c>
      <c r="CO414" s="645">
        <f t="shared" si="1380"/>
        <v>16619.276461470759</v>
      </c>
      <c r="CP414" s="646">
        <f t="shared" si="1381"/>
        <v>0</v>
      </c>
      <c r="CQ414" s="647">
        <f t="shared" si="1326"/>
        <v>16619.276461470759</v>
      </c>
      <c r="CS414" s="644">
        <f t="shared" si="1382"/>
        <v>12457.751501207698</v>
      </c>
      <c r="CT414" s="645">
        <f t="shared" si="1306"/>
        <v>10210.089873637671</v>
      </c>
      <c r="CU414" s="644">
        <f t="shared" si="1383"/>
        <v>0</v>
      </c>
      <c r="CV414" s="645">
        <f t="shared" si="1384"/>
        <v>12457.751501207698</v>
      </c>
      <c r="CW414" s="646">
        <f t="shared" si="1385"/>
        <v>-127.57441552150794</v>
      </c>
      <c r="CX414" s="647">
        <f t="shared" si="1386"/>
        <v>12330.177085686191</v>
      </c>
      <c r="CY414" s="644">
        <f t="shared" si="1327"/>
        <v>0</v>
      </c>
      <c r="CZ414" s="645">
        <f t="shared" si="1328"/>
        <v>12330.177085686191</v>
      </c>
      <c r="DA414" s="646">
        <f t="shared" si="1387"/>
        <v>-9.6792337900200831</v>
      </c>
      <c r="DB414" s="647">
        <f t="shared" si="1329"/>
        <v>12320.497851896171</v>
      </c>
      <c r="DC414" s="644">
        <f t="shared" si="1388"/>
        <v>0</v>
      </c>
      <c r="DD414" s="645">
        <f t="shared" si="1389"/>
        <v>12320.497851896171</v>
      </c>
      <c r="DE414" s="646">
        <f t="shared" si="1390"/>
        <v>-8.3471335723779398E-3</v>
      </c>
      <c r="DF414" s="647">
        <f t="shared" si="1330"/>
        <v>12320.489504762598</v>
      </c>
      <c r="DG414" s="644">
        <f t="shared" si="1391"/>
        <v>0</v>
      </c>
      <c r="DH414" s="645">
        <f t="shared" si="1392"/>
        <v>12320.489504762598</v>
      </c>
      <c r="DI414" s="646">
        <f t="shared" si="1393"/>
        <v>0</v>
      </c>
      <c r="DJ414" s="647">
        <f t="shared" si="1331"/>
        <v>12320.489504762598</v>
      </c>
      <c r="DK414" s="644">
        <f t="shared" si="1394"/>
        <v>0</v>
      </c>
      <c r="DL414" s="645">
        <f t="shared" si="1395"/>
        <v>12320.489504762598</v>
      </c>
      <c r="DM414" s="646">
        <f t="shared" si="1396"/>
        <v>0</v>
      </c>
      <c r="DN414" s="647">
        <f t="shared" si="1332"/>
        <v>12320.489504762598</v>
      </c>
      <c r="DR414" s="827">
        <f t="shared" si="1283"/>
        <v>89496.300993054843</v>
      </c>
      <c r="DV414" s="828">
        <f>IFERROR(VLOOKUP($B414,'Afton FY16 Final'!$A$5:$BV$587,'Afton FY16 Final'!$BV$587,0),0)</f>
        <v>85130.91006924439</v>
      </c>
      <c r="DX414" s="636">
        <f t="shared" si="1274"/>
        <v>89496.300993054843</v>
      </c>
      <c r="DY414" s="637">
        <f t="shared" si="1275"/>
        <v>4365.3909238104534</v>
      </c>
      <c r="DZ414" s="637">
        <f t="shared" si="1276"/>
        <v>85130.91006924439</v>
      </c>
      <c r="EA414" s="643">
        <f t="shared" si="1277"/>
        <v>84736.1008011534</v>
      </c>
      <c r="EB414" s="637">
        <f t="shared" si="1284"/>
        <v>85130.91006924439</v>
      </c>
      <c r="EC414" s="637">
        <f t="shared" si="1285"/>
        <v>0</v>
      </c>
      <c r="ED414" s="637">
        <f t="shared" si="1286"/>
        <v>0</v>
      </c>
      <c r="EE414" s="643">
        <f t="shared" si="1287"/>
        <v>85130.91006924439</v>
      </c>
      <c r="EF414" s="637">
        <f t="shared" si="1288"/>
        <v>0</v>
      </c>
      <c r="EG414" s="637">
        <f t="shared" si="1289"/>
        <v>0</v>
      </c>
      <c r="EH414" s="637">
        <f t="shared" si="1290"/>
        <v>0</v>
      </c>
      <c r="EI414" s="643">
        <f t="shared" si="1291"/>
        <v>85130.91006924439</v>
      </c>
      <c r="EJ414" s="637">
        <f t="shared" si="1292"/>
        <v>0</v>
      </c>
      <c r="EK414" s="637">
        <f t="shared" si="1293"/>
        <v>0</v>
      </c>
      <c r="EL414" s="637">
        <f t="shared" si="1294"/>
        <v>0</v>
      </c>
      <c r="EM414" s="643">
        <f t="shared" si="1295"/>
        <v>85130.91006924439</v>
      </c>
      <c r="EN414" s="637">
        <f t="shared" si="1296"/>
        <v>0</v>
      </c>
      <c r="EO414" s="637">
        <f t="shared" si="1297"/>
        <v>0</v>
      </c>
      <c r="EP414" s="637">
        <f t="shared" si="1298"/>
        <v>0</v>
      </c>
      <c r="EQ414" s="643">
        <f t="shared" si="1299"/>
        <v>85130.91006924439</v>
      </c>
      <c r="ER414" s="637">
        <f t="shared" si="1300"/>
        <v>0</v>
      </c>
      <c r="ES414" s="637">
        <f t="shared" si="1301"/>
        <v>0</v>
      </c>
      <c r="ET414" s="637">
        <f t="shared" si="1302"/>
        <v>0</v>
      </c>
      <c r="EU414" s="643">
        <f t="shared" si="1278"/>
        <v>85130.91006924439</v>
      </c>
      <c r="EV414" s="643">
        <f t="shared" si="1279"/>
        <v>0</v>
      </c>
      <c r="EX414" s="829">
        <f t="shared" si="1280"/>
        <v>4365.3909238104534</v>
      </c>
      <c r="EY414" s="638">
        <f t="shared" si="1281"/>
        <v>85130.91006924439</v>
      </c>
      <c r="FC414" s="830" t="str">
        <f t="shared" si="1303"/>
        <v>Y</v>
      </c>
      <c r="FE414" s="830" t="str">
        <f>IFERROR(VLOOKUP($B414,'Historical Conc Grant Elig'!$B$3:$J$707,'HH &amp; SI'!FE$2,0),"N")</f>
        <v>Y</v>
      </c>
      <c r="FF414" s="830" t="str">
        <f>IFERROR(VLOOKUP($B414,'Historical Conc Grant Elig'!$B$3:$J$707,'HH &amp; SI'!FF$2,0),"N")</f>
        <v>N</v>
      </c>
      <c r="FG414" s="830" t="str">
        <f>IFERROR(VLOOKUP($B414,'Historical Conc Grant Elig'!$B$3:$J$707,'HH &amp; SI'!FG$2,0),"N")</f>
        <v>N</v>
      </c>
      <c r="FH414" s="830" t="str">
        <f>IFERROR(VLOOKUP($B414,'Historical Conc Grant Elig'!$B$3:$J$707,'HH &amp; SI'!FH$2,0),"N")</f>
        <v>Y</v>
      </c>
      <c r="FI414" s="830" t="str">
        <f>IFERROR(VLOOKUP($B414,'Historical Conc Grant Elig'!$B$3:$J$707,'HH &amp; SI'!FI$2,0),"N")</f>
        <v>Y</v>
      </c>
      <c r="FJ414" s="830" t="str">
        <f>IFERROR(VLOOKUP($B414,'Historical Conc Grant Elig'!$B$3:$J$707,'HH &amp; SI'!FJ$2,0),"N")</f>
        <v>Y</v>
      </c>
      <c r="FK414" s="830" t="str">
        <f>IFERROR(VLOOKUP($B414,'Historical Conc Grant Elig'!$B$3:$J$707,'HH &amp; SI'!FK$2,0),"N")</f>
        <v>Y</v>
      </c>
      <c r="FL414" s="957" t="str">
        <f>IFERROR(VLOOKUP($B414,'Historical Conc Grant Elig'!$B$3:$J$707,'HH &amp; SI'!FL$2,0),"N")</f>
        <v>Y</v>
      </c>
    </row>
    <row r="415" spans="2:168" x14ac:dyDescent="0.25">
      <c r="B415" s="634">
        <v>110411000</v>
      </c>
      <c r="C415" s="635" t="str">
        <f>VLOOKUP($B415,'Afton Update'!$A$5:$CR$582,'Afton Update'!D$589,0)</f>
        <v>Eloy Elementary District</v>
      </c>
      <c r="D415" s="636">
        <f>IFERROR(VLOOKUP($B415,'Afton FY16 Final'!$A$5:$BV$587,'Afton FY16 Final'!AQ$587,0),0)</f>
        <v>337851.78132442391</v>
      </c>
      <c r="E415" s="637">
        <f>IFERROR(VLOOKUP($B415,'Afton FY16 Final'!$A$5:$BV$587,'Afton FY16 Final'!AR$587,0),0)</f>
        <v>82727.025050211509</v>
      </c>
      <c r="F415" s="637">
        <f>IFERROR(VLOOKUP($B415,'Afton FY16 Final'!$A$5:$BV$587,'Afton FY16 Final'!AS$587,0),0)</f>
        <v>142287.8429917052</v>
      </c>
      <c r="G415" s="637">
        <f>IFERROR(VLOOKUP($B415,'Afton FY16 Final'!$A$5:$BV$587,'Afton FY16 Final'!AT$587,0),0)</f>
        <v>129238.17535573182</v>
      </c>
      <c r="H415" s="638">
        <f>IFERROR(VLOOKUP($B415,'Afton FY16 Final'!$A$5:$BV$587,'Afton FY16 Final'!AU$587,0),0)</f>
        <v>692104.82472207246</v>
      </c>
      <c r="I415" s="639" t="str">
        <f>VLOOKUP($B415,'Afton Update'!$A$5:$CR$582,'Afton Update'!BT$589,0)</f>
        <v>Y</v>
      </c>
      <c r="J415" s="640" t="str">
        <f>VLOOKUP($B415,'Afton Update'!$A$5:$CR$582,'Afton Update'!BU$589,0)</f>
        <v>Y</v>
      </c>
      <c r="K415" s="640" t="str">
        <f>VLOOKUP($B415,'Afton Update'!$A$5:$CR$582,'Afton Update'!BV$589,0)</f>
        <v>Y</v>
      </c>
      <c r="L415" s="641" t="str">
        <f>VLOOKUP($B415,'Afton Update'!$A$5:$CR$582,'Afton Update'!BW$589,0)</f>
        <v>Y</v>
      </c>
      <c r="N415" s="642">
        <f>VLOOKUP($B415,'Afton Update'!$A$5:$CR$582,'Afton Update'!CB$589,0)</f>
        <v>0.95</v>
      </c>
      <c r="P415" s="636">
        <f>VLOOKUP($B415,'Afton Update'!$A$5:$CR$582,'Afton Update'!AH$589,0)</f>
        <v>300959.47897924308</v>
      </c>
      <c r="Q415" s="637">
        <f>VLOOKUP($B415,'Afton Update'!$A$5:$CR$582,'Afton Update'!AI$589,0)</f>
        <v>74815.546115433637</v>
      </c>
      <c r="R415" s="637">
        <f>VLOOKUP($B415,'Afton Update'!$A$5:$CR$582,'Afton Update'!AJ$589,0)</f>
        <v>131228.60653581872</v>
      </c>
      <c r="S415" s="637">
        <f>VLOOKUP($B415,'Afton Update'!$A$5:$CR$582,'Afton Update'!AK$589,0)</f>
        <v>123334.60147200366</v>
      </c>
      <c r="T415" s="643">
        <f t="shared" si="1307"/>
        <v>630338.23310249904</v>
      </c>
      <c r="V415" s="636">
        <f t="shared" si="1333"/>
        <v>320959.1922582027</v>
      </c>
      <c r="W415" s="637">
        <f t="shared" si="1334"/>
        <v>78590.673797700932</v>
      </c>
      <c r="X415" s="637">
        <f t="shared" si="1335"/>
        <v>135173.45084211993</v>
      </c>
      <c r="Y415" s="637">
        <f t="shared" si="1336"/>
        <v>122776.26658794523</v>
      </c>
      <c r="Z415" s="643">
        <f t="shared" si="1337"/>
        <v>657499.58348596864</v>
      </c>
      <c r="AB415" s="644">
        <f t="shared" si="1308"/>
        <v>300959.47897924308</v>
      </c>
      <c r="AC415" s="645">
        <f t="shared" si="1304"/>
        <v>320959.1922582027</v>
      </c>
      <c r="AD415" s="644">
        <f t="shared" si="1338"/>
        <v>19999.713278959622</v>
      </c>
      <c r="AE415" s="645">
        <f t="shared" si="1339"/>
        <v>0</v>
      </c>
      <c r="AF415" s="646">
        <f t="shared" si="1340"/>
        <v>0</v>
      </c>
      <c r="AG415" s="647">
        <f t="shared" si="1341"/>
        <v>320959.1922582027</v>
      </c>
      <c r="AH415" s="644">
        <f t="shared" si="1309"/>
        <v>0</v>
      </c>
      <c r="AI415" s="645">
        <f t="shared" si="1310"/>
        <v>0</v>
      </c>
      <c r="AJ415" s="646">
        <f t="shared" si="1342"/>
        <v>0</v>
      </c>
      <c r="AK415" s="647">
        <f t="shared" si="1311"/>
        <v>320959.1922582027</v>
      </c>
      <c r="AL415" s="644">
        <f t="shared" si="1343"/>
        <v>0</v>
      </c>
      <c r="AM415" s="645">
        <f t="shared" si="1344"/>
        <v>0</v>
      </c>
      <c r="AN415" s="646">
        <f t="shared" si="1345"/>
        <v>0</v>
      </c>
      <c r="AO415" s="647">
        <f t="shared" si="1312"/>
        <v>320959.1922582027</v>
      </c>
      <c r="AP415" s="644">
        <f t="shared" si="1346"/>
        <v>0</v>
      </c>
      <c r="AQ415" s="645">
        <f t="shared" si="1347"/>
        <v>0</v>
      </c>
      <c r="AR415" s="646">
        <f t="shared" si="1348"/>
        <v>0</v>
      </c>
      <c r="AS415" s="647">
        <f t="shared" si="1313"/>
        <v>320959.1922582027</v>
      </c>
      <c r="AT415" s="644">
        <f t="shared" si="1349"/>
        <v>0</v>
      </c>
      <c r="AU415" s="645">
        <f t="shared" si="1350"/>
        <v>0</v>
      </c>
      <c r="AV415" s="646">
        <f t="shared" si="1351"/>
        <v>0</v>
      </c>
      <c r="AW415" s="647">
        <f t="shared" si="1314"/>
        <v>320959.1922582027</v>
      </c>
      <c r="AY415" s="644">
        <f t="shared" si="1352"/>
        <v>74815.546115433637</v>
      </c>
      <c r="AZ415" s="645">
        <f t="shared" si="1282"/>
        <v>78590.673797700932</v>
      </c>
      <c r="BA415" s="644">
        <f t="shared" si="1353"/>
        <v>3775.1276822672953</v>
      </c>
      <c r="BB415" s="645">
        <f t="shared" si="1354"/>
        <v>0</v>
      </c>
      <c r="BC415" s="646">
        <f t="shared" si="1355"/>
        <v>0</v>
      </c>
      <c r="BD415" s="647">
        <f t="shared" si="1356"/>
        <v>78590.673797700932</v>
      </c>
      <c r="BE415" s="644">
        <f t="shared" si="1315"/>
        <v>0</v>
      </c>
      <c r="BF415" s="645">
        <f t="shared" si="1316"/>
        <v>0</v>
      </c>
      <c r="BG415" s="646">
        <f t="shared" si="1357"/>
        <v>0</v>
      </c>
      <c r="BH415" s="647">
        <f t="shared" si="1317"/>
        <v>78590.673797700932</v>
      </c>
      <c r="BI415" s="644">
        <f t="shared" si="1358"/>
        <v>0</v>
      </c>
      <c r="BJ415" s="645">
        <f t="shared" si="1359"/>
        <v>0</v>
      </c>
      <c r="BK415" s="646">
        <f t="shared" si="1360"/>
        <v>0</v>
      </c>
      <c r="BL415" s="647">
        <f t="shared" si="1318"/>
        <v>78590.673797700932</v>
      </c>
      <c r="BM415" s="644">
        <f t="shared" si="1361"/>
        <v>0</v>
      </c>
      <c r="BN415" s="645">
        <f t="shared" si="1362"/>
        <v>0</v>
      </c>
      <c r="BO415" s="646">
        <f t="shared" si="1363"/>
        <v>0</v>
      </c>
      <c r="BP415" s="647">
        <f t="shared" si="1319"/>
        <v>78590.673797700932</v>
      </c>
      <c r="BQ415" s="644">
        <f t="shared" si="1364"/>
        <v>0</v>
      </c>
      <c r="BR415" s="645">
        <f t="shared" si="1365"/>
        <v>0</v>
      </c>
      <c r="BS415" s="646">
        <f t="shared" si="1366"/>
        <v>0</v>
      </c>
      <c r="BT415" s="647">
        <f t="shared" si="1320"/>
        <v>78590.673797700932</v>
      </c>
      <c r="BU415" s="662">
        <f>VLOOKUP(B415,'Afton Update'!$A$5:$AR$582,'Afton Update'!$AO$589,0)-BT415</f>
        <v>0</v>
      </c>
      <c r="BV415" s="644">
        <f t="shared" si="1367"/>
        <v>131228.60653581872</v>
      </c>
      <c r="BW415" s="645">
        <f t="shared" si="1305"/>
        <v>135173.45084211993</v>
      </c>
      <c r="BX415" s="644">
        <f t="shared" si="1368"/>
        <v>3944.8443063012091</v>
      </c>
      <c r="BY415" s="645">
        <f t="shared" si="1369"/>
        <v>0</v>
      </c>
      <c r="BZ415" s="646">
        <f t="shared" si="1370"/>
        <v>0</v>
      </c>
      <c r="CA415" s="647">
        <f t="shared" si="1371"/>
        <v>135173.45084211993</v>
      </c>
      <c r="CB415" s="644">
        <f t="shared" si="1321"/>
        <v>0</v>
      </c>
      <c r="CC415" s="645">
        <f t="shared" si="1322"/>
        <v>0</v>
      </c>
      <c r="CD415" s="646">
        <f t="shared" si="1372"/>
        <v>0</v>
      </c>
      <c r="CE415" s="647">
        <f t="shared" si="1323"/>
        <v>135173.45084211993</v>
      </c>
      <c r="CF415" s="644">
        <f t="shared" si="1373"/>
        <v>0</v>
      </c>
      <c r="CG415" s="645">
        <f t="shared" si="1374"/>
        <v>0</v>
      </c>
      <c r="CH415" s="646">
        <f t="shared" si="1375"/>
        <v>0</v>
      </c>
      <c r="CI415" s="647">
        <f t="shared" si="1324"/>
        <v>135173.45084211993</v>
      </c>
      <c r="CJ415" s="644">
        <f t="shared" si="1376"/>
        <v>0</v>
      </c>
      <c r="CK415" s="645">
        <f t="shared" si="1377"/>
        <v>0</v>
      </c>
      <c r="CL415" s="646">
        <f t="shared" si="1378"/>
        <v>0</v>
      </c>
      <c r="CM415" s="647">
        <f t="shared" si="1325"/>
        <v>135173.45084211993</v>
      </c>
      <c r="CN415" s="644">
        <f t="shared" si="1379"/>
        <v>0</v>
      </c>
      <c r="CO415" s="645">
        <f t="shared" si="1380"/>
        <v>0</v>
      </c>
      <c r="CP415" s="646">
        <f t="shared" si="1381"/>
        <v>0</v>
      </c>
      <c r="CQ415" s="647">
        <f t="shared" si="1326"/>
        <v>135173.45084211993</v>
      </c>
      <c r="CS415" s="644">
        <f t="shared" si="1382"/>
        <v>123334.60147200366</v>
      </c>
      <c r="CT415" s="645">
        <f t="shared" si="1306"/>
        <v>122776.26658794523</v>
      </c>
      <c r="CU415" s="644">
        <f t="shared" si="1383"/>
        <v>0</v>
      </c>
      <c r="CV415" s="645">
        <f t="shared" si="1384"/>
        <v>123334.60147200366</v>
      </c>
      <c r="CW415" s="646">
        <f t="shared" si="1385"/>
        <v>-1263.0160181669733</v>
      </c>
      <c r="CX415" s="647">
        <f t="shared" si="1386"/>
        <v>122071.58545383668</v>
      </c>
      <c r="CY415" s="644">
        <f t="shared" si="1327"/>
        <v>-704.6811341085413</v>
      </c>
      <c r="CZ415" s="645">
        <f t="shared" si="1328"/>
        <v>0</v>
      </c>
      <c r="DA415" s="646">
        <f t="shared" si="1387"/>
        <v>0</v>
      </c>
      <c r="DB415" s="647">
        <f t="shared" si="1329"/>
        <v>122776.26658794523</v>
      </c>
      <c r="DC415" s="644">
        <f t="shared" si="1388"/>
        <v>0</v>
      </c>
      <c r="DD415" s="645">
        <f t="shared" si="1389"/>
        <v>0</v>
      </c>
      <c r="DE415" s="646">
        <f t="shared" si="1390"/>
        <v>0</v>
      </c>
      <c r="DF415" s="647">
        <f t="shared" si="1330"/>
        <v>122776.26658794523</v>
      </c>
      <c r="DG415" s="644">
        <f t="shared" si="1391"/>
        <v>0</v>
      </c>
      <c r="DH415" s="645">
        <f t="shared" si="1392"/>
        <v>0</v>
      </c>
      <c r="DI415" s="646">
        <f t="shared" si="1393"/>
        <v>0</v>
      </c>
      <c r="DJ415" s="647">
        <f t="shared" si="1331"/>
        <v>122776.26658794523</v>
      </c>
      <c r="DK415" s="644">
        <f t="shared" si="1394"/>
        <v>0</v>
      </c>
      <c r="DL415" s="645">
        <f t="shared" si="1395"/>
        <v>0</v>
      </c>
      <c r="DM415" s="646">
        <f t="shared" si="1396"/>
        <v>0</v>
      </c>
      <c r="DN415" s="647">
        <f t="shared" si="1332"/>
        <v>122776.26658794523</v>
      </c>
      <c r="DR415" s="827">
        <f t="shared" si="1283"/>
        <v>657499.58348596864</v>
      </c>
      <c r="DV415" s="828">
        <f>IFERROR(VLOOKUP($B415,'Afton FY16 Final'!$A$5:$BV$587,'Afton FY16 Final'!$BV$587,0),0)</f>
        <v>678477.28083791351</v>
      </c>
      <c r="DX415" s="636">
        <f t="shared" si="1274"/>
        <v>0</v>
      </c>
      <c r="DY415" s="637">
        <f t="shared" si="1275"/>
        <v>0</v>
      </c>
      <c r="DZ415" s="637">
        <f t="shared" si="1276"/>
        <v>0</v>
      </c>
      <c r="EA415" s="643">
        <f t="shared" si="1277"/>
        <v>0</v>
      </c>
      <c r="EB415" s="637">
        <f t="shared" si="1284"/>
        <v>0</v>
      </c>
      <c r="EC415" s="637">
        <f t="shared" si="1285"/>
        <v>0</v>
      </c>
      <c r="ED415" s="637">
        <f t="shared" si="1286"/>
        <v>0</v>
      </c>
      <c r="EE415" s="643">
        <f t="shared" si="1287"/>
        <v>0</v>
      </c>
      <c r="EF415" s="637">
        <f t="shared" si="1288"/>
        <v>0</v>
      </c>
      <c r="EG415" s="637">
        <f t="shared" si="1289"/>
        <v>0</v>
      </c>
      <c r="EH415" s="637">
        <f t="shared" si="1290"/>
        <v>0</v>
      </c>
      <c r="EI415" s="643">
        <f t="shared" si="1291"/>
        <v>0</v>
      </c>
      <c r="EJ415" s="637">
        <f t="shared" si="1292"/>
        <v>0</v>
      </c>
      <c r="EK415" s="637">
        <f t="shared" si="1293"/>
        <v>0</v>
      </c>
      <c r="EL415" s="637">
        <f t="shared" si="1294"/>
        <v>0</v>
      </c>
      <c r="EM415" s="643">
        <f t="shared" si="1295"/>
        <v>0</v>
      </c>
      <c r="EN415" s="637">
        <f t="shared" si="1296"/>
        <v>0</v>
      </c>
      <c r="EO415" s="637">
        <f t="shared" si="1297"/>
        <v>0</v>
      </c>
      <c r="EP415" s="637">
        <f t="shared" si="1298"/>
        <v>0</v>
      </c>
      <c r="EQ415" s="643">
        <f t="shared" si="1299"/>
        <v>0</v>
      </c>
      <c r="ER415" s="637">
        <f t="shared" si="1300"/>
        <v>0</v>
      </c>
      <c r="ES415" s="637">
        <f t="shared" si="1301"/>
        <v>0</v>
      </c>
      <c r="ET415" s="637">
        <f t="shared" si="1302"/>
        <v>0</v>
      </c>
      <c r="EU415" s="643">
        <f t="shared" si="1278"/>
        <v>0</v>
      </c>
      <c r="EV415" s="643">
        <f t="shared" si="1279"/>
        <v>0</v>
      </c>
      <c r="EX415" s="829">
        <f t="shared" si="1280"/>
        <v>0</v>
      </c>
      <c r="EY415" s="638">
        <f t="shared" si="1281"/>
        <v>657499.58348596864</v>
      </c>
      <c r="FC415" s="830" t="str">
        <f t="shared" si="1303"/>
        <v>Y</v>
      </c>
      <c r="FE415" s="830" t="str">
        <f>IFERROR(VLOOKUP($B415,'Historical Conc Grant Elig'!$B$3:$J$707,'HH &amp; SI'!FE$2,0),"N")</f>
        <v>Y</v>
      </c>
      <c r="FF415" s="830" t="str">
        <f>IFERROR(VLOOKUP($B415,'Historical Conc Grant Elig'!$B$3:$J$707,'HH &amp; SI'!FF$2,0),"N")</f>
        <v>Y</v>
      </c>
      <c r="FG415" s="830" t="str">
        <f>IFERROR(VLOOKUP($B415,'Historical Conc Grant Elig'!$B$3:$J$707,'HH &amp; SI'!FG$2,0),"N")</f>
        <v>Y</v>
      </c>
      <c r="FH415" s="830" t="str">
        <f>IFERROR(VLOOKUP($B415,'Historical Conc Grant Elig'!$B$3:$J$707,'HH &amp; SI'!FH$2,0),"N")</f>
        <v>Y</v>
      </c>
      <c r="FI415" s="830" t="str">
        <f>IFERROR(VLOOKUP($B415,'Historical Conc Grant Elig'!$B$3:$J$707,'HH &amp; SI'!FI$2,0),"N")</f>
        <v>Y</v>
      </c>
      <c r="FJ415" s="830" t="str">
        <f>IFERROR(VLOOKUP($B415,'Historical Conc Grant Elig'!$B$3:$J$707,'HH &amp; SI'!FJ$2,0),"N")</f>
        <v>Y</v>
      </c>
      <c r="FK415" s="830" t="str">
        <f>IFERROR(VLOOKUP($B415,'Historical Conc Grant Elig'!$B$3:$J$707,'HH &amp; SI'!FK$2,0),"N")</f>
        <v>Y</v>
      </c>
      <c r="FL415" s="957" t="str">
        <f>IFERROR(VLOOKUP($B415,'Historical Conc Grant Elig'!$B$3:$J$707,'HH &amp; SI'!FL$2,0),"N")</f>
        <v>Y</v>
      </c>
    </row>
    <row r="416" spans="2:168" x14ac:dyDescent="0.25">
      <c r="B416" s="634">
        <v>110418000</v>
      </c>
      <c r="C416" s="635" t="str">
        <f>VLOOKUP($B416,'Afton Update'!$A$5:$CR$582,'Afton Update'!D$589,0)</f>
        <v>Sacaton Elementary District</v>
      </c>
      <c r="D416" s="636">
        <f>IFERROR(VLOOKUP($B416,'Afton FY16 Final'!$A$5:$BV$587,'Afton FY16 Final'!AQ$587,0),0)</f>
        <v>595577.34556212579</v>
      </c>
      <c r="E416" s="637">
        <f>IFERROR(VLOOKUP($B416,'Afton FY16 Final'!$A$5:$BV$587,'Afton FY16 Final'!AR$587,0),0)</f>
        <v>145834.1933036735</v>
      </c>
      <c r="F416" s="637">
        <f>IFERROR(VLOOKUP($B416,'Afton FY16 Final'!$A$5:$BV$587,'Afton FY16 Final'!AS$587,0),0)</f>
        <v>368846.46345121198</v>
      </c>
      <c r="G416" s="637">
        <f>IFERROR(VLOOKUP($B416,'Afton FY16 Final'!$A$5:$BV$587,'Afton FY16 Final'!AT$587,0),0)</f>
        <v>406196.56645057758</v>
      </c>
      <c r="H416" s="638">
        <f>IFERROR(VLOOKUP($B416,'Afton FY16 Final'!$A$5:$BV$587,'Afton FY16 Final'!AU$587,0),0)</f>
        <v>1516454.5687675891</v>
      </c>
      <c r="I416" s="639" t="str">
        <f>VLOOKUP($B416,'Afton Update'!$A$5:$CR$582,'Afton Update'!BT$589,0)</f>
        <v>Y</v>
      </c>
      <c r="J416" s="640" t="str">
        <f>VLOOKUP($B416,'Afton Update'!$A$5:$CR$582,'Afton Update'!BU$589,0)</f>
        <v>Y</v>
      </c>
      <c r="K416" s="640" t="str">
        <f>VLOOKUP($B416,'Afton Update'!$A$5:$CR$582,'Afton Update'!BV$589,0)</f>
        <v>Y</v>
      </c>
      <c r="L416" s="641" t="str">
        <f>VLOOKUP($B416,'Afton Update'!$A$5:$CR$582,'Afton Update'!BW$589,0)</f>
        <v>Y</v>
      </c>
      <c r="N416" s="642">
        <f>VLOOKUP($B416,'Afton Update'!$A$5:$CR$582,'Afton Update'!CB$589,0)</f>
        <v>0.95</v>
      </c>
      <c r="P416" s="636">
        <f>VLOOKUP($B416,'Afton Update'!$A$5:$CR$582,'Afton Update'!AH$589,0)</f>
        <v>530542.26000986365</v>
      </c>
      <c r="Q416" s="637">
        <f>VLOOKUP($B416,'Afton Update'!$A$5:$CR$582,'Afton Update'!AI$589,0)</f>
        <v>130809.81438771603</v>
      </c>
      <c r="R416" s="637">
        <f>VLOOKUP($B416,'Afton Update'!$A$5:$CR$582,'Afton Update'!AJ$589,0)</f>
        <v>329263.10307149973</v>
      </c>
      <c r="S416" s="637">
        <f>VLOOKUP($B416,'Afton Update'!$A$5:$CR$582,'Afton Update'!AK$589,0)</f>
        <v>362176.55828657339</v>
      </c>
      <c r="T416" s="643">
        <f t="shared" si="1307"/>
        <v>1352791.7357556527</v>
      </c>
      <c r="V416" s="636">
        <f t="shared" si="1333"/>
        <v>565798.47828401951</v>
      </c>
      <c r="W416" s="637">
        <f t="shared" si="1334"/>
        <v>138542.48363848982</v>
      </c>
      <c r="X416" s="637">
        <f t="shared" si="1335"/>
        <v>350404.14027865138</v>
      </c>
      <c r="Y416" s="637">
        <f t="shared" si="1336"/>
        <v>385886.73812804866</v>
      </c>
      <c r="Z416" s="643">
        <f t="shared" si="1337"/>
        <v>1440631.8403292093</v>
      </c>
      <c r="AB416" s="644">
        <f t="shared" si="1308"/>
        <v>530542.26000986365</v>
      </c>
      <c r="AC416" s="645">
        <f t="shared" si="1304"/>
        <v>565798.47828401951</v>
      </c>
      <c r="AD416" s="644">
        <f t="shared" si="1338"/>
        <v>35256.218274155864</v>
      </c>
      <c r="AE416" s="645">
        <f t="shared" si="1339"/>
        <v>0</v>
      </c>
      <c r="AF416" s="646">
        <f t="shared" si="1340"/>
        <v>0</v>
      </c>
      <c r="AG416" s="647">
        <f t="shared" si="1341"/>
        <v>565798.47828401951</v>
      </c>
      <c r="AH416" s="644">
        <f t="shared" si="1309"/>
        <v>0</v>
      </c>
      <c r="AI416" s="645">
        <f t="shared" si="1310"/>
        <v>0</v>
      </c>
      <c r="AJ416" s="646">
        <f t="shared" si="1342"/>
        <v>0</v>
      </c>
      <c r="AK416" s="647">
        <f t="shared" si="1311"/>
        <v>565798.47828401951</v>
      </c>
      <c r="AL416" s="644">
        <f t="shared" si="1343"/>
        <v>0</v>
      </c>
      <c r="AM416" s="645">
        <f t="shared" si="1344"/>
        <v>0</v>
      </c>
      <c r="AN416" s="646">
        <f t="shared" si="1345"/>
        <v>0</v>
      </c>
      <c r="AO416" s="647">
        <f t="shared" si="1312"/>
        <v>565798.47828401951</v>
      </c>
      <c r="AP416" s="644">
        <f t="shared" si="1346"/>
        <v>0</v>
      </c>
      <c r="AQ416" s="645">
        <f t="shared" si="1347"/>
        <v>0</v>
      </c>
      <c r="AR416" s="646">
        <f t="shared" si="1348"/>
        <v>0</v>
      </c>
      <c r="AS416" s="647">
        <f t="shared" si="1313"/>
        <v>565798.47828401951</v>
      </c>
      <c r="AT416" s="644">
        <f t="shared" si="1349"/>
        <v>0</v>
      </c>
      <c r="AU416" s="645">
        <f t="shared" si="1350"/>
        <v>0</v>
      </c>
      <c r="AV416" s="646">
        <f t="shared" si="1351"/>
        <v>0</v>
      </c>
      <c r="AW416" s="647">
        <f t="shared" si="1314"/>
        <v>565798.47828401951</v>
      </c>
      <c r="AY416" s="644">
        <f t="shared" si="1352"/>
        <v>130809.81438771603</v>
      </c>
      <c r="AZ416" s="645">
        <f t="shared" si="1282"/>
        <v>138542.48363848982</v>
      </c>
      <c r="BA416" s="644">
        <f t="shared" si="1353"/>
        <v>7732.6692507737898</v>
      </c>
      <c r="BB416" s="645">
        <f t="shared" si="1354"/>
        <v>0</v>
      </c>
      <c r="BC416" s="646">
        <f t="shared" si="1355"/>
        <v>0</v>
      </c>
      <c r="BD416" s="647">
        <f t="shared" si="1356"/>
        <v>138542.48363848982</v>
      </c>
      <c r="BE416" s="644">
        <f t="shared" si="1315"/>
        <v>0</v>
      </c>
      <c r="BF416" s="645">
        <f t="shared" si="1316"/>
        <v>0</v>
      </c>
      <c r="BG416" s="646">
        <f t="shared" si="1357"/>
        <v>0</v>
      </c>
      <c r="BH416" s="647">
        <f t="shared" si="1317"/>
        <v>138542.48363848982</v>
      </c>
      <c r="BI416" s="644">
        <f t="shared" si="1358"/>
        <v>0</v>
      </c>
      <c r="BJ416" s="645">
        <f t="shared" si="1359"/>
        <v>0</v>
      </c>
      <c r="BK416" s="646">
        <f t="shared" si="1360"/>
        <v>0</v>
      </c>
      <c r="BL416" s="647">
        <f t="shared" si="1318"/>
        <v>138542.48363848982</v>
      </c>
      <c r="BM416" s="644">
        <f t="shared" si="1361"/>
        <v>0</v>
      </c>
      <c r="BN416" s="645">
        <f t="shared" si="1362"/>
        <v>0</v>
      </c>
      <c r="BO416" s="646">
        <f t="shared" si="1363"/>
        <v>0</v>
      </c>
      <c r="BP416" s="647">
        <f t="shared" si="1319"/>
        <v>138542.48363848982</v>
      </c>
      <c r="BQ416" s="644">
        <f t="shared" si="1364"/>
        <v>0</v>
      </c>
      <c r="BR416" s="645">
        <f t="shared" si="1365"/>
        <v>0</v>
      </c>
      <c r="BS416" s="646">
        <f t="shared" si="1366"/>
        <v>0</v>
      </c>
      <c r="BT416" s="647">
        <f t="shared" si="1320"/>
        <v>138542.48363848982</v>
      </c>
      <c r="BU416" s="662">
        <f>VLOOKUP(B416,'Afton Update'!$A$5:$AR$582,'Afton Update'!$AO$589,0)-BT416</f>
        <v>0</v>
      </c>
      <c r="BV416" s="644">
        <f t="shared" si="1367"/>
        <v>329263.10307149973</v>
      </c>
      <c r="BW416" s="645">
        <f t="shared" si="1305"/>
        <v>350404.14027865138</v>
      </c>
      <c r="BX416" s="644">
        <f t="shared" si="1368"/>
        <v>21141.037207151647</v>
      </c>
      <c r="BY416" s="645">
        <f t="shared" si="1369"/>
        <v>0</v>
      </c>
      <c r="BZ416" s="646">
        <f t="shared" si="1370"/>
        <v>0</v>
      </c>
      <c r="CA416" s="647">
        <f t="shared" si="1371"/>
        <v>350404.14027865138</v>
      </c>
      <c r="CB416" s="644">
        <f t="shared" si="1321"/>
        <v>0</v>
      </c>
      <c r="CC416" s="645">
        <f t="shared" si="1322"/>
        <v>0</v>
      </c>
      <c r="CD416" s="646">
        <f t="shared" si="1372"/>
        <v>0</v>
      </c>
      <c r="CE416" s="647">
        <f t="shared" si="1323"/>
        <v>350404.14027865138</v>
      </c>
      <c r="CF416" s="644">
        <f t="shared" si="1373"/>
        <v>0</v>
      </c>
      <c r="CG416" s="645">
        <f t="shared" si="1374"/>
        <v>0</v>
      </c>
      <c r="CH416" s="646">
        <f t="shared" si="1375"/>
        <v>0</v>
      </c>
      <c r="CI416" s="647">
        <f t="shared" si="1324"/>
        <v>350404.14027865138</v>
      </c>
      <c r="CJ416" s="644">
        <f t="shared" si="1376"/>
        <v>0</v>
      </c>
      <c r="CK416" s="645">
        <f t="shared" si="1377"/>
        <v>0</v>
      </c>
      <c r="CL416" s="646">
        <f t="shared" si="1378"/>
        <v>0</v>
      </c>
      <c r="CM416" s="647">
        <f t="shared" si="1325"/>
        <v>350404.14027865138</v>
      </c>
      <c r="CN416" s="644">
        <f t="shared" si="1379"/>
        <v>0</v>
      </c>
      <c r="CO416" s="645">
        <f t="shared" si="1380"/>
        <v>0</v>
      </c>
      <c r="CP416" s="646">
        <f t="shared" si="1381"/>
        <v>0</v>
      </c>
      <c r="CQ416" s="647">
        <f t="shared" si="1326"/>
        <v>350404.14027865138</v>
      </c>
      <c r="CS416" s="644">
        <f t="shared" si="1382"/>
        <v>362176.55828657339</v>
      </c>
      <c r="CT416" s="645">
        <f t="shared" si="1306"/>
        <v>385886.73812804866</v>
      </c>
      <c r="CU416" s="644">
        <f t="shared" si="1383"/>
        <v>23710.17984147527</v>
      </c>
      <c r="CV416" s="645">
        <f t="shared" si="1384"/>
        <v>0</v>
      </c>
      <c r="CW416" s="646">
        <f t="shared" si="1385"/>
        <v>0</v>
      </c>
      <c r="CX416" s="647">
        <f t="shared" si="1386"/>
        <v>385886.73812804866</v>
      </c>
      <c r="CY416" s="644">
        <f t="shared" si="1327"/>
        <v>0</v>
      </c>
      <c r="CZ416" s="645">
        <f t="shared" si="1328"/>
        <v>0</v>
      </c>
      <c r="DA416" s="646">
        <f t="shared" si="1387"/>
        <v>0</v>
      </c>
      <c r="DB416" s="647">
        <f t="shared" si="1329"/>
        <v>385886.73812804866</v>
      </c>
      <c r="DC416" s="644">
        <f t="shared" si="1388"/>
        <v>0</v>
      </c>
      <c r="DD416" s="645">
        <f t="shared" si="1389"/>
        <v>0</v>
      </c>
      <c r="DE416" s="646">
        <f t="shared" si="1390"/>
        <v>0</v>
      </c>
      <c r="DF416" s="647">
        <f t="shared" si="1330"/>
        <v>385886.73812804866</v>
      </c>
      <c r="DG416" s="644">
        <f t="shared" si="1391"/>
        <v>0</v>
      </c>
      <c r="DH416" s="645">
        <f t="shared" si="1392"/>
        <v>0</v>
      </c>
      <c r="DI416" s="646">
        <f t="shared" si="1393"/>
        <v>0</v>
      </c>
      <c r="DJ416" s="647">
        <f t="shared" si="1331"/>
        <v>385886.73812804866</v>
      </c>
      <c r="DK416" s="644">
        <f t="shared" si="1394"/>
        <v>0</v>
      </c>
      <c r="DL416" s="645">
        <f t="shared" si="1395"/>
        <v>0</v>
      </c>
      <c r="DM416" s="646">
        <f t="shared" si="1396"/>
        <v>0</v>
      </c>
      <c r="DN416" s="647">
        <f t="shared" si="1332"/>
        <v>385886.73812804866</v>
      </c>
      <c r="DR416" s="827">
        <f t="shared" si="1283"/>
        <v>1440631.8403292093</v>
      </c>
      <c r="DV416" s="828">
        <f>IFERROR(VLOOKUP($B416,'Afton FY16 Final'!$A$5:$BV$587,'Afton FY16 Final'!$BV$587,0),0)</f>
        <v>1486595.5785596932</v>
      </c>
      <c r="DX416" s="636">
        <f t="shared" si="1274"/>
        <v>0</v>
      </c>
      <c r="DY416" s="637">
        <f t="shared" si="1275"/>
        <v>0</v>
      </c>
      <c r="DZ416" s="637">
        <f t="shared" si="1276"/>
        <v>0</v>
      </c>
      <c r="EA416" s="643">
        <f t="shared" si="1277"/>
        <v>0</v>
      </c>
      <c r="EB416" s="637">
        <f t="shared" si="1284"/>
        <v>0</v>
      </c>
      <c r="EC416" s="637">
        <f t="shared" si="1285"/>
        <v>0</v>
      </c>
      <c r="ED416" s="637">
        <f t="shared" si="1286"/>
        <v>0</v>
      </c>
      <c r="EE416" s="643">
        <f t="shared" si="1287"/>
        <v>0</v>
      </c>
      <c r="EF416" s="637">
        <f t="shared" si="1288"/>
        <v>0</v>
      </c>
      <c r="EG416" s="637">
        <f t="shared" si="1289"/>
        <v>0</v>
      </c>
      <c r="EH416" s="637">
        <f t="shared" si="1290"/>
        <v>0</v>
      </c>
      <c r="EI416" s="643">
        <f t="shared" si="1291"/>
        <v>0</v>
      </c>
      <c r="EJ416" s="637">
        <f t="shared" si="1292"/>
        <v>0</v>
      </c>
      <c r="EK416" s="637">
        <f t="shared" si="1293"/>
        <v>0</v>
      </c>
      <c r="EL416" s="637">
        <f t="shared" si="1294"/>
        <v>0</v>
      </c>
      <c r="EM416" s="643">
        <f t="shared" si="1295"/>
        <v>0</v>
      </c>
      <c r="EN416" s="637">
        <f t="shared" si="1296"/>
        <v>0</v>
      </c>
      <c r="EO416" s="637">
        <f t="shared" si="1297"/>
        <v>0</v>
      </c>
      <c r="EP416" s="637">
        <f t="shared" si="1298"/>
        <v>0</v>
      </c>
      <c r="EQ416" s="643">
        <f t="shared" si="1299"/>
        <v>0</v>
      </c>
      <c r="ER416" s="637">
        <f t="shared" si="1300"/>
        <v>0</v>
      </c>
      <c r="ES416" s="637">
        <f t="shared" si="1301"/>
        <v>0</v>
      </c>
      <c r="ET416" s="637">
        <f t="shared" si="1302"/>
        <v>0</v>
      </c>
      <c r="EU416" s="643">
        <f t="shared" si="1278"/>
        <v>0</v>
      </c>
      <c r="EV416" s="643">
        <f t="shared" si="1279"/>
        <v>0</v>
      </c>
      <c r="EX416" s="829">
        <f t="shared" si="1280"/>
        <v>0</v>
      </c>
      <c r="EY416" s="638">
        <f t="shared" si="1281"/>
        <v>1440631.8403292093</v>
      </c>
      <c r="FC416" s="830" t="str">
        <f t="shared" si="1303"/>
        <v>Y</v>
      </c>
      <c r="FE416" s="830" t="str">
        <f>IFERROR(VLOOKUP($B416,'Historical Conc Grant Elig'!$B$3:$J$707,'HH &amp; SI'!FE$2,0),"N")</f>
        <v>Y</v>
      </c>
      <c r="FF416" s="830" t="str">
        <f>IFERROR(VLOOKUP($B416,'Historical Conc Grant Elig'!$B$3:$J$707,'HH &amp; SI'!FF$2,0),"N")</f>
        <v>Y</v>
      </c>
      <c r="FG416" s="830" t="str">
        <f>IFERROR(VLOOKUP($B416,'Historical Conc Grant Elig'!$B$3:$J$707,'HH &amp; SI'!FG$2,0),"N")</f>
        <v>Y</v>
      </c>
      <c r="FH416" s="830" t="str">
        <f>IFERROR(VLOOKUP($B416,'Historical Conc Grant Elig'!$B$3:$J$707,'HH &amp; SI'!FH$2,0),"N")</f>
        <v>Y</v>
      </c>
      <c r="FI416" s="830" t="str">
        <f>IFERROR(VLOOKUP($B416,'Historical Conc Grant Elig'!$B$3:$J$707,'HH &amp; SI'!FI$2,0),"N")</f>
        <v>Y</v>
      </c>
      <c r="FJ416" s="830" t="str">
        <f>IFERROR(VLOOKUP($B416,'Historical Conc Grant Elig'!$B$3:$J$707,'HH &amp; SI'!FJ$2,0),"N")</f>
        <v>Y</v>
      </c>
      <c r="FK416" s="830" t="str">
        <f>IFERROR(VLOOKUP($B416,'Historical Conc Grant Elig'!$B$3:$J$707,'HH &amp; SI'!FK$2,0),"N")</f>
        <v>Y</v>
      </c>
      <c r="FL416" s="957" t="str">
        <f>IFERROR(VLOOKUP($B416,'Historical Conc Grant Elig'!$B$3:$J$707,'HH &amp; SI'!FL$2,0),"N")</f>
        <v>Y</v>
      </c>
    </row>
    <row r="417" spans="2:168" x14ac:dyDescent="0.25">
      <c r="B417" s="634">
        <v>110422000</v>
      </c>
      <c r="C417" s="635" t="str">
        <f>VLOOKUP($B417,'Afton Update'!$A$5:$CR$582,'Afton Update'!D$589,0)</f>
        <v>Toltec Elementary District</v>
      </c>
      <c r="D417" s="636">
        <f>IFERROR(VLOOKUP($B417,'Afton FY16 Final'!$A$5:$BV$587,'Afton FY16 Final'!AQ$587,0),0)</f>
        <v>157507.4565273792</v>
      </c>
      <c r="E417" s="637">
        <f>IFERROR(VLOOKUP($B417,'Afton FY16 Final'!$A$5:$BV$587,'Afton FY16 Final'!AR$587,0),0)</f>
        <v>38291.541604080463</v>
      </c>
      <c r="F417" s="637">
        <f>IFERROR(VLOOKUP($B417,'Afton FY16 Final'!$A$5:$BV$587,'Afton FY16 Final'!AS$587,0),0)</f>
        <v>53064.240280692611</v>
      </c>
      <c r="G417" s="637">
        <f>IFERROR(VLOOKUP($B417,'Afton FY16 Final'!$A$5:$BV$587,'Afton FY16 Final'!AT$587,0),0)</f>
        <v>40240.157165074379</v>
      </c>
      <c r="H417" s="638">
        <f>IFERROR(VLOOKUP($B417,'Afton FY16 Final'!$A$5:$BV$587,'Afton FY16 Final'!AU$587,0),0)</f>
        <v>289103.39557722665</v>
      </c>
      <c r="I417" s="639" t="str">
        <f>VLOOKUP($B417,'Afton Update'!$A$5:$CR$582,'Afton Update'!BT$589,0)</f>
        <v>Y</v>
      </c>
      <c r="J417" s="640" t="str">
        <f>VLOOKUP($B417,'Afton Update'!$A$5:$CR$582,'Afton Update'!BU$589,0)</f>
        <v>Y</v>
      </c>
      <c r="K417" s="640" t="str">
        <f>VLOOKUP($B417,'Afton Update'!$A$5:$CR$582,'Afton Update'!BV$589,0)</f>
        <v>Y</v>
      </c>
      <c r="L417" s="641" t="str">
        <f>VLOOKUP($B417,'Afton Update'!$A$5:$CR$582,'Afton Update'!BW$589,0)</f>
        <v>Y</v>
      </c>
      <c r="N417" s="642">
        <f>VLOOKUP($B417,'Afton Update'!$A$5:$CR$582,'Afton Update'!CB$589,0)</f>
        <v>0.9</v>
      </c>
      <c r="P417" s="636">
        <f>VLOOKUP($B417,'Afton Update'!$A$5:$CR$582,'Afton Update'!AH$589,0)</f>
        <v>132345.69750232066</v>
      </c>
      <c r="Q417" s="637">
        <f>VLOOKUP($B417,'Afton Update'!$A$5:$CR$582,'Afton Update'!AI$589,0)</f>
        <v>32750.663246672095</v>
      </c>
      <c r="R417" s="637">
        <f>VLOOKUP($B417,'Afton Update'!$A$5:$CR$582,'Afton Update'!AJ$589,0)</f>
        <v>44516.619209991863</v>
      </c>
      <c r="S417" s="637">
        <f>VLOOKUP($B417,'Afton Update'!$A$5:$CR$582,'Afton Update'!AK$589,0)</f>
        <v>33785.404007009689</v>
      </c>
      <c r="T417" s="643">
        <f t="shared" si="1307"/>
        <v>243398.38396599432</v>
      </c>
      <c r="V417" s="636">
        <f t="shared" si="1333"/>
        <v>141756.71087464129</v>
      </c>
      <c r="W417" s="637">
        <f t="shared" si="1334"/>
        <v>34462.387443672415</v>
      </c>
      <c r="X417" s="637">
        <f t="shared" si="1335"/>
        <v>47757.81625262335</v>
      </c>
      <c r="Y417" s="637">
        <f t="shared" si="1336"/>
        <v>36216.141448566945</v>
      </c>
      <c r="Z417" s="643">
        <f t="shared" si="1337"/>
        <v>260193.056019504</v>
      </c>
      <c r="AB417" s="644">
        <f t="shared" si="1308"/>
        <v>132345.69750232066</v>
      </c>
      <c r="AC417" s="645">
        <f t="shared" si="1304"/>
        <v>141756.71087464129</v>
      </c>
      <c r="AD417" s="644">
        <f t="shared" si="1338"/>
        <v>9411.0133723206236</v>
      </c>
      <c r="AE417" s="645">
        <f t="shared" si="1339"/>
        <v>0</v>
      </c>
      <c r="AF417" s="646">
        <f t="shared" si="1340"/>
        <v>0</v>
      </c>
      <c r="AG417" s="647">
        <f t="shared" si="1341"/>
        <v>141756.71087464129</v>
      </c>
      <c r="AH417" s="644">
        <f t="shared" si="1309"/>
        <v>0</v>
      </c>
      <c r="AI417" s="645">
        <f t="shared" si="1310"/>
        <v>0</v>
      </c>
      <c r="AJ417" s="646">
        <f t="shared" si="1342"/>
        <v>0</v>
      </c>
      <c r="AK417" s="647">
        <f t="shared" si="1311"/>
        <v>141756.71087464129</v>
      </c>
      <c r="AL417" s="644">
        <f t="shared" si="1343"/>
        <v>0</v>
      </c>
      <c r="AM417" s="645">
        <f t="shared" si="1344"/>
        <v>0</v>
      </c>
      <c r="AN417" s="646">
        <f t="shared" si="1345"/>
        <v>0</v>
      </c>
      <c r="AO417" s="647">
        <f t="shared" si="1312"/>
        <v>141756.71087464129</v>
      </c>
      <c r="AP417" s="644">
        <f t="shared" si="1346"/>
        <v>0</v>
      </c>
      <c r="AQ417" s="645">
        <f t="shared" si="1347"/>
        <v>0</v>
      </c>
      <c r="AR417" s="646">
        <f t="shared" si="1348"/>
        <v>0</v>
      </c>
      <c r="AS417" s="647">
        <f t="shared" si="1313"/>
        <v>141756.71087464129</v>
      </c>
      <c r="AT417" s="644">
        <f t="shared" si="1349"/>
        <v>0</v>
      </c>
      <c r="AU417" s="645">
        <f t="shared" si="1350"/>
        <v>0</v>
      </c>
      <c r="AV417" s="646">
        <f t="shared" si="1351"/>
        <v>0</v>
      </c>
      <c r="AW417" s="647">
        <f t="shared" si="1314"/>
        <v>141756.71087464129</v>
      </c>
      <c r="AY417" s="644">
        <f t="shared" si="1352"/>
        <v>32750.663246672095</v>
      </c>
      <c r="AZ417" s="645">
        <f t="shared" si="1282"/>
        <v>34462.387443672415</v>
      </c>
      <c r="BA417" s="644">
        <f t="shared" si="1353"/>
        <v>1711.7241970003197</v>
      </c>
      <c r="BB417" s="645">
        <f t="shared" si="1354"/>
        <v>0</v>
      </c>
      <c r="BC417" s="646">
        <f t="shared" si="1355"/>
        <v>0</v>
      </c>
      <c r="BD417" s="647">
        <f t="shared" si="1356"/>
        <v>34462.387443672415</v>
      </c>
      <c r="BE417" s="644">
        <f t="shared" si="1315"/>
        <v>0</v>
      </c>
      <c r="BF417" s="645">
        <f t="shared" si="1316"/>
        <v>0</v>
      </c>
      <c r="BG417" s="646">
        <f t="shared" si="1357"/>
        <v>0</v>
      </c>
      <c r="BH417" s="647">
        <f t="shared" si="1317"/>
        <v>34462.387443672415</v>
      </c>
      <c r="BI417" s="644">
        <f t="shared" si="1358"/>
        <v>0</v>
      </c>
      <c r="BJ417" s="645">
        <f t="shared" si="1359"/>
        <v>0</v>
      </c>
      <c r="BK417" s="646">
        <f t="shared" si="1360"/>
        <v>0</v>
      </c>
      <c r="BL417" s="647">
        <f t="shared" si="1318"/>
        <v>34462.387443672415</v>
      </c>
      <c r="BM417" s="644">
        <f t="shared" si="1361"/>
        <v>0</v>
      </c>
      <c r="BN417" s="645">
        <f t="shared" si="1362"/>
        <v>0</v>
      </c>
      <c r="BO417" s="646">
        <f t="shared" si="1363"/>
        <v>0</v>
      </c>
      <c r="BP417" s="647">
        <f t="shared" si="1319"/>
        <v>34462.387443672415</v>
      </c>
      <c r="BQ417" s="644">
        <f t="shared" si="1364"/>
        <v>0</v>
      </c>
      <c r="BR417" s="645">
        <f t="shared" si="1365"/>
        <v>0</v>
      </c>
      <c r="BS417" s="646">
        <f t="shared" si="1366"/>
        <v>0</v>
      </c>
      <c r="BT417" s="647">
        <f t="shared" si="1320"/>
        <v>34462.387443672415</v>
      </c>
      <c r="BU417" s="662">
        <f>VLOOKUP(B417,'Afton Update'!$A$5:$AR$582,'Afton Update'!$AO$589,0)-BT417</f>
        <v>0</v>
      </c>
      <c r="BV417" s="644">
        <f t="shared" si="1367"/>
        <v>44516.619209991863</v>
      </c>
      <c r="BW417" s="645">
        <f t="shared" si="1305"/>
        <v>47757.81625262335</v>
      </c>
      <c r="BX417" s="644">
        <f t="shared" si="1368"/>
        <v>3241.1970426314874</v>
      </c>
      <c r="BY417" s="645">
        <f t="shared" si="1369"/>
        <v>0</v>
      </c>
      <c r="BZ417" s="646">
        <f t="shared" si="1370"/>
        <v>0</v>
      </c>
      <c r="CA417" s="647">
        <f t="shared" si="1371"/>
        <v>47757.81625262335</v>
      </c>
      <c r="CB417" s="644">
        <f t="shared" si="1321"/>
        <v>0</v>
      </c>
      <c r="CC417" s="645">
        <f t="shared" si="1322"/>
        <v>0</v>
      </c>
      <c r="CD417" s="646">
        <f t="shared" si="1372"/>
        <v>0</v>
      </c>
      <c r="CE417" s="647">
        <f t="shared" si="1323"/>
        <v>47757.81625262335</v>
      </c>
      <c r="CF417" s="644">
        <f t="shared" si="1373"/>
        <v>0</v>
      </c>
      <c r="CG417" s="645">
        <f t="shared" si="1374"/>
        <v>0</v>
      </c>
      <c r="CH417" s="646">
        <f t="shared" si="1375"/>
        <v>0</v>
      </c>
      <c r="CI417" s="647">
        <f t="shared" si="1324"/>
        <v>47757.81625262335</v>
      </c>
      <c r="CJ417" s="644">
        <f t="shared" si="1376"/>
        <v>0</v>
      </c>
      <c r="CK417" s="645">
        <f t="shared" si="1377"/>
        <v>0</v>
      </c>
      <c r="CL417" s="646">
        <f t="shared" si="1378"/>
        <v>0</v>
      </c>
      <c r="CM417" s="647">
        <f t="shared" si="1325"/>
        <v>47757.81625262335</v>
      </c>
      <c r="CN417" s="644">
        <f t="shared" si="1379"/>
        <v>0</v>
      </c>
      <c r="CO417" s="645">
        <f t="shared" si="1380"/>
        <v>0</v>
      </c>
      <c r="CP417" s="646">
        <f t="shared" si="1381"/>
        <v>0</v>
      </c>
      <c r="CQ417" s="647">
        <f t="shared" si="1326"/>
        <v>47757.81625262335</v>
      </c>
      <c r="CS417" s="644">
        <f t="shared" si="1382"/>
        <v>33785.404007009689</v>
      </c>
      <c r="CT417" s="645">
        <f t="shared" si="1306"/>
        <v>36216.141448566945</v>
      </c>
      <c r="CU417" s="644">
        <f t="shared" si="1383"/>
        <v>2430.7374415572558</v>
      </c>
      <c r="CV417" s="645">
        <f t="shared" si="1384"/>
        <v>0</v>
      </c>
      <c r="CW417" s="646">
        <f t="shared" si="1385"/>
        <v>0</v>
      </c>
      <c r="CX417" s="647">
        <f t="shared" si="1386"/>
        <v>36216.141448566945</v>
      </c>
      <c r="CY417" s="644">
        <f t="shared" si="1327"/>
        <v>0</v>
      </c>
      <c r="CZ417" s="645">
        <f t="shared" si="1328"/>
        <v>0</v>
      </c>
      <c r="DA417" s="646">
        <f t="shared" si="1387"/>
        <v>0</v>
      </c>
      <c r="DB417" s="647">
        <f t="shared" si="1329"/>
        <v>36216.141448566945</v>
      </c>
      <c r="DC417" s="644">
        <f t="shared" si="1388"/>
        <v>0</v>
      </c>
      <c r="DD417" s="645">
        <f t="shared" si="1389"/>
        <v>0</v>
      </c>
      <c r="DE417" s="646">
        <f t="shared" si="1390"/>
        <v>0</v>
      </c>
      <c r="DF417" s="647">
        <f t="shared" si="1330"/>
        <v>36216.141448566945</v>
      </c>
      <c r="DG417" s="644">
        <f t="shared" si="1391"/>
        <v>0</v>
      </c>
      <c r="DH417" s="645">
        <f t="shared" si="1392"/>
        <v>0</v>
      </c>
      <c r="DI417" s="646">
        <f t="shared" si="1393"/>
        <v>0</v>
      </c>
      <c r="DJ417" s="647">
        <f t="shared" si="1331"/>
        <v>36216.141448566945</v>
      </c>
      <c r="DK417" s="644">
        <f t="shared" si="1394"/>
        <v>0</v>
      </c>
      <c r="DL417" s="645">
        <f t="shared" si="1395"/>
        <v>0</v>
      </c>
      <c r="DM417" s="646">
        <f t="shared" si="1396"/>
        <v>0</v>
      </c>
      <c r="DN417" s="647">
        <f t="shared" si="1332"/>
        <v>36216.141448566945</v>
      </c>
      <c r="DR417" s="827">
        <f t="shared" si="1283"/>
        <v>260193.056019504</v>
      </c>
      <c r="DV417" s="828">
        <f>IFERROR(VLOOKUP($B417,'Afton FY16 Final'!$A$5:$BV$587,'Afton FY16 Final'!$BV$587,0),0)</f>
        <v>283410.94976618909</v>
      </c>
      <c r="DX417" s="636">
        <f t="shared" si="1274"/>
        <v>0</v>
      </c>
      <c r="DY417" s="637">
        <f t="shared" si="1275"/>
        <v>0</v>
      </c>
      <c r="DZ417" s="637">
        <f t="shared" si="1276"/>
        <v>0</v>
      </c>
      <c r="EA417" s="643">
        <f t="shared" si="1277"/>
        <v>0</v>
      </c>
      <c r="EB417" s="637">
        <f t="shared" si="1284"/>
        <v>0</v>
      </c>
      <c r="EC417" s="637">
        <f t="shared" si="1285"/>
        <v>0</v>
      </c>
      <c r="ED417" s="637">
        <f t="shared" si="1286"/>
        <v>0</v>
      </c>
      <c r="EE417" s="643">
        <f t="shared" si="1287"/>
        <v>0</v>
      </c>
      <c r="EF417" s="637">
        <f t="shared" si="1288"/>
        <v>0</v>
      </c>
      <c r="EG417" s="637">
        <f t="shared" si="1289"/>
        <v>0</v>
      </c>
      <c r="EH417" s="637">
        <f t="shared" si="1290"/>
        <v>0</v>
      </c>
      <c r="EI417" s="643">
        <f t="shared" si="1291"/>
        <v>0</v>
      </c>
      <c r="EJ417" s="637">
        <f t="shared" si="1292"/>
        <v>0</v>
      </c>
      <c r="EK417" s="637">
        <f t="shared" si="1293"/>
        <v>0</v>
      </c>
      <c r="EL417" s="637">
        <f t="shared" si="1294"/>
        <v>0</v>
      </c>
      <c r="EM417" s="643">
        <f t="shared" si="1295"/>
        <v>0</v>
      </c>
      <c r="EN417" s="637">
        <f t="shared" si="1296"/>
        <v>0</v>
      </c>
      <c r="EO417" s="637">
        <f t="shared" si="1297"/>
        <v>0</v>
      </c>
      <c r="EP417" s="637">
        <f t="shared" si="1298"/>
        <v>0</v>
      </c>
      <c r="EQ417" s="643">
        <f t="shared" si="1299"/>
        <v>0</v>
      </c>
      <c r="ER417" s="637">
        <f t="shared" si="1300"/>
        <v>0</v>
      </c>
      <c r="ES417" s="637">
        <f t="shared" si="1301"/>
        <v>0</v>
      </c>
      <c r="ET417" s="637">
        <f t="shared" si="1302"/>
        <v>0</v>
      </c>
      <c r="EU417" s="643">
        <f t="shared" si="1278"/>
        <v>0</v>
      </c>
      <c r="EV417" s="643">
        <f t="shared" si="1279"/>
        <v>0</v>
      </c>
      <c r="EX417" s="829">
        <f t="shared" si="1280"/>
        <v>0</v>
      </c>
      <c r="EY417" s="638">
        <f t="shared" si="1281"/>
        <v>260193.056019504</v>
      </c>
      <c r="FC417" s="830" t="str">
        <f t="shared" si="1303"/>
        <v>Y</v>
      </c>
      <c r="FE417" s="830" t="str">
        <f>IFERROR(VLOOKUP($B417,'Historical Conc Grant Elig'!$B$3:$J$707,'HH &amp; SI'!FE$2,0),"N")</f>
        <v>N</v>
      </c>
      <c r="FF417" s="830" t="str">
        <f>IFERROR(VLOOKUP($B417,'Historical Conc Grant Elig'!$B$3:$J$707,'HH &amp; SI'!FF$2,0),"N")</f>
        <v>N</v>
      </c>
      <c r="FG417" s="830" t="str">
        <f>IFERROR(VLOOKUP($B417,'Historical Conc Grant Elig'!$B$3:$J$707,'HH &amp; SI'!FG$2,0),"N")</f>
        <v>N</v>
      </c>
      <c r="FH417" s="830" t="str">
        <f>IFERROR(VLOOKUP($B417,'Historical Conc Grant Elig'!$B$3:$J$707,'HH &amp; SI'!FH$2,0),"N")</f>
        <v>Y</v>
      </c>
      <c r="FI417" s="830" t="str">
        <f>IFERROR(VLOOKUP($B417,'Historical Conc Grant Elig'!$B$3:$J$707,'HH &amp; SI'!FI$2,0),"N")</f>
        <v>Y</v>
      </c>
      <c r="FJ417" s="830" t="str">
        <f>IFERROR(VLOOKUP($B417,'Historical Conc Grant Elig'!$B$3:$J$707,'HH &amp; SI'!FJ$2,0),"N")</f>
        <v>Y</v>
      </c>
      <c r="FK417" s="830" t="str">
        <f>IFERROR(VLOOKUP($B417,'Historical Conc Grant Elig'!$B$3:$J$707,'HH &amp; SI'!FK$2,0),"N")</f>
        <v>Y</v>
      </c>
      <c r="FL417" s="957" t="str">
        <f>IFERROR(VLOOKUP($B417,'Historical Conc Grant Elig'!$B$3:$J$707,'HH &amp; SI'!FL$2,0),"N")</f>
        <v>Y</v>
      </c>
    </row>
    <row r="418" spans="2:168" x14ac:dyDescent="0.25">
      <c r="B418" s="634">
        <v>110424000</v>
      </c>
      <c r="C418" s="635" t="str">
        <f>VLOOKUP($B418,'Afton Update'!$A$5:$CR$582,'Afton Update'!D$589,0)</f>
        <v>Stanfield Elementary District</v>
      </c>
      <c r="D418" s="636">
        <f>IFERROR(VLOOKUP($B418,'Afton FY16 Final'!$A$5:$BV$587,'Afton FY16 Final'!AQ$587,0),0)</f>
        <v>128617.5838754126</v>
      </c>
      <c r="E418" s="637">
        <f>IFERROR(VLOOKUP($B418,'Afton FY16 Final'!$A$5:$BV$587,'Afton FY16 Final'!AR$587,0),0)</f>
        <v>31489.001185040346</v>
      </c>
      <c r="F418" s="637">
        <f>IFERROR(VLOOKUP($B418,'Afton FY16 Final'!$A$5:$BV$587,'Afton FY16 Final'!AS$587,0),0)</f>
        <v>64923.416074092704</v>
      </c>
      <c r="G418" s="637">
        <f>IFERROR(VLOOKUP($B418,'Afton FY16 Final'!$A$5:$BV$587,'Afton FY16 Final'!AT$587,0),0)</f>
        <v>50842.970363984299</v>
      </c>
      <c r="H418" s="638">
        <f>IFERROR(VLOOKUP($B418,'Afton FY16 Final'!$A$5:$BV$587,'Afton FY16 Final'!AU$587,0),0)</f>
        <v>275872.97149852995</v>
      </c>
      <c r="I418" s="639" t="str">
        <f>VLOOKUP($B418,'Afton Update'!$A$5:$CR$582,'Afton Update'!BT$589,0)</f>
        <v>Y</v>
      </c>
      <c r="J418" s="640" t="str">
        <f>VLOOKUP($B418,'Afton Update'!$A$5:$CR$582,'Afton Update'!BU$589,0)</f>
        <v>Y</v>
      </c>
      <c r="K418" s="640" t="str">
        <f>VLOOKUP($B418,'Afton Update'!$A$5:$CR$582,'Afton Update'!BV$589,0)</f>
        <v>Y</v>
      </c>
      <c r="L418" s="641" t="str">
        <f>VLOOKUP($B418,'Afton Update'!$A$5:$CR$582,'Afton Update'!BW$589,0)</f>
        <v>Y</v>
      </c>
      <c r="N418" s="642">
        <f>VLOOKUP($B418,'Afton Update'!$A$5:$CR$582,'Afton Update'!CB$589,0)</f>
        <v>0.9</v>
      </c>
      <c r="P418" s="636">
        <f>VLOOKUP($B418,'Afton Update'!$A$5:$CR$582,'Afton Update'!AH$589,0)</f>
        <v>111615.87496914114</v>
      </c>
      <c r="Q418" s="637">
        <f>VLOOKUP($B418,'Afton Update'!$A$5:$CR$582,'Afton Update'!AI$589,0)</f>
        <v>27888.364410176124</v>
      </c>
      <c r="R418" s="637">
        <f>VLOOKUP($B418,'Afton Update'!$A$5:$CR$582,'Afton Update'!AJ$589,0)</f>
        <v>57695.056341673684</v>
      </c>
      <c r="S418" s="637">
        <f>VLOOKUP($B418,'Afton Update'!$A$5:$CR$582,'Afton Update'!AK$589,0)</f>
        <v>46421.140058038363</v>
      </c>
      <c r="T418" s="643">
        <f t="shared" si="1307"/>
        <v>243620.43577902933</v>
      </c>
      <c r="V418" s="636">
        <f t="shared" si="1333"/>
        <v>115755.82548787135</v>
      </c>
      <c r="W418" s="637">
        <f t="shared" si="1334"/>
        <v>28340.101066536314</v>
      </c>
      <c r="X418" s="637">
        <f t="shared" si="1335"/>
        <v>58431.074466683436</v>
      </c>
      <c r="Y418" s="637">
        <f t="shared" si="1336"/>
        <v>45909.662656919369</v>
      </c>
      <c r="Z418" s="643">
        <f t="shared" si="1337"/>
        <v>248436.66367801046</v>
      </c>
      <c r="AB418" s="644">
        <f t="shared" si="1308"/>
        <v>111615.87496914114</v>
      </c>
      <c r="AC418" s="645">
        <f t="shared" si="1304"/>
        <v>115755.82548787135</v>
      </c>
      <c r="AD418" s="644">
        <f t="shared" si="1338"/>
        <v>4139.9505187302129</v>
      </c>
      <c r="AE418" s="645">
        <f t="shared" si="1339"/>
        <v>0</v>
      </c>
      <c r="AF418" s="646">
        <f t="shared" si="1340"/>
        <v>0</v>
      </c>
      <c r="AG418" s="647">
        <f t="shared" si="1341"/>
        <v>115755.82548787135</v>
      </c>
      <c r="AH418" s="644">
        <f t="shared" si="1309"/>
        <v>0</v>
      </c>
      <c r="AI418" s="645">
        <f t="shared" si="1310"/>
        <v>0</v>
      </c>
      <c r="AJ418" s="646">
        <f t="shared" si="1342"/>
        <v>0</v>
      </c>
      <c r="AK418" s="647">
        <f t="shared" si="1311"/>
        <v>115755.82548787135</v>
      </c>
      <c r="AL418" s="644">
        <f t="shared" si="1343"/>
        <v>0</v>
      </c>
      <c r="AM418" s="645">
        <f t="shared" si="1344"/>
        <v>0</v>
      </c>
      <c r="AN418" s="646">
        <f t="shared" si="1345"/>
        <v>0</v>
      </c>
      <c r="AO418" s="647">
        <f t="shared" si="1312"/>
        <v>115755.82548787135</v>
      </c>
      <c r="AP418" s="644">
        <f t="shared" si="1346"/>
        <v>0</v>
      </c>
      <c r="AQ418" s="645">
        <f t="shared" si="1347"/>
        <v>0</v>
      </c>
      <c r="AR418" s="646">
        <f t="shared" si="1348"/>
        <v>0</v>
      </c>
      <c r="AS418" s="647">
        <f t="shared" si="1313"/>
        <v>115755.82548787135</v>
      </c>
      <c r="AT418" s="644">
        <f t="shared" si="1349"/>
        <v>0</v>
      </c>
      <c r="AU418" s="645">
        <f t="shared" si="1350"/>
        <v>0</v>
      </c>
      <c r="AV418" s="646">
        <f t="shared" si="1351"/>
        <v>0</v>
      </c>
      <c r="AW418" s="647">
        <f t="shared" si="1314"/>
        <v>115755.82548787135</v>
      </c>
      <c r="AY418" s="644">
        <f t="shared" si="1352"/>
        <v>27888.364410176124</v>
      </c>
      <c r="AZ418" s="645">
        <f t="shared" si="1282"/>
        <v>28340.101066536314</v>
      </c>
      <c r="BA418" s="644">
        <f t="shared" si="1353"/>
        <v>451.73665636018995</v>
      </c>
      <c r="BB418" s="645">
        <f t="shared" si="1354"/>
        <v>0</v>
      </c>
      <c r="BC418" s="646">
        <f t="shared" si="1355"/>
        <v>0</v>
      </c>
      <c r="BD418" s="647">
        <f t="shared" si="1356"/>
        <v>28340.101066536314</v>
      </c>
      <c r="BE418" s="644">
        <f t="shared" si="1315"/>
        <v>0</v>
      </c>
      <c r="BF418" s="645">
        <f t="shared" si="1316"/>
        <v>0</v>
      </c>
      <c r="BG418" s="646">
        <f t="shared" si="1357"/>
        <v>0</v>
      </c>
      <c r="BH418" s="647">
        <f t="shared" si="1317"/>
        <v>28340.101066536314</v>
      </c>
      <c r="BI418" s="644">
        <f t="shared" si="1358"/>
        <v>0</v>
      </c>
      <c r="BJ418" s="645">
        <f t="shared" si="1359"/>
        <v>0</v>
      </c>
      <c r="BK418" s="646">
        <f t="shared" si="1360"/>
        <v>0</v>
      </c>
      <c r="BL418" s="647">
        <f t="shared" si="1318"/>
        <v>28340.101066536314</v>
      </c>
      <c r="BM418" s="644">
        <f t="shared" si="1361"/>
        <v>0</v>
      </c>
      <c r="BN418" s="645">
        <f t="shared" si="1362"/>
        <v>0</v>
      </c>
      <c r="BO418" s="646">
        <f t="shared" si="1363"/>
        <v>0</v>
      </c>
      <c r="BP418" s="647">
        <f t="shared" si="1319"/>
        <v>28340.101066536314</v>
      </c>
      <c r="BQ418" s="644">
        <f t="shared" si="1364"/>
        <v>0</v>
      </c>
      <c r="BR418" s="645">
        <f t="shared" si="1365"/>
        <v>0</v>
      </c>
      <c r="BS418" s="646">
        <f t="shared" si="1366"/>
        <v>0</v>
      </c>
      <c r="BT418" s="647">
        <f t="shared" si="1320"/>
        <v>28340.101066536314</v>
      </c>
      <c r="BU418" s="662">
        <f>VLOOKUP(B418,'Afton Update'!$A$5:$AR$582,'Afton Update'!$AO$589,0)-BT418</f>
        <v>0</v>
      </c>
      <c r="BV418" s="644">
        <f t="shared" si="1367"/>
        <v>57695.056341673684</v>
      </c>
      <c r="BW418" s="645">
        <f t="shared" si="1305"/>
        <v>58431.074466683436</v>
      </c>
      <c r="BX418" s="644">
        <f t="shared" si="1368"/>
        <v>736.01812500975211</v>
      </c>
      <c r="BY418" s="645">
        <f t="shared" si="1369"/>
        <v>0</v>
      </c>
      <c r="BZ418" s="646">
        <f t="shared" si="1370"/>
        <v>0</v>
      </c>
      <c r="CA418" s="647">
        <f t="shared" si="1371"/>
        <v>58431.074466683436</v>
      </c>
      <c r="CB418" s="644">
        <f t="shared" si="1321"/>
        <v>0</v>
      </c>
      <c r="CC418" s="645">
        <f t="shared" si="1322"/>
        <v>0</v>
      </c>
      <c r="CD418" s="646">
        <f t="shared" si="1372"/>
        <v>0</v>
      </c>
      <c r="CE418" s="647">
        <f t="shared" si="1323"/>
        <v>58431.074466683436</v>
      </c>
      <c r="CF418" s="644">
        <f t="shared" si="1373"/>
        <v>0</v>
      </c>
      <c r="CG418" s="645">
        <f t="shared" si="1374"/>
        <v>0</v>
      </c>
      <c r="CH418" s="646">
        <f t="shared" si="1375"/>
        <v>0</v>
      </c>
      <c r="CI418" s="647">
        <f t="shared" si="1324"/>
        <v>58431.074466683436</v>
      </c>
      <c r="CJ418" s="644">
        <f t="shared" si="1376"/>
        <v>0</v>
      </c>
      <c r="CK418" s="645">
        <f t="shared" si="1377"/>
        <v>0</v>
      </c>
      <c r="CL418" s="646">
        <f t="shared" si="1378"/>
        <v>0</v>
      </c>
      <c r="CM418" s="647">
        <f t="shared" si="1325"/>
        <v>58431.074466683436</v>
      </c>
      <c r="CN418" s="644">
        <f t="shared" si="1379"/>
        <v>0</v>
      </c>
      <c r="CO418" s="645">
        <f t="shared" si="1380"/>
        <v>0</v>
      </c>
      <c r="CP418" s="646">
        <f t="shared" si="1381"/>
        <v>0</v>
      </c>
      <c r="CQ418" s="647">
        <f t="shared" si="1326"/>
        <v>58431.074466683436</v>
      </c>
      <c r="CS418" s="644">
        <f t="shared" si="1382"/>
        <v>46421.140058038363</v>
      </c>
      <c r="CT418" s="645">
        <f t="shared" si="1306"/>
        <v>45758.673327585871</v>
      </c>
      <c r="CU418" s="644">
        <f t="shared" si="1383"/>
        <v>0</v>
      </c>
      <c r="CV418" s="645">
        <f t="shared" si="1384"/>
        <v>46421.140058038363</v>
      </c>
      <c r="CW418" s="646">
        <f t="shared" si="1385"/>
        <v>-475.37870780069665</v>
      </c>
      <c r="CX418" s="647">
        <f t="shared" si="1386"/>
        <v>45945.76135023767</v>
      </c>
      <c r="CY418" s="644">
        <f t="shared" si="1327"/>
        <v>0</v>
      </c>
      <c r="CZ418" s="645">
        <f t="shared" si="1328"/>
        <v>45945.76135023767</v>
      </c>
      <c r="DA418" s="646">
        <f t="shared" si="1387"/>
        <v>-36.06758951464564</v>
      </c>
      <c r="DB418" s="647">
        <f t="shared" si="1329"/>
        <v>45909.693760723021</v>
      </c>
      <c r="DC418" s="644">
        <f t="shared" si="1388"/>
        <v>0</v>
      </c>
      <c r="DD418" s="645">
        <f t="shared" si="1389"/>
        <v>45909.693760723021</v>
      </c>
      <c r="DE418" s="646">
        <f t="shared" si="1390"/>
        <v>-3.1103803652605084E-2</v>
      </c>
      <c r="DF418" s="647">
        <f t="shared" si="1330"/>
        <v>45909.662656919369</v>
      </c>
      <c r="DG418" s="644">
        <f t="shared" si="1391"/>
        <v>0</v>
      </c>
      <c r="DH418" s="645">
        <f t="shared" si="1392"/>
        <v>45909.662656919369</v>
      </c>
      <c r="DI418" s="646">
        <f t="shared" si="1393"/>
        <v>0</v>
      </c>
      <c r="DJ418" s="647">
        <f t="shared" si="1331"/>
        <v>45909.662656919369</v>
      </c>
      <c r="DK418" s="644">
        <f t="shared" si="1394"/>
        <v>0</v>
      </c>
      <c r="DL418" s="645">
        <f t="shared" si="1395"/>
        <v>45909.662656919369</v>
      </c>
      <c r="DM418" s="646">
        <f t="shared" si="1396"/>
        <v>0</v>
      </c>
      <c r="DN418" s="647">
        <f t="shared" si="1332"/>
        <v>45909.662656919369</v>
      </c>
      <c r="DR418" s="827">
        <f t="shared" si="1283"/>
        <v>248436.66367801046</v>
      </c>
      <c r="DV418" s="828">
        <f>IFERROR(VLOOKUP($B418,'Afton FY16 Final'!$A$5:$BV$587,'Afton FY16 Final'!$BV$587,0),0)</f>
        <v>262370.79088498128</v>
      </c>
      <c r="DX418" s="636">
        <f t="shared" si="1274"/>
        <v>0</v>
      </c>
      <c r="DY418" s="637">
        <f t="shared" si="1275"/>
        <v>0</v>
      </c>
      <c r="DZ418" s="637">
        <f t="shared" si="1276"/>
        <v>0</v>
      </c>
      <c r="EA418" s="643">
        <f t="shared" si="1277"/>
        <v>0</v>
      </c>
      <c r="EB418" s="637">
        <f t="shared" si="1284"/>
        <v>0</v>
      </c>
      <c r="EC418" s="637">
        <f t="shared" si="1285"/>
        <v>0</v>
      </c>
      <c r="ED418" s="637">
        <f t="shared" si="1286"/>
        <v>0</v>
      </c>
      <c r="EE418" s="643">
        <f t="shared" si="1287"/>
        <v>0</v>
      </c>
      <c r="EF418" s="637">
        <f t="shared" si="1288"/>
        <v>0</v>
      </c>
      <c r="EG418" s="637">
        <f t="shared" si="1289"/>
        <v>0</v>
      </c>
      <c r="EH418" s="637">
        <f t="shared" si="1290"/>
        <v>0</v>
      </c>
      <c r="EI418" s="643">
        <f t="shared" si="1291"/>
        <v>0</v>
      </c>
      <c r="EJ418" s="637">
        <f t="shared" si="1292"/>
        <v>0</v>
      </c>
      <c r="EK418" s="637">
        <f t="shared" si="1293"/>
        <v>0</v>
      </c>
      <c r="EL418" s="637">
        <f t="shared" si="1294"/>
        <v>0</v>
      </c>
      <c r="EM418" s="643">
        <f t="shared" si="1295"/>
        <v>0</v>
      </c>
      <c r="EN418" s="637">
        <f t="shared" si="1296"/>
        <v>0</v>
      </c>
      <c r="EO418" s="637">
        <f t="shared" si="1297"/>
        <v>0</v>
      </c>
      <c r="EP418" s="637">
        <f t="shared" si="1298"/>
        <v>0</v>
      </c>
      <c r="EQ418" s="643">
        <f t="shared" si="1299"/>
        <v>0</v>
      </c>
      <c r="ER418" s="637">
        <f t="shared" si="1300"/>
        <v>0</v>
      </c>
      <c r="ES418" s="637">
        <f t="shared" si="1301"/>
        <v>0</v>
      </c>
      <c r="ET418" s="637">
        <f t="shared" si="1302"/>
        <v>0</v>
      </c>
      <c r="EU418" s="643">
        <f t="shared" si="1278"/>
        <v>0</v>
      </c>
      <c r="EV418" s="643">
        <f t="shared" si="1279"/>
        <v>0</v>
      </c>
      <c r="EX418" s="829">
        <f t="shared" si="1280"/>
        <v>0</v>
      </c>
      <c r="EY418" s="638">
        <f t="shared" si="1281"/>
        <v>248436.66367801046</v>
      </c>
      <c r="FC418" s="830" t="str">
        <f t="shared" si="1303"/>
        <v>Y</v>
      </c>
      <c r="FE418" s="830" t="str">
        <f>IFERROR(VLOOKUP($B418,'Historical Conc Grant Elig'!$B$3:$J$707,'HH &amp; SI'!FE$2,0),"N")</f>
        <v>Y</v>
      </c>
      <c r="FF418" s="830" t="str">
        <f>IFERROR(VLOOKUP($B418,'Historical Conc Grant Elig'!$B$3:$J$707,'HH &amp; SI'!FF$2,0),"N")</f>
        <v>Y</v>
      </c>
      <c r="FG418" s="830" t="str">
        <f>IFERROR(VLOOKUP($B418,'Historical Conc Grant Elig'!$B$3:$J$707,'HH &amp; SI'!FG$2,0),"N")</f>
        <v>Y</v>
      </c>
      <c r="FH418" s="830" t="str">
        <f>IFERROR(VLOOKUP($B418,'Historical Conc Grant Elig'!$B$3:$J$707,'HH &amp; SI'!FH$2,0),"N")</f>
        <v>Y</v>
      </c>
      <c r="FI418" s="830" t="str">
        <f>IFERROR(VLOOKUP($B418,'Historical Conc Grant Elig'!$B$3:$J$707,'HH &amp; SI'!FI$2,0),"N")</f>
        <v>Y</v>
      </c>
      <c r="FJ418" s="830" t="str">
        <f>IFERROR(VLOOKUP($B418,'Historical Conc Grant Elig'!$B$3:$J$707,'HH &amp; SI'!FJ$2,0),"N")</f>
        <v>Y</v>
      </c>
      <c r="FK418" s="830" t="str">
        <f>IFERROR(VLOOKUP($B418,'Historical Conc Grant Elig'!$B$3:$J$707,'HH &amp; SI'!FK$2,0),"N")</f>
        <v>Y</v>
      </c>
      <c r="FL418" s="957" t="str">
        <f>IFERROR(VLOOKUP($B418,'Historical Conc Grant Elig'!$B$3:$J$707,'HH &amp; SI'!FL$2,0),"N")</f>
        <v>Y</v>
      </c>
    </row>
    <row r="419" spans="2:168" x14ac:dyDescent="0.25">
      <c r="B419" s="634">
        <v>110433000</v>
      </c>
      <c r="C419" s="635" t="str">
        <f>VLOOKUP($B419,'Afton Update'!$A$5:$CR$582,'Afton Update'!D$589,0)</f>
        <v>Picacho Elementary District</v>
      </c>
      <c r="D419" s="636">
        <f>IFERROR(VLOOKUP($B419,'Afton FY16 Final'!$A$5:$BV$587,'Afton FY16 Final'!AQ$587,0),0)</f>
        <v>16965.976322234241</v>
      </c>
      <c r="E419" s="637">
        <f>IFERROR(VLOOKUP($B419,'Afton FY16 Final'!$A$5:$BV$587,'Afton FY16 Final'!AR$587,0),0)</f>
        <v>5254.1935990121156</v>
      </c>
      <c r="F419" s="637">
        <f>IFERROR(VLOOKUP($B419,'Afton FY16 Final'!$A$5:$BV$587,'Afton FY16 Final'!AS$587,0),0)</f>
        <v>5462.5514556419303</v>
      </c>
      <c r="G419" s="637">
        <f>IFERROR(VLOOKUP($B419,'Afton FY16 Final'!$A$5:$BV$587,'Afton FY16 Final'!AT$587,0),0)</f>
        <v>4510.8627938093423</v>
      </c>
      <c r="H419" s="638">
        <f>IFERROR(VLOOKUP($B419,'Afton FY16 Final'!$A$5:$BV$587,'Afton FY16 Final'!AU$587,0),0)</f>
        <v>32193.584170697628</v>
      </c>
      <c r="I419" s="639" t="str">
        <f>VLOOKUP($B419,'Afton Update'!$A$5:$CR$582,'Afton Update'!BT$589,0)</f>
        <v>Y</v>
      </c>
      <c r="J419" s="640" t="str">
        <f>VLOOKUP($B419,'Afton Update'!$A$5:$CR$582,'Afton Update'!BU$589,0)</f>
        <v>Y</v>
      </c>
      <c r="K419" s="640" t="str">
        <f>VLOOKUP($B419,'Afton Update'!$A$5:$CR$582,'Afton Update'!BV$589,0)</f>
        <v>Y</v>
      </c>
      <c r="L419" s="641" t="str">
        <f>VLOOKUP($B419,'Afton Update'!$A$5:$CR$582,'Afton Update'!BW$589,0)</f>
        <v>Y</v>
      </c>
      <c r="N419" s="642">
        <f>VLOOKUP($B419,'Afton Update'!$A$5:$CR$582,'Afton Update'!CB$589,0)</f>
        <v>0.9</v>
      </c>
      <c r="P419" s="636">
        <f>VLOOKUP($B419,'Afton Update'!$A$5:$CR$582,'Afton Update'!AH$589,0)</f>
        <v>14459.438736443026</v>
      </c>
      <c r="Q419" s="637">
        <f>VLOOKUP($B419,'Afton Update'!$A$5:$CR$582,'Afton Update'!AI$589,0)</f>
        <v>4905.2010105010695</v>
      </c>
      <c r="R419" s="637">
        <f>VLOOKUP($B419,'Afton Update'!$A$5:$CR$582,'Afton Update'!AJ$589,0)</f>
        <v>6047.9169248278959</v>
      </c>
      <c r="S419" s="637">
        <f>VLOOKUP($B419,'Afton Update'!$A$5:$CR$582,'Afton Update'!AK$589,0)</f>
        <v>4691.7162114978637</v>
      </c>
      <c r="T419" s="643">
        <f t="shared" si="1307"/>
        <v>30104.272883269856</v>
      </c>
      <c r="V419" s="636">
        <f t="shared" si="1333"/>
        <v>15269.378690010817</v>
      </c>
      <c r="W419" s="637">
        <f t="shared" si="1334"/>
        <v>4743.64162309733</v>
      </c>
      <c r="X419" s="637">
        <f t="shared" si="1335"/>
        <v>5992.9134817164668</v>
      </c>
      <c r="Y419" s="637">
        <f t="shared" si="1336"/>
        <v>4640.021944367747</v>
      </c>
      <c r="Z419" s="643">
        <f t="shared" si="1337"/>
        <v>30645.955739192359</v>
      </c>
      <c r="AB419" s="644">
        <f t="shared" si="1308"/>
        <v>14459.438736443026</v>
      </c>
      <c r="AC419" s="645">
        <f t="shared" si="1304"/>
        <v>15269.378690010817</v>
      </c>
      <c r="AD419" s="644">
        <f t="shared" si="1338"/>
        <v>809.93995356779124</v>
      </c>
      <c r="AE419" s="645">
        <f t="shared" si="1339"/>
        <v>0</v>
      </c>
      <c r="AF419" s="646">
        <f t="shared" si="1340"/>
        <v>0</v>
      </c>
      <c r="AG419" s="647">
        <f t="shared" si="1341"/>
        <v>15269.378690010817</v>
      </c>
      <c r="AH419" s="644">
        <f t="shared" si="1309"/>
        <v>0</v>
      </c>
      <c r="AI419" s="645">
        <f t="shared" si="1310"/>
        <v>0</v>
      </c>
      <c r="AJ419" s="646">
        <f t="shared" si="1342"/>
        <v>0</v>
      </c>
      <c r="AK419" s="647">
        <f t="shared" si="1311"/>
        <v>15269.378690010817</v>
      </c>
      <c r="AL419" s="644">
        <f t="shared" si="1343"/>
        <v>0</v>
      </c>
      <c r="AM419" s="645">
        <f t="shared" si="1344"/>
        <v>0</v>
      </c>
      <c r="AN419" s="646">
        <f t="shared" si="1345"/>
        <v>0</v>
      </c>
      <c r="AO419" s="647">
        <f t="shared" si="1312"/>
        <v>15269.378690010817</v>
      </c>
      <c r="AP419" s="644">
        <f t="shared" si="1346"/>
        <v>0</v>
      </c>
      <c r="AQ419" s="645">
        <f t="shared" si="1347"/>
        <v>0</v>
      </c>
      <c r="AR419" s="646">
        <f t="shared" si="1348"/>
        <v>0</v>
      </c>
      <c r="AS419" s="647">
        <f t="shared" si="1313"/>
        <v>15269.378690010817</v>
      </c>
      <c r="AT419" s="644">
        <f t="shared" si="1349"/>
        <v>0</v>
      </c>
      <c r="AU419" s="645">
        <f t="shared" si="1350"/>
        <v>0</v>
      </c>
      <c r="AV419" s="646">
        <f t="shared" si="1351"/>
        <v>0</v>
      </c>
      <c r="AW419" s="647">
        <f t="shared" si="1314"/>
        <v>15269.378690010817</v>
      </c>
      <c r="AY419" s="644">
        <f t="shared" si="1352"/>
        <v>4905.2010105010695</v>
      </c>
      <c r="AZ419" s="645">
        <f t="shared" si="1282"/>
        <v>4728.7742391109041</v>
      </c>
      <c r="BA419" s="644">
        <f t="shared" si="1353"/>
        <v>0</v>
      </c>
      <c r="BB419" s="645">
        <f t="shared" si="1354"/>
        <v>4905.2010105010695</v>
      </c>
      <c r="BC419" s="646">
        <f t="shared" si="1355"/>
        <v>-35.274729991422895</v>
      </c>
      <c r="BD419" s="647">
        <f t="shared" si="1356"/>
        <v>4869.9262805096469</v>
      </c>
      <c r="BE419" s="644">
        <f t="shared" si="1315"/>
        <v>0</v>
      </c>
      <c r="BF419" s="645">
        <f t="shared" si="1316"/>
        <v>4869.9262805096469</v>
      </c>
      <c r="BG419" s="646">
        <f t="shared" si="1357"/>
        <v>-115.99767529813937</v>
      </c>
      <c r="BH419" s="647">
        <f t="shared" si="1317"/>
        <v>4753.9286052115076</v>
      </c>
      <c r="BI419" s="644">
        <f t="shared" si="1358"/>
        <v>0</v>
      </c>
      <c r="BJ419" s="645">
        <f t="shared" si="1359"/>
        <v>4753.9286052115076</v>
      </c>
      <c r="BK419" s="646">
        <f t="shared" si="1360"/>
        <v>-10.069937350600542</v>
      </c>
      <c r="BL419" s="647">
        <f t="shared" si="1318"/>
        <v>4743.8586678609072</v>
      </c>
      <c r="BM419" s="644">
        <f t="shared" si="1361"/>
        <v>0</v>
      </c>
      <c r="BN419" s="645">
        <f t="shared" si="1362"/>
        <v>4743.8586678609072</v>
      </c>
      <c r="BO419" s="646">
        <f t="shared" si="1363"/>
        <v>-0.21704476357688196</v>
      </c>
      <c r="BP419" s="647">
        <f t="shared" si="1319"/>
        <v>4743.64162309733</v>
      </c>
      <c r="BQ419" s="644">
        <f t="shared" si="1364"/>
        <v>0</v>
      </c>
      <c r="BR419" s="645">
        <f t="shared" si="1365"/>
        <v>4743.64162309733</v>
      </c>
      <c r="BS419" s="646">
        <f t="shared" si="1366"/>
        <v>0</v>
      </c>
      <c r="BT419" s="647">
        <f t="shared" si="1320"/>
        <v>4743.64162309733</v>
      </c>
      <c r="BU419" s="662">
        <f>VLOOKUP(B419,'Afton Update'!$A$5:$AR$582,'Afton Update'!$AO$589,0)-BT419</f>
        <v>0</v>
      </c>
      <c r="BV419" s="644">
        <f t="shared" si="1367"/>
        <v>6047.9169248278959</v>
      </c>
      <c r="BW419" s="645">
        <f t="shared" si="1305"/>
        <v>4916.296310077737</v>
      </c>
      <c r="BX419" s="644">
        <f t="shared" si="1368"/>
        <v>0</v>
      </c>
      <c r="BY419" s="645">
        <f t="shared" si="1369"/>
        <v>6047.9169248278959</v>
      </c>
      <c r="BZ419" s="646">
        <f t="shared" si="1370"/>
        <v>-53.083209856558497</v>
      </c>
      <c r="CA419" s="647">
        <f t="shared" si="1371"/>
        <v>5994.833714971337</v>
      </c>
      <c r="CB419" s="644">
        <f t="shared" si="1321"/>
        <v>0</v>
      </c>
      <c r="CC419" s="645">
        <f t="shared" si="1322"/>
        <v>5994.833714971337</v>
      </c>
      <c r="CD419" s="646">
        <f t="shared" si="1372"/>
        <v>-1.9202332548703673</v>
      </c>
      <c r="CE419" s="647">
        <f t="shared" si="1323"/>
        <v>5992.9134817164668</v>
      </c>
      <c r="CF419" s="644">
        <f t="shared" si="1373"/>
        <v>0</v>
      </c>
      <c r="CG419" s="645">
        <f t="shared" si="1374"/>
        <v>5992.9134817164668</v>
      </c>
      <c r="CH419" s="646">
        <f t="shared" si="1375"/>
        <v>0</v>
      </c>
      <c r="CI419" s="647">
        <f t="shared" si="1324"/>
        <v>5992.9134817164668</v>
      </c>
      <c r="CJ419" s="644">
        <f t="shared" si="1376"/>
        <v>0</v>
      </c>
      <c r="CK419" s="645">
        <f t="shared" si="1377"/>
        <v>5992.9134817164668</v>
      </c>
      <c r="CL419" s="646">
        <f t="shared" si="1378"/>
        <v>0</v>
      </c>
      <c r="CM419" s="647">
        <f t="shared" si="1325"/>
        <v>5992.9134817164668</v>
      </c>
      <c r="CN419" s="644">
        <f t="shared" si="1379"/>
        <v>0</v>
      </c>
      <c r="CO419" s="645">
        <f t="shared" si="1380"/>
        <v>5992.9134817164668</v>
      </c>
      <c r="CP419" s="646">
        <f t="shared" si="1381"/>
        <v>0</v>
      </c>
      <c r="CQ419" s="647">
        <f t="shared" si="1326"/>
        <v>5992.9134817164668</v>
      </c>
      <c r="CS419" s="644">
        <f t="shared" si="1382"/>
        <v>4691.7162114978637</v>
      </c>
      <c r="CT419" s="645">
        <f t="shared" si="1306"/>
        <v>4059.7765144284081</v>
      </c>
      <c r="CU419" s="644">
        <f t="shared" si="1383"/>
        <v>0</v>
      </c>
      <c r="CV419" s="645">
        <f t="shared" si="1384"/>
        <v>4691.7162114978637</v>
      </c>
      <c r="CW419" s="646">
        <f t="shared" si="1385"/>
        <v>-48.045825397672985</v>
      </c>
      <c r="CX419" s="647">
        <f t="shared" si="1386"/>
        <v>4643.6703861001906</v>
      </c>
      <c r="CY419" s="644">
        <f t="shared" si="1327"/>
        <v>0</v>
      </c>
      <c r="CZ419" s="645">
        <f t="shared" si="1328"/>
        <v>4643.6703861001906</v>
      </c>
      <c r="DA419" s="646">
        <f t="shared" si="1387"/>
        <v>-3.6452981168481893</v>
      </c>
      <c r="DB419" s="647">
        <f t="shared" si="1329"/>
        <v>4640.025087983342</v>
      </c>
      <c r="DC419" s="644">
        <f t="shared" si="1388"/>
        <v>0</v>
      </c>
      <c r="DD419" s="645">
        <f t="shared" si="1389"/>
        <v>4640.025087983342</v>
      </c>
      <c r="DE419" s="646">
        <f t="shared" si="1390"/>
        <v>-3.1436155952594747E-3</v>
      </c>
      <c r="DF419" s="647">
        <f t="shared" si="1330"/>
        <v>4640.021944367747</v>
      </c>
      <c r="DG419" s="644">
        <f t="shared" si="1391"/>
        <v>0</v>
      </c>
      <c r="DH419" s="645">
        <f t="shared" si="1392"/>
        <v>4640.021944367747</v>
      </c>
      <c r="DI419" s="646">
        <f t="shared" si="1393"/>
        <v>0</v>
      </c>
      <c r="DJ419" s="647">
        <f t="shared" si="1331"/>
        <v>4640.021944367747</v>
      </c>
      <c r="DK419" s="644">
        <f t="shared" si="1394"/>
        <v>0</v>
      </c>
      <c r="DL419" s="645">
        <f t="shared" si="1395"/>
        <v>4640.021944367747</v>
      </c>
      <c r="DM419" s="646">
        <f t="shared" si="1396"/>
        <v>0</v>
      </c>
      <c r="DN419" s="647">
        <f t="shared" si="1332"/>
        <v>4640.021944367747</v>
      </c>
      <c r="DR419" s="827">
        <f t="shared" si="1283"/>
        <v>30645.955739192359</v>
      </c>
      <c r="DV419" s="828">
        <f>IFERROR(VLOOKUP($B419,'Afton FY16 Final'!$A$5:$BV$587,'Afton FY16 Final'!$BV$587,0),0)</f>
        <v>31559.692503708131</v>
      </c>
      <c r="DX419" s="636">
        <f t="shared" si="1274"/>
        <v>0</v>
      </c>
      <c r="DY419" s="637">
        <f t="shared" si="1275"/>
        <v>0</v>
      </c>
      <c r="DZ419" s="637">
        <f t="shared" si="1276"/>
        <v>0</v>
      </c>
      <c r="EA419" s="643">
        <f t="shared" si="1277"/>
        <v>0</v>
      </c>
      <c r="EB419" s="637">
        <f t="shared" si="1284"/>
        <v>0</v>
      </c>
      <c r="EC419" s="637">
        <f t="shared" si="1285"/>
        <v>0</v>
      </c>
      <c r="ED419" s="637">
        <f t="shared" si="1286"/>
        <v>0</v>
      </c>
      <c r="EE419" s="643">
        <f t="shared" si="1287"/>
        <v>0</v>
      </c>
      <c r="EF419" s="637">
        <f t="shared" si="1288"/>
        <v>0</v>
      </c>
      <c r="EG419" s="637">
        <f t="shared" si="1289"/>
        <v>0</v>
      </c>
      <c r="EH419" s="637">
        <f t="shared" si="1290"/>
        <v>0</v>
      </c>
      <c r="EI419" s="643">
        <f t="shared" si="1291"/>
        <v>0</v>
      </c>
      <c r="EJ419" s="637">
        <f t="shared" si="1292"/>
        <v>0</v>
      </c>
      <c r="EK419" s="637">
        <f t="shared" si="1293"/>
        <v>0</v>
      </c>
      <c r="EL419" s="637">
        <f t="shared" si="1294"/>
        <v>0</v>
      </c>
      <c r="EM419" s="643">
        <f t="shared" si="1295"/>
        <v>0</v>
      </c>
      <c r="EN419" s="637">
        <f t="shared" si="1296"/>
        <v>0</v>
      </c>
      <c r="EO419" s="637">
        <f t="shared" si="1297"/>
        <v>0</v>
      </c>
      <c r="EP419" s="637">
        <f t="shared" si="1298"/>
        <v>0</v>
      </c>
      <c r="EQ419" s="643">
        <f t="shared" si="1299"/>
        <v>0</v>
      </c>
      <c r="ER419" s="637">
        <f t="shared" si="1300"/>
        <v>0</v>
      </c>
      <c r="ES419" s="637">
        <f t="shared" si="1301"/>
        <v>0</v>
      </c>
      <c r="ET419" s="637">
        <f t="shared" si="1302"/>
        <v>0</v>
      </c>
      <c r="EU419" s="643">
        <f t="shared" si="1278"/>
        <v>0</v>
      </c>
      <c r="EV419" s="643">
        <f t="shared" si="1279"/>
        <v>0</v>
      </c>
      <c r="EX419" s="829">
        <f t="shared" si="1280"/>
        <v>0</v>
      </c>
      <c r="EY419" s="638">
        <f t="shared" si="1281"/>
        <v>30645.955739192359</v>
      </c>
      <c r="FC419" s="830" t="str">
        <f t="shared" si="1303"/>
        <v>Y</v>
      </c>
      <c r="FE419" s="830" t="str">
        <f>IFERROR(VLOOKUP($B419,'Historical Conc Grant Elig'!$B$3:$J$707,'HH &amp; SI'!FE$2,0),"N")</f>
        <v>Y</v>
      </c>
      <c r="FF419" s="830" t="str">
        <f>IFERROR(VLOOKUP($B419,'Historical Conc Grant Elig'!$B$3:$J$707,'HH &amp; SI'!FF$2,0),"N")</f>
        <v>Y</v>
      </c>
      <c r="FG419" s="830" t="str">
        <f>IFERROR(VLOOKUP($B419,'Historical Conc Grant Elig'!$B$3:$J$707,'HH &amp; SI'!FG$2,0),"N")</f>
        <v>Y</v>
      </c>
      <c r="FH419" s="830" t="str">
        <f>IFERROR(VLOOKUP($B419,'Historical Conc Grant Elig'!$B$3:$J$707,'HH &amp; SI'!FH$2,0),"N")</f>
        <v>Y</v>
      </c>
      <c r="FI419" s="830" t="str">
        <f>IFERROR(VLOOKUP($B419,'Historical Conc Grant Elig'!$B$3:$J$707,'HH &amp; SI'!FI$2,0),"N")</f>
        <v>Y</v>
      </c>
      <c r="FJ419" s="830" t="str">
        <f>IFERROR(VLOOKUP($B419,'Historical Conc Grant Elig'!$B$3:$J$707,'HH &amp; SI'!FJ$2,0),"N")</f>
        <v>Y</v>
      </c>
      <c r="FK419" s="830" t="str">
        <f>IFERROR(VLOOKUP($B419,'Historical Conc Grant Elig'!$B$3:$J$707,'HH &amp; SI'!FK$2,0),"N")</f>
        <v>Y</v>
      </c>
      <c r="FL419" s="957" t="str">
        <f>IFERROR(VLOOKUP($B419,'Historical Conc Grant Elig'!$B$3:$J$707,'HH &amp; SI'!FL$2,0),"N")</f>
        <v>Y</v>
      </c>
    </row>
    <row r="420" spans="2:168" x14ac:dyDescent="0.25">
      <c r="B420" s="634">
        <v>110502000</v>
      </c>
      <c r="C420" s="635" t="str">
        <f>VLOOKUP($B420,'Afton Update'!$A$5:$CR$582,'Afton Update'!D$589,0)</f>
        <v>Casa Grande Union High School District</v>
      </c>
      <c r="D420" s="636">
        <f>IFERROR(VLOOKUP($B420,'Afton FY16 Final'!$A$5:$BV$587,'Afton FY16 Final'!AQ$587,0),0)</f>
        <v>557209.97349100129</v>
      </c>
      <c r="E420" s="637">
        <f>IFERROR(VLOOKUP($B420,'Afton FY16 Final'!$A$5:$BV$587,'Afton FY16 Final'!AR$587,0),0)</f>
        <v>130709.66796772802</v>
      </c>
      <c r="F420" s="637">
        <f>IFERROR(VLOOKUP($B420,'Afton FY16 Final'!$A$5:$BV$587,'Afton FY16 Final'!AS$587,0),0)</f>
        <v>231338.5564439829</v>
      </c>
      <c r="G420" s="637">
        <f>IFERROR(VLOOKUP($B420,'Afton FY16 Final'!$A$5:$BV$587,'Afton FY16 Final'!AT$587,0),0)</f>
        <v>202376.38368742549</v>
      </c>
      <c r="H420" s="638">
        <f>IFERROR(VLOOKUP($B420,'Afton FY16 Final'!$A$5:$BV$587,'Afton FY16 Final'!AU$587,0),0)</f>
        <v>1121634.5815901377</v>
      </c>
      <c r="I420" s="639" t="str">
        <f>VLOOKUP($B420,'Afton Update'!$A$5:$CR$582,'Afton Update'!BT$589,0)</f>
        <v>Y</v>
      </c>
      <c r="J420" s="640" t="str">
        <f>VLOOKUP($B420,'Afton Update'!$A$5:$CR$582,'Afton Update'!BU$589,0)</f>
        <v>Y</v>
      </c>
      <c r="K420" s="640" t="str">
        <f>VLOOKUP($B420,'Afton Update'!$A$5:$CR$582,'Afton Update'!BV$589,0)</f>
        <v>Y</v>
      </c>
      <c r="L420" s="641" t="str">
        <f>VLOOKUP($B420,'Afton Update'!$A$5:$CR$582,'Afton Update'!BW$589,0)</f>
        <v>Y</v>
      </c>
      <c r="N420" s="642">
        <f>VLOOKUP($B420,'Afton Update'!$A$5:$CR$582,'Afton Update'!CB$589,0)</f>
        <v>0.9</v>
      </c>
      <c r="P420" s="636">
        <f>VLOOKUP($B420,'Afton Update'!$A$5:$CR$582,'Afton Update'!AH$589,0)</f>
        <v>538826.73173745046</v>
      </c>
      <c r="Q420" s="637">
        <f>VLOOKUP($B420,'Afton Update'!$A$5:$CR$582,'Afton Update'!AI$589,0)</f>
        <v>129766.2591554119</v>
      </c>
      <c r="R420" s="637">
        <f>VLOOKUP($B420,'Afton Update'!$A$5:$CR$582,'Afton Update'!AJ$589,0)</f>
        <v>208738.15427131974</v>
      </c>
      <c r="S420" s="637">
        <f>VLOOKUP($B420,'Afton Update'!$A$5:$CR$582,'Afton Update'!AK$589,0)</f>
        <v>171504.12312074745</v>
      </c>
      <c r="T420" s="643">
        <f t="shared" si="1307"/>
        <v>1048835.2682849295</v>
      </c>
      <c r="V420" s="636">
        <f t="shared" si="1333"/>
        <v>531476.78538369911</v>
      </c>
      <c r="W420" s="637">
        <f t="shared" si="1334"/>
        <v>125492.23301663768</v>
      </c>
      <c r="X420" s="637">
        <f t="shared" si="1335"/>
        <v>208204.70079958462</v>
      </c>
      <c r="Y420" s="637">
        <f t="shared" si="1336"/>
        <v>182138.74531868295</v>
      </c>
      <c r="Z420" s="643">
        <f t="shared" si="1337"/>
        <v>1047312.4645186045</v>
      </c>
      <c r="AB420" s="644">
        <f t="shared" si="1308"/>
        <v>538826.73173745046</v>
      </c>
      <c r="AC420" s="645">
        <f t="shared" si="1304"/>
        <v>501488.97614190116</v>
      </c>
      <c r="AD420" s="644">
        <f t="shared" si="1338"/>
        <v>0</v>
      </c>
      <c r="AE420" s="645">
        <f t="shared" si="1339"/>
        <v>538826.73173745046</v>
      </c>
      <c r="AF420" s="646">
        <f t="shared" si="1340"/>
        <v>-6679.1622573958948</v>
      </c>
      <c r="AG420" s="647">
        <f t="shared" si="1341"/>
        <v>532147.56948005455</v>
      </c>
      <c r="AH420" s="644">
        <f t="shared" si="1309"/>
        <v>0</v>
      </c>
      <c r="AI420" s="645">
        <f t="shared" si="1310"/>
        <v>532147.56948005455</v>
      </c>
      <c r="AJ420" s="646">
        <f t="shared" si="1342"/>
        <v>-670.35674186794859</v>
      </c>
      <c r="AK420" s="647">
        <f t="shared" si="1311"/>
        <v>531477.21273818659</v>
      </c>
      <c r="AL420" s="644">
        <f t="shared" si="1343"/>
        <v>0</v>
      </c>
      <c r="AM420" s="645">
        <f t="shared" si="1344"/>
        <v>531477.21273818659</v>
      </c>
      <c r="AN420" s="646">
        <f t="shared" si="1345"/>
        <v>-0.42735448752361299</v>
      </c>
      <c r="AO420" s="647">
        <f t="shared" si="1312"/>
        <v>531476.78538369911</v>
      </c>
      <c r="AP420" s="644">
        <f t="shared" si="1346"/>
        <v>0</v>
      </c>
      <c r="AQ420" s="645">
        <f t="shared" si="1347"/>
        <v>531476.78538369911</v>
      </c>
      <c r="AR420" s="646">
        <f t="shared" si="1348"/>
        <v>0</v>
      </c>
      <c r="AS420" s="647">
        <f t="shared" si="1313"/>
        <v>531476.78538369911</v>
      </c>
      <c r="AT420" s="644">
        <f t="shared" si="1349"/>
        <v>0</v>
      </c>
      <c r="AU420" s="645">
        <f t="shared" si="1350"/>
        <v>531476.78538369911</v>
      </c>
      <c r="AV420" s="646">
        <f t="shared" si="1351"/>
        <v>0</v>
      </c>
      <c r="AW420" s="647">
        <f t="shared" si="1314"/>
        <v>531476.78538369911</v>
      </c>
      <c r="AY420" s="644">
        <f t="shared" si="1352"/>
        <v>129766.2591554119</v>
      </c>
      <c r="AZ420" s="645">
        <f t="shared" si="1282"/>
        <v>117638.70117095522</v>
      </c>
      <c r="BA420" s="644">
        <f t="shared" si="1353"/>
        <v>0</v>
      </c>
      <c r="BB420" s="645">
        <f t="shared" si="1354"/>
        <v>129766.2591554119</v>
      </c>
      <c r="BC420" s="646">
        <f t="shared" si="1355"/>
        <v>-933.18698742512333</v>
      </c>
      <c r="BD420" s="647">
        <f t="shared" si="1356"/>
        <v>128833.07216798677</v>
      </c>
      <c r="BE420" s="644">
        <f t="shared" si="1315"/>
        <v>0</v>
      </c>
      <c r="BF420" s="645">
        <f t="shared" si="1316"/>
        <v>128833.07216798677</v>
      </c>
      <c r="BG420" s="646">
        <f t="shared" si="1357"/>
        <v>-3068.698787662127</v>
      </c>
      <c r="BH420" s="647">
        <f t="shared" si="1317"/>
        <v>125764.37338032464</v>
      </c>
      <c r="BI420" s="644">
        <f t="shared" si="1358"/>
        <v>0</v>
      </c>
      <c r="BJ420" s="645">
        <f t="shared" si="1359"/>
        <v>125764.37338032464</v>
      </c>
      <c r="BK420" s="646">
        <f t="shared" si="1360"/>
        <v>-266.3984813505752</v>
      </c>
      <c r="BL420" s="647">
        <f t="shared" si="1318"/>
        <v>125497.97489897406</v>
      </c>
      <c r="BM420" s="644">
        <f t="shared" si="1361"/>
        <v>0</v>
      </c>
      <c r="BN420" s="645">
        <f t="shared" si="1362"/>
        <v>125497.97489897406</v>
      </c>
      <c r="BO420" s="646">
        <f t="shared" si="1363"/>
        <v>-5.7418823363908755</v>
      </c>
      <c r="BP420" s="647">
        <f t="shared" si="1319"/>
        <v>125492.23301663768</v>
      </c>
      <c r="BQ420" s="644">
        <f t="shared" si="1364"/>
        <v>0</v>
      </c>
      <c r="BR420" s="645">
        <f t="shared" si="1365"/>
        <v>125492.23301663768</v>
      </c>
      <c r="BS420" s="646">
        <f t="shared" si="1366"/>
        <v>0</v>
      </c>
      <c r="BT420" s="647">
        <f t="shared" si="1320"/>
        <v>125492.23301663768</v>
      </c>
      <c r="BU420" s="662">
        <f>VLOOKUP(B420,'Afton Update'!$A$5:$AR$582,'Afton Update'!$AO$589,0)-BT420</f>
        <v>0</v>
      </c>
      <c r="BV420" s="644">
        <f t="shared" si="1367"/>
        <v>208738.15427131974</v>
      </c>
      <c r="BW420" s="645">
        <f t="shared" si="1305"/>
        <v>208204.70079958462</v>
      </c>
      <c r="BX420" s="644">
        <f t="shared" si="1368"/>
        <v>0</v>
      </c>
      <c r="BY420" s="645">
        <f t="shared" si="1369"/>
        <v>208738.15427131974</v>
      </c>
      <c r="BZ420" s="646">
        <f t="shared" si="1370"/>
        <v>-1832.1169728320076</v>
      </c>
      <c r="CA420" s="647">
        <f t="shared" si="1371"/>
        <v>206906.03729848773</v>
      </c>
      <c r="CB420" s="644">
        <f t="shared" si="1321"/>
        <v>-1298.6635010968894</v>
      </c>
      <c r="CC420" s="645">
        <f t="shared" si="1322"/>
        <v>0</v>
      </c>
      <c r="CD420" s="646">
        <f t="shared" si="1372"/>
        <v>0</v>
      </c>
      <c r="CE420" s="647">
        <f t="shared" si="1323"/>
        <v>208204.70079958462</v>
      </c>
      <c r="CF420" s="644">
        <f t="shared" si="1373"/>
        <v>0</v>
      </c>
      <c r="CG420" s="645">
        <f t="shared" si="1374"/>
        <v>0</v>
      </c>
      <c r="CH420" s="646">
        <f t="shared" si="1375"/>
        <v>0</v>
      </c>
      <c r="CI420" s="647">
        <f t="shared" si="1324"/>
        <v>208204.70079958462</v>
      </c>
      <c r="CJ420" s="644">
        <f t="shared" si="1376"/>
        <v>0</v>
      </c>
      <c r="CK420" s="645">
        <f t="shared" si="1377"/>
        <v>0</v>
      </c>
      <c r="CL420" s="646">
        <f t="shared" si="1378"/>
        <v>0</v>
      </c>
      <c r="CM420" s="647">
        <f t="shared" si="1325"/>
        <v>208204.70079958462</v>
      </c>
      <c r="CN420" s="644">
        <f t="shared" si="1379"/>
        <v>0</v>
      </c>
      <c r="CO420" s="645">
        <f t="shared" si="1380"/>
        <v>0</v>
      </c>
      <c r="CP420" s="646">
        <f t="shared" si="1381"/>
        <v>0</v>
      </c>
      <c r="CQ420" s="647">
        <f t="shared" si="1326"/>
        <v>208204.70079958462</v>
      </c>
      <c r="CS420" s="644">
        <f t="shared" si="1382"/>
        <v>171504.12312074745</v>
      </c>
      <c r="CT420" s="645">
        <f t="shared" si="1306"/>
        <v>182138.74531868295</v>
      </c>
      <c r="CU420" s="644">
        <f t="shared" si="1383"/>
        <v>10634.622197935503</v>
      </c>
      <c r="CV420" s="645">
        <f t="shared" si="1384"/>
        <v>0</v>
      </c>
      <c r="CW420" s="646">
        <f t="shared" si="1385"/>
        <v>0</v>
      </c>
      <c r="CX420" s="647">
        <f t="shared" si="1386"/>
        <v>182138.74531868295</v>
      </c>
      <c r="CY420" s="644">
        <f t="shared" si="1327"/>
        <v>0</v>
      </c>
      <c r="CZ420" s="645">
        <f t="shared" si="1328"/>
        <v>0</v>
      </c>
      <c r="DA420" s="646">
        <f t="shared" si="1387"/>
        <v>0</v>
      </c>
      <c r="DB420" s="647">
        <f t="shared" si="1329"/>
        <v>182138.74531868295</v>
      </c>
      <c r="DC420" s="644">
        <f t="shared" si="1388"/>
        <v>0</v>
      </c>
      <c r="DD420" s="645">
        <f t="shared" si="1389"/>
        <v>0</v>
      </c>
      <c r="DE420" s="646">
        <f t="shared" si="1390"/>
        <v>0</v>
      </c>
      <c r="DF420" s="647">
        <f t="shared" si="1330"/>
        <v>182138.74531868295</v>
      </c>
      <c r="DG420" s="644">
        <f t="shared" si="1391"/>
        <v>0</v>
      </c>
      <c r="DH420" s="645">
        <f t="shared" si="1392"/>
        <v>0</v>
      </c>
      <c r="DI420" s="646">
        <f t="shared" si="1393"/>
        <v>0</v>
      </c>
      <c r="DJ420" s="647">
        <f t="shared" si="1331"/>
        <v>182138.74531868295</v>
      </c>
      <c r="DK420" s="644">
        <f t="shared" si="1394"/>
        <v>0</v>
      </c>
      <c r="DL420" s="645">
        <f t="shared" si="1395"/>
        <v>0</v>
      </c>
      <c r="DM420" s="646">
        <f t="shared" si="1396"/>
        <v>0</v>
      </c>
      <c r="DN420" s="647">
        <f t="shared" si="1332"/>
        <v>182138.74531868295</v>
      </c>
      <c r="DR420" s="827">
        <f t="shared" si="1283"/>
        <v>1047312.4645186045</v>
      </c>
      <c r="DV420" s="828">
        <f>IFERROR(VLOOKUP($B420,'Afton FY16 Final'!$A$5:$BV$587,'Afton FY16 Final'!$BV$587,0),0)</f>
        <v>1099549.5968643804</v>
      </c>
      <c r="DX420" s="636">
        <f t="shared" si="1274"/>
        <v>0</v>
      </c>
      <c r="DY420" s="637">
        <f t="shared" si="1275"/>
        <v>0</v>
      </c>
      <c r="DZ420" s="637">
        <f t="shared" si="1276"/>
        <v>0</v>
      </c>
      <c r="EA420" s="643">
        <f t="shared" si="1277"/>
        <v>0</v>
      </c>
      <c r="EB420" s="637">
        <f t="shared" si="1284"/>
        <v>0</v>
      </c>
      <c r="EC420" s="637">
        <f t="shared" si="1285"/>
        <v>0</v>
      </c>
      <c r="ED420" s="637">
        <f t="shared" si="1286"/>
        <v>0</v>
      </c>
      <c r="EE420" s="643">
        <f t="shared" si="1287"/>
        <v>0</v>
      </c>
      <c r="EF420" s="637">
        <f t="shared" si="1288"/>
        <v>0</v>
      </c>
      <c r="EG420" s="637">
        <f t="shared" si="1289"/>
        <v>0</v>
      </c>
      <c r="EH420" s="637">
        <f t="shared" si="1290"/>
        <v>0</v>
      </c>
      <c r="EI420" s="643">
        <f t="shared" si="1291"/>
        <v>0</v>
      </c>
      <c r="EJ420" s="637">
        <f t="shared" si="1292"/>
        <v>0</v>
      </c>
      <c r="EK420" s="637">
        <f t="shared" si="1293"/>
        <v>0</v>
      </c>
      <c r="EL420" s="637">
        <f t="shared" si="1294"/>
        <v>0</v>
      </c>
      <c r="EM420" s="643">
        <f t="shared" si="1295"/>
        <v>0</v>
      </c>
      <c r="EN420" s="637">
        <f t="shared" si="1296"/>
        <v>0</v>
      </c>
      <c r="EO420" s="637">
        <f t="shared" si="1297"/>
        <v>0</v>
      </c>
      <c r="EP420" s="637">
        <f t="shared" si="1298"/>
        <v>0</v>
      </c>
      <c r="EQ420" s="643">
        <f t="shared" si="1299"/>
        <v>0</v>
      </c>
      <c r="ER420" s="637">
        <f t="shared" si="1300"/>
        <v>0</v>
      </c>
      <c r="ES420" s="637">
        <f t="shared" si="1301"/>
        <v>0</v>
      </c>
      <c r="ET420" s="637">
        <f t="shared" si="1302"/>
        <v>0</v>
      </c>
      <c r="EU420" s="643">
        <f t="shared" si="1278"/>
        <v>0</v>
      </c>
      <c r="EV420" s="643">
        <f t="shared" si="1279"/>
        <v>0</v>
      </c>
      <c r="EX420" s="829">
        <f t="shared" si="1280"/>
        <v>0</v>
      </c>
      <c r="EY420" s="638">
        <f t="shared" si="1281"/>
        <v>1047312.4645186045</v>
      </c>
      <c r="FC420" s="830" t="str">
        <f t="shared" si="1303"/>
        <v>Y</v>
      </c>
      <c r="FE420" s="830" t="str">
        <f>IFERROR(VLOOKUP($B420,'Historical Conc Grant Elig'!$B$3:$J$707,'HH &amp; SI'!FE$2,0),"N")</f>
        <v>Y</v>
      </c>
      <c r="FF420" s="830" t="str">
        <f>IFERROR(VLOOKUP($B420,'Historical Conc Grant Elig'!$B$3:$J$707,'HH &amp; SI'!FF$2,0),"N")</f>
        <v>Y</v>
      </c>
      <c r="FG420" s="830" t="str">
        <f>IFERROR(VLOOKUP($B420,'Historical Conc Grant Elig'!$B$3:$J$707,'HH &amp; SI'!FG$2,0),"N")</f>
        <v>Y</v>
      </c>
      <c r="FH420" s="830" t="str">
        <f>IFERROR(VLOOKUP($B420,'Historical Conc Grant Elig'!$B$3:$J$707,'HH &amp; SI'!FH$2,0),"N")</f>
        <v>Y</v>
      </c>
      <c r="FI420" s="830" t="str">
        <f>IFERROR(VLOOKUP($B420,'Historical Conc Grant Elig'!$B$3:$J$707,'HH &amp; SI'!FI$2,0),"N")</f>
        <v>Y</v>
      </c>
      <c r="FJ420" s="830" t="str">
        <f>IFERROR(VLOOKUP($B420,'Historical Conc Grant Elig'!$B$3:$J$707,'HH &amp; SI'!FJ$2,0),"N")</f>
        <v>Y</v>
      </c>
      <c r="FK420" s="830" t="str">
        <f>IFERROR(VLOOKUP($B420,'Historical Conc Grant Elig'!$B$3:$J$707,'HH &amp; SI'!FK$2,0),"N")</f>
        <v>Y</v>
      </c>
      <c r="FL420" s="957" t="str">
        <f>IFERROR(VLOOKUP($B420,'Historical Conc Grant Elig'!$B$3:$J$707,'HH &amp; SI'!FL$2,0),"N")</f>
        <v>Y</v>
      </c>
    </row>
    <row r="421" spans="2:168" x14ac:dyDescent="0.25">
      <c r="B421" s="634">
        <v>110540000</v>
      </c>
      <c r="C421" s="635" t="str">
        <f>VLOOKUP($B421,'Afton Update'!$A$5:$CR$582,'Afton Update'!D$589,0)</f>
        <v>Santa Cruz Valley Union High School District</v>
      </c>
      <c r="D421" s="636">
        <f>IFERROR(VLOOKUP($B421,'Afton FY16 Final'!$A$5:$BV$587,'Afton FY16 Final'!AQ$587,0),0)</f>
        <v>97820.937843257459</v>
      </c>
      <c r="E421" s="637">
        <f>IFERROR(VLOOKUP($B421,'Afton FY16 Final'!$A$5:$BV$587,'Afton FY16 Final'!AR$587,0),0)</f>
        <v>23983.955348462292</v>
      </c>
      <c r="F421" s="637">
        <f>IFERROR(VLOOKUP($B421,'Afton FY16 Final'!$A$5:$BV$587,'Afton FY16 Final'!AS$587,0),0)</f>
        <v>42317.106275311446</v>
      </c>
      <c r="G421" s="637">
        <f>IFERROR(VLOOKUP($B421,'Afton FY16 Final'!$A$5:$BV$587,'Afton FY16 Final'!AT$587,0),0)</f>
        <v>32781.898836670931</v>
      </c>
      <c r="H421" s="638">
        <f>IFERROR(VLOOKUP($B421,'Afton FY16 Final'!$A$5:$BV$587,'Afton FY16 Final'!AU$587,0),0)</f>
        <v>196903.89830370212</v>
      </c>
      <c r="I421" s="639" t="str">
        <f>VLOOKUP($B421,'Afton Update'!$A$5:$CR$582,'Afton Update'!BT$589,0)</f>
        <v>Y</v>
      </c>
      <c r="J421" s="640" t="str">
        <f>VLOOKUP($B421,'Afton Update'!$A$5:$CR$582,'Afton Update'!BU$589,0)</f>
        <v>Y</v>
      </c>
      <c r="K421" s="640" t="str">
        <f>VLOOKUP($B421,'Afton Update'!$A$5:$CR$582,'Afton Update'!BV$589,0)</f>
        <v>Y</v>
      </c>
      <c r="L421" s="641" t="str">
        <f>VLOOKUP($B421,'Afton Update'!$A$5:$CR$582,'Afton Update'!BW$589,0)</f>
        <v>Y</v>
      </c>
      <c r="N421" s="642">
        <f>VLOOKUP($B421,'Afton Update'!$A$5:$CR$582,'Afton Update'!CB$589,0)</f>
        <v>0.9</v>
      </c>
      <c r="P421" s="636">
        <f>VLOOKUP($B421,'Afton Update'!$A$5:$CR$582,'Afton Update'!AH$589,0)</f>
        <v>83991.879157380434</v>
      </c>
      <c r="Q421" s="637">
        <f>VLOOKUP($B421,'Afton Update'!$A$5:$CR$582,'Afton Update'!AI$589,0)</f>
        <v>21547.115730580445</v>
      </c>
      <c r="R421" s="637">
        <f>VLOOKUP($B421,'Afton Update'!$A$5:$CR$582,'Afton Update'!AJ$589,0)</f>
        <v>37590.441959555537</v>
      </c>
      <c r="S421" s="637">
        <f>VLOOKUP($B421,'Afton Update'!$A$5:$CR$582,'Afton Update'!AK$589,0)</f>
        <v>28089.375281196444</v>
      </c>
      <c r="T421" s="643">
        <f t="shared" si="1307"/>
        <v>171218.81212871283</v>
      </c>
      <c r="V421" s="636">
        <f t="shared" si="1333"/>
        <v>88038.844058931718</v>
      </c>
      <c r="W421" s="637">
        <f t="shared" si="1334"/>
        <v>21585.559813616062</v>
      </c>
      <c r="X421" s="637">
        <f t="shared" si="1335"/>
        <v>38085.3956477803</v>
      </c>
      <c r="Y421" s="637">
        <f t="shared" si="1336"/>
        <v>29503.708953003839</v>
      </c>
      <c r="Z421" s="643">
        <f t="shared" si="1337"/>
        <v>177213.50847333192</v>
      </c>
      <c r="AB421" s="644">
        <f t="shared" si="1308"/>
        <v>83991.879157380434</v>
      </c>
      <c r="AC421" s="645">
        <f t="shared" si="1304"/>
        <v>88038.844058931718</v>
      </c>
      <c r="AD421" s="644">
        <f t="shared" si="1338"/>
        <v>4046.9649015512841</v>
      </c>
      <c r="AE421" s="645">
        <f t="shared" si="1339"/>
        <v>0</v>
      </c>
      <c r="AF421" s="646">
        <f t="shared" si="1340"/>
        <v>0</v>
      </c>
      <c r="AG421" s="647">
        <f t="shared" si="1341"/>
        <v>88038.844058931718</v>
      </c>
      <c r="AH421" s="644">
        <f t="shared" si="1309"/>
        <v>0</v>
      </c>
      <c r="AI421" s="645">
        <f t="shared" si="1310"/>
        <v>0</v>
      </c>
      <c r="AJ421" s="646">
        <f t="shared" si="1342"/>
        <v>0</v>
      </c>
      <c r="AK421" s="647">
        <f t="shared" si="1311"/>
        <v>88038.844058931718</v>
      </c>
      <c r="AL421" s="644">
        <f t="shared" si="1343"/>
        <v>0</v>
      </c>
      <c r="AM421" s="645">
        <f t="shared" si="1344"/>
        <v>0</v>
      </c>
      <c r="AN421" s="646">
        <f t="shared" si="1345"/>
        <v>0</v>
      </c>
      <c r="AO421" s="647">
        <f t="shared" si="1312"/>
        <v>88038.844058931718</v>
      </c>
      <c r="AP421" s="644">
        <f t="shared" si="1346"/>
        <v>0</v>
      </c>
      <c r="AQ421" s="645">
        <f t="shared" si="1347"/>
        <v>0</v>
      </c>
      <c r="AR421" s="646">
        <f t="shared" si="1348"/>
        <v>0</v>
      </c>
      <c r="AS421" s="647">
        <f t="shared" si="1313"/>
        <v>88038.844058931718</v>
      </c>
      <c r="AT421" s="644">
        <f t="shared" si="1349"/>
        <v>0</v>
      </c>
      <c r="AU421" s="645">
        <f t="shared" si="1350"/>
        <v>0</v>
      </c>
      <c r="AV421" s="646">
        <f t="shared" si="1351"/>
        <v>0</v>
      </c>
      <c r="AW421" s="647">
        <f t="shared" si="1314"/>
        <v>88038.844058931718</v>
      </c>
      <c r="AY421" s="644">
        <f t="shared" si="1352"/>
        <v>21547.115730580445</v>
      </c>
      <c r="AZ421" s="645">
        <f t="shared" si="1282"/>
        <v>21585.559813616062</v>
      </c>
      <c r="BA421" s="644">
        <f t="shared" si="1353"/>
        <v>38.44408303561795</v>
      </c>
      <c r="BB421" s="645">
        <f t="shared" si="1354"/>
        <v>0</v>
      </c>
      <c r="BC421" s="646">
        <f t="shared" si="1355"/>
        <v>0</v>
      </c>
      <c r="BD421" s="647">
        <f t="shared" si="1356"/>
        <v>21585.559813616062</v>
      </c>
      <c r="BE421" s="644">
        <f t="shared" si="1315"/>
        <v>0</v>
      </c>
      <c r="BF421" s="645">
        <f t="shared" si="1316"/>
        <v>0</v>
      </c>
      <c r="BG421" s="646">
        <f t="shared" si="1357"/>
        <v>0</v>
      </c>
      <c r="BH421" s="647">
        <f t="shared" si="1317"/>
        <v>21585.559813616062</v>
      </c>
      <c r="BI421" s="644">
        <f t="shared" si="1358"/>
        <v>0</v>
      </c>
      <c r="BJ421" s="645">
        <f t="shared" si="1359"/>
        <v>0</v>
      </c>
      <c r="BK421" s="646">
        <f t="shared" si="1360"/>
        <v>0</v>
      </c>
      <c r="BL421" s="647">
        <f t="shared" si="1318"/>
        <v>21585.559813616062</v>
      </c>
      <c r="BM421" s="644">
        <f t="shared" si="1361"/>
        <v>0</v>
      </c>
      <c r="BN421" s="645">
        <f t="shared" si="1362"/>
        <v>0</v>
      </c>
      <c r="BO421" s="646">
        <f t="shared" si="1363"/>
        <v>0</v>
      </c>
      <c r="BP421" s="647">
        <f t="shared" si="1319"/>
        <v>21585.559813616062</v>
      </c>
      <c r="BQ421" s="644">
        <f t="shared" si="1364"/>
        <v>0</v>
      </c>
      <c r="BR421" s="645">
        <f t="shared" si="1365"/>
        <v>0</v>
      </c>
      <c r="BS421" s="646">
        <f t="shared" si="1366"/>
        <v>0</v>
      </c>
      <c r="BT421" s="647">
        <f t="shared" si="1320"/>
        <v>21585.559813616062</v>
      </c>
      <c r="BU421" s="662">
        <f>VLOOKUP(B421,'Afton Update'!$A$5:$AR$582,'Afton Update'!$AO$589,0)-BT421</f>
        <v>0</v>
      </c>
      <c r="BV421" s="644">
        <f t="shared" si="1367"/>
        <v>37590.441959555537</v>
      </c>
      <c r="BW421" s="645">
        <f t="shared" si="1305"/>
        <v>38085.3956477803</v>
      </c>
      <c r="BX421" s="644">
        <f t="shared" si="1368"/>
        <v>494.95368822476303</v>
      </c>
      <c r="BY421" s="645">
        <f t="shared" si="1369"/>
        <v>0</v>
      </c>
      <c r="BZ421" s="646">
        <f t="shared" si="1370"/>
        <v>0</v>
      </c>
      <c r="CA421" s="647">
        <f t="shared" si="1371"/>
        <v>38085.3956477803</v>
      </c>
      <c r="CB421" s="644">
        <f t="shared" si="1321"/>
        <v>0</v>
      </c>
      <c r="CC421" s="645">
        <f t="shared" si="1322"/>
        <v>0</v>
      </c>
      <c r="CD421" s="646">
        <f t="shared" si="1372"/>
        <v>0</v>
      </c>
      <c r="CE421" s="647">
        <f t="shared" si="1323"/>
        <v>38085.3956477803</v>
      </c>
      <c r="CF421" s="644">
        <f t="shared" si="1373"/>
        <v>0</v>
      </c>
      <c r="CG421" s="645">
        <f t="shared" si="1374"/>
        <v>0</v>
      </c>
      <c r="CH421" s="646">
        <f t="shared" si="1375"/>
        <v>0</v>
      </c>
      <c r="CI421" s="647">
        <f t="shared" si="1324"/>
        <v>38085.3956477803</v>
      </c>
      <c r="CJ421" s="644">
        <f t="shared" si="1376"/>
        <v>0</v>
      </c>
      <c r="CK421" s="645">
        <f t="shared" si="1377"/>
        <v>0</v>
      </c>
      <c r="CL421" s="646">
        <f t="shared" si="1378"/>
        <v>0</v>
      </c>
      <c r="CM421" s="647">
        <f t="shared" si="1325"/>
        <v>38085.3956477803</v>
      </c>
      <c r="CN421" s="644">
        <f t="shared" si="1379"/>
        <v>0</v>
      </c>
      <c r="CO421" s="645">
        <f t="shared" si="1380"/>
        <v>0</v>
      </c>
      <c r="CP421" s="646">
        <f t="shared" si="1381"/>
        <v>0</v>
      </c>
      <c r="CQ421" s="647">
        <f t="shared" si="1326"/>
        <v>38085.3956477803</v>
      </c>
      <c r="CS421" s="644">
        <f t="shared" si="1382"/>
        <v>28089.375281196444</v>
      </c>
      <c r="CT421" s="645">
        <f t="shared" si="1306"/>
        <v>29503.708953003839</v>
      </c>
      <c r="CU421" s="644">
        <f t="shared" si="1383"/>
        <v>1414.3336718073951</v>
      </c>
      <c r="CV421" s="645">
        <f t="shared" si="1384"/>
        <v>0</v>
      </c>
      <c r="CW421" s="646">
        <f t="shared" si="1385"/>
        <v>0</v>
      </c>
      <c r="CX421" s="647">
        <f t="shared" si="1386"/>
        <v>29503.708953003839</v>
      </c>
      <c r="CY421" s="644">
        <f t="shared" si="1327"/>
        <v>0</v>
      </c>
      <c r="CZ421" s="645">
        <f t="shared" si="1328"/>
        <v>0</v>
      </c>
      <c r="DA421" s="646">
        <f t="shared" si="1387"/>
        <v>0</v>
      </c>
      <c r="DB421" s="647">
        <f t="shared" si="1329"/>
        <v>29503.708953003839</v>
      </c>
      <c r="DC421" s="644">
        <f t="shared" si="1388"/>
        <v>0</v>
      </c>
      <c r="DD421" s="645">
        <f t="shared" si="1389"/>
        <v>0</v>
      </c>
      <c r="DE421" s="646">
        <f t="shared" si="1390"/>
        <v>0</v>
      </c>
      <c r="DF421" s="647">
        <f t="shared" si="1330"/>
        <v>29503.708953003839</v>
      </c>
      <c r="DG421" s="644">
        <f t="shared" si="1391"/>
        <v>0</v>
      </c>
      <c r="DH421" s="645">
        <f t="shared" si="1392"/>
        <v>0</v>
      </c>
      <c r="DI421" s="646">
        <f t="shared" si="1393"/>
        <v>0</v>
      </c>
      <c r="DJ421" s="647">
        <f t="shared" si="1331"/>
        <v>29503.708953003839</v>
      </c>
      <c r="DK421" s="644">
        <f t="shared" si="1394"/>
        <v>0</v>
      </c>
      <c r="DL421" s="645">
        <f t="shared" si="1395"/>
        <v>0</v>
      </c>
      <c r="DM421" s="646">
        <f t="shared" si="1396"/>
        <v>0</v>
      </c>
      <c r="DN421" s="647">
        <f t="shared" si="1332"/>
        <v>29503.708953003839</v>
      </c>
      <c r="DR421" s="827">
        <f t="shared" si="1283"/>
        <v>177213.50847333192</v>
      </c>
      <c r="DV421" s="828">
        <f>IFERROR(VLOOKUP($B421,'Afton FY16 Final'!$A$5:$BV$587,'Afton FY16 Final'!$BV$587,0),0)</f>
        <v>193026.86057871123</v>
      </c>
      <c r="DX421" s="636">
        <f t="shared" si="1274"/>
        <v>0</v>
      </c>
      <c r="DY421" s="637">
        <f t="shared" si="1275"/>
        <v>0</v>
      </c>
      <c r="DZ421" s="637">
        <f t="shared" si="1276"/>
        <v>0</v>
      </c>
      <c r="EA421" s="643">
        <f t="shared" si="1277"/>
        <v>0</v>
      </c>
      <c r="EB421" s="637">
        <f t="shared" si="1284"/>
        <v>0</v>
      </c>
      <c r="EC421" s="637">
        <f t="shared" si="1285"/>
        <v>0</v>
      </c>
      <c r="ED421" s="637">
        <f t="shared" si="1286"/>
        <v>0</v>
      </c>
      <c r="EE421" s="643">
        <f t="shared" si="1287"/>
        <v>0</v>
      </c>
      <c r="EF421" s="637">
        <f t="shared" si="1288"/>
        <v>0</v>
      </c>
      <c r="EG421" s="637">
        <f t="shared" si="1289"/>
        <v>0</v>
      </c>
      <c r="EH421" s="637">
        <f t="shared" si="1290"/>
        <v>0</v>
      </c>
      <c r="EI421" s="643">
        <f t="shared" si="1291"/>
        <v>0</v>
      </c>
      <c r="EJ421" s="637">
        <f t="shared" si="1292"/>
        <v>0</v>
      </c>
      <c r="EK421" s="637">
        <f t="shared" si="1293"/>
        <v>0</v>
      </c>
      <c r="EL421" s="637">
        <f t="shared" si="1294"/>
        <v>0</v>
      </c>
      <c r="EM421" s="643">
        <f t="shared" si="1295"/>
        <v>0</v>
      </c>
      <c r="EN421" s="637">
        <f t="shared" si="1296"/>
        <v>0</v>
      </c>
      <c r="EO421" s="637">
        <f t="shared" si="1297"/>
        <v>0</v>
      </c>
      <c r="EP421" s="637">
        <f t="shared" si="1298"/>
        <v>0</v>
      </c>
      <c r="EQ421" s="643">
        <f t="shared" si="1299"/>
        <v>0</v>
      </c>
      <c r="ER421" s="637">
        <f t="shared" si="1300"/>
        <v>0</v>
      </c>
      <c r="ES421" s="637">
        <f t="shared" si="1301"/>
        <v>0</v>
      </c>
      <c r="ET421" s="637">
        <f t="shared" si="1302"/>
        <v>0</v>
      </c>
      <c r="EU421" s="643">
        <f t="shared" si="1278"/>
        <v>0</v>
      </c>
      <c r="EV421" s="643">
        <f t="shared" si="1279"/>
        <v>0</v>
      </c>
      <c r="EX421" s="829">
        <f t="shared" si="1280"/>
        <v>0</v>
      </c>
      <c r="EY421" s="638">
        <f t="shared" si="1281"/>
        <v>177213.50847333192</v>
      </c>
      <c r="FC421" s="830" t="str">
        <f t="shared" si="1303"/>
        <v>Y</v>
      </c>
      <c r="FE421" s="830" t="str">
        <f>IFERROR(VLOOKUP($B421,'Historical Conc Grant Elig'!$B$3:$J$707,'HH &amp; SI'!FE$2,0),"N")</f>
        <v>Y</v>
      </c>
      <c r="FF421" s="830" t="str">
        <f>IFERROR(VLOOKUP($B421,'Historical Conc Grant Elig'!$B$3:$J$707,'HH &amp; SI'!FF$2,0),"N")</f>
        <v>Y</v>
      </c>
      <c r="FG421" s="830" t="str">
        <f>IFERROR(VLOOKUP($B421,'Historical Conc Grant Elig'!$B$3:$J$707,'HH &amp; SI'!FG$2,0),"N")</f>
        <v>Y</v>
      </c>
      <c r="FH421" s="830" t="str">
        <f>IFERROR(VLOOKUP($B421,'Historical Conc Grant Elig'!$B$3:$J$707,'HH &amp; SI'!FH$2,0),"N")</f>
        <v>Y</v>
      </c>
      <c r="FI421" s="830" t="str">
        <f>IFERROR(VLOOKUP($B421,'Historical Conc Grant Elig'!$B$3:$J$707,'HH &amp; SI'!FI$2,0),"N")</f>
        <v>Y</v>
      </c>
      <c r="FJ421" s="830" t="str">
        <f>IFERROR(VLOOKUP($B421,'Historical Conc Grant Elig'!$B$3:$J$707,'HH &amp; SI'!FJ$2,0),"N")</f>
        <v>Y</v>
      </c>
      <c r="FK421" s="830" t="str">
        <f>IFERROR(VLOOKUP($B421,'Historical Conc Grant Elig'!$B$3:$J$707,'HH &amp; SI'!FK$2,0),"N")</f>
        <v>Y</v>
      </c>
      <c r="FL421" s="957" t="str">
        <f>IFERROR(VLOOKUP($B421,'Historical Conc Grant Elig'!$B$3:$J$707,'HH &amp; SI'!FL$2,0),"N")</f>
        <v>Y</v>
      </c>
    </row>
    <row r="422" spans="2:168" x14ac:dyDescent="0.25">
      <c r="B422" s="634">
        <v>118703000</v>
      </c>
      <c r="C422" s="635" t="str">
        <f>VLOOKUP($B422,'Afton Update'!$A$5:$CR$582,'Afton Update'!D$589,0)</f>
        <v>American Charter Schools Foundation d.b.a. Apache Trail High</v>
      </c>
      <c r="D422" s="636">
        <f>IFERROR(VLOOKUP($B422,'Afton FY16 Final'!$A$5:$BV$587,'Afton FY16 Final'!AQ$587,0),0)</f>
        <v>31183.239082210326</v>
      </c>
      <c r="E422" s="637">
        <f>IFERROR(VLOOKUP($B422,'Afton FY16 Final'!$A$5:$BV$587,'Afton FY16 Final'!AR$587,0),0)</f>
        <v>7549.489068980658</v>
      </c>
      <c r="F422" s="637">
        <f>IFERROR(VLOOKUP($B422,'Afton FY16 Final'!$A$5:$BV$587,'Afton FY16 Final'!AS$587,0),0)</f>
        <v>12376.082107548486</v>
      </c>
      <c r="G422" s="637">
        <f>IFERROR(VLOOKUP($B422,'Afton FY16 Final'!$A$5:$BV$587,'Afton FY16 Final'!AT$587,0),0)</f>
        <v>10903.179374132944</v>
      </c>
      <c r="H422" s="638">
        <f>IFERROR(VLOOKUP($B422,'Afton FY16 Final'!$A$5:$BV$587,'Afton FY16 Final'!AU$587,0),0)</f>
        <v>62011.989632872413</v>
      </c>
      <c r="I422" s="639" t="str">
        <f>VLOOKUP($B422,'Afton Update'!$A$5:$CR$582,'Afton Update'!BT$589,0)</f>
        <v>Y</v>
      </c>
      <c r="J422" s="640" t="str">
        <f>VLOOKUP($B422,'Afton Update'!$A$5:$CR$582,'Afton Update'!BU$589,0)</f>
        <v>Y</v>
      </c>
      <c r="K422" s="640" t="str">
        <f>VLOOKUP($B422,'Afton Update'!$A$5:$CR$582,'Afton Update'!BV$589,0)</f>
        <v>Y</v>
      </c>
      <c r="L422" s="641" t="str">
        <f>VLOOKUP($B422,'Afton Update'!$A$5:$CR$582,'Afton Update'!BW$589,0)</f>
        <v>Y</v>
      </c>
      <c r="N422" s="642">
        <f>VLOOKUP($B422,'Afton Update'!$A$5:$CR$582,'Afton Update'!CB$589,0)</f>
        <v>0.95</v>
      </c>
      <c r="P422" s="636">
        <f>VLOOKUP($B422,'Afton Update'!$A$5:$CR$582,'Afton Update'!AH$589,0)</f>
        <v>14969.481194298574</v>
      </c>
      <c r="Q422" s="637">
        <f>VLOOKUP($B422,'Afton Update'!$A$5:$CR$582,'Afton Update'!AI$589,0)</f>
        <v>4990.9587883361492</v>
      </c>
      <c r="R422" s="637">
        <f>VLOOKUP($B422,'Afton Update'!$A$5:$CR$582,'Afton Update'!AJ$589,0)</f>
        <v>6379.179624031126</v>
      </c>
      <c r="S422" s="637">
        <f>VLOOKUP($B422,'Afton Update'!$A$5:$CR$582,'Afton Update'!AK$589,0)</f>
        <v>5273.3361832341643</v>
      </c>
      <c r="T422" s="643">
        <f t="shared" si="1307"/>
        <v>31612.955789900014</v>
      </c>
      <c r="V422" s="636">
        <f t="shared" si="1333"/>
        <v>29624.077128099809</v>
      </c>
      <c r="W422" s="637">
        <f t="shared" si="1334"/>
        <v>7172.0146155316252</v>
      </c>
      <c r="X422" s="637">
        <f t="shared" si="1335"/>
        <v>11757.278002171061</v>
      </c>
      <c r="Y422" s="637">
        <f t="shared" si="1336"/>
        <v>10358.020405426296</v>
      </c>
      <c r="Z422" s="643">
        <f t="shared" si="1337"/>
        <v>58911.390151228792</v>
      </c>
      <c r="AB422" s="644">
        <f t="shared" si="1308"/>
        <v>14969.481194298574</v>
      </c>
      <c r="AC422" s="645">
        <f t="shared" si="1304"/>
        <v>29624.077128099809</v>
      </c>
      <c r="AD422" s="644">
        <f t="shared" si="1338"/>
        <v>14654.595933801234</v>
      </c>
      <c r="AE422" s="645">
        <f t="shared" si="1339"/>
        <v>0</v>
      </c>
      <c r="AF422" s="646">
        <f t="shared" si="1340"/>
        <v>0</v>
      </c>
      <c r="AG422" s="647">
        <f t="shared" si="1341"/>
        <v>29624.077128099809</v>
      </c>
      <c r="AH422" s="644">
        <f t="shared" si="1309"/>
        <v>0</v>
      </c>
      <c r="AI422" s="645">
        <f t="shared" si="1310"/>
        <v>0</v>
      </c>
      <c r="AJ422" s="646">
        <f t="shared" si="1342"/>
        <v>0</v>
      </c>
      <c r="AK422" s="647">
        <f t="shared" si="1311"/>
        <v>29624.077128099809</v>
      </c>
      <c r="AL422" s="644">
        <f t="shared" si="1343"/>
        <v>0</v>
      </c>
      <c r="AM422" s="645">
        <f t="shared" si="1344"/>
        <v>0</v>
      </c>
      <c r="AN422" s="646">
        <f t="shared" si="1345"/>
        <v>0</v>
      </c>
      <c r="AO422" s="647">
        <f t="shared" si="1312"/>
        <v>29624.077128099809</v>
      </c>
      <c r="AP422" s="644">
        <f t="shared" si="1346"/>
        <v>0</v>
      </c>
      <c r="AQ422" s="645">
        <f t="shared" si="1347"/>
        <v>0</v>
      </c>
      <c r="AR422" s="646">
        <f t="shared" si="1348"/>
        <v>0</v>
      </c>
      <c r="AS422" s="647">
        <f t="shared" si="1313"/>
        <v>29624.077128099809</v>
      </c>
      <c r="AT422" s="644">
        <f t="shared" si="1349"/>
        <v>0</v>
      </c>
      <c r="AU422" s="645">
        <f t="shared" si="1350"/>
        <v>0</v>
      </c>
      <c r="AV422" s="646">
        <f t="shared" si="1351"/>
        <v>0</v>
      </c>
      <c r="AW422" s="647">
        <f t="shared" si="1314"/>
        <v>29624.077128099809</v>
      </c>
      <c r="AY422" s="644">
        <f t="shared" si="1352"/>
        <v>4990.9587883361492</v>
      </c>
      <c r="AZ422" s="645">
        <f t="shared" si="1282"/>
        <v>7172.0146155316252</v>
      </c>
      <c r="BA422" s="644">
        <f t="shared" si="1353"/>
        <v>2181.055827195476</v>
      </c>
      <c r="BB422" s="645">
        <f t="shared" si="1354"/>
        <v>0</v>
      </c>
      <c r="BC422" s="646">
        <f t="shared" si="1355"/>
        <v>0</v>
      </c>
      <c r="BD422" s="647">
        <f t="shared" si="1356"/>
        <v>7172.0146155316252</v>
      </c>
      <c r="BE422" s="644">
        <f t="shared" si="1315"/>
        <v>0</v>
      </c>
      <c r="BF422" s="645">
        <f t="shared" si="1316"/>
        <v>0</v>
      </c>
      <c r="BG422" s="646">
        <f t="shared" si="1357"/>
        <v>0</v>
      </c>
      <c r="BH422" s="647">
        <f t="shared" si="1317"/>
        <v>7172.0146155316252</v>
      </c>
      <c r="BI422" s="644">
        <f t="shared" si="1358"/>
        <v>0</v>
      </c>
      <c r="BJ422" s="645">
        <f t="shared" si="1359"/>
        <v>0</v>
      </c>
      <c r="BK422" s="646">
        <f t="shared" si="1360"/>
        <v>0</v>
      </c>
      <c r="BL422" s="647">
        <f t="shared" si="1318"/>
        <v>7172.0146155316252</v>
      </c>
      <c r="BM422" s="644">
        <f t="shared" si="1361"/>
        <v>0</v>
      </c>
      <c r="BN422" s="645">
        <f t="shared" si="1362"/>
        <v>0</v>
      </c>
      <c r="BO422" s="646">
        <f t="shared" si="1363"/>
        <v>0</v>
      </c>
      <c r="BP422" s="647">
        <f t="shared" si="1319"/>
        <v>7172.0146155316252</v>
      </c>
      <c r="BQ422" s="644">
        <f t="shared" si="1364"/>
        <v>0</v>
      </c>
      <c r="BR422" s="645">
        <f t="shared" si="1365"/>
        <v>0</v>
      </c>
      <c r="BS422" s="646">
        <f t="shared" si="1366"/>
        <v>0</v>
      </c>
      <c r="BT422" s="647">
        <f t="shared" si="1320"/>
        <v>7172.0146155316252</v>
      </c>
      <c r="BU422" s="662">
        <f>VLOOKUP(B422,'Afton Update'!$A$5:$AR$582,'Afton Update'!$AO$589,0)-BT422</f>
        <v>0</v>
      </c>
      <c r="BV422" s="644">
        <f t="shared" si="1367"/>
        <v>6379.179624031126</v>
      </c>
      <c r="BW422" s="645">
        <f t="shared" si="1305"/>
        <v>11757.278002171061</v>
      </c>
      <c r="BX422" s="644">
        <f t="shared" si="1368"/>
        <v>5378.0983781399345</v>
      </c>
      <c r="BY422" s="645">
        <f t="shared" si="1369"/>
        <v>0</v>
      </c>
      <c r="BZ422" s="646">
        <f t="shared" si="1370"/>
        <v>0</v>
      </c>
      <c r="CA422" s="647">
        <f t="shared" si="1371"/>
        <v>11757.278002171061</v>
      </c>
      <c r="CB422" s="644">
        <f t="shared" si="1321"/>
        <v>0</v>
      </c>
      <c r="CC422" s="645">
        <f t="shared" si="1322"/>
        <v>0</v>
      </c>
      <c r="CD422" s="646">
        <f t="shared" si="1372"/>
        <v>0</v>
      </c>
      <c r="CE422" s="647">
        <f t="shared" si="1323"/>
        <v>11757.278002171061</v>
      </c>
      <c r="CF422" s="644">
        <f t="shared" si="1373"/>
        <v>0</v>
      </c>
      <c r="CG422" s="645">
        <f t="shared" si="1374"/>
        <v>0</v>
      </c>
      <c r="CH422" s="646">
        <f t="shared" si="1375"/>
        <v>0</v>
      </c>
      <c r="CI422" s="647">
        <f t="shared" si="1324"/>
        <v>11757.278002171061</v>
      </c>
      <c r="CJ422" s="644">
        <f t="shared" si="1376"/>
        <v>0</v>
      </c>
      <c r="CK422" s="645">
        <f t="shared" si="1377"/>
        <v>0</v>
      </c>
      <c r="CL422" s="646">
        <f t="shared" si="1378"/>
        <v>0</v>
      </c>
      <c r="CM422" s="647">
        <f t="shared" si="1325"/>
        <v>11757.278002171061</v>
      </c>
      <c r="CN422" s="644">
        <f t="shared" si="1379"/>
        <v>0</v>
      </c>
      <c r="CO422" s="645">
        <f t="shared" si="1380"/>
        <v>0</v>
      </c>
      <c r="CP422" s="646">
        <f t="shared" si="1381"/>
        <v>0</v>
      </c>
      <c r="CQ422" s="647">
        <f t="shared" si="1326"/>
        <v>11757.278002171061</v>
      </c>
      <c r="CS422" s="644">
        <f t="shared" si="1382"/>
        <v>5273.3361832341643</v>
      </c>
      <c r="CT422" s="645">
        <f t="shared" si="1306"/>
        <v>10358.020405426296</v>
      </c>
      <c r="CU422" s="644">
        <f t="shared" si="1383"/>
        <v>5084.6842221921315</v>
      </c>
      <c r="CV422" s="645">
        <f t="shared" si="1384"/>
        <v>0</v>
      </c>
      <c r="CW422" s="646">
        <f t="shared" si="1385"/>
        <v>0</v>
      </c>
      <c r="CX422" s="647">
        <f t="shared" si="1386"/>
        <v>10358.020405426296</v>
      </c>
      <c r="CY422" s="644">
        <f t="shared" si="1327"/>
        <v>0</v>
      </c>
      <c r="CZ422" s="645">
        <f t="shared" si="1328"/>
        <v>0</v>
      </c>
      <c r="DA422" s="646">
        <f t="shared" si="1387"/>
        <v>0</v>
      </c>
      <c r="DB422" s="647">
        <f t="shared" si="1329"/>
        <v>10358.020405426296</v>
      </c>
      <c r="DC422" s="644">
        <f t="shared" si="1388"/>
        <v>0</v>
      </c>
      <c r="DD422" s="645">
        <f t="shared" si="1389"/>
        <v>0</v>
      </c>
      <c r="DE422" s="646">
        <f t="shared" si="1390"/>
        <v>0</v>
      </c>
      <c r="DF422" s="647">
        <f t="shared" si="1330"/>
        <v>10358.020405426296</v>
      </c>
      <c r="DG422" s="644">
        <f t="shared" si="1391"/>
        <v>0</v>
      </c>
      <c r="DH422" s="645">
        <f t="shared" si="1392"/>
        <v>0</v>
      </c>
      <c r="DI422" s="646">
        <f t="shared" si="1393"/>
        <v>0</v>
      </c>
      <c r="DJ422" s="647">
        <f t="shared" si="1331"/>
        <v>10358.020405426296</v>
      </c>
      <c r="DK422" s="644">
        <f t="shared" si="1394"/>
        <v>0</v>
      </c>
      <c r="DL422" s="645">
        <f t="shared" si="1395"/>
        <v>0</v>
      </c>
      <c r="DM422" s="646">
        <f t="shared" si="1396"/>
        <v>0</v>
      </c>
      <c r="DN422" s="647">
        <f t="shared" si="1332"/>
        <v>10358.020405426296</v>
      </c>
      <c r="DR422" s="827">
        <f t="shared" si="1283"/>
        <v>58911.390151228792</v>
      </c>
      <c r="DV422" s="828">
        <f>IFERROR(VLOOKUP($B422,'Afton FY16 Final'!$A$5:$BV$587,'Afton FY16 Final'!$BV$587,0),0)</f>
        <v>60790.973567270885</v>
      </c>
      <c r="DX422" s="636">
        <f t="shared" si="1274"/>
        <v>0</v>
      </c>
      <c r="DY422" s="637">
        <f t="shared" si="1275"/>
        <v>0</v>
      </c>
      <c r="DZ422" s="637">
        <f t="shared" si="1276"/>
        <v>0</v>
      </c>
      <c r="EA422" s="643">
        <f t="shared" si="1277"/>
        <v>0</v>
      </c>
      <c r="EB422" s="637">
        <f t="shared" si="1284"/>
        <v>0</v>
      </c>
      <c r="EC422" s="637">
        <f t="shared" si="1285"/>
        <v>0</v>
      </c>
      <c r="ED422" s="637">
        <f t="shared" si="1286"/>
        <v>0</v>
      </c>
      <c r="EE422" s="643">
        <f t="shared" si="1287"/>
        <v>0</v>
      </c>
      <c r="EF422" s="637">
        <f t="shared" si="1288"/>
        <v>0</v>
      </c>
      <c r="EG422" s="637">
        <f t="shared" si="1289"/>
        <v>0</v>
      </c>
      <c r="EH422" s="637">
        <f t="shared" si="1290"/>
        <v>0</v>
      </c>
      <c r="EI422" s="643">
        <f t="shared" si="1291"/>
        <v>0</v>
      </c>
      <c r="EJ422" s="637">
        <f t="shared" si="1292"/>
        <v>0</v>
      </c>
      <c r="EK422" s="637">
        <f t="shared" si="1293"/>
        <v>0</v>
      </c>
      <c r="EL422" s="637">
        <f t="shared" si="1294"/>
        <v>0</v>
      </c>
      <c r="EM422" s="643">
        <f t="shared" si="1295"/>
        <v>0</v>
      </c>
      <c r="EN422" s="637">
        <f t="shared" si="1296"/>
        <v>0</v>
      </c>
      <c r="EO422" s="637">
        <f t="shared" si="1297"/>
        <v>0</v>
      </c>
      <c r="EP422" s="637">
        <f t="shared" si="1298"/>
        <v>0</v>
      </c>
      <c r="EQ422" s="643">
        <f t="shared" si="1299"/>
        <v>0</v>
      </c>
      <c r="ER422" s="637">
        <f t="shared" si="1300"/>
        <v>0</v>
      </c>
      <c r="ES422" s="637">
        <f t="shared" si="1301"/>
        <v>0</v>
      </c>
      <c r="ET422" s="637">
        <f t="shared" si="1302"/>
        <v>0</v>
      </c>
      <c r="EU422" s="643">
        <f t="shared" si="1278"/>
        <v>0</v>
      </c>
      <c r="EV422" s="643">
        <f t="shared" si="1279"/>
        <v>0</v>
      </c>
      <c r="EX422" s="829">
        <f t="shared" si="1280"/>
        <v>0</v>
      </c>
      <c r="EY422" s="638">
        <f t="shared" si="1281"/>
        <v>58911.390151228792</v>
      </c>
      <c r="FC422" s="830" t="str">
        <f t="shared" si="1303"/>
        <v>Y</v>
      </c>
      <c r="FE422" s="830" t="str">
        <f>IFERROR(VLOOKUP($B422,'Historical Conc Grant Elig'!$B$3:$J$707,'HH &amp; SI'!FE$2,0),"N")</f>
        <v>Y</v>
      </c>
      <c r="FF422" s="830" t="str">
        <f>IFERROR(VLOOKUP($B422,'Historical Conc Grant Elig'!$B$3:$J$707,'HH &amp; SI'!FF$2,0),"N")</f>
        <v>Y</v>
      </c>
      <c r="FG422" s="830" t="str">
        <f>IFERROR(VLOOKUP($B422,'Historical Conc Grant Elig'!$B$3:$J$707,'HH &amp; SI'!FG$2,0),"N")</f>
        <v>Y</v>
      </c>
      <c r="FH422" s="830" t="str">
        <f>IFERROR(VLOOKUP($B422,'Historical Conc Grant Elig'!$B$3:$J$707,'HH &amp; SI'!FH$2,0),"N")</f>
        <v>Y</v>
      </c>
      <c r="FI422" s="830" t="str">
        <f>IFERROR(VLOOKUP($B422,'Historical Conc Grant Elig'!$B$3:$J$707,'HH &amp; SI'!FI$2,0),"N")</f>
        <v>Y</v>
      </c>
      <c r="FJ422" s="830" t="str">
        <f>IFERROR(VLOOKUP($B422,'Historical Conc Grant Elig'!$B$3:$J$707,'HH &amp; SI'!FJ$2,0),"N")</f>
        <v>Y</v>
      </c>
      <c r="FK422" s="830" t="str">
        <f>IFERROR(VLOOKUP($B422,'Historical Conc Grant Elig'!$B$3:$J$707,'HH &amp; SI'!FK$2,0),"N")</f>
        <v>Y</v>
      </c>
      <c r="FL422" s="957" t="str">
        <f>IFERROR(VLOOKUP($B422,'Historical Conc Grant Elig'!$B$3:$J$707,'HH &amp; SI'!FL$2,0),"N")</f>
        <v>Y</v>
      </c>
    </row>
    <row r="423" spans="2:168" x14ac:dyDescent="0.25">
      <c r="B423" s="634">
        <v>118705000</v>
      </c>
      <c r="C423" s="635" t="str">
        <f>VLOOKUP($B423,'Afton Update'!$A$5:$CR$582,'Afton Update'!D$589,0)</f>
        <v>Akimel O Otham Pee Posh Charter School  Inc.</v>
      </c>
      <c r="D423" s="636">
        <f>IFERROR(VLOOKUP($B423,'Afton FY16 Final'!$A$5:$BV$587,'Afton FY16 Final'!AQ$587,0),0)</f>
        <v>0</v>
      </c>
      <c r="E423" s="637">
        <f>IFERROR(VLOOKUP($B423,'Afton FY16 Final'!$A$5:$BV$587,'Afton FY16 Final'!AR$587,0),0)</f>
        <v>3090.2342311753459</v>
      </c>
      <c r="F423" s="637">
        <f>IFERROR(VLOOKUP($B423,'Afton FY16 Final'!$A$5:$BV$587,'Afton FY16 Final'!AS$587,0),0)</f>
        <v>0</v>
      </c>
      <c r="G423" s="637">
        <f>IFERROR(VLOOKUP($B423,'Afton FY16 Final'!$A$5:$BV$587,'Afton FY16 Final'!AT$587,0),0)</f>
        <v>0</v>
      </c>
      <c r="H423" s="638">
        <f>IFERROR(VLOOKUP($B423,'Afton FY16 Final'!$A$5:$BV$587,'Afton FY16 Final'!AU$587,0),0)</f>
        <v>3090.2342311753459</v>
      </c>
      <c r="I423" s="639" t="str">
        <f>VLOOKUP($B423,'Afton Update'!$A$5:$CR$582,'Afton Update'!BT$589,0)</f>
        <v>Y</v>
      </c>
      <c r="J423" s="640" t="str">
        <f>VLOOKUP($B423,'Afton Update'!$A$5:$CR$582,'Afton Update'!BU$589,0)</f>
        <v>Y</v>
      </c>
      <c r="K423" s="640" t="str">
        <f>VLOOKUP($B423,'Afton Update'!$A$5:$CR$582,'Afton Update'!BV$589,0)</f>
        <v>Y</v>
      </c>
      <c r="L423" s="641" t="str">
        <f>VLOOKUP($B423,'Afton Update'!$A$5:$CR$582,'Afton Update'!BW$589,0)</f>
        <v>Y</v>
      </c>
      <c r="N423" s="642">
        <f>VLOOKUP($B423,'Afton Update'!$A$5:$CR$582,'Afton Update'!CB$589,0)</f>
        <v>0.95</v>
      </c>
      <c r="P423" s="636">
        <f>VLOOKUP($B423,'Afton Update'!$A$5:$CR$582,'Afton Update'!AH$589,0)</f>
        <v>5821.4649088938904</v>
      </c>
      <c r="Q423" s="637">
        <f>VLOOKUP($B423,'Afton Update'!$A$5:$CR$582,'Afton Update'!AI$589,0)</f>
        <v>2804.3082807863102</v>
      </c>
      <c r="R423" s="637">
        <f>VLOOKUP($B423,'Afton Update'!$A$5:$CR$582,'Afton Update'!AJ$589,0)</f>
        <v>2480.7920760121051</v>
      </c>
      <c r="S423" s="637">
        <f>VLOOKUP($B423,'Afton Update'!$A$5:$CR$582,'Afton Update'!AK$589,0)</f>
        <v>2050.7418490355085</v>
      </c>
      <c r="T423" s="643">
        <f t="shared" si="1307"/>
        <v>13157.307114727813</v>
      </c>
      <c r="V423" s="636">
        <f t="shared" si="1333"/>
        <v>5742.0563490352361</v>
      </c>
      <c r="W423" s="637">
        <f t="shared" si="1334"/>
        <v>2935.7225196165787</v>
      </c>
      <c r="X423" s="637">
        <f t="shared" si="1335"/>
        <v>2458.2302406694184</v>
      </c>
      <c r="Y423" s="637">
        <f t="shared" si="1336"/>
        <v>2028.1463653830338</v>
      </c>
      <c r="Z423" s="643">
        <f t="shared" si="1337"/>
        <v>13164.155474704266</v>
      </c>
      <c r="AB423" s="644">
        <f t="shared" si="1308"/>
        <v>5821.4649088938904</v>
      </c>
      <c r="AC423" s="645">
        <f t="shared" si="1304"/>
        <v>0</v>
      </c>
      <c r="AD423" s="644">
        <f t="shared" si="1338"/>
        <v>0</v>
      </c>
      <c r="AE423" s="645">
        <f t="shared" si="1339"/>
        <v>5821.4649088938904</v>
      </c>
      <c r="AF423" s="646">
        <f t="shared" si="1340"/>
        <v>-72.161432260166066</v>
      </c>
      <c r="AG423" s="647">
        <f t="shared" si="1341"/>
        <v>5749.3034766337241</v>
      </c>
      <c r="AH423" s="644">
        <f t="shared" si="1309"/>
        <v>0</v>
      </c>
      <c r="AI423" s="645">
        <f t="shared" si="1310"/>
        <v>5749.3034766337241</v>
      </c>
      <c r="AJ423" s="646">
        <f t="shared" si="1342"/>
        <v>-7.2425104757538659</v>
      </c>
      <c r="AK423" s="647">
        <f t="shared" si="1311"/>
        <v>5742.0609661579701</v>
      </c>
      <c r="AL423" s="644">
        <f t="shared" si="1343"/>
        <v>0</v>
      </c>
      <c r="AM423" s="645">
        <f t="shared" si="1344"/>
        <v>5742.0609661579701</v>
      </c>
      <c r="AN423" s="646">
        <f t="shared" si="1345"/>
        <v>-4.6171227339724275E-3</v>
      </c>
      <c r="AO423" s="647">
        <f t="shared" si="1312"/>
        <v>5742.0563490352361</v>
      </c>
      <c r="AP423" s="644">
        <f t="shared" si="1346"/>
        <v>0</v>
      </c>
      <c r="AQ423" s="645">
        <f t="shared" si="1347"/>
        <v>5742.0563490352361</v>
      </c>
      <c r="AR423" s="646">
        <f t="shared" si="1348"/>
        <v>0</v>
      </c>
      <c r="AS423" s="647">
        <f t="shared" si="1313"/>
        <v>5742.0563490352361</v>
      </c>
      <c r="AT423" s="644">
        <f t="shared" si="1349"/>
        <v>0</v>
      </c>
      <c r="AU423" s="645">
        <f t="shared" si="1350"/>
        <v>5742.0563490352361</v>
      </c>
      <c r="AV423" s="646">
        <f t="shared" si="1351"/>
        <v>0</v>
      </c>
      <c r="AW423" s="647">
        <f t="shared" si="1314"/>
        <v>5742.0563490352361</v>
      </c>
      <c r="AY423" s="644">
        <f t="shared" si="1352"/>
        <v>2804.3082807863102</v>
      </c>
      <c r="AZ423" s="645">
        <f t="shared" si="1282"/>
        <v>2935.7225196165787</v>
      </c>
      <c r="BA423" s="644">
        <f t="shared" si="1353"/>
        <v>131.41423883026846</v>
      </c>
      <c r="BB423" s="645">
        <f t="shared" si="1354"/>
        <v>0</v>
      </c>
      <c r="BC423" s="646">
        <f t="shared" si="1355"/>
        <v>0</v>
      </c>
      <c r="BD423" s="647">
        <f t="shared" si="1356"/>
        <v>2935.7225196165787</v>
      </c>
      <c r="BE423" s="644">
        <f t="shared" si="1315"/>
        <v>0</v>
      </c>
      <c r="BF423" s="645">
        <f t="shared" si="1316"/>
        <v>0</v>
      </c>
      <c r="BG423" s="646">
        <f t="shared" si="1357"/>
        <v>0</v>
      </c>
      <c r="BH423" s="647">
        <f t="shared" si="1317"/>
        <v>2935.7225196165787</v>
      </c>
      <c r="BI423" s="644">
        <f t="shared" si="1358"/>
        <v>0</v>
      </c>
      <c r="BJ423" s="645">
        <f t="shared" si="1359"/>
        <v>0</v>
      </c>
      <c r="BK423" s="646">
        <f t="shared" si="1360"/>
        <v>0</v>
      </c>
      <c r="BL423" s="647">
        <f t="shared" si="1318"/>
        <v>2935.7225196165787</v>
      </c>
      <c r="BM423" s="644">
        <f t="shared" si="1361"/>
        <v>0</v>
      </c>
      <c r="BN423" s="645">
        <f t="shared" si="1362"/>
        <v>0</v>
      </c>
      <c r="BO423" s="646">
        <f t="shared" si="1363"/>
        <v>0</v>
      </c>
      <c r="BP423" s="647">
        <f t="shared" si="1319"/>
        <v>2935.7225196165787</v>
      </c>
      <c r="BQ423" s="644">
        <f t="shared" si="1364"/>
        <v>0</v>
      </c>
      <c r="BR423" s="645">
        <f t="shared" si="1365"/>
        <v>0</v>
      </c>
      <c r="BS423" s="646">
        <f t="shared" si="1366"/>
        <v>0</v>
      </c>
      <c r="BT423" s="647">
        <f t="shared" si="1320"/>
        <v>2935.7225196165787</v>
      </c>
      <c r="BU423" s="662">
        <f>VLOOKUP(B423,'Afton Update'!$A$5:$AR$582,'Afton Update'!$AO$589,0)-BT423</f>
        <v>0</v>
      </c>
      <c r="BV423" s="644">
        <f t="shared" si="1367"/>
        <v>2480.7920760121051</v>
      </c>
      <c r="BW423" s="645">
        <f t="shared" si="1305"/>
        <v>0</v>
      </c>
      <c r="BX423" s="644">
        <f t="shared" si="1368"/>
        <v>0</v>
      </c>
      <c r="BY423" s="645">
        <f t="shared" si="1369"/>
        <v>2480.7920760121051</v>
      </c>
      <c r="BZ423" s="646">
        <f t="shared" si="1370"/>
        <v>-21.774175806025212</v>
      </c>
      <c r="CA423" s="647">
        <f t="shared" si="1371"/>
        <v>2459.01790020608</v>
      </c>
      <c r="CB423" s="644">
        <f t="shared" si="1321"/>
        <v>0</v>
      </c>
      <c r="CC423" s="645">
        <f t="shared" si="1322"/>
        <v>2459.01790020608</v>
      </c>
      <c r="CD423" s="646">
        <f t="shared" si="1372"/>
        <v>-0.78765953666152588</v>
      </c>
      <c r="CE423" s="647">
        <f t="shared" si="1323"/>
        <v>2458.2302406694184</v>
      </c>
      <c r="CF423" s="644">
        <f t="shared" si="1373"/>
        <v>0</v>
      </c>
      <c r="CG423" s="645">
        <f t="shared" si="1374"/>
        <v>2458.2302406694184</v>
      </c>
      <c r="CH423" s="646">
        <f t="shared" si="1375"/>
        <v>0</v>
      </c>
      <c r="CI423" s="647">
        <f t="shared" si="1324"/>
        <v>2458.2302406694184</v>
      </c>
      <c r="CJ423" s="644">
        <f t="shared" si="1376"/>
        <v>0</v>
      </c>
      <c r="CK423" s="645">
        <f t="shared" si="1377"/>
        <v>2458.2302406694184</v>
      </c>
      <c r="CL423" s="646">
        <f t="shared" si="1378"/>
        <v>0</v>
      </c>
      <c r="CM423" s="647">
        <f t="shared" si="1325"/>
        <v>2458.2302406694184</v>
      </c>
      <c r="CN423" s="644">
        <f t="shared" si="1379"/>
        <v>0</v>
      </c>
      <c r="CO423" s="645">
        <f t="shared" si="1380"/>
        <v>2458.2302406694184</v>
      </c>
      <c r="CP423" s="646">
        <f t="shared" si="1381"/>
        <v>0</v>
      </c>
      <c r="CQ423" s="647">
        <f t="shared" si="1326"/>
        <v>2458.2302406694184</v>
      </c>
      <c r="CS423" s="644">
        <f t="shared" si="1382"/>
        <v>2050.7418490355085</v>
      </c>
      <c r="CT423" s="645">
        <f t="shared" si="1306"/>
        <v>0</v>
      </c>
      <c r="CU423" s="644">
        <f t="shared" si="1383"/>
        <v>0</v>
      </c>
      <c r="CV423" s="645">
        <f t="shared" si="1384"/>
        <v>2050.7418490355085</v>
      </c>
      <c r="CW423" s="646">
        <f t="shared" si="1385"/>
        <v>-21.000755453408981</v>
      </c>
      <c r="CX423" s="647">
        <f t="shared" si="1386"/>
        <v>2029.7410935820994</v>
      </c>
      <c r="CY423" s="644">
        <f t="shared" si="1327"/>
        <v>0</v>
      </c>
      <c r="CZ423" s="645">
        <f t="shared" si="1328"/>
        <v>2029.7410935820994</v>
      </c>
      <c r="DA423" s="646">
        <f t="shared" si="1387"/>
        <v>-1.5933541295849789</v>
      </c>
      <c r="DB423" s="647">
        <f t="shared" si="1329"/>
        <v>2028.1477394525145</v>
      </c>
      <c r="DC423" s="644">
        <f t="shared" si="1388"/>
        <v>0</v>
      </c>
      <c r="DD423" s="645">
        <f t="shared" si="1389"/>
        <v>2028.1477394525145</v>
      </c>
      <c r="DE423" s="646">
        <f t="shared" si="1390"/>
        <v>-1.3740694807329594E-3</v>
      </c>
      <c r="DF423" s="647">
        <f t="shared" si="1330"/>
        <v>2028.1463653830338</v>
      </c>
      <c r="DG423" s="644">
        <f t="shared" si="1391"/>
        <v>0</v>
      </c>
      <c r="DH423" s="645">
        <f t="shared" si="1392"/>
        <v>2028.1463653830338</v>
      </c>
      <c r="DI423" s="646">
        <f t="shared" si="1393"/>
        <v>0</v>
      </c>
      <c r="DJ423" s="647">
        <f t="shared" si="1331"/>
        <v>2028.1463653830338</v>
      </c>
      <c r="DK423" s="644">
        <f t="shared" si="1394"/>
        <v>0</v>
      </c>
      <c r="DL423" s="645">
        <f t="shared" si="1395"/>
        <v>2028.1463653830338</v>
      </c>
      <c r="DM423" s="646">
        <f t="shared" si="1396"/>
        <v>0</v>
      </c>
      <c r="DN423" s="647">
        <f t="shared" si="1332"/>
        <v>2028.1463653830338</v>
      </c>
      <c r="DR423" s="827">
        <f t="shared" si="1283"/>
        <v>13164.155474704266</v>
      </c>
      <c r="DV423" s="828">
        <f>IFERROR(VLOOKUP($B423,'Afton FY16 Final'!$A$5:$BV$587,'Afton FY16 Final'!$BV$587,0),0)</f>
        <v>3029.3875196752733</v>
      </c>
      <c r="DX423" s="636">
        <f t="shared" si="1274"/>
        <v>13164.155474704266</v>
      </c>
      <c r="DY423" s="637">
        <f t="shared" si="1275"/>
        <v>10134.767955028994</v>
      </c>
      <c r="DZ423" s="637">
        <f t="shared" si="1276"/>
        <v>3029.3875196752733</v>
      </c>
      <c r="EA423" s="643">
        <f t="shared" si="1277"/>
        <v>12463.969939418617</v>
      </c>
      <c r="EB423" s="637">
        <f t="shared" si="1284"/>
        <v>0</v>
      </c>
      <c r="EC423" s="637">
        <f t="shared" si="1285"/>
        <v>12463.969939418617</v>
      </c>
      <c r="ED423" s="637">
        <f t="shared" si="1286"/>
        <v>12426.803125254575</v>
      </c>
      <c r="EE423" s="643">
        <f t="shared" si="1287"/>
        <v>12426.803125254575</v>
      </c>
      <c r="EF423" s="637">
        <f t="shared" si="1288"/>
        <v>0</v>
      </c>
      <c r="EG423" s="637">
        <f t="shared" si="1289"/>
        <v>12426.803125254575</v>
      </c>
      <c r="EH423" s="637">
        <f t="shared" si="1290"/>
        <v>12426.790305006845</v>
      </c>
      <c r="EI423" s="643">
        <f t="shared" si="1291"/>
        <v>12426.790305006845</v>
      </c>
      <c r="EJ423" s="637">
        <f t="shared" si="1292"/>
        <v>0</v>
      </c>
      <c r="EK423" s="637">
        <f t="shared" si="1293"/>
        <v>12426.790305006845</v>
      </c>
      <c r="EL423" s="637">
        <f t="shared" si="1294"/>
        <v>12426.790305006827</v>
      </c>
      <c r="EM423" s="643">
        <f t="shared" si="1295"/>
        <v>12426.790305006827</v>
      </c>
      <c r="EN423" s="637">
        <f t="shared" si="1296"/>
        <v>0</v>
      </c>
      <c r="EO423" s="637">
        <f t="shared" si="1297"/>
        <v>12426.790305006827</v>
      </c>
      <c r="EP423" s="637">
        <f t="shared" si="1298"/>
        <v>12426.790305006845</v>
      </c>
      <c r="EQ423" s="643">
        <f t="shared" si="1299"/>
        <v>12426.790305006845</v>
      </c>
      <c r="ER423" s="637">
        <f t="shared" si="1300"/>
        <v>0</v>
      </c>
      <c r="ES423" s="637">
        <f t="shared" si="1301"/>
        <v>12426.790305006845</v>
      </c>
      <c r="ET423" s="637">
        <f t="shared" si="1302"/>
        <v>12426.790305006825</v>
      </c>
      <c r="EU423" s="643">
        <f t="shared" si="1278"/>
        <v>12426.790305006825</v>
      </c>
      <c r="EV423" s="643">
        <f t="shared" si="1279"/>
        <v>0</v>
      </c>
      <c r="EX423" s="829">
        <f t="shared" si="1280"/>
        <v>737.36516969744116</v>
      </c>
      <c r="EY423" s="638">
        <f t="shared" si="1281"/>
        <v>12426.790305006825</v>
      </c>
      <c r="FC423" s="830" t="str">
        <f t="shared" si="1303"/>
        <v>Y</v>
      </c>
      <c r="FE423" s="830" t="str">
        <f>IFERROR(VLOOKUP($B423,'Historical Conc Grant Elig'!$B$3:$J$707,'HH &amp; SI'!FE$2,0),"N")</f>
        <v>N</v>
      </c>
      <c r="FF423" s="830" t="str">
        <f>IFERROR(VLOOKUP($B423,'Historical Conc Grant Elig'!$B$3:$J$707,'HH &amp; SI'!FF$2,0),"N")</f>
        <v>N</v>
      </c>
      <c r="FG423" s="830" t="str">
        <f>IFERROR(VLOOKUP($B423,'Historical Conc Grant Elig'!$B$3:$J$707,'HH &amp; SI'!FG$2,0),"N")</f>
        <v>Y</v>
      </c>
      <c r="FH423" s="830" t="str">
        <f>IFERROR(VLOOKUP($B423,'Historical Conc Grant Elig'!$B$3:$J$707,'HH &amp; SI'!FH$2,0),"N")</f>
        <v>Y</v>
      </c>
      <c r="FI423" s="830" t="str">
        <f>IFERROR(VLOOKUP($B423,'Historical Conc Grant Elig'!$B$3:$J$707,'HH &amp; SI'!FI$2,0),"N")</f>
        <v>Y</v>
      </c>
      <c r="FJ423" s="830" t="str">
        <f>IFERROR(VLOOKUP($B423,'Historical Conc Grant Elig'!$B$3:$J$707,'HH &amp; SI'!FJ$2,0),"N")</f>
        <v>N</v>
      </c>
      <c r="FK423" s="830" t="str">
        <f>IFERROR(VLOOKUP($B423,'Historical Conc Grant Elig'!$B$3:$J$707,'HH &amp; SI'!FK$2,0),"N")</f>
        <v>N</v>
      </c>
      <c r="FL423" s="957" t="str">
        <f>IFERROR(VLOOKUP($B423,'Historical Conc Grant Elig'!$B$3:$J$707,'HH &amp; SI'!FL$2,0),"N")</f>
        <v>Y</v>
      </c>
    </row>
    <row r="424" spans="2:168" x14ac:dyDescent="0.25">
      <c r="B424" s="634">
        <v>118706000</v>
      </c>
      <c r="C424" s="635" t="str">
        <f>VLOOKUP($B424,'Afton Update'!$A$5:$CR$582,'Afton Update'!D$589,0)</f>
        <v>Akimel O'Otham Pee Posh Charter School  Inc.</v>
      </c>
      <c r="D424" s="636">
        <f>IFERROR(VLOOKUP($B424,'Afton FY16 Final'!$A$5:$BV$587,'Afton FY16 Final'!AQ$587,0),0)</f>
        <v>43394.295768057476</v>
      </c>
      <c r="E424" s="637">
        <f>IFERROR(VLOOKUP($B424,'Afton FY16 Final'!$A$5:$BV$587,'Afton FY16 Final'!AR$587,0),0)</f>
        <v>10702.926322437594</v>
      </c>
      <c r="F424" s="637">
        <f>IFERROR(VLOOKUP($B424,'Afton FY16 Final'!$A$5:$BV$587,'Afton FY16 Final'!AS$587,0),0)</f>
        <v>17371.249283345009</v>
      </c>
      <c r="G424" s="637">
        <f>IFERROR(VLOOKUP($B424,'Afton FY16 Final'!$A$5:$BV$587,'Afton FY16 Final'!AT$587,0),0)</f>
        <v>14913.55742408181</v>
      </c>
      <c r="H424" s="638">
        <f>IFERROR(VLOOKUP($B424,'Afton FY16 Final'!$A$5:$BV$587,'Afton FY16 Final'!AU$587,0),0)</f>
        <v>86382.028797921885</v>
      </c>
      <c r="I424" s="639" t="str">
        <f>VLOOKUP($B424,'Afton Update'!$A$5:$CR$582,'Afton Update'!BT$589,0)</f>
        <v>Y</v>
      </c>
      <c r="J424" s="640" t="str">
        <f>VLOOKUP($B424,'Afton Update'!$A$5:$CR$582,'Afton Update'!BU$589,0)</f>
        <v>Y</v>
      </c>
      <c r="K424" s="640" t="str">
        <f>VLOOKUP($B424,'Afton Update'!$A$5:$CR$582,'Afton Update'!BV$589,0)</f>
        <v>Y</v>
      </c>
      <c r="L424" s="641" t="str">
        <f>VLOOKUP($B424,'Afton Update'!$A$5:$CR$582,'Afton Update'!BW$589,0)</f>
        <v>Y</v>
      </c>
      <c r="N424" s="642">
        <f>VLOOKUP($B424,'Afton Update'!$A$5:$CR$582,'Afton Update'!CB$589,0)</f>
        <v>0.95</v>
      </c>
      <c r="P424" s="636">
        <f>VLOOKUP($B424,'Afton Update'!$A$5:$CR$582,'Afton Update'!AH$589,0)</f>
        <v>33265.513765107942</v>
      </c>
      <c r="Q424" s="637">
        <f>VLOOKUP($B424,'Afton Update'!$A$5:$CR$582,'Afton Update'!AI$589,0)</f>
        <v>9364.2598034358271</v>
      </c>
      <c r="R424" s="637">
        <f>VLOOKUP($B424,'Afton Update'!$A$5:$CR$582,'Afton Update'!AJ$589,0)</f>
        <v>14175.95472006917</v>
      </c>
      <c r="S424" s="637">
        <f>VLOOKUP($B424,'Afton Update'!$A$5:$CR$582,'Afton Update'!AK$589,0)</f>
        <v>11718.524851631477</v>
      </c>
      <c r="T424" s="643">
        <f t="shared" si="1307"/>
        <v>68524.253140244415</v>
      </c>
      <c r="V424" s="636">
        <f t="shared" si="1333"/>
        <v>41224.580979654602</v>
      </c>
      <c r="W424" s="637">
        <f t="shared" si="1334"/>
        <v>10167.780006315714</v>
      </c>
      <c r="X424" s="637">
        <f t="shared" si="1335"/>
        <v>16502.686819177758</v>
      </c>
      <c r="Y424" s="637">
        <f t="shared" si="1336"/>
        <v>14167.879552877719</v>
      </c>
      <c r="Z424" s="643">
        <f t="shared" si="1337"/>
        <v>82062.927358025801</v>
      </c>
      <c r="AB424" s="644">
        <f t="shared" si="1308"/>
        <v>33265.513765107942</v>
      </c>
      <c r="AC424" s="645">
        <f t="shared" si="1304"/>
        <v>41224.580979654602</v>
      </c>
      <c r="AD424" s="644">
        <f t="shared" si="1338"/>
        <v>7959.0672145466597</v>
      </c>
      <c r="AE424" s="645">
        <f t="shared" si="1339"/>
        <v>0</v>
      </c>
      <c r="AF424" s="646">
        <f t="shared" si="1340"/>
        <v>0</v>
      </c>
      <c r="AG424" s="647">
        <f t="shared" si="1341"/>
        <v>41224.580979654602</v>
      </c>
      <c r="AH424" s="644">
        <f t="shared" si="1309"/>
        <v>0</v>
      </c>
      <c r="AI424" s="645">
        <f t="shared" si="1310"/>
        <v>0</v>
      </c>
      <c r="AJ424" s="646">
        <f t="shared" si="1342"/>
        <v>0</v>
      </c>
      <c r="AK424" s="647">
        <f t="shared" si="1311"/>
        <v>41224.580979654602</v>
      </c>
      <c r="AL424" s="644">
        <f t="shared" si="1343"/>
        <v>0</v>
      </c>
      <c r="AM424" s="645">
        <f t="shared" si="1344"/>
        <v>0</v>
      </c>
      <c r="AN424" s="646">
        <f t="shared" si="1345"/>
        <v>0</v>
      </c>
      <c r="AO424" s="647">
        <f t="shared" si="1312"/>
        <v>41224.580979654602</v>
      </c>
      <c r="AP424" s="644">
        <f t="shared" si="1346"/>
        <v>0</v>
      </c>
      <c r="AQ424" s="645">
        <f t="shared" si="1347"/>
        <v>0</v>
      </c>
      <c r="AR424" s="646">
        <f t="shared" si="1348"/>
        <v>0</v>
      </c>
      <c r="AS424" s="647">
        <f t="shared" si="1313"/>
        <v>41224.580979654602</v>
      </c>
      <c r="AT424" s="644">
        <f t="shared" si="1349"/>
        <v>0</v>
      </c>
      <c r="AU424" s="645">
        <f t="shared" si="1350"/>
        <v>0</v>
      </c>
      <c r="AV424" s="646">
        <f t="shared" si="1351"/>
        <v>0</v>
      </c>
      <c r="AW424" s="647">
        <f t="shared" si="1314"/>
        <v>41224.580979654602</v>
      </c>
      <c r="AY424" s="644">
        <f t="shared" si="1352"/>
        <v>9364.2598034358271</v>
      </c>
      <c r="AZ424" s="645">
        <f t="shared" si="1282"/>
        <v>10167.780006315714</v>
      </c>
      <c r="BA424" s="644">
        <f t="shared" si="1353"/>
        <v>803.52020287988671</v>
      </c>
      <c r="BB424" s="645">
        <f t="shared" si="1354"/>
        <v>0</v>
      </c>
      <c r="BC424" s="646">
        <f t="shared" si="1355"/>
        <v>0</v>
      </c>
      <c r="BD424" s="647">
        <f t="shared" si="1356"/>
        <v>10167.780006315714</v>
      </c>
      <c r="BE424" s="644">
        <f t="shared" si="1315"/>
        <v>0</v>
      </c>
      <c r="BF424" s="645">
        <f t="shared" si="1316"/>
        <v>0</v>
      </c>
      <c r="BG424" s="646">
        <f t="shared" si="1357"/>
        <v>0</v>
      </c>
      <c r="BH424" s="647">
        <f t="shared" si="1317"/>
        <v>10167.780006315714</v>
      </c>
      <c r="BI424" s="644">
        <f t="shared" si="1358"/>
        <v>0</v>
      </c>
      <c r="BJ424" s="645">
        <f t="shared" si="1359"/>
        <v>0</v>
      </c>
      <c r="BK424" s="646">
        <f t="shared" si="1360"/>
        <v>0</v>
      </c>
      <c r="BL424" s="647">
        <f t="shared" si="1318"/>
        <v>10167.780006315714</v>
      </c>
      <c r="BM424" s="644">
        <f t="shared" si="1361"/>
        <v>0</v>
      </c>
      <c r="BN424" s="645">
        <f t="shared" si="1362"/>
        <v>0</v>
      </c>
      <c r="BO424" s="646">
        <f t="shared" si="1363"/>
        <v>0</v>
      </c>
      <c r="BP424" s="647">
        <f t="shared" si="1319"/>
        <v>10167.780006315714</v>
      </c>
      <c r="BQ424" s="644">
        <f t="shared" si="1364"/>
        <v>0</v>
      </c>
      <c r="BR424" s="645">
        <f t="shared" si="1365"/>
        <v>0</v>
      </c>
      <c r="BS424" s="646">
        <f t="shared" si="1366"/>
        <v>0</v>
      </c>
      <c r="BT424" s="647">
        <f t="shared" si="1320"/>
        <v>10167.780006315714</v>
      </c>
      <c r="BU424" s="662">
        <f>VLOOKUP(B424,'Afton Update'!$A$5:$AR$582,'Afton Update'!$AO$589,0)-BT424</f>
        <v>0</v>
      </c>
      <c r="BV424" s="644">
        <f t="shared" si="1367"/>
        <v>14175.95472006917</v>
      </c>
      <c r="BW424" s="645">
        <f t="shared" si="1305"/>
        <v>16502.686819177758</v>
      </c>
      <c r="BX424" s="644">
        <f t="shared" si="1368"/>
        <v>2326.7320991085871</v>
      </c>
      <c r="BY424" s="645">
        <f t="shared" si="1369"/>
        <v>0</v>
      </c>
      <c r="BZ424" s="646">
        <f t="shared" si="1370"/>
        <v>0</v>
      </c>
      <c r="CA424" s="647">
        <f t="shared" si="1371"/>
        <v>16502.686819177758</v>
      </c>
      <c r="CB424" s="644">
        <f t="shared" si="1321"/>
        <v>0</v>
      </c>
      <c r="CC424" s="645">
        <f t="shared" si="1322"/>
        <v>0</v>
      </c>
      <c r="CD424" s="646">
        <f t="shared" si="1372"/>
        <v>0</v>
      </c>
      <c r="CE424" s="647">
        <f t="shared" si="1323"/>
        <v>16502.686819177758</v>
      </c>
      <c r="CF424" s="644">
        <f t="shared" si="1373"/>
        <v>0</v>
      </c>
      <c r="CG424" s="645">
        <f t="shared" si="1374"/>
        <v>0</v>
      </c>
      <c r="CH424" s="646">
        <f t="shared" si="1375"/>
        <v>0</v>
      </c>
      <c r="CI424" s="647">
        <f t="shared" si="1324"/>
        <v>16502.686819177758</v>
      </c>
      <c r="CJ424" s="644">
        <f t="shared" si="1376"/>
        <v>0</v>
      </c>
      <c r="CK424" s="645">
        <f t="shared" si="1377"/>
        <v>0</v>
      </c>
      <c r="CL424" s="646">
        <f t="shared" si="1378"/>
        <v>0</v>
      </c>
      <c r="CM424" s="647">
        <f t="shared" si="1325"/>
        <v>16502.686819177758</v>
      </c>
      <c r="CN424" s="644">
        <f t="shared" si="1379"/>
        <v>0</v>
      </c>
      <c r="CO424" s="645">
        <f t="shared" si="1380"/>
        <v>0</v>
      </c>
      <c r="CP424" s="646">
        <f t="shared" si="1381"/>
        <v>0</v>
      </c>
      <c r="CQ424" s="647">
        <f t="shared" si="1326"/>
        <v>16502.686819177758</v>
      </c>
      <c r="CS424" s="644">
        <f t="shared" si="1382"/>
        <v>11718.524851631477</v>
      </c>
      <c r="CT424" s="645">
        <f t="shared" si="1306"/>
        <v>14167.879552877719</v>
      </c>
      <c r="CU424" s="644">
        <f t="shared" si="1383"/>
        <v>2449.3547012462423</v>
      </c>
      <c r="CV424" s="645">
        <f t="shared" si="1384"/>
        <v>0</v>
      </c>
      <c r="CW424" s="646">
        <f t="shared" si="1385"/>
        <v>0</v>
      </c>
      <c r="CX424" s="647">
        <f t="shared" si="1386"/>
        <v>14167.879552877719</v>
      </c>
      <c r="CY424" s="644">
        <f t="shared" si="1327"/>
        <v>0</v>
      </c>
      <c r="CZ424" s="645">
        <f t="shared" si="1328"/>
        <v>0</v>
      </c>
      <c r="DA424" s="646">
        <f t="shared" si="1387"/>
        <v>0</v>
      </c>
      <c r="DB424" s="647">
        <f t="shared" si="1329"/>
        <v>14167.879552877719</v>
      </c>
      <c r="DC424" s="644">
        <f t="shared" si="1388"/>
        <v>0</v>
      </c>
      <c r="DD424" s="645">
        <f t="shared" si="1389"/>
        <v>0</v>
      </c>
      <c r="DE424" s="646">
        <f t="shared" si="1390"/>
        <v>0</v>
      </c>
      <c r="DF424" s="647">
        <f t="shared" si="1330"/>
        <v>14167.879552877719</v>
      </c>
      <c r="DG424" s="644">
        <f t="shared" si="1391"/>
        <v>0</v>
      </c>
      <c r="DH424" s="645">
        <f t="shared" si="1392"/>
        <v>0</v>
      </c>
      <c r="DI424" s="646">
        <f t="shared" si="1393"/>
        <v>0</v>
      </c>
      <c r="DJ424" s="647">
        <f t="shared" si="1331"/>
        <v>14167.879552877719</v>
      </c>
      <c r="DK424" s="644">
        <f t="shared" si="1394"/>
        <v>0</v>
      </c>
      <c r="DL424" s="645">
        <f t="shared" si="1395"/>
        <v>0</v>
      </c>
      <c r="DM424" s="646">
        <f t="shared" si="1396"/>
        <v>0</v>
      </c>
      <c r="DN424" s="647">
        <f t="shared" si="1332"/>
        <v>14167.879552877719</v>
      </c>
      <c r="DR424" s="827">
        <f t="shared" si="1283"/>
        <v>82062.927358025801</v>
      </c>
      <c r="DV424" s="828">
        <f>IFERROR(VLOOKUP($B424,'Afton FY16 Final'!$A$5:$BV$587,'Afton FY16 Final'!$BV$587,0),0)</f>
        <v>83324.797223695583</v>
      </c>
      <c r="DX424" s="636">
        <f t="shared" si="1274"/>
        <v>0</v>
      </c>
      <c r="DY424" s="637">
        <f t="shared" si="1275"/>
        <v>0</v>
      </c>
      <c r="DZ424" s="637">
        <f t="shared" si="1276"/>
        <v>0</v>
      </c>
      <c r="EA424" s="643">
        <f t="shared" si="1277"/>
        <v>0</v>
      </c>
      <c r="EB424" s="637">
        <f t="shared" si="1284"/>
        <v>0</v>
      </c>
      <c r="EC424" s="637">
        <f t="shared" si="1285"/>
        <v>0</v>
      </c>
      <c r="ED424" s="637">
        <f t="shared" si="1286"/>
        <v>0</v>
      </c>
      <c r="EE424" s="643">
        <f t="shared" si="1287"/>
        <v>0</v>
      </c>
      <c r="EF424" s="637">
        <f t="shared" si="1288"/>
        <v>0</v>
      </c>
      <c r="EG424" s="637">
        <f t="shared" si="1289"/>
        <v>0</v>
      </c>
      <c r="EH424" s="637">
        <f t="shared" si="1290"/>
        <v>0</v>
      </c>
      <c r="EI424" s="643">
        <f t="shared" si="1291"/>
        <v>0</v>
      </c>
      <c r="EJ424" s="637">
        <f t="shared" si="1292"/>
        <v>0</v>
      </c>
      <c r="EK424" s="637">
        <f t="shared" si="1293"/>
        <v>0</v>
      </c>
      <c r="EL424" s="637">
        <f t="shared" si="1294"/>
        <v>0</v>
      </c>
      <c r="EM424" s="643">
        <f t="shared" si="1295"/>
        <v>0</v>
      </c>
      <c r="EN424" s="637">
        <f t="shared" si="1296"/>
        <v>0</v>
      </c>
      <c r="EO424" s="637">
        <f t="shared" si="1297"/>
        <v>0</v>
      </c>
      <c r="EP424" s="637">
        <f t="shared" si="1298"/>
        <v>0</v>
      </c>
      <c r="EQ424" s="643">
        <f t="shared" si="1299"/>
        <v>0</v>
      </c>
      <c r="ER424" s="637">
        <f t="shared" si="1300"/>
        <v>0</v>
      </c>
      <c r="ES424" s="637">
        <f t="shared" si="1301"/>
        <v>0</v>
      </c>
      <c r="ET424" s="637">
        <f t="shared" si="1302"/>
        <v>0</v>
      </c>
      <c r="EU424" s="643">
        <f t="shared" si="1278"/>
        <v>0</v>
      </c>
      <c r="EV424" s="643">
        <f t="shared" si="1279"/>
        <v>0</v>
      </c>
      <c r="EX424" s="829">
        <f t="shared" si="1280"/>
        <v>0</v>
      </c>
      <c r="EY424" s="638">
        <f t="shared" si="1281"/>
        <v>82062.927358025801</v>
      </c>
      <c r="FC424" s="830" t="str">
        <f t="shared" si="1303"/>
        <v>Y</v>
      </c>
      <c r="FE424" s="830" t="str">
        <f>IFERROR(VLOOKUP($B424,'Historical Conc Grant Elig'!$B$3:$J$707,'HH &amp; SI'!FE$2,0),"N")</f>
        <v>Y</v>
      </c>
      <c r="FF424" s="830" t="str">
        <f>IFERROR(VLOOKUP($B424,'Historical Conc Grant Elig'!$B$3:$J$707,'HH &amp; SI'!FF$2,0),"N")</f>
        <v>Y</v>
      </c>
      <c r="FG424" s="830" t="str">
        <f>IFERROR(VLOOKUP($B424,'Historical Conc Grant Elig'!$B$3:$J$707,'HH &amp; SI'!FG$2,0),"N")</f>
        <v>Y</v>
      </c>
      <c r="FH424" s="830" t="str">
        <f>IFERROR(VLOOKUP($B424,'Historical Conc Grant Elig'!$B$3:$J$707,'HH &amp; SI'!FH$2,0),"N")</f>
        <v>Y</v>
      </c>
      <c r="FI424" s="830" t="str">
        <f>IFERROR(VLOOKUP($B424,'Historical Conc Grant Elig'!$B$3:$J$707,'HH &amp; SI'!FI$2,0),"N")</f>
        <v>Y</v>
      </c>
      <c r="FJ424" s="830" t="str">
        <f>IFERROR(VLOOKUP($B424,'Historical Conc Grant Elig'!$B$3:$J$707,'HH &amp; SI'!FJ$2,0),"N")</f>
        <v>Y</v>
      </c>
      <c r="FK424" s="830" t="str">
        <f>IFERROR(VLOOKUP($B424,'Historical Conc Grant Elig'!$B$3:$J$707,'HH &amp; SI'!FK$2,0),"N")</f>
        <v>Y</v>
      </c>
      <c r="FL424" s="957" t="str">
        <f>IFERROR(VLOOKUP($B424,'Historical Conc Grant Elig'!$B$3:$J$707,'HH &amp; SI'!FL$2,0),"N")</f>
        <v>Y</v>
      </c>
    </row>
    <row r="425" spans="2:168" x14ac:dyDescent="0.25">
      <c r="B425" s="634">
        <v>118708000</v>
      </c>
      <c r="C425" s="635" t="str">
        <f>VLOOKUP($B425,'Afton Update'!$A$5:$CR$582,'Afton Update'!D$589,0)</f>
        <v>Leading Edge Academy Maricopa</v>
      </c>
      <c r="D425" s="636">
        <f>IFERROR(VLOOKUP($B425,'Afton FY16 Final'!$A$5:$BV$587,'Afton FY16 Final'!AQ$587,0),0)</f>
        <v>48888.894528121666</v>
      </c>
      <c r="E425" s="637">
        <f>IFERROR(VLOOKUP($B425,'Afton FY16 Final'!$A$5:$BV$587,'Afton FY16 Final'!AR$587,0),0)</f>
        <v>11508.059238213827</v>
      </c>
      <c r="F425" s="637">
        <f>IFERROR(VLOOKUP($B425,'Afton FY16 Final'!$A$5:$BV$587,'Afton FY16 Final'!AS$587,0),0)</f>
        <v>19694.33630611323</v>
      </c>
      <c r="G425" s="637">
        <f>IFERROR(VLOOKUP($B425,'Afton FY16 Final'!$A$5:$BV$587,'Afton FY16 Final'!AT$587,0),0)</f>
        <v>16206.511580429707</v>
      </c>
      <c r="H425" s="638">
        <f>IFERROR(VLOOKUP($B425,'Afton FY16 Final'!$A$5:$BV$587,'Afton FY16 Final'!AU$587,0),0)</f>
        <v>96297.801652878436</v>
      </c>
      <c r="I425" s="639" t="str">
        <f>VLOOKUP($B425,'Afton Update'!$A$5:$CR$582,'Afton Update'!BT$589,0)</f>
        <v>Y</v>
      </c>
      <c r="J425" s="640" t="str">
        <f>VLOOKUP($B425,'Afton Update'!$A$5:$CR$582,'Afton Update'!BU$589,0)</f>
        <v>Y</v>
      </c>
      <c r="K425" s="640" t="str">
        <f>VLOOKUP($B425,'Afton Update'!$A$5:$CR$582,'Afton Update'!BV$589,0)</f>
        <v>Y</v>
      </c>
      <c r="L425" s="641" t="str">
        <f>VLOOKUP($B425,'Afton Update'!$A$5:$CR$582,'Afton Update'!BW$589,0)</f>
        <v>Y</v>
      </c>
      <c r="N425" s="642">
        <f>VLOOKUP($B425,'Afton Update'!$A$5:$CR$582,'Afton Update'!CB$589,0)</f>
        <v>0.9</v>
      </c>
      <c r="P425" s="636">
        <f>VLOOKUP($B425,'Afton Update'!$A$5:$CR$582,'Afton Update'!AH$589,0)</f>
        <v>100073.75391003306</v>
      </c>
      <c r="Q425" s="637">
        <f>VLOOKUP($B425,'Afton Update'!$A$5:$CR$582,'Afton Update'!AI$589,0)</f>
        <v>25333.434722208887</v>
      </c>
      <c r="R425" s="637">
        <f>VLOOKUP($B425,'Afton Update'!$A$5:$CR$582,'Afton Update'!AJ$589,0)</f>
        <v>42645.997116208084</v>
      </c>
      <c r="S425" s="637">
        <f>VLOOKUP($B425,'Afton Update'!$A$5:$CR$582,'Afton Update'!AK$589,0)</f>
        <v>35253.228928658027</v>
      </c>
      <c r="T425" s="643">
        <f t="shared" si="1307"/>
        <v>203306.41467710806</v>
      </c>
      <c r="V425" s="636">
        <f t="shared" si="1333"/>
        <v>98708.682952462856</v>
      </c>
      <c r="W425" s="637">
        <f t="shared" si="1334"/>
        <v>24499.044003909945</v>
      </c>
      <c r="X425" s="637">
        <f t="shared" si="1335"/>
        <v>42258.148422936181</v>
      </c>
      <c r="Y425" s="637">
        <f t="shared" si="1336"/>
        <v>34864.801804917865</v>
      </c>
      <c r="Z425" s="643">
        <f t="shared" si="1337"/>
        <v>200330.67718422686</v>
      </c>
      <c r="AB425" s="644">
        <f t="shared" si="1308"/>
        <v>100073.75391003306</v>
      </c>
      <c r="AC425" s="645">
        <f t="shared" si="1304"/>
        <v>44000.005075309498</v>
      </c>
      <c r="AD425" s="644">
        <f t="shared" si="1338"/>
        <v>0</v>
      </c>
      <c r="AE425" s="645">
        <f t="shared" si="1339"/>
        <v>100073.75391003306</v>
      </c>
      <c r="AF425" s="646">
        <f t="shared" si="1340"/>
        <v>-1240.489383139045</v>
      </c>
      <c r="AG425" s="647">
        <f t="shared" si="1341"/>
        <v>98833.26452689401</v>
      </c>
      <c r="AH425" s="644">
        <f t="shared" si="1309"/>
        <v>0</v>
      </c>
      <c r="AI425" s="645">
        <f t="shared" si="1310"/>
        <v>98833.26452689401</v>
      </c>
      <c r="AJ425" s="646">
        <f t="shared" si="1342"/>
        <v>-124.5022038927212</v>
      </c>
      <c r="AK425" s="647">
        <f t="shared" si="1311"/>
        <v>98708.762323001283</v>
      </c>
      <c r="AL425" s="644">
        <f t="shared" si="1343"/>
        <v>0</v>
      </c>
      <c r="AM425" s="645">
        <f t="shared" si="1344"/>
        <v>98708.762323001283</v>
      </c>
      <c r="AN425" s="646">
        <f t="shared" si="1345"/>
        <v>-7.9370538426859344E-2</v>
      </c>
      <c r="AO425" s="647">
        <f t="shared" si="1312"/>
        <v>98708.682952462856</v>
      </c>
      <c r="AP425" s="644">
        <f t="shared" si="1346"/>
        <v>0</v>
      </c>
      <c r="AQ425" s="645">
        <f t="shared" si="1347"/>
        <v>98708.682952462856</v>
      </c>
      <c r="AR425" s="646">
        <f t="shared" si="1348"/>
        <v>0</v>
      </c>
      <c r="AS425" s="647">
        <f t="shared" si="1313"/>
        <v>98708.682952462856</v>
      </c>
      <c r="AT425" s="644">
        <f t="shared" si="1349"/>
        <v>0</v>
      </c>
      <c r="AU425" s="645">
        <f t="shared" si="1350"/>
        <v>98708.682952462856</v>
      </c>
      <c r="AV425" s="646">
        <f t="shared" si="1351"/>
        <v>0</v>
      </c>
      <c r="AW425" s="647">
        <f t="shared" si="1314"/>
        <v>98708.682952462856</v>
      </c>
      <c r="AY425" s="644">
        <f t="shared" si="1352"/>
        <v>25333.434722208887</v>
      </c>
      <c r="AZ425" s="645">
        <f t="shared" si="1282"/>
        <v>10357.253314392445</v>
      </c>
      <c r="BA425" s="644">
        <f t="shared" si="1353"/>
        <v>0</v>
      </c>
      <c r="BB425" s="645">
        <f t="shared" si="1354"/>
        <v>25333.434722208887</v>
      </c>
      <c r="BC425" s="646">
        <f t="shared" si="1355"/>
        <v>-182.18011202153997</v>
      </c>
      <c r="BD425" s="647">
        <f t="shared" si="1356"/>
        <v>25151.254610187349</v>
      </c>
      <c r="BE425" s="644">
        <f t="shared" si="1315"/>
        <v>0</v>
      </c>
      <c r="BF425" s="645">
        <f t="shared" si="1316"/>
        <v>25151.254610187349</v>
      </c>
      <c r="BG425" s="646">
        <f t="shared" si="1357"/>
        <v>-599.08238802087624</v>
      </c>
      <c r="BH425" s="647">
        <f t="shared" si="1317"/>
        <v>24552.172222166471</v>
      </c>
      <c r="BI425" s="644">
        <f t="shared" si="1358"/>
        <v>0</v>
      </c>
      <c r="BJ425" s="645">
        <f t="shared" si="1359"/>
        <v>24552.172222166471</v>
      </c>
      <c r="BK425" s="646">
        <f t="shared" si="1360"/>
        <v>-52.007267384565893</v>
      </c>
      <c r="BL425" s="647">
        <f t="shared" si="1318"/>
        <v>24500.164954781907</v>
      </c>
      <c r="BM425" s="644">
        <f t="shared" si="1361"/>
        <v>0</v>
      </c>
      <c r="BN425" s="645">
        <f t="shared" si="1362"/>
        <v>24500.164954781907</v>
      </c>
      <c r="BO425" s="646">
        <f t="shared" si="1363"/>
        <v>-1.1209508719624368</v>
      </c>
      <c r="BP425" s="647">
        <f t="shared" si="1319"/>
        <v>24499.044003909945</v>
      </c>
      <c r="BQ425" s="644">
        <f t="shared" si="1364"/>
        <v>0</v>
      </c>
      <c r="BR425" s="645">
        <f t="shared" si="1365"/>
        <v>24499.044003909945</v>
      </c>
      <c r="BS425" s="646">
        <f t="shared" si="1366"/>
        <v>0</v>
      </c>
      <c r="BT425" s="647">
        <f t="shared" si="1320"/>
        <v>24499.044003909945</v>
      </c>
      <c r="BU425" s="662">
        <f>VLOOKUP(B425,'Afton Update'!$A$5:$AR$582,'Afton Update'!$AO$589,0)-BT425</f>
        <v>0</v>
      </c>
      <c r="BV425" s="644">
        <f t="shared" si="1367"/>
        <v>42645.997116208084</v>
      </c>
      <c r="BW425" s="645">
        <f t="shared" si="1305"/>
        <v>17724.902675501908</v>
      </c>
      <c r="BX425" s="644">
        <f t="shared" si="1368"/>
        <v>0</v>
      </c>
      <c r="BY425" s="645">
        <f t="shared" si="1369"/>
        <v>42645.997116208084</v>
      </c>
      <c r="BZ425" s="646">
        <f t="shared" si="1370"/>
        <v>-374.3084507607191</v>
      </c>
      <c r="CA425" s="647">
        <f t="shared" si="1371"/>
        <v>42271.688665447364</v>
      </c>
      <c r="CB425" s="644">
        <f t="shared" si="1321"/>
        <v>0</v>
      </c>
      <c r="CC425" s="645">
        <f t="shared" si="1322"/>
        <v>42271.688665447364</v>
      </c>
      <c r="CD425" s="646">
        <f t="shared" si="1372"/>
        <v>-13.540242511181466</v>
      </c>
      <c r="CE425" s="647">
        <f t="shared" si="1323"/>
        <v>42258.148422936181</v>
      </c>
      <c r="CF425" s="644">
        <f t="shared" si="1373"/>
        <v>0</v>
      </c>
      <c r="CG425" s="645">
        <f t="shared" si="1374"/>
        <v>42258.148422936181</v>
      </c>
      <c r="CH425" s="646">
        <f t="shared" si="1375"/>
        <v>0</v>
      </c>
      <c r="CI425" s="647">
        <f t="shared" si="1324"/>
        <v>42258.148422936181</v>
      </c>
      <c r="CJ425" s="644">
        <f t="shared" si="1376"/>
        <v>0</v>
      </c>
      <c r="CK425" s="645">
        <f t="shared" si="1377"/>
        <v>42258.148422936181</v>
      </c>
      <c r="CL425" s="646">
        <f t="shared" si="1378"/>
        <v>0</v>
      </c>
      <c r="CM425" s="647">
        <f t="shared" si="1325"/>
        <v>42258.148422936181</v>
      </c>
      <c r="CN425" s="644">
        <f t="shared" si="1379"/>
        <v>0</v>
      </c>
      <c r="CO425" s="645">
        <f t="shared" si="1380"/>
        <v>42258.148422936181</v>
      </c>
      <c r="CP425" s="646">
        <f t="shared" si="1381"/>
        <v>0</v>
      </c>
      <c r="CQ425" s="647">
        <f t="shared" si="1326"/>
        <v>42258.148422936181</v>
      </c>
      <c r="CS425" s="644">
        <f t="shared" si="1382"/>
        <v>35253.228928658027</v>
      </c>
      <c r="CT425" s="645">
        <f t="shared" si="1306"/>
        <v>14585.860422386737</v>
      </c>
      <c r="CU425" s="644">
        <f t="shared" si="1383"/>
        <v>0</v>
      </c>
      <c r="CV425" s="645">
        <f t="shared" si="1384"/>
        <v>35253.228928658027</v>
      </c>
      <c r="CW425" s="646">
        <f t="shared" si="1385"/>
        <v>-361.01298660384009</v>
      </c>
      <c r="CX425" s="647">
        <f t="shared" si="1386"/>
        <v>34892.215942054187</v>
      </c>
      <c r="CY425" s="644">
        <f t="shared" si="1327"/>
        <v>0</v>
      </c>
      <c r="CZ425" s="645">
        <f t="shared" si="1328"/>
        <v>34892.215942054187</v>
      </c>
      <c r="DA425" s="646">
        <f t="shared" si="1387"/>
        <v>-27.390516227627494</v>
      </c>
      <c r="DB425" s="647">
        <f t="shared" si="1329"/>
        <v>34864.825425826559</v>
      </c>
      <c r="DC425" s="644">
        <f t="shared" si="1388"/>
        <v>0</v>
      </c>
      <c r="DD425" s="645">
        <f t="shared" si="1389"/>
        <v>34864.825425826559</v>
      </c>
      <c r="DE425" s="646">
        <f t="shared" si="1390"/>
        <v>-2.3620908692599918E-2</v>
      </c>
      <c r="DF425" s="647">
        <f t="shared" si="1330"/>
        <v>34864.801804917865</v>
      </c>
      <c r="DG425" s="644">
        <f t="shared" si="1391"/>
        <v>0</v>
      </c>
      <c r="DH425" s="645">
        <f t="shared" si="1392"/>
        <v>34864.801804917865</v>
      </c>
      <c r="DI425" s="646">
        <f t="shared" si="1393"/>
        <v>0</v>
      </c>
      <c r="DJ425" s="647">
        <f t="shared" si="1331"/>
        <v>34864.801804917865</v>
      </c>
      <c r="DK425" s="644">
        <f t="shared" si="1394"/>
        <v>0</v>
      </c>
      <c r="DL425" s="645">
        <f t="shared" si="1395"/>
        <v>34864.801804917865</v>
      </c>
      <c r="DM425" s="646">
        <f t="shared" si="1396"/>
        <v>0</v>
      </c>
      <c r="DN425" s="647">
        <f t="shared" si="1332"/>
        <v>34864.801804917865</v>
      </c>
      <c r="DR425" s="827">
        <f t="shared" si="1283"/>
        <v>200330.67718422686</v>
      </c>
      <c r="DV425" s="828">
        <f>IFERROR(VLOOKUP($B425,'Afton FY16 Final'!$A$5:$BV$587,'Afton FY16 Final'!$BV$587,0),0)</f>
        <v>90430.341890727432</v>
      </c>
      <c r="DX425" s="636">
        <f t="shared" si="1274"/>
        <v>200330.67718422686</v>
      </c>
      <c r="DY425" s="637">
        <f t="shared" si="1275"/>
        <v>109900.33529349943</v>
      </c>
      <c r="DZ425" s="637">
        <f t="shared" si="1276"/>
        <v>90430.341890727432</v>
      </c>
      <c r="EA425" s="643">
        <f t="shared" si="1277"/>
        <v>189675.33034424848</v>
      </c>
      <c r="EB425" s="637">
        <f t="shared" si="1284"/>
        <v>0</v>
      </c>
      <c r="EC425" s="637">
        <f t="shared" si="1285"/>
        <v>189675.33034424848</v>
      </c>
      <c r="ED425" s="637">
        <f t="shared" si="1286"/>
        <v>189109.72983424462</v>
      </c>
      <c r="EE425" s="643">
        <f t="shared" si="1287"/>
        <v>189109.72983424462</v>
      </c>
      <c r="EF425" s="637">
        <f t="shared" si="1288"/>
        <v>0</v>
      </c>
      <c r="EG425" s="637">
        <f t="shared" si="1289"/>
        <v>189109.72983424462</v>
      </c>
      <c r="EH425" s="637">
        <f t="shared" si="1290"/>
        <v>189109.53473711785</v>
      </c>
      <c r="EI425" s="643">
        <f t="shared" si="1291"/>
        <v>189109.53473711785</v>
      </c>
      <c r="EJ425" s="637">
        <f t="shared" si="1292"/>
        <v>0</v>
      </c>
      <c r="EK425" s="637">
        <f t="shared" si="1293"/>
        <v>189109.53473711785</v>
      </c>
      <c r="EL425" s="637">
        <f t="shared" si="1294"/>
        <v>189109.53473711759</v>
      </c>
      <c r="EM425" s="643">
        <f t="shared" si="1295"/>
        <v>189109.53473711759</v>
      </c>
      <c r="EN425" s="637">
        <f t="shared" si="1296"/>
        <v>0</v>
      </c>
      <c r="EO425" s="637">
        <f t="shared" si="1297"/>
        <v>189109.53473711759</v>
      </c>
      <c r="EP425" s="637">
        <f t="shared" si="1298"/>
        <v>189109.53473711788</v>
      </c>
      <c r="EQ425" s="643">
        <f t="shared" si="1299"/>
        <v>189109.53473711788</v>
      </c>
      <c r="ER425" s="637">
        <f t="shared" si="1300"/>
        <v>0</v>
      </c>
      <c r="ES425" s="637">
        <f t="shared" si="1301"/>
        <v>189109.53473711788</v>
      </c>
      <c r="ET425" s="637">
        <f t="shared" si="1302"/>
        <v>189109.53473711759</v>
      </c>
      <c r="EU425" s="643">
        <f t="shared" si="1278"/>
        <v>189109.53473711759</v>
      </c>
      <c r="EV425" s="643">
        <f t="shared" si="1279"/>
        <v>0</v>
      </c>
      <c r="EX425" s="829">
        <f t="shared" si="1280"/>
        <v>11221.142447109276</v>
      </c>
      <c r="EY425" s="638">
        <f t="shared" si="1281"/>
        <v>189109.53473711759</v>
      </c>
      <c r="FC425" s="830" t="str">
        <f t="shared" si="1303"/>
        <v>Y</v>
      </c>
      <c r="FE425" s="830" t="str">
        <f>IFERROR(VLOOKUP($B425,'Historical Conc Grant Elig'!$B$3:$J$707,'HH &amp; SI'!FE$2,0),"N")</f>
        <v>N</v>
      </c>
      <c r="FF425" s="830" t="str">
        <f>IFERROR(VLOOKUP($B425,'Historical Conc Grant Elig'!$B$3:$J$707,'HH &amp; SI'!FF$2,0),"N")</f>
        <v>N</v>
      </c>
      <c r="FG425" s="830" t="str">
        <f>IFERROR(VLOOKUP($B425,'Historical Conc Grant Elig'!$B$3:$J$707,'HH &amp; SI'!FG$2,0),"N")</f>
        <v>Y</v>
      </c>
      <c r="FH425" s="830" t="str">
        <f>IFERROR(VLOOKUP($B425,'Historical Conc Grant Elig'!$B$3:$J$707,'HH &amp; SI'!FH$2,0),"N")</f>
        <v>Y</v>
      </c>
      <c r="FI425" s="830" t="str">
        <f>IFERROR(VLOOKUP($B425,'Historical Conc Grant Elig'!$B$3:$J$707,'HH &amp; SI'!FI$2,0),"N")</f>
        <v>Y</v>
      </c>
      <c r="FJ425" s="830" t="str">
        <f>IFERROR(VLOOKUP($B425,'Historical Conc Grant Elig'!$B$3:$J$707,'HH &amp; SI'!FJ$2,0),"N")</f>
        <v>Y</v>
      </c>
      <c r="FK425" s="830" t="str">
        <f>IFERROR(VLOOKUP($B425,'Historical Conc Grant Elig'!$B$3:$J$707,'HH &amp; SI'!FK$2,0),"N")</f>
        <v>Y</v>
      </c>
      <c r="FL425" s="957" t="str">
        <f>IFERROR(VLOOKUP($B425,'Historical Conc Grant Elig'!$B$3:$J$707,'HH &amp; SI'!FL$2,0),"N")</f>
        <v>Y</v>
      </c>
    </row>
    <row r="426" spans="2:168" x14ac:dyDescent="0.25">
      <c r="B426" s="634">
        <v>118711000</v>
      </c>
      <c r="C426" s="635" t="str">
        <f>VLOOKUP($B426,'Afton Update'!$A$5:$CR$582,'Afton Update'!D$589,0)</f>
        <v>Athlos Traditional Academy</v>
      </c>
      <c r="D426" s="636">
        <f>IFERROR(VLOOKUP($B426,'Afton FY16 Final'!$A$5:$BV$587,'Afton FY16 Final'!AQ$587,0),0)</f>
        <v>44156.168188709256</v>
      </c>
      <c r="E426" s="637">
        <f>IFERROR(VLOOKUP($B426,'Afton FY16 Final'!$A$5:$BV$587,'Afton FY16 Final'!AR$587,0),0)</f>
        <v>0</v>
      </c>
      <c r="F426" s="637">
        <f>IFERROR(VLOOKUP($B426,'Afton FY16 Final'!$A$5:$BV$587,'Afton FY16 Final'!AS$587,0),0)</f>
        <v>17676.235814569922</v>
      </c>
      <c r="G426" s="637">
        <f>IFERROR(VLOOKUP($B426,'Afton FY16 Final'!$A$5:$BV$587,'Afton FY16 Final'!AT$587,0),0)</f>
        <v>15175.394329004655</v>
      </c>
      <c r="H426" s="638">
        <f>IFERROR(VLOOKUP($B426,'Afton FY16 Final'!$A$5:$BV$587,'Afton FY16 Final'!AU$587,0),0)</f>
        <v>77007.798332283841</v>
      </c>
      <c r="I426" s="639" t="str">
        <f>VLOOKUP($B426,'Afton Update'!$A$5:$CR$582,'Afton Update'!BT$589,0)</f>
        <v>Y</v>
      </c>
      <c r="J426" s="640" t="str">
        <f>VLOOKUP($B426,'Afton Update'!$A$5:$CR$582,'Afton Update'!BU$589,0)</f>
        <v>N</v>
      </c>
      <c r="K426" s="640" t="str">
        <f>VLOOKUP($B426,'Afton Update'!$A$5:$CR$582,'Afton Update'!BV$589,0)</f>
        <v>Y</v>
      </c>
      <c r="L426" s="641" t="str">
        <f>VLOOKUP($B426,'Afton Update'!$A$5:$CR$582,'Afton Update'!BW$589,0)</f>
        <v>Y</v>
      </c>
      <c r="N426" s="642">
        <f>VLOOKUP($B426,'Afton Update'!$A$5:$CR$582,'Afton Update'!CB$589,0)</f>
        <v>0.85</v>
      </c>
      <c r="P426" s="636">
        <f>VLOOKUP($B426,'Afton Update'!$A$5:$CR$582,'Afton Update'!AH$589,0)</f>
        <v>31879.450691561779</v>
      </c>
      <c r="Q426" s="637" t="str">
        <f>VLOOKUP($B426,'Afton Update'!$A$5:$CR$582,'Afton Update'!AI$589,0)</f>
        <v/>
      </c>
      <c r="R426" s="637">
        <f>VLOOKUP($B426,'Afton Update'!$A$5:$CR$582,'Afton Update'!AJ$589,0)</f>
        <v>13585.289940066288</v>
      </c>
      <c r="S426" s="637">
        <f>VLOOKUP($B426,'Afton Update'!$A$5:$CR$582,'Afton Update'!AK$589,0)</f>
        <v>11230.252982813499</v>
      </c>
      <c r="T426" s="643">
        <f t="shared" si="1307"/>
        <v>56694.99361444157</v>
      </c>
      <c r="V426" s="636">
        <f t="shared" si="1333"/>
        <v>37532.742960402866</v>
      </c>
      <c r="W426" s="637">
        <f t="shared" si="1334"/>
        <v>0</v>
      </c>
      <c r="X426" s="637">
        <f t="shared" si="1335"/>
        <v>15024.800442384432</v>
      </c>
      <c r="Y426" s="637">
        <f t="shared" si="1336"/>
        <v>12899.085179653957</v>
      </c>
      <c r="Z426" s="643">
        <f t="shared" si="1337"/>
        <v>65456.628582441255</v>
      </c>
      <c r="AB426" s="644">
        <f t="shared" si="1308"/>
        <v>31879.450691561779</v>
      </c>
      <c r="AC426" s="645">
        <f t="shared" si="1304"/>
        <v>37532.742960402866</v>
      </c>
      <c r="AD426" s="644">
        <f t="shared" si="1338"/>
        <v>5653.2922688410872</v>
      </c>
      <c r="AE426" s="645">
        <f t="shared" si="1339"/>
        <v>0</v>
      </c>
      <c r="AF426" s="646">
        <f t="shared" si="1340"/>
        <v>0</v>
      </c>
      <c r="AG426" s="647">
        <f t="shared" si="1341"/>
        <v>37532.742960402866</v>
      </c>
      <c r="AH426" s="644">
        <f t="shared" si="1309"/>
        <v>0</v>
      </c>
      <c r="AI426" s="645">
        <f t="shared" si="1310"/>
        <v>0</v>
      </c>
      <c r="AJ426" s="646">
        <f t="shared" si="1342"/>
        <v>0</v>
      </c>
      <c r="AK426" s="647">
        <f t="shared" si="1311"/>
        <v>37532.742960402866</v>
      </c>
      <c r="AL426" s="644">
        <f t="shared" si="1343"/>
        <v>0</v>
      </c>
      <c r="AM426" s="645">
        <f t="shared" si="1344"/>
        <v>0</v>
      </c>
      <c r="AN426" s="646">
        <f t="shared" si="1345"/>
        <v>0</v>
      </c>
      <c r="AO426" s="647">
        <f t="shared" si="1312"/>
        <v>37532.742960402866</v>
      </c>
      <c r="AP426" s="644">
        <f t="shared" si="1346"/>
        <v>0</v>
      </c>
      <c r="AQ426" s="645">
        <f t="shared" si="1347"/>
        <v>0</v>
      </c>
      <c r="AR426" s="646">
        <f t="shared" si="1348"/>
        <v>0</v>
      </c>
      <c r="AS426" s="647">
        <f t="shared" si="1313"/>
        <v>37532.742960402866</v>
      </c>
      <c r="AT426" s="644">
        <f t="shared" si="1349"/>
        <v>0</v>
      </c>
      <c r="AU426" s="645">
        <f t="shared" si="1350"/>
        <v>0</v>
      </c>
      <c r="AV426" s="646">
        <f t="shared" si="1351"/>
        <v>0</v>
      </c>
      <c r="AW426" s="647">
        <f t="shared" si="1314"/>
        <v>37532.742960402866</v>
      </c>
      <c r="AY426" s="644">
        <f t="shared" si="1352"/>
        <v>0</v>
      </c>
      <c r="AZ426" s="645">
        <f t="shared" si="1282"/>
        <v>0</v>
      </c>
      <c r="BA426" s="644">
        <f t="shared" si="1353"/>
        <v>0</v>
      </c>
      <c r="BB426" s="645">
        <f t="shared" si="1354"/>
        <v>0</v>
      </c>
      <c r="BC426" s="646">
        <f t="shared" si="1355"/>
        <v>0</v>
      </c>
      <c r="BD426" s="647">
        <f t="shared" si="1356"/>
        <v>0</v>
      </c>
      <c r="BE426" s="644">
        <f t="shared" si="1315"/>
        <v>0</v>
      </c>
      <c r="BF426" s="645">
        <f t="shared" si="1316"/>
        <v>0</v>
      </c>
      <c r="BG426" s="646">
        <f t="shared" si="1357"/>
        <v>0</v>
      </c>
      <c r="BH426" s="647">
        <f t="shared" si="1317"/>
        <v>0</v>
      </c>
      <c r="BI426" s="644">
        <f t="shared" si="1358"/>
        <v>0</v>
      </c>
      <c r="BJ426" s="645">
        <f t="shared" si="1359"/>
        <v>0</v>
      </c>
      <c r="BK426" s="646">
        <f t="shared" si="1360"/>
        <v>0</v>
      </c>
      <c r="BL426" s="647">
        <f t="shared" si="1318"/>
        <v>0</v>
      </c>
      <c r="BM426" s="644">
        <f t="shared" si="1361"/>
        <v>0</v>
      </c>
      <c r="BN426" s="645">
        <f t="shared" si="1362"/>
        <v>0</v>
      </c>
      <c r="BO426" s="646">
        <f t="shared" si="1363"/>
        <v>0</v>
      </c>
      <c r="BP426" s="647">
        <f t="shared" si="1319"/>
        <v>0</v>
      </c>
      <c r="BQ426" s="644">
        <f t="shared" si="1364"/>
        <v>0</v>
      </c>
      <c r="BR426" s="645">
        <f t="shared" si="1365"/>
        <v>0</v>
      </c>
      <c r="BS426" s="646">
        <f t="shared" si="1366"/>
        <v>0</v>
      </c>
      <c r="BT426" s="647">
        <f t="shared" si="1320"/>
        <v>0</v>
      </c>
      <c r="BU426" s="662">
        <f>VLOOKUP(B426,'Afton Update'!$A$5:$AR$582,'Afton Update'!$AO$589,0)-BT426</f>
        <v>0</v>
      </c>
      <c r="BV426" s="644">
        <f t="shared" si="1367"/>
        <v>13585.289940066288</v>
      </c>
      <c r="BW426" s="645">
        <f t="shared" si="1305"/>
        <v>15024.800442384432</v>
      </c>
      <c r="BX426" s="644">
        <f t="shared" si="1368"/>
        <v>1439.5105023181441</v>
      </c>
      <c r="BY426" s="645">
        <f t="shared" si="1369"/>
        <v>0</v>
      </c>
      <c r="BZ426" s="646">
        <f t="shared" si="1370"/>
        <v>0</v>
      </c>
      <c r="CA426" s="647">
        <f t="shared" si="1371"/>
        <v>15024.800442384432</v>
      </c>
      <c r="CB426" s="644">
        <f t="shared" si="1321"/>
        <v>0</v>
      </c>
      <c r="CC426" s="645">
        <f t="shared" si="1322"/>
        <v>0</v>
      </c>
      <c r="CD426" s="646">
        <f t="shared" si="1372"/>
        <v>0</v>
      </c>
      <c r="CE426" s="647">
        <f t="shared" si="1323"/>
        <v>15024.800442384432</v>
      </c>
      <c r="CF426" s="644">
        <f t="shared" si="1373"/>
        <v>0</v>
      </c>
      <c r="CG426" s="645">
        <f t="shared" si="1374"/>
        <v>0</v>
      </c>
      <c r="CH426" s="646">
        <f t="shared" si="1375"/>
        <v>0</v>
      </c>
      <c r="CI426" s="647">
        <f t="shared" si="1324"/>
        <v>15024.800442384432</v>
      </c>
      <c r="CJ426" s="644">
        <f t="shared" si="1376"/>
        <v>0</v>
      </c>
      <c r="CK426" s="645">
        <f t="shared" si="1377"/>
        <v>0</v>
      </c>
      <c r="CL426" s="646">
        <f t="shared" si="1378"/>
        <v>0</v>
      </c>
      <c r="CM426" s="647">
        <f t="shared" si="1325"/>
        <v>15024.800442384432</v>
      </c>
      <c r="CN426" s="644">
        <f t="shared" si="1379"/>
        <v>0</v>
      </c>
      <c r="CO426" s="645">
        <f t="shared" si="1380"/>
        <v>0</v>
      </c>
      <c r="CP426" s="646">
        <f t="shared" si="1381"/>
        <v>0</v>
      </c>
      <c r="CQ426" s="647">
        <f t="shared" si="1326"/>
        <v>15024.800442384432</v>
      </c>
      <c r="CS426" s="644">
        <f t="shared" si="1382"/>
        <v>11230.252982813499</v>
      </c>
      <c r="CT426" s="645">
        <f t="shared" si="1306"/>
        <v>12899.085179653957</v>
      </c>
      <c r="CU426" s="644">
        <f t="shared" si="1383"/>
        <v>1668.832196840458</v>
      </c>
      <c r="CV426" s="645">
        <f t="shared" si="1384"/>
        <v>0</v>
      </c>
      <c r="CW426" s="646">
        <f t="shared" si="1385"/>
        <v>0</v>
      </c>
      <c r="CX426" s="647">
        <f t="shared" si="1386"/>
        <v>12899.085179653957</v>
      </c>
      <c r="CY426" s="644">
        <f t="shared" si="1327"/>
        <v>0</v>
      </c>
      <c r="CZ426" s="645">
        <f t="shared" si="1328"/>
        <v>0</v>
      </c>
      <c r="DA426" s="646">
        <f t="shared" si="1387"/>
        <v>0</v>
      </c>
      <c r="DB426" s="647">
        <f t="shared" si="1329"/>
        <v>12899.085179653957</v>
      </c>
      <c r="DC426" s="644">
        <f t="shared" si="1388"/>
        <v>0</v>
      </c>
      <c r="DD426" s="645">
        <f t="shared" si="1389"/>
        <v>0</v>
      </c>
      <c r="DE426" s="646">
        <f t="shared" si="1390"/>
        <v>0</v>
      </c>
      <c r="DF426" s="647">
        <f t="shared" si="1330"/>
        <v>12899.085179653957</v>
      </c>
      <c r="DG426" s="644">
        <f t="shared" si="1391"/>
        <v>0</v>
      </c>
      <c r="DH426" s="645">
        <f t="shared" si="1392"/>
        <v>0</v>
      </c>
      <c r="DI426" s="646">
        <f t="shared" si="1393"/>
        <v>0</v>
      </c>
      <c r="DJ426" s="647">
        <f t="shared" si="1331"/>
        <v>12899.085179653957</v>
      </c>
      <c r="DK426" s="644">
        <f t="shared" si="1394"/>
        <v>0</v>
      </c>
      <c r="DL426" s="645">
        <f t="shared" si="1395"/>
        <v>0</v>
      </c>
      <c r="DM426" s="646">
        <f t="shared" si="1396"/>
        <v>0</v>
      </c>
      <c r="DN426" s="647">
        <f t="shared" si="1332"/>
        <v>12899.085179653957</v>
      </c>
      <c r="DR426" s="827">
        <f t="shared" si="1283"/>
        <v>65456.628582441255</v>
      </c>
      <c r="DV426" s="828">
        <f>IFERROR(VLOOKUP($B426,'Afton FY16 Final'!$A$5:$BV$587,'Afton FY16 Final'!$BV$587,0),0)</f>
        <v>75491.514795874333</v>
      </c>
      <c r="DX426" s="636">
        <f t="shared" si="1274"/>
        <v>0</v>
      </c>
      <c r="DY426" s="637">
        <f t="shared" si="1275"/>
        <v>0</v>
      </c>
      <c r="DZ426" s="637">
        <f t="shared" si="1276"/>
        <v>0</v>
      </c>
      <c r="EA426" s="643">
        <f t="shared" si="1277"/>
        <v>0</v>
      </c>
      <c r="EB426" s="637">
        <f t="shared" si="1284"/>
        <v>0</v>
      </c>
      <c r="EC426" s="637">
        <f t="shared" si="1285"/>
        <v>0</v>
      </c>
      <c r="ED426" s="637">
        <f t="shared" si="1286"/>
        <v>0</v>
      </c>
      <c r="EE426" s="643">
        <f t="shared" si="1287"/>
        <v>0</v>
      </c>
      <c r="EF426" s="637">
        <f t="shared" si="1288"/>
        <v>0</v>
      </c>
      <c r="EG426" s="637">
        <f t="shared" si="1289"/>
        <v>0</v>
      </c>
      <c r="EH426" s="637">
        <f t="shared" si="1290"/>
        <v>0</v>
      </c>
      <c r="EI426" s="643">
        <f t="shared" si="1291"/>
        <v>0</v>
      </c>
      <c r="EJ426" s="637">
        <f t="shared" si="1292"/>
        <v>0</v>
      </c>
      <c r="EK426" s="637">
        <f t="shared" si="1293"/>
        <v>0</v>
      </c>
      <c r="EL426" s="637">
        <f t="shared" si="1294"/>
        <v>0</v>
      </c>
      <c r="EM426" s="643">
        <f t="shared" si="1295"/>
        <v>0</v>
      </c>
      <c r="EN426" s="637">
        <f t="shared" si="1296"/>
        <v>0</v>
      </c>
      <c r="EO426" s="637">
        <f t="shared" si="1297"/>
        <v>0</v>
      </c>
      <c r="EP426" s="637">
        <f t="shared" si="1298"/>
        <v>0</v>
      </c>
      <c r="EQ426" s="643">
        <f t="shared" si="1299"/>
        <v>0</v>
      </c>
      <c r="ER426" s="637">
        <f t="shared" si="1300"/>
        <v>0</v>
      </c>
      <c r="ES426" s="637">
        <f t="shared" si="1301"/>
        <v>0</v>
      </c>
      <c r="ET426" s="637">
        <f t="shared" si="1302"/>
        <v>0</v>
      </c>
      <c r="EU426" s="643">
        <f t="shared" si="1278"/>
        <v>0</v>
      </c>
      <c r="EV426" s="643">
        <f t="shared" si="1279"/>
        <v>0</v>
      </c>
      <c r="EX426" s="829">
        <f t="shared" si="1280"/>
        <v>0</v>
      </c>
      <c r="EY426" s="638">
        <f t="shared" si="1281"/>
        <v>65456.628582441255</v>
      </c>
      <c r="FC426" s="830" t="str">
        <f t="shared" si="1303"/>
        <v>N</v>
      </c>
      <c r="FE426" s="830" t="str">
        <f>IFERROR(VLOOKUP($B426,'Historical Conc Grant Elig'!$B$3:$J$707,'HH &amp; SI'!FE$2,0),"N")</f>
        <v>N</v>
      </c>
      <c r="FF426" s="830" t="str">
        <f>IFERROR(VLOOKUP($B426,'Historical Conc Grant Elig'!$B$3:$J$707,'HH &amp; SI'!FF$2,0),"N")</f>
        <v>N</v>
      </c>
      <c r="FG426" s="830" t="str">
        <f>IFERROR(VLOOKUP($B426,'Historical Conc Grant Elig'!$B$3:$J$707,'HH &amp; SI'!FG$2,0),"N")</f>
        <v>N</v>
      </c>
      <c r="FH426" s="830" t="str">
        <f>IFERROR(VLOOKUP($B426,'Historical Conc Grant Elig'!$B$3:$J$707,'HH &amp; SI'!FH$2,0),"N")</f>
        <v>N</v>
      </c>
      <c r="FI426" s="830" t="str">
        <f>IFERROR(VLOOKUP($B426,'Historical Conc Grant Elig'!$B$3:$J$707,'HH &amp; SI'!FI$2,0),"N")</f>
        <v>N</v>
      </c>
      <c r="FJ426" s="830" t="str">
        <f>IFERROR(VLOOKUP($B426,'Historical Conc Grant Elig'!$B$3:$J$707,'HH &amp; SI'!FJ$2,0),"N")</f>
        <v>N</v>
      </c>
      <c r="FK426" s="830" t="str">
        <f>IFERROR(VLOOKUP($B426,'Historical Conc Grant Elig'!$B$3:$J$707,'HH &amp; SI'!FK$2,0),"N")</f>
        <v>N</v>
      </c>
      <c r="FL426" s="957" t="str">
        <f>IFERROR(VLOOKUP($B426,'Historical Conc Grant Elig'!$B$3:$J$707,'HH &amp; SI'!FL$2,0),"N")</f>
        <v>N</v>
      </c>
    </row>
    <row r="427" spans="2:168" x14ac:dyDescent="0.25">
      <c r="B427" s="634">
        <v>118712000</v>
      </c>
      <c r="C427" s="635" t="str">
        <f>VLOOKUP($B427,'Afton Update'!$A$5:$CR$582,'Afton Update'!D$589,0)</f>
        <v>Legacy Traditional School-Avondale</v>
      </c>
      <c r="D427" s="636">
        <f>IFERROR(VLOOKUP($B427,'Afton FY16 Final'!$A$5:$BV$587,'Afton FY16 Final'!AQ$587,0),0)</f>
        <v>93865.631928614268</v>
      </c>
      <c r="E427" s="637">
        <f>IFERROR(VLOOKUP($B427,'Afton FY16 Final'!$A$5:$BV$587,'Afton FY16 Final'!AR$587,0),0)</f>
        <v>20924.511204278653</v>
      </c>
      <c r="F427" s="637">
        <f>IFERROR(VLOOKUP($B427,'Afton FY16 Final'!$A$5:$BV$587,'Afton FY16 Final'!AS$587,0),0)</f>
        <v>37812.704513590768</v>
      </c>
      <c r="G427" s="637">
        <f>IFERROR(VLOOKUP($B427,'Afton FY16 Final'!$A$5:$BV$587,'Afton FY16 Final'!AT$587,0),0)</f>
        <v>33796.312116100424</v>
      </c>
      <c r="H427" s="638">
        <f>IFERROR(VLOOKUP($B427,'Afton FY16 Final'!$A$5:$BV$587,'Afton FY16 Final'!AU$587,0),0)</f>
        <v>186399.15976258411</v>
      </c>
      <c r="I427" s="639" t="str">
        <f>VLOOKUP($B427,'Afton Update'!$A$5:$CR$582,'Afton Update'!BT$589,0)</f>
        <v>Y</v>
      </c>
      <c r="J427" s="640" t="str">
        <f>VLOOKUP($B427,'Afton Update'!$A$5:$CR$582,'Afton Update'!BU$589,0)</f>
        <v>Y</v>
      </c>
      <c r="K427" s="640" t="str">
        <f>VLOOKUP($B427,'Afton Update'!$A$5:$CR$582,'Afton Update'!BV$589,0)</f>
        <v>Y</v>
      </c>
      <c r="L427" s="641" t="str">
        <f>VLOOKUP($B427,'Afton Update'!$A$5:$CR$582,'Afton Update'!BW$589,0)</f>
        <v>Y</v>
      </c>
      <c r="N427" s="642">
        <f>VLOOKUP($B427,'Afton Update'!$A$5:$CR$582,'Afton Update'!CB$589,0)</f>
        <v>0.9</v>
      </c>
      <c r="P427" s="636">
        <f>VLOOKUP($B427,'Afton Update'!$A$5:$CR$582,'Afton Update'!AH$589,0)</f>
        <v>132230.41721630408</v>
      </c>
      <c r="Q427" s="637">
        <f>VLOOKUP($B427,'Afton Update'!$A$5:$CR$582,'Afton Update'!AI$589,0)</f>
        <v>33019.842566929532</v>
      </c>
      <c r="R427" s="637">
        <f>VLOOKUP($B427,'Afton Update'!$A$5:$CR$582,'Afton Update'!AJ$589,0)</f>
        <v>56349.420012274946</v>
      </c>
      <c r="S427" s="637">
        <f>VLOOKUP($B427,'Afton Update'!$A$5:$CR$582,'Afton Update'!AK$589,0)</f>
        <v>46581.136285235123</v>
      </c>
      <c r="T427" s="643">
        <f t="shared" si="1307"/>
        <v>268180.81608074368</v>
      </c>
      <c r="V427" s="636">
        <f t="shared" si="1333"/>
        <v>130426.70849951466</v>
      </c>
      <c r="W427" s="637">
        <f t="shared" si="1334"/>
        <v>31932.289676464781</v>
      </c>
      <c r="X427" s="637">
        <f t="shared" si="1335"/>
        <v>55836.944038062487</v>
      </c>
      <c r="Y427" s="637">
        <f t="shared" si="1336"/>
        <v>46067.896013700345</v>
      </c>
      <c r="Z427" s="643">
        <f t="shared" si="1337"/>
        <v>264263.83822774229</v>
      </c>
      <c r="AB427" s="644">
        <f t="shared" si="1308"/>
        <v>132230.41721630408</v>
      </c>
      <c r="AC427" s="645">
        <f t="shared" si="1304"/>
        <v>84479.068735752837</v>
      </c>
      <c r="AD427" s="644">
        <f t="shared" si="1338"/>
        <v>0</v>
      </c>
      <c r="AE427" s="645">
        <f t="shared" si="1339"/>
        <v>132230.41721630408</v>
      </c>
      <c r="AF427" s="646">
        <f t="shared" si="1340"/>
        <v>-1639.0953899094861</v>
      </c>
      <c r="AG427" s="647">
        <f t="shared" si="1341"/>
        <v>130591.32182639459</v>
      </c>
      <c r="AH427" s="644">
        <f t="shared" si="1309"/>
        <v>0</v>
      </c>
      <c r="AI427" s="645">
        <f t="shared" si="1310"/>
        <v>130591.32182639459</v>
      </c>
      <c r="AJ427" s="646">
        <f t="shared" si="1342"/>
        <v>-164.50845223498064</v>
      </c>
      <c r="AK427" s="647">
        <f t="shared" si="1311"/>
        <v>130426.81337415961</v>
      </c>
      <c r="AL427" s="644">
        <f t="shared" si="1343"/>
        <v>0</v>
      </c>
      <c r="AM427" s="645">
        <f t="shared" si="1344"/>
        <v>130426.81337415961</v>
      </c>
      <c r="AN427" s="646">
        <f t="shared" si="1345"/>
        <v>-0.10487464495737371</v>
      </c>
      <c r="AO427" s="647">
        <f t="shared" si="1312"/>
        <v>130426.70849951466</v>
      </c>
      <c r="AP427" s="644">
        <f t="shared" si="1346"/>
        <v>0</v>
      </c>
      <c r="AQ427" s="645">
        <f t="shared" si="1347"/>
        <v>130426.70849951466</v>
      </c>
      <c r="AR427" s="646">
        <f t="shared" si="1348"/>
        <v>0</v>
      </c>
      <c r="AS427" s="647">
        <f t="shared" si="1313"/>
        <v>130426.70849951466</v>
      </c>
      <c r="AT427" s="644">
        <f t="shared" si="1349"/>
        <v>0</v>
      </c>
      <c r="AU427" s="645">
        <f t="shared" si="1350"/>
        <v>130426.70849951466</v>
      </c>
      <c r="AV427" s="646">
        <f t="shared" si="1351"/>
        <v>0</v>
      </c>
      <c r="AW427" s="647">
        <f t="shared" si="1314"/>
        <v>130426.70849951466</v>
      </c>
      <c r="AY427" s="644">
        <f t="shared" si="1352"/>
        <v>33019.842566929532</v>
      </c>
      <c r="AZ427" s="645">
        <f t="shared" si="1282"/>
        <v>18832.060083850789</v>
      </c>
      <c r="BA427" s="644">
        <f t="shared" si="1353"/>
        <v>0</v>
      </c>
      <c r="BB427" s="645">
        <f t="shared" si="1354"/>
        <v>33019.842566929532</v>
      </c>
      <c r="BC427" s="646">
        <f t="shared" si="1355"/>
        <v>-237.45531088617912</v>
      </c>
      <c r="BD427" s="647">
        <f t="shared" si="1356"/>
        <v>32782.387256043352</v>
      </c>
      <c r="BE427" s="644">
        <f t="shared" si="1315"/>
        <v>0</v>
      </c>
      <c r="BF427" s="645">
        <f t="shared" si="1316"/>
        <v>32782.387256043352</v>
      </c>
      <c r="BG427" s="646">
        <f t="shared" si="1357"/>
        <v>-780.84974872071803</v>
      </c>
      <c r="BH427" s="647">
        <f t="shared" si="1317"/>
        <v>32001.537507322635</v>
      </c>
      <c r="BI427" s="644">
        <f t="shared" si="1358"/>
        <v>0</v>
      </c>
      <c r="BJ427" s="645">
        <f t="shared" si="1359"/>
        <v>32001.537507322635</v>
      </c>
      <c r="BK427" s="646">
        <f t="shared" si="1360"/>
        <v>-67.786772705917613</v>
      </c>
      <c r="BL427" s="647">
        <f t="shared" si="1318"/>
        <v>31933.750734616719</v>
      </c>
      <c r="BM427" s="644">
        <f t="shared" si="1361"/>
        <v>0</v>
      </c>
      <c r="BN427" s="645">
        <f t="shared" si="1362"/>
        <v>31933.750734616719</v>
      </c>
      <c r="BO427" s="646">
        <f t="shared" si="1363"/>
        <v>-1.4610581519375883</v>
      </c>
      <c r="BP427" s="647">
        <f t="shared" si="1319"/>
        <v>31932.289676464781</v>
      </c>
      <c r="BQ427" s="644">
        <f t="shared" si="1364"/>
        <v>0</v>
      </c>
      <c r="BR427" s="645">
        <f t="shared" si="1365"/>
        <v>31932.289676464781</v>
      </c>
      <c r="BS427" s="646">
        <f t="shared" si="1366"/>
        <v>0</v>
      </c>
      <c r="BT427" s="647">
        <f t="shared" si="1320"/>
        <v>31932.289676464781</v>
      </c>
      <c r="BU427" s="662">
        <f>VLOOKUP(B427,'Afton Update'!$A$5:$AR$582,'Afton Update'!$AO$589,0)-BT427</f>
        <v>0</v>
      </c>
      <c r="BV427" s="644">
        <f t="shared" si="1367"/>
        <v>56349.420012274946</v>
      </c>
      <c r="BW427" s="645">
        <f t="shared" si="1305"/>
        <v>34031.434062231696</v>
      </c>
      <c r="BX427" s="644">
        <f t="shared" si="1368"/>
        <v>0</v>
      </c>
      <c r="BY427" s="645">
        <f t="shared" si="1369"/>
        <v>56349.420012274946</v>
      </c>
      <c r="BZ427" s="646">
        <f t="shared" si="1370"/>
        <v>-494.58485045114406</v>
      </c>
      <c r="CA427" s="647">
        <f t="shared" si="1371"/>
        <v>55854.835161823801</v>
      </c>
      <c r="CB427" s="644">
        <f t="shared" si="1321"/>
        <v>0</v>
      </c>
      <c r="CC427" s="645">
        <f t="shared" si="1322"/>
        <v>55854.835161823801</v>
      </c>
      <c r="CD427" s="646">
        <f t="shared" si="1372"/>
        <v>-17.891123761311796</v>
      </c>
      <c r="CE427" s="647">
        <f t="shared" si="1323"/>
        <v>55836.944038062487</v>
      </c>
      <c r="CF427" s="644">
        <f t="shared" si="1373"/>
        <v>0</v>
      </c>
      <c r="CG427" s="645">
        <f t="shared" si="1374"/>
        <v>55836.944038062487</v>
      </c>
      <c r="CH427" s="646">
        <f t="shared" si="1375"/>
        <v>0</v>
      </c>
      <c r="CI427" s="647">
        <f t="shared" si="1324"/>
        <v>55836.944038062487</v>
      </c>
      <c r="CJ427" s="644">
        <f t="shared" si="1376"/>
        <v>0</v>
      </c>
      <c r="CK427" s="645">
        <f t="shared" si="1377"/>
        <v>55836.944038062487</v>
      </c>
      <c r="CL427" s="646">
        <f t="shared" si="1378"/>
        <v>0</v>
      </c>
      <c r="CM427" s="647">
        <f t="shared" si="1325"/>
        <v>55836.944038062487</v>
      </c>
      <c r="CN427" s="644">
        <f t="shared" si="1379"/>
        <v>0</v>
      </c>
      <c r="CO427" s="645">
        <f t="shared" si="1380"/>
        <v>55836.944038062487</v>
      </c>
      <c r="CP427" s="646">
        <f t="shared" si="1381"/>
        <v>0</v>
      </c>
      <c r="CQ427" s="647">
        <f t="shared" si="1326"/>
        <v>55836.944038062487</v>
      </c>
      <c r="CS427" s="644">
        <f t="shared" si="1382"/>
        <v>46581.136285235123</v>
      </c>
      <c r="CT427" s="645">
        <f t="shared" si="1306"/>
        <v>30416.680904490382</v>
      </c>
      <c r="CU427" s="644">
        <f t="shared" si="1383"/>
        <v>0</v>
      </c>
      <c r="CV427" s="645">
        <f t="shared" si="1384"/>
        <v>46581.136285235123</v>
      </c>
      <c r="CW427" s="646">
        <f t="shared" si="1385"/>
        <v>-477.0171595845755</v>
      </c>
      <c r="CX427" s="647">
        <f t="shared" si="1386"/>
        <v>46104.119125650548</v>
      </c>
      <c r="CY427" s="644">
        <f t="shared" si="1327"/>
        <v>0</v>
      </c>
      <c r="CZ427" s="645">
        <f t="shared" si="1328"/>
        <v>46104.119125650548</v>
      </c>
      <c r="DA427" s="646">
        <f t="shared" si="1387"/>
        <v>-36.191900943430234</v>
      </c>
      <c r="DB427" s="647">
        <f t="shared" si="1329"/>
        <v>46067.92722470712</v>
      </c>
      <c r="DC427" s="644">
        <f t="shared" si="1388"/>
        <v>0</v>
      </c>
      <c r="DD427" s="645">
        <f t="shared" si="1389"/>
        <v>46067.92722470712</v>
      </c>
      <c r="DE427" s="646">
        <f t="shared" si="1390"/>
        <v>-3.1211006776648648E-2</v>
      </c>
      <c r="DF427" s="647">
        <f t="shared" si="1330"/>
        <v>46067.896013700345</v>
      </c>
      <c r="DG427" s="644">
        <f t="shared" si="1391"/>
        <v>0</v>
      </c>
      <c r="DH427" s="645">
        <f t="shared" si="1392"/>
        <v>46067.896013700345</v>
      </c>
      <c r="DI427" s="646">
        <f t="shared" si="1393"/>
        <v>0</v>
      </c>
      <c r="DJ427" s="647">
        <f t="shared" si="1331"/>
        <v>46067.896013700345</v>
      </c>
      <c r="DK427" s="644">
        <f t="shared" si="1394"/>
        <v>0</v>
      </c>
      <c r="DL427" s="645">
        <f t="shared" si="1395"/>
        <v>46067.896013700345</v>
      </c>
      <c r="DM427" s="646">
        <f t="shared" si="1396"/>
        <v>0</v>
      </c>
      <c r="DN427" s="647">
        <f t="shared" si="1332"/>
        <v>46067.896013700345</v>
      </c>
      <c r="DR427" s="827">
        <f t="shared" si="1283"/>
        <v>264263.83822774229</v>
      </c>
      <c r="DV427" s="828">
        <f>IFERROR(VLOOKUP($B427,'Afton FY16 Final'!$A$5:$BV$587,'Afton FY16 Final'!$BV$587,0),0)</f>
        <v>182728.96033772817</v>
      </c>
      <c r="DX427" s="636">
        <f t="shared" si="1274"/>
        <v>264263.83822774229</v>
      </c>
      <c r="DY427" s="637">
        <f t="shared" si="1275"/>
        <v>81534.877890014119</v>
      </c>
      <c r="DZ427" s="637">
        <f t="shared" si="1276"/>
        <v>182728.96033772817</v>
      </c>
      <c r="EA427" s="643">
        <f t="shared" si="1277"/>
        <v>250207.9637448189</v>
      </c>
      <c r="EB427" s="637">
        <f t="shared" si="1284"/>
        <v>0</v>
      </c>
      <c r="EC427" s="637">
        <f t="shared" si="1285"/>
        <v>250207.9637448189</v>
      </c>
      <c r="ED427" s="637">
        <f t="shared" si="1286"/>
        <v>249461.85853628043</v>
      </c>
      <c r="EE427" s="643">
        <f t="shared" si="1287"/>
        <v>249461.85853628043</v>
      </c>
      <c r="EF427" s="637">
        <f t="shared" si="1288"/>
        <v>0</v>
      </c>
      <c r="EG427" s="637">
        <f t="shared" si="1289"/>
        <v>249461.85853628043</v>
      </c>
      <c r="EH427" s="637">
        <f t="shared" si="1290"/>
        <v>249461.60117621822</v>
      </c>
      <c r="EI427" s="643">
        <f t="shared" si="1291"/>
        <v>249461.60117621822</v>
      </c>
      <c r="EJ427" s="637">
        <f t="shared" si="1292"/>
        <v>0</v>
      </c>
      <c r="EK427" s="637">
        <f t="shared" si="1293"/>
        <v>249461.60117621822</v>
      </c>
      <c r="EL427" s="637">
        <f t="shared" si="1294"/>
        <v>249461.60117621784</v>
      </c>
      <c r="EM427" s="643">
        <f t="shared" si="1295"/>
        <v>249461.60117621784</v>
      </c>
      <c r="EN427" s="637">
        <f t="shared" si="1296"/>
        <v>0</v>
      </c>
      <c r="EO427" s="637">
        <f t="shared" si="1297"/>
        <v>249461.60117621784</v>
      </c>
      <c r="EP427" s="637">
        <f t="shared" si="1298"/>
        <v>249461.60117621822</v>
      </c>
      <c r="EQ427" s="643">
        <f t="shared" si="1299"/>
        <v>249461.60117621822</v>
      </c>
      <c r="ER427" s="637">
        <f t="shared" si="1300"/>
        <v>0</v>
      </c>
      <c r="ES427" s="637">
        <f t="shared" si="1301"/>
        <v>249461.60117621822</v>
      </c>
      <c r="ET427" s="637">
        <f t="shared" si="1302"/>
        <v>249461.60117621784</v>
      </c>
      <c r="EU427" s="643">
        <f t="shared" si="1278"/>
        <v>249461.60117621784</v>
      </c>
      <c r="EV427" s="643">
        <f t="shared" si="1279"/>
        <v>0</v>
      </c>
      <c r="EX427" s="829">
        <f t="shared" si="1280"/>
        <v>14802.237051524455</v>
      </c>
      <c r="EY427" s="638">
        <f t="shared" si="1281"/>
        <v>249461.60117621784</v>
      </c>
      <c r="FC427" s="830" t="str">
        <f t="shared" si="1303"/>
        <v>Y</v>
      </c>
      <c r="FE427" s="830" t="str">
        <f>IFERROR(VLOOKUP($B427,'Historical Conc Grant Elig'!$B$3:$J$707,'HH &amp; SI'!FE$2,0),"N")</f>
        <v>N</v>
      </c>
      <c r="FF427" s="830" t="str">
        <f>IFERROR(VLOOKUP($B427,'Historical Conc Grant Elig'!$B$3:$J$707,'HH &amp; SI'!FF$2,0),"N")</f>
        <v>N</v>
      </c>
      <c r="FG427" s="830" t="str">
        <f>IFERROR(VLOOKUP($B427,'Historical Conc Grant Elig'!$B$3:$J$707,'HH &amp; SI'!FG$2,0),"N")</f>
        <v>N</v>
      </c>
      <c r="FH427" s="830" t="str">
        <f>IFERROR(VLOOKUP($B427,'Historical Conc Grant Elig'!$B$3:$J$707,'HH &amp; SI'!FH$2,0),"N")</f>
        <v>N</v>
      </c>
      <c r="FI427" s="830" t="str">
        <f>IFERROR(VLOOKUP($B427,'Historical Conc Grant Elig'!$B$3:$J$707,'HH &amp; SI'!FI$2,0),"N")</f>
        <v>Y</v>
      </c>
      <c r="FJ427" s="830" t="str">
        <f>IFERROR(VLOOKUP($B427,'Historical Conc Grant Elig'!$B$3:$J$707,'HH &amp; SI'!FJ$2,0),"N")</f>
        <v>Y</v>
      </c>
      <c r="FK427" s="830" t="str">
        <f>IFERROR(VLOOKUP($B427,'Historical Conc Grant Elig'!$B$3:$J$707,'HH &amp; SI'!FK$2,0),"N")</f>
        <v>Y</v>
      </c>
      <c r="FL427" s="957" t="str">
        <f>IFERROR(VLOOKUP($B427,'Historical Conc Grant Elig'!$B$3:$J$707,'HH &amp; SI'!FL$2,0),"N")</f>
        <v>Y</v>
      </c>
    </row>
    <row r="428" spans="2:168" x14ac:dyDescent="0.25">
      <c r="B428" s="634">
        <v>118713000</v>
      </c>
      <c r="C428" s="635" t="str">
        <f>VLOOKUP($B428,'Afton Update'!$A$5:$CR$582,'Afton Update'!D$589,0)</f>
        <v>Legacy Traditional School- Northwest Tucson</v>
      </c>
      <c r="D428" s="636">
        <f>IFERROR(VLOOKUP($B428,'Afton FY16 Final'!$A$5:$BV$587,'Afton FY16 Final'!AQ$587,0),0)</f>
        <v>68850.480228340297</v>
      </c>
      <c r="E428" s="637">
        <f>IFERROR(VLOOKUP($B428,'Afton FY16 Final'!$A$5:$BV$587,'Afton FY16 Final'!AR$587,0),0)</f>
        <v>0</v>
      </c>
      <c r="F428" s="637">
        <f>IFERROR(VLOOKUP($B428,'Afton FY16 Final'!$A$5:$BV$587,'Afton FY16 Final'!AS$587,0),0)</f>
        <v>27735.634555499328</v>
      </c>
      <c r="G428" s="637">
        <f>IFERROR(VLOOKUP($B428,'Afton FY16 Final'!$A$5:$BV$587,'Afton FY16 Final'!AT$587,0),0)</f>
        <v>25205.018795093089</v>
      </c>
      <c r="H428" s="638">
        <f>IFERROR(VLOOKUP($B428,'Afton FY16 Final'!$A$5:$BV$587,'Afton FY16 Final'!AU$587,0),0)</f>
        <v>121791.13357893271</v>
      </c>
      <c r="I428" s="639" t="str">
        <f>VLOOKUP($B428,'Afton Update'!$A$5:$CR$582,'Afton Update'!BT$589,0)</f>
        <v>Y</v>
      </c>
      <c r="J428" s="640" t="str">
        <f>VLOOKUP($B428,'Afton Update'!$A$5:$CR$582,'Afton Update'!BU$589,0)</f>
        <v>N</v>
      </c>
      <c r="K428" s="640" t="str">
        <f>VLOOKUP($B428,'Afton Update'!$A$5:$CR$582,'Afton Update'!BV$589,0)</f>
        <v>Y</v>
      </c>
      <c r="L428" s="641" t="str">
        <f>VLOOKUP($B428,'Afton Update'!$A$5:$CR$582,'Afton Update'!BW$589,0)</f>
        <v>Y</v>
      </c>
      <c r="N428" s="642">
        <f>VLOOKUP($B428,'Afton Update'!$A$5:$CR$582,'Afton Update'!CB$589,0)</f>
        <v>0.85</v>
      </c>
      <c r="P428" s="636">
        <f>VLOOKUP($B428,'Afton Update'!$A$5:$CR$582,'Afton Update'!AH$589,0)</f>
        <v>77065.106889166738</v>
      </c>
      <c r="Q428" s="637" t="str">
        <f>VLOOKUP($B428,'Afton Update'!$A$5:$CR$582,'Afton Update'!AI$589,0)</f>
        <v/>
      </c>
      <c r="R428" s="637">
        <f>VLOOKUP($B428,'Afton Update'!$A$5:$CR$582,'Afton Update'!AJ$589,0)</f>
        <v>32840.961768160247</v>
      </c>
      <c r="S428" s="637">
        <f>VLOOKUP($B428,'Afton Update'!$A$5:$CR$582,'Afton Update'!AK$589,0)</f>
        <v>27147.915906279592</v>
      </c>
      <c r="T428" s="643">
        <f t="shared" si="1307"/>
        <v>137053.98456360656</v>
      </c>
      <c r="V428" s="636">
        <f t="shared" si="1333"/>
        <v>76013.88881103789</v>
      </c>
      <c r="W428" s="637">
        <f t="shared" si="1334"/>
        <v>0</v>
      </c>
      <c r="X428" s="637">
        <f t="shared" si="1335"/>
        <v>32542.286043147538</v>
      </c>
      <c r="Y428" s="637">
        <f t="shared" si="1336"/>
        <v>26848.794741737307</v>
      </c>
      <c r="Z428" s="643">
        <f t="shared" si="1337"/>
        <v>135404.96959592274</v>
      </c>
      <c r="AB428" s="644">
        <f t="shared" si="1308"/>
        <v>77065.106889166738</v>
      </c>
      <c r="AC428" s="645">
        <f t="shared" si="1304"/>
        <v>58522.90819408925</v>
      </c>
      <c r="AD428" s="644">
        <f t="shared" si="1338"/>
        <v>0</v>
      </c>
      <c r="AE428" s="645">
        <f t="shared" si="1339"/>
        <v>77065.106889166738</v>
      </c>
      <c r="AF428" s="646">
        <f t="shared" si="1340"/>
        <v>-955.27991277743638</v>
      </c>
      <c r="AG428" s="647">
        <f t="shared" si="1341"/>
        <v>76109.826976389304</v>
      </c>
      <c r="AH428" s="644">
        <f t="shared" si="1309"/>
        <v>0</v>
      </c>
      <c r="AI428" s="645">
        <f t="shared" si="1310"/>
        <v>76109.826976389304</v>
      </c>
      <c r="AJ428" s="646">
        <f t="shared" si="1342"/>
        <v>-95.877043440932127</v>
      </c>
      <c r="AK428" s="647">
        <f t="shared" si="1311"/>
        <v>76013.949932948366</v>
      </c>
      <c r="AL428" s="644">
        <f t="shared" si="1343"/>
        <v>0</v>
      </c>
      <c r="AM428" s="645">
        <f t="shared" si="1344"/>
        <v>76013.949932948366</v>
      </c>
      <c r="AN428" s="646">
        <f t="shared" si="1345"/>
        <v>-6.1121910478301671E-2</v>
      </c>
      <c r="AO428" s="647">
        <f t="shared" si="1312"/>
        <v>76013.88881103789</v>
      </c>
      <c r="AP428" s="644">
        <f t="shared" si="1346"/>
        <v>0</v>
      </c>
      <c r="AQ428" s="645">
        <f t="shared" si="1347"/>
        <v>76013.88881103789</v>
      </c>
      <c r="AR428" s="646">
        <f t="shared" si="1348"/>
        <v>0</v>
      </c>
      <c r="AS428" s="647">
        <f t="shared" si="1313"/>
        <v>76013.88881103789</v>
      </c>
      <c r="AT428" s="644">
        <f t="shared" si="1349"/>
        <v>0</v>
      </c>
      <c r="AU428" s="645">
        <f t="shared" si="1350"/>
        <v>76013.88881103789</v>
      </c>
      <c r="AV428" s="646">
        <f t="shared" si="1351"/>
        <v>0</v>
      </c>
      <c r="AW428" s="647">
        <f t="shared" si="1314"/>
        <v>76013.88881103789</v>
      </c>
      <c r="AY428" s="644">
        <f t="shared" si="1352"/>
        <v>0</v>
      </c>
      <c r="AZ428" s="645">
        <f t="shared" si="1282"/>
        <v>0</v>
      </c>
      <c r="BA428" s="644">
        <f t="shared" si="1353"/>
        <v>0</v>
      </c>
      <c r="BB428" s="645">
        <f t="shared" si="1354"/>
        <v>0</v>
      </c>
      <c r="BC428" s="646">
        <f t="shared" si="1355"/>
        <v>0</v>
      </c>
      <c r="BD428" s="647">
        <f t="shared" si="1356"/>
        <v>0</v>
      </c>
      <c r="BE428" s="644">
        <f t="shared" si="1315"/>
        <v>0</v>
      </c>
      <c r="BF428" s="645">
        <f t="shared" si="1316"/>
        <v>0</v>
      </c>
      <c r="BG428" s="646">
        <f t="shared" si="1357"/>
        <v>0</v>
      </c>
      <c r="BH428" s="647">
        <f t="shared" si="1317"/>
        <v>0</v>
      </c>
      <c r="BI428" s="644">
        <f t="shared" si="1358"/>
        <v>0</v>
      </c>
      <c r="BJ428" s="645">
        <f t="shared" si="1359"/>
        <v>0</v>
      </c>
      <c r="BK428" s="646">
        <f t="shared" si="1360"/>
        <v>0</v>
      </c>
      <c r="BL428" s="647">
        <f t="shared" si="1318"/>
        <v>0</v>
      </c>
      <c r="BM428" s="644">
        <f t="shared" si="1361"/>
        <v>0</v>
      </c>
      <c r="BN428" s="645">
        <f t="shared" si="1362"/>
        <v>0</v>
      </c>
      <c r="BO428" s="646">
        <f t="shared" si="1363"/>
        <v>0</v>
      </c>
      <c r="BP428" s="647">
        <f t="shared" si="1319"/>
        <v>0</v>
      </c>
      <c r="BQ428" s="644">
        <f t="shared" si="1364"/>
        <v>0</v>
      </c>
      <c r="BR428" s="645">
        <f t="shared" si="1365"/>
        <v>0</v>
      </c>
      <c r="BS428" s="646">
        <f t="shared" si="1366"/>
        <v>0</v>
      </c>
      <c r="BT428" s="647">
        <f t="shared" si="1320"/>
        <v>0</v>
      </c>
      <c r="BU428" s="662">
        <f>VLOOKUP(B428,'Afton Update'!$A$5:$AR$582,'Afton Update'!$AO$589,0)-BT428</f>
        <v>0</v>
      </c>
      <c r="BV428" s="644">
        <f t="shared" si="1367"/>
        <v>32840.961768160247</v>
      </c>
      <c r="BW428" s="645">
        <f t="shared" si="1305"/>
        <v>23575.289372174429</v>
      </c>
      <c r="BX428" s="644">
        <f t="shared" si="1368"/>
        <v>0</v>
      </c>
      <c r="BY428" s="645">
        <f t="shared" si="1369"/>
        <v>32840.961768160247</v>
      </c>
      <c r="BZ428" s="646">
        <f t="shared" si="1370"/>
        <v>-288.24861305119094</v>
      </c>
      <c r="CA428" s="647">
        <f t="shared" si="1371"/>
        <v>32552.713155109057</v>
      </c>
      <c r="CB428" s="644">
        <f t="shared" si="1321"/>
        <v>0</v>
      </c>
      <c r="CC428" s="645">
        <f t="shared" si="1322"/>
        <v>32552.713155109057</v>
      </c>
      <c r="CD428" s="646">
        <f t="shared" si="1372"/>
        <v>-10.427111961519246</v>
      </c>
      <c r="CE428" s="647">
        <f t="shared" si="1323"/>
        <v>32542.286043147538</v>
      </c>
      <c r="CF428" s="644">
        <f t="shared" si="1373"/>
        <v>0</v>
      </c>
      <c r="CG428" s="645">
        <f t="shared" si="1374"/>
        <v>32542.286043147538</v>
      </c>
      <c r="CH428" s="646">
        <f t="shared" si="1375"/>
        <v>0</v>
      </c>
      <c r="CI428" s="647">
        <f t="shared" si="1324"/>
        <v>32542.286043147538</v>
      </c>
      <c r="CJ428" s="644">
        <f t="shared" si="1376"/>
        <v>0</v>
      </c>
      <c r="CK428" s="645">
        <f t="shared" si="1377"/>
        <v>32542.286043147538</v>
      </c>
      <c r="CL428" s="646">
        <f t="shared" si="1378"/>
        <v>0</v>
      </c>
      <c r="CM428" s="647">
        <f t="shared" si="1325"/>
        <v>32542.286043147538</v>
      </c>
      <c r="CN428" s="644">
        <f t="shared" si="1379"/>
        <v>0</v>
      </c>
      <c r="CO428" s="645">
        <f t="shared" si="1380"/>
        <v>32542.286043147538</v>
      </c>
      <c r="CP428" s="646">
        <f t="shared" si="1381"/>
        <v>0</v>
      </c>
      <c r="CQ428" s="647">
        <f t="shared" si="1326"/>
        <v>32542.286043147538</v>
      </c>
      <c r="CS428" s="644">
        <f t="shared" si="1382"/>
        <v>27147.915906279592</v>
      </c>
      <c r="CT428" s="645">
        <f t="shared" si="1306"/>
        <v>21424.265975829123</v>
      </c>
      <c r="CU428" s="644">
        <f t="shared" si="1383"/>
        <v>0</v>
      </c>
      <c r="CV428" s="645">
        <f t="shared" si="1384"/>
        <v>27147.915906279592</v>
      </c>
      <c r="CW428" s="646">
        <f t="shared" si="1385"/>
        <v>-278.01000076417608</v>
      </c>
      <c r="CX428" s="647">
        <f t="shared" si="1386"/>
        <v>26869.905905515414</v>
      </c>
      <c r="CY428" s="644">
        <f t="shared" si="1327"/>
        <v>0</v>
      </c>
      <c r="CZ428" s="645">
        <f t="shared" si="1328"/>
        <v>26869.905905515414</v>
      </c>
      <c r="DA428" s="646">
        <f t="shared" si="1387"/>
        <v>-21.092973715458292</v>
      </c>
      <c r="DB428" s="647">
        <f t="shared" si="1329"/>
        <v>26848.812931799956</v>
      </c>
      <c r="DC428" s="644">
        <f t="shared" si="1388"/>
        <v>0</v>
      </c>
      <c r="DD428" s="645">
        <f t="shared" si="1389"/>
        <v>26848.812931799956</v>
      </c>
      <c r="DE428" s="646">
        <f t="shared" si="1390"/>
        <v>-1.8190062649702986E-2</v>
      </c>
      <c r="DF428" s="647">
        <f t="shared" si="1330"/>
        <v>26848.794741737307</v>
      </c>
      <c r="DG428" s="644">
        <f t="shared" si="1391"/>
        <v>0</v>
      </c>
      <c r="DH428" s="645">
        <f t="shared" si="1392"/>
        <v>26848.794741737307</v>
      </c>
      <c r="DI428" s="646">
        <f t="shared" si="1393"/>
        <v>0</v>
      </c>
      <c r="DJ428" s="647">
        <f t="shared" si="1331"/>
        <v>26848.794741737307</v>
      </c>
      <c r="DK428" s="644">
        <f t="shared" si="1394"/>
        <v>0</v>
      </c>
      <c r="DL428" s="645">
        <f t="shared" si="1395"/>
        <v>26848.794741737307</v>
      </c>
      <c r="DM428" s="646">
        <f t="shared" si="1396"/>
        <v>0</v>
      </c>
      <c r="DN428" s="647">
        <f t="shared" si="1332"/>
        <v>26848.794741737307</v>
      </c>
      <c r="DR428" s="827">
        <f t="shared" si="1283"/>
        <v>135404.96959592274</v>
      </c>
      <c r="DV428" s="828">
        <f>IFERROR(VLOOKUP($B428,'Afton FY16 Final'!$A$5:$BV$587,'Afton FY16 Final'!$BV$587,0),0)</f>
        <v>108129.86832057164</v>
      </c>
      <c r="DX428" s="636">
        <f t="shared" si="1274"/>
        <v>135404.96959592274</v>
      </c>
      <c r="DY428" s="637">
        <f t="shared" si="1275"/>
        <v>27275.101275351102</v>
      </c>
      <c r="DZ428" s="637">
        <f t="shared" si="1276"/>
        <v>108129.86832057164</v>
      </c>
      <c r="EA428" s="643">
        <f t="shared" si="1277"/>
        <v>128202.94275120499</v>
      </c>
      <c r="EB428" s="637">
        <f t="shared" si="1284"/>
        <v>0</v>
      </c>
      <c r="EC428" s="637">
        <f t="shared" si="1285"/>
        <v>128202.94275120499</v>
      </c>
      <c r="ED428" s="637">
        <f t="shared" si="1286"/>
        <v>127820.64923062708</v>
      </c>
      <c r="EE428" s="643">
        <f t="shared" si="1287"/>
        <v>127820.64923062708</v>
      </c>
      <c r="EF428" s="637">
        <f t="shared" si="1288"/>
        <v>0</v>
      </c>
      <c r="EG428" s="637">
        <f t="shared" si="1289"/>
        <v>127820.64923062708</v>
      </c>
      <c r="EH428" s="637">
        <f t="shared" si="1290"/>
        <v>127820.5173630525</v>
      </c>
      <c r="EI428" s="643">
        <f t="shared" si="1291"/>
        <v>127820.5173630525</v>
      </c>
      <c r="EJ428" s="637">
        <f t="shared" si="1292"/>
        <v>0</v>
      </c>
      <c r="EK428" s="637">
        <f t="shared" si="1293"/>
        <v>127820.5173630525</v>
      </c>
      <c r="EL428" s="637">
        <f t="shared" si="1294"/>
        <v>127820.51736305231</v>
      </c>
      <c r="EM428" s="643">
        <f t="shared" si="1295"/>
        <v>127820.51736305231</v>
      </c>
      <c r="EN428" s="637">
        <f t="shared" si="1296"/>
        <v>0</v>
      </c>
      <c r="EO428" s="637">
        <f t="shared" si="1297"/>
        <v>127820.51736305231</v>
      </c>
      <c r="EP428" s="637">
        <f t="shared" si="1298"/>
        <v>127820.51736305251</v>
      </c>
      <c r="EQ428" s="643">
        <f t="shared" si="1299"/>
        <v>127820.51736305251</v>
      </c>
      <c r="ER428" s="637">
        <f t="shared" si="1300"/>
        <v>0</v>
      </c>
      <c r="ES428" s="637">
        <f t="shared" si="1301"/>
        <v>127820.51736305251</v>
      </c>
      <c r="ET428" s="637">
        <f t="shared" si="1302"/>
        <v>127820.51736305231</v>
      </c>
      <c r="EU428" s="643">
        <f t="shared" si="1278"/>
        <v>127820.51736305231</v>
      </c>
      <c r="EV428" s="643">
        <f t="shared" si="1279"/>
        <v>0</v>
      </c>
      <c r="EX428" s="829">
        <f t="shared" si="1280"/>
        <v>7584.4522328704334</v>
      </c>
      <c r="EY428" s="638">
        <f t="shared" si="1281"/>
        <v>127820.51736305231</v>
      </c>
      <c r="FC428" s="830" t="str">
        <f t="shared" si="1303"/>
        <v>N</v>
      </c>
      <c r="FE428" s="830" t="str">
        <f>IFERROR(VLOOKUP($B428,'Historical Conc Grant Elig'!$B$3:$J$707,'HH &amp; SI'!FE$2,0),"N")</f>
        <v>N</v>
      </c>
      <c r="FF428" s="830" t="str">
        <f>IFERROR(VLOOKUP($B428,'Historical Conc Grant Elig'!$B$3:$J$707,'HH &amp; SI'!FF$2,0),"N")</f>
        <v>N</v>
      </c>
      <c r="FG428" s="830" t="str">
        <f>IFERROR(VLOOKUP($B428,'Historical Conc Grant Elig'!$B$3:$J$707,'HH &amp; SI'!FG$2,0),"N")</f>
        <v>N</v>
      </c>
      <c r="FH428" s="830" t="str">
        <f>IFERROR(VLOOKUP($B428,'Historical Conc Grant Elig'!$B$3:$J$707,'HH &amp; SI'!FH$2,0),"N")</f>
        <v>N</v>
      </c>
      <c r="FI428" s="830" t="str">
        <f>IFERROR(VLOOKUP($B428,'Historical Conc Grant Elig'!$B$3:$J$707,'HH &amp; SI'!FI$2,0),"N")</f>
        <v>N</v>
      </c>
      <c r="FJ428" s="830" t="str">
        <f>IFERROR(VLOOKUP($B428,'Historical Conc Grant Elig'!$B$3:$J$707,'HH &amp; SI'!FJ$2,0),"N")</f>
        <v>N</v>
      </c>
      <c r="FK428" s="830" t="str">
        <f>IFERROR(VLOOKUP($B428,'Historical Conc Grant Elig'!$B$3:$J$707,'HH &amp; SI'!FK$2,0),"N")</f>
        <v>N</v>
      </c>
      <c r="FL428" s="957" t="str">
        <f>IFERROR(VLOOKUP($B428,'Historical Conc Grant Elig'!$B$3:$J$707,'HH &amp; SI'!FL$2,0),"N")</f>
        <v>N</v>
      </c>
    </row>
    <row r="429" spans="2:168" x14ac:dyDescent="0.25">
      <c r="B429" s="634">
        <v>118715000</v>
      </c>
      <c r="C429" s="635" t="str">
        <f>VLOOKUP($B429,'Afton Update'!$A$5:$CR$582,'Afton Update'!D$589,0)</f>
        <v>Legacy Traditional Charter School</v>
      </c>
      <c r="D429" s="636">
        <f>IFERROR(VLOOKUP($B429,'Afton FY16 Final'!$A$5:$BV$587,'Afton FY16 Final'!AQ$587,0),0)</f>
        <v>77048.687057610674</v>
      </c>
      <c r="E429" s="637">
        <f>IFERROR(VLOOKUP($B429,'Afton FY16 Final'!$A$5:$BV$587,'Afton FY16 Final'!AR$587,0),0)</f>
        <v>17830.752527224413</v>
      </c>
      <c r="F429" s="637">
        <f>IFERROR(VLOOKUP($B429,'Afton FY16 Final'!$A$5:$BV$587,'Afton FY16 Final'!AS$587,0),0)</f>
        <v>30843.499730612351</v>
      </c>
      <c r="G429" s="637">
        <f>IFERROR(VLOOKUP($B429,'Afton FY16 Final'!$A$5:$BV$587,'Afton FY16 Final'!AT$587,0),0)</f>
        <v>26479.748053190338</v>
      </c>
      <c r="H429" s="638">
        <f>IFERROR(VLOOKUP($B429,'Afton FY16 Final'!$A$5:$BV$587,'Afton FY16 Final'!AU$587,0),0)</f>
        <v>152202.68736863777</v>
      </c>
      <c r="I429" s="639" t="str">
        <f>VLOOKUP($B429,'Afton Update'!$A$5:$CR$582,'Afton Update'!BT$589,0)</f>
        <v>Y</v>
      </c>
      <c r="J429" s="640" t="str">
        <f>VLOOKUP($B429,'Afton Update'!$A$5:$CR$582,'Afton Update'!BU$589,0)</f>
        <v>N</v>
      </c>
      <c r="K429" s="640" t="str">
        <f>VLOOKUP($B429,'Afton Update'!$A$5:$CR$582,'Afton Update'!BV$589,0)</f>
        <v>Y</v>
      </c>
      <c r="L429" s="641" t="str">
        <f>VLOOKUP($B429,'Afton Update'!$A$5:$CR$582,'Afton Update'!BW$589,0)</f>
        <v>Y</v>
      </c>
      <c r="N429" s="642">
        <f>VLOOKUP($B429,'Afton Update'!$A$5:$CR$582,'Afton Update'!CB$589,0)</f>
        <v>0.85</v>
      </c>
      <c r="P429" s="636">
        <f>VLOOKUP($B429,'Afton Update'!$A$5:$CR$582,'Afton Update'!AH$589,0)</f>
        <v>56551.3734006835</v>
      </c>
      <c r="Q429" s="637" t="str">
        <f>VLOOKUP($B429,'Afton Update'!$A$5:$CR$582,'Afton Update'!AI$589,0)</f>
        <v/>
      </c>
      <c r="R429" s="637">
        <f>VLOOKUP($B429,'Afton Update'!$A$5:$CR$582,'Afton Update'!AJ$589,0)</f>
        <v>24099.123024117587</v>
      </c>
      <c r="S429" s="637">
        <f>VLOOKUP($B429,'Afton Update'!$A$5:$CR$582,'Afton Update'!AK$589,0)</f>
        <v>19921.492247773509</v>
      </c>
      <c r="T429" s="643">
        <f t="shared" si="1307"/>
        <v>100571.9886725746</v>
      </c>
      <c r="V429" s="636">
        <f t="shared" si="1333"/>
        <v>65491.383998969068</v>
      </c>
      <c r="W429" s="637">
        <f t="shared" si="1334"/>
        <v>15156.13964814075</v>
      </c>
      <c r="X429" s="637">
        <f t="shared" si="1335"/>
        <v>26216.974771020497</v>
      </c>
      <c r="Y429" s="637">
        <f t="shared" si="1336"/>
        <v>22507.785845211787</v>
      </c>
      <c r="Z429" s="643">
        <f t="shared" si="1337"/>
        <v>129372.2842633421</v>
      </c>
      <c r="AB429" s="644">
        <f t="shared" si="1308"/>
        <v>56551.3734006835</v>
      </c>
      <c r="AC429" s="645">
        <f t="shared" si="1304"/>
        <v>65491.383998969068</v>
      </c>
      <c r="AD429" s="644">
        <f t="shared" si="1338"/>
        <v>8940.0105982855675</v>
      </c>
      <c r="AE429" s="645">
        <f t="shared" si="1339"/>
        <v>0</v>
      </c>
      <c r="AF429" s="646">
        <f t="shared" si="1340"/>
        <v>0</v>
      </c>
      <c r="AG429" s="647">
        <f t="shared" si="1341"/>
        <v>65491.383998969068</v>
      </c>
      <c r="AH429" s="644">
        <f t="shared" si="1309"/>
        <v>0</v>
      </c>
      <c r="AI429" s="645">
        <f t="shared" si="1310"/>
        <v>0</v>
      </c>
      <c r="AJ429" s="646">
        <f t="shared" si="1342"/>
        <v>0</v>
      </c>
      <c r="AK429" s="647">
        <f t="shared" si="1311"/>
        <v>65491.383998969068</v>
      </c>
      <c r="AL429" s="644">
        <f t="shared" si="1343"/>
        <v>0</v>
      </c>
      <c r="AM429" s="645">
        <f t="shared" si="1344"/>
        <v>0</v>
      </c>
      <c r="AN429" s="646">
        <f t="shared" si="1345"/>
        <v>0</v>
      </c>
      <c r="AO429" s="647">
        <f t="shared" si="1312"/>
        <v>65491.383998969068</v>
      </c>
      <c r="AP429" s="644">
        <f t="shared" si="1346"/>
        <v>0</v>
      </c>
      <c r="AQ429" s="645">
        <f t="shared" si="1347"/>
        <v>0</v>
      </c>
      <c r="AR429" s="646">
        <f t="shared" si="1348"/>
        <v>0</v>
      </c>
      <c r="AS429" s="647">
        <f t="shared" si="1313"/>
        <v>65491.383998969068</v>
      </c>
      <c r="AT429" s="644">
        <f t="shared" si="1349"/>
        <v>0</v>
      </c>
      <c r="AU429" s="645">
        <f t="shared" si="1350"/>
        <v>0</v>
      </c>
      <c r="AV429" s="646">
        <f t="shared" si="1351"/>
        <v>0</v>
      </c>
      <c r="AW429" s="647">
        <f t="shared" si="1314"/>
        <v>65491.383998969068</v>
      </c>
      <c r="AY429" s="644">
        <f t="shared" si="1352"/>
        <v>0</v>
      </c>
      <c r="AZ429" s="645">
        <f t="shared" si="1282"/>
        <v>15156.13964814075</v>
      </c>
      <c r="BA429" s="644">
        <f t="shared" si="1353"/>
        <v>0</v>
      </c>
      <c r="BB429" s="645">
        <f t="shared" si="1354"/>
        <v>0</v>
      </c>
      <c r="BC429" s="646">
        <f t="shared" si="1355"/>
        <v>0</v>
      </c>
      <c r="BD429" s="647">
        <f t="shared" si="1356"/>
        <v>0</v>
      </c>
      <c r="BE429" s="644">
        <f t="shared" si="1315"/>
        <v>-15156.13964814075</v>
      </c>
      <c r="BF429" s="645">
        <f t="shared" si="1316"/>
        <v>0</v>
      </c>
      <c r="BG429" s="646">
        <f t="shared" si="1357"/>
        <v>0</v>
      </c>
      <c r="BH429" s="647">
        <f t="shared" si="1317"/>
        <v>15156.13964814075</v>
      </c>
      <c r="BI429" s="644">
        <f t="shared" si="1358"/>
        <v>0</v>
      </c>
      <c r="BJ429" s="645">
        <f t="shared" si="1359"/>
        <v>0</v>
      </c>
      <c r="BK429" s="646">
        <f t="shared" si="1360"/>
        <v>0</v>
      </c>
      <c r="BL429" s="647">
        <f t="shared" si="1318"/>
        <v>15156.13964814075</v>
      </c>
      <c r="BM429" s="644">
        <f t="shared" si="1361"/>
        <v>0</v>
      </c>
      <c r="BN429" s="645">
        <f t="shared" si="1362"/>
        <v>0</v>
      </c>
      <c r="BO429" s="646">
        <f t="shared" si="1363"/>
        <v>0</v>
      </c>
      <c r="BP429" s="647">
        <f t="shared" si="1319"/>
        <v>15156.13964814075</v>
      </c>
      <c r="BQ429" s="644">
        <f t="shared" si="1364"/>
        <v>0</v>
      </c>
      <c r="BR429" s="645">
        <f t="shared" si="1365"/>
        <v>0</v>
      </c>
      <c r="BS429" s="646">
        <f t="shared" si="1366"/>
        <v>0</v>
      </c>
      <c r="BT429" s="647">
        <f t="shared" si="1320"/>
        <v>15156.13964814075</v>
      </c>
      <c r="BU429" s="662">
        <f>VLOOKUP(B429,'Afton Update'!$A$5:$AR$582,'Afton Update'!$AO$589,0)-BT429</f>
        <v>0</v>
      </c>
      <c r="BV429" s="644">
        <f t="shared" si="1367"/>
        <v>24099.123024117587</v>
      </c>
      <c r="BW429" s="645">
        <f t="shared" si="1305"/>
        <v>26216.974771020497</v>
      </c>
      <c r="BX429" s="644">
        <f t="shared" si="1368"/>
        <v>2117.8517469029102</v>
      </c>
      <c r="BY429" s="645">
        <f t="shared" si="1369"/>
        <v>0</v>
      </c>
      <c r="BZ429" s="646">
        <f t="shared" si="1370"/>
        <v>0</v>
      </c>
      <c r="CA429" s="647">
        <f t="shared" si="1371"/>
        <v>26216.974771020497</v>
      </c>
      <c r="CB429" s="644">
        <f t="shared" si="1321"/>
        <v>0</v>
      </c>
      <c r="CC429" s="645">
        <f t="shared" si="1322"/>
        <v>0</v>
      </c>
      <c r="CD429" s="646">
        <f t="shared" si="1372"/>
        <v>0</v>
      </c>
      <c r="CE429" s="647">
        <f t="shared" si="1323"/>
        <v>26216.974771020497</v>
      </c>
      <c r="CF429" s="644">
        <f t="shared" si="1373"/>
        <v>0</v>
      </c>
      <c r="CG429" s="645">
        <f t="shared" si="1374"/>
        <v>0</v>
      </c>
      <c r="CH429" s="646">
        <f t="shared" si="1375"/>
        <v>0</v>
      </c>
      <c r="CI429" s="647">
        <f t="shared" si="1324"/>
        <v>26216.974771020497</v>
      </c>
      <c r="CJ429" s="644">
        <f t="shared" si="1376"/>
        <v>0</v>
      </c>
      <c r="CK429" s="645">
        <f t="shared" si="1377"/>
        <v>0</v>
      </c>
      <c r="CL429" s="646">
        <f t="shared" si="1378"/>
        <v>0</v>
      </c>
      <c r="CM429" s="647">
        <f t="shared" si="1325"/>
        <v>26216.974771020497</v>
      </c>
      <c r="CN429" s="644">
        <f t="shared" si="1379"/>
        <v>0</v>
      </c>
      <c r="CO429" s="645">
        <f t="shared" si="1380"/>
        <v>0</v>
      </c>
      <c r="CP429" s="646">
        <f t="shared" si="1381"/>
        <v>0</v>
      </c>
      <c r="CQ429" s="647">
        <f t="shared" si="1326"/>
        <v>26216.974771020497</v>
      </c>
      <c r="CS429" s="644">
        <f t="shared" si="1382"/>
        <v>19921.492247773509</v>
      </c>
      <c r="CT429" s="645">
        <f t="shared" si="1306"/>
        <v>22507.785845211787</v>
      </c>
      <c r="CU429" s="644">
        <f t="shared" si="1383"/>
        <v>2586.2935974382781</v>
      </c>
      <c r="CV429" s="645">
        <f t="shared" si="1384"/>
        <v>0</v>
      </c>
      <c r="CW429" s="646">
        <f t="shared" si="1385"/>
        <v>0</v>
      </c>
      <c r="CX429" s="647">
        <f t="shared" si="1386"/>
        <v>22507.785845211787</v>
      </c>
      <c r="CY429" s="644">
        <f t="shared" si="1327"/>
        <v>0</v>
      </c>
      <c r="CZ429" s="645">
        <f t="shared" si="1328"/>
        <v>0</v>
      </c>
      <c r="DA429" s="646">
        <f t="shared" si="1387"/>
        <v>0</v>
      </c>
      <c r="DB429" s="647">
        <f t="shared" si="1329"/>
        <v>22507.785845211787</v>
      </c>
      <c r="DC429" s="644">
        <f t="shared" si="1388"/>
        <v>0</v>
      </c>
      <c r="DD429" s="645">
        <f t="shared" si="1389"/>
        <v>0</v>
      </c>
      <c r="DE429" s="646">
        <f t="shared" si="1390"/>
        <v>0</v>
      </c>
      <c r="DF429" s="647">
        <f t="shared" si="1330"/>
        <v>22507.785845211787</v>
      </c>
      <c r="DG429" s="644">
        <f t="shared" si="1391"/>
        <v>0</v>
      </c>
      <c r="DH429" s="645">
        <f t="shared" si="1392"/>
        <v>0</v>
      </c>
      <c r="DI429" s="646">
        <f t="shared" si="1393"/>
        <v>0</v>
      </c>
      <c r="DJ429" s="647">
        <f t="shared" si="1331"/>
        <v>22507.785845211787</v>
      </c>
      <c r="DK429" s="644">
        <f t="shared" si="1394"/>
        <v>0</v>
      </c>
      <c r="DL429" s="645">
        <f t="shared" si="1395"/>
        <v>0</v>
      </c>
      <c r="DM429" s="646">
        <f t="shared" si="1396"/>
        <v>0</v>
      </c>
      <c r="DN429" s="647">
        <f t="shared" si="1332"/>
        <v>22507.785845211787</v>
      </c>
      <c r="DR429" s="827">
        <f t="shared" si="1283"/>
        <v>129372.2842633421</v>
      </c>
      <c r="DV429" s="828">
        <f>IFERROR(VLOOKUP($B429,'Afton FY16 Final'!$A$5:$BV$587,'Afton FY16 Final'!$BV$587,0),0)</f>
        <v>149205.81647955539</v>
      </c>
      <c r="DX429" s="636">
        <f t="shared" si="1274"/>
        <v>0</v>
      </c>
      <c r="DY429" s="637">
        <f t="shared" si="1275"/>
        <v>0</v>
      </c>
      <c r="DZ429" s="637">
        <f t="shared" si="1276"/>
        <v>0</v>
      </c>
      <c r="EA429" s="643">
        <f t="shared" si="1277"/>
        <v>0</v>
      </c>
      <c r="EB429" s="637">
        <f t="shared" si="1284"/>
        <v>0</v>
      </c>
      <c r="EC429" s="637">
        <f t="shared" si="1285"/>
        <v>0</v>
      </c>
      <c r="ED429" s="637">
        <f t="shared" si="1286"/>
        <v>0</v>
      </c>
      <c r="EE429" s="643">
        <f t="shared" si="1287"/>
        <v>0</v>
      </c>
      <c r="EF429" s="637">
        <f t="shared" si="1288"/>
        <v>0</v>
      </c>
      <c r="EG429" s="637">
        <f t="shared" si="1289"/>
        <v>0</v>
      </c>
      <c r="EH429" s="637">
        <f t="shared" si="1290"/>
        <v>0</v>
      </c>
      <c r="EI429" s="643">
        <f t="shared" si="1291"/>
        <v>0</v>
      </c>
      <c r="EJ429" s="637">
        <f t="shared" si="1292"/>
        <v>0</v>
      </c>
      <c r="EK429" s="637">
        <f t="shared" si="1293"/>
        <v>0</v>
      </c>
      <c r="EL429" s="637">
        <f t="shared" si="1294"/>
        <v>0</v>
      </c>
      <c r="EM429" s="643">
        <f t="shared" si="1295"/>
        <v>0</v>
      </c>
      <c r="EN429" s="637">
        <f t="shared" si="1296"/>
        <v>0</v>
      </c>
      <c r="EO429" s="637">
        <f t="shared" si="1297"/>
        <v>0</v>
      </c>
      <c r="EP429" s="637">
        <f t="shared" si="1298"/>
        <v>0</v>
      </c>
      <c r="EQ429" s="643">
        <f t="shared" si="1299"/>
        <v>0</v>
      </c>
      <c r="ER429" s="637">
        <f t="shared" si="1300"/>
        <v>0</v>
      </c>
      <c r="ES429" s="637">
        <f t="shared" si="1301"/>
        <v>0</v>
      </c>
      <c r="ET429" s="637">
        <f t="shared" si="1302"/>
        <v>0</v>
      </c>
      <c r="EU429" s="643">
        <f t="shared" si="1278"/>
        <v>0</v>
      </c>
      <c r="EV429" s="643">
        <f t="shared" si="1279"/>
        <v>0</v>
      </c>
      <c r="EX429" s="829">
        <f t="shared" si="1280"/>
        <v>0</v>
      </c>
      <c r="EY429" s="638">
        <f t="shared" si="1281"/>
        <v>129372.2842633421</v>
      </c>
      <c r="FC429" s="830" t="str">
        <f t="shared" si="1303"/>
        <v>Y</v>
      </c>
      <c r="FE429" s="830" t="str">
        <f>IFERROR(VLOOKUP($B429,'Historical Conc Grant Elig'!$B$3:$J$707,'HH &amp; SI'!FE$2,0),"N")</f>
        <v>N</v>
      </c>
      <c r="FF429" s="830" t="str">
        <f>IFERROR(VLOOKUP($B429,'Historical Conc Grant Elig'!$B$3:$J$707,'HH &amp; SI'!FF$2,0),"N")</f>
        <v>N</v>
      </c>
      <c r="FG429" s="830" t="str">
        <f>IFERROR(VLOOKUP($B429,'Historical Conc Grant Elig'!$B$3:$J$707,'HH &amp; SI'!FG$2,0),"N")</f>
        <v>N</v>
      </c>
      <c r="FH429" s="830" t="str">
        <f>IFERROR(VLOOKUP($B429,'Historical Conc Grant Elig'!$B$3:$J$707,'HH &amp; SI'!FH$2,0),"N")</f>
        <v>N</v>
      </c>
      <c r="FI429" s="830" t="str">
        <f>IFERROR(VLOOKUP($B429,'Historical Conc Grant Elig'!$B$3:$J$707,'HH &amp; SI'!FI$2,0),"N")</f>
        <v>N</v>
      </c>
      <c r="FJ429" s="830" t="str">
        <f>IFERROR(VLOOKUP($B429,'Historical Conc Grant Elig'!$B$3:$J$707,'HH &amp; SI'!FJ$2,0),"N")</f>
        <v>Y</v>
      </c>
      <c r="FK429" s="830" t="str">
        <f>IFERROR(VLOOKUP($B429,'Historical Conc Grant Elig'!$B$3:$J$707,'HH &amp; SI'!FK$2,0),"N")</f>
        <v>Y</v>
      </c>
      <c r="FL429" s="957" t="str">
        <f>IFERROR(VLOOKUP($B429,'Historical Conc Grant Elig'!$B$3:$J$707,'HH &amp; SI'!FL$2,0),"N")</f>
        <v>N</v>
      </c>
    </row>
    <row r="430" spans="2:168" x14ac:dyDescent="0.25">
      <c r="B430" s="634">
        <v>118717000</v>
      </c>
      <c r="C430" s="635" t="str">
        <f>VLOOKUP($B430,'Afton Update'!$A$5:$CR$582,'Afton Update'!D$589,0)</f>
        <v>The Grande Innovation Academy</v>
      </c>
      <c r="D430" s="636">
        <f>IFERROR(VLOOKUP($B430,'Afton FY16 Final'!$A$5:$BV$587,'Afton FY16 Final'!AQ$587,0),0)</f>
        <v>0</v>
      </c>
      <c r="E430" s="637">
        <f>IFERROR(VLOOKUP($B430,'Afton FY16 Final'!$A$5:$BV$587,'Afton FY16 Final'!AR$587,0),0)</f>
        <v>0</v>
      </c>
      <c r="F430" s="637">
        <f>IFERROR(VLOOKUP($B430,'Afton FY16 Final'!$A$5:$BV$587,'Afton FY16 Final'!AS$587,0),0)</f>
        <v>0</v>
      </c>
      <c r="G430" s="637">
        <f>IFERROR(VLOOKUP($B430,'Afton FY16 Final'!$A$5:$BV$587,'Afton FY16 Final'!AT$587,0),0)</f>
        <v>0</v>
      </c>
      <c r="H430" s="638">
        <f>IFERROR(VLOOKUP($B430,'Afton FY16 Final'!$A$5:$BV$587,'Afton FY16 Final'!AU$587,0),0)</f>
        <v>0</v>
      </c>
      <c r="I430" s="639" t="str">
        <f>VLOOKUP($B430,'Afton Update'!$A$5:$CR$582,'Afton Update'!BT$589,0)</f>
        <v>Y</v>
      </c>
      <c r="J430" s="640" t="str">
        <f>VLOOKUP($B430,'Afton Update'!$A$5:$CR$582,'Afton Update'!BU$589,0)</f>
        <v>Y</v>
      </c>
      <c r="K430" s="640" t="str">
        <f>VLOOKUP($B430,'Afton Update'!$A$5:$CR$582,'Afton Update'!BV$589,0)</f>
        <v>Y</v>
      </c>
      <c r="L430" s="641" t="str">
        <f>VLOOKUP($B430,'Afton Update'!$A$5:$CR$582,'Afton Update'!BW$589,0)</f>
        <v>Y</v>
      </c>
      <c r="N430" s="642">
        <f>VLOOKUP($B430,'Afton Update'!$A$5:$CR$582,'Afton Update'!CB$589,0)</f>
        <v>0.95</v>
      </c>
      <c r="P430" s="636">
        <f>VLOOKUP($B430,'Afton Update'!$A$5:$CR$582,'Afton Update'!AH$589,0)</f>
        <v>80946.083495095983</v>
      </c>
      <c r="Q430" s="637">
        <f>VLOOKUP($B430,'Afton Update'!$A$5:$CR$582,'Afton Update'!AI$589,0)</f>
        <v>20761.347297331951</v>
      </c>
      <c r="R430" s="637">
        <f>VLOOKUP($B430,'Afton Update'!$A$5:$CR$582,'Afton Update'!AJ$589,0)</f>
        <v>34494.823152168312</v>
      </c>
      <c r="S430" s="637">
        <f>VLOOKUP($B430,'Afton Update'!$A$5:$CR$582,'Afton Update'!AK$589,0)</f>
        <v>28515.077138969926</v>
      </c>
      <c r="T430" s="643">
        <f t="shared" si="1307"/>
        <v>164717.33108356618</v>
      </c>
      <c r="V430" s="636">
        <f t="shared" si="1333"/>
        <v>79841.926377061376</v>
      </c>
      <c r="W430" s="637">
        <f t="shared" si="1334"/>
        <v>20077.544422821287</v>
      </c>
      <c r="X430" s="637">
        <f t="shared" si="1335"/>
        <v>34181.106203593808</v>
      </c>
      <c r="Y430" s="637">
        <f t="shared" si="1336"/>
        <v>28200.892318659324</v>
      </c>
      <c r="Z430" s="643">
        <f t="shared" si="1337"/>
        <v>162301.46932213579</v>
      </c>
      <c r="AB430" s="644">
        <f t="shared" si="1308"/>
        <v>80946.083495095983</v>
      </c>
      <c r="AC430" s="645">
        <f t="shared" si="1304"/>
        <v>0</v>
      </c>
      <c r="AD430" s="644">
        <f t="shared" si="1338"/>
        <v>0</v>
      </c>
      <c r="AE430" s="645">
        <f t="shared" si="1339"/>
        <v>80946.083495095983</v>
      </c>
      <c r="AF430" s="646">
        <f t="shared" si="1340"/>
        <v>-1003.3875342842135</v>
      </c>
      <c r="AG430" s="647">
        <f t="shared" si="1341"/>
        <v>79942.695960811776</v>
      </c>
      <c r="AH430" s="644">
        <f t="shared" si="1309"/>
        <v>0</v>
      </c>
      <c r="AI430" s="645">
        <f t="shared" si="1310"/>
        <v>79942.695960811776</v>
      </c>
      <c r="AJ430" s="646">
        <f t="shared" si="1342"/>
        <v>-100.70538375810136</v>
      </c>
      <c r="AK430" s="647">
        <f t="shared" si="1311"/>
        <v>79841.990577053672</v>
      </c>
      <c r="AL430" s="644">
        <f t="shared" si="1343"/>
        <v>0</v>
      </c>
      <c r="AM430" s="645">
        <f t="shared" si="1344"/>
        <v>79841.990577053672</v>
      </c>
      <c r="AN430" s="646">
        <f t="shared" si="1345"/>
        <v>-6.4199992300949943E-2</v>
      </c>
      <c r="AO430" s="647">
        <f t="shared" si="1312"/>
        <v>79841.926377061376</v>
      </c>
      <c r="AP430" s="644">
        <f t="shared" si="1346"/>
        <v>0</v>
      </c>
      <c r="AQ430" s="645">
        <f t="shared" si="1347"/>
        <v>79841.926377061376</v>
      </c>
      <c r="AR430" s="646">
        <f t="shared" si="1348"/>
        <v>0</v>
      </c>
      <c r="AS430" s="647">
        <f t="shared" si="1313"/>
        <v>79841.926377061376</v>
      </c>
      <c r="AT430" s="644">
        <f t="shared" si="1349"/>
        <v>0</v>
      </c>
      <c r="AU430" s="645">
        <f t="shared" si="1350"/>
        <v>79841.926377061376</v>
      </c>
      <c r="AV430" s="646">
        <f t="shared" si="1351"/>
        <v>0</v>
      </c>
      <c r="AW430" s="647">
        <f t="shared" si="1314"/>
        <v>79841.926377061376</v>
      </c>
      <c r="AY430" s="644">
        <f t="shared" si="1352"/>
        <v>20761.347297331951</v>
      </c>
      <c r="AZ430" s="645">
        <f t="shared" si="1282"/>
        <v>0</v>
      </c>
      <c r="BA430" s="644">
        <f t="shared" si="1353"/>
        <v>0</v>
      </c>
      <c r="BB430" s="645">
        <f t="shared" si="1354"/>
        <v>20761.347297331951</v>
      </c>
      <c r="BC430" s="646">
        <f t="shared" si="1355"/>
        <v>-149.30089890378048</v>
      </c>
      <c r="BD430" s="647">
        <f t="shared" si="1356"/>
        <v>20612.046398428171</v>
      </c>
      <c r="BE430" s="644">
        <f t="shared" si="1315"/>
        <v>0</v>
      </c>
      <c r="BF430" s="645">
        <f t="shared" si="1316"/>
        <v>20612.046398428171</v>
      </c>
      <c r="BG430" s="646">
        <f t="shared" si="1357"/>
        <v>-490.962147604591</v>
      </c>
      <c r="BH430" s="647">
        <f t="shared" si="1317"/>
        <v>20121.08425082358</v>
      </c>
      <c r="BI430" s="644">
        <f t="shared" si="1358"/>
        <v>0</v>
      </c>
      <c r="BJ430" s="645">
        <f t="shared" si="1359"/>
        <v>20121.08425082358</v>
      </c>
      <c r="BK430" s="646">
        <f t="shared" si="1360"/>
        <v>-42.621182322727371</v>
      </c>
      <c r="BL430" s="647">
        <f t="shared" si="1318"/>
        <v>20078.463068500852</v>
      </c>
      <c r="BM430" s="644">
        <f t="shared" si="1361"/>
        <v>0</v>
      </c>
      <c r="BN430" s="645">
        <f t="shared" si="1362"/>
        <v>20078.463068500852</v>
      </c>
      <c r="BO430" s="646">
        <f t="shared" si="1363"/>
        <v>-0.91864567956342424</v>
      </c>
      <c r="BP430" s="647">
        <f t="shared" si="1319"/>
        <v>20077.544422821287</v>
      </c>
      <c r="BQ430" s="644">
        <f t="shared" si="1364"/>
        <v>0</v>
      </c>
      <c r="BR430" s="645">
        <f t="shared" si="1365"/>
        <v>20077.544422821287</v>
      </c>
      <c r="BS430" s="646">
        <f t="shared" si="1366"/>
        <v>0</v>
      </c>
      <c r="BT430" s="647">
        <f t="shared" si="1320"/>
        <v>20077.544422821287</v>
      </c>
      <c r="BU430" s="662">
        <f>VLOOKUP(B430,'Afton Update'!$A$5:$AR$582,'Afton Update'!$AO$589,0)-BT430</f>
        <v>0</v>
      </c>
      <c r="BV430" s="644">
        <f t="shared" si="1367"/>
        <v>34494.823152168312</v>
      </c>
      <c r="BW430" s="645">
        <f t="shared" si="1305"/>
        <v>0</v>
      </c>
      <c r="BX430" s="644">
        <f t="shared" si="1368"/>
        <v>0</v>
      </c>
      <c r="BY430" s="645">
        <f t="shared" si="1369"/>
        <v>34494.823152168312</v>
      </c>
      <c r="BZ430" s="646">
        <f t="shared" si="1370"/>
        <v>-302.76473025520772</v>
      </c>
      <c r="CA430" s="647">
        <f t="shared" si="1371"/>
        <v>34192.058421913105</v>
      </c>
      <c r="CB430" s="644">
        <f t="shared" si="1321"/>
        <v>0</v>
      </c>
      <c r="CC430" s="645">
        <f t="shared" si="1322"/>
        <v>34192.058421913105</v>
      </c>
      <c r="CD430" s="646">
        <f t="shared" si="1372"/>
        <v>-10.952218319293594</v>
      </c>
      <c r="CE430" s="647">
        <f t="shared" si="1323"/>
        <v>34181.106203593808</v>
      </c>
      <c r="CF430" s="644">
        <f t="shared" si="1373"/>
        <v>0</v>
      </c>
      <c r="CG430" s="645">
        <f t="shared" si="1374"/>
        <v>34181.106203593808</v>
      </c>
      <c r="CH430" s="646">
        <f t="shared" si="1375"/>
        <v>0</v>
      </c>
      <c r="CI430" s="647">
        <f t="shared" si="1324"/>
        <v>34181.106203593808</v>
      </c>
      <c r="CJ430" s="644">
        <f t="shared" si="1376"/>
        <v>0</v>
      </c>
      <c r="CK430" s="645">
        <f t="shared" si="1377"/>
        <v>34181.106203593808</v>
      </c>
      <c r="CL430" s="646">
        <f t="shared" si="1378"/>
        <v>0</v>
      </c>
      <c r="CM430" s="647">
        <f t="shared" si="1325"/>
        <v>34181.106203593808</v>
      </c>
      <c r="CN430" s="644">
        <f t="shared" si="1379"/>
        <v>0</v>
      </c>
      <c r="CO430" s="645">
        <f t="shared" si="1380"/>
        <v>34181.106203593808</v>
      </c>
      <c r="CP430" s="646">
        <f t="shared" si="1381"/>
        <v>0</v>
      </c>
      <c r="CQ430" s="647">
        <f t="shared" si="1326"/>
        <v>34181.106203593808</v>
      </c>
      <c r="CS430" s="644">
        <f t="shared" si="1382"/>
        <v>28515.077138969926</v>
      </c>
      <c r="CT430" s="645">
        <f t="shared" si="1306"/>
        <v>0</v>
      </c>
      <c r="CU430" s="644">
        <f t="shared" si="1383"/>
        <v>0</v>
      </c>
      <c r="CV430" s="645">
        <f t="shared" si="1384"/>
        <v>28515.077138969926</v>
      </c>
      <c r="CW430" s="646">
        <f t="shared" si="1385"/>
        <v>-292.01050439978201</v>
      </c>
      <c r="CX430" s="647">
        <f t="shared" si="1386"/>
        <v>28223.066634570143</v>
      </c>
      <c r="CY430" s="644">
        <f t="shared" si="1327"/>
        <v>0</v>
      </c>
      <c r="CZ430" s="645">
        <f t="shared" si="1328"/>
        <v>28223.066634570143</v>
      </c>
      <c r="DA430" s="646">
        <f t="shared" si="1387"/>
        <v>-22.155209801848276</v>
      </c>
      <c r="DB430" s="647">
        <f t="shared" si="1329"/>
        <v>28200.911424768296</v>
      </c>
      <c r="DC430" s="644">
        <f t="shared" si="1388"/>
        <v>0</v>
      </c>
      <c r="DD430" s="645">
        <f t="shared" si="1389"/>
        <v>28200.911424768296</v>
      </c>
      <c r="DE430" s="646">
        <f t="shared" si="1390"/>
        <v>-1.9106108970191625E-2</v>
      </c>
      <c r="DF430" s="647">
        <f t="shared" si="1330"/>
        <v>28200.892318659324</v>
      </c>
      <c r="DG430" s="644">
        <f t="shared" si="1391"/>
        <v>0</v>
      </c>
      <c r="DH430" s="645">
        <f t="shared" si="1392"/>
        <v>28200.892318659324</v>
      </c>
      <c r="DI430" s="646">
        <f t="shared" si="1393"/>
        <v>0</v>
      </c>
      <c r="DJ430" s="647">
        <f t="shared" si="1331"/>
        <v>28200.892318659324</v>
      </c>
      <c r="DK430" s="644">
        <f t="shared" si="1394"/>
        <v>0</v>
      </c>
      <c r="DL430" s="645">
        <f t="shared" si="1395"/>
        <v>28200.892318659324</v>
      </c>
      <c r="DM430" s="646">
        <f t="shared" si="1396"/>
        <v>0</v>
      </c>
      <c r="DN430" s="647">
        <f t="shared" si="1332"/>
        <v>28200.892318659324</v>
      </c>
      <c r="DR430" s="827">
        <f t="shared" si="1283"/>
        <v>162301.46932213579</v>
      </c>
      <c r="DV430" s="828">
        <f>IFERROR(VLOOKUP($B430,'Afton FY16 Final'!$A$5:$BV$587,'Afton FY16 Final'!$BV$587,0),0)</f>
        <v>0</v>
      </c>
      <c r="DX430" s="636">
        <f t="shared" si="1274"/>
        <v>162301.46932213579</v>
      </c>
      <c r="DY430" s="637">
        <f t="shared" si="1275"/>
        <v>162301.46932213579</v>
      </c>
      <c r="DZ430" s="637">
        <f t="shared" si="1276"/>
        <v>0</v>
      </c>
      <c r="EA430" s="643">
        <f t="shared" si="1277"/>
        <v>153668.85013184021</v>
      </c>
      <c r="EB430" s="637">
        <f t="shared" si="1284"/>
        <v>0</v>
      </c>
      <c r="EC430" s="637">
        <f t="shared" si="1285"/>
        <v>153668.85013184021</v>
      </c>
      <c r="ED430" s="637">
        <f t="shared" si="1286"/>
        <v>153210.61879596466</v>
      </c>
      <c r="EE430" s="643">
        <f t="shared" si="1287"/>
        <v>153210.61879596466</v>
      </c>
      <c r="EF430" s="637">
        <f t="shared" si="1288"/>
        <v>0</v>
      </c>
      <c r="EG430" s="637">
        <f t="shared" si="1289"/>
        <v>153210.61879596466</v>
      </c>
      <c r="EH430" s="637">
        <f t="shared" si="1290"/>
        <v>153210.4607345495</v>
      </c>
      <c r="EI430" s="643">
        <f t="shared" si="1291"/>
        <v>153210.4607345495</v>
      </c>
      <c r="EJ430" s="637">
        <f t="shared" si="1292"/>
        <v>0</v>
      </c>
      <c r="EK430" s="637">
        <f t="shared" si="1293"/>
        <v>153210.4607345495</v>
      </c>
      <c r="EL430" s="637">
        <f t="shared" si="1294"/>
        <v>153210.4607345493</v>
      </c>
      <c r="EM430" s="643">
        <f t="shared" si="1295"/>
        <v>153210.4607345493</v>
      </c>
      <c r="EN430" s="637">
        <f t="shared" si="1296"/>
        <v>0</v>
      </c>
      <c r="EO430" s="637">
        <f t="shared" si="1297"/>
        <v>153210.4607345493</v>
      </c>
      <c r="EP430" s="637">
        <f t="shared" si="1298"/>
        <v>153210.46073454953</v>
      </c>
      <c r="EQ430" s="643">
        <f t="shared" si="1299"/>
        <v>153210.46073454953</v>
      </c>
      <c r="ER430" s="637">
        <f t="shared" si="1300"/>
        <v>0</v>
      </c>
      <c r="ES430" s="637">
        <f t="shared" si="1301"/>
        <v>153210.46073454953</v>
      </c>
      <c r="ET430" s="637">
        <f t="shared" si="1302"/>
        <v>153210.4607345493</v>
      </c>
      <c r="EU430" s="643">
        <f t="shared" si="1278"/>
        <v>153210.4607345493</v>
      </c>
      <c r="EV430" s="643">
        <f t="shared" si="1279"/>
        <v>0</v>
      </c>
      <c r="EX430" s="829">
        <f t="shared" si="1280"/>
        <v>9091.0085875864897</v>
      </c>
      <c r="EY430" s="638">
        <f t="shared" si="1281"/>
        <v>153210.4607345493</v>
      </c>
      <c r="FC430" s="830" t="str">
        <f t="shared" si="1303"/>
        <v>N</v>
      </c>
      <c r="FE430" s="830" t="str">
        <f>IFERROR(VLOOKUP($B430,'Historical Conc Grant Elig'!$B$3:$J$707,'HH &amp; SI'!FE$2,0),"N")</f>
        <v>N</v>
      </c>
      <c r="FF430" s="830" t="str">
        <f>IFERROR(VLOOKUP($B430,'Historical Conc Grant Elig'!$B$3:$J$707,'HH &amp; SI'!FF$2,0),"N")</f>
        <v>N</v>
      </c>
      <c r="FG430" s="830" t="str">
        <f>IFERROR(VLOOKUP($B430,'Historical Conc Grant Elig'!$B$3:$J$707,'HH &amp; SI'!FG$2,0),"N")</f>
        <v>N</v>
      </c>
      <c r="FH430" s="830" t="str">
        <f>IFERROR(VLOOKUP($B430,'Historical Conc Grant Elig'!$B$3:$J$707,'HH &amp; SI'!FH$2,0),"N")</f>
        <v>N</v>
      </c>
      <c r="FI430" s="830" t="str">
        <f>IFERROR(VLOOKUP($B430,'Historical Conc Grant Elig'!$B$3:$J$707,'HH &amp; SI'!FI$2,0),"N")</f>
        <v>N</v>
      </c>
      <c r="FJ430" s="830" t="str">
        <f>IFERROR(VLOOKUP($B430,'Historical Conc Grant Elig'!$B$3:$J$707,'HH &amp; SI'!FJ$2,0),"N")</f>
        <v>N</v>
      </c>
      <c r="FK430" s="830" t="str">
        <f>IFERROR(VLOOKUP($B430,'Historical Conc Grant Elig'!$B$3:$J$707,'HH &amp; SI'!FK$2,0),"N")</f>
        <v>N</v>
      </c>
      <c r="FL430" s="957" t="str">
        <f>IFERROR(VLOOKUP($B430,'Historical Conc Grant Elig'!$B$3:$J$707,'HH &amp; SI'!FL$2,0),"N")</f>
        <v>Y</v>
      </c>
    </row>
    <row r="431" spans="2:168" x14ac:dyDescent="0.25">
      <c r="B431" s="634">
        <v>120201000</v>
      </c>
      <c r="C431" s="635" t="str">
        <f>VLOOKUP($B431,'Afton Update'!$A$5:$CR$582,'Afton Update'!D$589,0)</f>
        <v>Nogales Unified District</v>
      </c>
      <c r="D431" s="636">
        <f>IFERROR(VLOOKUP($B431,'Afton FY16 Final'!$A$5:$BV$587,'Afton FY16 Final'!AQ$587,0),0)</f>
        <v>982616.54399766028</v>
      </c>
      <c r="E431" s="637">
        <f>IFERROR(VLOOKUP($B431,'Afton FY16 Final'!$A$5:$BV$587,'Afton FY16 Final'!AR$587,0),0)</f>
        <v>239036.39694851293</v>
      </c>
      <c r="F431" s="637">
        <f>IFERROR(VLOOKUP($B431,'Afton FY16 Final'!$A$5:$BV$587,'Afton FY16 Final'!AS$587,0),0)</f>
        <v>548417.70134336757</v>
      </c>
      <c r="G431" s="637">
        <f>IFERROR(VLOOKUP($B431,'Afton FY16 Final'!$A$5:$BV$587,'Afton FY16 Final'!AT$587,0),0)</f>
        <v>582332.22428448463</v>
      </c>
      <c r="H431" s="638">
        <f>IFERROR(VLOOKUP($B431,'Afton FY16 Final'!$A$5:$BV$587,'Afton FY16 Final'!AU$587,0),0)</f>
        <v>2352402.8665740252</v>
      </c>
      <c r="I431" s="639" t="str">
        <f>VLOOKUP($B431,'Afton Update'!$A$5:$CR$582,'Afton Update'!BT$589,0)</f>
        <v>Y</v>
      </c>
      <c r="J431" s="640" t="str">
        <f>VLOOKUP($B431,'Afton Update'!$A$5:$CR$582,'Afton Update'!BU$589,0)</f>
        <v>Y</v>
      </c>
      <c r="K431" s="640" t="str">
        <f>VLOOKUP($B431,'Afton Update'!$A$5:$CR$582,'Afton Update'!BV$589,0)</f>
        <v>Y</v>
      </c>
      <c r="L431" s="641" t="str">
        <f>VLOOKUP($B431,'Afton Update'!$A$5:$CR$582,'Afton Update'!BW$589,0)</f>
        <v>Y</v>
      </c>
      <c r="N431" s="642">
        <f>VLOOKUP($B431,'Afton Update'!$A$5:$CR$582,'Afton Update'!CB$589,0)</f>
        <v>0.95</v>
      </c>
      <c r="P431" s="636">
        <f>VLOOKUP($B431,'Afton Update'!$A$5:$CR$582,'Afton Update'!AH$589,0)</f>
        <v>932971.63751942979</v>
      </c>
      <c r="Q431" s="637">
        <f>VLOOKUP($B431,'Afton Update'!$A$5:$CR$582,'Afton Update'!AI$589,0)</f>
        <v>227546.12489317483</v>
      </c>
      <c r="R431" s="637">
        <f>VLOOKUP($B431,'Afton Update'!$A$5:$CR$582,'Afton Update'!AJ$589,0)</f>
        <v>556920.23479392543</v>
      </c>
      <c r="S431" s="637">
        <f>VLOOKUP($B431,'Afton Update'!$A$5:$CR$582,'Afton Update'!AK$589,0)</f>
        <v>551762.05460133648</v>
      </c>
      <c r="T431" s="643">
        <f t="shared" si="1307"/>
        <v>2269200.0518078664</v>
      </c>
      <c r="V431" s="636">
        <f t="shared" si="1333"/>
        <v>933485.71679777722</v>
      </c>
      <c r="W431" s="637">
        <f t="shared" si="1334"/>
        <v>227084.57710108728</v>
      </c>
      <c r="X431" s="637">
        <f t="shared" si="1335"/>
        <v>551855.26269975887</v>
      </c>
      <c r="Y431" s="637">
        <f t="shared" si="1336"/>
        <v>553215.61307026038</v>
      </c>
      <c r="Z431" s="643">
        <f t="shared" si="1337"/>
        <v>2265641.1696688836</v>
      </c>
      <c r="AB431" s="644">
        <f t="shared" si="1308"/>
        <v>932971.63751942979</v>
      </c>
      <c r="AC431" s="645">
        <f t="shared" si="1304"/>
        <v>933485.71679777722</v>
      </c>
      <c r="AD431" s="644">
        <f t="shared" si="1338"/>
        <v>514.07927834743168</v>
      </c>
      <c r="AE431" s="645">
        <f t="shared" si="1339"/>
        <v>0</v>
      </c>
      <c r="AF431" s="646">
        <f t="shared" si="1340"/>
        <v>0</v>
      </c>
      <c r="AG431" s="647">
        <f t="shared" si="1341"/>
        <v>933485.71679777722</v>
      </c>
      <c r="AH431" s="644">
        <f t="shared" si="1309"/>
        <v>0</v>
      </c>
      <c r="AI431" s="645">
        <f t="shared" si="1310"/>
        <v>0</v>
      </c>
      <c r="AJ431" s="646">
        <f t="shared" si="1342"/>
        <v>0</v>
      </c>
      <c r="AK431" s="647">
        <f t="shared" si="1311"/>
        <v>933485.71679777722</v>
      </c>
      <c r="AL431" s="644">
        <f t="shared" si="1343"/>
        <v>0</v>
      </c>
      <c r="AM431" s="645">
        <f t="shared" si="1344"/>
        <v>0</v>
      </c>
      <c r="AN431" s="646">
        <f t="shared" si="1345"/>
        <v>0</v>
      </c>
      <c r="AO431" s="647">
        <f t="shared" si="1312"/>
        <v>933485.71679777722</v>
      </c>
      <c r="AP431" s="644">
        <f t="shared" si="1346"/>
        <v>0</v>
      </c>
      <c r="AQ431" s="645">
        <f t="shared" si="1347"/>
        <v>0</v>
      </c>
      <c r="AR431" s="646">
        <f t="shared" si="1348"/>
        <v>0</v>
      </c>
      <c r="AS431" s="647">
        <f t="shared" si="1313"/>
        <v>933485.71679777722</v>
      </c>
      <c r="AT431" s="644">
        <f t="shared" si="1349"/>
        <v>0</v>
      </c>
      <c r="AU431" s="645">
        <f t="shared" si="1350"/>
        <v>0</v>
      </c>
      <c r="AV431" s="646">
        <f t="shared" si="1351"/>
        <v>0</v>
      </c>
      <c r="AW431" s="647">
        <f t="shared" si="1314"/>
        <v>933485.71679777722</v>
      </c>
      <c r="AY431" s="644">
        <f t="shared" si="1352"/>
        <v>227546.12489317483</v>
      </c>
      <c r="AZ431" s="645">
        <f t="shared" si="1282"/>
        <v>227084.57710108728</v>
      </c>
      <c r="BA431" s="644">
        <f t="shared" si="1353"/>
        <v>0</v>
      </c>
      <c r="BB431" s="645">
        <f t="shared" si="1354"/>
        <v>227546.12489317483</v>
      </c>
      <c r="BC431" s="646">
        <f t="shared" si="1355"/>
        <v>-1636.3504979750887</v>
      </c>
      <c r="BD431" s="647">
        <f t="shared" si="1356"/>
        <v>225909.77439519973</v>
      </c>
      <c r="BE431" s="644">
        <f t="shared" si="1315"/>
        <v>-1174.8027058875596</v>
      </c>
      <c r="BF431" s="645">
        <f t="shared" si="1316"/>
        <v>0</v>
      </c>
      <c r="BG431" s="646">
        <f t="shared" si="1357"/>
        <v>0</v>
      </c>
      <c r="BH431" s="647">
        <f t="shared" si="1317"/>
        <v>227084.57710108728</v>
      </c>
      <c r="BI431" s="644">
        <f t="shared" si="1358"/>
        <v>0</v>
      </c>
      <c r="BJ431" s="645">
        <f t="shared" si="1359"/>
        <v>0</v>
      </c>
      <c r="BK431" s="646">
        <f t="shared" si="1360"/>
        <v>0</v>
      </c>
      <c r="BL431" s="647">
        <f t="shared" si="1318"/>
        <v>227084.57710108728</v>
      </c>
      <c r="BM431" s="644">
        <f t="shared" si="1361"/>
        <v>0</v>
      </c>
      <c r="BN431" s="645">
        <f t="shared" si="1362"/>
        <v>0</v>
      </c>
      <c r="BO431" s="646">
        <f t="shared" si="1363"/>
        <v>0</v>
      </c>
      <c r="BP431" s="647">
        <f t="shared" si="1319"/>
        <v>227084.57710108728</v>
      </c>
      <c r="BQ431" s="644">
        <f t="shared" si="1364"/>
        <v>0</v>
      </c>
      <c r="BR431" s="645">
        <f t="shared" si="1365"/>
        <v>0</v>
      </c>
      <c r="BS431" s="646">
        <f t="shared" si="1366"/>
        <v>0</v>
      </c>
      <c r="BT431" s="647">
        <f t="shared" si="1320"/>
        <v>227084.57710108728</v>
      </c>
      <c r="BU431" s="662">
        <f>VLOOKUP(B431,'Afton Update'!$A$5:$AR$582,'Afton Update'!$AO$589,0)-BT431</f>
        <v>0</v>
      </c>
      <c r="BV431" s="644">
        <f t="shared" si="1367"/>
        <v>556920.23479392543</v>
      </c>
      <c r="BW431" s="645">
        <f t="shared" si="1305"/>
        <v>520996.81627619918</v>
      </c>
      <c r="BX431" s="644">
        <f t="shared" si="1368"/>
        <v>0</v>
      </c>
      <c r="BY431" s="645">
        <f t="shared" si="1369"/>
        <v>556920.23479392543</v>
      </c>
      <c r="BZ431" s="646">
        <f t="shared" si="1370"/>
        <v>-4888.1481118841666</v>
      </c>
      <c r="CA431" s="647">
        <f t="shared" si="1371"/>
        <v>552032.08668204129</v>
      </c>
      <c r="CB431" s="644">
        <f t="shared" si="1321"/>
        <v>0</v>
      </c>
      <c r="CC431" s="645">
        <f t="shared" si="1322"/>
        <v>552032.08668204129</v>
      </c>
      <c r="CD431" s="646">
        <f t="shared" si="1372"/>
        <v>-176.82398228245188</v>
      </c>
      <c r="CE431" s="647">
        <f t="shared" si="1323"/>
        <v>551855.26269975887</v>
      </c>
      <c r="CF431" s="644">
        <f t="shared" si="1373"/>
        <v>0</v>
      </c>
      <c r="CG431" s="645">
        <f t="shared" si="1374"/>
        <v>551855.26269975887</v>
      </c>
      <c r="CH431" s="646">
        <f t="shared" si="1375"/>
        <v>0</v>
      </c>
      <c r="CI431" s="647">
        <f t="shared" si="1324"/>
        <v>551855.26269975887</v>
      </c>
      <c r="CJ431" s="644">
        <f t="shared" si="1376"/>
        <v>0</v>
      </c>
      <c r="CK431" s="645">
        <f t="shared" si="1377"/>
        <v>551855.26269975887</v>
      </c>
      <c r="CL431" s="646">
        <f t="shared" si="1378"/>
        <v>0</v>
      </c>
      <c r="CM431" s="647">
        <f t="shared" si="1325"/>
        <v>551855.26269975887</v>
      </c>
      <c r="CN431" s="644">
        <f t="shared" si="1379"/>
        <v>0</v>
      </c>
      <c r="CO431" s="645">
        <f t="shared" si="1380"/>
        <v>551855.26269975887</v>
      </c>
      <c r="CP431" s="646">
        <f t="shared" si="1381"/>
        <v>0</v>
      </c>
      <c r="CQ431" s="647">
        <f t="shared" si="1326"/>
        <v>551855.26269975887</v>
      </c>
      <c r="CS431" s="644">
        <f t="shared" si="1382"/>
        <v>551762.05460133648</v>
      </c>
      <c r="CT431" s="645">
        <f t="shared" si="1306"/>
        <v>553215.61307026038</v>
      </c>
      <c r="CU431" s="644">
        <f t="shared" si="1383"/>
        <v>1453.558468923904</v>
      </c>
      <c r="CV431" s="645">
        <f t="shared" si="1384"/>
        <v>0</v>
      </c>
      <c r="CW431" s="646">
        <f t="shared" si="1385"/>
        <v>0</v>
      </c>
      <c r="CX431" s="647">
        <f t="shared" si="1386"/>
        <v>553215.61307026038</v>
      </c>
      <c r="CY431" s="644">
        <f t="shared" si="1327"/>
        <v>0</v>
      </c>
      <c r="CZ431" s="645">
        <f t="shared" si="1328"/>
        <v>0</v>
      </c>
      <c r="DA431" s="646">
        <f t="shared" si="1387"/>
        <v>0</v>
      </c>
      <c r="DB431" s="647">
        <f t="shared" si="1329"/>
        <v>553215.61307026038</v>
      </c>
      <c r="DC431" s="644">
        <f t="shared" si="1388"/>
        <v>0</v>
      </c>
      <c r="DD431" s="645">
        <f t="shared" si="1389"/>
        <v>0</v>
      </c>
      <c r="DE431" s="646">
        <f t="shared" si="1390"/>
        <v>0</v>
      </c>
      <c r="DF431" s="647">
        <f t="shared" si="1330"/>
        <v>553215.61307026038</v>
      </c>
      <c r="DG431" s="644">
        <f t="shared" si="1391"/>
        <v>0</v>
      </c>
      <c r="DH431" s="645">
        <f t="shared" si="1392"/>
        <v>0</v>
      </c>
      <c r="DI431" s="646">
        <f t="shared" si="1393"/>
        <v>0</v>
      </c>
      <c r="DJ431" s="647">
        <f t="shared" si="1331"/>
        <v>553215.61307026038</v>
      </c>
      <c r="DK431" s="644">
        <f t="shared" si="1394"/>
        <v>0</v>
      </c>
      <c r="DL431" s="645">
        <f t="shared" si="1395"/>
        <v>0</v>
      </c>
      <c r="DM431" s="646">
        <f t="shared" si="1396"/>
        <v>0</v>
      </c>
      <c r="DN431" s="647">
        <f t="shared" si="1332"/>
        <v>553215.61307026038</v>
      </c>
      <c r="DR431" s="827">
        <f t="shared" si="1283"/>
        <v>2265641.1696688836</v>
      </c>
      <c r="DV431" s="828">
        <f>IFERROR(VLOOKUP($B431,'Afton FY16 Final'!$A$5:$BV$587,'Afton FY16 Final'!$BV$587,0),0)</f>
        <v>2306084.0545207616</v>
      </c>
      <c r="DX431" s="636">
        <f t="shared" si="1274"/>
        <v>0</v>
      </c>
      <c r="DY431" s="637">
        <f t="shared" si="1275"/>
        <v>0</v>
      </c>
      <c r="DZ431" s="637">
        <f t="shared" si="1276"/>
        <v>0</v>
      </c>
      <c r="EA431" s="643">
        <f t="shared" si="1277"/>
        <v>0</v>
      </c>
      <c r="EB431" s="637">
        <f t="shared" si="1284"/>
        <v>0</v>
      </c>
      <c r="EC431" s="637">
        <f t="shared" si="1285"/>
        <v>0</v>
      </c>
      <c r="ED431" s="637">
        <f t="shared" si="1286"/>
        <v>0</v>
      </c>
      <c r="EE431" s="643">
        <f t="shared" si="1287"/>
        <v>0</v>
      </c>
      <c r="EF431" s="637">
        <f t="shared" si="1288"/>
        <v>0</v>
      </c>
      <c r="EG431" s="637">
        <f t="shared" si="1289"/>
        <v>0</v>
      </c>
      <c r="EH431" s="637">
        <f t="shared" si="1290"/>
        <v>0</v>
      </c>
      <c r="EI431" s="643">
        <f t="shared" si="1291"/>
        <v>0</v>
      </c>
      <c r="EJ431" s="637">
        <f t="shared" si="1292"/>
        <v>0</v>
      </c>
      <c r="EK431" s="637">
        <f t="shared" si="1293"/>
        <v>0</v>
      </c>
      <c r="EL431" s="637">
        <f t="shared" si="1294"/>
        <v>0</v>
      </c>
      <c r="EM431" s="643">
        <f t="shared" si="1295"/>
        <v>0</v>
      </c>
      <c r="EN431" s="637">
        <f t="shared" si="1296"/>
        <v>0</v>
      </c>
      <c r="EO431" s="637">
        <f t="shared" si="1297"/>
        <v>0</v>
      </c>
      <c r="EP431" s="637">
        <f t="shared" si="1298"/>
        <v>0</v>
      </c>
      <c r="EQ431" s="643">
        <f t="shared" si="1299"/>
        <v>0</v>
      </c>
      <c r="ER431" s="637">
        <f t="shared" si="1300"/>
        <v>0</v>
      </c>
      <c r="ES431" s="637">
        <f t="shared" si="1301"/>
        <v>0</v>
      </c>
      <c r="ET431" s="637">
        <f t="shared" si="1302"/>
        <v>0</v>
      </c>
      <c r="EU431" s="643">
        <f t="shared" si="1278"/>
        <v>0</v>
      </c>
      <c r="EV431" s="643">
        <f t="shared" si="1279"/>
        <v>0</v>
      </c>
      <c r="EX431" s="829">
        <f t="shared" si="1280"/>
        <v>0</v>
      </c>
      <c r="EY431" s="638">
        <f t="shared" si="1281"/>
        <v>2265641.1696688836</v>
      </c>
      <c r="FC431" s="830" t="str">
        <f t="shared" si="1303"/>
        <v>Y</v>
      </c>
      <c r="FE431" s="830" t="str">
        <f>IFERROR(VLOOKUP($B431,'Historical Conc Grant Elig'!$B$3:$J$707,'HH &amp; SI'!FE$2,0),"N")</f>
        <v>Y</v>
      </c>
      <c r="FF431" s="830" t="str">
        <f>IFERROR(VLOOKUP($B431,'Historical Conc Grant Elig'!$B$3:$J$707,'HH &amp; SI'!FF$2,0),"N")</f>
        <v>Y</v>
      </c>
      <c r="FG431" s="830" t="str">
        <f>IFERROR(VLOOKUP($B431,'Historical Conc Grant Elig'!$B$3:$J$707,'HH &amp; SI'!FG$2,0),"N")</f>
        <v>Y</v>
      </c>
      <c r="FH431" s="830" t="str">
        <f>IFERROR(VLOOKUP($B431,'Historical Conc Grant Elig'!$B$3:$J$707,'HH &amp; SI'!FH$2,0),"N")</f>
        <v>Y</v>
      </c>
      <c r="FI431" s="830" t="str">
        <f>IFERROR(VLOOKUP($B431,'Historical Conc Grant Elig'!$B$3:$J$707,'HH &amp; SI'!FI$2,0),"N")</f>
        <v>Y</v>
      </c>
      <c r="FJ431" s="830" t="str">
        <f>IFERROR(VLOOKUP($B431,'Historical Conc Grant Elig'!$B$3:$J$707,'HH &amp; SI'!FJ$2,0),"N")</f>
        <v>Y</v>
      </c>
      <c r="FK431" s="830" t="str">
        <f>IFERROR(VLOOKUP($B431,'Historical Conc Grant Elig'!$B$3:$J$707,'HH &amp; SI'!FK$2,0),"N")</f>
        <v>Y</v>
      </c>
      <c r="FL431" s="957" t="str">
        <f>IFERROR(VLOOKUP($B431,'Historical Conc Grant Elig'!$B$3:$J$707,'HH &amp; SI'!FL$2,0),"N")</f>
        <v>Y</v>
      </c>
    </row>
    <row r="432" spans="2:168" x14ac:dyDescent="0.25">
      <c r="B432" s="634">
        <v>120235000</v>
      </c>
      <c r="C432" s="635" t="str">
        <f>VLOOKUP($B432,'Afton Update'!$A$5:$CR$582,'Afton Update'!D$589,0)</f>
        <v>Santa Cruz Valley Unified District</v>
      </c>
      <c r="D432" s="636">
        <f>IFERROR(VLOOKUP($B432,'Afton FY16 Final'!$A$5:$BV$587,'Afton FY16 Final'!AQ$587,0),0)</f>
        <v>525938.97163666366</v>
      </c>
      <c r="E432" s="637">
        <f>IFERROR(VLOOKUP($B432,'Afton FY16 Final'!$A$5:$BV$587,'Afton FY16 Final'!AR$587,0),0)</f>
        <v>121253.61432759101</v>
      </c>
      <c r="F432" s="637">
        <f>IFERROR(VLOOKUP($B432,'Afton FY16 Final'!$A$5:$BV$587,'Afton FY16 Final'!AS$587,0),0)</f>
        <v>247420.35628853479</v>
      </c>
      <c r="G432" s="637">
        <f>IFERROR(VLOOKUP($B432,'Afton FY16 Final'!$A$5:$BV$587,'Afton FY16 Final'!AT$587,0),0)</f>
        <v>175686.80901967804</v>
      </c>
      <c r="H432" s="638">
        <f>IFERROR(VLOOKUP($B432,'Afton FY16 Final'!$A$5:$BV$587,'Afton FY16 Final'!AU$587,0),0)</f>
        <v>1070299.7512724674</v>
      </c>
      <c r="I432" s="639" t="str">
        <f>VLOOKUP($B432,'Afton Update'!$A$5:$CR$582,'Afton Update'!BT$589,0)</f>
        <v>Y</v>
      </c>
      <c r="J432" s="640" t="str">
        <f>VLOOKUP($B432,'Afton Update'!$A$5:$CR$582,'Afton Update'!BU$589,0)</f>
        <v>Y</v>
      </c>
      <c r="K432" s="640" t="str">
        <f>VLOOKUP($B432,'Afton Update'!$A$5:$CR$582,'Afton Update'!BV$589,0)</f>
        <v>Y</v>
      </c>
      <c r="L432" s="641" t="str">
        <f>VLOOKUP($B432,'Afton Update'!$A$5:$CR$582,'Afton Update'!BW$589,0)</f>
        <v>Y</v>
      </c>
      <c r="N432" s="642">
        <f>VLOOKUP($B432,'Afton Update'!$A$5:$CR$582,'Afton Update'!CB$589,0)</f>
        <v>0.9</v>
      </c>
      <c r="P432" s="636">
        <f>VLOOKUP($B432,'Afton Update'!$A$5:$CR$582,'Afton Update'!AH$589,0)</f>
        <v>473032.37663079234</v>
      </c>
      <c r="Q432" s="637">
        <f>VLOOKUP($B432,'Afton Update'!$A$5:$CR$582,'Afton Update'!AI$589,0)</f>
        <v>109248.02743794826</v>
      </c>
      <c r="R432" s="637">
        <f>VLOOKUP($B432,'Afton Update'!$A$5:$CR$582,'Afton Update'!AJ$589,0)</f>
        <v>222547.25760754038</v>
      </c>
      <c r="S432" s="637">
        <f>VLOOKUP($B432,'Afton Update'!$A$5:$CR$582,'Afton Update'!AK$589,0)</f>
        <v>157827.29686762366</v>
      </c>
      <c r="T432" s="643">
        <f t="shared" si="1307"/>
        <v>962654.95854390459</v>
      </c>
      <c r="V432" s="636">
        <f t="shared" si="1333"/>
        <v>473345.07447299728</v>
      </c>
      <c r="W432" s="637">
        <f t="shared" si="1334"/>
        <v>109128.25289483191</v>
      </c>
      <c r="X432" s="637">
        <f t="shared" si="1335"/>
        <v>222678.32065968131</v>
      </c>
      <c r="Y432" s="637">
        <f t="shared" si="1336"/>
        <v>158118.12811771024</v>
      </c>
      <c r="Z432" s="643">
        <f t="shared" si="1337"/>
        <v>963269.77614522073</v>
      </c>
      <c r="AB432" s="644">
        <f t="shared" si="1308"/>
        <v>473032.37663079234</v>
      </c>
      <c r="AC432" s="645">
        <f t="shared" si="1304"/>
        <v>473345.07447299728</v>
      </c>
      <c r="AD432" s="644">
        <f t="shared" si="1338"/>
        <v>312.6978422049433</v>
      </c>
      <c r="AE432" s="645">
        <f t="shared" si="1339"/>
        <v>0</v>
      </c>
      <c r="AF432" s="646">
        <f t="shared" si="1340"/>
        <v>0</v>
      </c>
      <c r="AG432" s="647">
        <f t="shared" si="1341"/>
        <v>473345.07447299728</v>
      </c>
      <c r="AH432" s="644">
        <f t="shared" si="1309"/>
        <v>0</v>
      </c>
      <c r="AI432" s="645">
        <f t="shared" si="1310"/>
        <v>0</v>
      </c>
      <c r="AJ432" s="646">
        <f t="shared" si="1342"/>
        <v>0</v>
      </c>
      <c r="AK432" s="647">
        <f t="shared" si="1311"/>
        <v>473345.07447299728</v>
      </c>
      <c r="AL432" s="644">
        <f t="shared" si="1343"/>
        <v>0</v>
      </c>
      <c r="AM432" s="645">
        <f t="shared" si="1344"/>
        <v>0</v>
      </c>
      <c r="AN432" s="646">
        <f t="shared" si="1345"/>
        <v>0</v>
      </c>
      <c r="AO432" s="647">
        <f t="shared" si="1312"/>
        <v>473345.07447299728</v>
      </c>
      <c r="AP432" s="644">
        <f t="shared" si="1346"/>
        <v>0</v>
      </c>
      <c r="AQ432" s="645">
        <f t="shared" si="1347"/>
        <v>0</v>
      </c>
      <c r="AR432" s="646">
        <f t="shared" si="1348"/>
        <v>0</v>
      </c>
      <c r="AS432" s="647">
        <f t="shared" si="1313"/>
        <v>473345.07447299728</v>
      </c>
      <c r="AT432" s="644">
        <f t="shared" si="1349"/>
        <v>0</v>
      </c>
      <c r="AU432" s="645">
        <f t="shared" si="1350"/>
        <v>0</v>
      </c>
      <c r="AV432" s="646">
        <f t="shared" si="1351"/>
        <v>0</v>
      </c>
      <c r="AW432" s="647">
        <f t="shared" si="1314"/>
        <v>473345.07447299728</v>
      </c>
      <c r="AY432" s="644">
        <f t="shared" si="1352"/>
        <v>109248.02743794826</v>
      </c>
      <c r="AZ432" s="645">
        <f t="shared" si="1282"/>
        <v>109128.25289483191</v>
      </c>
      <c r="BA432" s="644">
        <f t="shared" si="1353"/>
        <v>0</v>
      </c>
      <c r="BB432" s="645">
        <f t="shared" si="1354"/>
        <v>109248.02743794826</v>
      </c>
      <c r="BC432" s="646">
        <f t="shared" si="1355"/>
        <v>-785.63440350745725</v>
      </c>
      <c r="BD432" s="647">
        <f t="shared" si="1356"/>
        <v>108462.3930344408</v>
      </c>
      <c r="BE432" s="644">
        <f t="shared" si="1315"/>
        <v>-665.85986039110867</v>
      </c>
      <c r="BF432" s="645">
        <f t="shared" si="1316"/>
        <v>0</v>
      </c>
      <c r="BG432" s="646">
        <f t="shared" si="1357"/>
        <v>0</v>
      </c>
      <c r="BH432" s="647">
        <f t="shared" si="1317"/>
        <v>109128.25289483191</v>
      </c>
      <c r="BI432" s="644">
        <f t="shared" si="1358"/>
        <v>0</v>
      </c>
      <c r="BJ432" s="645">
        <f t="shared" si="1359"/>
        <v>0</v>
      </c>
      <c r="BK432" s="646">
        <f t="shared" si="1360"/>
        <v>0</v>
      </c>
      <c r="BL432" s="647">
        <f t="shared" si="1318"/>
        <v>109128.25289483191</v>
      </c>
      <c r="BM432" s="644">
        <f t="shared" si="1361"/>
        <v>0</v>
      </c>
      <c r="BN432" s="645">
        <f t="shared" si="1362"/>
        <v>0</v>
      </c>
      <c r="BO432" s="646">
        <f t="shared" si="1363"/>
        <v>0</v>
      </c>
      <c r="BP432" s="647">
        <f t="shared" si="1319"/>
        <v>109128.25289483191</v>
      </c>
      <c r="BQ432" s="644">
        <f t="shared" si="1364"/>
        <v>0</v>
      </c>
      <c r="BR432" s="645">
        <f t="shared" si="1365"/>
        <v>0</v>
      </c>
      <c r="BS432" s="646">
        <f t="shared" si="1366"/>
        <v>0</v>
      </c>
      <c r="BT432" s="647">
        <f t="shared" si="1320"/>
        <v>109128.25289483191</v>
      </c>
      <c r="BU432" s="662">
        <f>VLOOKUP(B432,'Afton Update'!$A$5:$AR$582,'Afton Update'!$AO$589,0)-BT432</f>
        <v>0</v>
      </c>
      <c r="BV432" s="644">
        <f t="shared" si="1367"/>
        <v>222547.25760754038</v>
      </c>
      <c r="BW432" s="645">
        <f t="shared" si="1305"/>
        <v>222678.32065968131</v>
      </c>
      <c r="BX432" s="644">
        <f t="shared" si="1368"/>
        <v>131.063052140933</v>
      </c>
      <c r="BY432" s="645">
        <f t="shared" si="1369"/>
        <v>0</v>
      </c>
      <c r="BZ432" s="646">
        <f t="shared" si="1370"/>
        <v>0</v>
      </c>
      <c r="CA432" s="647">
        <f t="shared" si="1371"/>
        <v>222678.32065968131</v>
      </c>
      <c r="CB432" s="644">
        <f t="shared" si="1321"/>
        <v>0</v>
      </c>
      <c r="CC432" s="645">
        <f t="shared" si="1322"/>
        <v>0</v>
      </c>
      <c r="CD432" s="646">
        <f t="shared" si="1372"/>
        <v>0</v>
      </c>
      <c r="CE432" s="647">
        <f t="shared" si="1323"/>
        <v>222678.32065968131</v>
      </c>
      <c r="CF432" s="644">
        <f t="shared" si="1373"/>
        <v>0</v>
      </c>
      <c r="CG432" s="645">
        <f t="shared" si="1374"/>
        <v>0</v>
      </c>
      <c r="CH432" s="646">
        <f t="shared" si="1375"/>
        <v>0</v>
      </c>
      <c r="CI432" s="647">
        <f t="shared" si="1324"/>
        <v>222678.32065968131</v>
      </c>
      <c r="CJ432" s="644">
        <f t="shared" si="1376"/>
        <v>0</v>
      </c>
      <c r="CK432" s="645">
        <f t="shared" si="1377"/>
        <v>0</v>
      </c>
      <c r="CL432" s="646">
        <f t="shared" si="1378"/>
        <v>0</v>
      </c>
      <c r="CM432" s="647">
        <f t="shared" si="1325"/>
        <v>222678.32065968131</v>
      </c>
      <c r="CN432" s="644">
        <f t="shared" si="1379"/>
        <v>0</v>
      </c>
      <c r="CO432" s="645">
        <f t="shared" si="1380"/>
        <v>0</v>
      </c>
      <c r="CP432" s="646">
        <f t="shared" si="1381"/>
        <v>0</v>
      </c>
      <c r="CQ432" s="647">
        <f t="shared" si="1326"/>
        <v>222678.32065968131</v>
      </c>
      <c r="CS432" s="644">
        <f t="shared" si="1382"/>
        <v>157827.29686762366</v>
      </c>
      <c r="CT432" s="645">
        <f t="shared" si="1306"/>
        <v>158118.12811771024</v>
      </c>
      <c r="CU432" s="644">
        <f t="shared" si="1383"/>
        <v>290.83125008657225</v>
      </c>
      <c r="CV432" s="645">
        <f t="shared" si="1384"/>
        <v>0</v>
      </c>
      <c r="CW432" s="646">
        <f t="shared" si="1385"/>
        <v>0</v>
      </c>
      <c r="CX432" s="647">
        <f t="shared" si="1386"/>
        <v>158118.12811771024</v>
      </c>
      <c r="CY432" s="644">
        <f t="shared" si="1327"/>
        <v>0</v>
      </c>
      <c r="CZ432" s="645">
        <f t="shared" si="1328"/>
        <v>0</v>
      </c>
      <c r="DA432" s="646">
        <f t="shared" si="1387"/>
        <v>0</v>
      </c>
      <c r="DB432" s="647">
        <f t="shared" si="1329"/>
        <v>158118.12811771024</v>
      </c>
      <c r="DC432" s="644">
        <f t="shared" si="1388"/>
        <v>0</v>
      </c>
      <c r="DD432" s="645">
        <f t="shared" si="1389"/>
        <v>0</v>
      </c>
      <c r="DE432" s="646">
        <f t="shared" si="1390"/>
        <v>0</v>
      </c>
      <c r="DF432" s="647">
        <f t="shared" si="1330"/>
        <v>158118.12811771024</v>
      </c>
      <c r="DG432" s="644">
        <f t="shared" si="1391"/>
        <v>0</v>
      </c>
      <c r="DH432" s="645">
        <f t="shared" si="1392"/>
        <v>0</v>
      </c>
      <c r="DI432" s="646">
        <f t="shared" si="1393"/>
        <v>0</v>
      </c>
      <c r="DJ432" s="647">
        <f t="shared" si="1331"/>
        <v>158118.12811771024</v>
      </c>
      <c r="DK432" s="644">
        <f t="shared" si="1394"/>
        <v>0</v>
      </c>
      <c r="DL432" s="645">
        <f t="shared" si="1395"/>
        <v>0</v>
      </c>
      <c r="DM432" s="646">
        <f t="shared" si="1396"/>
        <v>0</v>
      </c>
      <c r="DN432" s="647">
        <f t="shared" si="1332"/>
        <v>158118.12811771024</v>
      </c>
      <c r="DR432" s="827">
        <f t="shared" si="1283"/>
        <v>963269.77614522073</v>
      </c>
      <c r="DV432" s="828">
        <f>IFERROR(VLOOKUP($B432,'Afton FY16 Final'!$A$5:$BV$587,'Afton FY16 Final'!$BV$587,0),0)</f>
        <v>1049225.5493471636</v>
      </c>
      <c r="DX432" s="636">
        <f t="shared" si="1274"/>
        <v>0</v>
      </c>
      <c r="DY432" s="637">
        <f t="shared" si="1275"/>
        <v>0</v>
      </c>
      <c r="DZ432" s="637">
        <f t="shared" si="1276"/>
        <v>0</v>
      </c>
      <c r="EA432" s="643">
        <f t="shared" si="1277"/>
        <v>0</v>
      </c>
      <c r="EB432" s="637">
        <f t="shared" si="1284"/>
        <v>0</v>
      </c>
      <c r="EC432" s="637">
        <f t="shared" si="1285"/>
        <v>0</v>
      </c>
      <c r="ED432" s="637">
        <f t="shared" si="1286"/>
        <v>0</v>
      </c>
      <c r="EE432" s="643">
        <f t="shared" si="1287"/>
        <v>0</v>
      </c>
      <c r="EF432" s="637">
        <f t="shared" si="1288"/>
        <v>0</v>
      </c>
      <c r="EG432" s="637">
        <f t="shared" si="1289"/>
        <v>0</v>
      </c>
      <c r="EH432" s="637">
        <f t="shared" si="1290"/>
        <v>0</v>
      </c>
      <c r="EI432" s="643">
        <f t="shared" si="1291"/>
        <v>0</v>
      </c>
      <c r="EJ432" s="637">
        <f t="shared" si="1292"/>
        <v>0</v>
      </c>
      <c r="EK432" s="637">
        <f t="shared" si="1293"/>
        <v>0</v>
      </c>
      <c r="EL432" s="637">
        <f t="shared" si="1294"/>
        <v>0</v>
      </c>
      <c r="EM432" s="643">
        <f t="shared" si="1295"/>
        <v>0</v>
      </c>
      <c r="EN432" s="637">
        <f t="shared" si="1296"/>
        <v>0</v>
      </c>
      <c r="EO432" s="637">
        <f t="shared" si="1297"/>
        <v>0</v>
      </c>
      <c r="EP432" s="637">
        <f t="shared" si="1298"/>
        <v>0</v>
      </c>
      <c r="EQ432" s="643">
        <f t="shared" si="1299"/>
        <v>0</v>
      </c>
      <c r="ER432" s="637">
        <f t="shared" si="1300"/>
        <v>0</v>
      </c>
      <c r="ES432" s="637">
        <f t="shared" si="1301"/>
        <v>0</v>
      </c>
      <c r="ET432" s="637">
        <f t="shared" si="1302"/>
        <v>0</v>
      </c>
      <c r="EU432" s="643">
        <f t="shared" si="1278"/>
        <v>0</v>
      </c>
      <c r="EV432" s="643">
        <f t="shared" si="1279"/>
        <v>0</v>
      </c>
      <c r="EX432" s="829">
        <f t="shared" si="1280"/>
        <v>0</v>
      </c>
      <c r="EY432" s="638">
        <f t="shared" si="1281"/>
        <v>963269.77614522073</v>
      </c>
      <c r="FC432" s="830" t="str">
        <f t="shared" si="1303"/>
        <v>Y</v>
      </c>
      <c r="FE432" s="830" t="str">
        <f>IFERROR(VLOOKUP($B432,'Historical Conc Grant Elig'!$B$3:$J$707,'HH &amp; SI'!FE$2,0),"N")</f>
        <v>Y</v>
      </c>
      <c r="FF432" s="830" t="str">
        <f>IFERROR(VLOOKUP($B432,'Historical Conc Grant Elig'!$B$3:$J$707,'HH &amp; SI'!FF$2,0),"N")</f>
        <v>Y</v>
      </c>
      <c r="FG432" s="830" t="str">
        <f>IFERROR(VLOOKUP($B432,'Historical Conc Grant Elig'!$B$3:$J$707,'HH &amp; SI'!FG$2,0),"N")</f>
        <v>Y</v>
      </c>
      <c r="FH432" s="830" t="str">
        <f>IFERROR(VLOOKUP($B432,'Historical Conc Grant Elig'!$B$3:$J$707,'HH &amp; SI'!FH$2,0),"N")</f>
        <v>Y</v>
      </c>
      <c r="FI432" s="830" t="str">
        <f>IFERROR(VLOOKUP($B432,'Historical Conc Grant Elig'!$B$3:$J$707,'HH &amp; SI'!FI$2,0),"N")</f>
        <v>Y</v>
      </c>
      <c r="FJ432" s="830" t="str">
        <f>IFERROR(VLOOKUP($B432,'Historical Conc Grant Elig'!$B$3:$J$707,'HH &amp; SI'!FJ$2,0),"N")</f>
        <v>Y</v>
      </c>
      <c r="FK432" s="830" t="str">
        <f>IFERROR(VLOOKUP($B432,'Historical Conc Grant Elig'!$B$3:$J$707,'HH &amp; SI'!FK$2,0),"N")</f>
        <v>Y</v>
      </c>
      <c r="FL432" s="957" t="str">
        <f>IFERROR(VLOOKUP($B432,'Historical Conc Grant Elig'!$B$3:$J$707,'HH &amp; SI'!FL$2,0),"N")</f>
        <v>Y</v>
      </c>
    </row>
    <row r="433" spans="2:168" x14ac:dyDescent="0.25">
      <c r="B433" s="634">
        <v>120328000</v>
      </c>
      <c r="C433" s="635" t="str">
        <f>VLOOKUP($B433,'Afton Update'!$A$5:$CR$582,'Afton Update'!D$589,0)</f>
        <v>Santa Cruz Elementary District</v>
      </c>
      <c r="D433" s="636">
        <f>IFERROR(VLOOKUP($B433,'Afton FY16 Final'!$A$5:$BV$587,'Afton FY16 Final'!AQ$587,0),0)</f>
        <v>64475.070753354805</v>
      </c>
      <c r="E433" s="637">
        <f>IFERROR(VLOOKUP($B433,'Afton FY16 Final'!$A$5:$BV$587,'Afton FY16 Final'!AR$587,0),0)</f>
        <v>14848.567988023673</v>
      </c>
      <c r="F433" s="637">
        <f>IFERROR(VLOOKUP($B433,'Afton FY16 Final'!$A$5:$BV$587,'Afton FY16 Final'!AS$587,0),0)</f>
        <v>33244.196892314445</v>
      </c>
      <c r="G433" s="637">
        <f>IFERROR(VLOOKUP($B433,'Afton FY16 Final'!$A$5:$BV$587,'Afton FY16 Final'!AT$587,0),0)</f>
        <v>24642.846354093366</v>
      </c>
      <c r="H433" s="638">
        <f>IFERROR(VLOOKUP($B433,'Afton FY16 Final'!$A$5:$BV$587,'Afton FY16 Final'!AU$587,0),0)</f>
        <v>137210.68198778629</v>
      </c>
      <c r="I433" s="639" t="str">
        <f>VLOOKUP($B433,'Afton Update'!$A$5:$CR$582,'Afton Update'!BT$589,0)</f>
        <v>Y</v>
      </c>
      <c r="J433" s="640" t="str">
        <f>VLOOKUP($B433,'Afton Update'!$A$5:$CR$582,'Afton Update'!BU$589,0)</f>
        <v>Y</v>
      </c>
      <c r="K433" s="640" t="str">
        <f>VLOOKUP($B433,'Afton Update'!$A$5:$CR$582,'Afton Update'!BV$589,0)</f>
        <v>Y</v>
      </c>
      <c r="L433" s="641" t="str">
        <f>VLOOKUP($B433,'Afton Update'!$A$5:$CR$582,'Afton Update'!BW$589,0)</f>
        <v>Y</v>
      </c>
      <c r="N433" s="642">
        <f>VLOOKUP($B433,'Afton Update'!$A$5:$CR$582,'Afton Update'!CB$589,0)</f>
        <v>0.9</v>
      </c>
      <c r="P433" s="636">
        <f>VLOOKUP($B433,'Afton Update'!$A$5:$CR$582,'Afton Update'!AH$589,0)</f>
        <v>58164.96801918502</v>
      </c>
      <c r="Q433" s="637">
        <f>VLOOKUP($B433,'Afton Update'!$A$5:$CR$582,'Afton Update'!AI$589,0)</f>
        <v>13435.804906205734</v>
      </c>
      <c r="R433" s="637">
        <f>VLOOKUP($B433,'Afton Update'!$A$5:$CR$582,'Afton Update'!AJ$589,0)</f>
        <v>29957.813084141777</v>
      </c>
      <c r="S433" s="637">
        <f>VLOOKUP($B433,'Afton Update'!$A$5:$CR$582,'Afton Update'!AK$589,0)</f>
        <v>22233.761461947041</v>
      </c>
      <c r="T433" s="643">
        <f t="shared" si="1307"/>
        <v>123792.34747147957</v>
      </c>
      <c r="V433" s="636">
        <f t="shared" si="1333"/>
        <v>58027.563678019324</v>
      </c>
      <c r="W433" s="637">
        <f t="shared" si="1334"/>
        <v>13363.711189221305</v>
      </c>
      <c r="X433" s="637">
        <f t="shared" si="1335"/>
        <v>29919.777203083002</v>
      </c>
      <c r="Y433" s="637">
        <f t="shared" si="1336"/>
        <v>22178.561718684032</v>
      </c>
      <c r="Z433" s="643">
        <f t="shared" si="1337"/>
        <v>123489.61378900768</v>
      </c>
      <c r="AB433" s="644">
        <f t="shared" si="1308"/>
        <v>58164.96801918502</v>
      </c>
      <c r="AC433" s="645">
        <f t="shared" si="1304"/>
        <v>58027.563678019324</v>
      </c>
      <c r="AD433" s="644">
        <f t="shared" si="1338"/>
        <v>0</v>
      </c>
      <c r="AE433" s="645">
        <f t="shared" si="1339"/>
        <v>58164.96801918502</v>
      </c>
      <c r="AF433" s="646">
        <f t="shared" si="1340"/>
        <v>-720.99848840773109</v>
      </c>
      <c r="AG433" s="647">
        <f t="shared" si="1341"/>
        <v>57443.969530777293</v>
      </c>
      <c r="AH433" s="644">
        <f t="shared" si="1309"/>
        <v>-583.59414724203089</v>
      </c>
      <c r="AI433" s="645">
        <f t="shared" si="1310"/>
        <v>0</v>
      </c>
      <c r="AJ433" s="646">
        <f t="shared" si="1342"/>
        <v>0</v>
      </c>
      <c r="AK433" s="647">
        <f t="shared" si="1311"/>
        <v>58027.563678019324</v>
      </c>
      <c r="AL433" s="644">
        <f t="shared" si="1343"/>
        <v>0</v>
      </c>
      <c r="AM433" s="645">
        <f t="shared" si="1344"/>
        <v>0</v>
      </c>
      <c r="AN433" s="646">
        <f t="shared" si="1345"/>
        <v>0</v>
      </c>
      <c r="AO433" s="647">
        <f t="shared" si="1312"/>
        <v>58027.563678019324</v>
      </c>
      <c r="AP433" s="644">
        <f t="shared" si="1346"/>
        <v>0</v>
      </c>
      <c r="AQ433" s="645">
        <f t="shared" si="1347"/>
        <v>0</v>
      </c>
      <c r="AR433" s="646">
        <f t="shared" si="1348"/>
        <v>0</v>
      </c>
      <c r="AS433" s="647">
        <f t="shared" si="1313"/>
        <v>58027.563678019324</v>
      </c>
      <c r="AT433" s="644">
        <f t="shared" si="1349"/>
        <v>0</v>
      </c>
      <c r="AU433" s="645">
        <f t="shared" si="1350"/>
        <v>0</v>
      </c>
      <c r="AV433" s="646">
        <f t="shared" si="1351"/>
        <v>0</v>
      </c>
      <c r="AW433" s="647">
        <f t="shared" si="1314"/>
        <v>58027.563678019324</v>
      </c>
      <c r="AY433" s="644">
        <f t="shared" si="1352"/>
        <v>13435.804906205734</v>
      </c>
      <c r="AZ433" s="645">
        <f t="shared" si="1282"/>
        <v>13363.711189221305</v>
      </c>
      <c r="BA433" s="644">
        <f t="shared" si="1353"/>
        <v>0</v>
      </c>
      <c r="BB433" s="645">
        <f t="shared" si="1354"/>
        <v>13435.804906205734</v>
      </c>
      <c r="BC433" s="646">
        <f t="shared" si="1355"/>
        <v>-96.620788683118306</v>
      </c>
      <c r="BD433" s="647">
        <f t="shared" si="1356"/>
        <v>13339.184117522616</v>
      </c>
      <c r="BE433" s="644">
        <f t="shared" si="1315"/>
        <v>-24.527071698688815</v>
      </c>
      <c r="BF433" s="645">
        <f t="shared" si="1316"/>
        <v>0</v>
      </c>
      <c r="BG433" s="646">
        <f t="shared" si="1357"/>
        <v>0</v>
      </c>
      <c r="BH433" s="647">
        <f t="shared" si="1317"/>
        <v>13363.711189221305</v>
      </c>
      <c r="BI433" s="644">
        <f t="shared" si="1358"/>
        <v>0</v>
      </c>
      <c r="BJ433" s="645">
        <f t="shared" si="1359"/>
        <v>0</v>
      </c>
      <c r="BK433" s="646">
        <f t="shared" si="1360"/>
        <v>0</v>
      </c>
      <c r="BL433" s="647">
        <f t="shared" si="1318"/>
        <v>13363.711189221305</v>
      </c>
      <c r="BM433" s="644">
        <f t="shared" si="1361"/>
        <v>0</v>
      </c>
      <c r="BN433" s="645">
        <f t="shared" si="1362"/>
        <v>0</v>
      </c>
      <c r="BO433" s="646">
        <f t="shared" si="1363"/>
        <v>0</v>
      </c>
      <c r="BP433" s="647">
        <f t="shared" si="1319"/>
        <v>13363.711189221305</v>
      </c>
      <c r="BQ433" s="644">
        <f t="shared" si="1364"/>
        <v>0</v>
      </c>
      <c r="BR433" s="645">
        <f t="shared" si="1365"/>
        <v>0</v>
      </c>
      <c r="BS433" s="646">
        <f t="shared" si="1366"/>
        <v>0</v>
      </c>
      <c r="BT433" s="647">
        <f t="shared" si="1320"/>
        <v>13363.711189221305</v>
      </c>
      <c r="BU433" s="662">
        <f>VLOOKUP(B433,'Afton Update'!$A$5:$AR$582,'Afton Update'!$AO$589,0)-BT433</f>
        <v>0</v>
      </c>
      <c r="BV433" s="644">
        <f t="shared" si="1367"/>
        <v>29957.813084141777</v>
      </c>
      <c r="BW433" s="645">
        <f t="shared" si="1305"/>
        <v>29919.777203083002</v>
      </c>
      <c r="BX433" s="644">
        <f t="shared" si="1368"/>
        <v>0</v>
      </c>
      <c r="BY433" s="645">
        <f t="shared" si="1369"/>
        <v>29957.813084141777</v>
      </c>
      <c r="BZ433" s="646">
        <f t="shared" si="1370"/>
        <v>-262.94291051861717</v>
      </c>
      <c r="CA433" s="647">
        <f t="shared" si="1371"/>
        <v>29694.87017362316</v>
      </c>
      <c r="CB433" s="644">
        <f t="shared" si="1321"/>
        <v>-224.90702945984231</v>
      </c>
      <c r="CC433" s="645">
        <f t="shared" si="1322"/>
        <v>0</v>
      </c>
      <c r="CD433" s="646">
        <f t="shared" si="1372"/>
        <v>0</v>
      </c>
      <c r="CE433" s="647">
        <f t="shared" si="1323"/>
        <v>29919.777203083002</v>
      </c>
      <c r="CF433" s="644">
        <f t="shared" si="1373"/>
        <v>0</v>
      </c>
      <c r="CG433" s="645">
        <f t="shared" si="1374"/>
        <v>0</v>
      </c>
      <c r="CH433" s="646">
        <f t="shared" si="1375"/>
        <v>0</v>
      </c>
      <c r="CI433" s="647">
        <f t="shared" si="1324"/>
        <v>29919.777203083002</v>
      </c>
      <c r="CJ433" s="644">
        <f t="shared" si="1376"/>
        <v>0</v>
      </c>
      <c r="CK433" s="645">
        <f t="shared" si="1377"/>
        <v>0</v>
      </c>
      <c r="CL433" s="646">
        <f t="shared" si="1378"/>
        <v>0</v>
      </c>
      <c r="CM433" s="647">
        <f t="shared" si="1325"/>
        <v>29919.777203083002</v>
      </c>
      <c r="CN433" s="644">
        <f t="shared" si="1379"/>
        <v>0</v>
      </c>
      <c r="CO433" s="645">
        <f t="shared" si="1380"/>
        <v>0</v>
      </c>
      <c r="CP433" s="646">
        <f t="shared" si="1381"/>
        <v>0</v>
      </c>
      <c r="CQ433" s="647">
        <f t="shared" si="1326"/>
        <v>29919.777203083002</v>
      </c>
      <c r="CS433" s="644">
        <f t="shared" si="1382"/>
        <v>22233.761461947041</v>
      </c>
      <c r="CT433" s="645">
        <f t="shared" si="1306"/>
        <v>22178.561718684032</v>
      </c>
      <c r="CU433" s="644">
        <f t="shared" si="1383"/>
        <v>0</v>
      </c>
      <c r="CV433" s="645">
        <f t="shared" si="1384"/>
        <v>22233.761461947041</v>
      </c>
      <c r="CW433" s="646">
        <f t="shared" si="1385"/>
        <v>-227.68628215754228</v>
      </c>
      <c r="CX433" s="647">
        <f t="shared" si="1386"/>
        <v>22006.075179789499</v>
      </c>
      <c r="CY433" s="644">
        <f t="shared" si="1327"/>
        <v>-172.48653889453271</v>
      </c>
      <c r="CZ433" s="645">
        <f t="shared" si="1328"/>
        <v>0</v>
      </c>
      <c r="DA433" s="646">
        <f t="shared" si="1387"/>
        <v>0</v>
      </c>
      <c r="DB433" s="647">
        <f t="shared" si="1329"/>
        <v>22178.561718684032</v>
      </c>
      <c r="DC433" s="644">
        <f t="shared" si="1388"/>
        <v>0</v>
      </c>
      <c r="DD433" s="645">
        <f t="shared" si="1389"/>
        <v>0</v>
      </c>
      <c r="DE433" s="646">
        <f t="shared" si="1390"/>
        <v>0</v>
      </c>
      <c r="DF433" s="647">
        <f t="shared" si="1330"/>
        <v>22178.561718684032</v>
      </c>
      <c r="DG433" s="644">
        <f t="shared" si="1391"/>
        <v>0</v>
      </c>
      <c r="DH433" s="645">
        <f t="shared" si="1392"/>
        <v>0</v>
      </c>
      <c r="DI433" s="646">
        <f t="shared" si="1393"/>
        <v>0</v>
      </c>
      <c r="DJ433" s="647">
        <f t="shared" si="1331"/>
        <v>22178.561718684032</v>
      </c>
      <c r="DK433" s="644">
        <f t="shared" si="1394"/>
        <v>0</v>
      </c>
      <c r="DL433" s="645">
        <f t="shared" si="1395"/>
        <v>0</v>
      </c>
      <c r="DM433" s="646">
        <f t="shared" si="1396"/>
        <v>0</v>
      </c>
      <c r="DN433" s="647">
        <f t="shared" si="1332"/>
        <v>22178.561718684032</v>
      </c>
      <c r="DR433" s="827">
        <f t="shared" si="1283"/>
        <v>123489.61378900768</v>
      </c>
      <c r="DV433" s="828">
        <f>IFERROR(VLOOKUP($B433,'Afton FY16 Final'!$A$5:$BV$587,'Afton FY16 Final'!$BV$587,0),0)</f>
        <v>134509.00368217006</v>
      </c>
      <c r="DX433" s="636">
        <f t="shared" si="1274"/>
        <v>0</v>
      </c>
      <c r="DY433" s="637">
        <f t="shared" si="1275"/>
        <v>0</v>
      </c>
      <c r="DZ433" s="637">
        <f t="shared" si="1276"/>
        <v>0</v>
      </c>
      <c r="EA433" s="643">
        <f t="shared" si="1277"/>
        <v>0</v>
      </c>
      <c r="EB433" s="637">
        <f t="shared" si="1284"/>
        <v>0</v>
      </c>
      <c r="EC433" s="637">
        <f t="shared" si="1285"/>
        <v>0</v>
      </c>
      <c r="ED433" s="637">
        <f t="shared" si="1286"/>
        <v>0</v>
      </c>
      <c r="EE433" s="643">
        <f t="shared" si="1287"/>
        <v>0</v>
      </c>
      <c r="EF433" s="637">
        <f t="shared" si="1288"/>
        <v>0</v>
      </c>
      <c r="EG433" s="637">
        <f t="shared" si="1289"/>
        <v>0</v>
      </c>
      <c r="EH433" s="637">
        <f t="shared" si="1290"/>
        <v>0</v>
      </c>
      <c r="EI433" s="643">
        <f t="shared" si="1291"/>
        <v>0</v>
      </c>
      <c r="EJ433" s="637">
        <f t="shared" si="1292"/>
        <v>0</v>
      </c>
      <c r="EK433" s="637">
        <f t="shared" si="1293"/>
        <v>0</v>
      </c>
      <c r="EL433" s="637">
        <f t="shared" si="1294"/>
        <v>0</v>
      </c>
      <c r="EM433" s="643">
        <f t="shared" si="1295"/>
        <v>0</v>
      </c>
      <c r="EN433" s="637">
        <f t="shared" si="1296"/>
        <v>0</v>
      </c>
      <c r="EO433" s="637">
        <f t="shared" si="1297"/>
        <v>0</v>
      </c>
      <c r="EP433" s="637">
        <f t="shared" si="1298"/>
        <v>0</v>
      </c>
      <c r="EQ433" s="643">
        <f t="shared" si="1299"/>
        <v>0</v>
      </c>
      <c r="ER433" s="637">
        <f t="shared" si="1300"/>
        <v>0</v>
      </c>
      <c r="ES433" s="637">
        <f t="shared" si="1301"/>
        <v>0</v>
      </c>
      <c r="ET433" s="637">
        <f t="shared" si="1302"/>
        <v>0</v>
      </c>
      <c r="EU433" s="643">
        <f t="shared" si="1278"/>
        <v>0</v>
      </c>
      <c r="EV433" s="643">
        <f t="shared" si="1279"/>
        <v>0</v>
      </c>
      <c r="EX433" s="829">
        <f t="shared" si="1280"/>
        <v>0</v>
      </c>
      <c r="EY433" s="638">
        <f t="shared" si="1281"/>
        <v>123489.61378900768</v>
      </c>
      <c r="FC433" s="830" t="str">
        <f t="shared" si="1303"/>
        <v>Y</v>
      </c>
      <c r="FE433" s="830" t="str">
        <f>IFERROR(VLOOKUP($B433,'Historical Conc Grant Elig'!$B$3:$J$707,'HH &amp; SI'!FE$2,0),"N")</f>
        <v>Y</v>
      </c>
      <c r="FF433" s="830" t="str">
        <f>IFERROR(VLOOKUP($B433,'Historical Conc Grant Elig'!$B$3:$J$707,'HH &amp; SI'!FF$2,0),"N")</f>
        <v>N</v>
      </c>
      <c r="FG433" s="830" t="str">
        <f>IFERROR(VLOOKUP($B433,'Historical Conc Grant Elig'!$B$3:$J$707,'HH &amp; SI'!FG$2,0),"N")</f>
        <v>Y</v>
      </c>
      <c r="FH433" s="830" t="str">
        <f>IFERROR(VLOOKUP($B433,'Historical Conc Grant Elig'!$B$3:$J$707,'HH &amp; SI'!FH$2,0),"N")</f>
        <v>Y</v>
      </c>
      <c r="FI433" s="830" t="str">
        <f>IFERROR(VLOOKUP($B433,'Historical Conc Grant Elig'!$B$3:$J$707,'HH &amp; SI'!FI$2,0),"N")</f>
        <v>Y</v>
      </c>
      <c r="FJ433" s="830" t="str">
        <f>IFERROR(VLOOKUP($B433,'Historical Conc Grant Elig'!$B$3:$J$707,'HH &amp; SI'!FJ$2,0),"N")</f>
        <v>Y</v>
      </c>
      <c r="FK433" s="830" t="str">
        <f>IFERROR(VLOOKUP($B433,'Historical Conc Grant Elig'!$B$3:$J$707,'HH &amp; SI'!FK$2,0),"N")</f>
        <v>Y</v>
      </c>
      <c r="FL433" s="957" t="str">
        <f>IFERROR(VLOOKUP($B433,'Historical Conc Grant Elig'!$B$3:$J$707,'HH &amp; SI'!FL$2,0),"N")</f>
        <v>Y</v>
      </c>
    </row>
    <row r="434" spans="2:168" x14ac:dyDescent="0.25">
      <c r="B434" s="634">
        <v>120406000</v>
      </c>
      <c r="C434" s="635" t="str">
        <f>VLOOKUP($B434,'Afton Update'!$A$5:$CR$582,'Afton Update'!D$589,0)</f>
        <v>Patagonia Elementary District</v>
      </c>
      <c r="D434" s="636">
        <f>IFERROR(VLOOKUP($B434,'Afton FY16 Final'!$A$5:$BV$587,'Afton FY16 Final'!AQ$587,0),0)</f>
        <v>28299.642051063904</v>
      </c>
      <c r="E434" s="637">
        <f>IFERROR(VLOOKUP($B434,'Afton FY16 Final'!$A$5:$BV$587,'Afton FY16 Final'!AR$587,0),0)</f>
        <v>6420.9359976909063</v>
      </c>
      <c r="F434" s="637">
        <f>IFERROR(VLOOKUP($B434,'Afton FY16 Final'!$A$5:$BV$587,'Afton FY16 Final'!AS$587,0),0)</f>
        <v>19220.415571791571</v>
      </c>
      <c r="G434" s="637">
        <f>IFERROR(VLOOKUP($B434,'Afton FY16 Final'!$A$5:$BV$587,'Afton FY16 Final'!AT$587,0),0)</f>
        <v>20969.801119927401</v>
      </c>
      <c r="H434" s="638">
        <f>IFERROR(VLOOKUP($B434,'Afton FY16 Final'!$A$5:$BV$587,'Afton FY16 Final'!AU$587,0),0)</f>
        <v>74910.794740473779</v>
      </c>
      <c r="I434" s="639" t="str">
        <f>VLOOKUP($B434,'Afton Update'!$A$5:$CR$582,'Afton Update'!BT$589,0)</f>
        <v>Y</v>
      </c>
      <c r="J434" s="640" t="str">
        <f>VLOOKUP($B434,'Afton Update'!$A$5:$CR$582,'Afton Update'!BU$589,0)</f>
        <v>Y</v>
      </c>
      <c r="K434" s="640" t="str">
        <f>VLOOKUP($B434,'Afton Update'!$A$5:$CR$582,'Afton Update'!BV$589,0)</f>
        <v>Y</v>
      </c>
      <c r="L434" s="641" t="str">
        <f>VLOOKUP($B434,'Afton Update'!$A$5:$CR$582,'Afton Update'!BW$589,0)</f>
        <v>Y</v>
      </c>
      <c r="N434" s="642">
        <f>VLOOKUP($B434,'Afton Update'!$A$5:$CR$582,'Afton Update'!CB$589,0)</f>
        <v>0.95</v>
      </c>
      <c r="P434" s="636">
        <f>VLOOKUP($B434,'Afton Update'!$A$5:$CR$582,'Afton Update'!AH$589,0)</f>
        <v>26976.80024646188</v>
      </c>
      <c r="Q434" s="637">
        <f>VLOOKUP($B434,'Afton Update'!$A$5:$CR$582,'Afton Update'!AI$589,0)</f>
        <v>6178.531305848267</v>
      </c>
      <c r="R434" s="637">
        <f>VLOOKUP($B434,'Afton Update'!$A$5:$CR$582,'Afton Update'!AJ$589,0)</f>
        <v>18293.038785365221</v>
      </c>
      <c r="S434" s="637">
        <f>VLOOKUP($B434,'Afton Update'!$A$5:$CR$582,'Afton Update'!AK$589,0)</f>
        <v>19962.652705226519</v>
      </c>
      <c r="T434" s="643">
        <f t="shared" si="1307"/>
        <v>71411.023042901885</v>
      </c>
      <c r="V434" s="636">
        <f t="shared" si="1333"/>
        <v>26884.659948510707</v>
      </c>
      <c r="W434" s="637">
        <f t="shared" si="1334"/>
        <v>6099.8891978063612</v>
      </c>
      <c r="X434" s="637">
        <f t="shared" si="1335"/>
        <v>18259.394793201991</v>
      </c>
      <c r="Y434" s="637">
        <f t="shared" si="1336"/>
        <v>19921.311063931029</v>
      </c>
      <c r="Z434" s="643">
        <f t="shared" si="1337"/>
        <v>71165.255003450089</v>
      </c>
      <c r="AB434" s="644">
        <f t="shared" si="1308"/>
        <v>26976.80024646188</v>
      </c>
      <c r="AC434" s="645">
        <f t="shared" si="1304"/>
        <v>26884.659948510707</v>
      </c>
      <c r="AD434" s="644">
        <f t="shared" si="1338"/>
        <v>0</v>
      </c>
      <c r="AE434" s="645">
        <f t="shared" si="1339"/>
        <v>26976.80024646188</v>
      </c>
      <c r="AF434" s="646">
        <f t="shared" si="1340"/>
        <v>-334.39771158063553</v>
      </c>
      <c r="AG434" s="647">
        <f t="shared" si="1341"/>
        <v>26642.402534881247</v>
      </c>
      <c r="AH434" s="644">
        <f t="shared" si="1309"/>
        <v>-242.25741362946064</v>
      </c>
      <c r="AI434" s="645">
        <f t="shared" si="1310"/>
        <v>0</v>
      </c>
      <c r="AJ434" s="646">
        <f t="shared" si="1342"/>
        <v>0</v>
      </c>
      <c r="AK434" s="647">
        <f t="shared" si="1311"/>
        <v>26884.659948510707</v>
      </c>
      <c r="AL434" s="644">
        <f t="shared" si="1343"/>
        <v>0</v>
      </c>
      <c r="AM434" s="645">
        <f t="shared" si="1344"/>
        <v>0</v>
      </c>
      <c r="AN434" s="646">
        <f t="shared" si="1345"/>
        <v>0</v>
      </c>
      <c r="AO434" s="647">
        <f t="shared" si="1312"/>
        <v>26884.659948510707</v>
      </c>
      <c r="AP434" s="644">
        <f t="shared" si="1346"/>
        <v>0</v>
      </c>
      <c r="AQ434" s="645">
        <f t="shared" si="1347"/>
        <v>0</v>
      </c>
      <c r="AR434" s="646">
        <f t="shared" si="1348"/>
        <v>0</v>
      </c>
      <c r="AS434" s="647">
        <f t="shared" si="1313"/>
        <v>26884.659948510707</v>
      </c>
      <c r="AT434" s="644">
        <f t="shared" si="1349"/>
        <v>0</v>
      </c>
      <c r="AU434" s="645">
        <f t="shared" si="1350"/>
        <v>0</v>
      </c>
      <c r="AV434" s="646">
        <f t="shared" si="1351"/>
        <v>0</v>
      </c>
      <c r="AW434" s="647">
        <f t="shared" si="1314"/>
        <v>26884.659948510707</v>
      </c>
      <c r="AY434" s="644">
        <f t="shared" si="1352"/>
        <v>6178.531305848267</v>
      </c>
      <c r="AZ434" s="645">
        <f t="shared" si="1282"/>
        <v>6099.8891978063612</v>
      </c>
      <c r="BA434" s="644">
        <f t="shared" si="1353"/>
        <v>0</v>
      </c>
      <c r="BB434" s="645">
        <f t="shared" si="1354"/>
        <v>6178.531305848267</v>
      </c>
      <c r="BC434" s="646">
        <f t="shared" si="1355"/>
        <v>-44.431619232478262</v>
      </c>
      <c r="BD434" s="647">
        <f t="shared" si="1356"/>
        <v>6134.0996866157884</v>
      </c>
      <c r="BE434" s="644">
        <f t="shared" si="1315"/>
        <v>0</v>
      </c>
      <c r="BF434" s="645">
        <f t="shared" si="1316"/>
        <v>6134.0996866157884</v>
      </c>
      <c r="BG434" s="646">
        <f t="shared" si="1357"/>
        <v>-146.10925560458639</v>
      </c>
      <c r="BH434" s="647">
        <f t="shared" si="1317"/>
        <v>5987.9904310112024</v>
      </c>
      <c r="BI434" s="644">
        <f t="shared" si="1358"/>
        <v>-111.89876679515874</v>
      </c>
      <c r="BJ434" s="645">
        <f t="shared" si="1359"/>
        <v>0</v>
      </c>
      <c r="BK434" s="646">
        <f t="shared" si="1360"/>
        <v>0</v>
      </c>
      <c r="BL434" s="647">
        <f t="shared" si="1318"/>
        <v>6099.8891978063612</v>
      </c>
      <c r="BM434" s="644">
        <f t="shared" si="1361"/>
        <v>0</v>
      </c>
      <c r="BN434" s="645">
        <f t="shared" si="1362"/>
        <v>0</v>
      </c>
      <c r="BO434" s="646">
        <f t="shared" si="1363"/>
        <v>0</v>
      </c>
      <c r="BP434" s="647">
        <f t="shared" si="1319"/>
        <v>6099.8891978063612</v>
      </c>
      <c r="BQ434" s="644">
        <f t="shared" si="1364"/>
        <v>0</v>
      </c>
      <c r="BR434" s="645">
        <f t="shared" si="1365"/>
        <v>0</v>
      </c>
      <c r="BS434" s="646">
        <f t="shared" si="1366"/>
        <v>0</v>
      </c>
      <c r="BT434" s="647">
        <f t="shared" si="1320"/>
        <v>6099.8891978063612</v>
      </c>
      <c r="BU434" s="662">
        <f>VLOOKUP(B434,'Afton Update'!$A$5:$AR$582,'Afton Update'!$AO$589,0)-BT434</f>
        <v>0</v>
      </c>
      <c r="BV434" s="644">
        <f t="shared" si="1367"/>
        <v>18293.038785365221</v>
      </c>
      <c r="BW434" s="645">
        <f t="shared" si="1305"/>
        <v>18259.394793201991</v>
      </c>
      <c r="BX434" s="644">
        <f t="shared" si="1368"/>
        <v>0</v>
      </c>
      <c r="BY434" s="645">
        <f t="shared" si="1369"/>
        <v>18293.038785365221</v>
      </c>
      <c r="BZ434" s="646">
        <f t="shared" si="1370"/>
        <v>-160.55994631330668</v>
      </c>
      <c r="CA434" s="647">
        <f t="shared" si="1371"/>
        <v>18132.478839051913</v>
      </c>
      <c r="CB434" s="644">
        <f t="shared" si="1321"/>
        <v>-126.9159541500776</v>
      </c>
      <c r="CC434" s="645">
        <f t="shared" si="1322"/>
        <v>0</v>
      </c>
      <c r="CD434" s="646">
        <f t="shared" si="1372"/>
        <v>0</v>
      </c>
      <c r="CE434" s="647">
        <f t="shared" si="1323"/>
        <v>18259.394793201991</v>
      </c>
      <c r="CF434" s="644">
        <f t="shared" si="1373"/>
        <v>0</v>
      </c>
      <c r="CG434" s="645">
        <f t="shared" si="1374"/>
        <v>0</v>
      </c>
      <c r="CH434" s="646">
        <f t="shared" si="1375"/>
        <v>0</v>
      </c>
      <c r="CI434" s="647">
        <f t="shared" si="1324"/>
        <v>18259.394793201991</v>
      </c>
      <c r="CJ434" s="644">
        <f t="shared" si="1376"/>
        <v>0</v>
      </c>
      <c r="CK434" s="645">
        <f t="shared" si="1377"/>
        <v>0</v>
      </c>
      <c r="CL434" s="646">
        <f t="shared" si="1378"/>
        <v>0</v>
      </c>
      <c r="CM434" s="647">
        <f t="shared" si="1325"/>
        <v>18259.394793201991</v>
      </c>
      <c r="CN434" s="644">
        <f t="shared" si="1379"/>
        <v>0</v>
      </c>
      <c r="CO434" s="645">
        <f t="shared" si="1380"/>
        <v>0</v>
      </c>
      <c r="CP434" s="646">
        <f t="shared" si="1381"/>
        <v>0</v>
      </c>
      <c r="CQ434" s="647">
        <f t="shared" si="1326"/>
        <v>18259.394793201991</v>
      </c>
      <c r="CS434" s="644">
        <f t="shared" si="1382"/>
        <v>19962.652705226519</v>
      </c>
      <c r="CT434" s="645">
        <f t="shared" si="1306"/>
        <v>19921.311063931029</v>
      </c>
      <c r="CU434" s="644">
        <f t="shared" si="1383"/>
        <v>0</v>
      </c>
      <c r="CV434" s="645">
        <f t="shared" si="1384"/>
        <v>19962.652705226519</v>
      </c>
      <c r="CW434" s="646">
        <f t="shared" si="1385"/>
        <v>-204.4288450352565</v>
      </c>
      <c r="CX434" s="647">
        <f t="shared" si="1386"/>
        <v>19758.223860191261</v>
      </c>
      <c r="CY434" s="644">
        <f t="shared" si="1327"/>
        <v>-163.08720373976757</v>
      </c>
      <c r="CZ434" s="645">
        <f t="shared" si="1328"/>
        <v>0</v>
      </c>
      <c r="DA434" s="646">
        <f t="shared" si="1387"/>
        <v>0</v>
      </c>
      <c r="DB434" s="647">
        <f t="shared" si="1329"/>
        <v>19921.311063931029</v>
      </c>
      <c r="DC434" s="644">
        <f t="shared" si="1388"/>
        <v>0</v>
      </c>
      <c r="DD434" s="645">
        <f t="shared" si="1389"/>
        <v>0</v>
      </c>
      <c r="DE434" s="646">
        <f t="shared" si="1390"/>
        <v>0</v>
      </c>
      <c r="DF434" s="647">
        <f t="shared" si="1330"/>
        <v>19921.311063931029</v>
      </c>
      <c r="DG434" s="644">
        <f t="shared" si="1391"/>
        <v>0</v>
      </c>
      <c r="DH434" s="645">
        <f t="shared" si="1392"/>
        <v>0</v>
      </c>
      <c r="DI434" s="646">
        <f t="shared" si="1393"/>
        <v>0</v>
      </c>
      <c r="DJ434" s="647">
        <f t="shared" si="1331"/>
        <v>19921.311063931029</v>
      </c>
      <c r="DK434" s="644">
        <f t="shared" si="1394"/>
        <v>0</v>
      </c>
      <c r="DL434" s="645">
        <f t="shared" si="1395"/>
        <v>0</v>
      </c>
      <c r="DM434" s="646">
        <f t="shared" si="1396"/>
        <v>0</v>
      </c>
      <c r="DN434" s="647">
        <f t="shared" si="1332"/>
        <v>19921.311063931029</v>
      </c>
      <c r="DR434" s="827">
        <f t="shared" si="1283"/>
        <v>71165.255003450089</v>
      </c>
      <c r="DV434" s="828">
        <f>IFERROR(VLOOKUP($B434,'Afton FY16 Final'!$A$5:$BV$587,'Afton FY16 Final'!$BV$587,0),0)</f>
        <v>72259.552924114949</v>
      </c>
      <c r="DX434" s="636">
        <f t="shared" si="1274"/>
        <v>0</v>
      </c>
      <c r="DY434" s="637">
        <f t="shared" si="1275"/>
        <v>0</v>
      </c>
      <c r="DZ434" s="637">
        <f t="shared" si="1276"/>
        <v>0</v>
      </c>
      <c r="EA434" s="643">
        <f t="shared" si="1277"/>
        <v>0</v>
      </c>
      <c r="EB434" s="637">
        <f t="shared" si="1284"/>
        <v>0</v>
      </c>
      <c r="EC434" s="637">
        <f t="shared" si="1285"/>
        <v>0</v>
      </c>
      <c r="ED434" s="637">
        <f t="shared" si="1286"/>
        <v>0</v>
      </c>
      <c r="EE434" s="643">
        <f t="shared" si="1287"/>
        <v>0</v>
      </c>
      <c r="EF434" s="637">
        <f t="shared" si="1288"/>
        <v>0</v>
      </c>
      <c r="EG434" s="637">
        <f t="shared" si="1289"/>
        <v>0</v>
      </c>
      <c r="EH434" s="637">
        <f t="shared" si="1290"/>
        <v>0</v>
      </c>
      <c r="EI434" s="643">
        <f t="shared" si="1291"/>
        <v>0</v>
      </c>
      <c r="EJ434" s="637">
        <f t="shared" si="1292"/>
        <v>0</v>
      </c>
      <c r="EK434" s="637">
        <f t="shared" si="1293"/>
        <v>0</v>
      </c>
      <c r="EL434" s="637">
        <f t="shared" si="1294"/>
        <v>0</v>
      </c>
      <c r="EM434" s="643">
        <f t="shared" si="1295"/>
        <v>0</v>
      </c>
      <c r="EN434" s="637">
        <f t="shared" si="1296"/>
        <v>0</v>
      </c>
      <c r="EO434" s="637">
        <f t="shared" si="1297"/>
        <v>0</v>
      </c>
      <c r="EP434" s="637">
        <f t="shared" si="1298"/>
        <v>0</v>
      </c>
      <c r="EQ434" s="643">
        <f t="shared" si="1299"/>
        <v>0</v>
      </c>
      <c r="ER434" s="637">
        <f t="shared" si="1300"/>
        <v>0</v>
      </c>
      <c r="ES434" s="637">
        <f t="shared" si="1301"/>
        <v>0</v>
      </c>
      <c r="ET434" s="637">
        <f t="shared" si="1302"/>
        <v>0</v>
      </c>
      <c r="EU434" s="643">
        <f t="shared" si="1278"/>
        <v>0</v>
      </c>
      <c r="EV434" s="643">
        <f t="shared" si="1279"/>
        <v>0</v>
      </c>
      <c r="EX434" s="829">
        <f t="shared" si="1280"/>
        <v>0</v>
      </c>
      <c r="EY434" s="638">
        <f t="shared" si="1281"/>
        <v>71165.255003450089</v>
      </c>
      <c r="FC434" s="830" t="str">
        <f t="shared" si="1303"/>
        <v>Y</v>
      </c>
      <c r="FE434" s="830" t="str">
        <f>IFERROR(VLOOKUP($B434,'Historical Conc Grant Elig'!$B$3:$J$707,'HH &amp; SI'!FE$2,0),"N")</f>
        <v>Y</v>
      </c>
      <c r="FF434" s="830" t="str">
        <f>IFERROR(VLOOKUP($B434,'Historical Conc Grant Elig'!$B$3:$J$707,'HH &amp; SI'!FF$2,0),"N")</f>
        <v>Y</v>
      </c>
      <c r="FG434" s="830" t="str">
        <f>IFERROR(VLOOKUP($B434,'Historical Conc Grant Elig'!$B$3:$J$707,'HH &amp; SI'!FG$2,0),"N")</f>
        <v>Y</v>
      </c>
      <c r="FH434" s="830" t="str">
        <f>IFERROR(VLOOKUP($B434,'Historical Conc Grant Elig'!$B$3:$J$707,'HH &amp; SI'!FH$2,0),"N")</f>
        <v>Y</v>
      </c>
      <c r="FI434" s="830" t="str">
        <f>IFERROR(VLOOKUP($B434,'Historical Conc Grant Elig'!$B$3:$J$707,'HH &amp; SI'!FI$2,0),"N")</f>
        <v>Y</v>
      </c>
      <c r="FJ434" s="830" t="str">
        <f>IFERROR(VLOOKUP($B434,'Historical Conc Grant Elig'!$B$3:$J$707,'HH &amp; SI'!FJ$2,0),"N")</f>
        <v>Y</v>
      </c>
      <c r="FK434" s="830" t="str">
        <f>IFERROR(VLOOKUP($B434,'Historical Conc Grant Elig'!$B$3:$J$707,'HH &amp; SI'!FK$2,0),"N")</f>
        <v>Y</v>
      </c>
      <c r="FL434" s="957" t="str">
        <f>IFERROR(VLOOKUP($B434,'Historical Conc Grant Elig'!$B$3:$J$707,'HH &amp; SI'!FL$2,0),"N")</f>
        <v>Y</v>
      </c>
    </row>
    <row r="435" spans="2:168" x14ac:dyDescent="0.25">
      <c r="B435" s="634">
        <v>120425000</v>
      </c>
      <c r="C435" s="635" t="str">
        <f>VLOOKUP($B435,'Afton Update'!$A$5:$CR$582,'Afton Update'!D$589,0)</f>
        <v>Sonoita Elementary District</v>
      </c>
      <c r="D435" s="636">
        <f>IFERROR(VLOOKUP($B435,'Afton FY16 Final'!$A$5:$BV$587,'Afton FY16 Final'!AQ$587,0),0)</f>
        <v>12111.495760015812</v>
      </c>
      <c r="E435" s="637">
        <f>IFERROR(VLOOKUP($B435,'Afton FY16 Final'!$A$5:$BV$587,'Afton FY16 Final'!AR$587,0),0)</f>
        <v>2841.9552497373284</v>
      </c>
      <c r="F435" s="637">
        <f>IFERROR(VLOOKUP($B435,'Afton FY16 Final'!$A$5:$BV$587,'Afton FY16 Final'!AS$587,0),0)</f>
        <v>4490.2556408856753</v>
      </c>
      <c r="G435" s="637">
        <f>IFERROR(VLOOKUP($B435,'Afton FY16 Final'!$A$5:$BV$587,'Afton FY16 Final'!AT$587,0),0)</f>
        <v>3760.7779398279604</v>
      </c>
      <c r="H435" s="638">
        <f>IFERROR(VLOOKUP($B435,'Afton FY16 Final'!$A$5:$BV$587,'Afton FY16 Final'!AU$587,0),0)</f>
        <v>23204.484590466775</v>
      </c>
      <c r="I435" s="639" t="str">
        <f>VLOOKUP($B435,'Afton Update'!$A$5:$CR$582,'Afton Update'!BT$589,0)</f>
        <v>Y</v>
      </c>
      <c r="J435" s="640" t="str">
        <f>VLOOKUP($B435,'Afton Update'!$A$5:$CR$582,'Afton Update'!BU$589,0)</f>
        <v>Y</v>
      </c>
      <c r="K435" s="640" t="str">
        <f>VLOOKUP($B435,'Afton Update'!$A$5:$CR$582,'Afton Update'!BV$589,0)</f>
        <v>Y</v>
      </c>
      <c r="L435" s="641" t="str">
        <f>VLOOKUP($B435,'Afton Update'!$A$5:$CR$582,'Afton Update'!BW$589,0)</f>
        <v>Y</v>
      </c>
      <c r="N435" s="642">
        <f>VLOOKUP($B435,'Afton Update'!$A$5:$CR$582,'Afton Update'!CB$589,0)</f>
        <v>0.9</v>
      </c>
      <c r="P435" s="636">
        <f>VLOOKUP($B435,'Afton Update'!$A$5:$CR$582,'Afton Update'!AH$589,0)</f>
        <v>11325.086632822466</v>
      </c>
      <c r="Q435" s="637">
        <f>VLOOKUP($B435,'Afton Update'!$A$5:$CR$582,'Afton Update'!AI$589,0)</f>
        <v>2698.0123657270296</v>
      </c>
      <c r="R435" s="637">
        <f>VLOOKUP($B435,'Afton Update'!$A$5:$CR$582,'Afton Update'!AJ$589,0)</f>
        <v>4101.9681148308391</v>
      </c>
      <c r="S435" s="637">
        <f>VLOOKUP($B435,'Afton Update'!$A$5:$CR$582,'Afton Update'!AK$589,0)</f>
        <v>3438.9772164770116</v>
      </c>
      <c r="T435" s="643">
        <f t="shared" si="1307"/>
        <v>21564.044329857345</v>
      </c>
      <c r="V435" s="636">
        <f t="shared" si="1333"/>
        <v>11170.605100448547</v>
      </c>
      <c r="W435" s="637">
        <f t="shared" si="1334"/>
        <v>2609.149702590204</v>
      </c>
      <c r="X435" s="637">
        <f t="shared" si="1335"/>
        <v>4064.6623163793479</v>
      </c>
      <c r="Y435" s="637">
        <f t="shared" si="1336"/>
        <v>3401.0858780266431</v>
      </c>
      <c r="Z435" s="643">
        <f t="shared" si="1337"/>
        <v>21245.502997444743</v>
      </c>
      <c r="AB435" s="644">
        <f t="shared" si="1308"/>
        <v>11325.086632822466</v>
      </c>
      <c r="AC435" s="645">
        <f t="shared" si="1304"/>
        <v>10900.346184014232</v>
      </c>
      <c r="AD435" s="644">
        <f t="shared" si="1338"/>
        <v>0</v>
      </c>
      <c r="AE435" s="645">
        <f t="shared" si="1339"/>
        <v>11325.086632822466</v>
      </c>
      <c r="AF435" s="646">
        <f t="shared" si="1340"/>
        <v>-140.38295938989168</v>
      </c>
      <c r="AG435" s="647">
        <f t="shared" si="1341"/>
        <v>11184.703673432574</v>
      </c>
      <c r="AH435" s="644">
        <f t="shared" si="1309"/>
        <v>0</v>
      </c>
      <c r="AI435" s="645">
        <f t="shared" si="1310"/>
        <v>11184.703673432574</v>
      </c>
      <c r="AJ435" s="646">
        <f t="shared" si="1342"/>
        <v>-14.089590826481752</v>
      </c>
      <c r="AK435" s="647">
        <f t="shared" si="1311"/>
        <v>11170.614082606093</v>
      </c>
      <c r="AL435" s="644">
        <f t="shared" si="1343"/>
        <v>0</v>
      </c>
      <c r="AM435" s="645">
        <f t="shared" si="1344"/>
        <v>11170.614082606093</v>
      </c>
      <c r="AN435" s="646">
        <f t="shared" si="1345"/>
        <v>-8.9821575453844175E-3</v>
      </c>
      <c r="AO435" s="647">
        <f t="shared" si="1312"/>
        <v>11170.605100448547</v>
      </c>
      <c r="AP435" s="644">
        <f t="shared" si="1346"/>
        <v>0</v>
      </c>
      <c r="AQ435" s="645">
        <f t="shared" si="1347"/>
        <v>11170.605100448547</v>
      </c>
      <c r="AR435" s="646">
        <f t="shared" si="1348"/>
        <v>0</v>
      </c>
      <c r="AS435" s="647">
        <f t="shared" si="1313"/>
        <v>11170.605100448547</v>
      </c>
      <c r="AT435" s="644">
        <f t="shared" si="1349"/>
        <v>0</v>
      </c>
      <c r="AU435" s="645">
        <f t="shared" si="1350"/>
        <v>11170.605100448547</v>
      </c>
      <c r="AV435" s="646">
        <f t="shared" si="1351"/>
        <v>0</v>
      </c>
      <c r="AW435" s="647">
        <f t="shared" si="1314"/>
        <v>11170.605100448547</v>
      </c>
      <c r="AY435" s="644">
        <f t="shared" si="1352"/>
        <v>2698.0123657270296</v>
      </c>
      <c r="AZ435" s="645">
        <f t="shared" si="1282"/>
        <v>2557.7597247635954</v>
      </c>
      <c r="BA435" s="644">
        <f t="shared" si="1353"/>
        <v>0</v>
      </c>
      <c r="BB435" s="645">
        <f t="shared" si="1354"/>
        <v>2698.0123657270296</v>
      </c>
      <c r="BC435" s="646">
        <f t="shared" si="1355"/>
        <v>-19.402193204885446</v>
      </c>
      <c r="BD435" s="647">
        <f t="shared" si="1356"/>
        <v>2678.6101725221442</v>
      </c>
      <c r="BE435" s="644">
        <f t="shared" si="1315"/>
        <v>0</v>
      </c>
      <c r="BF435" s="645">
        <f t="shared" si="1316"/>
        <v>2678.6101725221442</v>
      </c>
      <c r="BG435" s="646">
        <f t="shared" si="1357"/>
        <v>-63.802311399670742</v>
      </c>
      <c r="BH435" s="647">
        <f t="shared" si="1317"/>
        <v>2614.8078611224737</v>
      </c>
      <c r="BI435" s="644">
        <f t="shared" si="1358"/>
        <v>0</v>
      </c>
      <c r="BJ435" s="645">
        <f t="shared" si="1359"/>
        <v>2614.8078611224737</v>
      </c>
      <c r="BK435" s="646">
        <f t="shared" si="1360"/>
        <v>-5.5387771950331208</v>
      </c>
      <c r="BL435" s="647">
        <f t="shared" si="1318"/>
        <v>2609.2690839274405</v>
      </c>
      <c r="BM435" s="644">
        <f t="shared" si="1361"/>
        <v>0</v>
      </c>
      <c r="BN435" s="645">
        <f t="shared" si="1362"/>
        <v>2609.2690839274405</v>
      </c>
      <c r="BO435" s="646">
        <f t="shared" si="1363"/>
        <v>-0.1193813372363529</v>
      </c>
      <c r="BP435" s="647">
        <f t="shared" si="1319"/>
        <v>2609.149702590204</v>
      </c>
      <c r="BQ435" s="644">
        <f t="shared" si="1364"/>
        <v>0</v>
      </c>
      <c r="BR435" s="645">
        <f t="shared" si="1365"/>
        <v>2609.149702590204</v>
      </c>
      <c r="BS435" s="646">
        <f t="shared" si="1366"/>
        <v>0</v>
      </c>
      <c r="BT435" s="647">
        <f t="shared" si="1320"/>
        <v>2609.149702590204</v>
      </c>
      <c r="BU435" s="662">
        <f>VLOOKUP(B435,'Afton Update'!$A$5:$AR$582,'Afton Update'!$AO$589,0)-BT435</f>
        <v>0</v>
      </c>
      <c r="BV435" s="644">
        <f t="shared" si="1367"/>
        <v>4101.9681148308391</v>
      </c>
      <c r="BW435" s="645">
        <f t="shared" si="1305"/>
        <v>4041.2300767971078</v>
      </c>
      <c r="BX435" s="644">
        <f t="shared" si="1368"/>
        <v>0</v>
      </c>
      <c r="BY435" s="645">
        <f t="shared" si="1369"/>
        <v>4101.9681148308391</v>
      </c>
      <c r="BZ435" s="646">
        <f t="shared" si="1370"/>
        <v>-36.003410260248145</v>
      </c>
      <c r="CA435" s="647">
        <f t="shared" si="1371"/>
        <v>4065.964704570591</v>
      </c>
      <c r="CB435" s="644">
        <f t="shared" si="1321"/>
        <v>0</v>
      </c>
      <c r="CC435" s="645">
        <f t="shared" si="1322"/>
        <v>4065.964704570591</v>
      </c>
      <c r="CD435" s="646">
        <f t="shared" si="1372"/>
        <v>-1.3023881912432576</v>
      </c>
      <c r="CE435" s="647">
        <f t="shared" si="1323"/>
        <v>4064.6623163793479</v>
      </c>
      <c r="CF435" s="644">
        <f t="shared" si="1373"/>
        <v>0</v>
      </c>
      <c r="CG435" s="645">
        <f t="shared" si="1374"/>
        <v>4064.6623163793479</v>
      </c>
      <c r="CH435" s="646">
        <f t="shared" si="1375"/>
        <v>0</v>
      </c>
      <c r="CI435" s="647">
        <f t="shared" si="1324"/>
        <v>4064.6623163793479</v>
      </c>
      <c r="CJ435" s="644">
        <f t="shared" si="1376"/>
        <v>0</v>
      </c>
      <c r="CK435" s="645">
        <f t="shared" si="1377"/>
        <v>4064.6623163793479</v>
      </c>
      <c r="CL435" s="646">
        <f t="shared" si="1378"/>
        <v>0</v>
      </c>
      <c r="CM435" s="647">
        <f t="shared" si="1325"/>
        <v>4064.6623163793479</v>
      </c>
      <c r="CN435" s="644">
        <f t="shared" si="1379"/>
        <v>0</v>
      </c>
      <c r="CO435" s="645">
        <f t="shared" si="1380"/>
        <v>4064.6623163793479</v>
      </c>
      <c r="CP435" s="646">
        <f t="shared" si="1381"/>
        <v>0</v>
      </c>
      <c r="CQ435" s="647">
        <f t="shared" si="1326"/>
        <v>4064.6623163793479</v>
      </c>
      <c r="CS435" s="644">
        <f t="shared" si="1382"/>
        <v>3438.9772164770116</v>
      </c>
      <c r="CT435" s="645">
        <f t="shared" si="1306"/>
        <v>3384.7001458451646</v>
      </c>
      <c r="CU435" s="644">
        <f t="shared" si="1383"/>
        <v>0</v>
      </c>
      <c r="CV435" s="645">
        <f t="shared" si="1384"/>
        <v>3438.9772164770116</v>
      </c>
      <c r="CW435" s="646">
        <f t="shared" si="1385"/>
        <v>-35.217070138323557</v>
      </c>
      <c r="CX435" s="647">
        <f t="shared" si="1386"/>
        <v>3403.7601463386882</v>
      </c>
      <c r="CY435" s="644">
        <f t="shared" si="1327"/>
        <v>0</v>
      </c>
      <c r="CZ435" s="645">
        <f t="shared" si="1328"/>
        <v>3403.7601463386882</v>
      </c>
      <c r="DA435" s="646">
        <f t="shared" si="1387"/>
        <v>-2.671964075829139</v>
      </c>
      <c r="DB435" s="647">
        <f t="shared" si="1329"/>
        <v>3401.0881822628589</v>
      </c>
      <c r="DC435" s="644">
        <f t="shared" si="1388"/>
        <v>0</v>
      </c>
      <c r="DD435" s="645">
        <f t="shared" si="1389"/>
        <v>3401.0881822628589</v>
      </c>
      <c r="DE435" s="646">
        <f t="shared" si="1390"/>
        <v>-2.3042362159427631E-3</v>
      </c>
      <c r="DF435" s="647">
        <f t="shared" si="1330"/>
        <v>3401.0858780266431</v>
      </c>
      <c r="DG435" s="644">
        <f t="shared" si="1391"/>
        <v>0</v>
      </c>
      <c r="DH435" s="645">
        <f t="shared" si="1392"/>
        <v>3401.0858780266431</v>
      </c>
      <c r="DI435" s="646">
        <f t="shared" si="1393"/>
        <v>0</v>
      </c>
      <c r="DJ435" s="647">
        <f t="shared" si="1331"/>
        <v>3401.0858780266431</v>
      </c>
      <c r="DK435" s="644">
        <f t="shared" si="1394"/>
        <v>0</v>
      </c>
      <c r="DL435" s="645">
        <f t="shared" si="1395"/>
        <v>3401.0858780266431</v>
      </c>
      <c r="DM435" s="646">
        <f t="shared" si="1396"/>
        <v>0</v>
      </c>
      <c r="DN435" s="647">
        <f t="shared" si="1332"/>
        <v>3401.0858780266431</v>
      </c>
      <c r="DR435" s="827">
        <f t="shared" si="1283"/>
        <v>21245.502997444743</v>
      </c>
      <c r="DV435" s="828">
        <f>IFERROR(VLOOKUP($B435,'Afton FY16 Final'!$A$5:$BV$587,'Afton FY16 Final'!$BV$587,0),0)</f>
        <v>22747.588292723347</v>
      </c>
      <c r="DX435" s="636">
        <f t="shared" si="1274"/>
        <v>0</v>
      </c>
      <c r="DY435" s="637">
        <f t="shared" si="1275"/>
        <v>0</v>
      </c>
      <c r="DZ435" s="637">
        <f t="shared" si="1276"/>
        <v>0</v>
      </c>
      <c r="EA435" s="643">
        <f t="shared" si="1277"/>
        <v>0</v>
      </c>
      <c r="EB435" s="637">
        <f t="shared" si="1284"/>
        <v>0</v>
      </c>
      <c r="EC435" s="637">
        <f t="shared" si="1285"/>
        <v>0</v>
      </c>
      <c r="ED435" s="637">
        <f t="shared" si="1286"/>
        <v>0</v>
      </c>
      <c r="EE435" s="643">
        <f t="shared" si="1287"/>
        <v>0</v>
      </c>
      <c r="EF435" s="637">
        <f t="shared" si="1288"/>
        <v>0</v>
      </c>
      <c r="EG435" s="637">
        <f t="shared" si="1289"/>
        <v>0</v>
      </c>
      <c r="EH435" s="637">
        <f t="shared" si="1290"/>
        <v>0</v>
      </c>
      <c r="EI435" s="643">
        <f t="shared" si="1291"/>
        <v>0</v>
      </c>
      <c r="EJ435" s="637">
        <f t="shared" si="1292"/>
        <v>0</v>
      </c>
      <c r="EK435" s="637">
        <f t="shared" si="1293"/>
        <v>0</v>
      </c>
      <c r="EL435" s="637">
        <f t="shared" si="1294"/>
        <v>0</v>
      </c>
      <c r="EM435" s="643">
        <f t="shared" si="1295"/>
        <v>0</v>
      </c>
      <c r="EN435" s="637">
        <f t="shared" si="1296"/>
        <v>0</v>
      </c>
      <c r="EO435" s="637">
        <f t="shared" si="1297"/>
        <v>0</v>
      </c>
      <c r="EP435" s="637">
        <f t="shared" si="1298"/>
        <v>0</v>
      </c>
      <c r="EQ435" s="643">
        <f t="shared" si="1299"/>
        <v>0</v>
      </c>
      <c r="ER435" s="637">
        <f t="shared" si="1300"/>
        <v>0</v>
      </c>
      <c r="ES435" s="637">
        <f t="shared" si="1301"/>
        <v>0</v>
      </c>
      <c r="ET435" s="637">
        <f t="shared" si="1302"/>
        <v>0</v>
      </c>
      <c r="EU435" s="643">
        <f t="shared" si="1278"/>
        <v>0</v>
      </c>
      <c r="EV435" s="643">
        <f t="shared" si="1279"/>
        <v>0</v>
      </c>
      <c r="EX435" s="829">
        <f t="shared" si="1280"/>
        <v>0</v>
      </c>
      <c r="EY435" s="638">
        <f t="shared" si="1281"/>
        <v>21245.502997444743</v>
      </c>
      <c r="FC435" s="830" t="str">
        <f t="shared" si="1303"/>
        <v>Y</v>
      </c>
      <c r="FE435" s="830" t="str">
        <f>IFERROR(VLOOKUP($B435,'Historical Conc Grant Elig'!$B$3:$J$707,'HH &amp; SI'!FE$2,0),"N")</f>
        <v>Y</v>
      </c>
      <c r="FF435" s="830" t="str">
        <f>IFERROR(VLOOKUP($B435,'Historical Conc Grant Elig'!$B$3:$J$707,'HH &amp; SI'!FF$2,0),"N")</f>
        <v>N</v>
      </c>
      <c r="FG435" s="830" t="str">
        <f>IFERROR(VLOOKUP($B435,'Historical Conc Grant Elig'!$B$3:$J$707,'HH &amp; SI'!FG$2,0),"N")</f>
        <v>Y</v>
      </c>
      <c r="FH435" s="830" t="str">
        <f>IFERROR(VLOOKUP($B435,'Historical Conc Grant Elig'!$B$3:$J$707,'HH &amp; SI'!FH$2,0),"N")</f>
        <v>Y</v>
      </c>
      <c r="FI435" s="830" t="str">
        <f>IFERROR(VLOOKUP($B435,'Historical Conc Grant Elig'!$B$3:$J$707,'HH &amp; SI'!FI$2,0),"N")</f>
        <v>Y</v>
      </c>
      <c r="FJ435" s="830" t="str">
        <f>IFERROR(VLOOKUP($B435,'Historical Conc Grant Elig'!$B$3:$J$707,'HH &amp; SI'!FJ$2,0),"N")</f>
        <v>Y</v>
      </c>
      <c r="FK435" s="830" t="str">
        <f>IFERROR(VLOOKUP($B435,'Historical Conc Grant Elig'!$B$3:$J$707,'HH &amp; SI'!FK$2,0),"N")</f>
        <v>Y</v>
      </c>
      <c r="FL435" s="957" t="str">
        <f>IFERROR(VLOOKUP($B435,'Historical Conc Grant Elig'!$B$3:$J$707,'HH &amp; SI'!FL$2,0),"N")</f>
        <v>Y</v>
      </c>
    </row>
    <row r="436" spans="2:168" x14ac:dyDescent="0.25">
      <c r="B436" s="634">
        <v>120520000</v>
      </c>
      <c r="C436" s="635" t="str">
        <f>VLOOKUP($B436,'Afton Update'!$A$5:$CR$582,'Afton Update'!D$589,0)</f>
        <v>Patagonia Union High School District</v>
      </c>
      <c r="D436" s="636">
        <f>IFERROR(VLOOKUP($B436,'Afton FY16 Final'!$A$5:$BV$587,'Afton FY16 Final'!AQ$587,0),0)</f>
        <v>13295.613228251103</v>
      </c>
      <c r="E436" s="637">
        <f>IFERROR(VLOOKUP($B436,'Afton FY16 Final'!$A$5:$BV$587,'Afton FY16 Final'!AR$587,0),0)</f>
        <v>3119.7583995723367</v>
      </c>
      <c r="F436" s="637">
        <f>IFERROR(VLOOKUP($B436,'Afton FY16 Final'!$A$5:$BV$587,'Afton FY16 Final'!AS$587,0),0)</f>
        <v>4909.9500012639492</v>
      </c>
      <c r="G436" s="637">
        <f>IFERROR(VLOOKUP($B436,'Afton FY16 Final'!$A$5:$BV$587,'Afton FY16 Final'!AT$587,0),0)</f>
        <v>3903.4766692231151</v>
      </c>
      <c r="H436" s="638">
        <f>IFERROR(VLOOKUP($B436,'Afton FY16 Final'!$A$5:$BV$587,'Afton FY16 Final'!AU$587,0),0)</f>
        <v>25228.798298310503</v>
      </c>
      <c r="I436" s="639" t="str">
        <f>VLOOKUP($B436,'Afton Update'!$A$5:$CR$582,'Afton Update'!BT$589,0)</f>
        <v>Y</v>
      </c>
      <c r="J436" s="640" t="str">
        <f>VLOOKUP($B436,'Afton Update'!$A$5:$CR$582,'Afton Update'!BU$589,0)</f>
        <v>Y</v>
      </c>
      <c r="K436" s="640" t="str">
        <f>VLOOKUP($B436,'Afton Update'!$A$5:$CR$582,'Afton Update'!BV$589,0)</f>
        <v>Y</v>
      </c>
      <c r="L436" s="641" t="str">
        <f>VLOOKUP($B436,'Afton Update'!$A$5:$CR$582,'Afton Update'!BW$589,0)</f>
        <v>Y</v>
      </c>
      <c r="N436" s="642">
        <f>VLOOKUP($B436,'Afton Update'!$A$5:$CR$582,'Afton Update'!CB$589,0)</f>
        <v>0.9</v>
      </c>
      <c r="P436" s="636">
        <f>VLOOKUP($B436,'Afton Update'!$A$5:$CR$582,'Afton Update'!AH$589,0)</f>
        <v>12077.624178758177</v>
      </c>
      <c r="Q436" s="637">
        <f>VLOOKUP($B436,'Afton Update'!$A$5:$CR$582,'Afton Update'!AI$589,0)</f>
        <v>2860.6034198069715</v>
      </c>
      <c r="R436" s="637">
        <f>VLOOKUP($B436,'Afton Update'!$A$5:$CR$582,'Afton Update'!AJ$589,0)</f>
        <v>4479.3616770401786</v>
      </c>
      <c r="S436" s="637">
        <f>VLOOKUP($B436,'Afton Update'!$A$5:$CR$582,'Afton Update'!AK$589,0)</f>
        <v>3567.4123780653363</v>
      </c>
      <c r="T436" s="643">
        <f t="shared" si="1307"/>
        <v>22985.001653670664</v>
      </c>
      <c r="V436" s="636">
        <f t="shared" si="1333"/>
        <v>11966.051905425993</v>
      </c>
      <c r="W436" s="637">
        <f t="shared" si="1334"/>
        <v>2807.7825596151029</v>
      </c>
      <c r="X436" s="637">
        <f t="shared" si="1335"/>
        <v>4438.623631488138</v>
      </c>
      <c r="Y436" s="637">
        <f t="shared" si="1336"/>
        <v>3528.105915329365</v>
      </c>
      <c r="Z436" s="643">
        <f t="shared" si="1337"/>
        <v>22740.564011858598</v>
      </c>
      <c r="AB436" s="644">
        <f t="shared" si="1308"/>
        <v>12077.624178758177</v>
      </c>
      <c r="AC436" s="645">
        <f t="shared" si="1304"/>
        <v>11966.051905425993</v>
      </c>
      <c r="AD436" s="644">
        <f t="shared" si="1338"/>
        <v>0</v>
      </c>
      <c r="AE436" s="645">
        <f t="shared" si="1339"/>
        <v>12077.624178758177</v>
      </c>
      <c r="AF436" s="646">
        <f t="shared" si="1340"/>
        <v>-149.71122778867681</v>
      </c>
      <c r="AG436" s="647">
        <f t="shared" si="1341"/>
        <v>11927.912950969499</v>
      </c>
      <c r="AH436" s="644">
        <f t="shared" si="1309"/>
        <v>-38.138954456493593</v>
      </c>
      <c r="AI436" s="645">
        <f t="shared" si="1310"/>
        <v>0</v>
      </c>
      <c r="AJ436" s="646">
        <f t="shared" si="1342"/>
        <v>0</v>
      </c>
      <c r="AK436" s="647">
        <f t="shared" si="1311"/>
        <v>11966.051905425993</v>
      </c>
      <c r="AL436" s="644">
        <f t="shared" si="1343"/>
        <v>0</v>
      </c>
      <c r="AM436" s="645">
        <f t="shared" si="1344"/>
        <v>0</v>
      </c>
      <c r="AN436" s="646">
        <f t="shared" si="1345"/>
        <v>0</v>
      </c>
      <c r="AO436" s="647">
        <f t="shared" si="1312"/>
        <v>11966.051905425993</v>
      </c>
      <c r="AP436" s="644">
        <f t="shared" si="1346"/>
        <v>0</v>
      </c>
      <c r="AQ436" s="645">
        <f t="shared" si="1347"/>
        <v>0</v>
      </c>
      <c r="AR436" s="646">
        <f t="shared" si="1348"/>
        <v>0</v>
      </c>
      <c r="AS436" s="647">
        <f t="shared" si="1313"/>
        <v>11966.051905425993</v>
      </c>
      <c r="AT436" s="644">
        <f t="shared" si="1349"/>
        <v>0</v>
      </c>
      <c r="AU436" s="645">
        <f t="shared" si="1350"/>
        <v>0</v>
      </c>
      <c r="AV436" s="646">
        <f t="shared" si="1351"/>
        <v>0</v>
      </c>
      <c r="AW436" s="647">
        <f t="shared" si="1314"/>
        <v>11966.051905425993</v>
      </c>
      <c r="AY436" s="644">
        <f t="shared" si="1352"/>
        <v>2860.6034198069715</v>
      </c>
      <c r="AZ436" s="645">
        <f t="shared" si="1282"/>
        <v>2807.7825596151029</v>
      </c>
      <c r="BA436" s="644">
        <f t="shared" si="1353"/>
        <v>0</v>
      </c>
      <c r="BB436" s="645">
        <f t="shared" si="1354"/>
        <v>2860.6034198069715</v>
      </c>
      <c r="BC436" s="646">
        <f t="shared" si="1355"/>
        <v>-20.571432858757433</v>
      </c>
      <c r="BD436" s="647">
        <f t="shared" si="1356"/>
        <v>2840.0319869482141</v>
      </c>
      <c r="BE436" s="644">
        <f t="shared" si="1315"/>
        <v>0</v>
      </c>
      <c r="BF436" s="645">
        <f t="shared" si="1316"/>
        <v>2840.0319869482141</v>
      </c>
      <c r="BG436" s="646">
        <f t="shared" si="1357"/>
        <v>-67.647247470011465</v>
      </c>
      <c r="BH436" s="647">
        <f t="shared" si="1317"/>
        <v>2772.3847394782028</v>
      </c>
      <c r="BI436" s="644">
        <f t="shared" si="1358"/>
        <v>-35.397820136900009</v>
      </c>
      <c r="BJ436" s="645">
        <f t="shared" si="1359"/>
        <v>0</v>
      </c>
      <c r="BK436" s="646">
        <f t="shared" si="1360"/>
        <v>0</v>
      </c>
      <c r="BL436" s="647">
        <f t="shared" si="1318"/>
        <v>2807.7825596151029</v>
      </c>
      <c r="BM436" s="644">
        <f t="shared" si="1361"/>
        <v>0</v>
      </c>
      <c r="BN436" s="645">
        <f t="shared" si="1362"/>
        <v>0</v>
      </c>
      <c r="BO436" s="646">
        <f t="shared" si="1363"/>
        <v>0</v>
      </c>
      <c r="BP436" s="647">
        <f t="shared" si="1319"/>
        <v>2807.7825596151029</v>
      </c>
      <c r="BQ436" s="644">
        <f t="shared" si="1364"/>
        <v>0</v>
      </c>
      <c r="BR436" s="645">
        <f t="shared" si="1365"/>
        <v>0</v>
      </c>
      <c r="BS436" s="646">
        <f t="shared" si="1366"/>
        <v>0</v>
      </c>
      <c r="BT436" s="647">
        <f t="shared" si="1320"/>
        <v>2807.7825596151029</v>
      </c>
      <c r="BU436" s="662">
        <f>VLOOKUP(B436,'Afton Update'!$A$5:$AR$582,'Afton Update'!$AO$589,0)-BT436</f>
        <v>0</v>
      </c>
      <c r="BV436" s="644">
        <f t="shared" si="1367"/>
        <v>4479.3616770401786</v>
      </c>
      <c r="BW436" s="645">
        <f t="shared" si="1305"/>
        <v>4418.9550011375541</v>
      </c>
      <c r="BX436" s="644">
        <f t="shared" si="1368"/>
        <v>0</v>
      </c>
      <c r="BY436" s="645">
        <f t="shared" si="1369"/>
        <v>4479.3616770401786</v>
      </c>
      <c r="BZ436" s="646">
        <f t="shared" si="1370"/>
        <v>-39.315833679794807</v>
      </c>
      <c r="CA436" s="647">
        <f t="shared" si="1371"/>
        <v>4440.0458433603835</v>
      </c>
      <c r="CB436" s="644">
        <f t="shared" si="1321"/>
        <v>0</v>
      </c>
      <c r="CC436" s="645">
        <f t="shared" si="1322"/>
        <v>4440.0458433603835</v>
      </c>
      <c r="CD436" s="646">
        <f t="shared" si="1372"/>
        <v>-1.422211872245454</v>
      </c>
      <c r="CE436" s="647">
        <f t="shared" si="1323"/>
        <v>4438.623631488138</v>
      </c>
      <c r="CF436" s="644">
        <f t="shared" si="1373"/>
        <v>0</v>
      </c>
      <c r="CG436" s="645">
        <f t="shared" si="1374"/>
        <v>4438.623631488138</v>
      </c>
      <c r="CH436" s="646">
        <f t="shared" si="1375"/>
        <v>0</v>
      </c>
      <c r="CI436" s="647">
        <f t="shared" si="1324"/>
        <v>4438.623631488138</v>
      </c>
      <c r="CJ436" s="644">
        <f t="shared" si="1376"/>
        <v>0</v>
      </c>
      <c r="CK436" s="645">
        <f t="shared" si="1377"/>
        <v>4438.623631488138</v>
      </c>
      <c r="CL436" s="646">
        <f t="shared" si="1378"/>
        <v>0</v>
      </c>
      <c r="CM436" s="647">
        <f t="shared" si="1325"/>
        <v>4438.623631488138</v>
      </c>
      <c r="CN436" s="644">
        <f t="shared" si="1379"/>
        <v>0</v>
      </c>
      <c r="CO436" s="645">
        <f t="shared" si="1380"/>
        <v>4438.623631488138</v>
      </c>
      <c r="CP436" s="646">
        <f t="shared" si="1381"/>
        <v>0</v>
      </c>
      <c r="CQ436" s="647">
        <f t="shared" si="1326"/>
        <v>4438.623631488138</v>
      </c>
      <c r="CS436" s="644">
        <f t="shared" si="1382"/>
        <v>3567.4123780653363</v>
      </c>
      <c r="CT436" s="645">
        <f t="shared" si="1306"/>
        <v>3513.1290023008037</v>
      </c>
      <c r="CU436" s="644">
        <f t="shared" si="1383"/>
        <v>0</v>
      </c>
      <c r="CV436" s="645">
        <f t="shared" si="1384"/>
        <v>3567.4123780653363</v>
      </c>
      <c r="CW436" s="646">
        <f t="shared" si="1385"/>
        <v>-36.53231877452027</v>
      </c>
      <c r="CX436" s="647">
        <f t="shared" si="1386"/>
        <v>3530.880059290816</v>
      </c>
      <c r="CY436" s="644">
        <f t="shared" si="1327"/>
        <v>0</v>
      </c>
      <c r="CZ436" s="645">
        <f t="shared" si="1328"/>
        <v>3530.880059290816</v>
      </c>
      <c r="DA436" s="646">
        <f t="shared" si="1387"/>
        <v>-2.7717536691399292</v>
      </c>
      <c r="DB436" s="647">
        <f t="shared" si="1329"/>
        <v>3528.1083056216762</v>
      </c>
      <c r="DC436" s="644">
        <f t="shared" si="1388"/>
        <v>0</v>
      </c>
      <c r="DD436" s="645">
        <f t="shared" si="1389"/>
        <v>3528.1083056216762</v>
      </c>
      <c r="DE436" s="646">
        <f t="shared" si="1390"/>
        <v>-2.3902923111429092E-3</v>
      </c>
      <c r="DF436" s="647">
        <f t="shared" si="1330"/>
        <v>3528.105915329365</v>
      </c>
      <c r="DG436" s="644">
        <f t="shared" si="1391"/>
        <v>0</v>
      </c>
      <c r="DH436" s="645">
        <f t="shared" si="1392"/>
        <v>3528.105915329365</v>
      </c>
      <c r="DI436" s="646">
        <f t="shared" si="1393"/>
        <v>0</v>
      </c>
      <c r="DJ436" s="647">
        <f t="shared" si="1331"/>
        <v>3528.105915329365</v>
      </c>
      <c r="DK436" s="644">
        <f t="shared" si="1394"/>
        <v>0</v>
      </c>
      <c r="DL436" s="645">
        <f t="shared" si="1395"/>
        <v>3528.105915329365</v>
      </c>
      <c r="DM436" s="646">
        <f t="shared" si="1396"/>
        <v>0</v>
      </c>
      <c r="DN436" s="647">
        <f t="shared" si="1332"/>
        <v>3528.105915329365</v>
      </c>
      <c r="DR436" s="827">
        <f t="shared" si="1283"/>
        <v>22740.564011858598</v>
      </c>
      <c r="DV436" s="828">
        <f>IFERROR(VLOOKUP($B436,'Afton FY16 Final'!$A$5:$BV$587,'Afton FY16 Final'!$BV$587,0),0)</f>
        <v>24732.043263994881</v>
      </c>
      <c r="DX436" s="636">
        <f t="shared" si="1274"/>
        <v>0</v>
      </c>
      <c r="DY436" s="637">
        <f t="shared" si="1275"/>
        <v>0</v>
      </c>
      <c r="DZ436" s="637">
        <f t="shared" si="1276"/>
        <v>0</v>
      </c>
      <c r="EA436" s="643">
        <f t="shared" si="1277"/>
        <v>0</v>
      </c>
      <c r="EB436" s="637">
        <f t="shared" si="1284"/>
        <v>0</v>
      </c>
      <c r="EC436" s="637">
        <f t="shared" si="1285"/>
        <v>0</v>
      </c>
      <c r="ED436" s="637">
        <f t="shared" si="1286"/>
        <v>0</v>
      </c>
      <c r="EE436" s="643">
        <f t="shared" si="1287"/>
        <v>0</v>
      </c>
      <c r="EF436" s="637">
        <f t="shared" si="1288"/>
        <v>0</v>
      </c>
      <c r="EG436" s="637">
        <f t="shared" si="1289"/>
        <v>0</v>
      </c>
      <c r="EH436" s="637">
        <f t="shared" si="1290"/>
        <v>0</v>
      </c>
      <c r="EI436" s="643">
        <f t="shared" si="1291"/>
        <v>0</v>
      </c>
      <c r="EJ436" s="637">
        <f t="shared" si="1292"/>
        <v>0</v>
      </c>
      <c r="EK436" s="637">
        <f t="shared" si="1293"/>
        <v>0</v>
      </c>
      <c r="EL436" s="637">
        <f t="shared" si="1294"/>
        <v>0</v>
      </c>
      <c r="EM436" s="643">
        <f t="shared" si="1295"/>
        <v>0</v>
      </c>
      <c r="EN436" s="637">
        <f t="shared" si="1296"/>
        <v>0</v>
      </c>
      <c r="EO436" s="637">
        <f t="shared" si="1297"/>
        <v>0</v>
      </c>
      <c r="EP436" s="637">
        <f t="shared" si="1298"/>
        <v>0</v>
      </c>
      <c r="EQ436" s="643">
        <f t="shared" si="1299"/>
        <v>0</v>
      </c>
      <c r="ER436" s="637">
        <f t="shared" si="1300"/>
        <v>0</v>
      </c>
      <c r="ES436" s="637">
        <f t="shared" si="1301"/>
        <v>0</v>
      </c>
      <c r="ET436" s="637">
        <f t="shared" si="1302"/>
        <v>0</v>
      </c>
      <c r="EU436" s="643">
        <f t="shared" si="1278"/>
        <v>0</v>
      </c>
      <c r="EV436" s="643">
        <f t="shared" si="1279"/>
        <v>0</v>
      </c>
      <c r="EX436" s="829">
        <f t="shared" si="1280"/>
        <v>0</v>
      </c>
      <c r="EY436" s="638">
        <f t="shared" si="1281"/>
        <v>22740.564011858598</v>
      </c>
      <c r="FC436" s="830" t="str">
        <f t="shared" si="1303"/>
        <v>Y</v>
      </c>
      <c r="FE436" s="830" t="str">
        <f>IFERROR(VLOOKUP($B436,'Historical Conc Grant Elig'!$B$3:$J$707,'HH &amp; SI'!FE$2,0),"N")</f>
        <v>Y</v>
      </c>
      <c r="FF436" s="830" t="str">
        <f>IFERROR(VLOOKUP($B436,'Historical Conc Grant Elig'!$B$3:$J$707,'HH &amp; SI'!FF$2,0),"N")</f>
        <v>N</v>
      </c>
      <c r="FG436" s="830" t="str">
        <f>IFERROR(VLOOKUP($B436,'Historical Conc Grant Elig'!$B$3:$J$707,'HH &amp; SI'!FG$2,0),"N")</f>
        <v>N</v>
      </c>
      <c r="FH436" s="830" t="str">
        <f>IFERROR(VLOOKUP($B436,'Historical Conc Grant Elig'!$B$3:$J$707,'HH &amp; SI'!FH$2,0),"N")</f>
        <v>N</v>
      </c>
      <c r="FI436" s="830" t="str">
        <f>IFERROR(VLOOKUP($B436,'Historical Conc Grant Elig'!$B$3:$J$707,'HH &amp; SI'!FI$2,0),"N")</f>
        <v>Y</v>
      </c>
      <c r="FJ436" s="830" t="str">
        <f>IFERROR(VLOOKUP($B436,'Historical Conc Grant Elig'!$B$3:$J$707,'HH &amp; SI'!FJ$2,0),"N")</f>
        <v>Y</v>
      </c>
      <c r="FK436" s="830" t="str">
        <f>IFERROR(VLOOKUP($B436,'Historical Conc Grant Elig'!$B$3:$J$707,'HH &amp; SI'!FK$2,0),"N")</f>
        <v>Y</v>
      </c>
      <c r="FL436" s="957" t="str">
        <f>IFERROR(VLOOKUP($B436,'Historical Conc Grant Elig'!$B$3:$J$707,'HH &amp; SI'!FL$2,0),"N")</f>
        <v>Y</v>
      </c>
    </row>
    <row r="437" spans="2:168" x14ac:dyDescent="0.25">
      <c r="B437" s="634">
        <v>128703000</v>
      </c>
      <c r="C437" s="635" t="str">
        <f>VLOOKUP($B437,'Afton Update'!$A$5:$CR$582,'Afton Update'!D$589,0)</f>
        <v>Mexicayotl Academy  Inc.</v>
      </c>
      <c r="D437" s="636">
        <f>IFERROR(VLOOKUP($B437,'Afton FY16 Final'!$A$5:$BV$587,'Afton FY16 Final'!AQ$587,0),0)</f>
        <v>47918.289517630496</v>
      </c>
      <c r="E437" s="637">
        <f>IFERROR(VLOOKUP($B437,'Afton FY16 Final'!$A$5:$BV$587,'Afton FY16 Final'!AR$587,0),0)</f>
        <v>11251.758806594506</v>
      </c>
      <c r="F437" s="637">
        <f>IFERROR(VLOOKUP($B437,'Afton FY16 Final'!$A$5:$BV$587,'Afton FY16 Final'!AS$587,0),0)</f>
        <v>25293.144465508227</v>
      </c>
      <c r="G437" s="637">
        <f>IFERROR(VLOOKUP($B437,'Afton FY16 Final'!$A$5:$BV$587,'Afton FY16 Final'!AT$587,0),0)</f>
        <v>23250.497252518097</v>
      </c>
      <c r="H437" s="638">
        <f>IFERROR(VLOOKUP($B437,'Afton FY16 Final'!$A$5:$BV$587,'Afton FY16 Final'!AU$587,0),0)</f>
        <v>107713.69004225133</v>
      </c>
      <c r="I437" s="639" t="str">
        <f>VLOOKUP($B437,'Afton Update'!$A$5:$CR$582,'Afton Update'!BT$589,0)</f>
        <v>Y</v>
      </c>
      <c r="J437" s="640" t="str">
        <f>VLOOKUP($B437,'Afton Update'!$A$5:$CR$582,'Afton Update'!BU$589,0)</f>
        <v>Y</v>
      </c>
      <c r="K437" s="640" t="str">
        <f>VLOOKUP($B437,'Afton Update'!$A$5:$CR$582,'Afton Update'!BV$589,0)</f>
        <v>Y</v>
      </c>
      <c r="L437" s="641" t="str">
        <f>VLOOKUP($B437,'Afton Update'!$A$5:$CR$582,'Afton Update'!BW$589,0)</f>
        <v>Y</v>
      </c>
      <c r="N437" s="642">
        <f>VLOOKUP($B437,'Afton Update'!$A$5:$CR$582,'Afton Update'!CB$589,0)</f>
        <v>0.95</v>
      </c>
      <c r="P437" s="636">
        <f>VLOOKUP($B437,'Afton Update'!$A$5:$CR$582,'Afton Update'!AH$589,0)</f>
        <v>49244.335567521703</v>
      </c>
      <c r="Q437" s="637">
        <f>VLOOKUP($B437,'Afton Update'!$A$5:$CR$582,'Afton Update'!AI$589,0)</f>
        <v>11769.071528362287</v>
      </c>
      <c r="R437" s="637">
        <f>VLOOKUP($B437,'Afton Update'!$A$5:$CR$582,'Afton Update'!AJ$589,0)</f>
        <v>27191.616490799926</v>
      </c>
      <c r="S437" s="637">
        <f>VLOOKUP($B437,'Afton Update'!$A$5:$CR$582,'Afton Update'!AK$589,0)</f>
        <v>24671.521371069699</v>
      </c>
      <c r="T437" s="643">
        <f t="shared" si="1307"/>
        <v>112876.54495775361</v>
      </c>
      <c r="V437" s="636">
        <f t="shared" si="1333"/>
        <v>48572.61086767185</v>
      </c>
      <c r="W437" s="637">
        <f t="shared" si="1334"/>
        <v>11381.441341064667</v>
      </c>
      <c r="X437" s="637">
        <f t="shared" si="1335"/>
        <v>26944.31935538134</v>
      </c>
      <c r="Y437" s="637">
        <f t="shared" si="1336"/>
        <v>24399.68561656756</v>
      </c>
      <c r="Z437" s="643">
        <f t="shared" si="1337"/>
        <v>111298.05718068541</v>
      </c>
      <c r="AB437" s="644">
        <f t="shared" si="1308"/>
        <v>49244.335567521703</v>
      </c>
      <c r="AC437" s="645">
        <f t="shared" si="1304"/>
        <v>45522.375041748972</v>
      </c>
      <c r="AD437" s="644">
        <f t="shared" si="1338"/>
        <v>0</v>
      </c>
      <c r="AE437" s="645">
        <f t="shared" si="1339"/>
        <v>49244.335567521703</v>
      </c>
      <c r="AF437" s="646">
        <f t="shared" si="1340"/>
        <v>-610.42054549252543</v>
      </c>
      <c r="AG437" s="647">
        <f t="shared" si="1341"/>
        <v>48633.915022029178</v>
      </c>
      <c r="AH437" s="644">
        <f t="shared" si="1309"/>
        <v>0</v>
      </c>
      <c r="AI437" s="645">
        <f t="shared" si="1310"/>
        <v>48633.915022029178</v>
      </c>
      <c r="AJ437" s="646">
        <f t="shared" si="1342"/>
        <v>-61.265097668875327</v>
      </c>
      <c r="AK437" s="647">
        <f t="shared" si="1311"/>
        <v>48572.649924360303</v>
      </c>
      <c r="AL437" s="644">
        <f t="shared" si="1343"/>
        <v>0</v>
      </c>
      <c r="AM437" s="645">
        <f t="shared" si="1344"/>
        <v>48572.649924360303</v>
      </c>
      <c r="AN437" s="646">
        <f t="shared" si="1345"/>
        <v>-3.9056688449810216E-2</v>
      </c>
      <c r="AO437" s="647">
        <f t="shared" si="1312"/>
        <v>48572.61086767185</v>
      </c>
      <c r="AP437" s="644">
        <f t="shared" si="1346"/>
        <v>0</v>
      </c>
      <c r="AQ437" s="645">
        <f t="shared" si="1347"/>
        <v>48572.61086767185</v>
      </c>
      <c r="AR437" s="646">
        <f t="shared" si="1348"/>
        <v>0</v>
      </c>
      <c r="AS437" s="647">
        <f t="shared" si="1313"/>
        <v>48572.61086767185</v>
      </c>
      <c r="AT437" s="644">
        <f t="shared" si="1349"/>
        <v>0</v>
      </c>
      <c r="AU437" s="645">
        <f t="shared" si="1350"/>
        <v>48572.61086767185</v>
      </c>
      <c r="AV437" s="646">
        <f t="shared" si="1351"/>
        <v>0</v>
      </c>
      <c r="AW437" s="647">
        <f t="shared" si="1314"/>
        <v>48572.61086767185</v>
      </c>
      <c r="AY437" s="644">
        <f t="shared" si="1352"/>
        <v>11769.071528362287</v>
      </c>
      <c r="AZ437" s="645">
        <f t="shared" si="1282"/>
        <v>10689.17086626478</v>
      </c>
      <c r="BA437" s="644">
        <f t="shared" si="1353"/>
        <v>0</v>
      </c>
      <c r="BB437" s="645">
        <f t="shared" si="1354"/>
        <v>11769.071528362287</v>
      </c>
      <c r="BC437" s="646">
        <f t="shared" si="1355"/>
        <v>-84.634823226197312</v>
      </c>
      <c r="BD437" s="647">
        <f t="shared" si="1356"/>
        <v>11684.43670513609</v>
      </c>
      <c r="BE437" s="644">
        <f t="shared" si="1315"/>
        <v>0</v>
      </c>
      <c r="BF437" s="645">
        <f t="shared" si="1316"/>
        <v>11684.43670513609</v>
      </c>
      <c r="BG437" s="646">
        <f t="shared" si="1357"/>
        <v>-278.31376018739155</v>
      </c>
      <c r="BH437" s="647">
        <f t="shared" si="1317"/>
        <v>11406.122944948698</v>
      </c>
      <c r="BI437" s="644">
        <f t="shared" si="1358"/>
        <v>0</v>
      </c>
      <c r="BJ437" s="645">
        <f t="shared" si="1359"/>
        <v>11406.122944948698</v>
      </c>
      <c r="BK437" s="646">
        <f t="shared" si="1360"/>
        <v>-24.160847376413333</v>
      </c>
      <c r="BL437" s="647">
        <f t="shared" si="1318"/>
        <v>11381.962097572285</v>
      </c>
      <c r="BM437" s="644">
        <f t="shared" si="1361"/>
        <v>0</v>
      </c>
      <c r="BN437" s="645">
        <f t="shared" si="1362"/>
        <v>11381.962097572285</v>
      </c>
      <c r="BO437" s="646">
        <f t="shared" si="1363"/>
        <v>-0.52075650761799663</v>
      </c>
      <c r="BP437" s="647">
        <f t="shared" si="1319"/>
        <v>11381.441341064667</v>
      </c>
      <c r="BQ437" s="644">
        <f t="shared" si="1364"/>
        <v>0</v>
      </c>
      <c r="BR437" s="645">
        <f t="shared" si="1365"/>
        <v>11381.441341064667</v>
      </c>
      <c r="BS437" s="646">
        <f t="shared" si="1366"/>
        <v>0</v>
      </c>
      <c r="BT437" s="647">
        <f t="shared" si="1320"/>
        <v>11381.441341064667</v>
      </c>
      <c r="BU437" s="662">
        <f>VLOOKUP(B437,'Afton Update'!$A$5:$AR$582,'Afton Update'!$AO$589,0)-BT437</f>
        <v>0</v>
      </c>
      <c r="BV437" s="644">
        <f t="shared" si="1367"/>
        <v>27191.616490799926</v>
      </c>
      <c r="BW437" s="645">
        <f t="shared" si="1305"/>
        <v>24028.487242232815</v>
      </c>
      <c r="BX437" s="644">
        <f t="shared" si="1368"/>
        <v>0</v>
      </c>
      <c r="BY437" s="645">
        <f t="shared" si="1369"/>
        <v>27191.616490799926</v>
      </c>
      <c r="BZ437" s="646">
        <f t="shared" si="1370"/>
        <v>-238.66370892011952</v>
      </c>
      <c r="CA437" s="647">
        <f t="shared" si="1371"/>
        <v>26952.952781879805</v>
      </c>
      <c r="CB437" s="644">
        <f t="shared" si="1321"/>
        <v>0</v>
      </c>
      <c r="CC437" s="645">
        <f t="shared" si="1322"/>
        <v>26952.952781879805</v>
      </c>
      <c r="CD437" s="646">
        <f t="shared" si="1372"/>
        <v>-8.6334264984635762</v>
      </c>
      <c r="CE437" s="647">
        <f t="shared" si="1323"/>
        <v>26944.31935538134</v>
      </c>
      <c r="CF437" s="644">
        <f t="shared" si="1373"/>
        <v>0</v>
      </c>
      <c r="CG437" s="645">
        <f t="shared" si="1374"/>
        <v>26944.31935538134</v>
      </c>
      <c r="CH437" s="646">
        <f t="shared" si="1375"/>
        <v>0</v>
      </c>
      <c r="CI437" s="647">
        <f t="shared" si="1324"/>
        <v>26944.31935538134</v>
      </c>
      <c r="CJ437" s="644">
        <f t="shared" si="1376"/>
        <v>0</v>
      </c>
      <c r="CK437" s="645">
        <f t="shared" si="1377"/>
        <v>26944.31935538134</v>
      </c>
      <c r="CL437" s="646">
        <f t="shared" si="1378"/>
        <v>0</v>
      </c>
      <c r="CM437" s="647">
        <f t="shared" si="1325"/>
        <v>26944.31935538134</v>
      </c>
      <c r="CN437" s="644">
        <f t="shared" si="1379"/>
        <v>0</v>
      </c>
      <c r="CO437" s="645">
        <f t="shared" si="1380"/>
        <v>26944.31935538134</v>
      </c>
      <c r="CP437" s="646">
        <f t="shared" si="1381"/>
        <v>0</v>
      </c>
      <c r="CQ437" s="647">
        <f t="shared" si="1326"/>
        <v>26944.31935538134</v>
      </c>
      <c r="CS437" s="644">
        <f t="shared" si="1382"/>
        <v>24671.521371069699</v>
      </c>
      <c r="CT437" s="645">
        <f t="shared" si="1306"/>
        <v>22087.972389892191</v>
      </c>
      <c r="CU437" s="644">
        <f t="shared" si="1383"/>
        <v>0</v>
      </c>
      <c r="CV437" s="645">
        <f t="shared" si="1384"/>
        <v>24671.521371069699</v>
      </c>
      <c r="CW437" s="646">
        <f t="shared" si="1385"/>
        <v>-252.65032125865443</v>
      </c>
      <c r="CX437" s="647">
        <f t="shared" si="1386"/>
        <v>24418.871049811045</v>
      </c>
      <c r="CY437" s="644">
        <f t="shared" si="1327"/>
        <v>0</v>
      </c>
      <c r="CZ437" s="645">
        <f t="shared" si="1328"/>
        <v>24418.871049811045</v>
      </c>
      <c r="DA437" s="646">
        <f t="shared" si="1387"/>
        <v>-19.168902452654493</v>
      </c>
      <c r="DB437" s="647">
        <f t="shared" si="1329"/>
        <v>24399.702147358392</v>
      </c>
      <c r="DC437" s="644">
        <f t="shared" si="1388"/>
        <v>0</v>
      </c>
      <c r="DD437" s="645">
        <f t="shared" si="1389"/>
        <v>24399.702147358392</v>
      </c>
      <c r="DE437" s="646">
        <f t="shared" si="1390"/>
        <v>-1.653079083317174E-2</v>
      </c>
      <c r="DF437" s="647">
        <f t="shared" si="1330"/>
        <v>24399.68561656756</v>
      </c>
      <c r="DG437" s="644">
        <f t="shared" si="1391"/>
        <v>0</v>
      </c>
      <c r="DH437" s="645">
        <f t="shared" si="1392"/>
        <v>24399.68561656756</v>
      </c>
      <c r="DI437" s="646">
        <f t="shared" si="1393"/>
        <v>0</v>
      </c>
      <c r="DJ437" s="647">
        <f t="shared" si="1331"/>
        <v>24399.68561656756</v>
      </c>
      <c r="DK437" s="644">
        <f t="shared" si="1394"/>
        <v>0</v>
      </c>
      <c r="DL437" s="645">
        <f t="shared" si="1395"/>
        <v>24399.68561656756</v>
      </c>
      <c r="DM437" s="646">
        <f t="shared" si="1396"/>
        <v>0</v>
      </c>
      <c r="DN437" s="647">
        <f t="shared" si="1332"/>
        <v>24399.68561656756</v>
      </c>
      <c r="DR437" s="827">
        <f t="shared" si="1283"/>
        <v>111298.05718068541</v>
      </c>
      <c r="DV437" s="828">
        <f>IFERROR(VLOOKUP($B437,'Afton FY16 Final'!$A$5:$BV$587,'Afton FY16 Final'!$BV$587,0),0)</f>
        <v>95631.486285847306</v>
      </c>
      <c r="DX437" s="636">
        <f t="shared" si="1274"/>
        <v>111298.05718068541</v>
      </c>
      <c r="DY437" s="637">
        <f t="shared" si="1275"/>
        <v>15666.570894838107</v>
      </c>
      <c r="DZ437" s="637">
        <f t="shared" si="1276"/>
        <v>95631.486285847306</v>
      </c>
      <c r="EA437" s="643">
        <f t="shared" si="1277"/>
        <v>105378.24790062511</v>
      </c>
      <c r="EB437" s="637">
        <f t="shared" si="1284"/>
        <v>0</v>
      </c>
      <c r="EC437" s="637">
        <f t="shared" si="1285"/>
        <v>105378.24790062511</v>
      </c>
      <c r="ED437" s="637">
        <f t="shared" si="1286"/>
        <v>105064.01625728101</v>
      </c>
      <c r="EE437" s="643">
        <f t="shared" si="1287"/>
        <v>105064.01625728101</v>
      </c>
      <c r="EF437" s="637">
        <f t="shared" si="1288"/>
        <v>0</v>
      </c>
      <c r="EG437" s="637">
        <f t="shared" si="1289"/>
        <v>105064.01625728101</v>
      </c>
      <c r="EH437" s="637">
        <f t="shared" si="1290"/>
        <v>105063.90786683638</v>
      </c>
      <c r="EI437" s="643">
        <f t="shared" si="1291"/>
        <v>105063.90786683638</v>
      </c>
      <c r="EJ437" s="637">
        <f t="shared" si="1292"/>
        <v>0</v>
      </c>
      <c r="EK437" s="637">
        <f t="shared" si="1293"/>
        <v>105063.90786683638</v>
      </c>
      <c r="EL437" s="637">
        <f t="shared" si="1294"/>
        <v>105063.90786683623</v>
      </c>
      <c r="EM437" s="643">
        <f t="shared" si="1295"/>
        <v>105063.90786683623</v>
      </c>
      <c r="EN437" s="637">
        <f t="shared" si="1296"/>
        <v>0</v>
      </c>
      <c r="EO437" s="637">
        <f t="shared" si="1297"/>
        <v>105063.90786683623</v>
      </c>
      <c r="EP437" s="637">
        <f t="shared" si="1298"/>
        <v>105063.90786683639</v>
      </c>
      <c r="EQ437" s="643">
        <f t="shared" si="1299"/>
        <v>105063.90786683639</v>
      </c>
      <c r="ER437" s="637">
        <f t="shared" si="1300"/>
        <v>0</v>
      </c>
      <c r="ES437" s="637">
        <f t="shared" si="1301"/>
        <v>105063.90786683639</v>
      </c>
      <c r="ET437" s="637">
        <f t="shared" si="1302"/>
        <v>105063.90786683623</v>
      </c>
      <c r="EU437" s="643">
        <f t="shared" si="1278"/>
        <v>105063.90786683623</v>
      </c>
      <c r="EV437" s="643">
        <f t="shared" si="1279"/>
        <v>0</v>
      </c>
      <c r="EX437" s="829">
        <f t="shared" si="1280"/>
        <v>6234.1493138491787</v>
      </c>
      <c r="EY437" s="638">
        <f t="shared" si="1281"/>
        <v>105063.90786683623</v>
      </c>
      <c r="FC437" s="830" t="str">
        <f t="shared" si="1303"/>
        <v>Y</v>
      </c>
      <c r="FE437" s="830" t="str">
        <f>IFERROR(VLOOKUP($B437,'Historical Conc Grant Elig'!$B$3:$J$707,'HH &amp; SI'!FE$2,0),"N")</f>
        <v>Y</v>
      </c>
      <c r="FF437" s="830" t="str">
        <f>IFERROR(VLOOKUP($B437,'Historical Conc Grant Elig'!$B$3:$J$707,'HH &amp; SI'!FF$2,0),"N")</f>
        <v>Y</v>
      </c>
      <c r="FG437" s="830" t="str">
        <f>IFERROR(VLOOKUP($B437,'Historical Conc Grant Elig'!$B$3:$J$707,'HH &amp; SI'!FG$2,0),"N")</f>
        <v>Y</v>
      </c>
      <c r="FH437" s="830" t="str">
        <f>IFERROR(VLOOKUP($B437,'Historical Conc Grant Elig'!$B$3:$J$707,'HH &amp; SI'!FH$2,0),"N")</f>
        <v>Y</v>
      </c>
      <c r="FI437" s="830" t="str">
        <f>IFERROR(VLOOKUP($B437,'Historical Conc Grant Elig'!$B$3:$J$707,'HH &amp; SI'!FI$2,0),"N")</f>
        <v>Y</v>
      </c>
      <c r="FJ437" s="830" t="str">
        <f>IFERROR(VLOOKUP($B437,'Historical Conc Grant Elig'!$B$3:$J$707,'HH &amp; SI'!FJ$2,0),"N")</f>
        <v>Y</v>
      </c>
      <c r="FK437" s="830" t="str">
        <f>IFERROR(VLOOKUP($B437,'Historical Conc Grant Elig'!$B$3:$J$707,'HH &amp; SI'!FK$2,0),"N")</f>
        <v>Y</v>
      </c>
      <c r="FL437" s="957" t="str">
        <f>IFERROR(VLOOKUP($B437,'Historical Conc Grant Elig'!$B$3:$J$707,'HH &amp; SI'!FL$2,0),"N")</f>
        <v>Y</v>
      </c>
    </row>
    <row r="438" spans="2:168" x14ac:dyDescent="0.25">
      <c r="B438" s="634">
        <v>130199000</v>
      </c>
      <c r="C438" s="635" t="str">
        <f>VLOOKUP($B438,'Afton Update'!$A$5:$CR$582,'Afton Update'!D$589,0)</f>
        <v>Yavapai Accommodation School District</v>
      </c>
      <c r="D438" s="636">
        <f>IFERROR(VLOOKUP($B438,'Afton FY16 Final'!$A$5:$BV$587,'Afton FY16 Final'!AQ$587,0),0)</f>
        <v>0</v>
      </c>
      <c r="E438" s="637">
        <f>IFERROR(VLOOKUP($B438,'Afton FY16 Final'!$A$5:$BV$587,'Afton FY16 Final'!AR$587,0),0)</f>
        <v>0</v>
      </c>
      <c r="F438" s="637">
        <f>IFERROR(VLOOKUP($B438,'Afton FY16 Final'!$A$5:$BV$587,'Afton FY16 Final'!AS$587,0),0)</f>
        <v>0</v>
      </c>
      <c r="G438" s="637">
        <f>IFERROR(VLOOKUP($B438,'Afton FY16 Final'!$A$5:$BV$587,'Afton FY16 Final'!AT$587,0),0)</f>
        <v>0</v>
      </c>
      <c r="H438" s="638">
        <f>IFERROR(VLOOKUP($B438,'Afton FY16 Final'!$A$5:$BV$587,'Afton FY16 Final'!AU$587,0),0)</f>
        <v>0</v>
      </c>
      <c r="I438" s="639" t="str">
        <f>VLOOKUP($B438,'Afton Update'!$A$5:$CR$582,'Afton Update'!BT$589,0)</f>
        <v>Y</v>
      </c>
      <c r="J438" s="640" t="str">
        <f>VLOOKUP($B438,'Afton Update'!$A$5:$CR$582,'Afton Update'!BU$589,0)</f>
        <v>Y</v>
      </c>
      <c r="K438" s="640" t="str">
        <f>VLOOKUP($B438,'Afton Update'!$A$5:$CR$582,'Afton Update'!BV$589,0)</f>
        <v>Y</v>
      </c>
      <c r="L438" s="641" t="str">
        <f>VLOOKUP($B438,'Afton Update'!$A$5:$CR$582,'Afton Update'!BW$589,0)</f>
        <v>Y</v>
      </c>
      <c r="N438" s="642">
        <f>VLOOKUP($B438,'Afton Update'!$A$5:$CR$582,'Afton Update'!CB$589,0)</f>
        <v>0.9</v>
      </c>
      <c r="P438" s="636">
        <f>VLOOKUP($B438,'Afton Update'!$A$5:$CR$582,'Afton Update'!AH$589,0)</f>
        <v>5594.0400945794909</v>
      </c>
      <c r="Q438" s="637">
        <f>VLOOKUP($B438,'Afton Update'!$A$5:$CR$582,'Afton Update'!AI$589,0)</f>
        <v>4227.9976768677743</v>
      </c>
      <c r="R438" s="637">
        <f>VLOOKUP($B438,'Afton Update'!$A$5:$CR$582,'Afton Update'!AJ$589,0)</f>
        <v>2406.5443775872573</v>
      </c>
      <c r="S438" s="637">
        <f>VLOOKUP($B438,'Afton Update'!$A$5:$CR$582,'Afton Update'!AK$589,0)</f>
        <v>1953.5299316224562</v>
      </c>
      <c r="T438" s="643">
        <f t="shared" si="1307"/>
        <v>14182.112080656978</v>
      </c>
      <c r="V438" s="636">
        <f t="shared" si="1333"/>
        <v>5517.733756801269</v>
      </c>
      <c r="W438" s="637">
        <f t="shared" si="1334"/>
        <v>4088.7428913540175</v>
      </c>
      <c r="X438" s="637">
        <f t="shared" si="1335"/>
        <v>2384.6577960728268</v>
      </c>
      <c r="Y438" s="637">
        <f t="shared" si="1336"/>
        <v>1932.0055483094832</v>
      </c>
      <c r="Z438" s="643">
        <f t="shared" si="1337"/>
        <v>13923.139992537597</v>
      </c>
      <c r="AB438" s="644">
        <f t="shared" si="1308"/>
        <v>5594.0400945794909</v>
      </c>
      <c r="AC438" s="645">
        <f t="shared" si="1304"/>
        <v>0</v>
      </c>
      <c r="AD438" s="644">
        <f t="shared" si="1338"/>
        <v>0</v>
      </c>
      <c r="AE438" s="645">
        <f t="shared" si="1339"/>
        <v>5594.0400945794909</v>
      </c>
      <c r="AF438" s="646">
        <f t="shared" si="1340"/>
        <v>-69.342330781540539</v>
      </c>
      <c r="AG438" s="647">
        <f t="shared" si="1341"/>
        <v>5524.6977637979508</v>
      </c>
      <c r="AH438" s="644">
        <f t="shared" si="1309"/>
        <v>0</v>
      </c>
      <c r="AI438" s="645">
        <f t="shared" si="1310"/>
        <v>5524.6977637979508</v>
      </c>
      <c r="AJ438" s="646">
        <f t="shared" si="1342"/>
        <v>-6.9595702492136393</v>
      </c>
      <c r="AK438" s="647">
        <f t="shared" si="1311"/>
        <v>5517.7381935487374</v>
      </c>
      <c r="AL438" s="644">
        <f t="shared" si="1343"/>
        <v>0</v>
      </c>
      <c r="AM438" s="645">
        <f t="shared" si="1344"/>
        <v>5517.7381935487374</v>
      </c>
      <c r="AN438" s="646">
        <f t="shared" si="1345"/>
        <v>-4.436747468146084E-3</v>
      </c>
      <c r="AO438" s="647">
        <f t="shared" si="1312"/>
        <v>5517.733756801269</v>
      </c>
      <c r="AP438" s="644">
        <f t="shared" si="1346"/>
        <v>0</v>
      </c>
      <c r="AQ438" s="645">
        <f t="shared" si="1347"/>
        <v>5517.733756801269</v>
      </c>
      <c r="AR438" s="646">
        <f t="shared" si="1348"/>
        <v>0</v>
      </c>
      <c r="AS438" s="647">
        <f t="shared" si="1313"/>
        <v>5517.733756801269</v>
      </c>
      <c r="AT438" s="644">
        <f t="shared" si="1349"/>
        <v>0</v>
      </c>
      <c r="AU438" s="645">
        <f t="shared" si="1350"/>
        <v>5517.733756801269</v>
      </c>
      <c r="AV438" s="646">
        <f t="shared" si="1351"/>
        <v>0</v>
      </c>
      <c r="AW438" s="647">
        <f t="shared" si="1314"/>
        <v>5517.733756801269</v>
      </c>
      <c r="AY438" s="644">
        <f t="shared" si="1352"/>
        <v>4227.9976768677743</v>
      </c>
      <c r="AZ438" s="645">
        <f t="shared" si="1282"/>
        <v>0</v>
      </c>
      <c r="BA438" s="644">
        <f t="shared" si="1353"/>
        <v>0</v>
      </c>
      <c r="BB438" s="645">
        <f t="shared" si="1354"/>
        <v>4227.9976768677743</v>
      </c>
      <c r="BC438" s="646">
        <f t="shared" si="1355"/>
        <v>-30.404763461597486</v>
      </c>
      <c r="BD438" s="647">
        <f t="shared" si="1356"/>
        <v>4197.5929134061771</v>
      </c>
      <c r="BE438" s="644">
        <f t="shared" si="1315"/>
        <v>0</v>
      </c>
      <c r="BF438" s="645">
        <f t="shared" si="1316"/>
        <v>4197.5929134061771</v>
      </c>
      <c r="BG438" s="646">
        <f t="shared" si="1357"/>
        <v>-99.983242405900327</v>
      </c>
      <c r="BH438" s="647">
        <f t="shared" si="1317"/>
        <v>4097.6096710002766</v>
      </c>
      <c r="BI438" s="644">
        <f t="shared" si="1358"/>
        <v>0</v>
      </c>
      <c r="BJ438" s="645">
        <f t="shared" si="1359"/>
        <v>4097.6096710002766</v>
      </c>
      <c r="BK438" s="646">
        <f t="shared" si="1360"/>
        <v>-8.679699696994474</v>
      </c>
      <c r="BL438" s="647">
        <f t="shared" si="1318"/>
        <v>4088.9299713032824</v>
      </c>
      <c r="BM438" s="644">
        <f t="shared" si="1361"/>
        <v>0</v>
      </c>
      <c r="BN438" s="645">
        <f t="shared" si="1362"/>
        <v>4088.9299713032824</v>
      </c>
      <c r="BO438" s="646">
        <f t="shared" si="1363"/>
        <v>-0.1870799492650419</v>
      </c>
      <c r="BP438" s="647">
        <f t="shared" si="1319"/>
        <v>4088.7428913540175</v>
      </c>
      <c r="BQ438" s="644">
        <f t="shared" si="1364"/>
        <v>0</v>
      </c>
      <c r="BR438" s="645">
        <f t="shared" si="1365"/>
        <v>4088.7428913540175</v>
      </c>
      <c r="BS438" s="646">
        <f t="shared" si="1366"/>
        <v>0</v>
      </c>
      <c r="BT438" s="647">
        <f t="shared" si="1320"/>
        <v>4088.7428913540175</v>
      </c>
      <c r="BU438" s="662">
        <f>VLOOKUP(B438,'Afton Update'!$A$5:$AR$582,'Afton Update'!$AO$589,0)-BT438</f>
        <v>0</v>
      </c>
      <c r="BV438" s="644">
        <f t="shared" si="1367"/>
        <v>2406.5443775872573</v>
      </c>
      <c r="BW438" s="645">
        <f t="shared" si="1305"/>
        <v>0</v>
      </c>
      <c r="BX438" s="644">
        <f t="shared" si="1368"/>
        <v>0</v>
      </c>
      <c r="BY438" s="645">
        <f t="shared" si="1369"/>
        <v>2406.5443775872573</v>
      </c>
      <c r="BZ438" s="646">
        <f t="shared" si="1370"/>
        <v>-21.122495863023218</v>
      </c>
      <c r="CA438" s="647">
        <f t="shared" si="1371"/>
        <v>2385.421881724234</v>
      </c>
      <c r="CB438" s="644">
        <f t="shared" si="1321"/>
        <v>0</v>
      </c>
      <c r="CC438" s="645">
        <f t="shared" si="1322"/>
        <v>2385.421881724234</v>
      </c>
      <c r="CD438" s="646">
        <f t="shared" si="1372"/>
        <v>-0.76408565140730067</v>
      </c>
      <c r="CE438" s="647">
        <f t="shared" si="1323"/>
        <v>2384.6577960728268</v>
      </c>
      <c r="CF438" s="644">
        <f t="shared" si="1373"/>
        <v>0</v>
      </c>
      <c r="CG438" s="645">
        <f t="shared" si="1374"/>
        <v>2384.6577960728268</v>
      </c>
      <c r="CH438" s="646">
        <f t="shared" si="1375"/>
        <v>0</v>
      </c>
      <c r="CI438" s="647">
        <f t="shared" si="1324"/>
        <v>2384.6577960728268</v>
      </c>
      <c r="CJ438" s="644">
        <f t="shared" si="1376"/>
        <v>0</v>
      </c>
      <c r="CK438" s="645">
        <f t="shared" si="1377"/>
        <v>2384.6577960728268</v>
      </c>
      <c r="CL438" s="646">
        <f t="shared" si="1378"/>
        <v>0</v>
      </c>
      <c r="CM438" s="647">
        <f t="shared" si="1325"/>
        <v>2384.6577960728268</v>
      </c>
      <c r="CN438" s="644">
        <f t="shared" si="1379"/>
        <v>0</v>
      </c>
      <c r="CO438" s="645">
        <f t="shared" si="1380"/>
        <v>2384.6577960728268</v>
      </c>
      <c r="CP438" s="646">
        <f t="shared" si="1381"/>
        <v>0</v>
      </c>
      <c r="CQ438" s="647">
        <f t="shared" si="1326"/>
        <v>2384.6577960728268</v>
      </c>
      <c r="CS438" s="644">
        <f t="shared" si="1382"/>
        <v>1953.5299316224562</v>
      </c>
      <c r="CT438" s="645">
        <f t="shared" si="1306"/>
        <v>0</v>
      </c>
      <c r="CU438" s="644">
        <f t="shared" si="1383"/>
        <v>0</v>
      </c>
      <c r="CV438" s="645">
        <f t="shared" si="1384"/>
        <v>1953.5299316224562</v>
      </c>
      <c r="CW438" s="646">
        <f t="shared" si="1385"/>
        <v>-20.005250482508494</v>
      </c>
      <c r="CX438" s="647">
        <f t="shared" si="1386"/>
        <v>1933.5246811399477</v>
      </c>
      <c r="CY438" s="644">
        <f t="shared" si="1327"/>
        <v>0</v>
      </c>
      <c r="CZ438" s="645">
        <f t="shared" si="1328"/>
        <v>1933.5246811399477</v>
      </c>
      <c r="DA438" s="646">
        <f t="shared" si="1387"/>
        <v>-1.5178238964023827</v>
      </c>
      <c r="DB438" s="647">
        <f t="shared" si="1329"/>
        <v>1932.0068572435453</v>
      </c>
      <c r="DC438" s="644">
        <f t="shared" si="1388"/>
        <v>0</v>
      </c>
      <c r="DD438" s="645">
        <f t="shared" si="1389"/>
        <v>1932.0068572435453</v>
      </c>
      <c r="DE438" s="646">
        <f t="shared" si="1390"/>
        <v>-1.3089340620825666E-3</v>
      </c>
      <c r="DF438" s="647">
        <f t="shared" si="1330"/>
        <v>1932.0055483094832</v>
      </c>
      <c r="DG438" s="644">
        <f t="shared" si="1391"/>
        <v>0</v>
      </c>
      <c r="DH438" s="645">
        <f t="shared" si="1392"/>
        <v>1932.0055483094832</v>
      </c>
      <c r="DI438" s="646">
        <f t="shared" si="1393"/>
        <v>0</v>
      </c>
      <c r="DJ438" s="647">
        <f t="shared" si="1331"/>
        <v>1932.0055483094832</v>
      </c>
      <c r="DK438" s="644">
        <f t="shared" si="1394"/>
        <v>0</v>
      </c>
      <c r="DL438" s="645">
        <f t="shared" si="1395"/>
        <v>1932.0055483094832</v>
      </c>
      <c r="DM438" s="646">
        <f t="shared" si="1396"/>
        <v>0</v>
      </c>
      <c r="DN438" s="647">
        <f t="shared" si="1332"/>
        <v>1932.0055483094832</v>
      </c>
      <c r="DR438" s="827">
        <f t="shared" si="1283"/>
        <v>13923.139992537597</v>
      </c>
      <c r="DV438" s="828">
        <f>IFERROR(VLOOKUP($B438,'Afton FY16 Final'!$A$5:$BV$587,'Afton FY16 Final'!$BV$587,0),0)</f>
        <v>0</v>
      </c>
      <c r="DX438" s="636">
        <f t="shared" si="1274"/>
        <v>13923.139992537597</v>
      </c>
      <c r="DY438" s="637">
        <f t="shared" si="1275"/>
        <v>13923.139992537597</v>
      </c>
      <c r="DZ438" s="637">
        <f t="shared" si="1276"/>
        <v>0</v>
      </c>
      <c r="EA438" s="643">
        <f t="shared" si="1277"/>
        <v>13182.584987147024</v>
      </c>
      <c r="EB438" s="637">
        <f t="shared" si="1284"/>
        <v>0</v>
      </c>
      <c r="EC438" s="637">
        <f t="shared" si="1285"/>
        <v>13182.584987147024</v>
      </c>
      <c r="ED438" s="637">
        <f t="shared" si="1286"/>
        <v>13143.275305817524</v>
      </c>
      <c r="EE438" s="643">
        <f t="shared" si="1287"/>
        <v>13143.275305817524</v>
      </c>
      <c r="EF438" s="637">
        <f t="shared" si="1288"/>
        <v>0</v>
      </c>
      <c r="EG438" s="637">
        <f t="shared" si="1289"/>
        <v>13143.275305817524</v>
      </c>
      <c r="EH438" s="637">
        <f t="shared" si="1290"/>
        <v>13143.261746413411</v>
      </c>
      <c r="EI438" s="643">
        <f t="shared" si="1291"/>
        <v>13143.261746413411</v>
      </c>
      <c r="EJ438" s="637">
        <f t="shared" si="1292"/>
        <v>0</v>
      </c>
      <c r="EK438" s="637">
        <f t="shared" si="1293"/>
        <v>13143.261746413411</v>
      </c>
      <c r="EL438" s="637">
        <f t="shared" si="1294"/>
        <v>13143.261746413393</v>
      </c>
      <c r="EM438" s="643">
        <f t="shared" si="1295"/>
        <v>13143.261746413393</v>
      </c>
      <c r="EN438" s="637">
        <f t="shared" si="1296"/>
        <v>0</v>
      </c>
      <c r="EO438" s="637">
        <f t="shared" si="1297"/>
        <v>13143.261746413393</v>
      </c>
      <c r="EP438" s="637">
        <f t="shared" si="1298"/>
        <v>13143.261746413413</v>
      </c>
      <c r="EQ438" s="643">
        <f t="shared" si="1299"/>
        <v>13143.261746413413</v>
      </c>
      <c r="ER438" s="637">
        <f t="shared" si="1300"/>
        <v>0</v>
      </c>
      <c r="ES438" s="637">
        <f t="shared" si="1301"/>
        <v>13143.261746413413</v>
      </c>
      <c r="ET438" s="637">
        <f t="shared" si="1302"/>
        <v>13143.261746413393</v>
      </c>
      <c r="EU438" s="643">
        <f t="shared" si="1278"/>
        <v>13143.261746413393</v>
      </c>
      <c r="EV438" s="643">
        <f t="shared" si="1279"/>
        <v>0</v>
      </c>
      <c r="EX438" s="829">
        <f t="shared" si="1280"/>
        <v>779.87824612420445</v>
      </c>
      <c r="EY438" s="638">
        <f t="shared" si="1281"/>
        <v>13143.261746413393</v>
      </c>
      <c r="FC438" s="830" t="str">
        <f t="shared" si="1303"/>
        <v>Y</v>
      </c>
      <c r="FE438" s="830" t="str">
        <f>IFERROR(VLOOKUP($B438,'Historical Conc Grant Elig'!$B$3:$J$707,'HH &amp; SI'!FE$2,0),"N")</f>
        <v>N</v>
      </c>
      <c r="FF438" s="830" t="str">
        <f>IFERROR(VLOOKUP($B438,'Historical Conc Grant Elig'!$B$3:$J$707,'HH &amp; SI'!FF$2,0),"N")</f>
        <v>Y</v>
      </c>
      <c r="FG438" s="830" t="str">
        <f>IFERROR(VLOOKUP($B438,'Historical Conc Grant Elig'!$B$3:$J$707,'HH &amp; SI'!FG$2,0),"N")</f>
        <v>Y</v>
      </c>
      <c r="FH438" s="830" t="str">
        <f>IFERROR(VLOOKUP($B438,'Historical Conc Grant Elig'!$B$3:$J$707,'HH &amp; SI'!FH$2,0),"N")</f>
        <v>Y</v>
      </c>
      <c r="FI438" s="830" t="str">
        <f>IFERROR(VLOOKUP($B438,'Historical Conc Grant Elig'!$B$3:$J$707,'HH &amp; SI'!FI$2,0),"N")</f>
        <v>N</v>
      </c>
      <c r="FJ438" s="830" t="str">
        <f>IFERROR(VLOOKUP($B438,'Historical Conc Grant Elig'!$B$3:$J$707,'HH &amp; SI'!FJ$2,0),"N")</f>
        <v>Y</v>
      </c>
      <c r="FK438" s="830" t="str">
        <f>IFERROR(VLOOKUP($B438,'Historical Conc Grant Elig'!$B$3:$J$707,'HH &amp; SI'!FK$2,0),"N")</f>
        <v>N</v>
      </c>
      <c r="FL438" s="957" t="str">
        <f>IFERROR(VLOOKUP($B438,'Historical Conc Grant Elig'!$B$3:$J$707,'HH &amp; SI'!FL$2,0),"N")</f>
        <v>Y</v>
      </c>
    </row>
    <row r="439" spans="2:168" x14ac:dyDescent="0.25">
      <c r="B439" s="634">
        <v>130201000</v>
      </c>
      <c r="C439" s="635" t="str">
        <f>VLOOKUP($B439,'Afton Update'!$A$5:$CR$582,'Afton Update'!D$589,0)</f>
        <v>Prescott Unified District</v>
      </c>
      <c r="D439" s="636">
        <f>IFERROR(VLOOKUP($B439,'Afton FY16 Final'!$A$5:$BV$587,'Afton FY16 Final'!AQ$587,0),0)</f>
        <v>372961.55148133961</v>
      </c>
      <c r="E439" s="637">
        <f>IFERROR(VLOOKUP($B439,'Afton FY16 Final'!$A$5:$BV$587,'Afton FY16 Final'!AR$587,0),0)</f>
        <v>87295.018567463238</v>
      </c>
      <c r="F439" s="637">
        <f>IFERROR(VLOOKUP($B439,'Afton FY16 Final'!$A$5:$BV$587,'Afton FY16 Final'!AS$587,0),0)</f>
        <v>117326.19898254969</v>
      </c>
      <c r="G439" s="637">
        <f>IFERROR(VLOOKUP($B439,'Afton FY16 Final'!$A$5:$BV$587,'Afton FY16 Final'!AT$587,0),0)</f>
        <v>86683.00468039533</v>
      </c>
      <c r="H439" s="638">
        <f>IFERROR(VLOOKUP($B439,'Afton FY16 Final'!$A$5:$BV$587,'Afton FY16 Final'!AU$587,0),0)</f>
        <v>664265.77371174796</v>
      </c>
      <c r="I439" s="639" t="str">
        <f>VLOOKUP($B439,'Afton Update'!$A$5:$CR$582,'Afton Update'!BT$589,0)</f>
        <v>Y</v>
      </c>
      <c r="J439" s="640" t="str">
        <f>VLOOKUP($B439,'Afton Update'!$A$5:$CR$582,'Afton Update'!BU$589,0)</f>
        <v>N</v>
      </c>
      <c r="K439" s="640" t="str">
        <f>VLOOKUP($B439,'Afton Update'!$A$5:$CR$582,'Afton Update'!BV$589,0)</f>
        <v>Y</v>
      </c>
      <c r="L439" s="641" t="str">
        <f>VLOOKUP($B439,'Afton Update'!$A$5:$CR$582,'Afton Update'!BW$589,0)</f>
        <v>Y</v>
      </c>
      <c r="N439" s="642">
        <f>VLOOKUP($B439,'Afton Update'!$A$5:$CR$582,'Afton Update'!CB$589,0)</f>
        <v>0.85</v>
      </c>
      <c r="P439" s="636">
        <f>VLOOKUP($B439,'Afton Update'!$A$5:$CR$582,'Afton Update'!AH$589,0)</f>
        <v>340624.62782729784</v>
      </c>
      <c r="Q439" s="637" t="str">
        <f>VLOOKUP($B439,'Afton Update'!$A$5:$CR$582,'Afton Update'!AI$589,0)</f>
        <v/>
      </c>
      <c r="R439" s="637">
        <f>VLOOKUP($B439,'Afton Update'!$A$5:$CR$582,'Afton Update'!AJ$589,0)</f>
        <v>113304.91123673115</v>
      </c>
      <c r="S439" s="637">
        <f>VLOOKUP($B439,'Afton Update'!$A$5:$CR$582,'Afton Update'!AK$589,0)</f>
        <v>87903.328809297556</v>
      </c>
      <c r="T439" s="643">
        <f t="shared" si="1307"/>
        <v>541832.86787332653</v>
      </c>
      <c r="V439" s="636">
        <f t="shared" si="1333"/>
        <v>335978.28681666462</v>
      </c>
      <c r="W439" s="637">
        <f t="shared" si="1334"/>
        <v>74200.765782343748</v>
      </c>
      <c r="X439" s="637">
        <f t="shared" si="1335"/>
        <v>112274.44730726299</v>
      </c>
      <c r="Y439" s="637">
        <f t="shared" si="1336"/>
        <v>86934.792359893778</v>
      </c>
      <c r="Z439" s="643">
        <f t="shared" si="1337"/>
        <v>609388.29226616514</v>
      </c>
      <c r="AB439" s="644">
        <f t="shared" si="1308"/>
        <v>340624.62782729784</v>
      </c>
      <c r="AC439" s="645">
        <f t="shared" si="1304"/>
        <v>317017.31875913864</v>
      </c>
      <c r="AD439" s="644">
        <f t="shared" si="1338"/>
        <v>0</v>
      </c>
      <c r="AE439" s="645">
        <f t="shared" si="1339"/>
        <v>340624.62782729784</v>
      </c>
      <c r="AF439" s="646">
        <f t="shared" si="1340"/>
        <v>-4222.2982345133041</v>
      </c>
      <c r="AG439" s="647">
        <f t="shared" si="1341"/>
        <v>336402.32959278452</v>
      </c>
      <c r="AH439" s="644">
        <f t="shared" si="1309"/>
        <v>0</v>
      </c>
      <c r="AI439" s="645">
        <f t="shared" si="1310"/>
        <v>336402.32959278452</v>
      </c>
      <c r="AJ439" s="646">
        <f t="shared" si="1342"/>
        <v>-423.77261976963547</v>
      </c>
      <c r="AK439" s="647">
        <f t="shared" si="1311"/>
        <v>335978.5569730149</v>
      </c>
      <c r="AL439" s="644">
        <f t="shared" si="1343"/>
        <v>0</v>
      </c>
      <c r="AM439" s="645">
        <f t="shared" si="1344"/>
        <v>335978.5569730149</v>
      </c>
      <c r="AN439" s="646">
        <f t="shared" si="1345"/>
        <v>-0.27015635024950047</v>
      </c>
      <c r="AO439" s="647">
        <f t="shared" si="1312"/>
        <v>335978.28681666462</v>
      </c>
      <c r="AP439" s="644">
        <f t="shared" si="1346"/>
        <v>0</v>
      </c>
      <c r="AQ439" s="645">
        <f t="shared" si="1347"/>
        <v>335978.28681666462</v>
      </c>
      <c r="AR439" s="646">
        <f t="shared" si="1348"/>
        <v>0</v>
      </c>
      <c r="AS439" s="647">
        <f t="shared" si="1313"/>
        <v>335978.28681666462</v>
      </c>
      <c r="AT439" s="644">
        <f t="shared" si="1349"/>
        <v>0</v>
      </c>
      <c r="AU439" s="645">
        <f t="shared" si="1350"/>
        <v>335978.28681666462</v>
      </c>
      <c r="AV439" s="646">
        <f t="shared" si="1351"/>
        <v>0</v>
      </c>
      <c r="AW439" s="647">
        <f t="shared" si="1314"/>
        <v>335978.28681666462</v>
      </c>
      <c r="AY439" s="644">
        <f t="shared" si="1352"/>
        <v>0</v>
      </c>
      <c r="AZ439" s="645">
        <f t="shared" si="1282"/>
        <v>74200.765782343748</v>
      </c>
      <c r="BA439" s="644">
        <f t="shared" si="1353"/>
        <v>0</v>
      </c>
      <c r="BB439" s="645">
        <f t="shared" si="1354"/>
        <v>0</v>
      </c>
      <c r="BC439" s="646">
        <f t="shared" si="1355"/>
        <v>0</v>
      </c>
      <c r="BD439" s="647">
        <f t="shared" si="1356"/>
        <v>0</v>
      </c>
      <c r="BE439" s="644">
        <f t="shared" si="1315"/>
        <v>-74200.765782343748</v>
      </c>
      <c r="BF439" s="645">
        <f t="shared" si="1316"/>
        <v>0</v>
      </c>
      <c r="BG439" s="646">
        <f t="shared" si="1357"/>
        <v>0</v>
      </c>
      <c r="BH439" s="647">
        <f t="shared" si="1317"/>
        <v>74200.765782343748</v>
      </c>
      <c r="BI439" s="644">
        <f t="shared" si="1358"/>
        <v>0</v>
      </c>
      <c r="BJ439" s="645">
        <f t="shared" si="1359"/>
        <v>0</v>
      </c>
      <c r="BK439" s="646">
        <f t="shared" si="1360"/>
        <v>0</v>
      </c>
      <c r="BL439" s="647">
        <f t="shared" si="1318"/>
        <v>74200.765782343748</v>
      </c>
      <c r="BM439" s="644">
        <f t="shared" si="1361"/>
        <v>0</v>
      </c>
      <c r="BN439" s="645">
        <f t="shared" si="1362"/>
        <v>0</v>
      </c>
      <c r="BO439" s="646">
        <f t="shared" si="1363"/>
        <v>0</v>
      </c>
      <c r="BP439" s="647">
        <f t="shared" si="1319"/>
        <v>74200.765782343748</v>
      </c>
      <c r="BQ439" s="644">
        <f t="shared" si="1364"/>
        <v>0</v>
      </c>
      <c r="BR439" s="645">
        <f t="shared" si="1365"/>
        <v>0</v>
      </c>
      <c r="BS439" s="646">
        <f t="shared" si="1366"/>
        <v>0</v>
      </c>
      <c r="BT439" s="647">
        <f t="shared" si="1320"/>
        <v>74200.765782343748</v>
      </c>
      <c r="BU439" s="662">
        <f>VLOOKUP(B439,'Afton Update'!$A$5:$AR$582,'Afton Update'!$AO$589,0)-BT439</f>
        <v>0</v>
      </c>
      <c r="BV439" s="644">
        <f t="shared" si="1367"/>
        <v>113304.91123673115</v>
      </c>
      <c r="BW439" s="645">
        <f t="shared" si="1305"/>
        <v>99727.269135167226</v>
      </c>
      <c r="BX439" s="644">
        <f t="shared" si="1368"/>
        <v>0</v>
      </c>
      <c r="BY439" s="645">
        <f t="shared" si="1369"/>
        <v>113304.91123673115</v>
      </c>
      <c r="BZ439" s="646">
        <f t="shared" si="1370"/>
        <v>-994.48925236837442</v>
      </c>
      <c r="CA439" s="647">
        <f t="shared" si="1371"/>
        <v>112310.42198436277</v>
      </c>
      <c r="CB439" s="644">
        <f t="shared" si="1321"/>
        <v>0</v>
      </c>
      <c r="CC439" s="645">
        <f t="shared" si="1322"/>
        <v>112310.42198436277</v>
      </c>
      <c r="CD439" s="646">
        <f t="shared" si="1372"/>
        <v>-35.974677099768151</v>
      </c>
      <c r="CE439" s="647">
        <f t="shared" si="1323"/>
        <v>112274.44730726299</v>
      </c>
      <c r="CF439" s="644">
        <f t="shared" si="1373"/>
        <v>0</v>
      </c>
      <c r="CG439" s="645">
        <f t="shared" si="1374"/>
        <v>112274.44730726299</v>
      </c>
      <c r="CH439" s="646">
        <f t="shared" si="1375"/>
        <v>0</v>
      </c>
      <c r="CI439" s="647">
        <f t="shared" si="1324"/>
        <v>112274.44730726299</v>
      </c>
      <c r="CJ439" s="644">
        <f t="shared" si="1376"/>
        <v>0</v>
      </c>
      <c r="CK439" s="645">
        <f t="shared" si="1377"/>
        <v>112274.44730726299</v>
      </c>
      <c r="CL439" s="646">
        <f t="shared" si="1378"/>
        <v>0</v>
      </c>
      <c r="CM439" s="647">
        <f t="shared" si="1325"/>
        <v>112274.44730726299</v>
      </c>
      <c r="CN439" s="644">
        <f t="shared" si="1379"/>
        <v>0</v>
      </c>
      <c r="CO439" s="645">
        <f t="shared" si="1380"/>
        <v>112274.44730726299</v>
      </c>
      <c r="CP439" s="646">
        <f t="shared" si="1381"/>
        <v>0</v>
      </c>
      <c r="CQ439" s="647">
        <f t="shared" si="1326"/>
        <v>112274.44730726299</v>
      </c>
      <c r="CS439" s="644">
        <f t="shared" si="1382"/>
        <v>87903.328809297556</v>
      </c>
      <c r="CT439" s="645">
        <f t="shared" si="1306"/>
        <v>73680.553978336029</v>
      </c>
      <c r="CU439" s="644">
        <f t="shared" si="1383"/>
        <v>0</v>
      </c>
      <c r="CV439" s="645">
        <f t="shared" si="1384"/>
        <v>87903.328809297556</v>
      </c>
      <c r="CW439" s="646">
        <f t="shared" si="1385"/>
        <v>-900.17976311005418</v>
      </c>
      <c r="CX439" s="647">
        <f t="shared" si="1386"/>
        <v>87003.149046187507</v>
      </c>
      <c r="CY439" s="644">
        <f t="shared" si="1327"/>
        <v>0</v>
      </c>
      <c r="CZ439" s="645">
        <f t="shared" si="1328"/>
        <v>87003.149046187507</v>
      </c>
      <c r="DA439" s="646">
        <f t="shared" si="1387"/>
        <v>-68.297787958261623</v>
      </c>
      <c r="DB439" s="647">
        <f t="shared" si="1329"/>
        <v>86934.851258229246</v>
      </c>
      <c r="DC439" s="644">
        <f t="shared" si="1388"/>
        <v>0</v>
      </c>
      <c r="DD439" s="645">
        <f t="shared" si="1389"/>
        <v>86934.851258229246</v>
      </c>
      <c r="DE439" s="646">
        <f t="shared" si="1390"/>
        <v>-5.8898335462601994E-2</v>
      </c>
      <c r="DF439" s="647">
        <f t="shared" si="1330"/>
        <v>86934.792359893778</v>
      </c>
      <c r="DG439" s="644">
        <f t="shared" si="1391"/>
        <v>0</v>
      </c>
      <c r="DH439" s="645">
        <f t="shared" si="1392"/>
        <v>86934.792359893778</v>
      </c>
      <c r="DI439" s="646">
        <f t="shared" si="1393"/>
        <v>0</v>
      </c>
      <c r="DJ439" s="647">
        <f t="shared" si="1331"/>
        <v>86934.792359893778</v>
      </c>
      <c r="DK439" s="644">
        <f t="shared" si="1394"/>
        <v>0</v>
      </c>
      <c r="DL439" s="645">
        <f t="shared" si="1395"/>
        <v>86934.792359893778</v>
      </c>
      <c r="DM439" s="646">
        <f t="shared" si="1396"/>
        <v>0</v>
      </c>
      <c r="DN439" s="647">
        <f t="shared" si="1332"/>
        <v>86934.792359893778</v>
      </c>
      <c r="DR439" s="827">
        <f t="shared" si="1283"/>
        <v>609388.29226616514</v>
      </c>
      <c r="DV439" s="828">
        <f>IFERROR(VLOOKUP($B439,'Afton FY16 Final'!$A$5:$BV$587,'Afton FY16 Final'!$BV$587,0),0)</f>
        <v>651186.38073737186</v>
      </c>
      <c r="DX439" s="636">
        <f t="shared" si="1274"/>
        <v>0</v>
      </c>
      <c r="DY439" s="637">
        <f t="shared" si="1275"/>
        <v>0</v>
      </c>
      <c r="DZ439" s="637">
        <f t="shared" si="1276"/>
        <v>0</v>
      </c>
      <c r="EA439" s="643">
        <f t="shared" si="1277"/>
        <v>0</v>
      </c>
      <c r="EB439" s="637">
        <f t="shared" si="1284"/>
        <v>0</v>
      </c>
      <c r="EC439" s="637">
        <f t="shared" si="1285"/>
        <v>0</v>
      </c>
      <c r="ED439" s="637">
        <f t="shared" si="1286"/>
        <v>0</v>
      </c>
      <c r="EE439" s="643">
        <f t="shared" si="1287"/>
        <v>0</v>
      </c>
      <c r="EF439" s="637">
        <f t="shared" si="1288"/>
        <v>0</v>
      </c>
      <c r="EG439" s="637">
        <f t="shared" si="1289"/>
        <v>0</v>
      </c>
      <c r="EH439" s="637">
        <f t="shared" si="1290"/>
        <v>0</v>
      </c>
      <c r="EI439" s="643">
        <f t="shared" si="1291"/>
        <v>0</v>
      </c>
      <c r="EJ439" s="637">
        <f t="shared" si="1292"/>
        <v>0</v>
      </c>
      <c r="EK439" s="637">
        <f t="shared" si="1293"/>
        <v>0</v>
      </c>
      <c r="EL439" s="637">
        <f t="shared" si="1294"/>
        <v>0</v>
      </c>
      <c r="EM439" s="643">
        <f t="shared" si="1295"/>
        <v>0</v>
      </c>
      <c r="EN439" s="637">
        <f t="shared" si="1296"/>
        <v>0</v>
      </c>
      <c r="EO439" s="637">
        <f t="shared" si="1297"/>
        <v>0</v>
      </c>
      <c r="EP439" s="637">
        <f t="shared" si="1298"/>
        <v>0</v>
      </c>
      <c r="EQ439" s="643">
        <f t="shared" si="1299"/>
        <v>0</v>
      </c>
      <c r="ER439" s="637">
        <f t="shared" si="1300"/>
        <v>0</v>
      </c>
      <c r="ES439" s="637">
        <f t="shared" si="1301"/>
        <v>0</v>
      </c>
      <c r="ET439" s="637">
        <f t="shared" si="1302"/>
        <v>0</v>
      </c>
      <c r="EU439" s="643">
        <f t="shared" si="1278"/>
        <v>0</v>
      </c>
      <c r="EV439" s="643">
        <f t="shared" si="1279"/>
        <v>0</v>
      </c>
      <c r="EX439" s="829">
        <f t="shared" si="1280"/>
        <v>0</v>
      </c>
      <c r="EY439" s="638">
        <f t="shared" si="1281"/>
        <v>609388.29226616514</v>
      </c>
      <c r="FC439" s="830" t="str">
        <f t="shared" si="1303"/>
        <v>Y</v>
      </c>
      <c r="FE439" s="830" t="str">
        <f>IFERROR(VLOOKUP($B439,'Historical Conc Grant Elig'!$B$3:$J$707,'HH &amp; SI'!FE$2,0),"N")</f>
        <v>N</v>
      </c>
      <c r="FF439" s="830" t="str">
        <f>IFERROR(VLOOKUP($B439,'Historical Conc Grant Elig'!$B$3:$J$707,'HH &amp; SI'!FF$2,0),"N")</f>
        <v>N</v>
      </c>
      <c r="FG439" s="830" t="str">
        <f>IFERROR(VLOOKUP($B439,'Historical Conc Grant Elig'!$B$3:$J$707,'HH &amp; SI'!FG$2,0),"N")</f>
        <v>N</v>
      </c>
      <c r="FH439" s="830" t="str">
        <f>IFERROR(VLOOKUP($B439,'Historical Conc Grant Elig'!$B$3:$J$707,'HH &amp; SI'!FH$2,0),"N")</f>
        <v>Y</v>
      </c>
      <c r="FI439" s="830" t="str">
        <f>IFERROR(VLOOKUP($B439,'Historical Conc Grant Elig'!$B$3:$J$707,'HH &amp; SI'!FI$2,0),"N")</f>
        <v>Y</v>
      </c>
      <c r="FJ439" s="830" t="str">
        <f>IFERROR(VLOOKUP($B439,'Historical Conc Grant Elig'!$B$3:$J$707,'HH &amp; SI'!FJ$2,0),"N")</f>
        <v>Y</v>
      </c>
      <c r="FK439" s="830" t="str">
        <f>IFERROR(VLOOKUP($B439,'Historical Conc Grant Elig'!$B$3:$J$707,'HH &amp; SI'!FK$2,0),"N")</f>
        <v>Y</v>
      </c>
      <c r="FL439" s="957" t="str">
        <f>IFERROR(VLOOKUP($B439,'Historical Conc Grant Elig'!$B$3:$J$707,'HH &amp; SI'!FL$2,0),"N")</f>
        <v>N</v>
      </c>
    </row>
    <row r="440" spans="2:168" x14ac:dyDescent="0.25">
      <c r="B440" s="634">
        <v>130209000</v>
      </c>
      <c r="C440" s="635" t="str">
        <f>VLOOKUP($B440,'Afton Update'!$A$5:$CR$582,'Afton Update'!D$589,0)</f>
        <v>Sedona-Oak Creek JUSD #9</v>
      </c>
      <c r="D440" s="636">
        <f>IFERROR(VLOOKUP($B440,'Afton FY16 Final'!$A$5:$BV$587,'Afton FY16 Final'!AQ$587,0),0)</f>
        <v>142397.33186795792</v>
      </c>
      <c r="E440" s="637">
        <f>IFERROR(VLOOKUP($B440,'Afton FY16 Final'!$A$5:$BV$587,'Afton FY16 Final'!AR$587,0),0)</f>
        <v>33579.588721377222</v>
      </c>
      <c r="F440" s="637">
        <f>IFERROR(VLOOKUP($B440,'Afton FY16 Final'!$A$5:$BV$587,'Afton FY16 Final'!AS$587,0),0)</f>
        <v>59194.574888862335</v>
      </c>
      <c r="G440" s="637">
        <f>IFERROR(VLOOKUP($B440,'Afton FY16 Final'!$A$5:$BV$587,'Afton FY16 Final'!AT$587,0),0)</f>
        <v>41457.32051517121</v>
      </c>
      <c r="H440" s="638">
        <f>IFERROR(VLOOKUP($B440,'Afton FY16 Final'!$A$5:$BV$587,'Afton FY16 Final'!AU$587,0),0)</f>
        <v>276628.81599336868</v>
      </c>
      <c r="I440" s="639" t="str">
        <f>VLOOKUP($B440,'Afton Update'!$A$5:$CR$582,'Afton Update'!BT$589,0)</f>
        <v>Y</v>
      </c>
      <c r="J440" s="640" t="str">
        <f>VLOOKUP($B440,'Afton Update'!$A$5:$CR$582,'Afton Update'!BU$589,0)</f>
        <v>Y</v>
      </c>
      <c r="K440" s="640" t="str">
        <f>VLOOKUP($B440,'Afton Update'!$A$5:$CR$582,'Afton Update'!BV$589,0)</f>
        <v>Y</v>
      </c>
      <c r="L440" s="641" t="str">
        <f>VLOOKUP($B440,'Afton Update'!$A$5:$CR$582,'Afton Update'!BW$589,0)</f>
        <v>Y</v>
      </c>
      <c r="N440" s="642">
        <f>VLOOKUP($B440,'Afton Update'!$A$5:$CR$582,'Afton Update'!CB$589,0)</f>
        <v>0.9</v>
      </c>
      <c r="P440" s="636">
        <f>VLOOKUP($B440,'Afton Update'!$A$5:$CR$582,'Afton Update'!AH$589,0)</f>
        <v>127951.04471613775</v>
      </c>
      <c r="Q440" s="637">
        <f>VLOOKUP($B440,'Afton Update'!$A$5:$CR$582,'Afton Update'!AI$589,0)</f>
        <v>33218.670324055929</v>
      </c>
      <c r="R440" s="637">
        <f>VLOOKUP($B440,'Afton Update'!$A$5:$CR$582,'Afton Update'!AJ$589,0)</f>
        <v>53120.539433447906</v>
      </c>
      <c r="S440" s="637">
        <f>VLOOKUP($B440,'Afton Update'!$A$5:$CR$582,'Afton Update'!AK$589,0)</f>
        <v>38230.988363757016</v>
      </c>
      <c r="T440" s="643">
        <f t="shared" si="1307"/>
        <v>252521.2428373986</v>
      </c>
      <c r="V440" s="636">
        <f t="shared" si="1333"/>
        <v>128157.59868116214</v>
      </c>
      <c r="W440" s="637">
        <f t="shared" si="1334"/>
        <v>32124.568774204654</v>
      </c>
      <c r="X440" s="637">
        <f t="shared" si="1335"/>
        <v>53275.117399976101</v>
      </c>
      <c r="Y440" s="637">
        <f t="shared" si="1336"/>
        <v>37809.751691282858</v>
      </c>
      <c r="Z440" s="643">
        <f t="shared" si="1337"/>
        <v>251367.03654662572</v>
      </c>
      <c r="AB440" s="644">
        <f t="shared" si="1308"/>
        <v>127951.04471613775</v>
      </c>
      <c r="AC440" s="645">
        <f t="shared" si="1304"/>
        <v>128157.59868116214</v>
      </c>
      <c r="AD440" s="644">
        <f t="shared" si="1338"/>
        <v>206.55396502438816</v>
      </c>
      <c r="AE440" s="645">
        <f t="shared" si="1339"/>
        <v>0</v>
      </c>
      <c r="AF440" s="646">
        <f t="shared" si="1340"/>
        <v>0</v>
      </c>
      <c r="AG440" s="647">
        <f t="shared" si="1341"/>
        <v>128157.59868116214</v>
      </c>
      <c r="AH440" s="644">
        <f t="shared" si="1309"/>
        <v>0</v>
      </c>
      <c r="AI440" s="645">
        <f t="shared" si="1310"/>
        <v>0</v>
      </c>
      <c r="AJ440" s="646">
        <f t="shared" si="1342"/>
        <v>0</v>
      </c>
      <c r="AK440" s="647">
        <f t="shared" si="1311"/>
        <v>128157.59868116214</v>
      </c>
      <c r="AL440" s="644">
        <f t="shared" si="1343"/>
        <v>0</v>
      </c>
      <c r="AM440" s="645">
        <f t="shared" si="1344"/>
        <v>0</v>
      </c>
      <c r="AN440" s="646">
        <f t="shared" si="1345"/>
        <v>0</v>
      </c>
      <c r="AO440" s="647">
        <f t="shared" si="1312"/>
        <v>128157.59868116214</v>
      </c>
      <c r="AP440" s="644">
        <f t="shared" si="1346"/>
        <v>0</v>
      </c>
      <c r="AQ440" s="645">
        <f t="shared" si="1347"/>
        <v>0</v>
      </c>
      <c r="AR440" s="646">
        <f t="shared" si="1348"/>
        <v>0</v>
      </c>
      <c r="AS440" s="647">
        <f t="shared" si="1313"/>
        <v>128157.59868116214</v>
      </c>
      <c r="AT440" s="644">
        <f t="shared" si="1349"/>
        <v>0</v>
      </c>
      <c r="AU440" s="645">
        <f t="shared" si="1350"/>
        <v>0</v>
      </c>
      <c r="AV440" s="646">
        <f t="shared" si="1351"/>
        <v>0</v>
      </c>
      <c r="AW440" s="647">
        <f t="shared" si="1314"/>
        <v>128157.59868116214</v>
      </c>
      <c r="AY440" s="644">
        <f t="shared" si="1352"/>
        <v>33218.670324055929</v>
      </c>
      <c r="AZ440" s="645">
        <f t="shared" si="1282"/>
        <v>30221.6298492395</v>
      </c>
      <c r="BA440" s="644">
        <f t="shared" si="1353"/>
        <v>0</v>
      </c>
      <c r="BB440" s="645">
        <f t="shared" si="1354"/>
        <v>33218.670324055929</v>
      </c>
      <c r="BC440" s="646">
        <f t="shared" si="1355"/>
        <v>-238.88513923213662</v>
      </c>
      <c r="BD440" s="647">
        <f t="shared" si="1356"/>
        <v>32979.785184823791</v>
      </c>
      <c r="BE440" s="644">
        <f t="shared" si="1315"/>
        <v>0</v>
      </c>
      <c r="BF440" s="645">
        <f t="shared" si="1316"/>
        <v>32979.785184823791</v>
      </c>
      <c r="BG440" s="646">
        <f t="shared" si="1357"/>
        <v>-785.55160651656172</v>
      </c>
      <c r="BH440" s="647">
        <f t="shared" si="1317"/>
        <v>32194.23357830723</v>
      </c>
      <c r="BI440" s="644">
        <f t="shared" si="1358"/>
        <v>0</v>
      </c>
      <c r="BJ440" s="645">
        <f t="shared" si="1359"/>
        <v>32194.23357830723</v>
      </c>
      <c r="BK440" s="646">
        <f t="shared" si="1360"/>
        <v>-68.194948243176313</v>
      </c>
      <c r="BL440" s="647">
        <f t="shared" si="1318"/>
        <v>32126.038630064053</v>
      </c>
      <c r="BM440" s="644">
        <f t="shared" si="1361"/>
        <v>0</v>
      </c>
      <c r="BN440" s="645">
        <f t="shared" si="1362"/>
        <v>32126.038630064053</v>
      </c>
      <c r="BO440" s="646">
        <f t="shared" si="1363"/>
        <v>-1.4698558594006739</v>
      </c>
      <c r="BP440" s="647">
        <f t="shared" si="1319"/>
        <v>32124.568774204654</v>
      </c>
      <c r="BQ440" s="644">
        <f t="shared" si="1364"/>
        <v>0</v>
      </c>
      <c r="BR440" s="645">
        <f t="shared" si="1365"/>
        <v>32124.568774204654</v>
      </c>
      <c r="BS440" s="646">
        <f t="shared" si="1366"/>
        <v>0</v>
      </c>
      <c r="BT440" s="647">
        <f t="shared" si="1320"/>
        <v>32124.568774204654</v>
      </c>
      <c r="BU440" s="662">
        <f>VLOOKUP(B440,'Afton Update'!$A$5:$AR$582,'Afton Update'!$AO$589,0)-BT440</f>
        <v>0</v>
      </c>
      <c r="BV440" s="644">
        <f t="shared" si="1367"/>
        <v>53120.539433447906</v>
      </c>
      <c r="BW440" s="645">
        <f t="shared" si="1305"/>
        <v>53275.117399976101</v>
      </c>
      <c r="BX440" s="644">
        <f t="shared" si="1368"/>
        <v>154.57796652819525</v>
      </c>
      <c r="BY440" s="645">
        <f t="shared" si="1369"/>
        <v>0</v>
      </c>
      <c r="BZ440" s="646">
        <f t="shared" si="1370"/>
        <v>0</v>
      </c>
      <c r="CA440" s="647">
        <f t="shared" si="1371"/>
        <v>53275.117399976101</v>
      </c>
      <c r="CB440" s="644">
        <f t="shared" si="1321"/>
        <v>0</v>
      </c>
      <c r="CC440" s="645">
        <f t="shared" si="1322"/>
        <v>0</v>
      </c>
      <c r="CD440" s="646">
        <f t="shared" si="1372"/>
        <v>0</v>
      </c>
      <c r="CE440" s="647">
        <f t="shared" si="1323"/>
        <v>53275.117399976101</v>
      </c>
      <c r="CF440" s="644">
        <f t="shared" si="1373"/>
        <v>0</v>
      </c>
      <c r="CG440" s="645">
        <f t="shared" si="1374"/>
        <v>0</v>
      </c>
      <c r="CH440" s="646">
        <f t="shared" si="1375"/>
        <v>0</v>
      </c>
      <c r="CI440" s="647">
        <f t="shared" si="1324"/>
        <v>53275.117399976101</v>
      </c>
      <c r="CJ440" s="644">
        <f t="shared" si="1376"/>
        <v>0</v>
      </c>
      <c r="CK440" s="645">
        <f t="shared" si="1377"/>
        <v>0</v>
      </c>
      <c r="CL440" s="646">
        <f t="shared" si="1378"/>
        <v>0</v>
      </c>
      <c r="CM440" s="647">
        <f t="shared" si="1325"/>
        <v>53275.117399976101</v>
      </c>
      <c r="CN440" s="644">
        <f t="shared" si="1379"/>
        <v>0</v>
      </c>
      <c r="CO440" s="645">
        <f t="shared" si="1380"/>
        <v>0</v>
      </c>
      <c r="CP440" s="646">
        <f t="shared" si="1381"/>
        <v>0</v>
      </c>
      <c r="CQ440" s="647">
        <f t="shared" si="1326"/>
        <v>53275.117399976101</v>
      </c>
      <c r="CS440" s="644">
        <f t="shared" si="1382"/>
        <v>38230.988363757016</v>
      </c>
      <c r="CT440" s="645">
        <f t="shared" si="1306"/>
        <v>37311.588463654087</v>
      </c>
      <c r="CU440" s="644">
        <f t="shared" si="1383"/>
        <v>0</v>
      </c>
      <c r="CV440" s="645">
        <f t="shared" si="1384"/>
        <v>38230.988363757016</v>
      </c>
      <c r="CW440" s="646">
        <f t="shared" si="1385"/>
        <v>-391.50692601654885</v>
      </c>
      <c r="CX440" s="647">
        <f t="shared" si="1386"/>
        <v>37839.481437740469</v>
      </c>
      <c r="CY440" s="644">
        <f t="shared" si="1327"/>
        <v>0</v>
      </c>
      <c r="CZ440" s="645">
        <f t="shared" si="1328"/>
        <v>37839.481437740469</v>
      </c>
      <c r="DA440" s="646">
        <f t="shared" si="1387"/>
        <v>-29.704130344907576</v>
      </c>
      <c r="DB440" s="647">
        <f t="shared" si="1329"/>
        <v>37809.777307395561</v>
      </c>
      <c r="DC440" s="644">
        <f t="shared" si="1388"/>
        <v>0</v>
      </c>
      <c r="DD440" s="645">
        <f t="shared" si="1389"/>
        <v>37809.777307395561</v>
      </c>
      <c r="DE440" s="646">
        <f t="shared" si="1390"/>
        <v>-2.5616112702630971E-2</v>
      </c>
      <c r="DF440" s="647">
        <f t="shared" si="1330"/>
        <v>37809.751691282858</v>
      </c>
      <c r="DG440" s="644">
        <f t="shared" si="1391"/>
        <v>0</v>
      </c>
      <c r="DH440" s="645">
        <f t="shared" si="1392"/>
        <v>37809.751691282858</v>
      </c>
      <c r="DI440" s="646">
        <f t="shared" si="1393"/>
        <v>0</v>
      </c>
      <c r="DJ440" s="647">
        <f t="shared" si="1331"/>
        <v>37809.751691282858</v>
      </c>
      <c r="DK440" s="644">
        <f t="shared" si="1394"/>
        <v>0</v>
      </c>
      <c r="DL440" s="645">
        <f t="shared" si="1395"/>
        <v>37809.751691282858</v>
      </c>
      <c r="DM440" s="646">
        <f t="shared" si="1396"/>
        <v>0</v>
      </c>
      <c r="DN440" s="647">
        <f t="shared" si="1332"/>
        <v>37809.751691282858</v>
      </c>
      <c r="DR440" s="827">
        <f t="shared" si="1283"/>
        <v>251367.03654662572</v>
      </c>
      <c r="DV440" s="828">
        <f>IFERROR(VLOOKUP($B440,'Afton FY16 Final'!$A$5:$BV$587,'Afton FY16 Final'!$BV$587,0),0)</f>
        <v>245599.46662827276</v>
      </c>
      <c r="DX440" s="636">
        <f t="shared" si="1274"/>
        <v>251367.03654662572</v>
      </c>
      <c r="DY440" s="637">
        <f t="shared" si="1275"/>
        <v>5767.569918352965</v>
      </c>
      <c r="DZ440" s="637">
        <f t="shared" si="1276"/>
        <v>245599.46662827276</v>
      </c>
      <c r="EA440" s="643">
        <f t="shared" si="1277"/>
        <v>237997.1273735103</v>
      </c>
      <c r="EB440" s="637">
        <f t="shared" si="1284"/>
        <v>245599.46662827276</v>
      </c>
      <c r="EC440" s="637">
        <f t="shared" si="1285"/>
        <v>0</v>
      </c>
      <c r="ED440" s="637">
        <f t="shared" si="1286"/>
        <v>0</v>
      </c>
      <c r="EE440" s="643">
        <f t="shared" si="1287"/>
        <v>245599.46662827276</v>
      </c>
      <c r="EF440" s="637">
        <f t="shared" si="1288"/>
        <v>0</v>
      </c>
      <c r="EG440" s="637">
        <f t="shared" si="1289"/>
        <v>0</v>
      </c>
      <c r="EH440" s="637">
        <f t="shared" si="1290"/>
        <v>0</v>
      </c>
      <c r="EI440" s="643">
        <f t="shared" si="1291"/>
        <v>245599.46662827276</v>
      </c>
      <c r="EJ440" s="637">
        <f t="shared" si="1292"/>
        <v>0</v>
      </c>
      <c r="EK440" s="637">
        <f t="shared" si="1293"/>
        <v>0</v>
      </c>
      <c r="EL440" s="637">
        <f t="shared" si="1294"/>
        <v>0</v>
      </c>
      <c r="EM440" s="643">
        <f t="shared" si="1295"/>
        <v>245599.46662827276</v>
      </c>
      <c r="EN440" s="637">
        <f t="shared" si="1296"/>
        <v>0</v>
      </c>
      <c r="EO440" s="637">
        <f t="shared" si="1297"/>
        <v>0</v>
      </c>
      <c r="EP440" s="637">
        <f t="shared" si="1298"/>
        <v>0</v>
      </c>
      <c r="EQ440" s="643">
        <f t="shared" si="1299"/>
        <v>245599.46662827276</v>
      </c>
      <c r="ER440" s="637">
        <f t="shared" si="1300"/>
        <v>0</v>
      </c>
      <c r="ES440" s="637">
        <f t="shared" si="1301"/>
        <v>0</v>
      </c>
      <c r="ET440" s="637">
        <f t="shared" si="1302"/>
        <v>0</v>
      </c>
      <c r="EU440" s="643">
        <f t="shared" si="1278"/>
        <v>245599.46662827276</v>
      </c>
      <c r="EV440" s="643">
        <f t="shared" si="1279"/>
        <v>0</v>
      </c>
      <c r="EX440" s="829">
        <f t="shared" si="1280"/>
        <v>5767.569918352965</v>
      </c>
      <c r="EY440" s="638">
        <f t="shared" si="1281"/>
        <v>245599.46662827276</v>
      </c>
      <c r="FC440" s="830" t="str">
        <f t="shared" si="1303"/>
        <v>Y</v>
      </c>
      <c r="FE440" s="830" t="str">
        <f>IFERROR(VLOOKUP($B440,'Historical Conc Grant Elig'!$B$3:$J$707,'HH &amp; SI'!FE$2,0),"N")</f>
        <v>N</v>
      </c>
      <c r="FF440" s="830" t="str">
        <f>IFERROR(VLOOKUP($B440,'Historical Conc Grant Elig'!$B$3:$J$707,'HH &amp; SI'!FF$2,0),"N")</f>
        <v>N</v>
      </c>
      <c r="FG440" s="830" t="str">
        <f>IFERROR(VLOOKUP($B440,'Historical Conc Grant Elig'!$B$3:$J$707,'HH &amp; SI'!FG$2,0),"N")</f>
        <v>N</v>
      </c>
      <c r="FH440" s="830" t="str">
        <f>IFERROR(VLOOKUP($B440,'Historical Conc Grant Elig'!$B$3:$J$707,'HH &amp; SI'!FH$2,0),"N")</f>
        <v>Y</v>
      </c>
      <c r="FI440" s="830" t="str">
        <f>IFERROR(VLOOKUP($B440,'Historical Conc Grant Elig'!$B$3:$J$707,'HH &amp; SI'!FI$2,0),"N")</f>
        <v>Y</v>
      </c>
      <c r="FJ440" s="830" t="str">
        <f>IFERROR(VLOOKUP($B440,'Historical Conc Grant Elig'!$B$3:$J$707,'HH &amp; SI'!FJ$2,0),"N")</f>
        <v>Y</v>
      </c>
      <c r="FK440" s="830" t="str">
        <f>IFERROR(VLOOKUP($B440,'Historical Conc Grant Elig'!$B$3:$J$707,'HH &amp; SI'!FK$2,0),"N")</f>
        <v>Y</v>
      </c>
      <c r="FL440" s="957" t="str">
        <f>IFERROR(VLOOKUP($B440,'Historical Conc Grant Elig'!$B$3:$J$707,'HH &amp; SI'!FL$2,0),"N")</f>
        <v>Y</v>
      </c>
    </row>
    <row r="441" spans="2:168" x14ac:dyDescent="0.25">
      <c r="B441" s="634">
        <v>130220000</v>
      </c>
      <c r="C441" s="635" t="str">
        <f>VLOOKUP($B441,'Afton Update'!$A$5:$CR$582,'Afton Update'!D$589,0)</f>
        <v>Bagdad Unified District</v>
      </c>
      <c r="D441" s="636">
        <f>IFERROR(VLOOKUP($B441,'Afton FY16 Final'!$A$5:$BV$587,'Afton FY16 Final'!AQ$587,0),0)</f>
        <v>22008.241135847555</v>
      </c>
      <c r="E441" s="637">
        <f>IFERROR(VLOOKUP($B441,'Afton FY16 Final'!$A$5:$BV$587,'Afton FY16 Final'!AR$587,0),0)</f>
        <v>5109.0229333990228</v>
      </c>
      <c r="F441" s="637">
        <f>IFERROR(VLOOKUP($B441,'Afton FY16 Final'!$A$5:$BV$587,'Afton FY16 Final'!AS$587,0),0)</f>
        <v>6460.729636890479</v>
      </c>
      <c r="G441" s="637">
        <f>IFERROR(VLOOKUP($B441,'Afton FY16 Final'!$A$5:$BV$587,'Afton FY16 Final'!AT$587,0),0)</f>
        <v>4502.996296574016</v>
      </c>
      <c r="H441" s="638">
        <f>IFERROR(VLOOKUP($B441,'Afton FY16 Final'!$A$5:$BV$587,'Afton FY16 Final'!AU$587,0),0)</f>
        <v>38080.990002711071</v>
      </c>
      <c r="I441" s="639" t="str">
        <f>VLOOKUP($B441,'Afton Update'!$A$5:$CR$582,'Afton Update'!BT$589,0)</f>
        <v>Y</v>
      </c>
      <c r="J441" s="640" t="str">
        <f>VLOOKUP($B441,'Afton Update'!$A$5:$CR$582,'Afton Update'!BU$589,0)</f>
        <v>N</v>
      </c>
      <c r="K441" s="640" t="str">
        <f>VLOOKUP($B441,'Afton Update'!$A$5:$CR$582,'Afton Update'!BV$589,0)</f>
        <v>Y</v>
      </c>
      <c r="L441" s="641" t="str">
        <f>VLOOKUP($B441,'Afton Update'!$A$5:$CR$582,'Afton Update'!BW$589,0)</f>
        <v>Y</v>
      </c>
      <c r="N441" s="642">
        <f>VLOOKUP($B441,'Afton Update'!$A$5:$CR$582,'Afton Update'!CB$589,0)</f>
        <v>0.85</v>
      </c>
      <c r="P441" s="636">
        <f>VLOOKUP($B441,'Afton Update'!$A$5:$CR$582,'Afton Update'!AH$589,0)</f>
        <v>19857.199292634585</v>
      </c>
      <c r="Q441" s="637" t="str">
        <f>VLOOKUP($B441,'Afton Update'!$A$5:$CR$582,'Afton Update'!AI$589,0)</f>
        <v/>
      </c>
      <c r="R441" s="637">
        <f>VLOOKUP($B441,'Afton Update'!$A$5:$CR$582,'Afton Update'!AJ$589,0)</f>
        <v>6024.9770773766795</v>
      </c>
      <c r="S441" s="637">
        <f>VLOOKUP($B441,'Afton Update'!$A$5:$CR$582,'Afton Update'!AK$589,0)</f>
        <v>4677.920011401503</v>
      </c>
      <c r="T441" s="643">
        <f t="shared" si="1307"/>
        <v>30560.096381412768</v>
      </c>
      <c r="V441" s="636">
        <f t="shared" si="1333"/>
        <v>19586.334205696527</v>
      </c>
      <c r="W441" s="637">
        <f t="shared" si="1334"/>
        <v>4342.6694933891695</v>
      </c>
      <c r="X441" s="637">
        <f t="shared" si="1335"/>
        <v>5970.1822632212952</v>
      </c>
      <c r="Y441" s="637">
        <f t="shared" si="1336"/>
        <v>4626.3777535620202</v>
      </c>
      <c r="Z441" s="643">
        <f t="shared" si="1337"/>
        <v>34525.563715869008</v>
      </c>
      <c r="AB441" s="644">
        <f t="shared" si="1308"/>
        <v>19857.199292634585</v>
      </c>
      <c r="AC441" s="645">
        <f t="shared" si="1304"/>
        <v>18707.00496547042</v>
      </c>
      <c r="AD441" s="644">
        <f t="shared" si="1338"/>
        <v>0</v>
      </c>
      <c r="AE441" s="645">
        <f t="shared" si="1339"/>
        <v>19857.199292634585</v>
      </c>
      <c r="AF441" s="646">
        <f t="shared" si="1340"/>
        <v>-246.14490752025011</v>
      </c>
      <c r="AG441" s="647">
        <f t="shared" si="1341"/>
        <v>19611.054385114334</v>
      </c>
      <c r="AH441" s="644">
        <f t="shared" si="1309"/>
        <v>0</v>
      </c>
      <c r="AI441" s="645">
        <f t="shared" si="1310"/>
        <v>19611.054385114334</v>
      </c>
      <c r="AJ441" s="646">
        <f t="shared" si="1342"/>
        <v>-24.704430267426286</v>
      </c>
      <c r="AK441" s="647">
        <f t="shared" si="1311"/>
        <v>19586.349954846908</v>
      </c>
      <c r="AL441" s="644">
        <f t="shared" si="1343"/>
        <v>0</v>
      </c>
      <c r="AM441" s="645">
        <f t="shared" si="1344"/>
        <v>19586.349954846908</v>
      </c>
      <c r="AN441" s="646">
        <f t="shared" si="1345"/>
        <v>-1.5749150380855708E-2</v>
      </c>
      <c r="AO441" s="647">
        <f t="shared" si="1312"/>
        <v>19586.334205696527</v>
      </c>
      <c r="AP441" s="644">
        <f t="shared" si="1346"/>
        <v>0</v>
      </c>
      <c r="AQ441" s="645">
        <f t="shared" si="1347"/>
        <v>19586.334205696527</v>
      </c>
      <c r="AR441" s="646">
        <f t="shared" si="1348"/>
        <v>0</v>
      </c>
      <c r="AS441" s="647">
        <f t="shared" si="1313"/>
        <v>19586.334205696527</v>
      </c>
      <c r="AT441" s="644">
        <f t="shared" si="1349"/>
        <v>0</v>
      </c>
      <c r="AU441" s="645">
        <f t="shared" si="1350"/>
        <v>19586.334205696527</v>
      </c>
      <c r="AV441" s="646">
        <f t="shared" si="1351"/>
        <v>0</v>
      </c>
      <c r="AW441" s="647">
        <f t="shared" si="1314"/>
        <v>19586.334205696527</v>
      </c>
      <c r="AY441" s="644">
        <f t="shared" si="1352"/>
        <v>0</v>
      </c>
      <c r="AZ441" s="645">
        <f t="shared" si="1282"/>
        <v>4342.6694933891695</v>
      </c>
      <c r="BA441" s="644">
        <f t="shared" si="1353"/>
        <v>0</v>
      </c>
      <c r="BB441" s="645">
        <f t="shared" si="1354"/>
        <v>0</v>
      </c>
      <c r="BC441" s="646">
        <f t="shared" si="1355"/>
        <v>0</v>
      </c>
      <c r="BD441" s="647">
        <f t="shared" si="1356"/>
        <v>0</v>
      </c>
      <c r="BE441" s="644">
        <f t="shared" si="1315"/>
        <v>-4342.6694933891695</v>
      </c>
      <c r="BF441" s="645">
        <f t="shared" si="1316"/>
        <v>0</v>
      </c>
      <c r="BG441" s="646">
        <f t="shared" si="1357"/>
        <v>0</v>
      </c>
      <c r="BH441" s="647">
        <f t="shared" si="1317"/>
        <v>4342.6694933891695</v>
      </c>
      <c r="BI441" s="644">
        <f t="shared" si="1358"/>
        <v>0</v>
      </c>
      <c r="BJ441" s="645">
        <f t="shared" si="1359"/>
        <v>0</v>
      </c>
      <c r="BK441" s="646">
        <f t="shared" si="1360"/>
        <v>0</v>
      </c>
      <c r="BL441" s="647">
        <f t="shared" si="1318"/>
        <v>4342.6694933891695</v>
      </c>
      <c r="BM441" s="644">
        <f t="shared" si="1361"/>
        <v>0</v>
      </c>
      <c r="BN441" s="645">
        <f t="shared" si="1362"/>
        <v>0</v>
      </c>
      <c r="BO441" s="646">
        <f t="shared" si="1363"/>
        <v>0</v>
      </c>
      <c r="BP441" s="647">
        <f t="shared" si="1319"/>
        <v>4342.6694933891695</v>
      </c>
      <c r="BQ441" s="644">
        <f t="shared" si="1364"/>
        <v>0</v>
      </c>
      <c r="BR441" s="645">
        <f t="shared" si="1365"/>
        <v>0</v>
      </c>
      <c r="BS441" s="646">
        <f t="shared" si="1366"/>
        <v>0</v>
      </c>
      <c r="BT441" s="647">
        <f t="shared" si="1320"/>
        <v>4342.6694933891695</v>
      </c>
      <c r="BU441" s="662">
        <f>VLOOKUP(B441,'Afton Update'!$A$5:$AR$582,'Afton Update'!$AO$589,0)-BT441</f>
        <v>0</v>
      </c>
      <c r="BV441" s="644">
        <f t="shared" si="1367"/>
        <v>6024.9770773766795</v>
      </c>
      <c r="BW441" s="645">
        <f t="shared" si="1305"/>
        <v>5491.6201913569066</v>
      </c>
      <c r="BX441" s="644">
        <f t="shared" si="1368"/>
        <v>0</v>
      </c>
      <c r="BY441" s="645">
        <f t="shared" si="1369"/>
        <v>6024.9770773766795</v>
      </c>
      <c r="BZ441" s="646">
        <f t="shared" si="1370"/>
        <v>-52.881864376541841</v>
      </c>
      <c r="CA441" s="647">
        <f t="shared" si="1371"/>
        <v>5972.0952130001378</v>
      </c>
      <c r="CB441" s="644">
        <f t="shared" si="1321"/>
        <v>0</v>
      </c>
      <c r="CC441" s="645">
        <f t="shared" si="1322"/>
        <v>5972.0952130001378</v>
      </c>
      <c r="CD441" s="646">
        <f t="shared" si="1372"/>
        <v>-1.9129497788430025</v>
      </c>
      <c r="CE441" s="647">
        <f t="shared" si="1323"/>
        <v>5970.1822632212952</v>
      </c>
      <c r="CF441" s="644">
        <f t="shared" si="1373"/>
        <v>0</v>
      </c>
      <c r="CG441" s="645">
        <f t="shared" si="1374"/>
        <v>5970.1822632212952</v>
      </c>
      <c r="CH441" s="646">
        <f t="shared" si="1375"/>
        <v>0</v>
      </c>
      <c r="CI441" s="647">
        <f t="shared" si="1324"/>
        <v>5970.1822632212952</v>
      </c>
      <c r="CJ441" s="644">
        <f t="shared" si="1376"/>
        <v>0</v>
      </c>
      <c r="CK441" s="645">
        <f t="shared" si="1377"/>
        <v>5970.1822632212952</v>
      </c>
      <c r="CL441" s="646">
        <f t="shared" si="1378"/>
        <v>0</v>
      </c>
      <c r="CM441" s="647">
        <f t="shared" si="1325"/>
        <v>5970.1822632212952</v>
      </c>
      <c r="CN441" s="644">
        <f t="shared" si="1379"/>
        <v>0</v>
      </c>
      <c r="CO441" s="645">
        <f t="shared" si="1380"/>
        <v>5970.1822632212952</v>
      </c>
      <c r="CP441" s="646">
        <f t="shared" si="1381"/>
        <v>0</v>
      </c>
      <c r="CQ441" s="647">
        <f t="shared" si="1326"/>
        <v>5970.1822632212952</v>
      </c>
      <c r="CS441" s="644">
        <f t="shared" si="1382"/>
        <v>4677.920011401503</v>
      </c>
      <c r="CT441" s="645">
        <f t="shared" si="1306"/>
        <v>3827.5468520879135</v>
      </c>
      <c r="CU441" s="644">
        <f t="shared" si="1383"/>
        <v>0</v>
      </c>
      <c r="CV441" s="645">
        <f t="shared" si="1384"/>
        <v>4677.920011401503</v>
      </c>
      <c r="CW441" s="646">
        <f t="shared" si="1385"/>
        <v>-47.904544512150395</v>
      </c>
      <c r="CX441" s="647">
        <f t="shared" si="1386"/>
        <v>4630.0154668893529</v>
      </c>
      <c r="CY441" s="644">
        <f t="shared" si="1327"/>
        <v>0</v>
      </c>
      <c r="CZ441" s="645">
        <f t="shared" si="1328"/>
        <v>4630.0154668893529</v>
      </c>
      <c r="DA441" s="646">
        <f t="shared" si="1387"/>
        <v>-3.6345789556790473</v>
      </c>
      <c r="DB441" s="647">
        <f t="shared" si="1329"/>
        <v>4626.3808879336739</v>
      </c>
      <c r="DC441" s="644">
        <f t="shared" si="1388"/>
        <v>0</v>
      </c>
      <c r="DD441" s="645">
        <f t="shared" si="1389"/>
        <v>4626.3808879336739</v>
      </c>
      <c r="DE441" s="646">
        <f t="shared" si="1390"/>
        <v>-3.1343716538480247E-3</v>
      </c>
      <c r="DF441" s="647">
        <f t="shared" si="1330"/>
        <v>4626.3777535620202</v>
      </c>
      <c r="DG441" s="644">
        <f t="shared" si="1391"/>
        <v>0</v>
      </c>
      <c r="DH441" s="645">
        <f t="shared" si="1392"/>
        <v>4626.3777535620202</v>
      </c>
      <c r="DI441" s="646">
        <f t="shared" si="1393"/>
        <v>0</v>
      </c>
      <c r="DJ441" s="647">
        <f t="shared" si="1331"/>
        <v>4626.3777535620202</v>
      </c>
      <c r="DK441" s="644">
        <f t="shared" si="1394"/>
        <v>0</v>
      </c>
      <c r="DL441" s="645">
        <f t="shared" si="1395"/>
        <v>4626.3777535620202</v>
      </c>
      <c r="DM441" s="646">
        <f t="shared" si="1396"/>
        <v>0</v>
      </c>
      <c r="DN441" s="647">
        <f t="shared" si="1332"/>
        <v>4626.3777535620202</v>
      </c>
      <c r="DR441" s="827">
        <f t="shared" si="1283"/>
        <v>34525.563715869008</v>
      </c>
      <c r="DV441" s="828">
        <f>IFERROR(VLOOKUP($B441,'Afton FY16 Final'!$A$5:$BV$587,'Afton FY16 Final'!$BV$587,0),0)</f>
        <v>37331.175315864231</v>
      </c>
      <c r="DX441" s="636">
        <f t="shared" si="1274"/>
        <v>0</v>
      </c>
      <c r="DY441" s="637">
        <f t="shared" si="1275"/>
        <v>0</v>
      </c>
      <c r="DZ441" s="637">
        <f t="shared" si="1276"/>
        <v>0</v>
      </c>
      <c r="EA441" s="643">
        <f t="shared" si="1277"/>
        <v>0</v>
      </c>
      <c r="EB441" s="637">
        <f t="shared" si="1284"/>
        <v>0</v>
      </c>
      <c r="EC441" s="637">
        <f t="shared" si="1285"/>
        <v>0</v>
      </c>
      <c r="ED441" s="637">
        <f t="shared" si="1286"/>
        <v>0</v>
      </c>
      <c r="EE441" s="643">
        <f t="shared" si="1287"/>
        <v>0</v>
      </c>
      <c r="EF441" s="637">
        <f t="shared" si="1288"/>
        <v>0</v>
      </c>
      <c r="EG441" s="637">
        <f t="shared" si="1289"/>
        <v>0</v>
      </c>
      <c r="EH441" s="637">
        <f t="shared" si="1290"/>
        <v>0</v>
      </c>
      <c r="EI441" s="643">
        <f t="shared" si="1291"/>
        <v>0</v>
      </c>
      <c r="EJ441" s="637">
        <f t="shared" si="1292"/>
        <v>0</v>
      </c>
      <c r="EK441" s="637">
        <f t="shared" si="1293"/>
        <v>0</v>
      </c>
      <c r="EL441" s="637">
        <f t="shared" si="1294"/>
        <v>0</v>
      </c>
      <c r="EM441" s="643">
        <f t="shared" si="1295"/>
        <v>0</v>
      </c>
      <c r="EN441" s="637">
        <f t="shared" si="1296"/>
        <v>0</v>
      </c>
      <c r="EO441" s="637">
        <f t="shared" si="1297"/>
        <v>0</v>
      </c>
      <c r="EP441" s="637">
        <f t="shared" si="1298"/>
        <v>0</v>
      </c>
      <c r="EQ441" s="643">
        <f t="shared" si="1299"/>
        <v>0</v>
      </c>
      <c r="ER441" s="637">
        <f t="shared" si="1300"/>
        <v>0</v>
      </c>
      <c r="ES441" s="637">
        <f t="shared" si="1301"/>
        <v>0</v>
      </c>
      <c r="ET441" s="637">
        <f t="shared" si="1302"/>
        <v>0</v>
      </c>
      <c r="EU441" s="643">
        <f t="shared" si="1278"/>
        <v>0</v>
      </c>
      <c r="EV441" s="643">
        <f t="shared" si="1279"/>
        <v>0</v>
      </c>
      <c r="EX441" s="829">
        <f t="shared" si="1280"/>
        <v>0</v>
      </c>
      <c r="EY441" s="638">
        <f t="shared" si="1281"/>
        <v>34525.563715869008</v>
      </c>
      <c r="FC441" s="830" t="str">
        <f t="shared" si="1303"/>
        <v>Y</v>
      </c>
      <c r="FE441" s="830" t="str">
        <f>IFERROR(VLOOKUP($B441,'Historical Conc Grant Elig'!$B$3:$J$707,'HH &amp; SI'!FE$2,0),"N")</f>
        <v>N</v>
      </c>
      <c r="FF441" s="830" t="str">
        <f>IFERROR(VLOOKUP($B441,'Historical Conc Grant Elig'!$B$3:$J$707,'HH &amp; SI'!FF$2,0),"N")</f>
        <v>N</v>
      </c>
      <c r="FG441" s="830" t="str">
        <f>IFERROR(VLOOKUP($B441,'Historical Conc Grant Elig'!$B$3:$J$707,'HH &amp; SI'!FG$2,0),"N")</f>
        <v>N</v>
      </c>
      <c r="FH441" s="830" t="str">
        <f>IFERROR(VLOOKUP($B441,'Historical Conc Grant Elig'!$B$3:$J$707,'HH &amp; SI'!FH$2,0),"N")</f>
        <v>Y</v>
      </c>
      <c r="FI441" s="830" t="str">
        <f>IFERROR(VLOOKUP($B441,'Historical Conc Grant Elig'!$B$3:$J$707,'HH &amp; SI'!FI$2,0),"N")</f>
        <v>Y</v>
      </c>
      <c r="FJ441" s="830" t="str">
        <f>IFERROR(VLOOKUP($B441,'Historical Conc Grant Elig'!$B$3:$J$707,'HH &amp; SI'!FJ$2,0),"N")</f>
        <v>N</v>
      </c>
      <c r="FK441" s="830" t="str">
        <f>IFERROR(VLOOKUP($B441,'Historical Conc Grant Elig'!$B$3:$J$707,'HH &amp; SI'!FK$2,0),"N")</f>
        <v>N</v>
      </c>
      <c r="FL441" s="957" t="str">
        <f>IFERROR(VLOOKUP($B441,'Historical Conc Grant Elig'!$B$3:$J$707,'HH &amp; SI'!FL$2,0),"N")</f>
        <v>N</v>
      </c>
    </row>
    <row r="442" spans="2:168" x14ac:dyDescent="0.25">
      <c r="B442" s="634">
        <v>130222000</v>
      </c>
      <c r="C442" s="635" t="str">
        <f>VLOOKUP($B442,'Afton Update'!$A$5:$CR$582,'Afton Update'!D$589,0)</f>
        <v>Humboldt Unified District</v>
      </c>
      <c r="D442" s="636">
        <f>IFERROR(VLOOKUP($B442,'Afton FY16 Final'!$A$5:$BV$587,'Afton FY16 Final'!AQ$587,0),0)</f>
        <v>657629.27639308514</v>
      </c>
      <c r="E442" s="637">
        <f>IFERROR(VLOOKUP($B442,'Afton FY16 Final'!$A$5:$BV$587,'Afton FY16 Final'!AR$587,0),0)</f>
        <v>153504.34633525339</v>
      </c>
      <c r="F442" s="637">
        <f>IFERROR(VLOOKUP($B442,'Afton FY16 Final'!$A$5:$BV$587,'Afton FY16 Final'!AS$587,0),0)</f>
        <v>241908.79328758133</v>
      </c>
      <c r="G442" s="637">
        <f>IFERROR(VLOOKUP($B442,'Afton FY16 Final'!$A$5:$BV$587,'Afton FY16 Final'!AT$587,0),0)</f>
        <v>202664.44677766625</v>
      </c>
      <c r="H442" s="638">
        <f>IFERROR(VLOOKUP($B442,'Afton FY16 Final'!$A$5:$BV$587,'Afton FY16 Final'!AU$587,0),0)</f>
        <v>1255706.862793586</v>
      </c>
      <c r="I442" s="639" t="str">
        <f>VLOOKUP($B442,'Afton Update'!$A$5:$CR$582,'Afton Update'!BT$589,0)</f>
        <v>Y</v>
      </c>
      <c r="J442" s="640" t="str">
        <f>VLOOKUP($B442,'Afton Update'!$A$5:$CR$582,'Afton Update'!BU$589,0)</f>
        <v>Y</v>
      </c>
      <c r="K442" s="640" t="str">
        <f>VLOOKUP($B442,'Afton Update'!$A$5:$CR$582,'Afton Update'!BV$589,0)</f>
        <v>Y</v>
      </c>
      <c r="L442" s="641" t="str">
        <f>VLOOKUP($B442,'Afton Update'!$A$5:$CR$582,'Afton Update'!BW$589,0)</f>
        <v>Y</v>
      </c>
      <c r="N442" s="642">
        <f>VLOOKUP($B442,'Afton Update'!$A$5:$CR$582,'Afton Update'!CB$589,0)</f>
        <v>0.9</v>
      </c>
      <c r="P442" s="636">
        <f>VLOOKUP($B442,'Afton Update'!$A$5:$CR$582,'Afton Update'!AH$589,0)</f>
        <v>625315.52405732917</v>
      </c>
      <c r="Q442" s="637">
        <f>VLOOKUP($B442,'Afton Update'!$A$5:$CR$582,'Afton Update'!AI$589,0)</f>
        <v>151855.04587632068</v>
      </c>
      <c r="R442" s="637">
        <f>VLOOKUP($B442,'Afton Update'!$A$5:$CR$582,'Afton Update'!AJ$589,0)</f>
        <v>242182.84648166996</v>
      </c>
      <c r="S442" s="637">
        <f>VLOOKUP($B442,'Afton Update'!$A$5:$CR$582,'Afton Update'!AK$589,0)</f>
        <v>187883.9908952422</v>
      </c>
      <c r="T442" s="643">
        <f t="shared" si="1307"/>
        <v>1207237.407310562</v>
      </c>
      <c r="V442" s="636">
        <f t="shared" si="1333"/>
        <v>616785.81443960231</v>
      </c>
      <c r="W442" s="637">
        <f t="shared" si="1334"/>
        <v>146853.49586166814</v>
      </c>
      <c r="X442" s="637">
        <f t="shared" si="1335"/>
        <v>239980.28804963635</v>
      </c>
      <c r="Y442" s="637">
        <f t="shared" si="1336"/>
        <v>185813.84752403642</v>
      </c>
      <c r="Z442" s="643">
        <f t="shared" si="1337"/>
        <v>1189433.4458749432</v>
      </c>
      <c r="AB442" s="644">
        <f t="shared" si="1308"/>
        <v>625315.52405732917</v>
      </c>
      <c r="AC442" s="645">
        <f t="shared" si="1304"/>
        <v>591866.34875377663</v>
      </c>
      <c r="AD442" s="644">
        <f t="shared" si="1338"/>
        <v>0</v>
      </c>
      <c r="AE442" s="645">
        <f t="shared" si="1339"/>
        <v>625315.52405732917</v>
      </c>
      <c r="AF442" s="646">
        <f t="shared" si="1340"/>
        <v>-7751.2558327980942</v>
      </c>
      <c r="AG442" s="647">
        <f t="shared" si="1341"/>
        <v>617564.26822453109</v>
      </c>
      <c r="AH442" s="644">
        <f t="shared" si="1309"/>
        <v>0</v>
      </c>
      <c r="AI442" s="645">
        <f t="shared" si="1310"/>
        <v>617564.26822453109</v>
      </c>
      <c r="AJ442" s="646">
        <f t="shared" si="1342"/>
        <v>-777.95783441340575</v>
      </c>
      <c r="AK442" s="647">
        <f t="shared" si="1311"/>
        <v>616786.31039011769</v>
      </c>
      <c r="AL442" s="644">
        <f t="shared" si="1343"/>
        <v>0</v>
      </c>
      <c r="AM442" s="645">
        <f t="shared" si="1344"/>
        <v>616786.31039011769</v>
      </c>
      <c r="AN442" s="646">
        <f t="shared" si="1345"/>
        <v>-0.49595051541409235</v>
      </c>
      <c r="AO442" s="647">
        <f t="shared" si="1312"/>
        <v>616785.81443960231</v>
      </c>
      <c r="AP442" s="644">
        <f t="shared" si="1346"/>
        <v>0</v>
      </c>
      <c r="AQ442" s="645">
        <f t="shared" si="1347"/>
        <v>616785.81443960231</v>
      </c>
      <c r="AR442" s="646">
        <f t="shared" si="1348"/>
        <v>0</v>
      </c>
      <c r="AS442" s="647">
        <f t="shared" si="1313"/>
        <v>616785.81443960231</v>
      </c>
      <c r="AT442" s="644">
        <f t="shared" si="1349"/>
        <v>0</v>
      </c>
      <c r="AU442" s="645">
        <f t="shared" si="1350"/>
        <v>616785.81443960231</v>
      </c>
      <c r="AV442" s="646">
        <f t="shared" si="1351"/>
        <v>0</v>
      </c>
      <c r="AW442" s="647">
        <f t="shared" si="1314"/>
        <v>616785.81443960231</v>
      </c>
      <c r="AY442" s="644">
        <f t="shared" si="1352"/>
        <v>151855.04587632068</v>
      </c>
      <c r="AZ442" s="645">
        <f t="shared" si="1282"/>
        <v>138153.91170172807</v>
      </c>
      <c r="BA442" s="644">
        <f t="shared" si="1353"/>
        <v>0</v>
      </c>
      <c r="BB442" s="645">
        <f t="shared" si="1354"/>
        <v>151855.04587632068</v>
      </c>
      <c r="BC442" s="646">
        <f t="shared" si="1355"/>
        <v>-1092.0338900801057</v>
      </c>
      <c r="BD442" s="647">
        <f t="shared" si="1356"/>
        <v>150763.01198624057</v>
      </c>
      <c r="BE442" s="644">
        <f t="shared" si="1315"/>
        <v>0</v>
      </c>
      <c r="BF442" s="645">
        <f t="shared" si="1316"/>
        <v>150763.01198624057</v>
      </c>
      <c r="BG442" s="646">
        <f t="shared" si="1357"/>
        <v>-3591.0520825213107</v>
      </c>
      <c r="BH442" s="647">
        <f t="shared" si="1317"/>
        <v>147171.95990371925</v>
      </c>
      <c r="BI442" s="644">
        <f t="shared" si="1358"/>
        <v>0</v>
      </c>
      <c r="BJ442" s="645">
        <f t="shared" si="1359"/>
        <v>147171.95990371925</v>
      </c>
      <c r="BK442" s="646">
        <f t="shared" si="1360"/>
        <v>-311.74477764998142</v>
      </c>
      <c r="BL442" s="647">
        <f t="shared" si="1318"/>
        <v>146860.21512606926</v>
      </c>
      <c r="BM442" s="644">
        <f t="shared" si="1361"/>
        <v>0</v>
      </c>
      <c r="BN442" s="645">
        <f t="shared" si="1362"/>
        <v>146860.21512606926</v>
      </c>
      <c r="BO442" s="646">
        <f t="shared" si="1363"/>
        <v>-6.71926440111692</v>
      </c>
      <c r="BP442" s="647">
        <f t="shared" si="1319"/>
        <v>146853.49586166814</v>
      </c>
      <c r="BQ442" s="644">
        <f t="shared" si="1364"/>
        <v>0</v>
      </c>
      <c r="BR442" s="645">
        <f t="shared" si="1365"/>
        <v>146853.49586166814</v>
      </c>
      <c r="BS442" s="646">
        <f t="shared" si="1366"/>
        <v>0</v>
      </c>
      <c r="BT442" s="647">
        <f t="shared" si="1320"/>
        <v>146853.49586166814</v>
      </c>
      <c r="BU442" s="662">
        <f>VLOOKUP(B442,'Afton Update'!$A$5:$AR$582,'Afton Update'!$AO$589,0)-BT442</f>
        <v>0</v>
      </c>
      <c r="BV442" s="644">
        <f t="shared" si="1367"/>
        <v>242182.84648166996</v>
      </c>
      <c r="BW442" s="645">
        <f t="shared" si="1305"/>
        <v>217717.91395882319</v>
      </c>
      <c r="BX442" s="644">
        <f t="shared" si="1368"/>
        <v>0</v>
      </c>
      <c r="BY442" s="645">
        <f t="shared" si="1369"/>
        <v>242182.84648166996</v>
      </c>
      <c r="BZ442" s="646">
        <f t="shared" si="1370"/>
        <v>-2125.6645921622035</v>
      </c>
      <c r="CA442" s="647">
        <f t="shared" si="1371"/>
        <v>240057.18188950774</v>
      </c>
      <c r="CB442" s="644">
        <f t="shared" si="1321"/>
        <v>0</v>
      </c>
      <c r="CC442" s="645">
        <f t="shared" si="1322"/>
        <v>240057.18188950774</v>
      </c>
      <c r="CD442" s="646">
        <f t="shared" si="1372"/>
        <v>-76.893839871403543</v>
      </c>
      <c r="CE442" s="647">
        <f t="shared" si="1323"/>
        <v>239980.28804963635</v>
      </c>
      <c r="CF442" s="644">
        <f t="shared" si="1373"/>
        <v>0</v>
      </c>
      <c r="CG442" s="645">
        <f t="shared" si="1374"/>
        <v>239980.28804963635</v>
      </c>
      <c r="CH442" s="646">
        <f t="shared" si="1375"/>
        <v>0</v>
      </c>
      <c r="CI442" s="647">
        <f t="shared" si="1324"/>
        <v>239980.28804963635</v>
      </c>
      <c r="CJ442" s="644">
        <f t="shared" si="1376"/>
        <v>0</v>
      </c>
      <c r="CK442" s="645">
        <f t="shared" si="1377"/>
        <v>239980.28804963635</v>
      </c>
      <c r="CL442" s="646">
        <f t="shared" si="1378"/>
        <v>0</v>
      </c>
      <c r="CM442" s="647">
        <f t="shared" si="1325"/>
        <v>239980.28804963635</v>
      </c>
      <c r="CN442" s="644">
        <f t="shared" si="1379"/>
        <v>0</v>
      </c>
      <c r="CO442" s="645">
        <f t="shared" si="1380"/>
        <v>239980.28804963635</v>
      </c>
      <c r="CP442" s="646">
        <f t="shared" si="1381"/>
        <v>0</v>
      </c>
      <c r="CQ442" s="647">
        <f t="shared" si="1326"/>
        <v>239980.28804963635</v>
      </c>
      <c r="CS442" s="644">
        <f t="shared" si="1382"/>
        <v>187883.9908952422</v>
      </c>
      <c r="CT442" s="645">
        <f t="shared" si="1306"/>
        <v>182398.00209989963</v>
      </c>
      <c r="CU442" s="644">
        <f t="shared" si="1383"/>
        <v>0</v>
      </c>
      <c r="CV442" s="645">
        <f t="shared" si="1384"/>
        <v>187883.9908952422</v>
      </c>
      <c r="CW442" s="646">
        <f t="shared" si="1385"/>
        <v>-1924.0382441394167</v>
      </c>
      <c r="CX442" s="647">
        <f t="shared" si="1386"/>
        <v>185959.95265110279</v>
      </c>
      <c r="CY442" s="644">
        <f t="shared" si="1327"/>
        <v>0</v>
      </c>
      <c r="CZ442" s="645">
        <f t="shared" si="1328"/>
        <v>185959.95265110279</v>
      </c>
      <c r="DA442" s="646">
        <f t="shared" si="1387"/>
        <v>-145.97923815551746</v>
      </c>
      <c r="DB442" s="647">
        <f t="shared" si="1329"/>
        <v>185813.97341294726</v>
      </c>
      <c r="DC442" s="644">
        <f t="shared" si="1388"/>
        <v>0</v>
      </c>
      <c r="DD442" s="645">
        <f t="shared" si="1389"/>
        <v>185813.97341294726</v>
      </c>
      <c r="DE442" s="646">
        <f t="shared" si="1390"/>
        <v>-0.12588891084895951</v>
      </c>
      <c r="DF442" s="647">
        <f t="shared" si="1330"/>
        <v>185813.84752403642</v>
      </c>
      <c r="DG442" s="644">
        <f t="shared" si="1391"/>
        <v>0</v>
      </c>
      <c r="DH442" s="645">
        <f t="shared" si="1392"/>
        <v>185813.84752403642</v>
      </c>
      <c r="DI442" s="646">
        <f t="shared" si="1393"/>
        <v>0</v>
      </c>
      <c r="DJ442" s="647">
        <f t="shared" si="1331"/>
        <v>185813.84752403642</v>
      </c>
      <c r="DK442" s="644">
        <f t="shared" si="1394"/>
        <v>0</v>
      </c>
      <c r="DL442" s="645">
        <f t="shared" si="1395"/>
        <v>185813.84752403642</v>
      </c>
      <c r="DM442" s="646">
        <f t="shared" si="1396"/>
        <v>0</v>
      </c>
      <c r="DN442" s="647">
        <f t="shared" si="1332"/>
        <v>185813.84752403642</v>
      </c>
      <c r="DR442" s="827">
        <f t="shared" si="1283"/>
        <v>1189433.4458749432</v>
      </c>
      <c r="DV442" s="828">
        <f>IFERROR(VLOOKUP($B442,'Afton FY16 Final'!$A$5:$BV$587,'Afton FY16 Final'!$BV$587,0),0)</f>
        <v>1230981.9948731365</v>
      </c>
      <c r="DX442" s="636">
        <f t="shared" si="1274"/>
        <v>0</v>
      </c>
      <c r="DY442" s="637">
        <f t="shared" si="1275"/>
        <v>0</v>
      </c>
      <c r="DZ442" s="637">
        <f t="shared" si="1276"/>
        <v>0</v>
      </c>
      <c r="EA442" s="643">
        <f t="shared" si="1277"/>
        <v>0</v>
      </c>
      <c r="EB442" s="637">
        <f t="shared" si="1284"/>
        <v>0</v>
      </c>
      <c r="EC442" s="637">
        <f t="shared" si="1285"/>
        <v>0</v>
      </c>
      <c r="ED442" s="637">
        <f t="shared" si="1286"/>
        <v>0</v>
      </c>
      <c r="EE442" s="643">
        <f t="shared" si="1287"/>
        <v>0</v>
      </c>
      <c r="EF442" s="637">
        <f t="shared" si="1288"/>
        <v>0</v>
      </c>
      <c r="EG442" s="637">
        <f t="shared" si="1289"/>
        <v>0</v>
      </c>
      <c r="EH442" s="637">
        <f t="shared" si="1290"/>
        <v>0</v>
      </c>
      <c r="EI442" s="643">
        <f t="shared" si="1291"/>
        <v>0</v>
      </c>
      <c r="EJ442" s="637">
        <f t="shared" si="1292"/>
        <v>0</v>
      </c>
      <c r="EK442" s="637">
        <f t="shared" si="1293"/>
        <v>0</v>
      </c>
      <c r="EL442" s="637">
        <f t="shared" si="1294"/>
        <v>0</v>
      </c>
      <c r="EM442" s="643">
        <f t="shared" si="1295"/>
        <v>0</v>
      </c>
      <c r="EN442" s="637">
        <f t="shared" si="1296"/>
        <v>0</v>
      </c>
      <c r="EO442" s="637">
        <f t="shared" si="1297"/>
        <v>0</v>
      </c>
      <c r="EP442" s="637">
        <f t="shared" si="1298"/>
        <v>0</v>
      </c>
      <c r="EQ442" s="643">
        <f t="shared" si="1299"/>
        <v>0</v>
      </c>
      <c r="ER442" s="637">
        <f t="shared" si="1300"/>
        <v>0</v>
      </c>
      <c r="ES442" s="637">
        <f t="shared" si="1301"/>
        <v>0</v>
      </c>
      <c r="ET442" s="637">
        <f t="shared" si="1302"/>
        <v>0</v>
      </c>
      <c r="EU442" s="643">
        <f t="shared" si="1278"/>
        <v>0</v>
      </c>
      <c r="EV442" s="643">
        <f t="shared" si="1279"/>
        <v>0</v>
      </c>
      <c r="EX442" s="829">
        <f t="shared" si="1280"/>
        <v>0</v>
      </c>
      <c r="EY442" s="638">
        <f t="shared" si="1281"/>
        <v>1189433.4458749432</v>
      </c>
      <c r="FC442" s="830" t="str">
        <f t="shared" si="1303"/>
        <v>Y</v>
      </c>
      <c r="FE442" s="830" t="str">
        <f>IFERROR(VLOOKUP($B442,'Historical Conc Grant Elig'!$B$3:$J$707,'HH &amp; SI'!FE$2,0),"N")</f>
        <v>Y</v>
      </c>
      <c r="FF442" s="830" t="str">
        <f>IFERROR(VLOOKUP($B442,'Historical Conc Grant Elig'!$B$3:$J$707,'HH &amp; SI'!FF$2,0),"N")</f>
        <v>Y</v>
      </c>
      <c r="FG442" s="830" t="str">
        <f>IFERROR(VLOOKUP($B442,'Historical Conc Grant Elig'!$B$3:$J$707,'HH &amp; SI'!FG$2,0),"N")</f>
        <v>Y</v>
      </c>
      <c r="FH442" s="830" t="str">
        <f>IFERROR(VLOOKUP($B442,'Historical Conc Grant Elig'!$B$3:$J$707,'HH &amp; SI'!FH$2,0),"N")</f>
        <v>Y</v>
      </c>
      <c r="FI442" s="830" t="str">
        <f>IFERROR(VLOOKUP($B442,'Historical Conc Grant Elig'!$B$3:$J$707,'HH &amp; SI'!FI$2,0),"N")</f>
        <v>Y</v>
      </c>
      <c r="FJ442" s="830" t="str">
        <f>IFERROR(VLOOKUP($B442,'Historical Conc Grant Elig'!$B$3:$J$707,'HH &amp; SI'!FJ$2,0),"N")</f>
        <v>Y</v>
      </c>
      <c r="FK442" s="830" t="str">
        <f>IFERROR(VLOOKUP($B442,'Historical Conc Grant Elig'!$B$3:$J$707,'HH &amp; SI'!FK$2,0),"N")</f>
        <v>Y</v>
      </c>
      <c r="FL442" s="957" t="str">
        <f>IFERROR(VLOOKUP($B442,'Historical Conc Grant Elig'!$B$3:$J$707,'HH &amp; SI'!FL$2,0),"N")</f>
        <v>Y</v>
      </c>
    </row>
    <row r="443" spans="2:168" x14ac:dyDescent="0.25">
      <c r="B443" s="634">
        <v>130228000</v>
      </c>
      <c r="C443" s="635" t="str">
        <f>VLOOKUP($B443,'Afton Update'!$A$5:$CR$582,'Afton Update'!D$589,0)</f>
        <v>Camp Verde Unified District</v>
      </c>
      <c r="D443" s="636">
        <f>IFERROR(VLOOKUP($B443,'Afton FY16 Final'!$A$5:$BV$587,'Afton FY16 Final'!AQ$587,0),0)</f>
        <v>301582.88081169833</v>
      </c>
      <c r="E443" s="637">
        <f>IFERROR(VLOOKUP($B443,'Afton FY16 Final'!$A$5:$BV$587,'Afton FY16 Final'!AR$587,0),0)</f>
        <v>70614.849124439628</v>
      </c>
      <c r="F443" s="637">
        <f>IFERROR(VLOOKUP($B443,'Afton FY16 Final'!$A$5:$BV$587,'Afton FY16 Final'!AS$587,0),0)</f>
        <v>187316.16172344994</v>
      </c>
      <c r="G443" s="637">
        <f>IFERROR(VLOOKUP($B443,'Afton FY16 Final'!$A$5:$BV$587,'Afton FY16 Final'!AT$587,0),0)</f>
        <v>190349.31681888975</v>
      </c>
      <c r="H443" s="638">
        <f>IFERROR(VLOOKUP($B443,'Afton FY16 Final'!$A$5:$BV$587,'Afton FY16 Final'!AU$587,0),0)</f>
        <v>749863.20847847755</v>
      </c>
      <c r="I443" s="639" t="str">
        <f>VLOOKUP($B443,'Afton Update'!$A$5:$CR$582,'Afton Update'!BT$589,0)</f>
        <v>Y</v>
      </c>
      <c r="J443" s="640" t="str">
        <f>VLOOKUP($B443,'Afton Update'!$A$5:$CR$582,'Afton Update'!BU$589,0)</f>
        <v>Y</v>
      </c>
      <c r="K443" s="640" t="str">
        <f>VLOOKUP($B443,'Afton Update'!$A$5:$CR$582,'Afton Update'!BV$589,0)</f>
        <v>Y</v>
      </c>
      <c r="L443" s="641" t="str">
        <f>VLOOKUP($B443,'Afton Update'!$A$5:$CR$582,'Afton Update'!BW$589,0)</f>
        <v>Y</v>
      </c>
      <c r="N443" s="642">
        <f>VLOOKUP($B443,'Afton Update'!$A$5:$CR$582,'Afton Update'!CB$589,0)</f>
        <v>0.9</v>
      </c>
      <c r="P443" s="636">
        <f>VLOOKUP($B443,'Afton Update'!$A$5:$CR$582,'Afton Update'!AH$589,0)</f>
        <v>270776.43514725298</v>
      </c>
      <c r="Q443" s="637">
        <f>VLOOKUP($B443,'Afton Update'!$A$5:$CR$582,'Afton Update'!AI$589,0)</f>
        <v>67016.108165626458</v>
      </c>
      <c r="R443" s="637">
        <f>VLOOKUP($B443,'Afton Update'!$A$5:$CR$582,'Afton Update'!AJ$589,0)</f>
        <v>167918.5066354569</v>
      </c>
      <c r="S443" s="637">
        <f>VLOOKUP($B443,'Afton Update'!$A$5:$CR$582,'Afton Update'!AK$589,0)</f>
        <v>171317.12168909778</v>
      </c>
      <c r="T443" s="643">
        <f t="shared" si="1307"/>
        <v>677028.17163743405</v>
      </c>
      <c r="V443" s="636">
        <f t="shared" si="1333"/>
        <v>271424.5927305285</v>
      </c>
      <c r="W443" s="637">
        <f t="shared" si="1334"/>
        <v>64808.842579926153</v>
      </c>
      <c r="X443" s="637">
        <f t="shared" si="1335"/>
        <v>168584.54555110497</v>
      </c>
      <c r="Y443" s="637">
        <f t="shared" si="1336"/>
        <v>171314.38513700079</v>
      </c>
      <c r="Z443" s="643">
        <f t="shared" si="1337"/>
        <v>676132.36599856045</v>
      </c>
      <c r="AB443" s="644">
        <f t="shared" si="1308"/>
        <v>270776.43514725298</v>
      </c>
      <c r="AC443" s="645">
        <f t="shared" si="1304"/>
        <v>271424.5927305285</v>
      </c>
      <c r="AD443" s="644">
        <f t="shared" si="1338"/>
        <v>648.15758327551885</v>
      </c>
      <c r="AE443" s="645">
        <f t="shared" si="1339"/>
        <v>0</v>
      </c>
      <c r="AF443" s="646">
        <f t="shared" si="1340"/>
        <v>0</v>
      </c>
      <c r="AG443" s="647">
        <f t="shared" si="1341"/>
        <v>271424.5927305285</v>
      </c>
      <c r="AH443" s="644">
        <f t="shared" si="1309"/>
        <v>0</v>
      </c>
      <c r="AI443" s="645">
        <f t="shared" si="1310"/>
        <v>0</v>
      </c>
      <c r="AJ443" s="646">
        <f t="shared" si="1342"/>
        <v>0</v>
      </c>
      <c r="AK443" s="647">
        <f t="shared" si="1311"/>
        <v>271424.5927305285</v>
      </c>
      <c r="AL443" s="644">
        <f t="shared" si="1343"/>
        <v>0</v>
      </c>
      <c r="AM443" s="645">
        <f t="shared" si="1344"/>
        <v>0</v>
      </c>
      <c r="AN443" s="646">
        <f t="shared" si="1345"/>
        <v>0</v>
      </c>
      <c r="AO443" s="647">
        <f t="shared" si="1312"/>
        <v>271424.5927305285</v>
      </c>
      <c r="AP443" s="644">
        <f t="shared" si="1346"/>
        <v>0</v>
      </c>
      <c r="AQ443" s="645">
        <f t="shared" si="1347"/>
        <v>0</v>
      </c>
      <c r="AR443" s="646">
        <f t="shared" si="1348"/>
        <v>0</v>
      </c>
      <c r="AS443" s="647">
        <f t="shared" si="1313"/>
        <v>271424.5927305285</v>
      </c>
      <c r="AT443" s="644">
        <f t="shared" si="1349"/>
        <v>0</v>
      </c>
      <c r="AU443" s="645">
        <f t="shared" si="1350"/>
        <v>0</v>
      </c>
      <c r="AV443" s="646">
        <f t="shared" si="1351"/>
        <v>0</v>
      </c>
      <c r="AW443" s="647">
        <f t="shared" si="1314"/>
        <v>271424.5927305285</v>
      </c>
      <c r="AY443" s="644">
        <f t="shared" si="1352"/>
        <v>67016.108165626458</v>
      </c>
      <c r="AZ443" s="645">
        <f t="shared" si="1282"/>
        <v>63553.364211995664</v>
      </c>
      <c r="BA443" s="644">
        <f t="shared" si="1353"/>
        <v>0</v>
      </c>
      <c r="BB443" s="645">
        <f t="shared" si="1354"/>
        <v>67016.108165626458</v>
      </c>
      <c r="BC443" s="646">
        <f t="shared" si="1355"/>
        <v>-481.93236435319545</v>
      </c>
      <c r="BD443" s="647">
        <f t="shared" si="1356"/>
        <v>66534.175801273261</v>
      </c>
      <c r="BE443" s="644">
        <f t="shared" si="1315"/>
        <v>0</v>
      </c>
      <c r="BF443" s="645">
        <f t="shared" si="1316"/>
        <v>66534.175801273261</v>
      </c>
      <c r="BG443" s="646">
        <f t="shared" si="1357"/>
        <v>-1584.7898461448033</v>
      </c>
      <c r="BH443" s="647">
        <f t="shared" si="1317"/>
        <v>64949.385955128455</v>
      </c>
      <c r="BI443" s="644">
        <f t="shared" si="1358"/>
        <v>0</v>
      </c>
      <c r="BJ443" s="645">
        <f t="shared" si="1359"/>
        <v>64949.385955128455</v>
      </c>
      <c r="BK443" s="646">
        <f t="shared" si="1360"/>
        <v>-137.57805424573041</v>
      </c>
      <c r="BL443" s="647">
        <f t="shared" si="1318"/>
        <v>64811.807900882726</v>
      </c>
      <c r="BM443" s="644">
        <f t="shared" si="1361"/>
        <v>0</v>
      </c>
      <c r="BN443" s="645">
        <f t="shared" si="1362"/>
        <v>64811.807900882726</v>
      </c>
      <c r="BO443" s="646">
        <f t="shared" si="1363"/>
        <v>-2.9653209565748884</v>
      </c>
      <c r="BP443" s="647">
        <f t="shared" si="1319"/>
        <v>64808.842579926153</v>
      </c>
      <c r="BQ443" s="644">
        <f t="shared" si="1364"/>
        <v>0</v>
      </c>
      <c r="BR443" s="645">
        <f t="shared" si="1365"/>
        <v>64808.842579926153</v>
      </c>
      <c r="BS443" s="646">
        <f t="shared" si="1366"/>
        <v>0</v>
      </c>
      <c r="BT443" s="647">
        <f t="shared" si="1320"/>
        <v>64808.842579926153</v>
      </c>
      <c r="BU443" s="662">
        <f>VLOOKUP(B443,'Afton Update'!$A$5:$AR$582,'Afton Update'!$AO$589,0)-BT443</f>
        <v>0</v>
      </c>
      <c r="BV443" s="644">
        <f t="shared" si="1367"/>
        <v>167918.5066354569</v>
      </c>
      <c r="BW443" s="645">
        <f t="shared" si="1305"/>
        <v>168584.54555110497</v>
      </c>
      <c r="BX443" s="644">
        <f t="shared" si="1368"/>
        <v>666.0389156480669</v>
      </c>
      <c r="BY443" s="645">
        <f t="shared" si="1369"/>
        <v>0</v>
      </c>
      <c r="BZ443" s="646">
        <f t="shared" si="1370"/>
        <v>0</v>
      </c>
      <c r="CA443" s="647">
        <f t="shared" si="1371"/>
        <v>168584.54555110497</v>
      </c>
      <c r="CB443" s="644">
        <f t="shared" si="1321"/>
        <v>0</v>
      </c>
      <c r="CC443" s="645">
        <f t="shared" si="1322"/>
        <v>0</v>
      </c>
      <c r="CD443" s="646">
        <f t="shared" si="1372"/>
        <v>0</v>
      </c>
      <c r="CE443" s="647">
        <f t="shared" si="1323"/>
        <v>168584.54555110497</v>
      </c>
      <c r="CF443" s="644">
        <f t="shared" si="1373"/>
        <v>0</v>
      </c>
      <c r="CG443" s="645">
        <f t="shared" si="1374"/>
        <v>0</v>
      </c>
      <c r="CH443" s="646">
        <f t="shared" si="1375"/>
        <v>0</v>
      </c>
      <c r="CI443" s="647">
        <f t="shared" si="1324"/>
        <v>168584.54555110497</v>
      </c>
      <c r="CJ443" s="644">
        <f t="shared" si="1376"/>
        <v>0</v>
      </c>
      <c r="CK443" s="645">
        <f t="shared" si="1377"/>
        <v>0</v>
      </c>
      <c r="CL443" s="646">
        <f t="shared" si="1378"/>
        <v>0</v>
      </c>
      <c r="CM443" s="647">
        <f t="shared" si="1325"/>
        <v>168584.54555110497</v>
      </c>
      <c r="CN443" s="644">
        <f t="shared" si="1379"/>
        <v>0</v>
      </c>
      <c r="CO443" s="645">
        <f t="shared" si="1380"/>
        <v>0</v>
      </c>
      <c r="CP443" s="646">
        <f t="shared" si="1381"/>
        <v>0</v>
      </c>
      <c r="CQ443" s="647">
        <f t="shared" si="1326"/>
        <v>168584.54555110497</v>
      </c>
      <c r="CS443" s="644">
        <f t="shared" si="1382"/>
        <v>171317.12168909778</v>
      </c>
      <c r="CT443" s="645">
        <f t="shared" si="1306"/>
        <v>171314.38513700079</v>
      </c>
      <c r="CU443" s="644">
        <f t="shared" si="1383"/>
        <v>0</v>
      </c>
      <c r="CV443" s="645">
        <f t="shared" si="1384"/>
        <v>171317.12168909778</v>
      </c>
      <c r="CW443" s="646">
        <f t="shared" si="1385"/>
        <v>-1754.384141166641</v>
      </c>
      <c r="CX443" s="647">
        <f t="shared" si="1386"/>
        <v>169562.73754793114</v>
      </c>
      <c r="CY443" s="644">
        <f t="shared" si="1327"/>
        <v>-1751.6475890696456</v>
      </c>
      <c r="CZ443" s="645">
        <f t="shared" si="1328"/>
        <v>0</v>
      </c>
      <c r="DA443" s="646">
        <f t="shared" si="1387"/>
        <v>0</v>
      </c>
      <c r="DB443" s="647">
        <f t="shared" si="1329"/>
        <v>171314.38513700079</v>
      </c>
      <c r="DC443" s="644">
        <f t="shared" si="1388"/>
        <v>0</v>
      </c>
      <c r="DD443" s="645">
        <f t="shared" si="1389"/>
        <v>0</v>
      </c>
      <c r="DE443" s="646">
        <f t="shared" si="1390"/>
        <v>0</v>
      </c>
      <c r="DF443" s="647">
        <f t="shared" si="1330"/>
        <v>171314.38513700079</v>
      </c>
      <c r="DG443" s="644">
        <f t="shared" si="1391"/>
        <v>0</v>
      </c>
      <c r="DH443" s="645">
        <f t="shared" si="1392"/>
        <v>0</v>
      </c>
      <c r="DI443" s="646">
        <f t="shared" si="1393"/>
        <v>0</v>
      </c>
      <c r="DJ443" s="647">
        <f t="shared" si="1331"/>
        <v>171314.38513700079</v>
      </c>
      <c r="DK443" s="644">
        <f t="shared" si="1394"/>
        <v>0</v>
      </c>
      <c r="DL443" s="645">
        <f t="shared" si="1395"/>
        <v>0</v>
      </c>
      <c r="DM443" s="646">
        <f t="shared" si="1396"/>
        <v>0</v>
      </c>
      <c r="DN443" s="647">
        <f t="shared" si="1332"/>
        <v>171314.38513700079</v>
      </c>
      <c r="DR443" s="827">
        <f t="shared" si="1283"/>
        <v>676132.36599856045</v>
      </c>
      <c r="DV443" s="828">
        <f>IFERROR(VLOOKUP($B443,'Afton FY16 Final'!$A$5:$BV$587,'Afton FY16 Final'!$BV$587,0),0)</f>
        <v>696361.65480445104</v>
      </c>
      <c r="DX443" s="636">
        <f t="shared" si="1274"/>
        <v>0</v>
      </c>
      <c r="DY443" s="637">
        <f t="shared" si="1275"/>
        <v>0</v>
      </c>
      <c r="DZ443" s="637">
        <f t="shared" si="1276"/>
        <v>0</v>
      </c>
      <c r="EA443" s="643">
        <f t="shared" si="1277"/>
        <v>0</v>
      </c>
      <c r="EB443" s="637">
        <f t="shared" si="1284"/>
        <v>0</v>
      </c>
      <c r="EC443" s="637">
        <f t="shared" si="1285"/>
        <v>0</v>
      </c>
      <c r="ED443" s="637">
        <f t="shared" si="1286"/>
        <v>0</v>
      </c>
      <c r="EE443" s="643">
        <f t="shared" si="1287"/>
        <v>0</v>
      </c>
      <c r="EF443" s="637">
        <f t="shared" si="1288"/>
        <v>0</v>
      </c>
      <c r="EG443" s="637">
        <f t="shared" si="1289"/>
        <v>0</v>
      </c>
      <c r="EH443" s="637">
        <f t="shared" si="1290"/>
        <v>0</v>
      </c>
      <c r="EI443" s="643">
        <f t="shared" si="1291"/>
        <v>0</v>
      </c>
      <c r="EJ443" s="637">
        <f t="shared" si="1292"/>
        <v>0</v>
      </c>
      <c r="EK443" s="637">
        <f t="shared" si="1293"/>
        <v>0</v>
      </c>
      <c r="EL443" s="637">
        <f t="shared" si="1294"/>
        <v>0</v>
      </c>
      <c r="EM443" s="643">
        <f t="shared" si="1295"/>
        <v>0</v>
      </c>
      <c r="EN443" s="637">
        <f t="shared" si="1296"/>
        <v>0</v>
      </c>
      <c r="EO443" s="637">
        <f t="shared" si="1297"/>
        <v>0</v>
      </c>
      <c r="EP443" s="637">
        <f t="shared" si="1298"/>
        <v>0</v>
      </c>
      <c r="EQ443" s="643">
        <f t="shared" si="1299"/>
        <v>0</v>
      </c>
      <c r="ER443" s="637">
        <f t="shared" si="1300"/>
        <v>0</v>
      </c>
      <c r="ES443" s="637">
        <f t="shared" si="1301"/>
        <v>0</v>
      </c>
      <c r="ET443" s="637">
        <f t="shared" si="1302"/>
        <v>0</v>
      </c>
      <c r="EU443" s="643">
        <f t="shared" si="1278"/>
        <v>0</v>
      </c>
      <c r="EV443" s="643">
        <f t="shared" si="1279"/>
        <v>0</v>
      </c>
      <c r="EX443" s="829">
        <f t="shared" si="1280"/>
        <v>0</v>
      </c>
      <c r="EY443" s="638">
        <f t="shared" si="1281"/>
        <v>676132.36599856045</v>
      </c>
      <c r="FC443" s="830" t="str">
        <f t="shared" si="1303"/>
        <v>Y</v>
      </c>
      <c r="FE443" s="830" t="str">
        <f>IFERROR(VLOOKUP($B443,'Historical Conc Grant Elig'!$B$3:$J$707,'HH &amp; SI'!FE$2,0),"N")</f>
        <v>Y</v>
      </c>
      <c r="FF443" s="830" t="str">
        <f>IFERROR(VLOOKUP($B443,'Historical Conc Grant Elig'!$B$3:$J$707,'HH &amp; SI'!FF$2,0),"N")</f>
        <v>Y</v>
      </c>
      <c r="FG443" s="830" t="str">
        <f>IFERROR(VLOOKUP($B443,'Historical Conc Grant Elig'!$B$3:$J$707,'HH &amp; SI'!FG$2,0),"N")</f>
        <v>Y</v>
      </c>
      <c r="FH443" s="830" t="str">
        <f>IFERROR(VLOOKUP($B443,'Historical Conc Grant Elig'!$B$3:$J$707,'HH &amp; SI'!FH$2,0),"N")</f>
        <v>Y</v>
      </c>
      <c r="FI443" s="830" t="str">
        <f>IFERROR(VLOOKUP($B443,'Historical Conc Grant Elig'!$B$3:$J$707,'HH &amp; SI'!FI$2,0),"N")</f>
        <v>Y</v>
      </c>
      <c r="FJ443" s="830" t="str">
        <f>IFERROR(VLOOKUP($B443,'Historical Conc Grant Elig'!$B$3:$J$707,'HH &amp; SI'!FJ$2,0),"N")</f>
        <v>Y</v>
      </c>
      <c r="FK443" s="830" t="str">
        <f>IFERROR(VLOOKUP($B443,'Historical Conc Grant Elig'!$B$3:$J$707,'HH &amp; SI'!FK$2,0),"N")</f>
        <v>Y</v>
      </c>
      <c r="FL443" s="957" t="str">
        <f>IFERROR(VLOOKUP($B443,'Historical Conc Grant Elig'!$B$3:$J$707,'HH &amp; SI'!FL$2,0),"N")</f>
        <v>Y</v>
      </c>
    </row>
    <row r="444" spans="2:168" x14ac:dyDescent="0.25">
      <c r="B444" s="634">
        <v>130231000</v>
      </c>
      <c r="C444" s="635" t="str">
        <f>VLOOKUP($B444,'Afton Update'!$A$5:$CR$582,'Afton Update'!D$589,0)</f>
        <v>Ash Fork Joint Unified District</v>
      </c>
      <c r="D444" s="636">
        <f>IFERROR(VLOOKUP($B444,'Afton FY16 Final'!$A$5:$BV$587,'Afton FY16 Final'!AQ$587,0),0)</f>
        <v>34486.758629572803</v>
      </c>
      <c r="E444" s="637">
        <f>IFERROR(VLOOKUP($B444,'Afton FY16 Final'!$A$5:$BV$587,'Afton FY16 Final'!AR$587,0),0)</f>
        <v>8433.4493142182364</v>
      </c>
      <c r="F444" s="637">
        <f>IFERROR(VLOOKUP($B444,'Afton FY16 Final'!$A$5:$BV$587,'Afton FY16 Final'!AS$587,0),0)</f>
        <v>17240.167848446046</v>
      </c>
      <c r="G444" s="637">
        <f>IFERROR(VLOOKUP($B444,'Afton FY16 Final'!$A$5:$BV$587,'Afton FY16 Final'!AT$587,0),0)</f>
        <v>15439.68188882733</v>
      </c>
      <c r="H444" s="638">
        <f>IFERROR(VLOOKUP($B444,'Afton FY16 Final'!$A$5:$BV$587,'Afton FY16 Final'!AU$587,0),0)</f>
        <v>75600.057681064412</v>
      </c>
      <c r="I444" s="639" t="str">
        <f>VLOOKUP($B444,'Afton Update'!$A$5:$CR$582,'Afton Update'!BT$589,0)</f>
        <v>Y</v>
      </c>
      <c r="J444" s="640" t="str">
        <f>VLOOKUP($B444,'Afton Update'!$A$5:$CR$582,'Afton Update'!BU$589,0)</f>
        <v>Y</v>
      </c>
      <c r="K444" s="640" t="str">
        <f>VLOOKUP($B444,'Afton Update'!$A$5:$CR$582,'Afton Update'!BV$589,0)</f>
        <v>Y</v>
      </c>
      <c r="L444" s="641" t="str">
        <f>VLOOKUP($B444,'Afton Update'!$A$5:$CR$582,'Afton Update'!BW$589,0)</f>
        <v>Y</v>
      </c>
      <c r="N444" s="642">
        <f>VLOOKUP($B444,'Afton Update'!$A$5:$CR$582,'Afton Update'!CB$589,0)</f>
        <v>0.9</v>
      </c>
      <c r="P444" s="636">
        <f>VLOOKUP($B444,'Afton Update'!$A$5:$CR$582,'Afton Update'!AH$589,0)</f>
        <v>32846.471592618385</v>
      </c>
      <c r="Q444" s="637">
        <f>VLOOKUP($B444,'Afton Update'!$A$5:$CR$582,'Afton Update'!AI$589,0)</f>
        <v>10711.879578494889</v>
      </c>
      <c r="R444" s="637">
        <f>VLOOKUP($B444,'Afton Update'!$A$5:$CR$582,'Afton Update'!AJ$589,0)</f>
        <v>16385.795975340472</v>
      </c>
      <c r="S444" s="637">
        <f>VLOOKUP($B444,'Afton Update'!$A$5:$CR$582,'Afton Update'!AK$589,0)</f>
        <v>15068.147831033431</v>
      </c>
      <c r="T444" s="643">
        <f t="shared" si="1307"/>
        <v>75012.294977487181</v>
      </c>
      <c r="V444" s="636">
        <f t="shared" si="1333"/>
        <v>32398.424400643882</v>
      </c>
      <c r="W444" s="637">
        <f t="shared" si="1334"/>
        <v>10359.069428831424</v>
      </c>
      <c r="X444" s="637">
        <f t="shared" si="1335"/>
        <v>16236.773558536894</v>
      </c>
      <c r="Y444" s="637">
        <f t="shared" si="1336"/>
        <v>14902.123965987073</v>
      </c>
      <c r="Z444" s="643">
        <f t="shared" si="1337"/>
        <v>73896.391353999279</v>
      </c>
      <c r="AB444" s="644">
        <f t="shared" si="1308"/>
        <v>32846.471592618385</v>
      </c>
      <c r="AC444" s="645">
        <f t="shared" si="1304"/>
        <v>31038.082766615524</v>
      </c>
      <c r="AD444" s="644">
        <f t="shared" si="1338"/>
        <v>0</v>
      </c>
      <c r="AE444" s="645">
        <f t="shared" si="1339"/>
        <v>32846.471592618385</v>
      </c>
      <c r="AF444" s="646">
        <f t="shared" si="1340"/>
        <v>-407.15669885684503</v>
      </c>
      <c r="AG444" s="647">
        <f t="shared" si="1341"/>
        <v>32439.314893761541</v>
      </c>
      <c r="AH444" s="644">
        <f t="shared" si="1309"/>
        <v>0</v>
      </c>
      <c r="AI444" s="645">
        <f t="shared" si="1310"/>
        <v>32439.314893761541</v>
      </c>
      <c r="AJ444" s="646">
        <f t="shared" si="1342"/>
        <v>-40.864441910084615</v>
      </c>
      <c r="AK444" s="647">
        <f t="shared" si="1311"/>
        <v>32398.450451851455</v>
      </c>
      <c r="AL444" s="644">
        <f t="shared" si="1343"/>
        <v>0</v>
      </c>
      <c r="AM444" s="645">
        <f t="shared" si="1344"/>
        <v>32398.450451851455</v>
      </c>
      <c r="AN444" s="646">
        <f t="shared" si="1345"/>
        <v>-2.6051207573090634E-2</v>
      </c>
      <c r="AO444" s="647">
        <f t="shared" si="1312"/>
        <v>32398.424400643882</v>
      </c>
      <c r="AP444" s="644">
        <f t="shared" si="1346"/>
        <v>0</v>
      </c>
      <c r="AQ444" s="645">
        <f t="shared" si="1347"/>
        <v>32398.424400643882</v>
      </c>
      <c r="AR444" s="646">
        <f t="shared" si="1348"/>
        <v>0</v>
      </c>
      <c r="AS444" s="647">
        <f t="shared" si="1313"/>
        <v>32398.424400643882</v>
      </c>
      <c r="AT444" s="644">
        <f t="shared" si="1349"/>
        <v>0</v>
      </c>
      <c r="AU444" s="645">
        <f t="shared" si="1350"/>
        <v>32398.424400643882</v>
      </c>
      <c r="AV444" s="646">
        <f t="shared" si="1351"/>
        <v>0</v>
      </c>
      <c r="AW444" s="647">
        <f t="shared" si="1314"/>
        <v>32398.424400643882</v>
      </c>
      <c r="AY444" s="644">
        <f t="shared" si="1352"/>
        <v>10711.879578494889</v>
      </c>
      <c r="AZ444" s="645">
        <f t="shared" si="1282"/>
        <v>7590.1043827964131</v>
      </c>
      <c r="BA444" s="644">
        <f t="shared" si="1353"/>
        <v>0</v>
      </c>
      <c r="BB444" s="645">
        <f t="shared" si="1354"/>
        <v>10711.879578494889</v>
      </c>
      <c r="BC444" s="646">
        <f t="shared" si="1355"/>
        <v>-77.032247816781222</v>
      </c>
      <c r="BD444" s="647">
        <f t="shared" si="1356"/>
        <v>10634.847330678107</v>
      </c>
      <c r="BE444" s="644">
        <f t="shared" si="1315"/>
        <v>0</v>
      </c>
      <c r="BF444" s="645">
        <f t="shared" si="1316"/>
        <v>10634.847330678107</v>
      </c>
      <c r="BG444" s="646">
        <f t="shared" si="1357"/>
        <v>-253.31339664143394</v>
      </c>
      <c r="BH444" s="647">
        <f t="shared" si="1317"/>
        <v>10381.533934036674</v>
      </c>
      <c r="BI444" s="644">
        <f t="shared" si="1358"/>
        <v>0</v>
      </c>
      <c r="BJ444" s="645">
        <f t="shared" si="1359"/>
        <v>10381.533934036674</v>
      </c>
      <c r="BK444" s="646">
        <f t="shared" si="1360"/>
        <v>-21.990527204022179</v>
      </c>
      <c r="BL444" s="647">
        <f t="shared" si="1318"/>
        <v>10359.543406832652</v>
      </c>
      <c r="BM444" s="644">
        <f t="shared" si="1361"/>
        <v>0</v>
      </c>
      <c r="BN444" s="645">
        <f t="shared" si="1362"/>
        <v>10359.543406832652</v>
      </c>
      <c r="BO444" s="646">
        <f t="shared" si="1363"/>
        <v>-0.47397800122791645</v>
      </c>
      <c r="BP444" s="647">
        <f t="shared" si="1319"/>
        <v>10359.069428831424</v>
      </c>
      <c r="BQ444" s="644">
        <f t="shared" si="1364"/>
        <v>0</v>
      </c>
      <c r="BR444" s="645">
        <f t="shared" si="1365"/>
        <v>10359.069428831424</v>
      </c>
      <c r="BS444" s="646">
        <f t="shared" si="1366"/>
        <v>0</v>
      </c>
      <c r="BT444" s="647">
        <f t="shared" si="1320"/>
        <v>10359.069428831424</v>
      </c>
      <c r="BU444" s="662">
        <f>VLOOKUP(B444,'Afton Update'!$A$5:$AR$582,'Afton Update'!$AO$589,0)-BT444</f>
        <v>0</v>
      </c>
      <c r="BV444" s="644">
        <f t="shared" si="1367"/>
        <v>16385.795975340472</v>
      </c>
      <c r="BW444" s="645">
        <f t="shared" si="1305"/>
        <v>15516.151063601443</v>
      </c>
      <c r="BX444" s="644">
        <f t="shared" si="1368"/>
        <v>0</v>
      </c>
      <c r="BY444" s="645">
        <f t="shared" si="1369"/>
        <v>16385.795975340472</v>
      </c>
      <c r="BZ444" s="646">
        <f t="shared" si="1370"/>
        <v>-143.81987339392924</v>
      </c>
      <c r="CA444" s="647">
        <f t="shared" si="1371"/>
        <v>16241.976101946542</v>
      </c>
      <c r="CB444" s="644">
        <f t="shared" si="1321"/>
        <v>0</v>
      </c>
      <c r="CC444" s="645">
        <f t="shared" si="1322"/>
        <v>16241.976101946542</v>
      </c>
      <c r="CD444" s="646">
        <f t="shared" si="1372"/>
        <v>-5.2025434096492953</v>
      </c>
      <c r="CE444" s="647">
        <f t="shared" si="1323"/>
        <v>16236.773558536894</v>
      </c>
      <c r="CF444" s="644">
        <f t="shared" si="1373"/>
        <v>0</v>
      </c>
      <c r="CG444" s="645">
        <f t="shared" si="1374"/>
        <v>16236.773558536894</v>
      </c>
      <c r="CH444" s="646">
        <f t="shared" si="1375"/>
        <v>0</v>
      </c>
      <c r="CI444" s="647">
        <f t="shared" si="1324"/>
        <v>16236.773558536894</v>
      </c>
      <c r="CJ444" s="644">
        <f t="shared" si="1376"/>
        <v>0</v>
      </c>
      <c r="CK444" s="645">
        <f t="shared" si="1377"/>
        <v>16236.773558536894</v>
      </c>
      <c r="CL444" s="646">
        <f t="shared" si="1378"/>
        <v>0</v>
      </c>
      <c r="CM444" s="647">
        <f t="shared" si="1325"/>
        <v>16236.773558536894</v>
      </c>
      <c r="CN444" s="644">
        <f t="shared" si="1379"/>
        <v>0</v>
      </c>
      <c r="CO444" s="645">
        <f t="shared" si="1380"/>
        <v>16236.773558536894</v>
      </c>
      <c r="CP444" s="646">
        <f t="shared" si="1381"/>
        <v>0</v>
      </c>
      <c r="CQ444" s="647">
        <f t="shared" si="1326"/>
        <v>16236.773558536894</v>
      </c>
      <c r="CS444" s="644">
        <f t="shared" si="1382"/>
        <v>15068.147831033431</v>
      </c>
      <c r="CT444" s="645">
        <f t="shared" si="1306"/>
        <v>13895.713699944597</v>
      </c>
      <c r="CU444" s="644">
        <f t="shared" si="1383"/>
        <v>0</v>
      </c>
      <c r="CV444" s="645">
        <f t="shared" si="1384"/>
        <v>15068.147831033431</v>
      </c>
      <c r="CW444" s="646">
        <f t="shared" si="1385"/>
        <v>-154.30634913125471</v>
      </c>
      <c r="CX444" s="647">
        <f t="shared" si="1386"/>
        <v>14913.841481902176</v>
      </c>
      <c r="CY444" s="644">
        <f t="shared" si="1327"/>
        <v>0</v>
      </c>
      <c r="CZ444" s="645">
        <f t="shared" si="1328"/>
        <v>14913.841481902176</v>
      </c>
      <c r="DA444" s="646">
        <f t="shared" si="1387"/>
        <v>-11.707419723777408</v>
      </c>
      <c r="DB444" s="647">
        <f t="shared" si="1329"/>
        <v>14902.134062178398</v>
      </c>
      <c r="DC444" s="644">
        <f t="shared" si="1388"/>
        <v>0</v>
      </c>
      <c r="DD444" s="645">
        <f t="shared" si="1389"/>
        <v>14902.134062178398</v>
      </c>
      <c r="DE444" s="646">
        <f t="shared" si="1390"/>
        <v>-1.0096191324877513E-2</v>
      </c>
      <c r="DF444" s="647">
        <f t="shared" si="1330"/>
        <v>14902.123965987073</v>
      </c>
      <c r="DG444" s="644">
        <f t="shared" si="1391"/>
        <v>0</v>
      </c>
      <c r="DH444" s="645">
        <f t="shared" si="1392"/>
        <v>14902.123965987073</v>
      </c>
      <c r="DI444" s="646">
        <f t="shared" si="1393"/>
        <v>0</v>
      </c>
      <c r="DJ444" s="647">
        <f t="shared" si="1331"/>
        <v>14902.123965987073</v>
      </c>
      <c r="DK444" s="644">
        <f t="shared" si="1394"/>
        <v>0</v>
      </c>
      <c r="DL444" s="645">
        <f t="shared" si="1395"/>
        <v>14902.123965987073</v>
      </c>
      <c r="DM444" s="646">
        <f t="shared" si="1396"/>
        <v>0</v>
      </c>
      <c r="DN444" s="647">
        <f t="shared" si="1332"/>
        <v>14902.123965987073</v>
      </c>
      <c r="DR444" s="827">
        <f t="shared" si="1283"/>
        <v>73896.391353999279</v>
      </c>
      <c r="DV444" s="828">
        <f>IFERROR(VLOOKUP($B444,'Afton FY16 Final'!$A$5:$BV$587,'Afton FY16 Final'!$BV$587,0),0)</f>
        <v>74111.492557844293</v>
      </c>
      <c r="DX444" s="636">
        <f t="shared" si="1274"/>
        <v>0</v>
      </c>
      <c r="DY444" s="637">
        <f t="shared" si="1275"/>
        <v>0</v>
      </c>
      <c r="DZ444" s="637">
        <f t="shared" si="1276"/>
        <v>0</v>
      </c>
      <c r="EA444" s="643">
        <f t="shared" si="1277"/>
        <v>0</v>
      </c>
      <c r="EB444" s="637">
        <f t="shared" si="1284"/>
        <v>0</v>
      </c>
      <c r="EC444" s="637">
        <f t="shared" si="1285"/>
        <v>0</v>
      </c>
      <c r="ED444" s="637">
        <f t="shared" si="1286"/>
        <v>0</v>
      </c>
      <c r="EE444" s="643">
        <f t="shared" si="1287"/>
        <v>0</v>
      </c>
      <c r="EF444" s="637">
        <f t="shared" si="1288"/>
        <v>0</v>
      </c>
      <c r="EG444" s="637">
        <f t="shared" si="1289"/>
        <v>0</v>
      </c>
      <c r="EH444" s="637">
        <f t="shared" si="1290"/>
        <v>0</v>
      </c>
      <c r="EI444" s="643">
        <f t="shared" si="1291"/>
        <v>0</v>
      </c>
      <c r="EJ444" s="637">
        <f t="shared" si="1292"/>
        <v>0</v>
      </c>
      <c r="EK444" s="637">
        <f t="shared" si="1293"/>
        <v>0</v>
      </c>
      <c r="EL444" s="637">
        <f t="shared" si="1294"/>
        <v>0</v>
      </c>
      <c r="EM444" s="643">
        <f t="shared" si="1295"/>
        <v>0</v>
      </c>
      <c r="EN444" s="637">
        <f t="shared" si="1296"/>
        <v>0</v>
      </c>
      <c r="EO444" s="637">
        <f t="shared" si="1297"/>
        <v>0</v>
      </c>
      <c r="EP444" s="637">
        <f t="shared" si="1298"/>
        <v>0</v>
      </c>
      <c r="EQ444" s="643">
        <f t="shared" si="1299"/>
        <v>0</v>
      </c>
      <c r="ER444" s="637">
        <f t="shared" si="1300"/>
        <v>0</v>
      </c>
      <c r="ES444" s="637">
        <f t="shared" si="1301"/>
        <v>0</v>
      </c>
      <c r="ET444" s="637">
        <f t="shared" si="1302"/>
        <v>0</v>
      </c>
      <c r="EU444" s="643">
        <f t="shared" si="1278"/>
        <v>0</v>
      </c>
      <c r="EV444" s="643">
        <f t="shared" si="1279"/>
        <v>0</v>
      </c>
      <c r="EX444" s="829">
        <f t="shared" si="1280"/>
        <v>0</v>
      </c>
      <c r="EY444" s="638">
        <f t="shared" si="1281"/>
        <v>73896.391353999279</v>
      </c>
      <c r="FC444" s="830" t="str">
        <f t="shared" si="1303"/>
        <v>Y</v>
      </c>
      <c r="FE444" s="830" t="str">
        <f>IFERROR(VLOOKUP($B444,'Historical Conc Grant Elig'!$B$3:$J$707,'HH &amp; SI'!FE$2,0),"N")</f>
        <v>Y</v>
      </c>
      <c r="FF444" s="830" t="str">
        <f>IFERROR(VLOOKUP($B444,'Historical Conc Grant Elig'!$B$3:$J$707,'HH &amp; SI'!FF$2,0),"N")</f>
        <v>Y</v>
      </c>
      <c r="FG444" s="830" t="str">
        <f>IFERROR(VLOOKUP($B444,'Historical Conc Grant Elig'!$B$3:$J$707,'HH &amp; SI'!FG$2,0),"N")</f>
        <v>Y</v>
      </c>
      <c r="FH444" s="830" t="str">
        <f>IFERROR(VLOOKUP($B444,'Historical Conc Grant Elig'!$B$3:$J$707,'HH &amp; SI'!FH$2,0),"N")</f>
        <v>Y</v>
      </c>
      <c r="FI444" s="830" t="str">
        <f>IFERROR(VLOOKUP($B444,'Historical Conc Grant Elig'!$B$3:$J$707,'HH &amp; SI'!FI$2,0),"N")</f>
        <v>Y</v>
      </c>
      <c r="FJ444" s="830" t="str">
        <f>IFERROR(VLOOKUP($B444,'Historical Conc Grant Elig'!$B$3:$J$707,'HH &amp; SI'!FJ$2,0),"N")</f>
        <v>Y</v>
      </c>
      <c r="FK444" s="830" t="str">
        <f>IFERROR(VLOOKUP($B444,'Historical Conc Grant Elig'!$B$3:$J$707,'HH &amp; SI'!FK$2,0),"N")</f>
        <v>Y</v>
      </c>
      <c r="FL444" s="957" t="str">
        <f>IFERROR(VLOOKUP($B444,'Historical Conc Grant Elig'!$B$3:$J$707,'HH &amp; SI'!FL$2,0),"N")</f>
        <v>Y</v>
      </c>
    </row>
    <row r="445" spans="2:168" x14ac:dyDescent="0.25">
      <c r="B445" s="634">
        <v>130240000</v>
      </c>
      <c r="C445" s="635" t="str">
        <f>VLOOKUP($B445,'Afton Update'!$A$5:$CR$582,'Afton Update'!D$589,0)</f>
        <v>Seligman Unified District</v>
      </c>
      <c r="D445" s="636">
        <f>IFERROR(VLOOKUP($B445,'Afton FY16 Final'!$A$5:$BV$587,'Afton FY16 Final'!AQ$587,0),0)</f>
        <v>11481.365611463039</v>
      </c>
      <c r="E445" s="637">
        <f>IFERROR(VLOOKUP($B445,'Afton FY16 Final'!$A$5:$BV$587,'Afton FY16 Final'!AR$587,0),0)</f>
        <v>2805.5078302891898</v>
      </c>
      <c r="F445" s="637">
        <f>IFERROR(VLOOKUP($B445,'Afton FY16 Final'!$A$5:$BV$587,'Afton FY16 Final'!AS$587,0),0)</f>
        <v>4243.8448704525872</v>
      </c>
      <c r="G445" s="637">
        <f>IFERROR(VLOOKUP($B445,'Afton FY16 Final'!$A$5:$BV$587,'Afton FY16 Final'!AT$587,0),0)</f>
        <v>3647.7631604232974</v>
      </c>
      <c r="H445" s="638">
        <f>IFERROR(VLOOKUP($B445,'Afton FY16 Final'!$A$5:$BV$587,'Afton FY16 Final'!AU$587,0),0)</f>
        <v>22178.481472628111</v>
      </c>
      <c r="I445" s="639" t="str">
        <f>VLOOKUP($B445,'Afton Update'!$A$5:$CR$582,'Afton Update'!BT$589,0)</f>
        <v>Y</v>
      </c>
      <c r="J445" s="640" t="str">
        <f>VLOOKUP($B445,'Afton Update'!$A$5:$CR$582,'Afton Update'!BU$589,0)</f>
        <v>Y</v>
      </c>
      <c r="K445" s="640" t="str">
        <f>VLOOKUP($B445,'Afton Update'!$A$5:$CR$582,'Afton Update'!BV$589,0)</f>
        <v>Y</v>
      </c>
      <c r="L445" s="641" t="str">
        <f>VLOOKUP($B445,'Afton Update'!$A$5:$CR$582,'Afton Update'!BW$589,0)</f>
        <v>Y</v>
      </c>
      <c r="N445" s="642">
        <f>VLOOKUP($B445,'Afton Update'!$A$5:$CR$582,'Afton Update'!CB$589,0)</f>
        <v>0.9</v>
      </c>
      <c r="P445" s="636">
        <f>VLOOKUP($B445,'Afton Update'!$A$5:$CR$582,'Afton Update'!AH$589,0)</f>
        <v>13975.155982096749</v>
      </c>
      <c r="Q445" s="637">
        <f>VLOOKUP($B445,'Afton Update'!$A$5:$CR$582,'Afton Update'!AI$589,0)</f>
        <v>6228.178729854495</v>
      </c>
      <c r="R445" s="637">
        <f>VLOOKUP($B445,'Afton Update'!$A$5:$CR$582,'Afton Update'!AJ$589,0)</f>
        <v>5612.2037730677348</v>
      </c>
      <c r="S445" s="637">
        <f>VLOOKUP($B445,'Afton Update'!$A$5:$CR$582,'Afton Update'!AK$589,0)</f>
        <v>4275.3578368548133</v>
      </c>
      <c r="T445" s="643">
        <f t="shared" si="1307"/>
        <v>30090.896321873792</v>
      </c>
      <c r="V445" s="636">
        <f t="shared" si="1333"/>
        <v>13784.525783735009</v>
      </c>
      <c r="W445" s="637">
        <f t="shared" si="1334"/>
        <v>6023.0452933078222</v>
      </c>
      <c r="X445" s="637">
        <f t="shared" si="1335"/>
        <v>5561.1629709537965</v>
      </c>
      <c r="Y445" s="637">
        <f t="shared" si="1336"/>
        <v>4228.2510895299047</v>
      </c>
      <c r="Z445" s="643">
        <f t="shared" si="1337"/>
        <v>29596.985137526532</v>
      </c>
      <c r="AB445" s="644">
        <f t="shared" si="1308"/>
        <v>13975.155982096749</v>
      </c>
      <c r="AC445" s="645">
        <f t="shared" si="1304"/>
        <v>10333.229050316735</v>
      </c>
      <c r="AD445" s="644">
        <f t="shared" si="1338"/>
        <v>0</v>
      </c>
      <c r="AE445" s="645">
        <f t="shared" si="1339"/>
        <v>13975.155982096749</v>
      </c>
      <c r="AF445" s="646">
        <f t="shared" si="1340"/>
        <v>-173.23256044825033</v>
      </c>
      <c r="AG445" s="647">
        <f t="shared" si="1341"/>
        <v>13801.923421648498</v>
      </c>
      <c r="AH445" s="644">
        <f t="shared" si="1309"/>
        <v>0</v>
      </c>
      <c r="AI445" s="645">
        <f t="shared" si="1310"/>
        <v>13801.923421648498</v>
      </c>
      <c r="AJ445" s="646">
        <f t="shared" si="1342"/>
        <v>-17.3865539318112</v>
      </c>
      <c r="AK445" s="647">
        <f t="shared" si="1311"/>
        <v>13784.536867716688</v>
      </c>
      <c r="AL445" s="644">
        <f t="shared" si="1343"/>
        <v>0</v>
      </c>
      <c r="AM445" s="645">
        <f t="shared" si="1344"/>
        <v>13784.536867716688</v>
      </c>
      <c r="AN445" s="646">
        <f t="shared" si="1345"/>
        <v>-1.1083981679107945E-2</v>
      </c>
      <c r="AO445" s="647">
        <f t="shared" si="1312"/>
        <v>13784.525783735009</v>
      </c>
      <c r="AP445" s="644">
        <f t="shared" si="1346"/>
        <v>0</v>
      </c>
      <c r="AQ445" s="645">
        <f t="shared" si="1347"/>
        <v>13784.525783735009</v>
      </c>
      <c r="AR445" s="646">
        <f t="shared" si="1348"/>
        <v>0</v>
      </c>
      <c r="AS445" s="647">
        <f t="shared" si="1313"/>
        <v>13784.525783735009</v>
      </c>
      <c r="AT445" s="644">
        <f t="shared" si="1349"/>
        <v>0</v>
      </c>
      <c r="AU445" s="645">
        <f t="shared" si="1350"/>
        <v>13784.525783735009</v>
      </c>
      <c r="AV445" s="646">
        <f t="shared" si="1351"/>
        <v>0</v>
      </c>
      <c r="AW445" s="647">
        <f t="shared" si="1314"/>
        <v>13784.525783735009</v>
      </c>
      <c r="AY445" s="644">
        <f t="shared" si="1352"/>
        <v>6228.178729854495</v>
      </c>
      <c r="AZ445" s="645">
        <f t="shared" si="1282"/>
        <v>2524.9570472602709</v>
      </c>
      <c r="BA445" s="644">
        <f t="shared" si="1353"/>
        <v>0</v>
      </c>
      <c r="BB445" s="645">
        <f t="shared" si="1354"/>
        <v>6228.178729854495</v>
      </c>
      <c r="BC445" s="646">
        <f t="shared" si="1355"/>
        <v>-44.788648327277876</v>
      </c>
      <c r="BD445" s="647">
        <f t="shared" si="1356"/>
        <v>6183.3900815272173</v>
      </c>
      <c r="BE445" s="644">
        <f t="shared" si="1315"/>
        <v>0</v>
      </c>
      <c r="BF445" s="645">
        <f t="shared" si="1316"/>
        <v>6183.3900815272173</v>
      </c>
      <c r="BG445" s="646">
        <f t="shared" si="1357"/>
        <v>-147.28331264260271</v>
      </c>
      <c r="BH445" s="647">
        <f t="shared" si="1317"/>
        <v>6036.1067688846142</v>
      </c>
      <c r="BI445" s="644">
        <f t="shared" si="1358"/>
        <v>0</v>
      </c>
      <c r="BJ445" s="645">
        <f t="shared" si="1359"/>
        <v>6036.1067688846142</v>
      </c>
      <c r="BK445" s="646">
        <f t="shared" si="1360"/>
        <v>-12.785891849021493</v>
      </c>
      <c r="BL445" s="647">
        <f t="shared" si="1318"/>
        <v>6023.3208770355923</v>
      </c>
      <c r="BM445" s="644">
        <f t="shared" si="1361"/>
        <v>0</v>
      </c>
      <c r="BN445" s="645">
        <f t="shared" si="1362"/>
        <v>6023.3208770355923</v>
      </c>
      <c r="BO445" s="646">
        <f t="shared" si="1363"/>
        <v>-0.2755837277701586</v>
      </c>
      <c r="BP445" s="647">
        <f t="shared" si="1319"/>
        <v>6023.0452933078222</v>
      </c>
      <c r="BQ445" s="644">
        <f t="shared" si="1364"/>
        <v>0</v>
      </c>
      <c r="BR445" s="645">
        <f t="shared" si="1365"/>
        <v>6023.0452933078222</v>
      </c>
      <c r="BS445" s="646">
        <f t="shared" si="1366"/>
        <v>0</v>
      </c>
      <c r="BT445" s="647">
        <f t="shared" si="1320"/>
        <v>6023.0452933078222</v>
      </c>
      <c r="BU445" s="662">
        <f>VLOOKUP(B445,'Afton Update'!$A$5:$AR$582,'Afton Update'!$AO$589,0)-BT445</f>
        <v>0</v>
      </c>
      <c r="BV445" s="644">
        <f t="shared" si="1367"/>
        <v>5612.2037730677348</v>
      </c>
      <c r="BW445" s="645">
        <f t="shared" si="1305"/>
        <v>3819.4603834073287</v>
      </c>
      <c r="BX445" s="644">
        <f t="shared" si="1368"/>
        <v>0</v>
      </c>
      <c r="BY445" s="645">
        <f t="shared" si="1369"/>
        <v>5612.2037730677348</v>
      </c>
      <c r="BZ445" s="646">
        <f t="shared" si="1370"/>
        <v>-49.258909199054791</v>
      </c>
      <c r="CA445" s="647">
        <f t="shared" si="1371"/>
        <v>5562.9448638686799</v>
      </c>
      <c r="CB445" s="644">
        <f t="shared" si="1321"/>
        <v>0</v>
      </c>
      <c r="CC445" s="645">
        <f t="shared" si="1322"/>
        <v>5562.9448638686799</v>
      </c>
      <c r="CD445" s="646">
        <f t="shared" si="1372"/>
        <v>-1.7818929148832983</v>
      </c>
      <c r="CE445" s="647">
        <f t="shared" si="1323"/>
        <v>5561.1629709537965</v>
      </c>
      <c r="CF445" s="644">
        <f t="shared" si="1373"/>
        <v>0</v>
      </c>
      <c r="CG445" s="645">
        <f t="shared" si="1374"/>
        <v>5561.1629709537965</v>
      </c>
      <c r="CH445" s="646">
        <f t="shared" si="1375"/>
        <v>0</v>
      </c>
      <c r="CI445" s="647">
        <f t="shared" si="1324"/>
        <v>5561.1629709537965</v>
      </c>
      <c r="CJ445" s="644">
        <f t="shared" si="1376"/>
        <v>0</v>
      </c>
      <c r="CK445" s="645">
        <f t="shared" si="1377"/>
        <v>5561.1629709537965</v>
      </c>
      <c r="CL445" s="646">
        <f t="shared" si="1378"/>
        <v>0</v>
      </c>
      <c r="CM445" s="647">
        <f t="shared" si="1325"/>
        <v>5561.1629709537965</v>
      </c>
      <c r="CN445" s="644">
        <f t="shared" si="1379"/>
        <v>0</v>
      </c>
      <c r="CO445" s="645">
        <f t="shared" si="1380"/>
        <v>5561.1629709537965</v>
      </c>
      <c r="CP445" s="646">
        <f t="shared" si="1381"/>
        <v>0</v>
      </c>
      <c r="CQ445" s="647">
        <f t="shared" si="1326"/>
        <v>5561.1629709537965</v>
      </c>
      <c r="CS445" s="644">
        <f t="shared" si="1382"/>
        <v>4275.3578368548133</v>
      </c>
      <c r="CT445" s="645">
        <f t="shared" si="1306"/>
        <v>3282.9868443809678</v>
      </c>
      <c r="CU445" s="644">
        <f t="shared" si="1383"/>
        <v>0</v>
      </c>
      <c r="CV445" s="645">
        <f t="shared" si="1384"/>
        <v>4275.3578368548133</v>
      </c>
      <c r="CW445" s="646">
        <f t="shared" si="1385"/>
        <v>-43.782080348060873</v>
      </c>
      <c r="CX445" s="647">
        <f t="shared" si="1386"/>
        <v>4231.5757565067524</v>
      </c>
      <c r="CY445" s="644">
        <f t="shared" si="1327"/>
        <v>0</v>
      </c>
      <c r="CZ445" s="645">
        <f t="shared" si="1328"/>
        <v>4231.5757565067524</v>
      </c>
      <c r="DA445" s="646">
        <f t="shared" si="1387"/>
        <v>-3.3218023360716851</v>
      </c>
      <c r="DB445" s="647">
        <f t="shared" si="1329"/>
        <v>4228.253954170681</v>
      </c>
      <c r="DC445" s="644">
        <f t="shared" si="1388"/>
        <v>0</v>
      </c>
      <c r="DD445" s="645">
        <f t="shared" si="1389"/>
        <v>4228.253954170681</v>
      </c>
      <c r="DE445" s="646">
        <f t="shared" si="1390"/>
        <v>-2.8646407765061232E-3</v>
      </c>
      <c r="DF445" s="647">
        <f t="shared" si="1330"/>
        <v>4228.2510895299047</v>
      </c>
      <c r="DG445" s="644">
        <f t="shared" si="1391"/>
        <v>0</v>
      </c>
      <c r="DH445" s="645">
        <f t="shared" si="1392"/>
        <v>4228.2510895299047</v>
      </c>
      <c r="DI445" s="646">
        <f t="shared" si="1393"/>
        <v>0</v>
      </c>
      <c r="DJ445" s="647">
        <f t="shared" si="1331"/>
        <v>4228.2510895299047</v>
      </c>
      <c r="DK445" s="644">
        <f t="shared" si="1394"/>
        <v>0</v>
      </c>
      <c r="DL445" s="645">
        <f t="shared" si="1395"/>
        <v>4228.2510895299047</v>
      </c>
      <c r="DM445" s="646">
        <f t="shared" si="1396"/>
        <v>0</v>
      </c>
      <c r="DN445" s="647">
        <f t="shared" si="1332"/>
        <v>4228.2510895299047</v>
      </c>
      <c r="DR445" s="827">
        <f t="shared" si="1283"/>
        <v>29596.985137526532</v>
      </c>
      <c r="DV445" s="828">
        <f>IFERROR(VLOOKUP($B445,'Afton FY16 Final'!$A$5:$BV$587,'Afton FY16 Final'!$BV$587,0),0)</f>
        <v>21741.787176105012</v>
      </c>
      <c r="DX445" s="636">
        <f t="shared" si="1274"/>
        <v>29596.985137526532</v>
      </c>
      <c r="DY445" s="637">
        <f t="shared" si="1275"/>
        <v>7855.1979614215197</v>
      </c>
      <c r="DZ445" s="637">
        <f t="shared" si="1276"/>
        <v>21741.787176105012</v>
      </c>
      <c r="EA445" s="643">
        <f t="shared" si="1277"/>
        <v>28022.75723348957</v>
      </c>
      <c r="EB445" s="637">
        <f t="shared" si="1284"/>
        <v>0</v>
      </c>
      <c r="EC445" s="637">
        <f t="shared" si="1285"/>
        <v>28022.75723348957</v>
      </c>
      <c r="ED445" s="637">
        <f t="shared" si="1286"/>
        <v>27939.195044594417</v>
      </c>
      <c r="EE445" s="643">
        <f t="shared" si="1287"/>
        <v>27939.195044594417</v>
      </c>
      <c r="EF445" s="637">
        <f t="shared" si="1288"/>
        <v>0</v>
      </c>
      <c r="EG445" s="637">
        <f t="shared" si="1289"/>
        <v>27939.195044594417</v>
      </c>
      <c r="EH445" s="637">
        <f t="shared" si="1290"/>
        <v>27939.166220817435</v>
      </c>
      <c r="EI445" s="643">
        <f t="shared" si="1291"/>
        <v>27939.166220817435</v>
      </c>
      <c r="EJ445" s="637">
        <f t="shared" si="1292"/>
        <v>0</v>
      </c>
      <c r="EK445" s="637">
        <f t="shared" si="1293"/>
        <v>27939.166220817435</v>
      </c>
      <c r="EL445" s="637">
        <f t="shared" si="1294"/>
        <v>27939.166220817395</v>
      </c>
      <c r="EM445" s="643">
        <f t="shared" si="1295"/>
        <v>27939.166220817395</v>
      </c>
      <c r="EN445" s="637">
        <f t="shared" si="1296"/>
        <v>0</v>
      </c>
      <c r="EO445" s="637">
        <f t="shared" si="1297"/>
        <v>27939.166220817395</v>
      </c>
      <c r="EP445" s="637">
        <f t="shared" si="1298"/>
        <v>27939.166220817435</v>
      </c>
      <c r="EQ445" s="643">
        <f t="shared" si="1299"/>
        <v>27939.166220817435</v>
      </c>
      <c r="ER445" s="637">
        <f t="shared" si="1300"/>
        <v>0</v>
      </c>
      <c r="ES445" s="637">
        <f t="shared" si="1301"/>
        <v>27939.166220817435</v>
      </c>
      <c r="ET445" s="637">
        <f t="shared" si="1302"/>
        <v>27939.166220817391</v>
      </c>
      <c r="EU445" s="643">
        <f t="shared" si="1278"/>
        <v>27939.166220817391</v>
      </c>
      <c r="EV445" s="643">
        <f t="shared" si="1279"/>
        <v>0</v>
      </c>
      <c r="EX445" s="829">
        <f t="shared" si="1280"/>
        <v>1657.8189167091405</v>
      </c>
      <c r="EY445" s="638">
        <f t="shared" si="1281"/>
        <v>27939.166220817391</v>
      </c>
      <c r="FC445" s="830" t="str">
        <f t="shared" si="1303"/>
        <v>N</v>
      </c>
      <c r="FE445" s="830" t="str">
        <f>IFERROR(VLOOKUP($B445,'Historical Conc Grant Elig'!$B$3:$J$707,'HH &amp; SI'!FE$2,0),"N")</f>
        <v>Y</v>
      </c>
      <c r="FF445" s="830" t="str">
        <f>IFERROR(VLOOKUP($B445,'Historical Conc Grant Elig'!$B$3:$J$707,'HH &amp; SI'!FF$2,0),"N")</f>
        <v>Y</v>
      </c>
      <c r="FG445" s="830" t="str">
        <f>IFERROR(VLOOKUP($B445,'Historical Conc Grant Elig'!$B$3:$J$707,'HH &amp; SI'!FG$2,0),"N")</f>
        <v>Y</v>
      </c>
      <c r="FH445" s="830" t="str">
        <f>IFERROR(VLOOKUP($B445,'Historical Conc Grant Elig'!$B$3:$J$707,'HH &amp; SI'!FH$2,0),"N")</f>
        <v>N</v>
      </c>
      <c r="FI445" s="830" t="str">
        <f>IFERROR(VLOOKUP($B445,'Historical Conc Grant Elig'!$B$3:$J$707,'HH &amp; SI'!FI$2,0),"N")</f>
        <v>N</v>
      </c>
      <c r="FJ445" s="830" t="str">
        <f>IFERROR(VLOOKUP($B445,'Historical Conc Grant Elig'!$B$3:$J$707,'HH &amp; SI'!FJ$2,0),"N")</f>
        <v>N</v>
      </c>
      <c r="FK445" s="830" t="str">
        <f>IFERROR(VLOOKUP($B445,'Historical Conc Grant Elig'!$B$3:$J$707,'HH &amp; SI'!FK$2,0),"N")</f>
        <v>N</v>
      </c>
      <c r="FL445" s="957" t="str">
        <f>IFERROR(VLOOKUP($B445,'Historical Conc Grant Elig'!$B$3:$J$707,'HH &amp; SI'!FL$2,0),"N")</f>
        <v>Y</v>
      </c>
    </row>
    <row r="446" spans="2:168" x14ac:dyDescent="0.25">
      <c r="B446" s="634">
        <v>130243000</v>
      </c>
      <c r="C446" s="635" t="str">
        <f>VLOOKUP($B446,'Afton Update'!$A$5:$CR$582,'Afton Update'!D$589,0)</f>
        <v>Mayer Unified School District</v>
      </c>
      <c r="D446" s="636">
        <f>IFERROR(VLOOKUP($B446,'Afton FY16 Final'!$A$5:$BV$587,'Afton FY16 Final'!AQ$587,0),0)</f>
        <v>96744.849115890625</v>
      </c>
      <c r="E446" s="637">
        <f>IFERROR(VLOOKUP($B446,'Afton FY16 Final'!$A$5:$BV$587,'Afton FY16 Final'!AR$587,0),0)</f>
        <v>22943.754858341894</v>
      </c>
      <c r="F446" s="637">
        <f>IFERROR(VLOOKUP($B446,'Afton FY16 Final'!$A$5:$BV$587,'Afton FY16 Final'!AS$587,0),0)</f>
        <v>47589.288178287519</v>
      </c>
      <c r="G446" s="637">
        <f>IFERROR(VLOOKUP($B446,'Afton FY16 Final'!$A$5:$BV$587,'Afton FY16 Final'!AT$587,0),0)</f>
        <v>36375.16467937886</v>
      </c>
      <c r="H446" s="638">
        <f>IFERROR(VLOOKUP($B446,'Afton FY16 Final'!$A$5:$BV$587,'Afton FY16 Final'!AU$587,0),0)</f>
        <v>203653.0568318989</v>
      </c>
      <c r="I446" s="639" t="str">
        <f>VLOOKUP($B446,'Afton Update'!$A$5:$CR$582,'Afton Update'!BT$589,0)</f>
        <v>Y</v>
      </c>
      <c r="J446" s="640" t="str">
        <f>VLOOKUP($B446,'Afton Update'!$A$5:$CR$582,'Afton Update'!BU$589,0)</f>
        <v>Y</v>
      </c>
      <c r="K446" s="640" t="str">
        <f>VLOOKUP($B446,'Afton Update'!$A$5:$CR$582,'Afton Update'!BV$589,0)</f>
        <v>Y</v>
      </c>
      <c r="L446" s="641" t="str">
        <f>VLOOKUP($B446,'Afton Update'!$A$5:$CR$582,'Afton Update'!BW$589,0)</f>
        <v>Y</v>
      </c>
      <c r="N446" s="642">
        <f>VLOOKUP($B446,'Afton Update'!$A$5:$CR$582,'Afton Update'!CB$589,0)</f>
        <v>0.9</v>
      </c>
      <c r="P446" s="636">
        <f>VLOOKUP($B446,'Afton Update'!$A$5:$CR$582,'Afton Update'!AH$589,0)</f>
        <v>91809.34949199736</v>
      </c>
      <c r="Q446" s="637">
        <f>VLOOKUP($B446,'Afton Update'!$A$5:$CR$582,'Afton Update'!AI$589,0)</f>
        <v>24654.559909998836</v>
      </c>
      <c r="R446" s="637">
        <f>VLOOKUP($B446,'Afton Update'!$A$5:$CR$582,'Afton Update'!AJ$589,0)</f>
        <v>45089.575946265744</v>
      </c>
      <c r="S446" s="637">
        <f>VLOOKUP($B446,'Afton Update'!$A$5:$CR$582,'Afton Update'!AK$589,0)</f>
        <v>36401.265366991858</v>
      </c>
      <c r="T446" s="643">
        <f t="shared" si="1307"/>
        <v>197954.75071525382</v>
      </c>
      <c r="V446" s="636">
        <f t="shared" si="1333"/>
        <v>90557.010374813777</v>
      </c>
      <c r="W446" s="637">
        <f t="shared" si="1334"/>
        <v>23842.528845983106</v>
      </c>
      <c r="X446" s="637">
        <f t="shared" si="1335"/>
        <v>44679.503857593751</v>
      </c>
      <c r="Y446" s="637">
        <f t="shared" si="1336"/>
        <v>36000.188948272415</v>
      </c>
      <c r="Z446" s="643">
        <f t="shared" si="1337"/>
        <v>195079.23202666306</v>
      </c>
      <c r="AB446" s="644">
        <f t="shared" si="1308"/>
        <v>91809.34949199736</v>
      </c>
      <c r="AC446" s="645">
        <f t="shared" si="1304"/>
        <v>87070.364204301572</v>
      </c>
      <c r="AD446" s="644">
        <f t="shared" si="1338"/>
        <v>0</v>
      </c>
      <c r="AE446" s="645">
        <f t="shared" si="1339"/>
        <v>91809.34949199736</v>
      </c>
      <c r="AF446" s="646">
        <f t="shared" si="1340"/>
        <v>-1138.0458798428938</v>
      </c>
      <c r="AG446" s="647">
        <f t="shared" si="1341"/>
        <v>90671.303612154472</v>
      </c>
      <c r="AH446" s="644">
        <f t="shared" si="1309"/>
        <v>0</v>
      </c>
      <c r="AI446" s="645">
        <f t="shared" si="1310"/>
        <v>90671.303612154472</v>
      </c>
      <c r="AJ446" s="646">
        <f t="shared" si="1342"/>
        <v>-114.22042147021703</v>
      </c>
      <c r="AK446" s="647">
        <f t="shared" si="1311"/>
        <v>90557.08319068425</v>
      </c>
      <c r="AL446" s="644">
        <f t="shared" si="1343"/>
        <v>0</v>
      </c>
      <c r="AM446" s="645">
        <f t="shared" si="1344"/>
        <v>90557.08319068425</v>
      </c>
      <c r="AN446" s="646">
        <f t="shared" si="1345"/>
        <v>-7.2815870466401797E-2</v>
      </c>
      <c r="AO446" s="647">
        <f t="shared" si="1312"/>
        <v>90557.010374813777</v>
      </c>
      <c r="AP446" s="644">
        <f t="shared" si="1346"/>
        <v>0</v>
      </c>
      <c r="AQ446" s="645">
        <f t="shared" si="1347"/>
        <v>90557.010374813777</v>
      </c>
      <c r="AR446" s="646">
        <f t="shared" si="1348"/>
        <v>0</v>
      </c>
      <c r="AS446" s="647">
        <f t="shared" si="1313"/>
        <v>90557.010374813777</v>
      </c>
      <c r="AT446" s="644">
        <f t="shared" si="1349"/>
        <v>0</v>
      </c>
      <c r="AU446" s="645">
        <f t="shared" si="1350"/>
        <v>90557.010374813777</v>
      </c>
      <c r="AV446" s="646">
        <f t="shared" si="1351"/>
        <v>0</v>
      </c>
      <c r="AW446" s="647">
        <f t="shared" si="1314"/>
        <v>90557.010374813777</v>
      </c>
      <c r="AY446" s="644">
        <f t="shared" si="1352"/>
        <v>24654.559909998836</v>
      </c>
      <c r="AZ446" s="645">
        <f t="shared" si="1282"/>
        <v>20649.379372507705</v>
      </c>
      <c r="BA446" s="644">
        <f t="shared" si="1353"/>
        <v>0</v>
      </c>
      <c r="BB446" s="645">
        <f t="shared" si="1354"/>
        <v>24654.559909998836</v>
      </c>
      <c r="BC446" s="646">
        <f t="shared" si="1355"/>
        <v>-177.29812540214937</v>
      </c>
      <c r="BD446" s="647">
        <f t="shared" si="1356"/>
        <v>24477.261784596685</v>
      </c>
      <c r="BE446" s="644">
        <f t="shared" si="1315"/>
        <v>0</v>
      </c>
      <c r="BF446" s="645">
        <f t="shared" si="1316"/>
        <v>24477.261784596685</v>
      </c>
      <c r="BG446" s="646">
        <f t="shared" si="1357"/>
        <v>-583.02842817983333</v>
      </c>
      <c r="BH446" s="647">
        <f t="shared" si="1317"/>
        <v>23894.233356416851</v>
      </c>
      <c r="BI446" s="644">
        <f t="shared" si="1358"/>
        <v>0</v>
      </c>
      <c r="BJ446" s="645">
        <f t="shared" si="1359"/>
        <v>23894.233356416851</v>
      </c>
      <c r="BK446" s="646">
        <f t="shared" si="1360"/>
        <v>-50.613598335484937</v>
      </c>
      <c r="BL446" s="647">
        <f t="shared" si="1318"/>
        <v>23843.619758081368</v>
      </c>
      <c r="BM446" s="644">
        <f t="shared" si="1361"/>
        <v>0</v>
      </c>
      <c r="BN446" s="645">
        <f t="shared" si="1362"/>
        <v>23843.619758081368</v>
      </c>
      <c r="BO446" s="646">
        <f t="shared" si="1363"/>
        <v>-1.0909120982610143</v>
      </c>
      <c r="BP446" s="647">
        <f t="shared" si="1319"/>
        <v>23842.528845983106</v>
      </c>
      <c r="BQ446" s="644">
        <f t="shared" si="1364"/>
        <v>0</v>
      </c>
      <c r="BR446" s="645">
        <f t="shared" si="1365"/>
        <v>23842.528845983106</v>
      </c>
      <c r="BS446" s="646">
        <f t="shared" si="1366"/>
        <v>0</v>
      </c>
      <c r="BT446" s="647">
        <f t="shared" si="1320"/>
        <v>23842.528845983106</v>
      </c>
      <c r="BU446" s="662">
        <f>VLOOKUP(B446,'Afton Update'!$A$5:$AR$582,'Afton Update'!$AO$589,0)-BT446</f>
        <v>0</v>
      </c>
      <c r="BV446" s="644">
        <f t="shared" si="1367"/>
        <v>45089.575946265744</v>
      </c>
      <c r="BW446" s="645">
        <f t="shared" si="1305"/>
        <v>42830.359360458766</v>
      </c>
      <c r="BX446" s="644">
        <f t="shared" si="1368"/>
        <v>0</v>
      </c>
      <c r="BY446" s="645">
        <f t="shared" si="1369"/>
        <v>45089.575946265744</v>
      </c>
      <c r="BZ446" s="646">
        <f t="shared" si="1370"/>
        <v>-395.75600195053403</v>
      </c>
      <c r="CA446" s="647">
        <f t="shared" si="1371"/>
        <v>44693.819944315212</v>
      </c>
      <c r="CB446" s="644">
        <f t="shared" si="1321"/>
        <v>0</v>
      </c>
      <c r="CC446" s="645">
        <f t="shared" si="1322"/>
        <v>44693.819944315212</v>
      </c>
      <c r="CD446" s="646">
        <f t="shared" si="1372"/>
        <v>-14.31608672146011</v>
      </c>
      <c r="CE446" s="647">
        <f t="shared" si="1323"/>
        <v>44679.503857593751</v>
      </c>
      <c r="CF446" s="644">
        <f t="shared" si="1373"/>
        <v>0</v>
      </c>
      <c r="CG446" s="645">
        <f t="shared" si="1374"/>
        <v>44679.503857593751</v>
      </c>
      <c r="CH446" s="646">
        <f t="shared" si="1375"/>
        <v>0</v>
      </c>
      <c r="CI446" s="647">
        <f t="shared" si="1324"/>
        <v>44679.503857593751</v>
      </c>
      <c r="CJ446" s="644">
        <f t="shared" si="1376"/>
        <v>0</v>
      </c>
      <c r="CK446" s="645">
        <f t="shared" si="1377"/>
        <v>44679.503857593751</v>
      </c>
      <c r="CL446" s="646">
        <f t="shared" si="1378"/>
        <v>0</v>
      </c>
      <c r="CM446" s="647">
        <f t="shared" si="1325"/>
        <v>44679.503857593751</v>
      </c>
      <c r="CN446" s="644">
        <f t="shared" si="1379"/>
        <v>0</v>
      </c>
      <c r="CO446" s="645">
        <f t="shared" si="1380"/>
        <v>44679.503857593751</v>
      </c>
      <c r="CP446" s="646">
        <f t="shared" si="1381"/>
        <v>0</v>
      </c>
      <c r="CQ446" s="647">
        <f t="shared" si="1326"/>
        <v>44679.503857593751</v>
      </c>
      <c r="CS446" s="644">
        <f t="shared" si="1382"/>
        <v>36401.265366991858</v>
      </c>
      <c r="CT446" s="645">
        <f t="shared" si="1306"/>
        <v>32737.648211440974</v>
      </c>
      <c r="CU446" s="644">
        <f t="shared" si="1383"/>
        <v>0</v>
      </c>
      <c r="CV446" s="645">
        <f t="shared" si="1384"/>
        <v>36401.265366991858</v>
      </c>
      <c r="CW446" s="646">
        <f t="shared" si="1385"/>
        <v>-372.7695285129987</v>
      </c>
      <c r="CX446" s="647">
        <f t="shared" si="1386"/>
        <v>36028.495838478862</v>
      </c>
      <c r="CY446" s="644">
        <f t="shared" si="1327"/>
        <v>0</v>
      </c>
      <c r="CZ446" s="645">
        <f t="shared" si="1328"/>
        <v>36028.495838478862</v>
      </c>
      <c r="DA446" s="646">
        <f t="shared" si="1387"/>
        <v>-28.282500072787503</v>
      </c>
      <c r="DB446" s="647">
        <f t="shared" si="1329"/>
        <v>36000.213338406073</v>
      </c>
      <c r="DC446" s="644">
        <f t="shared" si="1388"/>
        <v>0</v>
      </c>
      <c r="DD446" s="645">
        <f t="shared" si="1389"/>
        <v>36000.213338406073</v>
      </c>
      <c r="DE446" s="646">
        <f t="shared" si="1390"/>
        <v>-2.4390133660347955E-2</v>
      </c>
      <c r="DF446" s="647">
        <f t="shared" si="1330"/>
        <v>36000.188948272415</v>
      </c>
      <c r="DG446" s="644">
        <f t="shared" si="1391"/>
        <v>0</v>
      </c>
      <c r="DH446" s="645">
        <f t="shared" si="1392"/>
        <v>36000.188948272415</v>
      </c>
      <c r="DI446" s="646">
        <f t="shared" si="1393"/>
        <v>0</v>
      </c>
      <c r="DJ446" s="647">
        <f t="shared" si="1331"/>
        <v>36000.188948272415</v>
      </c>
      <c r="DK446" s="644">
        <f t="shared" si="1394"/>
        <v>0</v>
      </c>
      <c r="DL446" s="645">
        <f t="shared" si="1395"/>
        <v>36000.188948272415</v>
      </c>
      <c r="DM446" s="646">
        <f t="shared" si="1396"/>
        <v>0</v>
      </c>
      <c r="DN446" s="647">
        <f t="shared" si="1332"/>
        <v>36000.188948272415</v>
      </c>
      <c r="DR446" s="827">
        <f t="shared" si="1283"/>
        <v>195079.23202666306</v>
      </c>
      <c r="DV446" s="828">
        <f>IFERROR(VLOOKUP($B446,'Afton FY16 Final'!$A$5:$BV$587,'Afton FY16 Final'!$BV$587,0),0)</f>
        <v>180809.37069235288</v>
      </c>
      <c r="DX446" s="636">
        <f t="shared" si="1274"/>
        <v>195079.23202666306</v>
      </c>
      <c r="DY446" s="637">
        <f t="shared" si="1275"/>
        <v>14269.861334310175</v>
      </c>
      <c r="DZ446" s="637">
        <f t="shared" si="1276"/>
        <v>180809.37069235288</v>
      </c>
      <c r="EA446" s="643">
        <f t="shared" si="1277"/>
        <v>184703.20321401558</v>
      </c>
      <c r="EB446" s="637">
        <f t="shared" si="1284"/>
        <v>0</v>
      </c>
      <c r="EC446" s="637">
        <f t="shared" si="1285"/>
        <v>184703.20321401558</v>
      </c>
      <c r="ED446" s="637">
        <f t="shared" si="1286"/>
        <v>184152.42929023964</v>
      </c>
      <c r="EE446" s="643">
        <f t="shared" si="1287"/>
        <v>184152.42929023964</v>
      </c>
      <c r="EF446" s="637">
        <f t="shared" si="1288"/>
        <v>0</v>
      </c>
      <c r="EG446" s="637">
        <f t="shared" si="1289"/>
        <v>184152.42929023964</v>
      </c>
      <c r="EH446" s="637">
        <f t="shared" si="1290"/>
        <v>184152.23930736634</v>
      </c>
      <c r="EI446" s="643">
        <f t="shared" si="1291"/>
        <v>184152.23930736634</v>
      </c>
      <c r="EJ446" s="637">
        <f t="shared" si="1292"/>
        <v>0</v>
      </c>
      <c r="EK446" s="637">
        <f t="shared" si="1293"/>
        <v>184152.23930736634</v>
      </c>
      <c r="EL446" s="637">
        <f t="shared" si="1294"/>
        <v>184152.23930736608</v>
      </c>
      <c r="EM446" s="643">
        <f t="shared" si="1295"/>
        <v>184152.23930736608</v>
      </c>
      <c r="EN446" s="637">
        <f t="shared" si="1296"/>
        <v>0</v>
      </c>
      <c r="EO446" s="637">
        <f t="shared" si="1297"/>
        <v>184152.23930736608</v>
      </c>
      <c r="EP446" s="637">
        <f t="shared" si="1298"/>
        <v>184152.23930736637</v>
      </c>
      <c r="EQ446" s="643">
        <f t="shared" si="1299"/>
        <v>184152.23930736637</v>
      </c>
      <c r="ER446" s="637">
        <f t="shared" si="1300"/>
        <v>0</v>
      </c>
      <c r="ES446" s="637">
        <f t="shared" si="1301"/>
        <v>184152.23930736637</v>
      </c>
      <c r="ET446" s="637">
        <f t="shared" si="1302"/>
        <v>184152.23930736608</v>
      </c>
      <c r="EU446" s="643">
        <f t="shared" si="1278"/>
        <v>184152.23930736608</v>
      </c>
      <c r="EV446" s="643">
        <f t="shared" si="1279"/>
        <v>0</v>
      </c>
      <c r="EX446" s="829">
        <f t="shared" si="1280"/>
        <v>10926.992719296977</v>
      </c>
      <c r="EY446" s="638">
        <f t="shared" si="1281"/>
        <v>184152.23930736608</v>
      </c>
      <c r="FC446" s="830" t="str">
        <f t="shared" si="1303"/>
        <v>Y</v>
      </c>
      <c r="FE446" s="830" t="str">
        <f>IFERROR(VLOOKUP($B446,'Historical Conc Grant Elig'!$B$3:$J$707,'HH &amp; SI'!FE$2,0),"N")</f>
        <v>Y</v>
      </c>
      <c r="FF446" s="830" t="str">
        <f>IFERROR(VLOOKUP($B446,'Historical Conc Grant Elig'!$B$3:$J$707,'HH &amp; SI'!FF$2,0),"N")</f>
        <v>Y</v>
      </c>
      <c r="FG446" s="830" t="str">
        <f>IFERROR(VLOOKUP($B446,'Historical Conc Grant Elig'!$B$3:$J$707,'HH &amp; SI'!FG$2,0),"N")</f>
        <v>Y</v>
      </c>
      <c r="FH446" s="830" t="str">
        <f>IFERROR(VLOOKUP($B446,'Historical Conc Grant Elig'!$B$3:$J$707,'HH &amp; SI'!FH$2,0),"N")</f>
        <v>Y</v>
      </c>
      <c r="FI446" s="830" t="str">
        <f>IFERROR(VLOOKUP($B446,'Historical Conc Grant Elig'!$B$3:$J$707,'HH &amp; SI'!FI$2,0),"N")</f>
        <v>Y</v>
      </c>
      <c r="FJ446" s="830" t="str">
        <f>IFERROR(VLOOKUP($B446,'Historical Conc Grant Elig'!$B$3:$J$707,'HH &amp; SI'!FJ$2,0),"N")</f>
        <v>Y</v>
      </c>
      <c r="FK446" s="830" t="str">
        <f>IFERROR(VLOOKUP($B446,'Historical Conc Grant Elig'!$B$3:$J$707,'HH &amp; SI'!FK$2,0),"N")</f>
        <v>Y</v>
      </c>
      <c r="FL446" s="957" t="str">
        <f>IFERROR(VLOOKUP($B446,'Historical Conc Grant Elig'!$B$3:$J$707,'HH &amp; SI'!FL$2,0),"N")</f>
        <v>Y</v>
      </c>
    </row>
    <row r="447" spans="2:168" x14ac:dyDescent="0.25">
      <c r="B447" s="634">
        <v>130251000</v>
      </c>
      <c r="C447" s="635" t="str">
        <f>VLOOKUP($B447,'Afton Update'!$A$5:$CR$582,'Afton Update'!D$589,0)</f>
        <v>Chino Valley Unified District</v>
      </c>
      <c r="D447" s="636">
        <f>IFERROR(VLOOKUP($B447,'Afton FY16 Final'!$A$5:$BV$587,'Afton FY16 Final'!AQ$587,0),0)</f>
        <v>374879.72302554414</v>
      </c>
      <c r="E447" s="637">
        <f>IFERROR(VLOOKUP($B447,'Afton FY16 Final'!$A$5:$BV$587,'Afton FY16 Final'!AR$587,0),0)</f>
        <v>87741.902343221009</v>
      </c>
      <c r="F447" s="637">
        <f>IFERROR(VLOOKUP($B447,'Afton FY16 Final'!$A$5:$BV$587,'Afton FY16 Final'!AS$587,0),0)</f>
        <v>151691.73542258676</v>
      </c>
      <c r="G447" s="637">
        <f>IFERROR(VLOOKUP($B447,'Afton FY16 Final'!$A$5:$BV$587,'Afton FY16 Final'!AT$587,0),0)</f>
        <v>105083.33637922534</v>
      </c>
      <c r="H447" s="638">
        <f>IFERROR(VLOOKUP($B447,'Afton FY16 Final'!$A$5:$BV$587,'Afton FY16 Final'!AU$587,0),0)</f>
        <v>719396.69717057724</v>
      </c>
      <c r="I447" s="639" t="str">
        <f>VLOOKUP($B447,'Afton Update'!$A$5:$CR$582,'Afton Update'!BT$589,0)</f>
        <v>Y</v>
      </c>
      <c r="J447" s="640" t="str">
        <f>VLOOKUP($B447,'Afton Update'!$A$5:$CR$582,'Afton Update'!BU$589,0)</f>
        <v>Y</v>
      </c>
      <c r="K447" s="640" t="str">
        <f>VLOOKUP($B447,'Afton Update'!$A$5:$CR$582,'Afton Update'!BV$589,0)</f>
        <v>Y</v>
      </c>
      <c r="L447" s="641" t="str">
        <f>VLOOKUP($B447,'Afton Update'!$A$5:$CR$582,'Afton Update'!BW$589,0)</f>
        <v>Y</v>
      </c>
      <c r="N447" s="642">
        <f>VLOOKUP($B447,'Afton Update'!$A$5:$CR$582,'Afton Update'!CB$589,0)</f>
        <v>0.9</v>
      </c>
      <c r="P447" s="636">
        <f>VLOOKUP($B447,'Afton Update'!$A$5:$CR$582,'Afton Update'!AH$589,0)</f>
        <v>376701.16013192985</v>
      </c>
      <c r="Q447" s="637">
        <f>VLOOKUP($B447,'Afton Update'!$A$5:$CR$582,'Afton Update'!AI$589,0)</f>
        <v>92632.830500528784</v>
      </c>
      <c r="R447" s="637">
        <f>VLOOKUP($B447,'Afton Update'!$A$5:$CR$582,'Afton Update'!AJ$589,0)</f>
        <v>165644.87392065514</v>
      </c>
      <c r="S447" s="637">
        <f>VLOOKUP($B447,'Afton Update'!$A$5:$CR$582,'Afton Update'!AK$589,0)</f>
        <v>131317.69575618714</v>
      </c>
      <c r="T447" s="643">
        <f t="shared" si="1307"/>
        <v>766296.5603093009</v>
      </c>
      <c r="V447" s="636">
        <f t="shared" si="1333"/>
        <v>371562.71180469525</v>
      </c>
      <c r="W447" s="637">
        <f t="shared" si="1334"/>
        <v>89581.843738293916</v>
      </c>
      <c r="X447" s="637">
        <f t="shared" si="1335"/>
        <v>164138.39846594248</v>
      </c>
      <c r="Y447" s="637">
        <f t="shared" si="1336"/>
        <v>129870.81113288115</v>
      </c>
      <c r="Z447" s="643">
        <f t="shared" si="1337"/>
        <v>755153.76514181285</v>
      </c>
      <c r="AB447" s="644">
        <f t="shared" si="1308"/>
        <v>376701.16013192985</v>
      </c>
      <c r="AC447" s="645">
        <f t="shared" si="1304"/>
        <v>337391.75072298973</v>
      </c>
      <c r="AD447" s="644">
        <f t="shared" si="1338"/>
        <v>0</v>
      </c>
      <c r="AE447" s="645">
        <f t="shared" si="1339"/>
        <v>376701.16013192985</v>
      </c>
      <c r="AF447" s="646">
        <f t="shared" si="1340"/>
        <v>-4669.4939632215692</v>
      </c>
      <c r="AG447" s="647">
        <f t="shared" si="1341"/>
        <v>372031.6661687083</v>
      </c>
      <c r="AH447" s="644">
        <f t="shared" si="1309"/>
        <v>0</v>
      </c>
      <c r="AI447" s="645">
        <f t="shared" si="1310"/>
        <v>372031.6661687083</v>
      </c>
      <c r="AJ447" s="646">
        <f t="shared" si="1342"/>
        <v>-468.65559462807465</v>
      </c>
      <c r="AK447" s="647">
        <f t="shared" si="1311"/>
        <v>371563.01057408022</v>
      </c>
      <c r="AL447" s="644">
        <f t="shared" si="1343"/>
        <v>0</v>
      </c>
      <c r="AM447" s="645">
        <f t="shared" si="1344"/>
        <v>371563.01057408022</v>
      </c>
      <c r="AN447" s="646">
        <f t="shared" si="1345"/>
        <v>-0.29876938495355343</v>
      </c>
      <c r="AO447" s="647">
        <f t="shared" si="1312"/>
        <v>371562.71180469525</v>
      </c>
      <c r="AP447" s="644">
        <f t="shared" si="1346"/>
        <v>0</v>
      </c>
      <c r="AQ447" s="645">
        <f t="shared" si="1347"/>
        <v>371562.71180469525</v>
      </c>
      <c r="AR447" s="646">
        <f t="shared" si="1348"/>
        <v>0</v>
      </c>
      <c r="AS447" s="647">
        <f t="shared" si="1313"/>
        <v>371562.71180469525</v>
      </c>
      <c r="AT447" s="644">
        <f t="shared" si="1349"/>
        <v>0</v>
      </c>
      <c r="AU447" s="645">
        <f t="shared" si="1350"/>
        <v>371562.71180469525</v>
      </c>
      <c r="AV447" s="646">
        <f t="shared" si="1351"/>
        <v>0</v>
      </c>
      <c r="AW447" s="647">
        <f t="shared" si="1314"/>
        <v>371562.71180469525</v>
      </c>
      <c r="AY447" s="644">
        <f t="shared" si="1352"/>
        <v>92632.830500528784</v>
      </c>
      <c r="AZ447" s="645">
        <f t="shared" si="1282"/>
        <v>78967.712108898908</v>
      </c>
      <c r="BA447" s="644">
        <f t="shared" si="1353"/>
        <v>0</v>
      </c>
      <c r="BB447" s="645">
        <f t="shared" si="1354"/>
        <v>92632.830500528784</v>
      </c>
      <c r="BC447" s="646">
        <f t="shared" si="1355"/>
        <v>-666.14968015624879</v>
      </c>
      <c r="BD447" s="647">
        <f t="shared" si="1356"/>
        <v>91966.680820372538</v>
      </c>
      <c r="BE447" s="644">
        <f t="shared" si="1315"/>
        <v>0</v>
      </c>
      <c r="BF447" s="645">
        <f t="shared" si="1316"/>
        <v>91966.680820372538</v>
      </c>
      <c r="BG447" s="646">
        <f t="shared" si="1357"/>
        <v>-2190.5713897034143</v>
      </c>
      <c r="BH447" s="647">
        <f t="shared" si="1317"/>
        <v>89776.109430669123</v>
      </c>
      <c r="BI447" s="644">
        <f t="shared" si="1358"/>
        <v>0</v>
      </c>
      <c r="BJ447" s="645">
        <f t="shared" si="1359"/>
        <v>89776.109430669123</v>
      </c>
      <c r="BK447" s="646">
        <f t="shared" si="1360"/>
        <v>-190.16688566934729</v>
      </c>
      <c r="BL447" s="647">
        <f t="shared" si="1318"/>
        <v>89585.94254499978</v>
      </c>
      <c r="BM447" s="644">
        <f t="shared" si="1361"/>
        <v>0</v>
      </c>
      <c r="BN447" s="645">
        <f t="shared" si="1362"/>
        <v>89585.94254499978</v>
      </c>
      <c r="BO447" s="646">
        <f t="shared" si="1363"/>
        <v>-4.0988067058623683</v>
      </c>
      <c r="BP447" s="647">
        <f t="shared" si="1319"/>
        <v>89581.843738293916</v>
      </c>
      <c r="BQ447" s="644">
        <f t="shared" si="1364"/>
        <v>0</v>
      </c>
      <c r="BR447" s="645">
        <f t="shared" si="1365"/>
        <v>89581.843738293916</v>
      </c>
      <c r="BS447" s="646">
        <f t="shared" si="1366"/>
        <v>0</v>
      </c>
      <c r="BT447" s="647">
        <f t="shared" si="1320"/>
        <v>89581.843738293916</v>
      </c>
      <c r="BU447" s="662">
        <f>VLOOKUP(B447,'Afton Update'!$A$5:$AR$582,'Afton Update'!$AO$589,0)-BT447</f>
        <v>0</v>
      </c>
      <c r="BV447" s="644">
        <f t="shared" si="1367"/>
        <v>165644.87392065514</v>
      </c>
      <c r="BW447" s="645">
        <f t="shared" si="1305"/>
        <v>136522.56188032808</v>
      </c>
      <c r="BX447" s="644">
        <f t="shared" si="1368"/>
        <v>0</v>
      </c>
      <c r="BY447" s="645">
        <f t="shared" si="1369"/>
        <v>165644.87392065514</v>
      </c>
      <c r="BZ447" s="646">
        <f t="shared" si="1370"/>
        <v>-1453.8826695678413</v>
      </c>
      <c r="CA447" s="647">
        <f t="shared" si="1371"/>
        <v>164190.99125108731</v>
      </c>
      <c r="CB447" s="644">
        <f t="shared" si="1321"/>
        <v>0</v>
      </c>
      <c r="CC447" s="645">
        <f t="shared" si="1322"/>
        <v>164190.99125108731</v>
      </c>
      <c r="CD447" s="646">
        <f t="shared" si="1372"/>
        <v>-52.592785144829463</v>
      </c>
      <c r="CE447" s="647">
        <f t="shared" si="1323"/>
        <v>164138.39846594248</v>
      </c>
      <c r="CF447" s="644">
        <f t="shared" si="1373"/>
        <v>0</v>
      </c>
      <c r="CG447" s="645">
        <f t="shared" si="1374"/>
        <v>164138.39846594248</v>
      </c>
      <c r="CH447" s="646">
        <f t="shared" si="1375"/>
        <v>0</v>
      </c>
      <c r="CI447" s="647">
        <f t="shared" si="1324"/>
        <v>164138.39846594248</v>
      </c>
      <c r="CJ447" s="644">
        <f t="shared" si="1376"/>
        <v>0</v>
      </c>
      <c r="CK447" s="645">
        <f t="shared" si="1377"/>
        <v>164138.39846594248</v>
      </c>
      <c r="CL447" s="646">
        <f t="shared" si="1378"/>
        <v>0</v>
      </c>
      <c r="CM447" s="647">
        <f t="shared" si="1325"/>
        <v>164138.39846594248</v>
      </c>
      <c r="CN447" s="644">
        <f t="shared" si="1379"/>
        <v>0</v>
      </c>
      <c r="CO447" s="645">
        <f t="shared" si="1380"/>
        <v>164138.39846594248</v>
      </c>
      <c r="CP447" s="646">
        <f t="shared" si="1381"/>
        <v>0</v>
      </c>
      <c r="CQ447" s="647">
        <f t="shared" si="1326"/>
        <v>164138.39846594248</v>
      </c>
      <c r="CS447" s="644">
        <f t="shared" si="1382"/>
        <v>131317.69575618714</v>
      </c>
      <c r="CT447" s="645">
        <f t="shared" si="1306"/>
        <v>94575.0027413028</v>
      </c>
      <c r="CU447" s="644">
        <f t="shared" si="1383"/>
        <v>0</v>
      </c>
      <c r="CV447" s="645">
        <f t="shared" si="1384"/>
        <v>131317.69575618714</v>
      </c>
      <c r="CW447" s="646">
        <f t="shared" si="1385"/>
        <v>-1344.7674150590262</v>
      </c>
      <c r="CX447" s="647">
        <f t="shared" si="1386"/>
        <v>129972.92834112811</v>
      </c>
      <c r="CY447" s="644">
        <f t="shared" si="1327"/>
        <v>0</v>
      </c>
      <c r="CZ447" s="645">
        <f t="shared" si="1328"/>
        <v>129972.92834112811</v>
      </c>
      <c r="DA447" s="646">
        <f t="shared" si="1387"/>
        <v>-102.02922075204685</v>
      </c>
      <c r="DB447" s="647">
        <f t="shared" si="1329"/>
        <v>129870.89912037607</v>
      </c>
      <c r="DC447" s="644">
        <f t="shared" si="1388"/>
        <v>0</v>
      </c>
      <c r="DD447" s="645">
        <f t="shared" si="1389"/>
        <v>129870.89912037607</v>
      </c>
      <c r="DE447" s="646">
        <f t="shared" si="1390"/>
        <v>-8.7987494917322717E-2</v>
      </c>
      <c r="DF447" s="647">
        <f t="shared" si="1330"/>
        <v>129870.81113288115</v>
      </c>
      <c r="DG447" s="644">
        <f t="shared" si="1391"/>
        <v>0</v>
      </c>
      <c r="DH447" s="645">
        <f t="shared" si="1392"/>
        <v>129870.81113288115</v>
      </c>
      <c r="DI447" s="646">
        <f t="shared" si="1393"/>
        <v>0</v>
      </c>
      <c r="DJ447" s="647">
        <f t="shared" si="1331"/>
        <v>129870.81113288115</v>
      </c>
      <c r="DK447" s="644">
        <f t="shared" si="1394"/>
        <v>0</v>
      </c>
      <c r="DL447" s="645">
        <f t="shared" si="1395"/>
        <v>129870.81113288115</v>
      </c>
      <c r="DM447" s="646">
        <f t="shared" si="1396"/>
        <v>0</v>
      </c>
      <c r="DN447" s="647">
        <f t="shared" si="1332"/>
        <v>129870.81113288115</v>
      </c>
      <c r="DR447" s="827">
        <f t="shared" si="1283"/>
        <v>755153.76514181285</v>
      </c>
      <c r="DV447" s="828">
        <f>IFERROR(VLOOKUP($B447,'Afton FY16 Final'!$A$5:$BV$587,'Afton FY16 Final'!$BV$587,0),0)</f>
        <v>638702.24251500354</v>
      </c>
      <c r="DX447" s="636">
        <f t="shared" si="1274"/>
        <v>755153.76514181285</v>
      </c>
      <c r="DY447" s="637">
        <f t="shared" si="1275"/>
        <v>116451.52262680931</v>
      </c>
      <c r="DZ447" s="637">
        <f t="shared" si="1276"/>
        <v>638702.24251500354</v>
      </c>
      <c r="EA447" s="643">
        <f t="shared" si="1277"/>
        <v>714988.04814729583</v>
      </c>
      <c r="EB447" s="637">
        <f t="shared" si="1284"/>
        <v>0</v>
      </c>
      <c r="EC447" s="637">
        <f t="shared" si="1285"/>
        <v>714988.04814729583</v>
      </c>
      <c r="ED447" s="637">
        <f t="shared" si="1286"/>
        <v>712855.99647803116</v>
      </c>
      <c r="EE447" s="643">
        <f t="shared" si="1287"/>
        <v>712855.99647803116</v>
      </c>
      <c r="EF447" s="637">
        <f t="shared" si="1288"/>
        <v>0</v>
      </c>
      <c r="EG447" s="637">
        <f t="shared" si="1289"/>
        <v>712855.99647803116</v>
      </c>
      <c r="EH447" s="637">
        <f t="shared" si="1290"/>
        <v>712855.26105232444</v>
      </c>
      <c r="EI447" s="643">
        <f t="shared" si="1291"/>
        <v>712855.26105232444</v>
      </c>
      <c r="EJ447" s="637">
        <f t="shared" si="1292"/>
        <v>0</v>
      </c>
      <c r="EK447" s="637">
        <f t="shared" si="1293"/>
        <v>712855.26105232444</v>
      </c>
      <c r="EL447" s="637">
        <f t="shared" si="1294"/>
        <v>712855.26105232351</v>
      </c>
      <c r="EM447" s="643">
        <f t="shared" si="1295"/>
        <v>712855.26105232351</v>
      </c>
      <c r="EN447" s="637">
        <f t="shared" si="1296"/>
        <v>0</v>
      </c>
      <c r="EO447" s="637">
        <f t="shared" si="1297"/>
        <v>712855.26105232351</v>
      </c>
      <c r="EP447" s="637">
        <f t="shared" si="1298"/>
        <v>712855.26105232467</v>
      </c>
      <c r="EQ447" s="643">
        <f t="shared" si="1299"/>
        <v>712855.26105232467</v>
      </c>
      <c r="ER447" s="637">
        <f t="shared" si="1300"/>
        <v>0</v>
      </c>
      <c r="ES447" s="637">
        <f t="shared" si="1301"/>
        <v>712855.26105232467</v>
      </c>
      <c r="ET447" s="637">
        <f t="shared" si="1302"/>
        <v>712855.26105232351</v>
      </c>
      <c r="EU447" s="643">
        <f t="shared" si="1278"/>
        <v>712855.26105232351</v>
      </c>
      <c r="EV447" s="643">
        <f t="shared" si="1279"/>
        <v>0</v>
      </c>
      <c r="EX447" s="829">
        <f t="shared" si="1280"/>
        <v>42298.504089489346</v>
      </c>
      <c r="EY447" s="638">
        <f t="shared" si="1281"/>
        <v>712855.26105232351</v>
      </c>
      <c r="FC447" s="830" t="str">
        <f t="shared" si="1303"/>
        <v>Y</v>
      </c>
      <c r="FE447" s="830" t="str">
        <f>IFERROR(VLOOKUP($B447,'Historical Conc Grant Elig'!$B$3:$J$707,'HH &amp; SI'!FE$2,0),"N")</f>
        <v>Y</v>
      </c>
      <c r="FF447" s="830" t="str">
        <f>IFERROR(VLOOKUP($B447,'Historical Conc Grant Elig'!$B$3:$J$707,'HH &amp; SI'!FF$2,0),"N")</f>
        <v>Y</v>
      </c>
      <c r="FG447" s="830" t="str">
        <f>IFERROR(VLOOKUP($B447,'Historical Conc Grant Elig'!$B$3:$J$707,'HH &amp; SI'!FG$2,0),"N")</f>
        <v>Y</v>
      </c>
      <c r="FH447" s="830" t="str">
        <f>IFERROR(VLOOKUP($B447,'Historical Conc Grant Elig'!$B$3:$J$707,'HH &amp; SI'!FH$2,0),"N")</f>
        <v>Y</v>
      </c>
      <c r="FI447" s="830" t="str">
        <f>IFERROR(VLOOKUP($B447,'Historical Conc Grant Elig'!$B$3:$J$707,'HH &amp; SI'!FI$2,0),"N")</f>
        <v>Y</v>
      </c>
      <c r="FJ447" s="830" t="str">
        <f>IFERROR(VLOOKUP($B447,'Historical Conc Grant Elig'!$B$3:$J$707,'HH &amp; SI'!FJ$2,0),"N")</f>
        <v>Y</v>
      </c>
      <c r="FK447" s="830" t="str">
        <f>IFERROR(VLOOKUP($B447,'Historical Conc Grant Elig'!$B$3:$J$707,'HH &amp; SI'!FK$2,0),"N")</f>
        <v>Y</v>
      </c>
      <c r="FL447" s="957" t="str">
        <f>IFERROR(VLOOKUP($B447,'Historical Conc Grant Elig'!$B$3:$J$707,'HH &amp; SI'!FL$2,0),"N")</f>
        <v>Y</v>
      </c>
    </row>
    <row r="448" spans="2:168" x14ac:dyDescent="0.25">
      <c r="B448" s="634">
        <v>130302000</v>
      </c>
      <c r="C448" s="635" t="str">
        <f>VLOOKUP($B448,'Afton Update'!$A$5:$CR$582,'Afton Update'!D$589,0)</f>
        <v>Williamson Valley Elementary School District</v>
      </c>
      <c r="D448" s="636">
        <f>IFERROR(VLOOKUP($B448,'Afton FY16 Final'!$A$5:$BV$587,'Afton FY16 Final'!AQ$587,0),0)</f>
        <v>6207.1522294378901</v>
      </c>
      <c r="E448" s="637">
        <f>IFERROR(VLOOKUP($B448,'Afton FY16 Final'!$A$5:$BV$587,'Afton FY16 Final'!AR$587,0),0)</f>
        <v>1850.8406425743531</v>
      </c>
      <c r="F448" s="637">
        <f>IFERROR(VLOOKUP($B448,'Afton FY16 Final'!$A$5:$BV$587,'Afton FY16 Final'!AS$587,0),0)</f>
        <v>2458.1916758587745</v>
      </c>
      <c r="G448" s="637">
        <f>IFERROR(VLOOKUP($B448,'Afton FY16 Final'!$A$5:$BV$587,'Afton FY16 Final'!AT$587,0),0)</f>
        <v>1690.2279620791983</v>
      </c>
      <c r="H448" s="638">
        <f>IFERROR(VLOOKUP($B448,'Afton FY16 Final'!$A$5:$BV$587,'Afton FY16 Final'!AU$587,0),0)</f>
        <v>12206.412509950216</v>
      </c>
      <c r="I448" s="639" t="str">
        <f>VLOOKUP($B448,'Afton Update'!$A$5:$CR$582,'Afton Update'!BT$589,0)</f>
        <v>Y</v>
      </c>
      <c r="J448" s="640" t="str">
        <f>VLOOKUP($B448,'Afton Update'!$A$5:$CR$582,'Afton Update'!BU$589,0)</f>
        <v>Y</v>
      </c>
      <c r="K448" s="640" t="str">
        <f>VLOOKUP($B448,'Afton Update'!$A$5:$CR$582,'Afton Update'!BV$589,0)</f>
        <v>Y</v>
      </c>
      <c r="L448" s="641" t="str">
        <f>VLOOKUP($B448,'Afton Update'!$A$5:$CR$582,'Afton Update'!BW$589,0)</f>
        <v>Y</v>
      </c>
      <c r="N448" s="642">
        <f>VLOOKUP($B448,'Afton Update'!$A$5:$CR$582,'Afton Update'!CB$589,0)</f>
        <v>0.9</v>
      </c>
      <c r="P448" s="636">
        <f>VLOOKUP($B448,'Afton Update'!$A$5:$CR$582,'Afton Update'!AH$589,0)</f>
        <v>5757.6941964250982</v>
      </c>
      <c r="Q448" s="637">
        <f>VLOOKUP($B448,'Afton Update'!$A$5:$CR$582,'Afton Update'!AI$589,0)</f>
        <v>4263.8208289105241</v>
      </c>
      <c r="R448" s="637">
        <f>VLOOKUP($B448,'Afton Update'!$A$5:$CR$582,'Afton Update'!AJ$589,0)</f>
        <v>2284.2859950952611</v>
      </c>
      <c r="S448" s="637">
        <f>VLOOKUP($B448,'Afton Update'!$A$5:$CR$582,'Afton Update'!AK$589,0)</f>
        <v>1622.227203078219</v>
      </c>
      <c r="T448" s="643">
        <f t="shared" si="1307"/>
        <v>13928.028223509102</v>
      </c>
      <c r="V448" s="636">
        <f t="shared" si="1333"/>
        <v>5679.1555104757708</v>
      </c>
      <c r="W448" s="637">
        <f t="shared" si="1334"/>
        <v>4123.3861597413343</v>
      </c>
      <c r="X448" s="637">
        <f t="shared" si="1335"/>
        <v>2263.5113058356146</v>
      </c>
      <c r="Y448" s="637">
        <f t="shared" si="1336"/>
        <v>1604.3531794584285</v>
      </c>
      <c r="Z448" s="643">
        <f t="shared" si="1337"/>
        <v>13670.406155511149</v>
      </c>
      <c r="AB448" s="644">
        <f t="shared" si="1308"/>
        <v>5757.6941964250982</v>
      </c>
      <c r="AC448" s="645">
        <f t="shared" si="1304"/>
        <v>5586.4370064941013</v>
      </c>
      <c r="AD448" s="644">
        <f t="shared" si="1338"/>
        <v>0</v>
      </c>
      <c r="AE448" s="645">
        <f t="shared" si="1339"/>
        <v>5757.6941964250982</v>
      </c>
      <c r="AF448" s="646">
        <f t="shared" si="1340"/>
        <v>-71.370946356700628</v>
      </c>
      <c r="AG448" s="647">
        <f t="shared" si="1341"/>
        <v>5686.323250068398</v>
      </c>
      <c r="AH448" s="644">
        <f t="shared" si="1309"/>
        <v>0</v>
      </c>
      <c r="AI448" s="645">
        <f t="shared" si="1310"/>
        <v>5686.323250068398</v>
      </c>
      <c r="AJ448" s="646">
        <f t="shared" si="1342"/>
        <v>-7.1631730477474038</v>
      </c>
      <c r="AK448" s="647">
        <f t="shared" si="1311"/>
        <v>5679.1600770206505</v>
      </c>
      <c r="AL448" s="644">
        <f t="shared" si="1343"/>
        <v>0</v>
      </c>
      <c r="AM448" s="645">
        <f t="shared" si="1344"/>
        <v>5679.1600770206505</v>
      </c>
      <c r="AN448" s="646">
        <f t="shared" si="1345"/>
        <v>-4.5665448792727558E-3</v>
      </c>
      <c r="AO448" s="647">
        <f t="shared" si="1312"/>
        <v>5679.1555104757708</v>
      </c>
      <c r="AP448" s="644">
        <f t="shared" si="1346"/>
        <v>0</v>
      </c>
      <c r="AQ448" s="645">
        <f t="shared" si="1347"/>
        <v>5679.1555104757708</v>
      </c>
      <c r="AR448" s="646">
        <f t="shared" si="1348"/>
        <v>0</v>
      </c>
      <c r="AS448" s="647">
        <f t="shared" si="1313"/>
        <v>5679.1555104757708</v>
      </c>
      <c r="AT448" s="644">
        <f t="shared" si="1349"/>
        <v>0</v>
      </c>
      <c r="AU448" s="645">
        <f t="shared" si="1350"/>
        <v>5679.1555104757708</v>
      </c>
      <c r="AV448" s="646">
        <f t="shared" si="1351"/>
        <v>0</v>
      </c>
      <c r="AW448" s="647">
        <f t="shared" si="1314"/>
        <v>5679.1555104757708</v>
      </c>
      <c r="AY448" s="644">
        <f t="shared" si="1352"/>
        <v>4263.8208289105241</v>
      </c>
      <c r="AZ448" s="645">
        <f t="shared" si="1282"/>
        <v>1665.7565783169177</v>
      </c>
      <c r="BA448" s="644">
        <f t="shared" si="1353"/>
        <v>0</v>
      </c>
      <c r="BB448" s="645">
        <f t="shared" si="1354"/>
        <v>4263.8208289105241</v>
      </c>
      <c r="BC448" s="646">
        <f t="shared" si="1355"/>
        <v>-30.662378187894017</v>
      </c>
      <c r="BD448" s="647">
        <f t="shared" si="1356"/>
        <v>4233.1584507226298</v>
      </c>
      <c r="BE448" s="644">
        <f t="shared" si="1315"/>
        <v>0</v>
      </c>
      <c r="BF448" s="645">
        <f t="shared" si="1316"/>
        <v>4233.1584507226298</v>
      </c>
      <c r="BG448" s="646">
        <f t="shared" si="1357"/>
        <v>-100.83038452095633</v>
      </c>
      <c r="BH448" s="647">
        <f t="shared" si="1317"/>
        <v>4132.3280662016732</v>
      </c>
      <c r="BI448" s="644">
        <f t="shared" si="1358"/>
        <v>0</v>
      </c>
      <c r="BJ448" s="645">
        <f t="shared" si="1359"/>
        <v>4132.3280662016732</v>
      </c>
      <c r="BK448" s="646">
        <f t="shared" si="1360"/>
        <v>-8.7532414124102651</v>
      </c>
      <c r="BL448" s="647">
        <f t="shared" si="1318"/>
        <v>4123.5748247892625</v>
      </c>
      <c r="BM448" s="644">
        <f t="shared" si="1361"/>
        <v>0</v>
      </c>
      <c r="BN448" s="645">
        <f t="shared" si="1362"/>
        <v>4123.5748247892625</v>
      </c>
      <c r="BO448" s="646">
        <f t="shared" si="1363"/>
        <v>-0.18866504792849151</v>
      </c>
      <c r="BP448" s="647">
        <f t="shared" si="1319"/>
        <v>4123.3861597413343</v>
      </c>
      <c r="BQ448" s="644">
        <f t="shared" si="1364"/>
        <v>0</v>
      </c>
      <c r="BR448" s="645">
        <f t="shared" si="1365"/>
        <v>4123.3861597413343</v>
      </c>
      <c r="BS448" s="646">
        <f t="shared" si="1366"/>
        <v>0</v>
      </c>
      <c r="BT448" s="647">
        <f t="shared" si="1320"/>
        <v>4123.3861597413343</v>
      </c>
      <c r="BU448" s="662">
        <f>VLOOKUP(B448,'Afton Update'!$A$5:$AR$582,'Afton Update'!$AO$589,0)-BT448</f>
        <v>0</v>
      </c>
      <c r="BV448" s="644">
        <f t="shared" si="1367"/>
        <v>2284.2859950952611</v>
      </c>
      <c r="BW448" s="645">
        <f t="shared" si="1305"/>
        <v>2212.372508272897</v>
      </c>
      <c r="BX448" s="644">
        <f t="shared" si="1368"/>
        <v>0</v>
      </c>
      <c r="BY448" s="645">
        <f t="shared" si="1369"/>
        <v>2284.2859950952611</v>
      </c>
      <c r="BZ448" s="646">
        <f t="shared" si="1370"/>
        <v>-20.049421041524951</v>
      </c>
      <c r="CA448" s="647">
        <f t="shared" si="1371"/>
        <v>2264.2365740537361</v>
      </c>
      <c r="CB448" s="644">
        <f t="shared" si="1321"/>
        <v>0</v>
      </c>
      <c r="CC448" s="645">
        <f t="shared" si="1322"/>
        <v>2264.2365740537361</v>
      </c>
      <c r="CD448" s="646">
        <f t="shared" si="1372"/>
        <v>-0.72526821812146347</v>
      </c>
      <c r="CE448" s="647">
        <f t="shared" si="1323"/>
        <v>2263.5113058356146</v>
      </c>
      <c r="CF448" s="644">
        <f t="shared" si="1373"/>
        <v>0</v>
      </c>
      <c r="CG448" s="645">
        <f t="shared" si="1374"/>
        <v>2263.5113058356146</v>
      </c>
      <c r="CH448" s="646">
        <f t="shared" si="1375"/>
        <v>0</v>
      </c>
      <c r="CI448" s="647">
        <f t="shared" si="1324"/>
        <v>2263.5113058356146</v>
      </c>
      <c r="CJ448" s="644">
        <f t="shared" si="1376"/>
        <v>0</v>
      </c>
      <c r="CK448" s="645">
        <f t="shared" si="1377"/>
        <v>2263.5113058356146</v>
      </c>
      <c r="CL448" s="646">
        <f t="shared" si="1378"/>
        <v>0</v>
      </c>
      <c r="CM448" s="647">
        <f t="shared" si="1325"/>
        <v>2263.5113058356146</v>
      </c>
      <c r="CN448" s="644">
        <f t="shared" si="1379"/>
        <v>0</v>
      </c>
      <c r="CO448" s="645">
        <f t="shared" si="1380"/>
        <v>2263.5113058356146</v>
      </c>
      <c r="CP448" s="646">
        <f t="shared" si="1381"/>
        <v>0</v>
      </c>
      <c r="CQ448" s="647">
        <f t="shared" si="1326"/>
        <v>2263.5113058356146</v>
      </c>
      <c r="CS448" s="644">
        <f t="shared" si="1382"/>
        <v>1622.227203078219</v>
      </c>
      <c r="CT448" s="645">
        <f t="shared" si="1306"/>
        <v>1521.2051658712785</v>
      </c>
      <c r="CU448" s="644">
        <f t="shared" si="1383"/>
        <v>0</v>
      </c>
      <c r="CV448" s="645">
        <f t="shared" si="1384"/>
        <v>1622.227203078219</v>
      </c>
      <c r="CW448" s="646">
        <f t="shared" si="1385"/>
        <v>-16.612523315762996</v>
      </c>
      <c r="CX448" s="647">
        <f t="shared" si="1386"/>
        <v>1605.614679762456</v>
      </c>
      <c r="CY448" s="644">
        <f t="shared" si="1327"/>
        <v>0</v>
      </c>
      <c r="CZ448" s="645">
        <f t="shared" si="1328"/>
        <v>1605.614679762456</v>
      </c>
      <c r="DA448" s="646">
        <f t="shared" si="1387"/>
        <v>-1.2604133544967782</v>
      </c>
      <c r="DB448" s="647">
        <f t="shared" si="1329"/>
        <v>1604.3542664079594</v>
      </c>
      <c r="DC448" s="644">
        <f t="shared" si="1388"/>
        <v>0</v>
      </c>
      <c r="DD448" s="645">
        <f t="shared" si="1389"/>
        <v>1604.3542664079594</v>
      </c>
      <c r="DE448" s="646">
        <f t="shared" si="1390"/>
        <v>-1.0869495307822012E-3</v>
      </c>
      <c r="DF448" s="647">
        <f t="shared" si="1330"/>
        <v>1604.3531794584285</v>
      </c>
      <c r="DG448" s="644">
        <f t="shared" si="1391"/>
        <v>0</v>
      </c>
      <c r="DH448" s="645">
        <f t="shared" si="1392"/>
        <v>1604.3531794584285</v>
      </c>
      <c r="DI448" s="646">
        <f t="shared" si="1393"/>
        <v>0</v>
      </c>
      <c r="DJ448" s="647">
        <f t="shared" si="1331"/>
        <v>1604.3531794584285</v>
      </c>
      <c r="DK448" s="644">
        <f t="shared" si="1394"/>
        <v>0</v>
      </c>
      <c r="DL448" s="645">
        <f t="shared" si="1395"/>
        <v>1604.3531794584285</v>
      </c>
      <c r="DM448" s="646">
        <f t="shared" si="1396"/>
        <v>0</v>
      </c>
      <c r="DN448" s="647">
        <f t="shared" si="1332"/>
        <v>1604.3531794584285</v>
      </c>
      <c r="DR448" s="827">
        <f t="shared" si="1283"/>
        <v>13670.406155511149</v>
      </c>
      <c r="DV448" s="828">
        <f>IFERROR(VLOOKUP($B448,'Afton FY16 Final'!$A$5:$BV$587,'Afton FY16 Final'!$BV$587,0),0)</f>
        <v>10837.223848582405</v>
      </c>
      <c r="DX448" s="636">
        <f t="shared" si="1274"/>
        <v>13670.406155511149</v>
      </c>
      <c r="DY448" s="637">
        <f t="shared" si="1275"/>
        <v>2833.1823069287439</v>
      </c>
      <c r="DZ448" s="637">
        <f t="shared" si="1276"/>
        <v>10837.223848582405</v>
      </c>
      <c r="EA448" s="643">
        <f t="shared" si="1277"/>
        <v>12943.293757760937</v>
      </c>
      <c r="EB448" s="637">
        <f t="shared" si="1284"/>
        <v>0</v>
      </c>
      <c r="EC448" s="637">
        <f t="shared" si="1285"/>
        <v>12943.293757760937</v>
      </c>
      <c r="ED448" s="637">
        <f t="shared" si="1286"/>
        <v>12904.697628589933</v>
      </c>
      <c r="EE448" s="643">
        <f t="shared" si="1287"/>
        <v>12904.697628589933</v>
      </c>
      <c r="EF448" s="637">
        <f t="shared" si="1288"/>
        <v>0</v>
      </c>
      <c r="EG448" s="637">
        <f t="shared" si="1289"/>
        <v>12904.697628589933</v>
      </c>
      <c r="EH448" s="637">
        <f t="shared" si="1290"/>
        <v>12904.684315317098</v>
      </c>
      <c r="EI448" s="643">
        <f t="shared" si="1291"/>
        <v>12904.684315317098</v>
      </c>
      <c r="EJ448" s="637">
        <f t="shared" si="1292"/>
        <v>0</v>
      </c>
      <c r="EK448" s="637">
        <f t="shared" si="1293"/>
        <v>12904.684315317098</v>
      </c>
      <c r="EL448" s="637">
        <f t="shared" si="1294"/>
        <v>12904.684315317079</v>
      </c>
      <c r="EM448" s="643">
        <f t="shared" si="1295"/>
        <v>12904.684315317079</v>
      </c>
      <c r="EN448" s="637">
        <f t="shared" si="1296"/>
        <v>0</v>
      </c>
      <c r="EO448" s="637">
        <f t="shared" si="1297"/>
        <v>12904.684315317079</v>
      </c>
      <c r="EP448" s="637">
        <f t="shared" si="1298"/>
        <v>12904.684315317099</v>
      </c>
      <c r="EQ448" s="643">
        <f t="shared" si="1299"/>
        <v>12904.684315317099</v>
      </c>
      <c r="ER448" s="637">
        <f t="shared" si="1300"/>
        <v>0</v>
      </c>
      <c r="ES448" s="637">
        <f t="shared" si="1301"/>
        <v>12904.684315317099</v>
      </c>
      <c r="ET448" s="637">
        <f t="shared" si="1302"/>
        <v>12904.684315317079</v>
      </c>
      <c r="EU448" s="643">
        <f t="shared" si="1278"/>
        <v>12904.684315317079</v>
      </c>
      <c r="EV448" s="643">
        <f t="shared" si="1279"/>
        <v>0</v>
      </c>
      <c r="EX448" s="829">
        <f t="shared" si="1280"/>
        <v>765.72184019406996</v>
      </c>
      <c r="EY448" s="638">
        <f t="shared" si="1281"/>
        <v>12904.684315317079</v>
      </c>
      <c r="FC448" s="830" t="str">
        <f t="shared" si="1303"/>
        <v>Y</v>
      </c>
      <c r="FE448" s="830" t="str">
        <f>IFERROR(VLOOKUP($B448,'Historical Conc Grant Elig'!$B$3:$J$707,'HH &amp; SI'!FE$2,0),"N")</f>
        <v>N</v>
      </c>
      <c r="FF448" s="830" t="str">
        <f>IFERROR(VLOOKUP($B448,'Historical Conc Grant Elig'!$B$3:$J$707,'HH &amp; SI'!FF$2,0),"N")</f>
        <v>N</v>
      </c>
      <c r="FG448" s="830" t="str">
        <f>IFERROR(VLOOKUP($B448,'Historical Conc Grant Elig'!$B$3:$J$707,'HH &amp; SI'!FG$2,0),"N")</f>
        <v>Y</v>
      </c>
      <c r="FH448" s="830" t="str">
        <f>IFERROR(VLOOKUP($B448,'Historical Conc Grant Elig'!$B$3:$J$707,'HH &amp; SI'!FH$2,0),"N")</f>
        <v>Y</v>
      </c>
      <c r="FI448" s="830" t="str">
        <f>IFERROR(VLOOKUP($B448,'Historical Conc Grant Elig'!$B$3:$J$707,'HH &amp; SI'!FI$2,0),"N")</f>
        <v>Y</v>
      </c>
      <c r="FJ448" s="830" t="str">
        <f>IFERROR(VLOOKUP($B448,'Historical Conc Grant Elig'!$B$3:$J$707,'HH &amp; SI'!FJ$2,0),"N")</f>
        <v>N</v>
      </c>
      <c r="FK448" s="830" t="str">
        <f>IFERROR(VLOOKUP($B448,'Historical Conc Grant Elig'!$B$3:$J$707,'HH &amp; SI'!FK$2,0),"N")</f>
        <v>Y</v>
      </c>
      <c r="FL448" s="957" t="str">
        <f>IFERROR(VLOOKUP($B448,'Historical Conc Grant Elig'!$B$3:$J$707,'HH &amp; SI'!FL$2,0),"N")</f>
        <v>N</v>
      </c>
    </row>
    <row r="449" spans="2:168" x14ac:dyDescent="0.25">
      <c r="B449" s="634">
        <v>130307000</v>
      </c>
      <c r="C449" s="635" t="str">
        <f>VLOOKUP($B449,'Afton Update'!$A$5:$CR$582,'Afton Update'!D$589,0)</f>
        <v>Walnut Grove Elementary District</v>
      </c>
      <c r="D449" s="636">
        <f>IFERROR(VLOOKUP($B449,'Afton FY16 Final'!$A$5:$BV$587,'Afton FY16 Final'!AQ$587,0),0)</f>
        <v>0</v>
      </c>
      <c r="E449" s="637">
        <f>IFERROR(VLOOKUP($B449,'Afton FY16 Final'!$A$5:$BV$587,'Afton FY16 Final'!AR$587,0),0)</f>
        <v>0</v>
      </c>
      <c r="F449" s="637">
        <f>IFERROR(VLOOKUP($B449,'Afton FY16 Final'!$A$5:$BV$587,'Afton FY16 Final'!AS$587,0),0)</f>
        <v>0</v>
      </c>
      <c r="G449" s="637">
        <f>IFERROR(VLOOKUP($B449,'Afton FY16 Final'!$A$5:$BV$587,'Afton FY16 Final'!AT$587,0),0)</f>
        <v>0</v>
      </c>
      <c r="H449" s="638">
        <f>IFERROR(VLOOKUP($B449,'Afton FY16 Final'!$A$5:$BV$587,'Afton FY16 Final'!AU$587,0),0)</f>
        <v>0</v>
      </c>
      <c r="I449" s="639" t="str">
        <f>VLOOKUP($B449,'Afton Update'!$A$5:$CR$582,'Afton Update'!BT$589,0)</f>
        <v>N</v>
      </c>
      <c r="J449" s="640" t="str">
        <f>VLOOKUP($B449,'Afton Update'!$A$5:$CR$582,'Afton Update'!BU$589,0)</f>
        <v>N</v>
      </c>
      <c r="K449" s="640" t="str">
        <f>VLOOKUP($B449,'Afton Update'!$A$5:$CR$582,'Afton Update'!BV$589,0)</f>
        <v>N</v>
      </c>
      <c r="L449" s="641" t="str">
        <f>VLOOKUP($B449,'Afton Update'!$A$5:$CR$582,'Afton Update'!BW$589,0)</f>
        <v>N</v>
      </c>
      <c r="N449" s="642">
        <f>VLOOKUP($B449,'Afton Update'!$A$5:$CR$582,'Afton Update'!CB$589,0)</f>
        <v>0.85</v>
      </c>
      <c r="P449" s="636">
        <f>VLOOKUP($B449,'Afton Update'!$A$5:$CR$582,'Afton Update'!AH$589,0)</f>
        <v>0</v>
      </c>
      <c r="Q449" s="637">
        <f>VLOOKUP($B449,'Afton Update'!$A$5:$CR$582,'Afton Update'!AI$589,0)</f>
        <v>0</v>
      </c>
      <c r="R449" s="637">
        <f>VLOOKUP($B449,'Afton Update'!$A$5:$CR$582,'Afton Update'!AJ$589,0)</f>
        <v>0</v>
      </c>
      <c r="S449" s="637">
        <f>VLOOKUP($B449,'Afton Update'!$A$5:$CR$582,'Afton Update'!AK$589,0)</f>
        <v>0</v>
      </c>
      <c r="T449" s="643">
        <f t="shared" si="1307"/>
        <v>0</v>
      </c>
      <c r="V449" s="636">
        <f t="shared" si="1333"/>
        <v>0</v>
      </c>
      <c r="W449" s="637">
        <f t="shared" si="1334"/>
        <v>0</v>
      </c>
      <c r="X449" s="637">
        <f t="shared" si="1335"/>
        <v>0</v>
      </c>
      <c r="Y449" s="637">
        <f t="shared" si="1336"/>
        <v>0</v>
      </c>
      <c r="Z449" s="643">
        <f t="shared" si="1337"/>
        <v>0</v>
      </c>
      <c r="AB449" s="644">
        <f t="shared" si="1308"/>
        <v>0</v>
      </c>
      <c r="AC449" s="645">
        <f t="shared" si="1304"/>
        <v>0</v>
      </c>
      <c r="AD449" s="644">
        <f t="shared" si="1338"/>
        <v>0</v>
      </c>
      <c r="AE449" s="645">
        <f t="shared" si="1339"/>
        <v>0</v>
      </c>
      <c r="AF449" s="646">
        <f t="shared" si="1340"/>
        <v>0</v>
      </c>
      <c r="AG449" s="647">
        <f t="shared" si="1341"/>
        <v>0</v>
      </c>
      <c r="AH449" s="644">
        <f t="shared" si="1309"/>
        <v>0</v>
      </c>
      <c r="AI449" s="645">
        <f t="shared" si="1310"/>
        <v>0</v>
      </c>
      <c r="AJ449" s="646">
        <f t="shared" si="1342"/>
        <v>0</v>
      </c>
      <c r="AK449" s="647">
        <f t="shared" si="1311"/>
        <v>0</v>
      </c>
      <c r="AL449" s="644">
        <f t="shared" si="1343"/>
        <v>0</v>
      </c>
      <c r="AM449" s="645">
        <f t="shared" si="1344"/>
        <v>0</v>
      </c>
      <c r="AN449" s="646">
        <f t="shared" si="1345"/>
        <v>0</v>
      </c>
      <c r="AO449" s="647">
        <f t="shared" si="1312"/>
        <v>0</v>
      </c>
      <c r="AP449" s="644">
        <f t="shared" si="1346"/>
        <v>0</v>
      </c>
      <c r="AQ449" s="645">
        <f t="shared" si="1347"/>
        <v>0</v>
      </c>
      <c r="AR449" s="646">
        <f t="shared" si="1348"/>
        <v>0</v>
      </c>
      <c r="AS449" s="647">
        <f t="shared" si="1313"/>
        <v>0</v>
      </c>
      <c r="AT449" s="644">
        <f t="shared" si="1349"/>
        <v>0</v>
      </c>
      <c r="AU449" s="645">
        <f t="shared" si="1350"/>
        <v>0</v>
      </c>
      <c r="AV449" s="646">
        <f t="shared" si="1351"/>
        <v>0</v>
      </c>
      <c r="AW449" s="647">
        <f t="shared" si="1314"/>
        <v>0</v>
      </c>
      <c r="AY449" s="644">
        <f t="shared" si="1352"/>
        <v>0</v>
      </c>
      <c r="AZ449" s="645">
        <f t="shared" si="1282"/>
        <v>0</v>
      </c>
      <c r="BA449" s="644">
        <f t="shared" si="1353"/>
        <v>0</v>
      </c>
      <c r="BB449" s="645">
        <f t="shared" si="1354"/>
        <v>0</v>
      </c>
      <c r="BC449" s="646">
        <f t="shared" si="1355"/>
        <v>0</v>
      </c>
      <c r="BD449" s="647">
        <f t="shared" si="1356"/>
        <v>0</v>
      </c>
      <c r="BE449" s="644">
        <f t="shared" si="1315"/>
        <v>0</v>
      </c>
      <c r="BF449" s="645">
        <f t="shared" si="1316"/>
        <v>0</v>
      </c>
      <c r="BG449" s="646">
        <f t="shared" si="1357"/>
        <v>0</v>
      </c>
      <c r="BH449" s="647">
        <f t="shared" si="1317"/>
        <v>0</v>
      </c>
      <c r="BI449" s="644">
        <f t="shared" si="1358"/>
        <v>0</v>
      </c>
      <c r="BJ449" s="645">
        <f t="shared" si="1359"/>
        <v>0</v>
      </c>
      <c r="BK449" s="646">
        <f t="shared" si="1360"/>
        <v>0</v>
      </c>
      <c r="BL449" s="647">
        <f t="shared" si="1318"/>
        <v>0</v>
      </c>
      <c r="BM449" s="644">
        <f t="shared" si="1361"/>
        <v>0</v>
      </c>
      <c r="BN449" s="645">
        <f t="shared" si="1362"/>
        <v>0</v>
      </c>
      <c r="BO449" s="646">
        <f t="shared" si="1363"/>
        <v>0</v>
      </c>
      <c r="BP449" s="647">
        <f t="shared" si="1319"/>
        <v>0</v>
      </c>
      <c r="BQ449" s="644">
        <f t="shared" si="1364"/>
        <v>0</v>
      </c>
      <c r="BR449" s="645">
        <f t="shared" si="1365"/>
        <v>0</v>
      </c>
      <c r="BS449" s="646">
        <f t="shared" si="1366"/>
        <v>0</v>
      </c>
      <c r="BT449" s="647">
        <f t="shared" si="1320"/>
        <v>0</v>
      </c>
      <c r="BU449" s="662">
        <f>VLOOKUP(B449,'Afton Update'!$A$5:$AR$582,'Afton Update'!$AO$589,0)-BT449</f>
        <v>0</v>
      </c>
      <c r="BV449" s="644">
        <f t="shared" si="1367"/>
        <v>0</v>
      </c>
      <c r="BW449" s="645">
        <f t="shared" si="1305"/>
        <v>0</v>
      </c>
      <c r="BX449" s="644">
        <f t="shared" si="1368"/>
        <v>0</v>
      </c>
      <c r="BY449" s="645">
        <f t="shared" si="1369"/>
        <v>0</v>
      </c>
      <c r="BZ449" s="646">
        <f t="shared" si="1370"/>
        <v>0</v>
      </c>
      <c r="CA449" s="647">
        <f t="shared" si="1371"/>
        <v>0</v>
      </c>
      <c r="CB449" s="644">
        <f t="shared" si="1321"/>
        <v>0</v>
      </c>
      <c r="CC449" s="645">
        <f t="shared" si="1322"/>
        <v>0</v>
      </c>
      <c r="CD449" s="646">
        <f t="shared" si="1372"/>
        <v>0</v>
      </c>
      <c r="CE449" s="647">
        <f t="shared" si="1323"/>
        <v>0</v>
      </c>
      <c r="CF449" s="644">
        <f t="shared" si="1373"/>
        <v>0</v>
      </c>
      <c r="CG449" s="645">
        <f t="shared" si="1374"/>
        <v>0</v>
      </c>
      <c r="CH449" s="646">
        <f t="shared" si="1375"/>
        <v>0</v>
      </c>
      <c r="CI449" s="647">
        <f t="shared" si="1324"/>
        <v>0</v>
      </c>
      <c r="CJ449" s="644">
        <f t="shared" si="1376"/>
        <v>0</v>
      </c>
      <c r="CK449" s="645">
        <f t="shared" si="1377"/>
        <v>0</v>
      </c>
      <c r="CL449" s="646">
        <f t="shared" si="1378"/>
        <v>0</v>
      </c>
      <c r="CM449" s="647">
        <f t="shared" si="1325"/>
        <v>0</v>
      </c>
      <c r="CN449" s="644">
        <f t="shared" si="1379"/>
        <v>0</v>
      </c>
      <c r="CO449" s="645">
        <f t="shared" si="1380"/>
        <v>0</v>
      </c>
      <c r="CP449" s="646">
        <f t="shared" si="1381"/>
        <v>0</v>
      </c>
      <c r="CQ449" s="647">
        <f t="shared" si="1326"/>
        <v>0</v>
      </c>
      <c r="CS449" s="644">
        <f t="shared" si="1382"/>
        <v>0</v>
      </c>
      <c r="CT449" s="645">
        <f t="shared" si="1306"/>
        <v>0</v>
      </c>
      <c r="CU449" s="644">
        <f t="shared" si="1383"/>
        <v>0</v>
      </c>
      <c r="CV449" s="645">
        <f t="shared" si="1384"/>
        <v>0</v>
      </c>
      <c r="CW449" s="646">
        <f t="shared" si="1385"/>
        <v>0</v>
      </c>
      <c r="CX449" s="647">
        <f t="shared" si="1386"/>
        <v>0</v>
      </c>
      <c r="CY449" s="644">
        <f t="shared" si="1327"/>
        <v>0</v>
      </c>
      <c r="CZ449" s="645">
        <f t="shared" si="1328"/>
        <v>0</v>
      </c>
      <c r="DA449" s="646">
        <f t="shared" si="1387"/>
        <v>0</v>
      </c>
      <c r="DB449" s="647">
        <f t="shared" si="1329"/>
        <v>0</v>
      </c>
      <c r="DC449" s="644">
        <f t="shared" si="1388"/>
        <v>0</v>
      </c>
      <c r="DD449" s="645">
        <f t="shared" si="1389"/>
        <v>0</v>
      </c>
      <c r="DE449" s="646">
        <f t="shared" si="1390"/>
        <v>0</v>
      </c>
      <c r="DF449" s="647">
        <f t="shared" si="1330"/>
        <v>0</v>
      </c>
      <c r="DG449" s="644">
        <f t="shared" si="1391"/>
        <v>0</v>
      </c>
      <c r="DH449" s="645">
        <f t="shared" si="1392"/>
        <v>0</v>
      </c>
      <c r="DI449" s="646">
        <f t="shared" si="1393"/>
        <v>0</v>
      </c>
      <c r="DJ449" s="647">
        <f t="shared" si="1331"/>
        <v>0</v>
      </c>
      <c r="DK449" s="644">
        <f t="shared" si="1394"/>
        <v>0</v>
      </c>
      <c r="DL449" s="645">
        <f t="shared" si="1395"/>
        <v>0</v>
      </c>
      <c r="DM449" s="646">
        <f t="shared" si="1396"/>
        <v>0</v>
      </c>
      <c r="DN449" s="647">
        <f t="shared" si="1332"/>
        <v>0</v>
      </c>
      <c r="DR449" s="827">
        <f t="shared" si="1283"/>
        <v>0</v>
      </c>
      <c r="DV449" s="828">
        <f>IFERROR(VLOOKUP($B449,'Afton FY16 Final'!$A$5:$BV$587,'Afton FY16 Final'!$BV$587,0),0)</f>
        <v>0</v>
      </c>
      <c r="DX449" s="636">
        <f t="shared" si="1274"/>
        <v>0</v>
      </c>
      <c r="DY449" s="637">
        <f t="shared" si="1275"/>
        <v>0</v>
      </c>
      <c r="DZ449" s="637">
        <f t="shared" si="1276"/>
        <v>0</v>
      </c>
      <c r="EA449" s="643">
        <f t="shared" si="1277"/>
        <v>0</v>
      </c>
      <c r="EB449" s="637">
        <f t="shared" si="1284"/>
        <v>0</v>
      </c>
      <c r="EC449" s="637">
        <f t="shared" si="1285"/>
        <v>0</v>
      </c>
      <c r="ED449" s="637">
        <f t="shared" si="1286"/>
        <v>0</v>
      </c>
      <c r="EE449" s="643">
        <f t="shared" si="1287"/>
        <v>0</v>
      </c>
      <c r="EF449" s="637">
        <f t="shared" si="1288"/>
        <v>0</v>
      </c>
      <c r="EG449" s="637">
        <f t="shared" si="1289"/>
        <v>0</v>
      </c>
      <c r="EH449" s="637">
        <f t="shared" si="1290"/>
        <v>0</v>
      </c>
      <c r="EI449" s="643">
        <f t="shared" si="1291"/>
        <v>0</v>
      </c>
      <c r="EJ449" s="637">
        <f t="shared" si="1292"/>
        <v>0</v>
      </c>
      <c r="EK449" s="637">
        <f t="shared" si="1293"/>
        <v>0</v>
      </c>
      <c r="EL449" s="637">
        <f t="shared" si="1294"/>
        <v>0</v>
      </c>
      <c r="EM449" s="643">
        <f t="shared" si="1295"/>
        <v>0</v>
      </c>
      <c r="EN449" s="637">
        <f t="shared" si="1296"/>
        <v>0</v>
      </c>
      <c r="EO449" s="637">
        <f t="shared" si="1297"/>
        <v>0</v>
      </c>
      <c r="EP449" s="637">
        <f t="shared" si="1298"/>
        <v>0</v>
      </c>
      <c r="EQ449" s="643">
        <f t="shared" si="1299"/>
        <v>0</v>
      </c>
      <c r="ER449" s="637">
        <f t="shared" si="1300"/>
        <v>0</v>
      </c>
      <c r="ES449" s="637">
        <f t="shared" si="1301"/>
        <v>0</v>
      </c>
      <c r="ET449" s="637">
        <f t="shared" si="1302"/>
        <v>0</v>
      </c>
      <c r="EU449" s="643">
        <f t="shared" si="1278"/>
        <v>0</v>
      </c>
      <c r="EV449" s="643">
        <f t="shared" si="1279"/>
        <v>0</v>
      </c>
      <c r="EX449" s="829">
        <f t="shared" si="1280"/>
        <v>0</v>
      </c>
      <c r="EY449" s="638">
        <f t="shared" si="1281"/>
        <v>0</v>
      </c>
      <c r="FC449" s="830" t="str">
        <f t="shared" si="1303"/>
        <v>N</v>
      </c>
      <c r="FE449" s="830" t="str">
        <f>IFERROR(VLOOKUP($B449,'Historical Conc Grant Elig'!$B$3:$J$707,'HH &amp; SI'!FE$2,0),"N")</f>
        <v>N</v>
      </c>
      <c r="FF449" s="830" t="str">
        <f>IFERROR(VLOOKUP($B449,'Historical Conc Grant Elig'!$B$3:$J$707,'HH &amp; SI'!FF$2,0),"N")</f>
        <v>N</v>
      </c>
      <c r="FG449" s="830" t="str">
        <f>IFERROR(VLOOKUP($B449,'Historical Conc Grant Elig'!$B$3:$J$707,'HH &amp; SI'!FG$2,0),"N")</f>
        <v>N</v>
      </c>
      <c r="FH449" s="830" t="str">
        <f>IFERROR(VLOOKUP($B449,'Historical Conc Grant Elig'!$B$3:$J$707,'HH &amp; SI'!FH$2,0),"N")</f>
        <v>N</v>
      </c>
      <c r="FI449" s="830" t="str">
        <f>IFERROR(VLOOKUP($B449,'Historical Conc Grant Elig'!$B$3:$J$707,'HH &amp; SI'!FI$2,0),"N")</f>
        <v>N</v>
      </c>
      <c r="FJ449" s="830" t="str">
        <f>IFERROR(VLOOKUP($B449,'Historical Conc Grant Elig'!$B$3:$J$707,'HH &amp; SI'!FJ$2,0),"N")</f>
        <v>N</v>
      </c>
      <c r="FK449" s="830" t="str">
        <f>IFERROR(VLOOKUP($B449,'Historical Conc Grant Elig'!$B$3:$J$707,'HH &amp; SI'!FK$2,0),"N")</f>
        <v>N</v>
      </c>
      <c r="FL449" s="957" t="str">
        <f>IFERROR(VLOOKUP($B449,'Historical Conc Grant Elig'!$B$3:$J$707,'HH &amp; SI'!FL$2,0),"N")</f>
        <v>N</v>
      </c>
    </row>
    <row r="450" spans="2:168" x14ac:dyDescent="0.25">
      <c r="B450" s="634">
        <v>130315000</v>
      </c>
      <c r="C450" s="635" t="str">
        <f>VLOOKUP($B450,'Afton Update'!$A$5:$CR$582,'Afton Update'!D$589,0)</f>
        <v>Skull Valley Elementary District</v>
      </c>
      <c r="D450" s="636">
        <f>IFERROR(VLOOKUP($B450,'Afton FY16 Final'!$A$5:$BV$587,'Afton FY16 Final'!AQ$587,0),0)</f>
        <v>6974.4208471196935</v>
      </c>
      <c r="E450" s="637">
        <f>IFERROR(VLOOKUP($B450,'Afton FY16 Final'!$A$5:$BV$587,'Afton FY16 Final'!AR$587,0),0)</f>
        <v>2029.5941528774686</v>
      </c>
      <c r="F450" s="637">
        <f>IFERROR(VLOOKUP($B450,'Afton FY16 Final'!$A$5:$BV$587,'Afton FY16 Final'!AS$587,0),0)</f>
        <v>1995.0127390379409</v>
      </c>
      <c r="G450" s="637">
        <f>IFERROR(VLOOKUP($B450,'Afton FY16 Final'!$A$5:$BV$587,'Afton FY16 Final'!AT$587,0),0)</f>
        <v>1485.0588662123428</v>
      </c>
      <c r="H450" s="638">
        <f>IFERROR(VLOOKUP($B450,'Afton FY16 Final'!$A$5:$BV$587,'Afton FY16 Final'!AU$587,0),0)</f>
        <v>12484.086605247445</v>
      </c>
      <c r="I450" s="639" t="str">
        <f>VLOOKUP($B450,'Afton Update'!$A$5:$CR$582,'Afton Update'!BT$589,0)</f>
        <v>Y</v>
      </c>
      <c r="J450" s="640" t="str">
        <f>VLOOKUP($B450,'Afton Update'!$A$5:$CR$582,'Afton Update'!BU$589,0)</f>
        <v>N</v>
      </c>
      <c r="K450" s="640" t="str">
        <f>VLOOKUP($B450,'Afton Update'!$A$5:$CR$582,'Afton Update'!BV$589,0)</f>
        <v>Y</v>
      </c>
      <c r="L450" s="641" t="str">
        <f>VLOOKUP($B450,'Afton Update'!$A$5:$CR$582,'Afton Update'!BW$589,0)</f>
        <v>Y</v>
      </c>
      <c r="N450" s="642">
        <f>VLOOKUP($B450,'Afton Update'!$A$5:$CR$582,'Afton Update'!CB$589,0)</f>
        <v>0.85</v>
      </c>
      <c r="P450" s="636">
        <f>VLOOKUP($B450,'Afton Update'!$A$5:$CR$582,'Afton Update'!AH$589,0)</f>
        <v>6524.5677887488309</v>
      </c>
      <c r="Q450" s="637" t="str">
        <f>VLOOKUP($B450,'Afton Update'!$A$5:$CR$582,'Afton Update'!AI$589,0)</f>
        <v/>
      </c>
      <c r="R450" s="637">
        <f>VLOOKUP($B450,'Afton Update'!$A$5:$CR$582,'Afton Update'!AJ$589,0)</f>
        <v>2001.2398888294606</v>
      </c>
      <c r="S450" s="637">
        <f>VLOOKUP($B450,'Afton Update'!$A$5:$CR$582,'Afton Update'!AK$589,0)</f>
        <v>1556.3933714362893</v>
      </c>
      <c r="T450" s="643">
        <f t="shared" si="1307"/>
        <v>10082.20104901458</v>
      </c>
      <c r="V450" s="636">
        <f t="shared" si="1333"/>
        <v>6435.5684492504251</v>
      </c>
      <c r="W450" s="637">
        <f t="shared" si="1334"/>
        <v>1725.1550299458481</v>
      </c>
      <c r="X450" s="637">
        <f t="shared" si="1335"/>
        <v>1983.0393933951279</v>
      </c>
      <c r="Y450" s="637">
        <f t="shared" si="1336"/>
        <v>1539.2447181342422</v>
      </c>
      <c r="Z450" s="643">
        <f t="shared" si="1337"/>
        <v>11683.007590725643</v>
      </c>
      <c r="AB450" s="644">
        <f t="shared" si="1308"/>
        <v>6524.5677887488309</v>
      </c>
      <c r="AC450" s="645">
        <f t="shared" si="1304"/>
        <v>5928.2577200517389</v>
      </c>
      <c r="AD450" s="644">
        <f t="shared" si="1338"/>
        <v>0</v>
      </c>
      <c r="AE450" s="645">
        <f t="shared" si="1339"/>
        <v>6524.5677887488309</v>
      </c>
      <c r="AF450" s="646">
        <f t="shared" si="1340"/>
        <v>-80.87692082371737</v>
      </c>
      <c r="AG450" s="647">
        <f t="shared" si="1341"/>
        <v>6443.6908679251137</v>
      </c>
      <c r="AH450" s="644">
        <f t="shared" si="1309"/>
        <v>0</v>
      </c>
      <c r="AI450" s="645">
        <f t="shared" si="1310"/>
        <v>6443.6908679251137</v>
      </c>
      <c r="AJ450" s="646">
        <f t="shared" si="1342"/>
        <v>-8.1172439066987714</v>
      </c>
      <c r="AK450" s="647">
        <f t="shared" si="1311"/>
        <v>6435.5736240184151</v>
      </c>
      <c r="AL450" s="644">
        <f t="shared" si="1343"/>
        <v>0</v>
      </c>
      <c r="AM450" s="645">
        <f t="shared" si="1344"/>
        <v>6435.5736240184151</v>
      </c>
      <c r="AN450" s="646">
        <f t="shared" si="1345"/>
        <v>-5.1747679902274472E-3</v>
      </c>
      <c r="AO450" s="647">
        <f t="shared" si="1312"/>
        <v>6435.5684492504251</v>
      </c>
      <c r="AP450" s="644">
        <f t="shared" si="1346"/>
        <v>0</v>
      </c>
      <c r="AQ450" s="645">
        <f t="shared" si="1347"/>
        <v>6435.5684492504251</v>
      </c>
      <c r="AR450" s="646">
        <f t="shared" si="1348"/>
        <v>0</v>
      </c>
      <c r="AS450" s="647">
        <f t="shared" si="1313"/>
        <v>6435.5684492504251</v>
      </c>
      <c r="AT450" s="644">
        <f t="shared" si="1349"/>
        <v>0</v>
      </c>
      <c r="AU450" s="645">
        <f t="shared" si="1350"/>
        <v>6435.5684492504251</v>
      </c>
      <c r="AV450" s="646">
        <f t="shared" si="1351"/>
        <v>0</v>
      </c>
      <c r="AW450" s="647">
        <f t="shared" si="1314"/>
        <v>6435.5684492504251</v>
      </c>
      <c r="AY450" s="644">
        <f t="shared" si="1352"/>
        <v>0</v>
      </c>
      <c r="AZ450" s="645">
        <f t="shared" si="1282"/>
        <v>1725.1550299458481</v>
      </c>
      <c r="BA450" s="644">
        <f t="shared" si="1353"/>
        <v>0</v>
      </c>
      <c r="BB450" s="645">
        <f t="shared" si="1354"/>
        <v>0</v>
      </c>
      <c r="BC450" s="646">
        <f t="shared" si="1355"/>
        <v>0</v>
      </c>
      <c r="BD450" s="647">
        <f t="shared" si="1356"/>
        <v>0</v>
      </c>
      <c r="BE450" s="644">
        <f t="shared" si="1315"/>
        <v>-1725.1550299458481</v>
      </c>
      <c r="BF450" s="645">
        <f t="shared" si="1316"/>
        <v>0</v>
      </c>
      <c r="BG450" s="646">
        <f t="shared" si="1357"/>
        <v>0</v>
      </c>
      <c r="BH450" s="647">
        <f t="shared" si="1317"/>
        <v>1725.1550299458481</v>
      </c>
      <c r="BI450" s="644">
        <f t="shared" si="1358"/>
        <v>0</v>
      </c>
      <c r="BJ450" s="645">
        <f t="shared" si="1359"/>
        <v>0</v>
      </c>
      <c r="BK450" s="646">
        <f t="shared" si="1360"/>
        <v>0</v>
      </c>
      <c r="BL450" s="647">
        <f t="shared" si="1318"/>
        <v>1725.1550299458481</v>
      </c>
      <c r="BM450" s="644">
        <f t="shared" si="1361"/>
        <v>0</v>
      </c>
      <c r="BN450" s="645">
        <f t="shared" si="1362"/>
        <v>0</v>
      </c>
      <c r="BO450" s="646">
        <f t="shared" si="1363"/>
        <v>0</v>
      </c>
      <c r="BP450" s="647">
        <f t="shared" si="1319"/>
        <v>1725.1550299458481</v>
      </c>
      <c r="BQ450" s="644">
        <f t="shared" si="1364"/>
        <v>0</v>
      </c>
      <c r="BR450" s="645">
        <f t="shared" si="1365"/>
        <v>0</v>
      </c>
      <c r="BS450" s="646">
        <f t="shared" si="1366"/>
        <v>0</v>
      </c>
      <c r="BT450" s="647">
        <f t="shared" si="1320"/>
        <v>1725.1550299458481</v>
      </c>
      <c r="BU450" s="662">
        <f>VLOOKUP(B450,'Afton Update'!$A$5:$AR$582,'Afton Update'!$AO$589,0)-BT450</f>
        <v>0</v>
      </c>
      <c r="BV450" s="644">
        <f t="shared" si="1367"/>
        <v>2001.2398888294606</v>
      </c>
      <c r="BW450" s="645">
        <f t="shared" si="1305"/>
        <v>1695.7608281822497</v>
      </c>
      <c r="BX450" s="644">
        <f t="shared" si="1368"/>
        <v>0</v>
      </c>
      <c r="BY450" s="645">
        <f t="shared" si="1369"/>
        <v>2001.2398888294606</v>
      </c>
      <c r="BZ450" s="646">
        <f t="shared" si="1370"/>
        <v>-17.565095273704191</v>
      </c>
      <c r="CA450" s="647">
        <f t="shared" si="1371"/>
        <v>1983.6747935557564</v>
      </c>
      <c r="CB450" s="644">
        <f t="shared" si="1321"/>
        <v>0</v>
      </c>
      <c r="CC450" s="645">
        <f t="shared" si="1322"/>
        <v>1983.6747935557564</v>
      </c>
      <c r="CD450" s="646">
        <f t="shared" si="1372"/>
        <v>-0.63540016062848981</v>
      </c>
      <c r="CE450" s="647">
        <f t="shared" si="1323"/>
        <v>1983.0393933951279</v>
      </c>
      <c r="CF450" s="644">
        <f t="shared" si="1373"/>
        <v>0</v>
      </c>
      <c r="CG450" s="645">
        <f t="shared" si="1374"/>
        <v>1983.0393933951279</v>
      </c>
      <c r="CH450" s="646">
        <f t="shared" si="1375"/>
        <v>0</v>
      </c>
      <c r="CI450" s="647">
        <f t="shared" si="1324"/>
        <v>1983.0393933951279</v>
      </c>
      <c r="CJ450" s="644">
        <f t="shared" si="1376"/>
        <v>0</v>
      </c>
      <c r="CK450" s="645">
        <f t="shared" si="1377"/>
        <v>1983.0393933951279</v>
      </c>
      <c r="CL450" s="646">
        <f t="shared" si="1378"/>
        <v>0</v>
      </c>
      <c r="CM450" s="647">
        <f t="shared" si="1325"/>
        <v>1983.0393933951279</v>
      </c>
      <c r="CN450" s="644">
        <f t="shared" si="1379"/>
        <v>0</v>
      </c>
      <c r="CO450" s="645">
        <f t="shared" si="1380"/>
        <v>1983.0393933951279</v>
      </c>
      <c r="CP450" s="646">
        <f t="shared" si="1381"/>
        <v>0</v>
      </c>
      <c r="CQ450" s="647">
        <f t="shared" si="1326"/>
        <v>1983.0393933951279</v>
      </c>
      <c r="CS450" s="644">
        <f t="shared" si="1382"/>
        <v>1556.3933714362893</v>
      </c>
      <c r="CT450" s="645">
        <f t="shared" si="1306"/>
        <v>1262.3000362804912</v>
      </c>
      <c r="CU450" s="644">
        <f t="shared" si="1383"/>
        <v>0</v>
      </c>
      <c r="CV450" s="645">
        <f t="shared" si="1384"/>
        <v>1556.3933714362893</v>
      </c>
      <c r="CW450" s="646">
        <f t="shared" si="1385"/>
        <v>-15.938347675604632</v>
      </c>
      <c r="CX450" s="647">
        <f t="shared" si="1386"/>
        <v>1540.4550237606845</v>
      </c>
      <c r="CY450" s="644">
        <f t="shared" si="1327"/>
        <v>0</v>
      </c>
      <c r="CZ450" s="645">
        <f t="shared" si="1328"/>
        <v>1540.4550237606845</v>
      </c>
      <c r="DA450" s="646">
        <f t="shared" si="1387"/>
        <v>-1.2092627879043005</v>
      </c>
      <c r="DB450" s="647">
        <f t="shared" si="1329"/>
        <v>1539.2457609727803</v>
      </c>
      <c r="DC450" s="644">
        <f t="shared" si="1388"/>
        <v>0</v>
      </c>
      <c r="DD450" s="645">
        <f t="shared" si="1389"/>
        <v>1539.2457609727803</v>
      </c>
      <c r="DE450" s="646">
        <f t="shared" si="1390"/>
        <v>-1.0428385380205172E-3</v>
      </c>
      <c r="DF450" s="647">
        <f t="shared" si="1330"/>
        <v>1539.2447181342422</v>
      </c>
      <c r="DG450" s="644">
        <f t="shared" si="1391"/>
        <v>0</v>
      </c>
      <c r="DH450" s="645">
        <f t="shared" si="1392"/>
        <v>1539.2447181342422</v>
      </c>
      <c r="DI450" s="646">
        <f t="shared" si="1393"/>
        <v>0</v>
      </c>
      <c r="DJ450" s="647">
        <f t="shared" si="1331"/>
        <v>1539.2447181342422</v>
      </c>
      <c r="DK450" s="644">
        <f t="shared" si="1394"/>
        <v>0</v>
      </c>
      <c r="DL450" s="645">
        <f t="shared" si="1395"/>
        <v>1539.2447181342422</v>
      </c>
      <c r="DM450" s="646">
        <f t="shared" si="1396"/>
        <v>0</v>
      </c>
      <c r="DN450" s="647">
        <f t="shared" si="1332"/>
        <v>1539.2447181342422</v>
      </c>
      <c r="DR450" s="827">
        <f t="shared" si="1283"/>
        <v>11683.007590725643</v>
      </c>
      <c r="DV450" s="828">
        <f>IFERROR(VLOOKUP($B450,'Afton FY16 Final'!$A$5:$BV$587,'Afton FY16 Final'!$BV$587,0),0)</f>
        <v>12238.274942057596</v>
      </c>
      <c r="DX450" s="636">
        <f t="shared" si="1274"/>
        <v>0</v>
      </c>
      <c r="DY450" s="637">
        <f t="shared" si="1275"/>
        <v>0</v>
      </c>
      <c r="DZ450" s="637">
        <f t="shared" si="1276"/>
        <v>0</v>
      </c>
      <c r="EA450" s="643">
        <f t="shared" si="1277"/>
        <v>0</v>
      </c>
      <c r="EB450" s="637">
        <f t="shared" si="1284"/>
        <v>0</v>
      </c>
      <c r="EC450" s="637">
        <f t="shared" si="1285"/>
        <v>0</v>
      </c>
      <c r="ED450" s="637">
        <f t="shared" si="1286"/>
        <v>0</v>
      </c>
      <c r="EE450" s="643">
        <f t="shared" si="1287"/>
        <v>0</v>
      </c>
      <c r="EF450" s="637">
        <f t="shared" si="1288"/>
        <v>0</v>
      </c>
      <c r="EG450" s="637">
        <f t="shared" si="1289"/>
        <v>0</v>
      </c>
      <c r="EH450" s="637">
        <f t="shared" si="1290"/>
        <v>0</v>
      </c>
      <c r="EI450" s="643">
        <f t="shared" si="1291"/>
        <v>0</v>
      </c>
      <c r="EJ450" s="637">
        <f t="shared" si="1292"/>
        <v>0</v>
      </c>
      <c r="EK450" s="637">
        <f t="shared" si="1293"/>
        <v>0</v>
      </c>
      <c r="EL450" s="637">
        <f t="shared" si="1294"/>
        <v>0</v>
      </c>
      <c r="EM450" s="643">
        <f t="shared" si="1295"/>
        <v>0</v>
      </c>
      <c r="EN450" s="637">
        <f t="shared" si="1296"/>
        <v>0</v>
      </c>
      <c r="EO450" s="637">
        <f t="shared" si="1297"/>
        <v>0</v>
      </c>
      <c r="EP450" s="637">
        <f t="shared" si="1298"/>
        <v>0</v>
      </c>
      <c r="EQ450" s="643">
        <f t="shared" si="1299"/>
        <v>0</v>
      </c>
      <c r="ER450" s="637">
        <f t="shared" si="1300"/>
        <v>0</v>
      </c>
      <c r="ES450" s="637">
        <f t="shared" si="1301"/>
        <v>0</v>
      </c>
      <c r="ET450" s="637">
        <f t="shared" si="1302"/>
        <v>0</v>
      </c>
      <c r="EU450" s="643">
        <f t="shared" si="1278"/>
        <v>0</v>
      </c>
      <c r="EV450" s="643">
        <f t="shared" si="1279"/>
        <v>0</v>
      </c>
      <c r="EX450" s="829">
        <f t="shared" si="1280"/>
        <v>0</v>
      </c>
      <c r="EY450" s="638">
        <f t="shared" si="1281"/>
        <v>11683.007590725643</v>
      </c>
      <c r="FC450" s="830" t="str">
        <f t="shared" si="1303"/>
        <v>Y</v>
      </c>
      <c r="FE450" s="830" t="str">
        <f>IFERROR(VLOOKUP($B450,'Historical Conc Grant Elig'!$B$3:$J$707,'HH &amp; SI'!FE$2,0),"N")</f>
        <v>N</v>
      </c>
      <c r="FF450" s="830" t="str">
        <f>IFERROR(VLOOKUP($B450,'Historical Conc Grant Elig'!$B$3:$J$707,'HH &amp; SI'!FF$2,0),"N")</f>
        <v>N</v>
      </c>
      <c r="FG450" s="830" t="str">
        <f>IFERROR(VLOOKUP($B450,'Historical Conc Grant Elig'!$B$3:$J$707,'HH &amp; SI'!FG$2,0),"N")</f>
        <v>N</v>
      </c>
      <c r="FH450" s="830" t="str">
        <f>IFERROR(VLOOKUP($B450,'Historical Conc Grant Elig'!$B$3:$J$707,'HH &amp; SI'!FH$2,0),"N")</f>
        <v>Y</v>
      </c>
      <c r="FI450" s="830" t="str">
        <f>IFERROR(VLOOKUP($B450,'Historical Conc Grant Elig'!$B$3:$J$707,'HH &amp; SI'!FI$2,0),"N")</f>
        <v>Y</v>
      </c>
      <c r="FJ450" s="830" t="str">
        <f>IFERROR(VLOOKUP($B450,'Historical Conc Grant Elig'!$B$3:$J$707,'HH &amp; SI'!FJ$2,0),"N")</f>
        <v>Y</v>
      </c>
      <c r="FK450" s="830" t="str">
        <f>IFERROR(VLOOKUP($B450,'Historical Conc Grant Elig'!$B$3:$J$707,'HH &amp; SI'!FK$2,0),"N")</f>
        <v>Y</v>
      </c>
      <c r="FL450" s="957" t="str">
        <f>IFERROR(VLOOKUP($B450,'Historical Conc Grant Elig'!$B$3:$J$707,'HH &amp; SI'!FL$2,0),"N")</f>
        <v>N</v>
      </c>
    </row>
    <row r="451" spans="2:168" x14ac:dyDescent="0.25">
      <c r="B451" s="634">
        <v>130317000</v>
      </c>
      <c r="C451" s="635" t="str">
        <f>VLOOKUP($B451,'Afton Update'!$A$5:$CR$582,'Afton Update'!D$589,0)</f>
        <v>Congress Elementary District</v>
      </c>
      <c r="D451" s="636">
        <f>IFERROR(VLOOKUP($B451,'Afton FY16 Final'!$A$5:$BV$587,'Afton FY16 Final'!AQ$587,0),0)</f>
        <v>21552.524583073948</v>
      </c>
      <c r="E451" s="637">
        <f>IFERROR(VLOOKUP($B451,'Afton FY16 Final'!$A$5:$BV$587,'Afton FY16 Final'!AR$587,0),0)</f>
        <v>5425.9108486366504</v>
      </c>
      <c r="F451" s="637">
        <f>IFERROR(VLOOKUP($B451,'Afton FY16 Final'!$A$5:$BV$587,'Afton FY16 Final'!AS$587,0),0)</f>
        <v>8471.5469172148623</v>
      </c>
      <c r="G451" s="637">
        <f>IFERROR(VLOOKUP($B451,'Afton FY16 Final'!$A$5:$BV$587,'Afton FY16 Final'!AT$587,0),0)</f>
        <v>6960.6595583594644</v>
      </c>
      <c r="H451" s="638">
        <f>IFERROR(VLOOKUP($B451,'Afton FY16 Final'!$A$5:$BV$587,'Afton FY16 Final'!AU$587,0),0)</f>
        <v>42410.641907284924</v>
      </c>
      <c r="I451" s="639" t="str">
        <f>VLOOKUP($B451,'Afton Update'!$A$5:$CR$582,'Afton Update'!BT$589,0)</f>
        <v>Y</v>
      </c>
      <c r="J451" s="640" t="str">
        <f>VLOOKUP($B451,'Afton Update'!$A$5:$CR$582,'Afton Update'!BU$589,0)</f>
        <v>Y</v>
      </c>
      <c r="K451" s="640" t="str">
        <f>VLOOKUP($B451,'Afton Update'!$A$5:$CR$582,'Afton Update'!BV$589,0)</f>
        <v>Y</v>
      </c>
      <c r="L451" s="641" t="str">
        <f>VLOOKUP($B451,'Afton Update'!$A$5:$CR$582,'Afton Update'!BW$589,0)</f>
        <v>Y</v>
      </c>
      <c r="N451" s="642">
        <f>VLOOKUP($B451,'Afton Update'!$A$5:$CR$582,'Afton Update'!CB$589,0)</f>
        <v>0.9</v>
      </c>
      <c r="P451" s="636">
        <f>VLOOKUP($B451,'Afton Update'!$A$5:$CR$582,'Afton Update'!AH$589,0)</f>
        <v>25347.106382469909</v>
      </c>
      <c r="Q451" s="637">
        <f>VLOOKUP($B451,'Afton Update'!$A$5:$CR$582,'Afton Update'!AI$589,0)</f>
        <v>8937.081325908066</v>
      </c>
      <c r="R451" s="637">
        <f>VLOOKUP($B451,'Afton Update'!$A$5:$CR$582,'Afton Update'!AJ$589,0)</f>
        <v>12016.48447578921</v>
      </c>
      <c r="S451" s="637">
        <f>VLOOKUP($B451,'Afton Update'!$A$5:$CR$582,'Afton Update'!AK$589,0)</f>
        <v>9831.0601316256052</v>
      </c>
      <c r="T451" s="643">
        <f t="shared" si="1307"/>
        <v>56131.732315792789</v>
      </c>
      <c r="V451" s="636">
        <f t="shared" si="1333"/>
        <v>25001.355399527285</v>
      </c>
      <c r="W451" s="637">
        <f t="shared" si="1334"/>
        <v>8642.7265418533316</v>
      </c>
      <c r="X451" s="637">
        <f t="shared" si="1335"/>
        <v>11907.199241140877</v>
      </c>
      <c r="Y451" s="637">
        <f t="shared" si="1336"/>
        <v>9722.7395457873063</v>
      </c>
      <c r="Z451" s="643">
        <f t="shared" si="1337"/>
        <v>55274.020728308802</v>
      </c>
      <c r="AB451" s="644">
        <f t="shared" si="1308"/>
        <v>25347.106382469909</v>
      </c>
      <c r="AC451" s="645">
        <f t="shared" si="1304"/>
        <v>19397.272124766554</v>
      </c>
      <c r="AD451" s="644">
        <f t="shared" si="1338"/>
        <v>0</v>
      </c>
      <c r="AE451" s="645">
        <f t="shared" si="1339"/>
        <v>25347.106382469909</v>
      </c>
      <c r="AF451" s="646">
        <f t="shared" si="1340"/>
        <v>-314.19643145411675</v>
      </c>
      <c r="AG451" s="647">
        <f t="shared" si="1341"/>
        <v>25032.90995101579</v>
      </c>
      <c r="AH451" s="644">
        <f t="shared" si="1309"/>
        <v>0</v>
      </c>
      <c r="AI451" s="645">
        <f t="shared" si="1310"/>
        <v>25032.90995101579</v>
      </c>
      <c r="AJ451" s="646">
        <f t="shared" si="1342"/>
        <v>-31.534448180667042</v>
      </c>
      <c r="AK451" s="647">
        <f t="shared" si="1311"/>
        <v>25001.375502835122</v>
      </c>
      <c r="AL451" s="644">
        <f t="shared" si="1343"/>
        <v>0</v>
      </c>
      <c r="AM451" s="645">
        <f t="shared" si="1344"/>
        <v>25001.375502835122</v>
      </c>
      <c r="AN451" s="646">
        <f t="shared" si="1345"/>
        <v>-2.0103307835820299E-2</v>
      </c>
      <c r="AO451" s="647">
        <f t="shared" si="1312"/>
        <v>25001.355399527285</v>
      </c>
      <c r="AP451" s="644">
        <f t="shared" si="1346"/>
        <v>0</v>
      </c>
      <c r="AQ451" s="645">
        <f t="shared" si="1347"/>
        <v>25001.355399527285</v>
      </c>
      <c r="AR451" s="646">
        <f t="shared" si="1348"/>
        <v>0</v>
      </c>
      <c r="AS451" s="647">
        <f t="shared" si="1313"/>
        <v>25001.355399527285</v>
      </c>
      <c r="AT451" s="644">
        <f t="shared" si="1349"/>
        <v>0</v>
      </c>
      <c r="AU451" s="645">
        <f t="shared" si="1350"/>
        <v>25001.355399527285</v>
      </c>
      <c r="AV451" s="646">
        <f t="shared" si="1351"/>
        <v>0</v>
      </c>
      <c r="AW451" s="647">
        <f t="shared" si="1314"/>
        <v>25001.355399527285</v>
      </c>
      <c r="AY451" s="644">
        <f t="shared" si="1352"/>
        <v>8937.081325908066</v>
      </c>
      <c r="AZ451" s="645">
        <f t="shared" si="1282"/>
        <v>4883.3197637729854</v>
      </c>
      <c r="BA451" s="644">
        <f t="shared" si="1353"/>
        <v>0</v>
      </c>
      <c r="BB451" s="645">
        <f t="shared" si="1354"/>
        <v>8937.081325908066</v>
      </c>
      <c r="BC451" s="646">
        <f t="shared" si="1355"/>
        <v>-64.269156352186144</v>
      </c>
      <c r="BD451" s="647">
        <f t="shared" si="1356"/>
        <v>8872.8121695558802</v>
      </c>
      <c r="BE451" s="644">
        <f t="shared" si="1315"/>
        <v>0</v>
      </c>
      <c r="BF451" s="645">
        <f t="shared" si="1316"/>
        <v>8872.8121695558802</v>
      </c>
      <c r="BG451" s="646">
        <f t="shared" si="1357"/>
        <v>-211.34315505856327</v>
      </c>
      <c r="BH451" s="647">
        <f t="shared" si="1317"/>
        <v>8661.4690144973174</v>
      </c>
      <c r="BI451" s="644">
        <f t="shared" si="1358"/>
        <v>0</v>
      </c>
      <c r="BJ451" s="645">
        <f t="shared" si="1359"/>
        <v>8661.4690144973174</v>
      </c>
      <c r="BK451" s="646">
        <f t="shared" si="1360"/>
        <v>-18.34702570933441</v>
      </c>
      <c r="BL451" s="647">
        <f t="shared" si="1318"/>
        <v>8643.1219887879834</v>
      </c>
      <c r="BM451" s="644">
        <f t="shared" si="1361"/>
        <v>0</v>
      </c>
      <c r="BN451" s="645">
        <f t="shared" si="1362"/>
        <v>8643.1219887879834</v>
      </c>
      <c r="BO451" s="646">
        <f t="shared" si="1363"/>
        <v>-0.39544693465088732</v>
      </c>
      <c r="BP451" s="647">
        <f t="shared" si="1319"/>
        <v>8642.7265418533316</v>
      </c>
      <c r="BQ451" s="644">
        <f t="shared" si="1364"/>
        <v>0</v>
      </c>
      <c r="BR451" s="645">
        <f t="shared" si="1365"/>
        <v>8642.7265418533316</v>
      </c>
      <c r="BS451" s="646">
        <f t="shared" si="1366"/>
        <v>0</v>
      </c>
      <c r="BT451" s="647">
        <f t="shared" si="1320"/>
        <v>8642.7265418533316</v>
      </c>
      <c r="BU451" s="662">
        <f>VLOOKUP(B451,'Afton Update'!$A$5:$AR$582,'Afton Update'!$AO$589,0)-BT451</f>
        <v>0</v>
      </c>
      <c r="BV451" s="644">
        <f t="shared" si="1367"/>
        <v>12016.48447578921</v>
      </c>
      <c r="BW451" s="645">
        <f t="shared" si="1305"/>
        <v>7624.3922254933759</v>
      </c>
      <c r="BX451" s="644">
        <f t="shared" si="1368"/>
        <v>0</v>
      </c>
      <c r="BY451" s="645">
        <f t="shared" si="1369"/>
        <v>12016.48447578921</v>
      </c>
      <c r="BZ451" s="646">
        <f t="shared" si="1370"/>
        <v>-105.46996182235881</v>
      </c>
      <c r="CA451" s="647">
        <f t="shared" si="1371"/>
        <v>11911.014513966851</v>
      </c>
      <c r="CB451" s="644">
        <f t="shared" si="1321"/>
        <v>0</v>
      </c>
      <c r="CC451" s="645">
        <f t="shared" si="1322"/>
        <v>11911.014513966851</v>
      </c>
      <c r="CD451" s="646">
        <f t="shared" si="1372"/>
        <v>-3.8152728259739743</v>
      </c>
      <c r="CE451" s="647">
        <f t="shared" si="1323"/>
        <v>11907.199241140877</v>
      </c>
      <c r="CF451" s="644">
        <f t="shared" si="1373"/>
        <v>0</v>
      </c>
      <c r="CG451" s="645">
        <f t="shared" si="1374"/>
        <v>11907.199241140877</v>
      </c>
      <c r="CH451" s="646">
        <f t="shared" si="1375"/>
        <v>0</v>
      </c>
      <c r="CI451" s="647">
        <f t="shared" si="1324"/>
        <v>11907.199241140877</v>
      </c>
      <c r="CJ451" s="644">
        <f t="shared" si="1376"/>
        <v>0</v>
      </c>
      <c r="CK451" s="645">
        <f t="shared" si="1377"/>
        <v>11907.199241140877</v>
      </c>
      <c r="CL451" s="646">
        <f t="shared" si="1378"/>
        <v>0</v>
      </c>
      <c r="CM451" s="647">
        <f t="shared" si="1325"/>
        <v>11907.199241140877</v>
      </c>
      <c r="CN451" s="644">
        <f t="shared" si="1379"/>
        <v>0</v>
      </c>
      <c r="CO451" s="645">
        <f t="shared" si="1380"/>
        <v>11907.199241140877</v>
      </c>
      <c r="CP451" s="646">
        <f t="shared" si="1381"/>
        <v>0</v>
      </c>
      <c r="CQ451" s="647">
        <f t="shared" si="1326"/>
        <v>11907.199241140877</v>
      </c>
      <c r="CS451" s="644">
        <f t="shared" si="1382"/>
        <v>9831.0601316256052</v>
      </c>
      <c r="CT451" s="645">
        <f t="shared" si="1306"/>
        <v>6264.5936025235178</v>
      </c>
      <c r="CU451" s="644">
        <f t="shared" si="1383"/>
        <v>0</v>
      </c>
      <c r="CV451" s="645">
        <f t="shared" si="1384"/>
        <v>9831.0601316256052</v>
      </c>
      <c r="CW451" s="646">
        <f t="shared" si="1385"/>
        <v>-100.67561149597098</v>
      </c>
      <c r="CX451" s="647">
        <f t="shared" si="1386"/>
        <v>9730.3845201296335</v>
      </c>
      <c r="CY451" s="644">
        <f t="shared" si="1327"/>
        <v>0</v>
      </c>
      <c r="CZ451" s="645">
        <f t="shared" si="1328"/>
        <v>9730.3845201296335</v>
      </c>
      <c r="DA451" s="646">
        <f t="shared" si="1387"/>
        <v>-7.638387184760024</v>
      </c>
      <c r="DB451" s="647">
        <f t="shared" si="1329"/>
        <v>9722.7461329448743</v>
      </c>
      <c r="DC451" s="644">
        <f t="shared" si="1388"/>
        <v>0</v>
      </c>
      <c r="DD451" s="645">
        <f t="shared" si="1389"/>
        <v>9722.7461329448743</v>
      </c>
      <c r="DE451" s="646">
        <f t="shared" si="1390"/>
        <v>-6.5871575676239077E-3</v>
      </c>
      <c r="DF451" s="647">
        <f t="shared" si="1330"/>
        <v>9722.7395457873063</v>
      </c>
      <c r="DG451" s="644">
        <f t="shared" si="1391"/>
        <v>0</v>
      </c>
      <c r="DH451" s="645">
        <f t="shared" si="1392"/>
        <v>9722.7395457873063</v>
      </c>
      <c r="DI451" s="646">
        <f t="shared" si="1393"/>
        <v>0</v>
      </c>
      <c r="DJ451" s="647">
        <f t="shared" si="1331"/>
        <v>9722.7395457873063</v>
      </c>
      <c r="DK451" s="644">
        <f t="shared" si="1394"/>
        <v>0</v>
      </c>
      <c r="DL451" s="645">
        <f t="shared" si="1395"/>
        <v>9722.7395457873063</v>
      </c>
      <c r="DM451" s="646">
        <f t="shared" si="1396"/>
        <v>0</v>
      </c>
      <c r="DN451" s="647">
        <f t="shared" si="1332"/>
        <v>9722.7395457873063</v>
      </c>
      <c r="DR451" s="827">
        <f t="shared" si="1283"/>
        <v>55274.020728308802</v>
      </c>
      <c r="DV451" s="828">
        <f>IFERROR(VLOOKUP($B451,'Afton FY16 Final'!$A$5:$BV$587,'Afton FY16 Final'!$BV$587,0),0)</f>
        <v>39545.291713990482</v>
      </c>
      <c r="DX451" s="636">
        <f t="shared" si="1274"/>
        <v>55274.020728308802</v>
      </c>
      <c r="DY451" s="637">
        <f t="shared" si="1275"/>
        <v>15728.72901431832</v>
      </c>
      <c r="DZ451" s="637">
        <f t="shared" si="1276"/>
        <v>39545.291713990482</v>
      </c>
      <c r="EA451" s="643">
        <f t="shared" si="1277"/>
        <v>52334.062303675382</v>
      </c>
      <c r="EB451" s="637">
        <f t="shared" si="1284"/>
        <v>0</v>
      </c>
      <c r="EC451" s="637">
        <f t="shared" si="1285"/>
        <v>52334.062303675382</v>
      </c>
      <c r="ED451" s="637">
        <f t="shared" si="1286"/>
        <v>52178.005254633681</v>
      </c>
      <c r="EE451" s="643">
        <f t="shared" si="1287"/>
        <v>52178.005254633681</v>
      </c>
      <c r="EF451" s="637">
        <f t="shared" si="1288"/>
        <v>0</v>
      </c>
      <c r="EG451" s="637">
        <f t="shared" si="1289"/>
        <v>52178.005254633681</v>
      </c>
      <c r="EH451" s="637">
        <f t="shared" si="1290"/>
        <v>52177.951424622319</v>
      </c>
      <c r="EI451" s="643">
        <f t="shared" si="1291"/>
        <v>52177.951424622319</v>
      </c>
      <c r="EJ451" s="637">
        <f t="shared" si="1292"/>
        <v>0</v>
      </c>
      <c r="EK451" s="637">
        <f t="shared" si="1293"/>
        <v>52177.951424622319</v>
      </c>
      <c r="EL451" s="637">
        <f t="shared" si="1294"/>
        <v>52177.951424622246</v>
      </c>
      <c r="EM451" s="643">
        <f t="shared" si="1295"/>
        <v>52177.951424622246</v>
      </c>
      <c r="EN451" s="637">
        <f t="shared" si="1296"/>
        <v>0</v>
      </c>
      <c r="EO451" s="637">
        <f t="shared" si="1297"/>
        <v>52177.951424622246</v>
      </c>
      <c r="EP451" s="637">
        <f t="shared" si="1298"/>
        <v>52177.951424622326</v>
      </c>
      <c r="EQ451" s="643">
        <f t="shared" si="1299"/>
        <v>52177.951424622326</v>
      </c>
      <c r="ER451" s="637">
        <f t="shared" si="1300"/>
        <v>0</v>
      </c>
      <c r="ES451" s="637">
        <f t="shared" si="1301"/>
        <v>52177.951424622326</v>
      </c>
      <c r="ET451" s="637">
        <f t="shared" si="1302"/>
        <v>52177.951424622246</v>
      </c>
      <c r="EU451" s="643">
        <f t="shared" si="1278"/>
        <v>52177.951424622246</v>
      </c>
      <c r="EV451" s="643">
        <f t="shared" si="1279"/>
        <v>0</v>
      </c>
      <c r="EX451" s="829">
        <f t="shared" si="1280"/>
        <v>3096.0693036865559</v>
      </c>
      <c r="EY451" s="638">
        <f t="shared" si="1281"/>
        <v>52177.951424622246</v>
      </c>
      <c r="FC451" s="830" t="str">
        <f t="shared" si="1303"/>
        <v>Y</v>
      </c>
      <c r="FE451" s="830" t="str">
        <f>IFERROR(VLOOKUP($B451,'Historical Conc Grant Elig'!$B$3:$J$707,'HH &amp; SI'!FE$2,0),"N")</f>
        <v>N</v>
      </c>
      <c r="FF451" s="830" t="str">
        <f>IFERROR(VLOOKUP($B451,'Historical Conc Grant Elig'!$B$3:$J$707,'HH &amp; SI'!FF$2,0),"N")</f>
        <v>Y</v>
      </c>
      <c r="FG451" s="830" t="str">
        <f>IFERROR(VLOOKUP($B451,'Historical Conc Grant Elig'!$B$3:$J$707,'HH &amp; SI'!FG$2,0),"N")</f>
        <v>Y</v>
      </c>
      <c r="FH451" s="830" t="str">
        <f>IFERROR(VLOOKUP($B451,'Historical Conc Grant Elig'!$B$3:$J$707,'HH &amp; SI'!FH$2,0),"N")</f>
        <v>Y</v>
      </c>
      <c r="FI451" s="830" t="str">
        <f>IFERROR(VLOOKUP($B451,'Historical Conc Grant Elig'!$B$3:$J$707,'HH &amp; SI'!FI$2,0),"N")</f>
        <v>Y</v>
      </c>
      <c r="FJ451" s="830" t="str">
        <f>IFERROR(VLOOKUP($B451,'Historical Conc Grant Elig'!$B$3:$J$707,'HH &amp; SI'!FJ$2,0),"N")</f>
        <v>Y</v>
      </c>
      <c r="FK451" s="830" t="str">
        <f>IFERROR(VLOOKUP($B451,'Historical Conc Grant Elig'!$B$3:$J$707,'HH &amp; SI'!FK$2,0),"N")</f>
        <v>Y</v>
      </c>
      <c r="FL451" s="957" t="str">
        <f>IFERROR(VLOOKUP($B451,'Historical Conc Grant Elig'!$B$3:$J$707,'HH &amp; SI'!FL$2,0),"N")</f>
        <v>Y</v>
      </c>
    </row>
    <row r="452" spans="2:168" x14ac:dyDescent="0.25">
      <c r="B452" s="634">
        <v>130323000</v>
      </c>
      <c r="C452" s="635" t="str">
        <f>VLOOKUP($B452,'Afton Update'!$A$5:$CR$582,'Afton Update'!D$589,0)</f>
        <v>Kirkland Elementary District</v>
      </c>
      <c r="D452" s="636">
        <f>IFERROR(VLOOKUP($B452,'Afton FY16 Final'!$A$5:$BV$587,'Afton FY16 Final'!AQ$587,0),0)</f>
        <v>18498.31844376367</v>
      </c>
      <c r="E452" s="637">
        <f>IFERROR(VLOOKUP($B452,'Afton FY16 Final'!$A$5:$BV$587,'Afton FY16 Final'!AR$587,0),0)</f>
        <v>4450.6776439241594</v>
      </c>
      <c r="F452" s="637">
        <f>IFERROR(VLOOKUP($B452,'Afton FY16 Final'!$A$5:$BV$587,'Afton FY16 Final'!AS$587,0),0)</f>
        <v>10101.730922291525</v>
      </c>
      <c r="G452" s="637">
        <f>IFERROR(VLOOKUP($B452,'Afton FY16 Final'!$A$5:$BV$587,'Afton FY16 Final'!AT$587,0),0)</f>
        <v>9231.9910689286517</v>
      </c>
      <c r="H452" s="638">
        <f>IFERROR(VLOOKUP($B452,'Afton FY16 Final'!$A$5:$BV$587,'Afton FY16 Final'!AU$587,0),0)</f>
        <v>42282.718078908001</v>
      </c>
      <c r="I452" s="639" t="str">
        <f>VLOOKUP($B452,'Afton Update'!$A$5:$CR$582,'Afton Update'!BT$589,0)</f>
        <v>Y</v>
      </c>
      <c r="J452" s="640" t="str">
        <f>VLOOKUP($B452,'Afton Update'!$A$5:$CR$582,'Afton Update'!BU$589,0)</f>
        <v>Y</v>
      </c>
      <c r="K452" s="640" t="str">
        <f>VLOOKUP($B452,'Afton Update'!$A$5:$CR$582,'Afton Update'!BV$589,0)</f>
        <v>Y</v>
      </c>
      <c r="L452" s="641" t="str">
        <f>VLOOKUP($B452,'Afton Update'!$A$5:$CR$582,'Afton Update'!BW$589,0)</f>
        <v>Y</v>
      </c>
      <c r="N452" s="642">
        <f>VLOOKUP($B452,'Afton Update'!$A$5:$CR$582,'Afton Update'!CB$589,0)</f>
        <v>0.95</v>
      </c>
      <c r="P452" s="636">
        <f>VLOOKUP($B452,'Afton Update'!$A$5:$CR$582,'Afton Update'!AH$589,0)</f>
        <v>18288.654409824499</v>
      </c>
      <c r="Q452" s="637">
        <f>VLOOKUP($B452,'Afton Update'!$A$5:$CR$582,'Afton Update'!AI$589,0)</f>
        <v>7255.6935076679183</v>
      </c>
      <c r="R452" s="637">
        <f>VLOOKUP($B452,'Afton Update'!$A$5:$CR$582,'Afton Update'!AJ$589,0)</f>
        <v>9297.2722695517878</v>
      </c>
      <c r="S452" s="637">
        <f>VLOOKUP($B452,'Afton Update'!$A$5:$CR$582,'Afton Update'!AK$589,0)</f>
        <v>8672.8756940290841</v>
      </c>
      <c r="T452" s="643">
        <f t="shared" si="1307"/>
        <v>43514.495881073286</v>
      </c>
      <c r="V452" s="636">
        <f t="shared" si="1333"/>
        <v>18039.185293173457</v>
      </c>
      <c r="W452" s="637">
        <f t="shared" si="1334"/>
        <v>7016.7174910319818</v>
      </c>
      <c r="X452" s="637">
        <f t="shared" si="1335"/>
        <v>9596.6443761769478</v>
      </c>
      <c r="Y452" s="637">
        <f t="shared" si="1336"/>
        <v>8770.3915154822189</v>
      </c>
      <c r="Z452" s="643">
        <f t="shared" si="1337"/>
        <v>43422.9386758646</v>
      </c>
      <c r="AB452" s="644">
        <f t="shared" si="1308"/>
        <v>18288.654409824499</v>
      </c>
      <c r="AC452" s="645">
        <f t="shared" si="1304"/>
        <v>17573.402521575485</v>
      </c>
      <c r="AD452" s="644">
        <f t="shared" si="1338"/>
        <v>0</v>
      </c>
      <c r="AE452" s="645">
        <f t="shared" si="1339"/>
        <v>18288.654409824499</v>
      </c>
      <c r="AF452" s="646">
        <f t="shared" si="1340"/>
        <v>-226.70161496771689</v>
      </c>
      <c r="AG452" s="647">
        <f t="shared" si="1341"/>
        <v>18061.952794856781</v>
      </c>
      <c r="AH452" s="644">
        <f t="shared" si="1309"/>
        <v>0</v>
      </c>
      <c r="AI452" s="645">
        <f t="shared" si="1310"/>
        <v>18061.952794856781</v>
      </c>
      <c r="AJ452" s="646">
        <f t="shared" si="1342"/>
        <v>-22.752996577928933</v>
      </c>
      <c r="AK452" s="647">
        <f t="shared" si="1311"/>
        <v>18039.199798278853</v>
      </c>
      <c r="AL452" s="644">
        <f t="shared" si="1343"/>
        <v>0</v>
      </c>
      <c r="AM452" s="645">
        <f t="shared" si="1344"/>
        <v>18039.199798278853</v>
      </c>
      <c r="AN452" s="646">
        <f t="shared" si="1345"/>
        <v>-1.4505105393722975E-2</v>
      </c>
      <c r="AO452" s="647">
        <f t="shared" si="1312"/>
        <v>18039.185293173457</v>
      </c>
      <c r="AP452" s="644">
        <f t="shared" si="1346"/>
        <v>0</v>
      </c>
      <c r="AQ452" s="645">
        <f t="shared" si="1347"/>
        <v>18039.185293173457</v>
      </c>
      <c r="AR452" s="646">
        <f t="shared" si="1348"/>
        <v>0</v>
      </c>
      <c r="AS452" s="647">
        <f t="shared" si="1313"/>
        <v>18039.185293173457</v>
      </c>
      <c r="AT452" s="644">
        <f t="shared" si="1349"/>
        <v>0</v>
      </c>
      <c r="AU452" s="645">
        <f t="shared" si="1350"/>
        <v>18039.185293173457</v>
      </c>
      <c r="AV452" s="646">
        <f t="shared" si="1351"/>
        <v>0</v>
      </c>
      <c r="AW452" s="647">
        <f t="shared" si="1314"/>
        <v>18039.185293173457</v>
      </c>
      <c r="AY452" s="644">
        <f t="shared" si="1352"/>
        <v>7255.6935076679183</v>
      </c>
      <c r="AZ452" s="645">
        <f t="shared" si="1282"/>
        <v>4228.1437617279516</v>
      </c>
      <c r="BA452" s="644">
        <f t="shared" si="1353"/>
        <v>0</v>
      </c>
      <c r="BB452" s="645">
        <f t="shared" si="1354"/>
        <v>7255.6935076679183</v>
      </c>
      <c r="BC452" s="646">
        <f t="shared" si="1355"/>
        <v>-52.177806543622388</v>
      </c>
      <c r="BD452" s="647">
        <f t="shared" si="1356"/>
        <v>7203.5157011242964</v>
      </c>
      <c r="BE452" s="644">
        <f t="shared" si="1315"/>
        <v>0</v>
      </c>
      <c r="BF452" s="645">
        <f t="shared" si="1316"/>
        <v>7203.5157011242964</v>
      </c>
      <c r="BG452" s="646">
        <f t="shared" si="1357"/>
        <v>-171.58187355900154</v>
      </c>
      <c r="BH452" s="647">
        <f t="shared" si="1317"/>
        <v>7031.9338275652945</v>
      </c>
      <c r="BI452" s="644">
        <f t="shared" si="1358"/>
        <v>0</v>
      </c>
      <c r="BJ452" s="645">
        <f t="shared" si="1359"/>
        <v>7031.9338275652945</v>
      </c>
      <c r="BK452" s="646">
        <f t="shared" si="1360"/>
        <v>-14.895287451209152</v>
      </c>
      <c r="BL452" s="647">
        <f t="shared" si="1318"/>
        <v>7017.0385401140857</v>
      </c>
      <c r="BM452" s="644">
        <f t="shared" si="1361"/>
        <v>0</v>
      </c>
      <c r="BN452" s="645">
        <f t="shared" si="1362"/>
        <v>7017.0385401140857</v>
      </c>
      <c r="BO452" s="646">
        <f t="shared" si="1363"/>
        <v>-0.32104908210422811</v>
      </c>
      <c r="BP452" s="647">
        <f t="shared" si="1319"/>
        <v>7016.7174910319818</v>
      </c>
      <c r="BQ452" s="644">
        <f t="shared" si="1364"/>
        <v>0</v>
      </c>
      <c r="BR452" s="645">
        <f t="shared" si="1365"/>
        <v>7016.7174910319818</v>
      </c>
      <c r="BS452" s="646">
        <f t="shared" si="1366"/>
        <v>0</v>
      </c>
      <c r="BT452" s="647">
        <f t="shared" si="1320"/>
        <v>7016.7174910319818</v>
      </c>
      <c r="BU452" s="662">
        <f>VLOOKUP(B452,'Afton Update'!$A$5:$AR$582,'Afton Update'!$AO$589,0)-BT452</f>
        <v>0</v>
      </c>
      <c r="BV452" s="644">
        <f t="shared" si="1367"/>
        <v>9297.2722695517878</v>
      </c>
      <c r="BW452" s="645">
        <f t="shared" si="1305"/>
        <v>9596.6443761769478</v>
      </c>
      <c r="BX452" s="644">
        <f t="shared" si="1368"/>
        <v>299.37210662516009</v>
      </c>
      <c r="BY452" s="645">
        <f t="shared" si="1369"/>
        <v>0</v>
      </c>
      <c r="BZ452" s="646">
        <f t="shared" si="1370"/>
        <v>0</v>
      </c>
      <c r="CA452" s="647">
        <f t="shared" si="1371"/>
        <v>9596.6443761769478</v>
      </c>
      <c r="CB452" s="644">
        <f t="shared" si="1321"/>
        <v>0</v>
      </c>
      <c r="CC452" s="645">
        <f t="shared" si="1322"/>
        <v>0</v>
      </c>
      <c r="CD452" s="646">
        <f t="shared" si="1372"/>
        <v>0</v>
      </c>
      <c r="CE452" s="647">
        <f t="shared" si="1323"/>
        <v>9596.6443761769478</v>
      </c>
      <c r="CF452" s="644">
        <f t="shared" si="1373"/>
        <v>0</v>
      </c>
      <c r="CG452" s="645">
        <f t="shared" si="1374"/>
        <v>0</v>
      </c>
      <c r="CH452" s="646">
        <f t="shared" si="1375"/>
        <v>0</v>
      </c>
      <c r="CI452" s="647">
        <f t="shared" si="1324"/>
        <v>9596.6443761769478</v>
      </c>
      <c r="CJ452" s="644">
        <f t="shared" si="1376"/>
        <v>0</v>
      </c>
      <c r="CK452" s="645">
        <f t="shared" si="1377"/>
        <v>0</v>
      </c>
      <c r="CL452" s="646">
        <f t="shared" si="1378"/>
        <v>0</v>
      </c>
      <c r="CM452" s="647">
        <f t="shared" si="1325"/>
        <v>9596.6443761769478</v>
      </c>
      <c r="CN452" s="644">
        <f t="shared" si="1379"/>
        <v>0</v>
      </c>
      <c r="CO452" s="645">
        <f t="shared" si="1380"/>
        <v>0</v>
      </c>
      <c r="CP452" s="646">
        <f t="shared" si="1381"/>
        <v>0</v>
      </c>
      <c r="CQ452" s="647">
        <f t="shared" si="1326"/>
        <v>9596.6443761769478</v>
      </c>
      <c r="CS452" s="644">
        <f t="shared" si="1382"/>
        <v>8672.8756940290841</v>
      </c>
      <c r="CT452" s="645">
        <f t="shared" si="1306"/>
        <v>8770.3915154822189</v>
      </c>
      <c r="CU452" s="644">
        <f t="shared" si="1383"/>
        <v>97.515821453134777</v>
      </c>
      <c r="CV452" s="645">
        <f t="shared" si="1384"/>
        <v>0</v>
      </c>
      <c r="CW452" s="646">
        <f t="shared" si="1385"/>
        <v>0</v>
      </c>
      <c r="CX452" s="647">
        <f t="shared" si="1386"/>
        <v>8770.3915154822189</v>
      </c>
      <c r="CY452" s="644">
        <f t="shared" si="1327"/>
        <v>0</v>
      </c>
      <c r="CZ452" s="645">
        <f t="shared" si="1328"/>
        <v>0</v>
      </c>
      <c r="DA452" s="646">
        <f t="shared" si="1387"/>
        <v>0</v>
      </c>
      <c r="DB452" s="647">
        <f t="shared" si="1329"/>
        <v>8770.3915154822189</v>
      </c>
      <c r="DC452" s="644">
        <f t="shared" si="1388"/>
        <v>0</v>
      </c>
      <c r="DD452" s="645">
        <f t="shared" si="1389"/>
        <v>0</v>
      </c>
      <c r="DE452" s="646">
        <f t="shared" si="1390"/>
        <v>0</v>
      </c>
      <c r="DF452" s="647">
        <f t="shared" si="1330"/>
        <v>8770.3915154822189</v>
      </c>
      <c r="DG452" s="644">
        <f t="shared" si="1391"/>
        <v>0</v>
      </c>
      <c r="DH452" s="645">
        <f t="shared" si="1392"/>
        <v>0</v>
      </c>
      <c r="DI452" s="646">
        <f t="shared" si="1393"/>
        <v>0</v>
      </c>
      <c r="DJ452" s="647">
        <f t="shared" si="1331"/>
        <v>8770.3915154822189</v>
      </c>
      <c r="DK452" s="644">
        <f t="shared" si="1394"/>
        <v>0</v>
      </c>
      <c r="DL452" s="645">
        <f t="shared" si="1395"/>
        <v>0</v>
      </c>
      <c r="DM452" s="646">
        <f t="shared" si="1396"/>
        <v>0</v>
      </c>
      <c r="DN452" s="647">
        <f t="shared" si="1332"/>
        <v>8770.3915154822189</v>
      </c>
      <c r="DR452" s="827">
        <f t="shared" si="1283"/>
        <v>43422.9386758646</v>
      </c>
      <c r="DV452" s="828">
        <f>IFERROR(VLOOKUP($B452,'Afton FY16 Final'!$A$5:$BV$587,'Afton FY16 Final'!$BV$587,0),0)</f>
        <v>41450.171366936695</v>
      </c>
      <c r="DX452" s="636">
        <f t="shared" si="1274"/>
        <v>43422.9386758646</v>
      </c>
      <c r="DY452" s="637">
        <f t="shared" si="1275"/>
        <v>1972.7673089279051</v>
      </c>
      <c r="DZ452" s="637">
        <f t="shared" si="1276"/>
        <v>41450.171366936695</v>
      </c>
      <c r="EA452" s="643">
        <f t="shared" si="1277"/>
        <v>41113.324996592921</v>
      </c>
      <c r="EB452" s="637">
        <f t="shared" si="1284"/>
        <v>41450.171366936695</v>
      </c>
      <c r="EC452" s="637">
        <f t="shared" si="1285"/>
        <v>0</v>
      </c>
      <c r="ED452" s="637">
        <f t="shared" si="1286"/>
        <v>0</v>
      </c>
      <c r="EE452" s="643">
        <f t="shared" si="1287"/>
        <v>41450.171366936695</v>
      </c>
      <c r="EF452" s="637">
        <f t="shared" si="1288"/>
        <v>0</v>
      </c>
      <c r="EG452" s="637">
        <f t="shared" si="1289"/>
        <v>0</v>
      </c>
      <c r="EH452" s="637">
        <f t="shared" si="1290"/>
        <v>0</v>
      </c>
      <c r="EI452" s="643">
        <f t="shared" si="1291"/>
        <v>41450.171366936695</v>
      </c>
      <c r="EJ452" s="637">
        <f t="shared" si="1292"/>
        <v>0</v>
      </c>
      <c r="EK452" s="637">
        <f t="shared" si="1293"/>
        <v>0</v>
      </c>
      <c r="EL452" s="637">
        <f t="shared" si="1294"/>
        <v>0</v>
      </c>
      <c r="EM452" s="643">
        <f t="shared" si="1295"/>
        <v>41450.171366936695</v>
      </c>
      <c r="EN452" s="637">
        <f t="shared" si="1296"/>
        <v>0</v>
      </c>
      <c r="EO452" s="637">
        <f t="shared" si="1297"/>
        <v>0</v>
      </c>
      <c r="EP452" s="637">
        <f t="shared" si="1298"/>
        <v>0</v>
      </c>
      <c r="EQ452" s="643">
        <f t="shared" si="1299"/>
        <v>41450.171366936695</v>
      </c>
      <c r="ER452" s="637">
        <f t="shared" si="1300"/>
        <v>0</v>
      </c>
      <c r="ES452" s="637">
        <f t="shared" si="1301"/>
        <v>0</v>
      </c>
      <c r="ET452" s="637">
        <f t="shared" si="1302"/>
        <v>0</v>
      </c>
      <c r="EU452" s="643">
        <f t="shared" si="1278"/>
        <v>41450.171366936695</v>
      </c>
      <c r="EV452" s="643">
        <f t="shared" si="1279"/>
        <v>0</v>
      </c>
      <c r="EX452" s="829">
        <f t="shared" si="1280"/>
        <v>1972.7673089279051</v>
      </c>
      <c r="EY452" s="638">
        <f t="shared" si="1281"/>
        <v>41450.171366936695</v>
      </c>
      <c r="FC452" s="830" t="str">
        <f t="shared" si="1303"/>
        <v>Y</v>
      </c>
      <c r="FE452" s="830" t="str">
        <f>IFERROR(VLOOKUP($B452,'Historical Conc Grant Elig'!$B$3:$J$707,'HH &amp; SI'!FE$2,0),"N")</f>
        <v>Y</v>
      </c>
      <c r="FF452" s="830" t="str">
        <f>IFERROR(VLOOKUP($B452,'Historical Conc Grant Elig'!$B$3:$J$707,'HH &amp; SI'!FF$2,0),"N")</f>
        <v>Y</v>
      </c>
      <c r="FG452" s="830" t="str">
        <f>IFERROR(VLOOKUP($B452,'Historical Conc Grant Elig'!$B$3:$J$707,'HH &amp; SI'!FG$2,0),"N")</f>
        <v>Y</v>
      </c>
      <c r="FH452" s="830" t="str">
        <f>IFERROR(VLOOKUP($B452,'Historical Conc Grant Elig'!$B$3:$J$707,'HH &amp; SI'!FH$2,0),"N")</f>
        <v>Y</v>
      </c>
      <c r="FI452" s="830" t="str">
        <f>IFERROR(VLOOKUP($B452,'Historical Conc Grant Elig'!$B$3:$J$707,'HH &amp; SI'!FI$2,0),"N")</f>
        <v>Y</v>
      </c>
      <c r="FJ452" s="830" t="str">
        <f>IFERROR(VLOOKUP($B452,'Historical Conc Grant Elig'!$B$3:$J$707,'HH &amp; SI'!FJ$2,0),"N")</f>
        <v>Y</v>
      </c>
      <c r="FK452" s="830" t="str">
        <f>IFERROR(VLOOKUP($B452,'Historical Conc Grant Elig'!$B$3:$J$707,'HH &amp; SI'!FK$2,0),"N")</f>
        <v>Y</v>
      </c>
      <c r="FL452" s="957" t="str">
        <f>IFERROR(VLOOKUP($B452,'Historical Conc Grant Elig'!$B$3:$J$707,'HH &amp; SI'!FL$2,0),"N")</f>
        <v>Y</v>
      </c>
    </row>
    <row r="453" spans="2:168" x14ac:dyDescent="0.25">
      <c r="B453" s="634">
        <v>130326000</v>
      </c>
      <c r="C453" s="635" t="str">
        <f>VLOOKUP($B453,'Afton Update'!$A$5:$CR$582,'Afton Update'!D$589,0)</f>
        <v>Beaver Creek Elementary District</v>
      </c>
      <c r="D453" s="636">
        <f>IFERROR(VLOOKUP($B453,'Afton FY16 Final'!$A$5:$BV$587,'Afton FY16 Final'!AQ$587,0),0)</f>
        <v>61450.492702527699</v>
      </c>
      <c r="E453" s="637">
        <f>IFERROR(VLOOKUP($B453,'Afton FY16 Final'!$A$5:$BV$587,'Afton FY16 Final'!AR$587,0),0)</f>
        <v>14721.09338439862</v>
      </c>
      <c r="F453" s="637">
        <f>IFERROR(VLOOKUP($B453,'Afton FY16 Final'!$A$5:$BV$587,'Afton FY16 Final'!AS$587,0),0)</f>
        <v>21616.838468903195</v>
      </c>
      <c r="G453" s="637">
        <f>IFERROR(VLOOKUP($B453,'Afton FY16 Final'!$A$5:$BV$587,'Afton FY16 Final'!AT$587,0),0)</f>
        <v>16727.822302381628</v>
      </c>
      <c r="H453" s="638">
        <f>IFERROR(VLOOKUP($B453,'Afton FY16 Final'!$A$5:$BV$587,'Afton FY16 Final'!AU$587,0),0)</f>
        <v>114516.24685821113</v>
      </c>
      <c r="I453" s="639" t="str">
        <f>VLOOKUP($B453,'Afton Update'!$A$5:$CR$582,'Afton Update'!BT$589,0)</f>
        <v>Y</v>
      </c>
      <c r="J453" s="640" t="str">
        <f>VLOOKUP($B453,'Afton Update'!$A$5:$CR$582,'Afton Update'!BU$589,0)</f>
        <v>Y</v>
      </c>
      <c r="K453" s="640" t="str">
        <f>VLOOKUP($B453,'Afton Update'!$A$5:$CR$582,'Afton Update'!BV$589,0)</f>
        <v>Y</v>
      </c>
      <c r="L453" s="641" t="str">
        <f>VLOOKUP($B453,'Afton Update'!$A$5:$CR$582,'Afton Update'!BW$589,0)</f>
        <v>Y</v>
      </c>
      <c r="N453" s="642">
        <f>VLOOKUP($B453,'Afton Update'!$A$5:$CR$582,'Afton Update'!CB$589,0)</f>
        <v>0.9</v>
      </c>
      <c r="P453" s="636">
        <f>VLOOKUP($B453,'Afton Update'!$A$5:$CR$582,'Afton Update'!AH$589,0)</f>
        <v>62207.911128507025</v>
      </c>
      <c r="Q453" s="637">
        <f>VLOOKUP($B453,'Afton Update'!$A$5:$CR$582,'Afton Update'!AI$589,0)</f>
        <v>17717.662154495509</v>
      </c>
      <c r="R453" s="637">
        <f>VLOOKUP($B453,'Afton Update'!$A$5:$CR$582,'Afton Update'!AJ$589,0)</f>
        <v>22873.548137938153</v>
      </c>
      <c r="S453" s="637">
        <f>VLOOKUP($B453,'Afton Update'!$A$5:$CR$582,'Afton Update'!AK$589,0)</f>
        <v>16696.899290552265</v>
      </c>
      <c r="T453" s="643">
        <f t="shared" si="1307"/>
        <v>119496.02071149295</v>
      </c>
      <c r="V453" s="636">
        <f t="shared" si="1333"/>
        <v>61359.354843819492</v>
      </c>
      <c r="W453" s="637">
        <f t="shared" si="1334"/>
        <v>17134.107140587053</v>
      </c>
      <c r="X453" s="637">
        <f t="shared" si="1335"/>
        <v>22665.522148262804</v>
      </c>
      <c r="Y453" s="637">
        <f t="shared" si="1336"/>
        <v>16512.929516324402</v>
      </c>
      <c r="Z453" s="643">
        <f t="shared" si="1337"/>
        <v>117671.91364899374</v>
      </c>
      <c r="AB453" s="644">
        <f t="shared" si="1308"/>
        <v>62207.911128507025</v>
      </c>
      <c r="AC453" s="645">
        <f t="shared" si="1304"/>
        <v>55305.443432274929</v>
      </c>
      <c r="AD453" s="644">
        <f t="shared" si="1338"/>
        <v>0</v>
      </c>
      <c r="AE453" s="645">
        <f t="shared" si="1339"/>
        <v>62207.911128507025</v>
      </c>
      <c r="AF453" s="646">
        <f t="shared" si="1340"/>
        <v>-771.11380643864879</v>
      </c>
      <c r="AG453" s="647">
        <f t="shared" si="1341"/>
        <v>61436.797322068378</v>
      </c>
      <c r="AH453" s="644">
        <f t="shared" si="1309"/>
        <v>0</v>
      </c>
      <c r="AI453" s="645">
        <f t="shared" si="1310"/>
        <v>61436.797322068378</v>
      </c>
      <c r="AJ453" s="646">
        <f t="shared" si="1342"/>
        <v>-77.393139883854914</v>
      </c>
      <c r="AK453" s="647">
        <f t="shared" si="1311"/>
        <v>61359.404182184524</v>
      </c>
      <c r="AL453" s="644">
        <f t="shared" si="1343"/>
        <v>0</v>
      </c>
      <c r="AM453" s="645">
        <f t="shared" si="1344"/>
        <v>61359.404182184524</v>
      </c>
      <c r="AN453" s="646">
        <f t="shared" si="1345"/>
        <v>-4.9338365033439642E-2</v>
      </c>
      <c r="AO453" s="647">
        <f t="shared" si="1312"/>
        <v>61359.354843819492</v>
      </c>
      <c r="AP453" s="644">
        <f t="shared" si="1346"/>
        <v>0</v>
      </c>
      <c r="AQ453" s="645">
        <f t="shared" si="1347"/>
        <v>61359.354843819492</v>
      </c>
      <c r="AR453" s="646">
        <f t="shared" si="1348"/>
        <v>0</v>
      </c>
      <c r="AS453" s="647">
        <f t="shared" si="1313"/>
        <v>61359.354843819492</v>
      </c>
      <c r="AT453" s="644">
        <f t="shared" si="1349"/>
        <v>0</v>
      </c>
      <c r="AU453" s="645">
        <f t="shared" si="1350"/>
        <v>61359.354843819492</v>
      </c>
      <c r="AV453" s="646">
        <f t="shared" si="1351"/>
        <v>0</v>
      </c>
      <c r="AW453" s="647">
        <f t="shared" si="1314"/>
        <v>61359.354843819492</v>
      </c>
      <c r="AY453" s="644">
        <f t="shared" si="1352"/>
        <v>17717.662154495509</v>
      </c>
      <c r="AZ453" s="645">
        <f t="shared" si="1282"/>
        <v>13248.984045958759</v>
      </c>
      <c r="BA453" s="644">
        <f t="shared" si="1353"/>
        <v>0</v>
      </c>
      <c r="BB453" s="645">
        <f t="shared" si="1354"/>
        <v>17717.662154495509</v>
      </c>
      <c r="BC453" s="646">
        <f t="shared" si="1355"/>
        <v>-127.41287201913023</v>
      </c>
      <c r="BD453" s="647">
        <f t="shared" si="1356"/>
        <v>17590.249282476379</v>
      </c>
      <c r="BE453" s="644">
        <f t="shared" si="1315"/>
        <v>0</v>
      </c>
      <c r="BF453" s="645">
        <f t="shared" si="1316"/>
        <v>17590.249282476379</v>
      </c>
      <c r="BG453" s="646">
        <f t="shared" si="1357"/>
        <v>-418.98540288960788</v>
      </c>
      <c r="BH453" s="647">
        <f t="shared" si="1317"/>
        <v>17171.263879586772</v>
      </c>
      <c r="BI453" s="644">
        <f t="shared" si="1358"/>
        <v>0</v>
      </c>
      <c r="BJ453" s="645">
        <f t="shared" si="1359"/>
        <v>17171.263879586772</v>
      </c>
      <c r="BK453" s="646">
        <f t="shared" si="1360"/>
        <v>-36.372769946210767</v>
      </c>
      <c r="BL453" s="647">
        <f t="shared" si="1318"/>
        <v>17134.891109640561</v>
      </c>
      <c r="BM453" s="644">
        <f t="shared" si="1361"/>
        <v>0</v>
      </c>
      <c r="BN453" s="645">
        <f t="shared" si="1362"/>
        <v>17134.891109640561</v>
      </c>
      <c r="BO453" s="646">
        <f t="shared" si="1363"/>
        <v>-0.78396905350566337</v>
      </c>
      <c r="BP453" s="647">
        <f t="shared" si="1319"/>
        <v>17134.107140587053</v>
      </c>
      <c r="BQ453" s="644">
        <f t="shared" si="1364"/>
        <v>0</v>
      </c>
      <c r="BR453" s="645">
        <f t="shared" si="1365"/>
        <v>17134.107140587053</v>
      </c>
      <c r="BS453" s="646">
        <f t="shared" si="1366"/>
        <v>0</v>
      </c>
      <c r="BT453" s="647">
        <f t="shared" si="1320"/>
        <v>17134.107140587053</v>
      </c>
      <c r="BU453" s="662">
        <f>VLOOKUP(B453,'Afton Update'!$A$5:$AR$582,'Afton Update'!$AO$589,0)-BT453</f>
        <v>0</v>
      </c>
      <c r="BV453" s="644">
        <f t="shared" si="1367"/>
        <v>22873.548137938153</v>
      </c>
      <c r="BW453" s="645">
        <f t="shared" si="1305"/>
        <v>19455.154622012877</v>
      </c>
      <c r="BX453" s="644">
        <f t="shared" si="1368"/>
        <v>0</v>
      </c>
      <c r="BY453" s="645">
        <f t="shared" si="1369"/>
        <v>22873.548137938153</v>
      </c>
      <c r="BZ453" s="646">
        <f t="shared" si="1370"/>
        <v>-200.76356389515323</v>
      </c>
      <c r="CA453" s="647">
        <f t="shared" si="1371"/>
        <v>22672.784574042998</v>
      </c>
      <c r="CB453" s="644">
        <f t="shared" si="1321"/>
        <v>0</v>
      </c>
      <c r="CC453" s="645">
        <f t="shared" si="1322"/>
        <v>22672.784574042998</v>
      </c>
      <c r="CD453" s="646">
        <f t="shared" si="1372"/>
        <v>-7.2624257801948735</v>
      </c>
      <c r="CE453" s="647">
        <f t="shared" si="1323"/>
        <v>22665.522148262804</v>
      </c>
      <c r="CF453" s="644">
        <f t="shared" si="1373"/>
        <v>0</v>
      </c>
      <c r="CG453" s="645">
        <f t="shared" si="1374"/>
        <v>22665.522148262804</v>
      </c>
      <c r="CH453" s="646">
        <f t="shared" si="1375"/>
        <v>0</v>
      </c>
      <c r="CI453" s="647">
        <f t="shared" si="1324"/>
        <v>22665.522148262804</v>
      </c>
      <c r="CJ453" s="644">
        <f t="shared" si="1376"/>
        <v>0</v>
      </c>
      <c r="CK453" s="645">
        <f t="shared" si="1377"/>
        <v>22665.522148262804</v>
      </c>
      <c r="CL453" s="646">
        <f t="shared" si="1378"/>
        <v>0</v>
      </c>
      <c r="CM453" s="647">
        <f t="shared" si="1325"/>
        <v>22665.522148262804</v>
      </c>
      <c r="CN453" s="644">
        <f t="shared" si="1379"/>
        <v>0</v>
      </c>
      <c r="CO453" s="645">
        <f t="shared" si="1380"/>
        <v>22665.522148262804</v>
      </c>
      <c r="CP453" s="646">
        <f t="shared" si="1381"/>
        <v>0</v>
      </c>
      <c r="CQ453" s="647">
        <f t="shared" si="1326"/>
        <v>22665.522148262804</v>
      </c>
      <c r="CS453" s="644">
        <f t="shared" si="1382"/>
        <v>16696.899290552265</v>
      </c>
      <c r="CT453" s="645">
        <f t="shared" si="1306"/>
        <v>15055.040072143465</v>
      </c>
      <c r="CU453" s="644">
        <f t="shared" si="1383"/>
        <v>0</v>
      </c>
      <c r="CV453" s="645">
        <f t="shared" si="1384"/>
        <v>16696.899290552265</v>
      </c>
      <c r="CW453" s="646">
        <f t="shared" si="1385"/>
        <v>-170.98568451997031</v>
      </c>
      <c r="CX453" s="647">
        <f t="shared" si="1386"/>
        <v>16525.913606032293</v>
      </c>
      <c r="CY453" s="644">
        <f t="shared" si="1327"/>
        <v>0</v>
      </c>
      <c r="CZ453" s="645">
        <f t="shared" si="1328"/>
        <v>16525.913606032293</v>
      </c>
      <c r="DA453" s="646">
        <f t="shared" si="1387"/>
        <v>-12.972902195553383</v>
      </c>
      <c r="DB453" s="647">
        <f t="shared" si="1329"/>
        <v>16512.940703836739</v>
      </c>
      <c r="DC453" s="644">
        <f t="shared" si="1388"/>
        <v>0</v>
      </c>
      <c r="DD453" s="645">
        <f t="shared" si="1389"/>
        <v>16512.940703836739</v>
      </c>
      <c r="DE453" s="646">
        <f t="shared" si="1390"/>
        <v>-1.118751233794245E-2</v>
      </c>
      <c r="DF453" s="647">
        <f t="shared" si="1330"/>
        <v>16512.929516324402</v>
      </c>
      <c r="DG453" s="644">
        <f t="shared" si="1391"/>
        <v>0</v>
      </c>
      <c r="DH453" s="645">
        <f t="shared" si="1392"/>
        <v>16512.929516324402</v>
      </c>
      <c r="DI453" s="646">
        <f t="shared" si="1393"/>
        <v>0</v>
      </c>
      <c r="DJ453" s="647">
        <f t="shared" si="1331"/>
        <v>16512.929516324402</v>
      </c>
      <c r="DK453" s="644">
        <f t="shared" si="1394"/>
        <v>0</v>
      </c>
      <c r="DL453" s="645">
        <f t="shared" si="1395"/>
        <v>16512.929516324402</v>
      </c>
      <c r="DM453" s="646">
        <f t="shared" si="1396"/>
        <v>0</v>
      </c>
      <c r="DN453" s="647">
        <f t="shared" si="1332"/>
        <v>16512.929516324402</v>
      </c>
      <c r="DR453" s="827">
        <f t="shared" si="1283"/>
        <v>117671.91364899374</v>
      </c>
      <c r="DV453" s="828">
        <f>IFERROR(VLOOKUP($B453,'Afton FY16 Final'!$A$5:$BV$587,'Afton FY16 Final'!$BV$587,0),0)</f>
        <v>107240.9743842101</v>
      </c>
      <c r="DX453" s="636">
        <f t="shared" si="1274"/>
        <v>117671.91364899374</v>
      </c>
      <c r="DY453" s="637">
        <f t="shared" si="1275"/>
        <v>10430.939264783636</v>
      </c>
      <c r="DZ453" s="637">
        <f t="shared" si="1276"/>
        <v>107240.9743842101</v>
      </c>
      <c r="EA453" s="643">
        <f t="shared" si="1277"/>
        <v>111413.08663918449</v>
      </c>
      <c r="EB453" s="637">
        <f t="shared" si="1284"/>
        <v>0</v>
      </c>
      <c r="EC453" s="637">
        <f t="shared" si="1285"/>
        <v>111413.08663918449</v>
      </c>
      <c r="ED453" s="637">
        <f t="shared" si="1286"/>
        <v>111080.8594670485</v>
      </c>
      <c r="EE453" s="643">
        <f t="shared" si="1287"/>
        <v>111080.8594670485</v>
      </c>
      <c r="EF453" s="637">
        <f t="shared" si="1288"/>
        <v>0</v>
      </c>
      <c r="EG453" s="637">
        <f t="shared" si="1289"/>
        <v>111080.8594670485</v>
      </c>
      <c r="EH453" s="637">
        <f t="shared" si="1290"/>
        <v>111080.7448692616</v>
      </c>
      <c r="EI453" s="643">
        <f t="shared" si="1291"/>
        <v>111080.7448692616</v>
      </c>
      <c r="EJ453" s="637">
        <f t="shared" si="1292"/>
        <v>0</v>
      </c>
      <c r="EK453" s="637">
        <f t="shared" si="1293"/>
        <v>111080.7448692616</v>
      </c>
      <c r="EL453" s="637">
        <f t="shared" si="1294"/>
        <v>111080.74486926144</v>
      </c>
      <c r="EM453" s="643">
        <f t="shared" si="1295"/>
        <v>111080.74486926144</v>
      </c>
      <c r="EN453" s="637">
        <f t="shared" si="1296"/>
        <v>0</v>
      </c>
      <c r="EO453" s="637">
        <f t="shared" si="1297"/>
        <v>111080.74486926144</v>
      </c>
      <c r="EP453" s="637">
        <f t="shared" si="1298"/>
        <v>111080.74486926163</v>
      </c>
      <c r="EQ453" s="643">
        <f t="shared" si="1299"/>
        <v>111080.74486926163</v>
      </c>
      <c r="ER453" s="637">
        <f t="shared" si="1300"/>
        <v>0</v>
      </c>
      <c r="ES453" s="637">
        <f t="shared" si="1301"/>
        <v>111080.74486926163</v>
      </c>
      <c r="ET453" s="637">
        <f t="shared" si="1302"/>
        <v>111080.74486926147</v>
      </c>
      <c r="EU453" s="643">
        <f t="shared" si="1278"/>
        <v>111080.74486926147</v>
      </c>
      <c r="EV453" s="643">
        <f t="shared" si="1279"/>
        <v>0</v>
      </c>
      <c r="EX453" s="829">
        <f t="shared" si="1280"/>
        <v>6591.1687797322666</v>
      </c>
      <c r="EY453" s="638">
        <f t="shared" si="1281"/>
        <v>111080.74486926147</v>
      </c>
      <c r="FC453" s="830" t="str">
        <f t="shared" si="1303"/>
        <v>Y</v>
      </c>
      <c r="FE453" s="830" t="str">
        <f>IFERROR(VLOOKUP($B453,'Historical Conc Grant Elig'!$B$3:$J$707,'HH &amp; SI'!FE$2,0),"N")</f>
        <v>N</v>
      </c>
      <c r="FF453" s="830" t="str">
        <f>IFERROR(VLOOKUP($B453,'Historical Conc Grant Elig'!$B$3:$J$707,'HH &amp; SI'!FF$2,0),"N")</f>
        <v>Y</v>
      </c>
      <c r="FG453" s="830" t="str">
        <f>IFERROR(VLOOKUP($B453,'Historical Conc Grant Elig'!$B$3:$J$707,'HH &amp; SI'!FG$2,0),"N")</f>
        <v>Y</v>
      </c>
      <c r="FH453" s="830" t="str">
        <f>IFERROR(VLOOKUP($B453,'Historical Conc Grant Elig'!$B$3:$J$707,'HH &amp; SI'!FH$2,0),"N")</f>
        <v>Y</v>
      </c>
      <c r="FI453" s="830" t="str">
        <f>IFERROR(VLOOKUP($B453,'Historical Conc Grant Elig'!$B$3:$J$707,'HH &amp; SI'!FI$2,0),"N")</f>
        <v>Y</v>
      </c>
      <c r="FJ453" s="830" t="str">
        <f>IFERROR(VLOOKUP($B453,'Historical Conc Grant Elig'!$B$3:$J$707,'HH &amp; SI'!FJ$2,0),"N")</f>
        <v>Y</v>
      </c>
      <c r="FK453" s="830" t="str">
        <f>IFERROR(VLOOKUP($B453,'Historical Conc Grant Elig'!$B$3:$J$707,'HH &amp; SI'!FK$2,0),"N")</f>
        <v>Y</v>
      </c>
      <c r="FL453" s="957" t="str">
        <f>IFERROR(VLOOKUP($B453,'Historical Conc Grant Elig'!$B$3:$J$707,'HH &amp; SI'!FL$2,0),"N")</f>
        <v>Y</v>
      </c>
    </row>
    <row r="454" spans="2:168" x14ac:dyDescent="0.25">
      <c r="B454" s="634">
        <v>130335000</v>
      </c>
      <c r="C454" s="635" t="str">
        <f>VLOOKUP($B454,'Afton Update'!$A$5:$CR$582,'Afton Update'!D$589,0)</f>
        <v>Hillside Elementary District</v>
      </c>
      <c r="D454" s="636">
        <f>IFERROR(VLOOKUP($B454,'Afton FY16 Final'!$A$5:$BV$587,'Afton FY16 Final'!AQ$587,0),0)</f>
        <v>0</v>
      </c>
      <c r="E454" s="637">
        <f>IFERROR(VLOOKUP($B454,'Afton FY16 Final'!$A$5:$BV$587,'Afton FY16 Final'!AR$587,0),0)</f>
        <v>0</v>
      </c>
      <c r="F454" s="637">
        <f>IFERROR(VLOOKUP($B454,'Afton FY16 Final'!$A$5:$BV$587,'Afton FY16 Final'!AS$587,0),0)</f>
        <v>0</v>
      </c>
      <c r="G454" s="637">
        <f>IFERROR(VLOOKUP($B454,'Afton FY16 Final'!$A$5:$BV$587,'Afton FY16 Final'!AT$587,0),0)</f>
        <v>0</v>
      </c>
      <c r="H454" s="638">
        <f>IFERROR(VLOOKUP($B454,'Afton FY16 Final'!$A$5:$BV$587,'Afton FY16 Final'!AU$587,0),0)</f>
        <v>0</v>
      </c>
      <c r="I454" s="639" t="str">
        <f>VLOOKUP($B454,'Afton Update'!$A$5:$CR$582,'Afton Update'!BT$589,0)</f>
        <v>N</v>
      </c>
      <c r="J454" s="640" t="str">
        <f>VLOOKUP($B454,'Afton Update'!$A$5:$CR$582,'Afton Update'!BU$589,0)</f>
        <v>N</v>
      </c>
      <c r="K454" s="640" t="str">
        <f>VLOOKUP($B454,'Afton Update'!$A$5:$CR$582,'Afton Update'!BV$589,0)</f>
        <v>N</v>
      </c>
      <c r="L454" s="641" t="str">
        <f>VLOOKUP($B454,'Afton Update'!$A$5:$CR$582,'Afton Update'!BW$589,0)</f>
        <v>N</v>
      </c>
      <c r="N454" s="642">
        <f>VLOOKUP($B454,'Afton Update'!$A$5:$CR$582,'Afton Update'!CB$589,0)</f>
        <v>0.85</v>
      </c>
      <c r="P454" s="636">
        <f>VLOOKUP($B454,'Afton Update'!$A$5:$CR$582,'Afton Update'!AH$589,0)</f>
        <v>0</v>
      </c>
      <c r="Q454" s="637">
        <f>VLOOKUP($B454,'Afton Update'!$A$5:$CR$582,'Afton Update'!AI$589,0)</f>
        <v>0</v>
      </c>
      <c r="R454" s="637">
        <f>VLOOKUP($B454,'Afton Update'!$A$5:$CR$582,'Afton Update'!AJ$589,0)</f>
        <v>0</v>
      </c>
      <c r="S454" s="637">
        <f>VLOOKUP($B454,'Afton Update'!$A$5:$CR$582,'Afton Update'!AK$589,0)</f>
        <v>0</v>
      </c>
      <c r="T454" s="643">
        <f t="shared" si="1307"/>
        <v>0</v>
      </c>
      <c r="V454" s="636">
        <f t="shared" si="1333"/>
        <v>0</v>
      </c>
      <c r="W454" s="637">
        <f t="shared" si="1334"/>
        <v>0</v>
      </c>
      <c r="X454" s="637">
        <f t="shared" si="1335"/>
        <v>0</v>
      </c>
      <c r="Y454" s="637">
        <f t="shared" si="1336"/>
        <v>0</v>
      </c>
      <c r="Z454" s="643">
        <f t="shared" si="1337"/>
        <v>0</v>
      </c>
      <c r="AB454" s="644">
        <f t="shared" si="1308"/>
        <v>0</v>
      </c>
      <c r="AC454" s="645">
        <f t="shared" si="1304"/>
        <v>0</v>
      </c>
      <c r="AD454" s="644">
        <f t="shared" si="1338"/>
        <v>0</v>
      </c>
      <c r="AE454" s="645">
        <f t="shared" si="1339"/>
        <v>0</v>
      </c>
      <c r="AF454" s="646">
        <f t="shared" si="1340"/>
        <v>0</v>
      </c>
      <c r="AG454" s="647">
        <f t="shared" si="1341"/>
        <v>0</v>
      </c>
      <c r="AH454" s="644">
        <f t="shared" si="1309"/>
        <v>0</v>
      </c>
      <c r="AI454" s="645">
        <f t="shared" si="1310"/>
        <v>0</v>
      </c>
      <c r="AJ454" s="646">
        <f t="shared" si="1342"/>
        <v>0</v>
      </c>
      <c r="AK454" s="647">
        <f t="shared" si="1311"/>
        <v>0</v>
      </c>
      <c r="AL454" s="644">
        <f t="shared" si="1343"/>
        <v>0</v>
      </c>
      <c r="AM454" s="645">
        <f t="shared" si="1344"/>
        <v>0</v>
      </c>
      <c r="AN454" s="646">
        <f t="shared" si="1345"/>
        <v>0</v>
      </c>
      <c r="AO454" s="647">
        <f t="shared" si="1312"/>
        <v>0</v>
      </c>
      <c r="AP454" s="644">
        <f t="shared" si="1346"/>
        <v>0</v>
      </c>
      <c r="AQ454" s="645">
        <f t="shared" si="1347"/>
        <v>0</v>
      </c>
      <c r="AR454" s="646">
        <f t="shared" si="1348"/>
        <v>0</v>
      </c>
      <c r="AS454" s="647">
        <f t="shared" si="1313"/>
        <v>0</v>
      </c>
      <c r="AT454" s="644">
        <f t="shared" si="1349"/>
        <v>0</v>
      </c>
      <c r="AU454" s="645">
        <f t="shared" si="1350"/>
        <v>0</v>
      </c>
      <c r="AV454" s="646">
        <f t="shared" si="1351"/>
        <v>0</v>
      </c>
      <c r="AW454" s="647">
        <f t="shared" si="1314"/>
        <v>0</v>
      </c>
      <c r="AY454" s="644">
        <f t="shared" si="1352"/>
        <v>0</v>
      </c>
      <c r="AZ454" s="645">
        <f t="shared" si="1282"/>
        <v>0</v>
      </c>
      <c r="BA454" s="644">
        <f t="shared" si="1353"/>
        <v>0</v>
      </c>
      <c r="BB454" s="645">
        <f t="shared" si="1354"/>
        <v>0</v>
      </c>
      <c r="BC454" s="646">
        <f t="shared" si="1355"/>
        <v>0</v>
      </c>
      <c r="BD454" s="647">
        <f t="shared" si="1356"/>
        <v>0</v>
      </c>
      <c r="BE454" s="644">
        <f t="shared" si="1315"/>
        <v>0</v>
      </c>
      <c r="BF454" s="645">
        <f t="shared" si="1316"/>
        <v>0</v>
      </c>
      <c r="BG454" s="646">
        <f t="shared" si="1357"/>
        <v>0</v>
      </c>
      <c r="BH454" s="647">
        <f t="shared" si="1317"/>
        <v>0</v>
      </c>
      <c r="BI454" s="644">
        <f t="shared" si="1358"/>
        <v>0</v>
      </c>
      <c r="BJ454" s="645">
        <f t="shared" si="1359"/>
        <v>0</v>
      </c>
      <c r="BK454" s="646">
        <f t="shared" si="1360"/>
        <v>0</v>
      </c>
      <c r="BL454" s="647">
        <f t="shared" si="1318"/>
        <v>0</v>
      </c>
      <c r="BM454" s="644">
        <f t="shared" si="1361"/>
        <v>0</v>
      </c>
      <c r="BN454" s="645">
        <f t="shared" si="1362"/>
        <v>0</v>
      </c>
      <c r="BO454" s="646">
        <f t="shared" si="1363"/>
        <v>0</v>
      </c>
      <c r="BP454" s="647">
        <f t="shared" si="1319"/>
        <v>0</v>
      </c>
      <c r="BQ454" s="644">
        <f t="shared" si="1364"/>
        <v>0</v>
      </c>
      <c r="BR454" s="645">
        <f t="shared" si="1365"/>
        <v>0</v>
      </c>
      <c r="BS454" s="646">
        <f t="shared" si="1366"/>
        <v>0</v>
      </c>
      <c r="BT454" s="647">
        <f t="shared" si="1320"/>
        <v>0</v>
      </c>
      <c r="BU454" s="662">
        <f>VLOOKUP(B454,'Afton Update'!$A$5:$AR$582,'Afton Update'!$AO$589,0)-BT454</f>
        <v>0</v>
      </c>
      <c r="BV454" s="644">
        <f t="shared" si="1367"/>
        <v>0</v>
      </c>
      <c r="BW454" s="645">
        <f t="shared" si="1305"/>
        <v>0</v>
      </c>
      <c r="BX454" s="644">
        <f t="shared" si="1368"/>
        <v>0</v>
      </c>
      <c r="BY454" s="645">
        <f t="shared" si="1369"/>
        <v>0</v>
      </c>
      <c r="BZ454" s="646">
        <f t="shared" si="1370"/>
        <v>0</v>
      </c>
      <c r="CA454" s="647">
        <f t="shared" si="1371"/>
        <v>0</v>
      </c>
      <c r="CB454" s="644">
        <f t="shared" si="1321"/>
        <v>0</v>
      </c>
      <c r="CC454" s="645">
        <f t="shared" si="1322"/>
        <v>0</v>
      </c>
      <c r="CD454" s="646">
        <f t="shared" si="1372"/>
        <v>0</v>
      </c>
      <c r="CE454" s="647">
        <f t="shared" si="1323"/>
        <v>0</v>
      </c>
      <c r="CF454" s="644">
        <f t="shared" si="1373"/>
        <v>0</v>
      </c>
      <c r="CG454" s="645">
        <f t="shared" si="1374"/>
        <v>0</v>
      </c>
      <c r="CH454" s="646">
        <f t="shared" si="1375"/>
        <v>0</v>
      </c>
      <c r="CI454" s="647">
        <f t="shared" si="1324"/>
        <v>0</v>
      </c>
      <c r="CJ454" s="644">
        <f t="shared" si="1376"/>
        <v>0</v>
      </c>
      <c r="CK454" s="645">
        <f t="shared" si="1377"/>
        <v>0</v>
      </c>
      <c r="CL454" s="646">
        <f t="shared" si="1378"/>
        <v>0</v>
      </c>
      <c r="CM454" s="647">
        <f t="shared" si="1325"/>
        <v>0</v>
      </c>
      <c r="CN454" s="644">
        <f t="shared" si="1379"/>
        <v>0</v>
      </c>
      <c r="CO454" s="645">
        <f t="shared" si="1380"/>
        <v>0</v>
      </c>
      <c r="CP454" s="646">
        <f t="shared" si="1381"/>
        <v>0</v>
      </c>
      <c r="CQ454" s="647">
        <f t="shared" si="1326"/>
        <v>0</v>
      </c>
      <c r="CS454" s="644">
        <f t="shared" si="1382"/>
        <v>0</v>
      </c>
      <c r="CT454" s="645">
        <f t="shared" si="1306"/>
        <v>0</v>
      </c>
      <c r="CU454" s="644">
        <f t="shared" si="1383"/>
        <v>0</v>
      </c>
      <c r="CV454" s="645">
        <f t="shared" si="1384"/>
        <v>0</v>
      </c>
      <c r="CW454" s="646">
        <f t="shared" si="1385"/>
        <v>0</v>
      </c>
      <c r="CX454" s="647">
        <f t="shared" si="1386"/>
        <v>0</v>
      </c>
      <c r="CY454" s="644">
        <f t="shared" si="1327"/>
        <v>0</v>
      </c>
      <c r="CZ454" s="645">
        <f t="shared" si="1328"/>
        <v>0</v>
      </c>
      <c r="DA454" s="646">
        <f t="shared" si="1387"/>
        <v>0</v>
      </c>
      <c r="DB454" s="647">
        <f t="shared" si="1329"/>
        <v>0</v>
      </c>
      <c r="DC454" s="644">
        <f t="shared" si="1388"/>
        <v>0</v>
      </c>
      <c r="DD454" s="645">
        <f t="shared" si="1389"/>
        <v>0</v>
      </c>
      <c r="DE454" s="646">
        <f t="shared" si="1390"/>
        <v>0</v>
      </c>
      <c r="DF454" s="647">
        <f t="shared" si="1330"/>
        <v>0</v>
      </c>
      <c r="DG454" s="644">
        <f t="shared" si="1391"/>
        <v>0</v>
      </c>
      <c r="DH454" s="645">
        <f t="shared" si="1392"/>
        <v>0</v>
      </c>
      <c r="DI454" s="646">
        <f t="shared" si="1393"/>
        <v>0</v>
      </c>
      <c r="DJ454" s="647">
        <f t="shared" si="1331"/>
        <v>0</v>
      </c>
      <c r="DK454" s="644">
        <f t="shared" si="1394"/>
        <v>0</v>
      </c>
      <c r="DL454" s="645">
        <f t="shared" si="1395"/>
        <v>0</v>
      </c>
      <c r="DM454" s="646">
        <f t="shared" si="1396"/>
        <v>0</v>
      </c>
      <c r="DN454" s="647">
        <f t="shared" si="1332"/>
        <v>0</v>
      </c>
      <c r="DR454" s="827">
        <f t="shared" si="1283"/>
        <v>0</v>
      </c>
      <c r="DV454" s="828">
        <f>IFERROR(VLOOKUP($B454,'Afton FY16 Final'!$A$5:$BV$587,'Afton FY16 Final'!$BV$587,0),0)</f>
        <v>0</v>
      </c>
      <c r="DX454" s="636">
        <f t="shared" si="1274"/>
        <v>0</v>
      </c>
      <c r="DY454" s="637">
        <f t="shared" si="1275"/>
        <v>0</v>
      </c>
      <c r="DZ454" s="637">
        <f t="shared" si="1276"/>
        <v>0</v>
      </c>
      <c r="EA454" s="643">
        <f t="shared" si="1277"/>
        <v>0</v>
      </c>
      <c r="EB454" s="637">
        <f t="shared" si="1284"/>
        <v>0</v>
      </c>
      <c r="EC454" s="637">
        <f t="shared" si="1285"/>
        <v>0</v>
      </c>
      <c r="ED454" s="637">
        <f t="shared" si="1286"/>
        <v>0</v>
      </c>
      <c r="EE454" s="643">
        <f t="shared" si="1287"/>
        <v>0</v>
      </c>
      <c r="EF454" s="637">
        <f t="shared" si="1288"/>
        <v>0</v>
      </c>
      <c r="EG454" s="637">
        <f t="shared" si="1289"/>
        <v>0</v>
      </c>
      <c r="EH454" s="637">
        <f t="shared" si="1290"/>
        <v>0</v>
      </c>
      <c r="EI454" s="643">
        <f t="shared" si="1291"/>
        <v>0</v>
      </c>
      <c r="EJ454" s="637">
        <f t="shared" si="1292"/>
        <v>0</v>
      </c>
      <c r="EK454" s="637">
        <f t="shared" si="1293"/>
        <v>0</v>
      </c>
      <c r="EL454" s="637">
        <f t="shared" si="1294"/>
        <v>0</v>
      </c>
      <c r="EM454" s="643">
        <f t="shared" si="1295"/>
        <v>0</v>
      </c>
      <c r="EN454" s="637">
        <f t="shared" si="1296"/>
        <v>0</v>
      </c>
      <c r="EO454" s="637">
        <f t="shared" si="1297"/>
        <v>0</v>
      </c>
      <c r="EP454" s="637">
        <f t="shared" si="1298"/>
        <v>0</v>
      </c>
      <c r="EQ454" s="643">
        <f t="shared" si="1299"/>
        <v>0</v>
      </c>
      <c r="ER454" s="637">
        <f t="shared" si="1300"/>
        <v>0</v>
      </c>
      <c r="ES454" s="637">
        <f t="shared" si="1301"/>
        <v>0</v>
      </c>
      <c r="ET454" s="637">
        <f t="shared" si="1302"/>
        <v>0</v>
      </c>
      <c r="EU454" s="643">
        <f t="shared" si="1278"/>
        <v>0</v>
      </c>
      <c r="EV454" s="643">
        <f t="shared" si="1279"/>
        <v>0</v>
      </c>
      <c r="EX454" s="829">
        <f t="shared" si="1280"/>
        <v>0</v>
      </c>
      <c r="EY454" s="638">
        <f t="shared" si="1281"/>
        <v>0</v>
      </c>
      <c r="FC454" s="830" t="str">
        <f t="shared" si="1303"/>
        <v>N</v>
      </c>
      <c r="FE454" s="830" t="str">
        <f>IFERROR(VLOOKUP($B454,'Historical Conc Grant Elig'!$B$3:$J$707,'HH &amp; SI'!FE$2,0),"N")</f>
        <v>N</v>
      </c>
      <c r="FF454" s="830" t="str">
        <f>IFERROR(VLOOKUP($B454,'Historical Conc Grant Elig'!$B$3:$J$707,'HH &amp; SI'!FF$2,0),"N")</f>
        <v>N</v>
      </c>
      <c r="FG454" s="830" t="str">
        <f>IFERROR(VLOOKUP($B454,'Historical Conc Grant Elig'!$B$3:$J$707,'HH &amp; SI'!FG$2,0),"N")</f>
        <v>N</v>
      </c>
      <c r="FH454" s="830" t="str">
        <f>IFERROR(VLOOKUP($B454,'Historical Conc Grant Elig'!$B$3:$J$707,'HH &amp; SI'!FH$2,0),"N")</f>
        <v>N</v>
      </c>
      <c r="FI454" s="830" t="str">
        <f>IFERROR(VLOOKUP($B454,'Historical Conc Grant Elig'!$B$3:$J$707,'HH &amp; SI'!FI$2,0),"N")</f>
        <v>N</v>
      </c>
      <c r="FJ454" s="830" t="str">
        <f>IFERROR(VLOOKUP($B454,'Historical Conc Grant Elig'!$B$3:$J$707,'HH &amp; SI'!FJ$2,0),"N")</f>
        <v>N</v>
      </c>
      <c r="FK454" s="830" t="str">
        <f>IFERROR(VLOOKUP($B454,'Historical Conc Grant Elig'!$B$3:$J$707,'HH &amp; SI'!FK$2,0),"N")</f>
        <v>N</v>
      </c>
      <c r="FL454" s="957" t="str">
        <f>IFERROR(VLOOKUP($B454,'Historical Conc Grant Elig'!$B$3:$J$707,'HH &amp; SI'!FL$2,0),"N")</f>
        <v>N</v>
      </c>
    </row>
    <row r="455" spans="2:168" x14ac:dyDescent="0.25">
      <c r="B455" s="634">
        <v>130341000</v>
      </c>
      <c r="C455" s="635" t="str">
        <f>VLOOKUP($B455,'Afton Update'!$A$5:$CR$582,'Afton Update'!D$589,0)</f>
        <v>Crown King Elementary District</v>
      </c>
      <c r="D455" s="636">
        <f>IFERROR(VLOOKUP($B455,'Afton FY16 Final'!$A$5:$BV$587,'Afton FY16 Final'!AQ$587,0),0)</f>
        <v>0</v>
      </c>
      <c r="E455" s="637">
        <f>IFERROR(VLOOKUP($B455,'Afton FY16 Final'!$A$5:$BV$587,'Afton FY16 Final'!AR$587,0),0)</f>
        <v>0</v>
      </c>
      <c r="F455" s="637">
        <f>IFERROR(VLOOKUP($B455,'Afton FY16 Final'!$A$5:$BV$587,'Afton FY16 Final'!AS$587,0),0)</f>
        <v>0</v>
      </c>
      <c r="G455" s="637">
        <f>IFERROR(VLOOKUP($B455,'Afton FY16 Final'!$A$5:$BV$587,'Afton FY16 Final'!AT$587,0),0)</f>
        <v>0</v>
      </c>
      <c r="H455" s="638">
        <f>IFERROR(VLOOKUP($B455,'Afton FY16 Final'!$A$5:$BV$587,'Afton FY16 Final'!AU$587,0),0)</f>
        <v>0</v>
      </c>
      <c r="I455" s="639" t="str">
        <f>VLOOKUP($B455,'Afton Update'!$A$5:$CR$582,'Afton Update'!BT$589,0)</f>
        <v>N</v>
      </c>
      <c r="J455" s="640" t="str">
        <f>VLOOKUP($B455,'Afton Update'!$A$5:$CR$582,'Afton Update'!BU$589,0)</f>
        <v>N</v>
      </c>
      <c r="K455" s="640" t="str">
        <f>VLOOKUP($B455,'Afton Update'!$A$5:$CR$582,'Afton Update'!BV$589,0)</f>
        <v>N</v>
      </c>
      <c r="L455" s="641" t="str">
        <f>VLOOKUP($B455,'Afton Update'!$A$5:$CR$582,'Afton Update'!BW$589,0)</f>
        <v>N</v>
      </c>
      <c r="N455" s="642">
        <f>VLOOKUP($B455,'Afton Update'!$A$5:$CR$582,'Afton Update'!CB$589,0)</f>
        <v>0.85</v>
      </c>
      <c r="P455" s="636">
        <f>VLOOKUP($B455,'Afton Update'!$A$5:$CR$582,'Afton Update'!AH$589,0)</f>
        <v>0</v>
      </c>
      <c r="Q455" s="637">
        <f>VLOOKUP($B455,'Afton Update'!$A$5:$CR$582,'Afton Update'!AI$589,0)</f>
        <v>0</v>
      </c>
      <c r="R455" s="637">
        <f>VLOOKUP($B455,'Afton Update'!$A$5:$CR$582,'Afton Update'!AJ$589,0)</f>
        <v>0</v>
      </c>
      <c r="S455" s="637">
        <f>VLOOKUP($B455,'Afton Update'!$A$5:$CR$582,'Afton Update'!AK$589,0)</f>
        <v>0</v>
      </c>
      <c r="T455" s="643">
        <f t="shared" si="1307"/>
        <v>0</v>
      </c>
      <c r="V455" s="636">
        <f t="shared" si="1333"/>
        <v>0</v>
      </c>
      <c r="W455" s="637">
        <f t="shared" si="1334"/>
        <v>0</v>
      </c>
      <c r="X455" s="637">
        <f t="shared" si="1335"/>
        <v>0</v>
      </c>
      <c r="Y455" s="637">
        <f t="shared" si="1336"/>
        <v>0</v>
      </c>
      <c r="Z455" s="643">
        <f t="shared" si="1337"/>
        <v>0</v>
      </c>
      <c r="AB455" s="644">
        <f t="shared" si="1308"/>
        <v>0</v>
      </c>
      <c r="AC455" s="645">
        <f t="shared" si="1304"/>
        <v>0</v>
      </c>
      <c r="AD455" s="644">
        <f t="shared" si="1338"/>
        <v>0</v>
      </c>
      <c r="AE455" s="645">
        <f t="shared" si="1339"/>
        <v>0</v>
      </c>
      <c r="AF455" s="646">
        <f t="shared" si="1340"/>
        <v>0</v>
      </c>
      <c r="AG455" s="647">
        <f t="shared" si="1341"/>
        <v>0</v>
      </c>
      <c r="AH455" s="644">
        <f t="shared" si="1309"/>
        <v>0</v>
      </c>
      <c r="AI455" s="645">
        <f t="shared" si="1310"/>
        <v>0</v>
      </c>
      <c r="AJ455" s="646">
        <f t="shared" si="1342"/>
        <v>0</v>
      </c>
      <c r="AK455" s="647">
        <f t="shared" si="1311"/>
        <v>0</v>
      </c>
      <c r="AL455" s="644">
        <f t="shared" si="1343"/>
        <v>0</v>
      </c>
      <c r="AM455" s="645">
        <f t="shared" si="1344"/>
        <v>0</v>
      </c>
      <c r="AN455" s="646">
        <f t="shared" si="1345"/>
        <v>0</v>
      </c>
      <c r="AO455" s="647">
        <f t="shared" si="1312"/>
        <v>0</v>
      </c>
      <c r="AP455" s="644">
        <f t="shared" si="1346"/>
        <v>0</v>
      </c>
      <c r="AQ455" s="645">
        <f t="shared" si="1347"/>
        <v>0</v>
      </c>
      <c r="AR455" s="646">
        <f t="shared" si="1348"/>
        <v>0</v>
      </c>
      <c r="AS455" s="647">
        <f t="shared" si="1313"/>
        <v>0</v>
      </c>
      <c r="AT455" s="644">
        <f t="shared" si="1349"/>
        <v>0</v>
      </c>
      <c r="AU455" s="645">
        <f t="shared" si="1350"/>
        <v>0</v>
      </c>
      <c r="AV455" s="646">
        <f t="shared" si="1351"/>
        <v>0</v>
      </c>
      <c r="AW455" s="647">
        <f t="shared" si="1314"/>
        <v>0</v>
      </c>
      <c r="AY455" s="644">
        <f t="shared" si="1352"/>
        <v>0</v>
      </c>
      <c r="AZ455" s="645">
        <f t="shared" si="1282"/>
        <v>0</v>
      </c>
      <c r="BA455" s="644">
        <f t="shared" si="1353"/>
        <v>0</v>
      </c>
      <c r="BB455" s="645">
        <f t="shared" si="1354"/>
        <v>0</v>
      </c>
      <c r="BC455" s="646">
        <f t="shared" si="1355"/>
        <v>0</v>
      </c>
      <c r="BD455" s="647">
        <f t="shared" si="1356"/>
        <v>0</v>
      </c>
      <c r="BE455" s="644">
        <f t="shared" si="1315"/>
        <v>0</v>
      </c>
      <c r="BF455" s="645">
        <f t="shared" si="1316"/>
        <v>0</v>
      </c>
      <c r="BG455" s="646">
        <f t="shared" si="1357"/>
        <v>0</v>
      </c>
      <c r="BH455" s="647">
        <f t="shared" si="1317"/>
        <v>0</v>
      </c>
      <c r="BI455" s="644">
        <f t="shared" si="1358"/>
        <v>0</v>
      </c>
      <c r="BJ455" s="645">
        <f t="shared" si="1359"/>
        <v>0</v>
      </c>
      <c r="BK455" s="646">
        <f t="shared" si="1360"/>
        <v>0</v>
      </c>
      <c r="BL455" s="647">
        <f t="shared" si="1318"/>
        <v>0</v>
      </c>
      <c r="BM455" s="644">
        <f t="shared" si="1361"/>
        <v>0</v>
      </c>
      <c r="BN455" s="645">
        <f t="shared" si="1362"/>
        <v>0</v>
      </c>
      <c r="BO455" s="646">
        <f t="shared" si="1363"/>
        <v>0</v>
      </c>
      <c r="BP455" s="647">
        <f t="shared" si="1319"/>
        <v>0</v>
      </c>
      <c r="BQ455" s="644">
        <f t="shared" si="1364"/>
        <v>0</v>
      </c>
      <c r="BR455" s="645">
        <f t="shared" si="1365"/>
        <v>0</v>
      </c>
      <c r="BS455" s="646">
        <f t="shared" si="1366"/>
        <v>0</v>
      </c>
      <c r="BT455" s="647">
        <f t="shared" si="1320"/>
        <v>0</v>
      </c>
      <c r="BU455" s="662">
        <f>VLOOKUP(B455,'Afton Update'!$A$5:$AR$582,'Afton Update'!$AO$589,0)-BT455</f>
        <v>0</v>
      </c>
      <c r="BV455" s="644">
        <f t="shared" si="1367"/>
        <v>0</v>
      </c>
      <c r="BW455" s="645">
        <f t="shared" si="1305"/>
        <v>0</v>
      </c>
      <c r="BX455" s="644">
        <f t="shared" si="1368"/>
        <v>0</v>
      </c>
      <c r="BY455" s="645">
        <f t="shared" si="1369"/>
        <v>0</v>
      </c>
      <c r="BZ455" s="646">
        <f t="shared" si="1370"/>
        <v>0</v>
      </c>
      <c r="CA455" s="647">
        <f t="shared" si="1371"/>
        <v>0</v>
      </c>
      <c r="CB455" s="644">
        <f t="shared" si="1321"/>
        <v>0</v>
      </c>
      <c r="CC455" s="645">
        <f t="shared" si="1322"/>
        <v>0</v>
      </c>
      <c r="CD455" s="646">
        <f t="shared" si="1372"/>
        <v>0</v>
      </c>
      <c r="CE455" s="647">
        <f t="shared" si="1323"/>
        <v>0</v>
      </c>
      <c r="CF455" s="644">
        <f t="shared" si="1373"/>
        <v>0</v>
      </c>
      <c r="CG455" s="645">
        <f t="shared" si="1374"/>
        <v>0</v>
      </c>
      <c r="CH455" s="646">
        <f t="shared" si="1375"/>
        <v>0</v>
      </c>
      <c r="CI455" s="647">
        <f t="shared" si="1324"/>
        <v>0</v>
      </c>
      <c r="CJ455" s="644">
        <f t="shared" si="1376"/>
        <v>0</v>
      </c>
      <c r="CK455" s="645">
        <f t="shared" si="1377"/>
        <v>0</v>
      </c>
      <c r="CL455" s="646">
        <f t="shared" si="1378"/>
        <v>0</v>
      </c>
      <c r="CM455" s="647">
        <f t="shared" si="1325"/>
        <v>0</v>
      </c>
      <c r="CN455" s="644">
        <f t="shared" si="1379"/>
        <v>0</v>
      </c>
      <c r="CO455" s="645">
        <f t="shared" si="1380"/>
        <v>0</v>
      </c>
      <c r="CP455" s="646">
        <f t="shared" si="1381"/>
        <v>0</v>
      </c>
      <c r="CQ455" s="647">
        <f t="shared" si="1326"/>
        <v>0</v>
      </c>
      <c r="CS455" s="644">
        <f t="shared" si="1382"/>
        <v>0</v>
      </c>
      <c r="CT455" s="645">
        <f t="shared" si="1306"/>
        <v>0</v>
      </c>
      <c r="CU455" s="644">
        <f t="shared" si="1383"/>
        <v>0</v>
      </c>
      <c r="CV455" s="645">
        <f t="shared" si="1384"/>
        <v>0</v>
      </c>
      <c r="CW455" s="646">
        <f t="shared" si="1385"/>
        <v>0</v>
      </c>
      <c r="CX455" s="647">
        <f t="shared" si="1386"/>
        <v>0</v>
      </c>
      <c r="CY455" s="644">
        <f t="shared" si="1327"/>
        <v>0</v>
      </c>
      <c r="CZ455" s="645">
        <f t="shared" si="1328"/>
        <v>0</v>
      </c>
      <c r="DA455" s="646">
        <f t="shared" si="1387"/>
        <v>0</v>
      </c>
      <c r="DB455" s="647">
        <f t="shared" si="1329"/>
        <v>0</v>
      </c>
      <c r="DC455" s="644">
        <f t="shared" si="1388"/>
        <v>0</v>
      </c>
      <c r="DD455" s="645">
        <f t="shared" si="1389"/>
        <v>0</v>
      </c>
      <c r="DE455" s="646">
        <f t="shared" si="1390"/>
        <v>0</v>
      </c>
      <c r="DF455" s="647">
        <f t="shared" si="1330"/>
        <v>0</v>
      </c>
      <c r="DG455" s="644">
        <f t="shared" si="1391"/>
        <v>0</v>
      </c>
      <c r="DH455" s="645">
        <f t="shared" si="1392"/>
        <v>0</v>
      </c>
      <c r="DI455" s="646">
        <f t="shared" si="1393"/>
        <v>0</v>
      </c>
      <c r="DJ455" s="647">
        <f t="shared" si="1331"/>
        <v>0</v>
      </c>
      <c r="DK455" s="644">
        <f t="shared" si="1394"/>
        <v>0</v>
      </c>
      <c r="DL455" s="645">
        <f t="shared" si="1395"/>
        <v>0</v>
      </c>
      <c r="DM455" s="646">
        <f t="shared" si="1396"/>
        <v>0</v>
      </c>
      <c r="DN455" s="647">
        <f t="shared" si="1332"/>
        <v>0</v>
      </c>
      <c r="DR455" s="827">
        <f t="shared" si="1283"/>
        <v>0</v>
      </c>
      <c r="DV455" s="828">
        <f>IFERROR(VLOOKUP($B455,'Afton FY16 Final'!$A$5:$BV$587,'Afton FY16 Final'!$BV$587,0),0)</f>
        <v>0</v>
      </c>
      <c r="DX455" s="636">
        <f t="shared" si="1274"/>
        <v>0</v>
      </c>
      <c r="DY455" s="637">
        <f t="shared" si="1275"/>
        <v>0</v>
      </c>
      <c r="DZ455" s="637">
        <f t="shared" si="1276"/>
        <v>0</v>
      </c>
      <c r="EA455" s="643">
        <f t="shared" si="1277"/>
        <v>0</v>
      </c>
      <c r="EB455" s="637">
        <f t="shared" si="1284"/>
        <v>0</v>
      </c>
      <c r="EC455" s="637">
        <f t="shared" si="1285"/>
        <v>0</v>
      </c>
      <c r="ED455" s="637">
        <f t="shared" si="1286"/>
        <v>0</v>
      </c>
      <c r="EE455" s="643">
        <f t="shared" si="1287"/>
        <v>0</v>
      </c>
      <c r="EF455" s="637">
        <f t="shared" si="1288"/>
        <v>0</v>
      </c>
      <c r="EG455" s="637">
        <f t="shared" si="1289"/>
        <v>0</v>
      </c>
      <c r="EH455" s="637">
        <f t="shared" si="1290"/>
        <v>0</v>
      </c>
      <c r="EI455" s="643">
        <f t="shared" si="1291"/>
        <v>0</v>
      </c>
      <c r="EJ455" s="637">
        <f t="shared" si="1292"/>
        <v>0</v>
      </c>
      <c r="EK455" s="637">
        <f t="shared" si="1293"/>
        <v>0</v>
      </c>
      <c r="EL455" s="637">
        <f t="shared" si="1294"/>
        <v>0</v>
      </c>
      <c r="EM455" s="643">
        <f t="shared" si="1295"/>
        <v>0</v>
      </c>
      <c r="EN455" s="637">
        <f t="shared" si="1296"/>
        <v>0</v>
      </c>
      <c r="EO455" s="637">
        <f t="shared" si="1297"/>
        <v>0</v>
      </c>
      <c r="EP455" s="637">
        <f t="shared" si="1298"/>
        <v>0</v>
      </c>
      <c r="EQ455" s="643">
        <f t="shared" si="1299"/>
        <v>0</v>
      </c>
      <c r="ER455" s="637">
        <f t="shared" si="1300"/>
        <v>0</v>
      </c>
      <c r="ES455" s="637">
        <f t="shared" si="1301"/>
        <v>0</v>
      </c>
      <c r="ET455" s="637">
        <f t="shared" si="1302"/>
        <v>0</v>
      </c>
      <c r="EU455" s="643">
        <f t="shared" si="1278"/>
        <v>0</v>
      </c>
      <c r="EV455" s="643">
        <f t="shared" si="1279"/>
        <v>0</v>
      </c>
      <c r="EX455" s="829">
        <f t="shared" si="1280"/>
        <v>0</v>
      </c>
      <c r="EY455" s="638">
        <f t="shared" si="1281"/>
        <v>0</v>
      </c>
      <c r="FC455" s="830" t="str">
        <f t="shared" si="1303"/>
        <v>N</v>
      </c>
      <c r="FE455" s="830" t="str">
        <f>IFERROR(VLOOKUP($B455,'Historical Conc Grant Elig'!$B$3:$J$707,'HH &amp; SI'!FE$2,0),"N")</f>
        <v>N</v>
      </c>
      <c r="FF455" s="830" t="str">
        <f>IFERROR(VLOOKUP($B455,'Historical Conc Grant Elig'!$B$3:$J$707,'HH &amp; SI'!FF$2,0),"N")</f>
        <v>N</v>
      </c>
      <c r="FG455" s="830" t="str">
        <f>IFERROR(VLOOKUP($B455,'Historical Conc Grant Elig'!$B$3:$J$707,'HH &amp; SI'!FG$2,0),"N")</f>
        <v>N</v>
      </c>
      <c r="FH455" s="830" t="str">
        <f>IFERROR(VLOOKUP($B455,'Historical Conc Grant Elig'!$B$3:$J$707,'HH &amp; SI'!FH$2,0),"N")</f>
        <v>N</v>
      </c>
      <c r="FI455" s="830" t="str">
        <f>IFERROR(VLOOKUP($B455,'Historical Conc Grant Elig'!$B$3:$J$707,'HH &amp; SI'!FI$2,0),"N")</f>
        <v>N</v>
      </c>
      <c r="FJ455" s="830" t="str">
        <f>IFERROR(VLOOKUP($B455,'Historical Conc Grant Elig'!$B$3:$J$707,'HH &amp; SI'!FJ$2,0),"N")</f>
        <v>N</v>
      </c>
      <c r="FK455" s="830" t="str">
        <f>IFERROR(VLOOKUP($B455,'Historical Conc Grant Elig'!$B$3:$J$707,'HH &amp; SI'!FK$2,0),"N")</f>
        <v>N</v>
      </c>
      <c r="FL455" s="957" t="str">
        <f>IFERROR(VLOOKUP($B455,'Historical Conc Grant Elig'!$B$3:$J$707,'HH &amp; SI'!FL$2,0),"N")</f>
        <v>N</v>
      </c>
    </row>
    <row r="456" spans="2:168" x14ac:dyDescent="0.25">
      <c r="B456" s="634">
        <v>130350000</v>
      </c>
      <c r="C456" s="635" t="str">
        <f>VLOOKUP($B456,'Afton Update'!$A$5:$CR$582,'Afton Update'!D$589,0)</f>
        <v>Canon Elementary District</v>
      </c>
      <c r="D456" s="636">
        <f>IFERROR(VLOOKUP($B456,'Afton FY16 Final'!$A$5:$BV$587,'Afton FY16 Final'!AQ$587,0),0)</f>
        <v>60921.576788899722</v>
      </c>
      <c r="E456" s="637">
        <f>IFERROR(VLOOKUP($B456,'Afton FY16 Final'!$A$5:$BV$587,'Afton FY16 Final'!AR$587,0),0)</f>
        <v>14115.42314263926</v>
      </c>
      <c r="F456" s="637">
        <f>IFERROR(VLOOKUP($B456,'Afton FY16 Final'!$A$5:$BV$587,'Afton FY16 Final'!AS$587,0),0)</f>
        <v>41212.908912239232</v>
      </c>
      <c r="G456" s="637">
        <f>IFERROR(VLOOKUP($B456,'Afton FY16 Final'!$A$5:$BV$587,'Afton FY16 Final'!AT$587,0),0)</f>
        <v>34446.821373942264</v>
      </c>
      <c r="H456" s="638">
        <f>IFERROR(VLOOKUP($B456,'Afton FY16 Final'!$A$5:$BV$587,'Afton FY16 Final'!AU$587,0),0)</f>
        <v>150696.7302177205</v>
      </c>
      <c r="I456" s="639" t="str">
        <f>VLOOKUP($B456,'Afton Update'!$A$5:$CR$582,'Afton Update'!BT$589,0)</f>
        <v>Y</v>
      </c>
      <c r="J456" s="640" t="str">
        <f>VLOOKUP($B456,'Afton Update'!$A$5:$CR$582,'Afton Update'!BU$589,0)</f>
        <v>Y</v>
      </c>
      <c r="K456" s="640" t="str">
        <f>VLOOKUP($B456,'Afton Update'!$A$5:$CR$582,'Afton Update'!BV$589,0)</f>
        <v>Y</v>
      </c>
      <c r="L456" s="641" t="str">
        <f>VLOOKUP($B456,'Afton Update'!$A$5:$CR$582,'Afton Update'!BW$589,0)</f>
        <v>Y</v>
      </c>
      <c r="N456" s="642">
        <f>VLOOKUP($B456,'Afton Update'!$A$5:$CR$582,'Afton Update'!CB$589,0)</f>
        <v>0.9</v>
      </c>
      <c r="P456" s="636">
        <f>VLOOKUP($B456,'Afton Update'!$A$5:$CR$582,'Afton Update'!AH$589,0)</f>
        <v>52670.047480845969</v>
      </c>
      <c r="Q456" s="637">
        <f>VLOOKUP($B456,'Afton Update'!$A$5:$CR$582,'Afton Update'!AI$589,0)</f>
        <v>15064.956238117444</v>
      </c>
      <c r="R456" s="637">
        <f>VLOOKUP($B456,'Afton Update'!$A$5:$CR$582,'Afton Update'!AJ$589,0)</f>
        <v>35541.755538932681</v>
      </c>
      <c r="S456" s="637">
        <f>VLOOKUP($B456,'Afton Update'!$A$5:$CR$582,'Afton Update'!AK$589,0)</f>
        <v>29780.879738091273</v>
      </c>
      <c r="T456" s="643">
        <f t="shared" si="1307"/>
        <v>133057.63899598736</v>
      </c>
      <c r="V456" s="636">
        <f t="shared" si="1333"/>
        <v>54829.419110009752</v>
      </c>
      <c r="W456" s="637">
        <f t="shared" si="1334"/>
        <v>14568.771658548954</v>
      </c>
      <c r="X456" s="637">
        <f t="shared" si="1335"/>
        <v>37091.618021015311</v>
      </c>
      <c r="Y456" s="637">
        <f t="shared" si="1336"/>
        <v>31002.139236548039</v>
      </c>
      <c r="Z456" s="643">
        <f t="shared" si="1337"/>
        <v>137491.94802612206</v>
      </c>
      <c r="AB456" s="644">
        <f t="shared" si="1308"/>
        <v>52670.047480845969</v>
      </c>
      <c r="AC456" s="645">
        <f t="shared" si="1304"/>
        <v>54829.419110009752</v>
      </c>
      <c r="AD456" s="644">
        <f t="shared" si="1338"/>
        <v>2159.3716291637829</v>
      </c>
      <c r="AE456" s="645">
        <f t="shared" si="1339"/>
        <v>0</v>
      </c>
      <c r="AF456" s="646">
        <f t="shared" si="1340"/>
        <v>0</v>
      </c>
      <c r="AG456" s="647">
        <f t="shared" si="1341"/>
        <v>54829.419110009752</v>
      </c>
      <c r="AH456" s="644">
        <f t="shared" si="1309"/>
        <v>0</v>
      </c>
      <c r="AI456" s="645">
        <f t="shared" si="1310"/>
        <v>0</v>
      </c>
      <c r="AJ456" s="646">
        <f t="shared" si="1342"/>
        <v>0</v>
      </c>
      <c r="AK456" s="647">
        <f t="shared" si="1311"/>
        <v>54829.419110009752</v>
      </c>
      <c r="AL456" s="644">
        <f t="shared" si="1343"/>
        <v>0</v>
      </c>
      <c r="AM456" s="645">
        <f t="shared" si="1344"/>
        <v>0</v>
      </c>
      <c r="AN456" s="646">
        <f t="shared" si="1345"/>
        <v>0</v>
      </c>
      <c r="AO456" s="647">
        <f t="shared" si="1312"/>
        <v>54829.419110009752</v>
      </c>
      <c r="AP456" s="644">
        <f t="shared" si="1346"/>
        <v>0</v>
      </c>
      <c r="AQ456" s="645">
        <f t="shared" si="1347"/>
        <v>0</v>
      </c>
      <c r="AR456" s="646">
        <f t="shared" si="1348"/>
        <v>0</v>
      </c>
      <c r="AS456" s="647">
        <f t="shared" si="1313"/>
        <v>54829.419110009752</v>
      </c>
      <c r="AT456" s="644">
        <f t="shared" si="1349"/>
        <v>0</v>
      </c>
      <c r="AU456" s="645">
        <f t="shared" si="1350"/>
        <v>0</v>
      </c>
      <c r="AV456" s="646">
        <f t="shared" si="1351"/>
        <v>0</v>
      </c>
      <c r="AW456" s="647">
        <f t="shared" si="1314"/>
        <v>54829.419110009752</v>
      </c>
      <c r="AY456" s="644">
        <f t="shared" si="1352"/>
        <v>15064.956238117444</v>
      </c>
      <c r="AZ456" s="645">
        <f t="shared" si="1282"/>
        <v>12703.880828375333</v>
      </c>
      <c r="BA456" s="644">
        <f t="shared" si="1353"/>
        <v>0</v>
      </c>
      <c r="BB456" s="645">
        <f t="shared" si="1354"/>
        <v>15064.956238117444</v>
      </c>
      <c r="BC456" s="646">
        <f t="shared" si="1355"/>
        <v>-108.33649069519184</v>
      </c>
      <c r="BD456" s="647">
        <f t="shared" si="1356"/>
        <v>14956.619747422252</v>
      </c>
      <c r="BE456" s="644">
        <f t="shared" si="1315"/>
        <v>0</v>
      </c>
      <c r="BF456" s="645">
        <f t="shared" si="1316"/>
        <v>14956.619747422252</v>
      </c>
      <c r="BG456" s="646">
        <f t="shared" si="1357"/>
        <v>-356.25449361785036</v>
      </c>
      <c r="BH456" s="647">
        <f t="shared" si="1317"/>
        <v>14600.365253804401</v>
      </c>
      <c r="BI456" s="644">
        <f t="shared" si="1358"/>
        <v>0</v>
      </c>
      <c r="BJ456" s="645">
        <f t="shared" si="1359"/>
        <v>14600.365253804401</v>
      </c>
      <c r="BK456" s="646">
        <f t="shared" si="1360"/>
        <v>-30.927002824678304</v>
      </c>
      <c r="BL456" s="647">
        <f t="shared" si="1318"/>
        <v>14569.438250979723</v>
      </c>
      <c r="BM456" s="644">
        <f t="shared" si="1361"/>
        <v>0</v>
      </c>
      <c r="BN456" s="645">
        <f t="shared" si="1362"/>
        <v>14569.438250979723</v>
      </c>
      <c r="BO456" s="646">
        <f t="shared" si="1363"/>
        <v>-0.66659243076855357</v>
      </c>
      <c r="BP456" s="647">
        <f t="shared" si="1319"/>
        <v>14568.771658548954</v>
      </c>
      <c r="BQ456" s="644">
        <f t="shared" si="1364"/>
        <v>0</v>
      </c>
      <c r="BR456" s="645">
        <f t="shared" si="1365"/>
        <v>14568.771658548954</v>
      </c>
      <c r="BS456" s="646">
        <f t="shared" si="1366"/>
        <v>0</v>
      </c>
      <c r="BT456" s="647">
        <f t="shared" si="1320"/>
        <v>14568.771658548954</v>
      </c>
      <c r="BU456" s="662">
        <f>VLOOKUP(B456,'Afton Update'!$A$5:$AR$582,'Afton Update'!$AO$589,0)-BT456</f>
        <v>0</v>
      </c>
      <c r="BV456" s="644">
        <f t="shared" si="1367"/>
        <v>35541.755538932681</v>
      </c>
      <c r="BW456" s="645">
        <f t="shared" si="1305"/>
        <v>37091.618021015311</v>
      </c>
      <c r="BX456" s="644">
        <f t="shared" si="1368"/>
        <v>1549.8624820826299</v>
      </c>
      <c r="BY456" s="645">
        <f t="shared" si="1369"/>
        <v>0</v>
      </c>
      <c r="BZ456" s="646">
        <f t="shared" si="1370"/>
        <v>0</v>
      </c>
      <c r="CA456" s="647">
        <f t="shared" si="1371"/>
        <v>37091.618021015311</v>
      </c>
      <c r="CB456" s="644">
        <f t="shared" si="1321"/>
        <v>0</v>
      </c>
      <c r="CC456" s="645">
        <f t="shared" si="1322"/>
        <v>0</v>
      </c>
      <c r="CD456" s="646">
        <f t="shared" si="1372"/>
        <v>0</v>
      </c>
      <c r="CE456" s="647">
        <f t="shared" si="1323"/>
        <v>37091.618021015311</v>
      </c>
      <c r="CF456" s="644">
        <f t="shared" si="1373"/>
        <v>0</v>
      </c>
      <c r="CG456" s="645">
        <f t="shared" si="1374"/>
        <v>0</v>
      </c>
      <c r="CH456" s="646">
        <f t="shared" si="1375"/>
        <v>0</v>
      </c>
      <c r="CI456" s="647">
        <f t="shared" si="1324"/>
        <v>37091.618021015311</v>
      </c>
      <c r="CJ456" s="644">
        <f t="shared" si="1376"/>
        <v>0</v>
      </c>
      <c r="CK456" s="645">
        <f t="shared" si="1377"/>
        <v>0</v>
      </c>
      <c r="CL456" s="646">
        <f t="shared" si="1378"/>
        <v>0</v>
      </c>
      <c r="CM456" s="647">
        <f t="shared" si="1325"/>
        <v>37091.618021015311</v>
      </c>
      <c r="CN456" s="644">
        <f t="shared" si="1379"/>
        <v>0</v>
      </c>
      <c r="CO456" s="645">
        <f t="shared" si="1380"/>
        <v>0</v>
      </c>
      <c r="CP456" s="646">
        <f t="shared" si="1381"/>
        <v>0</v>
      </c>
      <c r="CQ456" s="647">
        <f t="shared" si="1326"/>
        <v>37091.618021015311</v>
      </c>
      <c r="CS456" s="644">
        <f t="shared" si="1382"/>
        <v>29780.879738091273</v>
      </c>
      <c r="CT456" s="645">
        <f t="shared" si="1306"/>
        <v>31002.139236548039</v>
      </c>
      <c r="CU456" s="644">
        <f t="shared" si="1383"/>
        <v>1221.2594984567659</v>
      </c>
      <c r="CV456" s="645">
        <f t="shared" si="1384"/>
        <v>0</v>
      </c>
      <c r="CW456" s="646">
        <f t="shared" si="1385"/>
        <v>0</v>
      </c>
      <c r="CX456" s="647">
        <f t="shared" si="1386"/>
        <v>31002.139236548039</v>
      </c>
      <c r="CY456" s="644">
        <f t="shared" si="1327"/>
        <v>0</v>
      </c>
      <c r="CZ456" s="645">
        <f t="shared" si="1328"/>
        <v>0</v>
      </c>
      <c r="DA456" s="646">
        <f t="shared" si="1387"/>
        <v>0</v>
      </c>
      <c r="DB456" s="647">
        <f t="shared" si="1329"/>
        <v>31002.139236548039</v>
      </c>
      <c r="DC456" s="644">
        <f t="shared" si="1388"/>
        <v>0</v>
      </c>
      <c r="DD456" s="645">
        <f t="shared" si="1389"/>
        <v>0</v>
      </c>
      <c r="DE456" s="646">
        <f t="shared" si="1390"/>
        <v>0</v>
      </c>
      <c r="DF456" s="647">
        <f t="shared" si="1330"/>
        <v>31002.139236548039</v>
      </c>
      <c r="DG456" s="644">
        <f t="shared" si="1391"/>
        <v>0</v>
      </c>
      <c r="DH456" s="645">
        <f t="shared" si="1392"/>
        <v>0</v>
      </c>
      <c r="DI456" s="646">
        <f t="shared" si="1393"/>
        <v>0</v>
      </c>
      <c r="DJ456" s="647">
        <f t="shared" si="1331"/>
        <v>31002.139236548039</v>
      </c>
      <c r="DK456" s="644">
        <f t="shared" si="1394"/>
        <v>0</v>
      </c>
      <c r="DL456" s="645">
        <f t="shared" si="1395"/>
        <v>0</v>
      </c>
      <c r="DM456" s="646">
        <f t="shared" si="1396"/>
        <v>0</v>
      </c>
      <c r="DN456" s="647">
        <f t="shared" si="1332"/>
        <v>31002.139236548039</v>
      </c>
      <c r="DR456" s="827">
        <f t="shared" si="1283"/>
        <v>137491.94802612206</v>
      </c>
      <c r="DV456" s="828">
        <f>IFERROR(VLOOKUP($B456,'Afton FY16 Final'!$A$5:$BV$587,'Afton FY16 Final'!$BV$587,0),0)</f>
        <v>147729.51162469026</v>
      </c>
      <c r="DX456" s="636">
        <f t="shared" ref="DX456:DX486" si="1397">IF(DR456&gt;DV456,DR456,0)</f>
        <v>0</v>
      </c>
      <c r="DY456" s="637">
        <f t="shared" ref="DY456:DY486" si="1398">IF(DX456&gt;0,DX456-DV456,0)</f>
        <v>0</v>
      </c>
      <c r="DZ456" s="637">
        <f t="shared" ref="DZ456:DZ486" si="1399">IF(DX456=0,0,DV456)</f>
        <v>0</v>
      </c>
      <c r="EA456" s="643">
        <f t="shared" ref="EA456:EA486" si="1400">DX456/$DX$2*$EA$2</f>
        <v>0</v>
      </c>
      <c r="EB456" s="637">
        <f t="shared" si="1284"/>
        <v>0</v>
      </c>
      <c r="EC456" s="637">
        <f t="shared" si="1285"/>
        <v>0</v>
      </c>
      <c r="ED456" s="637">
        <f t="shared" si="1286"/>
        <v>0</v>
      </c>
      <c r="EE456" s="643">
        <f t="shared" si="1287"/>
        <v>0</v>
      </c>
      <c r="EF456" s="637">
        <f t="shared" si="1288"/>
        <v>0</v>
      </c>
      <c r="EG456" s="637">
        <f t="shared" si="1289"/>
        <v>0</v>
      </c>
      <c r="EH456" s="637">
        <f t="shared" si="1290"/>
        <v>0</v>
      </c>
      <c r="EI456" s="643">
        <f t="shared" si="1291"/>
        <v>0</v>
      </c>
      <c r="EJ456" s="637">
        <f t="shared" si="1292"/>
        <v>0</v>
      </c>
      <c r="EK456" s="637">
        <f t="shared" si="1293"/>
        <v>0</v>
      </c>
      <c r="EL456" s="637">
        <f t="shared" si="1294"/>
        <v>0</v>
      </c>
      <c r="EM456" s="643">
        <f t="shared" si="1295"/>
        <v>0</v>
      </c>
      <c r="EN456" s="637">
        <f t="shared" si="1296"/>
        <v>0</v>
      </c>
      <c r="EO456" s="637">
        <f t="shared" si="1297"/>
        <v>0</v>
      </c>
      <c r="EP456" s="637">
        <f t="shared" si="1298"/>
        <v>0</v>
      </c>
      <c r="EQ456" s="643">
        <f t="shared" si="1299"/>
        <v>0</v>
      </c>
      <c r="ER456" s="637">
        <f t="shared" si="1300"/>
        <v>0</v>
      </c>
      <c r="ES456" s="637">
        <f t="shared" si="1301"/>
        <v>0</v>
      </c>
      <c r="ET456" s="637">
        <f t="shared" si="1302"/>
        <v>0</v>
      </c>
      <c r="EU456" s="643">
        <f t="shared" ref="EU456:EU486" si="1401">$EJ456+$EF456+$EB456+ET456+ER456+EN456</f>
        <v>0</v>
      </c>
      <c r="EV456" s="643">
        <f t="shared" ref="EV456:EV486" si="1402">IF(EU456&lt;$DZ456,$DZ456,0)</f>
        <v>0</v>
      </c>
      <c r="EX456" s="829">
        <f t="shared" ref="EX456:EX486" si="1403">IF(EU456=0,0,DR456-EU456)</f>
        <v>0</v>
      </c>
      <c r="EY456" s="638">
        <f t="shared" ref="EY456:EY486" si="1404">IF(EU456=0,DR456,EU456)</f>
        <v>137491.94802612206</v>
      </c>
      <c r="FC456" s="830" t="str">
        <f t="shared" si="1303"/>
        <v>Y</v>
      </c>
      <c r="FE456" s="830" t="str">
        <f>IFERROR(VLOOKUP($B456,'Historical Conc Grant Elig'!$B$3:$J$707,'HH &amp; SI'!FE$2,0),"N")</f>
        <v>Y</v>
      </c>
      <c r="FF456" s="830" t="str">
        <f>IFERROR(VLOOKUP($B456,'Historical Conc Grant Elig'!$B$3:$J$707,'HH &amp; SI'!FF$2,0),"N")</f>
        <v>Y</v>
      </c>
      <c r="FG456" s="830" t="str">
        <f>IFERROR(VLOOKUP($B456,'Historical Conc Grant Elig'!$B$3:$J$707,'HH &amp; SI'!FG$2,0),"N")</f>
        <v>Y</v>
      </c>
      <c r="FH456" s="830" t="str">
        <f>IFERROR(VLOOKUP($B456,'Historical Conc Grant Elig'!$B$3:$J$707,'HH &amp; SI'!FH$2,0),"N")</f>
        <v>Y</v>
      </c>
      <c r="FI456" s="830" t="str">
        <f>IFERROR(VLOOKUP($B456,'Historical Conc Grant Elig'!$B$3:$J$707,'HH &amp; SI'!FI$2,0),"N")</f>
        <v>Y</v>
      </c>
      <c r="FJ456" s="830" t="str">
        <f>IFERROR(VLOOKUP($B456,'Historical Conc Grant Elig'!$B$3:$J$707,'HH &amp; SI'!FJ$2,0),"N")</f>
        <v>Y</v>
      </c>
      <c r="FK456" s="830" t="str">
        <f>IFERROR(VLOOKUP($B456,'Historical Conc Grant Elig'!$B$3:$J$707,'HH &amp; SI'!FK$2,0),"N")</f>
        <v>Y</v>
      </c>
      <c r="FL456" s="957" t="str">
        <f>IFERROR(VLOOKUP($B456,'Historical Conc Grant Elig'!$B$3:$J$707,'HH &amp; SI'!FL$2,0),"N")</f>
        <v>Y</v>
      </c>
    </row>
    <row r="457" spans="2:168" x14ac:dyDescent="0.25">
      <c r="B457" s="634">
        <v>130352000</v>
      </c>
      <c r="C457" s="635" t="str">
        <f>VLOOKUP($B457,'Afton Update'!$A$5:$CR$582,'Afton Update'!D$589,0)</f>
        <v>Yarnell Elementary District</v>
      </c>
      <c r="D457" s="636">
        <f>IFERROR(VLOOKUP($B457,'Afton FY16 Final'!$A$5:$BV$587,'Afton FY16 Final'!AQ$587,0),0)</f>
        <v>0</v>
      </c>
      <c r="E457" s="637">
        <f>IFERROR(VLOOKUP($B457,'Afton FY16 Final'!$A$5:$BV$587,'Afton FY16 Final'!AR$587,0),0)</f>
        <v>1742.0835287177597</v>
      </c>
      <c r="F457" s="637">
        <f>IFERROR(VLOOKUP($B457,'Afton FY16 Final'!$A$5:$BV$587,'Afton FY16 Final'!AS$587,0),0)</f>
        <v>0</v>
      </c>
      <c r="G457" s="637">
        <f>IFERROR(VLOOKUP($B457,'Afton FY16 Final'!$A$5:$BV$587,'Afton FY16 Final'!AT$587,0),0)</f>
        <v>0</v>
      </c>
      <c r="H457" s="638">
        <f>IFERROR(VLOOKUP($B457,'Afton FY16 Final'!$A$5:$BV$587,'Afton FY16 Final'!AU$587,0),0)</f>
        <v>1742.0835287177597</v>
      </c>
      <c r="I457" s="639" t="str">
        <f>VLOOKUP($B457,'Afton Update'!$A$5:$CR$582,'Afton Update'!BT$589,0)</f>
        <v>Y</v>
      </c>
      <c r="J457" s="640" t="str">
        <f>VLOOKUP($B457,'Afton Update'!$A$5:$CR$582,'Afton Update'!BU$589,0)</f>
        <v>Y</v>
      </c>
      <c r="K457" s="640" t="str">
        <f>VLOOKUP($B457,'Afton Update'!$A$5:$CR$582,'Afton Update'!BV$589,0)</f>
        <v>Y</v>
      </c>
      <c r="L457" s="641" t="str">
        <f>VLOOKUP($B457,'Afton Update'!$A$5:$CR$582,'Afton Update'!BW$589,0)</f>
        <v>Y</v>
      </c>
      <c r="N457" s="642">
        <f>VLOOKUP($B457,'Afton Update'!$A$5:$CR$582,'Afton Update'!CB$589,0)</f>
        <v>0.9</v>
      </c>
      <c r="P457" s="636">
        <f>VLOOKUP($B457,'Afton Update'!$A$5:$CR$582,'Afton Update'!AH$589,0)</f>
        <v>8485.2488922614448</v>
      </c>
      <c r="Q457" s="637">
        <f>VLOOKUP($B457,'Afton Update'!$A$5:$CR$582,'Afton Update'!AI$589,0)</f>
        <v>4920.4326490010453</v>
      </c>
      <c r="R457" s="637">
        <f>VLOOKUP($B457,'Afton Update'!$A$5:$CR$582,'Afton Update'!AJ$589,0)</f>
        <v>4149.8415817565328</v>
      </c>
      <c r="S457" s="637">
        <f>VLOOKUP($B457,'Afton Update'!$A$5:$CR$582,'Afton Update'!AK$589,0)</f>
        <v>3461.3830416410606</v>
      </c>
      <c r="T457" s="643">
        <f t="shared" si="1307"/>
        <v>21016.906164660082</v>
      </c>
      <c r="V457" s="636">
        <f t="shared" si="1333"/>
        <v>8369.5045899042652</v>
      </c>
      <c r="W457" s="637">
        <f t="shared" si="1334"/>
        <v>4758.3715871134382</v>
      </c>
      <c r="X457" s="637">
        <f t="shared" si="1335"/>
        <v>4112.1003928148402</v>
      </c>
      <c r="Y457" s="637">
        <f t="shared" si="1336"/>
        <v>3423.2448313299296</v>
      </c>
      <c r="Z457" s="643">
        <f t="shared" si="1337"/>
        <v>20663.221401162471</v>
      </c>
      <c r="AB457" s="644">
        <f t="shared" si="1308"/>
        <v>8485.2488922614448</v>
      </c>
      <c r="AC457" s="645">
        <f t="shared" si="1304"/>
        <v>0</v>
      </c>
      <c r="AD457" s="644">
        <f t="shared" si="1338"/>
        <v>0</v>
      </c>
      <c r="AE457" s="645">
        <f t="shared" si="1339"/>
        <v>8485.2488922614448</v>
      </c>
      <c r="AF457" s="646">
        <f t="shared" si="1340"/>
        <v>-105.18103651438399</v>
      </c>
      <c r="AG457" s="647">
        <f t="shared" si="1341"/>
        <v>8380.0678557470601</v>
      </c>
      <c r="AH457" s="644">
        <f t="shared" si="1309"/>
        <v>0</v>
      </c>
      <c r="AI457" s="645">
        <f t="shared" si="1310"/>
        <v>8380.0678557470601</v>
      </c>
      <c r="AJ457" s="646">
        <f t="shared" si="1342"/>
        <v>-10.556536018570467</v>
      </c>
      <c r="AK457" s="647">
        <f t="shared" si="1311"/>
        <v>8369.51131972849</v>
      </c>
      <c r="AL457" s="644">
        <f t="shared" si="1343"/>
        <v>0</v>
      </c>
      <c r="AM457" s="645">
        <f t="shared" si="1344"/>
        <v>8369.51131972849</v>
      </c>
      <c r="AN457" s="646">
        <f t="shared" si="1345"/>
        <v>-6.7298242241433702E-3</v>
      </c>
      <c r="AO457" s="647">
        <f t="shared" si="1312"/>
        <v>8369.5045899042652</v>
      </c>
      <c r="AP457" s="644">
        <f t="shared" si="1346"/>
        <v>0</v>
      </c>
      <c r="AQ457" s="645">
        <f t="shared" si="1347"/>
        <v>8369.5045899042652</v>
      </c>
      <c r="AR457" s="646">
        <f t="shared" si="1348"/>
        <v>0</v>
      </c>
      <c r="AS457" s="647">
        <f t="shared" si="1313"/>
        <v>8369.5045899042652</v>
      </c>
      <c r="AT457" s="644">
        <f t="shared" si="1349"/>
        <v>0</v>
      </c>
      <c r="AU457" s="645">
        <f t="shared" si="1350"/>
        <v>8369.5045899042652</v>
      </c>
      <c r="AV457" s="646">
        <f t="shared" si="1351"/>
        <v>0</v>
      </c>
      <c r="AW457" s="647">
        <f t="shared" si="1314"/>
        <v>8369.5045899042652</v>
      </c>
      <c r="AY457" s="644">
        <f t="shared" si="1352"/>
        <v>4920.4326490010453</v>
      </c>
      <c r="AZ457" s="645">
        <f t="shared" ref="AZ457:AZ494" si="1405">IF(AND($J457="N",FC457="N"),0,E457*$N457)</f>
        <v>1567.8751758459837</v>
      </c>
      <c r="BA457" s="644">
        <f t="shared" si="1353"/>
        <v>0</v>
      </c>
      <c r="BB457" s="645">
        <f t="shared" si="1354"/>
        <v>4920.4326490010453</v>
      </c>
      <c r="BC457" s="646">
        <f t="shared" si="1355"/>
        <v>-35.384265142839396</v>
      </c>
      <c r="BD457" s="647">
        <f t="shared" si="1356"/>
        <v>4885.0483838582059</v>
      </c>
      <c r="BE457" s="644">
        <f t="shared" si="1315"/>
        <v>0</v>
      </c>
      <c r="BF457" s="645">
        <f t="shared" si="1316"/>
        <v>4885.0483838582059</v>
      </c>
      <c r="BG457" s="646">
        <f t="shared" si="1357"/>
        <v>-116.3578714762769</v>
      </c>
      <c r="BH457" s="647">
        <f t="shared" si="1317"/>
        <v>4768.6905123819288</v>
      </c>
      <c r="BI457" s="644">
        <f t="shared" si="1358"/>
        <v>0</v>
      </c>
      <c r="BJ457" s="645">
        <f t="shared" si="1359"/>
        <v>4768.6905123819288</v>
      </c>
      <c r="BK457" s="646">
        <f t="shared" si="1360"/>
        <v>-10.10120653714629</v>
      </c>
      <c r="BL457" s="647">
        <f t="shared" si="1318"/>
        <v>4758.5893058447828</v>
      </c>
      <c r="BM457" s="644">
        <f t="shared" si="1361"/>
        <v>0</v>
      </c>
      <c r="BN457" s="645">
        <f t="shared" si="1362"/>
        <v>4758.5893058447828</v>
      </c>
      <c r="BO457" s="646">
        <f t="shared" si="1363"/>
        <v>-0.21771873134497921</v>
      </c>
      <c r="BP457" s="647">
        <f t="shared" si="1319"/>
        <v>4758.3715871134382</v>
      </c>
      <c r="BQ457" s="644">
        <f t="shared" si="1364"/>
        <v>0</v>
      </c>
      <c r="BR457" s="645">
        <f t="shared" si="1365"/>
        <v>4758.3715871134382</v>
      </c>
      <c r="BS457" s="646">
        <f t="shared" si="1366"/>
        <v>0</v>
      </c>
      <c r="BT457" s="647">
        <f t="shared" si="1320"/>
        <v>4758.3715871134382</v>
      </c>
      <c r="BU457" s="662">
        <f>VLOOKUP(B457,'Afton Update'!$A$5:$AR$582,'Afton Update'!$AO$589,0)-BT457</f>
        <v>0</v>
      </c>
      <c r="BV457" s="644">
        <f t="shared" si="1367"/>
        <v>4149.8415817565328</v>
      </c>
      <c r="BW457" s="645">
        <f t="shared" si="1305"/>
        <v>0</v>
      </c>
      <c r="BX457" s="644">
        <f t="shared" si="1368"/>
        <v>0</v>
      </c>
      <c r="BY457" s="645">
        <f t="shared" si="1369"/>
        <v>4149.8415817565328</v>
      </c>
      <c r="BZ457" s="646">
        <f t="shared" si="1370"/>
        <v>-36.423600769305104</v>
      </c>
      <c r="CA457" s="647">
        <f t="shared" si="1371"/>
        <v>4113.4179809872276</v>
      </c>
      <c r="CB457" s="644">
        <f t="shared" si="1321"/>
        <v>0</v>
      </c>
      <c r="CC457" s="645">
        <f t="shared" si="1322"/>
        <v>4113.4179809872276</v>
      </c>
      <c r="CD457" s="646">
        <f t="shared" si="1372"/>
        <v>-1.3175881723870577</v>
      </c>
      <c r="CE457" s="647">
        <f t="shared" si="1323"/>
        <v>4112.1003928148402</v>
      </c>
      <c r="CF457" s="644">
        <f t="shared" si="1373"/>
        <v>0</v>
      </c>
      <c r="CG457" s="645">
        <f t="shared" si="1374"/>
        <v>4112.1003928148402</v>
      </c>
      <c r="CH457" s="646">
        <f t="shared" si="1375"/>
        <v>0</v>
      </c>
      <c r="CI457" s="647">
        <f t="shared" si="1324"/>
        <v>4112.1003928148402</v>
      </c>
      <c r="CJ457" s="644">
        <f t="shared" si="1376"/>
        <v>0</v>
      </c>
      <c r="CK457" s="645">
        <f t="shared" si="1377"/>
        <v>4112.1003928148402</v>
      </c>
      <c r="CL457" s="646">
        <f t="shared" si="1378"/>
        <v>0</v>
      </c>
      <c r="CM457" s="647">
        <f t="shared" si="1325"/>
        <v>4112.1003928148402</v>
      </c>
      <c r="CN457" s="644">
        <f t="shared" si="1379"/>
        <v>0</v>
      </c>
      <c r="CO457" s="645">
        <f t="shared" si="1380"/>
        <v>4112.1003928148402</v>
      </c>
      <c r="CP457" s="646">
        <f t="shared" si="1381"/>
        <v>0</v>
      </c>
      <c r="CQ457" s="647">
        <f t="shared" si="1326"/>
        <v>4112.1003928148402</v>
      </c>
      <c r="CS457" s="644">
        <f t="shared" si="1382"/>
        <v>3461.3830416410606</v>
      </c>
      <c r="CT457" s="645">
        <f t="shared" si="1306"/>
        <v>0</v>
      </c>
      <c r="CU457" s="644">
        <f t="shared" si="1383"/>
        <v>0</v>
      </c>
      <c r="CV457" s="645">
        <f t="shared" si="1384"/>
        <v>3461.3830416410606</v>
      </c>
      <c r="CW457" s="646">
        <f t="shared" si="1385"/>
        <v>-35.446518450027604</v>
      </c>
      <c r="CX457" s="647">
        <f t="shared" si="1386"/>
        <v>3425.9365231910328</v>
      </c>
      <c r="CY457" s="644">
        <f t="shared" si="1327"/>
        <v>0</v>
      </c>
      <c r="CZ457" s="645">
        <f t="shared" si="1328"/>
        <v>3425.9365231910328</v>
      </c>
      <c r="DA457" s="646">
        <f t="shared" si="1387"/>
        <v>-2.6893726121930341</v>
      </c>
      <c r="DB457" s="647">
        <f t="shared" si="1329"/>
        <v>3423.2471505788399</v>
      </c>
      <c r="DC457" s="644">
        <f t="shared" si="1388"/>
        <v>0</v>
      </c>
      <c r="DD457" s="645">
        <f t="shared" si="1389"/>
        <v>3423.2471505788399</v>
      </c>
      <c r="DE457" s="646">
        <f t="shared" si="1390"/>
        <v>-2.3192489102821495E-3</v>
      </c>
      <c r="DF457" s="647">
        <f t="shared" si="1330"/>
        <v>3423.2448313299296</v>
      </c>
      <c r="DG457" s="644">
        <f t="shared" si="1391"/>
        <v>0</v>
      </c>
      <c r="DH457" s="645">
        <f t="shared" si="1392"/>
        <v>3423.2448313299296</v>
      </c>
      <c r="DI457" s="646">
        <f t="shared" si="1393"/>
        <v>0</v>
      </c>
      <c r="DJ457" s="647">
        <f t="shared" si="1331"/>
        <v>3423.2448313299296</v>
      </c>
      <c r="DK457" s="644">
        <f t="shared" si="1394"/>
        <v>0</v>
      </c>
      <c r="DL457" s="645">
        <f t="shared" si="1395"/>
        <v>3423.2448313299296</v>
      </c>
      <c r="DM457" s="646">
        <f t="shared" si="1396"/>
        <v>0</v>
      </c>
      <c r="DN457" s="647">
        <f t="shared" si="1332"/>
        <v>3423.2448313299296</v>
      </c>
      <c r="DR457" s="827">
        <f t="shared" ref="DR457:DR486" si="1406">Z457</f>
        <v>20663.221401162471</v>
      </c>
      <c r="DV457" s="828">
        <f>IFERROR(VLOOKUP($B457,'Afton FY16 Final'!$A$5:$BV$587,'Afton FY16 Final'!$BV$587,0),0)</f>
        <v>1707.7819043258114</v>
      </c>
      <c r="DX457" s="636">
        <f t="shared" si="1397"/>
        <v>20663.221401162471</v>
      </c>
      <c r="DY457" s="637">
        <f t="shared" si="1398"/>
        <v>18955.439496836661</v>
      </c>
      <c r="DZ457" s="637">
        <f t="shared" si="1399"/>
        <v>1707.7819043258114</v>
      </c>
      <c r="EA457" s="643">
        <f t="shared" si="1400"/>
        <v>19564.169603627859</v>
      </c>
      <c r="EB457" s="637">
        <f t="shared" ref="EB457:EB486" si="1407">IF(EA457&lt;$DZ457,$DZ457,0)</f>
        <v>0</v>
      </c>
      <c r="EC457" s="637">
        <f t="shared" ref="EC457:EC486" si="1408">IF(EB457=0,EA457,0)</f>
        <v>19564.169603627859</v>
      </c>
      <c r="ED457" s="637">
        <f t="shared" ref="ED457:ED486" si="1409">EC457/EC$2*ED$2</f>
        <v>19505.830418001922</v>
      </c>
      <c r="EE457" s="643">
        <f t="shared" ref="EE457:EE486" si="1410">ED457+EB457</f>
        <v>19505.830418001922</v>
      </c>
      <c r="EF457" s="637">
        <f t="shared" ref="EF457:EF486" si="1411">IF(EE457&lt;$DZ457,$DZ457,0)</f>
        <v>0</v>
      </c>
      <c r="EG457" s="637">
        <f t="shared" ref="EG457:EG486" si="1412">IF(EB457+EF457=0,EE457,0)</f>
        <v>19505.830418001922</v>
      </c>
      <c r="EH457" s="637">
        <f t="shared" ref="EH457:EH486" si="1413">EG457/EG$2*EH$2</f>
        <v>19505.81029459805</v>
      </c>
      <c r="EI457" s="643">
        <f t="shared" ref="EI457:EI486" si="1414">EH457+EF457+EB457</f>
        <v>19505.81029459805</v>
      </c>
      <c r="EJ457" s="637">
        <f t="shared" ref="EJ457:EJ486" si="1415">IF(EI457&lt;$DZ457,$DZ457,0)</f>
        <v>0</v>
      </c>
      <c r="EK457" s="637">
        <f t="shared" ref="EK457:EK486" si="1416">IF($EB457+$EF457+$EJ457=0,EI457,0)</f>
        <v>19505.81029459805</v>
      </c>
      <c r="EL457" s="637">
        <f t="shared" ref="EL457:EL486" si="1417">EK457/EK$2*EL$2</f>
        <v>19505.810294598024</v>
      </c>
      <c r="EM457" s="643">
        <f t="shared" ref="EM457:EM486" si="1418">$EJ457+$EF457+$EB457+EL457</f>
        <v>19505.810294598024</v>
      </c>
      <c r="EN457" s="637">
        <f t="shared" ref="EN457:EN486" si="1419">IF(EM457&lt;$DZ457,$DZ457,0)</f>
        <v>0</v>
      </c>
      <c r="EO457" s="637">
        <f t="shared" ref="EO457:EO486" si="1420">IF($EB457+$EF457+$EJ457+EN457=0,EM457,0)</f>
        <v>19505.810294598024</v>
      </c>
      <c r="EP457" s="637">
        <f t="shared" ref="EP457:EP486" si="1421">EO457/EO$2*EP$2</f>
        <v>19505.810294598054</v>
      </c>
      <c r="EQ457" s="643">
        <f t="shared" ref="EQ457:EQ486" si="1422">$EJ457+$EF457+$EB457+EP457+EN457</f>
        <v>19505.810294598054</v>
      </c>
      <c r="ER457" s="637">
        <f t="shared" ref="ER457:ER486" si="1423">IF(EQ457&lt;$DZ457,$DZ457,0)</f>
        <v>0</v>
      </c>
      <c r="ES457" s="637">
        <f t="shared" ref="ES457:ES486" si="1424">IF($EB457+$EF457+$EJ457+EN457+ER457=0,EQ457,0)</f>
        <v>19505.810294598054</v>
      </c>
      <c r="ET457" s="637">
        <f t="shared" ref="ET457:ET486" si="1425">ES457/ES$2*ET$2</f>
        <v>19505.810294598024</v>
      </c>
      <c r="EU457" s="643">
        <f t="shared" si="1401"/>
        <v>19505.810294598024</v>
      </c>
      <c r="EV457" s="643">
        <f t="shared" si="1402"/>
        <v>0</v>
      </c>
      <c r="EX457" s="829">
        <f t="shared" si="1403"/>
        <v>1157.4111065644465</v>
      </c>
      <c r="EY457" s="638">
        <f t="shared" si="1404"/>
        <v>19505.810294598024</v>
      </c>
      <c r="FC457" s="830" t="str">
        <f t="shared" ref="FC457:FC496" si="1426">IF(OR(FH457="y",FI457="y",FJ457="y",FK457="y"),"Y","N")</f>
        <v>Y</v>
      </c>
      <c r="FE457" s="830" t="str">
        <f>IFERROR(VLOOKUP($B457,'Historical Conc Grant Elig'!$B$3:$J$707,'HH &amp; SI'!FE$2,0),"N")</f>
        <v>Y</v>
      </c>
      <c r="FF457" s="830" t="str">
        <f>IFERROR(VLOOKUP($B457,'Historical Conc Grant Elig'!$B$3:$J$707,'HH &amp; SI'!FF$2,0),"N")</f>
        <v>Y</v>
      </c>
      <c r="FG457" s="830" t="str">
        <f>IFERROR(VLOOKUP($B457,'Historical Conc Grant Elig'!$B$3:$J$707,'HH &amp; SI'!FG$2,0),"N")</f>
        <v>Y</v>
      </c>
      <c r="FH457" s="830" t="str">
        <f>IFERROR(VLOOKUP($B457,'Historical Conc Grant Elig'!$B$3:$J$707,'HH &amp; SI'!FH$2,0),"N")</f>
        <v>Y</v>
      </c>
      <c r="FI457" s="830" t="str">
        <f>IFERROR(VLOOKUP($B457,'Historical Conc Grant Elig'!$B$3:$J$707,'HH &amp; SI'!FI$2,0),"N")</f>
        <v>Y</v>
      </c>
      <c r="FJ457" s="830" t="str">
        <f>IFERROR(VLOOKUP($B457,'Historical Conc Grant Elig'!$B$3:$J$707,'HH &amp; SI'!FJ$2,0),"N")</f>
        <v>N</v>
      </c>
      <c r="FK457" s="830" t="str">
        <f>IFERROR(VLOOKUP($B457,'Historical Conc Grant Elig'!$B$3:$J$707,'HH &amp; SI'!FK$2,0),"N")</f>
        <v>N</v>
      </c>
      <c r="FL457" s="957" t="str">
        <f>IFERROR(VLOOKUP($B457,'Historical Conc Grant Elig'!$B$3:$J$707,'HH &amp; SI'!FL$2,0),"N")</f>
        <v>Y</v>
      </c>
    </row>
    <row r="458" spans="2:168" x14ac:dyDescent="0.25">
      <c r="B458" s="634">
        <v>130403000</v>
      </c>
      <c r="C458" s="635" t="str">
        <f>VLOOKUP($B458,'Afton Update'!$A$5:$CR$582,'Afton Update'!D$589,0)</f>
        <v>Clarkdale-Jerome Elementary District</v>
      </c>
      <c r="D458" s="636">
        <f>IFERROR(VLOOKUP($B458,'Afton FY16 Final'!$A$5:$BV$587,'Afton FY16 Final'!AQ$587,0),0)</f>
        <v>31910.650921778288</v>
      </c>
      <c r="E458" s="637">
        <f>IFERROR(VLOOKUP($B458,'Afton FY16 Final'!$A$5:$BV$587,'Afton FY16 Final'!AR$587,0),0)</f>
        <v>7839.0832377286952</v>
      </c>
      <c r="F458" s="637">
        <f>IFERROR(VLOOKUP($B458,'Afton FY16 Final'!$A$5:$BV$587,'Afton FY16 Final'!AS$587,0),0)</f>
        <v>11684.127239063861</v>
      </c>
      <c r="G458" s="637">
        <f>IFERROR(VLOOKUP($B458,'Afton FY16 Final'!$A$5:$BV$587,'Afton FY16 Final'!AT$587,0),0)</f>
        <v>7746.2358473741679</v>
      </c>
      <c r="H458" s="638">
        <f>IFERROR(VLOOKUP($B458,'Afton FY16 Final'!$A$5:$BV$587,'Afton FY16 Final'!AU$587,0),0)</f>
        <v>59180.097245945013</v>
      </c>
      <c r="I458" s="639" t="str">
        <f>VLOOKUP($B458,'Afton Update'!$A$5:$CR$582,'Afton Update'!BT$589,0)</f>
        <v>Y</v>
      </c>
      <c r="J458" s="640" t="str">
        <f>VLOOKUP($B458,'Afton Update'!$A$5:$CR$582,'Afton Update'!BU$589,0)</f>
        <v>Y</v>
      </c>
      <c r="K458" s="640" t="str">
        <f>VLOOKUP($B458,'Afton Update'!$A$5:$CR$582,'Afton Update'!BV$589,0)</f>
        <v>Y</v>
      </c>
      <c r="L458" s="641" t="str">
        <f>VLOOKUP($B458,'Afton Update'!$A$5:$CR$582,'Afton Update'!BW$589,0)</f>
        <v>Y</v>
      </c>
      <c r="N458" s="642">
        <f>VLOOKUP($B458,'Afton Update'!$A$5:$CR$582,'Afton Update'!CB$589,0)</f>
        <v>0.9</v>
      </c>
      <c r="P458" s="636">
        <f>VLOOKUP($B458,'Afton Update'!$A$5:$CR$582,'Afton Update'!AH$589,0)</f>
        <v>28819.537815638469</v>
      </c>
      <c r="Q458" s="637">
        <f>VLOOKUP($B458,'Afton Update'!$A$5:$CR$582,'Afton Update'!AI$589,0)</f>
        <v>9728.538902642189</v>
      </c>
      <c r="R458" s="637">
        <f>VLOOKUP($B458,'Afton Update'!$A$5:$CR$582,'Afton Update'!AJ$589,0)</f>
        <v>10550.798097853167</v>
      </c>
      <c r="S458" s="637">
        <f>VLOOKUP($B458,'Afton Update'!$A$5:$CR$582,'Afton Update'!AK$589,0)</f>
        <v>7197.2625407499709</v>
      </c>
      <c r="T458" s="643">
        <f t="shared" si="1307"/>
        <v>56296.137356883803</v>
      </c>
      <c r="V458" s="636">
        <f t="shared" si="1333"/>
        <v>28719.585829600459</v>
      </c>
      <c r="W458" s="637">
        <f t="shared" si="1334"/>
        <v>9408.1163996541272</v>
      </c>
      <c r="X458" s="637">
        <f t="shared" si="1335"/>
        <v>10515.714515157475</v>
      </c>
      <c r="Y458" s="637">
        <f t="shared" si="1336"/>
        <v>7117.9616632852767</v>
      </c>
      <c r="Z458" s="643">
        <f t="shared" si="1337"/>
        <v>55761.378407697339</v>
      </c>
      <c r="AB458" s="644">
        <f t="shared" si="1308"/>
        <v>28819.537815638469</v>
      </c>
      <c r="AC458" s="645">
        <f t="shared" si="1304"/>
        <v>28719.585829600459</v>
      </c>
      <c r="AD458" s="644">
        <f t="shared" si="1338"/>
        <v>0</v>
      </c>
      <c r="AE458" s="645">
        <f t="shared" si="1339"/>
        <v>28819.537815638469</v>
      </c>
      <c r="AF458" s="646">
        <f t="shared" si="1340"/>
        <v>-357.2398285310004</v>
      </c>
      <c r="AG458" s="647">
        <f t="shared" si="1341"/>
        <v>28462.297987107468</v>
      </c>
      <c r="AH458" s="644">
        <f t="shared" si="1309"/>
        <v>-257.28784249299133</v>
      </c>
      <c r="AI458" s="645">
        <f t="shared" si="1310"/>
        <v>0</v>
      </c>
      <c r="AJ458" s="646">
        <f t="shared" si="1342"/>
        <v>0</v>
      </c>
      <c r="AK458" s="647">
        <f t="shared" si="1311"/>
        <v>28719.585829600459</v>
      </c>
      <c r="AL458" s="644">
        <f t="shared" si="1343"/>
        <v>0</v>
      </c>
      <c r="AM458" s="645">
        <f t="shared" si="1344"/>
        <v>0</v>
      </c>
      <c r="AN458" s="646">
        <f t="shared" si="1345"/>
        <v>0</v>
      </c>
      <c r="AO458" s="647">
        <f t="shared" si="1312"/>
        <v>28719.585829600459</v>
      </c>
      <c r="AP458" s="644">
        <f t="shared" si="1346"/>
        <v>0</v>
      </c>
      <c r="AQ458" s="645">
        <f t="shared" si="1347"/>
        <v>0</v>
      </c>
      <c r="AR458" s="646">
        <f t="shared" si="1348"/>
        <v>0</v>
      </c>
      <c r="AS458" s="647">
        <f t="shared" si="1313"/>
        <v>28719.585829600459</v>
      </c>
      <c r="AT458" s="644">
        <f t="shared" si="1349"/>
        <v>0</v>
      </c>
      <c r="AU458" s="645">
        <f t="shared" si="1350"/>
        <v>0</v>
      </c>
      <c r="AV458" s="646">
        <f t="shared" si="1351"/>
        <v>0</v>
      </c>
      <c r="AW458" s="647">
        <f t="shared" si="1314"/>
        <v>28719.585829600459</v>
      </c>
      <c r="AY458" s="644">
        <f t="shared" si="1352"/>
        <v>9728.538902642189</v>
      </c>
      <c r="AZ458" s="645">
        <f t="shared" si="1405"/>
        <v>7055.174913955826</v>
      </c>
      <c r="BA458" s="644">
        <f t="shared" si="1353"/>
        <v>0</v>
      </c>
      <c r="BB458" s="645">
        <f t="shared" si="1354"/>
        <v>9728.538902642189</v>
      </c>
      <c r="BC458" s="646">
        <f t="shared" si="1355"/>
        <v>-69.960758441314439</v>
      </c>
      <c r="BD458" s="647">
        <f t="shared" si="1356"/>
        <v>9658.5781442008738</v>
      </c>
      <c r="BE458" s="644">
        <f t="shared" si="1315"/>
        <v>0</v>
      </c>
      <c r="BF458" s="645">
        <f t="shared" si="1316"/>
        <v>9658.5781442008738</v>
      </c>
      <c r="BG458" s="646">
        <f t="shared" si="1357"/>
        <v>-230.05946022153529</v>
      </c>
      <c r="BH458" s="647">
        <f t="shared" si="1317"/>
        <v>9428.5186839793387</v>
      </c>
      <c r="BI458" s="644">
        <f t="shared" si="1358"/>
        <v>0</v>
      </c>
      <c r="BJ458" s="645">
        <f t="shared" si="1359"/>
        <v>9428.5186839793387</v>
      </c>
      <c r="BK458" s="646">
        <f t="shared" si="1360"/>
        <v>-19.971817067794273</v>
      </c>
      <c r="BL458" s="647">
        <f t="shared" si="1318"/>
        <v>9408.5468669115453</v>
      </c>
      <c r="BM458" s="644">
        <f t="shared" si="1361"/>
        <v>0</v>
      </c>
      <c r="BN458" s="645">
        <f t="shared" si="1362"/>
        <v>9408.5468669115453</v>
      </c>
      <c r="BO458" s="646">
        <f t="shared" si="1363"/>
        <v>-0.43046725741760755</v>
      </c>
      <c r="BP458" s="647">
        <f t="shared" si="1319"/>
        <v>9408.1163996541272</v>
      </c>
      <c r="BQ458" s="644">
        <f t="shared" si="1364"/>
        <v>0</v>
      </c>
      <c r="BR458" s="645">
        <f t="shared" si="1365"/>
        <v>9408.1163996541272</v>
      </c>
      <c r="BS458" s="646">
        <f t="shared" si="1366"/>
        <v>0</v>
      </c>
      <c r="BT458" s="647">
        <f t="shared" si="1320"/>
        <v>9408.1163996541272</v>
      </c>
      <c r="BU458" s="662">
        <f>VLOOKUP(B458,'Afton Update'!$A$5:$AR$582,'Afton Update'!$AO$589,0)-BT458</f>
        <v>0</v>
      </c>
      <c r="BV458" s="644">
        <f t="shared" si="1367"/>
        <v>10550.798097853167</v>
      </c>
      <c r="BW458" s="645">
        <f t="shared" si="1305"/>
        <v>10515.714515157475</v>
      </c>
      <c r="BX458" s="644">
        <f t="shared" si="1368"/>
        <v>0</v>
      </c>
      <c r="BY458" s="645">
        <f t="shared" si="1369"/>
        <v>10550.798097853167</v>
      </c>
      <c r="BZ458" s="646">
        <f t="shared" si="1370"/>
        <v>-92.605476653179323</v>
      </c>
      <c r="CA458" s="647">
        <f t="shared" si="1371"/>
        <v>10458.192621199987</v>
      </c>
      <c r="CB458" s="644">
        <f t="shared" si="1321"/>
        <v>-57.521893957487919</v>
      </c>
      <c r="CC458" s="645">
        <f t="shared" si="1322"/>
        <v>0</v>
      </c>
      <c r="CD458" s="646">
        <f t="shared" si="1372"/>
        <v>0</v>
      </c>
      <c r="CE458" s="647">
        <f t="shared" si="1323"/>
        <v>10515.714515157475</v>
      </c>
      <c r="CF458" s="644">
        <f t="shared" si="1373"/>
        <v>0</v>
      </c>
      <c r="CG458" s="645">
        <f t="shared" si="1374"/>
        <v>0</v>
      </c>
      <c r="CH458" s="646">
        <f t="shared" si="1375"/>
        <v>0</v>
      </c>
      <c r="CI458" s="647">
        <f t="shared" si="1324"/>
        <v>10515.714515157475</v>
      </c>
      <c r="CJ458" s="644">
        <f t="shared" si="1376"/>
        <v>0</v>
      </c>
      <c r="CK458" s="645">
        <f t="shared" si="1377"/>
        <v>0</v>
      </c>
      <c r="CL458" s="646">
        <f t="shared" si="1378"/>
        <v>0</v>
      </c>
      <c r="CM458" s="647">
        <f t="shared" si="1325"/>
        <v>10515.714515157475</v>
      </c>
      <c r="CN458" s="644">
        <f t="shared" si="1379"/>
        <v>0</v>
      </c>
      <c r="CO458" s="645">
        <f t="shared" si="1380"/>
        <v>0</v>
      </c>
      <c r="CP458" s="646">
        <f t="shared" si="1381"/>
        <v>0</v>
      </c>
      <c r="CQ458" s="647">
        <f t="shared" si="1326"/>
        <v>10515.714515157475</v>
      </c>
      <c r="CS458" s="644">
        <f t="shared" si="1382"/>
        <v>7197.2625407499709</v>
      </c>
      <c r="CT458" s="645">
        <f t="shared" si="1306"/>
        <v>6971.6122626367514</v>
      </c>
      <c r="CU458" s="644">
        <f t="shared" si="1383"/>
        <v>0</v>
      </c>
      <c r="CV458" s="645">
        <f t="shared" si="1384"/>
        <v>7197.2625407499709</v>
      </c>
      <c r="CW458" s="646">
        <f t="shared" si="1385"/>
        <v>-73.704035748506342</v>
      </c>
      <c r="CX458" s="647">
        <f t="shared" si="1386"/>
        <v>7123.5585050014643</v>
      </c>
      <c r="CY458" s="644">
        <f t="shared" si="1327"/>
        <v>0</v>
      </c>
      <c r="CZ458" s="645">
        <f t="shared" si="1328"/>
        <v>7123.5585050014643</v>
      </c>
      <c r="DA458" s="646">
        <f t="shared" si="1387"/>
        <v>-5.5920192960438673</v>
      </c>
      <c r="DB458" s="647">
        <f t="shared" si="1329"/>
        <v>7117.9664857054204</v>
      </c>
      <c r="DC458" s="644">
        <f t="shared" si="1388"/>
        <v>0</v>
      </c>
      <c r="DD458" s="645">
        <f t="shared" si="1389"/>
        <v>7117.9664857054204</v>
      </c>
      <c r="DE458" s="646">
        <f t="shared" si="1390"/>
        <v>-4.8224201435779325E-3</v>
      </c>
      <c r="DF458" s="647">
        <f t="shared" si="1330"/>
        <v>7117.9616632852767</v>
      </c>
      <c r="DG458" s="644">
        <f t="shared" si="1391"/>
        <v>0</v>
      </c>
      <c r="DH458" s="645">
        <f t="shared" si="1392"/>
        <v>7117.9616632852767</v>
      </c>
      <c r="DI458" s="646">
        <f t="shared" si="1393"/>
        <v>0</v>
      </c>
      <c r="DJ458" s="647">
        <f t="shared" si="1331"/>
        <v>7117.9616632852767</v>
      </c>
      <c r="DK458" s="644">
        <f t="shared" si="1394"/>
        <v>0</v>
      </c>
      <c r="DL458" s="645">
        <f t="shared" si="1395"/>
        <v>7117.9616632852767</v>
      </c>
      <c r="DM458" s="646">
        <f t="shared" si="1396"/>
        <v>0</v>
      </c>
      <c r="DN458" s="647">
        <f t="shared" si="1332"/>
        <v>7117.9616632852767</v>
      </c>
      <c r="DR458" s="827">
        <f t="shared" si="1406"/>
        <v>55761.378407697339</v>
      </c>
      <c r="DV458" s="828">
        <f>IFERROR(VLOOKUP($B458,'Afton FY16 Final'!$A$5:$BV$587,'Afton FY16 Final'!$BV$587,0),0)</f>
        <v>52541.888184786309</v>
      </c>
      <c r="DX458" s="636">
        <f t="shared" si="1397"/>
        <v>55761.378407697339</v>
      </c>
      <c r="DY458" s="637">
        <f t="shared" si="1398"/>
        <v>3219.4902229110303</v>
      </c>
      <c r="DZ458" s="637">
        <f t="shared" si="1399"/>
        <v>52541.888184786309</v>
      </c>
      <c r="EA458" s="643">
        <f t="shared" si="1400"/>
        <v>52795.498016533369</v>
      </c>
      <c r="EB458" s="637">
        <f t="shared" si="1407"/>
        <v>0</v>
      </c>
      <c r="EC458" s="637">
        <f t="shared" si="1408"/>
        <v>52795.498016533369</v>
      </c>
      <c r="ED458" s="637">
        <f t="shared" si="1409"/>
        <v>52638.064993747204</v>
      </c>
      <c r="EE458" s="643">
        <f t="shared" si="1410"/>
        <v>52638.064993747204</v>
      </c>
      <c r="EF458" s="637">
        <f t="shared" si="1411"/>
        <v>0</v>
      </c>
      <c r="EG458" s="637">
        <f t="shared" si="1412"/>
        <v>52638.064993747204</v>
      </c>
      <c r="EH458" s="637">
        <f t="shared" si="1413"/>
        <v>52638.010689110168</v>
      </c>
      <c r="EI458" s="643">
        <f t="shared" si="1414"/>
        <v>52638.010689110168</v>
      </c>
      <c r="EJ458" s="637">
        <f t="shared" si="1415"/>
        <v>0</v>
      </c>
      <c r="EK458" s="637">
        <f t="shared" si="1416"/>
        <v>52638.010689110168</v>
      </c>
      <c r="EL458" s="637">
        <f t="shared" si="1417"/>
        <v>52638.010689110088</v>
      </c>
      <c r="EM458" s="643">
        <f t="shared" si="1418"/>
        <v>52638.010689110088</v>
      </c>
      <c r="EN458" s="637">
        <f t="shared" si="1419"/>
        <v>0</v>
      </c>
      <c r="EO458" s="637">
        <f t="shared" si="1420"/>
        <v>52638.010689110088</v>
      </c>
      <c r="EP458" s="637">
        <f t="shared" si="1421"/>
        <v>52638.010689110168</v>
      </c>
      <c r="EQ458" s="643">
        <f t="shared" si="1422"/>
        <v>52638.010689110168</v>
      </c>
      <c r="ER458" s="637">
        <f t="shared" si="1423"/>
        <v>0</v>
      </c>
      <c r="ES458" s="637">
        <f t="shared" si="1424"/>
        <v>52638.010689110168</v>
      </c>
      <c r="ET458" s="637">
        <f t="shared" si="1425"/>
        <v>52638.010689110088</v>
      </c>
      <c r="EU458" s="643">
        <f t="shared" si="1401"/>
        <v>52638.010689110088</v>
      </c>
      <c r="EV458" s="643">
        <f t="shared" si="1402"/>
        <v>0</v>
      </c>
      <c r="EX458" s="829">
        <f t="shared" si="1403"/>
        <v>3123.3677185872511</v>
      </c>
      <c r="EY458" s="638">
        <f t="shared" si="1404"/>
        <v>52638.010689110088</v>
      </c>
      <c r="FC458" s="830" t="str">
        <f t="shared" si="1426"/>
        <v>Y</v>
      </c>
      <c r="FE458" s="830" t="str">
        <f>IFERROR(VLOOKUP($B458,'Historical Conc Grant Elig'!$B$3:$J$707,'HH &amp; SI'!FE$2,0),"N")</f>
        <v>N</v>
      </c>
      <c r="FF458" s="830" t="str">
        <f>IFERROR(VLOOKUP($B458,'Historical Conc Grant Elig'!$B$3:$J$707,'HH &amp; SI'!FF$2,0),"N")</f>
        <v>Y</v>
      </c>
      <c r="FG458" s="830" t="str">
        <f>IFERROR(VLOOKUP($B458,'Historical Conc Grant Elig'!$B$3:$J$707,'HH &amp; SI'!FG$2,0),"N")</f>
        <v>Y</v>
      </c>
      <c r="FH458" s="830" t="str">
        <f>IFERROR(VLOOKUP($B458,'Historical Conc Grant Elig'!$B$3:$J$707,'HH &amp; SI'!FH$2,0),"N")</f>
        <v>Y</v>
      </c>
      <c r="FI458" s="830" t="str">
        <f>IFERROR(VLOOKUP($B458,'Historical Conc Grant Elig'!$B$3:$J$707,'HH &amp; SI'!FI$2,0),"N")</f>
        <v>Y</v>
      </c>
      <c r="FJ458" s="830" t="str">
        <f>IFERROR(VLOOKUP($B458,'Historical Conc Grant Elig'!$B$3:$J$707,'HH &amp; SI'!FJ$2,0),"N")</f>
        <v>Y</v>
      </c>
      <c r="FK458" s="830" t="str">
        <f>IFERROR(VLOOKUP($B458,'Historical Conc Grant Elig'!$B$3:$J$707,'HH &amp; SI'!FK$2,0),"N")</f>
        <v>Y</v>
      </c>
      <c r="FL458" s="957" t="str">
        <f>IFERROR(VLOOKUP($B458,'Historical Conc Grant Elig'!$B$3:$J$707,'HH &amp; SI'!FL$2,0),"N")</f>
        <v>Y</v>
      </c>
    </row>
    <row r="459" spans="2:168" x14ac:dyDescent="0.25">
      <c r="B459" s="634">
        <v>130406000</v>
      </c>
      <c r="C459" s="635" t="str">
        <f>VLOOKUP($B459,'Afton Update'!$A$5:$CR$582,'Afton Update'!D$589,0)</f>
        <v>Cottonwood-Oak Creek Elementary District</v>
      </c>
      <c r="D459" s="636">
        <f>IFERROR(VLOOKUP($B459,'Afton FY16 Final'!$A$5:$BV$587,'Afton FY16 Final'!AQ$587,0),0)</f>
        <v>312778.791467915</v>
      </c>
      <c r="E459" s="637">
        <f>IFERROR(VLOOKUP($B459,'Afton FY16 Final'!$A$5:$BV$587,'Afton FY16 Final'!AR$587,0),0)</f>
        <v>72418.191987435639</v>
      </c>
      <c r="F459" s="637">
        <f>IFERROR(VLOOKUP($B459,'Afton FY16 Final'!$A$5:$BV$587,'Afton FY16 Final'!AS$587,0),0)</f>
        <v>150356.68588939917</v>
      </c>
      <c r="G459" s="637">
        <f>IFERROR(VLOOKUP($B459,'Afton FY16 Final'!$A$5:$BV$587,'Afton FY16 Final'!AT$587,0),0)</f>
        <v>107613.37624115607</v>
      </c>
      <c r="H459" s="638">
        <f>IFERROR(VLOOKUP($B459,'Afton FY16 Final'!$A$5:$BV$587,'Afton FY16 Final'!AU$587,0),0)</f>
        <v>643167.0455859059</v>
      </c>
      <c r="I459" s="639" t="str">
        <f>VLOOKUP($B459,'Afton Update'!$A$5:$CR$582,'Afton Update'!BT$589,0)</f>
        <v>Y</v>
      </c>
      <c r="J459" s="640" t="str">
        <f>VLOOKUP($B459,'Afton Update'!$A$5:$CR$582,'Afton Update'!BU$589,0)</f>
        <v>Y</v>
      </c>
      <c r="K459" s="640" t="str">
        <f>VLOOKUP($B459,'Afton Update'!$A$5:$CR$582,'Afton Update'!BV$589,0)</f>
        <v>Y</v>
      </c>
      <c r="L459" s="641" t="str">
        <f>VLOOKUP($B459,'Afton Update'!$A$5:$CR$582,'Afton Update'!BW$589,0)</f>
        <v>Y</v>
      </c>
      <c r="N459" s="642">
        <f>VLOOKUP($B459,'Afton Update'!$A$5:$CR$582,'Afton Update'!CB$589,0)</f>
        <v>0.9</v>
      </c>
      <c r="P459" s="636">
        <f>VLOOKUP($B459,'Afton Update'!$A$5:$CR$582,'Afton Update'!AH$589,0)</f>
        <v>293568.28134299529</v>
      </c>
      <c r="Q459" s="637">
        <f>VLOOKUP($B459,'Afton Update'!$A$5:$CR$582,'Afton Update'!AI$589,0)</f>
        <v>72829.818419033749</v>
      </c>
      <c r="R459" s="637">
        <f>VLOOKUP($B459,'Afton Update'!$A$5:$CR$582,'Afton Update'!AJ$589,0)</f>
        <v>129636.97056676683</v>
      </c>
      <c r="S459" s="637">
        <f>VLOOKUP($B459,'Afton Update'!$A$5:$CR$582,'Afton Update'!AK$589,0)</f>
        <v>93306.3241846491</v>
      </c>
      <c r="T459" s="643">
        <f t="shared" si="1307"/>
        <v>589341.39451344498</v>
      </c>
      <c r="V459" s="636">
        <f t="shared" si="1333"/>
        <v>289563.81944097264</v>
      </c>
      <c r="W459" s="637">
        <f t="shared" si="1334"/>
        <v>70431.070473064712</v>
      </c>
      <c r="X459" s="637">
        <f t="shared" si="1335"/>
        <v>135321.01730045927</v>
      </c>
      <c r="Y459" s="637">
        <f t="shared" si="1336"/>
        <v>96852.038617040467</v>
      </c>
      <c r="Z459" s="643">
        <f t="shared" si="1337"/>
        <v>592167.94583153713</v>
      </c>
      <c r="AB459" s="644">
        <f t="shared" si="1308"/>
        <v>293568.28134299529</v>
      </c>
      <c r="AC459" s="645">
        <f t="shared" si="1304"/>
        <v>281500.91232112353</v>
      </c>
      <c r="AD459" s="644">
        <f t="shared" si="1338"/>
        <v>0</v>
      </c>
      <c r="AE459" s="645">
        <f t="shared" si="1339"/>
        <v>293568.28134299529</v>
      </c>
      <c r="AF459" s="646">
        <f t="shared" si="1340"/>
        <v>-3638.9994579373079</v>
      </c>
      <c r="AG459" s="647">
        <f t="shared" si="1341"/>
        <v>289929.28188505798</v>
      </c>
      <c r="AH459" s="644">
        <f t="shared" si="1309"/>
        <v>0</v>
      </c>
      <c r="AI459" s="645">
        <f t="shared" si="1310"/>
        <v>289929.28188505798</v>
      </c>
      <c r="AJ459" s="646">
        <f t="shared" si="1342"/>
        <v>-365.22960908471498</v>
      </c>
      <c r="AK459" s="647">
        <f t="shared" si="1311"/>
        <v>289564.05227597326</v>
      </c>
      <c r="AL459" s="644">
        <f t="shared" si="1343"/>
        <v>0</v>
      </c>
      <c r="AM459" s="645">
        <f t="shared" si="1344"/>
        <v>289564.05227597326</v>
      </c>
      <c r="AN459" s="646">
        <f t="shared" si="1345"/>
        <v>-0.23283500063551846</v>
      </c>
      <c r="AO459" s="647">
        <f t="shared" si="1312"/>
        <v>289563.81944097264</v>
      </c>
      <c r="AP459" s="644">
        <f t="shared" si="1346"/>
        <v>0</v>
      </c>
      <c r="AQ459" s="645">
        <f t="shared" si="1347"/>
        <v>289563.81944097264</v>
      </c>
      <c r="AR459" s="646">
        <f t="shared" si="1348"/>
        <v>0</v>
      </c>
      <c r="AS459" s="647">
        <f t="shared" si="1313"/>
        <v>289563.81944097264</v>
      </c>
      <c r="AT459" s="644">
        <f t="shared" si="1349"/>
        <v>0</v>
      </c>
      <c r="AU459" s="645">
        <f t="shared" si="1350"/>
        <v>289563.81944097264</v>
      </c>
      <c r="AV459" s="646">
        <f t="shared" si="1351"/>
        <v>0</v>
      </c>
      <c r="AW459" s="647">
        <f t="shared" si="1314"/>
        <v>289563.81944097264</v>
      </c>
      <c r="AY459" s="644">
        <f t="shared" si="1352"/>
        <v>72829.818419033749</v>
      </c>
      <c r="AZ459" s="645">
        <f t="shared" si="1405"/>
        <v>65176.372788692075</v>
      </c>
      <c r="BA459" s="644">
        <f t="shared" si="1353"/>
        <v>0</v>
      </c>
      <c r="BB459" s="645">
        <f t="shared" si="1354"/>
        <v>72829.818419033749</v>
      </c>
      <c r="BC459" s="646">
        <f t="shared" si="1355"/>
        <v>-523.74044907760936</v>
      </c>
      <c r="BD459" s="647">
        <f t="shared" si="1356"/>
        <v>72306.077969956139</v>
      </c>
      <c r="BE459" s="644">
        <f t="shared" si="1315"/>
        <v>0</v>
      </c>
      <c r="BF459" s="645">
        <f t="shared" si="1316"/>
        <v>72306.077969956139</v>
      </c>
      <c r="BG459" s="646">
        <f t="shared" si="1357"/>
        <v>-1722.2718520419103</v>
      </c>
      <c r="BH459" s="647">
        <f t="shared" si="1317"/>
        <v>70583.806117914224</v>
      </c>
      <c r="BI459" s="644">
        <f t="shared" si="1358"/>
        <v>0</v>
      </c>
      <c r="BJ459" s="645">
        <f t="shared" si="1359"/>
        <v>70583.806117914224</v>
      </c>
      <c r="BK459" s="646">
        <f t="shared" si="1360"/>
        <v>-149.51307951809434</v>
      </c>
      <c r="BL459" s="647">
        <f t="shared" si="1318"/>
        <v>70434.293038396136</v>
      </c>
      <c r="BM459" s="644">
        <f t="shared" si="1361"/>
        <v>0</v>
      </c>
      <c r="BN459" s="645">
        <f t="shared" si="1362"/>
        <v>70434.293038396136</v>
      </c>
      <c r="BO459" s="646">
        <f t="shared" si="1363"/>
        <v>-3.2225653314239393</v>
      </c>
      <c r="BP459" s="647">
        <f t="shared" si="1319"/>
        <v>70431.070473064712</v>
      </c>
      <c r="BQ459" s="644">
        <f t="shared" si="1364"/>
        <v>0</v>
      </c>
      <c r="BR459" s="645">
        <f t="shared" si="1365"/>
        <v>70431.070473064712</v>
      </c>
      <c r="BS459" s="646">
        <f t="shared" si="1366"/>
        <v>0</v>
      </c>
      <c r="BT459" s="647">
        <f t="shared" si="1320"/>
        <v>70431.070473064712</v>
      </c>
      <c r="BU459" s="662">
        <f>VLOOKUP(B459,'Afton Update'!$A$5:$AR$582,'Afton Update'!$AO$589,0)-BT459</f>
        <v>0</v>
      </c>
      <c r="BV459" s="644">
        <f t="shared" si="1367"/>
        <v>129636.97056676683</v>
      </c>
      <c r="BW459" s="645">
        <f t="shared" si="1305"/>
        <v>135321.01730045927</v>
      </c>
      <c r="BX459" s="644">
        <f t="shared" si="1368"/>
        <v>5684.0467336924339</v>
      </c>
      <c r="BY459" s="645">
        <f t="shared" si="1369"/>
        <v>0</v>
      </c>
      <c r="BZ459" s="646">
        <f t="shared" si="1370"/>
        <v>0</v>
      </c>
      <c r="CA459" s="647">
        <f t="shared" si="1371"/>
        <v>135321.01730045927</v>
      </c>
      <c r="CB459" s="644">
        <f t="shared" si="1321"/>
        <v>0</v>
      </c>
      <c r="CC459" s="645">
        <f t="shared" si="1322"/>
        <v>0</v>
      </c>
      <c r="CD459" s="646">
        <f t="shared" si="1372"/>
        <v>0</v>
      </c>
      <c r="CE459" s="647">
        <f t="shared" si="1323"/>
        <v>135321.01730045927</v>
      </c>
      <c r="CF459" s="644">
        <f t="shared" si="1373"/>
        <v>0</v>
      </c>
      <c r="CG459" s="645">
        <f t="shared" si="1374"/>
        <v>0</v>
      </c>
      <c r="CH459" s="646">
        <f t="shared" si="1375"/>
        <v>0</v>
      </c>
      <c r="CI459" s="647">
        <f t="shared" si="1324"/>
        <v>135321.01730045927</v>
      </c>
      <c r="CJ459" s="644">
        <f t="shared" si="1376"/>
        <v>0</v>
      </c>
      <c r="CK459" s="645">
        <f t="shared" si="1377"/>
        <v>0</v>
      </c>
      <c r="CL459" s="646">
        <f t="shared" si="1378"/>
        <v>0</v>
      </c>
      <c r="CM459" s="647">
        <f t="shared" si="1325"/>
        <v>135321.01730045927</v>
      </c>
      <c r="CN459" s="644">
        <f t="shared" si="1379"/>
        <v>0</v>
      </c>
      <c r="CO459" s="645">
        <f t="shared" si="1380"/>
        <v>0</v>
      </c>
      <c r="CP459" s="646">
        <f t="shared" si="1381"/>
        <v>0</v>
      </c>
      <c r="CQ459" s="647">
        <f t="shared" si="1326"/>
        <v>135321.01730045927</v>
      </c>
      <c r="CS459" s="644">
        <f t="shared" si="1382"/>
        <v>93306.3241846491</v>
      </c>
      <c r="CT459" s="645">
        <f t="shared" si="1306"/>
        <v>96852.038617040467</v>
      </c>
      <c r="CU459" s="644">
        <f t="shared" si="1383"/>
        <v>3545.7144323913672</v>
      </c>
      <c r="CV459" s="645">
        <f t="shared" si="1384"/>
        <v>0</v>
      </c>
      <c r="CW459" s="646">
        <f t="shared" si="1385"/>
        <v>0</v>
      </c>
      <c r="CX459" s="647">
        <f t="shared" si="1386"/>
        <v>96852.038617040467</v>
      </c>
      <c r="CY459" s="644">
        <f t="shared" si="1327"/>
        <v>0</v>
      </c>
      <c r="CZ459" s="645">
        <f t="shared" si="1328"/>
        <v>0</v>
      </c>
      <c r="DA459" s="646">
        <f t="shared" si="1387"/>
        <v>0</v>
      </c>
      <c r="DB459" s="647">
        <f t="shared" si="1329"/>
        <v>96852.038617040467</v>
      </c>
      <c r="DC459" s="644">
        <f t="shared" si="1388"/>
        <v>0</v>
      </c>
      <c r="DD459" s="645">
        <f t="shared" si="1389"/>
        <v>0</v>
      </c>
      <c r="DE459" s="646">
        <f t="shared" si="1390"/>
        <v>0</v>
      </c>
      <c r="DF459" s="647">
        <f t="shared" si="1330"/>
        <v>96852.038617040467</v>
      </c>
      <c r="DG459" s="644">
        <f t="shared" si="1391"/>
        <v>0</v>
      </c>
      <c r="DH459" s="645">
        <f t="shared" si="1392"/>
        <v>0</v>
      </c>
      <c r="DI459" s="646">
        <f t="shared" si="1393"/>
        <v>0</v>
      </c>
      <c r="DJ459" s="647">
        <f t="shared" si="1331"/>
        <v>96852.038617040467</v>
      </c>
      <c r="DK459" s="644">
        <f t="shared" si="1394"/>
        <v>0</v>
      </c>
      <c r="DL459" s="645">
        <f t="shared" si="1395"/>
        <v>0</v>
      </c>
      <c r="DM459" s="646">
        <f t="shared" si="1396"/>
        <v>0</v>
      </c>
      <c r="DN459" s="647">
        <f t="shared" si="1332"/>
        <v>96852.038617040467</v>
      </c>
      <c r="DR459" s="827">
        <f t="shared" si="1406"/>
        <v>592167.94583153713</v>
      </c>
      <c r="DV459" s="828">
        <f>IFERROR(VLOOKUP($B459,'Afton FY16 Final'!$A$5:$BV$587,'Afton FY16 Final'!$BV$587,0),0)</f>
        <v>630503.08656483353</v>
      </c>
      <c r="DX459" s="636">
        <f t="shared" si="1397"/>
        <v>0</v>
      </c>
      <c r="DY459" s="637">
        <f t="shared" si="1398"/>
        <v>0</v>
      </c>
      <c r="DZ459" s="637">
        <f t="shared" si="1399"/>
        <v>0</v>
      </c>
      <c r="EA459" s="643">
        <f t="shared" si="1400"/>
        <v>0</v>
      </c>
      <c r="EB459" s="637">
        <f t="shared" si="1407"/>
        <v>0</v>
      </c>
      <c r="EC459" s="637">
        <f t="shared" si="1408"/>
        <v>0</v>
      </c>
      <c r="ED459" s="637">
        <f t="shared" si="1409"/>
        <v>0</v>
      </c>
      <c r="EE459" s="643">
        <f t="shared" si="1410"/>
        <v>0</v>
      </c>
      <c r="EF459" s="637">
        <f t="shared" si="1411"/>
        <v>0</v>
      </c>
      <c r="EG459" s="637">
        <f t="shared" si="1412"/>
        <v>0</v>
      </c>
      <c r="EH459" s="637">
        <f t="shared" si="1413"/>
        <v>0</v>
      </c>
      <c r="EI459" s="643">
        <f t="shared" si="1414"/>
        <v>0</v>
      </c>
      <c r="EJ459" s="637">
        <f t="shared" si="1415"/>
        <v>0</v>
      </c>
      <c r="EK459" s="637">
        <f t="shared" si="1416"/>
        <v>0</v>
      </c>
      <c r="EL459" s="637">
        <f t="shared" si="1417"/>
        <v>0</v>
      </c>
      <c r="EM459" s="643">
        <f t="shared" si="1418"/>
        <v>0</v>
      </c>
      <c r="EN459" s="637">
        <f t="shared" si="1419"/>
        <v>0</v>
      </c>
      <c r="EO459" s="637">
        <f t="shared" si="1420"/>
        <v>0</v>
      </c>
      <c r="EP459" s="637">
        <f t="shared" si="1421"/>
        <v>0</v>
      </c>
      <c r="EQ459" s="643">
        <f t="shared" si="1422"/>
        <v>0</v>
      </c>
      <c r="ER459" s="637">
        <f t="shared" si="1423"/>
        <v>0</v>
      </c>
      <c r="ES459" s="637">
        <f t="shared" si="1424"/>
        <v>0</v>
      </c>
      <c r="ET459" s="637">
        <f t="shared" si="1425"/>
        <v>0</v>
      </c>
      <c r="EU459" s="643">
        <f t="shared" si="1401"/>
        <v>0</v>
      </c>
      <c r="EV459" s="643">
        <f t="shared" si="1402"/>
        <v>0</v>
      </c>
      <c r="EX459" s="829">
        <f t="shared" si="1403"/>
        <v>0</v>
      </c>
      <c r="EY459" s="638">
        <f t="shared" si="1404"/>
        <v>592167.94583153713</v>
      </c>
      <c r="FC459" s="830" t="str">
        <f t="shared" si="1426"/>
        <v>Y</v>
      </c>
      <c r="FE459" s="830" t="str">
        <f>IFERROR(VLOOKUP($B459,'Historical Conc Grant Elig'!$B$3:$J$707,'HH &amp; SI'!FE$2,0),"N")</f>
        <v>Y</v>
      </c>
      <c r="FF459" s="830" t="str">
        <f>IFERROR(VLOOKUP($B459,'Historical Conc Grant Elig'!$B$3:$J$707,'HH &amp; SI'!FF$2,0),"N")</f>
        <v>Y</v>
      </c>
      <c r="FG459" s="830" t="str">
        <f>IFERROR(VLOOKUP($B459,'Historical Conc Grant Elig'!$B$3:$J$707,'HH &amp; SI'!FG$2,0),"N")</f>
        <v>Y</v>
      </c>
      <c r="FH459" s="830" t="str">
        <f>IFERROR(VLOOKUP($B459,'Historical Conc Grant Elig'!$B$3:$J$707,'HH &amp; SI'!FH$2,0),"N")</f>
        <v>Y</v>
      </c>
      <c r="FI459" s="830" t="str">
        <f>IFERROR(VLOOKUP($B459,'Historical Conc Grant Elig'!$B$3:$J$707,'HH &amp; SI'!FI$2,0),"N")</f>
        <v>Y</v>
      </c>
      <c r="FJ459" s="830" t="str">
        <f>IFERROR(VLOOKUP($B459,'Historical Conc Grant Elig'!$B$3:$J$707,'HH &amp; SI'!FJ$2,0),"N")</f>
        <v>Y</v>
      </c>
      <c r="FK459" s="830" t="str">
        <f>IFERROR(VLOOKUP($B459,'Historical Conc Grant Elig'!$B$3:$J$707,'HH &amp; SI'!FK$2,0),"N")</f>
        <v>Y</v>
      </c>
      <c r="FL459" s="957" t="str">
        <f>IFERROR(VLOOKUP($B459,'Historical Conc Grant Elig'!$B$3:$J$707,'HH &amp; SI'!FL$2,0),"N")</f>
        <v>Y</v>
      </c>
    </row>
    <row r="460" spans="2:168" x14ac:dyDescent="0.25">
      <c r="B460" s="634">
        <v>130504000</v>
      </c>
      <c r="C460" s="635" t="str">
        <f>VLOOKUP($B460,'Afton Update'!$A$5:$CR$582,'Afton Update'!D$589,0)</f>
        <v>Mingus Union High School District</v>
      </c>
      <c r="D460" s="636">
        <f>IFERROR(VLOOKUP($B460,'Afton FY16 Final'!$A$5:$BV$587,'Afton FY16 Final'!AQ$587,0),0)</f>
        <v>101732.09513082236</v>
      </c>
      <c r="E460" s="637">
        <f>IFERROR(VLOOKUP($B460,'Afton FY16 Final'!$A$5:$BV$587,'Afton FY16 Final'!AR$587,0),0)</f>
        <v>24322.441368237844</v>
      </c>
      <c r="F460" s="637">
        <f>IFERROR(VLOOKUP($B460,'Afton FY16 Final'!$A$5:$BV$587,'Afton FY16 Final'!AS$587,0),0)</f>
        <v>32038.864962549527</v>
      </c>
      <c r="G460" s="637">
        <f>IFERROR(VLOOKUP($B460,'Afton FY16 Final'!$A$5:$BV$587,'Afton FY16 Final'!AT$587,0),0)</f>
        <v>26458.103438733218</v>
      </c>
      <c r="H460" s="638">
        <f>IFERROR(VLOOKUP($B460,'Afton FY16 Final'!$A$5:$BV$587,'Afton FY16 Final'!AU$587,0),0)</f>
        <v>184551.50490034296</v>
      </c>
      <c r="I460" s="639" t="str">
        <f>VLOOKUP($B460,'Afton Update'!$A$5:$CR$582,'Afton Update'!BT$589,0)</f>
        <v>Y</v>
      </c>
      <c r="J460" s="640" t="str">
        <f>VLOOKUP($B460,'Afton Update'!$A$5:$CR$582,'Afton Update'!BU$589,0)</f>
        <v>Y</v>
      </c>
      <c r="K460" s="640" t="str">
        <f>VLOOKUP($B460,'Afton Update'!$A$5:$CR$582,'Afton Update'!BV$589,0)</f>
        <v>Y</v>
      </c>
      <c r="L460" s="641" t="str">
        <f>VLOOKUP($B460,'Afton Update'!$A$5:$CR$582,'Afton Update'!BW$589,0)</f>
        <v>Y</v>
      </c>
      <c r="N460" s="642">
        <f>VLOOKUP($B460,'Afton Update'!$A$5:$CR$582,'Afton Update'!CB$589,0)</f>
        <v>0.9</v>
      </c>
      <c r="P460" s="636">
        <f>VLOOKUP($B460,'Afton Update'!$A$5:$CR$582,'Afton Update'!AH$589,0)</f>
        <v>105342.89540578447</v>
      </c>
      <c r="Q460" s="637">
        <f>VLOOKUP($B460,'Afton Update'!$A$5:$CR$582,'Afton Update'!AI$589,0)</f>
        <v>27992.809932629745</v>
      </c>
      <c r="R460" s="637">
        <f>VLOOKUP($B460,'Afton Update'!$A$5:$CR$582,'Afton Update'!AJ$589,0)</f>
        <v>34813.349180810306</v>
      </c>
      <c r="S460" s="637">
        <f>VLOOKUP($B460,'Afton Update'!$A$5:$CR$582,'Afton Update'!AK$589,0)</f>
        <v>26238.341237484052</v>
      </c>
      <c r="T460" s="643">
        <f t="shared" si="1307"/>
        <v>194387.39575670855</v>
      </c>
      <c r="V460" s="636">
        <f t="shared" si="1333"/>
        <v>103905.94993820395</v>
      </c>
      <c r="W460" s="637">
        <f t="shared" si="1334"/>
        <v>27070.829117828638</v>
      </c>
      <c r="X460" s="637">
        <f t="shared" si="1335"/>
        <v>34496.735362369094</v>
      </c>
      <c r="Y460" s="637">
        <f t="shared" si="1336"/>
        <v>25949.241948473857</v>
      </c>
      <c r="Z460" s="643">
        <f t="shared" si="1337"/>
        <v>191422.75636687555</v>
      </c>
      <c r="AB460" s="644">
        <f t="shared" si="1308"/>
        <v>105342.89540578447</v>
      </c>
      <c r="AC460" s="645">
        <f t="shared" si="1304"/>
        <v>91558.885617740132</v>
      </c>
      <c r="AD460" s="644">
        <f t="shared" si="1338"/>
        <v>0</v>
      </c>
      <c r="AE460" s="645">
        <f t="shared" si="1339"/>
        <v>105342.89540578447</v>
      </c>
      <c r="AF460" s="646">
        <f t="shared" si="1340"/>
        <v>-1305.8043516333137</v>
      </c>
      <c r="AG460" s="647">
        <f t="shared" si="1341"/>
        <v>104037.09105415115</v>
      </c>
      <c r="AH460" s="644">
        <f t="shared" si="1309"/>
        <v>0</v>
      </c>
      <c r="AI460" s="645">
        <f t="shared" si="1310"/>
        <v>104037.09105415115</v>
      </c>
      <c r="AJ460" s="646">
        <f t="shared" si="1342"/>
        <v>-131.05756634503217</v>
      </c>
      <c r="AK460" s="647">
        <f t="shared" si="1311"/>
        <v>103906.03348780613</v>
      </c>
      <c r="AL460" s="644">
        <f t="shared" si="1343"/>
        <v>0</v>
      </c>
      <c r="AM460" s="645">
        <f t="shared" si="1344"/>
        <v>103906.03348780613</v>
      </c>
      <c r="AN460" s="646">
        <f t="shared" si="1345"/>
        <v>-8.3549602179589899E-2</v>
      </c>
      <c r="AO460" s="647">
        <f t="shared" si="1312"/>
        <v>103905.94993820395</v>
      </c>
      <c r="AP460" s="644">
        <f t="shared" si="1346"/>
        <v>0</v>
      </c>
      <c r="AQ460" s="645">
        <f t="shared" si="1347"/>
        <v>103905.94993820395</v>
      </c>
      <c r="AR460" s="646">
        <f t="shared" si="1348"/>
        <v>0</v>
      </c>
      <c r="AS460" s="647">
        <f t="shared" si="1313"/>
        <v>103905.94993820395</v>
      </c>
      <c r="AT460" s="644">
        <f t="shared" si="1349"/>
        <v>0</v>
      </c>
      <c r="AU460" s="645">
        <f t="shared" si="1350"/>
        <v>103905.94993820395</v>
      </c>
      <c r="AV460" s="646">
        <f t="shared" si="1351"/>
        <v>0</v>
      </c>
      <c r="AW460" s="647">
        <f t="shared" si="1314"/>
        <v>103905.94993820395</v>
      </c>
      <c r="AY460" s="644">
        <f t="shared" si="1352"/>
        <v>27992.809932629745</v>
      </c>
      <c r="AZ460" s="645">
        <f t="shared" si="1405"/>
        <v>21890.197231414058</v>
      </c>
      <c r="BA460" s="644">
        <f t="shared" si="1353"/>
        <v>0</v>
      </c>
      <c r="BB460" s="645">
        <f t="shared" si="1354"/>
        <v>27992.809932629745</v>
      </c>
      <c r="BC460" s="646">
        <f t="shared" si="1355"/>
        <v>-201.30445418257543</v>
      </c>
      <c r="BD460" s="647">
        <f t="shared" si="1356"/>
        <v>27791.505478447169</v>
      </c>
      <c r="BE460" s="644">
        <f t="shared" si="1315"/>
        <v>0</v>
      </c>
      <c r="BF460" s="645">
        <f t="shared" si="1316"/>
        <v>27791.505478447169</v>
      </c>
      <c r="BG460" s="646">
        <f t="shared" si="1357"/>
        <v>-661.97101205359616</v>
      </c>
      <c r="BH460" s="647">
        <f t="shared" si="1317"/>
        <v>27129.534466393572</v>
      </c>
      <c r="BI460" s="644">
        <f t="shared" si="1358"/>
        <v>0</v>
      </c>
      <c r="BJ460" s="645">
        <f t="shared" si="1359"/>
        <v>27129.534466393572</v>
      </c>
      <c r="BK460" s="646">
        <f t="shared" si="1360"/>
        <v>-57.466725968087339</v>
      </c>
      <c r="BL460" s="647">
        <f t="shared" si="1318"/>
        <v>27072.067740425486</v>
      </c>
      <c r="BM460" s="644">
        <f t="shared" si="1361"/>
        <v>0</v>
      </c>
      <c r="BN460" s="645">
        <f t="shared" si="1362"/>
        <v>27072.067740425486</v>
      </c>
      <c r="BO460" s="646">
        <f t="shared" si="1363"/>
        <v>-1.2386225968463582</v>
      </c>
      <c r="BP460" s="647">
        <f t="shared" si="1319"/>
        <v>27070.829117828638</v>
      </c>
      <c r="BQ460" s="644">
        <f t="shared" si="1364"/>
        <v>0</v>
      </c>
      <c r="BR460" s="645">
        <f t="shared" si="1365"/>
        <v>27070.829117828638</v>
      </c>
      <c r="BS460" s="646">
        <f t="shared" si="1366"/>
        <v>0</v>
      </c>
      <c r="BT460" s="647">
        <f t="shared" si="1320"/>
        <v>27070.829117828638</v>
      </c>
      <c r="BU460" s="662">
        <f>VLOOKUP(B460,'Afton Update'!$A$5:$AR$582,'Afton Update'!$AO$589,0)-BT460</f>
        <v>0</v>
      </c>
      <c r="BV460" s="644">
        <f t="shared" si="1367"/>
        <v>34813.349180810306</v>
      </c>
      <c r="BW460" s="645">
        <f t="shared" si="1305"/>
        <v>28834.978466294575</v>
      </c>
      <c r="BX460" s="644">
        <f t="shared" si="1368"/>
        <v>0</v>
      </c>
      <c r="BY460" s="645">
        <f t="shared" si="1369"/>
        <v>34813.349180810306</v>
      </c>
      <c r="BZ460" s="646">
        <f t="shared" si="1370"/>
        <v>-305.56046707390749</v>
      </c>
      <c r="CA460" s="647">
        <f t="shared" si="1371"/>
        <v>34507.788713736401</v>
      </c>
      <c r="CB460" s="644">
        <f t="shared" si="1321"/>
        <v>0</v>
      </c>
      <c r="CC460" s="645">
        <f t="shared" si="1322"/>
        <v>34507.788713736401</v>
      </c>
      <c r="CD460" s="646">
        <f t="shared" si="1372"/>
        <v>-11.053351367307073</v>
      </c>
      <c r="CE460" s="647">
        <f t="shared" si="1323"/>
        <v>34496.735362369094</v>
      </c>
      <c r="CF460" s="644">
        <f t="shared" si="1373"/>
        <v>0</v>
      </c>
      <c r="CG460" s="645">
        <f t="shared" si="1374"/>
        <v>34496.735362369094</v>
      </c>
      <c r="CH460" s="646">
        <f t="shared" si="1375"/>
        <v>0</v>
      </c>
      <c r="CI460" s="647">
        <f t="shared" si="1324"/>
        <v>34496.735362369094</v>
      </c>
      <c r="CJ460" s="644">
        <f t="shared" si="1376"/>
        <v>0</v>
      </c>
      <c r="CK460" s="645">
        <f t="shared" si="1377"/>
        <v>34496.735362369094</v>
      </c>
      <c r="CL460" s="646">
        <f t="shared" si="1378"/>
        <v>0</v>
      </c>
      <c r="CM460" s="647">
        <f t="shared" si="1325"/>
        <v>34496.735362369094</v>
      </c>
      <c r="CN460" s="644">
        <f t="shared" si="1379"/>
        <v>0</v>
      </c>
      <c r="CO460" s="645">
        <f t="shared" si="1380"/>
        <v>34496.735362369094</v>
      </c>
      <c r="CP460" s="646">
        <f t="shared" si="1381"/>
        <v>0</v>
      </c>
      <c r="CQ460" s="647">
        <f t="shared" si="1326"/>
        <v>34496.735362369094</v>
      </c>
      <c r="CS460" s="644">
        <f t="shared" si="1382"/>
        <v>26238.341237484052</v>
      </c>
      <c r="CT460" s="645">
        <f t="shared" si="1306"/>
        <v>23812.293094859899</v>
      </c>
      <c r="CU460" s="644">
        <f t="shared" si="1383"/>
        <v>0</v>
      </c>
      <c r="CV460" s="645">
        <f t="shared" si="1384"/>
        <v>26238.341237484052</v>
      </c>
      <c r="CW460" s="646">
        <f t="shared" si="1385"/>
        <v>-268.69544213507584</v>
      </c>
      <c r="CX460" s="647">
        <f t="shared" si="1386"/>
        <v>25969.645795348977</v>
      </c>
      <c r="CY460" s="644">
        <f t="shared" si="1327"/>
        <v>0</v>
      </c>
      <c r="CZ460" s="645">
        <f t="shared" si="1328"/>
        <v>25969.645795348977</v>
      </c>
      <c r="DA460" s="646">
        <f t="shared" si="1387"/>
        <v>-20.386266259630602</v>
      </c>
      <c r="DB460" s="647">
        <f t="shared" si="1329"/>
        <v>25949.259529089348</v>
      </c>
      <c r="DC460" s="644">
        <f t="shared" si="1388"/>
        <v>0</v>
      </c>
      <c r="DD460" s="645">
        <f t="shared" si="1389"/>
        <v>25949.259529089348</v>
      </c>
      <c r="DE460" s="646">
        <f t="shared" si="1390"/>
        <v>-1.7580615491140563E-2</v>
      </c>
      <c r="DF460" s="647">
        <f t="shared" si="1330"/>
        <v>25949.241948473857</v>
      </c>
      <c r="DG460" s="644">
        <f t="shared" si="1391"/>
        <v>0</v>
      </c>
      <c r="DH460" s="645">
        <f t="shared" si="1392"/>
        <v>25949.241948473857</v>
      </c>
      <c r="DI460" s="646">
        <f t="shared" si="1393"/>
        <v>0</v>
      </c>
      <c r="DJ460" s="647">
        <f t="shared" si="1331"/>
        <v>25949.241948473857</v>
      </c>
      <c r="DK460" s="644">
        <f t="shared" si="1394"/>
        <v>0</v>
      </c>
      <c r="DL460" s="645">
        <f t="shared" si="1395"/>
        <v>25949.241948473857</v>
      </c>
      <c r="DM460" s="646">
        <f t="shared" si="1396"/>
        <v>0</v>
      </c>
      <c r="DN460" s="647">
        <f t="shared" si="1332"/>
        <v>25949.241948473857</v>
      </c>
      <c r="DR460" s="827">
        <f t="shared" si="1406"/>
        <v>191422.75636687555</v>
      </c>
      <c r="DV460" s="828">
        <f>IFERROR(VLOOKUP($B460,'Afton FY16 Final'!$A$5:$BV$587,'Afton FY16 Final'!$BV$587,0),0)</f>
        <v>180917.68579941854</v>
      </c>
      <c r="DX460" s="636">
        <f t="shared" si="1397"/>
        <v>191422.75636687555</v>
      </c>
      <c r="DY460" s="637">
        <f t="shared" si="1398"/>
        <v>10505.070567457005</v>
      </c>
      <c r="DZ460" s="637">
        <f t="shared" si="1399"/>
        <v>180917.68579941854</v>
      </c>
      <c r="EA460" s="643">
        <f t="shared" si="1400"/>
        <v>181241.21107973997</v>
      </c>
      <c r="EB460" s="637">
        <f t="shared" si="1407"/>
        <v>0</v>
      </c>
      <c r="EC460" s="637">
        <f t="shared" si="1408"/>
        <v>181241.21107973997</v>
      </c>
      <c r="ED460" s="637">
        <f t="shared" si="1409"/>
        <v>180700.76060980075</v>
      </c>
      <c r="EE460" s="643">
        <f t="shared" si="1410"/>
        <v>180700.76060980075</v>
      </c>
      <c r="EF460" s="637">
        <f t="shared" si="1411"/>
        <v>180917.68579941854</v>
      </c>
      <c r="EG460" s="637">
        <f t="shared" si="1412"/>
        <v>0</v>
      </c>
      <c r="EH460" s="637">
        <f t="shared" si="1413"/>
        <v>0</v>
      </c>
      <c r="EI460" s="643">
        <f t="shared" si="1414"/>
        <v>180917.68579941854</v>
      </c>
      <c r="EJ460" s="637">
        <f t="shared" si="1415"/>
        <v>0</v>
      </c>
      <c r="EK460" s="637">
        <f t="shared" si="1416"/>
        <v>0</v>
      </c>
      <c r="EL460" s="637">
        <f t="shared" si="1417"/>
        <v>0</v>
      </c>
      <c r="EM460" s="643">
        <f t="shared" si="1418"/>
        <v>180917.68579941854</v>
      </c>
      <c r="EN460" s="637">
        <f t="shared" si="1419"/>
        <v>0</v>
      </c>
      <c r="EO460" s="637">
        <f t="shared" si="1420"/>
        <v>0</v>
      </c>
      <c r="EP460" s="637">
        <f t="shared" si="1421"/>
        <v>0</v>
      </c>
      <c r="EQ460" s="643">
        <f t="shared" si="1422"/>
        <v>180917.68579941854</v>
      </c>
      <c r="ER460" s="637">
        <f t="shared" si="1423"/>
        <v>0</v>
      </c>
      <c r="ES460" s="637">
        <f t="shared" si="1424"/>
        <v>0</v>
      </c>
      <c r="ET460" s="637">
        <f t="shared" si="1425"/>
        <v>0</v>
      </c>
      <c r="EU460" s="643">
        <f t="shared" si="1401"/>
        <v>180917.68579941854</v>
      </c>
      <c r="EV460" s="643">
        <f t="shared" si="1402"/>
        <v>0</v>
      </c>
      <c r="EX460" s="829">
        <f t="shared" si="1403"/>
        <v>10505.070567457005</v>
      </c>
      <c r="EY460" s="638">
        <f t="shared" si="1404"/>
        <v>180917.68579941854</v>
      </c>
      <c r="FC460" s="830" t="str">
        <f t="shared" si="1426"/>
        <v>Y</v>
      </c>
      <c r="FE460" s="830" t="str">
        <f>IFERROR(VLOOKUP($B460,'Historical Conc Grant Elig'!$B$3:$J$707,'HH &amp; SI'!FE$2,0),"N")</f>
        <v>Y</v>
      </c>
      <c r="FF460" s="830" t="str">
        <f>IFERROR(VLOOKUP($B460,'Historical Conc Grant Elig'!$B$3:$J$707,'HH &amp; SI'!FF$2,0),"N")</f>
        <v>Y</v>
      </c>
      <c r="FG460" s="830" t="str">
        <f>IFERROR(VLOOKUP($B460,'Historical Conc Grant Elig'!$B$3:$J$707,'HH &amp; SI'!FG$2,0),"N")</f>
        <v>Y</v>
      </c>
      <c r="FH460" s="830" t="str">
        <f>IFERROR(VLOOKUP($B460,'Historical Conc Grant Elig'!$B$3:$J$707,'HH &amp; SI'!FH$2,0),"N")</f>
        <v>Y</v>
      </c>
      <c r="FI460" s="830" t="str">
        <f>IFERROR(VLOOKUP($B460,'Historical Conc Grant Elig'!$B$3:$J$707,'HH &amp; SI'!FI$2,0),"N")</f>
        <v>Y</v>
      </c>
      <c r="FJ460" s="830" t="str">
        <f>IFERROR(VLOOKUP($B460,'Historical Conc Grant Elig'!$B$3:$J$707,'HH &amp; SI'!FJ$2,0),"N")</f>
        <v>Y</v>
      </c>
      <c r="FK460" s="830" t="str">
        <f>IFERROR(VLOOKUP($B460,'Historical Conc Grant Elig'!$B$3:$J$707,'HH &amp; SI'!FK$2,0),"N")</f>
        <v>Y</v>
      </c>
      <c r="FL460" s="957" t="str">
        <f>IFERROR(VLOOKUP($B460,'Historical Conc Grant Elig'!$B$3:$J$707,'HH &amp; SI'!FL$2,0),"N")</f>
        <v>Y</v>
      </c>
    </row>
    <row r="461" spans="2:168" x14ac:dyDescent="0.25">
      <c r="B461" s="634">
        <v>138503000</v>
      </c>
      <c r="C461" s="635" t="str">
        <f>VLOOKUP($B461,'Afton Update'!$A$5:$CR$582,'Afton Update'!D$589,0)</f>
        <v>La Tierra Community School  Inc</v>
      </c>
      <c r="D461" s="636">
        <f>IFERROR(VLOOKUP($B461,'Afton FY16 Final'!$A$5:$BV$587,'Afton FY16 Final'!AQ$587,0),0)</f>
        <v>9290.3517730467483</v>
      </c>
      <c r="E461" s="637">
        <f>IFERROR(VLOOKUP($B461,'Afton FY16 Final'!$A$5:$BV$587,'Afton FY16 Final'!AR$587,0),0)</f>
        <v>2569.3351990610067</v>
      </c>
      <c r="F461" s="637">
        <f>IFERROR(VLOOKUP($B461,'Afton FY16 Final'!$A$5:$BV$587,'Afton FY16 Final'!AS$587,0),0)</f>
        <v>3905.3101487884765</v>
      </c>
      <c r="G461" s="637">
        <f>IFERROR(VLOOKUP($B461,'Afton FY16 Final'!$A$5:$BV$587,'Afton FY16 Final'!AT$587,0),0)</f>
        <v>3175.2061029613205</v>
      </c>
      <c r="H461" s="638">
        <f>IFERROR(VLOOKUP($B461,'Afton FY16 Final'!$A$5:$BV$587,'Afton FY16 Final'!AU$587,0),0)</f>
        <v>18940.203223857552</v>
      </c>
      <c r="I461" s="639" t="str">
        <f>VLOOKUP($B461,'Afton Update'!$A$5:$CR$582,'Afton Update'!BT$589,0)</f>
        <v>Y</v>
      </c>
      <c r="J461" s="640" t="str">
        <f>VLOOKUP($B461,'Afton Update'!$A$5:$CR$582,'Afton Update'!BU$589,0)</f>
        <v>Y</v>
      </c>
      <c r="K461" s="640" t="str">
        <f>VLOOKUP($B461,'Afton Update'!$A$5:$CR$582,'Afton Update'!BV$589,0)</f>
        <v>Y</v>
      </c>
      <c r="L461" s="641" t="str">
        <f>VLOOKUP($B461,'Afton Update'!$A$5:$CR$582,'Afton Update'!BW$589,0)</f>
        <v>Y</v>
      </c>
      <c r="N461" s="642">
        <f>VLOOKUP($B461,'Afton Update'!$A$5:$CR$582,'Afton Update'!CB$589,0)</f>
        <v>0.9</v>
      </c>
      <c r="P461" s="636">
        <f>VLOOKUP($B461,'Afton Update'!$A$5:$CR$582,'Afton Update'!AH$589,0)</f>
        <v>12006.422299064714</v>
      </c>
      <c r="Q461" s="637">
        <f>VLOOKUP($B461,'Afton Update'!$A$5:$CR$582,'Afton Update'!AI$589,0)</f>
        <v>5751.0186558440582</v>
      </c>
      <c r="R461" s="637">
        <f>VLOOKUP($B461,'Afton Update'!$A$5:$CR$582,'Afton Update'!AJ$589,0)</f>
        <v>5165.1378235115126</v>
      </c>
      <c r="S461" s="637">
        <f>VLOOKUP($B461,'Afton Update'!$A$5:$CR$582,'Afton Update'!AK$589,0)</f>
        <v>4192.8382593556244</v>
      </c>
      <c r="T461" s="643">
        <f t="shared" si="1307"/>
        <v>27115.417037775907</v>
      </c>
      <c r="V461" s="636">
        <f t="shared" si="1333"/>
        <v>11842.646905973028</v>
      </c>
      <c r="W461" s="637">
        <f t="shared" si="1334"/>
        <v>5561.6011275926048</v>
      </c>
      <c r="X461" s="637">
        <f t="shared" si="1335"/>
        <v>5118.1629116584882</v>
      </c>
      <c r="Y461" s="637">
        <f t="shared" si="1336"/>
        <v>4146.6407292319291</v>
      </c>
      <c r="Z461" s="643">
        <f t="shared" si="1337"/>
        <v>26669.051674456052</v>
      </c>
      <c r="AB461" s="644">
        <f t="shared" si="1308"/>
        <v>12006.422299064714</v>
      </c>
      <c r="AC461" s="645">
        <f t="shared" si="1304"/>
        <v>8361.3165957420733</v>
      </c>
      <c r="AD461" s="644">
        <f t="shared" si="1338"/>
        <v>0</v>
      </c>
      <c r="AE461" s="645">
        <f t="shared" si="1339"/>
        <v>12006.422299064714</v>
      </c>
      <c r="AF461" s="646">
        <f t="shared" si="1340"/>
        <v>-148.82862698308807</v>
      </c>
      <c r="AG461" s="647">
        <f t="shared" si="1341"/>
        <v>11857.593672081626</v>
      </c>
      <c r="AH461" s="644">
        <f t="shared" si="1309"/>
        <v>0</v>
      </c>
      <c r="AI461" s="645">
        <f t="shared" si="1310"/>
        <v>11857.593672081626</v>
      </c>
      <c r="AJ461" s="646">
        <f t="shared" si="1342"/>
        <v>-14.937243569818794</v>
      </c>
      <c r="AK461" s="647">
        <f t="shared" si="1311"/>
        <v>11842.656428511807</v>
      </c>
      <c r="AL461" s="644">
        <f t="shared" si="1343"/>
        <v>0</v>
      </c>
      <c r="AM461" s="645">
        <f t="shared" si="1344"/>
        <v>11842.656428511807</v>
      </c>
      <c r="AN461" s="646">
        <f t="shared" si="1345"/>
        <v>-9.5225387798855889E-3</v>
      </c>
      <c r="AO461" s="647">
        <f t="shared" si="1312"/>
        <v>11842.646905973028</v>
      </c>
      <c r="AP461" s="644">
        <f t="shared" si="1346"/>
        <v>0</v>
      </c>
      <c r="AQ461" s="645">
        <f t="shared" si="1347"/>
        <v>11842.646905973028</v>
      </c>
      <c r="AR461" s="646">
        <f t="shared" si="1348"/>
        <v>0</v>
      </c>
      <c r="AS461" s="647">
        <f t="shared" si="1313"/>
        <v>11842.646905973028</v>
      </c>
      <c r="AT461" s="644">
        <f t="shared" si="1349"/>
        <v>0</v>
      </c>
      <c r="AU461" s="645">
        <f t="shared" si="1350"/>
        <v>11842.646905973028</v>
      </c>
      <c r="AV461" s="646">
        <f t="shared" si="1351"/>
        <v>0</v>
      </c>
      <c r="AW461" s="647">
        <f t="shared" si="1314"/>
        <v>11842.646905973028</v>
      </c>
      <c r="AY461" s="644">
        <f t="shared" si="1352"/>
        <v>5751.0186558440582</v>
      </c>
      <c r="AZ461" s="645">
        <f t="shared" si="1405"/>
        <v>2312.4016791549061</v>
      </c>
      <c r="BA461" s="644">
        <f t="shared" si="1353"/>
        <v>0</v>
      </c>
      <c r="BB461" s="645">
        <f t="shared" si="1354"/>
        <v>5751.0186558440582</v>
      </c>
      <c r="BC461" s="646">
        <f t="shared" si="1355"/>
        <v>-41.357251176096476</v>
      </c>
      <c r="BD461" s="647">
        <f t="shared" si="1356"/>
        <v>5709.6614046679615</v>
      </c>
      <c r="BE461" s="644">
        <f t="shared" si="1315"/>
        <v>0</v>
      </c>
      <c r="BF461" s="645">
        <f t="shared" si="1316"/>
        <v>5709.6614046679615</v>
      </c>
      <c r="BG461" s="646">
        <f t="shared" si="1357"/>
        <v>-135.9994816208349</v>
      </c>
      <c r="BH461" s="647">
        <f t="shared" si="1317"/>
        <v>5573.6619230471269</v>
      </c>
      <c r="BI461" s="644">
        <f t="shared" si="1358"/>
        <v>0</v>
      </c>
      <c r="BJ461" s="645">
        <f t="shared" si="1359"/>
        <v>5573.6619230471269</v>
      </c>
      <c r="BK461" s="646">
        <f t="shared" si="1360"/>
        <v>-11.80632505018766</v>
      </c>
      <c r="BL461" s="647">
        <f t="shared" si="1318"/>
        <v>5561.8555979969397</v>
      </c>
      <c r="BM461" s="644">
        <f t="shared" si="1361"/>
        <v>0</v>
      </c>
      <c r="BN461" s="645">
        <f t="shared" si="1362"/>
        <v>5561.8555979969397</v>
      </c>
      <c r="BO461" s="646">
        <f t="shared" si="1363"/>
        <v>-0.25447040433444001</v>
      </c>
      <c r="BP461" s="647">
        <f t="shared" si="1319"/>
        <v>5561.6011275926048</v>
      </c>
      <c r="BQ461" s="644">
        <f t="shared" si="1364"/>
        <v>0</v>
      </c>
      <c r="BR461" s="645">
        <f t="shared" si="1365"/>
        <v>5561.6011275926048</v>
      </c>
      <c r="BS461" s="646">
        <f t="shared" si="1366"/>
        <v>0</v>
      </c>
      <c r="BT461" s="647">
        <f t="shared" si="1320"/>
        <v>5561.6011275926048</v>
      </c>
      <c r="BU461" s="662">
        <f>VLOOKUP(B461,'Afton Update'!$A$5:$AR$582,'Afton Update'!$AO$589,0)-BT461</f>
        <v>0</v>
      </c>
      <c r="BV461" s="644">
        <f t="shared" si="1367"/>
        <v>5165.1378235115126</v>
      </c>
      <c r="BW461" s="645">
        <f t="shared" si="1305"/>
        <v>3514.7791339096289</v>
      </c>
      <c r="BX461" s="644">
        <f t="shared" si="1368"/>
        <v>0</v>
      </c>
      <c r="BY461" s="645">
        <f t="shared" si="1369"/>
        <v>5165.1378235115126</v>
      </c>
      <c r="BZ461" s="646">
        <f t="shared" si="1370"/>
        <v>-45.334963828279065</v>
      </c>
      <c r="CA461" s="647">
        <f t="shared" si="1371"/>
        <v>5119.8028596832337</v>
      </c>
      <c r="CB461" s="644">
        <f t="shared" si="1321"/>
        <v>0</v>
      </c>
      <c r="CC461" s="645">
        <f t="shared" si="1322"/>
        <v>5119.8028596832337</v>
      </c>
      <c r="CD461" s="646">
        <f t="shared" si="1372"/>
        <v>-1.6399480247453631</v>
      </c>
      <c r="CE461" s="647">
        <f t="shared" si="1323"/>
        <v>5118.1629116584882</v>
      </c>
      <c r="CF461" s="644">
        <f t="shared" si="1373"/>
        <v>0</v>
      </c>
      <c r="CG461" s="645">
        <f t="shared" si="1374"/>
        <v>5118.1629116584882</v>
      </c>
      <c r="CH461" s="646">
        <f t="shared" si="1375"/>
        <v>0</v>
      </c>
      <c r="CI461" s="647">
        <f t="shared" si="1324"/>
        <v>5118.1629116584882</v>
      </c>
      <c r="CJ461" s="644">
        <f t="shared" si="1376"/>
        <v>0</v>
      </c>
      <c r="CK461" s="645">
        <f t="shared" si="1377"/>
        <v>5118.1629116584882</v>
      </c>
      <c r="CL461" s="646">
        <f t="shared" si="1378"/>
        <v>0</v>
      </c>
      <c r="CM461" s="647">
        <f t="shared" si="1325"/>
        <v>5118.1629116584882</v>
      </c>
      <c r="CN461" s="644">
        <f t="shared" si="1379"/>
        <v>0</v>
      </c>
      <c r="CO461" s="645">
        <f t="shared" si="1380"/>
        <v>5118.1629116584882</v>
      </c>
      <c r="CP461" s="646">
        <f t="shared" si="1381"/>
        <v>0</v>
      </c>
      <c r="CQ461" s="647">
        <f t="shared" si="1326"/>
        <v>5118.1629116584882</v>
      </c>
      <c r="CS461" s="644">
        <f t="shared" si="1382"/>
        <v>4192.8382593556244</v>
      </c>
      <c r="CT461" s="645">
        <f t="shared" si="1306"/>
        <v>2857.6854926651886</v>
      </c>
      <c r="CU461" s="644">
        <f t="shared" si="1383"/>
        <v>0</v>
      </c>
      <c r="CV461" s="645">
        <f t="shared" si="1384"/>
        <v>4192.8382593556244</v>
      </c>
      <c r="CW461" s="646">
        <f t="shared" si="1385"/>
        <v>-42.937033240842503</v>
      </c>
      <c r="CX461" s="647">
        <f t="shared" si="1386"/>
        <v>4149.9012261147818</v>
      </c>
      <c r="CY461" s="644">
        <f t="shared" si="1327"/>
        <v>0</v>
      </c>
      <c r="CZ461" s="645">
        <f t="shared" si="1328"/>
        <v>4149.9012261147818</v>
      </c>
      <c r="DA461" s="646">
        <f t="shared" si="1387"/>
        <v>-3.2576875331081729</v>
      </c>
      <c r="DB461" s="647">
        <f t="shared" si="1329"/>
        <v>4146.643538581674</v>
      </c>
      <c r="DC461" s="644">
        <f t="shared" si="1388"/>
        <v>0</v>
      </c>
      <c r="DD461" s="645">
        <f t="shared" si="1389"/>
        <v>4146.643538581674</v>
      </c>
      <c r="DE461" s="646">
        <f t="shared" si="1390"/>
        <v>-2.8093497446007951E-3</v>
      </c>
      <c r="DF461" s="647">
        <f t="shared" si="1330"/>
        <v>4146.6407292319291</v>
      </c>
      <c r="DG461" s="644">
        <f t="shared" si="1391"/>
        <v>0</v>
      </c>
      <c r="DH461" s="645">
        <f t="shared" si="1392"/>
        <v>4146.6407292319291</v>
      </c>
      <c r="DI461" s="646">
        <f t="shared" si="1393"/>
        <v>0</v>
      </c>
      <c r="DJ461" s="647">
        <f t="shared" si="1331"/>
        <v>4146.6407292319291</v>
      </c>
      <c r="DK461" s="644">
        <f t="shared" si="1394"/>
        <v>0</v>
      </c>
      <c r="DL461" s="645">
        <f t="shared" si="1395"/>
        <v>4146.6407292319291</v>
      </c>
      <c r="DM461" s="646">
        <f t="shared" si="1396"/>
        <v>0</v>
      </c>
      <c r="DN461" s="647">
        <f t="shared" si="1332"/>
        <v>4146.6407292319291</v>
      </c>
      <c r="DR461" s="827">
        <f t="shared" si="1406"/>
        <v>26669.051674456052</v>
      </c>
      <c r="DV461" s="828">
        <f>IFERROR(VLOOKUP($B461,'Afton FY16 Final'!$A$5:$BV$587,'Afton FY16 Final'!$BV$587,0),0)</f>
        <v>18567.270625516459</v>
      </c>
      <c r="DX461" s="636">
        <f t="shared" si="1397"/>
        <v>26669.051674456052</v>
      </c>
      <c r="DY461" s="637">
        <f t="shared" si="1398"/>
        <v>8101.7810489395924</v>
      </c>
      <c r="DZ461" s="637">
        <f t="shared" si="1399"/>
        <v>18567.270625516459</v>
      </c>
      <c r="EA461" s="643">
        <f t="shared" si="1400"/>
        <v>25250.557016130155</v>
      </c>
      <c r="EB461" s="637">
        <f t="shared" si="1407"/>
        <v>0</v>
      </c>
      <c r="EC461" s="637">
        <f t="shared" si="1408"/>
        <v>25250.557016130155</v>
      </c>
      <c r="ED461" s="637">
        <f t="shared" si="1409"/>
        <v>25175.261362761397</v>
      </c>
      <c r="EE461" s="643">
        <f t="shared" si="1410"/>
        <v>25175.261362761397</v>
      </c>
      <c r="EF461" s="637">
        <f t="shared" si="1411"/>
        <v>0</v>
      </c>
      <c r="EG461" s="637">
        <f t="shared" si="1412"/>
        <v>25175.261362761397</v>
      </c>
      <c r="EH461" s="637">
        <f t="shared" si="1413"/>
        <v>25175.235390426911</v>
      </c>
      <c r="EI461" s="643">
        <f t="shared" si="1414"/>
        <v>25175.235390426911</v>
      </c>
      <c r="EJ461" s="637">
        <f t="shared" si="1415"/>
        <v>0</v>
      </c>
      <c r="EK461" s="637">
        <f t="shared" si="1416"/>
        <v>25175.235390426911</v>
      </c>
      <c r="EL461" s="637">
        <f t="shared" si="1417"/>
        <v>25175.235390426875</v>
      </c>
      <c r="EM461" s="643">
        <f t="shared" si="1418"/>
        <v>25175.235390426875</v>
      </c>
      <c r="EN461" s="637">
        <f t="shared" si="1419"/>
        <v>0</v>
      </c>
      <c r="EO461" s="637">
        <f t="shared" si="1420"/>
        <v>25175.235390426875</v>
      </c>
      <c r="EP461" s="637">
        <f t="shared" si="1421"/>
        <v>25175.235390426911</v>
      </c>
      <c r="EQ461" s="643">
        <f t="shared" si="1422"/>
        <v>25175.235390426911</v>
      </c>
      <c r="ER461" s="637">
        <f t="shared" si="1423"/>
        <v>0</v>
      </c>
      <c r="ES461" s="637">
        <f t="shared" si="1424"/>
        <v>25175.235390426911</v>
      </c>
      <c r="ET461" s="637">
        <f t="shared" si="1425"/>
        <v>25175.235390426871</v>
      </c>
      <c r="EU461" s="643">
        <f t="shared" si="1401"/>
        <v>25175.235390426871</v>
      </c>
      <c r="EV461" s="643">
        <f t="shared" si="1402"/>
        <v>0</v>
      </c>
      <c r="EX461" s="829">
        <f t="shared" si="1403"/>
        <v>1493.8162840291807</v>
      </c>
      <c r="EY461" s="638">
        <f t="shared" si="1404"/>
        <v>25175.235390426871</v>
      </c>
      <c r="FC461" s="830" t="str">
        <f t="shared" si="1426"/>
        <v>Y</v>
      </c>
      <c r="FE461" s="830" t="str">
        <f>IFERROR(VLOOKUP($B461,'Historical Conc Grant Elig'!$B$3:$J$707,'HH &amp; SI'!FE$2,0),"N")</f>
        <v>N</v>
      </c>
      <c r="FF461" s="830" t="str">
        <f>IFERROR(VLOOKUP($B461,'Historical Conc Grant Elig'!$B$3:$J$707,'HH &amp; SI'!FF$2,0),"N")</f>
        <v>N</v>
      </c>
      <c r="FG461" s="830" t="str">
        <f>IFERROR(VLOOKUP($B461,'Historical Conc Grant Elig'!$B$3:$J$707,'HH &amp; SI'!FG$2,0),"N")</f>
        <v>N</v>
      </c>
      <c r="FH461" s="830" t="str">
        <f>IFERROR(VLOOKUP($B461,'Historical Conc Grant Elig'!$B$3:$J$707,'HH &amp; SI'!FH$2,0),"N")</f>
        <v>N</v>
      </c>
      <c r="FI461" s="830" t="str">
        <f>IFERROR(VLOOKUP($B461,'Historical Conc Grant Elig'!$B$3:$J$707,'HH &amp; SI'!FI$2,0),"N")</f>
        <v>Y</v>
      </c>
      <c r="FJ461" s="830" t="str">
        <f>IFERROR(VLOOKUP($B461,'Historical Conc Grant Elig'!$B$3:$J$707,'HH &amp; SI'!FJ$2,0),"N")</f>
        <v>Y</v>
      </c>
      <c r="FK461" s="830" t="str">
        <f>IFERROR(VLOOKUP($B461,'Historical Conc Grant Elig'!$B$3:$J$707,'HH &amp; SI'!FK$2,0),"N")</f>
        <v>Y</v>
      </c>
      <c r="FL461" s="957" t="str">
        <f>IFERROR(VLOOKUP($B461,'Historical Conc Grant Elig'!$B$3:$J$707,'HH &amp; SI'!FL$2,0),"N")</f>
        <v>Y</v>
      </c>
    </row>
    <row r="462" spans="2:168" x14ac:dyDescent="0.25">
      <c r="B462" s="634">
        <v>138705000</v>
      </c>
      <c r="C462" s="635" t="str">
        <f>VLOOKUP($B462,'Afton Update'!$A$5:$CR$582,'Afton Update'!D$589,0)</f>
        <v>Edkey  Inc. - Sequoia Ranch School</v>
      </c>
      <c r="D462" s="636">
        <f>IFERROR(VLOOKUP($B462,'Afton FY16 Final'!$A$5:$BV$587,'Afton FY16 Final'!AQ$587,0),0)</f>
        <v>243188.89340047602</v>
      </c>
      <c r="E462" s="637">
        <f>IFERROR(VLOOKUP($B462,'Afton FY16 Final'!$A$5:$BV$587,'Afton FY16 Final'!AR$587,0),0)</f>
        <v>46519.242813322155</v>
      </c>
      <c r="F462" s="637">
        <f>IFERROR(VLOOKUP($B462,'Afton FY16 Final'!$A$5:$BV$587,'Afton FY16 Final'!AS$587,0),0)</f>
        <v>122003.37382532722</v>
      </c>
      <c r="G462" s="637">
        <f>IFERROR(VLOOKUP($B462,'Afton FY16 Final'!$A$5:$BV$587,'Afton FY16 Final'!AT$587,0),0)</f>
        <v>114490.96272565695</v>
      </c>
      <c r="H462" s="638">
        <f>IFERROR(VLOOKUP($B462,'Afton FY16 Final'!$A$5:$BV$587,'Afton FY16 Final'!AU$587,0),0)</f>
        <v>526202.47276478237</v>
      </c>
      <c r="I462" s="639" t="str">
        <f>VLOOKUP($B462,'Afton Update'!$A$5:$CR$582,'Afton Update'!BT$589,0)</f>
        <v>Y</v>
      </c>
      <c r="J462" s="640" t="str">
        <f>VLOOKUP($B462,'Afton Update'!$A$5:$CR$582,'Afton Update'!BU$589,0)</f>
        <v>Y</v>
      </c>
      <c r="K462" s="640" t="str">
        <f>VLOOKUP($B462,'Afton Update'!$A$5:$CR$582,'Afton Update'!BV$589,0)</f>
        <v>Y</v>
      </c>
      <c r="L462" s="641" t="str">
        <f>VLOOKUP($B462,'Afton Update'!$A$5:$CR$582,'Afton Update'!BW$589,0)</f>
        <v>Y</v>
      </c>
      <c r="N462" s="642">
        <f>VLOOKUP($B462,'Afton Update'!$A$5:$CR$582,'Afton Update'!CB$589,0)</f>
        <v>0.95</v>
      </c>
      <c r="P462" s="636">
        <f>VLOOKUP($B462,'Afton Update'!$A$5:$CR$582,'Afton Update'!AH$589,0)</f>
        <v>100283.55064747795</v>
      </c>
      <c r="Q462" s="637">
        <f>VLOOKUP($B462,'Afton Update'!$A$5:$CR$582,'Afton Update'!AI$589,0)</f>
        <v>26717.940799750893</v>
      </c>
      <c r="R462" s="637">
        <f>VLOOKUP($B462,'Afton Update'!$A$5:$CR$582,'Afton Update'!AJ$589,0)</f>
        <v>43141.774262402098</v>
      </c>
      <c r="S462" s="637">
        <f>VLOOKUP($B462,'Afton Update'!$A$5:$CR$582,'Afton Update'!AK$589,0)</f>
        <v>35020.649571148897</v>
      </c>
      <c r="T462" s="643">
        <f t="shared" si="1307"/>
        <v>205163.91528077982</v>
      </c>
      <c r="V462" s="636">
        <f t="shared" si="1333"/>
        <v>231029.44873045222</v>
      </c>
      <c r="W462" s="637">
        <f t="shared" si="1334"/>
        <v>44193.280672656045</v>
      </c>
      <c r="X462" s="637">
        <f t="shared" si="1335"/>
        <v>115903.20513406085</v>
      </c>
      <c r="Y462" s="637">
        <f t="shared" si="1336"/>
        <v>108766.41458937409</v>
      </c>
      <c r="Z462" s="643">
        <f t="shared" si="1337"/>
        <v>499892.34912654315</v>
      </c>
      <c r="AB462" s="644">
        <f t="shared" si="1308"/>
        <v>100283.55064747795</v>
      </c>
      <c r="AC462" s="645">
        <f t="shared" si="1304"/>
        <v>231029.44873045222</v>
      </c>
      <c r="AD462" s="644">
        <f t="shared" si="1338"/>
        <v>130745.89808297426</v>
      </c>
      <c r="AE462" s="645">
        <f t="shared" si="1339"/>
        <v>0</v>
      </c>
      <c r="AF462" s="646">
        <f t="shared" si="1340"/>
        <v>0</v>
      </c>
      <c r="AG462" s="647">
        <f t="shared" si="1341"/>
        <v>231029.44873045222</v>
      </c>
      <c r="AH462" s="644">
        <f t="shared" si="1309"/>
        <v>0</v>
      </c>
      <c r="AI462" s="645">
        <f t="shared" si="1310"/>
        <v>0</v>
      </c>
      <c r="AJ462" s="646">
        <f t="shared" si="1342"/>
        <v>0</v>
      </c>
      <c r="AK462" s="647">
        <f t="shared" si="1311"/>
        <v>231029.44873045222</v>
      </c>
      <c r="AL462" s="644">
        <f t="shared" si="1343"/>
        <v>0</v>
      </c>
      <c r="AM462" s="645">
        <f t="shared" si="1344"/>
        <v>0</v>
      </c>
      <c r="AN462" s="646">
        <f t="shared" si="1345"/>
        <v>0</v>
      </c>
      <c r="AO462" s="647">
        <f t="shared" si="1312"/>
        <v>231029.44873045222</v>
      </c>
      <c r="AP462" s="644">
        <f t="shared" si="1346"/>
        <v>0</v>
      </c>
      <c r="AQ462" s="645">
        <f t="shared" si="1347"/>
        <v>0</v>
      </c>
      <c r="AR462" s="646">
        <f t="shared" si="1348"/>
        <v>0</v>
      </c>
      <c r="AS462" s="647">
        <f t="shared" si="1313"/>
        <v>231029.44873045222</v>
      </c>
      <c r="AT462" s="644">
        <f t="shared" si="1349"/>
        <v>0</v>
      </c>
      <c r="AU462" s="645">
        <f t="shared" si="1350"/>
        <v>0</v>
      </c>
      <c r="AV462" s="646">
        <f t="shared" si="1351"/>
        <v>0</v>
      </c>
      <c r="AW462" s="647">
        <f t="shared" si="1314"/>
        <v>231029.44873045222</v>
      </c>
      <c r="AY462" s="644">
        <f t="shared" si="1352"/>
        <v>26717.940799750893</v>
      </c>
      <c r="AZ462" s="645">
        <f t="shared" si="1405"/>
        <v>44193.280672656045</v>
      </c>
      <c r="BA462" s="644">
        <f t="shared" si="1353"/>
        <v>17475.339872905151</v>
      </c>
      <c r="BB462" s="645">
        <f t="shared" si="1354"/>
        <v>0</v>
      </c>
      <c r="BC462" s="646">
        <f t="shared" si="1355"/>
        <v>0</v>
      </c>
      <c r="BD462" s="647">
        <f t="shared" si="1356"/>
        <v>44193.280672656045</v>
      </c>
      <c r="BE462" s="644">
        <f t="shared" si="1315"/>
        <v>0</v>
      </c>
      <c r="BF462" s="645">
        <f t="shared" si="1316"/>
        <v>0</v>
      </c>
      <c r="BG462" s="646">
        <f t="shared" si="1357"/>
        <v>0</v>
      </c>
      <c r="BH462" s="647">
        <f t="shared" si="1317"/>
        <v>44193.280672656045</v>
      </c>
      <c r="BI462" s="644">
        <f t="shared" si="1358"/>
        <v>0</v>
      </c>
      <c r="BJ462" s="645">
        <f t="shared" si="1359"/>
        <v>0</v>
      </c>
      <c r="BK462" s="646">
        <f t="shared" si="1360"/>
        <v>0</v>
      </c>
      <c r="BL462" s="647">
        <f t="shared" si="1318"/>
        <v>44193.280672656045</v>
      </c>
      <c r="BM462" s="644">
        <f t="shared" si="1361"/>
        <v>0</v>
      </c>
      <c r="BN462" s="645">
        <f t="shared" si="1362"/>
        <v>0</v>
      </c>
      <c r="BO462" s="646">
        <f t="shared" si="1363"/>
        <v>0</v>
      </c>
      <c r="BP462" s="647">
        <f t="shared" si="1319"/>
        <v>44193.280672656045</v>
      </c>
      <c r="BQ462" s="644">
        <f t="shared" si="1364"/>
        <v>0</v>
      </c>
      <c r="BR462" s="645">
        <f t="shared" si="1365"/>
        <v>0</v>
      </c>
      <c r="BS462" s="646">
        <f t="shared" si="1366"/>
        <v>0</v>
      </c>
      <c r="BT462" s="647">
        <f t="shared" si="1320"/>
        <v>44193.280672656045</v>
      </c>
      <c r="BU462" s="662">
        <f>VLOOKUP(B462,'Afton Update'!$A$5:$AR$582,'Afton Update'!$AO$589,0)-BT462</f>
        <v>0</v>
      </c>
      <c r="BV462" s="644">
        <f t="shared" si="1367"/>
        <v>43141.774262402098</v>
      </c>
      <c r="BW462" s="645">
        <f t="shared" si="1305"/>
        <v>115903.20513406085</v>
      </c>
      <c r="BX462" s="644">
        <f t="shared" si="1368"/>
        <v>72761.430871658755</v>
      </c>
      <c r="BY462" s="645">
        <f t="shared" si="1369"/>
        <v>0</v>
      </c>
      <c r="BZ462" s="646">
        <f t="shared" si="1370"/>
        <v>0</v>
      </c>
      <c r="CA462" s="647">
        <f t="shared" si="1371"/>
        <v>115903.20513406085</v>
      </c>
      <c r="CB462" s="644">
        <f t="shared" si="1321"/>
        <v>0</v>
      </c>
      <c r="CC462" s="645">
        <f t="shared" si="1322"/>
        <v>0</v>
      </c>
      <c r="CD462" s="646">
        <f t="shared" si="1372"/>
        <v>0</v>
      </c>
      <c r="CE462" s="647">
        <f t="shared" si="1323"/>
        <v>115903.20513406085</v>
      </c>
      <c r="CF462" s="644">
        <f t="shared" si="1373"/>
        <v>0</v>
      </c>
      <c r="CG462" s="645">
        <f t="shared" si="1374"/>
        <v>0</v>
      </c>
      <c r="CH462" s="646">
        <f t="shared" si="1375"/>
        <v>0</v>
      </c>
      <c r="CI462" s="647">
        <f t="shared" si="1324"/>
        <v>115903.20513406085</v>
      </c>
      <c r="CJ462" s="644">
        <f t="shared" si="1376"/>
        <v>0</v>
      </c>
      <c r="CK462" s="645">
        <f t="shared" si="1377"/>
        <v>0</v>
      </c>
      <c r="CL462" s="646">
        <f t="shared" si="1378"/>
        <v>0</v>
      </c>
      <c r="CM462" s="647">
        <f t="shared" si="1325"/>
        <v>115903.20513406085</v>
      </c>
      <c r="CN462" s="644">
        <f t="shared" si="1379"/>
        <v>0</v>
      </c>
      <c r="CO462" s="645">
        <f t="shared" si="1380"/>
        <v>0</v>
      </c>
      <c r="CP462" s="646">
        <f t="shared" si="1381"/>
        <v>0</v>
      </c>
      <c r="CQ462" s="647">
        <f t="shared" si="1326"/>
        <v>115903.20513406085</v>
      </c>
      <c r="CS462" s="644">
        <f t="shared" si="1382"/>
        <v>35020.649571148897</v>
      </c>
      <c r="CT462" s="645">
        <f t="shared" si="1306"/>
        <v>108766.41458937409</v>
      </c>
      <c r="CU462" s="644">
        <f t="shared" si="1383"/>
        <v>73745.765018225196</v>
      </c>
      <c r="CV462" s="645">
        <f t="shared" si="1384"/>
        <v>0</v>
      </c>
      <c r="CW462" s="646">
        <f t="shared" si="1385"/>
        <v>0</v>
      </c>
      <c r="CX462" s="647">
        <f t="shared" si="1386"/>
        <v>108766.41458937409</v>
      </c>
      <c r="CY462" s="644">
        <f t="shared" si="1327"/>
        <v>0</v>
      </c>
      <c r="CZ462" s="645">
        <f t="shared" si="1328"/>
        <v>0</v>
      </c>
      <c r="DA462" s="646">
        <f t="shared" si="1387"/>
        <v>0</v>
      </c>
      <c r="DB462" s="647">
        <f t="shared" si="1329"/>
        <v>108766.41458937409</v>
      </c>
      <c r="DC462" s="644">
        <f t="shared" si="1388"/>
        <v>0</v>
      </c>
      <c r="DD462" s="645">
        <f t="shared" si="1389"/>
        <v>0</v>
      </c>
      <c r="DE462" s="646">
        <f t="shared" si="1390"/>
        <v>0</v>
      </c>
      <c r="DF462" s="647">
        <f t="shared" si="1330"/>
        <v>108766.41458937409</v>
      </c>
      <c r="DG462" s="644">
        <f t="shared" si="1391"/>
        <v>0</v>
      </c>
      <c r="DH462" s="645">
        <f t="shared" si="1392"/>
        <v>0</v>
      </c>
      <c r="DI462" s="646">
        <f t="shared" si="1393"/>
        <v>0</v>
      </c>
      <c r="DJ462" s="647">
        <f t="shared" si="1331"/>
        <v>108766.41458937409</v>
      </c>
      <c r="DK462" s="644">
        <f t="shared" si="1394"/>
        <v>0</v>
      </c>
      <c r="DL462" s="645">
        <f t="shared" si="1395"/>
        <v>0</v>
      </c>
      <c r="DM462" s="646">
        <f t="shared" si="1396"/>
        <v>0</v>
      </c>
      <c r="DN462" s="647">
        <f t="shared" si="1332"/>
        <v>108766.41458937409</v>
      </c>
      <c r="DR462" s="827">
        <f t="shared" si="1406"/>
        <v>499892.34912654315</v>
      </c>
      <c r="DV462" s="828">
        <f>IFERROR(VLOOKUP($B462,'Afton FY16 Final'!$A$5:$BV$587,'Afton FY16 Final'!$BV$587,0),0)</f>
        <v>515841.5461631876</v>
      </c>
      <c r="DX462" s="636">
        <f t="shared" si="1397"/>
        <v>0</v>
      </c>
      <c r="DY462" s="637">
        <f t="shared" si="1398"/>
        <v>0</v>
      </c>
      <c r="DZ462" s="637">
        <f t="shared" si="1399"/>
        <v>0</v>
      </c>
      <c r="EA462" s="643">
        <f t="shared" si="1400"/>
        <v>0</v>
      </c>
      <c r="EB462" s="637">
        <f t="shared" si="1407"/>
        <v>0</v>
      </c>
      <c r="EC462" s="637">
        <f t="shared" si="1408"/>
        <v>0</v>
      </c>
      <c r="ED462" s="637">
        <f t="shared" si="1409"/>
        <v>0</v>
      </c>
      <c r="EE462" s="643">
        <f t="shared" si="1410"/>
        <v>0</v>
      </c>
      <c r="EF462" s="637">
        <f t="shared" si="1411"/>
        <v>0</v>
      </c>
      <c r="EG462" s="637">
        <f t="shared" si="1412"/>
        <v>0</v>
      </c>
      <c r="EH462" s="637">
        <f t="shared" si="1413"/>
        <v>0</v>
      </c>
      <c r="EI462" s="643">
        <f t="shared" si="1414"/>
        <v>0</v>
      </c>
      <c r="EJ462" s="637">
        <f t="shared" si="1415"/>
        <v>0</v>
      </c>
      <c r="EK462" s="637">
        <f t="shared" si="1416"/>
        <v>0</v>
      </c>
      <c r="EL462" s="637">
        <f t="shared" si="1417"/>
        <v>0</v>
      </c>
      <c r="EM462" s="643">
        <f t="shared" si="1418"/>
        <v>0</v>
      </c>
      <c r="EN462" s="637">
        <f t="shared" si="1419"/>
        <v>0</v>
      </c>
      <c r="EO462" s="637">
        <f t="shared" si="1420"/>
        <v>0</v>
      </c>
      <c r="EP462" s="637">
        <f t="shared" si="1421"/>
        <v>0</v>
      </c>
      <c r="EQ462" s="643">
        <f t="shared" si="1422"/>
        <v>0</v>
      </c>
      <c r="ER462" s="637">
        <f t="shared" si="1423"/>
        <v>0</v>
      </c>
      <c r="ES462" s="637">
        <f t="shared" si="1424"/>
        <v>0</v>
      </c>
      <c r="ET462" s="637">
        <f t="shared" si="1425"/>
        <v>0</v>
      </c>
      <c r="EU462" s="643">
        <f t="shared" si="1401"/>
        <v>0</v>
      </c>
      <c r="EV462" s="643">
        <f t="shared" si="1402"/>
        <v>0</v>
      </c>
      <c r="EX462" s="829">
        <f t="shared" si="1403"/>
        <v>0</v>
      </c>
      <c r="EY462" s="638">
        <f t="shared" si="1404"/>
        <v>499892.34912654315</v>
      </c>
      <c r="FC462" s="830" t="str">
        <f t="shared" si="1426"/>
        <v>Y</v>
      </c>
      <c r="FE462" s="830" t="str">
        <f>IFERROR(VLOOKUP($B462,'Historical Conc Grant Elig'!$B$3:$J$707,'HH &amp; SI'!FE$2,0),"N")</f>
        <v>Y</v>
      </c>
      <c r="FF462" s="830" t="str">
        <f>IFERROR(VLOOKUP($B462,'Historical Conc Grant Elig'!$B$3:$J$707,'HH &amp; SI'!FF$2,0),"N")</f>
        <v>Y</v>
      </c>
      <c r="FG462" s="830" t="str">
        <f>IFERROR(VLOOKUP($B462,'Historical Conc Grant Elig'!$B$3:$J$707,'HH &amp; SI'!FG$2,0),"N")</f>
        <v>Y</v>
      </c>
      <c r="FH462" s="830" t="str">
        <f>IFERROR(VLOOKUP($B462,'Historical Conc Grant Elig'!$B$3:$J$707,'HH &amp; SI'!FH$2,0),"N")</f>
        <v>Y</v>
      </c>
      <c r="FI462" s="830" t="str">
        <f>IFERROR(VLOOKUP($B462,'Historical Conc Grant Elig'!$B$3:$J$707,'HH &amp; SI'!FI$2,0),"N")</f>
        <v>Y</v>
      </c>
      <c r="FJ462" s="830" t="str">
        <f>IFERROR(VLOOKUP($B462,'Historical Conc Grant Elig'!$B$3:$J$707,'HH &amp; SI'!FJ$2,0),"N")</f>
        <v>Y</v>
      </c>
      <c r="FK462" s="830" t="str">
        <f>IFERROR(VLOOKUP($B462,'Historical Conc Grant Elig'!$B$3:$J$707,'HH &amp; SI'!FK$2,0),"N")</f>
        <v>Y</v>
      </c>
      <c r="FL462" s="957" t="str">
        <f>IFERROR(VLOOKUP($B462,'Historical Conc Grant Elig'!$B$3:$J$707,'HH &amp; SI'!FL$2,0),"N")</f>
        <v>Y</v>
      </c>
    </row>
    <row r="463" spans="2:168" x14ac:dyDescent="0.25">
      <c r="B463" s="634">
        <v>138708000</v>
      </c>
      <c r="C463" s="635" t="str">
        <f>VLOOKUP($B463,'Afton Update'!$A$5:$CR$582,'Afton Update'!D$589,0)</f>
        <v>Sedona Charter School  Inc.</v>
      </c>
      <c r="D463" s="636">
        <f>IFERROR(VLOOKUP($B463,'Afton FY16 Final'!$A$5:$BV$587,'Afton FY16 Final'!AQ$587,0),0)</f>
        <v>19968.702836467695</v>
      </c>
      <c r="E463" s="637">
        <f>IFERROR(VLOOKUP($B463,'Afton FY16 Final'!$A$5:$BV$587,'Afton FY16 Final'!AR$587,0),0)</f>
        <v>4655.8191791057479</v>
      </c>
      <c r="F463" s="637">
        <f>IFERROR(VLOOKUP($B463,'Afton FY16 Final'!$A$5:$BV$587,'Afton FY16 Final'!AS$587,0),0)</f>
        <v>7908.1642394844621</v>
      </c>
      <c r="G463" s="637">
        <f>IFERROR(VLOOKUP($B463,'Afton FY16 Final'!$A$5:$BV$587,'Afton FY16 Final'!AT$587,0),0)</f>
        <v>6209.7180666413014</v>
      </c>
      <c r="H463" s="638">
        <f>IFERROR(VLOOKUP($B463,'Afton FY16 Final'!$A$5:$BV$587,'Afton FY16 Final'!AU$587,0),0)</f>
        <v>38742.404321699207</v>
      </c>
      <c r="I463" s="639" t="str">
        <f>VLOOKUP($B463,'Afton Update'!$A$5:$CR$582,'Afton Update'!BT$589,0)</f>
        <v>Y</v>
      </c>
      <c r="J463" s="640" t="str">
        <f>VLOOKUP($B463,'Afton Update'!$A$5:$CR$582,'Afton Update'!BU$589,0)</f>
        <v>Y</v>
      </c>
      <c r="K463" s="640" t="str">
        <f>VLOOKUP($B463,'Afton Update'!$A$5:$CR$582,'Afton Update'!BV$589,0)</f>
        <v>Y</v>
      </c>
      <c r="L463" s="641" t="str">
        <f>VLOOKUP($B463,'Afton Update'!$A$5:$CR$582,'Afton Update'!BW$589,0)</f>
        <v>Y</v>
      </c>
      <c r="N463" s="642">
        <f>VLOOKUP($B463,'Afton Update'!$A$5:$CR$582,'Afton Update'!CB$589,0)</f>
        <v>0.9</v>
      </c>
      <c r="P463" s="636">
        <f>VLOOKUP($B463,'Afton Update'!$A$5:$CR$582,'Afton Update'!AH$589,0)</f>
        <v>16281.343768721528</v>
      </c>
      <c r="Q463" s="637">
        <f>VLOOKUP($B463,'Afton Update'!$A$5:$CR$582,'Afton Update'!AI$589,0)</f>
        <v>6766.3659751615796</v>
      </c>
      <c r="R463" s="637">
        <f>VLOOKUP($B463,'Afton Update'!$A$5:$CR$582,'Afton Update'!AJ$589,0)</f>
        <v>7004.2001207943495</v>
      </c>
      <c r="S463" s="637">
        <f>VLOOKUP($B463,'Afton Update'!$A$5:$CR$582,'Afton Update'!AK$589,0)</f>
        <v>5685.7104778444018</v>
      </c>
      <c r="T463" s="643">
        <f t="shared" si="1307"/>
        <v>35737.620342521863</v>
      </c>
      <c r="V463" s="636">
        <f t="shared" si="1333"/>
        <v>17971.832552820928</v>
      </c>
      <c r="W463" s="637">
        <f t="shared" si="1334"/>
        <v>6543.5066184183288</v>
      </c>
      <c r="X463" s="637">
        <f t="shared" si="1335"/>
        <v>7117.3478155360162</v>
      </c>
      <c r="Y463" s="637">
        <f t="shared" si="1336"/>
        <v>5623.064183180225</v>
      </c>
      <c r="Z463" s="643">
        <f t="shared" si="1337"/>
        <v>37255.751169955496</v>
      </c>
      <c r="AB463" s="644">
        <f t="shared" si="1308"/>
        <v>16281.343768721528</v>
      </c>
      <c r="AC463" s="645">
        <f t="shared" si="1304"/>
        <v>17971.832552820928</v>
      </c>
      <c r="AD463" s="644">
        <f t="shared" si="1338"/>
        <v>1690.4887840993997</v>
      </c>
      <c r="AE463" s="645">
        <f t="shared" si="1339"/>
        <v>0</v>
      </c>
      <c r="AF463" s="646">
        <f t="shared" si="1340"/>
        <v>0</v>
      </c>
      <c r="AG463" s="647">
        <f t="shared" si="1341"/>
        <v>17971.832552820928</v>
      </c>
      <c r="AH463" s="644">
        <f t="shared" si="1309"/>
        <v>0</v>
      </c>
      <c r="AI463" s="645">
        <f t="shared" si="1310"/>
        <v>0</v>
      </c>
      <c r="AJ463" s="646">
        <f t="shared" si="1342"/>
        <v>0</v>
      </c>
      <c r="AK463" s="647">
        <f t="shared" si="1311"/>
        <v>17971.832552820928</v>
      </c>
      <c r="AL463" s="644">
        <f t="shared" si="1343"/>
        <v>0</v>
      </c>
      <c r="AM463" s="645">
        <f t="shared" si="1344"/>
        <v>0</v>
      </c>
      <c r="AN463" s="646">
        <f t="shared" si="1345"/>
        <v>0</v>
      </c>
      <c r="AO463" s="647">
        <f t="shared" si="1312"/>
        <v>17971.832552820928</v>
      </c>
      <c r="AP463" s="644">
        <f t="shared" si="1346"/>
        <v>0</v>
      </c>
      <c r="AQ463" s="645">
        <f t="shared" si="1347"/>
        <v>0</v>
      </c>
      <c r="AR463" s="646">
        <f t="shared" si="1348"/>
        <v>0</v>
      </c>
      <c r="AS463" s="647">
        <f t="shared" si="1313"/>
        <v>17971.832552820928</v>
      </c>
      <c r="AT463" s="644">
        <f t="shared" si="1349"/>
        <v>0</v>
      </c>
      <c r="AU463" s="645">
        <f t="shared" si="1350"/>
        <v>0</v>
      </c>
      <c r="AV463" s="646">
        <f t="shared" si="1351"/>
        <v>0</v>
      </c>
      <c r="AW463" s="647">
        <f t="shared" si="1314"/>
        <v>17971.832552820928</v>
      </c>
      <c r="AY463" s="644">
        <f t="shared" si="1352"/>
        <v>6766.3659751615796</v>
      </c>
      <c r="AZ463" s="645">
        <f t="shared" si="1405"/>
        <v>4190.2372611951732</v>
      </c>
      <c r="BA463" s="644">
        <f t="shared" si="1353"/>
        <v>0</v>
      </c>
      <c r="BB463" s="645">
        <f t="shared" si="1354"/>
        <v>6766.3659751615796</v>
      </c>
      <c r="BC463" s="646">
        <f t="shared" si="1355"/>
        <v>-48.658909652429124</v>
      </c>
      <c r="BD463" s="647">
        <f t="shared" si="1356"/>
        <v>6717.7070655091502</v>
      </c>
      <c r="BE463" s="644">
        <f t="shared" si="1315"/>
        <v>0</v>
      </c>
      <c r="BF463" s="645">
        <f t="shared" si="1316"/>
        <v>6717.7070655091502</v>
      </c>
      <c r="BG463" s="646">
        <f t="shared" si="1357"/>
        <v>-160.01030776412458</v>
      </c>
      <c r="BH463" s="647">
        <f t="shared" si="1317"/>
        <v>6557.6967577450259</v>
      </c>
      <c r="BI463" s="644">
        <f t="shared" si="1358"/>
        <v>0</v>
      </c>
      <c r="BJ463" s="645">
        <f t="shared" si="1359"/>
        <v>6557.6967577450259</v>
      </c>
      <c r="BK463" s="646">
        <f t="shared" si="1360"/>
        <v>-13.89074195231645</v>
      </c>
      <c r="BL463" s="647">
        <f t="shared" si="1318"/>
        <v>6543.8060157927093</v>
      </c>
      <c r="BM463" s="644">
        <f t="shared" si="1361"/>
        <v>0</v>
      </c>
      <c r="BN463" s="645">
        <f t="shared" si="1362"/>
        <v>6543.8060157927093</v>
      </c>
      <c r="BO463" s="646">
        <f t="shared" si="1363"/>
        <v>-0.29939737438070546</v>
      </c>
      <c r="BP463" s="647">
        <f t="shared" si="1319"/>
        <v>6543.5066184183288</v>
      </c>
      <c r="BQ463" s="644">
        <f t="shared" si="1364"/>
        <v>0</v>
      </c>
      <c r="BR463" s="645">
        <f t="shared" si="1365"/>
        <v>6543.5066184183288</v>
      </c>
      <c r="BS463" s="646">
        <f t="shared" si="1366"/>
        <v>0</v>
      </c>
      <c r="BT463" s="647">
        <f t="shared" si="1320"/>
        <v>6543.5066184183288</v>
      </c>
      <c r="BU463" s="662">
        <f>VLOOKUP(B463,'Afton Update'!$A$5:$AR$582,'Afton Update'!$AO$589,0)-BT463</f>
        <v>0</v>
      </c>
      <c r="BV463" s="644">
        <f t="shared" si="1367"/>
        <v>7004.2001207943495</v>
      </c>
      <c r="BW463" s="645">
        <f t="shared" si="1305"/>
        <v>7117.3478155360162</v>
      </c>
      <c r="BX463" s="644">
        <f t="shared" si="1368"/>
        <v>113.14769474166678</v>
      </c>
      <c r="BY463" s="645">
        <f t="shared" si="1369"/>
        <v>0</v>
      </c>
      <c r="BZ463" s="646">
        <f t="shared" si="1370"/>
        <v>0</v>
      </c>
      <c r="CA463" s="647">
        <f t="shared" si="1371"/>
        <v>7117.3478155360162</v>
      </c>
      <c r="CB463" s="644">
        <f t="shared" si="1321"/>
        <v>0</v>
      </c>
      <c r="CC463" s="645">
        <f t="shared" si="1322"/>
        <v>0</v>
      </c>
      <c r="CD463" s="646">
        <f t="shared" si="1372"/>
        <v>0</v>
      </c>
      <c r="CE463" s="647">
        <f t="shared" si="1323"/>
        <v>7117.3478155360162</v>
      </c>
      <c r="CF463" s="644">
        <f t="shared" si="1373"/>
        <v>0</v>
      </c>
      <c r="CG463" s="645">
        <f t="shared" si="1374"/>
        <v>0</v>
      </c>
      <c r="CH463" s="646">
        <f t="shared" si="1375"/>
        <v>0</v>
      </c>
      <c r="CI463" s="647">
        <f t="shared" si="1324"/>
        <v>7117.3478155360162</v>
      </c>
      <c r="CJ463" s="644">
        <f t="shared" si="1376"/>
        <v>0</v>
      </c>
      <c r="CK463" s="645">
        <f t="shared" si="1377"/>
        <v>0</v>
      </c>
      <c r="CL463" s="646">
        <f t="shared" si="1378"/>
        <v>0</v>
      </c>
      <c r="CM463" s="647">
        <f t="shared" si="1325"/>
        <v>7117.3478155360162</v>
      </c>
      <c r="CN463" s="644">
        <f t="shared" si="1379"/>
        <v>0</v>
      </c>
      <c r="CO463" s="645">
        <f t="shared" si="1380"/>
        <v>0</v>
      </c>
      <c r="CP463" s="646">
        <f t="shared" si="1381"/>
        <v>0</v>
      </c>
      <c r="CQ463" s="647">
        <f t="shared" si="1326"/>
        <v>7117.3478155360162</v>
      </c>
      <c r="CS463" s="644">
        <f t="shared" si="1382"/>
        <v>5685.7104778444018</v>
      </c>
      <c r="CT463" s="645">
        <f t="shared" si="1306"/>
        <v>5588.7462599771716</v>
      </c>
      <c r="CU463" s="644">
        <f t="shared" si="1383"/>
        <v>0</v>
      </c>
      <c r="CV463" s="645">
        <f t="shared" si="1384"/>
        <v>5685.7104778444018</v>
      </c>
      <c r="CW463" s="646">
        <f t="shared" si="1385"/>
        <v>-58.224888413065159</v>
      </c>
      <c r="CX463" s="647">
        <f t="shared" si="1386"/>
        <v>5627.4855894313368</v>
      </c>
      <c r="CY463" s="644">
        <f t="shared" si="1327"/>
        <v>0</v>
      </c>
      <c r="CZ463" s="645">
        <f t="shared" si="1328"/>
        <v>5627.4855894313368</v>
      </c>
      <c r="DA463" s="646">
        <f t="shared" si="1387"/>
        <v>-4.4175966242453653</v>
      </c>
      <c r="DB463" s="647">
        <f t="shared" si="1329"/>
        <v>5623.0679928070913</v>
      </c>
      <c r="DC463" s="644">
        <f t="shared" si="1388"/>
        <v>0</v>
      </c>
      <c r="DD463" s="645">
        <f t="shared" si="1389"/>
        <v>5623.0679928070913</v>
      </c>
      <c r="DE463" s="646">
        <f t="shared" si="1390"/>
        <v>-3.8096268662796131E-3</v>
      </c>
      <c r="DF463" s="647">
        <f t="shared" si="1330"/>
        <v>5623.064183180225</v>
      </c>
      <c r="DG463" s="644">
        <f t="shared" si="1391"/>
        <v>0</v>
      </c>
      <c r="DH463" s="645">
        <f t="shared" si="1392"/>
        <v>5623.064183180225</v>
      </c>
      <c r="DI463" s="646">
        <f t="shared" si="1393"/>
        <v>0</v>
      </c>
      <c r="DJ463" s="647">
        <f t="shared" si="1331"/>
        <v>5623.064183180225</v>
      </c>
      <c r="DK463" s="644">
        <f t="shared" si="1394"/>
        <v>0</v>
      </c>
      <c r="DL463" s="645">
        <f t="shared" si="1395"/>
        <v>5623.064183180225</v>
      </c>
      <c r="DM463" s="646">
        <f t="shared" si="1396"/>
        <v>0</v>
      </c>
      <c r="DN463" s="647">
        <f t="shared" si="1332"/>
        <v>5623.064183180225</v>
      </c>
      <c r="DR463" s="827">
        <f t="shared" si="1406"/>
        <v>37255.751169955496</v>
      </c>
      <c r="DV463" s="828">
        <f>IFERROR(VLOOKUP($B463,'Afton FY16 Final'!$A$5:$BV$587,'Afton FY16 Final'!$BV$587,0),0)</f>
        <v>37263.717806639397</v>
      </c>
      <c r="DX463" s="636">
        <f t="shared" si="1397"/>
        <v>0</v>
      </c>
      <c r="DY463" s="637">
        <f t="shared" si="1398"/>
        <v>0</v>
      </c>
      <c r="DZ463" s="637">
        <f t="shared" si="1399"/>
        <v>0</v>
      </c>
      <c r="EA463" s="643">
        <f t="shared" si="1400"/>
        <v>0</v>
      </c>
      <c r="EB463" s="637">
        <f t="shared" si="1407"/>
        <v>0</v>
      </c>
      <c r="EC463" s="637">
        <f t="shared" si="1408"/>
        <v>0</v>
      </c>
      <c r="ED463" s="637">
        <f t="shared" si="1409"/>
        <v>0</v>
      </c>
      <c r="EE463" s="643">
        <f t="shared" si="1410"/>
        <v>0</v>
      </c>
      <c r="EF463" s="637">
        <f t="shared" si="1411"/>
        <v>0</v>
      </c>
      <c r="EG463" s="637">
        <f t="shared" si="1412"/>
        <v>0</v>
      </c>
      <c r="EH463" s="637">
        <f t="shared" si="1413"/>
        <v>0</v>
      </c>
      <c r="EI463" s="643">
        <f t="shared" si="1414"/>
        <v>0</v>
      </c>
      <c r="EJ463" s="637">
        <f t="shared" si="1415"/>
        <v>0</v>
      </c>
      <c r="EK463" s="637">
        <f t="shared" si="1416"/>
        <v>0</v>
      </c>
      <c r="EL463" s="637">
        <f t="shared" si="1417"/>
        <v>0</v>
      </c>
      <c r="EM463" s="643">
        <f t="shared" si="1418"/>
        <v>0</v>
      </c>
      <c r="EN463" s="637">
        <f t="shared" si="1419"/>
        <v>0</v>
      </c>
      <c r="EO463" s="637">
        <f t="shared" si="1420"/>
        <v>0</v>
      </c>
      <c r="EP463" s="637">
        <f t="shared" si="1421"/>
        <v>0</v>
      </c>
      <c r="EQ463" s="643">
        <f t="shared" si="1422"/>
        <v>0</v>
      </c>
      <c r="ER463" s="637">
        <f t="shared" si="1423"/>
        <v>0</v>
      </c>
      <c r="ES463" s="637">
        <f t="shared" si="1424"/>
        <v>0</v>
      </c>
      <c r="ET463" s="637">
        <f t="shared" si="1425"/>
        <v>0</v>
      </c>
      <c r="EU463" s="643">
        <f t="shared" si="1401"/>
        <v>0</v>
      </c>
      <c r="EV463" s="643">
        <f t="shared" si="1402"/>
        <v>0</v>
      </c>
      <c r="EX463" s="829">
        <f t="shared" si="1403"/>
        <v>0</v>
      </c>
      <c r="EY463" s="638">
        <f t="shared" si="1404"/>
        <v>37255.751169955496</v>
      </c>
      <c r="FC463" s="830" t="str">
        <f t="shared" si="1426"/>
        <v>Y</v>
      </c>
      <c r="FE463" s="830" t="str">
        <f>IFERROR(VLOOKUP($B463,'Historical Conc Grant Elig'!$B$3:$J$707,'HH &amp; SI'!FE$2,0),"N")</f>
        <v>Y</v>
      </c>
      <c r="FF463" s="830" t="str">
        <f>IFERROR(VLOOKUP($B463,'Historical Conc Grant Elig'!$B$3:$J$707,'HH &amp; SI'!FF$2,0),"N")</f>
        <v>Y</v>
      </c>
      <c r="FG463" s="830" t="str">
        <f>IFERROR(VLOOKUP($B463,'Historical Conc Grant Elig'!$B$3:$J$707,'HH &amp; SI'!FG$2,0),"N")</f>
        <v>Y</v>
      </c>
      <c r="FH463" s="830" t="str">
        <f>IFERROR(VLOOKUP($B463,'Historical Conc Grant Elig'!$B$3:$J$707,'HH &amp; SI'!FH$2,0),"N")</f>
        <v>Y</v>
      </c>
      <c r="FI463" s="830" t="str">
        <f>IFERROR(VLOOKUP($B463,'Historical Conc Grant Elig'!$B$3:$J$707,'HH &amp; SI'!FI$2,0),"N")</f>
        <v>Y</v>
      </c>
      <c r="FJ463" s="830" t="str">
        <f>IFERROR(VLOOKUP($B463,'Historical Conc Grant Elig'!$B$3:$J$707,'HH &amp; SI'!FJ$2,0),"N")</f>
        <v>Y</v>
      </c>
      <c r="FK463" s="830" t="str">
        <f>IFERROR(VLOOKUP($B463,'Historical Conc Grant Elig'!$B$3:$J$707,'HH &amp; SI'!FK$2,0),"N")</f>
        <v>Y</v>
      </c>
      <c r="FL463" s="957" t="str">
        <f>IFERROR(VLOOKUP($B463,'Historical Conc Grant Elig'!$B$3:$J$707,'HH &amp; SI'!FL$2,0),"N")</f>
        <v>Y</v>
      </c>
    </row>
    <row r="464" spans="2:168" x14ac:dyDescent="0.25">
      <c r="B464" s="634">
        <v>138712000</v>
      </c>
      <c r="C464" s="635" t="str">
        <f>VLOOKUP($B464,'Afton Update'!$A$5:$CR$582,'Afton Update'!D$589,0)</f>
        <v>Mingus Springs Charter School</v>
      </c>
      <c r="D464" s="636">
        <f>IFERROR(VLOOKUP($B464,'Afton FY16 Final'!$A$5:$BV$587,'Afton FY16 Final'!AQ$587,0),0)</f>
        <v>30334.726694559427</v>
      </c>
      <c r="E464" s="637">
        <f>IFERROR(VLOOKUP($B464,'Afton FY16 Final'!$A$5:$BV$587,'Afton FY16 Final'!AR$587,0),0)</f>
        <v>7459.2687447837206</v>
      </c>
      <c r="F464" s="637">
        <f>IFERROR(VLOOKUP($B464,'Afton FY16 Final'!$A$5:$BV$587,'Afton FY16 Final'!AS$587,0),0)</f>
        <v>12531.182516099276</v>
      </c>
      <c r="G464" s="637">
        <f>IFERROR(VLOOKUP($B464,'Afton FY16 Final'!$A$5:$BV$587,'Afton FY16 Final'!AT$587,0),0)</f>
        <v>10597.855845448046</v>
      </c>
      <c r="H464" s="638">
        <f>IFERROR(VLOOKUP($B464,'Afton FY16 Final'!$A$5:$BV$587,'Afton FY16 Final'!AU$587,0),0)</f>
        <v>60923.033800890465</v>
      </c>
      <c r="I464" s="639" t="str">
        <f>VLOOKUP($B464,'Afton Update'!$A$5:$CR$582,'Afton Update'!BT$589,0)</f>
        <v>Y</v>
      </c>
      <c r="J464" s="640" t="str">
        <f>VLOOKUP($B464,'Afton Update'!$A$5:$CR$582,'Afton Update'!BU$589,0)</f>
        <v>Y</v>
      </c>
      <c r="K464" s="640" t="str">
        <f>VLOOKUP($B464,'Afton Update'!$A$5:$CR$582,'Afton Update'!BV$589,0)</f>
        <v>Y</v>
      </c>
      <c r="L464" s="641" t="str">
        <f>VLOOKUP($B464,'Afton Update'!$A$5:$CR$582,'Afton Update'!BW$589,0)</f>
        <v>Y</v>
      </c>
      <c r="N464" s="642">
        <f>VLOOKUP($B464,'Afton Update'!$A$5:$CR$582,'Afton Update'!CB$589,0)</f>
        <v>0.9</v>
      </c>
      <c r="P464" s="636">
        <f>VLOOKUP($B464,'Afton Update'!$A$5:$CR$582,'Afton Update'!AH$589,0)</f>
        <v>25044.932781518</v>
      </c>
      <c r="Q464" s="637">
        <f>VLOOKUP($B464,'Afton Update'!$A$5:$CR$582,'Afton Update'!AI$589,0)</f>
        <v>8847.8279797625</v>
      </c>
      <c r="R464" s="637">
        <f>VLOOKUP($B464,'Afton Update'!$A$5:$CR$582,'Afton Update'!AJ$589,0)</f>
        <v>10774.277830224166</v>
      </c>
      <c r="S464" s="637">
        <f>VLOOKUP($B464,'Afton Update'!$A$5:$CR$582,'Afton Update'!AK$589,0)</f>
        <v>8746.0985257463981</v>
      </c>
      <c r="T464" s="643">
        <f t="shared" si="1307"/>
        <v>53413.137117251063</v>
      </c>
      <c r="V464" s="636">
        <f t="shared" si="1333"/>
        <v>27301.254025103484</v>
      </c>
      <c r="W464" s="637">
        <f t="shared" si="1334"/>
        <v>8556.4128746110655</v>
      </c>
      <c r="X464" s="637">
        <f t="shared" si="1335"/>
        <v>11278.064264489349</v>
      </c>
      <c r="Y464" s="637">
        <f t="shared" si="1336"/>
        <v>9538.0702609032414</v>
      </c>
      <c r="Z464" s="643">
        <f t="shared" si="1337"/>
        <v>56673.801425107144</v>
      </c>
      <c r="AB464" s="644">
        <f t="shared" si="1308"/>
        <v>25044.932781518</v>
      </c>
      <c r="AC464" s="645">
        <f t="shared" ref="AC464:AC494" si="1427">IF(I464="N",0,D464*$N464)</f>
        <v>27301.254025103484</v>
      </c>
      <c r="AD464" s="644">
        <f t="shared" si="1338"/>
        <v>2256.3212435854839</v>
      </c>
      <c r="AE464" s="645">
        <f t="shared" si="1339"/>
        <v>0</v>
      </c>
      <c r="AF464" s="646">
        <f t="shared" si="1340"/>
        <v>0</v>
      </c>
      <c r="AG464" s="647">
        <f t="shared" si="1341"/>
        <v>27301.254025103484</v>
      </c>
      <c r="AH464" s="644">
        <f t="shared" si="1309"/>
        <v>0</v>
      </c>
      <c r="AI464" s="645">
        <f t="shared" si="1310"/>
        <v>0</v>
      </c>
      <c r="AJ464" s="646">
        <f t="shared" si="1342"/>
        <v>0</v>
      </c>
      <c r="AK464" s="647">
        <f t="shared" si="1311"/>
        <v>27301.254025103484</v>
      </c>
      <c r="AL464" s="644">
        <f t="shared" si="1343"/>
        <v>0</v>
      </c>
      <c r="AM464" s="645">
        <f t="shared" si="1344"/>
        <v>0</v>
      </c>
      <c r="AN464" s="646">
        <f t="shared" si="1345"/>
        <v>0</v>
      </c>
      <c r="AO464" s="647">
        <f t="shared" si="1312"/>
        <v>27301.254025103484</v>
      </c>
      <c r="AP464" s="644">
        <f t="shared" si="1346"/>
        <v>0</v>
      </c>
      <c r="AQ464" s="645">
        <f t="shared" si="1347"/>
        <v>0</v>
      </c>
      <c r="AR464" s="646">
        <f t="shared" si="1348"/>
        <v>0</v>
      </c>
      <c r="AS464" s="647">
        <f t="shared" si="1313"/>
        <v>27301.254025103484</v>
      </c>
      <c r="AT464" s="644">
        <f t="shared" si="1349"/>
        <v>0</v>
      </c>
      <c r="AU464" s="645">
        <f t="shared" si="1350"/>
        <v>0</v>
      </c>
      <c r="AV464" s="646">
        <f t="shared" si="1351"/>
        <v>0</v>
      </c>
      <c r="AW464" s="647">
        <f t="shared" si="1314"/>
        <v>27301.254025103484</v>
      </c>
      <c r="AY464" s="644">
        <f t="shared" si="1352"/>
        <v>8847.8279797625</v>
      </c>
      <c r="AZ464" s="645">
        <f t="shared" si="1405"/>
        <v>6713.3418703053485</v>
      </c>
      <c r="BA464" s="644">
        <f t="shared" si="1353"/>
        <v>0</v>
      </c>
      <c r="BB464" s="645">
        <f t="shared" si="1354"/>
        <v>8847.8279797625</v>
      </c>
      <c r="BC464" s="646">
        <f t="shared" si="1355"/>
        <v>-63.627309528911063</v>
      </c>
      <c r="BD464" s="647">
        <f t="shared" si="1356"/>
        <v>8784.2006702335893</v>
      </c>
      <c r="BE464" s="644">
        <f t="shared" si="1315"/>
        <v>0</v>
      </c>
      <c r="BF464" s="645">
        <f t="shared" si="1316"/>
        <v>8784.2006702335893</v>
      </c>
      <c r="BG464" s="646">
        <f t="shared" si="1357"/>
        <v>-209.23250135786847</v>
      </c>
      <c r="BH464" s="647">
        <f t="shared" si="1317"/>
        <v>8574.9681688757209</v>
      </c>
      <c r="BI464" s="644">
        <f t="shared" si="1358"/>
        <v>0</v>
      </c>
      <c r="BJ464" s="645">
        <f t="shared" si="1359"/>
        <v>8574.9681688757209</v>
      </c>
      <c r="BK464" s="646">
        <f t="shared" si="1360"/>
        <v>-18.16379660168047</v>
      </c>
      <c r="BL464" s="647">
        <f t="shared" si="1318"/>
        <v>8556.8043722740404</v>
      </c>
      <c r="BM464" s="644">
        <f t="shared" si="1361"/>
        <v>0</v>
      </c>
      <c r="BN464" s="645">
        <f t="shared" si="1362"/>
        <v>8556.8043722740404</v>
      </c>
      <c r="BO464" s="646">
        <f t="shared" si="1363"/>
        <v>-0.39149766297554961</v>
      </c>
      <c r="BP464" s="647">
        <f t="shared" si="1319"/>
        <v>8556.4128746110655</v>
      </c>
      <c r="BQ464" s="644">
        <f t="shared" si="1364"/>
        <v>0</v>
      </c>
      <c r="BR464" s="645">
        <f t="shared" si="1365"/>
        <v>8556.4128746110655</v>
      </c>
      <c r="BS464" s="646">
        <f t="shared" si="1366"/>
        <v>0</v>
      </c>
      <c r="BT464" s="647">
        <f t="shared" si="1320"/>
        <v>8556.4128746110655</v>
      </c>
      <c r="BU464" s="662">
        <f>VLOOKUP(B464,'Afton Update'!$A$5:$AR$582,'Afton Update'!$AO$589,0)-BT464</f>
        <v>0</v>
      </c>
      <c r="BV464" s="644">
        <f t="shared" si="1367"/>
        <v>10774.277830224166</v>
      </c>
      <c r="BW464" s="645">
        <f t="shared" ref="BW464:BW494" si="1428">IF($K464="N",0,F464*$N464)</f>
        <v>11278.064264489349</v>
      </c>
      <c r="BX464" s="644">
        <f t="shared" si="1368"/>
        <v>503.78643426518283</v>
      </c>
      <c r="BY464" s="645">
        <f t="shared" si="1369"/>
        <v>0</v>
      </c>
      <c r="BZ464" s="646">
        <f t="shared" si="1370"/>
        <v>0</v>
      </c>
      <c r="CA464" s="647">
        <f t="shared" si="1371"/>
        <v>11278.064264489349</v>
      </c>
      <c r="CB464" s="644">
        <f t="shared" si="1321"/>
        <v>0</v>
      </c>
      <c r="CC464" s="645">
        <f t="shared" si="1322"/>
        <v>0</v>
      </c>
      <c r="CD464" s="646">
        <f t="shared" si="1372"/>
        <v>0</v>
      </c>
      <c r="CE464" s="647">
        <f t="shared" si="1323"/>
        <v>11278.064264489349</v>
      </c>
      <c r="CF464" s="644">
        <f t="shared" si="1373"/>
        <v>0</v>
      </c>
      <c r="CG464" s="645">
        <f t="shared" si="1374"/>
        <v>0</v>
      </c>
      <c r="CH464" s="646">
        <f t="shared" si="1375"/>
        <v>0</v>
      </c>
      <c r="CI464" s="647">
        <f t="shared" si="1324"/>
        <v>11278.064264489349</v>
      </c>
      <c r="CJ464" s="644">
        <f t="shared" si="1376"/>
        <v>0</v>
      </c>
      <c r="CK464" s="645">
        <f t="shared" si="1377"/>
        <v>0</v>
      </c>
      <c r="CL464" s="646">
        <f t="shared" si="1378"/>
        <v>0</v>
      </c>
      <c r="CM464" s="647">
        <f t="shared" si="1325"/>
        <v>11278.064264489349</v>
      </c>
      <c r="CN464" s="644">
        <f t="shared" si="1379"/>
        <v>0</v>
      </c>
      <c r="CO464" s="645">
        <f t="shared" si="1380"/>
        <v>0</v>
      </c>
      <c r="CP464" s="646">
        <f t="shared" si="1381"/>
        <v>0</v>
      </c>
      <c r="CQ464" s="647">
        <f t="shared" si="1326"/>
        <v>11278.064264489349</v>
      </c>
      <c r="CS464" s="644">
        <f t="shared" si="1382"/>
        <v>8746.0985257463981</v>
      </c>
      <c r="CT464" s="645">
        <f t="shared" ref="CT464:CT494" si="1429">IF($L464="N",0,G464*$N464)</f>
        <v>9538.0702609032414</v>
      </c>
      <c r="CU464" s="644">
        <f t="shared" si="1383"/>
        <v>791.97173515684335</v>
      </c>
      <c r="CV464" s="645">
        <f t="shared" si="1384"/>
        <v>0</v>
      </c>
      <c r="CW464" s="646">
        <f t="shared" si="1385"/>
        <v>0</v>
      </c>
      <c r="CX464" s="647">
        <f t="shared" si="1386"/>
        <v>9538.0702609032414</v>
      </c>
      <c r="CY464" s="644">
        <f t="shared" si="1327"/>
        <v>0</v>
      </c>
      <c r="CZ464" s="645">
        <f t="shared" si="1328"/>
        <v>0</v>
      </c>
      <c r="DA464" s="646">
        <f t="shared" si="1387"/>
        <v>0</v>
      </c>
      <c r="DB464" s="647">
        <f t="shared" si="1329"/>
        <v>9538.0702609032414</v>
      </c>
      <c r="DC464" s="644">
        <f t="shared" si="1388"/>
        <v>0</v>
      </c>
      <c r="DD464" s="645">
        <f t="shared" si="1389"/>
        <v>0</v>
      </c>
      <c r="DE464" s="646">
        <f t="shared" si="1390"/>
        <v>0</v>
      </c>
      <c r="DF464" s="647">
        <f t="shared" si="1330"/>
        <v>9538.0702609032414</v>
      </c>
      <c r="DG464" s="644">
        <f t="shared" si="1391"/>
        <v>0</v>
      </c>
      <c r="DH464" s="645">
        <f t="shared" si="1392"/>
        <v>0</v>
      </c>
      <c r="DI464" s="646">
        <f t="shared" si="1393"/>
        <v>0</v>
      </c>
      <c r="DJ464" s="647">
        <f t="shared" si="1331"/>
        <v>9538.0702609032414</v>
      </c>
      <c r="DK464" s="644">
        <f t="shared" si="1394"/>
        <v>0</v>
      </c>
      <c r="DL464" s="645">
        <f t="shared" si="1395"/>
        <v>0</v>
      </c>
      <c r="DM464" s="646">
        <f t="shared" si="1396"/>
        <v>0</v>
      </c>
      <c r="DN464" s="647">
        <f t="shared" si="1332"/>
        <v>9538.0702609032414</v>
      </c>
      <c r="DR464" s="827">
        <f t="shared" si="1406"/>
        <v>56673.801425107144</v>
      </c>
      <c r="DV464" s="828">
        <f>IFERROR(VLOOKUP($B464,'Afton FY16 Final'!$A$5:$BV$587,'Afton FY16 Final'!$BV$587,0),0)</f>
        <v>58766.846627173392</v>
      </c>
      <c r="DX464" s="636">
        <f t="shared" si="1397"/>
        <v>0</v>
      </c>
      <c r="DY464" s="637">
        <f t="shared" si="1398"/>
        <v>0</v>
      </c>
      <c r="DZ464" s="637">
        <f t="shared" si="1399"/>
        <v>0</v>
      </c>
      <c r="EA464" s="643">
        <f t="shared" si="1400"/>
        <v>0</v>
      </c>
      <c r="EB464" s="637">
        <f t="shared" si="1407"/>
        <v>0</v>
      </c>
      <c r="EC464" s="637">
        <f t="shared" si="1408"/>
        <v>0</v>
      </c>
      <c r="ED464" s="637">
        <f t="shared" si="1409"/>
        <v>0</v>
      </c>
      <c r="EE464" s="643">
        <f t="shared" si="1410"/>
        <v>0</v>
      </c>
      <c r="EF464" s="637">
        <f t="shared" si="1411"/>
        <v>0</v>
      </c>
      <c r="EG464" s="637">
        <f t="shared" si="1412"/>
        <v>0</v>
      </c>
      <c r="EH464" s="637">
        <f t="shared" si="1413"/>
        <v>0</v>
      </c>
      <c r="EI464" s="643">
        <f t="shared" si="1414"/>
        <v>0</v>
      </c>
      <c r="EJ464" s="637">
        <f t="shared" si="1415"/>
        <v>0</v>
      </c>
      <c r="EK464" s="637">
        <f t="shared" si="1416"/>
        <v>0</v>
      </c>
      <c r="EL464" s="637">
        <f t="shared" si="1417"/>
        <v>0</v>
      </c>
      <c r="EM464" s="643">
        <f t="shared" si="1418"/>
        <v>0</v>
      </c>
      <c r="EN464" s="637">
        <f t="shared" si="1419"/>
        <v>0</v>
      </c>
      <c r="EO464" s="637">
        <f t="shared" si="1420"/>
        <v>0</v>
      </c>
      <c r="EP464" s="637">
        <f t="shared" si="1421"/>
        <v>0</v>
      </c>
      <c r="EQ464" s="643">
        <f t="shared" si="1422"/>
        <v>0</v>
      </c>
      <c r="ER464" s="637">
        <f t="shared" si="1423"/>
        <v>0</v>
      </c>
      <c r="ES464" s="637">
        <f t="shared" si="1424"/>
        <v>0</v>
      </c>
      <c r="ET464" s="637">
        <f t="shared" si="1425"/>
        <v>0</v>
      </c>
      <c r="EU464" s="643">
        <f t="shared" si="1401"/>
        <v>0</v>
      </c>
      <c r="EV464" s="643">
        <f t="shared" si="1402"/>
        <v>0</v>
      </c>
      <c r="EX464" s="829">
        <f t="shared" si="1403"/>
        <v>0</v>
      </c>
      <c r="EY464" s="638">
        <f t="shared" si="1404"/>
        <v>56673.801425107144</v>
      </c>
      <c r="FC464" s="830" t="str">
        <f t="shared" si="1426"/>
        <v>Y</v>
      </c>
      <c r="FE464" s="830" t="str">
        <f>IFERROR(VLOOKUP($B464,'Historical Conc Grant Elig'!$B$3:$J$707,'HH &amp; SI'!FE$2,0),"N")</f>
        <v>Y</v>
      </c>
      <c r="FF464" s="830" t="str">
        <f>IFERROR(VLOOKUP($B464,'Historical Conc Grant Elig'!$B$3:$J$707,'HH &amp; SI'!FF$2,0),"N")</f>
        <v>Y</v>
      </c>
      <c r="FG464" s="830" t="str">
        <f>IFERROR(VLOOKUP($B464,'Historical Conc Grant Elig'!$B$3:$J$707,'HH &amp; SI'!FG$2,0),"N")</f>
        <v>Y</v>
      </c>
      <c r="FH464" s="830" t="str">
        <f>IFERROR(VLOOKUP($B464,'Historical Conc Grant Elig'!$B$3:$J$707,'HH &amp; SI'!FH$2,0),"N")</f>
        <v>Y</v>
      </c>
      <c r="FI464" s="830" t="str">
        <f>IFERROR(VLOOKUP($B464,'Historical Conc Grant Elig'!$B$3:$J$707,'HH &amp; SI'!FI$2,0),"N")</f>
        <v>Y</v>
      </c>
      <c r="FJ464" s="830" t="str">
        <f>IFERROR(VLOOKUP($B464,'Historical Conc Grant Elig'!$B$3:$J$707,'HH &amp; SI'!FJ$2,0),"N")</f>
        <v>Y</v>
      </c>
      <c r="FK464" s="830" t="str">
        <f>IFERROR(VLOOKUP($B464,'Historical Conc Grant Elig'!$B$3:$J$707,'HH &amp; SI'!FK$2,0),"N")</f>
        <v>Y</v>
      </c>
      <c r="FL464" s="957" t="str">
        <f>IFERROR(VLOOKUP($B464,'Historical Conc Grant Elig'!$B$3:$J$707,'HH &amp; SI'!FL$2,0),"N")</f>
        <v>Y</v>
      </c>
    </row>
    <row r="465" spans="2:168" x14ac:dyDescent="0.25">
      <c r="B465" s="634">
        <v>138714000</v>
      </c>
      <c r="C465" s="635" t="str">
        <f>VLOOKUP($B465,'Afton Update'!$A$5:$CR$582,'Afton Update'!D$589,0)</f>
        <v>Desert Star Community School, Inc.</v>
      </c>
      <c r="D465" s="636">
        <f>IFERROR(VLOOKUP($B465,'Afton FY16 Final'!$A$5:$BV$587,'Afton FY16 Final'!AQ$587,0),0)</f>
        <v>32563.278902015973</v>
      </c>
      <c r="E465" s="637">
        <f>IFERROR(VLOOKUP($B465,'Afton FY16 Final'!$A$5:$BV$587,'Afton FY16 Final'!AR$587,0),0)</f>
        <v>7991.7970972664016</v>
      </c>
      <c r="F465" s="637">
        <f>IFERROR(VLOOKUP($B465,'Afton FY16 Final'!$A$5:$BV$587,'Afton FY16 Final'!AS$587,0),0)</f>
        <v>13688.362580932466</v>
      </c>
      <c r="G465" s="637">
        <f>IFERROR(VLOOKUP($B465,'Afton FY16 Final'!$A$5:$BV$587,'Afton FY16 Final'!AT$587,0),0)</f>
        <v>10868.242542240734</v>
      </c>
      <c r="H465" s="638">
        <f>IFERROR(VLOOKUP($B465,'Afton FY16 Final'!$A$5:$BV$587,'Afton FY16 Final'!AU$587,0),0)</f>
        <v>65111.681122455571</v>
      </c>
      <c r="I465" s="639" t="str">
        <f>VLOOKUP($B465,'Afton Update'!$A$5:$CR$582,'Afton Update'!BT$589,0)</f>
        <v>Y</v>
      </c>
      <c r="J465" s="640" t="str">
        <f>VLOOKUP($B465,'Afton Update'!$A$5:$CR$582,'Afton Update'!BU$589,0)</f>
        <v>Y</v>
      </c>
      <c r="K465" s="640" t="str">
        <f>VLOOKUP($B465,'Afton Update'!$A$5:$CR$582,'Afton Update'!BV$589,0)</f>
        <v>Y</v>
      </c>
      <c r="L465" s="641" t="str">
        <f>VLOOKUP($B465,'Afton Update'!$A$5:$CR$582,'Afton Update'!BW$589,0)</f>
        <v>Y</v>
      </c>
      <c r="N465" s="642">
        <f>VLOOKUP($B465,'Afton Update'!$A$5:$CR$582,'Afton Update'!CB$589,0)</f>
        <v>0.9</v>
      </c>
      <c r="P465" s="636">
        <f>VLOOKUP($B465,'Afton Update'!$A$5:$CR$582,'Afton Update'!AH$589,0)</f>
        <v>25258.678855000842</v>
      </c>
      <c r="Q465" s="637">
        <f>VLOOKUP($B465,'Afton Update'!$A$5:$CR$582,'Afton Update'!AI$589,0)</f>
        <v>8898.5953457283777</v>
      </c>
      <c r="R465" s="637">
        <f>VLOOKUP($B465,'Afton Update'!$A$5:$CR$582,'Afton Update'!AJ$589,0)</f>
        <v>10866.230945088308</v>
      </c>
      <c r="S465" s="637">
        <f>VLOOKUP($B465,'Afton Update'!$A$5:$CR$582,'Afton Update'!AK$589,0)</f>
        <v>8820.7421366708368</v>
      </c>
      <c r="T465" s="643">
        <f t="shared" ref="T465:T494" si="1430">SUM(P465:S465)</f>
        <v>53844.247282488366</v>
      </c>
      <c r="V465" s="636">
        <f t="shared" si="1333"/>
        <v>29306.951011814377</v>
      </c>
      <c r="W465" s="637">
        <f t="shared" si="1334"/>
        <v>8605.5081491523506</v>
      </c>
      <c r="X465" s="637">
        <f t="shared" si="1335"/>
        <v>12319.52632283922</v>
      </c>
      <c r="Y465" s="637">
        <f t="shared" si="1336"/>
        <v>9781.4182880166609</v>
      </c>
      <c r="Z465" s="643">
        <f t="shared" si="1337"/>
        <v>60013.40377182261</v>
      </c>
      <c r="AB465" s="644">
        <f t="shared" ref="AB465:AB494" si="1431">IF(P465="",0,P465)</f>
        <v>25258.678855000842</v>
      </c>
      <c r="AC465" s="645">
        <f t="shared" si="1427"/>
        <v>29306.951011814377</v>
      </c>
      <c r="AD465" s="644">
        <f t="shared" si="1338"/>
        <v>4048.2721568135348</v>
      </c>
      <c r="AE465" s="645">
        <f t="shared" si="1339"/>
        <v>0</v>
      </c>
      <c r="AF465" s="646">
        <f t="shared" si="1340"/>
        <v>0</v>
      </c>
      <c r="AG465" s="647">
        <f t="shared" si="1341"/>
        <v>29306.951011814377</v>
      </c>
      <c r="AH465" s="644">
        <f t="shared" ref="AH465:AH494" si="1432">IF(AG465-AC465&lt;0,AG465-AC465,0)</f>
        <v>0</v>
      </c>
      <c r="AI465" s="645">
        <f t="shared" ref="AI465:AI494" si="1433">IF(AND(AH465=0,AD465=0),AG465,0)</f>
        <v>0</v>
      </c>
      <c r="AJ465" s="646">
        <f t="shared" si="1342"/>
        <v>0</v>
      </c>
      <c r="AK465" s="647">
        <f t="shared" ref="AK465:AK494" si="1434">AG465-AH465+AJ465</f>
        <v>29306.951011814377</v>
      </c>
      <c r="AL465" s="644">
        <f t="shared" si="1343"/>
        <v>0</v>
      </c>
      <c r="AM465" s="645">
        <f t="shared" si="1344"/>
        <v>0</v>
      </c>
      <c r="AN465" s="646">
        <f t="shared" si="1345"/>
        <v>0</v>
      </c>
      <c r="AO465" s="647">
        <f t="shared" ref="AO465:AO494" si="1435">AK465-AL465+AN465</f>
        <v>29306.951011814377</v>
      </c>
      <c r="AP465" s="644">
        <f t="shared" si="1346"/>
        <v>0</v>
      </c>
      <c r="AQ465" s="645">
        <f t="shared" si="1347"/>
        <v>0</v>
      </c>
      <c r="AR465" s="646">
        <f t="shared" si="1348"/>
        <v>0</v>
      </c>
      <c r="AS465" s="647">
        <f t="shared" ref="AS465:AS494" si="1436">AO465-AP465+AR465</f>
        <v>29306.951011814377</v>
      </c>
      <c r="AT465" s="644">
        <f t="shared" si="1349"/>
        <v>0</v>
      </c>
      <c r="AU465" s="645">
        <f t="shared" si="1350"/>
        <v>0</v>
      </c>
      <c r="AV465" s="646">
        <f t="shared" si="1351"/>
        <v>0</v>
      </c>
      <c r="AW465" s="647">
        <f t="shared" ref="AW465:AW494" si="1437">AS465-AT465+AV465</f>
        <v>29306.951011814377</v>
      </c>
      <c r="AY465" s="644">
        <f t="shared" si="1352"/>
        <v>8898.5953457283777</v>
      </c>
      <c r="AZ465" s="645">
        <f t="shared" si="1405"/>
        <v>7192.6173875397617</v>
      </c>
      <c r="BA465" s="644">
        <f t="shared" si="1353"/>
        <v>0</v>
      </c>
      <c r="BB465" s="645">
        <f t="shared" si="1354"/>
        <v>8898.5953457283777</v>
      </c>
      <c r="BC465" s="646">
        <f t="shared" si="1355"/>
        <v>-63.992392452727714</v>
      </c>
      <c r="BD465" s="647">
        <f t="shared" si="1356"/>
        <v>8834.6029532756493</v>
      </c>
      <c r="BE465" s="644">
        <f t="shared" ref="BE465:BE494" si="1438">IF(BD465-AZ465&lt;0,BD465-AZ465,0)</f>
        <v>0</v>
      </c>
      <c r="BF465" s="645">
        <f t="shared" ref="BF465:BF494" si="1439">IF(AND(BE465=0,BA465=0),BD465,0)</f>
        <v>8834.6029532756493</v>
      </c>
      <c r="BG465" s="646">
        <f t="shared" si="1357"/>
        <v>-210.43304266503299</v>
      </c>
      <c r="BH465" s="647">
        <f t="shared" ref="BH465:BH494" si="1440">BD465-BE465+BG465</f>
        <v>8624.1699106106171</v>
      </c>
      <c r="BI465" s="644">
        <f t="shared" si="1358"/>
        <v>0</v>
      </c>
      <c r="BJ465" s="645">
        <f t="shared" si="1359"/>
        <v>8624.1699106106171</v>
      </c>
      <c r="BK465" s="646">
        <f t="shared" si="1360"/>
        <v>-18.268017446786914</v>
      </c>
      <c r="BL465" s="647">
        <f t="shared" ref="BL465:BL494" si="1441">BH465-BI465+BK465</f>
        <v>8605.9018931638293</v>
      </c>
      <c r="BM465" s="644">
        <f t="shared" si="1361"/>
        <v>0</v>
      </c>
      <c r="BN465" s="645">
        <f t="shared" si="1362"/>
        <v>8605.9018931638293</v>
      </c>
      <c r="BO465" s="646">
        <f t="shared" si="1363"/>
        <v>-0.39374401147786287</v>
      </c>
      <c r="BP465" s="647">
        <f t="shared" ref="BP465:BP494" si="1442">BL465-BM465+BO465</f>
        <v>8605.5081491523506</v>
      </c>
      <c r="BQ465" s="644">
        <f t="shared" si="1364"/>
        <v>0</v>
      </c>
      <c r="BR465" s="645">
        <f t="shared" si="1365"/>
        <v>8605.5081491523506</v>
      </c>
      <c r="BS465" s="646">
        <f t="shared" si="1366"/>
        <v>0</v>
      </c>
      <c r="BT465" s="647">
        <f t="shared" ref="BT465:BT494" si="1443">BP465-BQ465+BS465</f>
        <v>8605.5081491523506</v>
      </c>
      <c r="BU465" s="662">
        <f>VLOOKUP(B465,'Afton Update'!$A$5:$AR$582,'Afton Update'!$AO$589,0)-BT465</f>
        <v>0</v>
      </c>
      <c r="BV465" s="644">
        <f t="shared" si="1367"/>
        <v>10866.230945088308</v>
      </c>
      <c r="BW465" s="645">
        <f t="shared" si="1428"/>
        <v>12319.52632283922</v>
      </c>
      <c r="BX465" s="644">
        <f t="shared" si="1368"/>
        <v>1453.2953777509119</v>
      </c>
      <c r="BY465" s="645">
        <f t="shared" si="1369"/>
        <v>0</v>
      </c>
      <c r="BZ465" s="646">
        <f t="shared" si="1370"/>
        <v>0</v>
      </c>
      <c r="CA465" s="647">
        <f t="shared" si="1371"/>
        <v>12319.52632283922</v>
      </c>
      <c r="CB465" s="644">
        <f t="shared" ref="CB465:CB494" si="1444">IF(CA465-BW465&lt;0,CA465-BW465,0)</f>
        <v>0</v>
      </c>
      <c r="CC465" s="645">
        <f t="shared" ref="CC465:CC494" si="1445">IF(AND(CB465=0,BX465=0),CA465,0)</f>
        <v>0</v>
      </c>
      <c r="CD465" s="646">
        <f t="shared" si="1372"/>
        <v>0</v>
      </c>
      <c r="CE465" s="647">
        <f t="shared" ref="CE465:CE494" si="1446">CA465-CB465+CD465</f>
        <v>12319.52632283922</v>
      </c>
      <c r="CF465" s="644">
        <f t="shared" si="1373"/>
        <v>0</v>
      </c>
      <c r="CG465" s="645">
        <f t="shared" si="1374"/>
        <v>0</v>
      </c>
      <c r="CH465" s="646">
        <f t="shared" si="1375"/>
        <v>0</v>
      </c>
      <c r="CI465" s="647">
        <f t="shared" ref="CI465:CI494" si="1447">CE465-CF465+CH465</f>
        <v>12319.52632283922</v>
      </c>
      <c r="CJ465" s="644">
        <f t="shared" si="1376"/>
        <v>0</v>
      </c>
      <c r="CK465" s="645">
        <f t="shared" si="1377"/>
        <v>0</v>
      </c>
      <c r="CL465" s="646">
        <f t="shared" si="1378"/>
        <v>0</v>
      </c>
      <c r="CM465" s="647">
        <f t="shared" ref="CM465:CM494" si="1448">CI465-CJ465+CL465</f>
        <v>12319.52632283922</v>
      </c>
      <c r="CN465" s="644">
        <f t="shared" si="1379"/>
        <v>0</v>
      </c>
      <c r="CO465" s="645">
        <f t="shared" si="1380"/>
        <v>0</v>
      </c>
      <c r="CP465" s="646">
        <f t="shared" si="1381"/>
        <v>0</v>
      </c>
      <c r="CQ465" s="647">
        <f t="shared" ref="CQ465:CQ494" si="1449">CM465-CN465+CP465</f>
        <v>12319.52632283922</v>
      </c>
      <c r="CS465" s="644">
        <f t="shared" si="1382"/>
        <v>8820.7421366708368</v>
      </c>
      <c r="CT465" s="645">
        <f t="shared" si="1429"/>
        <v>9781.4182880166609</v>
      </c>
      <c r="CU465" s="644">
        <f t="shared" si="1383"/>
        <v>960.67615134582411</v>
      </c>
      <c r="CV465" s="645">
        <f t="shared" si="1384"/>
        <v>0</v>
      </c>
      <c r="CW465" s="646">
        <f t="shared" si="1385"/>
        <v>0</v>
      </c>
      <c r="CX465" s="647">
        <f t="shared" si="1386"/>
        <v>9781.4182880166609</v>
      </c>
      <c r="CY465" s="644">
        <f t="shared" ref="CY465:CY494" si="1450">IF(CX465-CT465&lt;0,CX465-CT465,0)</f>
        <v>0</v>
      </c>
      <c r="CZ465" s="645">
        <f t="shared" ref="CZ465:CZ494" si="1451">IF(AND(CY465=0,CU465=0),CX465,0)</f>
        <v>0</v>
      </c>
      <c r="DA465" s="646">
        <f t="shared" si="1387"/>
        <v>0</v>
      </c>
      <c r="DB465" s="647">
        <f t="shared" ref="DB465:DB494" si="1452">CX465-CY465+DA465</f>
        <v>9781.4182880166609</v>
      </c>
      <c r="DC465" s="644">
        <f t="shared" si="1388"/>
        <v>0</v>
      </c>
      <c r="DD465" s="645">
        <f t="shared" si="1389"/>
        <v>0</v>
      </c>
      <c r="DE465" s="646">
        <f t="shared" si="1390"/>
        <v>0</v>
      </c>
      <c r="DF465" s="647">
        <f t="shared" ref="DF465:DF494" si="1453">DB465-DC465+DE465</f>
        <v>9781.4182880166609</v>
      </c>
      <c r="DG465" s="644">
        <f t="shared" si="1391"/>
        <v>0</v>
      </c>
      <c r="DH465" s="645">
        <f t="shared" si="1392"/>
        <v>0</v>
      </c>
      <c r="DI465" s="646">
        <f t="shared" si="1393"/>
        <v>0</v>
      </c>
      <c r="DJ465" s="647">
        <f t="shared" ref="DJ465:DJ494" si="1454">DF465-DG465+DI465</f>
        <v>9781.4182880166609</v>
      </c>
      <c r="DK465" s="644">
        <f t="shared" si="1394"/>
        <v>0</v>
      </c>
      <c r="DL465" s="645">
        <f t="shared" si="1395"/>
        <v>0</v>
      </c>
      <c r="DM465" s="646">
        <f t="shared" si="1396"/>
        <v>0</v>
      </c>
      <c r="DN465" s="647">
        <f t="shared" ref="DN465:DN494" si="1455">DJ465-DK465+DM465</f>
        <v>9781.4182880166609</v>
      </c>
      <c r="DR465" s="827">
        <f t="shared" si="1406"/>
        <v>60013.40377182261</v>
      </c>
      <c r="DV465" s="828">
        <f>IFERROR(VLOOKUP($B465,'Afton FY16 Final'!$A$5:$BV$587,'Afton FY16 Final'!$BV$587,0),0)</f>
        <v>57808.128547709224</v>
      </c>
      <c r="DX465" s="636">
        <f t="shared" si="1397"/>
        <v>60013.40377182261</v>
      </c>
      <c r="DY465" s="637">
        <f t="shared" si="1398"/>
        <v>2205.2752241133858</v>
      </c>
      <c r="DZ465" s="637">
        <f t="shared" si="1399"/>
        <v>57808.128547709224</v>
      </c>
      <c r="EA465" s="643">
        <f t="shared" si="1400"/>
        <v>56821.363285440297</v>
      </c>
      <c r="EB465" s="637">
        <f t="shared" si="1407"/>
        <v>57808.128547709224</v>
      </c>
      <c r="EC465" s="637">
        <f t="shared" si="1408"/>
        <v>0</v>
      </c>
      <c r="ED465" s="637">
        <f t="shared" si="1409"/>
        <v>0</v>
      </c>
      <c r="EE465" s="643">
        <f t="shared" si="1410"/>
        <v>57808.128547709224</v>
      </c>
      <c r="EF465" s="637">
        <f t="shared" si="1411"/>
        <v>0</v>
      </c>
      <c r="EG465" s="637">
        <f t="shared" si="1412"/>
        <v>0</v>
      </c>
      <c r="EH465" s="637">
        <f t="shared" si="1413"/>
        <v>0</v>
      </c>
      <c r="EI465" s="643">
        <f t="shared" si="1414"/>
        <v>57808.128547709224</v>
      </c>
      <c r="EJ465" s="637">
        <f t="shared" si="1415"/>
        <v>0</v>
      </c>
      <c r="EK465" s="637">
        <f t="shared" si="1416"/>
        <v>0</v>
      </c>
      <c r="EL465" s="637">
        <f t="shared" si="1417"/>
        <v>0</v>
      </c>
      <c r="EM465" s="643">
        <f t="shared" si="1418"/>
        <v>57808.128547709224</v>
      </c>
      <c r="EN465" s="637">
        <f t="shared" si="1419"/>
        <v>0</v>
      </c>
      <c r="EO465" s="637">
        <f t="shared" si="1420"/>
        <v>0</v>
      </c>
      <c r="EP465" s="637">
        <f t="shared" si="1421"/>
        <v>0</v>
      </c>
      <c r="EQ465" s="643">
        <f t="shared" si="1422"/>
        <v>57808.128547709224</v>
      </c>
      <c r="ER465" s="637">
        <f t="shared" si="1423"/>
        <v>0</v>
      </c>
      <c r="ES465" s="637">
        <f t="shared" si="1424"/>
        <v>0</v>
      </c>
      <c r="ET465" s="637">
        <f t="shared" si="1425"/>
        <v>0</v>
      </c>
      <c r="EU465" s="643">
        <f t="shared" si="1401"/>
        <v>57808.128547709224</v>
      </c>
      <c r="EV465" s="643">
        <f t="shared" si="1402"/>
        <v>0</v>
      </c>
      <c r="EX465" s="829">
        <f t="shared" si="1403"/>
        <v>2205.2752241133858</v>
      </c>
      <c r="EY465" s="638">
        <f t="shared" si="1404"/>
        <v>57808.128547709224</v>
      </c>
      <c r="FC465" s="830" t="str">
        <f t="shared" si="1426"/>
        <v>Y</v>
      </c>
      <c r="FE465" s="830" t="str">
        <f>IFERROR(VLOOKUP($B465,'Historical Conc Grant Elig'!$B$3:$J$707,'HH &amp; SI'!FE$2,0),"N")</f>
        <v>Y</v>
      </c>
      <c r="FF465" s="830" t="str">
        <f>IFERROR(VLOOKUP($B465,'Historical Conc Grant Elig'!$B$3:$J$707,'HH &amp; SI'!FF$2,0),"N")</f>
        <v>Y</v>
      </c>
      <c r="FG465" s="830" t="str">
        <f>IFERROR(VLOOKUP($B465,'Historical Conc Grant Elig'!$B$3:$J$707,'HH &amp; SI'!FG$2,0),"N")</f>
        <v>Y</v>
      </c>
      <c r="FH465" s="830" t="str">
        <f>IFERROR(VLOOKUP($B465,'Historical Conc Grant Elig'!$B$3:$J$707,'HH &amp; SI'!FH$2,0),"N")</f>
        <v>Y</v>
      </c>
      <c r="FI465" s="830" t="str">
        <f>IFERROR(VLOOKUP($B465,'Historical Conc Grant Elig'!$B$3:$J$707,'HH &amp; SI'!FI$2,0),"N")</f>
        <v>Y</v>
      </c>
      <c r="FJ465" s="830" t="str">
        <f>IFERROR(VLOOKUP($B465,'Historical Conc Grant Elig'!$B$3:$J$707,'HH &amp; SI'!FJ$2,0),"N")</f>
        <v>Y</v>
      </c>
      <c r="FK465" s="830" t="str">
        <f>IFERROR(VLOOKUP($B465,'Historical Conc Grant Elig'!$B$3:$J$707,'HH &amp; SI'!FK$2,0),"N")</f>
        <v>Y</v>
      </c>
      <c r="FL465" s="957" t="str">
        <f>IFERROR(VLOOKUP($B465,'Historical Conc Grant Elig'!$B$3:$J$707,'HH &amp; SI'!FL$2,0),"N")</f>
        <v>Y</v>
      </c>
    </row>
    <row r="466" spans="2:168" x14ac:dyDescent="0.25">
      <c r="B466" s="634">
        <v>138751000</v>
      </c>
      <c r="C466" s="635" t="str">
        <f>VLOOKUP($B466,'Afton Update'!$A$5:$CR$582,'Afton Update'!D$589,0)</f>
        <v>Franklin Phonetic Primary School  Inc.</v>
      </c>
      <c r="D466" s="636">
        <f>IFERROR(VLOOKUP($B466,'Afton FY16 Final'!$A$5:$BV$587,'Afton FY16 Final'!AQ$587,0),0)</f>
        <v>71888.589320137049</v>
      </c>
      <c r="E466" s="637">
        <f>IFERROR(VLOOKUP($B466,'Afton FY16 Final'!$A$5:$BV$587,'Afton FY16 Final'!AR$587,0),0)</f>
        <v>16310.670914016157</v>
      </c>
      <c r="F466" s="637">
        <f>IFERROR(VLOOKUP($B466,'Afton FY16 Final'!$A$5:$BV$587,'Afton FY16 Final'!AS$587,0),0)</f>
        <v>29945.440351557292</v>
      </c>
      <c r="G466" s="637">
        <f>IFERROR(VLOOKUP($B466,'Afton FY16 Final'!$A$5:$BV$587,'Afton FY16 Final'!AT$587,0),0)</f>
        <v>25538.558809285358</v>
      </c>
      <c r="H466" s="638">
        <f>IFERROR(VLOOKUP($B466,'Afton FY16 Final'!$A$5:$BV$587,'Afton FY16 Final'!AU$587,0),0)</f>
        <v>143683.25939499587</v>
      </c>
      <c r="I466" s="639" t="str">
        <f>VLOOKUP($B466,'Afton Update'!$A$5:$CR$582,'Afton Update'!BT$589,0)</f>
        <v>Y</v>
      </c>
      <c r="J466" s="640" t="str">
        <f>VLOOKUP($B466,'Afton Update'!$A$5:$CR$582,'Afton Update'!BU$589,0)</f>
        <v>Y</v>
      </c>
      <c r="K466" s="640" t="str">
        <f>VLOOKUP($B466,'Afton Update'!$A$5:$CR$582,'Afton Update'!BV$589,0)</f>
        <v>Y</v>
      </c>
      <c r="L466" s="641" t="str">
        <f>VLOOKUP($B466,'Afton Update'!$A$5:$CR$582,'Afton Update'!BW$589,0)</f>
        <v>Y</v>
      </c>
      <c r="N466" s="642">
        <f>VLOOKUP($B466,'Afton Update'!$A$5:$CR$582,'Afton Update'!CB$589,0)</f>
        <v>0.9</v>
      </c>
      <c r="P466" s="636">
        <f>VLOOKUP($B466,'Afton Update'!$A$5:$CR$582,'Afton Update'!AH$589,0)</f>
        <v>53686.906628218661</v>
      </c>
      <c r="Q466" s="637">
        <f>VLOOKUP($B466,'Afton Update'!$A$5:$CR$582,'Afton Update'!AI$589,0)</f>
        <v>15650.6550191899</v>
      </c>
      <c r="R466" s="637">
        <f>VLOOKUP($B466,'Afton Update'!$A$5:$CR$582,'Afton Update'!AJ$589,0)</f>
        <v>23095.99522201917</v>
      </c>
      <c r="S466" s="637">
        <f>VLOOKUP($B466,'Afton Update'!$A$5:$CR$582,'Afton Update'!AK$589,0)</f>
        <v>18748.342389621215</v>
      </c>
      <c r="T466" s="643">
        <f t="shared" si="1430"/>
        <v>111181.89925904895</v>
      </c>
      <c r="V466" s="636">
        <f t="shared" ref="V466:V494" si="1456">AW466</f>
        <v>64699.730388123346</v>
      </c>
      <c r="W466" s="637">
        <f t="shared" ref="W466:W494" si="1457">BT466</f>
        <v>15135.179663143423</v>
      </c>
      <c r="X466" s="637">
        <f t="shared" ref="X466:X494" si="1458">CQ466</f>
        <v>26950.896316401562</v>
      </c>
      <c r="Y466" s="637">
        <f t="shared" ref="Y466:Y494" si="1459">DN466</f>
        <v>22984.702928356823</v>
      </c>
      <c r="Z466" s="643">
        <f t="shared" ref="Z466:Z494" si="1460">SUM(V466:Y466)</f>
        <v>129770.50929602515</v>
      </c>
      <c r="AB466" s="644">
        <f t="shared" si="1431"/>
        <v>53686.906628218661</v>
      </c>
      <c r="AC466" s="645">
        <f t="shared" si="1427"/>
        <v>64699.730388123346</v>
      </c>
      <c r="AD466" s="644">
        <f t="shared" ref="AD466:AD494" si="1461">IF($I466="N",0,MAX(AC466-AB466,0))</f>
        <v>11012.823759904684</v>
      </c>
      <c r="AE466" s="645">
        <f t="shared" ref="AE466:AE494" si="1462">IF(AD466=0,AB466,0)</f>
        <v>0</v>
      </c>
      <c r="AF466" s="646">
        <f t="shared" ref="AF466:AF494" si="1463">-IF(AD466=0,((AE466/AE$2)*AD$2),0)</f>
        <v>0</v>
      </c>
      <c r="AG466" s="647">
        <f t="shared" ref="AG466:AG494" si="1464">IF(AD466=0,AE466+AF466,AD466+AB466)</f>
        <v>64699.730388123346</v>
      </c>
      <c r="AH466" s="644">
        <f t="shared" si="1432"/>
        <v>0</v>
      </c>
      <c r="AI466" s="645">
        <f t="shared" si="1433"/>
        <v>0</v>
      </c>
      <c r="AJ466" s="646">
        <f t="shared" ref="AJ466:AJ494" si="1465">IF(AND(AH466=0,AD466=0),((AI466/AI$2))*AH$2,0)</f>
        <v>0</v>
      </c>
      <c r="AK466" s="647">
        <f t="shared" si="1434"/>
        <v>64699.730388123346</v>
      </c>
      <c r="AL466" s="644">
        <f t="shared" ref="AL466:AL494" si="1466">IF(AK466-AC466&lt;0,AK466-AC466,0)</f>
        <v>0</v>
      </c>
      <c r="AM466" s="645">
        <f t="shared" ref="AM466:AM494" si="1467">IF(AND(AH466=0,AD466=0,AL466=0),AK466,0)</f>
        <v>0</v>
      </c>
      <c r="AN466" s="646">
        <f t="shared" ref="AN466:AN494" si="1468">IF(AND(AL466=0,AH466=0,AD466=0),((AM466/AM$2))*AL$2,0)</f>
        <v>0</v>
      </c>
      <c r="AO466" s="647">
        <f t="shared" si="1435"/>
        <v>64699.730388123346</v>
      </c>
      <c r="AP466" s="644">
        <f t="shared" ref="AP466:AP494" si="1469">IF(AO466-AC466&lt;0,AO466-AC466,0)</f>
        <v>0</v>
      </c>
      <c r="AQ466" s="645">
        <f t="shared" ref="AQ466:AQ494" si="1470">IF(AND(AH466=0,AD466=0,AL466=0,AP466=0),AO466,0)</f>
        <v>0</v>
      </c>
      <c r="AR466" s="646">
        <f t="shared" ref="AR466:AR494" si="1471">IF(AND(AP466=0,AL466=0,AH466=0,AD466=0),((AQ466/AQ$2))*AP$2,0)</f>
        <v>0</v>
      </c>
      <c r="AS466" s="647">
        <f t="shared" si="1436"/>
        <v>64699.730388123346</v>
      </c>
      <c r="AT466" s="644">
        <f t="shared" ref="AT466:AT494" si="1472">IF(AS466-AC466&lt;0,AS466-AC466,0)</f>
        <v>0</v>
      </c>
      <c r="AU466" s="645">
        <f t="shared" ref="AU466:AU494" si="1473">IF(AND(AP466=0,AL466=0,AT466=0,AD466=0,AH466=0),AS466,0)</f>
        <v>0</v>
      </c>
      <c r="AV466" s="646">
        <f t="shared" ref="AV466:AV494" si="1474">IF(AND(AT466=0,AP466=0,AL466=0),((AU466/AU$2))*AT$2,0)</f>
        <v>0</v>
      </c>
      <c r="AW466" s="647">
        <f t="shared" si="1437"/>
        <v>64699.730388123346</v>
      </c>
      <c r="AY466" s="644">
        <f t="shared" ref="AY466:AY494" si="1475">IF(Q466="",0,Q466)</f>
        <v>15650.6550191899</v>
      </c>
      <c r="AZ466" s="645">
        <f t="shared" si="1405"/>
        <v>14679.603822614541</v>
      </c>
      <c r="BA466" s="644">
        <f t="shared" ref="BA466:BA494" si="1476">IF($J466="N",0,MAX(AZ466-AY466,0))</f>
        <v>0</v>
      </c>
      <c r="BB466" s="645">
        <f t="shared" ref="BB466:BB494" si="1477">IF(BA466=0,AY466,0)</f>
        <v>15650.6550191899</v>
      </c>
      <c r="BC466" s="646">
        <f t="shared" ref="BC466:BC494" si="1478">-IF(BA466=0,((BB466/BB$2)*BA$2),0)</f>
        <v>-112.54842132033987</v>
      </c>
      <c r="BD466" s="647">
        <f t="shared" ref="BD466:BD494" si="1479">IF(BA466=0,BB466+BC466,BA466+AY466)</f>
        <v>15538.106597869561</v>
      </c>
      <c r="BE466" s="644">
        <f t="shared" si="1438"/>
        <v>0</v>
      </c>
      <c r="BF466" s="645">
        <f t="shared" si="1439"/>
        <v>15538.106597869561</v>
      </c>
      <c r="BG466" s="646">
        <f t="shared" ref="BG466:BG494" si="1480">IF(AND(BE466=0,BA466=0),((BF466/BF$2))*BE$2,0)</f>
        <v>-370.10503651790958</v>
      </c>
      <c r="BH466" s="647">
        <f t="shared" si="1440"/>
        <v>15168.001561351652</v>
      </c>
      <c r="BI466" s="644">
        <f t="shared" ref="BI466:BI494" si="1481">IF(BH466-AZ466&lt;0,BH466-AZ466,0)</f>
        <v>0</v>
      </c>
      <c r="BJ466" s="645">
        <f t="shared" ref="BJ466:BJ494" si="1482">IF(AND(BE466=0,BA466=0,BI466=0),BH466,0)</f>
        <v>15168.001561351652</v>
      </c>
      <c r="BK466" s="646">
        <f t="shared" ref="BK466:BK494" si="1483">IF(AND(BI466=0,BE466=0,BA466=0),((BJ466/BJ$2))*BI$2,0)</f>
        <v>-32.129389845943365</v>
      </c>
      <c r="BL466" s="647">
        <f t="shared" si="1441"/>
        <v>15135.872171505709</v>
      </c>
      <c r="BM466" s="644">
        <f t="shared" ref="BM466:BM494" si="1484">IF(BL466-AZ466&lt;0,BL466-AZ466,0)</f>
        <v>0</v>
      </c>
      <c r="BN466" s="645">
        <f t="shared" ref="BN466:BN494" si="1485">IF(AND(BE466=0,BA466=0,BI466=0,BM466=0),BL466,0)</f>
        <v>15135.872171505709</v>
      </c>
      <c r="BO466" s="646">
        <f t="shared" ref="BO466:BO494" si="1486">IF(AND(BM466=0,BI466=0,BE466=0,BA466=0),((BN466/BN$2))*BM$2,0)</f>
        <v>-0.69250836228552803</v>
      </c>
      <c r="BP466" s="647">
        <f t="shared" si="1442"/>
        <v>15135.179663143423</v>
      </c>
      <c r="BQ466" s="644">
        <f t="shared" ref="BQ466:BQ494" si="1487">IF(BP466-AZ466&lt;0,BP466-AZ466,0)</f>
        <v>0</v>
      </c>
      <c r="BR466" s="645">
        <f t="shared" ref="BR466:BR494" si="1488">IF(AND(BM466=0,BI466=0,BQ466=0,BA466=0,BE466=0),BP466,0)</f>
        <v>15135.179663143423</v>
      </c>
      <c r="BS466" s="646">
        <f t="shared" ref="BS466:BS494" si="1489">IF(AND(BQ466=0,BM466=0,BI466=0),((BR466/BR$2))*BQ$2,0)</f>
        <v>0</v>
      </c>
      <c r="BT466" s="647">
        <f t="shared" si="1443"/>
        <v>15135.179663143423</v>
      </c>
      <c r="BU466" s="662">
        <f>VLOOKUP(B466,'Afton Update'!$A$5:$AR$582,'Afton Update'!$AO$589,0)-BT466</f>
        <v>0</v>
      </c>
      <c r="BV466" s="644">
        <f t="shared" ref="BV466:BV494" si="1490">IF(R466="",0,R466)</f>
        <v>23095.99522201917</v>
      </c>
      <c r="BW466" s="645">
        <f t="shared" si="1428"/>
        <v>26950.896316401562</v>
      </c>
      <c r="BX466" s="644">
        <f t="shared" ref="BX466:BX494" si="1491">IF($K466="N",0,MAX(BW466-BV466,0))</f>
        <v>3854.9010943823923</v>
      </c>
      <c r="BY466" s="645">
        <f t="shared" ref="BY466:BY494" si="1492">IF(BX466=0,BV466,0)</f>
        <v>0</v>
      </c>
      <c r="BZ466" s="646">
        <f t="shared" ref="BZ466:BZ494" si="1493">-IF(BX466=0,((BY466/BY$2)*BX$2),0)</f>
        <v>0</v>
      </c>
      <c r="CA466" s="647">
        <f t="shared" ref="CA466:CA494" si="1494">IF(BX466=0,BY466+BZ466,BX466+BV466)</f>
        <v>26950.896316401562</v>
      </c>
      <c r="CB466" s="644">
        <f t="shared" si="1444"/>
        <v>0</v>
      </c>
      <c r="CC466" s="645">
        <f t="shared" si="1445"/>
        <v>0</v>
      </c>
      <c r="CD466" s="646">
        <f t="shared" ref="CD466:CD494" si="1495">IF(AND(CB466=0,BX466=0),((CC466/CC$2))*CB$2,0)</f>
        <v>0</v>
      </c>
      <c r="CE466" s="647">
        <f t="shared" si="1446"/>
        <v>26950.896316401562</v>
      </c>
      <c r="CF466" s="644">
        <f t="shared" ref="CF466:CF494" si="1496">IF(CE466-BW466&lt;0,CE466-BW466,0)</f>
        <v>0</v>
      </c>
      <c r="CG466" s="645">
        <f t="shared" ref="CG466:CG494" si="1497">IF(AND(CB466=0,BX466=0,CF466=0),CE466,0)</f>
        <v>0</v>
      </c>
      <c r="CH466" s="646">
        <f t="shared" ref="CH466:CH494" si="1498">IF(AND(CF466=0,CB466=0,BX466=0),((CG466/CG$2))*CF$2,0)</f>
        <v>0</v>
      </c>
      <c r="CI466" s="647">
        <f t="shared" si="1447"/>
        <v>26950.896316401562</v>
      </c>
      <c r="CJ466" s="644">
        <f t="shared" ref="CJ466:CJ494" si="1499">IF(CI466-BW466&lt;0,CI466-BW466,0)</f>
        <v>0</v>
      </c>
      <c r="CK466" s="645">
        <f t="shared" ref="CK466:CK494" si="1500">IF(AND(CB466=0,BX466=0,CF466=0,CJ466=0),CI466,0)</f>
        <v>0</v>
      </c>
      <c r="CL466" s="646">
        <f t="shared" ref="CL466:CL494" si="1501">IF(AND(CJ466=0,CF466=0,CB466=0,BX466=0),((CK466/CK$2))*CJ$2,0)</f>
        <v>0</v>
      </c>
      <c r="CM466" s="647">
        <f t="shared" si="1448"/>
        <v>26950.896316401562</v>
      </c>
      <c r="CN466" s="644">
        <f t="shared" ref="CN466:CN494" si="1502">IF(CM466-BW466&lt;0,CM466-BW466,0)</f>
        <v>0</v>
      </c>
      <c r="CO466" s="645">
        <f t="shared" ref="CO466:CO494" si="1503">IF(AND(CJ466=0,CF466=0,CN466=0,BX466=0,CB466=0),CM466,0)</f>
        <v>0</v>
      </c>
      <c r="CP466" s="646">
        <f t="shared" ref="CP466:CP494" si="1504">IF(AND(CN466=0,CJ466=0,CF466=0),((CO466/CO$2))*CN$2,0)</f>
        <v>0</v>
      </c>
      <c r="CQ466" s="647">
        <f t="shared" si="1449"/>
        <v>26950.896316401562</v>
      </c>
      <c r="CS466" s="644">
        <f t="shared" ref="CS466:CS494" si="1505">IF(S466="",0,S466)</f>
        <v>18748.342389621215</v>
      </c>
      <c r="CT466" s="645">
        <f t="shared" si="1429"/>
        <v>22984.702928356823</v>
      </c>
      <c r="CU466" s="644">
        <f t="shared" ref="CU466:CU494" si="1506">IF($L466="N",0,MAX(CT466-CS466,0))</f>
        <v>4236.3605387356074</v>
      </c>
      <c r="CV466" s="645">
        <f t="shared" ref="CV466:CV494" si="1507">IF(CU466=0,CS466,0)</f>
        <v>0</v>
      </c>
      <c r="CW466" s="646">
        <f t="shared" ref="CW466:CW494" si="1508">-IF(CU466=0,((CV466/CV$2)*CU$2),0)</f>
        <v>0</v>
      </c>
      <c r="CX466" s="647">
        <f t="shared" ref="CX466:CX494" si="1509">IF(CU466=0,CV466+CW466,CU466+CS466)</f>
        <v>22984.702928356823</v>
      </c>
      <c r="CY466" s="644">
        <f t="shared" si="1450"/>
        <v>0</v>
      </c>
      <c r="CZ466" s="645">
        <f t="shared" si="1451"/>
        <v>0</v>
      </c>
      <c r="DA466" s="646">
        <f t="shared" ref="DA466:DA494" si="1510">IF(AND(CY466=0,CU466=0),((CZ466/CZ$2))*CY$2,0)</f>
        <v>0</v>
      </c>
      <c r="DB466" s="647">
        <f t="shared" si="1452"/>
        <v>22984.702928356823</v>
      </c>
      <c r="DC466" s="644">
        <f t="shared" ref="DC466:DC494" si="1511">IF(DB466-CT466&lt;0,DB466-CT466,0)</f>
        <v>0</v>
      </c>
      <c r="DD466" s="645">
        <f t="shared" ref="DD466:DD494" si="1512">IF(AND(CY466=0,CU466=0,DC466=0),DB466,0)</f>
        <v>0</v>
      </c>
      <c r="DE466" s="646">
        <f t="shared" ref="DE466:DE494" si="1513">IF(AND(DC466=0,CY466=0,CU466=0),((DD466/DD$2))*DC$2,0)</f>
        <v>0</v>
      </c>
      <c r="DF466" s="647">
        <f t="shared" si="1453"/>
        <v>22984.702928356823</v>
      </c>
      <c r="DG466" s="644">
        <f t="shared" ref="DG466:DG494" si="1514">IF(DF466-CT466&lt;0,DF466-CT466,0)</f>
        <v>0</v>
      </c>
      <c r="DH466" s="645">
        <f t="shared" ref="DH466:DH494" si="1515">IF(AND(CY466=0,CU466=0,DC466=0,DG466=0),DF466,0)</f>
        <v>0</v>
      </c>
      <c r="DI466" s="646">
        <f t="shared" ref="DI466:DI494" si="1516">IF(AND(DG466=0,DC466=0,CY466=0,CU466=0),((DH466/DH$2))*DG$2,0)</f>
        <v>0</v>
      </c>
      <c r="DJ466" s="647">
        <f t="shared" si="1454"/>
        <v>22984.702928356823</v>
      </c>
      <c r="DK466" s="644">
        <f t="shared" ref="DK466:DK494" si="1517">IF(DJ466-CT466&lt;0,DJ466-CT466,0)</f>
        <v>0</v>
      </c>
      <c r="DL466" s="645">
        <f t="shared" ref="DL466:DL494" si="1518">IF(AND(DG466=0,DC466=0,DK466=0,CU466=0,CY466=0),DJ466,0)</f>
        <v>0</v>
      </c>
      <c r="DM466" s="646">
        <f t="shared" ref="DM466:DM494" si="1519">IF(AND(DK466=0,DG466=0,DC466=0),((DL466/DL$2))*DK$2,0)</f>
        <v>0</v>
      </c>
      <c r="DN466" s="647">
        <f t="shared" si="1455"/>
        <v>22984.702928356823</v>
      </c>
      <c r="DR466" s="827">
        <f t="shared" si="1406"/>
        <v>129770.50929602515</v>
      </c>
      <c r="DV466" s="828">
        <f>IFERROR(VLOOKUP($B466,'Afton FY16 Final'!$A$5:$BV$587,'Afton FY16 Final'!$BV$587,0),0)</f>
        <v>140854.13604130363</v>
      </c>
      <c r="DX466" s="636">
        <f t="shared" si="1397"/>
        <v>0</v>
      </c>
      <c r="DY466" s="637">
        <f t="shared" si="1398"/>
        <v>0</v>
      </c>
      <c r="DZ466" s="637">
        <f t="shared" si="1399"/>
        <v>0</v>
      </c>
      <c r="EA466" s="643">
        <f t="shared" si="1400"/>
        <v>0</v>
      </c>
      <c r="EB466" s="637">
        <f t="shared" si="1407"/>
        <v>0</v>
      </c>
      <c r="EC466" s="637">
        <f t="shared" si="1408"/>
        <v>0</v>
      </c>
      <c r="ED466" s="637">
        <f t="shared" si="1409"/>
        <v>0</v>
      </c>
      <c r="EE466" s="643">
        <f t="shared" si="1410"/>
        <v>0</v>
      </c>
      <c r="EF466" s="637">
        <f t="shared" si="1411"/>
        <v>0</v>
      </c>
      <c r="EG466" s="637">
        <f t="shared" si="1412"/>
        <v>0</v>
      </c>
      <c r="EH466" s="637">
        <f t="shared" si="1413"/>
        <v>0</v>
      </c>
      <c r="EI466" s="643">
        <f t="shared" si="1414"/>
        <v>0</v>
      </c>
      <c r="EJ466" s="637">
        <f t="shared" si="1415"/>
        <v>0</v>
      </c>
      <c r="EK466" s="637">
        <f t="shared" si="1416"/>
        <v>0</v>
      </c>
      <c r="EL466" s="637">
        <f t="shared" si="1417"/>
        <v>0</v>
      </c>
      <c r="EM466" s="643">
        <f t="shared" si="1418"/>
        <v>0</v>
      </c>
      <c r="EN466" s="637">
        <f t="shared" si="1419"/>
        <v>0</v>
      </c>
      <c r="EO466" s="637">
        <f t="shared" si="1420"/>
        <v>0</v>
      </c>
      <c r="EP466" s="637">
        <f t="shared" si="1421"/>
        <v>0</v>
      </c>
      <c r="EQ466" s="643">
        <f t="shared" si="1422"/>
        <v>0</v>
      </c>
      <c r="ER466" s="637">
        <f t="shared" si="1423"/>
        <v>0</v>
      </c>
      <c r="ES466" s="637">
        <f t="shared" si="1424"/>
        <v>0</v>
      </c>
      <c r="ET466" s="637">
        <f t="shared" si="1425"/>
        <v>0</v>
      </c>
      <c r="EU466" s="643">
        <f t="shared" si="1401"/>
        <v>0</v>
      </c>
      <c r="EV466" s="643">
        <f t="shared" si="1402"/>
        <v>0</v>
      </c>
      <c r="EX466" s="829">
        <f t="shared" si="1403"/>
        <v>0</v>
      </c>
      <c r="EY466" s="638">
        <f t="shared" si="1404"/>
        <v>129770.50929602515</v>
      </c>
      <c r="FC466" s="830" t="str">
        <f t="shared" si="1426"/>
        <v>Y</v>
      </c>
      <c r="FE466" s="830" t="str">
        <f>IFERROR(VLOOKUP($B466,'Historical Conc Grant Elig'!$B$3:$J$707,'HH &amp; SI'!FE$2,0),"N")</f>
        <v>Y</v>
      </c>
      <c r="FF466" s="830" t="str">
        <f>IFERROR(VLOOKUP($B466,'Historical Conc Grant Elig'!$B$3:$J$707,'HH &amp; SI'!FF$2,0),"N")</f>
        <v>Y</v>
      </c>
      <c r="FG466" s="830" t="str">
        <f>IFERROR(VLOOKUP($B466,'Historical Conc Grant Elig'!$B$3:$J$707,'HH &amp; SI'!FG$2,0),"N")</f>
        <v>Y</v>
      </c>
      <c r="FH466" s="830" t="str">
        <f>IFERROR(VLOOKUP($B466,'Historical Conc Grant Elig'!$B$3:$J$707,'HH &amp; SI'!FH$2,0),"N")</f>
        <v>Y</v>
      </c>
      <c r="FI466" s="830" t="str">
        <f>IFERROR(VLOOKUP($B466,'Historical Conc Grant Elig'!$B$3:$J$707,'HH &amp; SI'!FI$2,0),"N")</f>
        <v>Y</v>
      </c>
      <c r="FJ466" s="830" t="str">
        <f>IFERROR(VLOOKUP($B466,'Historical Conc Grant Elig'!$B$3:$J$707,'HH &amp; SI'!FJ$2,0),"N")</f>
        <v>Y</v>
      </c>
      <c r="FK466" s="830" t="str">
        <f>IFERROR(VLOOKUP($B466,'Historical Conc Grant Elig'!$B$3:$J$707,'HH &amp; SI'!FK$2,0),"N")</f>
        <v>Y</v>
      </c>
      <c r="FL466" s="957" t="str">
        <f>IFERROR(VLOOKUP($B466,'Historical Conc Grant Elig'!$B$3:$J$707,'HH &amp; SI'!FL$2,0),"N")</f>
        <v>Y</v>
      </c>
    </row>
    <row r="467" spans="2:168" x14ac:dyDescent="0.25">
      <c r="B467" s="634">
        <v>138752000</v>
      </c>
      <c r="C467" s="635" t="str">
        <f>VLOOKUP($B467,'Afton Update'!$A$5:$CR$582,'Afton Update'!D$589,0)</f>
        <v>Skyview School  Inc.</v>
      </c>
      <c r="D467" s="636">
        <f>IFERROR(VLOOKUP($B467,'Afton FY16 Final'!$A$5:$BV$587,'Afton FY16 Final'!AQ$587,0),0)</f>
        <v>21928.154172319231</v>
      </c>
      <c r="E467" s="637">
        <f>IFERROR(VLOOKUP($B467,'Afton FY16 Final'!$A$5:$BV$587,'Afton FY16 Final'!AR$587,0),0)</f>
        <v>5210.7485323428427</v>
      </c>
      <c r="F467" s="637">
        <f>IFERROR(VLOOKUP($B467,'Afton FY16 Final'!$A$5:$BV$587,'Afton FY16 Final'!AS$587,0),0)</f>
        <v>8684.1617146380468</v>
      </c>
      <c r="G467" s="637">
        <f>IFERROR(VLOOKUP($B467,'Afton FY16 Final'!$A$5:$BV$587,'Afton FY16 Final'!AT$587,0),0)</f>
        <v>7277.3832363555375</v>
      </c>
      <c r="H467" s="638">
        <f>IFERROR(VLOOKUP($B467,'Afton FY16 Final'!$A$5:$BV$587,'Afton FY16 Final'!AU$587,0),0)</f>
        <v>43100.447655655662</v>
      </c>
      <c r="I467" s="639" t="str">
        <f>VLOOKUP($B467,'Afton Update'!$A$5:$CR$582,'Afton Update'!BT$589,0)</f>
        <v>Y</v>
      </c>
      <c r="J467" s="640" t="str">
        <f>VLOOKUP($B467,'Afton Update'!$A$5:$CR$582,'Afton Update'!BU$589,0)</f>
        <v>Y</v>
      </c>
      <c r="K467" s="640" t="str">
        <f>VLOOKUP($B467,'Afton Update'!$A$5:$CR$582,'Afton Update'!BV$589,0)</f>
        <v>Y</v>
      </c>
      <c r="L467" s="641" t="str">
        <f>VLOOKUP($B467,'Afton Update'!$A$5:$CR$582,'Afton Update'!BW$589,0)</f>
        <v>Y</v>
      </c>
      <c r="N467" s="642">
        <f>VLOOKUP($B467,'Afton Update'!$A$5:$CR$582,'Afton Update'!CB$589,0)</f>
        <v>0.9</v>
      </c>
      <c r="P467" s="636">
        <f>VLOOKUP($B467,'Afton Update'!$A$5:$CR$582,'Afton Update'!AH$589,0)</f>
        <v>18418.804503549934</v>
      </c>
      <c r="Q467" s="637">
        <f>VLOOKUP($B467,'Afton Update'!$A$5:$CR$582,'Afton Update'!AI$589,0)</f>
        <v>7274.0396348203412</v>
      </c>
      <c r="R467" s="637">
        <f>VLOOKUP($B467,'Afton Update'!$A$5:$CR$582,'Afton Update'!AJ$589,0)</f>
        <v>7923.7312694357679</v>
      </c>
      <c r="S467" s="637">
        <f>VLOOKUP($B467,'Afton Update'!$A$5:$CR$582,'Afton Update'!AK$589,0)</f>
        <v>6432.1465870887914</v>
      </c>
      <c r="T467" s="643">
        <f t="shared" si="1430"/>
        <v>40048.721994894833</v>
      </c>
      <c r="V467" s="636">
        <f t="shared" si="1456"/>
        <v>19735.338755087309</v>
      </c>
      <c r="W467" s="637">
        <f t="shared" si="1457"/>
        <v>7034.4593638311917</v>
      </c>
      <c r="X467" s="637">
        <f t="shared" si="1458"/>
        <v>7851.6680272441499</v>
      </c>
      <c r="Y467" s="637">
        <f t="shared" si="1459"/>
        <v>6549.6449127199839</v>
      </c>
      <c r="Z467" s="643">
        <f t="shared" si="1460"/>
        <v>41171.111058882634</v>
      </c>
      <c r="AB467" s="644">
        <f t="shared" si="1431"/>
        <v>18418.804503549934</v>
      </c>
      <c r="AC467" s="645">
        <f t="shared" si="1427"/>
        <v>19735.338755087309</v>
      </c>
      <c r="AD467" s="644">
        <f t="shared" si="1461"/>
        <v>1316.5342515373741</v>
      </c>
      <c r="AE467" s="645">
        <f t="shared" si="1462"/>
        <v>0</v>
      </c>
      <c r="AF467" s="646">
        <f t="shared" si="1463"/>
        <v>0</v>
      </c>
      <c r="AG467" s="647">
        <f t="shared" si="1464"/>
        <v>19735.338755087309</v>
      </c>
      <c r="AH467" s="644">
        <f t="shared" si="1432"/>
        <v>0</v>
      </c>
      <c r="AI467" s="645">
        <f t="shared" si="1433"/>
        <v>0</v>
      </c>
      <c r="AJ467" s="646">
        <f t="shared" si="1465"/>
        <v>0</v>
      </c>
      <c r="AK467" s="647">
        <f t="shared" si="1434"/>
        <v>19735.338755087309</v>
      </c>
      <c r="AL467" s="644">
        <f t="shared" si="1466"/>
        <v>0</v>
      </c>
      <c r="AM467" s="645">
        <f t="shared" si="1467"/>
        <v>0</v>
      </c>
      <c r="AN467" s="646">
        <f t="shared" si="1468"/>
        <v>0</v>
      </c>
      <c r="AO467" s="647">
        <f t="shared" si="1435"/>
        <v>19735.338755087309</v>
      </c>
      <c r="AP467" s="644">
        <f t="shared" si="1469"/>
        <v>0</v>
      </c>
      <c r="AQ467" s="645">
        <f t="shared" si="1470"/>
        <v>0</v>
      </c>
      <c r="AR467" s="646">
        <f t="shared" si="1471"/>
        <v>0</v>
      </c>
      <c r="AS467" s="647">
        <f t="shared" si="1436"/>
        <v>19735.338755087309</v>
      </c>
      <c r="AT467" s="644">
        <f t="shared" si="1472"/>
        <v>0</v>
      </c>
      <c r="AU467" s="645">
        <f t="shared" si="1473"/>
        <v>0</v>
      </c>
      <c r="AV467" s="646">
        <f t="shared" si="1474"/>
        <v>0</v>
      </c>
      <c r="AW467" s="647">
        <f t="shared" si="1437"/>
        <v>19735.338755087309</v>
      </c>
      <c r="AY467" s="644">
        <f t="shared" si="1475"/>
        <v>7274.0396348203412</v>
      </c>
      <c r="AZ467" s="645">
        <f t="shared" si="1405"/>
        <v>4689.6736791085586</v>
      </c>
      <c r="BA467" s="644">
        <f t="shared" si="1476"/>
        <v>0</v>
      </c>
      <c r="BB467" s="645">
        <f t="shared" si="1477"/>
        <v>7274.0396348203412</v>
      </c>
      <c r="BC467" s="646">
        <f t="shared" si="1478"/>
        <v>-52.309738890595455</v>
      </c>
      <c r="BD467" s="647">
        <f t="shared" si="1479"/>
        <v>7221.7298959297459</v>
      </c>
      <c r="BE467" s="644">
        <f t="shared" si="1438"/>
        <v>0</v>
      </c>
      <c r="BF467" s="645">
        <f t="shared" si="1439"/>
        <v>7221.7298959297459</v>
      </c>
      <c r="BG467" s="646">
        <f t="shared" si="1480"/>
        <v>-172.01572083576946</v>
      </c>
      <c r="BH467" s="647">
        <f t="shared" si="1440"/>
        <v>7049.7141750939763</v>
      </c>
      <c r="BI467" s="644">
        <f t="shared" si="1481"/>
        <v>0</v>
      </c>
      <c r="BJ467" s="645">
        <f t="shared" si="1482"/>
        <v>7049.7141750939763</v>
      </c>
      <c r="BK467" s="646">
        <f t="shared" si="1483"/>
        <v>-14.932950403380845</v>
      </c>
      <c r="BL467" s="647">
        <f t="shared" si="1441"/>
        <v>7034.7812246905951</v>
      </c>
      <c r="BM467" s="644">
        <f t="shared" si="1484"/>
        <v>0</v>
      </c>
      <c r="BN467" s="645">
        <f t="shared" si="1485"/>
        <v>7034.7812246905951</v>
      </c>
      <c r="BO467" s="646">
        <f t="shared" si="1486"/>
        <v>-0.32186085940383818</v>
      </c>
      <c r="BP467" s="647">
        <f t="shared" si="1442"/>
        <v>7034.4593638311917</v>
      </c>
      <c r="BQ467" s="644">
        <f t="shared" si="1487"/>
        <v>0</v>
      </c>
      <c r="BR467" s="645">
        <f t="shared" si="1488"/>
        <v>7034.4593638311917</v>
      </c>
      <c r="BS467" s="646">
        <f t="shared" si="1489"/>
        <v>0</v>
      </c>
      <c r="BT467" s="647">
        <f t="shared" si="1443"/>
        <v>7034.4593638311917</v>
      </c>
      <c r="BU467" s="662">
        <f>VLOOKUP(B467,'Afton Update'!$A$5:$AR$582,'Afton Update'!$AO$589,0)-BT467</f>
        <v>0</v>
      </c>
      <c r="BV467" s="644">
        <f t="shared" si="1490"/>
        <v>7923.7312694357679</v>
      </c>
      <c r="BW467" s="645">
        <f t="shared" si="1428"/>
        <v>7815.7455431742419</v>
      </c>
      <c r="BX467" s="644">
        <f t="shared" si="1491"/>
        <v>0</v>
      </c>
      <c r="BY467" s="645">
        <f t="shared" si="1492"/>
        <v>7923.7312694357679</v>
      </c>
      <c r="BZ467" s="646">
        <f t="shared" si="1493"/>
        <v>-69.547431793534926</v>
      </c>
      <c r="CA467" s="647">
        <f t="shared" si="1494"/>
        <v>7854.1838376422329</v>
      </c>
      <c r="CB467" s="644">
        <f t="shared" si="1444"/>
        <v>0</v>
      </c>
      <c r="CC467" s="645">
        <f t="shared" si="1445"/>
        <v>7854.1838376422329</v>
      </c>
      <c r="CD467" s="646">
        <f t="shared" si="1495"/>
        <v>-2.515810398083425</v>
      </c>
      <c r="CE467" s="647">
        <f t="shared" si="1446"/>
        <v>7851.6680272441499</v>
      </c>
      <c r="CF467" s="644">
        <f t="shared" si="1496"/>
        <v>0</v>
      </c>
      <c r="CG467" s="645">
        <f t="shared" si="1497"/>
        <v>7851.6680272441499</v>
      </c>
      <c r="CH467" s="646">
        <f t="shared" si="1498"/>
        <v>0</v>
      </c>
      <c r="CI467" s="647">
        <f t="shared" si="1447"/>
        <v>7851.6680272441499</v>
      </c>
      <c r="CJ467" s="644">
        <f t="shared" si="1499"/>
        <v>0</v>
      </c>
      <c r="CK467" s="645">
        <f t="shared" si="1500"/>
        <v>7851.6680272441499</v>
      </c>
      <c r="CL467" s="646">
        <f t="shared" si="1501"/>
        <v>0</v>
      </c>
      <c r="CM467" s="647">
        <f t="shared" si="1448"/>
        <v>7851.6680272441499</v>
      </c>
      <c r="CN467" s="644">
        <f t="shared" si="1502"/>
        <v>0</v>
      </c>
      <c r="CO467" s="645">
        <f t="shared" si="1503"/>
        <v>7851.6680272441499</v>
      </c>
      <c r="CP467" s="646">
        <f t="shared" si="1504"/>
        <v>0</v>
      </c>
      <c r="CQ467" s="647">
        <f t="shared" si="1449"/>
        <v>7851.6680272441499</v>
      </c>
      <c r="CS467" s="644">
        <f t="shared" si="1505"/>
        <v>6432.1465870887914</v>
      </c>
      <c r="CT467" s="645">
        <f t="shared" si="1429"/>
        <v>6549.6449127199839</v>
      </c>
      <c r="CU467" s="644">
        <f t="shared" si="1506"/>
        <v>117.49832563119253</v>
      </c>
      <c r="CV467" s="645">
        <f t="shared" si="1507"/>
        <v>0</v>
      </c>
      <c r="CW467" s="646">
        <f t="shared" si="1508"/>
        <v>0</v>
      </c>
      <c r="CX467" s="647">
        <f t="shared" si="1509"/>
        <v>6549.6449127199839</v>
      </c>
      <c r="CY467" s="644">
        <f t="shared" si="1450"/>
        <v>0</v>
      </c>
      <c r="CZ467" s="645">
        <f t="shared" si="1451"/>
        <v>0</v>
      </c>
      <c r="DA467" s="646">
        <f t="shared" si="1510"/>
        <v>0</v>
      </c>
      <c r="DB467" s="647">
        <f t="shared" si="1452"/>
        <v>6549.6449127199839</v>
      </c>
      <c r="DC467" s="644">
        <f t="shared" si="1511"/>
        <v>0</v>
      </c>
      <c r="DD467" s="645">
        <f t="shared" si="1512"/>
        <v>0</v>
      </c>
      <c r="DE467" s="646">
        <f t="shared" si="1513"/>
        <v>0</v>
      </c>
      <c r="DF467" s="647">
        <f t="shared" si="1453"/>
        <v>6549.6449127199839</v>
      </c>
      <c r="DG467" s="644">
        <f t="shared" si="1514"/>
        <v>0</v>
      </c>
      <c r="DH467" s="645">
        <f t="shared" si="1515"/>
        <v>0</v>
      </c>
      <c r="DI467" s="646">
        <f t="shared" si="1516"/>
        <v>0</v>
      </c>
      <c r="DJ467" s="647">
        <f t="shared" si="1454"/>
        <v>6549.6449127199839</v>
      </c>
      <c r="DK467" s="644">
        <f t="shared" si="1517"/>
        <v>0</v>
      </c>
      <c r="DL467" s="645">
        <f t="shared" si="1518"/>
        <v>0</v>
      </c>
      <c r="DM467" s="646">
        <f t="shared" si="1519"/>
        <v>0</v>
      </c>
      <c r="DN467" s="647">
        <f t="shared" si="1455"/>
        <v>6549.6449127199839</v>
      </c>
      <c r="DR467" s="827">
        <f t="shared" si="1406"/>
        <v>41171.111058882634</v>
      </c>
      <c r="DV467" s="828">
        <f>IFERROR(VLOOKUP($B467,'Afton FY16 Final'!$A$5:$BV$587,'Afton FY16 Final'!$BV$587,0),0)</f>
        <v>42251.799848453615</v>
      </c>
      <c r="DX467" s="636">
        <f t="shared" si="1397"/>
        <v>0</v>
      </c>
      <c r="DY467" s="637">
        <f t="shared" si="1398"/>
        <v>0</v>
      </c>
      <c r="DZ467" s="637">
        <f t="shared" si="1399"/>
        <v>0</v>
      </c>
      <c r="EA467" s="643">
        <f t="shared" si="1400"/>
        <v>0</v>
      </c>
      <c r="EB467" s="637">
        <f t="shared" si="1407"/>
        <v>0</v>
      </c>
      <c r="EC467" s="637">
        <f t="shared" si="1408"/>
        <v>0</v>
      </c>
      <c r="ED467" s="637">
        <f t="shared" si="1409"/>
        <v>0</v>
      </c>
      <c r="EE467" s="643">
        <f t="shared" si="1410"/>
        <v>0</v>
      </c>
      <c r="EF467" s="637">
        <f t="shared" si="1411"/>
        <v>0</v>
      </c>
      <c r="EG467" s="637">
        <f t="shared" si="1412"/>
        <v>0</v>
      </c>
      <c r="EH467" s="637">
        <f t="shared" si="1413"/>
        <v>0</v>
      </c>
      <c r="EI467" s="643">
        <f t="shared" si="1414"/>
        <v>0</v>
      </c>
      <c r="EJ467" s="637">
        <f t="shared" si="1415"/>
        <v>0</v>
      </c>
      <c r="EK467" s="637">
        <f t="shared" si="1416"/>
        <v>0</v>
      </c>
      <c r="EL467" s="637">
        <f t="shared" si="1417"/>
        <v>0</v>
      </c>
      <c r="EM467" s="643">
        <f t="shared" si="1418"/>
        <v>0</v>
      </c>
      <c r="EN467" s="637">
        <f t="shared" si="1419"/>
        <v>0</v>
      </c>
      <c r="EO467" s="637">
        <f t="shared" si="1420"/>
        <v>0</v>
      </c>
      <c r="EP467" s="637">
        <f t="shared" si="1421"/>
        <v>0</v>
      </c>
      <c r="EQ467" s="643">
        <f t="shared" si="1422"/>
        <v>0</v>
      </c>
      <c r="ER467" s="637">
        <f t="shared" si="1423"/>
        <v>0</v>
      </c>
      <c r="ES467" s="637">
        <f t="shared" si="1424"/>
        <v>0</v>
      </c>
      <c r="ET467" s="637">
        <f t="shared" si="1425"/>
        <v>0</v>
      </c>
      <c r="EU467" s="643">
        <f t="shared" si="1401"/>
        <v>0</v>
      </c>
      <c r="EV467" s="643">
        <f t="shared" si="1402"/>
        <v>0</v>
      </c>
      <c r="EX467" s="829">
        <f t="shared" si="1403"/>
        <v>0</v>
      </c>
      <c r="EY467" s="638">
        <f t="shared" si="1404"/>
        <v>41171.111058882634</v>
      </c>
      <c r="FC467" s="830" t="str">
        <f t="shared" si="1426"/>
        <v>Y</v>
      </c>
      <c r="FE467" s="830" t="str">
        <f>IFERROR(VLOOKUP($B467,'Historical Conc Grant Elig'!$B$3:$J$707,'HH &amp; SI'!FE$2,0),"N")</f>
        <v>Y</v>
      </c>
      <c r="FF467" s="830" t="str">
        <f>IFERROR(VLOOKUP($B467,'Historical Conc Grant Elig'!$B$3:$J$707,'HH &amp; SI'!FF$2,0),"N")</f>
        <v>Y</v>
      </c>
      <c r="FG467" s="830" t="str">
        <f>IFERROR(VLOOKUP($B467,'Historical Conc Grant Elig'!$B$3:$J$707,'HH &amp; SI'!FG$2,0),"N")</f>
        <v>Y</v>
      </c>
      <c r="FH467" s="830" t="str">
        <f>IFERROR(VLOOKUP($B467,'Historical Conc Grant Elig'!$B$3:$J$707,'HH &amp; SI'!FH$2,0),"N")</f>
        <v>Y</v>
      </c>
      <c r="FI467" s="830" t="str">
        <f>IFERROR(VLOOKUP($B467,'Historical Conc Grant Elig'!$B$3:$J$707,'HH &amp; SI'!FI$2,0),"N")</f>
        <v>Y</v>
      </c>
      <c r="FJ467" s="830" t="str">
        <f>IFERROR(VLOOKUP($B467,'Historical Conc Grant Elig'!$B$3:$J$707,'HH &amp; SI'!FJ$2,0),"N")</f>
        <v>Y</v>
      </c>
      <c r="FK467" s="830" t="str">
        <f>IFERROR(VLOOKUP($B467,'Historical Conc Grant Elig'!$B$3:$J$707,'HH &amp; SI'!FK$2,0),"N")</f>
        <v>Y</v>
      </c>
      <c r="FL467" s="957" t="str">
        <f>IFERROR(VLOOKUP($B467,'Historical Conc Grant Elig'!$B$3:$J$707,'HH &amp; SI'!FL$2,0),"N")</f>
        <v>Y</v>
      </c>
    </row>
    <row r="468" spans="2:168" x14ac:dyDescent="0.25">
      <c r="B468" s="634">
        <v>138754000</v>
      </c>
      <c r="C468" s="635" t="str">
        <f>VLOOKUP($B468,'Afton Update'!$A$5:$CR$582,'Afton Update'!D$589,0)</f>
        <v>American Heritage Academy</v>
      </c>
      <c r="D468" s="636">
        <f>IFERROR(VLOOKUP($B468,'Afton FY16 Final'!$A$5:$BV$587,'Afton FY16 Final'!AQ$587,0),0)</f>
        <v>49562.699017578256</v>
      </c>
      <c r="E468" s="637">
        <f>IFERROR(VLOOKUP($B468,'Afton FY16 Final'!$A$5:$BV$587,'Afton FY16 Final'!AR$587,0),0)</f>
        <v>11666.96393946408</v>
      </c>
      <c r="F468" s="637">
        <f>IFERROR(VLOOKUP($B468,'Afton FY16 Final'!$A$5:$BV$587,'Afton FY16 Final'!AS$587,0),0)</f>
        <v>20645.513580516697</v>
      </c>
      <c r="G468" s="637">
        <f>IFERROR(VLOOKUP($B468,'Afton FY16 Final'!$A$5:$BV$587,'Afton FY16 Final'!AT$587,0),0)</f>
        <v>17607.243591477381</v>
      </c>
      <c r="H468" s="638">
        <f>IFERROR(VLOOKUP($B468,'Afton FY16 Final'!$A$5:$BV$587,'Afton FY16 Final'!AU$587,0),0)</f>
        <v>99482.420129036414</v>
      </c>
      <c r="I468" s="639" t="str">
        <f>VLOOKUP($B468,'Afton Update'!$A$5:$CR$582,'Afton Update'!BT$589,0)</f>
        <v>Y</v>
      </c>
      <c r="J468" s="640" t="str">
        <f>VLOOKUP($B468,'Afton Update'!$A$5:$CR$582,'Afton Update'!BU$589,0)</f>
        <v>Y</v>
      </c>
      <c r="K468" s="640" t="str">
        <f>VLOOKUP($B468,'Afton Update'!$A$5:$CR$582,'Afton Update'!BV$589,0)</f>
        <v>Y</v>
      </c>
      <c r="L468" s="641" t="str">
        <f>VLOOKUP($B468,'Afton Update'!$A$5:$CR$582,'Afton Update'!BW$589,0)</f>
        <v>Y</v>
      </c>
      <c r="N468" s="642">
        <f>VLOOKUP($B468,'Afton Update'!$A$5:$CR$582,'Afton Update'!CB$589,0)</f>
        <v>0.9</v>
      </c>
      <c r="P468" s="636">
        <f>VLOOKUP($B468,'Afton Update'!$A$5:$CR$582,'Afton Update'!AH$589,0)</f>
        <v>54541.890922150029</v>
      </c>
      <c r="Q468" s="637">
        <f>VLOOKUP($B468,'Afton Update'!$A$5:$CR$582,'Afton Update'!AI$589,0)</f>
        <v>15853.724483053404</v>
      </c>
      <c r="R468" s="637">
        <f>VLOOKUP($B468,'Afton Update'!$A$5:$CR$582,'Afton Update'!AJ$589,0)</f>
        <v>23463.807681475737</v>
      </c>
      <c r="S468" s="637">
        <f>VLOOKUP($B468,'Afton Update'!$A$5:$CR$582,'Afton Update'!AK$589,0)</f>
        <v>19046.91683331897</v>
      </c>
      <c r="T468" s="643">
        <f t="shared" si="1430"/>
        <v>112906.33991999814</v>
      </c>
      <c r="V468" s="636">
        <f t="shared" si="1456"/>
        <v>53797.904128812363</v>
      </c>
      <c r="W468" s="637">
        <f t="shared" si="1457"/>
        <v>15331.560761308565</v>
      </c>
      <c r="X468" s="637">
        <f t="shared" si="1458"/>
        <v>23250.413511710038</v>
      </c>
      <c r="Y468" s="637">
        <f t="shared" si="1459"/>
        <v>18837.054096017484</v>
      </c>
      <c r="Z468" s="643">
        <f t="shared" si="1460"/>
        <v>111216.93249784845</v>
      </c>
      <c r="AB468" s="644">
        <f t="shared" si="1431"/>
        <v>54541.890922150029</v>
      </c>
      <c r="AC468" s="645">
        <f t="shared" si="1427"/>
        <v>44606.429115820429</v>
      </c>
      <c r="AD468" s="644">
        <f t="shared" si="1461"/>
        <v>0</v>
      </c>
      <c r="AE468" s="645">
        <f t="shared" si="1462"/>
        <v>54541.890922150029</v>
      </c>
      <c r="AF468" s="646">
        <f t="shared" si="1463"/>
        <v>-676.08772512002008</v>
      </c>
      <c r="AG468" s="647">
        <f t="shared" si="1464"/>
        <v>53865.803197030007</v>
      </c>
      <c r="AH468" s="644">
        <f t="shared" si="1432"/>
        <v>0</v>
      </c>
      <c r="AI468" s="645">
        <f t="shared" si="1433"/>
        <v>53865.803197030007</v>
      </c>
      <c r="AJ468" s="646">
        <f t="shared" si="1465"/>
        <v>-67.855809929832972</v>
      </c>
      <c r="AK468" s="647">
        <f t="shared" si="1434"/>
        <v>53797.947387100176</v>
      </c>
      <c r="AL468" s="644">
        <f t="shared" si="1466"/>
        <v>0</v>
      </c>
      <c r="AM468" s="645">
        <f t="shared" si="1467"/>
        <v>53797.947387100176</v>
      </c>
      <c r="AN468" s="646">
        <f t="shared" si="1468"/>
        <v>-4.3258287814424305E-2</v>
      </c>
      <c r="AO468" s="647">
        <f t="shared" si="1435"/>
        <v>53797.904128812363</v>
      </c>
      <c r="AP468" s="644">
        <f t="shared" si="1469"/>
        <v>0</v>
      </c>
      <c r="AQ468" s="645">
        <f t="shared" si="1470"/>
        <v>53797.904128812363</v>
      </c>
      <c r="AR468" s="646">
        <f t="shared" si="1471"/>
        <v>0</v>
      </c>
      <c r="AS468" s="647">
        <f t="shared" si="1436"/>
        <v>53797.904128812363</v>
      </c>
      <c r="AT468" s="644">
        <f t="shared" si="1472"/>
        <v>0</v>
      </c>
      <c r="AU468" s="645">
        <f t="shared" si="1473"/>
        <v>53797.904128812363</v>
      </c>
      <c r="AV468" s="646">
        <f t="shared" si="1474"/>
        <v>0</v>
      </c>
      <c r="AW468" s="647">
        <f t="shared" si="1437"/>
        <v>53797.904128812363</v>
      </c>
      <c r="AY468" s="644">
        <f t="shared" si="1475"/>
        <v>15853.724483053404</v>
      </c>
      <c r="AZ468" s="645">
        <f t="shared" si="1405"/>
        <v>10500.267545517672</v>
      </c>
      <c r="BA468" s="644">
        <f t="shared" si="1476"/>
        <v>0</v>
      </c>
      <c r="BB468" s="645">
        <f t="shared" si="1477"/>
        <v>15853.724483053404</v>
      </c>
      <c r="BC468" s="646">
        <f t="shared" si="1478"/>
        <v>-114.00875301560639</v>
      </c>
      <c r="BD468" s="647">
        <f t="shared" si="1479"/>
        <v>15739.715730037797</v>
      </c>
      <c r="BE468" s="644">
        <f t="shared" si="1438"/>
        <v>0</v>
      </c>
      <c r="BF468" s="645">
        <f t="shared" si="1439"/>
        <v>15739.715730037797</v>
      </c>
      <c r="BG468" s="646">
        <f t="shared" si="1480"/>
        <v>-374.90720174656741</v>
      </c>
      <c r="BH468" s="647">
        <f t="shared" si="1440"/>
        <v>15364.808528291229</v>
      </c>
      <c r="BI468" s="644">
        <f t="shared" si="1481"/>
        <v>0</v>
      </c>
      <c r="BJ468" s="645">
        <f t="shared" si="1482"/>
        <v>15364.808528291229</v>
      </c>
      <c r="BK468" s="646">
        <f t="shared" si="1483"/>
        <v>-32.546273226369117</v>
      </c>
      <c r="BL468" s="647">
        <f t="shared" si="1441"/>
        <v>15332.262255064859</v>
      </c>
      <c r="BM468" s="644">
        <f t="shared" si="1484"/>
        <v>0</v>
      </c>
      <c r="BN468" s="645">
        <f t="shared" si="1485"/>
        <v>15332.262255064859</v>
      </c>
      <c r="BO468" s="646">
        <f t="shared" si="1486"/>
        <v>-0.70149375629478095</v>
      </c>
      <c r="BP468" s="647">
        <f t="shared" si="1442"/>
        <v>15331.560761308565</v>
      </c>
      <c r="BQ468" s="644">
        <f t="shared" si="1487"/>
        <v>0</v>
      </c>
      <c r="BR468" s="645">
        <f t="shared" si="1488"/>
        <v>15331.560761308565</v>
      </c>
      <c r="BS468" s="646">
        <f t="shared" si="1489"/>
        <v>0</v>
      </c>
      <c r="BT468" s="647">
        <f t="shared" si="1443"/>
        <v>15331.560761308565</v>
      </c>
      <c r="BU468" s="662">
        <f>VLOOKUP(B468,'Afton Update'!$A$5:$AR$582,'Afton Update'!$AO$589,0)-BT468</f>
        <v>0</v>
      </c>
      <c r="BV468" s="644">
        <f t="shared" si="1490"/>
        <v>23463.807681475737</v>
      </c>
      <c r="BW468" s="645">
        <f t="shared" si="1428"/>
        <v>18580.962222465027</v>
      </c>
      <c r="BX468" s="644">
        <f t="shared" si="1491"/>
        <v>0</v>
      </c>
      <c r="BY468" s="645">
        <f t="shared" si="1492"/>
        <v>23463.807681475737</v>
      </c>
      <c r="BZ468" s="646">
        <f t="shared" si="1493"/>
        <v>-205.94433466447617</v>
      </c>
      <c r="CA468" s="647">
        <f t="shared" si="1494"/>
        <v>23257.86334681126</v>
      </c>
      <c r="CB468" s="644">
        <f t="shared" si="1444"/>
        <v>0</v>
      </c>
      <c r="CC468" s="645">
        <f t="shared" si="1445"/>
        <v>23257.86334681126</v>
      </c>
      <c r="CD468" s="646">
        <f t="shared" si="1495"/>
        <v>-7.4498351012211748</v>
      </c>
      <c r="CE468" s="647">
        <f t="shared" si="1446"/>
        <v>23250.413511710038</v>
      </c>
      <c r="CF468" s="644">
        <f t="shared" si="1496"/>
        <v>0</v>
      </c>
      <c r="CG468" s="645">
        <f t="shared" si="1497"/>
        <v>23250.413511710038</v>
      </c>
      <c r="CH468" s="646">
        <f t="shared" si="1498"/>
        <v>0</v>
      </c>
      <c r="CI468" s="647">
        <f t="shared" si="1447"/>
        <v>23250.413511710038</v>
      </c>
      <c r="CJ468" s="644">
        <f t="shared" si="1499"/>
        <v>0</v>
      </c>
      <c r="CK468" s="645">
        <f t="shared" si="1500"/>
        <v>23250.413511710038</v>
      </c>
      <c r="CL468" s="646">
        <f t="shared" si="1501"/>
        <v>0</v>
      </c>
      <c r="CM468" s="647">
        <f t="shared" si="1448"/>
        <v>23250.413511710038</v>
      </c>
      <c r="CN468" s="644">
        <f t="shared" si="1502"/>
        <v>0</v>
      </c>
      <c r="CO468" s="645">
        <f t="shared" si="1503"/>
        <v>23250.413511710038</v>
      </c>
      <c r="CP468" s="646">
        <f t="shared" si="1504"/>
        <v>0</v>
      </c>
      <c r="CQ468" s="647">
        <f t="shared" si="1449"/>
        <v>23250.413511710038</v>
      </c>
      <c r="CS468" s="644">
        <f t="shared" si="1505"/>
        <v>19046.91683331897</v>
      </c>
      <c r="CT468" s="645">
        <f t="shared" si="1429"/>
        <v>15846.519232329643</v>
      </c>
      <c r="CU468" s="644">
        <f t="shared" si="1506"/>
        <v>0</v>
      </c>
      <c r="CV468" s="645">
        <f t="shared" si="1507"/>
        <v>19046.91683331897</v>
      </c>
      <c r="CW468" s="646">
        <f t="shared" si="1508"/>
        <v>-195.05119220445806</v>
      </c>
      <c r="CX468" s="647">
        <f t="shared" si="1509"/>
        <v>18851.865641114513</v>
      </c>
      <c r="CY468" s="644">
        <f t="shared" si="1450"/>
        <v>0</v>
      </c>
      <c r="CZ468" s="645">
        <f t="shared" si="1451"/>
        <v>18851.865641114513</v>
      </c>
      <c r="DA468" s="646">
        <f t="shared" si="1510"/>
        <v>-14.798782989923247</v>
      </c>
      <c r="DB468" s="647">
        <f t="shared" si="1452"/>
        <v>18837.066858124588</v>
      </c>
      <c r="DC468" s="644">
        <f t="shared" si="1511"/>
        <v>0</v>
      </c>
      <c r="DD468" s="645">
        <f t="shared" si="1512"/>
        <v>18837.066858124588</v>
      </c>
      <c r="DE468" s="646">
        <f t="shared" si="1513"/>
        <v>-1.2762107105305041E-2</v>
      </c>
      <c r="DF468" s="647">
        <f t="shared" si="1453"/>
        <v>18837.054096017484</v>
      </c>
      <c r="DG468" s="644">
        <f t="shared" si="1514"/>
        <v>0</v>
      </c>
      <c r="DH468" s="645">
        <f t="shared" si="1515"/>
        <v>18837.054096017484</v>
      </c>
      <c r="DI468" s="646">
        <f t="shared" si="1516"/>
        <v>0</v>
      </c>
      <c r="DJ468" s="647">
        <f t="shared" si="1454"/>
        <v>18837.054096017484</v>
      </c>
      <c r="DK468" s="644">
        <f t="shared" si="1517"/>
        <v>0</v>
      </c>
      <c r="DL468" s="645">
        <f t="shared" si="1518"/>
        <v>18837.054096017484</v>
      </c>
      <c r="DM468" s="646">
        <f t="shared" si="1519"/>
        <v>0</v>
      </c>
      <c r="DN468" s="647">
        <f t="shared" si="1455"/>
        <v>18837.054096017484</v>
      </c>
      <c r="DR468" s="827">
        <f t="shared" si="1406"/>
        <v>111216.93249784845</v>
      </c>
      <c r="DV468" s="828">
        <f>IFERROR(VLOOKUP($B468,'Afton FY16 Final'!$A$5:$BV$587,'Afton FY16 Final'!$BV$587,0),0)</f>
        <v>97523.611293170849</v>
      </c>
      <c r="DX468" s="636">
        <f t="shared" si="1397"/>
        <v>111216.93249784845</v>
      </c>
      <c r="DY468" s="637">
        <f t="shared" si="1398"/>
        <v>13693.321204677603</v>
      </c>
      <c r="DZ468" s="637">
        <f t="shared" si="1399"/>
        <v>97523.611293170849</v>
      </c>
      <c r="EA468" s="643">
        <f t="shared" si="1400"/>
        <v>105301.43814171823</v>
      </c>
      <c r="EB468" s="637">
        <f t="shared" si="1407"/>
        <v>0</v>
      </c>
      <c r="EC468" s="637">
        <f t="shared" si="1408"/>
        <v>105301.43814171823</v>
      </c>
      <c r="ED468" s="637">
        <f t="shared" si="1409"/>
        <v>104987.43554048905</v>
      </c>
      <c r="EE468" s="643">
        <f t="shared" si="1410"/>
        <v>104987.43554048905</v>
      </c>
      <c r="EF468" s="637">
        <f t="shared" si="1411"/>
        <v>0</v>
      </c>
      <c r="EG468" s="637">
        <f t="shared" si="1412"/>
        <v>104987.43554048905</v>
      </c>
      <c r="EH468" s="637">
        <f t="shared" si="1413"/>
        <v>104987.32722904977</v>
      </c>
      <c r="EI468" s="643">
        <f t="shared" si="1414"/>
        <v>104987.32722904977</v>
      </c>
      <c r="EJ468" s="637">
        <f t="shared" si="1415"/>
        <v>0</v>
      </c>
      <c r="EK468" s="637">
        <f t="shared" si="1416"/>
        <v>104987.32722904977</v>
      </c>
      <c r="EL468" s="637">
        <f t="shared" si="1417"/>
        <v>104987.32722904961</v>
      </c>
      <c r="EM468" s="643">
        <f t="shared" si="1418"/>
        <v>104987.32722904961</v>
      </c>
      <c r="EN468" s="637">
        <f t="shared" si="1419"/>
        <v>0</v>
      </c>
      <c r="EO468" s="637">
        <f t="shared" si="1420"/>
        <v>104987.32722904961</v>
      </c>
      <c r="EP468" s="637">
        <f t="shared" si="1421"/>
        <v>104987.32722904977</v>
      </c>
      <c r="EQ468" s="643">
        <f t="shared" si="1422"/>
        <v>104987.32722904977</v>
      </c>
      <c r="ER468" s="637">
        <f t="shared" si="1423"/>
        <v>0</v>
      </c>
      <c r="ES468" s="637">
        <f t="shared" si="1424"/>
        <v>104987.32722904977</v>
      </c>
      <c r="ET468" s="637">
        <f t="shared" si="1425"/>
        <v>104987.32722904961</v>
      </c>
      <c r="EU468" s="643">
        <f t="shared" si="1401"/>
        <v>104987.32722904961</v>
      </c>
      <c r="EV468" s="643">
        <f t="shared" si="1402"/>
        <v>0</v>
      </c>
      <c r="EX468" s="829">
        <f t="shared" si="1403"/>
        <v>6229.6052687988413</v>
      </c>
      <c r="EY468" s="638">
        <f t="shared" si="1404"/>
        <v>104987.32722904961</v>
      </c>
      <c r="FC468" s="830" t="str">
        <f t="shared" si="1426"/>
        <v>Y</v>
      </c>
      <c r="FE468" s="830" t="str">
        <f>IFERROR(VLOOKUP($B468,'Historical Conc Grant Elig'!$B$3:$J$707,'HH &amp; SI'!FE$2,0),"N")</f>
        <v>N</v>
      </c>
      <c r="FF468" s="830" t="str">
        <f>IFERROR(VLOOKUP($B468,'Historical Conc Grant Elig'!$B$3:$J$707,'HH &amp; SI'!FF$2,0),"N")</f>
        <v>N</v>
      </c>
      <c r="FG468" s="830" t="str">
        <f>IFERROR(VLOOKUP($B468,'Historical Conc Grant Elig'!$B$3:$J$707,'HH &amp; SI'!FG$2,0),"N")</f>
        <v>N</v>
      </c>
      <c r="FH468" s="830" t="str">
        <f>IFERROR(VLOOKUP($B468,'Historical Conc Grant Elig'!$B$3:$J$707,'HH &amp; SI'!FH$2,0),"N")</f>
        <v>N</v>
      </c>
      <c r="FI468" s="830" t="str">
        <f>IFERROR(VLOOKUP($B468,'Historical Conc Grant Elig'!$B$3:$J$707,'HH &amp; SI'!FI$2,0),"N")</f>
        <v>Y</v>
      </c>
      <c r="FJ468" s="830" t="str">
        <f>IFERROR(VLOOKUP($B468,'Historical Conc Grant Elig'!$B$3:$J$707,'HH &amp; SI'!FJ$2,0),"N")</f>
        <v>Y</v>
      </c>
      <c r="FK468" s="830" t="str">
        <f>IFERROR(VLOOKUP($B468,'Historical Conc Grant Elig'!$B$3:$J$707,'HH &amp; SI'!FK$2,0),"N")</f>
        <v>N</v>
      </c>
      <c r="FL468" s="957" t="str">
        <f>IFERROR(VLOOKUP($B468,'Historical Conc Grant Elig'!$B$3:$J$707,'HH &amp; SI'!FL$2,0),"N")</f>
        <v>Y</v>
      </c>
    </row>
    <row r="469" spans="2:168" x14ac:dyDescent="0.25">
      <c r="B469" s="634">
        <v>138755000</v>
      </c>
      <c r="C469" s="635" t="str">
        <f>VLOOKUP($B469,'Afton Update'!$A$5:$CR$582,'Afton Update'!D$589,0)</f>
        <v>Park View School  Inc.</v>
      </c>
      <c r="D469" s="636">
        <f>IFERROR(VLOOKUP($B469,'Afton FY16 Final'!$A$5:$BV$587,'Afton FY16 Final'!AQ$587,0),0)</f>
        <v>36436.682258151654</v>
      </c>
      <c r="E469" s="637">
        <f>IFERROR(VLOOKUP($B469,'Afton FY16 Final'!$A$5:$BV$587,'Afton FY16 Final'!AR$587,0),0)</f>
        <v>8641.4016946828269</v>
      </c>
      <c r="F469" s="637">
        <f>IFERROR(VLOOKUP($B469,'Afton FY16 Final'!$A$5:$BV$587,'Afton FY16 Final'!AS$587,0),0)</f>
        <v>15177.825931611225</v>
      </c>
      <c r="G469" s="637">
        <f>IFERROR(VLOOKUP($B469,'Afton FY16 Final'!$A$5:$BV$587,'Afton FY16 Final'!AT$587,0),0)</f>
        <v>12944.201040322712</v>
      </c>
      <c r="H469" s="638">
        <f>IFERROR(VLOOKUP($B469,'Afton FY16 Final'!$A$5:$BV$587,'Afton FY16 Final'!AU$587,0),0)</f>
        <v>73200.110924768422</v>
      </c>
      <c r="I469" s="639" t="str">
        <f>VLOOKUP($B469,'Afton Update'!$A$5:$CR$582,'Afton Update'!BT$589,0)</f>
        <v>Y</v>
      </c>
      <c r="J469" s="640" t="str">
        <f>VLOOKUP($B469,'Afton Update'!$A$5:$CR$582,'Afton Update'!BU$589,0)</f>
        <v>Y</v>
      </c>
      <c r="K469" s="640" t="str">
        <f>VLOOKUP($B469,'Afton Update'!$A$5:$CR$582,'Afton Update'!BV$589,0)</f>
        <v>Y</v>
      </c>
      <c r="L469" s="641" t="str">
        <f>VLOOKUP($B469,'Afton Update'!$A$5:$CR$582,'Afton Update'!BW$589,0)</f>
        <v>Y</v>
      </c>
      <c r="N469" s="642">
        <f>VLOOKUP($B469,'Afton Update'!$A$5:$CR$582,'Afton Update'!CB$589,0)</f>
        <v>0.9</v>
      </c>
      <c r="P469" s="636">
        <f>VLOOKUP($B469,'Afton Update'!$A$5:$CR$582,'Afton Update'!AH$589,0)</f>
        <v>19273.788797481298</v>
      </c>
      <c r="Q469" s="637">
        <f>VLOOKUP($B469,'Afton Update'!$A$5:$CR$582,'Afton Update'!AI$589,0)</f>
        <v>7477.1090986838462</v>
      </c>
      <c r="R469" s="637">
        <f>VLOOKUP($B469,'Afton Update'!$A$5:$CR$582,'Afton Update'!AJ$589,0)</f>
        <v>8291.5437288923349</v>
      </c>
      <c r="S469" s="637">
        <f>VLOOKUP($B469,'Afton Update'!$A$5:$CR$582,'Afton Update'!AK$589,0)</f>
        <v>6730.7210307865471</v>
      </c>
      <c r="T469" s="643">
        <f t="shared" si="1430"/>
        <v>41773.162655844026</v>
      </c>
      <c r="V469" s="636">
        <f t="shared" si="1456"/>
        <v>32793.01403233649</v>
      </c>
      <c r="W469" s="637">
        <f t="shared" si="1457"/>
        <v>7777.2615252145442</v>
      </c>
      <c r="X469" s="637">
        <f t="shared" si="1458"/>
        <v>13660.043338450103</v>
      </c>
      <c r="Y469" s="637">
        <f t="shared" si="1459"/>
        <v>11649.780936290441</v>
      </c>
      <c r="Z469" s="643">
        <f t="shared" si="1460"/>
        <v>65880.099832291584</v>
      </c>
      <c r="AB469" s="644">
        <f t="shared" si="1431"/>
        <v>19273.788797481298</v>
      </c>
      <c r="AC469" s="645">
        <f t="shared" si="1427"/>
        <v>32793.01403233649</v>
      </c>
      <c r="AD469" s="644">
        <f t="shared" si="1461"/>
        <v>13519.225234855192</v>
      </c>
      <c r="AE469" s="645">
        <f t="shared" si="1462"/>
        <v>0</v>
      </c>
      <c r="AF469" s="646">
        <f t="shared" si="1463"/>
        <v>0</v>
      </c>
      <c r="AG469" s="647">
        <f t="shared" si="1464"/>
        <v>32793.01403233649</v>
      </c>
      <c r="AH469" s="644">
        <f t="shared" si="1432"/>
        <v>0</v>
      </c>
      <c r="AI469" s="645">
        <f t="shared" si="1433"/>
        <v>0</v>
      </c>
      <c r="AJ469" s="646">
        <f t="shared" si="1465"/>
        <v>0</v>
      </c>
      <c r="AK469" s="647">
        <f t="shared" si="1434"/>
        <v>32793.01403233649</v>
      </c>
      <c r="AL469" s="644">
        <f t="shared" si="1466"/>
        <v>0</v>
      </c>
      <c r="AM469" s="645">
        <f t="shared" si="1467"/>
        <v>0</v>
      </c>
      <c r="AN469" s="646">
        <f t="shared" si="1468"/>
        <v>0</v>
      </c>
      <c r="AO469" s="647">
        <f t="shared" si="1435"/>
        <v>32793.01403233649</v>
      </c>
      <c r="AP469" s="644">
        <f t="shared" si="1469"/>
        <v>0</v>
      </c>
      <c r="AQ469" s="645">
        <f t="shared" si="1470"/>
        <v>0</v>
      </c>
      <c r="AR469" s="646">
        <f t="shared" si="1471"/>
        <v>0</v>
      </c>
      <c r="AS469" s="647">
        <f t="shared" si="1436"/>
        <v>32793.01403233649</v>
      </c>
      <c r="AT469" s="644">
        <f t="shared" si="1472"/>
        <v>0</v>
      </c>
      <c r="AU469" s="645">
        <f t="shared" si="1473"/>
        <v>0</v>
      </c>
      <c r="AV469" s="646">
        <f t="shared" si="1474"/>
        <v>0</v>
      </c>
      <c r="AW469" s="647">
        <f t="shared" si="1437"/>
        <v>32793.01403233649</v>
      </c>
      <c r="AY469" s="644">
        <f t="shared" si="1475"/>
        <v>7477.1090986838462</v>
      </c>
      <c r="AZ469" s="645">
        <f t="shared" si="1405"/>
        <v>7777.2615252145442</v>
      </c>
      <c r="BA469" s="644">
        <f t="shared" si="1476"/>
        <v>300.15242653069799</v>
      </c>
      <c r="BB469" s="645">
        <f t="shared" si="1477"/>
        <v>0</v>
      </c>
      <c r="BC469" s="646">
        <f t="shared" si="1478"/>
        <v>0</v>
      </c>
      <c r="BD469" s="647">
        <f t="shared" si="1479"/>
        <v>7777.2615252145442</v>
      </c>
      <c r="BE469" s="644">
        <f t="shared" si="1438"/>
        <v>0</v>
      </c>
      <c r="BF469" s="645">
        <f t="shared" si="1439"/>
        <v>0</v>
      </c>
      <c r="BG469" s="646">
        <f t="shared" si="1480"/>
        <v>0</v>
      </c>
      <c r="BH469" s="647">
        <f t="shared" si="1440"/>
        <v>7777.2615252145442</v>
      </c>
      <c r="BI469" s="644">
        <f t="shared" si="1481"/>
        <v>0</v>
      </c>
      <c r="BJ469" s="645">
        <f t="shared" si="1482"/>
        <v>0</v>
      </c>
      <c r="BK469" s="646">
        <f t="shared" si="1483"/>
        <v>0</v>
      </c>
      <c r="BL469" s="647">
        <f t="shared" si="1441"/>
        <v>7777.2615252145442</v>
      </c>
      <c r="BM469" s="644">
        <f t="shared" si="1484"/>
        <v>0</v>
      </c>
      <c r="BN469" s="645">
        <f t="shared" si="1485"/>
        <v>0</v>
      </c>
      <c r="BO469" s="646">
        <f t="shared" si="1486"/>
        <v>0</v>
      </c>
      <c r="BP469" s="647">
        <f t="shared" si="1442"/>
        <v>7777.2615252145442</v>
      </c>
      <c r="BQ469" s="644">
        <f t="shared" si="1487"/>
        <v>0</v>
      </c>
      <c r="BR469" s="645">
        <f t="shared" si="1488"/>
        <v>0</v>
      </c>
      <c r="BS469" s="646">
        <f t="shared" si="1489"/>
        <v>0</v>
      </c>
      <c r="BT469" s="647">
        <f t="shared" si="1443"/>
        <v>7777.2615252145442</v>
      </c>
      <c r="BU469" s="662">
        <f>VLOOKUP(B469,'Afton Update'!$A$5:$AR$582,'Afton Update'!$AO$589,0)-BT469</f>
        <v>0</v>
      </c>
      <c r="BV469" s="644">
        <f t="shared" si="1490"/>
        <v>8291.5437288923349</v>
      </c>
      <c r="BW469" s="645">
        <f t="shared" si="1428"/>
        <v>13660.043338450103</v>
      </c>
      <c r="BX469" s="644">
        <f t="shared" si="1491"/>
        <v>5368.4996095577681</v>
      </c>
      <c r="BY469" s="645">
        <f t="shared" si="1492"/>
        <v>0</v>
      </c>
      <c r="BZ469" s="646">
        <f t="shared" si="1493"/>
        <v>0</v>
      </c>
      <c r="CA469" s="647">
        <f t="shared" si="1494"/>
        <v>13660.043338450103</v>
      </c>
      <c r="CB469" s="644">
        <f t="shared" si="1444"/>
        <v>0</v>
      </c>
      <c r="CC469" s="645">
        <f t="shared" si="1445"/>
        <v>0</v>
      </c>
      <c r="CD469" s="646">
        <f t="shared" si="1495"/>
        <v>0</v>
      </c>
      <c r="CE469" s="647">
        <f t="shared" si="1446"/>
        <v>13660.043338450103</v>
      </c>
      <c r="CF469" s="644">
        <f t="shared" si="1496"/>
        <v>0</v>
      </c>
      <c r="CG469" s="645">
        <f t="shared" si="1497"/>
        <v>0</v>
      </c>
      <c r="CH469" s="646">
        <f t="shared" si="1498"/>
        <v>0</v>
      </c>
      <c r="CI469" s="647">
        <f t="shared" si="1447"/>
        <v>13660.043338450103</v>
      </c>
      <c r="CJ469" s="644">
        <f t="shared" si="1499"/>
        <v>0</v>
      </c>
      <c r="CK469" s="645">
        <f t="shared" si="1500"/>
        <v>0</v>
      </c>
      <c r="CL469" s="646">
        <f t="shared" si="1501"/>
        <v>0</v>
      </c>
      <c r="CM469" s="647">
        <f t="shared" si="1448"/>
        <v>13660.043338450103</v>
      </c>
      <c r="CN469" s="644">
        <f t="shared" si="1502"/>
        <v>0</v>
      </c>
      <c r="CO469" s="645">
        <f t="shared" si="1503"/>
        <v>0</v>
      </c>
      <c r="CP469" s="646">
        <f t="shared" si="1504"/>
        <v>0</v>
      </c>
      <c r="CQ469" s="647">
        <f t="shared" si="1449"/>
        <v>13660.043338450103</v>
      </c>
      <c r="CS469" s="644">
        <f t="shared" si="1505"/>
        <v>6730.7210307865471</v>
      </c>
      <c r="CT469" s="645">
        <f t="shared" si="1429"/>
        <v>11649.780936290441</v>
      </c>
      <c r="CU469" s="644">
        <f t="shared" si="1506"/>
        <v>4919.0599055038938</v>
      </c>
      <c r="CV469" s="645">
        <f t="shared" si="1507"/>
        <v>0</v>
      </c>
      <c r="CW469" s="646">
        <f t="shared" si="1508"/>
        <v>0</v>
      </c>
      <c r="CX469" s="647">
        <f t="shared" si="1509"/>
        <v>11649.780936290441</v>
      </c>
      <c r="CY469" s="644">
        <f t="shared" si="1450"/>
        <v>0</v>
      </c>
      <c r="CZ469" s="645">
        <f t="shared" si="1451"/>
        <v>0</v>
      </c>
      <c r="DA469" s="646">
        <f t="shared" si="1510"/>
        <v>0</v>
      </c>
      <c r="DB469" s="647">
        <f t="shared" si="1452"/>
        <v>11649.780936290441</v>
      </c>
      <c r="DC469" s="644">
        <f t="shared" si="1511"/>
        <v>0</v>
      </c>
      <c r="DD469" s="645">
        <f t="shared" si="1512"/>
        <v>0</v>
      </c>
      <c r="DE469" s="646">
        <f t="shared" si="1513"/>
        <v>0</v>
      </c>
      <c r="DF469" s="647">
        <f t="shared" si="1453"/>
        <v>11649.780936290441</v>
      </c>
      <c r="DG469" s="644">
        <f t="shared" si="1514"/>
        <v>0</v>
      </c>
      <c r="DH469" s="645">
        <f t="shared" si="1515"/>
        <v>0</v>
      </c>
      <c r="DI469" s="646">
        <f t="shared" si="1516"/>
        <v>0</v>
      </c>
      <c r="DJ469" s="647">
        <f t="shared" si="1454"/>
        <v>11649.780936290441</v>
      </c>
      <c r="DK469" s="644">
        <f t="shared" si="1517"/>
        <v>0</v>
      </c>
      <c r="DL469" s="645">
        <f t="shared" si="1518"/>
        <v>0</v>
      </c>
      <c r="DM469" s="646">
        <f t="shared" si="1519"/>
        <v>0</v>
      </c>
      <c r="DN469" s="647">
        <f t="shared" si="1455"/>
        <v>11649.780936290441</v>
      </c>
      <c r="DR469" s="827">
        <f t="shared" si="1406"/>
        <v>65880.099832291584</v>
      </c>
      <c r="DV469" s="828">
        <f>IFERROR(VLOOKUP($B469,'Afton FY16 Final'!$A$5:$BV$587,'Afton FY16 Final'!$BV$587,0),0)</f>
        <v>71758.800752782321</v>
      </c>
      <c r="DX469" s="636">
        <f t="shared" si="1397"/>
        <v>0</v>
      </c>
      <c r="DY469" s="637">
        <f t="shared" si="1398"/>
        <v>0</v>
      </c>
      <c r="DZ469" s="637">
        <f t="shared" si="1399"/>
        <v>0</v>
      </c>
      <c r="EA469" s="643">
        <f t="shared" si="1400"/>
        <v>0</v>
      </c>
      <c r="EB469" s="637">
        <f t="shared" si="1407"/>
        <v>0</v>
      </c>
      <c r="EC469" s="637">
        <f t="shared" si="1408"/>
        <v>0</v>
      </c>
      <c r="ED469" s="637">
        <f t="shared" si="1409"/>
        <v>0</v>
      </c>
      <c r="EE469" s="643">
        <f t="shared" si="1410"/>
        <v>0</v>
      </c>
      <c r="EF469" s="637">
        <f t="shared" si="1411"/>
        <v>0</v>
      </c>
      <c r="EG469" s="637">
        <f t="shared" si="1412"/>
        <v>0</v>
      </c>
      <c r="EH469" s="637">
        <f t="shared" si="1413"/>
        <v>0</v>
      </c>
      <c r="EI469" s="643">
        <f t="shared" si="1414"/>
        <v>0</v>
      </c>
      <c r="EJ469" s="637">
        <f t="shared" si="1415"/>
        <v>0</v>
      </c>
      <c r="EK469" s="637">
        <f t="shared" si="1416"/>
        <v>0</v>
      </c>
      <c r="EL469" s="637">
        <f t="shared" si="1417"/>
        <v>0</v>
      </c>
      <c r="EM469" s="643">
        <f t="shared" si="1418"/>
        <v>0</v>
      </c>
      <c r="EN469" s="637">
        <f t="shared" si="1419"/>
        <v>0</v>
      </c>
      <c r="EO469" s="637">
        <f t="shared" si="1420"/>
        <v>0</v>
      </c>
      <c r="EP469" s="637">
        <f t="shared" si="1421"/>
        <v>0</v>
      </c>
      <c r="EQ469" s="643">
        <f t="shared" si="1422"/>
        <v>0</v>
      </c>
      <c r="ER469" s="637">
        <f t="shared" si="1423"/>
        <v>0</v>
      </c>
      <c r="ES469" s="637">
        <f t="shared" si="1424"/>
        <v>0</v>
      </c>
      <c r="ET469" s="637">
        <f t="shared" si="1425"/>
        <v>0</v>
      </c>
      <c r="EU469" s="643">
        <f t="shared" si="1401"/>
        <v>0</v>
      </c>
      <c r="EV469" s="643">
        <f t="shared" si="1402"/>
        <v>0</v>
      </c>
      <c r="EX469" s="829">
        <f t="shared" si="1403"/>
        <v>0</v>
      </c>
      <c r="EY469" s="638">
        <f t="shared" si="1404"/>
        <v>65880.099832291584</v>
      </c>
      <c r="FC469" s="830" t="str">
        <f t="shared" si="1426"/>
        <v>Y</v>
      </c>
      <c r="FE469" s="830" t="str">
        <f>IFERROR(VLOOKUP($B469,'Historical Conc Grant Elig'!$B$3:$J$707,'HH &amp; SI'!FE$2,0),"N")</f>
        <v>Y</v>
      </c>
      <c r="FF469" s="830" t="str">
        <f>IFERROR(VLOOKUP($B469,'Historical Conc Grant Elig'!$B$3:$J$707,'HH &amp; SI'!FF$2,0),"N")</f>
        <v>Y</v>
      </c>
      <c r="FG469" s="830" t="str">
        <f>IFERROR(VLOOKUP($B469,'Historical Conc Grant Elig'!$B$3:$J$707,'HH &amp; SI'!FG$2,0),"N")</f>
        <v>Y</v>
      </c>
      <c r="FH469" s="830" t="str">
        <f>IFERROR(VLOOKUP($B469,'Historical Conc Grant Elig'!$B$3:$J$707,'HH &amp; SI'!FH$2,0),"N")</f>
        <v>Y</v>
      </c>
      <c r="FI469" s="830" t="str">
        <f>IFERROR(VLOOKUP($B469,'Historical Conc Grant Elig'!$B$3:$J$707,'HH &amp; SI'!FI$2,0),"N")</f>
        <v>Y</v>
      </c>
      <c r="FJ469" s="830" t="str">
        <f>IFERROR(VLOOKUP($B469,'Historical Conc Grant Elig'!$B$3:$J$707,'HH &amp; SI'!FJ$2,0),"N")</f>
        <v>Y</v>
      </c>
      <c r="FK469" s="830" t="str">
        <f>IFERROR(VLOOKUP($B469,'Historical Conc Grant Elig'!$B$3:$J$707,'HH &amp; SI'!FK$2,0),"N")</f>
        <v>Y</v>
      </c>
      <c r="FL469" s="957" t="str">
        <f>IFERROR(VLOOKUP($B469,'Historical Conc Grant Elig'!$B$3:$J$707,'HH &amp; SI'!FL$2,0),"N")</f>
        <v>Y</v>
      </c>
    </row>
    <row r="470" spans="2:168" x14ac:dyDescent="0.25">
      <c r="B470" s="634">
        <v>138758000</v>
      </c>
      <c r="C470" s="635" t="str">
        <f>VLOOKUP($B470,'Afton Update'!$A$5:$CR$582,'Afton Update'!D$589,0)</f>
        <v>PACE Preparatory Academy, Inc.</v>
      </c>
      <c r="D470" s="636">
        <f>IFERROR(VLOOKUP($B470,'Afton FY16 Final'!$A$5:$BV$587,'Afton FY16 Final'!AQ$587,0),0)</f>
        <v>14933.924732349446</v>
      </c>
      <c r="E470" s="637">
        <f>IFERROR(VLOOKUP($B470,'Afton FY16 Final'!$A$5:$BV$587,'Afton FY16 Final'!AR$587,0),0)</f>
        <v>3838.0237400915116</v>
      </c>
      <c r="F470" s="637">
        <f>IFERROR(VLOOKUP($B470,'Afton FY16 Final'!$A$5:$BV$587,'Afton FY16 Final'!AS$587,0),0)</f>
        <v>6160.603680289365</v>
      </c>
      <c r="G470" s="637">
        <f>IFERROR(VLOOKUP($B470,'Afton FY16 Final'!$A$5:$BV$587,'Afton FY16 Final'!AT$587,0),0)</f>
        <v>5207.3532404549687</v>
      </c>
      <c r="H470" s="638">
        <f>IFERROR(VLOOKUP($B470,'Afton FY16 Final'!$A$5:$BV$587,'Afton FY16 Final'!AU$587,0),0)</f>
        <v>30139.90539318529</v>
      </c>
      <c r="I470" s="639" t="str">
        <f>VLOOKUP($B470,'Afton Update'!$A$5:$CR$582,'Afton Update'!BT$589,0)</f>
        <v>N</v>
      </c>
      <c r="J470" s="640" t="str">
        <f>VLOOKUP($B470,'Afton Update'!$A$5:$CR$582,'Afton Update'!BU$589,0)</f>
        <v>N</v>
      </c>
      <c r="K470" s="640" t="str">
        <f>VLOOKUP($B470,'Afton Update'!$A$5:$CR$582,'Afton Update'!BV$589,0)</f>
        <v>N</v>
      </c>
      <c r="L470" s="641" t="str">
        <f>VLOOKUP($B470,'Afton Update'!$A$5:$CR$582,'Afton Update'!BW$589,0)</f>
        <v>N</v>
      </c>
      <c r="N470" s="642">
        <f>VLOOKUP($B470,'Afton Update'!$A$5:$CR$582,'Afton Update'!CB$589,0)</f>
        <v>0.9</v>
      </c>
      <c r="P470" s="636" t="str">
        <f>VLOOKUP($B470,'Afton Update'!$A$5:$CR$582,'Afton Update'!AH$589,0)</f>
        <v/>
      </c>
      <c r="Q470" s="637" t="str">
        <f>VLOOKUP($B470,'Afton Update'!$A$5:$CR$582,'Afton Update'!AI$589,0)</f>
        <v/>
      </c>
      <c r="R470" s="637" t="str">
        <f>VLOOKUP($B470,'Afton Update'!$A$5:$CR$582,'Afton Update'!AJ$589,0)</f>
        <v/>
      </c>
      <c r="S470" s="637" t="str">
        <f>VLOOKUP($B470,'Afton Update'!$A$5:$CR$582,'Afton Update'!AK$589,0)</f>
        <v/>
      </c>
      <c r="T470" s="643">
        <f t="shared" si="1430"/>
        <v>0</v>
      </c>
      <c r="V470" s="636">
        <f t="shared" si="1456"/>
        <v>0</v>
      </c>
      <c r="W470" s="637">
        <f t="shared" si="1457"/>
        <v>3454.2213660823604</v>
      </c>
      <c r="X470" s="637">
        <f t="shared" si="1458"/>
        <v>0</v>
      </c>
      <c r="Y470" s="637">
        <f t="shared" si="1459"/>
        <v>0</v>
      </c>
      <c r="Z470" s="643">
        <f t="shared" si="1460"/>
        <v>3454.2213660823604</v>
      </c>
      <c r="AB470" s="644">
        <f t="shared" si="1431"/>
        <v>0</v>
      </c>
      <c r="AC470" s="645">
        <f t="shared" si="1427"/>
        <v>0</v>
      </c>
      <c r="AD470" s="644">
        <f t="shared" si="1461"/>
        <v>0</v>
      </c>
      <c r="AE470" s="645">
        <f t="shared" si="1462"/>
        <v>0</v>
      </c>
      <c r="AF470" s="646">
        <f t="shared" si="1463"/>
        <v>0</v>
      </c>
      <c r="AG470" s="647">
        <f t="shared" si="1464"/>
        <v>0</v>
      </c>
      <c r="AH470" s="644">
        <f t="shared" si="1432"/>
        <v>0</v>
      </c>
      <c r="AI470" s="645">
        <f t="shared" si="1433"/>
        <v>0</v>
      </c>
      <c r="AJ470" s="646">
        <f t="shared" si="1465"/>
        <v>0</v>
      </c>
      <c r="AK470" s="647">
        <f t="shared" si="1434"/>
        <v>0</v>
      </c>
      <c r="AL470" s="644">
        <f t="shared" si="1466"/>
        <v>0</v>
      </c>
      <c r="AM470" s="645">
        <f t="shared" si="1467"/>
        <v>0</v>
      </c>
      <c r="AN470" s="646">
        <f t="shared" si="1468"/>
        <v>0</v>
      </c>
      <c r="AO470" s="647">
        <f t="shared" si="1435"/>
        <v>0</v>
      </c>
      <c r="AP470" s="644">
        <f t="shared" si="1469"/>
        <v>0</v>
      </c>
      <c r="AQ470" s="645">
        <f t="shared" si="1470"/>
        <v>0</v>
      </c>
      <c r="AR470" s="646">
        <f t="shared" si="1471"/>
        <v>0</v>
      </c>
      <c r="AS470" s="647">
        <f t="shared" si="1436"/>
        <v>0</v>
      </c>
      <c r="AT470" s="644">
        <f t="shared" si="1472"/>
        <v>0</v>
      </c>
      <c r="AU470" s="645">
        <f t="shared" si="1473"/>
        <v>0</v>
      </c>
      <c r="AV470" s="646">
        <f t="shared" si="1474"/>
        <v>0</v>
      </c>
      <c r="AW470" s="647">
        <f t="shared" si="1437"/>
        <v>0</v>
      </c>
      <c r="AY470" s="644">
        <f t="shared" si="1475"/>
        <v>0</v>
      </c>
      <c r="AZ470" s="645">
        <f t="shared" si="1405"/>
        <v>3454.2213660823604</v>
      </c>
      <c r="BA470" s="644">
        <f t="shared" si="1476"/>
        <v>0</v>
      </c>
      <c r="BB470" s="645">
        <f t="shared" si="1477"/>
        <v>0</v>
      </c>
      <c r="BC470" s="646">
        <f t="shared" si="1478"/>
        <v>0</v>
      </c>
      <c r="BD470" s="647">
        <f t="shared" si="1479"/>
        <v>0</v>
      </c>
      <c r="BE470" s="644">
        <f t="shared" si="1438"/>
        <v>-3454.2213660823604</v>
      </c>
      <c r="BF470" s="645">
        <f t="shared" si="1439"/>
        <v>0</v>
      </c>
      <c r="BG470" s="646">
        <f t="shared" si="1480"/>
        <v>0</v>
      </c>
      <c r="BH470" s="647">
        <f t="shared" si="1440"/>
        <v>3454.2213660823604</v>
      </c>
      <c r="BI470" s="644">
        <f t="shared" si="1481"/>
        <v>0</v>
      </c>
      <c r="BJ470" s="645">
        <f t="shared" si="1482"/>
        <v>0</v>
      </c>
      <c r="BK470" s="646">
        <f t="shared" si="1483"/>
        <v>0</v>
      </c>
      <c r="BL470" s="647">
        <f t="shared" si="1441"/>
        <v>3454.2213660823604</v>
      </c>
      <c r="BM470" s="644">
        <f t="shared" si="1484"/>
        <v>0</v>
      </c>
      <c r="BN470" s="645">
        <f t="shared" si="1485"/>
        <v>0</v>
      </c>
      <c r="BO470" s="646">
        <f t="shared" si="1486"/>
        <v>0</v>
      </c>
      <c r="BP470" s="647">
        <f t="shared" si="1442"/>
        <v>3454.2213660823604</v>
      </c>
      <c r="BQ470" s="644">
        <f t="shared" si="1487"/>
        <v>0</v>
      </c>
      <c r="BR470" s="645">
        <f t="shared" si="1488"/>
        <v>0</v>
      </c>
      <c r="BS470" s="646">
        <f t="shared" si="1489"/>
        <v>0</v>
      </c>
      <c r="BT470" s="647">
        <f t="shared" si="1443"/>
        <v>3454.2213660823604</v>
      </c>
      <c r="BU470" s="662">
        <f>VLOOKUP(B470,'Afton Update'!$A$5:$AR$582,'Afton Update'!$AO$589,0)-BT470</f>
        <v>0</v>
      </c>
      <c r="BV470" s="644">
        <f t="shared" si="1490"/>
        <v>0</v>
      </c>
      <c r="BW470" s="645">
        <f t="shared" si="1428"/>
        <v>0</v>
      </c>
      <c r="BX470" s="644">
        <f t="shared" si="1491"/>
        <v>0</v>
      </c>
      <c r="BY470" s="645">
        <f t="shared" si="1492"/>
        <v>0</v>
      </c>
      <c r="BZ470" s="646">
        <f t="shared" si="1493"/>
        <v>0</v>
      </c>
      <c r="CA470" s="647">
        <f t="shared" si="1494"/>
        <v>0</v>
      </c>
      <c r="CB470" s="644">
        <f t="shared" si="1444"/>
        <v>0</v>
      </c>
      <c r="CC470" s="645">
        <f t="shared" si="1445"/>
        <v>0</v>
      </c>
      <c r="CD470" s="646">
        <f t="shared" si="1495"/>
        <v>0</v>
      </c>
      <c r="CE470" s="647">
        <f t="shared" si="1446"/>
        <v>0</v>
      </c>
      <c r="CF470" s="644">
        <f t="shared" si="1496"/>
        <v>0</v>
      </c>
      <c r="CG470" s="645">
        <f t="shared" si="1497"/>
        <v>0</v>
      </c>
      <c r="CH470" s="646">
        <f t="shared" si="1498"/>
        <v>0</v>
      </c>
      <c r="CI470" s="647">
        <f t="shared" si="1447"/>
        <v>0</v>
      </c>
      <c r="CJ470" s="644">
        <f t="shared" si="1499"/>
        <v>0</v>
      </c>
      <c r="CK470" s="645">
        <f t="shared" si="1500"/>
        <v>0</v>
      </c>
      <c r="CL470" s="646">
        <f t="shared" si="1501"/>
        <v>0</v>
      </c>
      <c r="CM470" s="647">
        <f t="shared" si="1448"/>
        <v>0</v>
      </c>
      <c r="CN470" s="644">
        <f t="shared" si="1502"/>
        <v>0</v>
      </c>
      <c r="CO470" s="645">
        <f t="shared" si="1503"/>
        <v>0</v>
      </c>
      <c r="CP470" s="646">
        <f t="shared" si="1504"/>
        <v>0</v>
      </c>
      <c r="CQ470" s="647">
        <f t="shared" si="1449"/>
        <v>0</v>
      </c>
      <c r="CS470" s="644">
        <f t="shared" si="1505"/>
        <v>0</v>
      </c>
      <c r="CT470" s="645">
        <f t="shared" si="1429"/>
        <v>0</v>
      </c>
      <c r="CU470" s="644">
        <f t="shared" si="1506"/>
        <v>0</v>
      </c>
      <c r="CV470" s="645">
        <f t="shared" si="1507"/>
        <v>0</v>
      </c>
      <c r="CW470" s="646">
        <f t="shared" si="1508"/>
        <v>0</v>
      </c>
      <c r="CX470" s="647">
        <f t="shared" si="1509"/>
        <v>0</v>
      </c>
      <c r="CY470" s="644">
        <f t="shared" si="1450"/>
        <v>0</v>
      </c>
      <c r="CZ470" s="645">
        <f t="shared" si="1451"/>
        <v>0</v>
      </c>
      <c r="DA470" s="646">
        <f t="shared" si="1510"/>
        <v>0</v>
      </c>
      <c r="DB470" s="647">
        <f t="shared" si="1452"/>
        <v>0</v>
      </c>
      <c r="DC470" s="644">
        <f t="shared" si="1511"/>
        <v>0</v>
      </c>
      <c r="DD470" s="645">
        <f t="shared" si="1512"/>
        <v>0</v>
      </c>
      <c r="DE470" s="646">
        <f t="shared" si="1513"/>
        <v>0</v>
      </c>
      <c r="DF470" s="647">
        <f t="shared" si="1453"/>
        <v>0</v>
      </c>
      <c r="DG470" s="644">
        <f t="shared" si="1514"/>
        <v>0</v>
      </c>
      <c r="DH470" s="645">
        <f t="shared" si="1515"/>
        <v>0</v>
      </c>
      <c r="DI470" s="646">
        <f t="shared" si="1516"/>
        <v>0</v>
      </c>
      <c r="DJ470" s="647">
        <f t="shared" si="1454"/>
        <v>0</v>
      </c>
      <c r="DK470" s="644">
        <f t="shared" si="1517"/>
        <v>0</v>
      </c>
      <c r="DL470" s="645">
        <f t="shared" si="1518"/>
        <v>0</v>
      </c>
      <c r="DM470" s="646">
        <f t="shared" si="1519"/>
        <v>0</v>
      </c>
      <c r="DN470" s="647">
        <f t="shared" si="1455"/>
        <v>0</v>
      </c>
      <c r="DR470" s="827">
        <f t="shared" si="1406"/>
        <v>3454.2213660823604</v>
      </c>
      <c r="DV470" s="828">
        <f>IFERROR(VLOOKUP($B470,'Afton FY16 Final'!$A$5:$BV$587,'Afton FY16 Final'!$BV$587,0),0)</f>
        <v>29073.194276364939</v>
      </c>
      <c r="DX470" s="636">
        <f t="shared" si="1397"/>
        <v>0</v>
      </c>
      <c r="DY470" s="637">
        <f t="shared" si="1398"/>
        <v>0</v>
      </c>
      <c r="DZ470" s="637">
        <f t="shared" si="1399"/>
        <v>0</v>
      </c>
      <c r="EA470" s="643">
        <f t="shared" si="1400"/>
        <v>0</v>
      </c>
      <c r="EB470" s="637">
        <f t="shared" si="1407"/>
        <v>0</v>
      </c>
      <c r="EC470" s="637">
        <f t="shared" si="1408"/>
        <v>0</v>
      </c>
      <c r="ED470" s="637">
        <f t="shared" si="1409"/>
        <v>0</v>
      </c>
      <c r="EE470" s="643">
        <f t="shared" si="1410"/>
        <v>0</v>
      </c>
      <c r="EF470" s="637">
        <f t="shared" si="1411"/>
        <v>0</v>
      </c>
      <c r="EG470" s="637">
        <f t="shared" si="1412"/>
        <v>0</v>
      </c>
      <c r="EH470" s="637">
        <f t="shared" si="1413"/>
        <v>0</v>
      </c>
      <c r="EI470" s="643">
        <f t="shared" si="1414"/>
        <v>0</v>
      </c>
      <c r="EJ470" s="637">
        <f t="shared" si="1415"/>
        <v>0</v>
      </c>
      <c r="EK470" s="637">
        <f t="shared" si="1416"/>
        <v>0</v>
      </c>
      <c r="EL470" s="637">
        <f t="shared" si="1417"/>
        <v>0</v>
      </c>
      <c r="EM470" s="643">
        <f t="shared" si="1418"/>
        <v>0</v>
      </c>
      <c r="EN470" s="637">
        <f t="shared" si="1419"/>
        <v>0</v>
      </c>
      <c r="EO470" s="637">
        <f t="shared" si="1420"/>
        <v>0</v>
      </c>
      <c r="EP470" s="637">
        <f t="shared" si="1421"/>
        <v>0</v>
      </c>
      <c r="EQ470" s="643">
        <f t="shared" si="1422"/>
        <v>0</v>
      </c>
      <c r="ER470" s="637">
        <f t="shared" si="1423"/>
        <v>0</v>
      </c>
      <c r="ES470" s="637">
        <f t="shared" si="1424"/>
        <v>0</v>
      </c>
      <c r="ET470" s="637">
        <f t="shared" si="1425"/>
        <v>0</v>
      </c>
      <c r="EU470" s="643">
        <f t="shared" si="1401"/>
        <v>0</v>
      </c>
      <c r="EV470" s="643">
        <f t="shared" si="1402"/>
        <v>0</v>
      </c>
      <c r="EX470" s="829">
        <f t="shared" si="1403"/>
        <v>0</v>
      </c>
      <c r="EY470" s="638">
        <f t="shared" si="1404"/>
        <v>3454.2213660823604</v>
      </c>
      <c r="FC470" s="830" t="str">
        <f t="shared" si="1426"/>
        <v>Y</v>
      </c>
      <c r="FE470" s="830" t="str">
        <f>IFERROR(VLOOKUP($B470,'Historical Conc Grant Elig'!$B$3:$J$707,'HH &amp; SI'!FE$2,0),"N")</f>
        <v>Y</v>
      </c>
      <c r="FF470" s="830" t="str">
        <f>IFERROR(VLOOKUP($B470,'Historical Conc Grant Elig'!$B$3:$J$707,'HH &amp; SI'!FF$2,0),"N")</f>
        <v>Y</v>
      </c>
      <c r="FG470" s="830" t="str">
        <f>IFERROR(VLOOKUP($B470,'Historical Conc Grant Elig'!$B$3:$J$707,'HH &amp; SI'!FG$2,0),"N")</f>
        <v>Y</v>
      </c>
      <c r="FH470" s="830" t="str">
        <f>IFERROR(VLOOKUP($B470,'Historical Conc Grant Elig'!$B$3:$J$707,'HH &amp; SI'!FH$2,0),"N")</f>
        <v>Y</v>
      </c>
      <c r="FI470" s="830" t="str">
        <f>IFERROR(VLOOKUP($B470,'Historical Conc Grant Elig'!$B$3:$J$707,'HH &amp; SI'!FI$2,0),"N")</f>
        <v>Y</v>
      </c>
      <c r="FJ470" s="830" t="str">
        <f>IFERROR(VLOOKUP($B470,'Historical Conc Grant Elig'!$B$3:$J$707,'HH &amp; SI'!FJ$2,0),"N")</f>
        <v>Y</v>
      </c>
      <c r="FK470" s="830" t="str">
        <f>IFERROR(VLOOKUP($B470,'Historical Conc Grant Elig'!$B$3:$J$707,'HH &amp; SI'!FK$2,0),"N")</f>
        <v>Y</v>
      </c>
      <c r="FL470" s="957" t="str">
        <f>IFERROR(VLOOKUP($B470,'Historical Conc Grant Elig'!$B$3:$J$707,'HH &amp; SI'!FL$2,0),"N")</f>
        <v>N</v>
      </c>
    </row>
    <row r="471" spans="2:168" x14ac:dyDescent="0.25">
      <c r="B471" s="634">
        <v>138759000</v>
      </c>
      <c r="C471" s="635" t="str">
        <f>VLOOKUP($B471,'Afton Update'!$A$5:$CR$582,'Afton Update'!D$589,0)</f>
        <v>Kestrel Schools, Inc.</v>
      </c>
      <c r="D471" s="636">
        <f>IFERROR(VLOOKUP($B471,'Afton FY16 Final'!$A$5:$BV$587,'Afton FY16 Final'!AQ$587,0),0)</f>
        <v>0</v>
      </c>
      <c r="E471" s="637">
        <f>IFERROR(VLOOKUP($B471,'Afton FY16 Final'!$A$5:$BV$587,'Afton FY16 Final'!AR$587,0),0)</f>
        <v>2083.7683121619589</v>
      </c>
      <c r="F471" s="637">
        <f>IFERROR(VLOOKUP($B471,'Afton FY16 Final'!$A$5:$BV$587,'Afton FY16 Final'!AS$587,0),0)</f>
        <v>0</v>
      </c>
      <c r="G471" s="637">
        <f>IFERROR(VLOOKUP($B471,'Afton FY16 Final'!$A$5:$BV$587,'Afton FY16 Final'!AT$587,0),0)</f>
        <v>0</v>
      </c>
      <c r="H471" s="638">
        <f>IFERROR(VLOOKUP($B471,'Afton FY16 Final'!$A$5:$BV$587,'Afton FY16 Final'!AU$587,0),0)</f>
        <v>2083.7683121619589</v>
      </c>
      <c r="I471" s="639" t="str">
        <f>VLOOKUP($B471,'Afton Update'!$A$5:$CR$582,'Afton Update'!BT$589,0)</f>
        <v>N</v>
      </c>
      <c r="J471" s="640" t="str">
        <f>VLOOKUP($B471,'Afton Update'!$A$5:$CR$582,'Afton Update'!BU$589,0)</f>
        <v>N</v>
      </c>
      <c r="K471" s="640" t="str">
        <f>VLOOKUP($B471,'Afton Update'!$A$5:$CR$582,'Afton Update'!BV$589,0)</f>
        <v>N</v>
      </c>
      <c r="L471" s="641" t="str">
        <f>VLOOKUP($B471,'Afton Update'!$A$5:$CR$582,'Afton Update'!BW$589,0)</f>
        <v>N</v>
      </c>
      <c r="N471" s="642">
        <f>VLOOKUP($B471,'Afton Update'!$A$5:$CR$582,'Afton Update'!CB$589,0)</f>
        <v>0.95</v>
      </c>
      <c r="P471" s="636" t="str">
        <f>VLOOKUP($B471,'Afton Update'!$A$5:$CR$582,'Afton Update'!AH$589,0)</f>
        <v/>
      </c>
      <c r="Q471" s="637" t="str">
        <f>VLOOKUP($B471,'Afton Update'!$A$5:$CR$582,'Afton Update'!AI$589,0)</f>
        <v/>
      </c>
      <c r="R471" s="637" t="str">
        <f>VLOOKUP($B471,'Afton Update'!$A$5:$CR$582,'Afton Update'!AJ$589,0)</f>
        <v/>
      </c>
      <c r="S471" s="637" t="str">
        <f>VLOOKUP($B471,'Afton Update'!$A$5:$CR$582,'Afton Update'!AK$589,0)</f>
        <v/>
      </c>
      <c r="T471" s="643">
        <f t="shared" si="1430"/>
        <v>0</v>
      </c>
      <c r="V471" s="636">
        <f t="shared" si="1456"/>
        <v>0</v>
      </c>
      <c r="W471" s="637">
        <f t="shared" si="1457"/>
        <v>1979.5798965538609</v>
      </c>
      <c r="X471" s="637">
        <f t="shared" si="1458"/>
        <v>0</v>
      </c>
      <c r="Y471" s="637">
        <f t="shared" si="1459"/>
        <v>0</v>
      </c>
      <c r="Z471" s="643">
        <f t="shared" si="1460"/>
        <v>1979.5798965538609</v>
      </c>
      <c r="AB471" s="644">
        <f t="shared" si="1431"/>
        <v>0</v>
      </c>
      <c r="AC471" s="645">
        <f t="shared" si="1427"/>
        <v>0</v>
      </c>
      <c r="AD471" s="644">
        <f t="shared" si="1461"/>
        <v>0</v>
      </c>
      <c r="AE471" s="645">
        <f t="shared" si="1462"/>
        <v>0</v>
      </c>
      <c r="AF471" s="646">
        <f t="shared" si="1463"/>
        <v>0</v>
      </c>
      <c r="AG471" s="647">
        <f t="shared" si="1464"/>
        <v>0</v>
      </c>
      <c r="AH471" s="644">
        <f t="shared" si="1432"/>
        <v>0</v>
      </c>
      <c r="AI471" s="645">
        <f t="shared" si="1433"/>
        <v>0</v>
      </c>
      <c r="AJ471" s="646">
        <f t="shared" si="1465"/>
        <v>0</v>
      </c>
      <c r="AK471" s="647">
        <f t="shared" si="1434"/>
        <v>0</v>
      </c>
      <c r="AL471" s="644">
        <f t="shared" si="1466"/>
        <v>0</v>
      </c>
      <c r="AM471" s="645">
        <f t="shared" si="1467"/>
        <v>0</v>
      </c>
      <c r="AN471" s="646">
        <f t="shared" si="1468"/>
        <v>0</v>
      </c>
      <c r="AO471" s="647">
        <f t="shared" si="1435"/>
        <v>0</v>
      </c>
      <c r="AP471" s="644">
        <f t="shared" si="1469"/>
        <v>0</v>
      </c>
      <c r="AQ471" s="645">
        <f t="shared" si="1470"/>
        <v>0</v>
      </c>
      <c r="AR471" s="646">
        <f t="shared" si="1471"/>
        <v>0</v>
      </c>
      <c r="AS471" s="647">
        <f t="shared" si="1436"/>
        <v>0</v>
      </c>
      <c r="AT471" s="644">
        <f t="shared" si="1472"/>
        <v>0</v>
      </c>
      <c r="AU471" s="645">
        <f t="shared" si="1473"/>
        <v>0</v>
      </c>
      <c r="AV471" s="646">
        <f t="shared" si="1474"/>
        <v>0</v>
      </c>
      <c r="AW471" s="647">
        <f t="shared" si="1437"/>
        <v>0</v>
      </c>
      <c r="AY471" s="644">
        <f t="shared" si="1475"/>
        <v>0</v>
      </c>
      <c r="AZ471" s="645">
        <f t="shared" si="1405"/>
        <v>1979.5798965538609</v>
      </c>
      <c r="BA471" s="644">
        <f t="shared" si="1476"/>
        <v>0</v>
      </c>
      <c r="BB471" s="645">
        <f t="shared" si="1477"/>
        <v>0</v>
      </c>
      <c r="BC471" s="646">
        <f t="shared" si="1478"/>
        <v>0</v>
      </c>
      <c r="BD471" s="647">
        <f t="shared" si="1479"/>
        <v>0</v>
      </c>
      <c r="BE471" s="644">
        <f t="shared" si="1438"/>
        <v>-1979.5798965538609</v>
      </c>
      <c r="BF471" s="645">
        <f t="shared" si="1439"/>
        <v>0</v>
      </c>
      <c r="BG471" s="646">
        <f t="shared" si="1480"/>
        <v>0</v>
      </c>
      <c r="BH471" s="647">
        <f t="shared" si="1440"/>
        <v>1979.5798965538609</v>
      </c>
      <c r="BI471" s="644">
        <f t="shared" si="1481"/>
        <v>0</v>
      </c>
      <c r="BJ471" s="645">
        <f t="shared" si="1482"/>
        <v>0</v>
      </c>
      <c r="BK471" s="646">
        <f t="shared" si="1483"/>
        <v>0</v>
      </c>
      <c r="BL471" s="647">
        <f t="shared" si="1441"/>
        <v>1979.5798965538609</v>
      </c>
      <c r="BM471" s="644">
        <f t="shared" si="1484"/>
        <v>0</v>
      </c>
      <c r="BN471" s="645">
        <f t="shared" si="1485"/>
        <v>0</v>
      </c>
      <c r="BO471" s="646">
        <f t="shared" si="1486"/>
        <v>0</v>
      </c>
      <c r="BP471" s="647">
        <f t="shared" si="1442"/>
        <v>1979.5798965538609</v>
      </c>
      <c r="BQ471" s="644">
        <f t="shared" si="1487"/>
        <v>0</v>
      </c>
      <c r="BR471" s="645">
        <f t="shared" si="1488"/>
        <v>0</v>
      </c>
      <c r="BS471" s="646">
        <f t="shared" si="1489"/>
        <v>0</v>
      </c>
      <c r="BT471" s="647">
        <f t="shared" si="1443"/>
        <v>1979.5798965538609</v>
      </c>
      <c r="BU471" s="662">
        <f>VLOOKUP(B471,'Afton Update'!$A$5:$AR$582,'Afton Update'!$AO$589,0)-BT471</f>
        <v>0</v>
      </c>
      <c r="BV471" s="644">
        <f t="shared" si="1490"/>
        <v>0</v>
      </c>
      <c r="BW471" s="645">
        <f t="shared" si="1428"/>
        <v>0</v>
      </c>
      <c r="BX471" s="644">
        <f t="shared" si="1491"/>
        <v>0</v>
      </c>
      <c r="BY471" s="645">
        <f t="shared" si="1492"/>
        <v>0</v>
      </c>
      <c r="BZ471" s="646">
        <f t="shared" si="1493"/>
        <v>0</v>
      </c>
      <c r="CA471" s="647">
        <f t="shared" si="1494"/>
        <v>0</v>
      </c>
      <c r="CB471" s="644">
        <f t="shared" si="1444"/>
        <v>0</v>
      </c>
      <c r="CC471" s="645">
        <f t="shared" si="1445"/>
        <v>0</v>
      </c>
      <c r="CD471" s="646">
        <f t="shared" si="1495"/>
        <v>0</v>
      </c>
      <c r="CE471" s="647">
        <f t="shared" si="1446"/>
        <v>0</v>
      </c>
      <c r="CF471" s="644">
        <f t="shared" si="1496"/>
        <v>0</v>
      </c>
      <c r="CG471" s="645">
        <f t="shared" si="1497"/>
        <v>0</v>
      </c>
      <c r="CH471" s="646">
        <f t="shared" si="1498"/>
        <v>0</v>
      </c>
      <c r="CI471" s="647">
        <f t="shared" si="1447"/>
        <v>0</v>
      </c>
      <c r="CJ471" s="644">
        <f t="shared" si="1499"/>
        <v>0</v>
      </c>
      <c r="CK471" s="645">
        <f t="shared" si="1500"/>
        <v>0</v>
      </c>
      <c r="CL471" s="646">
        <f t="shared" si="1501"/>
        <v>0</v>
      </c>
      <c r="CM471" s="647">
        <f t="shared" si="1448"/>
        <v>0</v>
      </c>
      <c r="CN471" s="644">
        <f t="shared" si="1502"/>
        <v>0</v>
      </c>
      <c r="CO471" s="645">
        <f t="shared" si="1503"/>
        <v>0</v>
      </c>
      <c r="CP471" s="646">
        <f t="shared" si="1504"/>
        <v>0</v>
      </c>
      <c r="CQ471" s="647">
        <f t="shared" si="1449"/>
        <v>0</v>
      </c>
      <c r="CS471" s="644">
        <f t="shared" si="1505"/>
        <v>0</v>
      </c>
      <c r="CT471" s="645">
        <f t="shared" si="1429"/>
        <v>0</v>
      </c>
      <c r="CU471" s="644">
        <f t="shared" si="1506"/>
        <v>0</v>
      </c>
      <c r="CV471" s="645">
        <f t="shared" si="1507"/>
        <v>0</v>
      </c>
      <c r="CW471" s="646">
        <f t="shared" si="1508"/>
        <v>0</v>
      </c>
      <c r="CX471" s="647">
        <f t="shared" si="1509"/>
        <v>0</v>
      </c>
      <c r="CY471" s="644">
        <f t="shared" si="1450"/>
        <v>0</v>
      </c>
      <c r="CZ471" s="645">
        <f t="shared" si="1451"/>
        <v>0</v>
      </c>
      <c r="DA471" s="646">
        <f t="shared" si="1510"/>
        <v>0</v>
      </c>
      <c r="DB471" s="647">
        <f t="shared" si="1452"/>
        <v>0</v>
      </c>
      <c r="DC471" s="644">
        <f t="shared" si="1511"/>
        <v>0</v>
      </c>
      <c r="DD471" s="645">
        <f t="shared" si="1512"/>
        <v>0</v>
      </c>
      <c r="DE471" s="646">
        <f t="shared" si="1513"/>
        <v>0</v>
      </c>
      <c r="DF471" s="647">
        <f t="shared" si="1453"/>
        <v>0</v>
      </c>
      <c r="DG471" s="644">
        <f t="shared" si="1514"/>
        <v>0</v>
      </c>
      <c r="DH471" s="645">
        <f t="shared" si="1515"/>
        <v>0</v>
      </c>
      <c r="DI471" s="646">
        <f t="shared" si="1516"/>
        <v>0</v>
      </c>
      <c r="DJ471" s="647">
        <f t="shared" si="1454"/>
        <v>0</v>
      </c>
      <c r="DK471" s="644">
        <f t="shared" si="1517"/>
        <v>0</v>
      </c>
      <c r="DL471" s="645">
        <f t="shared" si="1518"/>
        <v>0</v>
      </c>
      <c r="DM471" s="646">
        <f t="shared" si="1519"/>
        <v>0</v>
      </c>
      <c r="DN471" s="647">
        <f t="shared" si="1455"/>
        <v>0</v>
      </c>
      <c r="DR471" s="827">
        <f t="shared" si="1406"/>
        <v>1979.5798965538609</v>
      </c>
      <c r="DV471" s="828">
        <f>IFERROR(VLOOKUP($B471,'Afton FY16 Final'!$A$5:$BV$587,'Afton FY16 Final'!$BV$587,0),0)</f>
        <v>1939.9333959868973</v>
      </c>
      <c r="DX471" s="636">
        <f t="shared" si="1397"/>
        <v>1979.5798965538609</v>
      </c>
      <c r="DY471" s="637">
        <f t="shared" si="1398"/>
        <v>39.646500566963596</v>
      </c>
      <c r="DZ471" s="637">
        <f t="shared" si="1399"/>
        <v>1939.9333959868973</v>
      </c>
      <c r="EA471" s="643">
        <f t="shared" si="1400"/>
        <v>1874.2884320028156</v>
      </c>
      <c r="EB471" s="637">
        <f t="shared" si="1407"/>
        <v>1939.9333959868973</v>
      </c>
      <c r="EC471" s="637">
        <f t="shared" si="1408"/>
        <v>0</v>
      </c>
      <c r="ED471" s="637">
        <f t="shared" si="1409"/>
        <v>0</v>
      </c>
      <c r="EE471" s="643">
        <f t="shared" si="1410"/>
        <v>1939.9333959868973</v>
      </c>
      <c r="EF471" s="637">
        <f t="shared" si="1411"/>
        <v>0</v>
      </c>
      <c r="EG471" s="637">
        <f t="shared" si="1412"/>
        <v>0</v>
      </c>
      <c r="EH471" s="637">
        <f t="shared" si="1413"/>
        <v>0</v>
      </c>
      <c r="EI471" s="643">
        <f t="shared" si="1414"/>
        <v>1939.9333959868973</v>
      </c>
      <c r="EJ471" s="637">
        <f t="shared" si="1415"/>
        <v>0</v>
      </c>
      <c r="EK471" s="637">
        <f t="shared" si="1416"/>
        <v>0</v>
      </c>
      <c r="EL471" s="637">
        <f t="shared" si="1417"/>
        <v>0</v>
      </c>
      <c r="EM471" s="643">
        <f t="shared" si="1418"/>
        <v>1939.9333959868973</v>
      </c>
      <c r="EN471" s="637">
        <f t="shared" si="1419"/>
        <v>0</v>
      </c>
      <c r="EO471" s="637">
        <f t="shared" si="1420"/>
        <v>0</v>
      </c>
      <c r="EP471" s="637">
        <f t="shared" si="1421"/>
        <v>0</v>
      </c>
      <c r="EQ471" s="643">
        <f t="shared" si="1422"/>
        <v>1939.9333959868973</v>
      </c>
      <c r="ER471" s="637">
        <f t="shared" si="1423"/>
        <v>0</v>
      </c>
      <c r="ES471" s="637">
        <f t="shared" si="1424"/>
        <v>0</v>
      </c>
      <c r="ET471" s="637">
        <f t="shared" si="1425"/>
        <v>0</v>
      </c>
      <c r="EU471" s="643">
        <f t="shared" si="1401"/>
        <v>1939.9333959868973</v>
      </c>
      <c r="EV471" s="643">
        <f t="shared" si="1402"/>
        <v>0</v>
      </c>
      <c r="EX471" s="829">
        <f t="shared" si="1403"/>
        <v>39.646500566963596</v>
      </c>
      <c r="EY471" s="638">
        <f t="shared" si="1404"/>
        <v>1939.9333959868973</v>
      </c>
      <c r="FC471" s="830" t="str">
        <f t="shared" si="1426"/>
        <v>Y</v>
      </c>
      <c r="FE471" s="830" t="str">
        <f>IFERROR(VLOOKUP($B471,'Historical Conc Grant Elig'!$B$3:$J$707,'HH &amp; SI'!FE$2,0),"N")</f>
        <v>Y</v>
      </c>
      <c r="FF471" s="830" t="str">
        <f>IFERROR(VLOOKUP($B471,'Historical Conc Grant Elig'!$B$3:$J$707,'HH &amp; SI'!FF$2,0),"N")</f>
        <v>N</v>
      </c>
      <c r="FG471" s="830" t="str">
        <f>IFERROR(VLOOKUP($B471,'Historical Conc Grant Elig'!$B$3:$J$707,'HH &amp; SI'!FG$2,0),"N")</f>
        <v>N</v>
      </c>
      <c r="FH471" s="830" t="str">
        <f>IFERROR(VLOOKUP($B471,'Historical Conc Grant Elig'!$B$3:$J$707,'HH &amp; SI'!FH$2,0),"N")</f>
        <v>Y</v>
      </c>
      <c r="FI471" s="830" t="str">
        <f>IFERROR(VLOOKUP($B471,'Historical Conc Grant Elig'!$B$3:$J$707,'HH &amp; SI'!FI$2,0),"N")</f>
        <v>Y</v>
      </c>
      <c r="FJ471" s="830" t="str">
        <f>IFERROR(VLOOKUP($B471,'Historical Conc Grant Elig'!$B$3:$J$707,'HH &amp; SI'!FJ$2,0),"N")</f>
        <v>N</v>
      </c>
      <c r="FK471" s="830" t="str">
        <f>IFERROR(VLOOKUP($B471,'Historical Conc Grant Elig'!$B$3:$J$707,'HH &amp; SI'!FK$2,0),"N")</f>
        <v>N</v>
      </c>
      <c r="FL471" s="957" t="str">
        <f>IFERROR(VLOOKUP($B471,'Historical Conc Grant Elig'!$B$3:$J$707,'HH &amp; SI'!FL$2,0),"N")</f>
        <v>N</v>
      </c>
    </row>
    <row r="472" spans="2:168" x14ac:dyDescent="0.25">
      <c r="B472" s="634">
        <v>138760000</v>
      </c>
      <c r="C472" s="635" t="str">
        <f>VLOOKUP($B472,'Afton Update'!$A$5:$CR$582,'Afton Update'!D$589,0)</f>
        <v>Acorn Montessori Charter School</v>
      </c>
      <c r="D472" s="636">
        <f>IFERROR(VLOOKUP($B472,'Afton FY16 Final'!$A$5:$BV$587,'Afton FY16 Final'!AQ$587,0),0)</f>
        <v>78556.909887708709</v>
      </c>
      <c r="E472" s="637">
        <f>IFERROR(VLOOKUP($B472,'Afton FY16 Final'!$A$5:$BV$587,'Afton FY16 Final'!AR$587,0),0)</f>
        <v>18797.921136524892</v>
      </c>
      <c r="F472" s="637">
        <f>IFERROR(VLOOKUP($B472,'Afton FY16 Final'!$A$5:$BV$587,'Afton FY16 Final'!AS$587,0),0)</f>
        <v>32478.40477248768</v>
      </c>
      <c r="G472" s="637">
        <f>IFERROR(VLOOKUP($B472,'Afton FY16 Final'!$A$5:$BV$587,'Afton FY16 Final'!AT$587,0),0)</f>
        <v>27476.314821737848</v>
      </c>
      <c r="H472" s="638">
        <f>IFERROR(VLOOKUP($B472,'Afton FY16 Final'!$A$5:$BV$587,'Afton FY16 Final'!AU$587,0),0)</f>
        <v>157309.55061845912</v>
      </c>
      <c r="I472" s="639" t="str">
        <f>VLOOKUP($B472,'Afton Update'!$A$5:$CR$582,'Afton Update'!BT$589,0)</f>
        <v>Y</v>
      </c>
      <c r="J472" s="640" t="str">
        <f>VLOOKUP($B472,'Afton Update'!$A$5:$CR$582,'Afton Update'!BU$589,0)</f>
        <v>Y</v>
      </c>
      <c r="K472" s="640" t="str">
        <f>VLOOKUP($B472,'Afton Update'!$A$5:$CR$582,'Afton Update'!BV$589,0)</f>
        <v>Y</v>
      </c>
      <c r="L472" s="641" t="str">
        <f>VLOOKUP($B472,'Afton Update'!$A$5:$CR$582,'Afton Update'!BW$589,0)</f>
        <v>Y</v>
      </c>
      <c r="N472" s="642">
        <f>VLOOKUP($B472,'Afton Update'!$A$5:$CR$582,'Afton Update'!CB$589,0)</f>
        <v>0.95</v>
      </c>
      <c r="P472" s="636">
        <f>VLOOKUP($B472,'Afton Update'!$A$5:$CR$582,'Afton Update'!AH$589,0)</f>
        <v>70145.3542863974</v>
      </c>
      <c r="Q472" s="637">
        <f>VLOOKUP($B472,'Afton Update'!$A$5:$CR$582,'Afton Update'!AI$589,0)</f>
        <v>19559.742198562362</v>
      </c>
      <c r="R472" s="637">
        <f>VLOOKUP($B472,'Afton Update'!$A$5:$CR$582,'Afton Update'!AJ$589,0)</f>
        <v>30176.385066558094</v>
      </c>
      <c r="S472" s="637">
        <f>VLOOKUP($B472,'Afton Update'!$A$5:$CR$582,'Afton Update'!AK$589,0)</f>
        <v>24495.900430803013</v>
      </c>
      <c r="T472" s="643">
        <f t="shared" si="1430"/>
        <v>144377.38198232086</v>
      </c>
      <c r="V472" s="636">
        <f t="shared" si="1456"/>
        <v>74629.064393323264</v>
      </c>
      <c r="W472" s="637">
        <f t="shared" si="1457"/>
        <v>18915.515802822465</v>
      </c>
      <c r="X472" s="637">
        <f t="shared" si="1458"/>
        <v>30854.484533863295</v>
      </c>
      <c r="Y472" s="637">
        <f t="shared" si="1459"/>
        <v>26102.499080650952</v>
      </c>
      <c r="Z472" s="643">
        <f t="shared" si="1460"/>
        <v>150501.56381065998</v>
      </c>
      <c r="AB472" s="644">
        <f t="shared" si="1431"/>
        <v>70145.3542863974</v>
      </c>
      <c r="AC472" s="645">
        <f t="shared" si="1427"/>
        <v>74629.064393323264</v>
      </c>
      <c r="AD472" s="644">
        <f t="shared" si="1461"/>
        <v>4483.7101069258642</v>
      </c>
      <c r="AE472" s="645">
        <f t="shared" si="1462"/>
        <v>0</v>
      </c>
      <c r="AF472" s="646">
        <f t="shared" si="1463"/>
        <v>0</v>
      </c>
      <c r="AG472" s="647">
        <f t="shared" si="1464"/>
        <v>74629.064393323264</v>
      </c>
      <c r="AH472" s="644">
        <f t="shared" si="1432"/>
        <v>0</v>
      </c>
      <c r="AI472" s="645">
        <f t="shared" si="1433"/>
        <v>0</v>
      </c>
      <c r="AJ472" s="646">
        <f t="shared" si="1465"/>
        <v>0</v>
      </c>
      <c r="AK472" s="647">
        <f t="shared" si="1434"/>
        <v>74629.064393323264</v>
      </c>
      <c r="AL472" s="644">
        <f t="shared" si="1466"/>
        <v>0</v>
      </c>
      <c r="AM472" s="645">
        <f t="shared" si="1467"/>
        <v>0</v>
      </c>
      <c r="AN472" s="646">
        <f t="shared" si="1468"/>
        <v>0</v>
      </c>
      <c r="AO472" s="647">
        <f t="shared" si="1435"/>
        <v>74629.064393323264</v>
      </c>
      <c r="AP472" s="644">
        <f t="shared" si="1469"/>
        <v>0</v>
      </c>
      <c r="AQ472" s="645">
        <f t="shared" si="1470"/>
        <v>0</v>
      </c>
      <c r="AR472" s="646">
        <f t="shared" si="1471"/>
        <v>0</v>
      </c>
      <c r="AS472" s="647">
        <f t="shared" si="1436"/>
        <v>74629.064393323264</v>
      </c>
      <c r="AT472" s="644">
        <f t="shared" si="1472"/>
        <v>0</v>
      </c>
      <c r="AU472" s="645">
        <f t="shared" si="1473"/>
        <v>0</v>
      </c>
      <c r="AV472" s="646">
        <f t="shared" si="1474"/>
        <v>0</v>
      </c>
      <c r="AW472" s="647">
        <f t="shared" si="1437"/>
        <v>74629.064393323264</v>
      </c>
      <c r="AY472" s="644">
        <f t="shared" si="1475"/>
        <v>19559.742198562362</v>
      </c>
      <c r="AZ472" s="645">
        <f t="shared" si="1405"/>
        <v>17858.025079698647</v>
      </c>
      <c r="BA472" s="644">
        <f t="shared" si="1476"/>
        <v>0</v>
      </c>
      <c r="BB472" s="645">
        <f t="shared" si="1477"/>
        <v>19559.742198562362</v>
      </c>
      <c r="BC472" s="646">
        <f t="shared" si="1478"/>
        <v>-140.65980645422059</v>
      </c>
      <c r="BD472" s="647">
        <f t="shared" si="1479"/>
        <v>19419.082392108143</v>
      </c>
      <c r="BE472" s="644">
        <f t="shared" si="1438"/>
        <v>0</v>
      </c>
      <c r="BF472" s="645">
        <f t="shared" si="1439"/>
        <v>19419.082392108143</v>
      </c>
      <c r="BG472" s="646">
        <f t="shared" si="1480"/>
        <v>-462.54671716957495</v>
      </c>
      <c r="BH472" s="647">
        <f t="shared" si="1440"/>
        <v>18956.535674938568</v>
      </c>
      <c r="BI472" s="644">
        <f t="shared" si="1481"/>
        <v>0</v>
      </c>
      <c r="BJ472" s="645">
        <f t="shared" si="1482"/>
        <v>18956.535674938568</v>
      </c>
      <c r="BK472" s="646">
        <f t="shared" si="1483"/>
        <v>-40.154394919139214</v>
      </c>
      <c r="BL472" s="647">
        <f t="shared" si="1441"/>
        <v>18916.381280019428</v>
      </c>
      <c r="BM472" s="644">
        <f t="shared" si="1484"/>
        <v>0</v>
      </c>
      <c r="BN472" s="645">
        <f t="shared" si="1485"/>
        <v>18916.381280019428</v>
      </c>
      <c r="BO472" s="646">
        <f t="shared" si="1486"/>
        <v>-0.86547719696365</v>
      </c>
      <c r="BP472" s="647">
        <f t="shared" si="1442"/>
        <v>18915.515802822465</v>
      </c>
      <c r="BQ472" s="644">
        <f t="shared" si="1487"/>
        <v>0</v>
      </c>
      <c r="BR472" s="645">
        <f t="shared" si="1488"/>
        <v>18915.515802822465</v>
      </c>
      <c r="BS472" s="646">
        <f t="shared" si="1489"/>
        <v>0</v>
      </c>
      <c r="BT472" s="647">
        <f t="shared" si="1443"/>
        <v>18915.515802822465</v>
      </c>
      <c r="BU472" s="662">
        <f>VLOOKUP(B472,'Afton Update'!$A$5:$AR$582,'Afton Update'!$AO$589,0)-BT472</f>
        <v>0</v>
      </c>
      <c r="BV472" s="644">
        <f t="shared" si="1490"/>
        <v>30176.385066558094</v>
      </c>
      <c r="BW472" s="645">
        <f t="shared" si="1428"/>
        <v>30854.484533863295</v>
      </c>
      <c r="BX472" s="644">
        <f t="shared" si="1491"/>
        <v>678.09946730520096</v>
      </c>
      <c r="BY472" s="645">
        <f t="shared" si="1492"/>
        <v>0</v>
      </c>
      <c r="BZ472" s="646">
        <f t="shared" si="1493"/>
        <v>0</v>
      </c>
      <c r="CA472" s="647">
        <f t="shared" si="1494"/>
        <v>30854.484533863295</v>
      </c>
      <c r="CB472" s="644">
        <f t="shared" si="1444"/>
        <v>0</v>
      </c>
      <c r="CC472" s="645">
        <f t="shared" si="1445"/>
        <v>0</v>
      </c>
      <c r="CD472" s="646">
        <f t="shared" si="1495"/>
        <v>0</v>
      </c>
      <c r="CE472" s="647">
        <f t="shared" si="1446"/>
        <v>30854.484533863295</v>
      </c>
      <c r="CF472" s="644">
        <f t="shared" si="1496"/>
        <v>0</v>
      </c>
      <c r="CG472" s="645">
        <f t="shared" si="1497"/>
        <v>0</v>
      </c>
      <c r="CH472" s="646">
        <f t="shared" si="1498"/>
        <v>0</v>
      </c>
      <c r="CI472" s="647">
        <f t="shared" si="1447"/>
        <v>30854.484533863295</v>
      </c>
      <c r="CJ472" s="644">
        <f t="shared" si="1499"/>
        <v>0</v>
      </c>
      <c r="CK472" s="645">
        <f t="shared" si="1500"/>
        <v>0</v>
      </c>
      <c r="CL472" s="646">
        <f t="shared" si="1501"/>
        <v>0</v>
      </c>
      <c r="CM472" s="647">
        <f t="shared" si="1448"/>
        <v>30854.484533863295</v>
      </c>
      <c r="CN472" s="644">
        <f t="shared" si="1502"/>
        <v>0</v>
      </c>
      <c r="CO472" s="645">
        <f t="shared" si="1503"/>
        <v>0</v>
      </c>
      <c r="CP472" s="646">
        <f t="shared" si="1504"/>
        <v>0</v>
      </c>
      <c r="CQ472" s="647">
        <f t="shared" si="1449"/>
        <v>30854.484533863295</v>
      </c>
      <c r="CS472" s="644">
        <f t="shared" si="1505"/>
        <v>24495.900430803013</v>
      </c>
      <c r="CT472" s="645">
        <f t="shared" si="1429"/>
        <v>26102.499080650952</v>
      </c>
      <c r="CU472" s="644">
        <f t="shared" si="1506"/>
        <v>1606.5986498479397</v>
      </c>
      <c r="CV472" s="645">
        <f t="shared" si="1507"/>
        <v>0</v>
      </c>
      <c r="CW472" s="646">
        <f t="shared" si="1508"/>
        <v>0</v>
      </c>
      <c r="CX472" s="647">
        <f t="shared" si="1509"/>
        <v>26102.499080650952</v>
      </c>
      <c r="CY472" s="644">
        <f t="shared" si="1450"/>
        <v>0</v>
      </c>
      <c r="CZ472" s="645">
        <f t="shared" si="1451"/>
        <v>0</v>
      </c>
      <c r="DA472" s="646">
        <f t="shared" si="1510"/>
        <v>0</v>
      </c>
      <c r="DB472" s="647">
        <f t="shared" si="1452"/>
        <v>26102.499080650952</v>
      </c>
      <c r="DC472" s="644">
        <f t="shared" si="1511"/>
        <v>0</v>
      </c>
      <c r="DD472" s="645">
        <f t="shared" si="1512"/>
        <v>0</v>
      </c>
      <c r="DE472" s="646">
        <f t="shared" si="1513"/>
        <v>0</v>
      </c>
      <c r="DF472" s="647">
        <f t="shared" si="1453"/>
        <v>26102.499080650952</v>
      </c>
      <c r="DG472" s="644">
        <f t="shared" si="1514"/>
        <v>0</v>
      </c>
      <c r="DH472" s="645">
        <f t="shared" si="1515"/>
        <v>0</v>
      </c>
      <c r="DI472" s="646">
        <f t="shared" si="1516"/>
        <v>0</v>
      </c>
      <c r="DJ472" s="647">
        <f t="shared" si="1454"/>
        <v>26102.499080650952</v>
      </c>
      <c r="DK472" s="644">
        <f t="shared" si="1517"/>
        <v>0</v>
      </c>
      <c r="DL472" s="645">
        <f t="shared" si="1518"/>
        <v>0</v>
      </c>
      <c r="DM472" s="646">
        <f t="shared" si="1519"/>
        <v>0</v>
      </c>
      <c r="DN472" s="647">
        <f t="shared" si="1455"/>
        <v>26102.499080650952</v>
      </c>
      <c r="DR472" s="827">
        <f t="shared" si="1406"/>
        <v>150501.56381065998</v>
      </c>
      <c r="DV472" s="828">
        <f>IFERROR(VLOOKUP($B472,'Afton FY16 Final'!$A$5:$BV$587,'Afton FY16 Final'!$BV$587,0),0)</f>
        <v>151742.05316822938</v>
      </c>
      <c r="DX472" s="636">
        <f t="shared" si="1397"/>
        <v>0</v>
      </c>
      <c r="DY472" s="637">
        <f t="shared" si="1398"/>
        <v>0</v>
      </c>
      <c r="DZ472" s="637">
        <f t="shared" si="1399"/>
        <v>0</v>
      </c>
      <c r="EA472" s="643">
        <f t="shared" si="1400"/>
        <v>0</v>
      </c>
      <c r="EB472" s="637">
        <f t="shared" si="1407"/>
        <v>0</v>
      </c>
      <c r="EC472" s="637">
        <f t="shared" si="1408"/>
        <v>0</v>
      </c>
      <c r="ED472" s="637">
        <f t="shared" si="1409"/>
        <v>0</v>
      </c>
      <c r="EE472" s="643">
        <f t="shared" si="1410"/>
        <v>0</v>
      </c>
      <c r="EF472" s="637">
        <f t="shared" si="1411"/>
        <v>0</v>
      </c>
      <c r="EG472" s="637">
        <f t="shared" si="1412"/>
        <v>0</v>
      </c>
      <c r="EH472" s="637">
        <f t="shared" si="1413"/>
        <v>0</v>
      </c>
      <c r="EI472" s="643">
        <f t="shared" si="1414"/>
        <v>0</v>
      </c>
      <c r="EJ472" s="637">
        <f t="shared" si="1415"/>
        <v>0</v>
      </c>
      <c r="EK472" s="637">
        <f t="shared" si="1416"/>
        <v>0</v>
      </c>
      <c r="EL472" s="637">
        <f t="shared" si="1417"/>
        <v>0</v>
      </c>
      <c r="EM472" s="643">
        <f t="shared" si="1418"/>
        <v>0</v>
      </c>
      <c r="EN472" s="637">
        <f t="shared" si="1419"/>
        <v>0</v>
      </c>
      <c r="EO472" s="637">
        <f t="shared" si="1420"/>
        <v>0</v>
      </c>
      <c r="EP472" s="637">
        <f t="shared" si="1421"/>
        <v>0</v>
      </c>
      <c r="EQ472" s="643">
        <f t="shared" si="1422"/>
        <v>0</v>
      </c>
      <c r="ER472" s="637">
        <f t="shared" si="1423"/>
        <v>0</v>
      </c>
      <c r="ES472" s="637">
        <f t="shared" si="1424"/>
        <v>0</v>
      </c>
      <c r="ET472" s="637">
        <f t="shared" si="1425"/>
        <v>0</v>
      </c>
      <c r="EU472" s="643">
        <f t="shared" si="1401"/>
        <v>0</v>
      </c>
      <c r="EV472" s="643">
        <f t="shared" si="1402"/>
        <v>0</v>
      </c>
      <c r="EX472" s="829">
        <f t="shared" si="1403"/>
        <v>0</v>
      </c>
      <c r="EY472" s="638">
        <f t="shared" si="1404"/>
        <v>150501.56381065998</v>
      </c>
      <c r="FC472" s="830" t="str">
        <f t="shared" si="1426"/>
        <v>Y</v>
      </c>
      <c r="FE472" s="830" t="str">
        <f>IFERROR(VLOOKUP($B472,'Historical Conc Grant Elig'!$B$3:$J$707,'HH &amp; SI'!FE$2,0),"N")</f>
        <v>Y</v>
      </c>
      <c r="FF472" s="830" t="str">
        <f>IFERROR(VLOOKUP($B472,'Historical Conc Grant Elig'!$B$3:$J$707,'HH &amp; SI'!FF$2,0),"N")</f>
        <v>Y</v>
      </c>
      <c r="FG472" s="830" t="str">
        <f>IFERROR(VLOOKUP($B472,'Historical Conc Grant Elig'!$B$3:$J$707,'HH &amp; SI'!FG$2,0),"N")</f>
        <v>Y</v>
      </c>
      <c r="FH472" s="830" t="str">
        <f>IFERROR(VLOOKUP($B472,'Historical Conc Grant Elig'!$B$3:$J$707,'HH &amp; SI'!FH$2,0),"N")</f>
        <v>Y</v>
      </c>
      <c r="FI472" s="830" t="str">
        <f>IFERROR(VLOOKUP($B472,'Historical Conc Grant Elig'!$B$3:$J$707,'HH &amp; SI'!FI$2,0),"N")</f>
        <v>Y</v>
      </c>
      <c r="FJ472" s="830" t="str">
        <f>IFERROR(VLOOKUP($B472,'Historical Conc Grant Elig'!$B$3:$J$707,'HH &amp; SI'!FJ$2,0),"N")</f>
        <v>Y</v>
      </c>
      <c r="FK472" s="830" t="str">
        <f>IFERROR(VLOOKUP($B472,'Historical Conc Grant Elig'!$B$3:$J$707,'HH &amp; SI'!FK$2,0),"N")</f>
        <v>Y</v>
      </c>
      <c r="FL472" s="957" t="str">
        <f>IFERROR(VLOOKUP($B472,'Historical Conc Grant Elig'!$B$3:$J$707,'HH &amp; SI'!FL$2,0),"N")</f>
        <v>Y</v>
      </c>
    </row>
    <row r="473" spans="2:168" x14ac:dyDescent="0.25">
      <c r="B473" s="634">
        <v>138761000</v>
      </c>
      <c r="C473" s="635" t="str">
        <f>VLOOKUP($B473,'Afton Update'!$A$5:$CR$582,'Afton Update'!D$589,0)</f>
        <v>A Center for Creative Education</v>
      </c>
      <c r="D473" s="636">
        <f>IFERROR(VLOOKUP($B473,'Afton FY16 Final'!$A$5:$BV$587,'Afton FY16 Final'!AQ$587,0),0)</f>
        <v>9125.0171475623283</v>
      </c>
      <c r="E473" s="637">
        <f>IFERROR(VLOOKUP($B473,'Afton FY16 Final'!$A$5:$BV$587,'Afton FY16 Final'!AR$587,0),0)</f>
        <v>2211.248092575745</v>
      </c>
      <c r="F473" s="637">
        <f>IFERROR(VLOOKUP($B473,'Afton FY16 Final'!$A$5:$BV$587,'Afton FY16 Final'!AS$587,0),0)</f>
        <v>3613.7617391576059</v>
      </c>
      <c r="G473" s="637">
        <f>IFERROR(VLOOKUP($B473,'Afton FY16 Final'!$A$5:$BV$587,'Afton FY16 Final'!AT$587,0),0)</f>
        <v>2613.5342118299641</v>
      </c>
      <c r="H473" s="638">
        <f>IFERROR(VLOOKUP($B473,'Afton FY16 Final'!$A$5:$BV$587,'Afton FY16 Final'!AU$587,0),0)</f>
        <v>17563.561191125642</v>
      </c>
      <c r="I473" s="639" t="str">
        <f>VLOOKUP($B473,'Afton Update'!$A$5:$CR$582,'Afton Update'!BT$589,0)</f>
        <v>Y</v>
      </c>
      <c r="J473" s="640" t="str">
        <f>VLOOKUP($B473,'Afton Update'!$A$5:$CR$582,'Afton Update'!BU$589,0)</f>
        <v>Y</v>
      </c>
      <c r="K473" s="640" t="str">
        <f>VLOOKUP($B473,'Afton Update'!$A$5:$CR$582,'Afton Update'!BV$589,0)</f>
        <v>Y</v>
      </c>
      <c r="L473" s="641" t="str">
        <f>VLOOKUP($B473,'Afton Update'!$A$5:$CR$582,'Afton Update'!BW$589,0)</f>
        <v>Y</v>
      </c>
      <c r="N473" s="642">
        <f>VLOOKUP($B473,'Afton Update'!$A$5:$CR$582,'Afton Update'!CB$589,0)</f>
        <v>0.9</v>
      </c>
      <c r="P473" s="636">
        <f>VLOOKUP($B473,'Afton Update'!$A$5:$CR$582,'Afton Update'!AH$589,0)</f>
        <v>9655.2154907534659</v>
      </c>
      <c r="Q473" s="637">
        <f>VLOOKUP($B473,'Afton Update'!$A$5:$CR$582,'Afton Update'!AI$589,0)</f>
        <v>5192.5776302194208</v>
      </c>
      <c r="R473" s="637">
        <f>VLOOKUP($B473,'Afton Update'!$A$5:$CR$582,'Afton Update'!AJ$589,0)</f>
        <v>4153.6535600059524</v>
      </c>
      <c r="S473" s="637">
        <f>VLOOKUP($B473,'Afton Update'!$A$5:$CR$582,'Afton Update'!AK$589,0)</f>
        <v>3371.7585391867956</v>
      </c>
      <c r="T473" s="643">
        <f t="shared" si="1430"/>
        <v>22373.205220165633</v>
      </c>
      <c r="V473" s="636">
        <f t="shared" si="1456"/>
        <v>9523.512084610049</v>
      </c>
      <c r="W473" s="637">
        <f t="shared" si="1457"/>
        <v>5021.5531076384559</v>
      </c>
      <c r="X473" s="637">
        <f t="shared" si="1458"/>
        <v>4115.8777026104117</v>
      </c>
      <c r="Y473" s="637">
        <f t="shared" si="1459"/>
        <v>3334.6078295603656</v>
      </c>
      <c r="Z473" s="643">
        <f t="shared" si="1460"/>
        <v>21995.550724419281</v>
      </c>
      <c r="AB473" s="644">
        <f t="shared" si="1431"/>
        <v>9655.2154907534659</v>
      </c>
      <c r="AC473" s="645">
        <f t="shared" si="1427"/>
        <v>8212.5154328060962</v>
      </c>
      <c r="AD473" s="644">
        <f t="shared" si="1461"/>
        <v>0</v>
      </c>
      <c r="AE473" s="645">
        <f t="shared" si="1462"/>
        <v>9655.2154907534659</v>
      </c>
      <c r="AF473" s="646">
        <f t="shared" si="1463"/>
        <v>-119.6836517091873</v>
      </c>
      <c r="AG473" s="647">
        <f t="shared" si="1464"/>
        <v>9535.531839044279</v>
      </c>
      <c r="AH473" s="644">
        <f t="shared" si="1432"/>
        <v>0</v>
      </c>
      <c r="AI473" s="645">
        <f t="shared" si="1433"/>
        <v>9535.531839044279</v>
      </c>
      <c r="AJ473" s="646">
        <f t="shared" si="1465"/>
        <v>-12.012096685596903</v>
      </c>
      <c r="AK473" s="647">
        <f t="shared" si="1434"/>
        <v>9523.5197423586815</v>
      </c>
      <c r="AL473" s="644">
        <f t="shared" si="1466"/>
        <v>0</v>
      </c>
      <c r="AM473" s="645">
        <f t="shared" si="1467"/>
        <v>9523.5197423586815</v>
      </c>
      <c r="AN473" s="646">
        <f t="shared" si="1468"/>
        <v>-7.6577486322477704E-3</v>
      </c>
      <c r="AO473" s="647">
        <f t="shared" si="1435"/>
        <v>9523.512084610049</v>
      </c>
      <c r="AP473" s="644">
        <f t="shared" si="1469"/>
        <v>0</v>
      </c>
      <c r="AQ473" s="645">
        <f t="shared" si="1470"/>
        <v>9523.512084610049</v>
      </c>
      <c r="AR473" s="646">
        <f t="shared" si="1471"/>
        <v>0</v>
      </c>
      <c r="AS473" s="647">
        <f t="shared" si="1436"/>
        <v>9523.512084610049</v>
      </c>
      <c r="AT473" s="644">
        <f t="shared" si="1472"/>
        <v>0</v>
      </c>
      <c r="AU473" s="645">
        <f t="shared" si="1473"/>
        <v>9523.512084610049</v>
      </c>
      <c r="AV473" s="646">
        <f t="shared" si="1474"/>
        <v>0</v>
      </c>
      <c r="AW473" s="647">
        <f t="shared" si="1437"/>
        <v>9523.512084610049</v>
      </c>
      <c r="AY473" s="644">
        <f t="shared" si="1475"/>
        <v>5192.5776302194208</v>
      </c>
      <c r="AZ473" s="645">
        <f t="shared" si="1405"/>
        <v>1990.1232833181705</v>
      </c>
      <c r="BA473" s="644">
        <f t="shared" si="1476"/>
        <v>0</v>
      </c>
      <c r="BB473" s="645">
        <f t="shared" si="1477"/>
        <v>5192.5776302194208</v>
      </c>
      <c r="BC473" s="646">
        <f t="shared" si="1478"/>
        <v>-37.341339014113508</v>
      </c>
      <c r="BD473" s="647">
        <f t="shared" si="1479"/>
        <v>5155.2362912053077</v>
      </c>
      <c r="BE473" s="644">
        <f t="shared" si="1438"/>
        <v>0</v>
      </c>
      <c r="BF473" s="645">
        <f t="shared" si="1439"/>
        <v>5155.2362912053077</v>
      </c>
      <c r="BG473" s="646">
        <f t="shared" si="1480"/>
        <v>-122.79352724202558</v>
      </c>
      <c r="BH473" s="647">
        <f t="shared" si="1440"/>
        <v>5032.4427639632822</v>
      </c>
      <c r="BI473" s="644">
        <f t="shared" si="1481"/>
        <v>0</v>
      </c>
      <c r="BJ473" s="645">
        <f t="shared" si="1482"/>
        <v>5032.4427639632822</v>
      </c>
      <c r="BK473" s="646">
        <f t="shared" si="1483"/>
        <v>-10.659895754016826</v>
      </c>
      <c r="BL473" s="647">
        <f t="shared" si="1441"/>
        <v>5021.782868209265</v>
      </c>
      <c r="BM473" s="644">
        <f t="shared" si="1484"/>
        <v>0</v>
      </c>
      <c r="BN473" s="645">
        <f t="shared" si="1485"/>
        <v>5021.782868209265</v>
      </c>
      <c r="BO473" s="646">
        <f t="shared" si="1486"/>
        <v>-0.22976057080899406</v>
      </c>
      <c r="BP473" s="647">
        <f t="shared" si="1442"/>
        <v>5021.5531076384559</v>
      </c>
      <c r="BQ473" s="644">
        <f t="shared" si="1487"/>
        <v>0</v>
      </c>
      <c r="BR473" s="645">
        <f t="shared" si="1488"/>
        <v>5021.5531076384559</v>
      </c>
      <c r="BS473" s="646">
        <f t="shared" si="1489"/>
        <v>0</v>
      </c>
      <c r="BT473" s="647">
        <f t="shared" si="1443"/>
        <v>5021.5531076384559</v>
      </c>
      <c r="BU473" s="662">
        <f>VLOOKUP(B473,'Afton Update'!$A$5:$AR$582,'Afton Update'!$AO$589,0)-BT473</f>
        <v>0</v>
      </c>
      <c r="BV473" s="644">
        <f t="shared" si="1490"/>
        <v>4153.6535600059524</v>
      </c>
      <c r="BW473" s="645">
        <f t="shared" si="1428"/>
        <v>3252.3855652418456</v>
      </c>
      <c r="BX473" s="644">
        <f t="shared" si="1491"/>
        <v>0</v>
      </c>
      <c r="BY473" s="645">
        <f t="shared" si="1492"/>
        <v>4153.6535600059524</v>
      </c>
      <c r="BZ473" s="646">
        <f t="shared" si="1493"/>
        <v>-36.457058907685258</v>
      </c>
      <c r="CA473" s="647">
        <f t="shared" si="1494"/>
        <v>4117.1965010982667</v>
      </c>
      <c r="CB473" s="644">
        <f t="shared" si="1444"/>
        <v>0</v>
      </c>
      <c r="CC473" s="645">
        <f t="shared" si="1445"/>
        <v>4117.1965010982667</v>
      </c>
      <c r="CD473" s="646">
        <f t="shared" si="1495"/>
        <v>-1.3187984878547401</v>
      </c>
      <c r="CE473" s="647">
        <f t="shared" si="1446"/>
        <v>4115.8777026104117</v>
      </c>
      <c r="CF473" s="644">
        <f t="shared" si="1496"/>
        <v>0</v>
      </c>
      <c r="CG473" s="645">
        <f t="shared" si="1497"/>
        <v>4115.8777026104117</v>
      </c>
      <c r="CH473" s="646">
        <f t="shared" si="1498"/>
        <v>0</v>
      </c>
      <c r="CI473" s="647">
        <f t="shared" si="1447"/>
        <v>4115.8777026104117</v>
      </c>
      <c r="CJ473" s="644">
        <f t="shared" si="1499"/>
        <v>0</v>
      </c>
      <c r="CK473" s="645">
        <f t="shared" si="1500"/>
        <v>4115.8777026104117</v>
      </c>
      <c r="CL473" s="646">
        <f t="shared" si="1501"/>
        <v>0</v>
      </c>
      <c r="CM473" s="647">
        <f t="shared" si="1448"/>
        <v>4115.8777026104117</v>
      </c>
      <c r="CN473" s="644">
        <f t="shared" si="1502"/>
        <v>0</v>
      </c>
      <c r="CO473" s="645">
        <f t="shared" si="1503"/>
        <v>4115.8777026104117</v>
      </c>
      <c r="CP473" s="646">
        <f t="shared" si="1504"/>
        <v>0</v>
      </c>
      <c r="CQ473" s="647">
        <f t="shared" si="1449"/>
        <v>4115.8777026104117</v>
      </c>
      <c r="CS473" s="644">
        <f t="shared" si="1505"/>
        <v>3371.7585391867956</v>
      </c>
      <c r="CT473" s="645">
        <f t="shared" si="1429"/>
        <v>2352.1807906469676</v>
      </c>
      <c r="CU473" s="644">
        <f t="shared" si="1506"/>
        <v>0</v>
      </c>
      <c r="CV473" s="645">
        <f t="shared" si="1507"/>
        <v>3371.7585391867956</v>
      </c>
      <c r="CW473" s="646">
        <f t="shared" si="1508"/>
        <v>-34.528712896120034</v>
      </c>
      <c r="CX473" s="647">
        <f t="shared" si="1509"/>
        <v>3337.2298262906756</v>
      </c>
      <c r="CY473" s="644">
        <f t="shared" si="1450"/>
        <v>0</v>
      </c>
      <c r="CZ473" s="645">
        <f t="shared" si="1451"/>
        <v>3337.2298262906756</v>
      </c>
      <c r="DA473" s="646">
        <f t="shared" si="1510"/>
        <v>-2.6197375329827164</v>
      </c>
      <c r="DB473" s="647">
        <f t="shared" si="1452"/>
        <v>3334.6100887576931</v>
      </c>
      <c r="DC473" s="644">
        <f t="shared" si="1511"/>
        <v>0</v>
      </c>
      <c r="DD473" s="645">
        <f t="shared" si="1512"/>
        <v>3334.6100887576931</v>
      </c>
      <c r="DE473" s="646">
        <f t="shared" si="1513"/>
        <v>-2.2591973276774443E-3</v>
      </c>
      <c r="DF473" s="647">
        <f t="shared" si="1453"/>
        <v>3334.6078295603656</v>
      </c>
      <c r="DG473" s="644">
        <f t="shared" si="1514"/>
        <v>0</v>
      </c>
      <c r="DH473" s="645">
        <f t="shared" si="1515"/>
        <v>3334.6078295603656</v>
      </c>
      <c r="DI473" s="646">
        <f t="shared" si="1516"/>
        <v>0</v>
      </c>
      <c r="DJ473" s="647">
        <f t="shared" si="1454"/>
        <v>3334.6078295603656</v>
      </c>
      <c r="DK473" s="644">
        <f t="shared" si="1517"/>
        <v>0</v>
      </c>
      <c r="DL473" s="645">
        <f t="shared" si="1518"/>
        <v>3334.6078295603656</v>
      </c>
      <c r="DM473" s="646">
        <f t="shared" si="1519"/>
        <v>0</v>
      </c>
      <c r="DN473" s="647">
        <f t="shared" si="1455"/>
        <v>3334.6078295603656</v>
      </c>
      <c r="DR473" s="827">
        <f t="shared" si="1406"/>
        <v>21995.550724419281</v>
      </c>
      <c r="DV473" s="828">
        <f>IFERROR(VLOOKUP($B473,'Afton FY16 Final'!$A$5:$BV$587,'Afton FY16 Final'!$BV$587,0),0)</f>
        <v>17217.734674181058</v>
      </c>
      <c r="DX473" s="636">
        <f t="shared" si="1397"/>
        <v>21995.550724419281</v>
      </c>
      <c r="DY473" s="637">
        <f t="shared" si="1398"/>
        <v>4777.8160502382234</v>
      </c>
      <c r="DZ473" s="637">
        <f t="shared" si="1399"/>
        <v>17217.734674181058</v>
      </c>
      <c r="EA473" s="643">
        <f t="shared" si="1400"/>
        <v>20825.633938836334</v>
      </c>
      <c r="EB473" s="637">
        <f t="shared" si="1407"/>
        <v>0</v>
      </c>
      <c r="EC473" s="637">
        <f t="shared" si="1408"/>
        <v>20825.633938836334</v>
      </c>
      <c r="ED473" s="637">
        <f t="shared" si="1409"/>
        <v>20763.53314188197</v>
      </c>
      <c r="EE473" s="643">
        <f t="shared" si="1410"/>
        <v>20763.53314188197</v>
      </c>
      <c r="EF473" s="637">
        <f t="shared" si="1411"/>
        <v>0</v>
      </c>
      <c r="EG473" s="637">
        <f t="shared" si="1412"/>
        <v>20763.53314188197</v>
      </c>
      <c r="EH473" s="637">
        <f t="shared" si="1413"/>
        <v>20763.511720955288</v>
      </c>
      <c r="EI473" s="643">
        <f t="shared" si="1414"/>
        <v>20763.511720955288</v>
      </c>
      <c r="EJ473" s="637">
        <f t="shared" si="1415"/>
        <v>0</v>
      </c>
      <c r="EK473" s="637">
        <f t="shared" si="1416"/>
        <v>20763.511720955288</v>
      </c>
      <c r="EL473" s="637">
        <f t="shared" si="1417"/>
        <v>20763.511720955259</v>
      </c>
      <c r="EM473" s="643">
        <f t="shared" si="1418"/>
        <v>20763.511720955259</v>
      </c>
      <c r="EN473" s="637">
        <f t="shared" si="1419"/>
        <v>0</v>
      </c>
      <c r="EO473" s="637">
        <f t="shared" si="1420"/>
        <v>20763.511720955259</v>
      </c>
      <c r="EP473" s="637">
        <f t="shared" si="1421"/>
        <v>20763.511720955292</v>
      </c>
      <c r="EQ473" s="643">
        <f t="shared" si="1422"/>
        <v>20763.511720955292</v>
      </c>
      <c r="ER473" s="637">
        <f t="shared" si="1423"/>
        <v>0</v>
      </c>
      <c r="ES473" s="637">
        <f t="shared" si="1424"/>
        <v>20763.511720955292</v>
      </c>
      <c r="ET473" s="637">
        <f t="shared" si="1425"/>
        <v>20763.511720955259</v>
      </c>
      <c r="EU473" s="643">
        <f t="shared" si="1401"/>
        <v>20763.511720955259</v>
      </c>
      <c r="EV473" s="643">
        <f t="shared" si="1402"/>
        <v>0</v>
      </c>
      <c r="EX473" s="829">
        <f t="shared" si="1403"/>
        <v>1232.0390034640222</v>
      </c>
      <c r="EY473" s="638">
        <f t="shared" si="1404"/>
        <v>20763.511720955259</v>
      </c>
      <c r="FC473" s="830" t="str">
        <f t="shared" si="1426"/>
        <v>Y</v>
      </c>
      <c r="FE473" s="830" t="str">
        <f>IFERROR(VLOOKUP($B473,'Historical Conc Grant Elig'!$B$3:$J$707,'HH &amp; SI'!FE$2,0),"N")</f>
        <v>Y</v>
      </c>
      <c r="FF473" s="830" t="str">
        <f>IFERROR(VLOOKUP($B473,'Historical Conc Grant Elig'!$B$3:$J$707,'HH &amp; SI'!FF$2,0),"N")</f>
        <v>Y</v>
      </c>
      <c r="FG473" s="830" t="str">
        <f>IFERROR(VLOOKUP($B473,'Historical Conc Grant Elig'!$B$3:$J$707,'HH &amp; SI'!FG$2,0),"N")</f>
        <v>Y</v>
      </c>
      <c r="FH473" s="830" t="str">
        <f>IFERROR(VLOOKUP($B473,'Historical Conc Grant Elig'!$B$3:$J$707,'HH &amp; SI'!FH$2,0),"N")</f>
        <v>Y</v>
      </c>
      <c r="FI473" s="830" t="str">
        <f>IFERROR(VLOOKUP($B473,'Historical Conc Grant Elig'!$B$3:$J$707,'HH &amp; SI'!FI$2,0),"N")</f>
        <v>Y</v>
      </c>
      <c r="FJ473" s="830" t="str">
        <f>IFERROR(VLOOKUP($B473,'Historical Conc Grant Elig'!$B$3:$J$707,'HH &amp; SI'!FJ$2,0),"N")</f>
        <v>Y</v>
      </c>
      <c r="FK473" s="830" t="str">
        <f>IFERROR(VLOOKUP($B473,'Historical Conc Grant Elig'!$B$3:$J$707,'HH &amp; SI'!FK$2,0),"N")</f>
        <v>Y</v>
      </c>
      <c r="FL473" s="957" t="str">
        <f>IFERROR(VLOOKUP($B473,'Historical Conc Grant Elig'!$B$3:$J$707,'HH &amp; SI'!FL$2,0),"N")</f>
        <v>Y</v>
      </c>
    </row>
    <row r="474" spans="2:168" x14ac:dyDescent="0.25">
      <c r="B474" s="634">
        <v>138768000</v>
      </c>
      <c r="C474" s="635" t="str">
        <f>VLOOKUP($B474,'Afton Update'!$A$5:$CR$582,'Afton Update'!D$589,0)</f>
        <v>Mountain Oak Charter School  Inc.</v>
      </c>
      <c r="D474" s="636">
        <f>IFERROR(VLOOKUP($B474,'Afton FY16 Final'!$A$5:$BV$587,'Afton FY16 Final'!AQ$587,0),0)</f>
        <v>20127.532561789627</v>
      </c>
      <c r="E474" s="637">
        <f>IFERROR(VLOOKUP($B474,'Afton FY16 Final'!$A$5:$BV$587,'Afton FY16 Final'!AR$587,0),0)</f>
        <v>5042.027885014646</v>
      </c>
      <c r="F474" s="637">
        <f>IFERROR(VLOOKUP($B474,'Afton FY16 Final'!$A$5:$BV$587,'Afton FY16 Final'!AS$587,0),0)</f>
        <v>8309.8389275860063</v>
      </c>
      <c r="G474" s="637">
        <f>IFERROR(VLOOKUP($B474,'Afton FY16 Final'!$A$5:$BV$587,'Afton FY16 Final'!AT$587,0),0)</f>
        <v>7026.2295343109918</v>
      </c>
      <c r="H474" s="638">
        <f>IFERROR(VLOOKUP($B474,'Afton FY16 Final'!$A$5:$BV$587,'Afton FY16 Final'!AU$587,0),0)</f>
        <v>40505.628908701277</v>
      </c>
      <c r="I474" s="639" t="str">
        <f>VLOOKUP($B474,'Afton Update'!$A$5:$CR$582,'Afton Update'!BT$589,0)</f>
        <v>Y</v>
      </c>
      <c r="J474" s="640" t="str">
        <f>VLOOKUP($B474,'Afton Update'!$A$5:$CR$582,'Afton Update'!BU$589,0)</f>
        <v>Y</v>
      </c>
      <c r="K474" s="640" t="str">
        <f>VLOOKUP($B474,'Afton Update'!$A$5:$CR$582,'Afton Update'!BV$589,0)</f>
        <v>Y</v>
      </c>
      <c r="L474" s="641" t="str">
        <f>VLOOKUP($B474,'Afton Update'!$A$5:$CR$582,'Afton Update'!BW$589,0)</f>
        <v>Y</v>
      </c>
      <c r="N474" s="642">
        <f>VLOOKUP($B474,'Afton Update'!$A$5:$CR$582,'Afton Update'!CB$589,0)</f>
        <v>0.9</v>
      </c>
      <c r="P474" s="636">
        <f>VLOOKUP($B474,'Afton Update'!$A$5:$CR$582,'Afton Update'!AH$589,0)</f>
        <v>16922.581989170052</v>
      </c>
      <c r="Q474" s="637">
        <f>VLOOKUP($B474,'Afton Update'!$A$5:$CR$582,'Afton Update'!AI$589,0)</f>
        <v>6918.6680730592088</v>
      </c>
      <c r="R474" s="637">
        <f>VLOOKUP($B474,'Afton Update'!$A$5:$CR$582,'Afton Update'!AJ$589,0)</f>
        <v>7280.0594653867747</v>
      </c>
      <c r="S474" s="637">
        <f>VLOOKUP($B474,'Afton Update'!$A$5:$CR$582,'Afton Update'!AK$589,0)</f>
        <v>5909.6413106177188</v>
      </c>
      <c r="T474" s="643">
        <f t="shared" si="1430"/>
        <v>37030.950838233752</v>
      </c>
      <c r="V474" s="636">
        <f t="shared" si="1456"/>
        <v>18114.779305610664</v>
      </c>
      <c r="W474" s="637">
        <f t="shared" si="1457"/>
        <v>6690.7924420421887</v>
      </c>
      <c r="X474" s="637">
        <f t="shared" si="1458"/>
        <v>7478.8550348274057</v>
      </c>
      <c r="Y474" s="637">
        <f t="shared" si="1459"/>
        <v>6323.606580879893</v>
      </c>
      <c r="Z474" s="643">
        <f t="shared" si="1460"/>
        <v>38608.033363360155</v>
      </c>
      <c r="AB474" s="644">
        <f t="shared" si="1431"/>
        <v>16922.581989170052</v>
      </c>
      <c r="AC474" s="645">
        <f t="shared" si="1427"/>
        <v>18114.779305610664</v>
      </c>
      <c r="AD474" s="644">
        <f t="shared" si="1461"/>
        <v>1192.1973164406118</v>
      </c>
      <c r="AE474" s="645">
        <f t="shared" si="1462"/>
        <v>0</v>
      </c>
      <c r="AF474" s="646">
        <f t="shared" si="1463"/>
        <v>0</v>
      </c>
      <c r="AG474" s="647">
        <f t="shared" si="1464"/>
        <v>18114.779305610664</v>
      </c>
      <c r="AH474" s="644">
        <f t="shared" si="1432"/>
        <v>0</v>
      </c>
      <c r="AI474" s="645">
        <f t="shared" si="1433"/>
        <v>0</v>
      </c>
      <c r="AJ474" s="646">
        <f t="shared" si="1465"/>
        <v>0</v>
      </c>
      <c r="AK474" s="647">
        <f t="shared" si="1434"/>
        <v>18114.779305610664</v>
      </c>
      <c r="AL474" s="644">
        <f t="shared" si="1466"/>
        <v>0</v>
      </c>
      <c r="AM474" s="645">
        <f t="shared" si="1467"/>
        <v>0</v>
      </c>
      <c r="AN474" s="646">
        <f t="shared" si="1468"/>
        <v>0</v>
      </c>
      <c r="AO474" s="647">
        <f t="shared" si="1435"/>
        <v>18114.779305610664</v>
      </c>
      <c r="AP474" s="644">
        <f t="shared" si="1469"/>
        <v>0</v>
      </c>
      <c r="AQ474" s="645">
        <f t="shared" si="1470"/>
        <v>0</v>
      </c>
      <c r="AR474" s="646">
        <f t="shared" si="1471"/>
        <v>0</v>
      </c>
      <c r="AS474" s="647">
        <f t="shared" si="1436"/>
        <v>18114.779305610664</v>
      </c>
      <c r="AT474" s="644">
        <f t="shared" si="1472"/>
        <v>0</v>
      </c>
      <c r="AU474" s="645">
        <f t="shared" si="1473"/>
        <v>0</v>
      </c>
      <c r="AV474" s="646">
        <f t="shared" si="1474"/>
        <v>0</v>
      </c>
      <c r="AW474" s="647">
        <f t="shared" si="1437"/>
        <v>18114.779305610664</v>
      </c>
      <c r="AY474" s="644">
        <f t="shared" si="1475"/>
        <v>6918.6680730592088</v>
      </c>
      <c r="AZ474" s="645">
        <f t="shared" si="1405"/>
        <v>4537.825096513182</v>
      </c>
      <c r="BA474" s="644">
        <f t="shared" si="1476"/>
        <v>0</v>
      </c>
      <c r="BB474" s="645">
        <f t="shared" si="1477"/>
        <v>6918.6680730592088</v>
      </c>
      <c r="BC474" s="646">
        <f t="shared" si="1478"/>
        <v>-49.754158423879026</v>
      </c>
      <c r="BD474" s="647">
        <f t="shared" si="1479"/>
        <v>6868.91391463533</v>
      </c>
      <c r="BE474" s="644">
        <f t="shared" si="1438"/>
        <v>0</v>
      </c>
      <c r="BF474" s="645">
        <f t="shared" si="1439"/>
        <v>6868.91391463533</v>
      </c>
      <c r="BG474" s="646">
        <f t="shared" si="1480"/>
        <v>-163.61193168561806</v>
      </c>
      <c r="BH474" s="647">
        <f t="shared" si="1440"/>
        <v>6705.3019829497116</v>
      </c>
      <c r="BI474" s="644">
        <f t="shared" si="1481"/>
        <v>0</v>
      </c>
      <c r="BJ474" s="645">
        <f t="shared" si="1482"/>
        <v>6705.3019829497116</v>
      </c>
      <c r="BK474" s="646">
        <f t="shared" si="1483"/>
        <v>-14.203404487635767</v>
      </c>
      <c r="BL474" s="647">
        <f t="shared" si="1441"/>
        <v>6691.0985784620761</v>
      </c>
      <c r="BM474" s="644">
        <f t="shared" si="1484"/>
        <v>0</v>
      </c>
      <c r="BN474" s="645">
        <f t="shared" si="1485"/>
        <v>6691.0985784620761</v>
      </c>
      <c r="BO474" s="646">
        <f t="shared" si="1486"/>
        <v>-0.30613641988764528</v>
      </c>
      <c r="BP474" s="647">
        <f t="shared" si="1442"/>
        <v>6690.7924420421887</v>
      </c>
      <c r="BQ474" s="644">
        <f t="shared" si="1487"/>
        <v>0</v>
      </c>
      <c r="BR474" s="645">
        <f t="shared" si="1488"/>
        <v>6690.7924420421887</v>
      </c>
      <c r="BS474" s="646">
        <f t="shared" si="1489"/>
        <v>0</v>
      </c>
      <c r="BT474" s="647">
        <f t="shared" si="1443"/>
        <v>6690.7924420421887</v>
      </c>
      <c r="BU474" s="662">
        <f>VLOOKUP(B474,'Afton Update'!$A$5:$AR$582,'Afton Update'!$AO$589,0)-BT474</f>
        <v>0</v>
      </c>
      <c r="BV474" s="644">
        <f t="shared" si="1490"/>
        <v>7280.0594653867747</v>
      </c>
      <c r="BW474" s="645">
        <f t="shared" si="1428"/>
        <v>7478.8550348274057</v>
      </c>
      <c r="BX474" s="644">
        <f t="shared" si="1491"/>
        <v>198.79556944063097</v>
      </c>
      <c r="BY474" s="645">
        <f t="shared" si="1492"/>
        <v>0</v>
      </c>
      <c r="BZ474" s="646">
        <f t="shared" si="1493"/>
        <v>0</v>
      </c>
      <c r="CA474" s="647">
        <f t="shared" si="1494"/>
        <v>7478.8550348274057</v>
      </c>
      <c r="CB474" s="644">
        <f t="shared" si="1444"/>
        <v>0</v>
      </c>
      <c r="CC474" s="645">
        <f t="shared" si="1445"/>
        <v>0</v>
      </c>
      <c r="CD474" s="646">
        <f t="shared" si="1495"/>
        <v>0</v>
      </c>
      <c r="CE474" s="647">
        <f t="shared" si="1446"/>
        <v>7478.8550348274057</v>
      </c>
      <c r="CF474" s="644">
        <f t="shared" si="1496"/>
        <v>0</v>
      </c>
      <c r="CG474" s="645">
        <f t="shared" si="1497"/>
        <v>0</v>
      </c>
      <c r="CH474" s="646">
        <f t="shared" si="1498"/>
        <v>0</v>
      </c>
      <c r="CI474" s="647">
        <f t="shared" si="1447"/>
        <v>7478.8550348274057</v>
      </c>
      <c r="CJ474" s="644">
        <f t="shared" si="1499"/>
        <v>0</v>
      </c>
      <c r="CK474" s="645">
        <f t="shared" si="1500"/>
        <v>0</v>
      </c>
      <c r="CL474" s="646">
        <f t="shared" si="1501"/>
        <v>0</v>
      </c>
      <c r="CM474" s="647">
        <f t="shared" si="1448"/>
        <v>7478.8550348274057</v>
      </c>
      <c r="CN474" s="644">
        <f t="shared" si="1502"/>
        <v>0</v>
      </c>
      <c r="CO474" s="645">
        <f t="shared" si="1503"/>
        <v>0</v>
      </c>
      <c r="CP474" s="646">
        <f t="shared" si="1504"/>
        <v>0</v>
      </c>
      <c r="CQ474" s="647">
        <f t="shared" si="1449"/>
        <v>7478.8550348274057</v>
      </c>
      <c r="CS474" s="644">
        <f t="shared" si="1505"/>
        <v>5909.6413106177188</v>
      </c>
      <c r="CT474" s="645">
        <f t="shared" si="1429"/>
        <v>6323.606580879893</v>
      </c>
      <c r="CU474" s="644">
        <f t="shared" si="1506"/>
        <v>413.96527026217427</v>
      </c>
      <c r="CV474" s="645">
        <f t="shared" si="1507"/>
        <v>0</v>
      </c>
      <c r="CW474" s="646">
        <f t="shared" si="1508"/>
        <v>0</v>
      </c>
      <c r="CX474" s="647">
        <f t="shared" si="1509"/>
        <v>6323.606580879893</v>
      </c>
      <c r="CY474" s="644">
        <f t="shared" si="1450"/>
        <v>0</v>
      </c>
      <c r="CZ474" s="645">
        <f t="shared" si="1451"/>
        <v>0</v>
      </c>
      <c r="DA474" s="646">
        <f t="shared" si="1510"/>
        <v>0</v>
      </c>
      <c r="DB474" s="647">
        <f t="shared" si="1452"/>
        <v>6323.606580879893</v>
      </c>
      <c r="DC474" s="644">
        <f t="shared" si="1511"/>
        <v>0</v>
      </c>
      <c r="DD474" s="645">
        <f t="shared" si="1512"/>
        <v>0</v>
      </c>
      <c r="DE474" s="646">
        <f t="shared" si="1513"/>
        <v>0</v>
      </c>
      <c r="DF474" s="647">
        <f t="shared" si="1453"/>
        <v>6323.606580879893</v>
      </c>
      <c r="DG474" s="644">
        <f t="shared" si="1514"/>
        <v>0</v>
      </c>
      <c r="DH474" s="645">
        <f t="shared" si="1515"/>
        <v>0</v>
      </c>
      <c r="DI474" s="646">
        <f t="shared" si="1516"/>
        <v>0</v>
      </c>
      <c r="DJ474" s="647">
        <f t="shared" si="1454"/>
        <v>6323.606580879893</v>
      </c>
      <c r="DK474" s="644">
        <f t="shared" si="1517"/>
        <v>0</v>
      </c>
      <c r="DL474" s="645">
        <f t="shared" si="1518"/>
        <v>0</v>
      </c>
      <c r="DM474" s="646">
        <f t="shared" si="1519"/>
        <v>0</v>
      </c>
      <c r="DN474" s="647">
        <f t="shared" si="1455"/>
        <v>6323.606580879893</v>
      </c>
      <c r="DR474" s="827">
        <f t="shared" si="1406"/>
        <v>38608.033363360155</v>
      </c>
      <c r="DV474" s="828">
        <f>IFERROR(VLOOKUP($B474,'Afton FY16 Final'!$A$5:$BV$587,'Afton FY16 Final'!$BV$587,0),0)</f>
        <v>39708.073082197036</v>
      </c>
      <c r="DX474" s="636">
        <f t="shared" si="1397"/>
        <v>0</v>
      </c>
      <c r="DY474" s="637">
        <f t="shared" si="1398"/>
        <v>0</v>
      </c>
      <c r="DZ474" s="637">
        <f t="shared" si="1399"/>
        <v>0</v>
      </c>
      <c r="EA474" s="643">
        <f t="shared" si="1400"/>
        <v>0</v>
      </c>
      <c r="EB474" s="637">
        <f t="shared" si="1407"/>
        <v>0</v>
      </c>
      <c r="EC474" s="637">
        <f t="shared" si="1408"/>
        <v>0</v>
      </c>
      <c r="ED474" s="637">
        <f t="shared" si="1409"/>
        <v>0</v>
      </c>
      <c r="EE474" s="643">
        <f t="shared" si="1410"/>
        <v>0</v>
      </c>
      <c r="EF474" s="637">
        <f t="shared" si="1411"/>
        <v>0</v>
      </c>
      <c r="EG474" s="637">
        <f t="shared" si="1412"/>
        <v>0</v>
      </c>
      <c r="EH474" s="637">
        <f t="shared" si="1413"/>
        <v>0</v>
      </c>
      <c r="EI474" s="643">
        <f t="shared" si="1414"/>
        <v>0</v>
      </c>
      <c r="EJ474" s="637">
        <f t="shared" si="1415"/>
        <v>0</v>
      </c>
      <c r="EK474" s="637">
        <f t="shared" si="1416"/>
        <v>0</v>
      </c>
      <c r="EL474" s="637">
        <f t="shared" si="1417"/>
        <v>0</v>
      </c>
      <c r="EM474" s="643">
        <f t="shared" si="1418"/>
        <v>0</v>
      </c>
      <c r="EN474" s="637">
        <f t="shared" si="1419"/>
        <v>0</v>
      </c>
      <c r="EO474" s="637">
        <f t="shared" si="1420"/>
        <v>0</v>
      </c>
      <c r="EP474" s="637">
        <f t="shared" si="1421"/>
        <v>0</v>
      </c>
      <c r="EQ474" s="643">
        <f t="shared" si="1422"/>
        <v>0</v>
      </c>
      <c r="ER474" s="637">
        <f t="shared" si="1423"/>
        <v>0</v>
      </c>
      <c r="ES474" s="637">
        <f t="shared" si="1424"/>
        <v>0</v>
      </c>
      <c r="ET474" s="637">
        <f t="shared" si="1425"/>
        <v>0</v>
      </c>
      <c r="EU474" s="643">
        <f t="shared" si="1401"/>
        <v>0</v>
      </c>
      <c r="EV474" s="643">
        <f t="shared" si="1402"/>
        <v>0</v>
      </c>
      <c r="EX474" s="829">
        <f t="shared" si="1403"/>
        <v>0</v>
      </c>
      <c r="EY474" s="638">
        <f t="shared" si="1404"/>
        <v>38608.033363360155</v>
      </c>
      <c r="FC474" s="830" t="str">
        <f t="shared" si="1426"/>
        <v>Y</v>
      </c>
      <c r="FE474" s="830" t="str">
        <f>IFERROR(VLOOKUP($B474,'Historical Conc Grant Elig'!$B$3:$J$707,'HH &amp; SI'!FE$2,0),"N")</f>
        <v>N</v>
      </c>
      <c r="FF474" s="830" t="str">
        <f>IFERROR(VLOOKUP($B474,'Historical Conc Grant Elig'!$B$3:$J$707,'HH &amp; SI'!FF$2,0),"N")</f>
        <v>Y</v>
      </c>
      <c r="FG474" s="830" t="str">
        <f>IFERROR(VLOOKUP($B474,'Historical Conc Grant Elig'!$B$3:$J$707,'HH &amp; SI'!FG$2,0),"N")</f>
        <v>Y</v>
      </c>
      <c r="FH474" s="830" t="str">
        <f>IFERROR(VLOOKUP($B474,'Historical Conc Grant Elig'!$B$3:$J$707,'HH &amp; SI'!FH$2,0),"N")</f>
        <v>Y</v>
      </c>
      <c r="FI474" s="830" t="str">
        <f>IFERROR(VLOOKUP($B474,'Historical Conc Grant Elig'!$B$3:$J$707,'HH &amp; SI'!FI$2,0),"N")</f>
        <v>Y</v>
      </c>
      <c r="FJ474" s="830" t="str">
        <f>IFERROR(VLOOKUP($B474,'Historical Conc Grant Elig'!$B$3:$J$707,'HH &amp; SI'!FJ$2,0),"N")</f>
        <v>Y</v>
      </c>
      <c r="FK474" s="830" t="str">
        <f>IFERROR(VLOOKUP($B474,'Historical Conc Grant Elig'!$B$3:$J$707,'HH &amp; SI'!FK$2,0),"N")</f>
        <v>Y</v>
      </c>
      <c r="FL474" s="957" t="str">
        <f>IFERROR(VLOOKUP($B474,'Historical Conc Grant Elig'!$B$3:$J$707,'HH &amp; SI'!FL$2,0),"N")</f>
        <v>Y</v>
      </c>
    </row>
    <row r="475" spans="2:168" x14ac:dyDescent="0.25">
      <c r="B475" s="634">
        <v>138785000</v>
      </c>
      <c r="C475" s="635" t="str">
        <f>VLOOKUP($B475,'Afton Update'!$A$5:$CR$582,'Afton Update'!D$589,0)</f>
        <v>Arizona Agribusiness &amp; Equine Center, Inc.</v>
      </c>
      <c r="D475" s="636">
        <f>IFERROR(VLOOKUP($B475,'Afton FY16 Final'!$A$5:$BV$587,'Afton FY16 Final'!AQ$587,0),0)</f>
        <v>14120.581931889417</v>
      </c>
      <c r="E475" s="637">
        <f>IFERROR(VLOOKUP($B475,'Afton FY16 Final'!$A$5:$BV$587,'Afton FY16 Final'!AR$587,0),0)</f>
        <v>3694.7518194432582</v>
      </c>
      <c r="F475" s="637">
        <f>IFERROR(VLOOKUP($B475,'Afton FY16 Final'!$A$5:$BV$587,'Afton FY16 Final'!AS$587,0),0)</f>
        <v>5935.7549931957192</v>
      </c>
      <c r="G475" s="637">
        <f>IFERROR(VLOOKUP($B475,'Afton FY16 Final'!$A$5:$BV$587,'Afton FY16 Final'!AT$587,0),0)</f>
        <v>4712.8518517788279</v>
      </c>
      <c r="H475" s="638">
        <f>IFERROR(VLOOKUP($B475,'Afton FY16 Final'!$A$5:$BV$587,'Afton FY16 Final'!AU$587,0),0)</f>
        <v>28463.940596307224</v>
      </c>
      <c r="I475" s="639" t="str">
        <f>VLOOKUP($B475,'Afton Update'!$A$5:$CR$582,'Afton Update'!BT$589,0)</f>
        <v>Y</v>
      </c>
      <c r="J475" s="640" t="str">
        <f>VLOOKUP($B475,'Afton Update'!$A$5:$CR$582,'Afton Update'!BU$589,0)</f>
        <v>N</v>
      </c>
      <c r="K475" s="640" t="str">
        <f>VLOOKUP($B475,'Afton Update'!$A$5:$CR$582,'Afton Update'!BV$589,0)</f>
        <v>Y</v>
      </c>
      <c r="L475" s="641" t="str">
        <f>VLOOKUP($B475,'Afton Update'!$A$5:$CR$582,'Afton Update'!BW$589,0)</f>
        <v>Y</v>
      </c>
      <c r="N475" s="642">
        <f>VLOOKUP($B475,'Afton Update'!$A$5:$CR$582,'Afton Update'!CB$589,0)</f>
        <v>0.85</v>
      </c>
      <c r="P475" s="636">
        <f>VLOOKUP($B475,'Afton Update'!$A$5:$CR$582,'Afton Update'!AH$589,0)</f>
        <v>13075.152666478918</v>
      </c>
      <c r="Q475" s="637" t="str">
        <f>VLOOKUP($B475,'Afton Update'!$A$5:$CR$582,'Afton Update'!AI$589,0)</f>
        <v/>
      </c>
      <c r="R475" s="637">
        <f>VLOOKUP($B475,'Afton Update'!$A$5:$CR$582,'Afton Update'!AJ$589,0)</f>
        <v>5624.9033978322223</v>
      </c>
      <c r="S475" s="637">
        <f>VLOOKUP($B475,'Afton Update'!$A$5:$CR$582,'Afton Update'!AK$589,0)</f>
        <v>4566.0563139778187</v>
      </c>
      <c r="T475" s="643">
        <f t="shared" si="1430"/>
        <v>23266.112378288955</v>
      </c>
      <c r="V475" s="636">
        <f t="shared" si="1456"/>
        <v>12896.799097501655</v>
      </c>
      <c r="W475" s="637">
        <f t="shared" si="1457"/>
        <v>3140.5390465267692</v>
      </c>
      <c r="X475" s="637">
        <f t="shared" si="1458"/>
        <v>5573.7470975894321</v>
      </c>
      <c r="Y475" s="637">
        <f t="shared" si="1459"/>
        <v>4515.7465927190033</v>
      </c>
      <c r="Z475" s="643">
        <f t="shared" si="1460"/>
        <v>26126.831834336859</v>
      </c>
      <c r="AB475" s="644">
        <f t="shared" si="1431"/>
        <v>13075.152666478918</v>
      </c>
      <c r="AC475" s="645">
        <f t="shared" si="1427"/>
        <v>12002.494642106005</v>
      </c>
      <c r="AD475" s="644">
        <f t="shared" si="1461"/>
        <v>0</v>
      </c>
      <c r="AE475" s="645">
        <f t="shared" si="1462"/>
        <v>13075.152666478918</v>
      </c>
      <c r="AF475" s="646">
        <f t="shared" si="1463"/>
        <v>-162.07634301667932</v>
      </c>
      <c r="AG475" s="647">
        <f t="shared" si="1464"/>
        <v>12913.076323462239</v>
      </c>
      <c r="AH475" s="644">
        <f t="shared" si="1432"/>
        <v>0</v>
      </c>
      <c r="AI475" s="645">
        <f t="shared" si="1433"/>
        <v>12913.076323462239</v>
      </c>
      <c r="AJ475" s="646">
        <f t="shared" si="1465"/>
        <v>-16.266855789919653</v>
      </c>
      <c r="AK475" s="647">
        <f t="shared" si="1434"/>
        <v>12896.809467672319</v>
      </c>
      <c r="AL475" s="644">
        <f t="shared" si="1466"/>
        <v>0</v>
      </c>
      <c r="AM475" s="645">
        <f t="shared" si="1467"/>
        <v>12896.809467672319</v>
      </c>
      <c r="AN475" s="646">
        <f t="shared" si="1468"/>
        <v>-1.0370170665175506E-2</v>
      </c>
      <c r="AO475" s="647">
        <f t="shared" si="1435"/>
        <v>12896.799097501655</v>
      </c>
      <c r="AP475" s="644">
        <f t="shared" si="1469"/>
        <v>0</v>
      </c>
      <c r="AQ475" s="645">
        <f t="shared" si="1470"/>
        <v>12896.799097501655</v>
      </c>
      <c r="AR475" s="646">
        <f t="shared" si="1471"/>
        <v>0</v>
      </c>
      <c r="AS475" s="647">
        <f t="shared" si="1436"/>
        <v>12896.799097501655</v>
      </c>
      <c r="AT475" s="644">
        <f t="shared" si="1472"/>
        <v>0</v>
      </c>
      <c r="AU475" s="645">
        <f t="shared" si="1473"/>
        <v>12896.799097501655</v>
      </c>
      <c r="AV475" s="646">
        <f t="shared" si="1474"/>
        <v>0</v>
      </c>
      <c r="AW475" s="647">
        <f t="shared" si="1437"/>
        <v>12896.799097501655</v>
      </c>
      <c r="AY475" s="644">
        <f t="shared" si="1475"/>
        <v>0</v>
      </c>
      <c r="AZ475" s="645">
        <f t="shared" si="1405"/>
        <v>3140.5390465267692</v>
      </c>
      <c r="BA475" s="644">
        <f t="shared" si="1476"/>
        <v>0</v>
      </c>
      <c r="BB475" s="645">
        <f t="shared" si="1477"/>
        <v>0</v>
      </c>
      <c r="BC475" s="646">
        <f t="shared" si="1478"/>
        <v>0</v>
      </c>
      <c r="BD475" s="647">
        <f t="shared" si="1479"/>
        <v>0</v>
      </c>
      <c r="BE475" s="644">
        <f t="shared" si="1438"/>
        <v>-3140.5390465267692</v>
      </c>
      <c r="BF475" s="645">
        <f t="shared" si="1439"/>
        <v>0</v>
      </c>
      <c r="BG475" s="646">
        <f t="shared" si="1480"/>
        <v>0</v>
      </c>
      <c r="BH475" s="647">
        <f t="shared" si="1440"/>
        <v>3140.5390465267692</v>
      </c>
      <c r="BI475" s="644">
        <f t="shared" si="1481"/>
        <v>0</v>
      </c>
      <c r="BJ475" s="645">
        <f t="shared" si="1482"/>
        <v>0</v>
      </c>
      <c r="BK475" s="646">
        <f t="shared" si="1483"/>
        <v>0</v>
      </c>
      <c r="BL475" s="647">
        <f t="shared" si="1441"/>
        <v>3140.5390465267692</v>
      </c>
      <c r="BM475" s="644">
        <f t="shared" si="1484"/>
        <v>0</v>
      </c>
      <c r="BN475" s="645">
        <f t="shared" si="1485"/>
        <v>0</v>
      </c>
      <c r="BO475" s="646">
        <f t="shared" si="1486"/>
        <v>0</v>
      </c>
      <c r="BP475" s="647">
        <f t="shared" si="1442"/>
        <v>3140.5390465267692</v>
      </c>
      <c r="BQ475" s="644">
        <f t="shared" si="1487"/>
        <v>0</v>
      </c>
      <c r="BR475" s="645">
        <f t="shared" si="1488"/>
        <v>0</v>
      </c>
      <c r="BS475" s="646">
        <f t="shared" si="1489"/>
        <v>0</v>
      </c>
      <c r="BT475" s="647">
        <f t="shared" si="1443"/>
        <v>3140.5390465267692</v>
      </c>
      <c r="BU475" s="662">
        <f>VLOOKUP(B475,'Afton Update'!$A$5:$AR$582,'Afton Update'!$AO$589,0)-BT475</f>
        <v>0</v>
      </c>
      <c r="BV475" s="644">
        <f t="shared" si="1490"/>
        <v>5624.9033978322223</v>
      </c>
      <c r="BW475" s="645">
        <f t="shared" si="1428"/>
        <v>5045.3917442163611</v>
      </c>
      <c r="BX475" s="644">
        <f t="shared" si="1491"/>
        <v>0</v>
      </c>
      <c r="BY475" s="645">
        <f t="shared" si="1492"/>
        <v>5624.9033978322223</v>
      </c>
      <c r="BZ475" s="646">
        <f t="shared" si="1493"/>
        <v>-49.370375155821712</v>
      </c>
      <c r="CA475" s="647">
        <f t="shared" si="1494"/>
        <v>5575.5330226764008</v>
      </c>
      <c r="CB475" s="644">
        <f t="shared" si="1444"/>
        <v>0</v>
      </c>
      <c r="CC475" s="645">
        <f t="shared" si="1445"/>
        <v>5575.5330226764008</v>
      </c>
      <c r="CD475" s="646">
        <f t="shared" si="1495"/>
        <v>-1.7859250869683734</v>
      </c>
      <c r="CE475" s="647">
        <f t="shared" si="1446"/>
        <v>5573.7470975894321</v>
      </c>
      <c r="CF475" s="644">
        <f t="shared" si="1496"/>
        <v>0</v>
      </c>
      <c r="CG475" s="645">
        <f t="shared" si="1497"/>
        <v>5573.7470975894321</v>
      </c>
      <c r="CH475" s="646">
        <f t="shared" si="1498"/>
        <v>0</v>
      </c>
      <c r="CI475" s="647">
        <f t="shared" si="1447"/>
        <v>5573.7470975894321</v>
      </c>
      <c r="CJ475" s="644">
        <f t="shared" si="1499"/>
        <v>0</v>
      </c>
      <c r="CK475" s="645">
        <f t="shared" si="1500"/>
        <v>5573.7470975894321</v>
      </c>
      <c r="CL475" s="646">
        <f t="shared" si="1501"/>
        <v>0</v>
      </c>
      <c r="CM475" s="647">
        <f t="shared" si="1448"/>
        <v>5573.7470975894321</v>
      </c>
      <c r="CN475" s="644">
        <f t="shared" si="1502"/>
        <v>0</v>
      </c>
      <c r="CO475" s="645">
        <f t="shared" si="1503"/>
        <v>5573.7470975894321</v>
      </c>
      <c r="CP475" s="646">
        <f t="shared" si="1504"/>
        <v>0</v>
      </c>
      <c r="CQ475" s="647">
        <f t="shared" si="1449"/>
        <v>5573.7470975894321</v>
      </c>
      <c r="CS475" s="644">
        <f t="shared" si="1505"/>
        <v>4566.0563139778187</v>
      </c>
      <c r="CT475" s="645">
        <f t="shared" si="1429"/>
        <v>4005.9240740120035</v>
      </c>
      <c r="CU475" s="644">
        <f t="shared" si="1506"/>
        <v>0</v>
      </c>
      <c r="CV475" s="645">
        <f t="shared" si="1507"/>
        <v>4566.0563139778187</v>
      </c>
      <c r="CW475" s="646">
        <f t="shared" si="1508"/>
        <v>-46.758997033898169</v>
      </c>
      <c r="CX475" s="647">
        <f t="shared" si="1509"/>
        <v>4519.2973169439201</v>
      </c>
      <c r="CY475" s="644">
        <f t="shared" si="1450"/>
        <v>0</v>
      </c>
      <c r="CZ475" s="645">
        <f t="shared" si="1451"/>
        <v>4519.2973169439201</v>
      </c>
      <c r="DA475" s="646">
        <f t="shared" si="1510"/>
        <v>-3.5476648058924707</v>
      </c>
      <c r="DB475" s="647">
        <f t="shared" si="1452"/>
        <v>4515.7496521380281</v>
      </c>
      <c r="DC475" s="644">
        <f t="shared" si="1511"/>
        <v>0</v>
      </c>
      <c r="DD475" s="645">
        <f t="shared" si="1512"/>
        <v>4515.7496521380281</v>
      </c>
      <c r="DE475" s="646">
        <f t="shared" si="1513"/>
        <v>-3.0594190250204994E-3</v>
      </c>
      <c r="DF475" s="647">
        <f t="shared" si="1453"/>
        <v>4515.7465927190033</v>
      </c>
      <c r="DG475" s="644">
        <f t="shared" si="1514"/>
        <v>0</v>
      </c>
      <c r="DH475" s="645">
        <f t="shared" si="1515"/>
        <v>4515.7465927190033</v>
      </c>
      <c r="DI475" s="646">
        <f t="shared" si="1516"/>
        <v>0</v>
      </c>
      <c r="DJ475" s="647">
        <f t="shared" si="1454"/>
        <v>4515.7465927190033</v>
      </c>
      <c r="DK475" s="644">
        <f t="shared" si="1517"/>
        <v>0</v>
      </c>
      <c r="DL475" s="645">
        <f t="shared" si="1518"/>
        <v>4515.7465927190033</v>
      </c>
      <c r="DM475" s="646">
        <f t="shared" si="1519"/>
        <v>0</v>
      </c>
      <c r="DN475" s="647">
        <f t="shared" si="1455"/>
        <v>4515.7465927190033</v>
      </c>
      <c r="DR475" s="827">
        <f t="shared" si="1406"/>
        <v>26126.831834336859</v>
      </c>
      <c r="DV475" s="828">
        <f>IFERROR(VLOOKUP($B475,'Afton FY16 Final'!$A$5:$BV$587,'Afton FY16 Final'!$BV$587,0),0)</f>
        <v>25271.151175947893</v>
      </c>
      <c r="DX475" s="636">
        <f t="shared" si="1397"/>
        <v>26126.831834336859</v>
      </c>
      <c r="DY475" s="637">
        <f t="shared" si="1398"/>
        <v>855.68065838896655</v>
      </c>
      <c r="DZ475" s="637">
        <f t="shared" si="1399"/>
        <v>25271.151175947893</v>
      </c>
      <c r="EA475" s="643">
        <f t="shared" si="1400"/>
        <v>24737.177194630149</v>
      </c>
      <c r="EB475" s="637">
        <f t="shared" si="1407"/>
        <v>25271.151175947893</v>
      </c>
      <c r="EC475" s="637">
        <f t="shared" si="1408"/>
        <v>0</v>
      </c>
      <c r="ED475" s="637">
        <f t="shared" si="1409"/>
        <v>0</v>
      </c>
      <c r="EE475" s="643">
        <f t="shared" si="1410"/>
        <v>25271.151175947893</v>
      </c>
      <c r="EF475" s="637">
        <f t="shared" si="1411"/>
        <v>0</v>
      </c>
      <c r="EG475" s="637">
        <f t="shared" si="1412"/>
        <v>0</v>
      </c>
      <c r="EH475" s="637">
        <f t="shared" si="1413"/>
        <v>0</v>
      </c>
      <c r="EI475" s="643">
        <f t="shared" si="1414"/>
        <v>25271.151175947893</v>
      </c>
      <c r="EJ475" s="637">
        <f t="shared" si="1415"/>
        <v>0</v>
      </c>
      <c r="EK475" s="637">
        <f t="shared" si="1416"/>
        <v>0</v>
      </c>
      <c r="EL475" s="637">
        <f t="shared" si="1417"/>
        <v>0</v>
      </c>
      <c r="EM475" s="643">
        <f t="shared" si="1418"/>
        <v>25271.151175947893</v>
      </c>
      <c r="EN475" s="637">
        <f t="shared" si="1419"/>
        <v>0</v>
      </c>
      <c r="EO475" s="637">
        <f t="shared" si="1420"/>
        <v>0</v>
      </c>
      <c r="EP475" s="637">
        <f t="shared" si="1421"/>
        <v>0</v>
      </c>
      <c r="EQ475" s="643">
        <f t="shared" si="1422"/>
        <v>25271.151175947893</v>
      </c>
      <c r="ER475" s="637">
        <f t="shared" si="1423"/>
        <v>0</v>
      </c>
      <c r="ES475" s="637">
        <f t="shared" si="1424"/>
        <v>0</v>
      </c>
      <c r="ET475" s="637">
        <f t="shared" si="1425"/>
        <v>0</v>
      </c>
      <c r="EU475" s="643">
        <f t="shared" si="1401"/>
        <v>25271.151175947893</v>
      </c>
      <c r="EV475" s="643">
        <f t="shared" si="1402"/>
        <v>0</v>
      </c>
      <c r="EX475" s="829">
        <f t="shared" si="1403"/>
        <v>855.68065838896655</v>
      </c>
      <c r="EY475" s="638">
        <f t="shared" si="1404"/>
        <v>25271.151175947893</v>
      </c>
      <c r="FC475" s="830" t="str">
        <f t="shared" si="1426"/>
        <v>Y</v>
      </c>
      <c r="FE475" s="830" t="str">
        <f>IFERROR(VLOOKUP($B475,'Historical Conc Grant Elig'!$B$3:$J$707,'HH &amp; SI'!FE$2,0),"N")</f>
        <v>N</v>
      </c>
      <c r="FF475" s="830" t="str">
        <f>IFERROR(VLOOKUP($B475,'Historical Conc Grant Elig'!$B$3:$J$707,'HH &amp; SI'!FF$2,0),"N")</f>
        <v>N</v>
      </c>
      <c r="FG475" s="830" t="str">
        <f>IFERROR(VLOOKUP($B475,'Historical Conc Grant Elig'!$B$3:$J$707,'HH &amp; SI'!FG$2,0),"N")</f>
        <v>N</v>
      </c>
      <c r="FH475" s="830" t="str">
        <f>IFERROR(VLOOKUP($B475,'Historical Conc Grant Elig'!$B$3:$J$707,'HH &amp; SI'!FH$2,0),"N")</f>
        <v>N</v>
      </c>
      <c r="FI475" s="830" t="str">
        <f>IFERROR(VLOOKUP($B475,'Historical Conc Grant Elig'!$B$3:$J$707,'HH &amp; SI'!FI$2,0),"N")</f>
        <v>Y</v>
      </c>
      <c r="FJ475" s="830" t="str">
        <f>IFERROR(VLOOKUP($B475,'Historical Conc Grant Elig'!$B$3:$J$707,'HH &amp; SI'!FJ$2,0),"N")</f>
        <v>N</v>
      </c>
      <c r="FK475" s="830" t="str">
        <f>IFERROR(VLOOKUP($B475,'Historical Conc Grant Elig'!$B$3:$J$707,'HH &amp; SI'!FK$2,0),"N")</f>
        <v>Y</v>
      </c>
      <c r="FL475" s="957" t="str">
        <f>IFERROR(VLOOKUP($B475,'Historical Conc Grant Elig'!$B$3:$J$707,'HH &amp; SI'!FL$2,0),"N")</f>
        <v>N</v>
      </c>
    </row>
    <row r="476" spans="2:168" x14ac:dyDescent="0.25">
      <c r="B476" s="634">
        <v>140401000</v>
      </c>
      <c r="C476" s="635" t="str">
        <f>VLOOKUP($B476,'Afton Update'!$A$5:$CR$582,'Afton Update'!D$589,0)</f>
        <v>Yuma Elementary District</v>
      </c>
      <c r="D476" s="636">
        <f>IFERROR(VLOOKUP($B476,'Afton FY16 Final'!$A$5:$BV$587,'Afton FY16 Final'!AQ$587,0),0)</f>
        <v>1425510.0734394223</v>
      </c>
      <c r="E476" s="637">
        <f>IFERROR(VLOOKUP($B476,'Afton FY16 Final'!$A$5:$BV$587,'Afton FY16 Final'!AR$587,0),0)</f>
        <v>361958.39476267336</v>
      </c>
      <c r="F476" s="637">
        <f>IFERROR(VLOOKUP($B476,'Afton FY16 Final'!$A$5:$BV$587,'Afton FY16 Final'!AS$587,0),0)</f>
        <v>674934.13728720241</v>
      </c>
      <c r="G476" s="637">
        <f>IFERROR(VLOOKUP($B476,'Afton FY16 Final'!$A$5:$BV$587,'Afton FY16 Final'!AT$587,0),0)</f>
        <v>634906.64747504261</v>
      </c>
      <c r="H476" s="638">
        <f>IFERROR(VLOOKUP($B476,'Afton FY16 Final'!$A$5:$BV$587,'Afton FY16 Final'!AU$587,0),0)</f>
        <v>3097309.2529643411</v>
      </c>
      <c r="I476" s="639" t="str">
        <f>VLOOKUP($B476,'Afton Update'!$A$5:$CR$582,'Afton Update'!BT$589,0)</f>
        <v>Y</v>
      </c>
      <c r="J476" s="640" t="str">
        <f>VLOOKUP($B476,'Afton Update'!$A$5:$CR$582,'Afton Update'!BU$589,0)</f>
        <v>Y</v>
      </c>
      <c r="K476" s="640" t="str">
        <f>VLOOKUP($B476,'Afton Update'!$A$5:$CR$582,'Afton Update'!BV$589,0)</f>
        <v>Y</v>
      </c>
      <c r="L476" s="641" t="str">
        <f>VLOOKUP($B476,'Afton Update'!$A$5:$CR$582,'Afton Update'!BW$589,0)</f>
        <v>Y</v>
      </c>
      <c r="N476" s="642">
        <f>VLOOKUP($B476,'Afton Update'!$A$5:$CR$582,'Afton Update'!CB$589,0)</f>
        <v>0.9</v>
      </c>
      <c r="P476" s="636">
        <f>VLOOKUP($B476,'Afton Update'!$A$5:$CR$582,'Afton Update'!AH$589,0)</f>
        <v>1255200.0764909403</v>
      </c>
      <c r="Q476" s="637">
        <f>VLOOKUP($B476,'Afton Update'!$A$5:$CR$582,'Afton Update'!AI$589,0)</f>
        <v>318714.13135401648</v>
      </c>
      <c r="R476" s="637">
        <f>VLOOKUP($B476,'Afton Update'!$A$5:$CR$582,'Afton Update'!AJ$589,0)</f>
        <v>594297.71597839543</v>
      </c>
      <c r="S476" s="637">
        <f>VLOOKUP($B476,'Afton Update'!$A$5:$CR$582,'Afton Update'!AK$589,0)</f>
        <v>559052.43135354551</v>
      </c>
      <c r="T476" s="643">
        <f t="shared" si="1430"/>
        <v>2727264.3551768977</v>
      </c>
      <c r="V476" s="636">
        <f t="shared" si="1456"/>
        <v>1282959.06609548</v>
      </c>
      <c r="W476" s="637">
        <f t="shared" si="1457"/>
        <v>325762.55528640602</v>
      </c>
      <c r="X476" s="637">
        <f t="shared" si="1458"/>
        <v>607440.72355848213</v>
      </c>
      <c r="Y476" s="637">
        <f t="shared" si="1459"/>
        <v>571415.98272753833</v>
      </c>
      <c r="Z476" s="643">
        <f t="shared" si="1460"/>
        <v>2787578.3276679064</v>
      </c>
      <c r="AB476" s="644">
        <f t="shared" si="1431"/>
        <v>1255200.0764909403</v>
      </c>
      <c r="AC476" s="645">
        <f t="shared" si="1427"/>
        <v>1282959.06609548</v>
      </c>
      <c r="AD476" s="644">
        <f t="shared" si="1461"/>
        <v>27758.989604539704</v>
      </c>
      <c r="AE476" s="645">
        <f t="shared" si="1462"/>
        <v>0</v>
      </c>
      <c r="AF476" s="646">
        <f t="shared" si="1463"/>
        <v>0</v>
      </c>
      <c r="AG476" s="647">
        <f t="shared" si="1464"/>
        <v>1282959.06609548</v>
      </c>
      <c r="AH476" s="644">
        <f t="shared" si="1432"/>
        <v>0</v>
      </c>
      <c r="AI476" s="645">
        <f t="shared" si="1433"/>
        <v>0</v>
      </c>
      <c r="AJ476" s="646">
        <f t="shared" si="1465"/>
        <v>0</v>
      </c>
      <c r="AK476" s="647">
        <f t="shared" si="1434"/>
        <v>1282959.06609548</v>
      </c>
      <c r="AL476" s="644">
        <f t="shared" si="1466"/>
        <v>0</v>
      </c>
      <c r="AM476" s="645">
        <f t="shared" si="1467"/>
        <v>0</v>
      </c>
      <c r="AN476" s="646">
        <f t="shared" si="1468"/>
        <v>0</v>
      </c>
      <c r="AO476" s="647">
        <f t="shared" si="1435"/>
        <v>1282959.06609548</v>
      </c>
      <c r="AP476" s="644">
        <f t="shared" si="1469"/>
        <v>0</v>
      </c>
      <c r="AQ476" s="645">
        <f t="shared" si="1470"/>
        <v>0</v>
      </c>
      <c r="AR476" s="646">
        <f t="shared" si="1471"/>
        <v>0</v>
      </c>
      <c r="AS476" s="647">
        <f t="shared" si="1436"/>
        <v>1282959.06609548</v>
      </c>
      <c r="AT476" s="644">
        <f t="shared" si="1472"/>
        <v>0</v>
      </c>
      <c r="AU476" s="645">
        <f t="shared" si="1473"/>
        <v>0</v>
      </c>
      <c r="AV476" s="646">
        <f t="shared" si="1474"/>
        <v>0</v>
      </c>
      <c r="AW476" s="647">
        <f t="shared" si="1437"/>
        <v>1282959.06609548</v>
      </c>
      <c r="AY476" s="644">
        <f t="shared" si="1475"/>
        <v>318714.13135401648</v>
      </c>
      <c r="AZ476" s="645">
        <f t="shared" si="1405"/>
        <v>325762.55528640602</v>
      </c>
      <c r="BA476" s="644">
        <f t="shared" si="1476"/>
        <v>7048.4239323895308</v>
      </c>
      <c r="BB476" s="645">
        <f t="shared" si="1477"/>
        <v>0</v>
      </c>
      <c r="BC476" s="646">
        <f t="shared" si="1478"/>
        <v>0</v>
      </c>
      <c r="BD476" s="647">
        <f t="shared" si="1479"/>
        <v>325762.55528640602</v>
      </c>
      <c r="BE476" s="644">
        <f t="shared" si="1438"/>
        <v>0</v>
      </c>
      <c r="BF476" s="645">
        <f t="shared" si="1439"/>
        <v>0</v>
      </c>
      <c r="BG476" s="646">
        <f t="shared" si="1480"/>
        <v>0</v>
      </c>
      <c r="BH476" s="647">
        <f t="shared" si="1440"/>
        <v>325762.55528640602</v>
      </c>
      <c r="BI476" s="644">
        <f t="shared" si="1481"/>
        <v>0</v>
      </c>
      <c r="BJ476" s="645">
        <f t="shared" si="1482"/>
        <v>0</v>
      </c>
      <c r="BK476" s="646">
        <f t="shared" si="1483"/>
        <v>0</v>
      </c>
      <c r="BL476" s="647">
        <f t="shared" si="1441"/>
        <v>325762.55528640602</v>
      </c>
      <c r="BM476" s="644">
        <f t="shared" si="1484"/>
        <v>0</v>
      </c>
      <c r="BN476" s="645">
        <f t="shared" si="1485"/>
        <v>0</v>
      </c>
      <c r="BO476" s="646">
        <f t="shared" si="1486"/>
        <v>0</v>
      </c>
      <c r="BP476" s="647">
        <f t="shared" si="1442"/>
        <v>325762.55528640602</v>
      </c>
      <c r="BQ476" s="644">
        <f t="shared" si="1487"/>
        <v>0</v>
      </c>
      <c r="BR476" s="645">
        <f t="shared" si="1488"/>
        <v>0</v>
      </c>
      <c r="BS476" s="646">
        <f t="shared" si="1489"/>
        <v>0</v>
      </c>
      <c r="BT476" s="647">
        <f t="shared" si="1443"/>
        <v>325762.55528640602</v>
      </c>
      <c r="BU476" s="662">
        <f>VLOOKUP(B476,'Afton Update'!$A$5:$AR$582,'Afton Update'!$AO$589,0)-BT476</f>
        <v>0</v>
      </c>
      <c r="BV476" s="644">
        <f t="shared" si="1490"/>
        <v>594297.71597839543</v>
      </c>
      <c r="BW476" s="645">
        <f t="shared" si="1428"/>
        <v>607440.72355848213</v>
      </c>
      <c r="BX476" s="644">
        <f t="shared" si="1491"/>
        <v>13143.007580086705</v>
      </c>
      <c r="BY476" s="645">
        <f t="shared" si="1492"/>
        <v>0</v>
      </c>
      <c r="BZ476" s="646">
        <f t="shared" si="1493"/>
        <v>0</v>
      </c>
      <c r="CA476" s="647">
        <f t="shared" si="1494"/>
        <v>607440.72355848213</v>
      </c>
      <c r="CB476" s="644">
        <f t="shared" si="1444"/>
        <v>0</v>
      </c>
      <c r="CC476" s="645">
        <f t="shared" si="1445"/>
        <v>0</v>
      </c>
      <c r="CD476" s="646">
        <f t="shared" si="1495"/>
        <v>0</v>
      </c>
      <c r="CE476" s="647">
        <f t="shared" si="1446"/>
        <v>607440.72355848213</v>
      </c>
      <c r="CF476" s="644">
        <f t="shared" si="1496"/>
        <v>0</v>
      </c>
      <c r="CG476" s="645">
        <f t="shared" si="1497"/>
        <v>0</v>
      </c>
      <c r="CH476" s="646">
        <f t="shared" si="1498"/>
        <v>0</v>
      </c>
      <c r="CI476" s="647">
        <f t="shared" si="1447"/>
        <v>607440.72355848213</v>
      </c>
      <c r="CJ476" s="644">
        <f t="shared" si="1499"/>
        <v>0</v>
      </c>
      <c r="CK476" s="645">
        <f t="shared" si="1500"/>
        <v>0</v>
      </c>
      <c r="CL476" s="646">
        <f t="shared" si="1501"/>
        <v>0</v>
      </c>
      <c r="CM476" s="647">
        <f t="shared" si="1448"/>
        <v>607440.72355848213</v>
      </c>
      <c r="CN476" s="644">
        <f t="shared" si="1502"/>
        <v>0</v>
      </c>
      <c r="CO476" s="645">
        <f t="shared" si="1503"/>
        <v>0</v>
      </c>
      <c r="CP476" s="646">
        <f t="shared" si="1504"/>
        <v>0</v>
      </c>
      <c r="CQ476" s="647">
        <f t="shared" si="1449"/>
        <v>607440.72355848213</v>
      </c>
      <c r="CS476" s="644">
        <f t="shared" si="1505"/>
        <v>559052.43135354551</v>
      </c>
      <c r="CT476" s="645">
        <f t="shared" si="1429"/>
        <v>571415.98272753833</v>
      </c>
      <c r="CU476" s="644">
        <f t="shared" si="1506"/>
        <v>12363.551373992814</v>
      </c>
      <c r="CV476" s="645">
        <f t="shared" si="1507"/>
        <v>0</v>
      </c>
      <c r="CW476" s="646">
        <f t="shared" si="1508"/>
        <v>0</v>
      </c>
      <c r="CX476" s="647">
        <f t="shared" si="1509"/>
        <v>571415.98272753833</v>
      </c>
      <c r="CY476" s="644">
        <f t="shared" si="1450"/>
        <v>0</v>
      </c>
      <c r="CZ476" s="645">
        <f t="shared" si="1451"/>
        <v>0</v>
      </c>
      <c r="DA476" s="646">
        <f t="shared" si="1510"/>
        <v>0</v>
      </c>
      <c r="DB476" s="647">
        <f t="shared" si="1452"/>
        <v>571415.98272753833</v>
      </c>
      <c r="DC476" s="644">
        <f t="shared" si="1511"/>
        <v>0</v>
      </c>
      <c r="DD476" s="645">
        <f t="shared" si="1512"/>
        <v>0</v>
      </c>
      <c r="DE476" s="646">
        <f t="shared" si="1513"/>
        <v>0</v>
      </c>
      <c r="DF476" s="647">
        <f t="shared" si="1453"/>
        <v>571415.98272753833</v>
      </c>
      <c r="DG476" s="644">
        <f t="shared" si="1514"/>
        <v>0</v>
      </c>
      <c r="DH476" s="645">
        <f t="shared" si="1515"/>
        <v>0</v>
      </c>
      <c r="DI476" s="646">
        <f t="shared" si="1516"/>
        <v>0</v>
      </c>
      <c r="DJ476" s="647">
        <f t="shared" si="1454"/>
        <v>571415.98272753833</v>
      </c>
      <c r="DK476" s="644">
        <f t="shared" si="1517"/>
        <v>0</v>
      </c>
      <c r="DL476" s="645">
        <f t="shared" si="1518"/>
        <v>0</v>
      </c>
      <c r="DM476" s="646">
        <f t="shared" si="1519"/>
        <v>0</v>
      </c>
      <c r="DN476" s="647">
        <f t="shared" si="1455"/>
        <v>571415.98272753833</v>
      </c>
      <c r="DR476" s="827">
        <f t="shared" si="1406"/>
        <v>2787578.3276679064</v>
      </c>
      <c r="DV476" s="828">
        <f>IFERROR(VLOOKUP($B476,'Afton FY16 Final'!$A$5:$BV$587,'Afton FY16 Final'!$BV$587,0),0)</f>
        <v>3036323.2342864149</v>
      </c>
      <c r="DX476" s="636">
        <f t="shared" si="1397"/>
        <v>0</v>
      </c>
      <c r="DY476" s="637">
        <f t="shared" si="1398"/>
        <v>0</v>
      </c>
      <c r="DZ476" s="637">
        <f t="shared" si="1399"/>
        <v>0</v>
      </c>
      <c r="EA476" s="643">
        <f t="shared" si="1400"/>
        <v>0</v>
      </c>
      <c r="EB476" s="637">
        <f t="shared" si="1407"/>
        <v>0</v>
      </c>
      <c r="EC476" s="637">
        <f t="shared" si="1408"/>
        <v>0</v>
      </c>
      <c r="ED476" s="637">
        <f t="shared" si="1409"/>
        <v>0</v>
      </c>
      <c r="EE476" s="643">
        <f t="shared" si="1410"/>
        <v>0</v>
      </c>
      <c r="EF476" s="637">
        <f t="shared" si="1411"/>
        <v>0</v>
      </c>
      <c r="EG476" s="637">
        <f t="shared" si="1412"/>
        <v>0</v>
      </c>
      <c r="EH476" s="637">
        <f t="shared" si="1413"/>
        <v>0</v>
      </c>
      <c r="EI476" s="643">
        <f t="shared" si="1414"/>
        <v>0</v>
      </c>
      <c r="EJ476" s="637">
        <f t="shared" si="1415"/>
        <v>0</v>
      </c>
      <c r="EK476" s="637">
        <f t="shared" si="1416"/>
        <v>0</v>
      </c>
      <c r="EL476" s="637">
        <f t="shared" si="1417"/>
        <v>0</v>
      </c>
      <c r="EM476" s="643">
        <f t="shared" si="1418"/>
        <v>0</v>
      </c>
      <c r="EN476" s="637">
        <f t="shared" si="1419"/>
        <v>0</v>
      </c>
      <c r="EO476" s="637">
        <f t="shared" si="1420"/>
        <v>0</v>
      </c>
      <c r="EP476" s="637">
        <f t="shared" si="1421"/>
        <v>0</v>
      </c>
      <c r="EQ476" s="643">
        <f t="shared" si="1422"/>
        <v>0</v>
      </c>
      <c r="ER476" s="637">
        <f t="shared" si="1423"/>
        <v>0</v>
      </c>
      <c r="ES476" s="637">
        <f t="shared" si="1424"/>
        <v>0</v>
      </c>
      <c r="ET476" s="637">
        <f t="shared" si="1425"/>
        <v>0</v>
      </c>
      <c r="EU476" s="643">
        <f t="shared" si="1401"/>
        <v>0</v>
      </c>
      <c r="EV476" s="643">
        <f t="shared" si="1402"/>
        <v>0</v>
      </c>
      <c r="EX476" s="829">
        <f t="shared" si="1403"/>
        <v>0</v>
      </c>
      <c r="EY476" s="638">
        <f t="shared" si="1404"/>
        <v>2787578.3276679064</v>
      </c>
      <c r="FC476" s="830" t="str">
        <f t="shared" si="1426"/>
        <v>Y</v>
      </c>
      <c r="FE476" s="830" t="str">
        <f>IFERROR(VLOOKUP($B476,'Historical Conc Grant Elig'!$B$3:$J$707,'HH &amp; SI'!FE$2,0),"N")</f>
        <v>Y</v>
      </c>
      <c r="FF476" s="830" t="str">
        <f>IFERROR(VLOOKUP($B476,'Historical Conc Grant Elig'!$B$3:$J$707,'HH &amp; SI'!FF$2,0),"N")</f>
        <v>Y</v>
      </c>
      <c r="FG476" s="830" t="str">
        <f>IFERROR(VLOOKUP($B476,'Historical Conc Grant Elig'!$B$3:$J$707,'HH &amp; SI'!FG$2,0),"N")</f>
        <v>Y</v>
      </c>
      <c r="FH476" s="830" t="str">
        <f>IFERROR(VLOOKUP($B476,'Historical Conc Grant Elig'!$B$3:$J$707,'HH &amp; SI'!FH$2,0),"N")</f>
        <v>Y</v>
      </c>
      <c r="FI476" s="830" t="str">
        <f>IFERROR(VLOOKUP($B476,'Historical Conc Grant Elig'!$B$3:$J$707,'HH &amp; SI'!FI$2,0),"N")</f>
        <v>Y</v>
      </c>
      <c r="FJ476" s="830" t="str">
        <f>IFERROR(VLOOKUP($B476,'Historical Conc Grant Elig'!$B$3:$J$707,'HH &amp; SI'!FJ$2,0),"N")</f>
        <v>Y</v>
      </c>
      <c r="FK476" s="830" t="str">
        <f>IFERROR(VLOOKUP($B476,'Historical Conc Grant Elig'!$B$3:$J$707,'HH &amp; SI'!FK$2,0),"N")</f>
        <v>Y</v>
      </c>
      <c r="FL476" s="957" t="str">
        <f>IFERROR(VLOOKUP($B476,'Historical Conc Grant Elig'!$B$3:$J$707,'HH &amp; SI'!FL$2,0),"N")</f>
        <v>Y</v>
      </c>
    </row>
    <row r="477" spans="2:168" x14ac:dyDescent="0.25">
      <c r="B477" s="634">
        <v>140411000</v>
      </c>
      <c r="C477" s="635" t="str">
        <f>VLOOKUP($B477,'Afton Update'!$A$5:$CR$582,'Afton Update'!D$589,0)</f>
        <v>Somerton Elementary District</v>
      </c>
      <c r="D477" s="636">
        <f>IFERROR(VLOOKUP($B477,'Afton FY16 Final'!$A$5:$BV$587,'Afton FY16 Final'!AQ$587,0),0)</f>
        <v>502739.95770070527</v>
      </c>
      <c r="E477" s="637">
        <f>IFERROR(VLOOKUP($B477,'Afton FY16 Final'!$A$5:$BV$587,'Afton FY16 Final'!AR$587,0),0)</f>
        <v>122805.29693904163</v>
      </c>
      <c r="F477" s="637">
        <f>IFERROR(VLOOKUP($B477,'Afton FY16 Final'!$A$5:$BV$587,'Afton FY16 Final'!AS$587,0),0)</f>
        <v>282341.112770167</v>
      </c>
      <c r="G477" s="637">
        <f>IFERROR(VLOOKUP($B477,'Afton FY16 Final'!$A$5:$BV$587,'Afton FY16 Final'!AT$587,0),0)</f>
        <v>295041.09543947078</v>
      </c>
      <c r="H477" s="638">
        <f>IFERROR(VLOOKUP($B477,'Afton FY16 Final'!$A$5:$BV$587,'Afton FY16 Final'!AU$587,0),0)</f>
        <v>1202927.4628493846</v>
      </c>
      <c r="I477" s="639" t="str">
        <f>VLOOKUP($B477,'Afton Update'!$A$5:$CR$582,'Afton Update'!BT$589,0)</f>
        <v>Y</v>
      </c>
      <c r="J477" s="640" t="str">
        <f>VLOOKUP($B477,'Afton Update'!$A$5:$CR$582,'Afton Update'!BU$589,0)</f>
        <v>Y</v>
      </c>
      <c r="K477" s="640" t="str">
        <f>VLOOKUP($B477,'Afton Update'!$A$5:$CR$582,'Afton Update'!BV$589,0)</f>
        <v>Y</v>
      </c>
      <c r="L477" s="641" t="str">
        <f>VLOOKUP($B477,'Afton Update'!$A$5:$CR$582,'Afton Update'!BW$589,0)</f>
        <v>Y</v>
      </c>
      <c r="N477" s="642">
        <f>VLOOKUP($B477,'Afton Update'!$A$5:$CR$582,'Afton Update'!CB$589,0)</f>
        <v>0.95</v>
      </c>
      <c r="P477" s="636">
        <f>VLOOKUP($B477,'Afton Update'!$A$5:$CR$582,'Afton Update'!AH$589,0)</f>
        <v>500842.60971066507</v>
      </c>
      <c r="Q477" s="637">
        <f>VLOOKUP($B477,'Afton Update'!$A$5:$CR$582,'Afton Update'!AI$589,0)</f>
        <v>119305.29046406574</v>
      </c>
      <c r="R477" s="637">
        <f>VLOOKUP($B477,'Afton Update'!$A$5:$CR$582,'Afton Update'!AJ$589,0)</f>
        <v>276826.36592076928</v>
      </c>
      <c r="S477" s="637">
        <f>VLOOKUP($B477,'Afton Update'!$A$5:$CR$582,'Afton Update'!AK$589,0)</f>
        <v>274224.51314532582</v>
      </c>
      <c r="T477" s="643">
        <f t="shared" si="1430"/>
        <v>1171198.7792408259</v>
      </c>
      <c r="V477" s="636">
        <f t="shared" si="1456"/>
        <v>494010.79143547243</v>
      </c>
      <c r="W477" s="637">
        <f t="shared" si="1457"/>
        <v>116665.03209208953</v>
      </c>
      <c r="X477" s="637">
        <f t="shared" si="1458"/>
        <v>274308.73820548778</v>
      </c>
      <c r="Y477" s="637">
        <f t="shared" si="1459"/>
        <v>280289.0406674972</v>
      </c>
      <c r="Z477" s="643">
        <f t="shared" si="1460"/>
        <v>1165273.6024005469</v>
      </c>
      <c r="AB477" s="644">
        <f t="shared" si="1431"/>
        <v>500842.60971066507</v>
      </c>
      <c r="AC477" s="645">
        <f t="shared" si="1427"/>
        <v>477602.95981566998</v>
      </c>
      <c r="AD477" s="644">
        <f t="shared" si="1461"/>
        <v>0</v>
      </c>
      <c r="AE477" s="645">
        <f t="shared" si="1462"/>
        <v>500842.60971066507</v>
      </c>
      <c r="AF477" s="646">
        <f t="shared" si="1463"/>
        <v>-6208.3205205660215</v>
      </c>
      <c r="AG477" s="647">
        <f t="shared" si="1464"/>
        <v>494634.28919009905</v>
      </c>
      <c r="AH477" s="644">
        <f t="shared" si="1432"/>
        <v>0</v>
      </c>
      <c r="AI477" s="645">
        <f t="shared" si="1433"/>
        <v>494634.28919009905</v>
      </c>
      <c r="AJ477" s="646">
        <f t="shared" si="1465"/>
        <v>-623.10052612214656</v>
      </c>
      <c r="AK477" s="647">
        <f t="shared" si="1434"/>
        <v>494011.18866397691</v>
      </c>
      <c r="AL477" s="644">
        <f t="shared" si="1466"/>
        <v>0</v>
      </c>
      <c r="AM477" s="645">
        <f t="shared" si="1467"/>
        <v>494011.18866397691</v>
      </c>
      <c r="AN477" s="646">
        <f t="shared" si="1468"/>
        <v>-0.39722850444469482</v>
      </c>
      <c r="AO477" s="647">
        <f t="shared" si="1435"/>
        <v>494010.79143547243</v>
      </c>
      <c r="AP477" s="644">
        <f t="shared" si="1469"/>
        <v>0</v>
      </c>
      <c r="AQ477" s="645">
        <f t="shared" si="1470"/>
        <v>494010.79143547243</v>
      </c>
      <c r="AR477" s="646">
        <f t="shared" si="1471"/>
        <v>0</v>
      </c>
      <c r="AS477" s="647">
        <f t="shared" si="1436"/>
        <v>494010.79143547243</v>
      </c>
      <c r="AT477" s="644">
        <f t="shared" si="1472"/>
        <v>0</v>
      </c>
      <c r="AU477" s="645">
        <f t="shared" si="1473"/>
        <v>494010.79143547243</v>
      </c>
      <c r="AV477" s="646">
        <f t="shared" si="1474"/>
        <v>0</v>
      </c>
      <c r="AW477" s="647">
        <f t="shared" si="1437"/>
        <v>494010.79143547243</v>
      </c>
      <c r="AY477" s="644">
        <f t="shared" si="1475"/>
        <v>119305.29046406574</v>
      </c>
      <c r="AZ477" s="645">
        <f t="shared" si="1405"/>
        <v>116665.03209208953</v>
      </c>
      <c r="BA477" s="644">
        <f t="shared" si="1476"/>
        <v>0</v>
      </c>
      <c r="BB477" s="645">
        <f t="shared" si="1477"/>
        <v>119305.29046406574</v>
      </c>
      <c r="BC477" s="646">
        <f t="shared" si="1478"/>
        <v>-857.95911292089988</v>
      </c>
      <c r="BD477" s="647">
        <f t="shared" si="1479"/>
        <v>118447.33135114484</v>
      </c>
      <c r="BE477" s="644">
        <f t="shared" si="1438"/>
        <v>0</v>
      </c>
      <c r="BF477" s="645">
        <f t="shared" si="1439"/>
        <v>118447.33135114484</v>
      </c>
      <c r="BG477" s="646">
        <f t="shared" si="1480"/>
        <v>-2821.3189051731074</v>
      </c>
      <c r="BH477" s="647">
        <f t="shared" si="1440"/>
        <v>115626.01244597173</v>
      </c>
      <c r="BI477" s="644">
        <f t="shared" si="1481"/>
        <v>-1039.0196461177984</v>
      </c>
      <c r="BJ477" s="645">
        <f t="shared" si="1482"/>
        <v>0</v>
      </c>
      <c r="BK477" s="646">
        <f t="shared" si="1483"/>
        <v>0</v>
      </c>
      <c r="BL477" s="647">
        <f t="shared" si="1441"/>
        <v>116665.03209208953</v>
      </c>
      <c r="BM477" s="644">
        <f t="shared" si="1484"/>
        <v>0</v>
      </c>
      <c r="BN477" s="645">
        <f t="shared" si="1485"/>
        <v>0</v>
      </c>
      <c r="BO477" s="646">
        <f t="shared" si="1486"/>
        <v>0</v>
      </c>
      <c r="BP477" s="647">
        <f t="shared" si="1442"/>
        <v>116665.03209208953</v>
      </c>
      <c r="BQ477" s="644">
        <f t="shared" si="1487"/>
        <v>0</v>
      </c>
      <c r="BR477" s="645">
        <f t="shared" si="1488"/>
        <v>0</v>
      </c>
      <c r="BS477" s="646">
        <f t="shared" si="1489"/>
        <v>0</v>
      </c>
      <c r="BT477" s="647">
        <f t="shared" si="1443"/>
        <v>116665.03209208953</v>
      </c>
      <c r="BU477" s="662">
        <f>VLOOKUP(B477,'Afton Update'!$A$5:$AR$582,'Afton Update'!$AO$589,0)-BT477</f>
        <v>0</v>
      </c>
      <c r="BV477" s="644">
        <f t="shared" si="1490"/>
        <v>276826.36592076928</v>
      </c>
      <c r="BW477" s="645">
        <f t="shared" si="1428"/>
        <v>268224.05713165866</v>
      </c>
      <c r="BX477" s="644">
        <f t="shared" si="1491"/>
        <v>0</v>
      </c>
      <c r="BY477" s="645">
        <f t="shared" si="1492"/>
        <v>276826.36592076928</v>
      </c>
      <c r="BZ477" s="646">
        <f t="shared" si="1493"/>
        <v>-2429.7344455370171</v>
      </c>
      <c r="CA477" s="647">
        <f t="shared" si="1494"/>
        <v>274396.63147523225</v>
      </c>
      <c r="CB477" s="644">
        <f t="shared" si="1444"/>
        <v>0</v>
      </c>
      <c r="CC477" s="645">
        <f t="shared" si="1445"/>
        <v>274396.63147523225</v>
      </c>
      <c r="CD477" s="646">
        <f t="shared" si="1495"/>
        <v>-87.893269744458493</v>
      </c>
      <c r="CE477" s="647">
        <f t="shared" si="1446"/>
        <v>274308.73820548778</v>
      </c>
      <c r="CF477" s="644">
        <f t="shared" si="1496"/>
        <v>0</v>
      </c>
      <c r="CG477" s="645">
        <f t="shared" si="1497"/>
        <v>274308.73820548778</v>
      </c>
      <c r="CH477" s="646">
        <f t="shared" si="1498"/>
        <v>0</v>
      </c>
      <c r="CI477" s="647">
        <f t="shared" si="1447"/>
        <v>274308.73820548778</v>
      </c>
      <c r="CJ477" s="644">
        <f t="shared" si="1499"/>
        <v>0</v>
      </c>
      <c r="CK477" s="645">
        <f t="shared" si="1500"/>
        <v>274308.73820548778</v>
      </c>
      <c r="CL477" s="646">
        <f t="shared" si="1501"/>
        <v>0</v>
      </c>
      <c r="CM477" s="647">
        <f t="shared" si="1448"/>
        <v>274308.73820548778</v>
      </c>
      <c r="CN477" s="644">
        <f t="shared" si="1502"/>
        <v>0</v>
      </c>
      <c r="CO477" s="645">
        <f t="shared" si="1503"/>
        <v>274308.73820548778</v>
      </c>
      <c r="CP477" s="646">
        <f t="shared" si="1504"/>
        <v>0</v>
      </c>
      <c r="CQ477" s="647">
        <f t="shared" si="1449"/>
        <v>274308.73820548778</v>
      </c>
      <c r="CS477" s="644">
        <f t="shared" si="1505"/>
        <v>274224.51314532582</v>
      </c>
      <c r="CT477" s="645">
        <f t="shared" si="1429"/>
        <v>280289.0406674972</v>
      </c>
      <c r="CU477" s="644">
        <f t="shared" si="1506"/>
        <v>6064.5275221713819</v>
      </c>
      <c r="CV477" s="645">
        <f t="shared" si="1507"/>
        <v>0</v>
      </c>
      <c r="CW477" s="646">
        <f t="shared" si="1508"/>
        <v>0</v>
      </c>
      <c r="CX477" s="647">
        <f t="shared" si="1509"/>
        <v>280289.0406674972</v>
      </c>
      <c r="CY477" s="644">
        <f t="shared" si="1450"/>
        <v>0</v>
      </c>
      <c r="CZ477" s="645">
        <f t="shared" si="1451"/>
        <v>0</v>
      </c>
      <c r="DA477" s="646">
        <f t="shared" si="1510"/>
        <v>0</v>
      </c>
      <c r="DB477" s="647">
        <f t="shared" si="1452"/>
        <v>280289.0406674972</v>
      </c>
      <c r="DC477" s="644">
        <f t="shared" si="1511"/>
        <v>0</v>
      </c>
      <c r="DD477" s="645">
        <f t="shared" si="1512"/>
        <v>0</v>
      </c>
      <c r="DE477" s="646">
        <f t="shared" si="1513"/>
        <v>0</v>
      </c>
      <c r="DF477" s="647">
        <f t="shared" si="1453"/>
        <v>280289.0406674972</v>
      </c>
      <c r="DG477" s="644">
        <f t="shared" si="1514"/>
        <v>0</v>
      </c>
      <c r="DH477" s="645">
        <f t="shared" si="1515"/>
        <v>0</v>
      </c>
      <c r="DI477" s="646">
        <f t="shared" si="1516"/>
        <v>0</v>
      </c>
      <c r="DJ477" s="647">
        <f t="shared" si="1454"/>
        <v>280289.0406674972</v>
      </c>
      <c r="DK477" s="644">
        <f t="shared" si="1517"/>
        <v>0</v>
      </c>
      <c r="DL477" s="645">
        <f t="shared" si="1518"/>
        <v>0</v>
      </c>
      <c r="DM477" s="646">
        <f t="shared" si="1519"/>
        <v>0</v>
      </c>
      <c r="DN477" s="647">
        <f t="shared" si="1455"/>
        <v>280289.0406674972</v>
      </c>
      <c r="DR477" s="827">
        <f t="shared" si="1406"/>
        <v>1165273.6024005469</v>
      </c>
      <c r="DV477" s="828">
        <f>IFERROR(VLOOKUP($B477,'Afton FY16 Final'!$A$5:$BV$587,'Afton FY16 Final'!$BV$587,0),0)</f>
        <v>1179241.8213050957</v>
      </c>
      <c r="DX477" s="636">
        <f t="shared" si="1397"/>
        <v>0</v>
      </c>
      <c r="DY477" s="637">
        <f t="shared" si="1398"/>
        <v>0</v>
      </c>
      <c r="DZ477" s="637">
        <f t="shared" si="1399"/>
        <v>0</v>
      </c>
      <c r="EA477" s="643">
        <f t="shared" si="1400"/>
        <v>0</v>
      </c>
      <c r="EB477" s="637">
        <f t="shared" si="1407"/>
        <v>0</v>
      </c>
      <c r="EC477" s="637">
        <f t="shared" si="1408"/>
        <v>0</v>
      </c>
      <c r="ED477" s="637">
        <f t="shared" si="1409"/>
        <v>0</v>
      </c>
      <c r="EE477" s="643">
        <f t="shared" si="1410"/>
        <v>0</v>
      </c>
      <c r="EF477" s="637">
        <f t="shared" si="1411"/>
        <v>0</v>
      </c>
      <c r="EG477" s="637">
        <f t="shared" si="1412"/>
        <v>0</v>
      </c>
      <c r="EH477" s="637">
        <f t="shared" si="1413"/>
        <v>0</v>
      </c>
      <c r="EI477" s="643">
        <f t="shared" si="1414"/>
        <v>0</v>
      </c>
      <c r="EJ477" s="637">
        <f t="shared" si="1415"/>
        <v>0</v>
      </c>
      <c r="EK477" s="637">
        <f t="shared" si="1416"/>
        <v>0</v>
      </c>
      <c r="EL477" s="637">
        <f t="shared" si="1417"/>
        <v>0</v>
      </c>
      <c r="EM477" s="643">
        <f t="shared" si="1418"/>
        <v>0</v>
      </c>
      <c r="EN477" s="637">
        <f t="shared" si="1419"/>
        <v>0</v>
      </c>
      <c r="EO477" s="637">
        <f t="shared" si="1420"/>
        <v>0</v>
      </c>
      <c r="EP477" s="637">
        <f t="shared" si="1421"/>
        <v>0</v>
      </c>
      <c r="EQ477" s="643">
        <f t="shared" si="1422"/>
        <v>0</v>
      </c>
      <c r="ER477" s="637">
        <f t="shared" si="1423"/>
        <v>0</v>
      </c>
      <c r="ES477" s="637">
        <f t="shared" si="1424"/>
        <v>0</v>
      </c>
      <c r="ET477" s="637">
        <f t="shared" si="1425"/>
        <v>0</v>
      </c>
      <c r="EU477" s="643">
        <f t="shared" si="1401"/>
        <v>0</v>
      </c>
      <c r="EV477" s="643">
        <f t="shared" si="1402"/>
        <v>0</v>
      </c>
      <c r="EX477" s="829">
        <f t="shared" si="1403"/>
        <v>0</v>
      </c>
      <c r="EY477" s="638">
        <f t="shared" si="1404"/>
        <v>1165273.6024005469</v>
      </c>
      <c r="FC477" s="830" t="str">
        <f t="shared" si="1426"/>
        <v>Y</v>
      </c>
      <c r="FE477" s="830" t="str">
        <f>IFERROR(VLOOKUP($B477,'Historical Conc Grant Elig'!$B$3:$J$707,'HH &amp; SI'!FE$2,0),"N")</f>
        <v>Y</v>
      </c>
      <c r="FF477" s="830" t="str">
        <f>IFERROR(VLOOKUP($B477,'Historical Conc Grant Elig'!$B$3:$J$707,'HH &amp; SI'!FF$2,0),"N")</f>
        <v>Y</v>
      </c>
      <c r="FG477" s="830" t="str">
        <f>IFERROR(VLOOKUP($B477,'Historical Conc Grant Elig'!$B$3:$J$707,'HH &amp; SI'!FG$2,0),"N")</f>
        <v>Y</v>
      </c>
      <c r="FH477" s="830" t="str">
        <f>IFERROR(VLOOKUP($B477,'Historical Conc Grant Elig'!$B$3:$J$707,'HH &amp; SI'!FH$2,0),"N")</f>
        <v>Y</v>
      </c>
      <c r="FI477" s="830" t="str">
        <f>IFERROR(VLOOKUP($B477,'Historical Conc Grant Elig'!$B$3:$J$707,'HH &amp; SI'!FI$2,0),"N")</f>
        <v>Y</v>
      </c>
      <c r="FJ477" s="830" t="str">
        <f>IFERROR(VLOOKUP($B477,'Historical Conc Grant Elig'!$B$3:$J$707,'HH &amp; SI'!FJ$2,0),"N")</f>
        <v>Y</v>
      </c>
      <c r="FK477" s="830" t="str">
        <f>IFERROR(VLOOKUP($B477,'Historical Conc Grant Elig'!$B$3:$J$707,'HH &amp; SI'!FK$2,0),"N")</f>
        <v>Y</v>
      </c>
      <c r="FL477" s="957" t="str">
        <f>IFERROR(VLOOKUP($B477,'Historical Conc Grant Elig'!$B$3:$J$707,'HH &amp; SI'!FL$2,0),"N")</f>
        <v>Y</v>
      </c>
    </row>
    <row r="478" spans="2:168" x14ac:dyDescent="0.25">
      <c r="B478" s="634">
        <v>140413000</v>
      </c>
      <c r="C478" s="635" t="str">
        <f>VLOOKUP($B478,'Afton Update'!$A$5:$CR$582,'Afton Update'!D$589,0)</f>
        <v>Crane Elementary District</v>
      </c>
      <c r="D478" s="636">
        <f>IFERROR(VLOOKUP($B478,'Afton FY16 Final'!$A$5:$BV$587,'Afton FY16 Final'!AQ$587,0),0)</f>
        <v>789958.24612234917</v>
      </c>
      <c r="E478" s="637">
        <f>IFERROR(VLOOKUP($B478,'Afton FY16 Final'!$A$5:$BV$587,'Afton FY16 Final'!AR$587,0),0)</f>
        <v>184041.80060160585</v>
      </c>
      <c r="F478" s="637">
        <f>IFERROR(VLOOKUP($B478,'Afton FY16 Final'!$A$5:$BV$587,'Afton FY16 Final'!AS$587,0),0)</f>
        <v>322433.17084287817</v>
      </c>
      <c r="G478" s="637">
        <f>IFERROR(VLOOKUP($B478,'Afton FY16 Final'!$A$5:$BV$587,'Afton FY16 Final'!AT$587,0),0)</f>
        <v>254356.77356390169</v>
      </c>
      <c r="H478" s="638">
        <f>IFERROR(VLOOKUP($B478,'Afton FY16 Final'!$A$5:$BV$587,'Afton FY16 Final'!AU$587,0),0)</f>
        <v>1550789.991130735</v>
      </c>
      <c r="I478" s="639" t="str">
        <f>VLOOKUP($B478,'Afton Update'!$A$5:$CR$582,'Afton Update'!BT$589,0)</f>
        <v>Y</v>
      </c>
      <c r="J478" s="640" t="str">
        <f>VLOOKUP($B478,'Afton Update'!$A$5:$CR$582,'Afton Update'!BU$589,0)</f>
        <v>Y</v>
      </c>
      <c r="K478" s="640" t="str">
        <f>VLOOKUP($B478,'Afton Update'!$A$5:$CR$582,'Afton Update'!BV$589,0)</f>
        <v>Y</v>
      </c>
      <c r="L478" s="641" t="str">
        <f>VLOOKUP($B478,'Afton Update'!$A$5:$CR$582,'Afton Update'!BW$589,0)</f>
        <v>Y</v>
      </c>
      <c r="N478" s="642">
        <f>VLOOKUP($B478,'Afton Update'!$A$5:$CR$582,'Afton Update'!CB$589,0)</f>
        <v>0.9</v>
      </c>
      <c r="P478" s="636">
        <f>VLOOKUP($B478,'Afton Update'!$A$5:$CR$582,'Afton Update'!AH$589,0)</f>
        <v>843891.46422963229</v>
      </c>
      <c r="Q478" s="637">
        <f>VLOOKUP($B478,'Afton Update'!$A$5:$CR$582,'Afton Update'!AI$589,0)</f>
        <v>201022.66522056685</v>
      </c>
      <c r="R478" s="637">
        <f>VLOOKUP($B478,'Afton Update'!$A$5:$CR$582,'Afton Update'!AJ$589,0)</f>
        <v>391725.0313585719</v>
      </c>
      <c r="S478" s="637">
        <f>VLOOKUP($B478,'Afton Update'!$A$5:$CR$582,'Afton Update'!AK$589,0)</f>
        <v>317377.90175232373</v>
      </c>
      <c r="T478" s="643">
        <f t="shared" si="1430"/>
        <v>1754017.0625610948</v>
      </c>
      <c r="V478" s="636">
        <f t="shared" si="1456"/>
        <v>832380.23691825452</v>
      </c>
      <c r="W478" s="637">
        <f t="shared" si="1457"/>
        <v>194401.7135862149</v>
      </c>
      <c r="X478" s="637">
        <f t="shared" si="1458"/>
        <v>388162.44514162134</v>
      </c>
      <c r="Y478" s="637">
        <f t="shared" si="1459"/>
        <v>313880.96858441958</v>
      </c>
      <c r="Z478" s="643">
        <f t="shared" si="1460"/>
        <v>1728825.3642305103</v>
      </c>
      <c r="AB478" s="644">
        <f t="shared" si="1431"/>
        <v>843891.46422963229</v>
      </c>
      <c r="AC478" s="645">
        <f t="shared" si="1427"/>
        <v>710962.42151011422</v>
      </c>
      <c r="AD478" s="644">
        <f t="shared" si="1461"/>
        <v>0</v>
      </c>
      <c r="AE478" s="645">
        <f t="shared" si="1462"/>
        <v>843891.46422963229</v>
      </c>
      <c r="AF478" s="646">
        <f t="shared" si="1463"/>
        <v>-10460.668866680431</v>
      </c>
      <c r="AG478" s="647">
        <f t="shared" si="1464"/>
        <v>833430.79536295182</v>
      </c>
      <c r="AH478" s="644">
        <f t="shared" si="1432"/>
        <v>0</v>
      </c>
      <c r="AI478" s="645">
        <f t="shared" si="1433"/>
        <v>833430.79536295182</v>
      </c>
      <c r="AJ478" s="646">
        <f t="shared" si="1465"/>
        <v>-1049.8891371387949</v>
      </c>
      <c r="AK478" s="647">
        <f t="shared" si="1434"/>
        <v>832380.90622581297</v>
      </c>
      <c r="AL478" s="644">
        <f t="shared" si="1466"/>
        <v>0</v>
      </c>
      <c r="AM478" s="645">
        <f t="shared" si="1467"/>
        <v>832380.90622581297</v>
      </c>
      <c r="AN478" s="646">
        <f t="shared" si="1468"/>
        <v>-0.66930755840289735</v>
      </c>
      <c r="AO478" s="647">
        <f t="shared" si="1435"/>
        <v>832380.23691825452</v>
      </c>
      <c r="AP478" s="644">
        <f t="shared" si="1469"/>
        <v>0</v>
      </c>
      <c r="AQ478" s="645">
        <f t="shared" si="1470"/>
        <v>832380.23691825452</v>
      </c>
      <c r="AR478" s="646">
        <f t="shared" si="1471"/>
        <v>0</v>
      </c>
      <c r="AS478" s="647">
        <f t="shared" si="1436"/>
        <v>832380.23691825452</v>
      </c>
      <c r="AT478" s="644">
        <f t="shared" si="1472"/>
        <v>0</v>
      </c>
      <c r="AU478" s="645">
        <f t="shared" si="1473"/>
        <v>832380.23691825452</v>
      </c>
      <c r="AV478" s="646">
        <f t="shared" si="1474"/>
        <v>0</v>
      </c>
      <c r="AW478" s="647">
        <f t="shared" si="1437"/>
        <v>832380.23691825452</v>
      </c>
      <c r="AY478" s="644">
        <f t="shared" si="1475"/>
        <v>201022.66522056685</v>
      </c>
      <c r="AZ478" s="645">
        <f t="shared" si="1405"/>
        <v>165637.62054144527</v>
      </c>
      <c r="BA478" s="644">
        <f t="shared" si="1476"/>
        <v>0</v>
      </c>
      <c r="BB478" s="645">
        <f t="shared" si="1477"/>
        <v>201022.66522056685</v>
      </c>
      <c r="BC478" s="646">
        <f t="shared" si="1478"/>
        <v>-1445.6125697257289</v>
      </c>
      <c r="BD478" s="647">
        <f t="shared" si="1479"/>
        <v>199577.05265084113</v>
      </c>
      <c r="BE478" s="644">
        <f t="shared" si="1438"/>
        <v>0</v>
      </c>
      <c r="BF478" s="645">
        <f t="shared" si="1439"/>
        <v>199577.05265084113</v>
      </c>
      <c r="BG478" s="646">
        <f t="shared" si="1480"/>
        <v>-4753.7627505788851</v>
      </c>
      <c r="BH478" s="647">
        <f t="shared" si="1440"/>
        <v>194823.28990026223</v>
      </c>
      <c r="BI478" s="644">
        <f t="shared" si="1481"/>
        <v>0</v>
      </c>
      <c r="BJ478" s="645">
        <f t="shared" si="1482"/>
        <v>194823.28990026223</v>
      </c>
      <c r="BK478" s="646">
        <f t="shared" si="1483"/>
        <v>-412.68148654627146</v>
      </c>
      <c r="BL478" s="647">
        <f t="shared" si="1441"/>
        <v>194410.60841371596</v>
      </c>
      <c r="BM478" s="644">
        <f t="shared" si="1484"/>
        <v>0</v>
      </c>
      <c r="BN478" s="645">
        <f t="shared" si="1485"/>
        <v>194410.60841371596</v>
      </c>
      <c r="BO478" s="646">
        <f t="shared" si="1486"/>
        <v>-8.8948275010519282</v>
      </c>
      <c r="BP478" s="647">
        <f t="shared" si="1442"/>
        <v>194401.7135862149</v>
      </c>
      <c r="BQ478" s="644">
        <f t="shared" si="1487"/>
        <v>0</v>
      </c>
      <c r="BR478" s="645">
        <f t="shared" si="1488"/>
        <v>194401.7135862149</v>
      </c>
      <c r="BS478" s="646">
        <f t="shared" si="1489"/>
        <v>0</v>
      </c>
      <c r="BT478" s="647">
        <f t="shared" si="1443"/>
        <v>194401.7135862149</v>
      </c>
      <c r="BU478" s="662">
        <f>VLOOKUP(B478,'Afton Update'!$A$5:$AR$582,'Afton Update'!$AO$589,0)-BT478</f>
        <v>0</v>
      </c>
      <c r="BV478" s="644">
        <f t="shared" si="1490"/>
        <v>391725.0313585719</v>
      </c>
      <c r="BW478" s="645">
        <f t="shared" si="1428"/>
        <v>290189.85375859035</v>
      </c>
      <c r="BX478" s="644">
        <f t="shared" si="1491"/>
        <v>0</v>
      </c>
      <c r="BY478" s="645">
        <f t="shared" si="1492"/>
        <v>391725.0313585719</v>
      </c>
      <c r="BZ478" s="646">
        <f t="shared" si="1493"/>
        <v>-3438.2122479742497</v>
      </c>
      <c r="CA478" s="647">
        <f t="shared" si="1494"/>
        <v>388286.81911059766</v>
      </c>
      <c r="CB478" s="644">
        <f t="shared" si="1444"/>
        <v>0</v>
      </c>
      <c r="CC478" s="645">
        <f t="shared" si="1445"/>
        <v>388286.81911059766</v>
      </c>
      <c r="CD478" s="646">
        <f t="shared" si="1495"/>
        <v>-124.37396897631372</v>
      </c>
      <c r="CE478" s="647">
        <f t="shared" si="1446"/>
        <v>388162.44514162134</v>
      </c>
      <c r="CF478" s="644">
        <f t="shared" si="1496"/>
        <v>0</v>
      </c>
      <c r="CG478" s="645">
        <f t="shared" si="1497"/>
        <v>388162.44514162134</v>
      </c>
      <c r="CH478" s="646">
        <f t="shared" si="1498"/>
        <v>0</v>
      </c>
      <c r="CI478" s="647">
        <f t="shared" si="1447"/>
        <v>388162.44514162134</v>
      </c>
      <c r="CJ478" s="644">
        <f t="shared" si="1499"/>
        <v>0</v>
      </c>
      <c r="CK478" s="645">
        <f t="shared" si="1500"/>
        <v>388162.44514162134</v>
      </c>
      <c r="CL478" s="646">
        <f t="shared" si="1501"/>
        <v>0</v>
      </c>
      <c r="CM478" s="647">
        <f t="shared" si="1448"/>
        <v>388162.44514162134</v>
      </c>
      <c r="CN478" s="644">
        <f t="shared" si="1502"/>
        <v>0</v>
      </c>
      <c r="CO478" s="645">
        <f t="shared" si="1503"/>
        <v>388162.44514162134</v>
      </c>
      <c r="CP478" s="646">
        <f t="shared" si="1504"/>
        <v>0</v>
      </c>
      <c r="CQ478" s="647">
        <f t="shared" si="1449"/>
        <v>388162.44514162134</v>
      </c>
      <c r="CS478" s="644">
        <f t="shared" si="1505"/>
        <v>317377.90175232373</v>
      </c>
      <c r="CT478" s="645">
        <f t="shared" si="1429"/>
        <v>228921.09620751152</v>
      </c>
      <c r="CU478" s="644">
        <f t="shared" si="1506"/>
        <v>0</v>
      </c>
      <c r="CV478" s="645">
        <f t="shared" si="1507"/>
        <v>317377.90175232373</v>
      </c>
      <c r="CW478" s="646">
        <f t="shared" si="1508"/>
        <v>-3250.1290711706765</v>
      </c>
      <c r="CX478" s="647">
        <f t="shared" si="1509"/>
        <v>314127.77268115303</v>
      </c>
      <c r="CY478" s="644">
        <f t="shared" si="1450"/>
        <v>0</v>
      </c>
      <c r="CZ478" s="645">
        <f t="shared" si="1451"/>
        <v>314127.77268115303</v>
      </c>
      <c r="DA478" s="646">
        <f t="shared" si="1510"/>
        <v>-246.59144232801219</v>
      </c>
      <c r="DB478" s="647">
        <f t="shared" si="1452"/>
        <v>313881.18123882503</v>
      </c>
      <c r="DC478" s="644">
        <f t="shared" si="1511"/>
        <v>0</v>
      </c>
      <c r="DD478" s="645">
        <f t="shared" si="1512"/>
        <v>313881.18123882503</v>
      </c>
      <c r="DE478" s="646">
        <f t="shared" si="1513"/>
        <v>-0.21265440545919273</v>
      </c>
      <c r="DF478" s="647">
        <f t="shared" si="1453"/>
        <v>313880.96858441958</v>
      </c>
      <c r="DG478" s="644">
        <f t="shared" si="1514"/>
        <v>0</v>
      </c>
      <c r="DH478" s="645">
        <f t="shared" si="1515"/>
        <v>313880.96858441958</v>
      </c>
      <c r="DI478" s="646">
        <f t="shared" si="1516"/>
        <v>0</v>
      </c>
      <c r="DJ478" s="647">
        <f t="shared" si="1454"/>
        <v>313880.96858441958</v>
      </c>
      <c r="DK478" s="644">
        <f t="shared" si="1517"/>
        <v>0</v>
      </c>
      <c r="DL478" s="645">
        <f t="shared" si="1518"/>
        <v>313880.96858441958</v>
      </c>
      <c r="DM478" s="646">
        <f t="shared" si="1519"/>
        <v>0</v>
      </c>
      <c r="DN478" s="647">
        <f t="shared" si="1455"/>
        <v>313880.96858441958</v>
      </c>
      <c r="DR478" s="827">
        <f t="shared" si="1406"/>
        <v>1728825.3642305103</v>
      </c>
      <c r="DV478" s="828">
        <f>IFERROR(VLOOKUP($B478,'Afton FY16 Final'!$A$5:$BV$587,'Afton FY16 Final'!$BV$587,0),0)</f>
        <v>1499286.7754845913</v>
      </c>
      <c r="DX478" s="636">
        <f t="shared" si="1397"/>
        <v>1728825.3642305103</v>
      </c>
      <c r="DY478" s="637">
        <f t="shared" si="1398"/>
        <v>229538.58874591906</v>
      </c>
      <c r="DZ478" s="637">
        <f t="shared" si="1399"/>
        <v>1499286.7754845913</v>
      </c>
      <c r="EA478" s="643">
        <f t="shared" si="1400"/>
        <v>1636871.2304924827</v>
      </c>
      <c r="EB478" s="637">
        <f t="shared" si="1407"/>
        <v>0</v>
      </c>
      <c r="EC478" s="637">
        <f t="shared" si="1408"/>
        <v>1636871.2304924827</v>
      </c>
      <c r="ED478" s="637">
        <f t="shared" si="1409"/>
        <v>1631990.1782170131</v>
      </c>
      <c r="EE478" s="643">
        <f t="shared" si="1410"/>
        <v>1631990.1782170131</v>
      </c>
      <c r="EF478" s="637">
        <f t="shared" si="1411"/>
        <v>0</v>
      </c>
      <c r="EG478" s="637">
        <f t="shared" si="1412"/>
        <v>1631990.1782170131</v>
      </c>
      <c r="EH478" s="637">
        <f t="shared" si="1413"/>
        <v>1631988.4945564475</v>
      </c>
      <c r="EI478" s="643">
        <f t="shared" si="1414"/>
        <v>1631988.4945564475</v>
      </c>
      <c r="EJ478" s="637">
        <f t="shared" si="1415"/>
        <v>0</v>
      </c>
      <c r="EK478" s="637">
        <f t="shared" si="1416"/>
        <v>1631988.4945564475</v>
      </c>
      <c r="EL478" s="637">
        <f t="shared" si="1417"/>
        <v>1631988.4945564452</v>
      </c>
      <c r="EM478" s="643">
        <f t="shared" si="1418"/>
        <v>1631988.4945564452</v>
      </c>
      <c r="EN478" s="637">
        <f t="shared" si="1419"/>
        <v>0</v>
      </c>
      <c r="EO478" s="637">
        <f t="shared" si="1420"/>
        <v>1631988.4945564452</v>
      </c>
      <c r="EP478" s="637">
        <f t="shared" si="1421"/>
        <v>1631988.4945564477</v>
      </c>
      <c r="EQ478" s="643">
        <f t="shared" si="1422"/>
        <v>1631988.4945564477</v>
      </c>
      <c r="ER478" s="637">
        <f t="shared" si="1423"/>
        <v>0</v>
      </c>
      <c r="ES478" s="637">
        <f t="shared" si="1424"/>
        <v>1631988.4945564477</v>
      </c>
      <c r="ET478" s="637">
        <f t="shared" si="1425"/>
        <v>1631988.4945564452</v>
      </c>
      <c r="EU478" s="643">
        <f t="shared" si="1401"/>
        <v>1631988.4945564452</v>
      </c>
      <c r="EV478" s="643">
        <f t="shared" si="1402"/>
        <v>0</v>
      </c>
      <c r="EX478" s="829">
        <f t="shared" si="1403"/>
        <v>96836.86967406515</v>
      </c>
      <c r="EY478" s="638">
        <f t="shared" si="1404"/>
        <v>1631988.4945564452</v>
      </c>
      <c r="FC478" s="830" t="str">
        <f t="shared" si="1426"/>
        <v>Y</v>
      </c>
      <c r="FE478" s="830" t="str">
        <f>IFERROR(VLOOKUP($B478,'Historical Conc Grant Elig'!$B$3:$J$707,'HH &amp; SI'!FE$2,0),"N")</f>
        <v>Y</v>
      </c>
      <c r="FF478" s="830" t="str">
        <f>IFERROR(VLOOKUP($B478,'Historical Conc Grant Elig'!$B$3:$J$707,'HH &amp; SI'!FF$2,0),"N")</f>
        <v>Y</v>
      </c>
      <c r="FG478" s="830" t="str">
        <f>IFERROR(VLOOKUP($B478,'Historical Conc Grant Elig'!$B$3:$J$707,'HH &amp; SI'!FG$2,0),"N")</f>
        <v>Y</v>
      </c>
      <c r="FH478" s="830" t="str">
        <f>IFERROR(VLOOKUP($B478,'Historical Conc Grant Elig'!$B$3:$J$707,'HH &amp; SI'!FH$2,0),"N")</f>
        <v>Y</v>
      </c>
      <c r="FI478" s="830" t="str">
        <f>IFERROR(VLOOKUP($B478,'Historical Conc Grant Elig'!$B$3:$J$707,'HH &amp; SI'!FI$2,0),"N")</f>
        <v>Y</v>
      </c>
      <c r="FJ478" s="830" t="str">
        <f>IFERROR(VLOOKUP($B478,'Historical Conc Grant Elig'!$B$3:$J$707,'HH &amp; SI'!FJ$2,0),"N")</f>
        <v>Y</v>
      </c>
      <c r="FK478" s="830" t="str">
        <f>IFERROR(VLOOKUP($B478,'Historical Conc Grant Elig'!$B$3:$J$707,'HH &amp; SI'!FK$2,0),"N")</f>
        <v>Y</v>
      </c>
      <c r="FL478" s="957" t="str">
        <f>IFERROR(VLOOKUP($B478,'Historical Conc Grant Elig'!$B$3:$J$707,'HH &amp; SI'!FL$2,0),"N")</f>
        <v>Y</v>
      </c>
    </row>
    <row r="479" spans="2:168" x14ac:dyDescent="0.25">
      <c r="B479" s="634">
        <v>140416000</v>
      </c>
      <c r="C479" s="635" t="str">
        <f>VLOOKUP($B479,'Afton Update'!$A$5:$CR$582,'Afton Update'!D$589,0)</f>
        <v>Hyder Elementary District</v>
      </c>
      <c r="D479" s="636">
        <f>IFERROR(VLOOKUP($B479,'Afton FY16 Final'!$A$5:$BV$587,'Afton FY16 Final'!AQ$587,0),0)</f>
        <v>36118.035480435086</v>
      </c>
      <c r="E479" s="637">
        <f>IFERROR(VLOOKUP($B479,'Afton FY16 Final'!$A$5:$BV$587,'Afton FY16 Final'!AR$587,0),0)</f>
        <v>9170.9110921516913</v>
      </c>
      <c r="F479" s="637">
        <f>IFERROR(VLOOKUP($B479,'Afton FY16 Final'!$A$5:$BV$587,'Afton FY16 Final'!AS$587,0),0)</f>
        <v>23731.238022590736</v>
      </c>
      <c r="G479" s="637">
        <f>IFERROR(VLOOKUP($B479,'Afton FY16 Final'!$A$5:$BV$587,'Afton FY16 Final'!AT$587,0),0)</f>
        <v>26141.851905039359</v>
      </c>
      <c r="H479" s="638">
        <f>IFERROR(VLOOKUP($B479,'Afton FY16 Final'!$A$5:$BV$587,'Afton FY16 Final'!AU$587,0),0)</f>
        <v>95162.036500216869</v>
      </c>
      <c r="I479" s="639" t="str">
        <f>VLOOKUP($B479,'Afton Update'!$A$5:$CR$582,'Afton Update'!BT$589,0)</f>
        <v>Y</v>
      </c>
      <c r="J479" s="640" t="str">
        <f>VLOOKUP($B479,'Afton Update'!$A$5:$CR$582,'Afton Update'!BU$589,0)</f>
        <v>Y</v>
      </c>
      <c r="K479" s="640" t="str">
        <f>VLOOKUP($B479,'Afton Update'!$A$5:$CR$582,'Afton Update'!BV$589,0)</f>
        <v>Y</v>
      </c>
      <c r="L479" s="641" t="str">
        <f>VLOOKUP($B479,'Afton Update'!$A$5:$CR$582,'Afton Update'!BW$589,0)</f>
        <v>Y</v>
      </c>
      <c r="N479" s="642">
        <f>VLOOKUP($B479,'Afton Update'!$A$5:$CR$582,'Afton Update'!CB$589,0)</f>
        <v>0.9</v>
      </c>
      <c r="P479" s="636">
        <f>VLOOKUP($B479,'Afton Update'!$A$5:$CR$582,'Afton Update'!AH$589,0)</f>
        <v>31802.904618106979</v>
      </c>
      <c r="Q479" s="637">
        <f>VLOOKUP($B479,'Afton Update'!$A$5:$CR$582,'Afton Update'!AI$589,0)</f>
        <v>8075.2346257268282</v>
      </c>
      <c r="R479" s="637">
        <f>VLOOKUP($B479,'Afton Update'!$A$5:$CR$582,'Afton Update'!AJ$589,0)</f>
        <v>20895.995290521136</v>
      </c>
      <c r="S479" s="637">
        <f>VLOOKUP($B479,'Afton Update'!$A$5:$CR$582,'Afton Update'!AK$589,0)</f>
        <v>23018.605846572194</v>
      </c>
      <c r="T479" s="643">
        <f t="shared" si="1430"/>
        <v>83792.740380927135</v>
      </c>
      <c r="V479" s="636">
        <f t="shared" si="1456"/>
        <v>32506.23193239158</v>
      </c>
      <c r="W479" s="637">
        <f t="shared" si="1457"/>
        <v>8253.8199829365221</v>
      </c>
      <c r="X479" s="637">
        <f t="shared" si="1458"/>
        <v>21358.114220331663</v>
      </c>
      <c r="Y479" s="637">
        <f t="shared" si="1459"/>
        <v>23527.666714535422</v>
      </c>
      <c r="Z479" s="643">
        <f t="shared" si="1460"/>
        <v>85645.832850195191</v>
      </c>
      <c r="AB479" s="644">
        <f t="shared" si="1431"/>
        <v>31802.904618106979</v>
      </c>
      <c r="AC479" s="645">
        <f t="shared" si="1427"/>
        <v>32506.23193239158</v>
      </c>
      <c r="AD479" s="644">
        <f t="shared" si="1461"/>
        <v>703.32731428460102</v>
      </c>
      <c r="AE479" s="645">
        <f t="shared" si="1462"/>
        <v>0</v>
      </c>
      <c r="AF479" s="646">
        <f t="shared" si="1463"/>
        <v>0</v>
      </c>
      <c r="AG479" s="647">
        <f t="shared" si="1464"/>
        <v>32506.23193239158</v>
      </c>
      <c r="AH479" s="644">
        <f t="shared" si="1432"/>
        <v>0</v>
      </c>
      <c r="AI479" s="645">
        <f t="shared" si="1433"/>
        <v>0</v>
      </c>
      <c r="AJ479" s="646">
        <f t="shared" si="1465"/>
        <v>0</v>
      </c>
      <c r="AK479" s="647">
        <f t="shared" si="1434"/>
        <v>32506.23193239158</v>
      </c>
      <c r="AL479" s="644">
        <f t="shared" si="1466"/>
        <v>0</v>
      </c>
      <c r="AM479" s="645">
        <f t="shared" si="1467"/>
        <v>0</v>
      </c>
      <c r="AN479" s="646">
        <f t="shared" si="1468"/>
        <v>0</v>
      </c>
      <c r="AO479" s="647">
        <f t="shared" si="1435"/>
        <v>32506.23193239158</v>
      </c>
      <c r="AP479" s="644">
        <f t="shared" si="1469"/>
        <v>0</v>
      </c>
      <c r="AQ479" s="645">
        <f t="shared" si="1470"/>
        <v>0</v>
      </c>
      <c r="AR479" s="646">
        <f t="shared" si="1471"/>
        <v>0</v>
      </c>
      <c r="AS479" s="647">
        <f t="shared" si="1436"/>
        <v>32506.23193239158</v>
      </c>
      <c r="AT479" s="644">
        <f t="shared" si="1472"/>
        <v>0</v>
      </c>
      <c r="AU479" s="645">
        <f t="shared" si="1473"/>
        <v>0</v>
      </c>
      <c r="AV479" s="646">
        <f t="shared" si="1474"/>
        <v>0</v>
      </c>
      <c r="AW479" s="647">
        <f t="shared" si="1437"/>
        <v>32506.23193239158</v>
      </c>
      <c r="AY479" s="644">
        <f t="shared" si="1475"/>
        <v>8075.2346257268282</v>
      </c>
      <c r="AZ479" s="645">
        <f t="shared" si="1405"/>
        <v>8253.8199829365221</v>
      </c>
      <c r="BA479" s="644">
        <f t="shared" si="1476"/>
        <v>178.58535720969394</v>
      </c>
      <c r="BB479" s="645">
        <f t="shared" si="1477"/>
        <v>0</v>
      </c>
      <c r="BC479" s="646">
        <f t="shared" si="1478"/>
        <v>0</v>
      </c>
      <c r="BD479" s="647">
        <f t="shared" si="1479"/>
        <v>8253.8199829365221</v>
      </c>
      <c r="BE479" s="644">
        <f t="shared" si="1438"/>
        <v>0</v>
      </c>
      <c r="BF479" s="645">
        <f t="shared" si="1439"/>
        <v>0</v>
      </c>
      <c r="BG479" s="646">
        <f t="shared" si="1480"/>
        <v>0</v>
      </c>
      <c r="BH479" s="647">
        <f t="shared" si="1440"/>
        <v>8253.8199829365221</v>
      </c>
      <c r="BI479" s="644">
        <f t="shared" si="1481"/>
        <v>0</v>
      </c>
      <c r="BJ479" s="645">
        <f t="shared" si="1482"/>
        <v>0</v>
      </c>
      <c r="BK479" s="646">
        <f t="shared" si="1483"/>
        <v>0</v>
      </c>
      <c r="BL479" s="647">
        <f t="shared" si="1441"/>
        <v>8253.8199829365221</v>
      </c>
      <c r="BM479" s="644">
        <f t="shared" si="1484"/>
        <v>0</v>
      </c>
      <c r="BN479" s="645">
        <f t="shared" si="1485"/>
        <v>0</v>
      </c>
      <c r="BO479" s="646">
        <f t="shared" si="1486"/>
        <v>0</v>
      </c>
      <c r="BP479" s="647">
        <f t="shared" si="1442"/>
        <v>8253.8199829365221</v>
      </c>
      <c r="BQ479" s="644">
        <f t="shared" si="1487"/>
        <v>0</v>
      </c>
      <c r="BR479" s="645">
        <f t="shared" si="1488"/>
        <v>0</v>
      </c>
      <c r="BS479" s="646">
        <f t="shared" si="1489"/>
        <v>0</v>
      </c>
      <c r="BT479" s="647">
        <f t="shared" si="1443"/>
        <v>8253.8199829365221</v>
      </c>
      <c r="BU479" s="662">
        <f>VLOOKUP(B479,'Afton Update'!$A$5:$AR$582,'Afton Update'!$AO$589,0)-BT479</f>
        <v>0</v>
      </c>
      <c r="BV479" s="644">
        <f t="shared" si="1490"/>
        <v>20895.995290521136</v>
      </c>
      <c r="BW479" s="645">
        <f t="shared" si="1428"/>
        <v>21358.114220331663</v>
      </c>
      <c r="BX479" s="644">
        <f t="shared" si="1491"/>
        <v>462.11892981052733</v>
      </c>
      <c r="BY479" s="645">
        <f t="shared" si="1492"/>
        <v>0</v>
      </c>
      <c r="BZ479" s="646">
        <f t="shared" si="1493"/>
        <v>0</v>
      </c>
      <c r="CA479" s="647">
        <f t="shared" si="1494"/>
        <v>21358.114220331663</v>
      </c>
      <c r="CB479" s="644">
        <f t="shared" si="1444"/>
        <v>0</v>
      </c>
      <c r="CC479" s="645">
        <f t="shared" si="1445"/>
        <v>0</v>
      </c>
      <c r="CD479" s="646">
        <f t="shared" si="1495"/>
        <v>0</v>
      </c>
      <c r="CE479" s="647">
        <f t="shared" si="1446"/>
        <v>21358.114220331663</v>
      </c>
      <c r="CF479" s="644">
        <f t="shared" si="1496"/>
        <v>0</v>
      </c>
      <c r="CG479" s="645">
        <f t="shared" si="1497"/>
        <v>0</v>
      </c>
      <c r="CH479" s="646">
        <f t="shared" si="1498"/>
        <v>0</v>
      </c>
      <c r="CI479" s="647">
        <f t="shared" si="1447"/>
        <v>21358.114220331663</v>
      </c>
      <c r="CJ479" s="644">
        <f t="shared" si="1499"/>
        <v>0</v>
      </c>
      <c r="CK479" s="645">
        <f t="shared" si="1500"/>
        <v>0</v>
      </c>
      <c r="CL479" s="646">
        <f t="shared" si="1501"/>
        <v>0</v>
      </c>
      <c r="CM479" s="647">
        <f t="shared" si="1448"/>
        <v>21358.114220331663</v>
      </c>
      <c r="CN479" s="644">
        <f t="shared" si="1502"/>
        <v>0</v>
      </c>
      <c r="CO479" s="645">
        <f t="shared" si="1503"/>
        <v>0</v>
      </c>
      <c r="CP479" s="646">
        <f t="shared" si="1504"/>
        <v>0</v>
      </c>
      <c r="CQ479" s="647">
        <f t="shared" si="1449"/>
        <v>21358.114220331663</v>
      </c>
      <c r="CS479" s="644">
        <f t="shared" si="1505"/>
        <v>23018.605846572194</v>
      </c>
      <c r="CT479" s="645">
        <f t="shared" si="1429"/>
        <v>23527.666714535422</v>
      </c>
      <c r="CU479" s="644">
        <f t="shared" si="1506"/>
        <v>509.06086796322779</v>
      </c>
      <c r="CV479" s="645">
        <f t="shared" si="1507"/>
        <v>0</v>
      </c>
      <c r="CW479" s="646">
        <f t="shared" si="1508"/>
        <v>0</v>
      </c>
      <c r="CX479" s="647">
        <f t="shared" si="1509"/>
        <v>23527.666714535422</v>
      </c>
      <c r="CY479" s="644">
        <f t="shared" si="1450"/>
        <v>0</v>
      </c>
      <c r="CZ479" s="645">
        <f t="shared" si="1451"/>
        <v>0</v>
      </c>
      <c r="DA479" s="646">
        <f t="shared" si="1510"/>
        <v>0</v>
      </c>
      <c r="DB479" s="647">
        <f t="shared" si="1452"/>
        <v>23527.666714535422</v>
      </c>
      <c r="DC479" s="644">
        <f t="shared" si="1511"/>
        <v>0</v>
      </c>
      <c r="DD479" s="645">
        <f t="shared" si="1512"/>
        <v>0</v>
      </c>
      <c r="DE479" s="646">
        <f t="shared" si="1513"/>
        <v>0</v>
      </c>
      <c r="DF479" s="647">
        <f t="shared" si="1453"/>
        <v>23527.666714535422</v>
      </c>
      <c r="DG479" s="644">
        <f t="shared" si="1514"/>
        <v>0</v>
      </c>
      <c r="DH479" s="645">
        <f t="shared" si="1515"/>
        <v>0</v>
      </c>
      <c r="DI479" s="646">
        <f t="shared" si="1516"/>
        <v>0</v>
      </c>
      <c r="DJ479" s="647">
        <f t="shared" si="1454"/>
        <v>23527.666714535422</v>
      </c>
      <c r="DK479" s="644">
        <f t="shared" si="1517"/>
        <v>0</v>
      </c>
      <c r="DL479" s="645">
        <f t="shared" si="1518"/>
        <v>0</v>
      </c>
      <c r="DM479" s="646">
        <f t="shared" si="1519"/>
        <v>0</v>
      </c>
      <c r="DN479" s="647">
        <f t="shared" si="1455"/>
        <v>23527.666714535422</v>
      </c>
      <c r="DR479" s="827">
        <f t="shared" si="1406"/>
        <v>85645.832850195191</v>
      </c>
      <c r="DV479" s="828">
        <f>IFERROR(VLOOKUP($B479,'Afton FY16 Final'!$A$5:$BV$587,'Afton FY16 Final'!$BV$587,0),0)</f>
        <v>93288.29601728727</v>
      </c>
      <c r="DX479" s="636">
        <f t="shared" si="1397"/>
        <v>0</v>
      </c>
      <c r="DY479" s="637">
        <f t="shared" si="1398"/>
        <v>0</v>
      </c>
      <c r="DZ479" s="637">
        <f t="shared" si="1399"/>
        <v>0</v>
      </c>
      <c r="EA479" s="643">
        <f t="shared" si="1400"/>
        <v>0</v>
      </c>
      <c r="EB479" s="637">
        <f t="shared" si="1407"/>
        <v>0</v>
      </c>
      <c r="EC479" s="637">
        <f t="shared" si="1408"/>
        <v>0</v>
      </c>
      <c r="ED479" s="637">
        <f t="shared" si="1409"/>
        <v>0</v>
      </c>
      <c r="EE479" s="643">
        <f t="shared" si="1410"/>
        <v>0</v>
      </c>
      <c r="EF479" s="637">
        <f t="shared" si="1411"/>
        <v>0</v>
      </c>
      <c r="EG479" s="637">
        <f t="shared" si="1412"/>
        <v>0</v>
      </c>
      <c r="EH479" s="637">
        <f t="shared" si="1413"/>
        <v>0</v>
      </c>
      <c r="EI479" s="643">
        <f t="shared" si="1414"/>
        <v>0</v>
      </c>
      <c r="EJ479" s="637">
        <f t="shared" si="1415"/>
        <v>0</v>
      </c>
      <c r="EK479" s="637">
        <f t="shared" si="1416"/>
        <v>0</v>
      </c>
      <c r="EL479" s="637">
        <f t="shared" si="1417"/>
        <v>0</v>
      </c>
      <c r="EM479" s="643">
        <f t="shared" si="1418"/>
        <v>0</v>
      </c>
      <c r="EN479" s="637">
        <f t="shared" si="1419"/>
        <v>0</v>
      </c>
      <c r="EO479" s="637">
        <f t="shared" si="1420"/>
        <v>0</v>
      </c>
      <c r="EP479" s="637">
        <f t="shared" si="1421"/>
        <v>0</v>
      </c>
      <c r="EQ479" s="643">
        <f t="shared" si="1422"/>
        <v>0</v>
      </c>
      <c r="ER479" s="637">
        <f t="shared" si="1423"/>
        <v>0</v>
      </c>
      <c r="ES479" s="637">
        <f t="shared" si="1424"/>
        <v>0</v>
      </c>
      <c r="ET479" s="637">
        <f t="shared" si="1425"/>
        <v>0</v>
      </c>
      <c r="EU479" s="643">
        <f t="shared" si="1401"/>
        <v>0</v>
      </c>
      <c r="EV479" s="643">
        <f t="shared" si="1402"/>
        <v>0</v>
      </c>
      <c r="EX479" s="829">
        <f t="shared" si="1403"/>
        <v>0</v>
      </c>
      <c r="EY479" s="638">
        <f t="shared" si="1404"/>
        <v>85645.832850195191</v>
      </c>
      <c r="FC479" s="830" t="str">
        <f t="shared" si="1426"/>
        <v>Y</v>
      </c>
      <c r="FE479" s="830" t="str">
        <f>IFERROR(VLOOKUP($B479,'Historical Conc Grant Elig'!$B$3:$J$707,'HH &amp; SI'!FE$2,0),"N")</f>
        <v>Y</v>
      </c>
      <c r="FF479" s="830" t="str">
        <f>IFERROR(VLOOKUP($B479,'Historical Conc Grant Elig'!$B$3:$J$707,'HH &amp; SI'!FF$2,0),"N")</f>
        <v>Y</v>
      </c>
      <c r="FG479" s="830" t="str">
        <f>IFERROR(VLOOKUP($B479,'Historical Conc Grant Elig'!$B$3:$J$707,'HH &amp; SI'!FG$2,0),"N")</f>
        <v>Y</v>
      </c>
      <c r="FH479" s="830" t="str">
        <f>IFERROR(VLOOKUP($B479,'Historical Conc Grant Elig'!$B$3:$J$707,'HH &amp; SI'!FH$2,0),"N")</f>
        <v>Y</v>
      </c>
      <c r="FI479" s="830" t="str">
        <f>IFERROR(VLOOKUP($B479,'Historical Conc Grant Elig'!$B$3:$J$707,'HH &amp; SI'!FI$2,0),"N")</f>
        <v>Y</v>
      </c>
      <c r="FJ479" s="830" t="str">
        <f>IFERROR(VLOOKUP($B479,'Historical Conc Grant Elig'!$B$3:$J$707,'HH &amp; SI'!FJ$2,0),"N")</f>
        <v>Y</v>
      </c>
      <c r="FK479" s="830" t="str">
        <f>IFERROR(VLOOKUP($B479,'Historical Conc Grant Elig'!$B$3:$J$707,'HH &amp; SI'!FK$2,0),"N")</f>
        <v>Y</v>
      </c>
      <c r="FL479" s="957" t="str">
        <f>IFERROR(VLOOKUP($B479,'Historical Conc Grant Elig'!$B$3:$J$707,'HH &amp; SI'!FL$2,0),"N")</f>
        <v>Y</v>
      </c>
    </row>
    <row r="480" spans="2:168" x14ac:dyDescent="0.25">
      <c r="B480" s="634">
        <v>140417000</v>
      </c>
      <c r="C480" s="635" t="str">
        <f>VLOOKUP($B480,'Afton Update'!$A$5:$CR$582,'Afton Update'!D$589,0)</f>
        <v>Mohawk Valley Elementary District</v>
      </c>
      <c r="D480" s="636">
        <f>IFERROR(VLOOKUP($B480,'Afton FY16 Final'!$A$5:$BV$587,'Afton FY16 Final'!AQ$587,0),0)</f>
        <v>36105.708505868381</v>
      </c>
      <c r="E480" s="637">
        <f>IFERROR(VLOOKUP($B480,'Afton FY16 Final'!$A$5:$BV$587,'Afton FY16 Final'!AR$587,0),0)</f>
        <v>9167.7810883659731</v>
      </c>
      <c r="F480" s="637">
        <f>IFERROR(VLOOKUP($B480,'Afton FY16 Final'!$A$5:$BV$587,'Afton FY16 Final'!AS$587,0),0)</f>
        <v>16171.954432397866</v>
      </c>
      <c r="G480" s="637">
        <f>IFERROR(VLOOKUP($B480,'Afton FY16 Final'!$A$5:$BV$587,'Afton FY16 Final'!AT$587,0),0)</f>
        <v>14735.06243311618</v>
      </c>
      <c r="H480" s="638">
        <f>IFERROR(VLOOKUP($B480,'Afton FY16 Final'!$A$5:$BV$587,'Afton FY16 Final'!AU$587,0),0)</f>
        <v>76180.506459748402</v>
      </c>
      <c r="I480" s="639" t="str">
        <f>VLOOKUP($B480,'Afton Update'!$A$5:$CR$582,'Afton Update'!BT$589,0)</f>
        <v>Y</v>
      </c>
      <c r="J480" s="640" t="str">
        <f>VLOOKUP($B480,'Afton Update'!$A$5:$CR$582,'Afton Update'!BU$589,0)</f>
        <v>Y</v>
      </c>
      <c r="K480" s="640" t="str">
        <f>VLOOKUP($B480,'Afton Update'!$A$5:$CR$582,'Afton Update'!BV$589,0)</f>
        <v>Y</v>
      </c>
      <c r="L480" s="641" t="str">
        <f>VLOOKUP($B480,'Afton Update'!$A$5:$CR$582,'Afton Update'!BW$589,0)</f>
        <v>Y</v>
      </c>
      <c r="N480" s="642">
        <f>VLOOKUP($B480,'Afton Update'!$A$5:$CR$582,'Afton Update'!CB$589,0)</f>
        <v>0.95</v>
      </c>
      <c r="P480" s="636">
        <f>VLOOKUP($B480,'Afton Update'!$A$5:$CR$582,'Afton Update'!AH$589,0)</f>
        <v>33558.275405807195</v>
      </c>
      <c r="Q480" s="637">
        <f>VLOOKUP($B480,'Afton Update'!$A$5:$CR$582,'Afton Update'!AI$589,0)</f>
        <v>8520.9496047842931</v>
      </c>
      <c r="R480" s="637">
        <f>VLOOKUP($B480,'Afton Update'!$A$5:$CR$582,'Afton Update'!AJ$589,0)</f>
        <v>15030.944500212885</v>
      </c>
      <c r="S480" s="637">
        <f>VLOOKUP($B480,'Afton Update'!$A$5:$CR$582,'Afton Update'!AK$589,0)</f>
        <v>13695.432210446896</v>
      </c>
      <c r="T480" s="643">
        <f t="shared" si="1430"/>
        <v>70805.601721251267</v>
      </c>
      <c r="V480" s="636">
        <f t="shared" si="1456"/>
        <v>34300.423080574961</v>
      </c>
      <c r="W480" s="637">
        <f t="shared" si="1457"/>
        <v>8709.3920339476736</v>
      </c>
      <c r="X480" s="637">
        <f t="shared" si="1458"/>
        <v>15363.356710777973</v>
      </c>
      <c r="Y480" s="637">
        <f t="shared" si="1459"/>
        <v>13998.309311460371</v>
      </c>
      <c r="Z480" s="643">
        <f t="shared" si="1460"/>
        <v>72371.48113676098</v>
      </c>
      <c r="AB480" s="644">
        <f t="shared" si="1431"/>
        <v>33558.275405807195</v>
      </c>
      <c r="AC480" s="645">
        <f t="shared" si="1427"/>
        <v>34300.423080574961</v>
      </c>
      <c r="AD480" s="644">
        <f t="shared" si="1461"/>
        <v>742.14767476776615</v>
      </c>
      <c r="AE480" s="645">
        <f t="shared" si="1462"/>
        <v>0</v>
      </c>
      <c r="AF480" s="646">
        <f t="shared" si="1463"/>
        <v>0</v>
      </c>
      <c r="AG480" s="647">
        <f t="shared" si="1464"/>
        <v>34300.423080574961</v>
      </c>
      <c r="AH480" s="644">
        <f t="shared" si="1432"/>
        <v>0</v>
      </c>
      <c r="AI480" s="645">
        <f t="shared" si="1433"/>
        <v>0</v>
      </c>
      <c r="AJ480" s="646">
        <f t="shared" si="1465"/>
        <v>0</v>
      </c>
      <c r="AK480" s="647">
        <f t="shared" si="1434"/>
        <v>34300.423080574961</v>
      </c>
      <c r="AL480" s="644">
        <f t="shared" si="1466"/>
        <v>0</v>
      </c>
      <c r="AM480" s="645">
        <f t="shared" si="1467"/>
        <v>0</v>
      </c>
      <c r="AN480" s="646">
        <f t="shared" si="1468"/>
        <v>0</v>
      </c>
      <c r="AO480" s="647">
        <f t="shared" si="1435"/>
        <v>34300.423080574961</v>
      </c>
      <c r="AP480" s="644">
        <f t="shared" si="1469"/>
        <v>0</v>
      </c>
      <c r="AQ480" s="645">
        <f t="shared" si="1470"/>
        <v>0</v>
      </c>
      <c r="AR480" s="646">
        <f t="shared" si="1471"/>
        <v>0</v>
      </c>
      <c r="AS480" s="647">
        <f t="shared" si="1436"/>
        <v>34300.423080574961</v>
      </c>
      <c r="AT480" s="644">
        <f t="shared" si="1472"/>
        <v>0</v>
      </c>
      <c r="AU480" s="645">
        <f t="shared" si="1473"/>
        <v>0</v>
      </c>
      <c r="AV480" s="646">
        <f t="shared" si="1474"/>
        <v>0</v>
      </c>
      <c r="AW480" s="647">
        <f t="shared" si="1437"/>
        <v>34300.423080574961</v>
      </c>
      <c r="AY480" s="644">
        <f t="shared" si="1475"/>
        <v>8520.9496047842931</v>
      </c>
      <c r="AZ480" s="645">
        <f t="shared" si="1405"/>
        <v>8709.3920339476736</v>
      </c>
      <c r="BA480" s="644">
        <f t="shared" si="1476"/>
        <v>188.44242916338044</v>
      </c>
      <c r="BB480" s="645">
        <f t="shared" si="1477"/>
        <v>0</v>
      </c>
      <c r="BC480" s="646">
        <f t="shared" si="1478"/>
        <v>0</v>
      </c>
      <c r="BD480" s="647">
        <f t="shared" si="1479"/>
        <v>8709.3920339476736</v>
      </c>
      <c r="BE480" s="644">
        <f t="shared" si="1438"/>
        <v>0</v>
      </c>
      <c r="BF480" s="645">
        <f t="shared" si="1439"/>
        <v>0</v>
      </c>
      <c r="BG480" s="646">
        <f t="shared" si="1480"/>
        <v>0</v>
      </c>
      <c r="BH480" s="647">
        <f t="shared" si="1440"/>
        <v>8709.3920339476736</v>
      </c>
      <c r="BI480" s="644">
        <f t="shared" si="1481"/>
        <v>0</v>
      </c>
      <c r="BJ480" s="645">
        <f t="shared" si="1482"/>
        <v>0</v>
      </c>
      <c r="BK480" s="646">
        <f t="shared" si="1483"/>
        <v>0</v>
      </c>
      <c r="BL480" s="647">
        <f t="shared" si="1441"/>
        <v>8709.3920339476736</v>
      </c>
      <c r="BM480" s="644">
        <f t="shared" si="1484"/>
        <v>0</v>
      </c>
      <c r="BN480" s="645">
        <f t="shared" si="1485"/>
        <v>0</v>
      </c>
      <c r="BO480" s="646">
        <f t="shared" si="1486"/>
        <v>0</v>
      </c>
      <c r="BP480" s="647">
        <f t="shared" si="1442"/>
        <v>8709.3920339476736</v>
      </c>
      <c r="BQ480" s="644">
        <f t="shared" si="1487"/>
        <v>0</v>
      </c>
      <c r="BR480" s="645">
        <f t="shared" si="1488"/>
        <v>0</v>
      </c>
      <c r="BS480" s="646">
        <f t="shared" si="1489"/>
        <v>0</v>
      </c>
      <c r="BT480" s="647">
        <f t="shared" si="1443"/>
        <v>8709.3920339476736</v>
      </c>
      <c r="BU480" s="662">
        <f>VLOOKUP(B480,'Afton Update'!$A$5:$AR$582,'Afton Update'!$AO$589,0)-BT480</f>
        <v>0</v>
      </c>
      <c r="BV480" s="644">
        <f t="shared" si="1490"/>
        <v>15030.944500212885</v>
      </c>
      <c r="BW480" s="645">
        <f t="shared" si="1428"/>
        <v>15363.356710777973</v>
      </c>
      <c r="BX480" s="644">
        <f t="shared" si="1491"/>
        <v>332.41221056508766</v>
      </c>
      <c r="BY480" s="645">
        <f t="shared" si="1492"/>
        <v>0</v>
      </c>
      <c r="BZ480" s="646">
        <f t="shared" si="1493"/>
        <v>0</v>
      </c>
      <c r="CA480" s="647">
        <f t="shared" si="1494"/>
        <v>15363.356710777973</v>
      </c>
      <c r="CB480" s="644">
        <f t="shared" si="1444"/>
        <v>0</v>
      </c>
      <c r="CC480" s="645">
        <f t="shared" si="1445"/>
        <v>0</v>
      </c>
      <c r="CD480" s="646">
        <f t="shared" si="1495"/>
        <v>0</v>
      </c>
      <c r="CE480" s="647">
        <f t="shared" si="1446"/>
        <v>15363.356710777973</v>
      </c>
      <c r="CF480" s="644">
        <f t="shared" si="1496"/>
        <v>0</v>
      </c>
      <c r="CG480" s="645">
        <f t="shared" si="1497"/>
        <v>0</v>
      </c>
      <c r="CH480" s="646">
        <f t="shared" si="1498"/>
        <v>0</v>
      </c>
      <c r="CI480" s="647">
        <f t="shared" si="1447"/>
        <v>15363.356710777973</v>
      </c>
      <c r="CJ480" s="644">
        <f t="shared" si="1499"/>
        <v>0</v>
      </c>
      <c r="CK480" s="645">
        <f t="shared" si="1500"/>
        <v>0</v>
      </c>
      <c r="CL480" s="646">
        <f t="shared" si="1501"/>
        <v>0</v>
      </c>
      <c r="CM480" s="647">
        <f t="shared" si="1448"/>
        <v>15363.356710777973</v>
      </c>
      <c r="CN480" s="644">
        <f t="shared" si="1502"/>
        <v>0</v>
      </c>
      <c r="CO480" s="645">
        <f t="shared" si="1503"/>
        <v>0</v>
      </c>
      <c r="CP480" s="646">
        <f t="shared" si="1504"/>
        <v>0</v>
      </c>
      <c r="CQ480" s="647">
        <f t="shared" si="1449"/>
        <v>15363.356710777973</v>
      </c>
      <c r="CS480" s="644">
        <f t="shared" si="1505"/>
        <v>13695.432210446896</v>
      </c>
      <c r="CT480" s="645">
        <f t="shared" si="1429"/>
        <v>13998.309311460371</v>
      </c>
      <c r="CU480" s="644">
        <f t="shared" si="1506"/>
        <v>302.87710101347511</v>
      </c>
      <c r="CV480" s="645">
        <f t="shared" si="1507"/>
        <v>0</v>
      </c>
      <c r="CW480" s="646">
        <f t="shared" si="1508"/>
        <v>0</v>
      </c>
      <c r="CX480" s="647">
        <f t="shared" si="1509"/>
        <v>13998.309311460371</v>
      </c>
      <c r="CY480" s="644">
        <f t="shared" si="1450"/>
        <v>0</v>
      </c>
      <c r="CZ480" s="645">
        <f t="shared" si="1451"/>
        <v>0</v>
      </c>
      <c r="DA480" s="646">
        <f t="shared" si="1510"/>
        <v>0</v>
      </c>
      <c r="DB480" s="647">
        <f t="shared" si="1452"/>
        <v>13998.309311460371</v>
      </c>
      <c r="DC480" s="644">
        <f t="shared" si="1511"/>
        <v>0</v>
      </c>
      <c r="DD480" s="645">
        <f t="shared" si="1512"/>
        <v>0</v>
      </c>
      <c r="DE480" s="646">
        <f t="shared" si="1513"/>
        <v>0</v>
      </c>
      <c r="DF480" s="647">
        <f t="shared" si="1453"/>
        <v>13998.309311460371</v>
      </c>
      <c r="DG480" s="644">
        <f t="shared" si="1514"/>
        <v>0</v>
      </c>
      <c r="DH480" s="645">
        <f t="shared" si="1515"/>
        <v>0</v>
      </c>
      <c r="DI480" s="646">
        <f t="shared" si="1516"/>
        <v>0</v>
      </c>
      <c r="DJ480" s="647">
        <f t="shared" si="1454"/>
        <v>13998.309311460371</v>
      </c>
      <c r="DK480" s="644">
        <f t="shared" si="1517"/>
        <v>0</v>
      </c>
      <c r="DL480" s="645">
        <f t="shared" si="1518"/>
        <v>0</v>
      </c>
      <c r="DM480" s="646">
        <f t="shared" si="1519"/>
        <v>0</v>
      </c>
      <c r="DN480" s="647">
        <f t="shared" si="1455"/>
        <v>13998.309311460371</v>
      </c>
      <c r="DR480" s="827">
        <f t="shared" si="1406"/>
        <v>72371.48113676098</v>
      </c>
      <c r="DV480" s="828">
        <f>IFERROR(VLOOKUP($B480,'Afton FY16 Final'!$A$5:$BV$587,'Afton FY16 Final'!$BV$587,0),0)</f>
        <v>74680.512300172122</v>
      </c>
      <c r="DX480" s="636">
        <f t="shared" si="1397"/>
        <v>0</v>
      </c>
      <c r="DY480" s="637">
        <f t="shared" si="1398"/>
        <v>0</v>
      </c>
      <c r="DZ480" s="637">
        <f t="shared" si="1399"/>
        <v>0</v>
      </c>
      <c r="EA480" s="643">
        <f t="shared" si="1400"/>
        <v>0</v>
      </c>
      <c r="EB480" s="637">
        <f t="shared" si="1407"/>
        <v>0</v>
      </c>
      <c r="EC480" s="637">
        <f t="shared" si="1408"/>
        <v>0</v>
      </c>
      <c r="ED480" s="637">
        <f t="shared" si="1409"/>
        <v>0</v>
      </c>
      <c r="EE480" s="643">
        <f t="shared" si="1410"/>
        <v>0</v>
      </c>
      <c r="EF480" s="637">
        <f t="shared" si="1411"/>
        <v>0</v>
      </c>
      <c r="EG480" s="637">
        <f t="shared" si="1412"/>
        <v>0</v>
      </c>
      <c r="EH480" s="637">
        <f t="shared" si="1413"/>
        <v>0</v>
      </c>
      <c r="EI480" s="643">
        <f t="shared" si="1414"/>
        <v>0</v>
      </c>
      <c r="EJ480" s="637">
        <f t="shared" si="1415"/>
        <v>0</v>
      </c>
      <c r="EK480" s="637">
        <f t="shared" si="1416"/>
        <v>0</v>
      </c>
      <c r="EL480" s="637">
        <f t="shared" si="1417"/>
        <v>0</v>
      </c>
      <c r="EM480" s="643">
        <f t="shared" si="1418"/>
        <v>0</v>
      </c>
      <c r="EN480" s="637">
        <f t="shared" si="1419"/>
        <v>0</v>
      </c>
      <c r="EO480" s="637">
        <f t="shared" si="1420"/>
        <v>0</v>
      </c>
      <c r="EP480" s="637">
        <f t="shared" si="1421"/>
        <v>0</v>
      </c>
      <c r="EQ480" s="643">
        <f t="shared" si="1422"/>
        <v>0</v>
      </c>
      <c r="ER480" s="637">
        <f t="shared" si="1423"/>
        <v>0</v>
      </c>
      <c r="ES480" s="637">
        <f t="shared" si="1424"/>
        <v>0</v>
      </c>
      <c r="ET480" s="637">
        <f t="shared" si="1425"/>
        <v>0</v>
      </c>
      <c r="EU480" s="643">
        <f t="shared" si="1401"/>
        <v>0</v>
      </c>
      <c r="EV480" s="643">
        <f t="shared" si="1402"/>
        <v>0</v>
      </c>
      <c r="EX480" s="829">
        <f t="shared" si="1403"/>
        <v>0</v>
      </c>
      <c r="EY480" s="638">
        <f t="shared" si="1404"/>
        <v>72371.48113676098</v>
      </c>
      <c r="FC480" s="830" t="str">
        <f t="shared" si="1426"/>
        <v>Y</v>
      </c>
      <c r="FE480" s="830" t="str">
        <f>IFERROR(VLOOKUP($B480,'Historical Conc Grant Elig'!$B$3:$J$707,'HH &amp; SI'!FE$2,0),"N")</f>
        <v>Y</v>
      </c>
      <c r="FF480" s="830" t="str">
        <f>IFERROR(VLOOKUP($B480,'Historical Conc Grant Elig'!$B$3:$J$707,'HH &amp; SI'!FF$2,0),"N")</f>
        <v>Y</v>
      </c>
      <c r="FG480" s="830" t="str">
        <f>IFERROR(VLOOKUP($B480,'Historical Conc Grant Elig'!$B$3:$J$707,'HH &amp; SI'!FG$2,0),"N")</f>
        <v>Y</v>
      </c>
      <c r="FH480" s="830" t="str">
        <f>IFERROR(VLOOKUP($B480,'Historical Conc Grant Elig'!$B$3:$J$707,'HH &amp; SI'!FH$2,0),"N")</f>
        <v>Y</v>
      </c>
      <c r="FI480" s="830" t="str">
        <f>IFERROR(VLOOKUP($B480,'Historical Conc Grant Elig'!$B$3:$J$707,'HH &amp; SI'!FI$2,0),"N")</f>
        <v>Y</v>
      </c>
      <c r="FJ480" s="830" t="str">
        <f>IFERROR(VLOOKUP($B480,'Historical Conc Grant Elig'!$B$3:$J$707,'HH &amp; SI'!FJ$2,0),"N")</f>
        <v>Y</v>
      </c>
      <c r="FK480" s="830" t="str">
        <f>IFERROR(VLOOKUP($B480,'Historical Conc Grant Elig'!$B$3:$J$707,'HH &amp; SI'!FK$2,0),"N")</f>
        <v>Y</v>
      </c>
      <c r="FL480" s="957" t="str">
        <f>IFERROR(VLOOKUP($B480,'Historical Conc Grant Elig'!$B$3:$J$707,'HH &amp; SI'!FL$2,0),"N")</f>
        <v>Y</v>
      </c>
    </row>
    <row r="481" spans="2:168" x14ac:dyDescent="0.25">
      <c r="B481" s="634">
        <v>140424000</v>
      </c>
      <c r="C481" s="635" t="str">
        <f>VLOOKUP($B481,'Afton Update'!$A$5:$CR$582,'Afton Update'!D$589,0)</f>
        <v>Wellton Elementary District</v>
      </c>
      <c r="D481" s="636">
        <f>IFERROR(VLOOKUP($B481,'Afton FY16 Final'!$A$5:$BV$587,'Afton FY16 Final'!AQ$587,0),0)</f>
        <v>51407.768884234902</v>
      </c>
      <c r="E481" s="637">
        <f>IFERROR(VLOOKUP($B481,'Afton FY16 Final'!$A$5:$BV$587,'Afton FY16 Final'!AR$587,0),0)</f>
        <v>13053.203797271461</v>
      </c>
      <c r="F481" s="637">
        <f>IFERROR(VLOOKUP($B481,'Afton FY16 Final'!$A$5:$BV$587,'Afton FY16 Final'!AS$587,0),0)</f>
        <v>23054.98066839523</v>
      </c>
      <c r="G481" s="637">
        <f>IFERROR(VLOOKUP($B481,'Afton FY16 Final'!$A$5:$BV$587,'Afton FY16 Final'!AT$587,0),0)</f>
        <v>21022.456939883141</v>
      </c>
      <c r="H481" s="638">
        <f>IFERROR(VLOOKUP($B481,'Afton FY16 Final'!$A$5:$BV$587,'Afton FY16 Final'!AU$587,0),0)</f>
        <v>108538.41028978473</v>
      </c>
      <c r="I481" s="639" t="str">
        <f>VLOOKUP($B481,'Afton Update'!$A$5:$CR$582,'Afton Update'!BT$589,0)</f>
        <v>Y</v>
      </c>
      <c r="J481" s="640" t="str">
        <f>VLOOKUP($B481,'Afton Update'!$A$5:$CR$582,'Afton Update'!BU$589,0)</f>
        <v>Y</v>
      </c>
      <c r="K481" s="640" t="str">
        <f>VLOOKUP($B481,'Afton Update'!$A$5:$CR$582,'Afton Update'!BV$589,0)</f>
        <v>Y</v>
      </c>
      <c r="L481" s="641" t="str">
        <f>VLOOKUP($B481,'Afton Update'!$A$5:$CR$582,'Afton Update'!BW$589,0)</f>
        <v>Y</v>
      </c>
      <c r="N481" s="642">
        <f>VLOOKUP($B481,'Afton Update'!$A$5:$CR$582,'Afton Update'!CB$589,0)</f>
        <v>0.9</v>
      </c>
      <c r="P481" s="636">
        <f>VLOOKUP($B481,'Afton Update'!$A$5:$CR$582,'Afton Update'!AH$589,0)</f>
        <v>47780.70110256513</v>
      </c>
      <c r="Q481" s="637">
        <f>VLOOKUP($B481,'Afton Update'!$A$5:$CR$582,'Afton Update'!AI$589,0)</f>
        <v>12132.236870127264</v>
      </c>
      <c r="R481" s="637">
        <f>VLOOKUP($B481,'Afton Update'!$A$5:$CR$582,'Afton Update'!AJ$589,0)</f>
        <v>21734.334792871468</v>
      </c>
      <c r="S481" s="637">
        <f>VLOOKUP($B481,'Afton Update'!$A$5:$CR$582,'Afton Update'!AK$589,0)</f>
        <v>19539.22049696539</v>
      </c>
      <c r="T481" s="643">
        <f t="shared" si="1430"/>
        <v>101186.49326252926</v>
      </c>
      <c r="V481" s="636">
        <f t="shared" si="1456"/>
        <v>47128.941326809239</v>
      </c>
      <c r="W481" s="637">
        <f t="shared" si="1457"/>
        <v>11747.883417544315</v>
      </c>
      <c r="X481" s="637">
        <f t="shared" si="1458"/>
        <v>21536.669503780467</v>
      </c>
      <c r="Y481" s="637">
        <f t="shared" si="1459"/>
        <v>19323.933459482385</v>
      </c>
      <c r="Z481" s="643">
        <f t="shared" si="1460"/>
        <v>99737.427707616414</v>
      </c>
      <c r="AB481" s="644">
        <f t="shared" si="1431"/>
        <v>47780.70110256513</v>
      </c>
      <c r="AC481" s="645">
        <f t="shared" si="1427"/>
        <v>46266.991995811411</v>
      </c>
      <c r="AD481" s="644">
        <f t="shared" si="1461"/>
        <v>0</v>
      </c>
      <c r="AE481" s="645">
        <f t="shared" si="1462"/>
        <v>47780.70110256513</v>
      </c>
      <c r="AF481" s="646">
        <f t="shared" si="1463"/>
        <v>-592.27769640736688</v>
      </c>
      <c r="AG481" s="647">
        <f t="shared" si="1464"/>
        <v>47188.423406157766</v>
      </c>
      <c r="AH481" s="644">
        <f t="shared" si="1432"/>
        <v>0</v>
      </c>
      <c r="AI481" s="645">
        <f t="shared" si="1433"/>
        <v>47188.423406157766</v>
      </c>
      <c r="AJ481" s="646">
        <f t="shared" si="1465"/>
        <v>-59.444183498469982</v>
      </c>
      <c r="AK481" s="647">
        <f t="shared" si="1434"/>
        <v>47128.979222659298</v>
      </c>
      <c r="AL481" s="644">
        <f t="shared" si="1466"/>
        <v>0</v>
      </c>
      <c r="AM481" s="645">
        <f t="shared" si="1467"/>
        <v>47128.979222659298</v>
      </c>
      <c r="AN481" s="646">
        <f t="shared" si="1468"/>
        <v>-3.7895850058076178E-2</v>
      </c>
      <c r="AO481" s="647">
        <f t="shared" si="1435"/>
        <v>47128.941326809239</v>
      </c>
      <c r="AP481" s="644">
        <f t="shared" si="1469"/>
        <v>0</v>
      </c>
      <c r="AQ481" s="645">
        <f t="shared" si="1470"/>
        <v>47128.941326809239</v>
      </c>
      <c r="AR481" s="646">
        <f t="shared" si="1471"/>
        <v>0</v>
      </c>
      <c r="AS481" s="647">
        <f t="shared" si="1436"/>
        <v>47128.941326809239</v>
      </c>
      <c r="AT481" s="644">
        <f t="shared" si="1472"/>
        <v>0</v>
      </c>
      <c r="AU481" s="645">
        <f t="shared" si="1473"/>
        <v>47128.941326809239</v>
      </c>
      <c r="AV481" s="646">
        <f t="shared" si="1474"/>
        <v>0</v>
      </c>
      <c r="AW481" s="647">
        <f t="shared" si="1437"/>
        <v>47128.941326809239</v>
      </c>
      <c r="AY481" s="644">
        <f t="shared" si="1475"/>
        <v>12132.236870127264</v>
      </c>
      <c r="AZ481" s="645">
        <f t="shared" si="1405"/>
        <v>11747.883417544315</v>
      </c>
      <c r="BA481" s="644">
        <f t="shared" si="1476"/>
        <v>0</v>
      </c>
      <c r="BB481" s="645">
        <f t="shared" si="1477"/>
        <v>12132.236870127264</v>
      </c>
      <c r="BC481" s="646">
        <f t="shared" si="1478"/>
        <v>-87.246451036266151</v>
      </c>
      <c r="BD481" s="647">
        <f t="shared" si="1479"/>
        <v>12044.990419090998</v>
      </c>
      <c r="BE481" s="644">
        <f t="shared" si="1438"/>
        <v>0</v>
      </c>
      <c r="BF481" s="645">
        <f t="shared" si="1439"/>
        <v>12044.990419090998</v>
      </c>
      <c r="BG481" s="646">
        <f t="shared" si="1480"/>
        <v>-286.90185582371868</v>
      </c>
      <c r="BH481" s="647">
        <f t="shared" si="1440"/>
        <v>11758.08856326728</v>
      </c>
      <c r="BI481" s="644">
        <f t="shared" si="1481"/>
        <v>0</v>
      </c>
      <c r="BJ481" s="645">
        <f t="shared" si="1482"/>
        <v>11758.08856326728</v>
      </c>
      <c r="BK481" s="646">
        <f t="shared" si="1483"/>
        <v>-24.906393222883992</v>
      </c>
      <c r="BL481" s="647">
        <f t="shared" si="1441"/>
        <v>11733.182170044396</v>
      </c>
      <c r="BM481" s="644">
        <f t="shared" si="1484"/>
        <v>-14.701247499919191</v>
      </c>
      <c r="BN481" s="645">
        <f t="shared" si="1485"/>
        <v>0</v>
      </c>
      <c r="BO481" s="646">
        <f t="shared" si="1486"/>
        <v>0</v>
      </c>
      <c r="BP481" s="647">
        <f t="shared" si="1442"/>
        <v>11747.883417544315</v>
      </c>
      <c r="BQ481" s="644">
        <f t="shared" si="1487"/>
        <v>0</v>
      </c>
      <c r="BR481" s="645">
        <f t="shared" si="1488"/>
        <v>0</v>
      </c>
      <c r="BS481" s="646">
        <f t="shared" si="1489"/>
        <v>0</v>
      </c>
      <c r="BT481" s="647">
        <f t="shared" si="1443"/>
        <v>11747.883417544315</v>
      </c>
      <c r="BU481" s="662">
        <f>VLOOKUP(B481,'Afton Update'!$A$5:$AR$582,'Afton Update'!$AO$589,0)-BT481</f>
        <v>0</v>
      </c>
      <c r="BV481" s="644">
        <f t="shared" si="1490"/>
        <v>21734.334792871468</v>
      </c>
      <c r="BW481" s="645">
        <f t="shared" si="1428"/>
        <v>20749.482601555708</v>
      </c>
      <c r="BX481" s="644">
        <f t="shared" si="1491"/>
        <v>0</v>
      </c>
      <c r="BY481" s="645">
        <f t="shared" si="1492"/>
        <v>21734.334792871468</v>
      </c>
      <c r="BZ481" s="646">
        <f t="shared" si="1493"/>
        <v>-190.76456724569317</v>
      </c>
      <c r="CA481" s="647">
        <f t="shared" si="1494"/>
        <v>21543.570225625775</v>
      </c>
      <c r="CB481" s="644">
        <f t="shared" si="1444"/>
        <v>0</v>
      </c>
      <c r="CC481" s="645">
        <f t="shared" si="1445"/>
        <v>21543.570225625775</v>
      </c>
      <c r="CD481" s="646">
        <f t="shared" si="1495"/>
        <v>-6.9007218453063484</v>
      </c>
      <c r="CE481" s="647">
        <f t="shared" si="1446"/>
        <v>21536.669503780467</v>
      </c>
      <c r="CF481" s="644">
        <f t="shared" si="1496"/>
        <v>0</v>
      </c>
      <c r="CG481" s="645">
        <f t="shared" si="1497"/>
        <v>21536.669503780467</v>
      </c>
      <c r="CH481" s="646">
        <f t="shared" si="1498"/>
        <v>0</v>
      </c>
      <c r="CI481" s="647">
        <f t="shared" si="1447"/>
        <v>21536.669503780467</v>
      </c>
      <c r="CJ481" s="644">
        <f t="shared" si="1499"/>
        <v>0</v>
      </c>
      <c r="CK481" s="645">
        <f t="shared" si="1500"/>
        <v>21536.669503780467</v>
      </c>
      <c r="CL481" s="646">
        <f t="shared" si="1501"/>
        <v>0</v>
      </c>
      <c r="CM481" s="647">
        <f t="shared" si="1448"/>
        <v>21536.669503780467</v>
      </c>
      <c r="CN481" s="644">
        <f t="shared" si="1502"/>
        <v>0</v>
      </c>
      <c r="CO481" s="645">
        <f t="shared" si="1503"/>
        <v>21536.669503780467</v>
      </c>
      <c r="CP481" s="646">
        <f t="shared" si="1504"/>
        <v>0</v>
      </c>
      <c r="CQ481" s="647">
        <f t="shared" si="1449"/>
        <v>21536.669503780467</v>
      </c>
      <c r="CS481" s="644">
        <f t="shared" si="1505"/>
        <v>19539.22049696539</v>
      </c>
      <c r="CT481" s="645">
        <f t="shared" si="1429"/>
        <v>18920.211245894829</v>
      </c>
      <c r="CU481" s="644">
        <f t="shared" si="1506"/>
        <v>0</v>
      </c>
      <c r="CV481" s="645">
        <f t="shared" si="1507"/>
        <v>19539.22049696539</v>
      </c>
      <c r="CW481" s="646">
        <f t="shared" si="1508"/>
        <v>-200.09265993181646</v>
      </c>
      <c r="CX481" s="647">
        <f t="shared" si="1509"/>
        <v>19339.127837033575</v>
      </c>
      <c r="CY481" s="644">
        <f t="shared" si="1450"/>
        <v>0</v>
      </c>
      <c r="CZ481" s="645">
        <f t="shared" si="1451"/>
        <v>19339.127837033575</v>
      </c>
      <c r="DA481" s="646">
        <f t="shared" si="1510"/>
        <v>-15.181285583240763</v>
      </c>
      <c r="DB481" s="647">
        <f t="shared" si="1452"/>
        <v>19323.946551450335</v>
      </c>
      <c r="DC481" s="644">
        <f t="shared" si="1511"/>
        <v>0</v>
      </c>
      <c r="DD481" s="645">
        <f t="shared" si="1512"/>
        <v>19323.946551450335</v>
      </c>
      <c r="DE481" s="646">
        <f t="shared" si="1513"/>
        <v>-1.309196795043663E-2</v>
      </c>
      <c r="DF481" s="647">
        <f t="shared" si="1453"/>
        <v>19323.933459482385</v>
      </c>
      <c r="DG481" s="644">
        <f t="shared" si="1514"/>
        <v>0</v>
      </c>
      <c r="DH481" s="645">
        <f t="shared" si="1515"/>
        <v>19323.933459482385</v>
      </c>
      <c r="DI481" s="646">
        <f t="shared" si="1516"/>
        <v>0</v>
      </c>
      <c r="DJ481" s="647">
        <f t="shared" si="1454"/>
        <v>19323.933459482385</v>
      </c>
      <c r="DK481" s="644">
        <f t="shared" si="1517"/>
        <v>0</v>
      </c>
      <c r="DL481" s="645">
        <f t="shared" si="1518"/>
        <v>19323.933459482385</v>
      </c>
      <c r="DM481" s="646">
        <f t="shared" si="1519"/>
        <v>0</v>
      </c>
      <c r="DN481" s="647">
        <f t="shared" si="1455"/>
        <v>19323.933459482385</v>
      </c>
      <c r="DR481" s="827">
        <f t="shared" si="1406"/>
        <v>99737.427707616414</v>
      </c>
      <c r="DV481" s="828">
        <f>IFERROR(VLOOKUP($B481,'Afton FY16 Final'!$A$5:$BV$587,'Afton FY16 Final'!$BV$587,0),0)</f>
        <v>106401.28900915378</v>
      </c>
      <c r="DX481" s="636">
        <f t="shared" si="1397"/>
        <v>0</v>
      </c>
      <c r="DY481" s="637">
        <f t="shared" si="1398"/>
        <v>0</v>
      </c>
      <c r="DZ481" s="637">
        <f t="shared" si="1399"/>
        <v>0</v>
      </c>
      <c r="EA481" s="643">
        <f t="shared" si="1400"/>
        <v>0</v>
      </c>
      <c r="EB481" s="637">
        <f t="shared" si="1407"/>
        <v>0</v>
      </c>
      <c r="EC481" s="637">
        <f t="shared" si="1408"/>
        <v>0</v>
      </c>
      <c r="ED481" s="637">
        <f t="shared" si="1409"/>
        <v>0</v>
      </c>
      <c r="EE481" s="643">
        <f t="shared" si="1410"/>
        <v>0</v>
      </c>
      <c r="EF481" s="637">
        <f t="shared" si="1411"/>
        <v>0</v>
      </c>
      <c r="EG481" s="637">
        <f t="shared" si="1412"/>
        <v>0</v>
      </c>
      <c r="EH481" s="637">
        <f t="shared" si="1413"/>
        <v>0</v>
      </c>
      <c r="EI481" s="643">
        <f t="shared" si="1414"/>
        <v>0</v>
      </c>
      <c r="EJ481" s="637">
        <f t="shared" si="1415"/>
        <v>0</v>
      </c>
      <c r="EK481" s="637">
        <f t="shared" si="1416"/>
        <v>0</v>
      </c>
      <c r="EL481" s="637">
        <f t="shared" si="1417"/>
        <v>0</v>
      </c>
      <c r="EM481" s="643">
        <f t="shared" si="1418"/>
        <v>0</v>
      </c>
      <c r="EN481" s="637">
        <f t="shared" si="1419"/>
        <v>0</v>
      </c>
      <c r="EO481" s="637">
        <f t="shared" si="1420"/>
        <v>0</v>
      </c>
      <c r="EP481" s="637">
        <f t="shared" si="1421"/>
        <v>0</v>
      </c>
      <c r="EQ481" s="643">
        <f t="shared" si="1422"/>
        <v>0</v>
      </c>
      <c r="ER481" s="637">
        <f t="shared" si="1423"/>
        <v>0</v>
      </c>
      <c r="ES481" s="637">
        <f t="shared" si="1424"/>
        <v>0</v>
      </c>
      <c r="ET481" s="637">
        <f t="shared" si="1425"/>
        <v>0</v>
      </c>
      <c r="EU481" s="643">
        <f t="shared" si="1401"/>
        <v>0</v>
      </c>
      <c r="EV481" s="643">
        <f t="shared" si="1402"/>
        <v>0</v>
      </c>
      <c r="EX481" s="829">
        <f t="shared" si="1403"/>
        <v>0</v>
      </c>
      <c r="EY481" s="638">
        <f t="shared" si="1404"/>
        <v>99737.427707616414</v>
      </c>
      <c r="FC481" s="830" t="str">
        <f t="shared" si="1426"/>
        <v>Y</v>
      </c>
      <c r="FE481" s="830" t="str">
        <f>IFERROR(VLOOKUP($B481,'Historical Conc Grant Elig'!$B$3:$J$707,'HH &amp; SI'!FE$2,0),"N")</f>
        <v>Y</v>
      </c>
      <c r="FF481" s="830" t="str">
        <f>IFERROR(VLOOKUP($B481,'Historical Conc Grant Elig'!$B$3:$J$707,'HH &amp; SI'!FF$2,0),"N")</f>
        <v>Y</v>
      </c>
      <c r="FG481" s="830" t="str">
        <f>IFERROR(VLOOKUP($B481,'Historical Conc Grant Elig'!$B$3:$J$707,'HH &amp; SI'!FG$2,0),"N")</f>
        <v>Y</v>
      </c>
      <c r="FH481" s="830" t="str">
        <f>IFERROR(VLOOKUP($B481,'Historical Conc Grant Elig'!$B$3:$J$707,'HH &amp; SI'!FH$2,0),"N")</f>
        <v>Y</v>
      </c>
      <c r="FI481" s="830" t="str">
        <f>IFERROR(VLOOKUP($B481,'Historical Conc Grant Elig'!$B$3:$J$707,'HH &amp; SI'!FI$2,0),"N")</f>
        <v>Y</v>
      </c>
      <c r="FJ481" s="830" t="str">
        <f>IFERROR(VLOOKUP($B481,'Historical Conc Grant Elig'!$B$3:$J$707,'HH &amp; SI'!FJ$2,0),"N")</f>
        <v>Y</v>
      </c>
      <c r="FK481" s="830" t="str">
        <f>IFERROR(VLOOKUP($B481,'Historical Conc Grant Elig'!$B$3:$J$707,'HH &amp; SI'!FK$2,0),"N")</f>
        <v>Y</v>
      </c>
      <c r="FL481" s="957" t="str">
        <f>IFERROR(VLOOKUP($B481,'Historical Conc Grant Elig'!$B$3:$J$707,'HH &amp; SI'!FL$2,0),"N")</f>
        <v>Y</v>
      </c>
    </row>
    <row r="482" spans="2:168" x14ac:dyDescent="0.25">
      <c r="B482" s="634">
        <v>140432000</v>
      </c>
      <c r="C482" s="635" t="str">
        <f>VLOOKUP($B482,'Afton Update'!$A$5:$CR$582,'Afton Update'!D$589,0)</f>
        <v>Gadsden Elementary District</v>
      </c>
      <c r="D482" s="636">
        <f>IFERROR(VLOOKUP($B482,'Afton FY16 Final'!$A$5:$BV$587,'Afton FY16 Final'!AQ$587,0),0)</f>
        <v>728503.7563818245</v>
      </c>
      <c r="E482" s="637">
        <f>IFERROR(VLOOKUP($B482,'Afton FY16 Final'!$A$5:$BV$587,'Afton FY16 Final'!AR$587,0),0)</f>
        <v>184978.03358367397</v>
      </c>
      <c r="F482" s="637">
        <f>IFERROR(VLOOKUP($B482,'Afton FY16 Final'!$A$5:$BV$587,'Afton FY16 Final'!AS$587,0),0)</f>
        <v>474034.32698994363</v>
      </c>
      <c r="G482" s="637">
        <f>IFERROR(VLOOKUP($B482,'Afton FY16 Final'!$A$5:$BV$587,'Afton FY16 Final'!AT$587,0),0)</f>
        <v>520109.5386807358</v>
      </c>
      <c r="H482" s="638">
        <f>IFERROR(VLOOKUP($B482,'Afton FY16 Final'!$A$5:$BV$587,'Afton FY16 Final'!AU$587,0),0)</f>
        <v>1907625.6556361779</v>
      </c>
      <c r="I482" s="639" t="str">
        <f>VLOOKUP($B482,'Afton Update'!$A$5:$CR$582,'Afton Update'!BT$589,0)</f>
        <v>Y</v>
      </c>
      <c r="J482" s="640" t="str">
        <f>VLOOKUP($B482,'Afton Update'!$A$5:$CR$582,'Afton Update'!BU$589,0)</f>
        <v>Y</v>
      </c>
      <c r="K482" s="640" t="str">
        <f>VLOOKUP($B482,'Afton Update'!$A$5:$CR$582,'Afton Update'!BV$589,0)</f>
        <v>Y</v>
      </c>
      <c r="L482" s="641" t="str">
        <f>VLOOKUP($B482,'Afton Update'!$A$5:$CR$582,'Afton Update'!BW$589,0)</f>
        <v>Y</v>
      </c>
      <c r="N482" s="642">
        <f>VLOOKUP($B482,'Afton Update'!$A$5:$CR$582,'Afton Update'!CB$589,0)</f>
        <v>0.95</v>
      </c>
      <c r="P482" s="636">
        <f>VLOOKUP($B482,'Afton Update'!$A$5:$CR$582,'Afton Update'!AH$589,0)</f>
        <v>773276.57930959074</v>
      </c>
      <c r="Q482" s="637">
        <f>VLOOKUP($B482,'Afton Update'!$A$5:$CR$582,'Afton Update'!AI$589,0)</f>
        <v>184201.55377132521</v>
      </c>
      <c r="R482" s="637">
        <f>VLOOKUP($B482,'Afton Update'!$A$5:$CR$582,'Afton Update'!AJ$589,0)</f>
        <v>477640.92442200048</v>
      </c>
      <c r="S482" s="637">
        <f>VLOOKUP($B482,'Afton Update'!$A$5:$CR$582,'Afton Update'!AK$589,0)</f>
        <v>483413.28456132091</v>
      </c>
      <c r="T482" s="643">
        <f t="shared" si="1430"/>
        <v>1918532.3420642375</v>
      </c>
      <c r="V482" s="636">
        <f t="shared" si="1456"/>
        <v>762728.58486207842</v>
      </c>
      <c r="W482" s="637">
        <f t="shared" si="1457"/>
        <v>178134.62804852542</v>
      </c>
      <c r="X482" s="637">
        <f t="shared" si="1458"/>
        <v>473296.9667022301</v>
      </c>
      <c r="Y482" s="637">
        <f t="shared" si="1459"/>
        <v>494104.06174669898</v>
      </c>
      <c r="Z482" s="643">
        <f t="shared" si="1460"/>
        <v>1908264.241359533</v>
      </c>
      <c r="AB482" s="644">
        <f t="shared" si="1431"/>
        <v>773276.57930959074</v>
      </c>
      <c r="AC482" s="645">
        <f t="shared" si="1427"/>
        <v>692078.56856273324</v>
      </c>
      <c r="AD482" s="644">
        <f t="shared" si="1461"/>
        <v>0</v>
      </c>
      <c r="AE482" s="645">
        <f t="shared" si="1462"/>
        <v>773276.57930959074</v>
      </c>
      <c r="AF482" s="646">
        <f t="shared" si="1463"/>
        <v>-9585.3443024230819</v>
      </c>
      <c r="AG482" s="647">
        <f t="shared" si="1464"/>
        <v>763691.23500716768</v>
      </c>
      <c r="AH482" s="644">
        <f t="shared" si="1432"/>
        <v>0</v>
      </c>
      <c r="AI482" s="645">
        <f t="shared" si="1433"/>
        <v>763691.23500716768</v>
      </c>
      <c r="AJ482" s="646">
        <f t="shared" si="1465"/>
        <v>-962.03684363854461</v>
      </c>
      <c r="AK482" s="647">
        <f t="shared" si="1434"/>
        <v>762729.19816352916</v>
      </c>
      <c r="AL482" s="644">
        <f t="shared" si="1466"/>
        <v>0</v>
      </c>
      <c r="AM482" s="645">
        <f t="shared" si="1467"/>
        <v>762729.19816352916</v>
      </c>
      <c r="AN482" s="646">
        <f t="shared" si="1468"/>
        <v>-0.61330145072662201</v>
      </c>
      <c r="AO482" s="647">
        <f t="shared" si="1435"/>
        <v>762728.58486207842</v>
      </c>
      <c r="AP482" s="644">
        <f t="shared" si="1469"/>
        <v>0</v>
      </c>
      <c r="AQ482" s="645">
        <f t="shared" si="1470"/>
        <v>762728.58486207842</v>
      </c>
      <c r="AR482" s="646">
        <f t="shared" si="1471"/>
        <v>0</v>
      </c>
      <c r="AS482" s="647">
        <f t="shared" si="1436"/>
        <v>762728.58486207842</v>
      </c>
      <c r="AT482" s="644">
        <f t="shared" si="1472"/>
        <v>0</v>
      </c>
      <c r="AU482" s="645">
        <f t="shared" si="1473"/>
        <v>762728.58486207842</v>
      </c>
      <c r="AV482" s="646">
        <f t="shared" si="1474"/>
        <v>0</v>
      </c>
      <c r="AW482" s="647">
        <f t="shared" si="1437"/>
        <v>762728.58486207842</v>
      </c>
      <c r="AY482" s="644">
        <f t="shared" si="1475"/>
        <v>184201.55377132521</v>
      </c>
      <c r="AZ482" s="645">
        <f t="shared" si="1405"/>
        <v>175729.13190449026</v>
      </c>
      <c r="BA482" s="644">
        <f t="shared" si="1476"/>
        <v>0</v>
      </c>
      <c r="BB482" s="645">
        <f t="shared" si="1477"/>
        <v>184201.55377132521</v>
      </c>
      <c r="BC482" s="646">
        <f t="shared" si="1478"/>
        <v>-1324.6470551102495</v>
      </c>
      <c r="BD482" s="647">
        <f t="shared" si="1479"/>
        <v>182876.90671621496</v>
      </c>
      <c r="BE482" s="644">
        <f t="shared" si="1438"/>
        <v>0</v>
      </c>
      <c r="BF482" s="645">
        <f t="shared" si="1439"/>
        <v>182876.90671621496</v>
      </c>
      <c r="BG482" s="646">
        <f t="shared" si="1480"/>
        <v>-4355.9788840531719</v>
      </c>
      <c r="BH482" s="647">
        <f t="shared" si="1440"/>
        <v>178520.92783216177</v>
      </c>
      <c r="BI482" s="644">
        <f t="shared" si="1481"/>
        <v>0</v>
      </c>
      <c r="BJ482" s="645">
        <f t="shared" si="1482"/>
        <v>178520.92783216177</v>
      </c>
      <c r="BK482" s="646">
        <f t="shared" si="1483"/>
        <v>-378.14925471750291</v>
      </c>
      <c r="BL482" s="647">
        <f t="shared" si="1441"/>
        <v>178142.77857744426</v>
      </c>
      <c r="BM482" s="644">
        <f t="shared" si="1484"/>
        <v>0</v>
      </c>
      <c r="BN482" s="645">
        <f t="shared" si="1485"/>
        <v>178142.77857744426</v>
      </c>
      <c r="BO482" s="646">
        <f t="shared" si="1486"/>
        <v>-8.1505289188358052</v>
      </c>
      <c r="BP482" s="647">
        <f t="shared" si="1442"/>
        <v>178134.62804852542</v>
      </c>
      <c r="BQ482" s="644">
        <f t="shared" si="1487"/>
        <v>0</v>
      </c>
      <c r="BR482" s="645">
        <f t="shared" si="1488"/>
        <v>178134.62804852542</v>
      </c>
      <c r="BS482" s="646">
        <f t="shared" si="1489"/>
        <v>0</v>
      </c>
      <c r="BT482" s="647">
        <f t="shared" si="1443"/>
        <v>178134.62804852542</v>
      </c>
      <c r="BU482" s="662">
        <f>VLOOKUP(B482,'Afton Update'!$A$5:$AR$582,'Afton Update'!$AO$589,0)-BT482</f>
        <v>0</v>
      </c>
      <c r="BV482" s="644">
        <f t="shared" si="1490"/>
        <v>477640.92442200048</v>
      </c>
      <c r="BW482" s="645">
        <f t="shared" si="1428"/>
        <v>450332.61064044642</v>
      </c>
      <c r="BX482" s="644">
        <f t="shared" si="1491"/>
        <v>0</v>
      </c>
      <c r="BY482" s="645">
        <f t="shared" si="1492"/>
        <v>477640.92442200048</v>
      </c>
      <c r="BZ482" s="646">
        <f t="shared" si="1493"/>
        <v>-4192.3051758676665</v>
      </c>
      <c r="CA482" s="647">
        <f t="shared" si="1494"/>
        <v>473448.61924613279</v>
      </c>
      <c r="CB482" s="644">
        <f t="shared" si="1444"/>
        <v>0</v>
      </c>
      <c r="CC482" s="645">
        <f t="shared" si="1445"/>
        <v>473448.61924613279</v>
      </c>
      <c r="CD482" s="646">
        <f t="shared" si="1495"/>
        <v>-151.65254390266765</v>
      </c>
      <c r="CE482" s="647">
        <f t="shared" si="1446"/>
        <v>473296.9667022301</v>
      </c>
      <c r="CF482" s="644">
        <f t="shared" si="1496"/>
        <v>0</v>
      </c>
      <c r="CG482" s="645">
        <f t="shared" si="1497"/>
        <v>473296.9667022301</v>
      </c>
      <c r="CH482" s="646">
        <f t="shared" si="1498"/>
        <v>0</v>
      </c>
      <c r="CI482" s="647">
        <f t="shared" si="1447"/>
        <v>473296.9667022301</v>
      </c>
      <c r="CJ482" s="644">
        <f t="shared" si="1499"/>
        <v>0</v>
      </c>
      <c r="CK482" s="645">
        <f t="shared" si="1500"/>
        <v>473296.9667022301</v>
      </c>
      <c r="CL482" s="646">
        <f t="shared" si="1501"/>
        <v>0</v>
      </c>
      <c r="CM482" s="647">
        <f t="shared" si="1448"/>
        <v>473296.9667022301</v>
      </c>
      <c r="CN482" s="644">
        <f t="shared" si="1502"/>
        <v>0</v>
      </c>
      <c r="CO482" s="645">
        <f t="shared" si="1503"/>
        <v>473296.9667022301</v>
      </c>
      <c r="CP482" s="646">
        <f t="shared" si="1504"/>
        <v>0</v>
      </c>
      <c r="CQ482" s="647">
        <f t="shared" si="1449"/>
        <v>473296.9667022301</v>
      </c>
      <c r="CS482" s="644">
        <f t="shared" si="1505"/>
        <v>483413.28456132091</v>
      </c>
      <c r="CT482" s="645">
        <f t="shared" si="1429"/>
        <v>494104.06174669898</v>
      </c>
      <c r="CU482" s="644">
        <f t="shared" si="1506"/>
        <v>10690.777185378072</v>
      </c>
      <c r="CV482" s="645">
        <f t="shared" si="1507"/>
        <v>0</v>
      </c>
      <c r="CW482" s="646">
        <f t="shared" si="1508"/>
        <v>0</v>
      </c>
      <c r="CX482" s="647">
        <f t="shared" si="1509"/>
        <v>494104.06174669898</v>
      </c>
      <c r="CY482" s="644">
        <f t="shared" si="1450"/>
        <v>0</v>
      </c>
      <c r="CZ482" s="645">
        <f t="shared" si="1451"/>
        <v>0</v>
      </c>
      <c r="DA482" s="646">
        <f t="shared" si="1510"/>
        <v>0</v>
      </c>
      <c r="DB482" s="647">
        <f t="shared" si="1452"/>
        <v>494104.06174669898</v>
      </c>
      <c r="DC482" s="644">
        <f t="shared" si="1511"/>
        <v>0</v>
      </c>
      <c r="DD482" s="645">
        <f t="shared" si="1512"/>
        <v>0</v>
      </c>
      <c r="DE482" s="646">
        <f t="shared" si="1513"/>
        <v>0</v>
      </c>
      <c r="DF482" s="647">
        <f t="shared" si="1453"/>
        <v>494104.06174669898</v>
      </c>
      <c r="DG482" s="644">
        <f t="shared" si="1514"/>
        <v>0</v>
      </c>
      <c r="DH482" s="645">
        <f t="shared" si="1515"/>
        <v>0</v>
      </c>
      <c r="DI482" s="646">
        <f t="shared" si="1516"/>
        <v>0</v>
      </c>
      <c r="DJ482" s="647">
        <f t="shared" si="1454"/>
        <v>494104.06174669898</v>
      </c>
      <c r="DK482" s="644">
        <f t="shared" si="1517"/>
        <v>0</v>
      </c>
      <c r="DL482" s="645">
        <f t="shared" si="1518"/>
        <v>0</v>
      </c>
      <c r="DM482" s="646">
        <f t="shared" si="1519"/>
        <v>0</v>
      </c>
      <c r="DN482" s="647">
        <f t="shared" si="1455"/>
        <v>494104.06174669898</v>
      </c>
      <c r="DR482" s="827">
        <f t="shared" si="1406"/>
        <v>1908264.241359533</v>
      </c>
      <c r="DV482" s="828">
        <f>IFERROR(VLOOKUP($B482,'Afton FY16 Final'!$A$5:$BV$587,'Afton FY16 Final'!$BV$587,0),0)</f>
        <v>1870064.506792621</v>
      </c>
      <c r="DX482" s="636">
        <f t="shared" si="1397"/>
        <v>1908264.241359533</v>
      </c>
      <c r="DY482" s="637">
        <f t="shared" si="1398"/>
        <v>38199.734566912055</v>
      </c>
      <c r="DZ482" s="637">
        <f t="shared" si="1399"/>
        <v>1870064.506792621</v>
      </c>
      <c r="EA482" s="643">
        <f t="shared" si="1400"/>
        <v>1806765.9704016841</v>
      </c>
      <c r="EB482" s="637">
        <f t="shared" si="1407"/>
        <v>1870064.506792621</v>
      </c>
      <c r="EC482" s="637">
        <f t="shared" si="1408"/>
        <v>0</v>
      </c>
      <c r="ED482" s="637">
        <f t="shared" si="1409"/>
        <v>0</v>
      </c>
      <c r="EE482" s="643">
        <f t="shared" si="1410"/>
        <v>1870064.506792621</v>
      </c>
      <c r="EF482" s="637">
        <f t="shared" si="1411"/>
        <v>0</v>
      </c>
      <c r="EG482" s="637">
        <f t="shared" si="1412"/>
        <v>0</v>
      </c>
      <c r="EH482" s="637">
        <f t="shared" si="1413"/>
        <v>0</v>
      </c>
      <c r="EI482" s="643">
        <f t="shared" si="1414"/>
        <v>1870064.506792621</v>
      </c>
      <c r="EJ482" s="637">
        <f t="shared" si="1415"/>
        <v>0</v>
      </c>
      <c r="EK482" s="637">
        <f t="shared" si="1416"/>
        <v>0</v>
      </c>
      <c r="EL482" s="637">
        <f t="shared" si="1417"/>
        <v>0</v>
      </c>
      <c r="EM482" s="643">
        <f t="shared" si="1418"/>
        <v>1870064.506792621</v>
      </c>
      <c r="EN482" s="637">
        <f t="shared" si="1419"/>
        <v>0</v>
      </c>
      <c r="EO482" s="637">
        <f t="shared" si="1420"/>
        <v>0</v>
      </c>
      <c r="EP482" s="637">
        <f t="shared" si="1421"/>
        <v>0</v>
      </c>
      <c r="EQ482" s="643">
        <f t="shared" si="1422"/>
        <v>1870064.506792621</v>
      </c>
      <c r="ER482" s="637">
        <f t="shared" si="1423"/>
        <v>0</v>
      </c>
      <c r="ES482" s="637">
        <f t="shared" si="1424"/>
        <v>0</v>
      </c>
      <c r="ET482" s="637">
        <f t="shared" si="1425"/>
        <v>0</v>
      </c>
      <c r="EU482" s="643">
        <f t="shared" si="1401"/>
        <v>1870064.506792621</v>
      </c>
      <c r="EV482" s="643">
        <f t="shared" si="1402"/>
        <v>0</v>
      </c>
      <c r="EX482" s="829">
        <f t="shared" si="1403"/>
        <v>38199.734566912055</v>
      </c>
      <c r="EY482" s="638">
        <f t="shared" si="1404"/>
        <v>1870064.506792621</v>
      </c>
      <c r="FC482" s="830" t="str">
        <f t="shared" si="1426"/>
        <v>Y</v>
      </c>
      <c r="FE482" s="830" t="str">
        <f>IFERROR(VLOOKUP($B482,'Historical Conc Grant Elig'!$B$3:$J$707,'HH &amp; SI'!FE$2,0),"N")</f>
        <v>Y</v>
      </c>
      <c r="FF482" s="830" t="str">
        <f>IFERROR(VLOOKUP($B482,'Historical Conc Grant Elig'!$B$3:$J$707,'HH &amp; SI'!FF$2,0),"N")</f>
        <v>Y</v>
      </c>
      <c r="FG482" s="830" t="str">
        <f>IFERROR(VLOOKUP($B482,'Historical Conc Grant Elig'!$B$3:$J$707,'HH &amp; SI'!FG$2,0),"N")</f>
        <v>Y</v>
      </c>
      <c r="FH482" s="830" t="str">
        <f>IFERROR(VLOOKUP($B482,'Historical Conc Grant Elig'!$B$3:$J$707,'HH &amp; SI'!FH$2,0),"N")</f>
        <v>Y</v>
      </c>
      <c r="FI482" s="830" t="str">
        <f>IFERROR(VLOOKUP($B482,'Historical Conc Grant Elig'!$B$3:$J$707,'HH &amp; SI'!FI$2,0),"N")</f>
        <v>Y</v>
      </c>
      <c r="FJ482" s="830" t="str">
        <f>IFERROR(VLOOKUP($B482,'Historical Conc Grant Elig'!$B$3:$J$707,'HH &amp; SI'!FJ$2,0),"N")</f>
        <v>Y</v>
      </c>
      <c r="FK482" s="830" t="str">
        <f>IFERROR(VLOOKUP($B482,'Historical Conc Grant Elig'!$B$3:$J$707,'HH &amp; SI'!FK$2,0),"N")</f>
        <v>Y</v>
      </c>
      <c r="FL482" s="957" t="str">
        <f>IFERROR(VLOOKUP($B482,'Historical Conc Grant Elig'!$B$3:$J$707,'HH &amp; SI'!FL$2,0),"N")</f>
        <v>Y</v>
      </c>
    </row>
    <row r="483" spans="2:168" x14ac:dyDescent="0.25">
      <c r="B483" s="634">
        <v>140550000</v>
      </c>
      <c r="C483" s="635" t="str">
        <f>VLOOKUP($B483,'Afton Update'!$A$5:$CR$582,'Afton Update'!D$589,0)</f>
        <v>Antelope Union High School District</v>
      </c>
      <c r="D483" s="636">
        <f>IFERROR(VLOOKUP($B483,'Afton FY16 Final'!$A$5:$BV$587,'Afton FY16 Final'!AQ$587,0),0)</f>
        <v>39854.147677136236</v>
      </c>
      <c r="E483" s="637">
        <f>IFERROR(VLOOKUP($B483,'Afton FY16 Final'!$A$5:$BV$587,'Afton FY16 Final'!AR$587,0),0)</f>
        <v>10119.56603228016</v>
      </c>
      <c r="F483" s="637">
        <f>IFERROR(VLOOKUP($B483,'Afton FY16 Final'!$A$5:$BV$587,'Afton FY16 Final'!AS$587,0),0)</f>
        <v>17743.131560875147</v>
      </c>
      <c r="G483" s="637">
        <f>IFERROR(VLOOKUP($B483,'Afton FY16 Final'!$A$5:$BV$587,'Afton FY16 Final'!AT$587,0),0)</f>
        <v>16107.731262433013</v>
      </c>
      <c r="H483" s="638">
        <f>IFERROR(VLOOKUP($B483,'Afton FY16 Final'!$A$5:$BV$587,'Afton FY16 Final'!AU$587,0),0)</f>
        <v>83824.576532724546</v>
      </c>
      <c r="I483" s="639" t="str">
        <f>VLOOKUP($B483,'Afton Update'!$A$5:$CR$582,'Afton Update'!BT$589,0)</f>
        <v>Y</v>
      </c>
      <c r="J483" s="640" t="str">
        <f>VLOOKUP($B483,'Afton Update'!$A$5:$CR$582,'Afton Update'!BU$589,0)</f>
        <v>Y</v>
      </c>
      <c r="K483" s="640" t="str">
        <f>VLOOKUP($B483,'Afton Update'!$A$5:$CR$582,'Afton Update'!BV$589,0)</f>
        <v>Y</v>
      </c>
      <c r="L483" s="641" t="str">
        <f>VLOOKUP($B483,'Afton Update'!$A$5:$CR$582,'Afton Update'!BW$589,0)</f>
        <v>Y</v>
      </c>
      <c r="N483" s="642">
        <f>VLOOKUP($B483,'Afton Update'!$A$5:$CR$582,'Afton Update'!CB$589,0)</f>
        <v>0.9</v>
      </c>
      <c r="P483" s="636">
        <f>VLOOKUP($B483,'Afton Update'!$A$5:$CR$582,'Afton Update'!AH$589,0)</f>
        <v>41409.963379036701</v>
      </c>
      <c r="Q483" s="637">
        <f>VLOOKUP($B483,'Afton Update'!$A$5:$CR$582,'Afton Update'!AI$589,0)</f>
        <v>9864.2320227034324</v>
      </c>
      <c r="R483" s="637">
        <f>VLOOKUP($B483,'Afton Update'!$A$5:$CR$582,'Afton Update'!AJ$589,0)</f>
        <v>18079.489227223639</v>
      </c>
      <c r="S483" s="637">
        <f>VLOOKUP($B483,'Afton Update'!$A$5:$CR$582,'Afton Update'!AK$589,0)</f>
        <v>14289.607929126742</v>
      </c>
      <c r="T483" s="643">
        <f t="shared" si="1430"/>
        <v>83643.292558090499</v>
      </c>
      <c r="V483" s="636">
        <f t="shared" si="1456"/>
        <v>40845.104600844104</v>
      </c>
      <c r="W483" s="637">
        <f t="shared" si="1457"/>
        <v>9539.3402844475277</v>
      </c>
      <c r="X483" s="637">
        <f t="shared" si="1458"/>
        <v>17915.06333157171</v>
      </c>
      <c r="Y483" s="637">
        <f t="shared" si="1459"/>
        <v>14496.958136189713</v>
      </c>
      <c r="Z483" s="643">
        <f t="shared" si="1460"/>
        <v>82796.466353053052</v>
      </c>
      <c r="AB483" s="644">
        <f t="shared" si="1431"/>
        <v>41409.963379036701</v>
      </c>
      <c r="AC483" s="645">
        <f t="shared" si="1427"/>
        <v>35868.732909422615</v>
      </c>
      <c r="AD483" s="644">
        <f t="shared" si="1461"/>
        <v>0</v>
      </c>
      <c r="AE483" s="645">
        <f t="shared" si="1462"/>
        <v>41409.963379036701</v>
      </c>
      <c r="AF483" s="646">
        <f t="shared" si="1463"/>
        <v>-513.3076148422731</v>
      </c>
      <c r="AG483" s="647">
        <f t="shared" si="1464"/>
        <v>40896.655764194431</v>
      </c>
      <c r="AH483" s="644">
        <f t="shared" si="1432"/>
        <v>0</v>
      </c>
      <c r="AI483" s="645">
        <f t="shared" si="1433"/>
        <v>40896.655764194431</v>
      </c>
      <c r="AJ483" s="646">
        <f t="shared" si="1465"/>
        <v>-51.518320262492516</v>
      </c>
      <c r="AK483" s="647">
        <f t="shared" si="1434"/>
        <v>40845.137443931941</v>
      </c>
      <c r="AL483" s="644">
        <f t="shared" si="1466"/>
        <v>0</v>
      </c>
      <c r="AM483" s="645">
        <f t="shared" si="1467"/>
        <v>40845.137443931941</v>
      </c>
      <c r="AN483" s="646">
        <f t="shared" si="1468"/>
        <v>-3.2843087834852923E-2</v>
      </c>
      <c r="AO483" s="647">
        <f t="shared" si="1435"/>
        <v>40845.104600844104</v>
      </c>
      <c r="AP483" s="644">
        <f t="shared" si="1469"/>
        <v>0</v>
      </c>
      <c r="AQ483" s="645">
        <f t="shared" si="1470"/>
        <v>40845.104600844104</v>
      </c>
      <c r="AR483" s="646">
        <f t="shared" si="1471"/>
        <v>0</v>
      </c>
      <c r="AS483" s="647">
        <f t="shared" si="1436"/>
        <v>40845.104600844104</v>
      </c>
      <c r="AT483" s="644">
        <f t="shared" si="1472"/>
        <v>0</v>
      </c>
      <c r="AU483" s="645">
        <f t="shared" si="1473"/>
        <v>40845.104600844104</v>
      </c>
      <c r="AV483" s="646">
        <f t="shared" si="1474"/>
        <v>0</v>
      </c>
      <c r="AW483" s="647">
        <f t="shared" si="1437"/>
        <v>40845.104600844104</v>
      </c>
      <c r="AY483" s="644">
        <f t="shared" si="1475"/>
        <v>9864.2320227034324</v>
      </c>
      <c r="AZ483" s="645">
        <f t="shared" si="1405"/>
        <v>9107.6094290521432</v>
      </c>
      <c r="BA483" s="644">
        <f t="shared" si="1476"/>
        <v>0</v>
      </c>
      <c r="BB483" s="645">
        <f t="shared" si="1477"/>
        <v>9864.2320227034324</v>
      </c>
      <c r="BC483" s="646">
        <f t="shared" si="1478"/>
        <v>-70.9365672127811</v>
      </c>
      <c r="BD483" s="647">
        <f t="shared" si="1479"/>
        <v>9793.2954554906519</v>
      </c>
      <c r="BE483" s="644">
        <f t="shared" si="1438"/>
        <v>0</v>
      </c>
      <c r="BF483" s="645">
        <f t="shared" si="1439"/>
        <v>9793.2954554906519</v>
      </c>
      <c r="BG483" s="646">
        <f t="shared" si="1480"/>
        <v>-233.26831678976959</v>
      </c>
      <c r="BH483" s="647">
        <f t="shared" si="1440"/>
        <v>9560.0271387008816</v>
      </c>
      <c r="BI483" s="644">
        <f t="shared" si="1481"/>
        <v>0</v>
      </c>
      <c r="BJ483" s="645">
        <f t="shared" si="1482"/>
        <v>9560.0271387008816</v>
      </c>
      <c r="BK483" s="646">
        <f t="shared" si="1483"/>
        <v>-20.250382862549476</v>
      </c>
      <c r="BL483" s="647">
        <f t="shared" si="1441"/>
        <v>9539.776755838333</v>
      </c>
      <c r="BM483" s="644">
        <f t="shared" si="1484"/>
        <v>0</v>
      </c>
      <c r="BN483" s="645">
        <f t="shared" si="1485"/>
        <v>9539.776755838333</v>
      </c>
      <c r="BO483" s="646">
        <f t="shared" si="1486"/>
        <v>-0.43647139080575048</v>
      </c>
      <c r="BP483" s="647">
        <f t="shared" si="1442"/>
        <v>9539.3402844475277</v>
      </c>
      <c r="BQ483" s="644">
        <f t="shared" si="1487"/>
        <v>0</v>
      </c>
      <c r="BR483" s="645">
        <f t="shared" si="1488"/>
        <v>9539.3402844475277</v>
      </c>
      <c r="BS483" s="646">
        <f t="shared" si="1489"/>
        <v>0</v>
      </c>
      <c r="BT483" s="647">
        <f t="shared" si="1443"/>
        <v>9539.3402844475277</v>
      </c>
      <c r="BU483" s="662">
        <f>VLOOKUP(B483,'Afton Update'!$A$5:$AR$582,'Afton Update'!$AO$589,0)-BT483</f>
        <v>0</v>
      </c>
      <c r="BV483" s="644">
        <f t="shared" si="1490"/>
        <v>18079.489227223639</v>
      </c>
      <c r="BW483" s="645">
        <f t="shared" si="1428"/>
        <v>15968.818404787633</v>
      </c>
      <c r="BX483" s="644">
        <f t="shared" si="1491"/>
        <v>0</v>
      </c>
      <c r="BY483" s="645">
        <f t="shared" si="1492"/>
        <v>18079.489227223639</v>
      </c>
      <c r="BZ483" s="646">
        <f t="shared" si="1493"/>
        <v>-158.68559913716268</v>
      </c>
      <c r="CA483" s="647">
        <f t="shared" si="1494"/>
        <v>17920.803628086476</v>
      </c>
      <c r="CB483" s="644">
        <f t="shared" si="1444"/>
        <v>0</v>
      </c>
      <c r="CC483" s="645">
        <f t="shared" si="1445"/>
        <v>17920.803628086476</v>
      </c>
      <c r="CD483" s="646">
        <f t="shared" si="1495"/>
        <v>-5.7402965147662517</v>
      </c>
      <c r="CE483" s="647">
        <f t="shared" si="1446"/>
        <v>17915.06333157171</v>
      </c>
      <c r="CF483" s="644">
        <f t="shared" si="1496"/>
        <v>0</v>
      </c>
      <c r="CG483" s="645">
        <f t="shared" si="1497"/>
        <v>17915.06333157171</v>
      </c>
      <c r="CH483" s="646">
        <f t="shared" si="1498"/>
        <v>0</v>
      </c>
      <c r="CI483" s="647">
        <f t="shared" si="1447"/>
        <v>17915.06333157171</v>
      </c>
      <c r="CJ483" s="644">
        <f t="shared" si="1499"/>
        <v>0</v>
      </c>
      <c r="CK483" s="645">
        <f t="shared" si="1500"/>
        <v>17915.06333157171</v>
      </c>
      <c r="CL483" s="646">
        <f t="shared" si="1501"/>
        <v>0</v>
      </c>
      <c r="CM483" s="647">
        <f t="shared" si="1448"/>
        <v>17915.06333157171</v>
      </c>
      <c r="CN483" s="644">
        <f t="shared" si="1502"/>
        <v>0</v>
      </c>
      <c r="CO483" s="645">
        <f t="shared" si="1503"/>
        <v>17915.06333157171</v>
      </c>
      <c r="CP483" s="646">
        <f t="shared" si="1504"/>
        <v>0</v>
      </c>
      <c r="CQ483" s="647">
        <f t="shared" si="1449"/>
        <v>17915.06333157171</v>
      </c>
      <c r="CS483" s="644">
        <f t="shared" si="1505"/>
        <v>14289.607929126742</v>
      </c>
      <c r="CT483" s="645">
        <f t="shared" si="1429"/>
        <v>14496.958136189713</v>
      </c>
      <c r="CU483" s="644">
        <f t="shared" si="1506"/>
        <v>207.35020706297109</v>
      </c>
      <c r="CV483" s="645">
        <f t="shared" si="1507"/>
        <v>0</v>
      </c>
      <c r="CW483" s="646">
        <f t="shared" si="1508"/>
        <v>0</v>
      </c>
      <c r="CX483" s="647">
        <f t="shared" si="1509"/>
        <v>14496.958136189713</v>
      </c>
      <c r="CY483" s="644">
        <f t="shared" si="1450"/>
        <v>0</v>
      </c>
      <c r="CZ483" s="645">
        <f t="shared" si="1451"/>
        <v>0</v>
      </c>
      <c r="DA483" s="646">
        <f t="shared" si="1510"/>
        <v>0</v>
      </c>
      <c r="DB483" s="647">
        <f t="shared" si="1452"/>
        <v>14496.958136189713</v>
      </c>
      <c r="DC483" s="644">
        <f t="shared" si="1511"/>
        <v>0</v>
      </c>
      <c r="DD483" s="645">
        <f t="shared" si="1512"/>
        <v>0</v>
      </c>
      <c r="DE483" s="646">
        <f t="shared" si="1513"/>
        <v>0</v>
      </c>
      <c r="DF483" s="647">
        <f t="shared" si="1453"/>
        <v>14496.958136189713</v>
      </c>
      <c r="DG483" s="644">
        <f t="shared" si="1514"/>
        <v>0</v>
      </c>
      <c r="DH483" s="645">
        <f t="shared" si="1515"/>
        <v>0</v>
      </c>
      <c r="DI483" s="646">
        <f t="shared" si="1516"/>
        <v>0</v>
      </c>
      <c r="DJ483" s="647">
        <f t="shared" si="1454"/>
        <v>14496.958136189713</v>
      </c>
      <c r="DK483" s="644">
        <f t="shared" si="1517"/>
        <v>0</v>
      </c>
      <c r="DL483" s="645">
        <f t="shared" si="1518"/>
        <v>0</v>
      </c>
      <c r="DM483" s="646">
        <f t="shared" si="1519"/>
        <v>0</v>
      </c>
      <c r="DN483" s="647">
        <f t="shared" si="1455"/>
        <v>14496.958136189713</v>
      </c>
      <c r="DR483" s="827">
        <f t="shared" si="1406"/>
        <v>82796.466353053052</v>
      </c>
      <c r="DV483" s="828">
        <f>IFERROR(VLOOKUP($B483,'Afton FY16 Final'!$A$5:$BV$587,'Afton FY16 Final'!$BV$587,0),0)</f>
        <v>82174.070634677279</v>
      </c>
      <c r="DX483" s="636">
        <f t="shared" si="1397"/>
        <v>82796.466353053052</v>
      </c>
      <c r="DY483" s="637">
        <f t="shared" si="1398"/>
        <v>622.39571837577387</v>
      </c>
      <c r="DZ483" s="637">
        <f t="shared" si="1399"/>
        <v>82174.070634677279</v>
      </c>
      <c r="EA483" s="643">
        <f t="shared" si="1400"/>
        <v>78392.622276266586</v>
      </c>
      <c r="EB483" s="637">
        <f t="shared" si="1407"/>
        <v>82174.070634677279</v>
      </c>
      <c r="EC483" s="637">
        <f t="shared" si="1408"/>
        <v>0</v>
      </c>
      <c r="ED483" s="637">
        <f t="shared" si="1409"/>
        <v>0</v>
      </c>
      <c r="EE483" s="643">
        <f t="shared" si="1410"/>
        <v>82174.070634677279</v>
      </c>
      <c r="EF483" s="637">
        <f t="shared" si="1411"/>
        <v>0</v>
      </c>
      <c r="EG483" s="637">
        <f t="shared" si="1412"/>
        <v>0</v>
      </c>
      <c r="EH483" s="637">
        <f t="shared" si="1413"/>
        <v>0</v>
      </c>
      <c r="EI483" s="643">
        <f t="shared" si="1414"/>
        <v>82174.070634677279</v>
      </c>
      <c r="EJ483" s="637">
        <f t="shared" si="1415"/>
        <v>0</v>
      </c>
      <c r="EK483" s="637">
        <f t="shared" si="1416"/>
        <v>0</v>
      </c>
      <c r="EL483" s="637">
        <f t="shared" si="1417"/>
        <v>0</v>
      </c>
      <c r="EM483" s="643">
        <f t="shared" si="1418"/>
        <v>82174.070634677279</v>
      </c>
      <c r="EN483" s="637">
        <f t="shared" si="1419"/>
        <v>0</v>
      </c>
      <c r="EO483" s="637">
        <f t="shared" si="1420"/>
        <v>0</v>
      </c>
      <c r="EP483" s="637">
        <f t="shared" si="1421"/>
        <v>0</v>
      </c>
      <c r="EQ483" s="643">
        <f t="shared" si="1422"/>
        <v>82174.070634677279</v>
      </c>
      <c r="ER483" s="637">
        <f t="shared" si="1423"/>
        <v>0</v>
      </c>
      <c r="ES483" s="637">
        <f t="shared" si="1424"/>
        <v>0</v>
      </c>
      <c r="ET483" s="637">
        <f t="shared" si="1425"/>
        <v>0</v>
      </c>
      <c r="EU483" s="643">
        <f t="shared" si="1401"/>
        <v>82174.070634677279</v>
      </c>
      <c r="EV483" s="643">
        <f t="shared" si="1402"/>
        <v>0</v>
      </c>
      <c r="EX483" s="829">
        <f t="shared" si="1403"/>
        <v>622.39571837577387</v>
      </c>
      <c r="EY483" s="638">
        <f t="shared" si="1404"/>
        <v>82174.070634677279</v>
      </c>
      <c r="FC483" s="830" t="str">
        <f t="shared" si="1426"/>
        <v>Y</v>
      </c>
      <c r="FE483" s="830" t="str">
        <f>IFERROR(VLOOKUP($B483,'Historical Conc Grant Elig'!$B$3:$J$707,'HH &amp; SI'!FE$2,0),"N")</f>
        <v>Y</v>
      </c>
      <c r="FF483" s="830" t="str">
        <f>IFERROR(VLOOKUP($B483,'Historical Conc Grant Elig'!$B$3:$J$707,'HH &amp; SI'!FF$2,0),"N")</f>
        <v>Y</v>
      </c>
      <c r="FG483" s="830" t="str">
        <f>IFERROR(VLOOKUP($B483,'Historical Conc Grant Elig'!$B$3:$J$707,'HH &amp; SI'!FG$2,0),"N")</f>
        <v>Y</v>
      </c>
      <c r="FH483" s="830" t="str">
        <f>IFERROR(VLOOKUP($B483,'Historical Conc Grant Elig'!$B$3:$J$707,'HH &amp; SI'!FH$2,0),"N")</f>
        <v>Y</v>
      </c>
      <c r="FI483" s="830" t="str">
        <f>IFERROR(VLOOKUP($B483,'Historical Conc Grant Elig'!$B$3:$J$707,'HH &amp; SI'!FI$2,0),"N")</f>
        <v>Y</v>
      </c>
      <c r="FJ483" s="830" t="str">
        <f>IFERROR(VLOOKUP($B483,'Historical Conc Grant Elig'!$B$3:$J$707,'HH &amp; SI'!FJ$2,0),"N")</f>
        <v>Y</v>
      </c>
      <c r="FK483" s="830" t="str">
        <f>IFERROR(VLOOKUP($B483,'Historical Conc Grant Elig'!$B$3:$J$707,'HH &amp; SI'!FK$2,0),"N")</f>
        <v>Y</v>
      </c>
      <c r="FL483" s="957" t="str">
        <f>IFERROR(VLOOKUP($B483,'Historical Conc Grant Elig'!$B$3:$J$707,'HH &amp; SI'!FL$2,0),"N")</f>
        <v>Y</v>
      </c>
    </row>
    <row r="484" spans="2:168" x14ac:dyDescent="0.25">
      <c r="B484" s="634">
        <v>140570000</v>
      </c>
      <c r="C484" s="635" t="str">
        <f>VLOOKUP($B484,'Afton Update'!$A$5:$CR$582,'Afton Update'!D$589,0)</f>
        <v>Yuma Union High School District</v>
      </c>
      <c r="D484" s="636">
        <f>IFERROR(VLOOKUP($B484,'Afton FY16 Final'!$A$5:$BV$587,'Afton FY16 Final'!AQ$587,0),0)</f>
        <v>1534661.3150479016</v>
      </c>
      <c r="E484" s="637">
        <f>IFERROR(VLOOKUP($B484,'Afton FY16 Final'!$A$5:$BV$587,'Afton FY16 Final'!AR$587,0),0)</f>
        <v>360149.78284151654</v>
      </c>
      <c r="F484" s="637">
        <f>IFERROR(VLOOKUP($B484,'Afton FY16 Final'!$A$5:$BV$587,'Afton FY16 Final'!AS$587,0),0)</f>
        <v>719043.44165636785</v>
      </c>
      <c r="G484" s="637">
        <f>IFERROR(VLOOKUP($B484,'Afton FY16 Final'!$A$5:$BV$587,'Afton FY16 Final'!AT$587,0),0)</f>
        <v>622349.63017461309</v>
      </c>
      <c r="H484" s="638">
        <f>IFERROR(VLOOKUP($B484,'Afton FY16 Final'!$A$5:$BV$587,'Afton FY16 Final'!AU$587,0),0)</f>
        <v>3236204.1697203992</v>
      </c>
      <c r="I484" s="639" t="str">
        <f>VLOOKUP($B484,'Afton Update'!$A$5:$CR$582,'Afton Update'!BT$589,0)</f>
        <v>Y</v>
      </c>
      <c r="J484" s="640" t="str">
        <f>VLOOKUP($B484,'Afton Update'!$A$5:$CR$582,'Afton Update'!BU$589,0)</f>
        <v>Y</v>
      </c>
      <c r="K484" s="640" t="str">
        <f>VLOOKUP($B484,'Afton Update'!$A$5:$CR$582,'Afton Update'!BV$589,0)</f>
        <v>Y</v>
      </c>
      <c r="L484" s="641" t="str">
        <f>VLOOKUP($B484,'Afton Update'!$A$5:$CR$582,'Afton Update'!BW$589,0)</f>
        <v>Y</v>
      </c>
      <c r="N484" s="642">
        <f>VLOOKUP($B484,'Afton Update'!$A$5:$CR$582,'Afton Update'!CB$589,0)</f>
        <v>0.95</v>
      </c>
      <c r="P484" s="636">
        <f>VLOOKUP($B484,'Afton Update'!$A$5:$CR$582,'Afton Update'!AH$589,0)</f>
        <v>1681680.4075402492</v>
      </c>
      <c r="Q484" s="637">
        <f>VLOOKUP($B484,'Afton Update'!$A$5:$CR$582,'Afton Update'!AI$589,0)</f>
        <v>400591.65414305113</v>
      </c>
      <c r="R484" s="637">
        <f>VLOOKUP($B484,'Afton Update'!$A$5:$CR$582,'Afton Update'!AJ$589,0)</f>
        <v>847878.14802622492</v>
      </c>
      <c r="S484" s="637">
        <f>VLOOKUP($B484,'Afton Update'!$A$5:$CR$582,'Afton Update'!AK$589,0)</f>
        <v>718465.18815518357</v>
      </c>
      <c r="T484" s="643">
        <f t="shared" si="1430"/>
        <v>3648615.3978647087</v>
      </c>
      <c r="V484" s="636">
        <f t="shared" si="1456"/>
        <v>1658741.1952637539</v>
      </c>
      <c r="W484" s="637">
        <f t="shared" si="1457"/>
        <v>387397.62965682708</v>
      </c>
      <c r="X484" s="637">
        <f t="shared" si="1458"/>
        <v>840167.02731143252</v>
      </c>
      <c r="Y484" s="637">
        <f t="shared" si="1459"/>
        <v>710548.99508511589</v>
      </c>
      <c r="Z484" s="643">
        <f t="shared" si="1460"/>
        <v>3596854.8473171294</v>
      </c>
      <c r="AB484" s="644">
        <f t="shared" si="1431"/>
        <v>1681680.4075402492</v>
      </c>
      <c r="AC484" s="645">
        <f t="shared" si="1427"/>
        <v>1457928.2492955064</v>
      </c>
      <c r="AD484" s="644">
        <f t="shared" si="1461"/>
        <v>0</v>
      </c>
      <c r="AE484" s="645">
        <f t="shared" si="1462"/>
        <v>1681680.4075402492</v>
      </c>
      <c r="AF484" s="646">
        <f t="shared" si="1463"/>
        <v>-20845.692400647273</v>
      </c>
      <c r="AG484" s="647">
        <f t="shared" si="1464"/>
        <v>1660834.7151396018</v>
      </c>
      <c r="AH484" s="644">
        <f t="shared" si="1432"/>
        <v>0</v>
      </c>
      <c r="AI484" s="645">
        <f t="shared" si="1433"/>
        <v>1660834.7151396018</v>
      </c>
      <c r="AJ484" s="646">
        <f t="shared" si="1465"/>
        <v>-2092.1861007652233</v>
      </c>
      <c r="AK484" s="647">
        <f t="shared" si="1434"/>
        <v>1658742.5290388367</v>
      </c>
      <c r="AL484" s="644">
        <f t="shared" si="1466"/>
        <v>0</v>
      </c>
      <c r="AM484" s="645">
        <f t="shared" si="1467"/>
        <v>1658742.5290388367</v>
      </c>
      <c r="AN484" s="646">
        <f t="shared" si="1468"/>
        <v>-1.3337750828090802</v>
      </c>
      <c r="AO484" s="647">
        <f t="shared" si="1435"/>
        <v>1658741.1952637539</v>
      </c>
      <c r="AP484" s="644">
        <f t="shared" si="1469"/>
        <v>0</v>
      </c>
      <c r="AQ484" s="645">
        <f t="shared" si="1470"/>
        <v>1658741.1952637539</v>
      </c>
      <c r="AR484" s="646">
        <f t="shared" si="1471"/>
        <v>0</v>
      </c>
      <c r="AS484" s="647">
        <f t="shared" si="1436"/>
        <v>1658741.1952637539</v>
      </c>
      <c r="AT484" s="644">
        <f t="shared" si="1472"/>
        <v>0</v>
      </c>
      <c r="AU484" s="645">
        <f t="shared" si="1473"/>
        <v>1658741.1952637539</v>
      </c>
      <c r="AV484" s="646">
        <f t="shared" si="1474"/>
        <v>0</v>
      </c>
      <c r="AW484" s="647">
        <f t="shared" si="1437"/>
        <v>1658741.1952637539</v>
      </c>
      <c r="AY484" s="644">
        <f t="shared" si="1475"/>
        <v>400591.65414305113</v>
      </c>
      <c r="AZ484" s="645">
        <f t="shared" si="1405"/>
        <v>342142.29369944072</v>
      </c>
      <c r="BA484" s="644">
        <f t="shared" si="1476"/>
        <v>0</v>
      </c>
      <c r="BB484" s="645">
        <f t="shared" si="1477"/>
        <v>400591.65414305113</v>
      </c>
      <c r="BC484" s="646">
        <f t="shared" si="1478"/>
        <v>-2880.7713295464168</v>
      </c>
      <c r="BD484" s="647">
        <f t="shared" si="1479"/>
        <v>397710.88281350472</v>
      </c>
      <c r="BE484" s="644">
        <f t="shared" si="1438"/>
        <v>0</v>
      </c>
      <c r="BF484" s="645">
        <f t="shared" si="1439"/>
        <v>397710.88281350472</v>
      </c>
      <c r="BG484" s="646">
        <f t="shared" si="1480"/>
        <v>-9473.1491176308573</v>
      </c>
      <c r="BH484" s="647">
        <f t="shared" si="1440"/>
        <v>388237.73369587387</v>
      </c>
      <c r="BI484" s="644">
        <f t="shared" si="1481"/>
        <v>0</v>
      </c>
      <c r="BJ484" s="645">
        <f t="shared" si="1482"/>
        <v>388237.73369587387</v>
      </c>
      <c r="BK484" s="646">
        <f t="shared" si="1483"/>
        <v>-822.37870614437804</v>
      </c>
      <c r="BL484" s="647">
        <f t="shared" si="1441"/>
        <v>387415.35498972947</v>
      </c>
      <c r="BM484" s="644">
        <f t="shared" si="1484"/>
        <v>0</v>
      </c>
      <c r="BN484" s="645">
        <f t="shared" si="1485"/>
        <v>387415.35498972947</v>
      </c>
      <c r="BO484" s="646">
        <f t="shared" si="1486"/>
        <v>-17.725332902406169</v>
      </c>
      <c r="BP484" s="647">
        <f t="shared" si="1442"/>
        <v>387397.62965682708</v>
      </c>
      <c r="BQ484" s="644">
        <f t="shared" si="1487"/>
        <v>0</v>
      </c>
      <c r="BR484" s="645">
        <f t="shared" si="1488"/>
        <v>387397.62965682708</v>
      </c>
      <c r="BS484" s="646">
        <f t="shared" si="1489"/>
        <v>0</v>
      </c>
      <c r="BT484" s="647">
        <f t="shared" si="1443"/>
        <v>387397.62965682708</v>
      </c>
      <c r="BU484" s="662">
        <f>VLOOKUP(B484,'Afton Update'!$A$5:$AR$582,'Afton Update'!$AO$589,0)-BT484</f>
        <v>0</v>
      </c>
      <c r="BV484" s="644">
        <f t="shared" si="1490"/>
        <v>847878.14802622492</v>
      </c>
      <c r="BW484" s="645">
        <f t="shared" si="1428"/>
        <v>683091.26957354939</v>
      </c>
      <c r="BX484" s="644">
        <f t="shared" si="1491"/>
        <v>0</v>
      </c>
      <c r="BY484" s="645">
        <f t="shared" si="1492"/>
        <v>847878.14802622492</v>
      </c>
      <c r="BZ484" s="646">
        <f t="shared" si="1493"/>
        <v>-7441.9166506238098</v>
      </c>
      <c r="CA484" s="647">
        <f t="shared" si="1494"/>
        <v>840436.23137560114</v>
      </c>
      <c r="CB484" s="644">
        <f t="shared" si="1444"/>
        <v>0</v>
      </c>
      <c r="CC484" s="645">
        <f t="shared" si="1445"/>
        <v>840436.23137560114</v>
      </c>
      <c r="CD484" s="646">
        <f t="shared" si="1495"/>
        <v>-269.2040641686209</v>
      </c>
      <c r="CE484" s="647">
        <f t="shared" si="1446"/>
        <v>840167.02731143252</v>
      </c>
      <c r="CF484" s="644">
        <f t="shared" si="1496"/>
        <v>0</v>
      </c>
      <c r="CG484" s="645">
        <f t="shared" si="1497"/>
        <v>840167.02731143252</v>
      </c>
      <c r="CH484" s="646">
        <f t="shared" si="1498"/>
        <v>0</v>
      </c>
      <c r="CI484" s="647">
        <f t="shared" si="1447"/>
        <v>840167.02731143252</v>
      </c>
      <c r="CJ484" s="644">
        <f t="shared" si="1499"/>
        <v>0</v>
      </c>
      <c r="CK484" s="645">
        <f t="shared" si="1500"/>
        <v>840167.02731143252</v>
      </c>
      <c r="CL484" s="646">
        <f t="shared" si="1501"/>
        <v>0</v>
      </c>
      <c r="CM484" s="647">
        <f t="shared" si="1448"/>
        <v>840167.02731143252</v>
      </c>
      <c r="CN484" s="644">
        <f t="shared" si="1502"/>
        <v>0</v>
      </c>
      <c r="CO484" s="645">
        <f t="shared" si="1503"/>
        <v>840167.02731143252</v>
      </c>
      <c r="CP484" s="646">
        <f t="shared" si="1504"/>
        <v>0</v>
      </c>
      <c r="CQ484" s="647">
        <f t="shared" si="1449"/>
        <v>840167.02731143252</v>
      </c>
      <c r="CS484" s="644">
        <f t="shared" si="1505"/>
        <v>718465.18815518357</v>
      </c>
      <c r="CT484" s="645">
        <f t="shared" si="1429"/>
        <v>591232.14866588241</v>
      </c>
      <c r="CU484" s="644">
        <f t="shared" si="1506"/>
        <v>0</v>
      </c>
      <c r="CV484" s="645">
        <f t="shared" si="1507"/>
        <v>718465.18815518357</v>
      </c>
      <c r="CW484" s="646">
        <f t="shared" si="1508"/>
        <v>-7357.4895471756799</v>
      </c>
      <c r="CX484" s="647">
        <f t="shared" si="1509"/>
        <v>711107.69860800786</v>
      </c>
      <c r="CY484" s="644">
        <f t="shared" si="1450"/>
        <v>0</v>
      </c>
      <c r="CZ484" s="645">
        <f t="shared" si="1451"/>
        <v>711107.69860800786</v>
      </c>
      <c r="DA484" s="646">
        <f t="shared" si="1510"/>
        <v>-558.22212583632165</v>
      </c>
      <c r="DB484" s="647">
        <f t="shared" si="1452"/>
        <v>710549.47648217157</v>
      </c>
      <c r="DC484" s="644">
        <f t="shared" si="1511"/>
        <v>0</v>
      </c>
      <c r="DD484" s="645">
        <f t="shared" si="1512"/>
        <v>710549.47648217157</v>
      </c>
      <c r="DE484" s="646">
        <f t="shared" si="1513"/>
        <v>-0.48139705564471919</v>
      </c>
      <c r="DF484" s="647">
        <f t="shared" si="1453"/>
        <v>710548.99508511589</v>
      </c>
      <c r="DG484" s="644">
        <f t="shared" si="1514"/>
        <v>0</v>
      </c>
      <c r="DH484" s="645">
        <f t="shared" si="1515"/>
        <v>710548.99508511589</v>
      </c>
      <c r="DI484" s="646">
        <f t="shared" si="1516"/>
        <v>0</v>
      </c>
      <c r="DJ484" s="647">
        <f t="shared" si="1454"/>
        <v>710548.99508511589</v>
      </c>
      <c r="DK484" s="644">
        <f t="shared" si="1517"/>
        <v>0</v>
      </c>
      <c r="DL484" s="645">
        <f t="shared" si="1518"/>
        <v>710548.99508511589</v>
      </c>
      <c r="DM484" s="646">
        <f t="shared" si="1519"/>
        <v>0</v>
      </c>
      <c r="DN484" s="647">
        <f t="shared" si="1455"/>
        <v>710548.99508511589</v>
      </c>
      <c r="DR484" s="827">
        <f t="shared" si="1406"/>
        <v>3596854.8473171294</v>
      </c>
      <c r="DV484" s="828">
        <f>IFERROR(VLOOKUP($B484,'Afton FY16 Final'!$A$5:$BV$587,'Afton FY16 Final'!$BV$587,0),0)</f>
        <v>3172483.3101545484</v>
      </c>
      <c r="DX484" s="636">
        <f t="shared" si="1397"/>
        <v>3596854.8473171294</v>
      </c>
      <c r="DY484" s="637">
        <f t="shared" si="1398"/>
        <v>424371.53716258099</v>
      </c>
      <c r="DZ484" s="637">
        <f t="shared" si="1399"/>
        <v>3172483.3101545484</v>
      </c>
      <c r="EA484" s="643">
        <f t="shared" si="1400"/>
        <v>3405542.480834303</v>
      </c>
      <c r="EB484" s="637">
        <f t="shared" si="1407"/>
        <v>0</v>
      </c>
      <c r="EC484" s="637">
        <f t="shared" si="1408"/>
        <v>3405542.480834303</v>
      </c>
      <c r="ED484" s="637">
        <f t="shared" si="1409"/>
        <v>3395387.3564936523</v>
      </c>
      <c r="EE484" s="643">
        <f t="shared" si="1410"/>
        <v>3395387.3564936523</v>
      </c>
      <c r="EF484" s="637">
        <f t="shared" si="1411"/>
        <v>0</v>
      </c>
      <c r="EG484" s="637">
        <f t="shared" si="1412"/>
        <v>3395387.3564936523</v>
      </c>
      <c r="EH484" s="637">
        <f t="shared" si="1413"/>
        <v>3395383.8536050483</v>
      </c>
      <c r="EI484" s="643">
        <f t="shared" si="1414"/>
        <v>3395383.8536050483</v>
      </c>
      <c r="EJ484" s="637">
        <f t="shared" si="1415"/>
        <v>0</v>
      </c>
      <c r="EK484" s="637">
        <f t="shared" si="1416"/>
        <v>3395383.8536050483</v>
      </c>
      <c r="EL484" s="637">
        <f t="shared" si="1417"/>
        <v>3395383.8536050441</v>
      </c>
      <c r="EM484" s="643">
        <f t="shared" si="1418"/>
        <v>3395383.8536050441</v>
      </c>
      <c r="EN484" s="637">
        <f t="shared" si="1419"/>
        <v>0</v>
      </c>
      <c r="EO484" s="637">
        <f t="shared" si="1420"/>
        <v>3395383.8536050441</v>
      </c>
      <c r="EP484" s="637">
        <f t="shared" si="1421"/>
        <v>3395383.8536050492</v>
      </c>
      <c r="EQ484" s="643">
        <f t="shared" si="1422"/>
        <v>3395383.8536050492</v>
      </c>
      <c r="ER484" s="637">
        <f t="shared" si="1423"/>
        <v>0</v>
      </c>
      <c r="ES484" s="637">
        <f t="shared" si="1424"/>
        <v>3395383.8536050492</v>
      </c>
      <c r="ET484" s="637">
        <f t="shared" si="1425"/>
        <v>3395383.8536050441</v>
      </c>
      <c r="EU484" s="643">
        <f t="shared" si="1401"/>
        <v>3395383.8536050441</v>
      </c>
      <c r="EV484" s="643">
        <f t="shared" si="1402"/>
        <v>0</v>
      </c>
      <c r="EX484" s="829">
        <f t="shared" si="1403"/>
        <v>201470.9937120853</v>
      </c>
      <c r="EY484" s="638">
        <f t="shared" si="1404"/>
        <v>3395383.8536050441</v>
      </c>
      <c r="FC484" s="830" t="str">
        <f t="shared" si="1426"/>
        <v>Y</v>
      </c>
      <c r="FE484" s="830" t="str">
        <f>IFERROR(VLOOKUP($B484,'Historical Conc Grant Elig'!$B$3:$J$707,'HH &amp; SI'!FE$2,0),"N")</f>
        <v>Y</v>
      </c>
      <c r="FF484" s="830" t="str">
        <f>IFERROR(VLOOKUP($B484,'Historical Conc Grant Elig'!$B$3:$J$707,'HH &amp; SI'!FF$2,0),"N")</f>
        <v>Y</v>
      </c>
      <c r="FG484" s="830" t="str">
        <f>IFERROR(VLOOKUP($B484,'Historical Conc Grant Elig'!$B$3:$J$707,'HH &amp; SI'!FG$2,0),"N")</f>
        <v>Y</v>
      </c>
      <c r="FH484" s="830" t="str">
        <f>IFERROR(VLOOKUP($B484,'Historical Conc Grant Elig'!$B$3:$J$707,'HH &amp; SI'!FH$2,0),"N")</f>
        <v>Y</v>
      </c>
      <c r="FI484" s="830" t="str">
        <f>IFERROR(VLOOKUP($B484,'Historical Conc Grant Elig'!$B$3:$J$707,'HH &amp; SI'!FI$2,0),"N")</f>
        <v>Y</v>
      </c>
      <c r="FJ484" s="830" t="str">
        <f>IFERROR(VLOOKUP($B484,'Historical Conc Grant Elig'!$B$3:$J$707,'HH &amp; SI'!FJ$2,0),"N")</f>
        <v>Y</v>
      </c>
      <c r="FK484" s="830" t="str">
        <f>IFERROR(VLOOKUP($B484,'Historical Conc Grant Elig'!$B$3:$J$707,'HH &amp; SI'!FK$2,0),"N")</f>
        <v>Y</v>
      </c>
      <c r="FL484" s="957" t="str">
        <f>IFERROR(VLOOKUP($B484,'Historical Conc Grant Elig'!$B$3:$J$707,'HH &amp; SI'!FL$2,0),"N")</f>
        <v>Y</v>
      </c>
    </row>
    <row r="485" spans="2:168" x14ac:dyDescent="0.25">
      <c r="B485" s="634">
        <v>148757000</v>
      </c>
      <c r="C485" s="635" t="str">
        <f>VLOOKUP($B485,'Afton Update'!$A$5:$CR$582,'Afton Update'!D$589,0)</f>
        <v>Az-Tec High School</v>
      </c>
      <c r="D485" s="636">
        <f>IFERROR(VLOOKUP($B485,'Afton FY16 Final'!$A$5:$BV$587,'Afton FY16 Final'!AQ$587,0),0)</f>
        <v>0</v>
      </c>
      <c r="E485" s="637">
        <f>IFERROR(VLOOKUP($B485,'Afton FY16 Final'!$A$5:$BV$587,'Afton FY16 Final'!AR$587,0),0)</f>
        <v>0</v>
      </c>
      <c r="F485" s="637">
        <f>IFERROR(VLOOKUP($B485,'Afton FY16 Final'!$A$5:$BV$587,'Afton FY16 Final'!AS$587,0),0)</f>
        <v>0</v>
      </c>
      <c r="G485" s="637">
        <f>IFERROR(VLOOKUP($B485,'Afton FY16 Final'!$A$5:$BV$587,'Afton FY16 Final'!AT$587,0),0)</f>
        <v>0</v>
      </c>
      <c r="H485" s="638">
        <f>IFERROR(VLOOKUP($B485,'Afton FY16 Final'!$A$5:$BV$587,'Afton FY16 Final'!AU$587,0),0)</f>
        <v>0</v>
      </c>
      <c r="I485" s="639" t="str">
        <f>VLOOKUP($B485,'Afton Update'!$A$5:$CR$582,'Afton Update'!BT$589,0)</f>
        <v>Y</v>
      </c>
      <c r="J485" s="640" t="str">
        <f>VLOOKUP($B485,'Afton Update'!$A$5:$CR$582,'Afton Update'!BU$589,0)</f>
        <v>Y</v>
      </c>
      <c r="K485" s="640" t="str">
        <f>VLOOKUP($B485,'Afton Update'!$A$5:$CR$582,'Afton Update'!BV$589,0)</f>
        <v>Y</v>
      </c>
      <c r="L485" s="641" t="str">
        <f>VLOOKUP($B485,'Afton Update'!$A$5:$CR$582,'Afton Update'!BW$589,0)</f>
        <v>Y</v>
      </c>
      <c r="N485" s="642">
        <f>VLOOKUP($B485,'Afton Update'!$A$5:$CR$582,'Afton Update'!CB$589,0)</f>
        <v>0.95</v>
      </c>
      <c r="P485" s="636">
        <f>VLOOKUP($B485,'Afton Update'!$A$5:$CR$582,'Afton Update'!AH$589,0)</f>
        <v>14029.989385379266</v>
      </c>
      <c r="Q485" s="637">
        <f>VLOOKUP($B485,'Afton Update'!$A$5:$CR$582,'Afton Update'!AI$589,0)</f>
        <v>3399.9509685089647</v>
      </c>
      <c r="R485" s="637">
        <f>VLOOKUP($B485,'Afton Update'!$A$5:$CR$582,'Afton Update'!AJ$589,0)</f>
        <v>7174.9360562913362</v>
      </c>
      <c r="S485" s="637">
        <f>VLOOKUP($B485,'Afton Update'!$A$5:$CR$582,'Afton Update'!AK$589,0)</f>
        <v>6525.7904310877429</v>
      </c>
      <c r="T485" s="643">
        <f t="shared" si="1430"/>
        <v>31130.666841267306</v>
      </c>
      <c r="V485" s="636">
        <f t="shared" si="1456"/>
        <v>13838.611223806382</v>
      </c>
      <c r="W485" s="637">
        <f t="shared" si="1457"/>
        <v>3287.9690141509009</v>
      </c>
      <c r="X485" s="637">
        <f t="shared" si="1458"/>
        <v>7109.68281420723</v>
      </c>
      <c r="Y485" s="637">
        <f t="shared" si="1459"/>
        <v>6453.8879675599874</v>
      </c>
      <c r="Z485" s="643">
        <f t="shared" si="1460"/>
        <v>30690.151019724501</v>
      </c>
      <c r="AB485" s="644">
        <f t="shared" si="1431"/>
        <v>14029.989385379266</v>
      </c>
      <c r="AC485" s="645">
        <f t="shared" si="1427"/>
        <v>0</v>
      </c>
      <c r="AD485" s="644">
        <f t="shared" si="1461"/>
        <v>0</v>
      </c>
      <c r="AE485" s="645">
        <f t="shared" si="1462"/>
        <v>14029.989385379266</v>
      </c>
      <c r="AF485" s="646">
        <f t="shared" si="1463"/>
        <v>-173.91226168814282</v>
      </c>
      <c r="AG485" s="647">
        <f t="shared" si="1464"/>
        <v>13856.077123691122</v>
      </c>
      <c r="AH485" s="644">
        <f t="shared" si="1432"/>
        <v>0</v>
      </c>
      <c r="AI485" s="645">
        <f t="shared" si="1433"/>
        <v>13856.077123691122</v>
      </c>
      <c r="AJ485" s="646">
        <f t="shared" si="1465"/>
        <v>-17.454772413569653</v>
      </c>
      <c r="AK485" s="647">
        <f t="shared" si="1434"/>
        <v>13838.622351277552</v>
      </c>
      <c r="AL485" s="644">
        <f t="shared" si="1466"/>
        <v>0</v>
      </c>
      <c r="AM485" s="645">
        <f t="shared" si="1467"/>
        <v>13838.622351277552</v>
      </c>
      <c r="AN485" s="646">
        <f t="shared" si="1468"/>
        <v>-1.112747117133008E-2</v>
      </c>
      <c r="AO485" s="647">
        <f t="shared" si="1435"/>
        <v>13838.611223806382</v>
      </c>
      <c r="AP485" s="644">
        <f t="shared" si="1469"/>
        <v>0</v>
      </c>
      <c r="AQ485" s="645">
        <f t="shared" si="1470"/>
        <v>13838.611223806382</v>
      </c>
      <c r="AR485" s="646">
        <f t="shared" si="1471"/>
        <v>0</v>
      </c>
      <c r="AS485" s="647">
        <f t="shared" si="1436"/>
        <v>13838.611223806382</v>
      </c>
      <c r="AT485" s="644">
        <f t="shared" si="1472"/>
        <v>0</v>
      </c>
      <c r="AU485" s="645">
        <f t="shared" si="1473"/>
        <v>13838.611223806382</v>
      </c>
      <c r="AV485" s="646">
        <f t="shared" si="1474"/>
        <v>0</v>
      </c>
      <c r="AW485" s="647">
        <f t="shared" si="1437"/>
        <v>13838.611223806382</v>
      </c>
      <c r="AY485" s="644">
        <f t="shared" si="1475"/>
        <v>3399.9509685089647</v>
      </c>
      <c r="AZ485" s="645">
        <f t="shared" si="1405"/>
        <v>0</v>
      </c>
      <c r="BA485" s="644">
        <f t="shared" si="1476"/>
        <v>0</v>
      </c>
      <c r="BB485" s="645">
        <f t="shared" si="1477"/>
        <v>3399.9509685089647</v>
      </c>
      <c r="BC485" s="646">
        <f t="shared" si="1478"/>
        <v>-24.450038263769198</v>
      </c>
      <c r="BD485" s="647">
        <f t="shared" si="1479"/>
        <v>3375.5009302451954</v>
      </c>
      <c r="BE485" s="644">
        <f t="shared" si="1438"/>
        <v>0</v>
      </c>
      <c r="BF485" s="645">
        <f t="shared" si="1439"/>
        <v>3375.5009302451954</v>
      </c>
      <c r="BG485" s="646">
        <f t="shared" si="1480"/>
        <v>-80.401681323638655</v>
      </c>
      <c r="BH485" s="647">
        <f t="shared" si="1440"/>
        <v>3295.0992489215569</v>
      </c>
      <c r="BI485" s="644">
        <f t="shared" si="1481"/>
        <v>0</v>
      </c>
      <c r="BJ485" s="645">
        <f t="shared" si="1482"/>
        <v>3295.0992489215569</v>
      </c>
      <c r="BK485" s="646">
        <f t="shared" si="1483"/>
        <v>-6.9797941357965971</v>
      </c>
      <c r="BL485" s="647">
        <f t="shared" si="1441"/>
        <v>3288.1194547857604</v>
      </c>
      <c r="BM485" s="644">
        <f t="shared" si="1484"/>
        <v>0</v>
      </c>
      <c r="BN485" s="645">
        <f t="shared" si="1485"/>
        <v>3288.1194547857604</v>
      </c>
      <c r="BO485" s="646">
        <f t="shared" si="1486"/>
        <v>-0.15044063485945458</v>
      </c>
      <c r="BP485" s="647">
        <f t="shared" si="1442"/>
        <v>3287.9690141509009</v>
      </c>
      <c r="BQ485" s="644">
        <f t="shared" si="1487"/>
        <v>0</v>
      </c>
      <c r="BR485" s="645">
        <f t="shared" si="1488"/>
        <v>3287.9690141509009</v>
      </c>
      <c r="BS485" s="646">
        <f t="shared" si="1489"/>
        <v>0</v>
      </c>
      <c r="BT485" s="647">
        <f t="shared" si="1443"/>
        <v>3287.9690141509009</v>
      </c>
      <c r="BU485" s="662">
        <f>VLOOKUP(B485,'Afton Update'!$A$5:$AR$582,'Afton Update'!$AO$589,0)-BT485</f>
        <v>0</v>
      </c>
      <c r="BV485" s="644">
        <f t="shared" si="1490"/>
        <v>7174.9360562913362</v>
      </c>
      <c r="BW485" s="645">
        <f t="shared" si="1428"/>
        <v>0</v>
      </c>
      <c r="BX485" s="644">
        <f t="shared" si="1491"/>
        <v>0</v>
      </c>
      <c r="BY485" s="645">
        <f t="shared" si="1492"/>
        <v>7174.9360562913362</v>
      </c>
      <c r="BZ485" s="646">
        <f t="shared" si="1493"/>
        <v>-62.975176596748561</v>
      </c>
      <c r="CA485" s="647">
        <f t="shared" si="1494"/>
        <v>7111.9608796945877</v>
      </c>
      <c r="CB485" s="644">
        <f t="shared" si="1444"/>
        <v>0</v>
      </c>
      <c r="CC485" s="645">
        <f t="shared" si="1445"/>
        <v>7111.9608796945877</v>
      </c>
      <c r="CD485" s="646">
        <f t="shared" si="1495"/>
        <v>-2.2780654873580519</v>
      </c>
      <c r="CE485" s="647">
        <f t="shared" si="1446"/>
        <v>7109.68281420723</v>
      </c>
      <c r="CF485" s="644">
        <f t="shared" si="1496"/>
        <v>0</v>
      </c>
      <c r="CG485" s="645">
        <f t="shared" si="1497"/>
        <v>7109.68281420723</v>
      </c>
      <c r="CH485" s="646">
        <f t="shared" si="1498"/>
        <v>0</v>
      </c>
      <c r="CI485" s="647">
        <f t="shared" si="1447"/>
        <v>7109.68281420723</v>
      </c>
      <c r="CJ485" s="644">
        <f t="shared" si="1499"/>
        <v>0</v>
      </c>
      <c r="CK485" s="645">
        <f t="shared" si="1500"/>
        <v>7109.68281420723</v>
      </c>
      <c r="CL485" s="646">
        <f t="shared" si="1501"/>
        <v>0</v>
      </c>
      <c r="CM485" s="647">
        <f t="shared" si="1448"/>
        <v>7109.68281420723</v>
      </c>
      <c r="CN485" s="644">
        <f t="shared" si="1502"/>
        <v>0</v>
      </c>
      <c r="CO485" s="645">
        <f t="shared" si="1503"/>
        <v>7109.68281420723</v>
      </c>
      <c r="CP485" s="646">
        <f t="shared" si="1504"/>
        <v>0</v>
      </c>
      <c r="CQ485" s="647">
        <f t="shared" si="1449"/>
        <v>7109.68281420723</v>
      </c>
      <c r="CS485" s="644">
        <f t="shared" si="1505"/>
        <v>6525.7904310877429</v>
      </c>
      <c r="CT485" s="645">
        <f t="shared" si="1429"/>
        <v>0</v>
      </c>
      <c r="CU485" s="644">
        <f t="shared" si="1506"/>
        <v>0</v>
      </c>
      <c r="CV485" s="645">
        <f t="shared" si="1507"/>
        <v>6525.7904310877429</v>
      </c>
      <c r="CW485" s="646">
        <f t="shared" si="1508"/>
        <v>-66.827781881919904</v>
      </c>
      <c r="CX485" s="647">
        <f t="shared" si="1509"/>
        <v>6458.9626492058233</v>
      </c>
      <c r="CY485" s="644">
        <f t="shared" si="1450"/>
        <v>0</v>
      </c>
      <c r="CZ485" s="645">
        <f t="shared" si="1451"/>
        <v>6458.9626492058233</v>
      </c>
      <c r="DA485" s="646">
        <f t="shared" si="1510"/>
        <v>-5.0703091357257204</v>
      </c>
      <c r="DB485" s="647">
        <f t="shared" si="1452"/>
        <v>6453.8923400700978</v>
      </c>
      <c r="DC485" s="644">
        <f t="shared" si="1511"/>
        <v>0</v>
      </c>
      <c r="DD485" s="645">
        <f t="shared" si="1512"/>
        <v>6453.8923400700978</v>
      </c>
      <c r="DE485" s="646">
        <f t="shared" si="1513"/>
        <v>-4.3725101105407775E-3</v>
      </c>
      <c r="DF485" s="647">
        <f t="shared" si="1453"/>
        <v>6453.8879675599874</v>
      </c>
      <c r="DG485" s="644">
        <f t="shared" si="1514"/>
        <v>0</v>
      </c>
      <c r="DH485" s="645">
        <f t="shared" si="1515"/>
        <v>6453.8879675599874</v>
      </c>
      <c r="DI485" s="646">
        <f t="shared" si="1516"/>
        <v>0</v>
      </c>
      <c r="DJ485" s="647">
        <f t="shared" si="1454"/>
        <v>6453.8879675599874</v>
      </c>
      <c r="DK485" s="644">
        <f t="shared" si="1517"/>
        <v>0</v>
      </c>
      <c r="DL485" s="645">
        <f t="shared" si="1518"/>
        <v>6453.8879675599874</v>
      </c>
      <c r="DM485" s="646">
        <f t="shared" si="1519"/>
        <v>0</v>
      </c>
      <c r="DN485" s="647">
        <f t="shared" si="1455"/>
        <v>6453.8879675599874</v>
      </c>
      <c r="DR485" s="827">
        <f t="shared" si="1406"/>
        <v>30690.151019724501</v>
      </c>
      <c r="DV485" s="828">
        <f>IFERROR(VLOOKUP($B485,'Afton FY16 Final'!$A$5:$BV$587,'Afton FY16 Final'!$BV$587,0),0)</f>
        <v>0</v>
      </c>
      <c r="DX485" s="636">
        <f t="shared" si="1397"/>
        <v>30690.151019724501</v>
      </c>
      <c r="DY485" s="637">
        <f t="shared" si="1398"/>
        <v>30690.151019724501</v>
      </c>
      <c r="DZ485" s="637">
        <f t="shared" si="1399"/>
        <v>0</v>
      </c>
      <c r="EA485" s="643">
        <f t="shared" si="1400"/>
        <v>29057.778942302957</v>
      </c>
      <c r="EB485" s="637">
        <f t="shared" si="1407"/>
        <v>0</v>
      </c>
      <c r="EC485" s="637">
        <f t="shared" si="1408"/>
        <v>29057.778942302957</v>
      </c>
      <c r="ED485" s="637">
        <f t="shared" si="1409"/>
        <v>28971.130380470917</v>
      </c>
      <c r="EE485" s="643">
        <f t="shared" si="1410"/>
        <v>28971.130380470917</v>
      </c>
      <c r="EF485" s="637">
        <f t="shared" si="1411"/>
        <v>0</v>
      </c>
      <c r="EG485" s="637">
        <f t="shared" si="1412"/>
        <v>28971.130380470917</v>
      </c>
      <c r="EH485" s="637">
        <f t="shared" si="1413"/>
        <v>28971.100492086531</v>
      </c>
      <c r="EI485" s="643">
        <f t="shared" si="1414"/>
        <v>28971.100492086531</v>
      </c>
      <c r="EJ485" s="637">
        <f t="shared" si="1415"/>
        <v>0</v>
      </c>
      <c r="EK485" s="637">
        <f t="shared" si="1416"/>
        <v>28971.100492086531</v>
      </c>
      <c r="EL485" s="637">
        <f t="shared" si="1417"/>
        <v>28971.100492086491</v>
      </c>
      <c r="EM485" s="643">
        <f t="shared" si="1418"/>
        <v>28971.100492086491</v>
      </c>
      <c r="EN485" s="637">
        <f t="shared" si="1419"/>
        <v>0</v>
      </c>
      <c r="EO485" s="637">
        <f t="shared" si="1420"/>
        <v>28971.100492086491</v>
      </c>
      <c r="EP485" s="637">
        <f t="shared" si="1421"/>
        <v>28971.100492086538</v>
      </c>
      <c r="EQ485" s="643">
        <f t="shared" si="1422"/>
        <v>28971.100492086538</v>
      </c>
      <c r="ER485" s="637">
        <f t="shared" si="1423"/>
        <v>0</v>
      </c>
      <c r="ES485" s="637">
        <f t="shared" si="1424"/>
        <v>28971.100492086538</v>
      </c>
      <c r="ET485" s="637">
        <f t="shared" si="1425"/>
        <v>28971.100492086491</v>
      </c>
      <c r="EU485" s="643">
        <f t="shared" si="1401"/>
        <v>28971.100492086491</v>
      </c>
      <c r="EV485" s="643">
        <f t="shared" si="1402"/>
        <v>0</v>
      </c>
      <c r="EX485" s="829">
        <f t="shared" si="1403"/>
        <v>1719.05052763801</v>
      </c>
      <c r="EY485" s="638">
        <f t="shared" si="1404"/>
        <v>28971.100492086491</v>
      </c>
      <c r="FC485" s="830" t="str">
        <f t="shared" si="1426"/>
        <v>Y</v>
      </c>
      <c r="FE485" s="830" t="str">
        <f>IFERROR(VLOOKUP($B485,'Historical Conc Grant Elig'!$B$3:$J$707,'HH &amp; SI'!FE$2,0),"N")</f>
        <v>Y</v>
      </c>
      <c r="FF485" s="830" t="str">
        <f>IFERROR(VLOOKUP($B485,'Historical Conc Grant Elig'!$B$3:$J$707,'HH &amp; SI'!FF$2,0),"N")</f>
        <v>Y</v>
      </c>
      <c r="FG485" s="830" t="str">
        <f>IFERROR(VLOOKUP($B485,'Historical Conc Grant Elig'!$B$3:$J$707,'HH &amp; SI'!FG$2,0),"N")</f>
        <v>Y</v>
      </c>
      <c r="FH485" s="830" t="str">
        <f>IFERROR(VLOOKUP($B485,'Historical Conc Grant Elig'!$B$3:$J$707,'HH &amp; SI'!FH$2,0),"N")</f>
        <v>Y</v>
      </c>
      <c r="FI485" s="830" t="str">
        <f>IFERROR(VLOOKUP($B485,'Historical Conc Grant Elig'!$B$3:$J$707,'HH &amp; SI'!FI$2,0),"N")</f>
        <v>Y</v>
      </c>
      <c r="FJ485" s="830" t="str">
        <f>IFERROR(VLOOKUP($B485,'Historical Conc Grant Elig'!$B$3:$J$707,'HH &amp; SI'!FJ$2,0),"N")</f>
        <v>N</v>
      </c>
      <c r="FK485" s="830" t="str">
        <f>IFERROR(VLOOKUP($B485,'Historical Conc Grant Elig'!$B$3:$J$707,'HH &amp; SI'!FK$2,0),"N")</f>
        <v>N</v>
      </c>
      <c r="FL485" s="957" t="str">
        <f>IFERROR(VLOOKUP($B485,'Historical Conc Grant Elig'!$B$3:$J$707,'HH &amp; SI'!FL$2,0),"N")</f>
        <v>Y</v>
      </c>
    </row>
    <row r="486" spans="2:168" x14ac:dyDescent="0.25">
      <c r="B486" s="634">
        <v>148759000</v>
      </c>
      <c r="C486" s="635" t="str">
        <f>VLOOKUP($B486,'Afton Update'!$A$5:$CR$582,'Afton Update'!D$589,0)</f>
        <v>Juniper Tree Academy</v>
      </c>
      <c r="D486" s="636">
        <f>IFERROR(VLOOKUP($B486,'Afton FY16 Final'!$A$5:$BV$587,'Afton FY16 Final'!AQ$587,0),0)</f>
        <v>52281.718092766372</v>
      </c>
      <c r="E486" s="637">
        <f>IFERROR(VLOOKUP($B486,'Afton FY16 Final'!$A$5:$BV$587,'Afton FY16 Final'!AR$587,0),0)</f>
        <v>12540.071323660968</v>
      </c>
      <c r="F486" s="637">
        <f>IFERROR(VLOOKUP($B486,'Afton FY16 Final'!$A$5:$BV$587,'Afton FY16 Final'!AS$587,0),0)</f>
        <v>25758.436949307215</v>
      </c>
      <c r="G486" s="637">
        <f>IFERROR(VLOOKUP($B486,'Afton FY16 Final'!$A$5:$BV$587,'Afton FY16 Final'!AT$587,0),0)</f>
        <v>23615.050962246809</v>
      </c>
      <c r="H486" s="638">
        <f>IFERROR(VLOOKUP($B486,'Afton FY16 Final'!$A$5:$BV$587,'Afton FY16 Final'!AU$587,0),0)</f>
        <v>114195.27732798137</v>
      </c>
      <c r="I486" s="639" t="str">
        <f>VLOOKUP($B486,'Afton Update'!$A$5:$CR$582,'Afton Update'!BT$589,0)</f>
        <v>Y</v>
      </c>
      <c r="J486" s="640" t="str">
        <f>VLOOKUP($B486,'Afton Update'!$A$5:$CR$582,'Afton Update'!BU$589,0)</f>
        <v>Y</v>
      </c>
      <c r="K486" s="640" t="str">
        <f>VLOOKUP($B486,'Afton Update'!$A$5:$CR$582,'Afton Update'!BV$589,0)</f>
        <v>Y</v>
      </c>
      <c r="L486" s="641" t="str">
        <f>VLOOKUP($B486,'Afton Update'!$A$5:$CR$582,'Afton Update'!BW$589,0)</f>
        <v>Y</v>
      </c>
      <c r="N486" s="642">
        <f>VLOOKUP($B486,'Afton Update'!$A$5:$CR$582,'Afton Update'!CB$589,0)</f>
        <v>0.9</v>
      </c>
      <c r="P486" s="636">
        <f>VLOOKUP($B486,'Afton Update'!$A$5:$CR$582,'Afton Update'!AH$589,0)</f>
        <v>82237.32239737692</v>
      </c>
      <c r="Q486" s="637">
        <f>VLOOKUP($B486,'Afton Update'!$A$5:$CR$582,'Afton Update'!AI$589,0)</f>
        <v>19928.943369260236</v>
      </c>
      <c r="R486" s="637">
        <f>VLOOKUP($B486,'Afton Update'!$A$5:$CR$582,'Afton Update'!AJ$589,0)</f>
        <v>42056.163653030759</v>
      </c>
      <c r="S486" s="637">
        <f>VLOOKUP($B486,'Afton Update'!$A$5:$CR$582,'Afton Update'!AK$589,0)</f>
        <v>38251.171603760464</v>
      </c>
      <c r="T486" s="643">
        <f t="shared" si="1430"/>
        <v>182473.60102342837</v>
      </c>
      <c r="V486" s="636">
        <f t="shared" si="1456"/>
        <v>81115.551942618942</v>
      </c>
      <c r="W486" s="637">
        <f t="shared" si="1457"/>
        <v>19272.556836792199</v>
      </c>
      <c r="X486" s="637">
        <f t="shared" si="1458"/>
        <v>41673.679264814687</v>
      </c>
      <c r="Y486" s="637">
        <f t="shared" si="1459"/>
        <v>37829.71254831316</v>
      </c>
      <c r="Z486" s="643">
        <f t="shared" si="1460"/>
        <v>179891.500592539</v>
      </c>
      <c r="AB486" s="644">
        <f t="shared" si="1431"/>
        <v>82237.32239737692</v>
      </c>
      <c r="AC486" s="645">
        <f t="shared" si="1427"/>
        <v>47053.546283489733</v>
      </c>
      <c r="AD486" s="644">
        <f t="shared" si="1461"/>
        <v>0</v>
      </c>
      <c r="AE486" s="645">
        <f t="shared" si="1462"/>
        <v>82237.32239737692</v>
      </c>
      <c r="AF486" s="646">
        <f t="shared" si="1463"/>
        <v>-1019.3934108181909</v>
      </c>
      <c r="AG486" s="647">
        <f t="shared" si="1464"/>
        <v>81217.928986558734</v>
      </c>
      <c r="AH486" s="644">
        <f t="shared" si="1432"/>
        <v>0</v>
      </c>
      <c r="AI486" s="645">
        <f t="shared" si="1433"/>
        <v>81217.928986558734</v>
      </c>
      <c r="AJ486" s="646">
        <f t="shared" si="1465"/>
        <v>-102.31181983953906</v>
      </c>
      <c r="AK486" s="647">
        <f t="shared" si="1434"/>
        <v>81115.617166719196</v>
      </c>
      <c r="AL486" s="644">
        <f t="shared" si="1466"/>
        <v>0</v>
      </c>
      <c r="AM486" s="645">
        <f t="shared" si="1467"/>
        <v>81115.617166719196</v>
      </c>
      <c r="AN486" s="646">
        <f t="shared" si="1468"/>
        <v>-6.5224100250411712E-2</v>
      </c>
      <c r="AO486" s="647">
        <f t="shared" si="1435"/>
        <v>81115.551942618942</v>
      </c>
      <c r="AP486" s="644">
        <f t="shared" si="1469"/>
        <v>0</v>
      </c>
      <c r="AQ486" s="645">
        <f t="shared" si="1470"/>
        <v>81115.551942618942</v>
      </c>
      <c r="AR486" s="646">
        <f t="shared" si="1471"/>
        <v>0</v>
      </c>
      <c r="AS486" s="647">
        <f t="shared" si="1436"/>
        <v>81115.551942618942</v>
      </c>
      <c r="AT486" s="644">
        <f t="shared" si="1472"/>
        <v>0</v>
      </c>
      <c r="AU486" s="645">
        <f t="shared" si="1473"/>
        <v>81115.551942618942</v>
      </c>
      <c r="AV486" s="646">
        <f t="shared" si="1474"/>
        <v>0</v>
      </c>
      <c r="AW486" s="647">
        <f t="shared" si="1437"/>
        <v>81115.551942618942</v>
      </c>
      <c r="AY486" s="644">
        <f t="shared" si="1475"/>
        <v>19928.943369260236</v>
      </c>
      <c r="AZ486" s="645">
        <f t="shared" si="1405"/>
        <v>11286.064191294872</v>
      </c>
      <c r="BA486" s="644">
        <f t="shared" si="1476"/>
        <v>0</v>
      </c>
      <c r="BB486" s="645">
        <f t="shared" si="1477"/>
        <v>19928.943369260236</v>
      </c>
      <c r="BC486" s="646">
        <f t="shared" si="1478"/>
        <v>-143.3148396691702</v>
      </c>
      <c r="BD486" s="647">
        <f t="shared" si="1479"/>
        <v>19785.628529591067</v>
      </c>
      <c r="BE486" s="644">
        <f t="shared" si="1438"/>
        <v>0</v>
      </c>
      <c r="BF486" s="645">
        <f t="shared" si="1439"/>
        <v>19785.628529591067</v>
      </c>
      <c r="BG486" s="646">
        <f t="shared" si="1480"/>
        <v>-471.27754745086662</v>
      </c>
      <c r="BH486" s="647">
        <f t="shared" si="1440"/>
        <v>19314.3509821402</v>
      </c>
      <c r="BI486" s="644">
        <f t="shared" si="1481"/>
        <v>0</v>
      </c>
      <c r="BJ486" s="645">
        <f t="shared" si="1482"/>
        <v>19314.3509821402</v>
      </c>
      <c r="BK486" s="646">
        <f t="shared" si="1483"/>
        <v>-40.912331780592361</v>
      </c>
      <c r="BL486" s="647">
        <f t="shared" si="1441"/>
        <v>19273.438650359607</v>
      </c>
      <c r="BM486" s="644">
        <f t="shared" si="1484"/>
        <v>0</v>
      </c>
      <c r="BN486" s="645">
        <f t="shared" si="1485"/>
        <v>19273.438650359607</v>
      </c>
      <c r="BO486" s="646">
        <f t="shared" si="1486"/>
        <v>-0.88181356740695671</v>
      </c>
      <c r="BP486" s="647">
        <f t="shared" si="1442"/>
        <v>19272.556836792199</v>
      </c>
      <c r="BQ486" s="644">
        <f t="shared" si="1487"/>
        <v>0</v>
      </c>
      <c r="BR486" s="645">
        <f t="shared" si="1488"/>
        <v>19272.556836792199</v>
      </c>
      <c r="BS486" s="646">
        <f t="shared" si="1489"/>
        <v>0</v>
      </c>
      <c r="BT486" s="647">
        <f t="shared" si="1443"/>
        <v>19272.556836792199</v>
      </c>
      <c r="BU486" s="662">
        <f>VLOOKUP(B486,'Afton Update'!$A$5:$AR$582,'Afton Update'!$AO$589,0)-BT486</f>
        <v>0</v>
      </c>
      <c r="BV486" s="644">
        <f t="shared" si="1490"/>
        <v>42056.163653030759</v>
      </c>
      <c r="BW486" s="645">
        <f t="shared" si="1428"/>
        <v>23182.593254376494</v>
      </c>
      <c r="BX486" s="644">
        <f t="shared" si="1491"/>
        <v>0</v>
      </c>
      <c r="BY486" s="645">
        <f t="shared" si="1492"/>
        <v>42056.163653030759</v>
      </c>
      <c r="BZ486" s="646">
        <f t="shared" si="1493"/>
        <v>-369.1314197440185</v>
      </c>
      <c r="CA486" s="647">
        <f t="shared" si="1494"/>
        <v>41687.032233286744</v>
      </c>
      <c r="CB486" s="644">
        <f t="shared" si="1444"/>
        <v>0</v>
      </c>
      <c r="CC486" s="645">
        <f t="shared" si="1445"/>
        <v>41687.032233286744</v>
      </c>
      <c r="CD486" s="646">
        <f t="shared" si="1495"/>
        <v>-13.352968472052583</v>
      </c>
      <c r="CE486" s="647">
        <f t="shared" si="1446"/>
        <v>41673.679264814687</v>
      </c>
      <c r="CF486" s="644">
        <f t="shared" si="1496"/>
        <v>0</v>
      </c>
      <c r="CG486" s="645">
        <f t="shared" si="1497"/>
        <v>41673.679264814687</v>
      </c>
      <c r="CH486" s="646">
        <f t="shared" si="1498"/>
        <v>0</v>
      </c>
      <c r="CI486" s="647">
        <f t="shared" si="1447"/>
        <v>41673.679264814687</v>
      </c>
      <c r="CJ486" s="644">
        <f t="shared" si="1499"/>
        <v>0</v>
      </c>
      <c r="CK486" s="645">
        <f t="shared" si="1500"/>
        <v>41673.679264814687</v>
      </c>
      <c r="CL486" s="646">
        <f t="shared" si="1501"/>
        <v>0</v>
      </c>
      <c r="CM486" s="647">
        <f t="shared" si="1448"/>
        <v>41673.679264814687</v>
      </c>
      <c r="CN486" s="644">
        <f t="shared" si="1502"/>
        <v>0</v>
      </c>
      <c r="CO486" s="645">
        <f t="shared" si="1503"/>
        <v>41673.679264814687</v>
      </c>
      <c r="CP486" s="646">
        <f t="shared" si="1504"/>
        <v>0</v>
      </c>
      <c r="CQ486" s="647">
        <f t="shared" si="1449"/>
        <v>41673.679264814687</v>
      </c>
      <c r="CS486" s="644">
        <f t="shared" si="1505"/>
        <v>38251.171603760464</v>
      </c>
      <c r="CT486" s="645">
        <f t="shared" si="1429"/>
        <v>21253.54586602213</v>
      </c>
      <c r="CU486" s="644">
        <f t="shared" si="1506"/>
        <v>0</v>
      </c>
      <c r="CV486" s="645">
        <f t="shared" si="1507"/>
        <v>38251.171603760464</v>
      </c>
      <c r="CW486" s="646">
        <f t="shared" si="1508"/>
        <v>-391.71361380017663</v>
      </c>
      <c r="CX486" s="647">
        <f t="shared" si="1509"/>
        <v>37859.45798996029</v>
      </c>
      <c r="CY486" s="644">
        <f t="shared" si="1450"/>
        <v>0</v>
      </c>
      <c r="CZ486" s="645">
        <f t="shared" si="1451"/>
        <v>37859.45798996029</v>
      </c>
      <c r="DA486" s="646">
        <f t="shared" si="1510"/>
        <v>-29.719812010946146</v>
      </c>
      <c r="DB486" s="647">
        <f t="shared" si="1452"/>
        <v>37829.738177949344</v>
      </c>
      <c r="DC486" s="644">
        <f t="shared" si="1511"/>
        <v>0</v>
      </c>
      <c r="DD486" s="645">
        <f t="shared" si="1512"/>
        <v>37829.738177949344</v>
      </c>
      <c r="DE486" s="646">
        <f t="shared" si="1513"/>
        <v>-2.5629636186400559E-2</v>
      </c>
      <c r="DF486" s="647">
        <f t="shared" si="1453"/>
        <v>37829.71254831316</v>
      </c>
      <c r="DG486" s="644">
        <f t="shared" si="1514"/>
        <v>0</v>
      </c>
      <c r="DH486" s="645">
        <f t="shared" si="1515"/>
        <v>37829.71254831316</v>
      </c>
      <c r="DI486" s="646">
        <f t="shared" si="1516"/>
        <v>0</v>
      </c>
      <c r="DJ486" s="647">
        <f t="shared" si="1454"/>
        <v>37829.71254831316</v>
      </c>
      <c r="DK486" s="644">
        <f t="shared" si="1517"/>
        <v>0</v>
      </c>
      <c r="DL486" s="645">
        <f t="shared" si="1518"/>
        <v>37829.71254831316</v>
      </c>
      <c r="DM486" s="646">
        <f t="shared" si="1519"/>
        <v>0</v>
      </c>
      <c r="DN486" s="647">
        <f t="shared" si="1455"/>
        <v>37829.71254831316</v>
      </c>
      <c r="DR486" s="827">
        <f t="shared" si="1406"/>
        <v>179891.500592539</v>
      </c>
      <c r="DV486" s="828">
        <f>IFERROR(VLOOKUP($B486,'Afton FY16 Final'!$A$5:$BV$587,'Afton FY16 Final'!$BV$587,0),0)</f>
        <v>111946.77233630516</v>
      </c>
      <c r="DX486" s="636">
        <f t="shared" si="1397"/>
        <v>179891.500592539</v>
      </c>
      <c r="DY486" s="637">
        <f t="shared" si="1398"/>
        <v>67944.728256233837</v>
      </c>
      <c r="DZ486" s="637">
        <f t="shared" si="1399"/>
        <v>111946.77233630516</v>
      </c>
      <c r="EA486" s="643">
        <f t="shared" si="1400"/>
        <v>170323.2888771912</v>
      </c>
      <c r="EB486" s="637">
        <f t="shared" si="1407"/>
        <v>0</v>
      </c>
      <c r="EC486" s="637">
        <f t="shared" si="1408"/>
        <v>170323.2888771912</v>
      </c>
      <c r="ED486" s="637">
        <f t="shared" si="1409"/>
        <v>169815.39499937568</v>
      </c>
      <c r="EE486" s="643">
        <f t="shared" si="1410"/>
        <v>169815.39499937568</v>
      </c>
      <c r="EF486" s="637">
        <f t="shared" si="1411"/>
        <v>0</v>
      </c>
      <c r="EG486" s="637">
        <f t="shared" si="1412"/>
        <v>169815.39499937568</v>
      </c>
      <c r="EH486" s="637">
        <f t="shared" si="1413"/>
        <v>169815.21980746105</v>
      </c>
      <c r="EI486" s="643">
        <f t="shared" si="1414"/>
        <v>169815.21980746105</v>
      </c>
      <c r="EJ486" s="637">
        <f t="shared" si="1415"/>
        <v>0</v>
      </c>
      <c r="EK486" s="637">
        <f t="shared" si="1416"/>
        <v>169815.21980746105</v>
      </c>
      <c r="EL486" s="637">
        <f t="shared" si="1417"/>
        <v>169815.21980746079</v>
      </c>
      <c r="EM486" s="643">
        <f t="shared" si="1418"/>
        <v>169815.21980746079</v>
      </c>
      <c r="EN486" s="637">
        <f t="shared" si="1419"/>
        <v>0</v>
      </c>
      <c r="EO486" s="637">
        <f t="shared" si="1420"/>
        <v>169815.21980746079</v>
      </c>
      <c r="EP486" s="637">
        <f t="shared" si="1421"/>
        <v>169815.21980746105</v>
      </c>
      <c r="EQ486" s="643">
        <f t="shared" si="1422"/>
        <v>169815.21980746105</v>
      </c>
      <c r="ER486" s="637">
        <f t="shared" si="1423"/>
        <v>0</v>
      </c>
      <c r="ES486" s="637">
        <f t="shared" si="1424"/>
        <v>169815.21980746105</v>
      </c>
      <c r="ET486" s="637">
        <f t="shared" si="1425"/>
        <v>169815.21980746079</v>
      </c>
      <c r="EU486" s="643">
        <f t="shared" si="1401"/>
        <v>169815.21980746079</v>
      </c>
      <c r="EV486" s="643">
        <f t="shared" si="1402"/>
        <v>0</v>
      </c>
      <c r="EX486" s="829">
        <f t="shared" si="1403"/>
        <v>10076.280785078212</v>
      </c>
      <c r="EY486" s="638">
        <f t="shared" si="1404"/>
        <v>169815.21980746079</v>
      </c>
      <c r="FC486" s="830" t="str">
        <f t="shared" si="1426"/>
        <v>Y</v>
      </c>
      <c r="FE486" s="830" t="str">
        <f>IFERROR(VLOOKUP($B486,'Historical Conc Grant Elig'!$B$3:$J$707,'HH &amp; SI'!FE$2,0),"N")</f>
        <v>Y</v>
      </c>
      <c r="FF486" s="830" t="str">
        <f>IFERROR(VLOOKUP($B486,'Historical Conc Grant Elig'!$B$3:$J$707,'HH &amp; SI'!FF$2,0),"N")</f>
        <v>Y</v>
      </c>
      <c r="FG486" s="830" t="str">
        <f>IFERROR(VLOOKUP($B486,'Historical Conc Grant Elig'!$B$3:$J$707,'HH &amp; SI'!FG$2,0),"N")</f>
        <v>Y</v>
      </c>
      <c r="FH486" s="830" t="str">
        <f>IFERROR(VLOOKUP($B486,'Historical Conc Grant Elig'!$B$3:$J$707,'HH &amp; SI'!FH$2,0),"N")</f>
        <v>Y</v>
      </c>
      <c r="FI486" s="830" t="str">
        <f>IFERROR(VLOOKUP($B486,'Historical Conc Grant Elig'!$B$3:$J$707,'HH &amp; SI'!FI$2,0),"N")</f>
        <v>Y</v>
      </c>
      <c r="FJ486" s="830" t="str">
        <f>IFERROR(VLOOKUP($B486,'Historical Conc Grant Elig'!$B$3:$J$707,'HH &amp; SI'!FJ$2,0),"N")</f>
        <v>Y</v>
      </c>
      <c r="FK486" s="830" t="str">
        <f>IFERROR(VLOOKUP($B486,'Historical Conc Grant Elig'!$B$3:$J$707,'HH &amp; SI'!FK$2,0),"N")</f>
        <v>Y</v>
      </c>
      <c r="FL486" s="957" t="str">
        <f>IFERROR(VLOOKUP($B486,'Historical Conc Grant Elig'!$B$3:$J$707,'HH &amp; SI'!FL$2,0),"N")</f>
        <v>Y</v>
      </c>
    </row>
    <row r="487" spans="2:168" x14ac:dyDescent="0.25">
      <c r="B487" s="634">
        <v>148760000</v>
      </c>
      <c r="C487" s="635" t="str">
        <f>VLOOKUP($B487,'Afton Update'!$A$5:$CR$582,'Afton Update'!D$589,0)</f>
        <v>Harvest Power Community Development Group  Inc.</v>
      </c>
      <c r="D487" s="636">
        <f>IFERROR(VLOOKUP($B487,'Afton FY16 Final'!$A$5:$BV$587,'Afton FY16 Final'!AQ$587,0),0)</f>
        <v>291306.69836397655</v>
      </c>
      <c r="E487" s="637">
        <f>IFERROR(VLOOKUP($B487,'Afton FY16 Final'!$A$5:$BV$587,'Afton FY16 Final'!AR$587,0),0)</f>
        <v>69871.590066392295</v>
      </c>
      <c r="F487" s="637">
        <f>IFERROR(VLOOKUP($B487,'Afton FY16 Final'!$A$5:$BV$587,'Afton FY16 Final'!AS$587,0),0)</f>
        <v>143522.5447144885</v>
      </c>
      <c r="G487" s="637">
        <f>IFERROR(VLOOKUP($B487,'Afton FY16 Final'!$A$5:$BV$587,'Afton FY16 Final'!AT$587,0),0)</f>
        <v>131579.88640126502</v>
      </c>
      <c r="H487" s="638">
        <f>IFERROR(VLOOKUP($B487,'Afton FY16 Final'!$A$5:$BV$587,'Afton FY16 Final'!AU$587,0),0)</f>
        <v>636280.71954612236</v>
      </c>
      <c r="I487" s="639" t="str">
        <f>VLOOKUP($B487,'Afton Update'!$A$5:$CR$582,'Afton Update'!BT$589,0)</f>
        <v>Y</v>
      </c>
      <c r="J487" s="640" t="str">
        <f>VLOOKUP($B487,'Afton Update'!$A$5:$CR$582,'Afton Update'!BU$589,0)</f>
        <v>Y</v>
      </c>
      <c r="K487" s="640" t="str">
        <f>VLOOKUP($B487,'Afton Update'!$A$5:$CR$582,'Afton Update'!BV$589,0)</f>
        <v>Y</v>
      </c>
      <c r="L487" s="641" t="str">
        <f>VLOOKUP($B487,'Afton Update'!$A$5:$CR$582,'Afton Update'!BW$589,0)</f>
        <v>Y</v>
      </c>
      <c r="N487" s="642">
        <f>VLOOKUP($B487,'Afton Update'!$A$5:$CR$582,'Afton Update'!CB$589,0)</f>
        <v>0.95</v>
      </c>
      <c r="P487" s="636">
        <f>VLOOKUP($B487,'Afton Update'!$A$5:$CR$582,'Afton Update'!AH$589,0)</f>
        <v>326574.98369352042</v>
      </c>
      <c r="Q487" s="637">
        <f>VLOOKUP($B487,'Afton Update'!$A$5:$CR$582,'Afton Update'!AI$589,0)</f>
        <v>79140.397159293279</v>
      </c>
      <c r="R487" s="637">
        <f>VLOOKUP($B487,'Afton Update'!$A$5:$CR$582,'Afton Update'!AJ$589,0)</f>
        <v>167010.43466413527</v>
      </c>
      <c r="S487" s="637">
        <f>VLOOKUP($B487,'Afton Update'!$A$5:$CR$582,'Afton Update'!AK$589,0)</f>
        <v>151900.32188055009</v>
      </c>
      <c r="T487" s="643">
        <f t="shared" si="1430"/>
        <v>724626.13739749906</v>
      </c>
      <c r="V487" s="636">
        <f t="shared" si="1456"/>
        <v>322120.28894798545</v>
      </c>
      <c r="W487" s="637">
        <f t="shared" si="1457"/>
        <v>76533.80182169711</v>
      </c>
      <c r="X487" s="637">
        <f t="shared" si="1458"/>
        <v>165491.53996762368</v>
      </c>
      <c r="Y487" s="637">
        <f t="shared" si="1459"/>
        <v>150226.65376797324</v>
      </c>
      <c r="Z487" s="643">
        <f t="shared" si="1460"/>
        <v>714372.2845052795</v>
      </c>
      <c r="AB487" s="644">
        <f t="shared" si="1431"/>
        <v>326574.98369352042</v>
      </c>
      <c r="AC487" s="645">
        <f t="shared" si="1427"/>
        <v>276741.36344577774</v>
      </c>
      <c r="AD487" s="644">
        <f t="shared" si="1461"/>
        <v>0</v>
      </c>
      <c r="AE487" s="645">
        <f t="shared" si="1462"/>
        <v>326574.98369352042</v>
      </c>
      <c r="AF487" s="646">
        <f t="shared" si="1463"/>
        <v>-4048.1423374486158</v>
      </c>
      <c r="AG487" s="647">
        <f t="shared" si="1464"/>
        <v>322526.84135607182</v>
      </c>
      <c r="AH487" s="644">
        <f t="shared" si="1432"/>
        <v>0</v>
      </c>
      <c r="AI487" s="645">
        <f t="shared" si="1433"/>
        <v>322526.84135607182</v>
      </c>
      <c r="AJ487" s="646">
        <f t="shared" si="1465"/>
        <v>-406.29339479585985</v>
      </c>
      <c r="AK487" s="647">
        <f t="shared" si="1434"/>
        <v>322120.54796127597</v>
      </c>
      <c r="AL487" s="644">
        <f t="shared" si="1466"/>
        <v>0</v>
      </c>
      <c r="AM487" s="645">
        <f t="shared" si="1467"/>
        <v>322120.54796127597</v>
      </c>
      <c r="AN487" s="646">
        <f t="shared" si="1468"/>
        <v>-0.25901329049572941</v>
      </c>
      <c r="AO487" s="647">
        <f t="shared" si="1435"/>
        <v>322120.28894798545</v>
      </c>
      <c r="AP487" s="644">
        <f t="shared" si="1469"/>
        <v>0</v>
      </c>
      <c r="AQ487" s="645">
        <f t="shared" si="1470"/>
        <v>322120.28894798545</v>
      </c>
      <c r="AR487" s="646">
        <f t="shared" si="1471"/>
        <v>0</v>
      </c>
      <c r="AS487" s="647">
        <f t="shared" si="1436"/>
        <v>322120.28894798545</v>
      </c>
      <c r="AT487" s="644">
        <f t="shared" si="1472"/>
        <v>0</v>
      </c>
      <c r="AU487" s="645">
        <f t="shared" si="1473"/>
        <v>322120.28894798545</v>
      </c>
      <c r="AV487" s="646">
        <f t="shared" si="1474"/>
        <v>0</v>
      </c>
      <c r="AW487" s="647">
        <f t="shared" si="1437"/>
        <v>322120.28894798545</v>
      </c>
      <c r="AY487" s="644">
        <f t="shared" si="1475"/>
        <v>79140.397159293279</v>
      </c>
      <c r="AZ487" s="645">
        <f t="shared" si="1405"/>
        <v>66378.010563072676</v>
      </c>
      <c r="BA487" s="644">
        <f t="shared" si="1476"/>
        <v>0</v>
      </c>
      <c r="BB487" s="645">
        <f t="shared" si="1477"/>
        <v>79140.397159293279</v>
      </c>
      <c r="BC487" s="646">
        <f t="shared" si="1478"/>
        <v>-569.12165989358152</v>
      </c>
      <c r="BD487" s="647">
        <f t="shared" si="1479"/>
        <v>78571.275499399693</v>
      </c>
      <c r="BE487" s="644">
        <f t="shared" si="1438"/>
        <v>0</v>
      </c>
      <c r="BF487" s="645">
        <f t="shared" si="1439"/>
        <v>78571.275499399693</v>
      </c>
      <c r="BG487" s="646">
        <f t="shared" si="1480"/>
        <v>-1871.5037514256196</v>
      </c>
      <c r="BH487" s="647">
        <f t="shared" si="1440"/>
        <v>76699.771747974068</v>
      </c>
      <c r="BI487" s="644">
        <f t="shared" si="1481"/>
        <v>0</v>
      </c>
      <c r="BJ487" s="645">
        <f t="shared" si="1482"/>
        <v>76699.771747974068</v>
      </c>
      <c r="BK487" s="646">
        <f t="shared" si="1483"/>
        <v>-162.46813119169613</v>
      </c>
      <c r="BL487" s="647">
        <f t="shared" si="1441"/>
        <v>76537.303616782374</v>
      </c>
      <c r="BM487" s="644">
        <f t="shared" si="1484"/>
        <v>0</v>
      </c>
      <c r="BN487" s="645">
        <f t="shared" si="1485"/>
        <v>76537.303616782374</v>
      </c>
      <c r="BO487" s="646">
        <f t="shared" si="1486"/>
        <v>-3.5017950852669961</v>
      </c>
      <c r="BP487" s="647">
        <f t="shared" si="1442"/>
        <v>76533.80182169711</v>
      </c>
      <c r="BQ487" s="644">
        <f t="shared" si="1487"/>
        <v>0</v>
      </c>
      <c r="BR487" s="645">
        <f t="shared" si="1488"/>
        <v>76533.80182169711</v>
      </c>
      <c r="BS487" s="646">
        <f t="shared" si="1489"/>
        <v>0</v>
      </c>
      <c r="BT487" s="647">
        <f t="shared" si="1443"/>
        <v>76533.80182169711</v>
      </c>
      <c r="BU487" s="662">
        <f>VLOOKUP(B487,'Afton Update'!$A$5:$AR$582,'Afton Update'!$AO$589,0)-BT487</f>
        <v>0</v>
      </c>
      <c r="BV487" s="644">
        <f t="shared" si="1490"/>
        <v>167010.43466413527</v>
      </c>
      <c r="BW487" s="645">
        <f t="shared" si="1428"/>
        <v>136346.41747876405</v>
      </c>
      <c r="BX487" s="644">
        <f t="shared" si="1491"/>
        <v>0</v>
      </c>
      <c r="BY487" s="645">
        <f t="shared" si="1492"/>
        <v>167010.43466413527</v>
      </c>
      <c r="BZ487" s="646">
        <f t="shared" si="1493"/>
        <v>-1465.8683413981628</v>
      </c>
      <c r="CA487" s="647">
        <f t="shared" si="1494"/>
        <v>165544.56632273711</v>
      </c>
      <c r="CB487" s="644">
        <f t="shared" si="1444"/>
        <v>0</v>
      </c>
      <c r="CC487" s="645">
        <f t="shared" si="1445"/>
        <v>165544.56632273711</v>
      </c>
      <c r="CD487" s="646">
        <f t="shared" si="1495"/>
        <v>-53.026355113426654</v>
      </c>
      <c r="CE487" s="647">
        <f t="shared" si="1446"/>
        <v>165491.53996762368</v>
      </c>
      <c r="CF487" s="644">
        <f t="shared" si="1496"/>
        <v>0</v>
      </c>
      <c r="CG487" s="645">
        <f t="shared" si="1497"/>
        <v>165491.53996762368</v>
      </c>
      <c r="CH487" s="646">
        <f t="shared" si="1498"/>
        <v>0</v>
      </c>
      <c r="CI487" s="647">
        <f t="shared" si="1447"/>
        <v>165491.53996762368</v>
      </c>
      <c r="CJ487" s="644">
        <f t="shared" si="1499"/>
        <v>0</v>
      </c>
      <c r="CK487" s="645">
        <f t="shared" si="1500"/>
        <v>165491.53996762368</v>
      </c>
      <c r="CL487" s="646">
        <f t="shared" si="1501"/>
        <v>0</v>
      </c>
      <c r="CM487" s="647">
        <f t="shared" si="1448"/>
        <v>165491.53996762368</v>
      </c>
      <c r="CN487" s="644">
        <f t="shared" si="1502"/>
        <v>0</v>
      </c>
      <c r="CO487" s="645">
        <f t="shared" si="1503"/>
        <v>165491.53996762368</v>
      </c>
      <c r="CP487" s="646">
        <f t="shared" si="1504"/>
        <v>0</v>
      </c>
      <c r="CQ487" s="647">
        <f t="shared" si="1449"/>
        <v>165491.53996762368</v>
      </c>
      <c r="CS487" s="644">
        <f t="shared" si="1505"/>
        <v>151900.32188055009</v>
      </c>
      <c r="CT487" s="645">
        <f t="shared" si="1429"/>
        <v>125000.89208120176</v>
      </c>
      <c r="CU487" s="644">
        <f t="shared" si="1506"/>
        <v>0</v>
      </c>
      <c r="CV487" s="645">
        <f t="shared" si="1507"/>
        <v>151900.32188055009</v>
      </c>
      <c r="CW487" s="646">
        <f t="shared" si="1508"/>
        <v>-1555.5451382668432</v>
      </c>
      <c r="CX487" s="647">
        <f t="shared" si="1509"/>
        <v>150344.77674228325</v>
      </c>
      <c r="CY487" s="644">
        <f t="shared" si="1450"/>
        <v>0</v>
      </c>
      <c r="CZ487" s="645">
        <f t="shared" si="1451"/>
        <v>150344.77674228325</v>
      </c>
      <c r="DA487" s="646">
        <f t="shared" si="1510"/>
        <v>-118.02119572850795</v>
      </c>
      <c r="DB487" s="647">
        <f t="shared" si="1452"/>
        <v>150226.75554655475</v>
      </c>
      <c r="DC487" s="644">
        <f t="shared" si="1511"/>
        <v>0</v>
      </c>
      <c r="DD487" s="645">
        <f t="shared" si="1512"/>
        <v>150226.75554655475</v>
      </c>
      <c r="DE487" s="646">
        <f t="shared" si="1513"/>
        <v>-0.10177858149612611</v>
      </c>
      <c r="DF487" s="647">
        <f t="shared" si="1453"/>
        <v>150226.65376797324</v>
      </c>
      <c r="DG487" s="644">
        <f t="shared" si="1514"/>
        <v>0</v>
      </c>
      <c r="DH487" s="645">
        <f t="shared" si="1515"/>
        <v>150226.65376797324</v>
      </c>
      <c r="DI487" s="646">
        <f t="shared" si="1516"/>
        <v>0</v>
      </c>
      <c r="DJ487" s="647">
        <f t="shared" si="1454"/>
        <v>150226.65376797324</v>
      </c>
      <c r="DK487" s="644">
        <f t="shared" si="1517"/>
        <v>0</v>
      </c>
      <c r="DL487" s="645">
        <f t="shared" si="1518"/>
        <v>150226.65376797324</v>
      </c>
      <c r="DM487" s="646">
        <f t="shared" si="1519"/>
        <v>0</v>
      </c>
      <c r="DN487" s="647">
        <f t="shared" si="1455"/>
        <v>150226.65376797324</v>
      </c>
      <c r="DR487" s="827">
        <f t="shared" ref="DR487:DR494" si="1520">Z487</f>
        <v>714372.2845052795</v>
      </c>
      <c r="DV487" s="828">
        <f>IFERROR(VLOOKUP($B487,'Afton FY16 Final'!$A$5:$BV$587,'Afton FY16 Final'!$BV$587,0),0)</f>
        <v>564909.35257492226</v>
      </c>
      <c r="DX487" s="636">
        <f t="shared" ref="DX487:DX494" si="1521">IF(DR487&gt;DV487,DR487,0)</f>
        <v>714372.2845052795</v>
      </c>
      <c r="DY487" s="637">
        <f t="shared" ref="DY487:DY494" si="1522">IF(DX487&gt;0,DX487-DV487,0)</f>
        <v>149462.93193035724</v>
      </c>
      <c r="DZ487" s="637">
        <f t="shared" ref="DZ487:DZ494" si="1523">IF(DX487=0,0,DV487)</f>
        <v>564909.35257492226</v>
      </c>
      <c r="EA487" s="643">
        <f t="shared" ref="EA487:EA494" si="1524">DX487/$DX$2*$EA$2</f>
        <v>676375.6852262211</v>
      </c>
      <c r="EB487" s="637">
        <f t="shared" ref="EB487:EB494" si="1525">IF(EA487&lt;$DZ487,$DZ487,0)</f>
        <v>0</v>
      </c>
      <c r="EC487" s="637">
        <f t="shared" ref="EC487:EC494" si="1526">IF(EB487=0,EA487,0)</f>
        <v>676375.6852262211</v>
      </c>
      <c r="ED487" s="637">
        <f t="shared" ref="ED487:ED494" si="1527">EC487/EC$2*ED$2</f>
        <v>674358.77331773064</v>
      </c>
      <c r="EE487" s="643">
        <f t="shared" ref="EE487:EE494" si="1528">ED487+EB487</f>
        <v>674358.77331773064</v>
      </c>
      <c r="EF487" s="637">
        <f t="shared" ref="EF487:EF494" si="1529">IF(EE487&lt;$DZ487,$DZ487,0)</f>
        <v>0</v>
      </c>
      <c r="EG487" s="637">
        <f t="shared" ref="EG487:EG494" si="1530">IF(EB487+EF487=0,EE487,0)</f>
        <v>674358.77331773064</v>
      </c>
      <c r="EH487" s="637">
        <f t="shared" ref="EH487:EH494" si="1531">EG487/EG$2*EH$2</f>
        <v>674358.07760810631</v>
      </c>
      <c r="EI487" s="643">
        <f t="shared" ref="EI487:EI494" si="1532">EH487+EF487+EB487</f>
        <v>674358.07760810631</v>
      </c>
      <c r="EJ487" s="637">
        <f t="shared" ref="EJ487:EJ494" si="1533">IF(EI487&lt;$DZ487,$DZ487,0)</f>
        <v>0</v>
      </c>
      <c r="EK487" s="637">
        <f t="shared" ref="EK487:EK494" si="1534">IF($EB487+$EF487+$EJ487=0,EI487,0)</f>
        <v>674358.07760810631</v>
      </c>
      <c r="EL487" s="637">
        <f t="shared" ref="EL487:EL494" si="1535">EK487/EK$2*EL$2</f>
        <v>674358.07760810538</v>
      </c>
      <c r="EM487" s="643">
        <f t="shared" ref="EM487:EM494" si="1536">$EJ487+$EF487+$EB487+EL487</f>
        <v>674358.07760810538</v>
      </c>
      <c r="EN487" s="637">
        <f t="shared" ref="EN487:EN494" si="1537">IF(EM487&lt;$DZ487,$DZ487,0)</f>
        <v>0</v>
      </c>
      <c r="EO487" s="637">
        <f t="shared" ref="EO487:EO494" si="1538">IF($EB487+$EF487+$EJ487+EN487=0,EM487,0)</f>
        <v>674358.07760810538</v>
      </c>
      <c r="EP487" s="637">
        <f t="shared" ref="EP487:EP494" si="1539">EO487/EO$2*EP$2</f>
        <v>674358.07760810643</v>
      </c>
      <c r="EQ487" s="643">
        <f t="shared" ref="EQ487:EQ494" si="1540">$EJ487+$EF487+$EB487+EP487+EN487</f>
        <v>674358.07760810643</v>
      </c>
      <c r="ER487" s="637">
        <f t="shared" ref="ER487:ER494" si="1541">IF(EQ487&lt;$DZ487,$DZ487,0)</f>
        <v>0</v>
      </c>
      <c r="ES487" s="637">
        <f t="shared" ref="ES487:ES494" si="1542">IF($EB487+$EF487+$EJ487+EN487+ER487=0,EQ487,0)</f>
        <v>674358.07760810643</v>
      </c>
      <c r="ET487" s="637">
        <f t="shared" ref="ET487:ET494" si="1543">ES487/ES$2*ET$2</f>
        <v>674358.07760810538</v>
      </c>
      <c r="EU487" s="643">
        <f t="shared" ref="EU487:EU494" si="1544">$EJ487+$EF487+$EB487+ET487+ER487+EN487</f>
        <v>674358.07760810538</v>
      </c>
      <c r="EV487" s="643">
        <f t="shared" ref="EV487:EV494" si="1545">IF(EU487&lt;$DZ487,$DZ487,0)</f>
        <v>0</v>
      </c>
      <c r="EX487" s="829">
        <f t="shared" ref="EX487:EX494" si="1546">IF(EU487=0,0,DR487-EU487)</f>
        <v>40014.206897174125</v>
      </c>
      <c r="EY487" s="638">
        <f t="shared" ref="EY487:EY494" si="1547">IF(EU487=0,DR487,EU487)</f>
        <v>674358.07760810538</v>
      </c>
      <c r="FC487" s="830" t="str">
        <f t="shared" si="1426"/>
        <v>Y</v>
      </c>
      <c r="FE487" s="830" t="str">
        <f>IFERROR(VLOOKUP($B487,'Historical Conc Grant Elig'!$B$3:$J$707,'HH &amp; SI'!FE$2,0),"N")</f>
        <v>Y</v>
      </c>
      <c r="FF487" s="830" t="str">
        <f>IFERROR(VLOOKUP($B487,'Historical Conc Grant Elig'!$B$3:$J$707,'HH &amp; SI'!FF$2,0),"N")</f>
        <v>Y</v>
      </c>
      <c r="FG487" s="830" t="str">
        <f>IFERROR(VLOOKUP($B487,'Historical Conc Grant Elig'!$B$3:$J$707,'HH &amp; SI'!FG$2,0),"N")</f>
        <v>Y</v>
      </c>
      <c r="FH487" s="830" t="str">
        <f>IFERROR(VLOOKUP($B487,'Historical Conc Grant Elig'!$B$3:$J$707,'HH &amp; SI'!FH$2,0),"N")</f>
        <v>Y</v>
      </c>
      <c r="FI487" s="830" t="str">
        <f>IFERROR(VLOOKUP($B487,'Historical Conc Grant Elig'!$B$3:$J$707,'HH &amp; SI'!FI$2,0),"N")</f>
        <v>Y</v>
      </c>
      <c r="FJ487" s="830" t="str">
        <f>IFERROR(VLOOKUP($B487,'Historical Conc Grant Elig'!$B$3:$J$707,'HH &amp; SI'!FJ$2,0),"N")</f>
        <v>Y</v>
      </c>
      <c r="FK487" s="830" t="str">
        <f>IFERROR(VLOOKUP($B487,'Historical Conc Grant Elig'!$B$3:$J$707,'HH &amp; SI'!FK$2,0),"N")</f>
        <v>Y</v>
      </c>
      <c r="FL487" s="957" t="str">
        <f>IFERROR(VLOOKUP($B487,'Historical Conc Grant Elig'!$B$3:$J$707,'HH &amp; SI'!FL$2,0),"N")</f>
        <v>Y</v>
      </c>
    </row>
    <row r="488" spans="2:168" x14ac:dyDescent="0.25">
      <c r="B488" s="634">
        <v>148761000</v>
      </c>
      <c r="C488" s="635" t="str">
        <f>VLOOKUP($B488,'Afton Update'!$A$5:$CR$582,'Afton Update'!D$589,0)</f>
        <v>Carpe Diem Collegiate High School</v>
      </c>
      <c r="D488" s="636">
        <f>IFERROR(VLOOKUP($B488,'Afton FY16 Final'!$A$5:$BV$587,'Afton FY16 Final'!AQ$587,0),0)</f>
        <v>24164.97960187307</v>
      </c>
      <c r="E488" s="637">
        <f>IFERROR(VLOOKUP($B488,'Afton FY16 Final'!$A$5:$BV$587,'Afton FY16 Final'!AR$587,0),0)</f>
        <v>5923.5428211238159</v>
      </c>
      <c r="F488" s="637">
        <f>IFERROR(VLOOKUP($B488,'Afton FY16 Final'!$A$5:$BV$587,'Afton FY16 Final'!AS$587,0),0)</f>
        <v>12113.258833481126</v>
      </c>
      <c r="G488" s="637">
        <f>IFERROR(VLOOKUP($B488,'Afton FY16 Final'!$A$5:$BV$587,'Afton FY16 Final'!AT$587,0),0)</f>
        <v>11203.498215111316</v>
      </c>
      <c r="H488" s="638">
        <f>IFERROR(VLOOKUP($B488,'Afton FY16 Final'!$A$5:$BV$587,'Afton FY16 Final'!AU$587,0),0)</f>
        <v>53405.279471589332</v>
      </c>
      <c r="I488" s="639" t="str">
        <f>VLOOKUP($B488,'Afton Update'!$A$5:$CR$582,'Afton Update'!BT$589,0)</f>
        <v>Y</v>
      </c>
      <c r="J488" s="640" t="str">
        <f>VLOOKUP($B488,'Afton Update'!$A$5:$CR$582,'Afton Update'!BU$589,0)</f>
        <v>Y</v>
      </c>
      <c r="K488" s="640" t="str">
        <f>VLOOKUP($B488,'Afton Update'!$A$5:$CR$582,'Afton Update'!BV$589,0)</f>
        <v>Y</v>
      </c>
      <c r="L488" s="641" t="str">
        <f>VLOOKUP($B488,'Afton Update'!$A$5:$CR$582,'Afton Update'!BW$589,0)</f>
        <v>Y</v>
      </c>
      <c r="N488" s="642">
        <f>VLOOKUP($B488,'Afton Update'!$A$5:$CR$582,'Afton Update'!CB$589,0)</f>
        <v>0.9</v>
      </c>
      <c r="P488" s="636">
        <f>VLOOKUP($B488,'Afton Update'!$A$5:$CR$582,'Afton Update'!AH$589,0)</f>
        <v>11439.837498847708</v>
      </c>
      <c r="Q488" s="637">
        <f>VLOOKUP($B488,'Afton Update'!$A$5:$CR$582,'Afton Update'!AI$589,0)</f>
        <v>2772.2677127842326</v>
      </c>
      <c r="R488" s="637">
        <f>VLOOKUP($B488,'Afton Update'!$A$5:$CR$582,'Afton Update'!AJ$589,0)</f>
        <v>5850.3324766683199</v>
      </c>
      <c r="S488" s="637">
        <f>VLOOKUP($B488,'Afton Update'!$A$5:$CR$582,'Afton Update'!AK$589,0)</f>
        <v>5321.0291207330829</v>
      </c>
      <c r="T488" s="643">
        <f t="shared" si="1430"/>
        <v>25383.466809033343</v>
      </c>
      <c r="V488" s="636">
        <f t="shared" si="1456"/>
        <v>21748.481641685765</v>
      </c>
      <c r="W488" s="637">
        <f t="shared" si="1457"/>
        <v>5331.1885390114348</v>
      </c>
      <c r="X488" s="637">
        <f t="shared" si="1458"/>
        <v>10901.932950133014</v>
      </c>
      <c r="Y488" s="637">
        <f t="shared" si="1459"/>
        <v>10083.148393600184</v>
      </c>
      <c r="Z488" s="643">
        <f t="shared" si="1460"/>
        <v>48064.751524430394</v>
      </c>
      <c r="AB488" s="644">
        <f t="shared" si="1431"/>
        <v>11439.837498847708</v>
      </c>
      <c r="AC488" s="645">
        <f t="shared" si="1427"/>
        <v>21748.481641685765</v>
      </c>
      <c r="AD488" s="644">
        <f t="shared" si="1461"/>
        <v>10308.644142838057</v>
      </c>
      <c r="AE488" s="645">
        <f t="shared" si="1462"/>
        <v>0</v>
      </c>
      <c r="AF488" s="646">
        <f t="shared" si="1463"/>
        <v>0</v>
      </c>
      <c r="AG488" s="647">
        <f t="shared" si="1464"/>
        <v>21748.481641685765</v>
      </c>
      <c r="AH488" s="644">
        <f t="shared" si="1432"/>
        <v>0</v>
      </c>
      <c r="AI488" s="645">
        <f t="shared" si="1433"/>
        <v>0</v>
      </c>
      <c r="AJ488" s="646">
        <f t="shared" si="1465"/>
        <v>0</v>
      </c>
      <c r="AK488" s="647">
        <f t="shared" si="1434"/>
        <v>21748.481641685765</v>
      </c>
      <c r="AL488" s="644">
        <f t="shared" si="1466"/>
        <v>0</v>
      </c>
      <c r="AM488" s="645">
        <f t="shared" si="1467"/>
        <v>0</v>
      </c>
      <c r="AN488" s="646">
        <f t="shared" si="1468"/>
        <v>0</v>
      </c>
      <c r="AO488" s="647">
        <f t="shared" si="1435"/>
        <v>21748.481641685765</v>
      </c>
      <c r="AP488" s="644">
        <f t="shared" si="1469"/>
        <v>0</v>
      </c>
      <c r="AQ488" s="645">
        <f t="shared" si="1470"/>
        <v>0</v>
      </c>
      <c r="AR488" s="646">
        <f t="shared" si="1471"/>
        <v>0</v>
      </c>
      <c r="AS488" s="647">
        <f t="shared" si="1436"/>
        <v>21748.481641685765</v>
      </c>
      <c r="AT488" s="644">
        <f t="shared" si="1472"/>
        <v>0</v>
      </c>
      <c r="AU488" s="645">
        <f t="shared" si="1473"/>
        <v>0</v>
      </c>
      <c r="AV488" s="646">
        <f t="shared" si="1474"/>
        <v>0</v>
      </c>
      <c r="AW488" s="647">
        <f t="shared" si="1437"/>
        <v>21748.481641685765</v>
      </c>
      <c r="AY488" s="644">
        <f t="shared" si="1475"/>
        <v>2772.2677127842326</v>
      </c>
      <c r="AZ488" s="645">
        <f t="shared" si="1405"/>
        <v>5331.1885390114348</v>
      </c>
      <c r="BA488" s="644">
        <f t="shared" si="1476"/>
        <v>2558.9208262272023</v>
      </c>
      <c r="BB488" s="645">
        <f t="shared" si="1477"/>
        <v>0</v>
      </c>
      <c r="BC488" s="646">
        <f t="shared" si="1478"/>
        <v>0</v>
      </c>
      <c r="BD488" s="647">
        <f t="shared" si="1479"/>
        <v>5331.1885390114348</v>
      </c>
      <c r="BE488" s="644">
        <f t="shared" si="1438"/>
        <v>0</v>
      </c>
      <c r="BF488" s="645">
        <f t="shared" si="1439"/>
        <v>0</v>
      </c>
      <c r="BG488" s="646">
        <f t="shared" si="1480"/>
        <v>0</v>
      </c>
      <c r="BH488" s="647">
        <f t="shared" si="1440"/>
        <v>5331.1885390114348</v>
      </c>
      <c r="BI488" s="644">
        <f t="shared" si="1481"/>
        <v>0</v>
      </c>
      <c r="BJ488" s="645">
        <f t="shared" si="1482"/>
        <v>0</v>
      </c>
      <c r="BK488" s="646">
        <f t="shared" si="1483"/>
        <v>0</v>
      </c>
      <c r="BL488" s="647">
        <f t="shared" si="1441"/>
        <v>5331.1885390114348</v>
      </c>
      <c r="BM488" s="644">
        <f t="shared" si="1484"/>
        <v>0</v>
      </c>
      <c r="BN488" s="645">
        <f t="shared" si="1485"/>
        <v>0</v>
      </c>
      <c r="BO488" s="646">
        <f t="shared" si="1486"/>
        <v>0</v>
      </c>
      <c r="BP488" s="647">
        <f t="shared" si="1442"/>
        <v>5331.1885390114348</v>
      </c>
      <c r="BQ488" s="644">
        <f t="shared" si="1487"/>
        <v>0</v>
      </c>
      <c r="BR488" s="645">
        <f t="shared" si="1488"/>
        <v>0</v>
      </c>
      <c r="BS488" s="646">
        <f t="shared" si="1489"/>
        <v>0</v>
      </c>
      <c r="BT488" s="647">
        <f t="shared" si="1443"/>
        <v>5331.1885390114348</v>
      </c>
      <c r="BU488" s="662">
        <f>VLOOKUP(B488,'Afton Update'!$A$5:$AR$582,'Afton Update'!$AO$589,0)-BT488</f>
        <v>0</v>
      </c>
      <c r="BV488" s="644">
        <f t="shared" si="1490"/>
        <v>5850.3324766683199</v>
      </c>
      <c r="BW488" s="645">
        <f t="shared" si="1428"/>
        <v>10901.932950133014</v>
      </c>
      <c r="BX488" s="644">
        <f t="shared" si="1491"/>
        <v>5051.600473464694</v>
      </c>
      <c r="BY488" s="645">
        <f t="shared" si="1492"/>
        <v>0</v>
      </c>
      <c r="BZ488" s="646">
        <f t="shared" si="1493"/>
        <v>0</v>
      </c>
      <c r="CA488" s="647">
        <f t="shared" si="1494"/>
        <v>10901.932950133014</v>
      </c>
      <c r="CB488" s="644">
        <f t="shared" si="1444"/>
        <v>0</v>
      </c>
      <c r="CC488" s="645">
        <f t="shared" si="1445"/>
        <v>0</v>
      </c>
      <c r="CD488" s="646">
        <f t="shared" si="1495"/>
        <v>0</v>
      </c>
      <c r="CE488" s="647">
        <f t="shared" si="1446"/>
        <v>10901.932950133014</v>
      </c>
      <c r="CF488" s="644">
        <f t="shared" si="1496"/>
        <v>0</v>
      </c>
      <c r="CG488" s="645">
        <f t="shared" si="1497"/>
        <v>0</v>
      </c>
      <c r="CH488" s="646">
        <f t="shared" si="1498"/>
        <v>0</v>
      </c>
      <c r="CI488" s="647">
        <f t="shared" si="1447"/>
        <v>10901.932950133014</v>
      </c>
      <c r="CJ488" s="644">
        <f t="shared" si="1499"/>
        <v>0</v>
      </c>
      <c r="CK488" s="645">
        <f t="shared" si="1500"/>
        <v>0</v>
      </c>
      <c r="CL488" s="646">
        <f t="shared" si="1501"/>
        <v>0</v>
      </c>
      <c r="CM488" s="647">
        <f t="shared" si="1448"/>
        <v>10901.932950133014</v>
      </c>
      <c r="CN488" s="644">
        <f t="shared" si="1502"/>
        <v>0</v>
      </c>
      <c r="CO488" s="645">
        <f t="shared" si="1503"/>
        <v>0</v>
      </c>
      <c r="CP488" s="646">
        <f t="shared" si="1504"/>
        <v>0</v>
      </c>
      <c r="CQ488" s="647">
        <f t="shared" si="1449"/>
        <v>10901.932950133014</v>
      </c>
      <c r="CS488" s="644">
        <f t="shared" si="1505"/>
        <v>5321.0291207330829</v>
      </c>
      <c r="CT488" s="645">
        <f t="shared" si="1429"/>
        <v>10083.148393600184</v>
      </c>
      <c r="CU488" s="644">
        <f t="shared" si="1506"/>
        <v>4762.1192728671012</v>
      </c>
      <c r="CV488" s="645">
        <f t="shared" si="1507"/>
        <v>0</v>
      </c>
      <c r="CW488" s="646">
        <f t="shared" si="1508"/>
        <v>0</v>
      </c>
      <c r="CX488" s="647">
        <f t="shared" si="1509"/>
        <v>10083.148393600184</v>
      </c>
      <c r="CY488" s="644">
        <f t="shared" si="1450"/>
        <v>0</v>
      </c>
      <c r="CZ488" s="645">
        <f t="shared" si="1451"/>
        <v>0</v>
      </c>
      <c r="DA488" s="646">
        <f t="shared" si="1510"/>
        <v>0</v>
      </c>
      <c r="DB488" s="647">
        <f t="shared" si="1452"/>
        <v>10083.148393600184</v>
      </c>
      <c r="DC488" s="644">
        <f t="shared" si="1511"/>
        <v>0</v>
      </c>
      <c r="DD488" s="645">
        <f t="shared" si="1512"/>
        <v>0</v>
      </c>
      <c r="DE488" s="646">
        <f t="shared" si="1513"/>
        <v>0</v>
      </c>
      <c r="DF488" s="647">
        <f t="shared" si="1453"/>
        <v>10083.148393600184</v>
      </c>
      <c r="DG488" s="644">
        <f t="shared" si="1514"/>
        <v>0</v>
      </c>
      <c r="DH488" s="645">
        <f t="shared" si="1515"/>
        <v>0</v>
      </c>
      <c r="DI488" s="646">
        <f t="shared" si="1516"/>
        <v>0</v>
      </c>
      <c r="DJ488" s="647">
        <f t="shared" si="1454"/>
        <v>10083.148393600184</v>
      </c>
      <c r="DK488" s="644">
        <f t="shared" si="1517"/>
        <v>0</v>
      </c>
      <c r="DL488" s="645">
        <f t="shared" si="1518"/>
        <v>0</v>
      </c>
      <c r="DM488" s="646">
        <f t="shared" si="1519"/>
        <v>0</v>
      </c>
      <c r="DN488" s="647">
        <f t="shared" si="1455"/>
        <v>10083.148393600184</v>
      </c>
      <c r="DR488" s="827">
        <f t="shared" si="1520"/>
        <v>48064.751524430394</v>
      </c>
      <c r="DV488" s="828">
        <f>IFERROR(VLOOKUP($B488,'Afton FY16 Final'!$A$5:$BV$587,'Afton FY16 Final'!$BV$587,0),0)</f>
        <v>52353.729527638119</v>
      </c>
      <c r="DX488" s="636">
        <f t="shared" si="1521"/>
        <v>0</v>
      </c>
      <c r="DY488" s="637">
        <f t="shared" si="1522"/>
        <v>0</v>
      </c>
      <c r="DZ488" s="637">
        <f t="shared" si="1523"/>
        <v>0</v>
      </c>
      <c r="EA488" s="643">
        <f t="shared" si="1524"/>
        <v>0</v>
      </c>
      <c r="EB488" s="637">
        <f t="shared" si="1525"/>
        <v>0</v>
      </c>
      <c r="EC488" s="637">
        <f t="shared" si="1526"/>
        <v>0</v>
      </c>
      <c r="ED488" s="637">
        <f t="shared" si="1527"/>
        <v>0</v>
      </c>
      <c r="EE488" s="643">
        <f t="shared" si="1528"/>
        <v>0</v>
      </c>
      <c r="EF488" s="637">
        <f t="shared" si="1529"/>
        <v>0</v>
      </c>
      <c r="EG488" s="637">
        <f t="shared" si="1530"/>
        <v>0</v>
      </c>
      <c r="EH488" s="637">
        <f t="shared" si="1531"/>
        <v>0</v>
      </c>
      <c r="EI488" s="643">
        <f t="shared" si="1532"/>
        <v>0</v>
      </c>
      <c r="EJ488" s="637">
        <f t="shared" si="1533"/>
        <v>0</v>
      </c>
      <c r="EK488" s="637">
        <f t="shared" si="1534"/>
        <v>0</v>
      </c>
      <c r="EL488" s="637">
        <f t="shared" si="1535"/>
        <v>0</v>
      </c>
      <c r="EM488" s="643">
        <f t="shared" si="1536"/>
        <v>0</v>
      </c>
      <c r="EN488" s="637">
        <f t="shared" si="1537"/>
        <v>0</v>
      </c>
      <c r="EO488" s="637">
        <f t="shared" si="1538"/>
        <v>0</v>
      </c>
      <c r="EP488" s="637">
        <f t="shared" si="1539"/>
        <v>0</v>
      </c>
      <c r="EQ488" s="643">
        <f t="shared" si="1540"/>
        <v>0</v>
      </c>
      <c r="ER488" s="637">
        <f t="shared" si="1541"/>
        <v>0</v>
      </c>
      <c r="ES488" s="637">
        <f t="shared" si="1542"/>
        <v>0</v>
      </c>
      <c r="ET488" s="637">
        <f t="shared" si="1543"/>
        <v>0</v>
      </c>
      <c r="EU488" s="643">
        <f t="shared" si="1544"/>
        <v>0</v>
      </c>
      <c r="EV488" s="643">
        <f t="shared" si="1545"/>
        <v>0</v>
      </c>
      <c r="EX488" s="829">
        <f t="shared" si="1546"/>
        <v>0</v>
      </c>
      <c r="EY488" s="638">
        <f t="shared" si="1547"/>
        <v>48064.751524430394</v>
      </c>
      <c r="FC488" s="830" t="str">
        <f t="shared" si="1426"/>
        <v>Y</v>
      </c>
      <c r="FE488" s="830" t="str">
        <f>IFERROR(VLOOKUP($B488,'Historical Conc Grant Elig'!$B$3:$J$707,'HH &amp; SI'!FE$2,0),"N")</f>
        <v>Y</v>
      </c>
      <c r="FF488" s="830" t="str">
        <f>IFERROR(VLOOKUP($B488,'Historical Conc Grant Elig'!$B$3:$J$707,'HH &amp; SI'!FF$2,0),"N")</f>
        <v>Y</v>
      </c>
      <c r="FG488" s="830" t="str">
        <f>IFERROR(VLOOKUP($B488,'Historical Conc Grant Elig'!$B$3:$J$707,'HH &amp; SI'!FG$2,0),"N")</f>
        <v>Y</v>
      </c>
      <c r="FH488" s="830" t="str">
        <f>IFERROR(VLOOKUP($B488,'Historical Conc Grant Elig'!$B$3:$J$707,'HH &amp; SI'!FH$2,0),"N")</f>
        <v>Y</v>
      </c>
      <c r="FI488" s="830" t="str">
        <f>IFERROR(VLOOKUP($B488,'Historical Conc Grant Elig'!$B$3:$J$707,'HH &amp; SI'!FI$2,0),"N")</f>
        <v>Y</v>
      </c>
      <c r="FJ488" s="830" t="str">
        <f>IFERROR(VLOOKUP($B488,'Historical Conc Grant Elig'!$B$3:$J$707,'HH &amp; SI'!FJ$2,0),"N")</f>
        <v>Y</v>
      </c>
      <c r="FK488" s="830" t="str">
        <f>IFERROR(VLOOKUP($B488,'Historical Conc Grant Elig'!$B$3:$J$707,'HH &amp; SI'!FK$2,0),"N")</f>
        <v>Y</v>
      </c>
      <c r="FL488" s="957" t="str">
        <f>IFERROR(VLOOKUP($B488,'Historical Conc Grant Elig'!$B$3:$J$707,'HH &amp; SI'!FL$2,0),"N")</f>
        <v>Y</v>
      </c>
    </row>
    <row r="489" spans="2:168" x14ac:dyDescent="0.25">
      <c r="B489" s="634">
        <v>150227000</v>
      </c>
      <c r="C489" s="635" t="str">
        <f>VLOOKUP($B489,'Afton Update'!$A$5:$CR$582,'Afton Update'!D$589,0)</f>
        <v>Parker Unified School District</v>
      </c>
      <c r="D489" s="636">
        <f>IFERROR(VLOOKUP($B489,'Afton FY16 Final'!$A$5:$BV$587,'Afton FY16 Final'!AQ$587,0),0)</f>
        <v>279967.06931571872</v>
      </c>
      <c r="E489" s="637">
        <f>IFERROR(VLOOKUP($B489,'Afton FY16 Final'!$A$5:$BV$587,'Afton FY16 Final'!AR$587,0),0)</f>
        <v>68440.287709734766</v>
      </c>
      <c r="F489" s="637">
        <f>IFERROR(VLOOKUP($B489,'Afton FY16 Final'!$A$5:$BV$587,'Afton FY16 Final'!AS$587,0),0)</f>
        <v>142644.31630529114</v>
      </c>
      <c r="G489" s="637">
        <f>IFERROR(VLOOKUP($B489,'Afton FY16 Final'!$A$5:$BV$587,'Afton FY16 Final'!AT$587,0),0)</f>
        <v>143141.9007971659</v>
      </c>
      <c r="H489" s="638">
        <f>IFERROR(VLOOKUP($B489,'Afton FY16 Final'!$A$5:$BV$587,'Afton FY16 Final'!AU$587,0),0)</f>
        <v>634193.57412791054</v>
      </c>
      <c r="I489" s="639" t="str">
        <f>VLOOKUP($B489,'Afton Update'!$A$5:$CR$582,'Afton Update'!BT$589,0)</f>
        <v>Y</v>
      </c>
      <c r="J489" s="640" t="str">
        <f>VLOOKUP($B489,'Afton Update'!$A$5:$CR$582,'Afton Update'!BU$589,0)</f>
        <v>Y</v>
      </c>
      <c r="K489" s="640" t="str">
        <f>VLOOKUP($B489,'Afton Update'!$A$5:$CR$582,'Afton Update'!BV$589,0)</f>
        <v>Y</v>
      </c>
      <c r="L489" s="641" t="str">
        <f>VLOOKUP($B489,'Afton Update'!$A$5:$CR$582,'Afton Update'!BW$589,0)</f>
        <v>Y</v>
      </c>
      <c r="N489" s="642">
        <f>VLOOKUP($B489,'Afton Update'!$A$5:$CR$582,'Afton Update'!CB$589,0)</f>
        <v>0.95</v>
      </c>
      <c r="P489" s="636">
        <f>VLOOKUP($B489,'Afton Update'!$A$5:$CR$582,'Afton Update'!AH$589,0)</f>
        <v>276891.98720753589</v>
      </c>
      <c r="Q489" s="637">
        <f>VLOOKUP($B489,'Afton Update'!$A$5:$CR$582,'Afton Update'!AI$589,0)</f>
        <v>66247.478571976666</v>
      </c>
      <c r="R489" s="637">
        <f>VLOOKUP($B489,'Afton Update'!$A$5:$CR$582,'Afton Update'!AJ$589,0)</f>
        <v>148511.5106170809</v>
      </c>
      <c r="S489" s="637">
        <f>VLOOKUP($B489,'Afton Update'!$A$5:$CR$582,'Afton Update'!AK$589,0)</f>
        <v>136596.34064238699</v>
      </c>
      <c r="T489" s="643">
        <f t="shared" si="1430"/>
        <v>628247.31703898043</v>
      </c>
      <c r="V489" s="636">
        <f t="shared" si="1456"/>
        <v>273115.00078149745</v>
      </c>
      <c r="W489" s="637">
        <f t="shared" si="1457"/>
        <v>65018.273324248024</v>
      </c>
      <c r="X489" s="637">
        <f t="shared" si="1458"/>
        <v>147160.85641214545</v>
      </c>
      <c r="Y489" s="637">
        <f t="shared" si="1459"/>
        <v>135984.80575730759</v>
      </c>
      <c r="Z489" s="643">
        <f t="shared" si="1460"/>
        <v>621278.93627519847</v>
      </c>
      <c r="AB489" s="644">
        <f t="shared" si="1431"/>
        <v>276891.98720753589</v>
      </c>
      <c r="AC489" s="645">
        <f t="shared" si="1427"/>
        <v>265968.71584993275</v>
      </c>
      <c r="AD489" s="644">
        <f t="shared" si="1461"/>
        <v>0</v>
      </c>
      <c r="AE489" s="645">
        <f t="shared" si="1462"/>
        <v>276891.98720753589</v>
      </c>
      <c r="AF489" s="646">
        <f t="shared" si="1463"/>
        <v>-3432.2842602268383</v>
      </c>
      <c r="AG489" s="647">
        <f t="shared" si="1464"/>
        <v>273459.70294730907</v>
      </c>
      <c r="AH489" s="644">
        <f t="shared" si="1432"/>
        <v>0</v>
      </c>
      <c r="AI489" s="645">
        <f t="shared" si="1433"/>
        <v>273459.70294730907</v>
      </c>
      <c r="AJ489" s="646">
        <f t="shared" si="1465"/>
        <v>-344.48255712047563</v>
      </c>
      <c r="AK489" s="647">
        <f t="shared" si="1434"/>
        <v>273115.22039018857</v>
      </c>
      <c r="AL489" s="644">
        <f t="shared" si="1466"/>
        <v>0</v>
      </c>
      <c r="AM489" s="645">
        <f t="shared" si="1467"/>
        <v>273115.22039018857</v>
      </c>
      <c r="AN489" s="646">
        <f t="shared" si="1468"/>
        <v>-0.21960869111098497</v>
      </c>
      <c r="AO489" s="647">
        <f t="shared" si="1435"/>
        <v>273115.00078149745</v>
      </c>
      <c r="AP489" s="644">
        <f t="shared" si="1469"/>
        <v>0</v>
      </c>
      <c r="AQ489" s="645">
        <f t="shared" si="1470"/>
        <v>273115.00078149745</v>
      </c>
      <c r="AR489" s="646">
        <f t="shared" si="1471"/>
        <v>0</v>
      </c>
      <c r="AS489" s="647">
        <f t="shared" si="1436"/>
        <v>273115.00078149745</v>
      </c>
      <c r="AT489" s="644">
        <f t="shared" si="1472"/>
        <v>0</v>
      </c>
      <c r="AU489" s="645">
        <f t="shared" si="1473"/>
        <v>273115.00078149745</v>
      </c>
      <c r="AV489" s="646">
        <f t="shared" si="1474"/>
        <v>0</v>
      </c>
      <c r="AW489" s="647">
        <f t="shared" si="1437"/>
        <v>273115.00078149745</v>
      </c>
      <c r="AY489" s="644">
        <f t="shared" si="1475"/>
        <v>66247.478571976666</v>
      </c>
      <c r="AZ489" s="645">
        <f t="shared" si="1405"/>
        <v>65018.273324248024</v>
      </c>
      <c r="BA489" s="644">
        <f t="shared" si="1476"/>
        <v>0</v>
      </c>
      <c r="BB489" s="645">
        <f t="shared" si="1477"/>
        <v>66247.478571976666</v>
      </c>
      <c r="BC489" s="646">
        <f t="shared" si="1478"/>
        <v>-476.40492494319597</v>
      </c>
      <c r="BD489" s="647">
        <f t="shared" si="1479"/>
        <v>65771.073647033467</v>
      </c>
      <c r="BE489" s="644">
        <f t="shared" si="1438"/>
        <v>0</v>
      </c>
      <c r="BF489" s="645">
        <f t="shared" si="1439"/>
        <v>65771.073647033467</v>
      </c>
      <c r="BG489" s="646">
        <f t="shared" si="1480"/>
        <v>-1566.6133747142021</v>
      </c>
      <c r="BH489" s="647">
        <f t="shared" si="1440"/>
        <v>64204.460272319266</v>
      </c>
      <c r="BI489" s="644">
        <f t="shared" si="1481"/>
        <v>-813.8130519287588</v>
      </c>
      <c r="BJ489" s="645">
        <f t="shared" si="1482"/>
        <v>0</v>
      </c>
      <c r="BK489" s="646">
        <f t="shared" si="1483"/>
        <v>0</v>
      </c>
      <c r="BL489" s="647">
        <f t="shared" si="1441"/>
        <v>65018.273324248024</v>
      </c>
      <c r="BM489" s="644">
        <f t="shared" si="1484"/>
        <v>0</v>
      </c>
      <c r="BN489" s="645">
        <f t="shared" si="1485"/>
        <v>0</v>
      </c>
      <c r="BO489" s="646">
        <f t="shared" si="1486"/>
        <v>0</v>
      </c>
      <c r="BP489" s="647">
        <f t="shared" si="1442"/>
        <v>65018.273324248024</v>
      </c>
      <c r="BQ489" s="644">
        <f t="shared" si="1487"/>
        <v>0</v>
      </c>
      <c r="BR489" s="645">
        <f t="shared" si="1488"/>
        <v>0</v>
      </c>
      <c r="BS489" s="646">
        <f t="shared" si="1489"/>
        <v>0</v>
      </c>
      <c r="BT489" s="647">
        <f t="shared" si="1443"/>
        <v>65018.273324248024</v>
      </c>
      <c r="BU489" s="662">
        <f>VLOOKUP(B489,'Afton Update'!$A$5:$AR$582,'Afton Update'!$AO$589,0)-BT489</f>
        <v>0</v>
      </c>
      <c r="BV489" s="644">
        <f t="shared" si="1490"/>
        <v>148511.5106170809</v>
      </c>
      <c r="BW489" s="645">
        <f t="shared" si="1428"/>
        <v>135512.10049002658</v>
      </c>
      <c r="BX489" s="644">
        <f t="shared" si="1491"/>
        <v>0</v>
      </c>
      <c r="BY489" s="645">
        <f t="shared" si="1492"/>
        <v>148511.5106170809</v>
      </c>
      <c r="BZ489" s="646">
        <f t="shared" si="1493"/>
        <v>-1303.5013182535338</v>
      </c>
      <c r="CA489" s="647">
        <f t="shared" si="1494"/>
        <v>147208.00929882735</v>
      </c>
      <c r="CB489" s="644">
        <f t="shared" si="1444"/>
        <v>0</v>
      </c>
      <c r="CC489" s="645">
        <f t="shared" si="1445"/>
        <v>147208.00929882735</v>
      </c>
      <c r="CD489" s="646">
        <f t="shared" si="1495"/>
        <v>-47.152886681899581</v>
      </c>
      <c r="CE489" s="647">
        <f t="shared" si="1446"/>
        <v>147160.85641214545</v>
      </c>
      <c r="CF489" s="644">
        <f t="shared" si="1496"/>
        <v>0</v>
      </c>
      <c r="CG489" s="645">
        <f t="shared" si="1497"/>
        <v>147160.85641214545</v>
      </c>
      <c r="CH489" s="646">
        <f t="shared" si="1498"/>
        <v>0</v>
      </c>
      <c r="CI489" s="647">
        <f t="shared" si="1447"/>
        <v>147160.85641214545</v>
      </c>
      <c r="CJ489" s="644">
        <f t="shared" si="1499"/>
        <v>0</v>
      </c>
      <c r="CK489" s="645">
        <f t="shared" si="1500"/>
        <v>147160.85641214545</v>
      </c>
      <c r="CL489" s="646">
        <f t="shared" si="1501"/>
        <v>0</v>
      </c>
      <c r="CM489" s="647">
        <f t="shared" si="1448"/>
        <v>147160.85641214545</v>
      </c>
      <c r="CN489" s="644">
        <f t="shared" si="1502"/>
        <v>0</v>
      </c>
      <c r="CO489" s="645">
        <f t="shared" si="1503"/>
        <v>147160.85641214545</v>
      </c>
      <c r="CP489" s="646">
        <f t="shared" si="1504"/>
        <v>0</v>
      </c>
      <c r="CQ489" s="647">
        <f t="shared" si="1449"/>
        <v>147160.85641214545</v>
      </c>
      <c r="CS489" s="644">
        <f t="shared" si="1505"/>
        <v>136596.34064238699</v>
      </c>
      <c r="CT489" s="645">
        <f t="shared" si="1429"/>
        <v>135984.80575730759</v>
      </c>
      <c r="CU489" s="644">
        <f t="shared" si="1506"/>
        <v>0</v>
      </c>
      <c r="CV489" s="645">
        <f t="shared" si="1507"/>
        <v>136596.34064238699</v>
      </c>
      <c r="CW489" s="646">
        <f t="shared" si="1508"/>
        <v>-1398.82372177194</v>
      </c>
      <c r="CX489" s="647">
        <f t="shared" si="1509"/>
        <v>135197.51692061505</v>
      </c>
      <c r="CY489" s="644">
        <f t="shared" si="1450"/>
        <v>-787.28883669254719</v>
      </c>
      <c r="CZ489" s="645">
        <f t="shared" si="1451"/>
        <v>0</v>
      </c>
      <c r="DA489" s="646">
        <f t="shared" si="1510"/>
        <v>0</v>
      </c>
      <c r="DB489" s="647">
        <f t="shared" si="1452"/>
        <v>135984.80575730759</v>
      </c>
      <c r="DC489" s="644">
        <f t="shared" si="1511"/>
        <v>0</v>
      </c>
      <c r="DD489" s="645">
        <f t="shared" si="1512"/>
        <v>0</v>
      </c>
      <c r="DE489" s="646">
        <f t="shared" si="1513"/>
        <v>0</v>
      </c>
      <c r="DF489" s="647">
        <f t="shared" si="1453"/>
        <v>135984.80575730759</v>
      </c>
      <c r="DG489" s="644">
        <f t="shared" si="1514"/>
        <v>0</v>
      </c>
      <c r="DH489" s="645">
        <f t="shared" si="1515"/>
        <v>0</v>
      </c>
      <c r="DI489" s="646">
        <f t="shared" si="1516"/>
        <v>0</v>
      </c>
      <c r="DJ489" s="647">
        <f t="shared" si="1454"/>
        <v>135984.80575730759</v>
      </c>
      <c r="DK489" s="644">
        <f t="shared" si="1517"/>
        <v>0</v>
      </c>
      <c r="DL489" s="645">
        <f t="shared" si="1518"/>
        <v>0</v>
      </c>
      <c r="DM489" s="646">
        <f t="shared" si="1519"/>
        <v>0</v>
      </c>
      <c r="DN489" s="647">
        <f t="shared" si="1455"/>
        <v>135984.80575730759</v>
      </c>
      <c r="DR489" s="827">
        <f t="shared" si="1520"/>
        <v>621278.93627519847</v>
      </c>
      <c r="DV489" s="828">
        <f>IFERROR(VLOOKUP($B489,'Afton FY16 Final'!$A$5:$BV$587,'Afton FY16 Final'!$BV$587,0),0)</f>
        <v>621706.30275836005</v>
      </c>
      <c r="DX489" s="636">
        <f t="shared" si="1521"/>
        <v>0</v>
      </c>
      <c r="DY489" s="637">
        <f t="shared" si="1522"/>
        <v>0</v>
      </c>
      <c r="DZ489" s="637">
        <f t="shared" si="1523"/>
        <v>0</v>
      </c>
      <c r="EA489" s="643">
        <f t="shared" si="1524"/>
        <v>0</v>
      </c>
      <c r="EB489" s="637">
        <f t="shared" si="1525"/>
        <v>0</v>
      </c>
      <c r="EC489" s="637">
        <f t="shared" si="1526"/>
        <v>0</v>
      </c>
      <c r="ED489" s="637">
        <f t="shared" si="1527"/>
        <v>0</v>
      </c>
      <c r="EE489" s="643">
        <f t="shared" si="1528"/>
        <v>0</v>
      </c>
      <c r="EF489" s="637">
        <f t="shared" si="1529"/>
        <v>0</v>
      </c>
      <c r="EG489" s="637">
        <f t="shared" si="1530"/>
        <v>0</v>
      </c>
      <c r="EH489" s="637">
        <f t="shared" si="1531"/>
        <v>0</v>
      </c>
      <c r="EI489" s="643">
        <f t="shared" si="1532"/>
        <v>0</v>
      </c>
      <c r="EJ489" s="637">
        <f t="shared" si="1533"/>
        <v>0</v>
      </c>
      <c r="EK489" s="637">
        <f t="shared" si="1534"/>
        <v>0</v>
      </c>
      <c r="EL489" s="637">
        <f t="shared" si="1535"/>
        <v>0</v>
      </c>
      <c r="EM489" s="643">
        <f t="shared" si="1536"/>
        <v>0</v>
      </c>
      <c r="EN489" s="637">
        <f t="shared" si="1537"/>
        <v>0</v>
      </c>
      <c r="EO489" s="637">
        <f t="shared" si="1538"/>
        <v>0</v>
      </c>
      <c r="EP489" s="637">
        <f t="shared" si="1539"/>
        <v>0</v>
      </c>
      <c r="EQ489" s="643">
        <f t="shared" si="1540"/>
        <v>0</v>
      </c>
      <c r="ER489" s="637">
        <f t="shared" si="1541"/>
        <v>0</v>
      </c>
      <c r="ES489" s="637">
        <f t="shared" si="1542"/>
        <v>0</v>
      </c>
      <c r="ET489" s="637">
        <f t="shared" si="1543"/>
        <v>0</v>
      </c>
      <c r="EU489" s="643">
        <f t="shared" si="1544"/>
        <v>0</v>
      </c>
      <c r="EV489" s="643">
        <f t="shared" si="1545"/>
        <v>0</v>
      </c>
      <c r="EX489" s="829">
        <f t="shared" si="1546"/>
        <v>0</v>
      </c>
      <c r="EY489" s="638">
        <f t="shared" si="1547"/>
        <v>621278.93627519847</v>
      </c>
      <c r="FC489" s="830" t="str">
        <f t="shared" si="1426"/>
        <v>Y</v>
      </c>
      <c r="FE489" s="830" t="str">
        <f>IFERROR(VLOOKUP($B489,'Historical Conc Grant Elig'!$B$3:$J$707,'HH &amp; SI'!FE$2,0),"N")</f>
        <v>Y</v>
      </c>
      <c r="FF489" s="830" t="str">
        <f>IFERROR(VLOOKUP($B489,'Historical Conc Grant Elig'!$B$3:$J$707,'HH &amp; SI'!FF$2,0),"N")</f>
        <v>Y</v>
      </c>
      <c r="FG489" s="830" t="str">
        <f>IFERROR(VLOOKUP($B489,'Historical Conc Grant Elig'!$B$3:$J$707,'HH &amp; SI'!FG$2,0),"N")</f>
        <v>Y</v>
      </c>
      <c r="FH489" s="830" t="str">
        <f>IFERROR(VLOOKUP($B489,'Historical Conc Grant Elig'!$B$3:$J$707,'HH &amp; SI'!FH$2,0),"N")</f>
        <v>Y</v>
      </c>
      <c r="FI489" s="830" t="str">
        <f>IFERROR(VLOOKUP($B489,'Historical Conc Grant Elig'!$B$3:$J$707,'HH &amp; SI'!FI$2,0),"N")</f>
        <v>Y</v>
      </c>
      <c r="FJ489" s="830" t="str">
        <f>IFERROR(VLOOKUP($B489,'Historical Conc Grant Elig'!$B$3:$J$707,'HH &amp; SI'!FJ$2,0),"N")</f>
        <v>Y</v>
      </c>
      <c r="FK489" s="830" t="str">
        <f>IFERROR(VLOOKUP($B489,'Historical Conc Grant Elig'!$B$3:$J$707,'HH &amp; SI'!FK$2,0),"N")</f>
        <v>Y</v>
      </c>
      <c r="FL489" s="957" t="str">
        <f>IFERROR(VLOOKUP($B489,'Historical Conc Grant Elig'!$B$3:$J$707,'HH &amp; SI'!FL$2,0),"N")</f>
        <v>Y</v>
      </c>
    </row>
    <row r="490" spans="2:168" x14ac:dyDescent="0.25">
      <c r="B490" s="634">
        <v>150404000</v>
      </c>
      <c r="C490" s="635" t="str">
        <f>VLOOKUP($B490,'Afton Update'!$A$5:$CR$582,'Afton Update'!D$589,0)</f>
        <v>Quartzsite Elementary District</v>
      </c>
      <c r="D490" s="636">
        <f>IFERROR(VLOOKUP($B490,'Afton FY16 Final'!$A$5:$BV$587,'Afton FY16 Final'!AQ$587,0),0)</f>
        <v>28305.284224302079</v>
      </c>
      <c r="E490" s="637">
        <f>IFERROR(VLOOKUP($B490,'Afton FY16 Final'!$A$5:$BV$587,'Afton FY16 Final'!AR$587,0),0)</f>
        <v>6625.3583261883578</v>
      </c>
      <c r="F490" s="637">
        <f>IFERROR(VLOOKUP($B490,'Afton FY16 Final'!$A$5:$BV$587,'Afton FY16 Final'!AS$587,0),0)</f>
        <v>10620.234900786809</v>
      </c>
      <c r="G490" s="637">
        <f>IFERROR(VLOOKUP($B490,'Afton FY16 Final'!$A$5:$BV$587,'Afton FY16 Final'!AT$587,0),0)</f>
        <v>9316.4041051458516</v>
      </c>
      <c r="H490" s="638">
        <f>IFERROR(VLOOKUP($B490,'Afton FY16 Final'!$A$5:$BV$587,'Afton FY16 Final'!AU$587,0),0)</f>
        <v>54867.281556423099</v>
      </c>
      <c r="I490" s="639" t="str">
        <f>VLOOKUP($B490,'Afton Update'!$A$5:$CR$582,'Afton Update'!BT$589,0)</f>
        <v>Y</v>
      </c>
      <c r="J490" s="640" t="str">
        <f>VLOOKUP($B490,'Afton Update'!$A$5:$CR$582,'Afton Update'!BU$589,0)</f>
        <v>Y</v>
      </c>
      <c r="K490" s="640" t="str">
        <f>VLOOKUP($B490,'Afton Update'!$A$5:$CR$582,'Afton Update'!BV$589,0)</f>
        <v>Y</v>
      </c>
      <c r="L490" s="641" t="str">
        <f>VLOOKUP($B490,'Afton Update'!$A$5:$CR$582,'Afton Update'!BW$589,0)</f>
        <v>Y</v>
      </c>
      <c r="N490" s="642">
        <f>VLOOKUP($B490,'Afton Update'!$A$5:$CR$582,'Afton Update'!CB$589,0)</f>
        <v>0.9</v>
      </c>
      <c r="P490" s="636">
        <f>VLOOKUP($B490,'Afton Update'!$A$5:$CR$582,'Afton Update'!AH$589,0)</f>
        <v>26211.206807599938</v>
      </c>
      <c r="Q490" s="637">
        <f>VLOOKUP($B490,'Afton Update'!$A$5:$CR$582,'Afton Update'!AI$589,0)</f>
        <v>6533.0238919914382</v>
      </c>
      <c r="R490" s="637">
        <f>VLOOKUP($B490,'Afton Update'!$A$5:$CR$582,'Afton Update'!AJ$589,0)</f>
        <v>9702.3612849947094</v>
      </c>
      <c r="S490" s="637">
        <f>VLOOKUP($B490,'Afton Update'!$A$5:$CR$582,'Afton Update'!AK$589,0)</f>
        <v>8519.7244009799542</v>
      </c>
      <c r="T490" s="643">
        <f t="shared" si="1430"/>
        <v>50966.316385566039</v>
      </c>
      <c r="V490" s="636">
        <f t="shared" si="1456"/>
        <v>25853.668934002355</v>
      </c>
      <c r="W490" s="637">
        <f t="shared" si="1457"/>
        <v>6317.849970346927</v>
      </c>
      <c r="X490" s="637">
        <f t="shared" si="1458"/>
        <v>9614.1220972514166</v>
      </c>
      <c r="Y490" s="637">
        <f t="shared" si="1459"/>
        <v>8425.8523743684764</v>
      </c>
      <c r="Z490" s="643">
        <f t="shared" si="1460"/>
        <v>50211.493375969178</v>
      </c>
      <c r="AB490" s="644">
        <f t="shared" si="1431"/>
        <v>26211.206807599938</v>
      </c>
      <c r="AC490" s="645">
        <f t="shared" si="1427"/>
        <v>25474.75580187187</v>
      </c>
      <c r="AD490" s="644">
        <f t="shared" si="1461"/>
        <v>0</v>
      </c>
      <c r="AE490" s="645">
        <f t="shared" si="1462"/>
        <v>26211.206807599938</v>
      </c>
      <c r="AF490" s="646">
        <f t="shared" si="1463"/>
        <v>-324.90760557778742</v>
      </c>
      <c r="AG490" s="647">
        <f t="shared" si="1464"/>
        <v>25886.29920202215</v>
      </c>
      <c r="AH490" s="644">
        <f t="shared" si="1432"/>
        <v>0</v>
      </c>
      <c r="AI490" s="645">
        <f t="shared" si="1433"/>
        <v>25886.29920202215</v>
      </c>
      <c r="AJ490" s="646">
        <f t="shared" si="1465"/>
        <v>-32.609479376259479</v>
      </c>
      <c r="AK490" s="647">
        <f t="shared" si="1434"/>
        <v>25853.68972264589</v>
      </c>
      <c r="AL490" s="644">
        <f t="shared" si="1466"/>
        <v>0</v>
      </c>
      <c r="AM490" s="645">
        <f t="shared" si="1467"/>
        <v>25853.68972264589</v>
      </c>
      <c r="AN490" s="646">
        <f t="shared" si="1468"/>
        <v>-2.078864353392058E-2</v>
      </c>
      <c r="AO490" s="647">
        <f t="shared" si="1435"/>
        <v>25853.668934002355</v>
      </c>
      <c r="AP490" s="644">
        <f t="shared" si="1469"/>
        <v>0</v>
      </c>
      <c r="AQ490" s="645">
        <f t="shared" si="1470"/>
        <v>25853.668934002355</v>
      </c>
      <c r="AR490" s="646">
        <f t="shared" si="1471"/>
        <v>0</v>
      </c>
      <c r="AS490" s="647">
        <f t="shared" si="1436"/>
        <v>25853.668934002355</v>
      </c>
      <c r="AT490" s="644">
        <f t="shared" si="1472"/>
        <v>0</v>
      </c>
      <c r="AU490" s="645">
        <f t="shared" si="1473"/>
        <v>25853.668934002355</v>
      </c>
      <c r="AV490" s="646">
        <f t="shared" si="1474"/>
        <v>0</v>
      </c>
      <c r="AW490" s="647">
        <f t="shared" si="1437"/>
        <v>25853.668934002355</v>
      </c>
      <c r="AY490" s="644">
        <f t="shared" si="1475"/>
        <v>6533.0238919914382</v>
      </c>
      <c r="AZ490" s="645">
        <f t="shared" si="1405"/>
        <v>5962.8224935695225</v>
      </c>
      <c r="BA490" s="644">
        <f t="shared" si="1476"/>
        <v>0</v>
      </c>
      <c r="BB490" s="645">
        <f t="shared" si="1477"/>
        <v>6533.0238919914382</v>
      </c>
      <c r="BC490" s="646">
        <f t="shared" si="1478"/>
        <v>-46.980878729365671</v>
      </c>
      <c r="BD490" s="647">
        <f t="shared" si="1479"/>
        <v>6486.0430132620722</v>
      </c>
      <c r="BE490" s="644">
        <f t="shared" si="1438"/>
        <v>0</v>
      </c>
      <c r="BF490" s="645">
        <f t="shared" si="1439"/>
        <v>6486.0430132620722</v>
      </c>
      <c r="BG490" s="646">
        <f t="shared" si="1480"/>
        <v>-154.49225883218151</v>
      </c>
      <c r="BH490" s="647">
        <f t="shared" si="1440"/>
        <v>6331.5507544298907</v>
      </c>
      <c r="BI490" s="644">
        <f t="shared" si="1481"/>
        <v>0</v>
      </c>
      <c r="BJ490" s="645">
        <f t="shared" si="1482"/>
        <v>6331.5507544298907</v>
      </c>
      <c r="BK490" s="646">
        <f t="shared" si="1483"/>
        <v>-13.411711601928847</v>
      </c>
      <c r="BL490" s="647">
        <f t="shared" si="1441"/>
        <v>6318.1390428279619</v>
      </c>
      <c r="BM490" s="644">
        <f t="shared" si="1484"/>
        <v>0</v>
      </c>
      <c r="BN490" s="645">
        <f t="shared" si="1485"/>
        <v>6318.1390428279619</v>
      </c>
      <c r="BO490" s="646">
        <f t="shared" si="1486"/>
        <v>-0.28907248103468802</v>
      </c>
      <c r="BP490" s="647">
        <f t="shared" si="1442"/>
        <v>6317.849970346927</v>
      </c>
      <c r="BQ490" s="644">
        <f t="shared" si="1487"/>
        <v>0</v>
      </c>
      <c r="BR490" s="645">
        <f t="shared" si="1488"/>
        <v>6317.849970346927</v>
      </c>
      <c r="BS490" s="646">
        <f t="shared" si="1489"/>
        <v>0</v>
      </c>
      <c r="BT490" s="647">
        <f t="shared" si="1443"/>
        <v>6317.849970346927</v>
      </c>
      <c r="BU490" s="662">
        <f>VLOOKUP(B490,'Afton Update'!$A$5:$AR$582,'Afton Update'!$AO$589,0)-BT490</f>
        <v>0</v>
      </c>
      <c r="BV490" s="644">
        <f t="shared" si="1490"/>
        <v>9702.3612849947094</v>
      </c>
      <c r="BW490" s="645">
        <f t="shared" si="1428"/>
        <v>9558.2114107081288</v>
      </c>
      <c r="BX490" s="644">
        <f t="shared" si="1491"/>
        <v>0</v>
      </c>
      <c r="BY490" s="645">
        <f t="shared" si="1492"/>
        <v>9702.3612849947094</v>
      </c>
      <c r="BZ490" s="646">
        <f t="shared" si="1493"/>
        <v>-85.158656541926447</v>
      </c>
      <c r="CA490" s="647">
        <f t="shared" si="1494"/>
        <v>9617.2026284527838</v>
      </c>
      <c r="CB490" s="644">
        <f t="shared" si="1444"/>
        <v>0</v>
      </c>
      <c r="CC490" s="645">
        <f t="shared" si="1445"/>
        <v>9617.2026284527838</v>
      </c>
      <c r="CD490" s="646">
        <f t="shared" si="1495"/>
        <v>-3.08053120136795</v>
      </c>
      <c r="CE490" s="647">
        <f t="shared" si="1446"/>
        <v>9614.1220972514166</v>
      </c>
      <c r="CF490" s="644">
        <f t="shared" si="1496"/>
        <v>0</v>
      </c>
      <c r="CG490" s="645">
        <f t="shared" si="1497"/>
        <v>9614.1220972514166</v>
      </c>
      <c r="CH490" s="646">
        <f t="shared" si="1498"/>
        <v>0</v>
      </c>
      <c r="CI490" s="647">
        <f t="shared" si="1447"/>
        <v>9614.1220972514166</v>
      </c>
      <c r="CJ490" s="644">
        <f t="shared" si="1499"/>
        <v>0</v>
      </c>
      <c r="CK490" s="645">
        <f t="shared" si="1500"/>
        <v>9614.1220972514166</v>
      </c>
      <c r="CL490" s="646">
        <f t="shared" si="1501"/>
        <v>0</v>
      </c>
      <c r="CM490" s="647">
        <f t="shared" si="1448"/>
        <v>9614.1220972514166</v>
      </c>
      <c r="CN490" s="644">
        <f t="shared" si="1502"/>
        <v>0</v>
      </c>
      <c r="CO490" s="645">
        <f t="shared" si="1503"/>
        <v>9614.1220972514166</v>
      </c>
      <c r="CP490" s="646">
        <f t="shared" si="1504"/>
        <v>0</v>
      </c>
      <c r="CQ490" s="647">
        <f t="shared" si="1449"/>
        <v>9614.1220972514166</v>
      </c>
      <c r="CS490" s="644">
        <f t="shared" si="1505"/>
        <v>8519.7244009799542</v>
      </c>
      <c r="CT490" s="645">
        <f t="shared" si="1429"/>
        <v>8384.7636946312668</v>
      </c>
      <c r="CU490" s="644">
        <f t="shared" si="1506"/>
        <v>0</v>
      </c>
      <c r="CV490" s="645">
        <f t="shared" si="1507"/>
        <v>8519.7244009799542</v>
      </c>
      <c r="CW490" s="646">
        <f t="shared" si="1508"/>
        <v>-87.24679254952062</v>
      </c>
      <c r="CX490" s="647">
        <f t="shared" si="1509"/>
        <v>8432.477608430434</v>
      </c>
      <c r="CY490" s="644">
        <f t="shared" si="1450"/>
        <v>0</v>
      </c>
      <c r="CZ490" s="645">
        <f t="shared" si="1451"/>
        <v>8432.477608430434</v>
      </c>
      <c r="DA490" s="646">
        <f t="shared" si="1510"/>
        <v>-6.6195255456515882</v>
      </c>
      <c r="DB490" s="647">
        <f t="shared" si="1452"/>
        <v>8425.8580828847826</v>
      </c>
      <c r="DC490" s="644">
        <f t="shared" si="1511"/>
        <v>0</v>
      </c>
      <c r="DD490" s="645">
        <f t="shared" si="1512"/>
        <v>8425.8580828847826</v>
      </c>
      <c r="DE490" s="646">
        <f t="shared" si="1513"/>
        <v>-5.7085163055253709E-3</v>
      </c>
      <c r="DF490" s="647">
        <f t="shared" si="1453"/>
        <v>8425.8523743684764</v>
      </c>
      <c r="DG490" s="644">
        <f t="shared" si="1514"/>
        <v>0</v>
      </c>
      <c r="DH490" s="645">
        <f t="shared" si="1515"/>
        <v>8425.8523743684764</v>
      </c>
      <c r="DI490" s="646">
        <f t="shared" si="1516"/>
        <v>0</v>
      </c>
      <c r="DJ490" s="647">
        <f t="shared" si="1454"/>
        <v>8425.8523743684764</v>
      </c>
      <c r="DK490" s="644">
        <f t="shared" si="1517"/>
        <v>0</v>
      </c>
      <c r="DL490" s="645">
        <f t="shared" si="1518"/>
        <v>8425.8523743684764</v>
      </c>
      <c r="DM490" s="646">
        <f t="shared" si="1519"/>
        <v>0</v>
      </c>
      <c r="DN490" s="647">
        <f t="shared" si="1455"/>
        <v>8425.8523743684764</v>
      </c>
      <c r="DR490" s="827">
        <f t="shared" si="1520"/>
        <v>50211.493375969178</v>
      </c>
      <c r="DV490" s="828">
        <f>IFERROR(VLOOKUP($B490,'Afton FY16 Final'!$A$5:$BV$587,'Afton FY16 Final'!$BV$587,0),0)</f>
        <v>53786.944791663635</v>
      </c>
      <c r="DX490" s="636">
        <f t="shared" si="1521"/>
        <v>0</v>
      </c>
      <c r="DY490" s="637">
        <f t="shared" si="1522"/>
        <v>0</v>
      </c>
      <c r="DZ490" s="637">
        <f t="shared" si="1523"/>
        <v>0</v>
      </c>
      <c r="EA490" s="643">
        <f t="shared" si="1524"/>
        <v>0</v>
      </c>
      <c r="EB490" s="637">
        <f t="shared" si="1525"/>
        <v>0</v>
      </c>
      <c r="EC490" s="637">
        <f t="shared" si="1526"/>
        <v>0</v>
      </c>
      <c r="ED490" s="637">
        <f t="shared" si="1527"/>
        <v>0</v>
      </c>
      <c r="EE490" s="643">
        <f t="shared" si="1528"/>
        <v>0</v>
      </c>
      <c r="EF490" s="637">
        <f t="shared" si="1529"/>
        <v>0</v>
      </c>
      <c r="EG490" s="637">
        <f t="shared" si="1530"/>
        <v>0</v>
      </c>
      <c r="EH490" s="637">
        <f t="shared" si="1531"/>
        <v>0</v>
      </c>
      <c r="EI490" s="643">
        <f t="shared" si="1532"/>
        <v>0</v>
      </c>
      <c r="EJ490" s="637">
        <f t="shared" si="1533"/>
        <v>0</v>
      </c>
      <c r="EK490" s="637">
        <f t="shared" si="1534"/>
        <v>0</v>
      </c>
      <c r="EL490" s="637">
        <f t="shared" si="1535"/>
        <v>0</v>
      </c>
      <c r="EM490" s="643">
        <f t="shared" si="1536"/>
        <v>0</v>
      </c>
      <c r="EN490" s="637">
        <f t="shared" si="1537"/>
        <v>0</v>
      </c>
      <c r="EO490" s="637">
        <f t="shared" si="1538"/>
        <v>0</v>
      </c>
      <c r="EP490" s="637">
        <f t="shared" si="1539"/>
        <v>0</v>
      </c>
      <c r="EQ490" s="643">
        <f t="shared" si="1540"/>
        <v>0</v>
      </c>
      <c r="ER490" s="637">
        <f t="shared" si="1541"/>
        <v>0</v>
      </c>
      <c r="ES490" s="637">
        <f t="shared" si="1542"/>
        <v>0</v>
      </c>
      <c r="ET490" s="637">
        <f t="shared" si="1543"/>
        <v>0</v>
      </c>
      <c r="EU490" s="643">
        <f t="shared" si="1544"/>
        <v>0</v>
      </c>
      <c r="EV490" s="643">
        <f t="shared" si="1545"/>
        <v>0</v>
      </c>
      <c r="EX490" s="829">
        <f t="shared" si="1546"/>
        <v>0</v>
      </c>
      <c r="EY490" s="638">
        <f t="shared" si="1547"/>
        <v>50211.493375969178</v>
      </c>
      <c r="FC490" s="830" t="str">
        <f t="shared" si="1426"/>
        <v>Y</v>
      </c>
      <c r="FE490" s="830" t="str">
        <f>IFERROR(VLOOKUP($B490,'Historical Conc Grant Elig'!$B$3:$J$707,'HH &amp; SI'!FE$2,0),"N")</f>
        <v>Y</v>
      </c>
      <c r="FF490" s="830" t="str">
        <f>IFERROR(VLOOKUP($B490,'Historical Conc Grant Elig'!$B$3:$J$707,'HH &amp; SI'!FF$2,0),"N")</f>
        <v>Y</v>
      </c>
      <c r="FG490" s="830" t="str">
        <f>IFERROR(VLOOKUP($B490,'Historical Conc Grant Elig'!$B$3:$J$707,'HH &amp; SI'!FG$2,0),"N")</f>
        <v>Y</v>
      </c>
      <c r="FH490" s="830" t="str">
        <f>IFERROR(VLOOKUP($B490,'Historical Conc Grant Elig'!$B$3:$J$707,'HH &amp; SI'!FH$2,0),"N")</f>
        <v>Y</v>
      </c>
      <c r="FI490" s="830" t="str">
        <f>IFERROR(VLOOKUP($B490,'Historical Conc Grant Elig'!$B$3:$J$707,'HH &amp; SI'!FI$2,0),"N")</f>
        <v>Y</v>
      </c>
      <c r="FJ490" s="830" t="str">
        <f>IFERROR(VLOOKUP($B490,'Historical Conc Grant Elig'!$B$3:$J$707,'HH &amp; SI'!FJ$2,0),"N")</f>
        <v>Y</v>
      </c>
      <c r="FK490" s="830" t="str">
        <f>IFERROR(VLOOKUP($B490,'Historical Conc Grant Elig'!$B$3:$J$707,'HH &amp; SI'!FK$2,0),"N")</f>
        <v>Y</v>
      </c>
      <c r="FL490" s="957" t="str">
        <f>IFERROR(VLOOKUP($B490,'Historical Conc Grant Elig'!$B$3:$J$707,'HH &amp; SI'!FL$2,0),"N")</f>
        <v>Y</v>
      </c>
    </row>
    <row r="491" spans="2:168" x14ac:dyDescent="0.25">
      <c r="B491" s="634">
        <v>150419000</v>
      </c>
      <c r="C491" s="635" t="str">
        <f>VLOOKUP($B491,'Afton Update'!$A$5:$CR$582,'Afton Update'!D$589,0)</f>
        <v>Wenden Elementary District</v>
      </c>
      <c r="D491" s="636">
        <f>IFERROR(VLOOKUP($B491,'Afton FY16 Final'!$A$5:$BV$587,'Afton FY16 Final'!AQ$587,0),0)</f>
        <v>24480.684134106577</v>
      </c>
      <c r="E491" s="637">
        <f>IFERROR(VLOOKUP($B491,'Afton FY16 Final'!$A$5:$BV$587,'Afton FY16 Final'!AR$587,0),0)</f>
        <v>5820.7651962211103</v>
      </c>
      <c r="F491" s="637">
        <f>IFERROR(VLOOKUP($B491,'Afton FY16 Final'!$A$5:$BV$587,'Afton FY16 Final'!AS$587,0),0)</f>
        <v>18461.189884096158</v>
      </c>
      <c r="G491" s="637">
        <f>IFERROR(VLOOKUP($B491,'Afton FY16 Final'!$A$5:$BV$587,'Afton FY16 Final'!AT$587,0),0)</f>
        <v>21956.59586060961</v>
      </c>
      <c r="H491" s="638">
        <f>IFERROR(VLOOKUP($B491,'Afton FY16 Final'!$A$5:$BV$587,'Afton FY16 Final'!AU$587,0),0)</f>
        <v>70719.235075033459</v>
      </c>
      <c r="I491" s="639" t="str">
        <f>VLOOKUP($B491,'Afton Update'!$A$5:$CR$582,'Afton Update'!BT$589,0)</f>
        <v>Y</v>
      </c>
      <c r="J491" s="640" t="str">
        <f>VLOOKUP($B491,'Afton Update'!$A$5:$CR$582,'Afton Update'!BU$589,0)</f>
        <v>Y</v>
      </c>
      <c r="K491" s="640" t="str">
        <f>VLOOKUP($B491,'Afton Update'!$A$5:$CR$582,'Afton Update'!BV$589,0)</f>
        <v>Y</v>
      </c>
      <c r="L491" s="641" t="str">
        <f>VLOOKUP($B491,'Afton Update'!$A$5:$CR$582,'Afton Update'!BW$589,0)</f>
        <v>Y</v>
      </c>
      <c r="N491" s="642">
        <f>VLOOKUP($B491,'Afton Update'!$A$5:$CR$582,'Afton Update'!CB$589,0)</f>
        <v>0.95</v>
      </c>
      <c r="P491" s="636">
        <f>VLOOKUP($B491,'Afton Update'!$A$5:$CR$582,'Afton Update'!AH$589,0)</f>
        <v>23568.871326664561</v>
      </c>
      <c r="Q491" s="637">
        <f>VLOOKUP($B491,'Afton Update'!$A$5:$CR$582,'Afton Update'!AI$589,0)</f>
        <v>5916.8747221903668</v>
      </c>
      <c r="R491" s="637">
        <f>VLOOKUP($B491,'Afton Update'!$A$5:$CR$582,'Afton Update'!AJ$589,0)</f>
        <v>17735.592208262577</v>
      </c>
      <c r="S491" s="637">
        <f>VLOOKUP($B491,'Afton Update'!$A$5:$CR$582,'Afton Update'!AK$589,0)</f>
        <v>21087.654709229217</v>
      </c>
      <c r="T491" s="643">
        <f t="shared" si="1430"/>
        <v>68308.992966346719</v>
      </c>
      <c r="V491" s="636">
        <f t="shared" si="1456"/>
        <v>23256.649927401246</v>
      </c>
      <c r="W491" s="637">
        <f t="shared" si="1457"/>
        <v>5721.9945014990435</v>
      </c>
      <c r="X491" s="637">
        <f t="shared" si="1458"/>
        <v>17574.293921728582</v>
      </c>
      <c r="Y491" s="637">
        <f t="shared" si="1459"/>
        <v>20858.76606757913</v>
      </c>
      <c r="Z491" s="643">
        <f t="shared" si="1460"/>
        <v>67411.704418207999</v>
      </c>
      <c r="AB491" s="644">
        <f t="shared" si="1431"/>
        <v>23568.871326664561</v>
      </c>
      <c r="AC491" s="645">
        <f t="shared" si="1427"/>
        <v>23256.649927401246</v>
      </c>
      <c r="AD491" s="644">
        <f t="shared" si="1461"/>
        <v>0</v>
      </c>
      <c r="AE491" s="645">
        <f t="shared" si="1462"/>
        <v>23568.871326664561</v>
      </c>
      <c r="AF491" s="646">
        <f t="shared" si="1463"/>
        <v>-292.15387162933683</v>
      </c>
      <c r="AG491" s="647">
        <f t="shared" si="1464"/>
        <v>23276.717455035225</v>
      </c>
      <c r="AH491" s="644">
        <f t="shared" si="1432"/>
        <v>0</v>
      </c>
      <c r="AI491" s="645">
        <f t="shared" si="1433"/>
        <v>23276.717455035225</v>
      </c>
      <c r="AJ491" s="646">
        <f t="shared" si="1465"/>
        <v>-29.32213801104858</v>
      </c>
      <c r="AK491" s="647">
        <f t="shared" si="1434"/>
        <v>23247.395317024177</v>
      </c>
      <c r="AL491" s="644">
        <f t="shared" si="1466"/>
        <v>-9.2546103770691843</v>
      </c>
      <c r="AM491" s="645">
        <f t="shared" si="1467"/>
        <v>0</v>
      </c>
      <c r="AN491" s="646">
        <f t="shared" si="1468"/>
        <v>0</v>
      </c>
      <c r="AO491" s="647">
        <f t="shared" si="1435"/>
        <v>23256.649927401246</v>
      </c>
      <c r="AP491" s="644">
        <f t="shared" si="1469"/>
        <v>0</v>
      </c>
      <c r="AQ491" s="645">
        <f t="shared" si="1470"/>
        <v>0</v>
      </c>
      <c r="AR491" s="646">
        <f t="shared" si="1471"/>
        <v>0</v>
      </c>
      <c r="AS491" s="647">
        <f t="shared" si="1436"/>
        <v>23256.649927401246</v>
      </c>
      <c r="AT491" s="644">
        <f t="shared" si="1472"/>
        <v>0</v>
      </c>
      <c r="AU491" s="645">
        <f t="shared" si="1473"/>
        <v>0</v>
      </c>
      <c r="AV491" s="646">
        <f t="shared" si="1474"/>
        <v>0</v>
      </c>
      <c r="AW491" s="647">
        <f t="shared" si="1437"/>
        <v>23256.649927401246</v>
      </c>
      <c r="AY491" s="644">
        <f t="shared" si="1475"/>
        <v>5916.8747221903668</v>
      </c>
      <c r="AZ491" s="645">
        <f t="shared" si="1405"/>
        <v>5529.7269364100548</v>
      </c>
      <c r="BA491" s="644">
        <f t="shared" si="1476"/>
        <v>0</v>
      </c>
      <c r="BB491" s="645">
        <f t="shared" si="1477"/>
        <v>5916.8747221903668</v>
      </c>
      <c r="BC491" s="646">
        <f t="shared" si="1478"/>
        <v>-42.549970484699877</v>
      </c>
      <c r="BD491" s="647">
        <f t="shared" si="1479"/>
        <v>5874.324751705667</v>
      </c>
      <c r="BE491" s="644">
        <f t="shared" si="1438"/>
        <v>0</v>
      </c>
      <c r="BF491" s="645">
        <f t="shared" si="1439"/>
        <v>5874.324751705667</v>
      </c>
      <c r="BG491" s="646">
        <f t="shared" si="1480"/>
        <v>-139.92162835632627</v>
      </c>
      <c r="BH491" s="647">
        <f t="shared" si="1440"/>
        <v>5734.4031233493406</v>
      </c>
      <c r="BI491" s="644">
        <f t="shared" si="1481"/>
        <v>0</v>
      </c>
      <c r="BJ491" s="645">
        <f t="shared" si="1482"/>
        <v>5734.4031233493406</v>
      </c>
      <c r="BK491" s="646">
        <f t="shared" si="1483"/>
        <v>-12.146812666036407</v>
      </c>
      <c r="BL491" s="647">
        <f t="shared" si="1441"/>
        <v>5722.256310683304</v>
      </c>
      <c r="BM491" s="644">
        <f t="shared" si="1484"/>
        <v>0</v>
      </c>
      <c r="BN491" s="645">
        <f t="shared" si="1485"/>
        <v>5722.256310683304</v>
      </c>
      <c r="BO491" s="646">
        <f t="shared" si="1486"/>
        <v>-0.26180918426024963</v>
      </c>
      <c r="BP491" s="647">
        <f t="shared" si="1442"/>
        <v>5721.9945014990435</v>
      </c>
      <c r="BQ491" s="644">
        <f t="shared" si="1487"/>
        <v>0</v>
      </c>
      <c r="BR491" s="645">
        <f t="shared" si="1488"/>
        <v>5721.9945014990435</v>
      </c>
      <c r="BS491" s="646">
        <f t="shared" si="1489"/>
        <v>0</v>
      </c>
      <c r="BT491" s="647">
        <f t="shared" si="1443"/>
        <v>5721.9945014990435</v>
      </c>
      <c r="BU491" s="662">
        <f>VLOOKUP(B491,'Afton Update'!$A$5:$AR$582,'Afton Update'!$AO$589,0)-BT491</f>
        <v>0</v>
      </c>
      <c r="BV491" s="644">
        <f t="shared" si="1490"/>
        <v>17735.592208262577</v>
      </c>
      <c r="BW491" s="645">
        <f t="shared" si="1428"/>
        <v>17538.13038989135</v>
      </c>
      <c r="BX491" s="644">
        <f t="shared" si="1491"/>
        <v>0</v>
      </c>
      <c r="BY491" s="645">
        <f t="shared" si="1492"/>
        <v>17735.592208262577</v>
      </c>
      <c r="BZ491" s="646">
        <f t="shared" si="1493"/>
        <v>-155.66717843901881</v>
      </c>
      <c r="CA491" s="647">
        <f t="shared" si="1494"/>
        <v>17579.925029823557</v>
      </c>
      <c r="CB491" s="644">
        <f t="shared" si="1444"/>
        <v>0</v>
      </c>
      <c r="CC491" s="645">
        <f t="shared" si="1445"/>
        <v>17579.925029823557</v>
      </c>
      <c r="CD491" s="646">
        <f t="shared" si="1495"/>
        <v>-5.6311080949734951</v>
      </c>
      <c r="CE491" s="647">
        <f t="shared" si="1446"/>
        <v>17574.293921728582</v>
      </c>
      <c r="CF491" s="644">
        <f t="shared" si="1496"/>
        <v>0</v>
      </c>
      <c r="CG491" s="645">
        <f t="shared" si="1497"/>
        <v>17574.293921728582</v>
      </c>
      <c r="CH491" s="646">
        <f t="shared" si="1498"/>
        <v>0</v>
      </c>
      <c r="CI491" s="647">
        <f t="shared" si="1447"/>
        <v>17574.293921728582</v>
      </c>
      <c r="CJ491" s="644">
        <f t="shared" si="1499"/>
        <v>0</v>
      </c>
      <c r="CK491" s="645">
        <f t="shared" si="1500"/>
        <v>17574.293921728582</v>
      </c>
      <c r="CL491" s="646">
        <f t="shared" si="1501"/>
        <v>0</v>
      </c>
      <c r="CM491" s="647">
        <f t="shared" si="1448"/>
        <v>17574.293921728582</v>
      </c>
      <c r="CN491" s="644">
        <f t="shared" si="1502"/>
        <v>0</v>
      </c>
      <c r="CO491" s="645">
        <f t="shared" si="1503"/>
        <v>17574.293921728582</v>
      </c>
      <c r="CP491" s="646">
        <f t="shared" si="1504"/>
        <v>0</v>
      </c>
      <c r="CQ491" s="647">
        <f t="shared" si="1449"/>
        <v>17574.293921728582</v>
      </c>
      <c r="CS491" s="644">
        <f t="shared" si="1505"/>
        <v>21087.654709229217</v>
      </c>
      <c r="CT491" s="645">
        <f t="shared" si="1429"/>
        <v>20858.76606757913</v>
      </c>
      <c r="CU491" s="644">
        <f t="shared" si="1506"/>
        <v>0</v>
      </c>
      <c r="CV491" s="645">
        <f t="shared" si="1507"/>
        <v>21087.654709229217</v>
      </c>
      <c r="CW491" s="646">
        <f t="shared" si="1508"/>
        <v>-215.94950131959928</v>
      </c>
      <c r="CX491" s="647">
        <f t="shared" si="1509"/>
        <v>20871.705207909617</v>
      </c>
      <c r="CY491" s="644">
        <f t="shared" si="1450"/>
        <v>0</v>
      </c>
      <c r="CZ491" s="645">
        <f t="shared" si="1451"/>
        <v>20871.705207909617</v>
      </c>
      <c r="DA491" s="646">
        <f t="shared" si="1510"/>
        <v>-16.384364385022462</v>
      </c>
      <c r="DB491" s="647">
        <f t="shared" si="1452"/>
        <v>20855.320843524594</v>
      </c>
      <c r="DC491" s="644">
        <f t="shared" si="1511"/>
        <v>-3.4452240545360837</v>
      </c>
      <c r="DD491" s="645">
        <f t="shared" si="1512"/>
        <v>0</v>
      </c>
      <c r="DE491" s="646">
        <f t="shared" si="1513"/>
        <v>0</v>
      </c>
      <c r="DF491" s="647">
        <f t="shared" si="1453"/>
        <v>20858.76606757913</v>
      </c>
      <c r="DG491" s="644">
        <f t="shared" si="1514"/>
        <v>0</v>
      </c>
      <c r="DH491" s="645">
        <f t="shared" si="1515"/>
        <v>0</v>
      </c>
      <c r="DI491" s="646">
        <f t="shared" si="1516"/>
        <v>0</v>
      </c>
      <c r="DJ491" s="647">
        <f t="shared" si="1454"/>
        <v>20858.76606757913</v>
      </c>
      <c r="DK491" s="644">
        <f t="shared" si="1517"/>
        <v>0</v>
      </c>
      <c r="DL491" s="645">
        <f t="shared" si="1518"/>
        <v>0</v>
      </c>
      <c r="DM491" s="646">
        <f t="shared" si="1519"/>
        <v>0</v>
      </c>
      <c r="DN491" s="647">
        <f t="shared" si="1455"/>
        <v>20858.76606757913</v>
      </c>
      <c r="DR491" s="827">
        <f t="shared" si="1520"/>
        <v>67411.704418207999</v>
      </c>
      <c r="DV491" s="828">
        <f>IFERROR(VLOOKUP($B491,'Afton FY16 Final'!$A$5:$BV$587,'Afton FY16 Final'!$BV$587,0),0)</f>
        <v>69326.773348117786</v>
      </c>
      <c r="DX491" s="636">
        <f t="shared" si="1521"/>
        <v>0</v>
      </c>
      <c r="DY491" s="637">
        <f t="shared" si="1522"/>
        <v>0</v>
      </c>
      <c r="DZ491" s="637">
        <f t="shared" si="1523"/>
        <v>0</v>
      </c>
      <c r="EA491" s="643">
        <f t="shared" si="1524"/>
        <v>0</v>
      </c>
      <c r="EB491" s="637">
        <f t="shared" si="1525"/>
        <v>0</v>
      </c>
      <c r="EC491" s="637">
        <f t="shared" si="1526"/>
        <v>0</v>
      </c>
      <c r="ED491" s="637">
        <f t="shared" si="1527"/>
        <v>0</v>
      </c>
      <c r="EE491" s="643">
        <f t="shared" si="1528"/>
        <v>0</v>
      </c>
      <c r="EF491" s="637">
        <f t="shared" si="1529"/>
        <v>0</v>
      </c>
      <c r="EG491" s="637">
        <f t="shared" si="1530"/>
        <v>0</v>
      </c>
      <c r="EH491" s="637">
        <f t="shared" si="1531"/>
        <v>0</v>
      </c>
      <c r="EI491" s="643">
        <f t="shared" si="1532"/>
        <v>0</v>
      </c>
      <c r="EJ491" s="637">
        <f t="shared" si="1533"/>
        <v>0</v>
      </c>
      <c r="EK491" s="637">
        <f t="shared" si="1534"/>
        <v>0</v>
      </c>
      <c r="EL491" s="637">
        <f t="shared" si="1535"/>
        <v>0</v>
      </c>
      <c r="EM491" s="643">
        <f t="shared" si="1536"/>
        <v>0</v>
      </c>
      <c r="EN491" s="637">
        <f t="shared" si="1537"/>
        <v>0</v>
      </c>
      <c r="EO491" s="637">
        <f t="shared" si="1538"/>
        <v>0</v>
      </c>
      <c r="EP491" s="637">
        <f t="shared" si="1539"/>
        <v>0</v>
      </c>
      <c r="EQ491" s="643">
        <f t="shared" si="1540"/>
        <v>0</v>
      </c>
      <c r="ER491" s="637">
        <f t="shared" si="1541"/>
        <v>0</v>
      </c>
      <c r="ES491" s="637">
        <f t="shared" si="1542"/>
        <v>0</v>
      </c>
      <c r="ET491" s="637">
        <f t="shared" si="1543"/>
        <v>0</v>
      </c>
      <c r="EU491" s="643">
        <f t="shared" si="1544"/>
        <v>0</v>
      </c>
      <c r="EV491" s="643">
        <f t="shared" si="1545"/>
        <v>0</v>
      </c>
      <c r="EX491" s="829">
        <f t="shared" si="1546"/>
        <v>0</v>
      </c>
      <c r="EY491" s="638">
        <f t="shared" si="1547"/>
        <v>67411.704418207999</v>
      </c>
      <c r="FC491" s="830" t="str">
        <f t="shared" si="1426"/>
        <v>Y</v>
      </c>
      <c r="FE491" s="830" t="str">
        <f>IFERROR(VLOOKUP($B491,'Historical Conc Grant Elig'!$B$3:$J$707,'HH &amp; SI'!FE$2,0),"N")</f>
        <v>Y</v>
      </c>
      <c r="FF491" s="830" t="str">
        <f>IFERROR(VLOOKUP($B491,'Historical Conc Grant Elig'!$B$3:$J$707,'HH &amp; SI'!FF$2,0),"N")</f>
        <v>Y</v>
      </c>
      <c r="FG491" s="830" t="str">
        <f>IFERROR(VLOOKUP($B491,'Historical Conc Grant Elig'!$B$3:$J$707,'HH &amp; SI'!FG$2,0),"N")</f>
        <v>Y</v>
      </c>
      <c r="FH491" s="830" t="str">
        <f>IFERROR(VLOOKUP($B491,'Historical Conc Grant Elig'!$B$3:$J$707,'HH &amp; SI'!FH$2,0),"N")</f>
        <v>Y</v>
      </c>
      <c r="FI491" s="830" t="str">
        <f>IFERROR(VLOOKUP($B491,'Historical Conc Grant Elig'!$B$3:$J$707,'HH &amp; SI'!FI$2,0),"N")</f>
        <v>Y</v>
      </c>
      <c r="FJ491" s="830" t="str">
        <f>IFERROR(VLOOKUP($B491,'Historical Conc Grant Elig'!$B$3:$J$707,'HH &amp; SI'!FJ$2,0),"N")</f>
        <v>Y</v>
      </c>
      <c r="FK491" s="830" t="str">
        <f>IFERROR(VLOOKUP($B491,'Historical Conc Grant Elig'!$B$3:$J$707,'HH &amp; SI'!FK$2,0),"N")</f>
        <v>Y</v>
      </c>
      <c r="FL491" s="957" t="str">
        <f>IFERROR(VLOOKUP($B491,'Historical Conc Grant Elig'!$B$3:$J$707,'HH &amp; SI'!FL$2,0),"N")</f>
        <v>Y</v>
      </c>
    </row>
    <row r="492" spans="2:168" s="896" customFormat="1" x14ac:dyDescent="0.25">
      <c r="B492" s="888">
        <v>150426000</v>
      </c>
      <c r="C492" s="889" t="str">
        <f>VLOOKUP($B492,'Afton Update'!$A$5:$CR$582,'Afton Update'!D$589,0)</f>
        <v>Bouse Elementary District</v>
      </c>
      <c r="D492" s="890">
        <f>IFERROR(VLOOKUP($B492,'Afton FY16 Final'!$A$5:$BV$587,'Afton FY16 Final'!AQ$587,0),0)</f>
        <v>6708.3975066181392</v>
      </c>
      <c r="E492" s="891">
        <f>IFERROR(VLOOKUP($B492,'Afton FY16 Final'!$A$5:$BV$587,'Afton FY16 Final'!AR$587,0),0)</f>
        <v>1619.4784255782163</v>
      </c>
      <c r="F492" s="891">
        <f>IFERROR(VLOOKUP($B492,'Afton FY16 Final'!$A$5:$BV$587,'Afton FY16 Final'!AS$587,0),0)</f>
        <v>4566.7846250500179</v>
      </c>
      <c r="G492" s="891">
        <f>IFERROR(VLOOKUP($B492,'Afton FY16 Final'!$A$5:$BV$587,'Afton FY16 Final'!AT$587,0),0)</f>
        <v>5204.7371547140337</v>
      </c>
      <c r="H492" s="892">
        <f>IFERROR(VLOOKUP($B492,'Afton FY16 Final'!$A$5:$BV$587,'Afton FY16 Final'!AU$587,0),0)</f>
        <v>18099.39771196041</v>
      </c>
      <c r="I492" s="893" t="str">
        <f>VLOOKUP($B492,'Afton Update'!$A$5:$CR$582,'Afton Update'!BT$589,0)</f>
        <v>N</v>
      </c>
      <c r="J492" s="894" t="str">
        <f>VLOOKUP($B492,'Afton Update'!$A$5:$CR$582,'Afton Update'!BU$589,0)</f>
        <v>N</v>
      </c>
      <c r="K492" s="894" t="str">
        <f>VLOOKUP($B492,'Afton Update'!$A$5:$CR$582,'Afton Update'!BV$589,0)</f>
        <v>N</v>
      </c>
      <c r="L492" s="895" t="str">
        <f>VLOOKUP($B492,'Afton Update'!$A$5:$CR$582,'Afton Update'!BW$589,0)</f>
        <v>N</v>
      </c>
      <c r="N492" s="897">
        <f>VLOOKUP($B492,'Afton Update'!$A$5:$CR$582,'Afton Update'!CB$589,0)</f>
        <v>0.9</v>
      </c>
      <c r="P492" s="890" t="str">
        <f>VLOOKUP($B492,'Afton Update'!$A$5:$CR$582,'Afton Update'!AH$589,0)</f>
        <v/>
      </c>
      <c r="Q492" s="891" t="str">
        <f>VLOOKUP($B492,'Afton Update'!$A$5:$CR$582,'Afton Update'!AI$589,0)</f>
        <v/>
      </c>
      <c r="R492" s="891" t="str">
        <f>VLOOKUP($B492,'Afton Update'!$A$5:$CR$582,'Afton Update'!AJ$589,0)</f>
        <v/>
      </c>
      <c r="S492" s="891" t="str">
        <f>VLOOKUP($B492,'Afton Update'!$A$5:$CR$582,'Afton Update'!AK$589,0)</f>
        <v/>
      </c>
      <c r="T492" s="898">
        <f t="shared" si="1430"/>
        <v>0</v>
      </c>
      <c r="V492" s="890">
        <f t="shared" si="1456"/>
        <v>0</v>
      </c>
      <c r="W492" s="891">
        <f t="shared" si="1457"/>
        <v>1457.5305830203947</v>
      </c>
      <c r="X492" s="891">
        <f t="shared" si="1458"/>
        <v>0</v>
      </c>
      <c r="Y492" s="891">
        <f t="shared" si="1459"/>
        <v>0</v>
      </c>
      <c r="Z492" s="898">
        <f t="shared" si="1460"/>
        <v>1457.5305830203947</v>
      </c>
      <c r="AB492" s="899">
        <f t="shared" si="1431"/>
        <v>0</v>
      </c>
      <c r="AC492" s="900">
        <f t="shared" si="1427"/>
        <v>0</v>
      </c>
      <c r="AD492" s="899">
        <f t="shared" si="1461"/>
        <v>0</v>
      </c>
      <c r="AE492" s="900">
        <f t="shared" si="1462"/>
        <v>0</v>
      </c>
      <c r="AF492" s="901">
        <f t="shared" si="1463"/>
        <v>0</v>
      </c>
      <c r="AG492" s="902">
        <f t="shared" si="1464"/>
        <v>0</v>
      </c>
      <c r="AH492" s="899">
        <f t="shared" si="1432"/>
        <v>0</v>
      </c>
      <c r="AI492" s="900">
        <f t="shared" si="1433"/>
        <v>0</v>
      </c>
      <c r="AJ492" s="901">
        <f t="shared" si="1465"/>
        <v>0</v>
      </c>
      <c r="AK492" s="902">
        <f t="shared" si="1434"/>
        <v>0</v>
      </c>
      <c r="AL492" s="899">
        <f t="shared" si="1466"/>
        <v>0</v>
      </c>
      <c r="AM492" s="900">
        <f t="shared" si="1467"/>
        <v>0</v>
      </c>
      <c r="AN492" s="901">
        <f t="shared" si="1468"/>
        <v>0</v>
      </c>
      <c r="AO492" s="902">
        <f t="shared" si="1435"/>
        <v>0</v>
      </c>
      <c r="AP492" s="899">
        <f t="shared" si="1469"/>
        <v>0</v>
      </c>
      <c r="AQ492" s="900">
        <f t="shared" si="1470"/>
        <v>0</v>
      </c>
      <c r="AR492" s="901">
        <f t="shared" si="1471"/>
        <v>0</v>
      </c>
      <c r="AS492" s="902">
        <f t="shared" si="1436"/>
        <v>0</v>
      </c>
      <c r="AT492" s="899">
        <f t="shared" si="1472"/>
        <v>0</v>
      </c>
      <c r="AU492" s="900">
        <f t="shared" si="1473"/>
        <v>0</v>
      </c>
      <c r="AV492" s="901">
        <f t="shared" si="1474"/>
        <v>0</v>
      </c>
      <c r="AW492" s="902">
        <f t="shared" si="1437"/>
        <v>0</v>
      </c>
      <c r="AY492" s="899">
        <f t="shared" si="1475"/>
        <v>0</v>
      </c>
      <c r="AZ492" s="900">
        <f t="shared" si="1405"/>
        <v>1457.5305830203947</v>
      </c>
      <c r="BA492" s="899">
        <f t="shared" si="1476"/>
        <v>0</v>
      </c>
      <c r="BB492" s="900">
        <f t="shared" si="1477"/>
        <v>0</v>
      </c>
      <c r="BC492" s="901">
        <f t="shared" si="1478"/>
        <v>0</v>
      </c>
      <c r="BD492" s="902">
        <f t="shared" si="1479"/>
        <v>0</v>
      </c>
      <c r="BE492" s="899">
        <f t="shared" si="1438"/>
        <v>-1457.5305830203947</v>
      </c>
      <c r="BF492" s="900">
        <f t="shared" si="1439"/>
        <v>0</v>
      </c>
      <c r="BG492" s="901">
        <f t="shared" si="1480"/>
        <v>0</v>
      </c>
      <c r="BH492" s="902">
        <f t="shared" si="1440"/>
        <v>1457.5305830203947</v>
      </c>
      <c r="BI492" s="899">
        <f t="shared" si="1481"/>
        <v>0</v>
      </c>
      <c r="BJ492" s="900">
        <f t="shared" si="1482"/>
        <v>0</v>
      </c>
      <c r="BK492" s="901">
        <f t="shared" si="1483"/>
        <v>0</v>
      </c>
      <c r="BL492" s="902">
        <f t="shared" si="1441"/>
        <v>1457.5305830203947</v>
      </c>
      <c r="BM492" s="899">
        <f t="shared" si="1484"/>
        <v>0</v>
      </c>
      <c r="BN492" s="900">
        <f t="shared" si="1485"/>
        <v>0</v>
      </c>
      <c r="BO492" s="901">
        <f t="shared" si="1486"/>
        <v>0</v>
      </c>
      <c r="BP492" s="902">
        <f t="shared" si="1442"/>
        <v>1457.5305830203947</v>
      </c>
      <c r="BQ492" s="899">
        <f t="shared" si="1487"/>
        <v>0</v>
      </c>
      <c r="BR492" s="900">
        <f t="shared" si="1488"/>
        <v>0</v>
      </c>
      <c r="BS492" s="901">
        <f t="shared" si="1489"/>
        <v>0</v>
      </c>
      <c r="BT492" s="902">
        <f t="shared" si="1443"/>
        <v>1457.5305830203947</v>
      </c>
      <c r="BU492" s="903">
        <f>VLOOKUP(B492,'Afton Update'!$A$5:$AR$582,'Afton Update'!$AO$589,0)-BT492</f>
        <v>0</v>
      </c>
      <c r="BV492" s="899">
        <f t="shared" si="1490"/>
        <v>0</v>
      </c>
      <c r="BW492" s="900">
        <f t="shared" si="1428"/>
        <v>0</v>
      </c>
      <c r="BX492" s="899">
        <f t="shared" si="1491"/>
        <v>0</v>
      </c>
      <c r="BY492" s="900">
        <f t="shared" si="1492"/>
        <v>0</v>
      </c>
      <c r="BZ492" s="901">
        <f t="shared" si="1493"/>
        <v>0</v>
      </c>
      <c r="CA492" s="902">
        <f t="shared" si="1494"/>
        <v>0</v>
      </c>
      <c r="CB492" s="899">
        <f t="shared" si="1444"/>
        <v>0</v>
      </c>
      <c r="CC492" s="900">
        <f t="shared" si="1445"/>
        <v>0</v>
      </c>
      <c r="CD492" s="901">
        <f t="shared" si="1495"/>
        <v>0</v>
      </c>
      <c r="CE492" s="902">
        <f t="shared" si="1446"/>
        <v>0</v>
      </c>
      <c r="CF492" s="899">
        <f t="shared" si="1496"/>
        <v>0</v>
      </c>
      <c r="CG492" s="900">
        <f t="shared" si="1497"/>
        <v>0</v>
      </c>
      <c r="CH492" s="901">
        <f t="shared" si="1498"/>
        <v>0</v>
      </c>
      <c r="CI492" s="902">
        <f t="shared" si="1447"/>
        <v>0</v>
      </c>
      <c r="CJ492" s="899">
        <f t="shared" si="1499"/>
        <v>0</v>
      </c>
      <c r="CK492" s="900">
        <f t="shared" si="1500"/>
        <v>0</v>
      </c>
      <c r="CL492" s="901">
        <f t="shared" si="1501"/>
        <v>0</v>
      </c>
      <c r="CM492" s="902">
        <f t="shared" si="1448"/>
        <v>0</v>
      </c>
      <c r="CN492" s="899">
        <f t="shared" si="1502"/>
        <v>0</v>
      </c>
      <c r="CO492" s="900">
        <f t="shared" si="1503"/>
        <v>0</v>
      </c>
      <c r="CP492" s="901">
        <f t="shared" si="1504"/>
        <v>0</v>
      </c>
      <c r="CQ492" s="902">
        <f t="shared" si="1449"/>
        <v>0</v>
      </c>
      <c r="CS492" s="899">
        <f t="shared" si="1505"/>
        <v>0</v>
      </c>
      <c r="CT492" s="900">
        <f t="shared" si="1429"/>
        <v>0</v>
      </c>
      <c r="CU492" s="899">
        <f t="shared" si="1506"/>
        <v>0</v>
      </c>
      <c r="CV492" s="900">
        <f t="shared" si="1507"/>
        <v>0</v>
      </c>
      <c r="CW492" s="901">
        <f t="shared" si="1508"/>
        <v>0</v>
      </c>
      <c r="CX492" s="902">
        <f t="shared" si="1509"/>
        <v>0</v>
      </c>
      <c r="CY492" s="899">
        <f t="shared" si="1450"/>
        <v>0</v>
      </c>
      <c r="CZ492" s="900">
        <f t="shared" si="1451"/>
        <v>0</v>
      </c>
      <c r="DA492" s="901">
        <f t="shared" si="1510"/>
        <v>0</v>
      </c>
      <c r="DB492" s="902">
        <f t="shared" si="1452"/>
        <v>0</v>
      </c>
      <c r="DC492" s="899">
        <f t="shared" si="1511"/>
        <v>0</v>
      </c>
      <c r="DD492" s="900">
        <f t="shared" si="1512"/>
        <v>0</v>
      </c>
      <c r="DE492" s="901">
        <f t="shared" si="1513"/>
        <v>0</v>
      </c>
      <c r="DF492" s="902">
        <f t="shared" si="1453"/>
        <v>0</v>
      </c>
      <c r="DG492" s="899">
        <f t="shared" si="1514"/>
        <v>0</v>
      </c>
      <c r="DH492" s="900">
        <f t="shared" si="1515"/>
        <v>0</v>
      </c>
      <c r="DI492" s="901">
        <f t="shared" si="1516"/>
        <v>0</v>
      </c>
      <c r="DJ492" s="902">
        <f t="shared" si="1454"/>
        <v>0</v>
      </c>
      <c r="DK492" s="899">
        <f t="shared" si="1517"/>
        <v>0</v>
      </c>
      <c r="DL492" s="900">
        <f t="shared" si="1518"/>
        <v>0</v>
      </c>
      <c r="DM492" s="901">
        <f t="shared" si="1519"/>
        <v>0</v>
      </c>
      <c r="DN492" s="902">
        <f t="shared" si="1455"/>
        <v>0</v>
      </c>
      <c r="DR492" s="904">
        <f t="shared" si="1520"/>
        <v>1457.5305830203947</v>
      </c>
      <c r="DV492" s="905">
        <f>IFERROR(VLOOKUP($B492,'Afton FY16 Final'!$A$5:$BV$587,'Afton FY16 Final'!$BV$587,0),0)</f>
        <v>17743.020574009326</v>
      </c>
      <c r="DX492" s="890">
        <f t="shared" si="1521"/>
        <v>0</v>
      </c>
      <c r="DY492" s="891">
        <f t="shared" si="1522"/>
        <v>0</v>
      </c>
      <c r="DZ492" s="891">
        <f t="shared" si="1523"/>
        <v>0</v>
      </c>
      <c r="EA492" s="898">
        <f t="shared" si="1524"/>
        <v>0</v>
      </c>
      <c r="EB492" s="891">
        <f t="shared" si="1525"/>
        <v>0</v>
      </c>
      <c r="EC492" s="891">
        <f t="shared" si="1526"/>
        <v>0</v>
      </c>
      <c r="ED492" s="891">
        <f t="shared" si="1527"/>
        <v>0</v>
      </c>
      <c r="EE492" s="898">
        <f t="shared" si="1528"/>
        <v>0</v>
      </c>
      <c r="EF492" s="891">
        <f t="shared" si="1529"/>
        <v>0</v>
      </c>
      <c r="EG492" s="891">
        <f t="shared" si="1530"/>
        <v>0</v>
      </c>
      <c r="EH492" s="891">
        <f t="shared" si="1531"/>
        <v>0</v>
      </c>
      <c r="EI492" s="898">
        <f t="shared" si="1532"/>
        <v>0</v>
      </c>
      <c r="EJ492" s="891">
        <f t="shared" si="1533"/>
        <v>0</v>
      </c>
      <c r="EK492" s="891">
        <f t="shared" si="1534"/>
        <v>0</v>
      </c>
      <c r="EL492" s="891">
        <f t="shared" si="1535"/>
        <v>0</v>
      </c>
      <c r="EM492" s="898">
        <f t="shared" si="1536"/>
        <v>0</v>
      </c>
      <c r="EN492" s="891">
        <f t="shared" si="1537"/>
        <v>0</v>
      </c>
      <c r="EO492" s="891">
        <f t="shared" si="1538"/>
        <v>0</v>
      </c>
      <c r="EP492" s="891">
        <f t="shared" si="1539"/>
        <v>0</v>
      </c>
      <c r="EQ492" s="898">
        <f t="shared" si="1540"/>
        <v>0</v>
      </c>
      <c r="ER492" s="891">
        <f t="shared" si="1541"/>
        <v>0</v>
      </c>
      <c r="ES492" s="891">
        <f t="shared" si="1542"/>
        <v>0</v>
      </c>
      <c r="ET492" s="891">
        <f t="shared" si="1543"/>
        <v>0</v>
      </c>
      <c r="EU492" s="898">
        <f t="shared" si="1544"/>
        <v>0</v>
      </c>
      <c r="EV492" s="898">
        <f t="shared" si="1545"/>
        <v>0</v>
      </c>
      <c r="EX492" s="906">
        <f t="shared" si="1546"/>
        <v>0</v>
      </c>
      <c r="EY492" s="892">
        <f t="shared" si="1547"/>
        <v>1457.5305830203947</v>
      </c>
      <c r="FC492" s="907" t="str">
        <f t="shared" si="1426"/>
        <v>Y</v>
      </c>
      <c r="FE492" s="907" t="str">
        <f>IFERROR(VLOOKUP($B492,'Historical Conc Grant Elig'!$B$3:$J$707,'HH &amp; SI'!FE$2,0),"N")</f>
        <v>Y</v>
      </c>
      <c r="FF492" s="907" t="str">
        <f>IFERROR(VLOOKUP($B492,'Historical Conc Grant Elig'!$B$3:$J$707,'HH &amp; SI'!FF$2,0),"N")</f>
        <v>Y</v>
      </c>
      <c r="FG492" s="907" t="str">
        <f>IFERROR(VLOOKUP($B492,'Historical Conc Grant Elig'!$B$3:$J$707,'HH &amp; SI'!FG$2,0),"N")</f>
        <v>Y</v>
      </c>
      <c r="FH492" s="907" t="str">
        <f>IFERROR(VLOOKUP($B492,'Historical Conc Grant Elig'!$B$3:$J$707,'HH &amp; SI'!FH$2,0),"N")</f>
        <v>Y</v>
      </c>
      <c r="FI492" s="907" t="str">
        <f>IFERROR(VLOOKUP($B492,'Historical Conc Grant Elig'!$B$3:$J$707,'HH &amp; SI'!FI$2,0),"N")</f>
        <v>Y</v>
      </c>
      <c r="FJ492" s="907" t="str">
        <f>IFERROR(VLOOKUP($B492,'Historical Conc Grant Elig'!$B$3:$J$707,'HH &amp; SI'!FJ$2,0),"N")</f>
        <v>Y</v>
      </c>
      <c r="FK492" s="907" t="str">
        <f>IFERROR(VLOOKUP($B492,'Historical Conc Grant Elig'!$B$3:$J$707,'HH &amp; SI'!FK$2,0),"N")</f>
        <v>Y</v>
      </c>
      <c r="FL492" s="957" t="str">
        <f>IFERROR(VLOOKUP($B492,'Historical Conc Grant Elig'!$B$3:$J$707,'HH &amp; SI'!FL$2,0),"N")</f>
        <v>N</v>
      </c>
    </row>
    <row r="493" spans="2:168" x14ac:dyDescent="0.25">
      <c r="B493" s="634">
        <v>150430000</v>
      </c>
      <c r="C493" s="635" t="str">
        <f>VLOOKUP($B493,'Afton Update'!$A$5:$CR$582,'Afton Update'!D$589,0)</f>
        <v>Salome Consolidated Elementary District</v>
      </c>
      <c r="D493" s="636">
        <f>IFERROR(VLOOKUP($B493,'Afton FY16 Final'!$A$5:$BV$587,'Afton FY16 Final'!AQ$587,0),0)</f>
        <v>30839.107484912671</v>
      </c>
      <c r="E493" s="637">
        <f>IFERROR(VLOOKUP($B493,'Afton FY16 Final'!$A$5:$BV$587,'Afton FY16 Final'!AR$587,0),0)</f>
        <v>7236.2701205603717</v>
      </c>
      <c r="F493" s="637">
        <f>IFERROR(VLOOKUP($B493,'Afton FY16 Final'!$A$5:$BV$587,'Afton FY16 Final'!AS$587,0),0)</f>
        <v>21083.672274531698</v>
      </c>
      <c r="G493" s="637">
        <f>IFERROR(VLOOKUP($B493,'Afton FY16 Final'!$A$5:$BV$587,'Afton FY16 Final'!AT$587,0),0)</f>
        <v>22333.089501033042</v>
      </c>
      <c r="H493" s="638">
        <f>IFERROR(VLOOKUP($B493,'Afton FY16 Final'!$A$5:$BV$587,'Afton FY16 Final'!AU$587,0),0)</f>
        <v>81492.139381037778</v>
      </c>
      <c r="I493" s="639" t="str">
        <f>VLOOKUP($B493,'Afton Update'!$A$5:$CR$582,'Afton Update'!BT$589,0)</f>
        <v>Y</v>
      </c>
      <c r="J493" s="640" t="str">
        <f>VLOOKUP($B493,'Afton Update'!$A$5:$CR$582,'Afton Update'!BU$589,0)</f>
        <v>Y</v>
      </c>
      <c r="K493" s="640" t="str">
        <f>VLOOKUP($B493,'Afton Update'!$A$5:$CR$582,'Afton Update'!BV$589,0)</f>
        <v>Y</v>
      </c>
      <c r="L493" s="641" t="str">
        <f>VLOOKUP($B493,'Afton Update'!$A$5:$CR$582,'Afton Update'!BW$589,0)</f>
        <v>Y</v>
      </c>
      <c r="N493" s="642">
        <f>VLOOKUP($B493,'Afton Update'!$A$5:$CR$582,'Afton Update'!CB$589,0)</f>
        <v>0.95</v>
      </c>
      <c r="P493" s="636">
        <f>VLOOKUP($B493,'Afton Update'!$A$5:$CR$582,'Afton Update'!AH$589,0)</f>
        <v>29671.398362778451</v>
      </c>
      <c r="Q493" s="637">
        <f>VLOOKUP($B493,'Afton Update'!$A$5:$CR$582,'Afton Update'!AI$589,0)</f>
        <v>7318.7404009386109</v>
      </c>
      <c r="R493" s="637">
        <f>VLOOKUP($B493,'Afton Update'!$A$5:$CR$582,'Afton Update'!AJ$589,0)</f>
        <v>20382.913247839118</v>
      </c>
      <c r="S493" s="637">
        <f>VLOOKUP($B493,'Afton Update'!$A$5:$CR$582,'Afton Update'!AK$589,0)</f>
        <v>21455.58946534785</v>
      </c>
      <c r="T493" s="643">
        <f t="shared" si="1430"/>
        <v>78828.641476904028</v>
      </c>
      <c r="V493" s="636">
        <f t="shared" si="1456"/>
        <v>29297.152110667037</v>
      </c>
      <c r="W493" s="637">
        <f t="shared" si="1457"/>
        <v>7077.6878501437841</v>
      </c>
      <c r="X493" s="637">
        <f t="shared" si="1458"/>
        <v>20197.538610057596</v>
      </c>
      <c r="Y493" s="637">
        <f t="shared" si="1459"/>
        <v>21219.187491473625</v>
      </c>
      <c r="Z493" s="643">
        <f t="shared" si="1460"/>
        <v>77791.566062342041</v>
      </c>
      <c r="AB493" s="644">
        <f t="shared" si="1431"/>
        <v>29671.398362778451</v>
      </c>
      <c r="AC493" s="645">
        <f t="shared" si="1427"/>
        <v>29297.152110667037</v>
      </c>
      <c r="AD493" s="644">
        <f t="shared" si="1461"/>
        <v>0</v>
      </c>
      <c r="AE493" s="645">
        <f t="shared" si="1462"/>
        <v>29671.398362778451</v>
      </c>
      <c r="AF493" s="646">
        <f t="shared" si="1463"/>
        <v>-367.79928016896105</v>
      </c>
      <c r="AG493" s="647">
        <f t="shared" si="1464"/>
        <v>29303.599082609489</v>
      </c>
      <c r="AH493" s="644">
        <f t="shared" si="1432"/>
        <v>0</v>
      </c>
      <c r="AI493" s="645">
        <f t="shared" si="1433"/>
        <v>29303.599082609489</v>
      </c>
      <c r="AJ493" s="646">
        <f t="shared" si="1465"/>
        <v>-36.91431913372476</v>
      </c>
      <c r="AK493" s="647">
        <f t="shared" si="1434"/>
        <v>29266.684763475765</v>
      </c>
      <c r="AL493" s="644">
        <f t="shared" si="1466"/>
        <v>-30.467347191271983</v>
      </c>
      <c r="AM493" s="645">
        <f t="shared" si="1467"/>
        <v>0</v>
      </c>
      <c r="AN493" s="646">
        <f t="shared" si="1468"/>
        <v>0</v>
      </c>
      <c r="AO493" s="647">
        <f t="shared" si="1435"/>
        <v>29297.152110667037</v>
      </c>
      <c r="AP493" s="644">
        <f t="shared" si="1469"/>
        <v>0</v>
      </c>
      <c r="AQ493" s="645">
        <f t="shared" si="1470"/>
        <v>0</v>
      </c>
      <c r="AR493" s="646">
        <f t="shared" si="1471"/>
        <v>0</v>
      </c>
      <c r="AS493" s="647">
        <f t="shared" si="1436"/>
        <v>29297.152110667037</v>
      </c>
      <c r="AT493" s="644">
        <f t="shared" si="1472"/>
        <v>0</v>
      </c>
      <c r="AU493" s="645">
        <f t="shared" si="1473"/>
        <v>0</v>
      </c>
      <c r="AV493" s="646">
        <f t="shared" si="1474"/>
        <v>0</v>
      </c>
      <c r="AW493" s="647">
        <f t="shared" si="1437"/>
        <v>29297.152110667037</v>
      </c>
      <c r="AY493" s="644">
        <f t="shared" si="1475"/>
        <v>7318.7404009386109</v>
      </c>
      <c r="AZ493" s="645">
        <f t="shared" si="1405"/>
        <v>6874.4566145323524</v>
      </c>
      <c r="BA493" s="644">
        <f t="shared" si="1476"/>
        <v>0</v>
      </c>
      <c r="BB493" s="645">
        <f t="shared" si="1477"/>
        <v>7318.7404009386109</v>
      </c>
      <c r="BC493" s="646">
        <f t="shared" si="1478"/>
        <v>-52.631195126916062</v>
      </c>
      <c r="BD493" s="647">
        <f t="shared" si="1479"/>
        <v>7266.1092058116947</v>
      </c>
      <c r="BE493" s="644">
        <f t="shared" si="1438"/>
        <v>0</v>
      </c>
      <c r="BF493" s="645">
        <f t="shared" si="1439"/>
        <v>7266.1092058116947</v>
      </c>
      <c r="BG493" s="646">
        <f t="shared" si="1480"/>
        <v>-173.07279983062909</v>
      </c>
      <c r="BH493" s="647">
        <f t="shared" si="1440"/>
        <v>7093.0364059810654</v>
      </c>
      <c r="BI493" s="644">
        <f t="shared" si="1481"/>
        <v>0</v>
      </c>
      <c r="BJ493" s="645">
        <f t="shared" si="1482"/>
        <v>7093.0364059810654</v>
      </c>
      <c r="BK493" s="646">
        <f t="shared" si="1483"/>
        <v>-15.024717063579107</v>
      </c>
      <c r="BL493" s="647">
        <f t="shared" si="1441"/>
        <v>7078.011688917486</v>
      </c>
      <c r="BM493" s="644">
        <f t="shared" si="1484"/>
        <v>0</v>
      </c>
      <c r="BN493" s="645">
        <f t="shared" si="1485"/>
        <v>7078.011688917486</v>
      </c>
      <c r="BO493" s="646">
        <f t="shared" si="1486"/>
        <v>-0.32383877370196279</v>
      </c>
      <c r="BP493" s="647">
        <f t="shared" si="1442"/>
        <v>7077.6878501437841</v>
      </c>
      <c r="BQ493" s="644">
        <f t="shared" si="1487"/>
        <v>0</v>
      </c>
      <c r="BR493" s="645">
        <f t="shared" si="1488"/>
        <v>7077.6878501437841</v>
      </c>
      <c r="BS493" s="646">
        <f t="shared" si="1489"/>
        <v>0</v>
      </c>
      <c r="BT493" s="647">
        <f t="shared" si="1443"/>
        <v>7077.6878501437841</v>
      </c>
      <c r="BU493" s="662">
        <f>VLOOKUP(B493,'Afton Update'!$A$5:$AR$582,'Afton Update'!$AO$589,0)-BT493</f>
        <v>0</v>
      </c>
      <c r="BV493" s="644">
        <f t="shared" si="1490"/>
        <v>20382.913247839118</v>
      </c>
      <c r="BW493" s="645">
        <f t="shared" si="1428"/>
        <v>20029.488660805113</v>
      </c>
      <c r="BX493" s="644">
        <f t="shared" si="1491"/>
        <v>0</v>
      </c>
      <c r="BY493" s="645">
        <f t="shared" si="1492"/>
        <v>20382.913247839118</v>
      </c>
      <c r="BZ493" s="646">
        <f t="shared" si="1493"/>
        <v>-178.90299666341073</v>
      </c>
      <c r="CA493" s="647">
        <f t="shared" si="1494"/>
        <v>20204.010251175707</v>
      </c>
      <c r="CB493" s="644">
        <f t="shared" si="1444"/>
        <v>0</v>
      </c>
      <c r="CC493" s="645">
        <f t="shared" si="1445"/>
        <v>20204.010251175707</v>
      </c>
      <c r="CD493" s="646">
        <f t="shared" si="1495"/>
        <v>-6.4716411181114628</v>
      </c>
      <c r="CE493" s="647">
        <f t="shared" si="1446"/>
        <v>20197.538610057596</v>
      </c>
      <c r="CF493" s="644">
        <f t="shared" si="1496"/>
        <v>0</v>
      </c>
      <c r="CG493" s="645">
        <f t="shared" si="1497"/>
        <v>20197.538610057596</v>
      </c>
      <c r="CH493" s="646">
        <f t="shared" si="1498"/>
        <v>0</v>
      </c>
      <c r="CI493" s="647">
        <f t="shared" si="1447"/>
        <v>20197.538610057596</v>
      </c>
      <c r="CJ493" s="644">
        <f t="shared" si="1499"/>
        <v>0</v>
      </c>
      <c r="CK493" s="645">
        <f t="shared" si="1500"/>
        <v>20197.538610057596</v>
      </c>
      <c r="CL493" s="646">
        <f t="shared" si="1501"/>
        <v>0</v>
      </c>
      <c r="CM493" s="647">
        <f t="shared" si="1448"/>
        <v>20197.538610057596</v>
      </c>
      <c r="CN493" s="644">
        <f t="shared" si="1502"/>
        <v>0</v>
      </c>
      <c r="CO493" s="645">
        <f t="shared" si="1503"/>
        <v>20197.538610057596</v>
      </c>
      <c r="CP493" s="646">
        <f t="shared" si="1504"/>
        <v>0</v>
      </c>
      <c r="CQ493" s="647">
        <f t="shared" si="1449"/>
        <v>20197.538610057596</v>
      </c>
      <c r="CS493" s="644">
        <f t="shared" si="1505"/>
        <v>21455.58946534785</v>
      </c>
      <c r="CT493" s="645">
        <f t="shared" si="1429"/>
        <v>21216.435025981391</v>
      </c>
      <c r="CU493" s="644">
        <f t="shared" si="1506"/>
        <v>0</v>
      </c>
      <c r="CV493" s="645">
        <f t="shared" si="1507"/>
        <v>21455.58946534785</v>
      </c>
      <c r="CW493" s="646">
        <f t="shared" si="1508"/>
        <v>-219.71736115027039</v>
      </c>
      <c r="CX493" s="647">
        <f t="shared" si="1509"/>
        <v>21235.87210419758</v>
      </c>
      <c r="CY493" s="644">
        <f t="shared" si="1450"/>
        <v>0</v>
      </c>
      <c r="CZ493" s="645">
        <f t="shared" si="1451"/>
        <v>21235.87210419758</v>
      </c>
      <c r="DA493" s="646">
        <f t="shared" si="1510"/>
        <v>-16.670236721101816</v>
      </c>
      <c r="DB493" s="647">
        <f t="shared" si="1452"/>
        <v>21219.20186747648</v>
      </c>
      <c r="DC493" s="644">
        <f t="shared" si="1511"/>
        <v>0</v>
      </c>
      <c r="DD493" s="645">
        <f t="shared" si="1512"/>
        <v>21219.20186747648</v>
      </c>
      <c r="DE493" s="646">
        <f t="shared" si="1513"/>
        <v>-1.4376002854447824E-2</v>
      </c>
      <c r="DF493" s="647">
        <f t="shared" si="1453"/>
        <v>21219.187491473625</v>
      </c>
      <c r="DG493" s="644">
        <f t="shared" si="1514"/>
        <v>0</v>
      </c>
      <c r="DH493" s="645">
        <f t="shared" si="1515"/>
        <v>21219.187491473625</v>
      </c>
      <c r="DI493" s="646">
        <f t="shared" si="1516"/>
        <v>0</v>
      </c>
      <c r="DJ493" s="647">
        <f t="shared" si="1454"/>
        <v>21219.187491473625</v>
      </c>
      <c r="DK493" s="644">
        <f t="shared" si="1517"/>
        <v>0</v>
      </c>
      <c r="DL493" s="645">
        <f t="shared" si="1518"/>
        <v>21219.187491473625</v>
      </c>
      <c r="DM493" s="646">
        <f t="shared" si="1519"/>
        <v>0</v>
      </c>
      <c r="DN493" s="647">
        <f t="shared" si="1455"/>
        <v>21219.187491473625</v>
      </c>
      <c r="DR493" s="827">
        <f t="shared" si="1520"/>
        <v>77791.566062342041</v>
      </c>
      <c r="DV493" s="828">
        <f>IFERROR(VLOOKUP($B493,'Afton FY16 Final'!$A$5:$BV$587,'Afton FY16 Final'!$BV$587,0),0)</f>
        <v>78607.970705747808</v>
      </c>
      <c r="DX493" s="636">
        <f t="shared" si="1521"/>
        <v>0</v>
      </c>
      <c r="DY493" s="637">
        <f t="shared" si="1522"/>
        <v>0</v>
      </c>
      <c r="DZ493" s="637">
        <f t="shared" si="1523"/>
        <v>0</v>
      </c>
      <c r="EA493" s="643">
        <f t="shared" si="1524"/>
        <v>0</v>
      </c>
      <c r="EB493" s="637">
        <f t="shared" si="1525"/>
        <v>0</v>
      </c>
      <c r="EC493" s="637">
        <f t="shared" si="1526"/>
        <v>0</v>
      </c>
      <c r="ED493" s="637">
        <f t="shared" si="1527"/>
        <v>0</v>
      </c>
      <c r="EE493" s="643">
        <f t="shared" si="1528"/>
        <v>0</v>
      </c>
      <c r="EF493" s="637">
        <f t="shared" si="1529"/>
        <v>0</v>
      </c>
      <c r="EG493" s="637">
        <f t="shared" si="1530"/>
        <v>0</v>
      </c>
      <c r="EH493" s="637">
        <f t="shared" si="1531"/>
        <v>0</v>
      </c>
      <c r="EI493" s="643">
        <f t="shared" si="1532"/>
        <v>0</v>
      </c>
      <c r="EJ493" s="637">
        <f t="shared" si="1533"/>
        <v>0</v>
      </c>
      <c r="EK493" s="637">
        <f t="shared" si="1534"/>
        <v>0</v>
      </c>
      <c r="EL493" s="637">
        <f t="shared" si="1535"/>
        <v>0</v>
      </c>
      <c r="EM493" s="643">
        <f t="shared" si="1536"/>
        <v>0</v>
      </c>
      <c r="EN493" s="637">
        <f t="shared" si="1537"/>
        <v>0</v>
      </c>
      <c r="EO493" s="637">
        <f t="shared" si="1538"/>
        <v>0</v>
      </c>
      <c r="EP493" s="637">
        <f t="shared" si="1539"/>
        <v>0</v>
      </c>
      <c r="EQ493" s="643">
        <f t="shared" si="1540"/>
        <v>0</v>
      </c>
      <c r="ER493" s="637">
        <f t="shared" si="1541"/>
        <v>0</v>
      </c>
      <c r="ES493" s="637">
        <f t="shared" si="1542"/>
        <v>0</v>
      </c>
      <c r="ET493" s="637">
        <f t="shared" si="1543"/>
        <v>0</v>
      </c>
      <c r="EU493" s="643">
        <f t="shared" si="1544"/>
        <v>0</v>
      </c>
      <c r="EV493" s="643">
        <f t="shared" si="1545"/>
        <v>0</v>
      </c>
      <c r="EX493" s="829">
        <f t="shared" si="1546"/>
        <v>0</v>
      </c>
      <c r="EY493" s="638">
        <f t="shared" si="1547"/>
        <v>77791.566062342041</v>
      </c>
      <c r="FC493" s="830" t="str">
        <f t="shared" si="1426"/>
        <v>Y</v>
      </c>
      <c r="FE493" s="830" t="str">
        <f>IFERROR(VLOOKUP($B493,'Historical Conc Grant Elig'!$B$3:$J$707,'HH &amp; SI'!FE$2,0),"N")</f>
        <v>Y</v>
      </c>
      <c r="FF493" s="830" t="str">
        <f>IFERROR(VLOOKUP($B493,'Historical Conc Grant Elig'!$B$3:$J$707,'HH &amp; SI'!FF$2,0),"N")</f>
        <v>Y</v>
      </c>
      <c r="FG493" s="830" t="str">
        <f>IFERROR(VLOOKUP($B493,'Historical Conc Grant Elig'!$B$3:$J$707,'HH &amp; SI'!FG$2,0),"N")</f>
        <v>Y</v>
      </c>
      <c r="FH493" s="830" t="str">
        <f>IFERROR(VLOOKUP($B493,'Historical Conc Grant Elig'!$B$3:$J$707,'HH &amp; SI'!FH$2,0),"N")</f>
        <v>Y</v>
      </c>
      <c r="FI493" s="830" t="str">
        <f>IFERROR(VLOOKUP($B493,'Historical Conc Grant Elig'!$B$3:$J$707,'HH &amp; SI'!FI$2,0),"N")</f>
        <v>Y</v>
      </c>
      <c r="FJ493" s="830" t="str">
        <f>IFERROR(VLOOKUP($B493,'Historical Conc Grant Elig'!$B$3:$J$707,'HH &amp; SI'!FJ$2,0),"N")</f>
        <v>Y</v>
      </c>
      <c r="FK493" s="830" t="str">
        <f>IFERROR(VLOOKUP($B493,'Historical Conc Grant Elig'!$B$3:$J$707,'HH &amp; SI'!FK$2,0),"N")</f>
        <v>Y</v>
      </c>
      <c r="FL493" s="957" t="str">
        <f>IFERROR(VLOOKUP($B493,'Historical Conc Grant Elig'!$B$3:$J$707,'HH &amp; SI'!FL$2,0),"N")</f>
        <v>Y</v>
      </c>
    </row>
    <row r="494" spans="2:168" x14ac:dyDescent="0.25">
      <c r="B494" s="634">
        <v>150576000</v>
      </c>
      <c r="C494" s="635" t="str">
        <f>VLOOKUP($B494,'Afton Update'!$A$5:$CR$582,'Afton Update'!D$589,0)</f>
        <v>Bicentennial Union High School District</v>
      </c>
      <c r="D494" s="636">
        <f>IFERROR(VLOOKUP($B494,'Afton FY16 Final'!$A$5:$BV$587,'Afton FY16 Final'!AQ$587,0),0)</f>
        <v>59768.125411793961</v>
      </c>
      <c r="E494" s="637">
        <f>IFERROR(VLOOKUP($B494,'Afton FY16 Final'!$A$5:$BV$587,'Afton FY16 Final'!AR$587,0),0)</f>
        <v>14023.242289544682</v>
      </c>
      <c r="F494" s="637">
        <f>IFERROR(VLOOKUP($B494,'Afton FY16 Final'!$A$5:$BV$587,'Afton FY16 Final'!AS$587,0),0)</f>
        <v>35885.38077452479</v>
      </c>
      <c r="G494" s="637">
        <f>IFERROR(VLOOKUP($B494,'Afton FY16 Final'!$A$5:$BV$587,'Afton FY16 Final'!AT$587,0),0)</f>
        <v>37678.62468806126</v>
      </c>
      <c r="H494" s="638">
        <f>IFERROR(VLOOKUP($B494,'Afton FY16 Final'!$A$5:$BV$587,'Afton FY16 Final'!AU$587,0),0)</f>
        <v>147355.3731639247</v>
      </c>
      <c r="I494" s="639" t="str">
        <f>VLOOKUP($B494,'Afton Update'!$A$5:$CR$582,'Afton Update'!BT$589,0)</f>
        <v>Y</v>
      </c>
      <c r="J494" s="640" t="str">
        <f>VLOOKUP($B494,'Afton Update'!$A$5:$CR$582,'Afton Update'!BU$589,0)</f>
        <v>Y</v>
      </c>
      <c r="K494" s="640" t="str">
        <f>VLOOKUP($B494,'Afton Update'!$A$5:$CR$582,'Afton Update'!BV$589,0)</f>
        <v>Y</v>
      </c>
      <c r="L494" s="641" t="str">
        <f>VLOOKUP($B494,'Afton Update'!$A$5:$CR$582,'Afton Update'!BW$589,0)</f>
        <v>Y</v>
      </c>
      <c r="N494" s="642">
        <f>VLOOKUP($B494,'Afton Update'!$A$5:$CR$582,'Afton Update'!CB$589,0)</f>
        <v>0.95</v>
      </c>
      <c r="P494" s="636">
        <f>VLOOKUP($B494,'Afton Update'!$A$5:$CR$582,'Afton Update'!AH$589,0)</f>
        <v>57415.811698093275</v>
      </c>
      <c r="Q494" s="637">
        <f>VLOOKUP($B494,'Afton Update'!$A$5:$CR$582,'Afton Update'!AI$589,0)</f>
        <v>13885.063407830268</v>
      </c>
      <c r="R494" s="637">
        <f>VLOOKUP($B494,'Afton Update'!$A$5:$CR$582,'Afton Update'!AJ$589,0)</f>
        <v>34422.268033021581</v>
      </c>
      <c r="S494" s="637">
        <f>VLOOKUP($B494,'Afton Update'!$A$5:$CR$582,'Afton Update'!AK$589,0)</f>
        <v>36165.218633901692</v>
      </c>
      <c r="T494" s="643">
        <f t="shared" si="1430"/>
        <v>141888.36177284681</v>
      </c>
      <c r="V494" s="636">
        <f t="shared" si="1456"/>
        <v>56779.719141204259</v>
      </c>
      <c r="W494" s="637">
        <f t="shared" si="1457"/>
        <v>13427.740184290855</v>
      </c>
      <c r="X494" s="637">
        <f t="shared" si="1458"/>
        <v>34109.210944927647</v>
      </c>
      <c r="Y494" s="637">
        <f t="shared" si="1459"/>
        <v>35794.693453658198</v>
      </c>
      <c r="Z494" s="643">
        <f t="shared" si="1460"/>
        <v>140111.36372408096</v>
      </c>
      <c r="AB494" s="644">
        <f t="shared" si="1431"/>
        <v>57415.811698093275</v>
      </c>
      <c r="AC494" s="645">
        <f t="shared" si="1427"/>
        <v>56779.719141204259</v>
      </c>
      <c r="AD494" s="644">
        <f t="shared" si="1461"/>
        <v>0</v>
      </c>
      <c r="AE494" s="645">
        <f t="shared" si="1462"/>
        <v>57415.811698093275</v>
      </c>
      <c r="AF494" s="646">
        <f t="shared" si="1463"/>
        <v>-711.71213283180975</v>
      </c>
      <c r="AG494" s="647">
        <f t="shared" si="1464"/>
        <v>56704.099565261466</v>
      </c>
      <c r="AH494" s="644">
        <f t="shared" si="1432"/>
        <v>-75.619575942793745</v>
      </c>
      <c r="AI494" s="645">
        <f t="shared" si="1433"/>
        <v>0</v>
      </c>
      <c r="AJ494" s="646">
        <f t="shared" si="1465"/>
        <v>0</v>
      </c>
      <c r="AK494" s="647">
        <f t="shared" si="1434"/>
        <v>56779.719141204259</v>
      </c>
      <c r="AL494" s="644">
        <f t="shared" si="1466"/>
        <v>0</v>
      </c>
      <c r="AM494" s="645">
        <f t="shared" si="1467"/>
        <v>0</v>
      </c>
      <c r="AN494" s="646">
        <f t="shared" si="1468"/>
        <v>0</v>
      </c>
      <c r="AO494" s="647">
        <f t="shared" si="1435"/>
        <v>56779.719141204259</v>
      </c>
      <c r="AP494" s="644">
        <f t="shared" si="1469"/>
        <v>0</v>
      </c>
      <c r="AQ494" s="645">
        <f t="shared" si="1470"/>
        <v>0</v>
      </c>
      <c r="AR494" s="646">
        <f t="shared" si="1471"/>
        <v>0</v>
      </c>
      <c r="AS494" s="647">
        <f t="shared" si="1436"/>
        <v>56779.719141204259</v>
      </c>
      <c r="AT494" s="644">
        <f t="shared" si="1472"/>
        <v>0</v>
      </c>
      <c r="AU494" s="645">
        <f t="shared" si="1473"/>
        <v>0</v>
      </c>
      <c r="AV494" s="646">
        <f t="shared" si="1474"/>
        <v>0</v>
      </c>
      <c r="AW494" s="647">
        <f t="shared" si="1437"/>
        <v>56779.719141204259</v>
      </c>
      <c r="AY494" s="644">
        <f t="shared" si="1475"/>
        <v>13885.063407830268</v>
      </c>
      <c r="AZ494" s="645">
        <f t="shared" si="1405"/>
        <v>13322.080175067447</v>
      </c>
      <c r="BA494" s="644">
        <f t="shared" si="1476"/>
        <v>0</v>
      </c>
      <c r="BB494" s="645">
        <f t="shared" si="1477"/>
        <v>13885.063407830268</v>
      </c>
      <c r="BC494" s="646">
        <f t="shared" si="1478"/>
        <v>-99.851537495905063</v>
      </c>
      <c r="BD494" s="647">
        <f t="shared" si="1479"/>
        <v>13785.211870334364</v>
      </c>
      <c r="BE494" s="644">
        <f t="shared" si="1438"/>
        <v>0</v>
      </c>
      <c r="BF494" s="645">
        <f t="shared" si="1439"/>
        <v>13785.211870334364</v>
      </c>
      <c r="BG494" s="646">
        <f t="shared" si="1480"/>
        <v>-328.35251261416596</v>
      </c>
      <c r="BH494" s="647">
        <f t="shared" si="1440"/>
        <v>13456.859357720197</v>
      </c>
      <c r="BI494" s="644">
        <f t="shared" si="1481"/>
        <v>0</v>
      </c>
      <c r="BJ494" s="645">
        <f t="shared" si="1482"/>
        <v>13456.859357720197</v>
      </c>
      <c r="BK494" s="646">
        <f t="shared" si="1483"/>
        <v>-28.504788759244747</v>
      </c>
      <c r="BL494" s="647">
        <f t="shared" si="1441"/>
        <v>13428.354568960953</v>
      </c>
      <c r="BM494" s="644">
        <f t="shared" si="1484"/>
        <v>0</v>
      </c>
      <c r="BN494" s="645">
        <f t="shared" si="1485"/>
        <v>13428.354568960953</v>
      </c>
      <c r="BO494" s="646">
        <f t="shared" si="1486"/>
        <v>-0.61438467009829756</v>
      </c>
      <c r="BP494" s="647">
        <f t="shared" si="1442"/>
        <v>13427.740184290855</v>
      </c>
      <c r="BQ494" s="644">
        <f t="shared" si="1487"/>
        <v>0</v>
      </c>
      <c r="BR494" s="645">
        <f t="shared" si="1488"/>
        <v>13427.740184290855</v>
      </c>
      <c r="BS494" s="646">
        <f t="shared" si="1489"/>
        <v>0</v>
      </c>
      <c r="BT494" s="647">
        <f t="shared" si="1443"/>
        <v>13427.740184290855</v>
      </c>
      <c r="BU494" s="662">
        <f>VLOOKUP(B494,'Afton Update'!$A$5:$AR$582,'Afton Update'!$AO$589,0)-BT494</f>
        <v>0</v>
      </c>
      <c r="BV494" s="644">
        <f t="shared" si="1490"/>
        <v>34422.268033021581</v>
      </c>
      <c r="BW494" s="645">
        <f t="shared" si="1428"/>
        <v>34091.111735798549</v>
      </c>
      <c r="BX494" s="644">
        <f t="shared" si="1491"/>
        <v>0</v>
      </c>
      <c r="BY494" s="645">
        <f t="shared" si="1492"/>
        <v>34422.268033021581</v>
      </c>
      <c r="BZ494" s="646">
        <f t="shared" si="1493"/>
        <v>-302.12790626048275</v>
      </c>
      <c r="CA494" s="647">
        <f t="shared" si="1494"/>
        <v>34120.1401267611</v>
      </c>
      <c r="CB494" s="644">
        <f t="shared" si="1444"/>
        <v>0</v>
      </c>
      <c r="CC494" s="645">
        <f t="shared" si="1445"/>
        <v>34120.1401267611</v>
      </c>
      <c r="CD494" s="646">
        <f t="shared" si="1495"/>
        <v>-10.929181833454201</v>
      </c>
      <c r="CE494" s="647">
        <f t="shared" si="1446"/>
        <v>34109.210944927647</v>
      </c>
      <c r="CF494" s="644">
        <f t="shared" si="1496"/>
        <v>0</v>
      </c>
      <c r="CG494" s="645">
        <f t="shared" si="1497"/>
        <v>34109.210944927647</v>
      </c>
      <c r="CH494" s="646">
        <f t="shared" si="1498"/>
        <v>0</v>
      </c>
      <c r="CI494" s="647">
        <f t="shared" si="1447"/>
        <v>34109.210944927647</v>
      </c>
      <c r="CJ494" s="644">
        <f t="shared" si="1499"/>
        <v>0</v>
      </c>
      <c r="CK494" s="645">
        <f t="shared" si="1500"/>
        <v>34109.210944927647</v>
      </c>
      <c r="CL494" s="646">
        <f t="shared" si="1501"/>
        <v>0</v>
      </c>
      <c r="CM494" s="647">
        <f t="shared" si="1448"/>
        <v>34109.210944927647</v>
      </c>
      <c r="CN494" s="644">
        <f t="shared" si="1502"/>
        <v>0</v>
      </c>
      <c r="CO494" s="645">
        <f t="shared" si="1503"/>
        <v>34109.210944927647</v>
      </c>
      <c r="CP494" s="646">
        <f t="shared" si="1504"/>
        <v>0</v>
      </c>
      <c r="CQ494" s="647">
        <f t="shared" si="1449"/>
        <v>34109.210944927647</v>
      </c>
      <c r="CS494" s="644">
        <f t="shared" si="1505"/>
        <v>36165.218633901692</v>
      </c>
      <c r="CT494" s="645">
        <f t="shared" si="1429"/>
        <v>35794.693453658198</v>
      </c>
      <c r="CU494" s="644">
        <f t="shared" si="1506"/>
        <v>0</v>
      </c>
      <c r="CV494" s="645">
        <f t="shared" si="1507"/>
        <v>36165.218633901692</v>
      </c>
      <c r="CW494" s="646">
        <f t="shared" si="1508"/>
        <v>-370.35227657095925</v>
      </c>
      <c r="CX494" s="647">
        <f t="shared" si="1509"/>
        <v>35794.866357330735</v>
      </c>
      <c r="CY494" s="644">
        <f t="shared" si="1450"/>
        <v>0</v>
      </c>
      <c r="CZ494" s="645">
        <f t="shared" si="1451"/>
        <v>35794.866357330735</v>
      </c>
      <c r="DA494" s="646">
        <f t="shared" si="1510"/>
        <v>-28.099100081647155</v>
      </c>
      <c r="DB494" s="647">
        <f t="shared" si="1452"/>
        <v>35766.767257249085</v>
      </c>
      <c r="DC494" s="644">
        <f t="shared" si="1511"/>
        <v>-27.92619640911289</v>
      </c>
      <c r="DD494" s="645">
        <f t="shared" si="1512"/>
        <v>0</v>
      </c>
      <c r="DE494" s="646">
        <f t="shared" si="1513"/>
        <v>0</v>
      </c>
      <c r="DF494" s="647">
        <f t="shared" si="1453"/>
        <v>35794.693453658198</v>
      </c>
      <c r="DG494" s="644">
        <f t="shared" si="1514"/>
        <v>0</v>
      </c>
      <c r="DH494" s="645">
        <f t="shared" si="1515"/>
        <v>0</v>
      </c>
      <c r="DI494" s="646">
        <f t="shared" si="1516"/>
        <v>0</v>
      </c>
      <c r="DJ494" s="647">
        <f t="shared" si="1454"/>
        <v>35794.693453658198</v>
      </c>
      <c r="DK494" s="644">
        <f t="shared" si="1517"/>
        <v>0</v>
      </c>
      <c r="DL494" s="645">
        <f t="shared" si="1518"/>
        <v>0</v>
      </c>
      <c r="DM494" s="646">
        <f t="shared" si="1519"/>
        <v>0</v>
      </c>
      <c r="DN494" s="647">
        <f t="shared" si="1455"/>
        <v>35794.693453658198</v>
      </c>
      <c r="DR494" s="827">
        <f t="shared" si="1520"/>
        <v>140111.36372408096</v>
      </c>
      <c r="DV494" s="828">
        <f>IFERROR(VLOOKUP($B494,'Afton FY16 Final'!$A$5:$BV$587,'Afton FY16 Final'!$BV$587,0),0)</f>
        <v>142140.17382515335</v>
      </c>
      <c r="DX494" s="636">
        <f t="shared" si="1521"/>
        <v>0</v>
      </c>
      <c r="DY494" s="637">
        <f t="shared" si="1522"/>
        <v>0</v>
      </c>
      <c r="DZ494" s="637">
        <f t="shared" si="1523"/>
        <v>0</v>
      </c>
      <c r="EA494" s="643">
        <f t="shared" si="1524"/>
        <v>0</v>
      </c>
      <c r="EB494" s="637">
        <f t="shared" si="1525"/>
        <v>0</v>
      </c>
      <c r="EC494" s="637">
        <f t="shared" si="1526"/>
        <v>0</v>
      </c>
      <c r="ED494" s="637">
        <f t="shared" si="1527"/>
        <v>0</v>
      </c>
      <c r="EE494" s="643">
        <f t="shared" si="1528"/>
        <v>0</v>
      </c>
      <c r="EF494" s="637">
        <f t="shared" si="1529"/>
        <v>0</v>
      </c>
      <c r="EG494" s="637">
        <f t="shared" si="1530"/>
        <v>0</v>
      </c>
      <c r="EH494" s="637">
        <f t="shared" si="1531"/>
        <v>0</v>
      </c>
      <c r="EI494" s="643">
        <f t="shared" si="1532"/>
        <v>0</v>
      </c>
      <c r="EJ494" s="637">
        <f t="shared" si="1533"/>
        <v>0</v>
      </c>
      <c r="EK494" s="637">
        <f t="shared" si="1534"/>
        <v>0</v>
      </c>
      <c r="EL494" s="637">
        <f t="shared" si="1535"/>
        <v>0</v>
      </c>
      <c r="EM494" s="643">
        <f t="shared" si="1536"/>
        <v>0</v>
      </c>
      <c r="EN494" s="637">
        <f t="shared" si="1537"/>
        <v>0</v>
      </c>
      <c r="EO494" s="637">
        <f t="shared" si="1538"/>
        <v>0</v>
      </c>
      <c r="EP494" s="637">
        <f t="shared" si="1539"/>
        <v>0</v>
      </c>
      <c r="EQ494" s="643">
        <f t="shared" si="1540"/>
        <v>0</v>
      </c>
      <c r="ER494" s="637">
        <f t="shared" si="1541"/>
        <v>0</v>
      </c>
      <c r="ES494" s="637">
        <f t="shared" si="1542"/>
        <v>0</v>
      </c>
      <c r="ET494" s="637">
        <f t="shared" si="1543"/>
        <v>0</v>
      </c>
      <c r="EU494" s="643">
        <f t="shared" si="1544"/>
        <v>0</v>
      </c>
      <c r="EV494" s="643">
        <f t="shared" si="1545"/>
        <v>0</v>
      </c>
      <c r="EX494" s="829">
        <f t="shared" si="1546"/>
        <v>0</v>
      </c>
      <c r="EY494" s="638">
        <f t="shared" si="1547"/>
        <v>140111.36372408096</v>
      </c>
      <c r="FC494" s="830" t="str">
        <f t="shared" si="1426"/>
        <v>Y</v>
      </c>
      <c r="FE494" s="830" t="str">
        <f>IFERROR(VLOOKUP($B494,'Historical Conc Grant Elig'!$B$3:$J$707,'HH &amp; SI'!FE$2,0),"N")</f>
        <v>Y</v>
      </c>
      <c r="FF494" s="830" t="str">
        <f>IFERROR(VLOOKUP($B494,'Historical Conc Grant Elig'!$B$3:$J$707,'HH &amp; SI'!FF$2,0),"N")</f>
        <v>Y</v>
      </c>
      <c r="FG494" s="830" t="str">
        <f>IFERROR(VLOOKUP($B494,'Historical Conc Grant Elig'!$B$3:$J$707,'HH &amp; SI'!FG$2,0),"N")</f>
        <v>Y</v>
      </c>
      <c r="FH494" s="830" t="str">
        <f>IFERROR(VLOOKUP($B494,'Historical Conc Grant Elig'!$B$3:$J$707,'HH &amp; SI'!FH$2,0),"N")</f>
        <v>Y</v>
      </c>
      <c r="FI494" s="830" t="str">
        <f>IFERROR(VLOOKUP($B494,'Historical Conc Grant Elig'!$B$3:$J$707,'HH &amp; SI'!FI$2,0),"N")</f>
        <v>Y</v>
      </c>
      <c r="FJ494" s="830" t="str">
        <f>IFERROR(VLOOKUP($B494,'Historical Conc Grant Elig'!$B$3:$J$707,'HH &amp; SI'!FJ$2,0),"N")</f>
        <v>Y</v>
      </c>
      <c r="FK494" s="830" t="str">
        <f>IFERROR(VLOOKUP($B494,'Historical Conc Grant Elig'!$B$3:$J$707,'HH &amp; SI'!FK$2,0),"N")</f>
        <v>Y</v>
      </c>
      <c r="FL494" s="957" t="str">
        <f>IFERROR(VLOOKUP($B494,'Historical Conc Grant Elig'!$B$3:$J$707,'HH &amp; SI'!FL$2,0),"N")</f>
        <v>Y</v>
      </c>
    </row>
    <row r="495" spans="2:168" x14ac:dyDescent="0.25">
      <c r="B495" s="634"/>
      <c r="C495" s="635"/>
      <c r="D495" s="636"/>
      <c r="E495" s="637"/>
      <c r="F495" s="637"/>
      <c r="G495" s="637"/>
      <c r="H495" s="638"/>
      <c r="I495" s="639"/>
      <c r="J495" s="640"/>
      <c r="K495" s="640"/>
      <c r="L495" s="641"/>
      <c r="N495" s="642"/>
      <c r="P495" s="636"/>
      <c r="Q495" s="637"/>
      <c r="R495" s="637"/>
      <c r="S495" s="637"/>
      <c r="T495" s="643"/>
      <c r="V495" s="636"/>
      <c r="W495" s="637"/>
      <c r="X495" s="637"/>
      <c r="Y495" s="637"/>
      <c r="Z495" s="643"/>
      <c r="AB495" s="644"/>
      <c r="AC495" s="645"/>
      <c r="AD495" s="644"/>
      <c r="AE495" s="645"/>
      <c r="AF495" s="646"/>
      <c r="AG495" s="647"/>
      <c r="AH495" s="644"/>
      <c r="AI495" s="645"/>
      <c r="AJ495" s="646"/>
      <c r="AK495" s="647"/>
      <c r="AL495" s="644"/>
      <c r="AM495" s="645"/>
      <c r="AN495" s="646"/>
      <c r="AO495" s="647"/>
      <c r="AP495" s="644"/>
      <c r="AQ495" s="645"/>
      <c r="AR495" s="646"/>
      <c r="AS495" s="647"/>
      <c r="AT495" s="644"/>
      <c r="AU495" s="645"/>
      <c r="AV495" s="646"/>
      <c r="AW495" s="647"/>
      <c r="AY495" s="644"/>
      <c r="AZ495" s="645"/>
      <c r="BA495" s="644"/>
      <c r="BB495" s="645"/>
      <c r="BC495" s="646"/>
      <c r="BD495" s="647"/>
      <c r="BE495" s="644"/>
      <c r="BF495" s="645"/>
      <c r="BG495" s="646"/>
      <c r="BH495" s="647"/>
      <c r="BI495" s="644"/>
      <c r="BJ495" s="645"/>
      <c r="BK495" s="646"/>
      <c r="BL495" s="647"/>
      <c r="BM495" s="644"/>
      <c r="BN495" s="645"/>
      <c r="BO495" s="646"/>
      <c r="BP495" s="647"/>
      <c r="BQ495" s="644"/>
      <c r="BR495" s="645"/>
      <c r="BS495" s="646"/>
      <c r="BT495" s="647"/>
      <c r="BU495" s="662" t="e">
        <f>VLOOKUP(B495,'Afton Update'!$A$5:$AR$582,'Afton Update'!$AO$589,0)-BT495</f>
        <v>#N/A</v>
      </c>
      <c r="BV495" s="644"/>
      <c r="BW495" s="645"/>
      <c r="BX495" s="644"/>
      <c r="BY495" s="645"/>
      <c r="BZ495" s="646"/>
      <c r="CA495" s="647"/>
      <c r="CB495" s="644"/>
      <c r="CC495" s="645"/>
      <c r="CD495" s="646"/>
      <c r="CE495" s="647"/>
      <c r="CF495" s="644"/>
      <c r="CG495" s="645"/>
      <c r="CH495" s="646"/>
      <c r="CI495" s="647"/>
      <c r="CJ495" s="644"/>
      <c r="CK495" s="645"/>
      <c r="CL495" s="646"/>
      <c r="CM495" s="647"/>
      <c r="CN495" s="644"/>
      <c r="CO495" s="645"/>
      <c r="CP495" s="646"/>
      <c r="CQ495" s="647"/>
      <c r="CS495" s="644"/>
      <c r="CT495" s="645"/>
      <c r="CU495" s="644"/>
      <c r="CV495" s="645"/>
      <c r="CW495" s="646"/>
      <c r="CX495" s="647"/>
      <c r="CY495" s="644"/>
      <c r="CZ495" s="645"/>
      <c r="DA495" s="646"/>
      <c r="DB495" s="647"/>
      <c r="DC495" s="644"/>
      <c r="DD495" s="645"/>
      <c r="DE495" s="646"/>
      <c r="DF495" s="647"/>
      <c r="DG495" s="644"/>
      <c r="DH495" s="645"/>
      <c r="DI495" s="646"/>
      <c r="DJ495" s="647"/>
      <c r="DK495" s="644"/>
      <c r="DL495" s="645"/>
      <c r="DM495" s="646"/>
      <c r="DN495" s="647"/>
      <c r="DR495" s="827"/>
      <c r="DS495" s="648"/>
      <c r="DT495" s="648"/>
      <c r="DU495" s="648"/>
      <c r="DV495" s="828"/>
      <c r="DW495" s="648"/>
      <c r="DX495" s="636"/>
      <c r="DY495" s="637"/>
      <c r="DZ495" s="637"/>
      <c r="EA495" s="643"/>
      <c r="EB495" s="637"/>
      <c r="EC495" s="637"/>
      <c r="ED495" s="637"/>
      <c r="EE495" s="643"/>
      <c r="EF495" s="637"/>
      <c r="EG495" s="637"/>
      <c r="EH495" s="637"/>
      <c r="EI495" s="643"/>
      <c r="EJ495" s="637"/>
      <c r="EK495" s="637"/>
      <c r="EL495" s="637"/>
      <c r="EM495" s="643"/>
      <c r="EN495" s="637"/>
      <c r="EO495" s="637"/>
      <c r="EP495" s="637"/>
      <c r="EQ495" s="643"/>
      <c r="ER495" s="637"/>
      <c r="ES495" s="637"/>
      <c r="ET495" s="637"/>
      <c r="EU495" s="643"/>
      <c r="EV495" s="643"/>
      <c r="EW495" s="648"/>
      <c r="EX495" s="829"/>
      <c r="EY495" s="638"/>
      <c r="EZ495" s="648"/>
      <c r="FA495" s="832"/>
      <c r="FB495" s="648"/>
      <c r="FC495" s="640" t="str">
        <f t="shared" si="1426"/>
        <v>N</v>
      </c>
      <c r="FD495" s="648"/>
      <c r="FE495" s="830" t="str">
        <f>IFERROR(VLOOKUP($B495,'Historical Conc Grant Elig'!$B$3:$J$707,'HH &amp; SI'!FE$2,0),"N")</f>
        <v>N</v>
      </c>
      <c r="FF495" s="830" t="str">
        <f>IFERROR(VLOOKUP($B495,'Historical Conc Grant Elig'!$B$3:$J$707,'HH &amp; SI'!FF$2,0),"N")</f>
        <v>N</v>
      </c>
      <c r="FG495" s="830" t="str">
        <f>IFERROR(VLOOKUP($B495,'Historical Conc Grant Elig'!$B$3:$J$707,'HH &amp; SI'!FG$2,0),"N")</f>
        <v>N</v>
      </c>
      <c r="FH495" s="830" t="str">
        <f>IFERROR(VLOOKUP($B495,'Historical Conc Grant Elig'!$B$3:$J$707,'HH &amp; SI'!FH$2,0),"N")</f>
        <v>N</v>
      </c>
      <c r="FI495" s="830" t="str">
        <f>IFERROR(VLOOKUP($B495,'Historical Conc Grant Elig'!$B$3:$J$707,'HH &amp; SI'!FI$2,0),"N")</f>
        <v>N</v>
      </c>
      <c r="FJ495" s="830" t="str">
        <f>IFERROR(VLOOKUP($B495,'Historical Conc Grant Elig'!$B$3:$J$707,'HH &amp; SI'!FJ$2,0),"N")</f>
        <v>N</v>
      </c>
      <c r="FK495" s="830" t="str">
        <f>IFERROR(VLOOKUP($B495,'Historical Conc Grant Elig'!$B$3:$J$707,'HH &amp; SI'!FK$2,0),"N")</f>
        <v>N</v>
      </c>
      <c r="FL495" s="957" t="str">
        <f>IFERROR(VLOOKUP($B495,'Historical Conc Grant Elig'!$B$3:$J$707,'HH &amp; SI'!FL$2,0),"N")</f>
        <v>N</v>
      </c>
    </row>
    <row r="496" spans="2:168" x14ac:dyDescent="0.25">
      <c r="B496" s="634">
        <v>108796000</v>
      </c>
      <c r="C496" s="635" t="str">
        <f>VLOOKUP(B496,'[1]Afton Final'!$C$5:$D$606,2,0)</f>
        <v>Arizona Virtual Academy Totals</v>
      </c>
      <c r="D496" s="636">
        <f>'Afton FY16 Final'!AK568</f>
        <v>453230.23070965643</v>
      </c>
      <c r="E496" s="637">
        <f>'Afton FY16 Final'!AL568</f>
        <v>106285.17250944149</v>
      </c>
      <c r="F496" s="637">
        <f>'Afton FY16 Final'!AM568</f>
        <v>236456.30300928888</v>
      </c>
      <c r="G496" s="637">
        <f>'Afton FY16 Final'!AN568</f>
        <v>214079.57280341291</v>
      </c>
      <c r="H496" s="638">
        <f>'Afton FY16 Final'!AO568</f>
        <v>1010051.2790317998</v>
      </c>
      <c r="I496" s="639" t="str">
        <f>'Afton Update'!BT578</f>
        <v>Y</v>
      </c>
      <c r="J496" s="640" t="str">
        <f>'Afton Update'!BU578</f>
        <v>Y</v>
      </c>
      <c r="K496" s="640" t="str">
        <f>'Afton Update'!BV578</f>
        <v>Y</v>
      </c>
      <c r="L496" s="641" t="str">
        <f>'Afton Update'!BW578</f>
        <v>Y</v>
      </c>
      <c r="N496" s="642">
        <f>'Afton Update'!CB578</f>
        <v>0.9</v>
      </c>
      <c r="P496" s="636">
        <f>'Afton Update'!AH578</f>
        <v>525281.40923406114</v>
      </c>
      <c r="Q496" s="637">
        <f>'Afton Update'!AI578</f>
        <v>126535.2366127852</v>
      </c>
      <c r="R496" s="637">
        <f>'Afton Update'!AJ578</f>
        <v>292517.19640507805</v>
      </c>
      <c r="S496" s="637">
        <f>'Afton Update'!AK578</f>
        <v>272275.25462768361</v>
      </c>
      <c r="T496" s="643">
        <f>SUM(P496:S496)</f>
        <v>1216609.096879608</v>
      </c>
      <c r="V496" s="636">
        <f t="shared" ref="V496" si="1548">AW496</f>
        <v>518116.22987103264</v>
      </c>
      <c r="W496" s="637">
        <f t="shared" ref="W496" si="1549">BT496</f>
        <v>122367.62854363892</v>
      </c>
      <c r="X496" s="637">
        <f t="shared" ref="X496" si="1550">CQ496</f>
        <v>289856.86671279493</v>
      </c>
      <c r="Y496" s="637">
        <f t="shared" ref="Y496" si="1551">DN496</f>
        <v>269275.27144218091</v>
      </c>
      <c r="Z496" s="643">
        <f t="shared" ref="Z496" si="1552">SUM(V496:Y496)</f>
        <v>1199615.9965696475</v>
      </c>
      <c r="AB496" s="644">
        <f t="shared" ref="AB496" si="1553">IF(P496="",0,P496)</f>
        <v>525281.40923406114</v>
      </c>
      <c r="AC496" s="645">
        <f>IF(I496="N",0,D496*$N496)</f>
        <v>407907.20763869077</v>
      </c>
      <c r="AD496" s="644">
        <f t="shared" ref="AD496" si="1554">IF($I496="N",0,MAX(AC496-AB496,0))</f>
        <v>0</v>
      </c>
      <c r="AE496" s="645">
        <f t="shared" ref="AE496" si="1555">IF(AD496=0,AB496,0)</f>
        <v>525281.40923406114</v>
      </c>
      <c r="AF496" s="646">
        <f t="shared" ref="AF496" si="1556">-IF(AD496=0,((AE496/AE$2)*AD$2),0)</f>
        <v>-6511.2578059274838</v>
      </c>
      <c r="AG496" s="647">
        <f t="shared" ref="AG496" si="1557">IF(AD496=0,AE496+AF496,AD496+AB496)</f>
        <v>518770.15142813366</v>
      </c>
      <c r="AH496" s="644">
        <f t="shared" ref="AH496" si="1558">IF(AG496-AC496&lt;0,AG496-AC496,0)</f>
        <v>0</v>
      </c>
      <c r="AI496" s="645">
        <f t="shared" ref="AI496" si="1559">IF(AND(AH496=0,AD496=0),AG496,0)</f>
        <v>518770.15142813366</v>
      </c>
      <c r="AJ496" s="646">
        <f t="shared" ref="AJ496" si="1560">IF(AND(AH496=0,AD496=0),((AI496/AI$2))*AH$2,0)</f>
        <v>-653.50494568544764</v>
      </c>
      <c r="AK496" s="647">
        <f t="shared" ref="AK496" si="1561">AG496-AH496+AJ496</f>
        <v>518116.64648244821</v>
      </c>
      <c r="AL496" s="644">
        <f t="shared" ref="AL496" si="1562">IF(AK496-AC496&lt;0,AK496-AC496,0)</f>
        <v>0</v>
      </c>
      <c r="AM496" s="645">
        <f t="shared" ref="AM496" si="1563">IF(AND(AH496=0,AD496=0,AL496=0),AK496,0)</f>
        <v>518116.64648244821</v>
      </c>
      <c r="AN496" s="646">
        <f t="shared" ref="AN496" si="1564">IF(AND(AL496=0,AH496=0,AD496=0),((AM496/AM$2))*AL$2,0)</f>
        <v>-0.41661141555665171</v>
      </c>
      <c r="AO496" s="647">
        <f t="shared" ref="AO496" si="1565">AK496-AL496+AN496</f>
        <v>518116.22987103264</v>
      </c>
      <c r="AP496" s="644">
        <f t="shared" ref="AP496" si="1566">IF(AO496-AC496&lt;0,AO496-AC496,0)</f>
        <v>0</v>
      </c>
      <c r="AQ496" s="645">
        <f t="shared" ref="AQ496" si="1567">IF(AND(AH496=0,AD496=0,AL496=0,AP496=0),AO496,0)</f>
        <v>518116.22987103264</v>
      </c>
      <c r="AR496" s="646">
        <f t="shared" ref="AR496" si="1568">IF(AND(AP496=0,AL496=0,AH496=0,AD496=0),((AQ496/AQ$2))*AP$2,0)</f>
        <v>0</v>
      </c>
      <c r="AS496" s="647">
        <f t="shared" ref="AS496" si="1569">AO496-AP496+AR496</f>
        <v>518116.22987103264</v>
      </c>
      <c r="AT496" s="644">
        <f t="shared" ref="AT496" si="1570">IF(AS496-AC496&lt;0,AS496-AC496,0)</f>
        <v>0</v>
      </c>
      <c r="AU496" s="645">
        <f t="shared" ref="AU496" si="1571">IF(AND(AP496=0,AL496=0,AT496=0,AD496=0,AH496=0),AS496,0)</f>
        <v>518116.22987103264</v>
      </c>
      <c r="AV496" s="646">
        <f t="shared" ref="AV496" si="1572">IF(AND(AT496=0,AP496=0,AL496=0),((AU496/AU$2))*AT$2,0)</f>
        <v>0</v>
      </c>
      <c r="AW496" s="647">
        <f t="shared" ref="AW496" si="1573">AS496-AT496+AV496</f>
        <v>518116.22987103264</v>
      </c>
      <c r="AY496" s="644">
        <f t="shared" ref="AY496" si="1574">IF(Q496="",0,Q496)</f>
        <v>126535.2366127852</v>
      </c>
      <c r="AZ496" s="645">
        <f>IF(AND($J496="N",FC496="N"),0,E496*$N496)</f>
        <v>95656.65525849734</v>
      </c>
      <c r="BA496" s="644">
        <f t="shared" ref="BA496" si="1575">IF($J496="N",0,MAX(AZ496-AY496,0))</f>
        <v>0</v>
      </c>
      <c r="BB496" s="645">
        <f t="shared" ref="BB496" si="1576">IF(BA496=0,AY496,0)</f>
        <v>126535.2366127852</v>
      </c>
      <c r="BC496" s="646">
        <f t="shared" ref="BC496" si="1577">-IF(BA496=0,((BB496/BB$2)*BA$2),0)</f>
        <v>-909.95176270275977</v>
      </c>
      <c r="BD496" s="647">
        <f t="shared" ref="BD496" si="1578">IF(BA496=0,BB496+BC496,BA496+AY496)</f>
        <v>125625.28485008245</v>
      </c>
      <c r="BE496" s="644">
        <f t="shared" ref="BE496" si="1579">IF(BD496-AZ496&lt;0,BD496-AZ496,0)</f>
        <v>0</v>
      </c>
      <c r="BF496" s="645">
        <f t="shared" ref="BF496" si="1580">IF(AND(BE496=0,BA496=0),BD496,0)</f>
        <v>125625.28485008245</v>
      </c>
      <c r="BG496" s="646">
        <f t="shared" ref="BG496" si="1581">IF(AND(BE496=0,BA496=0),((BF496/BF$2))*BE$2,0)</f>
        <v>-2992.2919079077146</v>
      </c>
      <c r="BH496" s="647">
        <f t="shared" ref="BH496" si="1582">BD496-BE496+BG496</f>
        <v>122632.99294217474</v>
      </c>
      <c r="BI496" s="644">
        <f t="shared" ref="BI496" si="1583">IF(BH496-AZ496&lt;0,BH496-AZ496,0)</f>
        <v>0</v>
      </c>
      <c r="BJ496" s="645">
        <f t="shared" ref="BJ496" si="1584">IF(AND(BE496=0,BA496=0,BI496=0),BH496,0)</f>
        <v>122632.99294217474</v>
      </c>
      <c r="BK496" s="646">
        <f t="shared" ref="BK496" si="1585">IF(AND(BI496=0,BE496=0,BA496=0),((BJ496/BJ$2))*BI$2,0)</f>
        <v>-259.76548210895891</v>
      </c>
      <c r="BL496" s="647">
        <f t="shared" ref="BL496" si="1586">BH496-BI496+BK496</f>
        <v>122373.22746006578</v>
      </c>
      <c r="BM496" s="644">
        <f t="shared" ref="BM496" si="1587">IF(BL496-AZ496&lt;0,BL496-AZ496,0)</f>
        <v>0</v>
      </c>
      <c r="BN496" s="645">
        <f t="shared" ref="BN496" si="1588">IF(AND(BE496=0,BA496=0,BI496=0,BM496=0),BL496,0)</f>
        <v>122373.22746006578</v>
      </c>
      <c r="BO496" s="646">
        <f t="shared" ref="BO496" si="1589">IF(AND(BM496=0,BI496=0,BE496=0,BA496=0),((BN496/BN$2))*BM$2,0)</f>
        <v>-5.5989164268645002</v>
      </c>
      <c r="BP496" s="647">
        <f t="shared" ref="BP496" si="1590">BL496-BM496+BO496</f>
        <v>122367.62854363892</v>
      </c>
      <c r="BQ496" s="644">
        <f t="shared" ref="BQ496" si="1591">IF(BP496-AZ496&lt;0,BP496-AZ496,0)</f>
        <v>0</v>
      </c>
      <c r="BR496" s="645">
        <f t="shared" ref="BR496" si="1592">IF(AND(BM496=0,BI496=0,BQ496=0,BA496=0,BE496=0),BP496,0)</f>
        <v>122367.62854363892</v>
      </c>
      <c r="BS496" s="646">
        <f t="shared" ref="BS496" si="1593">IF(AND(BQ496=0,BM496=0,BI496=0),((BR496/BR$2))*BQ$2,0)</f>
        <v>0</v>
      </c>
      <c r="BT496" s="647">
        <f t="shared" ref="BT496" si="1594">BP496-BQ496+BS496</f>
        <v>122367.62854363892</v>
      </c>
      <c r="BU496" s="662">
        <f>VLOOKUP(B496,'Afton Update'!$A$5:$AR$582,'Afton Update'!$AO$589,0)-BT496</f>
        <v>0</v>
      </c>
      <c r="BV496" s="644">
        <f t="shared" ref="BV496" si="1595">IF(R496="",0,R496)</f>
        <v>292517.19640507805</v>
      </c>
      <c r="BW496" s="645">
        <f>IF($K496="N",0,F496*$N496)</f>
        <v>212810.67270835998</v>
      </c>
      <c r="BX496" s="644">
        <f t="shared" ref="BX496" si="1596">IF($K496="N",0,MAX(BW496-BV496,0))</f>
        <v>0</v>
      </c>
      <c r="BY496" s="645">
        <f t="shared" ref="BY496" si="1597">IF(BX496=0,BV496,0)</f>
        <v>292517.19640507805</v>
      </c>
      <c r="BZ496" s="646">
        <f t="shared" ref="BZ496" si="1598">-IF(BX496=0,((BY496/BY$2)*BX$2),0)</f>
        <v>-2567.4545329282555</v>
      </c>
      <c r="CA496" s="647">
        <f t="shared" ref="CA496" si="1599">IF(BX496=0,BY496+BZ496,BX496+BV496)</f>
        <v>289949.74187214981</v>
      </c>
      <c r="CB496" s="644">
        <f t="shared" ref="CB496" si="1600">IF(CA496-BW496&lt;0,CA496-BW496,0)</f>
        <v>0</v>
      </c>
      <c r="CC496" s="645">
        <f t="shared" ref="CC496" si="1601">IF(AND(CB496=0,BX496=0),CA496,0)</f>
        <v>289949.74187214981</v>
      </c>
      <c r="CD496" s="646">
        <f t="shared" ref="CD496" si="1602">IF(AND(CB496=0,BX496=0),((CC496/CC$2))*CB$2,0)</f>
        <v>-92.875159354881816</v>
      </c>
      <c r="CE496" s="647">
        <f t="shared" ref="CE496" si="1603">CA496-CB496+CD496</f>
        <v>289856.86671279493</v>
      </c>
      <c r="CF496" s="644">
        <f t="shared" ref="CF496" si="1604">IF(CE496-BW496&lt;0,CE496-BW496,0)</f>
        <v>0</v>
      </c>
      <c r="CG496" s="645">
        <f t="shared" ref="CG496" si="1605">IF(AND(CB496=0,BX496=0,CF496=0),CE496,0)</f>
        <v>289856.86671279493</v>
      </c>
      <c r="CH496" s="646">
        <f t="shared" ref="CH496" si="1606">IF(AND(CF496=0,CB496=0,BX496=0),((CG496/CG$2))*CF$2,0)</f>
        <v>0</v>
      </c>
      <c r="CI496" s="647">
        <f t="shared" ref="CI496" si="1607">CE496-CF496+CH496</f>
        <v>289856.86671279493</v>
      </c>
      <c r="CJ496" s="644">
        <f t="shared" ref="CJ496" si="1608">IF(CI496-BW496&lt;0,CI496-BW496,0)</f>
        <v>0</v>
      </c>
      <c r="CK496" s="645">
        <f t="shared" ref="CK496" si="1609">IF(AND(CB496=0,BX496=0,CF496=0,CJ496=0),CI496,0)</f>
        <v>289856.86671279493</v>
      </c>
      <c r="CL496" s="646">
        <f t="shared" ref="CL496" si="1610">IF(AND(CJ496=0,CF496=0,CB496=0,BX496=0),((CK496/CK$2))*CJ$2,0)</f>
        <v>0</v>
      </c>
      <c r="CM496" s="647">
        <f t="shared" ref="CM496" si="1611">CI496-CJ496+CL496</f>
        <v>289856.86671279493</v>
      </c>
      <c r="CN496" s="644">
        <f t="shared" ref="CN496" si="1612">IF(CM496-BW496&lt;0,CM496-BW496,0)</f>
        <v>0</v>
      </c>
      <c r="CO496" s="645">
        <f t="shared" ref="CO496" si="1613">IF(AND(CJ496=0,CF496=0,CN496=0,BX496=0,CB496=0),CM496,0)</f>
        <v>289856.86671279493</v>
      </c>
      <c r="CP496" s="646">
        <f t="shared" ref="CP496" si="1614">IF(AND(CN496=0,CJ496=0,CF496=0),((CO496/CO$2))*CN$2,0)</f>
        <v>0</v>
      </c>
      <c r="CQ496" s="647">
        <f t="shared" ref="CQ496" si="1615">CM496-CN496+CP496</f>
        <v>289856.86671279493</v>
      </c>
      <c r="CS496" s="644">
        <f t="shared" ref="CS496" si="1616">IF(S496="",0,S496)</f>
        <v>272275.25462768361</v>
      </c>
      <c r="CT496" s="645">
        <f>IF($L496="N",0,G496*$N496)</f>
        <v>192671.61552307164</v>
      </c>
      <c r="CU496" s="644">
        <f t="shared" ref="CU496" si="1617">IF($L496="N",0,MAX(CT496-CS496,0))</f>
        <v>0</v>
      </c>
      <c r="CV496" s="645">
        <f t="shared" ref="CV496" si="1618">IF(CU496=0,CS496,0)</f>
        <v>272275.25462768361</v>
      </c>
      <c r="CW496" s="646">
        <f t="shared" ref="CW496" si="1619">-IF(CU496=0,((CV496/CV$2)*CU$2),0)</f>
        <v>-2788.252476117309</v>
      </c>
      <c r="CX496" s="647">
        <f t="shared" ref="CX496" si="1620">IF(CU496=0,CV496+CW496,CU496+CS496)</f>
        <v>269487.00215156632</v>
      </c>
      <c r="CY496" s="644">
        <f t="shared" ref="CY496" si="1621">IF(CX496-CT496&lt;0,CX496-CT496,0)</f>
        <v>0</v>
      </c>
      <c r="CZ496" s="645">
        <f t="shared" ref="CZ496" si="1622">IF(AND(CY496=0,CU496=0),CX496,0)</f>
        <v>269487.00215156632</v>
      </c>
      <c r="DA496" s="646">
        <f t="shared" ref="DA496" si="1623">IF(AND(CY496=0,CU496=0),((CZ496/CZ$2))*CY$2,0)</f>
        <v>-211.54827534672773</v>
      </c>
      <c r="DB496" s="647">
        <f t="shared" ref="DB496" si="1624">CX496-CY496+DA496</f>
        <v>269275.45387621957</v>
      </c>
      <c r="DC496" s="644">
        <f t="shared" ref="DC496" si="1625">IF(DB496-CT496&lt;0,DB496-CT496,0)</f>
        <v>0</v>
      </c>
      <c r="DD496" s="645">
        <f t="shared" ref="DD496" si="1626">IF(AND(CY496=0,CU496=0,DC496=0),DB496,0)</f>
        <v>269275.45387621957</v>
      </c>
      <c r="DE496" s="646">
        <f t="shared" ref="DE496" si="1627">IF(AND(DC496=0,CY496=0,CU496=0),((DD496/DD$2))*DC$2,0)</f>
        <v>-0.18243403864735658</v>
      </c>
      <c r="DF496" s="647">
        <f t="shared" ref="DF496" si="1628">DB496-DC496+DE496</f>
        <v>269275.27144218091</v>
      </c>
      <c r="DG496" s="644">
        <f t="shared" ref="DG496" si="1629">IF(DF496-CT496&lt;0,DF496-CT496,0)</f>
        <v>0</v>
      </c>
      <c r="DH496" s="645">
        <f t="shared" ref="DH496" si="1630">IF(AND(CY496=0,CU496=0,DC496=0,DG496=0),DF496,0)</f>
        <v>269275.27144218091</v>
      </c>
      <c r="DI496" s="646">
        <f t="shared" ref="DI496" si="1631">IF(AND(DG496=0,DC496=0,CY496=0,CU496=0),((DH496/DH$2))*DG$2,0)</f>
        <v>0</v>
      </c>
      <c r="DJ496" s="647">
        <f t="shared" ref="DJ496" si="1632">DF496-DG496+DI496</f>
        <v>269275.27144218091</v>
      </c>
      <c r="DK496" s="644">
        <f t="shared" ref="DK496" si="1633">IF(DJ496-CT496&lt;0,DJ496-CT496,0)</f>
        <v>0</v>
      </c>
      <c r="DL496" s="645">
        <f t="shared" ref="DL496" si="1634">IF(AND(DG496=0,DC496=0,DK496=0,CU496=0,CY496=0),DJ496,0)</f>
        <v>269275.27144218091</v>
      </c>
      <c r="DM496" s="646">
        <f t="shared" ref="DM496" si="1635">IF(AND(DK496=0,DG496=0,DC496=0),((DL496/DL$2))*DK$2,0)</f>
        <v>0</v>
      </c>
      <c r="DN496" s="647">
        <f t="shared" ref="DN496" si="1636">DJ496-DK496+DM496</f>
        <v>269275.27144218091</v>
      </c>
      <c r="DR496" s="827">
        <f t="shared" ref="DR496" si="1637">Z496</f>
        <v>1199615.9965696475</v>
      </c>
      <c r="DV496" s="828">
        <f>'Afton FY16 Final'!BV568</f>
        <v>982876.40870209469</v>
      </c>
      <c r="DX496" s="636">
        <f t="shared" ref="DX496" si="1638">IF(DR496&gt;DV496,DR496,0)</f>
        <v>1199615.9965696475</v>
      </c>
      <c r="DY496" s="637">
        <f t="shared" ref="DY496" si="1639">IF(DX496&gt;0,DX496-DV496,0)</f>
        <v>216739.58786755276</v>
      </c>
      <c r="DZ496" s="637">
        <f t="shared" ref="DZ496" si="1640">IF(DX496=0,0,DV496)</f>
        <v>982876.40870209469</v>
      </c>
      <c r="EA496" s="643">
        <f t="shared" ref="EA496" si="1641">DX496/$DX$2*$EA$2</f>
        <v>1135809.870129606</v>
      </c>
      <c r="EB496" s="637">
        <f t="shared" ref="EB496" si="1642">IF(EA496&lt;$DZ496,$DZ496,0)</f>
        <v>0</v>
      </c>
      <c r="EC496" s="637">
        <f t="shared" ref="EC496" si="1643">IF(EB496=0,EA496,0)</f>
        <v>1135809.870129606</v>
      </c>
      <c r="ED496" s="637">
        <f t="shared" ref="ED496" si="1644">EC496/EC$2*ED$2</f>
        <v>1132422.9529135041</v>
      </c>
      <c r="EE496" s="643">
        <f t="shared" ref="EE496" si="1645">ED496+EB496</f>
        <v>1132422.9529135041</v>
      </c>
      <c r="EF496" s="637">
        <f t="shared" ref="EF496" si="1646">IF(EE496&lt;$DZ496,$DZ496,0)</f>
        <v>0</v>
      </c>
      <c r="EG496" s="637">
        <f t="shared" ref="EG496" si="1647">IF(EB496+EF496=0,EE496,0)</f>
        <v>1132422.9529135041</v>
      </c>
      <c r="EH496" s="637">
        <f t="shared" ref="EH496" si="1648">EG496/EG$2*EH$2</f>
        <v>1132421.7846369455</v>
      </c>
      <c r="EI496" s="643">
        <f t="shared" ref="EI496" si="1649">EH496+EF496+EB496</f>
        <v>1132421.7846369455</v>
      </c>
      <c r="EJ496" s="637">
        <f t="shared" ref="EJ496" si="1650">IF(EI496&lt;$DZ496,$DZ496,0)</f>
        <v>0</v>
      </c>
      <c r="EK496" s="637">
        <f t="shared" ref="EK496" si="1651">IF($EB496+$EF496+$EJ496=0,EI496,0)</f>
        <v>1132421.7846369455</v>
      </c>
      <c r="EL496" s="637">
        <f t="shared" ref="EL496" si="1652">EK496/EK$2*EL$2</f>
        <v>1132421.7846369438</v>
      </c>
      <c r="EM496" s="643">
        <f t="shared" ref="EM496" si="1653">$EJ496+$EF496+$EB496+EL496</f>
        <v>1132421.7846369438</v>
      </c>
      <c r="EN496" s="637">
        <f t="shared" ref="EN496" si="1654">IF(EM496&lt;$DZ496,$DZ496,0)</f>
        <v>0</v>
      </c>
      <c r="EO496" s="637">
        <f t="shared" ref="EO496" si="1655">IF($EB496+$EF496+$EJ496+EN496=0,EM496,0)</f>
        <v>1132421.7846369438</v>
      </c>
      <c r="EP496" s="637">
        <f t="shared" ref="EP496" si="1656">EO496/EO$2*EP$2</f>
        <v>1132421.7846369455</v>
      </c>
      <c r="EQ496" s="643">
        <f t="shared" ref="EQ496" si="1657">$EJ496+$EF496+$EB496+EP496+EN496</f>
        <v>1132421.7846369455</v>
      </c>
      <c r="ER496" s="637">
        <f t="shared" ref="ER496" si="1658">IF(EQ496&lt;$DZ496,$DZ496,0)</f>
        <v>0</v>
      </c>
      <c r="ES496" s="637">
        <f t="shared" ref="ES496" si="1659">IF($EB496+$EF496+$EJ496+EN496+ER496=0,EQ496,0)</f>
        <v>1132421.7846369455</v>
      </c>
      <c r="ET496" s="637">
        <f t="shared" ref="ET496" si="1660">ES496/ES$2*ET$2</f>
        <v>1132421.7846369436</v>
      </c>
      <c r="EU496" s="643">
        <f t="shared" ref="EU496" si="1661">$EJ496+$EF496+$EB496+ET496+ER496+EN496</f>
        <v>1132421.7846369436</v>
      </c>
      <c r="EV496" s="643">
        <f t="shared" ref="EV496" si="1662">IF(EU496&lt;$DZ496,$DZ496,0)</f>
        <v>0</v>
      </c>
      <c r="EX496" s="829">
        <f t="shared" ref="EX496" si="1663">IF(EU496=0,0,DR496-EU496)</f>
        <v>67194.211932703853</v>
      </c>
      <c r="EY496" s="638">
        <f t="shared" ref="EY496" si="1664">IF(EU496=0,DR496,EU496)</f>
        <v>1132421.7846369436</v>
      </c>
      <c r="EZ496" s="648"/>
      <c r="FA496" s="832"/>
      <c r="FB496" s="648"/>
      <c r="FC496" s="640" t="str">
        <f t="shared" si="1426"/>
        <v>Y</v>
      </c>
      <c r="FD496" s="648"/>
      <c r="FE496" s="830" t="str">
        <f>IFERROR(VLOOKUP($B496,'Historical Conc Grant Elig'!$B$3:$J$707,'HH &amp; SI'!FE$2,0),"N")</f>
        <v>Y</v>
      </c>
      <c r="FF496" s="830" t="str">
        <f>IFERROR(VLOOKUP($B496,'Historical Conc Grant Elig'!$B$3:$J$707,'HH &amp; SI'!FF$2,0),"N")</f>
        <v>Y</v>
      </c>
      <c r="FG496" s="830" t="str">
        <f>IFERROR(VLOOKUP($B496,'Historical Conc Grant Elig'!$B$3:$J$707,'HH &amp; SI'!FG$2,0),"N")</f>
        <v>Y</v>
      </c>
      <c r="FH496" s="830" t="str">
        <f>IFERROR(VLOOKUP($B496,'Historical Conc Grant Elig'!$B$3:$J$707,'HH &amp; SI'!FH$2,0),"N")</f>
        <v>N</v>
      </c>
      <c r="FI496" s="830" t="str">
        <f>IFERROR(VLOOKUP($B496,'Historical Conc Grant Elig'!$B$3:$J$707,'HH &amp; SI'!FI$2,0),"N")</f>
        <v>N</v>
      </c>
      <c r="FJ496" s="830" t="str">
        <f>IFERROR(VLOOKUP($B496,'Historical Conc Grant Elig'!$B$3:$J$707,'HH &amp; SI'!FJ$2,0),"N")</f>
        <v>Y</v>
      </c>
      <c r="FK496" s="830" t="str">
        <f>IFERROR(VLOOKUP($B496,'Historical Conc Grant Elig'!$B$3:$J$707,'HH &amp; SI'!FK$2,0),"N")</f>
        <v>Y</v>
      </c>
      <c r="FL496" s="957" t="str">
        <f>IFERROR(VLOOKUP($B496,'Historical Conc Grant Elig'!$B$3:$J$707,'HH &amp; SI'!FL$2,0),"N")</f>
        <v>Y</v>
      </c>
    </row>
    <row r="497" spans="2:168" x14ac:dyDescent="0.25">
      <c r="B497" s="634"/>
      <c r="C497" s="635"/>
      <c r="D497" s="636"/>
      <c r="E497" s="637"/>
      <c r="F497" s="637"/>
      <c r="G497" s="637"/>
      <c r="H497" s="638"/>
      <c r="I497" s="639"/>
      <c r="J497" s="640"/>
      <c r="K497" s="640"/>
      <c r="L497" s="641"/>
      <c r="N497" s="642"/>
      <c r="P497" s="636"/>
      <c r="Q497" s="637"/>
      <c r="R497" s="637"/>
      <c r="S497" s="637"/>
      <c r="T497" s="643"/>
      <c r="V497" s="636"/>
      <c r="W497" s="637"/>
      <c r="X497" s="637"/>
      <c r="Y497" s="637"/>
      <c r="Z497" s="643"/>
      <c r="AB497" s="644"/>
      <c r="AC497" s="645"/>
      <c r="AD497" s="644"/>
      <c r="AE497" s="645"/>
      <c r="AF497" s="646"/>
      <c r="AG497" s="647"/>
      <c r="AH497" s="644"/>
      <c r="AI497" s="645"/>
      <c r="AJ497" s="646"/>
      <c r="AK497" s="647"/>
      <c r="AL497" s="644"/>
      <c r="AM497" s="645"/>
      <c r="AN497" s="646"/>
      <c r="AO497" s="647"/>
      <c r="AP497" s="644"/>
      <c r="AQ497" s="645"/>
      <c r="AR497" s="646"/>
      <c r="AS497" s="647"/>
      <c r="AT497" s="644"/>
      <c r="AU497" s="645"/>
      <c r="AV497" s="646"/>
      <c r="AW497" s="647"/>
      <c r="AY497" s="644"/>
      <c r="AZ497" s="645"/>
      <c r="BA497" s="644"/>
      <c r="BB497" s="645"/>
      <c r="BC497" s="646"/>
      <c r="BD497" s="647"/>
      <c r="BE497" s="644"/>
      <c r="BF497" s="645"/>
      <c r="BG497" s="646"/>
      <c r="BH497" s="647"/>
      <c r="BI497" s="644"/>
      <c r="BJ497" s="645"/>
      <c r="BK497" s="646"/>
      <c r="BL497" s="647"/>
      <c r="BM497" s="644"/>
      <c r="BN497" s="645"/>
      <c r="BO497" s="646"/>
      <c r="BP497" s="647"/>
      <c r="BQ497" s="644"/>
      <c r="BR497" s="645"/>
      <c r="BS497" s="646"/>
      <c r="BT497" s="647"/>
      <c r="BU497" s="662" t="e">
        <f>VLOOKUP(B497,'Afton Update'!$A$5:$AR$582,'Afton Update'!$AO$589,0)-BT497</f>
        <v>#N/A</v>
      </c>
      <c r="BV497" s="644"/>
      <c r="BW497" s="645"/>
      <c r="BX497" s="644"/>
      <c r="BY497" s="645"/>
      <c r="BZ497" s="646"/>
      <c r="CA497" s="647"/>
      <c r="CB497" s="644"/>
      <c r="CC497" s="645"/>
      <c r="CD497" s="646"/>
      <c r="CE497" s="647"/>
      <c r="CF497" s="644"/>
      <c r="CG497" s="645"/>
      <c r="CH497" s="646"/>
      <c r="CI497" s="647"/>
      <c r="CJ497" s="644"/>
      <c r="CK497" s="645"/>
      <c r="CL497" s="646"/>
      <c r="CM497" s="647"/>
      <c r="CN497" s="644"/>
      <c r="CO497" s="645"/>
      <c r="CP497" s="646"/>
      <c r="CQ497" s="647"/>
      <c r="CS497" s="644"/>
      <c r="CT497" s="645"/>
      <c r="CU497" s="644"/>
      <c r="CV497" s="645"/>
      <c r="CW497" s="646"/>
      <c r="CX497" s="647"/>
      <c r="CY497" s="644"/>
      <c r="CZ497" s="645"/>
      <c r="DA497" s="646"/>
      <c r="DB497" s="647"/>
      <c r="DC497" s="644"/>
      <c r="DD497" s="645"/>
      <c r="DE497" s="646"/>
      <c r="DF497" s="647"/>
      <c r="DG497" s="644"/>
      <c r="DH497" s="645"/>
      <c r="DI497" s="646"/>
      <c r="DJ497" s="647"/>
      <c r="DK497" s="644"/>
      <c r="DL497" s="645"/>
      <c r="DM497" s="646"/>
      <c r="DN497" s="647"/>
      <c r="DR497" s="827"/>
      <c r="DS497" s="648"/>
      <c r="DT497" s="648"/>
      <c r="DU497" s="648"/>
      <c r="DV497" s="828"/>
      <c r="DW497" s="648"/>
      <c r="DX497" s="636"/>
      <c r="DY497" s="637"/>
      <c r="DZ497" s="637"/>
      <c r="EA497" s="643"/>
      <c r="EB497" s="637"/>
      <c r="EC497" s="637"/>
      <c r="ED497" s="637"/>
      <c r="EE497" s="643"/>
      <c r="EF497" s="637"/>
      <c r="EG497" s="637"/>
      <c r="EH497" s="637"/>
      <c r="EI497" s="643"/>
      <c r="EJ497" s="637"/>
      <c r="EK497" s="637"/>
      <c r="EL497" s="637"/>
      <c r="EM497" s="643"/>
      <c r="EN497" s="637"/>
      <c r="EO497" s="637"/>
      <c r="EP497" s="637"/>
      <c r="EQ497" s="643"/>
      <c r="ER497" s="637"/>
      <c r="ES497" s="637"/>
      <c r="ET497" s="637"/>
      <c r="EU497" s="643"/>
      <c r="EV497" s="643"/>
      <c r="EW497" s="648"/>
      <c r="EX497" s="829"/>
      <c r="EY497" s="638"/>
      <c r="EZ497" s="648"/>
      <c r="FA497" s="832"/>
      <c r="FB497" s="648"/>
      <c r="FC497" s="640"/>
      <c r="FD497" s="648"/>
      <c r="FE497" s="640"/>
      <c r="FF497" s="640"/>
      <c r="FG497" s="640"/>
      <c r="FH497" s="640"/>
      <c r="FI497" s="640"/>
      <c r="FJ497" s="640"/>
      <c r="FK497" s="640"/>
      <c r="FL497" s="958"/>
    </row>
    <row r="498" spans="2:168" x14ac:dyDescent="0.25">
      <c r="B498" s="634">
        <v>200900000</v>
      </c>
      <c r="C498" s="635" t="s">
        <v>571</v>
      </c>
      <c r="D498" s="636">
        <f>'Afton FY16 Final'!AK570</f>
        <v>421148.59372904582</v>
      </c>
      <c r="E498" s="637">
        <f>'Afton FY16 Final'!AL570</f>
        <v>107341.63304322549</v>
      </c>
      <c r="F498" s="637">
        <f>'Afton FY16 Final'!AM570</f>
        <v>141792.8609582748</v>
      </c>
      <c r="G498" s="637">
        <f>'Afton FY16 Final'!AN570</f>
        <v>109218.54016011878</v>
      </c>
      <c r="H498" s="638">
        <f>'Afton FY16 Final'!AO570</f>
        <v>779501.62789066485</v>
      </c>
      <c r="I498" s="639" t="str">
        <f>'Afton Update'!BT580</f>
        <v>Y</v>
      </c>
      <c r="J498" s="640" t="str">
        <f>'Afton Update'!BU580</f>
        <v>Y</v>
      </c>
      <c r="K498" s="640" t="str">
        <f>'Afton Update'!BV580</f>
        <v>Y</v>
      </c>
      <c r="L498" s="641" t="str">
        <f>'Afton Update'!BW580</f>
        <v>Y</v>
      </c>
      <c r="N498" s="642">
        <f>'Afton Update'!CB580</f>
        <v>0.95</v>
      </c>
      <c r="P498" s="636">
        <f>'Afton Update'!AH580</f>
        <v>621850.40748605819</v>
      </c>
      <c r="Q498" s="637">
        <f>'Afton Update'!AI580</f>
        <v>148130.45466155745</v>
      </c>
      <c r="R498" s="637">
        <f>'Afton Update'!AJ580</f>
        <v>232199.59307884745</v>
      </c>
      <c r="S498" s="637">
        <f>'Afton Update'!AK580</f>
        <v>180135.32733891142</v>
      </c>
      <c r="T498" s="643">
        <f>SUM(P498:S498)</f>
        <v>1182315.7825653744</v>
      </c>
      <c r="V498" s="636">
        <f t="shared" ref="V498" si="1665">AW498</f>
        <v>613367.96430744464</v>
      </c>
      <c r="W498" s="637">
        <f t="shared" ref="W498" si="1666">BT498</f>
        <v>143251.57906405895</v>
      </c>
      <c r="X498" s="637">
        <f t="shared" ref="X498" si="1667">CQ498</f>
        <v>230087.82843869861</v>
      </c>
      <c r="Y498" s="637">
        <f t="shared" ref="Y498" si="1668">DN498</f>
        <v>178150.5602917895</v>
      </c>
      <c r="Z498" s="643">
        <f t="shared" ref="Z498" si="1669">SUM(V498:Y498)</f>
        <v>1164857.9321019917</v>
      </c>
      <c r="AB498" s="644">
        <f t="shared" ref="AB498" si="1670">IF(P498="",0,P498)</f>
        <v>621850.40748605819</v>
      </c>
      <c r="AC498" s="645">
        <f>IF(I498="N",0,D498*$N498)</f>
        <v>400091.1640425935</v>
      </c>
      <c r="AD498" s="644">
        <f t="shared" ref="AD498" si="1671">IF($I498="N",0,MAX(AC498-AB498,0))</f>
        <v>0</v>
      </c>
      <c r="AE498" s="645">
        <f t="shared" ref="AE498" si="1672">IF(AD498=0,AB498,0)</f>
        <v>621850.40748605819</v>
      </c>
      <c r="AF498" s="646">
        <f t="shared" ref="AF498" si="1673">-IF(AD498=0,((AE498/AE$2)*AD$2),0)</f>
        <v>-7708.3031089314045</v>
      </c>
      <c r="AG498" s="647">
        <f t="shared" ref="AG498" si="1674">IF(AD498=0,AE498+AF498,AD498+AB498)</f>
        <v>614142.10437712679</v>
      </c>
      <c r="AH498" s="644">
        <f t="shared" ref="AH498" si="1675">IF(AG498-AC498&lt;0,AG498-AC498,0)</f>
        <v>0</v>
      </c>
      <c r="AI498" s="645">
        <f t="shared" ref="AI498" si="1676">IF(AND(AH498=0,AD498=0),AG498,0)</f>
        <v>614142.10437712679</v>
      </c>
      <c r="AJ498" s="646">
        <f t="shared" ref="AJ498" si="1677">IF(AND(AH498=0,AD498=0),((AI498/AI$2))*AH$2,0)</f>
        <v>-773.64686742143817</v>
      </c>
      <c r="AK498" s="647">
        <f t="shared" ref="AK498" si="1678">AG498-AH498+AJ498</f>
        <v>613368.45750970533</v>
      </c>
      <c r="AL498" s="644">
        <f t="shared" ref="AL498" si="1679">IF(AK498-AC498&lt;0,AK498-AC498,0)</f>
        <v>0</v>
      </c>
      <c r="AM498" s="645">
        <f t="shared" ref="AM498" si="1680">IF(AND(AH498=0,AD498=0,AL498=0),AK498,0)</f>
        <v>613368.45750970533</v>
      </c>
      <c r="AN498" s="646">
        <f t="shared" ref="AN498" si="1681">IF(AND(AL498=0,AH498=0,AD498=0),((AM498/AM$2))*AL$2,0)</f>
        <v>-0.49320226067968054</v>
      </c>
      <c r="AO498" s="647">
        <f t="shared" ref="AO498" si="1682">AK498-AL498+AN498</f>
        <v>613367.96430744464</v>
      </c>
      <c r="AP498" s="644">
        <f t="shared" ref="AP498" si="1683">IF(AO498-AC498&lt;0,AO498-AC498,0)</f>
        <v>0</v>
      </c>
      <c r="AQ498" s="645">
        <f t="shared" ref="AQ498" si="1684">IF(AND(AH498=0,AD498=0,AL498=0,AP498=0),AO498,0)</f>
        <v>613367.96430744464</v>
      </c>
      <c r="AR498" s="646">
        <f t="shared" ref="AR498" si="1685">IF(AND(AP498=0,AL498=0,AH498=0,AD498=0),((AQ498/AQ$2))*AP$2,0)</f>
        <v>0</v>
      </c>
      <c r="AS498" s="647">
        <f t="shared" ref="AS498" si="1686">AO498-AP498+AR498</f>
        <v>613367.96430744464</v>
      </c>
      <c r="AT498" s="644">
        <f t="shared" ref="AT498" si="1687">IF(AS498-AC498&lt;0,AS498-AC498,0)</f>
        <v>0</v>
      </c>
      <c r="AU498" s="645">
        <f t="shared" ref="AU498" si="1688">IF(AND(AP498=0,AL498=0,AT498=0,AD498=0,AH498=0),AS498,0)</f>
        <v>613367.96430744464</v>
      </c>
      <c r="AV498" s="646">
        <f t="shared" ref="AV498" si="1689">IF(AND(AT498=0,AP498=0,AL498=0),((AU498/AU$2))*AT$2,0)</f>
        <v>0</v>
      </c>
      <c r="AW498" s="647">
        <f t="shared" ref="AW498" si="1690">AS498-AT498+AV498</f>
        <v>613367.96430744464</v>
      </c>
      <c r="AY498" s="644">
        <f t="shared" ref="AY498" si="1691">IF(Q498="",0,Q498)</f>
        <v>148130.45466155745</v>
      </c>
      <c r="AZ498" s="645">
        <f>IF(AND($J498="N",FC498="N"),0,E498*$N498)</f>
        <v>101974.55139106422</v>
      </c>
      <c r="BA498" s="644">
        <f t="shared" ref="BA498" si="1692">IF($J498="N",0,MAX(AZ498-AY498,0))</f>
        <v>0</v>
      </c>
      <c r="BB498" s="645">
        <f t="shared" ref="BB498" si="1693">IF(BA498=0,AY498,0)</f>
        <v>148130.45466155745</v>
      </c>
      <c r="BC498" s="646">
        <f t="shared" ref="BC498" si="1694">-IF(BA498=0,((BB498/BB$2)*BA$2),0)</f>
        <v>-1065.2492691954708</v>
      </c>
      <c r="BD498" s="647">
        <f t="shared" ref="BD498" si="1695">IF(BA498=0,BB498+BC498,BA498+AY498)</f>
        <v>147065.20539236197</v>
      </c>
      <c r="BE498" s="644">
        <f t="shared" ref="BE498" si="1696">IF(BD498-AZ498&lt;0,BD498-AZ498,0)</f>
        <v>0</v>
      </c>
      <c r="BF498" s="645">
        <f t="shared" ref="BF498" si="1697">IF(AND(BE498=0,BA498=0),BD498,0)</f>
        <v>147065.20539236197</v>
      </c>
      <c r="BG498" s="646">
        <f t="shared" ref="BG498" si="1698">IF(AND(BE498=0,BA498=0),((BF498/BF$2))*BE$2,0)</f>
        <v>-3502.9733429500902</v>
      </c>
      <c r="BH498" s="647">
        <f t="shared" ref="BH498" si="1699">BD498-BE498+BG498</f>
        <v>143562.23204941189</v>
      </c>
      <c r="BI498" s="644">
        <f t="shared" ref="BI498" si="1700">IF(BH498-AZ498&lt;0,BH498-AZ498,0)</f>
        <v>0</v>
      </c>
      <c r="BJ498" s="645">
        <f t="shared" ref="BJ498" si="1701">IF(AND(BE498=0,BA498=0,BI498=0),BH498,0)</f>
        <v>143562.23204941189</v>
      </c>
      <c r="BK498" s="646">
        <f t="shared" ref="BK498" si="1702">IF(AND(BI498=0,BE498=0,BA498=0),((BJ498/BJ$2))*BI$2,0)</f>
        <v>-304.09852623052507</v>
      </c>
      <c r="BL498" s="647">
        <f t="shared" ref="BL498" si="1703">BH498-BI498+BK498</f>
        <v>143258.13352318137</v>
      </c>
      <c r="BM498" s="644">
        <f t="shared" ref="BM498" si="1704">IF(BL498-AZ498&lt;0,BL498-AZ498,0)</f>
        <v>0</v>
      </c>
      <c r="BN498" s="645">
        <f t="shared" ref="BN498" si="1705">IF(AND(BE498=0,BA498=0,BI498=0,BM498=0),BL498,0)</f>
        <v>143258.13352318137</v>
      </c>
      <c r="BO498" s="646">
        <f t="shared" ref="BO498" si="1706">IF(AND(BM498=0,BI498=0,BE498=0,BA498=0),((BN498/BN$2))*BM$2,0)</f>
        <v>-6.5544591224141353</v>
      </c>
      <c r="BP498" s="647">
        <f t="shared" ref="BP498" si="1707">BL498-BM498+BO498</f>
        <v>143251.57906405895</v>
      </c>
      <c r="BQ498" s="644">
        <f t="shared" ref="BQ498" si="1708">IF(BP498-AZ498&lt;0,BP498-AZ498,0)</f>
        <v>0</v>
      </c>
      <c r="BR498" s="645">
        <f t="shared" ref="BR498" si="1709">IF(AND(BM498=0,BI498=0,BQ498=0,BA498=0,BE498=0),BP498,0)</f>
        <v>143251.57906405895</v>
      </c>
      <c r="BS498" s="646">
        <f t="shared" ref="BS498" si="1710">IF(AND(BQ498=0,BM498=0,BI498=0),((BR498/BR$2))*BQ$2,0)</f>
        <v>0</v>
      </c>
      <c r="BT498" s="647">
        <f t="shared" ref="BT498" si="1711">BP498-BQ498+BS498</f>
        <v>143251.57906405895</v>
      </c>
      <c r="BU498" s="662">
        <f>VLOOKUP(B498,'Afton Update'!$A$5:$AR$582,'Afton Update'!$AO$589,0)-BT498</f>
        <v>0</v>
      </c>
      <c r="BV498" s="644">
        <f t="shared" ref="BV498" si="1712">IF(R498="",0,R498)</f>
        <v>232199.59307884745</v>
      </c>
      <c r="BW498" s="645">
        <f>IF($K498="N",0,F498*$N498)</f>
        <v>134703.21791036107</v>
      </c>
      <c r="BX498" s="644">
        <f t="shared" ref="BX498" si="1713">IF($K498="N",0,MAX(BW498-BV498,0))</f>
        <v>0</v>
      </c>
      <c r="BY498" s="645">
        <f t="shared" ref="BY498" si="1714">IF(BX498=0,BV498,0)</f>
        <v>232199.59307884745</v>
      </c>
      <c r="BZ498" s="646">
        <f t="shared" ref="BZ498" si="1715">-IF(BX498=0,((BY498/BY$2)*BX$2),0)</f>
        <v>-2038.0405156379859</v>
      </c>
      <c r="CA498" s="647">
        <f t="shared" ref="CA498" si="1716">IF(BX498=0,BY498+BZ498,BX498+BV498)</f>
        <v>230161.55256320947</v>
      </c>
      <c r="CB498" s="644">
        <f t="shared" ref="CB498" si="1717">IF(CA498-BW498&lt;0,CA498-BW498,0)</f>
        <v>0</v>
      </c>
      <c r="CC498" s="645">
        <f t="shared" ref="CC498" si="1718">IF(AND(CB498=0,BX498=0),CA498,0)</f>
        <v>230161.55256320947</v>
      </c>
      <c r="CD498" s="646">
        <f t="shared" ref="CD498" si="1719">IF(AND(CB498=0,BX498=0),((CC498/CC$2))*CB$2,0)</f>
        <v>-73.724124510863433</v>
      </c>
      <c r="CE498" s="647">
        <f t="shared" ref="CE498" si="1720">CA498-CB498+CD498</f>
        <v>230087.82843869861</v>
      </c>
      <c r="CF498" s="644">
        <f t="shared" ref="CF498" si="1721">IF(CE498-BW498&lt;0,CE498-BW498,0)</f>
        <v>0</v>
      </c>
      <c r="CG498" s="645">
        <f t="shared" ref="CG498" si="1722">IF(AND(CB498=0,BX498=0,CF498=0),CE498,0)</f>
        <v>230087.82843869861</v>
      </c>
      <c r="CH498" s="646">
        <f t="shared" ref="CH498" si="1723">IF(AND(CF498=0,CB498=0,BX498=0),((CG498/CG$2))*CF$2,0)</f>
        <v>0</v>
      </c>
      <c r="CI498" s="647">
        <f t="shared" ref="CI498" si="1724">CE498-CF498+CH498</f>
        <v>230087.82843869861</v>
      </c>
      <c r="CJ498" s="644">
        <f t="shared" ref="CJ498" si="1725">IF(CI498-BW498&lt;0,CI498-BW498,0)</f>
        <v>0</v>
      </c>
      <c r="CK498" s="645">
        <f t="shared" ref="CK498" si="1726">IF(AND(CB498=0,BX498=0,CF498=0,CJ498=0),CI498,0)</f>
        <v>230087.82843869861</v>
      </c>
      <c r="CL498" s="646">
        <f t="shared" ref="CL498" si="1727">IF(AND(CJ498=0,CF498=0,CB498=0,BX498=0),((CK498/CK$2))*CJ$2,0)</f>
        <v>0</v>
      </c>
      <c r="CM498" s="647">
        <f t="shared" ref="CM498" si="1728">CI498-CJ498+CL498</f>
        <v>230087.82843869861</v>
      </c>
      <c r="CN498" s="644">
        <f t="shared" ref="CN498" si="1729">IF(CM498-BW498&lt;0,CM498-BW498,0)</f>
        <v>0</v>
      </c>
      <c r="CO498" s="645">
        <f t="shared" ref="CO498" si="1730">IF(AND(CJ498=0,CF498=0,CN498=0,BX498=0,CB498=0),CM498,0)</f>
        <v>230087.82843869861</v>
      </c>
      <c r="CP498" s="646">
        <f t="shared" ref="CP498" si="1731">IF(AND(CN498=0,CJ498=0,CF498=0),((CO498/CO$2))*CN$2,0)</f>
        <v>0</v>
      </c>
      <c r="CQ498" s="647">
        <f t="shared" ref="CQ498" si="1732">CM498-CN498+CP498</f>
        <v>230087.82843869861</v>
      </c>
      <c r="CS498" s="644">
        <f t="shared" ref="CS498" si="1733">IF(S498="",0,S498)</f>
        <v>180135.32733891142</v>
      </c>
      <c r="CT498" s="645">
        <f>IF($L498="N",0,G498*$N498)</f>
        <v>103757.61315211283</v>
      </c>
      <c r="CU498" s="644">
        <f t="shared" ref="CU498" si="1734">IF($L498="N",0,MAX(CT498-CS498,0))</f>
        <v>0</v>
      </c>
      <c r="CV498" s="645">
        <f t="shared" ref="CV498" si="1735">IF(CU498=0,CS498,0)</f>
        <v>180135.32733891142</v>
      </c>
      <c r="CW498" s="646">
        <f t="shared" ref="CW498" si="1736">-IF(CU498=0,((CV498/CV$2)*CU$2),0)</f>
        <v>-1844.6875503825315</v>
      </c>
      <c r="CX498" s="647">
        <f t="shared" ref="CX498" si="1737">IF(CU498=0,CV498+CW498,CU498+CS498)</f>
        <v>178290.63978852888</v>
      </c>
      <c r="CY498" s="644">
        <f t="shared" ref="CY498" si="1738">IF(CX498-CT498&lt;0,CX498-CT498,0)</f>
        <v>0</v>
      </c>
      <c r="CZ498" s="645">
        <f t="shared" ref="CZ498" si="1739">IF(AND(CY498=0,CU498=0),CX498,0)</f>
        <v>178290.63978852888</v>
      </c>
      <c r="DA498" s="646">
        <f t="shared" ref="DA498" si="1740">IF(AND(CY498=0,CU498=0),((CZ498/CZ$2))*CY$2,0)</f>
        <v>-139.95879970684047</v>
      </c>
      <c r="DB498" s="647">
        <f t="shared" ref="DB498" si="1741">CX498-CY498+DA498</f>
        <v>178150.68098882205</v>
      </c>
      <c r="DC498" s="644">
        <f t="shared" ref="DC498" si="1742">IF(DB498-CT498&lt;0,DB498-CT498,0)</f>
        <v>0</v>
      </c>
      <c r="DD498" s="645">
        <f t="shared" ref="DD498" si="1743">IF(AND(CY498=0,CU498=0,DC498=0),DB498,0)</f>
        <v>178150.68098882205</v>
      </c>
      <c r="DE498" s="646">
        <f t="shared" ref="DE498" si="1744">IF(AND(DC498=0,CY498=0,CU498=0),((DD498/DD$2))*DC$2,0)</f>
        <v>-0.12069703254685661</v>
      </c>
      <c r="DF498" s="647">
        <f t="shared" ref="DF498" si="1745">DB498-DC498+DE498</f>
        <v>178150.5602917895</v>
      </c>
      <c r="DG498" s="644">
        <f t="shared" ref="DG498" si="1746">IF(DF498-CT498&lt;0,DF498-CT498,0)</f>
        <v>0</v>
      </c>
      <c r="DH498" s="645">
        <f t="shared" ref="DH498" si="1747">IF(AND(CY498=0,CU498=0,DC498=0,DG498=0),DF498,0)</f>
        <v>178150.5602917895</v>
      </c>
      <c r="DI498" s="646">
        <f t="shared" ref="DI498" si="1748">IF(AND(DG498=0,DC498=0,CY498=0,CU498=0),((DH498/DH$2))*DG$2,0)</f>
        <v>0</v>
      </c>
      <c r="DJ498" s="647">
        <f t="shared" ref="DJ498" si="1749">DF498-DG498+DI498</f>
        <v>178150.5602917895</v>
      </c>
      <c r="DK498" s="644">
        <f t="shared" ref="DK498" si="1750">IF(DJ498-CT498&lt;0,DJ498-CT498,0)</f>
        <v>0</v>
      </c>
      <c r="DL498" s="645">
        <f t="shared" ref="DL498" si="1751">IF(AND(DG498=0,DC498=0,DK498=0,CU498=0,CY498=0),DJ498,0)</f>
        <v>178150.5602917895</v>
      </c>
      <c r="DM498" s="646">
        <f t="shared" ref="DM498" si="1752">IF(AND(DK498=0,DG498=0,DC498=0),((DL498/DL$2))*DK$2,0)</f>
        <v>0</v>
      </c>
      <c r="DN498" s="647">
        <f t="shared" ref="DN498" si="1753">DJ498-DK498+DM498</f>
        <v>178150.5602917895</v>
      </c>
      <c r="DR498" s="827">
        <f t="shared" ref="DR498" si="1754">Z498</f>
        <v>1164857.9321019917</v>
      </c>
      <c r="DV498" s="828">
        <f>'Afton FY16 Final'!BV570</f>
        <v>764153.24096658989</v>
      </c>
      <c r="DX498" s="636">
        <f t="shared" ref="DX498" si="1755">IF(DR498&gt;DV498,DR498,0)</f>
        <v>1164857.9321019917</v>
      </c>
      <c r="DY498" s="637">
        <f t="shared" ref="DY498" si="1756">IF(DX498&gt;0,DX498-DV498,0)</f>
        <v>400704.69113540184</v>
      </c>
      <c r="DZ498" s="637">
        <f t="shared" ref="DZ498" si="1757">IF(DX498=0,0,DV498)</f>
        <v>764153.24096658989</v>
      </c>
      <c r="EA498" s="643">
        <f t="shared" ref="EA498" si="1758">DX498/$DX$2*$EA$2</f>
        <v>1102900.5451440646</v>
      </c>
      <c r="EB498" s="637">
        <f t="shared" ref="EB498" si="1759">IF(EA498&lt;$DZ498,$DZ498,0)</f>
        <v>0</v>
      </c>
      <c r="EC498" s="637">
        <f t="shared" ref="EC498" si="1760">IF(EB498=0,EA498,0)</f>
        <v>1102900.5451440646</v>
      </c>
      <c r="ED498" s="637">
        <f t="shared" ref="ED498" si="1761">EC498/EC$2*ED$2</f>
        <v>1099611.7615701286</v>
      </c>
      <c r="EE498" s="643">
        <f t="shared" ref="EE498" si="1762">ED498+EB498</f>
        <v>1099611.7615701286</v>
      </c>
      <c r="EF498" s="637">
        <f t="shared" ref="EF498" si="1763">IF(EE498&lt;$DZ498,$DZ498,0)</f>
        <v>0</v>
      </c>
      <c r="EG498" s="637">
        <f t="shared" ref="EG498" si="1764">IF(EB498+EF498=0,EE498,0)</f>
        <v>1099611.7615701286</v>
      </c>
      <c r="EH498" s="637">
        <f t="shared" ref="EH498" si="1765">EG498/EG$2*EH$2</f>
        <v>1099610.6271435951</v>
      </c>
      <c r="EI498" s="643">
        <f t="shared" ref="EI498" si="1766">EH498+EF498+EB498</f>
        <v>1099610.6271435951</v>
      </c>
      <c r="EJ498" s="637">
        <f t="shared" ref="EJ498" si="1767">IF(EI498&lt;$DZ498,$DZ498,0)</f>
        <v>0</v>
      </c>
      <c r="EK498" s="637">
        <f t="shared" ref="EK498" si="1768">IF($EB498+$EF498+$EJ498=0,EI498,0)</f>
        <v>1099610.6271435951</v>
      </c>
      <c r="EL498" s="637">
        <f t="shared" ref="EL498" si="1769">EK498/EK$2*EL$2</f>
        <v>1099610.6271435935</v>
      </c>
      <c r="EM498" s="643">
        <f t="shared" ref="EM498" si="1770">$EJ498+$EF498+$EB498+EL498</f>
        <v>1099610.6271435935</v>
      </c>
      <c r="EN498" s="637">
        <f t="shared" ref="EN498" si="1771">IF(EM498&lt;$DZ498,$DZ498,0)</f>
        <v>0</v>
      </c>
      <c r="EO498" s="637">
        <f t="shared" ref="EO498" si="1772">IF($EB498+$EF498+$EJ498+EN498=0,EM498,0)</f>
        <v>1099610.6271435935</v>
      </c>
      <c r="EP498" s="637">
        <f t="shared" ref="EP498" si="1773">EO498/EO$2*EP$2</f>
        <v>1099610.6271435951</v>
      </c>
      <c r="EQ498" s="643">
        <f t="shared" ref="EQ498" si="1774">$EJ498+$EF498+$EB498+EP498+EN498</f>
        <v>1099610.6271435951</v>
      </c>
      <c r="ER498" s="637">
        <f t="shared" ref="ER498" si="1775">IF(EQ498&lt;$DZ498,$DZ498,0)</f>
        <v>0</v>
      </c>
      <c r="ES498" s="637">
        <f t="shared" ref="ES498" si="1776">IF($EB498+$EF498+$EJ498+EN498+ER498=0,EQ498,0)</f>
        <v>1099610.6271435951</v>
      </c>
      <c r="ET498" s="637">
        <f t="shared" ref="ET498" si="1777">ES498/ES$2*ET$2</f>
        <v>1099610.6271435935</v>
      </c>
      <c r="EU498" s="643">
        <f t="shared" ref="EU498" si="1778">$EJ498+$EF498+$EB498+ET498+ER498+EN498</f>
        <v>1099610.6271435935</v>
      </c>
      <c r="EV498" s="643">
        <f t="shared" ref="EV498" si="1779">IF(EU498&lt;$DZ498,$DZ498,0)</f>
        <v>0</v>
      </c>
      <c r="EX498" s="829">
        <f t="shared" ref="EX498" si="1780">IF(EU498=0,0,DR498-EU498)</f>
        <v>65247.304958398221</v>
      </c>
      <c r="EY498" s="638">
        <f t="shared" ref="EY498" si="1781">IF(EU498=0,DR498,EU498)</f>
        <v>1099610.6271435935</v>
      </c>
      <c r="EZ498" s="648"/>
      <c r="FA498" s="832"/>
      <c r="FB498" s="648"/>
      <c r="FC498" s="640"/>
      <c r="FD498" s="648"/>
      <c r="FE498" s="640"/>
      <c r="FF498" s="640"/>
      <c r="FG498" s="640"/>
      <c r="FH498" s="640"/>
      <c r="FI498" s="640"/>
      <c r="FJ498" s="640"/>
      <c r="FK498" s="640"/>
      <c r="FL498" s="958"/>
    </row>
    <row r="499" spans="2:168" x14ac:dyDescent="0.25">
      <c r="B499" s="634"/>
      <c r="C499" s="635"/>
      <c r="D499" s="634"/>
      <c r="E499" s="648"/>
      <c r="F499" s="648"/>
      <c r="G499" s="648"/>
      <c r="H499" s="635"/>
      <c r="I499" s="634"/>
      <c r="J499" s="648"/>
      <c r="K499" s="648"/>
      <c r="L499" s="635"/>
      <c r="N499" s="642"/>
      <c r="P499" s="634"/>
      <c r="Q499" s="648"/>
      <c r="R499" s="648"/>
      <c r="S499" s="648"/>
      <c r="T499" s="635"/>
      <c r="V499" s="634"/>
      <c r="W499" s="648"/>
      <c r="X499" s="648"/>
      <c r="Y499" s="648"/>
      <c r="Z499" s="635"/>
      <c r="AB499" s="649"/>
      <c r="AC499" s="650"/>
      <c r="AD499" s="649"/>
      <c r="AE499" s="650"/>
      <c r="AF499" s="650"/>
      <c r="AG499" s="651"/>
      <c r="AH499" s="649"/>
      <c r="AI499" s="650"/>
      <c r="AJ499" s="650"/>
      <c r="AK499" s="651"/>
      <c r="AL499" s="649"/>
      <c r="AM499" s="650"/>
      <c r="AN499" s="650"/>
      <c r="AO499" s="651"/>
      <c r="AP499" s="649"/>
      <c r="AQ499" s="650"/>
      <c r="AR499" s="650"/>
      <c r="AS499" s="651"/>
      <c r="AT499" s="649"/>
      <c r="AU499" s="650"/>
      <c r="AV499" s="650"/>
      <c r="AW499" s="651"/>
      <c r="AY499" s="649"/>
      <c r="AZ499" s="650"/>
      <c r="BA499" s="649"/>
      <c r="BB499" s="650"/>
      <c r="BC499" s="650"/>
      <c r="BD499" s="651"/>
      <c r="BE499" s="649"/>
      <c r="BF499" s="650"/>
      <c r="BG499" s="650"/>
      <c r="BH499" s="651"/>
      <c r="BI499" s="649"/>
      <c r="BJ499" s="650"/>
      <c r="BK499" s="650"/>
      <c r="BL499" s="651"/>
      <c r="BM499" s="649"/>
      <c r="BN499" s="650"/>
      <c r="BO499" s="650"/>
      <c r="BP499" s="651"/>
      <c r="BQ499" s="649"/>
      <c r="BR499" s="650"/>
      <c r="BS499" s="650"/>
      <c r="BT499" s="651"/>
      <c r="BV499" s="649"/>
      <c r="BW499" s="650"/>
      <c r="BX499" s="649"/>
      <c r="BY499" s="650"/>
      <c r="BZ499" s="650"/>
      <c r="CA499" s="651"/>
      <c r="CB499" s="649"/>
      <c r="CC499" s="650"/>
      <c r="CD499" s="650"/>
      <c r="CE499" s="651"/>
      <c r="CF499" s="649"/>
      <c r="CG499" s="650"/>
      <c r="CH499" s="650"/>
      <c r="CI499" s="651"/>
      <c r="CJ499" s="649"/>
      <c r="CK499" s="650"/>
      <c r="CL499" s="650"/>
      <c r="CM499" s="651"/>
      <c r="CN499" s="649"/>
      <c r="CO499" s="650"/>
      <c r="CP499" s="650"/>
      <c r="CQ499" s="651"/>
      <c r="CS499" s="649"/>
      <c r="CT499" s="650"/>
      <c r="CU499" s="649"/>
      <c r="CV499" s="650"/>
      <c r="CW499" s="650"/>
      <c r="CX499" s="651"/>
      <c r="CY499" s="649"/>
      <c r="CZ499" s="650"/>
      <c r="DA499" s="650"/>
      <c r="DB499" s="651"/>
      <c r="DC499" s="649"/>
      <c r="DD499" s="650"/>
      <c r="DE499" s="650"/>
      <c r="DF499" s="651"/>
      <c r="DG499" s="649"/>
      <c r="DH499" s="650"/>
      <c r="DI499" s="650"/>
      <c r="DJ499" s="651"/>
      <c r="DK499" s="649"/>
      <c r="DL499" s="650"/>
      <c r="DM499" s="650"/>
      <c r="DN499" s="651"/>
      <c r="DR499" s="827"/>
      <c r="DS499" s="648"/>
      <c r="DT499" s="648"/>
      <c r="DU499" s="648"/>
      <c r="DV499" s="828"/>
      <c r="DW499" s="648"/>
      <c r="DX499" s="636"/>
      <c r="DY499" s="637"/>
      <c r="DZ499" s="637"/>
      <c r="EA499" s="643"/>
      <c r="EB499" s="637"/>
      <c r="EC499" s="637"/>
      <c r="ED499" s="637"/>
      <c r="EE499" s="643"/>
      <c r="EF499" s="637"/>
      <c r="EG499" s="637"/>
      <c r="EH499" s="637"/>
      <c r="EI499" s="643"/>
      <c r="EJ499" s="637"/>
      <c r="EK499" s="637"/>
      <c r="EL499" s="637"/>
      <c r="EM499" s="643"/>
      <c r="EN499" s="637"/>
      <c r="EO499" s="637"/>
      <c r="EP499" s="637"/>
      <c r="EQ499" s="643"/>
      <c r="ER499" s="637"/>
      <c r="ES499" s="637"/>
      <c r="ET499" s="637"/>
      <c r="EU499" s="643"/>
      <c r="EV499" s="643"/>
      <c r="EW499" s="648"/>
      <c r="EX499" s="829"/>
      <c r="EY499" s="638"/>
      <c r="EZ499" s="648"/>
      <c r="FA499" s="832"/>
      <c r="FB499" s="648"/>
      <c r="FC499" s="640" t="str">
        <f t="shared" ref="FC499:FC500" si="1782">IF(OR(FF499="y",FG499="y",FH499="y",FI499="y"),"Y","N")</f>
        <v>N</v>
      </c>
      <c r="FD499" s="648"/>
      <c r="FE499" s="640"/>
      <c r="FF499" s="640"/>
      <c r="FG499" s="640"/>
      <c r="FH499" s="640"/>
      <c r="FI499" s="640"/>
      <c r="FJ499" s="640"/>
      <c r="FK499" s="640"/>
      <c r="FL499" s="958"/>
    </row>
    <row r="500" spans="2:168" x14ac:dyDescent="0.25">
      <c r="B500" s="634" t="s">
        <v>899</v>
      </c>
      <c r="C500" s="635"/>
      <c r="D500" s="652">
        <f>SUM(D5:D498)</f>
        <v>144638440.87126663</v>
      </c>
      <c r="E500" s="653">
        <f>SUM(E5:E498)</f>
        <v>31351178.586435124</v>
      </c>
      <c r="F500" s="653">
        <f>SUM(F5:F498)</f>
        <v>76798861.074655578</v>
      </c>
      <c r="G500" s="653">
        <f>SUM(G5:G498)</f>
        <v>69137728.534727097</v>
      </c>
      <c r="H500" s="654">
        <f>SUM(H5:H498)</f>
        <v>321926209.06708431</v>
      </c>
      <c r="I500" s="634"/>
      <c r="J500" s="648"/>
      <c r="K500" s="648"/>
      <c r="L500" s="635"/>
      <c r="N500" s="642"/>
      <c r="P500" s="652">
        <f>SUM(P5:P498)</f>
        <v>144342915.73710898</v>
      </c>
      <c r="Q500" s="653">
        <f>SUM(Q5:Q498)</f>
        <v>31458698.270372361</v>
      </c>
      <c r="R500" s="653">
        <f>SUM(R5:R498)</f>
        <v>81683541.747701183</v>
      </c>
      <c r="S500" s="653">
        <f>SUM(S5:S498)</f>
        <v>76362474.111216456</v>
      </c>
      <c r="T500" s="654">
        <f>SUM(T5:T498)</f>
        <v>333847629.86639875</v>
      </c>
      <c r="V500" s="652">
        <f>SUM(V5:V498)</f>
        <v>144342915.73710909</v>
      </c>
      <c r="W500" s="653">
        <f>SUM(W5:W498)</f>
        <v>31458698.270372357</v>
      </c>
      <c r="X500" s="653">
        <f>SUM(X5:X498)</f>
        <v>81683541.747701317</v>
      </c>
      <c r="Y500" s="653">
        <f>SUM(Y5:Y498)</f>
        <v>76362474.11121653</v>
      </c>
      <c r="Z500" s="654">
        <f>SUM(Z5:Z498)</f>
        <v>333847629.86639893</v>
      </c>
      <c r="AB500" s="644">
        <f t="shared" ref="AB500:AW500" si="1783">SUM(AB5:AB498)</f>
        <v>144342915.73710898</v>
      </c>
      <c r="AC500" s="645">
        <f t="shared" si="1783"/>
        <v>132849941.08250828</v>
      </c>
      <c r="AD500" s="644">
        <f t="shared" si="1783"/>
        <v>1645514.7021847963</v>
      </c>
      <c r="AE500" s="645">
        <f t="shared" si="1783"/>
        <v>132748281.12198737</v>
      </c>
      <c r="AF500" s="645">
        <f t="shared" si="1783"/>
        <v>-1645514.7021847961</v>
      </c>
      <c r="AG500" s="647">
        <f t="shared" si="1783"/>
        <v>144342915.73710892</v>
      </c>
      <c r="AH500" s="644">
        <f t="shared" si="1783"/>
        <v>-134322.54643949342</v>
      </c>
      <c r="AI500" s="645">
        <f t="shared" si="1783"/>
        <v>106628921.81105068</v>
      </c>
      <c r="AJ500" s="645">
        <f t="shared" si="1783"/>
        <v>-134322.54643949351</v>
      </c>
      <c r="AK500" s="647">
        <f t="shared" si="1783"/>
        <v>144342915.73710898</v>
      </c>
      <c r="AL500" s="644">
        <f t="shared" si="1783"/>
        <v>-85.500532393383764</v>
      </c>
      <c r="AM500" s="645">
        <f t="shared" si="1783"/>
        <v>106332297.82466203</v>
      </c>
      <c r="AN500" s="645">
        <f t="shared" si="1783"/>
        <v>-85.50053239338385</v>
      </c>
      <c r="AO500" s="647">
        <f t="shared" si="1783"/>
        <v>144342915.73710909</v>
      </c>
      <c r="AP500" s="644">
        <f t="shared" si="1783"/>
        <v>0</v>
      </c>
      <c r="AQ500" s="645">
        <f t="shared" si="1783"/>
        <v>106332212.3241297</v>
      </c>
      <c r="AR500" s="645">
        <f t="shared" si="1783"/>
        <v>0</v>
      </c>
      <c r="AS500" s="647">
        <f t="shared" si="1783"/>
        <v>144342915.73710909</v>
      </c>
      <c r="AT500" s="644">
        <f t="shared" si="1783"/>
        <v>0</v>
      </c>
      <c r="AU500" s="645">
        <f t="shared" si="1783"/>
        <v>106332212.3241297</v>
      </c>
      <c r="AV500" s="645">
        <f t="shared" si="1783"/>
        <v>0</v>
      </c>
      <c r="AW500" s="647">
        <f t="shared" si="1783"/>
        <v>144342915.73710909</v>
      </c>
      <c r="AX500" s="653"/>
      <c r="AY500" s="644">
        <f t="shared" ref="AY500:BT500" si="1784">SUM(AY5:AY498)</f>
        <v>31458698.270372361</v>
      </c>
      <c r="AZ500" s="645">
        <f t="shared" si="1784"/>
        <v>28996162.895579681</v>
      </c>
      <c r="BA500" s="644">
        <f t="shared" si="1784"/>
        <v>205431.84590549555</v>
      </c>
      <c r="BB500" s="645">
        <f t="shared" si="1784"/>
        <v>28566752.980667941</v>
      </c>
      <c r="BC500" s="645">
        <f t="shared" si="1784"/>
        <v>-205431.84590549546</v>
      </c>
      <c r="BD500" s="647">
        <f t="shared" si="1784"/>
        <v>31458698.270372361</v>
      </c>
      <c r="BE500" s="644">
        <f t="shared" si="1784"/>
        <v>-644597.91385757248</v>
      </c>
      <c r="BF500" s="645">
        <f t="shared" si="1784"/>
        <v>27062131.314169865</v>
      </c>
      <c r="BG500" s="645">
        <f t="shared" si="1784"/>
        <v>-644597.91385757306</v>
      </c>
      <c r="BH500" s="647">
        <f t="shared" si="1784"/>
        <v>31458698.270372368</v>
      </c>
      <c r="BI500" s="644">
        <f t="shared" si="1784"/>
        <v>-45733.965583352467</v>
      </c>
      <c r="BJ500" s="645">
        <f t="shared" si="1784"/>
        <v>21590601.773057885</v>
      </c>
      <c r="BK500" s="645">
        <f t="shared" si="1784"/>
        <v>-45733.965583352481</v>
      </c>
      <c r="BL500" s="647">
        <f t="shared" si="1784"/>
        <v>31458698.27037238</v>
      </c>
      <c r="BM500" s="644">
        <f t="shared" si="1784"/>
        <v>-951.66465754032106</v>
      </c>
      <c r="BN500" s="645">
        <f t="shared" si="1784"/>
        <v>20800145.371719036</v>
      </c>
      <c r="BO500" s="645">
        <f t="shared" si="1784"/>
        <v>-951.66465754032072</v>
      </c>
      <c r="BP500" s="647">
        <f t="shared" si="1784"/>
        <v>31458698.270372357</v>
      </c>
      <c r="BQ500" s="644">
        <f t="shared" si="1784"/>
        <v>0</v>
      </c>
      <c r="BR500" s="645">
        <f t="shared" si="1784"/>
        <v>20799193.707061481</v>
      </c>
      <c r="BS500" s="645">
        <f t="shared" si="1784"/>
        <v>0</v>
      </c>
      <c r="BT500" s="647">
        <f t="shared" si="1784"/>
        <v>31458698.270372357</v>
      </c>
      <c r="BV500" s="644">
        <f t="shared" ref="BV500:CQ500" si="1785">SUM(BV5:BV498)</f>
        <v>81683541.747701183</v>
      </c>
      <c r="BW500" s="645">
        <f t="shared" si="1785"/>
        <v>70827236.924373433</v>
      </c>
      <c r="BX500" s="644">
        <f t="shared" si="1785"/>
        <v>650555.66269480134</v>
      </c>
      <c r="BY500" s="645">
        <f t="shared" si="1785"/>
        <v>74119606.059737995</v>
      </c>
      <c r="BZ500" s="645">
        <f t="shared" si="1785"/>
        <v>-650555.66269480041</v>
      </c>
      <c r="CA500" s="647">
        <f t="shared" si="1785"/>
        <v>81683541.747701228</v>
      </c>
      <c r="CB500" s="644">
        <f t="shared" si="1785"/>
        <v>-21816.361072973465</v>
      </c>
      <c r="CC500" s="645">
        <f t="shared" si="1785"/>
        <v>68109151.097416416</v>
      </c>
      <c r="CD500" s="645">
        <f t="shared" si="1785"/>
        <v>-21816.361072973439</v>
      </c>
      <c r="CE500" s="647">
        <f t="shared" si="1785"/>
        <v>81683541.747701317</v>
      </c>
      <c r="CF500" s="644">
        <f t="shared" si="1785"/>
        <v>0</v>
      </c>
      <c r="CG500" s="645">
        <f t="shared" si="1785"/>
        <v>68087334.736343384</v>
      </c>
      <c r="CH500" s="645">
        <f t="shared" si="1785"/>
        <v>0</v>
      </c>
      <c r="CI500" s="647">
        <f t="shared" si="1785"/>
        <v>81683541.747701317</v>
      </c>
      <c r="CJ500" s="644">
        <f t="shared" si="1785"/>
        <v>0</v>
      </c>
      <c r="CK500" s="645">
        <f t="shared" si="1785"/>
        <v>68087334.736343384</v>
      </c>
      <c r="CL500" s="645">
        <f t="shared" si="1785"/>
        <v>0</v>
      </c>
      <c r="CM500" s="647">
        <f t="shared" si="1785"/>
        <v>81683541.747701317</v>
      </c>
      <c r="CN500" s="644">
        <f t="shared" si="1785"/>
        <v>0</v>
      </c>
      <c r="CO500" s="645">
        <f t="shared" si="1785"/>
        <v>68087334.736343384</v>
      </c>
      <c r="CP500" s="645">
        <f t="shared" si="1785"/>
        <v>0</v>
      </c>
      <c r="CQ500" s="647">
        <f t="shared" si="1785"/>
        <v>81683541.747701317</v>
      </c>
      <c r="CS500" s="644">
        <f t="shared" ref="CS500:DN500" si="1786">SUM(CS5:CS498)</f>
        <v>76362474.111216456</v>
      </c>
      <c r="CT500" s="645">
        <f t="shared" si="1786"/>
        <v>63919931.64725659</v>
      </c>
      <c r="CU500" s="644">
        <f t="shared" si="1786"/>
        <v>695099.86810970563</v>
      </c>
      <c r="CV500" s="645">
        <f t="shared" si="1786"/>
        <v>67877100.514507636</v>
      </c>
      <c r="CW500" s="645">
        <f t="shared" si="1786"/>
        <v>-695099.86810970528</v>
      </c>
      <c r="CX500" s="647">
        <f t="shared" si="1786"/>
        <v>76362474.111216396</v>
      </c>
      <c r="CY500" s="644">
        <f t="shared" si="1786"/>
        <v>-44885.933561554542</v>
      </c>
      <c r="CZ500" s="645">
        <f t="shared" si="1786"/>
        <v>57179268.677336521</v>
      </c>
      <c r="DA500" s="645">
        <f t="shared" si="1786"/>
        <v>-44885.93356155455</v>
      </c>
      <c r="DB500" s="647">
        <f t="shared" si="1786"/>
        <v>76362474.111216515</v>
      </c>
      <c r="DC500" s="644">
        <f t="shared" si="1786"/>
        <v>-38.66256925171183</v>
      </c>
      <c r="DD500" s="645">
        <f t="shared" si="1786"/>
        <v>57066548.328733847</v>
      </c>
      <c r="DE500" s="645">
        <f t="shared" si="1786"/>
        <v>-38.662569251711801</v>
      </c>
      <c r="DF500" s="647">
        <f t="shared" si="1786"/>
        <v>76362474.11121653</v>
      </c>
      <c r="DG500" s="644">
        <f t="shared" si="1786"/>
        <v>0</v>
      </c>
      <c r="DH500" s="645">
        <f t="shared" si="1786"/>
        <v>57066509.66616457</v>
      </c>
      <c r="DI500" s="645">
        <f t="shared" si="1786"/>
        <v>0</v>
      </c>
      <c r="DJ500" s="647">
        <f t="shared" si="1786"/>
        <v>76362474.11121653</v>
      </c>
      <c r="DK500" s="644">
        <f t="shared" si="1786"/>
        <v>0</v>
      </c>
      <c r="DL500" s="645">
        <f t="shared" si="1786"/>
        <v>57066509.66616457</v>
      </c>
      <c r="DM500" s="645">
        <f t="shared" si="1786"/>
        <v>0</v>
      </c>
      <c r="DN500" s="647">
        <f t="shared" si="1786"/>
        <v>76362474.11121653</v>
      </c>
      <c r="DR500" s="828">
        <f>SUM(DR5:DR498)</f>
        <v>333847629.86639893</v>
      </c>
      <c r="DS500" s="648"/>
      <c r="DT500" s="648"/>
      <c r="DU500" s="648"/>
      <c r="DV500" s="828">
        <f>SUM(DV5:DV498)</f>
        <v>302753906.52540153</v>
      </c>
      <c r="DW500" s="648"/>
      <c r="DX500" s="636">
        <f t="shared" ref="DX500:EV500" si="1787">SUM(DX5:DX498)</f>
        <v>251066161.6379571</v>
      </c>
      <c r="DY500" s="637">
        <f t="shared" si="1787"/>
        <v>34470036.572969683</v>
      </c>
      <c r="DZ500" s="637">
        <f t="shared" si="1787"/>
        <v>216596125.06498742</v>
      </c>
      <c r="EA500" s="643">
        <f t="shared" si="1787"/>
        <v>237712255.63795725</v>
      </c>
      <c r="EB500" s="637">
        <f t="shared" si="1787"/>
        <v>26014458.380318772</v>
      </c>
      <c r="EC500" s="637">
        <f t="shared" si="1787"/>
        <v>212330955.48910832</v>
      </c>
      <c r="ED500" s="637">
        <f t="shared" si="1787"/>
        <v>211697797.25763813</v>
      </c>
      <c r="EE500" s="643">
        <f t="shared" si="1787"/>
        <v>237712255.63795692</v>
      </c>
      <c r="EF500" s="637">
        <f t="shared" si="1787"/>
        <v>232299.06094459828</v>
      </c>
      <c r="EG500" s="637">
        <f t="shared" si="1787"/>
        <v>211465716.3576192</v>
      </c>
      <c r="EH500" s="637">
        <f t="shared" si="1787"/>
        <v>211465498.19669405</v>
      </c>
      <c r="EI500" s="643">
        <f t="shared" si="1787"/>
        <v>237712255.63795739</v>
      </c>
      <c r="EJ500" s="637">
        <f t="shared" si="1787"/>
        <v>0</v>
      </c>
      <c r="EK500" s="637">
        <f t="shared" si="1787"/>
        <v>211465498.19669405</v>
      </c>
      <c r="EL500" s="637">
        <f t="shared" si="1787"/>
        <v>211465498.19669342</v>
      </c>
      <c r="EM500" s="643">
        <f t="shared" si="1787"/>
        <v>237712255.63795674</v>
      </c>
      <c r="EN500" s="637">
        <f t="shared" si="1787"/>
        <v>0</v>
      </c>
      <c r="EO500" s="637">
        <f t="shared" si="1787"/>
        <v>211465498.19669342</v>
      </c>
      <c r="EP500" s="637">
        <f t="shared" si="1787"/>
        <v>211465498.19669408</v>
      </c>
      <c r="EQ500" s="643">
        <f t="shared" si="1787"/>
        <v>237712255.63795739</v>
      </c>
      <c r="ER500" s="637">
        <f t="shared" si="1787"/>
        <v>0</v>
      </c>
      <c r="ES500" s="637">
        <f t="shared" si="1787"/>
        <v>211465498.19669408</v>
      </c>
      <c r="ET500" s="637">
        <f t="shared" si="1787"/>
        <v>211465498.19669345</v>
      </c>
      <c r="EU500" s="643">
        <f t="shared" si="1787"/>
        <v>237712255.63795674</v>
      </c>
      <c r="EV500" s="643">
        <f t="shared" si="1787"/>
        <v>0</v>
      </c>
      <c r="EW500" s="648"/>
      <c r="EX500" s="829">
        <f>SUM(EX5:EX498)</f>
        <v>13353906.000000235</v>
      </c>
      <c r="EY500" s="638">
        <f>SUM(EY5:EY498)</f>
        <v>320493723.86639845</v>
      </c>
      <c r="EZ500" s="648"/>
      <c r="FA500" s="832"/>
      <c r="FB500" s="648"/>
      <c r="FC500" s="640" t="str">
        <f t="shared" si="1782"/>
        <v>N</v>
      </c>
      <c r="FD500" s="648"/>
      <c r="FE500" s="640" t="str">
        <f>IFERROR(VLOOKUP($B500,'[2]Historical Conc Grant Elig'!$B$3:$J$707,FE$2,0),"N")</f>
        <v>N</v>
      </c>
      <c r="FF500" s="640" t="str">
        <f>IFERROR(VLOOKUP($B500,'[2]Historical Conc Grant Elig'!$B$3:$J$707,FF$2,0),"N")</f>
        <v>N</v>
      </c>
      <c r="FG500" s="640" t="str">
        <f>IFERROR(VLOOKUP($B500,'[2]Historical Conc Grant Elig'!$B$3:$J$707,FG$2,0),"N")</f>
        <v>N</v>
      </c>
      <c r="FH500" s="640" t="str">
        <f>IFERROR(VLOOKUP($B500,'[2]Historical Conc Grant Elig'!$B$3:$J$707,FH$2,0),"N")</f>
        <v>N</v>
      </c>
      <c r="FI500" s="640" t="str">
        <f>IFERROR(VLOOKUP($B500,'[2]Historical Conc Grant Elig'!$B$3:$J$707,FI$2,0),"N")</f>
        <v>N</v>
      </c>
      <c r="FJ500" s="640" t="str">
        <f>IFERROR(VLOOKUP($B500,'[2]Historical Conc Grant Elig'!$B$3:$J$707,FJ$2,0),"N")</f>
        <v>N</v>
      </c>
      <c r="FK500" s="640" t="str">
        <f>IFERROR(VLOOKUP($B500,'[2]Historical Conc Grant Elig'!$B$3:$J$707,FK$2,0),"N")</f>
        <v>N</v>
      </c>
      <c r="FL500" s="958" t="str">
        <f>IFERROR(VLOOKUP($B500,'[2]Historical Conc Grant Elig'!$B$3:$J$707,FL$2,0),"N")</f>
        <v>N</v>
      </c>
    </row>
    <row r="501" spans="2:168" ht="13.8" thickBot="1" x14ac:dyDescent="0.3">
      <c r="B501" s="655"/>
      <c r="C501" s="656"/>
      <c r="D501" s="655"/>
      <c r="E501" s="657"/>
      <c r="F501" s="657"/>
      <c r="G501" s="657"/>
      <c r="H501" s="656"/>
      <c r="I501" s="655"/>
      <c r="J501" s="657"/>
      <c r="K501" s="657"/>
      <c r="L501" s="656"/>
      <c r="N501" s="658"/>
      <c r="P501" s="655"/>
      <c r="Q501" s="657"/>
      <c r="R501" s="657"/>
      <c r="S501" s="657"/>
      <c r="T501" s="656"/>
      <c r="V501" s="655"/>
      <c r="W501" s="657"/>
      <c r="X501" s="657"/>
      <c r="Y501" s="657"/>
      <c r="Z501" s="656"/>
      <c r="AB501" s="659"/>
      <c r="AC501" s="660"/>
      <c r="AD501" s="659"/>
      <c r="AE501" s="660"/>
      <c r="AF501" s="660"/>
      <c r="AG501" s="661"/>
      <c r="AH501" s="659"/>
      <c r="AI501" s="660"/>
      <c r="AJ501" s="660"/>
      <c r="AK501" s="661"/>
      <c r="AL501" s="659"/>
      <c r="AM501" s="660"/>
      <c r="AN501" s="660"/>
      <c r="AO501" s="661"/>
      <c r="AP501" s="659"/>
      <c r="AQ501" s="660"/>
      <c r="AR501" s="660"/>
      <c r="AS501" s="661"/>
      <c r="AT501" s="659"/>
      <c r="AU501" s="660"/>
      <c r="AV501" s="660"/>
      <c r="AW501" s="866"/>
      <c r="AY501" s="659"/>
      <c r="AZ501" s="660"/>
      <c r="BA501" s="659"/>
      <c r="BB501" s="660"/>
      <c r="BC501" s="660"/>
      <c r="BD501" s="661"/>
      <c r="BE501" s="659"/>
      <c r="BF501" s="660"/>
      <c r="BG501" s="660"/>
      <c r="BH501" s="661"/>
      <c r="BI501" s="659"/>
      <c r="BJ501" s="660"/>
      <c r="BK501" s="660"/>
      <c r="BL501" s="661"/>
      <c r="BM501" s="659"/>
      <c r="BN501" s="660"/>
      <c r="BO501" s="660"/>
      <c r="BP501" s="661"/>
      <c r="BQ501" s="659"/>
      <c r="BR501" s="660"/>
      <c r="BS501" s="660"/>
      <c r="BT501" s="866"/>
      <c r="BV501" s="659"/>
      <c r="BW501" s="660"/>
      <c r="BX501" s="659"/>
      <c r="BY501" s="660"/>
      <c r="BZ501" s="660"/>
      <c r="CA501" s="661"/>
      <c r="CB501" s="659"/>
      <c r="CC501" s="660"/>
      <c r="CD501" s="660"/>
      <c r="CE501" s="661"/>
      <c r="CF501" s="659"/>
      <c r="CG501" s="660"/>
      <c r="CH501" s="660"/>
      <c r="CI501" s="661"/>
      <c r="CJ501" s="659"/>
      <c r="CK501" s="660"/>
      <c r="CL501" s="660"/>
      <c r="CM501" s="661"/>
      <c r="CN501" s="659"/>
      <c r="CO501" s="660"/>
      <c r="CP501" s="660"/>
      <c r="CQ501" s="866"/>
      <c r="CS501" s="659"/>
      <c r="CT501" s="660"/>
      <c r="CU501" s="659"/>
      <c r="CV501" s="660"/>
      <c r="CW501" s="660"/>
      <c r="CX501" s="661"/>
      <c r="CY501" s="659"/>
      <c r="CZ501" s="660"/>
      <c r="DA501" s="660"/>
      <c r="DB501" s="661"/>
      <c r="DC501" s="659"/>
      <c r="DD501" s="660"/>
      <c r="DE501" s="660"/>
      <c r="DF501" s="661"/>
      <c r="DG501" s="659"/>
      <c r="DH501" s="660"/>
      <c r="DI501" s="660"/>
      <c r="DJ501" s="661"/>
      <c r="DK501" s="659"/>
      <c r="DL501" s="660"/>
      <c r="DM501" s="660"/>
      <c r="DN501" s="866"/>
      <c r="DR501" s="861"/>
      <c r="DS501" s="648"/>
      <c r="DT501" s="648"/>
      <c r="DU501" s="648"/>
      <c r="DV501" s="862"/>
      <c r="DW501" s="648"/>
      <c r="DX501" s="863"/>
      <c r="DY501" s="864"/>
      <c r="DZ501" s="864"/>
      <c r="EA501" s="865"/>
      <c r="EB501" s="864"/>
      <c r="EC501" s="864"/>
      <c r="ED501" s="864"/>
      <c r="EE501" s="865"/>
      <c r="EF501" s="864"/>
      <c r="EG501" s="864"/>
      <c r="EH501" s="864"/>
      <c r="EI501" s="865"/>
      <c r="EJ501" s="864"/>
      <c r="EK501" s="864"/>
      <c r="EL501" s="864"/>
      <c r="EM501" s="865"/>
      <c r="EN501" s="864"/>
      <c r="EO501" s="864"/>
      <c r="EP501" s="864"/>
      <c r="EQ501" s="865"/>
      <c r="ER501" s="864"/>
      <c r="ES501" s="864"/>
      <c r="ET501" s="864"/>
      <c r="EU501" s="865"/>
      <c r="EV501" s="865"/>
      <c r="EW501" s="648"/>
      <c r="EX501" s="655"/>
      <c r="EY501" s="656"/>
      <c r="EZ501" s="648"/>
      <c r="FA501" s="832"/>
      <c r="FB501" s="648"/>
      <c r="FC501" s="648"/>
      <c r="FD501" s="648"/>
      <c r="FE501" s="640"/>
      <c r="FF501" s="640"/>
      <c r="FG501" s="640"/>
      <c r="FH501" s="640"/>
      <c r="FI501" s="640"/>
      <c r="FJ501" s="640"/>
      <c r="FK501" s="640"/>
      <c r="FL501" s="958"/>
    </row>
    <row r="502" spans="2:168" x14ac:dyDescent="0.25">
      <c r="AB502" s="650"/>
      <c r="AC502" s="650"/>
      <c r="AD502" s="650"/>
      <c r="AE502" s="650"/>
      <c r="AF502" s="650"/>
      <c r="AG502" s="650"/>
      <c r="AH502" s="650"/>
      <c r="AI502" s="650"/>
      <c r="AJ502" s="650"/>
      <c r="AK502" s="650"/>
      <c r="AL502" s="650"/>
      <c r="AM502" s="650"/>
      <c r="AN502" s="650"/>
      <c r="AO502" s="650"/>
      <c r="AP502" s="650"/>
      <c r="AQ502" s="650"/>
      <c r="AR502" s="650"/>
      <c r="AS502" s="650"/>
      <c r="AT502" s="650"/>
      <c r="AU502" s="650"/>
      <c r="AV502" s="650"/>
      <c r="AW502" s="650"/>
      <c r="AX502" s="648"/>
      <c r="AY502" s="650"/>
      <c r="AZ502" s="650"/>
      <c r="BA502" s="650"/>
      <c r="BB502" s="650"/>
      <c r="BC502" s="650"/>
      <c r="BD502" s="650"/>
      <c r="BE502" s="650"/>
      <c r="BF502" s="650"/>
      <c r="BG502" s="650"/>
      <c r="BH502" s="650"/>
      <c r="BI502" s="650"/>
      <c r="BJ502" s="650"/>
      <c r="BK502" s="650"/>
      <c r="BL502" s="650"/>
      <c r="BM502" s="650"/>
      <c r="BN502" s="650"/>
      <c r="BO502" s="650"/>
      <c r="BP502" s="650"/>
      <c r="BQ502" s="650"/>
      <c r="BR502" s="650"/>
      <c r="BS502" s="650"/>
      <c r="BT502" s="650"/>
      <c r="BU502" s="648"/>
      <c r="BV502" s="650"/>
      <c r="BW502" s="650"/>
      <c r="BX502" s="650"/>
      <c r="BY502" s="650"/>
      <c r="BZ502" s="650"/>
      <c r="CA502" s="650"/>
      <c r="CB502" s="650"/>
      <c r="CC502" s="650"/>
      <c r="CD502" s="650"/>
      <c r="CE502" s="650"/>
      <c r="CF502" s="650"/>
      <c r="CG502" s="650"/>
      <c r="CH502" s="650"/>
      <c r="CI502" s="650"/>
      <c r="CJ502" s="650"/>
      <c r="CK502" s="650"/>
      <c r="CL502" s="650"/>
      <c r="CM502" s="650"/>
      <c r="CN502" s="650"/>
      <c r="CO502" s="650"/>
      <c r="CP502" s="650"/>
      <c r="CQ502" s="650"/>
      <c r="CR502" s="648"/>
      <c r="CS502" s="650"/>
      <c r="CT502" s="650"/>
      <c r="CU502" s="650"/>
      <c r="CV502" s="650"/>
      <c r="CW502" s="650"/>
      <c r="CX502" s="650"/>
      <c r="CY502" s="650"/>
      <c r="CZ502" s="650"/>
      <c r="DA502" s="650"/>
      <c r="DB502" s="650"/>
      <c r="DC502" s="650"/>
      <c r="DD502" s="650"/>
      <c r="DE502" s="650"/>
      <c r="DF502" s="650"/>
      <c r="DG502" s="650"/>
      <c r="DH502" s="650"/>
      <c r="DI502" s="650"/>
      <c r="DJ502" s="650"/>
      <c r="DK502" s="650"/>
      <c r="DL502" s="650"/>
      <c r="DM502" s="650"/>
      <c r="DN502" s="650"/>
      <c r="DR502" s="831"/>
      <c r="DS502" s="648"/>
      <c r="DT502" s="648"/>
      <c r="DU502" s="648"/>
      <c r="DV502" s="645"/>
      <c r="DW502" s="648"/>
      <c r="DX502" s="637"/>
      <c r="DY502" s="637"/>
      <c r="DZ502" s="637"/>
      <c r="EA502" s="637"/>
      <c r="EB502" s="637"/>
      <c r="EC502" s="637"/>
      <c r="ED502" s="637"/>
      <c r="EE502" s="637"/>
      <c r="EF502" s="637"/>
      <c r="EG502" s="637"/>
      <c r="EH502" s="637"/>
      <c r="EI502" s="637"/>
      <c r="EJ502" s="637"/>
      <c r="EK502" s="637"/>
      <c r="EL502" s="637"/>
      <c r="EM502" s="637"/>
      <c r="EN502" s="637"/>
      <c r="EO502" s="637"/>
      <c r="EP502" s="637"/>
      <c r="EQ502" s="637"/>
      <c r="ER502" s="637"/>
      <c r="ES502" s="637"/>
      <c r="ET502" s="637"/>
      <c r="EU502" s="637"/>
      <c r="EV502" s="637"/>
      <c r="EW502" s="648"/>
      <c r="EX502" s="831"/>
      <c r="EY502" s="831"/>
      <c r="EZ502" s="648"/>
      <c r="FA502" s="832"/>
      <c r="FB502" s="648"/>
      <c r="FC502" s="648"/>
      <c r="FD502" s="648"/>
      <c r="FE502" s="640"/>
      <c r="FF502" s="640"/>
      <c r="FG502" s="640"/>
      <c r="FH502" s="640"/>
      <c r="FI502" s="640"/>
      <c r="FJ502" s="640"/>
      <c r="FK502" s="640"/>
      <c r="FL502" s="958"/>
    </row>
    <row r="503" spans="2:168" x14ac:dyDescent="0.25">
      <c r="B503" s="6">
        <v>1</v>
      </c>
      <c r="C503" s="6">
        <f>B503+1</f>
        <v>2</v>
      </c>
      <c r="D503" s="6">
        <f t="shared" ref="D503:Z503" si="1788">C503+1</f>
        <v>3</v>
      </c>
      <c r="E503" s="6">
        <f t="shared" si="1788"/>
        <v>4</v>
      </c>
      <c r="F503" s="6">
        <f t="shared" si="1788"/>
        <v>5</v>
      </c>
      <c r="G503" s="6">
        <f t="shared" si="1788"/>
        <v>6</v>
      </c>
      <c r="H503" s="6">
        <f t="shared" si="1788"/>
        <v>7</v>
      </c>
      <c r="I503" s="6">
        <f t="shared" si="1788"/>
        <v>8</v>
      </c>
      <c r="J503" s="6">
        <f t="shared" si="1788"/>
        <v>9</v>
      </c>
      <c r="K503" s="6">
        <f t="shared" si="1788"/>
        <v>10</v>
      </c>
      <c r="L503" s="6">
        <f t="shared" si="1788"/>
        <v>11</v>
      </c>
      <c r="M503" s="6">
        <f t="shared" si="1788"/>
        <v>12</v>
      </c>
      <c r="N503" s="6">
        <f t="shared" si="1788"/>
        <v>13</v>
      </c>
      <c r="O503" s="6">
        <f t="shared" si="1788"/>
        <v>14</v>
      </c>
      <c r="P503" s="6">
        <f>O503+1</f>
        <v>15</v>
      </c>
      <c r="Q503" s="6">
        <f t="shared" si="1788"/>
        <v>16</v>
      </c>
      <c r="R503" s="6">
        <f t="shared" si="1788"/>
        <v>17</v>
      </c>
      <c r="S503" s="6">
        <f t="shared" si="1788"/>
        <v>18</v>
      </c>
      <c r="T503" s="6">
        <f t="shared" si="1788"/>
        <v>19</v>
      </c>
      <c r="U503" s="6">
        <f t="shared" si="1788"/>
        <v>20</v>
      </c>
      <c r="V503" s="6">
        <f t="shared" si="1788"/>
        <v>21</v>
      </c>
      <c r="W503" s="6">
        <f t="shared" si="1788"/>
        <v>22</v>
      </c>
      <c r="X503" s="6">
        <f t="shared" si="1788"/>
        <v>23</v>
      </c>
      <c r="Y503" s="6">
        <f t="shared" si="1788"/>
        <v>24</v>
      </c>
      <c r="Z503" s="6">
        <f t="shared" si="1788"/>
        <v>25</v>
      </c>
      <c r="AA503" s="6">
        <f t="shared" ref="AA503" si="1789">Z503+1</f>
        <v>26</v>
      </c>
      <c r="AB503" s="6">
        <f t="shared" ref="AB503" si="1790">AA503+1</f>
        <v>27</v>
      </c>
      <c r="AC503" s="6">
        <f t="shared" ref="AC503" si="1791">AB503+1</f>
        <v>28</v>
      </c>
      <c r="AD503" s="6">
        <f t="shared" ref="AD503" si="1792">AC503+1</f>
        <v>29</v>
      </c>
      <c r="AE503" s="6">
        <f t="shared" ref="AE503" si="1793">AD503+1</f>
        <v>30</v>
      </c>
      <c r="AF503" s="6">
        <f t="shared" ref="AF503" si="1794">AE503+1</f>
        <v>31</v>
      </c>
      <c r="AG503" s="6">
        <f t="shared" ref="AG503" si="1795">AF503+1</f>
        <v>32</v>
      </c>
      <c r="AH503" s="6">
        <f t="shared" ref="AH503" si="1796">AG503+1</f>
        <v>33</v>
      </c>
      <c r="AI503" s="6">
        <f t="shared" ref="AI503" si="1797">AH503+1</f>
        <v>34</v>
      </c>
      <c r="AJ503" s="6">
        <f t="shared" ref="AJ503" si="1798">AI503+1</f>
        <v>35</v>
      </c>
      <c r="AK503" s="6">
        <f t="shared" ref="AK503" si="1799">AJ503+1</f>
        <v>36</v>
      </c>
      <c r="AL503" s="6">
        <f t="shared" ref="AL503" si="1800">AK503+1</f>
        <v>37</v>
      </c>
      <c r="AM503" s="6">
        <f t="shared" ref="AM503" si="1801">AL503+1</f>
        <v>38</v>
      </c>
      <c r="AN503" s="6">
        <f t="shared" ref="AN503" si="1802">AM503+1</f>
        <v>39</v>
      </c>
      <c r="AO503" s="6">
        <f t="shared" ref="AO503" si="1803">AN503+1</f>
        <v>40</v>
      </c>
      <c r="AP503" s="6">
        <f t="shared" ref="AP503" si="1804">AO503+1</f>
        <v>41</v>
      </c>
      <c r="AQ503" s="6">
        <f t="shared" ref="AQ503" si="1805">AP503+1</f>
        <v>42</v>
      </c>
      <c r="AR503" s="6">
        <f t="shared" ref="AR503" si="1806">AQ503+1</f>
        <v>43</v>
      </c>
      <c r="AS503" s="6">
        <f t="shared" ref="AS503" si="1807">AR503+1</f>
        <v>44</v>
      </c>
      <c r="AT503" s="6">
        <f t="shared" ref="AT503" si="1808">AS503+1</f>
        <v>45</v>
      </c>
      <c r="AU503" s="6">
        <f t="shared" ref="AU503" si="1809">AT503+1</f>
        <v>46</v>
      </c>
      <c r="AV503" s="6">
        <f t="shared" ref="AV503" si="1810">AU503+1</f>
        <v>47</v>
      </c>
      <c r="AW503" s="6">
        <f t="shared" ref="AW503" si="1811">AV503+1</f>
        <v>48</v>
      </c>
      <c r="AX503" s="6">
        <f t="shared" ref="AX503" si="1812">AW503+1</f>
        <v>49</v>
      </c>
      <c r="AY503" s="6">
        <f t="shared" ref="AY503" si="1813">AX503+1</f>
        <v>50</v>
      </c>
      <c r="AZ503" s="6">
        <f t="shared" ref="AZ503" si="1814">AY503+1</f>
        <v>51</v>
      </c>
      <c r="BA503" s="6">
        <f t="shared" ref="BA503" si="1815">AZ503+1</f>
        <v>52</v>
      </c>
      <c r="BB503" s="6">
        <f t="shared" ref="BB503" si="1816">BA503+1</f>
        <v>53</v>
      </c>
      <c r="BC503" s="6">
        <f t="shared" ref="BC503" si="1817">BB503+1</f>
        <v>54</v>
      </c>
      <c r="BD503" s="6">
        <f t="shared" ref="BD503" si="1818">BC503+1</f>
        <v>55</v>
      </c>
      <c r="BE503" s="6">
        <f t="shared" ref="BE503" si="1819">BD503+1</f>
        <v>56</v>
      </c>
      <c r="BF503" s="6">
        <f t="shared" ref="BF503" si="1820">BE503+1</f>
        <v>57</v>
      </c>
      <c r="BG503" s="6">
        <f t="shared" ref="BG503" si="1821">BF503+1</f>
        <v>58</v>
      </c>
      <c r="BH503" s="6">
        <f t="shared" ref="BH503" si="1822">BG503+1</f>
        <v>59</v>
      </c>
      <c r="BI503" s="6">
        <f t="shared" ref="BI503" si="1823">BH503+1</f>
        <v>60</v>
      </c>
      <c r="BJ503" s="6">
        <f t="shared" ref="BJ503" si="1824">BI503+1</f>
        <v>61</v>
      </c>
      <c r="BK503" s="6">
        <f t="shared" ref="BK503" si="1825">BJ503+1</f>
        <v>62</v>
      </c>
      <c r="BL503" s="6">
        <f t="shared" ref="BL503" si="1826">BK503+1</f>
        <v>63</v>
      </c>
      <c r="BM503" s="6">
        <f t="shared" ref="BM503" si="1827">BL503+1</f>
        <v>64</v>
      </c>
      <c r="BN503" s="6">
        <f t="shared" ref="BN503" si="1828">BM503+1</f>
        <v>65</v>
      </c>
      <c r="BO503" s="6">
        <f t="shared" ref="BO503" si="1829">BN503+1</f>
        <v>66</v>
      </c>
      <c r="BP503" s="6">
        <f t="shared" ref="BP503" si="1830">BO503+1</f>
        <v>67</v>
      </c>
      <c r="BQ503" s="6">
        <f t="shared" ref="BQ503" si="1831">BP503+1</f>
        <v>68</v>
      </c>
      <c r="BR503" s="6">
        <f t="shared" ref="BR503" si="1832">BQ503+1</f>
        <v>69</v>
      </c>
      <c r="BS503" s="6">
        <f t="shared" ref="BS503" si="1833">BR503+1</f>
        <v>70</v>
      </c>
      <c r="BT503" s="6">
        <f t="shared" ref="BT503" si="1834">BS503+1</f>
        <v>71</v>
      </c>
      <c r="BU503" s="6">
        <f t="shared" ref="BU503" si="1835">BT503+1</f>
        <v>72</v>
      </c>
      <c r="BV503" s="6">
        <f t="shared" ref="BV503" si="1836">BU503+1</f>
        <v>73</v>
      </c>
      <c r="BW503" s="6">
        <f t="shared" ref="BW503" si="1837">BV503+1</f>
        <v>74</v>
      </c>
      <c r="BX503" s="6">
        <f t="shared" ref="BX503" si="1838">BW503+1</f>
        <v>75</v>
      </c>
      <c r="BY503" s="6">
        <f t="shared" ref="BY503" si="1839">BX503+1</f>
        <v>76</v>
      </c>
      <c r="BZ503" s="6">
        <f t="shared" ref="BZ503" si="1840">BY503+1</f>
        <v>77</v>
      </c>
      <c r="CA503" s="6">
        <f t="shared" ref="CA503" si="1841">BZ503+1</f>
        <v>78</v>
      </c>
      <c r="CB503" s="6">
        <f t="shared" ref="CB503" si="1842">CA503+1</f>
        <v>79</v>
      </c>
      <c r="CC503" s="6">
        <f t="shared" ref="CC503" si="1843">CB503+1</f>
        <v>80</v>
      </c>
      <c r="CD503" s="6">
        <f t="shared" ref="CD503" si="1844">CC503+1</f>
        <v>81</v>
      </c>
      <c r="CE503" s="6">
        <f t="shared" ref="CE503" si="1845">CD503+1</f>
        <v>82</v>
      </c>
      <c r="CF503" s="6">
        <f t="shared" ref="CF503" si="1846">CE503+1</f>
        <v>83</v>
      </c>
      <c r="CG503" s="6">
        <f t="shared" ref="CG503" si="1847">CF503+1</f>
        <v>84</v>
      </c>
      <c r="CH503" s="6">
        <f t="shared" ref="CH503" si="1848">CG503+1</f>
        <v>85</v>
      </c>
      <c r="CI503" s="6">
        <f t="shared" ref="CI503" si="1849">CH503+1</f>
        <v>86</v>
      </c>
      <c r="CJ503" s="6">
        <f t="shared" ref="CJ503" si="1850">CI503+1</f>
        <v>87</v>
      </c>
      <c r="CK503" s="6">
        <f t="shared" ref="CK503" si="1851">CJ503+1</f>
        <v>88</v>
      </c>
      <c r="CL503" s="6">
        <f t="shared" ref="CL503" si="1852">CK503+1</f>
        <v>89</v>
      </c>
      <c r="CM503" s="6">
        <f t="shared" ref="CM503" si="1853">CL503+1</f>
        <v>90</v>
      </c>
      <c r="CN503" s="6">
        <f t="shared" ref="CN503" si="1854">CM503+1</f>
        <v>91</v>
      </c>
      <c r="CO503" s="6">
        <f t="shared" ref="CO503" si="1855">CN503+1</f>
        <v>92</v>
      </c>
      <c r="CP503" s="6">
        <f t="shared" ref="CP503" si="1856">CO503+1</f>
        <v>93</v>
      </c>
      <c r="CQ503" s="6">
        <f t="shared" ref="CQ503" si="1857">CP503+1</f>
        <v>94</v>
      </c>
      <c r="CR503" s="6">
        <f t="shared" ref="CR503" si="1858">CQ503+1</f>
        <v>95</v>
      </c>
      <c r="CS503" s="6">
        <f t="shared" ref="CS503" si="1859">CR503+1</f>
        <v>96</v>
      </c>
      <c r="CT503" s="6">
        <f t="shared" ref="CT503" si="1860">CS503+1</f>
        <v>97</v>
      </c>
      <c r="CU503" s="6">
        <f t="shared" ref="CU503" si="1861">CT503+1</f>
        <v>98</v>
      </c>
      <c r="CV503" s="6">
        <f t="shared" ref="CV503" si="1862">CU503+1</f>
        <v>99</v>
      </c>
      <c r="CW503" s="6">
        <f t="shared" ref="CW503" si="1863">CV503+1</f>
        <v>100</v>
      </c>
      <c r="CX503" s="6">
        <f t="shared" ref="CX503" si="1864">CW503+1</f>
        <v>101</v>
      </c>
      <c r="CY503" s="6">
        <f t="shared" ref="CY503" si="1865">CX503+1</f>
        <v>102</v>
      </c>
      <c r="CZ503" s="6">
        <f t="shared" ref="CZ503" si="1866">CY503+1</f>
        <v>103</v>
      </c>
      <c r="DA503" s="6">
        <f t="shared" ref="DA503" si="1867">CZ503+1</f>
        <v>104</v>
      </c>
      <c r="DB503" s="6">
        <f t="shared" ref="DB503" si="1868">DA503+1</f>
        <v>105</v>
      </c>
      <c r="DC503" s="6">
        <f t="shared" ref="DC503" si="1869">DB503+1</f>
        <v>106</v>
      </c>
      <c r="DD503" s="6">
        <f t="shared" ref="DD503" si="1870">DC503+1</f>
        <v>107</v>
      </c>
      <c r="DE503" s="6">
        <f t="shared" ref="DE503" si="1871">DD503+1</f>
        <v>108</v>
      </c>
      <c r="DF503" s="6">
        <f t="shared" ref="DF503" si="1872">DE503+1</f>
        <v>109</v>
      </c>
      <c r="DG503" s="6">
        <f t="shared" ref="DG503" si="1873">DF503+1</f>
        <v>110</v>
      </c>
      <c r="DH503" s="6">
        <f t="shared" ref="DH503" si="1874">DG503+1</f>
        <v>111</v>
      </c>
      <c r="DI503" s="6">
        <f t="shared" ref="DI503" si="1875">DH503+1</f>
        <v>112</v>
      </c>
      <c r="DJ503" s="6">
        <f t="shared" ref="DJ503" si="1876">DI503+1</f>
        <v>113</v>
      </c>
      <c r="DK503" s="6">
        <f t="shared" ref="DK503" si="1877">DJ503+1</f>
        <v>114</v>
      </c>
      <c r="DL503" s="6">
        <f t="shared" ref="DL503" si="1878">DK503+1</f>
        <v>115</v>
      </c>
      <c r="DM503" s="6">
        <f t="shared" ref="DM503" si="1879">DL503+1</f>
        <v>116</v>
      </c>
      <c r="DN503" s="6">
        <f t="shared" ref="DN503" si="1880">DM503+1</f>
        <v>117</v>
      </c>
      <c r="DO503" s="6">
        <f t="shared" ref="DO503" si="1881">DN503+1</f>
        <v>118</v>
      </c>
      <c r="DP503" s="807">
        <f t="shared" ref="DP503" si="1882">DO503+1</f>
        <v>119</v>
      </c>
      <c r="DQ503" s="6">
        <f t="shared" ref="DQ503" si="1883">DP503+1</f>
        <v>120</v>
      </c>
      <c r="DR503" s="648">
        <f t="shared" ref="DR503" si="1884">DQ503+1</f>
        <v>121</v>
      </c>
      <c r="DS503" s="648">
        <f t="shared" ref="DS503" si="1885">DR503+1</f>
        <v>122</v>
      </c>
      <c r="DT503" s="648">
        <f t="shared" ref="DT503" si="1886">DS503+1</f>
        <v>123</v>
      </c>
      <c r="DU503" s="648">
        <f t="shared" ref="DU503" si="1887">DT503+1</f>
        <v>124</v>
      </c>
      <c r="DV503" s="650">
        <f t="shared" ref="DV503" si="1888">DU503+1</f>
        <v>125</v>
      </c>
      <c r="DW503" s="648">
        <f t="shared" ref="DW503" si="1889">DV503+1</f>
        <v>126</v>
      </c>
      <c r="DX503" s="637">
        <f t="shared" ref="DX503" si="1890">DW503+1</f>
        <v>127</v>
      </c>
      <c r="DY503" s="648">
        <f t="shared" ref="DY503" si="1891">DX503+1</f>
        <v>128</v>
      </c>
      <c r="DZ503" s="648">
        <f t="shared" ref="DZ503" si="1892">DY503+1</f>
        <v>129</v>
      </c>
      <c r="EA503" s="648">
        <f t="shared" ref="EA503" si="1893">DZ503+1</f>
        <v>130</v>
      </c>
      <c r="EB503" s="648">
        <f t="shared" ref="EB503" si="1894">EA503+1</f>
        <v>131</v>
      </c>
      <c r="EC503" s="648">
        <f t="shared" ref="EC503" si="1895">EB503+1</f>
        <v>132</v>
      </c>
      <c r="ED503" s="648">
        <f t="shared" ref="ED503" si="1896">EC503+1</f>
        <v>133</v>
      </c>
      <c r="EE503" s="648">
        <f t="shared" ref="EE503" si="1897">ED503+1</f>
        <v>134</v>
      </c>
      <c r="EF503" s="648">
        <f t="shared" ref="EF503" si="1898">EE503+1</f>
        <v>135</v>
      </c>
      <c r="EG503" s="648">
        <f t="shared" ref="EG503" si="1899">EF503+1</f>
        <v>136</v>
      </c>
      <c r="EH503" s="648">
        <f t="shared" ref="EH503" si="1900">EG503+1</f>
        <v>137</v>
      </c>
      <c r="EI503" s="648">
        <f t="shared" ref="EI503" si="1901">EH503+1</f>
        <v>138</v>
      </c>
      <c r="EJ503" s="637">
        <f t="shared" ref="EJ503" si="1902">EI503+1</f>
        <v>139</v>
      </c>
      <c r="EK503" s="637">
        <f t="shared" ref="EK503" si="1903">EJ503+1</f>
        <v>140</v>
      </c>
      <c r="EL503" s="637">
        <f t="shared" ref="EL503" si="1904">EK503+1</f>
        <v>141</v>
      </c>
      <c r="EM503" s="637">
        <f t="shared" ref="EM503" si="1905">EL503+1</f>
        <v>142</v>
      </c>
      <c r="EN503" s="648">
        <f t="shared" ref="EN503" si="1906">EM503+1</f>
        <v>143</v>
      </c>
      <c r="EO503" s="648">
        <f t="shared" ref="EO503" si="1907">EN503+1</f>
        <v>144</v>
      </c>
      <c r="EP503" s="648">
        <f t="shared" ref="EP503" si="1908">EO503+1</f>
        <v>145</v>
      </c>
      <c r="EQ503" s="648">
        <f t="shared" ref="EQ503" si="1909">EP503+1</f>
        <v>146</v>
      </c>
      <c r="ER503" s="648">
        <f t="shared" ref="ER503" si="1910">EQ503+1</f>
        <v>147</v>
      </c>
      <c r="ES503" s="648">
        <f t="shared" ref="ES503" si="1911">ER503+1</f>
        <v>148</v>
      </c>
      <c r="ET503" s="648">
        <f t="shared" ref="ET503" si="1912">ES503+1</f>
        <v>149</v>
      </c>
      <c r="EU503" s="648">
        <f t="shared" ref="EU503" si="1913">ET503+1</f>
        <v>150</v>
      </c>
      <c r="EV503" s="648">
        <f t="shared" ref="EV503" si="1914">EU503+1</f>
        <v>151</v>
      </c>
      <c r="EW503" s="648">
        <f t="shared" ref="EW503" si="1915">EV503+1</f>
        <v>152</v>
      </c>
      <c r="EX503" s="648">
        <f t="shared" ref="EX503" si="1916">EW503+1</f>
        <v>153</v>
      </c>
      <c r="EY503" s="648">
        <f t="shared" ref="EY503" si="1917">EX503+1</f>
        <v>154</v>
      </c>
      <c r="EZ503" s="648">
        <f t="shared" ref="EZ503" si="1918">EY503+1</f>
        <v>155</v>
      </c>
      <c r="FA503" s="832">
        <f t="shared" ref="FA503" si="1919">EZ503+1</f>
        <v>156</v>
      </c>
      <c r="FB503" s="648">
        <f t="shared" ref="FB503" si="1920">FA503+1</f>
        <v>157</v>
      </c>
      <c r="FC503" s="648">
        <f t="shared" ref="FC503" si="1921">FB503+1</f>
        <v>158</v>
      </c>
      <c r="FD503" s="648">
        <f t="shared" ref="FD503" si="1922">FC503+1</f>
        <v>159</v>
      </c>
      <c r="FE503" s="640">
        <f t="shared" ref="FE503" si="1923">FD503+1</f>
        <v>160</v>
      </c>
      <c r="FF503" s="640">
        <f t="shared" ref="FF503" si="1924">FE503+1</f>
        <v>161</v>
      </c>
      <c r="FG503" s="640">
        <f t="shared" ref="FG503" si="1925">FF503+1</f>
        <v>162</v>
      </c>
      <c r="FH503" s="640">
        <f t="shared" ref="FH503" si="1926">FG503+1</f>
        <v>163</v>
      </c>
      <c r="FI503" s="640">
        <f t="shared" ref="FI503" si="1927">FH503+1</f>
        <v>164</v>
      </c>
      <c r="FJ503" s="640">
        <f t="shared" ref="FJ503" si="1928">FI503+1</f>
        <v>165</v>
      </c>
      <c r="FK503" s="640">
        <f t="shared" ref="FK503" si="1929">FJ503+1</f>
        <v>166</v>
      </c>
      <c r="FL503" s="958">
        <f t="shared" ref="FL503" si="1930">FK503+1</f>
        <v>167</v>
      </c>
    </row>
    <row r="504" spans="2:168" x14ac:dyDescent="0.25">
      <c r="DO504" s="833"/>
      <c r="DP504" s="834"/>
      <c r="DQ504" s="833"/>
      <c r="DR504" s="835"/>
      <c r="DS504" s="836"/>
      <c r="DT504" s="836"/>
      <c r="DU504" s="836"/>
      <c r="DV504" s="837"/>
      <c r="DW504" s="836"/>
      <c r="DX504" s="838"/>
      <c r="DY504" s="838"/>
      <c r="DZ504" s="838"/>
      <c r="EA504" s="838"/>
      <c r="EB504" s="838"/>
      <c r="EC504" s="838"/>
      <c r="ED504" s="838"/>
      <c r="EE504" s="838"/>
      <c r="EF504" s="838"/>
      <c r="EG504" s="838"/>
      <c r="EH504" s="838"/>
      <c r="EI504" s="838"/>
      <c r="EJ504" s="838"/>
      <c r="EK504" s="838"/>
      <c r="EL504" s="838"/>
      <c r="EM504" s="838"/>
      <c r="EN504" s="838"/>
      <c r="EO504" s="838"/>
      <c r="EP504" s="838"/>
      <c r="EQ504" s="838"/>
      <c r="ER504" s="838"/>
      <c r="ES504" s="838"/>
      <c r="ET504" s="838"/>
      <c r="EU504" s="838"/>
      <c r="EV504" s="838"/>
      <c r="EW504" s="836"/>
      <c r="EX504" s="837"/>
      <c r="EY504" s="837"/>
      <c r="EZ504" s="836"/>
      <c r="FA504" s="832"/>
      <c r="FB504" s="836"/>
      <c r="FC504" s="836"/>
      <c r="FD504" s="836"/>
      <c r="FE504" s="839"/>
      <c r="FF504" s="839"/>
      <c r="FG504" s="839"/>
      <c r="FH504" s="839"/>
      <c r="FI504" s="839"/>
      <c r="FJ504" s="839"/>
      <c r="FK504" s="839"/>
      <c r="FL504" s="959"/>
    </row>
    <row r="505" spans="2:168" x14ac:dyDescent="0.25">
      <c r="P505" s="662">
        <f>P500-'Afton Update'!AH582</f>
        <v>0</v>
      </c>
      <c r="Q505" s="662">
        <f>Q500-'Afton Update'!AI582</f>
        <v>0</v>
      </c>
      <c r="R505" s="662">
        <f>R500-'Afton Update'!AJ582</f>
        <v>0</v>
      </c>
      <c r="S505" s="662">
        <f>S500-'Afton Update'!AK582</f>
        <v>0</v>
      </c>
      <c r="T505" s="662">
        <f>T500-'Afton Update'!AL582</f>
        <v>0</v>
      </c>
      <c r="V505" s="604"/>
      <c r="W505" s="604"/>
      <c r="X505" s="604"/>
      <c r="Y505" s="604"/>
      <c r="Z505" s="604"/>
      <c r="DR505" s="648"/>
      <c r="DS505" s="648"/>
      <c r="DT505" s="648"/>
      <c r="DU505" s="648"/>
      <c r="DV505" s="840"/>
      <c r="DW505" s="648"/>
      <c r="DX505" s="648"/>
      <c r="DY505" s="648"/>
      <c r="DZ505" s="648"/>
      <c r="EA505" s="648"/>
      <c r="EB505" s="648"/>
      <c r="EC505" s="648"/>
      <c r="ED505" s="648"/>
      <c r="EE505" s="648"/>
      <c r="EF505" s="648"/>
      <c r="EG505" s="648"/>
      <c r="EH505" s="648"/>
      <c r="EI505" s="648"/>
      <c r="EJ505" s="648"/>
      <c r="EK505" s="648"/>
      <c r="EL505" s="648"/>
      <c r="EM505" s="648"/>
      <c r="EN505" s="648"/>
      <c r="EO505" s="648"/>
      <c r="EP505" s="648"/>
      <c r="EQ505" s="648"/>
      <c r="ER505" s="648"/>
      <c r="ES505" s="648"/>
      <c r="ET505" s="648"/>
      <c r="EU505" s="648"/>
      <c r="EV505" s="648"/>
      <c r="EW505" s="648"/>
      <c r="EX505" s="648"/>
      <c r="EY505" s="648"/>
      <c r="EZ505" s="648"/>
      <c r="FA505" s="832"/>
      <c r="FB505" s="648"/>
      <c r="FC505" s="648"/>
      <c r="FD505" s="648"/>
      <c r="FE505" s="640"/>
      <c r="FF505" s="640"/>
      <c r="FG505" s="640"/>
      <c r="FH505" s="640"/>
      <c r="FI505" s="640"/>
      <c r="FJ505" s="640"/>
      <c r="FK505" s="640"/>
      <c r="FL505" s="958"/>
    </row>
    <row r="506" spans="2:168" x14ac:dyDescent="0.25">
      <c r="DR506" s="648"/>
      <c r="DS506" s="648"/>
      <c r="DT506" s="648"/>
      <c r="DU506" s="648"/>
      <c r="DV506" s="650"/>
      <c r="DW506" s="648"/>
      <c r="DX506" s="648"/>
      <c r="DY506" s="648"/>
      <c r="DZ506" s="648"/>
      <c r="EA506" s="648"/>
      <c r="EB506" s="648"/>
      <c r="EC506" s="648"/>
      <c r="ED506" s="648"/>
      <c r="EE506" s="648"/>
      <c r="EF506" s="648"/>
      <c r="EG506" s="648"/>
      <c r="EH506" s="648"/>
      <c r="EI506" s="648"/>
      <c r="EJ506" s="648"/>
      <c r="EK506" s="648"/>
      <c r="EL506" s="648"/>
      <c r="EM506" s="648"/>
      <c r="EN506" s="648"/>
      <c r="EO506" s="648"/>
      <c r="EP506" s="648"/>
      <c r="EQ506" s="648"/>
      <c r="ER506" s="648"/>
      <c r="ES506" s="648"/>
      <c r="ET506" s="648"/>
      <c r="EU506" s="648"/>
      <c r="EV506" s="648"/>
      <c r="EW506" s="841"/>
      <c r="EX506" s="842"/>
      <c r="EY506" s="842"/>
      <c r="EZ506" s="648"/>
      <c r="FA506" s="832"/>
      <c r="FB506" s="648"/>
      <c r="FC506" s="648"/>
      <c r="FD506" s="648"/>
      <c r="FE506" s="640"/>
      <c r="FF506" s="640"/>
      <c r="FG506" s="640"/>
      <c r="FH506" s="640"/>
      <c r="FI506" s="640"/>
      <c r="FJ506" s="640"/>
      <c r="FK506" s="640"/>
      <c r="FL506" s="958"/>
    </row>
    <row r="507" spans="2:168" x14ac:dyDescent="0.25">
      <c r="DR507" s="648"/>
      <c r="DS507" s="648"/>
      <c r="DT507" s="648"/>
      <c r="DU507" s="648"/>
      <c r="DV507" s="648"/>
      <c r="DW507" s="648"/>
      <c r="DX507" s="648"/>
      <c r="DY507" s="648"/>
      <c r="DZ507" s="648"/>
      <c r="EA507" s="648"/>
      <c r="EB507" s="648"/>
      <c r="EC507" s="648"/>
      <c r="ED507" s="648"/>
      <c r="EE507" s="648"/>
      <c r="EF507" s="648"/>
      <c r="EG507" s="648"/>
      <c r="EH507" s="648"/>
      <c r="EI507" s="648"/>
      <c r="EJ507" s="648"/>
      <c r="EK507" s="648"/>
      <c r="EL507" s="648"/>
      <c r="EM507" s="648"/>
      <c r="EN507" s="648"/>
      <c r="EO507" s="648"/>
      <c r="EP507" s="648"/>
      <c r="EQ507" s="648"/>
      <c r="ER507" s="648"/>
      <c r="ES507" s="648"/>
      <c r="ET507" s="648"/>
      <c r="EU507" s="648"/>
      <c r="EV507" s="648"/>
      <c r="EW507" s="648"/>
      <c r="EX507" s="648"/>
      <c r="EY507" s="648"/>
      <c r="EZ507" s="648"/>
      <c r="FA507" s="832"/>
      <c r="FB507" s="648"/>
      <c r="FC507" s="648"/>
      <c r="FD507" s="648"/>
      <c r="FE507" s="640"/>
      <c r="FF507" s="640"/>
      <c r="FG507" s="640"/>
      <c r="FH507" s="640"/>
      <c r="FI507" s="640"/>
      <c r="FJ507" s="640"/>
      <c r="FK507" s="640"/>
      <c r="FL507" s="958"/>
    </row>
    <row r="508" spans="2:168" x14ac:dyDescent="0.25">
      <c r="DR508" s="648"/>
      <c r="DS508" s="648"/>
      <c r="DT508" s="648"/>
      <c r="DU508" s="648"/>
      <c r="DV508" s="650"/>
      <c r="DW508" s="648"/>
      <c r="DX508" s="648"/>
      <c r="DY508" s="648"/>
      <c r="DZ508" s="648"/>
      <c r="EA508" s="648"/>
      <c r="EB508" s="648"/>
      <c r="EC508" s="648"/>
      <c r="ED508" s="648"/>
      <c r="EE508" s="648"/>
      <c r="EF508" s="648"/>
      <c r="EG508" s="648"/>
      <c r="EH508" s="648"/>
      <c r="EI508" s="648"/>
      <c r="EJ508" s="648"/>
      <c r="EK508" s="648"/>
      <c r="EL508" s="648"/>
      <c r="EM508" s="648"/>
      <c r="EN508" s="648"/>
      <c r="EO508" s="648"/>
      <c r="EP508" s="648"/>
      <c r="EQ508" s="648"/>
      <c r="ER508" s="648"/>
      <c r="ES508" s="648"/>
      <c r="ET508" s="648"/>
      <c r="EU508" s="648"/>
      <c r="EV508" s="648"/>
      <c r="EW508" s="841"/>
      <c r="EX508" s="842"/>
      <c r="EY508" s="842"/>
      <c r="EZ508" s="648"/>
      <c r="FA508" s="832"/>
      <c r="FB508" s="648"/>
      <c r="FC508" s="648"/>
      <c r="FD508" s="648"/>
      <c r="FE508" s="640"/>
      <c r="FF508" s="640"/>
      <c r="FG508" s="640"/>
      <c r="FH508" s="640"/>
      <c r="FI508" s="640"/>
      <c r="FJ508" s="640"/>
      <c r="FK508" s="640"/>
      <c r="FL508" s="958"/>
    </row>
    <row r="509" spans="2:168" x14ac:dyDescent="0.25">
      <c r="DR509" s="648"/>
      <c r="DS509" s="648"/>
      <c r="DT509" s="648"/>
      <c r="DU509" s="648"/>
      <c r="DV509" s="648"/>
      <c r="DW509" s="648"/>
      <c r="DX509" s="648"/>
      <c r="DY509" s="648"/>
      <c r="DZ509" s="648"/>
      <c r="EA509" s="648"/>
      <c r="EB509" s="648"/>
      <c r="EC509" s="648"/>
      <c r="ED509" s="648"/>
      <c r="EE509" s="648"/>
      <c r="EF509" s="648"/>
      <c r="EG509" s="648"/>
      <c r="EH509" s="648"/>
      <c r="EI509" s="648"/>
      <c r="EJ509" s="648"/>
      <c r="EK509" s="648"/>
      <c r="EL509" s="648"/>
      <c r="EM509" s="648"/>
      <c r="EN509" s="648"/>
      <c r="EO509" s="648"/>
      <c r="EP509" s="648"/>
      <c r="EQ509" s="648"/>
      <c r="ER509" s="648"/>
      <c r="ES509" s="648"/>
      <c r="ET509" s="648"/>
      <c r="EU509" s="648"/>
      <c r="EV509" s="648"/>
      <c r="EW509" s="648"/>
      <c r="EX509" s="648"/>
      <c r="EY509" s="648"/>
      <c r="EZ509" s="648"/>
      <c r="FA509" s="832"/>
      <c r="FB509" s="648"/>
      <c r="FC509" s="648"/>
      <c r="FD509" s="648"/>
      <c r="FE509" s="640"/>
      <c r="FF509" s="640"/>
      <c r="FG509" s="640"/>
      <c r="FH509" s="640"/>
      <c r="FI509" s="640"/>
      <c r="FJ509" s="640"/>
      <c r="FK509" s="640"/>
      <c r="FL509" s="958"/>
    </row>
    <row r="510" spans="2:168" x14ac:dyDescent="0.25">
      <c r="DR510" s="648"/>
      <c r="DS510" s="648"/>
      <c r="DT510" s="648"/>
      <c r="DU510" s="648"/>
      <c r="DV510" s="648"/>
      <c r="DW510" s="648"/>
      <c r="DX510" s="648"/>
      <c r="DY510" s="648"/>
      <c r="DZ510" s="648"/>
      <c r="EA510" s="648"/>
      <c r="EB510" s="648"/>
      <c r="EC510" s="648"/>
      <c r="ED510" s="648"/>
      <c r="EE510" s="648"/>
      <c r="EF510" s="648"/>
      <c r="EG510" s="648"/>
      <c r="EH510" s="648"/>
      <c r="EI510" s="648"/>
      <c r="EJ510" s="648"/>
      <c r="EK510" s="648"/>
      <c r="EL510" s="648"/>
      <c r="EM510" s="648"/>
      <c r="EN510" s="648"/>
      <c r="EO510" s="648"/>
      <c r="EP510" s="648"/>
      <c r="EQ510" s="648"/>
      <c r="ER510" s="648"/>
      <c r="ES510" s="648"/>
      <c r="ET510" s="648"/>
      <c r="EU510" s="648"/>
      <c r="EV510" s="648"/>
      <c r="EW510" s="648"/>
      <c r="EX510" s="648"/>
      <c r="EY510" s="648"/>
      <c r="EZ510" s="648"/>
      <c r="FA510" s="832"/>
      <c r="FB510" s="648"/>
      <c r="FC510" s="648"/>
      <c r="FD510" s="648"/>
      <c r="FE510" s="648"/>
      <c r="FF510" s="648"/>
      <c r="FG510" s="648"/>
      <c r="FH510" s="648"/>
      <c r="FI510" s="648"/>
      <c r="FJ510" s="648"/>
      <c r="FK510" s="648"/>
      <c r="FL510" s="960"/>
    </row>
    <row r="511" spans="2:168" x14ac:dyDescent="0.25">
      <c r="DR511" s="648"/>
      <c r="DS511" s="648"/>
      <c r="DT511" s="648"/>
      <c r="DU511" s="648"/>
      <c r="DV511" s="648"/>
      <c r="DW511" s="648"/>
      <c r="DX511" s="648"/>
      <c r="DY511" s="648"/>
      <c r="DZ511" s="648"/>
      <c r="EA511" s="648"/>
      <c r="EB511" s="648"/>
      <c r="EC511" s="648"/>
      <c r="ED511" s="648"/>
      <c r="EE511" s="648"/>
      <c r="EF511" s="648"/>
      <c r="EG511" s="648"/>
      <c r="EH511" s="648"/>
      <c r="EI511" s="648"/>
      <c r="EJ511" s="648"/>
      <c r="EK511" s="648"/>
      <c r="EL511" s="648"/>
      <c r="EM511" s="648"/>
      <c r="EN511" s="648"/>
      <c r="EO511" s="648"/>
      <c r="EP511" s="648"/>
      <c r="EQ511" s="648"/>
      <c r="ER511" s="648"/>
      <c r="ES511" s="648"/>
      <c r="ET511" s="648"/>
      <c r="EU511" s="648"/>
      <c r="EV511" s="648"/>
      <c r="EW511" s="648"/>
      <c r="EX511" s="648"/>
      <c r="EY511" s="648"/>
      <c r="EZ511" s="648"/>
      <c r="FA511" s="832"/>
      <c r="FB511" s="648"/>
      <c r="FC511" s="648"/>
      <c r="FD511" s="648"/>
      <c r="FE511" s="648"/>
      <c r="FF511" s="648"/>
      <c r="FG511" s="648"/>
      <c r="FH511" s="648"/>
      <c r="FI511" s="648"/>
      <c r="FJ511" s="648"/>
      <c r="FK511" s="648"/>
      <c r="FL511" s="960"/>
    </row>
    <row r="512" spans="2:168" x14ac:dyDescent="0.25">
      <c r="DR512" s="648"/>
      <c r="DS512" s="648"/>
      <c r="DT512" s="648"/>
      <c r="DU512" s="648"/>
      <c r="DV512" s="648"/>
      <c r="DW512" s="648"/>
      <c r="DX512" s="648"/>
      <c r="DY512" s="648"/>
      <c r="DZ512" s="648"/>
      <c r="EA512" s="648"/>
      <c r="EB512" s="648"/>
      <c r="EC512" s="648"/>
      <c r="ED512" s="648"/>
      <c r="EE512" s="648"/>
      <c r="EF512" s="648"/>
      <c r="EG512" s="648"/>
      <c r="EH512" s="648"/>
      <c r="EI512" s="648"/>
      <c r="EJ512" s="648"/>
      <c r="EK512" s="648"/>
      <c r="EL512" s="648"/>
      <c r="EM512" s="648"/>
      <c r="EN512" s="648"/>
      <c r="EO512" s="648"/>
      <c r="EP512" s="648"/>
      <c r="EQ512" s="648"/>
      <c r="ER512" s="648"/>
      <c r="ES512" s="648"/>
      <c r="ET512" s="648"/>
      <c r="EU512" s="648"/>
      <c r="EV512" s="648"/>
      <c r="EW512" s="648"/>
      <c r="EX512" s="648"/>
      <c r="EY512" s="648"/>
      <c r="EZ512" s="648"/>
      <c r="FA512" s="832"/>
      <c r="FB512" s="648"/>
      <c r="FC512" s="648"/>
      <c r="FD512" s="648"/>
      <c r="FE512" s="648"/>
      <c r="FF512" s="648"/>
      <c r="FG512" s="648"/>
      <c r="FH512" s="648"/>
      <c r="FI512" s="648"/>
      <c r="FJ512" s="648"/>
      <c r="FK512" s="648"/>
      <c r="FL512" s="960"/>
    </row>
    <row r="513" spans="122:168" x14ac:dyDescent="0.25">
      <c r="DR513" s="648"/>
      <c r="DS513" s="648"/>
      <c r="DT513" s="648"/>
      <c r="DU513" s="648"/>
      <c r="DV513" s="648"/>
      <c r="DW513" s="648"/>
      <c r="DX513" s="648"/>
      <c r="DY513" s="648"/>
      <c r="DZ513" s="648"/>
      <c r="EA513" s="648"/>
      <c r="EB513" s="648"/>
      <c r="EC513" s="648"/>
      <c r="ED513" s="648"/>
      <c r="EE513" s="648"/>
      <c r="EF513" s="648"/>
      <c r="EG513" s="648"/>
      <c r="EH513" s="648"/>
      <c r="EI513" s="648"/>
      <c r="EJ513" s="648"/>
      <c r="EK513" s="648"/>
      <c r="EL513" s="648"/>
      <c r="EM513" s="648"/>
      <c r="EN513" s="648"/>
      <c r="EO513" s="648"/>
      <c r="EP513" s="648"/>
      <c r="EQ513" s="648"/>
      <c r="ER513" s="648"/>
      <c r="ES513" s="648"/>
      <c r="ET513" s="648"/>
      <c r="EU513" s="648"/>
      <c r="EV513" s="648"/>
      <c r="EW513" s="648"/>
      <c r="EX513" s="648"/>
      <c r="EY513" s="648"/>
      <c r="EZ513" s="648"/>
      <c r="FA513" s="832"/>
      <c r="FB513" s="648"/>
      <c r="FC513" s="648"/>
      <c r="FD513" s="648"/>
      <c r="FE513" s="648"/>
      <c r="FF513" s="648"/>
      <c r="FG513" s="648"/>
      <c r="FH513" s="648"/>
      <c r="FI513" s="648"/>
      <c r="FJ513" s="648"/>
      <c r="FK513" s="648"/>
      <c r="FL513" s="960"/>
    </row>
    <row r="514" spans="122:168" x14ac:dyDescent="0.25">
      <c r="DR514" s="648"/>
      <c r="DS514" s="648"/>
      <c r="DT514" s="648"/>
      <c r="DU514" s="648"/>
      <c r="DV514" s="648"/>
      <c r="DW514" s="648"/>
      <c r="DX514" s="648"/>
      <c r="DY514" s="648"/>
      <c r="DZ514" s="648"/>
      <c r="EA514" s="648"/>
      <c r="EB514" s="648"/>
      <c r="EC514" s="648"/>
      <c r="ED514" s="648"/>
      <c r="EE514" s="648"/>
      <c r="EF514" s="648"/>
      <c r="EG514" s="648"/>
      <c r="EH514" s="648"/>
      <c r="EI514" s="648"/>
      <c r="EJ514" s="648"/>
      <c r="EK514" s="648"/>
      <c r="EL514" s="648"/>
      <c r="EM514" s="648"/>
      <c r="EN514" s="648"/>
      <c r="EO514" s="648"/>
      <c r="EP514" s="648"/>
      <c r="EQ514" s="648"/>
      <c r="ER514" s="648"/>
      <c r="ES514" s="648"/>
      <c r="ET514" s="648"/>
      <c r="EU514" s="648"/>
      <c r="EV514" s="648"/>
      <c r="EW514" s="648"/>
      <c r="EX514" s="648"/>
      <c r="EY514" s="648"/>
      <c r="EZ514" s="648"/>
      <c r="FA514" s="832"/>
      <c r="FB514" s="648"/>
      <c r="FC514" s="648"/>
      <c r="FD514" s="648"/>
      <c r="FE514" s="648"/>
      <c r="FF514" s="648"/>
      <c r="FG514" s="648"/>
      <c r="FH514" s="648"/>
      <c r="FI514" s="648"/>
      <c r="FJ514" s="648"/>
      <c r="FK514" s="648"/>
      <c r="FL514" s="960"/>
    </row>
  </sheetData>
  <sheetProtection algorithmName="SHA-512" hashValue="Ynt/oA2m13pZXF3dGs1x9mvmyqsbnJu6fIJO7+BzUFw9ruIKHE7bU0BAkxdAgg4vKu5wtaFpVVBYGWfDNLflKw==" saltValue="+aigDJyaQRH5MEGzJv+ELg==" spinCount="100000" sheet="1" objects="1" scenarios="1"/>
  <pageMargins left="0.7" right="0.7" top="0.75" bottom="0.75" header="0.3" footer="0.3"/>
  <legacy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3:F89"/>
  <sheetViews>
    <sheetView topLeftCell="A16" workbookViewId="0">
      <selection activeCell="B30" sqref="B30"/>
    </sheetView>
  </sheetViews>
  <sheetFormatPr defaultColWidth="9.109375" defaultRowHeight="13.2" x14ac:dyDescent="0.25"/>
  <cols>
    <col min="1" max="1" width="54.33203125" style="153" bestFit="1" customWidth="1"/>
    <col min="2" max="2" width="22.109375" style="153" customWidth="1"/>
    <col min="3" max="3" width="14.77734375" style="153" bestFit="1" customWidth="1"/>
    <col min="4" max="4" width="19" style="153" bestFit="1" customWidth="1"/>
    <col min="5" max="5" width="17.44140625" style="153" bestFit="1" customWidth="1"/>
    <col min="6" max="6" width="27" style="153" customWidth="1"/>
    <col min="7" max="16384" width="9.109375" style="153"/>
  </cols>
  <sheetData>
    <row r="13" spans="2:6" x14ac:dyDescent="0.25">
      <c r="D13" s="170"/>
      <c r="E13" s="169"/>
      <c r="F13" s="169"/>
    </row>
    <row r="15" spans="2:6" x14ac:dyDescent="0.25">
      <c r="B15" s="167"/>
      <c r="C15" s="167"/>
      <c r="D15" s="167"/>
      <c r="E15" s="168"/>
      <c r="F15" s="167"/>
    </row>
    <row r="16" spans="2:6" ht="3" customHeight="1" x14ac:dyDescent="0.25">
      <c r="B16" s="167"/>
      <c r="C16" s="167"/>
      <c r="D16" s="167"/>
      <c r="E16" s="167"/>
      <c r="F16" s="167"/>
    </row>
    <row r="17" spans="1:6" ht="93" customHeight="1" x14ac:dyDescent="0.25">
      <c r="A17" s="964" t="s">
        <v>1281</v>
      </c>
      <c r="B17" s="964"/>
      <c r="C17" s="964"/>
      <c r="D17" s="964"/>
      <c r="E17" s="964"/>
    </row>
    <row r="18" spans="1:6" x14ac:dyDescent="0.25">
      <c r="A18" s="166"/>
      <c r="B18" s="158"/>
      <c r="C18" s="158"/>
      <c r="D18" s="158"/>
      <c r="E18" s="158"/>
      <c r="F18" s="158"/>
    </row>
    <row r="19" spans="1:6" x14ac:dyDescent="0.25">
      <c r="A19" s="165"/>
      <c r="B19" s="158"/>
      <c r="C19" s="158"/>
      <c r="D19" s="158"/>
      <c r="E19" s="158"/>
      <c r="F19" s="158"/>
    </row>
    <row r="20" spans="1:6" x14ac:dyDescent="0.25">
      <c r="A20" s="164"/>
      <c r="B20" s="163"/>
      <c r="C20" s="158"/>
      <c r="D20" s="161" t="s">
        <v>995</v>
      </c>
      <c r="E20" s="158"/>
      <c r="F20" s="158"/>
    </row>
    <row r="21" spans="1:6" x14ac:dyDescent="0.25">
      <c r="A21" s="158"/>
      <c r="B21" s="163"/>
      <c r="C21" s="158"/>
      <c r="D21" s="161" t="s">
        <v>994</v>
      </c>
      <c r="E21" s="158"/>
      <c r="F21" s="158"/>
    </row>
    <row r="22" spans="1:6" x14ac:dyDescent="0.25">
      <c r="A22" s="158"/>
      <c r="B22" s="162" t="s">
        <v>993</v>
      </c>
      <c r="C22" s="161" t="s">
        <v>992</v>
      </c>
      <c r="D22" s="161" t="s">
        <v>991</v>
      </c>
      <c r="E22" s="161" t="s">
        <v>616</v>
      </c>
      <c r="F22" s="158"/>
    </row>
    <row r="23" spans="1:6" x14ac:dyDescent="0.25">
      <c r="A23" s="158"/>
      <c r="B23" s="162" t="s">
        <v>616</v>
      </c>
      <c r="C23" s="161" t="s">
        <v>990</v>
      </c>
      <c r="D23" s="161" t="s">
        <v>989</v>
      </c>
      <c r="E23" s="161" t="s">
        <v>988</v>
      </c>
      <c r="F23" s="158"/>
    </row>
    <row r="24" spans="1:6" x14ac:dyDescent="0.25">
      <c r="A24" s="158"/>
      <c r="B24" s="162" t="s">
        <v>987</v>
      </c>
      <c r="C24" s="161" t="s">
        <v>986</v>
      </c>
      <c r="D24" s="161" t="s">
        <v>985</v>
      </c>
      <c r="E24" s="161" t="s">
        <v>984</v>
      </c>
      <c r="F24" s="161"/>
    </row>
    <row r="25" spans="1:6" x14ac:dyDescent="0.25">
      <c r="A25" s="158"/>
      <c r="B25" s="158"/>
      <c r="C25" s="158"/>
      <c r="D25" s="158"/>
      <c r="E25" s="158"/>
      <c r="F25" s="158"/>
    </row>
    <row r="26" spans="1:6" x14ac:dyDescent="0.25">
      <c r="A26" s="158" t="s">
        <v>983</v>
      </c>
      <c r="B26" s="160">
        <f>SUM(B28:B89)</f>
        <v>13613590913</v>
      </c>
      <c r="C26" s="160">
        <f>SUM(C28:C89)</f>
        <v>342848465</v>
      </c>
      <c r="D26" s="160">
        <f>SUM(D28:D89)</f>
        <v>43560622</v>
      </c>
      <c r="E26" s="160">
        <f>SUM(E28:E89)</f>
        <v>14000000000</v>
      </c>
      <c r="F26" s="159"/>
    </row>
    <row r="27" spans="1:6" x14ac:dyDescent="0.25">
      <c r="A27" s="158" t="s">
        <v>982</v>
      </c>
      <c r="B27" s="160">
        <f>SUM(B28:B79)</f>
        <v>13473846609</v>
      </c>
      <c r="C27" s="160">
        <f>SUM(C28:C79)</f>
        <v>332848465</v>
      </c>
      <c r="D27" s="160">
        <f>SUM(D28:D79)</f>
        <v>42471607</v>
      </c>
      <c r="E27" s="160">
        <f>SUM(E28:E79)</f>
        <v>13849166681</v>
      </c>
      <c r="F27" s="159"/>
    </row>
    <row r="28" spans="1:6" x14ac:dyDescent="0.25">
      <c r="A28" s="158" t="s">
        <v>981</v>
      </c>
      <c r="B28" s="156">
        <v>214385084</v>
      </c>
      <c r="C28" s="157">
        <v>1860146</v>
      </c>
      <c r="D28" s="156">
        <v>551444</v>
      </c>
      <c r="E28" s="155">
        <f t="shared" ref="E28:E59" si="0">SUM(B28:D28)</f>
        <v>216796674</v>
      </c>
      <c r="F28" s="154"/>
    </row>
    <row r="29" spans="1:6" x14ac:dyDescent="0.25">
      <c r="A29" s="158" t="s">
        <v>980</v>
      </c>
      <c r="B29" s="156">
        <v>38986292</v>
      </c>
      <c r="C29" s="157">
        <v>6291606</v>
      </c>
      <c r="D29" s="156">
        <v>309265</v>
      </c>
      <c r="E29" s="155">
        <f t="shared" si="0"/>
        <v>45587163</v>
      </c>
      <c r="F29" s="154"/>
    </row>
    <row r="30" spans="1:6" x14ac:dyDescent="0.25">
      <c r="A30" s="158" t="s">
        <v>572</v>
      </c>
      <c r="B30" s="156">
        <v>306553073</v>
      </c>
      <c r="C30" s="157">
        <v>5936732</v>
      </c>
      <c r="D30" s="156">
        <v>1158692</v>
      </c>
      <c r="E30" s="155">
        <f t="shared" si="0"/>
        <v>313648497</v>
      </c>
      <c r="F30" s="154"/>
    </row>
    <row r="31" spans="1:6" x14ac:dyDescent="0.25">
      <c r="A31" s="158" t="s">
        <v>979</v>
      </c>
      <c r="B31" s="156">
        <v>145049705</v>
      </c>
      <c r="C31" s="157">
        <v>4761593</v>
      </c>
      <c r="D31" s="156">
        <v>392693</v>
      </c>
      <c r="E31" s="155">
        <f t="shared" si="0"/>
        <v>150203991</v>
      </c>
      <c r="F31" s="154"/>
    </row>
    <row r="32" spans="1:6" x14ac:dyDescent="0.25">
      <c r="A32" s="158" t="s">
        <v>978</v>
      </c>
      <c r="B32" s="156">
        <v>1596512989</v>
      </c>
      <c r="C32" s="157">
        <v>117404811</v>
      </c>
      <c r="D32" s="156">
        <v>1533986</v>
      </c>
      <c r="E32" s="155">
        <f t="shared" si="0"/>
        <v>1715451786</v>
      </c>
      <c r="F32" s="154"/>
    </row>
    <row r="33" spans="1:6" x14ac:dyDescent="0.25">
      <c r="A33" s="158" t="s">
        <v>977</v>
      </c>
      <c r="B33" s="156">
        <v>137886869</v>
      </c>
      <c r="C33" s="157">
        <v>6355792</v>
      </c>
      <c r="D33" s="156">
        <v>436896</v>
      </c>
      <c r="E33" s="155">
        <f t="shared" si="0"/>
        <v>144679557</v>
      </c>
      <c r="F33" s="154"/>
    </row>
    <row r="34" spans="1:6" x14ac:dyDescent="0.25">
      <c r="A34" s="158" t="s">
        <v>976</v>
      </c>
      <c r="B34" s="156">
        <v>110256613</v>
      </c>
      <c r="C34" s="157">
        <v>0</v>
      </c>
      <c r="D34" s="156">
        <v>830933</v>
      </c>
      <c r="E34" s="155">
        <f t="shared" si="0"/>
        <v>111087546</v>
      </c>
      <c r="F34" s="154"/>
    </row>
    <row r="35" spans="1:6" x14ac:dyDescent="0.25">
      <c r="A35" s="158" t="s">
        <v>975</v>
      </c>
      <c r="B35" s="156">
        <v>43885734</v>
      </c>
      <c r="C35" s="157">
        <v>263661</v>
      </c>
      <c r="D35" s="156">
        <v>397660</v>
      </c>
      <c r="E35" s="155">
        <f t="shared" si="0"/>
        <v>44547055</v>
      </c>
      <c r="F35" s="154"/>
    </row>
    <row r="36" spans="1:6" x14ac:dyDescent="0.25">
      <c r="A36" s="158" t="s">
        <v>974</v>
      </c>
      <c r="B36" s="156">
        <v>42017291</v>
      </c>
      <c r="C36" s="157">
        <v>0</v>
      </c>
      <c r="D36" s="156">
        <v>142343</v>
      </c>
      <c r="E36" s="155">
        <f t="shared" si="0"/>
        <v>42159634</v>
      </c>
      <c r="F36" s="154"/>
    </row>
    <row r="37" spans="1:6" x14ac:dyDescent="0.25">
      <c r="A37" s="158" t="s">
        <v>973</v>
      </c>
      <c r="B37" s="156">
        <v>731150092</v>
      </c>
      <c r="C37" s="157">
        <v>20527046</v>
      </c>
      <c r="D37" s="156">
        <v>1381759</v>
      </c>
      <c r="E37" s="155">
        <f t="shared" si="0"/>
        <v>753058897</v>
      </c>
      <c r="F37" s="154"/>
    </row>
    <row r="38" spans="1:6" x14ac:dyDescent="0.25">
      <c r="A38" s="158" t="s">
        <v>972</v>
      </c>
      <c r="B38" s="156">
        <v>478747704</v>
      </c>
      <c r="C38" s="157">
        <v>7125715</v>
      </c>
      <c r="D38" s="156">
        <v>1471669</v>
      </c>
      <c r="E38" s="155">
        <f t="shared" si="0"/>
        <v>487345088</v>
      </c>
      <c r="F38" s="154"/>
    </row>
    <row r="39" spans="1:6" x14ac:dyDescent="0.25">
      <c r="A39" s="158" t="s">
        <v>971</v>
      </c>
      <c r="B39" s="156">
        <v>45870987</v>
      </c>
      <c r="C39" s="157">
        <v>724946</v>
      </c>
      <c r="D39" s="156">
        <v>388731</v>
      </c>
      <c r="E39" s="155">
        <f t="shared" si="0"/>
        <v>46984664</v>
      </c>
      <c r="F39" s="154"/>
    </row>
    <row r="40" spans="1:6" x14ac:dyDescent="0.25">
      <c r="A40" s="158" t="s">
        <v>970</v>
      </c>
      <c r="B40" s="156">
        <v>53004623</v>
      </c>
      <c r="C40" s="157">
        <v>3222834</v>
      </c>
      <c r="D40" s="156">
        <v>602166</v>
      </c>
      <c r="E40" s="155">
        <f t="shared" si="0"/>
        <v>56829623</v>
      </c>
      <c r="F40" s="154"/>
    </row>
    <row r="41" spans="1:6" x14ac:dyDescent="0.25">
      <c r="A41" s="158" t="s">
        <v>969</v>
      </c>
      <c r="B41" s="156">
        <v>618219812</v>
      </c>
      <c r="C41" s="157">
        <v>1721871</v>
      </c>
      <c r="D41" s="156">
        <v>808425</v>
      </c>
      <c r="E41" s="155">
        <f t="shared" si="0"/>
        <v>620750108</v>
      </c>
      <c r="F41" s="154"/>
    </row>
    <row r="42" spans="1:6" x14ac:dyDescent="0.25">
      <c r="A42" s="158" t="s">
        <v>968</v>
      </c>
      <c r="B42" s="156">
        <v>239697751</v>
      </c>
      <c r="C42" s="157">
        <v>4961367</v>
      </c>
      <c r="D42" s="156">
        <v>524819</v>
      </c>
      <c r="E42" s="155">
        <f t="shared" si="0"/>
        <v>245183937</v>
      </c>
      <c r="F42" s="154"/>
    </row>
    <row r="43" spans="1:6" x14ac:dyDescent="0.25">
      <c r="A43" s="158" t="s">
        <v>967</v>
      </c>
      <c r="B43" s="156">
        <v>85441613</v>
      </c>
      <c r="C43" s="157">
        <v>1451522</v>
      </c>
      <c r="D43" s="156">
        <v>400258</v>
      </c>
      <c r="E43" s="155">
        <f t="shared" si="0"/>
        <v>87293393</v>
      </c>
      <c r="F43" s="154"/>
    </row>
    <row r="44" spans="1:6" x14ac:dyDescent="0.25">
      <c r="A44" s="158" t="s">
        <v>966</v>
      </c>
      <c r="B44" s="156">
        <v>98921959</v>
      </c>
      <c r="C44" s="157">
        <v>10414358</v>
      </c>
      <c r="D44" s="156">
        <v>234014</v>
      </c>
      <c r="E44" s="155">
        <f t="shared" si="0"/>
        <v>109570331</v>
      </c>
      <c r="F44" s="154"/>
    </row>
    <row r="45" spans="1:6" x14ac:dyDescent="0.25">
      <c r="A45" s="158" t="s">
        <v>965</v>
      </c>
      <c r="B45" s="156">
        <v>198809347</v>
      </c>
      <c r="C45" s="157">
        <v>6670666</v>
      </c>
      <c r="D45" s="156">
        <v>822976</v>
      </c>
      <c r="E45" s="155">
        <f t="shared" si="0"/>
        <v>206302989</v>
      </c>
      <c r="F45" s="154"/>
    </row>
    <row r="46" spans="1:6" x14ac:dyDescent="0.25">
      <c r="A46" s="158" t="s">
        <v>964</v>
      </c>
      <c r="B46" s="156">
        <v>267975218</v>
      </c>
      <c r="C46" s="157">
        <v>2229260</v>
      </c>
      <c r="D46" s="156">
        <v>1829341</v>
      </c>
      <c r="E46" s="155">
        <f t="shared" si="0"/>
        <v>272033819</v>
      </c>
      <c r="F46" s="154"/>
    </row>
    <row r="47" spans="1:6" x14ac:dyDescent="0.25">
      <c r="A47" s="158" t="s">
        <v>963</v>
      </c>
      <c r="B47" s="156">
        <v>46765107</v>
      </c>
      <c r="C47" s="157">
        <v>1055075</v>
      </c>
      <c r="D47" s="156">
        <v>155113</v>
      </c>
      <c r="E47" s="155">
        <f t="shared" si="0"/>
        <v>47975295</v>
      </c>
      <c r="F47" s="154"/>
    </row>
    <row r="48" spans="1:6" x14ac:dyDescent="0.25">
      <c r="A48" s="158" t="s">
        <v>962</v>
      </c>
      <c r="B48" s="156">
        <v>189060089</v>
      </c>
      <c r="C48" s="157">
        <v>455865</v>
      </c>
      <c r="D48" s="156">
        <v>1233655</v>
      </c>
      <c r="E48" s="155">
        <f t="shared" si="0"/>
        <v>190749609</v>
      </c>
      <c r="F48" s="154"/>
    </row>
    <row r="49" spans="1:6" x14ac:dyDescent="0.25">
      <c r="A49" s="158" t="s">
        <v>961</v>
      </c>
      <c r="B49" s="156">
        <v>214918434</v>
      </c>
      <c r="C49" s="157">
        <v>1451871</v>
      </c>
      <c r="D49" s="156">
        <v>1755717</v>
      </c>
      <c r="E49" s="155">
        <f t="shared" si="0"/>
        <v>218126022</v>
      </c>
      <c r="F49" s="154"/>
    </row>
    <row r="50" spans="1:6" x14ac:dyDescent="0.25">
      <c r="A50" s="158" t="s">
        <v>960</v>
      </c>
      <c r="B50" s="156">
        <v>463936453</v>
      </c>
      <c r="C50" s="157">
        <v>7719514</v>
      </c>
      <c r="D50" s="156">
        <v>884399</v>
      </c>
      <c r="E50" s="155">
        <f t="shared" si="0"/>
        <v>472540366</v>
      </c>
      <c r="F50" s="154"/>
    </row>
    <row r="51" spans="1:6" x14ac:dyDescent="0.25">
      <c r="A51" s="158" t="s">
        <v>959</v>
      </c>
      <c r="B51" s="156">
        <v>142974330</v>
      </c>
      <c r="C51" s="157">
        <v>1867219</v>
      </c>
      <c r="D51" s="156">
        <v>508902</v>
      </c>
      <c r="E51" s="155">
        <f t="shared" si="0"/>
        <v>145350451</v>
      </c>
      <c r="F51" s="154"/>
    </row>
    <row r="52" spans="1:6" x14ac:dyDescent="0.25">
      <c r="A52" s="158" t="s">
        <v>958</v>
      </c>
      <c r="B52" s="156">
        <v>177483292</v>
      </c>
      <c r="C52" s="157">
        <v>934291</v>
      </c>
      <c r="D52" s="156">
        <v>791931</v>
      </c>
      <c r="E52" s="155">
        <f t="shared" si="0"/>
        <v>179209514</v>
      </c>
      <c r="F52" s="154"/>
    </row>
    <row r="53" spans="1:6" x14ac:dyDescent="0.25">
      <c r="A53" s="158" t="s">
        <v>957</v>
      </c>
      <c r="B53" s="156">
        <v>223905424</v>
      </c>
      <c r="C53" s="157">
        <v>1368030</v>
      </c>
      <c r="D53" s="156">
        <v>1348271</v>
      </c>
      <c r="E53" s="155">
        <f t="shared" si="0"/>
        <v>226621725</v>
      </c>
      <c r="F53" s="154"/>
    </row>
    <row r="54" spans="1:6" x14ac:dyDescent="0.25">
      <c r="A54" s="158" t="s">
        <v>956</v>
      </c>
      <c r="B54" s="156">
        <v>43718713</v>
      </c>
      <c r="C54" s="157">
        <v>907529</v>
      </c>
      <c r="D54" s="156">
        <v>158355</v>
      </c>
      <c r="E54" s="155">
        <f t="shared" si="0"/>
        <v>44784597</v>
      </c>
      <c r="F54" s="154"/>
    </row>
    <row r="55" spans="1:6" x14ac:dyDescent="0.25">
      <c r="A55" s="158" t="s">
        <v>955</v>
      </c>
      <c r="B55" s="156">
        <v>63561854</v>
      </c>
      <c r="C55" s="157">
        <v>4591651</v>
      </c>
      <c r="D55" s="156">
        <v>303980</v>
      </c>
      <c r="E55" s="155">
        <f t="shared" si="0"/>
        <v>68457485</v>
      </c>
      <c r="F55" s="154"/>
    </row>
    <row r="56" spans="1:6" x14ac:dyDescent="0.25">
      <c r="A56" s="158" t="s">
        <v>954</v>
      </c>
      <c r="B56" s="156">
        <v>108602196</v>
      </c>
      <c r="C56" s="157">
        <v>213292</v>
      </c>
      <c r="D56" s="156">
        <v>480810</v>
      </c>
      <c r="E56" s="155">
        <f t="shared" si="0"/>
        <v>109296298</v>
      </c>
      <c r="F56" s="154"/>
    </row>
    <row r="57" spans="1:6" x14ac:dyDescent="0.25">
      <c r="A57" s="158" t="s">
        <v>953</v>
      </c>
      <c r="B57" s="156">
        <v>40799875</v>
      </c>
      <c r="C57" s="157">
        <v>131825</v>
      </c>
      <c r="D57" s="156">
        <v>780713</v>
      </c>
      <c r="E57" s="155">
        <f t="shared" si="0"/>
        <v>41712413</v>
      </c>
      <c r="F57" s="154"/>
    </row>
    <row r="58" spans="1:6" x14ac:dyDescent="0.25">
      <c r="A58" s="158" t="s">
        <v>952</v>
      </c>
      <c r="B58" s="156">
        <v>311383800</v>
      </c>
      <c r="C58" s="157">
        <v>1768780</v>
      </c>
      <c r="D58" s="156">
        <v>1229927</v>
      </c>
      <c r="E58" s="155">
        <f t="shared" si="0"/>
        <v>314382507</v>
      </c>
      <c r="F58" s="154"/>
    </row>
    <row r="59" spans="1:6" x14ac:dyDescent="0.25">
      <c r="A59" s="158" t="s">
        <v>951</v>
      </c>
      <c r="B59" s="156">
        <v>107006682</v>
      </c>
      <c r="C59" s="157">
        <v>830354</v>
      </c>
      <c r="D59" s="156">
        <v>306960</v>
      </c>
      <c r="E59" s="155">
        <f t="shared" si="0"/>
        <v>108143996</v>
      </c>
      <c r="F59" s="154"/>
    </row>
    <row r="60" spans="1:6" x14ac:dyDescent="0.25">
      <c r="A60" s="158" t="s">
        <v>950</v>
      </c>
      <c r="B60" s="156">
        <v>1041079794</v>
      </c>
      <c r="C60" s="157">
        <v>8909964</v>
      </c>
      <c r="D60" s="156">
        <v>2497252</v>
      </c>
      <c r="E60" s="155">
        <f t="shared" ref="E60:E79" si="1">SUM(B60:D60)</f>
        <v>1052487010</v>
      </c>
      <c r="F60" s="154"/>
    </row>
    <row r="61" spans="1:6" x14ac:dyDescent="0.25">
      <c r="A61" s="158" t="s">
        <v>949</v>
      </c>
      <c r="B61" s="156">
        <v>389559040</v>
      </c>
      <c r="C61" s="157">
        <v>5080043</v>
      </c>
      <c r="D61" s="156">
        <v>662870</v>
      </c>
      <c r="E61" s="155">
        <f t="shared" si="1"/>
        <v>395301953</v>
      </c>
      <c r="F61" s="154"/>
    </row>
    <row r="62" spans="1:6" x14ac:dyDescent="0.25">
      <c r="A62" s="158" t="s">
        <v>948</v>
      </c>
      <c r="B62" s="156">
        <v>34310808</v>
      </c>
      <c r="C62" s="157">
        <v>210775</v>
      </c>
      <c r="D62" s="156">
        <v>111169</v>
      </c>
      <c r="E62" s="155">
        <f t="shared" si="1"/>
        <v>34632752</v>
      </c>
      <c r="F62" s="154"/>
    </row>
    <row r="63" spans="1:6" x14ac:dyDescent="0.25">
      <c r="A63" s="158" t="s">
        <v>947</v>
      </c>
      <c r="B63" s="156">
        <v>528273764</v>
      </c>
      <c r="C63" s="157">
        <v>2391880</v>
      </c>
      <c r="D63" s="156">
        <v>997593</v>
      </c>
      <c r="E63" s="155">
        <f t="shared" si="1"/>
        <v>531663237</v>
      </c>
      <c r="F63" s="154"/>
    </row>
    <row r="64" spans="1:6" x14ac:dyDescent="0.25">
      <c r="A64" s="158" t="s">
        <v>946</v>
      </c>
      <c r="B64" s="156">
        <v>146742186</v>
      </c>
      <c r="C64" s="157">
        <v>1382917</v>
      </c>
      <c r="D64" s="156">
        <v>342110</v>
      </c>
      <c r="E64" s="155">
        <f t="shared" si="1"/>
        <v>148467213</v>
      </c>
      <c r="F64" s="154"/>
    </row>
    <row r="65" spans="1:6" x14ac:dyDescent="0.25">
      <c r="A65" s="158" t="s">
        <v>945</v>
      </c>
      <c r="B65" s="156">
        <v>132623564</v>
      </c>
      <c r="C65" s="157">
        <v>9236202</v>
      </c>
      <c r="D65" s="156">
        <v>1412005</v>
      </c>
      <c r="E65" s="155">
        <f t="shared" si="1"/>
        <v>143271771</v>
      </c>
      <c r="F65" s="154"/>
    </row>
    <row r="66" spans="1:6" x14ac:dyDescent="0.25">
      <c r="A66" s="158" t="s">
        <v>944</v>
      </c>
      <c r="B66" s="156">
        <v>517198660</v>
      </c>
      <c r="C66" s="157">
        <v>8164001</v>
      </c>
      <c r="D66" s="156">
        <v>1019260</v>
      </c>
      <c r="E66" s="155">
        <f t="shared" si="1"/>
        <v>526381921</v>
      </c>
      <c r="F66" s="154"/>
    </row>
    <row r="67" spans="1:6" x14ac:dyDescent="0.25">
      <c r="A67" s="158" t="s">
        <v>943</v>
      </c>
      <c r="B67" s="156">
        <v>46640604</v>
      </c>
      <c r="C67" s="157">
        <v>0</v>
      </c>
      <c r="D67" s="156">
        <v>382146</v>
      </c>
      <c r="E67" s="155">
        <f t="shared" si="1"/>
        <v>47022750</v>
      </c>
      <c r="F67" s="154"/>
    </row>
    <row r="68" spans="1:6" x14ac:dyDescent="0.25">
      <c r="A68" s="158" t="s">
        <v>942</v>
      </c>
      <c r="B68" s="156">
        <v>215733409</v>
      </c>
      <c r="C68" s="157">
        <v>505855</v>
      </c>
      <c r="D68" s="156">
        <v>1415173</v>
      </c>
      <c r="E68" s="155">
        <f t="shared" si="1"/>
        <v>217654437</v>
      </c>
      <c r="F68" s="154"/>
    </row>
    <row r="69" spans="1:6" x14ac:dyDescent="0.25">
      <c r="A69" s="158" t="s">
        <v>941</v>
      </c>
      <c r="B69" s="156">
        <v>42452294</v>
      </c>
      <c r="C69" s="157">
        <v>754251</v>
      </c>
      <c r="D69" s="156">
        <v>118845</v>
      </c>
      <c r="E69" s="155">
        <f t="shared" si="1"/>
        <v>43325390</v>
      </c>
      <c r="F69" s="154"/>
    </row>
    <row r="70" spans="1:6" x14ac:dyDescent="0.25">
      <c r="A70" s="158" t="s">
        <v>940</v>
      </c>
      <c r="B70" s="156">
        <v>271936287</v>
      </c>
      <c r="C70" s="157">
        <v>518297</v>
      </c>
      <c r="D70" s="156">
        <v>287250</v>
      </c>
      <c r="E70" s="155">
        <f t="shared" si="1"/>
        <v>272741834</v>
      </c>
      <c r="F70" s="154"/>
    </row>
    <row r="71" spans="1:6" x14ac:dyDescent="0.25">
      <c r="A71" s="158" t="s">
        <v>939</v>
      </c>
      <c r="B71" s="156">
        <v>1254559161</v>
      </c>
      <c r="C71" s="157">
        <v>53126323</v>
      </c>
      <c r="D71" s="156">
        <v>1728565</v>
      </c>
      <c r="E71" s="155">
        <f t="shared" si="1"/>
        <v>1309414049</v>
      </c>
      <c r="F71" s="154"/>
    </row>
    <row r="72" spans="1:6" x14ac:dyDescent="0.25">
      <c r="A72" s="158" t="s">
        <v>938</v>
      </c>
      <c r="B72" s="156">
        <v>79206320</v>
      </c>
      <c r="C72" s="157">
        <v>1663204</v>
      </c>
      <c r="D72" s="156">
        <v>1179536</v>
      </c>
      <c r="E72" s="155">
        <f t="shared" si="1"/>
        <v>82049060</v>
      </c>
      <c r="F72" s="154"/>
    </row>
    <row r="73" spans="1:6" x14ac:dyDescent="0.25">
      <c r="A73" s="158" t="s">
        <v>937</v>
      </c>
      <c r="B73" s="156">
        <v>33169189</v>
      </c>
      <c r="C73" s="157">
        <v>571412</v>
      </c>
      <c r="D73" s="156">
        <v>73912</v>
      </c>
      <c r="E73" s="155">
        <f t="shared" si="1"/>
        <v>33814513</v>
      </c>
      <c r="F73" s="154"/>
    </row>
    <row r="74" spans="1:6" x14ac:dyDescent="0.25">
      <c r="A74" s="158" t="s">
        <v>936</v>
      </c>
      <c r="B74" s="156">
        <v>231935833</v>
      </c>
      <c r="C74" s="157">
        <v>715565</v>
      </c>
      <c r="D74" s="156">
        <v>1400031</v>
      </c>
      <c r="E74" s="155">
        <f t="shared" si="1"/>
        <v>234051429</v>
      </c>
      <c r="F74" s="154"/>
    </row>
    <row r="75" spans="1:6" x14ac:dyDescent="0.25">
      <c r="A75" s="158" t="s">
        <v>935</v>
      </c>
      <c r="B75" s="156">
        <v>210563965</v>
      </c>
      <c r="C75" s="157">
        <v>13616032</v>
      </c>
      <c r="D75" s="156">
        <v>1673895</v>
      </c>
      <c r="E75" s="155">
        <f t="shared" si="1"/>
        <v>225853892</v>
      </c>
      <c r="F75" s="154"/>
    </row>
    <row r="76" spans="1:6" x14ac:dyDescent="0.25">
      <c r="A76" s="158" t="s">
        <v>934</v>
      </c>
      <c r="B76" s="156">
        <v>82498383</v>
      </c>
      <c r="C76" s="157">
        <v>0</v>
      </c>
      <c r="D76" s="156">
        <v>748461</v>
      </c>
      <c r="E76" s="155">
        <f t="shared" si="1"/>
        <v>83246844</v>
      </c>
      <c r="F76" s="154"/>
    </row>
    <row r="77" spans="1:6" x14ac:dyDescent="0.25">
      <c r="A77" s="158" t="s">
        <v>933</v>
      </c>
      <c r="B77" s="156">
        <v>195506051</v>
      </c>
      <c r="C77" s="157">
        <v>572475</v>
      </c>
      <c r="D77" s="156">
        <v>730437</v>
      </c>
      <c r="E77" s="155">
        <f t="shared" si="1"/>
        <v>196808963</v>
      </c>
      <c r="F77" s="154"/>
    </row>
    <row r="78" spans="1:6" x14ac:dyDescent="0.25">
      <c r="A78" s="158" t="s">
        <v>932</v>
      </c>
      <c r="B78" s="156">
        <v>32643748</v>
      </c>
      <c r="C78" s="157">
        <v>210047</v>
      </c>
      <c r="D78" s="156">
        <v>654045</v>
      </c>
      <c r="E78" s="155">
        <f t="shared" si="1"/>
        <v>33507840</v>
      </c>
      <c r="F78" s="154"/>
    </row>
    <row r="79" spans="1:6" x14ac:dyDescent="0.25">
      <c r="A79" s="158" t="s">
        <v>931</v>
      </c>
      <c r="B79" s="156">
        <v>399724544</v>
      </c>
      <c r="C79" s="157">
        <v>0</v>
      </c>
      <c r="D79" s="156">
        <v>880249</v>
      </c>
      <c r="E79" s="155">
        <f t="shared" si="1"/>
        <v>400604793</v>
      </c>
      <c r="F79" s="154"/>
    </row>
    <row r="80" spans="1:6" x14ac:dyDescent="0.25">
      <c r="A80" s="158"/>
      <c r="B80" s="156"/>
      <c r="C80" s="157"/>
      <c r="D80" s="157"/>
      <c r="E80" s="155"/>
      <c r="F80" s="158"/>
    </row>
    <row r="81" spans="1:6" x14ac:dyDescent="0.25">
      <c r="A81" s="158" t="s">
        <v>930</v>
      </c>
      <c r="B81" s="156">
        <v>10998965</v>
      </c>
      <c r="C81" s="157">
        <v>0</v>
      </c>
      <c r="D81" s="157">
        <v>0</v>
      </c>
      <c r="E81" s="155">
        <f>SUM(B81:D81)</f>
        <v>10998965</v>
      </c>
      <c r="F81" s="154"/>
    </row>
    <row r="82" spans="1:6" x14ac:dyDescent="0.25">
      <c r="A82" s="158" t="s">
        <v>929</v>
      </c>
      <c r="B82" s="156">
        <v>15467019</v>
      </c>
      <c r="C82" s="157">
        <v>0</v>
      </c>
      <c r="D82" s="157">
        <v>0</v>
      </c>
      <c r="E82" s="155">
        <f>SUM(B82:D82)</f>
        <v>15467019</v>
      </c>
      <c r="F82" s="154"/>
    </row>
    <row r="83" spans="1:6" x14ac:dyDescent="0.25">
      <c r="A83" s="158" t="s">
        <v>928</v>
      </c>
      <c r="B83" s="156">
        <v>6648353</v>
      </c>
      <c r="C83" s="157">
        <v>0</v>
      </c>
      <c r="D83" s="157">
        <v>0</v>
      </c>
      <c r="E83" s="155">
        <f>SUM(B83:D83)</f>
        <v>6648353</v>
      </c>
      <c r="F83" s="154"/>
    </row>
    <row r="84" spans="1:6" x14ac:dyDescent="0.25">
      <c r="A84" s="158" t="s">
        <v>927</v>
      </c>
      <c r="B84" s="156">
        <v>9822018</v>
      </c>
      <c r="C84" s="157">
        <v>0</v>
      </c>
      <c r="D84" s="157">
        <v>0</v>
      </c>
      <c r="E84" s="155">
        <f>SUM(B84:D84)</f>
        <v>9822018</v>
      </c>
      <c r="F84" s="154"/>
    </row>
    <row r="85" spans="1:6" x14ac:dyDescent="0.25">
      <c r="A85" s="158" t="s">
        <v>926</v>
      </c>
      <c r="B85" s="156">
        <v>93163107</v>
      </c>
      <c r="C85" s="157">
        <v>0</v>
      </c>
      <c r="D85" s="157">
        <v>0</v>
      </c>
      <c r="E85" s="155">
        <f>SUM(B85:D85)</f>
        <v>93163107</v>
      </c>
      <c r="F85" s="154"/>
    </row>
    <row r="86" spans="1:6" x14ac:dyDescent="0.25">
      <c r="A86" s="158"/>
      <c r="B86" s="156"/>
      <c r="C86" s="157"/>
      <c r="D86" s="155"/>
      <c r="E86" s="155"/>
      <c r="F86" s="158"/>
    </row>
    <row r="87" spans="1:6" x14ac:dyDescent="0.25">
      <c r="A87" s="158" t="s">
        <v>925</v>
      </c>
      <c r="B87" s="155">
        <v>3644842</v>
      </c>
      <c r="C87" s="157">
        <v>0</v>
      </c>
      <c r="D87" s="157">
        <v>0</v>
      </c>
      <c r="E87" s="155">
        <f>SUM(B87:D87)</f>
        <v>3644842</v>
      </c>
      <c r="F87" s="154"/>
    </row>
    <row r="88" spans="1:6" x14ac:dyDescent="0.25">
      <c r="A88" s="158" t="s">
        <v>924</v>
      </c>
      <c r="B88" s="157">
        <v>0</v>
      </c>
      <c r="C88" s="157">
        <v>10000000</v>
      </c>
      <c r="D88" s="157">
        <v>0</v>
      </c>
      <c r="E88" s="155">
        <f>SUM(B88:D88)</f>
        <v>10000000</v>
      </c>
      <c r="F88" s="154"/>
    </row>
    <row r="89" spans="1:6" x14ac:dyDescent="0.25">
      <c r="A89" s="158" t="s">
        <v>923</v>
      </c>
      <c r="B89" s="157">
        <v>0</v>
      </c>
      <c r="C89" s="157">
        <v>0</v>
      </c>
      <c r="D89" s="156">
        <v>1089015</v>
      </c>
      <c r="E89" s="155">
        <f>SUM(B89:D89)</f>
        <v>1089015</v>
      </c>
      <c r="F89" s="154"/>
    </row>
  </sheetData>
  <mergeCells count="1">
    <mergeCell ref="A17:E17"/>
  </mergeCells>
  <printOptions horizontalCentered="1"/>
  <pageMargins left="0.2" right="0.2" top="0.25" bottom="0.25" header="0.3" footer="0.3"/>
  <pageSetup scale="76" orientation="portrait"/>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P493"/>
  <sheetViews>
    <sheetView showGridLines="0" topLeftCell="C474" workbookViewId="0">
      <selection activeCell="F485" sqref="F485"/>
    </sheetView>
  </sheetViews>
  <sheetFormatPr defaultColWidth="9.109375" defaultRowHeight="14.4" x14ac:dyDescent="0.3"/>
  <cols>
    <col min="1" max="1" width="13.6640625" style="151" customWidth="1"/>
    <col min="2" max="2" width="27.33203125" style="151" customWidth="1"/>
    <col min="3" max="3" width="25.33203125" style="151" customWidth="1"/>
    <col min="4" max="4" width="13.6640625" style="151" customWidth="1"/>
    <col min="5" max="5" width="20.77734375" style="151" customWidth="1"/>
    <col min="6" max="11" width="20.33203125" style="151" customWidth="1"/>
    <col min="12" max="12" width="15.6640625" style="151" customWidth="1"/>
    <col min="13" max="13" width="4.44140625" style="151" customWidth="1"/>
    <col min="14" max="15" width="20.33203125" style="151" customWidth="1"/>
    <col min="16" max="16" width="22.109375" style="151" customWidth="1"/>
    <col min="17" max="16384" width="9.109375" style="151"/>
  </cols>
  <sheetData>
    <row r="1" spans="1:16" ht="28.95" customHeight="1" x14ac:dyDescent="0.3">
      <c r="A1" s="965" t="s">
        <v>918</v>
      </c>
      <c r="B1" s="966"/>
      <c r="C1" s="966"/>
      <c r="D1" s="966"/>
      <c r="E1" s="966"/>
      <c r="F1" s="966"/>
      <c r="G1" s="966"/>
      <c r="H1" s="966"/>
      <c r="I1" s="966"/>
      <c r="J1" s="966"/>
      <c r="K1" s="966"/>
      <c r="L1" s="966"/>
    </row>
    <row r="2" spans="1:16" ht="21.45" customHeight="1" x14ac:dyDescent="0.3">
      <c r="A2" s="967" t="s">
        <v>1326</v>
      </c>
      <c r="B2" s="966"/>
      <c r="C2" s="966"/>
      <c r="D2" s="966"/>
      <c r="E2" s="966"/>
      <c r="F2" s="966"/>
      <c r="G2" s="966"/>
      <c r="H2" s="966"/>
      <c r="I2" s="966"/>
      <c r="J2" s="966"/>
      <c r="K2" s="966"/>
      <c r="L2" s="966"/>
    </row>
    <row r="3" spans="1:16" ht="21.45" customHeight="1" x14ac:dyDescent="0.3">
      <c r="A3" s="967" t="s">
        <v>917</v>
      </c>
      <c r="B3" s="966"/>
      <c r="C3" s="966"/>
      <c r="D3" s="966"/>
      <c r="E3" s="966"/>
      <c r="F3" s="966"/>
      <c r="G3" s="966"/>
      <c r="H3" s="966"/>
      <c r="I3" s="966"/>
      <c r="J3" s="966"/>
      <c r="K3" s="966"/>
      <c r="L3" s="966"/>
    </row>
    <row r="4" spans="1:16" ht="21.45" customHeight="1" x14ac:dyDescent="0.3">
      <c r="A4" s="967" t="s">
        <v>916</v>
      </c>
      <c r="B4" s="966"/>
      <c r="C4" s="966"/>
      <c r="D4" s="966"/>
      <c r="E4" s="966"/>
      <c r="F4" s="966"/>
      <c r="G4" s="966"/>
      <c r="H4" s="966"/>
      <c r="I4" s="966"/>
      <c r="J4" s="966"/>
      <c r="K4" s="966"/>
      <c r="L4" s="966"/>
    </row>
    <row r="5" spans="1:16" ht="50.55" customHeight="1" x14ac:dyDescent="0.3"/>
    <row r="6" spans="1:16" x14ac:dyDescent="0.3">
      <c r="A6" s="40" t="s">
        <v>915</v>
      </c>
      <c r="B6" s="41" t="s">
        <v>914</v>
      </c>
      <c r="C6" s="41" t="s">
        <v>913</v>
      </c>
      <c r="D6" s="40" t="s">
        <v>912</v>
      </c>
      <c r="E6" s="39" t="s">
        <v>911</v>
      </c>
      <c r="F6" s="152" t="s">
        <v>910</v>
      </c>
      <c r="G6" s="152" t="s">
        <v>909</v>
      </c>
      <c r="H6" s="152" t="s">
        <v>908</v>
      </c>
      <c r="I6" s="152" t="s">
        <v>907</v>
      </c>
      <c r="J6" s="152" t="s">
        <v>906</v>
      </c>
      <c r="K6" s="152" t="s">
        <v>905</v>
      </c>
      <c r="L6" s="968" t="s">
        <v>904</v>
      </c>
      <c r="M6" s="969"/>
      <c r="N6" s="152" t="s">
        <v>903</v>
      </c>
      <c r="O6" s="152" t="s">
        <v>1325</v>
      </c>
      <c r="P6" s="152" t="s">
        <v>899</v>
      </c>
    </row>
    <row r="7" spans="1:16" ht="26.4" x14ac:dyDescent="0.3">
      <c r="A7" s="37">
        <v>2016</v>
      </c>
      <c r="B7" s="38" t="s">
        <v>902</v>
      </c>
      <c r="C7" s="38" t="s">
        <v>901</v>
      </c>
      <c r="D7" s="37">
        <v>138761000</v>
      </c>
      <c r="E7" s="36" t="s">
        <v>555</v>
      </c>
      <c r="F7" s="149">
        <v>15844.28</v>
      </c>
      <c r="G7" s="149">
        <v>0</v>
      </c>
      <c r="H7" s="149">
        <v>0</v>
      </c>
      <c r="I7" s="149">
        <v>0</v>
      </c>
      <c r="J7" s="149">
        <v>0</v>
      </c>
      <c r="K7" s="149">
        <v>0</v>
      </c>
      <c r="L7" s="971">
        <v>0</v>
      </c>
      <c r="M7" s="969"/>
      <c r="N7" s="149">
        <v>0</v>
      </c>
      <c r="O7" s="149">
        <v>0</v>
      </c>
      <c r="P7" s="149">
        <v>15844.28</v>
      </c>
    </row>
    <row r="8" spans="1:16" ht="26.4" x14ac:dyDescent="0.3">
      <c r="A8" s="34">
        <v>2016</v>
      </c>
      <c r="B8" s="35" t="s">
        <v>902</v>
      </c>
      <c r="C8" s="35" t="s">
        <v>901</v>
      </c>
      <c r="D8" s="34">
        <v>88704000</v>
      </c>
      <c r="E8" s="33" t="s">
        <v>803</v>
      </c>
      <c r="F8" s="148">
        <v>21993.9</v>
      </c>
      <c r="G8" s="148">
        <v>3340.72</v>
      </c>
      <c r="H8" s="148">
        <v>0</v>
      </c>
      <c r="I8" s="148">
        <v>0</v>
      </c>
      <c r="J8" s="148">
        <v>0</v>
      </c>
      <c r="K8" s="148">
        <v>0</v>
      </c>
      <c r="L8" s="970">
        <v>0</v>
      </c>
      <c r="M8" s="969"/>
      <c r="N8" s="148">
        <v>0</v>
      </c>
      <c r="O8" s="148">
        <v>0</v>
      </c>
      <c r="P8" s="148">
        <v>25334.62</v>
      </c>
    </row>
    <row r="9" spans="1:16" ht="26.4" x14ac:dyDescent="0.3">
      <c r="A9" s="37">
        <v>2016</v>
      </c>
      <c r="B9" s="38" t="s">
        <v>902</v>
      </c>
      <c r="C9" s="38" t="s">
        <v>901</v>
      </c>
      <c r="D9" s="37">
        <v>78604000</v>
      </c>
      <c r="E9" s="36" t="s">
        <v>722</v>
      </c>
      <c r="F9" s="149">
        <v>67380.19</v>
      </c>
      <c r="G9" s="149">
        <v>0</v>
      </c>
      <c r="H9" s="149">
        <v>0</v>
      </c>
      <c r="I9" s="149">
        <v>0</v>
      </c>
      <c r="J9" s="149">
        <v>0</v>
      </c>
      <c r="K9" s="149">
        <v>0</v>
      </c>
      <c r="L9" s="971">
        <v>0</v>
      </c>
      <c r="M9" s="969"/>
      <c r="N9" s="149">
        <v>0</v>
      </c>
      <c r="O9" s="149">
        <v>0</v>
      </c>
      <c r="P9" s="149">
        <v>67380.19</v>
      </c>
    </row>
    <row r="10" spans="1:16" ht="39.6" x14ac:dyDescent="0.3">
      <c r="A10" s="34">
        <v>2016</v>
      </c>
      <c r="B10" s="35" t="s">
        <v>902</v>
      </c>
      <c r="C10" s="35" t="s">
        <v>901</v>
      </c>
      <c r="D10" s="34">
        <v>78242000</v>
      </c>
      <c r="E10" s="33" t="s">
        <v>10</v>
      </c>
      <c r="F10" s="148">
        <v>108774.04</v>
      </c>
      <c r="G10" s="148">
        <v>0</v>
      </c>
      <c r="H10" s="148">
        <v>0</v>
      </c>
      <c r="I10" s="148">
        <v>0</v>
      </c>
      <c r="J10" s="148">
        <v>21741.119999999999</v>
      </c>
      <c r="K10" s="148">
        <v>0</v>
      </c>
      <c r="L10" s="970">
        <v>0</v>
      </c>
      <c r="M10" s="969"/>
      <c r="N10" s="148">
        <v>0</v>
      </c>
      <c r="O10" s="148">
        <v>0</v>
      </c>
      <c r="P10" s="148">
        <v>130515.16</v>
      </c>
    </row>
    <row r="11" spans="1:16" ht="39.6" x14ac:dyDescent="0.3">
      <c r="A11" s="37">
        <v>2016</v>
      </c>
      <c r="B11" s="38" t="s">
        <v>902</v>
      </c>
      <c r="C11" s="38" t="s">
        <v>901</v>
      </c>
      <c r="D11" s="37">
        <v>78270000</v>
      </c>
      <c r="E11" s="36" t="s">
        <v>827</v>
      </c>
      <c r="F11" s="149">
        <v>98307.520000000004</v>
      </c>
      <c r="G11" s="149">
        <v>0</v>
      </c>
      <c r="H11" s="149">
        <v>0</v>
      </c>
      <c r="I11" s="149">
        <v>0</v>
      </c>
      <c r="J11" s="149">
        <v>0</v>
      </c>
      <c r="K11" s="149">
        <v>0</v>
      </c>
      <c r="L11" s="971">
        <v>0</v>
      </c>
      <c r="M11" s="969"/>
      <c r="N11" s="149">
        <v>0</v>
      </c>
      <c r="O11" s="149">
        <v>0</v>
      </c>
      <c r="P11" s="149">
        <v>98307.520000000004</v>
      </c>
    </row>
    <row r="12" spans="1:16" ht="39.6" x14ac:dyDescent="0.3">
      <c r="A12" s="34">
        <v>2016</v>
      </c>
      <c r="B12" s="35" t="s">
        <v>902</v>
      </c>
      <c r="C12" s="35" t="s">
        <v>901</v>
      </c>
      <c r="D12" s="34">
        <v>108713000</v>
      </c>
      <c r="E12" s="33" t="s">
        <v>827</v>
      </c>
      <c r="F12" s="148">
        <v>172792.09</v>
      </c>
      <c r="G12" s="148">
        <v>0</v>
      </c>
      <c r="H12" s="148">
        <v>0</v>
      </c>
      <c r="I12" s="148">
        <v>0</v>
      </c>
      <c r="J12" s="148">
        <v>0</v>
      </c>
      <c r="K12" s="148">
        <v>0</v>
      </c>
      <c r="L12" s="970">
        <v>0</v>
      </c>
      <c r="M12" s="969"/>
      <c r="N12" s="148">
        <v>0</v>
      </c>
      <c r="O12" s="148">
        <v>0</v>
      </c>
      <c r="P12" s="148">
        <v>172792.09</v>
      </c>
    </row>
    <row r="13" spans="1:16" ht="39.6" x14ac:dyDescent="0.3">
      <c r="A13" s="37">
        <v>2016</v>
      </c>
      <c r="B13" s="38" t="s">
        <v>902</v>
      </c>
      <c r="C13" s="38" t="s">
        <v>901</v>
      </c>
      <c r="D13" s="37">
        <v>78794000</v>
      </c>
      <c r="E13" s="36" t="s">
        <v>11</v>
      </c>
      <c r="F13" s="149">
        <v>35791.040000000001</v>
      </c>
      <c r="G13" s="149">
        <v>0</v>
      </c>
      <c r="H13" s="149">
        <v>0</v>
      </c>
      <c r="I13" s="149">
        <v>0</v>
      </c>
      <c r="J13" s="149">
        <v>0</v>
      </c>
      <c r="K13" s="149">
        <v>0</v>
      </c>
      <c r="L13" s="971">
        <v>0</v>
      </c>
      <c r="M13" s="969"/>
      <c r="N13" s="149">
        <v>-1154.28</v>
      </c>
      <c r="O13" s="149">
        <v>0</v>
      </c>
      <c r="P13" s="149">
        <v>34636.76</v>
      </c>
    </row>
    <row r="14" spans="1:16" ht="26.4" x14ac:dyDescent="0.3">
      <c r="A14" s="34">
        <v>2016</v>
      </c>
      <c r="B14" s="35" t="s">
        <v>902</v>
      </c>
      <c r="C14" s="35" t="s">
        <v>901</v>
      </c>
      <c r="D14" s="34">
        <v>108767000</v>
      </c>
      <c r="E14" s="33" t="s">
        <v>12</v>
      </c>
      <c r="F14" s="148">
        <v>52211.54</v>
      </c>
      <c r="G14" s="148">
        <v>0</v>
      </c>
      <c r="H14" s="148">
        <v>0</v>
      </c>
      <c r="I14" s="148">
        <v>0</v>
      </c>
      <c r="J14" s="148">
        <v>0</v>
      </c>
      <c r="K14" s="148">
        <v>0</v>
      </c>
      <c r="L14" s="970">
        <v>0</v>
      </c>
      <c r="M14" s="969"/>
      <c r="N14" s="148">
        <v>0</v>
      </c>
      <c r="O14" s="148">
        <v>0</v>
      </c>
      <c r="P14" s="148">
        <v>52211.54</v>
      </c>
    </row>
    <row r="15" spans="1:16" x14ac:dyDescent="0.3">
      <c r="A15" s="37">
        <v>2016</v>
      </c>
      <c r="B15" s="38" t="s">
        <v>902</v>
      </c>
      <c r="C15" s="38" t="s">
        <v>901</v>
      </c>
      <c r="D15" s="37">
        <v>78701000</v>
      </c>
      <c r="E15" s="36" t="s">
        <v>13</v>
      </c>
      <c r="F15" s="149">
        <v>201424.16</v>
      </c>
      <c r="G15" s="149">
        <v>14226.48</v>
      </c>
      <c r="H15" s="149">
        <v>0</v>
      </c>
      <c r="I15" s="149">
        <v>0</v>
      </c>
      <c r="J15" s="149">
        <v>0</v>
      </c>
      <c r="K15" s="149">
        <v>0</v>
      </c>
      <c r="L15" s="971">
        <v>0</v>
      </c>
      <c r="M15" s="969"/>
      <c r="N15" s="149">
        <v>0</v>
      </c>
      <c r="O15" s="149">
        <v>0</v>
      </c>
      <c r="P15" s="149">
        <v>215650.64</v>
      </c>
    </row>
    <row r="16" spans="1:16" ht="26.4" x14ac:dyDescent="0.3">
      <c r="A16" s="34">
        <v>2016</v>
      </c>
      <c r="B16" s="35" t="s">
        <v>902</v>
      </c>
      <c r="C16" s="35" t="s">
        <v>901</v>
      </c>
      <c r="D16" s="34">
        <v>138760000</v>
      </c>
      <c r="E16" s="33" t="s">
        <v>14</v>
      </c>
      <c r="F16" s="148">
        <v>130560.48</v>
      </c>
      <c r="G16" s="148">
        <v>0</v>
      </c>
      <c r="H16" s="148">
        <v>0</v>
      </c>
      <c r="I16" s="148">
        <v>0</v>
      </c>
      <c r="J16" s="148">
        <v>0</v>
      </c>
      <c r="K16" s="148">
        <v>0</v>
      </c>
      <c r="L16" s="970">
        <v>0</v>
      </c>
      <c r="M16" s="969"/>
      <c r="N16" s="148">
        <v>0</v>
      </c>
      <c r="O16" s="148">
        <v>0</v>
      </c>
      <c r="P16" s="148">
        <v>130560.48</v>
      </c>
    </row>
    <row r="17" spans="1:16" ht="26.4" x14ac:dyDescent="0.3">
      <c r="A17" s="37">
        <v>2016</v>
      </c>
      <c r="B17" s="38" t="s">
        <v>902</v>
      </c>
      <c r="C17" s="38" t="s">
        <v>901</v>
      </c>
      <c r="D17" s="37">
        <v>70516000</v>
      </c>
      <c r="E17" s="36" t="s">
        <v>15</v>
      </c>
      <c r="F17" s="149">
        <v>837651.99</v>
      </c>
      <c r="G17" s="149">
        <v>44340.51</v>
      </c>
      <c r="H17" s="149">
        <v>0</v>
      </c>
      <c r="I17" s="149">
        <v>0</v>
      </c>
      <c r="J17" s="149">
        <v>0</v>
      </c>
      <c r="K17" s="149">
        <v>0</v>
      </c>
      <c r="L17" s="971">
        <v>0</v>
      </c>
      <c r="M17" s="969"/>
      <c r="N17" s="149">
        <v>0</v>
      </c>
      <c r="O17" s="149">
        <v>0</v>
      </c>
      <c r="P17" s="149">
        <v>881992.5</v>
      </c>
    </row>
    <row r="18" spans="1:16" ht="26.4" x14ac:dyDescent="0.3">
      <c r="A18" s="34">
        <v>2016</v>
      </c>
      <c r="B18" s="35" t="s">
        <v>902</v>
      </c>
      <c r="C18" s="35" t="s">
        <v>901</v>
      </c>
      <c r="D18" s="34">
        <v>70363000</v>
      </c>
      <c r="E18" s="33" t="s">
        <v>16</v>
      </c>
      <c r="F18" s="148">
        <v>89210.16</v>
      </c>
      <c r="G18" s="148">
        <v>612.94000000000005</v>
      </c>
      <c r="H18" s="148">
        <v>0</v>
      </c>
      <c r="I18" s="148">
        <v>0</v>
      </c>
      <c r="J18" s="148">
        <v>0</v>
      </c>
      <c r="K18" s="148">
        <v>0</v>
      </c>
      <c r="L18" s="970">
        <v>0</v>
      </c>
      <c r="M18" s="969"/>
      <c r="N18" s="148">
        <v>0</v>
      </c>
      <c r="O18" s="148">
        <v>0</v>
      </c>
      <c r="P18" s="148">
        <v>89823.1</v>
      </c>
    </row>
    <row r="19" spans="1:16" ht="26.4" x14ac:dyDescent="0.3">
      <c r="A19" s="37">
        <v>2016</v>
      </c>
      <c r="B19" s="38" t="s">
        <v>902</v>
      </c>
      <c r="C19" s="38" t="s">
        <v>901</v>
      </c>
      <c r="D19" s="37">
        <v>78501000</v>
      </c>
      <c r="E19" s="36" t="s">
        <v>680</v>
      </c>
      <c r="F19" s="149">
        <v>84984.09</v>
      </c>
      <c r="G19" s="149">
        <v>5670.61</v>
      </c>
      <c r="H19" s="149">
        <v>0</v>
      </c>
      <c r="I19" s="149">
        <v>0</v>
      </c>
      <c r="J19" s="149">
        <v>0</v>
      </c>
      <c r="K19" s="149">
        <v>0</v>
      </c>
      <c r="L19" s="971">
        <v>0</v>
      </c>
      <c r="M19" s="969"/>
      <c r="N19" s="149">
        <v>0</v>
      </c>
      <c r="O19" s="149">
        <v>0</v>
      </c>
      <c r="P19" s="149">
        <v>90654.7</v>
      </c>
    </row>
    <row r="20" spans="1:16" ht="26.4" x14ac:dyDescent="0.3">
      <c r="A20" s="34">
        <v>2016</v>
      </c>
      <c r="B20" s="35" t="s">
        <v>902</v>
      </c>
      <c r="C20" s="35" t="s">
        <v>901</v>
      </c>
      <c r="D20" s="34">
        <v>78793000</v>
      </c>
      <c r="E20" s="33" t="s">
        <v>17</v>
      </c>
      <c r="F20" s="148">
        <v>110934.5</v>
      </c>
      <c r="G20" s="148">
        <v>8620.5499999999993</v>
      </c>
      <c r="H20" s="148">
        <v>0</v>
      </c>
      <c r="I20" s="148">
        <v>0</v>
      </c>
      <c r="J20" s="148">
        <v>0</v>
      </c>
      <c r="K20" s="148">
        <v>0</v>
      </c>
      <c r="L20" s="970">
        <v>0</v>
      </c>
      <c r="M20" s="969"/>
      <c r="N20" s="148">
        <v>-2324.3000000000002</v>
      </c>
      <c r="O20" s="148">
        <v>0</v>
      </c>
      <c r="P20" s="148">
        <v>117230.75</v>
      </c>
    </row>
    <row r="21" spans="1:16" x14ac:dyDescent="0.3">
      <c r="A21" s="37">
        <v>2016</v>
      </c>
      <c r="B21" s="38" t="s">
        <v>902</v>
      </c>
      <c r="C21" s="38" t="s">
        <v>901</v>
      </c>
      <c r="D21" s="37">
        <v>100215000</v>
      </c>
      <c r="E21" s="36" t="s">
        <v>18</v>
      </c>
      <c r="F21" s="149">
        <v>200472.71</v>
      </c>
      <c r="G21" s="149">
        <v>131164.65</v>
      </c>
      <c r="H21" s="149">
        <v>0</v>
      </c>
      <c r="I21" s="149">
        <v>0</v>
      </c>
      <c r="J21" s="149">
        <v>0</v>
      </c>
      <c r="K21" s="149">
        <v>0</v>
      </c>
      <c r="L21" s="971">
        <v>0</v>
      </c>
      <c r="M21" s="969"/>
      <c r="N21" s="149">
        <v>0</v>
      </c>
      <c r="O21" s="149">
        <v>0</v>
      </c>
      <c r="P21" s="149">
        <v>331637.36</v>
      </c>
    </row>
    <row r="22" spans="1:16" ht="39.6" x14ac:dyDescent="0.3">
      <c r="A22" s="34">
        <v>2016</v>
      </c>
      <c r="B22" s="35" t="s">
        <v>902</v>
      </c>
      <c r="C22" s="35" t="s">
        <v>901</v>
      </c>
      <c r="D22" s="34">
        <v>118706000</v>
      </c>
      <c r="E22" s="33" t="s">
        <v>1324</v>
      </c>
      <c r="F22" s="148">
        <v>71945.09</v>
      </c>
      <c r="G22" s="148">
        <v>0</v>
      </c>
      <c r="H22" s="148">
        <v>0</v>
      </c>
      <c r="I22" s="148">
        <v>0</v>
      </c>
      <c r="J22" s="148">
        <v>0</v>
      </c>
      <c r="K22" s="148">
        <v>0</v>
      </c>
      <c r="L22" s="970">
        <v>0</v>
      </c>
      <c r="M22" s="969"/>
      <c r="N22" s="148">
        <v>0</v>
      </c>
      <c r="O22" s="148">
        <v>0</v>
      </c>
      <c r="P22" s="148">
        <v>71945.09</v>
      </c>
    </row>
    <row r="23" spans="1:16" ht="26.4" x14ac:dyDescent="0.3">
      <c r="A23" s="37">
        <v>2016</v>
      </c>
      <c r="B23" s="38" t="s">
        <v>902</v>
      </c>
      <c r="C23" s="38" t="s">
        <v>901</v>
      </c>
      <c r="D23" s="37">
        <v>70468000</v>
      </c>
      <c r="E23" s="36" t="s">
        <v>22</v>
      </c>
      <c r="F23" s="149">
        <v>7519414.7199999997</v>
      </c>
      <c r="G23" s="149">
        <v>945039.1</v>
      </c>
      <c r="H23" s="149">
        <v>0</v>
      </c>
      <c r="I23" s="149">
        <v>0</v>
      </c>
      <c r="J23" s="149">
        <v>0</v>
      </c>
      <c r="K23" s="149">
        <v>0</v>
      </c>
      <c r="L23" s="971">
        <v>0</v>
      </c>
      <c r="M23" s="969"/>
      <c r="N23" s="149">
        <v>0</v>
      </c>
      <c r="O23" s="149">
        <v>0</v>
      </c>
      <c r="P23" s="149">
        <v>8464453.8200000003</v>
      </c>
    </row>
    <row r="24" spans="1:16" ht="26.4" x14ac:dyDescent="0.3">
      <c r="A24" s="34">
        <v>2016</v>
      </c>
      <c r="B24" s="35" t="s">
        <v>902</v>
      </c>
      <c r="C24" s="35" t="s">
        <v>901</v>
      </c>
      <c r="D24" s="34">
        <v>78967000</v>
      </c>
      <c r="E24" s="33" t="s">
        <v>23</v>
      </c>
      <c r="F24" s="148">
        <v>45845.45</v>
      </c>
      <c r="G24" s="148">
        <v>586.13</v>
      </c>
      <c r="H24" s="148">
        <v>-586.13</v>
      </c>
      <c r="I24" s="148">
        <v>0</v>
      </c>
      <c r="J24" s="148">
        <v>0</v>
      </c>
      <c r="K24" s="148">
        <v>0</v>
      </c>
      <c r="L24" s="970">
        <v>0</v>
      </c>
      <c r="M24" s="969"/>
      <c r="N24" s="148">
        <v>0</v>
      </c>
      <c r="O24" s="148">
        <v>0</v>
      </c>
      <c r="P24" s="148">
        <v>45845.45</v>
      </c>
    </row>
    <row r="25" spans="1:16" ht="26.4" x14ac:dyDescent="0.3">
      <c r="A25" s="37">
        <v>2016</v>
      </c>
      <c r="B25" s="38" t="s">
        <v>902</v>
      </c>
      <c r="C25" s="38" t="s">
        <v>901</v>
      </c>
      <c r="D25" s="37">
        <v>10307000</v>
      </c>
      <c r="E25" s="36" t="s">
        <v>554</v>
      </c>
      <c r="F25" s="149">
        <v>15893.51</v>
      </c>
      <c r="G25" s="149">
        <v>0</v>
      </c>
      <c r="H25" s="149">
        <v>0</v>
      </c>
      <c r="I25" s="149">
        <v>0</v>
      </c>
      <c r="J25" s="149">
        <v>0</v>
      </c>
      <c r="K25" s="149">
        <v>0</v>
      </c>
      <c r="L25" s="971">
        <v>0</v>
      </c>
      <c r="M25" s="969"/>
      <c r="N25" s="149">
        <v>0</v>
      </c>
      <c r="O25" s="149">
        <v>0</v>
      </c>
      <c r="P25" s="149">
        <v>15893.51</v>
      </c>
    </row>
    <row r="26" spans="1:16" ht="26.4" x14ac:dyDescent="0.3">
      <c r="A26" s="34">
        <v>2016</v>
      </c>
      <c r="B26" s="35" t="s">
        <v>902</v>
      </c>
      <c r="C26" s="35" t="s">
        <v>901</v>
      </c>
      <c r="D26" s="34">
        <v>100351000</v>
      </c>
      <c r="E26" s="33" t="s">
        <v>24</v>
      </c>
      <c r="F26" s="148">
        <v>516274.64</v>
      </c>
      <c r="G26" s="148">
        <v>52793.760000000002</v>
      </c>
      <c r="H26" s="148">
        <v>0</v>
      </c>
      <c r="I26" s="148">
        <v>0</v>
      </c>
      <c r="J26" s="148">
        <v>0</v>
      </c>
      <c r="K26" s="148">
        <v>0</v>
      </c>
      <c r="L26" s="970">
        <v>0</v>
      </c>
      <c r="M26" s="969"/>
      <c r="N26" s="148">
        <v>0</v>
      </c>
      <c r="O26" s="148">
        <v>0</v>
      </c>
      <c r="P26" s="148">
        <v>569068.4</v>
      </c>
    </row>
    <row r="27" spans="1:16" ht="52.8" x14ac:dyDescent="0.3">
      <c r="A27" s="37">
        <v>2016</v>
      </c>
      <c r="B27" s="38" t="s">
        <v>902</v>
      </c>
      <c r="C27" s="38" t="s">
        <v>901</v>
      </c>
      <c r="D27" s="37">
        <v>108794000</v>
      </c>
      <c r="E27" s="36" t="s">
        <v>846</v>
      </c>
      <c r="F27" s="149">
        <v>173925.15</v>
      </c>
      <c r="G27" s="149">
        <v>26996.94</v>
      </c>
      <c r="H27" s="149">
        <v>0</v>
      </c>
      <c r="I27" s="149">
        <v>0</v>
      </c>
      <c r="J27" s="149">
        <v>0</v>
      </c>
      <c r="K27" s="149">
        <v>0</v>
      </c>
      <c r="L27" s="971">
        <v>0</v>
      </c>
      <c r="M27" s="969"/>
      <c r="N27" s="149">
        <v>0</v>
      </c>
      <c r="O27" s="149">
        <v>0</v>
      </c>
      <c r="P27" s="149">
        <v>200922.09</v>
      </c>
    </row>
    <row r="28" spans="1:16" ht="52.8" x14ac:dyDescent="0.3">
      <c r="A28" s="34">
        <v>2016</v>
      </c>
      <c r="B28" s="35" t="s">
        <v>902</v>
      </c>
      <c r="C28" s="35" t="s">
        <v>901</v>
      </c>
      <c r="D28" s="34">
        <v>118703000</v>
      </c>
      <c r="E28" s="33" t="s">
        <v>852</v>
      </c>
      <c r="F28" s="148">
        <v>48022.16</v>
      </c>
      <c r="G28" s="148">
        <v>530.62</v>
      </c>
      <c r="H28" s="148">
        <v>0</v>
      </c>
      <c r="I28" s="148">
        <v>0</v>
      </c>
      <c r="J28" s="148">
        <v>0</v>
      </c>
      <c r="K28" s="148">
        <v>0</v>
      </c>
      <c r="L28" s="970">
        <v>0</v>
      </c>
      <c r="M28" s="969"/>
      <c r="N28" s="148">
        <v>0</v>
      </c>
      <c r="O28" s="148">
        <v>0</v>
      </c>
      <c r="P28" s="148">
        <v>48552.78</v>
      </c>
    </row>
    <row r="29" spans="1:16" ht="52.8" x14ac:dyDescent="0.3">
      <c r="A29" s="37">
        <v>2016</v>
      </c>
      <c r="B29" s="38" t="s">
        <v>902</v>
      </c>
      <c r="C29" s="38" t="s">
        <v>901</v>
      </c>
      <c r="D29" s="37">
        <v>78950000</v>
      </c>
      <c r="E29" s="36" t="s">
        <v>780</v>
      </c>
      <c r="F29" s="149">
        <v>62250.01</v>
      </c>
      <c r="G29" s="149">
        <v>12983.14</v>
      </c>
      <c r="H29" s="149">
        <v>0</v>
      </c>
      <c r="I29" s="149">
        <v>0</v>
      </c>
      <c r="J29" s="149">
        <v>0</v>
      </c>
      <c r="K29" s="149">
        <v>0</v>
      </c>
      <c r="L29" s="971">
        <v>0</v>
      </c>
      <c r="M29" s="969"/>
      <c r="N29" s="149">
        <v>0</v>
      </c>
      <c r="O29" s="149">
        <v>0</v>
      </c>
      <c r="P29" s="149">
        <v>75233.149999999994</v>
      </c>
    </row>
    <row r="30" spans="1:16" ht="52.8" x14ac:dyDescent="0.3">
      <c r="A30" s="34">
        <v>2016</v>
      </c>
      <c r="B30" s="35" t="s">
        <v>902</v>
      </c>
      <c r="C30" s="35" t="s">
        <v>901</v>
      </c>
      <c r="D30" s="34">
        <v>78947000</v>
      </c>
      <c r="E30" s="33" t="s">
        <v>778</v>
      </c>
      <c r="F30" s="148">
        <v>41612.019999999997</v>
      </c>
      <c r="G30" s="148">
        <v>0</v>
      </c>
      <c r="H30" s="148">
        <v>0</v>
      </c>
      <c r="I30" s="148">
        <v>0</v>
      </c>
      <c r="J30" s="148">
        <v>0</v>
      </c>
      <c r="K30" s="148">
        <v>0</v>
      </c>
      <c r="L30" s="970">
        <v>0</v>
      </c>
      <c r="M30" s="969"/>
      <c r="N30" s="148">
        <v>0</v>
      </c>
      <c r="O30" s="148">
        <v>0</v>
      </c>
      <c r="P30" s="148">
        <v>41612.019999999997</v>
      </c>
    </row>
    <row r="31" spans="1:16" ht="52.8" x14ac:dyDescent="0.3">
      <c r="A31" s="37">
        <v>2016</v>
      </c>
      <c r="B31" s="38" t="s">
        <v>902</v>
      </c>
      <c r="C31" s="38" t="s">
        <v>901</v>
      </c>
      <c r="D31" s="37">
        <v>78948000</v>
      </c>
      <c r="E31" s="36" t="s">
        <v>779</v>
      </c>
      <c r="F31" s="149">
        <v>78125.39</v>
      </c>
      <c r="G31" s="149">
        <v>22979.11</v>
      </c>
      <c r="H31" s="149">
        <v>0</v>
      </c>
      <c r="I31" s="149">
        <v>0</v>
      </c>
      <c r="J31" s="149">
        <v>0</v>
      </c>
      <c r="K31" s="149">
        <v>0</v>
      </c>
      <c r="L31" s="971">
        <v>0</v>
      </c>
      <c r="M31" s="969"/>
      <c r="N31" s="149">
        <v>0</v>
      </c>
      <c r="O31" s="149">
        <v>0</v>
      </c>
      <c r="P31" s="149">
        <v>101104.5</v>
      </c>
    </row>
    <row r="32" spans="1:16" ht="66" x14ac:dyDescent="0.3">
      <c r="A32" s="34">
        <v>2016</v>
      </c>
      <c r="B32" s="35" t="s">
        <v>902</v>
      </c>
      <c r="C32" s="35" t="s">
        <v>901</v>
      </c>
      <c r="D32" s="34">
        <v>78951000</v>
      </c>
      <c r="E32" s="33" t="s">
        <v>781</v>
      </c>
      <c r="F32" s="148">
        <v>151152.13</v>
      </c>
      <c r="G32" s="148">
        <v>16438.68</v>
      </c>
      <c r="H32" s="148">
        <v>0</v>
      </c>
      <c r="I32" s="148">
        <v>0</v>
      </c>
      <c r="J32" s="148">
        <v>0</v>
      </c>
      <c r="K32" s="148">
        <v>0</v>
      </c>
      <c r="L32" s="970">
        <v>0</v>
      </c>
      <c r="M32" s="969"/>
      <c r="N32" s="148">
        <v>0</v>
      </c>
      <c r="O32" s="148">
        <v>0</v>
      </c>
      <c r="P32" s="148">
        <v>167590.81</v>
      </c>
    </row>
    <row r="33" spans="1:16" ht="52.8" x14ac:dyDescent="0.3">
      <c r="A33" s="37">
        <v>2016</v>
      </c>
      <c r="B33" s="38" t="s">
        <v>902</v>
      </c>
      <c r="C33" s="38" t="s">
        <v>901</v>
      </c>
      <c r="D33" s="37">
        <v>78983000</v>
      </c>
      <c r="E33" s="36" t="s">
        <v>797</v>
      </c>
      <c r="F33" s="149">
        <v>186607.14</v>
      </c>
      <c r="G33" s="149">
        <v>15068.96</v>
      </c>
      <c r="H33" s="149">
        <v>0</v>
      </c>
      <c r="I33" s="149">
        <v>0</v>
      </c>
      <c r="J33" s="149">
        <v>0</v>
      </c>
      <c r="K33" s="149">
        <v>0</v>
      </c>
      <c r="L33" s="971">
        <v>0</v>
      </c>
      <c r="M33" s="969"/>
      <c r="N33" s="149">
        <v>0</v>
      </c>
      <c r="O33" s="149">
        <v>0</v>
      </c>
      <c r="P33" s="149">
        <v>201676.1</v>
      </c>
    </row>
    <row r="34" spans="1:16" ht="52.8" x14ac:dyDescent="0.3">
      <c r="A34" s="34">
        <v>2016</v>
      </c>
      <c r="B34" s="35" t="s">
        <v>902</v>
      </c>
      <c r="C34" s="35" t="s">
        <v>901</v>
      </c>
      <c r="D34" s="34">
        <v>78517000</v>
      </c>
      <c r="E34" s="33" t="s">
        <v>685</v>
      </c>
      <c r="F34" s="148">
        <v>194544.83</v>
      </c>
      <c r="G34" s="148">
        <v>75838.149999999994</v>
      </c>
      <c r="H34" s="148">
        <v>0</v>
      </c>
      <c r="I34" s="148">
        <v>0</v>
      </c>
      <c r="J34" s="148">
        <v>0</v>
      </c>
      <c r="K34" s="148">
        <v>0</v>
      </c>
      <c r="L34" s="970">
        <v>0</v>
      </c>
      <c r="M34" s="969"/>
      <c r="N34" s="148">
        <v>0</v>
      </c>
      <c r="O34" s="148">
        <v>0</v>
      </c>
      <c r="P34" s="148">
        <v>270382.98</v>
      </c>
    </row>
    <row r="35" spans="1:16" ht="52.8" x14ac:dyDescent="0.3">
      <c r="A35" s="37">
        <v>2016</v>
      </c>
      <c r="B35" s="38" t="s">
        <v>902</v>
      </c>
      <c r="C35" s="38" t="s">
        <v>901</v>
      </c>
      <c r="D35" s="37">
        <v>78953000</v>
      </c>
      <c r="E35" s="36" t="s">
        <v>782</v>
      </c>
      <c r="F35" s="149">
        <v>110405.32</v>
      </c>
      <c r="G35" s="149">
        <v>18365.7</v>
      </c>
      <c r="H35" s="149">
        <v>0</v>
      </c>
      <c r="I35" s="149">
        <v>0</v>
      </c>
      <c r="J35" s="149">
        <v>0</v>
      </c>
      <c r="K35" s="149">
        <v>0</v>
      </c>
      <c r="L35" s="971">
        <v>0</v>
      </c>
      <c r="M35" s="969"/>
      <c r="N35" s="149">
        <v>0</v>
      </c>
      <c r="O35" s="149">
        <v>0</v>
      </c>
      <c r="P35" s="149">
        <v>128771.02</v>
      </c>
    </row>
    <row r="36" spans="1:16" ht="52.8" x14ac:dyDescent="0.3">
      <c r="A36" s="34">
        <v>2016</v>
      </c>
      <c r="B36" s="35" t="s">
        <v>902</v>
      </c>
      <c r="C36" s="35" t="s">
        <v>901</v>
      </c>
      <c r="D36" s="34">
        <v>78956000</v>
      </c>
      <c r="E36" s="33" t="s">
        <v>784</v>
      </c>
      <c r="F36" s="148">
        <v>121518.09</v>
      </c>
      <c r="G36" s="148">
        <v>32084.09</v>
      </c>
      <c r="H36" s="148">
        <v>0</v>
      </c>
      <c r="I36" s="148">
        <v>0</v>
      </c>
      <c r="J36" s="148">
        <v>0</v>
      </c>
      <c r="K36" s="148">
        <v>0</v>
      </c>
      <c r="L36" s="970">
        <v>0</v>
      </c>
      <c r="M36" s="969"/>
      <c r="N36" s="148">
        <v>0</v>
      </c>
      <c r="O36" s="148">
        <v>0</v>
      </c>
      <c r="P36" s="148">
        <v>153602.18</v>
      </c>
    </row>
    <row r="37" spans="1:16" ht="26.4" x14ac:dyDescent="0.3">
      <c r="A37" s="37">
        <v>2016</v>
      </c>
      <c r="B37" s="38" t="s">
        <v>902</v>
      </c>
      <c r="C37" s="38" t="s">
        <v>901</v>
      </c>
      <c r="D37" s="37">
        <v>138754000</v>
      </c>
      <c r="E37" s="36" t="s">
        <v>35</v>
      </c>
      <c r="F37" s="149">
        <v>29131.86</v>
      </c>
      <c r="G37" s="149">
        <v>0</v>
      </c>
      <c r="H37" s="149">
        <v>-162.22</v>
      </c>
      <c r="I37" s="149">
        <v>0</v>
      </c>
      <c r="J37" s="149">
        <v>0</v>
      </c>
      <c r="K37" s="149">
        <v>0</v>
      </c>
      <c r="L37" s="971">
        <v>0</v>
      </c>
      <c r="M37" s="969"/>
      <c r="N37" s="149">
        <v>0</v>
      </c>
      <c r="O37" s="149">
        <v>0</v>
      </c>
      <c r="P37" s="149">
        <v>28969.64</v>
      </c>
    </row>
    <row r="38" spans="1:16" ht="26.4" x14ac:dyDescent="0.3">
      <c r="A38" s="34">
        <v>2016</v>
      </c>
      <c r="B38" s="35" t="s">
        <v>902</v>
      </c>
      <c r="C38" s="35" t="s">
        <v>901</v>
      </c>
      <c r="D38" s="34">
        <v>78725000</v>
      </c>
      <c r="E38" s="33" t="s">
        <v>742</v>
      </c>
      <c r="F38" s="148">
        <v>1028638.87</v>
      </c>
      <c r="G38" s="148">
        <v>0</v>
      </c>
      <c r="H38" s="148">
        <v>0</v>
      </c>
      <c r="I38" s="148">
        <v>0</v>
      </c>
      <c r="J38" s="148">
        <v>0</v>
      </c>
      <c r="K38" s="148">
        <v>0</v>
      </c>
      <c r="L38" s="970">
        <v>0</v>
      </c>
      <c r="M38" s="969"/>
      <c r="N38" s="148">
        <v>0</v>
      </c>
      <c r="O38" s="148">
        <v>0</v>
      </c>
      <c r="P38" s="148">
        <v>1028638.87</v>
      </c>
    </row>
    <row r="39" spans="1:16" ht="26.4" x14ac:dyDescent="0.3">
      <c r="A39" s="37">
        <v>2016</v>
      </c>
      <c r="B39" s="38" t="s">
        <v>902</v>
      </c>
      <c r="C39" s="38" t="s">
        <v>901</v>
      </c>
      <c r="D39" s="37">
        <v>78926000</v>
      </c>
      <c r="E39" s="36" t="s">
        <v>1253</v>
      </c>
      <c r="F39" s="149">
        <v>365275.98</v>
      </c>
      <c r="G39" s="149">
        <v>0</v>
      </c>
      <c r="H39" s="149">
        <v>0</v>
      </c>
      <c r="I39" s="149">
        <v>0</v>
      </c>
      <c r="J39" s="149">
        <v>0</v>
      </c>
      <c r="K39" s="149">
        <v>0</v>
      </c>
      <c r="L39" s="971">
        <v>0</v>
      </c>
      <c r="M39" s="969"/>
      <c r="N39" s="149">
        <v>0</v>
      </c>
      <c r="O39" s="149">
        <v>0</v>
      </c>
      <c r="P39" s="149">
        <v>365275.98</v>
      </c>
    </row>
    <row r="40" spans="1:16" ht="26.4" x14ac:dyDescent="0.3">
      <c r="A40" s="34">
        <v>2016</v>
      </c>
      <c r="B40" s="35" t="s">
        <v>902</v>
      </c>
      <c r="C40" s="35" t="s">
        <v>901</v>
      </c>
      <c r="D40" s="34">
        <v>100210000</v>
      </c>
      <c r="E40" s="33" t="s">
        <v>36</v>
      </c>
      <c r="F40" s="148">
        <v>3709949.86</v>
      </c>
      <c r="G40" s="148">
        <v>598873.71</v>
      </c>
      <c r="H40" s="148">
        <v>0</v>
      </c>
      <c r="I40" s="148">
        <v>0</v>
      </c>
      <c r="J40" s="148">
        <v>0</v>
      </c>
      <c r="K40" s="148">
        <v>0</v>
      </c>
      <c r="L40" s="970">
        <v>0</v>
      </c>
      <c r="M40" s="969"/>
      <c r="N40" s="148">
        <v>0</v>
      </c>
      <c r="O40" s="148">
        <v>0</v>
      </c>
      <c r="P40" s="148">
        <v>4308823.57</v>
      </c>
    </row>
    <row r="41" spans="1:16" ht="26.4" x14ac:dyDescent="0.3">
      <c r="A41" s="37">
        <v>2016</v>
      </c>
      <c r="B41" s="38" t="s">
        <v>902</v>
      </c>
      <c r="C41" s="38" t="s">
        <v>901</v>
      </c>
      <c r="D41" s="37">
        <v>140550000</v>
      </c>
      <c r="E41" s="36" t="s">
        <v>37</v>
      </c>
      <c r="F41" s="149">
        <v>83312.92</v>
      </c>
      <c r="G41" s="149">
        <v>593</v>
      </c>
      <c r="H41" s="149">
        <v>-831.84</v>
      </c>
      <c r="I41" s="149">
        <v>0</v>
      </c>
      <c r="J41" s="149">
        <v>0</v>
      </c>
      <c r="K41" s="149">
        <v>0</v>
      </c>
      <c r="L41" s="971">
        <v>0</v>
      </c>
      <c r="M41" s="969"/>
      <c r="N41" s="149">
        <v>0</v>
      </c>
      <c r="O41" s="149">
        <v>0</v>
      </c>
      <c r="P41" s="149">
        <v>83074.080000000002</v>
      </c>
    </row>
    <row r="42" spans="1:16" ht="26.4" x14ac:dyDescent="0.3">
      <c r="A42" s="34">
        <v>2016</v>
      </c>
      <c r="B42" s="35" t="s">
        <v>902</v>
      </c>
      <c r="C42" s="35" t="s">
        <v>901</v>
      </c>
      <c r="D42" s="34">
        <v>110243000</v>
      </c>
      <c r="E42" s="33" t="s">
        <v>39</v>
      </c>
      <c r="F42" s="148">
        <v>1674501.45</v>
      </c>
      <c r="G42" s="148">
        <v>371489.4</v>
      </c>
      <c r="H42" s="148">
        <v>0</v>
      </c>
      <c r="I42" s="148">
        <v>0</v>
      </c>
      <c r="J42" s="148">
        <v>0</v>
      </c>
      <c r="K42" s="148">
        <v>0</v>
      </c>
      <c r="L42" s="970">
        <v>0</v>
      </c>
      <c r="M42" s="969"/>
      <c r="N42" s="148">
        <v>0</v>
      </c>
      <c r="O42" s="148">
        <v>0</v>
      </c>
      <c r="P42" s="148">
        <v>2045990.85</v>
      </c>
    </row>
    <row r="43" spans="1:16" x14ac:dyDescent="0.3">
      <c r="A43" s="37">
        <v>2016</v>
      </c>
      <c r="B43" s="38" t="s">
        <v>902</v>
      </c>
      <c r="C43" s="38" t="s">
        <v>901</v>
      </c>
      <c r="D43" s="37">
        <v>108785000</v>
      </c>
      <c r="E43" s="36" t="s">
        <v>40</v>
      </c>
      <c r="F43" s="149">
        <v>122370.79</v>
      </c>
      <c r="G43" s="149">
        <v>0</v>
      </c>
      <c r="H43" s="149">
        <v>0</v>
      </c>
      <c r="I43" s="149">
        <v>0</v>
      </c>
      <c r="J43" s="149">
        <v>0</v>
      </c>
      <c r="K43" s="149">
        <v>0</v>
      </c>
      <c r="L43" s="971">
        <v>0</v>
      </c>
      <c r="M43" s="969"/>
      <c r="N43" s="149">
        <v>0</v>
      </c>
      <c r="O43" s="149">
        <v>0</v>
      </c>
      <c r="P43" s="149">
        <v>122370.79</v>
      </c>
    </row>
    <row r="44" spans="1:16" ht="39.6" x14ac:dyDescent="0.3">
      <c r="A44" s="34">
        <v>2016</v>
      </c>
      <c r="B44" s="35" t="s">
        <v>902</v>
      </c>
      <c r="C44" s="35" t="s">
        <v>901</v>
      </c>
      <c r="D44" s="34">
        <v>78665000</v>
      </c>
      <c r="E44" s="33" t="s">
        <v>729</v>
      </c>
      <c r="F44" s="148">
        <v>36320.22</v>
      </c>
      <c r="G44" s="148">
        <v>0</v>
      </c>
      <c r="H44" s="148">
        <v>0</v>
      </c>
      <c r="I44" s="148">
        <v>0</v>
      </c>
      <c r="J44" s="148">
        <v>0</v>
      </c>
      <c r="K44" s="148">
        <v>0</v>
      </c>
      <c r="L44" s="970">
        <v>0</v>
      </c>
      <c r="M44" s="969"/>
      <c r="N44" s="148">
        <v>-2466.61</v>
      </c>
      <c r="O44" s="148">
        <v>0</v>
      </c>
      <c r="P44" s="148">
        <v>33853.61</v>
      </c>
    </row>
    <row r="45" spans="1:16" ht="26.4" x14ac:dyDescent="0.3">
      <c r="A45" s="37">
        <v>2016</v>
      </c>
      <c r="B45" s="38" t="s">
        <v>902</v>
      </c>
      <c r="C45" s="38" t="s">
        <v>901</v>
      </c>
      <c r="D45" s="37">
        <v>78510000</v>
      </c>
      <c r="E45" s="36" t="s">
        <v>683</v>
      </c>
      <c r="F45" s="149">
        <v>27324.18</v>
      </c>
      <c r="G45" s="149">
        <v>2074.5</v>
      </c>
      <c r="H45" s="149">
        <v>0</v>
      </c>
      <c r="I45" s="149">
        <v>0</v>
      </c>
      <c r="J45" s="149">
        <v>0</v>
      </c>
      <c r="K45" s="149">
        <v>0</v>
      </c>
      <c r="L45" s="971">
        <v>0</v>
      </c>
      <c r="M45" s="969"/>
      <c r="N45" s="149">
        <v>0</v>
      </c>
      <c r="O45" s="149">
        <v>0</v>
      </c>
      <c r="P45" s="149">
        <v>29398.68</v>
      </c>
    </row>
    <row r="46" spans="1:16" ht="26.4" x14ac:dyDescent="0.3">
      <c r="A46" s="34">
        <v>2016</v>
      </c>
      <c r="B46" s="35" t="s">
        <v>902</v>
      </c>
      <c r="C46" s="35" t="s">
        <v>901</v>
      </c>
      <c r="D46" s="34">
        <v>78587000</v>
      </c>
      <c r="E46" s="33" t="s">
        <v>683</v>
      </c>
      <c r="F46" s="148">
        <v>81604.53</v>
      </c>
      <c r="G46" s="148">
        <v>9733.35</v>
      </c>
      <c r="H46" s="148">
        <v>0</v>
      </c>
      <c r="I46" s="148">
        <v>0</v>
      </c>
      <c r="J46" s="148">
        <v>0</v>
      </c>
      <c r="K46" s="148">
        <v>0</v>
      </c>
      <c r="L46" s="970">
        <v>0</v>
      </c>
      <c r="M46" s="969"/>
      <c r="N46" s="148">
        <v>0</v>
      </c>
      <c r="O46" s="148">
        <v>0</v>
      </c>
      <c r="P46" s="148">
        <v>91337.88</v>
      </c>
    </row>
    <row r="47" spans="1:16" ht="26.4" x14ac:dyDescent="0.3">
      <c r="A47" s="37">
        <v>2016</v>
      </c>
      <c r="B47" s="38" t="s">
        <v>902</v>
      </c>
      <c r="C47" s="38" t="s">
        <v>901</v>
      </c>
      <c r="D47" s="37">
        <v>78707000</v>
      </c>
      <c r="E47" s="36" t="s">
        <v>683</v>
      </c>
      <c r="F47" s="149">
        <v>43208.01</v>
      </c>
      <c r="G47" s="149">
        <v>5438.88</v>
      </c>
      <c r="H47" s="149">
        <v>0</v>
      </c>
      <c r="I47" s="149">
        <v>0</v>
      </c>
      <c r="J47" s="149">
        <v>0</v>
      </c>
      <c r="K47" s="149">
        <v>0</v>
      </c>
      <c r="L47" s="971">
        <v>0</v>
      </c>
      <c r="M47" s="969"/>
      <c r="N47" s="149">
        <v>0</v>
      </c>
      <c r="O47" s="149">
        <v>0</v>
      </c>
      <c r="P47" s="149">
        <v>48646.89</v>
      </c>
    </row>
    <row r="48" spans="1:16" ht="26.4" x14ac:dyDescent="0.3">
      <c r="A48" s="34">
        <v>2016</v>
      </c>
      <c r="B48" s="35" t="s">
        <v>902</v>
      </c>
      <c r="C48" s="35" t="s">
        <v>901</v>
      </c>
      <c r="D48" s="34">
        <v>78993000</v>
      </c>
      <c r="E48" s="33" t="s">
        <v>683</v>
      </c>
      <c r="F48" s="148">
        <v>144312.93</v>
      </c>
      <c r="G48" s="148">
        <v>16665.09</v>
      </c>
      <c r="H48" s="148">
        <v>0</v>
      </c>
      <c r="I48" s="148">
        <v>0</v>
      </c>
      <c r="J48" s="148">
        <v>0</v>
      </c>
      <c r="K48" s="148">
        <v>0</v>
      </c>
      <c r="L48" s="970">
        <v>0</v>
      </c>
      <c r="M48" s="969"/>
      <c r="N48" s="148">
        <v>0</v>
      </c>
      <c r="O48" s="148">
        <v>0</v>
      </c>
      <c r="P48" s="148">
        <v>160978.01999999999</v>
      </c>
    </row>
    <row r="49" spans="1:16" ht="26.4" x14ac:dyDescent="0.3">
      <c r="A49" s="37">
        <v>2016</v>
      </c>
      <c r="B49" s="38" t="s">
        <v>902</v>
      </c>
      <c r="C49" s="38" t="s">
        <v>901</v>
      </c>
      <c r="D49" s="37">
        <v>138785000</v>
      </c>
      <c r="E49" s="36" t="s">
        <v>683</v>
      </c>
      <c r="F49" s="149">
        <v>27208.02</v>
      </c>
      <c r="G49" s="149">
        <v>0</v>
      </c>
      <c r="H49" s="149">
        <v>0</v>
      </c>
      <c r="I49" s="149">
        <v>0</v>
      </c>
      <c r="J49" s="149">
        <v>0</v>
      </c>
      <c r="K49" s="149">
        <v>0</v>
      </c>
      <c r="L49" s="971">
        <v>0</v>
      </c>
      <c r="M49" s="969"/>
      <c r="N49" s="149">
        <v>0</v>
      </c>
      <c r="O49" s="149">
        <v>0</v>
      </c>
      <c r="P49" s="149">
        <v>27208.02</v>
      </c>
    </row>
    <row r="50" spans="1:16" ht="26.4" x14ac:dyDescent="0.3">
      <c r="A50" s="34">
        <v>2016</v>
      </c>
      <c r="B50" s="35" t="s">
        <v>902</v>
      </c>
      <c r="C50" s="35" t="s">
        <v>901</v>
      </c>
      <c r="D50" s="34">
        <v>78226000</v>
      </c>
      <c r="E50" s="33" t="s">
        <v>669</v>
      </c>
      <c r="F50" s="148">
        <v>41082.839999999997</v>
      </c>
      <c r="G50" s="148">
        <v>0</v>
      </c>
      <c r="H50" s="148">
        <v>0</v>
      </c>
      <c r="I50" s="148">
        <v>0</v>
      </c>
      <c r="J50" s="148">
        <v>0</v>
      </c>
      <c r="K50" s="148">
        <v>0</v>
      </c>
      <c r="L50" s="970">
        <v>0</v>
      </c>
      <c r="M50" s="969"/>
      <c r="N50" s="148">
        <v>0</v>
      </c>
      <c r="O50" s="148">
        <v>0</v>
      </c>
      <c r="P50" s="148">
        <v>41082.839999999997</v>
      </c>
    </row>
    <row r="51" spans="1:16" ht="26.4" x14ac:dyDescent="0.3">
      <c r="A51" s="37">
        <v>2016</v>
      </c>
      <c r="B51" s="38" t="s">
        <v>902</v>
      </c>
      <c r="C51" s="38" t="s">
        <v>901</v>
      </c>
      <c r="D51" s="37">
        <v>78723000</v>
      </c>
      <c r="E51" s="36" t="s">
        <v>740</v>
      </c>
      <c r="F51" s="149">
        <v>24149.1</v>
      </c>
      <c r="G51" s="149">
        <v>0</v>
      </c>
      <c r="H51" s="149">
        <v>0</v>
      </c>
      <c r="I51" s="149">
        <v>0</v>
      </c>
      <c r="J51" s="149">
        <v>0</v>
      </c>
      <c r="K51" s="149">
        <v>0</v>
      </c>
      <c r="L51" s="971">
        <v>0</v>
      </c>
      <c r="M51" s="969"/>
      <c r="N51" s="149">
        <v>0</v>
      </c>
      <c r="O51" s="149">
        <v>0</v>
      </c>
      <c r="P51" s="149">
        <v>24149.1</v>
      </c>
    </row>
    <row r="52" spans="1:16" ht="39.6" x14ac:dyDescent="0.3">
      <c r="A52" s="34">
        <v>2016</v>
      </c>
      <c r="B52" s="35" t="s">
        <v>902</v>
      </c>
      <c r="C52" s="35" t="s">
        <v>901</v>
      </c>
      <c r="D52" s="34">
        <v>108709000</v>
      </c>
      <c r="E52" s="33" t="s">
        <v>46</v>
      </c>
      <c r="F52" s="148">
        <v>796225.95</v>
      </c>
      <c r="G52" s="148">
        <v>0</v>
      </c>
      <c r="H52" s="148">
        <v>0</v>
      </c>
      <c r="I52" s="148">
        <v>0</v>
      </c>
      <c r="J52" s="148">
        <v>0</v>
      </c>
      <c r="K52" s="148">
        <v>0</v>
      </c>
      <c r="L52" s="970">
        <v>0</v>
      </c>
      <c r="M52" s="969"/>
      <c r="N52" s="148">
        <v>0</v>
      </c>
      <c r="O52" s="148">
        <v>0</v>
      </c>
      <c r="P52" s="148">
        <v>796225.95</v>
      </c>
    </row>
    <row r="53" spans="1:16" ht="39.6" x14ac:dyDescent="0.3">
      <c r="A53" s="37">
        <v>2016</v>
      </c>
      <c r="B53" s="38" t="s">
        <v>902</v>
      </c>
      <c r="C53" s="38" t="s">
        <v>901</v>
      </c>
      <c r="D53" s="37">
        <v>78511000</v>
      </c>
      <c r="E53" s="36" t="s">
        <v>684</v>
      </c>
      <c r="F53" s="149">
        <v>441142.38</v>
      </c>
      <c r="G53" s="149">
        <v>0</v>
      </c>
      <c r="H53" s="149">
        <v>0</v>
      </c>
      <c r="I53" s="149">
        <v>0</v>
      </c>
      <c r="J53" s="149">
        <v>0</v>
      </c>
      <c r="K53" s="149">
        <v>0</v>
      </c>
      <c r="L53" s="971">
        <v>0</v>
      </c>
      <c r="M53" s="969"/>
      <c r="N53" s="149">
        <v>0</v>
      </c>
      <c r="O53" s="149">
        <v>0</v>
      </c>
      <c r="P53" s="149">
        <v>441142.38</v>
      </c>
    </row>
    <row r="54" spans="1:16" ht="26.4" x14ac:dyDescent="0.3">
      <c r="A54" s="34">
        <v>2016</v>
      </c>
      <c r="B54" s="35" t="s">
        <v>902</v>
      </c>
      <c r="C54" s="35" t="s">
        <v>901</v>
      </c>
      <c r="D54" s="34">
        <v>211002000</v>
      </c>
      <c r="E54" s="33" t="s">
        <v>48</v>
      </c>
      <c r="F54" s="148">
        <v>0</v>
      </c>
      <c r="G54" s="148">
        <v>0</v>
      </c>
      <c r="H54" s="148">
        <v>0</v>
      </c>
      <c r="I54" s="148">
        <v>0</v>
      </c>
      <c r="J54" s="148">
        <v>0</v>
      </c>
      <c r="K54" s="148">
        <v>0</v>
      </c>
      <c r="L54" s="970">
        <v>0</v>
      </c>
      <c r="M54" s="969"/>
      <c r="N54" s="148">
        <v>0</v>
      </c>
      <c r="O54" s="148">
        <v>0</v>
      </c>
      <c r="P54" s="148">
        <v>0</v>
      </c>
    </row>
    <row r="55" spans="1:16" ht="26.4" x14ac:dyDescent="0.3">
      <c r="A55" s="37">
        <v>2016</v>
      </c>
      <c r="B55" s="38" t="s">
        <v>902</v>
      </c>
      <c r="C55" s="38" t="s">
        <v>901</v>
      </c>
      <c r="D55" s="37">
        <v>111000</v>
      </c>
      <c r="E55" s="36" t="s">
        <v>454</v>
      </c>
      <c r="F55" s="149">
        <v>0</v>
      </c>
      <c r="G55" s="149">
        <v>0</v>
      </c>
      <c r="H55" s="149">
        <v>0</v>
      </c>
      <c r="I55" s="149">
        <v>0</v>
      </c>
      <c r="J55" s="149">
        <v>0</v>
      </c>
      <c r="K55" s="149">
        <v>0</v>
      </c>
      <c r="L55" s="971">
        <v>0</v>
      </c>
      <c r="M55" s="969"/>
      <c r="N55" s="149">
        <v>0</v>
      </c>
      <c r="O55" s="149">
        <v>0</v>
      </c>
      <c r="P55" s="149">
        <v>0</v>
      </c>
    </row>
    <row r="56" spans="1:16" ht="26.4" x14ac:dyDescent="0.3">
      <c r="A56" s="34">
        <v>2016</v>
      </c>
      <c r="B56" s="35" t="s">
        <v>902</v>
      </c>
      <c r="C56" s="35" t="s">
        <v>901</v>
      </c>
      <c r="D56" s="34">
        <v>217601000</v>
      </c>
      <c r="E56" s="33" t="s">
        <v>1323</v>
      </c>
      <c r="F56" s="148">
        <v>0</v>
      </c>
      <c r="G56" s="148">
        <v>0</v>
      </c>
      <c r="H56" s="148">
        <v>0</v>
      </c>
      <c r="I56" s="148">
        <v>0</v>
      </c>
      <c r="J56" s="148">
        <v>0</v>
      </c>
      <c r="K56" s="148">
        <v>0</v>
      </c>
      <c r="L56" s="970">
        <v>0</v>
      </c>
      <c r="M56" s="969"/>
      <c r="N56" s="148">
        <v>0</v>
      </c>
      <c r="O56" s="148">
        <v>0</v>
      </c>
      <c r="P56" s="148">
        <v>0</v>
      </c>
    </row>
    <row r="57" spans="1:16" ht="39.6" x14ac:dyDescent="0.3">
      <c r="A57" s="37">
        <v>2016</v>
      </c>
      <c r="B57" s="38" t="s">
        <v>902</v>
      </c>
      <c r="C57" s="38" t="s">
        <v>901</v>
      </c>
      <c r="D57" s="37">
        <v>78991000</v>
      </c>
      <c r="E57" s="36" t="s">
        <v>49</v>
      </c>
      <c r="F57" s="149">
        <v>16335.41</v>
      </c>
      <c r="G57" s="149">
        <v>0</v>
      </c>
      <c r="H57" s="149">
        <v>0</v>
      </c>
      <c r="I57" s="149">
        <v>0</v>
      </c>
      <c r="J57" s="149">
        <v>0</v>
      </c>
      <c r="K57" s="149">
        <v>0</v>
      </c>
      <c r="L57" s="971">
        <v>0</v>
      </c>
      <c r="M57" s="969"/>
      <c r="N57" s="149">
        <v>0</v>
      </c>
      <c r="O57" s="149">
        <v>0</v>
      </c>
      <c r="P57" s="149">
        <v>16335.41</v>
      </c>
    </row>
    <row r="58" spans="1:16" ht="26.4" x14ac:dyDescent="0.3">
      <c r="A58" s="34">
        <v>2016</v>
      </c>
      <c r="B58" s="35" t="s">
        <v>902</v>
      </c>
      <c r="C58" s="35" t="s">
        <v>901</v>
      </c>
      <c r="D58" s="34">
        <v>1202000</v>
      </c>
      <c r="E58" s="33" t="s">
        <v>50</v>
      </c>
      <c r="F58" s="148">
        <v>137460.96</v>
      </c>
      <c r="G58" s="148">
        <v>46740.55</v>
      </c>
      <c r="H58" s="148">
        <v>0</v>
      </c>
      <c r="I58" s="148">
        <v>0</v>
      </c>
      <c r="J58" s="148">
        <v>0</v>
      </c>
      <c r="K58" s="148">
        <v>0</v>
      </c>
      <c r="L58" s="970">
        <v>0</v>
      </c>
      <c r="M58" s="969"/>
      <c r="N58" s="148">
        <v>0</v>
      </c>
      <c r="O58" s="148">
        <v>0</v>
      </c>
      <c r="P58" s="148">
        <v>184201.51</v>
      </c>
    </row>
    <row r="59" spans="1:16" x14ac:dyDescent="0.3">
      <c r="A59" s="37">
        <v>2016</v>
      </c>
      <c r="B59" s="38" t="s">
        <v>902</v>
      </c>
      <c r="C59" s="38" t="s">
        <v>901</v>
      </c>
      <c r="D59" s="37">
        <v>74499000</v>
      </c>
      <c r="E59" s="36" t="s">
        <v>51</v>
      </c>
      <c r="F59" s="149">
        <v>0</v>
      </c>
      <c r="G59" s="149">
        <v>0</v>
      </c>
      <c r="H59" s="149">
        <v>0</v>
      </c>
      <c r="I59" s="149">
        <v>0</v>
      </c>
      <c r="J59" s="149">
        <v>0</v>
      </c>
      <c r="K59" s="149">
        <v>0</v>
      </c>
      <c r="L59" s="971">
        <v>0</v>
      </c>
      <c r="M59" s="969"/>
      <c r="N59" s="149">
        <v>0</v>
      </c>
      <c r="O59" s="149">
        <v>0</v>
      </c>
      <c r="P59" s="149">
        <v>0</v>
      </c>
    </row>
    <row r="60" spans="1:16" x14ac:dyDescent="0.3">
      <c r="A60" s="34">
        <v>2016</v>
      </c>
      <c r="B60" s="35" t="s">
        <v>902</v>
      </c>
      <c r="C60" s="35" t="s">
        <v>901</v>
      </c>
      <c r="D60" s="34">
        <v>74499001</v>
      </c>
      <c r="E60" s="33" t="s">
        <v>51</v>
      </c>
      <c r="F60" s="148">
        <v>0</v>
      </c>
      <c r="G60" s="148">
        <v>0</v>
      </c>
      <c r="H60" s="148">
        <v>0</v>
      </c>
      <c r="I60" s="148">
        <v>0</v>
      </c>
      <c r="J60" s="148">
        <v>0</v>
      </c>
      <c r="K60" s="148">
        <v>0</v>
      </c>
      <c r="L60" s="970">
        <v>0</v>
      </c>
      <c r="M60" s="969"/>
      <c r="N60" s="148">
        <v>0</v>
      </c>
      <c r="O60" s="148">
        <v>0</v>
      </c>
      <c r="P60" s="148">
        <v>0</v>
      </c>
    </row>
    <row r="61" spans="1:16" ht="26.4" x14ac:dyDescent="0.3">
      <c r="A61" s="37">
        <v>2016</v>
      </c>
      <c r="B61" s="38" t="s">
        <v>902</v>
      </c>
      <c r="C61" s="38" t="s">
        <v>901</v>
      </c>
      <c r="D61" s="37">
        <v>70447000</v>
      </c>
      <c r="E61" s="36" t="s">
        <v>52</v>
      </c>
      <c r="F61" s="149">
        <v>164655.72</v>
      </c>
      <c r="G61" s="149">
        <v>25998.27</v>
      </c>
      <c r="H61" s="149">
        <v>-9691.43</v>
      </c>
      <c r="I61" s="149">
        <v>0</v>
      </c>
      <c r="J61" s="149">
        <v>0</v>
      </c>
      <c r="K61" s="149">
        <v>0</v>
      </c>
      <c r="L61" s="971">
        <v>0</v>
      </c>
      <c r="M61" s="969"/>
      <c r="N61" s="149">
        <v>0</v>
      </c>
      <c r="O61" s="149">
        <v>0</v>
      </c>
      <c r="P61" s="149">
        <v>180962.56</v>
      </c>
    </row>
    <row r="62" spans="1:16" ht="26.4" x14ac:dyDescent="0.3">
      <c r="A62" s="34">
        <v>2016</v>
      </c>
      <c r="B62" s="35" t="s">
        <v>902</v>
      </c>
      <c r="C62" s="35" t="s">
        <v>901</v>
      </c>
      <c r="D62" s="34">
        <v>20453000</v>
      </c>
      <c r="E62" s="33" t="s">
        <v>53</v>
      </c>
      <c r="F62" s="148">
        <v>35558.379999999997</v>
      </c>
      <c r="G62" s="148">
        <v>17658.13</v>
      </c>
      <c r="H62" s="148">
        <v>0</v>
      </c>
      <c r="I62" s="148">
        <v>0</v>
      </c>
      <c r="J62" s="148">
        <v>0</v>
      </c>
      <c r="K62" s="148">
        <v>0</v>
      </c>
      <c r="L62" s="970">
        <v>0</v>
      </c>
      <c r="M62" s="969"/>
      <c r="N62" s="148">
        <v>0</v>
      </c>
      <c r="O62" s="148">
        <v>0</v>
      </c>
      <c r="P62" s="148">
        <v>53216.51</v>
      </c>
    </row>
    <row r="63" spans="1:16" ht="26.4" x14ac:dyDescent="0.3">
      <c r="A63" s="37">
        <v>2016</v>
      </c>
      <c r="B63" s="38" t="s">
        <v>902</v>
      </c>
      <c r="C63" s="38" t="s">
        <v>901</v>
      </c>
      <c r="D63" s="37">
        <v>130231000</v>
      </c>
      <c r="E63" s="36" t="s">
        <v>55</v>
      </c>
      <c r="F63" s="149">
        <v>72777.440000000002</v>
      </c>
      <c r="G63" s="149">
        <v>13637.86</v>
      </c>
      <c r="H63" s="149">
        <v>0</v>
      </c>
      <c r="I63" s="149">
        <v>0</v>
      </c>
      <c r="J63" s="149">
        <v>0</v>
      </c>
      <c r="K63" s="149">
        <v>0</v>
      </c>
      <c r="L63" s="971">
        <v>0</v>
      </c>
      <c r="M63" s="969"/>
      <c r="N63" s="149">
        <v>0</v>
      </c>
      <c r="O63" s="149">
        <v>0</v>
      </c>
      <c r="P63" s="149">
        <v>86415.3</v>
      </c>
    </row>
    <row r="64" spans="1:16" ht="26.4" x14ac:dyDescent="0.3">
      <c r="A64" s="34">
        <v>2016</v>
      </c>
      <c r="B64" s="35" t="s">
        <v>902</v>
      </c>
      <c r="C64" s="35" t="s">
        <v>901</v>
      </c>
      <c r="D64" s="34">
        <v>78207000</v>
      </c>
      <c r="E64" s="33" t="s">
        <v>56</v>
      </c>
      <c r="F64" s="148">
        <v>150093.76999999999</v>
      </c>
      <c r="G64" s="148">
        <v>20862.8</v>
      </c>
      <c r="H64" s="148">
        <v>0</v>
      </c>
      <c r="I64" s="148">
        <v>0</v>
      </c>
      <c r="J64" s="148">
        <v>0</v>
      </c>
      <c r="K64" s="148">
        <v>0</v>
      </c>
      <c r="L64" s="970">
        <v>0</v>
      </c>
      <c r="M64" s="969"/>
      <c r="N64" s="148">
        <v>0</v>
      </c>
      <c r="O64" s="148">
        <v>0</v>
      </c>
      <c r="P64" s="148">
        <v>170956.57</v>
      </c>
    </row>
    <row r="65" spans="1:16" ht="26.4" x14ac:dyDescent="0.3">
      <c r="A65" s="37">
        <v>2016</v>
      </c>
      <c r="B65" s="38" t="s">
        <v>902</v>
      </c>
      <c r="C65" s="38" t="s">
        <v>901</v>
      </c>
      <c r="D65" s="37">
        <v>78250000</v>
      </c>
      <c r="E65" s="36" t="s">
        <v>56</v>
      </c>
      <c r="F65" s="149">
        <v>123105.63</v>
      </c>
      <c r="G65" s="149">
        <v>24915.49</v>
      </c>
      <c r="H65" s="149">
        <v>-10098.61</v>
      </c>
      <c r="I65" s="149">
        <v>0</v>
      </c>
      <c r="J65" s="149">
        <v>0</v>
      </c>
      <c r="K65" s="149">
        <v>0</v>
      </c>
      <c r="L65" s="971">
        <v>0</v>
      </c>
      <c r="M65" s="969"/>
      <c r="N65" s="149">
        <v>0</v>
      </c>
      <c r="O65" s="149">
        <v>0</v>
      </c>
      <c r="P65" s="149">
        <v>137922.51</v>
      </c>
    </row>
    <row r="66" spans="1:16" ht="26.4" x14ac:dyDescent="0.3">
      <c r="A66" s="34">
        <v>2016</v>
      </c>
      <c r="B66" s="35" t="s">
        <v>902</v>
      </c>
      <c r="C66" s="35" t="s">
        <v>901</v>
      </c>
      <c r="D66" s="34">
        <v>78546000</v>
      </c>
      <c r="E66" s="33" t="s">
        <v>56</v>
      </c>
      <c r="F66" s="148">
        <v>146502.04</v>
      </c>
      <c r="G66" s="148">
        <v>18713.38</v>
      </c>
      <c r="H66" s="148">
        <v>0</v>
      </c>
      <c r="I66" s="148">
        <v>0</v>
      </c>
      <c r="J66" s="148">
        <v>0</v>
      </c>
      <c r="K66" s="148">
        <v>0</v>
      </c>
      <c r="L66" s="970">
        <v>0</v>
      </c>
      <c r="M66" s="969"/>
      <c r="N66" s="148">
        <v>-7356.89</v>
      </c>
      <c r="O66" s="148">
        <v>0</v>
      </c>
      <c r="P66" s="148">
        <v>157858.53</v>
      </c>
    </row>
    <row r="67" spans="1:16" ht="26.4" x14ac:dyDescent="0.3">
      <c r="A67" s="37">
        <v>2016</v>
      </c>
      <c r="B67" s="38" t="s">
        <v>902</v>
      </c>
      <c r="C67" s="38" t="s">
        <v>901</v>
      </c>
      <c r="D67" s="37">
        <v>118711000</v>
      </c>
      <c r="E67" s="36" t="s">
        <v>57</v>
      </c>
      <c r="F67" s="149">
        <v>73684.89</v>
      </c>
      <c r="G67" s="149">
        <v>1181.55</v>
      </c>
      <c r="H67" s="149">
        <v>-347.85</v>
      </c>
      <c r="I67" s="149">
        <v>0</v>
      </c>
      <c r="J67" s="149">
        <v>0</v>
      </c>
      <c r="K67" s="149">
        <v>0</v>
      </c>
      <c r="L67" s="971">
        <v>0</v>
      </c>
      <c r="M67" s="969"/>
      <c r="N67" s="149">
        <v>0</v>
      </c>
      <c r="O67" s="149">
        <v>0</v>
      </c>
      <c r="P67" s="149">
        <v>74518.59</v>
      </c>
    </row>
    <row r="68" spans="1:16" ht="26.4" x14ac:dyDescent="0.3">
      <c r="A68" s="34">
        <v>2016</v>
      </c>
      <c r="B68" s="35" t="s">
        <v>902</v>
      </c>
      <c r="C68" s="35" t="s">
        <v>901</v>
      </c>
      <c r="D68" s="34">
        <v>70444000</v>
      </c>
      <c r="E68" s="33" t="s">
        <v>58</v>
      </c>
      <c r="F68" s="148">
        <v>1478636.99</v>
      </c>
      <c r="G68" s="148">
        <v>181041.61</v>
      </c>
      <c r="H68" s="148">
        <v>0</v>
      </c>
      <c r="I68" s="148">
        <v>0</v>
      </c>
      <c r="J68" s="148">
        <v>0</v>
      </c>
      <c r="K68" s="148">
        <v>0</v>
      </c>
      <c r="L68" s="970">
        <v>0</v>
      </c>
      <c r="M68" s="969"/>
      <c r="N68" s="148">
        <v>0</v>
      </c>
      <c r="O68" s="148">
        <v>0</v>
      </c>
      <c r="P68" s="148">
        <v>1659678.6</v>
      </c>
    </row>
    <row r="69" spans="1:16" ht="26.4" x14ac:dyDescent="0.3">
      <c r="A69" s="37">
        <v>2016</v>
      </c>
      <c r="B69" s="38" t="s">
        <v>902</v>
      </c>
      <c r="C69" s="38" t="s">
        <v>901</v>
      </c>
      <c r="D69" s="37">
        <v>78542000</v>
      </c>
      <c r="E69" s="36" t="s">
        <v>702</v>
      </c>
      <c r="F69" s="149">
        <v>59252</v>
      </c>
      <c r="G69" s="149">
        <v>8020.72</v>
      </c>
      <c r="H69" s="149">
        <v>0</v>
      </c>
      <c r="I69" s="149">
        <v>0</v>
      </c>
      <c r="J69" s="149">
        <v>0</v>
      </c>
      <c r="K69" s="149">
        <v>0</v>
      </c>
      <c r="L69" s="971">
        <v>0</v>
      </c>
      <c r="M69" s="969"/>
      <c r="N69" s="149">
        <v>0</v>
      </c>
      <c r="O69" s="149">
        <v>0</v>
      </c>
      <c r="P69" s="149">
        <v>67272.72</v>
      </c>
    </row>
    <row r="70" spans="1:16" ht="26.4" x14ac:dyDescent="0.3">
      <c r="A70" s="34">
        <v>2016</v>
      </c>
      <c r="B70" s="35" t="s">
        <v>902</v>
      </c>
      <c r="C70" s="35" t="s">
        <v>901</v>
      </c>
      <c r="D70" s="34">
        <v>211001000</v>
      </c>
      <c r="E70" s="33" t="s">
        <v>60</v>
      </c>
      <c r="F70" s="148">
        <v>0</v>
      </c>
      <c r="G70" s="148">
        <v>0</v>
      </c>
      <c r="H70" s="148">
        <v>0</v>
      </c>
      <c r="I70" s="148">
        <v>0</v>
      </c>
      <c r="J70" s="148">
        <v>0</v>
      </c>
      <c r="K70" s="148">
        <v>0</v>
      </c>
      <c r="L70" s="970">
        <v>0</v>
      </c>
      <c r="M70" s="969"/>
      <c r="N70" s="148">
        <v>0</v>
      </c>
      <c r="O70" s="148">
        <v>0</v>
      </c>
      <c r="P70" s="148">
        <v>0</v>
      </c>
    </row>
    <row r="71" spans="1:16" ht="26.4" x14ac:dyDescent="0.3">
      <c r="A71" s="37">
        <v>2016</v>
      </c>
      <c r="B71" s="38" t="s">
        <v>902</v>
      </c>
      <c r="C71" s="38" t="s">
        <v>901</v>
      </c>
      <c r="D71" s="37">
        <v>100240000</v>
      </c>
      <c r="E71" s="36" t="s">
        <v>61</v>
      </c>
      <c r="F71" s="149">
        <v>1548477.36</v>
      </c>
      <c r="G71" s="149">
        <v>29670.22</v>
      </c>
      <c r="H71" s="149">
        <v>0</v>
      </c>
      <c r="I71" s="149">
        <v>0</v>
      </c>
      <c r="J71" s="149">
        <v>0</v>
      </c>
      <c r="K71" s="149">
        <v>0</v>
      </c>
      <c r="L71" s="971">
        <v>0</v>
      </c>
      <c r="M71" s="969"/>
      <c r="N71" s="149">
        <v>0</v>
      </c>
      <c r="O71" s="149">
        <v>0</v>
      </c>
      <c r="P71" s="149">
        <v>1578147.58</v>
      </c>
    </row>
    <row r="72" spans="1:16" x14ac:dyDescent="0.3">
      <c r="A72" s="34">
        <v>2016</v>
      </c>
      <c r="B72" s="35" t="s">
        <v>902</v>
      </c>
      <c r="C72" s="35" t="s">
        <v>901</v>
      </c>
      <c r="D72" s="34">
        <v>130220000</v>
      </c>
      <c r="E72" s="33" t="s">
        <v>62</v>
      </c>
      <c r="F72" s="148">
        <v>37009.21</v>
      </c>
      <c r="G72" s="148">
        <v>4153.8</v>
      </c>
      <c r="H72" s="148">
        <v>-5928.87</v>
      </c>
      <c r="I72" s="148">
        <v>0</v>
      </c>
      <c r="J72" s="148">
        <v>0</v>
      </c>
      <c r="K72" s="148">
        <v>0</v>
      </c>
      <c r="L72" s="970">
        <v>0</v>
      </c>
      <c r="M72" s="969"/>
      <c r="N72" s="148">
        <v>0</v>
      </c>
      <c r="O72" s="148">
        <v>0</v>
      </c>
      <c r="P72" s="148">
        <v>35234.14</v>
      </c>
    </row>
    <row r="73" spans="1:16" ht="26.4" x14ac:dyDescent="0.3">
      <c r="A73" s="37">
        <v>2016</v>
      </c>
      <c r="B73" s="38" t="s">
        <v>902</v>
      </c>
      <c r="C73" s="38" t="s">
        <v>901</v>
      </c>
      <c r="D73" s="37">
        <v>78988000</v>
      </c>
      <c r="E73" s="36" t="s">
        <v>63</v>
      </c>
      <c r="F73" s="149">
        <v>95828.87</v>
      </c>
      <c r="G73" s="149">
        <v>0</v>
      </c>
      <c r="H73" s="149">
        <v>0</v>
      </c>
      <c r="I73" s="149">
        <v>0</v>
      </c>
      <c r="J73" s="149">
        <v>0</v>
      </c>
      <c r="K73" s="149">
        <v>0</v>
      </c>
      <c r="L73" s="971">
        <v>0</v>
      </c>
      <c r="M73" s="969"/>
      <c r="N73" s="149">
        <v>0</v>
      </c>
      <c r="O73" s="149">
        <v>0</v>
      </c>
      <c r="P73" s="149">
        <v>95828.87</v>
      </c>
    </row>
    <row r="74" spans="1:16" ht="26.4" x14ac:dyDescent="0.3">
      <c r="A74" s="34">
        <v>2016</v>
      </c>
      <c r="B74" s="35" t="s">
        <v>902</v>
      </c>
      <c r="C74" s="35" t="s">
        <v>901</v>
      </c>
      <c r="D74" s="34">
        <v>78987000</v>
      </c>
      <c r="E74" s="33" t="s">
        <v>64</v>
      </c>
      <c r="F74" s="148">
        <v>143743.62</v>
      </c>
      <c r="G74" s="148">
        <v>0</v>
      </c>
      <c r="H74" s="148">
        <v>0</v>
      </c>
      <c r="I74" s="148">
        <v>0</v>
      </c>
      <c r="J74" s="148">
        <v>0</v>
      </c>
      <c r="K74" s="148">
        <v>0</v>
      </c>
      <c r="L74" s="970">
        <v>0</v>
      </c>
      <c r="M74" s="969"/>
      <c r="N74" s="148">
        <v>0</v>
      </c>
      <c r="O74" s="148">
        <v>0</v>
      </c>
      <c r="P74" s="148">
        <v>143743.62</v>
      </c>
    </row>
    <row r="75" spans="1:16" ht="26.4" x14ac:dyDescent="0.3">
      <c r="A75" s="37">
        <v>2016</v>
      </c>
      <c r="B75" s="38" t="s">
        <v>902</v>
      </c>
      <c r="C75" s="38" t="s">
        <v>901</v>
      </c>
      <c r="D75" s="37">
        <v>70431000</v>
      </c>
      <c r="E75" s="36" t="s">
        <v>65</v>
      </c>
      <c r="F75" s="149">
        <v>2380094.4500000002</v>
      </c>
      <c r="G75" s="149">
        <v>237882.75</v>
      </c>
      <c r="H75" s="149">
        <v>0</v>
      </c>
      <c r="I75" s="149">
        <v>0</v>
      </c>
      <c r="J75" s="149">
        <v>0</v>
      </c>
      <c r="K75" s="149">
        <v>0</v>
      </c>
      <c r="L75" s="971">
        <v>0</v>
      </c>
      <c r="M75" s="969"/>
      <c r="N75" s="149">
        <v>0</v>
      </c>
      <c r="O75" s="149">
        <v>0</v>
      </c>
      <c r="P75" s="149">
        <v>2617977.2000000002</v>
      </c>
    </row>
    <row r="76" spans="1:16" ht="26.4" x14ac:dyDescent="0.3">
      <c r="A76" s="34">
        <v>2016</v>
      </c>
      <c r="B76" s="35" t="s">
        <v>902</v>
      </c>
      <c r="C76" s="35" t="s">
        <v>901</v>
      </c>
      <c r="D76" s="34">
        <v>130326000</v>
      </c>
      <c r="E76" s="33" t="s">
        <v>66</v>
      </c>
      <c r="F76" s="148">
        <v>110229.75999999999</v>
      </c>
      <c r="G76" s="148">
        <v>14548.43</v>
      </c>
      <c r="H76" s="148">
        <v>-11446.59</v>
      </c>
      <c r="I76" s="148">
        <v>0</v>
      </c>
      <c r="J76" s="148">
        <v>0</v>
      </c>
      <c r="K76" s="148">
        <v>0</v>
      </c>
      <c r="L76" s="970">
        <v>0</v>
      </c>
      <c r="M76" s="969"/>
      <c r="N76" s="148">
        <v>0</v>
      </c>
      <c r="O76" s="148">
        <v>0</v>
      </c>
      <c r="P76" s="148">
        <v>113331.6</v>
      </c>
    </row>
    <row r="77" spans="1:16" ht="26.4" x14ac:dyDescent="0.3">
      <c r="A77" s="37">
        <v>2016</v>
      </c>
      <c r="B77" s="38" t="s">
        <v>902</v>
      </c>
      <c r="C77" s="38" t="s">
        <v>901</v>
      </c>
      <c r="D77" s="37">
        <v>78972000</v>
      </c>
      <c r="E77" s="36" t="s">
        <v>791</v>
      </c>
      <c r="F77" s="149">
        <v>141626.9</v>
      </c>
      <c r="G77" s="149">
        <v>15918.22</v>
      </c>
      <c r="H77" s="149">
        <v>0</v>
      </c>
      <c r="I77" s="149">
        <v>0</v>
      </c>
      <c r="J77" s="149">
        <v>0</v>
      </c>
      <c r="K77" s="149">
        <v>0</v>
      </c>
      <c r="L77" s="971">
        <v>0</v>
      </c>
      <c r="M77" s="969"/>
      <c r="N77" s="149">
        <v>0</v>
      </c>
      <c r="O77" s="149">
        <v>0</v>
      </c>
      <c r="P77" s="149">
        <v>157545.12</v>
      </c>
    </row>
    <row r="78" spans="1:16" ht="26.4" x14ac:dyDescent="0.3">
      <c r="A78" s="34">
        <v>2016</v>
      </c>
      <c r="B78" s="35" t="s">
        <v>902</v>
      </c>
      <c r="C78" s="35" t="s">
        <v>901</v>
      </c>
      <c r="D78" s="34">
        <v>20209000</v>
      </c>
      <c r="E78" s="33" t="s">
        <v>68</v>
      </c>
      <c r="F78" s="148">
        <v>199070.01</v>
      </c>
      <c r="G78" s="148">
        <v>11527.59</v>
      </c>
      <c r="H78" s="148">
        <v>0</v>
      </c>
      <c r="I78" s="148">
        <v>0</v>
      </c>
      <c r="J78" s="148">
        <v>0</v>
      </c>
      <c r="K78" s="148">
        <v>0</v>
      </c>
      <c r="L78" s="970">
        <v>0</v>
      </c>
      <c r="M78" s="969"/>
      <c r="N78" s="148">
        <v>0</v>
      </c>
      <c r="O78" s="148">
        <v>0</v>
      </c>
      <c r="P78" s="148">
        <v>210597.6</v>
      </c>
    </row>
    <row r="79" spans="1:16" ht="26.4" x14ac:dyDescent="0.3">
      <c r="A79" s="37">
        <v>2016</v>
      </c>
      <c r="B79" s="38" t="s">
        <v>902</v>
      </c>
      <c r="C79" s="38" t="s">
        <v>901</v>
      </c>
      <c r="D79" s="37">
        <v>150576000</v>
      </c>
      <c r="E79" s="36" t="s">
        <v>69</v>
      </c>
      <c r="F79" s="149">
        <v>145458.41</v>
      </c>
      <c r="G79" s="149">
        <v>10649.65</v>
      </c>
      <c r="H79" s="149">
        <v>0</v>
      </c>
      <c r="I79" s="149">
        <v>0</v>
      </c>
      <c r="J79" s="149">
        <v>0</v>
      </c>
      <c r="K79" s="149">
        <v>0</v>
      </c>
      <c r="L79" s="971">
        <v>0</v>
      </c>
      <c r="M79" s="969"/>
      <c r="N79" s="149">
        <v>0</v>
      </c>
      <c r="O79" s="149">
        <v>0</v>
      </c>
      <c r="P79" s="149">
        <v>156108.06</v>
      </c>
    </row>
    <row r="80" spans="1:16" x14ac:dyDescent="0.3">
      <c r="A80" s="34">
        <v>2016</v>
      </c>
      <c r="B80" s="35" t="s">
        <v>902</v>
      </c>
      <c r="C80" s="35" t="s">
        <v>901</v>
      </c>
      <c r="D80" s="34">
        <v>20202000</v>
      </c>
      <c r="E80" s="33" t="s">
        <v>71</v>
      </c>
      <c r="F80" s="148">
        <v>334682.32</v>
      </c>
      <c r="G80" s="148">
        <v>41873.800000000003</v>
      </c>
      <c r="H80" s="148">
        <v>0</v>
      </c>
      <c r="I80" s="148">
        <v>0</v>
      </c>
      <c r="J80" s="148">
        <v>0</v>
      </c>
      <c r="K80" s="148">
        <v>0</v>
      </c>
      <c r="L80" s="970">
        <v>0</v>
      </c>
      <c r="M80" s="969"/>
      <c r="N80" s="148">
        <v>0</v>
      </c>
      <c r="O80" s="148">
        <v>0</v>
      </c>
      <c r="P80" s="148">
        <v>376556.12</v>
      </c>
    </row>
    <row r="81" spans="1:16" ht="26.4" x14ac:dyDescent="0.3">
      <c r="A81" s="37">
        <v>2016</v>
      </c>
      <c r="B81" s="38" t="s">
        <v>902</v>
      </c>
      <c r="C81" s="38" t="s">
        <v>901</v>
      </c>
      <c r="D81" s="37">
        <v>90232000</v>
      </c>
      <c r="E81" s="36" t="s">
        <v>806</v>
      </c>
      <c r="F81" s="149">
        <v>855929.23</v>
      </c>
      <c r="G81" s="149">
        <v>100768.21</v>
      </c>
      <c r="H81" s="149">
        <v>0</v>
      </c>
      <c r="I81" s="149">
        <v>0</v>
      </c>
      <c r="J81" s="149">
        <v>0</v>
      </c>
      <c r="K81" s="149">
        <v>0</v>
      </c>
      <c r="L81" s="971">
        <v>0</v>
      </c>
      <c r="M81" s="969"/>
      <c r="N81" s="149">
        <v>0</v>
      </c>
      <c r="O81" s="149">
        <v>0</v>
      </c>
      <c r="P81" s="149">
        <v>956697.44</v>
      </c>
    </row>
    <row r="82" spans="1:16" x14ac:dyDescent="0.3">
      <c r="A82" s="34">
        <v>2016</v>
      </c>
      <c r="B82" s="35" t="s">
        <v>902</v>
      </c>
      <c r="C82" s="35" t="s">
        <v>901</v>
      </c>
      <c r="D82" s="34">
        <v>78745000</v>
      </c>
      <c r="E82" s="33" t="s">
        <v>74</v>
      </c>
      <c r="F82" s="148">
        <v>52139.83</v>
      </c>
      <c r="G82" s="148">
        <v>0.63</v>
      </c>
      <c r="H82" s="148">
        <v>0</v>
      </c>
      <c r="I82" s="148">
        <v>0</v>
      </c>
      <c r="J82" s="148">
        <v>0</v>
      </c>
      <c r="K82" s="148">
        <v>0</v>
      </c>
      <c r="L82" s="970">
        <v>0</v>
      </c>
      <c r="M82" s="969"/>
      <c r="N82" s="148">
        <v>0</v>
      </c>
      <c r="O82" s="148">
        <v>0</v>
      </c>
      <c r="P82" s="148">
        <v>52140.46</v>
      </c>
    </row>
    <row r="83" spans="1:16" ht="26.4" x14ac:dyDescent="0.3">
      <c r="A83" s="37">
        <v>2016</v>
      </c>
      <c r="B83" s="38" t="s">
        <v>902</v>
      </c>
      <c r="C83" s="38" t="s">
        <v>901</v>
      </c>
      <c r="D83" s="37">
        <v>50316000</v>
      </c>
      <c r="E83" s="36" t="s">
        <v>537</v>
      </c>
      <c r="F83" s="149">
        <v>13625.75</v>
      </c>
      <c r="G83" s="149">
        <v>0</v>
      </c>
      <c r="H83" s="149">
        <v>0</v>
      </c>
      <c r="I83" s="149">
        <v>0</v>
      </c>
      <c r="J83" s="149">
        <v>0</v>
      </c>
      <c r="K83" s="149">
        <v>0</v>
      </c>
      <c r="L83" s="971">
        <v>0</v>
      </c>
      <c r="M83" s="969"/>
      <c r="N83" s="149">
        <v>0</v>
      </c>
      <c r="O83" s="149">
        <v>0</v>
      </c>
      <c r="P83" s="149">
        <v>13625.75</v>
      </c>
    </row>
    <row r="84" spans="1:16" ht="26.4" x14ac:dyDescent="0.3">
      <c r="A84" s="34">
        <v>2016</v>
      </c>
      <c r="B84" s="35" t="s">
        <v>902</v>
      </c>
      <c r="C84" s="35" t="s">
        <v>901</v>
      </c>
      <c r="D84" s="34">
        <v>150426000</v>
      </c>
      <c r="E84" s="33" t="s">
        <v>75</v>
      </c>
      <c r="F84" s="148">
        <v>17460.63</v>
      </c>
      <c r="G84" s="148">
        <v>250.6</v>
      </c>
      <c r="H84" s="148">
        <v>0</v>
      </c>
      <c r="I84" s="148">
        <v>0</v>
      </c>
      <c r="J84" s="148">
        <v>0</v>
      </c>
      <c r="K84" s="148">
        <v>0</v>
      </c>
      <c r="L84" s="970">
        <v>0</v>
      </c>
      <c r="M84" s="969"/>
      <c r="N84" s="148">
        <v>0</v>
      </c>
      <c r="O84" s="148">
        <v>0</v>
      </c>
      <c r="P84" s="148">
        <v>17711.23</v>
      </c>
    </row>
    <row r="85" spans="1:16" x14ac:dyDescent="0.3">
      <c r="A85" s="37">
        <v>2016</v>
      </c>
      <c r="B85" s="38" t="s">
        <v>902</v>
      </c>
      <c r="C85" s="38" t="s">
        <v>901</v>
      </c>
      <c r="D85" s="37">
        <v>20214000</v>
      </c>
      <c r="E85" s="36" t="s">
        <v>76</v>
      </c>
      <c r="F85" s="149">
        <v>26886.71</v>
      </c>
      <c r="G85" s="149">
        <v>3242.15</v>
      </c>
      <c r="H85" s="149">
        <v>-3124.11</v>
      </c>
      <c r="I85" s="149">
        <v>0</v>
      </c>
      <c r="J85" s="149">
        <v>0</v>
      </c>
      <c r="K85" s="149">
        <v>0</v>
      </c>
      <c r="L85" s="971">
        <v>0</v>
      </c>
      <c r="M85" s="969"/>
      <c r="N85" s="149">
        <v>0</v>
      </c>
      <c r="O85" s="149">
        <v>0</v>
      </c>
      <c r="P85" s="149">
        <v>27004.75</v>
      </c>
    </row>
    <row r="86" spans="1:16" ht="39.6" x14ac:dyDescent="0.3">
      <c r="A86" s="34">
        <v>2016</v>
      </c>
      <c r="B86" s="35" t="s">
        <v>902</v>
      </c>
      <c r="C86" s="35" t="s">
        <v>901</v>
      </c>
      <c r="D86" s="34">
        <v>78613000</v>
      </c>
      <c r="E86" s="33" t="s">
        <v>77</v>
      </c>
      <c r="F86" s="148">
        <v>99384.95</v>
      </c>
      <c r="G86" s="148">
        <v>0</v>
      </c>
      <c r="H86" s="148">
        <v>0</v>
      </c>
      <c r="I86" s="148">
        <v>0</v>
      </c>
      <c r="J86" s="148">
        <v>0</v>
      </c>
      <c r="K86" s="148">
        <v>0</v>
      </c>
      <c r="L86" s="970">
        <v>0</v>
      </c>
      <c r="M86" s="969"/>
      <c r="N86" s="148">
        <v>0</v>
      </c>
      <c r="O86" s="148">
        <v>0</v>
      </c>
      <c r="P86" s="148">
        <v>99384.95</v>
      </c>
    </row>
    <row r="87" spans="1:16" ht="26.4" x14ac:dyDescent="0.3">
      <c r="A87" s="37">
        <v>2016</v>
      </c>
      <c r="B87" s="38" t="s">
        <v>902</v>
      </c>
      <c r="C87" s="38" t="s">
        <v>901</v>
      </c>
      <c r="D87" s="37">
        <v>78746000</v>
      </c>
      <c r="E87" s="36" t="s">
        <v>750</v>
      </c>
      <c r="F87" s="149">
        <v>225879.97</v>
      </c>
      <c r="G87" s="149">
        <v>36142.76</v>
      </c>
      <c r="H87" s="149">
        <v>0</v>
      </c>
      <c r="I87" s="149">
        <v>0</v>
      </c>
      <c r="J87" s="149">
        <v>0</v>
      </c>
      <c r="K87" s="149">
        <v>0</v>
      </c>
      <c r="L87" s="971">
        <v>0</v>
      </c>
      <c r="M87" s="969"/>
      <c r="N87" s="149">
        <v>-31422.13</v>
      </c>
      <c r="O87" s="149">
        <v>0</v>
      </c>
      <c r="P87" s="149">
        <v>230600.6</v>
      </c>
    </row>
    <row r="88" spans="1:16" ht="26.4" x14ac:dyDescent="0.3">
      <c r="A88" s="34">
        <v>2016</v>
      </c>
      <c r="B88" s="35" t="s">
        <v>902</v>
      </c>
      <c r="C88" s="35" t="s">
        <v>901</v>
      </c>
      <c r="D88" s="34">
        <v>70433000</v>
      </c>
      <c r="E88" s="33" t="s">
        <v>79</v>
      </c>
      <c r="F88" s="148">
        <v>1091685.77</v>
      </c>
      <c r="G88" s="148">
        <v>139149.04</v>
      </c>
      <c r="H88" s="148">
        <v>0</v>
      </c>
      <c r="I88" s="148">
        <v>0</v>
      </c>
      <c r="J88" s="148">
        <v>0</v>
      </c>
      <c r="K88" s="148">
        <v>0</v>
      </c>
      <c r="L88" s="970">
        <v>0</v>
      </c>
      <c r="M88" s="969"/>
      <c r="N88" s="148">
        <v>0</v>
      </c>
      <c r="O88" s="148">
        <v>0</v>
      </c>
      <c r="P88" s="148">
        <v>1230834.81</v>
      </c>
    </row>
    <row r="89" spans="1:16" ht="26.4" x14ac:dyDescent="0.3">
      <c r="A89" s="37">
        <v>2016</v>
      </c>
      <c r="B89" s="38" t="s">
        <v>902</v>
      </c>
      <c r="C89" s="38" t="s">
        <v>901</v>
      </c>
      <c r="D89" s="37">
        <v>70501000</v>
      </c>
      <c r="E89" s="36" t="s">
        <v>80</v>
      </c>
      <c r="F89" s="149">
        <v>544807.92000000004</v>
      </c>
      <c r="G89" s="149">
        <v>0.24</v>
      </c>
      <c r="H89" s="149">
        <v>0</v>
      </c>
      <c r="I89" s="149">
        <v>0</v>
      </c>
      <c r="J89" s="149">
        <v>0</v>
      </c>
      <c r="K89" s="149">
        <v>0</v>
      </c>
      <c r="L89" s="971">
        <v>0</v>
      </c>
      <c r="M89" s="969"/>
      <c r="N89" s="149">
        <v>0</v>
      </c>
      <c r="O89" s="149">
        <v>0</v>
      </c>
      <c r="P89" s="149">
        <v>544808.16</v>
      </c>
    </row>
    <row r="90" spans="1:16" ht="26.4" x14ac:dyDescent="0.3">
      <c r="A90" s="34">
        <v>2016</v>
      </c>
      <c r="B90" s="35" t="s">
        <v>902</v>
      </c>
      <c r="C90" s="35" t="s">
        <v>901</v>
      </c>
      <c r="D90" s="34">
        <v>80415000</v>
      </c>
      <c r="E90" s="33" t="s">
        <v>81</v>
      </c>
      <c r="F90" s="148">
        <v>1781383.56</v>
      </c>
      <c r="G90" s="148">
        <v>152098.65</v>
      </c>
      <c r="H90" s="148">
        <v>0</v>
      </c>
      <c r="I90" s="148">
        <v>0</v>
      </c>
      <c r="J90" s="148">
        <v>0</v>
      </c>
      <c r="K90" s="148">
        <v>0</v>
      </c>
      <c r="L90" s="970">
        <v>0</v>
      </c>
      <c r="M90" s="969"/>
      <c r="N90" s="148">
        <v>0</v>
      </c>
      <c r="O90" s="148">
        <v>0</v>
      </c>
      <c r="P90" s="148">
        <v>1933482.21</v>
      </c>
    </row>
    <row r="91" spans="1:16" ht="52.8" x14ac:dyDescent="0.3">
      <c r="A91" s="37">
        <v>2016</v>
      </c>
      <c r="B91" s="38" t="s">
        <v>902</v>
      </c>
      <c r="C91" s="38" t="s">
        <v>901</v>
      </c>
      <c r="D91" s="37">
        <v>78565000</v>
      </c>
      <c r="E91" s="36" t="s">
        <v>713</v>
      </c>
      <c r="F91" s="149">
        <v>92413.23</v>
      </c>
      <c r="G91" s="149">
        <v>0</v>
      </c>
      <c r="H91" s="149">
        <v>0</v>
      </c>
      <c r="I91" s="149">
        <v>0</v>
      </c>
      <c r="J91" s="149">
        <v>0</v>
      </c>
      <c r="K91" s="149">
        <v>0</v>
      </c>
      <c r="L91" s="971">
        <v>0</v>
      </c>
      <c r="M91" s="969"/>
      <c r="N91" s="149">
        <v>0</v>
      </c>
      <c r="O91" s="149">
        <v>0</v>
      </c>
      <c r="P91" s="149">
        <v>92413.23</v>
      </c>
    </row>
    <row r="92" spans="1:16" ht="52.8" x14ac:dyDescent="0.3">
      <c r="A92" s="34">
        <v>2016</v>
      </c>
      <c r="B92" s="35" t="s">
        <v>902</v>
      </c>
      <c r="C92" s="35" t="s">
        <v>901</v>
      </c>
      <c r="D92" s="34">
        <v>78564000</v>
      </c>
      <c r="E92" s="33" t="s">
        <v>712</v>
      </c>
      <c r="F92" s="148">
        <v>172030.69</v>
      </c>
      <c r="G92" s="148">
        <v>0</v>
      </c>
      <c r="H92" s="148">
        <v>0</v>
      </c>
      <c r="I92" s="148">
        <v>0</v>
      </c>
      <c r="J92" s="148">
        <v>0</v>
      </c>
      <c r="K92" s="148">
        <v>0</v>
      </c>
      <c r="L92" s="970">
        <v>0</v>
      </c>
      <c r="M92" s="969"/>
      <c r="N92" s="148">
        <v>0</v>
      </c>
      <c r="O92" s="148">
        <v>0</v>
      </c>
      <c r="P92" s="148">
        <v>172030.69</v>
      </c>
    </row>
    <row r="93" spans="1:16" ht="39.6" x14ac:dyDescent="0.3">
      <c r="A93" s="37">
        <v>2016</v>
      </c>
      <c r="B93" s="38" t="s">
        <v>902</v>
      </c>
      <c r="C93" s="38" t="s">
        <v>901</v>
      </c>
      <c r="D93" s="37">
        <v>98749000</v>
      </c>
      <c r="E93" s="36" t="s">
        <v>810</v>
      </c>
      <c r="F93" s="149">
        <v>87192.66</v>
      </c>
      <c r="G93" s="149">
        <v>0</v>
      </c>
      <c r="H93" s="149">
        <v>0</v>
      </c>
      <c r="I93" s="149">
        <v>0</v>
      </c>
      <c r="J93" s="149">
        <v>0</v>
      </c>
      <c r="K93" s="149">
        <v>0</v>
      </c>
      <c r="L93" s="971">
        <v>0</v>
      </c>
      <c r="M93" s="969"/>
      <c r="N93" s="149">
        <v>0</v>
      </c>
      <c r="O93" s="149">
        <v>0</v>
      </c>
      <c r="P93" s="149">
        <v>87192.66</v>
      </c>
    </row>
    <row r="94" spans="1:16" x14ac:dyDescent="0.3">
      <c r="A94" s="34">
        <v>2016</v>
      </c>
      <c r="B94" s="35" t="s">
        <v>902</v>
      </c>
      <c r="C94" s="35" t="s">
        <v>901</v>
      </c>
      <c r="D94" s="34">
        <v>78909000</v>
      </c>
      <c r="E94" s="33" t="s">
        <v>85</v>
      </c>
      <c r="F94" s="148">
        <v>198249.08</v>
      </c>
      <c r="G94" s="148">
        <v>114688.41</v>
      </c>
      <c r="H94" s="148">
        <v>-41000</v>
      </c>
      <c r="I94" s="148">
        <v>0</v>
      </c>
      <c r="J94" s="148">
        <v>0</v>
      </c>
      <c r="K94" s="148">
        <v>0</v>
      </c>
      <c r="L94" s="970">
        <v>0</v>
      </c>
      <c r="M94" s="969"/>
      <c r="N94" s="148">
        <v>0</v>
      </c>
      <c r="O94" s="148">
        <v>-73.12</v>
      </c>
      <c r="P94" s="148">
        <v>271864.37</v>
      </c>
    </row>
    <row r="95" spans="1:16" ht="26.4" x14ac:dyDescent="0.3">
      <c r="A95" s="37">
        <v>2016</v>
      </c>
      <c r="B95" s="38" t="s">
        <v>902</v>
      </c>
      <c r="C95" s="38" t="s">
        <v>901</v>
      </c>
      <c r="D95" s="37">
        <v>78959000</v>
      </c>
      <c r="E95" s="36" t="s">
        <v>786</v>
      </c>
      <c r="F95" s="149">
        <v>234472.34</v>
      </c>
      <c r="G95" s="149">
        <v>0</v>
      </c>
      <c r="H95" s="149">
        <v>0</v>
      </c>
      <c r="I95" s="149">
        <v>0</v>
      </c>
      <c r="J95" s="149">
        <v>0</v>
      </c>
      <c r="K95" s="149">
        <v>0</v>
      </c>
      <c r="L95" s="971">
        <v>0</v>
      </c>
      <c r="M95" s="969"/>
      <c r="N95" s="149">
        <v>0</v>
      </c>
      <c r="O95" s="149">
        <v>0</v>
      </c>
      <c r="P95" s="149">
        <v>234472.34</v>
      </c>
    </row>
    <row r="96" spans="1:16" ht="26.4" x14ac:dyDescent="0.3">
      <c r="A96" s="34">
        <v>2016</v>
      </c>
      <c r="B96" s="35" t="s">
        <v>902</v>
      </c>
      <c r="C96" s="35" t="s">
        <v>901</v>
      </c>
      <c r="D96" s="34">
        <v>130228000</v>
      </c>
      <c r="E96" s="33" t="s">
        <v>86</v>
      </c>
      <c r="F96" s="148">
        <v>720742.64</v>
      </c>
      <c r="G96" s="148">
        <v>134286.79</v>
      </c>
      <c r="H96" s="148">
        <v>-87672</v>
      </c>
      <c r="I96" s="148">
        <v>0</v>
      </c>
      <c r="J96" s="148">
        <v>0</v>
      </c>
      <c r="K96" s="148">
        <v>0</v>
      </c>
      <c r="L96" s="970">
        <v>0</v>
      </c>
      <c r="M96" s="969"/>
      <c r="N96" s="148">
        <v>0</v>
      </c>
      <c r="O96" s="148">
        <v>0</v>
      </c>
      <c r="P96" s="148">
        <v>767357.43</v>
      </c>
    </row>
    <row r="97" spans="1:16" ht="26.4" x14ac:dyDescent="0.3">
      <c r="A97" s="37">
        <v>2016</v>
      </c>
      <c r="B97" s="38" t="s">
        <v>902</v>
      </c>
      <c r="C97" s="38" t="s">
        <v>901</v>
      </c>
      <c r="D97" s="37">
        <v>130350000</v>
      </c>
      <c r="E97" s="36" t="s">
        <v>87</v>
      </c>
      <c r="F97" s="149">
        <v>144715.93</v>
      </c>
      <c r="G97" s="149">
        <v>8638.5</v>
      </c>
      <c r="H97" s="149">
        <v>0</v>
      </c>
      <c r="I97" s="149">
        <v>0</v>
      </c>
      <c r="J97" s="149">
        <v>0</v>
      </c>
      <c r="K97" s="149">
        <v>0</v>
      </c>
      <c r="L97" s="971">
        <v>0</v>
      </c>
      <c r="M97" s="969"/>
      <c r="N97" s="149">
        <v>0</v>
      </c>
      <c r="O97" s="149">
        <v>0</v>
      </c>
      <c r="P97" s="149">
        <v>153354.43</v>
      </c>
    </row>
    <row r="98" spans="1:16" ht="26.4" x14ac:dyDescent="0.3">
      <c r="A98" s="34">
        <v>2016</v>
      </c>
      <c r="B98" s="35" t="s">
        <v>902</v>
      </c>
      <c r="C98" s="35" t="s">
        <v>901</v>
      </c>
      <c r="D98" s="34">
        <v>98745000</v>
      </c>
      <c r="E98" s="33" t="s">
        <v>808</v>
      </c>
      <c r="F98" s="148">
        <v>54112.55</v>
      </c>
      <c r="G98" s="148">
        <v>0</v>
      </c>
      <c r="H98" s="148">
        <v>0</v>
      </c>
      <c r="I98" s="148">
        <v>0</v>
      </c>
      <c r="J98" s="148">
        <v>0</v>
      </c>
      <c r="K98" s="148">
        <v>0</v>
      </c>
      <c r="L98" s="970">
        <v>0</v>
      </c>
      <c r="M98" s="969"/>
      <c r="N98" s="148">
        <v>0</v>
      </c>
      <c r="O98" s="148">
        <v>0</v>
      </c>
      <c r="P98" s="148">
        <v>54112.55</v>
      </c>
    </row>
    <row r="99" spans="1:16" ht="26.4" x14ac:dyDescent="0.3">
      <c r="A99" s="37">
        <v>2016</v>
      </c>
      <c r="B99" s="38" t="s">
        <v>902</v>
      </c>
      <c r="C99" s="38" t="s">
        <v>901</v>
      </c>
      <c r="D99" s="37">
        <v>78524000</v>
      </c>
      <c r="E99" s="36" t="s">
        <v>89</v>
      </c>
      <c r="F99" s="149">
        <v>180786.17</v>
      </c>
      <c r="G99" s="149">
        <v>45867.69</v>
      </c>
      <c r="H99" s="149">
        <v>0</v>
      </c>
      <c r="I99" s="149">
        <v>0</v>
      </c>
      <c r="J99" s="149">
        <v>0</v>
      </c>
      <c r="K99" s="149">
        <v>0</v>
      </c>
      <c r="L99" s="971">
        <v>0</v>
      </c>
      <c r="M99" s="969"/>
      <c r="N99" s="149">
        <v>0</v>
      </c>
      <c r="O99" s="149">
        <v>0</v>
      </c>
      <c r="P99" s="149">
        <v>226653.86</v>
      </c>
    </row>
    <row r="100" spans="1:16" ht="26.4" x14ac:dyDescent="0.3">
      <c r="A100" s="34">
        <v>2016</v>
      </c>
      <c r="B100" s="35" t="s">
        <v>902</v>
      </c>
      <c r="C100" s="35" t="s">
        <v>901</v>
      </c>
      <c r="D100" s="34">
        <v>148761000</v>
      </c>
      <c r="E100" s="33" t="s">
        <v>90</v>
      </c>
      <c r="F100" s="148">
        <v>18745.34</v>
      </c>
      <c r="G100" s="148">
        <v>4066.1</v>
      </c>
      <c r="H100" s="148">
        <v>0</v>
      </c>
      <c r="I100" s="148">
        <v>0</v>
      </c>
      <c r="J100" s="148">
        <v>6537.15</v>
      </c>
      <c r="K100" s="148">
        <v>0</v>
      </c>
      <c r="L100" s="970">
        <v>0</v>
      </c>
      <c r="M100" s="969"/>
      <c r="N100" s="148">
        <v>0</v>
      </c>
      <c r="O100" s="148">
        <v>0</v>
      </c>
      <c r="P100" s="148">
        <v>29348.59</v>
      </c>
    </row>
    <row r="101" spans="1:16" ht="26.4" x14ac:dyDescent="0.3">
      <c r="A101" s="37">
        <v>2016</v>
      </c>
      <c r="B101" s="38" t="s">
        <v>902</v>
      </c>
      <c r="C101" s="38" t="s">
        <v>901</v>
      </c>
      <c r="D101" s="37">
        <v>70483000</v>
      </c>
      <c r="E101" s="36" t="s">
        <v>91</v>
      </c>
      <c r="F101" s="149">
        <v>9535663.8599999994</v>
      </c>
      <c r="G101" s="149">
        <v>1463483.47</v>
      </c>
      <c r="H101" s="149">
        <v>0</v>
      </c>
      <c r="I101" s="149">
        <v>0</v>
      </c>
      <c r="J101" s="149">
        <v>0</v>
      </c>
      <c r="K101" s="149">
        <v>0</v>
      </c>
      <c r="L101" s="971">
        <v>0</v>
      </c>
      <c r="M101" s="969"/>
      <c r="N101" s="149">
        <v>0</v>
      </c>
      <c r="O101" s="149">
        <v>0</v>
      </c>
      <c r="P101" s="149">
        <v>10999147.33</v>
      </c>
    </row>
    <row r="102" spans="1:16" x14ac:dyDescent="0.3">
      <c r="A102" s="34">
        <v>2016</v>
      </c>
      <c r="B102" s="35" t="s">
        <v>902</v>
      </c>
      <c r="C102" s="35" t="s">
        <v>901</v>
      </c>
      <c r="D102" s="34">
        <v>78218000</v>
      </c>
      <c r="E102" s="33" t="s">
        <v>92</v>
      </c>
      <c r="F102" s="148">
        <v>68396.210000000006</v>
      </c>
      <c r="G102" s="148">
        <v>9347.01</v>
      </c>
      <c r="H102" s="148">
        <v>0</v>
      </c>
      <c r="I102" s="148">
        <v>0</v>
      </c>
      <c r="J102" s="148">
        <v>13298.92</v>
      </c>
      <c r="K102" s="148">
        <v>0</v>
      </c>
      <c r="L102" s="970">
        <v>0</v>
      </c>
      <c r="M102" s="969"/>
      <c r="N102" s="148">
        <v>0</v>
      </c>
      <c r="O102" s="148">
        <v>0</v>
      </c>
      <c r="P102" s="148">
        <v>91042.14</v>
      </c>
    </row>
    <row r="103" spans="1:16" ht="26.4" x14ac:dyDescent="0.3">
      <c r="A103" s="37">
        <v>2016</v>
      </c>
      <c r="B103" s="38" t="s">
        <v>902</v>
      </c>
      <c r="C103" s="38" t="s">
        <v>901</v>
      </c>
      <c r="D103" s="37">
        <v>110404000</v>
      </c>
      <c r="E103" s="36" t="s">
        <v>93</v>
      </c>
      <c r="F103" s="149">
        <v>1865176.17</v>
      </c>
      <c r="G103" s="149">
        <v>195984.18</v>
      </c>
      <c r="H103" s="149">
        <v>0</v>
      </c>
      <c r="I103" s="149">
        <v>0</v>
      </c>
      <c r="J103" s="149">
        <v>0</v>
      </c>
      <c r="K103" s="149">
        <v>0</v>
      </c>
      <c r="L103" s="971">
        <v>0</v>
      </c>
      <c r="M103" s="969"/>
      <c r="N103" s="149">
        <v>0</v>
      </c>
      <c r="O103" s="149">
        <v>0</v>
      </c>
      <c r="P103" s="149">
        <v>2061160.35</v>
      </c>
    </row>
    <row r="104" spans="1:16" ht="26.4" x14ac:dyDescent="0.3">
      <c r="A104" s="34">
        <v>2016</v>
      </c>
      <c r="B104" s="35" t="s">
        <v>902</v>
      </c>
      <c r="C104" s="35" t="s">
        <v>901</v>
      </c>
      <c r="D104" s="34">
        <v>110502000</v>
      </c>
      <c r="E104" s="33" t="s">
        <v>94</v>
      </c>
      <c r="F104" s="148">
        <v>1073634.33</v>
      </c>
      <c r="G104" s="148">
        <v>473553.33</v>
      </c>
      <c r="H104" s="148">
        <v>0</v>
      </c>
      <c r="I104" s="148">
        <v>0</v>
      </c>
      <c r="J104" s="148">
        <v>0</v>
      </c>
      <c r="K104" s="148">
        <v>0</v>
      </c>
      <c r="L104" s="970">
        <v>0</v>
      </c>
      <c r="M104" s="969"/>
      <c r="N104" s="148">
        <v>0</v>
      </c>
      <c r="O104" s="148">
        <v>0</v>
      </c>
      <c r="P104" s="148">
        <v>1547187.66</v>
      </c>
    </row>
    <row r="105" spans="1:16" ht="26.4" x14ac:dyDescent="0.3">
      <c r="A105" s="37">
        <v>2016</v>
      </c>
      <c r="B105" s="38" t="s">
        <v>902</v>
      </c>
      <c r="C105" s="38" t="s">
        <v>901</v>
      </c>
      <c r="D105" s="37">
        <v>100216000</v>
      </c>
      <c r="E105" s="36" t="s">
        <v>95</v>
      </c>
      <c r="F105" s="149">
        <v>254701.54</v>
      </c>
      <c r="G105" s="149">
        <v>71859.19</v>
      </c>
      <c r="H105" s="149">
        <v>0</v>
      </c>
      <c r="I105" s="149">
        <v>0</v>
      </c>
      <c r="J105" s="149">
        <v>0</v>
      </c>
      <c r="K105" s="149">
        <v>0</v>
      </c>
      <c r="L105" s="971">
        <v>0</v>
      </c>
      <c r="M105" s="969"/>
      <c r="N105" s="149">
        <v>0</v>
      </c>
      <c r="O105" s="149">
        <v>0</v>
      </c>
      <c r="P105" s="149">
        <v>326560.73</v>
      </c>
    </row>
    <row r="106" spans="1:16" ht="26.4" x14ac:dyDescent="0.3">
      <c r="A106" s="34">
        <v>2016</v>
      </c>
      <c r="B106" s="35" t="s">
        <v>902</v>
      </c>
      <c r="C106" s="35" t="s">
        <v>901</v>
      </c>
      <c r="D106" s="34">
        <v>70293000</v>
      </c>
      <c r="E106" s="33" t="s">
        <v>96</v>
      </c>
      <c r="F106" s="148">
        <v>379625.13</v>
      </c>
      <c r="G106" s="148">
        <v>52539.42</v>
      </c>
      <c r="H106" s="148">
        <v>0</v>
      </c>
      <c r="I106" s="148">
        <v>0</v>
      </c>
      <c r="J106" s="148">
        <v>0</v>
      </c>
      <c r="K106" s="148">
        <v>0</v>
      </c>
      <c r="L106" s="970">
        <v>0</v>
      </c>
      <c r="M106" s="969"/>
      <c r="N106" s="148">
        <v>0</v>
      </c>
      <c r="O106" s="148">
        <v>0</v>
      </c>
      <c r="P106" s="148">
        <v>432164.55</v>
      </c>
    </row>
    <row r="107" spans="1:16" x14ac:dyDescent="0.3">
      <c r="A107" s="37">
        <v>2016</v>
      </c>
      <c r="B107" s="38" t="s">
        <v>902</v>
      </c>
      <c r="C107" s="38" t="s">
        <v>901</v>
      </c>
      <c r="D107" s="37">
        <v>90225000</v>
      </c>
      <c r="E107" s="36" t="s">
        <v>97</v>
      </c>
      <c r="F107" s="149">
        <v>904173.04</v>
      </c>
      <c r="G107" s="149">
        <v>306585.71999999997</v>
      </c>
      <c r="H107" s="149">
        <v>0</v>
      </c>
      <c r="I107" s="149">
        <v>0</v>
      </c>
      <c r="J107" s="149">
        <v>0</v>
      </c>
      <c r="K107" s="149">
        <v>0</v>
      </c>
      <c r="L107" s="971">
        <v>0</v>
      </c>
      <c r="M107" s="969"/>
      <c r="N107" s="149">
        <v>0</v>
      </c>
      <c r="O107" s="149">
        <v>0</v>
      </c>
      <c r="P107" s="149">
        <v>1210758.76</v>
      </c>
    </row>
    <row r="108" spans="1:16" ht="26.4" x14ac:dyDescent="0.3">
      <c r="A108" s="34">
        <v>2016</v>
      </c>
      <c r="B108" s="35" t="s">
        <v>902</v>
      </c>
      <c r="C108" s="35" t="s">
        <v>901</v>
      </c>
      <c r="D108" s="34">
        <v>28750000</v>
      </c>
      <c r="E108" s="33" t="s">
        <v>621</v>
      </c>
      <c r="F108" s="148">
        <v>459288.44</v>
      </c>
      <c r="G108" s="148">
        <v>0</v>
      </c>
      <c r="H108" s="148">
        <v>0</v>
      </c>
      <c r="I108" s="148">
        <v>0</v>
      </c>
      <c r="J108" s="148">
        <v>0</v>
      </c>
      <c r="K108" s="148">
        <v>0</v>
      </c>
      <c r="L108" s="970">
        <v>0</v>
      </c>
      <c r="M108" s="969"/>
      <c r="N108" s="148">
        <v>0</v>
      </c>
      <c r="O108" s="148">
        <v>0</v>
      </c>
      <c r="P108" s="148">
        <v>459288.44</v>
      </c>
    </row>
    <row r="109" spans="1:16" x14ac:dyDescent="0.3">
      <c r="A109" s="37">
        <v>2016</v>
      </c>
      <c r="B109" s="38" t="s">
        <v>902</v>
      </c>
      <c r="C109" s="38" t="s">
        <v>901</v>
      </c>
      <c r="D109" s="37">
        <v>78772000</v>
      </c>
      <c r="E109" s="36" t="s">
        <v>759</v>
      </c>
      <c r="F109" s="149">
        <v>61442.98</v>
      </c>
      <c r="G109" s="149">
        <v>0</v>
      </c>
      <c r="H109" s="149">
        <v>0</v>
      </c>
      <c r="I109" s="149">
        <v>0</v>
      </c>
      <c r="J109" s="149">
        <v>0</v>
      </c>
      <c r="K109" s="149">
        <v>0</v>
      </c>
      <c r="L109" s="971">
        <v>0</v>
      </c>
      <c r="M109" s="969"/>
      <c r="N109" s="149">
        <v>0</v>
      </c>
      <c r="O109" s="149">
        <v>0</v>
      </c>
      <c r="P109" s="149">
        <v>61442.98</v>
      </c>
    </row>
    <row r="110" spans="1:16" ht="26.4" x14ac:dyDescent="0.3">
      <c r="A110" s="34">
        <v>2016</v>
      </c>
      <c r="B110" s="35" t="s">
        <v>902</v>
      </c>
      <c r="C110" s="35" t="s">
        <v>901</v>
      </c>
      <c r="D110" s="34">
        <v>70280000</v>
      </c>
      <c r="E110" s="33" t="s">
        <v>101</v>
      </c>
      <c r="F110" s="148">
        <v>4305201.25</v>
      </c>
      <c r="G110" s="148">
        <v>658606.81999999995</v>
      </c>
      <c r="H110" s="148">
        <v>0</v>
      </c>
      <c r="I110" s="148">
        <v>0</v>
      </c>
      <c r="J110" s="148">
        <v>0</v>
      </c>
      <c r="K110" s="148">
        <v>0</v>
      </c>
      <c r="L110" s="970">
        <v>0</v>
      </c>
      <c r="M110" s="969"/>
      <c r="N110" s="148">
        <v>0</v>
      </c>
      <c r="O110" s="148">
        <v>0</v>
      </c>
      <c r="P110" s="148">
        <v>4963808.07</v>
      </c>
    </row>
    <row r="111" spans="1:16" ht="26.4" x14ac:dyDescent="0.3">
      <c r="A111" s="37">
        <v>2016</v>
      </c>
      <c r="B111" s="38" t="s">
        <v>902</v>
      </c>
      <c r="C111" s="38" t="s">
        <v>901</v>
      </c>
      <c r="D111" s="37">
        <v>30305000</v>
      </c>
      <c r="E111" s="36" t="s">
        <v>533</v>
      </c>
      <c r="F111" s="149">
        <v>13097.63</v>
      </c>
      <c r="G111" s="149">
        <v>0</v>
      </c>
      <c r="H111" s="149">
        <v>0</v>
      </c>
      <c r="I111" s="149">
        <v>0</v>
      </c>
      <c r="J111" s="149">
        <v>0</v>
      </c>
      <c r="K111" s="149">
        <v>0</v>
      </c>
      <c r="L111" s="971">
        <v>0</v>
      </c>
      <c r="M111" s="969"/>
      <c r="N111" s="149">
        <v>-13097.63</v>
      </c>
      <c r="O111" s="149">
        <v>0</v>
      </c>
      <c r="P111" s="149">
        <v>0</v>
      </c>
    </row>
    <row r="112" spans="1:16" x14ac:dyDescent="0.3">
      <c r="A112" s="34">
        <v>2016</v>
      </c>
      <c r="B112" s="35" t="s">
        <v>902</v>
      </c>
      <c r="C112" s="35" t="s">
        <v>901</v>
      </c>
      <c r="D112" s="34">
        <v>10224000</v>
      </c>
      <c r="E112" s="33" t="s">
        <v>102</v>
      </c>
      <c r="F112" s="148">
        <v>3716509.33</v>
      </c>
      <c r="G112" s="148">
        <v>272205.08</v>
      </c>
      <c r="H112" s="148">
        <v>0</v>
      </c>
      <c r="I112" s="148">
        <v>0</v>
      </c>
      <c r="J112" s="148">
        <v>0</v>
      </c>
      <c r="K112" s="148">
        <v>0</v>
      </c>
      <c r="L112" s="970">
        <v>0</v>
      </c>
      <c r="M112" s="969"/>
      <c r="N112" s="148">
        <v>0</v>
      </c>
      <c r="O112" s="148">
        <v>0</v>
      </c>
      <c r="P112" s="148">
        <v>3988714.41</v>
      </c>
    </row>
    <row r="113" spans="1:16" ht="26.4" x14ac:dyDescent="0.3">
      <c r="A113" s="37">
        <v>2016</v>
      </c>
      <c r="B113" s="38" t="s">
        <v>902</v>
      </c>
      <c r="C113" s="38" t="s">
        <v>901</v>
      </c>
      <c r="D113" s="37">
        <v>130251000</v>
      </c>
      <c r="E113" s="36" t="s">
        <v>104</v>
      </c>
      <c r="F113" s="149">
        <v>693656.92</v>
      </c>
      <c r="G113" s="149">
        <v>12798.24</v>
      </c>
      <c r="H113" s="149">
        <v>0</v>
      </c>
      <c r="I113" s="149">
        <v>0</v>
      </c>
      <c r="J113" s="149">
        <v>0</v>
      </c>
      <c r="K113" s="149">
        <v>0</v>
      </c>
      <c r="L113" s="971">
        <v>0</v>
      </c>
      <c r="M113" s="969"/>
      <c r="N113" s="149">
        <v>0</v>
      </c>
      <c r="O113" s="149">
        <v>0</v>
      </c>
      <c r="P113" s="149">
        <v>706455.16</v>
      </c>
    </row>
    <row r="114" spans="1:16" x14ac:dyDescent="0.3">
      <c r="A114" s="34">
        <v>2016</v>
      </c>
      <c r="B114" s="35" t="s">
        <v>902</v>
      </c>
      <c r="C114" s="35" t="s">
        <v>901</v>
      </c>
      <c r="D114" s="34">
        <v>78995000</v>
      </c>
      <c r="E114" s="33" t="s">
        <v>105</v>
      </c>
      <c r="F114" s="148">
        <v>163772.48000000001</v>
      </c>
      <c r="G114" s="148">
        <v>13520</v>
      </c>
      <c r="H114" s="148">
        <v>0</v>
      </c>
      <c r="I114" s="148">
        <v>0</v>
      </c>
      <c r="J114" s="148">
        <v>0</v>
      </c>
      <c r="K114" s="148">
        <v>0</v>
      </c>
      <c r="L114" s="970">
        <v>0</v>
      </c>
      <c r="M114" s="969"/>
      <c r="N114" s="148">
        <v>0</v>
      </c>
      <c r="O114" s="148">
        <v>0</v>
      </c>
      <c r="P114" s="148">
        <v>177292.48</v>
      </c>
    </row>
    <row r="115" spans="1:16" ht="26.4" x14ac:dyDescent="0.3">
      <c r="A115" s="37">
        <v>2016</v>
      </c>
      <c r="B115" s="38" t="s">
        <v>902</v>
      </c>
      <c r="C115" s="38" t="s">
        <v>901</v>
      </c>
      <c r="D115" s="37">
        <v>108720000</v>
      </c>
      <c r="E115" s="36" t="s">
        <v>1272</v>
      </c>
      <c r="F115" s="149">
        <v>45141.23</v>
      </c>
      <c r="G115" s="149">
        <v>0</v>
      </c>
      <c r="H115" s="149">
        <v>0</v>
      </c>
      <c r="I115" s="149">
        <v>0</v>
      </c>
      <c r="J115" s="149">
        <v>0</v>
      </c>
      <c r="K115" s="149">
        <v>0</v>
      </c>
      <c r="L115" s="971">
        <v>0</v>
      </c>
      <c r="M115" s="969"/>
      <c r="N115" s="149">
        <v>0</v>
      </c>
      <c r="O115" s="149">
        <v>0</v>
      </c>
      <c r="P115" s="149">
        <v>45141.23</v>
      </c>
    </row>
    <row r="116" spans="1:16" ht="26.4" x14ac:dyDescent="0.3">
      <c r="A116" s="34">
        <v>2016</v>
      </c>
      <c r="B116" s="35" t="s">
        <v>902</v>
      </c>
      <c r="C116" s="35" t="s">
        <v>901</v>
      </c>
      <c r="D116" s="34">
        <v>130403000</v>
      </c>
      <c r="E116" s="33" t="s">
        <v>106</v>
      </c>
      <c r="F116" s="148">
        <v>56801.26</v>
      </c>
      <c r="G116" s="148">
        <v>2257.33</v>
      </c>
      <c r="H116" s="148">
        <v>-2476.1799999999998</v>
      </c>
      <c r="I116" s="148">
        <v>0</v>
      </c>
      <c r="J116" s="148">
        <v>0</v>
      </c>
      <c r="K116" s="148">
        <v>0</v>
      </c>
      <c r="L116" s="970">
        <v>0</v>
      </c>
      <c r="M116" s="969"/>
      <c r="N116" s="148">
        <v>0</v>
      </c>
      <c r="O116" s="148">
        <v>0</v>
      </c>
      <c r="P116" s="148">
        <v>56582.41</v>
      </c>
    </row>
    <row r="117" spans="1:16" ht="39.6" x14ac:dyDescent="0.3">
      <c r="A117" s="37">
        <v>2016</v>
      </c>
      <c r="B117" s="38" t="s">
        <v>902</v>
      </c>
      <c r="C117" s="38" t="s">
        <v>901</v>
      </c>
      <c r="D117" s="37">
        <v>28701000</v>
      </c>
      <c r="E117" s="36" t="s">
        <v>108</v>
      </c>
      <c r="F117" s="149">
        <v>105034.39</v>
      </c>
      <c r="G117" s="149">
        <v>0</v>
      </c>
      <c r="H117" s="149">
        <v>0</v>
      </c>
      <c r="I117" s="149">
        <v>0</v>
      </c>
      <c r="J117" s="149">
        <v>0</v>
      </c>
      <c r="K117" s="149">
        <v>0</v>
      </c>
      <c r="L117" s="971">
        <v>0</v>
      </c>
      <c r="M117" s="969"/>
      <c r="N117" s="149">
        <v>-9010.9599999999991</v>
      </c>
      <c r="O117" s="149">
        <v>0</v>
      </c>
      <c r="P117" s="149">
        <v>96023.43</v>
      </c>
    </row>
    <row r="118" spans="1:16" ht="26.4" x14ac:dyDescent="0.3">
      <c r="A118" s="34">
        <v>2016</v>
      </c>
      <c r="B118" s="35" t="s">
        <v>902</v>
      </c>
      <c r="C118" s="35" t="s">
        <v>901</v>
      </c>
      <c r="D118" s="34">
        <v>20326000</v>
      </c>
      <c r="E118" s="33" t="s">
        <v>530</v>
      </c>
      <c r="F118" s="148">
        <v>14357</v>
      </c>
      <c r="G118" s="148">
        <v>0</v>
      </c>
      <c r="H118" s="148">
        <v>0</v>
      </c>
      <c r="I118" s="148">
        <v>0</v>
      </c>
      <c r="J118" s="148">
        <v>0</v>
      </c>
      <c r="K118" s="148">
        <v>0</v>
      </c>
      <c r="L118" s="970">
        <v>0</v>
      </c>
      <c r="M118" s="969"/>
      <c r="N118" s="148">
        <v>0</v>
      </c>
      <c r="O118" s="148">
        <v>0</v>
      </c>
      <c r="P118" s="148">
        <v>14357</v>
      </c>
    </row>
    <row r="119" spans="1:16" ht="26.4" x14ac:dyDescent="0.3">
      <c r="A119" s="37">
        <v>2016</v>
      </c>
      <c r="B119" s="38" t="s">
        <v>902</v>
      </c>
      <c r="C119" s="38" t="s">
        <v>901</v>
      </c>
      <c r="D119" s="37">
        <v>108909000</v>
      </c>
      <c r="E119" s="36" t="s">
        <v>848</v>
      </c>
      <c r="F119" s="149">
        <v>39657.199999999997</v>
      </c>
      <c r="G119" s="149">
        <v>0</v>
      </c>
      <c r="H119" s="149">
        <v>0</v>
      </c>
      <c r="I119" s="149">
        <v>0</v>
      </c>
      <c r="J119" s="149">
        <v>0</v>
      </c>
      <c r="K119" s="149">
        <v>0</v>
      </c>
      <c r="L119" s="971">
        <v>0</v>
      </c>
      <c r="M119" s="969"/>
      <c r="N119" s="149">
        <v>0</v>
      </c>
      <c r="O119" s="149">
        <v>0</v>
      </c>
      <c r="P119" s="149">
        <v>39657.199999999997</v>
      </c>
    </row>
    <row r="120" spans="1:16" ht="26.4" x14ac:dyDescent="0.3">
      <c r="A120" s="34">
        <v>2016</v>
      </c>
      <c r="B120" s="35" t="s">
        <v>902</v>
      </c>
      <c r="C120" s="35" t="s">
        <v>901</v>
      </c>
      <c r="D120" s="34">
        <v>80214000</v>
      </c>
      <c r="E120" s="33" t="s">
        <v>110</v>
      </c>
      <c r="F120" s="148">
        <v>999731.46</v>
      </c>
      <c r="G120" s="148">
        <v>14845.68</v>
      </c>
      <c r="H120" s="148">
        <v>-17232.68</v>
      </c>
      <c r="I120" s="148">
        <v>0</v>
      </c>
      <c r="J120" s="148">
        <v>0</v>
      </c>
      <c r="K120" s="148">
        <v>0</v>
      </c>
      <c r="L120" s="970">
        <v>0</v>
      </c>
      <c r="M120" s="969"/>
      <c r="N120" s="148">
        <v>0</v>
      </c>
      <c r="O120" s="148">
        <v>0</v>
      </c>
      <c r="P120" s="148">
        <v>997344.46</v>
      </c>
    </row>
    <row r="121" spans="1:16" ht="26.4" x14ac:dyDescent="0.3">
      <c r="A121" s="37">
        <v>2016</v>
      </c>
      <c r="B121" s="38" t="s">
        <v>902</v>
      </c>
      <c r="C121" s="38" t="s">
        <v>901</v>
      </c>
      <c r="D121" s="37">
        <v>80502000</v>
      </c>
      <c r="E121" s="36" t="s">
        <v>111</v>
      </c>
      <c r="F121" s="149">
        <v>669964.98</v>
      </c>
      <c r="G121" s="149">
        <v>52145.16</v>
      </c>
      <c r="H121" s="149">
        <v>-88334.27</v>
      </c>
      <c r="I121" s="149">
        <v>0</v>
      </c>
      <c r="J121" s="149">
        <v>0</v>
      </c>
      <c r="K121" s="149">
        <v>0</v>
      </c>
      <c r="L121" s="971">
        <v>0</v>
      </c>
      <c r="M121" s="969"/>
      <c r="N121" s="149">
        <v>0</v>
      </c>
      <c r="O121" s="149">
        <v>0</v>
      </c>
      <c r="P121" s="149">
        <v>633775.87</v>
      </c>
    </row>
    <row r="122" spans="1:16" ht="26.4" x14ac:dyDescent="0.3">
      <c r="A122" s="34">
        <v>2016</v>
      </c>
      <c r="B122" s="35" t="s">
        <v>902</v>
      </c>
      <c r="C122" s="35" t="s">
        <v>901</v>
      </c>
      <c r="D122" s="34">
        <v>10306000</v>
      </c>
      <c r="E122" s="33" t="s">
        <v>112</v>
      </c>
      <c r="F122" s="148">
        <v>146011.28</v>
      </c>
      <c r="G122" s="148">
        <v>3692.87</v>
      </c>
      <c r="H122" s="148">
        <v>-18795.78</v>
      </c>
      <c r="I122" s="148">
        <v>0</v>
      </c>
      <c r="J122" s="148">
        <v>0</v>
      </c>
      <c r="K122" s="148">
        <v>0</v>
      </c>
      <c r="L122" s="970">
        <v>0</v>
      </c>
      <c r="M122" s="969"/>
      <c r="N122" s="148">
        <v>0</v>
      </c>
      <c r="O122" s="148">
        <v>0</v>
      </c>
      <c r="P122" s="148">
        <v>130908.37</v>
      </c>
    </row>
    <row r="123" spans="1:16" ht="26.4" x14ac:dyDescent="0.3">
      <c r="A123" s="37">
        <v>2016</v>
      </c>
      <c r="B123" s="38" t="s">
        <v>902</v>
      </c>
      <c r="C123" s="38" t="s">
        <v>901</v>
      </c>
      <c r="D123" s="37">
        <v>130317000</v>
      </c>
      <c r="E123" s="36" t="s">
        <v>113</v>
      </c>
      <c r="F123" s="149">
        <v>40395.17</v>
      </c>
      <c r="G123" s="149">
        <v>912.51</v>
      </c>
      <c r="H123" s="149">
        <v>-300</v>
      </c>
      <c r="I123" s="149">
        <v>0</v>
      </c>
      <c r="J123" s="149">
        <v>0</v>
      </c>
      <c r="K123" s="149">
        <v>0</v>
      </c>
      <c r="L123" s="971">
        <v>0</v>
      </c>
      <c r="M123" s="969"/>
      <c r="N123" s="149">
        <v>0</v>
      </c>
      <c r="O123" s="149">
        <v>0</v>
      </c>
      <c r="P123" s="149">
        <v>41007.68</v>
      </c>
    </row>
    <row r="124" spans="1:16" ht="26.4" x14ac:dyDescent="0.3">
      <c r="A124" s="34">
        <v>2016</v>
      </c>
      <c r="B124" s="35" t="s">
        <v>902</v>
      </c>
      <c r="C124" s="35" t="s">
        <v>901</v>
      </c>
      <c r="D124" s="34">
        <v>100339000</v>
      </c>
      <c r="E124" s="33" t="s">
        <v>114</v>
      </c>
      <c r="F124" s="148">
        <v>86019.46</v>
      </c>
      <c r="G124" s="148">
        <v>17035.18</v>
      </c>
      <c r="H124" s="148">
        <v>-11978.06</v>
      </c>
      <c r="I124" s="148">
        <v>0</v>
      </c>
      <c r="J124" s="148">
        <v>0</v>
      </c>
      <c r="K124" s="148">
        <v>0</v>
      </c>
      <c r="L124" s="970">
        <v>0</v>
      </c>
      <c r="M124" s="969"/>
      <c r="N124" s="148">
        <v>0</v>
      </c>
      <c r="O124" s="148">
        <v>0</v>
      </c>
      <c r="P124" s="148">
        <v>91076.58</v>
      </c>
    </row>
    <row r="125" spans="1:16" x14ac:dyDescent="0.3">
      <c r="A125" s="37">
        <v>2016</v>
      </c>
      <c r="B125" s="38" t="s">
        <v>902</v>
      </c>
      <c r="C125" s="38" t="s">
        <v>901</v>
      </c>
      <c r="D125" s="37">
        <v>110221000</v>
      </c>
      <c r="E125" s="36" t="s">
        <v>115</v>
      </c>
      <c r="F125" s="149">
        <v>1492130.68</v>
      </c>
      <c r="G125" s="149">
        <v>253973.97</v>
      </c>
      <c r="H125" s="149">
        <v>0</v>
      </c>
      <c r="I125" s="149">
        <v>0</v>
      </c>
      <c r="J125" s="149">
        <v>0</v>
      </c>
      <c r="K125" s="149">
        <v>0</v>
      </c>
      <c r="L125" s="971">
        <v>0</v>
      </c>
      <c r="M125" s="969"/>
      <c r="N125" s="149">
        <v>0</v>
      </c>
      <c r="O125" s="149">
        <v>0</v>
      </c>
      <c r="P125" s="149">
        <v>1746104.65</v>
      </c>
    </row>
    <row r="126" spans="1:16" ht="26.4" x14ac:dyDescent="0.3">
      <c r="A126" s="34">
        <v>2016</v>
      </c>
      <c r="B126" s="35" t="s">
        <v>902</v>
      </c>
      <c r="C126" s="35" t="s">
        <v>901</v>
      </c>
      <c r="D126" s="34">
        <v>78975000</v>
      </c>
      <c r="E126" s="33" t="s">
        <v>793</v>
      </c>
      <c r="F126" s="148">
        <v>117284.65</v>
      </c>
      <c r="G126" s="148">
        <v>16164.35</v>
      </c>
      <c r="H126" s="148">
        <v>0</v>
      </c>
      <c r="I126" s="148">
        <v>0</v>
      </c>
      <c r="J126" s="148">
        <v>0</v>
      </c>
      <c r="K126" s="148">
        <v>0</v>
      </c>
      <c r="L126" s="970">
        <v>0</v>
      </c>
      <c r="M126" s="969"/>
      <c r="N126" s="148">
        <v>0</v>
      </c>
      <c r="O126" s="148">
        <v>0</v>
      </c>
      <c r="P126" s="148">
        <v>133449</v>
      </c>
    </row>
    <row r="127" spans="1:16" ht="26.4" x14ac:dyDescent="0.3">
      <c r="A127" s="37">
        <v>2016</v>
      </c>
      <c r="B127" s="38" t="s">
        <v>902</v>
      </c>
      <c r="C127" s="38" t="s">
        <v>901</v>
      </c>
      <c r="D127" s="37">
        <v>130406000</v>
      </c>
      <c r="E127" s="36" t="s">
        <v>117</v>
      </c>
      <c r="F127" s="149">
        <v>618191.6</v>
      </c>
      <c r="G127" s="149">
        <v>38788.730000000003</v>
      </c>
      <c r="H127" s="149">
        <v>-39771.360000000001</v>
      </c>
      <c r="I127" s="149">
        <v>0</v>
      </c>
      <c r="J127" s="149">
        <v>0</v>
      </c>
      <c r="K127" s="149">
        <v>0</v>
      </c>
      <c r="L127" s="971">
        <v>0</v>
      </c>
      <c r="M127" s="969"/>
      <c r="N127" s="149">
        <v>0</v>
      </c>
      <c r="O127" s="149">
        <v>0</v>
      </c>
      <c r="P127" s="149">
        <v>617208.97</v>
      </c>
    </row>
    <row r="128" spans="1:16" ht="26.4" x14ac:dyDescent="0.3">
      <c r="A128" s="34">
        <v>2016</v>
      </c>
      <c r="B128" s="35" t="s">
        <v>902</v>
      </c>
      <c r="C128" s="35" t="s">
        <v>901</v>
      </c>
      <c r="D128" s="34">
        <v>78513000</v>
      </c>
      <c r="E128" s="33" t="s">
        <v>118</v>
      </c>
      <c r="F128" s="148">
        <v>122245.5</v>
      </c>
      <c r="G128" s="148">
        <v>0</v>
      </c>
      <c r="H128" s="148">
        <v>0</v>
      </c>
      <c r="I128" s="148">
        <v>0</v>
      </c>
      <c r="J128" s="148">
        <v>0</v>
      </c>
      <c r="K128" s="148">
        <v>0</v>
      </c>
      <c r="L128" s="970">
        <v>0</v>
      </c>
      <c r="M128" s="969"/>
      <c r="N128" s="148">
        <v>0</v>
      </c>
      <c r="O128" s="148">
        <v>0</v>
      </c>
      <c r="P128" s="148">
        <v>122245.5</v>
      </c>
    </row>
    <row r="129" spans="1:16" ht="39.6" x14ac:dyDescent="0.3">
      <c r="A129" s="37">
        <v>2016</v>
      </c>
      <c r="B129" s="38" t="s">
        <v>902</v>
      </c>
      <c r="C129" s="38" t="s">
        <v>901</v>
      </c>
      <c r="D129" s="37">
        <v>108505000</v>
      </c>
      <c r="E129" s="36" t="s">
        <v>119</v>
      </c>
      <c r="F129" s="149">
        <v>30456.73</v>
      </c>
      <c r="G129" s="149">
        <v>15674.14</v>
      </c>
      <c r="H129" s="149">
        <v>0</v>
      </c>
      <c r="I129" s="149">
        <v>0</v>
      </c>
      <c r="J129" s="149">
        <v>0</v>
      </c>
      <c r="K129" s="149">
        <v>0</v>
      </c>
      <c r="L129" s="971">
        <v>0</v>
      </c>
      <c r="M129" s="969"/>
      <c r="N129" s="149">
        <v>0</v>
      </c>
      <c r="O129" s="149">
        <v>0</v>
      </c>
      <c r="P129" s="149">
        <v>46130.87</v>
      </c>
    </row>
    <row r="130" spans="1:16" ht="39.6" x14ac:dyDescent="0.3">
      <c r="A130" s="34">
        <v>2016</v>
      </c>
      <c r="B130" s="35" t="s">
        <v>902</v>
      </c>
      <c r="C130" s="35" t="s">
        <v>901</v>
      </c>
      <c r="D130" s="34">
        <v>108793000</v>
      </c>
      <c r="E130" s="33" t="s">
        <v>120</v>
      </c>
      <c r="F130" s="148">
        <v>41356.800000000003</v>
      </c>
      <c r="G130" s="148">
        <v>7884</v>
      </c>
      <c r="H130" s="148">
        <v>0</v>
      </c>
      <c r="I130" s="148">
        <v>0</v>
      </c>
      <c r="J130" s="148">
        <v>0</v>
      </c>
      <c r="K130" s="148">
        <v>0</v>
      </c>
      <c r="L130" s="970">
        <v>0</v>
      </c>
      <c r="M130" s="969"/>
      <c r="N130" s="148">
        <v>0</v>
      </c>
      <c r="O130" s="148">
        <v>0</v>
      </c>
      <c r="P130" s="148">
        <v>49240.800000000003</v>
      </c>
    </row>
    <row r="131" spans="1:16" ht="26.4" x14ac:dyDescent="0.3">
      <c r="A131" s="37">
        <v>2016</v>
      </c>
      <c r="B131" s="38" t="s">
        <v>902</v>
      </c>
      <c r="C131" s="38" t="s">
        <v>901</v>
      </c>
      <c r="D131" s="37">
        <v>140413000</v>
      </c>
      <c r="E131" s="36" t="s">
        <v>121</v>
      </c>
      <c r="F131" s="149">
        <v>1442517.99</v>
      </c>
      <c r="G131" s="149">
        <v>82735.759999999995</v>
      </c>
      <c r="H131" s="149">
        <v>0</v>
      </c>
      <c r="I131" s="149">
        <v>0</v>
      </c>
      <c r="J131" s="149">
        <v>0</v>
      </c>
      <c r="K131" s="149">
        <v>0</v>
      </c>
      <c r="L131" s="971">
        <v>0</v>
      </c>
      <c r="M131" s="969"/>
      <c r="N131" s="149">
        <v>0</v>
      </c>
      <c r="O131" s="149">
        <v>0</v>
      </c>
      <c r="P131" s="149">
        <v>1525253.75</v>
      </c>
    </row>
    <row r="132" spans="1:16" ht="26.4" x14ac:dyDescent="0.3">
      <c r="A132" s="34">
        <v>2016</v>
      </c>
      <c r="B132" s="35" t="s">
        <v>902</v>
      </c>
      <c r="C132" s="35" t="s">
        <v>901</v>
      </c>
      <c r="D132" s="34">
        <v>70414000</v>
      </c>
      <c r="E132" s="33" t="s">
        <v>122</v>
      </c>
      <c r="F132" s="148">
        <v>4993211.05</v>
      </c>
      <c r="G132" s="148">
        <v>618469.71</v>
      </c>
      <c r="H132" s="148">
        <v>0</v>
      </c>
      <c r="I132" s="148">
        <v>0</v>
      </c>
      <c r="J132" s="148">
        <v>0</v>
      </c>
      <c r="K132" s="148">
        <v>0</v>
      </c>
      <c r="L132" s="970">
        <v>0</v>
      </c>
      <c r="M132" s="969"/>
      <c r="N132" s="148">
        <v>0</v>
      </c>
      <c r="O132" s="148">
        <v>0</v>
      </c>
      <c r="P132" s="148">
        <v>5611680.7599999998</v>
      </c>
    </row>
    <row r="133" spans="1:16" ht="52.8" x14ac:dyDescent="0.3">
      <c r="A133" s="37">
        <v>2016</v>
      </c>
      <c r="B133" s="38" t="s">
        <v>902</v>
      </c>
      <c r="C133" s="38" t="s">
        <v>901</v>
      </c>
      <c r="D133" s="37">
        <v>78544000</v>
      </c>
      <c r="E133" s="36" t="s">
        <v>123</v>
      </c>
      <c r="F133" s="149">
        <v>77363.87</v>
      </c>
      <c r="G133" s="149">
        <v>4929.59</v>
      </c>
      <c r="H133" s="149">
        <v>-29431.41</v>
      </c>
      <c r="I133" s="149">
        <v>0</v>
      </c>
      <c r="J133" s="149">
        <v>0</v>
      </c>
      <c r="K133" s="149">
        <v>0</v>
      </c>
      <c r="L133" s="971">
        <v>0</v>
      </c>
      <c r="M133" s="969"/>
      <c r="N133" s="149">
        <v>0</v>
      </c>
      <c r="O133" s="149">
        <v>0</v>
      </c>
      <c r="P133" s="149">
        <v>52862.05</v>
      </c>
    </row>
    <row r="134" spans="1:16" ht="52.8" x14ac:dyDescent="0.3">
      <c r="A134" s="34">
        <v>2016</v>
      </c>
      <c r="B134" s="35" t="s">
        <v>902</v>
      </c>
      <c r="C134" s="35" t="s">
        <v>901</v>
      </c>
      <c r="D134" s="34">
        <v>108666000</v>
      </c>
      <c r="E134" s="33" t="s">
        <v>125</v>
      </c>
      <c r="F134" s="148">
        <v>130868.76</v>
      </c>
      <c r="G134" s="148">
        <v>11439.82</v>
      </c>
      <c r="H134" s="148">
        <v>0</v>
      </c>
      <c r="I134" s="148">
        <v>0</v>
      </c>
      <c r="J134" s="148">
        <v>0</v>
      </c>
      <c r="K134" s="148">
        <v>0</v>
      </c>
      <c r="L134" s="970">
        <v>0</v>
      </c>
      <c r="M134" s="969"/>
      <c r="N134" s="148">
        <v>0</v>
      </c>
      <c r="O134" s="148">
        <v>0</v>
      </c>
      <c r="P134" s="148">
        <v>142308.57999999999</v>
      </c>
    </row>
    <row r="135" spans="1:16" ht="52.8" x14ac:dyDescent="0.3">
      <c r="A135" s="37">
        <v>2016</v>
      </c>
      <c r="B135" s="38" t="s">
        <v>902</v>
      </c>
      <c r="C135" s="38" t="s">
        <v>901</v>
      </c>
      <c r="D135" s="37">
        <v>108502000</v>
      </c>
      <c r="E135" s="36" t="s">
        <v>815</v>
      </c>
      <c r="F135" s="149">
        <v>160441.71</v>
      </c>
      <c r="G135" s="149">
        <v>0</v>
      </c>
      <c r="H135" s="149">
        <v>0</v>
      </c>
      <c r="I135" s="149">
        <v>0</v>
      </c>
      <c r="J135" s="149">
        <v>0</v>
      </c>
      <c r="K135" s="149">
        <v>0</v>
      </c>
      <c r="L135" s="971">
        <v>0</v>
      </c>
      <c r="M135" s="969"/>
      <c r="N135" s="149">
        <v>0</v>
      </c>
      <c r="O135" s="149">
        <v>0</v>
      </c>
      <c r="P135" s="149">
        <v>160441.71</v>
      </c>
    </row>
    <row r="136" spans="1:16" ht="66" x14ac:dyDescent="0.3">
      <c r="A136" s="34">
        <v>2016</v>
      </c>
      <c r="B136" s="35" t="s">
        <v>902</v>
      </c>
      <c r="C136" s="35" t="s">
        <v>901</v>
      </c>
      <c r="D136" s="34">
        <v>108504000</v>
      </c>
      <c r="E136" s="33" t="s">
        <v>816</v>
      </c>
      <c r="F136" s="148">
        <v>34807.69</v>
      </c>
      <c r="G136" s="148">
        <v>0</v>
      </c>
      <c r="H136" s="148">
        <v>0</v>
      </c>
      <c r="I136" s="148">
        <v>0</v>
      </c>
      <c r="J136" s="148">
        <v>0</v>
      </c>
      <c r="K136" s="148">
        <v>0</v>
      </c>
      <c r="L136" s="970">
        <v>0</v>
      </c>
      <c r="M136" s="969"/>
      <c r="N136" s="148">
        <v>0</v>
      </c>
      <c r="O136" s="148">
        <v>0</v>
      </c>
      <c r="P136" s="148">
        <v>34807.69</v>
      </c>
    </row>
    <row r="137" spans="1:16" ht="52.8" x14ac:dyDescent="0.3">
      <c r="A137" s="37">
        <v>2016</v>
      </c>
      <c r="B137" s="38" t="s">
        <v>902</v>
      </c>
      <c r="C137" s="38" t="s">
        <v>901</v>
      </c>
      <c r="D137" s="37">
        <v>78577000</v>
      </c>
      <c r="E137" s="36" t="s">
        <v>126</v>
      </c>
      <c r="F137" s="149">
        <v>91764.77</v>
      </c>
      <c r="G137" s="149">
        <v>0</v>
      </c>
      <c r="H137" s="149">
        <v>0</v>
      </c>
      <c r="I137" s="149">
        <v>0</v>
      </c>
      <c r="J137" s="149">
        <v>0</v>
      </c>
      <c r="K137" s="149">
        <v>0</v>
      </c>
      <c r="L137" s="971">
        <v>0</v>
      </c>
      <c r="M137" s="969"/>
      <c r="N137" s="149">
        <v>0</v>
      </c>
      <c r="O137" s="149">
        <v>0</v>
      </c>
      <c r="P137" s="149">
        <v>91764.77</v>
      </c>
    </row>
    <row r="138" spans="1:16" ht="26.4" x14ac:dyDescent="0.3">
      <c r="A138" s="34">
        <v>2016</v>
      </c>
      <c r="B138" s="35" t="s">
        <v>902</v>
      </c>
      <c r="C138" s="35" t="s">
        <v>901</v>
      </c>
      <c r="D138" s="34">
        <v>70297000</v>
      </c>
      <c r="E138" s="33" t="s">
        <v>127</v>
      </c>
      <c r="F138" s="148">
        <v>4460002.5999999996</v>
      </c>
      <c r="G138" s="148">
        <v>647648.86</v>
      </c>
      <c r="H138" s="148">
        <v>-667350.26</v>
      </c>
      <c r="I138" s="148">
        <v>0</v>
      </c>
      <c r="J138" s="148">
        <v>0</v>
      </c>
      <c r="K138" s="148">
        <v>0</v>
      </c>
      <c r="L138" s="970">
        <v>0</v>
      </c>
      <c r="M138" s="969"/>
      <c r="N138" s="148">
        <v>0</v>
      </c>
      <c r="O138" s="148">
        <v>0</v>
      </c>
      <c r="P138" s="148">
        <v>4440301.2</v>
      </c>
    </row>
    <row r="139" spans="1:16" ht="26.4" x14ac:dyDescent="0.3">
      <c r="A139" s="37">
        <v>2016</v>
      </c>
      <c r="B139" s="38" t="s">
        <v>902</v>
      </c>
      <c r="C139" s="38" t="s">
        <v>901</v>
      </c>
      <c r="D139" s="37">
        <v>78621000</v>
      </c>
      <c r="E139" s="36" t="s">
        <v>128</v>
      </c>
      <c r="F139" s="149">
        <v>156443.92000000001</v>
      </c>
      <c r="G139" s="149">
        <v>11008.4</v>
      </c>
      <c r="H139" s="149">
        <v>0</v>
      </c>
      <c r="I139" s="149">
        <v>0</v>
      </c>
      <c r="J139" s="149">
        <v>0</v>
      </c>
      <c r="K139" s="149">
        <v>0</v>
      </c>
      <c r="L139" s="971">
        <v>0</v>
      </c>
      <c r="M139" s="969"/>
      <c r="N139" s="149">
        <v>0</v>
      </c>
      <c r="O139" s="149">
        <v>0</v>
      </c>
      <c r="P139" s="149">
        <v>167452.32</v>
      </c>
    </row>
    <row r="140" spans="1:16" ht="26.4" x14ac:dyDescent="0.3">
      <c r="A140" s="34">
        <v>2016</v>
      </c>
      <c r="B140" s="35" t="s">
        <v>902</v>
      </c>
      <c r="C140" s="35" t="s">
        <v>901</v>
      </c>
      <c r="D140" s="34">
        <v>138714000</v>
      </c>
      <c r="E140" s="33" t="s">
        <v>867</v>
      </c>
      <c r="F140" s="148">
        <v>62585.37</v>
      </c>
      <c r="G140" s="148">
        <v>8496.9500000000007</v>
      </c>
      <c r="H140" s="148">
        <v>0</v>
      </c>
      <c r="I140" s="148">
        <v>0</v>
      </c>
      <c r="J140" s="148">
        <v>0</v>
      </c>
      <c r="K140" s="148">
        <v>0</v>
      </c>
      <c r="L140" s="970">
        <v>0</v>
      </c>
      <c r="M140" s="969"/>
      <c r="N140" s="148">
        <v>0</v>
      </c>
      <c r="O140" s="148">
        <v>0</v>
      </c>
      <c r="P140" s="148">
        <v>71082.320000000007</v>
      </c>
    </row>
    <row r="141" spans="1:16" x14ac:dyDescent="0.3">
      <c r="A141" s="37">
        <v>2016</v>
      </c>
      <c r="B141" s="38" t="s">
        <v>902</v>
      </c>
      <c r="C141" s="38" t="s">
        <v>901</v>
      </c>
      <c r="D141" s="37">
        <v>48701000</v>
      </c>
      <c r="E141" s="36" t="s">
        <v>631</v>
      </c>
      <c r="F141" s="149">
        <v>142357.51999999999</v>
      </c>
      <c r="G141" s="149">
        <v>0</v>
      </c>
      <c r="H141" s="149">
        <v>0</v>
      </c>
      <c r="I141" s="149">
        <v>0</v>
      </c>
      <c r="J141" s="149">
        <v>0</v>
      </c>
      <c r="K141" s="149">
        <v>0</v>
      </c>
      <c r="L141" s="971">
        <v>0</v>
      </c>
      <c r="M141" s="969"/>
      <c r="N141" s="149">
        <v>0</v>
      </c>
      <c r="O141" s="149">
        <v>0</v>
      </c>
      <c r="P141" s="149">
        <v>142357.51999999999</v>
      </c>
    </row>
    <row r="142" spans="1:16" ht="26.4" x14ac:dyDescent="0.3">
      <c r="A142" s="34">
        <v>2016</v>
      </c>
      <c r="B142" s="35" t="s">
        <v>902</v>
      </c>
      <c r="C142" s="35" t="s">
        <v>901</v>
      </c>
      <c r="D142" s="34">
        <v>58703000</v>
      </c>
      <c r="E142" s="33" t="s">
        <v>132</v>
      </c>
      <c r="F142" s="148">
        <v>29708.1</v>
      </c>
      <c r="G142" s="148">
        <v>2681.37</v>
      </c>
      <c r="H142" s="148">
        <v>-3863.28</v>
      </c>
      <c r="I142" s="148">
        <v>0</v>
      </c>
      <c r="J142" s="148">
        <v>0</v>
      </c>
      <c r="K142" s="148">
        <v>0</v>
      </c>
      <c r="L142" s="970">
        <v>0</v>
      </c>
      <c r="M142" s="969"/>
      <c r="N142" s="148">
        <v>0</v>
      </c>
      <c r="O142" s="148">
        <v>0</v>
      </c>
      <c r="P142" s="148">
        <v>28526.19</v>
      </c>
    </row>
    <row r="143" spans="1:16" ht="26.4" x14ac:dyDescent="0.3">
      <c r="A143" s="37">
        <v>2016</v>
      </c>
      <c r="B143" s="38" t="s">
        <v>902</v>
      </c>
      <c r="C143" s="38" t="s">
        <v>901</v>
      </c>
      <c r="D143" s="37">
        <v>20345000</v>
      </c>
      <c r="E143" s="36" t="s">
        <v>134</v>
      </c>
      <c r="F143" s="149">
        <v>18065.43</v>
      </c>
      <c r="G143" s="149">
        <v>22383.01</v>
      </c>
      <c r="H143" s="149">
        <v>-21243.8</v>
      </c>
      <c r="I143" s="149">
        <v>0</v>
      </c>
      <c r="J143" s="149">
        <v>0</v>
      </c>
      <c r="K143" s="149">
        <v>0</v>
      </c>
      <c r="L143" s="971">
        <v>0</v>
      </c>
      <c r="M143" s="969"/>
      <c r="N143" s="149">
        <v>0</v>
      </c>
      <c r="O143" s="149">
        <v>-2310.31</v>
      </c>
      <c r="P143" s="149">
        <v>16894.330000000002</v>
      </c>
    </row>
    <row r="144" spans="1:16" x14ac:dyDescent="0.3">
      <c r="A144" s="34">
        <v>2016</v>
      </c>
      <c r="B144" s="35" t="s">
        <v>902</v>
      </c>
      <c r="C144" s="35" t="s">
        <v>901</v>
      </c>
      <c r="D144" s="34">
        <v>20227000</v>
      </c>
      <c r="E144" s="33" t="s">
        <v>135</v>
      </c>
      <c r="F144" s="148">
        <v>2104097.17</v>
      </c>
      <c r="G144" s="148">
        <v>95703.05</v>
      </c>
      <c r="H144" s="148">
        <v>0</v>
      </c>
      <c r="I144" s="148">
        <v>0</v>
      </c>
      <c r="J144" s="148">
        <v>0</v>
      </c>
      <c r="K144" s="148">
        <v>0</v>
      </c>
      <c r="L144" s="970">
        <v>0</v>
      </c>
      <c r="M144" s="969"/>
      <c r="N144" s="148">
        <v>0</v>
      </c>
      <c r="O144" s="148">
        <v>0</v>
      </c>
      <c r="P144" s="148">
        <v>2199800.2200000002</v>
      </c>
    </row>
    <row r="145" spans="1:16" x14ac:dyDescent="0.3">
      <c r="A145" s="37">
        <v>2016</v>
      </c>
      <c r="B145" s="38" t="s">
        <v>902</v>
      </c>
      <c r="C145" s="38" t="s">
        <v>901</v>
      </c>
      <c r="D145" s="37">
        <v>60202000</v>
      </c>
      <c r="E145" s="36" t="s">
        <v>136</v>
      </c>
      <c r="F145" s="149">
        <v>98094.32</v>
      </c>
      <c r="G145" s="149">
        <v>100</v>
      </c>
      <c r="H145" s="149">
        <v>0</v>
      </c>
      <c r="I145" s="149">
        <v>0</v>
      </c>
      <c r="J145" s="149">
        <v>0</v>
      </c>
      <c r="K145" s="149">
        <v>0</v>
      </c>
      <c r="L145" s="971">
        <v>0</v>
      </c>
      <c r="M145" s="969"/>
      <c r="N145" s="149">
        <v>0</v>
      </c>
      <c r="O145" s="149">
        <v>0</v>
      </c>
      <c r="P145" s="149">
        <v>98194.32</v>
      </c>
    </row>
    <row r="146" spans="1:16" x14ac:dyDescent="0.3">
      <c r="A146" s="34">
        <v>2016</v>
      </c>
      <c r="B146" s="35" t="s">
        <v>902</v>
      </c>
      <c r="C146" s="35" t="s">
        <v>901</v>
      </c>
      <c r="D146" s="34">
        <v>70289000</v>
      </c>
      <c r="E146" s="33" t="s">
        <v>137</v>
      </c>
      <c r="F146" s="148">
        <v>4894959.03</v>
      </c>
      <c r="G146" s="148">
        <v>337828.01</v>
      </c>
      <c r="H146" s="148">
        <v>0</v>
      </c>
      <c r="I146" s="148">
        <v>0</v>
      </c>
      <c r="J146" s="148">
        <v>0</v>
      </c>
      <c r="K146" s="148">
        <v>0</v>
      </c>
      <c r="L146" s="970">
        <v>0</v>
      </c>
      <c r="M146" s="969"/>
      <c r="N146" s="148">
        <v>0</v>
      </c>
      <c r="O146" s="148">
        <v>0</v>
      </c>
      <c r="P146" s="148">
        <v>5232787.04</v>
      </c>
    </row>
    <row r="147" spans="1:16" ht="26.4" x14ac:dyDescent="0.3">
      <c r="A147" s="37">
        <v>2016</v>
      </c>
      <c r="B147" s="38" t="s">
        <v>902</v>
      </c>
      <c r="C147" s="38" t="s">
        <v>901</v>
      </c>
      <c r="D147" s="37">
        <v>78202000</v>
      </c>
      <c r="E147" s="36" t="s">
        <v>1260</v>
      </c>
      <c r="F147" s="149">
        <v>83636.58</v>
      </c>
      <c r="G147" s="149">
        <v>4019.64</v>
      </c>
      <c r="H147" s="149">
        <v>0</v>
      </c>
      <c r="I147" s="149">
        <v>0</v>
      </c>
      <c r="J147" s="149">
        <v>0</v>
      </c>
      <c r="K147" s="149">
        <v>0</v>
      </c>
      <c r="L147" s="971">
        <v>0</v>
      </c>
      <c r="M147" s="969"/>
      <c r="N147" s="149">
        <v>0</v>
      </c>
      <c r="O147" s="149">
        <v>0</v>
      </c>
      <c r="P147" s="149">
        <v>87656.22</v>
      </c>
    </row>
    <row r="148" spans="1:16" ht="26.4" x14ac:dyDescent="0.3">
      <c r="A148" s="34">
        <v>2016</v>
      </c>
      <c r="B148" s="35" t="s">
        <v>902</v>
      </c>
      <c r="C148" s="35" t="s">
        <v>901</v>
      </c>
      <c r="D148" s="34">
        <v>78222000</v>
      </c>
      <c r="E148" s="33" t="s">
        <v>1261</v>
      </c>
      <c r="F148" s="148">
        <v>60776.03</v>
      </c>
      <c r="G148" s="148">
        <v>2760.57</v>
      </c>
      <c r="H148" s="148">
        <v>0</v>
      </c>
      <c r="I148" s="148">
        <v>0</v>
      </c>
      <c r="J148" s="148">
        <v>0</v>
      </c>
      <c r="K148" s="148">
        <v>0</v>
      </c>
      <c r="L148" s="970">
        <v>0</v>
      </c>
      <c r="M148" s="969"/>
      <c r="N148" s="148">
        <v>0</v>
      </c>
      <c r="O148" s="148">
        <v>0</v>
      </c>
      <c r="P148" s="148">
        <v>63536.6</v>
      </c>
    </row>
    <row r="149" spans="1:16" ht="26.4" x14ac:dyDescent="0.3">
      <c r="A149" s="37">
        <v>2016</v>
      </c>
      <c r="B149" s="38" t="s">
        <v>902</v>
      </c>
      <c r="C149" s="38" t="s">
        <v>901</v>
      </c>
      <c r="D149" s="37">
        <v>78223000</v>
      </c>
      <c r="E149" s="36" t="s">
        <v>140</v>
      </c>
      <c r="F149" s="149">
        <v>50615.79</v>
      </c>
      <c r="G149" s="149">
        <v>117.96</v>
      </c>
      <c r="H149" s="149">
        <v>-1652.67</v>
      </c>
      <c r="I149" s="149">
        <v>0</v>
      </c>
      <c r="J149" s="149">
        <v>0</v>
      </c>
      <c r="K149" s="149">
        <v>0</v>
      </c>
      <c r="L149" s="971">
        <v>0</v>
      </c>
      <c r="M149" s="969"/>
      <c r="N149" s="149">
        <v>0</v>
      </c>
      <c r="O149" s="149">
        <v>0</v>
      </c>
      <c r="P149" s="149">
        <v>49081.08</v>
      </c>
    </row>
    <row r="150" spans="1:16" ht="26.4" x14ac:dyDescent="0.3">
      <c r="A150" s="34">
        <v>2016</v>
      </c>
      <c r="B150" s="35" t="s">
        <v>902</v>
      </c>
      <c r="C150" s="35" t="s">
        <v>901</v>
      </c>
      <c r="D150" s="34">
        <v>78541000</v>
      </c>
      <c r="E150" s="33" t="s">
        <v>668</v>
      </c>
      <c r="F150" s="148">
        <v>140568.54</v>
      </c>
      <c r="G150" s="148">
        <v>0</v>
      </c>
      <c r="H150" s="148">
        <v>0</v>
      </c>
      <c r="I150" s="148">
        <v>0</v>
      </c>
      <c r="J150" s="148">
        <v>0</v>
      </c>
      <c r="K150" s="148">
        <v>0</v>
      </c>
      <c r="L150" s="970">
        <v>0</v>
      </c>
      <c r="M150" s="969"/>
      <c r="N150" s="148">
        <v>0</v>
      </c>
      <c r="O150" s="148">
        <v>0</v>
      </c>
      <c r="P150" s="148">
        <v>140568.54</v>
      </c>
    </row>
    <row r="151" spans="1:16" ht="26.4" x14ac:dyDescent="0.3">
      <c r="A151" s="37">
        <v>2016</v>
      </c>
      <c r="B151" s="38" t="s">
        <v>902</v>
      </c>
      <c r="C151" s="38" t="s">
        <v>901</v>
      </c>
      <c r="D151" s="37">
        <v>78509000</v>
      </c>
      <c r="E151" s="36" t="s">
        <v>682</v>
      </c>
      <c r="F151" s="149">
        <v>183432.06</v>
      </c>
      <c r="G151" s="149">
        <v>9039.11</v>
      </c>
      <c r="H151" s="149">
        <v>0</v>
      </c>
      <c r="I151" s="149">
        <v>0</v>
      </c>
      <c r="J151" s="149">
        <v>0</v>
      </c>
      <c r="K151" s="149">
        <v>0</v>
      </c>
      <c r="L151" s="971">
        <v>0</v>
      </c>
      <c r="M151" s="969"/>
      <c r="N151" s="149">
        <v>0</v>
      </c>
      <c r="O151" s="149">
        <v>0</v>
      </c>
      <c r="P151" s="149">
        <v>192471.17</v>
      </c>
    </row>
    <row r="152" spans="1:16" x14ac:dyDescent="0.3">
      <c r="A152" s="34">
        <v>2016</v>
      </c>
      <c r="B152" s="35" t="s">
        <v>902</v>
      </c>
      <c r="C152" s="35" t="s">
        <v>901</v>
      </c>
      <c r="D152" s="34">
        <v>108506000</v>
      </c>
      <c r="E152" s="33" t="s">
        <v>142</v>
      </c>
      <c r="F152" s="148">
        <v>46455.58</v>
      </c>
      <c r="G152" s="148">
        <v>0</v>
      </c>
      <c r="H152" s="148">
        <v>0</v>
      </c>
      <c r="I152" s="148">
        <v>0</v>
      </c>
      <c r="J152" s="148">
        <v>0</v>
      </c>
      <c r="K152" s="148">
        <v>0</v>
      </c>
      <c r="L152" s="970">
        <v>0</v>
      </c>
      <c r="M152" s="969"/>
      <c r="N152" s="148">
        <v>0</v>
      </c>
      <c r="O152" s="148">
        <v>0</v>
      </c>
      <c r="P152" s="148">
        <v>46455.58</v>
      </c>
    </row>
    <row r="153" spans="1:16" x14ac:dyDescent="0.3">
      <c r="A153" s="37">
        <v>2016</v>
      </c>
      <c r="B153" s="38" t="s">
        <v>902</v>
      </c>
      <c r="C153" s="38" t="s">
        <v>901</v>
      </c>
      <c r="D153" s="37">
        <v>108653000</v>
      </c>
      <c r="E153" s="36" t="s">
        <v>819</v>
      </c>
      <c r="F153" s="149">
        <v>71949.490000000005</v>
      </c>
      <c r="G153" s="149">
        <v>6895.02</v>
      </c>
      <c r="H153" s="149">
        <v>-881.76</v>
      </c>
      <c r="I153" s="149">
        <v>0</v>
      </c>
      <c r="J153" s="149">
        <v>0</v>
      </c>
      <c r="K153" s="149">
        <v>0</v>
      </c>
      <c r="L153" s="971">
        <v>0</v>
      </c>
      <c r="M153" s="969"/>
      <c r="N153" s="149">
        <v>0</v>
      </c>
      <c r="O153" s="149">
        <v>0</v>
      </c>
      <c r="P153" s="149">
        <v>77962.75</v>
      </c>
    </row>
    <row r="154" spans="1:16" ht="39.6" x14ac:dyDescent="0.3">
      <c r="A154" s="34">
        <v>2016</v>
      </c>
      <c r="B154" s="35" t="s">
        <v>902</v>
      </c>
      <c r="C154" s="35" t="s">
        <v>901</v>
      </c>
      <c r="D154" s="34">
        <v>78971000</v>
      </c>
      <c r="E154" s="33" t="s">
        <v>790</v>
      </c>
      <c r="F154" s="148">
        <v>127325.62</v>
      </c>
      <c r="G154" s="148">
        <v>19952.990000000002</v>
      </c>
      <c r="H154" s="148">
        <v>-23349.65</v>
      </c>
      <c r="I154" s="148">
        <v>0</v>
      </c>
      <c r="J154" s="148">
        <v>0</v>
      </c>
      <c r="K154" s="148">
        <v>0</v>
      </c>
      <c r="L154" s="970">
        <v>0</v>
      </c>
      <c r="M154" s="969"/>
      <c r="N154" s="148">
        <v>0</v>
      </c>
      <c r="O154" s="148">
        <v>0</v>
      </c>
      <c r="P154" s="148">
        <v>123928.96000000001</v>
      </c>
    </row>
    <row r="155" spans="1:16" ht="26.4" x14ac:dyDescent="0.3">
      <c r="A155" s="37">
        <v>2016</v>
      </c>
      <c r="B155" s="38" t="s">
        <v>902</v>
      </c>
      <c r="C155" s="38" t="s">
        <v>901</v>
      </c>
      <c r="D155" s="37">
        <v>78742000</v>
      </c>
      <c r="E155" s="36" t="s">
        <v>748</v>
      </c>
      <c r="F155" s="149">
        <v>77540.429999999993</v>
      </c>
      <c r="G155" s="149">
        <v>1965.25</v>
      </c>
      <c r="H155" s="149">
        <v>-16515.43</v>
      </c>
      <c r="I155" s="149">
        <v>0</v>
      </c>
      <c r="J155" s="149">
        <v>0</v>
      </c>
      <c r="K155" s="149">
        <v>0</v>
      </c>
      <c r="L155" s="971">
        <v>0</v>
      </c>
      <c r="M155" s="969"/>
      <c r="N155" s="149">
        <v>0</v>
      </c>
      <c r="O155" s="149">
        <v>0</v>
      </c>
      <c r="P155" s="149">
        <v>62990.25</v>
      </c>
    </row>
    <row r="156" spans="1:16" ht="26.4" x14ac:dyDescent="0.3">
      <c r="A156" s="34">
        <v>2016</v>
      </c>
      <c r="B156" s="35" t="s">
        <v>902</v>
      </c>
      <c r="C156" s="35" t="s">
        <v>901</v>
      </c>
      <c r="D156" s="34">
        <v>78740000</v>
      </c>
      <c r="E156" s="33" t="s">
        <v>746</v>
      </c>
      <c r="F156" s="148">
        <v>112085.26</v>
      </c>
      <c r="G156" s="148">
        <v>19738.54</v>
      </c>
      <c r="H156" s="148">
        <v>-19483.57</v>
      </c>
      <c r="I156" s="148">
        <v>0</v>
      </c>
      <c r="J156" s="148">
        <v>0</v>
      </c>
      <c r="K156" s="148">
        <v>0</v>
      </c>
      <c r="L156" s="970">
        <v>0</v>
      </c>
      <c r="M156" s="969"/>
      <c r="N156" s="148">
        <v>0</v>
      </c>
      <c r="O156" s="148">
        <v>0</v>
      </c>
      <c r="P156" s="148">
        <v>112340.23</v>
      </c>
    </row>
    <row r="157" spans="1:16" ht="26.4" x14ac:dyDescent="0.3">
      <c r="A157" s="37">
        <v>2016</v>
      </c>
      <c r="B157" s="38" t="s">
        <v>902</v>
      </c>
      <c r="C157" s="38" t="s">
        <v>901</v>
      </c>
      <c r="D157" s="37">
        <v>78915000</v>
      </c>
      <c r="E157" s="36" t="s">
        <v>768</v>
      </c>
      <c r="F157" s="149">
        <v>437967.3</v>
      </c>
      <c r="G157" s="149">
        <v>62059.33</v>
      </c>
      <c r="H157" s="149">
        <v>-27.79</v>
      </c>
      <c r="I157" s="149">
        <v>0</v>
      </c>
      <c r="J157" s="149">
        <v>0</v>
      </c>
      <c r="K157" s="149">
        <v>0</v>
      </c>
      <c r="L157" s="971">
        <v>0</v>
      </c>
      <c r="M157" s="969"/>
      <c r="N157" s="149">
        <v>0</v>
      </c>
      <c r="O157" s="149">
        <v>0</v>
      </c>
      <c r="P157" s="149">
        <v>499998.84</v>
      </c>
    </row>
    <row r="158" spans="1:16" ht="26.4" x14ac:dyDescent="0.3">
      <c r="A158" s="34">
        <v>2016</v>
      </c>
      <c r="B158" s="35" t="s">
        <v>902</v>
      </c>
      <c r="C158" s="35" t="s">
        <v>901</v>
      </c>
      <c r="D158" s="34">
        <v>78705000</v>
      </c>
      <c r="E158" s="33" t="s">
        <v>151</v>
      </c>
      <c r="F158" s="148">
        <v>140533.93</v>
      </c>
      <c r="G158" s="148">
        <v>17382.11</v>
      </c>
      <c r="H158" s="148">
        <v>-19183.3</v>
      </c>
      <c r="I158" s="148">
        <v>0</v>
      </c>
      <c r="J158" s="148">
        <v>0</v>
      </c>
      <c r="K158" s="148">
        <v>0</v>
      </c>
      <c r="L158" s="970">
        <v>0</v>
      </c>
      <c r="M158" s="969"/>
      <c r="N158" s="148">
        <v>0</v>
      </c>
      <c r="O158" s="148">
        <v>0</v>
      </c>
      <c r="P158" s="148">
        <v>138732.74</v>
      </c>
    </row>
    <row r="159" spans="1:16" ht="26.4" x14ac:dyDescent="0.3">
      <c r="A159" s="37">
        <v>2016</v>
      </c>
      <c r="B159" s="38" t="s">
        <v>902</v>
      </c>
      <c r="C159" s="38" t="s">
        <v>901</v>
      </c>
      <c r="D159" s="37">
        <v>78246000</v>
      </c>
      <c r="E159" s="36" t="s">
        <v>672</v>
      </c>
      <c r="F159" s="149">
        <v>257884.73</v>
      </c>
      <c r="G159" s="149">
        <v>12415.23</v>
      </c>
      <c r="H159" s="149">
        <v>-7179.99</v>
      </c>
      <c r="I159" s="149">
        <v>0</v>
      </c>
      <c r="J159" s="149">
        <v>0</v>
      </c>
      <c r="K159" s="149">
        <v>0</v>
      </c>
      <c r="L159" s="971">
        <v>0</v>
      </c>
      <c r="M159" s="969"/>
      <c r="N159" s="149">
        <v>0</v>
      </c>
      <c r="O159" s="149">
        <v>0</v>
      </c>
      <c r="P159" s="149">
        <v>263119.96999999997</v>
      </c>
    </row>
    <row r="160" spans="1:16" ht="26.4" x14ac:dyDescent="0.3">
      <c r="A160" s="34">
        <v>2016</v>
      </c>
      <c r="B160" s="35" t="s">
        <v>902</v>
      </c>
      <c r="C160" s="35" t="s">
        <v>901</v>
      </c>
      <c r="D160" s="34">
        <v>138705000</v>
      </c>
      <c r="E160" s="33" t="s">
        <v>865</v>
      </c>
      <c r="F160" s="148">
        <v>187592.42</v>
      </c>
      <c r="G160" s="148">
        <v>10829.67</v>
      </c>
      <c r="H160" s="148">
        <v>-3410.2</v>
      </c>
      <c r="I160" s="148">
        <v>0</v>
      </c>
      <c r="J160" s="148">
        <v>0</v>
      </c>
      <c r="K160" s="148">
        <v>0</v>
      </c>
      <c r="L160" s="970">
        <v>0</v>
      </c>
      <c r="M160" s="969"/>
      <c r="N160" s="148">
        <v>0</v>
      </c>
      <c r="O160" s="148">
        <v>0</v>
      </c>
      <c r="P160" s="148">
        <v>195011.89</v>
      </c>
    </row>
    <row r="161" spans="1:16" ht="39.6" x14ac:dyDescent="0.3">
      <c r="A161" s="37">
        <v>2016</v>
      </c>
      <c r="B161" s="38" t="s">
        <v>902</v>
      </c>
      <c r="C161" s="38" t="s">
        <v>901</v>
      </c>
      <c r="D161" s="37">
        <v>78744000</v>
      </c>
      <c r="E161" s="36" t="s">
        <v>749</v>
      </c>
      <c r="F161" s="149">
        <v>19386.490000000002</v>
      </c>
      <c r="G161" s="149">
        <v>0</v>
      </c>
      <c r="H161" s="149">
        <v>0</v>
      </c>
      <c r="I161" s="149">
        <v>0</v>
      </c>
      <c r="J161" s="149">
        <v>0</v>
      </c>
      <c r="K161" s="149">
        <v>-19386.490000000002</v>
      </c>
      <c r="L161" s="971">
        <v>0</v>
      </c>
      <c r="M161" s="969"/>
      <c r="N161" s="149">
        <v>0</v>
      </c>
      <c r="O161" s="149">
        <v>0</v>
      </c>
      <c r="P161" s="149">
        <v>0</v>
      </c>
    </row>
    <row r="162" spans="1:16" ht="26.4" x14ac:dyDescent="0.3">
      <c r="A162" s="34">
        <v>2016</v>
      </c>
      <c r="B162" s="35" t="s">
        <v>902</v>
      </c>
      <c r="C162" s="35" t="s">
        <v>901</v>
      </c>
      <c r="D162" s="34">
        <v>78917000</v>
      </c>
      <c r="E162" s="33" t="s">
        <v>769</v>
      </c>
      <c r="F162" s="148">
        <v>107759.43</v>
      </c>
      <c r="G162" s="148">
        <v>0</v>
      </c>
      <c r="H162" s="148">
        <v>-5</v>
      </c>
      <c r="I162" s="148">
        <v>0</v>
      </c>
      <c r="J162" s="148">
        <v>0</v>
      </c>
      <c r="K162" s="148">
        <v>0</v>
      </c>
      <c r="L162" s="970">
        <v>0</v>
      </c>
      <c r="M162" s="969"/>
      <c r="N162" s="148">
        <v>0</v>
      </c>
      <c r="O162" s="148">
        <v>0</v>
      </c>
      <c r="P162" s="148">
        <v>107754.43</v>
      </c>
    </row>
    <row r="163" spans="1:16" ht="26.4" x14ac:dyDescent="0.3">
      <c r="A163" s="37">
        <v>2016</v>
      </c>
      <c r="B163" s="38" t="s">
        <v>902</v>
      </c>
      <c r="C163" s="38" t="s">
        <v>901</v>
      </c>
      <c r="D163" s="37">
        <v>78558000</v>
      </c>
      <c r="E163" s="36" t="s">
        <v>152</v>
      </c>
      <c r="F163" s="149">
        <v>85668.63</v>
      </c>
      <c r="G163" s="149">
        <v>4205</v>
      </c>
      <c r="H163" s="149">
        <v>0</v>
      </c>
      <c r="I163" s="149">
        <v>0</v>
      </c>
      <c r="J163" s="149">
        <v>0</v>
      </c>
      <c r="K163" s="149">
        <v>0</v>
      </c>
      <c r="L163" s="971">
        <v>0</v>
      </c>
      <c r="M163" s="969"/>
      <c r="N163" s="149">
        <v>0</v>
      </c>
      <c r="O163" s="149">
        <v>0</v>
      </c>
      <c r="P163" s="149">
        <v>89873.63</v>
      </c>
    </row>
    <row r="164" spans="1:16" x14ac:dyDescent="0.3">
      <c r="A164" s="34">
        <v>2016</v>
      </c>
      <c r="B164" s="35" t="s">
        <v>902</v>
      </c>
      <c r="C164" s="35" t="s">
        <v>901</v>
      </c>
      <c r="D164" s="34">
        <v>78717000</v>
      </c>
      <c r="E164" s="33" t="s">
        <v>739</v>
      </c>
      <c r="F164" s="148">
        <v>36899.46</v>
      </c>
      <c r="G164" s="148">
        <v>6944.02</v>
      </c>
      <c r="H164" s="148">
        <v>0</v>
      </c>
      <c r="I164" s="148">
        <v>0</v>
      </c>
      <c r="J164" s="148">
        <v>0</v>
      </c>
      <c r="K164" s="148">
        <v>0</v>
      </c>
      <c r="L164" s="970">
        <v>0</v>
      </c>
      <c r="M164" s="969"/>
      <c r="N164" s="148">
        <v>0</v>
      </c>
      <c r="O164" s="148">
        <v>0</v>
      </c>
      <c r="P164" s="148">
        <v>43843.48</v>
      </c>
    </row>
    <row r="165" spans="1:16" ht="26.4" x14ac:dyDescent="0.3">
      <c r="A165" s="37">
        <v>2016</v>
      </c>
      <c r="B165" s="38" t="s">
        <v>902</v>
      </c>
      <c r="C165" s="38" t="s">
        <v>901</v>
      </c>
      <c r="D165" s="37">
        <v>78911000</v>
      </c>
      <c r="E165" s="36" t="s">
        <v>765</v>
      </c>
      <c r="F165" s="149">
        <v>148662.13</v>
      </c>
      <c r="G165" s="149">
        <v>26571.43</v>
      </c>
      <c r="H165" s="149">
        <v>-60083.46</v>
      </c>
      <c r="I165" s="149">
        <v>0</v>
      </c>
      <c r="J165" s="149">
        <v>0</v>
      </c>
      <c r="K165" s="149">
        <v>0</v>
      </c>
      <c r="L165" s="971">
        <v>0</v>
      </c>
      <c r="M165" s="969"/>
      <c r="N165" s="149">
        <v>0</v>
      </c>
      <c r="O165" s="149">
        <v>0</v>
      </c>
      <c r="P165" s="149">
        <v>115150.1</v>
      </c>
    </row>
    <row r="166" spans="1:16" ht="26.4" x14ac:dyDescent="0.3">
      <c r="A166" s="34">
        <v>2016</v>
      </c>
      <c r="B166" s="35" t="s">
        <v>902</v>
      </c>
      <c r="C166" s="35" t="s">
        <v>901</v>
      </c>
      <c r="D166" s="34">
        <v>20412000</v>
      </c>
      <c r="E166" s="33" t="s">
        <v>155</v>
      </c>
      <c r="F166" s="148">
        <v>38459.26</v>
      </c>
      <c r="G166" s="148">
        <v>19228.54</v>
      </c>
      <c r="H166" s="148">
        <v>0</v>
      </c>
      <c r="I166" s="148">
        <v>0</v>
      </c>
      <c r="J166" s="148">
        <v>0</v>
      </c>
      <c r="K166" s="148">
        <v>0</v>
      </c>
      <c r="L166" s="970">
        <v>0</v>
      </c>
      <c r="M166" s="969"/>
      <c r="N166" s="148">
        <v>0</v>
      </c>
      <c r="O166" s="148">
        <v>0</v>
      </c>
      <c r="P166" s="148">
        <v>57687.8</v>
      </c>
    </row>
    <row r="167" spans="1:16" x14ac:dyDescent="0.3">
      <c r="A167" s="37">
        <v>2016</v>
      </c>
      <c r="B167" s="38" t="s">
        <v>902</v>
      </c>
      <c r="C167" s="38" t="s">
        <v>901</v>
      </c>
      <c r="D167" s="37">
        <v>110411000</v>
      </c>
      <c r="E167" s="36" t="s">
        <v>156</v>
      </c>
      <c r="F167" s="149">
        <v>700380.61</v>
      </c>
      <c r="G167" s="149">
        <v>22290.93</v>
      </c>
      <c r="H167" s="149">
        <v>0</v>
      </c>
      <c r="I167" s="149">
        <v>0</v>
      </c>
      <c r="J167" s="149">
        <v>0</v>
      </c>
      <c r="K167" s="149">
        <v>0</v>
      </c>
      <c r="L167" s="971">
        <v>0</v>
      </c>
      <c r="M167" s="969"/>
      <c r="N167" s="149">
        <v>0</v>
      </c>
      <c r="O167" s="149">
        <v>0</v>
      </c>
      <c r="P167" s="149">
        <v>722671.54</v>
      </c>
    </row>
    <row r="168" spans="1:16" ht="26.4" x14ac:dyDescent="0.3">
      <c r="A168" s="34">
        <v>2016</v>
      </c>
      <c r="B168" s="35" t="s">
        <v>902</v>
      </c>
      <c r="C168" s="35" t="s">
        <v>901</v>
      </c>
      <c r="D168" s="34">
        <v>100337000</v>
      </c>
      <c r="E168" s="33" t="s">
        <v>523</v>
      </c>
      <c r="F168" s="148">
        <v>8633.76</v>
      </c>
      <c r="G168" s="148">
        <v>0</v>
      </c>
      <c r="H168" s="148">
        <v>0</v>
      </c>
      <c r="I168" s="148">
        <v>0</v>
      </c>
      <c r="J168" s="148">
        <v>0</v>
      </c>
      <c r="K168" s="148">
        <v>-8633.76</v>
      </c>
      <c r="L168" s="970">
        <v>0</v>
      </c>
      <c r="M168" s="969"/>
      <c r="N168" s="148">
        <v>0</v>
      </c>
      <c r="O168" s="148">
        <v>0</v>
      </c>
      <c r="P168" s="148">
        <v>0</v>
      </c>
    </row>
    <row r="169" spans="1:16" ht="26.4" x14ac:dyDescent="0.3">
      <c r="A169" s="37">
        <v>2016</v>
      </c>
      <c r="B169" s="38" t="s">
        <v>902</v>
      </c>
      <c r="C169" s="38" t="s">
        <v>901</v>
      </c>
      <c r="D169" s="37">
        <v>78664000</v>
      </c>
      <c r="E169" s="36" t="s">
        <v>728</v>
      </c>
      <c r="F169" s="149">
        <v>97705.02</v>
      </c>
      <c r="G169" s="149">
        <v>16060.06</v>
      </c>
      <c r="H169" s="149">
        <v>0</v>
      </c>
      <c r="I169" s="149">
        <v>0</v>
      </c>
      <c r="J169" s="149">
        <v>0</v>
      </c>
      <c r="K169" s="149">
        <v>0</v>
      </c>
      <c r="L169" s="971">
        <v>0</v>
      </c>
      <c r="M169" s="969"/>
      <c r="N169" s="149">
        <v>0</v>
      </c>
      <c r="O169" s="149">
        <v>0</v>
      </c>
      <c r="P169" s="149">
        <v>113765.08</v>
      </c>
    </row>
    <row r="170" spans="1:16" x14ac:dyDescent="0.3">
      <c r="A170" s="34">
        <v>2016</v>
      </c>
      <c r="B170" s="35" t="s">
        <v>902</v>
      </c>
      <c r="C170" s="35" t="s">
        <v>901</v>
      </c>
      <c r="D170" s="34">
        <v>78401000</v>
      </c>
      <c r="E170" s="33" t="s">
        <v>158</v>
      </c>
      <c r="F170" s="148">
        <v>158031.46</v>
      </c>
      <c r="G170" s="148">
        <v>0</v>
      </c>
      <c r="H170" s="148">
        <v>0</v>
      </c>
      <c r="I170" s="148">
        <v>0</v>
      </c>
      <c r="J170" s="148">
        <v>83268.800000000003</v>
      </c>
      <c r="K170" s="148">
        <v>0</v>
      </c>
      <c r="L170" s="970">
        <v>0</v>
      </c>
      <c r="M170" s="969"/>
      <c r="N170" s="148">
        <v>0</v>
      </c>
      <c r="O170" s="148">
        <v>0</v>
      </c>
      <c r="P170" s="148">
        <v>241300.26</v>
      </c>
    </row>
    <row r="171" spans="1:16" ht="26.4" x14ac:dyDescent="0.3">
      <c r="A171" s="37">
        <v>2016</v>
      </c>
      <c r="B171" s="38" t="s">
        <v>902</v>
      </c>
      <c r="C171" s="38" t="s">
        <v>901</v>
      </c>
      <c r="D171" s="37">
        <v>78103000</v>
      </c>
      <c r="E171" s="36" t="s">
        <v>159</v>
      </c>
      <c r="F171" s="149">
        <v>228941.48</v>
      </c>
      <c r="G171" s="149">
        <v>9576.41</v>
      </c>
      <c r="H171" s="149">
        <v>-18681.349999999999</v>
      </c>
      <c r="I171" s="149">
        <v>0</v>
      </c>
      <c r="J171" s="149">
        <v>0</v>
      </c>
      <c r="K171" s="149">
        <v>0</v>
      </c>
      <c r="L171" s="971">
        <v>0</v>
      </c>
      <c r="M171" s="969"/>
      <c r="N171" s="149">
        <v>0</v>
      </c>
      <c r="O171" s="149">
        <v>0</v>
      </c>
      <c r="P171" s="149">
        <v>219836.54</v>
      </c>
    </row>
    <row r="172" spans="1:16" ht="26.4" x14ac:dyDescent="0.3">
      <c r="A172" s="34">
        <v>2016</v>
      </c>
      <c r="B172" s="35" t="s">
        <v>902</v>
      </c>
      <c r="C172" s="35" t="s">
        <v>901</v>
      </c>
      <c r="D172" s="34">
        <v>78711000</v>
      </c>
      <c r="E172" s="33" t="s">
        <v>159</v>
      </c>
      <c r="F172" s="148">
        <v>137393.47</v>
      </c>
      <c r="G172" s="148">
        <v>11658.46</v>
      </c>
      <c r="H172" s="148">
        <v>-9761.56</v>
      </c>
      <c r="I172" s="148">
        <v>0</v>
      </c>
      <c r="J172" s="148">
        <v>0</v>
      </c>
      <c r="K172" s="148">
        <v>0</v>
      </c>
      <c r="L172" s="970">
        <v>0</v>
      </c>
      <c r="M172" s="969"/>
      <c r="N172" s="148">
        <v>0</v>
      </c>
      <c r="O172" s="148">
        <v>0</v>
      </c>
      <c r="P172" s="148">
        <v>139290.37</v>
      </c>
    </row>
    <row r="173" spans="1:16" ht="39.6" x14ac:dyDescent="0.3">
      <c r="A173" s="37">
        <v>2016</v>
      </c>
      <c r="B173" s="38" t="s">
        <v>902</v>
      </c>
      <c r="C173" s="38" t="s">
        <v>901</v>
      </c>
      <c r="D173" s="37">
        <v>78254000</v>
      </c>
      <c r="E173" s="36" t="s">
        <v>1252</v>
      </c>
      <c r="F173" s="149">
        <v>23964.78</v>
      </c>
      <c r="G173" s="149">
        <v>0</v>
      </c>
      <c r="H173" s="149">
        <v>0</v>
      </c>
      <c r="I173" s="149">
        <v>0</v>
      </c>
      <c r="J173" s="149">
        <v>8734.4500000000007</v>
      </c>
      <c r="K173" s="149">
        <v>0</v>
      </c>
      <c r="L173" s="971">
        <v>0</v>
      </c>
      <c r="M173" s="969"/>
      <c r="N173" s="149">
        <v>0</v>
      </c>
      <c r="O173" s="149">
        <v>0</v>
      </c>
      <c r="P173" s="149">
        <v>32699.23</v>
      </c>
    </row>
    <row r="174" spans="1:16" ht="26.4" x14ac:dyDescent="0.3">
      <c r="A174" s="34">
        <v>2016</v>
      </c>
      <c r="B174" s="35" t="s">
        <v>902</v>
      </c>
      <c r="C174" s="35" t="s">
        <v>901</v>
      </c>
      <c r="D174" s="34">
        <v>78901000</v>
      </c>
      <c r="E174" s="33" t="s">
        <v>763</v>
      </c>
      <c r="F174" s="148">
        <v>125751.52</v>
      </c>
      <c r="G174" s="148">
        <v>2759.92</v>
      </c>
      <c r="H174" s="148">
        <v>0</v>
      </c>
      <c r="I174" s="148">
        <v>0</v>
      </c>
      <c r="J174" s="148">
        <v>0</v>
      </c>
      <c r="K174" s="148">
        <v>0</v>
      </c>
      <c r="L174" s="970">
        <v>0</v>
      </c>
      <c r="M174" s="969"/>
      <c r="N174" s="148">
        <v>0</v>
      </c>
      <c r="O174" s="148">
        <v>0</v>
      </c>
      <c r="P174" s="148">
        <v>128511.44</v>
      </c>
    </row>
    <row r="175" spans="1:16" ht="26.4" x14ac:dyDescent="0.3">
      <c r="A175" s="37">
        <v>2016</v>
      </c>
      <c r="B175" s="38" t="s">
        <v>902</v>
      </c>
      <c r="C175" s="38" t="s">
        <v>901</v>
      </c>
      <c r="D175" s="37">
        <v>78785000</v>
      </c>
      <c r="E175" s="36" t="s">
        <v>762</v>
      </c>
      <c r="F175" s="149">
        <v>285825.40000000002</v>
      </c>
      <c r="G175" s="149">
        <v>26043.439999999999</v>
      </c>
      <c r="H175" s="149">
        <v>-7055.14</v>
      </c>
      <c r="I175" s="149">
        <v>0</v>
      </c>
      <c r="J175" s="149">
        <v>195361.4</v>
      </c>
      <c r="K175" s="149">
        <v>0</v>
      </c>
      <c r="L175" s="971">
        <v>0</v>
      </c>
      <c r="M175" s="969"/>
      <c r="N175" s="149">
        <v>0</v>
      </c>
      <c r="O175" s="149">
        <v>0</v>
      </c>
      <c r="P175" s="149">
        <v>500175.1</v>
      </c>
    </row>
    <row r="176" spans="1:16" ht="26.4" x14ac:dyDescent="0.3">
      <c r="A176" s="34">
        <v>2016</v>
      </c>
      <c r="B176" s="35" t="s">
        <v>902</v>
      </c>
      <c r="C176" s="35" t="s">
        <v>901</v>
      </c>
      <c r="D176" s="34">
        <v>38752000</v>
      </c>
      <c r="E176" s="33" t="s">
        <v>162</v>
      </c>
      <c r="F176" s="148">
        <v>20649.32</v>
      </c>
      <c r="G176" s="148">
        <v>0</v>
      </c>
      <c r="H176" s="148">
        <v>0</v>
      </c>
      <c r="I176" s="148">
        <v>0</v>
      </c>
      <c r="J176" s="148">
        <v>0</v>
      </c>
      <c r="K176" s="148">
        <v>0</v>
      </c>
      <c r="L176" s="970">
        <v>0</v>
      </c>
      <c r="M176" s="969"/>
      <c r="N176" s="148">
        <v>0</v>
      </c>
      <c r="O176" s="148">
        <v>0</v>
      </c>
      <c r="P176" s="148">
        <v>20649.32</v>
      </c>
    </row>
    <row r="177" spans="1:16" x14ac:dyDescent="0.3">
      <c r="A177" s="37">
        <v>2016</v>
      </c>
      <c r="B177" s="38" t="s">
        <v>902</v>
      </c>
      <c r="C177" s="38" t="s">
        <v>901</v>
      </c>
      <c r="D177" s="37">
        <v>30201000</v>
      </c>
      <c r="E177" s="36" t="s">
        <v>164</v>
      </c>
      <c r="F177" s="149">
        <v>2614809.41</v>
      </c>
      <c r="G177" s="149">
        <v>322296.28000000003</v>
      </c>
      <c r="H177" s="149">
        <v>0</v>
      </c>
      <c r="I177" s="149">
        <v>0</v>
      </c>
      <c r="J177" s="149">
        <v>0</v>
      </c>
      <c r="K177" s="149">
        <v>0</v>
      </c>
      <c r="L177" s="971">
        <v>0</v>
      </c>
      <c r="M177" s="969"/>
      <c r="N177" s="149">
        <v>0</v>
      </c>
      <c r="O177" s="149">
        <v>0</v>
      </c>
      <c r="P177" s="149">
        <v>2937105.69</v>
      </c>
    </row>
    <row r="178" spans="1:16" ht="39.6" x14ac:dyDescent="0.3">
      <c r="A178" s="34">
        <v>2016</v>
      </c>
      <c r="B178" s="35" t="s">
        <v>902</v>
      </c>
      <c r="C178" s="35" t="s">
        <v>901</v>
      </c>
      <c r="D178" s="34">
        <v>78608000</v>
      </c>
      <c r="E178" s="33" t="s">
        <v>723</v>
      </c>
      <c r="F178" s="148">
        <v>52647.839999999997</v>
      </c>
      <c r="G178" s="148">
        <v>8382.33</v>
      </c>
      <c r="H178" s="148">
        <v>0</v>
      </c>
      <c r="I178" s="148">
        <v>0</v>
      </c>
      <c r="J178" s="148">
        <v>0</v>
      </c>
      <c r="K178" s="148">
        <v>0</v>
      </c>
      <c r="L178" s="970">
        <v>0</v>
      </c>
      <c r="M178" s="969"/>
      <c r="N178" s="148">
        <v>0</v>
      </c>
      <c r="O178" s="148">
        <v>0</v>
      </c>
      <c r="P178" s="148">
        <v>61030.17</v>
      </c>
    </row>
    <row r="179" spans="1:16" ht="26.4" x14ac:dyDescent="0.3">
      <c r="A179" s="37">
        <v>2016</v>
      </c>
      <c r="B179" s="38" t="s">
        <v>902</v>
      </c>
      <c r="C179" s="38" t="s">
        <v>901</v>
      </c>
      <c r="D179" s="37">
        <v>110201000</v>
      </c>
      <c r="E179" s="36" t="s">
        <v>166</v>
      </c>
      <c r="F179" s="149">
        <v>1894165.99</v>
      </c>
      <c r="G179" s="149">
        <v>673505.4</v>
      </c>
      <c r="H179" s="149">
        <v>0</v>
      </c>
      <c r="I179" s="149">
        <v>0</v>
      </c>
      <c r="J179" s="149">
        <v>0</v>
      </c>
      <c r="K179" s="149">
        <v>0</v>
      </c>
      <c r="L179" s="971">
        <v>0</v>
      </c>
      <c r="M179" s="969"/>
      <c r="N179" s="149">
        <v>0</v>
      </c>
      <c r="O179" s="149">
        <v>0</v>
      </c>
      <c r="P179" s="149">
        <v>2567671.39</v>
      </c>
    </row>
    <row r="180" spans="1:16" ht="26.4" x14ac:dyDescent="0.3">
      <c r="A180" s="34">
        <v>2016</v>
      </c>
      <c r="B180" s="35" t="s">
        <v>902</v>
      </c>
      <c r="C180" s="35" t="s">
        <v>901</v>
      </c>
      <c r="D180" s="34">
        <v>100208000</v>
      </c>
      <c r="E180" s="33" t="s">
        <v>167</v>
      </c>
      <c r="F180" s="148">
        <v>1619125.48</v>
      </c>
      <c r="G180" s="148">
        <v>206994.49</v>
      </c>
      <c r="H180" s="148">
        <v>0</v>
      </c>
      <c r="I180" s="148">
        <v>0</v>
      </c>
      <c r="J180" s="148">
        <v>0</v>
      </c>
      <c r="K180" s="148">
        <v>0</v>
      </c>
      <c r="L180" s="970">
        <v>0</v>
      </c>
      <c r="M180" s="969"/>
      <c r="N180" s="148">
        <v>0</v>
      </c>
      <c r="O180" s="148">
        <v>0</v>
      </c>
      <c r="P180" s="148">
        <v>1826119.97</v>
      </c>
    </row>
    <row r="181" spans="1:16" ht="26.4" x14ac:dyDescent="0.3">
      <c r="A181" s="37">
        <v>2016</v>
      </c>
      <c r="B181" s="38" t="s">
        <v>902</v>
      </c>
      <c r="C181" s="38" t="s">
        <v>901</v>
      </c>
      <c r="D181" s="37">
        <v>20100000</v>
      </c>
      <c r="E181" s="36" t="s">
        <v>168</v>
      </c>
      <c r="F181" s="149">
        <v>144464.54</v>
      </c>
      <c r="G181" s="149">
        <v>0</v>
      </c>
      <c r="H181" s="149">
        <v>0</v>
      </c>
      <c r="I181" s="149">
        <v>0</v>
      </c>
      <c r="J181" s="149">
        <v>0</v>
      </c>
      <c r="K181" s="149">
        <v>0</v>
      </c>
      <c r="L181" s="971">
        <v>0</v>
      </c>
      <c r="M181" s="969"/>
      <c r="N181" s="149">
        <v>0</v>
      </c>
      <c r="O181" s="149">
        <v>0</v>
      </c>
      <c r="P181" s="149">
        <v>144464.54</v>
      </c>
    </row>
    <row r="182" spans="1:16" ht="26.4" x14ac:dyDescent="0.3">
      <c r="A182" s="34">
        <v>2016</v>
      </c>
      <c r="B182" s="35" t="s">
        <v>902</v>
      </c>
      <c r="C182" s="35" t="s">
        <v>901</v>
      </c>
      <c r="D182" s="34">
        <v>50207000</v>
      </c>
      <c r="E182" s="33" t="s">
        <v>169</v>
      </c>
      <c r="F182" s="148">
        <v>680538.87</v>
      </c>
      <c r="G182" s="148">
        <v>28376.86</v>
      </c>
      <c r="H182" s="148">
        <v>0</v>
      </c>
      <c r="I182" s="148">
        <v>0</v>
      </c>
      <c r="J182" s="148">
        <v>0</v>
      </c>
      <c r="K182" s="148">
        <v>0</v>
      </c>
      <c r="L182" s="970">
        <v>0</v>
      </c>
      <c r="M182" s="969"/>
      <c r="N182" s="148">
        <v>0</v>
      </c>
      <c r="O182" s="148">
        <v>0</v>
      </c>
      <c r="P182" s="148">
        <v>708915.73</v>
      </c>
    </row>
    <row r="183" spans="1:16" ht="26.4" x14ac:dyDescent="0.3">
      <c r="A183" s="37">
        <v>2016</v>
      </c>
      <c r="B183" s="38" t="s">
        <v>902</v>
      </c>
      <c r="C183" s="38" t="s">
        <v>901</v>
      </c>
      <c r="D183" s="37">
        <v>98750000</v>
      </c>
      <c r="E183" s="36" t="s">
        <v>811</v>
      </c>
      <c r="F183" s="149">
        <v>55500.05</v>
      </c>
      <c r="G183" s="149">
        <v>0</v>
      </c>
      <c r="H183" s="149">
        <v>0</v>
      </c>
      <c r="I183" s="149">
        <v>0</v>
      </c>
      <c r="J183" s="149">
        <v>0</v>
      </c>
      <c r="K183" s="149">
        <v>0</v>
      </c>
      <c r="L183" s="971">
        <v>0</v>
      </c>
      <c r="M183" s="969"/>
      <c r="N183" s="149">
        <v>0</v>
      </c>
      <c r="O183" s="149">
        <v>0</v>
      </c>
      <c r="P183" s="149">
        <v>55500.05</v>
      </c>
    </row>
    <row r="184" spans="1:16" ht="26.4" x14ac:dyDescent="0.3">
      <c r="A184" s="34">
        <v>2016</v>
      </c>
      <c r="B184" s="35" t="s">
        <v>902</v>
      </c>
      <c r="C184" s="35" t="s">
        <v>901</v>
      </c>
      <c r="D184" s="34">
        <v>70298000</v>
      </c>
      <c r="E184" s="33" t="s">
        <v>171</v>
      </c>
      <c r="F184" s="148">
        <v>166708.87</v>
      </c>
      <c r="G184" s="148">
        <v>37068</v>
      </c>
      <c r="H184" s="148">
        <v>0</v>
      </c>
      <c r="I184" s="148">
        <v>0</v>
      </c>
      <c r="J184" s="148">
        <v>0</v>
      </c>
      <c r="K184" s="148">
        <v>0</v>
      </c>
      <c r="L184" s="970">
        <v>0</v>
      </c>
      <c r="M184" s="969"/>
      <c r="N184" s="148">
        <v>0</v>
      </c>
      <c r="O184" s="148">
        <v>0</v>
      </c>
      <c r="P184" s="148">
        <v>203776.87</v>
      </c>
    </row>
    <row r="185" spans="1:16" ht="26.4" x14ac:dyDescent="0.3">
      <c r="A185" s="37">
        <v>2016</v>
      </c>
      <c r="B185" s="38" t="s">
        <v>902</v>
      </c>
      <c r="C185" s="38" t="s">
        <v>901</v>
      </c>
      <c r="D185" s="37">
        <v>70445000</v>
      </c>
      <c r="E185" s="36" t="s">
        <v>172</v>
      </c>
      <c r="F185" s="149">
        <v>1814955.63</v>
      </c>
      <c r="G185" s="149">
        <v>253852.73</v>
      </c>
      <c r="H185" s="149">
        <v>0</v>
      </c>
      <c r="I185" s="149">
        <v>0</v>
      </c>
      <c r="J185" s="149">
        <v>0</v>
      </c>
      <c r="K185" s="149">
        <v>0</v>
      </c>
      <c r="L185" s="971">
        <v>0</v>
      </c>
      <c r="M185" s="969"/>
      <c r="N185" s="149">
        <v>0</v>
      </c>
      <c r="O185" s="149">
        <v>0</v>
      </c>
      <c r="P185" s="149">
        <v>2068808.36</v>
      </c>
    </row>
    <row r="186" spans="1:16" ht="26.4" x14ac:dyDescent="0.3">
      <c r="A186" s="34">
        <v>2016</v>
      </c>
      <c r="B186" s="35" t="s">
        <v>902</v>
      </c>
      <c r="C186" s="35" t="s">
        <v>901</v>
      </c>
      <c r="D186" s="34">
        <v>78263000</v>
      </c>
      <c r="E186" s="33" t="s">
        <v>679</v>
      </c>
      <c r="F186" s="148">
        <v>17158.75</v>
      </c>
      <c r="G186" s="148">
        <v>0</v>
      </c>
      <c r="H186" s="148">
        <v>0</v>
      </c>
      <c r="I186" s="148">
        <v>0</v>
      </c>
      <c r="J186" s="148">
        <v>0</v>
      </c>
      <c r="K186" s="148">
        <v>0</v>
      </c>
      <c r="L186" s="970">
        <v>0</v>
      </c>
      <c r="M186" s="969"/>
      <c r="N186" s="148">
        <v>0</v>
      </c>
      <c r="O186" s="148">
        <v>0</v>
      </c>
      <c r="P186" s="148">
        <v>17158.75</v>
      </c>
    </row>
    <row r="187" spans="1:16" ht="26.4" x14ac:dyDescent="0.3">
      <c r="A187" s="37">
        <v>2016</v>
      </c>
      <c r="B187" s="38" t="s">
        <v>902</v>
      </c>
      <c r="C187" s="38" t="s">
        <v>901</v>
      </c>
      <c r="D187" s="37">
        <v>138751000</v>
      </c>
      <c r="E187" s="36" t="s">
        <v>679</v>
      </c>
      <c r="F187" s="149">
        <v>106431.58</v>
      </c>
      <c r="G187" s="149">
        <v>0</v>
      </c>
      <c r="H187" s="149">
        <v>0</v>
      </c>
      <c r="I187" s="149">
        <v>0</v>
      </c>
      <c r="J187" s="149">
        <v>0</v>
      </c>
      <c r="K187" s="149">
        <v>0</v>
      </c>
      <c r="L187" s="971">
        <v>0</v>
      </c>
      <c r="M187" s="969"/>
      <c r="N187" s="149">
        <v>0</v>
      </c>
      <c r="O187" s="149">
        <v>0</v>
      </c>
      <c r="P187" s="149">
        <v>106431.58</v>
      </c>
    </row>
    <row r="188" spans="1:16" ht="26.4" x14ac:dyDescent="0.3">
      <c r="A188" s="34">
        <v>2016</v>
      </c>
      <c r="B188" s="35" t="s">
        <v>902</v>
      </c>
      <c r="C188" s="35" t="s">
        <v>901</v>
      </c>
      <c r="D188" s="34">
        <v>30206000</v>
      </c>
      <c r="E188" s="33" t="s">
        <v>174</v>
      </c>
      <c r="F188" s="148">
        <v>85598.19</v>
      </c>
      <c r="G188" s="148">
        <v>8621.41</v>
      </c>
      <c r="H188" s="148">
        <v>0</v>
      </c>
      <c r="I188" s="148">
        <v>0</v>
      </c>
      <c r="J188" s="148">
        <v>0</v>
      </c>
      <c r="K188" s="148">
        <v>0</v>
      </c>
      <c r="L188" s="970">
        <v>0</v>
      </c>
      <c r="M188" s="969"/>
      <c r="N188" s="148">
        <v>0</v>
      </c>
      <c r="O188" s="148">
        <v>0</v>
      </c>
      <c r="P188" s="148">
        <v>94219.6</v>
      </c>
    </row>
    <row r="189" spans="1:16" x14ac:dyDescent="0.3">
      <c r="A189" s="37">
        <v>2016</v>
      </c>
      <c r="B189" s="38" t="s">
        <v>902</v>
      </c>
      <c r="C189" s="38" t="s">
        <v>901</v>
      </c>
      <c r="D189" s="37">
        <v>78611000</v>
      </c>
      <c r="E189" s="36" t="s">
        <v>724</v>
      </c>
      <c r="F189" s="149">
        <v>196565.86</v>
      </c>
      <c r="G189" s="149">
        <v>0</v>
      </c>
      <c r="H189" s="149">
        <v>0</v>
      </c>
      <c r="I189" s="149">
        <v>0</v>
      </c>
      <c r="J189" s="149">
        <v>0</v>
      </c>
      <c r="K189" s="149">
        <v>0</v>
      </c>
      <c r="L189" s="971">
        <v>0</v>
      </c>
      <c r="M189" s="969"/>
      <c r="N189" s="149">
        <v>0</v>
      </c>
      <c r="O189" s="149">
        <v>0</v>
      </c>
      <c r="P189" s="149">
        <v>196565.86</v>
      </c>
    </row>
    <row r="190" spans="1:16" ht="26.4" x14ac:dyDescent="0.3">
      <c r="A190" s="34">
        <v>2016</v>
      </c>
      <c r="B190" s="35" t="s">
        <v>902</v>
      </c>
      <c r="C190" s="35" t="s">
        <v>901</v>
      </c>
      <c r="D190" s="34">
        <v>140432000</v>
      </c>
      <c r="E190" s="33" t="s">
        <v>176</v>
      </c>
      <c r="F190" s="148">
        <v>1892425.91</v>
      </c>
      <c r="G190" s="148">
        <v>28575.38</v>
      </c>
      <c r="H190" s="148">
        <v>0</v>
      </c>
      <c r="I190" s="148">
        <v>0</v>
      </c>
      <c r="J190" s="148">
        <v>0</v>
      </c>
      <c r="K190" s="148">
        <v>0</v>
      </c>
      <c r="L190" s="970">
        <v>0</v>
      </c>
      <c r="M190" s="969"/>
      <c r="N190" s="148">
        <v>0</v>
      </c>
      <c r="O190" s="148">
        <v>0</v>
      </c>
      <c r="P190" s="148">
        <v>1921001.29</v>
      </c>
    </row>
    <row r="191" spans="1:16" ht="26.4" x14ac:dyDescent="0.3">
      <c r="A191" s="37">
        <v>2016</v>
      </c>
      <c r="B191" s="38" t="s">
        <v>902</v>
      </c>
      <c r="C191" s="38" t="s">
        <v>901</v>
      </c>
      <c r="D191" s="37">
        <v>10220000</v>
      </c>
      <c r="E191" s="36" t="s">
        <v>177</v>
      </c>
      <c r="F191" s="149">
        <v>948244.45</v>
      </c>
      <c r="G191" s="149">
        <v>57979.78</v>
      </c>
      <c r="H191" s="149">
        <v>0</v>
      </c>
      <c r="I191" s="149">
        <v>0</v>
      </c>
      <c r="J191" s="149">
        <v>0</v>
      </c>
      <c r="K191" s="149">
        <v>0</v>
      </c>
      <c r="L191" s="971">
        <v>0</v>
      </c>
      <c r="M191" s="969"/>
      <c r="N191" s="149">
        <v>0</v>
      </c>
      <c r="O191" s="149">
        <v>0</v>
      </c>
      <c r="P191" s="149">
        <v>1006224.23</v>
      </c>
    </row>
    <row r="192" spans="1:16" ht="26.4" x14ac:dyDescent="0.3">
      <c r="A192" s="34">
        <v>2016</v>
      </c>
      <c r="B192" s="35" t="s">
        <v>902</v>
      </c>
      <c r="C192" s="35" t="s">
        <v>901</v>
      </c>
      <c r="D192" s="34">
        <v>78774000</v>
      </c>
      <c r="E192" s="33" t="s">
        <v>760</v>
      </c>
      <c r="F192" s="148">
        <v>13036.34</v>
      </c>
      <c r="G192" s="148">
        <v>8156.65</v>
      </c>
      <c r="H192" s="148">
        <v>-1680.57</v>
      </c>
      <c r="I192" s="148">
        <v>0</v>
      </c>
      <c r="J192" s="148">
        <v>0</v>
      </c>
      <c r="K192" s="148">
        <v>0</v>
      </c>
      <c r="L192" s="970">
        <v>0</v>
      </c>
      <c r="M192" s="969"/>
      <c r="N192" s="148">
        <v>-1399.94</v>
      </c>
      <c r="O192" s="148">
        <v>0</v>
      </c>
      <c r="P192" s="148">
        <v>18112.48</v>
      </c>
    </row>
    <row r="193" spans="1:16" x14ac:dyDescent="0.3">
      <c r="A193" s="37">
        <v>2016</v>
      </c>
      <c r="B193" s="38" t="s">
        <v>902</v>
      </c>
      <c r="C193" s="38" t="s">
        <v>901</v>
      </c>
      <c r="D193" s="37">
        <v>78708000</v>
      </c>
      <c r="E193" s="36" t="s">
        <v>733</v>
      </c>
      <c r="F193" s="149">
        <v>50107.78</v>
      </c>
      <c r="G193" s="149">
        <v>0</v>
      </c>
      <c r="H193" s="149">
        <v>0</v>
      </c>
      <c r="I193" s="149">
        <v>0</v>
      </c>
      <c r="J193" s="149">
        <v>0</v>
      </c>
      <c r="K193" s="149">
        <v>0</v>
      </c>
      <c r="L193" s="971">
        <v>0</v>
      </c>
      <c r="M193" s="969"/>
      <c r="N193" s="149">
        <v>0</v>
      </c>
      <c r="O193" s="149">
        <v>0</v>
      </c>
      <c r="P193" s="149">
        <v>50107.78</v>
      </c>
    </row>
    <row r="194" spans="1:16" ht="26.4" x14ac:dyDescent="0.3">
      <c r="A194" s="34">
        <v>2016</v>
      </c>
      <c r="B194" s="35" t="s">
        <v>902</v>
      </c>
      <c r="C194" s="35" t="s">
        <v>901</v>
      </c>
      <c r="D194" s="34">
        <v>78585000</v>
      </c>
      <c r="E194" s="33" t="s">
        <v>719</v>
      </c>
      <c r="F194" s="148">
        <v>24231.38</v>
      </c>
      <c r="G194" s="148">
        <v>0</v>
      </c>
      <c r="H194" s="148">
        <v>0</v>
      </c>
      <c r="I194" s="148">
        <v>0</v>
      </c>
      <c r="J194" s="148">
        <v>96025.38</v>
      </c>
      <c r="K194" s="148">
        <v>0</v>
      </c>
      <c r="L194" s="970">
        <v>0</v>
      </c>
      <c r="M194" s="969"/>
      <c r="N194" s="148">
        <v>0</v>
      </c>
      <c r="O194" s="148">
        <v>0</v>
      </c>
      <c r="P194" s="148">
        <v>120256.76</v>
      </c>
    </row>
    <row r="195" spans="1:16" ht="26.4" x14ac:dyDescent="0.3">
      <c r="A195" s="37">
        <v>2016</v>
      </c>
      <c r="B195" s="38" t="s">
        <v>902</v>
      </c>
      <c r="C195" s="38" t="s">
        <v>901</v>
      </c>
      <c r="D195" s="37">
        <v>70224000</v>
      </c>
      <c r="E195" s="36" t="s">
        <v>180</v>
      </c>
      <c r="F195" s="149">
        <v>218261.47</v>
      </c>
      <c r="G195" s="149">
        <v>35442.51</v>
      </c>
      <c r="H195" s="149">
        <v>-43930.5</v>
      </c>
      <c r="I195" s="149">
        <v>0</v>
      </c>
      <c r="J195" s="149">
        <v>0</v>
      </c>
      <c r="K195" s="149">
        <v>0</v>
      </c>
      <c r="L195" s="971">
        <v>0</v>
      </c>
      <c r="M195" s="969"/>
      <c r="N195" s="149">
        <v>0</v>
      </c>
      <c r="O195" s="149">
        <v>0</v>
      </c>
      <c r="P195" s="149">
        <v>209773.48</v>
      </c>
    </row>
    <row r="196" spans="1:16" ht="26.4" x14ac:dyDescent="0.3">
      <c r="A196" s="34">
        <v>2016</v>
      </c>
      <c r="B196" s="35" t="s">
        <v>902</v>
      </c>
      <c r="C196" s="35" t="s">
        <v>901</v>
      </c>
      <c r="D196" s="34">
        <v>40149000</v>
      </c>
      <c r="E196" s="33" t="s">
        <v>181</v>
      </c>
      <c r="F196" s="148">
        <v>29077.279999999999</v>
      </c>
      <c r="G196" s="148">
        <v>12635.85</v>
      </c>
      <c r="H196" s="148">
        <v>0</v>
      </c>
      <c r="I196" s="148">
        <v>0</v>
      </c>
      <c r="J196" s="148">
        <v>0</v>
      </c>
      <c r="K196" s="148">
        <v>-41713.129999999997</v>
      </c>
      <c r="L196" s="970">
        <v>0</v>
      </c>
      <c r="M196" s="969"/>
      <c r="N196" s="148">
        <v>0</v>
      </c>
      <c r="O196" s="148">
        <v>0</v>
      </c>
      <c r="P196" s="148">
        <v>0</v>
      </c>
    </row>
    <row r="197" spans="1:16" x14ac:dyDescent="0.3">
      <c r="A197" s="37">
        <v>2016</v>
      </c>
      <c r="B197" s="38" t="s">
        <v>902</v>
      </c>
      <c r="C197" s="38" t="s">
        <v>901</v>
      </c>
      <c r="D197" s="37">
        <v>70241000</v>
      </c>
      <c r="E197" s="36" t="s">
        <v>182</v>
      </c>
      <c r="F197" s="149">
        <v>3106204.16</v>
      </c>
      <c r="G197" s="149">
        <v>737193.93</v>
      </c>
      <c r="H197" s="149">
        <v>0</v>
      </c>
      <c r="I197" s="149">
        <v>0</v>
      </c>
      <c r="J197" s="149">
        <v>0</v>
      </c>
      <c r="K197" s="149">
        <v>0</v>
      </c>
      <c r="L197" s="971">
        <v>0</v>
      </c>
      <c r="M197" s="969"/>
      <c r="N197" s="149">
        <v>0</v>
      </c>
      <c r="O197" s="149">
        <v>0</v>
      </c>
      <c r="P197" s="149">
        <v>3843398.09</v>
      </c>
    </row>
    <row r="198" spans="1:16" ht="26.4" x14ac:dyDescent="0.3">
      <c r="A198" s="34">
        <v>2016</v>
      </c>
      <c r="B198" s="35" t="s">
        <v>902</v>
      </c>
      <c r="C198" s="35" t="s">
        <v>901</v>
      </c>
      <c r="D198" s="34">
        <v>70440000</v>
      </c>
      <c r="E198" s="33" t="s">
        <v>183</v>
      </c>
      <c r="F198" s="148">
        <v>6012671.1100000003</v>
      </c>
      <c r="G198" s="148">
        <v>836919.12</v>
      </c>
      <c r="H198" s="148">
        <v>0</v>
      </c>
      <c r="I198" s="148">
        <v>0</v>
      </c>
      <c r="J198" s="148">
        <v>0</v>
      </c>
      <c r="K198" s="148">
        <v>0</v>
      </c>
      <c r="L198" s="970">
        <v>0</v>
      </c>
      <c r="M198" s="969"/>
      <c r="N198" s="148">
        <v>0</v>
      </c>
      <c r="O198" s="148">
        <v>0</v>
      </c>
      <c r="P198" s="148">
        <v>6849590.2300000004</v>
      </c>
    </row>
    <row r="199" spans="1:16" ht="26.4" x14ac:dyDescent="0.3">
      <c r="A199" s="37">
        <v>2016</v>
      </c>
      <c r="B199" s="38" t="s">
        <v>902</v>
      </c>
      <c r="C199" s="38" t="s">
        <v>901</v>
      </c>
      <c r="D199" s="37">
        <v>70505000</v>
      </c>
      <c r="E199" s="36" t="s">
        <v>184</v>
      </c>
      <c r="F199" s="149">
        <v>4997499.42</v>
      </c>
      <c r="G199" s="149">
        <v>707255.8</v>
      </c>
      <c r="H199" s="149">
        <v>0</v>
      </c>
      <c r="I199" s="149">
        <v>0</v>
      </c>
      <c r="J199" s="149">
        <v>0</v>
      </c>
      <c r="K199" s="149">
        <v>0</v>
      </c>
      <c r="L199" s="971">
        <v>0</v>
      </c>
      <c r="M199" s="969"/>
      <c r="N199" s="149">
        <v>0</v>
      </c>
      <c r="O199" s="149">
        <v>0</v>
      </c>
      <c r="P199" s="149">
        <v>5704755.2199999997</v>
      </c>
    </row>
    <row r="200" spans="1:16" x14ac:dyDescent="0.3">
      <c r="A200" s="34">
        <v>2016</v>
      </c>
      <c r="B200" s="35" t="s">
        <v>902</v>
      </c>
      <c r="C200" s="35" t="s">
        <v>901</v>
      </c>
      <c r="D200" s="34">
        <v>40201000</v>
      </c>
      <c r="E200" s="33" t="s">
        <v>185</v>
      </c>
      <c r="F200" s="148">
        <v>434030.43</v>
      </c>
      <c r="G200" s="148">
        <v>47045.03</v>
      </c>
      <c r="H200" s="148">
        <v>0</v>
      </c>
      <c r="I200" s="148">
        <v>0</v>
      </c>
      <c r="J200" s="148">
        <v>0</v>
      </c>
      <c r="K200" s="148">
        <v>0</v>
      </c>
      <c r="L200" s="970">
        <v>0</v>
      </c>
      <c r="M200" s="969"/>
      <c r="N200" s="148">
        <v>0</v>
      </c>
      <c r="O200" s="148">
        <v>0</v>
      </c>
      <c r="P200" s="148">
        <v>481075.46</v>
      </c>
    </row>
    <row r="201" spans="1:16" ht="26.4" x14ac:dyDescent="0.3">
      <c r="A201" s="37">
        <v>2016</v>
      </c>
      <c r="B201" s="38" t="s">
        <v>902</v>
      </c>
      <c r="C201" s="38" t="s">
        <v>901</v>
      </c>
      <c r="D201" s="37">
        <v>50199000</v>
      </c>
      <c r="E201" s="36" t="s">
        <v>186</v>
      </c>
      <c r="F201" s="149">
        <v>20905.7</v>
      </c>
      <c r="G201" s="149">
        <v>5545.81</v>
      </c>
      <c r="H201" s="149">
        <v>-1465.93</v>
      </c>
      <c r="I201" s="149">
        <v>0</v>
      </c>
      <c r="J201" s="149">
        <v>0</v>
      </c>
      <c r="K201" s="149">
        <v>0</v>
      </c>
      <c r="L201" s="971">
        <v>0</v>
      </c>
      <c r="M201" s="969"/>
      <c r="N201" s="149">
        <v>0</v>
      </c>
      <c r="O201" s="149">
        <v>0</v>
      </c>
      <c r="P201" s="149">
        <v>24985.58</v>
      </c>
    </row>
    <row r="202" spans="1:16" ht="26.4" x14ac:dyDescent="0.3">
      <c r="A202" s="34">
        <v>2016</v>
      </c>
      <c r="B202" s="35" t="s">
        <v>902</v>
      </c>
      <c r="C202" s="35" t="s">
        <v>901</v>
      </c>
      <c r="D202" s="34">
        <v>30204000</v>
      </c>
      <c r="E202" s="33" t="s">
        <v>187</v>
      </c>
      <c r="F202" s="148">
        <v>63400.29</v>
      </c>
      <c r="G202" s="148">
        <v>27304</v>
      </c>
      <c r="H202" s="148">
        <v>0</v>
      </c>
      <c r="I202" s="148">
        <v>0</v>
      </c>
      <c r="J202" s="148">
        <v>0</v>
      </c>
      <c r="K202" s="148">
        <v>0</v>
      </c>
      <c r="L202" s="970">
        <v>0</v>
      </c>
      <c r="M202" s="969"/>
      <c r="N202" s="148">
        <v>0</v>
      </c>
      <c r="O202" s="148">
        <v>0</v>
      </c>
      <c r="P202" s="148">
        <v>90704.29</v>
      </c>
    </row>
    <row r="203" spans="1:16" ht="26.4" x14ac:dyDescent="0.3">
      <c r="A203" s="37">
        <v>2016</v>
      </c>
      <c r="B203" s="38" t="s">
        <v>902</v>
      </c>
      <c r="C203" s="38" t="s">
        <v>901</v>
      </c>
      <c r="D203" s="37">
        <v>108770000</v>
      </c>
      <c r="E203" s="36" t="s">
        <v>188</v>
      </c>
      <c r="F203" s="149">
        <v>56458.31</v>
      </c>
      <c r="G203" s="149">
        <v>0</v>
      </c>
      <c r="H203" s="149">
        <v>0</v>
      </c>
      <c r="I203" s="149">
        <v>0</v>
      </c>
      <c r="J203" s="149">
        <v>0</v>
      </c>
      <c r="K203" s="149">
        <v>0</v>
      </c>
      <c r="L203" s="971">
        <v>0</v>
      </c>
      <c r="M203" s="969"/>
      <c r="N203" s="149">
        <v>0</v>
      </c>
      <c r="O203" s="149">
        <v>0</v>
      </c>
      <c r="P203" s="149">
        <v>56458.31</v>
      </c>
    </row>
    <row r="204" spans="1:16" ht="26.4" x14ac:dyDescent="0.3">
      <c r="A204" s="34">
        <v>2016</v>
      </c>
      <c r="B204" s="35" t="s">
        <v>902</v>
      </c>
      <c r="C204" s="35" t="s">
        <v>901</v>
      </c>
      <c r="D204" s="34">
        <v>108789000</v>
      </c>
      <c r="E204" s="33" t="s">
        <v>845</v>
      </c>
      <c r="F204" s="148">
        <v>160894.93</v>
      </c>
      <c r="G204" s="148">
        <v>0</v>
      </c>
      <c r="H204" s="148">
        <v>0</v>
      </c>
      <c r="I204" s="148">
        <v>0</v>
      </c>
      <c r="J204" s="148">
        <v>0</v>
      </c>
      <c r="K204" s="148">
        <v>0</v>
      </c>
      <c r="L204" s="970">
        <v>0</v>
      </c>
      <c r="M204" s="969"/>
      <c r="N204" s="148">
        <v>-9188.64</v>
      </c>
      <c r="O204" s="148">
        <v>0</v>
      </c>
      <c r="P204" s="148">
        <v>151706.29</v>
      </c>
    </row>
    <row r="205" spans="1:16" ht="26.4" x14ac:dyDescent="0.3">
      <c r="A205" s="37">
        <v>2016</v>
      </c>
      <c r="B205" s="38" t="s">
        <v>902</v>
      </c>
      <c r="C205" s="38" t="s">
        <v>901</v>
      </c>
      <c r="D205" s="37">
        <v>108726000</v>
      </c>
      <c r="E205" s="36" t="s">
        <v>190</v>
      </c>
      <c r="F205" s="149">
        <v>54387.02</v>
      </c>
      <c r="G205" s="149">
        <v>10835.2</v>
      </c>
      <c r="H205" s="149">
        <v>0</v>
      </c>
      <c r="I205" s="149">
        <v>0</v>
      </c>
      <c r="J205" s="149">
        <v>0</v>
      </c>
      <c r="K205" s="149">
        <v>0</v>
      </c>
      <c r="L205" s="971">
        <v>0</v>
      </c>
      <c r="M205" s="969"/>
      <c r="N205" s="149">
        <v>-3007.02</v>
      </c>
      <c r="O205" s="149">
        <v>0</v>
      </c>
      <c r="P205" s="149">
        <v>62215.199999999997</v>
      </c>
    </row>
    <row r="206" spans="1:16" ht="26.4" x14ac:dyDescent="0.3">
      <c r="A206" s="34">
        <v>2016</v>
      </c>
      <c r="B206" s="35" t="s">
        <v>902</v>
      </c>
      <c r="C206" s="35" t="s">
        <v>901</v>
      </c>
      <c r="D206" s="34">
        <v>80303000</v>
      </c>
      <c r="E206" s="33" t="s">
        <v>191</v>
      </c>
      <c r="F206" s="148">
        <v>44783.18</v>
      </c>
      <c r="G206" s="148">
        <v>4482.33</v>
      </c>
      <c r="H206" s="148">
        <v>-433.01</v>
      </c>
      <c r="I206" s="148">
        <v>0</v>
      </c>
      <c r="J206" s="148">
        <v>0</v>
      </c>
      <c r="K206" s="148">
        <v>0</v>
      </c>
      <c r="L206" s="970">
        <v>0</v>
      </c>
      <c r="M206" s="969"/>
      <c r="N206" s="148">
        <v>0</v>
      </c>
      <c r="O206" s="148">
        <v>0</v>
      </c>
      <c r="P206" s="148">
        <v>48832.5</v>
      </c>
    </row>
    <row r="207" spans="1:16" ht="52.8" x14ac:dyDescent="0.3">
      <c r="A207" s="37">
        <v>2016</v>
      </c>
      <c r="B207" s="38" t="s">
        <v>902</v>
      </c>
      <c r="C207" s="38" t="s">
        <v>901</v>
      </c>
      <c r="D207" s="37">
        <v>148760000</v>
      </c>
      <c r="E207" s="36" t="s">
        <v>875</v>
      </c>
      <c r="F207" s="149">
        <v>572834.25</v>
      </c>
      <c r="G207" s="149">
        <v>767.85</v>
      </c>
      <c r="H207" s="149">
        <v>0</v>
      </c>
      <c r="I207" s="149">
        <v>0</v>
      </c>
      <c r="J207" s="149">
        <v>0</v>
      </c>
      <c r="K207" s="149">
        <v>0</v>
      </c>
      <c r="L207" s="971">
        <v>0</v>
      </c>
      <c r="M207" s="969"/>
      <c r="N207" s="149">
        <v>0</v>
      </c>
      <c r="O207" s="149">
        <v>0</v>
      </c>
      <c r="P207" s="149">
        <v>573602.1</v>
      </c>
    </row>
    <row r="208" spans="1:16" ht="26.4" x14ac:dyDescent="0.3">
      <c r="A208" s="34">
        <v>2016</v>
      </c>
      <c r="B208" s="35" t="s">
        <v>902</v>
      </c>
      <c r="C208" s="35" t="s">
        <v>901</v>
      </c>
      <c r="D208" s="34">
        <v>40241000</v>
      </c>
      <c r="E208" s="33" t="s">
        <v>1322</v>
      </c>
      <c r="F208" s="148">
        <v>120368.35</v>
      </c>
      <c r="G208" s="148">
        <v>8565.2099999999991</v>
      </c>
      <c r="H208" s="148">
        <v>0</v>
      </c>
      <c r="I208" s="148">
        <v>0</v>
      </c>
      <c r="J208" s="148">
        <v>0</v>
      </c>
      <c r="K208" s="148">
        <v>0</v>
      </c>
      <c r="L208" s="970">
        <v>0</v>
      </c>
      <c r="M208" s="969"/>
      <c r="N208" s="148">
        <v>0</v>
      </c>
      <c r="O208" s="148">
        <v>0</v>
      </c>
      <c r="P208" s="148">
        <v>128933.56</v>
      </c>
    </row>
    <row r="209" spans="1:16" ht="26.4" x14ac:dyDescent="0.3">
      <c r="A209" s="37">
        <v>2016</v>
      </c>
      <c r="B209" s="38" t="s">
        <v>902</v>
      </c>
      <c r="C209" s="38" t="s">
        <v>901</v>
      </c>
      <c r="D209" s="37">
        <v>90206000</v>
      </c>
      <c r="E209" s="36" t="s">
        <v>194</v>
      </c>
      <c r="F209" s="149">
        <v>208944.1</v>
      </c>
      <c r="G209" s="149">
        <v>25483.41</v>
      </c>
      <c r="H209" s="149">
        <v>-49094.42</v>
      </c>
      <c r="I209" s="149">
        <v>0</v>
      </c>
      <c r="J209" s="149">
        <v>0</v>
      </c>
      <c r="K209" s="149">
        <v>0</v>
      </c>
      <c r="L209" s="971">
        <v>0</v>
      </c>
      <c r="M209" s="969"/>
      <c r="N209" s="149">
        <v>0</v>
      </c>
      <c r="O209" s="149">
        <v>0</v>
      </c>
      <c r="P209" s="149">
        <v>185333.09</v>
      </c>
    </row>
    <row r="210" spans="1:16" ht="26.4" x14ac:dyDescent="0.3">
      <c r="A210" s="34">
        <v>2016</v>
      </c>
      <c r="B210" s="35" t="s">
        <v>902</v>
      </c>
      <c r="C210" s="35" t="s">
        <v>901</v>
      </c>
      <c r="D210" s="34">
        <v>78985000</v>
      </c>
      <c r="E210" s="33" t="s">
        <v>195</v>
      </c>
      <c r="F210" s="148">
        <v>295088.89</v>
      </c>
      <c r="G210" s="148">
        <v>0</v>
      </c>
      <c r="H210" s="148">
        <v>0</v>
      </c>
      <c r="I210" s="148">
        <v>0</v>
      </c>
      <c r="J210" s="148">
        <v>0</v>
      </c>
      <c r="K210" s="148">
        <v>0</v>
      </c>
      <c r="L210" s="970">
        <v>0</v>
      </c>
      <c r="M210" s="969"/>
      <c r="N210" s="148">
        <v>-16452.28</v>
      </c>
      <c r="O210" s="148">
        <v>0</v>
      </c>
      <c r="P210" s="148">
        <v>278636.61</v>
      </c>
    </row>
    <row r="211" spans="1:16" x14ac:dyDescent="0.3">
      <c r="A211" s="37">
        <v>2016</v>
      </c>
      <c r="B211" s="38" t="s">
        <v>902</v>
      </c>
      <c r="C211" s="38" t="s">
        <v>901</v>
      </c>
      <c r="D211" s="37">
        <v>108775000</v>
      </c>
      <c r="E211" s="36" t="s">
        <v>196</v>
      </c>
      <c r="F211" s="149">
        <v>10764.1</v>
      </c>
      <c r="G211" s="149">
        <v>0</v>
      </c>
      <c r="H211" s="149">
        <v>0</v>
      </c>
      <c r="I211" s="149">
        <v>0</v>
      </c>
      <c r="J211" s="149">
        <v>0</v>
      </c>
      <c r="K211" s="149">
        <v>0</v>
      </c>
      <c r="L211" s="971">
        <v>0</v>
      </c>
      <c r="M211" s="969"/>
      <c r="N211" s="149">
        <v>0</v>
      </c>
      <c r="O211" s="149">
        <v>0</v>
      </c>
      <c r="P211" s="149">
        <v>10764.1</v>
      </c>
    </row>
    <row r="212" spans="1:16" ht="26.4" x14ac:dyDescent="0.3">
      <c r="A212" s="34">
        <v>2016</v>
      </c>
      <c r="B212" s="35" t="s">
        <v>902</v>
      </c>
      <c r="C212" s="35" t="s">
        <v>901</v>
      </c>
      <c r="D212" s="34">
        <v>70260000</v>
      </c>
      <c r="E212" s="33" t="s">
        <v>197</v>
      </c>
      <c r="F212" s="148">
        <v>882608.71</v>
      </c>
      <c r="G212" s="148">
        <v>104071.65</v>
      </c>
      <c r="H212" s="148">
        <v>0</v>
      </c>
      <c r="I212" s="148">
        <v>0</v>
      </c>
      <c r="J212" s="148">
        <v>0</v>
      </c>
      <c r="K212" s="148">
        <v>0</v>
      </c>
      <c r="L212" s="970">
        <v>0</v>
      </c>
      <c r="M212" s="969"/>
      <c r="N212" s="148">
        <v>0</v>
      </c>
      <c r="O212" s="148">
        <v>0</v>
      </c>
      <c r="P212" s="148">
        <v>986680.36</v>
      </c>
    </row>
    <row r="213" spans="1:16" x14ac:dyDescent="0.3">
      <c r="A213" s="37">
        <v>2016</v>
      </c>
      <c r="B213" s="38" t="s">
        <v>902</v>
      </c>
      <c r="C213" s="38" t="s">
        <v>901</v>
      </c>
      <c r="D213" s="37">
        <v>78704000</v>
      </c>
      <c r="E213" s="36" t="s">
        <v>198</v>
      </c>
      <c r="F213" s="149">
        <v>0</v>
      </c>
      <c r="G213" s="149">
        <v>221.36</v>
      </c>
      <c r="H213" s="149">
        <v>0</v>
      </c>
      <c r="I213" s="149">
        <v>0</v>
      </c>
      <c r="J213" s="149">
        <v>0</v>
      </c>
      <c r="K213" s="149">
        <v>0</v>
      </c>
      <c r="L213" s="971">
        <v>0</v>
      </c>
      <c r="M213" s="969"/>
      <c r="N213" s="149">
        <v>0</v>
      </c>
      <c r="O213" s="149">
        <v>0</v>
      </c>
      <c r="P213" s="149">
        <v>221.36</v>
      </c>
    </row>
    <row r="214" spans="1:16" ht="26.4" x14ac:dyDescent="0.3">
      <c r="A214" s="34">
        <v>2016</v>
      </c>
      <c r="B214" s="35" t="s">
        <v>902</v>
      </c>
      <c r="C214" s="35" t="s">
        <v>901</v>
      </c>
      <c r="D214" s="34">
        <v>78204000</v>
      </c>
      <c r="E214" s="33" t="s">
        <v>513</v>
      </c>
      <c r="F214" s="148">
        <v>84171.93</v>
      </c>
      <c r="G214" s="148">
        <v>0</v>
      </c>
      <c r="H214" s="148">
        <v>-84171.93</v>
      </c>
      <c r="I214" s="148">
        <v>0</v>
      </c>
      <c r="J214" s="148">
        <v>0</v>
      </c>
      <c r="K214" s="148">
        <v>0</v>
      </c>
      <c r="L214" s="970">
        <v>0</v>
      </c>
      <c r="M214" s="969"/>
      <c r="N214" s="148">
        <v>0</v>
      </c>
      <c r="O214" s="148">
        <v>0</v>
      </c>
      <c r="P214" s="148">
        <v>0</v>
      </c>
    </row>
    <row r="215" spans="1:16" x14ac:dyDescent="0.3">
      <c r="A215" s="37">
        <v>2016</v>
      </c>
      <c r="B215" s="38" t="s">
        <v>902</v>
      </c>
      <c r="C215" s="38" t="s">
        <v>901</v>
      </c>
      <c r="D215" s="37">
        <v>90203000</v>
      </c>
      <c r="E215" s="36" t="s">
        <v>199</v>
      </c>
      <c r="F215" s="149">
        <v>1176719.5</v>
      </c>
      <c r="G215" s="149">
        <v>316144.78999999998</v>
      </c>
      <c r="H215" s="149">
        <v>0</v>
      </c>
      <c r="I215" s="149">
        <v>0</v>
      </c>
      <c r="J215" s="149">
        <v>0</v>
      </c>
      <c r="K215" s="149">
        <v>0</v>
      </c>
      <c r="L215" s="971">
        <v>0</v>
      </c>
      <c r="M215" s="969"/>
      <c r="N215" s="149">
        <v>0</v>
      </c>
      <c r="O215" s="149">
        <v>0</v>
      </c>
      <c r="P215" s="149">
        <v>1492864.29</v>
      </c>
    </row>
    <row r="216" spans="1:16" ht="26.4" x14ac:dyDescent="0.3">
      <c r="A216" s="34">
        <v>2016</v>
      </c>
      <c r="B216" s="35" t="s">
        <v>902</v>
      </c>
      <c r="C216" s="35" t="s">
        <v>901</v>
      </c>
      <c r="D216" s="34">
        <v>130222000</v>
      </c>
      <c r="E216" s="33" t="s">
        <v>200</v>
      </c>
      <c r="F216" s="148">
        <v>1251012.3400000001</v>
      </c>
      <c r="G216" s="148">
        <v>203106.94</v>
      </c>
      <c r="H216" s="148">
        <v>0</v>
      </c>
      <c r="I216" s="148">
        <v>0</v>
      </c>
      <c r="J216" s="148">
        <v>0</v>
      </c>
      <c r="K216" s="148">
        <v>0</v>
      </c>
      <c r="L216" s="970">
        <v>0</v>
      </c>
      <c r="M216" s="969"/>
      <c r="N216" s="148">
        <v>0</v>
      </c>
      <c r="O216" s="148">
        <v>0</v>
      </c>
      <c r="P216" s="148">
        <v>1454119.28</v>
      </c>
    </row>
    <row r="217" spans="1:16" ht="26.4" x14ac:dyDescent="0.3">
      <c r="A217" s="37">
        <v>2016</v>
      </c>
      <c r="B217" s="38" t="s">
        <v>902</v>
      </c>
      <c r="C217" s="38" t="s">
        <v>901</v>
      </c>
      <c r="D217" s="37">
        <v>140416000</v>
      </c>
      <c r="E217" s="36" t="s">
        <v>201</v>
      </c>
      <c r="F217" s="149">
        <v>94403.8</v>
      </c>
      <c r="G217" s="149">
        <v>1843.95</v>
      </c>
      <c r="H217" s="149">
        <v>-12992.52</v>
      </c>
      <c r="I217" s="149">
        <v>0</v>
      </c>
      <c r="J217" s="149">
        <v>0</v>
      </c>
      <c r="K217" s="149">
        <v>0</v>
      </c>
      <c r="L217" s="971">
        <v>0</v>
      </c>
      <c r="M217" s="969"/>
      <c r="N217" s="149">
        <v>0</v>
      </c>
      <c r="O217" s="149">
        <v>0</v>
      </c>
      <c r="P217" s="149">
        <v>83255.23</v>
      </c>
    </row>
    <row r="218" spans="1:16" ht="26.4" x14ac:dyDescent="0.3">
      <c r="A218" s="34">
        <v>2016</v>
      </c>
      <c r="B218" s="35" t="s">
        <v>902</v>
      </c>
      <c r="C218" s="35" t="s">
        <v>901</v>
      </c>
      <c r="D218" s="34">
        <v>78535000</v>
      </c>
      <c r="E218" s="33" t="s">
        <v>697</v>
      </c>
      <c r="F218" s="148">
        <v>216770.36</v>
      </c>
      <c r="G218" s="148">
        <v>72465.990000000005</v>
      </c>
      <c r="H218" s="148">
        <v>0</v>
      </c>
      <c r="I218" s="148">
        <v>0</v>
      </c>
      <c r="J218" s="148">
        <v>0</v>
      </c>
      <c r="K218" s="148">
        <v>0</v>
      </c>
      <c r="L218" s="970">
        <v>0</v>
      </c>
      <c r="M218" s="969"/>
      <c r="N218" s="148">
        <v>0</v>
      </c>
      <c r="O218" s="148">
        <v>0</v>
      </c>
      <c r="P218" s="148">
        <v>289236.34999999998</v>
      </c>
    </row>
    <row r="219" spans="1:16" ht="26.4" x14ac:dyDescent="0.3">
      <c r="A219" s="37">
        <v>2016</v>
      </c>
      <c r="B219" s="38" t="s">
        <v>902</v>
      </c>
      <c r="C219" s="38" t="s">
        <v>901</v>
      </c>
      <c r="D219" s="37">
        <v>78553000</v>
      </c>
      <c r="E219" s="36" t="s">
        <v>707</v>
      </c>
      <c r="F219" s="149">
        <v>67888.2</v>
      </c>
      <c r="G219" s="149">
        <v>504.52</v>
      </c>
      <c r="H219" s="149">
        <v>0</v>
      </c>
      <c r="I219" s="149">
        <v>0</v>
      </c>
      <c r="J219" s="149">
        <v>0</v>
      </c>
      <c r="K219" s="149">
        <v>0</v>
      </c>
      <c r="L219" s="971">
        <v>0</v>
      </c>
      <c r="M219" s="969"/>
      <c r="N219" s="149">
        <v>0</v>
      </c>
      <c r="O219" s="149">
        <v>0</v>
      </c>
      <c r="P219" s="149">
        <v>68392.72</v>
      </c>
    </row>
    <row r="220" spans="1:16" ht="26.4" x14ac:dyDescent="0.3">
      <c r="A220" s="34">
        <v>2016</v>
      </c>
      <c r="B220" s="35" t="s">
        <v>902</v>
      </c>
      <c r="C220" s="35" t="s">
        <v>901</v>
      </c>
      <c r="D220" s="34">
        <v>78531000</v>
      </c>
      <c r="E220" s="33" t="s">
        <v>694</v>
      </c>
      <c r="F220" s="148">
        <v>76275.27</v>
      </c>
      <c r="G220" s="148">
        <v>9416.7000000000007</v>
      </c>
      <c r="H220" s="148">
        <v>-1496.44</v>
      </c>
      <c r="I220" s="148">
        <v>0</v>
      </c>
      <c r="J220" s="148">
        <v>0</v>
      </c>
      <c r="K220" s="148">
        <v>0</v>
      </c>
      <c r="L220" s="970">
        <v>0</v>
      </c>
      <c r="M220" s="969"/>
      <c r="N220" s="148">
        <v>0</v>
      </c>
      <c r="O220" s="148">
        <v>0</v>
      </c>
      <c r="P220" s="148">
        <v>84195.53</v>
      </c>
    </row>
    <row r="221" spans="1:16" ht="39.6" x14ac:dyDescent="0.3">
      <c r="A221" s="37">
        <v>2016</v>
      </c>
      <c r="B221" s="38" t="s">
        <v>902</v>
      </c>
      <c r="C221" s="38" t="s">
        <v>901</v>
      </c>
      <c r="D221" s="37">
        <v>78519000</v>
      </c>
      <c r="E221" s="36" t="s">
        <v>686</v>
      </c>
      <c r="F221" s="149">
        <v>219416.26</v>
      </c>
      <c r="G221" s="149">
        <v>42079.38</v>
      </c>
      <c r="H221" s="149">
        <v>-1758.57</v>
      </c>
      <c r="I221" s="149">
        <v>0</v>
      </c>
      <c r="J221" s="149">
        <v>0</v>
      </c>
      <c r="K221" s="149">
        <v>0</v>
      </c>
      <c r="L221" s="971">
        <v>0</v>
      </c>
      <c r="M221" s="969"/>
      <c r="N221" s="149">
        <v>0</v>
      </c>
      <c r="O221" s="149">
        <v>0</v>
      </c>
      <c r="P221" s="149">
        <v>259737.07</v>
      </c>
    </row>
    <row r="222" spans="1:16" ht="39.6" x14ac:dyDescent="0.3">
      <c r="A222" s="34">
        <v>2016</v>
      </c>
      <c r="B222" s="35" t="s">
        <v>902</v>
      </c>
      <c r="C222" s="35" t="s">
        <v>901</v>
      </c>
      <c r="D222" s="34">
        <v>78520000</v>
      </c>
      <c r="E222" s="33" t="s">
        <v>687</v>
      </c>
      <c r="F222" s="148">
        <v>398808.03</v>
      </c>
      <c r="G222" s="148">
        <v>45761.56</v>
      </c>
      <c r="H222" s="148">
        <v>0</v>
      </c>
      <c r="I222" s="148">
        <v>0</v>
      </c>
      <c r="J222" s="148">
        <v>0</v>
      </c>
      <c r="K222" s="148">
        <v>0</v>
      </c>
      <c r="L222" s="970">
        <v>0</v>
      </c>
      <c r="M222" s="969"/>
      <c r="N222" s="148">
        <v>0</v>
      </c>
      <c r="O222" s="148">
        <v>0</v>
      </c>
      <c r="P222" s="148">
        <v>444569.59</v>
      </c>
    </row>
    <row r="223" spans="1:16" ht="26.4" x14ac:dyDescent="0.3">
      <c r="A223" s="37">
        <v>2016</v>
      </c>
      <c r="B223" s="38" t="s">
        <v>902</v>
      </c>
      <c r="C223" s="38" t="s">
        <v>901</v>
      </c>
      <c r="D223" s="37">
        <v>78536000</v>
      </c>
      <c r="E223" s="36" t="s">
        <v>698</v>
      </c>
      <c r="F223" s="149">
        <v>257517.16</v>
      </c>
      <c r="G223" s="149">
        <v>21842.02</v>
      </c>
      <c r="H223" s="149">
        <v>0</v>
      </c>
      <c r="I223" s="149">
        <v>0</v>
      </c>
      <c r="J223" s="149">
        <v>0</v>
      </c>
      <c r="K223" s="149">
        <v>0</v>
      </c>
      <c r="L223" s="971">
        <v>0</v>
      </c>
      <c r="M223" s="969"/>
      <c r="N223" s="149">
        <v>0</v>
      </c>
      <c r="O223" s="149">
        <v>0</v>
      </c>
      <c r="P223" s="149">
        <v>279359.18</v>
      </c>
    </row>
    <row r="224" spans="1:16" ht="26.4" x14ac:dyDescent="0.3">
      <c r="A224" s="34">
        <v>2016</v>
      </c>
      <c r="B224" s="35" t="s">
        <v>902</v>
      </c>
      <c r="C224" s="35" t="s">
        <v>901</v>
      </c>
      <c r="D224" s="34">
        <v>78532000</v>
      </c>
      <c r="E224" s="33" t="s">
        <v>695</v>
      </c>
      <c r="F224" s="148">
        <v>154327.20000000001</v>
      </c>
      <c r="G224" s="148">
        <v>71656.83</v>
      </c>
      <c r="H224" s="148">
        <v>0</v>
      </c>
      <c r="I224" s="148">
        <v>0</v>
      </c>
      <c r="J224" s="148">
        <v>0</v>
      </c>
      <c r="K224" s="148">
        <v>0</v>
      </c>
      <c r="L224" s="970">
        <v>0</v>
      </c>
      <c r="M224" s="969"/>
      <c r="N224" s="148">
        <v>0</v>
      </c>
      <c r="O224" s="148">
        <v>0</v>
      </c>
      <c r="P224" s="148">
        <v>225984.03</v>
      </c>
    </row>
    <row r="225" spans="1:16" ht="26.4" x14ac:dyDescent="0.3">
      <c r="A225" s="37">
        <v>2016</v>
      </c>
      <c r="B225" s="38" t="s">
        <v>902</v>
      </c>
      <c r="C225" s="38" t="s">
        <v>901</v>
      </c>
      <c r="D225" s="37">
        <v>78523000</v>
      </c>
      <c r="E225" s="36" t="s">
        <v>690</v>
      </c>
      <c r="F225" s="149">
        <v>142057.97</v>
      </c>
      <c r="G225" s="149">
        <v>1652.8</v>
      </c>
      <c r="H225" s="149">
        <v>0</v>
      </c>
      <c r="I225" s="149">
        <v>0</v>
      </c>
      <c r="J225" s="149">
        <v>0</v>
      </c>
      <c r="K225" s="149">
        <v>0</v>
      </c>
      <c r="L225" s="971">
        <v>0</v>
      </c>
      <c r="M225" s="969"/>
      <c r="N225" s="149">
        <v>0</v>
      </c>
      <c r="O225" s="149">
        <v>0</v>
      </c>
      <c r="P225" s="149">
        <v>143710.76999999999</v>
      </c>
    </row>
    <row r="226" spans="1:16" ht="26.4" x14ac:dyDescent="0.3">
      <c r="A226" s="34">
        <v>2016</v>
      </c>
      <c r="B226" s="35" t="s">
        <v>902</v>
      </c>
      <c r="C226" s="35" t="s">
        <v>901</v>
      </c>
      <c r="D226" s="34">
        <v>78521000</v>
      </c>
      <c r="E226" s="33" t="s">
        <v>688</v>
      </c>
      <c r="F226" s="148">
        <v>38423.5</v>
      </c>
      <c r="G226" s="148">
        <v>1177.21</v>
      </c>
      <c r="H226" s="148">
        <v>0</v>
      </c>
      <c r="I226" s="148">
        <v>0</v>
      </c>
      <c r="J226" s="148">
        <v>0</v>
      </c>
      <c r="K226" s="148">
        <v>0</v>
      </c>
      <c r="L226" s="970">
        <v>0</v>
      </c>
      <c r="M226" s="969"/>
      <c r="N226" s="148">
        <v>0</v>
      </c>
      <c r="O226" s="148">
        <v>0</v>
      </c>
      <c r="P226" s="148">
        <v>39600.71</v>
      </c>
    </row>
    <row r="227" spans="1:16" ht="26.4" x14ac:dyDescent="0.3">
      <c r="A227" s="37">
        <v>2016</v>
      </c>
      <c r="B227" s="38" t="s">
        <v>902</v>
      </c>
      <c r="C227" s="38" t="s">
        <v>901</v>
      </c>
      <c r="D227" s="37">
        <v>78522000</v>
      </c>
      <c r="E227" s="36" t="s">
        <v>689</v>
      </c>
      <c r="F227" s="149">
        <v>57487.4</v>
      </c>
      <c r="G227" s="149">
        <v>2211.11</v>
      </c>
      <c r="H227" s="149">
        <v>0</v>
      </c>
      <c r="I227" s="149">
        <v>0</v>
      </c>
      <c r="J227" s="149">
        <v>0</v>
      </c>
      <c r="K227" s="149">
        <v>0</v>
      </c>
      <c r="L227" s="971">
        <v>0</v>
      </c>
      <c r="M227" s="969"/>
      <c r="N227" s="149">
        <v>0</v>
      </c>
      <c r="O227" s="149">
        <v>0</v>
      </c>
      <c r="P227" s="149">
        <v>59698.51</v>
      </c>
    </row>
    <row r="228" spans="1:16" ht="26.4" x14ac:dyDescent="0.3">
      <c r="A228" s="34">
        <v>2016</v>
      </c>
      <c r="B228" s="35" t="s">
        <v>902</v>
      </c>
      <c r="C228" s="35" t="s">
        <v>901</v>
      </c>
      <c r="D228" s="34">
        <v>78547000</v>
      </c>
      <c r="E228" s="33" t="s">
        <v>703</v>
      </c>
      <c r="F228" s="148">
        <v>171790.12</v>
      </c>
      <c r="G228" s="148">
        <v>26344.799999999999</v>
      </c>
      <c r="H228" s="148">
        <v>0</v>
      </c>
      <c r="I228" s="148">
        <v>0</v>
      </c>
      <c r="J228" s="148">
        <v>0</v>
      </c>
      <c r="K228" s="148">
        <v>0</v>
      </c>
      <c r="L228" s="970">
        <v>0</v>
      </c>
      <c r="M228" s="969"/>
      <c r="N228" s="148">
        <v>0</v>
      </c>
      <c r="O228" s="148">
        <v>0</v>
      </c>
      <c r="P228" s="148">
        <v>198134.92</v>
      </c>
    </row>
    <row r="229" spans="1:16" ht="26.4" x14ac:dyDescent="0.3">
      <c r="A229" s="37">
        <v>2016</v>
      </c>
      <c r="B229" s="38" t="s">
        <v>902</v>
      </c>
      <c r="C229" s="38" t="s">
        <v>901</v>
      </c>
      <c r="D229" s="37">
        <v>78537000</v>
      </c>
      <c r="E229" s="36" t="s">
        <v>699</v>
      </c>
      <c r="F229" s="149">
        <v>51631.81</v>
      </c>
      <c r="G229" s="149">
        <v>0</v>
      </c>
      <c r="H229" s="149">
        <v>0</v>
      </c>
      <c r="I229" s="149">
        <v>0</v>
      </c>
      <c r="J229" s="149">
        <v>0</v>
      </c>
      <c r="K229" s="149">
        <v>0</v>
      </c>
      <c r="L229" s="971">
        <v>0</v>
      </c>
      <c r="M229" s="969"/>
      <c r="N229" s="149">
        <v>0</v>
      </c>
      <c r="O229" s="149">
        <v>0</v>
      </c>
      <c r="P229" s="149">
        <v>51631.81</v>
      </c>
    </row>
    <row r="230" spans="1:16" ht="26.4" x14ac:dyDescent="0.3">
      <c r="A230" s="34">
        <v>2016</v>
      </c>
      <c r="B230" s="35" t="s">
        <v>902</v>
      </c>
      <c r="C230" s="35" t="s">
        <v>901</v>
      </c>
      <c r="D230" s="34">
        <v>78538000</v>
      </c>
      <c r="E230" s="33" t="s">
        <v>700</v>
      </c>
      <c r="F230" s="148">
        <v>40963.56</v>
      </c>
      <c r="G230" s="148">
        <v>711.58</v>
      </c>
      <c r="H230" s="148">
        <v>0</v>
      </c>
      <c r="I230" s="148">
        <v>0</v>
      </c>
      <c r="J230" s="148">
        <v>0</v>
      </c>
      <c r="K230" s="148">
        <v>0</v>
      </c>
      <c r="L230" s="970">
        <v>0</v>
      </c>
      <c r="M230" s="969"/>
      <c r="N230" s="148">
        <v>0</v>
      </c>
      <c r="O230" s="148">
        <v>0</v>
      </c>
      <c r="P230" s="148">
        <v>41675.14</v>
      </c>
    </row>
    <row r="231" spans="1:16" ht="26.4" x14ac:dyDescent="0.3">
      <c r="A231" s="37">
        <v>2016</v>
      </c>
      <c r="B231" s="38" t="s">
        <v>902</v>
      </c>
      <c r="C231" s="38" t="s">
        <v>901</v>
      </c>
      <c r="D231" s="37">
        <v>78552000</v>
      </c>
      <c r="E231" s="36" t="s">
        <v>706</v>
      </c>
      <c r="F231" s="149">
        <v>28382.53</v>
      </c>
      <c r="G231" s="149">
        <v>0</v>
      </c>
      <c r="H231" s="149">
        <v>0</v>
      </c>
      <c r="I231" s="149">
        <v>0</v>
      </c>
      <c r="J231" s="149">
        <v>0</v>
      </c>
      <c r="K231" s="149">
        <v>0</v>
      </c>
      <c r="L231" s="971">
        <v>0</v>
      </c>
      <c r="M231" s="969"/>
      <c r="N231" s="149">
        <v>0</v>
      </c>
      <c r="O231" s="149">
        <v>0</v>
      </c>
      <c r="P231" s="149">
        <v>28382.53</v>
      </c>
    </row>
    <row r="232" spans="1:16" x14ac:dyDescent="0.3">
      <c r="A232" s="34">
        <v>2016</v>
      </c>
      <c r="B232" s="35" t="s">
        <v>902</v>
      </c>
      <c r="C232" s="35" t="s">
        <v>901</v>
      </c>
      <c r="D232" s="34">
        <v>78210000</v>
      </c>
      <c r="E232" s="33" t="s">
        <v>512</v>
      </c>
      <c r="F232" s="148">
        <v>65943.75</v>
      </c>
      <c r="G232" s="148">
        <v>0</v>
      </c>
      <c r="H232" s="148">
        <v>0</v>
      </c>
      <c r="I232" s="148">
        <v>0</v>
      </c>
      <c r="J232" s="148">
        <v>0</v>
      </c>
      <c r="K232" s="148">
        <v>0</v>
      </c>
      <c r="L232" s="970">
        <v>0</v>
      </c>
      <c r="M232" s="969"/>
      <c r="N232" s="148">
        <v>0</v>
      </c>
      <c r="O232" s="148">
        <v>0</v>
      </c>
      <c r="P232" s="148">
        <v>65943.75</v>
      </c>
    </row>
    <row r="233" spans="1:16" ht="26.4" x14ac:dyDescent="0.3">
      <c r="A233" s="37">
        <v>2016</v>
      </c>
      <c r="B233" s="38" t="s">
        <v>902</v>
      </c>
      <c r="C233" s="38" t="s">
        <v>901</v>
      </c>
      <c r="D233" s="37">
        <v>108513000</v>
      </c>
      <c r="E233" s="36" t="s">
        <v>216</v>
      </c>
      <c r="F233" s="149">
        <v>60618.86</v>
      </c>
      <c r="G233" s="149">
        <v>37656.5</v>
      </c>
      <c r="H233" s="149">
        <v>0</v>
      </c>
      <c r="I233" s="149">
        <v>0</v>
      </c>
      <c r="J233" s="149">
        <v>0</v>
      </c>
      <c r="K233" s="149">
        <v>0</v>
      </c>
      <c r="L233" s="971">
        <v>0</v>
      </c>
      <c r="M233" s="969"/>
      <c r="N233" s="149">
        <v>0</v>
      </c>
      <c r="O233" s="149">
        <v>0</v>
      </c>
      <c r="P233" s="149">
        <v>98275.36</v>
      </c>
    </row>
    <row r="234" spans="1:16" ht="39.6" x14ac:dyDescent="0.3">
      <c r="A234" s="34">
        <v>2016</v>
      </c>
      <c r="B234" s="35" t="s">
        <v>902</v>
      </c>
      <c r="C234" s="35" t="s">
        <v>901</v>
      </c>
      <c r="D234" s="34">
        <v>108735000</v>
      </c>
      <c r="E234" s="33" t="s">
        <v>835</v>
      </c>
      <c r="F234" s="148">
        <v>14729.82</v>
      </c>
      <c r="G234" s="148">
        <v>16.8</v>
      </c>
      <c r="H234" s="148">
        <v>0</v>
      </c>
      <c r="I234" s="148">
        <v>0</v>
      </c>
      <c r="J234" s="148">
        <v>0</v>
      </c>
      <c r="K234" s="148">
        <v>0</v>
      </c>
      <c r="L234" s="970">
        <v>0</v>
      </c>
      <c r="M234" s="969"/>
      <c r="N234" s="148">
        <v>-1163</v>
      </c>
      <c r="O234" s="148">
        <v>0</v>
      </c>
      <c r="P234" s="148">
        <v>13583.62</v>
      </c>
    </row>
    <row r="235" spans="1:16" ht="26.4" x14ac:dyDescent="0.3">
      <c r="A235" s="37">
        <v>2016</v>
      </c>
      <c r="B235" s="38" t="s">
        <v>902</v>
      </c>
      <c r="C235" s="38" t="s">
        <v>901</v>
      </c>
      <c r="D235" s="37">
        <v>78751000</v>
      </c>
      <c r="E235" s="36" t="s">
        <v>218</v>
      </c>
      <c r="F235" s="149">
        <v>19386.490000000002</v>
      </c>
      <c r="G235" s="149">
        <v>0</v>
      </c>
      <c r="H235" s="149">
        <v>0</v>
      </c>
      <c r="I235" s="149">
        <v>0</v>
      </c>
      <c r="J235" s="149">
        <v>0</v>
      </c>
      <c r="K235" s="149">
        <v>0</v>
      </c>
      <c r="L235" s="971">
        <v>0</v>
      </c>
      <c r="M235" s="969"/>
      <c r="N235" s="149">
        <v>0</v>
      </c>
      <c r="O235" s="149">
        <v>0</v>
      </c>
      <c r="P235" s="149">
        <v>19386.490000000002</v>
      </c>
    </row>
    <row r="236" spans="1:16" x14ac:dyDescent="0.3">
      <c r="A236" s="34">
        <v>2016</v>
      </c>
      <c r="B236" s="35" t="s">
        <v>902</v>
      </c>
      <c r="C236" s="35" t="s">
        <v>901</v>
      </c>
      <c r="D236" s="34">
        <v>78741000</v>
      </c>
      <c r="E236" s="33" t="s">
        <v>747</v>
      </c>
      <c r="F236" s="148">
        <v>27324.18</v>
      </c>
      <c r="G236" s="148">
        <v>803.25</v>
      </c>
      <c r="H236" s="148">
        <v>-100</v>
      </c>
      <c r="I236" s="148">
        <v>0</v>
      </c>
      <c r="J236" s="148">
        <v>0</v>
      </c>
      <c r="K236" s="148">
        <v>0</v>
      </c>
      <c r="L236" s="970">
        <v>0</v>
      </c>
      <c r="M236" s="969"/>
      <c r="N236" s="148">
        <v>-7282.33</v>
      </c>
      <c r="O236" s="148">
        <v>0</v>
      </c>
      <c r="P236" s="148">
        <v>20745.099999999999</v>
      </c>
    </row>
    <row r="237" spans="1:16" ht="26.4" x14ac:dyDescent="0.3">
      <c r="A237" s="37">
        <v>2016</v>
      </c>
      <c r="B237" s="38" t="s">
        <v>902</v>
      </c>
      <c r="C237" s="38" t="s">
        <v>901</v>
      </c>
      <c r="D237" s="37">
        <v>70405000</v>
      </c>
      <c r="E237" s="36" t="s">
        <v>220</v>
      </c>
      <c r="F237" s="149">
        <v>4376343.83</v>
      </c>
      <c r="G237" s="149">
        <v>719224.52</v>
      </c>
      <c r="H237" s="149">
        <v>0</v>
      </c>
      <c r="I237" s="149">
        <v>0</v>
      </c>
      <c r="J237" s="149">
        <v>0</v>
      </c>
      <c r="K237" s="149">
        <v>0</v>
      </c>
      <c r="L237" s="971">
        <v>0</v>
      </c>
      <c r="M237" s="969"/>
      <c r="N237" s="149">
        <v>0</v>
      </c>
      <c r="O237" s="149">
        <v>0</v>
      </c>
      <c r="P237" s="149">
        <v>5095568.3499999996</v>
      </c>
    </row>
    <row r="238" spans="1:16" ht="26.4" x14ac:dyDescent="0.3">
      <c r="A238" s="34">
        <v>2016</v>
      </c>
      <c r="B238" s="35" t="s">
        <v>902</v>
      </c>
      <c r="C238" s="35" t="s">
        <v>901</v>
      </c>
      <c r="D238" s="34">
        <v>110244000</v>
      </c>
      <c r="E238" s="33" t="s">
        <v>221</v>
      </c>
      <c r="F238" s="148">
        <v>1304735.7</v>
      </c>
      <c r="G238" s="148">
        <v>58167.75</v>
      </c>
      <c r="H238" s="148">
        <v>-209599.82</v>
      </c>
      <c r="I238" s="148">
        <v>0</v>
      </c>
      <c r="J238" s="148">
        <v>0</v>
      </c>
      <c r="K238" s="148">
        <v>0</v>
      </c>
      <c r="L238" s="970">
        <v>0</v>
      </c>
      <c r="M238" s="969"/>
      <c r="N238" s="148">
        <v>0</v>
      </c>
      <c r="O238" s="148">
        <v>0</v>
      </c>
      <c r="P238" s="148">
        <v>1153303.6299999999</v>
      </c>
    </row>
    <row r="239" spans="1:16" ht="39.6" x14ac:dyDescent="0.3">
      <c r="A239" s="37">
        <v>2016</v>
      </c>
      <c r="B239" s="38" t="s">
        <v>902</v>
      </c>
      <c r="C239" s="38" t="s">
        <v>901</v>
      </c>
      <c r="D239" s="37">
        <v>78928000</v>
      </c>
      <c r="E239" s="36" t="s">
        <v>222</v>
      </c>
      <c r="F239" s="149">
        <v>28911.71</v>
      </c>
      <c r="G239" s="149">
        <v>4358.6099999999997</v>
      </c>
      <c r="H239" s="149">
        <v>0</v>
      </c>
      <c r="I239" s="149">
        <v>0</v>
      </c>
      <c r="J239" s="149">
        <v>0</v>
      </c>
      <c r="K239" s="149">
        <v>0</v>
      </c>
      <c r="L239" s="971">
        <v>0</v>
      </c>
      <c r="M239" s="969"/>
      <c r="N239" s="149">
        <v>0</v>
      </c>
      <c r="O239" s="149">
        <v>0</v>
      </c>
      <c r="P239" s="149">
        <v>33270.32</v>
      </c>
    </row>
    <row r="240" spans="1:16" ht="26.4" x14ac:dyDescent="0.3">
      <c r="A240" s="34">
        <v>2016</v>
      </c>
      <c r="B240" s="35" t="s">
        <v>902</v>
      </c>
      <c r="C240" s="35" t="s">
        <v>901</v>
      </c>
      <c r="D240" s="34">
        <v>90202000</v>
      </c>
      <c r="E240" s="33" t="s">
        <v>223</v>
      </c>
      <c r="F240" s="148">
        <v>220627.81</v>
      </c>
      <c r="G240" s="148">
        <v>35100.82</v>
      </c>
      <c r="H240" s="148">
        <v>0</v>
      </c>
      <c r="I240" s="148">
        <v>0</v>
      </c>
      <c r="J240" s="148">
        <v>0</v>
      </c>
      <c r="K240" s="148">
        <v>0</v>
      </c>
      <c r="L240" s="970">
        <v>0</v>
      </c>
      <c r="M240" s="969"/>
      <c r="N240" s="148">
        <v>0</v>
      </c>
      <c r="O240" s="148">
        <v>0</v>
      </c>
      <c r="P240" s="148">
        <v>255728.63</v>
      </c>
    </row>
    <row r="241" spans="1:16" x14ac:dyDescent="0.3">
      <c r="A241" s="37">
        <v>2016</v>
      </c>
      <c r="B241" s="38" t="s">
        <v>902</v>
      </c>
      <c r="C241" s="38" t="s">
        <v>901</v>
      </c>
      <c r="D241" s="37">
        <v>148759000</v>
      </c>
      <c r="E241" s="36" t="s">
        <v>224</v>
      </c>
      <c r="F241" s="149">
        <v>107251.94</v>
      </c>
      <c r="G241" s="149">
        <v>3266.2</v>
      </c>
      <c r="H241" s="149">
        <v>0</v>
      </c>
      <c r="I241" s="149">
        <v>0</v>
      </c>
      <c r="J241" s="149">
        <v>0</v>
      </c>
      <c r="K241" s="149">
        <v>0</v>
      </c>
      <c r="L241" s="971">
        <v>0</v>
      </c>
      <c r="M241" s="969"/>
      <c r="N241" s="149">
        <v>0</v>
      </c>
      <c r="O241" s="149">
        <v>0</v>
      </c>
      <c r="P241" s="149">
        <v>110518.14</v>
      </c>
    </row>
    <row r="242" spans="1:16" ht="39.6" x14ac:dyDescent="0.3">
      <c r="A242" s="34">
        <v>2016</v>
      </c>
      <c r="B242" s="35" t="s">
        <v>902</v>
      </c>
      <c r="C242" s="35" t="s">
        <v>901</v>
      </c>
      <c r="D242" s="34">
        <v>78240000</v>
      </c>
      <c r="E242" s="33" t="s">
        <v>225</v>
      </c>
      <c r="F242" s="148">
        <v>22561.56</v>
      </c>
      <c r="G242" s="148">
        <v>25894.61</v>
      </c>
      <c r="H242" s="148">
        <v>0</v>
      </c>
      <c r="I242" s="148">
        <v>0</v>
      </c>
      <c r="J242" s="148">
        <v>0</v>
      </c>
      <c r="K242" s="148">
        <v>0</v>
      </c>
      <c r="L242" s="970">
        <v>0</v>
      </c>
      <c r="M242" s="969"/>
      <c r="N242" s="148">
        <v>0</v>
      </c>
      <c r="O242" s="148">
        <v>0</v>
      </c>
      <c r="P242" s="148">
        <v>48456.17</v>
      </c>
    </row>
    <row r="243" spans="1:16" ht="52.8" x14ac:dyDescent="0.3">
      <c r="A243" s="37">
        <v>2016</v>
      </c>
      <c r="B243" s="38" t="s">
        <v>902</v>
      </c>
      <c r="C243" s="38" t="s">
        <v>901</v>
      </c>
      <c r="D243" s="37">
        <v>78230000</v>
      </c>
      <c r="E243" s="36" t="s">
        <v>226</v>
      </c>
      <c r="F243" s="149">
        <v>58743.98</v>
      </c>
      <c r="G243" s="149">
        <v>2193.38</v>
      </c>
      <c r="H243" s="149">
        <v>0</v>
      </c>
      <c r="I243" s="149">
        <v>0</v>
      </c>
      <c r="J243" s="149">
        <v>0</v>
      </c>
      <c r="K243" s="149">
        <v>0</v>
      </c>
      <c r="L243" s="971">
        <v>0</v>
      </c>
      <c r="M243" s="969"/>
      <c r="N243" s="149">
        <v>0</v>
      </c>
      <c r="O243" s="149">
        <v>0</v>
      </c>
      <c r="P243" s="149">
        <v>60937.36</v>
      </c>
    </row>
    <row r="244" spans="1:16" ht="39.6" x14ac:dyDescent="0.3">
      <c r="A244" s="34">
        <v>2016</v>
      </c>
      <c r="B244" s="35" t="s">
        <v>902</v>
      </c>
      <c r="C244" s="35" t="s">
        <v>901</v>
      </c>
      <c r="D244" s="34">
        <v>78718000</v>
      </c>
      <c r="E244" s="33" t="s">
        <v>227</v>
      </c>
      <c r="F244" s="148">
        <v>107005.14</v>
      </c>
      <c r="G244" s="148">
        <v>10430.540000000001</v>
      </c>
      <c r="H244" s="148">
        <v>0</v>
      </c>
      <c r="I244" s="148">
        <v>0</v>
      </c>
      <c r="J244" s="148">
        <v>0</v>
      </c>
      <c r="K244" s="148">
        <v>0</v>
      </c>
      <c r="L244" s="970">
        <v>0</v>
      </c>
      <c r="M244" s="969"/>
      <c r="N244" s="148">
        <v>0</v>
      </c>
      <c r="O244" s="148">
        <v>0</v>
      </c>
      <c r="P244" s="148">
        <v>117435.68</v>
      </c>
    </row>
    <row r="245" spans="1:16" ht="39.6" x14ac:dyDescent="0.3">
      <c r="A245" s="37">
        <v>2016</v>
      </c>
      <c r="B245" s="38" t="s">
        <v>902</v>
      </c>
      <c r="C245" s="38" t="s">
        <v>901</v>
      </c>
      <c r="D245" s="37">
        <v>78570000</v>
      </c>
      <c r="E245" s="36" t="s">
        <v>228</v>
      </c>
      <c r="F245" s="149">
        <v>53594.6</v>
      </c>
      <c r="G245" s="149">
        <v>3602.81</v>
      </c>
      <c r="H245" s="149">
        <v>0</v>
      </c>
      <c r="I245" s="149">
        <v>0</v>
      </c>
      <c r="J245" s="149">
        <v>0</v>
      </c>
      <c r="K245" s="149">
        <v>0</v>
      </c>
      <c r="L245" s="971">
        <v>0</v>
      </c>
      <c r="M245" s="969"/>
      <c r="N245" s="149">
        <v>0</v>
      </c>
      <c r="O245" s="149">
        <v>0</v>
      </c>
      <c r="P245" s="149">
        <v>57197.41</v>
      </c>
    </row>
    <row r="246" spans="1:16" ht="39.6" x14ac:dyDescent="0.3">
      <c r="A246" s="34">
        <v>2016</v>
      </c>
      <c r="B246" s="35" t="s">
        <v>902</v>
      </c>
      <c r="C246" s="35" t="s">
        <v>901</v>
      </c>
      <c r="D246" s="34">
        <v>78580000</v>
      </c>
      <c r="E246" s="33" t="s">
        <v>229</v>
      </c>
      <c r="F246" s="148">
        <v>81829.64</v>
      </c>
      <c r="G246" s="148">
        <v>5965.82</v>
      </c>
      <c r="H246" s="148">
        <v>0</v>
      </c>
      <c r="I246" s="148">
        <v>0</v>
      </c>
      <c r="J246" s="148">
        <v>0</v>
      </c>
      <c r="K246" s="148">
        <v>0</v>
      </c>
      <c r="L246" s="970">
        <v>0</v>
      </c>
      <c r="M246" s="969"/>
      <c r="N246" s="148">
        <v>0</v>
      </c>
      <c r="O246" s="148">
        <v>0</v>
      </c>
      <c r="P246" s="148">
        <v>87795.46</v>
      </c>
    </row>
    <row r="247" spans="1:16" ht="39.6" x14ac:dyDescent="0.3">
      <c r="A247" s="37">
        <v>2016</v>
      </c>
      <c r="B247" s="38" t="s">
        <v>902</v>
      </c>
      <c r="C247" s="38" t="s">
        <v>901</v>
      </c>
      <c r="D247" s="37">
        <v>78571000</v>
      </c>
      <c r="E247" s="36" t="s">
        <v>230</v>
      </c>
      <c r="F247" s="149">
        <v>68070.98</v>
      </c>
      <c r="G247" s="149">
        <v>221.13</v>
      </c>
      <c r="H247" s="149">
        <v>0</v>
      </c>
      <c r="I247" s="149">
        <v>0</v>
      </c>
      <c r="J247" s="149">
        <v>0</v>
      </c>
      <c r="K247" s="149">
        <v>0</v>
      </c>
      <c r="L247" s="971">
        <v>0</v>
      </c>
      <c r="M247" s="969"/>
      <c r="N247" s="149">
        <v>0</v>
      </c>
      <c r="O247" s="149">
        <v>0</v>
      </c>
      <c r="P247" s="149">
        <v>68292.11</v>
      </c>
    </row>
    <row r="248" spans="1:16" ht="39.6" x14ac:dyDescent="0.3">
      <c r="A248" s="34">
        <v>2016</v>
      </c>
      <c r="B248" s="35" t="s">
        <v>902</v>
      </c>
      <c r="C248" s="35" t="s">
        <v>901</v>
      </c>
      <c r="D248" s="34">
        <v>78949000</v>
      </c>
      <c r="E248" s="33" t="s">
        <v>231</v>
      </c>
      <c r="F248" s="148">
        <v>104584.35</v>
      </c>
      <c r="G248" s="148">
        <v>9066.44</v>
      </c>
      <c r="H248" s="148">
        <v>0</v>
      </c>
      <c r="I248" s="148">
        <v>0</v>
      </c>
      <c r="J248" s="148">
        <v>0</v>
      </c>
      <c r="K248" s="148">
        <v>0</v>
      </c>
      <c r="L248" s="970">
        <v>0</v>
      </c>
      <c r="M248" s="969"/>
      <c r="N248" s="148">
        <v>0</v>
      </c>
      <c r="O248" s="148">
        <v>0</v>
      </c>
      <c r="P248" s="148">
        <v>113650.79</v>
      </c>
    </row>
    <row r="249" spans="1:16" ht="52.8" x14ac:dyDescent="0.3">
      <c r="A249" s="37">
        <v>2016</v>
      </c>
      <c r="B249" s="38" t="s">
        <v>902</v>
      </c>
      <c r="C249" s="38" t="s">
        <v>901</v>
      </c>
      <c r="D249" s="37">
        <v>78576000</v>
      </c>
      <c r="E249" s="36" t="s">
        <v>716</v>
      </c>
      <c r="F249" s="149">
        <v>74421.13</v>
      </c>
      <c r="G249" s="149">
        <v>26654.7</v>
      </c>
      <c r="H249" s="149">
        <v>0</v>
      </c>
      <c r="I249" s="149">
        <v>0</v>
      </c>
      <c r="J249" s="149">
        <v>0</v>
      </c>
      <c r="K249" s="149">
        <v>0</v>
      </c>
      <c r="L249" s="971">
        <v>0</v>
      </c>
      <c r="M249" s="969"/>
      <c r="N249" s="149">
        <v>0</v>
      </c>
      <c r="O249" s="149">
        <v>0</v>
      </c>
      <c r="P249" s="149">
        <v>101075.83</v>
      </c>
    </row>
    <row r="250" spans="1:16" ht="39.6" x14ac:dyDescent="0.3">
      <c r="A250" s="34">
        <v>2016</v>
      </c>
      <c r="B250" s="35" t="s">
        <v>902</v>
      </c>
      <c r="C250" s="35" t="s">
        <v>901</v>
      </c>
      <c r="D250" s="34">
        <v>108706000</v>
      </c>
      <c r="E250" s="33" t="s">
        <v>233</v>
      </c>
      <c r="F250" s="148">
        <v>14729.82</v>
      </c>
      <c r="G250" s="148">
        <v>2909.16</v>
      </c>
      <c r="H250" s="148">
        <v>0</v>
      </c>
      <c r="I250" s="148">
        <v>0</v>
      </c>
      <c r="J250" s="148">
        <v>0</v>
      </c>
      <c r="K250" s="148">
        <v>0</v>
      </c>
      <c r="L250" s="970">
        <v>0</v>
      </c>
      <c r="M250" s="969"/>
      <c r="N250" s="148">
        <v>0</v>
      </c>
      <c r="O250" s="148">
        <v>0</v>
      </c>
      <c r="P250" s="148">
        <v>17638.98</v>
      </c>
    </row>
    <row r="251" spans="1:16" ht="52.8" x14ac:dyDescent="0.3">
      <c r="A251" s="37">
        <v>2016</v>
      </c>
      <c r="B251" s="38" t="s">
        <v>902</v>
      </c>
      <c r="C251" s="38" t="s">
        <v>901</v>
      </c>
      <c r="D251" s="37">
        <v>78999000</v>
      </c>
      <c r="E251" s="36" t="s">
        <v>799</v>
      </c>
      <c r="F251" s="149">
        <v>188194.68</v>
      </c>
      <c r="G251" s="149">
        <v>23511.88</v>
      </c>
      <c r="H251" s="149">
        <v>0</v>
      </c>
      <c r="I251" s="149">
        <v>0</v>
      </c>
      <c r="J251" s="149">
        <v>0</v>
      </c>
      <c r="K251" s="149">
        <v>0</v>
      </c>
      <c r="L251" s="971">
        <v>0</v>
      </c>
      <c r="M251" s="969"/>
      <c r="N251" s="149">
        <v>0</v>
      </c>
      <c r="O251" s="149">
        <v>0</v>
      </c>
      <c r="P251" s="149">
        <v>211706.56</v>
      </c>
    </row>
    <row r="252" spans="1:16" ht="52.8" x14ac:dyDescent="0.3">
      <c r="A252" s="34">
        <v>2016</v>
      </c>
      <c r="B252" s="35" t="s">
        <v>902</v>
      </c>
      <c r="C252" s="35" t="s">
        <v>901</v>
      </c>
      <c r="D252" s="34">
        <v>78765000</v>
      </c>
      <c r="E252" s="33" t="s">
        <v>755</v>
      </c>
      <c r="F252" s="148">
        <v>58545.75</v>
      </c>
      <c r="G252" s="148">
        <v>50090.71</v>
      </c>
      <c r="H252" s="148">
        <v>0</v>
      </c>
      <c r="I252" s="148">
        <v>0</v>
      </c>
      <c r="J252" s="148">
        <v>0</v>
      </c>
      <c r="K252" s="148">
        <v>0</v>
      </c>
      <c r="L252" s="970">
        <v>0</v>
      </c>
      <c r="M252" s="969"/>
      <c r="N252" s="148">
        <v>0</v>
      </c>
      <c r="O252" s="148">
        <v>0</v>
      </c>
      <c r="P252" s="148">
        <v>108636.46</v>
      </c>
    </row>
    <row r="253" spans="1:16" ht="39.6" x14ac:dyDescent="0.3">
      <c r="A253" s="37">
        <v>2016</v>
      </c>
      <c r="B253" s="38" t="s">
        <v>902</v>
      </c>
      <c r="C253" s="38" t="s">
        <v>901</v>
      </c>
      <c r="D253" s="37">
        <v>78952000</v>
      </c>
      <c r="E253" s="36" t="s">
        <v>236</v>
      </c>
      <c r="F253" s="149">
        <v>91354.87</v>
      </c>
      <c r="G253" s="149">
        <v>7385.94</v>
      </c>
      <c r="H253" s="149">
        <v>0</v>
      </c>
      <c r="I253" s="149">
        <v>0</v>
      </c>
      <c r="J253" s="149">
        <v>0</v>
      </c>
      <c r="K253" s="149">
        <v>0</v>
      </c>
      <c r="L253" s="971">
        <v>0</v>
      </c>
      <c r="M253" s="969"/>
      <c r="N253" s="149">
        <v>0</v>
      </c>
      <c r="O253" s="149">
        <v>0</v>
      </c>
      <c r="P253" s="149">
        <v>98740.81</v>
      </c>
    </row>
    <row r="254" spans="1:16" ht="52.8" x14ac:dyDescent="0.3">
      <c r="A254" s="34">
        <v>2016</v>
      </c>
      <c r="B254" s="35" t="s">
        <v>902</v>
      </c>
      <c r="C254" s="35" t="s">
        <v>901</v>
      </c>
      <c r="D254" s="34">
        <v>78954000</v>
      </c>
      <c r="E254" s="33" t="s">
        <v>783</v>
      </c>
      <c r="F254" s="148">
        <v>0</v>
      </c>
      <c r="G254" s="148">
        <v>14387.52</v>
      </c>
      <c r="H254" s="148">
        <v>0</v>
      </c>
      <c r="I254" s="148">
        <v>0</v>
      </c>
      <c r="J254" s="148">
        <v>0</v>
      </c>
      <c r="K254" s="148">
        <v>0</v>
      </c>
      <c r="L254" s="970">
        <v>0</v>
      </c>
      <c r="M254" s="969"/>
      <c r="N254" s="148">
        <v>0</v>
      </c>
      <c r="O254" s="148">
        <v>0</v>
      </c>
      <c r="P254" s="148">
        <v>14387.52</v>
      </c>
    </row>
    <row r="255" spans="1:16" ht="52.8" x14ac:dyDescent="0.3">
      <c r="A255" s="37">
        <v>2016</v>
      </c>
      <c r="B255" s="38" t="s">
        <v>902</v>
      </c>
      <c r="C255" s="38" t="s">
        <v>901</v>
      </c>
      <c r="D255" s="37">
        <v>78567000</v>
      </c>
      <c r="E255" s="36" t="s">
        <v>715</v>
      </c>
      <c r="F255" s="149">
        <v>164381.60999999999</v>
      </c>
      <c r="G255" s="149">
        <v>11708.57</v>
      </c>
      <c r="H255" s="149">
        <v>0</v>
      </c>
      <c r="I255" s="149">
        <v>0</v>
      </c>
      <c r="J255" s="149">
        <v>0</v>
      </c>
      <c r="K255" s="149">
        <v>0</v>
      </c>
      <c r="L255" s="971">
        <v>0</v>
      </c>
      <c r="M255" s="969"/>
      <c r="N255" s="149">
        <v>0</v>
      </c>
      <c r="O255" s="149">
        <v>0</v>
      </c>
      <c r="P255" s="149">
        <v>176090.18</v>
      </c>
    </row>
    <row r="256" spans="1:16" ht="52.8" x14ac:dyDescent="0.3">
      <c r="A256" s="34">
        <v>2016</v>
      </c>
      <c r="B256" s="35" t="s">
        <v>902</v>
      </c>
      <c r="C256" s="35" t="s">
        <v>901</v>
      </c>
      <c r="D256" s="34">
        <v>78946000</v>
      </c>
      <c r="E256" s="33" t="s">
        <v>777</v>
      </c>
      <c r="F256" s="148">
        <v>36849.4</v>
      </c>
      <c r="G256" s="148">
        <v>9400.85</v>
      </c>
      <c r="H256" s="148">
        <v>0</v>
      </c>
      <c r="I256" s="148">
        <v>0</v>
      </c>
      <c r="J256" s="148">
        <v>0</v>
      </c>
      <c r="K256" s="148">
        <v>0</v>
      </c>
      <c r="L256" s="970">
        <v>0</v>
      </c>
      <c r="M256" s="969"/>
      <c r="N256" s="148">
        <v>0</v>
      </c>
      <c r="O256" s="148">
        <v>0</v>
      </c>
      <c r="P256" s="148">
        <v>46250.25</v>
      </c>
    </row>
    <row r="257" spans="1:16" x14ac:dyDescent="0.3">
      <c r="A257" s="37">
        <v>2016</v>
      </c>
      <c r="B257" s="38" t="s">
        <v>902</v>
      </c>
      <c r="C257" s="38" t="s">
        <v>901</v>
      </c>
      <c r="D257" s="37">
        <v>90227000</v>
      </c>
      <c r="E257" s="36" t="s">
        <v>239</v>
      </c>
      <c r="F257" s="149">
        <v>1584546.58</v>
      </c>
      <c r="G257" s="149">
        <v>155135.51999999999</v>
      </c>
      <c r="H257" s="149">
        <v>0</v>
      </c>
      <c r="I257" s="149">
        <v>0</v>
      </c>
      <c r="J257" s="149">
        <v>0</v>
      </c>
      <c r="K257" s="149">
        <v>0</v>
      </c>
      <c r="L257" s="971">
        <v>0</v>
      </c>
      <c r="M257" s="969"/>
      <c r="N257" s="149">
        <v>0</v>
      </c>
      <c r="O257" s="149">
        <v>0</v>
      </c>
      <c r="P257" s="149">
        <v>1739682.1</v>
      </c>
    </row>
    <row r="258" spans="1:16" x14ac:dyDescent="0.3">
      <c r="A258" s="34">
        <v>2016</v>
      </c>
      <c r="B258" s="35" t="s">
        <v>902</v>
      </c>
      <c r="C258" s="35" t="s">
        <v>901</v>
      </c>
      <c r="D258" s="34">
        <v>138759000</v>
      </c>
      <c r="E258" s="33" t="s">
        <v>872</v>
      </c>
      <c r="F258" s="148">
        <v>0</v>
      </c>
      <c r="G258" s="148">
        <v>0</v>
      </c>
      <c r="H258" s="148">
        <v>0</v>
      </c>
      <c r="I258" s="148">
        <v>0</v>
      </c>
      <c r="J258" s="148">
        <v>0</v>
      </c>
      <c r="K258" s="148">
        <v>0</v>
      </c>
      <c r="L258" s="970">
        <v>0</v>
      </c>
      <c r="M258" s="969"/>
      <c r="N258" s="148">
        <v>0</v>
      </c>
      <c r="O258" s="148">
        <v>0</v>
      </c>
      <c r="P258" s="148">
        <v>0</v>
      </c>
    </row>
    <row r="259" spans="1:16" ht="26.4" x14ac:dyDescent="0.3">
      <c r="A259" s="37">
        <v>2016</v>
      </c>
      <c r="B259" s="38" t="s">
        <v>902</v>
      </c>
      <c r="C259" s="38" t="s">
        <v>901</v>
      </c>
      <c r="D259" s="37">
        <v>78759000</v>
      </c>
      <c r="E259" s="36" t="s">
        <v>240</v>
      </c>
      <c r="F259" s="149">
        <v>11056.86</v>
      </c>
      <c r="G259" s="149">
        <v>0</v>
      </c>
      <c r="H259" s="149">
        <v>0</v>
      </c>
      <c r="I259" s="149">
        <v>0</v>
      </c>
      <c r="J259" s="149">
        <v>0</v>
      </c>
      <c r="K259" s="149">
        <v>-11056.86</v>
      </c>
      <c r="L259" s="971">
        <v>0</v>
      </c>
      <c r="M259" s="969"/>
      <c r="N259" s="149">
        <v>0</v>
      </c>
      <c r="O259" s="149">
        <v>0</v>
      </c>
      <c r="P259" s="149">
        <v>0</v>
      </c>
    </row>
    <row r="260" spans="1:16" ht="26.4" x14ac:dyDescent="0.3">
      <c r="A260" s="34">
        <v>2016</v>
      </c>
      <c r="B260" s="35" t="s">
        <v>902</v>
      </c>
      <c r="C260" s="35" t="s">
        <v>901</v>
      </c>
      <c r="D260" s="34">
        <v>88620000</v>
      </c>
      <c r="E260" s="33" t="s">
        <v>241</v>
      </c>
      <c r="F260" s="148">
        <v>211917.28</v>
      </c>
      <c r="G260" s="148">
        <v>34398.9</v>
      </c>
      <c r="H260" s="148">
        <v>-16337.32</v>
      </c>
      <c r="I260" s="148">
        <v>0</v>
      </c>
      <c r="J260" s="148">
        <v>0</v>
      </c>
      <c r="K260" s="148">
        <v>0</v>
      </c>
      <c r="L260" s="970">
        <v>0</v>
      </c>
      <c r="M260" s="969"/>
      <c r="N260" s="148">
        <v>0</v>
      </c>
      <c r="O260" s="148">
        <v>0</v>
      </c>
      <c r="P260" s="148">
        <v>229978.86</v>
      </c>
    </row>
    <row r="261" spans="1:16" ht="26.4" x14ac:dyDescent="0.3">
      <c r="A261" s="37">
        <v>2016</v>
      </c>
      <c r="B261" s="38" t="s">
        <v>902</v>
      </c>
      <c r="C261" s="38" t="s">
        <v>901</v>
      </c>
      <c r="D261" s="37">
        <v>80220000</v>
      </c>
      <c r="E261" s="36" t="s">
        <v>242</v>
      </c>
      <c r="F261" s="149">
        <v>1881652.89</v>
      </c>
      <c r="G261" s="149">
        <v>301221.43</v>
      </c>
      <c r="H261" s="149">
        <v>0</v>
      </c>
      <c r="I261" s="149">
        <v>0</v>
      </c>
      <c r="J261" s="149">
        <v>0</v>
      </c>
      <c r="K261" s="149">
        <v>0</v>
      </c>
      <c r="L261" s="971">
        <v>0</v>
      </c>
      <c r="M261" s="969"/>
      <c r="N261" s="149">
        <v>0</v>
      </c>
      <c r="O261" s="149">
        <v>0</v>
      </c>
      <c r="P261" s="149">
        <v>2182874.3199999998</v>
      </c>
    </row>
    <row r="262" spans="1:16" ht="26.4" x14ac:dyDescent="0.3">
      <c r="A262" s="34">
        <v>2016</v>
      </c>
      <c r="B262" s="35" t="s">
        <v>902</v>
      </c>
      <c r="C262" s="35" t="s">
        <v>901</v>
      </c>
      <c r="D262" s="34">
        <v>130323000</v>
      </c>
      <c r="E262" s="33" t="s">
        <v>243</v>
      </c>
      <c r="F262" s="148">
        <v>40864.51</v>
      </c>
      <c r="G262" s="148">
        <v>8277.2099999999991</v>
      </c>
      <c r="H262" s="148">
        <v>-4170.57</v>
      </c>
      <c r="I262" s="148">
        <v>0</v>
      </c>
      <c r="J262" s="148">
        <v>0</v>
      </c>
      <c r="K262" s="148">
        <v>0</v>
      </c>
      <c r="L262" s="970">
        <v>0</v>
      </c>
      <c r="M262" s="969"/>
      <c r="N262" s="148">
        <v>0</v>
      </c>
      <c r="O262" s="148">
        <v>0</v>
      </c>
      <c r="P262" s="148">
        <v>44971.15</v>
      </c>
    </row>
    <row r="263" spans="1:16" ht="26.4" x14ac:dyDescent="0.3">
      <c r="A263" s="37">
        <v>2016</v>
      </c>
      <c r="B263" s="38" t="s">
        <v>902</v>
      </c>
      <c r="C263" s="38" t="s">
        <v>901</v>
      </c>
      <c r="D263" s="37">
        <v>70428000</v>
      </c>
      <c r="E263" s="36" t="s">
        <v>244</v>
      </c>
      <c r="F263" s="149">
        <v>1158193.27</v>
      </c>
      <c r="G263" s="149">
        <v>312623.40000000002</v>
      </c>
      <c r="H263" s="149">
        <v>0</v>
      </c>
      <c r="I263" s="149">
        <v>0</v>
      </c>
      <c r="J263" s="149">
        <v>0</v>
      </c>
      <c r="K263" s="149">
        <v>0</v>
      </c>
      <c r="L263" s="971">
        <v>0</v>
      </c>
      <c r="M263" s="969"/>
      <c r="N263" s="149">
        <v>0</v>
      </c>
      <c r="O263" s="149">
        <v>0</v>
      </c>
      <c r="P263" s="149">
        <v>1470816.67</v>
      </c>
    </row>
    <row r="264" spans="1:16" ht="26.4" x14ac:dyDescent="0.3">
      <c r="A264" s="34">
        <v>2016</v>
      </c>
      <c r="B264" s="35" t="s">
        <v>902</v>
      </c>
      <c r="C264" s="35" t="s">
        <v>901</v>
      </c>
      <c r="D264" s="34">
        <v>138503000</v>
      </c>
      <c r="E264" s="33" t="s">
        <v>862</v>
      </c>
      <c r="F264" s="148">
        <v>17965.400000000001</v>
      </c>
      <c r="G264" s="148">
        <v>832.6</v>
      </c>
      <c r="H264" s="148">
        <v>-467.1</v>
      </c>
      <c r="I264" s="148">
        <v>0</v>
      </c>
      <c r="J264" s="148">
        <v>0</v>
      </c>
      <c r="K264" s="148">
        <v>0</v>
      </c>
      <c r="L264" s="970">
        <v>0</v>
      </c>
      <c r="M264" s="969"/>
      <c r="N264" s="148">
        <v>0</v>
      </c>
      <c r="O264" s="148">
        <v>0</v>
      </c>
      <c r="P264" s="148">
        <v>18330.900000000001</v>
      </c>
    </row>
    <row r="265" spans="1:16" ht="26.4" x14ac:dyDescent="0.3">
      <c r="A265" s="37">
        <v>2016</v>
      </c>
      <c r="B265" s="38" t="s">
        <v>902</v>
      </c>
      <c r="C265" s="38" t="s">
        <v>901</v>
      </c>
      <c r="D265" s="37">
        <v>80201000</v>
      </c>
      <c r="E265" s="36" t="s">
        <v>246</v>
      </c>
      <c r="F265" s="149">
        <v>1283192.28</v>
      </c>
      <c r="G265" s="149">
        <v>486158.42</v>
      </c>
      <c r="H265" s="149">
        <v>-338493.23</v>
      </c>
      <c r="I265" s="149">
        <v>0</v>
      </c>
      <c r="J265" s="149">
        <v>0</v>
      </c>
      <c r="K265" s="149">
        <v>0</v>
      </c>
      <c r="L265" s="971">
        <v>0</v>
      </c>
      <c r="M265" s="969"/>
      <c r="N265" s="149">
        <v>0</v>
      </c>
      <c r="O265" s="149">
        <v>0</v>
      </c>
      <c r="P265" s="149">
        <v>1430857.47</v>
      </c>
    </row>
    <row r="266" spans="1:16" ht="26.4" x14ac:dyDescent="0.3">
      <c r="A266" s="34">
        <v>2016</v>
      </c>
      <c r="B266" s="35" t="s">
        <v>902</v>
      </c>
      <c r="C266" s="35" t="s">
        <v>901</v>
      </c>
      <c r="D266" s="34">
        <v>70459000</v>
      </c>
      <c r="E266" s="33" t="s">
        <v>247</v>
      </c>
      <c r="F266" s="148">
        <v>1340009.8600000001</v>
      </c>
      <c r="G266" s="148">
        <v>169154.33</v>
      </c>
      <c r="H266" s="148">
        <v>0</v>
      </c>
      <c r="I266" s="148">
        <v>0</v>
      </c>
      <c r="J266" s="148">
        <v>0</v>
      </c>
      <c r="K266" s="148">
        <v>0</v>
      </c>
      <c r="L266" s="970">
        <v>0</v>
      </c>
      <c r="M266" s="969"/>
      <c r="N266" s="148">
        <v>0</v>
      </c>
      <c r="O266" s="148">
        <v>0</v>
      </c>
      <c r="P266" s="148">
        <v>1509164.19</v>
      </c>
    </row>
    <row r="267" spans="1:16" x14ac:dyDescent="0.3">
      <c r="A267" s="37">
        <v>2016</v>
      </c>
      <c r="B267" s="38" t="s">
        <v>902</v>
      </c>
      <c r="C267" s="38" t="s">
        <v>901</v>
      </c>
      <c r="D267" s="37">
        <v>78968000</v>
      </c>
      <c r="E267" s="36" t="s">
        <v>249</v>
      </c>
      <c r="F267" s="149">
        <v>113101.28</v>
      </c>
      <c r="G267" s="149">
        <v>10613.12</v>
      </c>
      <c r="H267" s="149">
        <v>0</v>
      </c>
      <c r="I267" s="149">
        <v>0</v>
      </c>
      <c r="J267" s="149">
        <v>0</v>
      </c>
      <c r="K267" s="149">
        <v>0</v>
      </c>
      <c r="L267" s="971">
        <v>0</v>
      </c>
      <c r="M267" s="969"/>
      <c r="N267" s="149">
        <v>0</v>
      </c>
      <c r="O267" s="149">
        <v>0</v>
      </c>
      <c r="P267" s="149">
        <v>123714.4</v>
      </c>
    </row>
    <row r="268" spans="1:16" ht="39.6" x14ac:dyDescent="0.3">
      <c r="A268" s="34">
        <v>2016</v>
      </c>
      <c r="B268" s="35" t="s">
        <v>902</v>
      </c>
      <c r="C268" s="35" t="s">
        <v>901</v>
      </c>
      <c r="D268" s="34">
        <v>78101000</v>
      </c>
      <c r="E268" s="33" t="s">
        <v>248</v>
      </c>
      <c r="F268" s="148">
        <v>78125.39</v>
      </c>
      <c r="G268" s="148">
        <v>15196.71</v>
      </c>
      <c r="H268" s="148">
        <v>0</v>
      </c>
      <c r="I268" s="148">
        <v>0</v>
      </c>
      <c r="J268" s="148">
        <v>0</v>
      </c>
      <c r="K268" s="148">
        <v>0</v>
      </c>
      <c r="L268" s="970">
        <v>0</v>
      </c>
      <c r="M268" s="969"/>
      <c r="N268" s="148">
        <v>0</v>
      </c>
      <c r="O268" s="148">
        <v>0</v>
      </c>
      <c r="P268" s="148">
        <v>93322.1</v>
      </c>
    </row>
    <row r="269" spans="1:16" ht="26.4" x14ac:dyDescent="0.3">
      <c r="A269" s="37">
        <v>2016</v>
      </c>
      <c r="B269" s="38" t="s">
        <v>902</v>
      </c>
      <c r="C269" s="38" t="s">
        <v>901</v>
      </c>
      <c r="D269" s="37">
        <v>118708000</v>
      </c>
      <c r="E269" s="36" t="s">
        <v>250</v>
      </c>
      <c r="F269" s="149">
        <v>97525.18</v>
      </c>
      <c r="G269" s="149">
        <v>2000</v>
      </c>
      <c r="H269" s="149">
        <v>0</v>
      </c>
      <c r="I269" s="149">
        <v>0</v>
      </c>
      <c r="J269" s="149">
        <v>0</v>
      </c>
      <c r="K269" s="149">
        <v>0</v>
      </c>
      <c r="L269" s="971">
        <v>0</v>
      </c>
      <c r="M269" s="969"/>
      <c r="N269" s="149">
        <v>0</v>
      </c>
      <c r="O269" s="149">
        <v>0</v>
      </c>
      <c r="P269" s="149">
        <v>99525.18</v>
      </c>
    </row>
    <row r="270" spans="1:16" ht="26.4" x14ac:dyDescent="0.3">
      <c r="A270" s="34">
        <v>2016</v>
      </c>
      <c r="B270" s="35" t="s">
        <v>902</v>
      </c>
      <c r="C270" s="35" t="s">
        <v>901</v>
      </c>
      <c r="D270" s="34">
        <v>78507000</v>
      </c>
      <c r="E270" s="33" t="s">
        <v>251</v>
      </c>
      <c r="F270" s="148">
        <v>26739.22</v>
      </c>
      <c r="G270" s="148">
        <v>0</v>
      </c>
      <c r="H270" s="148">
        <v>0</v>
      </c>
      <c r="I270" s="148">
        <v>0</v>
      </c>
      <c r="J270" s="148">
        <v>0</v>
      </c>
      <c r="K270" s="148">
        <v>0</v>
      </c>
      <c r="L270" s="970">
        <v>0</v>
      </c>
      <c r="M270" s="969"/>
      <c r="N270" s="148">
        <v>0</v>
      </c>
      <c r="O270" s="148">
        <v>0</v>
      </c>
      <c r="P270" s="148">
        <v>26739.22</v>
      </c>
    </row>
    <row r="271" spans="1:16" x14ac:dyDescent="0.3">
      <c r="A271" s="37">
        <v>2016</v>
      </c>
      <c r="B271" s="38" t="s">
        <v>902</v>
      </c>
      <c r="C271" s="38" t="s">
        <v>901</v>
      </c>
      <c r="D271" s="37">
        <v>78685000</v>
      </c>
      <c r="E271" s="36" t="s">
        <v>252</v>
      </c>
      <c r="F271" s="149">
        <v>90825.69</v>
      </c>
      <c r="G271" s="149">
        <v>5587.23</v>
      </c>
      <c r="H271" s="149">
        <v>0</v>
      </c>
      <c r="I271" s="149">
        <v>0</v>
      </c>
      <c r="J271" s="149">
        <v>0</v>
      </c>
      <c r="K271" s="149">
        <v>0</v>
      </c>
      <c r="L271" s="971">
        <v>0</v>
      </c>
      <c r="M271" s="969"/>
      <c r="N271" s="149">
        <v>0</v>
      </c>
      <c r="O271" s="149">
        <v>0</v>
      </c>
      <c r="P271" s="149">
        <v>96412.92</v>
      </c>
    </row>
    <row r="272" spans="1:16" ht="26.4" x14ac:dyDescent="0.3">
      <c r="A272" s="34">
        <v>2016</v>
      </c>
      <c r="B272" s="35" t="s">
        <v>902</v>
      </c>
      <c r="C272" s="35" t="s">
        <v>901</v>
      </c>
      <c r="D272" s="34">
        <v>118715000</v>
      </c>
      <c r="E272" s="33" t="s">
        <v>257</v>
      </c>
      <c r="F272" s="148">
        <v>136953.07</v>
      </c>
      <c r="G272" s="148">
        <v>0</v>
      </c>
      <c r="H272" s="148">
        <v>-5526.77</v>
      </c>
      <c r="I272" s="148">
        <v>0</v>
      </c>
      <c r="J272" s="148">
        <v>0</v>
      </c>
      <c r="K272" s="148">
        <v>0</v>
      </c>
      <c r="L272" s="970">
        <v>0</v>
      </c>
      <c r="M272" s="969"/>
      <c r="N272" s="148">
        <v>0</v>
      </c>
      <c r="O272" s="148">
        <v>0</v>
      </c>
      <c r="P272" s="148">
        <v>131426.29999999999</v>
      </c>
    </row>
    <row r="273" spans="1:16" ht="39.6" x14ac:dyDescent="0.3">
      <c r="A273" s="37">
        <v>2016</v>
      </c>
      <c r="B273" s="38" t="s">
        <v>902</v>
      </c>
      <c r="C273" s="38" t="s">
        <v>901</v>
      </c>
      <c r="D273" s="37">
        <v>78215000</v>
      </c>
      <c r="E273" s="36" t="s">
        <v>508</v>
      </c>
      <c r="F273" s="149">
        <v>169490.62</v>
      </c>
      <c r="G273" s="149">
        <v>0</v>
      </c>
      <c r="H273" s="149">
        <v>0</v>
      </c>
      <c r="I273" s="149">
        <v>0</v>
      </c>
      <c r="J273" s="149">
        <v>0</v>
      </c>
      <c r="K273" s="149">
        <v>0</v>
      </c>
      <c r="L273" s="971">
        <v>0</v>
      </c>
      <c r="M273" s="969"/>
      <c r="N273" s="149">
        <v>0</v>
      </c>
      <c r="O273" s="149">
        <v>0</v>
      </c>
      <c r="P273" s="149">
        <v>169490.62</v>
      </c>
    </row>
    <row r="274" spans="1:16" ht="39.6" x14ac:dyDescent="0.3">
      <c r="A274" s="34">
        <v>2016</v>
      </c>
      <c r="B274" s="35" t="s">
        <v>902</v>
      </c>
      <c r="C274" s="35" t="s">
        <v>901</v>
      </c>
      <c r="D274" s="34">
        <v>78518000</v>
      </c>
      <c r="E274" s="33" t="s">
        <v>507</v>
      </c>
      <c r="F274" s="148">
        <v>175437.79</v>
      </c>
      <c r="G274" s="148">
        <v>3747.25</v>
      </c>
      <c r="H274" s="148">
        <v>-16274.26</v>
      </c>
      <c r="I274" s="148">
        <v>0</v>
      </c>
      <c r="J274" s="148">
        <v>0</v>
      </c>
      <c r="K274" s="148">
        <v>0</v>
      </c>
      <c r="L274" s="970">
        <v>0</v>
      </c>
      <c r="M274" s="969"/>
      <c r="N274" s="148">
        <v>0</v>
      </c>
      <c r="O274" s="148">
        <v>0</v>
      </c>
      <c r="P274" s="148">
        <v>162910.78</v>
      </c>
    </row>
    <row r="275" spans="1:16" ht="39.6" x14ac:dyDescent="0.3">
      <c r="A275" s="37">
        <v>2016</v>
      </c>
      <c r="B275" s="38" t="s">
        <v>902</v>
      </c>
      <c r="C275" s="38" t="s">
        <v>901</v>
      </c>
      <c r="D275" s="37">
        <v>78245000</v>
      </c>
      <c r="E275" s="36" t="s">
        <v>506</v>
      </c>
      <c r="F275" s="149">
        <v>215350.83</v>
      </c>
      <c r="G275" s="149">
        <v>0</v>
      </c>
      <c r="H275" s="149">
        <v>0</v>
      </c>
      <c r="I275" s="149">
        <v>0</v>
      </c>
      <c r="J275" s="149">
        <v>0</v>
      </c>
      <c r="K275" s="149">
        <v>0</v>
      </c>
      <c r="L275" s="971">
        <v>0</v>
      </c>
      <c r="M275" s="969"/>
      <c r="N275" s="149">
        <v>0</v>
      </c>
      <c r="O275" s="149">
        <v>0</v>
      </c>
      <c r="P275" s="149">
        <v>215350.83</v>
      </c>
    </row>
    <row r="276" spans="1:16" ht="26.4" x14ac:dyDescent="0.3">
      <c r="A276" s="34">
        <v>2016</v>
      </c>
      <c r="B276" s="35" t="s">
        <v>902</v>
      </c>
      <c r="C276" s="35" t="s">
        <v>901</v>
      </c>
      <c r="D276" s="34">
        <v>118712000</v>
      </c>
      <c r="E276" s="33" t="s">
        <v>505</v>
      </c>
      <c r="F276" s="148">
        <v>186393.68</v>
      </c>
      <c r="G276" s="148">
        <v>0</v>
      </c>
      <c r="H276" s="148">
        <v>0</v>
      </c>
      <c r="I276" s="148">
        <v>0</v>
      </c>
      <c r="J276" s="148">
        <v>0</v>
      </c>
      <c r="K276" s="148">
        <v>0</v>
      </c>
      <c r="L276" s="970">
        <v>0</v>
      </c>
      <c r="M276" s="969"/>
      <c r="N276" s="148">
        <v>0</v>
      </c>
      <c r="O276" s="148">
        <v>0</v>
      </c>
      <c r="P276" s="148">
        <v>186393.68</v>
      </c>
    </row>
    <row r="277" spans="1:16" ht="26.4" x14ac:dyDescent="0.3">
      <c r="A277" s="37">
        <v>2016</v>
      </c>
      <c r="B277" s="38" t="s">
        <v>902</v>
      </c>
      <c r="C277" s="38" t="s">
        <v>901</v>
      </c>
      <c r="D277" s="37">
        <v>78229000</v>
      </c>
      <c r="E277" s="36" t="s">
        <v>504</v>
      </c>
      <c r="F277" s="149">
        <v>90311.039999999994</v>
      </c>
      <c r="G277" s="149">
        <v>0</v>
      </c>
      <c r="H277" s="149">
        <v>-234.84</v>
      </c>
      <c r="I277" s="149">
        <v>0</v>
      </c>
      <c r="J277" s="149">
        <v>0</v>
      </c>
      <c r="K277" s="149">
        <v>0</v>
      </c>
      <c r="L277" s="971">
        <v>0</v>
      </c>
      <c r="M277" s="969"/>
      <c r="N277" s="149">
        <v>0</v>
      </c>
      <c r="O277" s="149">
        <v>0</v>
      </c>
      <c r="P277" s="149">
        <v>90076.2</v>
      </c>
    </row>
    <row r="278" spans="1:16" ht="39.6" x14ac:dyDescent="0.3">
      <c r="A278" s="34">
        <v>2016</v>
      </c>
      <c r="B278" s="35" t="s">
        <v>902</v>
      </c>
      <c r="C278" s="35" t="s">
        <v>901</v>
      </c>
      <c r="D278" s="34">
        <v>118713000</v>
      </c>
      <c r="E278" s="33" t="s">
        <v>503</v>
      </c>
      <c r="F278" s="148">
        <v>120857.87</v>
      </c>
      <c r="G278" s="148">
        <v>0</v>
      </c>
      <c r="H278" s="148">
        <v>-5795.93</v>
      </c>
      <c r="I278" s="148">
        <v>0</v>
      </c>
      <c r="J278" s="148">
        <v>0</v>
      </c>
      <c r="K278" s="148">
        <v>0</v>
      </c>
      <c r="L278" s="970">
        <v>0</v>
      </c>
      <c r="M278" s="969"/>
      <c r="N278" s="148">
        <v>0</v>
      </c>
      <c r="O278" s="148">
        <v>0</v>
      </c>
      <c r="P278" s="148">
        <v>115061.94</v>
      </c>
    </row>
    <row r="279" spans="1:16" ht="26.4" x14ac:dyDescent="0.3">
      <c r="A279" s="37">
        <v>2016</v>
      </c>
      <c r="B279" s="38" t="s">
        <v>902</v>
      </c>
      <c r="C279" s="38" t="s">
        <v>901</v>
      </c>
      <c r="D279" s="37">
        <v>78274000</v>
      </c>
      <c r="E279" s="36" t="s">
        <v>1251</v>
      </c>
      <c r="F279" s="149">
        <v>147192.78</v>
      </c>
      <c r="G279" s="149">
        <v>0</v>
      </c>
      <c r="H279" s="149">
        <v>-24873.94</v>
      </c>
      <c r="I279" s="149">
        <v>0</v>
      </c>
      <c r="J279" s="149">
        <v>0</v>
      </c>
      <c r="K279" s="149">
        <v>0</v>
      </c>
      <c r="L279" s="971">
        <v>0</v>
      </c>
      <c r="M279" s="969"/>
      <c r="N279" s="149">
        <v>0</v>
      </c>
      <c r="O279" s="149">
        <v>0</v>
      </c>
      <c r="P279" s="149">
        <v>122318.84</v>
      </c>
    </row>
    <row r="280" spans="1:16" ht="26.4" x14ac:dyDescent="0.3">
      <c r="A280" s="34">
        <v>2016</v>
      </c>
      <c r="B280" s="35" t="s">
        <v>902</v>
      </c>
      <c r="C280" s="35" t="s">
        <v>901</v>
      </c>
      <c r="D280" s="34">
        <v>70425000</v>
      </c>
      <c r="E280" s="33" t="s">
        <v>260</v>
      </c>
      <c r="F280" s="148">
        <v>447218</v>
      </c>
      <c r="G280" s="148">
        <v>28732.18</v>
      </c>
      <c r="H280" s="148">
        <v>-33916.28</v>
      </c>
      <c r="I280" s="148">
        <v>0</v>
      </c>
      <c r="J280" s="148">
        <v>0</v>
      </c>
      <c r="K280" s="148">
        <v>0</v>
      </c>
      <c r="L280" s="970">
        <v>0</v>
      </c>
      <c r="M280" s="969"/>
      <c r="N280" s="148">
        <v>0</v>
      </c>
      <c r="O280" s="148">
        <v>0</v>
      </c>
      <c r="P280" s="148">
        <v>442033.9</v>
      </c>
    </row>
    <row r="281" spans="1:16" ht="26.4" x14ac:dyDescent="0.3">
      <c r="A281" s="37">
        <v>2016</v>
      </c>
      <c r="B281" s="38" t="s">
        <v>902</v>
      </c>
      <c r="C281" s="38" t="s">
        <v>901</v>
      </c>
      <c r="D281" s="37">
        <v>78784000</v>
      </c>
      <c r="E281" s="36" t="s">
        <v>261</v>
      </c>
      <c r="F281" s="149">
        <v>254871.27</v>
      </c>
      <c r="G281" s="149">
        <v>0</v>
      </c>
      <c r="H281" s="149">
        <v>0</v>
      </c>
      <c r="I281" s="149">
        <v>0</v>
      </c>
      <c r="J281" s="149">
        <v>0</v>
      </c>
      <c r="K281" s="149">
        <v>0</v>
      </c>
      <c r="L281" s="971">
        <v>0</v>
      </c>
      <c r="M281" s="969"/>
      <c r="N281" s="149">
        <v>-9717.5</v>
      </c>
      <c r="O281" s="149">
        <v>0</v>
      </c>
      <c r="P281" s="149">
        <v>245153.77</v>
      </c>
    </row>
    <row r="282" spans="1:16" ht="26.4" x14ac:dyDescent="0.3">
      <c r="A282" s="34">
        <v>2016</v>
      </c>
      <c r="B282" s="35" t="s">
        <v>902</v>
      </c>
      <c r="C282" s="35" t="s">
        <v>901</v>
      </c>
      <c r="D282" s="34">
        <v>108908000</v>
      </c>
      <c r="E282" s="33" t="s">
        <v>825</v>
      </c>
      <c r="F282" s="148">
        <v>25561.9</v>
      </c>
      <c r="G282" s="148">
        <v>7966.5</v>
      </c>
      <c r="H282" s="148">
        <v>0</v>
      </c>
      <c r="I282" s="148">
        <v>0</v>
      </c>
      <c r="J282" s="148">
        <v>0</v>
      </c>
      <c r="K282" s="148">
        <v>0</v>
      </c>
      <c r="L282" s="970">
        <v>0</v>
      </c>
      <c r="M282" s="969"/>
      <c r="N282" s="148">
        <v>0</v>
      </c>
      <c r="O282" s="148">
        <v>0</v>
      </c>
      <c r="P282" s="148">
        <v>33528.400000000001</v>
      </c>
    </row>
    <row r="283" spans="1:16" ht="26.4" x14ac:dyDescent="0.3">
      <c r="A283" s="37">
        <v>2016</v>
      </c>
      <c r="B283" s="38" t="s">
        <v>902</v>
      </c>
      <c r="C283" s="38" t="s">
        <v>901</v>
      </c>
      <c r="D283" s="37">
        <v>70479000</v>
      </c>
      <c r="E283" s="36" t="s">
        <v>262</v>
      </c>
      <c r="F283" s="149">
        <v>1431885.02</v>
      </c>
      <c r="G283" s="149">
        <v>322467.32</v>
      </c>
      <c r="H283" s="149">
        <v>0</v>
      </c>
      <c r="I283" s="149">
        <v>0</v>
      </c>
      <c r="J283" s="149">
        <v>0</v>
      </c>
      <c r="K283" s="149">
        <v>0</v>
      </c>
      <c r="L283" s="971">
        <v>0</v>
      </c>
      <c r="M283" s="969"/>
      <c r="N283" s="149">
        <v>0</v>
      </c>
      <c r="O283" s="149">
        <v>0</v>
      </c>
      <c r="P283" s="149">
        <v>1754352.34</v>
      </c>
    </row>
    <row r="284" spans="1:16" x14ac:dyDescent="0.3">
      <c r="A284" s="34">
        <v>2016</v>
      </c>
      <c r="B284" s="35" t="s">
        <v>902</v>
      </c>
      <c r="C284" s="35" t="s">
        <v>901</v>
      </c>
      <c r="D284" s="34">
        <v>80209000</v>
      </c>
      <c r="E284" s="33" t="s">
        <v>263</v>
      </c>
      <c r="F284" s="148">
        <v>229981.91</v>
      </c>
      <c r="G284" s="148">
        <v>34651.19</v>
      </c>
      <c r="H284" s="148">
        <v>-6597.06</v>
      </c>
      <c r="I284" s="148">
        <v>0</v>
      </c>
      <c r="J284" s="148">
        <v>0</v>
      </c>
      <c r="K284" s="148">
        <v>0</v>
      </c>
      <c r="L284" s="970">
        <v>0</v>
      </c>
      <c r="M284" s="969"/>
      <c r="N284" s="148">
        <v>0</v>
      </c>
      <c r="O284" s="148">
        <v>0</v>
      </c>
      <c r="P284" s="148">
        <v>258036.04</v>
      </c>
    </row>
    <row r="285" spans="1:16" ht="26.4" x14ac:dyDescent="0.3">
      <c r="A285" s="37">
        <v>2016</v>
      </c>
      <c r="B285" s="38" t="s">
        <v>902</v>
      </c>
      <c r="C285" s="38" t="s">
        <v>901</v>
      </c>
      <c r="D285" s="37">
        <v>70465000</v>
      </c>
      <c r="E285" s="36" t="s">
        <v>264</v>
      </c>
      <c r="F285" s="149">
        <v>1207550.6599999999</v>
      </c>
      <c r="G285" s="149">
        <v>286779.02</v>
      </c>
      <c r="H285" s="149">
        <v>0</v>
      </c>
      <c r="I285" s="149">
        <v>0</v>
      </c>
      <c r="J285" s="149">
        <v>0</v>
      </c>
      <c r="K285" s="149">
        <v>0</v>
      </c>
      <c r="L285" s="971">
        <v>0</v>
      </c>
      <c r="M285" s="969"/>
      <c r="N285" s="149">
        <v>0</v>
      </c>
      <c r="O285" s="149">
        <v>0</v>
      </c>
      <c r="P285" s="149">
        <v>1494329.68</v>
      </c>
    </row>
    <row r="286" spans="1:16" ht="26.4" x14ac:dyDescent="0.3">
      <c r="A286" s="34">
        <v>2016</v>
      </c>
      <c r="B286" s="35" t="s">
        <v>902</v>
      </c>
      <c r="C286" s="35" t="s">
        <v>901</v>
      </c>
      <c r="D286" s="34">
        <v>70438000</v>
      </c>
      <c r="E286" s="33" t="s">
        <v>265</v>
      </c>
      <c r="F286" s="148">
        <v>811025.07</v>
      </c>
      <c r="G286" s="148">
        <v>22145.47</v>
      </c>
      <c r="H286" s="148">
        <v>0</v>
      </c>
      <c r="I286" s="148">
        <v>0</v>
      </c>
      <c r="J286" s="148">
        <v>0</v>
      </c>
      <c r="K286" s="148">
        <v>0</v>
      </c>
      <c r="L286" s="970">
        <v>0</v>
      </c>
      <c r="M286" s="969"/>
      <c r="N286" s="148">
        <v>0</v>
      </c>
      <c r="O286" s="148">
        <v>0</v>
      </c>
      <c r="P286" s="148">
        <v>833170.54</v>
      </c>
    </row>
    <row r="287" spans="1:16" x14ac:dyDescent="0.3">
      <c r="A287" s="37">
        <v>2016</v>
      </c>
      <c r="B287" s="38" t="s">
        <v>902</v>
      </c>
      <c r="C287" s="38" t="s">
        <v>901</v>
      </c>
      <c r="D287" s="37">
        <v>78219000</v>
      </c>
      <c r="E287" s="36" t="s">
        <v>266</v>
      </c>
      <c r="F287" s="149">
        <v>32327.35</v>
      </c>
      <c r="G287" s="149">
        <v>100</v>
      </c>
      <c r="H287" s="149">
        <v>-100</v>
      </c>
      <c r="I287" s="149">
        <v>0</v>
      </c>
      <c r="J287" s="149">
        <v>0</v>
      </c>
      <c r="K287" s="149">
        <v>0</v>
      </c>
      <c r="L287" s="971">
        <v>0</v>
      </c>
      <c r="M287" s="969"/>
      <c r="N287" s="149">
        <v>0</v>
      </c>
      <c r="O287" s="149">
        <v>0</v>
      </c>
      <c r="P287" s="149">
        <v>32327.35</v>
      </c>
    </row>
    <row r="288" spans="1:16" ht="26.4" x14ac:dyDescent="0.3">
      <c r="A288" s="34">
        <v>2016</v>
      </c>
      <c r="B288" s="35" t="s">
        <v>902</v>
      </c>
      <c r="C288" s="35" t="s">
        <v>901</v>
      </c>
      <c r="D288" s="34">
        <v>30310000</v>
      </c>
      <c r="E288" s="33" t="s">
        <v>267</v>
      </c>
      <c r="F288" s="148">
        <v>21382.55</v>
      </c>
      <c r="G288" s="148">
        <v>0</v>
      </c>
      <c r="H288" s="148">
        <v>-68.55</v>
      </c>
      <c r="I288" s="148">
        <v>0</v>
      </c>
      <c r="J288" s="148">
        <v>0</v>
      </c>
      <c r="K288" s="148">
        <v>0</v>
      </c>
      <c r="L288" s="970">
        <v>0</v>
      </c>
      <c r="M288" s="969"/>
      <c r="N288" s="148">
        <v>0</v>
      </c>
      <c r="O288" s="148">
        <v>0</v>
      </c>
      <c r="P288" s="148">
        <v>21314</v>
      </c>
    </row>
    <row r="289" spans="1:16" ht="26.4" x14ac:dyDescent="0.3">
      <c r="A289" s="37">
        <v>2016</v>
      </c>
      <c r="B289" s="38" t="s">
        <v>902</v>
      </c>
      <c r="C289" s="38" t="s">
        <v>901</v>
      </c>
      <c r="D289" s="37">
        <v>110208000</v>
      </c>
      <c r="E289" s="36" t="s">
        <v>268</v>
      </c>
      <c r="F289" s="149">
        <v>442716.84</v>
      </c>
      <c r="G289" s="149">
        <v>111453.3</v>
      </c>
      <c r="H289" s="149">
        <v>0</v>
      </c>
      <c r="I289" s="149">
        <v>0</v>
      </c>
      <c r="J289" s="149">
        <v>0</v>
      </c>
      <c r="K289" s="149">
        <v>0</v>
      </c>
      <c r="L289" s="971">
        <v>0</v>
      </c>
      <c r="M289" s="969"/>
      <c r="N289" s="149">
        <v>0</v>
      </c>
      <c r="O289" s="149">
        <v>0</v>
      </c>
      <c r="P289" s="149">
        <v>554170.14</v>
      </c>
    </row>
    <row r="290" spans="1:16" x14ac:dyDescent="0.3">
      <c r="A290" s="34">
        <v>2016</v>
      </c>
      <c r="B290" s="35" t="s">
        <v>902</v>
      </c>
      <c r="C290" s="35" t="s">
        <v>901</v>
      </c>
      <c r="D290" s="34">
        <v>100206000</v>
      </c>
      <c r="E290" s="33" t="s">
        <v>269</v>
      </c>
      <c r="F290" s="148">
        <v>1479668.85</v>
      </c>
      <c r="G290" s="148">
        <v>176224.89</v>
      </c>
      <c r="H290" s="148">
        <v>0</v>
      </c>
      <c r="I290" s="148">
        <v>0</v>
      </c>
      <c r="J290" s="148">
        <v>0</v>
      </c>
      <c r="K290" s="148">
        <v>0</v>
      </c>
      <c r="L290" s="970">
        <v>0</v>
      </c>
      <c r="M290" s="969"/>
      <c r="N290" s="148">
        <v>0</v>
      </c>
      <c r="O290" s="148">
        <v>0</v>
      </c>
      <c r="P290" s="148">
        <v>1655893.74</v>
      </c>
    </row>
    <row r="291" spans="1:16" ht="66" x14ac:dyDescent="0.3">
      <c r="A291" s="37">
        <v>2016</v>
      </c>
      <c r="B291" s="38" t="s">
        <v>902</v>
      </c>
      <c r="C291" s="38" t="s">
        <v>901</v>
      </c>
      <c r="D291" s="37">
        <v>78647000</v>
      </c>
      <c r="E291" s="36" t="s">
        <v>727</v>
      </c>
      <c r="F291" s="149">
        <v>111463.67999999999</v>
      </c>
      <c r="G291" s="149">
        <v>16024.49</v>
      </c>
      <c r="H291" s="149">
        <v>0</v>
      </c>
      <c r="I291" s="149">
        <v>0</v>
      </c>
      <c r="J291" s="149">
        <v>0</v>
      </c>
      <c r="K291" s="149">
        <v>0</v>
      </c>
      <c r="L291" s="971">
        <v>0</v>
      </c>
      <c r="M291" s="969"/>
      <c r="N291" s="149">
        <v>0</v>
      </c>
      <c r="O291" s="149">
        <v>0</v>
      </c>
      <c r="P291" s="149">
        <v>127488.17</v>
      </c>
    </row>
    <row r="292" spans="1:16" ht="39.6" x14ac:dyDescent="0.3">
      <c r="A292" s="34">
        <v>2016</v>
      </c>
      <c r="B292" s="35" t="s">
        <v>902</v>
      </c>
      <c r="C292" s="35" t="s">
        <v>901</v>
      </c>
      <c r="D292" s="34">
        <v>79999001</v>
      </c>
      <c r="E292" s="33" t="s">
        <v>271</v>
      </c>
      <c r="F292" s="148">
        <v>0</v>
      </c>
      <c r="G292" s="148">
        <v>0</v>
      </c>
      <c r="H292" s="148">
        <v>0</v>
      </c>
      <c r="I292" s="148">
        <v>0</v>
      </c>
      <c r="J292" s="148">
        <v>0</v>
      </c>
      <c r="K292" s="148">
        <v>0</v>
      </c>
      <c r="L292" s="970">
        <v>0</v>
      </c>
      <c r="M292" s="969"/>
      <c r="N292" s="148">
        <v>0</v>
      </c>
      <c r="O292" s="148">
        <v>0</v>
      </c>
      <c r="P292" s="148">
        <v>0</v>
      </c>
    </row>
    <row r="293" spans="1:16" ht="26.4" x14ac:dyDescent="0.3">
      <c r="A293" s="37">
        <v>2016</v>
      </c>
      <c r="B293" s="38" t="s">
        <v>902</v>
      </c>
      <c r="C293" s="38" t="s">
        <v>901</v>
      </c>
      <c r="D293" s="37">
        <v>70199000</v>
      </c>
      <c r="E293" s="36" t="s">
        <v>272</v>
      </c>
      <c r="F293" s="149">
        <v>169144.22</v>
      </c>
      <c r="G293" s="149">
        <v>27841.62</v>
      </c>
      <c r="H293" s="149">
        <v>0</v>
      </c>
      <c r="I293" s="149">
        <v>0</v>
      </c>
      <c r="J293" s="149">
        <v>0</v>
      </c>
      <c r="K293" s="149">
        <v>0</v>
      </c>
      <c r="L293" s="971">
        <v>0</v>
      </c>
      <c r="M293" s="969"/>
      <c r="N293" s="149">
        <v>0</v>
      </c>
      <c r="O293" s="149">
        <v>0</v>
      </c>
      <c r="P293" s="149">
        <v>196985.84</v>
      </c>
    </row>
    <row r="294" spans="1:16" ht="26.4" x14ac:dyDescent="0.3">
      <c r="A294" s="34">
        <v>2016</v>
      </c>
      <c r="B294" s="35" t="s">
        <v>902</v>
      </c>
      <c r="C294" s="35" t="s">
        <v>901</v>
      </c>
      <c r="D294" s="34">
        <v>110220000</v>
      </c>
      <c r="E294" s="33" t="s">
        <v>273</v>
      </c>
      <c r="F294" s="148">
        <v>1005904.04</v>
      </c>
      <c r="G294" s="148">
        <v>22576.51</v>
      </c>
      <c r="H294" s="148">
        <v>-24166.34</v>
      </c>
      <c r="I294" s="148">
        <v>0</v>
      </c>
      <c r="J294" s="148">
        <v>0</v>
      </c>
      <c r="K294" s="148">
        <v>0</v>
      </c>
      <c r="L294" s="970">
        <v>0</v>
      </c>
      <c r="M294" s="969"/>
      <c r="N294" s="148">
        <v>0</v>
      </c>
      <c r="O294" s="148">
        <v>0</v>
      </c>
      <c r="P294" s="148">
        <v>1004314.21</v>
      </c>
    </row>
    <row r="295" spans="1:16" ht="26.4" x14ac:dyDescent="0.3">
      <c r="A295" s="37">
        <v>2016</v>
      </c>
      <c r="B295" s="38" t="s">
        <v>902</v>
      </c>
      <c r="C295" s="38" t="s">
        <v>901</v>
      </c>
      <c r="D295" s="37">
        <v>110100000</v>
      </c>
      <c r="E295" s="36" t="s">
        <v>1321</v>
      </c>
      <c r="F295" s="149">
        <v>60503.69</v>
      </c>
      <c r="G295" s="149">
        <v>33836.04</v>
      </c>
      <c r="H295" s="149">
        <v>0</v>
      </c>
      <c r="I295" s="149">
        <v>0</v>
      </c>
      <c r="J295" s="149">
        <v>0</v>
      </c>
      <c r="K295" s="149">
        <v>0</v>
      </c>
      <c r="L295" s="971">
        <v>0</v>
      </c>
      <c r="M295" s="969"/>
      <c r="N295" s="149">
        <v>0</v>
      </c>
      <c r="O295" s="149">
        <v>0</v>
      </c>
      <c r="P295" s="149">
        <v>94339.73</v>
      </c>
    </row>
    <row r="296" spans="1:16" ht="26.4" x14ac:dyDescent="0.3">
      <c r="A296" s="34">
        <v>2016</v>
      </c>
      <c r="B296" s="35" t="s">
        <v>902</v>
      </c>
      <c r="C296" s="35" t="s">
        <v>901</v>
      </c>
      <c r="D296" s="34">
        <v>78592000</v>
      </c>
      <c r="E296" s="33" t="s">
        <v>275</v>
      </c>
      <c r="F296" s="148">
        <v>131897.73000000001</v>
      </c>
      <c r="G296" s="148">
        <v>70.150000000000006</v>
      </c>
      <c r="H296" s="148">
        <v>0</v>
      </c>
      <c r="I296" s="148">
        <v>0</v>
      </c>
      <c r="J296" s="148">
        <v>0</v>
      </c>
      <c r="K296" s="148">
        <v>0</v>
      </c>
      <c r="L296" s="970">
        <v>0</v>
      </c>
      <c r="M296" s="969"/>
      <c r="N296" s="148">
        <v>0</v>
      </c>
      <c r="O296" s="148">
        <v>0</v>
      </c>
      <c r="P296" s="148">
        <v>131967.88</v>
      </c>
    </row>
    <row r="297" spans="1:16" ht="26.4" x14ac:dyDescent="0.3">
      <c r="A297" s="37">
        <v>2016</v>
      </c>
      <c r="B297" s="38" t="s">
        <v>902</v>
      </c>
      <c r="C297" s="38" t="s">
        <v>901</v>
      </c>
      <c r="D297" s="37">
        <v>88759000</v>
      </c>
      <c r="E297" s="36" t="s">
        <v>805</v>
      </c>
      <c r="F297" s="149">
        <v>240999.3</v>
      </c>
      <c r="G297" s="149">
        <v>0</v>
      </c>
      <c r="H297" s="149">
        <v>-1661.15</v>
      </c>
      <c r="I297" s="149">
        <v>0</v>
      </c>
      <c r="J297" s="149">
        <v>0</v>
      </c>
      <c r="K297" s="149">
        <v>0</v>
      </c>
      <c r="L297" s="971">
        <v>0</v>
      </c>
      <c r="M297" s="969"/>
      <c r="N297" s="149">
        <v>0</v>
      </c>
      <c r="O297" s="149">
        <v>0</v>
      </c>
      <c r="P297" s="149">
        <v>239338.15</v>
      </c>
    </row>
    <row r="298" spans="1:16" ht="26.4" x14ac:dyDescent="0.3">
      <c r="A298" s="34">
        <v>2016</v>
      </c>
      <c r="B298" s="35" t="s">
        <v>902</v>
      </c>
      <c r="C298" s="35" t="s">
        <v>901</v>
      </c>
      <c r="D298" s="34">
        <v>108798000</v>
      </c>
      <c r="E298" s="33" t="s">
        <v>847</v>
      </c>
      <c r="F298" s="148">
        <v>183284.25</v>
      </c>
      <c r="G298" s="148">
        <v>0</v>
      </c>
      <c r="H298" s="148">
        <v>0</v>
      </c>
      <c r="I298" s="148">
        <v>0</v>
      </c>
      <c r="J298" s="148">
        <v>0</v>
      </c>
      <c r="K298" s="148">
        <v>0</v>
      </c>
      <c r="L298" s="970">
        <v>0</v>
      </c>
      <c r="M298" s="969"/>
      <c r="N298" s="148">
        <v>0</v>
      </c>
      <c r="O298" s="148">
        <v>0</v>
      </c>
      <c r="P298" s="148">
        <v>183284.25</v>
      </c>
    </row>
    <row r="299" spans="1:16" ht="26.4" x14ac:dyDescent="0.3">
      <c r="A299" s="37">
        <v>2016</v>
      </c>
      <c r="B299" s="38" t="s">
        <v>902</v>
      </c>
      <c r="C299" s="38" t="s">
        <v>901</v>
      </c>
      <c r="D299" s="37">
        <v>130243000</v>
      </c>
      <c r="E299" s="36" t="s">
        <v>278</v>
      </c>
      <c r="F299" s="149">
        <v>196293.41</v>
      </c>
      <c r="G299" s="149">
        <v>15052.53</v>
      </c>
      <c r="H299" s="149">
        <v>-26188.35</v>
      </c>
      <c r="I299" s="149">
        <v>0</v>
      </c>
      <c r="J299" s="149">
        <v>0</v>
      </c>
      <c r="K299" s="149">
        <v>0</v>
      </c>
      <c r="L299" s="971">
        <v>0</v>
      </c>
      <c r="M299" s="969"/>
      <c r="N299" s="149">
        <v>0</v>
      </c>
      <c r="O299" s="149">
        <v>0</v>
      </c>
      <c r="P299" s="149">
        <v>185157.59</v>
      </c>
    </row>
    <row r="300" spans="1:16" ht="39.6" x14ac:dyDescent="0.3">
      <c r="A300" s="34">
        <v>2016</v>
      </c>
      <c r="B300" s="35" t="s">
        <v>902</v>
      </c>
      <c r="C300" s="35" t="s">
        <v>901</v>
      </c>
      <c r="D300" s="34">
        <v>78743000</v>
      </c>
      <c r="E300" s="33" t="s">
        <v>279</v>
      </c>
      <c r="F300" s="148">
        <v>46043.68</v>
      </c>
      <c r="G300" s="148">
        <v>0</v>
      </c>
      <c r="H300" s="148">
        <v>-500</v>
      </c>
      <c r="I300" s="148">
        <v>0</v>
      </c>
      <c r="J300" s="148">
        <v>0</v>
      </c>
      <c r="K300" s="148">
        <v>0</v>
      </c>
      <c r="L300" s="970">
        <v>0</v>
      </c>
      <c r="M300" s="969"/>
      <c r="N300" s="148">
        <v>0</v>
      </c>
      <c r="O300" s="148">
        <v>0</v>
      </c>
      <c r="P300" s="148">
        <v>45543.68</v>
      </c>
    </row>
    <row r="301" spans="1:16" ht="26.4" x14ac:dyDescent="0.3">
      <c r="A301" s="37">
        <v>2016</v>
      </c>
      <c r="B301" s="38" t="s">
        <v>902</v>
      </c>
      <c r="C301" s="38" t="s">
        <v>901</v>
      </c>
      <c r="D301" s="37">
        <v>10323000</v>
      </c>
      <c r="E301" s="36" t="s">
        <v>280</v>
      </c>
      <c r="F301" s="149">
        <v>107067.78</v>
      </c>
      <c r="G301" s="149">
        <v>30874.78</v>
      </c>
      <c r="H301" s="149">
        <v>0</v>
      </c>
      <c r="I301" s="149">
        <v>0</v>
      </c>
      <c r="J301" s="149">
        <v>0</v>
      </c>
      <c r="K301" s="149">
        <v>0</v>
      </c>
      <c r="L301" s="971">
        <v>0</v>
      </c>
      <c r="M301" s="969"/>
      <c r="N301" s="149">
        <v>0</v>
      </c>
      <c r="O301" s="149">
        <v>0</v>
      </c>
      <c r="P301" s="149">
        <v>137942.56</v>
      </c>
    </row>
    <row r="302" spans="1:16" ht="26.4" x14ac:dyDescent="0.3">
      <c r="A302" s="34">
        <v>2016</v>
      </c>
      <c r="B302" s="35" t="s">
        <v>902</v>
      </c>
      <c r="C302" s="35" t="s">
        <v>901</v>
      </c>
      <c r="D302" s="34">
        <v>20355000</v>
      </c>
      <c r="E302" s="33" t="s">
        <v>281</v>
      </c>
      <c r="F302" s="148">
        <v>19751.47</v>
      </c>
      <c r="G302" s="148">
        <v>3.07</v>
      </c>
      <c r="H302" s="148">
        <v>0</v>
      </c>
      <c r="I302" s="148">
        <v>0</v>
      </c>
      <c r="J302" s="148">
        <v>0</v>
      </c>
      <c r="K302" s="148">
        <v>0</v>
      </c>
      <c r="L302" s="970">
        <v>0</v>
      </c>
      <c r="M302" s="969"/>
      <c r="N302" s="148">
        <v>-931.74</v>
      </c>
      <c r="O302" s="148">
        <v>0</v>
      </c>
      <c r="P302" s="148">
        <v>18822.8</v>
      </c>
    </row>
    <row r="303" spans="1:16" x14ac:dyDescent="0.3">
      <c r="A303" s="37">
        <v>2016</v>
      </c>
      <c r="B303" s="38" t="s">
        <v>902</v>
      </c>
      <c r="C303" s="38" t="s">
        <v>901</v>
      </c>
      <c r="D303" s="37">
        <v>70204000</v>
      </c>
      <c r="E303" s="36" t="s">
        <v>282</v>
      </c>
      <c r="F303" s="149">
        <v>20461947.420000002</v>
      </c>
      <c r="G303" s="149">
        <v>1536492.97</v>
      </c>
      <c r="H303" s="149">
        <v>0</v>
      </c>
      <c r="I303" s="149">
        <v>0</v>
      </c>
      <c r="J303" s="149">
        <v>0</v>
      </c>
      <c r="K303" s="149">
        <v>0</v>
      </c>
      <c r="L303" s="971">
        <v>0</v>
      </c>
      <c r="M303" s="969"/>
      <c r="N303" s="149">
        <v>0</v>
      </c>
      <c r="O303" s="149">
        <v>0</v>
      </c>
      <c r="P303" s="149">
        <v>21998440.390000001</v>
      </c>
    </row>
    <row r="304" spans="1:16" ht="26.4" x14ac:dyDescent="0.3">
      <c r="A304" s="34">
        <v>2016</v>
      </c>
      <c r="B304" s="35" t="s">
        <v>902</v>
      </c>
      <c r="C304" s="35" t="s">
        <v>901</v>
      </c>
      <c r="D304" s="34">
        <v>128703000</v>
      </c>
      <c r="E304" s="33" t="s">
        <v>857</v>
      </c>
      <c r="F304" s="148">
        <v>77689.97</v>
      </c>
      <c r="G304" s="148">
        <v>13193.72</v>
      </c>
      <c r="H304" s="148">
        <v>0</v>
      </c>
      <c r="I304" s="148">
        <v>0</v>
      </c>
      <c r="J304" s="148">
        <v>0</v>
      </c>
      <c r="K304" s="148">
        <v>0</v>
      </c>
      <c r="L304" s="970">
        <v>0</v>
      </c>
      <c r="M304" s="969"/>
      <c r="N304" s="148">
        <v>0</v>
      </c>
      <c r="O304" s="148">
        <v>0</v>
      </c>
      <c r="P304" s="148">
        <v>90883.69</v>
      </c>
    </row>
    <row r="305" spans="1:16" x14ac:dyDescent="0.3">
      <c r="A305" s="37">
        <v>2016</v>
      </c>
      <c r="B305" s="38" t="s">
        <v>902</v>
      </c>
      <c r="C305" s="38" t="s">
        <v>901</v>
      </c>
      <c r="D305" s="37">
        <v>40240000</v>
      </c>
      <c r="E305" s="36" t="s">
        <v>285</v>
      </c>
      <c r="F305" s="149">
        <v>501466.91</v>
      </c>
      <c r="G305" s="149">
        <v>25134.62</v>
      </c>
      <c r="H305" s="149">
        <v>-31838.81</v>
      </c>
      <c r="I305" s="149">
        <v>0</v>
      </c>
      <c r="J305" s="149">
        <v>0</v>
      </c>
      <c r="K305" s="149">
        <v>0</v>
      </c>
      <c r="L305" s="971">
        <v>0</v>
      </c>
      <c r="M305" s="969"/>
      <c r="N305" s="149">
        <v>0</v>
      </c>
      <c r="O305" s="149">
        <v>0</v>
      </c>
      <c r="P305" s="149">
        <v>494762.72</v>
      </c>
    </row>
    <row r="306" spans="1:16" ht="26.4" x14ac:dyDescent="0.3">
      <c r="A306" s="34">
        <v>2016</v>
      </c>
      <c r="B306" s="35" t="s">
        <v>902</v>
      </c>
      <c r="C306" s="35" t="s">
        <v>901</v>
      </c>
      <c r="D306" s="34">
        <v>78976000</v>
      </c>
      <c r="E306" s="33" t="s">
        <v>286</v>
      </c>
      <c r="F306" s="148">
        <v>51123.8</v>
      </c>
      <c r="G306" s="148">
        <v>3673.39</v>
      </c>
      <c r="H306" s="148">
        <v>-633.1</v>
      </c>
      <c r="I306" s="148">
        <v>0</v>
      </c>
      <c r="J306" s="148">
        <v>0</v>
      </c>
      <c r="K306" s="148">
        <v>0</v>
      </c>
      <c r="L306" s="970">
        <v>0</v>
      </c>
      <c r="M306" s="969"/>
      <c r="N306" s="148">
        <v>0</v>
      </c>
      <c r="O306" s="148">
        <v>0</v>
      </c>
      <c r="P306" s="148">
        <v>54164.09</v>
      </c>
    </row>
    <row r="307" spans="1:16" ht="26.4" x14ac:dyDescent="0.3">
      <c r="A307" s="37">
        <v>2016</v>
      </c>
      <c r="B307" s="38" t="s">
        <v>902</v>
      </c>
      <c r="C307" s="38" t="s">
        <v>901</v>
      </c>
      <c r="D307" s="37">
        <v>138712000</v>
      </c>
      <c r="E307" s="36" t="s">
        <v>287</v>
      </c>
      <c r="F307" s="149">
        <v>51593.17</v>
      </c>
      <c r="G307" s="149">
        <v>3939.33</v>
      </c>
      <c r="H307" s="149">
        <v>0</v>
      </c>
      <c r="I307" s="149">
        <v>0</v>
      </c>
      <c r="J307" s="149">
        <v>0</v>
      </c>
      <c r="K307" s="149">
        <v>0</v>
      </c>
      <c r="L307" s="971">
        <v>0</v>
      </c>
      <c r="M307" s="969"/>
      <c r="N307" s="149">
        <v>0</v>
      </c>
      <c r="O307" s="149">
        <v>0</v>
      </c>
      <c r="P307" s="149">
        <v>55532.5</v>
      </c>
    </row>
    <row r="308" spans="1:16" ht="26.4" x14ac:dyDescent="0.3">
      <c r="A308" s="34">
        <v>2016</v>
      </c>
      <c r="B308" s="35" t="s">
        <v>902</v>
      </c>
      <c r="C308" s="35" t="s">
        <v>901</v>
      </c>
      <c r="D308" s="34">
        <v>130504000</v>
      </c>
      <c r="E308" s="33" t="s">
        <v>288</v>
      </c>
      <c r="F308" s="148">
        <v>182141.63</v>
      </c>
      <c r="G308" s="148">
        <v>23808.39</v>
      </c>
      <c r="H308" s="148">
        <v>-55922.76</v>
      </c>
      <c r="I308" s="148">
        <v>0</v>
      </c>
      <c r="J308" s="148">
        <v>0</v>
      </c>
      <c r="K308" s="148">
        <v>0</v>
      </c>
      <c r="L308" s="970">
        <v>0</v>
      </c>
      <c r="M308" s="969"/>
      <c r="N308" s="148">
        <v>0</v>
      </c>
      <c r="O308" s="148">
        <v>0</v>
      </c>
      <c r="P308" s="148">
        <v>150027.26</v>
      </c>
    </row>
    <row r="309" spans="1:16" ht="26.4" x14ac:dyDescent="0.3">
      <c r="A309" s="37">
        <v>2016</v>
      </c>
      <c r="B309" s="38" t="s">
        <v>902</v>
      </c>
      <c r="C309" s="38" t="s">
        <v>901</v>
      </c>
      <c r="D309" s="37">
        <v>70386000</v>
      </c>
      <c r="E309" s="36" t="s">
        <v>499</v>
      </c>
      <c r="F309" s="149">
        <v>1421.49</v>
      </c>
      <c r="G309" s="149">
        <v>0</v>
      </c>
      <c r="H309" s="149">
        <v>0</v>
      </c>
      <c r="I309" s="149">
        <v>0</v>
      </c>
      <c r="J309" s="149">
        <v>0</v>
      </c>
      <c r="K309" s="149">
        <v>0</v>
      </c>
      <c r="L309" s="971">
        <v>0</v>
      </c>
      <c r="M309" s="969"/>
      <c r="N309" s="149">
        <v>0</v>
      </c>
      <c r="O309" s="149">
        <v>0</v>
      </c>
      <c r="P309" s="149">
        <v>1421.49</v>
      </c>
    </row>
    <row r="310" spans="1:16" ht="26.4" x14ac:dyDescent="0.3">
      <c r="A310" s="34">
        <v>2016</v>
      </c>
      <c r="B310" s="35" t="s">
        <v>902</v>
      </c>
      <c r="C310" s="35" t="s">
        <v>901</v>
      </c>
      <c r="D310" s="34">
        <v>88703000</v>
      </c>
      <c r="E310" s="33" t="s">
        <v>802</v>
      </c>
      <c r="F310" s="148">
        <v>179701.66</v>
      </c>
      <c r="G310" s="148">
        <v>0</v>
      </c>
      <c r="H310" s="148">
        <v>0</v>
      </c>
      <c r="I310" s="148">
        <v>0</v>
      </c>
      <c r="J310" s="148">
        <v>0</v>
      </c>
      <c r="K310" s="148">
        <v>0</v>
      </c>
      <c r="L310" s="970">
        <v>0</v>
      </c>
      <c r="M310" s="969"/>
      <c r="N310" s="148">
        <v>0</v>
      </c>
      <c r="O310" s="148">
        <v>0</v>
      </c>
      <c r="P310" s="148">
        <v>179701.66</v>
      </c>
    </row>
    <row r="311" spans="1:16" ht="26.4" x14ac:dyDescent="0.3">
      <c r="A311" s="37">
        <v>2016</v>
      </c>
      <c r="B311" s="38" t="s">
        <v>902</v>
      </c>
      <c r="C311" s="38" t="s">
        <v>901</v>
      </c>
      <c r="D311" s="37">
        <v>88758000</v>
      </c>
      <c r="E311" s="36" t="s">
        <v>290</v>
      </c>
      <c r="F311" s="149">
        <v>174952.08</v>
      </c>
      <c r="G311" s="149">
        <v>0</v>
      </c>
      <c r="H311" s="149">
        <v>0</v>
      </c>
      <c r="I311" s="149">
        <v>0</v>
      </c>
      <c r="J311" s="149">
        <v>0</v>
      </c>
      <c r="K311" s="149">
        <v>0</v>
      </c>
      <c r="L311" s="971">
        <v>0</v>
      </c>
      <c r="M311" s="969"/>
      <c r="N311" s="149">
        <v>0</v>
      </c>
      <c r="O311" s="149">
        <v>0</v>
      </c>
      <c r="P311" s="149">
        <v>174952.08</v>
      </c>
    </row>
    <row r="312" spans="1:16" ht="26.4" x14ac:dyDescent="0.3">
      <c r="A312" s="34">
        <v>2016</v>
      </c>
      <c r="B312" s="35" t="s">
        <v>902</v>
      </c>
      <c r="C312" s="35" t="s">
        <v>901</v>
      </c>
      <c r="D312" s="34">
        <v>80416000</v>
      </c>
      <c r="E312" s="33" t="s">
        <v>291</v>
      </c>
      <c r="F312" s="148">
        <v>461027.29</v>
      </c>
      <c r="G312" s="148">
        <v>24284.19</v>
      </c>
      <c r="H312" s="148">
        <v>0</v>
      </c>
      <c r="I312" s="148">
        <v>0</v>
      </c>
      <c r="J312" s="148">
        <v>0</v>
      </c>
      <c r="K312" s="148">
        <v>0</v>
      </c>
      <c r="L312" s="970">
        <v>0</v>
      </c>
      <c r="M312" s="969"/>
      <c r="N312" s="148">
        <v>0</v>
      </c>
      <c r="O312" s="148">
        <v>0</v>
      </c>
      <c r="P312" s="148">
        <v>485311.48</v>
      </c>
    </row>
    <row r="313" spans="1:16" ht="26.4" x14ac:dyDescent="0.3">
      <c r="A313" s="37">
        <v>2016</v>
      </c>
      <c r="B313" s="38" t="s">
        <v>902</v>
      </c>
      <c r="C313" s="38" t="s">
        <v>901</v>
      </c>
      <c r="D313" s="37">
        <v>140417000</v>
      </c>
      <c r="E313" s="36" t="s">
        <v>292</v>
      </c>
      <c r="F313" s="149">
        <v>75573.509999999995</v>
      </c>
      <c r="G313" s="149">
        <v>0</v>
      </c>
      <c r="H313" s="149">
        <v>0</v>
      </c>
      <c r="I313" s="149">
        <v>0</v>
      </c>
      <c r="J313" s="149">
        <v>0</v>
      </c>
      <c r="K313" s="149">
        <v>0</v>
      </c>
      <c r="L313" s="971">
        <v>0</v>
      </c>
      <c r="M313" s="969"/>
      <c r="N313" s="149">
        <v>0</v>
      </c>
      <c r="O313" s="149">
        <v>0</v>
      </c>
      <c r="P313" s="149">
        <v>75573.509999999995</v>
      </c>
    </row>
    <row r="314" spans="1:16" ht="26.4" x14ac:dyDescent="0.3">
      <c r="A314" s="34">
        <v>2016</v>
      </c>
      <c r="B314" s="35" t="s">
        <v>902</v>
      </c>
      <c r="C314" s="35" t="s">
        <v>901</v>
      </c>
      <c r="D314" s="34">
        <v>78977000</v>
      </c>
      <c r="E314" s="33" t="s">
        <v>794</v>
      </c>
      <c r="F314" s="148">
        <v>29970.07</v>
      </c>
      <c r="G314" s="148">
        <v>0</v>
      </c>
      <c r="H314" s="148">
        <v>0</v>
      </c>
      <c r="I314" s="148">
        <v>0</v>
      </c>
      <c r="J314" s="148">
        <v>0</v>
      </c>
      <c r="K314" s="148">
        <v>0</v>
      </c>
      <c r="L314" s="970">
        <v>0</v>
      </c>
      <c r="M314" s="969"/>
      <c r="N314" s="148">
        <v>0</v>
      </c>
      <c r="O314" s="148">
        <v>0</v>
      </c>
      <c r="P314" s="148">
        <v>29970.07</v>
      </c>
    </row>
    <row r="315" spans="1:16" ht="26.4" x14ac:dyDescent="0.3">
      <c r="A315" s="37">
        <v>2016</v>
      </c>
      <c r="B315" s="38" t="s">
        <v>902</v>
      </c>
      <c r="C315" s="38" t="s">
        <v>901</v>
      </c>
      <c r="D315" s="37">
        <v>78758000</v>
      </c>
      <c r="E315" s="36" t="s">
        <v>753</v>
      </c>
      <c r="F315" s="149">
        <v>64366.73</v>
      </c>
      <c r="G315" s="149">
        <v>100</v>
      </c>
      <c r="H315" s="149">
        <v>0</v>
      </c>
      <c r="I315" s="149">
        <v>0</v>
      </c>
      <c r="J315" s="149">
        <v>0</v>
      </c>
      <c r="K315" s="149">
        <v>0</v>
      </c>
      <c r="L315" s="971">
        <v>0</v>
      </c>
      <c r="M315" s="969"/>
      <c r="N315" s="149">
        <v>0</v>
      </c>
      <c r="O315" s="149">
        <v>0</v>
      </c>
      <c r="P315" s="149">
        <v>64466.73</v>
      </c>
    </row>
    <row r="316" spans="1:16" x14ac:dyDescent="0.3">
      <c r="A316" s="34">
        <v>2016</v>
      </c>
      <c r="B316" s="35" t="s">
        <v>902</v>
      </c>
      <c r="C316" s="35" t="s">
        <v>901</v>
      </c>
      <c r="D316" s="34">
        <v>60218000</v>
      </c>
      <c r="E316" s="33" t="s">
        <v>295</v>
      </c>
      <c r="F316" s="148">
        <v>71179.02</v>
      </c>
      <c r="G316" s="148">
        <v>54491.49</v>
      </c>
      <c r="H316" s="148">
        <v>0</v>
      </c>
      <c r="I316" s="148">
        <v>0</v>
      </c>
      <c r="J316" s="148">
        <v>0</v>
      </c>
      <c r="K316" s="148">
        <v>0</v>
      </c>
      <c r="L316" s="970">
        <v>0</v>
      </c>
      <c r="M316" s="969"/>
      <c r="N316" s="148">
        <v>0</v>
      </c>
      <c r="O316" s="148">
        <v>0</v>
      </c>
      <c r="P316" s="148">
        <v>125670.51</v>
      </c>
    </row>
    <row r="317" spans="1:16" ht="26.4" x14ac:dyDescent="0.3">
      <c r="A317" s="37">
        <v>2016</v>
      </c>
      <c r="B317" s="38" t="s">
        <v>902</v>
      </c>
      <c r="C317" s="38" t="s">
        <v>901</v>
      </c>
      <c r="D317" s="37">
        <v>78556000</v>
      </c>
      <c r="E317" s="36" t="s">
        <v>708</v>
      </c>
      <c r="F317" s="149">
        <v>123769.53</v>
      </c>
      <c r="G317" s="149">
        <v>17468.2</v>
      </c>
      <c r="H317" s="149">
        <v>0</v>
      </c>
      <c r="I317" s="149">
        <v>0</v>
      </c>
      <c r="J317" s="149">
        <v>0</v>
      </c>
      <c r="K317" s="149">
        <v>0</v>
      </c>
      <c r="L317" s="971">
        <v>0</v>
      </c>
      <c r="M317" s="969"/>
      <c r="N317" s="149">
        <v>0</v>
      </c>
      <c r="O317" s="149">
        <v>0</v>
      </c>
      <c r="P317" s="149">
        <v>141237.73000000001</v>
      </c>
    </row>
    <row r="318" spans="1:16" ht="26.4" x14ac:dyDescent="0.3">
      <c r="A318" s="34">
        <v>2016</v>
      </c>
      <c r="B318" s="35" t="s">
        <v>902</v>
      </c>
      <c r="C318" s="35" t="s">
        <v>901</v>
      </c>
      <c r="D318" s="34">
        <v>70375000</v>
      </c>
      <c r="E318" s="33" t="s">
        <v>297</v>
      </c>
      <c r="F318" s="148">
        <v>43913.98</v>
      </c>
      <c r="G318" s="148">
        <v>32374.71</v>
      </c>
      <c r="H318" s="148">
        <v>0</v>
      </c>
      <c r="I318" s="148">
        <v>0</v>
      </c>
      <c r="J318" s="148">
        <v>0</v>
      </c>
      <c r="K318" s="148">
        <v>0</v>
      </c>
      <c r="L318" s="970">
        <v>0</v>
      </c>
      <c r="M318" s="969"/>
      <c r="N318" s="148">
        <v>0</v>
      </c>
      <c r="O318" s="148">
        <v>0</v>
      </c>
      <c r="P318" s="148">
        <v>76288.69</v>
      </c>
    </row>
    <row r="319" spans="1:16" ht="26.4" x14ac:dyDescent="0.3">
      <c r="A319" s="37">
        <v>2016</v>
      </c>
      <c r="B319" s="38" t="s">
        <v>902</v>
      </c>
      <c r="C319" s="38" t="s">
        <v>901</v>
      </c>
      <c r="D319" s="37">
        <v>138768000</v>
      </c>
      <c r="E319" s="36" t="s">
        <v>873</v>
      </c>
      <c r="F319" s="149">
        <v>30535.22</v>
      </c>
      <c r="G319" s="149">
        <v>2158.88</v>
      </c>
      <c r="H319" s="149">
        <v>-8445.1299999999992</v>
      </c>
      <c r="I319" s="149">
        <v>0</v>
      </c>
      <c r="J319" s="149">
        <v>0</v>
      </c>
      <c r="K319" s="149">
        <v>0</v>
      </c>
      <c r="L319" s="971">
        <v>0</v>
      </c>
      <c r="M319" s="969"/>
      <c r="N319" s="149">
        <v>0</v>
      </c>
      <c r="O319" s="149">
        <v>0</v>
      </c>
      <c r="P319" s="149">
        <v>24248.97</v>
      </c>
    </row>
    <row r="320" spans="1:16" ht="26.4" x14ac:dyDescent="0.3">
      <c r="A320" s="34">
        <v>2016</v>
      </c>
      <c r="B320" s="35" t="s">
        <v>902</v>
      </c>
      <c r="C320" s="35" t="s">
        <v>901</v>
      </c>
      <c r="D320" s="34">
        <v>70421000</v>
      </c>
      <c r="E320" s="33" t="s">
        <v>299</v>
      </c>
      <c r="F320" s="148">
        <v>1906262.83</v>
      </c>
      <c r="G320" s="148">
        <v>316270.96000000002</v>
      </c>
      <c r="H320" s="148">
        <v>0</v>
      </c>
      <c r="I320" s="148">
        <v>0</v>
      </c>
      <c r="J320" s="148">
        <v>0</v>
      </c>
      <c r="K320" s="148">
        <v>0</v>
      </c>
      <c r="L320" s="970">
        <v>0</v>
      </c>
      <c r="M320" s="969"/>
      <c r="N320" s="148">
        <v>0</v>
      </c>
      <c r="O320" s="148">
        <v>0</v>
      </c>
      <c r="P320" s="148">
        <v>2222533.79</v>
      </c>
    </row>
    <row r="321" spans="1:16" ht="26.4" x14ac:dyDescent="0.3">
      <c r="A321" s="37">
        <v>2016</v>
      </c>
      <c r="B321" s="38" t="s">
        <v>902</v>
      </c>
      <c r="C321" s="38" t="s">
        <v>901</v>
      </c>
      <c r="D321" s="37">
        <v>20323000</v>
      </c>
      <c r="E321" s="36" t="s">
        <v>300</v>
      </c>
      <c r="F321" s="149">
        <v>100149.88</v>
      </c>
      <c r="G321" s="149">
        <v>2928.82</v>
      </c>
      <c r="H321" s="149">
        <v>0</v>
      </c>
      <c r="I321" s="149">
        <v>0</v>
      </c>
      <c r="J321" s="149">
        <v>0</v>
      </c>
      <c r="K321" s="149">
        <v>0</v>
      </c>
      <c r="L321" s="971">
        <v>0</v>
      </c>
      <c r="M321" s="969"/>
      <c r="N321" s="149">
        <v>0</v>
      </c>
      <c r="O321" s="149">
        <v>0</v>
      </c>
      <c r="P321" s="149">
        <v>103078.7</v>
      </c>
    </row>
    <row r="322" spans="1:16" ht="26.4" x14ac:dyDescent="0.3">
      <c r="A322" s="34">
        <v>2016</v>
      </c>
      <c r="B322" s="35" t="s">
        <v>902</v>
      </c>
      <c r="C322" s="35" t="s">
        <v>901</v>
      </c>
      <c r="D322" s="34">
        <v>70381000</v>
      </c>
      <c r="E322" s="33" t="s">
        <v>301</v>
      </c>
      <c r="F322" s="148">
        <v>336395.76</v>
      </c>
      <c r="G322" s="148">
        <v>29907.14</v>
      </c>
      <c r="H322" s="148">
        <v>0</v>
      </c>
      <c r="I322" s="148">
        <v>0</v>
      </c>
      <c r="J322" s="148">
        <v>0</v>
      </c>
      <c r="K322" s="148">
        <v>0</v>
      </c>
      <c r="L322" s="970">
        <v>0</v>
      </c>
      <c r="M322" s="969"/>
      <c r="N322" s="148">
        <v>0</v>
      </c>
      <c r="O322" s="148">
        <v>0</v>
      </c>
      <c r="P322" s="148">
        <v>366302.9</v>
      </c>
    </row>
    <row r="323" spans="1:16" ht="26.4" x14ac:dyDescent="0.3">
      <c r="A323" s="37">
        <v>2016</v>
      </c>
      <c r="B323" s="38" t="s">
        <v>902</v>
      </c>
      <c r="C323" s="38" t="s">
        <v>901</v>
      </c>
      <c r="D323" s="37">
        <v>78771000</v>
      </c>
      <c r="E323" s="36" t="s">
        <v>302</v>
      </c>
      <c r="F323" s="149">
        <v>90240.74</v>
      </c>
      <c r="G323" s="149">
        <v>23142.39</v>
      </c>
      <c r="H323" s="149">
        <v>-2336.1799999999998</v>
      </c>
      <c r="I323" s="149">
        <v>0</v>
      </c>
      <c r="J323" s="149">
        <v>0</v>
      </c>
      <c r="K323" s="149">
        <v>0</v>
      </c>
      <c r="L323" s="971">
        <v>0</v>
      </c>
      <c r="M323" s="969"/>
      <c r="N323" s="149">
        <v>0</v>
      </c>
      <c r="O323" s="149">
        <v>0</v>
      </c>
      <c r="P323" s="149">
        <v>111046.95</v>
      </c>
    </row>
    <row r="324" spans="1:16" ht="26.4" x14ac:dyDescent="0.3">
      <c r="A324" s="34">
        <v>2016</v>
      </c>
      <c r="B324" s="35" t="s">
        <v>902</v>
      </c>
      <c r="C324" s="35" t="s">
        <v>901</v>
      </c>
      <c r="D324" s="34">
        <v>138654000</v>
      </c>
      <c r="E324" s="33" t="s">
        <v>863</v>
      </c>
      <c r="F324" s="148">
        <v>20883.66</v>
      </c>
      <c r="G324" s="148">
        <v>0</v>
      </c>
      <c r="H324" s="148">
        <v>0</v>
      </c>
      <c r="I324" s="148">
        <v>0</v>
      </c>
      <c r="J324" s="148">
        <v>0</v>
      </c>
      <c r="K324" s="148">
        <v>0</v>
      </c>
      <c r="L324" s="970">
        <v>0</v>
      </c>
      <c r="M324" s="969"/>
      <c r="N324" s="148">
        <v>-20883.66</v>
      </c>
      <c r="O324" s="148">
        <v>0</v>
      </c>
      <c r="P324" s="148">
        <v>0</v>
      </c>
    </row>
    <row r="325" spans="1:16" ht="26.4" x14ac:dyDescent="0.3">
      <c r="A325" s="37">
        <v>2016</v>
      </c>
      <c r="B325" s="38" t="s">
        <v>902</v>
      </c>
      <c r="C325" s="38" t="s">
        <v>901</v>
      </c>
      <c r="D325" s="37">
        <v>78760000</v>
      </c>
      <c r="E325" s="36" t="s">
        <v>303</v>
      </c>
      <c r="F325" s="149">
        <v>72304.42</v>
      </c>
      <c r="G325" s="149">
        <v>0</v>
      </c>
      <c r="H325" s="149">
        <v>0</v>
      </c>
      <c r="I325" s="149">
        <v>0</v>
      </c>
      <c r="J325" s="149">
        <v>0</v>
      </c>
      <c r="K325" s="149">
        <v>0</v>
      </c>
      <c r="L325" s="971">
        <v>0</v>
      </c>
      <c r="M325" s="969"/>
      <c r="N325" s="149">
        <v>0</v>
      </c>
      <c r="O325" s="149">
        <v>0</v>
      </c>
      <c r="P325" s="149">
        <v>72304.42</v>
      </c>
    </row>
    <row r="326" spans="1:16" ht="26.4" x14ac:dyDescent="0.3">
      <c r="A326" s="34">
        <v>2016</v>
      </c>
      <c r="B326" s="35" t="s">
        <v>902</v>
      </c>
      <c r="C326" s="35" t="s">
        <v>901</v>
      </c>
      <c r="D326" s="34">
        <v>78930000</v>
      </c>
      <c r="E326" s="33" t="s">
        <v>772</v>
      </c>
      <c r="F326" s="148">
        <v>260692.24</v>
      </c>
      <c r="G326" s="148">
        <v>0</v>
      </c>
      <c r="H326" s="148">
        <v>0</v>
      </c>
      <c r="I326" s="148">
        <v>0</v>
      </c>
      <c r="J326" s="148">
        <v>0</v>
      </c>
      <c r="K326" s="148">
        <v>0</v>
      </c>
      <c r="L326" s="970">
        <v>0</v>
      </c>
      <c r="M326" s="969"/>
      <c r="N326" s="148">
        <v>0</v>
      </c>
      <c r="O326" s="148">
        <v>0</v>
      </c>
      <c r="P326" s="148">
        <v>260692.24</v>
      </c>
    </row>
    <row r="327" spans="1:16" ht="26.4" x14ac:dyDescent="0.3">
      <c r="A327" s="37">
        <v>2016</v>
      </c>
      <c r="B327" s="38" t="s">
        <v>902</v>
      </c>
      <c r="C327" s="38" t="s">
        <v>901</v>
      </c>
      <c r="D327" s="37">
        <v>78261000</v>
      </c>
      <c r="E327" s="36" t="s">
        <v>305</v>
      </c>
      <c r="F327" s="149">
        <v>98234.2</v>
      </c>
      <c r="G327" s="149">
        <v>0</v>
      </c>
      <c r="H327" s="149">
        <v>0</v>
      </c>
      <c r="I327" s="149">
        <v>0</v>
      </c>
      <c r="J327" s="149">
        <v>0</v>
      </c>
      <c r="K327" s="149">
        <v>0</v>
      </c>
      <c r="L327" s="971">
        <v>0</v>
      </c>
      <c r="M327" s="969"/>
      <c r="N327" s="149">
        <v>0</v>
      </c>
      <c r="O327" s="149">
        <v>0</v>
      </c>
      <c r="P327" s="149">
        <v>98234.2</v>
      </c>
    </row>
    <row r="328" spans="1:16" x14ac:dyDescent="0.3">
      <c r="A328" s="34">
        <v>2016</v>
      </c>
      <c r="B328" s="35" t="s">
        <v>902</v>
      </c>
      <c r="C328" s="35" t="s">
        <v>901</v>
      </c>
      <c r="D328" s="34">
        <v>120201000</v>
      </c>
      <c r="E328" s="33" t="s">
        <v>306</v>
      </c>
      <c r="F328" s="148">
        <v>2334920.88</v>
      </c>
      <c r="G328" s="148">
        <v>272627.81</v>
      </c>
      <c r="H328" s="148">
        <v>-327292.69</v>
      </c>
      <c r="I328" s="148">
        <v>0</v>
      </c>
      <c r="J328" s="148">
        <v>0</v>
      </c>
      <c r="K328" s="148">
        <v>0</v>
      </c>
      <c r="L328" s="970">
        <v>0</v>
      </c>
      <c r="M328" s="969"/>
      <c r="N328" s="148">
        <v>0</v>
      </c>
      <c r="O328" s="148">
        <v>0</v>
      </c>
      <c r="P328" s="148">
        <v>2280256</v>
      </c>
    </row>
    <row r="329" spans="1:16" ht="26.4" x14ac:dyDescent="0.3">
      <c r="A329" s="37">
        <v>2016</v>
      </c>
      <c r="B329" s="38" t="s">
        <v>902</v>
      </c>
      <c r="C329" s="38" t="s">
        <v>901</v>
      </c>
      <c r="D329" s="37">
        <v>78945000</v>
      </c>
      <c r="E329" s="36" t="s">
        <v>776</v>
      </c>
      <c r="F329" s="149">
        <v>23691.15</v>
      </c>
      <c r="G329" s="149">
        <v>0</v>
      </c>
      <c r="H329" s="149">
        <v>0</v>
      </c>
      <c r="I329" s="149">
        <v>0</v>
      </c>
      <c r="J329" s="149">
        <v>0</v>
      </c>
      <c r="K329" s="149">
        <v>0</v>
      </c>
      <c r="L329" s="971">
        <v>0</v>
      </c>
      <c r="M329" s="969"/>
      <c r="N329" s="149">
        <v>0</v>
      </c>
      <c r="O329" s="149">
        <v>0</v>
      </c>
      <c r="P329" s="149">
        <v>23691.15</v>
      </c>
    </row>
    <row r="330" spans="1:16" x14ac:dyDescent="0.3">
      <c r="A330" s="34">
        <v>2016</v>
      </c>
      <c r="B330" s="35" t="s">
        <v>902</v>
      </c>
      <c r="C330" s="35" t="s">
        <v>901</v>
      </c>
      <c r="D330" s="34">
        <v>108707000</v>
      </c>
      <c r="E330" s="33" t="s">
        <v>824</v>
      </c>
      <c r="F330" s="148">
        <v>87245.84</v>
      </c>
      <c r="G330" s="148">
        <v>0</v>
      </c>
      <c r="H330" s="148">
        <v>0</v>
      </c>
      <c r="I330" s="148">
        <v>0</v>
      </c>
      <c r="J330" s="148">
        <v>0</v>
      </c>
      <c r="K330" s="148">
        <v>0</v>
      </c>
      <c r="L330" s="970">
        <v>0</v>
      </c>
      <c r="M330" s="969"/>
      <c r="N330" s="148">
        <v>0</v>
      </c>
      <c r="O330" s="148">
        <v>0</v>
      </c>
      <c r="P330" s="148">
        <v>87245.84</v>
      </c>
    </row>
    <row r="331" spans="1:16" x14ac:dyDescent="0.3">
      <c r="A331" s="37">
        <v>2016</v>
      </c>
      <c r="B331" s="38" t="s">
        <v>902</v>
      </c>
      <c r="C331" s="38" t="s">
        <v>901</v>
      </c>
      <c r="D331" s="37">
        <v>28751000</v>
      </c>
      <c r="E331" s="36" t="s">
        <v>309</v>
      </c>
      <c r="F331" s="149">
        <v>193719.08</v>
      </c>
      <c r="G331" s="149">
        <v>35456.230000000003</v>
      </c>
      <c r="H331" s="149">
        <v>0</v>
      </c>
      <c r="I331" s="149">
        <v>0</v>
      </c>
      <c r="J331" s="149">
        <v>0</v>
      </c>
      <c r="K331" s="149">
        <v>0</v>
      </c>
      <c r="L331" s="971">
        <v>0</v>
      </c>
      <c r="M331" s="969"/>
      <c r="N331" s="149">
        <v>0</v>
      </c>
      <c r="O331" s="149">
        <v>0</v>
      </c>
      <c r="P331" s="149">
        <v>229175.31</v>
      </c>
    </row>
    <row r="332" spans="1:16" ht="26.4" x14ac:dyDescent="0.3">
      <c r="A332" s="34">
        <v>2016</v>
      </c>
      <c r="B332" s="35" t="s">
        <v>902</v>
      </c>
      <c r="C332" s="35" t="s">
        <v>901</v>
      </c>
      <c r="D332" s="34">
        <v>108512000</v>
      </c>
      <c r="E332" s="33" t="s">
        <v>817</v>
      </c>
      <c r="F332" s="148">
        <v>38070.910000000003</v>
      </c>
      <c r="G332" s="148">
        <v>780</v>
      </c>
      <c r="H332" s="148">
        <v>0</v>
      </c>
      <c r="I332" s="148">
        <v>0</v>
      </c>
      <c r="J332" s="148">
        <v>0</v>
      </c>
      <c r="K332" s="148">
        <v>0</v>
      </c>
      <c r="L332" s="970">
        <v>0</v>
      </c>
      <c r="M332" s="969"/>
      <c r="N332" s="148">
        <v>0</v>
      </c>
      <c r="O332" s="148">
        <v>0</v>
      </c>
      <c r="P332" s="148">
        <v>38850.910000000003</v>
      </c>
    </row>
    <row r="333" spans="1:16" ht="26.4" x14ac:dyDescent="0.3">
      <c r="A333" s="37">
        <v>2016</v>
      </c>
      <c r="B333" s="38" t="s">
        <v>902</v>
      </c>
      <c r="C333" s="38" t="s">
        <v>901</v>
      </c>
      <c r="D333" s="37">
        <v>110302000</v>
      </c>
      <c r="E333" s="36" t="s">
        <v>311</v>
      </c>
      <c r="F333" s="149">
        <v>100326.35</v>
      </c>
      <c r="G333" s="149">
        <v>24444.3</v>
      </c>
      <c r="H333" s="149">
        <v>0</v>
      </c>
      <c r="I333" s="149">
        <v>0</v>
      </c>
      <c r="J333" s="149">
        <v>0</v>
      </c>
      <c r="K333" s="149">
        <v>0</v>
      </c>
      <c r="L333" s="971">
        <v>0</v>
      </c>
      <c r="M333" s="969"/>
      <c r="N333" s="149">
        <v>0</v>
      </c>
      <c r="O333" s="149">
        <v>0</v>
      </c>
      <c r="P333" s="149">
        <v>124770.65</v>
      </c>
    </row>
    <row r="334" spans="1:16" ht="26.4" x14ac:dyDescent="0.3">
      <c r="A334" s="34">
        <v>2016</v>
      </c>
      <c r="B334" s="35" t="s">
        <v>902</v>
      </c>
      <c r="C334" s="35" t="s">
        <v>901</v>
      </c>
      <c r="D334" s="34">
        <v>70408000</v>
      </c>
      <c r="E334" s="33" t="s">
        <v>312</v>
      </c>
      <c r="F334" s="148">
        <v>1932097.26</v>
      </c>
      <c r="G334" s="148">
        <v>200227.65</v>
      </c>
      <c r="H334" s="148">
        <v>0</v>
      </c>
      <c r="I334" s="148">
        <v>0</v>
      </c>
      <c r="J334" s="148">
        <v>0</v>
      </c>
      <c r="K334" s="148">
        <v>0</v>
      </c>
      <c r="L334" s="970">
        <v>0</v>
      </c>
      <c r="M334" s="969"/>
      <c r="N334" s="148">
        <v>0</v>
      </c>
      <c r="O334" s="148">
        <v>0</v>
      </c>
      <c r="P334" s="148">
        <v>2132324.91</v>
      </c>
    </row>
    <row r="335" spans="1:16" ht="26.4" x14ac:dyDescent="0.3">
      <c r="A335" s="37">
        <v>2016</v>
      </c>
      <c r="B335" s="38" t="s">
        <v>902</v>
      </c>
      <c r="C335" s="38" t="s">
        <v>901</v>
      </c>
      <c r="D335" s="37">
        <v>80306000</v>
      </c>
      <c r="E335" s="36" t="s">
        <v>800</v>
      </c>
      <c r="F335" s="149">
        <v>19255.32</v>
      </c>
      <c r="G335" s="149">
        <v>21394.799999999999</v>
      </c>
      <c r="H335" s="149">
        <v>0</v>
      </c>
      <c r="I335" s="149">
        <v>0</v>
      </c>
      <c r="J335" s="149">
        <v>0</v>
      </c>
      <c r="K335" s="149">
        <v>0</v>
      </c>
      <c r="L335" s="971">
        <v>0</v>
      </c>
      <c r="M335" s="969"/>
      <c r="N335" s="149">
        <v>0</v>
      </c>
      <c r="O335" s="149">
        <v>0</v>
      </c>
      <c r="P335" s="149">
        <v>40650.120000000003</v>
      </c>
    </row>
    <row r="336" spans="1:16" x14ac:dyDescent="0.3">
      <c r="A336" s="34">
        <v>2016</v>
      </c>
      <c r="B336" s="35" t="s">
        <v>902</v>
      </c>
      <c r="C336" s="35" t="s">
        <v>901</v>
      </c>
      <c r="D336" s="34">
        <v>78907000</v>
      </c>
      <c r="E336" s="33" t="s">
        <v>314</v>
      </c>
      <c r="F336" s="148">
        <v>477126.57</v>
      </c>
      <c r="G336" s="148">
        <v>62416.33</v>
      </c>
      <c r="H336" s="148">
        <v>0</v>
      </c>
      <c r="I336" s="148">
        <v>0</v>
      </c>
      <c r="J336" s="148">
        <v>0</v>
      </c>
      <c r="K336" s="148">
        <v>0</v>
      </c>
      <c r="L336" s="970">
        <v>0</v>
      </c>
      <c r="M336" s="969"/>
      <c r="N336" s="148">
        <v>0</v>
      </c>
      <c r="O336" s="148">
        <v>0</v>
      </c>
      <c r="P336" s="148">
        <v>539542.9</v>
      </c>
    </row>
    <row r="337" spans="1:16" ht="26.4" x14ac:dyDescent="0.3">
      <c r="A337" s="37">
        <v>2016</v>
      </c>
      <c r="B337" s="38" t="s">
        <v>902</v>
      </c>
      <c r="C337" s="38" t="s">
        <v>901</v>
      </c>
      <c r="D337" s="37">
        <v>138758000</v>
      </c>
      <c r="E337" s="36" t="s">
        <v>871</v>
      </c>
      <c r="F337" s="149">
        <v>20370.41</v>
      </c>
      <c r="G337" s="149">
        <v>7084.87</v>
      </c>
      <c r="H337" s="149">
        <v>0</v>
      </c>
      <c r="I337" s="149">
        <v>0</v>
      </c>
      <c r="J337" s="149">
        <v>0</v>
      </c>
      <c r="K337" s="149">
        <v>0</v>
      </c>
      <c r="L337" s="971">
        <v>0</v>
      </c>
      <c r="M337" s="969"/>
      <c r="N337" s="149">
        <v>0</v>
      </c>
      <c r="O337" s="149">
        <v>0</v>
      </c>
      <c r="P337" s="149">
        <v>27455.279999999999</v>
      </c>
    </row>
    <row r="338" spans="1:16" x14ac:dyDescent="0.3">
      <c r="A338" s="34">
        <v>2016</v>
      </c>
      <c r="B338" s="35" t="s">
        <v>902</v>
      </c>
      <c r="C338" s="35" t="s">
        <v>901</v>
      </c>
      <c r="D338" s="34">
        <v>30208000</v>
      </c>
      <c r="E338" s="33" t="s">
        <v>315</v>
      </c>
      <c r="F338" s="148">
        <v>867658.85</v>
      </c>
      <c r="G338" s="148">
        <v>113216.41</v>
      </c>
      <c r="H338" s="148">
        <v>0</v>
      </c>
      <c r="I338" s="148">
        <v>0</v>
      </c>
      <c r="J338" s="148">
        <v>0</v>
      </c>
      <c r="K338" s="148">
        <v>0</v>
      </c>
      <c r="L338" s="970">
        <v>0</v>
      </c>
      <c r="M338" s="969"/>
      <c r="N338" s="148">
        <v>0</v>
      </c>
      <c r="O338" s="148">
        <v>0</v>
      </c>
      <c r="P338" s="148">
        <v>980875.26</v>
      </c>
    </row>
    <row r="339" spans="1:16" ht="39.6" x14ac:dyDescent="0.3">
      <c r="A339" s="37">
        <v>2016</v>
      </c>
      <c r="B339" s="38" t="s">
        <v>902</v>
      </c>
      <c r="C339" s="38" t="s">
        <v>901</v>
      </c>
      <c r="D339" s="37">
        <v>38753000</v>
      </c>
      <c r="E339" s="36" t="s">
        <v>629</v>
      </c>
      <c r="F339" s="149">
        <v>47515.5</v>
      </c>
      <c r="G339" s="149">
        <v>6735.69</v>
      </c>
      <c r="H339" s="149">
        <v>-6766.24</v>
      </c>
      <c r="I339" s="149">
        <v>0</v>
      </c>
      <c r="J339" s="149">
        <v>0</v>
      </c>
      <c r="K339" s="149">
        <v>0</v>
      </c>
      <c r="L339" s="971">
        <v>0</v>
      </c>
      <c r="M339" s="969"/>
      <c r="N339" s="149">
        <v>0</v>
      </c>
      <c r="O339" s="149">
        <v>0</v>
      </c>
      <c r="P339" s="149">
        <v>47484.95</v>
      </c>
    </row>
    <row r="340" spans="1:16" ht="26.4" x14ac:dyDescent="0.3">
      <c r="A340" s="34">
        <v>2016</v>
      </c>
      <c r="B340" s="35" t="s">
        <v>902</v>
      </c>
      <c r="C340" s="35" t="s">
        <v>901</v>
      </c>
      <c r="D340" s="34">
        <v>70449000</v>
      </c>
      <c r="E340" s="33" t="s">
        <v>317</v>
      </c>
      <c r="F340" s="148">
        <v>101547.08</v>
      </c>
      <c r="G340" s="148">
        <v>4973.28</v>
      </c>
      <c r="H340" s="148">
        <v>-1943.69</v>
      </c>
      <c r="I340" s="148">
        <v>0</v>
      </c>
      <c r="J340" s="148">
        <v>0</v>
      </c>
      <c r="K340" s="148">
        <v>0</v>
      </c>
      <c r="L340" s="970">
        <v>0</v>
      </c>
      <c r="M340" s="969"/>
      <c r="N340" s="148">
        <v>0</v>
      </c>
      <c r="O340" s="148">
        <v>0</v>
      </c>
      <c r="P340" s="148">
        <v>104576.67</v>
      </c>
    </row>
    <row r="341" spans="1:16" x14ac:dyDescent="0.3">
      <c r="A341" s="37">
        <v>2016</v>
      </c>
      <c r="B341" s="38" t="s">
        <v>902</v>
      </c>
      <c r="C341" s="38" t="s">
        <v>901</v>
      </c>
      <c r="D341" s="37">
        <v>70394000</v>
      </c>
      <c r="E341" s="36" t="s">
        <v>318</v>
      </c>
      <c r="F341" s="149">
        <v>63672.52</v>
      </c>
      <c r="G341" s="149">
        <v>4611.8100000000004</v>
      </c>
      <c r="H341" s="149">
        <v>-3323.37</v>
      </c>
      <c r="I341" s="149">
        <v>0</v>
      </c>
      <c r="J341" s="149">
        <v>0</v>
      </c>
      <c r="K341" s="149">
        <v>0</v>
      </c>
      <c r="L341" s="971">
        <v>0</v>
      </c>
      <c r="M341" s="969"/>
      <c r="N341" s="149">
        <v>0</v>
      </c>
      <c r="O341" s="149">
        <v>0</v>
      </c>
      <c r="P341" s="149">
        <v>64960.959999999999</v>
      </c>
    </row>
    <row r="342" spans="1:16" ht="26.4" x14ac:dyDescent="0.3">
      <c r="A342" s="34">
        <v>2016</v>
      </c>
      <c r="B342" s="35" t="s">
        <v>902</v>
      </c>
      <c r="C342" s="35" t="s">
        <v>901</v>
      </c>
      <c r="D342" s="34">
        <v>20349000</v>
      </c>
      <c r="E342" s="33" t="s">
        <v>319</v>
      </c>
      <c r="F342" s="148">
        <v>459211.74</v>
      </c>
      <c r="G342" s="148">
        <v>117578.21</v>
      </c>
      <c r="H342" s="148">
        <v>0</v>
      </c>
      <c r="I342" s="148">
        <v>0</v>
      </c>
      <c r="J342" s="148">
        <v>0</v>
      </c>
      <c r="K342" s="148">
        <v>0</v>
      </c>
      <c r="L342" s="970">
        <v>0</v>
      </c>
      <c r="M342" s="969"/>
      <c r="N342" s="148">
        <v>0</v>
      </c>
      <c r="O342" s="148">
        <v>0</v>
      </c>
      <c r="P342" s="148">
        <v>576789.94999999995</v>
      </c>
    </row>
    <row r="343" spans="1:16" ht="26.4" x14ac:dyDescent="0.3">
      <c r="A343" s="37">
        <v>2016</v>
      </c>
      <c r="B343" s="38" t="s">
        <v>902</v>
      </c>
      <c r="C343" s="38" t="s">
        <v>901</v>
      </c>
      <c r="D343" s="37">
        <v>78940000</v>
      </c>
      <c r="E343" s="36" t="s">
        <v>320</v>
      </c>
      <c r="F343" s="149">
        <v>351181.9</v>
      </c>
      <c r="G343" s="149">
        <v>108375.41</v>
      </c>
      <c r="H343" s="149">
        <v>0</v>
      </c>
      <c r="I343" s="149">
        <v>0</v>
      </c>
      <c r="J343" s="149">
        <v>0</v>
      </c>
      <c r="K343" s="149">
        <v>0</v>
      </c>
      <c r="L343" s="971">
        <v>0</v>
      </c>
      <c r="M343" s="969"/>
      <c r="N343" s="149">
        <v>0</v>
      </c>
      <c r="O343" s="149">
        <v>0</v>
      </c>
      <c r="P343" s="149">
        <v>459557.31</v>
      </c>
    </row>
    <row r="344" spans="1:16" ht="26.4" x14ac:dyDescent="0.3">
      <c r="A344" s="34">
        <v>2016</v>
      </c>
      <c r="B344" s="35" t="s">
        <v>902</v>
      </c>
      <c r="C344" s="35" t="s">
        <v>901</v>
      </c>
      <c r="D344" s="34">
        <v>70269000</v>
      </c>
      <c r="E344" s="33" t="s">
        <v>321</v>
      </c>
      <c r="F344" s="148">
        <v>6050637.8799999999</v>
      </c>
      <c r="G344" s="148">
        <v>295791.2</v>
      </c>
      <c r="H344" s="148">
        <v>0</v>
      </c>
      <c r="I344" s="148">
        <v>0</v>
      </c>
      <c r="J344" s="148">
        <v>0</v>
      </c>
      <c r="K344" s="148">
        <v>0</v>
      </c>
      <c r="L344" s="970">
        <v>0</v>
      </c>
      <c r="M344" s="969"/>
      <c r="N344" s="148">
        <v>0</v>
      </c>
      <c r="O344" s="148">
        <v>0</v>
      </c>
      <c r="P344" s="148">
        <v>6346429.0800000001</v>
      </c>
    </row>
    <row r="345" spans="1:16" ht="26.4" x14ac:dyDescent="0.3">
      <c r="A345" s="37">
        <v>2016</v>
      </c>
      <c r="B345" s="38" t="s">
        <v>902</v>
      </c>
      <c r="C345" s="38" t="s">
        <v>901</v>
      </c>
      <c r="D345" s="37">
        <v>78912000</v>
      </c>
      <c r="E345" s="36" t="s">
        <v>766</v>
      </c>
      <c r="F345" s="149">
        <v>222678.57</v>
      </c>
      <c r="G345" s="149">
        <v>59486.43</v>
      </c>
      <c r="H345" s="149">
        <v>0</v>
      </c>
      <c r="I345" s="149">
        <v>0</v>
      </c>
      <c r="J345" s="149">
        <v>0</v>
      </c>
      <c r="K345" s="149">
        <v>0</v>
      </c>
      <c r="L345" s="971">
        <v>0</v>
      </c>
      <c r="M345" s="969"/>
      <c r="N345" s="149">
        <v>0</v>
      </c>
      <c r="O345" s="149">
        <v>0</v>
      </c>
      <c r="P345" s="149">
        <v>282165</v>
      </c>
    </row>
    <row r="346" spans="1:16" ht="26.4" x14ac:dyDescent="0.3">
      <c r="A346" s="34">
        <v>2016</v>
      </c>
      <c r="B346" s="35" t="s">
        <v>902</v>
      </c>
      <c r="C346" s="35" t="s">
        <v>901</v>
      </c>
      <c r="D346" s="34">
        <v>78905000</v>
      </c>
      <c r="E346" s="33" t="s">
        <v>323</v>
      </c>
      <c r="F346" s="148">
        <v>89732.72</v>
      </c>
      <c r="G346" s="148">
        <v>0</v>
      </c>
      <c r="H346" s="148">
        <v>0</v>
      </c>
      <c r="I346" s="148">
        <v>0</v>
      </c>
      <c r="J346" s="148">
        <v>0</v>
      </c>
      <c r="K346" s="148">
        <v>0</v>
      </c>
      <c r="L346" s="970">
        <v>0</v>
      </c>
      <c r="M346" s="969"/>
      <c r="N346" s="148">
        <v>0</v>
      </c>
      <c r="O346" s="148">
        <v>0</v>
      </c>
      <c r="P346" s="148">
        <v>89732.72</v>
      </c>
    </row>
    <row r="347" spans="1:16" x14ac:dyDescent="0.3">
      <c r="A347" s="37">
        <v>2016</v>
      </c>
      <c r="B347" s="38" t="s">
        <v>902</v>
      </c>
      <c r="C347" s="38" t="s">
        <v>901</v>
      </c>
      <c r="D347" s="37">
        <v>138755000</v>
      </c>
      <c r="E347" s="36" t="s">
        <v>869</v>
      </c>
      <c r="F347" s="149">
        <v>55102.83</v>
      </c>
      <c r="G347" s="149">
        <v>0</v>
      </c>
      <c r="H347" s="149">
        <v>0</v>
      </c>
      <c r="I347" s="149">
        <v>0</v>
      </c>
      <c r="J347" s="149">
        <v>0</v>
      </c>
      <c r="K347" s="149">
        <v>0</v>
      </c>
      <c r="L347" s="971">
        <v>0</v>
      </c>
      <c r="M347" s="969"/>
      <c r="N347" s="149">
        <v>0</v>
      </c>
      <c r="O347" s="149">
        <v>0</v>
      </c>
      <c r="P347" s="149">
        <v>55102.83</v>
      </c>
    </row>
    <row r="348" spans="1:16" ht="26.4" x14ac:dyDescent="0.3">
      <c r="A348" s="34">
        <v>2016</v>
      </c>
      <c r="B348" s="35" t="s">
        <v>902</v>
      </c>
      <c r="C348" s="35" t="s">
        <v>901</v>
      </c>
      <c r="D348" s="34">
        <v>150227000</v>
      </c>
      <c r="E348" s="33" t="s">
        <v>325</v>
      </c>
      <c r="F348" s="148">
        <v>623852.86</v>
      </c>
      <c r="G348" s="148">
        <v>78206.37</v>
      </c>
      <c r="H348" s="148">
        <v>-70120.95</v>
      </c>
      <c r="I348" s="148">
        <v>0</v>
      </c>
      <c r="J348" s="148">
        <v>0</v>
      </c>
      <c r="K348" s="148">
        <v>0</v>
      </c>
      <c r="L348" s="970">
        <v>0</v>
      </c>
      <c r="M348" s="969"/>
      <c r="N348" s="148">
        <v>0</v>
      </c>
      <c r="O348" s="148">
        <v>0</v>
      </c>
      <c r="P348" s="148">
        <v>631938.28</v>
      </c>
    </row>
    <row r="349" spans="1:16" ht="26.4" x14ac:dyDescent="0.3">
      <c r="A349" s="37">
        <v>2016</v>
      </c>
      <c r="B349" s="38" t="s">
        <v>902</v>
      </c>
      <c r="C349" s="38" t="s">
        <v>901</v>
      </c>
      <c r="D349" s="37">
        <v>78963000</v>
      </c>
      <c r="E349" s="36" t="s">
        <v>788</v>
      </c>
      <c r="F349" s="149">
        <v>65954.259999999995</v>
      </c>
      <c r="G349" s="149">
        <v>1604.65</v>
      </c>
      <c r="H349" s="149">
        <v>-200</v>
      </c>
      <c r="I349" s="149">
        <v>0</v>
      </c>
      <c r="J349" s="149">
        <v>0</v>
      </c>
      <c r="K349" s="149">
        <v>0</v>
      </c>
      <c r="L349" s="971">
        <v>0</v>
      </c>
      <c r="M349" s="969"/>
      <c r="N349" s="149">
        <v>-16397.62</v>
      </c>
      <c r="O349" s="149">
        <v>0</v>
      </c>
      <c r="P349" s="149">
        <v>50961.29</v>
      </c>
    </row>
    <row r="350" spans="1:16" ht="26.4" x14ac:dyDescent="0.3">
      <c r="A350" s="34">
        <v>2016</v>
      </c>
      <c r="B350" s="35" t="s">
        <v>902</v>
      </c>
      <c r="C350" s="35" t="s">
        <v>901</v>
      </c>
      <c r="D350" s="34">
        <v>120406000</v>
      </c>
      <c r="E350" s="33" t="s">
        <v>327</v>
      </c>
      <c r="F350" s="148">
        <v>73157.61</v>
      </c>
      <c r="G350" s="148">
        <v>5055.16</v>
      </c>
      <c r="H350" s="148">
        <v>0</v>
      </c>
      <c r="I350" s="148">
        <v>0</v>
      </c>
      <c r="J350" s="148">
        <v>0</v>
      </c>
      <c r="K350" s="148">
        <v>0</v>
      </c>
      <c r="L350" s="970">
        <v>0</v>
      </c>
      <c r="M350" s="969"/>
      <c r="N350" s="148">
        <v>0</v>
      </c>
      <c r="O350" s="148">
        <v>0</v>
      </c>
      <c r="P350" s="148">
        <v>78212.77</v>
      </c>
    </row>
    <row r="351" spans="1:16" ht="26.4" x14ac:dyDescent="0.3">
      <c r="A351" s="37">
        <v>2016</v>
      </c>
      <c r="B351" s="38" t="s">
        <v>902</v>
      </c>
      <c r="C351" s="38" t="s">
        <v>901</v>
      </c>
      <c r="D351" s="37">
        <v>120520000</v>
      </c>
      <c r="E351" s="36" t="s">
        <v>328</v>
      </c>
      <c r="F351" s="149">
        <v>24264.82</v>
      </c>
      <c r="G351" s="149">
        <v>866.47</v>
      </c>
      <c r="H351" s="149">
        <v>0</v>
      </c>
      <c r="I351" s="149">
        <v>0</v>
      </c>
      <c r="J351" s="149">
        <v>0</v>
      </c>
      <c r="K351" s="149">
        <v>0</v>
      </c>
      <c r="L351" s="971">
        <v>0</v>
      </c>
      <c r="M351" s="969"/>
      <c r="N351" s="149">
        <v>0</v>
      </c>
      <c r="O351" s="149">
        <v>0</v>
      </c>
      <c r="P351" s="149">
        <v>25131.29</v>
      </c>
    </row>
    <row r="352" spans="1:16" ht="26.4" x14ac:dyDescent="0.3">
      <c r="A352" s="34">
        <v>2016</v>
      </c>
      <c r="B352" s="35" t="s">
        <v>902</v>
      </c>
      <c r="C352" s="35" t="s">
        <v>901</v>
      </c>
      <c r="D352" s="34">
        <v>78792000</v>
      </c>
      <c r="E352" s="33" t="s">
        <v>329</v>
      </c>
      <c r="F352" s="148">
        <v>292972.18</v>
      </c>
      <c r="G352" s="148">
        <v>50658.82</v>
      </c>
      <c r="H352" s="148">
        <v>0</v>
      </c>
      <c r="I352" s="148">
        <v>0</v>
      </c>
      <c r="J352" s="148">
        <v>0</v>
      </c>
      <c r="K352" s="148">
        <v>0</v>
      </c>
      <c r="L352" s="970">
        <v>0</v>
      </c>
      <c r="M352" s="969"/>
      <c r="N352" s="148">
        <v>0</v>
      </c>
      <c r="O352" s="148">
        <v>0</v>
      </c>
      <c r="P352" s="148">
        <v>343631</v>
      </c>
    </row>
    <row r="353" spans="1:16" x14ac:dyDescent="0.3">
      <c r="A353" s="37">
        <v>2016</v>
      </c>
      <c r="B353" s="38" t="s">
        <v>902</v>
      </c>
      <c r="C353" s="38" t="s">
        <v>901</v>
      </c>
      <c r="D353" s="37">
        <v>40210000</v>
      </c>
      <c r="E353" s="36" t="s">
        <v>330</v>
      </c>
      <c r="F353" s="149">
        <v>707515.77</v>
      </c>
      <c r="G353" s="149">
        <v>32824.269999999997</v>
      </c>
      <c r="H353" s="149">
        <v>0</v>
      </c>
      <c r="I353" s="149">
        <v>0</v>
      </c>
      <c r="J353" s="149">
        <v>0</v>
      </c>
      <c r="K353" s="149">
        <v>0</v>
      </c>
      <c r="L353" s="971">
        <v>0</v>
      </c>
      <c r="M353" s="969"/>
      <c r="N353" s="149">
        <v>0</v>
      </c>
      <c r="O353" s="149">
        <v>0</v>
      </c>
      <c r="P353" s="149">
        <v>740340.04</v>
      </c>
    </row>
    <row r="354" spans="1:16" ht="26.4" x14ac:dyDescent="0.3">
      <c r="A354" s="34">
        <v>2016</v>
      </c>
      <c r="B354" s="35" t="s">
        <v>902</v>
      </c>
      <c r="C354" s="35" t="s">
        <v>901</v>
      </c>
      <c r="D354" s="34">
        <v>80208000</v>
      </c>
      <c r="E354" s="33" t="s">
        <v>331</v>
      </c>
      <c r="F354" s="148">
        <v>138128.53</v>
      </c>
      <c r="G354" s="148">
        <v>21809.759999999998</v>
      </c>
      <c r="H354" s="148">
        <v>0</v>
      </c>
      <c r="I354" s="148">
        <v>0</v>
      </c>
      <c r="J354" s="148">
        <v>0</v>
      </c>
      <c r="K354" s="148">
        <v>0</v>
      </c>
      <c r="L354" s="970">
        <v>0</v>
      </c>
      <c r="M354" s="969"/>
      <c r="N354" s="148">
        <v>0</v>
      </c>
      <c r="O354" s="148">
        <v>0</v>
      </c>
      <c r="P354" s="148">
        <v>159938.29</v>
      </c>
    </row>
    <row r="355" spans="1:16" x14ac:dyDescent="0.3">
      <c r="A355" s="37">
        <v>2016</v>
      </c>
      <c r="B355" s="38" t="s">
        <v>902</v>
      </c>
      <c r="C355" s="38" t="s">
        <v>901</v>
      </c>
      <c r="D355" s="37">
        <v>38702000</v>
      </c>
      <c r="E355" s="36" t="s">
        <v>624</v>
      </c>
      <c r="F355" s="149">
        <v>87069.31</v>
      </c>
      <c r="G355" s="149">
        <v>0</v>
      </c>
      <c r="H355" s="149">
        <v>0</v>
      </c>
      <c r="I355" s="149">
        <v>0</v>
      </c>
      <c r="J355" s="149">
        <v>0</v>
      </c>
      <c r="K355" s="149">
        <v>0</v>
      </c>
      <c r="L355" s="971">
        <v>0</v>
      </c>
      <c r="M355" s="969"/>
      <c r="N355" s="149">
        <v>0</v>
      </c>
      <c r="O355" s="149">
        <v>0</v>
      </c>
      <c r="P355" s="149">
        <v>87069.31</v>
      </c>
    </row>
    <row r="356" spans="1:16" ht="26.4" x14ac:dyDescent="0.3">
      <c r="A356" s="34">
        <v>2016</v>
      </c>
      <c r="B356" s="35" t="s">
        <v>902</v>
      </c>
      <c r="C356" s="35" t="s">
        <v>901</v>
      </c>
      <c r="D356" s="34">
        <v>20422000</v>
      </c>
      <c r="E356" s="33" t="s">
        <v>333</v>
      </c>
      <c r="F356" s="148">
        <v>31607.77</v>
      </c>
      <c r="G356" s="148">
        <v>8546.0499999999993</v>
      </c>
      <c r="H356" s="148">
        <v>-21129.7</v>
      </c>
      <c r="I356" s="148">
        <v>0</v>
      </c>
      <c r="J356" s="148">
        <v>0</v>
      </c>
      <c r="K356" s="148">
        <v>0</v>
      </c>
      <c r="L356" s="970">
        <v>0</v>
      </c>
      <c r="M356" s="969"/>
      <c r="N356" s="148">
        <v>0</v>
      </c>
      <c r="O356" s="148">
        <v>0</v>
      </c>
      <c r="P356" s="148">
        <v>19024.12</v>
      </c>
    </row>
    <row r="357" spans="1:16" ht="26.4" x14ac:dyDescent="0.3">
      <c r="A357" s="37">
        <v>2016</v>
      </c>
      <c r="B357" s="38" t="s">
        <v>902</v>
      </c>
      <c r="C357" s="38" t="s">
        <v>901</v>
      </c>
      <c r="D357" s="37">
        <v>70492000</v>
      </c>
      <c r="E357" s="36" t="s">
        <v>334</v>
      </c>
      <c r="F357" s="149">
        <v>2460701.79</v>
      </c>
      <c r="G357" s="149">
        <v>276612.46999999997</v>
      </c>
      <c r="H357" s="149">
        <v>0</v>
      </c>
      <c r="I357" s="149">
        <v>0</v>
      </c>
      <c r="J357" s="149">
        <v>0</v>
      </c>
      <c r="K357" s="149">
        <v>0</v>
      </c>
      <c r="L357" s="971">
        <v>0</v>
      </c>
      <c r="M357" s="969"/>
      <c r="N357" s="149">
        <v>0</v>
      </c>
      <c r="O357" s="149">
        <v>0</v>
      </c>
      <c r="P357" s="149">
        <v>2737314.26</v>
      </c>
    </row>
    <row r="358" spans="1:16" ht="26.4" x14ac:dyDescent="0.3">
      <c r="A358" s="34">
        <v>2016</v>
      </c>
      <c r="B358" s="35" t="s">
        <v>902</v>
      </c>
      <c r="C358" s="35" t="s">
        <v>901</v>
      </c>
      <c r="D358" s="34">
        <v>70211000</v>
      </c>
      <c r="E358" s="33" t="s">
        <v>335</v>
      </c>
      <c r="F358" s="148">
        <v>5061750.47</v>
      </c>
      <c r="G358" s="148">
        <v>327965.36</v>
      </c>
      <c r="H358" s="148">
        <v>-533260.64</v>
      </c>
      <c r="I358" s="148">
        <v>0</v>
      </c>
      <c r="J358" s="148">
        <v>0</v>
      </c>
      <c r="K358" s="148">
        <v>0</v>
      </c>
      <c r="L358" s="970">
        <v>0</v>
      </c>
      <c r="M358" s="969"/>
      <c r="N358" s="148">
        <v>0</v>
      </c>
      <c r="O358" s="148">
        <v>0</v>
      </c>
      <c r="P358" s="148">
        <v>4856455.1900000004</v>
      </c>
    </row>
    <row r="359" spans="1:16" ht="26.4" x14ac:dyDescent="0.3">
      <c r="A359" s="37">
        <v>2016</v>
      </c>
      <c r="B359" s="38" t="s">
        <v>902</v>
      </c>
      <c r="C359" s="38" t="s">
        <v>901</v>
      </c>
      <c r="D359" s="37">
        <v>78714000</v>
      </c>
      <c r="E359" s="36" t="s">
        <v>737</v>
      </c>
      <c r="F359" s="149">
        <v>262279.78000000003</v>
      </c>
      <c r="G359" s="149">
        <v>66334.55</v>
      </c>
      <c r="H359" s="149">
        <v>-29236.38</v>
      </c>
      <c r="I359" s="149">
        <v>0</v>
      </c>
      <c r="J359" s="149">
        <v>0</v>
      </c>
      <c r="K359" s="149">
        <v>0</v>
      </c>
      <c r="L359" s="971">
        <v>0</v>
      </c>
      <c r="M359" s="969"/>
      <c r="N359" s="149">
        <v>0</v>
      </c>
      <c r="O359" s="149">
        <v>0</v>
      </c>
      <c r="P359" s="149">
        <v>299377.95</v>
      </c>
    </row>
    <row r="360" spans="1:16" ht="26.4" x14ac:dyDescent="0.3">
      <c r="A360" s="34">
        <v>2016</v>
      </c>
      <c r="B360" s="35" t="s">
        <v>902</v>
      </c>
      <c r="C360" s="35" t="s">
        <v>901</v>
      </c>
      <c r="D360" s="34">
        <v>78559000</v>
      </c>
      <c r="E360" s="33" t="s">
        <v>709</v>
      </c>
      <c r="F360" s="148">
        <v>259408.77</v>
      </c>
      <c r="G360" s="148">
        <v>38718.910000000003</v>
      </c>
      <c r="H360" s="148">
        <v>0</v>
      </c>
      <c r="I360" s="148">
        <v>0</v>
      </c>
      <c r="J360" s="148">
        <v>0</v>
      </c>
      <c r="K360" s="148">
        <v>0</v>
      </c>
      <c r="L360" s="970">
        <v>0</v>
      </c>
      <c r="M360" s="969"/>
      <c r="N360" s="148">
        <v>0</v>
      </c>
      <c r="O360" s="148">
        <v>0</v>
      </c>
      <c r="P360" s="148">
        <v>298127.68</v>
      </c>
    </row>
    <row r="361" spans="1:16" ht="26.4" x14ac:dyDescent="0.3">
      <c r="A361" s="37">
        <v>2016</v>
      </c>
      <c r="B361" s="38" t="s">
        <v>902</v>
      </c>
      <c r="C361" s="38" t="s">
        <v>901</v>
      </c>
      <c r="D361" s="37">
        <v>70401000</v>
      </c>
      <c r="E361" s="36" t="s">
        <v>337</v>
      </c>
      <c r="F361" s="149">
        <v>7416850.2199999997</v>
      </c>
      <c r="G361" s="149">
        <v>772574.61</v>
      </c>
      <c r="H361" s="149">
        <v>0</v>
      </c>
      <c r="I361" s="149">
        <v>0</v>
      </c>
      <c r="J361" s="149">
        <v>0</v>
      </c>
      <c r="K361" s="149">
        <v>0</v>
      </c>
      <c r="L361" s="971">
        <v>0</v>
      </c>
      <c r="M361" s="969"/>
      <c r="N361" s="149">
        <v>0</v>
      </c>
      <c r="O361" s="149">
        <v>0</v>
      </c>
      <c r="P361" s="149">
        <v>8189424.8300000001</v>
      </c>
    </row>
    <row r="362" spans="1:16" ht="39.6" x14ac:dyDescent="0.3">
      <c r="A362" s="34">
        <v>2016</v>
      </c>
      <c r="B362" s="35" t="s">
        <v>902</v>
      </c>
      <c r="C362" s="35" t="s">
        <v>901</v>
      </c>
      <c r="D362" s="34">
        <v>78776000</v>
      </c>
      <c r="E362" s="33" t="s">
        <v>338</v>
      </c>
      <c r="F362" s="148">
        <v>20444.849999999999</v>
      </c>
      <c r="G362" s="148">
        <v>0</v>
      </c>
      <c r="H362" s="148">
        <v>0</v>
      </c>
      <c r="I362" s="148">
        <v>0</v>
      </c>
      <c r="J362" s="148">
        <v>0</v>
      </c>
      <c r="K362" s="148">
        <v>0</v>
      </c>
      <c r="L362" s="970">
        <v>0</v>
      </c>
      <c r="M362" s="969"/>
      <c r="N362" s="148">
        <v>0</v>
      </c>
      <c r="O362" s="148">
        <v>0</v>
      </c>
      <c r="P362" s="148">
        <v>20444.849999999999</v>
      </c>
    </row>
    <row r="363" spans="1:16" ht="26.4" x14ac:dyDescent="0.3">
      <c r="A363" s="37">
        <v>2016</v>
      </c>
      <c r="B363" s="38" t="s">
        <v>902</v>
      </c>
      <c r="C363" s="38" t="s">
        <v>901</v>
      </c>
      <c r="D363" s="37">
        <v>70510000</v>
      </c>
      <c r="E363" s="36" t="s">
        <v>339</v>
      </c>
      <c r="F363" s="149">
        <v>15204994.890000001</v>
      </c>
      <c r="G363" s="149">
        <v>2411389.1800000002</v>
      </c>
      <c r="H363" s="149">
        <v>0</v>
      </c>
      <c r="I363" s="149">
        <v>0</v>
      </c>
      <c r="J363" s="149">
        <v>0</v>
      </c>
      <c r="K363" s="149">
        <v>0</v>
      </c>
      <c r="L363" s="971">
        <v>0</v>
      </c>
      <c r="M363" s="969"/>
      <c r="N363" s="149">
        <v>0</v>
      </c>
      <c r="O363" s="149">
        <v>0</v>
      </c>
      <c r="P363" s="149">
        <v>17616384.07</v>
      </c>
    </row>
    <row r="364" spans="1:16" ht="26.4" x14ac:dyDescent="0.3">
      <c r="A364" s="34">
        <v>2016</v>
      </c>
      <c r="B364" s="35" t="s">
        <v>902</v>
      </c>
      <c r="C364" s="35" t="s">
        <v>901</v>
      </c>
      <c r="D364" s="34">
        <v>110433000</v>
      </c>
      <c r="E364" s="33" t="s">
        <v>340</v>
      </c>
      <c r="F364" s="148">
        <v>32082.89</v>
      </c>
      <c r="G364" s="148">
        <v>3210.09</v>
      </c>
      <c r="H364" s="148">
        <v>-100</v>
      </c>
      <c r="I364" s="148">
        <v>0</v>
      </c>
      <c r="J364" s="148">
        <v>0</v>
      </c>
      <c r="K364" s="148">
        <v>0</v>
      </c>
      <c r="L364" s="970">
        <v>0</v>
      </c>
      <c r="M364" s="969"/>
      <c r="N364" s="148">
        <v>0</v>
      </c>
      <c r="O364" s="148">
        <v>0</v>
      </c>
      <c r="P364" s="148">
        <v>35192.980000000003</v>
      </c>
    </row>
    <row r="365" spans="1:16" x14ac:dyDescent="0.3">
      <c r="A365" s="37">
        <v>2016</v>
      </c>
      <c r="B365" s="38" t="s">
        <v>902</v>
      </c>
      <c r="C365" s="38" t="s">
        <v>901</v>
      </c>
      <c r="D365" s="37">
        <v>108601000</v>
      </c>
      <c r="E365" s="36" t="s">
        <v>1271</v>
      </c>
      <c r="F365" s="149">
        <v>13596.75</v>
      </c>
      <c r="G365" s="149">
        <v>3439.84</v>
      </c>
      <c r="H365" s="149">
        <v>-69.45</v>
      </c>
      <c r="I365" s="149">
        <v>0</v>
      </c>
      <c r="J365" s="149">
        <v>0</v>
      </c>
      <c r="K365" s="149">
        <v>0</v>
      </c>
      <c r="L365" s="971">
        <v>0</v>
      </c>
      <c r="M365" s="969"/>
      <c r="N365" s="149">
        <v>0</v>
      </c>
      <c r="O365" s="149">
        <v>0</v>
      </c>
      <c r="P365" s="149">
        <v>16967.14</v>
      </c>
    </row>
    <row r="366" spans="1:16" ht="26.4" x14ac:dyDescent="0.3">
      <c r="A366" s="34">
        <v>2016</v>
      </c>
      <c r="B366" s="35" t="s">
        <v>902</v>
      </c>
      <c r="C366" s="35" t="s">
        <v>901</v>
      </c>
      <c r="D366" s="34">
        <v>108507000</v>
      </c>
      <c r="E366" s="33" t="s">
        <v>344</v>
      </c>
      <c r="F366" s="148">
        <v>67983.77</v>
      </c>
      <c r="G366" s="148">
        <v>7939.88</v>
      </c>
      <c r="H366" s="148">
        <v>-5515.77</v>
      </c>
      <c r="I366" s="148">
        <v>0</v>
      </c>
      <c r="J366" s="148">
        <v>0</v>
      </c>
      <c r="K366" s="148">
        <v>0</v>
      </c>
      <c r="L366" s="970">
        <v>0</v>
      </c>
      <c r="M366" s="969"/>
      <c r="N366" s="148">
        <v>0</v>
      </c>
      <c r="O366" s="148">
        <v>0</v>
      </c>
      <c r="P366" s="148">
        <v>70407.88</v>
      </c>
    </row>
    <row r="367" spans="1:16" ht="39.6" x14ac:dyDescent="0.3">
      <c r="A367" s="37">
        <v>2016</v>
      </c>
      <c r="B367" s="38" t="s">
        <v>902</v>
      </c>
      <c r="C367" s="38" t="s">
        <v>901</v>
      </c>
      <c r="D367" s="37">
        <v>108799000</v>
      </c>
      <c r="E367" s="36" t="s">
        <v>342</v>
      </c>
      <c r="F367" s="149">
        <v>52120.89</v>
      </c>
      <c r="G367" s="149">
        <v>4667.37</v>
      </c>
      <c r="H367" s="149">
        <v>-5740.7</v>
      </c>
      <c r="I367" s="149">
        <v>0</v>
      </c>
      <c r="J367" s="149">
        <v>0</v>
      </c>
      <c r="K367" s="149">
        <v>0</v>
      </c>
      <c r="L367" s="971">
        <v>0</v>
      </c>
      <c r="M367" s="969"/>
      <c r="N367" s="149">
        <v>0</v>
      </c>
      <c r="O367" s="149">
        <v>0</v>
      </c>
      <c r="P367" s="149">
        <v>51047.56</v>
      </c>
    </row>
    <row r="368" spans="1:16" ht="39.6" x14ac:dyDescent="0.3">
      <c r="A368" s="34">
        <v>2016</v>
      </c>
      <c r="B368" s="35" t="s">
        <v>902</v>
      </c>
      <c r="C368" s="35" t="s">
        <v>901</v>
      </c>
      <c r="D368" s="34">
        <v>108711000</v>
      </c>
      <c r="E368" s="33" t="s">
        <v>826</v>
      </c>
      <c r="F368" s="148">
        <v>83846.649999999994</v>
      </c>
      <c r="G368" s="148">
        <v>8883.85</v>
      </c>
      <c r="H368" s="148">
        <v>-8887.4</v>
      </c>
      <c r="I368" s="148">
        <v>0</v>
      </c>
      <c r="J368" s="148">
        <v>0</v>
      </c>
      <c r="K368" s="148">
        <v>0</v>
      </c>
      <c r="L368" s="970">
        <v>0</v>
      </c>
      <c r="M368" s="969"/>
      <c r="N368" s="148">
        <v>0</v>
      </c>
      <c r="O368" s="148">
        <v>0</v>
      </c>
      <c r="P368" s="148">
        <v>83843.100000000006</v>
      </c>
    </row>
    <row r="369" spans="1:16" x14ac:dyDescent="0.3">
      <c r="A369" s="37">
        <v>2016</v>
      </c>
      <c r="B369" s="38" t="s">
        <v>902</v>
      </c>
      <c r="C369" s="38" t="s">
        <v>901</v>
      </c>
      <c r="D369" s="37">
        <v>50206000</v>
      </c>
      <c r="E369" s="36" t="s">
        <v>345</v>
      </c>
      <c r="F369" s="149">
        <v>142759.76</v>
      </c>
      <c r="G369" s="149">
        <v>3821.97</v>
      </c>
      <c r="H369" s="149">
        <v>-15769.36</v>
      </c>
      <c r="I369" s="149">
        <v>0</v>
      </c>
      <c r="J369" s="149">
        <v>0</v>
      </c>
      <c r="K369" s="149">
        <v>0</v>
      </c>
      <c r="L369" s="971">
        <v>0</v>
      </c>
      <c r="M369" s="969"/>
      <c r="N369" s="149">
        <v>0</v>
      </c>
      <c r="O369" s="149">
        <v>0</v>
      </c>
      <c r="P369" s="149">
        <v>130812.37</v>
      </c>
    </row>
    <row r="370" spans="1:16" ht="26.4" x14ac:dyDescent="0.3">
      <c r="A370" s="34">
        <v>2016</v>
      </c>
      <c r="B370" s="35" t="s">
        <v>902</v>
      </c>
      <c r="C370" s="35" t="s">
        <v>901</v>
      </c>
      <c r="D370" s="34">
        <v>38706000</v>
      </c>
      <c r="E370" s="33" t="s">
        <v>626</v>
      </c>
      <c r="F370" s="148">
        <v>52313.46</v>
      </c>
      <c r="G370" s="148">
        <v>1800</v>
      </c>
      <c r="H370" s="148">
        <v>0</v>
      </c>
      <c r="I370" s="148">
        <v>0</v>
      </c>
      <c r="J370" s="148">
        <v>0</v>
      </c>
      <c r="K370" s="148">
        <v>0</v>
      </c>
      <c r="L370" s="970">
        <v>0</v>
      </c>
      <c r="M370" s="969"/>
      <c r="N370" s="148">
        <v>0</v>
      </c>
      <c r="O370" s="148">
        <v>0</v>
      </c>
      <c r="P370" s="148">
        <v>54113.46</v>
      </c>
    </row>
    <row r="371" spans="1:16" ht="26.4" x14ac:dyDescent="0.3">
      <c r="A371" s="37">
        <v>2016</v>
      </c>
      <c r="B371" s="38" t="s">
        <v>902</v>
      </c>
      <c r="C371" s="38" t="s">
        <v>901</v>
      </c>
      <c r="D371" s="37">
        <v>40312000</v>
      </c>
      <c r="E371" s="36" t="s">
        <v>347</v>
      </c>
      <c r="F371" s="149">
        <v>65739.08</v>
      </c>
      <c r="G371" s="149">
        <v>17557.89</v>
      </c>
      <c r="H371" s="149">
        <v>0</v>
      </c>
      <c r="I371" s="149">
        <v>0</v>
      </c>
      <c r="J371" s="149">
        <v>0</v>
      </c>
      <c r="K371" s="149">
        <v>0</v>
      </c>
      <c r="L371" s="971">
        <v>0</v>
      </c>
      <c r="M371" s="969"/>
      <c r="N371" s="149">
        <v>0</v>
      </c>
      <c r="O371" s="149">
        <v>0</v>
      </c>
      <c r="P371" s="149">
        <v>83296.97</v>
      </c>
    </row>
    <row r="372" spans="1:16" x14ac:dyDescent="0.3">
      <c r="A372" s="34">
        <v>2016</v>
      </c>
      <c r="B372" s="35" t="s">
        <v>902</v>
      </c>
      <c r="C372" s="35" t="s">
        <v>901</v>
      </c>
      <c r="D372" s="34">
        <v>90204000</v>
      </c>
      <c r="E372" s="33" t="s">
        <v>348</v>
      </c>
      <c r="F372" s="148">
        <v>1237042.55</v>
      </c>
      <c r="G372" s="148">
        <v>43779.8</v>
      </c>
      <c r="H372" s="148">
        <v>0</v>
      </c>
      <c r="I372" s="148">
        <v>0</v>
      </c>
      <c r="J372" s="148">
        <v>0</v>
      </c>
      <c r="K372" s="148">
        <v>0</v>
      </c>
      <c r="L372" s="970">
        <v>0</v>
      </c>
      <c r="M372" s="969"/>
      <c r="N372" s="148">
        <v>0</v>
      </c>
      <c r="O372" s="148">
        <v>0</v>
      </c>
      <c r="P372" s="148">
        <v>1280822.3500000001</v>
      </c>
    </row>
    <row r="373" spans="1:16" ht="26.4" x14ac:dyDescent="0.3">
      <c r="A373" s="37">
        <v>2016</v>
      </c>
      <c r="B373" s="38" t="s">
        <v>902</v>
      </c>
      <c r="C373" s="38" t="s">
        <v>901</v>
      </c>
      <c r="D373" s="37">
        <v>78550000</v>
      </c>
      <c r="E373" s="36" t="s">
        <v>1268</v>
      </c>
      <c r="F373" s="149">
        <v>286622.03000000003</v>
      </c>
      <c r="G373" s="149">
        <v>0</v>
      </c>
      <c r="H373" s="149">
        <v>0</v>
      </c>
      <c r="I373" s="149">
        <v>0</v>
      </c>
      <c r="J373" s="149">
        <v>0</v>
      </c>
      <c r="K373" s="149">
        <v>0</v>
      </c>
      <c r="L373" s="971">
        <v>0</v>
      </c>
      <c r="M373" s="969"/>
      <c r="N373" s="149">
        <v>0</v>
      </c>
      <c r="O373" s="149">
        <v>0</v>
      </c>
      <c r="P373" s="149">
        <v>286622.03000000003</v>
      </c>
    </row>
    <row r="374" spans="1:16" ht="26.4" x14ac:dyDescent="0.3">
      <c r="A374" s="34">
        <v>2016</v>
      </c>
      <c r="B374" s="35" t="s">
        <v>902</v>
      </c>
      <c r="C374" s="35" t="s">
        <v>901</v>
      </c>
      <c r="D374" s="34">
        <v>20364000</v>
      </c>
      <c r="E374" s="33" t="s">
        <v>349</v>
      </c>
      <c r="F374" s="148">
        <v>22743.39</v>
      </c>
      <c r="G374" s="148">
        <v>8879.68</v>
      </c>
      <c r="H374" s="148">
        <v>0</v>
      </c>
      <c r="I374" s="148">
        <v>0</v>
      </c>
      <c r="J374" s="148">
        <v>0</v>
      </c>
      <c r="K374" s="148">
        <v>0</v>
      </c>
      <c r="L374" s="970">
        <v>0</v>
      </c>
      <c r="M374" s="969"/>
      <c r="N374" s="148">
        <v>0</v>
      </c>
      <c r="O374" s="148">
        <v>0</v>
      </c>
      <c r="P374" s="148">
        <v>31623.07</v>
      </c>
    </row>
    <row r="375" spans="1:16" ht="52.8" x14ac:dyDescent="0.3">
      <c r="A375" s="37">
        <v>2016</v>
      </c>
      <c r="B375" s="38" t="s">
        <v>902</v>
      </c>
      <c r="C375" s="38" t="s">
        <v>901</v>
      </c>
      <c r="D375" s="37">
        <v>108744000</v>
      </c>
      <c r="E375" s="36" t="s">
        <v>836</v>
      </c>
      <c r="F375" s="149">
        <v>239642.8</v>
      </c>
      <c r="G375" s="149">
        <v>44568.43</v>
      </c>
      <c r="H375" s="149">
        <v>0</v>
      </c>
      <c r="I375" s="149">
        <v>0</v>
      </c>
      <c r="J375" s="149">
        <v>0</v>
      </c>
      <c r="K375" s="149">
        <v>0</v>
      </c>
      <c r="L375" s="971">
        <v>0</v>
      </c>
      <c r="M375" s="969"/>
      <c r="N375" s="149">
        <v>0</v>
      </c>
      <c r="O375" s="149">
        <v>0</v>
      </c>
      <c r="P375" s="149">
        <v>284211.23</v>
      </c>
    </row>
    <row r="376" spans="1:16" ht="52.8" x14ac:dyDescent="0.3">
      <c r="A376" s="34">
        <v>2016</v>
      </c>
      <c r="B376" s="35" t="s">
        <v>902</v>
      </c>
      <c r="C376" s="35" t="s">
        <v>901</v>
      </c>
      <c r="D376" s="34">
        <v>108796000</v>
      </c>
      <c r="E376" s="33" t="s">
        <v>836</v>
      </c>
      <c r="F376" s="148">
        <v>1021353.97</v>
      </c>
      <c r="G376" s="148">
        <v>192487.5</v>
      </c>
      <c r="H376" s="148">
        <v>-14710.25</v>
      </c>
      <c r="I376" s="148">
        <v>0</v>
      </c>
      <c r="J376" s="148">
        <v>0</v>
      </c>
      <c r="K376" s="148">
        <v>0</v>
      </c>
      <c r="L376" s="970">
        <v>0</v>
      </c>
      <c r="M376" s="969"/>
      <c r="N376" s="148">
        <v>0</v>
      </c>
      <c r="O376" s="148">
        <v>0</v>
      </c>
      <c r="P376" s="148">
        <v>1199131.22</v>
      </c>
    </row>
    <row r="377" spans="1:16" ht="26.4" x14ac:dyDescent="0.3">
      <c r="A377" s="37">
        <v>2016</v>
      </c>
      <c r="B377" s="38" t="s">
        <v>902</v>
      </c>
      <c r="C377" s="38" t="s">
        <v>901</v>
      </c>
      <c r="D377" s="37">
        <v>78939000</v>
      </c>
      <c r="E377" s="36" t="s">
        <v>351</v>
      </c>
      <c r="F377" s="149">
        <v>65954.259999999995</v>
      </c>
      <c r="G377" s="149">
        <v>0</v>
      </c>
      <c r="H377" s="149">
        <v>0</v>
      </c>
      <c r="I377" s="149">
        <v>0</v>
      </c>
      <c r="J377" s="149">
        <v>0</v>
      </c>
      <c r="K377" s="149">
        <v>0</v>
      </c>
      <c r="L377" s="971">
        <v>0</v>
      </c>
      <c r="M377" s="969"/>
      <c r="N377" s="149">
        <v>0</v>
      </c>
      <c r="O377" s="149">
        <v>0</v>
      </c>
      <c r="P377" s="149">
        <v>65954.259999999995</v>
      </c>
    </row>
    <row r="378" spans="1:16" x14ac:dyDescent="0.3">
      <c r="A378" s="34">
        <v>2016</v>
      </c>
      <c r="B378" s="35" t="s">
        <v>902</v>
      </c>
      <c r="C378" s="35" t="s">
        <v>901</v>
      </c>
      <c r="D378" s="34">
        <v>130201000</v>
      </c>
      <c r="E378" s="33" t="s">
        <v>352</v>
      </c>
      <c r="F378" s="148">
        <v>663304.92000000004</v>
      </c>
      <c r="G378" s="148">
        <v>194252.77</v>
      </c>
      <c r="H378" s="148">
        <v>0</v>
      </c>
      <c r="I378" s="148">
        <v>0</v>
      </c>
      <c r="J378" s="148">
        <v>0</v>
      </c>
      <c r="K378" s="148">
        <v>0</v>
      </c>
      <c r="L378" s="970">
        <v>0</v>
      </c>
      <c r="M378" s="969"/>
      <c r="N378" s="148">
        <v>0</v>
      </c>
      <c r="O378" s="148">
        <v>0</v>
      </c>
      <c r="P378" s="148">
        <v>857557.69</v>
      </c>
    </row>
    <row r="379" spans="1:16" ht="26.4" x14ac:dyDescent="0.3">
      <c r="A379" s="37">
        <v>2016</v>
      </c>
      <c r="B379" s="38" t="s">
        <v>902</v>
      </c>
      <c r="C379" s="38" t="s">
        <v>901</v>
      </c>
      <c r="D379" s="37">
        <v>78516000</v>
      </c>
      <c r="E379" s="36" t="s">
        <v>353</v>
      </c>
      <c r="F379" s="149">
        <v>87433.75</v>
      </c>
      <c r="G379" s="149">
        <v>0</v>
      </c>
      <c r="H379" s="149">
        <v>0</v>
      </c>
      <c r="I379" s="149">
        <v>0</v>
      </c>
      <c r="J379" s="149">
        <v>0</v>
      </c>
      <c r="K379" s="149">
        <v>0</v>
      </c>
      <c r="L379" s="971">
        <v>0</v>
      </c>
      <c r="M379" s="969"/>
      <c r="N379" s="149">
        <v>0</v>
      </c>
      <c r="O379" s="149">
        <v>0</v>
      </c>
      <c r="P379" s="149">
        <v>87433.75</v>
      </c>
    </row>
    <row r="380" spans="1:16" x14ac:dyDescent="0.3">
      <c r="A380" s="34">
        <v>2016</v>
      </c>
      <c r="B380" s="35" t="s">
        <v>902</v>
      </c>
      <c r="C380" s="35" t="s">
        <v>901</v>
      </c>
      <c r="D380" s="34">
        <v>108778000</v>
      </c>
      <c r="E380" s="33" t="s">
        <v>354</v>
      </c>
      <c r="F380" s="148">
        <v>181290.06</v>
      </c>
      <c r="G380" s="148">
        <v>0</v>
      </c>
      <c r="H380" s="148">
        <v>0</v>
      </c>
      <c r="I380" s="148">
        <v>0</v>
      </c>
      <c r="J380" s="148">
        <v>0</v>
      </c>
      <c r="K380" s="148">
        <v>0</v>
      </c>
      <c r="L380" s="970">
        <v>0</v>
      </c>
      <c r="M380" s="969"/>
      <c r="N380" s="148">
        <v>0</v>
      </c>
      <c r="O380" s="148">
        <v>0</v>
      </c>
      <c r="P380" s="148">
        <v>181290.06</v>
      </c>
    </row>
    <row r="381" spans="1:16" ht="26.4" x14ac:dyDescent="0.3">
      <c r="A381" s="37">
        <v>2016</v>
      </c>
      <c r="B381" s="38" t="s">
        <v>902</v>
      </c>
      <c r="C381" s="38" t="s">
        <v>901</v>
      </c>
      <c r="D381" s="37">
        <v>150404000</v>
      </c>
      <c r="E381" s="36" t="s">
        <v>355</v>
      </c>
      <c r="F381" s="149">
        <v>54054.7</v>
      </c>
      <c r="G381" s="149">
        <v>8724.18</v>
      </c>
      <c r="H381" s="149">
        <v>0</v>
      </c>
      <c r="I381" s="149">
        <v>0</v>
      </c>
      <c r="J381" s="149">
        <v>0</v>
      </c>
      <c r="K381" s="149">
        <v>0</v>
      </c>
      <c r="L381" s="971">
        <v>0</v>
      </c>
      <c r="M381" s="969"/>
      <c r="N381" s="149">
        <v>0</v>
      </c>
      <c r="O381" s="149">
        <v>0</v>
      </c>
      <c r="P381" s="149">
        <v>62778.879999999997</v>
      </c>
    </row>
    <row r="382" spans="1:16" ht="26.4" x14ac:dyDescent="0.3">
      <c r="A382" s="34">
        <v>2016</v>
      </c>
      <c r="B382" s="35" t="s">
        <v>902</v>
      </c>
      <c r="C382" s="35" t="s">
        <v>901</v>
      </c>
      <c r="D382" s="34">
        <v>70295000</v>
      </c>
      <c r="E382" s="33" t="s">
        <v>356</v>
      </c>
      <c r="F382" s="148">
        <v>917801.44</v>
      </c>
      <c r="G382" s="148">
        <v>125267.74</v>
      </c>
      <c r="H382" s="148">
        <v>0</v>
      </c>
      <c r="I382" s="148">
        <v>0</v>
      </c>
      <c r="J382" s="148">
        <v>0</v>
      </c>
      <c r="K382" s="148">
        <v>0</v>
      </c>
      <c r="L382" s="970">
        <v>0</v>
      </c>
      <c r="M382" s="969"/>
      <c r="N382" s="148">
        <v>0</v>
      </c>
      <c r="O382" s="148">
        <v>0</v>
      </c>
      <c r="P382" s="148">
        <v>1043069.18</v>
      </c>
    </row>
    <row r="383" spans="1:16" x14ac:dyDescent="0.3">
      <c r="A383" s="37">
        <v>2016</v>
      </c>
      <c r="B383" s="38" t="s">
        <v>902</v>
      </c>
      <c r="C383" s="38" t="s">
        <v>901</v>
      </c>
      <c r="D383" s="37">
        <v>110203000</v>
      </c>
      <c r="E383" s="36" t="s">
        <v>357</v>
      </c>
      <c r="F383" s="149">
        <v>260005.14</v>
      </c>
      <c r="G383" s="149">
        <v>31615.53</v>
      </c>
      <c r="H383" s="149">
        <v>0</v>
      </c>
      <c r="I383" s="149">
        <v>0</v>
      </c>
      <c r="J383" s="149">
        <v>0</v>
      </c>
      <c r="K383" s="149">
        <v>0</v>
      </c>
      <c r="L383" s="971">
        <v>0</v>
      </c>
      <c r="M383" s="969"/>
      <c r="N383" s="149">
        <v>0</v>
      </c>
      <c r="O383" s="149">
        <v>0</v>
      </c>
      <c r="P383" s="149">
        <v>291620.67</v>
      </c>
    </row>
    <row r="384" spans="1:16" ht="26.4" x14ac:dyDescent="0.3">
      <c r="A384" s="34">
        <v>2016</v>
      </c>
      <c r="B384" s="35" t="s">
        <v>902</v>
      </c>
      <c r="C384" s="35" t="s">
        <v>901</v>
      </c>
      <c r="D384" s="34">
        <v>10227000</v>
      </c>
      <c r="E384" s="33" t="s">
        <v>358</v>
      </c>
      <c r="F384" s="148">
        <v>1361959.54</v>
      </c>
      <c r="G384" s="148">
        <v>274184.96000000002</v>
      </c>
      <c r="H384" s="148">
        <v>0</v>
      </c>
      <c r="I384" s="148">
        <v>0</v>
      </c>
      <c r="J384" s="148">
        <v>0</v>
      </c>
      <c r="K384" s="148">
        <v>0</v>
      </c>
      <c r="L384" s="970">
        <v>0</v>
      </c>
      <c r="M384" s="969"/>
      <c r="N384" s="148">
        <v>0</v>
      </c>
      <c r="O384" s="148">
        <v>0</v>
      </c>
      <c r="P384" s="148">
        <v>1636144.5</v>
      </c>
    </row>
    <row r="385" spans="1:16" ht="26.4" x14ac:dyDescent="0.3">
      <c r="A385" s="37">
        <v>2016</v>
      </c>
      <c r="B385" s="38" t="s">
        <v>902</v>
      </c>
      <c r="C385" s="38" t="s">
        <v>901</v>
      </c>
      <c r="D385" s="37">
        <v>110405000</v>
      </c>
      <c r="E385" s="36" t="s">
        <v>482</v>
      </c>
      <c r="F385" s="149">
        <v>93578.73</v>
      </c>
      <c r="G385" s="149">
        <v>0</v>
      </c>
      <c r="H385" s="149">
        <v>0</v>
      </c>
      <c r="I385" s="149">
        <v>0</v>
      </c>
      <c r="J385" s="149">
        <v>0</v>
      </c>
      <c r="K385" s="149">
        <v>0</v>
      </c>
      <c r="L385" s="971">
        <v>0</v>
      </c>
      <c r="M385" s="969"/>
      <c r="N385" s="149">
        <v>0</v>
      </c>
      <c r="O385" s="149">
        <v>0</v>
      </c>
      <c r="P385" s="149">
        <v>93578.73</v>
      </c>
    </row>
    <row r="386" spans="1:16" ht="26.4" x14ac:dyDescent="0.3">
      <c r="A386" s="34">
        <v>2016</v>
      </c>
      <c r="B386" s="35" t="s">
        <v>902</v>
      </c>
      <c r="C386" s="35" t="s">
        <v>901</v>
      </c>
      <c r="D386" s="34">
        <v>100344000</v>
      </c>
      <c r="E386" s="33" t="s">
        <v>481</v>
      </c>
      <c r="F386" s="148">
        <v>928.16</v>
      </c>
      <c r="G386" s="148">
        <v>0</v>
      </c>
      <c r="H386" s="148">
        <v>0</v>
      </c>
      <c r="I386" s="148">
        <v>0</v>
      </c>
      <c r="J386" s="148">
        <v>0</v>
      </c>
      <c r="K386" s="148">
        <v>-928.16</v>
      </c>
      <c r="L386" s="970">
        <v>0</v>
      </c>
      <c r="M386" s="969"/>
      <c r="N386" s="148">
        <v>0</v>
      </c>
      <c r="O386" s="148">
        <v>0</v>
      </c>
      <c r="P386" s="148">
        <v>0</v>
      </c>
    </row>
    <row r="387" spans="1:16" ht="26.4" x14ac:dyDescent="0.3">
      <c r="A387" s="37">
        <v>2016</v>
      </c>
      <c r="B387" s="38" t="s">
        <v>902</v>
      </c>
      <c r="C387" s="38" t="s">
        <v>901</v>
      </c>
      <c r="D387" s="37">
        <v>78560000</v>
      </c>
      <c r="E387" s="36" t="s">
        <v>359</v>
      </c>
      <c r="F387" s="149">
        <v>78048.44</v>
      </c>
      <c r="G387" s="149">
        <v>56.09</v>
      </c>
      <c r="H387" s="149">
        <v>0</v>
      </c>
      <c r="I387" s="149">
        <v>0</v>
      </c>
      <c r="J387" s="149">
        <v>0</v>
      </c>
      <c r="K387" s="149">
        <v>0</v>
      </c>
      <c r="L387" s="971">
        <v>0</v>
      </c>
      <c r="M387" s="969"/>
      <c r="N387" s="149">
        <v>0</v>
      </c>
      <c r="O387" s="149">
        <v>0</v>
      </c>
      <c r="P387" s="149">
        <v>78104.53</v>
      </c>
    </row>
    <row r="388" spans="1:16" ht="26.4" x14ac:dyDescent="0.3">
      <c r="A388" s="34">
        <v>2016</v>
      </c>
      <c r="B388" s="35" t="s">
        <v>902</v>
      </c>
      <c r="C388" s="35" t="s">
        <v>901</v>
      </c>
      <c r="D388" s="34">
        <v>70402000</v>
      </c>
      <c r="E388" s="33" t="s">
        <v>360</v>
      </c>
      <c r="F388" s="148">
        <v>303936.27</v>
      </c>
      <c r="G388" s="148">
        <v>0</v>
      </c>
      <c r="H388" s="148">
        <v>0</v>
      </c>
      <c r="I388" s="148">
        <v>0</v>
      </c>
      <c r="J388" s="148">
        <v>0</v>
      </c>
      <c r="K388" s="148">
        <v>0</v>
      </c>
      <c r="L388" s="970">
        <v>0</v>
      </c>
      <c r="M388" s="969"/>
      <c r="N388" s="148">
        <v>0</v>
      </c>
      <c r="O388" s="148">
        <v>0</v>
      </c>
      <c r="P388" s="148">
        <v>303936.27</v>
      </c>
    </row>
    <row r="389" spans="1:16" ht="26.4" x14ac:dyDescent="0.3">
      <c r="A389" s="37">
        <v>2016</v>
      </c>
      <c r="B389" s="38" t="s">
        <v>902</v>
      </c>
      <c r="C389" s="38" t="s">
        <v>901</v>
      </c>
      <c r="D389" s="37">
        <v>70466000</v>
      </c>
      <c r="E389" s="36" t="s">
        <v>361</v>
      </c>
      <c r="F389" s="149">
        <v>6156507.8300000001</v>
      </c>
      <c r="G389" s="149">
        <v>943168.56</v>
      </c>
      <c r="H389" s="149">
        <v>0</v>
      </c>
      <c r="I389" s="149">
        <v>0</v>
      </c>
      <c r="J389" s="149">
        <v>0</v>
      </c>
      <c r="K389" s="149">
        <v>0</v>
      </c>
      <c r="L389" s="971">
        <v>0</v>
      </c>
      <c r="M389" s="969"/>
      <c r="N389" s="149">
        <v>0</v>
      </c>
      <c r="O389" s="149">
        <v>0</v>
      </c>
      <c r="P389" s="149">
        <v>7099676.3899999997</v>
      </c>
    </row>
    <row r="390" spans="1:16" ht="26.4" x14ac:dyDescent="0.3">
      <c r="A390" s="34">
        <v>2016</v>
      </c>
      <c r="B390" s="35" t="s">
        <v>902</v>
      </c>
      <c r="C390" s="35" t="s">
        <v>901</v>
      </c>
      <c r="D390" s="34">
        <v>78508000</v>
      </c>
      <c r="E390" s="33" t="s">
        <v>681</v>
      </c>
      <c r="F390" s="148">
        <v>102711.62</v>
      </c>
      <c r="G390" s="148">
        <v>1423.69</v>
      </c>
      <c r="H390" s="148">
        <v>0</v>
      </c>
      <c r="I390" s="148">
        <v>0</v>
      </c>
      <c r="J390" s="148">
        <v>0</v>
      </c>
      <c r="K390" s="148">
        <v>0</v>
      </c>
      <c r="L390" s="970">
        <v>0</v>
      </c>
      <c r="M390" s="969"/>
      <c r="N390" s="148">
        <v>0</v>
      </c>
      <c r="O390" s="148">
        <v>0</v>
      </c>
      <c r="P390" s="148">
        <v>104135.31</v>
      </c>
    </row>
    <row r="391" spans="1:16" ht="26.4" x14ac:dyDescent="0.3">
      <c r="A391" s="37">
        <v>2016</v>
      </c>
      <c r="B391" s="38" t="s">
        <v>902</v>
      </c>
      <c r="C391" s="38" t="s">
        <v>901</v>
      </c>
      <c r="D391" s="37">
        <v>10210000</v>
      </c>
      <c r="E391" s="36" t="s">
        <v>362</v>
      </c>
      <c r="F391" s="149">
        <v>367370.14</v>
      </c>
      <c r="G391" s="149">
        <v>184241.59</v>
      </c>
      <c r="H391" s="149">
        <v>0</v>
      </c>
      <c r="I391" s="149">
        <v>0</v>
      </c>
      <c r="J391" s="149">
        <v>0</v>
      </c>
      <c r="K391" s="149">
        <v>0</v>
      </c>
      <c r="L391" s="971">
        <v>0</v>
      </c>
      <c r="M391" s="969"/>
      <c r="N391" s="149">
        <v>0</v>
      </c>
      <c r="O391" s="149">
        <v>0</v>
      </c>
      <c r="P391" s="149">
        <v>551611.73</v>
      </c>
    </row>
    <row r="392" spans="1:16" ht="26.4" x14ac:dyDescent="0.3">
      <c r="A392" s="34">
        <v>2016</v>
      </c>
      <c r="B392" s="35" t="s">
        <v>902</v>
      </c>
      <c r="C392" s="35" t="s">
        <v>901</v>
      </c>
      <c r="D392" s="34">
        <v>78735000</v>
      </c>
      <c r="E392" s="33" t="s">
        <v>745</v>
      </c>
      <c r="F392" s="148">
        <v>45845.45</v>
      </c>
      <c r="G392" s="148">
        <v>0</v>
      </c>
      <c r="H392" s="148">
        <v>0</v>
      </c>
      <c r="I392" s="148">
        <v>0</v>
      </c>
      <c r="J392" s="148">
        <v>0</v>
      </c>
      <c r="K392" s="148">
        <v>0</v>
      </c>
      <c r="L392" s="970">
        <v>0</v>
      </c>
      <c r="M392" s="969"/>
      <c r="N392" s="148">
        <v>0</v>
      </c>
      <c r="O392" s="148">
        <v>0</v>
      </c>
      <c r="P392" s="148">
        <v>45845.45</v>
      </c>
    </row>
    <row r="393" spans="1:16" ht="26.4" x14ac:dyDescent="0.3">
      <c r="A393" s="37">
        <v>2016</v>
      </c>
      <c r="B393" s="38" t="s">
        <v>902</v>
      </c>
      <c r="C393" s="38" t="s">
        <v>901</v>
      </c>
      <c r="D393" s="37">
        <v>110418000</v>
      </c>
      <c r="E393" s="36" t="s">
        <v>364</v>
      </c>
      <c r="F393" s="149">
        <v>1544570.99</v>
      </c>
      <c r="G393" s="149">
        <v>993907.61</v>
      </c>
      <c r="H393" s="149">
        <v>0</v>
      </c>
      <c r="I393" s="149">
        <v>0</v>
      </c>
      <c r="J393" s="149">
        <v>0</v>
      </c>
      <c r="K393" s="149">
        <v>0</v>
      </c>
      <c r="L393" s="971">
        <v>0</v>
      </c>
      <c r="M393" s="969"/>
      <c r="N393" s="149">
        <v>0</v>
      </c>
      <c r="O393" s="149">
        <v>0</v>
      </c>
      <c r="P393" s="149">
        <v>2538478.6</v>
      </c>
    </row>
    <row r="394" spans="1:16" ht="26.4" x14ac:dyDescent="0.3">
      <c r="A394" s="34">
        <v>2016</v>
      </c>
      <c r="B394" s="35" t="s">
        <v>902</v>
      </c>
      <c r="C394" s="35" t="s">
        <v>901</v>
      </c>
      <c r="D394" s="34">
        <v>70290000</v>
      </c>
      <c r="E394" s="33" t="s">
        <v>365</v>
      </c>
      <c r="F394" s="148">
        <v>253573.31</v>
      </c>
      <c r="G394" s="148">
        <v>122252.1</v>
      </c>
      <c r="H394" s="148">
        <v>0</v>
      </c>
      <c r="I394" s="148">
        <v>0</v>
      </c>
      <c r="J394" s="148">
        <v>0</v>
      </c>
      <c r="K394" s="148">
        <v>0</v>
      </c>
      <c r="L394" s="970">
        <v>0</v>
      </c>
      <c r="M394" s="969"/>
      <c r="N394" s="148">
        <v>0</v>
      </c>
      <c r="O394" s="148">
        <v>0</v>
      </c>
      <c r="P394" s="148">
        <v>375825.41</v>
      </c>
    </row>
    <row r="395" spans="1:16" x14ac:dyDescent="0.3">
      <c r="A395" s="37">
        <v>2016</v>
      </c>
      <c r="B395" s="38" t="s">
        <v>902</v>
      </c>
      <c r="C395" s="38" t="s">
        <v>901</v>
      </c>
      <c r="D395" s="37">
        <v>50201000</v>
      </c>
      <c r="E395" s="36" t="s">
        <v>366</v>
      </c>
      <c r="F395" s="149">
        <v>691272.27</v>
      </c>
      <c r="G395" s="149">
        <v>284127.63</v>
      </c>
      <c r="H395" s="149">
        <v>0</v>
      </c>
      <c r="I395" s="149">
        <v>0</v>
      </c>
      <c r="J395" s="149">
        <v>0</v>
      </c>
      <c r="K395" s="149">
        <v>0</v>
      </c>
      <c r="L395" s="971">
        <v>0</v>
      </c>
      <c r="M395" s="969"/>
      <c r="N395" s="149">
        <v>0</v>
      </c>
      <c r="O395" s="149">
        <v>0</v>
      </c>
      <c r="P395" s="149">
        <v>975399.9</v>
      </c>
    </row>
    <row r="396" spans="1:16" x14ac:dyDescent="0.3">
      <c r="A396" s="34">
        <v>2016</v>
      </c>
      <c r="B396" s="35" t="s">
        <v>902</v>
      </c>
      <c r="C396" s="35" t="s">
        <v>901</v>
      </c>
      <c r="D396" s="34">
        <v>78688000</v>
      </c>
      <c r="E396" s="33" t="s">
        <v>732</v>
      </c>
      <c r="F396" s="148">
        <v>29200.18</v>
      </c>
      <c r="G396" s="148">
        <v>0</v>
      </c>
      <c r="H396" s="148">
        <v>0</v>
      </c>
      <c r="I396" s="148">
        <v>0</v>
      </c>
      <c r="J396" s="148">
        <v>0</v>
      </c>
      <c r="K396" s="148">
        <v>0</v>
      </c>
      <c r="L396" s="970">
        <v>0</v>
      </c>
      <c r="M396" s="969"/>
      <c r="N396" s="148">
        <v>0</v>
      </c>
      <c r="O396" s="148">
        <v>0</v>
      </c>
      <c r="P396" s="148">
        <v>29200.18</v>
      </c>
    </row>
    <row r="397" spans="1:16" ht="26.4" x14ac:dyDescent="0.3">
      <c r="A397" s="37">
        <v>2016</v>
      </c>
      <c r="B397" s="38" t="s">
        <v>902</v>
      </c>
      <c r="C397" s="38" t="s">
        <v>901</v>
      </c>
      <c r="D397" s="37">
        <v>100230000</v>
      </c>
      <c r="E397" s="36" t="s">
        <v>367</v>
      </c>
      <c r="F397" s="149">
        <v>436215.96</v>
      </c>
      <c r="G397" s="149">
        <v>15958.09</v>
      </c>
      <c r="H397" s="149">
        <v>-21658.31</v>
      </c>
      <c r="I397" s="149">
        <v>0</v>
      </c>
      <c r="J397" s="149">
        <v>0</v>
      </c>
      <c r="K397" s="149">
        <v>0</v>
      </c>
      <c r="L397" s="971">
        <v>0</v>
      </c>
      <c r="M397" s="969"/>
      <c r="N397" s="149">
        <v>0</v>
      </c>
      <c r="O397" s="149">
        <v>0</v>
      </c>
      <c r="P397" s="149">
        <v>430515.74</v>
      </c>
    </row>
    <row r="398" spans="1:16" ht="26.4" x14ac:dyDescent="0.3">
      <c r="A398" s="34">
        <v>2016</v>
      </c>
      <c r="B398" s="35" t="s">
        <v>902</v>
      </c>
      <c r="C398" s="35" t="s">
        <v>901</v>
      </c>
      <c r="D398" s="34">
        <v>150430000</v>
      </c>
      <c r="E398" s="33" t="s">
        <v>368</v>
      </c>
      <c r="F398" s="148">
        <v>80219.56</v>
      </c>
      <c r="G398" s="148">
        <v>12284.66</v>
      </c>
      <c r="H398" s="148">
        <v>0</v>
      </c>
      <c r="I398" s="148">
        <v>0</v>
      </c>
      <c r="J398" s="148">
        <v>0</v>
      </c>
      <c r="K398" s="148">
        <v>0</v>
      </c>
      <c r="L398" s="970">
        <v>0</v>
      </c>
      <c r="M398" s="969"/>
      <c r="N398" s="148">
        <v>0</v>
      </c>
      <c r="O398" s="148">
        <v>0</v>
      </c>
      <c r="P398" s="148">
        <v>92504.22</v>
      </c>
    </row>
    <row r="399" spans="1:16" ht="39.6" x14ac:dyDescent="0.3">
      <c r="A399" s="37">
        <v>2016</v>
      </c>
      <c r="B399" s="38" t="s">
        <v>902</v>
      </c>
      <c r="C399" s="38" t="s">
        <v>901</v>
      </c>
      <c r="D399" s="37">
        <v>78656000</v>
      </c>
      <c r="E399" s="36" t="s">
        <v>369</v>
      </c>
      <c r="F399" s="149">
        <v>58545.75</v>
      </c>
      <c r="G399" s="149">
        <v>3812.38</v>
      </c>
      <c r="H399" s="149">
        <v>0</v>
      </c>
      <c r="I399" s="149">
        <v>0</v>
      </c>
      <c r="J399" s="149">
        <v>0</v>
      </c>
      <c r="K399" s="149">
        <v>0</v>
      </c>
      <c r="L399" s="971">
        <v>0</v>
      </c>
      <c r="M399" s="969"/>
      <c r="N399" s="149">
        <v>0</v>
      </c>
      <c r="O399" s="149">
        <v>0</v>
      </c>
      <c r="P399" s="149">
        <v>62358.13</v>
      </c>
    </row>
    <row r="400" spans="1:16" ht="26.4" x14ac:dyDescent="0.3">
      <c r="A400" s="34">
        <v>2016</v>
      </c>
      <c r="B400" s="35" t="s">
        <v>902</v>
      </c>
      <c r="C400" s="35" t="s">
        <v>901</v>
      </c>
      <c r="D400" s="34">
        <v>40220000</v>
      </c>
      <c r="E400" s="33" t="s">
        <v>370</v>
      </c>
      <c r="F400" s="148">
        <v>934387.34</v>
      </c>
      <c r="G400" s="148">
        <v>42898.18</v>
      </c>
      <c r="H400" s="148">
        <v>0</v>
      </c>
      <c r="I400" s="148">
        <v>0</v>
      </c>
      <c r="J400" s="148">
        <v>0</v>
      </c>
      <c r="K400" s="148">
        <v>0</v>
      </c>
      <c r="L400" s="970">
        <v>0</v>
      </c>
      <c r="M400" s="969"/>
      <c r="N400" s="148">
        <v>0</v>
      </c>
      <c r="O400" s="148">
        <v>0</v>
      </c>
      <c r="P400" s="148">
        <v>977285.52</v>
      </c>
    </row>
    <row r="401" spans="1:16" ht="26.4" x14ac:dyDescent="0.3">
      <c r="A401" s="37">
        <v>2016</v>
      </c>
      <c r="B401" s="38" t="s">
        <v>902</v>
      </c>
      <c r="C401" s="38" t="s">
        <v>901</v>
      </c>
      <c r="D401" s="37">
        <v>100335000</v>
      </c>
      <c r="E401" s="36" t="s">
        <v>371</v>
      </c>
      <c r="F401" s="149">
        <v>0</v>
      </c>
      <c r="G401" s="149">
        <v>0</v>
      </c>
      <c r="H401" s="149">
        <v>0</v>
      </c>
      <c r="I401" s="149">
        <v>0</v>
      </c>
      <c r="J401" s="149">
        <v>0</v>
      </c>
      <c r="K401" s="149">
        <v>0</v>
      </c>
      <c r="L401" s="971">
        <v>0</v>
      </c>
      <c r="M401" s="969"/>
      <c r="N401" s="149">
        <v>0</v>
      </c>
      <c r="O401" s="149">
        <v>0</v>
      </c>
      <c r="P401" s="149">
        <v>0</v>
      </c>
    </row>
    <row r="402" spans="1:16" ht="26.4" x14ac:dyDescent="0.3">
      <c r="A402" s="34">
        <v>2016</v>
      </c>
      <c r="B402" s="35" t="s">
        <v>902</v>
      </c>
      <c r="C402" s="35" t="s">
        <v>901</v>
      </c>
      <c r="D402" s="34">
        <v>20218000</v>
      </c>
      <c r="E402" s="33" t="s">
        <v>372</v>
      </c>
      <c r="F402" s="148">
        <v>15894.66</v>
      </c>
      <c r="G402" s="148">
        <v>15483.65</v>
      </c>
      <c r="H402" s="148">
        <v>0</v>
      </c>
      <c r="I402" s="148">
        <v>0</v>
      </c>
      <c r="J402" s="148">
        <v>0</v>
      </c>
      <c r="K402" s="148">
        <v>0</v>
      </c>
      <c r="L402" s="970">
        <v>0</v>
      </c>
      <c r="M402" s="969"/>
      <c r="N402" s="148">
        <v>0</v>
      </c>
      <c r="O402" s="148">
        <v>0</v>
      </c>
      <c r="P402" s="148">
        <v>31378.31</v>
      </c>
    </row>
    <row r="403" spans="1:16" ht="26.4" x14ac:dyDescent="0.3">
      <c r="A403" s="37">
        <v>2016</v>
      </c>
      <c r="B403" s="38" t="s">
        <v>902</v>
      </c>
      <c r="C403" s="38" t="s">
        <v>901</v>
      </c>
      <c r="D403" s="37">
        <v>78539000</v>
      </c>
      <c r="E403" s="36" t="s">
        <v>701</v>
      </c>
      <c r="F403" s="149">
        <v>54244.97</v>
      </c>
      <c r="G403" s="149">
        <v>0</v>
      </c>
      <c r="H403" s="149">
        <v>0</v>
      </c>
      <c r="I403" s="149">
        <v>0</v>
      </c>
      <c r="J403" s="149">
        <v>0</v>
      </c>
      <c r="K403" s="149">
        <v>0</v>
      </c>
      <c r="L403" s="971">
        <v>0</v>
      </c>
      <c r="M403" s="969"/>
      <c r="N403" s="149">
        <v>-2161.69</v>
      </c>
      <c r="O403" s="149">
        <v>0</v>
      </c>
      <c r="P403" s="149">
        <v>52083.28</v>
      </c>
    </row>
    <row r="404" spans="1:16" x14ac:dyDescent="0.3">
      <c r="A404" s="34">
        <v>2016</v>
      </c>
      <c r="B404" s="35" t="s">
        <v>902</v>
      </c>
      <c r="C404" s="35" t="s">
        <v>901</v>
      </c>
      <c r="D404" s="34">
        <v>10218000</v>
      </c>
      <c r="E404" s="33" t="s">
        <v>374</v>
      </c>
      <c r="F404" s="148">
        <v>890924.54</v>
      </c>
      <c r="G404" s="148">
        <v>77325.13</v>
      </c>
      <c r="H404" s="148">
        <v>0</v>
      </c>
      <c r="I404" s="148">
        <v>0</v>
      </c>
      <c r="J404" s="148">
        <v>0</v>
      </c>
      <c r="K404" s="148">
        <v>0</v>
      </c>
      <c r="L404" s="970">
        <v>0</v>
      </c>
      <c r="M404" s="969"/>
      <c r="N404" s="148">
        <v>0</v>
      </c>
      <c r="O404" s="148">
        <v>0</v>
      </c>
      <c r="P404" s="148">
        <v>968249.67</v>
      </c>
    </row>
    <row r="405" spans="1:16" ht="26.4" x14ac:dyDescent="0.3">
      <c r="A405" s="37">
        <v>2016</v>
      </c>
      <c r="B405" s="38" t="s">
        <v>902</v>
      </c>
      <c r="C405" s="38" t="s">
        <v>901</v>
      </c>
      <c r="D405" s="37">
        <v>120328000</v>
      </c>
      <c r="E405" s="36" t="s">
        <v>375</v>
      </c>
      <c r="F405" s="149">
        <v>134514.47</v>
      </c>
      <c r="G405" s="149">
        <v>65024.67</v>
      </c>
      <c r="H405" s="149">
        <v>0</v>
      </c>
      <c r="I405" s="149">
        <v>0</v>
      </c>
      <c r="J405" s="149">
        <v>0</v>
      </c>
      <c r="K405" s="149">
        <v>0</v>
      </c>
      <c r="L405" s="971">
        <v>0</v>
      </c>
      <c r="M405" s="969"/>
      <c r="N405" s="149">
        <v>0</v>
      </c>
      <c r="O405" s="149">
        <v>0</v>
      </c>
      <c r="P405" s="149">
        <v>199539.14</v>
      </c>
    </row>
    <row r="406" spans="1:16" ht="26.4" x14ac:dyDescent="0.3">
      <c r="A406" s="34">
        <v>2016</v>
      </c>
      <c r="B406" s="35" t="s">
        <v>902</v>
      </c>
      <c r="C406" s="35" t="s">
        <v>901</v>
      </c>
      <c r="D406" s="34">
        <v>120235000</v>
      </c>
      <c r="E406" s="33" t="s">
        <v>376</v>
      </c>
      <c r="F406" s="148">
        <v>1051950.67</v>
      </c>
      <c r="G406" s="148">
        <v>356811.52000000002</v>
      </c>
      <c r="H406" s="148">
        <v>-228289.24</v>
      </c>
      <c r="I406" s="148">
        <v>0</v>
      </c>
      <c r="J406" s="148">
        <v>0</v>
      </c>
      <c r="K406" s="148">
        <v>0</v>
      </c>
      <c r="L406" s="970">
        <v>0</v>
      </c>
      <c r="M406" s="969"/>
      <c r="N406" s="148">
        <v>0</v>
      </c>
      <c r="O406" s="148">
        <v>0</v>
      </c>
      <c r="P406" s="148">
        <v>1180472.95</v>
      </c>
    </row>
    <row r="407" spans="1:16" ht="39.6" x14ac:dyDescent="0.3">
      <c r="A407" s="37">
        <v>2016</v>
      </c>
      <c r="B407" s="38" t="s">
        <v>902</v>
      </c>
      <c r="C407" s="38" t="s">
        <v>901</v>
      </c>
      <c r="D407" s="37">
        <v>110540000</v>
      </c>
      <c r="E407" s="36" t="s">
        <v>377</v>
      </c>
      <c r="F407" s="149">
        <v>189134.19</v>
      </c>
      <c r="G407" s="149">
        <v>31474.53</v>
      </c>
      <c r="H407" s="149">
        <v>0</v>
      </c>
      <c r="I407" s="149">
        <v>0</v>
      </c>
      <c r="J407" s="149">
        <v>0</v>
      </c>
      <c r="K407" s="149">
        <v>0</v>
      </c>
      <c r="L407" s="971">
        <v>0</v>
      </c>
      <c r="M407" s="969"/>
      <c r="N407" s="149">
        <v>0</v>
      </c>
      <c r="O407" s="149">
        <v>0</v>
      </c>
      <c r="P407" s="149">
        <v>220608.72</v>
      </c>
    </row>
    <row r="408" spans="1:16" ht="39.6" x14ac:dyDescent="0.3">
      <c r="A408" s="34">
        <v>2016</v>
      </c>
      <c r="B408" s="35" t="s">
        <v>902</v>
      </c>
      <c r="C408" s="35" t="s">
        <v>901</v>
      </c>
      <c r="D408" s="34">
        <v>78962000</v>
      </c>
      <c r="E408" s="33" t="s">
        <v>787</v>
      </c>
      <c r="F408" s="148">
        <v>19915.669999999998</v>
      </c>
      <c r="G408" s="148">
        <v>1232.27</v>
      </c>
      <c r="H408" s="148">
        <v>-194.89</v>
      </c>
      <c r="I408" s="148">
        <v>0</v>
      </c>
      <c r="J408" s="148">
        <v>0</v>
      </c>
      <c r="K408" s="148">
        <v>0</v>
      </c>
      <c r="L408" s="970">
        <v>0</v>
      </c>
      <c r="M408" s="969"/>
      <c r="N408" s="148">
        <v>0</v>
      </c>
      <c r="O408" s="148">
        <v>0</v>
      </c>
      <c r="P408" s="148">
        <v>20953.05</v>
      </c>
    </row>
    <row r="409" spans="1:16" ht="26.4" x14ac:dyDescent="0.3">
      <c r="A409" s="37">
        <v>2016</v>
      </c>
      <c r="B409" s="38" t="s">
        <v>902</v>
      </c>
      <c r="C409" s="38" t="s">
        <v>901</v>
      </c>
      <c r="D409" s="37">
        <v>70248000</v>
      </c>
      <c r="E409" s="36" t="s">
        <v>379</v>
      </c>
      <c r="F409" s="149">
        <v>2861896.39</v>
      </c>
      <c r="G409" s="149">
        <v>184863.09</v>
      </c>
      <c r="H409" s="149">
        <v>0</v>
      </c>
      <c r="I409" s="149">
        <v>0</v>
      </c>
      <c r="J409" s="149">
        <v>0</v>
      </c>
      <c r="K409" s="149">
        <v>0</v>
      </c>
      <c r="L409" s="971">
        <v>0</v>
      </c>
      <c r="M409" s="969"/>
      <c r="N409" s="149">
        <v>0</v>
      </c>
      <c r="O409" s="149">
        <v>0</v>
      </c>
      <c r="P409" s="149">
        <v>3046759.48</v>
      </c>
    </row>
    <row r="410" spans="1:16" ht="26.4" x14ac:dyDescent="0.3">
      <c r="A410" s="34">
        <v>2016</v>
      </c>
      <c r="B410" s="35" t="s">
        <v>902</v>
      </c>
      <c r="C410" s="35" t="s">
        <v>901</v>
      </c>
      <c r="D410" s="34">
        <v>138708000</v>
      </c>
      <c r="E410" s="33" t="s">
        <v>866</v>
      </c>
      <c r="F410" s="148">
        <v>31851.34</v>
      </c>
      <c r="G410" s="148">
        <v>0</v>
      </c>
      <c r="H410" s="148">
        <v>0</v>
      </c>
      <c r="I410" s="148">
        <v>0</v>
      </c>
      <c r="J410" s="148">
        <v>0</v>
      </c>
      <c r="K410" s="148">
        <v>0</v>
      </c>
      <c r="L410" s="970">
        <v>0</v>
      </c>
      <c r="M410" s="969"/>
      <c r="N410" s="148">
        <v>-600.34</v>
      </c>
      <c r="O410" s="148">
        <v>0</v>
      </c>
      <c r="P410" s="148">
        <v>31251</v>
      </c>
    </row>
    <row r="411" spans="1:16" ht="26.4" x14ac:dyDescent="0.3">
      <c r="A411" s="37">
        <v>2016</v>
      </c>
      <c r="B411" s="38" t="s">
        <v>902</v>
      </c>
      <c r="C411" s="38" t="s">
        <v>901</v>
      </c>
      <c r="D411" s="37">
        <v>130209000</v>
      </c>
      <c r="E411" s="36" t="s">
        <v>381</v>
      </c>
      <c r="F411" s="149">
        <v>266584.48</v>
      </c>
      <c r="G411" s="149">
        <v>68853.460000000006</v>
      </c>
      <c r="H411" s="149">
        <v>0</v>
      </c>
      <c r="I411" s="149">
        <v>0</v>
      </c>
      <c r="J411" s="149">
        <v>0</v>
      </c>
      <c r="K411" s="149">
        <v>0</v>
      </c>
      <c r="L411" s="971">
        <v>0</v>
      </c>
      <c r="M411" s="969"/>
      <c r="N411" s="149">
        <v>0</v>
      </c>
      <c r="O411" s="149">
        <v>0</v>
      </c>
      <c r="P411" s="149">
        <v>335437.94</v>
      </c>
    </row>
    <row r="412" spans="1:16" ht="26.4" x14ac:dyDescent="0.3">
      <c r="A412" s="34">
        <v>2016</v>
      </c>
      <c r="B412" s="35" t="s">
        <v>902</v>
      </c>
      <c r="C412" s="35" t="s">
        <v>901</v>
      </c>
      <c r="D412" s="34">
        <v>78256000</v>
      </c>
      <c r="E412" s="33" t="s">
        <v>1254</v>
      </c>
      <c r="F412" s="148">
        <v>83606.929999999993</v>
      </c>
      <c r="G412" s="148">
        <v>0</v>
      </c>
      <c r="H412" s="148">
        <v>0</v>
      </c>
      <c r="I412" s="148">
        <v>0</v>
      </c>
      <c r="J412" s="148">
        <v>0</v>
      </c>
      <c r="K412" s="148">
        <v>0</v>
      </c>
      <c r="L412" s="970">
        <v>0</v>
      </c>
      <c r="M412" s="969"/>
      <c r="N412" s="148">
        <v>0</v>
      </c>
      <c r="O412" s="148">
        <v>0</v>
      </c>
      <c r="P412" s="148">
        <v>83606.929999999993</v>
      </c>
    </row>
    <row r="413" spans="1:16" ht="26.4" x14ac:dyDescent="0.3">
      <c r="A413" s="37">
        <v>2016</v>
      </c>
      <c r="B413" s="38" t="s">
        <v>902</v>
      </c>
      <c r="C413" s="38" t="s">
        <v>901</v>
      </c>
      <c r="D413" s="37">
        <v>130240000</v>
      </c>
      <c r="E413" s="36" t="s">
        <v>382</v>
      </c>
      <c r="F413" s="149">
        <v>21550.94</v>
      </c>
      <c r="G413" s="149">
        <v>2630.28</v>
      </c>
      <c r="H413" s="149">
        <v>0</v>
      </c>
      <c r="I413" s="149">
        <v>0</v>
      </c>
      <c r="J413" s="149">
        <v>0</v>
      </c>
      <c r="K413" s="149">
        <v>0</v>
      </c>
      <c r="L413" s="971">
        <v>0</v>
      </c>
      <c r="M413" s="969"/>
      <c r="N413" s="149">
        <v>0</v>
      </c>
      <c r="O413" s="149">
        <v>0</v>
      </c>
      <c r="P413" s="149">
        <v>24181.22</v>
      </c>
    </row>
    <row r="414" spans="1:16" ht="26.4" x14ac:dyDescent="0.3">
      <c r="A414" s="34">
        <v>2016</v>
      </c>
      <c r="B414" s="35" t="s">
        <v>902</v>
      </c>
      <c r="C414" s="35" t="s">
        <v>901</v>
      </c>
      <c r="D414" s="34">
        <v>70371000</v>
      </c>
      <c r="E414" s="33" t="s">
        <v>476</v>
      </c>
      <c r="F414" s="148">
        <v>1984.15</v>
      </c>
      <c r="G414" s="148">
        <v>0</v>
      </c>
      <c r="H414" s="148">
        <v>0</v>
      </c>
      <c r="I414" s="148">
        <v>0</v>
      </c>
      <c r="J414" s="148">
        <v>0</v>
      </c>
      <c r="K414" s="148">
        <v>0</v>
      </c>
      <c r="L414" s="970">
        <v>0</v>
      </c>
      <c r="M414" s="969"/>
      <c r="N414" s="148">
        <v>0</v>
      </c>
      <c r="O414" s="148">
        <v>0</v>
      </c>
      <c r="P414" s="148">
        <v>1984.15</v>
      </c>
    </row>
    <row r="415" spans="1:16" ht="39.6" x14ac:dyDescent="0.3">
      <c r="A415" s="37">
        <v>2016</v>
      </c>
      <c r="B415" s="38" t="s">
        <v>902</v>
      </c>
      <c r="C415" s="38" t="s">
        <v>901</v>
      </c>
      <c r="D415" s="37">
        <v>98746000</v>
      </c>
      <c r="E415" s="36" t="s">
        <v>809</v>
      </c>
      <c r="F415" s="149">
        <v>27750.03</v>
      </c>
      <c r="G415" s="149">
        <v>17929.37</v>
      </c>
      <c r="H415" s="149">
        <v>0</v>
      </c>
      <c r="I415" s="149">
        <v>0</v>
      </c>
      <c r="J415" s="149">
        <v>0</v>
      </c>
      <c r="K415" s="149">
        <v>0</v>
      </c>
      <c r="L415" s="971">
        <v>0</v>
      </c>
      <c r="M415" s="969"/>
      <c r="N415" s="149">
        <v>0</v>
      </c>
      <c r="O415" s="149">
        <v>0</v>
      </c>
      <c r="P415" s="149">
        <v>45679.4</v>
      </c>
    </row>
    <row r="416" spans="1:16" ht="26.4" x14ac:dyDescent="0.3">
      <c r="A416" s="34">
        <v>2016</v>
      </c>
      <c r="B416" s="35" t="s">
        <v>902</v>
      </c>
      <c r="C416" s="35" t="s">
        <v>901</v>
      </c>
      <c r="D416" s="34">
        <v>90210000</v>
      </c>
      <c r="E416" s="33" t="s">
        <v>383</v>
      </c>
      <c r="F416" s="148">
        <v>1008768.28</v>
      </c>
      <c r="G416" s="148">
        <v>0</v>
      </c>
      <c r="H416" s="148">
        <v>0</v>
      </c>
      <c r="I416" s="148">
        <v>0</v>
      </c>
      <c r="J416" s="148">
        <v>0</v>
      </c>
      <c r="K416" s="148">
        <v>0</v>
      </c>
      <c r="L416" s="970">
        <v>0</v>
      </c>
      <c r="M416" s="969"/>
      <c r="N416" s="148">
        <v>0</v>
      </c>
      <c r="O416" s="148">
        <v>0</v>
      </c>
      <c r="P416" s="148">
        <v>1008768.28</v>
      </c>
    </row>
    <row r="417" spans="1:16" ht="26.4" x14ac:dyDescent="0.3">
      <c r="A417" s="37">
        <v>2016</v>
      </c>
      <c r="B417" s="38" t="s">
        <v>902</v>
      </c>
      <c r="C417" s="38" t="s">
        <v>901</v>
      </c>
      <c r="D417" s="37">
        <v>20268000</v>
      </c>
      <c r="E417" s="36" t="s">
        <v>384</v>
      </c>
      <c r="F417" s="149">
        <v>932297.33</v>
      </c>
      <c r="G417" s="149">
        <v>128560.88</v>
      </c>
      <c r="H417" s="149">
        <v>0</v>
      </c>
      <c r="I417" s="149">
        <v>0</v>
      </c>
      <c r="J417" s="149">
        <v>0</v>
      </c>
      <c r="K417" s="149">
        <v>0</v>
      </c>
      <c r="L417" s="971">
        <v>0</v>
      </c>
      <c r="M417" s="969"/>
      <c r="N417" s="149">
        <v>0</v>
      </c>
      <c r="O417" s="149">
        <v>0</v>
      </c>
      <c r="P417" s="149">
        <v>1060858.21</v>
      </c>
    </row>
    <row r="418" spans="1:16" ht="26.4" x14ac:dyDescent="0.3">
      <c r="A418" s="34">
        <v>2016</v>
      </c>
      <c r="B418" s="35" t="s">
        <v>902</v>
      </c>
      <c r="C418" s="35" t="s">
        <v>901</v>
      </c>
      <c r="D418" s="34">
        <v>130315000</v>
      </c>
      <c r="E418" s="33" t="s">
        <v>475</v>
      </c>
      <c r="F418" s="148">
        <v>12254.12</v>
      </c>
      <c r="G418" s="148">
        <v>0</v>
      </c>
      <c r="H418" s="148">
        <v>0</v>
      </c>
      <c r="I418" s="148">
        <v>0</v>
      </c>
      <c r="J418" s="148">
        <v>0</v>
      </c>
      <c r="K418" s="148">
        <v>0</v>
      </c>
      <c r="L418" s="970">
        <v>0</v>
      </c>
      <c r="M418" s="969"/>
      <c r="N418" s="148">
        <v>0</v>
      </c>
      <c r="O418" s="148">
        <v>0</v>
      </c>
      <c r="P418" s="148">
        <v>12254.12</v>
      </c>
    </row>
    <row r="419" spans="1:16" ht="26.4" x14ac:dyDescent="0.3">
      <c r="A419" s="37">
        <v>2016</v>
      </c>
      <c r="B419" s="38" t="s">
        <v>902</v>
      </c>
      <c r="C419" s="38" t="s">
        <v>901</v>
      </c>
      <c r="D419" s="37">
        <v>78566000</v>
      </c>
      <c r="E419" s="36" t="s">
        <v>714</v>
      </c>
      <c r="F419" s="149">
        <v>46903.81</v>
      </c>
      <c r="G419" s="149">
        <v>8730.84</v>
      </c>
      <c r="H419" s="149">
        <v>0</v>
      </c>
      <c r="I419" s="149">
        <v>0</v>
      </c>
      <c r="J419" s="149">
        <v>0</v>
      </c>
      <c r="K419" s="149">
        <v>0</v>
      </c>
      <c r="L419" s="971">
        <v>0</v>
      </c>
      <c r="M419" s="969"/>
      <c r="N419" s="149">
        <v>0</v>
      </c>
      <c r="O419" s="149">
        <v>0</v>
      </c>
      <c r="P419" s="149">
        <v>55634.65</v>
      </c>
    </row>
    <row r="420" spans="1:16" x14ac:dyDescent="0.3">
      <c r="A420" s="34">
        <v>2016</v>
      </c>
      <c r="B420" s="35" t="s">
        <v>902</v>
      </c>
      <c r="C420" s="35" t="s">
        <v>901</v>
      </c>
      <c r="D420" s="34">
        <v>78914000</v>
      </c>
      <c r="E420" s="33" t="s">
        <v>767</v>
      </c>
      <c r="F420" s="148">
        <v>61191.65</v>
      </c>
      <c r="G420" s="148">
        <v>6547.64</v>
      </c>
      <c r="H420" s="148">
        <v>0</v>
      </c>
      <c r="I420" s="148">
        <v>0</v>
      </c>
      <c r="J420" s="148">
        <v>0</v>
      </c>
      <c r="K420" s="148">
        <v>0</v>
      </c>
      <c r="L420" s="970">
        <v>0</v>
      </c>
      <c r="M420" s="969"/>
      <c r="N420" s="148">
        <v>-2529.3000000000002</v>
      </c>
      <c r="O420" s="148">
        <v>0</v>
      </c>
      <c r="P420" s="148">
        <v>65209.99</v>
      </c>
    </row>
    <row r="421" spans="1:16" x14ac:dyDescent="0.3">
      <c r="A421" s="37">
        <v>2016</v>
      </c>
      <c r="B421" s="38" t="s">
        <v>902</v>
      </c>
      <c r="C421" s="38" t="s">
        <v>901</v>
      </c>
      <c r="D421" s="37">
        <v>138752000</v>
      </c>
      <c r="E421" s="36" t="s">
        <v>868</v>
      </c>
      <c r="F421" s="149">
        <v>37993.25</v>
      </c>
      <c r="G421" s="149">
        <v>3657.83</v>
      </c>
      <c r="H421" s="149">
        <v>-296.67</v>
      </c>
      <c r="I421" s="149">
        <v>0</v>
      </c>
      <c r="J421" s="149">
        <v>0</v>
      </c>
      <c r="K421" s="149">
        <v>0</v>
      </c>
      <c r="L421" s="971">
        <v>0</v>
      </c>
      <c r="M421" s="969"/>
      <c r="N421" s="149">
        <v>0</v>
      </c>
      <c r="O421" s="149">
        <v>0</v>
      </c>
      <c r="P421" s="149">
        <v>41354.410000000003</v>
      </c>
    </row>
    <row r="422" spans="1:16" ht="26.4" x14ac:dyDescent="0.3">
      <c r="A422" s="34">
        <v>2016</v>
      </c>
      <c r="B422" s="35" t="s">
        <v>902</v>
      </c>
      <c r="C422" s="35" t="s">
        <v>901</v>
      </c>
      <c r="D422" s="34">
        <v>90205000</v>
      </c>
      <c r="E422" s="33" t="s">
        <v>388</v>
      </c>
      <c r="F422" s="148">
        <v>619101.9</v>
      </c>
      <c r="G422" s="148">
        <v>58468.4</v>
      </c>
      <c r="H422" s="148">
        <v>0</v>
      </c>
      <c r="I422" s="148">
        <v>0</v>
      </c>
      <c r="J422" s="148">
        <v>0</v>
      </c>
      <c r="K422" s="148">
        <v>0</v>
      </c>
      <c r="L422" s="970">
        <v>0</v>
      </c>
      <c r="M422" s="969"/>
      <c r="N422" s="148">
        <v>0</v>
      </c>
      <c r="O422" s="148">
        <v>0</v>
      </c>
      <c r="P422" s="148">
        <v>677570.3</v>
      </c>
    </row>
    <row r="423" spans="1:16" ht="26.4" x14ac:dyDescent="0.3">
      <c r="A423" s="37">
        <v>2016</v>
      </c>
      <c r="B423" s="38" t="s">
        <v>902</v>
      </c>
      <c r="C423" s="38" t="s">
        <v>901</v>
      </c>
      <c r="D423" s="37">
        <v>50305000</v>
      </c>
      <c r="E423" s="36" t="s">
        <v>389</v>
      </c>
      <c r="F423" s="149">
        <v>136228.17000000001</v>
      </c>
      <c r="G423" s="149">
        <v>50785.33</v>
      </c>
      <c r="H423" s="149">
        <v>0</v>
      </c>
      <c r="I423" s="149">
        <v>0</v>
      </c>
      <c r="J423" s="149">
        <v>0</v>
      </c>
      <c r="K423" s="149">
        <v>0</v>
      </c>
      <c r="L423" s="971">
        <v>0</v>
      </c>
      <c r="M423" s="969"/>
      <c r="N423" s="149">
        <v>0</v>
      </c>
      <c r="O423" s="149">
        <v>0</v>
      </c>
      <c r="P423" s="149">
        <v>187013.5</v>
      </c>
    </row>
    <row r="424" spans="1:16" ht="26.4" x14ac:dyDescent="0.3">
      <c r="A424" s="34">
        <v>2016</v>
      </c>
      <c r="B424" s="35" t="s">
        <v>902</v>
      </c>
      <c r="C424" s="35" t="s">
        <v>901</v>
      </c>
      <c r="D424" s="34">
        <v>140411000</v>
      </c>
      <c r="E424" s="33" t="s">
        <v>390</v>
      </c>
      <c r="F424" s="148">
        <v>1181145.42</v>
      </c>
      <c r="G424" s="148">
        <v>97019.61</v>
      </c>
      <c r="H424" s="148">
        <v>0</v>
      </c>
      <c r="I424" s="148">
        <v>0</v>
      </c>
      <c r="J424" s="148">
        <v>0</v>
      </c>
      <c r="K424" s="148">
        <v>0</v>
      </c>
      <c r="L424" s="970">
        <v>0</v>
      </c>
      <c r="M424" s="969"/>
      <c r="N424" s="148">
        <v>0</v>
      </c>
      <c r="O424" s="148">
        <v>0</v>
      </c>
      <c r="P424" s="148">
        <v>1278165.03</v>
      </c>
    </row>
    <row r="425" spans="1:16" ht="26.4" x14ac:dyDescent="0.3">
      <c r="A425" s="37">
        <v>2016</v>
      </c>
      <c r="B425" s="38" t="s">
        <v>902</v>
      </c>
      <c r="C425" s="38" t="s">
        <v>901</v>
      </c>
      <c r="D425" s="37">
        <v>120425000</v>
      </c>
      <c r="E425" s="36" t="s">
        <v>391</v>
      </c>
      <c r="F425" s="149">
        <v>22269.3</v>
      </c>
      <c r="G425" s="149">
        <v>0</v>
      </c>
      <c r="H425" s="149">
        <v>0</v>
      </c>
      <c r="I425" s="149">
        <v>0</v>
      </c>
      <c r="J425" s="149">
        <v>0</v>
      </c>
      <c r="K425" s="149">
        <v>0</v>
      </c>
      <c r="L425" s="971">
        <v>0</v>
      </c>
      <c r="M425" s="969"/>
      <c r="N425" s="149">
        <v>0</v>
      </c>
      <c r="O425" s="149">
        <v>0</v>
      </c>
      <c r="P425" s="149">
        <v>22269.3</v>
      </c>
    </row>
    <row r="426" spans="1:16" ht="26.4" x14ac:dyDescent="0.3">
      <c r="A426" s="34">
        <v>2016</v>
      </c>
      <c r="B426" s="35" t="s">
        <v>902</v>
      </c>
      <c r="C426" s="35" t="s">
        <v>901</v>
      </c>
      <c r="D426" s="34">
        <v>108503000</v>
      </c>
      <c r="E426" s="33" t="s">
        <v>392</v>
      </c>
      <c r="F426" s="148">
        <v>119651.44</v>
      </c>
      <c r="G426" s="148">
        <v>0</v>
      </c>
      <c r="H426" s="148">
        <v>0</v>
      </c>
      <c r="I426" s="148">
        <v>0</v>
      </c>
      <c r="J426" s="148">
        <v>0</v>
      </c>
      <c r="K426" s="148">
        <v>0</v>
      </c>
      <c r="L426" s="970">
        <v>0</v>
      </c>
      <c r="M426" s="969"/>
      <c r="N426" s="148">
        <v>0</v>
      </c>
      <c r="O426" s="148">
        <v>0</v>
      </c>
      <c r="P426" s="148">
        <v>119651.44</v>
      </c>
    </row>
    <row r="427" spans="1:16" ht="26.4" x14ac:dyDescent="0.3">
      <c r="A427" s="37">
        <v>2016</v>
      </c>
      <c r="B427" s="38" t="s">
        <v>902</v>
      </c>
      <c r="C427" s="38" t="s">
        <v>901</v>
      </c>
      <c r="D427" s="37">
        <v>78599000</v>
      </c>
      <c r="E427" s="36" t="s">
        <v>394</v>
      </c>
      <c r="F427" s="149">
        <v>119930.55</v>
      </c>
      <c r="G427" s="149">
        <v>23402.85</v>
      </c>
      <c r="H427" s="149">
        <v>0</v>
      </c>
      <c r="I427" s="149">
        <v>0</v>
      </c>
      <c r="J427" s="149">
        <v>0</v>
      </c>
      <c r="K427" s="149">
        <v>0</v>
      </c>
      <c r="L427" s="971">
        <v>0</v>
      </c>
      <c r="M427" s="969"/>
      <c r="N427" s="149">
        <v>-27408.04</v>
      </c>
      <c r="O427" s="149">
        <v>0</v>
      </c>
      <c r="P427" s="149">
        <v>115925.36</v>
      </c>
    </row>
    <row r="428" spans="1:16" ht="26.4" x14ac:dyDescent="0.3">
      <c r="A428" s="34">
        <v>2016</v>
      </c>
      <c r="B428" s="35" t="s">
        <v>902</v>
      </c>
      <c r="C428" s="35" t="s">
        <v>901</v>
      </c>
      <c r="D428" s="34">
        <v>78578000</v>
      </c>
      <c r="E428" s="33" t="s">
        <v>717</v>
      </c>
      <c r="F428" s="148">
        <v>87650.61</v>
      </c>
      <c r="G428" s="148">
        <v>0</v>
      </c>
      <c r="H428" s="148">
        <v>0</v>
      </c>
      <c r="I428" s="148">
        <v>0</v>
      </c>
      <c r="J428" s="148">
        <v>0</v>
      </c>
      <c r="K428" s="148">
        <v>0</v>
      </c>
      <c r="L428" s="970">
        <v>0</v>
      </c>
      <c r="M428" s="969"/>
      <c r="N428" s="148">
        <v>0</v>
      </c>
      <c r="O428" s="148">
        <v>0</v>
      </c>
      <c r="P428" s="148">
        <v>87650.61</v>
      </c>
    </row>
    <row r="429" spans="1:16" ht="26.4" x14ac:dyDescent="0.3">
      <c r="A429" s="37">
        <v>2016</v>
      </c>
      <c r="B429" s="38" t="s">
        <v>902</v>
      </c>
      <c r="C429" s="38" t="s">
        <v>901</v>
      </c>
      <c r="D429" s="37">
        <v>108779000</v>
      </c>
      <c r="E429" s="36" t="s">
        <v>841</v>
      </c>
      <c r="F429" s="149">
        <v>137667.14000000001</v>
      </c>
      <c r="G429" s="149">
        <v>0</v>
      </c>
      <c r="H429" s="149">
        <v>0</v>
      </c>
      <c r="I429" s="149">
        <v>0</v>
      </c>
      <c r="J429" s="149">
        <v>140134.76999999999</v>
      </c>
      <c r="K429" s="149">
        <v>0</v>
      </c>
      <c r="L429" s="971">
        <v>0</v>
      </c>
      <c r="M429" s="969"/>
      <c r="N429" s="149">
        <v>0</v>
      </c>
      <c r="O429" s="149">
        <v>0</v>
      </c>
      <c r="P429" s="149">
        <v>277801.90999999997</v>
      </c>
    </row>
    <row r="430" spans="1:16" ht="26.4" x14ac:dyDescent="0.3">
      <c r="A430" s="34">
        <v>2016</v>
      </c>
      <c r="B430" s="35" t="s">
        <v>902</v>
      </c>
      <c r="C430" s="35" t="s">
        <v>901</v>
      </c>
      <c r="D430" s="34">
        <v>78228000</v>
      </c>
      <c r="E430" s="33" t="s">
        <v>396</v>
      </c>
      <c r="F430" s="148">
        <v>63308.37</v>
      </c>
      <c r="G430" s="148">
        <v>52553.56</v>
      </c>
      <c r="H430" s="148">
        <v>0</v>
      </c>
      <c r="I430" s="148">
        <v>0</v>
      </c>
      <c r="J430" s="148">
        <v>0</v>
      </c>
      <c r="K430" s="148">
        <v>0</v>
      </c>
      <c r="L430" s="970">
        <v>0</v>
      </c>
      <c r="M430" s="969"/>
      <c r="N430" s="148">
        <v>0</v>
      </c>
      <c r="O430" s="148">
        <v>0</v>
      </c>
      <c r="P430" s="148">
        <v>115861.93</v>
      </c>
    </row>
    <row r="431" spans="1:16" x14ac:dyDescent="0.3">
      <c r="A431" s="37">
        <v>2016</v>
      </c>
      <c r="B431" s="38" t="s">
        <v>902</v>
      </c>
      <c r="C431" s="38" t="s">
        <v>901</v>
      </c>
      <c r="D431" s="37">
        <v>20221000</v>
      </c>
      <c r="E431" s="36" t="s">
        <v>473</v>
      </c>
      <c r="F431" s="149">
        <v>104184.85</v>
      </c>
      <c r="G431" s="149">
        <v>944.18</v>
      </c>
      <c r="H431" s="149">
        <v>0</v>
      </c>
      <c r="I431" s="149">
        <v>0</v>
      </c>
      <c r="J431" s="149">
        <v>0</v>
      </c>
      <c r="K431" s="149">
        <v>0</v>
      </c>
      <c r="L431" s="971">
        <v>0</v>
      </c>
      <c r="M431" s="969"/>
      <c r="N431" s="149">
        <v>0</v>
      </c>
      <c r="O431" s="149">
        <v>0</v>
      </c>
      <c r="P431" s="149">
        <v>105129.03</v>
      </c>
    </row>
    <row r="432" spans="1:16" x14ac:dyDescent="0.3">
      <c r="A432" s="34">
        <v>2016</v>
      </c>
      <c r="B432" s="35" t="s">
        <v>902</v>
      </c>
      <c r="C432" s="35" t="s">
        <v>901</v>
      </c>
      <c r="D432" s="34">
        <v>10201000</v>
      </c>
      <c r="E432" s="33" t="s">
        <v>472</v>
      </c>
      <c r="F432" s="148">
        <v>258101.41</v>
      </c>
      <c r="G432" s="148">
        <v>28937.61</v>
      </c>
      <c r="H432" s="148">
        <v>0</v>
      </c>
      <c r="I432" s="148">
        <v>0</v>
      </c>
      <c r="J432" s="148">
        <v>0</v>
      </c>
      <c r="K432" s="148">
        <v>0</v>
      </c>
      <c r="L432" s="970">
        <v>0</v>
      </c>
      <c r="M432" s="969"/>
      <c r="N432" s="148">
        <v>0</v>
      </c>
      <c r="O432" s="148">
        <v>0</v>
      </c>
      <c r="P432" s="148">
        <v>287039.02</v>
      </c>
    </row>
    <row r="433" spans="1:16" ht="26.4" x14ac:dyDescent="0.3">
      <c r="A433" s="37">
        <v>2016</v>
      </c>
      <c r="B433" s="38" t="s">
        <v>902</v>
      </c>
      <c r="C433" s="38" t="s">
        <v>901</v>
      </c>
      <c r="D433" s="37">
        <v>110424000</v>
      </c>
      <c r="E433" s="36" t="s">
        <v>399</v>
      </c>
      <c r="F433" s="149">
        <v>258916.72</v>
      </c>
      <c r="G433" s="149">
        <v>44543.86</v>
      </c>
      <c r="H433" s="149">
        <v>-19945.75</v>
      </c>
      <c r="I433" s="149">
        <v>0</v>
      </c>
      <c r="J433" s="149">
        <v>0</v>
      </c>
      <c r="K433" s="149">
        <v>0</v>
      </c>
      <c r="L433" s="971">
        <v>0</v>
      </c>
      <c r="M433" s="969"/>
      <c r="N433" s="149">
        <v>0</v>
      </c>
      <c r="O433" s="149">
        <v>0</v>
      </c>
      <c r="P433" s="149">
        <v>283514.83</v>
      </c>
    </row>
    <row r="434" spans="1:16" x14ac:dyDescent="0.3">
      <c r="A434" s="34">
        <v>2016</v>
      </c>
      <c r="B434" s="35" t="s">
        <v>902</v>
      </c>
      <c r="C434" s="35" t="s">
        <v>901</v>
      </c>
      <c r="D434" s="34">
        <v>78992000</v>
      </c>
      <c r="E434" s="33" t="s">
        <v>400</v>
      </c>
      <c r="F434" s="148">
        <v>152210.49</v>
      </c>
      <c r="G434" s="148">
        <v>0</v>
      </c>
      <c r="H434" s="148">
        <v>0</v>
      </c>
      <c r="I434" s="148">
        <v>0</v>
      </c>
      <c r="J434" s="148">
        <v>0</v>
      </c>
      <c r="K434" s="148">
        <v>0</v>
      </c>
      <c r="L434" s="970">
        <v>0</v>
      </c>
      <c r="M434" s="969"/>
      <c r="N434" s="148">
        <v>0</v>
      </c>
      <c r="O434" s="148">
        <v>0</v>
      </c>
      <c r="P434" s="148">
        <v>152210.49</v>
      </c>
    </row>
    <row r="435" spans="1:16" x14ac:dyDescent="0.3">
      <c r="A435" s="37">
        <v>2016</v>
      </c>
      <c r="B435" s="38" t="s">
        <v>902</v>
      </c>
      <c r="C435" s="38" t="s">
        <v>901</v>
      </c>
      <c r="D435" s="37">
        <v>78634000</v>
      </c>
      <c r="E435" s="36" t="s">
        <v>726</v>
      </c>
      <c r="F435" s="149">
        <v>43503.62</v>
      </c>
      <c r="G435" s="149">
        <v>0</v>
      </c>
      <c r="H435" s="149">
        <v>0</v>
      </c>
      <c r="I435" s="149">
        <v>0</v>
      </c>
      <c r="J435" s="149">
        <v>0</v>
      </c>
      <c r="K435" s="149">
        <v>0</v>
      </c>
      <c r="L435" s="971">
        <v>0</v>
      </c>
      <c r="M435" s="969"/>
      <c r="N435" s="149">
        <v>-5522.66</v>
      </c>
      <c r="O435" s="149">
        <v>0</v>
      </c>
      <c r="P435" s="149">
        <v>37980.959999999999</v>
      </c>
    </row>
    <row r="436" spans="1:16" ht="26.4" x14ac:dyDescent="0.3">
      <c r="A436" s="34">
        <v>2016</v>
      </c>
      <c r="B436" s="35" t="s">
        <v>902</v>
      </c>
      <c r="C436" s="35" t="s">
        <v>901</v>
      </c>
      <c r="D436" s="34">
        <v>108227000</v>
      </c>
      <c r="E436" s="33" t="s">
        <v>813</v>
      </c>
      <c r="F436" s="148">
        <v>21528.19</v>
      </c>
      <c r="G436" s="148">
        <v>1900</v>
      </c>
      <c r="H436" s="148">
        <v>-100</v>
      </c>
      <c r="I436" s="148">
        <v>0</v>
      </c>
      <c r="J436" s="148">
        <v>0</v>
      </c>
      <c r="K436" s="148">
        <v>0</v>
      </c>
      <c r="L436" s="970">
        <v>0</v>
      </c>
      <c r="M436" s="969"/>
      <c r="N436" s="148">
        <v>0</v>
      </c>
      <c r="O436" s="148">
        <v>0</v>
      </c>
      <c r="P436" s="148">
        <v>23328.19</v>
      </c>
    </row>
    <row r="437" spans="1:16" x14ac:dyDescent="0.3">
      <c r="A437" s="37">
        <v>2016</v>
      </c>
      <c r="B437" s="38" t="s">
        <v>902</v>
      </c>
      <c r="C437" s="38" t="s">
        <v>901</v>
      </c>
      <c r="D437" s="37">
        <v>78924000</v>
      </c>
      <c r="E437" s="36" t="s">
        <v>402</v>
      </c>
      <c r="F437" s="149">
        <v>295088.89</v>
      </c>
      <c r="G437" s="149">
        <v>0</v>
      </c>
      <c r="H437" s="149">
        <v>0</v>
      </c>
      <c r="I437" s="149">
        <v>0</v>
      </c>
      <c r="J437" s="149">
        <v>0</v>
      </c>
      <c r="K437" s="149">
        <v>0</v>
      </c>
      <c r="L437" s="971">
        <v>0</v>
      </c>
      <c r="M437" s="969"/>
      <c r="N437" s="149">
        <v>0</v>
      </c>
      <c r="O437" s="149">
        <v>0</v>
      </c>
      <c r="P437" s="149">
        <v>295088.89</v>
      </c>
    </row>
    <row r="438" spans="1:16" ht="26.4" x14ac:dyDescent="0.3">
      <c r="A438" s="34">
        <v>2016</v>
      </c>
      <c r="B438" s="35" t="s">
        <v>902</v>
      </c>
      <c r="C438" s="35" t="s">
        <v>901</v>
      </c>
      <c r="D438" s="34">
        <v>100212000</v>
      </c>
      <c r="E438" s="33" t="s">
        <v>403</v>
      </c>
      <c r="F438" s="148">
        <v>8664743.4700000007</v>
      </c>
      <c r="G438" s="148">
        <v>1282923.57</v>
      </c>
      <c r="H438" s="148">
        <v>0</v>
      </c>
      <c r="I438" s="148">
        <v>0</v>
      </c>
      <c r="J438" s="148">
        <v>0</v>
      </c>
      <c r="K438" s="148">
        <v>0</v>
      </c>
      <c r="L438" s="970">
        <v>0</v>
      </c>
      <c r="M438" s="969"/>
      <c r="N438" s="148">
        <v>0</v>
      </c>
      <c r="O438" s="148">
        <v>0</v>
      </c>
      <c r="P438" s="148">
        <v>9947667.0399999991</v>
      </c>
    </row>
    <row r="439" spans="1:16" ht="26.4" x14ac:dyDescent="0.3">
      <c r="A439" s="37">
        <v>2016</v>
      </c>
      <c r="B439" s="38" t="s">
        <v>902</v>
      </c>
      <c r="C439" s="38" t="s">
        <v>901</v>
      </c>
      <c r="D439" s="37">
        <v>110215000</v>
      </c>
      <c r="E439" s="36" t="s">
        <v>404</v>
      </c>
      <c r="F439" s="149">
        <v>261817.11</v>
      </c>
      <c r="G439" s="149">
        <v>1139.55</v>
      </c>
      <c r="H439" s="149">
        <v>0</v>
      </c>
      <c r="I439" s="149">
        <v>0</v>
      </c>
      <c r="J439" s="149">
        <v>0</v>
      </c>
      <c r="K439" s="149">
        <v>0</v>
      </c>
      <c r="L439" s="971">
        <v>0</v>
      </c>
      <c r="M439" s="969"/>
      <c r="N439" s="149">
        <v>0</v>
      </c>
      <c r="O439" s="149">
        <v>0</v>
      </c>
      <c r="P439" s="149">
        <v>262956.65999999997</v>
      </c>
    </row>
    <row r="440" spans="1:16" x14ac:dyDescent="0.3">
      <c r="A440" s="34">
        <v>2016</v>
      </c>
      <c r="B440" s="35" t="s">
        <v>902</v>
      </c>
      <c r="C440" s="35" t="s">
        <v>901</v>
      </c>
      <c r="D440" s="34">
        <v>78217000</v>
      </c>
      <c r="E440" s="33" t="s">
        <v>405</v>
      </c>
      <c r="F440" s="148">
        <v>39495.300000000003</v>
      </c>
      <c r="G440" s="148">
        <v>8964.9</v>
      </c>
      <c r="H440" s="148">
        <v>0</v>
      </c>
      <c r="I440" s="148">
        <v>0</v>
      </c>
      <c r="J440" s="148">
        <v>31157.97</v>
      </c>
      <c r="K440" s="148">
        <v>0</v>
      </c>
      <c r="L440" s="970">
        <v>0</v>
      </c>
      <c r="M440" s="969"/>
      <c r="N440" s="148">
        <v>0</v>
      </c>
      <c r="O440" s="148">
        <v>0</v>
      </c>
      <c r="P440" s="148">
        <v>79618.17</v>
      </c>
    </row>
    <row r="441" spans="1:16" ht="26.4" x14ac:dyDescent="0.3">
      <c r="A441" s="37">
        <v>2016</v>
      </c>
      <c r="B441" s="38" t="s">
        <v>902</v>
      </c>
      <c r="C441" s="38" t="s">
        <v>901</v>
      </c>
      <c r="D441" s="37">
        <v>100213000</v>
      </c>
      <c r="E441" s="36" t="s">
        <v>406</v>
      </c>
      <c r="F441" s="149">
        <v>92408.11</v>
      </c>
      <c r="G441" s="149">
        <v>32760.52</v>
      </c>
      <c r="H441" s="149">
        <v>0</v>
      </c>
      <c r="I441" s="149">
        <v>0</v>
      </c>
      <c r="J441" s="149">
        <v>0</v>
      </c>
      <c r="K441" s="149">
        <v>0</v>
      </c>
      <c r="L441" s="971">
        <v>0</v>
      </c>
      <c r="M441" s="969"/>
      <c r="N441" s="149">
        <v>0</v>
      </c>
      <c r="O441" s="149">
        <v>0</v>
      </c>
      <c r="P441" s="149">
        <v>125168.63</v>
      </c>
    </row>
    <row r="442" spans="1:16" ht="26.4" x14ac:dyDescent="0.3">
      <c r="A442" s="34">
        <v>2016</v>
      </c>
      <c r="B442" s="35" t="s">
        <v>902</v>
      </c>
      <c r="C442" s="35" t="s">
        <v>901</v>
      </c>
      <c r="D442" s="34">
        <v>78551000</v>
      </c>
      <c r="E442" s="33" t="s">
        <v>407</v>
      </c>
      <c r="F442" s="148">
        <v>89732.72</v>
      </c>
      <c r="G442" s="148">
        <v>367.92</v>
      </c>
      <c r="H442" s="148">
        <v>0</v>
      </c>
      <c r="I442" s="148">
        <v>0</v>
      </c>
      <c r="J442" s="148">
        <v>0</v>
      </c>
      <c r="K442" s="148">
        <v>0</v>
      </c>
      <c r="L442" s="970">
        <v>0</v>
      </c>
      <c r="M442" s="969"/>
      <c r="N442" s="148">
        <v>0</v>
      </c>
      <c r="O442" s="148">
        <v>0</v>
      </c>
      <c r="P442" s="148">
        <v>90100.64</v>
      </c>
    </row>
    <row r="443" spans="1:16" ht="26.4" x14ac:dyDescent="0.3">
      <c r="A443" s="37">
        <v>2016</v>
      </c>
      <c r="B443" s="38" t="s">
        <v>902</v>
      </c>
      <c r="C443" s="38" t="s">
        <v>901</v>
      </c>
      <c r="D443" s="37">
        <v>88702000</v>
      </c>
      <c r="E443" s="36" t="s">
        <v>801</v>
      </c>
      <c r="F443" s="149">
        <v>141289.53</v>
      </c>
      <c r="G443" s="149">
        <v>19686.400000000001</v>
      </c>
      <c r="H443" s="149">
        <v>0</v>
      </c>
      <c r="I443" s="149">
        <v>0</v>
      </c>
      <c r="J443" s="149">
        <v>0</v>
      </c>
      <c r="K443" s="149">
        <v>0</v>
      </c>
      <c r="L443" s="971">
        <v>0</v>
      </c>
      <c r="M443" s="969"/>
      <c r="N443" s="149">
        <v>0</v>
      </c>
      <c r="O443" s="149">
        <v>0</v>
      </c>
      <c r="P443" s="149">
        <v>160975.93</v>
      </c>
    </row>
    <row r="444" spans="1:16" x14ac:dyDescent="0.3">
      <c r="A444" s="34">
        <v>2016</v>
      </c>
      <c r="B444" s="35" t="s">
        <v>902</v>
      </c>
      <c r="C444" s="35" t="s">
        <v>901</v>
      </c>
      <c r="D444" s="34">
        <v>70403000</v>
      </c>
      <c r="E444" s="33" t="s">
        <v>409</v>
      </c>
      <c r="F444" s="148">
        <v>4143432.99</v>
      </c>
      <c r="G444" s="148">
        <v>486185.53</v>
      </c>
      <c r="H444" s="148">
        <v>0</v>
      </c>
      <c r="I444" s="148">
        <v>0</v>
      </c>
      <c r="J444" s="148">
        <v>0</v>
      </c>
      <c r="K444" s="148">
        <v>0</v>
      </c>
      <c r="L444" s="970">
        <v>0</v>
      </c>
      <c r="M444" s="969"/>
      <c r="N444" s="148">
        <v>0</v>
      </c>
      <c r="O444" s="148">
        <v>0</v>
      </c>
      <c r="P444" s="148">
        <v>4629618.5199999996</v>
      </c>
    </row>
    <row r="445" spans="1:16" ht="26.4" x14ac:dyDescent="0.3">
      <c r="A445" s="37">
        <v>2016</v>
      </c>
      <c r="B445" s="38" t="s">
        <v>902</v>
      </c>
      <c r="C445" s="38" t="s">
        <v>901</v>
      </c>
      <c r="D445" s="37">
        <v>70513000</v>
      </c>
      <c r="E445" s="36" t="s">
        <v>410</v>
      </c>
      <c r="F445" s="149">
        <v>1704385.49</v>
      </c>
      <c r="G445" s="149">
        <v>217450.84</v>
      </c>
      <c r="H445" s="149">
        <v>0</v>
      </c>
      <c r="I445" s="149">
        <v>0</v>
      </c>
      <c r="J445" s="149">
        <v>0</v>
      </c>
      <c r="K445" s="149">
        <v>0</v>
      </c>
      <c r="L445" s="971">
        <v>0</v>
      </c>
      <c r="M445" s="969"/>
      <c r="N445" s="149">
        <v>0</v>
      </c>
      <c r="O445" s="149">
        <v>0</v>
      </c>
      <c r="P445" s="149">
        <v>1921836.33</v>
      </c>
    </row>
    <row r="446" spans="1:16" x14ac:dyDescent="0.3">
      <c r="A446" s="34">
        <v>2016</v>
      </c>
      <c r="B446" s="35" t="s">
        <v>902</v>
      </c>
      <c r="C446" s="35" t="s">
        <v>901</v>
      </c>
      <c r="D446" s="34">
        <v>50204000</v>
      </c>
      <c r="E446" s="33" t="s">
        <v>411</v>
      </c>
      <c r="F446" s="148">
        <v>224032.86</v>
      </c>
      <c r="G446" s="148">
        <v>44331.77</v>
      </c>
      <c r="H446" s="148">
        <v>-28898.93</v>
      </c>
      <c r="I446" s="148">
        <v>0</v>
      </c>
      <c r="J446" s="148">
        <v>0</v>
      </c>
      <c r="K446" s="148">
        <v>0</v>
      </c>
      <c r="L446" s="970">
        <v>0</v>
      </c>
      <c r="M446" s="969"/>
      <c r="N446" s="148">
        <v>0</v>
      </c>
      <c r="O446" s="148">
        <v>0</v>
      </c>
      <c r="P446" s="148">
        <v>239465.7</v>
      </c>
    </row>
    <row r="447" spans="1:16" ht="26.4" x14ac:dyDescent="0.3">
      <c r="A447" s="37">
        <v>2016</v>
      </c>
      <c r="B447" s="38" t="s">
        <v>902</v>
      </c>
      <c r="C447" s="38" t="s">
        <v>901</v>
      </c>
      <c r="D447" s="37">
        <v>108722000</v>
      </c>
      <c r="E447" s="36" t="s">
        <v>832</v>
      </c>
      <c r="F447" s="149">
        <v>276467.34999999998</v>
      </c>
      <c r="G447" s="149">
        <v>200</v>
      </c>
      <c r="H447" s="149">
        <v>-100</v>
      </c>
      <c r="I447" s="149">
        <v>0</v>
      </c>
      <c r="J447" s="149">
        <v>0</v>
      </c>
      <c r="K447" s="149">
        <v>0</v>
      </c>
      <c r="L447" s="971">
        <v>0</v>
      </c>
      <c r="M447" s="969"/>
      <c r="N447" s="149">
        <v>0</v>
      </c>
      <c r="O447" s="149">
        <v>0</v>
      </c>
      <c r="P447" s="149">
        <v>276567.34999999998</v>
      </c>
    </row>
    <row r="448" spans="1:16" ht="26.4" x14ac:dyDescent="0.3">
      <c r="A448" s="34">
        <v>2016</v>
      </c>
      <c r="B448" s="35" t="s">
        <v>902</v>
      </c>
      <c r="C448" s="35" t="s">
        <v>901</v>
      </c>
      <c r="D448" s="34">
        <v>78206000</v>
      </c>
      <c r="E448" s="33" t="s">
        <v>667</v>
      </c>
      <c r="F448" s="148">
        <v>215211.72</v>
      </c>
      <c r="G448" s="148">
        <v>0</v>
      </c>
      <c r="H448" s="148">
        <v>0</v>
      </c>
      <c r="I448" s="148">
        <v>0</v>
      </c>
      <c r="J448" s="148">
        <v>0</v>
      </c>
      <c r="K448" s="148">
        <v>0</v>
      </c>
      <c r="L448" s="970">
        <v>0</v>
      </c>
      <c r="M448" s="969"/>
      <c r="N448" s="148">
        <v>0</v>
      </c>
      <c r="O448" s="148">
        <v>0</v>
      </c>
      <c r="P448" s="148">
        <v>215211.72</v>
      </c>
    </row>
    <row r="449" spans="1:16" ht="26.4" x14ac:dyDescent="0.3">
      <c r="A449" s="37">
        <v>2016</v>
      </c>
      <c r="B449" s="38" t="s">
        <v>902</v>
      </c>
      <c r="C449" s="38" t="s">
        <v>901</v>
      </c>
      <c r="D449" s="37">
        <v>70417000</v>
      </c>
      <c r="E449" s="36" t="s">
        <v>414</v>
      </c>
      <c r="F449" s="149">
        <v>784090</v>
      </c>
      <c r="G449" s="149">
        <v>85802.71</v>
      </c>
      <c r="H449" s="149">
        <v>0</v>
      </c>
      <c r="I449" s="149">
        <v>0</v>
      </c>
      <c r="J449" s="149">
        <v>0</v>
      </c>
      <c r="K449" s="149">
        <v>0</v>
      </c>
      <c r="L449" s="971">
        <v>0</v>
      </c>
      <c r="M449" s="969"/>
      <c r="N449" s="149">
        <v>0</v>
      </c>
      <c r="O449" s="149">
        <v>0</v>
      </c>
      <c r="P449" s="149">
        <v>869892.71</v>
      </c>
    </row>
    <row r="450" spans="1:16" ht="26.4" x14ac:dyDescent="0.3">
      <c r="A450" s="34">
        <v>2016</v>
      </c>
      <c r="B450" s="35" t="s">
        <v>902</v>
      </c>
      <c r="C450" s="35" t="s">
        <v>901</v>
      </c>
      <c r="D450" s="34">
        <v>70514000</v>
      </c>
      <c r="E450" s="33" t="s">
        <v>415</v>
      </c>
      <c r="F450" s="148">
        <v>2320247.31</v>
      </c>
      <c r="G450" s="148">
        <v>759924.21</v>
      </c>
      <c r="H450" s="148">
        <v>0</v>
      </c>
      <c r="I450" s="148">
        <v>0</v>
      </c>
      <c r="J450" s="148">
        <v>0</v>
      </c>
      <c r="K450" s="148">
        <v>0</v>
      </c>
      <c r="L450" s="970">
        <v>0</v>
      </c>
      <c r="M450" s="969"/>
      <c r="N450" s="148">
        <v>0</v>
      </c>
      <c r="O450" s="148">
        <v>0</v>
      </c>
      <c r="P450" s="148">
        <v>3080171.52</v>
      </c>
    </row>
    <row r="451" spans="1:16" x14ac:dyDescent="0.3">
      <c r="A451" s="37">
        <v>2016</v>
      </c>
      <c r="B451" s="38" t="s">
        <v>902</v>
      </c>
      <c r="C451" s="38" t="s">
        <v>901</v>
      </c>
      <c r="D451" s="37">
        <v>110422000</v>
      </c>
      <c r="E451" s="36" t="s">
        <v>849</v>
      </c>
      <c r="F451" s="149">
        <v>280361.95</v>
      </c>
      <c r="G451" s="149">
        <v>0</v>
      </c>
      <c r="H451" s="149">
        <v>0</v>
      </c>
      <c r="I451" s="149">
        <v>0</v>
      </c>
      <c r="J451" s="149">
        <v>0</v>
      </c>
      <c r="K451" s="149">
        <v>0</v>
      </c>
      <c r="L451" s="971">
        <v>0</v>
      </c>
      <c r="M451" s="969"/>
      <c r="N451" s="149">
        <v>0</v>
      </c>
      <c r="O451" s="149">
        <v>0</v>
      </c>
      <c r="P451" s="149">
        <v>280361.95</v>
      </c>
    </row>
    <row r="452" spans="1:16" ht="26.4" x14ac:dyDescent="0.3">
      <c r="A452" s="34">
        <v>2016</v>
      </c>
      <c r="B452" s="35" t="s">
        <v>902</v>
      </c>
      <c r="C452" s="35" t="s">
        <v>901</v>
      </c>
      <c r="D452" s="34">
        <v>20201000</v>
      </c>
      <c r="E452" s="33" t="s">
        <v>417</v>
      </c>
      <c r="F452" s="148">
        <v>195351.16</v>
      </c>
      <c r="G452" s="148">
        <v>1393.58</v>
      </c>
      <c r="H452" s="148">
        <v>0</v>
      </c>
      <c r="I452" s="148">
        <v>0</v>
      </c>
      <c r="J452" s="148">
        <v>0</v>
      </c>
      <c r="K452" s="148">
        <v>0</v>
      </c>
      <c r="L452" s="970">
        <v>0</v>
      </c>
      <c r="M452" s="969"/>
      <c r="N452" s="148">
        <v>0</v>
      </c>
      <c r="O452" s="148">
        <v>0</v>
      </c>
      <c r="P452" s="148">
        <v>196744.74</v>
      </c>
    </row>
    <row r="453" spans="1:16" ht="26.4" x14ac:dyDescent="0.3">
      <c r="A453" s="37">
        <v>2016</v>
      </c>
      <c r="B453" s="38" t="s">
        <v>902</v>
      </c>
      <c r="C453" s="38" t="s">
        <v>901</v>
      </c>
      <c r="D453" s="37">
        <v>40333000</v>
      </c>
      <c r="E453" s="36" t="s">
        <v>418</v>
      </c>
      <c r="F453" s="149">
        <v>70645.320000000007</v>
      </c>
      <c r="G453" s="149">
        <v>11502.2</v>
      </c>
      <c r="H453" s="149">
        <v>0</v>
      </c>
      <c r="I453" s="149">
        <v>0</v>
      </c>
      <c r="J453" s="149">
        <v>0</v>
      </c>
      <c r="K453" s="149">
        <v>0</v>
      </c>
      <c r="L453" s="971">
        <v>0</v>
      </c>
      <c r="M453" s="969"/>
      <c r="N453" s="149">
        <v>0</v>
      </c>
      <c r="O453" s="149">
        <v>0</v>
      </c>
      <c r="P453" s="149">
        <v>82147.520000000004</v>
      </c>
    </row>
    <row r="454" spans="1:16" ht="26.4" x14ac:dyDescent="0.3">
      <c r="A454" s="34">
        <v>2016</v>
      </c>
      <c r="B454" s="35" t="s">
        <v>902</v>
      </c>
      <c r="C454" s="35" t="s">
        <v>901</v>
      </c>
      <c r="D454" s="34">
        <v>80412000</v>
      </c>
      <c r="E454" s="33" t="s">
        <v>419</v>
      </c>
      <c r="F454" s="148">
        <v>75475.98</v>
      </c>
      <c r="G454" s="148">
        <v>1638.57</v>
      </c>
      <c r="H454" s="148">
        <v>0</v>
      </c>
      <c r="I454" s="148">
        <v>0</v>
      </c>
      <c r="J454" s="148">
        <v>0</v>
      </c>
      <c r="K454" s="148">
        <v>0</v>
      </c>
      <c r="L454" s="970">
        <v>0</v>
      </c>
      <c r="M454" s="969"/>
      <c r="N454" s="148">
        <v>0</v>
      </c>
      <c r="O454" s="148">
        <v>0</v>
      </c>
      <c r="P454" s="148">
        <v>77114.55</v>
      </c>
    </row>
    <row r="455" spans="1:16" ht="26.4" x14ac:dyDescent="0.3">
      <c r="A455" s="37">
        <v>2016</v>
      </c>
      <c r="B455" s="38" t="s">
        <v>902</v>
      </c>
      <c r="C455" s="38" t="s">
        <v>901</v>
      </c>
      <c r="D455" s="37">
        <v>58702000</v>
      </c>
      <c r="E455" s="36" t="s">
        <v>466</v>
      </c>
      <c r="F455" s="149">
        <v>0</v>
      </c>
      <c r="G455" s="149">
        <v>0</v>
      </c>
      <c r="H455" s="149">
        <v>0</v>
      </c>
      <c r="I455" s="149">
        <v>0</v>
      </c>
      <c r="J455" s="149">
        <v>0</v>
      </c>
      <c r="K455" s="149">
        <v>0</v>
      </c>
      <c r="L455" s="971">
        <v>0</v>
      </c>
      <c r="M455" s="969"/>
      <c r="N455" s="149">
        <v>0</v>
      </c>
      <c r="O455" s="149">
        <v>0</v>
      </c>
      <c r="P455" s="149">
        <v>0</v>
      </c>
    </row>
    <row r="456" spans="1:16" ht="26.4" x14ac:dyDescent="0.3">
      <c r="A456" s="34">
        <v>2016</v>
      </c>
      <c r="B456" s="35" t="s">
        <v>902</v>
      </c>
      <c r="C456" s="35" t="s">
        <v>901</v>
      </c>
      <c r="D456" s="34">
        <v>30215000</v>
      </c>
      <c r="E456" s="33" t="s">
        <v>622</v>
      </c>
      <c r="F456" s="148">
        <v>1628186.57</v>
      </c>
      <c r="G456" s="148">
        <v>405577.51</v>
      </c>
      <c r="H456" s="148">
        <v>0</v>
      </c>
      <c r="I456" s="148">
        <v>0</v>
      </c>
      <c r="J456" s="148">
        <v>0</v>
      </c>
      <c r="K456" s="148">
        <v>0</v>
      </c>
      <c r="L456" s="970">
        <v>0</v>
      </c>
      <c r="M456" s="969"/>
      <c r="N456" s="148">
        <v>0</v>
      </c>
      <c r="O456" s="148">
        <v>0</v>
      </c>
      <c r="P456" s="148">
        <v>2033764.08</v>
      </c>
    </row>
    <row r="457" spans="1:16" ht="26.4" x14ac:dyDescent="0.3">
      <c r="A457" s="37">
        <v>2016</v>
      </c>
      <c r="B457" s="38" t="s">
        <v>902</v>
      </c>
      <c r="C457" s="38" t="s">
        <v>901</v>
      </c>
      <c r="D457" s="37">
        <v>108714000</v>
      </c>
      <c r="E457" s="36" t="s">
        <v>828</v>
      </c>
      <c r="F457" s="149">
        <v>228312.17</v>
      </c>
      <c r="G457" s="149">
        <v>15853.16</v>
      </c>
      <c r="H457" s="149">
        <v>0</v>
      </c>
      <c r="I457" s="149">
        <v>0</v>
      </c>
      <c r="J457" s="149">
        <v>0</v>
      </c>
      <c r="K457" s="149">
        <v>0</v>
      </c>
      <c r="L457" s="971">
        <v>0</v>
      </c>
      <c r="M457" s="969"/>
      <c r="N457" s="149">
        <v>0</v>
      </c>
      <c r="O457" s="149">
        <v>0</v>
      </c>
      <c r="P457" s="149">
        <v>244165.33</v>
      </c>
    </row>
    <row r="458" spans="1:16" ht="26.4" x14ac:dyDescent="0.3">
      <c r="A458" s="34">
        <v>2016</v>
      </c>
      <c r="B458" s="35" t="s">
        <v>902</v>
      </c>
      <c r="C458" s="35" t="s">
        <v>901</v>
      </c>
      <c r="D458" s="34">
        <v>108768000</v>
      </c>
      <c r="E458" s="33" t="s">
        <v>422</v>
      </c>
      <c r="F458" s="148">
        <v>36824.54</v>
      </c>
      <c r="G458" s="148">
        <v>0</v>
      </c>
      <c r="H458" s="148">
        <v>0</v>
      </c>
      <c r="I458" s="148">
        <v>0</v>
      </c>
      <c r="J458" s="148">
        <v>0</v>
      </c>
      <c r="K458" s="148">
        <v>0</v>
      </c>
      <c r="L458" s="970">
        <v>0</v>
      </c>
      <c r="M458" s="969"/>
      <c r="N458" s="148">
        <v>0</v>
      </c>
      <c r="O458" s="148">
        <v>0</v>
      </c>
      <c r="P458" s="148">
        <v>36824.54</v>
      </c>
    </row>
    <row r="459" spans="1:16" x14ac:dyDescent="0.3">
      <c r="A459" s="37">
        <v>2016</v>
      </c>
      <c r="B459" s="38" t="s">
        <v>902</v>
      </c>
      <c r="C459" s="38" t="s">
        <v>901</v>
      </c>
      <c r="D459" s="37">
        <v>100201000</v>
      </c>
      <c r="E459" s="36" t="s">
        <v>424</v>
      </c>
      <c r="F459" s="149">
        <v>21107608.199999999</v>
      </c>
      <c r="G459" s="149">
        <v>8802568.1600000001</v>
      </c>
      <c r="H459" s="149">
        <v>0</v>
      </c>
      <c r="I459" s="149">
        <v>0</v>
      </c>
      <c r="J459" s="149">
        <v>0</v>
      </c>
      <c r="K459" s="149">
        <v>0</v>
      </c>
      <c r="L459" s="971">
        <v>0</v>
      </c>
      <c r="M459" s="969"/>
      <c r="N459" s="149">
        <v>0</v>
      </c>
      <c r="O459" s="149">
        <v>0</v>
      </c>
      <c r="P459" s="149">
        <v>29910176.359999999</v>
      </c>
    </row>
    <row r="460" spans="1:16" ht="39.6" x14ac:dyDescent="0.3">
      <c r="A460" s="34">
        <v>2016</v>
      </c>
      <c r="B460" s="35" t="s">
        <v>902</v>
      </c>
      <c r="C460" s="35" t="s">
        <v>901</v>
      </c>
      <c r="D460" s="34">
        <v>108660000</v>
      </c>
      <c r="E460" s="33" t="s">
        <v>425</v>
      </c>
      <c r="F460" s="148">
        <v>48155.17</v>
      </c>
      <c r="G460" s="148">
        <v>16606.48</v>
      </c>
      <c r="H460" s="148">
        <v>0</v>
      </c>
      <c r="I460" s="148">
        <v>0</v>
      </c>
      <c r="J460" s="148">
        <v>0</v>
      </c>
      <c r="K460" s="148">
        <v>0</v>
      </c>
      <c r="L460" s="970">
        <v>0</v>
      </c>
      <c r="M460" s="969"/>
      <c r="N460" s="148">
        <v>0</v>
      </c>
      <c r="O460" s="148">
        <v>0</v>
      </c>
      <c r="P460" s="148">
        <v>64761.65</v>
      </c>
    </row>
    <row r="461" spans="1:16" ht="26.4" x14ac:dyDescent="0.3">
      <c r="A461" s="37">
        <v>2016</v>
      </c>
      <c r="B461" s="38" t="s">
        <v>902</v>
      </c>
      <c r="C461" s="38" t="s">
        <v>901</v>
      </c>
      <c r="D461" s="37">
        <v>70462000</v>
      </c>
      <c r="E461" s="36" t="s">
        <v>426</v>
      </c>
      <c r="F461" s="149">
        <v>546655.91</v>
      </c>
      <c r="G461" s="149">
        <v>87391.91</v>
      </c>
      <c r="H461" s="149">
        <v>0</v>
      </c>
      <c r="I461" s="149">
        <v>0</v>
      </c>
      <c r="J461" s="149">
        <v>0</v>
      </c>
      <c r="K461" s="149">
        <v>0</v>
      </c>
      <c r="L461" s="971">
        <v>0</v>
      </c>
      <c r="M461" s="969"/>
      <c r="N461" s="149">
        <v>0</v>
      </c>
      <c r="O461" s="149">
        <v>0</v>
      </c>
      <c r="P461" s="149">
        <v>634047.81999999995</v>
      </c>
    </row>
    <row r="462" spans="1:16" x14ac:dyDescent="0.3">
      <c r="A462" s="34">
        <v>2016</v>
      </c>
      <c r="B462" s="35" t="s">
        <v>902</v>
      </c>
      <c r="C462" s="35" t="s">
        <v>901</v>
      </c>
      <c r="D462" s="34">
        <v>100220000</v>
      </c>
      <c r="E462" s="33" t="s">
        <v>427</v>
      </c>
      <c r="F462" s="148">
        <v>507740.76</v>
      </c>
      <c r="G462" s="148">
        <v>14679.09</v>
      </c>
      <c r="H462" s="148">
        <v>0</v>
      </c>
      <c r="I462" s="148">
        <v>0</v>
      </c>
      <c r="J462" s="148">
        <v>0</v>
      </c>
      <c r="K462" s="148">
        <v>0</v>
      </c>
      <c r="L462" s="970">
        <v>0</v>
      </c>
      <c r="M462" s="969"/>
      <c r="N462" s="148">
        <v>0</v>
      </c>
      <c r="O462" s="148">
        <v>0</v>
      </c>
      <c r="P462" s="148">
        <v>522419.85</v>
      </c>
    </row>
    <row r="463" spans="1:16" ht="26.4" x14ac:dyDescent="0.3">
      <c r="A463" s="37">
        <v>2016</v>
      </c>
      <c r="B463" s="38" t="s">
        <v>902</v>
      </c>
      <c r="C463" s="38" t="s">
        <v>901</v>
      </c>
      <c r="D463" s="37">
        <v>20522000</v>
      </c>
      <c r="E463" s="36" t="s">
        <v>428</v>
      </c>
      <c r="F463" s="149">
        <v>56081.31</v>
      </c>
      <c r="G463" s="149">
        <v>2328.84</v>
      </c>
      <c r="H463" s="149">
        <v>0</v>
      </c>
      <c r="I463" s="149">
        <v>0</v>
      </c>
      <c r="J463" s="149">
        <v>0</v>
      </c>
      <c r="K463" s="149">
        <v>0</v>
      </c>
      <c r="L463" s="971">
        <v>0</v>
      </c>
      <c r="M463" s="969"/>
      <c r="N463" s="149">
        <v>0</v>
      </c>
      <c r="O463" s="149">
        <v>0</v>
      </c>
      <c r="P463" s="149">
        <v>58410.15</v>
      </c>
    </row>
    <row r="464" spans="1:16" ht="26.4" x14ac:dyDescent="0.3">
      <c r="A464" s="34">
        <v>2016</v>
      </c>
      <c r="B464" s="35" t="s">
        <v>902</v>
      </c>
      <c r="C464" s="35" t="s">
        <v>901</v>
      </c>
      <c r="D464" s="34">
        <v>78562000</v>
      </c>
      <c r="E464" s="33" t="s">
        <v>711</v>
      </c>
      <c r="F464" s="148">
        <v>87650.61</v>
      </c>
      <c r="G464" s="148">
        <v>17031.43</v>
      </c>
      <c r="H464" s="148">
        <v>0</v>
      </c>
      <c r="I464" s="148">
        <v>0</v>
      </c>
      <c r="J464" s="148">
        <v>0</v>
      </c>
      <c r="K464" s="148">
        <v>0</v>
      </c>
      <c r="L464" s="970">
        <v>0</v>
      </c>
      <c r="M464" s="969"/>
      <c r="N464" s="148">
        <v>0</v>
      </c>
      <c r="O464" s="148">
        <v>0</v>
      </c>
      <c r="P464" s="148">
        <v>104682.04</v>
      </c>
    </row>
    <row r="465" spans="1:16" ht="26.4" x14ac:dyDescent="0.3">
      <c r="A465" s="37">
        <v>2016</v>
      </c>
      <c r="B465" s="38" t="s">
        <v>902</v>
      </c>
      <c r="C465" s="38" t="s">
        <v>901</v>
      </c>
      <c r="D465" s="37">
        <v>10309000</v>
      </c>
      <c r="E465" s="36" t="s">
        <v>430</v>
      </c>
      <c r="F465" s="149">
        <v>121468.28</v>
      </c>
      <c r="G465" s="149">
        <v>21024.39</v>
      </c>
      <c r="H465" s="149">
        <v>0</v>
      </c>
      <c r="I465" s="149">
        <v>0</v>
      </c>
      <c r="J465" s="149">
        <v>0</v>
      </c>
      <c r="K465" s="149">
        <v>0</v>
      </c>
      <c r="L465" s="971">
        <v>0</v>
      </c>
      <c r="M465" s="969"/>
      <c r="N465" s="149">
        <v>0</v>
      </c>
      <c r="O465" s="149">
        <v>0</v>
      </c>
      <c r="P465" s="149">
        <v>142492.67000000001</v>
      </c>
    </row>
    <row r="466" spans="1:16" ht="26.4" x14ac:dyDescent="0.3">
      <c r="A466" s="34">
        <v>2016</v>
      </c>
      <c r="B466" s="35" t="s">
        <v>902</v>
      </c>
      <c r="C466" s="35" t="s">
        <v>901</v>
      </c>
      <c r="D466" s="34">
        <v>38708000</v>
      </c>
      <c r="E466" s="33" t="s">
        <v>627</v>
      </c>
      <c r="F466" s="148">
        <v>18073.84</v>
      </c>
      <c r="G466" s="148">
        <v>1170.0899999999999</v>
      </c>
      <c r="H466" s="148">
        <v>0</v>
      </c>
      <c r="I466" s="148">
        <v>0</v>
      </c>
      <c r="J466" s="148">
        <v>0</v>
      </c>
      <c r="K466" s="148">
        <v>0</v>
      </c>
      <c r="L466" s="970">
        <v>0</v>
      </c>
      <c r="M466" s="969"/>
      <c r="N466" s="148">
        <v>0</v>
      </c>
      <c r="O466" s="148">
        <v>0</v>
      </c>
      <c r="P466" s="148">
        <v>19243.93</v>
      </c>
    </row>
    <row r="467" spans="1:16" ht="26.4" x14ac:dyDescent="0.3">
      <c r="A467" s="37">
        <v>2016</v>
      </c>
      <c r="B467" s="38" t="s">
        <v>902</v>
      </c>
      <c r="C467" s="38" t="s">
        <v>901</v>
      </c>
      <c r="D467" s="37">
        <v>78224000</v>
      </c>
      <c r="E467" s="36" t="s">
        <v>432</v>
      </c>
      <c r="F467" s="149">
        <v>56203.92</v>
      </c>
      <c r="G467" s="149">
        <v>4142.5600000000004</v>
      </c>
      <c r="H467" s="149">
        <v>0</v>
      </c>
      <c r="I467" s="149">
        <v>0</v>
      </c>
      <c r="J467" s="149">
        <v>14951.25</v>
      </c>
      <c r="K467" s="149">
        <v>0</v>
      </c>
      <c r="L467" s="971">
        <v>0</v>
      </c>
      <c r="M467" s="969"/>
      <c r="N467" s="149">
        <v>0</v>
      </c>
      <c r="O467" s="149">
        <v>0</v>
      </c>
      <c r="P467" s="149">
        <v>75297.73</v>
      </c>
    </row>
    <row r="468" spans="1:16" ht="26.4" x14ac:dyDescent="0.3">
      <c r="A468" s="34">
        <v>2016</v>
      </c>
      <c r="B468" s="35" t="s">
        <v>902</v>
      </c>
      <c r="C468" s="35" t="s">
        <v>901</v>
      </c>
      <c r="D468" s="34">
        <v>70406000</v>
      </c>
      <c r="E468" s="33" t="s">
        <v>433</v>
      </c>
      <c r="F468" s="148">
        <v>8828968.0800000001</v>
      </c>
      <c r="G468" s="148">
        <v>759808.66</v>
      </c>
      <c r="H468" s="148">
        <v>0</v>
      </c>
      <c r="I468" s="148">
        <v>0</v>
      </c>
      <c r="J468" s="148">
        <v>0</v>
      </c>
      <c r="K468" s="148">
        <v>0</v>
      </c>
      <c r="L468" s="970">
        <v>0</v>
      </c>
      <c r="M468" s="969"/>
      <c r="N468" s="148">
        <v>0</v>
      </c>
      <c r="O468" s="148">
        <v>0</v>
      </c>
      <c r="P468" s="148">
        <v>9588776.7400000002</v>
      </c>
    </row>
    <row r="469" spans="1:16" ht="26.4" x14ac:dyDescent="0.3">
      <c r="A469" s="37">
        <v>2016</v>
      </c>
      <c r="B469" s="38" t="s">
        <v>902</v>
      </c>
      <c r="C469" s="38" t="s">
        <v>901</v>
      </c>
      <c r="D469" s="37">
        <v>140424000</v>
      </c>
      <c r="E469" s="36" t="s">
        <v>434</v>
      </c>
      <c r="F469" s="149">
        <v>107673.59</v>
      </c>
      <c r="G469" s="149">
        <v>0</v>
      </c>
      <c r="H469" s="149">
        <v>0</v>
      </c>
      <c r="I469" s="149">
        <v>0</v>
      </c>
      <c r="J469" s="149">
        <v>0</v>
      </c>
      <c r="K469" s="149">
        <v>0</v>
      </c>
      <c r="L469" s="971">
        <v>0</v>
      </c>
      <c r="M469" s="969"/>
      <c r="N469" s="149">
        <v>0</v>
      </c>
      <c r="O469" s="149">
        <v>0</v>
      </c>
      <c r="P469" s="149">
        <v>107673.59</v>
      </c>
    </row>
    <row r="470" spans="1:16" ht="26.4" x14ac:dyDescent="0.3">
      <c r="A470" s="34">
        <v>2016</v>
      </c>
      <c r="B470" s="35" t="s">
        <v>902</v>
      </c>
      <c r="C470" s="35" t="s">
        <v>901</v>
      </c>
      <c r="D470" s="34">
        <v>150419000</v>
      </c>
      <c r="E470" s="33" t="s">
        <v>435</v>
      </c>
      <c r="F470" s="148">
        <v>69503.88</v>
      </c>
      <c r="G470" s="148">
        <v>6769.48</v>
      </c>
      <c r="H470" s="148">
        <v>0</v>
      </c>
      <c r="I470" s="148">
        <v>0</v>
      </c>
      <c r="J470" s="148">
        <v>0</v>
      </c>
      <c r="K470" s="148">
        <v>0</v>
      </c>
      <c r="L470" s="970">
        <v>0</v>
      </c>
      <c r="M470" s="969"/>
      <c r="N470" s="148">
        <v>0</v>
      </c>
      <c r="O470" s="148">
        <v>0</v>
      </c>
      <c r="P470" s="148">
        <v>76273.36</v>
      </c>
    </row>
    <row r="471" spans="1:16" ht="26.4" x14ac:dyDescent="0.3">
      <c r="A471" s="37">
        <v>2016</v>
      </c>
      <c r="B471" s="38" t="s">
        <v>902</v>
      </c>
      <c r="C471" s="38" t="s">
        <v>901</v>
      </c>
      <c r="D471" s="37">
        <v>78935000</v>
      </c>
      <c r="E471" s="36" t="s">
        <v>774</v>
      </c>
      <c r="F471" s="149">
        <v>59074.93</v>
      </c>
      <c r="G471" s="149">
        <v>763.48</v>
      </c>
      <c r="H471" s="149">
        <v>0</v>
      </c>
      <c r="I471" s="149">
        <v>0</v>
      </c>
      <c r="J471" s="149">
        <v>0</v>
      </c>
      <c r="K471" s="149">
        <v>0</v>
      </c>
      <c r="L471" s="971">
        <v>0</v>
      </c>
      <c r="M471" s="969"/>
      <c r="N471" s="149">
        <v>0</v>
      </c>
      <c r="O471" s="149">
        <v>0</v>
      </c>
      <c r="P471" s="149">
        <v>59838.41</v>
      </c>
    </row>
    <row r="472" spans="1:16" ht="26.4" x14ac:dyDescent="0.3">
      <c r="A472" s="34">
        <v>2016</v>
      </c>
      <c r="B472" s="35" t="s">
        <v>902</v>
      </c>
      <c r="C472" s="35" t="s">
        <v>901</v>
      </c>
      <c r="D472" s="34">
        <v>78974000</v>
      </c>
      <c r="E472" s="33" t="s">
        <v>792</v>
      </c>
      <c r="F472" s="148">
        <v>11536.73</v>
      </c>
      <c r="G472" s="148">
        <v>3840.94</v>
      </c>
      <c r="H472" s="148">
        <v>0</v>
      </c>
      <c r="I472" s="148">
        <v>0</v>
      </c>
      <c r="J472" s="148">
        <v>0</v>
      </c>
      <c r="K472" s="148">
        <v>0</v>
      </c>
      <c r="L472" s="970">
        <v>0</v>
      </c>
      <c r="M472" s="969"/>
      <c r="N472" s="148">
        <v>0</v>
      </c>
      <c r="O472" s="148">
        <v>0</v>
      </c>
      <c r="P472" s="148">
        <v>15377.67</v>
      </c>
    </row>
    <row r="473" spans="1:16" ht="39.6" x14ac:dyDescent="0.3">
      <c r="A473" s="37">
        <v>2016</v>
      </c>
      <c r="B473" s="38" t="s">
        <v>902</v>
      </c>
      <c r="C473" s="38" t="s">
        <v>901</v>
      </c>
      <c r="D473" s="37">
        <v>78548000</v>
      </c>
      <c r="E473" s="36" t="s">
        <v>704</v>
      </c>
      <c r="F473" s="149">
        <v>169490.62</v>
      </c>
      <c r="G473" s="149">
        <v>12406.6</v>
      </c>
      <c r="H473" s="149">
        <v>-8829.5300000000007</v>
      </c>
      <c r="I473" s="149">
        <v>0</v>
      </c>
      <c r="J473" s="149">
        <v>0</v>
      </c>
      <c r="K473" s="149">
        <v>0</v>
      </c>
      <c r="L473" s="971">
        <v>0</v>
      </c>
      <c r="M473" s="969"/>
      <c r="N473" s="149">
        <v>0</v>
      </c>
      <c r="O473" s="149">
        <v>0</v>
      </c>
      <c r="P473" s="149">
        <v>173067.69</v>
      </c>
    </row>
    <row r="474" spans="1:16" ht="39.6" x14ac:dyDescent="0.3">
      <c r="A474" s="34">
        <v>2016</v>
      </c>
      <c r="B474" s="35" t="s">
        <v>902</v>
      </c>
      <c r="C474" s="35" t="s">
        <v>901</v>
      </c>
      <c r="D474" s="34">
        <v>78221000</v>
      </c>
      <c r="E474" s="33" t="s">
        <v>439</v>
      </c>
      <c r="F474" s="148">
        <v>105481.1</v>
      </c>
      <c r="G474" s="148">
        <v>0</v>
      </c>
      <c r="H474" s="148">
        <v>0</v>
      </c>
      <c r="I474" s="148">
        <v>0</v>
      </c>
      <c r="J474" s="148">
        <v>0</v>
      </c>
      <c r="K474" s="148">
        <v>0</v>
      </c>
      <c r="L474" s="970">
        <v>0</v>
      </c>
      <c r="M474" s="969"/>
      <c r="N474" s="148">
        <v>0</v>
      </c>
      <c r="O474" s="148">
        <v>0</v>
      </c>
      <c r="P474" s="148">
        <v>105481.1</v>
      </c>
    </row>
    <row r="475" spans="1:16" ht="26.4" x14ac:dyDescent="0.3">
      <c r="A475" s="37">
        <v>2016</v>
      </c>
      <c r="B475" s="38" t="s">
        <v>902</v>
      </c>
      <c r="C475" s="38" t="s">
        <v>901</v>
      </c>
      <c r="D475" s="37">
        <v>78773000</v>
      </c>
      <c r="E475" s="36" t="s">
        <v>1320</v>
      </c>
      <c r="F475" s="149">
        <v>49020.53</v>
      </c>
      <c r="G475" s="149">
        <v>0</v>
      </c>
      <c r="H475" s="149">
        <v>0</v>
      </c>
      <c r="I475" s="149">
        <v>0</v>
      </c>
      <c r="J475" s="149">
        <v>0</v>
      </c>
      <c r="K475" s="149">
        <v>0</v>
      </c>
      <c r="L475" s="971">
        <v>0</v>
      </c>
      <c r="M475" s="969"/>
      <c r="N475" s="149">
        <v>0</v>
      </c>
      <c r="O475" s="149">
        <v>0</v>
      </c>
      <c r="P475" s="149">
        <v>49020.53</v>
      </c>
    </row>
    <row r="476" spans="1:16" ht="26.4" x14ac:dyDescent="0.3">
      <c r="A476" s="34">
        <v>2016</v>
      </c>
      <c r="B476" s="35" t="s">
        <v>902</v>
      </c>
      <c r="C476" s="35" t="s">
        <v>901</v>
      </c>
      <c r="D476" s="34">
        <v>78931000</v>
      </c>
      <c r="E476" s="33" t="s">
        <v>440</v>
      </c>
      <c r="F476" s="148">
        <v>12006.87</v>
      </c>
      <c r="G476" s="148">
        <v>0</v>
      </c>
      <c r="H476" s="148">
        <v>0</v>
      </c>
      <c r="I476" s="148">
        <v>0</v>
      </c>
      <c r="J476" s="148">
        <v>0</v>
      </c>
      <c r="K476" s="148">
        <v>0</v>
      </c>
      <c r="L476" s="970">
        <v>0</v>
      </c>
      <c r="M476" s="969"/>
      <c r="N476" s="148">
        <v>0</v>
      </c>
      <c r="O476" s="148">
        <v>0</v>
      </c>
      <c r="P476" s="148">
        <v>12006.87</v>
      </c>
    </row>
    <row r="477" spans="1:16" ht="26.4" x14ac:dyDescent="0.3">
      <c r="A477" s="37">
        <v>2016</v>
      </c>
      <c r="B477" s="38" t="s">
        <v>902</v>
      </c>
      <c r="C477" s="38" t="s">
        <v>901</v>
      </c>
      <c r="D477" s="37">
        <v>90220000</v>
      </c>
      <c r="E477" s="36" t="s">
        <v>441</v>
      </c>
      <c r="F477" s="149">
        <v>1887368.3</v>
      </c>
      <c r="G477" s="149">
        <v>212141.38</v>
      </c>
      <c r="H477" s="149">
        <v>0</v>
      </c>
      <c r="I477" s="149">
        <v>0</v>
      </c>
      <c r="J477" s="149">
        <v>0</v>
      </c>
      <c r="K477" s="149">
        <v>0</v>
      </c>
      <c r="L477" s="971">
        <v>0</v>
      </c>
      <c r="M477" s="969"/>
      <c r="N477" s="149">
        <v>0</v>
      </c>
      <c r="O477" s="149">
        <v>0</v>
      </c>
      <c r="P477" s="149">
        <v>2099509.6800000002</v>
      </c>
    </row>
    <row r="478" spans="1:16" ht="26.4" x14ac:dyDescent="0.3">
      <c r="A478" s="34">
        <v>2016</v>
      </c>
      <c r="B478" s="35" t="s">
        <v>902</v>
      </c>
      <c r="C478" s="35" t="s">
        <v>901</v>
      </c>
      <c r="D478" s="34">
        <v>70209000</v>
      </c>
      <c r="E478" s="33" t="s">
        <v>442</v>
      </c>
      <c r="F478" s="148">
        <v>348275.31</v>
      </c>
      <c r="G478" s="148">
        <v>14498.94</v>
      </c>
      <c r="H478" s="148">
        <v>0</v>
      </c>
      <c r="I478" s="148">
        <v>0</v>
      </c>
      <c r="J478" s="148">
        <v>0</v>
      </c>
      <c r="K478" s="148">
        <v>0</v>
      </c>
      <c r="L478" s="970">
        <v>0</v>
      </c>
      <c r="M478" s="969"/>
      <c r="N478" s="148">
        <v>0</v>
      </c>
      <c r="O478" s="148">
        <v>0</v>
      </c>
      <c r="P478" s="148">
        <v>362774.25</v>
      </c>
    </row>
    <row r="479" spans="1:16" x14ac:dyDescent="0.3">
      <c r="A479" s="37">
        <v>2016</v>
      </c>
      <c r="B479" s="38" t="s">
        <v>902</v>
      </c>
      <c r="C479" s="38" t="s">
        <v>901</v>
      </c>
      <c r="D479" s="37">
        <v>20213000</v>
      </c>
      <c r="E479" s="36" t="s">
        <v>443</v>
      </c>
      <c r="F479" s="149">
        <v>274652.40000000002</v>
      </c>
      <c r="G479" s="149">
        <v>8895.9699999999993</v>
      </c>
      <c r="H479" s="149">
        <v>0</v>
      </c>
      <c r="I479" s="149">
        <v>0</v>
      </c>
      <c r="J479" s="149">
        <v>0</v>
      </c>
      <c r="K479" s="149">
        <v>0</v>
      </c>
      <c r="L479" s="971">
        <v>0</v>
      </c>
      <c r="M479" s="969"/>
      <c r="N479" s="149">
        <v>0</v>
      </c>
      <c r="O479" s="149">
        <v>0</v>
      </c>
      <c r="P479" s="149">
        <v>283548.37</v>
      </c>
    </row>
    <row r="480" spans="1:16" x14ac:dyDescent="0.3">
      <c r="A480" s="34">
        <v>2016</v>
      </c>
      <c r="B480" s="35" t="s">
        <v>902</v>
      </c>
      <c r="C480" s="35" t="s">
        <v>901</v>
      </c>
      <c r="D480" s="34">
        <v>30202000</v>
      </c>
      <c r="E480" s="33" t="s">
        <v>444</v>
      </c>
      <c r="F480" s="148">
        <v>235725.31</v>
      </c>
      <c r="G480" s="148">
        <v>18259.689999999999</v>
      </c>
      <c r="H480" s="148">
        <v>-22289.360000000001</v>
      </c>
      <c r="I480" s="148">
        <v>0</v>
      </c>
      <c r="J480" s="148">
        <v>0</v>
      </c>
      <c r="K480" s="148">
        <v>0</v>
      </c>
      <c r="L480" s="970">
        <v>0</v>
      </c>
      <c r="M480" s="969"/>
      <c r="N480" s="148">
        <v>0</v>
      </c>
      <c r="O480" s="148">
        <v>0</v>
      </c>
      <c r="P480" s="148">
        <v>231695.64</v>
      </c>
    </row>
    <row r="481" spans="1:16" ht="39.6" x14ac:dyDescent="0.3">
      <c r="A481" s="37">
        <v>2016</v>
      </c>
      <c r="B481" s="38" t="s">
        <v>902</v>
      </c>
      <c r="C481" s="38" t="s">
        <v>901</v>
      </c>
      <c r="D481" s="37">
        <v>130302000</v>
      </c>
      <c r="E481" s="36" t="s">
        <v>456</v>
      </c>
      <c r="F481" s="149">
        <v>11984.12</v>
      </c>
      <c r="G481" s="149">
        <v>0</v>
      </c>
      <c r="H481" s="149">
        <v>0</v>
      </c>
      <c r="I481" s="149">
        <v>0</v>
      </c>
      <c r="J481" s="149">
        <v>0</v>
      </c>
      <c r="K481" s="149">
        <v>0</v>
      </c>
      <c r="L481" s="971">
        <v>0</v>
      </c>
      <c r="M481" s="969"/>
      <c r="N481" s="149">
        <v>-11984.12</v>
      </c>
      <c r="O481" s="149">
        <v>0</v>
      </c>
      <c r="P481" s="149">
        <v>0</v>
      </c>
    </row>
    <row r="482" spans="1:16" ht="26.4" x14ac:dyDescent="0.3">
      <c r="A482" s="34">
        <v>2016</v>
      </c>
      <c r="B482" s="35" t="s">
        <v>902</v>
      </c>
      <c r="C482" s="35" t="s">
        <v>901</v>
      </c>
      <c r="D482" s="34">
        <v>70407000</v>
      </c>
      <c r="E482" s="33" t="s">
        <v>445</v>
      </c>
      <c r="F482" s="148">
        <v>698396.33</v>
      </c>
      <c r="G482" s="148">
        <v>17119.93</v>
      </c>
      <c r="H482" s="148">
        <v>0</v>
      </c>
      <c r="I482" s="148">
        <v>0</v>
      </c>
      <c r="J482" s="148">
        <v>0</v>
      </c>
      <c r="K482" s="148">
        <v>0</v>
      </c>
      <c r="L482" s="970">
        <v>0</v>
      </c>
      <c r="M482" s="969"/>
      <c r="N482" s="148">
        <v>0</v>
      </c>
      <c r="O482" s="148">
        <v>0</v>
      </c>
      <c r="P482" s="148">
        <v>715516.26</v>
      </c>
    </row>
    <row r="483" spans="1:16" ht="26.4" x14ac:dyDescent="0.3">
      <c r="A483" s="37">
        <v>2016</v>
      </c>
      <c r="B483" s="38" t="s">
        <v>902</v>
      </c>
      <c r="C483" s="38" t="s">
        <v>901</v>
      </c>
      <c r="D483" s="37">
        <v>10208000</v>
      </c>
      <c r="E483" s="36" t="s">
        <v>446</v>
      </c>
      <c r="F483" s="149">
        <v>1125468.72</v>
      </c>
      <c r="G483" s="149">
        <v>172515.14</v>
      </c>
      <c r="H483" s="149">
        <v>0</v>
      </c>
      <c r="I483" s="149">
        <v>0</v>
      </c>
      <c r="J483" s="149">
        <v>0</v>
      </c>
      <c r="K483" s="149">
        <v>0</v>
      </c>
      <c r="L483" s="971">
        <v>0</v>
      </c>
      <c r="M483" s="969"/>
      <c r="N483" s="149">
        <v>0</v>
      </c>
      <c r="O483" s="149">
        <v>0</v>
      </c>
      <c r="P483" s="149">
        <v>1297983.8600000001</v>
      </c>
    </row>
    <row r="484" spans="1:16" x14ac:dyDescent="0.3">
      <c r="A484" s="34">
        <v>2016</v>
      </c>
      <c r="B484" s="35" t="s">
        <v>902</v>
      </c>
      <c r="C484" s="35" t="s">
        <v>901</v>
      </c>
      <c r="D484" s="34">
        <v>90201000</v>
      </c>
      <c r="E484" s="33" t="s">
        <v>447</v>
      </c>
      <c r="F484" s="148">
        <v>702381.83</v>
      </c>
      <c r="G484" s="148">
        <v>1030.8599999999999</v>
      </c>
      <c r="H484" s="148">
        <v>-22567.919999999998</v>
      </c>
      <c r="I484" s="148">
        <v>0</v>
      </c>
      <c r="J484" s="148">
        <v>0</v>
      </c>
      <c r="K484" s="148">
        <v>0</v>
      </c>
      <c r="L484" s="970">
        <v>0</v>
      </c>
      <c r="M484" s="969"/>
      <c r="N484" s="148">
        <v>0</v>
      </c>
      <c r="O484" s="148">
        <v>0</v>
      </c>
      <c r="P484" s="148">
        <v>680844.77</v>
      </c>
    </row>
    <row r="485" spans="1:16" ht="26.4" x14ac:dyDescent="0.3">
      <c r="A485" s="37">
        <v>2016</v>
      </c>
      <c r="B485" s="38" t="s">
        <v>902</v>
      </c>
      <c r="C485" s="38" t="s">
        <v>901</v>
      </c>
      <c r="D485" s="37">
        <v>130352000</v>
      </c>
      <c r="E485" s="36" t="s">
        <v>448</v>
      </c>
      <c r="F485" s="149">
        <v>12159.68</v>
      </c>
      <c r="G485" s="149">
        <v>5336.09</v>
      </c>
      <c r="H485" s="149">
        <v>-1011.62</v>
      </c>
      <c r="I485" s="149">
        <v>0</v>
      </c>
      <c r="J485" s="149">
        <v>0</v>
      </c>
      <c r="K485" s="149">
        <v>0</v>
      </c>
      <c r="L485" s="971">
        <v>0</v>
      </c>
      <c r="M485" s="969"/>
      <c r="N485" s="149">
        <v>0</v>
      </c>
      <c r="O485" s="149">
        <v>0</v>
      </c>
      <c r="P485" s="149">
        <v>16484.150000000001</v>
      </c>
    </row>
    <row r="486" spans="1:16" ht="26.4" x14ac:dyDescent="0.3">
      <c r="A486" s="34">
        <v>2016</v>
      </c>
      <c r="B486" s="35" t="s">
        <v>902</v>
      </c>
      <c r="C486" s="35" t="s">
        <v>901</v>
      </c>
      <c r="D486" s="34">
        <v>40305000</v>
      </c>
      <c r="E486" s="33" t="s">
        <v>449</v>
      </c>
      <c r="F486" s="148">
        <v>28044.12</v>
      </c>
      <c r="G486" s="148">
        <v>2.33</v>
      </c>
      <c r="H486" s="148">
        <v>0</v>
      </c>
      <c r="I486" s="148">
        <v>0</v>
      </c>
      <c r="J486" s="148">
        <v>0</v>
      </c>
      <c r="K486" s="148">
        <v>0</v>
      </c>
      <c r="L486" s="970">
        <v>0</v>
      </c>
      <c r="M486" s="969"/>
      <c r="N486" s="148">
        <v>0</v>
      </c>
      <c r="O486" s="148">
        <v>0</v>
      </c>
      <c r="P486" s="148">
        <v>28046.45</v>
      </c>
    </row>
    <row r="487" spans="1:16" ht="39.6" x14ac:dyDescent="0.3">
      <c r="A487" s="37">
        <v>2016</v>
      </c>
      <c r="B487" s="38" t="s">
        <v>902</v>
      </c>
      <c r="C487" s="38" t="s">
        <v>901</v>
      </c>
      <c r="D487" s="37">
        <v>88755000</v>
      </c>
      <c r="E487" s="36" t="s">
        <v>450</v>
      </c>
      <c r="F487" s="149">
        <v>115695.99</v>
      </c>
      <c r="G487" s="149">
        <v>0</v>
      </c>
      <c r="H487" s="149">
        <v>0</v>
      </c>
      <c r="I487" s="149">
        <v>0</v>
      </c>
      <c r="J487" s="149">
        <v>0</v>
      </c>
      <c r="K487" s="149">
        <v>0</v>
      </c>
      <c r="L487" s="971">
        <v>0</v>
      </c>
      <c r="M487" s="969"/>
      <c r="N487" s="149">
        <v>0</v>
      </c>
      <c r="O487" s="149">
        <v>0</v>
      </c>
      <c r="P487" s="149">
        <v>115695.99</v>
      </c>
    </row>
    <row r="488" spans="1:16" ht="26.4" x14ac:dyDescent="0.3">
      <c r="A488" s="34">
        <v>2016</v>
      </c>
      <c r="B488" s="35" t="s">
        <v>902</v>
      </c>
      <c r="C488" s="35" t="s">
        <v>901</v>
      </c>
      <c r="D488" s="34">
        <v>80313000</v>
      </c>
      <c r="E488" s="33" t="s">
        <v>451</v>
      </c>
      <c r="F488" s="148">
        <v>22121.7</v>
      </c>
      <c r="G488" s="148">
        <v>2810.17</v>
      </c>
      <c r="H488" s="148">
        <v>-4877.84</v>
      </c>
      <c r="I488" s="148">
        <v>0</v>
      </c>
      <c r="J488" s="148">
        <v>0</v>
      </c>
      <c r="K488" s="148">
        <v>0</v>
      </c>
      <c r="L488" s="970">
        <v>0</v>
      </c>
      <c r="M488" s="969"/>
      <c r="N488" s="148">
        <v>0</v>
      </c>
      <c r="O488" s="148">
        <v>0</v>
      </c>
      <c r="P488" s="148">
        <v>20054.03</v>
      </c>
    </row>
    <row r="489" spans="1:16" ht="26.4" x14ac:dyDescent="0.3">
      <c r="A489" s="37">
        <v>2016</v>
      </c>
      <c r="B489" s="38" t="s">
        <v>902</v>
      </c>
      <c r="C489" s="38" t="s">
        <v>901</v>
      </c>
      <c r="D489" s="37">
        <v>140401000</v>
      </c>
      <c r="E489" s="36" t="s">
        <v>452</v>
      </c>
      <c r="F489" s="149">
        <v>3072630.24</v>
      </c>
      <c r="G489" s="149">
        <v>444830.88</v>
      </c>
      <c r="H489" s="149">
        <v>0</v>
      </c>
      <c r="I489" s="149">
        <v>0</v>
      </c>
      <c r="J489" s="149">
        <v>0</v>
      </c>
      <c r="K489" s="149">
        <v>0</v>
      </c>
      <c r="L489" s="971">
        <v>0</v>
      </c>
      <c r="M489" s="969"/>
      <c r="N489" s="149">
        <v>0</v>
      </c>
      <c r="O489" s="149">
        <v>0</v>
      </c>
      <c r="P489" s="149">
        <v>3517461.12</v>
      </c>
    </row>
    <row r="490" spans="1:16" ht="26.4" x14ac:dyDescent="0.3">
      <c r="A490" s="34">
        <v>2016</v>
      </c>
      <c r="B490" s="35" t="s">
        <v>902</v>
      </c>
      <c r="C490" s="35" t="s">
        <v>901</v>
      </c>
      <c r="D490" s="34">
        <v>148758000</v>
      </c>
      <c r="E490" s="33" t="s">
        <v>874</v>
      </c>
      <c r="F490" s="148">
        <v>0</v>
      </c>
      <c r="G490" s="148">
        <v>0</v>
      </c>
      <c r="H490" s="148">
        <v>0</v>
      </c>
      <c r="I490" s="148">
        <v>0</v>
      </c>
      <c r="J490" s="148">
        <v>0</v>
      </c>
      <c r="K490" s="148">
        <v>0</v>
      </c>
      <c r="L490" s="970">
        <v>0</v>
      </c>
      <c r="M490" s="969"/>
      <c r="N490" s="148">
        <v>0</v>
      </c>
      <c r="O490" s="148">
        <v>0</v>
      </c>
      <c r="P490" s="148">
        <v>0</v>
      </c>
    </row>
    <row r="491" spans="1:16" ht="26.4" x14ac:dyDescent="0.3">
      <c r="A491" s="37">
        <v>2016</v>
      </c>
      <c r="B491" s="38" t="s">
        <v>902</v>
      </c>
      <c r="C491" s="38" t="s">
        <v>901</v>
      </c>
      <c r="D491" s="37">
        <v>140570000</v>
      </c>
      <c r="E491" s="36" t="s">
        <v>453</v>
      </c>
      <c r="F491" s="149">
        <v>3225170.19</v>
      </c>
      <c r="G491" s="149">
        <v>865570.63</v>
      </c>
      <c r="H491" s="149">
        <v>0</v>
      </c>
      <c r="I491" s="149">
        <v>0</v>
      </c>
      <c r="J491" s="149">
        <v>0</v>
      </c>
      <c r="K491" s="149">
        <v>0</v>
      </c>
      <c r="L491" s="971">
        <v>0</v>
      </c>
      <c r="M491" s="969"/>
      <c r="N491" s="149">
        <v>0</v>
      </c>
      <c r="O491" s="149">
        <v>0</v>
      </c>
      <c r="P491" s="149">
        <v>4090740.82</v>
      </c>
    </row>
    <row r="492" spans="1:16" x14ac:dyDescent="0.3">
      <c r="A492" s="150" t="s">
        <v>900</v>
      </c>
      <c r="B492" s="150" t="s">
        <v>900</v>
      </c>
      <c r="C492" s="150" t="s">
        <v>900</v>
      </c>
      <c r="D492" s="972" t="s">
        <v>899</v>
      </c>
      <c r="E492" s="969"/>
      <c r="F492" s="148">
        <v>311433871.91000003</v>
      </c>
      <c r="G492" s="148">
        <v>46058676.079999998</v>
      </c>
      <c r="H492" s="148">
        <v>-3673335.63</v>
      </c>
      <c r="I492" s="148">
        <v>0</v>
      </c>
      <c r="J492" s="148">
        <v>611211.21</v>
      </c>
      <c r="K492" s="148">
        <v>-81718.399999999994</v>
      </c>
      <c r="L492" s="970">
        <v>0</v>
      </c>
      <c r="M492" s="969"/>
      <c r="N492" s="148">
        <v>-203462.68</v>
      </c>
      <c r="O492" s="148">
        <v>-2383.4299999999998</v>
      </c>
      <c r="P492" s="148">
        <v>354142859.06</v>
      </c>
    </row>
    <row r="493" spans="1:16" ht="0" hidden="1" customHeight="1" x14ac:dyDescent="0.3"/>
  </sheetData>
  <mergeCells count="492">
    <mergeCell ref="D492:E492"/>
    <mergeCell ref="L492:M492"/>
    <mergeCell ref="L487:M487"/>
    <mergeCell ref="L488:M488"/>
    <mergeCell ref="L489:M489"/>
    <mergeCell ref="L490:M490"/>
    <mergeCell ref="L491:M491"/>
    <mergeCell ref="L482:M482"/>
    <mergeCell ref="L483:M483"/>
    <mergeCell ref="L484:M484"/>
    <mergeCell ref="L485:M485"/>
    <mergeCell ref="L486:M486"/>
    <mergeCell ref="L477:M477"/>
    <mergeCell ref="L478:M478"/>
    <mergeCell ref="L479:M479"/>
    <mergeCell ref="L480:M480"/>
    <mergeCell ref="L481:M481"/>
    <mergeCell ref="L472:M472"/>
    <mergeCell ref="L473:M473"/>
    <mergeCell ref="L474:M474"/>
    <mergeCell ref="L475:M475"/>
    <mergeCell ref="L476:M476"/>
    <mergeCell ref="L467:M467"/>
    <mergeCell ref="L468:M468"/>
    <mergeCell ref="L469:M469"/>
    <mergeCell ref="L470:M470"/>
    <mergeCell ref="L471:M471"/>
    <mergeCell ref="L462:M462"/>
    <mergeCell ref="L463:M463"/>
    <mergeCell ref="L464:M464"/>
    <mergeCell ref="L465:M465"/>
    <mergeCell ref="L466:M466"/>
    <mergeCell ref="L457:M457"/>
    <mergeCell ref="L458:M458"/>
    <mergeCell ref="L459:M459"/>
    <mergeCell ref="L460:M460"/>
    <mergeCell ref="L461:M461"/>
    <mergeCell ref="L452:M452"/>
    <mergeCell ref="L453:M453"/>
    <mergeCell ref="L454:M454"/>
    <mergeCell ref="L455:M455"/>
    <mergeCell ref="L456:M456"/>
    <mergeCell ref="L447:M447"/>
    <mergeCell ref="L448:M448"/>
    <mergeCell ref="L449:M449"/>
    <mergeCell ref="L450:M450"/>
    <mergeCell ref="L451:M451"/>
    <mergeCell ref="L442:M442"/>
    <mergeCell ref="L443:M443"/>
    <mergeCell ref="L444:M444"/>
    <mergeCell ref="L445:M445"/>
    <mergeCell ref="L446:M446"/>
    <mergeCell ref="L437:M437"/>
    <mergeCell ref="L438:M438"/>
    <mergeCell ref="L439:M439"/>
    <mergeCell ref="L440:M440"/>
    <mergeCell ref="L441:M441"/>
    <mergeCell ref="L432:M432"/>
    <mergeCell ref="L433:M433"/>
    <mergeCell ref="L434:M434"/>
    <mergeCell ref="L435:M435"/>
    <mergeCell ref="L436:M436"/>
    <mergeCell ref="L427:M427"/>
    <mergeCell ref="L428:M428"/>
    <mergeCell ref="L429:M429"/>
    <mergeCell ref="L430:M430"/>
    <mergeCell ref="L431:M431"/>
    <mergeCell ref="L422:M422"/>
    <mergeCell ref="L423:M423"/>
    <mergeCell ref="L424:M424"/>
    <mergeCell ref="L425:M425"/>
    <mergeCell ref="L426:M426"/>
    <mergeCell ref="L417:M417"/>
    <mergeCell ref="L418:M418"/>
    <mergeCell ref="L419:M419"/>
    <mergeCell ref="L420:M420"/>
    <mergeCell ref="L421:M421"/>
    <mergeCell ref="L412:M412"/>
    <mergeCell ref="L413:M413"/>
    <mergeCell ref="L414:M414"/>
    <mergeCell ref="L415:M415"/>
    <mergeCell ref="L416:M416"/>
    <mergeCell ref="L407:M407"/>
    <mergeCell ref="L408:M408"/>
    <mergeCell ref="L409:M409"/>
    <mergeCell ref="L410:M410"/>
    <mergeCell ref="L411:M411"/>
    <mergeCell ref="L402:M402"/>
    <mergeCell ref="L403:M403"/>
    <mergeCell ref="L404:M404"/>
    <mergeCell ref="L405:M405"/>
    <mergeCell ref="L406:M406"/>
    <mergeCell ref="L397:M397"/>
    <mergeCell ref="L398:M398"/>
    <mergeCell ref="L399:M399"/>
    <mergeCell ref="L400:M400"/>
    <mergeCell ref="L401:M401"/>
    <mergeCell ref="L392:M392"/>
    <mergeCell ref="L393:M393"/>
    <mergeCell ref="L394:M394"/>
    <mergeCell ref="L395:M395"/>
    <mergeCell ref="L396:M396"/>
    <mergeCell ref="L387:M387"/>
    <mergeCell ref="L388:M388"/>
    <mergeCell ref="L389:M389"/>
    <mergeCell ref="L390:M390"/>
    <mergeCell ref="L391:M391"/>
    <mergeCell ref="L382:M382"/>
    <mergeCell ref="L383:M383"/>
    <mergeCell ref="L384:M384"/>
    <mergeCell ref="L385:M385"/>
    <mergeCell ref="L386:M386"/>
    <mergeCell ref="L377:M377"/>
    <mergeCell ref="L378:M378"/>
    <mergeCell ref="L379:M379"/>
    <mergeCell ref="L380:M380"/>
    <mergeCell ref="L381:M381"/>
    <mergeCell ref="L372:M372"/>
    <mergeCell ref="L373:M373"/>
    <mergeCell ref="L374:M374"/>
    <mergeCell ref="L375:M375"/>
    <mergeCell ref="L376:M376"/>
    <mergeCell ref="L367:M367"/>
    <mergeCell ref="L368:M368"/>
    <mergeCell ref="L369:M369"/>
    <mergeCell ref="L370:M370"/>
    <mergeCell ref="L371:M371"/>
    <mergeCell ref="L362:M362"/>
    <mergeCell ref="L363:M363"/>
    <mergeCell ref="L364:M364"/>
    <mergeCell ref="L365:M365"/>
    <mergeCell ref="L366:M366"/>
    <mergeCell ref="L357:M357"/>
    <mergeCell ref="L358:M358"/>
    <mergeCell ref="L359:M359"/>
    <mergeCell ref="L360:M360"/>
    <mergeCell ref="L361:M361"/>
    <mergeCell ref="L352:M352"/>
    <mergeCell ref="L353:M353"/>
    <mergeCell ref="L354:M354"/>
    <mergeCell ref="L355:M355"/>
    <mergeCell ref="L356:M356"/>
    <mergeCell ref="L347:M347"/>
    <mergeCell ref="L348:M348"/>
    <mergeCell ref="L349:M349"/>
    <mergeCell ref="L350:M350"/>
    <mergeCell ref="L351:M351"/>
    <mergeCell ref="L342:M342"/>
    <mergeCell ref="L343:M343"/>
    <mergeCell ref="L344:M344"/>
    <mergeCell ref="L345:M345"/>
    <mergeCell ref="L346:M346"/>
    <mergeCell ref="L337:M337"/>
    <mergeCell ref="L338:M338"/>
    <mergeCell ref="L339:M339"/>
    <mergeCell ref="L340:M340"/>
    <mergeCell ref="L341:M341"/>
    <mergeCell ref="L332:M332"/>
    <mergeCell ref="L333:M333"/>
    <mergeCell ref="L334:M334"/>
    <mergeCell ref="L335:M335"/>
    <mergeCell ref="L336:M336"/>
    <mergeCell ref="L327:M327"/>
    <mergeCell ref="L328:M328"/>
    <mergeCell ref="L329:M329"/>
    <mergeCell ref="L330:M330"/>
    <mergeCell ref="L331:M331"/>
    <mergeCell ref="L322:M322"/>
    <mergeCell ref="L323:M323"/>
    <mergeCell ref="L324:M324"/>
    <mergeCell ref="L325:M325"/>
    <mergeCell ref="L326:M326"/>
    <mergeCell ref="L317:M317"/>
    <mergeCell ref="L318:M318"/>
    <mergeCell ref="L319:M319"/>
    <mergeCell ref="L320:M320"/>
    <mergeCell ref="L321:M321"/>
    <mergeCell ref="L312:M312"/>
    <mergeCell ref="L313:M313"/>
    <mergeCell ref="L314:M314"/>
    <mergeCell ref="L315:M315"/>
    <mergeCell ref="L316:M316"/>
    <mergeCell ref="L307:M307"/>
    <mergeCell ref="L308:M308"/>
    <mergeCell ref="L309:M309"/>
    <mergeCell ref="L310:M310"/>
    <mergeCell ref="L311:M311"/>
    <mergeCell ref="L302:M302"/>
    <mergeCell ref="L303:M303"/>
    <mergeCell ref="L304:M304"/>
    <mergeCell ref="L305:M305"/>
    <mergeCell ref="L306:M306"/>
    <mergeCell ref="L297:M297"/>
    <mergeCell ref="L298:M298"/>
    <mergeCell ref="L299:M299"/>
    <mergeCell ref="L300:M300"/>
    <mergeCell ref="L301:M301"/>
    <mergeCell ref="L292:M292"/>
    <mergeCell ref="L293:M293"/>
    <mergeCell ref="L294:M294"/>
    <mergeCell ref="L295:M295"/>
    <mergeCell ref="L296:M296"/>
    <mergeCell ref="L287:M287"/>
    <mergeCell ref="L288:M288"/>
    <mergeCell ref="L289:M289"/>
    <mergeCell ref="L290:M290"/>
    <mergeCell ref="L291:M291"/>
    <mergeCell ref="L282:M282"/>
    <mergeCell ref="L283:M283"/>
    <mergeCell ref="L284:M284"/>
    <mergeCell ref="L285:M285"/>
    <mergeCell ref="L286:M286"/>
    <mergeCell ref="L277:M277"/>
    <mergeCell ref="L278:M278"/>
    <mergeCell ref="L279:M279"/>
    <mergeCell ref="L280:M280"/>
    <mergeCell ref="L281:M281"/>
    <mergeCell ref="L272:M272"/>
    <mergeCell ref="L273:M273"/>
    <mergeCell ref="L274:M274"/>
    <mergeCell ref="L275:M275"/>
    <mergeCell ref="L276:M276"/>
    <mergeCell ref="L267:M267"/>
    <mergeCell ref="L268:M268"/>
    <mergeCell ref="L269:M269"/>
    <mergeCell ref="L270:M270"/>
    <mergeCell ref="L271:M271"/>
    <mergeCell ref="L262:M262"/>
    <mergeCell ref="L263:M263"/>
    <mergeCell ref="L264:M264"/>
    <mergeCell ref="L265:M265"/>
    <mergeCell ref="L266:M266"/>
    <mergeCell ref="L257:M257"/>
    <mergeCell ref="L258:M258"/>
    <mergeCell ref="L259:M259"/>
    <mergeCell ref="L260:M260"/>
    <mergeCell ref="L261:M261"/>
    <mergeCell ref="L252:M252"/>
    <mergeCell ref="L253:M253"/>
    <mergeCell ref="L254:M254"/>
    <mergeCell ref="L255:M255"/>
    <mergeCell ref="L256:M256"/>
    <mergeCell ref="L247:M247"/>
    <mergeCell ref="L248:M248"/>
    <mergeCell ref="L249:M249"/>
    <mergeCell ref="L250:M250"/>
    <mergeCell ref="L251:M251"/>
    <mergeCell ref="L242:M242"/>
    <mergeCell ref="L243:M243"/>
    <mergeCell ref="L244:M244"/>
    <mergeCell ref="L245:M245"/>
    <mergeCell ref="L246:M246"/>
    <mergeCell ref="L237:M237"/>
    <mergeCell ref="L238:M238"/>
    <mergeCell ref="L239:M239"/>
    <mergeCell ref="L240:M240"/>
    <mergeCell ref="L241:M241"/>
    <mergeCell ref="L232:M232"/>
    <mergeCell ref="L233:M233"/>
    <mergeCell ref="L234:M234"/>
    <mergeCell ref="L235:M235"/>
    <mergeCell ref="L236:M236"/>
    <mergeCell ref="L227:M227"/>
    <mergeCell ref="L228:M228"/>
    <mergeCell ref="L229:M229"/>
    <mergeCell ref="L230:M230"/>
    <mergeCell ref="L231:M231"/>
    <mergeCell ref="L222:M222"/>
    <mergeCell ref="L223:M223"/>
    <mergeCell ref="L224:M224"/>
    <mergeCell ref="L225:M225"/>
    <mergeCell ref="L226:M226"/>
    <mergeCell ref="L217:M217"/>
    <mergeCell ref="L218:M218"/>
    <mergeCell ref="L219:M219"/>
    <mergeCell ref="L220:M220"/>
    <mergeCell ref="L221:M221"/>
    <mergeCell ref="L212:M212"/>
    <mergeCell ref="L213:M213"/>
    <mergeCell ref="L214:M214"/>
    <mergeCell ref="L215:M215"/>
    <mergeCell ref="L216:M216"/>
    <mergeCell ref="L207:M207"/>
    <mergeCell ref="L208:M208"/>
    <mergeCell ref="L209:M209"/>
    <mergeCell ref="L210:M210"/>
    <mergeCell ref="L211:M211"/>
    <mergeCell ref="L202:M202"/>
    <mergeCell ref="L203:M203"/>
    <mergeCell ref="L204:M204"/>
    <mergeCell ref="L205:M205"/>
    <mergeCell ref="L206:M206"/>
    <mergeCell ref="L197:M197"/>
    <mergeCell ref="L198:M198"/>
    <mergeCell ref="L199:M199"/>
    <mergeCell ref="L200:M200"/>
    <mergeCell ref="L201:M201"/>
    <mergeCell ref="L192:M192"/>
    <mergeCell ref="L193:M193"/>
    <mergeCell ref="L194:M194"/>
    <mergeCell ref="L195:M195"/>
    <mergeCell ref="L196:M196"/>
    <mergeCell ref="L187:M187"/>
    <mergeCell ref="L188:M188"/>
    <mergeCell ref="L189:M189"/>
    <mergeCell ref="L190:M190"/>
    <mergeCell ref="L191:M191"/>
    <mergeCell ref="L182:M182"/>
    <mergeCell ref="L183:M183"/>
    <mergeCell ref="L184:M184"/>
    <mergeCell ref="L185:M185"/>
    <mergeCell ref="L186:M186"/>
    <mergeCell ref="L177:M177"/>
    <mergeCell ref="L178:M178"/>
    <mergeCell ref="L179:M179"/>
    <mergeCell ref="L180:M180"/>
    <mergeCell ref="L181:M181"/>
    <mergeCell ref="L172:M172"/>
    <mergeCell ref="L173:M173"/>
    <mergeCell ref="L174:M174"/>
    <mergeCell ref="L175:M175"/>
    <mergeCell ref="L176:M176"/>
    <mergeCell ref="L167:M167"/>
    <mergeCell ref="L168:M168"/>
    <mergeCell ref="L169:M169"/>
    <mergeCell ref="L170:M170"/>
    <mergeCell ref="L171:M171"/>
    <mergeCell ref="L162:M162"/>
    <mergeCell ref="L163:M163"/>
    <mergeCell ref="L164:M164"/>
    <mergeCell ref="L165:M165"/>
    <mergeCell ref="L166:M166"/>
    <mergeCell ref="L157:M157"/>
    <mergeCell ref="L158:M158"/>
    <mergeCell ref="L159:M159"/>
    <mergeCell ref="L160:M160"/>
    <mergeCell ref="L161:M161"/>
    <mergeCell ref="L152:M152"/>
    <mergeCell ref="L153:M153"/>
    <mergeCell ref="L154:M154"/>
    <mergeCell ref="L155:M155"/>
    <mergeCell ref="L156:M156"/>
    <mergeCell ref="L147:M147"/>
    <mergeCell ref="L148:M148"/>
    <mergeCell ref="L149:M149"/>
    <mergeCell ref="L150:M150"/>
    <mergeCell ref="L151:M151"/>
    <mergeCell ref="L142:M142"/>
    <mergeCell ref="L143:M143"/>
    <mergeCell ref="L144:M144"/>
    <mergeCell ref="L145:M145"/>
    <mergeCell ref="L146:M146"/>
    <mergeCell ref="L137:M137"/>
    <mergeCell ref="L138:M138"/>
    <mergeCell ref="L139:M139"/>
    <mergeCell ref="L140:M140"/>
    <mergeCell ref="L141:M141"/>
    <mergeCell ref="L132:M132"/>
    <mergeCell ref="L133:M133"/>
    <mergeCell ref="L134:M134"/>
    <mergeCell ref="L135:M135"/>
    <mergeCell ref="L136:M136"/>
    <mergeCell ref="L127:M127"/>
    <mergeCell ref="L128:M128"/>
    <mergeCell ref="L129:M129"/>
    <mergeCell ref="L130:M130"/>
    <mergeCell ref="L131:M131"/>
    <mergeCell ref="L122:M122"/>
    <mergeCell ref="L123:M123"/>
    <mergeCell ref="L124:M124"/>
    <mergeCell ref="L125:M125"/>
    <mergeCell ref="L126:M126"/>
    <mergeCell ref="L117:M117"/>
    <mergeCell ref="L118:M118"/>
    <mergeCell ref="L119:M119"/>
    <mergeCell ref="L120:M120"/>
    <mergeCell ref="L121:M121"/>
    <mergeCell ref="L112:M112"/>
    <mergeCell ref="L113:M113"/>
    <mergeCell ref="L114:M114"/>
    <mergeCell ref="L115:M115"/>
    <mergeCell ref="L116:M116"/>
    <mergeCell ref="L107:M107"/>
    <mergeCell ref="L108:M108"/>
    <mergeCell ref="L109:M109"/>
    <mergeCell ref="L110:M110"/>
    <mergeCell ref="L111:M111"/>
    <mergeCell ref="L102:M102"/>
    <mergeCell ref="L103:M103"/>
    <mergeCell ref="L104:M104"/>
    <mergeCell ref="L105:M105"/>
    <mergeCell ref="L106:M106"/>
    <mergeCell ref="L97:M97"/>
    <mergeCell ref="L98:M98"/>
    <mergeCell ref="L99:M99"/>
    <mergeCell ref="L100:M100"/>
    <mergeCell ref="L101:M101"/>
    <mergeCell ref="L92:M92"/>
    <mergeCell ref="L93:M93"/>
    <mergeCell ref="L94:M94"/>
    <mergeCell ref="L95:M95"/>
    <mergeCell ref="L96:M96"/>
    <mergeCell ref="L87:M87"/>
    <mergeCell ref="L88:M88"/>
    <mergeCell ref="L89:M89"/>
    <mergeCell ref="L90:M90"/>
    <mergeCell ref="L91:M91"/>
    <mergeCell ref="L82:M82"/>
    <mergeCell ref="L83:M83"/>
    <mergeCell ref="L84:M84"/>
    <mergeCell ref="L85:M85"/>
    <mergeCell ref="L86:M86"/>
    <mergeCell ref="L77:M77"/>
    <mergeCell ref="L78:M78"/>
    <mergeCell ref="L79:M79"/>
    <mergeCell ref="L80:M80"/>
    <mergeCell ref="L81:M81"/>
    <mergeCell ref="L72:M72"/>
    <mergeCell ref="L73:M73"/>
    <mergeCell ref="L74:M74"/>
    <mergeCell ref="L75:M75"/>
    <mergeCell ref="L76:M76"/>
    <mergeCell ref="L67:M67"/>
    <mergeCell ref="L68:M68"/>
    <mergeCell ref="L69:M69"/>
    <mergeCell ref="L70:M70"/>
    <mergeCell ref="L71:M71"/>
    <mergeCell ref="L62:M62"/>
    <mergeCell ref="L63:M63"/>
    <mergeCell ref="L64:M64"/>
    <mergeCell ref="L65:M65"/>
    <mergeCell ref="L66:M66"/>
    <mergeCell ref="L57:M57"/>
    <mergeCell ref="L58:M58"/>
    <mergeCell ref="L59:M59"/>
    <mergeCell ref="L60:M60"/>
    <mergeCell ref="L61:M61"/>
    <mergeCell ref="L52:M52"/>
    <mergeCell ref="L53:M53"/>
    <mergeCell ref="L54:M54"/>
    <mergeCell ref="L55:M55"/>
    <mergeCell ref="L56:M56"/>
    <mergeCell ref="L47:M47"/>
    <mergeCell ref="L48:M48"/>
    <mergeCell ref="L49:M49"/>
    <mergeCell ref="L50:M50"/>
    <mergeCell ref="L51:M51"/>
    <mergeCell ref="L43:M43"/>
    <mergeCell ref="L44:M44"/>
    <mergeCell ref="L45:M45"/>
    <mergeCell ref="L46:M46"/>
    <mergeCell ref="L42:M42"/>
    <mergeCell ref="L25:M25"/>
    <mergeCell ref="L26:M26"/>
    <mergeCell ref="L17:M17"/>
    <mergeCell ref="L18:M18"/>
    <mergeCell ref="L19:M19"/>
    <mergeCell ref="L20:M20"/>
    <mergeCell ref="L21:M21"/>
    <mergeCell ref="L32:M32"/>
    <mergeCell ref="L33:M33"/>
    <mergeCell ref="L37:M37"/>
    <mergeCell ref="L38:M38"/>
    <mergeCell ref="L39:M39"/>
    <mergeCell ref="L40:M40"/>
    <mergeCell ref="L41:M41"/>
    <mergeCell ref="L34:M34"/>
    <mergeCell ref="L35:M35"/>
    <mergeCell ref="L36:M36"/>
    <mergeCell ref="L27:M27"/>
    <mergeCell ref="L28:M28"/>
    <mergeCell ref="L29:M29"/>
    <mergeCell ref="L30:M30"/>
    <mergeCell ref="L31:M31"/>
    <mergeCell ref="L16:M16"/>
    <mergeCell ref="L7:M7"/>
    <mergeCell ref="L8:M8"/>
    <mergeCell ref="L9:M9"/>
    <mergeCell ref="L10:M10"/>
    <mergeCell ref="L11:M11"/>
    <mergeCell ref="L22:M22"/>
    <mergeCell ref="L23:M23"/>
    <mergeCell ref="L24:M24"/>
    <mergeCell ref="A1:L1"/>
    <mergeCell ref="A2:L2"/>
    <mergeCell ref="A3:L3"/>
    <mergeCell ref="A4:L4"/>
    <mergeCell ref="L6:M6"/>
    <mergeCell ref="L12:M12"/>
    <mergeCell ref="L13:M13"/>
    <mergeCell ref="L14:M14"/>
    <mergeCell ref="L15:M15"/>
  </mergeCells>
  <pageMargins left="1" right="1" top="1" bottom="1.53125" header="1" footer="1"/>
  <pageSetup orientation="landscape" horizontalDpi="300" verticalDpi="300"/>
  <headerFooter alignWithMargins="0">
    <oddFooter>&amp;L&amp;"Arial,Regular"&amp;10 10/4/2016 9:07:42 PM</oddFooter>
  </headerFooter>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P196"/>
  <sheetViews>
    <sheetView workbookViewId="0">
      <selection activeCell="I13" sqref="I13"/>
    </sheetView>
  </sheetViews>
  <sheetFormatPr defaultColWidth="9.109375" defaultRowHeight="13.2" x14ac:dyDescent="0.25"/>
  <cols>
    <col min="1" max="1" width="25.109375" style="176" customWidth="1"/>
    <col min="2" max="2" width="16.44140625" style="176" customWidth="1"/>
    <col min="3" max="3" width="9" style="176" customWidth="1"/>
    <col min="4" max="4" width="17.77734375" style="176" customWidth="1"/>
    <col min="5" max="5" width="11.6640625" style="176" customWidth="1"/>
    <col min="6" max="6" width="12.6640625" style="176" customWidth="1"/>
    <col min="7" max="8" width="13.33203125" style="176" customWidth="1"/>
    <col min="9" max="10" width="12.6640625" style="176" customWidth="1"/>
    <col min="11" max="14" width="15.44140625" style="176" customWidth="1"/>
    <col min="15" max="15" width="9.109375" style="176"/>
    <col min="16" max="16" width="12.6640625" style="176" bestFit="1" customWidth="1"/>
    <col min="17" max="16384" width="9.109375" style="176"/>
  </cols>
  <sheetData>
    <row r="1" spans="1:16" ht="26.4" x14ac:dyDescent="0.25">
      <c r="A1" s="189" t="s">
        <v>1366</v>
      </c>
      <c r="B1" s="187">
        <v>2349830000</v>
      </c>
      <c r="P1" s="186"/>
    </row>
    <row r="2" spans="1:16" x14ac:dyDescent="0.25">
      <c r="A2" s="188"/>
      <c r="B2" s="187"/>
      <c r="P2" s="183"/>
    </row>
    <row r="3" spans="1:16" x14ac:dyDescent="0.25">
      <c r="A3" s="188" t="s">
        <v>1365</v>
      </c>
      <c r="B3" s="187">
        <v>11749150</v>
      </c>
      <c r="F3" s="186"/>
      <c r="G3" s="183"/>
      <c r="P3" s="183"/>
    </row>
    <row r="4" spans="1:16" x14ac:dyDescent="0.25">
      <c r="A4" s="188" t="s">
        <v>1364</v>
      </c>
      <c r="B4" s="187">
        <v>93993200</v>
      </c>
      <c r="M4" s="183"/>
    </row>
    <row r="5" spans="1:16" x14ac:dyDescent="0.25">
      <c r="A5" s="177"/>
      <c r="P5" s="186"/>
    </row>
    <row r="6" spans="1:16" ht="39.6" x14ac:dyDescent="0.25">
      <c r="A6" s="179"/>
      <c r="B6" s="185" t="s">
        <v>1363</v>
      </c>
      <c r="C6" s="184"/>
      <c r="D6" s="184" t="s">
        <v>1362</v>
      </c>
      <c r="E6" s="184" t="s">
        <v>1361</v>
      </c>
      <c r="F6" s="184" t="s">
        <v>1361</v>
      </c>
      <c r="G6" s="184" t="s">
        <v>1360</v>
      </c>
      <c r="H6" s="184" t="s">
        <v>1360</v>
      </c>
      <c r="I6" s="184" t="s">
        <v>1358</v>
      </c>
      <c r="J6" s="184" t="s">
        <v>1359</v>
      </c>
      <c r="K6" s="184" t="s">
        <v>1020</v>
      </c>
      <c r="L6" s="184" t="s">
        <v>1358</v>
      </c>
      <c r="M6" s="184" t="s">
        <v>1357</v>
      </c>
      <c r="N6" s="184" t="s">
        <v>1357</v>
      </c>
      <c r="P6" s="183"/>
    </row>
    <row r="7" spans="1:16" ht="26.4" x14ac:dyDescent="0.25">
      <c r="A7" s="179"/>
      <c r="B7" s="182" t="s">
        <v>1356</v>
      </c>
      <c r="C7" s="180"/>
      <c r="D7" s="180" t="s">
        <v>1355</v>
      </c>
      <c r="E7" s="180" t="s">
        <v>1352</v>
      </c>
      <c r="F7" s="180" t="s">
        <v>899</v>
      </c>
      <c r="G7" s="181" t="s">
        <v>1354</v>
      </c>
      <c r="H7" s="181" t="s">
        <v>1353</v>
      </c>
      <c r="I7" s="180" t="s">
        <v>1352</v>
      </c>
      <c r="J7" s="180" t="s">
        <v>1351</v>
      </c>
      <c r="K7" s="180" t="s">
        <v>1350</v>
      </c>
      <c r="L7" s="180" t="s">
        <v>899</v>
      </c>
      <c r="M7" s="180" t="s">
        <v>1349</v>
      </c>
      <c r="N7" s="180" t="s">
        <v>1348</v>
      </c>
    </row>
    <row r="8" spans="1:16" x14ac:dyDescent="0.25">
      <c r="A8" s="179"/>
      <c r="B8" s="179"/>
      <c r="C8" s="179"/>
      <c r="D8" s="179"/>
      <c r="E8" s="179"/>
      <c r="F8" s="179"/>
      <c r="G8" s="179"/>
      <c r="H8" s="179"/>
      <c r="I8" s="179"/>
      <c r="J8" s="179"/>
      <c r="K8" s="179"/>
      <c r="L8" s="179"/>
      <c r="M8" s="179"/>
      <c r="N8" s="179"/>
    </row>
    <row r="9" spans="1:16" x14ac:dyDescent="0.25">
      <c r="A9" s="179" t="s">
        <v>1347</v>
      </c>
      <c r="B9" s="179">
        <v>2220706842</v>
      </c>
      <c r="C9" s="179"/>
      <c r="D9" s="179">
        <v>54962497</v>
      </c>
      <c r="E9" s="179">
        <v>3471511</v>
      </c>
      <c r="F9" s="179">
        <v>58434008</v>
      </c>
      <c r="G9" s="179">
        <v>14189840</v>
      </c>
      <c r="H9" s="179">
        <v>44244168</v>
      </c>
      <c r="I9" s="179">
        <v>18735530</v>
      </c>
      <c r="J9" s="179">
        <v>54962497</v>
      </c>
      <c r="K9" s="179">
        <v>2088574807</v>
      </c>
      <c r="L9" s="179">
        <v>2162272834</v>
      </c>
      <c r="M9" s="179">
        <v>525076002</v>
      </c>
      <c r="N9" s="179">
        <v>1637196832</v>
      </c>
    </row>
    <row r="10" spans="1:16" x14ac:dyDescent="0.25">
      <c r="A10" s="178"/>
      <c r="B10" s="178"/>
      <c r="C10" s="178"/>
      <c r="D10" s="178"/>
      <c r="E10" s="178"/>
      <c r="F10" s="178"/>
      <c r="G10" s="178"/>
      <c r="H10" s="178"/>
      <c r="I10" s="178"/>
      <c r="J10" s="178"/>
      <c r="K10" s="178"/>
      <c r="L10" s="178"/>
      <c r="M10" s="178"/>
      <c r="N10" s="178"/>
    </row>
    <row r="11" spans="1:16" x14ac:dyDescent="0.25">
      <c r="A11" s="178" t="s">
        <v>981</v>
      </c>
      <c r="B11" s="178">
        <v>35674367</v>
      </c>
      <c r="C11" s="178"/>
      <c r="D11" s="178">
        <v>882941</v>
      </c>
      <c r="E11" s="178">
        <v>52913</v>
      </c>
      <c r="F11" s="178">
        <v>935854</v>
      </c>
      <c r="G11" s="178">
        <v>227259</v>
      </c>
      <c r="H11" s="178">
        <v>708595</v>
      </c>
      <c r="I11" s="178">
        <v>303830</v>
      </c>
      <c r="J11" s="178">
        <v>882941</v>
      </c>
      <c r="K11" s="178">
        <v>33551742</v>
      </c>
      <c r="L11" s="178">
        <v>34738513</v>
      </c>
      <c r="M11" s="178">
        <v>8435735</v>
      </c>
      <c r="N11" s="178">
        <v>26302778</v>
      </c>
    </row>
    <row r="12" spans="1:16" x14ac:dyDescent="0.25">
      <c r="A12" s="178" t="s">
        <v>980</v>
      </c>
      <c r="B12" s="178">
        <v>10633734</v>
      </c>
      <c r="C12" s="178"/>
      <c r="D12" s="178">
        <v>263185</v>
      </c>
      <c r="E12" s="178">
        <v>17391</v>
      </c>
      <c r="F12" s="178">
        <v>280576</v>
      </c>
      <c r="G12" s="178">
        <v>68135</v>
      </c>
      <c r="H12" s="178">
        <v>212441</v>
      </c>
      <c r="I12" s="178">
        <v>88946</v>
      </c>
      <c r="J12" s="178">
        <v>263185</v>
      </c>
      <c r="K12" s="178">
        <v>10001027</v>
      </c>
      <c r="L12" s="178">
        <v>10353158</v>
      </c>
      <c r="M12" s="178">
        <v>2514111</v>
      </c>
      <c r="N12" s="178">
        <v>7839047</v>
      </c>
    </row>
    <row r="13" spans="1:16" x14ac:dyDescent="0.25">
      <c r="A13" s="178" t="s">
        <v>572</v>
      </c>
      <c r="B13" s="178">
        <v>34528999</v>
      </c>
      <c r="C13" s="178"/>
      <c r="D13" s="178">
        <v>854593</v>
      </c>
      <c r="E13" s="178">
        <v>57516</v>
      </c>
      <c r="F13" s="178">
        <v>912109</v>
      </c>
      <c r="G13" s="178">
        <v>221492</v>
      </c>
      <c r="H13" s="178">
        <v>690617</v>
      </c>
      <c r="I13" s="178">
        <v>287773</v>
      </c>
      <c r="J13" s="178">
        <v>854593</v>
      </c>
      <c r="K13" s="178">
        <v>32474524</v>
      </c>
      <c r="L13" s="178">
        <v>33616890</v>
      </c>
      <c r="M13" s="178">
        <v>8163365</v>
      </c>
      <c r="N13" s="178">
        <v>25453525</v>
      </c>
    </row>
    <row r="14" spans="1:16" x14ac:dyDescent="0.25">
      <c r="A14" s="178" t="s">
        <v>979</v>
      </c>
      <c r="B14" s="178">
        <v>21572642</v>
      </c>
      <c r="C14" s="178"/>
      <c r="D14" s="178">
        <v>533923</v>
      </c>
      <c r="E14" s="178">
        <v>33074</v>
      </c>
      <c r="F14" s="178">
        <v>566997</v>
      </c>
      <c r="G14" s="178">
        <v>137687</v>
      </c>
      <c r="H14" s="178">
        <v>429310</v>
      </c>
      <c r="I14" s="178">
        <v>182652</v>
      </c>
      <c r="J14" s="178">
        <v>533923</v>
      </c>
      <c r="K14" s="178">
        <v>20289070</v>
      </c>
      <c r="L14" s="178">
        <v>21005645</v>
      </c>
      <c r="M14" s="178">
        <v>5100910</v>
      </c>
      <c r="N14" s="178">
        <v>15904735</v>
      </c>
    </row>
    <row r="15" spans="1:16" x14ac:dyDescent="0.25">
      <c r="A15" s="178" t="s">
        <v>978</v>
      </c>
      <c r="B15" s="178">
        <v>249340060</v>
      </c>
      <c r="C15" s="178"/>
      <c r="D15" s="178">
        <v>6171167</v>
      </c>
      <c r="E15" s="178">
        <v>429618</v>
      </c>
      <c r="F15" s="178">
        <v>6600785</v>
      </c>
      <c r="G15" s="178">
        <v>1602903</v>
      </c>
      <c r="H15" s="178">
        <v>4997882</v>
      </c>
      <c r="I15" s="178">
        <v>2063782</v>
      </c>
      <c r="J15" s="178">
        <v>6171167</v>
      </c>
      <c r="K15" s="178">
        <v>234504326</v>
      </c>
      <c r="L15" s="178">
        <v>242739275</v>
      </c>
      <c r="M15" s="178">
        <v>58945646</v>
      </c>
      <c r="N15" s="178">
        <v>183793629</v>
      </c>
    </row>
    <row r="16" spans="1:16" x14ac:dyDescent="0.25">
      <c r="A16" s="178" t="s">
        <v>977</v>
      </c>
      <c r="B16" s="178">
        <v>24887610</v>
      </c>
      <c r="C16" s="178"/>
      <c r="D16" s="178">
        <v>615968</v>
      </c>
      <c r="E16" s="178">
        <v>39227</v>
      </c>
      <c r="F16" s="178">
        <v>655195</v>
      </c>
      <c r="G16" s="178">
        <v>159104</v>
      </c>
      <c r="H16" s="178">
        <v>496091</v>
      </c>
      <c r="I16" s="178">
        <v>209649</v>
      </c>
      <c r="J16" s="178">
        <v>615968</v>
      </c>
      <c r="K16" s="178">
        <v>23406798</v>
      </c>
      <c r="L16" s="178">
        <v>24232415</v>
      </c>
      <c r="M16" s="178">
        <v>5884484</v>
      </c>
      <c r="N16" s="178">
        <v>18347931</v>
      </c>
    </row>
    <row r="17" spans="1:14" x14ac:dyDescent="0.25">
      <c r="A17" s="178" t="s">
        <v>976</v>
      </c>
      <c r="B17" s="178">
        <v>21268170</v>
      </c>
      <c r="C17" s="178"/>
      <c r="D17" s="178">
        <v>526387</v>
      </c>
      <c r="E17" s="178">
        <v>35466</v>
      </c>
      <c r="F17" s="178">
        <v>561853</v>
      </c>
      <c r="G17" s="178">
        <v>136438</v>
      </c>
      <c r="H17" s="178">
        <v>425415</v>
      </c>
      <c r="I17" s="178">
        <v>177215</v>
      </c>
      <c r="J17" s="178">
        <v>526387</v>
      </c>
      <c r="K17" s="178">
        <v>20002715</v>
      </c>
      <c r="L17" s="178">
        <v>20706317</v>
      </c>
      <c r="M17" s="178">
        <v>5028223</v>
      </c>
      <c r="N17" s="178">
        <v>15678094</v>
      </c>
    </row>
    <row r="18" spans="1:14" x14ac:dyDescent="0.25">
      <c r="A18" s="178" t="s">
        <v>975</v>
      </c>
      <c r="B18" s="178">
        <v>10633734</v>
      </c>
      <c r="C18" s="178"/>
      <c r="D18" s="178">
        <v>263185</v>
      </c>
      <c r="E18" s="178">
        <v>17391</v>
      </c>
      <c r="F18" s="178">
        <v>280576</v>
      </c>
      <c r="G18" s="178">
        <v>68134</v>
      </c>
      <c r="H18" s="178">
        <v>212442</v>
      </c>
      <c r="I18" s="178">
        <v>88946</v>
      </c>
      <c r="J18" s="178">
        <v>263185</v>
      </c>
      <c r="K18" s="178">
        <v>10001027</v>
      </c>
      <c r="L18" s="178">
        <v>10353158</v>
      </c>
      <c r="M18" s="178">
        <v>2514111</v>
      </c>
      <c r="N18" s="178">
        <v>7839047</v>
      </c>
    </row>
    <row r="19" spans="1:14" x14ac:dyDescent="0.25">
      <c r="A19" s="178" t="s">
        <v>1346</v>
      </c>
      <c r="B19" s="178">
        <v>10633734</v>
      </c>
      <c r="C19" s="178"/>
      <c r="D19" s="178">
        <v>263185</v>
      </c>
      <c r="E19" s="178">
        <v>17391</v>
      </c>
      <c r="F19" s="178">
        <v>280576</v>
      </c>
      <c r="G19" s="178">
        <v>68134</v>
      </c>
      <c r="H19" s="178">
        <v>212442</v>
      </c>
      <c r="I19" s="178">
        <v>88946</v>
      </c>
      <c r="J19" s="178">
        <v>263185</v>
      </c>
      <c r="K19" s="178">
        <v>10001027</v>
      </c>
      <c r="L19" s="178">
        <v>10353158</v>
      </c>
      <c r="M19" s="178">
        <v>2514111</v>
      </c>
      <c r="N19" s="178">
        <v>7839047</v>
      </c>
    </row>
    <row r="20" spans="1:14" x14ac:dyDescent="0.25">
      <c r="A20" s="178" t="s">
        <v>973</v>
      </c>
      <c r="B20" s="178">
        <v>100738592</v>
      </c>
      <c r="C20" s="178"/>
      <c r="D20" s="178">
        <v>2493280</v>
      </c>
      <c r="E20" s="178">
        <v>170440</v>
      </c>
      <c r="F20" s="178">
        <v>2663720</v>
      </c>
      <c r="G20" s="178">
        <v>646845</v>
      </c>
      <c r="H20" s="178">
        <v>2016875</v>
      </c>
      <c r="I20" s="178">
        <v>836945</v>
      </c>
      <c r="J20" s="178">
        <v>2493280</v>
      </c>
      <c r="K20" s="178">
        <v>94744647</v>
      </c>
      <c r="L20" s="178">
        <v>98074872</v>
      </c>
      <c r="M20" s="178">
        <v>23816033</v>
      </c>
      <c r="N20" s="178">
        <v>74258839</v>
      </c>
    </row>
    <row r="21" spans="1:14" x14ac:dyDescent="0.25">
      <c r="A21" s="178" t="s">
        <v>972</v>
      </c>
      <c r="B21" s="178">
        <v>58490265</v>
      </c>
      <c r="C21" s="178"/>
      <c r="D21" s="178">
        <v>1447634</v>
      </c>
      <c r="E21" s="178">
        <v>97218</v>
      </c>
      <c r="F21" s="178">
        <v>1544852</v>
      </c>
      <c r="G21" s="178">
        <v>375144</v>
      </c>
      <c r="H21" s="178">
        <v>1169708</v>
      </c>
      <c r="I21" s="178">
        <v>487684</v>
      </c>
      <c r="J21" s="178">
        <v>1447634</v>
      </c>
      <c r="K21" s="178">
        <v>55010095</v>
      </c>
      <c r="L21" s="178">
        <v>56945413</v>
      </c>
      <c r="M21" s="178">
        <v>13828352</v>
      </c>
      <c r="N21" s="178">
        <v>43117061</v>
      </c>
    </row>
    <row r="22" spans="1:14" x14ac:dyDescent="0.25">
      <c r="A22" s="178" t="s">
        <v>971</v>
      </c>
      <c r="B22" s="178">
        <v>10633734</v>
      </c>
      <c r="C22" s="178"/>
      <c r="D22" s="178">
        <v>263185</v>
      </c>
      <c r="E22" s="178">
        <v>17391</v>
      </c>
      <c r="F22" s="178">
        <v>280576</v>
      </c>
      <c r="G22" s="178">
        <v>68134</v>
      </c>
      <c r="H22" s="178">
        <v>212442</v>
      </c>
      <c r="I22" s="178">
        <v>88946</v>
      </c>
      <c r="J22" s="178">
        <v>263185</v>
      </c>
      <c r="K22" s="178">
        <v>10001027</v>
      </c>
      <c r="L22" s="178">
        <v>10353158</v>
      </c>
      <c r="M22" s="178">
        <v>2514111</v>
      </c>
      <c r="N22" s="178">
        <v>7839047</v>
      </c>
    </row>
    <row r="23" spans="1:14" x14ac:dyDescent="0.25">
      <c r="A23" s="178" t="s">
        <v>970</v>
      </c>
      <c r="B23" s="178">
        <v>10641786</v>
      </c>
      <c r="C23" s="178"/>
      <c r="D23" s="178">
        <v>263384</v>
      </c>
      <c r="E23" s="178">
        <v>17391</v>
      </c>
      <c r="F23" s="178">
        <v>280775</v>
      </c>
      <c r="G23" s="178">
        <v>68182</v>
      </c>
      <c r="H23" s="178">
        <v>212593</v>
      </c>
      <c r="I23" s="178">
        <v>89026</v>
      </c>
      <c r="J23" s="178">
        <v>263384</v>
      </c>
      <c r="K23" s="178">
        <v>10008601</v>
      </c>
      <c r="L23" s="178">
        <v>10361011</v>
      </c>
      <c r="M23" s="178">
        <v>2516018</v>
      </c>
      <c r="N23" s="178">
        <v>7844993</v>
      </c>
    </row>
    <row r="24" spans="1:14" x14ac:dyDescent="0.25">
      <c r="A24" s="178" t="s">
        <v>969</v>
      </c>
      <c r="B24" s="178">
        <v>92124341</v>
      </c>
      <c r="C24" s="178"/>
      <c r="D24" s="178">
        <v>2280077</v>
      </c>
      <c r="E24" s="178">
        <v>142769</v>
      </c>
      <c r="F24" s="178">
        <v>2422846</v>
      </c>
      <c r="G24" s="178">
        <v>588352</v>
      </c>
      <c r="H24" s="178">
        <v>1834494</v>
      </c>
      <c r="I24" s="178">
        <v>778474</v>
      </c>
      <c r="J24" s="178">
        <v>2280077</v>
      </c>
      <c r="K24" s="178">
        <v>86642944</v>
      </c>
      <c r="L24" s="178">
        <v>89701495</v>
      </c>
      <c r="M24" s="178">
        <v>21782683</v>
      </c>
      <c r="N24" s="178">
        <v>67918812</v>
      </c>
    </row>
    <row r="25" spans="1:14" x14ac:dyDescent="0.25">
      <c r="A25" s="178" t="s">
        <v>968</v>
      </c>
      <c r="B25" s="178">
        <v>38030560</v>
      </c>
      <c r="C25" s="178"/>
      <c r="D25" s="178">
        <v>941256</v>
      </c>
      <c r="E25" s="178">
        <v>60810</v>
      </c>
      <c r="F25" s="178">
        <v>1002066</v>
      </c>
      <c r="G25" s="178">
        <v>243337</v>
      </c>
      <c r="H25" s="178">
        <v>758729</v>
      </c>
      <c r="I25" s="178">
        <v>319495</v>
      </c>
      <c r="J25" s="178">
        <v>941256</v>
      </c>
      <c r="K25" s="178">
        <v>35767743</v>
      </c>
      <c r="L25" s="178">
        <v>37028494</v>
      </c>
      <c r="M25" s="178">
        <v>8991823</v>
      </c>
      <c r="N25" s="178">
        <v>28036671</v>
      </c>
    </row>
    <row r="26" spans="1:14" x14ac:dyDescent="0.25">
      <c r="A26" s="178" t="s">
        <v>967</v>
      </c>
      <c r="B26" s="178">
        <v>17563813</v>
      </c>
      <c r="C26" s="178"/>
      <c r="D26" s="178">
        <v>434704</v>
      </c>
      <c r="E26" s="178">
        <v>27754</v>
      </c>
      <c r="F26" s="178">
        <v>462458</v>
      </c>
      <c r="G26" s="178">
        <v>112301</v>
      </c>
      <c r="H26" s="178">
        <v>350157</v>
      </c>
      <c r="I26" s="178">
        <v>147884</v>
      </c>
      <c r="J26" s="178">
        <v>434704</v>
      </c>
      <c r="K26" s="178">
        <v>16518767</v>
      </c>
      <c r="L26" s="178">
        <v>17101355</v>
      </c>
      <c r="M26" s="178">
        <v>4152811</v>
      </c>
      <c r="N26" s="178">
        <v>12948544</v>
      </c>
    </row>
    <row r="27" spans="1:14" x14ac:dyDescent="0.25">
      <c r="A27" s="178" t="s">
        <v>966</v>
      </c>
      <c r="B27" s="178">
        <v>17934391</v>
      </c>
      <c r="C27" s="178"/>
      <c r="D27" s="178">
        <v>443876</v>
      </c>
      <c r="E27" s="178">
        <v>28729</v>
      </c>
      <c r="F27" s="178">
        <v>472605</v>
      </c>
      <c r="G27" s="178">
        <v>114765</v>
      </c>
      <c r="H27" s="178">
        <v>357840</v>
      </c>
      <c r="I27" s="178">
        <v>150614</v>
      </c>
      <c r="J27" s="178">
        <v>443876</v>
      </c>
      <c r="K27" s="178">
        <v>16867296</v>
      </c>
      <c r="L27" s="178">
        <v>17461786</v>
      </c>
      <c r="M27" s="178">
        <v>4240337</v>
      </c>
      <c r="N27" s="178">
        <v>13221449</v>
      </c>
    </row>
    <row r="28" spans="1:14" x14ac:dyDescent="0.25">
      <c r="A28" s="178" t="s">
        <v>965</v>
      </c>
      <c r="B28" s="178">
        <v>35302149</v>
      </c>
      <c r="C28" s="178"/>
      <c r="D28" s="178">
        <v>873728</v>
      </c>
      <c r="E28" s="178">
        <v>50232</v>
      </c>
      <c r="F28" s="178">
        <v>923960</v>
      </c>
      <c r="G28" s="178">
        <v>224370</v>
      </c>
      <c r="H28" s="178">
        <v>699590</v>
      </c>
      <c r="I28" s="178">
        <v>302789</v>
      </c>
      <c r="J28" s="178">
        <v>873728</v>
      </c>
      <c r="K28" s="178">
        <v>33201672</v>
      </c>
      <c r="L28" s="178">
        <v>34378189</v>
      </c>
      <c r="M28" s="178">
        <v>8348235</v>
      </c>
      <c r="N28" s="178">
        <v>26029954</v>
      </c>
    </row>
    <row r="29" spans="1:14" x14ac:dyDescent="0.25">
      <c r="A29" s="178" t="s">
        <v>964</v>
      </c>
      <c r="B29" s="178">
        <v>51418580</v>
      </c>
      <c r="C29" s="178"/>
      <c r="D29" s="178">
        <v>1272610</v>
      </c>
      <c r="E29" s="178">
        <v>68321</v>
      </c>
      <c r="F29" s="178">
        <v>1340931</v>
      </c>
      <c r="G29" s="178">
        <v>325625</v>
      </c>
      <c r="H29" s="178">
        <v>1015306</v>
      </c>
      <c r="I29" s="178">
        <v>445864</v>
      </c>
      <c r="J29" s="178">
        <v>1272610</v>
      </c>
      <c r="K29" s="178">
        <v>48359175</v>
      </c>
      <c r="L29" s="178">
        <v>50077649</v>
      </c>
      <c r="M29" s="178">
        <v>12160617</v>
      </c>
      <c r="N29" s="178">
        <v>37917032</v>
      </c>
    </row>
    <row r="30" spans="1:14" x14ac:dyDescent="0.25">
      <c r="A30" s="178" t="s">
        <v>963</v>
      </c>
      <c r="B30" s="178">
        <v>10633734</v>
      </c>
      <c r="C30" s="178"/>
      <c r="D30" s="178">
        <v>263185</v>
      </c>
      <c r="E30" s="178">
        <v>10000</v>
      </c>
      <c r="F30" s="178">
        <v>273185</v>
      </c>
      <c r="G30" s="178">
        <v>66339</v>
      </c>
      <c r="H30" s="178">
        <v>206846</v>
      </c>
      <c r="I30" s="178">
        <v>96337</v>
      </c>
      <c r="J30" s="178">
        <v>263185</v>
      </c>
      <c r="K30" s="178">
        <v>10001027</v>
      </c>
      <c r="L30" s="178">
        <v>10360549</v>
      </c>
      <c r="M30" s="178">
        <v>2515906</v>
      </c>
      <c r="N30" s="178">
        <v>7844643</v>
      </c>
    </row>
    <row r="31" spans="1:14" x14ac:dyDescent="0.25">
      <c r="A31" s="178" t="s">
        <v>962</v>
      </c>
      <c r="B31" s="178">
        <v>32761838</v>
      </c>
      <c r="C31" s="178"/>
      <c r="D31" s="178">
        <v>810856</v>
      </c>
      <c r="E31" s="178">
        <v>53888</v>
      </c>
      <c r="F31" s="178">
        <v>864744</v>
      </c>
      <c r="G31" s="178">
        <v>209990</v>
      </c>
      <c r="H31" s="178">
        <v>654754</v>
      </c>
      <c r="I31" s="178">
        <v>273730</v>
      </c>
      <c r="J31" s="178">
        <v>810856</v>
      </c>
      <c r="K31" s="178">
        <v>30812508</v>
      </c>
      <c r="L31" s="178">
        <v>31897094</v>
      </c>
      <c r="M31" s="178">
        <v>7745738</v>
      </c>
      <c r="N31" s="178">
        <v>24151356</v>
      </c>
    </row>
    <row r="32" spans="1:14" x14ac:dyDescent="0.25">
      <c r="A32" s="178" t="s">
        <v>961</v>
      </c>
      <c r="B32" s="178">
        <v>41301274</v>
      </c>
      <c r="C32" s="178"/>
      <c r="D32" s="178">
        <v>1022207</v>
      </c>
      <c r="E32" s="178">
        <v>66015</v>
      </c>
      <c r="F32" s="178">
        <v>1088222</v>
      </c>
      <c r="G32" s="178">
        <v>264259</v>
      </c>
      <c r="H32" s="178">
        <v>823963</v>
      </c>
      <c r="I32" s="178">
        <v>346997</v>
      </c>
      <c r="J32" s="178">
        <v>1022207</v>
      </c>
      <c r="K32" s="178">
        <v>38843848</v>
      </c>
      <c r="L32" s="178">
        <v>40213052</v>
      </c>
      <c r="M32" s="178">
        <v>9765145</v>
      </c>
      <c r="N32" s="178">
        <v>30447907</v>
      </c>
    </row>
    <row r="33" spans="1:14" x14ac:dyDescent="0.25">
      <c r="A33" s="178" t="s">
        <v>960</v>
      </c>
      <c r="B33" s="178">
        <v>89914866</v>
      </c>
      <c r="C33" s="178"/>
      <c r="D33" s="178">
        <v>2225393</v>
      </c>
      <c r="E33" s="178">
        <v>131932</v>
      </c>
      <c r="F33" s="178">
        <v>2357325</v>
      </c>
      <c r="G33" s="178">
        <v>572442</v>
      </c>
      <c r="H33" s="178">
        <v>1784883</v>
      </c>
      <c r="I33" s="178">
        <v>767216</v>
      </c>
      <c r="J33" s="178">
        <v>2225393</v>
      </c>
      <c r="K33" s="178">
        <v>84564932</v>
      </c>
      <c r="L33" s="178">
        <v>87557541</v>
      </c>
      <c r="M33" s="178">
        <v>21262055</v>
      </c>
      <c r="N33" s="178">
        <v>66295486</v>
      </c>
    </row>
    <row r="34" spans="1:14" x14ac:dyDescent="0.25">
      <c r="A34" s="178" t="s">
        <v>959</v>
      </c>
      <c r="B34" s="178">
        <v>30785095</v>
      </c>
      <c r="C34" s="178"/>
      <c r="D34" s="178">
        <v>761931</v>
      </c>
      <c r="E34" s="178">
        <v>48084</v>
      </c>
      <c r="F34" s="178">
        <v>810015</v>
      </c>
      <c r="G34" s="178">
        <v>196700</v>
      </c>
      <c r="H34" s="178">
        <v>613315</v>
      </c>
      <c r="I34" s="178">
        <v>259766</v>
      </c>
      <c r="J34" s="178">
        <v>761931</v>
      </c>
      <c r="K34" s="178">
        <v>28953383</v>
      </c>
      <c r="L34" s="178">
        <v>29975080</v>
      </c>
      <c r="M34" s="178">
        <v>7279005</v>
      </c>
      <c r="N34" s="178">
        <v>22696075</v>
      </c>
    </row>
    <row r="35" spans="1:14" x14ac:dyDescent="0.25">
      <c r="A35" s="178" t="s">
        <v>958</v>
      </c>
      <c r="B35" s="178">
        <v>33455813</v>
      </c>
      <c r="C35" s="178"/>
      <c r="D35" s="178">
        <v>828031</v>
      </c>
      <c r="E35" s="178">
        <v>43091</v>
      </c>
      <c r="F35" s="178">
        <v>871122</v>
      </c>
      <c r="G35" s="178">
        <v>211539</v>
      </c>
      <c r="H35" s="178">
        <v>659583</v>
      </c>
      <c r="I35" s="178">
        <v>291467</v>
      </c>
      <c r="J35" s="178">
        <v>828031</v>
      </c>
      <c r="K35" s="178">
        <v>31465193</v>
      </c>
      <c r="L35" s="178">
        <v>32584691</v>
      </c>
      <c r="M35" s="178">
        <v>7912711</v>
      </c>
      <c r="N35" s="178">
        <v>24671980</v>
      </c>
    </row>
    <row r="36" spans="1:14" x14ac:dyDescent="0.25">
      <c r="A36" s="178" t="s">
        <v>957</v>
      </c>
      <c r="B36" s="178">
        <v>38705679</v>
      </c>
      <c r="C36" s="178"/>
      <c r="D36" s="178">
        <v>957966</v>
      </c>
      <c r="E36" s="178">
        <v>63157</v>
      </c>
      <c r="F36" s="178">
        <v>1021123</v>
      </c>
      <c r="G36" s="178">
        <v>247965</v>
      </c>
      <c r="H36" s="178">
        <v>773158</v>
      </c>
      <c r="I36" s="178">
        <v>323899</v>
      </c>
      <c r="J36" s="178">
        <v>957966</v>
      </c>
      <c r="K36" s="178">
        <v>36402691</v>
      </c>
      <c r="L36" s="178">
        <v>37684556</v>
      </c>
      <c r="M36" s="178">
        <v>9151138</v>
      </c>
      <c r="N36" s="178">
        <v>28533418</v>
      </c>
    </row>
    <row r="37" spans="1:14" x14ac:dyDescent="0.25">
      <c r="A37" s="178" t="s">
        <v>956</v>
      </c>
      <c r="B37" s="178">
        <v>10633734</v>
      </c>
      <c r="C37" s="178"/>
      <c r="D37" s="178">
        <v>263185</v>
      </c>
      <c r="E37" s="178">
        <v>17391</v>
      </c>
      <c r="F37" s="178">
        <v>280576</v>
      </c>
      <c r="G37" s="178">
        <v>68134</v>
      </c>
      <c r="H37" s="178">
        <v>212442</v>
      </c>
      <c r="I37" s="178">
        <v>88946</v>
      </c>
      <c r="J37" s="178">
        <v>263185</v>
      </c>
      <c r="K37" s="178">
        <v>10001027</v>
      </c>
      <c r="L37" s="178">
        <v>10353158</v>
      </c>
      <c r="M37" s="178">
        <v>2514111</v>
      </c>
      <c r="N37" s="178">
        <v>7839047</v>
      </c>
    </row>
    <row r="38" spans="1:14" x14ac:dyDescent="0.25">
      <c r="A38" s="178" t="s">
        <v>955</v>
      </c>
      <c r="B38" s="178">
        <v>10910677</v>
      </c>
      <c r="C38" s="178"/>
      <c r="D38" s="178">
        <v>270039</v>
      </c>
      <c r="E38" s="178">
        <v>17391</v>
      </c>
      <c r="F38" s="178">
        <v>287430</v>
      </c>
      <c r="G38" s="178">
        <v>69798</v>
      </c>
      <c r="H38" s="178">
        <v>217632</v>
      </c>
      <c r="I38" s="178">
        <v>91715</v>
      </c>
      <c r="J38" s="178">
        <v>270039</v>
      </c>
      <c r="K38" s="178">
        <v>10261493</v>
      </c>
      <c r="L38" s="178">
        <v>10623247</v>
      </c>
      <c r="M38" s="178">
        <v>2579699</v>
      </c>
      <c r="N38" s="178">
        <v>8043548</v>
      </c>
    </row>
    <row r="39" spans="1:14" x14ac:dyDescent="0.25">
      <c r="A39" s="178" t="s">
        <v>954</v>
      </c>
      <c r="B39" s="178">
        <v>11076881</v>
      </c>
      <c r="C39" s="178"/>
      <c r="D39" s="178">
        <v>274153</v>
      </c>
      <c r="E39" s="178">
        <v>17391</v>
      </c>
      <c r="F39" s="178">
        <v>291544</v>
      </c>
      <c r="G39" s="178">
        <v>70797</v>
      </c>
      <c r="H39" s="178">
        <v>220747</v>
      </c>
      <c r="I39" s="178">
        <v>93377</v>
      </c>
      <c r="J39" s="178">
        <v>274153</v>
      </c>
      <c r="K39" s="178">
        <v>10417807</v>
      </c>
      <c r="L39" s="178">
        <v>10785337</v>
      </c>
      <c r="M39" s="178">
        <v>2619060</v>
      </c>
      <c r="N39" s="178">
        <v>8166277</v>
      </c>
    </row>
    <row r="40" spans="1:14" x14ac:dyDescent="0.25">
      <c r="A40" s="178" t="s">
        <v>1345</v>
      </c>
      <c r="B40" s="178">
        <v>10633734</v>
      </c>
      <c r="C40" s="178"/>
      <c r="D40" s="178">
        <v>263185</v>
      </c>
      <c r="E40" s="178">
        <v>17391</v>
      </c>
      <c r="F40" s="178">
        <v>280576</v>
      </c>
      <c r="G40" s="178">
        <v>68134</v>
      </c>
      <c r="H40" s="178">
        <v>212442</v>
      </c>
      <c r="I40" s="178">
        <v>88946</v>
      </c>
      <c r="J40" s="178">
        <v>263185</v>
      </c>
      <c r="K40" s="178">
        <v>10001027</v>
      </c>
      <c r="L40" s="178">
        <v>10353158</v>
      </c>
      <c r="M40" s="178">
        <v>2514111</v>
      </c>
      <c r="N40" s="178">
        <v>7839047</v>
      </c>
    </row>
    <row r="41" spans="1:14" x14ac:dyDescent="0.25">
      <c r="A41" s="178" t="s">
        <v>1344</v>
      </c>
      <c r="B41" s="178">
        <v>51484513</v>
      </c>
      <c r="C41" s="178"/>
      <c r="D41" s="178">
        <v>1274242</v>
      </c>
      <c r="E41" s="178">
        <v>84804</v>
      </c>
      <c r="F41" s="178">
        <v>1359046</v>
      </c>
      <c r="G41" s="178">
        <v>330024</v>
      </c>
      <c r="H41" s="178">
        <v>1029022</v>
      </c>
      <c r="I41" s="178">
        <v>430041</v>
      </c>
      <c r="J41" s="178">
        <v>1274242</v>
      </c>
      <c r="K41" s="178">
        <v>48421184</v>
      </c>
      <c r="L41" s="178">
        <v>50125467</v>
      </c>
      <c r="M41" s="178">
        <v>12172229</v>
      </c>
      <c r="N41" s="178">
        <v>37953238</v>
      </c>
    </row>
    <row r="42" spans="1:14" x14ac:dyDescent="0.25">
      <c r="A42" s="178" t="s">
        <v>1343</v>
      </c>
      <c r="B42" s="178">
        <v>17719628</v>
      </c>
      <c r="C42" s="178"/>
      <c r="D42" s="178">
        <v>438561</v>
      </c>
      <c r="E42" s="178">
        <v>27198</v>
      </c>
      <c r="F42" s="178">
        <v>465759</v>
      </c>
      <c r="G42" s="178">
        <v>113103</v>
      </c>
      <c r="H42" s="178">
        <v>352656</v>
      </c>
      <c r="I42" s="178">
        <v>149998</v>
      </c>
      <c r="J42" s="178">
        <v>438561</v>
      </c>
      <c r="K42" s="178">
        <v>16665310</v>
      </c>
      <c r="L42" s="178">
        <v>17253869</v>
      </c>
      <c r="M42" s="178">
        <v>4189847</v>
      </c>
      <c r="N42" s="178">
        <v>13064022</v>
      </c>
    </row>
    <row r="43" spans="1:14" x14ac:dyDescent="0.25">
      <c r="A43" s="178" t="s">
        <v>1342</v>
      </c>
      <c r="B43" s="178">
        <v>186025730</v>
      </c>
      <c r="C43" s="178"/>
      <c r="D43" s="178">
        <v>4604137</v>
      </c>
      <c r="E43" s="178">
        <v>272517</v>
      </c>
      <c r="F43" s="178">
        <v>4876654</v>
      </c>
      <c r="G43" s="178">
        <v>1184223</v>
      </c>
      <c r="H43" s="178">
        <v>3692431</v>
      </c>
      <c r="I43" s="178">
        <v>1587740</v>
      </c>
      <c r="J43" s="178">
        <v>4604137</v>
      </c>
      <c r="K43" s="178">
        <v>174957199</v>
      </c>
      <c r="L43" s="178">
        <v>181149076</v>
      </c>
      <c r="M43" s="178">
        <v>43989376</v>
      </c>
      <c r="N43" s="178">
        <v>137159700</v>
      </c>
    </row>
    <row r="44" spans="1:14" x14ac:dyDescent="0.25">
      <c r="A44" s="178" t="s">
        <v>1341</v>
      </c>
      <c r="B44" s="178">
        <v>48494161</v>
      </c>
      <c r="C44" s="178"/>
      <c r="D44" s="178">
        <v>1200231</v>
      </c>
      <c r="E44" s="178">
        <v>80766</v>
      </c>
      <c r="F44" s="178">
        <v>1280997</v>
      </c>
      <c r="G44" s="178">
        <v>311071</v>
      </c>
      <c r="H44" s="178">
        <v>969926</v>
      </c>
      <c r="I44" s="178">
        <v>404175</v>
      </c>
      <c r="J44" s="178">
        <v>1200231</v>
      </c>
      <c r="K44" s="178">
        <v>45608758</v>
      </c>
      <c r="L44" s="178">
        <v>47213164</v>
      </c>
      <c r="M44" s="178">
        <v>11465019</v>
      </c>
      <c r="N44" s="178">
        <v>35748145</v>
      </c>
    </row>
    <row r="45" spans="1:14" x14ac:dyDescent="0.25">
      <c r="A45" s="178" t="s">
        <v>1340</v>
      </c>
      <c r="B45" s="178">
        <v>10633734</v>
      </c>
      <c r="C45" s="178"/>
      <c r="D45" s="178">
        <v>263185</v>
      </c>
      <c r="E45" s="178">
        <v>17391</v>
      </c>
      <c r="F45" s="178">
        <v>280576</v>
      </c>
      <c r="G45" s="178">
        <v>68134</v>
      </c>
      <c r="H45" s="178">
        <v>212442</v>
      </c>
      <c r="I45" s="178">
        <v>88946</v>
      </c>
      <c r="J45" s="178">
        <v>263185</v>
      </c>
      <c r="K45" s="178">
        <v>10001027</v>
      </c>
      <c r="L45" s="178">
        <v>10353158</v>
      </c>
      <c r="M45" s="178">
        <v>2514111</v>
      </c>
      <c r="N45" s="178">
        <v>7839047</v>
      </c>
    </row>
    <row r="46" spans="1:14" x14ac:dyDescent="0.25">
      <c r="A46" s="178" t="s">
        <v>947</v>
      </c>
      <c r="B46" s="178">
        <v>84468279</v>
      </c>
      <c r="C46" s="178"/>
      <c r="D46" s="178">
        <v>2090590</v>
      </c>
      <c r="E46" s="178">
        <v>128327</v>
      </c>
      <c r="F46" s="178">
        <v>2218917</v>
      </c>
      <c r="G46" s="178">
        <v>538831</v>
      </c>
      <c r="H46" s="178">
        <v>1680086</v>
      </c>
      <c r="I46" s="178">
        <v>716355</v>
      </c>
      <c r="J46" s="178">
        <v>2090590</v>
      </c>
      <c r="K46" s="178">
        <v>79442417</v>
      </c>
      <c r="L46" s="178">
        <v>82249362</v>
      </c>
      <c r="M46" s="178">
        <v>19973042</v>
      </c>
      <c r="N46" s="178">
        <v>62276320</v>
      </c>
    </row>
    <row r="47" spans="1:14" x14ac:dyDescent="0.25">
      <c r="A47" s="178" t="s">
        <v>946</v>
      </c>
      <c r="B47" s="178">
        <v>25746765</v>
      </c>
      <c r="C47" s="178"/>
      <c r="D47" s="178">
        <v>637232</v>
      </c>
      <c r="E47" s="178">
        <v>42736</v>
      </c>
      <c r="F47" s="178">
        <v>679968</v>
      </c>
      <c r="G47" s="178">
        <v>165120</v>
      </c>
      <c r="H47" s="178">
        <v>514848</v>
      </c>
      <c r="I47" s="178">
        <v>214731</v>
      </c>
      <c r="J47" s="178">
        <v>637232</v>
      </c>
      <c r="K47" s="178">
        <v>24214834</v>
      </c>
      <c r="L47" s="178">
        <v>25066797</v>
      </c>
      <c r="M47" s="178">
        <v>6087101</v>
      </c>
      <c r="N47" s="178">
        <v>18979696</v>
      </c>
    </row>
    <row r="48" spans="1:14" x14ac:dyDescent="0.25">
      <c r="A48" s="178" t="s">
        <v>945</v>
      </c>
      <c r="B48" s="178">
        <v>21683546</v>
      </c>
      <c r="C48" s="178"/>
      <c r="D48" s="178">
        <v>536668</v>
      </c>
      <c r="E48" s="178">
        <v>34127</v>
      </c>
      <c r="F48" s="178">
        <v>570795</v>
      </c>
      <c r="G48" s="178">
        <v>138609</v>
      </c>
      <c r="H48" s="178">
        <v>432186</v>
      </c>
      <c r="I48" s="178">
        <v>182708</v>
      </c>
      <c r="J48" s="178">
        <v>536668</v>
      </c>
      <c r="K48" s="178">
        <v>20393375</v>
      </c>
      <c r="L48" s="178">
        <v>21112751</v>
      </c>
      <c r="M48" s="178">
        <v>5126920</v>
      </c>
      <c r="N48" s="178">
        <v>15985831</v>
      </c>
    </row>
    <row r="49" spans="1:14" x14ac:dyDescent="0.25">
      <c r="A49" s="178" t="s">
        <v>944</v>
      </c>
      <c r="B49" s="178">
        <v>92322418</v>
      </c>
      <c r="C49" s="178"/>
      <c r="D49" s="178">
        <v>2284980</v>
      </c>
      <c r="E49" s="178">
        <v>140054</v>
      </c>
      <c r="F49" s="178">
        <v>2425034</v>
      </c>
      <c r="G49" s="178">
        <v>588884</v>
      </c>
      <c r="H49" s="178">
        <v>1836150</v>
      </c>
      <c r="I49" s="178">
        <v>783170</v>
      </c>
      <c r="J49" s="178">
        <v>2284980</v>
      </c>
      <c r="K49" s="178">
        <v>86829234</v>
      </c>
      <c r="L49" s="178">
        <v>89897384</v>
      </c>
      <c r="M49" s="178">
        <v>21830251</v>
      </c>
      <c r="N49" s="178">
        <v>68067133</v>
      </c>
    </row>
    <row r="50" spans="1:14" x14ac:dyDescent="0.25">
      <c r="A50" s="178" t="s">
        <v>1339</v>
      </c>
      <c r="B50" s="178">
        <v>69530805</v>
      </c>
      <c r="C50" s="178"/>
      <c r="D50" s="178">
        <v>1720887</v>
      </c>
      <c r="E50" s="178">
        <v>87593</v>
      </c>
      <c r="F50" s="178">
        <v>1808480</v>
      </c>
      <c r="G50" s="178">
        <v>439163</v>
      </c>
      <c r="H50" s="178">
        <v>1369317</v>
      </c>
      <c r="I50" s="178">
        <v>607715</v>
      </c>
      <c r="J50" s="178">
        <v>1720887</v>
      </c>
      <c r="K50" s="178">
        <v>65393723</v>
      </c>
      <c r="L50" s="178">
        <v>67722325</v>
      </c>
      <c r="M50" s="178">
        <v>16445366</v>
      </c>
      <c r="N50" s="178">
        <v>51276959</v>
      </c>
    </row>
    <row r="51" spans="1:14" x14ac:dyDescent="0.25">
      <c r="A51" s="178" t="s">
        <v>1338</v>
      </c>
      <c r="B51" s="178">
        <v>10633734</v>
      </c>
      <c r="C51" s="178"/>
      <c r="D51" s="178">
        <v>263185</v>
      </c>
      <c r="E51" s="178">
        <v>17391</v>
      </c>
      <c r="F51" s="178">
        <v>280576</v>
      </c>
      <c r="G51" s="178">
        <v>68134</v>
      </c>
      <c r="H51" s="178">
        <v>212442</v>
      </c>
      <c r="I51" s="178">
        <v>88946</v>
      </c>
      <c r="J51" s="178">
        <v>263185</v>
      </c>
      <c r="K51" s="178">
        <v>10001027</v>
      </c>
      <c r="L51" s="178">
        <v>10353158</v>
      </c>
      <c r="M51" s="178">
        <v>2514111</v>
      </c>
      <c r="N51" s="178">
        <v>7839047</v>
      </c>
    </row>
    <row r="52" spans="1:14" x14ac:dyDescent="0.25">
      <c r="A52" s="178" t="s">
        <v>1337</v>
      </c>
      <c r="B52" s="178">
        <v>27966497</v>
      </c>
      <c r="C52" s="178"/>
      <c r="D52" s="178">
        <v>692171</v>
      </c>
      <c r="E52" s="178">
        <v>45970</v>
      </c>
      <c r="F52" s="178">
        <v>738141</v>
      </c>
      <c r="G52" s="178">
        <v>179247</v>
      </c>
      <c r="H52" s="178">
        <v>558894</v>
      </c>
      <c r="I52" s="178">
        <v>233694</v>
      </c>
      <c r="J52" s="178">
        <v>692171</v>
      </c>
      <c r="K52" s="178">
        <v>26302491</v>
      </c>
      <c r="L52" s="178">
        <v>27228356</v>
      </c>
      <c r="M52" s="178">
        <v>6612004</v>
      </c>
      <c r="N52" s="178">
        <v>20616352</v>
      </c>
    </row>
    <row r="53" spans="1:14" x14ac:dyDescent="0.25">
      <c r="A53" s="178" t="s">
        <v>1336</v>
      </c>
      <c r="B53" s="178">
        <v>10633734</v>
      </c>
      <c r="C53" s="178"/>
      <c r="D53" s="178">
        <v>263185</v>
      </c>
      <c r="E53" s="178">
        <v>17391</v>
      </c>
      <c r="F53" s="178">
        <v>280576</v>
      </c>
      <c r="G53" s="178">
        <v>68134</v>
      </c>
      <c r="H53" s="178">
        <v>212442</v>
      </c>
      <c r="I53" s="178">
        <v>88946</v>
      </c>
      <c r="J53" s="178">
        <v>263185</v>
      </c>
      <c r="K53" s="178">
        <v>10001027</v>
      </c>
      <c r="L53" s="178">
        <v>10353158</v>
      </c>
      <c r="M53" s="178">
        <v>2514111</v>
      </c>
      <c r="N53" s="178">
        <v>7839047</v>
      </c>
    </row>
    <row r="54" spans="1:14" x14ac:dyDescent="0.25">
      <c r="A54" s="178" t="s">
        <v>940</v>
      </c>
      <c r="B54" s="178">
        <v>38039276</v>
      </c>
      <c r="C54" s="178"/>
      <c r="D54" s="178">
        <v>941472</v>
      </c>
      <c r="E54" s="178">
        <v>59342</v>
      </c>
      <c r="F54" s="178">
        <v>1000814</v>
      </c>
      <c r="G54" s="178">
        <v>243033</v>
      </c>
      <c r="H54" s="178">
        <v>757781</v>
      </c>
      <c r="I54" s="178">
        <v>321050</v>
      </c>
      <c r="J54" s="178">
        <v>941472</v>
      </c>
      <c r="K54" s="178">
        <v>35775940</v>
      </c>
      <c r="L54" s="178">
        <v>37038462</v>
      </c>
      <c r="M54" s="178">
        <v>8994243</v>
      </c>
      <c r="N54" s="178">
        <v>28044219</v>
      </c>
    </row>
    <row r="55" spans="1:14" x14ac:dyDescent="0.25">
      <c r="A55" s="178" t="s">
        <v>939</v>
      </c>
      <c r="B55" s="178">
        <v>183204385</v>
      </c>
      <c r="C55" s="178"/>
      <c r="D55" s="178">
        <v>4534309</v>
      </c>
      <c r="E55" s="178">
        <v>284019</v>
      </c>
      <c r="F55" s="178">
        <v>4818328</v>
      </c>
      <c r="G55" s="178">
        <v>1170060</v>
      </c>
      <c r="H55" s="178">
        <v>3648268</v>
      </c>
      <c r="I55" s="178">
        <v>1548024</v>
      </c>
      <c r="J55" s="178">
        <v>4534309</v>
      </c>
      <c r="K55" s="178">
        <v>172303724</v>
      </c>
      <c r="L55" s="178">
        <v>178386057</v>
      </c>
      <c r="M55" s="178">
        <v>43318418</v>
      </c>
      <c r="N55" s="178">
        <v>135067639</v>
      </c>
    </row>
    <row r="56" spans="1:14" x14ac:dyDescent="0.25">
      <c r="A56" s="178" t="s">
        <v>938</v>
      </c>
      <c r="B56" s="178">
        <v>14560963</v>
      </c>
      <c r="C56" s="178"/>
      <c r="D56" s="178">
        <v>360384</v>
      </c>
      <c r="E56" s="178">
        <v>22189</v>
      </c>
      <c r="F56" s="178">
        <v>382573</v>
      </c>
      <c r="G56" s="178">
        <v>92902</v>
      </c>
      <c r="H56" s="178">
        <v>289671</v>
      </c>
      <c r="I56" s="178">
        <v>123420</v>
      </c>
      <c r="J56" s="178">
        <v>360384</v>
      </c>
      <c r="K56" s="178">
        <v>13694586</v>
      </c>
      <c r="L56" s="178">
        <v>14178390</v>
      </c>
      <c r="M56" s="178">
        <v>3443013</v>
      </c>
      <c r="N56" s="178">
        <v>10735377</v>
      </c>
    </row>
    <row r="57" spans="1:14" x14ac:dyDescent="0.25">
      <c r="A57" s="178" t="s">
        <v>937</v>
      </c>
      <c r="B57" s="178">
        <v>10633734</v>
      </c>
      <c r="C57" s="178"/>
      <c r="D57" s="178">
        <v>263185</v>
      </c>
      <c r="E57" s="178">
        <v>17391</v>
      </c>
      <c r="F57" s="178">
        <v>280576</v>
      </c>
      <c r="G57" s="178">
        <v>68134</v>
      </c>
      <c r="H57" s="178">
        <v>212442</v>
      </c>
      <c r="I57" s="178">
        <v>88946</v>
      </c>
      <c r="J57" s="178">
        <v>263185</v>
      </c>
      <c r="K57" s="178">
        <v>10001027</v>
      </c>
      <c r="L57" s="178">
        <v>10353158</v>
      </c>
      <c r="M57" s="178">
        <v>2514111</v>
      </c>
      <c r="N57" s="178">
        <v>7839047</v>
      </c>
    </row>
    <row r="58" spans="1:14" x14ac:dyDescent="0.25">
      <c r="A58" s="178" t="s">
        <v>936</v>
      </c>
      <c r="B58" s="178">
        <v>40097299</v>
      </c>
      <c r="C58" s="178"/>
      <c r="D58" s="178">
        <v>992408</v>
      </c>
      <c r="E58" s="178">
        <v>66343</v>
      </c>
      <c r="F58" s="178">
        <v>1058751</v>
      </c>
      <c r="G58" s="178">
        <v>257102</v>
      </c>
      <c r="H58" s="178">
        <v>801649</v>
      </c>
      <c r="I58" s="178">
        <v>334629</v>
      </c>
      <c r="J58" s="178">
        <v>992408</v>
      </c>
      <c r="K58" s="178">
        <v>37711511</v>
      </c>
      <c r="L58" s="178">
        <v>39038548</v>
      </c>
      <c r="M58" s="178">
        <v>9479935</v>
      </c>
      <c r="N58" s="178">
        <v>29558613</v>
      </c>
    </row>
    <row r="59" spans="1:14" x14ac:dyDescent="0.25">
      <c r="A59" s="178" t="s">
        <v>935</v>
      </c>
      <c r="B59" s="178">
        <v>36716833</v>
      </c>
      <c r="C59" s="178"/>
      <c r="D59" s="178">
        <v>908742</v>
      </c>
      <c r="E59" s="178">
        <v>57834</v>
      </c>
      <c r="F59" s="178">
        <v>966576</v>
      </c>
      <c r="G59" s="178">
        <v>234719</v>
      </c>
      <c r="H59" s="178">
        <v>731857</v>
      </c>
      <c r="I59" s="178">
        <v>309334</v>
      </c>
      <c r="J59" s="178">
        <v>908742</v>
      </c>
      <c r="K59" s="178">
        <v>34532181</v>
      </c>
      <c r="L59" s="178">
        <v>35750257</v>
      </c>
      <c r="M59" s="178">
        <v>8681422</v>
      </c>
      <c r="N59" s="178">
        <v>27068835</v>
      </c>
    </row>
    <row r="60" spans="1:14" x14ac:dyDescent="0.25">
      <c r="A60" s="178" t="s">
        <v>1335</v>
      </c>
      <c r="B60" s="178">
        <v>19454781</v>
      </c>
      <c r="C60" s="178"/>
      <c r="D60" s="178">
        <v>481506</v>
      </c>
      <c r="E60" s="178">
        <v>25408</v>
      </c>
      <c r="F60" s="178">
        <v>506914</v>
      </c>
      <c r="G60" s="178">
        <v>123097</v>
      </c>
      <c r="H60" s="178">
        <v>383817</v>
      </c>
      <c r="I60" s="178">
        <v>169139</v>
      </c>
      <c r="J60" s="178">
        <v>481506</v>
      </c>
      <c r="K60" s="178">
        <v>18297222</v>
      </c>
      <c r="L60" s="178">
        <v>18947867</v>
      </c>
      <c r="M60" s="178">
        <v>4601210</v>
      </c>
      <c r="N60" s="178">
        <v>14346657</v>
      </c>
    </row>
    <row r="61" spans="1:14" x14ac:dyDescent="0.25">
      <c r="A61" s="178" t="s">
        <v>933</v>
      </c>
      <c r="B61" s="178">
        <v>37157707</v>
      </c>
      <c r="C61" s="178"/>
      <c r="D61" s="178">
        <v>919653</v>
      </c>
      <c r="E61" s="178">
        <v>58556</v>
      </c>
      <c r="F61" s="178">
        <v>978209</v>
      </c>
      <c r="G61" s="178">
        <v>237544</v>
      </c>
      <c r="H61" s="178">
        <v>740665</v>
      </c>
      <c r="I61" s="178">
        <v>313021</v>
      </c>
      <c r="J61" s="178">
        <v>919653</v>
      </c>
      <c r="K61" s="178">
        <v>34946824</v>
      </c>
      <c r="L61" s="178">
        <v>36179498</v>
      </c>
      <c r="M61" s="178">
        <v>8785656</v>
      </c>
      <c r="N61" s="178">
        <v>27393842</v>
      </c>
    </row>
    <row r="62" spans="1:14" x14ac:dyDescent="0.25">
      <c r="A62" s="178" t="s">
        <v>932</v>
      </c>
      <c r="B62" s="178">
        <v>10633734</v>
      </c>
      <c r="C62" s="178"/>
      <c r="D62" s="178">
        <v>263185</v>
      </c>
      <c r="E62" s="178">
        <v>17391</v>
      </c>
      <c r="F62" s="178">
        <v>280576</v>
      </c>
      <c r="G62" s="178">
        <v>68134</v>
      </c>
      <c r="H62" s="178">
        <v>212442</v>
      </c>
      <c r="I62" s="178">
        <v>88946</v>
      </c>
      <c r="J62" s="178">
        <v>263185</v>
      </c>
      <c r="K62" s="178">
        <v>10001027</v>
      </c>
      <c r="L62" s="178">
        <v>10353158</v>
      </c>
      <c r="M62" s="178">
        <v>2514111</v>
      </c>
      <c r="N62" s="178">
        <v>7839047</v>
      </c>
    </row>
    <row r="63" spans="1:14" x14ac:dyDescent="0.25">
      <c r="A63" s="178"/>
      <c r="B63" s="178"/>
      <c r="C63" s="178"/>
      <c r="D63" s="178"/>
      <c r="E63" s="178"/>
      <c r="F63" s="178"/>
      <c r="G63" s="178"/>
      <c r="H63" s="178"/>
      <c r="I63" s="178"/>
      <c r="J63" s="178"/>
      <c r="K63" s="178"/>
      <c r="L63" s="178"/>
      <c r="M63" s="178"/>
      <c r="N63" s="178"/>
    </row>
    <row r="64" spans="1:14" x14ac:dyDescent="0.25">
      <c r="A64" s="179" t="s">
        <v>1334</v>
      </c>
      <c r="B64" s="179">
        <v>11690404</v>
      </c>
      <c r="C64" s="179"/>
      <c r="D64" s="179">
        <v>289337</v>
      </c>
      <c r="E64" s="179">
        <v>19524</v>
      </c>
      <c r="F64" s="179">
        <v>308861</v>
      </c>
      <c r="G64" s="179">
        <v>308861</v>
      </c>
      <c r="H64" s="179">
        <v>0</v>
      </c>
      <c r="I64" s="179">
        <v>97378</v>
      </c>
      <c r="J64" s="179">
        <v>289337</v>
      </c>
      <c r="K64" s="179">
        <v>10994828</v>
      </c>
      <c r="L64" s="179">
        <v>11381543</v>
      </c>
      <c r="M64" s="179">
        <v>11381543</v>
      </c>
      <c r="N64" s="179">
        <v>0</v>
      </c>
    </row>
    <row r="65" spans="1:14" x14ac:dyDescent="0.25">
      <c r="A65" s="178"/>
      <c r="B65" s="178"/>
      <c r="C65" s="178"/>
      <c r="D65" s="178"/>
      <c r="E65" s="178"/>
      <c r="F65" s="178"/>
      <c r="G65" s="178"/>
      <c r="H65" s="178"/>
      <c r="I65" s="178"/>
      <c r="J65" s="178"/>
      <c r="K65" s="178"/>
      <c r="L65" s="178"/>
      <c r="M65" s="178"/>
      <c r="N65" s="178"/>
    </row>
    <row r="66" spans="1:14" x14ac:dyDescent="0.25">
      <c r="A66" s="178" t="s">
        <v>1333</v>
      </c>
      <c r="B66" s="178">
        <v>2672654</v>
      </c>
      <c r="C66" s="178"/>
      <c r="D66" s="178">
        <v>66148</v>
      </c>
      <c r="E66" s="178">
        <v>3328</v>
      </c>
      <c r="F66" s="178">
        <v>69476</v>
      </c>
      <c r="G66" s="178">
        <v>69476</v>
      </c>
      <c r="H66" s="178">
        <v>0</v>
      </c>
      <c r="I66" s="178">
        <v>23398</v>
      </c>
      <c r="J66" s="178">
        <v>66148</v>
      </c>
      <c r="K66" s="178">
        <v>2513632</v>
      </c>
      <c r="L66" s="178">
        <v>2603178</v>
      </c>
      <c r="M66" s="178">
        <v>2603178</v>
      </c>
      <c r="N66" s="178">
        <v>0</v>
      </c>
    </row>
    <row r="67" spans="1:14" x14ac:dyDescent="0.25">
      <c r="A67" s="178" t="s">
        <v>1332</v>
      </c>
      <c r="B67" s="178">
        <v>4496096</v>
      </c>
      <c r="C67" s="178"/>
      <c r="D67" s="178">
        <v>111278</v>
      </c>
      <c r="E67" s="178">
        <v>7764</v>
      </c>
      <c r="F67" s="178">
        <v>119042</v>
      </c>
      <c r="G67" s="178">
        <v>119042</v>
      </c>
      <c r="H67" s="178">
        <v>0</v>
      </c>
      <c r="I67" s="178">
        <v>37196</v>
      </c>
      <c r="J67" s="178">
        <v>111278</v>
      </c>
      <c r="K67" s="178">
        <v>4228580</v>
      </c>
      <c r="L67" s="178">
        <v>4377054</v>
      </c>
      <c r="M67" s="178">
        <v>4377054</v>
      </c>
      <c r="N67" s="178">
        <v>0</v>
      </c>
    </row>
    <row r="68" spans="1:14" x14ac:dyDescent="0.25">
      <c r="A68" s="178" t="s">
        <v>1331</v>
      </c>
      <c r="B68" s="178">
        <v>1644028</v>
      </c>
      <c r="C68" s="178"/>
      <c r="D68" s="178">
        <v>40690</v>
      </c>
      <c r="E68" s="178">
        <v>2035</v>
      </c>
      <c r="F68" s="178">
        <v>42725</v>
      </c>
      <c r="G68" s="178">
        <v>42725</v>
      </c>
      <c r="H68" s="178">
        <v>0</v>
      </c>
      <c r="I68" s="178">
        <v>14405</v>
      </c>
      <c r="J68" s="178">
        <v>40690</v>
      </c>
      <c r="K68" s="178">
        <v>1546208</v>
      </c>
      <c r="L68" s="178">
        <v>1601303</v>
      </c>
      <c r="M68" s="178">
        <v>1601303</v>
      </c>
      <c r="N68" s="178">
        <v>0</v>
      </c>
    </row>
    <row r="69" spans="1:14" x14ac:dyDescent="0.25">
      <c r="A69" s="178" t="s">
        <v>1330</v>
      </c>
      <c r="B69" s="178">
        <v>2877626</v>
      </c>
      <c r="C69" s="178"/>
      <c r="D69" s="178">
        <v>71221</v>
      </c>
      <c r="E69" s="178">
        <v>6397</v>
      </c>
      <c r="F69" s="178">
        <v>77618</v>
      </c>
      <c r="G69" s="178">
        <v>77618</v>
      </c>
      <c r="H69" s="178">
        <v>0</v>
      </c>
      <c r="I69" s="178">
        <v>22379</v>
      </c>
      <c r="J69" s="178">
        <v>71221</v>
      </c>
      <c r="K69" s="178">
        <v>2706408</v>
      </c>
      <c r="L69" s="178">
        <v>2800008</v>
      </c>
      <c r="M69" s="178">
        <v>2800008</v>
      </c>
      <c r="N69" s="178">
        <v>0</v>
      </c>
    </row>
    <row r="70" spans="1:14" x14ac:dyDescent="0.25">
      <c r="A70" s="178"/>
      <c r="B70" s="178"/>
      <c r="C70" s="178"/>
      <c r="D70" s="178"/>
      <c r="E70" s="178"/>
      <c r="F70" s="178"/>
      <c r="G70" s="178"/>
      <c r="H70" s="178"/>
      <c r="I70" s="178"/>
      <c r="J70" s="178"/>
      <c r="K70" s="178"/>
      <c r="L70" s="178"/>
      <c r="M70" s="178"/>
      <c r="N70" s="178"/>
    </row>
    <row r="71" spans="1:14" x14ac:dyDescent="0.25">
      <c r="A71" s="178" t="s">
        <v>1329</v>
      </c>
      <c r="B71" s="178">
        <v>11690404</v>
      </c>
      <c r="C71" s="178"/>
      <c r="D71" s="178">
        <v>289338</v>
      </c>
      <c r="E71" s="178">
        <v>19385</v>
      </c>
      <c r="F71" s="178">
        <v>308723</v>
      </c>
      <c r="G71" s="178">
        <v>308723</v>
      </c>
      <c r="H71" s="178">
        <v>0</v>
      </c>
      <c r="I71" s="178">
        <v>97519</v>
      </c>
      <c r="J71" s="178">
        <v>289338</v>
      </c>
      <c r="K71" s="178">
        <v>10994824</v>
      </c>
      <c r="L71" s="178">
        <v>11381681</v>
      </c>
      <c r="M71" s="178">
        <v>11381681</v>
      </c>
      <c r="N71" s="178">
        <v>0</v>
      </c>
    </row>
    <row r="72" spans="1:14" x14ac:dyDescent="0.25">
      <c r="A72" s="177"/>
      <c r="B72" s="177"/>
      <c r="C72" s="177"/>
      <c r="D72" s="177"/>
      <c r="E72" s="177"/>
      <c r="F72" s="177"/>
      <c r="G72" s="177"/>
      <c r="H72" s="177"/>
      <c r="I72" s="177"/>
      <c r="J72" s="177"/>
      <c r="K72" s="177"/>
      <c r="L72" s="177"/>
      <c r="M72" s="177"/>
      <c r="N72" s="177"/>
    </row>
    <row r="73" spans="1:14" x14ac:dyDescent="0.25">
      <c r="A73" s="177"/>
      <c r="B73" s="177"/>
      <c r="C73" s="177"/>
      <c r="D73" s="177"/>
      <c r="E73" s="177"/>
      <c r="F73" s="177"/>
      <c r="G73" s="177"/>
      <c r="H73" s="177"/>
      <c r="I73" s="177"/>
      <c r="J73" s="177"/>
      <c r="K73" s="177"/>
      <c r="L73" s="177"/>
      <c r="M73" s="177"/>
      <c r="N73" s="177"/>
    </row>
    <row r="74" spans="1:14" x14ac:dyDescent="0.25">
      <c r="A74" s="177"/>
    </row>
    <row r="75" spans="1:14" x14ac:dyDescent="0.25">
      <c r="A75" s="177"/>
    </row>
    <row r="76" spans="1:14" x14ac:dyDescent="0.25">
      <c r="A76" s="177"/>
    </row>
    <row r="77" spans="1:14" x14ac:dyDescent="0.25">
      <c r="A77" s="177"/>
    </row>
    <row r="78" spans="1:14" x14ac:dyDescent="0.25">
      <c r="A78" s="177"/>
    </row>
    <row r="79" spans="1:14" x14ac:dyDescent="0.25">
      <c r="A79" s="177"/>
    </row>
    <row r="80" spans="1:14" x14ac:dyDescent="0.25">
      <c r="A80" s="177"/>
    </row>
    <row r="81" spans="1:1" x14ac:dyDescent="0.25">
      <c r="A81" s="177"/>
    </row>
    <row r="82" spans="1:1" x14ac:dyDescent="0.25">
      <c r="A82" s="177"/>
    </row>
    <row r="83" spans="1:1" x14ac:dyDescent="0.25">
      <c r="A83" s="177"/>
    </row>
    <row r="84" spans="1:1" x14ac:dyDescent="0.25">
      <c r="A84" s="177"/>
    </row>
    <row r="85" spans="1:1" x14ac:dyDescent="0.25">
      <c r="A85" s="177"/>
    </row>
    <row r="86" spans="1:1" x14ac:dyDescent="0.25">
      <c r="A86" s="177"/>
    </row>
    <row r="87" spans="1:1" x14ac:dyDescent="0.25">
      <c r="A87" s="177"/>
    </row>
    <row r="88" spans="1:1" x14ac:dyDescent="0.25">
      <c r="A88" s="177"/>
    </row>
    <row r="89" spans="1:1" x14ac:dyDescent="0.25">
      <c r="A89" s="177"/>
    </row>
    <row r="90" spans="1:1" x14ac:dyDescent="0.25">
      <c r="A90" s="177"/>
    </row>
    <row r="91" spans="1:1" x14ac:dyDescent="0.25">
      <c r="A91" s="177"/>
    </row>
    <row r="92" spans="1:1" x14ac:dyDescent="0.25">
      <c r="A92" s="177"/>
    </row>
    <row r="93" spans="1:1" x14ac:dyDescent="0.25">
      <c r="A93" s="177"/>
    </row>
    <row r="94" spans="1:1" x14ac:dyDescent="0.25">
      <c r="A94" s="177"/>
    </row>
    <row r="95" spans="1:1" x14ac:dyDescent="0.25">
      <c r="A95" s="177"/>
    </row>
    <row r="96" spans="1:1" x14ac:dyDescent="0.25">
      <c r="A96" s="177"/>
    </row>
    <row r="97" spans="1:1" x14ac:dyDescent="0.25">
      <c r="A97" s="177"/>
    </row>
    <row r="98" spans="1:1" x14ac:dyDescent="0.25">
      <c r="A98" s="177"/>
    </row>
    <row r="99" spans="1:1" x14ac:dyDescent="0.25">
      <c r="A99" s="177"/>
    </row>
    <row r="100" spans="1:1" x14ac:dyDescent="0.25">
      <c r="A100" s="177"/>
    </row>
    <row r="101" spans="1:1" x14ac:dyDescent="0.25">
      <c r="A101" s="177"/>
    </row>
    <row r="102" spans="1:1" x14ac:dyDescent="0.25">
      <c r="A102" s="177"/>
    </row>
    <row r="103" spans="1:1" x14ac:dyDescent="0.25">
      <c r="A103" s="177"/>
    </row>
    <row r="104" spans="1:1" x14ac:dyDescent="0.25">
      <c r="A104" s="177"/>
    </row>
    <row r="105" spans="1:1" x14ac:dyDescent="0.25">
      <c r="A105" s="177"/>
    </row>
    <row r="106" spans="1:1" x14ac:dyDescent="0.25">
      <c r="A106" s="177"/>
    </row>
    <row r="107" spans="1:1" x14ac:dyDescent="0.25">
      <c r="A107" s="177"/>
    </row>
    <row r="108" spans="1:1" x14ac:dyDescent="0.25">
      <c r="A108" s="177"/>
    </row>
    <row r="109" spans="1:1" x14ac:dyDescent="0.25">
      <c r="A109" s="177"/>
    </row>
    <row r="110" spans="1:1" x14ac:dyDescent="0.25">
      <c r="A110" s="177"/>
    </row>
    <row r="111" spans="1:1" x14ac:dyDescent="0.25">
      <c r="A111" s="177"/>
    </row>
    <row r="112" spans="1:1" x14ac:dyDescent="0.25">
      <c r="A112" s="177"/>
    </row>
    <row r="113" spans="1:1" x14ac:dyDescent="0.25">
      <c r="A113" s="177"/>
    </row>
    <row r="114" spans="1:1" x14ac:dyDescent="0.25">
      <c r="A114" s="177"/>
    </row>
    <row r="115" spans="1:1" x14ac:dyDescent="0.25">
      <c r="A115" s="177"/>
    </row>
    <row r="116" spans="1:1" x14ac:dyDescent="0.25">
      <c r="A116" s="177"/>
    </row>
    <row r="117" spans="1:1" x14ac:dyDescent="0.25">
      <c r="A117" s="177"/>
    </row>
    <row r="118" spans="1:1" x14ac:dyDescent="0.25">
      <c r="A118" s="177"/>
    </row>
    <row r="119" spans="1:1" x14ac:dyDescent="0.25">
      <c r="A119" s="177"/>
    </row>
    <row r="120" spans="1:1" x14ac:dyDescent="0.25">
      <c r="A120" s="177"/>
    </row>
    <row r="121" spans="1:1" x14ac:dyDescent="0.25">
      <c r="A121" s="177"/>
    </row>
    <row r="122" spans="1:1" x14ac:dyDescent="0.25">
      <c r="A122" s="177"/>
    </row>
    <row r="123" spans="1:1" x14ac:dyDescent="0.25">
      <c r="A123" s="177"/>
    </row>
    <row r="124" spans="1:1" x14ac:dyDescent="0.25">
      <c r="A124" s="177"/>
    </row>
    <row r="125" spans="1:1" x14ac:dyDescent="0.25">
      <c r="A125" s="177"/>
    </row>
    <row r="126" spans="1:1" x14ac:dyDescent="0.25">
      <c r="A126" s="177"/>
    </row>
    <row r="127" spans="1:1" x14ac:dyDescent="0.25">
      <c r="A127" s="177"/>
    </row>
    <row r="128" spans="1:1" x14ac:dyDescent="0.25">
      <c r="A128" s="177"/>
    </row>
    <row r="129" spans="1:1" x14ac:dyDescent="0.25">
      <c r="A129" s="177"/>
    </row>
    <row r="130" spans="1:1" x14ac:dyDescent="0.25">
      <c r="A130" s="177"/>
    </row>
    <row r="131" spans="1:1" x14ac:dyDescent="0.25">
      <c r="A131" s="177"/>
    </row>
    <row r="132" spans="1:1" x14ac:dyDescent="0.25">
      <c r="A132" s="177"/>
    </row>
    <row r="133" spans="1:1" x14ac:dyDescent="0.25">
      <c r="A133" s="177"/>
    </row>
    <row r="134" spans="1:1" x14ac:dyDescent="0.25">
      <c r="A134" s="177"/>
    </row>
    <row r="135" spans="1:1" x14ac:dyDescent="0.25">
      <c r="A135" s="177"/>
    </row>
    <row r="136" spans="1:1" x14ac:dyDescent="0.25">
      <c r="A136" s="177"/>
    </row>
    <row r="137" spans="1:1" x14ac:dyDescent="0.25">
      <c r="A137" s="177"/>
    </row>
    <row r="138" spans="1:1" x14ac:dyDescent="0.25">
      <c r="A138" s="177"/>
    </row>
    <row r="139" spans="1:1" x14ac:dyDescent="0.25">
      <c r="A139" s="177"/>
    </row>
    <row r="140" spans="1:1" x14ac:dyDescent="0.25">
      <c r="A140" s="177"/>
    </row>
    <row r="141" spans="1:1" x14ac:dyDescent="0.25">
      <c r="A141" s="177"/>
    </row>
    <row r="142" spans="1:1" x14ac:dyDescent="0.25">
      <c r="A142" s="177"/>
    </row>
    <row r="143" spans="1:1" x14ac:dyDescent="0.25">
      <c r="A143" s="177"/>
    </row>
    <row r="144" spans="1:1" x14ac:dyDescent="0.25">
      <c r="A144" s="177"/>
    </row>
    <row r="145" spans="1:1" x14ac:dyDescent="0.25">
      <c r="A145" s="177"/>
    </row>
    <row r="146" spans="1:1" x14ac:dyDescent="0.25">
      <c r="A146" s="177"/>
    </row>
    <row r="147" spans="1:1" x14ac:dyDescent="0.25">
      <c r="A147" s="177"/>
    </row>
    <row r="148" spans="1:1" x14ac:dyDescent="0.25">
      <c r="A148" s="177"/>
    </row>
    <row r="149" spans="1:1" x14ac:dyDescent="0.25">
      <c r="A149" s="177"/>
    </row>
    <row r="150" spans="1:1" x14ac:dyDescent="0.25">
      <c r="A150" s="177"/>
    </row>
    <row r="151" spans="1:1" x14ac:dyDescent="0.25">
      <c r="A151" s="177"/>
    </row>
    <row r="152" spans="1:1" x14ac:dyDescent="0.25">
      <c r="A152" s="177"/>
    </row>
    <row r="153" spans="1:1" x14ac:dyDescent="0.25">
      <c r="A153" s="177"/>
    </row>
    <row r="154" spans="1:1" x14ac:dyDescent="0.25">
      <c r="A154" s="177"/>
    </row>
    <row r="155" spans="1:1" x14ac:dyDescent="0.25">
      <c r="A155" s="177"/>
    </row>
    <row r="156" spans="1:1" x14ac:dyDescent="0.25">
      <c r="A156" s="177"/>
    </row>
    <row r="157" spans="1:1" x14ac:dyDescent="0.25">
      <c r="A157" s="177"/>
    </row>
    <row r="158" spans="1:1" x14ac:dyDescent="0.25">
      <c r="A158" s="177"/>
    </row>
    <row r="159" spans="1:1" x14ac:dyDescent="0.25">
      <c r="A159" s="177"/>
    </row>
    <row r="160" spans="1:1" x14ac:dyDescent="0.25">
      <c r="A160" s="177"/>
    </row>
    <row r="161" spans="1:1" x14ac:dyDescent="0.25">
      <c r="A161" s="177"/>
    </row>
    <row r="162" spans="1:1" x14ac:dyDescent="0.25">
      <c r="A162" s="177"/>
    </row>
    <row r="163" spans="1:1" x14ac:dyDescent="0.25">
      <c r="A163" s="177"/>
    </row>
    <row r="164" spans="1:1" x14ac:dyDescent="0.25">
      <c r="A164" s="177"/>
    </row>
    <row r="165" spans="1:1" x14ac:dyDescent="0.25">
      <c r="A165" s="177"/>
    </row>
    <row r="166" spans="1:1" x14ac:dyDescent="0.25">
      <c r="A166" s="177"/>
    </row>
    <row r="167" spans="1:1" x14ac:dyDescent="0.25">
      <c r="A167" s="177"/>
    </row>
    <row r="168" spans="1:1" x14ac:dyDescent="0.25">
      <c r="A168" s="177"/>
    </row>
    <row r="169" spans="1:1" x14ac:dyDescent="0.25">
      <c r="A169" s="177"/>
    </row>
    <row r="170" spans="1:1" x14ac:dyDescent="0.25">
      <c r="A170" s="177"/>
    </row>
    <row r="171" spans="1:1" x14ac:dyDescent="0.25">
      <c r="A171" s="177"/>
    </row>
    <row r="172" spans="1:1" x14ac:dyDescent="0.25">
      <c r="A172" s="177"/>
    </row>
    <row r="173" spans="1:1" x14ac:dyDescent="0.25">
      <c r="A173" s="177"/>
    </row>
    <row r="174" spans="1:1" x14ac:dyDescent="0.25">
      <c r="A174" s="177"/>
    </row>
    <row r="175" spans="1:1" x14ac:dyDescent="0.25">
      <c r="A175" s="177"/>
    </row>
    <row r="176" spans="1:1" x14ac:dyDescent="0.25">
      <c r="A176" s="177"/>
    </row>
    <row r="177" spans="1:1" x14ac:dyDescent="0.25">
      <c r="A177" s="177"/>
    </row>
    <row r="178" spans="1:1" x14ac:dyDescent="0.25">
      <c r="A178" s="177"/>
    </row>
    <row r="179" spans="1:1" x14ac:dyDescent="0.25">
      <c r="A179" s="177"/>
    </row>
    <row r="180" spans="1:1" x14ac:dyDescent="0.25">
      <c r="A180" s="177"/>
    </row>
    <row r="181" spans="1:1" x14ac:dyDescent="0.25">
      <c r="A181" s="177"/>
    </row>
    <row r="182" spans="1:1" x14ac:dyDescent="0.25">
      <c r="A182" s="177"/>
    </row>
    <row r="183" spans="1:1" x14ac:dyDescent="0.25">
      <c r="A183" s="177"/>
    </row>
    <row r="184" spans="1:1" x14ac:dyDescent="0.25">
      <c r="A184" s="177"/>
    </row>
    <row r="185" spans="1:1" x14ac:dyDescent="0.25">
      <c r="A185" s="177"/>
    </row>
    <row r="186" spans="1:1" x14ac:dyDescent="0.25">
      <c r="A186" s="177"/>
    </row>
    <row r="187" spans="1:1" x14ac:dyDescent="0.25">
      <c r="A187" s="177"/>
    </row>
    <row r="188" spans="1:1" x14ac:dyDescent="0.25">
      <c r="A188" s="177"/>
    </row>
    <row r="189" spans="1:1" x14ac:dyDescent="0.25">
      <c r="A189" s="177"/>
    </row>
    <row r="190" spans="1:1" x14ac:dyDescent="0.25">
      <c r="A190" s="177"/>
    </row>
    <row r="191" spans="1:1" x14ac:dyDescent="0.25">
      <c r="A191" s="177"/>
    </row>
    <row r="192" spans="1:1" x14ac:dyDescent="0.25">
      <c r="A192" s="177"/>
    </row>
    <row r="193" spans="1:1" x14ac:dyDescent="0.25">
      <c r="A193" s="177"/>
    </row>
    <row r="194" spans="1:1" x14ac:dyDescent="0.25">
      <c r="A194" s="177"/>
    </row>
    <row r="195" spans="1:1" x14ac:dyDescent="0.25">
      <c r="A195" s="177"/>
    </row>
    <row r="196" spans="1:1" x14ac:dyDescent="0.25">
      <c r="A196" s="177"/>
    </row>
  </sheetData>
  <pageMargins left="0.7" right="0.7" top="0.75" bottom="0.75" header="0.3" footer="0.3"/>
  <pageSetup scale="52" orientation="landscape"/>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439"/>
  <sheetViews>
    <sheetView workbookViewId="0"/>
  </sheetViews>
  <sheetFormatPr defaultColWidth="8.77734375" defaultRowHeight="14.4" x14ac:dyDescent="0.3"/>
  <cols>
    <col min="1" max="1" width="10" bestFit="1" customWidth="1"/>
    <col min="2" max="2" width="12.6640625" style="31" bestFit="1" customWidth="1"/>
  </cols>
  <sheetData>
    <row r="1" spans="1:2" x14ac:dyDescent="0.3">
      <c r="A1" t="s">
        <v>1007</v>
      </c>
      <c r="B1" s="31" t="s">
        <v>890</v>
      </c>
    </row>
    <row r="2" spans="1:2" x14ac:dyDescent="0.3">
      <c r="A2" s="1">
        <v>78738000</v>
      </c>
      <c r="B2" s="31">
        <v>3931</v>
      </c>
    </row>
    <row r="3" spans="1:2" x14ac:dyDescent="0.3">
      <c r="A3" s="1">
        <v>80208710</v>
      </c>
      <c r="B3" s="31">
        <v>1808</v>
      </c>
    </row>
    <row r="4" spans="1:2" x14ac:dyDescent="0.3">
      <c r="A4" s="1">
        <v>78799000</v>
      </c>
      <c r="B4" s="31">
        <v>6423</v>
      </c>
    </row>
    <row r="5" spans="1:2" x14ac:dyDescent="0.3">
      <c r="A5" s="1">
        <v>78604000</v>
      </c>
      <c r="B5" s="31">
        <v>12874</v>
      </c>
    </row>
    <row r="6" spans="1:2" x14ac:dyDescent="0.3">
      <c r="A6" s="1">
        <v>78794000</v>
      </c>
      <c r="B6" s="31">
        <v>2822</v>
      </c>
    </row>
    <row r="7" spans="1:2" x14ac:dyDescent="0.3">
      <c r="A7" s="1">
        <v>108767000</v>
      </c>
      <c r="B7" s="31">
        <v>2592</v>
      </c>
    </row>
    <row r="8" spans="1:2" x14ac:dyDescent="0.3">
      <c r="A8" s="1">
        <v>138763000</v>
      </c>
      <c r="B8" s="31">
        <v>1321</v>
      </c>
    </row>
    <row r="9" spans="1:2" x14ac:dyDescent="0.3">
      <c r="A9" s="1">
        <v>78701000</v>
      </c>
      <c r="B9" s="31">
        <v>11857</v>
      </c>
    </row>
    <row r="10" spans="1:2" x14ac:dyDescent="0.3">
      <c r="A10" s="1">
        <v>138776000</v>
      </c>
      <c r="B10" s="31">
        <v>3167</v>
      </c>
    </row>
    <row r="11" spans="1:2" x14ac:dyDescent="0.3">
      <c r="A11" s="1">
        <v>78782000</v>
      </c>
      <c r="B11" s="31">
        <v>2410</v>
      </c>
    </row>
    <row r="12" spans="1:2" x14ac:dyDescent="0.3">
      <c r="A12" s="1">
        <v>70516000</v>
      </c>
      <c r="B12" s="31">
        <v>84461</v>
      </c>
    </row>
    <row r="13" spans="1:2" x14ac:dyDescent="0.3">
      <c r="A13" s="1">
        <v>70363000</v>
      </c>
      <c r="B13" s="31">
        <v>10600</v>
      </c>
    </row>
    <row r="14" spans="1:2" x14ac:dyDescent="0.3">
      <c r="A14" s="1">
        <v>70260735</v>
      </c>
      <c r="B14" s="31">
        <v>1088</v>
      </c>
    </row>
    <row r="15" spans="1:2" x14ac:dyDescent="0.3">
      <c r="A15" s="1">
        <v>78919000</v>
      </c>
      <c r="B15" s="31">
        <v>1334</v>
      </c>
    </row>
    <row r="16" spans="1:2" x14ac:dyDescent="0.3">
      <c r="A16" s="1">
        <v>78793000</v>
      </c>
      <c r="B16" s="31">
        <v>3635</v>
      </c>
    </row>
    <row r="17" spans="1:2" x14ac:dyDescent="0.3">
      <c r="A17" s="1">
        <v>78937000</v>
      </c>
      <c r="B17" s="31">
        <v>7424</v>
      </c>
    </row>
    <row r="18" spans="1:2" x14ac:dyDescent="0.3">
      <c r="A18" s="1">
        <v>100215000</v>
      </c>
      <c r="B18" s="31">
        <v>22284</v>
      </c>
    </row>
    <row r="19" spans="1:2" x14ac:dyDescent="0.3">
      <c r="A19" s="1">
        <v>70260885</v>
      </c>
      <c r="B19" s="31">
        <v>728</v>
      </c>
    </row>
    <row r="20" spans="1:2" x14ac:dyDescent="0.3">
      <c r="A20" s="1">
        <v>70260855</v>
      </c>
      <c r="B20" s="31">
        <v>3444</v>
      </c>
    </row>
    <row r="21" spans="1:2" x14ac:dyDescent="0.3">
      <c r="A21" s="1">
        <v>70468000</v>
      </c>
      <c r="B21" s="31">
        <v>726473</v>
      </c>
    </row>
    <row r="22" spans="1:2" x14ac:dyDescent="0.3">
      <c r="A22" s="1">
        <v>77224000</v>
      </c>
      <c r="B22" s="31">
        <v>1795</v>
      </c>
    </row>
    <row r="23" spans="1:2" x14ac:dyDescent="0.3">
      <c r="A23" s="1">
        <v>10307000</v>
      </c>
      <c r="B23" s="31">
        <v>1222</v>
      </c>
    </row>
    <row r="24" spans="1:2" x14ac:dyDescent="0.3">
      <c r="A24" s="1">
        <v>100351000</v>
      </c>
      <c r="B24" s="31">
        <v>41111</v>
      </c>
    </row>
    <row r="25" spans="1:2" x14ac:dyDescent="0.3">
      <c r="A25" s="1">
        <v>78672000</v>
      </c>
      <c r="B25" s="31">
        <v>9687</v>
      </c>
    </row>
    <row r="26" spans="1:2" x14ac:dyDescent="0.3">
      <c r="A26" s="1">
        <v>100210000</v>
      </c>
      <c r="B26" s="31">
        <v>439484</v>
      </c>
    </row>
    <row r="27" spans="1:2" x14ac:dyDescent="0.3">
      <c r="A27" s="1">
        <v>130201700</v>
      </c>
      <c r="B27" s="31">
        <v>539</v>
      </c>
    </row>
    <row r="28" spans="1:2" x14ac:dyDescent="0.3">
      <c r="A28" s="1">
        <v>140550000</v>
      </c>
      <c r="B28" s="31">
        <v>13651</v>
      </c>
    </row>
    <row r="29" spans="1:2" x14ac:dyDescent="0.3">
      <c r="A29" s="1">
        <v>20342000</v>
      </c>
      <c r="B29" s="31">
        <v>697</v>
      </c>
    </row>
    <row r="30" spans="1:2" x14ac:dyDescent="0.3">
      <c r="A30" s="1">
        <v>110243000</v>
      </c>
      <c r="B30" s="31">
        <v>132776</v>
      </c>
    </row>
    <row r="31" spans="1:2" x14ac:dyDescent="0.3">
      <c r="A31" s="1">
        <v>78785000</v>
      </c>
      <c r="B31" s="31">
        <v>849</v>
      </c>
    </row>
    <row r="32" spans="1:2" x14ac:dyDescent="0.3">
      <c r="A32" s="1">
        <v>108785000</v>
      </c>
      <c r="B32" s="31">
        <v>10135</v>
      </c>
    </row>
    <row r="33" spans="1:2" x14ac:dyDescent="0.3">
      <c r="A33" s="1">
        <v>78665000</v>
      </c>
      <c r="B33" s="31">
        <v>1363</v>
      </c>
    </row>
    <row r="34" spans="1:2" x14ac:dyDescent="0.3">
      <c r="A34" s="1">
        <v>78707000</v>
      </c>
      <c r="B34" s="31">
        <v>1503</v>
      </c>
    </row>
    <row r="35" spans="1:2" x14ac:dyDescent="0.3">
      <c r="A35" s="1">
        <v>78723000</v>
      </c>
      <c r="B35" s="31">
        <v>9239</v>
      </c>
    </row>
    <row r="36" spans="1:2" x14ac:dyDescent="0.3">
      <c r="A36" s="1">
        <v>78932000</v>
      </c>
      <c r="B36" s="31">
        <v>16404</v>
      </c>
    </row>
    <row r="37" spans="1:2" x14ac:dyDescent="0.3">
      <c r="A37" s="1">
        <v>78706000</v>
      </c>
      <c r="B37" s="31">
        <v>5485</v>
      </c>
    </row>
    <row r="38" spans="1:2" x14ac:dyDescent="0.3">
      <c r="A38" s="1">
        <v>1202000</v>
      </c>
      <c r="B38" s="31">
        <v>19025</v>
      </c>
    </row>
    <row r="39" spans="1:2" x14ac:dyDescent="0.3">
      <c r="A39" s="1">
        <v>70447000</v>
      </c>
      <c r="B39" s="31">
        <v>9370</v>
      </c>
    </row>
    <row r="40" spans="1:2" x14ac:dyDescent="0.3">
      <c r="A40" s="1">
        <v>20453000</v>
      </c>
      <c r="B40" s="31">
        <v>2764</v>
      </c>
    </row>
    <row r="41" spans="1:2" x14ac:dyDescent="0.3">
      <c r="A41" s="1">
        <v>130231000</v>
      </c>
      <c r="B41" s="31">
        <v>11263</v>
      </c>
    </row>
    <row r="42" spans="1:2" x14ac:dyDescent="0.3">
      <c r="A42" s="1">
        <v>70444000</v>
      </c>
      <c r="B42" s="31">
        <v>145195</v>
      </c>
    </row>
    <row r="43" spans="1:2" x14ac:dyDescent="0.3">
      <c r="A43" s="1">
        <v>148757000</v>
      </c>
      <c r="B43" s="31">
        <v>4479</v>
      </c>
    </row>
    <row r="44" spans="1:2" x14ac:dyDescent="0.3">
      <c r="A44" s="1">
        <v>108791000</v>
      </c>
      <c r="B44" s="31">
        <v>2746</v>
      </c>
    </row>
    <row r="45" spans="1:2" x14ac:dyDescent="0.3">
      <c r="A45" s="1">
        <v>130220000</v>
      </c>
      <c r="B45" s="31">
        <v>5407</v>
      </c>
    </row>
    <row r="46" spans="1:2" x14ac:dyDescent="0.3">
      <c r="A46" s="1">
        <v>78602000</v>
      </c>
      <c r="B46" s="31">
        <v>6861</v>
      </c>
    </row>
    <row r="47" spans="1:2" x14ac:dyDescent="0.3">
      <c r="A47" s="1">
        <v>78669000</v>
      </c>
      <c r="B47" s="31">
        <v>5048</v>
      </c>
    </row>
    <row r="48" spans="1:2" x14ac:dyDescent="0.3">
      <c r="A48" s="1">
        <v>70431000</v>
      </c>
      <c r="B48" s="31">
        <v>178971</v>
      </c>
    </row>
    <row r="49" spans="1:2" x14ac:dyDescent="0.3">
      <c r="A49" s="1">
        <v>90205745</v>
      </c>
      <c r="B49" s="31">
        <v>18415</v>
      </c>
    </row>
    <row r="50" spans="1:2" x14ac:dyDescent="0.3">
      <c r="A50" s="1">
        <v>108725000</v>
      </c>
      <c r="B50" s="31">
        <v>1439</v>
      </c>
    </row>
    <row r="51" spans="1:2" x14ac:dyDescent="0.3">
      <c r="A51" s="1">
        <v>130326000</v>
      </c>
      <c r="B51" s="31">
        <v>10051</v>
      </c>
    </row>
    <row r="52" spans="1:2" x14ac:dyDescent="0.3">
      <c r="A52" s="1">
        <v>78666000</v>
      </c>
      <c r="B52" s="31">
        <v>529</v>
      </c>
    </row>
    <row r="53" spans="1:2" x14ac:dyDescent="0.3">
      <c r="A53" s="1">
        <v>20209000</v>
      </c>
      <c r="B53" s="31">
        <v>23515</v>
      </c>
    </row>
    <row r="54" spans="1:2" x14ac:dyDescent="0.3">
      <c r="A54" s="1">
        <v>150576000</v>
      </c>
      <c r="B54" s="31">
        <v>6923</v>
      </c>
    </row>
    <row r="55" spans="1:2" x14ac:dyDescent="0.3">
      <c r="A55" s="1">
        <v>20202000</v>
      </c>
      <c r="B55" s="31">
        <v>47087</v>
      </c>
    </row>
    <row r="56" spans="1:2" x14ac:dyDescent="0.3">
      <c r="A56" s="1">
        <v>78727000</v>
      </c>
      <c r="B56" s="31">
        <v>11588</v>
      </c>
    </row>
    <row r="57" spans="1:2" x14ac:dyDescent="0.3">
      <c r="A57" s="1">
        <v>90232000</v>
      </c>
      <c r="B57" s="31">
        <v>48153</v>
      </c>
    </row>
    <row r="58" spans="1:2" x14ac:dyDescent="0.3">
      <c r="A58" s="1">
        <v>50316000</v>
      </c>
      <c r="B58" s="31">
        <v>2976</v>
      </c>
    </row>
    <row r="59" spans="1:2" x14ac:dyDescent="0.3">
      <c r="A59" s="1">
        <v>150426000</v>
      </c>
      <c r="B59" s="31">
        <v>893</v>
      </c>
    </row>
    <row r="60" spans="1:2" x14ac:dyDescent="0.3">
      <c r="A60" s="1">
        <v>20214000</v>
      </c>
      <c r="B60" s="31">
        <v>5258</v>
      </c>
    </row>
    <row r="61" spans="1:2" x14ac:dyDescent="0.3">
      <c r="A61" s="1">
        <v>78762000</v>
      </c>
      <c r="B61" s="31">
        <v>2744</v>
      </c>
    </row>
    <row r="62" spans="1:2" x14ac:dyDescent="0.3">
      <c r="A62" s="1">
        <v>70433000</v>
      </c>
      <c r="B62" s="31">
        <v>51602</v>
      </c>
    </row>
    <row r="63" spans="1:2" x14ac:dyDescent="0.3">
      <c r="A63" s="1">
        <v>70501000</v>
      </c>
      <c r="B63" s="31">
        <v>23527</v>
      </c>
    </row>
    <row r="64" spans="1:2" x14ac:dyDescent="0.3">
      <c r="A64" s="1">
        <v>80415000</v>
      </c>
      <c r="B64" s="31">
        <v>150578</v>
      </c>
    </row>
    <row r="65" spans="1:2" x14ac:dyDescent="0.3">
      <c r="A65" s="1">
        <v>78668000</v>
      </c>
      <c r="B65" s="31">
        <v>38001</v>
      </c>
    </row>
    <row r="66" spans="1:2" x14ac:dyDescent="0.3">
      <c r="A66" s="1">
        <v>108661000</v>
      </c>
      <c r="B66" s="31">
        <v>5506</v>
      </c>
    </row>
    <row r="67" spans="1:2" x14ac:dyDescent="0.3">
      <c r="A67" s="1">
        <v>130228000</v>
      </c>
      <c r="B67" s="31">
        <v>45751</v>
      </c>
    </row>
    <row r="68" spans="1:2" x14ac:dyDescent="0.3">
      <c r="A68" s="1">
        <v>130350000</v>
      </c>
      <c r="B68" s="31">
        <v>6198</v>
      </c>
    </row>
    <row r="69" spans="1:2" x14ac:dyDescent="0.3">
      <c r="A69" s="1">
        <v>80208795</v>
      </c>
      <c r="B69" s="31">
        <v>7900</v>
      </c>
    </row>
    <row r="70" spans="1:2" x14ac:dyDescent="0.3">
      <c r="A70" s="1">
        <v>108777000</v>
      </c>
      <c r="B70" s="31">
        <v>1465</v>
      </c>
    </row>
    <row r="71" spans="1:2" x14ac:dyDescent="0.3">
      <c r="A71" s="1">
        <v>78673000</v>
      </c>
      <c r="B71" s="31">
        <v>10241</v>
      </c>
    </row>
    <row r="72" spans="1:2" x14ac:dyDescent="0.3">
      <c r="A72" s="1">
        <v>78709000</v>
      </c>
      <c r="B72" s="31">
        <v>3812</v>
      </c>
    </row>
    <row r="73" spans="1:2" x14ac:dyDescent="0.3">
      <c r="A73" s="1">
        <v>70483000</v>
      </c>
      <c r="B73" s="31">
        <v>830869</v>
      </c>
    </row>
    <row r="74" spans="1:2" x14ac:dyDescent="0.3">
      <c r="A74" s="1">
        <v>118701000</v>
      </c>
      <c r="B74" s="31">
        <v>13033</v>
      </c>
    </row>
    <row r="75" spans="1:2" x14ac:dyDescent="0.3">
      <c r="A75" s="1">
        <v>110404000</v>
      </c>
      <c r="B75" s="31">
        <v>217805</v>
      </c>
    </row>
    <row r="76" spans="1:2" x14ac:dyDescent="0.3">
      <c r="A76" s="1">
        <v>110502000</v>
      </c>
      <c r="B76" s="31">
        <v>108766</v>
      </c>
    </row>
    <row r="77" spans="1:2" x14ac:dyDescent="0.3">
      <c r="A77" s="1">
        <v>78908000</v>
      </c>
      <c r="B77" s="31">
        <v>1210</v>
      </c>
    </row>
    <row r="78" spans="1:2" x14ac:dyDescent="0.3">
      <c r="A78" s="1">
        <v>100216000</v>
      </c>
      <c r="B78" s="31">
        <v>61818</v>
      </c>
    </row>
    <row r="79" spans="1:2" x14ac:dyDescent="0.3">
      <c r="A79" s="1">
        <v>70293000</v>
      </c>
      <c r="B79" s="31">
        <v>47320</v>
      </c>
    </row>
    <row r="80" spans="1:2" x14ac:dyDescent="0.3">
      <c r="A80" s="1">
        <v>90225000</v>
      </c>
      <c r="B80" s="31">
        <v>30181</v>
      </c>
    </row>
    <row r="81" spans="1:2" x14ac:dyDescent="0.3">
      <c r="A81" s="1">
        <v>108712000</v>
      </c>
      <c r="B81" s="31">
        <v>3453</v>
      </c>
    </row>
    <row r="82" spans="1:2" x14ac:dyDescent="0.3">
      <c r="A82" s="1">
        <v>78772000</v>
      </c>
      <c r="B82" s="31">
        <v>10461</v>
      </c>
    </row>
    <row r="83" spans="1:2" x14ac:dyDescent="0.3">
      <c r="A83" s="1">
        <v>78935000</v>
      </c>
      <c r="B83" s="31">
        <v>34621</v>
      </c>
    </row>
    <row r="84" spans="1:2" x14ac:dyDescent="0.3">
      <c r="A84" s="1">
        <v>70280000</v>
      </c>
      <c r="B84" s="31">
        <v>503936</v>
      </c>
    </row>
    <row r="85" spans="1:2" x14ac:dyDescent="0.3">
      <c r="A85" s="1">
        <v>108662000</v>
      </c>
      <c r="B85" s="31">
        <v>20770</v>
      </c>
    </row>
    <row r="86" spans="1:2" x14ac:dyDescent="0.3">
      <c r="A86" s="1">
        <v>138753000</v>
      </c>
      <c r="B86" s="31">
        <v>2480</v>
      </c>
    </row>
    <row r="87" spans="1:2" x14ac:dyDescent="0.3">
      <c r="A87" s="1">
        <v>108776000</v>
      </c>
      <c r="B87" s="31">
        <v>976</v>
      </c>
    </row>
    <row r="88" spans="1:2" x14ac:dyDescent="0.3">
      <c r="A88" s="1">
        <v>10224000</v>
      </c>
      <c r="B88" s="31">
        <v>261791</v>
      </c>
    </row>
    <row r="89" spans="1:2" x14ac:dyDescent="0.3">
      <c r="A89" s="1">
        <v>130251000</v>
      </c>
      <c r="B89" s="31">
        <v>84625</v>
      </c>
    </row>
    <row r="90" spans="1:2" x14ac:dyDescent="0.3">
      <c r="A90" s="1">
        <v>100220705</v>
      </c>
      <c r="B90" s="31">
        <v>206</v>
      </c>
    </row>
    <row r="91" spans="1:2" x14ac:dyDescent="0.3">
      <c r="A91" s="1">
        <v>130403000</v>
      </c>
      <c r="B91" s="31">
        <v>12422</v>
      </c>
    </row>
    <row r="92" spans="1:2" x14ac:dyDescent="0.3">
      <c r="A92" s="1">
        <v>78777000</v>
      </c>
      <c r="B92" s="31">
        <v>1413</v>
      </c>
    </row>
    <row r="93" spans="1:2" x14ac:dyDescent="0.3">
      <c r="A93" s="1">
        <v>80208835</v>
      </c>
      <c r="B93" s="31">
        <v>3436</v>
      </c>
    </row>
    <row r="94" spans="1:2" x14ac:dyDescent="0.3">
      <c r="A94" s="1">
        <v>60203000</v>
      </c>
      <c r="B94" s="31">
        <v>8867</v>
      </c>
    </row>
    <row r="95" spans="1:2" x14ac:dyDescent="0.3">
      <c r="A95" s="1">
        <v>20326000</v>
      </c>
      <c r="B95" s="31">
        <v>1125</v>
      </c>
    </row>
    <row r="96" spans="1:2" x14ac:dyDescent="0.3">
      <c r="A96" s="1">
        <v>28750000</v>
      </c>
      <c r="B96" s="31">
        <v>14326</v>
      </c>
    </row>
    <row r="97" spans="1:2" x14ac:dyDescent="0.3">
      <c r="A97" s="1">
        <v>80214000</v>
      </c>
      <c r="B97" s="31">
        <v>38690</v>
      </c>
    </row>
    <row r="98" spans="1:2" x14ac:dyDescent="0.3">
      <c r="A98" s="1">
        <v>80502000</v>
      </c>
      <c r="B98" s="31">
        <v>76494</v>
      </c>
    </row>
    <row r="99" spans="1:2" x14ac:dyDescent="0.3">
      <c r="A99" s="1">
        <v>10306000</v>
      </c>
      <c r="B99" s="31">
        <v>7633</v>
      </c>
    </row>
    <row r="100" spans="1:2" x14ac:dyDescent="0.3">
      <c r="A100" s="1">
        <v>130317000</v>
      </c>
      <c r="B100" s="31">
        <v>5038</v>
      </c>
    </row>
    <row r="101" spans="1:2" x14ac:dyDescent="0.3">
      <c r="A101" s="1">
        <v>100339000</v>
      </c>
      <c r="B101" s="31">
        <v>3882</v>
      </c>
    </row>
    <row r="102" spans="1:2" x14ac:dyDescent="0.3">
      <c r="A102" s="1">
        <v>110221710</v>
      </c>
      <c r="B102" s="31">
        <v>4935</v>
      </c>
    </row>
    <row r="103" spans="1:2" x14ac:dyDescent="0.3">
      <c r="A103" s="1">
        <v>110221000</v>
      </c>
      <c r="B103" s="31">
        <v>144576</v>
      </c>
    </row>
    <row r="104" spans="1:2" x14ac:dyDescent="0.3">
      <c r="A104" s="1">
        <v>80208840</v>
      </c>
      <c r="B104" s="31">
        <v>2824</v>
      </c>
    </row>
    <row r="105" spans="1:2" x14ac:dyDescent="0.3">
      <c r="A105" s="1">
        <v>130406000</v>
      </c>
      <c r="B105" s="31">
        <v>45215</v>
      </c>
    </row>
    <row r="106" spans="1:2" x14ac:dyDescent="0.3">
      <c r="A106" s="1">
        <v>70260910</v>
      </c>
      <c r="B106" s="31">
        <v>17687</v>
      </c>
    </row>
    <row r="107" spans="1:2" x14ac:dyDescent="0.3">
      <c r="A107" s="1">
        <v>140413000</v>
      </c>
      <c r="B107" s="31">
        <v>195560</v>
      </c>
    </row>
    <row r="108" spans="1:2" x14ac:dyDescent="0.3">
      <c r="A108" s="1">
        <v>70414000</v>
      </c>
      <c r="B108" s="31">
        <v>465459</v>
      </c>
    </row>
    <row r="109" spans="1:2" x14ac:dyDescent="0.3">
      <c r="A109" s="1">
        <v>78921000</v>
      </c>
      <c r="B109" s="31">
        <v>5712</v>
      </c>
    </row>
    <row r="110" spans="1:2" x14ac:dyDescent="0.3">
      <c r="A110" s="1">
        <v>130341000</v>
      </c>
      <c r="B110" s="31">
        <v>366</v>
      </c>
    </row>
    <row r="111" spans="1:2" x14ac:dyDescent="0.3">
      <c r="A111" s="1">
        <v>78702000</v>
      </c>
      <c r="B111" s="31">
        <v>907</v>
      </c>
    </row>
    <row r="112" spans="1:2" x14ac:dyDescent="0.3">
      <c r="A112" s="1">
        <v>108664000</v>
      </c>
      <c r="B112" s="31">
        <v>4294</v>
      </c>
    </row>
    <row r="113" spans="1:2" x14ac:dyDescent="0.3">
      <c r="A113" s="1">
        <v>70297000</v>
      </c>
      <c r="B113" s="31">
        <v>468680</v>
      </c>
    </row>
    <row r="114" spans="1:2" x14ac:dyDescent="0.3">
      <c r="A114" s="1">
        <v>108787000</v>
      </c>
      <c r="B114" s="31">
        <v>5123</v>
      </c>
    </row>
    <row r="115" spans="1:2" x14ac:dyDescent="0.3">
      <c r="A115" s="1">
        <v>88757000</v>
      </c>
      <c r="B115" s="31">
        <v>1304</v>
      </c>
    </row>
    <row r="116" spans="1:2" x14ac:dyDescent="0.3">
      <c r="A116" s="1">
        <v>48701000</v>
      </c>
      <c r="B116" s="31">
        <v>18040</v>
      </c>
    </row>
    <row r="117" spans="1:2" x14ac:dyDescent="0.3">
      <c r="A117" s="1">
        <v>98651000</v>
      </c>
      <c r="B117" s="31">
        <v>750</v>
      </c>
    </row>
    <row r="118" spans="1:2" x14ac:dyDescent="0.3">
      <c r="A118" s="1">
        <v>58651000</v>
      </c>
      <c r="B118" s="31">
        <v>3004</v>
      </c>
    </row>
    <row r="119" spans="1:2" x14ac:dyDescent="0.3">
      <c r="A119" s="1">
        <v>20345000</v>
      </c>
      <c r="B119" s="31">
        <v>2960</v>
      </c>
    </row>
    <row r="120" spans="1:2" x14ac:dyDescent="0.3">
      <c r="A120" s="1">
        <v>20227000</v>
      </c>
      <c r="B120" s="31">
        <v>208823</v>
      </c>
    </row>
    <row r="121" spans="1:2" x14ac:dyDescent="0.3">
      <c r="A121" s="1">
        <v>78632000</v>
      </c>
      <c r="B121" s="31">
        <v>5616</v>
      </c>
    </row>
    <row r="122" spans="1:2" x14ac:dyDescent="0.3">
      <c r="A122" s="1">
        <v>60202000</v>
      </c>
      <c r="B122" s="31">
        <v>13276</v>
      </c>
    </row>
    <row r="123" spans="1:2" x14ac:dyDescent="0.3">
      <c r="A123" s="1">
        <v>70289000</v>
      </c>
      <c r="B123" s="31">
        <v>199393</v>
      </c>
    </row>
    <row r="124" spans="1:2" x14ac:dyDescent="0.3">
      <c r="A124" s="1">
        <v>88756000</v>
      </c>
      <c r="B124" s="31">
        <v>13614</v>
      </c>
    </row>
    <row r="125" spans="1:2" x14ac:dyDescent="0.3">
      <c r="A125" s="1">
        <v>78725000</v>
      </c>
      <c r="B125" s="31">
        <v>4218</v>
      </c>
    </row>
    <row r="126" spans="1:2" x14ac:dyDescent="0.3">
      <c r="A126" s="1">
        <v>78778000</v>
      </c>
      <c r="B126" s="31">
        <v>13096</v>
      </c>
    </row>
    <row r="127" spans="1:2" x14ac:dyDescent="0.3">
      <c r="A127" s="1">
        <v>70801000</v>
      </c>
      <c r="B127" s="31">
        <v>40655</v>
      </c>
    </row>
    <row r="128" spans="1:2" x14ac:dyDescent="0.3">
      <c r="A128" s="1">
        <v>78764000</v>
      </c>
      <c r="B128" s="31">
        <v>1610</v>
      </c>
    </row>
    <row r="129" spans="1:2" x14ac:dyDescent="0.3">
      <c r="A129" s="1">
        <v>108653000</v>
      </c>
      <c r="B129" s="31">
        <v>5669</v>
      </c>
    </row>
    <row r="130" spans="1:2" x14ac:dyDescent="0.3">
      <c r="A130" s="1">
        <v>70260865</v>
      </c>
      <c r="B130" s="31">
        <v>7284</v>
      </c>
    </row>
    <row r="131" spans="1:2" x14ac:dyDescent="0.3">
      <c r="A131" s="1">
        <v>78717000</v>
      </c>
      <c r="B131" s="31">
        <v>2932</v>
      </c>
    </row>
    <row r="132" spans="1:2" x14ac:dyDescent="0.3">
      <c r="A132" s="1">
        <v>78634000</v>
      </c>
      <c r="B132" s="31">
        <v>7057</v>
      </c>
    </row>
    <row r="133" spans="1:2" x14ac:dyDescent="0.3">
      <c r="A133" s="1">
        <v>80205825</v>
      </c>
      <c r="B133" s="31">
        <v>2289</v>
      </c>
    </row>
    <row r="134" spans="1:2" x14ac:dyDescent="0.3">
      <c r="A134" s="1">
        <v>108792000</v>
      </c>
      <c r="B134" s="31">
        <v>3955</v>
      </c>
    </row>
    <row r="135" spans="1:2" x14ac:dyDescent="0.3">
      <c r="A135" s="1">
        <v>20412000</v>
      </c>
      <c r="B135" s="31">
        <v>9189</v>
      </c>
    </row>
    <row r="136" spans="1:2" x14ac:dyDescent="0.3">
      <c r="A136" s="1">
        <v>110411000</v>
      </c>
      <c r="B136" s="31">
        <v>79363</v>
      </c>
    </row>
    <row r="137" spans="1:2" x14ac:dyDescent="0.3">
      <c r="A137" s="1">
        <v>78610000</v>
      </c>
      <c r="B137" s="31">
        <v>9061</v>
      </c>
    </row>
    <row r="138" spans="1:2" x14ac:dyDescent="0.3">
      <c r="A138" s="1">
        <v>78711000</v>
      </c>
      <c r="B138" s="31">
        <v>41087</v>
      </c>
    </row>
    <row r="139" spans="1:2" x14ac:dyDescent="0.3">
      <c r="A139" s="1">
        <v>78797000</v>
      </c>
      <c r="B139" s="31">
        <v>508</v>
      </c>
    </row>
    <row r="140" spans="1:2" x14ac:dyDescent="0.3">
      <c r="A140" s="1">
        <v>78901000</v>
      </c>
      <c r="B140" s="31">
        <v>6472</v>
      </c>
    </row>
    <row r="141" spans="1:2" x14ac:dyDescent="0.3">
      <c r="A141" s="1">
        <v>138737000</v>
      </c>
      <c r="B141" s="31">
        <v>46696</v>
      </c>
    </row>
    <row r="142" spans="1:2" x14ac:dyDescent="0.3">
      <c r="A142" s="1">
        <v>38650000</v>
      </c>
      <c r="B142" s="31">
        <v>2126</v>
      </c>
    </row>
    <row r="143" spans="1:2" x14ac:dyDescent="0.3">
      <c r="A143" s="1">
        <v>38752000</v>
      </c>
      <c r="B143" s="31">
        <v>2593</v>
      </c>
    </row>
    <row r="144" spans="1:2" x14ac:dyDescent="0.3">
      <c r="A144" s="1">
        <v>30201000</v>
      </c>
      <c r="B144" s="31">
        <v>339668</v>
      </c>
    </row>
    <row r="145" spans="1:2" x14ac:dyDescent="0.3">
      <c r="A145" s="1">
        <v>78608000</v>
      </c>
      <c r="B145" s="31">
        <v>3338</v>
      </c>
    </row>
    <row r="146" spans="1:2" x14ac:dyDescent="0.3">
      <c r="A146" s="1">
        <v>110201000</v>
      </c>
      <c r="B146" s="31">
        <v>37550</v>
      </c>
    </row>
    <row r="147" spans="1:2" x14ac:dyDescent="0.3">
      <c r="A147" s="1">
        <v>100208000</v>
      </c>
      <c r="B147" s="31">
        <v>186583</v>
      </c>
    </row>
    <row r="148" spans="1:2" x14ac:dyDescent="0.3">
      <c r="A148" s="1">
        <v>78628000</v>
      </c>
      <c r="B148" s="31">
        <v>1047</v>
      </c>
    </row>
    <row r="149" spans="1:2" x14ac:dyDescent="0.3">
      <c r="A149" s="1">
        <v>20100000</v>
      </c>
      <c r="B149" s="31">
        <v>22505</v>
      </c>
    </row>
    <row r="150" spans="1:2" x14ac:dyDescent="0.3">
      <c r="A150" s="1">
        <v>78755000</v>
      </c>
      <c r="B150" s="31">
        <v>2034</v>
      </c>
    </row>
    <row r="151" spans="1:2" x14ac:dyDescent="0.3">
      <c r="A151" s="1">
        <v>70298000</v>
      </c>
      <c r="B151" s="31">
        <v>29483</v>
      </c>
    </row>
    <row r="152" spans="1:2" x14ac:dyDescent="0.3">
      <c r="A152" s="1">
        <v>70445000</v>
      </c>
      <c r="B152" s="31">
        <v>87850</v>
      </c>
    </row>
    <row r="153" spans="1:2" x14ac:dyDescent="0.3">
      <c r="A153" s="1">
        <v>138751000</v>
      </c>
      <c r="B153" s="31">
        <v>3947</v>
      </c>
    </row>
    <row r="154" spans="1:2" x14ac:dyDescent="0.3">
      <c r="A154" s="1">
        <v>30206000</v>
      </c>
      <c r="B154" s="31">
        <v>15511</v>
      </c>
    </row>
    <row r="155" spans="1:2" x14ac:dyDescent="0.3">
      <c r="A155" s="1">
        <v>78611000</v>
      </c>
      <c r="B155" s="31">
        <v>14243</v>
      </c>
    </row>
    <row r="156" spans="1:2" x14ac:dyDescent="0.3">
      <c r="A156" s="1">
        <v>50207000</v>
      </c>
      <c r="B156" s="31">
        <v>25665</v>
      </c>
    </row>
    <row r="157" spans="1:2" x14ac:dyDescent="0.3">
      <c r="A157" s="1">
        <v>78756000</v>
      </c>
      <c r="B157" s="31">
        <v>14090</v>
      </c>
    </row>
    <row r="158" spans="1:2" x14ac:dyDescent="0.3">
      <c r="A158" s="1">
        <v>140432000</v>
      </c>
      <c r="B158" s="31">
        <v>206125</v>
      </c>
    </row>
    <row r="159" spans="1:2" x14ac:dyDescent="0.3">
      <c r="A159" s="1">
        <v>78660000</v>
      </c>
      <c r="B159" s="31">
        <v>838</v>
      </c>
    </row>
    <row r="160" spans="1:2" x14ac:dyDescent="0.3">
      <c r="A160" s="1">
        <v>10220000</v>
      </c>
      <c r="B160" s="31">
        <v>128063</v>
      </c>
    </row>
    <row r="161" spans="1:2" x14ac:dyDescent="0.3">
      <c r="A161" s="1">
        <v>78679000</v>
      </c>
      <c r="B161" s="31">
        <v>2511</v>
      </c>
    </row>
    <row r="162" spans="1:2" x14ac:dyDescent="0.3">
      <c r="A162" s="1">
        <v>78774000</v>
      </c>
      <c r="B162" s="31">
        <v>974</v>
      </c>
    </row>
    <row r="163" spans="1:2" x14ac:dyDescent="0.3">
      <c r="A163" s="1">
        <v>78664000</v>
      </c>
      <c r="B163" s="31">
        <v>11596</v>
      </c>
    </row>
    <row r="164" spans="1:2" x14ac:dyDescent="0.3">
      <c r="A164" s="1">
        <v>70224000</v>
      </c>
      <c r="B164" s="31">
        <v>32922</v>
      </c>
    </row>
    <row r="165" spans="1:2" x14ac:dyDescent="0.3">
      <c r="A165" s="1">
        <v>70241000</v>
      </c>
      <c r="B165" s="31">
        <v>342655</v>
      </c>
    </row>
    <row r="166" spans="1:2" x14ac:dyDescent="0.3">
      <c r="A166" s="1">
        <v>70440000</v>
      </c>
      <c r="B166" s="31">
        <v>465029</v>
      </c>
    </row>
    <row r="167" spans="1:2" x14ac:dyDescent="0.3">
      <c r="A167" s="1">
        <v>70505000</v>
      </c>
      <c r="B167" s="31">
        <v>604442</v>
      </c>
    </row>
    <row r="168" spans="1:2" x14ac:dyDescent="0.3">
      <c r="A168" s="1">
        <v>108721000</v>
      </c>
      <c r="B168" s="31">
        <v>7761</v>
      </c>
    </row>
    <row r="169" spans="1:2" x14ac:dyDescent="0.3">
      <c r="A169" s="1">
        <v>78663000</v>
      </c>
      <c r="B169" s="31">
        <v>198</v>
      </c>
    </row>
    <row r="170" spans="1:2" x14ac:dyDescent="0.3">
      <c r="A170" s="1">
        <v>40201000</v>
      </c>
      <c r="B170" s="31">
        <v>59842</v>
      </c>
    </row>
    <row r="171" spans="1:2" x14ac:dyDescent="0.3">
      <c r="A171" s="1">
        <v>80208830</v>
      </c>
      <c r="B171" s="31">
        <v>5361</v>
      </c>
    </row>
    <row r="172" spans="1:2" x14ac:dyDescent="0.3">
      <c r="A172" s="1">
        <v>50199000</v>
      </c>
      <c r="B172" s="31">
        <v>1539</v>
      </c>
    </row>
    <row r="173" spans="1:2" x14ac:dyDescent="0.3">
      <c r="A173" s="1">
        <v>30204000</v>
      </c>
      <c r="B173" s="31">
        <v>10229</v>
      </c>
    </row>
    <row r="174" spans="1:2" x14ac:dyDescent="0.3">
      <c r="A174" s="1">
        <v>108770000</v>
      </c>
      <c r="B174" s="31">
        <v>2147</v>
      </c>
    </row>
    <row r="175" spans="1:2" x14ac:dyDescent="0.3">
      <c r="A175" s="1">
        <v>108789000</v>
      </c>
      <c r="B175" s="31">
        <v>4095</v>
      </c>
    </row>
    <row r="176" spans="1:2" x14ac:dyDescent="0.3">
      <c r="A176" s="1">
        <v>108726000</v>
      </c>
      <c r="B176" s="31">
        <v>4036</v>
      </c>
    </row>
    <row r="177" spans="1:2" x14ac:dyDescent="0.3">
      <c r="A177" s="1">
        <v>80303000</v>
      </c>
      <c r="B177" s="31">
        <v>2584</v>
      </c>
    </row>
    <row r="178" spans="1:2" x14ac:dyDescent="0.3">
      <c r="A178" s="1">
        <v>80208770</v>
      </c>
      <c r="B178" s="31">
        <v>6146</v>
      </c>
    </row>
    <row r="179" spans="1:2" x14ac:dyDescent="0.3">
      <c r="A179" s="1">
        <v>40241000</v>
      </c>
      <c r="B179" s="31">
        <v>24228</v>
      </c>
    </row>
    <row r="180" spans="1:2" x14ac:dyDescent="0.3">
      <c r="A180" s="1">
        <v>90206000</v>
      </c>
      <c r="B180" s="31">
        <v>25850</v>
      </c>
    </row>
    <row r="181" spans="1:2" x14ac:dyDescent="0.3">
      <c r="A181" s="1">
        <v>108701000</v>
      </c>
      <c r="B181" s="31">
        <v>2174</v>
      </c>
    </row>
    <row r="182" spans="1:2" x14ac:dyDescent="0.3">
      <c r="A182" s="1">
        <v>80208785</v>
      </c>
      <c r="B182" s="31">
        <v>1497</v>
      </c>
    </row>
    <row r="183" spans="1:2" x14ac:dyDescent="0.3">
      <c r="A183" s="1">
        <v>108775000</v>
      </c>
      <c r="B183" s="31">
        <v>1428</v>
      </c>
    </row>
    <row r="184" spans="1:2" x14ac:dyDescent="0.3">
      <c r="A184" s="1">
        <v>70260000</v>
      </c>
      <c r="B184" s="31">
        <v>12942</v>
      </c>
    </row>
    <row r="185" spans="1:2" x14ac:dyDescent="0.3">
      <c r="A185" s="1">
        <v>130335000</v>
      </c>
      <c r="B185" s="31">
        <v>121</v>
      </c>
    </row>
    <row r="186" spans="1:2" x14ac:dyDescent="0.3">
      <c r="A186" s="1">
        <v>90203000</v>
      </c>
      <c r="B186" s="31">
        <v>89683</v>
      </c>
    </row>
    <row r="187" spans="1:2" x14ac:dyDescent="0.3">
      <c r="A187" s="1">
        <v>130222000</v>
      </c>
      <c r="B187" s="31">
        <v>146191</v>
      </c>
    </row>
    <row r="188" spans="1:2" x14ac:dyDescent="0.3">
      <c r="A188" s="1">
        <v>140416000</v>
      </c>
      <c r="B188" s="31">
        <v>11622</v>
      </c>
    </row>
    <row r="189" spans="1:2" x14ac:dyDescent="0.3">
      <c r="A189" s="1">
        <v>108722000</v>
      </c>
      <c r="B189" s="31">
        <v>13356</v>
      </c>
    </row>
    <row r="190" spans="1:2" x14ac:dyDescent="0.3">
      <c r="A190" s="1">
        <v>100240000</v>
      </c>
      <c r="B190" s="31">
        <v>74451</v>
      </c>
    </row>
    <row r="191" spans="1:2" x14ac:dyDescent="0.3">
      <c r="A191" s="1">
        <v>70260755</v>
      </c>
      <c r="B191" s="31">
        <v>2404</v>
      </c>
    </row>
    <row r="192" spans="1:2" x14ac:dyDescent="0.3">
      <c r="A192" s="1">
        <v>118702000</v>
      </c>
      <c r="B192" s="31">
        <v>3312</v>
      </c>
    </row>
    <row r="193" spans="1:2" x14ac:dyDescent="0.3">
      <c r="A193" s="1">
        <v>70405000</v>
      </c>
      <c r="B193" s="31">
        <v>465385</v>
      </c>
    </row>
    <row r="194" spans="1:2" x14ac:dyDescent="0.3">
      <c r="A194" s="1">
        <v>110344000</v>
      </c>
      <c r="B194" s="31">
        <v>10851</v>
      </c>
    </row>
    <row r="195" spans="1:2" x14ac:dyDescent="0.3">
      <c r="A195" s="1">
        <v>78795000</v>
      </c>
      <c r="B195" s="31">
        <v>119</v>
      </c>
    </row>
    <row r="196" spans="1:2" x14ac:dyDescent="0.3">
      <c r="A196" s="1">
        <v>90202000</v>
      </c>
      <c r="B196" s="31">
        <v>12118</v>
      </c>
    </row>
    <row r="197" spans="1:2" x14ac:dyDescent="0.3">
      <c r="A197" s="1">
        <v>130209700</v>
      </c>
      <c r="B197" s="31">
        <v>56</v>
      </c>
    </row>
    <row r="198" spans="1:2" x14ac:dyDescent="0.3">
      <c r="A198" s="1">
        <v>148759000</v>
      </c>
      <c r="B198" s="31">
        <v>9766</v>
      </c>
    </row>
    <row r="199" spans="1:2" x14ac:dyDescent="0.3">
      <c r="A199" s="1">
        <v>78657000</v>
      </c>
      <c r="B199" s="31">
        <v>4259</v>
      </c>
    </row>
    <row r="200" spans="1:2" x14ac:dyDescent="0.3">
      <c r="A200" s="1">
        <v>90227000</v>
      </c>
      <c r="B200" s="31">
        <v>104198</v>
      </c>
    </row>
    <row r="201" spans="1:2" x14ac:dyDescent="0.3">
      <c r="A201" s="1">
        <v>138759000</v>
      </c>
      <c r="B201" s="31">
        <v>1859</v>
      </c>
    </row>
    <row r="202" spans="1:2" x14ac:dyDescent="0.3">
      <c r="A202" s="1">
        <v>78759000</v>
      </c>
      <c r="B202" s="31">
        <v>2095</v>
      </c>
    </row>
    <row r="203" spans="1:2" x14ac:dyDescent="0.3">
      <c r="A203" s="1">
        <v>80208730</v>
      </c>
      <c r="B203" s="31">
        <v>2193</v>
      </c>
    </row>
    <row r="204" spans="1:2" x14ac:dyDescent="0.3">
      <c r="A204" s="1">
        <v>88620000</v>
      </c>
      <c r="B204" s="31">
        <v>15846</v>
      </c>
    </row>
    <row r="205" spans="1:2" x14ac:dyDescent="0.3">
      <c r="A205" s="1">
        <v>80220000</v>
      </c>
      <c r="B205" s="31">
        <v>228871</v>
      </c>
    </row>
    <row r="206" spans="1:2" x14ac:dyDescent="0.3">
      <c r="A206" s="1">
        <v>130323000</v>
      </c>
      <c r="B206" s="31">
        <v>2883</v>
      </c>
    </row>
    <row r="207" spans="1:2" x14ac:dyDescent="0.3">
      <c r="A207" s="1">
        <v>70428000</v>
      </c>
      <c r="B207" s="31">
        <v>228337</v>
      </c>
    </row>
    <row r="208" spans="1:2" x14ac:dyDescent="0.3">
      <c r="A208" s="1">
        <v>88750000</v>
      </c>
      <c r="B208" s="31">
        <v>1910</v>
      </c>
    </row>
    <row r="209" spans="1:2" x14ac:dyDescent="0.3">
      <c r="A209" s="1">
        <v>80201000</v>
      </c>
      <c r="B209" s="31">
        <v>172368</v>
      </c>
    </row>
    <row r="210" spans="1:2" x14ac:dyDescent="0.3">
      <c r="A210" s="1">
        <v>38735000</v>
      </c>
      <c r="B210" s="31">
        <v>5967</v>
      </c>
    </row>
    <row r="211" spans="1:2" x14ac:dyDescent="0.3">
      <c r="A211" s="1">
        <v>108765000</v>
      </c>
      <c r="B211" s="31">
        <v>657</v>
      </c>
    </row>
    <row r="212" spans="1:2" x14ac:dyDescent="0.3">
      <c r="A212" s="1">
        <v>70459000</v>
      </c>
      <c r="B212" s="31">
        <v>78130</v>
      </c>
    </row>
    <row r="213" spans="1:2" x14ac:dyDescent="0.3">
      <c r="A213" s="1">
        <v>78916000</v>
      </c>
      <c r="B213" s="31">
        <v>6396</v>
      </c>
    </row>
    <row r="214" spans="1:2" x14ac:dyDescent="0.3">
      <c r="A214" s="1">
        <v>70425000</v>
      </c>
      <c r="B214" s="31">
        <v>36493</v>
      </c>
    </row>
    <row r="215" spans="1:2" x14ac:dyDescent="0.3">
      <c r="A215" s="1">
        <v>48650000</v>
      </c>
      <c r="B215" s="31">
        <v>1801</v>
      </c>
    </row>
    <row r="216" spans="1:2" x14ac:dyDescent="0.3">
      <c r="A216" s="1">
        <v>78784000</v>
      </c>
      <c r="B216" s="31">
        <v>10834</v>
      </c>
    </row>
    <row r="217" spans="1:2" x14ac:dyDescent="0.3">
      <c r="A217" s="1">
        <v>78704000</v>
      </c>
      <c r="B217" s="31">
        <v>1799</v>
      </c>
    </row>
    <row r="218" spans="1:2" x14ac:dyDescent="0.3">
      <c r="A218" s="1">
        <v>78910000</v>
      </c>
      <c r="B218" s="31">
        <v>31106</v>
      </c>
    </row>
    <row r="219" spans="1:2" x14ac:dyDescent="0.3">
      <c r="A219" s="1">
        <v>70479000</v>
      </c>
      <c r="B219" s="31">
        <v>60736</v>
      </c>
    </row>
    <row r="220" spans="1:2" x14ac:dyDescent="0.3">
      <c r="A220" s="1">
        <v>98748000</v>
      </c>
      <c r="B220" s="31">
        <v>1172</v>
      </c>
    </row>
    <row r="221" spans="1:2" x14ac:dyDescent="0.3">
      <c r="A221" s="1">
        <v>80209000</v>
      </c>
      <c r="B221" s="31">
        <v>11874</v>
      </c>
    </row>
    <row r="222" spans="1:2" x14ac:dyDescent="0.3">
      <c r="A222" s="1">
        <v>70465000</v>
      </c>
      <c r="B222" s="31">
        <v>73111</v>
      </c>
    </row>
    <row r="223" spans="1:2" x14ac:dyDescent="0.3">
      <c r="A223" s="1">
        <v>108702000</v>
      </c>
      <c r="B223" s="31">
        <v>9856</v>
      </c>
    </row>
    <row r="224" spans="1:2" x14ac:dyDescent="0.3">
      <c r="A224" s="1">
        <v>70438000</v>
      </c>
      <c r="B224" s="31">
        <v>125018</v>
      </c>
    </row>
    <row r="225" spans="1:2" x14ac:dyDescent="0.3">
      <c r="A225" s="1">
        <v>30310000</v>
      </c>
      <c r="B225" s="31">
        <v>1886</v>
      </c>
    </row>
    <row r="226" spans="1:2" x14ac:dyDescent="0.3">
      <c r="A226" s="1">
        <v>110208000</v>
      </c>
      <c r="B226" s="31">
        <v>61169</v>
      </c>
    </row>
    <row r="227" spans="1:2" x14ac:dyDescent="0.3">
      <c r="A227" s="1">
        <v>100206000</v>
      </c>
      <c r="B227" s="31">
        <v>241940</v>
      </c>
    </row>
    <row r="228" spans="1:2" x14ac:dyDescent="0.3">
      <c r="A228" s="1">
        <v>70199000</v>
      </c>
      <c r="B228" s="31">
        <v>60777</v>
      </c>
    </row>
    <row r="229" spans="1:2" x14ac:dyDescent="0.3">
      <c r="A229" s="1">
        <v>110220000</v>
      </c>
      <c r="B229" s="31">
        <v>50131</v>
      </c>
    </row>
    <row r="230" spans="1:2" x14ac:dyDescent="0.3">
      <c r="A230" s="1">
        <v>110100000</v>
      </c>
      <c r="B230" s="31">
        <v>9476</v>
      </c>
    </row>
    <row r="231" spans="1:2" x14ac:dyDescent="0.3">
      <c r="A231" s="1">
        <v>138757000</v>
      </c>
      <c r="B231" s="31">
        <v>1333</v>
      </c>
    </row>
    <row r="232" spans="1:2" x14ac:dyDescent="0.3">
      <c r="A232" s="1">
        <v>88759000</v>
      </c>
      <c r="B232" s="31">
        <v>6962</v>
      </c>
    </row>
    <row r="233" spans="1:2" x14ac:dyDescent="0.3">
      <c r="A233" s="1">
        <v>130243000</v>
      </c>
      <c r="B233" s="31">
        <v>23118</v>
      </c>
    </row>
    <row r="234" spans="1:2" x14ac:dyDescent="0.3">
      <c r="A234" s="1">
        <v>110221715</v>
      </c>
      <c r="B234" s="31">
        <v>860</v>
      </c>
    </row>
    <row r="235" spans="1:2" x14ac:dyDescent="0.3">
      <c r="A235" s="1">
        <v>10323000</v>
      </c>
      <c r="B235" s="31">
        <v>9049</v>
      </c>
    </row>
    <row r="236" spans="1:2" x14ac:dyDescent="0.3">
      <c r="A236" s="1">
        <v>20355000</v>
      </c>
      <c r="B236" s="31">
        <v>1455</v>
      </c>
    </row>
    <row r="237" spans="1:2" x14ac:dyDescent="0.3">
      <c r="A237" s="1">
        <v>78613000</v>
      </c>
      <c r="B237" s="31">
        <v>6981</v>
      </c>
    </row>
    <row r="238" spans="1:2" x14ac:dyDescent="0.3">
      <c r="A238" s="1">
        <v>70204000</v>
      </c>
      <c r="B238" s="31">
        <v>1953065</v>
      </c>
    </row>
    <row r="239" spans="1:2" x14ac:dyDescent="0.3">
      <c r="A239" s="1">
        <v>128649000</v>
      </c>
      <c r="B239" s="31">
        <v>8383</v>
      </c>
    </row>
    <row r="240" spans="1:2" x14ac:dyDescent="0.3">
      <c r="A240" s="1">
        <v>40240000</v>
      </c>
      <c r="B240" s="31">
        <v>41772</v>
      </c>
    </row>
    <row r="241" spans="1:2" x14ac:dyDescent="0.3">
      <c r="A241" s="1">
        <v>78791000</v>
      </c>
      <c r="B241" s="31">
        <v>677</v>
      </c>
    </row>
    <row r="242" spans="1:2" x14ac:dyDescent="0.3">
      <c r="A242" s="1">
        <v>138651000</v>
      </c>
      <c r="B242" s="31">
        <v>3425</v>
      </c>
    </row>
    <row r="243" spans="1:2" x14ac:dyDescent="0.3">
      <c r="A243" s="1">
        <v>138712000</v>
      </c>
      <c r="B243" s="31">
        <v>4868</v>
      </c>
    </row>
    <row r="244" spans="1:2" x14ac:dyDescent="0.3">
      <c r="A244" s="1">
        <v>130504000</v>
      </c>
      <c r="B244" s="31">
        <v>39440</v>
      </c>
    </row>
    <row r="245" spans="1:2" x14ac:dyDescent="0.3">
      <c r="A245" s="1">
        <v>78904000</v>
      </c>
      <c r="B245" s="31">
        <v>1464</v>
      </c>
    </row>
    <row r="246" spans="1:2" x14ac:dyDescent="0.3">
      <c r="A246" s="1">
        <v>70386000</v>
      </c>
      <c r="B246" s="31">
        <v>1120</v>
      </c>
    </row>
    <row r="247" spans="1:2" x14ac:dyDescent="0.3">
      <c r="A247" s="1">
        <v>88758000</v>
      </c>
      <c r="B247" s="31">
        <v>6332</v>
      </c>
    </row>
    <row r="248" spans="1:2" x14ac:dyDescent="0.3">
      <c r="A248" s="1">
        <v>80416000</v>
      </c>
      <c r="B248" s="31">
        <v>60593</v>
      </c>
    </row>
    <row r="249" spans="1:2" x14ac:dyDescent="0.3">
      <c r="A249" s="1">
        <v>140417000</v>
      </c>
      <c r="B249" s="31">
        <v>6510</v>
      </c>
    </row>
    <row r="250" spans="1:2" x14ac:dyDescent="0.3">
      <c r="A250" s="1">
        <v>78758000</v>
      </c>
      <c r="B250" s="31">
        <v>9889</v>
      </c>
    </row>
    <row r="251" spans="1:2" x14ac:dyDescent="0.3">
      <c r="A251" s="1">
        <v>78763000</v>
      </c>
      <c r="B251" s="31">
        <v>3434</v>
      </c>
    </row>
    <row r="252" spans="1:2" x14ac:dyDescent="0.3">
      <c r="A252" s="1">
        <v>78936000</v>
      </c>
      <c r="B252" s="31">
        <v>344</v>
      </c>
    </row>
    <row r="253" spans="1:2" x14ac:dyDescent="0.3">
      <c r="A253" s="1">
        <v>108703000</v>
      </c>
      <c r="B253" s="31">
        <v>1246</v>
      </c>
    </row>
    <row r="254" spans="1:2" x14ac:dyDescent="0.3">
      <c r="A254" s="1">
        <v>60218000</v>
      </c>
      <c r="B254" s="31">
        <v>13813</v>
      </c>
    </row>
    <row r="255" spans="1:2" x14ac:dyDescent="0.3">
      <c r="A255" s="1">
        <v>70375000</v>
      </c>
      <c r="B255" s="31">
        <v>2507</v>
      </c>
    </row>
    <row r="256" spans="1:2" x14ac:dyDescent="0.3">
      <c r="A256" s="1">
        <v>138652000</v>
      </c>
      <c r="B256" s="31">
        <v>1018</v>
      </c>
    </row>
    <row r="257" spans="1:2" x14ac:dyDescent="0.3">
      <c r="A257" s="1">
        <v>108769000</v>
      </c>
      <c r="B257" s="31">
        <v>4013</v>
      </c>
    </row>
    <row r="258" spans="1:2" x14ac:dyDescent="0.3">
      <c r="A258" s="1">
        <v>38651000</v>
      </c>
      <c r="B258" s="31">
        <v>745</v>
      </c>
    </row>
    <row r="259" spans="1:2" x14ac:dyDescent="0.3">
      <c r="A259" s="1">
        <v>108774000</v>
      </c>
      <c r="B259" s="31">
        <v>5071</v>
      </c>
    </row>
    <row r="260" spans="1:2" x14ac:dyDescent="0.3">
      <c r="A260" s="1">
        <v>70421000</v>
      </c>
      <c r="B260" s="31">
        <v>164154</v>
      </c>
    </row>
    <row r="261" spans="1:2" x14ac:dyDescent="0.3">
      <c r="A261" s="1">
        <v>20323000</v>
      </c>
      <c r="B261" s="31">
        <v>14022</v>
      </c>
    </row>
    <row r="262" spans="1:2" x14ac:dyDescent="0.3">
      <c r="A262" s="1">
        <v>70381000</v>
      </c>
      <c r="B262" s="31">
        <v>19266</v>
      </c>
    </row>
    <row r="263" spans="1:2" x14ac:dyDescent="0.3">
      <c r="A263" s="1">
        <v>80208745</v>
      </c>
      <c r="B263" s="31">
        <v>1208</v>
      </c>
    </row>
    <row r="264" spans="1:2" x14ac:dyDescent="0.3">
      <c r="A264" s="1">
        <v>108724000</v>
      </c>
      <c r="B264" s="31">
        <v>5748</v>
      </c>
    </row>
    <row r="265" spans="1:2" x14ac:dyDescent="0.3">
      <c r="A265" s="1">
        <v>78684000</v>
      </c>
      <c r="B265" s="31">
        <v>1721</v>
      </c>
    </row>
    <row r="266" spans="1:2" x14ac:dyDescent="0.3">
      <c r="A266" s="1">
        <v>78922000</v>
      </c>
      <c r="B266" s="31">
        <v>8444</v>
      </c>
    </row>
    <row r="267" spans="1:2" x14ac:dyDescent="0.3">
      <c r="A267" s="1">
        <v>78771000</v>
      </c>
      <c r="B267" s="31">
        <v>5241</v>
      </c>
    </row>
    <row r="268" spans="1:2" x14ac:dyDescent="0.3">
      <c r="A268" s="1">
        <v>78903000</v>
      </c>
      <c r="B268" s="31">
        <v>4060</v>
      </c>
    </row>
    <row r="269" spans="1:2" x14ac:dyDescent="0.3">
      <c r="A269" s="1">
        <v>138654000</v>
      </c>
      <c r="B269" s="31">
        <v>2353</v>
      </c>
    </row>
    <row r="270" spans="1:2" x14ac:dyDescent="0.3">
      <c r="A270" s="1">
        <v>70260870</v>
      </c>
      <c r="B270" s="31">
        <v>6837</v>
      </c>
    </row>
    <row r="271" spans="1:2" x14ac:dyDescent="0.3">
      <c r="A271" s="1">
        <v>90205750</v>
      </c>
      <c r="B271" s="31">
        <v>13249</v>
      </c>
    </row>
    <row r="272" spans="1:2" x14ac:dyDescent="0.3">
      <c r="A272" s="1">
        <v>120201000</v>
      </c>
      <c r="B272" s="31">
        <v>291641</v>
      </c>
    </row>
    <row r="273" spans="1:2" x14ac:dyDescent="0.3">
      <c r="A273" s="1">
        <v>78945000</v>
      </c>
      <c r="B273" s="31">
        <v>1943</v>
      </c>
    </row>
    <row r="274" spans="1:2" x14ac:dyDescent="0.3">
      <c r="A274" s="1">
        <v>98745000</v>
      </c>
      <c r="B274" s="31">
        <v>14173</v>
      </c>
    </row>
    <row r="275" spans="1:2" x14ac:dyDescent="0.3">
      <c r="A275" s="1">
        <v>78603000</v>
      </c>
      <c r="B275" s="31">
        <v>21228</v>
      </c>
    </row>
    <row r="276" spans="1:2" x14ac:dyDescent="0.3">
      <c r="A276" s="1">
        <v>110302000</v>
      </c>
      <c r="B276" s="31">
        <v>16494</v>
      </c>
    </row>
    <row r="277" spans="1:2" x14ac:dyDescent="0.3">
      <c r="A277" s="1">
        <v>70408000</v>
      </c>
      <c r="B277" s="31">
        <v>199127</v>
      </c>
    </row>
    <row r="278" spans="1:2" x14ac:dyDescent="0.3">
      <c r="A278" s="1">
        <v>80306000</v>
      </c>
      <c r="B278" s="31">
        <v>1461</v>
      </c>
    </row>
    <row r="279" spans="1:2" x14ac:dyDescent="0.3">
      <c r="A279" s="1">
        <v>138758000</v>
      </c>
      <c r="B279" s="31">
        <v>3546</v>
      </c>
    </row>
    <row r="280" spans="1:2" x14ac:dyDescent="0.3">
      <c r="A280" s="1">
        <v>30208000</v>
      </c>
      <c r="B280" s="31">
        <v>119129</v>
      </c>
    </row>
    <row r="281" spans="1:2" x14ac:dyDescent="0.3">
      <c r="A281" s="1">
        <v>38753000</v>
      </c>
      <c r="B281" s="31">
        <v>1448</v>
      </c>
    </row>
    <row r="282" spans="1:2" x14ac:dyDescent="0.3">
      <c r="A282" s="1">
        <v>70449000</v>
      </c>
      <c r="B282" s="31">
        <v>15250</v>
      </c>
    </row>
    <row r="283" spans="1:2" x14ac:dyDescent="0.3">
      <c r="A283" s="1">
        <v>70394000</v>
      </c>
      <c r="B283" s="31">
        <v>5287</v>
      </c>
    </row>
    <row r="284" spans="1:2" x14ac:dyDescent="0.3">
      <c r="A284" s="1">
        <v>20349000</v>
      </c>
      <c r="B284" s="31">
        <v>25968</v>
      </c>
    </row>
    <row r="285" spans="1:2" x14ac:dyDescent="0.3">
      <c r="A285" s="1">
        <v>70269000</v>
      </c>
      <c r="B285" s="31">
        <v>594744</v>
      </c>
    </row>
    <row r="286" spans="1:2" x14ac:dyDescent="0.3">
      <c r="A286" s="1">
        <v>78912000</v>
      </c>
      <c r="B286" s="31">
        <v>6602</v>
      </c>
    </row>
    <row r="287" spans="1:2" x14ac:dyDescent="0.3">
      <c r="A287" s="1">
        <v>78905000</v>
      </c>
      <c r="B287" s="31">
        <v>6942</v>
      </c>
    </row>
    <row r="288" spans="1:2" x14ac:dyDescent="0.3">
      <c r="A288" s="1">
        <v>138755000</v>
      </c>
      <c r="B288" s="31">
        <v>1963</v>
      </c>
    </row>
    <row r="289" spans="1:2" x14ac:dyDescent="0.3">
      <c r="A289" s="1">
        <v>150227000</v>
      </c>
      <c r="B289" s="31">
        <v>80769</v>
      </c>
    </row>
    <row r="290" spans="1:2" x14ac:dyDescent="0.3">
      <c r="A290" s="1">
        <v>128725000</v>
      </c>
      <c r="B290" s="31">
        <v>870</v>
      </c>
    </row>
    <row r="291" spans="1:2" x14ac:dyDescent="0.3">
      <c r="A291" s="1">
        <v>120406000</v>
      </c>
      <c r="B291" s="31">
        <v>5745</v>
      </c>
    </row>
    <row r="292" spans="1:2" x14ac:dyDescent="0.3">
      <c r="A292" s="1">
        <v>120520000</v>
      </c>
      <c r="B292" s="31">
        <v>2942</v>
      </c>
    </row>
    <row r="293" spans="1:2" x14ac:dyDescent="0.3">
      <c r="A293" s="1">
        <v>40210700</v>
      </c>
      <c r="B293" s="31">
        <v>1388</v>
      </c>
    </row>
    <row r="294" spans="1:2" x14ac:dyDescent="0.3">
      <c r="A294" s="1">
        <v>40210000</v>
      </c>
      <c r="B294" s="31">
        <v>91881</v>
      </c>
    </row>
    <row r="295" spans="1:2" x14ac:dyDescent="0.3">
      <c r="A295" s="1">
        <v>80208000</v>
      </c>
      <c r="B295" s="31">
        <v>16341</v>
      </c>
    </row>
    <row r="296" spans="1:2" x14ac:dyDescent="0.3">
      <c r="A296" s="1">
        <v>20422000</v>
      </c>
      <c r="B296" s="31">
        <v>3979</v>
      </c>
    </row>
    <row r="297" spans="1:2" x14ac:dyDescent="0.3">
      <c r="A297" s="1">
        <v>70492000</v>
      </c>
      <c r="B297" s="31">
        <v>211108</v>
      </c>
    </row>
    <row r="298" spans="1:2" x14ac:dyDescent="0.3">
      <c r="A298" s="1">
        <v>70211000</v>
      </c>
      <c r="B298" s="31">
        <v>521457</v>
      </c>
    </row>
    <row r="299" spans="1:2" x14ac:dyDescent="0.3">
      <c r="A299" s="1">
        <v>78714000</v>
      </c>
      <c r="B299" s="31">
        <v>47991</v>
      </c>
    </row>
    <row r="300" spans="1:2" x14ac:dyDescent="0.3">
      <c r="A300" s="1">
        <v>78719000</v>
      </c>
      <c r="B300" s="31">
        <v>8784</v>
      </c>
    </row>
    <row r="301" spans="1:2" x14ac:dyDescent="0.3">
      <c r="A301" s="1">
        <v>70401000</v>
      </c>
      <c r="B301" s="31">
        <v>467189</v>
      </c>
    </row>
    <row r="302" spans="1:2" x14ac:dyDescent="0.3">
      <c r="A302" s="1">
        <v>78776000</v>
      </c>
      <c r="B302" s="31">
        <v>4642</v>
      </c>
    </row>
    <row r="303" spans="1:2" x14ac:dyDescent="0.3">
      <c r="A303" s="1">
        <v>70510000</v>
      </c>
      <c r="B303" s="31">
        <v>941007</v>
      </c>
    </row>
    <row r="304" spans="1:2" x14ac:dyDescent="0.3">
      <c r="A304" s="1">
        <v>110433000</v>
      </c>
      <c r="B304" s="31">
        <v>7612</v>
      </c>
    </row>
    <row r="305" spans="1:2" x14ac:dyDescent="0.3">
      <c r="A305" s="1">
        <v>108601000</v>
      </c>
      <c r="B305" s="31">
        <v>3615</v>
      </c>
    </row>
    <row r="306" spans="1:2" x14ac:dyDescent="0.3">
      <c r="A306" s="1">
        <v>100100000</v>
      </c>
      <c r="B306" s="31">
        <v>11892</v>
      </c>
    </row>
    <row r="307" spans="1:2" x14ac:dyDescent="0.3">
      <c r="A307" s="1">
        <v>50206000</v>
      </c>
      <c r="B307" s="31">
        <v>30708</v>
      </c>
    </row>
    <row r="308" spans="1:2" x14ac:dyDescent="0.3">
      <c r="A308" s="1">
        <v>128724000</v>
      </c>
      <c r="B308" s="31">
        <v>11194</v>
      </c>
    </row>
    <row r="309" spans="1:2" x14ac:dyDescent="0.3">
      <c r="A309" s="1">
        <v>38638000</v>
      </c>
      <c r="B309" s="31">
        <v>2247</v>
      </c>
    </row>
    <row r="310" spans="1:2" x14ac:dyDescent="0.3">
      <c r="A310" s="1">
        <v>40312000</v>
      </c>
      <c r="B310" s="31">
        <v>7132</v>
      </c>
    </row>
    <row r="311" spans="1:2" x14ac:dyDescent="0.3">
      <c r="A311" s="1">
        <v>90204000</v>
      </c>
      <c r="B311" s="31">
        <v>97468</v>
      </c>
    </row>
    <row r="312" spans="1:2" x14ac:dyDescent="0.3">
      <c r="A312" s="1">
        <v>138701000</v>
      </c>
      <c r="B312" s="31">
        <v>2028</v>
      </c>
    </row>
    <row r="313" spans="1:2" x14ac:dyDescent="0.3">
      <c r="A313" s="1">
        <v>20364000</v>
      </c>
      <c r="B313" s="31">
        <v>2078</v>
      </c>
    </row>
    <row r="314" spans="1:2" x14ac:dyDescent="0.3">
      <c r="A314" s="1">
        <v>108744000</v>
      </c>
      <c r="B314" s="31">
        <v>18840</v>
      </c>
    </row>
    <row r="315" spans="1:2" x14ac:dyDescent="0.3">
      <c r="A315" s="1">
        <v>78670000</v>
      </c>
      <c r="B315" s="31">
        <v>16580</v>
      </c>
    </row>
    <row r="316" spans="1:2" x14ac:dyDescent="0.3">
      <c r="A316" s="1">
        <v>78939000</v>
      </c>
      <c r="B316" s="31">
        <v>22001</v>
      </c>
    </row>
    <row r="317" spans="1:2" x14ac:dyDescent="0.3">
      <c r="A317" s="1">
        <v>130201000</v>
      </c>
      <c r="B317" s="31">
        <v>109275</v>
      </c>
    </row>
    <row r="318" spans="1:2" x14ac:dyDescent="0.3">
      <c r="A318" s="1">
        <v>108778000</v>
      </c>
      <c r="B318" s="31">
        <v>18793</v>
      </c>
    </row>
    <row r="319" spans="1:2" x14ac:dyDescent="0.3">
      <c r="A319" s="1">
        <v>78789000</v>
      </c>
      <c r="B319" s="31">
        <v>4786</v>
      </c>
    </row>
    <row r="320" spans="1:2" x14ac:dyDescent="0.3">
      <c r="A320" s="1">
        <v>150404000</v>
      </c>
      <c r="B320" s="31">
        <v>12530</v>
      </c>
    </row>
    <row r="321" spans="1:2" x14ac:dyDescent="0.3">
      <c r="A321" s="1">
        <v>70295000</v>
      </c>
      <c r="B321" s="31">
        <v>50367</v>
      </c>
    </row>
    <row r="322" spans="1:2" x14ac:dyDescent="0.3">
      <c r="A322" s="1">
        <v>110203000</v>
      </c>
      <c r="B322" s="31">
        <v>17834</v>
      </c>
    </row>
    <row r="323" spans="1:2" x14ac:dyDescent="0.3">
      <c r="A323" s="1">
        <v>10227000</v>
      </c>
      <c r="B323" s="31">
        <v>52545</v>
      </c>
    </row>
    <row r="324" spans="1:2" x14ac:dyDescent="0.3">
      <c r="A324" s="1">
        <v>110405000</v>
      </c>
      <c r="B324" s="31">
        <v>4073</v>
      </c>
    </row>
    <row r="325" spans="1:2" x14ac:dyDescent="0.3">
      <c r="A325" s="1">
        <v>18756000</v>
      </c>
      <c r="B325" s="31">
        <v>16909</v>
      </c>
    </row>
    <row r="326" spans="1:2" x14ac:dyDescent="0.3">
      <c r="A326" s="1">
        <v>70402000</v>
      </c>
      <c r="B326" s="31">
        <v>12175</v>
      </c>
    </row>
    <row r="327" spans="1:2" x14ac:dyDescent="0.3">
      <c r="A327" s="1">
        <v>138765000</v>
      </c>
      <c r="B327" s="31">
        <v>2442</v>
      </c>
    </row>
    <row r="328" spans="1:2" x14ac:dyDescent="0.3">
      <c r="A328" s="1">
        <v>70466000</v>
      </c>
      <c r="B328" s="31">
        <v>825234</v>
      </c>
    </row>
    <row r="329" spans="1:2" x14ac:dyDescent="0.3">
      <c r="A329" s="1">
        <v>10210000</v>
      </c>
      <c r="B329" s="31">
        <v>46511</v>
      </c>
    </row>
    <row r="330" spans="1:2" x14ac:dyDescent="0.3">
      <c r="A330" s="1">
        <v>78770000</v>
      </c>
      <c r="B330" s="31">
        <v>1047</v>
      </c>
    </row>
    <row r="331" spans="1:2" x14ac:dyDescent="0.3">
      <c r="A331" s="1">
        <v>110418000</v>
      </c>
      <c r="B331" s="31">
        <v>47854</v>
      </c>
    </row>
    <row r="332" spans="1:2" x14ac:dyDescent="0.3">
      <c r="A332" s="1">
        <v>70290000</v>
      </c>
      <c r="B332" s="31">
        <v>14871</v>
      </c>
    </row>
    <row r="333" spans="1:2" x14ac:dyDescent="0.3">
      <c r="A333" s="1">
        <v>50201000</v>
      </c>
      <c r="B333" s="31">
        <v>115868</v>
      </c>
    </row>
    <row r="334" spans="1:2" x14ac:dyDescent="0.3">
      <c r="A334" s="1">
        <v>100230000</v>
      </c>
      <c r="B334" s="31">
        <v>82763</v>
      </c>
    </row>
    <row r="335" spans="1:2" x14ac:dyDescent="0.3">
      <c r="A335" s="1">
        <v>150430000</v>
      </c>
      <c r="B335" s="31">
        <v>5233</v>
      </c>
    </row>
    <row r="336" spans="1:2" x14ac:dyDescent="0.3">
      <c r="A336" s="1">
        <v>78656000</v>
      </c>
      <c r="B336" s="31">
        <v>6052</v>
      </c>
    </row>
    <row r="337" spans="1:2" x14ac:dyDescent="0.3">
      <c r="A337" s="1">
        <v>40220000</v>
      </c>
      <c r="B337" s="31">
        <v>96589</v>
      </c>
    </row>
    <row r="338" spans="1:2" x14ac:dyDescent="0.3">
      <c r="A338" s="1">
        <v>100335000</v>
      </c>
      <c r="B338" s="31">
        <v>1625</v>
      </c>
    </row>
    <row r="339" spans="1:2" x14ac:dyDescent="0.3">
      <c r="A339" s="1">
        <v>20218000</v>
      </c>
      <c r="B339" s="31">
        <v>5063</v>
      </c>
    </row>
    <row r="340" spans="1:2" x14ac:dyDescent="0.3">
      <c r="A340" s="1">
        <v>10218000</v>
      </c>
      <c r="B340" s="31">
        <v>73187</v>
      </c>
    </row>
    <row r="341" spans="1:2" x14ac:dyDescent="0.3">
      <c r="A341" s="1">
        <v>120328000</v>
      </c>
      <c r="B341" s="31">
        <v>3955</v>
      </c>
    </row>
    <row r="342" spans="1:2" x14ac:dyDescent="0.3">
      <c r="A342" s="1">
        <v>128726000</v>
      </c>
      <c r="B342" s="31">
        <v>1628</v>
      </c>
    </row>
    <row r="343" spans="1:2" x14ac:dyDescent="0.3">
      <c r="A343" s="1">
        <v>120235000</v>
      </c>
      <c r="B343" s="31">
        <v>106554</v>
      </c>
    </row>
    <row r="344" spans="1:2" x14ac:dyDescent="0.3">
      <c r="A344" s="1">
        <v>110540000</v>
      </c>
      <c r="B344" s="31">
        <v>20535</v>
      </c>
    </row>
    <row r="345" spans="1:2" x14ac:dyDescent="0.3">
      <c r="A345" s="1">
        <v>78675000</v>
      </c>
      <c r="B345" s="31">
        <v>2947</v>
      </c>
    </row>
    <row r="346" spans="1:2" x14ac:dyDescent="0.3">
      <c r="A346" s="1">
        <v>78734000</v>
      </c>
      <c r="B346" s="31">
        <v>14241</v>
      </c>
    </row>
    <row r="347" spans="1:2" x14ac:dyDescent="0.3">
      <c r="A347" s="1">
        <v>70248000</v>
      </c>
      <c r="B347" s="31">
        <v>407972</v>
      </c>
    </row>
    <row r="348" spans="1:2" x14ac:dyDescent="0.3">
      <c r="A348" s="1">
        <v>138708000</v>
      </c>
      <c r="B348" s="31">
        <v>2476</v>
      </c>
    </row>
    <row r="349" spans="1:2" x14ac:dyDescent="0.3">
      <c r="A349" s="1">
        <v>130209000</v>
      </c>
      <c r="B349" s="31">
        <v>29389</v>
      </c>
    </row>
    <row r="350" spans="1:2" x14ac:dyDescent="0.3">
      <c r="A350" s="1">
        <v>130240000</v>
      </c>
      <c r="B350" s="31">
        <v>6892</v>
      </c>
    </row>
    <row r="351" spans="1:2" x14ac:dyDescent="0.3">
      <c r="A351" s="1">
        <v>70371000</v>
      </c>
      <c r="B351" s="31">
        <v>2051</v>
      </c>
    </row>
    <row r="352" spans="1:2" x14ac:dyDescent="0.3">
      <c r="A352" s="1">
        <v>78915000</v>
      </c>
      <c r="B352" s="31">
        <v>18542</v>
      </c>
    </row>
    <row r="353" spans="1:2" x14ac:dyDescent="0.3">
      <c r="A353" s="1">
        <v>78705000</v>
      </c>
      <c r="B353" s="31">
        <v>660</v>
      </c>
    </row>
    <row r="354" spans="1:2" x14ac:dyDescent="0.3">
      <c r="A354" s="1">
        <v>78917000</v>
      </c>
      <c r="B354" s="31">
        <v>5031</v>
      </c>
    </row>
    <row r="355" spans="1:2" x14ac:dyDescent="0.3">
      <c r="A355" s="1">
        <v>78913000</v>
      </c>
      <c r="B355" s="31">
        <v>9012</v>
      </c>
    </row>
    <row r="356" spans="1:2" x14ac:dyDescent="0.3">
      <c r="A356" s="1">
        <v>48651000</v>
      </c>
      <c r="B356" s="31">
        <v>2654</v>
      </c>
    </row>
    <row r="357" spans="1:2" x14ac:dyDescent="0.3">
      <c r="A357" s="1">
        <v>98747000</v>
      </c>
      <c r="B357" s="31">
        <v>4883</v>
      </c>
    </row>
    <row r="358" spans="1:2" x14ac:dyDescent="0.3">
      <c r="A358" s="1">
        <v>98746000</v>
      </c>
      <c r="B358" s="31">
        <v>27380</v>
      </c>
    </row>
    <row r="359" spans="1:2" x14ac:dyDescent="0.3">
      <c r="A359" s="1">
        <v>90210000</v>
      </c>
      <c r="B359" s="31">
        <v>77274</v>
      </c>
    </row>
    <row r="360" spans="1:2" x14ac:dyDescent="0.3">
      <c r="A360" s="1">
        <v>20268000</v>
      </c>
      <c r="B360" s="31">
        <v>152316</v>
      </c>
    </row>
    <row r="361" spans="1:2" x14ac:dyDescent="0.3">
      <c r="A361" s="1">
        <v>130315000</v>
      </c>
      <c r="B361" s="31">
        <v>376</v>
      </c>
    </row>
    <row r="362" spans="1:2" x14ac:dyDescent="0.3">
      <c r="A362" s="1">
        <v>78914000</v>
      </c>
      <c r="B362" s="31">
        <v>3710</v>
      </c>
    </row>
    <row r="363" spans="1:2" x14ac:dyDescent="0.3">
      <c r="A363" s="1">
        <v>138752000</v>
      </c>
      <c r="B363" s="31">
        <v>2317</v>
      </c>
    </row>
    <row r="364" spans="1:2" x14ac:dyDescent="0.3">
      <c r="A364" s="1">
        <v>90205000</v>
      </c>
      <c r="B364" s="31">
        <v>76412</v>
      </c>
    </row>
    <row r="365" spans="1:2" x14ac:dyDescent="0.3">
      <c r="A365" s="1">
        <v>50305000</v>
      </c>
      <c r="B365" s="31">
        <v>7614</v>
      </c>
    </row>
    <row r="366" spans="1:2" x14ac:dyDescent="0.3">
      <c r="A366" s="1">
        <v>140411000</v>
      </c>
      <c r="B366" s="31">
        <v>121809</v>
      </c>
    </row>
    <row r="367" spans="1:2" x14ac:dyDescent="0.3">
      <c r="A367" s="1">
        <v>120425000</v>
      </c>
      <c r="B367" s="31">
        <v>3926</v>
      </c>
    </row>
    <row r="368" spans="1:2" x14ac:dyDescent="0.3">
      <c r="A368" s="1">
        <v>78786000</v>
      </c>
      <c r="B368" s="31">
        <v>2172</v>
      </c>
    </row>
    <row r="369" spans="1:2" x14ac:dyDescent="0.3">
      <c r="A369" s="1">
        <v>108779000</v>
      </c>
      <c r="B369" s="31">
        <v>14138</v>
      </c>
    </row>
    <row r="370" spans="1:2" x14ac:dyDescent="0.3">
      <c r="A370" s="1">
        <v>20221000</v>
      </c>
      <c r="B370" s="31">
        <v>13953</v>
      </c>
    </row>
    <row r="371" spans="1:2" x14ac:dyDescent="0.3">
      <c r="A371" s="1">
        <v>10201000</v>
      </c>
      <c r="B371" s="31">
        <v>43358</v>
      </c>
    </row>
    <row r="372" spans="1:2" x14ac:dyDescent="0.3">
      <c r="A372" s="1">
        <v>110424000</v>
      </c>
      <c r="B372" s="31">
        <v>46900</v>
      </c>
    </row>
    <row r="373" spans="1:2" x14ac:dyDescent="0.3">
      <c r="A373" s="1">
        <v>80208760</v>
      </c>
      <c r="B373" s="31">
        <v>3129</v>
      </c>
    </row>
    <row r="374" spans="1:2" x14ac:dyDescent="0.3">
      <c r="A374" s="1">
        <v>78924000</v>
      </c>
      <c r="B374" s="31">
        <v>4431</v>
      </c>
    </row>
    <row r="375" spans="1:2" x14ac:dyDescent="0.3">
      <c r="A375" s="1">
        <v>100212000</v>
      </c>
      <c r="B375" s="31">
        <v>630505</v>
      </c>
    </row>
    <row r="376" spans="1:2" x14ac:dyDescent="0.3">
      <c r="A376" s="1">
        <v>78907000</v>
      </c>
      <c r="B376" s="31">
        <v>4097</v>
      </c>
    </row>
    <row r="377" spans="1:2" x14ac:dyDescent="0.3">
      <c r="A377" s="1">
        <v>78923000</v>
      </c>
      <c r="B377" s="31">
        <v>2984</v>
      </c>
    </row>
    <row r="378" spans="1:2" x14ac:dyDescent="0.3">
      <c r="A378" s="1">
        <v>110215000</v>
      </c>
      <c r="B378" s="31">
        <v>25855</v>
      </c>
    </row>
    <row r="379" spans="1:2" x14ac:dyDescent="0.3">
      <c r="A379" s="1">
        <v>108780000</v>
      </c>
      <c r="B379" s="31">
        <v>1869</v>
      </c>
    </row>
    <row r="380" spans="1:2" x14ac:dyDescent="0.3">
      <c r="A380" s="1">
        <v>100213000</v>
      </c>
      <c r="B380" s="31">
        <v>24551</v>
      </c>
    </row>
    <row r="381" spans="1:2" x14ac:dyDescent="0.3">
      <c r="A381" s="1">
        <v>88702000</v>
      </c>
      <c r="B381" s="31">
        <v>5798</v>
      </c>
    </row>
    <row r="382" spans="1:2" x14ac:dyDescent="0.3">
      <c r="A382" s="1">
        <v>70403000</v>
      </c>
      <c r="B382" s="31">
        <v>472862</v>
      </c>
    </row>
    <row r="383" spans="1:2" x14ac:dyDescent="0.3">
      <c r="A383" s="1">
        <v>78761000</v>
      </c>
      <c r="B383" s="31">
        <v>3824</v>
      </c>
    </row>
    <row r="384" spans="1:2" x14ac:dyDescent="0.3">
      <c r="A384" s="1">
        <v>70513000</v>
      </c>
      <c r="B384" s="31">
        <v>274770</v>
      </c>
    </row>
    <row r="385" spans="1:2" x14ac:dyDescent="0.3">
      <c r="A385" s="1">
        <v>138650000</v>
      </c>
      <c r="B385" s="31">
        <v>2743</v>
      </c>
    </row>
    <row r="386" spans="1:2" x14ac:dyDescent="0.3">
      <c r="A386" s="1">
        <v>78747000</v>
      </c>
      <c r="B386" s="31">
        <v>12312</v>
      </c>
    </row>
    <row r="387" spans="1:2" x14ac:dyDescent="0.3">
      <c r="A387" s="1">
        <v>50204000</v>
      </c>
      <c r="B387" s="31">
        <v>32734</v>
      </c>
    </row>
    <row r="388" spans="1:2" x14ac:dyDescent="0.3">
      <c r="A388" s="1">
        <v>108786000</v>
      </c>
      <c r="B388" s="31">
        <v>2705</v>
      </c>
    </row>
    <row r="389" spans="1:2" x14ac:dyDescent="0.3">
      <c r="A389" s="1">
        <v>38754000</v>
      </c>
      <c r="B389" s="31">
        <v>4524</v>
      </c>
    </row>
    <row r="390" spans="1:2" x14ac:dyDescent="0.3">
      <c r="A390" s="1">
        <v>70417000</v>
      </c>
      <c r="B390" s="31">
        <v>64792</v>
      </c>
    </row>
    <row r="391" spans="1:2" x14ac:dyDescent="0.3">
      <c r="A391" s="1">
        <v>70514000</v>
      </c>
      <c r="B391" s="31">
        <v>119776</v>
      </c>
    </row>
    <row r="392" spans="1:2" x14ac:dyDescent="0.3">
      <c r="A392" s="1">
        <v>110422000</v>
      </c>
      <c r="B392" s="31">
        <v>26977</v>
      </c>
    </row>
    <row r="393" spans="1:2" x14ac:dyDescent="0.3">
      <c r="A393" s="1">
        <v>20201000</v>
      </c>
      <c r="B393" s="31">
        <v>31104</v>
      </c>
    </row>
    <row r="394" spans="1:2" x14ac:dyDescent="0.3">
      <c r="A394" s="1">
        <v>40333000</v>
      </c>
      <c r="B394" s="31">
        <v>2280</v>
      </c>
    </row>
    <row r="395" spans="1:2" x14ac:dyDescent="0.3">
      <c r="A395" s="1">
        <v>80412000</v>
      </c>
      <c r="B395" s="31">
        <v>6882</v>
      </c>
    </row>
    <row r="396" spans="1:2" x14ac:dyDescent="0.3">
      <c r="A396" s="1">
        <v>30215000</v>
      </c>
      <c r="B396" s="31">
        <v>124783</v>
      </c>
    </row>
    <row r="397" spans="1:2" x14ac:dyDescent="0.3">
      <c r="A397" s="1">
        <v>108768000</v>
      </c>
      <c r="B397" s="31">
        <v>4385</v>
      </c>
    </row>
    <row r="398" spans="1:2" x14ac:dyDescent="0.3">
      <c r="A398" s="1">
        <v>100201000</v>
      </c>
      <c r="B398" s="31">
        <v>2477452</v>
      </c>
    </row>
    <row r="399" spans="1:2" x14ac:dyDescent="0.3">
      <c r="A399" s="1">
        <v>108766000</v>
      </c>
      <c r="B399" s="31">
        <v>4705</v>
      </c>
    </row>
    <row r="400" spans="1:2" x14ac:dyDescent="0.3">
      <c r="A400" s="1">
        <v>108660000</v>
      </c>
      <c r="B400" s="31">
        <v>5550</v>
      </c>
    </row>
    <row r="401" spans="1:2" x14ac:dyDescent="0.3">
      <c r="A401" s="1">
        <v>78630000</v>
      </c>
      <c r="B401" s="31">
        <v>2249</v>
      </c>
    </row>
    <row r="402" spans="1:2" x14ac:dyDescent="0.3">
      <c r="A402" s="1">
        <v>70462000</v>
      </c>
      <c r="B402" s="31">
        <v>4218</v>
      </c>
    </row>
    <row r="403" spans="1:2" x14ac:dyDescent="0.3">
      <c r="A403" s="1">
        <v>100220700</v>
      </c>
      <c r="B403" s="31">
        <v>1553</v>
      </c>
    </row>
    <row r="404" spans="1:2" x14ac:dyDescent="0.3">
      <c r="A404" s="1">
        <v>100220000</v>
      </c>
      <c r="B404" s="31">
        <v>46854</v>
      </c>
    </row>
    <row r="405" spans="1:2" x14ac:dyDescent="0.3">
      <c r="A405" s="1">
        <v>78618000</v>
      </c>
      <c r="B405" s="31">
        <v>6010</v>
      </c>
    </row>
    <row r="406" spans="1:2" x14ac:dyDescent="0.3">
      <c r="A406" s="1">
        <v>20520000</v>
      </c>
      <c r="B406" s="31">
        <v>10499</v>
      </c>
    </row>
    <row r="407" spans="1:2" x14ac:dyDescent="0.3">
      <c r="A407" s="1">
        <v>78674000</v>
      </c>
      <c r="B407" s="31">
        <v>2074</v>
      </c>
    </row>
    <row r="408" spans="1:2" x14ac:dyDescent="0.3">
      <c r="A408" s="1">
        <v>118650000</v>
      </c>
      <c r="B408" s="31">
        <v>2939</v>
      </c>
    </row>
    <row r="409" spans="1:2" x14ac:dyDescent="0.3">
      <c r="A409" s="1">
        <v>78609000</v>
      </c>
      <c r="B409" s="31">
        <v>514</v>
      </c>
    </row>
    <row r="410" spans="1:2" x14ac:dyDescent="0.3">
      <c r="A410" s="1">
        <v>10309000</v>
      </c>
      <c r="B410" s="31">
        <v>3337</v>
      </c>
    </row>
    <row r="411" spans="1:2" x14ac:dyDescent="0.3">
      <c r="A411" s="1">
        <v>78757000</v>
      </c>
      <c r="B411" s="31">
        <v>1700</v>
      </c>
    </row>
    <row r="412" spans="1:2" x14ac:dyDescent="0.3">
      <c r="A412" s="1">
        <v>78715000</v>
      </c>
      <c r="B412" s="31">
        <v>5851</v>
      </c>
    </row>
    <row r="413" spans="1:2" x14ac:dyDescent="0.3">
      <c r="A413" s="1">
        <v>108705000</v>
      </c>
      <c r="B413" s="31">
        <v>2135</v>
      </c>
    </row>
    <row r="414" spans="1:2" x14ac:dyDescent="0.3">
      <c r="A414" s="1">
        <v>38652000</v>
      </c>
      <c r="B414" s="31">
        <v>2492</v>
      </c>
    </row>
    <row r="415" spans="1:2" x14ac:dyDescent="0.3">
      <c r="A415" s="1">
        <v>70406000</v>
      </c>
      <c r="B415" s="31">
        <v>835453</v>
      </c>
    </row>
    <row r="416" spans="1:2" x14ac:dyDescent="0.3">
      <c r="A416" s="1">
        <v>140424000</v>
      </c>
      <c r="B416" s="31">
        <v>16068</v>
      </c>
    </row>
    <row r="417" spans="1:2" x14ac:dyDescent="0.3">
      <c r="A417" s="1">
        <v>150419000</v>
      </c>
      <c r="B417" s="31">
        <v>5876</v>
      </c>
    </row>
    <row r="418" spans="1:2" x14ac:dyDescent="0.3">
      <c r="A418" s="1">
        <v>130209705</v>
      </c>
      <c r="B418" s="31">
        <v>976</v>
      </c>
    </row>
    <row r="419" spans="1:2" x14ac:dyDescent="0.3">
      <c r="A419" s="1">
        <v>78773000</v>
      </c>
      <c r="B419" s="31">
        <v>7328</v>
      </c>
    </row>
    <row r="420" spans="1:2" x14ac:dyDescent="0.3">
      <c r="A420" s="1">
        <v>78931000</v>
      </c>
      <c r="B420" s="31">
        <v>2719</v>
      </c>
    </row>
    <row r="421" spans="1:2" x14ac:dyDescent="0.3">
      <c r="A421" s="1">
        <v>90220000</v>
      </c>
      <c r="B421" s="31">
        <v>140019</v>
      </c>
    </row>
    <row r="422" spans="1:2" x14ac:dyDescent="0.3">
      <c r="A422" s="1">
        <v>70209000</v>
      </c>
      <c r="B422" s="31">
        <v>42445</v>
      </c>
    </row>
    <row r="423" spans="1:2" x14ac:dyDescent="0.3">
      <c r="A423" s="1">
        <v>18757000</v>
      </c>
      <c r="B423" s="31">
        <v>1845</v>
      </c>
    </row>
    <row r="424" spans="1:2" x14ac:dyDescent="0.3">
      <c r="A424" s="1">
        <v>20213000</v>
      </c>
      <c r="B424" s="31">
        <v>62953</v>
      </c>
    </row>
    <row r="425" spans="1:2" x14ac:dyDescent="0.3">
      <c r="A425" s="1">
        <v>30202000</v>
      </c>
      <c r="B425" s="31">
        <v>20844</v>
      </c>
    </row>
    <row r="426" spans="1:2" x14ac:dyDescent="0.3">
      <c r="A426" s="1">
        <v>78775000</v>
      </c>
      <c r="B426" s="31">
        <v>12226</v>
      </c>
    </row>
    <row r="427" spans="1:2" x14ac:dyDescent="0.3">
      <c r="A427" s="1">
        <v>70407000</v>
      </c>
      <c r="B427" s="31">
        <v>82482</v>
      </c>
    </row>
    <row r="428" spans="1:2" x14ac:dyDescent="0.3">
      <c r="A428" s="1">
        <v>10208000</v>
      </c>
      <c r="B428" s="31">
        <v>170003</v>
      </c>
    </row>
    <row r="429" spans="1:2" x14ac:dyDescent="0.3">
      <c r="A429" s="1">
        <v>90201000</v>
      </c>
      <c r="B429" s="31">
        <v>103871</v>
      </c>
    </row>
    <row r="430" spans="1:2" x14ac:dyDescent="0.3">
      <c r="A430" s="1">
        <v>130199000</v>
      </c>
      <c r="B430" s="31">
        <v>1067</v>
      </c>
    </row>
    <row r="431" spans="1:2" x14ac:dyDescent="0.3">
      <c r="A431" s="1">
        <v>40305000</v>
      </c>
      <c r="B431" s="31">
        <v>2594</v>
      </c>
    </row>
    <row r="432" spans="1:2" x14ac:dyDescent="0.3">
      <c r="A432" s="1">
        <v>88755000</v>
      </c>
      <c r="B432" s="31">
        <v>3695</v>
      </c>
    </row>
    <row r="433" spans="1:2" x14ac:dyDescent="0.3">
      <c r="A433" s="1">
        <v>80313000</v>
      </c>
      <c r="B433" s="31">
        <v>1625</v>
      </c>
    </row>
    <row r="434" spans="1:2" x14ac:dyDescent="0.3">
      <c r="A434" s="1">
        <v>140401000</v>
      </c>
      <c r="B434" s="31">
        <v>426906</v>
      </c>
    </row>
    <row r="435" spans="1:2" x14ac:dyDescent="0.3">
      <c r="A435" s="1">
        <v>148758000</v>
      </c>
      <c r="B435" s="31">
        <v>2003</v>
      </c>
    </row>
    <row r="436" spans="1:2" x14ac:dyDescent="0.3">
      <c r="A436" s="1">
        <v>140570000</v>
      </c>
      <c r="B436" s="31">
        <v>315901</v>
      </c>
    </row>
    <row r="437" spans="1:2" x14ac:dyDescent="0.3">
      <c r="A437">
        <v>217601000</v>
      </c>
      <c r="B437" s="31">
        <v>157229</v>
      </c>
    </row>
    <row r="438" spans="1:2" x14ac:dyDescent="0.3">
      <c r="A438">
        <v>211002000</v>
      </c>
      <c r="B438" s="31">
        <v>47545</v>
      </c>
    </row>
    <row r="439" spans="1:2" x14ac:dyDescent="0.3">
      <c r="A439">
        <v>74499000</v>
      </c>
      <c r="B439" s="31">
        <v>105911</v>
      </c>
    </row>
  </sheetData>
  <autoFilter ref="A1:B439" xr:uid="{00000000-0009-0000-0000-000016000000}"/>
  <pageMargins left="0.7" right="0.7" top="0.75" bottom="0.75" header="0.3" footer="0.3"/>
  <legacy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AH35"/>
  <sheetViews>
    <sheetView zoomScale="75" zoomScaleNormal="75" zoomScalePageLayoutView="75" workbookViewId="0">
      <pane ySplit="4" topLeftCell="A5" activePane="bottomLeft" state="frozen"/>
      <selection pane="bottomLeft" sqref="A1:Y1"/>
    </sheetView>
  </sheetViews>
  <sheetFormatPr defaultColWidth="9.109375" defaultRowHeight="14.4" x14ac:dyDescent="0.3"/>
  <cols>
    <col min="1" max="1" width="9.109375" style="47"/>
    <col min="2" max="2" width="10" style="47" bestFit="1" customWidth="1"/>
    <col min="3" max="3" width="45.33203125" style="47" bestFit="1" customWidth="1"/>
    <col min="4" max="4" width="30" style="47" bestFit="1" customWidth="1"/>
    <col min="5" max="5" width="13.109375" style="47" bestFit="1" customWidth="1"/>
    <col min="6" max="6" width="7.44140625" style="47" hidden="1" customWidth="1"/>
    <col min="7" max="7" width="6.77734375" style="47" customWidth="1"/>
    <col min="8" max="8" width="5.77734375" style="47" hidden="1" customWidth="1"/>
    <col min="9" max="9" width="15.44140625" style="47" bestFit="1" customWidth="1"/>
    <col min="10" max="10" width="6.44140625" style="47" bestFit="1" customWidth="1"/>
    <col min="11" max="12" width="6.44140625" style="47" hidden="1" customWidth="1"/>
    <col min="13" max="13" width="9.33203125" style="47" bestFit="1" customWidth="1"/>
    <col min="14" max="14" width="0" style="47" hidden="1" customWidth="1"/>
    <col min="15" max="16" width="6.44140625" style="47" bestFit="1" customWidth="1"/>
    <col min="17" max="17" width="7.109375" style="47" customWidth="1"/>
    <col min="18" max="18" width="11.6640625" style="47" hidden="1" customWidth="1"/>
    <col min="19" max="19" width="9.109375" style="47"/>
    <col min="20" max="20" width="9.77734375" style="47" bestFit="1" customWidth="1"/>
    <col min="21" max="23" width="9.109375" style="47"/>
    <col min="24" max="27" width="5.6640625" style="47" hidden="1" customWidth="1"/>
    <col min="28" max="28" width="6.44140625" style="47" hidden="1" customWidth="1"/>
    <col min="29" max="31" width="5.6640625" style="47" hidden="1" customWidth="1"/>
    <col min="32" max="32" width="6.44140625" style="47" customWidth="1"/>
    <col min="33" max="33" width="5.6640625" style="47" hidden="1" customWidth="1"/>
    <col min="34" max="34" width="6.33203125" style="47" hidden="1" customWidth="1"/>
    <col min="35" max="16384" width="9.109375" style="47"/>
  </cols>
  <sheetData>
    <row r="1" spans="1:34" ht="15.6" x14ac:dyDescent="0.3">
      <c r="A1" s="973" t="s">
        <v>1115</v>
      </c>
      <c r="B1" s="974"/>
      <c r="C1" s="974"/>
      <c r="D1" s="974"/>
      <c r="E1" s="974"/>
      <c r="F1" s="974"/>
      <c r="G1" s="974"/>
      <c r="H1" s="974"/>
      <c r="I1" s="974"/>
      <c r="J1" s="974"/>
      <c r="K1" s="974"/>
      <c r="L1" s="974"/>
      <c r="M1" s="974"/>
      <c r="N1" s="974"/>
      <c r="O1" s="975"/>
      <c r="P1" s="975"/>
      <c r="Q1" s="975"/>
      <c r="R1" s="975"/>
      <c r="S1" s="975"/>
      <c r="T1" s="975"/>
      <c r="U1" s="975"/>
      <c r="V1" s="975"/>
      <c r="W1" s="975"/>
      <c r="X1" s="975"/>
      <c r="Y1" s="975"/>
    </row>
    <row r="2" spans="1:34" s="137" customFormat="1" ht="17.399999999999999" x14ac:dyDescent="0.3">
      <c r="A2" s="146" t="s">
        <v>1250</v>
      </c>
      <c r="B2" s="145"/>
      <c r="C2" s="49"/>
      <c r="D2" s="49"/>
      <c r="E2" s="49"/>
      <c r="F2" s="140"/>
      <c r="G2" s="49"/>
      <c r="H2" s="140"/>
      <c r="I2" s="49"/>
      <c r="J2" s="144"/>
      <c r="K2" s="49"/>
      <c r="L2" s="49"/>
      <c r="M2" s="143"/>
      <c r="N2" s="49"/>
      <c r="O2" s="142"/>
      <c r="P2" s="141"/>
      <c r="Q2" s="140"/>
      <c r="R2" s="140"/>
      <c r="S2" s="139"/>
      <c r="T2" s="49"/>
      <c r="U2" s="138"/>
      <c r="V2" s="138"/>
      <c r="W2" s="138"/>
      <c r="X2" s="49"/>
      <c r="Y2" s="49"/>
      <c r="Z2" s="49"/>
      <c r="AA2" s="49"/>
      <c r="AB2" s="49"/>
      <c r="AC2" s="49"/>
      <c r="AD2" s="49"/>
      <c r="AE2" s="49"/>
      <c r="AF2" s="49"/>
      <c r="AG2" s="49"/>
    </row>
    <row r="3" spans="1:34" ht="160.05000000000001" customHeight="1" thickBot="1" x14ac:dyDescent="0.35">
      <c r="A3" s="136" t="s">
        <v>557</v>
      </c>
      <c r="B3" s="135" t="s">
        <v>559</v>
      </c>
      <c r="C3" s="132" t="s">
        <v>1114</v>
      </c>
      <c r="D3" s="132" t="s">
        <v>1113</v>
      </c>
      <c r="E3" s="132" t="s">
        <v>1112</v>
      </c>
      <c r="F3" s="133" t="s">
        <v>1019</v>
      </c>
      <c r="G3" s="134" t="s">
        <v>1111</v>
      </c>
      <c r="H3" s="133" t="s">
        <v>1249</v>
      </c>
      <c r="I3" s="132" t="s">
        <v>1248</v>
      </c>
      <c r="J3" s="131" t="s">
        <v>1247</v>
      </c>
      <c r="K3" s="130" t="s">
        <v>1246</v>
      </c>
      <c r="L3" s="129" t="s">
        <v>1245</v>
      </c>
      <c r="M3" s="128" t="s">
        <v>1244</v>
      </c>
      <c r="N3" s="127" t="s">
        <v>1243</v>
      </c>
      <c r="O3" s="126" t="s">
        <v>1242</v>
      </c>
      <c r="P3" s="125" t="s">
        <v>1241</v>
      </c>
      <c r="Q3" s="124" t="s">
        <v>1240</v>
      </c>
      <c r="R3" s="123" t="s">
        <v>1239</v>
      </c>
      <c r="S3" s="122" t="s">
        <v>1238</v>
      </c>
      <c r="T3" s="121" t="s">
        <v>1237</v>
      </c>
      <c r="U3" s="120" t="s">
        <v>1236</v>
      </c>
      <c r="V3" s="120" t="s">
        <v>1235</v>
      </c>
      <c r="W3" s="119" t="s">
        <v>1234</v>
      </c>
      <c r="X3" s="114" t="s">
        <v>1233</v>
      </c>
      <c r="Y3" s="117" t="s">
        <v>1232</v>
      </c>
      <c r="Z3" s="117" t="s">
        <v>1231</v>
      </c>
      <c r="AA3" s="116" t="s">
        <v>1230</v>
      </c>
      <c r="AB3" s="118" t="s">
        <v>1229</v>
      </c>
      <c r="AC3" s="114" t="s">
        <v>1228</v>
      </c>
      <c r="AD3" s="117" t="s">
        <v>1227</v>
      </c>
      <c r="AE3" s="116" t="s">
        <v>1226</v>
      </c>
      <c r="AF3" s="115" t="s">
        <v>1225</v>
      </c>
      <c r="AG3" s="114" t="s">
        <v>1224</v>
      </c>
      <c r="AH3" s="113" t="s">
        <v>1223</v>
      </c>
    </row>
    <row r="4" spans="1:34" s="92" customFormat="1" ht="15" thickBot="1" x14ac:dyDescent="0.35">
      <c r="A4" s="93">
        <v>1</v>
      </c>
      <c r="B4" s="93">
        <v>2</v>
      </c>
      <c r="C4" s="112">
        <v>3</v>
      </c>
      <c r="D4" s="106">
        <v>4</v>
      </c>
      <c r="E4" s="106">
        <v>5</v>
      </c>
      <c r="F4" s="111"/>
      <c r="G4" s="110">
        <v>6</v>
      </c>
      <c r="H4" s="109"/>
      <c r="I4" s="108">
        <v>7</v>
      </c>
      <c r="J4" s="107">
        <v>8</v>
      </c>
      <c r="K4" s="106">
        <v>9</v>
      </c>
      <c r="L4" s="105">
        <v>10</v>
      </c>
      <c r="M4" s="104">
        <v>11</v>
      </c>
      <c r="N4" s="103">
        <v>12</v>
      </c>
      <c r="O4" s="102">
        <v>13</v>
      </c>
      <c r="P4" s="101">
        <v>14</v>
      </c>
      <c r="Q4" s="100" t="s">
        <v>1222</v>
      </c>
      <c r="R4" s="99" t="s">
        <v>1221</v>
      </c>
      <c r="S4" s="98">
        <v>15</v>
      </c>
      <c r="T4" s="97">
        <v>16</v>
      </c>
      <c r="U4" s="96">
        <v>17</v>
      </c>
      <c r="V4" s="96">
        <v>18</v>
      </c>
      <c r="W4" s="95">
        <v>19</v>
      </c>
      <c r="X4" s="94" t="s">
        <v>1220</v>
      </c>
      <c r="Y4" s="93" t="s">
        <v>1220</v>
      </c>
      <c r="Z4" s="93" t="s">
        <v>1220</v>
      </c>
      <c r="AA4" s="93" t="s">
        <v>1220</v>
      </c>
      <c r="AB4" s="93">
        <v>20</v>
      </c>
      <c r="AC4" s="94" t="s">
        <v>1220</v>
      </c>
      <c r="AD4" s="93" t="s">
        <v>1220</v>
      </c>
      <c r="AE4" s="93" t="s">
        <v>1220</v>
      </c>
      <c r="AF4" s="93">
        <v>21</v>
      </c>
      <c r="AG4" s="94" t="s">
        <v>1220</v>
      </c>
      <c r="AH4" s="93">
        <v>22</v>
      </c>
    </row>
    <row r="5" spans="1:34" s="49" customFormat="1" ht="12.75" customHeight="1" x14ac:dyDescent="0.3">
      <c r="A5" s="91" t="s">
        <v>1219</v>
      </c>
      <c r="B5" s="90">
        <v>4412</v>
      </c>
      <c r="C5" s="72" t="s">
        <v>1110</v>
      </c>
      <c r="D5" s="74" t="s">
        <v>1109</v>
      </c>
      <c r="E5" s="74" t="s">
        <v>1108</v>
      </c>
      <c r="F5" s="89" t="s">
        <v>1122</v>
      </c>
      <c r="G5" s="88" t="s">
        <v>1218</v>
      </c>
      <c r="H5" s="87" t="s">
        <v>900</v>
      </c>
      <c r="I5" s="86" t="s">
        <v>1217</v>
      </c>
      <c r="J5" s="85" t="s">
        <v>1128</v>
      </c>
      <c r="K5" s="81" t="s">
        <v>1117</v>
      </c>
      <c r="L5" s="84" t="s">
        <v>1118</v>
      </c>
      <c r="M5" s="83">
        <v>863.29329599999994</v>
      </c>
      <c r="N5" s="79" t="s">
        <v>1118</v>
      </c>
      <c r="O5" s="82">
        <v>38.587948874010898</v>
      </c>
      <c r="P5" s="81" t="s">
        <v>1117</v>
      </c>
      <c r="Q5" s="80">
        <v>81.904761904761898</v>
      </c>
      <c r="R5" s="79"/>
      <c r="S5" s="78" t="s">
        <v>1117</v>
      </c>
      <c r="T5" s="77">
        <v>86872.4</v>
      </c>
      <c r="U5" s="76"/>
      <c r="V5" s="76"/>
      <c r="W5" s="75"/>
      <c r="X5" s="72">
        <f t="shared" ref="X5:X35" si="0">IF(OR(K5="YES",TRIM(L5)="YES"),1,0)</f>
        <v>1</v>
      </c>
      <c r="Y5" s="74">
        <f t="shared" ref="Y5:Y35" si="1">IF(OR(AND(ISNUMBER(M5),AND(M5&gt;0,M5&lt;600)),AND(ISNUMBER(M5),AND(M5&gt;0,N5="YES"))),1,0)</f>
        <v>0</v>
      </c>
      <c r="Z5" s="74">
        <f t="shared" ref="Z5:Z35" si="2">IF(AND(OR(K5="YES",TRIM(L5)="YES"),(X5=0)),"Trouble",0)</f>
        <v>0</v>
      </c>
      <c r="AA5" s="74">
        <f t="shared" ref="AA5:AA35" si="3">IF(AND(OR(AND(ISNUMBER(M5),AND(M5&gt;0,M5&lt;600)),AND(ISNUMBER(M5),AND(M5&gt;0,N5="YES"))),(Y5=0)),"Trouble",0)</f>
        <v>0</v>
      </c>
      <c r="AB5" s="73" t="str">
        <f t="shared" ref="AB5:AB35" si="4">IF(AND(X5=1,Y5=1),"SRSA","-")</f>
        <v>-</v>
      </c>
      <c r="AC5" s="72">
        <f t="shared" ref="AC5:AC35" si="5">IF(S5="YES",1,0)</f>
        <v>1</v>
      </c>
      <c r="AD5" s="74">
        <f t="shared" ref="AD5:AD35" si="6">IF(OR(AND(ISNUMBER(Q5),Q5&gt;=20), (AND(ISNUMBER(Q5) = FALSE, AND(ISNUMBER(O5), O5&gt;=20)))),1,0)</f>
        <v>1</v>
      </c>
      <c r="AE5" s="74" t="str">
        <f t="shared" ref="AE5:AE35" si="7">IF(AND(AC5=1,AD5=1),"Initial",0)</f>
        <v>Initial</v>
      </c>
      <c r="AF5" s="73" t="str">
        <f t="shared" ref="AF5:AF35" si="8">IF(AND(AND(AE5="Initial",AG5=0),AND(ISNUMBER(M5),M5&gt;0)),"RLIS","-")</f>
        <v>RLIS</v>
      </c>
      <c r="AG5" s="72">
        <f t="shared" ref="AG5:AG35" si="9">IF(AND(AB5="SRSA",AE5="Initial"),"SRSA",0)</f>
        <v>0</v>
      </c>
      <c r="AH5" s="71" t="s">
        <v>1116</v>
      </c>
    </row>
    <row r="6" spans="1:34" s="49" customFormat="1" ht="12.75" customHeight="1" x14ac:dyDescent="0.3">
      <c r="A6" s="70" t="s">
        <v>1216</v>
      </c>
      <c r="B6" s="69">
        <v>4397</v>
      </c>
      <c r="C6" s="51" t="s">
        <v>1107</v>
      </c>
      <c r="D6" s="53" t="s">
        <v>1106</v>
      </c>
      <c r="E6" s="53" t="s">
        <v>1105</v>
      </c>
      <c r="F6" s="68" t="s">
        <v>1122</v>
      </c>
      <c r="G6" s="67" t="s">
        <v>1215</v>
      </c>
      <c r="H6" s="66" t="s">
        <v>1214</v>
      </c>
      <c r="I6" s="65" t="s">
        <v>1213</v>
      </c>
      <c r="J6" s="64" t="s">
        <v>1119</v>
      </c>
      <c r="K6" s="60" t="s">
        <v>1118</v>
      </c>
      <c r="L6" s="63" t="s">
        <v>1212</v>
      </c>
      <c r="M6" s="62">
        <v>1917.619917</v>
      </c>
      <c r="N6" s="58" t="s">
        <v>1118</v>
      </c>
      <c r="O6" s="61">
        <v>36.395899053627801</v>
      </c>
      <c r="P6" s="60" t="s">
        <v>1117</v>
      </c>
      <c r="Q6" s="59">
        <v>52.828282828282823</v>
      </c>
      <c r="R6" s="58"/>
      <c r="S6" s="57" t="s">
        <v>1117</v>
      </c>
      <c r="T6" s="56">
        <v>60656.51</v>
      </c>
      <c r="U6" s="55"/>
      <c r="V6" s="55"/>
      <c r="W6" s="54"/>
      <c r="X6" s="51">
        <f t="shared" si="0"/>
        <v>1</v>
      </c>
      <c r="Y6" s="53">
        <f t="shared" si="1"/>
        <v>0</v>
      </c>
      <c r="Z6" s="53">
        <f t="shared" si="2"/>
        <v>0</v>
      </c>
      <c r="AA6" s="53">
        <f t="shared" si="3"/>
        <v>0</v>
      </c>
      <c r="AB6" s="52" t="str">
        <f t="shared" si="4"/>
        <v>-</v>
      </c>
      <c r="AC6" s="51">
        <f t="shared" si="5"/>
        <v>1</v>
      </c>
      <c r="AD6" s="53">
        <f t="shared" si="6"/>
        <v>1</v>
      </c>
      <c r="AE6" s="53" t="str">
        <f t="shared" si="7"/>
        <v>Initial</v>
      </c>
      <c r="AF6" s="52" t="str">
        <f t="shared" si="8"/>
        <v>RLIS</v>
      </c>
      <c r="AG6" s="51">
        <f t="shared" si="9"/>
        <v>0</v>
      </c>
      <c r="AH6" s="50" t="s">
        <v>1116</v>
      </c>
    </row>
    <row r="7" spans="1:34" s="49" customFormat="1" ht="12.75" customHeight="1" x14ac:dyDescent="0.3">
      <c r="A7" s="70" t="s">
        <v>1211</v>
      </c>
      <c r="B7" s="69">
        <v>4400</v>
      </c>
      <c r="C7" s="51" t="s">
        <v>1104</v>
      </c>
      <c r="D7" s="53" t="s">
        <v>1103</v>
      </c>
      <c r="E7" s="53" t="s">
        <v>1102</v>
      </c>
      <c r="F7" s="68" t="s">
        <v>1122</v>
      </c>
      <c r="G7" s="67" t="s">
        <v>1210</v>
      </c>
      <c r="H7" s="66" t="s">
        <v>900</v>
      </c>
      <c r="I7" s="65" t="s">
        <v>1209</v>
      </c>
      <c r="J7" s="64" t="s">
        <v>1119</v>
      </c>
      <c r="K7" s="60" t="s">
        <v>1118</v>
      </c>
      <c r="L7" s="63" t="s">
        <v>1118</v>
      </c>
      <c r="M7" s="62">
        <v>86.665986000000004</v>
      </c>
      <c r="N7" s="58" t="s">
        <v>1118</v>
      </c>
      <c r="O7" s="61" t="s">
        <v>1135</v>
      </c>
      <c r="P7" s="60" t="s">
        <v>1118</v>
      </c>
      <c r="Q7" s="59">
        <v>100</v>
      </c>
      <c r="R7" s="58"/>
      <c r="S7" s="57" t="s">
        <v>1117</v>
      </c>
      <c r="T7" s="56">
        <v>939.43</v>
      </c>
      <c r="U7" s="55"/>
      <c r="V7" s="55"/>
      <c r="W7" s="54"/>
      <c r="X7" s="51">
        <f t="shared" si="0"/>
        <v>0</v>
      </c>
      <c r="Y7" s="53">
        <f t="shared" si="1"/>
        <v>1</v>
      </c>
      <c r="Z7" s="53">
        <f t="shared" si="2"/>
        <v>0</v>
      </c>
      <c r="AA7" s="53">
        <f t="shared" si="3"/>
        <v>0</v>
      </c>
      <c r="AB7" s="52" t="str">
        <f t="shared" si="4"/>
        <v>-</v>
      </c>
      <c r="AC7" s="51">
        <f t="shared" si="5"/>
        <v>1</v>
      </c>
      <c r="AD7" s="53">
        <f t="shared" si="6"/>
        <v>1</v>
      </c>
      <c r="AE7" s="53" t="str">
        <f t="shared" si="7"/>
        <v>Initial</v>
      </c>
      <c r="AF7" s="52" t="str">
        <f t="shared" si="8"/>
        <v>RLIS</v>
      </c>
      <c r="AG7" s="51">
        <f t="shared" si="9"/>
        <v>0</v>
      </c>
      <c r="AH7" s="50" t="s">
        <v>1116</v>
      </c>
    </row>
    <row r="8" spans="1:34" s="49" customFormat="1" ht="12.75" customHeight="1" x14ac:dyDescent="0.3">
      <c r="A8" s="70" t="s">
        <v>1208</v>
      </c>
      <c r="B8" s="69">
        <v>6258</v>
      </c>
      <c r="C8" s="51" t="s">
        <v>1101</v>
      </c>
      <c r="D8" s="53" t="s">
        <v>1100</v>
      </c>
      <c r="E8" s="53" t="s">
        <v>1090</v>
      </c>
      <c r="F8" s="68" t="s">
        <v>1122</v>
      </c>
      <c r="G8" s="67" t="s">
        <v>1197</v>
      </c>
      <c r="H8" s="66" t="s">
        <v>900</v>
      </c>
      <c r="I8" s="65" t="s">
        <v>1207</v>
      </c>
      <c r="J8" s="64" t="s">
        <v>1119</v>
      </c>
      <c r="K8" s="60" t="s">
        <v>1118</v>
      </c>
      <c r="L8" s="63" t="s">
        <v>1118</v>
      </c>
      <c r="M8" s="62">
        <v>258.01129099999997</v>
      </c>
      <c r="N8" s="58" t="s">
        <v>1118</v>
      </c>
      <c r="O8" s="61" t="s">
        <v>1135</v>
      </c>
      <c r="P8" s="60" t="s">
        <v>1118</v>
      </c>
      <c r="Q8" s="59">
        <v>77.049180327868854</v>
      </c>
      <c r="R8" s="58"/>
      <c r="S8" s="57" t="s">
        <v>1117</v>
      </c>
      <c r="T8" s="56">
        <v>20384.22</v>
      </c>
      <c r="U8" s="55"/>
      <c r="V8" s="55"/>
      <c r="W8" s="54"/>
      <c r="X8" s="51">
        <f t="shared" si="0"/>
        <v>0</v>
      </c>
      <c r="Y8" s="53">
        <f t="shared" si="1"/>
        <v>1</v>
      </c>
      <c r="Z8" s="53">
        <f t="shared" si="2"/>
        <v>0</v>
      </c>
      <c r="AA8" s="53">
        <f t="shared" si="3"/>
        <v>0</v>
      </c>
      <c r="AB8" s="52" t="str">
        <f t="shared" si="4"/>
        <v>-</v>
      </c>
      <c r="AC8" s="51">
        <f t="shared" si="5"/>
        <v>1</v>
      </c>
      <c r="AD8" s="53">
        <f t="shared" si="6"/>
        <v>1</v>
      </c>
      <c r="AE8" s="53" t="str">
        <f t="shared" si="7"/>
        <v>Initial</v>
      </c>
      <c r="AF8" s="52" t="str">
        <f t="shared" si="8"/>
        <v>RLIS</v>
      </c>
      <c r="AG8" s="51">
        <f t="shared" si="9"/>
        <v>0</v>
      </c>
      <c r="AH8" s="50" t="s">
        <v>1116</v>
      </c>
    </row>
    <row r="9" spans="1:34" s="49" customFormat="1" ht="12.75" customHeight="1" x14ac:dyDescent="0.3">
      <c r="A9" s="70" t="s">
        <v>1206</v>
      </c>
      <c r="B9" s="69">
        <v>79211</v>
      </c>
      <c r="C9" s="51" t="s">
        <v>1099</v>
      </c>
      <c r="D9" s="53" t="s">
        <v>1098</v>
      </c>
      <c r="E9" s="53" t="s">
        <v>1097</v>
      </c>
      <c r="F9" s="68" t="s">
        <v>1122</v>
      </c>
      <c r="G9" s="67" t="s">
        <v>1205</v>
      </c>
      <c r="H9" s="66" t="s">
        <v>900</v>
      </c>
      <c r="I9" s="65" t="s">
        <v>1204</v>
      </c>
      <c r="J9" s="64" t="s">
        <v>1119</v>
      </c>
      <c r="K9" s="60" t="s">
        <v>1118</v>
      </c>
      <c r="L9" s="63" t="s">
        <v>1118</v>
      </c>
      <c r="M9" s="62">
        <v>239.04141200000004</v>
      </c>
      <c r="N9" s="58" t="s">
        <v>1118</v>
      </c>
      <c r="O9" s="61" t="s">
        <v>1135</v>
      </c>
      <c r="P9" s="60" t="s">
        <v>1118</v>
      </c>
      <c r="Q9" s="59">
        <v>68.12080536912751</v>
      </c>
      <c r="R9" s="58"/>
      <c r="S9" s="57" t="s">
        <v>1117</v>
      </c>
      <c r="T9" s="56">
        <v>2006.42</v>
      </c>
      <c r="U9" s="55"/>
      <c r="V9" s="55"/>
      <c r="W9" s="54"/>
      <c r="X9" s="51">
        <f t="shared" si="0"/>
        <v>0</v>
      </c>
      <c r="Y9" s="53">
        <f t="shared" si="1"/>
        <v>1</v>
      </c>
      <c r="Z9" s="53">
        <f t="shared" si="2"/>
        <v>0</v>
      </c>
      <c r="AA9" s="53">
        <f t="shared" si="3"/>
        <v>0</v>
      </c>
      <c r="AB9" s="52" t="str">
        <f t="shared" si="4"/>
        <v>-</v>
      </c>
      <c r="AC9" s="51">
        <f t="shared" si="5"/>
        <v>1</v>
      </c>
      <c r="AD9" s="53">
        <f t="shared" si="6"/>
        <v>1</v>
      </c>
      <c r="AE9" s="53" t="str">
        <f t="shared" si="7"/>
        <v>Initial</v>
      </c>
      <c r="AF9" s="52" t="str">
        <f t="shared" si="8"/>
        <v>RLIS</v>
      </c>
      <c r="AG9" s="51">
        <f t="shared" si="9"/>
        <v>0</v>
      </c>
      <c r="AH9" s="50" t="s">
        <v>1116</v>
      </c>
    </row>
    <row r="10" spans="1:34" s="49" customFormat="1" ht="12.75" customHeight="1" x14ac:dyDescent="0.3">
      <c r="A10" s="70" t="s">
        <v>1203</v>
      </c>
      <c r="B10" s="69">
        <v>79973</v>
      </c>
      <c r="C10" s="51" t="s">
        <v>1096</v>
      </c>
      <c r="D10" s="53" t="s">
        <v>1095</v>
      </c>
      <c r="E10" s="53" t="s">
        <v>1042</v>
      </c>
      <c r="F10" s="68" t="s">
        <v>1122</v>
      </c>
      <c r="G10" s="67" t="s">
        <v>1147</v>
      </c>
      <c r="H10" s="66" t="s">
        <v>900</v>
      </c>
      <c r="I10" s="65" t="s">
        <v>1202</v>
      </c>
      <c r="J10" s="64" t="s">
        <v>1119</v>
      </c>
      <c r="K10" s="60" t="s">
        <v>1118</v>
      </c>
      <c r="L10" s="63" t="s">
        <v>1118</v>
      </c>
      <c r="M10" s="62">
        <v>133.37191899999999</v>
      </c>
      <c r="N10" s="58" t="s">
        <v>1118</v>
      </c>
      <c r="O10" s="61" t="s">
        <v>1135</v>
      </c>
      <c r="P10" s="60" t="s">
        <v>1118</v>
      </c>
      <c r="Q10" s="59">
        <v>67.368421052631575</v>
      </c>
      <c r="R10" s="58"/>
      <c r="S10" s="57" t="s">
        <v>1117</v>
      </c>
      <c r="T10" s="56">
        <v>941.64</v>
      </c>
      <c r="U10" s="55"/>
      <c r="V10" s="55"/>
      <c r="W10" s="54"/>
      <c r="X10" s="51">
        <f t="shared" si="0"/>
        <v>0</v>
      </c>
      <c r="Y10" s="53">
        <f t="shared" si="1"/>
        <v>1</v>
      </c>
      <c r="Z10" s="53">
        <f t="shared" si="2"/>
        <v>0</v>
      </c>
      <c r="AA10" s="53">
        <f t="shared" si="3"/>
        <v>0</v>
      </c>
      <c r="AB10" s="52" t="str">
        <f t="shared" si="4"/>
        <v>-</v>
      </c>
      <c r="AC10" s="51">
        <f t="shared" si="5"/>
        <v>1</v>
      </c>
      <c r="AD10" s="53">
        <f t="shared" si="6"/>
        <v>1</v>
      </c>
      <c r="AE10" s="53" t="str">
        <f t="shared" si="7"/>
        <v>Initial</v>
      </c>
      <c r="AF10" s="52" t="str">
        <f t="shared" si="8"/>
        <v>RLIS</v>
      </c>
      <c r="AG10" s="51">
        <f t="shared" si="9"/>
        <v>0</v>
      </c>
      <c r="AH10" s="50" t="s">
        <v>1116</v>
      </c>
    </row>
    <row r="11" spans="1:34" s="49" customFormat="1" ht="12.75" customHeight="1" x14ac:dyDescent="0.3">
      <c r="A11" s="70" t="s">
        <v>1201</v>
      </c>
      <c r="B11" s="69">
        <v>87600</v>
      </c>
      <c r="C11" s="51" t="s">
        <v>1094</v>
      </c>
      <c r="D11" s="53" t="s">
        <v>1093</v>
      </c>
      <c r="E11" s="53" t="s">
        <v>1090</v>
      </c>
      <c r="F11" s="68" t="s">
        <v>1122</v>
      </c>
      <c r="G11" s="67" t="s">
        <v>1200</v>
      </c>
      <c r="H11" s="66" t="s">
        <v>900</v>
      </c>
      <c r="I11" s="65" t="s">
        <v>1199</v>
      </c>
      <c r="J11" s="64" t="s">
        <v>1119</v>
      </c>
      <c r="K11" s="60" t="s">
        <v>1118</v>
      </c>
      <c r="L11" s="63" t="s">
        <v>1118</v>
      </c>
      <c r="M11" s="62">
        <v>90.466052000000005</v>
      </c>
      <c r="N11" s="58" t="s">
        <v>1118</v>
      </c>
      <c r="O11" s="61" t="s">
        <v>1135</v>
      </c>
      <c r="P11" s="60" t="s">
        <v>1118</v>
      </c>
      <c r="Q11" s="59">
        <v>96</v>
      </c>
      <c r="R11" s="58"/>
      <c r="S11" s="57" t="s">
        <v>1117</v>
      </c>
      <c r="T11" s="56">
        <v>574.34</v>
      </c>
      <c r="U11" s="55"/>
      <c r="V11" s="55"/>
      <c r="W11" s="54"/>
      <c r="X11" s="51">
        <f t="shared" si="0"/>
        <v>0</v>
      </c>
      <c r="Y11" s="53">
        <f t="shared" si="1"/>
        <v>1</v>
      </c>
      <c r="Z11" s="53">
        <f t="shared" si="2"/>
        <v>0</v>
      </c>
      <c r="AA11" s="53">
        <f t="shared" si="3"/>
        <v>0</v>
      </c>
      <c r="AB11" s="52" t="str">
        <f t="shared" si="4"/>
        <v>-</v>
      </c>
      <c r="AC11" s="51">
        <f t="shared" si="5"/>
        <v>1</v>
      </c>
      <c r="AD11" s="53">
        <f t="shared" si="6"/>
        <v>1</v>
      </c>
      <c r="AE11" s="53" t="str">
        <f t="shared" si="7"/>
        <v>Initial</v>
      </c>
      <c r="AF11" s="52" t="str">
        <f t="shared" si="8"/>
        <v>RLIS</v>
      </c>
      <c r="AG11" s="51">
        <f t="shared" si="9"/>
        <v>0</v>
      </c>
      <c r="AH11" s="50" t="s">
        <v>1116</v>
      </c>
    </row>
    <row r="12" spans="1:34" s="49" customFormat="1" ht="12.75" customHeight="1" x14ac:dyDescent="0.3">
      <c r="A12" s="70" t="s">
        <v>1198</v>
      </c>
      <c r="B12" s="69">
        <v>4208</v>
      </c>
      <c r="C12" s="51" t="s">
        <v>1092</v>
      </c>
      <c r="D12" s="53" t="s">
        <v>1091</v>
      </c>
      <c r="E12" s="53" t="s">
        <v>1090</v>
      </c>
      <c r="F12" s="68" t="s">
        <v>1122</v>
      </c>
      <c r="G12" s="67" t="s">
        <v>1197</v>
      </c>
      <c r="H12" s="66" t="s">
        <v>900</v>
      </c>
      <c r="I12" s="65" t="s">
        <v>1196</v>
      </c>
      <c r="J12" s="64" t="s">
        <v>1119</v>
      </c>
      <c r="K12" s="60" t="s">
        <v>1118</v>
      </c>
      <c r="L12" s="63" t="s">
        <v>1118</v>
      </c>
      <c r="M12" s="62">
        <v>1564.3300369999999</v>
      </c>
      <c r="N12" s="58" t="s">
        <v>1118</v>
      </c>
      <c r="O12" s="61">
        <v>29.1616038882139</v>
      </c>
      <c r="P12" s="60" t="s">
        <v>1117</v>
      </c>
      <c r="Q12" s="59">
        <v>56.831228473019515</v>
      </c>
      <c r="R12" s="58"/>
      <c r="S12" s="57" t="s">
        <v>1117</v>
      </c>
      <c r="T12" s="56">
        <v>68838.48</v>
      </c>
      <c r="U12" s="55"/>
      <c r="V12" s="55"/>
      <c r="W12" s="54"/>
      <c r="X12" s="51">
        <f t="shared" si="0"/>
        <v>0</v>
      </c>
      <c r="Y12" s="53">
        <f t="shared" si="1"/>
        <v>0</v>
      </c>
      <c r="Z12" s="53">
        <f t="shared" si="2"/>
        <v>0</v>
      </c>
      <c r="AA12" s="53">
        <f t="shared" si="3"/>
        <v>0</v>
      </c>
      <c r="AB12" s="52" t="str">
        <f t="shared" si="4"/>
        <v>-</v>
      </c>
      <c r="AC12" s="51">
        <f t="shared" si="5"/>
        <v>1</v>
      </c>
      <c r="AD12" s="53">
        <f t="shared" si="6"/>
        <v>1</v>
      </c>
      <c r="AE12" s="53" t="str">
        <f t="shared" si="7"/>
        <v>Initial</v>
      </c>
      <c r="AF12" s="52" t="str">
        <f t="shared" si="8"/>
        <v>RLIS</v>
      </c>
      <c r="AG12" s="51">
        <f t="shared" si="9"/>
        <v>0</v>
      </c>
      <c r="AH12" s="50" t="s">
        <v>1116</v>
      </c>
    </row>
    <row r="13" spans="1:34" s="49" customFormat="1" ht="12.75" customHeight="1" x14ac:dyDescent="0.3">
      <c r="A13" s="70" t="s">
        <v>1195</v>
      </c>
      <c r="B13" s="69">
        <v>4389</v>
      </c>
      <c r="C13" s="51" t="s">
        <v>1089</v>
      </c>
      <c r="D13" s="53" t="s">
        <v>1088</v>
      </c>
      <c r="E13" s="53" t="s">
        <v>1087</v>
      </c>
      <c r="F13" s="68" t="s">
        <v>1122</v>
      </c>
      <c r="G13" s="67" t="s">
        <v>1194</v>
      </c>
      <c r="H13" s="66" t="s">
        <v>900</v>
      </c>
      <c r="I13" s="65" t="s">
        <v>1193</v>
      </c>
      <c r="J13" s="64" t="s">
        <v>1124</v>
      </c>
      <c r="K13" s="60" t="s">
        <v>1118</v>
      </c>
      <c r="L13" s="63" t="s">
        <v>1118</v>
      </c>
      <c r="M13" s="62">
        <v>1899.3585980000003</v>
      </c>
      <c r="N13" s="58" t="s">
        <v>1118</v>
      </c>
      <c r="O13" s="61">
        <v>42.720970537261699</v>
      </c>
      <c r="P13" s="60" t="s">
        <v>1117</v>
      </c>
      <c r="Q13" s="59">
        <v>99.231557377049185</v>
      </c>
      <c r="R13" s="58"/>
      <c r="S13" s="57" t="s">
        <v>1117</v>
      </c>
      <c r="T13" s="56">
        <v>105051.56</v>
      </c>
      <c r="U13" s="55"/>
      <c r="V13" s="55"/>
      <c r="W13" s="54"/>
      <c r="X13" s="51">
        <f t="shared" si="0"/>
        <v>0</v>
      </c>
      <c r="Y13" s="53">
        <f t="shared" si="1"/>
        <v>0</v>
      </c>
      <c r="Z13" s="53">
        <f t="shared" si="2"/>
        <v>0</v>
      </c>
      <c r="AA13" s="53">
        <f t="shared" si="3"/>
        <v>0</v>
      </c>
      <c r="AB13" s="52" t="str">
        <f t="shared" si="4"/>
        <v>-</v>
      </c>
      <c r="AC13" s="51">
        <f t="shared" si="5"/>
        <v>1</v>
      </c>
      <c r="AD13" s="53">
        <f t="shared" si="6"/>
        <v>1</v>
      </c>
      <c r="AE13" s="53" t="str">
        <f t="shared" si="7"/>
        <v>Initial</v>
      </c>
      <c r="AF13" s="52" t="str">
        <f t="shared" si="8"/>
        <v>RLIS</v>
      </c>
      <c r="AG13" s="51">
        <f t="shared" si="9"/>
        <v>0</v>
      </c>
      <c r="AH13" s="50" t="s">
        <v>1116</v>
      </c>
    </row>
    <row r="14" spans="1:34" s="49" customFormat="1" ht="12.75" customHeight="1" x14ac:dyDescent="0.3">
      <c r="A14" s="70" t="s">
        <v>1192</v>
      </c>
      <c r="B14" s="69">
        <v>89786</v>
      </c>
      <c r="C14" s="51" t="s">
        <v>1086</v>
      </c>
      <c r="D14" s="53" t="s">
        <v>1085</v>
      </c>
      <c r="E14" s="53" t="s">
        <v>1084</v>
      </c>
      <c r="F14" s="68" t="s">
        <v>1122</v>
      </c>
      <c r="G14" s="67" t="s">
        <v>1191</v>
      </c>
      <c r="H14" s="66" t="s">
        <v>900</v>
      </c>
      <c r="I14" s="65" t="s">
        <v>1190</v>
      </c>
      <c r="J14" s="64" t="s">
        <v>1128</v>
      </c>
      <c r="K14" s="60" t="s">
        <v>1117</v>
      </c>
      <c r="L14" s="63" t="s">
        <v>1118</v>
      </c>
      <c r="M14" s="62">
        <v>643.96337300000005</v>
      </c>
      <c r="N14" s="58" t="s">
        <v>1118</v>
      </c>
      <c r="O14" s="61" t="s">
        <v>1135</v>
      </c>
      <c r="P14" s="60" t="s">
        <v>1118</v>
      </c>
      <c r="Q14" s="59">
        <v>70.948905109489047</v>
      </c>
      <c r="R14" s="58"/>
      <c r="S14" s="57" t="s">
        <v>1117</v>
      </c>
      <c r="T14" s="56">
        <v>5512.46</v>
      </c>
      <c r="U14" s="55"/>
      <c r="V14" s="55"/>
      <c r="W14" s="54"/>
      <c r="X14" s="51">
        <f t="shared" si="0"/>
        <v>1</v>
      </c>
      <c r="Y14" s="53">
        <f t="shared" si="1"/>
        <v>0</v>
      </c>
      <c r="Z14" s="53">
        <f t="shared" si="2"/>
        <v>0</v>
      </c>
      <c r="AA14" s="53">
        <f t="shared" si="3"/>
        <v>0</v>
      </c>
      <c r="AB14" s="52" t="str">
        <f t="shared" si="4"/>
        <v>-</v>
      </c>
      <c r="AC14" s="51">
        <f t="shared" si="5"/>
        <v>1</v>
      </c>
      <c r="AD14" s="53">
        <f t="shared" si="6"/>
        <v>1</v>
      </c>
      <c r="AE14" s="53" t="str">
        <f t="shared" si="7"/>
        <v>Initial</v>
      </c>
      <c r="AF14" s="52" t="str">
        <f t="shared" si="8"/>
        <v>RLIS</v>
      </c>
      <c r="AG14" s="51">
        <f t="shared" si="9"/>
        <v>0</v>
      </c>
      <c r="AH14" s="50" t="s">
        <v>1116</v>
      </c>
    </row>
    <row r="15" spans="1:34" s="49" customFormat="1" ht="12.75" customHeight="1" x14ac:dyDescent="0.3">
      <c r="A15" s="70" t="s">
        <v>1189</v>
      </c>
      <c r="B15" s="69">
        <v>4396</v>
      </c>
      <c r="C15" s="51" t="s">
        <v>1083</v>
      </c>
      <c r="D15" s="53" t="s">
        <v>1082</v>
      </c>
      <c r="E15" s="53" t="s">
        <v>1081</v>
      </c>
      <c r="F15" s="68" t="s">
        <v>1122</v>
      </c>
      <c r="G15" s="67" t="s">
        <v>1188</v>
      </c>
      <c r="H15" s="66" t="s">
        <v>900</v>
      </c>
      <c r="I15" s="65" t="s">
        <v>1187</v>
      </c>
      <c r="J15" s="64" t="s">
        <v>1119</v>
      </c>
      <c r="K15" s="60" t="s">
        <v>1118</v>
      </c>
      <c r="L15" s="63" t="s">
        <v>1118</v>
      </c>
      <c r="M15" s="62">
        <v>1615.3059079999998</v>
      </c>
      <c r="N15" s="58" t="s">
        <v>1118</v>
      </c>
      <c r="O15" s="61">
        <v>52.099886492621998</v>
      </c>
      <c r="P15" s="60" t="s">
        <v>1117</v>
      </c>
      <c r="Q15" s="59">
        <v>93.01233118027011</v>
      </c>
      <c r="R15" s="58"/>
      <c r="S15" s="57" t="s">
        <v>1117</v>
      </c>
      <c r="T15" s="56">
        <v>126778.29</v>
      </c>
      <c r="U15" s="55"/>
      <c r="V15" s="55"/>
      <c r="W15" s="54"/>
      <c r="X15" s="51">
        <f t="shared" si="0"/>
        <v>0</v>
      </c>
      <c r="Y15" s="53">
        <f t="shared" si="1"/>
        <v>0</v>
      </c>
      <c r="Z15" s="53">
        <f t="shared" si="2"/>
        <v>0</v>
      </c>
      <c r="AA15" s="53">
        <f t="shared" si="3"/>
        <v>0</v>
      </c>
      <c r="AB15" s="52" t="str">
        <f t="shared" si="4"/>
        <v>-</v>
      </c>
      <c r="AC15" s="51">
        <f t="shared" si="5"/>
        <v>1</v>
      </c>
      <c r="AD15" s="53">
        <f t="shared" si="6"/>
        <v>1</v>
      </c>
      <c r="AE15" s="53" t="str">
        <f t="shared" si="7"/>
        <v>Initial</v>
      </c>
      <c r="AF15" s="52" t="str">
        <f t="shared" si="8"/>
        <v>RLIS</v>
      </c>
      <c r="AG15" s="51">
        <f t="shared" si="9"/>
        <v>0</v>
      </c>
      <c r="AH15" s="50" t="s">
        <v>1116</v>
      </c>
    </row>
    <row r="16" spans="1:34" s="49" customFormat="1" ht="12.75" customHeight="1" x14ac:dyDescent="0.3">
      <c r="A16" s="70" t="s">
        <v>1186</v>
      </c>
      <c r="B16" s="69">
        <v>4439</v>
      </c>
      <c r="C16" s="51" t="s">
        <v>1080</v>
      </c>
      <c r="D16" s="53" t="s">
        <v>1079</v>
      </c>
      <c r="E16" s="53" t="s">
        <v>1078</v>
      </c>
      <c r="F16" s="68" t="s">
        <v>1122</v>
      </c>
      <c r="G16" s="67" t="s">
        <v>1185</v>
      </c>
      <c r="H16" s="66" t="s">
        <v>900</v>
      </c>
      <c r="I16" s="65" t="s">
        <v>1184</v>
      </c>
      <c r="J16" s="64" t="s">
        <v>1128</v>
      </c>
      <c r="K16" s="60" t="s">
        <v>1117</v>
      </c>
      <c r="L16" s="63" t="s">
        <v>1118</v>
      </c>
      <c r="M16" s="62">
        <v>743.86528999999996</v>
      </c>
      <c r="N16" s="58" t="s">
        <v>1118</v>
      </c>
      <c r="O16" s="61">
        <v>14.857651245551599</v>
      </c>
      <c r="P16" s="60" t="s">
        <v>1118</v>
      </c>
      <c r="Q16" s="59">
        <v>81.481481481481481</v>
      </c>
      <c r="R16" s="58"/>
      <c r="S16" s="57" t="s">
        <v>1117</v>
      </c>
      <c r="T16" s="56">
        <v>66656.17</v>
      </c>
      <c r="U16" s="55"/>
      <c r="V16" s="55"/>
      <c r="W16" s="54"/>
      <c r="X16" s="51">
        <f t="shared" si="0"/>
        <v>1</v>
      </c>
      <c r="Y16" s="53">
        <f t="shared" si="1"/>
        <v>0</v>
      </c>
      <c r="Z16" s="53">
        <f t="shared" si="2"/>
        <v>0</v>
      </c>
      <c r="AA16" s="53">
        <f t="shared" si="3"/>
        <v>0</v>
      </c>
      <c r="AB16" s="52" t="str">
        <f t="shared" si="4"/>
        <v>-</v>
      </c>
      <c r="AC16" s="51">
        <f t="shared" si="5"/>
        <v>1</v>
      </c>
      <c r="AD16" s="53">
        <f t="shared" si="6"/>
        <v>1</v>
      </c>
      <c r="AE16" s="53" t="str">
        <f t="shared" si="7"/>
        <v>Initial</v>
      </c>
      <c r="AF16" s="52" t="str">
        <f t="shared" si="8"/>
        <v>RLIS</v>
      </c>
      <c r="AG16" s="51">
        <f t="shared" si="9"/>
        <v>0</v>
      </c>
      <c r="AH16" s="50" t="s">
        <v>1116</v>
      </c>
    </row>
    <row r="17" spans="1:34" s="49" customFormat="1" ht="12.75" customHeight="1" x14ac:dyDescent="0.3">
      <c r="A17" s="70" t="s">
        <v>1183</v>
      </c>
      <c r="B17" s="69">
        <v>4211</v>
      </c>
      <c r="C17" s="51" t="s">
        <v>1077</v>
      </c>
      <c r="D17" s="53" t="s">
        <v>1076</v>
      </c>
      <c r="E17" s="53" t="s">
        <v>1075</v>
      </c>
      <c r="F17" s="68" t="s">
        <v>1122</v>
      </c>
      <c r="G17" s="67" t="s">
        <v>1182</v>
      </c>
      <c r="H17" s="66" t="s">
        <v>900</v>
      </c>
      <c r="I17" s="65" t="s">
        <v>1181</v>
      </c>
      <c r="J17" s="64" t="s">
        <v>1161</v>
      </c>
      <c r="K17" s="60" t="s">
        <v>1117</v>
      </c>
      <c r="L17" s="63" t="s">
        <v>1118</v>
      </c>
      <c r="M17" s="62">
        <v>993.32286500000009</v>
      </c>
      <c r="N17" s="58" t="s">
        <v>1118</v>
      </c>
      <c r="O17" s="61">
        <v>39.557739557739602</v>
      </c>
      <c r="P17" s="60" t="s">
        <v>1117</v>
      </c>
      <c r="Q17" s="59">
        <v>64.935064935064929</v>
      </c>
      <c r="R17" s="58"/>
      <c r="S17" s="57" t="s">
        <v>1117</v>
      </c>
      <c r="T17" s="56">
        <v>49373.52</v>
      </c>
      <c r="U17" s="55"/>
      <c r="V17" s="55"/>
      <c r="W17" s="54"/>
      <c r="X17" s="51">
        <f t="shared" si="0"/>
        <v>1</v>
      </c>
      <c r="Y17" s="53">
        <f t="shared" si="1"/>
        <v>0</v>
      </c>
      <c r="Z17" s="53">
        <f t="shared" si="2"/>
        <v>0</v>
      </c>
      <c r="AA17" s="53">
        <f t="shared" si="3"/>
        <v>0</v>
      </c>
      <c r="AB17" s="52" t="str">
        <f t="shared" si="4"/>
        <v>-</v>
      </c>
      <c r="AC17" s="51">
        <f t="shared" si="5"/>
        <v>1</v>
      </c>
      <c r="AD17" s="53">
        <f t="shared" si="6"/>
        <v>1</v>
      </c>
      <c r="AE17" s="53" t="str">
        <f t="shared" si="7"/>
        <v>Initial</v>
      </c>
      <c r="AF17" s="52" t="str">
        <f t="shared" si="8"/>
        <v>RLIS</v>
      </c>
      <c r="AG17" s="51">
        <f t="shared" si="9"/>
        <v>0</v>
      </c>
      <c r="AH17" s="50" t="s">
        <v>1116</v>
      </c>
    </row>
    <row r="18" spans="1:34" s="49" customFormat="1" ht="12.75" customHeight="1" x14ac:dyDescent="0.3">
      <c r="A18" s="70" t="s">
        <v>1180</v>
      </c>
      <c r="B18" s="69">
        <v>4252</v>
      </c>
      <c r="C18" s="51" t="s">
        <v>1074</v>
      </c>
      <c r="D18" s="53" t="s">
        <v>1073</v>
      </c>
      <c r="E18" s="53" t="s">
        <v>1072</v>
      </c>
      <c r="F18" s="68" t="s">
        <v>1122</v>
      </c>
      <c r="G18" s="67" t="s">
        <v>1179</v>
      </c>
      <c r="H18" s="66" t="s">
        <v>900</v>
      </c>
      <c r="I18" s="65" t="s">
        <v>1178</v>
      </c>
      <c r="J18" s="64" t="s">
        <v>1128</v>
      </c>
      <c r="K18" s="60" t="s">
        <v>1117</v>
      </c>
      <c r="L18" s="63" t="s">
        <v>1118</v>
      </c>
      <c r="M18" s="62">
        <v>719.38958200000002</v>
      </c>
      <c r="N18" s="58" t="s">
        <v>1118</v>
      </c>
      <c r="O18" s="61">
        <v>24.380403458213198</v>
      </c>
      <c r="P18" s="60" t="s">
        <v>1117</v>
      </c>
      <c r="Q18" s="59">
        <v>67.904191616766468</v>
      </c>
      <c r="R18" s="58"/>
      <c r="S18" s="57" t="s">
        <v>1117</v>
      </c>
      <c r="T18" s="56">
        <v>27352.2</v>
      </c>
      <c r="U18" s="55"/>
      <c r="V18" s="55"/>
      <c r="W18" s="54"/>
      <c r="X18" s="51">
        <f t="shared" si="0"/>
        <v>1</v>
      </c>
      <c r="Y18" s="53">
        <f t="shared" si="1"/>
        <v>0</v>
      </c>
      <c r="Z18" s="53">
        <f t="shared" si="2"/>
        <v>0</v>
      </c>
      <c r="AA18" s="53">
        <f t="shared" si="3"/>
        <v>0</v>
      </c>
      <c r="AB18" s="52" t="str">
        <f t="shared" si="4"/>
        <v>-</v>
      </c>
      <c r="AC18" s="51">
        <f t="shared" si="5"/>
        <v>1</v>
      </c>
      <c r="AD18" s="53">
        <f t="shared" si="6"/>
        <v>1</v>
      </c>
      <c r="AE18" s="53" t="str">
        <f t="shared" si="7"/>
        <v>Initial</v>
      </c>
      <c r="AF18" s="52" t="str">
        <f t="shared" si="8"/>
        <v>RLIS</v>
      </c>
      <c r="AG18" s="51">
        <f t="shared" si="9"/>
        <v>0</v>
      </c>
      <c r="AH18" s="50" t="s">
        <v>1116</v>
      </c>
    </row>
    <row r="19" spans="1:34" s="49" customFormat="1" ht="12.75" customHeight="1" x14ac:dyDescent="0.3">
      <c r="A19" s="70" t="s">
        <v>1177</v>
      </c>
      <c r="B19" s="69">
        <v>4457</v>
      </c>
      <c r="C19" s="51" t="s">
        <v>1071</v>
      </c>
      <c r="D19" s="53" t="s">
        <v>1070</v>
      </c>
      <c r="E19" s="53" t="s">
        <v>1069</v>
      </c>
      <c r="F19" s="68" t="s">
        <v>1122</v>
      </c>
      <c r="G19" s="67" t="s">
        <v>1176</v>
      </c>
      <c r="H19" s="66" t="s">
        <v>900</v>
      </c>
      <c r="I19" s="65" t="s">
        <v>1175</v>
      </c>
      <c r="J19" s="64" t="s">
        <v>1124</v>
      </c>
      <c r="K19" s="60" t="s">
        <v>1118</v>
      </c>
      <c r="L19" s="63" t="s">
        <v>1117</v>
      </c>
      <c r="M19" s="62">
        <v>5279.0793340000009</v>
      </c>
      <c r="N19" s="58" t="s">
        <v>1118</v>
      </c>
      <c r="O19" s="61">
        <v>39.4238683127572</v>
      </c>
      <c r="P19" s="60" t="s">
        <v>1117</v>
      </c>
      <c r="Q19" s="59">
        <v>79.537366548042712</v>
      </c>
      <c r="R19" s="58"/>
      <c r="S19" s="57" t="s">
        <v>1117</v>
      </c>
      <c r="T19" s="56">
        <v>330298.36</v>
      </c>
      <c r="U19" s="55"/>
      <c r="V19" s="55"/>
      <c r="W19" s="54"/>
      <c r="X19" s="51">
        <f t="shared" si="0"/>
        <v>1</v>
      </c>
      <c r="Y19" s="53">
        <f t="shared" si="1"/>
        <v>0</v>
      </c>
      <c r="Z19" s="53">
        <f t="shared" si="2"/>
        <v>0</v>
      </c>
      <c r="AA19" s="53">
        <f t="shared" si="3"/>
        <v>0</v>
      </c>
      <c r="AB19" s="52" t="str">
        <f t="shared" si="4"/>
        <v>-</v>
      </c>
      <c r="AC19" s="51">
        <f t="shared" si="5"/>
        <v>1</v>
      </c>
      <c r="AD19" s="53">
        <f t="shared" si="6"/>
        <v>1</v>
      </c>
      <c r="AE19" s="53" t="str">
        <f t="shared" si="7"/>
        <v>Initial</v>
      </c>
      <c r="AF19" s="52" t="str">
        <f t="shared" si="8"/>
        <v>RLIS</v>
      </c>
      <c r="AG19" s="51">
        <f t="shared" si="9"/>
        <v>0</v>
      </c>
      <c r="AH19" s="50" t="s">
        <v>1116</v>
      </c>
    </row>
    <row r="20" spans="1:34" s="49" customFormat="1" ht="12.75" customHeight="1" x14ac:dyDescent="0.3">
      <c r="A20" s="70" t="s">
        <v>1174</v>
      </c>
      <c r="B20" s="69">
        <v>4180</v>
      </c>
      <c r="C20" s="51" t="s">
        <v>1068</v>
      </c>
      <c r="D20" s="53" t="s">
        <v>1067</v>
      </c>
      <c r="E20" s="53" t="s">
        <v>1066</v>
      </c>
      <c r="F20" s="68" t="s">
        <v>1122</v>
      </c>
      <c r="G20" s="67" t="s">
        <v>1173</v>
      </c>
      <c r="H20" s="66" t="s">
        <v>1172</v>
      </c>
      <c r="I20" s="65" t="s">
        <v>1171</v>
      </c>
      <c r="J20" s="64" t="s">
        <v>1128</v>
      </c>
      <c r="K20" s="60" t="s">
        <v>1117</v>
      </c>
      <c r="L20" s="63" t="s">
        <v>1118</v>
      </c>
      <c r="M20" s="62">
        <v>922.77601099999993</v>
      </c>
      <c r="N20" s="58" t="s">
        <v>1118</v>
      </c>
      <c r="O20" s="61">
        <v>30.655640874187799</v>
      </c>
      <c r="P20" s="60" t="s">
        <v>1117</v>
      </c>
      <c r="Q20" s="59">
        <v>50.048123195380178</v>
      </c>
      <c r="R20" s="58"/>
      <c r="S20" s="57" t="s">
        <v>1117</v>
      </c>
      <c r="T20" s="56">
        <v>34909.5</v>
      </c>
      <c r="U20" s="55"/>
      <c r="V20" s="55"/>
      <c r="W20" s="54"/>
      <c r="X20" s="51">
        <f t="shared" si="0"/>
        <v>1</v>
      </c>
      <c r="Y20" s="53">
        <f t="shared" si="1"/>
        <v>0</v>
      </c>
      <c r="Z20" s="53">
        <f t="shared" si="2"/>
        <v>0</v>
      </c>
      <c r="AA20" s="53">
        <f t="shared" si="3"/>
        <v>0</v>
      </c>
      <c r="AB20" s="52" t="str">
        <f t="shared" si="4"/>
        <v>-</v>
      </c>
      <c r="AC20" s="51">
        <f t="shared" si="5"/>
        <v>1</v>
      </c>
      <c r="AD20" s="53">
        <f t="shared" si="6"/>
        <v>1</v>
      </c>
      <c r="AE20" s="53" t="str">
        <f t="shared" si="7"/>
        <v>Initial</v>
      </c>
      <c r="AF20" s="52" t="str">
        <f t="shared" si="8"/>
        <v>RLIS</v>
      </c>
      <c r="AG20" s="51">
        <f t="shared" si="9"/>
        <v>0</v>
      </c>
      <c r="AH20" s="50" t="s">
        <v>1116</v>
      </c>
    </row>
    <row r="21" spans="1:34" s="49" customFormat="1" ht="12.75" customHeight="1" x14ac:dyDescent="0.3">
      <c r="A21" s="70" t="s">
        <v>1170</v>
      </c>
      <c r="B21" s="69">
        <v>4510</v>
      </c>
      <c r="C21" s="51" t="s">
        <v>1065</v>
      </c>
      <c r="D21" s="53" t="s">
        <v>1064</v>
      </c>
      <c r="E21" s="53" t="s">
        <v>1063</v>
      </c>
      <c r="F21" s="68" t="s">
        <v>1122</v>
      </c>
      <c r="G21" s="67" t="s">
        <v>1169</v>
      </c>
      <c r="H21" s="66" t="s">
        <v>900</v>
      </c>
      <c r="I21" s="65" t="s">
        <v>1168</v>
      </c>
      <c r="J21" s="64" t="s">
        <v>1124</v>
      </c>
      <c r="K21" s="60" t="s">
        <v>1118</v>
      </c>
      <c r="L21" s="63" t="s">
        <v>1118</v>
      </c>
      <c r="M21" s="62">
        <v>1677.7770879999998</v>
      </c>
      <c r="N21" s="58" t="s">
        <v>1117</v>
      </c>
      <c r="O21" s="61">
        <v>33.275058275058299</v>
      </c>
      <c r="P21" s="60" t="s">
        <v>1117</v>
      </c>
      <c r="Q21" s="59">
        <v>77.883008356545957</v>
      </c>
      <c r="R21" s="58"/>
      <c r="S21" s="57" t="s">
        <v>1117</v>
      </c>
      <c r="T21" s="56">
        <v>92039.61</v>
      </c>
      <c r="U21" s="55"/>
      <c r="V21" s="55"/>
      <c r="W21" s="54"/>
      <c r="X21" s="51">
        <f t="shared" si="0"/>
        <v>0</v>
      </c>
      <c r="Y21" s="53">
        <f t="shared" si="1"/>
        <v>1</v>
      </c>
      <c r="Z21" s="53">
        <f t="shared" si="2"/>
        <v>0</v>
      </c>
      <c r="AA21" s="53">
        <f t="shared" si="3"/>
        <v>0</v>
      </c>
      <c r="AB21" s="52" t="str">
        <f t="shared" si="4"/>
        <v>-</v>
      </c>
      <c r="AC21" s="51">
        <f t="shared" si="5"/>
        <v>1</v>
      </c>
      <c r="AD21" s="53">
        <f t="shared" si="6"/>
        <v>1</v>
      </c>
      <c r="AE21" s="53" t="str">
        <f t="shared" si="7"/>
        <v>Initial</v>
      </c>
      <c r="AF21" s="52" t="str">
        <f t="shared" si="8"/>
        <v>RLIS</v>
      </c>
      <c r="AG21" s="51">
        <f t="shared" si="9"/>
        <v>0</v>
      </c>
      <c r="AH21" s="50" t="s">
        <v>1116</v>
      </c>
    </row>
    <row r="22" spans="1:34" s="49" customFormat="1" ht="12.75" customHeight="1" x14ac:dyDescent="0.3">
      <c r="A22" s="70" t="s">
        <v>1167</v>
      </c>
      <c r="B22" s="69">
        <v>4209</v>
      </c>
      <c r="C22" s="51" t="s">
        <v>1062</v>
      </c>
      <c r="D22" s="53" t="s">
        <v>1061</v>
      </c>
      <c r="E22" s="53" t="s">
        <v>1060</v>
      </c>
      <c r="F22" s="68" t="s">
        <v>1122</v>
      </c>
      <c r="G22" s="67" t="s">
        <v>1166</v>
      </c>
      <c r="H22" s="66" t="s">
        <v>900</v>
      </c>
      <c r="I22" s="65" t="s">
        <v>1165</v>
      </c>
      <c r="J22" s="64" t="s">
        <v>1119</v>
      </c>
      <c r="K22" s="60" t="s">
        <v>1118</v>
      </c>
      <c r="L22" s="63" t="s">
        <v>1118</v>
      </c>
      <c r="M22" s="62">
        <v>2088.897516</v>
      </c>
      <c r="N22" s="58" t="s">
        <v>1118</v>
      </c>
      <c r="O22" s="61">
        <v>27.835433654558901</v>
      </c>
      <c r="P22" s="60" t="s">
        <v>1117</v>
      </c>
      <c r="Q22" s="59">
        <v>64.690265486725664</v>
      </c>
      <c r="R22" s="58"/>
      <c r="S22" s="57" t="s">
        <v>1117</v>
      </c>
      <c r="T22" s="56">
        <v>105695.58</v>
      </c>
      <c r="U22" s="55"/>
      <c r="V22" s="55"/>
      <c r="W22" s="54"/>
      <c r="X22" s="51">
        <f t="shared" si="0"/>
        <v>0</v>
      </c>
      <c r="Y22" s="53">
        <f t="shared" si="1"/>
        <v>0</v>
      </c>
      <c r="Z22" s="53">
        <f t="shared" si="2"/>
        <v>0</v>
      </c>
      <c r="AA22" s="53">
        <f t="shared" si="3"/>
        <v>0</v>
      </c>
      <c r="AB22" s="52" t="str">
        <f t="shared" si="4"/>
        <v>-</v>
      </c>
      <c r="AC22" s="51">
        <f t="shared" si="5"/>
        <v>1</v>
      </c>
      <c r="AD22" s="53">
        <f t="shared" si="6"/>
        <v>1</v>
      </c>
      <c r="AE22" s="53" t="str">
        <f t="shared" si="7"/>
        <v>Initial</v>
      </c>
      <c r="AF22" s="52" t="str">
        <f t="shared" si="8"/>
        <v>RLIS</v>
      </c>
      <c r="AG22" s="51">
        <f t="shared" si="9"/>
        <v>0</v>
      </c>
      <c r="AH22" s="50" t="s">
        <v>1116</v>
      </c>
    </row>
    <row r="23" spans="1:34" s="49" customFormat="1" ht="12.75" customHeight="1" x14ac:dyDescent="0.3">
      <c r="A23" s="70" t="s">
        <v>1164</v>
      </c>
      <c r="B23" s="69">
        <v>4390</v>
      </c>
      <c r="C23" s="51" t="s">
        <v>1059</v>
      </c>
      <c r="D23" s="53" t="s">
        <v>1058</v>
      </c>
      <c r="E23" s="53" t="s">
        <v>1057</v>
      </c>
      <c r="F23" s="68" t="s">
        <v>1122</v>
      </c>
      <c r="G23" s="67" t="s">
        <v>1163</v>
      </c>
      <c r="H23" s="66" t="s">
        <v>900</v>
      </c>
      <c r="I23" s="65" t="s">
        <v>1162</v>
      </c>
      <c r="J23" s="64" t="s">
        <v>1161</v>
      </c>
      <c r="K23" s="60" t="s">
        <v>1117</v>
      </c>
      <c r="L23" s="63" t="s">
        <v>1118</v>
      </c>
      <c r="M23" s="62">
        <v>1125.5076960000001</v>
      </c>
      <c r="N23" s="58" t="s">
        <v>1118</v>
      </c>
      <c r="O23" s="61">
        <v>53.407202216066501</v>
      </c>
      <c r="P23" s="60" t="s">
        <v>1117</v>
      </c>
      <c r="Q23" s="59">
        <v>87.489574645537942</v>
      </c>
      <c r="R23" s="58"/>
      <c r="S23" s="57" t="s">
        <v>1117</v>
      </c>
      <c r="T23" s="56">
        <v>112993.58</v>
      </c>
      <c r="U23" s="55"/>
      <c r="V23" s="55"/>
      <c r="W23" s="54"/>
      <c r="X23" s="51">
        <f t="shared" si="0"/>
        <v>1</v>
      </c>
      <c r="Y23" s="53">
        <f t="shared" si="1"/>
        <v>0</v>
      </c>
      <c r="Z23" s="53">
        <f t="shared" si="2"/>
        <v>0</v>
      </c>
      <c r="AA23" s="53">
        <f t="shared" si="3"/>
        <v>0</v>
      </c>
      <c r="AB23" s="52" t="str">
        <f t="shared" si="4"/>
        <v>-</v>
      </c>
      <c r="AC23" s="51">
        <f t="shared" si="5"/>
        <v>1</v>
      </c>
      <c r="AD23" s="53">
        <f t="shared" si="6"/>
        <v>1</v>
      </c>
      <c r="AE23" s="53" t="str">
        <f t="shared" si="7"/>
        <v>Initial</v>
      </c>
      <c r="AF23" s="52" t="str">
        <f t="shared" si="8"/>
        <v>RLIS</v>
      </c>
      <c r="AG23" s="51">
        <f t="shared" si="9"/>
        <v>0</v>
      </c>
      <c r="AH23" s="50" t="s">
        <v>1116</v>
      </c>
    </row>
    <row r="24" spans="1:34" s="49" customFormat="1" ht="12.75" customHeight="1" x14ac:dyDescent="0.3">
      <c r="A24" s="70" t="s">
        <v>1160</v>
      </c>
      <c r="B24" s="69">
        <v>4511</v>
      </c>
      <c r="C24" s="51" t="s">
        <v>1056</v>
      </c>
      <c r="D24" s="53" t="s">
        <v>1055</v>
      </c>
      <c r="E24" s="53" t="s">
        <v>1054</v>
      </c>
      <c r="F24" s="68" t="s">
        <v>1122</v>
      </c>
      <c r="G24" s="67" t="s">
        <v>1159</v>
      </c>
      <c r="H24" s="66" t="s">
        <v>900</v>
      </c>
      <c r="I24" s="65" t="s">
        <v>1158</v>
      </c>
      <c r="J24" s="64" t="s">
        <v>1124</v>
      </c>
      <c r="K24" s="60" t="s">
        <v>1118</v>
      </c>
      <c r="L24" s="63" t="s">
        <v>1118</v>
      </c>
      <c r="M24" s="62">
        <v>199.10955200000001</v>
      </c>
      <c r="N24" s="58" t="s">
        <v>1117</v>
      </c>
      <c r="O24" s="61">
        <v>19.6078431372549</v>
      </c>
      <c r="P24" s="60" t="s">
        <v>1118</v>
      </c>
      <c r="Q24" s="59">
        <v>85.77981651376146</v>
      </c>
      <c r="R24" s="58"/>
      <c r="S24" s="57" t="s">
        <v>1117</v>
      </c>
      <c r="T24" s="56">
        <v>13888.24</v>
      </c>
      <c r="U24" s="55"/>
      <c r="V24" s="55"/>
      <c r="W24" s="54"/>
      <c r="X24" s="51">
        <f t="shared" si="0"/>
        <v>0</v>
      </c>
      <c r="Y24" s="53">
        <f t="shared" si="1"/>
        <v>1</v>
      </c>
      <c r="Z24" s="53">
        <f t="shared" si="2"/>
        <v>0</v>
      </c>
      <c r="AA24" s="53">
        <f t="shared" si="3"/>
        <v>0</v>
      </c>
      <c r="AB24" s="52" t="str">
        <f t="shared" si="4"/>
        <v>-</v>
      </c>
      <c r="AC24" s="51">
        <f t="shared" si="5"/>
        <v>1</v>
      </c>
      <c r="AD24" s="53">
        <f t="shared" si="6"/>
        <v>1</v>
      </c>
      <c r="AE24" s="53" t="str">
        <f t="shared" si="7"/>
        <v>Initial</v>
      </c>
      <c r="AF24" s="52" t="str">
        <f t="shared" si="8"/>
        <v>RLIS</v>
      </c>
      <c r="AG24" s="51">
        <f t="shared" si="9"/>
        <v>0</v>
      </c>
      <c r="AH24" s="50" t="s">
        <v>1116</v>
      </c>
    </row>
    <row r="25" spans="1:34" s="49" customFormat="1" ht="12.75" customHeight="1" x14ac:dyDescent="0.3">
      <c r="A25" s="70" t="s">
        <v>1157</v>
      </c>
      <c r="B25" s="69">
        <v>4254</v>
      </c>
      <c r="C25" s="51" t="s">
        <v>1053</v>
      </c>
      <c r="D25" s="53" t="s">
        <v>1052</v>
      </c>
      <c r="E25" s="53" t="s">
        <v>1051</v>
      </c>
      <c r="F25" s="68" t="s">
        <v>1122</v>
      </c>
      <c r="G25" s="67" t="s">
        <v>1156</v>
      </c>
      <c r="H25" s="66" t="s">
        <v>900</v>
      </c>
      <c r="I25" s="65" t="s">
        <v>1155</v>
      </c>
      <c r="J25" s="64" t="s">
        <v>1128</v>
      </c>
      <c r="K25" s="60" t="s">
        <v>1117</v>
      </c>
      <c r="L25" s="63" t="s">
        <v>1118</v>
      </c>
      <c r="M25" s="62">
        <v>1066.0655690000001</v>
      </c>
      <c r="N25" s="58" t="s">
        <v>1118</v>
      </c>
      <c r="O25" s="61">
        <v>17.495126705653</v>
      </c>
      <c r="P25" s="60" t="s">
        <v>1118</v>
      </c>
      <c r="Q25" s="59">
        <v>71.605839416058387</v>
      </c>
      <c r="R25" s="58"/>
      <c r="S25" s="57" t="s">
        <v>1117</v>
      </c>
      <c r="T25" s="56">
        <v>21416.59</v>
      </c>
      <c r="U25" s="55"/>
      <c r="V25" s="55"/>
      <c r="W25" s="54"/>
      <c r="X25" s="51">
        <f t="shared" si="0"/>
        <v>1</v>
      </c>
      <c r="Y25" s="53">
        <f t="shared" si="1"/>
        <v>0</v>
      </c>
      <c r="Z25" s="53">
        <f t="shared" si="2"/>
        <v>0</v>
      </c>
      <c r="AA25" s="53">
        <f t="shared" si="3"/>
        <v>0</v>
      </c>
      <c r="AB25" s="52" t="str">
        <f t="shared" si="4"/>
        <v>-</v>
      </c>
      <c r="AC25" s="51">
        <f t="shared" si="5"/>
        <v>1</v>
      </c>
      <c r="AD25" s="53">
        <f t="shared" si="6"/>
        <v>1</v>
      </c>
      <c r="AE25" s="53" t="str">
        <f t="shared" si="7"/>
        <v>Initial</v>
      </c>
      <c r="AF25" s="52" t="str">
        <f t="shared" si="8"/>
        <v>RLIS</v>
      </c>
      <c r="AG25" s="51">
        <f t="shared" si="9"/>
        <v>0</v>
      </c>
      <c r="AH25" s="50" t="s">
        <v>1116</v>
      </c>
    </row>
    <row r="26" spans="1:34" s="49" customFormat="1" ht="12.75" customHeight="1" x14ac:dyDescent="0.3">
      <c r="A26" s="70" t="s">
        <v>1154</v>
      </c>
      <c r="B26" s="69">
        <v>4210</v>
      </c>
      <c r="C26" s="51" t="s">
        <v>1050</v>
      </c>
      <c r="D26" s="53" t="s">
        <v>1049</v>
      </c>
      <c r="E26" s="53" t="s">
        <v>1048</v>
      </c>
      <c r="F26" s="68" t="s">
        <v>1122</v>
      </c>
      <c r="G26" s="67" t="s">
        <v>1153</v>
      </c>
      <c r="H26" s="66" t="s">
        <v>900</v>
      </c>
      <c r="I26" s="65" t="s">
        <v>1152</v>
      </c>
      <c r="J26" s="64" t="s">
        <v>1119</v>
      </c>
      <c r="K26" s="60" t="s">
        <v>1118</v>
      </c>
      <c r="L26" s="63" t="s">
        <v>1118</v>
      </c>
      <c r="M26" s="62">
        <v>1237.8453079999999</v>
      </c>
      <c r="N26" s="58" t="s">
        <v>1118</v>
      </c>
      <c r="O26" s="61">
        <v>47.791798107255602</v>
      </c>
      <c r="P26" s="60" t="s">
        <v>1117</v>
      </c>
      <c r="Q26" s="59">
        <v>86.067261496225129</v>
      </c>
      <c r="R26" s="58"/>
      <c r="S26" s="57" t="s">
        <v>1117</v>
      </c>
      <c r="T26" s="56">
        <v>106542.03</v>
      </c>
      <c r="U26" s="55"/>
      <c r="V26" s="55"/>
      <c r="W26" s="54"/>
      <c r="X26" s="51">
        <f t="shared" si="0"/>
        <v>0</v>
      </c>
      <c r="Y26" s="53">
        <f t="shared" si="1"/>
        <v>0</v>
      </c>
      <c r="Z26" s="53">
        <f t="shared" si="2"/>
        <v>0</v>
      </c>
      <c r="AA26" s="53">
        <f t="shared" si="3"/>
        <v>0</v>
      </c>
      <c r="AB26" s="52" t="str">
        <f t="shared" si="4"/>
        <v>-</v>
      </c>
      <c r="AC26" s="51">
        <f t="shared" si="5"/>
        <v>1</v>
      </c>
      <c r="AD26" s="53">
        <f t="shared" si="6"/>
        <v>1</v>
      </c>
      <c r="AE26" s="53" t="str">
        <f t="shared" si="7"/>
        <v>Initial</v>
      </c>
      <c r="AF26" s="52" t="str">
        <f t="shared" si="8"/>
        <v>RLIS</v>
      </c>
      <c r="AG26" s="51">
        <f t="shared" si="9"/>
        <v>0</v>
      </c>
      <c r="AH26" s="50" t="s">
        <v>1116</v>
      </c>
    </row>
    <row r="27" spans="1:34" s="49" customFormat="1" ht="12.75" customHeight="1" x14ac:dyDescent="0.3">
      <c r="A27" s="70" t="s">
        <v>1151</v>
      </c>
      <c r="B27" s="69">
        <v>4458</v>
      </c>
      <c r="C27" s="51" t="s">
        <v>1047</v>
      </c>
      <c r="D27" s="53" t="s">
        <v>1046</v>
      </c>
      <c r="E27" s="53" t="s">
        <v>1045</v>
      </c>
      <c r="F27" s="68" t="s">
        <v>1122</v>
      </c>
      <c r="G27" s="67" t="s">
        <v>1150</v>
      </c>
      <c r="H27" s="66" t="s">
        <v>900</v>
      </c>
      <c r="I27" s="65" t="s">
        <v>1149</v>
      </c>
      <c r="J27" s="64" t="s">
        <v>1119</v>
      </c>
      <c r="K27" s="60" t="s">
        <v>1118</v>
      </c>
      <c r="L27" s="63" t="s">
        <v>1118</v>
      </c>
      <c r="M27" s="62">
        <v>2991.0504659999997</v>
      </c>
      <c r="N27" s="58" t="s">
        <v>1118</v>
      </c>
      <c r="O27" s="61">
        <v>24.7085714285714</v>
      </c>
      <c r="P27" s="60" t="s">
        <v>1117</v>
      </c>
      <c r="Q27" s="59">
        <v>74.590680100755662</v>
      </c>
      <c r="R27" s="58"/>
      <c r="S27" s="57" t="s">
        <v>1117</v>
      </c>
      <c r="T27" s="56">
        <v>130963.36</v>
      </c>
      <c r="U27" s="55"/>
      <c r="V27" s="55"/>
      <c r="W27" s="54"/>
      <c r="X27" s="51">
        <f t="shared" si="0"/>
        <v>0</v>
      </c>
      <c r="Y27" s="53">
        <f t="shared" si="1"/>
        <v>0</v>
      </c>
      <c r="Z27" s="53">
        <f t="shared" si="2"/>
        <v>0</v>
      </c>
      <c r="AA27" s="53">
        <f t="shared" si="3"/>
        <v>0</v>
      </c>
      <c r="AB27" s="52" t="str">
        <f t="shared" si="4"/>
        <v>-</v>
      </c>
      <c r="AC27" s="51">
        <f t="shared" si="5"/>
        <v>1</v>
      </c>
      <c r="AD27" s="53">
        <f t="shared" si="6"/>
        <v>1</v>
      </c>
      <c r="AE27" s="53" t="str">
        <f t="shared" si="7"/>
        <v>Initial</v>
      </c>
      <c r="AF27" s="52" t="str">
        <f t="shared" si="8"/>
        <v>RLIS</v>
      </c>
      <c r="AG27" s="51">
        <f t="shared" si="9"/>
        <v>0</v>
      </c>
      <c r="AH27" s="50" t="s">
        <v>1116</v>
      </c>
    </row>
    <row r="28" spans="1:34" s="49" customFormat="1" ht="12.75" customHeight="1" x14ac:dyDescent="0.3">
      <c r="A28" s="70" t="s">
        <v>1148</v>
      </c>
      <c r="B28" s="69">
        <v>4393</v>
      </c>
      <c r="C28" s="51" t="s">
        <v>1044</v>
      </c>
      <c r="D28" s="53" t="s">
        <v>1043</v>
      </c>
      <c r="E28" s="53" t="s">
        <v>1042</v>
      </c>
      <c r="F28" s="68" t="s">
        <v>1122</v>
      </c>
      <c r="G28" s="67" t="s">
        <v>1147</v>
      </c>
      <c r="H28" s="66" t="s">
        <v>1146</v>
      </c>
      <c r="I28" s="65" t="s">
        <v>1145</v>
      </c>
      <c r="J28" s="64" t="s">
        <v>1119</v>
      </c>
      <c r="K28" s="60" t="s">
        <v>1118</v>
      </c>
      <c r="L28" s="63" t="s">
        <v>1118</v>
      </c>
      <c r="M28" s="62">
        <v>2114.596223</v>
      </c>
      <c r="N28" s="58" t="s">
        <v>1118</v>
      </c>
      <c r="O28" s="61">
        <v>38.831741366642198</v>
      </c>
      <c r="P28" s="60" t="s">
        <v>1117</v>
      </c>
      <c r="Q28" s="59">
        <v>59.551986475063401</v>
      </c>
      <c r="R28" s="58"/>
      <c r="S28" s="57" t="s">
        <v>1117</v>
      </c>
      <c r="T28" s="56">
        <v>94087.88</v>
      </c>
      <c r="U28" s="55"/>
      <c r="V28" s="55"/>
      <c r="W28" s="54"/>
      <c r="X28" s="51">
        <f t="shared" si="0"/>
        <v>0</v>
      </c>
      <c r="Y28" s="53">
        <f t="shared" si="1"/>
        <v>0</v>
      </c>
      <c r="Z28" s="53">
        <f t="shared" si="2"/>
        <v>0</v>
      </c>
      <c r="AA28" s="53">
        <f t="shared" si="3"/>
        <v>0</v>
      </c>
      <c r="AB28" s="52" t="str">
        <f t="shared" si="4"/>
        <v>-</v>
      </c>
      <c r="AC28" s="51">
        <f t="shared" si="5"/>
        <v>1</v>
      </c>
      <c r="AD28" s="53">
        <f t="shared" si="6"/>
        <v>1</v>
      </c>
      <c r="AE28" s="53" t="str">
        <f t="shared" si="7"/>
        <v>Initial</v>
      </c>
      <c r="AF28" s="52" t="str">
        <f t="shared" si="8"/>
        <v>RLIS</v>
      </c>
      <c r="AG28" s="51">
        <f t="shared" si="9"/>
        <v>0</v>
      </c>
      <c r="AH28" s="50" t="s">
        <v>1116</v>
      </c>
    </row>
    <row r="29" spans="1:34" s="49" customFormat="1" ht="12.75" customHeight="1" x14ac:dyDescent="0.3">
      <c r="A29" s="70" t="s">
        <v>1144</v>
      </c>
      <c r="B29" s="69">
        <v>4391</v>
      </c>
      <c r="C29" s="51" t="s">
        <v>1041</v>
      </c>
      <c r="D29" s="53" t="s">
        <v>1040</v>
      </c>
      <c r="E29" s="53" t="s">
        <v>1039</v>
      </c>
      <c r="F29" s="68" t="s">
        <v>1122</v>
      </c>
      <c r="G29" s="67" t="s">
        <v>1143</v>
      </c>
      <c r="H29" s="66" t="s">
        <v>900</v>
      </c>
      <c r="I29" s="65" t="s">
        <v>1142</v>
      </c>
      <c r="J29" s="64" t="s">
        <v>1119</v>
      </c>
      <c r="K29" s="60" t="s">
        <v>1118</v>
      </c>
      <c r="L29" s="63" t="s">
        <v>1118</v>
      </c>
      <c r="M29" s="62">
        <v>2218.0185579999998</v>
      </c>
      <c r="N29" s="58" t="s">
        <v>1118</v>
      </c>
      <c r="O29" s="61">
        <v>25.355191256830601</v>
      </c>
      <c r="P29" s="60" t="s">
        <v>1117</v>
      </c>
      <c r="Q29" s="59">
        <v>53.862941946748144</v>
      </c>
      <c r="R29" s="58"/>
      <c r="S29" s="57" t="s">
        <v>1117</v>
      </c>
      <c r="T29" s="56">
        <v>88859.62</v>
      </c>
      <c r="U29" s="55"/>
      <c r="V29" s="55"/>
      <c r="W29" s="54"/>
      <c r="X29" s="51">
        <f t="shared" si="0"/>
        <v>0</v>
      </c>
      <c r="Y29" s="53">
        <f t="shared" si="1"/>
        <v>0</v>
      </c>
      <c r="Z29" s="53">
        <f t="shared" si="2"/>
        <v>0</v>
      </c>
      <c r="AA29" s="53">
        <f t="shared" si="3"/>
        <v>0</v>
      </c>
      <c r="AB29" s="52" t="str">
        <f t="shared" si="4"/>
        <v>-</v>
      </c>
      <c r="AC29" s="51">
        <f t="shared" si="5"/>
        <v>1</v>
      </c>
      <c r="AD29" s="53">
        <f t="shared" si="6"/>
        <v>1</v>
      </c>
      <c r="AE29" s="53" t="str">
        <f t="shared" si="7"/>
        <v>Initial</v>
      </c>
      <c r="AF29" s="52" t="str">
        <f t="shared" si="8"/>
        <v>RLIS</v>
      </c>
      <c r="AG29" s="51">
        <f t="shared" si="9"/>
        <v>0</v>
      </c>
      <c r="AH29" s="50" t="s">
        <v>1116</v>
      </c>
    </row>
    <row r="30" spans="1:34" s="49" customFormat="1" ht="12.75" customHeight="1" x14ac:dyDescent="0.3">
      <c r="A30" s="70" t="s">
        <v>1141</v>
      </c>
      <c r="B30" s="69">
        <v>4168</v>
      </c>
      <c r="C30" s="51" t="s">
        <v>1038</v>
      </c>
      <c r="D30" s="53" t="s">
        <v>1037</v>
      </c>
      <c r="E30" s="53" t="s">
        <v>1036</v>
      </c>
      <c r="F30" s="68" t="s">
        <v>1122</v>
      </c>
      <c r="G30" s="67" t="s">
        <v>1140</v>
      </c>
      <c r="H30" s="66" t="s">
        <v>900</v>
      </c>
      <c r="I30" s="65" t="s">
        <v>1139</v>
      </c>
      <c r="J30" s="64" t="s">
        <v>1128</v>
      </c>
      <c r="K30" s="60" t="s">
        <v>1117</v>
      </c>
      <c r="L30" s="63" t="s">
        <v>1118</v>
      </c>
      <c r="M30" s="62">
        <v>820.502253</v>
      </c>
      <c r="N30" s="58" t="s">
        <v>1118</v>
      </c>
      <c r="O30" s="61">
        <v>25.3012048192771</v>
      </c>
      <c r="P30" s="60" t="s">
        <v>1117</v>
      </c>
      <c r="Q30" s="59">
        <v>68.929804372842355</v>
      </c>
      <c r="R30" s="58"/>
      <c r="S30" s="57" t="s">
        <v>1117</v>
      </c>
      <c r="T30" s="56">
        <v>35324.69</v>
      </c>
      <c r="U30" s="55"/>
      <c r="V30" s="55"/>
      <c r="W30" s="54"/>
      <c r="X30" s="51">
        <f t="shared" si="0"/>
        <v>1</v>
      </c>
      <c r="Y30" s="53">
        <f t="shared" si="1"/>
        <v>0</v>
      </c>
      <c r="Z30" s="53">
        <f t="shared" si="2"/>
        <v>0</v>
      </c>
      <c r="AA30" s="53">
        <f t="shared" si="3"/>
        <v>0</v>
      </c>
      <c r="AB30" s="52" t="str">
        <f t="shared" si="4"/>
        <v>-</v>
      </c>
      <c r="AC30" s="51">
        <f t="shared" si="5"/>
        <v>1</v>
      </c>
      <c r="AD30" s="53">
        <f t="shared" si="6"/>
        <v>1</v>
      </c>
      <c r="AE30" s="53" t="str">
        <f t="shared" si="7"/>
        <v>Initial</v>
      </c>
      <c r="AF30" s="52" t="str">
        <f t="shared" si="8"/>
        <v>RLIS</v>
      </c>
      <c r="AG30" s="51">
        <f t="shared" si="9"/>
        <v>0</v>
      </c>
      <c r="AH30" s="50" t="s">
        <v>1116</v>
      </c>
    </row>
    <row r="31" spans="1:34" s="49" customFormat="1" ht="12.75" customHeight="1" x14ac:dyDescent="0.3">
      <c r="A31" s="70" t="s">
        <v>1138</v>
      </c>
      <c r="B31" s="69">
        <v>4225</v>
      </c>
      <c r="C31" s="51" t="s">
        <v>1035</v>
      </c>
      <c r="D31" s="53" t="s">
        <v>1034</v>
      </c>
      <c r="E31" s="53" t="s">
        <v>1033</v>
      </c>
      <c r="F31" s="68" t="s">
        <v>1122</v>
      </c>
      <c r="G31" s="67" t="s">
        <v>1137</v>
      </c>
      <c r="H31" s="66" t="s">
        <v>900</v>
      </c>
      <c r="I31" s="65" t="s">
        <v>1136</v>
      </c>
      <c r="J31" s="64" t="s">
        <v>1119</v>
      </c>
      <c r="K31" s="60" t="s">
        <v>1118</v>
      </c>
      <c r="L31" s="63" t="s">
        <v>1118</v>
      </c>
      <c r="M31" s="62">
        <v>91.714999999999989</v>
      </c>
      <c r="N31" s="58" t="s">
        <v>1117</v>
      </c>
      <c r="O31" s="61" t="s">
        <v>1135</v>
      </c>
      <c r="P31" s="60" t="s">
        <v>1118</v>
      </c>
      <c r="Q31" s="59">
        <v>27.450980392156865</v>
      </c>
      <c r="R31" s="58"/>
      <c r="S31" s="57" t="s">
        <v>1117</v>
      </c>
      <c r="T31" s="56"/>
      <c r="U31" s="55"/>
      <c r="V31" s="55"/>
      <c r="W31" s="54"/>
      <c r="X31" s="51">
        <f t="shared" si="0"/>
        <v>0</v>
      </c>
      <c r="Y31" s="53">
        <f t="shared" si="1"/>
        <v>1</v>
      </c>
      <c r="Z31" s="53">
        <f t="shared" si="2"/>
        <v>0</v>
      </c>
      <c r="AA31" s="53">
        <f t="shared" si="3"/>
        <v>0</v>
      </c>
      <c r="AB31" s="52" t="str">
        <f t="shared" si="4"/>
        <v>-</v>
      </c>
      <c r="AC31" s="51">
        <f t="shared" si="5"/>
        <v>1</v>
      </c>
      <c r="AD31" s="53">
        <f t="shared" si="6"/>
        <v>1</v>
      </c>
      <c r="AE31" s="53" t="str">
        <f t="shared" si="7"/>
        <v>Initial</v>
      </c>
      <c r="AF31" s="52" t="str">
        <f t="shared" si="8"/>
        <v>RLIS</v>
      </c>
      <c r="AG31" s="51">
        <f t="shared" si="9"/>
        <v>0</v>
      </c>
      <c r="AH31" s="50" t="s">
        <v>1116</v>
      </c>
    </row>
    <row r="32" spans="1:34" s="49" customFormat="1" ht="12.75" customHeight="1" x14ac:dyDescent="0.3">
      <c r="A32" s="70" t="s">
        <v>1134</v>
      </c>
      <c r="B32" s="69">
        <v>4394</v>
      </c>
      <c r="C32" s="51" t="s">
        <v>1032</v>
      </c>
      <c r="D32" s="53" t="s">
        <v>1031</v>
      </c>
      <c r="E32" s="53" t="s">
        <v>1030</v>
      </c>
      <c r="F32" s="68" t="s">
        <v>1122</v>
      </c>
      <c r="G32" s="67" t="s">
        <v>1133</v>
      </c>
      <c r="H32" s="66" t="s">
        <v>900</v>
      </c>
      <c r="I32" s="65" t="s">
        <v>1132</v>
      </c>
      <c r="J32" s="64" t="s">
        <v>1124</v>
      </c>
      <c r="K32" s="60" t="s">
        <v>1118</v>
      </c>
      <c r="L32" s="63" t="s">
        <v>1118</v>
      </c>
      <c r="M32" s="62">
        <v>1970.5565749999996</v>
      </c>
      <c r="N32" s="58" t="s">
        <v>1118</v>
      </c>
      <c r="O32" s="61">
        <v>49.411331861663001</v>
      </c>
      <c r="P32" s="60" t="s">
        <v>1117</v>
      </c>
      <c r="Q32" s="59">
        <v>86.558412268831759</v>
      </c>
      <c r="R32" s="58"/>
      <c r="S32" s="57" t="s">
        <v>1117</v>
      </c>
      <c r="T32" s="56">
        <v>161483.71</v>
      </c>
      <c r="U32" s="55"/>
      <c r="V32" s="55"/>
      <c r="W32" s="54"/>
      <c r="X32" s="51">
        <f t="shared" si="0"/>
        <v>0</v>
      </c>
      <c r="Y32" s="53">
        <f t="shared" si="1"/>
        <v>0</v>
      </c>
      <c r="Z32" s="53">
        <f t="shared" si="2"/>
        <v>0</v>
      </c>
      <c r="AA32" s="53">
        <f t="shared" si="3"/>
        <v>0</v>
      </c>
      <c r="AB32" s="52" t="str">
        <f t="shared" si="4"/>
        <v>-</v>
      </c>
      <c r="AC32" s="51">
        <f t="shared" si="5"/>
        <v>1</v>
      </c>
      <c r="AD32" s="53">
        <f t="shared" si="6"/>
        <v>1</v>
      </c>
      <c r="AE32" s="53" t="str">
        <f t="shared" si="7"/>
        <v>Initial</v>
      </c>
      <c r="AF32" s="52" t="str">
        <f t="shared" si="8"/>
        <v>RLIS</v>
      </c>
      <c r="AG32" s="51">
        <f t="shared" si="9"/>
        <v>0</v>
      </c>
      <c r="AH32" s="50" t="s">
        <v>1116</v>
      </c>
    </row>
    <row r="33" spans="1:34" s="49" customFormat="1" ht="12.75" customHeight="1" x14ac:dyDescent="0.3">
      <c r="A33" s="70" t="s">
        <v>1131</v>
      </c>
      <c r="B33" s="69">
        <v>4236</v>
      </c>
      <c r="C33" s="51" t="s">
        <v>1029</v>
      </c>
      <c r="D33" s="53" t="s">
        <v>1028</v>
      </c>
      <c r="E33" s="53" t="s">
        <v>1027</v>
      </c>
      <c r="F33" s="68" t="s">
        <v>1122</v>
      </c>
      <c r="G33" s="67" t="s">
        <v>1130</v>
      </c>
      <c r="H33" s="66" t="s">
        <v>900</v>
      </c>
      <c r="I33" s="65" t="s">
        <v>1129</v>
      </c>
      <c r="J33" s="64" t="s">
        <v>1128</v>
      </c>
      <c r="K33" s="60" t="s">
        <v>1117</v>
      </c>
      <c r="L33" s="63" t="s">
        <v>1118</v>
      </c>
      <c r="M33" s="62">
        <v>635.78868599999998</v>
      </c>
      <c r="N33" s="58" t="s">
        <v>1118</v>
      </c>
      <c r="O33" s="61">
        <v>30.553558590941801</v>
      </c>
      <c r="P33" s="60" t="s">
        <v>1117</v>
      </c>
      <c r="Q33" s="59">
        <v>57.439446366782008</v>
      </c>
      <c r="R33" s="58"/>
      <c r="S33" s="57" t="s">
        <v>1117</v>
      </c>
      <c r="T33" s="56">
        <v>47294.18</v>
      </c>
      <c r="U33" s="55"/>
      <c r="V33" s="55"/>
      <c r="W33" s="54"/>
      <c r="X33" s="51">
        <f t="shared" si="0"/>
        <v>1</v>
      </c>
      <c r="Y33" s="53">
        <f t="shared" si="1"/>
        <v>0</v>
      </c>
      <c r="Z33" s="53">
        <f t="shared" si="2"/>
        <v>0</v>
      </c>
      <c r="AA33" s="53">
        <f t="shared" si="3"/>
        <v>0</v>
      </c>
      <c r="AB33" s="52" t="str">
        <f t="shared" si="4"/>
        <v>-</v>
      </c>
      <c r="AC33" s="51">
        <f t="shared" si="5"/>
        <v>1</v>
      </c>
      <c r="AD33" s="53">
        <f t="shared" si="6"/>
        <v>1</v>
      </c>
      <c r="AE33" s="53" t="str">
        <f t="shared" si="7"/>
        <v>Initial</v>
      </c>
      <c r="AF33" s="52" t="str">
        <f t="shared" si="8"/>
        <v>RLIS</v>
      </c>
      <c r="AG33" s="51">
        <f t="shared" si="9"/>
        <v>0</v>
      </c>
      <c r="AH33" s="50" t="s">
        <v>1116</v>
      </c>
    </row>
    <row r="34" spans="1:34" s="49" customFormat="1" ht="12.75" customHeight="1" x14ac:dyDescent="0.3">
      <c r="A34" s="70" t="s">
        <v>1127</v>
      </c>
      <c r="B34" s="69">
        <v>4154</v>
      </c>
      <c r="C34" s="51" t="s">
        <v>1026</v>
      </c>
      <c r="D34" s="53" t="s">
        <v>1025</v>
      </c>
      <c r="E34" s="53" t="s">
        <v>1024</v>
      </c>
      <c r="F34" s="68" t="s">
        <v>1122</v>
      </c>
      <c r="G34" s="67" t="s">
        <v>1126</v>
      </c>
      <c r="H34" s="66" t="s">
        <v>900</v>
      </c>
      <c r="I34" s="65" t="s">
        <v>1125</v>
      </c>
      <c r="J34" s="64" t="s">
        <v>1124</v>
      </c>
      <c r="K34" s="60" t="s">
        <v>1118</v>
      </c>
      <c r="L34" s="63" t="s">
        <v>1118</v>
      </c>
      <c r="M34" s="62">
        <v>1870.366706</v>
      </c>
      <c r="N34" s="58" t="s">
        <v>1117</v>
      </c>
      <c r="O34" s="61">
        <v>43.000773395205002</v>
      </c>
      <c r="P34" s="60" t="s">
        <v>1117</v>
      </c>
      <c r="Q34" s="59">
        <v>77.897838899803546</v>
      </c>
      <c r="R34" s="58"/>
      <c r="S34" s="57" t="s">
        <v>1117</v>
      </c>
      <c r="T34" s="56">
        <v>190754.57</v>
      </c>
      <c r="U34" s="55"/>
      <c r="V34" s="55"/>
      <c r="W34" s="54"/>
      <c r="X34" s="51">
        <f t="shared" si="0"/>
        <v>0</v>
      </c>
      <c r="Y34" s="53">
        <f t="shared" si="1"/>
        <v>1</v>
      </c>
      <c r="Z34" s="53">
        <f t="shared" si="2"/>
        <v>0</v>
      </c>
      <c r="AA34" s="53">
        <f t="shared" si="3"/>
        <v>0</v>
      </c>
      <c r="AB34" s="52" t="str">
        <f t="shared" si="4"/>
        <v>-</v>
      </c>
      <c r="AC34" s="51">
        <f t="shared" si="5"/>
        <v>1</v>
      </c>
      <c r="AD34" s="53">
        <f t="shared" si="6"/>
        <v>1</v>
      </c>
      <c r="AE34" s="53" t="str">
        <f t="shared" si="7"/>
        <v>Initial</v>
      </c>
      <c r="AF34" s="52" t="str">
        <f t="shared" si="8"/>
        <v>RLIS</v>
      </c>
      <c r="AG34" s="51">
        <f t="shared" si="9"/>
        <v>0</v>
      </c>
      <c r="AH34" s="50" t="s">
        <v>1116</v>
      </c>
    </row>
    <row r="35" spans="1:34" s="49" customFormat="1" ht="12.75" customHeight="1" x14ac:dyDescent="0.3">
      <c r="A35" s="70" t="s">
        <v>1123</v>
      </c>
      <c r="B35" s="69">
        <v>4387</v>
      </c>
      <c r="C35" s="51" t="s">
        <v>1023</v>
      </c>
      <c r="D35" s="53" t="s">
        <v>1022</v>
      </c>
      <c r="E35" s="53" t="s">
        <v>1021</v>
      </c>
      <c r="F35" s="68" t="s">
        <v>1122</v>
      </c>
      <c r="G35" s="67" t="s">
        <v>1121</v>
      </c>
      <c r="H35" s="66" t="s">
        <v>900</v>
      </c>
      <c r="I35" s="65" t="s">
        <v>1120</v>
      </c>
      <c r="J35" s="64" t="s">
        <v>1119</v>
      </c>
      <c r="K35" s="60" t="s">
        <v>1118</v>
      </c>
      <c r="L35" s="63" t="s">
        <v>1118</v>
      </c>
      <c r="M35" s="62">
        <v>1987.2690219999999</v>
      </c>
      <c r="N35" s="58" t="s">
        <v>1118</v>
      </c>
      <c r="O35" s="61">
        <v>34.9386642435257</v>
      </c>
      <c r="P35" s="60" t="s">
        <v>1117</v>
      </c>
      <c r="Q35" s="59">
        <v>64.397377710539587</v>
      </c>
      <c r="R35" s="58"/>
      <c r="S35" s="57" t="s">
        <v>1117</v>
      </c>
      <c r="T35" s="56">
        <v>116318.13</v>
      </c>
      <c r="U35" s="55"/>
      <c r="V35" s="55"/>
      <c r="W35" s="54"/>
      <c r="X35" s="51">
        <f t="shared" si="0"/>
        <v>0</v>
      </c>
      <c r="Y35" s="53">
        <f t="shared" si="1"/>
        <v>0</v>
      </c>
      <c r="Z35" s="53">
        <f t="shared" si="2"/>
        <v>0</v>
      </c>
      <c r="AA35" s="53">
        <f t="shared" si="3"/>
        <v>0</v>
      </c>
      <c r="AB35" s="52" t="str">
        <f t="shared" si="4"/>
        <v>-</v>
      </c>
      <c r="AC35" s="51">
        <f t="shared" si="5"/>
        <v>1</v>
      </c>
      <c r="AD35" s="53">
        <f t="shared" si="6"/>
        <v>1</v>
      </c>
      <c r="AE35" s="53" t="str">
        <f t="shared" si="7"/>
        <v>Initial</v>
      </c>
      <c r="AF35" s="52" t="str">
        <f t="shared" si="8"/>
        <v>RLIS</v>
      </c>
      <c r="AG35" s="51">
        <f t="shared" si="9"/>
        <v>0</v>
      </c>
      <c r="AH35" s="50" t="s">
        <v>1116</v>
      </c>
    </row>
  </sheetData>
  <mergeCells count="1">
    <mergeCell ref="A1:Y1"/>
  </mergeCells>
  <printOptions horizontalCentered="1"/>
  <pageMargins left="0.25" right="0.25" top="0.5" bottom="0.65" header="0.25" footer="0.25"/>
  <pageSetup fitToHeight="0" orientation="landscape" horizontalDpi="4294967294" verticalDpi="4294967294"/>
  <headerFooter>
    <oddFooter>&amp;L&amp;"Arial,Bold"&amp;12Fiscal Year 2015&amp;C&amp;P of &amp;N&amp;R&amp;"Arial,Bold"&amp;14RLIS Eligible</oddFooter>
  </headerFooter>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D712"/>
  <sheetViews>
    <sheetView workbookViewId="0"/>
  </sheetViews>
  <sheetFormatPr defaultColWidth="8.77734375" defaultRowHeight="14.4" x14ac:dyDescent="0.3"/>
  <cols>
    <col min="1" max="1" width="10.77734375" bestFit="1" customWidth="1"/>
    <col min="2" max="2" width="74.6640625" bestFit="1" customWidth="1"/>
    <col min="3" max="3" width="20.6640625" bestFit="1" customWidth="1"/>
    <col min="4" max="4" width="20.44140625" bestFit="1" customWidth="1"/>
  </cols>
  <sheetData>
    <row r="1" spans="1:4" x14ac:dyDescent="0.3">
      <c r="A1" t="s">
        <v>619</v>
      </c>
      <c r="B1" t="s">
        <v>1297</v>
      </c>
      <c r="C1" t="s">
        <v>1296</v>
      </c>
      <c r="D1" t="s">
        <v>1386</v>
      </c>
    </row>
    <row r="2" spans="1:4" x14ac:dyDescent="0.3">
      <c r="A2">
        <v>4153</v>
      </c>
      <c r="B2" t="s">
        <v>472</v>
      </c>
      <c r="C2">
        <v>788</v>
      </c>
      <c r="D2">
        <v>0</v>
      </c>
    </row>
    <row r="3" spans="1:4" x14ac:dyDescent="0.3">
      <c r="A3">
        <v>4154</v>
      </c>
      <c r="B3" t="s">
        <v>446</v>
      </c>
      <c r="C3">
        <v>1819</v>
      </c>
      <c r="D3">
        <v>0</v>
      </c>
    </row>
    <row r="4" spans="1:4" x14ac:dyDescent="0.3">
      <c r="A4">
        <v>4155</v>
      </c>
      <c r="B4" t="s">
        <v>362</v>
      </c>
      <c r="C4">
        <v>1263</v>
      </c>
      <c r="D4">
        <v>1</v>
      </c>
    </row>
    <row r="5" spans="1:4" x14ac:dyDescent="0.3">
      <c r="A5">
        <v>4156</v>
      </c>
      <c r="B5" t="s">
        <v>374</v>
      </c>
      <c r="C5">
        <v>668</v>
      </c>
      <c r="D5">
        <v>2</v>
      </c>
    </row>
    <row r="6" spans="1:4" x14ac:dyDescent="0.3">
      <c r="A6">
        <v>4157</v>
      </c>
      <c r="B6" t="s">
        <v>177</v>
      </c>
      <c r="C6">
        <v>1344</v>
      </c>
      <c r="D6">
        <v>1086</v>
      </c>
    </row>
    <row r="7" spans="1:4" x14ac:dyDescent="0.3">
      <c r="A7">
        <v>4158</v>
      </c>
      <c r="B7" t="s">
        <v>102</v>
      </c>
      <c r="C7">
        <v>3372</v>
      </c>
      <c r="D7">
        <v>0</v>
      </c>
    </row>
    <row r="8" spans="1:4" x14ac:dyDescent="0.3">
      <c r="A8">
        <v>4159</v>
      </c>
      <c r="B8" t="s">
        <v>358</v>
      </c>
      <c r="C8">
        <v>529</v>
      </c>
      <c r="D8">
        <v>7</v>
      </c>
    </row>
    <row r="9" spans="1:4" x14ac:dyDescent="0.3">
      <c r="A9">
        <v>4160</v>
      </c>
      <c r="B9" t="s">
        <v>112</v>
      </c>
      <c r="C9">
        <v>164</v>
      </c>
      <c r="D9">
        <v>159</v>
      </c>
    </row>
    <row r="10" spans="1:4" x14ac:dyDescent="0.3">
      <c r="A10">
        <v>4161</v>
      </c>
      <c r="B10" t="s">
        <v>554</v>
      </c>
      <c r="C10">
        <v>60</v>
      </c>
      <c r="D10">
        <v>44</v>
      </c>
    </row>
    <row r="11" spans="1:4" x14ac:dyDescent="0.3">
      <c r="A11">
        <v>4162</v>
      </c>
      <c r="B11" t="s">
        <v>430</v>
      </c>
      <c r="C11">
        <v>72</v>
      </c>
      <c r="D11">
        <v>66</v>
      </c>
    </row>
    <row r="12" spans="1:4" x14ac:dyDescent="0.3">
      <c r="A12">
        <v>4163</v>
      </c>
      <c r="B12" t="s">
        <v>280</v>
      </c>
      <c r="C12">
        <v>130</v>
      </c>
      <c r="D12">
        <v>126</v>
      </c>
    </row>
    <row r="13" spans="1:4" x14ac:dyDescent="0.3">
      <c r="A13">
        <v>4167</v>
      </c>
      <c r="B13" t="s">
        <v>168</v>
      </c>
      <c r="C13">
        <v>899</v>
      </c>
      <c r="D13">
        <v>150</v>
      </c>
    </row>
    <row r="14" spans="1:4" x14ac:dyDescent="0.3">
      <c r="A14">
        <v>4168</v>
      </c>
      <c r="B14" t="s">
        <v>417</v>
      </c>
      <c r="C14">
        <v>766</v>
      </c>
      <c r="D14">
        <v>624</v>
      </c>
    </row>
    <row r="15" spans="1:4" x14ac:dyDescent="0.3">
      <c r="A15">
        <v>4169</v>
      </c>
      <c r="B15" t="s">
        <v>71</v>
      </c>
      <c r="C15">
        <v>724</v>
      </c>
      <c r="D15">
        <v>11</v>
      </c>
    </row>
    <row r="16" spans="1:4" x14ac:dyDescent="0.3">
      <c r="A16">
        <v>4170</v>
      </c>
      <c r="B16" t="s">
        <v>443</v>
      </c>
      <c r="C16">
        <v>1116</v>
      </c>
      <c r="D16">
        <v>800</v>
      </c>
    </row>
    <row r="17" spans="1:4" x14ac:dyDescent="0.3">
      <c r="A17">
        <v>4171</v>
      </c>
      <c r="B17" t="s">
        <v>76</v>
      </c>
      <c r="C17">
        <v>57</v>
      </c>
      <c r="D17">
        <v>21</v>
      </c>
    </row>
    <row r="18" spans="1:4" x14ac:dyDescent="0.3">
      <c r="A18">
        <v>4172</v>
      </c>
      <c r="B18" t="s">
        <v>372</v>
      </c>
      <c r="C18">
        <v>111</v>
      </c>
      <c r="D18">
        <v>67</v>
      </c>
    </row>
    <row r="19" spans="1:4" x14ac:dyDescent="0.3">
      <c r="A19">
        <v>4173</v>
      </c>
      <c r="B19" t="s">
        <v>473</v>
      </c>
      <c r="C19">
        <v>359</v>
      </c>
      <c r="D19">
        <v>158</v>
      </c>
    </row>
    <row r="20" spans="1:4" x14ac:dyDescent="0.3">
      <c r="A20">
        <v>4174</v>
      </c>
      <c r="B20" t="s">
        <v>135</v>
      </c>
      <c r="C20">
        <v>3778</v>
      </c>
      <c r="D20">
        <v>3203</v>
      </c>
    </row>
    <row r="21" spans="1:4" x14ac:dyDescent="0.3">
      <c r="A21">
        <v>4175</v>
      </c>
      <c r="B21" t="s">
        <v>384</v>
      </c>
      <c r="C21">
        <v>5681</v>
      </c>
      <c r="D21">
        <v>75</v>
      </c>
    </row>
    <row r="22" spans="1:4" x14ac:dyDescent="0.3">
      <c r="A22">
        <v>4176</v>
      </c>
      <c r="B22" t="s">
        <v>300</v>
      </c>
      <c r="C22">
        <v>302</v>
      </c>
      <c r="D22">
        <v>274</v>
      </c>
    </row>
    <row r="23" spans="1:4" x14ac:dyDescent="0.3">
      <c r="A23">
        <v>4177</v>
      </c>
      <c r="B23" t="s">
        <v>530</v>
      </c>
      <c r="C23">
        <v>87</v>
      </c>
      <c r="D23">
        <v>0</v>
      </c>
    </row>
    <row r="24" spans="1:4" x14ac:dyDescent="0.3">
      <c r="A24">
        <v>4178</v>
      </c>
      <c r="B24" t="s">
        <v>550</v>
      </c>
      <c r="C24">
        <v>3</v>
      </c>
      <c r="D24">
        <v>0</v>
      </c>
    </row>
    <row r="25" spans="1:4" x14ac:dyDescent="0.3">
      <c r="A25">
        <v>4179</v>
      </c>
      <c r="B25" t="s">
        <v>134</v>
      </c>
      <c r="C25">
        <v>43</v>
      </c>
      <c r="D25">
        <v>0</v>
      </c>
    </row>
    <row r="26" spans="1:4" x14ac:dyDescent="0.3">
      <c r="A26">
        <v>4180</v>
      </c>
      <c r="B26" t="s">
        <v>319</v>
      </c>
      <c r="C26">
        <v>1019</v>
      </c>
      <c r="D26">
        <v>497</v>
      </c>
    </row>
    <row r="27" spans="1:4" x14ac:dyDescent="0.3">
      <c r="A27">
        <v>4181</v>
      </c>
      <c r="B27" t="s">
        <v>281</v>
      </c>
      <c r="C27">
        <v>61</v>
      </c>
      <c r="D27">
        <v>25</v>
      </c>
    </row>
    <row r="28" spans="1:4" x14ac:dyDescent="0.3">
      <c r="A28">
        <v>4185</v>
      </c>
      <c r="B28" t="s">
        <v>155</v>
      </c>
      <c r="C28">
        <v>112</v>
      </c>
      <c r="D28">
        <v>0</v>
      </c>
    </row>
    <row r="29" spans="1:4" x14ac:dyDescent="0.3">
      <c r="A29">
        <v>4186</v>
      </c>
      <c r="B29" t="s">
        <v>333</v>
      </c>
      <c r="C29">
        <v>98</v>
      </c>
      <c r="D29">
        <v>0</v>
      </c>
    </row>
    <row r="30" spans="1:4" x14ac:dyDescent="0.3">
      <c r="A30">
        <v>4187</v>
      </c>
      <c r="B30" t="s">
        <v>53</v>
      </c>
      <c r="C30">
        <v>14</v>
      </c>
      <c r="D30">
        <v>0</v>
      </c>
    </row>
    <row r="31" spans="1:4" x14ac:dyDescent="0.3">
      <c r="A31">
        <v>4188</v>
      </c>
      <c r="B31" t="s">
        <v>349</v>
      </c>
      <c r="C31">
        <v>92</v>
      </c>
      <c r="D31">
        <v>45</v>
      </c>
    </row>
    <row r="32" spans="1:4" x14ac:dyDescent="0.3">
      <c r="A32">
        <v>4190</v>
      </c>
      <c r="B32" t="s">
        <v>428</v>
      </c>
      <c r="C32">
        <v>68</v>
      </c>
      <c r="D32">
        <v>17</v>
      </c>
    </row>
    <row r="33" spans="1:4" x14ac:dyDescent="0.3">
      <c r="A33">
        <v>4191</v>
      </c>
      <c r="B33" t="s">
        <v>621</v>
      </c>
      <c r="C33">
        <v>1150</v>
      </c>
      <c r="D33">
        <v>920</v>
      </c>
    </row>
    <row r="34" spans="1:4" x14ac:dyDescent="0.3">
      <c r="A34">
        <v>4192</v>
      </c>
      <c r="B34" t="s">
        <v>164</v>
      </c>
      <c r="C34">
        <v>9511</v>
      </c>
      <c r="D34">
        <v>4869</v>
      </c>
    </row>
    <row r="35" spans="1:4" x14ac:dyDescent="0.3">
      <c r="A35">
        <v>4193</v>
      </c>
      <c r="B35" t="s">
        <v>444</v>
      </c>
      <c r="C35">
        <v>593</v>
      </c>
      <c r="D35">
        <v>392</v>
      </c>
    </row>
    <row r="36" spans="1:4" x14ac:dyDescent="0.3">
      <c r="A36">
        <v>4194</v>
      </c>
      <c r="B36" t="s">
        <v>187</v>
      </c>
      <c r="C36">
        <v>277</v>
      </c>
      <c r="D36">
        <v>154</v>
      </c>
    </row>
    <row r="37" spans="1:4" x14ac:dyDescent="0.3">
      <c r="A37">
        <v>4195</v>
      </c>
      <c r="B37" t="s">
        <v>174</v>
      </c>
      <c r="C37">
        <v>189</v>
      </c>
      <c r="D37">
        <v>1</v>
      </c>
    </row>
    <row r="38" spans="1:4" x14ac:dyDescent="0.3">
      <c r="A38">
        <v>4196</v>
      </c>
      <c r="B38" t="s">
        <v>315</v>
      </c>
      <c r="C38">
        <v>2618</v>
      </c>
      <c r="D38">
        <v>1172</v>
      </c>
    </row>
    <row r="39" spans="1:4" x14ac:dyDescent="0.3">
      <c r="A39">
        <v>4197</v>
      </c>
      <c r="B39" t="s">
        <v>622</v>
      </c>
      <c r="C39">
        <v>1652</v>
      </c>
      <c r="D39">
        <v>5</v>
      </c>
    </row>
    <row r="40" spans="1:4" x14ac:dyDescent="0.3">
      <c r="A40">
        <v>4199</v>
      </c>
      <c r="B40" t="s">
        <v>267</v>
      </c>
      <c r="C40">
        <v>118</v>
      </c>
      <c r="D40">
        <v>1</v>
      </c>
    </row>
    <row r="41" spans="1:4" x14ac:dyDescent="0.3">
      <c r="A41">
        <v>4201</v>
      </c>
      <c r="B41" t="s">
        <v>626</v>
      </c>
      <c r="C41">
        <v>276</v>
      </c>
      <c r="D41">
        <v>99</v>
      </c>
    </row>
    <row r="42" spans="1:4" x14ac:dyDescent="0.3">
      <c r="A42">
        <v>4202</v>
      </c>
      <c r="B42" t="s">
        <v>522</v>
      </c>
      <c r="C42">
        <v>300</v>
      </c>
      <c r="D42">
        <v>0</v>
      </c>
    </row>
    <row r="43" spans="1:4" x14ac:dyDescent="0.3">
      <c r="A43">
        <v>4203</v>
      </c>
      <c r="B43" t="s">
        <v>628</v>
      </c>
      <c r="C43">
        <v>194</v>
      </c>
      <c r="D43">
        <v>0</v>
      </c>
    </row>
    <row r="44" spans="1:4" x14ac:dyDescent="0.3">
      <c r="A44">
        <v>4204</v>
      </c>
      <c r="B44" t="s">
        <v>491</v>
      </c>
      <c r="C44">
        <v>623</v>
      </c>
      <c r="D44">
        <v>0</v>
      </c>
    </row>
    <row r="45" spans="1:4" x14ac:dyDescent="0.3">
      <c r="A45">
        <v>4205</v>
      </c>
      <c r="B45" t="s">
        <v>625</v>
      </c>
      <c r="C45">
        <v>164</v>
      </c>
      <c r="D45">
        <v>0</v>
      </c>
    </row>
    <row r="46" spans="1:4" x14ac:dyDescent="0.3">
      <c r="A46">
        <v>4207</v>
      </c>
      <c r="B46" t="s">
        <v>162</v>
      </c>
      <c r="C46">
        <v>295</v>
      </c>
      <c r="D46">
        <v>69</v>
      </c>
    </row>
    <row r="47" spans="1:4" x14ac:dyDescent="0.3">
      <c r="A47">
        <v>4208</v>
      </c>
      <c r="B47" t="s">
        <v>185</v>
      </c>
      <c r="C47">
        <v>1528</v>
      </c>
      <c r="D47">
        <v>929</v>
      </c>
    </row>
    <row r="48" spans="1:4" x14ac:dyDescent="0.3">
      <c r="A48">
        <v>4209</v>
      </c>
      <c r="B48" t="s">
        <v>330</v>
      </c>
      <c r="C48">
        <v>2218</v>
      </c>
      <c r="D48">
        <v>1137</v>
      </c>
    </row>
    <row r="49" spans="1:4" x14ac:dyDescent="0.3">
      <c r="A49">
        <v>4210</v>
      </c>
      <c r="B49" t="s">
        <v>370</v>
      </c>
      <c r="C49">
        <v>1567</v>
      </c>
      <c r="D49">
        <v>2</v>
      </c>
    </row>
    <row r="50" spans="1:4" x14ac:dyDescent="0.3">
      <c r="A50">
        <v>4211</v>
      </c>
      <c r="B50" t="s">
        <v>285</v>
      </c>
      <c r="C50">
        <v>1117</v>
      </c>
      <c r="D50">
        <v>809</v>
      </c>
    </row>
    <row r="51" spans="1:4" x14ac:dyDescent="0.3">
      <c r="A51">
        <v>4212</v>
      </c>
      <c r="B51" t="s">
        <v>193</v>
      </c>
      <c r="C51">
        <v>248</v>
      </c>
      <c r="D51">
        <v>212</v>
      </c>
    </row>
    <row r="52" spans="1:4" x14ac:dyDescent="0.3">
      <c r="A52">
        <v>4213</v>
      </c>
      <c r="B52" t="s">
        <v>449</v>
      </c>
      <c r="C52">
        <v>37</v>
      </c>
      <c r="D52">
        <v>14</v>
      </c>
    </row>
    <row r="53" spans="1:4" x14ac:dyDescent="0.3">
      <c r="A53">
        <v>4214</v>
      </c>
      <c r="B53" t="s">
        <v>347</v>
      </c>
      <c r="C53">
        <v>120</v>
      </c>
      <c r="D53">
        <v>79</v>
      </c>
    </row>
    <row r="54" spans="1:4" x14ac:dyDescent="0.3">
      <c r="A54">
        <v>4215</v>
      </c>
      <c r="B54" t="s">
        <v>418</v>
      </c>
      <c r="C54">
        <v>69</v>
      </c>
      <c r="D54">
        <v>51</v>
      </c>
    </row>
    <row r="55" spans="1:4" x14ac:dyDescent="0.3">
      <c r="A55">
        <v>4216</v>
      </c>
      <c r="B55" t="s">
        <v>488</v>
      </c>
      <c r="C55">
        <v>57</v>
      </c>
      <c r="D55">
        <v>34</v>
      </c>
    </row>
    <row r="56" spans="1:4" x14ac:dyDescent="0.3">
      <c r="A56">
        <v>4217</v>
      </c>
      <c r="B56" t="s">
        <v>186</v>
      </c>
      <c r="C56">
        <v>36</v>
      </c>
      <c r="D56">
        <v>26</v>
      </c>
    </row>
    <row r="57" spans="1:4" x14ac:dyDescent="0.3">
      <c r="A57">
        <v>4218</v>
      </c>
      <c r="B57" t="s">
        <v>366</v>
      </c>
      <c r="C57">
        <v>2924</v>
      </c>
      <c r="D57">
        <v>1560</v>
      </c>
    </row>
    <row r="58" spans="1:4" x14ac:dyDescent="0.3">
      <c r="A58">
        <v>4219</v>
      </c>
      <c r="B58" t="s">
        <v>411</v>
      </c>
      <c r="C58">
        <v>1647</v>
      </c>
      <c r="D58">
        <v>664</v>
      </c>
    </row>
    <row r="59" spans="1:4" x14ac:dyDescent="0.3">
      <c r="A59">
        <v>4220</v>
      </c>
      <c r="B59" t="s">
        <v>345</v>
      </c>
      <c r="C59">
        <v>763</v>
      </c>
      <c r="D59">
        <v>362</v>
      </c>
    </row>
    <row r="60" spans="1:4" x14ac:dyDescent="0.3">
      <c r="A60">
        <v>4221</v>
      </c>
      <c r="B60" t="s">
        <v>169</v>
      </c>
      <c r="C60">
        <v>579</v>
      </c>
      <c r="D60">
        <v>0</v>
      </c>
    </row>
    <row r="61" spans="1:4" x14ac:dyDescent="0.3">
      <c r="A61">
        <v>4222</v>
      </c>
      <c r="B61" t="s">
        <v>389</v>
      </c>
      <c r="C61">
        <v>189</v>
      </c>
      <c r="D61">
        <v>0</v>
      </c>
    </row>
    <row r="62" spans="1:4" x14ac:dyDescent="0.3">
      <c r="A62">
        <v>4224</v>
      </c>
      <c r="B62" t="s">
        <v>537</v>
      </c>
      <c r="C62">
        <v>105</v>
      </c>
      <c r="D62">
        <v>55</v>
      </c>
    </row>
    <row r="63" spans="1:4" x14ac:dyDescent="0.3">
      <c r="A63">
        <v>4225</v>
      </c>
      <c r="B63" t="s">
        <v>466</v>
      </c>
      <c r="C63">
        <v>98</v>
      </c>
      <c r="D63">
        <v>36</v>
      </c>
    </row>
    <row r="64" spans="1:4" x14ac:dyDescent="0.3">
      <c r="A64">
        <v>4228</v>
      </c>
      <c r="B64" t="s">
        <v>136</v>
      </c>
      <c r="C64">
        <v>363</v>
      </c>
      <c r="D64">
        <v>178</v>
      </c>
    </row>
    <row r="65" spans="1:4" x14ac:dyDescent="0.3">
      <c r="A65">
        <v>4230</v>
      </c>
      <c r="B65" t="s">
        <v>295</v>
      </c>
      <c r="C65">
        <v>1340</v>
      </c>
      <c r="D65">
        <v>519</v>
      </c>
    </row>
    <row r="66" spans="1:4" x14ac:dyDescent="0.3">
      <c r="A66">
        <v>4231</v>
      </c>
      <c r="B66" t="s">
        <v>538</v>
      </c>
      <c r="C66">
        <v>11</v>
      </c>
      <c r="D66">
        <v>2</v>
      </c>
    </row>
    <row r="67" spans="1:4" x14ac:dyDescent="0.3">
      <c r="A67">
        <v>4234</v>
      </c>
      <c r="B67" t="s">
        <v>272</v>
      </c>
      <c r="C67">
        <v>480</v>
      </c>
      <c r="D67">
        <v>480</v>
      </c>
    </row>
    <row r="68" spans="1:4" x14ac:dyDescent="0.3">
      <c r="A68">
        <v>4235</v>
      </c>
      <c r="B68" t="s">
        <v>282</v>
      </c>
      <c r="C68">
        <v>54714</v>
      </c>
      <c r="D68">
        <v>28375</v>
      </c>
    </row>
    <row r="69" spans="1:4" x14ac:dyDescent="0.3">
      <c r="A69">
        <v>4236</v>
      </c>
      <c r="B69" t="s">
        <v>442</v>
      </c>
      <c r="C69">
        <v>1371</v>
      </c>
      <c r="D69">
        <v>633</v>
      </c>
    </row>
    <row r="70" spans="1:4" x14ac:dyDescent="0.3">
      <c r="A70">
        <v>4237</v>
      </c>
      <c r="B70" t="s">
        <v>335</v>
      </c>
      <c r="C70">
        <v>35232</v>
      </c>
      <c r="D70">
        <v>14321</v>
      </c>
    </row>
    <row r="71" spans="1:4" x14ac:dyDescent="0.3">
      <c r="A71">
        <v>4238</v>
      </c>
      <c r="B71" t="s">
        <v>180</v>
      </c>
      <c r="C71">
        <v>391</v>
      </c>
      <c r="D71">
        <v>4</v>
      </c>
    </row>
    <row r="72" spans="1:4" x14ac:dyDescent="0.3">
      <c r="A72">
        <v>4239</v>
      </c>
      <c r="B72" t="s">
        <v>182</v>
      </c>
      <c r="C72">
        <v>33527</v>
      </c>
      <c r="D72">
        <v>128</v>
      </c>
    </row>
    <row r="73" spans="1:4" x14ac:dyDescent="0.3">
      <c r="A73">
        <v>4240</v>
      </c>
      <c r="B73" t="s">
        <v>379</v>
      </c>
      <c r="C73">
        <v>20808</v>
      </c>
      <c r="D73">
        <v>5124</v>
      </c>
    </row>
    <row r="74" spans="1:4" x14ac:dyDescent="0.3">
      <c r="A74">
        <v>4241</v>
      </c>
      <c r="B74" t="s">
        <v>321</v>
      </c>
      <c r="C74">
        <v>30985</v>
      </c>
      <c r="D74">
        <v>10754</v>
      </c>
    </row>
    <row r="75" spans="1:4" x14ac:dyDescent="0.3">
      <c r="A75">
        <v>4242</v>
      </c>
      <c r="B75" t="s">
        <v>101</v>
      </c>
      <c r="C75">
        <v>43118</v>
      </c>
      <c r="D75">
        <v>11224</v>
      </c>
    </row>
    <row r="76" spans="1:4" x14ac:dyDescent="0.3">
      <c r="A76">
        <v>4243</v>
      </c>
      <c r="B76" t="s">
        <v>137</v>
      </c>
      <c r="C76">
        <v>23875</v>
      </c>
      <c r="D76">
        <v>9424</v>
      </c>
    </row>
    <row r="77" spans="1:4" x14ac:dyDescent="0.3">
      <c r="A77">
        <v>4244</v>
      </c>
      <c r="B77" t="s">
        <v>96</v>
      </c>
      <c r="C77">
        <v>5303</v>
      </c>
      <c r="D77">
        <v>340</v>
      </c>
    </row>
    <row r="78" spans="1:4" x14ac:dyDescent="0.3">
      <c r="A78">
        <v>4245</v>
      </c>
      <c r="B78" t="s">
        <v>356</v>
      </c>
      <c r="C78">
        <v>5815</v>
      </c>
      <c r="D78">
        <v>22</v>
      </c>
    </row>
    <row r="79" spans="1:4" x14ac:dyDescent="0.3">
      <c r="A79">
        <v>4246</v>
      </c>
      <c r="B79" t="s">
        <v>127</v>
      </c>
      <c r="C79">
        <v>32940</v>
      </c>
      <c r="D79">
        <v>9166</v>
      </c>
    </row>
    <row r="80" spans="1:4" x14ac:dyDescent="0.3">
      <c r="A80">
        <v>4247</v>
      </c>
      <c r="B80" t="s">
        <v>171</v>
      </c>
      <c r="C80">
        <v>1439</v>
      </c>
      <c r="D80">
        <v>355</v>
      </c>
    </row>
    <row r="81" spans="1:4" x14ac:dyDescent="0.3">
      <c r="A81">
        <v>4248</v>
      </c>
      <c r="B81" t="s">
        <v>197</v>
      </c>
      <c r="C81">
        <v>10316</v>
      </c>
      <c r="D81">
        <v>1613</v>
      </c>
    </row>
    <row r="82" spans="1:4" x14ac:dyDescent="0.3">
      <c r="A82">
        <v>4249</v>
      </c>
      <c r="B82" t="s">
        <v>16</v>
      </c>
      <c r="C82">
        <v>152</v>
      </c>
      <c r="D82">
        <v>134</v>
      </c>
    </row>
    <row r="83" spans="1:4" x14ac:dyDescent="0.3">
      <c r="A83">
        <v>4250</v>
      </c>
      <c r="B83" t="s">
        <v>476</v>
      </c>
      <c r="C83">
        <v>34</v>
      </c>
      <c r="D83">
        <v>0</v>
      </c>
    </row>
    <row r="84" spans="1:4" x14ac:dyDescent="0.3">
      <c r="A84">
        <v>4251</v>
      </c>
      <c r="B84" t="s">
        <v>297</v>
      </c>
      <c r="C84">
        <v>111</v>
      </c>
      <c r="D84">
        <v>1</v>
      </c>
    </row>
    <row r="85" spans="1:4" x14ac:dyDescent="0.3">
      <c r="A85">
        <v>4252</v>
      </c>
      <c r="B85" t="s">
        <v>301</v>
      </c>
      <c r="C85">
        <v>827</v>
      </c>
      <c r="D85">
        <v>502</v>
      </c>
    </row>
    <row r="86" spans="1:4" x14ac:dyDescent="0.3">
      <c r="A86">
        <v>4253</v>
      </c>
      <c r="B86" t="s">
        <v>499</v>
      </c>
      <c r="C86">
        <v>24</v>
      </c>
      <c r="D86">
        <v>1</v>
      </c>
    </row>
    <row r="87" spans="1:4" x14ac:dyDescent="0.3">
      <c r="A87">
        <v>4254</v>
      </c>
      <c r="B87" t="s">
        <v>365</v>
      </c>
      <c r="C87">
        <v>1493</v>
      </c>
      <c r="D87">
        <v>185</v>
      </c>
    </row>
    <row r="88" spans="1:4" x14ac:dyDescent="0.3">
      <c r="A88">
        <v>4255</v>
      </c>
      <c r="B88" t="s">
        <v>318</v>
      </c>
      <c r="C88">
        <v>101</v>
      </c>
      <c r="D88">
        <v>0</v>
      </c>
    </row>
    <row r="89" spans="1:4" x14ac:dyDescent="0.3">
      <c r="A89">
        <v>4256</v>
      </c>
      <c r="B89" t="s">
        <v>337</v>
      </c>
      <c r="C89">
        <v>6535</v>
      </c>
      <c r="D89">
        <v>167</v>
      </c>
    </row>
    <row r="90" spans="1:4" x14ac:dyDescent="0.3">
      <c r="A90">
        <v>4257</v>
      </c>
      <c r="B90" t="s">
        <v>360</v>
      </c>
      <c r="C90">
        <v>935</v>
      </c>
      <c r="D90">
        <v>701</v>
      </c>
    </row>
    <row r="91" spans="1:4" x14ac:dyDescent="0.3">
      <c r="A91">
        <v>4258</v>
      </c>
      <c r="B91" t="s">
        <v>409</v>
      </c>
      <c r="C91">
        <v>11381</v>
      </c>
      <c r="D91">
        <v>7364</v>
      </c>
    </row>
    <row r="92" spans="1:4" x14ac:dyDescent="0.3">
      <c r="A92">
        <v>4259</v>
      </c>
      <c r="B92" t="s">
        <v>220</v>
      </c>
      <c r="C92">
        <v>6946</v>
      </c>
      <c r="D92">
        <v>46</v>
      </c>
    </row>
    <row r="93" spans="1:4" x14ac:dyDescent="0.3">
      <c r="A93">
        <v>4260</v>
      </c>
      <c r="B93" t="s">
        <v>433</v>
      </c>
      <c r="C93">
        <v>22950</v>
      </c>
      <c r="D93">
        <v>20620</v>
      </c>
    </row>
    <row r="94" spans="1:4" x14ac:dyDescent="0.3">
      <c r="A94">
        <v>4261</v>
      </c>
      <c r="B94" t="s">
        <v>445</v>
      </c>
      <c r="C94">
        <v>1188</v>
      </c>
      <c r="D94">
        <v>39</v>
      </c>
    </row>
    <row r="95" spans="1:4" x14ac:dyDescent="0.3">
      <c r="A95">
        <v>4262</v>
      </c>
      <c r="B95" t="s">
        <v>312</v>
      </c>
      <c r="C95">
        <v>2955</v>
      </c>
      <c r="D95">
        <v>71</v>
      </c>
    </row>
    <row r="96" spans="1:4" x14ac:dyDescent="0.3">
      <c r="A96">
        <v>4263</v>
      </c>
      <c r="B96" t="s">
        <v>122</v>
      </c>
      <c r="C96">
        <v>6358</v>
      </c>
      <c r="D96">
        <v>5133</v>
      </c>
    </row>
    <row r="97" spans="1:4" x14ac:dyDescent="0.3">
      <c r="A97">
        <v>4264</v>
      </c>
      <c r="B97" t="s">
        <v>414</v>
      </c>
      <c r="C97">
        <v>3041</v>
      </c>
      <c r="D97">
        <v>2534</v>
      </c>
    </row>
    <row r="98" spans="1:4" x14ac:dyDescent="0.3">
      <c r="A98">
        <v>4265</v>
      </c>
      <c r="B98" t="s">
        <v>299</v>
      </c>
      <c r="C98">
        <v>1624</v>
      </c>
      <c r="D98">
        <v>1490</v>
      </c>
    </row>
    <row r="99" spans="1:4" x14ac:dyDescent="0.3">
      <c r="A99">
        <v>4266</v>
      </c>
      <c r="B99" t="s">
        <v>260</v>
      </c>
      <c r="C99">
        <v>3371</v>
      </c>
      <c r="D99">
        <v>1629</v>
      </c>
    </row>
    <row r="100" spans="1:4" x14ac:dyDescent="0.3">
      <c r="A100">
        <v>4267</v>
      </c>
      <c r="B100" t="s">
        <v>244</v>
      </c>
      <c r="C100">
        <v>16573</v>
      </c>
      <c r="D100">
        <v>4749</v>
      </c>
    </row>
    <row r="101" spans="1:4" x14ac:dyDescent="0.3">
      <c r="A101">
        <v>4268</v>
      </c>
      <c r="B101" t="s">
        <v>65</v>
      </c>
      <c r="C101">
        <v>2436</v>
      </c>
      <c r="D101">
        <v>809</v>
      </c>
    </row>
    <row r="102" spans="1:4" x14ac:dyDescent="0.3">
      <c r="A102">
        <v>4269</v>
      </c>
      <c r="B102" t="s">
        <v>79</v>
      </c>
      <c r="C102">
        <v>4802</v>
      </c>
      <c r="D102">
        <v>1044</v>
      </c>
    </row>
    <row r="103" spans="1:4" x14ac:dyDescent="0.3">
      <c r="A103">
        <v>4270</v>
      </c>
      <c r="B103" t="s">
        <v>265</v>
      </c>
      <c r="C103">
        <v>5822</v>
      </c>
      <c r="D103">
        <v>1770</v>
      </c>
    </row>
    <row r="104" spans="1:4" x14ac:dyDescent="0.3">
      <c r="A104">
        <v>4271</v>
      </c>
      <c r="B104" t="s">
        <v>183</v>
      </c>
      <c r="C104">
        <v>12963</v>
      </c>
      <c r="D104">
        <v>10014</v>
      </c>
    </row>
    <row r="105" spans="1:4" x14ac:dyDescent="0.3">
      <c r="A105">
        <v>4272</v>
      </c>
      <c r="B105" t="s">
        <v>58</v>
      </c>
      <c r="C105">
        <v>5554</v>
      </c>
      <c r="D105">
        <v>3853</v>
      </c>
    </row>
    <row r="106" spans="1:4" x14ac:dyDescent="0.3">
      <c r="A106">
        <v>4273</v>
      </c>
      <c r="B106" t="s">
        <v>172</v>
      </c>
      <c r="C106">
        <v>4655</v>
      </c>
      <c r="D106">
        <v>2029</v>
      </c>
    </row>
    <row r="107" spans="1:4" x14ac:dyDescent="0.3">
      <c r="A107">
        <v>4274</v>
      </c>
      <c r="B107" t="s">
        <v>52</v>
      </c>
      <c r="C107">
        <v>256</v>
      </c>
      <c r="D107">
        <v>3</v>
      </c>
    </row>
    <row r="108" spans="1:4" x14ac:dyDescent="0.3">
      <c r="A108">
        <v>4275</v>
      </c>
      <c r="B108" t="s">
        <v>317</v>
      </c>
      <c r="C108">
        <v>444</v>
      </c>
      <c r="D108">
        <v>33</v>
      </c>
    </row>
    <row r="109" spans="1:4" x14ac:dyDescent="0.3">
      <c r="A109">
        <v>4276</v>
      </c>
      <c r="B109" t="s">
        <v>247</v>
      </c>
      <c r="C109">
        <v>6667</v>
      </c>
      <c r="D109">
        <v>2634</v>
      </c>
    </row>
    <row r="110" spans="1:4" x14ac:dyDescent="0.3">
      <c r="A110">
        <v>4277</v>
      </c>
      <c r="B110" t="s">
        <v>426</v>
      </c>
      <c r="C110">
        <v>1944</v>
      </c>
      <c r="D110">
        <v>899</v>
      </c>
    </row>
    <row r="111" spans="1:4" x14ac:dyDescent="0.3">
      <c r="A111">
        <v>4278</v>
      </c>
      <c r="B111" t="s">
        <v>264</v>
      </c>
      <c r="C111">
        <v>5544</v>
      </c>
      <c r="D111">
        <v>3891</v>
      </c>
    </row>
    <row r="112" spans="1:4" x14ac:dyDescent="0.3">
      <c r="A112">
        <v>4279</v>
      </c>
      <c r="B112" t="s">
        <v>361</v>
      </c>
      <c r="C112">
        <v>9191</v>
      </c>
      <c r="D112">
        <v>713</v>
      </c>
    </row>
    <row r="113" spans="1:4" x14ac:dyDescent="0.3">
      <c r="A113">
        <v>4280</v>
      </c>
      <c r="B113" t="s">
        <v>22</v>
      </c>
      <c r="C113">
        <v>12974</v>
      </c>
      <c r="D113">
        <v>254</v>
      </c>
    </row>
    <row r="114" spans="1:4" x14ac:dyDescent="0.3">
      <c r="A114">
        <v>4281</v>
      </c>
      <c r="B114" t="s">
        <v>262</v>
      </c>
      <c r="C114">
        <v>11282</v>
      </c>
      <c r="D114">
        <v>3870</v>
      </c>
    </row>
    <row r="115" spans="1:4" x14ac:dyDescent="0.3">
      <c r="A115">
        <v>4282</v>
      </c>
      <c r="B115" t="s">
        <v>91</v>
      </c>
      <c r="C115">
        <v>17780</v>
      </c>
      <c r="D115">
        <v>17780</v>
      </c>
    </row>
    <row r="116" spans="1:4" x14ac:dyDescent="0.3">
      <c r="A116">
        <v>4283</v>
      </c>
      <c r="B116" t="s">
        <v>334</v>
      </c>
      <c r="C116">
        <v>10023</v>
      </c>
      <c r="D116">
        <v>8337</v>
      </c>
    </row>
    <row r="117" spans="1:4" x14ac:dyDescent="0.3">
      <c r="A117">
        <v>4284</v>
      </c>
      <c r="B117" t="s">
        <v>80</v>
      </c>
      <c r="C117">
        <v>3839</v>
      </c>
      <c r="D117">
        <v>372</v>
      </c>
    </row>
    <row r="118" spans="1:4" x14ac:dyDescent="0.3">
      <c r="A118">
        <v>4285</v>
      </c>
      <c r="B118" t="s">
        <v>184</v>
      </c>
      <c r="C118">
        <v>14684</v>
      </c>
      <c r="D118">
        <v>236</v>
      </c>
    </row>
    <row r="119" spans="1:4" x14ac:dyDescent="0.3">
      <c r="A119">
        <v>4286</v>
      </c>
      <c r="B119" t="s">
        <v>339</v>
      </c>
      <c r="C119">
        <v>25497</v>
      </c>
      <c r="D119">
        <v>15323</v>
      </c>
    </row>
    <row r="120" spans="1:4" x14ac:dyDescent="0.3">
      <c r="A120">
        <v>4287</v>
      </c>
      <c r="B120" t="s">
        <v>410</v>
      </c>
      <c r="C120">
        <v>12931</v>
      </c>
      <c r="D120">
        <v>160</v>
      </c>
    </row>
    <row r="121" spans="1:4" x14ac:dyDescent="0.3">
      <c r="A121">
        <v>4288</v>
      </c>
      <c r="B121" t="s">
        <v>415</v>
      </c>
      <c r="C121">
        <v>10295</v>
      </c>
      <c r="D121">
        <v>6964</v>
      </c>
    </row>
    <row r="122" spans="1:4" x14ac:dyDescent="0.3">
      <c r="A122">
        <v>4289</v>
      </c>
      <c r="B122" t="s">
        <v>15</v>
      </c>
      <c r="C122">
        <v>7378</v>
      </c>
      <c r="D122">
        <v>61</v>
      </c>
    </row>
    <row r="123" spans="1:4" x14ac:dyDescent="0.3">
      <c r="A123">
        <v>4294</v>
      </c>
      <c r="B123" t="s">
        <v>64</v>
      </c>
      <c r="C123">
        <v>626</v>
      </c>
      <c r="D123">
        <v>2</v>
      </c>
    </row>
    <row r="124" spans="1:4" x14ac:dyDescent="0.3">
      <c r="A124">
        <v>4296</v>
      </c>
      <c r="B124" t="s">
        <v>722</v>
      </c>
      <c r="C124">
        <v>56</v>
      </c>
      <c r="D124">
        <v>56</v>
      </c>
    </row>
    <row r="125" spans="1:4" x14ac:dyDescent="0.3">
      <c r="A125">
        <v>4297</v>
      </c>
      <c r="B125" t="s">
        <v>795</v>
      </c>
      <c r="C125">
        <v>117</v>
      </c>
      <c r="D125">
        <v>0</v>
      </c>
    </row>
    <row r="126" spans="1:4" x14ac:dyDescent="0.3">
      <c r="A126">
        <v>4300</v>
      </c>
      <c r="B126" t="s">
        <v>723</v>
      </c>
      <c r="C126">
        <v>126</v>
      </c>
      <c r="D126">
        <v>54</v>
      </c>
    </row>
    <row r="127" spans="1:4" x14ac:dyDescent="0.3">
      <c r="A127">
        <v>4301</v>
      </c>
      <c r="B127" t="s">
        <v>1270</v>
      </c>
      <c r="C127">
        <v>600</v>
      </c>
      <c r="D127">
        <v>83</v>
      </c>
    </row>
    <row r="128" spans="1:4" x14ac:dyDescent="0.3">
      <c r="A128">
        <v>4303</v>
      </c>
      <c r="B128" t="s">
        <v>724</v>
      </c>
      <c r="C128">
        <v>381</v>
      </c>
      <c r="D128">
        <v>295</v>
      </c>
    </row>
    <row r="129" spans="1:4" x14ac:dyDescent="0.3">
      <c r="A129">
        <v>4305</v>
      </c>
      <c r="B129" t="s">
        <v>77</v>
      </c>
      <c r="C129">
        <v>236</v>
      </c>
      <c r="D129">
        <v>123</v>
      </c>
    </row>
    <row r="130" spans="1:4" x14ac:dyDescent="0.3">
      <c r="A130">
        <v>4306</v>
      </c>
      <c r="B130" t="s">
        <v>751</v>
      </c>
      <c r="C130">
        <v>788</v>
      </c>
      <c r="D130">
        <v>1</v>
      </c>
    </row>
    <row r="131" spans="1:4" x14ac:dyDescent="0.3">
      <c r="A131">
        <v>4309</v>
      </c>
      <c r="B131" t="s">
        <v>521</v>
      </c>
      <c r="C131">
        <v>322</v>
      </c>
      <c r="D131">
        <v>0</v>
      </c>
    </row>
    <row r="132" spans="1:4" x14ac:dyDescent="0.3">
      <c r="A132">
        <v>4310</v>
      </c>
      <c r="B132" t="s">
        <v>725</v>
      </c>
      <c r="C132">
        <v>297</v>
      </c>
      <c r="D132">
        <v>196</v>
      </c>
    </row>
    <row r="133" spans="1:4" x14ac:dyDescent="0.3">
      <c r="A133">
        <v>4313</v>
      </c>
      <c r="B133" t="s">
        <v>726</v>
      </c>
      <c r="C133">
        <v>92</v>
      </c>
      <c r="D133">
        <v>92</v>
      </c>
    </row>
    <row r="134" spans="1:4" x14ac:dyDescent="0.3">
      <c r="A134">
        <v>4314</v>
      </c>
      <c r="B134" t="s">
        <v>1415</v>
      </c>
      <c r="C134">
        <v>12</v>
      </c>
      <c r="D134">
        <v>8</v>
      </c>
    </row>
    <row r="135" spans="1:4" x14ac:dyDescent="0.3">
      <c r="A135">
        <v>4316</v>
      </c>
      <c r="B135" t="s">
        <v>495</v>
      </c>
      <c r="C135">
        <v>169</v>
      </c>
      <c r="D135">
        <v>0</v>
      </c>
    </row>
    <row r="136" spans="1:4" x14ac:dyDescent="0.3">
      <c r="A136">
        <v>4320</v>
      </c>
      <c r="B136" t="s">
        <v>369</v>
      </c>
      <c r="C136">
        <v>214</v>
      </c>
      <c r="D136">
        <v>98</v>
      </c>
    </row>
    <row r="137" spans="1:4" x14ac:dyDescent="0.3">
      <c r="A137">
        <v>4323</v>
      </c>
      <c r="B137" t="s">
        <v>1387</v>
      </c>
      <c r="C137">
        <v>840</v>
      </c>
      <c r="D137">
        <v>39</v>
      </c>
    </row>
    <row r="138" spans="1:4" x14ac:dyDescent="0.3">
      <c r="A138">
        <v>4324</v>
      </c>
      <c r="B138" t="s">
        <v>517</v>
      </c>
      <c r="C138">
        <v>48</v>
      </c>
      <c r="D138">
        <v>0</v>
      </c>
    </row>
    <row r="139" spans="1:4" x14ac:dyDescent="0.3">
      <c r="A139">
        <v>4325</v>
      </c>
      <c r="B139" t="s">
        <v>13</v>
      </c>
      <c r="C139">
        <v>398</v>
      </c>
      <c r="D139">
        <v>161</v>
      </c>
    </row>
    <row r="140" spans="1:4" x14ac:dyDescent="0.3">
      <c r="A140">
        <v>4329</v>
      </c>
      <c r="B140" t="s">
        <v>151</v>
      </c>
      <c r="C140">
        <v>517</v>
      </c>
      <c r="D140">
        <v>219</v>
      </c>
    </row>
    <row r="141" spans="1:4" x14ac:dyDescent="0.3">
      <c r="A141">
        <v>4331</v>
      </c>
      <c r="B141" t="s">
        <v>683</v>
      </c>
      <c r="C141">
        <v>364</v>
      </c>
      <c r="D141">
        <v>51</v>
      </c>
    </row>
    <row r="142" spans="1:4" x14ac:dyDescent="0.3">
      <c r="A142">
        <v>4332</v>
      </c>
      <c r="B142" t="s">
        <v>733</v>
      </c>
      <c r="C142">
        <v>77</v>
      </c>
      <c r="D142">
        <v>61</v>
      </c>
    </row>
    <row r="143" spans="1:4" x14ac:dyDescent="0.3">
      <c r="A143">
        <v>4334</v>
      </c>
      <c r="B143" t="s">
        <v>734</v>
      </c>
      <c r="C143">
        <v>205</v>
      </c>
      <c r="D143">
        <v>8</v>
      </c>
    </row>
    <row r="144" spans="1:4" x14ac:dyDescent="0.3">
      <c r="A144">
        <v>4335</v>
      </c>
      <c r="B144" t="s">
        <v>159</v>
      </c>
      <c r="C144">
        <v>325</v>
      </c>
      <c r="D144">
        <v>316</v>
      </c>
    </row>
    <row r="145" spans="1:4" x14ac:dyDescent="0.3">
      <c r="A145">
        <v>4336</v>
      </c>
      <c r="B145" t="s">
        <v>735</v>
      </c>
      <c r="C145">
        <v>689</v>
      </c>
      <c r="D145">
        <v>0</v>
      </c>
    </row>
    <row r="146" spans="1:4" x14ac:dyDescent="0.3">
      <c r="A146">
        <v>4337</v>
      </c>
      <c r="B146" t="s">
        <v>736</v>
      </c>
      <c r="C146">
        <v>147</v>
      </c>
      <c r="D146">
        <v>0</v>
      </c>
    </row>
    <row r="147" spans="1:4" x14ac:dyDescent="0.3">
      <c r="A147">
        <v>4338</v>
      </c>
      <c r="B147" t="s">
        <v>737</v>
      </c>
      <c r="C147">
        <v>358</v>
      </c>
      <c r="D147">
        <v>285</v>
      </c>
    </row>
    <row r="148" spans="1:4" x14ac:dyDescent="0.3">
      <c r="A148">
        <v>4339</v>
      </c>
      <c r="B148" t="s">
        <v>461</v>
      </c>
      <c r="C148">
        <v>496</v>
      </c>
      <c r="D148">
        <v>63</v>
      </c>
    </row>
    <row r="149" spans="1:4" x14ac:dyDescent="0.3">
      <c r="A149">
        <v>4340</v>
      </c>
      <c r="B149" t="s">
        <v>738</v>
      </c>
      <c r="C149">
        <v>708</v>
      </c>
      <c r="D149">
        <v>0</v>
      </c>
    </row>
    <row r="150" spans="1:4" x14ac:dyDescent="0.3">
      <c r="A150">
        <v>4341</v>
      </c>
      <c r="B150" t="s">
        <v>739</v>
      </c>
      <c r="C150">
        <v>71</v>
      </c>
      <c r="D150">
        <v>66</v>
      </c>
    </row>
    <row r="151" spans="1:4" x14ac:dyDescent="0.3">
      <c r="A151">
        <v>4342</v>
      </c>
      <c r="B151" t="s">
        <v>227</v>
      </c>
      <c r="C151">
        <v>344</v>
      </c>
      <c r="D151">
        <v>295</v>
      </c>
    </row>
    <row r="152" spans="1:4" x14ac:dyDescent="0.3">
      <c r="A152">
        <v>4345</v>
      </c>
      <c r="B152" t="s">
        <v>544</v>
      </c>
      <c r="C152">
        <v>841</v>
      </c>
      <c r="D152">
        <v>2</v>
      </c>
    </row>
    <row r="153" spans="1:4" x14ac:dyDescent="0.3">
      <c r="A153">
        <v>4346</v>
      </c>
      <c r="B153" t="s">
        <v>740</v>
      </c>
      <c r="C153">
        <v>36</v>
      </c>
      <c r="D153">
        <v>6</v>
      </c>
    </row>
    <row r="154" spans="1:4" x14ac:dyDescent="0.3">
      <c r="A154">
        <v>4347</v>
      </c>
      <c r="B154" t="s">
        <v>741</v>
      </c>
      <c r="C154">
        <v>370</v>
      </c>
      <c r="D154">
        <v>0</v>
      </c>
    </row>
    <row r="155" spans="1:4" x14ac:dyDescent="0.3">
      <c r="A155">
        <v>4348</v>
      </c>
      <c r="B155" t="s">
        <v>742</v>
      </c>
      <c r="C155">
        <v>5964</v>
      </c>
      <c r="D155">
        <v>1923</v>
      </c>
    </row>
    <row r="156" spans="1:4" x14ac:dyDescent="0.3">
      <c r="A156">
        <v>4352</v>
      </c>
      <c r="B156" t="s">
        <v>747</v>
      </c>
      <c r="C156">
        <v>45</v>
      </c>
      <c r="D156">
        <v>33</v>
      </c>
    </row>
    <row r="157" spans="1:4" x14ac:dyDescent="0.3">
      <c r="A157">
        <v>4355</v>
      </c>
      <c r="B157" t="s">
        <v>540</v>
      </c>
      <c r="C157">
        <v>3070</v>
      </c>
      <c r="D157">
        <v>0</v>
      </c>
    </row>
    <row r="158" spans="1:4" x14ac:dyDescent="0.3">
      <c r="A158">
        <v>4356</v>
      </c>
      <c r="B158" t="s">
        <v>520</v>
      </c>
      <c r="C158">
        <v>83</v>
      </c>
      <c r="D158">
        <v>0</v>
      </c>
    </row>
    <row r="159" spans="1:4" x14ac:dyDescent="0.3">
      <c r="A159">
        <v>4358</v>
      </c>
      <c r="B159" t="s">
        <v>752</v>
      </c>
      <c r="C159">
        <v>30</v>
      </c>
      <c r="D159">
        <v>30</v>
      </c>
    </row>
    <row r="160" spans="1:4" x14ac:dyDescent="0.3">
      <c r="A160">
        <v>4359</v>
      </c>
      <c r="B160" t="s">
        <v>753</v>
      </c>
      <c r="C160">
        <v>292</v>
      </c>
      <c r="D160">
        <v>114</v>
      </c>
    </row>
    <row r="161" spans="1:4" x14ac:dyDescent="0.3">
      <c r="A161">
        <v>4360</v>
      </c>
      <c r="B161" t="s">
        <v>240</v>
      </c>
      <c r="C161">
        <v>138</v>
      </c>
      <c r="D161">
        <v>23</v>
      </c>
    </row>
    <row r="162" spans="1:4" x14ac:dyDescent="0.3">
      <c r="A162">
        <v>4361</v>
      </c>
      <c r="B162" t="s">
        <v>470</v>
      </c>
      <c r="C162">
        <v>437</v>
      </c>
      <c r="D162">
        <v>2</v>
      </c>
    </row>
    <row r="163" spans="1:4" x14ac:dyDescent="0.3">
      <c r="A163">
        <v>4362</v>
      </c>
      <c r="B163" t="s">
        <v>754</v>
      </c>
      <c r="C163">
        <v>261</v>
      </c>
      <c r="D163">
        <v>0</v>
      </c>
    </row>
    <row r="164" spans="1:4" x14ac:dyDescent="0.3">
      <c r="A164">
        <v>4363</v>
      </c>
      <c r="B164" t="s">
        <v>498</v>
      </c>
      <c r="C164">
        <v>443</v>
      </c>
      <c r="D164">
        <v>85</v>
      </c>
    </row>
    <row r="165" spans="1:4" x14ac:dyDescent="0.3">
      <c r="A165">
        <v>4366</v>
      </c>
      <c r="B165" t="s">
        <v>302</v>
      </c>
      <c r="C165">
        <v>165</v>
      </c>
      <c r="D165">
        <v>8</v>
      </c>
    </row>
    <row r="166" spans="1:4" x14ac:dyDescent="0.3">
      <c r="A166">
        <v>4368</v>
      </c>
      <c r="B166" t="s">
        <v>246</v>
      </c>
      <c r="C166">
        <v>5284</v>
      </c>
      <c r="D166">
        <v>31</v>
      </c>
    </row>
    <row r="167" spans="1:4" x14ac:dyDescent="0.3">
      <c r="A167">
        <v>4369</v>
      </c>
      <c r="B167" t="s">
        <v>331</v>
      </c>
      <c r="C167">
        <v>195</v>
      </c>
      <c r="D167">
        <v>195</v>
      </c>
    </row>
    <row r="168" spans="1:4" x14ac:dyDescent="0.3">
      <c r="A168">
        <v>4370</v>
      </c>
      <c r="B168" t="s">
        <v>110</v>
      </c>
      <c r="C168">
        <v>470</v>
      </c>
      <c r="D168">
        <v>374</v>
      </c>
    </row>
    <row r="169" spans="1:4" x14ac:dyDescent="0.3">
      <c r="A169">
        <v>4371</v>
      </c>
      <c r="B169" t="s">
        <v>191</v>
      </c>
      <c r="C169">
        <v>41</v>
      </c>
      <c r="D169">
        <v>41</v>
      </c>
    </row>
    <row r="170" spans="1:4" x14ac:dyDescent="0.3">
      <c r="A170">
        <v>4373</v>
      </c>
      <c r="B170" t="s">
        <v>800</v>
      </c>
      <c r="C170">
        <v>18</v>
      </c>
      <c r="D170">
        <v>1</v>
      </c>
    </row>
    <row r="171" spans="1:4" x14ac:dyDescent="0.3">
      <c r="A171">
        <v>4374</v>
      </c>
      <c r="B171" t="s">
        <v>263</v>
      </c>
      <c r="C171">
        <v>360</v>
      </c>
      <c r="D171">
        <v>249</v>
      </c>
    </row>
    <row r="172" spans="1:4" x14ac:dyDescent="0.3">
      <c r="A172">
        <v>4376</v>
      </c>
      <c r="B172" t="s">
        <v>419</v>
      </c>
      <c r="C172">
        <v>95</v>
      </c>
      <c r="D172">
        <v>53</v>
      </c>
    </row>
    <row r="173" spans="1:4" x14ac:dyDescent="0.3">
      <c r="A173">
        <v>4377</v>
      </c>
      <c r="B173" t="s">
        <v>451</v>
      </c>
      <c r="C173">
        <v>36</v>
      </c>
      <c r="D173">
        <v>0</v>
      </c>
    </row>
    <row r="174" spans="1:4" x14ac:dyDescent="0.3">
      <c r="A174">
        <v>4378</v>
      </c>
      <c r="B174" t="s">
        <v>81</v>
      </c>
      <c r="C174">
        <v>2756</v>
      </c>
      <c r="D174">
        <v>36</v>
      </c>
    </row>
    <row r="175" spans="1:4" x14ac:dyDescent="0.3">
      <c r="A175">
        <v>4379</v>
      </c>
      <c r="B175" t="s">
        <v>291</v>
      </c>
      <c r="C175">
        <v>1119</v>
      </c>
      <c r="D175">
        <v>16</v>
      </c>
    </row>
    <row r="176" spans="1:4" x14ac:dyDescent="0.3">
      <c r="A176">
        <v>4380</v>
      </c>
      <c r="B176" t="s">
        <v>464</v>
      </c>
      <c r="C176">
        <v>104</v>
      </c>
      <c r="D176">
        <v>55</v>
      </c>
    </row>
    <row r="177" spans="1:4" x14ac:dyDescent="0.3">
      <c r="A177">
        <v>4381</v>
      </c>
      <c r="B177" t="s">
        <v>111</v>
      </c>
      <c r="C177">
        <v>1747</v>
      </c>
      <c r="D177">
        <v>1089</v>
      </c>
    </row>
    <row r="178" spans="1:4" x14ac:dyDescent="0.3">
      <c r="A178">
        <v>4383</v>
      </c>
      <c r="B178" t="s">
        <v>241</v>
      </c>
      <c r="C178">
        <v>1333</v>
      </c>
      <c r="D178">
        <v>352</v>
      </c>
    </row>
    <row r="179" spans="1:4" x14ac:dyDescent="0.3">
      <c r="A179">
        <v>4385</v>
      </c>
      <c r="B179" t="s">
        <v>450</v>
      </c>
      <c r="C179">
        <v>419</v>
      </c>
      <c r="D179">
        <v>238</v>
      </c>
    </row>
    <row r="180" spans="1:4" x14ac:dyDescent="0.3">
      <c r="A180">
        <v>4386</v>
      </c>
      <c r="B180" t="s">
        <v>496</v>
      </c>
      <c r="C180">
        <v>18</v>
      </c>
      <c r="D180">
        <v>0</v>
      </c>
    </row>
    <row r="181" spans="1:4" x14ac:dyDescent="0.3">
      <c r="A181">
        <v>4387</v>
      </c>
      <c r="B181" t="s">
        <v>447</v>
      </c>
      <c r="C181">
        <v>2039</v>
      </c>
      <c r="D181">
        <v>5</v>
      </c>
    </row>
    <row r="182" spans="1:4" x14ac:dyDescent="0.3">
      <c r="A182">
        <v>4388</v>
      </c>
      <c r="B182" t="s">
        <v>223</v>
      </c>
      <c r="C182">
        <v>372</v>
      </c>
      <c r="D182">
        <v>158</v>
      </c>
    </row>
    <row r="183" spans="1:4" x14ac:dyDescent="0.3">
      <c r="A183">
        <v>4389</v>
      </c>
      <c r="B183" t="s">
        <v>199</v>
      </c>
      <c r="C183">
        <v>1911</v>
      </c>
      <c r="D183">
        <v>1909</v>
      </c>
    </row>
    <row r="184" spans="1:4" x14ac:dyDescent="0.3">
      <c r="A184">
        <v>4390</v>
      </c>
      <c r="B184" t="s">
        <v>348</v>
      </c>
      <c r="C184">
        <v>1101</v>
      </c>
      <c r="D184">
        <v>1</v>
      </c>
    </row>
    <row r="185" spans="1:4" x14ac:dyDescent="0.3">
      <c r="A185">
        <v>4391</v>
      </c>
      <c r="B185" t="s">
        <v>388</v>
      </c>
      <c r="C185">
        <v>2424</v>
      </c>
      <c r="D185">
        <v>1318</v>
      </c>
    </row>
    <row r="186" spans="1:4" x14ac:dyDescent="0.3">
      <c r="A186">
        <v>4392</v>
      </c>
      <c r="B186" t="s">
        <v>194</v>
      </c>
      <c r="C186">
        <v>456</v>
      </c>
      <c r="D186">
        <v>250</v>
      </c>
    </row>
    <row r="187" spans="1:4" x14ac:dyDescent="0.3">
      <c r="A187">
        <v>4393</v>
      </c>
      <c r="B187" t="s">
        <v>383</v>
      </c>
      <c r="C187">
        <v>2399</v>
      </c>
      <c r="D187">
        <v>1327</v>
      </c>
    </row>
    <row r="188" spans="1:4" x14ac:dyDescent="0.3">
      <c r="A188">
        <v>4394</v>
      </c>
      <c r="B188" t="s">
        <v>441</v>
      </c>
      <c r="C188">
        <v>2176</v>
      </c>
      <c r="D188">
        <v>0</v>
      </c>
    </row>
    <row r="189" spans="1:4" x14ac:dyDescent="0.3">
      <c r="A189">
        <v>4395</v>
      </c>
      <c r="B189" t="s">
        <v>97</v>
      </c>
      <c r="C189">
        <v>120</v>
      </c>
      <c r="D189">
        <v>47</v>
      </c>
    </row>
    <row r="190" spans="1:4" x14ac:dyDescent="0.3">
      <c r="A190">
        <v>4396</v>
      </c>
      <c r="B190" t="s">
        <v>1294</v>
      </c>
      <c r="C190">
        <v>1616</v>
      </c>
      <c r="D190">
        <v>1379</v>
      </c>
    </row>
    <row r="191" spans="1:4" x14ac:dyDescent="0.3">
      <c r="A191">
        <v>4397</v>
      </c>
      <c r="B191" t="s">
        <v>806</v>
      </c>
      <c r="C191">
        <v>2067</v>
      </c>
      <c r="D191">
        <v>9</v>
      </c>
    </row>
    <row r="192" spans="1:4" x14ac:dyDescent="0.3">
      <c r="A192">
        <v>4400</v>
      </c>
      <c r="B192" t="s">
        <v>808</v>
      </c>
      <c r="C192">
        <v>33</v>
      </c>
      <c r="D192">
        <v>3</v>
      </c>
    </row>
    <row r="193" spans="1:4" x14ac:dyDescent="0.3">
      <c r="A193">
        <v>4401</v>
      </c>
      <c r="B193" t="s">
        <v>486</v>
      </c>
      <c r="C193">
        <v>59</v>
      </c>
      <c r="D193">
        <v>59</v>
      </c>
    </row>
    <row r="194" spans="1:4" x14ac:dyDescent="0.3">
      <c r="A194">
        <v>4403</v>
      </c>
      <c r="B194" t="s">
        <v>424</v>
      </c>
      <c r="C194">
        <v>39714</v>
      </c>
      <c r="D194">
        <v>985</v>
      </c>
    </row>
    <row r="195" spans="1:4" x14ac:dyDescent="0.3">
      <c r="A195">
        <v>4404</v>
      </c>
      <c r="B195" t="s">
        <v>269</v>
      </c>
      <c r="C195">
        <v>10543</v>
      </c>
      <c r="D195">
        <v>5771</v>
      </c>
    </row>
    <row r="196" spans="1:4" x14ac:dyDescent="0.3">
      <c r="A196">
        <v>4405</v>
      </c>
      <c r="B196" t="s">
        <v>167</v>
      </c>
      <c r="C196">
        <v>5469</v>
      </c>
      <c r="D196">
        <v>3835</v>
      </c>
    </row>
    <row r="197" spans="1:4" x14ac:dyDescent="0.3">
      <c r="A197">
        <v>4406</v>
      </c>
      <c r="B197" t="s">
        <v>36</v>
      </c>
      <c r="C197">
        <v>13272</v>
      </c>
      <c r="D197">
        <v>22</v>
      </c>
    </row>
    <row r="198" spans="1:4" x14ac:dyDescent="0.3">
      <c r="A198">
        <v>4407</v>
      </c>
      <c r="B198" t="s">
        <v>403</v>
      </c>
      <c r="C198">
        <v>15682</v>
      </c>
      <c r="D198">
        <v>220</v>
      </c>
    </row>
    <row r="199" spans="1:4" x14ac:dyDescent="0.3">
      <c r="A199">
        <v>4408</v>
      </c>
      <c r="B199" t="s">
        <v>406</v>
      </c>
      <c r="C199">
        <v>1875</v>
      </c>
      <c r="D199">
        <v>278</v>
      </c>
    </row>
    <row r="200" spans="1:4" x14ac:dyDescent="0.3">
      <c r="A200">
        <v>4409</v>
      </c>
      <c r="B200" t="s">
        <v>18</v>
      </c>
      <c r="C200">
        <v>425</v>
      </c>
      <c r="D200">
        <v>336</v>
      </c>
    </row>
    <row r="201" spans="1:4" x14ac:dyDescent="0.3">
      <c r="A201">
        <v>4410</v>
      </c>
      <c r="B201" t="s">
        <v>95</v>
      </c>
      <c r="C201">
        <v>4303</v>
      </c>
      <c r="D201">
        <v>547</v>
      </c>
    </row>
    <row r="202" spans="1:4" x14ac:dyDescent="0.3">
      <c r="A202">
        <v>4411</v>
      </c>
      <c r="B202" t="s">
        <v>367</v>
      </c>
      <c r="C202">
        <v>6235</v>
      </c>
      <c r="D202">
        <v>211</v>
      </c>
    </row>
    <row r="203" spans="1:4" x14ac:dyDescent="0.3">
      <c r="A203">
        <v>4412</v>
      </c>
      <c r="B203" t="s">
        <v>61</v>
      </c>
      <c r="C203">
        <v>914</v>
      </c>
      <c r="D203">
        <v>92</v>
      </c>
    </row>
    <row r="204" spans="1:4" x14ac:dyDescent="0.3">
      <c r="A204">
        <v>4413</v>
      </c>
      <c r="B204" t="s">
        <v>427</v>
      </c>
      <c r="C204">
        <v>12519</v>
      </c>
      <c r="D204">
        <v>2576</v>
      </c>
    </row>
    <row r="205" spans="1:4" x14ac:dyDescent="0.3">
      <c r="A205">
        <v>4414</v>
      </c>
      <c r="B205" t="s">
        <v>371</v>
      </c>
      <c r="C205">
        <v>21</v>
      </c>
      <c r="D205">
        <v>16</v>
      </c>
    </row>
    <row r="206" spans="1:4" x14ac:dyDescent="0.3">
      <c r="A206">
        <v>4416</v>
      </c>
      <c r="B206" t="s">
        <v>114</v>
      </c>
      <c r="C206">
        <v>533</v>
      </c>
      <c r="D206">
        <v>67</v>
      </c>
    </row>
    <row r="207" spans="1:4" x14ac:dyDescent="0.3">
      <c r="A207">
        <v>4418</v>
      </c>
      <c r="B207" t="s">
        <v>24</v>
      </c>
      <c r="C207">
        <v>600</v>
      </c>
      <c r="D207">
        <v>593</v>
      </c>
    </row>
    <row r="208" spans="1:4" x14ac:dyDescent="0.3">
      <c r="A208">
        <v>4420</v>
      </c>
      <c r="B208" t="s">
        <v>1271</v>
      </c>
      <c r="C208">
        <v>65</v>
      </c>
      <c r="D208">
        <v>56</v>
      </c>
    </row>
    <row r="209" spans="1:4" x14ac:dyDescent="0.3">
      <c r="A209">
        <v>4421</v>
      </c>
      <c r="B209" t="s">
        <v>819</v>
      </c>
      <c r="C209">
        <v>169</v>
      </c>
      <c r="D209">
        <v>113</v>
      </c>
    </row>
    <row r="210" spans="1:4" x14ac:dyDescent="0.3">
      <c r="A210">
        <v>4422</v>
      </c>
      <c r="B210" t="s">
        <v>425</v>
      </c>
      <c r="C210">
        <v>141</v>
      </c>
      <c r="D210">
        <v>86</v>
      </c>
    </row>
    <row r="211" spans="1:4" x14ac:dyDescent="0.3">
      <c r="A211">
        <v>4425</v>
      </c>
      <c r="B211" t="s">
        <v>354</v>
      </c>
      <c r="C211">
        <v>421</v>
      </c>
      <c r="D211">
        <v>295</v>
      </c>
    </row>
    <row r="212" spans="1:4" x14ac:dyDescent="0.3">
      <c r="A212">
        <v>4426</v>
      </c>
      <c r="B212" t="s">
        <v>515</v>
      </c>
      <c r="C212">
        <v>218</v>
      </c>
      <c r="D212">
        <v>0</v>
      </c>
    </row>
    <row r="213" spans="1:4" x14ac:dyDescent="0.3">
      <c r="A213">
        <v>4428</v>
      </c>
      <c r="B213" t="s">
        <v>822</v>
      </c>
      <c r="C213">
        <v>90</v>
      </c>
      <c r="D213">
        <v>18</v>
      </c>
    </row>
    <row r="214" spans="1:4" x14ac:dyDescent="0.3">
      <c r="A214">
        <v>4430</v>
      </c>
      <c r="B214" t="s">
        <v>823</v>
      </c>
      <c r="C214">
        <v>32</v>
      </c>
      <c r="D214">
        <v>9</v>
      </c>
    </row>
    <row r="215" spans="1:4" x14ac:dyDescent="0.3">
      <c r="A215">
        <v>4431</v>
      </c>
      <c r="B215" t="s">
        <v>836</v>
      </c>
      <c r="C215">
        <v>468</v>
      </c>
      <c r="D215">
        <v>421</v>
      </c>
    </row>
    <row r="216" spans="1:4" x14ac:dyDescent="0.3">
      <c r="A216">
        <v>4435</v>
      </c>
      <c r="B216" t="s">
        <v>274</v>
      </c>
      <c r="C216">
        <v>176</v>
      </c>
      <c r="D216">
        <v>2</v>
      </c>
    </row>
    <row r="217" spans="1:4" x14ac:dyDescent="0.3">
      <c r="A217">
        <v>4437</v>
      </c>
      <c r="B217" t="s">
        <v>166</v>
      </c>
      <c r="C217">
        <v>8850</v>
      </c>
      <c r="D217">
        <v>5085</v>
      </c>
    </row>
    <row r="218" spans="1:4" x14ac:dyDescent="0.3">
      <c r="A218">
        <v>4438</v>
      </c>
      <c r="B218" t="s">
        <v>357</v>
      </c>
      <c r="C218">
        <v>416</v>
      </c>
      <c r="D218">
        <v>253</v>
      </c>
    </row>
    <row r="219" spans="1:4" x14ac:dyDescent="0.3">
      <c r="A219">
        <v>4439</v>
      </c>
      <c r="B219" t="s">
        <v>268</v>
      </c>
      <c r="C219">
        <v>722</v>
      </c>
      <c r="D219">
        <v>563</v>
      </c>
    </row>
    <row r="220" spans="1:4" x14ac:dyDescent="0.3">
      <c r="A220">
        <v>4440</v>
      </c>
      <c r="B220" t="s">
        <v>404</v>
      </c>
      <c r="C220">
        <v>350</v>
      </c>
      <c r="D220">
        <v>166</v>
      </c>
    </row>
    <row r="221" spans="1:4" x14ac:dyDescent="0.3">
      <c r="A221">
        <v>4441</v>
      </c>
      <c r="B221" t="s">
        <v>273</v>
      </c>
      <c r="C221">
        <v>6349</v>
      </c>
      <c r="D221">
        <v>3232</v>
      </c>
    </row>
    <row r="222" spans="1:4" x14ac:dyDescent="0.3">
      <c r="A222">
        <v>4442</v>
      </c>
      <c r="B222" t="s">
        <v>115</v>
      </c>
      <c r="C222">
        <v>1964</v>
      </c>
      <c r="D222">
        <v>1542</v>
      </c>
    </row>
    <row r="223" spans="1:4" x14ac:dyDescent="0.3">
      <c r="A223">
        <v>4443</v>
      </c>
      <c r="B223" t="s">
        <v>39</v>
      </c>
      <c r="C223">
        <v>3112</v>
      </c>
      <c r="D223">
        <v>2067</v>
      </c>
    </row>
    <row r="224" spans="1:4" x14ac:dyDescent="0.3">
      <c r="A224">
        <v>4444</v>
      </c>
      <c r="B224" t="s">
        <v>311</v>
      </c>
      <c r="C224">
        <v>383</v>
      </c>
      <c r="D224">
        <v>0</v>
      </c>
    </row>
    <row r="225" spans="1:4" x14ac:dyDescent="0.3">
      <c r="A225">
        <v>4445</v>
      </c>
      <c r="B225" t="s">
        <v>221</v>
      </c>
      <c r="C225">
        <v>4304</v>
      </c>
      <c r="D225">
        <v>2032</v>
      </c>
    </row>
    <row r="226" spans="1:4" x14ac:dyDescent="0.3">
      <c r="A226">
        <v>4446</v>
      </c>
      <c r="B226" t="s">
        <v>93</v>
      </c>
      <c r="C226">
        <v>6780</v>
      </c>
      <c r="D226">
        <v>80</v>
      </c>
    </row>
    <row r="227" spans="1:4" x14ac:dyDescent="0.3">
      <c r="A227">
        <v>4447</v>
      </c>
      <c r="B227" t="s">
        <v>482</v>
      </c>
      <c r="C227">
        <v>338</v>
      </c>
      <c r="D227">
        <v>1</v>
      </c>
    </row>
    <row r="228" spans="1:4" x14ac:dyDescent="0.3">
      <c r="A228">
        <v>4448</v>
      </c>
      <c r="B228" t="s">
        <v>156</v>
      </c>
      <c r="C228">
        <v>864</v>
      </c>
      <c r="D228">
        <v>473</v>
      </c>
    </row>
    <row r="229" spans="1:4" x14ac:dyDescent="0.3">
      <c r="A229">
        <v>4449</v>
      </c>
      <c r="B229" t="s">
        <v>364</v>
      </c>
      <c r="C229">
        <v>541</v>
      </c>
      <c r="D229">
        <v>279</v>
      </c>
    </row>
    <row r="230" spans="1:4" x14ac:dyDescent="0.3">
      <c r="A230">
        <v>4450</v>
      </c>
      <c r="B230" t="s">
        <v>849</v>
      </c>
      <c r="C230">
        <v>1008</v>
      </c>
      <c r="D230">
        <v>674</v>
      </c>
    </row>
    <row r="231" spans="1:4" x14ac:dyDescent="0.3">
      <c r="A231">
        <v>4451</v>
      </c>
      <c r="B231" t="s">
        <v>399</v>
      </c>
      <c r="C231">
        <v>495</v>
      </c>
      <c r="D231">
        <v>44</v>
      </c>
    </row>
    <row r="232" spans="1:4" x14ac:dyDescent="0.3">
      <c r="A232">
        <v>4452</v>
      </c>
      <c r="B232" t="s">
        <v>340</v>
      </c>
      <c r="C232">
        <v>187</v>
      </c>
      <c r="D232">
        <v>0</v>
      </c>
    </row>
    <row r="233" spans="1:4" x14ac:dyDescent="0.3">
      <c r="A233">
        <v>4453</v>
      </c>
      <c r="B233" t="s">
        <v>94</v>
      </c>
      <c r="C233">
        <v>3282</v>
      </c>
      <c r="D233">
        <v>2010</v>
      </c>
    </row>
    <row r="234" spans="1:4" x14ac:dyDescent="0.3">
      <c r="A234">
        <v>4454</v>
      </c>
      <c r="B234" t="s">
        <v>377</v>
      </c>
      <c r="C234">
        <v>414</v>
      </c>
      <c r="D234">
        <v>191</v>
      </c>
    </row>
    <row r="235" spans="1:4" x14ac:dyDescent="0.3">
      <c r="A235">
        <v>4457</v>
      </c>
      <c r="B235" t="s">
        <v>306</v>
      </c>
      <c r="C235">
        <v>5663</v>
      </c>
      <c r="D235">
        <v>53</v>
      </c>
    </row>
    <row r="236" spans="1:4" x14ac:dyDescent="0.3">
      <c r="A236">
        <v>4458</v>
      </c>
      <c r="B236" t="s">
        <v>376</v>
      </c>
      <c r="C236">
        <v>2646</v>
      </c>
      <c r="D236">
        <v>1353</v>
      </c>
    </row>
    <row r="237" spans="1:4" x14ac:dyDescent="0.3">
      <c r="A237">
        <v>4459</v>
      </c>
      <c r="B237" t="s">
        <v>375</v>
      </c>
      <c r="C237">
        <v>225</v>
      </c>
      <c r="D237">
        <v>0</v>
      </c>
    </row>
    <row r="238" spans="1:4" x14ac:dyDescent="0.3">
      <c r="A238">
        <v>4460</v>
      </c>
      <c r="B238" t="s">
        <v>327</v>
      </c>
      <c r="C238">
        <v>77</v>
      </c>
      <c r="D238">
        <v>0</v>
      </c>
    </row>
    <row r="239" spans="1:4" x14ac:dyDescent="0.3">
      <c r="A239">
        <v>4461</v>
      </c>
      <c r="B239" t="s">
        <v>391</v>
      </c>
      <c r="C239">
        <v>110</v>
      </c>
      <c r="D239">
        <v>32</v>
      </c>
    </row>
    <row r="240" spans="1:4" x14ac:dyDescent="0.3">
      <c r="A240">
        <v>4462</v>
      </c>
      <c r="B240" t="s">
        <v>328</v>
      </c>
      <c r="C240">
        <v>72</v>
      </c>
      <c r="D240">
        <v>0</v>
      </c>
    </row>
    <row r="241" spans="1:4" x14ac:dyDescent="0.3">
      <c r="A241">
        <v>4463</v>
      </c>
      <c r="B241" t="s">
        <v>857</v>
      </c>
      <c r="C241">
        <v>277</v>
      </c>
      <c r="D241">
        <v>175</v>
      </c>
    </row>
    <row r="242" spans="1:4" x14ac:dyDescent="0.3">
      <c r="A242">
        <v>4466</v>
      </c>
      <c r="B242" t="s">
        <v>352</v>
      </c>
      <c r="C242">
        <v>3788</v>
      </c>
      <c r="D242">
        <v>1546</v>
      </c>
    </row>
    <row r="243" spans="1:4" x14ac:dyDescent="0.3">
      <c r="A243">
        <v>4467</v>
      </c>
      <c r="B243" t="s">
        <v>381</v>
      </c>
      <c r="C243">
        <v>1037</v>
      </c>
      <c r="D243">
        <v>557</v>
      </c>
    </row>
    <row r="244" spans="1:4" x14ac:dyDescent="0.3">
      <c r="A244">
        <v>4468</v>
      </c>
      <c r="B244" t="s">
        <v>62</v>
      </c>
      <c r="C244">
        <v>379</v>
      </c>
      <c r="D244">
        <v>122</v>
      </c>
    </row>
    <row r="245" spans="1:4" x14ac:dyDescent="0.3">
      <c r="A245">
        <v>4469</v>
      </c>
      <c r="B245" t="s">
        <v>200</v>
      </c>
      <c r="C245">
        <v>5492</v>
      </c>
      <c r="D245">
        <v>2949</v>
      </c>
    </row>
    <row r="246" spans="1:4" x14ac:dyDescent="0.3">
      <c r="A246">
        <v>4470</v>
      </c>
      <c r="B246" t="s">
        <v>86</v>
      </c>
      <c r="C246">
        <v>1542</v>
      </c>
      <c r="D246">
        <v>1080</v>
      </c>
    </row>
    <row r="247" spans="1:4" x14ac:dyDescent="0.3">
      <c r="A247">
        <v>4471</v>
      </c>
      <c r="B247" t="s">
        <v>55</v>
      </c>
      <c r="C247">
        <v>232</v>
      </c>
      <c r="D247">
        <v>232</v>
      </c>
    </row>
    <row r="248" spans="1:4" x14ac:dyDescent="0.3">
      <c r="A248">
        <v>4472</v>
      </c>
      <c r="B248" t="s">
        <v>382</v>
      </c>
      <c r="C248">
        <v>120</v>
      </c>
      <c r="D248">
        <v>70</v>
      </c>
    </row>
    <row r="249" spans="1:4" x14ac:dyDescent="0.3">
      <c r="A249">
        <v>4473</v>
      </c>
      <c r="B249" t="s">
        <v>278</v>
      </c>
      <c r="C249">
        <v>490</v>
      </c>
      <c r="D249">
        <v>424</v>
      </c>
    </row>
    <row r="250" spans="1:4" x14ac:dyDescent="0.3">
      <c r="A250">
        <v>4474</v>
      </c>
      <c r="B250" t="s">
        <v>104</v>
      </c>
      <c r="C250">
        <v>2155</v>
      </c>
      <c r="D250">
        <v>1200</v>
      </c>
    </row>
    <row r="251" spans="1:4" x14ac:dyDescent="0.3">
      <c r="A251">
        <v>4478</v>
      </c>
      <c r="B251" t="s">
        <v>475</v>
      </c>
      <c r="C251">
        <v>14</v>
      </c>
      <c r="D251">
        <v>0</v>
      </c>
    </row>
    <row r="252" spans="1:4" x14ac:dyDescent="0.3">
      <c r="A252">
        <v>4479</v>
      </c>
      <c r="B252" t="s">
        <v>113</v>
      </c>
      <c r="C252">
        <v>97</v>
      </c>
      <c r="D252">
        <v>0</v>
      </c>
    </row>
    <row r="253" spans="1:4" x14ac:dyDescent="0.3">
      <c r="A253">
        <v>4480</v>
      </c>
      <c r="B253" t="s">
        <v>243</v>
      </c>
      <c r="C253">
        <v>75</v>
      </c>
      <c r="D253">
        <v>56</v>
      </c>
    </row>
    <row r="254" spans="1:4" x14ac:dyDescent="0.3">
      <c r="A254">
        <v>4481</v>
      </c>
      <c r="B254" t="s">
        <v>66</v>
      </c>
      <c r="C254">
        <v>276</v>
      </c>
      <c r="D254">
        <v>217</v>
      </c>
    </row>
    <row r="255" spans="1:4" x14ac:dyDescent="0.3">
      <c r="A255">
        <v>4482</v>
      </c>
      <c r="B255" t="s">
        <v>514</v>
      </c>
      <c r="C255">
        <v>21</v>
      </c>
      <c r="D255">
        <v>0</v>
      </c>
    </row>
    <row r="256" spans="1:4" x14ac:dyDescent="0.3">
      <c r="A256">
        <v>4483</v>
      </c>
      <c r="B256" t="s">
        <v>527</v>
      </c>
      <c r="C256">
        <v>4</v>
      </c>
      <c r="D256">
        <v>0</v>
      </c>
    </row>
    <row r="257" spans="1:4" x14ac:dyDescent="0.3">
      <c r="A257">
        <v>4484</v>
      </c>
      <c r="B257" t="s">
        <v>87</v>
      </c>
      <c r="C257">
        <v>126</v>
      </c>
      <c r="D257">
        <v>72</v>
      </c>
    </row>
    <row r="258" spans="1:4" x14ac:dyDescent="0.3">
      <c r="A258">
        <v>4485</v>
      </c>
      <c r="B258" t="s">
        <v>448</v>
      </c>
      <c r="C258">
        <v>37</v>
      </c>
      <c r="D258">
        <v>31</v>
      </c>
    </row>
    <row r="259" spans="1:4" x14ac:dyDescent="0.3">
      <c r="A259">
        <v>4486</v>
      </c>
      <c r="B259" t="s">
        <v>106</v>
      </c>
      <c r="C259">
        <v>452</v>
      </c>
      <c r="D259">
        <v>239</v>
      </c>
    </row>
    <row r="260" spans="1:4" x14ac:dyDescent="0.3">
      <c r="A260">
        <v>4487</v>
      </c>
      <c r="B260" t="s">
        <v>117</v>
      </c>
      <c r="C260">
        <v>2055</v>
      </c>
      <c r="D260">
        <v>1325</v>
      </c>
    </row>
    <row r="261" spans="1:4" x14ac:dyDescent="0.3">
      <c r="A261">
        <v>4488</v>
      </c>
      <c r="B261" t="s">
        <v>288</v>
      </c>
      <c r="C261">
        <v>1134</v>
      </c>
      <c r="D261">
        <v>614</v>
      </c>
    </row>
    <row r="262" spans="1:4" x14ac:dyDescent="0.3">
      <c r="A262">
        <v>4492</v>
      </c>
      <c r="B262" t="s">
        <v>866</v>
      </c>
      <c r="C262">
        <v>144</v>
      </c>
      <c r="D262">
        <v>72</v>
      </c>
    </row>
    <row r="263" spans="1:4" x14ac:dyDescent="0.3">
      <c r="A263">
        <v>4493</v>
      </c>
      <c r="B263" t="s">
        <v>287</v>
      </c>
      <c r="C263">
        <v>168</v>
      </c>
      <c r="D263">
        <v>93</v>
      </c>
    </row>
    <row r="264" spans="1:4" x14ac:dyDescent="0.3">
      <c r="A264">
        <v>4495</v>
      </c>
      <c r="B264" t="s">
        <v>679</v>
      </c>
      <c r="C264">
        <v>445</v>
      </c>
      <c r="D264">
        <v>239</v>
      </c>
    </row>
    <row r="265" spans="1:4" x14ac:dyDescent="0.3">
      <c r="A265">
        <v>4496</v>
      </c>
      <c r="B265" t="s">
        <v>868</v>
      </c>
      <c r="C265">
        <v>228</v>
      </c>
      <c r="D265">
        <v>65</v>
      </c>
    </row>
    <row r="266" spans="1:4" x14ac:dyDescent="0.3">
      <c r="A266">
        <v>4499</v>
      </c>
      <c r="B266" t="s">
        <v>452</v>
      </c>
      <c r="C266">
        <v>8489</v>
      </c>
      <c r="D266">
        <v>6258</v>
      </c>
    </row>
    <row r="267" spans="1:4" x14ac:dyDescent="0.3">
      <c r="A267">
        <v>4500</v>
      </c>
      <c r="B267" t="s">
        <v>390</v>
      </c>
      <c r="C267">
        <v>2923</v>
      </c>
      <c r="D267">
        <v>2</v>
      </c>
    </row>
    <row r="268" spans="1:4" x14ac:dyDescent="0.3">
      <c r="A268">
        <v>4501</v>
      </c>
      <c r="B268" t="s">
        <v>121</v>
      </c>
      <c r="C268">
        <v>6190</v>
      </c>
      <c r="D268">
        <v>5487</v>
      </c>
    </row>
    <row r="269" spans="1:4" x14ac:dyDescent="0.3">
      <c r="A269">
        <v>4502</v>
      </c>
      <c r="B269" t="s">
        <v>201</v>
      </c>
      <c r="C269">
        <v>84</v>
      </c>
      <c r="D269">
        <v>0</v>
      </c>
    </row>
    <row r="270" spans="1:4" x14ac:dyDescent="0.3">
      <c r="A270">
        <v>4503</v>
      </c>
      <c r="B270" t="s">
        <v>292</v>
      </c>
      <c r="C270">
        <v>176</v>
      </c>
      <c r="D270">
        <v>142</v>
      </c>
    </row>
    <row r="271" spans="1:4" x14ac:dyDescent="0.3">
      <c r="A271">
        <v>4504</v>
      </c>
      <c r="B271" t="s">
        <v>434</v>
      </c>
      <c r="C271">
        <v>206</v>
      </c>
      <c r="D271">
        <v>158</v>
      </c>
    </row>
    <row r="272" spans="1:4" x14ac:dyDescent="0.3">
      <c r="A272">
        <v>4505</v>
      </c>
      <c r="B272" t="s">
        <v>176</v>
      </c>
      <c r="C272">
        <v>5233</v>
      </c>
      <c r="D272">
        <v>47</v>
      </c>
    </row>
    <row r="273" spans="1:4" x14ac:dyDescent="0.3">
      <c r="A273">
        <v>4506</v>
      </c>
      <c r="B273" t="s">
        <v>37</v>
      </c>
      <c r="C273">
        <v>198</v>
      </c>
      <c r="D273">
        <v>60</v>
      </c>
    </row>
    <row r="274" spans="1:4" x14ac:dyDescent="0.3">
      <c r="A274">
        <v>4507</v>
      </c>
      <c r="B274" t="s">
        <v>453</v>
      </c>
      <c r="C274">
        <v>10399</v>
      </c>
      <c r="D274">
        <v>942</v>
      </c>
    </row>
    <row r="275" spans="1:4" x14ac:dyDescent="0.3">
      <c r="A275">
        <v>4508</v>
      </c>
      <c r="B275" t="s">
        <v>542</v>
      </c>
      <c r="C275">
        <v>73</v>
      </c>
      <c r="D275">
        <v>65</v>
      </c>
    </row>
    <row r="276" spans="1:4" x14ac:dyDescent="0.3">
      <c r="A276">
        <v>4509</v>
      </c>
      <c r="B276" t="s">
        <v>874</v>
      </c>
      <c r="C276">
        <v>40</v>
      </c>
      <c r="D276">
        <v>40</v>
      </c>
    </row>
    <row r="277" spans="1:4" x14ac:dyDescent="0.3">
      <c r="A277">
        <v>4510</v>
      </c>
      <c r="B277" t="s">
        <v>325</v>
      </c>
      <c r="C277">
        <v>1896</v>
      </c>
      <c r="D277">
        <v>1485</v>
      </c>
    </row>
    <row r="278" spans="1:4" x14ac:dyDescent="0.3">
      <c r="A278">
        <v>4511</v>
      </c>
      <c r="B278" t="s">
        <v>355</v>
      </c>
      <c r="C278">
        <v>190</v>
      </c>
      <c r="D278">
        <v>190</v>
      </c>
    </row>
    <row r="279" spans="1:4" x14ac:dyDescent="0.3">
      <c r="A279">
        <v>4512</v>
      </c>
      <c r="B279" t="s">
        <v>435</v>
      </c>
      <c r="C279">
        <v>76</v>
      </c>
      <c r="D279">
        <v>76</v>
      </c>
    </row>
    <row r="280" spans="1:4" x14ac:dyDescent="0.3">
      <c r="A280">
        <v>4513</v>
      </c>
      <c r="B280" t="s">
        <v>75</v>
      </c>
      <c r="C280">
        <v>24</v>
      </c>
      <c r="D280">
        <v>17</v>
      </c>
    </row>
    <row r="281" spans="1:4" x14ac:dyDescent="0.3">
      <c r="A281">
        <v>4514</v>
      </c>
      <c r="B281" t="s">
        <v>368</v>
      </c>
      <c r="C281">
        <v>127</v>
      </c>
      <c r="D281">
        <v>99</v>
      </c>
    </row>
    <row r="282" spans="1:4" x14ac:dyDescent="0.3">
      <c r="A282">
        <v>4515</v>
      </c>
      <c r="B282" t="s">
        <v>69</v>
      </c>
      <c r="C282">
        <v>122</v>
      </c>
      <c r="D282">
        <v>122</v>
      </c>
    </row>
    <row r="283" spans="1:4" x14ac:dyDescent="0.3">
      <c r="A283">
        <v>4516</v>
      </c>
      <c r="B283" t="s">
        <v>524</v>
      </c>
      <c r="C283">
        <v>254</v>
      </c>
      <c r="D283">
        <v>29</v>
      </c>
    </row>
    <row r="284" spans="1:4" x14ac:dyDescent="0.3">
      <c r="A284">
        <v>5174</v>
      </c>
      <c r="B284" t="s">
        <v>218</v>
      </c>
      <c r="C284">
        <v>35</v>
      </c>
      <c r="D284">
        <v>23</v>
      </c>
    </row>
    <row r="285" spans="1:4" x14ac:dyDescent="0.3">
      <c r="A285">
        <v>5180</v>
      </c>
      <c r="B285" t="s">
        <v>766</v>
      </c>
      <c r="C285">
        <v>2053</v>
      </c>
      <c r="D285">
        <v>482</v>
      </c>
    </row>
    <row r="286" spans="1:4" x14ac:dyDescent="0.3">
      <c r="A286">
        <v>5181</v>
      </c>
      <c r="B286" t="s">
        <v>764</v>
      </c>
      <c r="C286">
        <v>255</v>
      </c>
      <c r="D286">
        <v>71</v>
      </c>
    </row>
    <row r="287" spans="1:4" x14ac:dyDescent="0.3">
      <c r="A287">
        <v>5186</v>
      </c>
      <c r="B287" t="s">
        <v>105</v>
      </c>
      <c r="C287">
        <v>456</v>
      </c>
      <c r="D287">
        <v>347</v>
      </c>
    </row>
    <row r="288" spans="1:4" x14ac:dyDescent="0.3">
      <c r="A288">
        <v>5978</v>
      </c>
      <c r="B288" t="s">
        <v>854</v>
      </c>
      <c r="C288">
        <v>21</v>
      </c>
      <c r="D288">
        <v>21</v>
      </c>
    </row>
    <row r="289" spans="1:4" x14ac:dyDescent="0.3">
      <c r="A289">
        <v>6235</v>
      </c>
      <c r="B289" t="s">
        <v>314</v>
      </c>
      <c r="C289">
        <v>1107</v>
      </c>
      <c r="D289">
        <v>721</v>
      </c>
    </row>
    <row r="290" spans="1:4" x14ac:dyDescent="0.3">
      <c r="A290">
        <v>6258</v>
      </c>
      <c r="B290" t="s">
        <v>631</v>
      </c>
      <c r="C290">
        <v>318</v>
      </c>
      <c r="D290">
        <v>178</v>
      </c>
    </row>
    <row r="291" spans="1:4" x14ac:dyDescent="0.3">
      <c r="A291">
        <v>6353</v>
      </c>
      <c r="B291" t="s">
        <v>809</v>
      </c>
      <c r="C291">
        <v>34</v>
      </c>
      <c r="D291">
        <v>0</v>
      </c>
    </row>
    <row r="292" spans="1:4" x14ac:dyDescent="0.3">
      <c r="A292">
        <v>6355</v>
      </c>
      <c r="B292" t="s">
        <v>832</v>
      </c>
      <c r="C292">
        <v>843</v>
      </c>
      <c r="D292">
        <v>305</v>
      </c>
    </row>
    <row r="293" spans="1:4" x14ac:dyDescent="0.3">
      <c r="A293">
        <v>6357</v>
      </c>
      <c r="B293" t="s">
        <v>132</v>
      </c>
      <c r="C293">
        <v>106</v>
      </c>
      <c r="D293">
        <v>40</v>
      </c>
    </row>
    <row r="294" spans="1:4" x14ac:dyDescent="0.3">
      <c r="A294">
        <v>6361</v>
      </c>
      <c r="B294" t="s">
        <v>1266</v>
      </c>
      <c r="C294">
        <v>799</v>
      </c>
      <c r="D294">
        <v>1</v>
      </c>
    </row>
    <row r="295" spans="1:4" x14ac:dyDescent="0.3">
      <c r="A295">
        <v>6362</v>
      </c>
      <c r="B295" t="s">
        <v>759</v>
      </c>
      <c r="C295">
        <v>547</v>
      </c>
      <c r="D295">
        <v>113</v>
      </c>
    </row>
    <row r="296" spans="1:4" x14ac:dyDescent="0.3">
      <c r="A296">
        <v>6364</v>
      </c>
      <c r="B296" t="s">
        <v>12</v>
      </c>
      <c r="C296">
        <v>172</v>
      </c>
      <c r="D296">
        <v>71</v>
      </c>
    </row>
    <row r="297" spans="1:4" x14ac:dyDescent="0.3">
      <c r="A297">
        <v>6365</v>
      </c>
      <c r="B297" t="s">
        <v>35</v>
      </c>
      <c r="C297">
        <v>429</v>
      </c>
      <c r="D297">
        <v>222</v>
      </c>
    </row>
    <row r="298" spans="1:4" x14ac:dyDescent="0.3">
      <c r="A298">
        <v>6369</v>
      </c>
      <c r="B298" t="s">
        <v>190</v>
      </c>
      <c r="C298">
        <v>58</v>
      </c>
      <c r="D298">
        <v>1</v>
      </c>
    </row>
    <row r="299" spans="1:4" x14ac:dyDescent="0.3">
      <c r="A299">
        <v>6372</v>
      </c>
      <c r="B299" t="s">
        <v>760</v>
      </c>
      <c r="C299">
        <v>32</v>
      </c>
      <c r="D299">
        <v>23</v>
      </c>
    </row>
    <row r="300" spans="1:4" x14ac:dyDescent="0.3">
      <c r="A300">
        <v>6374</v>
      </c>
      <c r="B300" t="s">
        <v>422</v>
      </c>
      <c r="C300">
        <v>46</v>
      </c>
      <c r="D300">
        <v>34</v>
      </c>
    </row>
    <row r="301" spans="1:4" x14ac:dyDescent="0.3">
      <c r="A301">
        <v>6375</v>
      </c>
      <c r="B301" t="s">
        <v>728</v>
      </c>
      <c r="C301">
        <v>210</v>
      </c>
      <c r="D301">
        <v>159</v>
      </c>
    </row>
    <row r="302" spans="1:4" x14ac:dyDescent="0.3">
      <c r="A302">
        <v>6378</v>
      </c>
      <c r="B302" t="s">
        <v>729</v>
      </c>
      <c r="C302">
        <v>46</v>
      </c>
      <c r="D302">
        <v>41</v>
      </c>
    </row>
    <row r="303" spans="1:4" x14ac:dyDescent="0.3">
      <c r="A303">
        <v>6379</v>
      </c>
      <c r="B303" t="s">
        <v>338</v>
      </c>
      <c r="C303">
        <v>92</v>
      </c>
      <c r="D303">
        <v>50</v>
      </c>
    </row>
    <row r="304" spans="1:4" x14ac:dyDescent="0.3">
      <c r="A304">
        <v>6393</v>
      </c>
      <c r="B304" t="s">
        <v>50</v>
      </c>
      <c r="C304">
        <v>644</v>
      </c>
      <c r="D304">
        <v>30</v>
      </c>
    </row>
    <row r="305" spans="1:4" x14ac:dyDescent="0.3">
      <c r="A305">
        <v>6446</v>
      </c>
      <c r="B305" t="s">
        <v>768</v>
      </c>
      <c r="C305">
        <v>982</v>
      </c>
      <c r="D305">
        <v>898</v>
      </c>
    </row>
    <row r="306" spans="1:4" x14ac:dyDescent="0.3">
      <c r="A306">
        <v>6470</v>
      </c>
      <c r="B306" t="s">
        <v>620</v>
      </c>
      <c r="C306">
        <v>3</v>
      </c>
      <c r="D306">
        <v>0</v>
      </c>
    </row>
    <row r="307" spans="1:4" x14ac:dyDescent="0.3">
      <c r="A307">
        <v>6719</v>
      </c>
      <c r="B307" t="s">
        <v>623</v>
      </c>
      <c r="C307">
        <v>2</v>
      </c>
      <c r="D307">
        <v>0</v>
      </c>
    </row>
    <row r="308" spans="1:4" x14ac:dyDescent="0.3">
      <c r="A308">
        <v>7295</v>
      </c>
      <c r="B308" t="s">
        <v>632</v>
      </c>
      <c r="C308">
        <v>8</v>
      </c>
      <c r="D308">
        <v>6</v>
      </c>
    </row>
    <row r="309" spans="1:4" x14ac:dyDescent="0.3">
      <c r="A309">
        <v>7301</v>
      </c>
      <c r="B309" t="s">
        <v>1388</v>
      </c>
      <c r="C309">
        <v>2</v>
      </c>
      <c r="D309">
        <v>0</v>
      </c>
    </row>
    <row r="310" spans="1:4" x14ac:dyDescent="0.3">
      <c r="A310">
        <v>7303</v>
      </c>
      <c r="B310" t="s">
        <v>634</v>
      </c>
      <c r="C310">
        <v>5</v>
      </c>
      <c r="D310">
        <v>0</v>
      </c>
    </row>
    <row r="311" spans="1:4" x14ac:dyDescent="0.3">
      <c r="A311">
        <v>7317</v>
      </c>
      <c r="B311" t="s">
        <v>638</v>
      </c>
      <c r="C311">
        <v>10</v>
      </c>
      <c r="D311">
        <v>3</v>
      </c>
    </row>
    <row r="312" spans="1:4" x14ac:dyDescent="0.3">
      <c r="A312">
        <v>7332</v>
      </c>
      <c r="B312" t="s">
        <v>644</v>
      </c>
      <c r="C312">
        <v>6</v>
      </c>
      <c r="D312">
        <v>2</v>
      </c>
    </row>
    <row r="313" spans="1:4" x14ac:dyDescent="0.3">
      <c r="A313">
        <v>7334</v>
      </c>
      <c r="B313" t="s">
        <v>646</v>
      </c>
      <c r="C313">
        <v>13</v>
      </c>
      <c r="D313">
        <v>1</v>
      </c>
    </row>
    <row r="314" spans="1:4" x14ac:dyDescent="0.3">
      <c r="A314">
        <v>7340</v>
      </c>
      <c r="B314" t="s">
        <v>647</v>
      </c>
      <c r="C314">
        <v>14</v>
      </c>
      <c r="D314">
        <v>1</v>
      </c>
    </row>
    <row r="315" spans="1:4" x14ac:dyDescent="0.3">
      <c r="A315">
        <v>7347</v>
      </c>
      <c r="B315" t="s">
        <v>648</v>
      </c>
      <c r="C315">
        <v>66</v>
      </c>
      <c r="D315">
        <v>12</v>
      </c>
    </row>
    <row r="316" spans="1:4" x14ac:dyDescent="0.3">
      <c r="A316">
        <v>7351</v>
      </c>
      <c r="B316" t="s">
        <v>652</v>
      </c>
      <c r="C316">
        <v>26</v>
      </c>
      <c r="D316">
        <v>7</v>
      </c>
    </row>
    <row r="317" spans="1:4" x14ac:dyDescent="0.3">
      <c r="A317">
        <v>7355</v>
      </c>
      <c r="B317" t="s">
        <v>655</v>
      </c>
      <c r="C317">
        <v>122</v>
      </c>
      <c r="D317">
        <v>18</v>
      </c>
    </row>
    <row r="318" spans="1:4" x14ac:dyDescent="0.3">
      <c r="A318">
        <v>7363</v>
      </c>
      <c r="B318" t="s">
        <v>656</v>
      </c>
      <c r="C318">
        <v>4</v>
      </c>
      <c r="D318">
        <v>4</v>
      </c>
    </row>
    <row r="319" spans="1:4" x14ac:dyDescent="0.3">
      <c r="A319">
        <v>7372</v>
      </c>
      <c r="B319" t="s">
        <v>657</v>
      </c>
      <c r="C319">
        <v>40</v>
      </c>
      <c r="D319">
        <v>1</v>
      </c>
    </row>
    <row r="320" spans="1:4" x14ac:dyDescent="0.3">
      <c r="A320">
        <v>7380</v>
      </c>
      <c r="B320" t="s">
        <v>659</v>
      </c>
      <c r="C320">
        <v>12</v>
      </c>
      <c r="D320">
        <v>0</v>
      </c>
    </row>
    <row r="321" spans="1:4" x14ac:dyDescent="0.3">
      <c r="A321">
        <v>7407</v>
      </c>
      <c r="B321" t="s">
        <v>660</v>
      </c>
      <c r="C321">
        <v>378</v>
      </c>
      <c r="D321">
        <v>62</v>
      </c>
    </row>
    <row r="322" spans="1:4" x14ac:dyDescent="0.3">
      <c r="A322">
        <v>7432</v>
      </c>
      <c r="B322" t="s">
        <v>661</v>
      </c>
      <c r="C322">
        <v>1</v>
      </c>
      <c r="D322">
        <v>1</v>
      </c>
    </row>
    <row r="323" spans="1:4" x14ac:dyDescent="0.3">
      <c r="A323">
        <v>7481</v>
      </c>
      <c r="B323" t="s">
        <v>1417</v>
      </c>
      <c r="C323">
        <v>1</v>
      </c>
      <c r="D323">
        <v>0</v>
      </c>
    </row>
    <row r="324" spans="1:4" x14ac:dyDescent="0.3">
      <c r="A324">
        <v>7927</v>
      </c>
      <c r="B324" t="s">
        <v>812</v>
      </c>
      <c r="C324">
        <v>3</v>
      </c>
      <c r="D324">
        <v>0</v>
      </c>
    </row>
    <row r="325" spans="1:4" x14ac:dyDescent="0.3">
      <c r="A325">
        <v>8066</v>
      </c>
      <c r="B325" t="s">
        <v>851</v>
      </c>
      <c r="C325">
        <v>1</v>
      </c>
      <c r="D325">
        <v>0</v>
      </c>
    </row>
    <row r="326" spans="1:4" x14ac:dyDescent="0.3">
      <c r="A326">
        <v>8326</v>
      </c>
      <c r="B326" t="s">
        <v>60</v>
      </c>
      <c r="C326">
        <v>165</v>
      </c>
      <c r="D326">
        <v>0</v>
      </c>
    </row>
    <row r="327" spans="1:4" x14ac:dyDescent="0.3">
      <c r="A327">
        <v>8336</v>
      </c>
      <c r="B327" t="s">
        <v>48</v>
      </c>
      <c r="C327">
        <v>75</v>
      </c>
      <c r="D327">
        <v>0</v>
      </c>
    </row>
    <row r="328" spans="1:4" x14ac:dyDescent="0.3">
      <c r="A328">
        <v>8823</v>
      </c>
      <c r="B328" t="s">
        <v>664</v>
      </c>
      <c r="C328">
        <v>25</v>
      </c>
      <c r="D328">
        <v>0</v>
      </c>
    </row>
    <row r="329" spans="1:4" x14ac:dyDescent="0.3">
      <c r="A329">
        <v>8929</v>
      </c>
      <c r="B329" t="s">
        <v>1389</v>
      </c>
      <c r="C329">
        <v>1</v>
      </c>
      <c r="D329">
        <v>0</v>
      </c>
    </row>
    <row r="330" spans="1:4" x14ac:dyDescent="0.3">
      <c r="A330">
        <v>10386</v>
      </c>
      <c r="B330" t="s">
        <v>528</v>
      </c>
      <c r="C330">
        <v>53</v>
      </c>
      <c r="D330">
        <v>4</v>
      </c>
    </row>
    <row r="331" spans="1:4" x14ac:dyDescent="0.3">
      <c r="A331">
        <v>10760</v>
      </c>
      <c r="B331" t="s">
        <v>772</v>
      </c>
      <c r="C331">
        <v>1122</v>
      </c>
      <c r="D331">
        <v>545</v>
      </c>
    </row>
    <row r="332" spans="1:4" x14ac:dyDescent="0.3">
      <c r="A332">
        <v>10878</v>
      </c>
      <c r="B332" t="s">
        <v>761</v>
      </c>
      <c r="C332">
        <v>233</v>
      </c>
      <c r="D332">
        <v>0</v>
      </c>
    </row>
    <row r="333" spans="1:4" x14ac:dyDescent="0.3">
      <c r="A333">
        <v>10879</v>
      </c>
      <c r="B333" t="s">
        <v>837</v>
      </c>
      <c r="C333">
        <v>163</v>
      </c>
      <c r="D333">
        <v>113</v>
      </c>
    </row>
    <row r="334" spans="1:4" x14ac:dyDescent="0.3">
      <c r="A334">
        <v>10965</v>
      </c>
      <c r="B334" t="s">
        <v>870</v>
      </c>
      <c r="C334">
        <v>208</v>
      </c>
      <c r="D334">
        <v>0</v>
      </c>
    </row>
    <row r="335" spans="1:4" x14ac:dyDescent="0.3">
      <c r="A335">
        <v>10966</v>
      </c>
      <c r="B335" t="s">
        <v>471</v>
      </c>
      <c r="C335">
        <v>207</v>
      </c>
      <c r="D335">
        <v>0</v>
      </c>
    </row>
    <row r="336" spans="1:4" x14ac:dyDescent="0.3">
      <c r="A336">
        <v>10967</v>
      </c>
      <c r="B336" t="s">
        <v>490</v>
      </c>
      <c r="C336">
        <v>101</v>
      </c>
      <c r="D336">
        <v>0</v>
      </c>
    </row>
    <row r="337" spans="1:4" x14ac:dyDescent="0.3">
      <c r="A337">
        <v>10968</v>
      </c>
      <c r="B337" t="s">
        <v>261</v>
      </c>
      <c r="C337">
        <v>528</v>
      </c>
      <c r="D337">
        <v>276</v>
      </c>
    </row>
    <row r="338" spans="1:4" x14ac:dyDescent="0.3">
      <c r="A338">
        <v>10969</v>
      </c>
      <c r="B338" t="s">
        <v>526</v>
      </c>
      <c r="C338">
        <v>72</v>
      </c>
      <c r="D338">
        <v>0</v>
      </c>
    </row>
    <row r="339" spans="1:4" x14ac:dyDescent="0.3">
      <c r="A339">
        <v>10970</v>
      </c>
      <c r="B339" t="s">
        <v>869</v>
      </c>
      <c r="C339">
        <v>143</v>
      </c>
      <c r="D339">
        <v>74</v>
      </c>
    </row>
    <row r="340" spans="1:4" x14ac:dyDescent="0.3">
      <c r="A340">
        <v>10971</v>
      </c>
      <c r="B340" t="s">
        <v>501</v>
      </c>
      <c r="C340">
        <v>12</v>
      </c>
      <c r="D340">
        <v>0</v>
      </c>
    </row>
    <row r="341" spans="1:4" x14ac:dyDescent="0.3">
      <c r="A341">
        <v>10972</v>
      </c>
      <c r="B341" t="s">
        <v>756</v>
      </c>
      <c r="C341">
        <v>425</v>
      </c>
      <c r="D341">
        <v>0</v>
      </c>
    </row>
    <row r="342" spans="1:4" x14ac:dyDescent="0.3">
      <c r="A342">
        <v>10974</v>
      </c>
      <c r="B342" t="s">
        <v>188</v>
      </c>
      <c r="C342">
        <v>291</v>
      </c>
      <c r="D342">
        <v>0</v>
      </c>
    </row>
    <row r="343" spans="1:4" x14ac:dyDescent="0.3">
      <c r="A343">
        <v>32051</v>
      </c>
      <c r="B343" t="s">
        <v>1416</v>
      </c>
      <c r="C343">
        <v>5</v>
      </c>
      <c r="D343">
        <v>3</v>
      </c>
    </row>
    <row r="344" spans="1:4" x14ac:dyDescent="0.3">
      <c r="A344">
        <v>60691</v>
      </c>
      <c r="B344" t="s">
        <v>1414</v>
      </c>
      <c r="C344">
        <v>2</v>
      </c>
      <c r="D344">
        <v>0</v>
      </c>
    </row>
    <row r="345" spans="1:4" x14ac:dyDescent="0.3">
      <c r="A345">
        <v>78783</v>
      </c>
      <c r="B345" t="s">
        <v>762</v>
      </c>
      <c r="C345">
        <v>1103</v>
      </c>
      <c r="D345">
        <v>847</v>
      </c>
    </row>
    <row r="346" spans="1:4" x14ac:dyDescent="0.3">
      <c r="A346">
        <v>78786</v>
      </c>
      <c r="B346" t="s">
        <v>492</v>
      </c>
      <c r="C346">
        <v>15</v>
      </c>
      <c r="D346">
        <v>0</v>
      </c>
    </row>
    <row r="347" spans="1:4" x14ac:dyDescent="0.3">
      <c r="A347">
        <v>78833</v>
      </c>
      <c r="B347" t="s">
        <v>842</v>
      </c>
      <c r="C347">
        <v>89</v>
      </c>
      <c r="D347">
        <v>0</v>
      </c>
    </row>
    <row r="348" spans="1:4" x14ac:dyDescent="0.3">
      <c r="A348">
        <v>78858</v>
      </c>
      <c r="B348" t="s">
        <v>840</v>
      </c>
      <c r="C348">
        <v>115</v>
      </c>
      <c r="D348">
        <v>0</v>
      </c>
    </row>
    <row r="349" spans="1:4" x14ac:dyDescent="0.3">
      <c r="A349">
        <v>78868</v>
      </c>
      <c r="B349" t="s">
        <v>474</v>
      </c>
      <c r="C349">
        <v>38</v>
      </c>
      <c r="D349">
        <v>9</v>
      </c>
    </row>
    <row r="350" spans="1:4" x14ac:dyDescent="0.3">
      <c r="A350">
        <v>78873</v>
      </c>
      <c r="B350" t="s">
        <v>873</v>
      </c>
      <c r="C350">
        <v>150</v>
      </c>
      <c r="D350">
        <v>81</v>
      </c>
    </row>
    <row r="351" spans="1:4" x14ac:dyDescent="0.3">
      <c r="A351">
        <v>78882</v>
      </c>
      <c r="B351" t="s">
        <v>303</v>
      </c>
      <c r="C351">
        <v>202</v>
      </c>
      <c r="D351">
        <v>83</v>
      </c>
    </row>
    <row r="352" spans="1:4" x14ac:dyDescent="0.3">
      <c r="A352">
        <v>78888</v>
      </c>
      <c r="B352" t="s">
        <v>758</v>
      </c>
      <c r="C352">
        <v>328</v>
      </c>
      <c r="D352">
        <v>66</v>
      </c>
    </row>
    <row r="353" spans="1:4" x14ac:dyDescent="0.3">
      <c r="A353">
        <v>78890</v>
      </c>
      <c r="B353" t="s">
        <v>864</v>
      </c>
      <c r="C353">
        <v>6</v>
      </c>
      <c r="D353">
        <v>0</v>
      </c>
    </row>
    <row r="354" spans="1:4" x14ac:dyDescent="0.3">
      <c r="A354">
        <v>78897</v>
      </c>
      <c r="B354" t="s">
        <v>820</v>
      </c>
      <c r="C354">
        <v>690</v>
      </c>
      <c r="D354">
        <v>0</v>
      </c>
    </row>
    <row r="355" spans="1:4" x14ac:dyDescent="0.3">
      <c r="A355">
        <v>78965</v>
      </c>
      <c r="B355" t="s">
        <v>755</v>
      </c>
      <c r="C355">
        <v>139</v>
      </c>
      <c r="D355">
        <v>139</v>
      </c>
    </row>
    <row r="356" spans="1:4" x14ac:dyDescent="0.3">
      <c r="A356">
        <v>78966</v>
      </c>
      <c r="B356" t="s">
        <v>855</v>
      </c>
      <c r="C356">
        <v>119</v>
      </c>
      <c r="D356">
        <v>110</v>
      </c>
    </row>
    <row r="357" spans="1:4" x14ac:dyDescent="0.3">
      <c r="A357">
        <v>78997</v>
      </c>
      <c r="B357" t="s">
        <v>730</v>
      </c>
      <c r="C357">
        <v>137</v>
      </c>
      <c r="D357">
        <v>5</v>
      </c>
    </row>
    <row r="358" spans="1:4" x14ac:dyDescent="0.3">
      <c r="A358">
        <v>79000</v>
      </c>
      <c r="B358" t="s">
        <v>838</v>
      </c>
      <c r="C358">
        <v>87</v>
      </c>
      <c r="D358">
        <v>0</v>
      </c>
    </row>
    <row r="359" spans="1:4" x14ac:dyDescent="0.3">
      <c r="A359">
        <v>79004</v>
      </c>
      <c r="B359" t="s">
        <v>1292</v>
      </c>
      <c r="C359">
        <v>76</v>
      </c>
      <c r="D359">
        <v>8</v>
      </c>
    </row>
    <row r="360" spans="1:4" x14ac:dyDescent="0.3">
      <c r="A360">
        <v>79024</v>
      </c>
      <c r="B360" t="s">
        <v>329</v>
      </c>
      <c r="C360">
        <v>609</v>
      </c>
      <c r="D360">
        <v>4</v>
      </c>
    </row>
    <row r="361" spans="1:4" x14ac:dyDescent="0.3">
      <c r="A361">
        <v>79047</v>
      </c>
      <c r="B361" t="s">
        <v>89</v>
      </c>
      <c r="C361">
        <v>459</v>
      </c>
      <c r="D361">
        <v>327</v>
      </c>
    </row>
    <row r="362" spans="1:4" x14ac:dyDescent="0.3">
      <c r="A362">
        <v>79049</v>
      </c>
      <c r="B362" t="s">
        <v>125</v>
      </c>
      <c r="C362">
        <v>677</v>
      </c>
      <c r="D362">
        <v>214</v>
      </c>
    </row>
    <row r="363" spans="1:4" x14ac:dyDescent="0.3">
      <c r="A363">
        <v>79050</v>
      </c>
      <c r="B363" t="s">
        <v>502</v>
      </c>
      <c r="C363">
        <v>263</v>
      </c>
      <c r="D363">
        <v>0</v>
      </c>
    </row>
    <row r="364" spans="1:4" x14ac:dyDescent="0.3">
      <c r="A364">
        <v>79053</v>
      </c>
      <c r="B364" t="s">
        <v>17</v>
      </c>
      <c r="C364">
        <v>159</v>
      </c>
      <c r="D364">
        <v>156</v>
      </c>
    </row>
    <row r="365" spans="1:4" x14ac:dyDescent="0.3">
      <c r="A365">
        <v>79055</v>
      </c>
      <c r="B365" t="s">
        <v>85</v>
      </c>
      <c r="C365">
        <v>581</v>
      </c>
      <c r="D365">
        <v>290</v>
      </c>
    </row>
    <row r="366" spans="1:4" x14ac:dyDescent="0.3">
      <c r="A366">
        <v>79059</v>
      </c>
      <c r="B366" t="s">
        <v>765</v>
      </c>
      <c r="C366">
        <v>507</v>
      </c>
      <c r="D366">
        <v>295</v>
      </c>
    </row>
    <row r="367" spans="1:4" x14ac:dyDescent="0.3">
      <c r="A367">
        <v>79061</v>
      </c>
      <c r="B367" t="s">
        <v>196</v>
      </c>
      <c r="C367">
        <v>45</v>
      </c>
      <c r="D367">
        <v>12</v>
      </c>
    </row>
    <row r="368" spans="1:4" x14ac:dyDescent="0.3">
      <c r="A368">
        <v>79063</v>
      </c>
      <c r="B368" t="s">
        <v>511</v>
      </c>
      <c r="C368">
        <v>179</v>
      </c>
      <c r="D368">
        <v>0</v>
      </c>
    </row>
    <row r="369" spans="1:4" x14ac:dyDescent="0.3">
      <c r="A369">
        <v>79064</v>
      </c>
      <c r="B369" t="s">
        <v>224</v>
      </c>
      <c r="C369">
        <v>713</v>
      </c>
      <c r="D369">
        <v>381</v>
      </c>
    </row>
    <row r="370" spans="1:4" x14ac:dyDescent="0.3">
      <c r="A370">
        <v>79065</v>
      </c>
      <c r="B370" t="s">
        <v>872</v>
      </c>
      <c r="C370">
        <v>18</v>
      </c>
      <c r="D370">
        <v>18</v>
      </c>
    </row>
    <row r="371" spans="1:4" x14ac:dyDescent="0.3">
      <c r="A371">
        <v>79066</v>
      </c>
      <c r="B371" t="s">
        <v>858</v>
      </c>
      <c r="C371">
        <v>53</v>
      </c>
      <c r="D371">
        <v>38</v>
      </c>
    </row>
    <row r="372" spans="1:4" x14ac:dyDescent="0.3">
      <c r="A372">
        <v>79068</v>
      </c>
      <c r="B372" t="s">
        <v>871</v>
      </c>
      <c r="C372">
        <v>56</v>
      </c>
      <c r="D372">
        <v>36</v>
      </c>
    </row>
    <row r="373" spans="1:4" x14ac:dyDescent="0.3">
      <c r="A373">
        <v>79069</v>
      </c>
      <c r="B373" t="s">
        <v>489</v>
      </c>
      <c r="C373">
        <v>32</v>
      </c>
      <c r="D373">
        <v>0</v>
      </c>
    </row>
    <row r="374" spans="1:4" x14ac:dyDescent="0.3">
      <c r="A374">
        <v>79072</v>
      </c>
      <c r="B374" t="s">
        <v>477</v>
      </c>
      <c r="C374">
        <v>459</v>
      </c>
      <c r="D374">
        <v>0</v>
      </c>
    </row>
    <row r="375" spans="1:4" x14ac:dyDescent="0.3">
      <c r="A375">
        <v>79073</v>
      </c>
      <c r="B375" t="s">
        <v>839</v>
      </c>
      <c r="C375">
        <v>698</v>
      </c>
      <c r="D375">
        <v>153</v>
      </c>
    </row>
    <row r="376" spans="1:4" x14ac:dyDescent="0.3">
      <c r="A376">
        <v>79074</v>
      </c>
      <c r="B376" t="s">
        <v>118</v>
      </c>
      <c r="C376">
        <v>440</v>
      </c>
      <c r="D376">
        <v>273</v>
      </c>
    </row>
    <row r="377" spans="1:4" x14ac:dyDescent="0.3">
      <c r="A377">
        <v>79077</v>
      </c>
      <c r="B377" t="s">
        <v>798</v>
      </c>
      <c r="C377">
        <v>152</v>
      </c>
      <c r="D377">
        <v>152</v>
      </c>
    </row>
    <row r="378" spans="1:4" x14ac:dyDescent="0.3">
      <c r="A378">
        <v>79081</v>
      </c>
      <c r="B378" t="s">
        <v>720</v>
      </c>
      <c r="C378">
        <v>701</v>
      </c>
      <c r="D378">
        <v>98</v>
      </c>
    </row>
    <row r="379" spans="1:4" x14ac:dyDescent="0.3">
      <c r="A379">
        <v>79084</v>
      </c>
      <c r="B379" t="s">
        <v>767</v>
      </c>
      <c r="C379">
        <v>125</v>
      </c>
      <c r="D379">
        <v>0</v>
      </c>
    </row>
    <row r="380" spans="1:4" x14ac:dyDescent="0.3">
      <c r="A380">
        <v>79085</v>
      </c>
      <c r="B380" t="s">
        <v>841</v>
      </c>
      <c r="C380">
        <v>666</v>
      </c>
      <c r="D380">
        <v>325</v>
      </c>
    </row>
    <row r="381" spans="1:4" x14ac:dyDescent="0.3">
      <c r="A381">
        <v>79086</v>
      </c>
      <c r="B381" t="s">
        <v>629</v>
      </c>
      <c r="C381">
        <v>115</v>
      </c>
      <c r="D381">
        <v>56</v>
      </c>
    </row>
    <row r="382" spans="1:4" x14ac:dyDescent="0.3">
      <c r="A382">
        <v>79131</v>
      </c>
      <c r="B382" t="s">
        <v>467</v>
      </c>
      <c r="C382">
        <v>35</v>
      </c>
      <c r="D382">
        <v>32</v>
      </c>
    </row>
    <row r="383" spans="1:4" x14ac:dyDescent="0.3">
      <c r="A383">
        <v>79204</v>
      </c>
      <c r="B383" t="s">
        <v>63</v>
      </c>
      <c r="C383">
        <v>472</v>
      </c>
      <c r="D383">
        <v>61</v>
      </c>
    </row>
    <row r="384" spans="1:4" x14ac:dyDescent="0.3">
      <c r="A384">
        <v>79205</v>
      </c>
      <c r="B384" t="s">
        <v>323</v>
      </c>
      <c r="C384">
        <v>332</v>
      </c>
      <c r="D384">
        <v>39</v>
      </c>
    </row>
    <row r="385" spans="1:4" x14ac:dyDescent="0.3">
      <c r="A385">
        <v>79207</v>
      </c>
      <c r="B385" t="s">
        <v>500</v>
      </c>
      <c r="C385">
        <v>251</v>
      </c>
      <c r="D385">
        <v>47</v>
      </c>
    </row>
    <row r="386" spans="1:4" x14ac:dyDescent="0.3">
      <c r="A386">
        <v>79211</v>
      </c>
      <c r="B386" t="s">
        <v>769</v>
      </c>
      <c r="C386">
        <v>494</v>
      </c>
      <c r="D386">
        <v>226</v>
      </c>
    </row>
    <row r="387" spans="1:4" x14ac:dyDescent="0.3">
      <c r="A387">
        <v>79213</v>
      </c>
      <c r="B387" t="s">
        <v>11</v>
      </c>
      <c r="C387">
        <v>96</v>
      </c>
      <c r="D387">
        <v>86</v>
      </c>
    </row>
    <row r="388" spans="1:4" x14ac:dyDescent="0.3">
      <c r="A388">
        <v>79214</v>
      </c>
      <c r="B388" t="s">
        <v>763</v>
      </c>
      <c r="C388">
        <v>301</v>
      </c>
      <c r="D388">
        <v>265</v>
      </c>
    </row>
    <row r="389" spans="1:4" x14ac:dyDescent="0.3">
      <c r="A389">
        <v>79215</v>
      </c>
      <c r="B389" t="s">
        <v>552</v>
      </c>
      <c r="C389">
        <v>837</v>
      </c>
      <c r="D389">
        <v>733</v>
      </c>
    </row>
    <row r="390" spans="1:4" x14ac:dyDescent="0.3">
      <c r="A390">
        <v>79218</v>
      </c>
      <c r="B390" t="s">
        <v>801</v>
      </c>
      <c r="C390">
        <v>430</v>
      </c>
      <c r="D390">
        <v>166</v>
      </c>
    </row>
    <row r="391" spans="1:4" x14ac:dyDescent="0.3">
      <c r="A391">
        <v>79226</v>
      </c>
      <c r="B391" t="s">
        <v>68</v>
      </c>
      <c r="C391">
        <v>1251</v>
      </c>
      <c r="D391">
        <v>581</v>
      </c>
    </row>
    <row r="392" spans="1:4" x14ac:dyDescent="0.3">
      <c r="A392">
        <v>79233</v>
      </c>
      <c r="B392" t="s">
        <v>799</v>
      </c>
      <c r="C392">
        <v>291</v>
      </c>
      <c r="D392">
        <v>291</v>
      </c>
    </row>
    <row r="393" spans="1:4" x14ac:dyDescent="0.3">
      <c r="A393">
        <v>79241</v>
      </c>
      <c r="B393" t="s">
        <v>1255</v>
      </c>
      <c r="C393">
        <v>9</v>
      </c>
      <c r="D393">
        <v>4</v>
      </c>
    </row>
    <row r="394" spans="1:4" x14ac:dyDescent="0.3">
      <c r="A394">
        <v>79264</v>
      </c>
      <c r="B394" t="s">
        <v>671</v>
      </c>
      <c r="C394">
        <v>620</v>
      </c>
      <c r="D394">
        <v>0</v>
      </c>
    </row>
    <row r="395" spans="1:4" x14ac:dyDescent="0.3">
      <c r="A395">
        <v>79302</v>
      </c>
      <c r="B395" t="s">
        <v>633</v>
      </c>
      <c r="C395">
        <v>96</v>
      </c>
      <c r="D395">
        <v>47</v>
      </c>
    </row>
    <row r="396" spans="1:4" x14ac:dyDescent="0.3">
      <c r="A396">
        <v>79379</v>
      </c>
      <c r="B396" t="s">
        <v>455</v>
      </c>
      <c r="C396">
        <v>57</v>
      </c>
      <c r="D396">
        <v>33</v>
      </c>
    </row>
    <row r="397" spans="1:4" x14ac:dyDescent="0.3">
      <c r="A397">
        <v>79381</v>
      </c>
      <c r="B397" t="s">
        <v>529</v>
      </c>
      <c r="C397">
        <v>13</v>
      </c>
      <c r="D397">
        <v>0</v>
      </c>
    </row>
    <row r="398" spans="1:4" x14ac:dyDescent="0.3">
      <c r="A398">
        <v>79385</v>
      </c>
      <c r="B398" t="s">
        <v>535</v>
      </c>
      <c r="C398">
        <v>5</v>
      </c>
      <c r="D398">
        <v>1</v>
      </c>
    </row>
    <row r="399" spans="1:4" x14ac:dyDescent="0.3">
      <c r="A399">
        <v>79387</v>
      </c>
      <c r="B399" t="s">
        <v>519</v>
      </c>
      <c r="C399">
        <v>8</v>
      </c>
      <c r="D399">
        <v>0</v>
      </c>
    </row>
    <row r="400" spans="1:4" x14ac:dyDescent="0.3">
      <c r="A400">
        <v>79391</v>
      </c>
      <c r="B400" t="s">
        <v>531</v>
      </c>
      <c r="C400">
        <v>8</v>
      </c>
      <c r="D400">
        <v>0</v>
      </c>
    </row>
    <row r="401" spans="1:4" x14ac:dyDescent="0.3">
      <c r="A401">
        <v>79397</v>
      </c>
      <c r="B401" t="s">
        <v>463</v>
      </c>
      <c r="C401">
        <v>2</v>
      </c>
      <c r="D401">
        <v>0</v>
      </c>
    </row>
    <row r="402" spans="1:4" x14ac:dyDescent="0.3">
      <c r="A402">
        <v>79420</v>
      </c>
      <c r="B402" t="s">
        <v>510</v>
      </c>
      <c r="C402">
        <v>2</v>
      </c>
      <c r="D402">
        <v>0</v>
      </c>
    </row>
    <row r="403" spans="1:4" x14ac:dyDescent="0.3">
      <c r="A403">
        <v>79426</v>
      </c>
      <c r="B403" t="s">
        <v>40</v>
      </c>
      <c r="C403">
        <v>232</v>
      </c>
      <c r="D403">
        <v>164</v>
      </c>
    </row>
    <row r="404" spans="1:4" x14ac:dyDescent="0.3">
      <c r="A404">
        <v>79437</v>
      </c>
      <c r="B404" t="s">
        <v>14</v>
      </c>
      <c r="C404">
        <v>452</v>
      </c>
      <c r="D404">
        <v>298</v>
      </c>
    </row>
    <row r="405" spans="1:4" x14ac:dyDescent="0.3">
      <c r="A405">
        <v>79439</v>
      </c>
      <c r="B405" t="s">
        <v>770</v>
      </c>
      <c r="C405">
        <v>18</v>
      </c>
      <c r="D405">
        <v>0</v>
      </c>
    </row>
    <row r="406" spans="1:4" x14ac:dyDescent="0.3">
      <c r="A406">
        <v>79441</v>
      </c>
      <c r="B406" t="s">
        <v>843</v>
      </c>
      <c r="C406">
        <v>107</v>
      </c>
      <c r="D406">
        <v>95</v>
      </c>
    </row>
    <row r="407" spans="1:4" x14ac:dyDescent="0.3">
      <c r="A407">
        <v>79443</v>
      </c>
      <c r="B407" t="s">
        <v>771</v>
      </c>
      <c r="C407">
        <v>280</v>
      </c>
      <c r="D407">
        <v>1</v>
      </c>
    </row>
    <row r="408" spans="1:4" x14ac:dyDescent="0.3">
      <c r="A408">
        <v>79453</v>
      </c>
      <c r="B408" t="s">
        <v>402</v>
      </c>
      <c r="C408">
        <v>805</v>
      </c>
      <c r="D408">
        <v>92</v>
      </c>
    </row>
    <row r="409" spans="1:4" x14ac:dyDescent="0.3">
      <c r="A409">
        <v>79455</v>
      </c>
      <c r="B409" t="s">
        <v>484</v>
      </c>
      <c r="C409">
        <v>1332</v>
      </c>
      <c r="D409">
        <v>606</v>
      </c>
    </row>
    <row r="410" spans="1:4" x14ac:dyDescent="0.3">
      <c r="A410">
        <v>79457</v>
      </c>
      <c r="B410" t="s">
        <v>555</v>
      </c>
      <c r="C410">
        <v>64</v>
      </c>
      <c r="D410">
        <v>0</v>
      </c>
    </row>
    <row r="411" spans="1:4" x14ac:dyDescent="0.3">
      <c r="A411">
        <v>79461</v>
      </c>
      <c r="B411" t="s">
        <v>1253</v>
      </c>
      <c r="C411">
        <v>3052</v>
      </c>
      <c r="D411">
        <v>1026</v>
      </c>
    </row>
    <row r="412" spans="1:4" x14ac:dyDescent="0.3">
      <c r="A412">
        <v>79467</v>
      </c>
      <c r="B412" t="s">
        <v>844</v>
      </c>
      <c r="C412">
        <v>258</v>
      </c>
      <c r="D412">
        <v>1</v>
      </c>
    </row>
    <row r="413" spans="1:4" x14ac:dyDescent="0.3">
      <c r="A413">
        <v>79475</v>
      </c>
      <c r="B413" t="s">
        <v>222</v>
      </c>
      <c r="C413">
        <v>73</v>
      </c>
      <c r="D413">
        <v>65</v>
      </c>
    </row>
    <row r="414" spans="1:4" x14ac:dyDescent="0.3">
      <c r="A414">
        <v>79496</v>
      </c>
      <c r="B414" t="s">
        <v>773</v>
      </c>
      <c r="C414">
        <v>13</v>
      </c>
      <c r="D414">
        <v>0</v>
      </c>
    </row>
    <row r="415" spans="1:4" x14ac:dyDescent="0.3">
      <c r="A415">
        <v>79497</v>
      </c>
      <c r="B415" t="s">
        <v>774</v>
      </c>
      <c r="C415">
        <v>287</v>
      </c>
      <c r="D415">
        <v>115</v>
      </c>
    </row>
    <row r="416" spans="1:4" x14ac:dyDescent="0.3">
      <c r="A416">
        <v>79498</v>
      </c>
      <c r="B416" t="s">
        <v>290</v>
      </c>
      <c r="C416">
        <v>465</v>
      </c>
      <c r="D416">
        <v>113</v>
      </c>
    </row>
    <row r="417" spans="1:4" x14ac:dyDescent="0.3">
      <c r="A417">
        <v>79499</v>
      </c>
      <c r="B417" t="s">
        <v>805</v>
      </c>
      <c r="C417">
        <v>519</v>
      </c>
      <c r="D417">
        <v>0</v>
      </c>
    </row>
    <row r="418" spans="1:4" x14ac:dyDescent="0.3">
      <c r="A418">
        <v>79500</v>
      </c>
      <c r="B418" t="s">
        <v>845</v>
      </c>
      <c r="C418">
        <v>238</v>
      </c>
      <c r="D418">
        <v>226</v>
      </c>
    </row>
    <row r="419" spans="1:4" x14ac:dyDescent="0.3">
      <c r="A419">
        <v>79501</v>
      </c>
      <c r="B419" t="s">
        <v>875</v>
      </c>
      <c r="C419">
        <v>1794</v>
      </c>
      <c r="D419">
        <v>1064</v>
      </c>
    </row>
    <row r="420" spans="1:4" x14ac:dyDescent="0.3">
      <c r="A420">
        <v>79503</v>
      </c>
      <c r="B420" t="s">
        <v>309</v>
      </c>
      <c r="C420">
        <v>360</v>
      </c>
      <c r="D420">
        <v>0</v>
      </c>
    </row>
    <row r="421" spans="1:4" x14ac:dyDescent="0.3">
      <c r="A421">
        <v>79533</v>
      </c>
      <c r="B421" t="s">
        <v>1418</v>
      </c>
      <c r="C421">
        <v>12</v>
      </c>
      <c r="D421">
        <v>0</v>
      </c>
    </row>
    <row r="422" spans="1:4" x14ac:dyDescent="0.3">
      <c r="A422">
        <v>79540</v>
      </c>
      <c r="B422" t="s">
        <v>1291</v>
      </c>
      <c r="C422">
        <v>24</v>
      </c>
      <c r="D422">
        <v>3</v>
      </c>
    </row>
    <row r="423" spans="1:4" x14ac:dyDescent="0.3">
      <c r="A423">
        <v>79548</v>
      </c>
      <c r="B423" t="s">
        <v>775</v>
      </c>
      <c r="C423">
        <v>48</v>
      </c>
      <c r="D423">
        <v>0</v>
      </c>
    </row>
    <row r="424" spans="1:4" x14ac:dyDescent="0.3">
      <c r="A424">
        <v>79569</v>
      </c>
      <c r="B424" t="s">
        <v>351</v>
      </c>
      <c r="C424">
        <v>156</v>
      </c>
      <c r="D424">
        <v>148</v>
      </c>
    </row>
    <row r="425" spans="1:4" x14ac:dyDescent="0.3">
      <c r="A425">
        <v>79578</v>
      </c>
      <c r="B425" t="s">
        <v>320</v>
      </c>
      <c r="C425">
        <v>628</v>
      </c>
      <c r="D425">
        <v>626</v>
      </c>
    </row>
    <row r="426" spans="1:4" x14ac:dyDescent="0.3">
      <c r="A426">
        <v>79598</v>
      </c>
      <c r="B426" t="s">
        <v>242</v>
      </c>
      <c r="C426">
        <v>6513</v>
      </c>
      <c r="D426">
        <v>4471</v>
      </c>
    </row>
    <row r="427" spans="1:4" x14ac:dyDescent="0.3">
      <c r="A427">
        <v>79701</v>
      </c>
      <c r="B427" t="s">
        <v>776</v>
      </c>
      <c r="C427">
        <v>5</v>
      </c>
      <c r="D427">
        <v>0</v>
      </c>
    </row>
    <row r="428" spans="1:4" x14ac:dyDescent="0.3">
      <c r="A428">
        <v>79866</v>
      </c>
      <c r="B428" t="s">
        <v>624</v>
      </c>
      <c r="C428">
        <v>168</v>
      </c>
      <c r="D428">
        <v>74</v>
      </c>
    </row>
    <row r="429" spans="1:4" x14ac:dyDescent="0.3">
      <c r="A429">
        <v>79871</v>
      </c>
      <c r="B429" t="s">
        <v>1390</v>
      </c>
      <c r="C429">
        <v>54</v>
      </c>
      <c r="D429">
        <v>54</v>
      </c>
    </row>
    <row r="430" spans="1:4" x14ac:dyDescent="0.3">
      <c r="A430">
        <v>79872</v>
      </c>
      <c r="B430" t="s">
        <v>778</v>
      </c>
      <c r="C430">
        <v>141</v>
      </c>
      <c r="D430">
        <v>43</v>
      </c>
    </row>
    <row r="431" spans="1:4" x14ac:dyDescent="0.3">
      <c r="A431">
        <v>79873</v>
      </c>
      <c r="B431" t="s">
        <v>779</v>
      </c>
      <c r="C431">
        <v>185</v>
      </c>
      <c r="D431">
        <v>111</v>
      </c>
    </row>
    <row r="432" spans="1:4" x14ac:dyDescent="0.3">
      <c r="A432">
        <v>79874</v>
      </c>
      <c r="B432" t="s">
        <v>1391</v>
      </c>
      <c r="C432">
        <v>197</v>
      </c>
      <c r="D432">
        <v>168</v>
      </c>
    </row>
    <row r="433" spans="1:4" x14ac:dyDescent="0.3">
      <c r="A433">
        <v>79875</v>
      </c>
      <c r="B433" t="s">
        <v>781</v>
      </c>
      <c r="C433">
        <v>375</v>
      </c>
      <c r="D433">
        <v>326</v>
      </c>
    </row>
    <row r="434" spans="1:4" x14ac:dyDescent="0.3">
      <c r="A434">
        <v>79876</v>
      </c>
      <c r="B434" t="s">
        <v>236</v>
      </c>
      <c r="C434">
        <v>220</v>
      </c>
      <c r="D434">
        <v>220</v>
      </c>
    </row>
    <row r="435" spans="1:4" x14ac:dyDescent="0.3">
      <c r="A435">
        <v>79877</v>
      </c>
      <c r="B435" t="s">
        <v>782</v>
      </c>
      <c r="C435">
        <v>259</v>
      </c>
      <c r="D435">
        <v>259</v>
      </c>
    </row>
    <row r="436" spans="1:4" x14ac:dyDescent="0.3">
      <c r="A436">
        <v>79878</v>
      </c>
      <c r="B436" t="s">
        <v>783</v>
      </c>
      <c r="C436">
        <v>27</v>
      </c>
      <c r="D436">
        <v>27</v>
      </c>
    </row>
    <row r="437" spans="1:4" x14ac:dyDescent="0.3">
      <c r="A437">
        <v>79879</v>
      </c>
      <c r="B437" t="s">
        <v>784</v>
      </c>
      <c r="C437">
        <v>328</v>
      </c>
      <c r="D437">
        <v>328</v>
      </c>
    </row>
    <row r="438" spans="1:4" x14ac:dyDescent="0.3">
      <c r="A438">
        <v>79880</v>
      </c>
      <c r="B438" t="s">
        <v>233</v>
      </c>
      <c r="C438">
        <v>110</v>
      </c>
      <c r="D438">
        <v>86</v>
      </c>
    </row>
    <row r="439" spans="1:4" x14ac:dyDescent="0.3">
      <c r="A439">
        <v>79881</v>
      </c>
      <c r="B439" t="s">
        <v>824</v>
      </c>
      <c r="C439">
        <v>200</v>
      </c>
      <c r="D439">
        <v>193</v>
      </c>
    </row>
    <row r="440" spans="1:4" x14ac:dyDescent="0.3">
      <c r="A440">
        <v>79882</v>
      </c>
      <c r="B440" t="s">
        <v>231</v>
      </c>
      <c r="C440">
        <v>278</v>
      </c>
      <c r="D440">
        <v>278</v>
      </c>
    </row>
    <row r="441" spans="1:4" x14ac:dyDescent="0.3">
      <c r="A441">
        <v>79883</v>
      </c>
      <c r="B441" t="s">
        <v>852</v>
      </c>
      <c r="C441">
        <v>113</v>
      </c>
      <c r="D441">
        <v>113</v>
      </c>
    </row>
    <row r="442" spans="1:4" x14ac:dyDescent="0.3">
      <c r="A442">
        <v>79886</v>
      </c>
      <c r="B442" t="s">
        <v>785</v>
      </c>
      <c r="C442">
        <v>329</v>
      </c>
      <c r="D442">
        <v>0</v>
      </c>
    </row>
    <row r="443" spans="1:4" x14ac:dyDescent="0.3">
      <c r="A443">
        <v>79905</v>
      </c>
      <c r="B443" t="s">
        <v>786</v>
      </c>
      <c r="C443">
        <v>546</v>
      </c>
      <c r="D443">
        <v>200</v>
      </c>
    </row>
    <row r="444" spans="1:4" x14ac:dyDescent="0.3">
      <c r="A444">
        <v>79907</v>
      </c>
      <c r="B444" t="s">
        <v>460</v>
      </c>
      <c r="C444">
        <v>7</v>
      </c>
      <c r="D444">
        <v>3</v>
      </c>
    </row>
    <row r="445" spans="1:4" x14ac:dyDescent="0.3">
      <c r="A445">
        <v>79926</v>
      </c>
      <c r="B445" t="s">
        <v>825</v>
      </c>
      <c r="C445">
        <v>12</v>
      </c>
      <c r="D445">
        <v>6</v>
      </c>
    </row>
    <row r="446" spans="1:4" x14ac:dyDescent="0.3">
      <c r="A446">
        <v>79929</v>
      </c>
      <c r="B446" t="s">
        <v>543</v>
      </c>
      <c r="C446">
        <v>86</v>
      </c>
      <c r="D446">
        <v>39</v>
      </c>
    </row>
    <row r="447" spans="1:4" x14ac:dyDescent="0.3">
      <c r="A447">
        <v>79947</v>
      </c>
      <c r="B447" t="s">
        <v>46</v>
      </c>
      <c r="C447">
        <v>1993</v>
      </c>
      <c r="D447">
        <v>1014</v>
      </c>
    </row>
    <row r="448" spans="1:4" x14ac:dyDescent="0.3">
      <c r="A448">
        <v>79951</v>
      </c>
      <c r="B448" t="s">
        <v>787</v>
      </c>
      <c r="C448">
        <v>50</v>
      </c>
      <c r="D448">
        <v>39</v>
      </c>
    </row>
    <row r="449" spans="1:4" x14ac:dyDescent="0.3">
      <c r="A449">
        <v>79953</v>
      </c>
      <c r="B449" t="s">
        <v>788</v>
      </c>
      <c r="C449">
        <v>130</v>
      </c>
      <c r="D449">
        <v>100</v>
      </c>
    </row>
    <row r="450" spans="1:4" x14ac:dyDescent="0.3">
      <c r="A450">
        <v>79957</v>
      </c>
      <c r="B450" t="s">
        <v>789</v>
      </c>
      <c r="C450">
        <v>312</v>
      </c>
      <c r="D450">
        <v>28</v>
      </c>
    </row>
    <row r="451" spans="1:4" x14ac:dyDescent="0.3">
      <c r="A451">
        <v>79959</v>
      </c>
      <c r="B451" t="s">
        <v>826</v>
      </c>
      <c r="C451">
        <v>228</v>
      </c>
      <c r="D451">
        <v>67</v>
      </c>
    </row>
    <row r="452" spans="1:4" x14ac:dyDescent="0.3">
      <c r="A452">
        <v>79961</v>
      </c>
      <c r="B452" t="s">
        <v>827</v>
      </c>
      <c r="C452">
        <v>409</v>
      </c>
      <c r="D452">
        <v>308</v>
      </c>
    </row>
    <row r="453" spans="1:4" x14ac:dyDescent="0.3">
      <c r="A453">
        <v>79967</v>
      </c>
      <c r="B453" t="s">
        <v>249</v>
      </c>
      <c r="C453">
        <v>728</v>
      </c>
      <c r="D453">
        <v>244</v>
      </c>
    </row>
    <row r="454" spans="1:4" x14ac:dyDescent="0.3">
      <c r="A454">
        <v>79969</v>
      </c>
      <c r="B454" t="s">
        <v>23</v>
      </c>
      <c r="C454">
        <v>116</v>
      </c>
      <c r="D454">
        <v>57</v>
      </c>
    </row>
    <row r="455" spans="1:4" x14ac:dyDescent="0.3">
      <c r="A455">
        <v>79971</v>
      </c>
      <c r="B455" t="s">
        <v>810</v>
      </c>
      <c r="C455">
        <v>185</v>
      </c>
      <c r="D455">
        <v>157</v>
      </c>
    </row>
    <row r="456" spans="1:4" x14ac:dyDescent="0.3">
      <c r="A456">
        <v>79973</v>
      </c>
      <c r="B456" t="s">
        <v>811</v>
      </c>
      <c r="C456">
        <v>81</v>
      </c>
      <c r="D456">
        <v>0</v>
      </c>
    </row>
    <row r="457" spans="1:4" x14ac:dyDescent="0.3">
      <c r="A457">
        <v>79979</v>
      </c>
      <c r="B457" t="s">
        <v>828</v>
      </c>
      <c r="C457">
        <v>550</v>
      </c>
      <c r="D457">
        <v>291</v>
      </c>
    </row>
    <row r="458" spans="1:4" x14ac:dyDescent="0.3">
      <c r="A458">
        <v>79981</v>
      </c>
      <c r="B458" t="s">
        <v>790</v>
      </c>
      <c r="C458">
        <v>405</v>
      </c>
      <c r="D458">
        <v>219</v>
      </c>
    </row>
    <row r="459" spans="1:4" x14ac:dyDescent="0.3">
      <c r="A459">
        <v>79983</v>
      </c>
      <c r="B459" t="s">
        <v>791</v>
      </c>
      <c r="C459">
        <v>332</v>
      </c>
      <c r="D459">
        <v>226</v>
      </c>
    </row>
    <row r="460" spans="1:4" x14ac:dyDescent="0.3">
      <c r="A460">
        <v>79988</v>
      </c>
      <c r="B460" t="s">
        <v>793</v>
      </c>
      <c r="C460">
        <v>222</v>
      </c>
      <c r="D460">
        <v>0</v>
      </c>
    </row>
    <row r="461" spans="1:4" x14ac:dyDescent="0.3">
      <c r="A461">
        <v>79990</v>
      </c>
      <c r="B461" t="s">
        <v>792</v>
      </c>
      <c r="C461">
        <v>84</v>
      </c>
      <c r="D461">
        <v>28</v>
      </c>
    </row>
    <row r="462" spans="1:4" x14ac:dyDescent="0.3">
      <c r="A462">
        <v>79994</v>
      </c>
      <c r="B462" t="s">
        <v>286</v>
      </c>
      <c r="C462">
        <v>112</v>
      </c>
      <c r="D462">
        <v>47</v>
      </c>
    </row>
    <row r="463" spans="1:4" x14ac:dyDescent="0.3">
      <c r="A463">
        <v>80001</v>
      </c>
      <c r="B463" t="s">
        <v>90</v>
      </c>
      <c r="C463">
        <v>190</v>
      </c>
      <c r="D463">
        <v>106</v>
      </c>
    </row>
    <row r="464" spans="1:4" x14ac:dyDescent="0.3">
      <c r="A464">
        <v>80011</v>
      </c>
      <c r="B464" t="s">
        <v>794</v>
      </c>
      <c r="C464">
        <v>171</v>
      </c>
      <c r="D464">
        <v>41</v>
      </c>
    </row>
    <row r="465" spans="1:4" x14ac:dyDescent="0.3">
      <c r="A465">
        <v>80032</v>
      </c>
      <c r="B465" t="s">
        <v>120</v>
      </c>
      <c r="C465">
        <v>71</v>
      </c>
      <c r="D465">
        <v>64</v>
      </c>
    </row>
    <row r="466" spans="1:4" x14ac:dyDescent="0.3">
      <c r="A466">
        <v>80299</v>
      </c>
      <c r="B466" t="s">
        <v>796</v>
      </c>
      <c r="C466">
        <v>78</v>
      </c>
      <c r="D466">
        <v>72</v>
      </c>
    </row>
    <row r="467" spans="1:4" x14ac:dyDescent="0.3">
      <c r="A467">
        <v>80923</v>
      </c>
      <c r="B467" t="s">
        <v>458</v>
      </c>
      <c r="C467">
        <v>50</v>
      </c>
      <c r="D467">
        <v>3</v>
      </c>
    </row>
    <row r="468" spans="1:4" x14ac:dyDescent="0.3">
      <c r="A468">
        <v>80985</v>
      </c>
      <c r="B468" t="s">
        <v>494</v>
      </c>
      <c r="C468">
        <v>63</v>
      </c>
      <c r="D468">
        <v>0</v>
      </c>
    </row>
    <row r="469" spans="1:4" x14ac:dyDescent="0.3">
      <c r="A469">
        <v>80989</v>
      </c>
      <c r="B469" t="s">
        <v>797</v>
      </c>
      <c r="C469">
        <v>387</v>
      </c>
      <c r="D469">
        <v>387</v>
      </c>
    </row>
    <row r="470" spans="1:4" x14ac:dyDescent="0.3">
      <c r="A470">
        <v>80992</v>
      </c>
      <c r="B470" t="s">
        <v>462</v>
      </c>
      <c r="C470">
        <v>683</v>
      </c>
      <c r="D470">
        <v>1</v>
      </c>
    </row>
    <row r="471" spans="1:4" x14ac:dyDescent="0.3">
      <c r="A471">
        <v>80995</v>
      </c>
      <c r="B471" t="s">
        <v>846</v>
      </c>
      <c r="C471">
        <v>435</v>
      </c>
      <c r="D471">
        <v>435</v>
      </c>
    </row>
    <row r="472" spans="1:4" x14ac:dyDescent="0.3">
      <c r="A472">
        <v>81001</v>
      </c>
      <c r="B472" t="s">
        <v>743</v>
      </c>
      <c r="C472">
        <v>390</v>
      </c>
      <c r="D472">
        <v>5</v>
      </c>
    </row>
    <row r="473" spans="1:4" x14ac:dyDescent="0.3">
      <c r="A473">
        <v>81009</v>
      </c>
      <c r="B473" t="s">
        <v>856</v>
      </c>
      <c r="C473">
        <v>83</v>
      </c>
      <c r="D473">
        <v>0</v>
      </c>
    </row>
    <row r="474" spans="1:4" x14ac:dyDescent="0.3">
      <c r="A474">
        <v>81011</v>
      </c>
      <c r="B474" t="s">
        <v>853</v>
      </c>
      <c r="C474">
        <v>30</v>
      </c>
      <c r="D474">
        <v>0</v>
      </c>
    </row>
    <row r="475" spans="1:4" x14ac:dyDescent="0.3">
      <c r="A475">
        <v>81024</v>
      </c>
      <c r="B475" t="s">
        <v>744</v>
      </c>
      <c r="C475">
        <v>54</v>
      </c>
      <c r="D475">
        <v>0</v>
      </c>
    </row>
    <row r="476" spans="1:4" x14ac:dyDescent="0.3">
      <c r="A476">
        <v>81027</v>
      </c>
      <c r="B476" t="s">
        <v>108</v>
      </c>
      <c r="C476">
        <v>343</v>
      </c>
      <c r="D476">
        <v>148</v>
      </c>
    </row>
    <row r="477" spans="1:4" x14ac:dyDescent="0.3">
      <c r="A477">
        <v>81029</v>
      </c>
      <c r="B477" t="s">
        <v>829</v>
      </c>
      <c r="C477">
        <v>210</v>
      </c>
      <c r="D477">
        <v>170</v>
      </c>
    </row>
    <row r="478" spans="1:4" x14ac:dyDescent="0.3">
      <c r="A478">
        <v>81033</v>
      </c>
      <c r="B478" t="s">
        <v>745</v>
      </c>
      <c r="C478">
        <v>111</v>
      </c>
      <c r="D478">
        <v>76</v>
      </c>
    </row>
    <row r="479" spans="1:4" x14ac:dyDescent="0.3">
      <c r="A479">
        <v>81041</v>
      </c>
      <c r="B479" t="s">
        <v>74</v>
      </c>
      <c r="C479">
        <v>231</v>
      </c>
      <c r="D479">
        <v>146</v>
      </c>
    </row>
    <row r="480" spans="1:4" x14ac:dyDescent="0.3">
      <c r="A480">
        <v>81043</v>
      </c>
      <c r="B480" t="s">
        <v>746</v>
      </c>
      <c r="C480">
        <v>299</v>
      </c>
      <c r="D480">
        <v>230</v>
      </c>
    </row>
    <row r="481" spans="1:4" x14ac:dyDescent="0.3">
      <c r="A481">
        <v>81045</v>
      </c>
      <c r="B481" t="s">
        <v>748</v>
      </c>
      <c r="C481">
        <v>1042</v>
      </c>
      <c r="D481">
        <v>196</v>
      </c>
    </row>
    <row r="482" spans="1:4" x14ac:dyDescent="0.3">
      <c r="A482">
        <v>81050</v>
      </c>
      <c r="B482" t="s">
        <v>749</v>
      </c>
      <c r="C482">
        <v>66</v>
      </c>
      <c r="D482">
        <v>48</v>
      </c>
    </row>
    <row r="483" spans="1:4" x14ac:dyDescent="0.3">
      <c r="A483">
        <v>81052</v>
      </c>
      <c r="B483" t="s">
        <v>865</v>
      </c>
      <c r="C483">
        <v>199</v>
      </c>
      <c r="D483">
        <v>177</v>
      </c>
    </row>
    <row r="484" spans="1:4" x14ac:dyDescent="0.3">
      <c r="A484">
        <v>81076</v>
      </c>
      <c r="B484" t="s">
        <v>195</v>
      </c>
      <c r="C484">
        <v>924</v>
      </c>
      <c r="D484">
        <v>592</v>
      </c>
    </row>
    <row r="485" spans="1:4" x14ac:dyDescent="0.3">
      <c r="A485">
        <v>81078</v>
      </c>
      <c r="B485" t="s">
        <v>1266</v>
      </c>
      <c r="C485">
        <v>1080</v>
      </c>
      <c r="D485">
        <v>1</v>
      </c>
    </row>
    <row r="486" spans="1:4" x14ac:dyDescent="0.3">
      <c r="A486">
        <v>81097</v>
      </c>
      <c r="B486" t="s">
        <v>750</v>
      </c>
      <c r="C486">
        <v>555</v>
      </c>
      <c r="D486">
        <v>0</v>
      </c>
    </row>
    <row r="487" spans="1:4" x14ac:dyDescent="0.3">
      <c r="A487">
        <v>81099</v>
      </c>
      <c r="B487" t="s">
        <v>128</v>
      </c>
      <c r="C487">
        <v>806</v>
      </c>
      <c r="D487">
        <v>229</v>
      </c>
    </row>
    <row r="488" spans="1:4" x14ac:dyDescent="0.3">
      <c r="A488">
        <v>81114</v>
      </c>
      <c r="B488" t="s">
        <v>807</v>
      </c>
      <c r="C488">
        <v>10</v>
      </c>
      <c r="D488">
        <v>0</v>
      </c>
    </row>
    <row r="489" spans="1:4" x14ac:dyDescent="0.3">
      <c r="A489">
        <v>81123</v>
      </c>
      <c r="B489" t="s">
        <v>830</v>
      </c>
      <c r="C489">
        <v>183</v>
      </c>
      <c r="D489">
        <v>0</v>
      </c>
    </row>
    <row r="490" spans="1:4" x14ac:dyDescent="0.3">
      <c r="A490">
        <v>81174</v>
      </c>
      <c r="B490" t="s">
        <v>279</v>
      </c>
      <c r="C490">
        <v>124</v>
      </c>
      <c r="D490">
        <v>72</v>
      </c>
    </row>
    <row r="491" spans="1:4" x14ac:dyDescent="0.3">
      <c r="A491">
        <v>81205</v>
      </c>
      <c r="B491" t="s">
        <v>649</v>
      </c>
      <c r="C491">
        <v>23</v>
      </c>
      <c r="D491">
        <v>0</v>
      </c>
    </row>
    <row r="492" spans="1:4" x14ac:dyDescent="0.3">
      <c r="A492">
        <v>85448</v>
      </c>
      <c r="B492" t="s">
        <v>1272</v>
      </c>
      <c r="C492">
        <v>319</v>
      </c>
      <c r="D492">
        <v>3</v>
      </c>
    </row>
    <row r="493" spans="1:4" x14ac:dyDescent="0.3">
      <c r="A493">
        <v>85454</v>
      </c>
      <c r="B493" t="s">
        <v>831</v>
      </c>
      <c r="C493">
        <v>147</v>
      </c>
      <c r="D493">
        <v>0</v>
      </c>
    </row>
    <row r="494" spans="1:4" x14ac:dyDescent="0.3">
      <c r="A494">
        <v>85516</v>
      </c>
      <c r="B494" t="s">
        <v>802</v>
      </c>
      <c r="C494">
        <v>483</v>
      </c>
      <c r="D494">
        <v>16</v>
      </c>
    </row>
    <row r="495" spans="1:4" x14ac:dyDescent="0.3">
      <c r="A495">
        <v>85540</v>
      </c>
      <c r="B495" t="s">
        <v>803</v>
      </c>
      <c r="C495">
        <v>105</v>
      </c>
      <c r="D495">
        <v>74</v>
      </c>
    </row>
    <row r="496" spans="1:4" x14ac:dyDescent="0.3">
      <c r="A496">
        <v>85749</v>
      </c>
      <c r="B496" t="s">
        <v>49</v>
      </c>
      <c r="C496">
        <v>311</v>
      </c>
      <c r="D496">
        <v>70</v>
      </c>
    </row>
    <row r="497" spans="1:4" x14ac:dyDescent="0.3">
      <c r="A497">
        <v>85807</v>
      </c>
      <c r="B497" t="s">
        <v>400</v>
      </c>
      <c r="C497">
        <v>142</v>
      </c>
      <c r="D497">
        <v>49</v>
      </c>
    </row>
    <row r="498" spans="1:4" x14ac:dyDescent="0.3">
      <c r="A498">
        <v>85816</v>
      </c>
      <c r="B498" t="s">
        <v>683</v>
      </c>
      <c r="C498">
        <v>407</v>
      </c>
      <c r="D498">
        <v>3</v>
      </c>
    </row>
    <row r="499" spans="1:4" x14ac:dyDescent="0.3">
      <c r="A499">
        <v>87275</v>
      </c>
      <c r="B499" t="s">
        <v>645</v>
      </c>
      <c r="C499">
        <v>10</v>
      </c>
      <c r="D499">
        <v>0</v>
      </c>
    </row>
    <row r="500" spans="1:4" x14ac:dyDescent="0.3">
      <c r="A500">
        <v>87334</v>
      </c>
      <c r="B500" t="s">
        <v>487</v>
      </c>
      <c r="C500">
        <v>43</v>
      </c>
      <c r="D500">
        <v>2</v>
      </c>
    </row>
    <row r="501" spans="1:4" x14ac:dyDescent="0.3">
      <c r="A501">
        <v>87349</v>
      </c>
      <c r="B501" t="s">
        <v>251</v>
      </c>
      <c r="C501">
        <v>99</v>
      </c>
      <c r="D501">
        <v>20</v>
      </c>
    </row>
    <row r="502" spans="1:4" x14ac:dyDescent="0.3">
      <c r="A502">
        <v>87399</v>
      </c>
      <c r="B502" t="s">
        <v>681</v>
      </c>
      <c r="C502">
        <v>765</v>
      </c>
      <c r="D502">
        <v>172</v>
      </c>
    </row>
    <row r="503" spans="1:4" x14ac:dyDescent="0.3">
      <c r="A503">
        <v>87401</v>
      </c>
      <c r="B503" t="s">
        <v>682</v>
      </c>
      <c r="C503">
        <v>629</v>
      </c>
      <c r="D503">
        <v>354</v>
      </c>
    </row>
    <row r="504" spans="1:4" x14ac:dyDescent="0.3">
      <c r="A504">
        <v>87403</v>
      </c>
      <c r="B504" t="s">
        <v>683</v>
      </c>
      <c r="C504">
        <v>162</v>
      </c>
      <c r="D504">
        <v>50</v>
      </c>
    </row>
    <row r="505" spans="1:4" x14ac:dyDescent="0.3">
      <c r="A505">
        <v>87405</v>
      </c>
      <c r="B505" t="s">
        <v>836</v>
      </c>
      <c r="C505">
        <v>4183</v>
      </c>
      <c r="D505">
        <v>704</v>
      </c>
    </row>
    <row r="506" spans="1:4" x14ac:dyDescent="0.3">
      <c r="A506">
        <v>87407</v>
      </c>
      <c r="B506" t="s">
        <v>684</v>
      </c>
      <c r="C506">
        <v>2061</v>
      </c>
      <c r="D506">
        <v>923</v>
      </c>
    </row>
    <row r="507" spans="1:4" x14ac:dyDescent="0.3">
      <c r="A507">
        <v>87600</v>
      </c>
      <c r="B507" t="s">
        <v>181</v>
      </c>
      <c r="C507">
        <v>4</v>
      </c>
      <c r="D507">
        <v>4</v>
      </c>
    </row>
    <row r="508" spans="1:4" x14ac:dyDescent="0.3">
      <c r="A508">
        <v>88299</v>
      </c>
      <c r="B508" t="s">
        <v>534</v>
      </c>
      <c r="C508">
        <v>711</v>
      </c>
      <c r="D508">
        <v>1</v>
      </c>
    </row>
    <row r="509" spans="1:4" x14ac:dyDescent="0.3">
      <c r="A509">
        <v>88308</v>
      </c>
      <c r="B509" t="s">
        <v>833</v>
      </c>
      <c r="C509">
        <v>67</v>
      </c>
      <c r="D509">
        <v>28</v>
      </c>
    </row>
    <row r="510" spans="1:4" x14ac:dyDescent="0.3">
      <c r="A510">
        <v>88317</v>
      </c>
      <c r="B510" t="s">
        <v>353</v>
      </c>
      <c r="C510">
        <v>280</v>
      </c>
      <c r="D510">
        <v>244</v>
      </c>
    </row>
    <row r="511" spans="1:4" x14ac:dyDescent="0.3">
      <c r="A511">
        <v>88321</v>
      </c>
      <c r="B511" t="s">
        <v>867</v>
      </c>
      <c r="C511">
        <v>187</v>
      </c>
      <c r="D511">
        <v>118</v>
      </c>
    </row>
    <row r="512" spans="1:4" x14ac:dyDescent="0.3">
      <c r="A512">
        <v>88334</v>
      </c>
      <c r="B512" t="s">
        <v>685</v>
      </c>
      <c r="C512">
        <v>411</v>
      </c>
      <c r="D512">
        <v>316</v>
      </c>
    </row>
    <row r="513" spans="1:4" x14ac:dyDescent="0.3">
      <c r="A513">
        <v>88360</v>
      </c>
      <c r="B513" t="s">
        <v>507</v>
      </c>
      <c r="C513">
        <v>1178</v>
      </c>
      <c r="D513">
        <v>388</v>
      </c>
    </row>
    <row r="514" spans="1:4" x14ac:dyDescent="0.3">
      <c r="A514">
        <v>88365</v>
      </c>
      <c r="B514" t="s">
        <v>686</v>
      </c>
      <c r="C514">
        <v>378</v>
      </c>
      <c r="D514">
        <v>3</v>
      </c>
    </row>
    <row r="515" spans="1:4" x14ac:dyDescent="0.3">
      <c r="A515">
        <v>88367</v>
      </c>
      <c r="B515" t="s">
        <v>687</v>
      </c>
      <c r="C515">
        <v>777</v>
      </c>
      <c r="D515">
        <v>7</v>
      </c>
    </row>
    <row r="516" spans="1:4" x14ac:dyDescent="0.3">
      <c r="A516">
        <v>88369</v>
      </c>
      <c r="B516" t="s">
        <v>688</v>
      </c>
      <c r="C516">
        <v>118</v>
      </c>
      <c r="D516">
        <v>61</v>
      </c>
    </row>
    <row r="517" spans="1:4" x14ac:dyDescent="0.3">
      <c r="A517">
        <v>88372</v>
      </c>
      <c r="B517" t="s">
        <v>689</v>
      </c>
      <c r="C517">
        <v>381</v>
      </c>
      <c r="D517">
        <v>124</v>
      </c>
    </row>
    <row r="518" spans="1:4" x14ac:dyDescent="0.3">
      <c r="A518">
        <v>88374</v>
      </c>
      <c r="B518" t="s">
        <v>690</v>
      </c>
      <c r="C518">
        <v>280</v>
      </c>
      <c r="D518">
        <v>6</v>
      </c>
    </row>
    <row r="519" spans="1:4" x14ac:dyDescent="0.3">
      <c r="A519">
        <v>88618</v>
      </c>
      <c r="B519" t="s">
        <v>635</v>
      </c>
      <c r="C519">
        <v>132</v>
      </c>
      <c r="D519">
        <v>38</v>
      </c>
    </row>
    <row r="520" spans="1:4" x14ac:dyDescent="0.3">
      <c r="A520">
        <v>89380</v>
      </c>
      <c r="B520" t="s">
        <v>485</v>
      </c>
      <c r="C520">
        <v>4</v>
      </c>
      <c r="D520">
        <v>0</v>
      </c>
    </row>
    <row r="521" spans="1:4" x14ac:dyDescent="0.3">
      <c r="A521">
        <v>89412</v>
      </c>
      <c r="B521" t="s">
        <v>731</v>
      </c>
      <c r="C521">
        <v>3495</v>
      </c>
      <c r="D521">
        <v>68</v>
      </c>
    </row>
    <row r="522" spans="1:4" x14ac:dyDescent="0.3">
      <c r="A522">
        <v>89414</v>
      </c>
      <c r="B522" t="s">
        <v>732</v>
      </c>
      <c r="C522">
        <v>141</v>
      </c>
      <c r="D522">
        <v>33</v>
      </c>
    </row>
    <row r="523" spans="1:4" x14ac:dyDescent="0.3">
      <c r="A523">
        <v>89418</v>
      </c>
      <c r="B523" t="s">
        <v>1392</v>
      </c>
      <c r="C523">
        <v>25</v>
      </c>
      <c r="D523">
        <v>0</v>
      </c>
    </row>
    <row r="524" spans="1:4" x14ac:dyDescent="0.3">
      <c r="A524">
        <v>89486</v>
      </c>
      <c r="B524" t="s">
        <v>691</v>
      </c>
      <c r="C524">
        <v>530</v>
      </c>
      <c r="D524">
        <v>0</v>
      </c>
    </row>
    <row r="525" spans="1:4" x14ac:dyDescent="0.3">
      <c r="A525">
        <v>89506</v>
      </c>
      <c r="B525" t="s">
        <v>692</v>
      </c>
      <c r="C525">
        <v>487</v>
      </c>
      <c r="D525">
        <v>36</v>
      </c>
    </row>
    <row r="526" spans="1:4" x14ac:dyDescent="0.3">
      <c r="A526">
        <v>89524</v>
      </c>
      <c r="B526" t="s">
        <v>653</v>
      </c>
      <c r="C526">
        <v>2</v>
      </c>
      <c r="D526">
        <v>0</v>
      </c>
    </row>
    <row r="527" spans="1:4" x14ac:dyDescent="0.3">
      <c r="A527">
        <v>89550</v>
      </c>
      <c r="B527" t="s">
        <v>553</v>
      </c>
      <c r="C527">
        <v>56</v>
      </c>
      <c r="D527">
        <v>0</v>
      </c>
    </row>
    <row r="528" spans="1:4" x14ac:dyDescent="0.3">
      <c r="A528">
        <v>89556</v>
      </c>
      <c r="B528" t="s">
        <v>693</v>
      </c>
      <c r="C528">
        <v>116</v>
      </c>
      <c r="D528">
        <v>100</v>
      </c>
    </row>
    <row r="529" spans="1:4" x14ac:dyDescent="0.3">
      <c r="A529">
        <v>89561</v>
      </c>
      <c r="B529" t="s">
        <v>694</v>
      </c>
      <c r="C529">
        <v>166</v>
      </c>
      <c r="D529">
        <v>2</v>
      </c>
    </row>
    <row r="530" spans="1:4" x14ac:dyDescent="0.3">
      <c r="A530">
        <v>89563</v>
      </c>
      <c r="B530" t="s">
        <v>695</v>
      </c>
      <c r="C530">
        <v>379</v>
      </c>
      <c r="D530">
        <v>1</v>
      </c>
    </row>
    <row r="531" spans="1:4" x14ac:dyDescent="0.3">
      <c r="A531">
        <v>89756</v>
      </c>
      <c r="B531" t="s">
        <v>478</v>
      </c>
      <c r="C531">
        <v>847</v>
      </c>
      <c r="D531">
        <v>0</v>
      </c>
    </row>
    <row r="532" spans="1:4" x14ac:dyDescent="0.3">
      <c r="A532">
        <v>89758</v>
      </c>
      <c r="B532" t="s">
        <v>696</v>
      </c>
      <c r="C532">
        <v>605</v>
      </c>
      <c r="D532">
        <v>0</v>
      </c>
    </row>
    <row r="533" spans="1:4" x14ac:dyDescent="0.3">
      <c r="A533">
        <v>89760</v>
      </c>
      <c r="B533" t="s">
        <v>666</v>
      </c>
      <c r="C533">
        <v>54</v>
      </c>
      <c r="D533">
        <v>0</v>
      </c>
    </row>
    <row r="534" spans="1:4" x14ac:dyDescent="0.3">
      <c r="A534">
        <v>89784</v>
      </c>
      <c r="B534" t="s">
        <v>697</v>
      </c>
      <c r="C534">
        <v>543</v>
      </c>
      <c r="D534">
        <v>427</v>
      </c>
    </row>
    <row r="535" spans="1:4" x14ac:dyDescent="0.3">
      <c r="A535">
        <v>89786</v>
      </c>
      <c r="B535" t="s">
        <v>698</v>
      </c>
      <c r="C535">
        <v>634</v>
      </c>
      <c r="D535">
        <v>491</v>
      </c>
    </row>
    <row r="536" spans="1:4" x14ac:dyDescent="0.3">
      <c r="A536">
        <v>89788</v>
      </c>
      <c r="B536" t="s">
        <v>699</v>
      </c>
      <c r="C536">
        <v>308</v>
      </c>
      <c r="D536">
        <v>161</v>
      </c>
    </row>
    <row r="537" spans="1:4" x14ac:dyDescent="0.3">
      <c r="A537">
        <v>89790</v>
      </c>
      <c r="B537" t="s">
        <v>700</v>
      </c>
      <c r="C537">
        <v>322</v>
      </c>
      <c r="D537">
        <v>99</v>
      </c>
    </row>
    <row r="538" spans="1:4" x14ac:dyDescent="0.3">
      <c r="A538">
        <v>89798</v>
      </c>
      <c r="B538" t="s">
        <v>701</v>
      </c>
      <c r="C538">
        <v>688</v>
      </c>
      <c r="D538">
        <v>115</v>
      </c>
    </row>
    <row r="539" spans="1:4" x14ac:dyDescent="0.3">
      <c r="A539">
        <v>89829</v>
      </c>
      <c r="B539" t="s">
        <v>518</v>
      </c>
      <c r="C539">
        <v>535</v>
      </c>
      <c r="D539">
        <v>0</v>
      </c>
    </row>
    <row r="540" spans="1:4" x14ac:dyDescent="0.3">
      <c r="A540">
        <v>89850</v>
      </c>
      <c r="B540" t="s">
        <v>668</v>
      </c>
      <c r="C540">
        <v>720</v>
      </c>
      <c r="D540">
        <v>309</v>
      </c>
    </row>
    <row r="541" spans="1:4" x14ac:dyDescent="0.3">
      <c r="A541">
        <v>89852</v>
      </c>
      <c r="B541" t="s">
        <v>847</v>
      </c>
      <c r="C541">
        <v>465</v>
      </c>
      <c r="D541">
        <v>366</v>
      </c>
    </row>
    <row r="542" spans="1:4" x14ac:dyDescent="0.3">
      <c r="A542">
        <v>89864</v>
      </c>
      <c r="B542" t="s">
        <v>342</v>
      </c>
      <c r="C542">
        <v>104</v>
      </c>
      <c r="D542">
        <v>88</v>
      </c>
    </row>
    <row r="543" spans="1:4" x14ac:dyDescent="0.3">
      <c r="A543">
        <v>89869</v>
      </c>
      <c r="B543" t="s">
        <v>702</v>
      </c>
      <c r="C543">
        <v>146</v>
      </c>
      <c r="D543">
        <v>4</v>
      </c>
    </row>
    <row r="544" spans="1:4" x14ac:dyDescent="0.3">
      <c r="A544">
        <v>89871</v>
      </c>
      <c r="B544" t="s">
        <v>539</v>
      </c>
      <c r="C544">
        <v>66</v>
      </c>
      <c r="D544">
        <v>0</v>
      </c>
    </row>
    <row r="545" spans="1:4" x14ac:dyDescent="0.3">
      <c r="A545">
        <v>89914</v>
      </c>
      <c r="B545" t="s">
        <v>815</v>
      </c>
      <c r="C545">
        <v>324</v>
      </c>
      <c r="D545">
        <v>297</v>
      </c>
    </row>
    <row r="546" spans="1:4" x14ac:dyDescent="0.3">
      <c r="A546">
        <v>89915</v>
      </c>
      <c r="B546" t="s">
        <v>392</v>
      </c>
      <c r="C546">
        <v>322</v>
      </c>
      <c r="D546">
        <v>165</v>
      </c>
    </row>
    <row r="547" spans="1:4" x14ac:dyDescent="0.3">
      <c r="A547">
        <v>89917</v>
      </c>
      <c r="B547" t="s">
        <v>123</v>
      </c>
      <c r="C547">
        <v>466</v>
      </c>
      <c r="D547">
        <v>181</v>
      </c>
    </row>
    <row r="548" spans="1:4" x14ac:dyDescent="0.3">
      <c r="A548">
        <v>89922</v>
      </c>
      <c r="B548" t="s">
        <v>1393</v>
      </c>
      <c r="C548">
        <v>6</v>
      </c>
      <c r="D548">
        <v>1</v>
      </c>
    </row>
    <row r="549" spans="1:4" x14ac:dyDescent="0.3">
      <c r="A549">
        <v>89949</v>
      </c>
      <c r="B549" t="s">
        <v>56</v>
      </c>
      <c r="C549">
        <v>388</v>
      </c>
      <c r="D549">
        <v>254</v>
      </c>
    </row>
    <row r="550" spans="1:4" x14ac:dyDescent="0.3">
      <c r="A550">
        <v>89951</v>
      </c>
      <c r="B550" t="s">
        <v>630</v>
      </c>
      <c r="C550">
        <v>84</v>
      </c>
      <c r="D550">
        <v>8</v>
      </c>
    </row>
    <row r="551" spans="1:4" x14ac:dyDescent="0.3">
      <c r="A551">
        <v>90034</v>
      </c>
      <c r="B551" t="s">
        <v>703</v>
      </c>
      <c r="C551">
        <v>578</v>
      </c>
      <c r="D551">
        <v>341</v>
      </c>
    </row>
    <row r="552" spans="1:4" x14ac:dyDescent="0.3">
      <c r="A552">
        <v>90036</v>
      </c>
      <c r="B552" t="s">
        <v>704</v>
      </c>
      <c r="C552">
        <v>341</v>
      </c>
      <c r="D552">
        <v>288</v>
      </c>
    </row>
    <row r="553" spans="1:4" x14ac:dyDescent="0.3">
      <c r="A553">
        <v>90048</v>
      </c>
      <c r="B553" t="s">
        <v>860</v>
      </c>
      <c r="C553">
        <v>9</v>
      </c>
      <c r="D553">
        <v>4</v>
      </c>
    </row>
    <row r="554" spans="1:4" x14ac:dyDescent="0.3">
      <c r="A554">
        <v>90050</v>
      </c>
      <c r="B554" t="s">
        <v>636</v>
      </c>
      <c r="C554">
        <v>68</v>
      </c>
      <c r="D554">
        <v>10</v>
      </c>
    </row>
    <row r="555" spans="1:4" x14ac:dyDescent="0.3">
      <c r="A555">
        <v>90090</v>
      </c>
      <c r="B555" t="s">
        <v>497</v>
      </c>
      <c r="C555">
        <v>45</v>
      </c>
      <c r="D555">
        <v>2</v>
      </c>
    </row>
    <row r="556" spans="1:4" x14ac:dyDescent="0.3">
      <c r="A556">
        <v>90099</v>
      </c>
      <c r="B556" t="s">
        <v>650</v>
      </c>
      <c r="C556">
        <v>15</v>
      </c>
      <c r="D556">
        <v>0</v>
      </c>
    </row>
    <row r="557" spans="1:4" x14ac:dyDescent="0.3">
      <c r="A557">
        <v>90123</v>
      </c>
      <c r="B557" t="s">
        <v>457</v>
      </c>
      <c r="C557">
        <v>5</v>
      </c>
      <c r="D557">
        <v>0</v>
      </c>
    </row>
    <row r="558" spans="1:4" x14ac:dyDescent="0.3">
      <c r="A558">
        <v>90138</v>
      </c>
      <c r="B558" t="s">
        <v>705</v>
      </c>
      <c r="C558">
        <v>995</v>
      </c>
      <c r="D558">
        <v>0</v>
      </c>
    </row>
    <row r="559" spans="1:4" x14ac:dyDescent="0.3">
      <c r="A559">
        <v>90140</v>
      </c>
      <c r="B559" t="s">
        <v>1268</v>
      </c>
      <c r="C559">
        <v>606</v>
      </c>
      <c r="D559">
        <v>525</v>
      </c>
    </row>
    <row r="560" spans="1:4" x14ac:dyDescent="0.3">
      <c r="A560">
        <v>90142</v>
      </c>
      <c r="B560" t="s">
        <v>407</v>
      </c>
      <c r="C560">
        <v>204</v>
      </c>
      <c r="D560">
        <v>100</v>
      </c>
    </row>
    <row r="561" spans="1:4" x14ac:dyDescent="0.3">
      <c r="A561">
        <v>90160</v>
      </c>
      <c r="B561" t="s">
        <v>706</v>
      </c>
      <c r="C561">
        <v>191</v>
      </c>
      <c r="D561">
        <v>117</v>
      </c>
    </row>
    <row r="562" spans="1:4" x14ac:dyDescent="0.3">
      <c r="A562">
        <v>90162</v>
      </c>
      <c r="B562" t="s">
        <v>707</v>
      </c>
      <c r="C562">
        <v>218</v>
      </c>
      <c r="D562">
        <v>156</v>
      </c>
    </row>
    <row r="563" spans="1:4" x14ac:dyDescent="0.3">
      <c r="A563">
        <v>90192</v>
      </c>
      <c r="B563" t="s">
        <v>708</v>
      </c>
      <c r="C563">
        <v>287</v>
      </c>
      <c r="D563">
        <v>147</v>
      </c>
    </row>
    <row r="564" spans="1:4" x14ac:dyDescent="0.3">
      <c r="A564">
        <v>90199</v>
      </c>
      <c r="B564" t="s">
        <v>834</v>
      </c>
      <c r="C564">
        <v>614</v>
      </c>
      <c r="D564">
        <v>1</v>
      </c>
    </row>
    <row r="565" spans="1:4" x14ac:dyDescent="0.3">
      <c r="A565">
        <v>90201</v>
      </c>
      <c r="B565" t="s">
        <v>152</v>
      </c>
      <c r="C565">
        <v>506</v>
      </c>
      <c r="D565">
        <v>117</v>
      </c>
    </row>
    <row r="566" spans="1:4" x14ac:dyDescent="0.3">
      <c r="A566">
        <v>90273</v>
      </c>
      <c r="B566" t="s">
        <v>709</v>
      </c>
      <c r="C566">
        <v>180</v>
      </c>
      <c r="D566">
        <v>173</v>
      </c>
    </row>
    <row r="567" spans="1:4" x14ac:dyDescent="0.3">
      <c r="A567">
        <v>90275</v>
      </c>
      <c r="B567" t="s">
        <v>359</v>
      </c>
      <c r="C567">
        <v>107</v>
      </c>
      <c r="D567">
        <v>100</v>
      </c>
    </row>
    <row r="568" spans="1:4" x14ac:dyDescent="0.3">
      <c r="A568">
        <v>90284</v>
      </c>
      <c r="B568" t="s">
        <v>816</v>
      </c>
      <c r="C568">
        <v>216</v>
      </c>
      <c r="D568">
        <v>53</v>
      </c>
    </row>
    <row r="569" spans="1:4" x14ac:dyDescent="0.3">
      <c r="A569">
        <v>90287</v>
      </c>
      <c r="B569" t="s">
        <v>710</v>
      </c>
      <c r="C569">
        <v>2175</v>
      </c>
      <c r="D569">
        <v>0</v>
      </c>
    </row>
    <row r="570" spans="1:4" x14ac:dyDescent="0.3">
      <c r="A570">
        <v>90317</v>
      </c>
      <c r="B570" t="s">
        <v>711</v>
      </c>
      <c r="C570">
        <v>205</v>
      </c>
      <c r="D570">
        <v>8</v>
      </c>
    </row>
    <row r="571" spans="1:4" x14ac:dyDescent="0.3">
      <c r="A571">
        <v>90327</v>
      </c>
      <c r="B571" t="s">
        <v>712</v>
      </c>
      <c r="C571">
        <v>864</v>
      </c>
      <c r="D571">
        <v>285</v>
      </c>
    </row>
    <row r="572" spans="1:4" x14ac:dyDescent="0.3">
      <c r="A572">
        <v>90328</v>
      </c>
      <c r="B572" t="s">
        <v>713</v>
      </c>
      <c r="C572">
        <v>238</v>
      </c>
      <c r="D572">
        <v>178</v>
      </c>
    </row>
    <row r="573" spans="1:4" x14ac:dyDescent="0.3">
      <c r="A573">
        <v>90329</v>
      </c>
      <c r="B573" t="s">
        <v>714</v>
      </c>
      <c r="C573">
        <v>139</v>
      </c>
      <c r="D573">
        <v>4</v>
      </c>
    </row>
    <row r="574" spans="1:4" x14ac:dyDescent="0.3">
      <c r="A574">
        <v>90330</v>
      </c>
      <c r="B574" t="s">
        <v>715</v>
      </c>
      <c r="C574">
        <v>275</v>
      </c>
      <c r="D574">
        <v>275</v>
      </c>
    </row>
    <row r="575" spans="1:4" x14ac:dyDescent="0.3">
      <c r="A575">
        <v>90331</v>
      </c>
      <c r="B575" t="s">
        <v>119</v>
      </c>
      <c r="C575">
        <v>57</v>
      </c>
      <c r="D575">
        <v>52</v>
      </c>
    </row>
    <row r="576" spans="1:4" x14ac:dyDescent="0.3">
      <c r="A576">
        <v>90333</v>
      </c>
      <c r="B576" t="s">
        <v>228</v>
      </c>
      <c r="C576">
        <v>155</v>
      </c>
      <c r="D576">
        <v>90</v>
      </c>
    </row>
    <row r="577" spans="1:4" x14ac:dyDescent="0.3">
      <c r="A577">
        <v>90334</v>
      </c>
      <c r="B577" t="s">
        <v>230</v>
      </c>
      <c r="C577">
        <v>235</v>
      </c>
      <c r="D577">
        <v>170</v>
      </c>
    </row>
    <row r="578" spans="1:4" x14ac:dyDescent="0.3">
      <c r="A578">
        <v>90403</v>
      </c>
      <c r="B578" t="s">
        <v>654</v>
      </c>
      <c r="C578">
        <v>1</v>
      </c>
      <c r="D578">
        <v>0</v>
      </c>
    </row>
    <row r="579" spans="1:4" x14ac:dyDescent="0.3">
      <c r="A579">
        <v>90471</v>
      </c>
      <c r="B579" t="s">
        <v>639</v>
      </c>
      <c r="C579">
        <v>3</v>
      </c>
      <c r="D579">
        <v>1</v>
      </c>
    </row>
    <row r="580" spans="1:4" x14ac:dyDescent="0.3">
      <c r="A580">
        <v>90506</v>
      </c>
      <c r="B580" t="s">
        <v>142</v>
      </c>
      <c r="C580">
        <v>65</v>
      </c>
      <c r="D580">
        <v>65</v>
      </c>
    </row>
    <row r="581" spans="1:4" x14ac:dyDescent="0.3">
      <c r="A581">
        <v>90508</v>
      </c>
      <c r="B581" t="s">
        <v>1266</v>
      </c>
      <c r="C581">
        <v>567</v>
      </c>
      <c r="D581">
        <v>0</v>
      </c>
    </row>
    <row r="582" spans="1:4" x14ac:dyDescent="0.3">
      <c r="A582">
        <v>90532</v>
      </c>
      <c r="B582" t="s">
        <v>551</v>
      </c>
      <c r="C582">
        <v>789</v>
      </c>
      <c r="D582">
        <v>0</v>
      </c>
    </row>
    <row r="583" spans="1:4" x14ac:dyDescent="0.3">
      <c r="A583">
        <v>90533</v>
      </c>
      <c r="B583" t="s">
        <v>861</v>
      </c>
      <c r="C583">
        <v>160</v>
      </c>
      <c r="D583">
        <v>60</v>
      </c>
    </row>
    <row r="584" spans="1:4" x14ac:dyDescent="0.3">
      <c r="A584">
        <v>90535</v>
      </c>
      <c r="B584" t="s">
        <v>229</v>
      </c>
      <c r="C584">
        <v>272</v>
      </c>
      <c r="D584">
        <v>146</v>
      </c>
    </row>
    <row r="585" spans="1:4" x14ac:dyDescent="0.3">
      <c r="A585">
        <v>90536</v>
      </c>
      <c r="B585" t="s">
        <v>344</v>
      </c>
      <c r="C585">
        <v>140</v>
      </c>
      <c r="D585">
        <v>31</v>
      </c>
    </row>
    <row r="586" spans="1:4" x14ac:dyDescent="0.3">
      <c r="A586">
        <v>90540</v>
      </c>
      <c r="B586" t="s">
        <v>717</v>
      </c>
      <c r="C586">
        <v>235</v>
      </c>
      <c r="D586">
        <v>3</v>
      </c>
    </row>
    <row r="587" spans="1:4" x14ac:dyDescent="0.3">
      <c r="A587">
        <v>90541</v>
      </c>
      <c r="B587" t="s">
        <v>126</v>
      </c>
      <c r="C587">
        <v>325</v>
      </c>
      <c r="D587">
        <v>150</v>
      </c>
    </row>
    <row r="588" spans="1:4" x14ac:dyDescent="0.3">
      <c r="A588">
        <v>90548</v>
      </c>
      <c r="B588" t="s">
        <v>716</v>
      </c>
      <c r="C588">
        <v>323</v>
      </c>
      <c r="D588">
        <v>80</v>
      </c>
    </row>
    <row r="589" spans="1:4" x14ac:dyDescent="0.3">
      <c r="A589">
        <v>90637</v>
      </c>
      <c r="B589" t="s">
        <v>250</v>
      </c>
      <c r="C589">
        <v>668</v>
      </c>
      <c r="D589">
        <v>361</v>
      </c>
    </row>
    <row r="590" spans="1:4" x14ac:dyDescent="0.3">
      <c r="A590">
        <v>90754</v>
      </c>
      <c r="B590" t="s">
        <v>825</v>
      </c>
      <c r="C590">
        <v>31</v>
      </c>
      <c r="D590">
        <v>24</v>
      </c>
    </row>
    <row r="591" spans="1:4" x14ac:dyDescent="0.3">
      <c r="A591">
        <v>90758</v>
      </c>
      <c r="B591" t="s">
        <v>718</v>
      </c>
      <c r="C591">
        <v>170</v>
      </c>
      <c r="D591">
        <v>5</v>
      </c>
    </row>
    <row r="592" spans="1:4" x14ac:dyDescent="0.3">
      <c r="A592">
        <v>90779</v>
      </c>
      <c r="B592" t="s">
        <v>683</v>
      </c>
      <c r="C592">
        <v>466</v>
      </c>
      <c r="D592">
        <v>183</v>
      </c>
    </row>
    <row r="593" spans="1:4" x14ac:dyDescent="0.3">
      <c r="A593">
        <v>90841</v>
      </c>
      <c r="B593" t="s">
        <v>1266</v>
      </c>
      <c r="C593">
        <v>770</v>
      </c>
      <c r="D593">
        <v>1</v>
      </c>
    </row>
    <row r="594" spans="1:4" x14ac:dyDescent="0.3">
      <c r="A594">
        <v>90842</v>
      </c>
      <c r="B594" t="s">
        <v>1266</v>
      </c>
      <c r="C594">
        <v>893</v>
      </c>
      <c r="D594">
        <v>0</v>
      </c>
    </row>
    <row r="595" spans="1:4" x14ac:dyDescent="0.3">
      <c r="A595">
        <v>90857</v>
      </c>
      <c r="B595" t="s">
        <v>546</v>
      </c>
      <c r="C595">
        <v>404</v>
      </c>
      <c r="D595">
        <v>0</v>
      </c>
    </row>
    <row r="596" spans="1:4" x14ac:dyDescent="0.3">
      <c r="A596">
        <v>90859</v>
      </c>
      <c r="B596" t="s">
        <v>465</v>
      </c>
      <c r="C596">
        <v>602</v>
      </c>
      <c r="D596">
        <v>0</v>
      </c>
    </row>
    <row r="597" spans="1:4" x14ac:dyDescent="0.3">
      <c r="A597">
        <v>90861</v>
      </c>
      <c r="B597" t="s">
        <v>275</v>
      </c>
      <c r="C597">
        <v>450</v>
      </c>
      <c r="D597">
        <v>280</v>
      </c>
    </row>
    <row r="598" spans="1:4" x14ac:dyDescent="0.3">
      <c r="A598">
        <v>90862</v>
      </c>
      <c r="B598" t="s">
        <v>1266</v>
      </c>
      <c r="C598">
        <v>636</v>
      </c>
      <c r="D598">
        <v>1</v>
      </c>
    </row>
    <row r="599" spans="1:4" x14ac:dyDescent="0.3">
      <c r="A599">
        <v>90876</v>
      </c>
      <c r="B599" t="s">
        <v>835</v>
      </c>
      <c r="C599">
        <v>73</v>
      </c>
      <c r="D599">
        <v>56</v>
      </c>
    </row>
    <row r="600" spans="1:4" x14ac:dyDescent="0.3">
      <c r="A600">
        <v>90878</v>
      </c>
      <c r="B600" t="s">
        <v>10</v>
      </c>
      <c r="C600">
        <v>478</v>
      </c>
      <c r="D600">
        <v>425</v>
      </c>
    </row>
    <row r="601" spans="1:4" x14ac:dyDescent="0.3">
      <c r="A601">
        <v>90879</v>
      </c>
      <c r="B601" t="s">
        <v>493</v>
      </c>
      <c r="C601">
        <v>407</v>
      </c>
      <c r="D601">
        <v>0</v>
      </c>
    </row>
    <row r="602" spans="1:4" x14ac:dyDescent="0.3">
      <c r="A602">
        <v>90884</v>
      </c>
      <c r="B602" t="s">
        <v>719</v>
      </c>
      <c r="C602">
        <v>209</v>
      </c>
      <c r="D602">
        <v>110</v>
      </c>
    </row>
    <row r="603" spans="1:4" x14ac:dyDescent="0.3">
      <c r="A603">
        <v>90885</v>
      </c>
      <c r="B603" t="s">
        <v>541</v>
      </c>
      <c r="C603">
        <v>332</v>
      </c>
      <c r="D603">
        <v>0</v>
      </c>
    </row>
    <row r="604" spans="1:4" x14ac:dyDescent="0.3">
      <c r="A604">
        <v>90894</v>
      </c>
      <c r="B604" t="s">
        <v>516</v>
      </c>
      <c r="C604">
        <v>35</v>
      </c>
      <c r="D604">
        <v>1</v>
      </c>
    </row>
    <row r="605" spans="1:4" x14ac:dyDescent="0.3">
      <c r="A605">
        <v>90900</v>
      </c>
      <c r="B605" t="s">
        <v>862</v>
      </c>
      <c r="C605">
        <v>96</v>
      </c>
      <c r="D605">
        <v>51</v>
      </c>
    </row>
    <row r="606" spans="1:4" x14ac:dyDescent="0.3">
      <c r="A606">
        <v>90906</v>
      </c>
      <c r="B606" t="s">
        <v>1290</v>
      </c>
      <c r="C606">
        <v>503</v>
      </c>
      <c r="D606">
        <v>270</v>
      </c>
    </row>
    <row r="607" spans="1:4" x14ac:dyDescent="0.3">
      <c r="A607">
        <v>90915</v>
      </c>
      <c r="B607" t="s">
        <v>1269</v>
      </c>
      <c r="C607">
        <v>541</v>
      </c>
      <c r="D607">
        <v>0</v>
      </c>
    </row>
    <row r="608" spans="1:4" x14ac:dyDescent="0.3">
      <c r="A608">
        <v>90916</v>
      </c>
      <c r="B608" t="s">
        <v>545</v>
      </c>
      <c r="C608">
        <v>536</v>
      </c>
      <c r="D608">
        <v>0</v>
      </c>
    </row>
    <row r="609" spans="1:4" x14ac:dyDescent="0.3">
      <c r="A609">
        <v>90917</v>
      </c>
      <c r="B609" t="s">
        <v>549</v>
      </c>
      <c r="C609">
        <v>532</v>
      </c>
      <c r="D609">
        <v>0</v>
      </c>
    </row>
    <row r="610" spans="1:4" x14ac:dyDescent="0.3">
      <c r="A610">
        <v>90997</v>
      </c>
      <c r="B610" t="s">
        <v>818</v>
      </c>
      <c r="C610">
        <v>244</v>
      </c>
      <c r="D610">
        <v>220</v>
      </c>
    </row>
    <row r="611" spans="1:4" x14ac:dyDescent="0.3">
      <c r="A611">
        <v>91053</v>
      </c>
      <c r="B611" t="s">
        <v>721</v>
      </c>
      <c r="C611">
        <v>130</v>
      </c>
      <c r="D611">
        <v>14</v>
      </c>
    </row>
    <row r="612" spans="1:4" x14ac:dyDescent="0.3">
      <c r="A612">
        <v>91108</v>
      </c>
      <c r="B612" t="s">
        <v>394</v>
      </c>
      <c r="C612">
        <v>305</v>
      </c>
      <c r="D612">
        <v>3</v>
      </c>
    </row>
    <row r="613" spans="1:4" x14ac:dyDescent="0.3">
      <c r="A613">
        <v>91110</v>
      </c>
      <c r="B613" t="s">
        <v>479</v>
      </c>
      <c r="C613">
        <v>133</v>
      </c>
      <c r="D613">
        <v>1</v>
      </c>
    </row>
    <row r="614" spans="1:4" x14ac:dyDescent="0.3">
      <c r="A614">
        <v>91131</v>
      </c>
      <c r="B614" t="s">
        <v>683</v>
      </c>
      <c r="C614">
        <v>192</v>
      </c>
      <c r="D614">
        <v>77</v>
      </c>
    </row>
    <row r="615" spans="1:4" x14ac:dyDescent="0.3">
      <c r="A615">
        <v>91133</v>
      </c>
      <c r="B615" t="s">
        <v>57</v>
      </c>
      <c r="C615">
        <v>1192</v>
      </c>
      <c r="D615">
        <v>154</v>
      </c>
    </row>
    <row r="616" spans="1:4" x14ac:dyDescent="0.3">
      <c r="A616">
        <v>91135</v>
      </c>
      <c r="B616" t="s">
        <v>505</v>
      </c>
      <c r="C616">
        <v>1300</v>
      </c>
      <c r="D616">
        <v>621</v>
      </c>
    </row>
    <row r="617" spans="1:4" x14ac:dyDescent="0.3">
      <c r="A617">
        <v>91137</v>
      </c>
      <c r="B617" t="s">
        <v>503</v>
      </c>
      <c r="C617">
        <v>1252</v>
      </c>
      <c r="D617">
        <v>319</v>
      </c>
    </row>
    <row r="618" spans="1:4" x14ac:dyDescent="0.3">
      <c r="A618">
        <v>91170</v>
      </c>
      <c r="B618" t="s">
        <v>1260</v>
      </c>
      <c r="C618">
        <v>319</v>
      </c>
      <c r="D618">
        <v>254</v>
      </c>
    </row>
    <row r="619" spans="1:4" x14ac:dyDescent="0.3">
      <c r="A619">
        <v>91174</v>
      </c>
      <c r="B619" t="s">
        <v>248</v>
      </c>
      <c r="C619">
        <v>317</v>
      </c>
      <c r="D619">
        <v>130</v>
      </c>
    </row>
    <row r="620" spans="1:4" x14ac:dyDescent="0.3">
      <c r="A620">
        <v>91238</v>
      </c>
      <c r="B620" t="s">
        <v>817</v>
      </c>
      <c r="C620">
        <v>142</v>
      </c>
      <c r="D620">
        <v>70</v>
      </c>
    </row>
    <row r="621" spans="1:4" x14ac:dyDescent="0.3">
      <c r="A621">
        <v>91250</v>
      </c>
      <c r="B621" t="s">
        <v>667</v>
      </c>
      <c r="C621">
        <v>700</v>
      </c>
      <c r="D621">
        <v>553</v>
      </c>
    </row>
    <row r="622" spans="1:4" x14ac:dyDescent="0.3">
      <c r="A622">
        <v>91275</v>
      </c>
      <c r="B622" t="s">
        <v>513</v>
      </c>
      <c r="C622">
        <v>151</v>
      </c>
      <c r="D622">
        <v>120</v>
      </c>
    </row>
    <row r="623" spans="1:4" x14ac:dyDescent="0.3">
      <c r="A623">
        <v>91277</v>
      </c>
      <c r="B623" t="s">
        <v>158</v>
      </c>
      <c r="C623">
        <v>631</v>
      </c>
      <c r="D623">
        <v>610</v>
      </c>
    </row>
    <row r="624" spans="1:4" x14ac:dyDescent="0.3">
      <c r="A624">
        <v>91279</v>
      </c>
      <c r="B624" t="s">
        <v>1288</v>
      </c>
      <c r="C624">
        <v>16</v>
      </c>
      <c r="D624">
        <v>0</v>
      </c>
    </row>
    <row r="625" spans="1:4" x14ac:dyDescent="0.3">
      <c r="A625">
        <v>91280</v>
      </c>
      <c r="B625" t="s">
        <v>1266</v>
      </c>
      <c r="C625">
        <v>774</v>
      </c>
      <c r="D625">
        <v>0</v>
      </c>
    </row>
    <row r="626" spans="1:4" x14ac:dyDescent="0.3">
      <c r="A626">
        <v>91303</v>
      </c>
      <c r="B626" t="s">
        <v>56</v>
      </c>
      <c r="C626">
        <v>394</v>
      </c>
      <c r="D626">
        <v>233</v>
      </c>
    </row>
    <row r="627" spans="1:4" x14ac:dyDescent="0.3">
      <c r="A627">
        <v>91305</v>
      </c>
      <c r="B627" t="s">
        <v>56</v>
      </c>
      <c r="C627">
        <v>230</v>
      </c>
      <c r="D627">
        <v>45</v>
      </c>
    </row>
    <row r="628" spans="1:4" x14ac:dyDescent="0.3">
      <c r="A628">
        <v>91307</v>
      </c>
      <c r="B628" t="s">
        <v>56</v>
      </c>
      <c r="C628">
        <v>368</v>
      </c>
      <c r="D628">
        <v>54</v>
      </c>
    </row>
    <row r="629" spans="1:4" x14ac:dyDescent="0.3">
      <c r="A629">
        <v>91309</v>
      </c>
      <c r="B629" t="s">
        <v>1266</v>
      </c>
      <c r="C629">
        <v>1058</v>
      </c>
      <c r="D629">
        <v>0</v>
      </c>
    </row>
    <row r="630" spans="1:4" x14ac:dyDescent="0.3">
      <c r="A630">
        <v>91317</v>
      </c>
      <c r="B630" t="s">
        <v>480</v>
      </c>
      <c r="C630">
        <v>592</v>
      </c>
      <c r="D630">
        <v>8</v>
      </c>
    </row>
    <row r="631" spans="1:4" x14ac:dyDescent="0.3">
      <c r="A631">
        <v>91326</v>
      </c>
      <c r="B631" t="s">
        <v>512</v>
      </c>
      <c r="C631">
        <v>332</v>
      </c>
      <c r="D631">
        <v>133</v>
      </c>
    </row>
    <row r="632" spans="1:4" x14ac:dyDescent="0.3">
      <c r="A632">
        <v>91328</v>
      </c>
      <c r="B632" t="s">
        <v>226</v>
      </c>
      <c r="C632">
        <v>203</v>
      </c>
      <c r="D632">
        <v>121</v>
      </c>
    </row>
    <row r="633" spans="1:4" x14ac:dyDescent="0.3">
      <c r="A633">
        <v>91329</v>
      </c>
      <c r="B633" t="s">
        <v>225</v>
      </c>
      <c r="C633">
        <v>28</v>
      </c>
      <c r="D633">
        <v>28</v>
      </c>
    </row>
    <row r="634" spans="1:4" x14ac:dyDescent="0.3">
      <c r="A634">
        <v>91330</v>
      </c>
      <c r="B634" t="s">
        <v>536</v>
      </c>
      <c r="C634">
        <v>82</v>
      </c>
      <c r="D634">
        <v>28</v>
      </c>
    </row>
    <row r="635" spans="1:4" x14ac:dyDescent="0.3">
      <c r="A635">
        <v>91339</v>
      </c>
      <c r="B635" t="s">
        <v>1266</v>
      </c>
      <c r="C635">
        <v>755</v>
      </c>
      <c r="D635">
        <v>0</v>
      </c>
    </row>
    <row r="636" spans="1:4" x14ac:dyDescent="0.3">
      <c r="A636">
        <v>91340</v>
      </c>
      <c r="B636" t="s">
        <v>468</v>
      </c>
      <c r="C636">
        <v>43</v>
      </c>
      <c r="D636">
        <v>0</v>
      </c>
    </row>
    <row r="637" spans="1:4" x14ac:dyDescent="0.3">
      <c r="A637">
        <v>91758</v>
      </c>
      <c r="B637" t="s">
        <v>547</v>
      </c>
      <c r="C637">
        <v>511</v>
      </c>
      <c r="D637">
        <v>2</v>
      </c>
    </row>
    <row r="638" spans="1:4" x14ac:dyDescent="0.3">
      <c r="A638">
        <v>91763</v>
      </c>
      <c r="B638" t="s">
        <v>508</v>
      </c>
      <c r="C638">
        <v>940</v>
      </c>
      <c r="D638">
        <v>456</v>
      </c>
    </row>
    <row r="639" spans="1:4" x14ac:dyDescent="0.3">
      <c r="A639">
        <v>91773</v>
      </c>
      <c r="B639" t="s">
        <v>848</v>
      </c>
      <c r="C639">
        <v>102</v>
      </c>
      <c r="D639">
        <v>59</v>
      </c>
    </row>
    <row r="640" spans="1:4" x14ac:dyDescent="0.3">
      <c r="A640">
        <v>91827</v>
      </c>
      <c r="B640" t="s">
        <v>663</v>
      </c>
      <c r="C640">
        <v>7</v>
      </c>
      <c r="D640">
        <v>0</v>
      </c>
    </row>
    <row r="641" spans="1:4" x14ac:dyDescent="0.3">
      <c r="A641">
        <v>91877</v>
      </c>
      <c r="B641" t="s">
        <v>642</v>
      </c>
      <c r="C641">
        <v>8</v>
      </c>
      <c r="D641">
        <v>1</v>
      </c>
    </row>
    <row r="642" spans="1:4" x14ac:dyDescent="0.3">
      <c r="A642">
        <v>91878</v>
      </c>
      <c r="B642" t="s">
        <v>548</v>
      </c>
      <c r="C642">
        <v>537</v>
      </c>
      <c r="D642">
        <v>0</v>
      </c>
    </row>
    <row r="643" spans="1:4" x14ac:dyDescent="0.3">
      <c r="A643">
        <v>91933</v>
      </c>
      <c r="B643" t="s">
        <v>405</v>
      </c>
      <c r="C643">
        <v>117</v>
      </c>
      <c r="D643">
        <v>104</v>
      </c>
    </row>
    <row r="644" spans="1:4" x14ac:dyDescent="0.3">
      <c r="A644">
        <v>91934</v>
      </c>
      <c r="B644" t="s">
        <v>92</v>
      </c>
      <c r="C644">
        <v>172</v>
      </c>
      <c r="D644">
        <v>165</v>
      </c>
    </row>
    <row r="645" spans="1:4" x14ac:dyDescent="0.3">
      <c r="A645">
        <v>91935</v>
      </c>
      <c r="B645" t="s">
        <v>266</v>
      </c>
      <c r="C645">
        <v>363</v>
      </c>
      <c r="D645">
        <v>185</v>
      </c>
    </row>
    <row r="646" spans="1:4" x14ac:dyDescent="0.3">
      <c r="A646">
        <v>91937</v>
      </c>
      <c r="B646" t="s">
        <v>439</v>
      </c>
      <c r="C646">
        <v>422</v>
      </c>
      <c r="D646">
        <v>3</v>
      </c>
    </row>
    <row r="647" spans="1:4" x14ac:dyDescent="0.3">
      <c r="A647">
        <v>91938</v>
      </c>
      <c r="B647" t="s">
        <v>1261</v>
      </c>
      <c r="C647">
        <v>281</v>
      </c>
      <c r="D647">
        <v>152</v>
      </c>
    </row>
    <row r="648" spans="1:4" x14ac:dyDescent="0.3">
      <c r="A648">
        <v>91939</v>
      </c>
      <c r="B648" t="s">
        <v>1286</v>
      </c>
      <c r="C648">
        <v>197</v>
      </c>
      <c r="D648">
        <v>176</v>
      </c>
    </row>
    <row r="649" spans="1:4" x14ac:dyDescent="0.3">
      <c r="A649">
        <v>91948</v>
      </c>
      <c r="B649" t="s">
        <v>432</v>
      </c>
      <c r="C649">
        <v>225</v>
      </c>
      <c r="D649">
        <v>146</v>
      </c>
    </row>
    <row r="650" spans="1:4" x14ac:dyDescent="0.3">
      <c r="A650">
        <v>91949</v>
      </c>
      <c r="B650" t="s">
        <v>1266</v>
      </c>
      <c r="C650">
        <v>647</v>
      </c>
      <c r="D650">
        <v>0</v>
      </c>
    </row>
    <row r="651" spans="1:4" x14ac:dyDescent="0.3">
      <c r="A651">
        <v>91958</v>
      </c>
      <c r="B651" t="s">
        <v>669</v>
      </c>
      <c r="C651">
        <v>151</v>
      </c>
      <c r="D651">
        <v>113</v>
      </c>
    </row>
    <row r="652" spans="1:4" x14ac:dyDescent="0.3">
      <c r="A652">
        <v>91992</v>
      </c>
      <c r="B652" t="s">
        <v>813</v>
      </c>
      <c r="C652">
        <v>75</v>
      </c>
      <c r="D652">
        <v>0</v>
      </c>
    </row>
    <row r="653" spans="1:4" x14ac:dyDescent="0.3">
      <c r="A653">
        <v>92043</v>
      </c>
      <c r="B653" t="s">
        <v>396</v>
      </c>
      <c r="C653">
        <v>218</v>
      </c>
      <c r="D653">
        <v>11</v>
      </c>
    </row>
    <row r="654" spans="1:4" x14ac:dyDescent="0.3">
      <c r="A654">
        <v>92047</v>
      </c>
      <c r="B654" t="s">
        <v>504</v>
      </c>
      <c r="C654">
        <v>1147</v>
      </c>
      <c r="D654">
        <v>223</v>
      </c>
    </row>
    <row r="655" spans="1:4" x14ac:dyDescent="0.3">
      <c r="A655">
        <v>92049</v>
      </c>
      <c r="B655" t="s">
        <v>814</v>
      </c>
      <c r="C655">
        <v>88</v>
      </c>
      <c r="D655">
        <v>28</v>
      </c>
    </row>
    <row r="656" spans="1:4" x14ac:dyDescent="0.3">
      <c r="A656">
        <v>92191</v>
      </c>
      <c r="B656" t="s">
        <v>1256</v>
      </c>
      <c r="C656">
        <v>3</v>
      </c>
      <c r="D656">
        <v>0</v>
      </c>
    </row>
    <row r="657" spans="1:4" x14ac:dyDescent="0.3">
      <c r="A657">
        <v>92199</v>
      </c>
      <c r="B657" t="s">
        <v>506</v>
      </c>
      <c r="C657">
        <v>1175</v>
      </c>
      <c r="D657">
        <v>569</v>
      </c>
    </row>
    <row r="658" spans="1:4" x14ac:dyDescent="0.3">
      <c r="A658">
        <v>92226</v>
      </c>
      <c r="B658" t="s">
        <v>672</v>
      </c>
      <c r="C658">
        <v>1071</v>
      </c>
      <c r="D658">
        <v>524</v>
      </c>
    </row>
    <row r="659" spans="1:4" x14ac:dyDescent="0.3">
      <c r="A659">
        <v>92250</v>
      </c>
      <c r="B659" t="s">
        <v>159</v>
      </c>
      <c r="C659">
        <v>530</v>
      </c>
      <c r="D659">
        <v>523</v>
      </c>
    </row>
    <row r="660" spans="1:4" x14ac:dyDescent="0.3">
      <c r="A660">
        <v>92253</v>
      </c>
      <c r="B660" t="s">
        <v>643</v>
      </c>
      <c r="C660">
        <v>7</v>
      </c>
      <c r="D660">
        <v>0</v>
      </c>
    </row>
    <row r="661" spans="1:4" x14ac:dyDescent="0.3">
      <c r="A661">
        <v>92302</v>
      </c>
      <c r="B661" t="s">
        <v>804</v>
      </c>
      <c r="C661">
        <v>328</v>
      </c>
      <c r="D661">
        <v>174</v>
      </c>
    </row>
    <row r="662" spans="1:4" x14ac:dyDescent="0.3">
      <c r="A662">
        <v>92312</v>
      </c>
      <c r="B662" t="s">
        <v>673</v>
      </c>
      <c r="C662">
        <v>533</v>
      </c>
      <c r="D662">
        <v>0</v>
      </c>
    </row>
    <row r="663" spans="1:4" x14ac:dyDescent="0.3">
      <c r="A663">
        <v>92314</v>
      </c>
      <c r="B663" t="s">
        <v>674</v>
      </c>
      <c r="C663">
        <v>515</v>
      </c>
      <c r="D663">
        <v>0</v>
      </c>
    </row>
    <row r="664" spans="1:4" x14ac:dyDescent="0.3">
      <c r="A664">
        <v>92316</v>
      </c>
      <c r="B664" t="s">
        <v>675</v>
      </c>
      <c r="C664">
        <v>421</v>
      </c>
      <c r="D664">
        <v>2</v>
      </c>
    </row>
    <row r="665" spans="1:4" x14ac:dyDescent="0.3">
      <c r="A665">
        <v>92318</v>
      </c>
      <c r="B665" t="s">
        <v>1266</v>
      </c>
      <c r="C665">
        <v>760</v>
      </c>
      <c r="D665">
        <v>0</v>
      </c>
    </row>
    <row r="666" spans="1:4" x14ac:dyDescent="0.3">
      <c r="A666">
        <v>92320</v>
      </c>
      <c r="B666" t="s">
        <v>1266</v>
      </c>
      <c r="C666">
        <v>782</v>
      </c>
      <c r="D666">
        <v>0</v>
      </c>
    </row>
    <row r="667" spans="1:4" x14ac:dyDescent="0.3">
      <c r="A667">
        <v>92325</v>
      </c>
      <c r="B667" t="s">
        <v>56</v>
      </c>
      <c r="C667">
        <v>357</v>
      </c>
      <c r="D667">
        <v>228</v>
      </c>
    </row>
    <row r="668" spans="1:4" x14ac:dyDescent="0.3">
      <c r="A668">
        <v>92327</v>
      </c>
      <c r="B668" t="s">
        <v>56</v>
      </c>
      <c r="C668">
        <v>300</v>
      </c>
      <c r="D668">
        <v>67</v>
      </c>
    </row>
    <row r="669" spans="1:4" x14ac:dyDescent="0.3">
      <c r="A669">
        <v>92349</v>
      </c>
      <c r="B669" t="s">
        <v>1266</v>
      </c>
      <c r="C669">
        <v>861</v>
      </c>
      <c r="D669">
        <v>6</v>
      </c>
    </row>
    <row r="670" spans="1:4" x14ac:dyDescent="0.3">
      <c r="A670">
        <v>92367</v>
      </c>
      <c r="B670" t="s">
        <v>658</v>
      </c>
      <c r="C670">
        <v>2</v>
      </c>
      <c r="D670">
        <v>0</v>
      </c>
    </row>
    <row r="671" spans="1:4" x14ac:dyDescent="0.3">
      <c r="A671">
        <v>92369</v>
      </c>
      <c r="B671" t="s">
        <v>1264</v>
      </c>
      <c r="C671">
        <v>62</v>
      </c>
      <c r="D671">
        <v>4</v>
      </c>
    </row>
    <row r="672" spans="1:4" x14ac:dyDescent="0.3">
      <c r="A672">
        <v>92374</v>
      </c>
      <c r="B672" t="s">
        <v>305</v>
      </c>
      <c r="C672">
        <v>423</v>
      </c>
      <c r="D672">
        <v>237</v>
      </c>
    </row>
    <row r="673" spans="1:4" x14ac:dyDescent="0.3">
      <c r="A673">
        <v>92379</v>
      </c>
      <c r="B673" t="s">
        <v>1252</v>
      </c>
      <c r="C673">
        <v>164</v>
      </c>
      <c r="D673">
        <v>135</v>
      </c>
    </row>
    <row r="674" spans="1:4" x14ac:dyDescent="0.3">
      <c r="A674">
        <v>92381</v>
      </c>
      <c r="B674" t="s">
        <v>1254</v>
      </c>
      <c r="C674">
        <v>311</v>
      </c>
      <c r="D674">
        <v>293</v>
      </c>
    </row>
    <row r="675" spans="1:4" x14ac:dyDescent="0.3">
      <c r="A675">
        <v>92499</v>
      </c>
      <c r="B675" t="s">
        <v>216</v>
      </c>
      <c r="C675">
        <v>172</v>
      </c>
      <c r="D675">
        <v>143</v>
      </c>
    </row>
    <row r="676" spans="1:4" x14ac:dyDescent="0.3">
      <c r="A676">
        <v>92519</v>
      </c>
      <c r="B676" t="s">
        <v>676</v>
      </c>
      <c r="C676">
        <v>418</v>
      </c>
      <c r="D676">
        <v>2</v>
      </c>
    </row>
    <row r="677" spans="1:4" x14ac:dyDescent="0.3">
      <c r="A677">
        <v>92520</v>
      </c>
      <c r="B677" t="s">
        <v>677</v>
      </c>
      <c r="C677">
        <v>440</v>
      </c>
      <c r="D677">
        <v>1</v>
      </c>
    </row>
    <row r="678" spans="1:4" x14ac:dyDescent="0.3">
      <c r="A678">
        <v>92566</v>
      </c>
      <c r="B678" t="s">
        <v>678</v>
      </c>
      <c r="C678">
        <v>41</v>
      </c>
      <c r="D678">
        <v>0</v>
      </c>
    </row>
    <row r="679" spans="1:4" x14ac:dyDescent="0.3">
      <c r="A679">
        <v>92596</v>
      </c>
      <c r="B679" t="s">
        <v>679</v>
      </c>
      <c r="C679">
        <v>64</v>
      </c>
      <c r="D679">
        <v>53</v>
      </c>
    </row>
    <row r="680" spans="1:4" x14ac:dyDescent="0.3">
      <c r="A680">
        <v>92610</v>
      </c>
      <c r="B680" t="s">
        <v>257</v>
      </c>
      <c r="C680">
        <v>1088</v>
      </c>
      <c r="D680">
        <v>270</v>
      </c>
    </row>
    <row r="681" spans="1:4" x14ac:dyDescent="0.3">
      <c r="A681">
        <v>92616</v>
      </c>
      <c r="B681" t="s">
        <v>670</v>
      </c>
      <c r="C681">
        <v>36</v>
      </c>
      <c r="D681">
        <v>12</v>
      </c>
    </row>
    <row r="682" spans="1:4" x14ac:dyDescent="0.3">
      <c r="A682">
        <v>92620</v>
      </c>
      <c r="B682" t="s">
        <v>671</v>
      </c>
      <c r="C682">
        <v>774</v>
      </c>
      <c r="D682">
        <v>4</v>
      </c>
    </row>
    <row r="683" spans="1:4" x14ac:dyDescent="0.3">
      <c r="A683">
        <v>92633</v>
      </c>
      <c r="B683" t="s">
        <v>1275</v>
      </c>
      <c r="C683">
        <v>4</v>
      </c>
      <c r="D683">
        <v>4</v>
      </c>
    </row>
    <row r="684" spans="1:4" x14ac:dyDescent="0.3">
      <c r="A684">
        <v>92656</v>
      </c>
      <c r="B684" t="s">
        <v>1262</v>
      </c>
      <c r="C684">
        <v>509</v>
      </c>
      <c r="D684">
        <v>0</v>
      </c>
    </row>
    <row r="685" spans="1:4" x14ac:dyDescent="0.3">
      <c r="A685">
        <v>92657</v>
      </c>
      <c r="B685" t="s">
        <v>1263</v>
      </c>
      <c r="C685">
        <v>279</v>
      </c>
      <c r="D685">
        <v>0</v>
      </c>
    </row>
    <row r="686" spans="1:4" x14ac:dyDescent="0.3">
      <c r="A686">
        <v>92704</v>
      </c>
      <c r="B686" t="s">
        <v>1265</v>
      </c>
      <c r="C686">
        <v>461</v>
      </c>
      <c r="D686">
        <v>1</v>
      </c>
    </row>
    <row r="687" spans="1:4" x14ac:dyDescent="0.3">
      <c r="A687">
        <v>92716</v>
      </c>
      <c r="B687" t="s">
        <v>1394</v>
      </c>
      <c r="C687">
        <v>168</v>
      </c>
      <c r="D687">
        <v>166</v>
      </c>
    </row>
    <row r="688" spans="1:4" x14ac:dyDescent="0.3">
      <c r="A688">
        <v>92730</v>
      </c>
      <c r="B688" t="s">
        <v>1273</v>
      </c>
      <c r="C688">
        <v>974</v>
      </c>
      <c r="D688">
        <v>3</v>
      </c>
    </row>
    <row r="689" spans="1:4" x14ac:dyDescent="0.3">
      <c r="A689">
        <v>92734</v>
      </c>
      <c r="B689" t="s">
        <v>1266</v>
      </c>
      <c r="C689">
        <v>185</v>
      </c>
      <c r="D689">
        <v>0</v>
      </c>
    </row>
    <row r="690" spans="1:4" x14ac:dyDescent="0.3">
      <c r="A690">
        <v>92736</v>
      </c>
      <c r="B690" t="s">
        <v>1266</v>
      </c>
      <c r="C690">
        <v>579</v>
      </c>
      <c r="D690">
        <v>1</v>
      </c>
    </row>
    <row r="691" spans="1:4" x14ac:dyDescent="0.3">
      <c r="A691">
        <v>92768</v>
      </c>
      <c r="B691" t="s">
        <v>827</v>
      </c>
      <c r="C691">
        <v>572</v>
      </c>
      <c r="D691">
        <v>528</v>
      </c>
    </row>
    <row r="692" spans="1:4" x14ac:dyDescent="0.3">
      <c r="A692">
        <v>92783</v>
      </c>
      <c r="B692" t="s">
        <v>1279</v>
      </c>
      <c r="C692">
        <v>30</v>
      </c>
      <c r="D692">
        <v>14</v>
      </c>
    </row>
    <row r="693" spans="1:4" x14ac:dyDescent="0.3">
      <c r="A693">
        <v>92863</v>
      </c>
      <c r="B693" t="s">
        <v>1266</v>
      </c>
      <c r="C693">
        <v>516</v>
      </c>
      <c r="D693">
        <v>2</v>
      </c>
    </row>
    <row r="694" spans="1:4" x14ac:dyDescent="0.3">
      <c r="A694">
        <v>92865</v>
      </c>
      <c r="B694" t="s">
        <v>1266</v>
      </c>
      <c r="C694">
        <v>433</v>
      </c>
      <c r="D694">
        <v>0</v>
      </c>
    </row>
    <row r="695" spans="1:4" x14ac:dyDescent="0.3">
      <c r="A695">
        <v>92879</v>
      </c>
      <c r="B695" t="s">
        <v>1251</v>
      </c>
      <c r="C695">
        <v>1349</v>
      </c>
      <c r="D695">
        <v>301</v>
      </c>
    </row>
    <row r="696" spans="1:4" x14ac:dyDescent="0.3">
      <c r="A696">
        <v>92902</v>
      </c>
      <c r="B696" t="s">
        <v>1267</v>
      </c>
      <c r="C696">
        <v>39</v>
      </c>
      <c r="D696">
        <v>35</v>
      </c>
    </row>
    <row r="697" spans="1:4" x14ac:dyDescent="0.3">
      <c r="A697">
        <v>92918</v>
      </c>
      <c r="B697" t="s">
        <v>1257</v>
      </c>
      <c r="C697">
        <v>7</v>
      </c>
      <c r="D697">
        <v>2</v>
      </c>
    </row>
    <row r="698" spans="1:4" x14ac:dyDescent="0.3">
      <c r="A698">
        <v>92923</v>
      </c>
      <c r="B698" t="s">
        <v>641</v>
      </c>
      <c r="C698">
        <v>7</v>
      </c>
      <c r="D698">
        <v>1</v>
      </c>
    </row>
    <row r="699" spans="1:4" x14ac:dyDescent="0.3">
      <c r="A699">
        <v>92932</v>
      </c>
      <c r="B699" t="s">
        <v>1258</v>
      </c>
      <c r="C699">
        <v>9</v>
      </c>
      <c r="D699">
        <v>0</v>
      </c>
    </row>
    <row r="700" spans="1:4" x14ac:dyDescent="0.3">
      <c r="A700">
        <v>92972</v>
      </c>
      <c r="B700" t="s">
        <v>1396</v>
      </c>
      <c r="C700">
        <v>93</v>
      </c>
      <c r="D700">
        <v>90</v>
      </c>
    </row>
    <row r="701" spans="1:4" x14ac:dyDescent="0.3">
      <c r="A701">
        <v>92978</v>
      </c>
      <c r="B701" t="s">
        <v>1397</v>
      </c>
      <c r="C701">
        <v>435</v>
      </c>
      <c r="D701">
        <v>293</v>
      </c>
    </row>
    <row r="702" spans="1:4" x14ac:dyDescent="0.3">
      <c r="A702">
        <v>92983</v>
      </c>
      <c r="B702" t="s">
        <v>1398</v>
      </c>
      <c r="C702">
        <v>11</v>
      </c>
      <c r="D702">
        <v>1</v>
      </c>
    </row>
    <row r="703" spans="1:4" x14ac:dyDescent="0.3">
      <c r="A703">
        <v>92987</v>
      </c>
      <c r="B703" t="s">
        <v>1399</v>
      </c>
      <c r="C703">
        <v>61</v>
      </c>
      <c r="D703">
        <v>30</v>
      </c>
    </row>
    <row r="704" spans="1:4" x14ac:dyDescent="0.3">
      <c r="A704">
        <v>92988</v>
      </c>
      <c r="B704" t="s">
        <v>1400</v>
      </c>
      <c r="C704">
        <v>24</v>
      </c>
      <c r="D704">
        <v>0</v>
      </c>
    </row>
    <row r="705" spans="1:4" x14ac:dyDescent="0.3">
      <c r="A705">
        <v>92989</v>
      </c>
      <c r="B705" t="s">
        <v>1401</v>
      </c>
      <c r="C705">
        <v>76</v>
      </c>
      <c r="D705">
        <v>13</v>
      </c>
    </row>
    <row r="706" spans="1:4" x14ac:dyDescent="0.3">
      <c r="A706">
        <v>92991</v>
      </c>
      <c r="B706" t="s">
        <v>1402</v>
      </c>
      <c r="C706">
        <v>111</v>
      </c>
      <c r="D706">
        <v>47</v>
      </c>
    </row>
    <row r="707" spans="1:4" x14ac:dyDescent="0.3">
      <c r="A707">
        <v>92997</v>
      </c>
      <c r="B707" t="s">
        <v>1266</v>
      </c>
      <c r="C707">
        <v>508</v>
      </c>
      <c r="D707">
        <v>0</v>
      </c>
    </row>
    <row r="708" spans="1:4" x14ac:dyDescent="0.3">
      <c r="A708">
        <v>123733</v>
      </c>
      <c r="B708" t="s">
        <v>1403</v>
      </c>
      <c r="C708">
        <v>226</v>
      </c>
      <c r="D708">
        <v>0</v>
      </c>
    </row>
    <row r="709" spans="1:4" x14ac:dyDescent="0.3">
      <c r="A709">
        <v>346763</v>
      </c>
      <c r="B709" t="s">
        <v>1285</v>
      </c>
      <c r="C709">
        <v>144</v>
      </c>
      <c r="D709">
        <v>131</v>
      </c>
    </row>
    <row r="710" spans="1:4" x14ac:dyDescent="0.3">
      <c r="A710">
        <v>850099</v>
      </c>
      <c r="B710" t="s">
        <v>1404</v>
      </c>
      <c r="C710">
        <v>208</v>
      </c>
      <c r="D710">
        <v>53</v>
      </c>
    </row>
    <row r="711" spans="1:4" x14ac:dyDescent="0.3">
      <c r="A711">
        <v>850100</v>
      </c>
      <c r="B711" t="s">
        <v>1405</v>
      </c>
      <c r="C711">
        <v>949</v>
      </c>
      <c r="D711">
        <v>372</v>
      </c>
    </row>
    <row r="712" spans="1:4" x14ac:dyDescent="0.3">
      <c r="A712">
        <v>850101</v>
      </c>
      <c r="B712" t="s">
        <v>1406</v>
      </c>
      <c r="C712">
        <v>441</v>
      </c>
      <c r="D712">
        <v>168</v>
      </c>
    </row>
  </sheetData>
  <pageMargins left="0.7" right="0.7" top="0.75" bottom="0.75" header="0.3" footer="0.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H713"/>
  <sheetViews>
    <sheetView workbookViewId="0"/>
  </sheetViews>
  <sheetFormatPr defaultColWidth="8.77734375" defaultRowHeight="14.4" x14ac:dyDescent="0.3"/>
  <cols>
    <col min="1" max="1" width="10.77734375" bestFit="1" customWidth="1"/>
    <col min="2" max="2" width="74.6640625" bestFit="1" customWidth="1"/>
    <col min="3" max="3" width="20.6640625" bestFit="1" customWidth="1"/>
    <col min="4" max="4" width="20.44140625" bestFit="1" customWidth="1"/>
  </cols>
  <sheetData>
    <row r="1" spans="1:8" x14ac:dyDescent="0.3">
      <c r="A1" t="s">
        <v>619</v>
      </c>
      <c r="B1" t="s">
        <v>1297</v>
      </c>
      <c r="C1" t="s">
        <v>1296</v>
      </c>
      <c r="D1" t="s">
        <v>1386</v>
      </c>
      <c r="H1">
        <v>85516</v>
      </c>
    </row>
    <row r="2" spans="1:8" x14ac:dyDescent="0.3">
      <c r="A2">
        <v>4153</v>
      </c>
      <c r="B2" t="s">
        <v>472</v>
      </c>
      <c r="C2">
        <v>788</v>
      </c>
      <c r="D2">
        <v>0</v>
      </c>
    </row>
    <row r="3" spans="1:8" x14ac:dyDescent="0.3">
      <c r="A3">
        <v>4154</v>
      </c>
      <c r="B3" t="s">
        <v>446</v>
      </c>
      <c r="C3">
        <v>1820</v>
      </c>
      <c r="D3">
        <v>0</v>
      </c>
    </row>
    <row r="4" spans="1:8" x14ac:dyDescent="0.3">
      <c r="A4">
        <v>4155</v>
      </c>
      <c r="B4" t="s">
        <v>362</v>
      </c>
      <c r="C4">
        <v>1263</v>
      </c>
      <c r="D4">
        <v>3</v>
      </c>
    </row>
    <row r="5" spans="1:8" x14ac:dyDescent="0.3">
      <c r="A5">
        <v>4156</v>
      </c>
      <c r="B5" t="s">
        <v>374</v>
      </c>
      <c r="C5">
        <v>675</v>
      </c>
      <c r="D5">
        <v>2</v>
      </c>
    </row>
    <row r="6" spans="1:8" x14ac:dyDescent="0.3">
      <c r="A6">
        <v>4157</v>
      </c>
      <c r="B6" t="s">
        <v>177</v>
      </c>
      <c r="C6">
        <v>1344</v>
      </c>
      <c r="D6">
        <v>1086</v>
      </c>
    </row>
    <row r="7" spans="1:8" x14ac:dyDescent="0.3">
      <c r="A7">
        <v>4158</v>
      </c>
      <c r="B7" t="s">
        <v>102</v>
      </c>
      <c r="C7">
        <v>3373</v>
      </c>
      <c r="D7">
        <v>0</v>
      </c>
    </row>
    <row r="8" spans="1:8" x14ac:dyDescent="0.3">
      <c r="A8">
        <v>4159</v>
      </c>
      <c r="B8" t="s">
        <v>358</v>
      </c>
      <c r="C8">
        <v>529</v>
      </c>
      <c r="D8">
        <v>7</v>
      </c>
    </row>
    <row r="9" spans="1:8" x14ac:dyDescent="0.3">
      <c r="A9">
        <v>4160</v>
      </c>
      <c r="B9" t="s">
        <v>112</v>
      </c>
      <c r="C9">
        <v>164</v>
      </c>
      <c r="D9">
        <v>159</v>
      </c>
    </row>
    <row r="10" spans="1:8" x14ac:dyDescent="0.3">
      <c r="A10">
        <v>4161</v>
      </c>
      <c r="B10" t="s">
        <v>554</v>
      </c>
      <c r="C10">
        <v>60</v>
      </c>
      <c r="D10">
        <v>44</v>
      </c>
    </row>
    <row r="11" spans="1:8" x14ac:dyDescent="0.3">
      <c r="A11">
        <v>4162</v>
      </c>
      <c r="B11" t="s">
        <v>430</v>
      </c>
      <c r="C11">
        <v>81</v>
      </c>
      <c r="D11">
        <v>74</v>
      </c>
    </row>
    <row r="12" spans="1:8" x14ac:dyDescent="0.3">
      <c r="A12">
        <v>4163</v>
      </c>
      <c r="B12" t="s">
        <v>280</v>
      </c>
      <c r="C12">
        <v>130</v>
      </c>
      <c r="D12">
        <v>126</v>
      </c>
    </row>
    <row r="13" spans="1:8" x14ac:dyDescent="0.3">
      <c r="A13">
        <v>4167</v>
      </c>
      <c r="B13" t="s">
        <v>168</v>
      </c>
      <c r="C13">
        <v>899</v>
      </c>
      <c r="D13">
        <v>152</v>
      </c>
    </row>
    <row r="14" spans="1:8" x14ac:dyDescent="0.3">
      <c r="A14">
        <v>4168</v>
      </c>
      <c r="B14" t="s">
        <v>417</v>
      </c>
      <c r="C14">
        <v>766</v>
      </c>
      <c r="D14">
        <v>624</v>
      </c>
    </row>
    <row r="15" spans="1:8" x14ac:dyDescent="0.3">
      <c r="A15">
        <v>4169</v>
      </c>
      <c r="B15" t="s">
        <v>71</v>
      </c>
      <c r="C15">
        <v>724</v>
      </c>
      <c r="D15">
        <v>11</v>
      </c>
    </row>
    <row r="16" spans="1:8" x14ac:dyDescent="0.3">
      <c r="A16">
        <v>4170</v>
      </c>
      <c r="B16" t="s">
        <v>443</v>
      </c>
      <c r="C16">
        <v>1116</v>
      </c>
      <c r="D16">
        <v>800</v>
      </c>
    </row>
    <row r="17" spans="1:4" x14ac:dyDescent="0.3">
      <c r="A17">
        <v>4171</v>
      </c>
      <c r="B17" t="s">
        <v>76</v>
      </c>
      <c r="C17">
        <v>57</v>
      </c>
      <c r="D17">
        <v>21</v>
      </c>
    </row>
    <row r="18" spans="1:4" x14ac:dyDescent="0.3">
      <c r="A18">
        <v>4172</v>
      </c>
      <c r="B18" t="s">
        <v>372</v>
      </c>
      <c r="C18">
        <v>111</v>
      </c>
      <c r="D18">
        <v>67</v>
      </c>
    </row>
    <row r="19" spans="1:4" x14ac:dyDescent="0.3">
      <c r="A19">
        <v>4173</v>
      </c>
      <c r="B19" t="s">
        <v>473</v>
      </c>
      <c r="C19">
        <v>359</v>
      </c>
      <c r="D19">
        <v>158</v>
      </c>
    </row>
    <row r="20" spans="1:4" x14ac:dyDescent="0.3">
      <c r="A20">
        <v>4174</v>
      </c>
      <c r="B20" t="s">
        <v>135</v>
      </c>
      <c r="C20">
        <v>3777</v>
      </c>
      <c r="D20">
        <v>3211</v>
      </c>
    </row>
    <row r="21" spans="1:4" x14ac:dyDescent="0.3">
      <c r="A21">
        <v>4175</v>
      </c>
      <c r="B21" t="s">
        <v>384</v>
      </c>
      <c r="C21">
        <v>5681</v>
      </c>
      <c r="D21">
        <v>75</v>
      </c>
    </row>
    <row r="22" spans="1:4" x14ac:dyDescent="0.3">
      <c r="A22">
        <v>4176</v>
      </c>
      <c r="B22" t="s">
        <v>300</v>
      </c>
      <c r="C22">
        <v>302</v>
      </c>
      <c r="D22">
        <v>274</v>
      </c>
    </row>
    <row r="23" spans="1:4" x14ac:dyDescent="0.3">
      <c r="A23">
        <v>4177</v>
      </c>
      <c r="B23" t="s">
        <v>530</v>
      </c>
      <c r="C23">
        <v>87</v>
      </c>
      <c r="D23">
        <v>0</v>
      </c>
    </row>
    <row r="24" spans="1:4" x14ac:dyDescent="0.3">
      <c r="A24">
        <v>4178</v>
      </c>
      <c r="B24" t="s">
        <v>550</v>
      </c>
      <c r="C24">
        <v>3</v>
      </c>
      <c r="D24">
        <v>0</v>
      </c>
    </row>
    <row r="25" spans="1:4" x14ac:dyDescent="0.3">
      <c r="A25">
        <v>4179</v>
      </c>
      <c r="B25" t="s">
        <v>134</v>
      </c>
      <c r="C25">
        <v>45</v>
      </c>
      <c r="D25">
        <v>0</v>
      </c>
    </row>
    <row r="26" spans="1:4" x14ac:dyDescent="0.3">
      <c r="A26">
        <v>4180</v>
      </c>
      <c r="B26" t="s">
        <v>319</v>
      </c>
      <c r="C26">
        <v>1019</v>
      </c>
      <c r="D26">
        <v>497</v>
      </c>
    </row>
    <row r="27" spans="1:4" x14ac:dyDescent="0.3">
      <c r="A27">
        <v>4181</v>
      </c>
      <c r="B27" t="s">
        <v>281</v>
      </c>
      <c r="C27">
        <v>61</v>
      </c>
      <c r="D27">
        <v>25</v>
      </c>
    </row>
    <row r="28" spans="1:4" x14ac:dyDescent="0.3">
      <c r="A28">
        <v>4185</v>
      </c>
      <c r="B28" t="s">
        <v>155</v>
      </c>
      <c r="C28">
        <v>113</v>
      </c>
      <c r="D28">
        <v>0</v>
      </c>
    </row>
    <row r="29" spans="1:4" x14ac:dyDescent="0.3">
      <c r="A29">
        <v>4186</v>
      </c>
      <c r="B29" t="s">
        <v>333</v>
      </c>
      <c r="C29">
        <v>98</v>
      </c>
      <c r="D29">
        <v>0</v>
      </c>
    </row>
    <row r="30" spans="1:4" x14ac:dyDescent="0.3">
      <c r="A30">
        <v>4187</v>
      </c>
      <c r="B30" t="s">
        <v>53</v>
      </c>
      <c r="C30">
        <v>14</v>
      </c>
      <c r="D30">
        <v>0</v>
      </c>
    </row>
    <row r="31" spans="1:4" x14ac:dyDescent="0.3">
      <c r="A31">
        <v>4188</v>
      </c>
      <c r="B31" t="s">
        <v>349</v>
      </c>
      <c r="C31">
        <v>92</v>
      </c>
      <c r="D31">
        <v>45</v>
      </c>
    </row>
    <row r="32" spans="1:4" x14ac:dyDescent="0.3">
      <c r="A32">
        <v>4190</v>
      </c>
      <c r="B32" t="s">
        <v>428</v>
      </c>
      <c r="C32">
        <v>68</v>
      </c>
      <c r="D32">
        <v>17</v>
      </c>
    </row>
    <row r="33" spans="1:4" x14ac:dyDescent="0.3">
      <c r="A33">
        <v>4191</v>
      </c>
      <c r="B33" t="s">
        <v>621</v>
      </c>
      <c r="C33">
        <v>1150</v>
      </c>
      <c r="D33">
        <v>931</v>
      </c>
    </row>
    <row r="34" spans="1:4" x14ac:dyDescent="0.3">
      <c r="A34">
        <v>4192</v>
      </c>
      <c r="B34" t="s">
        <v>164</v>
      </c>
      <c r="C34">
        <v>9483</v>
      </c>
      <c r="D34">
        <v>4847</v>
      </c>
    </row>
    <row r="35" spans="1:4" x14ac:dyDescent="0.3">
      <c r="A35">
        <v>4193</v>
      </c>
      <c r="B35" t="s">
        <v>444</v>
      </c>
      <c r="C35">
        <v>593</v>
      </c>
      <c r="D35">
        <v>392</v>
      </c>
    </row>
    <row r="36" spans="1:4" x14ac:dyDescent="0.3">
      <c r="A36">
        <v>4194</v>
      </c>
      <c r="B36" t="s">
        <v>187</v>
      </c>
      <c r="C36">
        <v>278</v>
      </c>
      <c r="D36">
        <v>158</v>
      </c>
    </row>
    <row r="37" spans="1:4" x14ac:dyDescent="0.3">
      <c r="A37">
        <v>4195</v>
      </c>
      <c r="B37" t="s">
        <v>174</v>
      </c>
      <c r="C37">
        <v>189</v>
      </c>
      <c r="D37">
        <v>1</v>
      </c>
    </row>
    <row r="38" spans="1:4" x14ac:dyDescent="0.3">
      <c r="A38">
        <v>4196</v>
      </c>
      <c r="B38" t="s">
        <v>315</v>
      </c>
      <c r="C38">
        <v>2616</v>
      </c>
      <c r="D38">
        <v>1192</v>
      </c>
    </row>
    <row r="39" spans="1:4" x14ac:dyDescent="0.3">
      <c r="A39">
        <v>4197</v>
      </c>
      <c r="B39" t="s">
        <v>622</v>
      </c>
      <c r="C39">
        <v>1652</v>
      </c>
      <c r="D39">
        <v>5</v>
      </c>
    </row>
    <row r="40" spans="1:4" x14ac:dyDescent="0.3">
      <c r="A40">
        <v>4199</v>
      </c>
      <c r="B40" t="s">
        <v>267</v>
      </c>
      <c r="C40">
        <v>118</v>
      </c>
      <c r="D40">
        <v>1</v>
      </c>
    </row>
    <row r="41" spans="1:4" x14ac:dyDescent="0.3">
      <c r="A41">
        <v>4201</v>
      </c>
      <c r="B41" t="s">
        <v>626</v>
      </c>
      <c r="C41">
        <v>278</v>
      </c>
      <c r="D41">
        <v>101</v>
      </c>
    </row>
    <row r="42" spans="1:4" x14ac:dyDescent="0.3">
      <c r="A42">
        <v>4202</v>
      </c>
      <c r="B42" t="s">
        <v>522</v>
      </c>
      <c r="C42">
        <v>300</v>
      </c>
      <c r="D42">
        <v>0</v>
      </c>
    </row>
    <row r="43" spans="1:4" x14ac:dyDescent="0.3">
      <c r="A43">
        <v>4203</v>
      </c>
      <c r="B43" t="s">
        <v>628</v>
      </c>
      <c r="C43">
        <v>194</v>
      </c>
      <c r="D43">
        <v>0</v>
      </c>
    </row>
    <row r="44" spans="1:4" x14ac:dyDescent="0.3">
      <c r="A44">
        <v>4204</v>
      </c>
      <c r="B44" t="s">
        <v>491</v>
      </c>
      <c r="C44">
        <v>623</v>
      </c>
      <c r="D44">
        <v>0</v>
      </c>
    </row>
    <row r="45" spans="1:4" x14ac:dyDescent="0.3">
      <c r="A45">
        <v>4205</v>
      </c>
      <c r="B45" t="s">
        <v>625</v>
      </c>
      <c r="C45">
        <v>164</v>
      </c>
      <c r="D45">
        <v>0</v>
      </c>
    </row>
    <row r="46" spans="1:4" x14ac:dyDescent="0.3">
      <c r="A46">
        <v>4207</v>
      </c>
      <c r="B46" t="s">
        <v>162</v>
      </c>
      <c r="C46">
        <v>295</v>
      </c>
      <c r="D46">
        <v>69</v>
      </c>
    </row>
    <row r="47" spans="1:4" x14ac:dyDescent="0.3">
      <c r="A47">
        <v>4208</v>
      </c>
      <c r="B47" t="s">
        <v>185</v>
      </c>
      <c r="C47">
        <v>1528</v>
      </c>
      <c r="D47">
        <v>929</v>
      </c>
    </row>
    <row r="48" spans="1:4" x14ac:dyDescent="0.3">
      <c r="A48">
        <v>4209</v>
      </c>
      <c r="B48" t="s">
        <v>330</v>
      </c>
      <c r="C48">
        <v>2218</v>
      </c>
      <c r="D48">
        <v>1137</v>
      </c>
    </row>
    <row r="49" spans="1:4" x14ac:dyDescent="0.3">
      <c r="A49">
        <v>4210</v>
      </c>
      <c r="B49" t="s">
        <v>370</v>
      </c>
      <c r="C49">
        <v>1567</v>
      </c>
      <c r="D49">
        <v>2</v>
      </c>
    </row>
    <row r="50" spans="1:4" x14ac:dyDescent="0.3">
      <c r="A50">
        <v>4211</v>
      </c>
      <c r="B50" t="s">
        <v>285</v>
      </c>
      <c r="C50">
        <v>1117</v>
      </c>
      <c r="D50">
        <v>809</v>
      </c>
    </row>
    <row r="51" spans="1:4" x14ac:dyDescent="0.3">
      <c r="A51">
        <v>4212</v>
      </c>
      <c r="B51" t="s">
        <v>193</v>
      </c>
      <c r="C51">
        <v>248</v>
      </c>
      <c r="D51">
        <v>212</v>
      </c>
    </row>
    <row r="52" spans="1:4" x14ac:dyDescent="0.3">
      <c r="A52">
        <v>4213</v>
      </c>
      <c r="B52" t="s">
        <v>449</v>
      </c>
      <c r="C52">
        <v>37</v>
      </c>
      <c r="D52">
        <v>14</v>
      </c>
    </row>
    <row r="53" spans="1:4" x14ac:dyDescent="0.3">
      <c r="A53">
        <v>4214</v>
      </c>
      <c r="B53" t="s">
        <v>347</v>
      </c>
      <c r="C53">
        <v>120</v>
      </c>
      <c r="D53">
        <v>79</v>
      </c>
    </row>
    <row r="54" spans="1:4" x14ac:dyDescent="0.3">
      <c r="A54">
        <v>4215</v>
      </c>
      <c r="B54" t="s">
        <v>418</v>
      </c>
      <c r="C54">
        <v>69</v>
      </c>
      <c r="D54">
        <v>51</v>
      </c>
    </row>
    <row r="55" spans="1:4" x14ac:dyDescent="0.3">
      <c r="A55">
        <v>4216</v>
      </c>
      <c r="B55" t="s">
        <v>488</v>
      </c>
      <c r="C55">
        <v>57</v>
      </c>
      <c r="D55">
        <v>34</v>
      </c>
    </row>
    <row r="56" spans="1:4" x14ac:dyDescent="0.3">
      <c r="A56">
        <v>4217</v>
      </c>
      <c r="B56" t="s">
        <v>186</v>
      </c>
      <c r="C56">
        <v>38</v>
      </c>
      <c r="D56">
        <v>26</v>
      </c>
    </row>
    <row r="57" spans="1:4" x14ac:dyDescent="0.3">
      <c r="A57">
        <v>4218</v>
      </c>
      <c r="B57" t="s">
        <v>366</v>
      </c>
      <c r="C57">
        <v>2924</v>
      </c>
      <c r="D57">
        <v>1562</v>
      </c>
    </row>
    <row r="58" spans="1:4" x14ac:dyDescent="0.3">
      <c r="A58">
        <v>4219</v>
      </c>
      <c r="B58" t="s">
        <v>411</v>
      </c>
      <c r="C58">
        <v>1647</v>
      </c>
      <c r="D58">
        <v>547</v>
      </c>
    </row>
    <row r="59" spans="1:4" x14ac:dyDescent="0.3">
      <c r="A59">
        <v>4220</v>
      </c>
      <c r="B59" t="s">
        <v>345</v>
      </c>
      <c r="C59">
        <v>766</v>
      </c>
      <c r="D59">
        <v>365</v>
      </c>
    </row>
    <row r="60" spans="1:4" x14ac:dyDescent="0.3">
      <c r="A60">
        <v>4221</v>
      </c>
      <c r="B60" t="s">
        <v>169</v>
      </c>
      <c r="C60">
        <v>578</v>
      </c>
      <c r="D60">
        <v>0</v>
      </c>
    </row>
    <row r="61" spans="1:4" x14ac:dyDescent="0.3">
      <c r="A61">
        <v>4222</v>
      </c>
      <c r="B61" t="s">
        <v>389</v>
      </c>
      <c r="C61">
        <v>189</v>
      </c>
      <c r="D61">
        <v>0</v>
      </c>
    </row>
    <row r="62" spans="1:4" x14ac:dyDescent="0.3">
      <c r="A62">
        <v>4224</v>
      </c>
      <c r="B62" t="s">
        <v>537</v>
      </c>
      <c r="C62">
        <v>105</v>
      </c>
      <c r="D62">
        <v>55</v>
      </c>
    </row>
    <row r="63" spans="1:4" x14ac:dyDescent="0.3">
      <c r="A63">
        <v>4225</v>
      </c>
      <c r="B63" t="s">
        <v>466</v>
      </c>
      <c r="C63">
        <v>98</v>
      </c>
      <c r="D63">
        <v>36</v>
      </c>
    </row>
    <row r="64" spans="1:4" x14ac:dyDescent="0.3">
      <c r="A64">
        <v>4228</v>
      </c>
      <c r="B64" t="s">
        <v>136</v>
      </c>
      <c r="C64">
        <v>364</v>
      </c>
      <c r="D64">
        <v>178</v>
      </c>
    </row>
    <row r="65" spans="1:4" x14ac:dyDescent="0.3">
      <c r="A65">
        <v>4230</v>
      </c>
      <c r="B65" t="s">
        <v>295</v>
      </c>
      <c r="C65">
        <v>1340</v>
      </c>
      <c r="D65">
        <v>519</v>
      </c>
    </row>
    <row r="66" spans="1:4" x14ac:dyDescent="0.3">
      <c r="A66">
        <v>4231</v>
      </c>
      <c r="B66" t="s">
        <v>538</v>
      </c>
      <c r="C66">
        <v>11</v>
      </c>
      <c r="D66">
        <v>2</v>
      </c>
    </row>
    <row r="67" spans="1:4" x14ac:dyDescent="0.3">
      <c r="A67">
        <v>4234</v>
      </c>
      <c r="B67" t="s">
        <v>272</v>
      </c>
      <c r="C67">
        <v>480</v>
      </c>
      <c r="D67">
        <v>480</v>
      </c>
    </row>
    <row r="68" spans="1:4" x14ac:dyDescent="0.3">
      <c r="A68">
        <v>4235</v>
      </c>
      <c r="B68" t="s">
        <v>282</v>
      </c>
      <c r="C68">
        <v>54618</v>
      </c>
      <c r="D68">
        <v>28467</v>
      </c>
    </row>
    <row r="69" spans="1:4" x14ac:dyDescent="0.3">
      <c r="A69">
        <v>4236</v>
      </c>
      <c r="B69" t="s">
        <v>442</v>
      </c>
      <c r="C69">
        <v>1370</v>
      </c>
      <c r="D69">
        <v>633</v>
      </c>
    </row>
    <row r="70" spans="1:4" x14ac:dyDescent="0.3">
      <c r="A70">
        <v>4237</v>
      </c>
      <c r="B70" t="s">
        <v>335</v>
      </c>
      <c r="C70">
        <v>35232</v>
      </c>
      <c r="D70">
        <v>14322</v>
      </c>
    </row>
    <row r="71" spans="1:4" x14ac:dyDescent="0.3">
      <c r="A71">
        <v>4238</v>
      </c>
      <c r="B71" t="s">
        <v>180</v>
      </c>
      <c r="C71">
        <v>391</v>
      </c>
      <c r="D71">
        <v>4</v>
      </c>
    </row>
    <row r="72" spans="1:4" x14ac:dyDescent="0.3">
      <c r="A72">
        <v>4239</v>
      </c>
      <c r="B72" t="s">
        <v>182</v>
      </c>
      <c r="C72">
        <v>33532</v>
      </c>
      <c r="D72">
        <v>132</v>
      </c>
    </row>
    <row r="73" spans="1:4" x14ac:dyDescent="0.3">
      <c r="A73">
        <v>4240</v>
      </c>
      <c r="B73" t="s">
        <v>379</v>
      </c>
      <c r="C73">
        <v>20803</v>
      </c>
      <c r="D73">
        <v>5120</v>
      </c>
    </row>
    <row r="74" spans="1:4" x14ac:dyDescent="0.3">
      <c r="A74">
        <v>4241</v>
      </c>
      <c r="B74" t="s">
        <v>321</v>
      </c>
      <c r="C74">
        <v>30986</v>
      </c>
      <c r="D74">
        <v>10756</v>
      </c>
    </row>
    <row r="75" spans="1:4" x14ac:dyDescent="0.3">
      <c r="A75">
        <v>4242</v>
      </c>
      <c r="B75" t="s">
        <v>101</v>
      </c>
      <c r="C75">
        <v>43119</v>
      </c>
      <c r="D75">
        <v>11226</v>
      </c>
    </row>
    <row r="76" spans="1:4" x14ac:dyDescent="0.3">
      <c r="A76">
        <v>4243</v>
      </c>
      <c r="B76" t="s">
        <v>137</v>
      </c>
      <c r="C76">
        <v>23877</v>
      </c>
      <c r="D76">
        <v>9590</v>
      </c>
    </row>
    <row r="77" spans="1:4" x14ac:dyDescent="0.3">
      <c r="A77">
        <v>4244</v>
      </c>
      <c r="B77" t="s">
        <v>96</v>
      </c>
      <c r="C77">
        <v>5301</v>
      </c>
      <c r="D77">
        <v>352</v>
      </c>
    </row>
    <row r="78" spans="1:4" x14ac:dyDescent="0.3">
      <c r="A78">
        <v>4245</v>
      </c>
      <c r="B78" t="s">
        <v>356</v>
      </c>
      <c r="C78">
        <v>5701</v>
      </c>
      <c r="D78">
        <v>1505</v>
      </c>
    </row>
    <row r="79" spans="1:4" x14ac:dyDescent="0.3">
      <c r="A79">
        <v>4246</v>
      </c>
      <c r="B79" t="s">
        <v>127</v>
      </c>
      <c r="C79">
        <v>32938</v>
      </c>
      <c r="D79">
        <v>9165</v>
      </c>
    </row>
    <row r="80" spans="1:4" x14ac:dyDescent="0.3">
      <c r="A80">
        <v>4247</v>
      </c>
      <c r="B80" t="s">
        <v>171</v>
      </c>
      <c r="C80">
        <v>1441</v>
      </c>
      <c r="D80">
        <v>356</v>
      </c>
    </row>
    <row r="81" spans="1:4" x14ac:dyDescent="0.3">
      <c r="A81">
        <v>4248</v>
      </c>
      <c r="B81" t="s">
        <v>197</v>
      </c>
      <c r="C81">
        <v>10316</v>
      </c>
      <c r="D81">
        <v>1612</v>
      </c>
    </row>
    <row r="82" spans="1:4" x14ac:dyDescent="0.3">
      <c r="A82">
        <v>4249</v>
      </c>
      <c r="B82" t="s">
        <v>16</v>
      </c>
      <c r="C82">
        <v>152</v>
      </c>
      <c r="D82">
        <v>134</v>
      </c>
    </row>
    <row r="83" spans="1:4" x14ac:dyDescent="0.3">
      <c r="A83">
        <v>4250</v>
      </c>
      <c r="B83" t="s">
        <v>476</v>
      </c>
      <c r="C83">
        <v>34</v>
      </c>
      <c r="D83">
        <v>0</v>
      </c>
    </row>
    <row r="84" spans="1:4" x14ac:dyDescent="0.3">
      <c r="A84">
        <v>4251</v>
      </c>
      <c r="B84" t="s">
        <v>297</v>
      </c>
      <c r="C84">
        <v>111</v>
      </c>
      <c r="D84">
        <v>1</v>
      </c>
    </row>
    <row r="85" spans="1:4" x14ac:dyDescent="0.3">
      <c r="A85">
        <v>4252</v>
      </c>
      <c r="B85" t="s">
        <v>301</v>
      </c>
      <c r="C85">
        <v>827</v>
      </c>
      <c r="D85">
        <v>502</v>
      </c>
    </row>
    <row r="86" spans="1:4" x14ac:dyDescent="0.3">
      <c r="A86">
        <v>4253</v>
      </c>
      <c r="B86" t="s">
        <v>499</v>
      </c>
      <c r="C86">
        <v>24</v>
      </c>
      <c r="D86">
        <v>1</v>
      </c>
    </row>
    <row r="87" spans="1:4" x14ac:dyDescent="0.3">
      <c r="A87">
        <v>4254</v>
      </c>
      <c r="B87" t="s">
        <v>365</v>
      </c>
      <c r="C87">
        <v>1493</v>
      </c>
      <c r="D87">
        <v>185</v>
      </c>
    </row>
    <row r="88" spans="1:4" x14ac:dyDescent="0.3">
      <c r="A88">
        <v>4255</v>
      </c>
      <c r="B88" t="s">
        <v>318</v>
      </c>
      <c r="C88">
        <v>101</v>
      </c>
      <c r="D88">
        <v>0</v>
      </c>
    </row>
    <row r="89" spans="1:4" x14ac:dyDescent="0.3">
      <c r="A89">
        <v>4256</v>
      </c>
      <c r="B89" t="s">
        <v>337</v>
      </c>
      <c r="C89">
        <v>6528</v>
      </c>
      <c r="D89">
        <v>164</v>
      </c>
    </row>
    <row r="90" spans="1:4" x14ac:dyDescent="0.3">
      <c r="A90">
        <v>4257</v>
      </c>
      <c r="B90" t="s">
        <v>360</v>
      </c>
      <c r="C90">
        <v>935</v>
      </c>
      <c r="D90">
        <v>730</v>
      </c>
    </row>
    <row r="91" spans="1:4" x14ac:dyDescent="0.3">
      <c r="A91">
        <v>4258</v>
      </c>
      <c r="B91" t="s">
        <v>409</v>
      </c>
      <c r="C91">
        <v>11373</v>
      </c>
      <c r="D91">
        <v>7356</v>
      </c>
    </row>
    <row r="92" spans="1:4" x14ac:dyDescent="0.3">
      <c r="A92">
        <v>4259</v>
      </c>
      <c r="B92" t="s">
        <v>220</v>
      </c>
      <c r="C92">
        <v>6944</v>
      </c>
      <c r="D92">
        <v>45</v>
      </c>
    </row>
    <row r="93" spans="1:4" x14ac:dyDescent="0.3">
      <c r="A93">
        <v>4260</v>
      </c>
      <c r="B93" t="s">
        <v>433</v>
      </c>
      <c r="C93">
        <v>22938</v>
      </c>
      <c r="D93">
        <v>20609</v>
      </c>
    </row>
    <row r="94" spans="1:4" x14ac:dyDescent="0.3">
      <c r="A94">
        <v>4261</v>
      </c>
      <c r="B94" t="s">
        <v>445</v>
      </c>
      <c r="C94">
        <v>1190</v>
      </c>
      <c r="D94">
        <v>45</v>
      </c>
    </row>
    <row r="95" spans="1:4" x14ac:dyDescent="0.3">
      <c r="A95">
        <v>4262</v>
      </c>
      <c r="B95" t="s">
        <v>312</v>
      </c>
      <c r="C95">
        <v>2953</v>
      </c>
      <c r="D95">
        <v>71</v>
      </c>
    </row>
    <row r="96" spans="1:4" x14ac:dyDescent="0.3">
      <c r="A96">
        <v>4263</v>
      </c>
      <c r="B96" t="s">
        <v>122</v>
      </c>
      <c r="C96">
        <v>6311</v>
      </c>
      <c r="D96">
        <v>5136</v>
      </c>
    </row>
    <row r="97" spans="1:4" x14ac:dyDescent="0.3">
      <c r="A97">
        <v>4264</v>
      </c>
      <c r="B97" t="s">
        <v>414</v>
      </c>
      <c r="C97">
        <v>3037</v>
      </c>
      <c r="D97">
        <v>2530</v>
      </c>
    </row>
    <row r="98" spans="1:4" x14ac:dyDescent="0.3">
      <c r="A98">
        <v>4265</v>
      </c>
      <c r="B98" t="s">
        <v>299</v>
      </c>
      <c r="C98">
        <v>1627</v>
      </c>
      <c r="D98">
        <v>1553</v>
      </c>
    </row>
    <row r="99" spans="1:4" x14ac:dyDescent="0.3">
      <c r="A99">
        <v>4266</v>
      </c>
      <c r="B99" t="s">
        <v>260</v>
      </c>
      <c r="C99">
        <v>3372</v>
      </c>
      <c r="D99">
        <v>1628</v>
      </c>
    </row>
    <row r="100" spans="1:4" x14ac:dyDescent="0.3">
      <c r="A100">
        <v>4267</v>
      </c>
      <c r="B100" t="s">
        <v>244</v>
      </c>
      <c r="C100">
        <v>16707</v>
      </c>
      <c r="D100">
        <v>4812</v>
      </c>
    </row>
    <row r="101" spans="1:4" x14ac:dyDescent="0.3">
      <c r="A101">
        <v>4268</v>
      </c>
      <c r="B101" t="s">
        <v>65</v>
      </c>
      <c r="C101">
        <v>2439</v>
      </c>
      <c r="D101">
        <v>811</v>
      </c>
    </row>
    <row r="102" spans="1:4" x14ac:dyDescent="0.3">
      <c r="A102">
        <v>4269</v>
      </c>
      <c r="B102" t="s">
        <v>79</v>
      </c>
      <c r="C102">
        <v>4801</v>
      </c>
      <c r="D102">
        <v>1043</v>
      </c>
    </row>
    <row r="103" spans="1:4" x14ac:dyDescent="0.3">
      <c r="A103">
        <v>4270</v>
      </c>
      <c r="B103" t="s">
        <v>265</v>
      </c>
      <c r="C103">
        <v>5824</v>
      </c>
      <c r="D103">
        <v>1769</v>
      </c>
    </row>
    <row r="104" spans="1:4" x14ac:dyDescent="0.3">
      <c r="A104">
        <v>4271</v>
      </c>
      <c r="B104" t="s">
        <v>183</v>
      </c>
      <c r="C104">
        <v>12980</v>
      </c>
      <c r="D104">
        <v>10032</v>
      </c>
    </row>
    <row r="105" spans="1:4" x14ac:dyDescent="0.3">
      <c r="A105">
        <v>4272</v>
      </c>
      <c r="B105" t="s">
        <v>58</v>
      </c>
      <c r="C105">
        <v>5534</v>
      </c>
      <c r="D105">
        <v>3850</v>
      </c>
    </row>
    <row r="106" spans="1:4" x14ac:dyDescent="0.3">
      <c r="A106">
        <v>4273</v>
      </c>
      <c r="B106" t="s">
        <v>172</v>
      </c>
      <c r="C106">
        <v>4656</v>
      </c>
      <c r="D106">
        <v>2029</v>
      </c>
    </row>
    <row r="107" spans="1:4" x14ac:dyDescent="0.3">
      <c r="A107">
        <v>4274</v>
      </c>
      <c r="B107" t="s">
        <v>52</v>
      </c>
      <c r="C107">
        <v>256</v>
      </c>
      <c r="D107">
        <v>4</v>
      </c>
    </row>
    <row r="108" spans="1:4" x14ac:dyDescent="0.3">
      <c r="A108">
        <v>4275</v>
      </c>
      <c r="B108" t="s">
        <v>317</v>
      </c>
      <c r="C108">
        <v>444</v>
      </c>
      <c r="D108">
        <v>314</v>
      </c>
    </row>
    <row r="109" spans="1:4" x14ac:dyDescent="0.3">
      <c r="A109">
        <v>4276</v>
      </c>
      <c r="B109" t="s">
        <v>247</v>
      </c>
      <c r="C109">
        <v>6664</v>
      </c>
      <c r="D109">
        <v>2633</v>
      </c>
    </row>
    <row r="110" spans="1:4" x14ac:dyDescent="0.3">
      <c r="A110">
        <v>4277</v>
      </c>
      <c r="B110" t="s">
        <v>426</v>
      </c>
      <c r="C110">
        <v>1944</v>
      </c>
      <c r="D110">
        <v>899</v>
      </c>
    </row>
    <row r="111" spans="1:4" x14ac:dyDescent="0.3">
      <c r="A111">
        <v>4278</v>
      </c>
      <c r="B111" t="s">
        <v>264</v>
      </c>
      <c r="C111">
        <v>5543</v>
      </c>
      <c r="D111">
        <v>3891</v>
      </c>
    </row>
    <row r="112" spans="1:4" x14ac:dyDescent="0.3">
      <c r="A112">
        <v>4279</v>
      </c>
      <c r="B112" t="s">
        <v>361</v>
      </c>
      <c r="C112">
        <v>9186</v>
      </c>
      <c r="D112">
        <v>714</v>
      </c>
    </row>
    <row r="113" spans="1:4" x14ac:dyDescent="0.3">
      <c r="A113">
        <v>4280</v>
      </c>
      <c r="B113" t="s">
        <v>22</v>
      </c>
      <c r="C113">
        <v>12888</v>
      </c>
      <c r="D113">
        <v>252</v>
      </c>
    </row>
    <row r="114" spans="1:4" x14ac:dyDescent="0.3">
      <c r="A114">
        <v>4281</v>
      </c>
      <c r="B114" t="s">
        <v>262</v>
      </c>
      <c r="C114">
        <v>11281</v>
      </c>
      <c r="D114">
        <v>3870</v>
      </c>
    </row>
    <row r="115" spans="1:4" x14ac:dyDescent="0.3">
      <c r="A115">
        <v>4282</v>
      </c>
      <c r="B115" t="s">
        <v>91</v>
      </c>
      <c r="C115">
        <v>17776</v>
      </c>
      <c r="D115">
        <v>17774</v>
      </c>
    </row>
    <row r="116" spans="1:4" x14ac:dyDescent="0.3">
      <c r="A116">
        <v>4283</v>
      </c>
      <c r="B116" t="s">
        <v>334</v>
      </c>
      <c r="C116">
        <v>9999</v>
      </c>
      <c r="D116">
        <v>8322</v>
      </c>
    </row>
    <row r="117" spans="1:4" x14ac:dyDescent="0.3">
      <c r="A117">
        <v>4284</v>
      </c>
      <c r="B117" t="s">
        <v>80</v>
      </c>
      <c r="C117">
        <v>3788</v>
      </c>
      <c r="D117">
        <v>372</v>
      </c>
    </row>
    <row r="118" spans="1:4" x14ac:dyDescent="0.3">
      <c r="A118">
        <v>4285</v>
      </c>
      <c r="B118" t="s">
        <v>184</v>
      </c>
      <c r="C118">
        <v>14655</v>
      </c>
      <c r="D118">
        <v>233</v>
      </c>
    </row>
    <row r="119" spans="1:4" x14ac:dyDescent="0.3">
      <c r="A119">
        <v>4286</v>
      </c>
      <c r="B119" t="s">
        <v>339</v>
      </c>
      <c r="C119">
        <v>25509</v>
      </c>
      <c r="D119">
        <v>15356</v>
      </c>
    </row>
    <row r="120" spans="1:4" x14ac:dyDescent="0.3">
      <c r="A120">
        <v>4287</v>
      </c>
      <c r="B120" t="s">
        <v>410</v>
      </c>
      <c r="C120">
        <v>8476</v>
      </c>
      <c r="D120">
        <v>79</v>
      </c>
    </row>
    <row r="121" spans="1:4" x14ac:dyDescent="0.3">
      <c r="A121">
        <v>4288</v>
      </c>
      <c r="B121" t="s">
        <v>415</v>
      </c>
      <c r="C121">
        <v>9841</v>
      </c>
      <c r="D121">
        <v>6655</v>
      </c>
    </row>
    <row r="122" spans="1:4" x14ac:dyDescent="0.3">
      <c r="A122">
        <v>4289</v>
      </c>
      <c r="B122" t="s">
        <v>15</v>
      </c>
      <c r="C122">
        <v>7390</v>
      </c>
      <c r="D122">
        <v>63</v>
      </c>
    </row>
    <row r="123" spans="1:4" x14ac:dyDescent="0.3">
      <c r="A123">
        <v>4294</v>
      </c>
      <c r="B123" t="s">
        <v>64</v>
      </c>
      <c r="C123">
        <v>626</v>
      </c>
      <c r="D123">
        <v>2</v>
      </c>
    </row>
    <row r="124" spans="1:4" x14ac:dyDescent="0.3">
      <c r="A124">
        <v>4296</v>
      </c>
      <c r="B124" t="s">
        <v>722</v>
      </c>
      <c r="C124">
        <v>56</v>
      </c>
      <c r="D124">
        <v>56</v>
      </c>
    </row>
    <row r="125" spans="1:4" x14ac:dyDescent="0.3">
      <c r="A125">
        <v>4297</v>
      </c>
      <c r="B125" t="s">
        <v>795</v>
      </c>
      <c r="C125">
        <v>117</v>
      </c>
      <c r="D125">
        <v>0</v>
      </c>
    </row>
    <row r="126" spans="1:4" x14ac:dyDescent="0.3">
      <c r="A126">
        <v>4300</v>
      </c>
      <c r="B126" t="s">
        <v>723</v>
      </c>
      <c r="C126">
        <v>126</v>
      </c>
      <c r="D126">
        <v>54</v>
      </c>
    </row>
    <row r="127" spans="1:4" x14ac:dyDescent="0.3">
      <c r="A127">
        <v>4301</v>
      </c>
      <c r="B127" t="s">
        <v>1270</v>
      </c>
      <c r="C127">
        <v>600</v>
      </c>
      <c r="D127">
        <v>83</v>
      </c>
    </row>
    <row r="128" spans="1:4" x14ac:dyDescent="0.3">
      <c r="A128">
        <v>4303</v>
      </c>
      <c r="B128" t="s">
        <v>724</v>
      </c>
      <c r="C128">
        <v>382</v>
      </c>
      <c r="D128">
        <v>295</v>
      </c>
    </row>
    <row r="129" spans="1:4" x14ac:dyDescent="0.3">
      <c r="A129">
        <v>4305</v>
      </c>
      <c r="B129" t="s">
        <v>77</v>
      </c>
      <c r="C129">
        <v>237</v>
      </c>
      <c r="D129">
        <v>124</v>
      </c>
    </row>
    <row r="130" spans="1:4" x14ac:dyDescent="0.3">
      <c r="A130">
        <v>4306</v>
      </c>
      <c r="B130" t="s">
        <v>751</v>
      </c>
      <c r="C130">
        <v>788</v>
      </c>
      <c r="D130">
        <v>1</v>
      </c>
    </row>
    <row r="131" spans="1:4" x14ac:dyDescent="0.3">
      <c r="A131">
        <v>4309</v>
      </c>
      <c r="B131" t="s">
        <v>521</v>
      </c>
      <c r="C131">
        <v>322</v>
      </c>
      <c r="D131">
        <v>0</v>
      </c>
    </row>
    <row r="132" spans="1:4" x14ac:dyDescent="0.3">
      <c r="A132">
        <v>4310</v>
      </c>
      <c r="B132" t="s">
        <v>725</v>
      </c>
      <c r="C132">
        <v>297</v>
      </c>
      <c r="D132">
        <v>196</v>
      </c>
    </row>
    <row r="133" spans="1:4" x14ac:dyDescent="0.3">
      <c r="A133">
        <v>4313</v>
      </c>
      <c r="B133" t="s">
        <v>726</v>
      </c>
      <c r="C133">
        <v>92</v>
      </c>
      <c r="D133">
        <v>92</v>
      </c>
    </row>
    <row r="134" spans="1:4" x14ac:dyDescent="0.3">
      <c r="A134">
        <v>4314</v>
      </c>
      <c r="B134" t="s">
        <v>1415</v>
      </c>
      <c r="C134">
        <v>189</v>
      </c>
      <c r="D134">
        <v>169</v>
      </c>
    </row>
    <row r="135" spans="1:4" x14ac:dyDescent="0.3">
      <c r="A135">
        <v>4316</v>
      </c>
      <c r="B135" t="s">
        <v>495</v>
      </c>
      <c r="C135">
        <v>169</v>
      </c>
      <c r="D135">
        <v>0</v>
      </c>
    </row>
    <row r="136" spans="1:4" x14ac:dyDescent="0.3">
      <c r="A136">
        <v>4320</v>
      </c>
      <c r="B136" t="s">
        <v>369</v>
      </c>
      <c r="C136">
        <v>213</v>
      </c>
      <c r="D136">
        <v>97</v>
      </c>
    </row>
    <row r="137" spans="1:4" x14ac:dyDescent="0.3">
      <c r="A137">
        <v>4323</v>
      </c>
      <c r="B137" t="s">
        <v>1387</v>
      </c>
      <c r="C137">
        <v>841</v>
      </c>
      <c r="D137">
        <v>39</v>
      </c>
    </row>
    <row r="138" spans="1:4" x14ac:dyDescent="0.3">
      <c r="A138">
        <v>4324</v>
      </c>
      <c r="B138" t="s">
        <v>517</v>
      </c>
      <c r="C138">
        <v>48</v>
      </c>
      <c r="D138">
        <v>0</v>
      </c>
    </row>
    <row r="139" spans="1:4" x14ac:dyDescent="0.3">
      <c r="A139">
        <v>4325</v>
      </c>
      <c r="B139" t="s">
        <v>13</v>
      </c>
      <c r="C139">
        <v>398</v>
      </c>
      <c r="D139">
        <v>161</v>
      </c>
    </row>
    <row r="140" spans="1:4" x14ac:dyDescent="0.3">
      <c r="A140">
        <v>4329</v>
      </c>
      <c r="B140" t="s">
        <v>151</v>
      </c>
      <c r="C140">
        <v>517</v>
      </c>
      <c r="D140">
        <v>219</v>
      </c>
    </row>
    <row r="141" spans="1:4" x14ac:dyDescent="0.3">
      <c r="A141">
        <v>4331</v>
      </c>
      <c r="B141" t="s">
        <v>683</v>
      </c>
      <c r="C141">
        <v>365</v>
      </c>
      <c r="D141">
        <v>51</v>
      </c>
    </row>
    <row r="142" spans="1:4" x14ac:dyDescent="0.3">
      <c r="A142">
        <v>4332</v>
      </c>
      <c r="B142" t="s">
        <v>733</v>
      </c>
      <c r="C142">
        <v>77</v>
      </c>
      <c r="D142">
        <v>61</v>
      </c>
    </row>
    <row r="143" spans="1:4" x14ac:dyDescent="0.3">
      <c r="A143">
        <v>4334</v>
      </c>
      <c r="B143" t="s">
        <v>734</v>
      </c>
      <c r="C143">
        <v>204</v>
      </c>
      <c r="D143">
        <v>8</v>
      </c>
    </row>
    <row r="144" spans="1:4" x14ac:dyDescent="0.3">
      <c r="A144">
        <v>4335</v>
      </c>
      <c r="B144" t="s">
        <v>159</v>
      </c>
      <c r="C144">
        <v>325</v>
      </c>
      <c r="D144">
        <v>316</v>
      </c>
    </row>
    <row r="145" spans="1:4" x14ac:dyDescent="0.3">
      <c r="A145">
        <v>4336</v>
      </c>
      <c r="B145" t="s">
        <v>735</v>
      </c>
      <c r="C145">
        <v>604</v>
      </c>
      <c r="D145">
        <v>0</v>
      </c>
    </row>
    <row r="146" spans="1:4" x14ac:dyDescent="0.3">
      <c r="A146">
        <v>4337</v>
      </c>
      <c r="B146" t="s">
        <v>736</v>
      </c>
      <c r="C146">
        <v>147</v>
      </c>
      <c r="D146">
        <v>0</v>
      </c>
    </row>
    <row r="147" spans="1:4" x14ac:dyDescent="0.3">
      <c r="A147">
        <v>4338</v>
      </c>
      <c r="B147" t="s">
        <v>737</v>
      </c>
      <c r="C147">
        <v>359</v>
      </c>
      <c r="D147">
        <v>335</v>
      </c>
    </row>
    <row r="148" spans="1:4" x14ac:dyDescent="0.3">
      <c r="A148">
        <v>4339</v>
      </c>
      <c r="B148" t="s">
        <v>461</v>
      </c>
      <c r="C148">
        <v>495</v>
      </c>
      <c r="D148">
        <v>63</v>
      </c>
    </row>
    <row r="149" spans="1:4" x14ac:dyDescent="0.3">
      <c r="A149">
        <v>4340</v>
      </c>
      <c r="B149" t="s">
        <v>738</v>
      </c>
      <c r="C149">
        <v>708</v>
      </c>
      <c r="D149">
        <v>0</v>
      </c>
    </row>
    <row r="150" spans="1:4" x14ac:dyDescent="0.3">
      <c r="A150">
        <v>4341</v>
      </c>
      <c r="B150" t="s">
        <v>739</v>
      </c>
      <c r="C150">
        <v>71</v>
      </c>
      <c r="D150">
        <v>66</v>
      </c>
    </row>
    <row r="151" spans="1:4" x14ac:dyDescent="0.3">
      <c r="A151">
        <v>4342</v>
      </c>
      <c r="B151" t="s">
        <v>227</v>
      </c>
      <c r="C151">
        <v>344</v>
      </c>
      <c r="D151">
        <v>295</v>
      </c>
    </row>
    <row r="152" spans="1:4" x14ac:dyDescent="0.3">
      <c r="A152">
        <v>4345</v>
      </c>
      <c r="B152" t="s">
        <v>544</v>
      </c>
      <c r="C152">
        <v>841</v>
      </c>
      <c r="D152">
        <v>2</v>
      </c>
    </row>
    <row r="153" spans="1:4" x14ac:dyDescent="0.3">
      <c r="A153">
        <v>4346</v>
      </c>
      <c r="B153" t="s">
        <v>740</v>
      </c>
      <c r="C153">
        <v>36</v>
      </c>
      <c r="D153">
        <v>8</v>
      </c>
    </row>
    <row r="154" spans="1:4" x14ac:dyDescent="0.3">
      <c r="A154">
        <v>4347</v>
      </c>
      <c r="B154" t="s">
        <v>741</v>
      </c>
      <c r="C154">
        <v>370</v>
      </c>
      <c r="D154">
        <v>0</v>
      </c>
    </row>
    <row r="155" spans="1:4" x14ac:dyDescent="0.3">
      <c r="A155">
        <v>4348</v>
      </c>
      <c r="B155" t="s">
        <v>742</v>
      </c>
      <c r="C155">
        <v>5971</v>
      </c>
      <c r="D155">
        <v>1927</v>
      </c>
    </row>
    <row r="156" spans="1:4" x14ac:dyDescent="0.3">
      <c r="A156">
        <v>4352</v>
      </c>
      <c r="B156" t="s">
        <v>747</v>
      </c>
      <c r="C156">
        <v>45</v>
      </c>
      <c r="D156">
        <v>33</v>
      </c>
    </row>
    <row r="157" spans="1:4" x14ac:dyDescent="0.3">
      <c r="A157">
        <v>4355</v>
      </c>
      <c r="B157" t="s">
        <v>540</v>
      </c>
      <c r="C157">
        <v>3070</v>
      </c>
      <c r="D157">
        <v>0</v>
      </c>
    </row>
    <row r="158" spans="1:4" x14ac:dyDescent="0.3">
      <c r="A158">
        <v>4356</v>
      </c>
      <c r="B158" t="s">
        <v>520</v>
      </c>
      <c r="C158">
        <v>83</v>
      </c>
      <c r="D158">
        <v>0</v>
      </c>
    </row>
    <row r="159" spans="1:4" x14ac:dyDescent="0.3">
      <c r="A159">
        <v>4358</v>
      </c>
      <c r="B159" t="s">
        <v>752</v>
      </c>
      <c r="C159">
        <v>30</v>
      </c>
      <c r="D159">
        <v>30</v>
      </c>
    </row>
    <row r="160" spans="1:4" x14ac:dyDescent="0.3">
      <c r="A160">
        <v>4359</v>
      </c>
      <c r="B160" t="s">
        <v>753</v>
      </c>
      <c r="C160">
        <v>291</v>
      </c>
      <c r="D160">
        <v>114</v>
      </c>
    </row>
    <row r="161" spans="1:4" x14ac:dyDescent="0.3">
      <c r="A161">
        <v>4360</v>
      </c>
      <c r="B161" t="s">
        <v>240</v>
      </c>
      <c r="C161">
        <v>138</v>
      </c>
      <c r="D161">
        <v>23</v>
      </c>
    </row>
    <row r="162" spans="1:4" x14ac:dyDescent="0.3">
      <c r="A162">
        <v>4361</v>
      </c>
      <c r="B162" t="s">
        <v>470</v>
      </c>
      <c r="C162">
        <v>437</v>
      </c>
      <c r="D162">
        <v>2</v>
      </c>
    </row>
    <row r="163" spans="1:4" x14ac:dyDescent="0.3">
      <c r="A163">
        <v>4362</v>
      </c>
      <c r="B163" t="s">
        <v>754</v>
      </c>
      <c r="C163">
        <v>261</v>
      </c>
      <c r="D163">
        <v>0</v>
      </c>
    </row>
    <row r="164" spans="1:4" x14ac:dyDescent="0.3">
      <c r="A164">
        <v>4363</v>
      </c>
      <c r="B164" t="s">
        <v>498</v>
      </c>
      <c r="C164">
        <v>443</v>
      </c>
      <c r="D164">
        <v>85</v>
      </c>
    </row>
    <row r="165" spans="1:4" x14ac:dyDescent="0.3">
      <c r="A165">
        <v>4366</v>
      </c>
      <c r="B165" t="s">
        <v>302</v>
      </c>
      <c r="C165">
        <v>165</v>
      </c>
      <c r="D165">
        <v>8</v>
      </c>
    </row>
    <row r="166" spans="1:4" x14ac:dyDescent="0.3">
      <c r="A166">
        <v>4368</v>
      </c>
      <c r="B166" t="s">
        <v>246</v>
      </c>
      <c r="C166">
        <v>5284</v>
      </c>
      <c r="D166">
        <v>30</v>
      </c>
    </row>
    <row r="167" spans="1:4" x14ac:dyDescent="0.3">
      <c r="A167">
        <v>4369</v>
      </c>
      <c r="B167" t="s">
        <v>331</v>
      </c>
      <c r="C167">
        <v>195</v>
      </c>
      <c r="D167">
        <v>195</v>
      </c>
    </row>
    <row r="168" spans="1:4" x14ac:dyDescent="0.3">
      <c r="A168">
        <v>4370</v>
      </c>
      <c r="B168" t="s">
        <v>110</v>
      </c>
      <c r="C168">
        <v>470</v>
      </c>
      <c r="D168">
        <v>375</v>
      </c>
    </row>
    <row r="169" spans="1:4" x14ac:dyDescent="0.3">
      <c r="A169">
        <v>4371</v>
      </c>
      <c r="B169" t="s">
        <v>191</v>
      </c>
      <c r="C169">
        <v>41</v>
      </c>
      <c r="D169">
        <v>41</v>
      </c>
    </row>
    <row r="170" spans="1:4" x14ac:dyDescent="0.3">
      <c r="A170">
        <v>4373</v>
      </c>
      <c r="B170" t="s">
        <v>800</v>
      </c>
      <c r="C170">
        <v>18</v>
      </c>
      <c r="D170">
        <v>1</v>
      </c>
    </row>
    <row r="171" spans="1:4" x14ac:dyDescent="0.3">
      <c r="A171">
        <v>4374</v>
      </c>
      <c r="B171" t="s">
        <v>263</v>
      </c>
      <c r="C171">
        <v>360</v>
      </c>
      <c r="D171">
        <v>249</v>
      </c>
    </row>
    <row r="172" spans="1:4" x14ac:dyDescent="0.3">
      <c r="A172">
        <v>4376</v>
      </c>
      <c r="B172" t="s">
        <v>419</v>
      </c>
      <c r="C172">
        <v>95</v>
      </c>
      <c r="D172">
        <v>53</v>
      </c>
    </row>
    <row r="173" spans="1:4" x14ac:dyDescent="0.3">
      <c r="A173">
        <v>4377</v>
      </c>
      <c r="B173" t="s">
        <v>451</v>
      </c>
      <c r="C173">
        <v>36</v>
      </c>
      <c r="D173">
        <v>0</v>
      </c>
    </row>
    <row r="174" spans="1:4" x14ac:dyDescent="0.3">
      <c r="A174">
        <v>4378</v>
      </c>
      <c r="B174" t="s">
        <v>81</v>
      </c>
      <c r="C174">
        <v>2758</v>
      </c>
      <c r="D174">
        <v>36</v>
      </c>
    </row>
    <row r="175" spans="1:4" x14ac:dyDescent="0.3">
      <c r="A175">
        <v>4379</v>
      </c>
      <c r="B175" t="s">
        <v>291</v>
      </c>
      <c r="C175">
        <v>1118</v>
      </c>
      <c r="D175">
        <v>16</v>
      </c>
    </row>
    <row r="176" spans="1:4" x14ac:dyDescent="0.3">
      <c r="A176">
        <v>4380</v>
      </c>
      <c r="B176" t="s">
        <v>464</v>
      </c>
      <c r="C176">
        <v>104</v>
      </c>
      <c r="D176">
        <v>55</v>
      </c>
    </row>
    <row r="177" spans="1:4" x14ac:dyDescent="0.3">
      <c r="A177">
        <v>4381</v>
      </c>
      <c r="B177" t="s">
        <v>111</v>
      </c>
      <c r="C177">
        <v>1746</v>
      </c>
      <c r="D177">
        <v>1083</v>
      </c>
    </row>
    <row r="178" spans="1:4" x14ac:dyDescent="0.3">
      <c r="A178">
        <v>4383</v>
      </c>
      <c r="B178" t="s">
        <v>241</v>
      </c>
      <c r="C178">
        <v>1333</v>
      </c>
      <c r="D178">
        <v>352</v>
      </c>
    </row>
    <row r="179" spans="1:4" x14ac:dyDescent="0.3">
      <c r="A179">
        <v>4385</v>
      </c>
      <c r="B179" t="s">
        <v>450</v>
      </c>
      <c r="C179">
        <v>419</v>
      </c>
      <c r="D179">
        <v>238</v>
      </c>
    </row>
    <row r="180" spans="1:4" x14ac:dyDescent="0.3">
      <c r="A180">
        <v>4386</v>
      </c>
      <c r="B180" t="s">
        <v>496</v>
      </c>
      <c r="C180">
        <v>18</v>
      </c>
      <c r="D180">
        <v>0</v>
      </c>
    </row>
    <row r="181" spans="1:4" x14ac:dyDescent="0.3">
      <c r="A181">
        <v>4387</v>
      </c>
      <c r="B181" t="s">
        <v>447</v>
      </c>
      <c r="C181">
        <v>2039</v>
      </c>
      <c r="D181">
        <v>5</v>
      </c>
    </row>
    <row r="182" spans="1:4" x14ac:dyDescent="0.3">
      <c r="A182">
        <v>4388</v>
      </c>
      <c r="B182" t="s">
        <v>223</v>
      </c>
      <c r="C182">
        <v>372</v>
      </c>
      <c r="D182">
        <v>158</v>
      </c>
    </row>
    <row r="183" spans="1:4" x14ac:dyDescent="0.3">
      <c r="A183">
        <v>4389</v>
      </c>
      <c r="B183" t="s">
        <v>199</v>
      </c>
      <c r="C183">
        <v>1912</v>
      </c>
      <c r="D183">
        <v>1909</v>
      </c>
    </row>
    <row r="184" spans="1:4" x14ac:dyDescent="0.3">
      <c r="A184">
        <v>4390</v>
      </c>
      <c r="B184" t="s">
        <v>348</v>
      </c>
      <c r="C184">
        <v>1101</v>
      </c>
      <c r="D184">
        <v>1</v>
      </c>
    </row>
    <row r="185" spans="1:4" x14ac:dyDescent="0.3">
      <c r="A185">
        <v>4391</v>
      </c>
      <c r="B185" t="s">
        <v>388</v>
      </c>
      <c r="C185">
        <v>2426</v>
      </c>
      <c r="D185">
        <v>1321</v>
      </c>
    </row>
    <row r="186" spans="1:4" x14ac:dyDescent="0.3">
      <c r="A186">
        <v>4392</v>
      </c>
      <c r="B186" t="s">
        <v>194</v>
      </c>
      <c r="C186">
        <v>455</v>
      </c>
      <c r="D186">
        <v>249</v>
      </c>
    </row>
    <row r="187" spans="1:4" x14ac:dyDescent="0.3">
      <c r="A187">
        <v>4393</v>
      </c>
      <c r="B187" t="s">
        <v>383</v>
      </c>
      <c r="C187">
        <v>2398</v>
      </c>
      <c r="D187">
        <v>1326</v>
      </c>
    </row>
    <row r="188" spans="1:4" x14ac:dyDescent="0.3">
      <c r="A188">
        <v>4394</v>
      </c>
      <c r="B188" t="s">
        <v>441</v>
      </c>
      <c r="C188">
        <v>2176</v>
      </c>
      <c r="D188">
        <v>0</v>
      </c>
    </row>
    <row r="189" spans="1:4" x14ac:dyDescent="0.3">
      <c r="A189">
        <v>4395</v>
      </c>
      <c r="B189" t="s">
        <v>97</v>
      </c>
      <c r="C189">
        <v>120</v>
      </c>
      <c r="D189">
        <v>47</v>
      </c>
    </row>
    <row r="190" spans="1:4" x14ac:dyDescent="0.3">
      <c r="A190">
        <v>4396</v>
      </c>
      <c r="B190" t="s">
        <v>1294</v>
      </c>
      <c r="C190">
        <v>1619</v>
      </c>
      <c r="D190">
        <v>1382</v>
      </c>
    </row>
    <row r="191" spans="1:4" x14ac:dyDescent="0.3">
      <c r="A191">
        <v>4397</v>
      </c>
      <c r="B191" t="s">
        <v>806</v>
      </c>
      <c r="C191">
        <v>2075</v>
      </c>
      <c r="D191">
        <v>15</v>
      </c>
    </row>
    <row r="192" spans="1:4" x14ac:dyDescent="0.3">
      <c r="A192">
        <v>4400</v>
      </c>
      <c r="B192" t="s">
        <v>808</v>
      </c>
      <c r="C192">
        <v>33</v>
      </c>
      <c r="D192">
        <v>3</v>
      </c>
    </row>
    <row r="193" spans="1:4" x14ac:dyDescent="0.3">
      <c r="A193">
        <v>4401</v>
      </c>
      <c r="B193" t="s">
        <v>486</v>
      </c>
      <c r="C193">
        <v>59</v>
      </c>
      <c r="D193">
        <v>3</v>
      </c>
    </row>
    <row r="194" spans="1:4" x14ac:dyDescent="0.3">
      <c r="A194">
        <v>4403</v>
      </c>
      <c r="B194" t="s">
        <v>424</v>
      </c>
      <c r="C194">
        <v>39707</v>
      </c>
      <c r="D194">
        <v>989</v>
      </c>
    </row>
    <row r="195" spans="1:4" x14ac:dyDescent="0.3">
      <c r="A195">
        <v>4404</v>
      </c>
      <c r="B195" t="s">
        <v>269</v>
      </c>
      <c r="C195">
        <v>10233</v>
      </c>
      <c r="D195">
        <v>5566</v>
      </c>
    </row>
    <row r="196" spans="1:4" x14ac:dyDescent="0.3">
      <c r="A196">
        <v>4405</v>
      </c>
      <c r="B196" t="s">
        <v>167</v>
      </c>
      <c r="C196">
        <v>5467</v>
      </c>
      <c r="D196">
        <v>3836</v>
      </c>
    </row>
    <row r="197" spans="1:4" x14ac:dyDescent="0.3">
      <c r="A197">
        <v>4406</v>
      </c>
      <c r="B197" t="s">
        <v>36</v>
      </c>
      <c r="C197">
        <v>13516</v>
      </c>
      <c r="D197">
        <v>25</v>
      </c>
    </row>
    <row r="198" spans="1:4" x14ac:dyDescent="0.3">
      <c r="A198">
        <v>4407</v>
      </c>
      <c r="B198" t="s">
        <v>403</v>
      </c>
      <c r="C198">
        <v>15683</v>
      </c>
      <c r="D198">
        <v>222</v>
      </c>
    </row>
    <row r="199" spans="1:4" x14ac:dyDescent="0.3">
      <c r="A199">
        <v>4408</v>
      </c>
      <c r="B199" t="s">
        <v>406</v>
      </c>
      <c r="C199">
        <v>1875</v>
      </c>
      <c r="D199">
        <v>281</v>
      </c>
    </row>
    <row r="200" spans="1:4" x14ac:dyDescent="0.3">
      <c r="A200">
        <v>4409</v>
      </c>
      <c r="B200" t="s">
        <v>18</v>
      </c>
      <c r="C200">
        <v>425</v>
      </c>
      <c r="D200">
        <v>336</v>
      </c>
    </row>
    <row r="201" spans="1:4" x14ac:dyDescent="0.3">
      <c r="A201">
        <v>4410</v>
      </c>
      <c r="B201" t="s">
        <v>95</v>
      </c>
      <c r="C201">
        <v>4302</v>
      </c>
      <c r="D201">
        <v>547</v>
      </c>
    </row>
    <row r="202" spans="1:4" x14ac:dyDescent="0.3">
      <c r="A202">
        <v>4411</v>
      </c>
      <c r="B202" t="s">
        <v>367</v>
      </c>
      <c r="C202">
        <v>6234</v>
      </c>
      <c r="D202">
        <v>211</v>
      </c>
    </row>
    <row r="203" spans="1:4" x14ac:dyDescent="0.3">
      <c r="A203">
        <v>4412</v>
      </c>
      <c r="B203" t="s">
        <v>61</v>
      </c>
      <c r="C203">
        <v>913</v>
      </c>
      <c r="D203">
        <v>92</v>
      </c>
    </row>
    <row r="204" spans="1:4" x14ac:dyDescent="0.3">
      <c r="A204">
        <v>4413</v>
      </c>
      <c r="B204" t="s">
        <v>427</v>
      </c>
      <c r="C204">
        <v>12523</v>
      </c>
      <c r="D204">
        <v>2576</v>
      </c>
    </row>
    <row r="205" spans="1:4" x14ac:dyDescent="0.3">
      <c r="A205">
        <v>4414</v>
      </c>
      <c r="B205" t="s">
        <v>371</v>
      </c>
      <c r="C205">
        <v>21</v>
      </c>
      <c r="D205">
        <v>16</v>
      </c>
    </row>
    <row r="206" spans="1:4" x14ac:dyDescent="0.3">
      <c r="A206">
        <v>4416</v>
      </c>
      <c r="B206" t="s">
        <v>114</v>
      </c>
      <c r="C206">
        <v>533</v>
      </c>
      <c r="D206">
        <v>68</v>
      </c>
    </row>
    <row r="207" spans="1:4" x14ac:dyDescent="0.3">
      <c r="A207">
        <v>4418</v>
      </c>
      <c r="B207" t="s">
        <v>24</v>
      </c>
      <c r="C207">
        <v>600</v>
      </c>
      <c r="D207">
        <v>593</v>
      </c>
    </row>
    <row r="208" spans="1:4" x14ac:dyDescent="0.3">
      <c r="A208">
        <v>4420</v>
      </c>
      <c r="B208" t="s">
        <v>1271</v>
      </c>
      <c r="C208">
        <v>65</v>
      </c>
      <c r="D208">
        <v>56</v>
      </c>
    </row>
    <row r="209" spans="1:4" x14ac:dyDescent="0.3">
      <c r="A209">
        <v>4421</v>
      </c>
      <c r="B209" t="s">
        <v>819</v>
      </c>
      <c r="C209">
        <v>169</v>
      </c>
      <c r="D209">
        <v>113</v>
      </c>
    </row>
    <row r="210" spans="1:4" x14ac:dyDescent="0.3">
      <c r="A210">
        <v>4422</v>
      </c>
      <c r="B210" t="s">
        <v>425</v>
      </c>
      <c r="C210">
        <v>141</v>
      </c>
      <c r="D210">
        <v>123</v>
      </c>
    </row>
    <row r="211" spans="1:4" x14ac:dyDescent="0.3">
      <c r="A211">
        <v>4425</v>
      </c>
      <c r="B211" t="s">
        <v>354</v>
      </c>
      <c r="C211">
        <v>421</v>
      </c>
      <c r="D211">
        <v>295</v>
      </c>
    </row>
    <row r="212" spans="1:4" x14ac:dyDescent="0.3">
      <c r="A212">
        <v>4426</v>
      </c>
      <c r="B212" t="s">
        <v>515</v>
      </c>
      <c r="C212">
        <v>219</v>
      </c>
      <c r="D212">
        <v>0</v>
      </c>
    </row>
    <row r="213" spans="1:4" x14ac:dyDescent="0.3">
      <c r="A213">
        <v>4428</v>
      </c>
      <c r="B213" t="s">
        <v>822</v>
      </c>
      <c r="C213">
        <v>92</v>
      </c>
      <c r="D213">
        <v>18</v>
      </c>
    </row>
    <row r="214" spans="1:4" x14ac:dyDescent="0.3">
      <c r="A214">
        <v>4430</v>
      </c>
      <c r="B214" t="s">
        <v>823</v>
      </c>
      <c r="C214">
        <v>32</v>
      </c>
      <c r="D214">
        <v>9</v>
      </c>
    </row>
    <row r="215" spans="1:4" x14ac:dyDescent="0.3">
      <c r="A215">
        <v>4431</v>
      </c>
      <c r="B215" t="s">
        <v>836</v>
      </c>
      <c r="C215">
        <v>468</v>
      </c>
      <c r="D215">
        <v>421</v>
      </c>
    </row>
    <row r="216" spans="1:4" x14ac:dyDescent="0.3">
      <c r="A216">
        <v>4435</v>
      </c>
      <c r="B216" t="s">
        <v>274</v>
      </c>
      <c r="C216">
        <v>176</v>
      </c>
      <c r="D216">
        <v>2</v>
      </c>
    </row>
    <row r="217" spans="1:4" x14ac:dyDescent="0.3">
      <c r="A217">
        <v>4437</v>
      </c>
      <c r="B217" t="s">
        <v>166</v>
      </c>
      <c r="C217">
        <v>8867</v>
      </c>
      <c r="D217">
        <v>5097</v>
      </c>
    </row>
    <row r="218" spans="1:4" x14ac:dyDescent="0.3">
      <c r="A218">
        <v>4438</v>
      </c>
      <c r="B218" t="s">
        <v>357</v>
      </c>
      <c r="C218">
        <v>416</v>
      </c>
      <c r="D218">
        <v>253</v>
      </c>
    </row>
    <row r="219" spans="1:4" x14ac:dyDescent="0.3">
      <c r="A219">
        <v>4439</v>
      </c>
      <c r="B219" t="s">
        <v>268</v>
      </c>
      <c r="C219">
        <v>722</v>
      </c>
      <c r="D219">
        <v>563</v>
      </c>
    </row>
    <row r="220" spans="1:4" x14ac:dyDescent="0.3">
      <c r="A220">
        <v>4440</v>
      </c>
      <c r="B220" t="s">
        <v>404</v>
      </c>
      <c r="C220">
        <v>350</v>
      </c>
      <c r="D220">
        <v>166</v>
      </c>
    </row>
    <row r="221" spans="1:4" x14ac:dyDescent="0.3">
      <c r="A221">
        <v>4441</v>
      </c>
      <c r="B221" t="s">
        <v>273</v>
      </c>
      <c r="C221">
        <v>6352</v>
      </c>
      <c r="D221">
        <v>3396</v>
      </c>
    </row>
    <row r="222" spans="1:4" x14ac:dyDescent="0.3">
      <c r="A222">
        <v>4442</v>
      </c>
      <c r="B222" t="s">
        <v>115</v>
      </c>
      <c r="C222">
        <v>1963</v>
      </c>
      <c r="D222">
        <v>1542</v>
      </c>
    </row>
    <row r="223" spans="1:4" x14ac:dyDescent="0.3">
      <c r="A223">
        <v>4443</v>
      </c>
      <c r="B223" t="s">
        <v>39</v>
      </c>
      <c r="C223">
        <v>3118</v>
      </c>
      <c r="D223">
        <v>2068</v>
      </c>
    </row>
    <row r="224" spans="1:4" x14ac:dyDescent="0.3">
      <c r="A224">
        <v>4444</v>
      </c>
      <c r="B224" t="s">
        <v>311</v>
      </c>
      <c r="C224">
        <v>383</v>
      </c>
      <c r="D224">
        <v>0</v>
      </c>
    </row>
    <row r="225" spans="1:4" x14ac:dyDescent="0.3">
      <c r="A225">
        <v>4445</v>
      </c>
      <c r="B225" t="s">
        <v>221</v>
      </c>
      <c r="C225">
        <v>4305</v>
      </c>
      <c r="D225">
        <v>2034</v>
      </c>
    </row>
    <row r="226" spans="1:4" x14ac:dyDescent="0.3">
      <c r="A226">
        <v>4446</v>
      </c>
      <c r="B226" t="s">
        <v>93</v>
      </c>
      <c r="C226">
        <v>6781</v>
      </c>
      <c r="D226">
        <v>81</v>
      </c>
    </row>
    <row r="227" spans="1:4" x14ac:dyDescent="0.3">
      <c r="A227">
        <v>4447</v>
      </c>
      <c r="B227" t="s">
        <v>482</v>
      </c>
      <c r="C227">
        <v>339</v>
      </c>
      <c r="D227">
        <v>1</v>
      </c>
    </row>
    <row r="228" spans="1:4" x14ac:dyDescent="0.3">
      <c r="A228">
        <v>4448</v>
      </c>
      <c r="B228" t="s">
        <v>156</v>
      </c>
      <c r="C228">
        <v>863</v>
      </c>
      <c r="D228">
        <v>472</v>
      </c>
    </row>
    <row r="229" spans="1:4" x14ac:dyDescent="0.3">
      <c r="A229">
        <v>4449</v>
      </c>
      <c r="B229" t="s">
        <v>364</v>
      </c>
      <c r="C229">
        <v>541</v>
      </c>
      <c r="D229">
        <v>278</v>
      </c>
    </row>
    <row r="230" spans="1:4" x14ac:dyDescent="0.3">
      <c r="A230">
        <v>4450</v>
      </c>
      <c r="B230" t="s">
        <v>849</v>
      </c>
      <c r="C230">
        <v>1008</v>
      </c>
      <c r="D230">
        <v>674</v>
      </c>
    </row>
    <row r="231" spans="1:4" x14ac:dyDescent="0.3">
      <c r="A231">
        <v>4451</v>
      </c>
      <c r="B231" t="s">
        <v>399</v>
      </c>
      <c r="C231">
        <v>496</v>
      </c>
      <c r="D231">
        <v>44</v>
      </c>
    </row>
    <row r="232" spans="1:4" x14ac:dyDescent="0.3">
      <c r="A232">
        <v>4452</v>
      </c>
      <c r="B232" t="s">
        <v>340</v>
      </c>
      <c r="C232">
        <v>187</v>
      </c>
      <c r="D232">
        <v>0</v>
      </c>
    </row>
    <row r="233" spans="1:4" x14ac:dyDescent="0.3">
      <c r="A233">
        <v>4453</v>
      </c>
      <c r="B233" t="s">
        <v>94</v>
      </c>
      <c r="C233">
        <v>3282</v>
      </c>
      <c r="D233">
        <v>2016</v>
      </c>
    </row>
    <row r="234" spans="1:4" x14ac:dyDescent="0.3">
      <c r="A234">
        <v>4454</v>
      </c>
      <c r="B234" t="s">
        <v>377</v>
      </c>
      <c r="C234">
        <v>414</v>
      </c>
      <c r="D234">
        <v>192</v>
      </c>
    </row>
    <row r="235" spans="1:4" x14ac:dyDescent="0.3">
      <c r="A235">
        <v>4457</v>
      </c>
      <c r="B235" t="s">
        <v>306</v>
      </c>
      <c r="C235">
        <v>5665</v>
      </c>
      <c r="D235">
        <v>53</v>
      </c>
    </row>
    <row r="236" spans="1:4" x14ac:dyDescent="0.3">
      <c r="A236">
        <v>4458</v>
      </c>
      <c r="B236" t="s">
        <v>376</v>
      </c>
      <c r="C236">
        <v>2644</v>
      </c>
      <c r="D236">
        <v>1353</v>
      </c>
    </row>
    <row r="237" spans="1:4" x14ac:dyDescent="0.3">
      <c r="A237">
        <v>4459</v>
      </c>
      <c r="B237" t="s">
        <v>375</v>
      </c>
      <c r="C237">
        <v>225</v>
      </c>
      <c r="D237">
        <v>0</v>
      </c>
    </row>
    <row r="238" spans="1:4" x14ac:dyDescent="0.3">
      <c r="A238">
        <v>4460</v>
      </c>
      <c r="B238" t="s">
        <v>327</v>
      </c>
      <c r="C238">
        <v>77</v>
      </c>
      <c r="D238">
        <v>0</v>
      </c>
    </row>
    <row r="239" spans="1:4" x14ac:dyDescent="0.3">
      <c r="A239">
        <v>4461</v>
      </c>
      <c r="B239" t="s">
        <v>391</v>
      </c>
      <c r="C239">
        <v>110</v>
      </c>
      <c r="D239">
        <v>32</v>
      </c>
    </row>
    <row r="240" spans="1:4" x14ac:dyDescent="0.3">
      <c r="A240">
        <v>4462</v>
      </c>
      <c r="B240" t="s">
        <v>328</v>
      </c>
      <c r="C240">
        <v>72</v>
      </c>
      <c r="D240">
        <v>0</v>
      </c>
    </row>
    <row r="241" spans="1:4" x14ac:dyDescent="0.3">
      <c r="A241">
        <v>4463</v>
      </c>
      <c r="B241" t="s">
        <v>857</v>
      </c>
      <c r="C241">
        <v>277</v>
      </c>
      <c r="D241">
        <v>175</v>
      </c>
    </row>
    <row r="242" spans="1:4" x14ac:dyDescent="0.3">
      <c r="A242">
        <v>4466</v>
      </c>
      <c r="B242" t="s">
        <v>352</v>
      </c>
      <c r="C242">
        <v>3790</v>
      </c>
      <c r="D242">
        <v>1548</v>
      </c>
    </row>
    <row r="243" spans="1:4" x14ac:dyDescent="0.3">
      <c r="A243">
        <v>4467</v>
      </c>
      <c r="B243" t="s">
        <v>381</v>
      </c>
      <c r="C243">
        <v>1037</v>
      </c>
      <c r="D243">
        <v>557</v>
      </c>
    </row>
    <row r="244" spans="1:4" x14ac:dyDescent="0.3">
      <c r="A244">
        <v>4468</v>
      </c>
      <c r="B244" t="s">
        <v>62</v>
      </c>
      <c r="C244">
        <v>381</v>
      </c>
      <c r="D244">
        <v>122</v>
      </c>
    </row>
    <row r="245" spans="1:4" x14ac:dyDescent="0.3">
      <c r="A245">
        <v>4469</v>
      </c>
      <c r="B245" t="s">
        <v>200</v>
      </c>
      <c r="C245">
        <v>5494</v>
      </c>
      <c r="D245">
        <v>2950</v>
      </c>
    </row>
    <row r="246" spans="1:4" x14ac:dyDescent="0.3">
      <c r="A246">
        <v>4470</v>
      </c>
      <c r="B246" t="s">
        <v>86</v>
      </c>
      <c r="C246">
        <v>1542</v>
      </c>
      <c r="D246">
        <v>1027</v>
      </c>
    </row>
    <row r="247" spans="1:4" x14ac:dyDescent="0.3">
      <c r="A247">
        <v>4471</v>
      </c>
      <c r="B247" t="s">
        <v>55</v>
      </c>
      <c r="C247">
        <v>232</v>
      </c>
      <c r="D247">
        <v>232</v>
      </c>
    </row>
    <row r="248" spans="1:4" x14ac:dyDescent="0.3">
      <c r="A248">
        <v>4472</v>
      </c>
      <c r="B248" t="s">
        <v>382</v>
      </c>
      <c r="C248">
        <v>120</v>
      </c>
      <c r="D248">
        <v>70</v>
      </c>
    </row>
    <row r="249" spans="1:4" x14ac:dyDescent="0.3">
      <c r="A249">
        <v>4473</v>
      </c>
      <c r="B249" t="s">
        <v>278</v>
      </c>
      <c r="C249">
        <v>490</v>
      </c>
      <c r="D249">
        <v>424</v>
      </c>
    </row>
    <row r="250" spans="1:4" x14ac:dyDescent="0.3">
      <c r="A250">
        <v>4474</v>
      </c>
      <c r="B250" t="s">
        <v>104</v>
      </c>
      <c r="C250">
        <v>2155</v>
      </c>
      <c r="D250">
        <v>1200</v>
      </c>
    </row>
    <row r="251" spans="1:4" x14ac:dyDescent="0.3">
      <c r="A251">
        <v>4478</v>
      </c>
      <c r="B251" t="s">
        <v>475</v>
      </c>
      <c r="C251">
        <v>14</v>
      </c>
      <c r="D251">
        <v>0</v>
      </c>
    </row>
    <row r="252" spans="1:4" x14ac:dyDescent="0.3">
      <c r="A252">
        <v>4479</v>
      </c>
      <c r="B252" t="s">
        <v>113</v>
      </c>
      <c r="C252">
        <v>97</v>
      </c>
      <c r="D252">
        <v>0</v>
      </c>
    </row>
    <row r="253" spans="1:4" x14ac:dyDescent="0.3">
      <c r="A253">
        <v>4480</v>
      </c>
      <c r="B253" t="s">
        <v>243</v>
      </c>
      <c r="C253">
        <v>75</v>
      </c>
      <c r="D253">
        <v>56</v>
      </c>
    </row>
    <row r="254" spans="1:4" x14ac:dyDescent="0.3">
      <c r="A254">
        <v>4481</v>
      </c>
      <c r="B254" t="s">
        <v>66</v>
      </c>
      <c r="C254">
        <v>276</v>
      </c>
      <c r="D254">
        <v>216</v>
      </c>
    </row>
    <row r="255" spans="1:4" x14ac:dyDescent="0.3">
      <c r="A255">
        <v>4482</v>
      </c>
      <c r="B255" t="s">
        <v>514</v>
      </c>
      <c r="C255">
        <v>21</v>
      </c>
      <c r="D255">
        <v>0</v>
      </c>
    </row>
    <row r="256" spans="1:4" x14ac:dyDescent="0.3">
      <c r="A256">
        <v>4483</v>
      </c>
      <c r="B256" t="s">
        <v>527</v>
      </c>
      <c r="C256">
        <v>4</v>
      </c>
      <c r="D256">
        <v>0</v>
      </c>
    </row>
    <row r="257" spans="1:4" x14ac:dyDescent="0.3">
      <c r="A257">
        <v>4484</v>
      </c>
      <c r="B257" t="s">
        <v>87</v>
      </c>
      <c r="C257">
        <v>126</v>
      </c>
      <c r="D257">
        <v>72</v>
      </c>
    </row>
    <row r="258" spans="1:4" x14ac:dyDescent="0.3">
      <c r="A258">
        <v>4485</v>
      </c>
      <c r="B258" t="s">
        <v>448</v>
      </c>
      <c r="C258">
        <v>37</v>
      </c>
      <c r="D258">
        <v>31</v>
      </c>
    </row>
    <row r="259" spans="1:4" x14ac:dyDescent="0.3">
      <c r="A259">
        <v>4486</v>
      </c>
      <c r="B259" t="s">
        <v>106</v>
      </c>
      <c r="C259">
        <v>452</v>
      </c>
      <c r="D259">
        <v>240</v>
      </c>
    </row>
    <row r="260" spans="1:4" x14ac:dyDescent="0.3">
      <c r="A260">
        <v>4487</v>
      </c>
      <c r="B260" t="s">
        <v>117</v>
      </c>
      <c r="C260">
        <v>2055</v>
      </c>
      <c r="D260">
        <v>1321</v>
      </c>
    </row>
    <row r="261" spans="1:4" x14ac:dyDescent="0.3">
      <c r="A261">
        <v>4488</v>
      </c>
      <c r="B261" t="s">
        <v>288</v>
      </c>
      <c r="C261">
        <v>1134</v>
      </c>
      <c r="D261">
        <v>614</v>
      </c>
    </row>
    <row r="262" spans="1:4" x14ac:dyDescent="0.3">
      <c r="A262">
        <v>4492</v>
      </c>
      <c r="B262" t="s">
        <v>866</v>
      </c>
      <c r="C262">
        <v>144</v>
      </c>
      <c r="D262">
        <v>72</v>
      </c>
    </row>
    <row r="263" spans="1:4" x14ac:dyDescent="0.3">
      <c r="A263">
        <v>4493</v>
      </c>
      <c r="B263" t="s">
        <v>287</v>
      </c>
      <c r="C263">
        <v>168</v>
      </c>
      <c r="D263">
        <v>93</v>
      </c>
    </row>
    <row r="264" spans="1:4" x14ac:dyDescent="0.3">
      <c r="A264">
        <v>4495</v>
      </c>
      <c r="B264" t="s">
        <v>679</v>
      </c>
      <c r="C264">
        <v>445</v>
      </c>
      <c r="D264">
        <v>239</v>
      </c>
    </row>
    <row r="265" spans="1:4" x14ac:dyDescent="0.3">
      <c r="A265">
        <v>4496</v>
      </c>
      <c r="B265" t="s">
        <v>868</v>
      </c>
      <c r="C265">
        <v>228</v>
      </c>
      <c r="D265">
        <v>64</v>
      </c>
    </row>
    <row r="266" spans="1:4" x14ac:dyDescent="0.3">
      <c r="A266">
        <v>4499</v>
      </c>
      <c r="B266" t="s">
        <v>452</v>
      </c>
      <c r="C266">
        <v>8514</v>
      </c>
      <c r="D266">
        <v>6273</v>
      </c>
    </row>
    <row r="267" spans="1:4" x14ac:dyDescent="0.3">
      <c r="A267">
        <v>4500</v>
      </c>
      <c r="B267" t="s">
        <v>390</v>
      </c>
      <c r="C267">
        <v>2923</v>
      </c>
      <c r="D267">
        <v>2</v>
      </c>
    </row>
    <row r="268" spans="1:4" x14ac:dyDescent="0.3">
      <c r="A268">
        <v>4501</v>
      </c>
      <c r="B268" t="s">
        <v>121</v>
      </c>
      <c r="C268">
        <v>6187</v>
      </c>
      <c r="D268">
        <v>5484</v>
      </c>
    </row>
    <row r="269" spans="1:4" x14ac:dyDescent="0.3">
      <c r="A269">
        <v>4502</v>
      </c>
      <c r="B269" t="s">
        <v>201</v>
      </c>
      <c r="C269">
        <v>84</v>
      </c>
      <c r="D269">
        <v>0</v>
      </c>
    </row>
    <row r="270" spans="1:4" x14ac:dyDescent="0.3">
      <c r="A270">
        <v>4503</v>
      </c>
      <c r="B270" t="s">
        <v>292</v>
      </c>
      <c r="C270">
        <v>176</v>
      </c>
      <c r="D270">
        <v>142</v>
      </c>
    </row>
    <row r="271" spans="1:4" x14ac:dyDescent="0.3">
      <c r="A271">
        <v>4504</v>
      </c>
      <c r="B271" t="s">
        <v>434</v>
      </c>
      <c r="C271">
        <v>206</v>
      </c>
      <c r="D271">
        <v>158</v>
      </c>
    </row>
    <row r="272" spans="1:4" x14ac:dyDescent="0.3">
      <c r="A272">
        <v>4505</v>
      </c>
      <c r="B272" t="s">
        <v>176</v>
      </c>
      <c r="C272">
        <v>5234</v>
      </c>
      <c r="D272">
        <v>47</v>
      </c>
    </row>
    <row r="273" spans="1:4" x14ac:dyDescent="0.3">
      <c r="A273">
        <v>4506</v>
      </c>
      <c r="B273" t="s">
        <v>37</v>
      </c>
      <c r="C273">
        <v>198</v>
      </c>
      <c r="D273">
        <v>60</v>
      </c>
    </row>
    <row r="274" spans="1:4" x14ac:dyDescent="0.3">
      <c r="A274">
        <v>4507</v>
      </c>
      <c r="B274" t="s">
        <v>453</v>
      </c>
      <c r="C274">
        <v>10399</v>
      </c>
      <c r="D274">
        <v>942</v>
      </c>
    </row>
    <row r="275" spans="1:4" x14ac:dyDescent="0.3">
      <c r="A275">
        <v>4508</v>
      </c>
      <c r="B275" t="s">
        <v>542</v>
      </c>
      <c r="C275">
        <v>73</v>
      </c>
      <c r="D275">
        <v>65</v>
      </c>
    </row>
    <row r="276" spans="1:4" x14ac:dyDescent="0.3">
      <c r="A276">
        <v>4509</v>
      </c>
      <c r="B276" t="s">
        <v>874</v>
      </c>
      <c r="C276">
        <v>40</v>
      </c>
      <c r="D276">
        <v>40</v>
      </c>
    </row>
    <row r="277" spans="1:4" x14ac:dyDescent="0.3">
      <c r="A277">
        <v>4510</v>
      </c>
      <c r="B277" t="s">
        <v>325</v>
      </c>
      <c r="C277">
        <v>1894</v>
      </c>
      <c r="D277">
        <v>1483</v>
      </c>
    </row>
    <row r="278" spans="1:4" x14ac:dyDescent="0.3">
      <c r="A278">
        <v>4511</v>
      </c>
      <c r="B278" t="s">
        <v>355</v>
      </c>
      <c r="C278">
        <v>190</v>
      </c>
      <c r="D278">
        <v>190</v>
      </c>
    </row>
    <row r="279" spans="1:4" x14ac:dyDescent="0.3">
      <c r="A279">
        <v>4512</v>
      </c>
      <c r="B279" t="s">
        <v>435</v>
      </c>
      <c r="C279">
        <v>76</v>
      </c>
      <c r="D279">
        <v>76</v>
      </c>
    </row>
    <row r="280" spans="1:4" x14ac:dyDescent="0.3">
      <c r="A280">
        <v>4513</v>
      </c>
      <c r="B280" t="s">
        <v>75</v>
      </c>
      <c r="C280">
        <v>24</v>
      </c>
      <c r="D280">
        <v>17</v>
      </c>
    </row>
    <row r="281" spans="1:4" x14ac:dyDescent="0.3">
      <c r="A281">
        <v>4514</v>
      </c>
      <c r="B281" t="s">
        <v>368</v>
      </c>
      <c r="C281">
        <v>127</v>
      </c>
      <c r="D281">
        <v>99</v>
      </c>
    </row>
    <row r="282" spans="1:4" x14ac:dyDescent="0.3">
      <c r="A282">
        <v>4515</v>
      </c>
      <c r="B282" t="s">
        <v>69</v>
      </c>
      <c r="C282">
        <v>122</v>
      </c>
      <c r="D282">
        <v>122</v>
      </c>
    </row>
    <row r="283" spans="1:4" x14ac:dyDescent="0.3">
      <c r="A283">
        <v>4516</v>
      </c>
      <c r="B283" t="s">
        <v>524</v>
      </c>
      <c r="C283">
        <v>248</v>
      </c>
      <c r="D283">
        <v>27</v>
      </c>
    </row>
    <row r="284" spans="1:4" x14ac:dyDescent="0.3">
      <c r="A284">
        <v>5174</v>
      </c>
      <c r="B284" t="s">
        <v>218</v>
      </c>
      <c r="C284">
        <v>35</v>
      </c>
      <c r="D284">
        <v>23</v>
      </c>
    </row>
    <row r="285" spans="1:4" x14ac:dyDescent="0.3">
      <c r="A285">
        <v>5180</v>
      </c>
      <c r="B285" t="s">
        <v>766</v>
      </c>
      <c r="C285">
        <v>2053</v>
      </c>
      <c r="D285">
        <v>482</v>
      </c>
    </row>
    <row r="286" spans="1:4" x14ac:dyDescent="0.3">
      <c r="A286">
        <v>5181</v>
      </c>
      <c r="B286" t="s">
        <v>764</v>
      </c>
      <c r="C286">
        <v>255</v>
      </c>
      <c r="D286">
        <v>71</v>
      </c>
    </row>
    <row r="287" spans="1:4" x14ac:dyDescent="0.3">
      <c r="A287">
        <v>5186</v>
      </c>
      <c r="B287" t="s">
        <v>105</v>
      </c>
      <c r="C287">
        <v>456</v>
      </c>
      <c r="D287">
        <v>347</v>
      </c>
    </row>
    <row r="288" spans="1:4" x14ac:dyDescent="0.3">
      <c r="A288">
        <v>5978</v>
      </c>
      <c r="B288" t="s">
        <v>854</v>
      </c>
      <c r="C288">
        <v>21</v>
      </c>
      <c r="D288">
        <v>21</v>
      </c>
    </row>
    <row r="289" spans="1:4" x14ac:dyDescent="0.3">
      <c r="A289">
        <v>6235</v>
      </c>
      <c r="B289" t="s">
        <v>314</v>
      </c>
      <c r="C289">
        <v>1107</v>
      </c>
      <c r="D289">
        <v>721</v>
      </c>
    </row>
    <row r="290" spans="1:4" x14ac:dyDescent="0.3">
      <c r="A290">
        <v>6258</v>
      </c>
      <c r="B290" t="s">
        <v>631</v>
      </c>
      <c r="C290">
        <v>318</v>
      </c>
      <c r="D290">
        <v>178</v>
      </c>
    </row>
    <row r="291" spans="1:4" x14ac:dyDescent="0.3">
      <c r="A291">
        <v>6353</v>
      </c>
      <c r="B291" t="s">
        <v>809</v>
      </c>
      <c r="C291">
        <v>34</v>
      </c>
      <c r="D291">
        <v>0</v>
      </c>
    </row>
    <row r="292" spans="1:4" x14ac:dyDescent="0.3">
      <c r="A292">
        <v>6355</v>
      </c>
      <c r="B292" t="s">
        <v>832</v>
      </c>
      <c r="C292">
        <v>842</v>
      </c>
      <c r="D292">
        <v>305</v>
      </c>
    </row>
    <row r="293" spans="1:4" x14ac:dyDescent="0.3">
      <c r="A293">
        <v>6357</v>
      </c>
      <c r="B293" t="s">
        <v>132</v>
      </c>
      <c r="C293">
        <v>106</v>
      </c>
      <c r="D293">
        <v>40</v>
      </c>
    </row>
    <row r="294" spans="1:4" x14ac:dyDescent="0.3">
      <c r="A294">
        <v>6361</v>
      </c>
      <c r="B294" t="s">
        <v>1266</v>
      </c>
      <c r="C294">
        <v>799</v>
      </c>
      <c r="D294">
        <v>1</v>
      </c>
    </row>
    <row r="295" spans="1:4" x14ac:dyDescent="0.3">
      <c r="A295">
        <v>6362</v>
      </c>
      <c r="B295" t="s">
        <v>759</v>
      </c>
      <c r="C295">
        <v>547</v>
      </c>
      <c r="D295">
        <v>113</v>
      </c>
    </row>
    <row r="296" spans="1:4" x14ac:dyDescent="0.3">
      <c r="A296">
        <v>6364</v>
      </c>
      <c r="B296" t="s">
        <v>12</v>
      </c>
      <c r="C296">
        <v>172</v>
      </c>
      <c r="D296">
        <v>71</v>
      </c>
    </row>
    <row r="297" spans="1:4" x14ac:dyDescent="0.3">
      <c r="A297">
        <v>6365</v>
      </c>
      <c r="B297" t="s">
        <v>35</v>
      </c>
      <c r="C297">
        <v>429</v>
      </c>
      <c r="D297">
        <v>222</v>
      </c>
    </row>
    <row r="298" spans="1:4" x14ac:dyDescent="0.3">
      <c r="A298">
        <v>6369</v>
      </c>
      <c r="B298" t="s">
        <v>190</v>
      </c>
      <c r="C298">
        <v>76</v>
      </c>
      <c r="D298">
        <v>1</v>
      </c>
    </row>
    <row r="299" spans="1:4" x14ac:dyDescent="0.3">
      <c r="A299">
        <v>6372</v>
      </c>
      <c r="B299" t="s">
        <v>760</v>
      </c>
      <c r="C299">
        <v>32</v>
      </c>
      <c r="D299">
        <v>23</v>
      </c>
    </row>
    <row r="300" spans="1:4" x14ac:dyDescent="0.3">
      <c r="A300">
        <v>6374</v>
      </c>
      <c r="B300" t="s">
        <v>422</v>
      </c>
      <c r="C300">
        <v>46</v>
      </c>
      <c r="D300">
        <v>34</v>
      </c>
    </row>
    <row r="301" spans="1:4" x14ac:dyDescent="0.3">
      <c r="A301">
        <v>6375</v>
      </c>
      <c r="B301" t="s">
        <v>728</v>
      </c>
      <c r="C301">
        <v>210</v>
      </c>
      <c r="D301">
        <v>159</v>
      </c>
    </row>
    <row r="302" spans="1:4" x14ac:dyDescent="0.3">
      <c r="A302">
        <v>6378</v>
      </c>
      <c r="B302" t="s">
        <v>729</v>
      </c>
      <c r="C302">
        <v>46</v>
      </c>
      <c r="D302">
        <v>41</v>
      </c>
    </row>
    <row r="303" spans="1:4" x14ac:dyDescent="0.3">
      <c r="A303">
        <v>6379</v>
      </c>
      <c r="B303" t="s">
        <v>338</v>
      </c>
      <c r="C303">
        <v>92</v>
      </c>
      <c r="D303">
        <v>50</v>
      </c>
    </row>
    <row r="304" spans="1:4" x14ac:dyDescent="0.3">
      <c r="A304">
        <v>6393</v>
      </c>
      <c r="B304" t="s">
        <v>50</v>
      </c>
      <c r="C304">
        <v>647</v>
      </c>
      <c r="D304">
        <v>32</v>
      </c>
    </row>
    <row r="305" spans="1:4" x14ac:dyDescent="0.3">
      <c r="A305">
        <v>6446</v>
      </c>
      <c r="B305" t="s">
        <v>768</v>
      </c>
      <c r="C305">
        <v>982</v>
      </c>
      <c r="D305">
        <v>899</v>
      </c>
    </row>
    <row r="306" spans="1:4" x14ac:dyDescent="0.3">
      <c r="A306">
        <v>6470</v>
      </c>
      <c r="B306" t="s">
        <v>620</v>
      </c>
      <c r="C306">
        <v>3</v>
      </c>
      <c r="D306">
        <v>0</v>
      </c>
    </row>
    <row r="307" spans="1:4" x14ac:dyDescent="0.3">
      <c r="A307">
        <v>6719</v>
      </c>
      <c r="B307" t="s">
        <v>623</v>
      </c>
      <c r="C307">
        <v>2</v>
      </c>
      <c r="D307">
        <v>0</v>
      </c>
    </row>
    <row r="308" spans="1:4" x14ac:dyDescent="0.3">
      <c r="A308">
        <v>7295</v>
      </c>
      <c r="B308" t="s">
        <v>632</v>
      </c>
      <c r="C308">
        <v>9</v>
      </c>
      <c r="D308">
        <v>7</v>
      </c>
    </row>
    <row r="309" spans="1:4" x14ac:dyDescent="0.3">
      <c r="A309">
        <v>7301</v>
      </c>
      <c r="B309" t="s">
        <v>1388</v>
      </c>
      <c r="C309">
        <v>2</v>
      </c>
      <c r="D309">
        <v>0</v>
      </c>
    </row>
    <row r="310" spans="1:4" x14ac:dyDescent="0.3">
      <c r="A310">
        <v>7303</v>
      </c>
      <c r="B310" t="s">
        <v>634</v>
      </c>
      <c r="C310">
        <v>5</v>
      </c>
      <c r="D310">
        <v>0</v>
      </c>
    </row>
    <row r="311" spans="1:4" x14ac:dyDescent="0.3">
      <c r="A311">
        <v>7317</v>
      </c>
      <c r="B311" t="s">
        <v>638</v>
      </c>
      <c r="C311">
        <v>6</v>
      </c>
      <c r="D311">
        <v>2</v>
      </c>
    </row>
    <row r="312" spans="1:4" x14ac:dyDescent="0.3">
      <c r="A312">
        <v>7332</v>
      </c>
      <c r="B312" t="s">
        <v>644</v>
      </c>
      <c r="C312">
        <v>7</v>
      </c>
      <c r="D312">
        <v>3</v>
      </c>
    </row>
    <row r="313" spans="1:4" x14ac:dyDescent="0.3">
      <c r="A313">
        <v>7334</v>
      </c>
      <c r="B313" t="s">
        <v>646</v>
      </c>
      <c r="C313">
        <v>18</v>
      </c>
      <c r="D313">
        <v>1</v>
      </c>
    </row>
    <row r="314" spans="1:4" x14ac:dyDescent="0.3">
      <c r="A314">
        <v>7340</v>
      </c>
      <c r="B314" t="s">
        <v>647</v>
      </c>
      <c r="C314">
        <v>14</v>
      </c>
      <c r="D314">
        <v>1</v>
      </c>
    </row>
    <row r="315" spans="1:4" x14ac:dyDescent="0.3">
      <c r="A315">
        <v>7347</v>
      </c>
      <c r="B315" t="s">
        <v>648</v>
      </c>
      <c r="C315">
        <v>74</v>
      </c>
      <c r="D315">
        <v>17</v>
      </c>
    </row>
    <row r="316" spans="1:4" x14ac:dyDescent="0.3">
      <c r="A316">
        <v>7351</v>
      </c>
      <c r="B316" t="s">
        <v>652</v>
      </c>
      <c r="C316">
        <v>32</v>
      </c>
      <c r="D316">
        <v>9</v>
      </c>
    </row>
    <row r="317" spans="1:4" x14ac:dyDescent="0.3">
      <c r="A317">
        <v>7355</v>
      </c>
      <c r="B317" t="s">
        <v>655</v>
      </c>
      <c r="C317">
        <v>125</v>
      </c>
      <c r="D317">
        <v>20</v>
      </c>
    </row>
    <row r="318" spans="1:4" x14ac:dyDescent="0.3">
      <c r="A318">
        <v>7363</v>
      </c>
      <c r="B318" t="s">
        <v>656</v>
      </c>
      <c r="C318">
        <v>6</v>
      </c>
      <c r="D318">
        <v>4</v>
      </c>
    </row>
    <row r="319" spans="1:4" x14ac:dyDescent="0.3">
      <c r="A319">
        <v>7372</v>
      </c>
      <c r="B319" t="s">
        <v>657</v>
      </c>
      <c r="C319">
        <v>40</v>
      </c>
      <c r="D319">
        <v>1</v>
      </c>
    </row>
    <row r="320" spans="1:4" x14ac:dyDescent="0.3">
      <c r="A320">
        <v>7380</v>
      </c>
      <c r="B320" t="s">
        <v>659</v>
      </c>
      <c r="C320">
        <v>13</v>
      </c>
      <c r="D320">
        <v>0</v>
      </c>
    </row>
    <row r="321" spans="1:4" x14ac:dyDescent="0.3">
      <c r="A321">
        <v>7407</v>
      </c>
      <c r="B321" t="s">
        <v>660</v>
      </c>
      <c r="C321">
        <v>387</v>
      </c>
      <c r="D321">
        <v>66</v>
      </c>
    </row>
    <row r="322" spans="1:4" x14ac:dyDescent="0.3">
      <c r="A322">
        <v>7432</v>
      </c>
      <c r="B322" t="s">
        <v>661</v>
      </c>
      <c r="C322">
        <v>1</v>
      </c>
      <c r="D322">
        <v>1</v>
      </c>
    </row>
    <row r="323" spans="1:4" x14ac:dyDescent="0.3">
      <c r="A323">
        <v>7481</v>
      </c>
      <c r="B323" t="s">
        <v>1417</v>
      </c>
      <c r="C323">
        <v>1</v>
      </c>
      <c r="D323">
        <v>0</v>
      </c>
    </row>
    <row r="324" spans="1:4" x14ac:dyDescent="0.3">
      <c r="A324">
        <v>7927</v>
      </c>
      <c r="B324" t="s">
        <v>812</v>
      </c>
      <c r="C324">
        <v>3</v>
      </c>
      <c r="D324">
        <v>0</v>
      </c>
    </row>
    <row r="325" spans="1:4" x14ac:dyDescent="0.3">
      <c r="A325">
        <v>8066</v>
      </c>
      <c r="B325" t="s">
        <v>851</v>
      </c>
      <c r="C325">
        <v>1</v>
      </c>
      <c r="D325">
        <v>0</v>
      </c>
    </row>
    <row r="326" spans="1:4" x14ac:dyDescent="0.3">
      <c r="A326">
        <v>8326</v>
      </c>
      <c r="B326" t="s">
        <v>60</v>
      </c>
      <c r="C326">
        <v>165</v>
      </c>
      <c r="D326">
        <v>0</v>
      </c>
    </row>
    <row r="327" spans="1:4" x14ac:dyDescent="0.3">
      <c r="A327">
        <v>8336</v>
      </c>
      <c r="B327" t="s">
        <v>48</v>
      </c>
      <c r="C327">
        <v>78</v>
      </c>
      <c r="D327">
        <v>0</v>
      </c>
    </row>
    <row r="328" spans="1:4" x14ac:dyDescent="0.3">
      <c r="A328">
        <v>8823</v>
      </c>
      <c r="B328" t="s">
        <v>664</v>
      </c>
      <c r="C328">
        <v>24</v>
      </c>
      <c r="D328">
        <v>0</v>
      </c>
    </row>
    <row r="329" spans="1:4" x14ac:dyDescent="0.3">
      <c r="A329">
        <v>8929</v>
      </c>
      <c r="B329" t="s">
        <v>1389</v>
      </c>
      <c r="C329">
        <v>1</v>
      </c>
      <c r="D329">
        <v>0</v>
      </c>
    </row>
    <row r="330" spans="1:4" x14ac:dyDescent="0.3">
      <c r="A330">
        <v>10386</v>
      </c>
      <c r="B330" t="s">
        <v>528</v>
      </c>
      <c r="C330">
        <v>53</v>
      </c>
      <c r="D330">
        <v>4</v>
      </c>
    </row>
    <row r="331" spans="1:4" x14ac:dyDescent="0.3">
      <c r="A331">
        <v>10760</v>
      </c>
      <c r="B331" t="s">
        <v>772</v>
      </c>
      <c r="C331">
        <v>1122</v>
      </c>
      <c r="D331">
        <v>545</v>
      </c>
    </row>
    <row r="332" spans="1:4" x14ac:dyDescent="0.3">
      <c r="A332">
        <v>10878</v>
      </c>
      <c r="B332" t="s">
        <v>761</v>
      </c>
      <c r="C332">
        <v>232</v>
      </c>
      <c r="D332">
        <v>0</v>
      </c>
    </row>
    <row r="333" spans="1:4" x14ac:dyDescent="0.3">
      <c r="A333">
        <v>10879</v>
      </c>
      <c r="B333" t="s">
        <v>837</v>
      </c>
      <c r="C333">
        <v>163</v>
      </c>
      <c r="D333">
        <v>113</v>
      </c>
    </row>
    <row r="334" spans="1:4" x14ac:dyDescent="0.3">
      <c r="A334">
        <v>10965</v>
      </c>
      <c r="B334" t="s">
        <v>870</v>
      </c>
      <c r="C334">
        <v>208</v>
      </c>
      <c r="D334">
        <v>0</v>
      </c>
    </row>
    <row r="335" spans="1:4" x14ac:dyDescent="0.3">
      <c r="A335">
        <v>10966</v>
      </c>
      <c r="B335" t="s">
        <v>471</v>
      </c>
      <c r="C335">
        <v>207</v>
      </c>
      <c r="D335">
        <v>0</v>
      </c>
    </row>
    <row r="336" spans="1:4" x14ac:dyDescent="0.3">
      <c r="A336">
        <v>10967</v>
      </c>
      <c r="B336" t="s">
        <v>490</v>
      </c>
      <c r="C336">
        <v>101</v>
      </c>
      <c r="D336">
        <v>0</v>
      </c>
    </row>
    <row r="337" spans="1:4" x14ac:dyDescent="0.3">
      <c r="A337">
        <v>10968</v>
      </c>
      <c r="B337" t="s">
        <v>261</v>
      </c>
      <c r="C337">
        <v>528</v>
      </c>
      <c r="D337">
        <v>289</v>
      </c>
    </row>
    <row r="338" spans="1:4" x14ac:dyDescent="0.3">
      <c r="A338">
        <v>10969</v>
      </c>
      <c r="B338" t="s">
        <v>526</v>
      </c>
      <c r="C338">
        <v>72</v>
      </c>
      <c r="D338">
        <v>0</v>
      </c>
    </row>
    <row r="339" spans="1:4" x14ac:dyDescent="0.3">
      <c r="A339">
        <v>10970</v>
      </c>
      <c r="B339" t="s">
        <v>869</v>
      </c>
      <c r="C339">
        <v>143</v>
      </c>
      <c r="D339">
        <v>75</v>
      </c>
    </row>
    <row r="340" spans="1:4" x14ac:dyDescent="0.3">
      <c r="A340">
        <v>10971</v>
      </c>
      <c r="B340" t="s">
        <v>501</v>
      </c>
      <c r="C340">
        <v>12</v>
      </c>
      <c r="D340">
        <v>0</v>
      </c>
    </row>
    <row r="341" spans="1:4" x14ac:dyDescent="0.3">
      <c r="A341">
        <v>10972</v>
      </c>
      <c r="B341" t="s">
        <v>756</v>
      </c>
      <c r="C341">
        <v>425</v>
      </c>
      <c r="D341">
        <v>0</v>
      </c>
    </row>
    <row r="342" spans="1:4" x14ac:dyDescent="0.3">
      <c r="A342">
        <v>10974</v>
      </c>
      <c r="B342" t="s">
        <v>188</v>
      </c>
      <c r="C342">
        <v>291</v>
      </c>
      <c r="D342">
        <v>0</v>
      </c>
    </row>
    <row r="343" spans="1:4" x14ac:dyDescent="0.3">
      <c r="A343">
        <v>32051</v>
      </c>
      <c r="B343" t="s">
        <v>1416</v>
      </c>
      <c r="C343">
        <v>5</v>
      </c>
      <c r="D343">
        <v>5</v>
      </c>
    </row>
    <row r="344" spans="1:4" x14ac:dyDescent="0.3">
      <c r="A344">
        <v>60691</v>
      </c>
      <c r="B344" t="s">
        <v>1414</v>
      </c>
      <c r="C344">
        <v>1</v>
      </c>
      <c r="D344">
        <v>0</v>
      </c>
    </row>
    <row r="345" spans="1:4" x14ac:dyDescent="0.3">
      <c r="A345">
        <v>78783</v>
      </c>
      <c r="B345" t="s">
        <v>762</v>
      </c>
      <c r="C345">
        <v>1103</v>
      </c>
      <c r="D345">
        <v>847</v>
      </c>
    </row>
    <row r="346" spans="1:4" x14ac:dyDescent="0.3">
      <c r="A346">
        <v>78786</v>
      </c>
      <c r="B346" t="s">
        <v>492</v>
      </c>
      <c r="C346">
        <v>15</v>
      </c>
      <c r="D346">
        <v>0</v>
      </c>
    </row>
    <row r="347" spans="1:4" x14ac:dyDescent="0.3">
      <c r="A347">
        <v>78833</v>
      </c>
      <c r="B347" t="s">
        <v>842</v>
      </c>
      <c r="C347">
        <v>89</v>
      </c>
      <c r="D347">
        <v>0</v>
      </c>
    </row>
    <row r="348" spans="1:4" x14ac:dyDescent="0.3">
      <c r="A348">
        <v>78858</v>
      </c>
      <c r="B348" t="s">
        <v>840</v>
      </c>
      <c r="C348">
        <v>115</v>
      </c>
      <c r="D348">
        <v>0</v>
      </c>
    </row>
    <row r="349" spans="1:4" x14ac:dyDescent="0.3">
      <c r="A349">
        <v>78868</v>
      </c>
      <c r="B349" t="s">
        <v>474</v>
      </c>
      <c r="C349">
        <v>38</v>
      </c>
      <c r="D349">
        <v>9</v>
      </c>
    </row>
    <row r="350" spans="1:4" x14ac:dyDescent="0.3">
      <c r="A350">
        <v>78873</v>
      </c>
      <c r="B350" t="s">
        <v>873</v>
      </c>
      <c r="C350">
        <v>150</v>
      </c>
      <c r="D350">
        <v>81</v>
      </c>
    </row>
    <row r="351" spans="1:4" x14ac:dyDescent="0.3">
      <c r="A351">
        <v>78882</v>
      </c>
      <c r="B351" t="s">
        <v>303</v>
      </c>
      <c r="C351">
        <v>202</v>
      </c>
      <c r="D351">
        <v>83</v>
      </c>
    </row>
    <row r="352" spans="1:4" x14ac:dyDescent="0.3">
      <c r="A352">
        <v>78888</v>
      </c>
      <c r="B352" t="s">
        <v>758</v>
      </c>
      <c r="C352">
        <v>328</v>
      </c>
      <c r="D352">
        <v>66</v>
      </c>
    </row>
    <row r="353" spans="1:4" x14ac:dyDescent="0.3">
      <c r="A353">
        <v>78890</v>
      </c>
      <c r="B353" t="s">
        <v>864</v>
      </c>
      <c r="C353">
        <v>6</v>
      </c>
      <c r="D353">
        <v>0</v>
      </c>
    </row>
    <row r="354" spans="1:4" x14ac:dyDescent="0.3">
      <c r="A354">
        <v>78897</v>
      </c>
      <c r="B354" t="s">
        <v>820</v>
      </c>
      <c r="C354">
        <v>690</v>
      </c>
      <c r="D354">
        <v>0</v>
      </c>
    </row>
    <row r="355" spans="1:4" x14ac:dyDescent="0.3">
      <c r="A355">
        <v>78965</v>
      </c>
      <c r="B355" t="s">
        <v>755</v>
      </c>
      <c r="C355">
        <v>139</v>
      </c>
      <c r="D355">
        <v>139</v>
      </c>
    </row>
    <row r="356" spans="1:4" x14ac:dyDescent="0.3">
      <c r="A356">
        <v>78966</v>
      </c>
      <c r="B356" t="s">
        <v>855</v>
      </c>
      <c r="C356">
        <v>119</v>
      </c>
      <c r="D356">
        <v>110</v>
      </c>
    </row>
    <row r="357" spans="1:4" x14ac:dyDescent="0.3">
      <c r="A357">
        <v>78997</v>
      </c>
      <c r="B357" t="s">
        <v>730</v>
      </c>
      <c r="C357">
        <v>137</v>
      </c>
      <c r="D357">
        <v>5</v>
      </c>
    </row>
    <row r="358" spans="1:4" x14ac:dyDescent="0.3">
      <c r="A358">
        <v>79000</v>
      </c>
      <c r="B358" t="s">
        <v>838</v>
      </c>
      <c r="C358">
        <v>87</v>
      </c>
      <c r="D358">
        <v>0</v>
      </c>
    </row>
    <row r="359" spans="1:4" x14ac:dyDescent="0.3">
      <c r="A359">
        <v>79004</v>
      </c>
      <c r="B359" t="s">
        <v>1292</v>
      </c>
      <c r="C359">
        <v>83</v>
      </c>
      <c r="D359">
        <v>8</v>
      </c>
    </row>
    <row r="360" spans="1:4" x14ac:dyDescent="0.3">
      <c r="A360">
        <v>79024</v>
      </c>
      <c r="B360" t="s">
        <v>329</v>
      </c>
      <c r="C360">
        <v>609</v>
      </c>
      <c r="D360">
        <v>4</v>
      </c>
    </row>
    <row r="361" spans="1:4" x14ac:dyDescent="0.3">
      <c r="A361">
        <v>79047</v>
      </c>
      <c r="B361" t="s">
        <v>89</v>
      </c>
      <c r="C361">
        <v>456</v>
      </c>
      <c r="D361">
        <v>326</v>
      </c>
    </row>
    <row r="362" spans="1:4" x14ac:dyDescent="0.3">
      <c r="A362">
        <v>79049</v>
      </c>
      <c r="B362" t="s">
        <v>125</v>
      </c>
      <c r="C362">
        <v>677</v>
      </c>
      <c r="D362">
        <v>215</v>
      </c>
    </row>
    <row r="363" spans="1:4" x14ac:dyDescent="0.3">
      <c r="A363">
        <v>79050</v>
      </c>
      <c r="B363" t="s">
        <v>502</v>
      </c>
      <c r="C363">
        <v>263</v>
      </c>
      <c r="D363">
        <v>0</v>
      </c>
    </row>
    <row r="364" spans="1:4" x14ac:dyDescent="0.3">
      <c r="A364">
        <v>79053</v>
      </c>
      <c r="B364" t="s">
        <v>17</v>
      </c>
      <c r="C364">
        <v>159</v>
      </c>
      <c r="D364">
        <v>156</v>
      </c>
    </row>
    <row r="365" spans="1:4" x14ac:dyDescent="0.3">
      <c r="A365">
        <v>79055</v>
      </c>
      <c r="B365" t="s">
        <v>85</v>
      </c>
      <c r="C365">
        <v>581</v>
      </c>
      <c r="D365">
        <v>290</v>
      </c>
    </row>
    <row r="366" spans="1:4" x14ac:dyDescent="0.3">
      <c r="A366">
        <v>79059</v>
      </c>
      <c r="B366" t="s">
        <v>765</v>
      </c>
      <c r="C366">
        <v>507</v>
      </c>
      <c r="D366">
        <v>295</v>
      </c>
    </row>
    <row r="367" spans="1:4" x14ac:dyDescent="0.3">
      <c r="A367">
        <v>79061</v>
      </c>
      <c r="B367" t="s">
        <v>196</v>
      </c>
      <c r="C367">
        <v>45</v>
      </c>
      <c r="D367">
        <v>12</v>
      </c>
    </row>
    <row r="368" spans="1:4" x14ac:dyDescent="0.3">
      <c r="A368">
        <v>79063</v>
      </c>
      <c r="B368" t="s">
        <v>511</v>
      </c>
      <c r="C368">
        <v>179</v>
      </c>
      <c r="D368">
        <v>0</v>
      </c>
    </row>
    <row r="369" spans="1:4" x14ac:dyDescent="0.3">
      <c r="A369">
        <v>79064</v>
      </c>
      <c r="B369" t="s">
        <v>224</v>
      </c>
      <c r="C369">
        <v>713</v>
      </c>
      <c r="D369">
        <v>381</v>
      </c>
    </row>
    <row r="370" spans="1:4" x14ac:dyDescent="0.3">
      <c r="A370">
        <v>79065</v>
      </c>
      <c r="B370" t="s">
        <v>872</v>
      </c>
      <c r="C370">
        <v>18</v>
      </c>
      <c r="D370">
        <v>18</v>
      </c>
    </row>
    <row r="371" spans="1:4" x14ac:dyDescent="0.3">
      <c r="A371">
        <v>79066</v>
      </c>
      <c r="B371" t="s">
        <v>858</v>
      </c>
      <c r="C371">
        <v>53</v>
      </c>
      <c r="D371">
        <v>38</v>
      </c>
    </row>
    <row r="372" spans="1:4" x14ac:dyDescent="0.3">
      <c r="A372">
        <v>79068</v>
      </c>
      <c r="B372" t="s">
        <v>871</v>
      </c>
      <c r="C372">
        <v>56</v>
      </c>
      <c r="D372">
        <v>36</v>
      </c>
    </row>
    <row r="373" spans="1:4" x14ac:dyDescent="0.3">
      <c r="A373">
        <v>79069</v>
      </c>
      <c r="B373" t="s">
        <v>489</v>
      </c>
      <c r="C373">
        <v>32</v>
      </c>
      <c r="D373">
        <v>0</v>
      </c>
    </row>
    <row r="374" spans="1:4" x14ac:dyDescent="0.3">
      <c r="A374">
        <v>79072</v>
      </c>
      <c r="B374" t="s">
        <v>477</v>
      </c>
      <c r="C374">
        <v>459</v>
      </c>
      <c r="D374">
        <v>0</v>
      </c>
    </row>
    <row r="375" spans="1:4" x14ac:dyDescent="0.3">
      <c r="A375">
        <v>79073</v>
      </c>
      <c r="B375" t="s">
        <v>839</v>
      </c>
      <c r="C375">
        <v>699</v>
      </c>
      <c r="D375">
        <v>153</v>
      </c>
    </row>
    <row r="376" spans="1:4" x14ac:dyDescent="0.3">
      <c r="A376">
        <v>79074</v>
      </c>
      <c r="B376" t="s">
        <v>118</v>
      </c>
      <c r="C376">
        <v>440</v>
      </c>
      <c r="D376">
        <v>276</v>
      </c>
    </row>
    <row r="377" spans="1:4" x14ac:dyDescent="0.3">
      <c r="A377">
        <v>79077</v>
      </c>
      <c r="B377" t="s">
        <v>798</v>
      </c>
      <c r="C377">
        <v>152</v>
      </c>
      <c r="D377">
        <v>152</v>
      </c>
    </row>
    <row r="378" spans="1:4" x14ac:dyDescent="0.3">
      <c r="A378">
        <v>79081</v>
      </c>
      <c r="B378" t="s">
        <v>720</v>
      </c>
      <c r="C378">
        <v>701</v>
      </c>
      <c r="D378">
        <v>99</v>
      </c>
    </row>
    <row r="379" spans="1:4" x14ac:dyDescent="0.3">
      <c r="A379">
        <v>79084</v>
      </c>
      <c r="B379" t="s">
        <v>767</v>
      </c>
      <c r="C379">
        <v>125</v>
      </c>
      <c r="D379">
        <v>59</v>
      </c>
    </row>
    <row r="380" spans="1:4" x14ac:dyDescent="0.3">
      <c r="A380">
        <v>79085</v>
      </c>
      <c r="B380" t="s">
        <v>841</v>
      </c>
      <c r="C380">
        <v>666</v>
      </c>
      <c r="D380">
        <v>325</v>
      </c>
    </row>
    <row r="381" spans="1:4" x14ac:dyDescent="0.3">
      <c r="A381">
        <v>79086</v>
      </c>
      <c r="B381" t="s">
        <v>629</v>
      </c>
      <c r="C381">
        <v>115</v>
      </c>
      <c r="D381">
        <v>56</v>
      </c>
    </row>
    <row r="382" spans="1:4" x14ac:dyDescent="0.3">
      <c r="A382">
        <v>79131</v>
      </c>
      <c r="B382" t="s">
        <v>467</v>
      </c>
      <c r="C382">
        <v>35</v>
      </c>
      <c r="D382">
        <v>32</v>
      </c>
    </row>
    <row r="383" spans="1:4" x14ac:dyDescent="0.3">
      <c r="A383">
        <v>79204</v>
      </c>
      <c r="B383" t="s">
        <v>63</v>
      </c>
      <c r="C383">
        <v>472</v>
      </c>
      <c r="D383">
        <v>61</v>
      </c>
    </row>
    <row r="384" spans="1:4" x14ac:dyDescent="0.3">
      <c r="A384">
        <v>79205</v>
      </c>
      <c r="B384" t="s">
        <v>323</v>
      </c>
      <c r="C384">
        <v>332</v>
      </c>
      <c r="D384">
        <v>39</v>
      </c>
    </row>
    <row r="385" spans="1:4" x14ac:dyDescent="0.3">
      <c r="A385">
        <v>79207</v>
      </c>
      <c r="B385" t="s">
        <v>500</v>
      </c>
      <c r="C385">
        <v>251</v>
      </c>
      <c r="D385">
        <v>47</v>
      </c>
    </row>
    <row r="386" spans="1:4" x14ac:dyDescent="0.3">
      <c r="A386">
        <v>79211</v>
      </c>
      <c r="B386" t="s">
        <v>769</v>
      </c>
      <c r="C386">
        <v>495</v>
      </c>
      <c r="D386">
        <v>226</v>
      </c>
    </row>
    <row r="387" spans="1:4" x14ac:dyDescent="0.3">
      <c r="A387">
        <v>79213</v>
      </c>
      <c r="B387" t="s">
        <v>11</v>
      </c>
      <c r="C387">
        <v>95</v>
      </c>
      <c r="D387">
        <v>85</v>
      </c>
    </row>
    <row r="388" spans="1:4" x14ac:dyDescent="0.3">
      <c r="A388">
        <v>79214</v>
      </c>
      <c r="B388" t="s">
        <v>763</v>
      </c>
      <c r="C388">
        <v>301</v>
      </c>
      <c r="D388">
        <v>265</v>
      </c>
    </row>
    <row r="389" spans="1:4" x14ac:dyDescent="0.3">
      <c r="A389">
        <v>79215</v>
      </c>
      <c r="B389" t="s">
        <v>552</v>
      </c>
      <c r="C389">
        <v>837</v>
      </c>
      <c r="D389">
        <v>733</v>
      </c>
    </row>
    <row r="390" spans="1:4" x14ac:dyDescent="0.3">
      <c r="A390">
        <v>79218</v>
      </c>
      <c r="B390" t="s">
        <v>801</v>
      </c>
      <c r="C390">
        <v>427</v>
      </c>
      <c r="D390">
        <v>165</v>
      </c>
    </row>
    <row r="391" spans="1:4" x14ac:dyDescent="0.3">
      <c r="A391">
        <v>79226</v>
      </c>
      <c r="B391" t="s">
        <v>68</v>
      </c>
      <c r="C391">
        <v>1251</v>
      </c>
      <c r="D391">
        <v>581</v>
      </c>
    </row>
    <row r="392" spans="1:4" x14ac:dyDescent="0.3">
      <c r="A392">
        <v>79233</v>
      </c>
      <c r="B392" t="s">
        <v>799</v>
      </c>
      <c r="C392">
        <v>291</v>
      </c>
      <c r="D392">
        <v>291</v>
      </c>
    </row>
    <row r="393" spans="1:4" x14ac:dyDescent="0.3">
      <c r="A393">
        <v>79241</v>
      </c>
      <c r="B393" t="s">
        <v>1255</v>
      </c>
      <c r="C393">
        <v>12</v>
      </c>
      <c r="D393">
        <v>6</v>
      </c>
    </row>
    <row r="394" spans="1:4" x14ac:dyDescent="0.3">
      <c r="A394">
        <v>79264</v>
      </c>
      <c r="B394" t="s">
        <v>671</v>
      </c>
      <c r="C394">
        <v>620</v>
      </c>
      <c r="D394">
        <v>0</v>
      </c>
    </row>
    <row r="395" spans="1:4" x14ac:dyDescent="0.3">
      <c r="A395">
        <v>79302</v>
      </c>
      <c r="B395" t="s">
        <v>633</v>
      </c>
      <c r="C395">
        <v>112</v>
      </c>
      <c r="D395">
        <v>48</v>
      </c>
    </row>
    <row r="396" spans="1:4" x14ac:dyDescent="0.3">
      <c r="A396">
        <v>79379</v>
      </c>
      <c r="B396" t="s">
        <v>455</v>
      </c>
      <c r="C396">
        <v>57</v>
      </c>
      <c r="D396">
        <v>33</v>
      </c>
    </row>
    <row r="397" spans="1:4" x14ac:dyDescent="0.3">
      <c r="A397">
        <v>79381</v>
      </c>
      <c r="B397" t="s">
        <v>529</v>
      </c>
      <c r="C397">
        <v>13</v>
      </c>
      <c r="D397">
        <v>0</v>
      </c>
    </row>
    <row r="398" spans="1:4" x14ac:dyDescent="0.3">
      <c r="A398">
        <v>79385</v>
      </c>
      <c r="B398" t="s">
        <v>535</v>
      </c>
      <c r="C398">
        <v>6</v>
      </c>
      <c r="D398">
        <v>2</v>
      </c>
    </row>
    <row r="399" spans="1:4" x14ac:dyDescent="0.3">
      <c r="A399">
        <v>79387</v>
      </c>
      <c r="B399" t="s">
        <v>519</v>
      </c>
      <c r="C399">
        <v>8</v>
      </c>
      <c r="D399">
        <v>0</v>
      </c>
    </row>
    <row r="400" spans="1:4" x14ac:dyDescent="0.3">
      <c r="A400">
        <v>79391</v>
      </c>
      <c r="B400" t="s">
        <v>531</v>
      </c>
      <c r="C400">
        <v>9</v>
      </c>
      <c r="D400">
        <v>0</v>
      </c>
    </row>
    <row r="401" spans="1:4" x14ac:dyDescent="0.3">
      <c r="A401">
        <v>79397</v>
      </c>
      <c r="B401" t="s">
        <v>463</v>
      </c>
      <c r="C401">
        <v>2</v>
      </c>
      <c r="D401">
        <v>0</v>
      </c>
    </row>
    <row r="402" spans="1:4" x14ac:dyDescent="0.3">
      <c r="A402">
        <v>79420</v>
      </c>
      <c r="B402" t="s">
        <v>510</v>
      </c>
      <c r="C402">
        <v>292</v>
      </c>
      <c r="D402">
        <v>0</v>
      </c>
    </row>
    <row r="403" spans="1:4" x14ac:dyDescent="0.3">
      <c r="A403">
        <v>79426</v>
      </c>
      <c r="B403" t="s">
        <v>40</v>
      </c>
      <c r="C403">
        <v>232</v>
      </c>
      <c r="D403">
        <v>164</v>
      </c>
    </row>
    <row r="404" spans="1:4" x14ac:dyDescent="0.3">
      <c r="A404">
        <v>79437</v>
      </c>
      <c r="B404" t="s">
        <v>14</v>
      </c>
      <c r="C404">
        <v>451</v>
      </c>
      <c r="D404">
        <v>298</v>
      </c>
    </row>
    <row r="405" spans="1:4" x14ac:dyDescent="0.3">
      <c r="A405">
        <v>79439</v>
      </c>
      <c r="B405" t="s">
        <v>770</v>
      </c>
      <c r="C405">
        <v>18</v>
      </c>
      <c r="D405">
        <v>0</v>
      </c>
    </row>
    <row r="406" spans="1:4" x14ac:dyDescent="0.3">
      <c r="A406">
        <v>79441</v>
      </c>
      <c r="B406" t="s">
        <v>843</v>
      </c>
      <c r="C406">
        <v>107</v>
      </c>
      <c r="D406">
        <v>95</v>
      </c>
    </row>
    <row r="407" spans="1:4" x14ac:dyDescent="0.3">
      <c r="A407">
        <v>79443</v>
      </c>
      <c r="B407" t="s">
        <v>771</v>
      </c>
      <c r="C407">
        <v>280</v>
      </c>
      <c r="D407">
        <v>1</v>
      </c>
    </row>
    <row r="408" spans="1:4" x14ac:dyDescent="0.3">
      <c r="A408">
        <v>79453</v>
      </c>
      <c r="B408" t="s">
        <v>402</v>
      </c>
      <c r="C408">
        <v>805</v>
      </c>
      <c r="D408">
        <v>92</v>
      </c>
    </row>
    <row r="409" spans="1:4" x14ac:dyDescent="0.3">
      <c r="A409">
        <v>79455</v>
      </c>
      <c r="B409" t="s">
        <v>484</v>
      </c>
      <c r="C409">
        <v>1332</v>
      </c>
      <c r="D409">
        <v>606</v>
      </c>
    </row>
    <row r="410" spans="1:4" x14ac:dyDescent="0.3">
      <c r="A410">
        <v>79457</v>
      </c>
      <c r="B410" t="s">
        <v>555</v>
      </c>
      <c r="C410">
        <v>64</v>
      </c>
      <c r="D410">
        <v>0</v>
      </c>
    </row>
    <row r="411" spans="1:4" x14ac:dyDescent="0.3">
      <c r="A411">
        <v>79461</v>
      </c>
      <c r="B411" t="s">
        <v>1253</v>
      </c>
      <c r="C411">
        <v>3035</v>
      </c>
      <c r="D411">
        <v>1149</v>
      </c>
    </row>
    <row r="412" spans="1:4" x14ac:dyDescent="0.3">
      <c r="A412">
        <v>79467</v>
      </c>
      <c r="B412" t="s">
        <v>844</v>
      </c>
      <c r="C412">
        <v>259</v>
      </c>
      <c r="D412">
        <v>1</v>
      </c>
    </row>
    <row r="413" spans="1:4" x14ac:dyDescent="0.3">
      <c r="A413">
        <v>79475</v>
      </c>
      <c r="B413" t="s">
        <v>222</v>
      </c>
      <c r="C413">
        <v>73</v>
      </c>
      <c r="D413">
        <v>65</v>
      </c>
    </row>
    <row r="414" spans="1:4" x14ac:dyDescent="0.3">
      <c r="A414">
        <v>79496</v>
      </c>
      <c r="B414" t="s">
        <v>773</v>
      </c>
      <c r="C414">
        <v>13</v>
      </c>
      <c r="D414">
        <v>0</v>
      </c>
    </row>
    <row r="415" spans="1:4" x14ac:dyDescent="0.3">
      <c r="A415">
        <v>79497</v>
      </c>
      <c r="B415" t="s">
        <v>774</v>
      </c>
      <c r="C415">
        <v>287</v>
      </c>
      <c r="D415">
        <v>115</v>
      </c>
    </row>
    <row r="416" spans="1:4" x14ac:dyDescent="0.3">
      <c r="A416">
        <v>79498</v>
      </c>
      <c r="B416" t="s">
        <v>290</v>
      </c>
      <c r="C416">
        <v>465</v>
      </c>
      <c r="D416">
        <v>247</v>
      </c>
    </row>
    <row r="417" spans="1:4" x14ac:dyDescent="0.3">
      <c r="A417">
        <v>79499</v>
      </c>
      <c r="B417" t="s">
        <v>805</v>
      </c>
      <c r="C417">
        <v>520</v>
      </c>
      <c r="D417">
        <v>1</v>
      </c>
    </row>
    <row r="418" spans="1:4" x14ac:dyDescent="0.3">
      <c r="A418">
        <v>79500</v>
      </c>
      <c r="B418" t="s">
        <v>845</v>
      </c>
      <c r="C418">
        <v>238</v>
      </c>
      <c r="D418">
        <v>226</v>
      </c>
    </row>
    <row r="419" spans="1:4" x14ac:dyDescent="0.3">
      <c r="A419">
        <v>79501</v>
      </c>
      <c r="B419" t="s">
        <v>875</v>
      </c>
      <c r="C419">
        <v>1799</v>
      </c>
      <c r="D419">
        <v>1065</v>
      </c>
    </row>
    <row r="420" spans="1:4" x14ac:dyDescent="0.3">
      <c r="A420">
        <v>79503</v>
      </c>
      <c r="B420" t="s">
        <v>309</v>
      </c>
      <c r="C420">
        <v>361</v>
      </c>
      <c r="D420">
        <v>0</v>
      </c>
    </row>
    <row r="421" spans="1:4" x14ac:dyDescent="0.3">
      <c r="A421">
        <v>79533</v>
      </c>
      <c r="B421" t="s">
        <v>1418</v>
      </c>
      <c r="C421">
        <v>12</v>
      </c>
      <c r="D421">
        <v>0</v>
      </c>
    </row>
    <row r="422" spans="1:4" x14ac:dyDescent="0.3">
      <c r="A422">
        <v>79540</v>
      </c>
      <c r="B422" t="s">
        <v>1291</v>
      </c>
      <c r="C422">
        <v>24</v>
      </c>
      <c r="D422">
        <v>3</v>
      </c>
    </row>
    <row r="423" spans="1:4" x14ac:dyDescent="0.3">
      <c r="A423">
        <v>79548</v>
      </c>
      <c r="B423" t="s">
        <v>775</v>
      </c>
      <c r="C423">
        <v>48</v>
      </c>
      <c r="D423">
        <v>0</v>
      </c>
    </row>
    <row r="424" spans="1:4" x14ac:dyDescent="0.3">
      <c r="A424">
        <v>79569</v>
      </c>
      <c r="B424" t="s">
        <v>351</v>
      </c>
      <c r="C424">
        <v>156</v>
      </c>
      <c r="D424">
        <v>148</v>
      </c>
    </row>
    <row r="425" spans="1:4" x14ac:dyDescent="0.3">
      <c r="A425">
        <v>79578</v>
      </c>
      <c r="B425" t="s">
        <v>320</v>
      </c>
      <c r="C425">
        <v>629</v>
      </c>
      <c r="D425">
        <v>627</v>
      </c>
    </row>
    <row r="426" spans="1:4" x14ac:dyDescent="0.3">
      <c r="A426">
        <v>79598</v>
      </c>
      <c r="B426" t="s">
        <v>242</v>
      </c>
      <c r="C426">
        <v>6473</v>
      </c>
      <c r="D426">
        <v>4451</v>
      </c>
    </row>
    <row r="427" spans="1:4" x14ac:dyDescent="0.3">
      <c r="A427">
        <v>79701</v>
      </c>
      <c r="B427" t="s">
        <v>776</v>
      </c>
      <c r="C427">
        <v>65</v>
      </c>
      <c r="D427">
        <v>0</v>
      </c>
    </row>
    <row r="428" spans="1:4" x14ac:dyDescent="0.3">
      <c r="A428">
        <v>79866</v>
      </c>
      <c r="B428" t="s">
        <v>624</v>
      </c>
      <c r="C428">
        <v>168</v>
      </c>
      <c r="D428">
        <v>74</v>
      </c>
    </row>
    <row r="429" spans="1:4" x14ac:dyDescent="0.3">
      <c r="A429">
        <v>79871</v>
      </c>
      <c r="B429" t="s">
        <v>1390</v>
      </c>
      <c r="C429">
        <v>54</v>
      </c>
      <c r="D429">
        <v>54</v>
      </c>
    </row>
    <row r="430" spans="1:4" x14ac:dyDescent="0.3">
      <c r="A430">
        <v>79872</v>
      </c>
      <c r="B430" t="s">
        <v>778</v>
      </c>
      <c r="C430">
        <v>141</v>
      </c>
      <c r="D430">
        <v>43</v>
      </c>
    </row>
    <row r="431" spans="1:4" x14ac:dyDescent="0.3">
      <c r="A431">
        <v>79873</v>
      </c>
      <c r="B431" t="s">
        <v>779</v>
      </c>
      <c r="C431">
        <v>185</v>
      </c>
      <c r="D431">
        <v>111</v>
      </c>
    </row>
    <row r="432" spans="1:4" x14ac:dyDescent="0.3">
      <c r="A432">
        <v>79874</v>
      </c>
      <c r="B432" t="s">
        <v>1391</v>
      </c>
      <c r="C432">
        <v>197</v>
      </c>
      <c r="D432">
        <v>168</v>
      </c>
    </row>
    <row r="433" spans="1:4" x14ac:dyDescent="0.3">
      <c r="A433">
        <v>79875</v>
      </c>
      <c r="B433" t="s">
        <v>781</v>
      </c>
      <c r="C433">
        <v>375</v>
      </c>
      <c r="D433">
        <v>326</v>
      </c>
    </row>
    <row r="434" spans="1:4" x14ac:dyDescent="0.3">
      <c r="A434">
        <v>79876</v>
      </c>
      <c r="B434" t="s">
        <v>236</v>
      </c>
      <c r="C434">
        <v>220</v>
      </c>
      <c r="D434">
        <v>220</v>
      </c>
    </row>
    <row r="435" spans="1:4" x14ac:dyDescent="0.3">
      <c r="A435">
        <v>79877</v>
      </c>
      <c r="B435" t="s">
        <v>782</v>
      </c>
      <c r="C435">
        <v>259</v>
      </c>
      <c r="D435">
        <v>259</v>
      </c>
    </row>
    <row r="436" spans="1:4" x14ac:dyDescent="0.3">
      <c r="A436">
        <v>79878</v>
      </c>
      <c r="B436" t="s">
        <v>783</v>
      </c>
      <c r="C436">
        <v>27</v>
      </c>
      <c r="D436">
        <v>27</v>
      </c>
    </row>
    <row r="437" spans="1:4" x14ac:dyDescent="0.3">
      <c r="A437">
        <v>79879</v>
      </c>
      <c r="B437" t="s">
        <v>784</v>
      </c>
      <c r="C437">
        <v>328</v>
      </c>
      <c r="D437">
        <v>328</v>
      </c>
    </row>
    <row r="438" spans="1:4" x14ac:dyDescent="0.3">
      <c r="A438">
        <v>79880</v>
      </c>
      <c r="B438" t="s">
        <v>233</v>
      </c>
      <c r="C438">
        <v>110</v>
      </c>
      <c r="D438">
        <v>86</v>
      </c>
    </row>
    <row r="439" spans="1:4" x14ac:dyDescent="0.3">
      <c r="A439">
        <v>79881</v>
      </c>
      <c r="B439" t="s">
        <v>824</v>
      </c>
      <c r="C439">
        <v>200</v>
      </c>
      <c r="D439">
        <v>193</v>
      </c>
    </row>
    <row r="440" spans="1:4" x14ac:dyDescent="0.3">
      <c r="A440">
        <v>79882</v>
      </c>
      <c r="B440" t="s">
        <v>231</v>
      </c>
      <c r="C440">
        <v>278</v>
      </c>
      <c r="D440">
        <v>278</v>
      </c>
    </row>
    <row r="441" spans="1:4" x14ac:dyDescent="0.3">
      <c r="A441">
        <v>79883</v>
      </c>
      <c r="B441" t="s">
        <v>852</v>
      </c>
      <c r="C441">
        <v>113</v>
      </c>
      <c r="D441">
        <v>113</v>
      </c>
    </row>
    <row r="442" spans="1:4" x14ac:dyDescent="0.3">
      <c r="A442">
        <v>79886</v>
      </c>
      <c r="B442" t="s">
        <v>785</v>
      </c>
      <c r="C442">
        <v>329</v>
      </c>
      <c r="D442">
        <v>0</v>
      </c>
    </row>
    <row r="443" spans="1:4" x14ac:dyDescent="0.3">
      <c r="A443">
        <v>79905</v>
      </c>
      <c r="B443" t="s">
        <v>786</v>
      </c>
      <c r="C443">
        <v>546</v>
      </c>
      <c r="D443">
        <v>200</v>
      </c>
    </row>
    <row r="444" spans="1:4" x14ac:dyDescent="0.3">
      <c r="A444">
        <v>79907</v>
      </c>
      <c r="B444" t="s">
        <v>460</v>
      </c>
      <c r="C444">
        <v>7</v>
      </c>
      <c r="D444">
        <v>3</v>
      </c>
    </row>
    <row r="445" spans="1:4" x14ac:dyDescent="0.3">
      <c r="A445">
        <v>79926</v>
      </c>
      <c r="B445" t="s">
        <v>825</v>
      </c>
      <c r="C445">
        <v>12</v>
      </c>
      <c r="D445">
        <v>7</v>
      </c>
    </row>
    <row r="446" spans="1:4" x14ac:dyDescent="0.3">
      <c r="A446">
        <v>79929</v>
      </c>
      <c r="B446" t="s">
        <v>543</v>
      </c>
      <c r="C446">
        <v>86</v>
      </c>
      <c r="D446">
        <v>39</v>
      </c>
    </row>
    <row r="447" spans="1:4" x14ac:dyDescent="0.3">
      <c r="A447">
        <v>79947</v>
      </c>
      <c r="B447" t="s">
        <v>46</v>
      </c>
      <c r="C447">
        <v>1994</v>
      </c>
      <c r="D447">
        <v>1015</v>
      </c>
    </row>
    <row r="448" spans="1:4" x14ac:dyDescent="0.3">
      <c r="A448">
        <v>79951</v>
      </c>
      <c r="B448" t="s">
        <v>787</v>
      </c>
      <c r="C448">
        <v>50</v>
      </c>
      <c r="D448">
        <v>39</v>
      </c>
    </row>
    <row r="449" spans="1:4" x14ac:dyDescent="0.3">
      <c r="A449">
        <v>79953</v>
      </c>
      <c r="B449" t="s">
        <v>788</v>
      </c>
      <c r="C449">
        <v>130</v>
      </c>
      <c r="D449">
        <v>100</v>
      </c>
    </row>
    <row r="450" spans="1:4" x14ac:dyDescent="0.3">
      <c r="A450">
        <v>79957</v>
      </c>
      <c r="B450" t="s">
        <v>789</v>
      </c>
      <c r="C450">
        <v>312</v>
      </c>
      <c r="D450">
        <v>28</v>
      </c>
    </row>
    <row r="451" spans="1:4" x14ac:dyDescent="0.3">
      <c r="A451">
        <v>79959</v>
      </c>
      <c r="B451" t="s">
        <v>826</v>
      </c>
      <c r="C451">
        <v>228</v>
      </c>
      <c r="D451">
        <v>67</v>
      </c>
    </row>
    <row r="452" spans="1:4" x14ac:dyDescent="0.3">
      <c r="A452">
        <v>79961</v>
      </c>
      <c r="B452" t="s">
        <v>827</v>
      </c>
      <c r="C452">
        <v>409</v>
      </c>
      <c r="D452">
        <v>308</v>
      </c>
    </row>
    <row r="453" spans="1:4" x14ac:dyDescent="0.3">
      <c r="A453">
        <v>79967</v>
      </c>
      <c r="B453" t="s">
        <v>249</v>
      </c>
      <c r="C453">
        <v>727</v>
      </c>
      <c r="D453">
        <v>291</v>
      </c>
    </row>
    <row r="454" spans="1:4" x14ac:dyDescent="0.3">
      <c r="A454">
        <v>79969</v>
      </c>
      <c r="B454" t="s">
        <v>23</v>
      </c>
      <c r="C454">
        <v>116</v>
      </c>
      <c r="D454">
        <v>99</v>
      </c>
    </row>
    <row r="455" spans="1:4" x14ac:dyDescent="0.3">
      <c r="A455">
        <v>79971</v>
      </c>
      <c r="B455" t="s">
        <v>810</v>
      </c>
      <c r="C455">
        <v>187</v>
      </c>
      <c r="D455">
        <v>157</v>
      </c>
    </row>
    <row r="456" spans="1:4" x14ac:dyDescent="0.3">
      <c r="A456">
        <v>79973</v>
      </c>
      <c r="B456" t="s">
        <v>811</v>
      </c>
      <c r="C456">
        <v>81</v>
      </c>
      <c r="D456">
        <v>0</v>
      </c>
    </row>
    <row r="457" spans="1:4" x14ac:dyDescent="0.3">
      <c r="A457">
        <v>79979</v>
      </c>
      <c r="B457" t="s">
        <v>828</v>
      </c>
      <c r="C457">
        <v>550</v>
      </c>
      <c r="D457">
        <v>436</v>
      </c>
    </row>
    <row r="458" spans="1:4" x14ac:dyDescent="0.3">
      <c r="A458">
        <v>79981</v>
      </c>
      <c r="B458" t="s">
        <v>790</v>
      </c>
      <c r="C458">
        <v>405</v>
      </c>
      <c r="D458">
        <v>219</v>
      </c>
    </row>
    <row r="459" spans="1:4" x14ac:dyDescent="0.3">
      <c r="A459">
        <v>79983</v>
      </c>
      <c r="B459" t="s">
        <v>791</v>
      </c>
      <c r="C459">
        <v>332</v>
      </c>
      <c r="D459">
        <v>226</v>
      </c>
    </row>
    <row r="460" spans="1:4" x14ac:dyDescent="0.3">
      <c r="A460">
        <v>79988</v>
      </c>
      <c r="B460" t="s">
        <v>793</v>
      </c>
      <c r="C460">
        <v>223</v>
      </c>
      <c r="D460">
        <v>0</v>
      </c>
    </row>
    <row r="461" spans="1:4" x14ac:dyDescent="0.3">
      <c r="A461">
        <v>79990</v>
      </c>
      <c r="B461" t="s">
        <v>792</v>
      </c>
      <c r="C461">
        <v>84</v>
      </c>
      <c r="D461">
        <v>28</v>
      </c>
    </row>
    <row r="462" spans="1:4" x14ac:dyDescent="0.3">
      <c r="A462">
        <v>79994</v>
      </c>
      <c r="B462" t="s">
        <v>286</v>
      </c>
      <c r="C462">
        <v>112</v>
      </c>
      <c r="D462">
        <v>47</v>
      </c>
    </row>
    <row r="463" spans="1:4" x14ac:dyDescent="0.3">
      <c r="A463">
        <v>80001</v>
      </c>
      <c r="B463" t="s">
        <v>90</v>
      </c>
      <c r="C463">
        <v>189</v>
      </c>
      <c r="D463">
        <v>105</v>
      </c>
    </row>
    <row r="464" spans="1:4" x14ac:dyDescent="0.3">
      <c r="A464">
        <v>80011</v>
      </c>
      <c r="B464" t="s">
        <v>794</v>
      </c>
      <c r="C464">
        <v>171</v>
      </c>
      <c r="D464">
        <v>41</v>
      </c>
    </row>
    <row r="465" spans="1:4" x14ac:dyDescent="0.3">
      <c r="A465">
        <v>80032</v>
      </c>
      <c r="B465" t="s">
        <v>120</v>
      </c>
      <c r="C465">
        <v>71</v>
      </c>
      <c r="D465">
        <v>64</v>
      </c>
    </row>
    <row r="466" spans="1:4" x14ac:dyDescent="0.3">
      <c r="A466">
        <v>80299</v>
      </c>
      <c r="B466" t="s">
        <v>796</v>
      </c>
      <c r="C466">
        <v>78</v>
      </c>
      <c r="D466">
        <v>72</v>
      </c>
    </row>
    <row r="467" spans="1:4" x14ac:dyDescent="0.3">
      <c r="A467">
        <v>80923</v>
      </c>
      <c r="B467" t="s">
        <v>458</v>
      </c>
      <c r="C467">
        <v>65</v>
      </c>
      <c r="D467">
        <v>11</v>
      </c>
    </row>
    <row r="468" spans="1:4" x14ac:dyDescent="0.3">
      <c r="A468">
        <v>80985</v>
      </c>
      <c r="B468" t="s">
        <v>494</v>
      </c>
      <c r="C468">
        <v>63</v>
      </c>
      <c r="D468">
        <v>0</v>
      </c>
    </row>
    <row r="469" spans="1:4" x14ac:dyDescent="0.3">
      <c r="A469">
        <v>80989</v>
      </c>
      <c r="B469" t="s">
        <v>797</v>
      </c>
      <c r="C469">
        <v>387</v>
      </c>
      <c r="D469">
        <v>387</v>
      </c>
    </row>
    <row r="470" spans="1:4" x14ac:dyDescent="0.3">
      <c r="A470">
        <v>80992</v>
      </c>
      <c r="B470" t="s">
        <v>462</v>
      </c>
      <c r="C470">
        <v>682</v>
      </c>
      <c r="D470">
        <v>1</v>
      </c>
    </row>
    <row r="471" spans="1:4" x14ac:dyDescent="0.3">
      <c r="A471">
        <v>80995</v>
      </c>
      <c r="B471" t="s">
        <v>846</v>
      </c>
      <c r="C471">
        <v>435</v>
      </c>
      <c r="D471">
        <v>435</v>
      </c>
    </row>
    <row r="472" spans="1:4" x14ac:dyDescent="0.3">
      <c r="A472">
        <v>81001</v>
      </c>
      <c r="B472" t="s">
        <v>743</v>
      </c>
      <c r="C472">
        <v>388</v>
      </c>
      <c r="D472">
        <v>5</v>
      </c>
    </row>
    <row r="473" spans="1:4" x14ac:dyDescent="0.3">
      <c r="A473">
        <v>81009</v>
      </c>
      <c r="B473" t="s">
        <v>856</v>
      </c>
      <c r="C473">
        <v>81</v>
      </c>
      <c r="D473">
        <v>0</v>
      </c>
    </row>
    <row r="474" spans="1:4" x14ac:dyDescent="0.3">
      <c r="A474">
        <v>81011</v>
      </c>
      <c r="B474" t="s">
        <v>853</v>
      </c>
      <c r="C474">
        <v>31</v>
      </c>
      <c r="D474">
        <v>0</v>
      </c>
    </row>
    <row r="475" spans="1:4" x14ac:dyDescent="0.3">
      <c r="A475">
        <v>81024</v>
      </c>
      <c r="B475" t="s">
        <v>744</v>
      </c>
      <c r="C475">
        <v>54</v>
      </c>
      <c r="D475">
        <v>0</v>
      </c>
    </row>
    <row r="476" spans="1:4" x14ac:dyDescent="0.3">
      <c r="A476">
        <v>81027</v>
      </c>
      <c r="B476" t="s">
        <v>108</v>
      </c>
      <c r="C476">
        <v>343</v>
      </c>
      <c r="D476">
        <v>148</v>
      </c>
    </row>
    <row r="477" spans="1:4" x14ac:dyDescent="0.3">
      <c r="A477">
        <v>81029</v>
      </c>
      <c r="B477" t="s">
        <v>829</v>
      </c>
      <c r="C477">
        <v>210</v>
      </c>
      <c r="D477">
        <v>170</v>
      </c>
    </row>
    <row r="478" spans="1:4" x14ac:dyDescent="0.3">
      <c r="A478">
        <v>81033</v>
      </c>
      <c r="B478" t="s">
        <v>745</v>
      </c>
      <c r="C478">
        <v>113</v>
      </c>
      <c r="D478">
        <v>78</v>
      </c>
    </row>
    <row r="479" spans="1:4" x14ac:dyDescent="0.3">
      <c r="A479">
        <v>81041</v>
      </c>
      <c r="B479" t="s">
        <v>74</v>
      </c>
      <c r="C479">
        <v>230</v>
      </c>
      <c r="D479">
        <v>146</v>
      </c>
    </row>
    <row r="480" spans="1:4" x14ac:dyDescent="0.3">
      <c r="A480">
        <v>81043</v>
      </c>
      <c r="B480" t="s">
        <v>746</v>
      </c>
      <c r="C480">
        <v>300</v>
      </c>
      <c r="D480">
        <v>231</v>
      </c>
    </row>
    <row r="481" spans="1:4" x14ac:dyDescent="0.3">
      <c r="A481">
        <v>81045</v>
      </c>
      <c r="B481" t="s">
        <v>748</v>
      </c>
      <c r="C481">
        <v>1040</v>
      </c>
      <c r="D481">
        <v>194</v>
      </c>
    </row>
    <row r="482" spans="1:4" x14ac:dyDescent="0.3">
      <c r="A482">
        <v>81050</v>
      </c>
      <c r="B482" t="s">
        <v>749</v>
      </c>
      <c r="C482">
        <v>66</v>
      </c>
      <c r="D482">
        <v>47</v>
      </c>
    </row>
    <row r="483" spans="1:4" x14ac:dyDescent="0.3">
      <c r="A483">
        <v>81052</v>
      </c>
      <c r="B483" t="s">
        <v>865</v>
      </c>
      <c r="C483">
        <v>199</v>
      </c>
      <c r="D483">
        <v>177</v>
      </c>
    </row>
    <row r="484" spans="1:4" x14ac:dyDescent="0.3">
      <c r="A484">
        <v>81076</v>
      </c>
      <c r="B484" t="s">
        <v>195</v>
      </c>
      <c r="C484">
        <v>924</v>
      </c>
      <c r="D484">
        <v>592</v>
      </c>
    </row>
    <row r="485" spans="1:4" x14ac:dyDescent="0.3">
      <c r="A485">
        <v>81078</v>
      </c>
      <c r="B485" t="s">
        <v>1266</v>
      </c>
      <c r="C485">
        <v>1080</v>
      </c>
      <c r="D485">
        <v>1</v>
      </c>
    </row>
    <row r="486" spans="1:4" x14ac:dyDescent="0.3">
      <c r="A486">
        <v>81097</v>
      </c>
      <c r="B486" t="s">
        <v>750</v>
      </c>
      <c r="C486">
        <v>558</v>
      </c>
      <c r="D486">
        <v>0</v>
      </c>
    </row>
    <row r="487" spans="1:4" x14ac:dyDescent="0.3">
      <c r="A487">
        <v>81099</v>
      </c>
      <c r="B487" t="s">
        <v>128</v>
      </c>
      <c r="C487">
        <v>806</v>
      </c>
      <c r="D487">
        <v>229</v>
      </c>
    </row>
    <row r="488" spans="1:4" x14ac:dyDescent="0.3">
      <c r="A488">
        <v>81114</v>
      </c>
      <c r="B488" t="s">
        <v>807</v>
      </c>
      <c r="C488">
        <v>10</v>
      </c>
      <c r="D488">
        <v>0</v>
      </c>
    </row>
    <row r="489" spans="1:4" x14ac:dyDescent="0.3">
      <c r="A489">
        <v>81123</v>
      </c>
      <c r="B489" t="s">
        <v>830</v>
      </c>
      <c r="C489">
        <v>184</v>
      </c>
      <c r="D489">
        <v>0</v>
      </c>
    </row>
    <row r="490" spans="1:4" x14ac:dyDescent="0.3">
      <c r="A490">
        <v>81174</v>
      </c>
      <c r="B490" t="s">
        <v>279</v>
      </c>
      <c r="C490">
        <v>124</v>
      </c>
      <c r="D490">
        <v>72</v>
      </c>
    </row>
    <row r="491" spans="1:4" x14ac:dyDescent="0.3">
      <c r="A491">
        <v>81205</v>
      </c>
      <c r="B491" t="s">
        <v>649</v>
      </c>
      <c r="C491">
        <v>20</v>
      </c>
      <c r="D491">
        <v>0</v>
      </c>
    </row>
    <row r="492" spans="1:4" x14ac:dyDescent="0.3">
      <c r="A492">
        <v>85448</v>
      </c>
      <c r="B492" t="s">
        <v>1272</v>
      </c>
      <c r="C492">
        <v>319</v>
      </c>
      <c r="D492">
        <v>118</v>
      </c>
    </row>
    <row r="493" spans="1:4" x14ac:dyDescent="0.3">
      <c r="A493">
        <v>85454</v>
      </c>
      <c r="B493" t="s">
        <v>831</v>
      </c>
      <c r="C493">
        <v>147</v>
      </c>
      <c r="D493">
        <v>0</v>
      </c>
    </row>
    <row r="494" spans="1:4" x14ac:dyDescent="0.3">
      <c r="A494">
        <v>85516</v>
      </c>
      <c r="B494" t="s">
        <v>802</v>
      </c>
      <c r="C494">
        <v>483</v>
      </c>
      <c r="D494">
        <v>215</v>
      </c>
    </row>
    <row r="495" spans="1:4" x14ac:dyDescent="0.3">
      <c r="A495">
        <v>85540</v>
      </c>
      <c r="B495" t="s">
        <v>803</v>
      </c>
      <c r="C495">
        <v>105</v>
      </c>
      <c r="D495">
        <v>74</v>
      </c>
    </row>
    <row r="496" spans="1:4" x14ac:dyDescent="0.3">
      <c r="A496">
        <v>85749</v>
      </c>
      <c r="B496" t="s">
        <v>49</v>
      </c>
      <c r="C496">
        <v>311</v>
      </c>
      <c r="D496">
        <v>65</v>
      </c>
    </row>
    <row r="497" spans="1:4" x14ac:dyDescent="0.3">
      <c r="A497">
        <v>85807</v>
      </c>
      <c r="B497" t="s">
        <v>400</v>
      </c>
      <c r="C497">
        <v>157</v>
      </c>
      <c r="D497">
        <v>49</v>
      </c>
    </row>
    <row r="498" spans="1:4" x14ac:dyDescent="0.3">
      <c r="A498">
        <v>85816</v>
      </c>
      <c r="B498" t="s">
        <v>683</v>
      </c>
      <c r="C498">
        <v>404</v>
      </c>
      <c r="D498">
        <v>3</v>
      </c>
    </row>
    <row r="499" spans="1:4" x14ac:dyDescent="0.3">
      <c r="A499">
        <v>87275</v>
      </c>
      <c r="B499" t="s">
        <v>645</v>
      </c>
      <c r="C499">
        <v>11</v>
      </c>
      <c r="D499">
        <v>0</v>
      </c>
    </row>
    <row r="500" spans="1:4" x14ac:dyDescent="0.3">
      <c r="A500">
        <v>87334</v>
      </c>
      <c r="B500" t="s">
        <v>487</v>
      </c>
      <c r="C500">
        <v>43</v>
      </c>
      <c r="D500">
        <v>2</v>
      </c>
    </row>
    <row r="501" spans="1:4" x14ac:dyDescent="0.3">
      <c r="A501">
        <v>87349</v>
      </c>
      <c r="B501" t="s">
        <v>251</v>
      </c>
      <c r="C501">
        <v>99</v>
      </c>
      <c r="D501">
        <v>20</v>
      </c>
    </row>
    <row r="502" spans="1:4" x14ac:dyDescent="0.3">
      <c r="A502">
        <v>87399</v>
      </c>
      <c r="B502" t="s">
        <v>681</v>
      </c>
      <c r="C502">
        <v>765</v>
      </c>
      <c r="D502">
        <v>172</v>
      </c>
    </row>
    <row r="503" spans="1:4" x14ac:dyDescent="0.3">
      <c r="A503">
        <v>87401</v>
      </c>
      <c r="B503" t="s">
        <v>682</v>
      </c>
      <c r="C503">
        <v>629</v>
      </c>
      <c r="D503">
        <v>354</v>
      </c>
    </row>
    <row r="504" spans="1:4" x14ac:dyDescent="0.3">
      <c r="A504">
        <v>87403</v>
      </c>
      <c r="B504" t="s">
        <v>683</v>
      </c>
      <c r="C504">
        <v>158</v>
      </c>
      <c r="D504">
        <v>47</v>
      </c>
    </row>
    <row r="505" spans="1:4" x14ac:dyDescent="0.3">
      <c r="A505">
        <v>87405</v>
      </c>
      <c r="B505" t="s">
        <v>836</v>
      </c>
      <c r="C505">
        <v>4189</v>
      </c>
      <c r="D505">
        <v>707</v>
      </c>
    </row>
    <row r="506" spans="1:4" x14ac:dyDescent="0.3">
      <c r="A506">
        <v>87407</v>
      </c>
      <c r="B506" t="s">
        <v>684</v>
      </c>
      <c r="C506">
        <v>2066</v>
      </c>
      <c r="D506">
        <v>925</v>
      </c>
    </row>
    <row r="507" spans="1:4" x14ac:dyDescent="0.3">
      <c r="A507">
        <v>87600</v>
      </c>
      <c r="B507" t="s">
        <v>181</v>
      </c>
      <c r="C507">
        <v>4</v>
      </c>
      <c r="D507">
        <v>4</v>
      </c>
    </row>
    <row r="508" spans="1:4" x14ac:dyDescent="0.3">
      <c r="A508">
        <v>88299</v>
      </c>
      <c r="B508" t="s">
        <v>534</v>
      </c>
      <c r="C508">
        <v>711</v>
      </c>
      <c r="D508">
        <v>1</v>
      </c>
    </row>
    <row r="509" spans="1:4" x14ac:dyDescent="0.3">
      <c r="A509">
        <v>88308</v>
      </c>
      <c r="B509" t="s">
        <v>833</v>
      </c>
      <c r="C509">
        <v>67</v>
      </c>
      <c r="D509">
        <v>29</v>
      </c>
    </row>
    <row r="510" spans="1:4" x14ac:dyDescent="0.3">
      <c r="A510">
        <v>88317</v>
      </c>
      <c r="B510" t="s">
        <v>353</v>
      </c>
      <c r="C510">
        <v>280</v>
      </c>
      <c r="D510">
        <v>244</v>
      </c>
    </row>
    <row r="511" spans="1:4" x14ac:dyDescent="0.3">
      <c r="A511">
        <v>88321</v>
      </c>
      <c r="B511" t="s">
        <v>867</v>
      </c>
      <c r="C511">
        <v>185</v>
      </c>
      <c r="D511">
        <v>117</v>
      </c>
    </row>
    <row r="512" spans="1:4" x14ac:dyDescent="0.3">
      <c r="A512">
        <v>88334</v>
      </c>
      <c r="B512" t="s">
        <v>685</v>
      </c>
      <c r="C512">
        <v>412</v>
      </c>
      <c r="D512">
        <v>316</v>
      </c>
    </row>
    <row r="513" spans="1:4" x14ac:dyDescent="0.3">
      <c r="A513">
        <v>88360</v>
      </c>
      <c r="B513" t="s">
        <v>507</v>
      </c>
      <c r="C513">
        <v>1178</v>
      </c>
      <c r="D513">
        <v>388</v>
      </c>
    </row>
    <row r="514" spans="1:4" x14ac:dyDescent="0.3">
      <c r="A514">
        <v>88365</v>
      </c>
      <c r="B514" t="s">
        <v>686</v>
      </c>
      <c r="C514">
        <v>378</v>
      </c>
      <c r="D514">
        <v>3</v>
      </c>
    </row>
    <row r="515" spans="1:4" x14ac:dyDescent="0.3">
      <c r="A515">
        <v>88367</v>
      </c>
      <c r="B515" t="s">
        <v>687</v>
      </c>
      <c r="C515">
        <v>777</v>
      </c>
      <c r="D515">
        <v>7</v>
      </c>
    </row>
    <row r="516" spans="1:4" x14ac:dyDescent="0.3">
      <c r="A516">
        <v>88369</v>
      </c>
      <c r="B516" t="s">
        <v>688</v>
      </c>
      <c r="C516">
        <v>118</v>
      </c>
      <c r="D516">
        <v>61</v>
      </c>
    </row>
    <row r="517" spans="1:4" x14ac:dyDescent="0.3">
      <c r="A517">
        <v>88372</v>
      </c>
      <c r="B517" t="s">
        <v>689</v>
      </c>
      <c r="C517">
        <v>381</v>
      </c>
      <c r="D517">
        <v>124</v>
      </c>
    </row>
    <row r="518" spans="1:4" x14ac:dyDescent="0.3">
      <c r="A518">
        <v>88374</v>
      </c>
      <c r="B518" t="s">
        <v>690</v>
      </c>
      <c r="C518">
        <v>280</v>
      </c>
      <c r="D518">
        <v>6</v>
      </c>
    </row>
    <row r="519" spans="1:4" x14ac:dyDescent="0.3">
      <c r="A519">
        <v>88618</v>
      </c>
      <c r="B519" t="s">
        <v>635</v>
      </c>
      <c r="C519">
        <v>131</v>
      </c>
      <c r="D519">
        <v>38</v>
      </c>
    </row>
    <row r="520" spans="1:4" x14ac:dyDescent="0.3">
      <c r="A520">
        <v>89380</v>
      </c>
      <c r="B520" t="s">
        <v>485</v>
      </c>
      <c r="C520">
        <v>4</v>
      </c>
      <c r="D520">
        <v>0</v>
      </c>
    </row>
    <row r="521" spans="1:4" x14ac:dyDescent="0.3">
      <c r="A521">
        <v>89412</v>
      </c>
      <c r="B521" t="s">
        <v>731</v>
      </c>
      <c r="C521">
        <v>3495</v>
      </c>
      <c r="D521">
        <v>69</v>
      </c>
    </row>
    <row r="522" spans="1:4" x14ac:dyDescent="0.3">
      <c r="A522">
        <v>89414</v>
      </c>
      <c r="B522" t="s">
        <v>732</v>
      </c>
      <c r="C522">
        <v>141</v>
      </c>
      <c r="D522">
        <v>33</v>
      </c>
    </row>
    <row r="523" spans="1:4" x14ac:dyDescent="0.3">
      <c r="A523">
        <v>89418</v>
      </c>
      <c r="B523" t="s">
        <v>1392</v>
      </c>
      <c r="C523">
        <v>25</v>
      </c>
      <c r="D523">
        <v>0</v>
      </c>
    </row>
    <row r="524" spans="1:4" x14ac:dyDescent="0.3">
      <c r="A524">
        <v>89486</v>
      </c>
      <c r="B524" t="s">
        <v>691</v>
      </c>
      <c r="C524">
        <v>530</v>
      </c>
      <c r="D524">
        <v>0</v>
      </c>
    </row>
    <row r="525" spans="1:4" x14ac:dyDescent="0.3">
      <c r="A525">
        <v>89506</v>
      </c>
      <c r="B525" t="s">
        <v>692</v>
      </c>
      <c r="C525">
        <v>487</v>
      </c>
      <c r="D525">
        <v>36</v>
      </c>
    </row>
    <row r="526" spans="1:4" x14ac:dyDescent="0.3">
      <c r="A526">
        <v>89524</v>
      </c>
      <c r="B526" t="s">
        <v>653</v>
      </c>
      <c r="C526">
        <v>2</v>
      </c>
      <c r="D526">
        <v>0</v>
      </c>
    </row>
    <row r="527" spans="1:4" x14ac:dyDescent="0.3">
      <c r="A527">
        <v>89550</v>
      </c>
      <c r="B527" t="s">
        <v>553</v>
      </c>
      <c r="C527">
        <v>56</v>
      </c>
      <c r="D527">
        <v>0</v>
      </c>
    </row>
    <row r="528" spans="1:4" x14ac:dyDescent="0.3">
      <c r="A528">
        <v>89556</v>
      </c>
      <c r="B528" t="s">
        <v>693</v>
      </c>
      <c r="C528">
        <v>115</v>
      </c>
      <c r="D528">
        <v>100</v>
      </c>
    </row>
    <row r="529" spans="1:4" x14ac:dyDescent="0.3">
      <c r="A529">
        <v>89561</v>
      </c>
      <c r="B529" t="s">
        <v>694</v>
      </c>
      <c r="C529">
        <v>166</v>
      </c>
      <c r="D529">
        <v>2</v>
      </c>
    </row>
    <row r="530" spans="1:4" x14ac:dyDescent="0.3">
      <c r="A530">
        <v>89563</v>
      </c>
      <c r="B530" t="s">
        <v>695</v>
      </c>
      <c r="C530">
        <v>379</v>
      </c>
      <c r="D530">
        <v>1</v>
      </c>
    </row>
    <row r="531" spans="1:4" x14ac:dyDescent="0.3">
      <c r="A531">
        <v>89756</v>
      </c>
      <c r="B531" t="s">
        <v>478</v>
      </c>
      <c r="C531">
        <v>847</v>
      </c>
      <c r="D531">
        <v>0</v>
      </c>
    </row>
    <row r="532" spans="1:4" x14ac:dyDescent="0.3">
      <c r="A532">
        <v>89758</v>
      </c>
      <c r="B532" t="s">
        <v>696</v>
      </c>
      <c r="C532">
        <v>605</v>
      </c>
      <c r="D532">
        <v>0</v>
      </c>
    </row>
    <row r="533" spans="1:4" x14ac:dyDescent="0.3">
      <c r="A533">
        <v>89760</v>
      </c>
      <c r="B533" t="s">
        <v>666</v>
      </c>
      <c r="C533">
        <v>54</v>
      </c>
      <c r="D533">
        <v>0</v>
      </c>
    </row>
    <row r="534" spans="1:4" x14ac:dyDescent="0.3">
      <c r="A534">
        <v>89784</v>
      </c>
      <c r="B534" t="s">
        <v>697</v>
      </c>
      <c r="C534">
        <v>543</v>
      </c>
      <c r="D534">
        <v>427</v>
      </c>
    </row>
    <row r="535" spans="1:4" x14ac:dyDescent="0.3">
      <c r="A535">
        <v>89786</v>
      </c>
      <c r="B535" t="s">
        <v>698</v>
      </c>
      <c r="C535">
        <v>634</v>
      </c>
      <c r="D535">
        <v>491</v>
      </c>
    </row>
    <row r="536" spans="1:4" x14ac:dyDescent="0.3">
      <c r="A536">
        <v>89788</v>
      </c>
      <c r="B536" t="s">
        <v>699</v>
      </c>
      <c r="C536">
        <v>308</v>
      </c>
      <c r="D536">
        <v>161</v>
      </c>
    </row>
    <row r="537" spans="1:4" x14ac:dyDescent="0.3">
      <c r="A537">
        <v>89790</v>
      </c>
      <c r="B537" t="s">
        <v>700</v>
      </c>
      <c r="C537">
        <v>323</v>
      </c>
      <c r="D537">
        <v>101</v>
      </c>
    </row>
    <row r="538" spans="1:4" x14ac:dyDescent="0.3">
      <c r="A538">
        <v>89798</v>
      </c>
      <c r="B538" t="s">
        <v>701</v>
      </c>
      <c r="C538">
        <v>688</v>
      </c>
      <c r="D538">
        <v>115</v>
      </c>
    </row>
    <row r="539" spans="1:4" x14ac:dyDescent="0.3">
      <c r="A539">
        <v>89829</v>
      </c>
      <c r="B539" t="s">
        <v>518</v>
      </c>
      <c r="C539">
        <v>535</v>
      </c>
      <c r="D539">
        <v>0</v>
      </c>
    </row>
    <row r="540" spans="1:4" x14ac:dyDescent="0.3">
      <c r="A540">
        <v>89850</v>
      </c>
      <c r="B540" t="s">
        <v>668</v>
      </c>
      <c r="C540">
        <v>720</v>
      </c>
      <c r="D540">
        <v>309</v>
      </c>
    </row>
    <row r="541" spans="1:4" x14ac:dyDescent="0.3">
      <c r="A541">
        <v>89852</v>
      </c>
      <c r="B541" t="s">
        <v>847</v>
      </c>
      <c r="C541">
        <v>465</v>
      </c>
      <c r="D541">
        <v>366</v>
      </c>
    </row>
    <row r="542" spans="1:4" x14ac:dyDescent="0.3">
      <c r="A542">
        <v>89864</v>
      </c>
      <c r="B542" t="s">
        <v>342</v>
      </c>
      <c r="C542">
        <v>104</v>
      </c>
      <c r="D542">
        <v>88</v>
      </c>
    </row>
    <row r="543" spans="1:4" x14ac:dyDescent="0.3">
      <c r="A543">
        <v>89869</v>
      </c>
      <c r="B543" t="s">
        <v>702</v>
      </c>
      <c r="C543">
        <v>146</v>
      </c>
      <c r="D543">
        <v>58</v>
      </c>
    </row>
    <row r="544" spans="1:4" x14ac:dyDescent="0.3">
      <c r="A544">
        <v>89871</v>
      </c>
      <c r="B544" t="s">
        <v>539</v>
      </c>
      <c r="C544">
        <v>66</v>
      </c>
      <c r="D544">
        <v>0</v>
      </c>
    </row>
    <row r="545" spans="1:4" x14ac:dyDescent="0.3">
      <c r="A545">
        <v>89914</v>
      </c>
      <c r="B545" t="s">
        <v>815</v>
      </c>
      <c r="C545">
        <v>325</v>
      </c>
      <c r="D545">
        <v>297</v>
      </c>
    </row>
    <row r="546" spans="1:4" x14ac:dyDescent="0.3">
      <c r="A546">
        <v>89915</v>
      </c>
      <c r="B546" t="s">
        <v>392</v>
      </c>
      <c r="C546">
        <v>322</v>
      </c>
      <c r="D546">
        <v>165</v>
      </c>
    </row>
    <row r="547" spans="1:4" x14ac:dyDescent="0.3">
      <c r="A547">
        <v>89917</v>
      </c>
      <c r="B547" t="s">
        <v>123</v>
      </c>
      <c r="C547">
        <v>466</v>
      </c>
      <c r="D547">
        <v>181</v>
      </c>
    </row>
    <row r="548" spans="1:4" x14ac:dyDescent="0.3">
      <c r="A548">
        <v>89922</v>
      </c>
      <c r="B548" t="s">
        <v>1393</v>
      </c>
      <c r="C548">
        <v>6</v>
      </c>
      <c r="D548">
        <v>1</v>
      </c>
    </row>
    <row r="549" spans="1:4" x14ac:dyDescent="0.3">
      <c r="A549">
        <v>89949</v>
      </c>
      <c r="B549" t="s">
        <v>56</v>
      </c>
      <c r="C549">
        <v>389</v>
      </c>
      <c r="D549">
        <v>255</v>
      </c>
    </row>
    <row r="550" spans="1:4" x14ac:dyDescent="0.3">
      <c r="A550">
        <v>89951</v>
      </c>
      <c r="B550" t="s">
        <v>630</v>
      </c>
      <c r="C550">
        <v>84</v>
      </c>
      <c r="D550">
        <v>8</v>
      </c>
    </row>
    <row r="551" spans="1:4" x14ac:dyDescent="0.3">
      <c r="A551">
        <v>90034</v>
      </c>
      <c r="B551" t="s">
        <v>703</v>
      </c>
      <c r="C551">
        <v>578</v>
      </c>
      <c r="D551">
        <v>341</v>
      </c>
    </row>
    <row r="552" spans="1:4" x14ac:dyDescent="0.3">
      <c r="A552">
        <v>90036</v>
      </c>
      <c r="B552" t="s">
        <v>704</v>
      </c>
      <c r="C552">
        <v>341</v>
      </c>
      <c r="D552">
        <v>288</v>
      </c>
    </row>
    <row r="553" spans="1:4" x14ac:dyDescent="0.3">
      <c r="A553">
        <v>90048</v>
      </c>
      <c r="B553" t="s">
        <v>860</v>
      </c>
      <c r="C553">
        <v>10</v>
      </c>
      <c r="D553">
        <v>5</v>
      </c>
    </row>
    <row r="554" spans="1:4" x14ac:dyDescent="0.3">
      <c r="A554">
        <v>90050</v>
      </c>
      <c r="B554" t="s">
        <v>636</v>
      </c>
      <c r="C554">
        <v>69</v>
      </c>
      <c r="D554">
        <v>9</v>
      </c>
    </row>
    <row r="555" spans="1:4" x14ac:dyDescent="0.3">
      <c r="A555">
        <v>90052</v>
      </c>
      <c r="B555" t="s">
        <v>637</v>
      </c>
      <c r="C555">
        <v>26</v>
      </c>
      <c r="D555">
        <v>7</v>
      </c>
    </row>
    <row r="556" spans="1:4" x14ac:dyDescent="0.3">
      <c r="A556">
        <v>90090</v>
      </c>
      <c r="B556" t="s">
        <v>497</v>
      </c>
      <c r="C556">
        <v>45</v>
      </c>
      <c r="D556">
        <v>2</v>
      </c>
    </row>
    <row r="557" spans="1:4" x14ac:dyDescent="0.3">
      <c r="A557">
        <v>90123</v>
      </c>
      <c r="B557" t="s">
        <v>457</v>
      </c>
      <c r="C557">
        <v>7</v>
      </c>
      <c r="D557">
        <v>0</v>
      </c>
    </row>
    <row r="558" spans="1:4" x14ac:dyDescent="0.3">
      <c r="A558">
        <v>90138</v>
      </c>
      <c r="B558" t="s">
        <v>705</v>
      </c>
      <c r="C558">
        <v>995</v>
      </c>
      <c r="D558">
        <v>0</v>
      </c>
    </row>
    <row r="559" spans="1:4" x14ac:dyDescent="0.3">
      <c r="A559">
        <v>90140</v>
      </c>
      <c r="B559" t="s">
        <v>1268</v>
      </c>
      <c r="C559">
        <v>606</v>
      </c>
      <c r="D559">
        <v>525</v>
      </c>
    </row>
    <row r="560" spans="1:4" x14ac:dyDescent="0.3">
      <c r="A560">
        <v>90142</v>
      </c>
      <c r="B560" t="s">
        <v>407</v>
      </c>
      <c r="C560">
        <v>204</v>
      </c>
      <c r="D560">
        <v>100</v>
      </c>
    </row>
    <row r="561" spans="1:4" x14ac:dyDescent="0.3">
      <c r="A561">
        <v>90160</v>
      </c>
      <c r="B561" t="s">
        <v>706</v>
      </c>
      <c r="C561">
        <v>191</v>
      </c>
      <c r="D561">
        <v>117</v>
      </c>
    </row>
    <row r="562" spans="1:4" x14ac:dyDescent="0.3">
      <c r="A562">
        <v>90162</v>
      </c>
      <c r="B562" t="s">
        <v>707</v>
      </c>
      <c r="C562">
        <v>216</v>
      </c>
      <c r="D562">
        <v>154</v>
      </c>
    </row>
    <row r="563" spans="1:4" x14ac:dyDescent="0.3">
      <c r="A563">
        <v>90192</v>
      </c>
      <c r="B563" t="s">
        <v>708</v>
      </c>
      <c r="C563">
        <v>287</v>
      </c>
      <c r="D563">
        <v>147</v>
      </c>
    </row>
    <row r="564" spans="1:4" x14ac:dyDescent="0.3">
      <c r="A564">
        <v>90199</v>
      </c>
      <c r="B564" t="s">
        <v>834</v>
      </c>
      <c r="C564">
        <v>615</v>
      </c>
      <c r="D564">
        <v>1</v>
      </c>
    </row>
    <row r="565" spans="1:4" x14ac:dyDescent="0.3">
      <c r="A565">
        <v>90201</v>
      </c>
      <c r="B565" t="s">
        <v>152</v>
      </c>
      <c r="C565">
        <v>456</v>
      </c>
      <c r="D565">
        <v>114</v>
      </c>
    </row>
    <row r="566" spans="1:4" x14ac:dyDescent="0.3">
      <c r="A566">
        <v>90273</v>
      </c>
      <c r="B566" t="s">
        <v>709</v>
      </c>
      <c r="C566">
        <v>180</v>
      </c>
      <c r="D566">
        <v>173</v>
      </c>
    </row>
    <row r="567" spans="1:4" x14ac:dyDescent="0.3">
      <c r="A567">
        <v>90275</v>
      </c>
      <c r="B567" t="s">
        <v>359</v>
      </c>
      <c r="C567">
        <v>107</v>
      </c>
      <c r="D567">
        <v>100</v>
      </c>
    </row>
    <row r="568" spans="1:4" x14ac:dyDescent="0.3">
      <c r="A568">
        <v>90284</v>
      </c>
      <c r="B568" t="s">
        <v>816</v>
      </c>
      <c r="C568">
        <v>216</v>
      </c>
      <c r="D568">
        <v>53</v>
      </c>
    </row>
    <row r="569" spans="1:4" x14ac:dyDescent="0.3">
      <c r="A569">
        <v>90287</v>
      </c>
      <c r="B569" t="s">
        <v>710</v>
      </c>
      <c r="C569">
        <v>2179</v>
      </c>
      <c r="D569">
        <v>0</v>
      </c>
    </row>
    <row r="570" spans="1:4" x14ac:dyDescent="0.3">
      <c r="A570">
        <v>90317</v>
      </c>
      <c r="B570" t="s">
        <v>711</v>
      </c>
      <c r="C570">
        <v>205</v>
      </c>
      <c r="D570">
        <v>8</v>
      </c>
    </row>
    <row r="571" spans="1:4" x14ac:dyDescent="0.3">
      <c r="A571">
        <v>90327</v>
      </c>
      <c r="B571" t="s">
        <v>712</v>
      </c>
      <c r="C571">
        <v>868</v>
      </c>
      <c r="D571">
        <v>286</v>
      </c>
    </row>
    <row r="572" spans="1:4" x14ac:dyDescent="0.3">
      <c r="A572">
        <v>90328</v>
      </c>
      <c r="B572" t="s">
        <v>713</v>
      </c>
      <c r="C572">
        <v>238</v>
      </c>
      <c r="D572">
        <v>178</v>
      </c>
    </row>
    <row r="573" spans="1:4" x14ac:dyDescent="0.3">
      <c r="A573">
        <v>90329</v>
      </c>
      <c r="B573" t="s">
        <v>714</v>
      </c>
      <c r="C573">
        <v>139</v>
      </c>
      <c r="D573">
        <v>84</v>
      </c>
    </row>
    <row r="574" spans="1:4" x14ac:dyDescent="0.3">
      <c r="A574">
        <v>90330</v>
      </c>
      <c r="B574" t="s">
        <v>715</v>
      </c>
      <c r="C574">
        <v>275</v>
      </c>
      <c r="D574">
        <v>275</v>
      </c>
    </row>
    <row r="575" spans="1:4" x14ac:dyDescent="0.3">
      <c r="A575">
        <v>90331</v>
      </c>
      <c r="B575" t="s">
        <v>119</v>
      </c>
      <c r="C575">
        <v>57</v>
      </c>
      <c r="D575">
        <v>53</v>
      </c>
    </row>
    <row r="576" spans="1:4" x14ac:dyDescent="0.3">
      <c r="A576">
        <v>90333</v>
      </c>
      <c r="B576" t="s">
        <v>228</v>
      </c>
      <c r="C576">
        <v>155</v>
      </c>
      <c r="D576">
        <v>90</v>
      </c>
    </row>
    <row r="577" spans="1:4" x14ac:dyDescent="0.3">
      <c r="A577">
        <v>90334</v>
      </c>
      <c r="B577" t="s">
        <v>230</v>
      </c>
      <c r="C577">
        <v>235</v>
      </c>
      <c r="D577">
        <v>170</v>
      </c>
    </row>
    <row r="578" spans="1:4" x14ac:dyDescent="0.3">
      <c r="A578">
        <v>90403</v>
      </c>
      <c r="B578" t="s">
        <v>654</v>
      </c>
      <c r="C578">
        <v>1</v>
      </c>
      <c r="D578">
        <v>0</v>
      </c>
    </row>
    <row r="579" spans="1:4" x14ac:dyDescent="0.3">
      <c r="A579">
        <v>90471</v>
      </c>
      <c r="B579" t="s">
        <v>639</v>
      </c>
      <c r="C579">
        <v>4</v>
      </c>
      <c r="D579">
        <v>1</v>
      </c>
    </row>
    <row r="580" spans="1:4" x14ac:dyDescent="0.3">
      <c r="A580">
        <v>90506</v>
      </c>
      <c r="B580" t="s">
        <v>142</v>
      </c>
      <c r="C580">
        <v>65</v>
      </c>
      <c r="D580">
        <v>65</v>
      </c>
    </row>
    <row r="581" spans="1:4" x14ac:dyDescent="0.3">
      <c r="A581">
        <v>90508</v>
      </c>
      <c r="B581" t="s">
        <v>1266</v>
      </c>
      <c r="C581">
        <v>567</v>
      </c>
      <c r="D581">
        <v>0</v>
      </c>
    </row>
    <row r="582" spans="1:4" x14ac:dyDescent="0.3">
      <c r="A582">
        <v>90532</v>
      </c>
      <c r="B582" t="s">
        <v>551</v>
      </c>
      <c r="C582">
        <v>789</v>
      </c>
      <c r="D582">
        <v>0</v>
      </c>
    </row>
    <row r="583" spans="1:4" x14ac:dyDescent="0.3">
      <c r="A583">
        <v>90533</v>
      </c>
      <c r="B583" t="s">
        <v>861</v>
      </c>
      <c r="C583">
        <v>160</v>
      </c>
      <c r="D583">
        <v>60</v>
      </c>
    </row>
    <row r="584" spans="1:4" x14ac:dyDescent="0.3">
      <c r="A584">
        <v>90535</v>
      </c>
      <c r="B584" t="s">
        <v>229</v>
      </c>
      <c r="C584">
        <v>272</v>
      </c>
      <c r="D584">
        <v>146</v>
      </c>
    </row>
    <row r="585" spans="1:4" x14ac:dyDescent="0.3">
      <c r="A585">
        <v>90536</v>
      </c>
      <c r="B585" t="s">
        <v>344</v>
      </c>
      <c r="C585">
        <v>140</v>
      </c>
      <c r="D585">
        <v>31</v>
      </c>
    </row>
    <row r="586" spans="1:4" x14ac:dyDescent="0.3">
      <c r="A586">
        <v>90540</v>
      </c>
      <c r="B586" t="s">
        <v>717</v>
      </c>
      <c r="C586">
        <v>235</v>
      </c>
      <c r="D586">
        <v>96</v>
      </c>
    </row>
    <row r="587" spans="1:4" x14ac:dyDescent="0.3">
      <c r="A587">
        <v>90541</v>
      </c>
      <c r="B587" t="s">
        <v>126</v>
      </c>
      <c r="C587">
        <v>325</v>
      </c>
      <c r="D587">
        <v>150</v>
      </c>
    </row>
    <row r="588" spans="1:4" x14ac:dyDescent="0.3">
      <c r="A588">
        <v>90548</v>
      </c>
      <c r="B588" t="s">
        <v>716</v>
      </c>
      <c r="C588">
        <v>323</v>
      </c>
      <c r="D588">
        <v>80</v>
      </c>
    </row>
    <row r="589" spans="1:4" x14ac:dyDescent="0.3">
      <c r="A589">
        <v>90637</v>
      </c>
      <c r="B589" t="s">
        <v>250</v>
      </c>
      <c r="C589">
        <v>668</v>
      </c>
      <c r="D589">
        <v>361</v>
      </c>
    </row>
    <row r="590" spans="1:4" x14ac:dyDescent="0.3">
      <c r="A590">
        <v>90754</v>
      </c>
      <c r="B590" t="s">
        <v>825</v>
      </c>
      <c r="C590">
        <v>29</v>
      </c>
      <c r="D590">
        <v>25</v>
      </c>
    </row>
    <row r="591" spans="1:4" x14ac:dyDescent="0.3">
      <c r="A591">
        <v>90758</v>
      </c>
      <c r="B591" t="s">
        <v>718</v>
      </c>
      <c r="C591">
        <v>170</v>
      </c>
      <c r="D591">
        <v>5</v>
      </c>
    </row>
    <row r="592" spans="1:4" x14ac:dyDescent="0.3">
      <c r="A592">
        <v>90779</v>
      </c>
      <c r="B592" t="s">
        <v>683</v>
      </c>
      <c r="C592">
        <v>464</v>
      </c>
      <c r="D592">
        <v>182</v>
      </c>
    </row>
    <row r="593" spans="1:4" x14ac:dyDescent="0.3">
      <c r="A593">
        <v>90841</v>
      </c>
      <c r="B593" t="s">
        <v>1266</v>
      </c>
      <c r="C593">
        <v>770</v>
      </c>
      <c r="D593">
        <v>1</v>
      </c>
    </row>
    <row r="594" spans="1:4" x14ac:dyDescent="0.3">
      <c r="A594">
        <v>90842</v>
      </c>
      <c r="B594" t="s">
        <v>1266</v>
      </c>
      <c r="C594">
        <v>893</v>
      </c>
      <c r="D594">
        <v>0</v>
      </c>
    </row>
    <row r="595" spans="1:4" x14ac:dyDescent="0.3">
      <c r="A595">
        <v>90857</v>
      </c>
      <c r="B595" t="s">
        <v>546</v>
      </c>
      <c r="C595">
        <v>404</v>
      </c>
      <c r="D595">
        <v>0</v>
      </c>
    </row>
    <row r="596" spans="1:4" x14ac:dyDescent="0.3">
      <c r="A596">
        <v>90859</v>
      </c>
      <c r="B596" t="s">
        <v>465</v>
      </c>
      <c r="C596">
        <v>602</v>
      </c>
      <c r="D596">
        <v>0</v>
      </c>
    </row>
    <row r="597" spans="1:4" x14ac:dyDescent="0.3">
      <c r="A597">
        <v>90861</v>
      </c>
      <c r="B597" t="s">
        <v>275</v>
      </c>
      <c r="C597">
        <v>450</v>
      </c>
      <c r="D597">
        <v>280</v>
      </c>
    </row>
    <row r="598" spans="1:4" x14ac:dyDescent="0.3">
      <c r="A598">
        <v>90862</v>
      </c>
      <c r="B598" t="s">
        <v>1266</v>
      </c>
      <c r="C598">
        <v>636</v>
      </c>
      <c r="D598">
        <v>1</v>
      </c>
    </row>
    <row r="599" spans="1:4" x14ac:dyDescent="0.3">
      <c r="A599">
        <v>90876</v>
      </c>
      <c r="B599" t="s">
        <v>835</v>
      </c>
      <c r="C599">
        <v>73</v>
      </c>
      <c r="D599">
        <v>56</v>
      </c>
    </row>
    <row r="600" spans="1:4" x14ac:dyDescent="0.3">
      <c r="A600">
        <v>90878</v>
      </c>
      <c r="B600" t="s">
        <v>10</v>
      </c>
      <c r="C600">
        <v>478</v>
      </c>
      <c r="D600">
        <v>425</v>
      </c>
    </row>
    <row r="601" spans="1:4" x14ac:dyDescent="0.3">
      <c r="A601">
        <v>90879</v>
      </c>
      <c r="B601" t="s">
        <v>493</v>
      </c>
      <c r="C601">
        <v>407</v>
      </c>
      <c r="D601">
        <v>0</v>
      </c>
    </row>
    <row r="602" spans="1:4" x14ac:dyDescent="0.3">
      <c r="A602">
        <v>90884</v>
      </c>
      <c r="B602" t="s">
        <v>719</v>
      </c>
      <c r="C602">
        <v>209</v>
      </c>
      <c r="D602">
        <v>196</v>
      </c>
    </row>
    <row r="603" spans="1:4" x14ac:dyDescent="0.3">
      <c r="A603">
        <v>90885</v>
      </c>
      <c r="B603" t="s">
        <v>541</v>
      </c>
      <c r="C603">
        <v>332</v>
      </c>
      <c r="D603">
        <v>0</v>
      </c>
    </row>
    <row r="604" spans="1:4" x14ac:dyDescent="0.3">
      <c r="A604">
        <v>90894</v>
      </c>
      <c r="B604" t="s">
        <v>516</v>
      </c>
      <c r="C604">
        <v>35</v>
      </c>
      <c r="D604">
        <v>1</v>
      </c>
    </row>
    <row r="605" spans="1:4" x14ac:dyDescent="0.3">
      <c r="A605">
        <v>90900</v>
      </c>
      <c r="B605" t="s">
        <v>862</v>
      </c>
      <c r="C605">
        <v>96</v>
      </c>
      <c r="D605">
        <v>51</v>
      </c>
    </row>
    <row r="606" spans="1:4" x14ac:dyDescent="0.3">
      <c r="A606">
        <v>90906</v>
      </c>
      <c r="B606" t="s">
        <v>1290</v>
      </c>
      <c r="C606">
        <v>503</v>
      </c>
      <c r="D606">
        <v>270</v>
      </c>
    </row>
    <row r="607" spans="1:4" x14ac:dyDescent="0.3">
      <c r="A607">
        <v>90915</v>
      </c>
      <c r="B607" t="s">
        <v>1269</v>
      </c>
      <c r="C607">
        <v>541</v>
      </c>
      <c r="D607">
        <v>0</v>
      </c>
    </row>
    <row r="608" spans="1:4" x14ac:dyDescent="0.3">
      <c r="A608">
        <v>90916</v>
      </c>
      <c r="B608" t="s">
        <v>545</v>
      </c>
      <c r="C608">
        <v>536</v>
      </c>
      <c r="D608">
        <v>0</v>
      </c>
    </row>
    <row r="609" spans="1:4" x14ac:dyDescent="0.3">
      <c r="A609">
        <v>90917</v>
      </c>
      <c r="B609" t="s">
        <v>549</v>
      </c>
      <c r="C609">
        <v>532</v>
      </c>
      <c r="D609">
        <v>0</v>
      </c>
    </row>
    <row r="610" spans="1:4" x14ac:dyDescent="0.3">
      <c r="A610">
        <v>90997</v>
      </c>
      <c r="B610" t="s">
        <v>818</v>
      </c>
      <c r="C610">
        <v>244</v>
      </c>
      <c r="D610">
        <v>220</v>
      </c>
    </row>
    <row r="611" spans="1:4" x14ac:dyDescent="0.3">
      <c r="A611">
        <v>91053</v>
      </c>
      <c r="B611" t="s">
        <v>721</v>
      </c>
      <c r="C611">
        <v>130</v>
      </c>
      <c r="D611">
        <v>14</v>
      </c>
    </row>
    <row r="612" spans="1:4" x14ac:dyDescent="0.3">
      <c r="A612">
        <v>91108</v>
      </c>
      <c r="B612" t="s">
        <v>394</v>
      </c>
      <c r="C612">
        <v>305</v>
      </c>
      <c r="D612">
        <v>148</v>
      </c>
    </row>
    <row r="613" spans="1:4" x14ac:dyDescent="0.3">
      <c r="A613">
        <v>91110</v>
      </c>
      <c r="B613" t="s">
        <v>479</v>
      </c>
      <c r="C613">
        <v>133</v>
      </c>
      <c r="D613">
        <v>1</v>
      </c>
    </row>
    <row r="614" spans="1:4" x14ac:dyDescent="0.3">
      <c r="A614">
        <v>91131</v>
      </c>
      <c r="B614" t="s">
        <v>683</v>
      </c>
      <c r="C614">
        <v>191</v>
      </c>
      <c r="D614">
        <v>77</v>
      </c>
    </row>
    <row r="615" spans="1:4" x14ac:dyDescent="0.3">
      <c r="A615">
        <v>91133</v>
      </c>
      <c r="B615" t="s">
        <v>57</v>
      </c>
      <c r="C615">
        <v>1192</v>
      </c>
      <c r="D615">
        <v>154</v>
      </c>
    </row>
    <row r="616" spans="1:4" x14ac:dyDescent="0.3">
      <c r="A616">
        <v>91135</v>
      </c>
      <c r="B616" t="s">
        <v>505</v>
      </c>
      <c r="C616">
        <v>1300</v>
      </c>
      <c r="D616">
        <v>621</v>
      </c>
    </row>
    <row r="617" spans="1:4" x14ac:dyDescent="0.3">
      <c r="A617">
        <v>91137</v>
      </c>
      <c r="B617" t="s">
        <v>503</v>
      </c>
      <c r="C617">
        <v>1252</v>
      </c>
      <c r="D617">
        <v>318</v>
      </c>
    </row>
    <row r="618" spans="1:4" x14ac:dyDescent="0.3">
      <c r="A618">
        <v>91170</v>
      </c>
      <c r="B618" t="s">
        <v>1260</v>
      </c>
      <c r="C618">
        <v>319</v>
      </c>
      <c r="D618">
        <v>254</v>
      </c>
    </row>
    <row r="619" spans="1:4" x14ac:dyDescent="0.3">
      <c r="A619">
        <v>91174</v>
      </c>
      <c r="B619" t="s">
        <v>248</v>
      </c>
      <c r="C619">
        <v>317</v>
      </c>
      <c r="D619">
        <v>144</v>
      </c>
    </row>
    <row r="620" spans="1:4" x14ac:dyDescent="0.3">
      <c r="A620">
        <v>91238</v>
      </c>
      <c r="B620" t="s">
        <v>817</v>
      </c>
      <c r="C620">
        <v>142</v>
      </c>
      <c r="D620">
        <v>70</v>
      </c>
    </row>
    <row r="621" spans="1:4" x14ac:dyDescent="0.3">
      <c r="A621">
        <v>91250</v>
      </c>
      <c r="B621" t="s">
        <v>667</v>
      </c>
      <c r="C621">
        <v>700</v>
      </c>
      <c r="D621">
        <v>553</v>
      </c>
    </row>
    <row r="622" spans="1:4" x14ac:dyDescent="0.3">
      <c r="A622">
        <v>91275</v>
      </c>
      <c r="B622" t="s">
        <v>513</v>
      </c>
      <c r="C622">
        <v>151</v>
      </c>
      <c r="D622">
        <v>120</v>
      </c>
    </row>
    <row r="623" spans="1:4" x14ac:dyDescent="0.3">
      <c r="A623">
        <v>91277</v>
      </c>
      <c r="B623" t="s">
        <v>158</v>
      </c>
      <c r="C623">
        <v>631</v>
      </c>
      <c r="D623">
        <v>611</v>
      </c>
    </row>
    <row r="624" spans="1:4" x14ac:dyDescent="0.3">
      <c r="A624">
        <v>91279</v>
      </c>
      <c r="B624" t="s">
        <v>1288</v>
      </c>
      <c r="C624">
        <v>16</v>
      </c>
      <c r="D624">
        <v>0</v>
      </c>
    </row>
    <row r="625" spans="1:4" x14ac:dyDescent="0.3">
      <c r="A625">
        <v>91280</v>
      </c>
      <c r="B625" t="s">
        <v>1266</v>
      </c>
      <c r="C625">
        <v>774</v>
      </c>
      <c r="D625">
        <v>0</v>
      </c>
    </row>
    <row r="626" spans="1:4" x14ac:dyDescent="0.3">
      <c r="A626">
        <v>91301</v>
      </c>
      <c r="B626" t="s">
        <v>640</v>
      </c>
      <c r="C626">
        <v>1</v>
      </c>
      <c r="D626">
        <v>0</v>
      </c>
    </row>
    <row r="627" spans="1:4" x14ac:dyDescent="0.3">
      <c r="A627">
        <v>91303</v>
      </c>
      <c r="B627" t="s">
        <v>56</v>
      </c>
      <c r="C627">
        <v>394</v>
      </c>
      <c r="D627">
        <v>233</v>
      </c>
    </row>
    <row r="628" spans="1:4" x14ac:dyDescent="0.3">
      <c r="A628">
        <v>91305</v>
      </c>
      <c r="B628" t="s">
        <v>56</v>
      </c>
      <c r="C628">
        <v>230</v>
      </c>
      <c r="D628">
        <v>45</v>
      </c>
    </row>
    <row r="629" spans="1:4" x14ac:dyDescent="0.3">
      <c r="A629">
        <v>91307</v>
      </c>
      <c r="B629" t="s">
        <v>56</v>
      </c>
      <c r="C629">
        <v>368</v>
      </c>
      <c r="D629">
        <v>54</v>
      </c>
    </row>
    <row r="630" spans="1:4" x14ac:dyDescent="0.3">
      <c r="A630">
        <v>91309</v>
      </c>
      <c r="B630" t="s">
        <v>1266</v>
      </c>
      <c r="C630">
        <v>1058</v>
      </c>
      <c r="D630">
        <v>0</v>
      </c>
    </row>
    <row r="631" spans="1:4" x14ac:dyDescent="0.3">
      <c r="A631">
        <v>91317</v>
      </c>
      <c r="B631" t="s">
        <v>480</v>
      </c>
      <c r="C631">
        <v>592</v>
      </c>
      <c r="D631">
        <v>8</v>
      </c>
    </row>
    <row r="632" spans="1:4" x14ac:dyDescent="0.3">
      <c r="A632">
        <v>91326</v>
      </c>
      <c r="B632" t="s">
        <v>512</v>
      </c>
      <c r="C632">
        <v>332</v>
      </c>
      <c r="D632">
        <v>133</v>
      </c>
    </row>
    <row r="633" spans="1:4" x14ac:dyDescent="0.3">
      <c r="A633">
        <v>91328</v>
      </c>
      <c r="B633" t="s">
        <v>226</v>
      </c>
      <c r="C633">
        <v>203</v>
      </c>
      <c r="D633">
        <v>121</v>
      </c>
    </row>
    <row r="634" spans="1:4" x14ac:dyDescent="0.3">
      <c r="A634">
        <v>91329</v>
      </c>
      <c r="B634" t="s">
        <v>225</v>
      </c>
      <c r="C634">
        <v>28</v>
      </c>
      <c r="D634">
        <v>28</v>
      </c>
    </row>
    <row r="635" spans="1:4" x14ac:dyDescent="0.3">
      <c r="A635">
        <v>91330</v>
      </c>
      <c r="B635" t="s">
        <v>536</v>
      </c>
      <c r="C635">
        <v>82</v>
      </c>
      <c r="D635">
        <v>28</v>
      </c>
    </row>
    <row r="636" spans="1:4" x14ac:dyDescent="0.3">
      <c r="A636">
        <v>91339</v>
      </c>
      <c r="B636" t="s">
        <v>1266</v>
      </c>
      <c r="C636">
        <v>755</v>
      </c>
      <c r="D636">
        <v>0</v>
      </c>
    </row>
    <row r="637" spans="1:4" x14ac:dyDescent="0.3">
      <c r="A637">
        <v>91340</v>
      </c>
      <c r="B637" t="s">
        <v>468</v>
      </c>
      <c r="C637">
        <v>43</v>
      </c>
      <c r="D637">
        <v>0</v>
      </c>
    </row>
    <row r="638" spans="1:4" x14ac:dyDescent="0.3">
      <c r="A638">
        <v>91758</v>
      </c>
      <c r="B638" t="s">
        <v>547</v>
      </c>
      <c r="C638">
        <v>511</v>
      </c>
      <c r="D638">
        <v>2</v>
      </c>
    </row>
    <row r="639" spans="1:4" x14ac:dyDescent="0.3">
      <c r="A639">
        <v>91763</v>
      </c>
      <c r="B639" t="s">
        <v>508</v>
      </c>
      <c r="C639">
        <v>939</v>
      </c>
      <c r="D639">
        <v>455</v>
      </c>
    </row>
    <row r="640" spans="1:4" x14ac:dyDescent="0.3">
      <c r="A640">
        <v>91773</v>
      </c>
      <c r="B640" t="s">
        <v>848</v>
      </c>
      <c r="C640">
        <v>102</v>
      </c>
      <c r="D640">
        <v>59</v>
      </c>
    </row>
    <row r="641" spans="1:4" x14ac:dyDescent="0.3">
      <c r="A641">
        <v>91827</v>
      </c>
      <c r="B641" t="s">
        <v>663</v>
      </c>
      <c r="C641">
        <v>7</v>
      </c>
      <c r="D641">
        <v>0</v>
      </c>
    </row>
    <row r="642" spans="1:4" x14ac:dyDescent="0.3">
      <c r="A642">
        <v>91877</v>
      </c>
      <c r="B642" t="s">
        <v>642</v>
      </c>
      <c r="C642">
        <v>10</v>
      </c>
      <c r="D642">
        <v>1</v>
      </c>
    </row>
    <row r="643" spans="1:4" x14ac:dyDescent="0.3">
      <c r="A643">
        <v>91878</v>
      </c>
      <c r="B643" t="s">
        <v>548</v>
      </c>
      <c r="C643">
        <v>537</v>
      </c>
      <c r="D643">
        <v>0</v>
      </c>
    </row>
    <row r="644" spans="1:4" x14ac:dyDescent="0.3">
      <c r="A644">
        <v>91933</v>
      </c>
      <c r="B644" t="s">
        <v>405</v>
      </c>
      <c r="C644">
        <v>117</v>
      </c>
      <c r="D644">
        <v>103</v>
      </c>
    </row>
    <row r="645" spans="1:4" x14ac:dyDescent="0.3">
      <c r="A645">
        <v>91934</v>
      </c>
      <c r="B645" t="s">
        <v>92</v>
      </c>
      <c r="C645">
        <v>172</v>
      </c>
      <c r="D645">
        <v>165</v>
      </c>
    </row>
    <row r="646" spans="1:4" x14ac:dyDescent="0.3">
      <c r="A646">
        <v>91935</v>
      </c>
      <c r="B646" t="s">
        <v>266</v>
      </c>
      <c r="C646">
        <v>363</v>
      </c>
      <c r="D646">
        <v>209</v>
      </c>
    </row>
    <row r="647" spans="1:4" x14ac:dyDescent="0.3">
      <c r="A647">
        <v>91937</v>
      </c>
      <c r="B647" t="s">
        <v>439</v>
      </c>
      <c r="C647">
        <v>422</v>
      </c>
      <c r="D647">
        <v>3</v>
      </c>
    </row>
    <row r="648" spans="1:4" x14ac:dyDescent="0.3">
      <c r="A648">
        <v>91938</v>
      </c>
      <c r="B648" t="s">
        <v>1261</v>
      </c>
      <c r="C648">
        <v>281</v>
      </c>
      <c r="D648">
        <v>152</v>
      </c>
    </row>
    <row r="649" spans="1:4" x14ac:dyDescent="0.3">
      <c r="A649">
        <v>91939</v>
      </c>
      <c r="B649" t="s">
        <v>1286</v>
      </c>
      <c r="C649">
        <v>197</v>
      </c>
      <c r="D649">
        <v>176</v>
      </c>
    </row>
    <row r="650" spans="1:4" x14ac:dyDescent="0.3">
      <c r="A650">
        <v>91948</v>
      </c>
      <c r="B650" t="s">
        <v>432</v>
      </c>
      <c r="C650">
        <v>225</v>
      </c>
      <c r="D650">
        <v>146</v>
      </c>
    </row>
    <row r="651" spans="1:4" x14ac:dyDescent="0.3">
      <c r="A651">
        <v>91949</v>
      </c>
      <c r="B651" t="s">
        <v>1266</v>
      </c>
      <c r="C651">
        <v>647</v>
      </c>
      <c r="D651">
        <v>0</v>
      </c>
    </row>
    <row r="652" spans="1:4" x14ac:dyDescent="0.3">
      <c r="A652">
        <v>91958</v>
      </c>
      <c r="B652" t="s">
        <v>669</v>
      </c>
      <c r="C652">
        <v>151</v>
      </c>
      <c r="D652">
        <v>113</v>
      </c>
    </row>
    <row r="653" spans="1:4" x14ac:dyDescent="0.3">
      <c r="A653">
        <v>91992</v>
      </c>
      <c r="B653" t="s">
        <v>813</v>
      </c>
      <c r="C653">
        <v>75</v>
      </c>
      <c r="D653">
        <v>57</v>
      </c>
    </row>
    <row r="654" spans="1:4" x14ac:dyDescent="0.3">
      <c r="A654">
        <v>92043</v>
      </c>
      <c r="B654" t="s">
        <v>396</v>
      </c>
      <c r="C654">
        <v>215</v>
      </c>
      <c r="D654">
        <v>11</v>
      </c>
    </row>
    <row r="655" spans="1:4" x14ac:dyDescent="0.3">
      <c r="A655">
        <v>92047</v>
      </c>
      <c r="B655" t="s">
        <v>504</v>
      </c>
      <c r="C655">
        <v>1147</v>
      </c>
      <c r="D655">
        <v>223</v>
      </c>
    </row>
    <row r="656" spans="1:4" x14ac:dyDescent="0.3">
      <c r="A656">
        <v>92049</v>
      </c>
      <c r="B656" t="s">
        <v>814</v>
      </c>
      <c r="C656">
        <v>88</v>
      </c>
      <c r="D656">
        <v>28</v>
      </c>
    </row>
    <row r="657" spans="1:4" x14ac:dyDescent="0.3">
      <c r="A657">
        <v>92191</v>
      </c>
      <c r="B657" t="s">
        <v>1256</v>
      </c>
      <c r="C657">
        <v>4</v>
      </c>
      <c r="D657">
        <v>0</v>
      </c>
    </row>
    <row r="658" spans="1:4" x14ac:dyDescent="0.3">
      <c r="A658">
        <v>92199</v>
      </c>
      <c r="B658" t="s">
        <v>506</v>
      </c>
      <c r="C658">
        <v>1175</v>
      </c>
      <c r="D658">
        <v>569</v>
      </c>
    </row>
    <row r="659" spans="1:4" x14ac:dyDescent="0.3">
      <c r="A659">
        <v>92226</v>
      </c>
      <c r="B659" t="s">
        <v>672</v>
      </c>
      <c r="C659">
        <v>1071</v>
      </c>
      <c r="D659">
        <v>524</v>
      </c>
    </row>
    <row r="660" spans="1:4" x14ac:dyDescent="0.3">
      <c r="A660">
        <v>92250</v>
      </c>
      <c r="B660" t="s">
        <v>159</v>
      </c>
      <c r="C660">
        <v>530</v>
      </c>
      <c r="D660">
        <v>523</v>
      </c>
    </row>
    <row r="661" spans="1:4" x14ac:dyDescent="0.3">
      <c r="A661">
        <v>92253</v>
      </c>
      <c r="B661" t="s">
        <v>643</v>
      </c>
      <c r="C661">
        <v>9</v>
      </c>
      <c r="D661">
        <v>0</v>
      </c>
    </row>
    <row r="662" spans="1:4" x14ac:dyDescent="0.3">
      <c r="A662">
        <v>92302</v>
      </c>
      <c r="B662" t="s">
        <v>804</v>
      </c>
      <c r="C662">
        <v>328</v>
      </c>
      <c r="D662">
        <v>174</v>
      </c>
    </row>
    <row r="663" spans="1:4" x14ac:dyDescent="0.3">
      <c r="A663">
        <v>92312</v>
      </c>
      <c r="B663" t="s">
        <v>673</v>
      </c>
      <c r="C663">
        <v>533</v>
      </c>
      <c r="D663">
        <v>0</v>
      </c>
    </row>
    <row r="664" spans="1:4" x14ac:dyDescent="0.3">
      <c r="A664">
        <v>92314</v>
      </c>
      <c r="B664" t="s">
        <v>674</v>
      </c>
      <c r="C664">
        <v>515</v>
      </c>
      <c r="D664">
        <v>0</v>
      </c>
    </row>
    <row r="665" spans="1:4" x14ac:dyDescent="0.3">
      <c r="A665">
        <v>92316</v>
      </c>
      <c r="B665" t="s">
        <v>675</v>
      </c>
      <c r="C665">
        <v>421</v>
      </c>
      <c r="D665">
        <v>2</v>
      </c>
    </row>
    <row r="666" spans="1:4" x14ac:dyDescent="0.3">
      <c r="A666">
        <v>92318</v>
      </c>
      <c r="B666" t="s">
        <v>1266</v>
      </c>
      <c r="C666">
        <v>760</v>
      </c>
      <c r="D666">
        <v>0</v>
      </c>
    </row>
    <row r="667" spans="1:4" x14ac:dyDescent="0.3">
      <c r="A667">
        <v>92320</v>
      </c>
      <c r="B667" t="s">
        <v>1266</v>
      </c>
      <c r="C667">
        <v>782</v>
      </c>
      <c r="D667">
        <v>0</v>
      </c>
    </row>
    <row r="668" spans="1:4" x14ac:dyDescent="0.3">
      <c r="A668">
        <v>92325</v>
      </c>
      <c r="B668" t="s">
        <v>56</v>
      </c>
      <c r="C668">
        <v>358</v>
      </c>
      <c r="D668">
        <v>228</v>
      </c>
    </row>
    <row r="669" spans="1:4" x14ac:dyDescent="0.3">
      <c r="A669">
        <v>92327</v>
      </c>
      <c r="B669" t="s">
        <v>56</v>
      </c>
      <c r="C669">
        <v>300</v>
      </c>
      <c r="D669">
        <v>67</v>
      </c>
    </row>
    <row r="670" spans="1:4" x14ac:dyDescent="0.3">
      <c r="A670">
        <v>92349</v>
      </c>
      <c r="B670" t="s">
        <v>1266</v>
      </c>
      <c r="C670">
        <v>861</v>
      </c>
      <c r="D670">
        <v>6</v>
      </c>
    </row>
    <row r="671" spans="1:4" x14ac:dyDescent="0.3">
      <c r="A671">
        <v>92367</v>
      </c>
      <c r="B671" t="s">
        <v>658</v>
      </c>
      <c r="C671">
        <v>4</v>
      </c>
      <c r="D671">
        <v>0</v>
      </c>
    </row>
    <row r="672" spans="1:4" x14ac:dyDescent="0.3">
      <c r="A672">
        <v>92369</v>
      </c>
      <c r="B672" t="s">
        <v>1264</v>
      </c>
      <c r="C672">
        <v>62</v>
      </c>
      <c r="D672">
        <v>4</v>
      </c>
    </row>
    <row r="673" spans="1:4" x14ac:dyDescent="0.3">
      <c r="A673">
        <v>92374</v>
      </c>
      <c r="B673" t="s">
        <v>305</v>
      </c>
      <c r="C673">
        <v>423</v>
      </c>
      <c r="D673">
        <v>237</v>
      </c>
    </row>
    <row r="674" spans="1:4" x14ac:dyDescent="0.3">
      <c r="A674">
        <v>92379</v>
      </c>
      <c r="B674" t="s">
        <v>1252</v>
      </c>
      <c r="C674">
        <v>163</v>
      </c>
      <c r="D674">
        <v>134</v>
      </c>
    </row>
    <row r="675" spans="1:4" x14ac:dyDescent="0.3">
      <c r="A675">
        <v>92381</v>
      </c>
      <c r="B675" t="s">
        <v>1254</v>
      </c>
      <c r="C675">
        <v>311</v>
      </c>
      <c r="D675">
        <v>293</v>
      </c>
    </row>
    <row r="676" spans="1:4" x14ac:dyDescent="0.3">
      <c r="A676">
        <v>92499</v>
      </c>
      <c r="B676" t="s">
        <v>216</v>
      </c>
      <c r="C676">
        <v>172</v>
      </c>
      <c r="D676">
        <v>143</v>
      </c>
    </row>
    <row r="677" spans="1:4" x14ac:dyDescent="0.3">
      <c r="A677">
        <v>92519</v>
      </c>
      <c r="B677" t="s">
        <v>676</v>
      </c>
      <c r="C677">
        <v>418</v>
      </c>
      <c r="D677">
        <v>2</v>
      </c>
    </row>
    <row r="678" spans="1:4" x14ac:dyDescent="0.3">
      <c r="A678">
        <v>92520</v>
      </c>
      <c r="B678" t="s">
        <v>677</v>
      </c>
      <c r="C678">
        <v>414</v>
      </c>
      <c r="D678">
        <v>1</v>
      </c>
    </row>
    <row r="679" spans="1:4" x14ac:dyDescent="0.3">
      <c r="A679">
        <v>92566</v>
      </c>
      <c r="B679" t="s">
        <v>678</v>
      </c>
      <c r="C679">
        <v>41</v>
      </c>
      <c r="D679">
        <v>0</v>
      </c>
    </row>
    <row r="680" spans="1:4" x14ac:dyDescent="0.3">
      <c r="A680">
        <v>92596</v>
      </c>
      <c r="B680" t="s">
        <v>679</v>
      </c>
      <c r="C680">
        <v>64</v>
      </c>
      <c r="D680">
        <v>53</v>
      </c>
    </row>
    <row r="681" spans="1:4" x14ac:dyDescent="0.3">
      <c r="A681">
        <v>92610</v>
      </c>
      <c r="B681" t="s">
        <v>257</v>
      </c>
      <c r="C681">
        <v>1088</v>
      </c>
      <c r="D681">
        <v>270</v>
      </c>
    </row>
    <row r="682" spans="1:4" x14ac:dyDescent="0.3">
      <c r="A682">
        <v>92616</v>
      </c>
      <c r="B682" t="s">
        <v>670</v>
      </c>
      <c r="C682">
        <v>36</v>
      </c>
      <c r="D682">
        <v>12</v>
      </c>
    </row>
    <row r="683" spans="1:4" x14ac:dyDescent="0.3">
      <c r="A683">
        <v>92620</v>
      </c>
      <c r="B683" t="s">
        <v>671</v>
      </c>
      <c r="C683">
        <v>773</v>
      </c>
      <c r="D683">
        <v>4</v>
      </c>
    </row>
    <row r="684" spans="1:4" x14ac:dyDescent="0.3">
      <c r="A684">
        <v>92633</v>
      </c>
      <c r="B684" t="s">
        <v>1275</v>
      </c>
      <c r="C684">
        <v>7</v>
      </c>
      <c r="D684">
        <v>5</v>
      </c>
    </row>
    <row r="685" spans="1:4" x14ac:dyDescent="0.3">
      <c r="A685">
        <v>92656</v>
      </c>
      <c r="B685" t="s">
        <v>1262</v>
      </c>
      <c r="C685">
        <v>509</v>
      </c>
      <c r="D685">
        <v>0</v>
      </c>
    </row>
    <row r="686" spans="1:4" x14ac:dyDescent="0.3">
      <c r="A686">
        <v>92657</v>
      </c>
      <c r="B686" t="s">
        <v>1263</v>
      </c>
      <c r="C686">
        <v>279</v>
      </c>
      <c r="D686">
        <v>0</v>
      </c>
    </row>
    <row r="687" spans="1:4" x14ac:dyDescent="0.3">
      <c r="A687">
        <v>92704</v>
      </c>
      <c r="B687" t="s">
        <v>1265</v>
      </c>
      <c r="C687">
        <v>461</v>
      </c>
      <c r="D687">
        <v>1</v>
      </c>
    </row>
    <row r="688" spans="1:4" x14ac:dyDescent="0.3">
      <c r="A688">
        <v>92716</v>
      </c>
      <c r="B688" t="s">
        <v>1394</v>
      </c>
      <c r="C688">
        <v>168</v>
      </c>
      <c r="D688">
        <v>166</v>
      </c>
    </row>
    <row r="689" spans="1:4" x14ac:dyDescent="0.3">
      <c r="A689">
        <v>92730</v>
      </c>
      <c r="B689" t="s">
        <v>1273</v>
      </c>
      <c r="C689">
        <v>974</v>
      </c>
      <c r="D689">
        <v>3</v>
      </c>
    </row>
    <row r="690" spans="1:4" x14ac:dyDescent="0.3">
      <c r="A690">
        <v>92734</v>
      </c>
      <c r="B690" t="s">
        <v>1266</v>
      </c>
      <c r="C690">
        <v>185</v>
      </c>
      <c r="D690">
        <v>0</v>
      </c>
    </row>
    <row r="691" spans="1:4" x14ac:dyDescent="0.3">
      <c r="A691">
        <v>92736</v>
      </c>
      <c r="B691" t="s">
        <v>1266</v>
      </c>
      <c r="C691">
        <v>579</v>
      </c>
      <c r="D691">
        <v>1</v>
      </c>
    </row>
    <row r="692" spans="1:4" x14ac:dyDescent="0.3">
      <c r="A692">
        <v>92768</v>
      </c>
      <c r="B692" t="s">
        <v>827</v>
      </c>
      <c r="C692">
        <v>572</v>
      </c>
      <c r="D692">
        <v>530</v>
      </c>
    </row>
    <row r="693" spans="1:4" x14ac:dyDescent="0.3">
      <c r="A693">
        <v>92783</v>
      </c>
      <c r="B693" t="s">
        <v>1279</v>
      </c>
      <c r="C693">
        <v>30</v>
      </c>
      <c r="D693">
        <v>14</v>
      </c>
    </row>
    <row r="694" spans="1:4" x14ac:dyDescent="0.3">
      <c r="A694">
        <v>92863</v>
      </c>
      <c r="B694" t="s">
        <v>1266</v>
      </c>
      <c r="C694">
        <v>516</v>
      </c>
      <c r="D694">
        <v>2</v>
      </c>
    </row>
    <row r="695" spans="1:4" x14ac:dyDescent="0.3">
      <c r="A695">
        <v>92865</v>
      </c>
      <c r="B695" t="s">
        <v>1266</v>
      </c>
      <c r="C695">
        <v>433</v>
      </c>
      <c r="D695">
        <v>0</v>
      </c>
    </row>
    <row r="696" spans="1:4" x14ac:dyDescent="0.3">
      <c r="A696">
        <v>92879</v>
      </c>
      <c r="B696" t="s">
        <v>1251</v>
      </c>
      <c r="C696">
        <v>1349</v>
      </c>
      <c r="D696">
        <v>301</v>
      </c>
    </row>
    <row r="697" spans="1:4" x14ac:dyDescent="0.3">
      <c r="A697">
        <v>92902</v>
      </c>
      <c r="B697" t="s">
        <v>1267</v>
      </c>
      <c r="C697">
        <v>39</v>
      </c>
      <c r="D697">
        <v>35</v>
      </c>
    </row>
    <row r="698" spans="1:4" x14ac:dyDescent="0.3">
      <c r="A698">
        <v>92918</v>
      </c>
      <c r="B698" t="s">
        <v>1257</v>
      </c>
      <c r="C698">
        <v>7</v>
      </c>
      <c r="D698">
        <v>2</v>
      </c>
    </row>
    <row r="699" spans="1:4" x14ac:dyDescent="0.3">
      <c r="A699">
        <v>92923</v>
      </c>
      <c r="B699" t="s">
        <v>641</v>
      </c>
      <c r="C699">
        <v>7</v>
      </c>
      <c r="D699">
        <v>1</v>
      </c>
    </row>
    <row r="700" spans="1:4" x14ac:dyDescent="0.3">
      <c r="A700">
        <v>92932</v>
      </c>
      <c r="B700" t="s">
        <v>1258</v>
      </c>
      <c r="C700">
        <v>10</v>
      </c>
      <c r="D700">
        <v>0</v>
      </c>
    </row>
    <row r="701" spans="1:4" x14ac:dyDescent="0.3">
      <c r="A701">
        <v>92972</v>
      </c>
      <c r="B701" t="s">
        <v>1396</v>
      </c>
      <c r="C701">
        <v>93</v>
      </c>
      <c r="D701">
        <v>90</v>
      </c>
    </row>
    <row r="702" spans="1:4" x14ac:dyDescent="0.3">
      <c r="A702">
        <v>92978</v>
      </c>
      <c r="B702" t="s">
        <v>1397</v>
      </c>
      <c r="C702">
        <v>435</v>
      </c>
      <c r="D702">
        <v>293</v>
      </c>
    </row>
    <row r="703" spans="1:4" x14ac:dyDescent="0.3">
      <c r="A703">
        <v>92983</v>
      </c>
      <c r="B703" t="s">
        <v>1398</v>
      </c>
      <c r="C703">
        <v>11</v>
      </c>
      <c r="D703">
        <v>1</v>
      </c>
    </row>
    <row r="704" spans="1:4" x14ac:dyDescent="0.3">
      <c r="A704">
        <v>92987</v>
      </c>
      <c r="B704" t="s">
        <v>1399</v>
      </c>
      <c r="C704">
        <v>61</v>
      </c>
      <c r="D704">
        <v>30</v>
      </c>
    </row>
    <row r="705" spans="1:4" x14ac:dyDescent="0.3">
      <c r="A705">
        <v>92988</v>
      </c>
      <c r="B705" t="s">
        <v>1400</v>
      </c>
      <c r="C705">
        <v>24</v>
      </c>
      <c r="D705">
        <v>0</v>
      </c>
    </row>
    <row r="706" spans="1:4" x14ac:dyDescent="0.3">
      <c r="A706">
        <v>92989</v>
      </c>
      <c r="B706" t="s">
        <v>1401</v>
      </c>
      <c r="C706">
        <v>76</v>
      </c>
      <c r="D706">
        <v>13</v>
      </c>
    </row>
    <row r="707" spans="1:4" x14ac:dyDescent="0.3">
      <c r="A707">
        <v>92991</v>
      </c>
      <c r="B707" t="s">
        <v>1402</v>
      </c>
      <c r="C707">
        <v>111</v>
      </c>
      <c r="D707">
        <v>48</v>
      </c>
    </row>
    <row r="708" spans="1:4" x14ac:dyDescent="0.3">
      <c r="A708">
        <v>92997</v>
      </c>
      <c r="B708" t="s">
        <v>1266</v>
      </c>
      <c r="C708">
        <v>508</v>
      </c>
      <c r="D708">
        <v>0</v>
      </c>
    </row>
    <row r="709" spans="1:4" x14ac:dyDescent="0.3">
      <c r="A709">
        <v>123733</v>
      </c>
      <c r="B709" t="s">
        <v>1403</v>
      </c>
      <c r="C709">
        <v>226</v>
      </c>
      <c r="D709">
        <v>0</v>
      </c>
    </row>
    <row r="710" spans="1:4" x14ac:dyDescent="0.3">
      <c r="A710">
        <v>346763</v>
      </c>
      <c r="B710" t="s">
        <v>1285</v>
      </c>
      <c r="C710">
        <v>144</v>
      </c>
      <c r="D710">
        <v>131</v>
      </c>
    </row>
    <row r="711" spans="1:4" x14ac:dyDescent="0.3">
      <c r="A711">
        <v>850099</v>
      </c>
      <c r="B711" t="s">
        <v>1404</v>
      </c>
      <c r="C711">
        <v>208</v>
      </c>
      <c r="D711">
        <v>53</v>
      </c>
    </row>
    <row r="712" spans="1:4" x14ac:dyDescent="0.3">
      <c r="A712">
        <v>850100</v>
      </c>
      <c r="B712" t="s">
        <v>1405</v>
      </c>
      <c r="C712">
        <v>949</v>
      </c>
      <c r="D712">
        <v>372</v>
      </c>
    </row>
    <row r="713" spans="1:4" x14ac:dyDescent="0.3">
      <c r="A713">
        <v>850101</v>
      </c>
      <c r="B713" t="s">
        <v>1406</v>
      </c>
      <c r="C713">
        <v>441</v>
      </c>
      <c r="D713">
        <v>168</v>
      </c>
    </row>
  </sheetData>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Y241"/>
  <sheetViews>
    <sheetView topLeftCell="D1" workbookViewId="0">
      <pane xSplit="1" ySplit="8" topLeftCell="E9" activePane="bottomRight" state="frozen"/>
      <selection activeCell="D1" sqref="D1"/>
      <selection pane="topRight" activeCell="E1" sqref="E1"/>
      <selection pane="bottomLeft" activeCell="D9" sqref="D9"/>
      <selection pane="bottomRight" activeCell="E9" sqref="E9"/>
    </sheetView>
  </sheetViews>
  <sheetFormatPr defaultColWidth="9.109375" defaultRowHeight="14.4" x14ac:dyDescent="0.3"/>
  <cols>
    <col min="1" max="1" width="9.109375" style="47" hidden="1" customWidth="1"/>
    <col min="2" max="2" width="12.6640625" style="47" hidden="1" customWidth="1"/>
    <col min="3" max="3" width="17.6640625" style="47" hidden="1" customWidth="1"/>
    <col min="4" max="4" width="10.44140625" style="24" customWidth="1"/>
    <col min="5" max="5" width="34.6640625" style="47" customWidth="1"/>
    <col min="6" max="6" width="13.33203125" style="3" customWidth="1"/>
    <col min="7" max="7" width="12.44140625" style="3" customWidth="1"/>
    <col min="8" max="8" width="17.6640625" style="3" customWidth="1"/>
    <col min="9" max="9" width="12.44140625" style="3" customWidth="1"/>
    <col min="10" max="10" width="15.44140625" style="3" customWidth="1"/>
    <col min="11" max="11" width="13.33203125" style="3" customWidth="1"/>
    <col min="12" max="12" width="13" style="3" customWidth="1"/>
    <col min="13" max="13" width="17.6640625" style="3" customWidth="1"/>
    <col min="14" max="14" width="12.44140625" style="3" customWidth="1"/>
    <col min="15" max="15" width="15.44140625" style="3" customWidth="1"/>
    <col min="16" max="16" width="14.6640625" style="4" customWidth="1"/>
    <col min="17" max="17" width="9.109375" style="47"/>
    <col min="18" max="18" width="2" style="47" customWidth="1"/>
    <col min="19" max="19" width="9.109375" style="47"/>
    <col min="20" max="20" width="9.6640625" style="47" customWidth="1"/>
    <col min="21" max="16384" width="9.109375" style="47"/>
  </cols>
  <sheetData>
    <row r="2" spans="1:20" x14ac:dyDescent="0.3">
      <c r="A2" s="11"/>
      <c r="B2" s="11"/>
      <c r="C2" s="11"/>
      <c r="D2" s="16"/>
      <c r="E2" s="23" t="s">
        <v>1590</v>
      </c>
      <c r="F2" s="14"/>
      <c r="G2" s="14"/>
      <c r="H2" s="14"/>
      <c r="I2" s="14"/>
      <c r="J2" s="14"/>
      <c r="K2" s="14"/>
      <c r="L2" s="14"/>
      <c r="M2" s="14"/>
      <c r="N2" s="14"/>
      <c r="O2" s="14"/>
      <c r="P2" s="15"/>
      <c r="Q2" s="11"/>
      <c r="R2" s="11"/>
    </row>
    <row r="3" spans="1:20" x14ac:dyDescent="0.3">
      <c r="A3" s="11"/>
      <c r="B3" s="11"/>
      <c r="C3" s="11"/>
      <c r="D3" s="16"/>
      <c r="E3" s="11"/>
      <c r="F3" s="14"/>
      <c r="G3" s="14"/>
      <c r="H3" s="14"/>
      <c r="I3" s="14"/>
      <c r="J3" s="14"/>
      <c r="K3" s="14"/>
      <c r="L3" s="14"/>
      <c r="M3" s="14"/>
      <c r="N3" s="14"/>
      <c r="O3" s="14"/>
      <c r="P3" s="15"/>
      <c r="Q3" s="11"/>
      <c r="R3" s="11"/>
    </row>
    <row r="4" spans="1:20" x14ac:dyDescent="0.3">
      <c r="A4" s="11"/>
      <c r="B4" s="11"/>
      <c r="C4" s="11"/>
      <c r="E4" s="14" t="s">
        <v>572</v>
      </c>
      <c r="F4" s="14"/>
      <c r="G4" s="14"/>
      <c r="H4" s="14"/>
      <c r="I4" s="14"/>
      <c r="J4" s="14"/>
      <c r="K4" s="14"/>
      <c r="L4" s="14"/>
      <c r="M4" s="14"/>
      <c r="N4" s="14"/>
      <c r="O4" s="14"/>
      <c r="P4" s="30" t="s">
        <v>897</v>
      </c>
      <c r="Q4" s="29"/>
      <c r="R4" s="11"/>
    </row>
    <row r="5" spans="1:20" x14ac:dyDescent="0.3">
      <c r="A5" s="12" t="s">
        <v>618</v>
      </c>
      <c r="B5" s="12" t="s">
        <v>618</v>
      </c>
      <c r="C5" s="12" t="s">
        <v>618</v>
      </c>
      <c r="D5" s="16"/>
      <c r="E5" s="11"/>
      <c r="F5" s="14"/>
      <c r="G5" s="14"/>
      <c r="H5" s="14"/>
      <c r="I5" s="14"/>
      <c r="J5" s="10" t="s">
        <v>616</v>
      </c>
      <c r="K5" s="14"/>
      <c r="L5" s="14"/>
      <c r="M5" s="14"/>
      <c r="N5" s="14"/>
      <c r="O5" s="10" t="s">
        <v>616</v>
      </c>
      <c r="P5" s="19" t="s">
        <v>896</v>
      </c>
      <c r="Q5" s="11"/>
      <c r="R5" s="11"/>
    </row>
    <row r="6" spans="1:20" x14ac:dyDescent="0.3">
      <c r="A6" s="11"/>
      <c r="B6" s="22"/>
      <c r="C6" s="22"/>
      <c r="D6" s="16"/>
      <c r="E6" s="11"/>
      <c r="F6" s="20" t="s">
        <v>895</v>
      </c>
      <c r="G6" s="20" t="s">
        <v>895</v>
      </c>
      <c r="H6" s="20" t="s">
        <v>895</v>
      </c>
      <c r="I6" s="20" t="s">
        <v>895</v>
      </c>
      <c r="J6" s="20" t="s">
        <v>895</v>
      </c>
      <c r="K6" s="20" t="s">
        <v>1282</v>
      </c>
      <c r="L6" s="20" t="s">
        <v>1282</v>
      </c>
      <c r="M6" s="20" t="s">
        <v>1282</v>
      </c>
      <c r="N6" s="20" t="s">
        <v>1282</v>
      </c>
      <c r="O6" s="20" t="s">
        <v>1282</v>
      </c>
      <c r="P6" s="28" t="s">
        <v>895</v>
      </c>
      <c r="Q6" s="11"/>
      <c r="R6" s="11"/>
    </row>
    <row r="7" spans="1:20" x14ac:dyDescent="0.3">
      <c r="A7" s="11"/>
      <c r="B7" s="11"/>
      <c r="C7" s="11"/>
      <c r="D7" s="16"/>
      <c r="E7" s="12" t="s">
        <v>614</v>
      </c>
      <c r="F7" s="10" t="s">
        <v>611</v>
      </c>
      <c r="G7" s="10" t="s">
        <v>610</v>
      </c>
      <c r="H7" s="10" t="s">
        <v>594</v>
      </c>
      <c r="I7" s="10" t="s">
        <v>593</v>
      </c>
      <c r="J7" s="10" t="s">
        <v>894</v>
      </c>
      <c r="K7" s="10" t="s">
        <v>611</v>
      </c>
      <c r="L7" s="10" t="s">
        <v>610</v>
      </c>
      <c r="M7" s="10" t="s">
        <v>594</v>
      </c>
      <c r="N7" s="10" t="s">
        <v>593</v>
      </c>
      <c r="O7" s="10" t="s">
        <v>894</v>
      </c>
      <c r="P7" s="19" t="s">
        <v>894</v>
      </c>
      <c r="Q7" s="12" t="s">
        <v>893</v>
      </c>
      <c r="R7" s="11"/>
    </row>
    <row r="8" spans="1:20" x14ac:dyDescent="0.3">
      <c r="A8" s="11" t="s">
        <v>892</v>
      </c>
      <c r="B8" s="11" t="s">
        <v>891</v>
      </c>
      <c r="C8" s="11" t="s">
        <v>605</v>
      </c>
      <c r="D8" s="27" t="s">
        <v>560</v>
      </c>
      <c r="E8" s="12" t="s">
        <v>604</v>
      </c>
      <c r="F8" s="10" t="s">
        <v>890</v>
      </c>
      <c r="G8" s="10" t="s">
        <v>890</v>
      </c>
      <c r="H8" s="10" t="s">
        <v>890</v>
      </c>
      <c r="I8" s="10" t="s">
        <v>890</v>
      </c>
      <c r="J8" s="10" t="s">
        <v>890</v>
      </c>
      <c r="K8" s="10" t="s">
        <v>890</v>
      </c>
      <c r="L8" s="10" t="s">
        <v>890</v>
      </c>
      <c r="M8" s="10" t="s">
        <v>890</v>
      </c>
      <c r="N8" s="10" t="s">
        <v>890</v>
      </c>
      <c r="O8" s="10" t="s">
        <v>890</v>
      </c>
      <c r="P8" s="19" t="s">
        <v>890</v>
      </c>
      <c r="Q8" s="12" t="s">
        <v>597</v>
      </c>
      <c r="R8" s="11"/>
      <c r="T8" s="12" t="s">
        <v>889</v>
      </c>
    </row>
    <row r="9" spans="1:20" x14ac:dyDescent="0.3">
      <c r="A9" s="11"/>
      <c r="B9" s="11"/>
      <c r="C9" s="11"/>
      <c r="D9" s="27"/>
      <c r="E9" s="12"/>
      <c r="F9" s="10"/>
      <c r="G9" s="10"/>
      <c r="H9" s="10"/>
      <c r="I9" s="10"/>
      <c r="J9" s="10"/>
      <c r="K9" s="10"/>
      <c r="L9" s="10"/>
      <c r="M9" s="10"/>
      <c r="N9" s="10"/>
      <c r="O9" s="10"/>
      <c r="P9" s="19"/>
      <c r="Q9" s="12"/>
      <c r="R9" s="11"/>
      <c r="T9" s="12"/>
    </row>
    <row r="10" spans="1:20" x14ac:dyDescent="0.3">
      <c r="A10" s="17">
        <v>1</v>
      </c>
      <c r="B10" s="17">
        <v>4</v>
      </c>
      <c r="C10" s="14" t="s">
        <v>572</v>
      </c>
      <c r="D10" s="16">
        <v>400450</v>
      </c>
      <c r="E10" s="14" t="s">
        <v>15</v>
      </c>
      <c r="F10" s="14">
        <v>550686.2706272857</v>
      </c>
      <c r="G10" s="14">
        <v>130490.22730973946</v>
      </c>
      <c r="H10" s="14">
        <v>182977.7509500141</v>
      </c>
      <c r="I10" s="14">
        <v>128094.86854805792</v>
      </c>
      <c r="J10" s="14">
        <v>992249.11743509723</v>
      </c>
      <c r="K10" s="14">
        <v>542404.88014183159</v>
      </c>
      <c r="L10" s="14">
        <v>110916.69321327854</v>
      </c>
      <c r="M10" s="14">
        <v>196235.05868679486</v>
      </c>
      <c r="N10" s="14">
        <v>152234.83410633265</v>
      </c>
      <c r="O10" s="14">
        <v>1001791.4661482376</v>
      </c>
      <c r="P10" s="15">
        <v>1.0096168880833138</v>
      </c>
      <c r="Q10" s="14">
        <v>129268</v>
      </c>
      <c r="R10" s="11" t="str">
        <f>IF(AND($A10=1,Q10&gt;=20000),"*","  ")</f>
        <v>*</v>
      </c>
      <c r="T10" s="12"/>
    </row>
    <row r="11" spans="1:20" x14ac:dyDescent="0.3">
      <c r="A11" s="17">
        <v>1</v>
      </c>
      <c r="B11" s="17">
        <v>4</v>
      </c>
      <c r="C11" s="14" t="s">
        <v>572</v>
      </c>
      <c r="D11" s="16">
        <v>400480</v>
      </c>
      <c r="E11" s="14" t="s">
        <v>16</v>
      </c>
      <c r="F11" s="14">
        <v>47926.781241770259</v>
      </c>
      <c r="G11" s="14">
        <v>11689.139029641543</v>
      </c>
      <c r="H11" s="14">
        <v>20699.762587218323</v>
      </c>
      <c r="I11" s="14">
        <v>18980.929938969923</v>
      </c>
      <c r="J11" s="14">
        <v>99296.612797600043</v>
      </c>
      <c r="K11" s="14">
        <v>45530.442179681741</v>
      </c>
      <c r="L11" s="14">
        <v>11104.682078159465</v>
      </c>
      <c r="M11" s="14">
        <v>27871.839818820907</v>
      </c>
      <c r="N11" s="14">
        <v>26886.459770502581</v>
      </c>
      <c r="O11" s="14">
        <v>111393.4238471647</v>
      </c>
      <c r="P11" s="15">
        <v>1.1218250120396558</v>
      </c>
      <c r="Q11" s="14">
        <v>1262</v>
      </c>
      <c r="R11" s="11" t="str">
        <f t="shared" ref="R11:R74" si="0">IF(AND($A11=1,Q11&gt;=20000),"*","  ")</f>
        <v xml:space="preserve">  </v>
      </c>
      <c r="T11" s="12"/>
    </row>
    <row r="12" spans="1:20" x14ac:dyDescent="0.3">
      <c r="A12" s="17">
        <v>1</v>
      </c>
      <c r="B12" s="17">
        <v>4</v>
      </c>
      <c r="C12" s="14" t="s">
        <v>572</v>
      </c>
      <c r="D12" s="16">
        <v>400520</v>
      </c>
      <c r="E12" s="14" t="s">
        <v>18</v>
      </c>
      <c r="F12" s="14">
        <v>97506.950546092572</v>
      </c>
      <c r="G12" s="14">
        <v>23781.532407527888</v>
      </c>
      <c r="H12" s="14">
        <v>50330.531317770728</v>
      </c>
      <c r="I12" s="14">
        <v>52020.115215706515</v>
      </c>
      <c r="J12" s="14">
        <v>223639.12948709773</v>
      </c>
      <c r="K12" s="14">
        <v>92631.603018787937</v>
      </c>
      <c r="L12" s="14">
        <v>22592.455787151492</v>
      </c>
      <c r="M12" s="14">
        <v>47814.004751882188</v>
      </c>
      <c r="N12" s="14">
        <v>49419.109454921185</v>
      </c>
      <c r="O12" s="14">
        <v>212457.1730127428</v>
      </c>
      <c r="P12" s="15">
        <v>0.94999999999999984</v>
      </c>
      <c r="Q12" s="14">
        <v>3386</v>
      </c>
      <c r="R12" s="11" t="str">
        <f t="shared" si="0"/>
        <v xml:space="preserve">  </v>
      </c>
      <c r="T12" s="12"/>
    </row>
    <row r="13" spans="1:20" x14ac:dyDescent="0.3">
      <c r="A13" s="17">
        <v>1</v>
      </c>
      <c r="B13" s="17">
        <v>4</v>
      </c>
      <c r="C13" s="14" t="s">
        <v>572</v>
      </c>
      <c r="D13" s="16">
        <v>400600</v>
      </c>
      <c r="E13" s="14" t="s">
        <v>22</v>
      </c>
      <c r="F13" s="14">
        <v>3555016.5611349395</v>
      </c>
      <c r="G13" s="14">
        <v>842394.19774160092</v>
      </c>
      <c r="H13" s="14">
        <v>2370495.50437793</v>
      </c>
      <c r="I13" s="14">
        <v>2142576.5197968059</v>
      </c>
      <c r="J13" s="14">
        <v>8910482.7830512766</v>
      </c>
      <c r="K13" s="14">
        <v>3817641.3229163098</v>
      </c>
      <c r="L13" s="14">
        <v>909397.08021502174</v>
      </c>
      <c r="M13" s="14">
        <v>2864720.5959129366</v>
      </c>
      <c r="N13" s="14">
        <v>2922051.7216539448</v>
      </c>
      <c r="O13" s="14">
        <v>10513810.720698211</v>
      </c>
      <c r="P13" s="15">
        <v>1.1799372690216787</v>
      </c>
      <c r="Q13" s="14">
        <v>90463</v>
      </c>
      <c r="R13" s="11" t="str">
        <f t="shared" si="0"/>
        <v>*</v>
      </c>
      <c r="T13" s="12"/>
    </row>
    <row r="14" spans="1:20" x14ac:dyDescent="0.3">
      <c r="A14" s="17">
        <v>1</v>
      </c>
      <c r="B14" s="17">
        <v>4</v>
      </c>
      <c r="C14" s="14" t="s">
        <v>572</v>
      </c>
      <c r="D14" s="16">
        <v>400630</v>
      </c>
      <c r="E14" s="14" t="s">
        <v>554</v>
      </c>
      <c r="F14" s="14">
        <v>7840.5917928507988</v>
      </c>
      <c r="G14" s="14">
        <v>1857.9010588488861</v>
      </c>
      <c r="H14" s="14">
        <v>3901.8375615933828</v>
      </c>
      <c r="I14" s="14">
        <v>3083.5140605283541</v>
      </c>
      <c r="J14" s="14">
        <v>16683.844473821424</v>
      </c>
      <c r="K14" s="14">
        <v>7056.5326135657187</v>
      </c>
      <c r="L14" s="14">
        <v>1672.1109529639975</v>
      </c>
      <c r="M14" s="14">
        <v>3511.6538054340444</v>
      </c>
      <c r="N14" s="14">
        <v>2775.1626544755186</v>
      </c>
      <c r="O14" s="14">
        <v>15015.460026439277</v>
      </c>
      <c r="P14" s="15">
        <v>0.8999999999999998</v>
      </c>
      <c r="Q14" s="14">
        <v>465</v>
      </c>
      <c r="R14" s="11" t="str">
        <f t="shared" si="0"/>
        <v xml:space="preserve">  </v>
      </c>
      <c r="T14" s="12"/>
    </row>
    <row r="15" spans="1:20" x14ac:dyDescent="0.3">
      <c r="A15" s="17">
        <v>1</v>
      </c>
      <c r="B15" s="17">
        <v>4</v>
      </c>
      <c r="C15" s="14" t="s">
        <v>572</v>
      </c>
      <c r="D15" s="16">
        <v>404770</v>
      </c>
      <c r="E15" s="14" t="s">
        <v>24</v>
      </c>
      <c r="F15" s="14">
        <v>263554.35168525443</v>
      </c>
      <c r="G15" s="14">
        <v>64279.790524112999</v>
      </c>
      <c r="H15" s="14">
        <v>126846.05325490976</v>
      </c>
      <c r="I15" s="14">
        <v>123521.75974480153</v>
      </c>
      <c r="J15" s="14">
        <v>578201.95520907873</v>
      </c>
      <c r="K15" s="14">
        <v>237198.91651672899</v>
      </c>
      <c r="L15" s="14">
        <v>57851.811471701702</v>
      </c>
      <c r="M15" s="14">
        <v>114161.44792941878</v>
      </c>
      <c r="N15" s="14">
        <v>111169.58377032138</v>
      </c>
      <c r="O15" s="14">
        <v>520381.75968817086</v>
      </c>
      <c r="P15" s="15">
        <v>0.9</v>
      </c>
      <c r="Q15" s="14">
        <v>7455</v>
      </c>
      <c r="R15" s="11" t="str">
        <f t="shared" si="0"/>
        <v xml:space="preserve">  </v>
      </c>
      <c r="T15" s="12"/>
    </row>
    <row r="16" spans="1:20" x14ac:dyDescent="0.3">
      <c r="A16" s="17">
        <v>1</v>
      </c>
      <c r="B16" s="17">
        <v>4</v>
      </c>
      <c r="C16" s="14" t="s">
        <v>572</v>
      </c>
      <c r="D16" s="16">
        <v>400680</v>
      </c>
      <c r="E16" s="14" t="s">
        <v>36</v>
      </c>
      <c r="F16" s="14">
        <v>1994698.5172247125</v>
      </c>
      <c r="G16" s="14">
        <v>472320.473761008</v>
      </c>
      <c r="H16" s="14">
        <v>927133.05544670695</v>
      </c>
      <c r="I16" s="14">
        <v>805588.89835116465</v>
      </c>
      <c r="J16" s="14">
        <v>4199740.9447835917</v>
      </c>
      <c r="K16" s="14">
        <v>2028698.2875400677</v>
      </c>
      <c r="L16" s="14">
        <v>483254.48707078432</v>
      </c>
      <c r="M16" s="14">
        <v>1013785.9922775617</v>
      </c>
      <c r="N16" s="14">
        <v>842605.96724817797</v>
      </c>
      <c r="O16" s="14">
        <v>4368344.7341365917</v>
      </c>
      <c r="P16" s="15">
        <v>1.0401462355820825</v>
      </c>
      <c r="Q16" s="14">
        <v>139577</v>
      </c>
      <c r="R16" s="11" t="str">
        <f t="shared" si="0"/>
        <v>*</v>
      </c>
      <c r="T16" s="12"/>
    </row>
    <row r="17" spans="1:20" x14ac:dyDescent="0.3">
      <c r="A17" s="17">
        <v>1</v>
      </c>
      <c r="B17" s="17">
        <v>4</v>
      </c>
      <c r="C17" s="14" t="s">
        <v>572</v>
      </c>
      <c r="D17" s="16">
        <v>400720</v>
      </c>
      <c r="E17" s="14" t="s">
        <v>37</v>
      </c>
      <c r="F17" s="14">
        <v>42466.457685029716</v>
      </c>
      <c r="G17" s="14">
        <v>10740.907460106775</v>
      </c>
      <c r="H17" s="14">
        <v>18832.559967486926</v>
      </c>
      <c r="I17" s="14">
        <v>17096.746078851225</v>
      </c>
      <c r="J17" s="14">
        <v>89136.671191474641</v>
      </c>
      <c r="K17" s="14">
        <v>44924.554152985169</v>
      </c>
      <c r="L17" s="14">
        <v>10701.439690378675</v>
      </c>
      <c r="M17" s="14">
        <v>19613.951005276511</v>
      </c>
      <c r="N17" s="14">
        <v>15502.410841588966</v>
      </c>
      <c r="O17" s="14">
        <v>90742.35569022932</v>
      </c>
      <c r="P17" s="15">
        <v>1.0180137364037918</v>
      </c>
      <c r="Q17" s="14">
        <v>6613</v>
      </c>
      <c r="R17" s="11" t="str">
        <f t="shared" si="0"/>
        <v xml:space="preserve">  </v>
      </c>
      <c r="T17" s="12"/>
    </row>
    <row r="18" spans="1:20" x14ac:dyDescent="0.3">
      <c r="A18" s="17">
        <v>1</v>
      </c>
      <c r="B18" s="17">
        <v>4</v>
      </c>
      <c r="C18" s="14" t="s">
        <v>572</v>
      </c>
      <c r="D18" s="16">
        <v>400750</v>
      </c>
      <c r="E18" s="14" t="s">
        <v>550</v>
      </c>
      <c r="F18" s="14">
        <v>0</v>
      </c>
      <c r="G18" s="14">
        <v>0</v>
      </c>
      <c r="H18" s="14">
        <v>0</v>
      </c>
      <c r="I18" s="14">
        <v>0</v>
      </c>
      <c r="J18" s="14">
        <v>0</v>
      </c>
      <c r="K18" s="14">
        <v>0</v>
      </c>
      <c r="L18" s="14">
        <v>0</v>
      </c>
      <c r="M18" s="14">
        <v>0</v>
      </c>
      <c r="N18" s="14">
        <v>0</v>
      </c>
      <c r="O18" s="14">
        <v>0</v>
      </c>
      <c r="P18" s="15">
        <v>0</v>
      </c>
      <c r="Q18" s="14">
        <v>161</v>
      </c>
      <c r="R18" s="11" t="str">
        <f t="shared" si="0"/>
        <v xml:space="preserve">  </v>
      </c>
      <c r="T18" s="12"/>
    </row>
    <row r="19" spans="1:20" x14ac:dyDescent="0.3">
      <c r="A19" s="17">
        <v>1</v>
      </c>
      <c r="B19" s="17">
        <v>4</v>
      </c>
      <c r="C19" s="14" t="s">
        <v>572</v>
      </c>
      <c r="D19" s="16">
        <v>400790</v>
      </c>
      <c r="E19" s="14" t="s">
        <v>39</v>
      </c>
      <c r="F19" s="14">
        <v>1006363.0171764968</v>
      </c>
      <c r="G19" s="14">
        <v>238467.06531813359</v>
      </c>
      <c r="H19" s="14">
        <v>424942.07934787049</v>
      </c>
      <c r="I19" s="14">
        <v>307796.60632345942</v>
      </c>
      <c r="J19" s="14">
        <v>1977568.7681659604</v>
      </c>
      <c r="K19" s="14">
        <v>1013876.2537263184</v>
      </c>
      <c r="L19" s="14">
        <v>241514.59680180924</v>
      </c>
      <c r="M19" s="14">
        <v>459931.35272434604</v>
      </c>
      <c r="N19" s="14">
        <v>369282.12094928313</v>
      </c>
      <c r="O19" s="14">
        <v>2084604.3242017566</v>
      </c>
      <c r="P19" s="15">
        <v>1.0541248212243275</v>
      </c>
      <c r="Q19" s="14">
        <v>60880</v>
      </c>
      <c r="R19" s="11" t="str">
        <f t="shared" si="0"/>
        <v>*</v>
      </c>
      <c r="T19" s="12"/>
    </row>
    <row r="20" spans="1:20" x14ac:dyDescent="0.3">
      <c r="A20" s="17">
        <v>1</v>
      </c>
      <c r="B20" s="17">
        <v>4</v>
      </c>
      <c r="C20" s="14" t="s">
        <v>572</v>
      </c>
      <c r="D20" s="16">
        <v>400840</v>
      </c>
      <c r="E20" s="14" t="s">
        <v>52</v>
      </c>
      <c r="F20" s="14">
        <v>71667.321627646626</v>
      </c>
      <c r="G20" s="14">
        <v>17451.98625973161</v>
      </c>
      <c r="H20" s="14">
        <v>45839.168386115874</v>
      </c>
      <c r="I20" s="14">
        <v>51063.088068551966</v>
      </c>
      <c r="J20" s="14">
        <v>186021.56434204607</v>
      </c>
      <c r="K20" s="14">
        <v>68083.955546264289</v>
      </c>
      <c r="L20" s="14">
        <v>16579.386946745028</v>
      </c>
      <c r="M20" s="14">
        <v>43547.209966810078</v>
      </c>
      <c r="N20" s="14">
        <v>48509.933665124365</v>
      </c>
      <c r="O20" s="14">
        <v>176720.48612494377</v>
      </c>
      <c r="P20" s="15">
        <v>0.95</v>
      </c>
      <c r="Q20" s="14">
        <v>1593</v>
      </c>
      <c r="R20" s="11" t="str">
        <f t="shared" si="0"/>
        <v xml:space="preserve">  </v>
      </c>
      <c r="T20" s="12"/>
    </row>
    <row r="21" spans="1:20" x14ac:dyDescent="0.3">
      <c r="A21" s="17">
        <v>1</v>
      </c>
      <c r="B21" s="17">
        <v>4</v>
      </c>
      <c r="C21" s="14" t="s">
        <v>572</v>
      </c>
      <c r="D21" s="16">
        <v>400870</v>
      </c>
      <c r="E21" s="14" t="s">
        <v>53</v>
      </c>
      <c r="F21" s="14">
        <v>15563.202453904772</v>
      </c>
      <c r="G21" s="14">
        <v>3764.4861287712929</v>
      </c>
      <c r="H21" s="14">
        <v>10881.600308557639</v>
      </c>
      <c r="I21" s="14">
        <v>11993.465931164113</v>
      </c>
      <c r="J21" s="14">
        <v>42202.754822397823</v>
      </c>
      <c r="K21" s="14">
        <v>14785.042331209534</v>
      </c>
      <c r="L21" s="14">
        <v>3576.2618223327281</v>
      </c>
      <c r="M21" s="14">
        <v>10337.520293129757</v>
      </c>
      <c r="N21" s="14">
        <v>11393.792634605907</v>
      </c>
      <c r="O21" s="14">
        <v>40092.617081277924</v>
      </c>
      <c r="P21" s="15">
        <v>0.94999999999999984</v>
      </c>
      <c r="Q21" s="14">
        <v>683</v>
      </c>
      <c r="R21" s="11" t="str">
        <f t="shared" si="0"/>
        <v xml:space="preserve">  </v>
      </c>
      <c r="T21" s="12"/>
    </row>
    <row r="22" spans="1:20" x14ac:dyDescent="0.3">
      <c r="A22" s="17">
        <v>1</v>
      </c>
      <c r="B22" s="17">
        <v>4</v>
      </c>
      <c r="C22" s="14" t="s">
        <v>572</v>
      </c>
      <c r="D22" s="16">
        <v>400910</v>
      </c>
      <c r="E22" s="14" t="s">
        <v>55</v>
      </c>
      <c r="F22" s="14">
        <v>41377.574154644324</v>
      </c>
      <c r="G22" s="14">
        <v>9797.7089064037173</v>
      </c>
      <c r="H22" s="14">
        <v>20663.446998032763</v>
      </c>
      <c r="I22" s="14">
        <v>19016.55965610885</v>
      </c>
      <c r="J22" s="14">
        <v>90855.289715189661</v>
      </c>
      <c r="K22" s="14">
        <v>39308.695446912105</v>
      </c>
      <c r="L22" s="14">
        <v>9349.6788873834721</v>
      </c>
      <c r="M22" s="14">
        <v>19630.274648131122</v>
      </c>
      <c r="N22" s="14">
        <v>18065.731673303406</v>
      </c>
      <c r="O22" s="14">
        <v>86354.380655730114</v>
      </c>
      <c r="P22" s="15">
        <v>0.95046068232715064</v>
      </c>
      <c r="Q22" s="14">
        <v>1891</v>
      </c>
      <c r="R22" s="11" t="str">
        <f t="shared" si="0"/>
        <v xml:space="preserve">  </v>
      </c>
      <c r="T22" s="12"/>
    </row>
    <row r="23" spans="1:20" x14ac:dyDescent="0.3">
      <c r="A23" s="17">
        <v>1</v>
      </c>
      <c r="B23" s="17">
        <v>4</v>
      </c>
      <c r="C23" s="14" t="s">
        <v>572</v>
      </c>
      <c r="D23" s="16">
        <v>400960</v>
      </c>
      <c r="E23" s="14" t="s">
        <v>58</v>
      </c>
      <c r="F23" s="14">
        <v>917810.45104547625</v>
      </c>
      <c r="G23" s="14">
        <v>217483.71218289912</v>
      </c>
      <c r="H23" s="14">
        <v>361855.72114673333</v>
      </c>
      <c r="I23" s="14">
        <v>254896.52103743135</v>
      </c>
      <c r="J23" s="14">
        <v>1752046.4054125401</v>
      </c>
      <c r="K23" s="14">
        <v>941996.96708154178</v>
      </c>
      <c r="L23" s="14">
        <v>224392.29329720343</v>
      </c>
      <c r="M23" s="14">
        <v>405860.4877642552</v>
      </c>
      <c r="N23" s="14">
        <v>318976.88949673437</v>
      </c>
      <c r="O23" s="14">
        <v>1891226.6376397347</v>
      </c>
      <c r="P23" s="15">
        <v>1.0794386677186345</v>
      </c>
      <c r="Q23" s="14">
        <v>47816</v>
      </c>
      <c r="R23" s="11" t="str">
        <f t="shared" si="0"/>
        <v>*</v>
      </c>
      <c r="T23" s="12"/>
    </row>
    <row r="24" spans="1:20" x14ac:dyDescent="0.3">
      <c r="A24" s="17">
        <v>1</v>
      </c>
      <c r="B24" s="17">
        <v>4</v>
      </c>
      <c r="C24" s="14" t="s">
        <v>572</v>
      </c>
      <c r="D24" s="16">
        <v>401000</v>
      </c>
      <c r="E24" s="14" t="s">
        <v>592</v>
      </c>
      <c r="F24" s="14">
        <v>25364.470793269542</v>
      </c>
      <c r="G24" s="14">
        <v>5857.8385999941693</v>
      </c>
      <c r="H24" s="14">
        <v>7443.0281157514828</v>
      </c>
      <c r="I24" s="14">
        <v>5526.0728408528148</v>
      </c>
      <c r="J24" s="14">
        <v>44191.410349868012</v>
      </c>
      <c r="K24" s="14">
        <v>23644.502185781672</v>
      </c>
      <c r="L24" s="14">
        <v>4979.162809995044</v>
      </c>
      <c r="M24" s="14">
        <v>7135.8203158834494</v>
      </c>
      <c r="N24" s="14">
        <v>5535.8121493211875</v>
      </c>
      <c r="O24" s="14">
        <v>41295.297460981354</v>
      </c>
      <c r="P24" s="15">
        <v>0.93446434802696199</v>
      </c>
      <c r="Q24" s="14">
        <v>2223</v>
      </c>
      <c r="R24" s="11" t="str">
        <f t="shared" si="0"/>
        <v xml:space="preserve">  </v>
      </c>
      <c r="T24" s="12"/>
    </row>
    <row r="25" spans="1:20" x14ac:dyDescent="0.3">
      <c r="A25" s="17">
        <v>1</v>
      </c>
      <c r="B25" s="17">
        <v>4</v>
      </c>
      <c r="C25" s="14" t="s">
        <v>572</v>
      </c>
      <c r="D25" s="16">
        <v>401050</v>
      </c>
      <c r="E25" s="14" t="s">
        <v>65</v>
      </c>
      <c r="F25" s="14">
        <v>1051561.7228058721</v>
      </c>
      <c r="G25" s="14">
        <v>249177.31848090951</v>
      </c>
      <c r="H25" s="14">
        <v>783094.93462296599</v>
      </c>
      <c r="I25" s="14">
        <v>736250.35570010275</v>
      </c>
      <c r="J25" s="14">
        <v>2820084.3316098503</v>
      </c>
      <c r="K25" s="14">
        <v>998983.63666557847</v>
      </c>
      <c r="L25" s="14">
        <v>236718.45255686404</v>
      </c>
      <c r="M25" s="14">
        <v>743940.18789181765</v>
      </c>
      <c r="N25" s="14">
        <v>725732.0079039539</v>
      </c>
      <c r="O25" s="14">
        <v>2705374.285018214</v>
      </c>
      <c r="P25" s="15">
        <v>0.95932389492545644</v>
      </c>
      <c r="Q25" s="14">
        <v>31088</v>
      </c>
      <c r="R25" s="11" t="str">
        <f t="shared" si="0"/>
        <v>*</v>
      </c>
      <c r="T25" s="12"/>
    </row>
    <row r="26" spans="1:20" x14ac:dyDescent="0.3">
      <c r="A26" s="17">
        <v>1</v>
      </c>
      <c r="B26" s="17">
        <v>4</v>
      </c>
      <c r="C26" s="14" t="s">
        <v>572</v>
      </c>
      <c r="D26" s="16">
        <v>401080</v>
      </c>
      <c r="E26" s="14" t="s">
        <v>66</v>
      </c>
      <c r="F26" s="14">
        <v>73793.805109184003</v>
      </c>
      <c r="G26" s="14">
        <v>17486.127612695404</v>
      </c>
      <c r="H26" s="14">
        <v>25918.008198198233</v>
      </c>
      <c r="I26" s="14">
        <v>20605.490883825743</v>
      </c>
      <c r="J26" s="14">
        <v>137803.4318039034</v>
      </c>
      <c r="K26" s="14">
        <v>74716.626907070124</v>
      </c>
      <c r="L26" s="14">
        <v>17798.183906103481</v>
      </c>
      <c r="M26" s="14">
        <v>27454.06965051734</v>
      </c>
      <c r="N26" s="14">
        <v>20029.896951159892</v>
      </c>
      <c r="O26" s="14">
        <v>139998.77741485083</v>
      </c>
      <c r="P26" s="15">
        <v>1.015930993751095</v>
      </c>
      <c r="Q26" s="14">
        <v>4986</v>
      </c>
      <c r="R26" s="11" t="str">
        <f t="shared" si="0"/>
        <v xml:space="preserve">  </v>
      </c>
      <c r="T26" s="12"/>
    </row>
    <row r="27" spans="1:20" x14ac:dyDescent="0.3">
      <c r="A27" s="17">
        <v>1</v>
      </c>
      <c r="B27" s="17">
        <v>4</v>
      </c>
      <c r="C27" s="14" t="s">
        <v>572</v>
      </c>
      <c r="D27" s="16">
        <v>400212</v>
      </c>
      <c r="E27" s="14" t="s">
        <v>68</v>
      </c>
      <c r="F27" s="14">
        <v>128216.73637720721</v>
      </c>
      <c r="G27" s="14">
        <v>30382.146727058258</v>
      </c>
      <c r="H27" s="14">
        <v>45896.237750605731</v>
      </c>
      <c r="I27" s="14">
        <v>39652.016813962502</v>
      </c>
      <c r="J27" s="14">
        <v>244147.13766883372</v>
      </c>
      <c r="K27" s="14">
        <v>147068.803595562</v>
      </c>
      <c r="L27" s="14">
        <v>35033.134144292308</v>
      </c>
      <c r="M27" s="14">
        <v>64770.003533542716</v>
      </c>
      <c r="N27" s="14">
        <v>51379.560980555478</v>
      </c>
      <c r="O27" s="14">
        <v>298251.50225395249</v>
      </c>
      <c r="P27" s="15">
        <v>1.2216055658146074</v>
      </c>
      <c r="Q27" s="14">
        <v>7968</v>
      </c>
      <c r="R27" s="11" t="str">
        <f t="shared" si="0"/>
        <v xml:space="preserve">  </v>
      </c>
      <c r="T27" s="12"/>
    </row>
    <row r="28" spans="1:20" x14ac:dyDescent="0.3">
      <c r="A28" s="17">
        <v>1</v>
      </c>
      <c r="B28" s="17">
        <v>4</v>
      </c>
      <c r="C28" s="14" t="s">
        <v>572</v>
      </c>
      <c r="D28" s="16">
        <v>401160</v>
      </c>
      <c r="E28" s="14" t="s">
        <v>69</v>
      </c>
      <c r="F28" s="14">
        <v>60342.295642189652</v>
      </c>
      <c r="G28" s="14">
        <v>14288.325488505419</v>
      </c>
      <c r="H28" s="14">
        <v>36189.802998248932</v>
      </c>
      <c r="I28" s="14">
        <v>38036.26974761844</v>
      </c>
      <c r="J28" s="14">
        <v>148856.69387656244</v>
      </c>
      <c r="K28" s="14">
        <v>57325.180860080167</v>
      </c>
      <c r="L28" s="14">
        <v>13573.909214080148</v>
      </c>
      <c r="M28" s="14">
        <v>34380.312848336485</v>
      </c>
      <c r="N28" s="14">
        <v>36134.456260237515</v>
      </c>
      <c r="O28" s="14">
        <v>141413.8591827343</v>
      </c>
      <c r="P28" s="15">
        <v>0.95</v>
      </c>
      <c r="Q28" s="14">
        <v>10783</v>
      </c>
      <c r="R28" s="11" t="str">
        <f t="shared" si="0"/>
        <v xml:space="preserve">  </v>
      </c>
      <c r="T28" s="12"/>
    </row>
    <row r="29" spans="1:20" x14ac:dyDescent="0.3">
      <c r="A29" s="17">
        <v>1</v>
      </c>
      <c r="B29" s="17">
        <v>4</v>
      </c>
      <c r="C29" s="14" t="s">
        <v>572</v>
      </c>
      <c r="D29" s="16">
        <v>401180</v>
      </c>
      <c r="E29" s="14" t="s">
        <v>71</v>
      </c>
      <c r="F29" s="14">
        <v>161200.13264413521</v>
      </c>
      <c r="G29" s="14">
        <v>38170.240947864462</v>
      </c>
      <c r="H29" s="14">
        <v>100008.69631231242</v>
      </c>
      <c r="I29" s="14">
        <v>102052.35386150576</v>
      </c>
      <c r="J29" s="14">
        <v>401431.42376581783</v>
      </c>
      <c r="K29" s="14">
        <v>153140.12601192846</v>
      </c>
      <c r="L29" s="14">
        <v>36261.728900471237</v>
      </c>
      <c r="M29" s="14">
        <v>95008.261496696796</v>
      </c>
      <c r="N29" s="14">
        <v>96949.736168430463</v>
      </c>
      <c r="O29" s="14">
        <v>381359.852577527</v>
      </c>
      <c r="P29" s="15">
        <v>0.95000000000000018</v>
      </c>
      <c r="Q29" s="14">
        <v>6862</v>
      </c>
      <c r="R29" s="11" t="str">
        <f t="shared" si="0"/>
        <v xml:space="preserve">  </v>
      </c>
      <c r="T29" s="12"/>
    </row>
    <row r="30" spans="1:20" x14ac:dyDescent="0.3">
      <c r="A30" s="17">
        <v>1</v>
      </c>
      <c r="B30" s="17">
        <v>4</v>
      </c>
      <c r="C30" s="14" t="s">
        <v>572</v>
      </c>
      <c r="D30" s="16">
        <v>401230</v>
      </c>
      <c r="E30" s="14" t="s">
        <v>538</v>
      </c>
      <c r="F30" s="14">
        <v>0</v>
      </c>
      <c r="G30" s="14">
        <v>0</v>
      </c>
      <c r="H30" s="14">
        <v>0</v>
      </c>
      <c r="I30" s="14">
        <v>0</v>
      </c>
      <c r="J30" s="14">
        <v>0</v>
      </c>
      <c r="K30" s="14">
        <v>0</v>
      </c>
      <c r="L30" s="14">
        <v>0</v>
      </c>
      <c r="M30" s="14">
        <v>0</v>
      </c>
      <c r="N30" s="14">
        <v>0</v>
      </c>
      <c r="O30" s="14">
        <v>0</v>
      </c>
      <c r="P30" s="15">
        <v>0</v>
      </c>
      <c r="Q30" s="14">
        <v>42</v>
      </c>
      <c r="R30" s="11" t="str">
        <f t="shared" si="0"/>
        <v xml:space="preserve">  </v>
      </c>
      <c r="T30" s="12"/>
    </row>
    <row r="31" spans="1:20" x14ac:dyDescent="0.3">
      <c r="A31" s="17">
        <v>1</v>
      </c>
      <c r="B31" s="17">
        <v>4</v>
      </c>
      <c r="C31" s="14" t="s">
        <v>572</v>
      </c>
      <c r="D31" s="16">
        <v>406580</v>
      </c>
      <c r="E31" s="14" t="s">
        <v>72</v>
      </c>
      <c r="F31" s="14">
        <v>429848.91476099688</v>
      </c>
      <c r="G31" s="14">
        <v>101856.69334395073</v>
      </c>
      <c r="H31" s="14">
        <v>220066.09421123686</v>
      </c>
      <c r="I31" s="14">
        <v>176277.3455484726</v>
      </c>
      <c r="J31" s="14">
        <v>928049.04786465713</v>
      </c>
      <c r="K31" s="14">
        <v>386864.02328489721</v>
      </c>
      <c r="L31" s="14">
        <v>91671.024009555651</v>
      </c>
      <c r="M31" s="14">
        <v>198059.48479011317</v>
      </c>
      <c r="N31" s="14">
        <v>158649.61099362533</v>
      </c>
      <c r="O31" s="14">
        <v>835244.14307819144</v>
      </c>
      <c r="P31" s="15">
        <v>0.9</v>
      </c>
      <c r="Q31" s="14">
        <v>14312</v>
      </c>
      <c r="R31" s="11" t="str">
        <f t="shared" si="0"/>
        <v xml:space="preserve">  </v>
      </c>
      <c r="T31" s="12"/>
    </row>
    <row r="32" spans="1:20" x14ac:dyDescent="0.3">
      <c r="A32" s="17">
        <v>1</v>
      </c>
      <c r="B32" s="17">
        <v>4</v>
      </c>
      <c r="C32" s="14" t="s">
        <v>572</v>
      </c>
      <c r="D32" s="16">
        <v>401260</v>
      </c>
      <c r="E32" s="14" t="s">
        <v>537</v>
      </c>
      <c r="F32" s="14">
        <v>7379.3805109184013</v>
      </c>
      <c r="G32" s="14">
        <v>1748.61276126954</v>
      </c>
      <c r="H32" s="14">
        <v>3131.1347682543196</v>
      </c>
      <c r="I32" s="14">
        <v>2272.211299675856</v>
      </c>
      <c r="J32" s="14">
        <v>14531.339340118117</v>
      </c>
      <c r="K32" s="14">
        <v>0</v>
      </c>
      <c r="L32" s="14">
        <v>1486.3208470791089</v>
      </c>
      <c r="M32" s="14">
        <v>0</v>
      </c>
      <c r="N32" s="14">
        <v>0</v>
      </c>
      <c r="O32" s="14">
        <v>1486.3208470791089</v>
      </c>
      <c r="P32" s="15">
        <v>0.10228381653545691</v>
      </c>
      <c r="Q32" s="14">
        <v>1221</v>
      </c>
      <c r="R32" s="11" t="str">
        <f t="shared" si="0"/>
        <v xml:space="preserve">  </v>
      </c>
      <c r="T32" s="12"/>
    </row>
    <row r="33" spans="1:20" x14ac:dyDescent="0.3">
      <c r="A33" s="17">
        <v>1</v>
      </c>
      <c r="B33" s="17">
        <v>4</v>
      </c>
      <c r="C33" s="14" t="s">
        <v>572</v>
      </c>
      <c r="D33" s="16">
        <v>401290</v>
      </c>
      <c r="E33" s="14" t="s">
        <v>75</v>
      </c>
      <c r="F33" s="14">
        <v>6590.9495425864034</v>
      </c>
      <c r="G33" s="14">
        <v>1607.5046882868676</v>
      </c>
      <c r="H33" s="14">
        <v>4511.3609828576</v>
      </c>
      <c r="I33" s="14">
        <v>5158.7404488266529</v>
      </c>
      <c r="J33" s="14">
        <v>17868.555662557526</v>
      </c>
      <c r="K33" s="14">
        <v>0</v>
      </c>
      <c r="L33" s="14">
        <v>1446.7542194581808</v>
      </c>
      <c r="M33" s="14">
        <v>0</v>
      </c>
      <c r="N33" s="14">
        <v>0</v>
      </c>
      <c r="O33" s="14">
        <v>1446.7542194581808</v>
      </c>
      <c r="P33" s="15">
        <v>8.0966489221608803E-2</v>
      </c>
      <c r="Q33" s="14">
        <v>1166</v>
      </c>
      <c r="R33" s="11" t="str">
        <f t="shared" si="0"/>
        <v xml:space="preserve">  </v>
      </c>
      <c r="T33" s="12"/>
    </row>
    <row r="34" spans="1:20" x14ac:dyDescent="0.3">
      <c r="A34" s="17">
        <v>1</v>
      </c>
      <c r="B34" s="17">
        <v>4</v>
      </c>
      <c r="C34" s="14" t="s">
        <v>572</v>
      </c>
      <c r="D34" s="16">
        <v>401330</v>
      </c>
      <c r="E34" s="14" t="s">
        <v>76</v>
      </c>
      <c r="F34" s="14">
        <v>14300.7331124637</v>
      </c>
      <c r="G34" s="14">
        <v>3638.8366803866948</v>
      </c>
      <c r="H34" s="14">
        <v>6826.189516350647</v>
      </c>
      <c r="I34" s="14">
        <v>6555.1799768853607</v>
      </c>
      <c r="J34" s="14">
        <v>31320.939286086403</v>
      </c>
      <c r="K34" s="14">
        <v>12870.659801217331</v>
      </c>
      <c r="L34" s="14">
        <v>3274.9530123480254</v>
      </c>
      <c r="M34" s="14">
        <v>6143.5705647155828</v>
      </c>
      <c r="N34" s="14">
        <v>5899.6619791968251</v>
      </c>
      <c r="O34" s="14">
        <v>28188.845357477767</v>
      </c>
      <c r="P34" s="15">
        <v>0.90000000000000013</v>
      </c>
      <c r="Q34" s="14">
        <v>590</v>
      </c>
      <c r="R34" s="11" t="str">
        <f t="shared" si="0"/>
        <v xml:space="preserve">  </v>
      </c>
      <c r="T34" s="12"/>
    </row>
    <row r="35" spans="1:20" x14ac:dyDescent="0.3">
      <c r="A35" s="17">
        <v>1</v>
      </c>
      <c r="B35" s="17">
        <v>4</v>
      </c>
      <c r="C35" s="14" t="s">
        <v>572</v>
      </c>
      <c r="D35" s="16">
        <v>401380</v>
      </c>
      <c r="E35" s="14" t="s">
        <v>79</v>
      </c>
      <c r="F35" s="14">
        <v>686743.59879734355</v>
      </c>
      <c r="G35" s="14">
        <v>162730.27509564662</v>
      </c>
      <c r="H35" s="14">
        <v>260238.31195478013</v>
      </c>
      <c r="I35" s="14">
        <v>183529.29117786733</v>
      </c>
      <c r="J35" s="14">
        <v>1293241.4770256379</v>
      </c>
      <c r="K35" s="14">
        <v>706970.61535487208</v>
      </c>
      <c r="L35" s="14">
        <v>168406.86670648554</v>
      </c>
      <c r="M35" s="14">
        <v>293325.18332484178</v>
      </c>
      <c r="N35" s="14">
        <v>226721.17393201092</v>
      </c>
      <c r="O35" s="14">
        <v>1395423.8393182105</v>
      </c>
      <c r="P35" s="15">
        <v>1.07901259285898</v>
      </c>
      <c r="Q35" s="14">
        <v>40324</v>
      </c>
      <c r="R35" s="11" t="str">
        <f t="shared" si="0"/>
        <v>*</v>
      </c>
      <c r="T35" s="12"/>
    </row>
    <row r="36" spans="1:20" x14ac:dyDescent="0.3">
      <c r="A36" s="17">
        <v>1</v>
      </c>
      <c r="B36" s="17">
        <v>4</v>
      </c>
      <c r="C36" s="14" t="s">
        <v>572</v>
      </c>
      <c r="D36" s="16">
        <v>401410</v>
      </c>
      <c r="E36" s="14" t="s">
        <v>80</v>
      </c>
      <c r="F36" s="14">
        <v>359744.79990727204</v>
      </c>
      <c r="G36" s="14">
        <v>85244.872111890116</v>
      </c>
      <c r="H36" s="14">
        <v>108755.79151672302</v>
      </c>
      <c r="I36" s="14">
        <v>75919.560148035205</v>
      </c>
      <c r="J36" s="14">
        <v>629665.02368392039</v>
      </c>
      <c r="K36" s="14">
        <v>375947.58475392859</v>
      </c>
      <c r="L36" s="14">
        <v>89554.15319843209</v>
      </c>
      <c r="M36" s="14">
        <v>125694.95591971546</v>
      </c>
      <c r="N36" s="14">
        <v>94347.388970471642</v>
      </c>
      <c r="O36" s="14">
        <v>685544.0828425478</v>
      </c>
      <c r="P36" s="15">
        <v>1.0887441052890332</v>
      </c>
      <c r="Q36" s="14">
        <v>70486</v>
      </c>
      <c r="R36" s="11" t="str">
        <f t="shared" si="0"/>
        <v>*</v>
      </c>
      <c r="T36" s="12"/>
    </row>
    <row r="37" spans="1:20" x14ac:dyDescent="0.3">
      <c r="A37" s="17">
        <v>1</v>
      </c>
      <c r="B37" s="17">
        <v>4</v>
      </c>
      <c r="C37" s="14" t="s">
        <v>572</v>
      </c>
      <c r="D37" s="16">
        <v>401500</v>
      </c>
      <c r="E37" s="14" t="s">
        <v>81</v>
      </c>
      <c r="F37" s="14">
        <v>797176.00490152091</v>
      </c>
      <c r="G37" s="14">
        <v>187483.24230274613</v>
      </c>
      <c r="H37" s="14">
        <v>532769.88134451059</v>
      </c>
      <c r="I37" s="14">
        <v>578939.38886507566</v>
      </c>
      <c r="J37" s="14">
        <v>2096368.5174138532</v>
      </c>
      <c r="K37" s="14">
        <v>757317.20465644484</v>
      </c>
      <c r="L37" s="14">
        <v>178109.08018760881</v>
      </c>
      <c r="M37" s="14">
        <v>506131.38727728504</v>
      </c>
      <c r="N37" s="14">
        <v>549992.41942182183</v>
      </c>
      <c r="O37" s="14">
        <v>1991550.0915431606</v>
      </c>
      <c r="P37" s="15">
        <v>0.95000000000000007</v>
      </c>
      <c r="Q37" s="14">
        <v>40781</v>
      </c>
      <c r="R37" s="11" t="str">
        <f t="shared" si="0"/>
        <v>*</v>
      </c>
      <c r="T37" s="12"/>
    </row>
    <row r="38" spans="1:20" x14ac:dyDescent="0.3">
      <c r="A38" s="17">
        <v>1</v>
      </c>
      <c r="B38" s="17">
        <v>4</v>
      </c>
      <c r="C38" s="14" t="s">
        <v>572</v>
      </c>
      <c r="D38" s="16">
        <v>401600</v>
      </c>
      <c r="E38" s="14" t="s">
        <v>86</v>
      </c>
      <c r="F38" s="14">
        <v>362484.7902505821</v>
      </c>
      <c r="G38" s="14">
        <v>85832.01239880755</v>
      </c>
      <c r="H38" s="14">
        <v>224853.98268011483</v>
      </c>
      <c r="I38" s="14">
        <v>229435.04364600944</v>
      </c>
      <c r="J38" s="14">
        <v>902605.82897551393</v>
      </c>
      <c r="K38" s="14">
        <v>326236.31122552388</v>
      </c>
      <c r="L38" s="14">
        <v>77248.811158926794</v>
      </c>
      <c r="M38" s="14">
        <v>202368.58441210334</v>
      </c>
      <c r="N38" s="14">
        <v>206491.53928140851</v>
      </c>
      <c r="O38" s="14">
        <v>812345.24607796257</v>
      </c>
      <c r="P38" s="15">
        <v>0.9</v>
      </c>
      <c r="Q38" s="14">
        <v>11877</v>
      </c>
      <c r="R38" s="11" t="str">
        <f t="shared" si="0"/>
        <v xml:space="preserve">  </v>
      </c>
      <c r="T38" s="12"/>
    </row>
    <row r="39" spans="1:20" x14ac:dyDescent="0.3">
      <c r="A39" s="17">
        <v>1</v>
      </c>
      <c r="B39" s="17">
        <v>4</v>
      </c>
      <c r="C39" s="14" t="s">
        <v>572</v>
      </c>
      <c r="D39" s="16">
        <v>401650</v>
      </c>
      <c r="E39" s="14" t="s">
        <v>87</v>
      </c>
      <c r="F39" s="14">
        <v>70238.446157174127</v>
      </c>
      <c r="G39" s="14">
        <v>16221.331186309782</v>
      </c>
      <c r="H39" s="14">
        <v>47478.977918249257</v>
      </c>
      <c r="I39" s="14">
        <v>39787.002112411901</v>
      </c>
      <c r="J39" s="14">
        <v>173725.75737414506</v>
      </c>
      <c r="K39" s="14">
        <v>63214.601541456715</v>
      </c>
      <c r="L39" s="14">
        <v>14599.198067678804</v>
      </c>
      <c r="M39" s="14">
        <v>42731.080126424335</v>
      </c>
      <c r="N39" s="14">
        <v>35808.301901170715</v>
      </c>
      <c r="O39" s="14">
        <v>156353.18163673056</v>
      </c>
      <c r="P39" s="15">
        <v>0.9</v>
      </c>
      <c r="Q39" s="14">
        <v>3026</v>
      </c>
      <c r="R39" s="11" t="str">
        <f t="shared" si="0"/>
        <v xml:space="preserve">  </v>
      </c>
      <c r="T39" s="12"/>
    </row>
    <row r="40" spans="1:20" x14ac:dyDescent="0.3">
      <c r="A40" s="17">
        <v>1</v>
      </c>
      <c r="B40" s="17">
        <v>4</v>
      </c>
      <c r="C40" s="14" t="s">
        <v>572</v>
      </c>
      <c r="D40" s="16">
        <v>401680</v>
      </c>
      <c r="E40" s="14" t="s">
        <v>91</v>
      </c>
      <c r="F40" s="14">
        <v>4643475.1864954038</v>
      </c>
      <c r="G40" s="14">
        <v>1100314.5800288585</v>
      </c>
      <c r="H40" s="14">
        <v>2945822.5414607166</v>
      </c>
      <c r="I40" s="14">
        <v>2610329.9352015932</v>
      </c>
      <c r="J40" s="14">
        <v>11299942.243186573</v>
      </c>
      <c r="K40" s="14">
        <v>4759638.2899978515</v>
      </c>
      <c r="L40" s="14">
        <v>1133789.3735122252</v>
      </c>
      <c r="M40" s="14">
        <v>3297384.2630455056</v>
      </c>
      <c r="N40" s="14">
        <v>3259276.5467784079</v>
      </c>
      <c r="O40" s="14">
        <v>12450088.473333988</v>
      </c>
      <c r="P40" s="15">
        <v>1.1017833724628912</v>
      </c>
      <c r="Q40" s="14">
        <v>119967</v>
      </c>
      <c r="R40" s="11" t="str">
        <f t="shared" si="0"/>
        <v>*</v>
      </c>
      <c r="T40" s="12"/>
    </row>
    <row r="41" spans="1:20" x14ac:dyDescent="0.3">
      <c r="A41" s="17">
        <v>1</v>
      </c>
      <c r="B41" s="17">
        <v>4</v>
      </c>
      <c r="C41" s="14" t="s">
        <v>572</v>
      </c>
      <c r="D41" s="16">
        <v>401710</v>
      </c>
      <c r="E41" s="14" t="s">
        <v>93</v>
      </c>
      <c r="F41" s="14">
        <v>1105523.4427919628</v>
      </c>
      <c r="G41" s="14">
        <v>261964.04929769304</v>
      </c>
      <c r="H41" s="14">
        <v>434012.0541800877</v>
      </c>
      <c r="I41" s="14">
        <v>332456.23359894444</v>
      </c>
      <c r="J41" s="14">
        <v>2133955.779868688</v>
      </c>
      <c r="K41" s="14">
        <v>1224312.3231797756</v>
      </c>
      <c r="L41" s="14">
        <v>291642.39324621466</v>
      </c>
      <c r="M41" s="14">
        <v>550968.53205108515</v>
      </c>
      <c r="N41" s="14">
        <v>440956.00248412316</v>
      </c>
      <c r="O41" s="14">
        <v>2507879.2509611985</v>
      </c>
      <c r="P41" s="15">
        <v>1.1752255012123634</v>
      </c>
      <c r="Q41" s="14">
        <v>64997</v>
      </c>
      <c r="R41" s="11" t="str">
        <f t="shared" si="0"/>
        <v>*</v>
      </c>
      <c r="T41" s="12"/>
    </row>
    <row r="42" spans="1:20" x14ac:dyDescent="0.3">
      <c r="A42" s="17">
        <v>1</v>
      </c>
      <c r="B42" s="17">
        <v>4</v>
      </c>
      <c r="C42" s="14" t="s">
        <v>572</v>
      </c>
      <c r="D42" s="16">
        <v>401740</v>
      </c>
      <c r="E42" s="14" t="s">
        <v>94</v>
      </c>
      <c r="F42" s="14">
        <v>612949.79368815967</v>
      </c>
      <c r="G42" s="14">
        <v>145244.1474829512</v>
      </c>
      <c r="H42" s="14">
        <v>246315.23468099179</v>
      </c>
      <c r="I42" s="14">
        <v>211894.51155063065</v>
      </c>
      <c r="J42" s="14">
        <v>1216403.6874027334</v>
      </c>
      <c r="K42" s="14">
        <v>599151.68538770778</v>
      </c>
      <c r="L42" s="14">
        <v>142723.41144957664</v>
      </c>
      <c r="M42" s="14">
        <v>232107.66944153831</v>
      </c>
      <c r="N42" s="14">
        <v>190705.06039556759</v>
      </c>
      <c r="O42" s="14">
        <v>1164687.8266743904</v>
      </c>
      <c r="P42" s="15">
        <v>0.9574846235144463</v>
      </c>
      <c r="Q42" s="14">
        <v>92775</v>
      </c>
      <c r="R42" s="11" t="str">
        <f t="shared" si="0"/>
        <v>*</v>
      </c>
      <c r="T42" s="12"/>
    </row>
    <row r="43" spans="1:20" x14ac:dyDescent="0.3">
      <c r="A43" s="17">
        <v>1</v>
      </c>
      <c r="B43" s="17">
        <v>4</v>
      </c>
      <c r="C43" s="14" t="s">
        <v>572</v>
      </c>
      <c r="D43" s="16">
        <v>401760</v>
      </c>
      <c r="E43" s="14" t="s">
        <v>95</v>
      </c>
      <c r="F43" s="14">
        <v>195553.58353933756</v>
      </c>
      <c r="G43" s="14">
        <v>0</v>
      </c>
      <c r="H43" s="14">
        <v>53671.785819997218</v>
      </c>
      <c r="I43" s="14">
        <v>39192.608917433048</v>
      </c>
      <c r="J43" s="14">
        <v>288417.97827676783</v>
      </c>
      <c r="K43" s="14">
        <v>185845.78718024396</v>
      </c>
      <c r="L43" s="14">
        <v>0</v>
      </c>
      <c r="M43" s="14">
        <v>56087.547682843913</v>
      </c>
      <c r="N43" s="14">
        <v>43511.483493664542</v>
      </c>
      <c r="O43" s="14">
        <v>285444.8183567524</v>
      </c>
      <c r="P43" s="15">
        <v>0.98969148893637149</v>
      </c>
      <c r="Q43" s="14">
        <v>31960</v>
      </c>
      <c r="R43" s="11" t="str">
        <f t="shared" si="0"/>
        <v>*</v>
      </c>
      <c r="T43" s="12"/>
    </row>
    <row r="44" spans="1:20" x14ac:dyDescent="0.3">
      <c r="A44" s="17">
        <v>1</v>
      </c>
      <c r="B44" s="17">
        <v>4</v>
      </c>
      <c r="C44" s="14" t="s">
        <v>572</v>
      </c>
      <c r="D44" s="16">
        <v>400001</v>
      </c>
      <c r="E44" s="14" t="s">
        <v>96</v>
      </c>
      <c r="F44" s="14">
        <v>307166.71376697847</v>
      </c>
      <c r="G44" s="14">
        <v>0</v>
      </c>
      <c r="H44" s="14">
        <v>84305.210745561635</v>
      </c>
      <c r="I44" s="14">
        <v>58463.729966973071</v>
      </c>
      <c r="J44" s="14">
        <v>449935.65447951318</v>
      </c>
      <c r="K44" s="14">
        <v>286571.36649167386</v>
      </c>
      <c r="L44" s="14">
        <v>0</v>
      </c>
      <c r="M44" s="14">
        <v>86486.142228507408</v>
      </c>
      <c r="N44" s="14">
        <v>67094.043249772774</v>
      </c>
      <c r="O44" s="14">
        <v>440151.55196995405</v>
      </c>
      <c r="P44" s="15">
        <v>0.97825444058022604</v>
      </c>
      <c r="Q44" s="14">
        <v>60211</v>
      </c>
      <c r="R44" s="11" t="str">
        <f t="shared" si="0"/>
        <v>*</v>
      </c>
      <c r="T44" s="12"/>
    </row>
    <row r="45" spans="1:20" x14ac:dyDescent="0.3">
      <c r="A45" s="17">
        <v>1</v>
      </c>
      <c r="B45" s="17">
        <v>4</v>
      </c>
      <c r="C45" s="14" t="s">
        <v>572</v>
      </c>
      <c r="D45" s="16">
        <v>401810</v>
      </c>
      <c r="E45" s="14" t="s">
        <v>97</v>
      </c>
      <c r="F45" s="14">
        <v>360526.4407747566</v>
      </c>
      <c r="G45" s="14">
        <v>92059.555586732036</v>
      </c>
      <c r="H45" s="14">
        <v>223885.12126371881</v>
      </c>
      <c r="I45" s="14">
        <v>249897.66586799835</v>
      </c>
      <c r="J45" s="14">
        <v>926368.78349320579</v>
      </c>
      <c r="K45" s="14">
        <v>342500.11873601878</v>
      </c>
      <c r="L45" s="14">
        <v>87456.577807395428</v>
      </c>
      <c r="M45" s="14">
        <v>212690.86520053286</v>
      </c>
      <c r="N45" s="14">
        <v>237402.78257459842</v>
      </c>
      <c r="O45" s="14">
        <v>880050.34431854554</v>
      </c>
      <c r="P45" s="15">
        <v>0.95000000000000007</v>
      </c>
      <c r="Q45" s="14">
        <v>7350</v>
      </c>
      <c r="R45" s="11" t="str">
        <f t="shared" si="0"/>
        <v xml:space="preserve">  </v>
      </c>
      <c r="T45" s="12"/>
    </row>
    <row r="46" spans="1:20" x14ac:dyDescent="0.3">
      <c r="A46" s="17">
        <v>1</v>
      </c>
      <c r="B46" s="17">
        <v>4</v>
      </c>
      <c r="C46" s="14" t="s">
        <v>572</v>
      </c>
      <c r="D46" s="16">
        <v>401870</v>
      </c>
      <c r="E46" s="14" t="s">
        <v>591</v>
      </c>
      <c r="F46" s="14">
        <v>2651964.8711113012</v>
      </c>
      <c r="G46" s="14">
        <v>0</v>
      </c>
      <c r="H46" s="14">
        <v>1268818.7386008063</v>
      </c>
      <c r="I46" s="14">
        <v>976295.53934142389</v>
      </c>
      <c r="J46" s="14">
        <v>4897079.1490535317</v>
      </c>
      <c r="K46" s="14">
        <v>2651967.3651572727</v>
      </c>
      <c r="L46" s="14">
        <v>0</v>
      </c>
      <c r="M46" s="14">
        <v>1389986.4393309371</v>
      </c>
      <c r="N46" s="14">
        <v>1170934.9858244176</v>
      </c>
      <c r="O46" s="14">
        <v>5212888.7903126273</v>
      </c>
      <c r="P46" s="15">
        <v>1.064489388806414</v>
      </c>
      <c r="Q46" s="14">
        <v>236396</v>
      </c>
      <c r="R46" s="11" t="str">
        <f t="shared" si="0"/>
        <v>*</v>
      </c>
      <c r="T46" s="12"/>
    </row>
    <row r="47" spans="1:20" x14ac:dyDescent="0.3">
      <c r="A47" s="17">
        <v>1</v>
      </c>
      <c r="B47" s="17">
        <v>4</v>
      </c>
      <c r="C47" s="14" t="s">
        <v>572</v>
      </c>
      <c r="D47" s="16">
        <v>401920</v>
      </c>
      <c r="E47" s="14" t="s">
        <v>533</v>
      </c>
      <c r="F47" s="14">
        <v>5641.1312432996147</v>
      </c>
      <c r="G47" s="14">
        <v>1311.4595709521554</v>
      </c>
      <c r="H47" s="14">
        <v>3619.2861138888084</v>
      </c>
      <c r="I47" s="14">
        <v>3052.0592268211294</v>
      </c>
      <c r="J47" s="14">
        <v>13623.936154961708</v>
      </c>
      <c r="K47" s="14">
        <v>5359.0746811346335</v>
      </c>
      <c r="L47" s="14">
        <v>1245.8865924045476</v>
      </c>
      <c r="M47" s="14">
        <v>3438.3218081943678</v>
      </c>
      <c r="N47" s="14">
        <v>2899.4562654800729</v>
      </c>
      <c r="O47" s="14">
        <v>12942.739347213621</v>
      </c>
      <c r="P47" s="15">
        <v>0.94999999999999984</v>
      </c>
      <c r="Q47" s="14">
        <v>666</v>
      </c>
      <c r="R47" s="11" t="str">
        <f t="shared" si="0"/>
        <v xml:space="preserve">  </v>
      </c>
      <c r="T47" s="12"/>
    </row>
    <row r="48" spans="1:20" x14ac:dyDescent="0.3">
      <c r="A48" s="17">
        <v>1</v>
      </c>
      <c r="B48" s="17">
        <v>4</v>
      </c>
      <c r="C48" s="14" t="s">
        <v>572</v>
      </c>
      <c r="D48" s="16">
        <v>401940</v>
      </c>
      <c r="E48" s="14" t="s">
        <v>102</v>
      </c>
      <c r="F48" s="14">
        <v>1324371.2527847923</v>
      </c>
      <c r="G48" s="14">
        <v>341666.29853769718</v>
      </c>
      <c r="H48" s="14">
        <v>969285.7045567868</v>
      </c>
      <c r="I48" s="14">
        <v>1145078.1811552381</v>
      </c>
      <c r="J48" s="14">
        <v>3780401.4370345147</v>
      </c>
      <c r="K48" s="14">
        <v>1258152.6901455526</v>
      </c>
      <c r="L48" s="14">
        <v>324582.98361081228</v>
      </c>
      <c r="M48" s="14">
        <v>920821.41932894744</v>
      </c>
      <c r="N48" s="14">
        <v>1087824.2720974761</v>
      </c>
      <c r="O48" s="14">
        <v>3591381.3651827881</v>
      </c>
      <c r="P48" s="15">
        <v>0.94999999999999973</v>
      </c>
      <c r="Q48" s="14">
        <v>20292</v>
      </c>
      <c r="R48" s="11" t="str">
        <f t="shared" si="0"/>
        <v>*</v>
      </c>
      <c r="T48" s="12"/>
    </row>
    <row r="49" spans="1:20" x14ac:dyDescent="0.3">
      <c r="A49" s="17">
        <v>1</v>
      </c>
      <c r="B49" s="17">
        <v>4</v>
      </c>
      <c r="C49" s="14" t="s">
        <v>572</v>
      </c>
      <c r="D49" s="16">
        <v>400003</v>
      </c>
      <c r="E49" s="14" t="s">
        <v>104</v>
      </c>
      <c r="F49" s="14">
        <v>450603.42244795483</v>
      </c>
      <c r="G49" s="14">
        <v>106774.66673502131</v>
      </c>
      <c r="H49" s="14">
        <v>182083.86254730998</v>
      </c>
      <c r="I49" s="14">
        <v>129592.70530581834</v>
      </c>
      <c r="J49" s="14">
        <v>869054.65703610447</v>
      </c>
      <c r="K49" s="14">
        <v>453974.44196700811</v>
      </c>
      <c r="L49" s="14">
        <v>108140.86423961607</v>
      </c>
      <c r="M49" s="14">
        <v>199626.73549039525</v>
      </c>
      <c r="N49" s="14">
        <v>158254.90803085218</v>
      </c>
      <c r="O49" s="14">
        <v>919996.94972787157</v>
      </c>
      <c r="P49" s="15">
        <v>1.0586180538580909</v>
      </c>
      <c r="Q49" s="14">
        <v>22395</v>
      </c>
      <c r="R49" s="11" t="str">
        <f t="shared" si="0"/>
        <v>*</v>
      </c>
      <c r="T49" s="12"/>
    </row>
    <row r="50" spans="1:20" x14ac:dyDescent="0.3">
      <c r="A50" s="17">
        <v>1</v>
      </c>
      <c r="B50" s="17">
        <v>4</v>
      </c>
      <c r="C50" s="14" t="s">
        <v>572</v>
      </c>
      <c r="D50" s="16">
        <v>400004</v>
      </c>
      <c r="E50" s="14" t="s">
        <v>106</v>
      </c>
      <c r="F50" s="14">
        <v>38280.536400389203</v>
      </c>
      <c r="G50" s="14">
        <v>9070.9286990857363</v>
      </c>
      <c r="H50" s="14">
        <v>13992.952929746223</v>
      </c>
      <c r="I50" s="14">
        <v>9526.6340739358475</v>
      </c>
      <c r="J50" s="14">
        <v>70871.05210315701</v>
      </c>
      <c r="K50" s="14">
        <v>34452.482760350285</v>
      </c>
      <c r="L50" s="14">
        <v>8163.8358291771629</v>
      </c>
      <c r="M50" s="14">
        <v>12593.657636771601</v>
      </c>
      <c r="N50" s="14">
        <v>8573.9706665422636</v>
      </c>
      <c r="O50" s="14">
        <v>63783.946892841319</v>
      </c>
      <c r="P50" s="15">
        <v>0.90000000000000013</v>
      </c>
      <c r="Q50" s="14">
        <v>3928</v>
      </c>
      <c r="R50" s="11" t="str">
        <f t="shared" si="0"/>
        <v xml:space="preserve">  </v>
      </c>
      <c r="T50" s="12"/>
    </row>
    <row r="51" spans="1:20" x14ac:dyDescent="0.3">
      <c r="A51" s="17">
        <v>1</v>
      </c>
      <c r="B51" s="17">
        <v>4</v>
      </c>
      <c r="C51" s="14" t="s">
        <v>572</v>
      </c>
      <c r="D51" s="16">
        <v>402110</v>
      </c>
      <c r="E51" s="14" t="s">
        <v>532</v>
      </c>
      <c r="F51" s="14">
        <v>27707.373717949067</v>
      </c>
      <c r="G51" s="14">
        <v>6398.9240931663226</v>
      </c>
      <c r="H51" s="14">
        <v>8130.7584330132804</v>
      </c>
      <c r="I51" s="14">
        <v>5067.0636675016249</v>
      </c>
      <c r="J51" s="14">
        <v>47304.119911630303</v>
      </c>
      <c r="K51" s="14">
        <v>23551.267660256708</v>
      </c>
      <c r="L51" s="14">
        <v>5439.0854791913744</v>
      </c>
      <c r="M51" s="14">
        <v>6911.144668061288</v>
      </c>
      <c r="N51" s="14">
        <v>4307.0041173763811</v>
      </c>
      <c r="O51" s="14">
        <v>40208.50192488575</v>
      </c>
      <c r="P51" s="15">
        <v>0.84999999999999987</v>
      </c>
      <c r="Q51" s="14">
        <v>3137</v>
      </c>
      <c r="R51" s="11" t="str">
        <f t="shared" si="0"/>
        <v xml:space="preserve">  </v>
      </c>
      <c r="T51" s="12"/>
    </row>
    <row r="52" spans="1:20" x14ac:dyDescent="0.3">
      <c r="A52" s="17">
        <v>1</v>
      </c>
      <c r="B52" s="17">
        <v>4</v>
      </c>
      <c r="C52" s="14" t="s">
        <v>572</v>
      </c>
      <c r="D52" s="16">
        <v>402130</v>
      </c>
      <c r="E52" s="14" t="s">
        <v>530</v>
      </c>
      <c r="F52" s="14">
        <v>6896.2623591073889</v>
      </c>
      <c r="G52" s="14">
        <v>1632.9514844006194</v>
      </c>
      <c r="H52" s="14">
        <v>4453.6754422979266</v>
      </c>
      <c r="I52" s="14">
        <v>4620.4477713151582</v>
      </c>
      <c r="J52" s="14">
        <v>17603.337057121094</v>
      </c>
      <c r="K52" s="14">
        <v>0</v>
      </c>
      <c r="L52" s="14">
        <v>1469.6563359605575</v>
      </c>
      <c r="M52" s="14">
        <v>0</v>
      </c>
      <c r="N52" s="14">
        <v>0</v>
      </c>
      <c r="O52" s="14">
        <v>1469.6563359605575</v>
      </c>
      <c r="P52" s="15">
        <v>8.3487371240558966E-2</v>
      </c>
      <c r="Q52" s="14">
        <v>254</v>
      </c>
      <c r="R52" s="11" t="str">
        <f t="shared" si="0"/>
        <v xml:space="preserve">  </v>
      </c>
      <c r="T52" s="12"/>
    </row>
    <row r="53" spans="1:20" x14ac:dyDescent="0.3">
      <c r="A53" s="17">
        <v>1</v>
      </c>
      <c r="B53" s="17">
        <v>4</v>
      </c>
      <c r="C53" s="14" t="s">
        <v>572</v>
      </c>
      <c r="D53" s="16">
        <v>400021</v>
      </c>
      <c r="E53" s="14" t="s">
        <v>110</v>
      </c>
      <c r="F53" s="14">
        <v>489345.17013027635</v>
      </c>
      <c r="G53" s="14">
        <v>115954.88373168638</v>
      </c>
      <c r="H53" s="14">
        <v>283006.80756574689</v>
      </c>
      <c r="I53" s="14">
        <v>297088.81344133685</v>
      </c>
      <c r="J53" s="14">
        <v>1185395.6748690465</v>
      </c>
      <c r="K53" s="14">
        <v>523489.27839320619</v>
      </c>
      <c r="L53" s="14">
        <v>124699.93407630728</v>
      </c>
      <c r="M53" s="14">
        <v>350556.78496773995</v>
      </c>
      <c r="N53" s="14">
        <v>341527.18082554662</v>
      </c>
      <c r="O53" s="14">
        <v>1340273.1782628</v>
      </c>
      <c r="P53" s="15">
        <v>1.1306546891280527</v>
      </c>
      <c r="Q53" s="14">
        <v>6230</v>
      </c>
      <c r="R53" s="11" t="str">
        <f t="shared" si="0"/>
        <v xml:space="preserve">  </v>
      </c>
      <c r="T53" s="12"/>
    </row>
    <row r="54" spans="1:20" x14ac:dyDescent="0.3">
      <c r="A54" s="17">
        <v>1</v>
      </c>
      <c r="B54" s="17">
        <v>4</v>
      </c>
      <c r="C54" s="14" t="s">
        <v>572</v>
      </c>
      <c r="D54" s="16">
        <v>400082</v>
      </c>
      <c r="E54" s="14" t="s">
        <v>111</v>
      </c>
      <c r="F54" s="14">
        <v>383423.113136951</v>
      </c>
      <c r="G54" s="14">
        <v>90789.953912300247</v>
      </c>
      <c r="H54" s="14">
        <v>171290.64072567975</v>
      </c>
      <c r="I54" s="14">
        <v>148683.42264374782</v>
      </c>
      <c r="J54" s="14">
        <v>794187.13041867875</v>
      </c>
      <c r="K54" s="14">
        <v>356559.09296158783</v>
      </c>
      <c r="L54" s="14">
        <v>84935.63712153185</v>
      </c>
      <c r="M54" s="14">
        <v>154161.57665311178</v>
      </c>
      <c r="N54" s="14">
        <v>133815.08037937304</v>
      </c>
      <c r="O54" s="14">
        <v>729471.38711560459</v>
      </c>
      <c r="P54" s="15">
        <v>0.9185132309195726</v>
      </c>
      <c r="Q54" s="14">
        <v>65385</v>
      </c>
      <c r="R54" s="11" t="str">
        <f t="shared" si="0"/>
        <v>*</v>
      </c>
      <c r="T54" s="12"/>
    </row>
    <row r="55" spans="1:20" x14ac:dyDescent="0.3">
      <c r="A55" s="17">
        <v>1</v>
      </c>
      <c r="B55" s="17">
        <v>4</v>
      </c>
      <c r="C55" s="14" t="s">
        <v>572</v>
      </c>
      <c r="D55" s="16">
        <v>402190</v>
      </c>
      <c r="E55" s="14" t="s">
        <v>112</v>
      </c>
      <c r="F55" s="14">
        <v>65030.790752468412</v>
      </c>
      <c r="G55" s="14">
        <v>15409.649958687825</v>
      </c>
      <c r="H55" s="14">
        <v>41882.62932796422</v>
      </c>
      <c r="I55" s="14">
        <v>37341.631439506578</v>
      </c>
      <c r="J55" s="14">
        <v>159664.70147862702</v>
      </c>
      <c r="K55" s="14">
        <v>61779.25121484499</v>
      </c>
      <c r="L55" s="14">
        <v>14639.167460753433</v>
      </c>
      <c r="M55" s="14">
        <v>39788.497861566007</v>
      </c>
      <c r="N55" s="14">
        <v>35474.549867531248</v>
      </c>
      <c r="O55" s="14">
        <v>151681.46640469568</v>
      </c>
      <c r="P55" s="15">
        <v>0.95000000000000007</v>
      </c>
      <c r="Q55" s="14">
        <v>2487</v>
      </c>
      <c r="R55" s="11" t="str">
        <f t="shared" si="0"/>
        <v xml:space="preserve">  </v>
      </c>
      <c r="T55" s="12"/>
    </row>
    <row r="56" spans="1:20" x14ac:dyDescent="0.3">
      <c r="A56" s="17">
        <v>1</v>
      </c>
      <c r="B56" s="17">
        <v>4</v>
      </c>
      <c r="C56" s="14" t="s">
        <v>572</v>
      </c>
      <c r="D56" s="16">
        <v>402220</v>
      </c>
      <c r="E56" s="14" t="s">
        <v>113</v>
      </c>
      <c r="F56" s="14">
        <v>25827.8317882144</v>
      </c>
      <c r="G56" s="14">
        <v>6120.1446644433927</v>
      </c>
      <c r="H56" s="14">
        <v>10135.980044306734</v>
      </c>
      <c r="I56" s="14">
        <v>8217.0698862909576</v>
      </c>
      <c r="J56" s="14">
        <v>50301.026383255485</v>
      </c>
      <c r="K56" s="14">
        <v>30264.962797800552</v>
      </c>
      <c r="L56" s="14">
        <v>7209.390949307739</v>
      </c>
      <c r="M56" s="14">
        <v>14361.177337180457</v>
      </c>
      <c r="N56" s="14">
        <v>11750.154329596826</v>
      </c>
      <c r="O56" s="14">
        <v>63585.685413885571</v>
      </c>
      <c r="P56" s="15">
        <v>1.2641031403496841</v>
      </c>
      <c r="Q56" s="14">
        <v>2529</v>
      </c>
      <c r="R56" s="11" t="str">
        <f t="shared" si="0"/>
        <v xml:space="preserve">  </v>
      </c>
      <c r="T56" s="12"/>
    </row>
    <row r="57" spans="1:20" x14ac:dyDescent="0.3">
      <c r="A57" s="17">
        <v>1</v>
      </c>
      <c r="B57" s="17">
        <v>4</v>
      </c>
      <c r="C57" s="14" t="s">
        <v>572</v>
      </c>
      <c r="D57" s="16">
        <v>402250</v>
      </c>
      <c r="E57" s="14" t="s">
        <v>114</v>
      </c>
      <c r="F57" s="14">
        <v>53990.475048274951</v>
      </c>
      <c r="G57" s="14">
        <v>12784.291226557481</v>
      </c>
      <c r="H57" s="14">
        <v>17329.839184669341</v>
      </c>
      <c r="I57" s="14">
        <v>13270.498356335485</v>
      </c>
      <c r="J57" s="14">
        <v>97375.103815837268</v>
      </c>
      <c r="K57" s="14">
        <v>45891.903791033707</v>
      </c>
      <c r="L57" s="14">
        <v>10866.647542573859</v>
      </c>
      <c r="M57" s="14">
        <v>14730.36330696894</v>
      </c>
      <c r="N57" s="14">
        <v>11279.923602885163</v>
      </c>
      <c r="O57" s="14">
        <v>82768.838243461665</v>
      </c>
      <c r="P57" s="15">
        <v>0.84999999999999987</v>
      </c>
      <c r="Q57" s="14">
        <v>26660</v>
      </c>
      <c r="R57" s="11" t="str">
        <f t="shared" si="0"/>
        <v>*</v>
      </c>
      <c r="T57" s="12"/>
    </row>
    <row r="58" spans="1:20" x14ac:dyDescent="0.3">
      <c r="A58" s="17">
        <v>1</v>
      </c>
      <c r="B58" s="17">
        <v>4</v>
      </c>
      <c r="C58" s="14" t="s">
        <v>572</v>
      </c>
      <c r="D58" s="16">
        <v>402320</v>
      </c>
      <c r="E58" s="14" t="s">
        <v>115</v>
      </c>
      <c r="F58" s="14">
        <v>915965.60591774632</v>
      </c>
      <c r="G58" s="14">
        <v>217046.55899258165</v>
      </c>
      <c r="H58" s="14">
        <v>342627.1899423768</v>
      </c>
      <c r="I58" s="14">
        <v>265269.71439781471</v>
      </c>
      <c r="J58" s="14">
        <v>1740909.0692505194</v>
      </c>
      <c r="K58" s="14">
        <v>865388.77999960934</v>
      </c>
      <c r="L58" s="14">
        <v>206143.52245676814</v>
      </c>
      <c r="M58" s="14">
        <v>342448.01695924666</v>
      </c>
      <c r="N58" s="14">
        <v>265663.62504592375</v>
      </c>
      <c r="O58" s="14">
        <v>1679643.944461548</v>
      </c>
      <c r="P58" s="15">
        <v>0.96480854406982519</v>
      </c>
      <c r="Q58" s="14">
        <v>36871</v>
      </c>
      <c r="R58" s="11" t="str">
        <f t="shared" si="0"/>
        <v>*</v>
      </c>
      <c r="T58" s="12"/>
    </row>
    <row r="59" spans="1:20" x14ac:dyDescent="0.3">
      <c r="A59" s="17">
        <v>1</v>
      </c>
      <c r="B59" s="17">
        <v>4</v>
      </c>
      <c r="C59" s="14" t="s">
        <v>572</v>
      </c>
      <c r="D59" s="16">
        <v>402370</v>
      </c>
      <c r="E59" s="14" t="s">
        <v>117</v>
      </c>
      <c r="F59" s="14">
        <v>360764.04842128488</v>
      </c>
      <c r="G59" s="14">
        <v>84370.565731255338</v>
      </c>
      <c r="H59" s="14">
        <v>173559.57043453646</v>
      </c>
      <c r="I59" s="14">
        <v>124489.17492348945</v>
      </c>
      <c r="J59" s="14">
        <v>743183.35951056611</v>
      </c>
      <c r="K59" s="14">
        <v>353721.75269929401</v>
      </c>
      <c r="L59" s="14">
        <v>84259.756720034246</v>
      </c>
      <c r="M59" s="14">
        <v>156203.61339108282</v>
      </c>
      <c r="N59" s="14">
        <v>112415.73731626535</v>
      </c>
      <c r="O59" s="14">
        <v>706600.86012667639</v>
      </c>
      <c r="P59" s="15">
        <v>0.95077594389629283</v>
      </c>
      <c r="Q59" s="14">
        <v>30522</v>
      </c>
      <c r="R59" s="11" t="str">
        <f t="shared" si="0"/>
        <v>*</v>
      </c>
      <c r="T59" s="12"/>
    </row>
    <row r="60" spans="1:20" x14ac:dyDescent="0.3">
      <c r="A60" s="17">
        <v>1</v>
      </c>
      <c r="B60" s="17">
        <v>4</v>
      </c>
      <c r="C60" s="14" t="s">
        <v>572</v>
      </c>
      <c r="D60" s="16">
        <v>402400</v>
      </c>
      <c r="E60" s="14" t="s">
        <v>121</v>
      </c>
      <c r="F60" s="14">
        <v>859697.82952199376</v>
      </c>
      <c r="G60" s="14">
        <v>203713.38668790145</v>
      </c>
      <c r="H60" s="14">
        <v>350392.73784412746</v>
      </c>
      <c r="I60" s="14">
        <v>272397.37467348127</v>
      </c>
      <c r="J60" s="14">
        <v>1686201.328727504</v>
      </c>
      <c r="K60" s="14">
        <v>915515.12463346636</v>
      </c>
      <c r="L60" s="14">
        <v>218084.07621655919</v>
      </c>
      <c r="M60" s="14">
        <v>424971.93787079735</v>
      </c>
      <c r="N60" s="14">
        <v>344314.73903333728</v>
      </c>
      <c r="O60" s="14">
        <v>1902885.8777541602</v>
      </c>
      <c r="P60" s="15">
        <v>1.1285045535992893</v>
      </c>
      <c r="Q60" s="14">
        <v>44923</v>
      </c>
      <c r="R60" s="11" t="str">
        <f t="shared" si="0"/>
        <v>*</v>
      </c>
      <c r="T60" s="12"/>
    </row>
    <row r="61" spans="1:20" x14ac:dyDescent="0.3">
      <c r="A61" s="17">
        <v>1</v>
      </c>
      <c r="B61" s="17">
        <v>4</v>
      </c>
      <c r="C61" s="14" t="s">
        <v>572</v>
      </c>
      <c r="D61" s="16">
        <v>402430</v>
      </c>
      <c r="E61" s="14" t="s">
        <v>122</v>
      </c>
      <c r="F61" s="14">
        <v>2209663.2517381296</v>
      </c>
      <c r="G61" s="14">
        <v>543436.82090652268</v>
      </c>
      <c r="H61" s="14">
        <v>1469526.6443708458</v>
      </c>
      <c r="I61" s="14">
        <v>1491442.3830725716</v>
      </c>
      <c r="J61" s="14">
        <v>5714069.1000880701</v>
      </c>
      <c r="K61" s="14">
        <v>2099180.0891512232</v>
      </c>
      <c r="L61" s="14">
        <v>516264.97986119654</v>
      </c>
      <c r="M61" s="14">
        <v>1404079.7986279321</v>
      </c>
      <c r="N61" s="14">
        <v>1416870.263918943</v>
      </c>
      <c r="O61" s="14">
        <v>5436395.1315592946</v>
      </c>
      <c r="P61" s="15">
        <v>0.95140521340134021</v>
      </c>
      <c r="Q61" s="14">
        <v>70785</v>
      </c>
      <c r="R61" s="11" t="str">
        <f t="shared" si="0"/>
        <v>*</v>
      </c>
      <c r="T61" s="12"/>
    </row>
    <row r="62" spans="1:20" x14ac:dyDescent="0.3">
      <c r="A62" s="17">
        <v>1</v>
      </c>
      <c r="B62" s="17">
        <v>4</v>
      </c>
      <c r="C62" s="14" t="s">
        <v>572</v>
      </c>
      <c r="D62" s="16">
        <v>402460</v>
      </c>
      <c r="E62" s="14" t="s">
        <v>527</v>
      </c>
      <c r="F62" s="14">
        <v>0</v>
      </c>
      <c r="G62" s="14">
        <v>0</v>
      </c>
      <c r="H62" s="14">
        <v>0</v>
      </c>
      <c r="I62" s="14">
        <v>0</v>
      </c>
      <c r="J62" s="14">
        <v>0</v>
      </c>
      <c r="K62" s="14">
        <v>0</v>
      </c>
      <c r="L62" s="14">
        <v>0</v>
      </c>
      <c r="M62" s="14">
        <v>0</v>
      </c>
      <c r="N62" s="14">
        <v>0</v>
      </c>
      <c r="O62" s="14">
        <v>0</v>
      </c>
      <c r="P62" s="15">
        <v>0</v>
      </c>
      <c r="Q62" s="14">
        <v>180</v>
      </c>
      <c r="R62" s="11" t="str">
        <f t="shared" si="0"/>
        <v xml:space="preserve">  </v>
      </c>
      <c r="T62" s="12"/>
    </row>
    <row r="63" spans="1:20" x14ac:dyDescent="0.3">
      <c r="A63" s="17">
        <v>1</v>
      </c>
      <c r="B63" s="17">
        <v>4</v>
      </c>
      <c r="C63" s="14" t="s">
        <v>572</v>
      </c>
      <c r="D63" s="16">
        <v>407750</v>
      </c>
      <c r="E63" s="14" t="s">
        <v>127</v>
      </c>
      <c r="F63" s="14">
        <v>2858587.5254170154</v>
      </c>
      <c r="G63" s="14">
        <v>0</v>
      </c>
      <c r="H63" s="14">
        <v>1382238.3614657063</v>
      </c>
      <c r="I63" s="14">
        <v>1044929.4439367325</v>
      </c>
      <c r="J63" s="14">
        <v>5285755.330819454</v>
      </c>
      <c r="K63" s="14">
        <v>2805183.7393211382</v>
      </c>
      <c r="L63" s="14">
        <v>0</v>
      </c>
      <c r="M63" s="14">
        <v>1482466.6706247865</v>
      </c>
      <c r="N63" s="14">
        <v>1251647.1269615202</v>
      </c>
      <c r="O63" s="14">
        <v>5539297.5369074447</v>
      </c>
      <c r="P63" s="15">
        <v>1.0479670719167933</v>
      </c>
      <c r="Q63" s="14">
        <v>255938</v>
      </c>
      <c r="R63" s="11" t="str">
        <f t="shared" si="0"/>
        <v>*</v>
      </c>
      <c r="T63" s="12"/>
    </row>
    <row r="64" spans="1:20" x14ac:dyDescent="0.3">
      <c r="A64" s="17">
        <v>1</v>
      </c>
      <c r="B64" s="17">
        <v>4</v>
      </c>
      <c r="C64" s="14" t="s">
        <v>572</v>
      </c>
      <c r="D64" s="16">
        <v>402490</v>
      </c>
      <c r="E64" s="14" t="s">
        <v>134</v>
      </c>
      <c r="F64" s="14">
        <v>9685.4369205804051</v>
      </c>
      <c r="G64" s="14">
        <v>2402.2737641386993</v>
      </c>
      <c r="H64" s="14">
        <v>4504.8553884130806</v>
      </c>
      <c r="I64" s="14">
        <v>4369.9033405541722</v>
      </c>
      <c r="J64" s="14">
        <v>20962.469413686355</v>
      </c>
      <c r="K64" s="14">
        <v>12295.141136606477</v>
      </c>
      <c r="L64" s="14">
        <v>2928.81507315627</v>
      </c>
      <c r="M64" s="14">
        <v>6031.676998856009</v>
      </c>
      <c r="N64" s="14">
        <v>5032.9555811133014</v>
      </c>
      <c r="O64" s="14">
        <v>26288.588789732057</v>
      </c>
      <c r="P64" s="15">
        <v>1.2540788144248067</v>
      </c>
      <c r="Q64" s="14">
        <v>468</v>
      </c>
      <c r="R64" s="11" t="str">
        <f t="shared" si="0"/>
        <v xml:space="preserve">  </v>
      </c>
      <c r="T64" s="12"/>
    </row>
    <row r="65" spans="1:20" x14ac:dyDescent="0.3">
      <c r="A65" s="17">
        <v>1</v>
      </c>
      <c r="B65" s="17">
        <v>4</v>
      </c>
      <c r="C65" s="14" t="s">
        <v>572</v>
      </c>
      <c r="D65" s="16">
        <v>402530</v>
      </c>
      <c r="E65" s="14" t="s">
        <v>135</v>
      </c>
      <c r="F65" s="14">
        <v>940409.80386016401</v>
      </c>
      <c r="G65" s="14">
        <v>224061.30864344395</v>
      </c>
      <c r="H65" s="14">
        <v>584721.78001758712</v>
      </c>
      <c r="I65" s="14">
        <v>650903.69343439781</v>
      </c>
      <c r="J65" s="14">
        <v>2400096.5859555928</v>
      </c>
      <c r="K65" s="14">
        <v>893389.3136671558</v>
      </c>
      <c r="L65" s="14">
        <v>212858.24321127174</v>
      </c>
      <c r="M65" s="14">
        <v>555485.69101670769</v>
      </c>
      <c r="N65" s="14">
        <v>618358.5087626779</v>
      </c>
      <c r="O65" s="14">
        <v>2280091.7566578127</v>
      </c>
      <c r="P65" s="15">
        <v>0.94999999999999984</v>
      </c>
      <c r="Q65" s="14">
        <v>21278</v>
      </c>
      <c r="R65" s="11" t="str">
        <f t="shared" si="0"/>
        <v>*</v>
      </c>
      <c r="T65" s="12"/>
    </row>
    <row r="66" spans="1:20" x14ac:dyDescent="0.3">
      <c r="A66" s="17">
        <v>1</v>
      </c>
      <c r="B66" s="17">
        <v>4</v>
      </c>
      <c r="C66" s="14" t="s">
        <v>572</v>
      </c>
      <c r="D66" s="16">
        <v>402600</v>
      </c>
      <c r="E66" s="14" t="s">
        <v>136</v>
      </c>
      <c r="F66" s="14">
        <v>48888.39588483439</v>
      </c>
      <c r="G66" s="14">
        <v>11584.559543410705</v>
      </c>
      <c r="H66" s="14">
        <v>15900.217315828508</v>
      </c>
      <c r="I66" s="14">
        <v>13651.442220182109</v>
      </c>
      <c r="J66" s="14">
        <v>90024.614964255728</v>
      </c>
      <c r="K66" s="14">
        <v>50126.344633857174</v>
      </c>
      <c r="L66" s="14">
        <v>11940.553759790946</v>
      </c>
      <c r="M66" s="14">
        <v>16701.515894090891</v>
      </c>
      <c r="N66" s="14">
        <v>12549.752572256924</v>
      </c>
      <c r="O66" s="14">
        <v>91318.166859995938</v>
      </c>
      <c r="P66" s="15">
        <v>1.0143688689616035</v>
      </c>
      <c r="Q66" s="14">
        <v>2939</v>
      </c>
      <c r="R66" s="11" t="str">
        <f t="shared" si="0"/>
        <v xml:space="preserve">  </v>
      </c>
      <c r="T66" s="12"/>
    </row>
    <row r="67" spans="1:20" x14ac:dyDescent="0.3">
      <c r="A67" s="17">
        <v>1</v>
      </c>
      <c r="B67" s="17">
        <v>4</v>
      </c>
      <c r="C67" s="14" t="s">
        <v>572</v>
      </c>
      <c r="D67" s="16">
        <v>402690</v>
      </c>
      <c r="E67" s="14" t="s">
        <v>137</v>
      </c>
      <c r="F67" s="14">
        <v>2785254.9315897636</v>
      </c>
      <c r="G67" s="14">
        <v>659992.0290816722</v>
      </c>
      <c r="H67" s="14">
        <v>1341984.5221007077</v>
      </c>
      <c r="I67" s="14">
        <v>1013524.9403396084</v>
      </c>
      <c r="J67" s="14">
        <v>5800756.4231117517</v>
      </c>
      <c r="K67" s="14">
        <v>2775864.5566107687</v>
      </c>
      <c r="L67" s="14">
        <v>661236.32613181917</v>
      </c>
      <c r="M67" s="14">
        <v>1464769.8362413952</v>
      </c>
      <c r="N67" s="14">
        <v>1236202.2110649142</v>
      </c>
      <c r="O67" s="14">
        <v>6138072.9300488979</v>
      </c>
      <c r="P67" s="15">
        <v>1.058150434586977</v>
      </c>
      <c r="Q67" s="14">
        <v>175099</v>
      </c>
      <c r="R67" s="11" t="str">
        <f t="shared" si="0"/>
        <v>*</v>
      </c>
      <c r="T67" s="12"/>
    </row>
    <row r="68" spans="1:20" x14ac:dyDescent="0.3">
      <c r="A68" s="17">
        <v>1</v>
      </c>
      <c r="B68" s="17">
        <v>4</v>
      </c>
      <c r="C68" s="14" t="s">
        <v>572</v>
      </c>
      <c r="D68" s="16">
        <v>402710</v>
      </c>
      <c r="E68" s="14" t="s">
        <v>525</v>
      </c>
      <c r="F68" s="14">
        <v>0</v>
      </c>
      <c r="G68" s="14">
        <v>0</v>
      </c>
      <c r="H68" s="14">
        <v>0</v>
      </c>
      <c r="I68" s="14">
        <v>0</v>
      </c>
      <c r="J68" s="14">
        <v>0</v>
      </c>
      <c r="K68" s="14">
        <v>0</v>
      </c>
      <c r="L68" s="14">
        <v>0</v>
      </c>
      <c r="M68" s="14">
        <v>0</v>
      </c>
      <c r="N68" s="14">
        <v>0</v>
      </c>
      <c r="O68" s="14">
        <v>0</v>
      </c>
      <c r="P68" s="15">
        <v>0</v>
      </c>
      <c r="Q68" s="14">
        <v>40</v>
      </c>
      <c r="R68" s="11" t="str">
        <f t="shared" si="0"/>
        <v xml:space="preserve">  </v>
      </c>
      <c r="T68" s="12"/>
    </row>
    <row r="69" spans="1:20" x14ac:dyDescent="0.3">
      <c r="A69" s="17">
        <v>1</v>
      </c>
      <c r="B69" s="17">
        <v>4</v>
      </c>
      <c r="C69" s="14" t="s">
        <v>572</v>
      </c>
      <c r="D69" s="16">
        <v>402760</v>
      </c>
      <c r="E69" s="14" t="s">
        <v>155</v>
      </c>
      <c r="F69" s="14">
        <v>21237.504081667288</v>
      </c>
      <c r="G69" s="14">
        <v>5393.6623982377732</v>
      </c>
      <c r="H69" s="14">
        <v>9566.2021522106261</v>
      </c>
      <c r="I69" s="14">
        <v>8903.8113560753645</v>
      </c>
      <c r="J69" s="14">
        <v>45101.179988191048</v>
      </c>
      <c r="K69" s="14">
        <v>18051.878469417195</v>
      </c>
      <c r="L69" s="14">
        <v>4584.613038502107</v>
      </c>
      <c r="M69" s="14">
        <v>8131.2718293790322</v>
      </c>
      <c r="N69" s="14">
        <v>7568.2396526640596</v>
      </c>
      <c r="O69" s="14">
        <v>38336.002989962391</v>
      </c>
      <c r="P69" s="15">
        <v>0.85</v>
      </c>
      <c r="Q69" s="14">
        <v>1088</v>
      </c>
      <c r="R69" s="11" t="str">
        <f t="shared" si="0"/>
        <v xml:space="preserve">  </v>
      </c>
      <c r="T69" s="12"/>
    </row>
    <row r="70" spans="1:20" x14ac:dyDescent="0.3">
      <c r="A70" s="17">
        <v>1</v>
      </c>
      <c r="B70" s="17">
        <v>4</v>
      </c>
      <c r="C70" s="14" t="s">
        <v>572</v>
      </c>
      <c r="D70" s="16">
        <v>402790</v>
      </c>
      <c r="E70" s="14" t="s">
        <v>156</v>
      </c>
      <c r="F70" s="14">
        <v>352267.09097800357</v>
      </c>
      <c r="G70" s="14">
        <v>85916.452040399425</v>
      </c>
      <c r="H70" s="14">
        <v>153600.47682916859</v>
      </c>
      <c r="I70" s="14">
        <v>137064.70796160414</v>
      </c>
      <c r="J70" s="14">
        <v>728848.72780917573</v>
      </c>
      <c r="K70" s="14">
        <v>334653.73642910336</v>
      </c>
      <c r="L70" s="14">
        <v>81620.629438379445</v>
      </c>
      <c r="M70" s="14">
        <v>145920.45298771016</v>
      </c>
      <c r="N70" s="14">
        <v>137142.66569569346</v>
      </c>
      <c r="O70" s="14">
        <v>699337.48455088644</v>
      </c>
      <c r="P70" s="15">
        <v>0.95950978285028188</v>
      </c>
      <c r="Q70" s="14">
        <v>7104</v>
      </c>
      <c r="R70" s="11" t="str">
        <f t="shared" si="0"/>
        <v xml:space="preserve">  </v>
      </c>
      <c r="T70" s="12"/>
    </row>
    <row r="71" spans="1:20" x14ac:dyDescent="0.3">
      <c r="A71" s="17">
        <v>1</v>
      </c>
      <c r="B71" s="17">
        <v>4</v>
      </c>
      <c r="C71" s="14" t="s">
        <v>572</v>
      </c>
      <c r="D71" s="16">
        <v>402820</v>
      </c>
      <c r="E71" s="14" t="s">
        <v>523</v>
      </c>
      <c r="F71" s="14">
        <v>5308.3072106287145</v>
      </c>
      <c r="G71" s="14">
        <v>1256.9429189136347</v>
      </c>
      <c r="H71" s="14">
        <v>1721.5845256641519</v>
      </c>
      <c r="I71" s="14">
        <v>1486.6970696213525</v>
      </c>
      <c r="J71" s="14">
        <v>9773.5317248278534</v>
      </c>
      <c r="K71" s="14">
        <v>0</v>
      </c>
      <c r="L71" s="14">
        <v>1068.4014810765896</v>
      </c>
      <c r="M71" s="14">
        <v>0</v>
      </c>
      <c r="N71" s="14">
        <v>0</v>
      </c>
      <c r="O71" s="14">
        <v>1068.4014810765896</v>
      </c>
      <c r="P71" s="15">
        <v>0.10931580427191051</v>
      </c>
      <c r="Q71" s="14">
        <v>459</v>
      </c>
      <c r="R71" s="11" t="str">
        <f t="shared" si="0"/>
        <v xml:space="preserve">  </v>
      </c>
      <c r="T71" s="12"/>
    </row>
    <row r="72" spans="1:20" x14ac:dyDescent="0.3">
      <c r="A72" s="17">
        <v>1</v>
      </c>
      <c r="B72" s="17">
        <v>4</v>
      </c>
      <c r="C72" s="14" t="s">
        <v>572</v>
      </c>
      <c r="D72" s="16">
        <v>402860</v>
      </c>
      <c r="E72" s="14" t="s">
        <v>164</v>
      </c>
      <c r="F72" s="14">
        <v>1373948.4088766198</v>
      </c>
      <c r="G72" s="14">
        <v>325569.83848887251</v>
      </c>
      <c r="H72" s="14">
        <v>578203.02092558832</v>
      </c>
      <c r="I72" s="14">
        <v>489489.37008474284</v>
      </c>
      <c r="J72" s="14">
        <v>2767210.6383758239</v>
      </c>
      <c r="K72" s="14">
        <v>1236553.5679889577</v>
      </c>
      <c r="L72" s="14">
        <v>293012.85463998525</v>
      </c>
      <c r="M72" s="14">
        <v>520382.7188330295</v>
      </c>
      <c r="N72" s="14">
        <v>440540.43307626859</v>
      </c>
      <c r="O72" s="14">
        <v>2490489.5745382411</v>
      </c>
      <c r="P72" s="15">
        <v>0.89999999999999991</v>
      </c>
      <c r="Q72" s="14">
        <v>93887</v>
      </c>
      <c r="R72" s="11" t="str">
        <f t="shared" si="0"/>
        <v>*</v>
      </c>
      <c r="T72" s="12"/>
    </row>
    <row r="73" spans="1:20" x14ac:dyDescent="0.3">
      <c r="A73" s="17">
        <v>1</v>
      </c>
      <c r="B73" s="17">
        <v>4</v>
      </c>
      <c r="C73" s="14" t="s">
        <v>572</v>
      </c>
      <c r="D73" s="16">
        <v>402920</v>
      </c>
      <c r="E73" s="14" t="s">
        <v>166</v>
      </c>
      <c r="F73" s="14">
        <v>1115208.8797125432</v>
      </c>
      <c r="G73" s="14">
        <v>264259.10354685911</v>
      </c>
      <c r="H73" s="14">
        <v>425260.29354311473</v>
      </c>
      <c r="I73" s="14">
        <v>343191.6277859949</v>
      </c>
      <c r="J73" s="14">
        <v>2147919.9045885121</v>
      </c>
      <c r="K73" s="14">
        <v>1204923.8313874342</v>
      </c>
      <c r="L73" s="14">
        <v>287023.87716931448</v>
      </c>
      <c r="M73" s="14">
        <v>516562.03266680281</v>
      </c>
      <c r="N73" s="14">
        <v>408653.65286289004</v>
      </c>
      <c r="O73" s="14">
        <v>2417163.3940864415</v>
      </c>
      <c r="P73" s="15">
        <v>1.1253508051779564</v>
      </c>
      <c r="Q73" s="14">
        <v>75877</v>
      </c>
      <c r="R73" s="11" t="str">
        <f t="shared" si="0"/>
        <v>*</v>
      </c>
      <c r="T73" s="12"/>
    </row>
    <row r="74" spans="1:20" x14ac:dyDescent="0.3">
      <c r="A74" s="17">
        <v>1</v>
      </c>
      <c r="B74" s="17">
        <v>4</v>
      </c>
      <c r="C74" s="14" t="s">
        <v>572</v>
      </c>
      <c r="D74" s="16">
        <v>403010</v>
      </c>
      <c r="E74" s="14" t="s">
        <v>167</v>
      </c>
      <c r="F74" s="14">
        <v>824965.38470822142</v>
      </c>
      <c r="G74" s="14">
        <v>195341.82132142413</v>
      </c>
      <c r="H74" s="14">
        <v>421055.93721940339</v>
      </c>
      <c r="I74" s="14">
        <v>391525.08832336689</v>
      </c>
      <c r="J74" s="14">
        <v>1832888.2315724157</v>
      </c>
      <c r="K74" s="14">
        <v>855930.9791252967</v>
      </c>
      <c r="L74" s="14">
        <v>203890.5877851095</v>
      </c>
      <c r="M74" s="14">
        <v>464204.23554666486</v>
      </c>
      <c r="N74" s="14">
        <v>408591.91748580086</v>
      </c>
      <c r="O74" s="14">
        <v>1932617.7199428717</v>
      </c>
      <c r="P74" s="15">
        <v>1.0544111128286853</v>
      </c>
      <c r="Q74" s="14">
        <v>30752</v>
      </c>
      <c r="R74" s="11" t="str">
        <f t="shared" si="0"/>
        <v>*</v>
      </c>
      <c r="T74" s="12"/>
    </row>
    <row r="75" spans="1:20" x14ac:dyDescent="0.3">
      <c r="A75" s="17">
        <v>1</v>
      </c>
      <c r="B75" s="17">
        <v>4</v>
      </c>
      <c r="C75" s="14" t="s">
        <v>572</v>
      </c>
      <c r="D75" s="16">
        <v>403150</v>
      </c>
      <c r="E75" s="14" t="s">
        <v>168</v>
      </c>
      <c r="F75" s="14">
        <v>94027.025784441648</v>
      </c>
      <c r="G75" s="14">
        <v>22932.793491671415</v>
      </c>
      <c r="H75" s="14">
        <v>29710.363808892096</v>
      </c>
      <c r="I75" s="14">
        <v>24658.770327277598</v>
      </c>
      <c r="J75" s="14">
        <v>171328.95341228275</v>
      </c>
      <c r="K75" s="14">
        <v>84624.323205997483</v>
      </c>
      <c r="L75" s="14">
        <v>20639.514142504275</v>
      </c>
      <c r="M75" s="14">
        <v>26739.327428002885</v>
      </c>
      <c r="N75" s="14">
        <v>22192.893294549838</v>
      </c>
      <c r="O75" s="14">
        <v>154196.05807105446</v>
      </c>
      <c r="P75" s="15">
        <v>0.89999999999999991</v>
      </c>
      <c r="Q75" s="14">
        <v>5454</v>
      </c>
      <c r="R75" s="11" t="str">
        <f t="shared" ref="R75:R138" si="1">IF(AND($A75=1,Q75&gt;=20000),"*","  ")</f>
        <v xml:space="preserve">  </v>
      </c>
      <c r="T75" s="12"/>
    </row>
    <row r="76" spans="1:20" x14ac:dyDescent="0.3">
      <c r="A76" s="17">
        <v>1</v>
      </c>
      <c r="B76" s="17">
        <v>4</v>
      </c>
      <c r="C76" s="14" t="s">
        <v>572</v>
      </c>
      <c r="D76" s="16">
        <v>403200</v>
      </c>
      <c r="E76" s="14" t="s">
        <v>169</v>
      </c>
      <c r="F76" s="14">
        <v>301147.97882754676</v>
      </c>
      <c r="G76" s="14">
        <v>74056.082312857703</v>
      </c>
      <c r="H76" s="14">
        <v>159119.36982101802</v>
      </c>
      <c r="I76" s="14">
        <v>171650.35288868842</v>
      </c>
      <c r="J76" s="14">
        <v>705973.78385011083</v>
      </c>
      <c r="K76" s="14">
        <v>286090.57988616941</v>
      </c>
      <c r="L76" s="14">
        <v>70353.278197214808</v>
      </c>
      <c r="M76" s="14">
        <v>151163.40132996711</v>
      </c>
      <c r="N76" s="14">
        <v>163067.83524425398</v>
      </c>
      <c r="O76" s="14">
        <v>670675.09465760528</v>
      </c>
      <c r="P76" s="15">
        <v>0.95</v>
      </c>
      <c r="Q76" s="14">
        <v>5340</v>
      </c>
      <c r="R76" s="11" t="str">
        <f t="shared" si="1"/>
        <v xml:space="preserve">  </v>
      </c>
      <c r="T76" s="12"/>
    </row>
    <row r="77" spans="1:20" x14ac:dyDescent="0.3">
      <c r="A77" s="17">
        <v>1</v>
      </c>
      <c r="B77" s="17">
        <v>4</v>
      </c>
      <c r="C77" s="14" t="s">
        <v>572</v>
      </c>
      <c r="D77" s="16">
        <v>403040</v>
      </c>
      <c r="E77" s="14" t="s">
        <v>171</v>
      </c>
      <c r="F77" s="14">
        <v>126877.61636344611</v>
      </c>
      <c r="G77" s="14">
        <v>0</v>
      </c>
      <c r="H77" s="14">
        <v>34735.738021833909</v>
      </c>
      <c r="I77" s="14">
        <v>27970.430225239626</v>
      </c>
      <c r="J77" s="14">
        <v>189583.78461051965</v>
      </c>
      <c r="K77" s="14">
        <v>107845.9739089292</v>
      </c>
      <c r="L77" s="14">
        <v>0</v>
      </c>
      <c r="M77" s="14">
        <v>32539.340640428512</v>
      </c>
      <c r="N77" s="14">
        <v>25243.303400904613</v>
      </c>
      <c r="O77" s="14">
        <v>165628.61795026233</v>
      </c>
      <c r="P77" s="15">
        <v>0.87364337773153566</v>
      </c>
      <c r="Q77" s="14">
        <v>24641</v>
      </c>
      <c r="R77" s="11" t="str">
        <f t="shared" si="1"/>
        <v>*</v>
      </c>
      <c r="T77" s="12"/>
    </row>
    <row r="78" spans="1:20" x14ac:dyDescent="0.3">
      <c r="A78" s="17">
        <v>1</v>
      </c>
      <c r="B78" s="17">
        <v>4</v>
      </c>
      <c r="C78" s="14" t="s">
        <v>572</v>
      </c>
      <c r="D78" s="16">
        <v>403060</v>
      </c>
      <c r="E78" s="14" t="s">
        <v>172</v>
      </c>
      <c r="F78" s="14">
        <v>942254.64898789348</v>
      </c>
      <c r="G78" s="14">
        <v>223275.99195460445</v>
      </c>
      <c r="H78" s="14">
        <v>482705.32936889399</v>
      </c>
      <c r="I78" s="14">
        <v>454698.53992096434</v>
      </c>
      <c r="J78" s="14">
        <v>2102934.5102323564</v>
      </c>
      <c r="K78" s="14">
        <v>1016713.5939886121</v>
      </c>
      <c r="L78" s="14">
        <v>242190.47720330686</v>
      </c>
      <c r="M78" s="14">
        <v>584068.337858674</v>
      </c>
      <c r="N78" s="14">
        <v>528267.76725546992</v>
      </c>
      <c r="O78" s="14">
        <v>2371240.1763060633</v>
      </c>
      <c r="P78" s="15">
        <v>1.1275863155833898</v>
      </c>
      <c r="Q78" s="14">
        <v>31859</v>
      </c>
      <c r="R78" s="11" t="str">
        <f t="shared" si="1"/>
        <v>*</v>
      </c>
      <c r="T78" s="12"/>
    </row>
    <row r="79" spans="1:20" x14ac:dyDescent="0.3">
      <c r="A79" s="17">
        <v>1</v>
      </c>
      <c r="B79" s="17">
        <v>4</v>
      </c>
      <c r="C79" s="14" t="s">
        <v>572</v>
      </c>
      <c r="D79" s="16">
        <v>403080</v>
      </c>
      <c r="E79" s="14" t="s">
        <v>174</v>
      </c>
      <c r="F79" s="14">
        <v>47504.762039037203</v>
      </c>
      <c r="G79" s="14">
        <v>11256.694650672665</v>
      </c>
      <c r="H79" s="14">
        <v>16953.382293797178</v>
      </c>
      <c r="I79" s="14">
        <v>14650.92081707163</v>
      </c>
      <c r="J79" s="14">
        <v>90365.759800578671</v>
      </c>
      <c r="K79" s="14">
        <v>44451.66410926955</v>
      </c>
      <c r="L79" s="14">
        <v>10588.792956795745</v>
      </c>
      <c r="M79" s="14">
        <v>15572.22951418045</v>
      </c>
      <c r="N79" s="14">
        <v>13185.828735364468</v>
      </c>
      <c r="O79" s="14">
        <v>83798.515315610217</v>
      </c>
      <c r="P79" s="15">
        <v>0.92732596395513955</v>
      </c>
      <c r="Q79" s="14">
        <v>2886</v>
      </c>
      <c r="R79" s="11" t="str">
        <f t="shared" si="1"/>
        <v xml:space="preserve">  </v>
      </c>
      <c r="T79" s="12"/>
    </row>
    <row r="80" spans="1:20" x14ac:dyDescent="0.3">
      <c r="A80" s="17">
        <v>1</v>
      </c>
      <c r="B80" s="17">
        <v>4</v>
      </c>
      <c r="C80" s="14" t="s">
        <v>572</v>
      </c>
      <c r="D80" s="16">
        <v>403240</v>
      </c>
      <c r="E80" s="14" t="s">
        <v>176</v>
      </c>
      <c r="F80" s="14">
        <v>787748.8695405391</v>
      </c>
      <c r="G80" s="14">
        <v>196335.68618822371</v>
      </c>
      <c r="H80" s="14">
        <v>503140.03810751752</v>
      </c>
      <c r="I80" s="14">
        <v>552044.26813052362</v>
      </c>
      <c r="J80" s="14">
        <v>2039268.8619668041</v>
      </c>
      <c r="K80" s="14">
        <v>838906.9375515338</v>
      </c>
      <c r="L80" s="14">
        <v>199835.30537612396</v>
      </c>
      <c r="M80" s="14">
        <v>518179.77665106597</v>
      </c>
      <c r="N80" s="14">
        <v>524442.05472399737</v>
      </c>
      <c r="O80" s="14">
        <v>2081364.0743027211</v>
      </c>
      <c r="P80" s="15">
        <v>1.0206423062309291</v>
      </c>
      <c r="Q80" s="14">
        <v>26237</v>
      </c>
      <c r="R80" s="11" t="str">
        <f t="shared" si="1"/>
        <v>*</v>
      </c>
      <c r="T80" s="12"/>
    </row>
    <row r="81" spans="1:20" x14ac:dyDescent="0.3">
      <c r="A81" s="17">
        <v>1</v>
      </c>
      <c r="B81" s="17">
        <v>4</v>
      </c>
      <c r="C81" s="14" t="s">
        <v>572</v>
      </c>
      <c r="D81" s="16">
        <v>403290</v>
      </c>
      <c r="E81" s="14" t="s">
        <v>590</v>
      </c>
      <c r="F81" s="14">
        <v>374306.05538083165</v>
      </c>
      <c r="G81" s="14">
        <v>96564.890089015331</v>
      </c>
      <c r="H81" s="14">
        <v>233219.0133535451</v>
      </c>
      <c r="I81" s="14">
        <v>259575.07496646733</v>
      </c>
      <c r="J81" s="14">
        <v>963665.03378985939</v>
      </c>
      <c r="K81" s="14">
        <v>355590.75261179003</v>
      </c>
      <c r="L81" s="14">
        <v>91736.645584564554</v>
      </c>
      <c r="M81" s="14">
        <v>221558.06268586783</v>
      </c>
      <c r="N81" s="14">
        <v>246596.32121814394</v>
      </c>
      <c r="O81" s="14">
        <v>915481.78210036631</v>
      </c>
      <c r="P81" s="15">
        <v>0.94999999999999984</v>
      </c>
      <c r="Q81" s="14">
        <v>7211</v>
      </c>
      <c r="R81" s="11" t="str">
        <f t="shared" si="1"/>
        <v xml:space="preserve">  </v>
      </c>
      <c r="T81" s="12"/>
    </row>
    <row r="82" spans="1:20" x14ac:dyDescent="0.3">
      <c r="A82" s="17">
        <v>1</v>
      </c>
      <c r="B82" s="17">
        <v>4</v>
      </c>
      <c r="C82" s="14" t="s">
        <v>572</v>
      </c>
      <c r="D82" s="16">
        <v>403310</v>
      </c>
      <c r="E82" s="14" t="s">
        <v>180</v>
      </c>
      <c r="F82" s="14">
        <v>121125.67500293581</v>
      </c>
      <c r="G82" s="14">
        <v>26503.245910406364</v>
      </c>
      <c r="H82" s="14">
        <v>48365.217967538985</v>
      </c>
      <c r="I82" s="14">
        <v>46305.705367601819</v>
      </c>
      <c r="J82" s="14">
        <v>242299.84424848299</v>
      </c>
      <c r="K82" s="14">
        <v>109013.10750264223</v>
      </c>
      <c r="L82" s="14">
        <v>23852.921319365727</v>
      </c>
      <c r="M82" s="14">
        <v>43528.696170785086</v>
      </c>
      <c r="N82" s="14">
        <v>41675.134830841635</v>
      </c>
      <c r="O82" s="14">
        <v>218069.85982363467</v>
      </c>
      <c r="P82" s="15">
        <v>0.89999999999999991</v>
      </c>
      <c r="Q82" s="14">
        <v>2584</v>
      </c>
      <c r="R82" s="11" t="str">
        <f t="shared" si="1"/>
        <v xml:space="preserve">  </v>
      </c>
      <c r="T82" s="12"/>
    </row>
    <row r="83" spans="1:20" x14ac:dyDescent="0.3">
      <c r="A83" s="17">
        <v>1</v>
      </c>
      <c r="B83" s="17">
        <v>4</v>
      </c>
      <c r="C83" s="14" t="s">
        <v>572</v>
      </c>
      <c r="D83" s="16">
        <v>403400</v>
      </c>
      <c r="E83" s="14" t="s">
        <v>182</v>
      </c>
      <c r="F83" s="14">
        <v>1985514.5687189819</v>
      </c>
      <c r="G83" s="14">
        <v>0</v>
      </c>
      <c r="H83" s="14">
        <v>902989.82110129762</v>
      </c>
      <c r="I83" s="14">
        <v>677432.76790962217</v>
      </c>
      <c r="J83" s="14">
        <v>3565937.1577299018</v>
      </c>
      <c r="K83" s="14">
        <v>1967222.5818570354</v>
      </c>
      <c r="L83" s="14">
        <v>0</v>
      </c>
      <c r="M83" s="14">
        <v>976679.72663496761</v>
      </c>
      <c r="N83" s="14">
        <v>810221.46617464907</v>
      </c>
      <c r="O83" s="14">
        <v>3754123.7746666521</v>
      </c>
      <c r="P83" s="15">
        <v>1.0527733968975916</v>
      </c>
      <c r="Q83" s="14">
        <v>197468</v>
      </c>
      <c r="R83" s="11" t="str">
        <f t="shared" si="1"/>
        <v>*</v>
      </c>
      <c r="T83" s="12"/>
    </row>
    <row r="84" spans="1:20" x14ac:dyDescent="0.3">
      <c r="A84" s="17">
        <v>1</v>
      </c>
      <c r="B84" s="17">
        <v>4</v>
      </c>
      <c r="C84" s="14" t="s">
        <v>572</v>
      </c>
      <c r="D84" s="16">
        <v>403420</v>
      </c>
      <c r="E84" s="14" t="s">
        <v>183</v>
      </c>
      <c r="F84" s="14">
        <v>3087809.532537417</v>
      </c>
      <c r="G84" s="14">
        <v>731685.15229372331</v>
      </c>
      <c r="H84" s="14">
        <v>1786064.2830286832</v>
      </c>
      <c r="I84" s="14">
        <v>1519556.7718949064</v>
      </c>
      <c r="J84" s="14">
        <v>7125115.7397547299</v>
      </c>
      <c r="K84" s="14">
        <v>3140462.7803155221</v>
      </c>
      <c r="L84" s="14">
        <v>748086.9577242611</v>
      </c>
      <c r="M84" s="14">
        <v>1965935.0128820119</v>
      </c>
      <c r="N84" s="14">
        <v>1856977.6508392724</v>
      </c>
      <c r="O84" s="14">
        <v>7711462.401761068</v>
      </c>
      <c r="P84" s="15">
        <v>1.0822929315708942</v>
      </c>
      <c r="Q84" s="14">
        <v>104470</v>
      </c>
      <c r="R84" s="11" t="str">
        <f t="shared" si="1"/>
        <v>*</v>
      </c>
      <c r="T84" s="12"/>
    </row>
    <row r="85" spans="1:20" x14ac:dyDescent="0.3">
      <c r="A85" s="17">
        <v>1</v>
      </c>
      <c r="B85" s="17">
        <v>4</v>
      </c>
      <c r="C85" s="14" t="s">
        <v>572</v>
      </c>
      <c r="D85" s="16">
        <v>403450</v>
      </c>
      <c r="E85" s="14" t="s">
        <v>184</v>
      </c>
      <c r="F85" s="14">
        <v>2840139.0741397203</v>
      </c>
      <c r="G85" s="14">
        <v>672997.33649361448</v>
      </c>
      <c r="H85" s="14">
        <v>1372111.6094241973</v>
      </c>
      <c r="I85" s="14">
        <v>1037028.9398871417</v>
      </c>
      <c r="J85" s="14">
        <v>5922276.9599446738</v>
      </c>
      <c r="K85" s="14">
        <v>2799981.9488402666</v>
      </c>
      <c r="L85" s="14">
        <v>666981.30954454874</v>
      </c>
      <c r="M85" s="14">
        <v>1479326.9096857975</v>
      </c>
      <c r="N85" s="14">
        <v>1248906.8999476065</v>
      </c>
      <c r="O85" s="14">
        <v>6195197.0680182185</v>
      </c>
      <c r="P85" s="15">
        <v>1.0460836448412394</v>
      </c>
      <c r="Q85" s="14">
        <v>346190</v>
      </c>
      <c r="R85" s="11" t="str">
        <f t="shared" si="1"/>
        <v>*</v>
      </c>
      <c r="T85" s="12"/>
    </row>
    <row r="86" spans="1:20" x14ac:dyDescent="0.3">
      <c r="A86" s="17">
        <v>1</v>
      </c>
      <c r="B86" s="17">
        <v>4</v>
      </c>
      <c r="C86" s="14" t="s">
        <v>572</v>
      </c>
      <c r="D86" s="16">
        <v>403500</v>
      </c>
      <c r="E86" s="14" t="s">
        <v>185</v>
      </c>
      <c r="F86" s="14">
        <v>228760.7958384704</v>
      </c>
      <c r="G86" s="14">
        <v>54206.995599355738</v>
      </c>
      <c r="H86" s="14">
        <v>98670.071808642359</v>
      </c>
      <c r="I86" s="14">
        <v>72144.751922839103</v>
      </c>
      <c r="J86" s="14">
        <v>453782.61516930757</v>
      </c>
      <c r="K86" s="14">
        <v>211854.73958460373</v>
      </c>
      <c r="L86" s="14">
        <v>50465.736645154175</v>
      </c>
      <c r="M86" s="14">
        <v>93640.562060044176</v>
      </c>
      <c r="N86" s="14">
        <v>74393.393539691067</v>
      </c>
      <c r="O86" s="14">
        <v>430354.43182949309</v>
      </c>
      <c r="P86" s="15">
        <v>0.94837135104641823</v>
      </c>
      <c r="Q86" s="14">
        <v>10541</v>
      </c>
      <c r="R86" s="11" t="str">
        <f t="shared" si="1"/>
        <v xml:space="preserve">  </v>
      </c>
      <c r="T86" s="12"/>
    </row>
    <row r="87" spans="1:20" x14ac:dyDescent="0.3">
      <c r="A87" s="17">
        <v>1</v>
      </c>
      <c r="B87" s="17">
        <v>4</v>
      </c>
      <c r="C87" s="14" t="s">
        <v>572</v>
      </c>
      <c r="D87" s="16">
        <v>403550</v>
      </c>
      <c r="E87" s="14" t="s">
        <v>187</v>
      </c>
      <c r="F87" s="14">
        <v>31823.578453335609</v>
      </c>
      <c r="G87" s="14">
        <v>7540.8925329748918</v>
      </c>
      <c r="H87" s="14">
        <v>15116.930632663332</v>
      </c>
      <c r="I87" s="14">
        <v>13486.756841112723</v>
      </c>
      <c r="J87" s="14">
        <v>67968.158460086561</v>
      </c>
      <c r="K87" s="14">
        <v>28641.220608002048</v>
      </c>
      <c r="L87" s="14">
        <v>6786.8032796774023</v>
      </c>
      <c r="M87" s="14">
        <v>13605.237569396999</v>
      </c>
      <c r="N87" s="14">
        <v>12138.08115700145</v>
      </c>
      <c r="O87" s="14">
        <v>61171.34261407789</v>
      </c>
      <c r="P87" s="15">
        <v>0.8999999999999998</v>
      </c>
      <c r="Q87" s="14">
        <v>2691</v>
      </c>
      <c r="R87" s="11" t="str">
        <f t="shared" si="1"/>
        <v xml:space="preserve">  </v>
      </c>
      <c r="T87" s="12"/>
    </row>
    <row r="88" spans="1:20" x14ac:dyDescent="0.3">
      <c r="A88" s="17">
        <v>1</v>
      </c>
      <c r="B88" s="17">
        <v>4</v>
      </c>
      <c r="C88" s="14" t="s">
        <v>572</v>
      </c>
      <c r="D88" s="16">
        <v>403660</v>
      </c>
      <c r="E88" s="14" t="s">
        <v>191</v>
      </c>
      <c r="F88" s="14">
        <v>23685.440102433</v>
      </c>
      <c r="G88" s="14">
        <v>5776.7785601735568</v>
      </c>
      <c r="H88" s="14">
        <v>8795.5349397023383</v>
      </c>
      <c r="I88" s="14">
        <v>8080.4738572267242</v>
      </c>
      <c r="J88" s="14">
        <v>46338.227459535614</v>
      </c>
      <c r="K88" s="14">
        <v>21316.896092189701</v>
      </c>
      <c r="L88" s="14">
        <v>5199.1007041562016</v>
      </c>
      <c r="M88" s="14">
        <v>7915.9814457321045</v>
      </c>
      <c r="N88" s="14">
        <v>7272.4264715040517</v>
      </c>
      <c r="O88" s="14">
        <v>41704.404713582058</v>
      </c>
      <c r="P88" s="15">
        <v>0.90000000000000013</v>
      </c>
      <c r="Q88" s="14">
        <v>1228</v>
      </c>
      <c r="R88" s="11" t="str">
        <f t="shared" si="1"/>
        <v xml:space="preserve">  </v>
      </c>
      <c r="T88" s="12"/>
    </row>
    <row r="89" spans="1:20" x14ac:dyDescent="0.3">
      <c r="A89" s="17">
        <v>1</v>
      </c>
      <c r="B89" s="17">
        <v>4</v>
      </c>
      <c r="C89" s="14" t="s">
        <v>572</v>
      </c>
      <c r="D89" s="16">
        <v>403730</v>
      </c>
      <c r="E89" s="14" t="s">
        <v>193</v>
      </c>
      <c r="F89" s="14">
        <v>51677.323859853808</v>
      </c>
      <c r="G89" s="14">
        <v>12603.880494924126</v>
      </c>
      <c r="H89" s="14">
        <v>29122.084764032592</v>
      </c>
      <c r="I89" s="14">
        <v>27078.365567065906</v>
      </c>
      <c r="J89" s="14">
        <v>120481.65468587643</v>
      </c>
      <c r="K89" s="14">
        <v>49093.457666861119</v>
      </c>
      <c r="L89" s="14">
        <v>11973.68647017792</v>
      </c>
      <c r="M89" s="14">
        <v>27665.980525830961</v>
      </c>
      <c r="N89" s="14">
        <v>25724.44728871261</v>
      </c>
      <c r="O89" s="14">
        <v>114457.57195158262</v>
      </c>
      <c r="P89" s="15">
        <v>0.95000000000000007</v>
      </c>
      <c r="Q89" s="14">
        <v>1328</v>
      </c>
      <c r="R89" s="11" t="str">
        <f t="shared" si="1"/>
        <v xml:space="preserve">  </v>
      </c>
      <c r="T89" s="12"/>
    </row>
    <row r="90" spans="1:20" x14ac:dyDescent="0.3">
      <c r="A90" s="17">
        <v>1</v>
      </c>
      <c r="B90" s="17">
        <v>4</v>
      </c>
      <c r="C90" s="14" t="s">
        <v>572</v>
      </c>
      <c r="D90" s="16">
        <v>400026</v>
      </c>
      <c r="E90" s="14" t="s">
        <v>194</v>
      </c>
      <c r="F90" s="14">
        <v>97315.580487736413</v>
      </c>
      <c r="G90" s="14">
        <v>23059.830789242071</v>
      </c>
      <c r="H90" s="14">
        <v>57182.252896676378</v>
      </c>
      <c r="I90" s="14">
        <v>49007.164585619241</v>
      </c>
      <c r="J90" s="14">
        <v>226564.8287592741</v>
      </c>
      <c r="K90" s="14">
        <v>87584.022438962769</v>
      </c>
      <c r="L90" s="14">
        <v>20753.847710317863</v>
      </c>
      <c r="M90" s="14">
        <v>51464.027607008742</v>
      </c>
      <c r="N90" s="14">
        <v>44106.448127057316</v>
      </c>
      <c r="O90" s="14">
        <v>203908.34588334669</v>
      </c>
      <c r="P90" s="15">
        <v>0.9</v>
      </c>
      <c r="Q90" s="14">
        <v>4117</v>
      </c>
      <c r="R90" s="11" t="str">
        <f t="shared" si="1"/>
        <v xml:space="preserve">  </v>
      </c>
      <c r="T90" s="12"/>
    </row>
    <row r="91" spans="1:20" x14ac:dyDescent="0.3">
      <c r="A91" s="17">
        <v>1</v>
      </c>
      <c r="B91" s="17">
        <v>4</v>
      </c>
      <c r="C91" s="14" t="s">
        <v>572</v>
      </c>
      <c r="D91" s="16">
        <v>403780</v>
      </c>
      <c r="E91" s="14" t="s">
        <v>589</v>
      </c>
      <c r="F91" s="14">
        <v>659993.34444526455</v>
      </c>
      <c r="G91" s="14">
        <v>0</v>
      </c>
      <c r="H91" s="14">
        <v>227978.50533446926</v>
      </c>
      <c r="I91" s="14">
        <v>158097.8643701479</v>
      </c>
      <c r="J91" s="14">
        <v>1046069.7141498817</v>
      </c>
      <c r="K91" s="14">
        <v>614757.05683032388</v>
      </c>
      <c r="L91" s="14">
        <v>0</v>
      </c>
      <c r="M91" s="14">
        <v>228988.47393669985</v>
      </c>
      <c r="N91" s="14">
        <v>177644.21187171692</v>
      </c>
      <c r="O91" s="14">
        <v>1021389.7426387407</v>
      </c>
      <c r="P91" s="15">
        <v>0.97640695340157335</v>
      </c>
      <c r="Q91" s="14">
        <v>69278</v>
      </c>
      <c r="R91" s="11" t="str">
        <f t="shared" si="1"/>
        <v>*</v>
      </c>
      <c r="T91" s="12"/>
    </row>
    <row r="92" spans="1:20" x14ac:dyDescent="0.3">
      <c r="A92" s="17">
        <v>1</v>
      </c>
      <c r="B92" s="17">
        <v>4</v>
      </c>
      <c r="C92" s="14" t="s">
        <v>572</v>
      </c>
      <c r="D92" s="16">
        <v>408460</v>
      </c>
      <c r="E92" s="14" t="s">
        <v>514</v>
      </c>
      <c r="F92" s="14">
        <v>0</v>
      </c>
      <c r="G92" s="14">
        <v>0</v>
      </c>
      <c r="H92" s="14">
        <v>0</v>
      </c>
      <c r="I92" s="14">
        <v>0</v>
      </c>
      <c r="J92" s="14">
        <v>0</v>
      </c>
      <c r="K92" s="14">
        <v>0</v>
      </c>
      <c r="L92" s="14">
        <v>0</v>
      </c>
      <c r="M92" s="14">
        <v>0</v>
      </c>
      <c r="N92" s="14">
        <v>0</v>
      </c>
      <c r="O92" s="14">
        <v>0</v>
      </c>
      <c r="P92" s="15">
        <v>0</v>
      </c>
      <c r="Q92" s="14">
        <v>134</v>
      </c>
      <c r="R92" s="11" t="str">
        <f t="shared" si="1"/>
        <v xml:space="preserve">  </v>
      </c>
      <c r="T92" s="12"/>
    </row>
    <row r="93" spans="1:20" x14ac:dyDescent="0.3">
      <c r="A93" s="17">
        <v>1</v>
      </c>
      <c r="B93" s="17">
        <v>4</v>
      </c>
      <c r="C93" s="14" t="s">
        <v>572</v>
      </c>
      <c r="D93" s="16">
        <v>403820</v>
      </c>
      <c r="E93" s="14" t="s">
        <v>199</v>
      </c>
      <c r="F93" s="14">
        <v>494813.32425068005</v>
      </c>
      <c r="G93" s="14">
        <v>127653.33412233111</v>
      </c>
      <c r="H93" s="14">
        <v>280910.09742341167</v>
      </c>
      <c r="I93" s="14">
        <v>300062.32625072217</v>
      </c>
      <c r="J93" s="14">
        <v>1203439.0820471449</v>
      </c>
      <c r="K93" s="14">
        <v>470072.65803814604</v>
      </c>
      <c r="L93" s="14">
        <v>121270.66741621455</v>
      </c>
      <c r="M93" s="14">
        <v>266864.59255224105</v>
      </c>
      <c r="N93" s="14">
        <v>285059.20993818605</v>
      </c>
      <c r="O93" s="14">
        <v>1143267.1279447877</v>
      </c>
      <c r="P93" s="15">
        <v>0.95000000000000007</v>
      </c>
      <c r="Q93" s="14">
        <v>10599</v>
      </c>
      <c r="R93" s="11" t="str">
        <f t="shared" si="1"/>
        <v xml:space="preserve">  </v>
      </c>
      <c r="T93" s="12"/>
    </row>
    <row r="94" spans="1:20" x14ac:dyDescent="0.3">
      <c r="A94" s="17">
        <v>1</v>
      </c>
      <c r="B94" s="17">
        <v>4</v>
      </c>
      <c r="C94" s="14" t="s">
        <v>572</v>
      </c>
      <c r="D94" s="16">
        <v>403870</v>
      </c>
      <c r="E94" s="14" t="s">
        <v>200</v>
      </c>
      <c r="F94" s="14">
        <v>790529.44305978378</v>
      </c>
      <c r="G94" s="14">
        <v>187187.80700129209</v>
      </c>
      <c r="H94" s="14">
        <v>287258.99570752401</v>
      </c>
      <c r="I94" s="14">
        <v>239245.70777759296</v>
      </c>
      <c r="J94" s="14">
        <v>1504221.953546193</v>
      </c>
      <c r="K94" s="14">
        <v>753786.7296827198</v>
      </c>
      <c r="L94" s="14">
        <v>179558.8933311959</v>
      </c>
      <c r="M94" s="14">
        <v>291926.40912279184</v>
      </c>
      <c r="N94" s="14">
        <v>226470.07502872983</v>
      </c>
      <c r="O94" s="14">
        <v>1451742.1071654374</v>
      </c>
      <c r="P94" s="15">
        <v>0.96511163378713183</v>
      </c>
      <c r="Q94" s="14">
        <v>52989</v>
      </c>
      <c r="R94" s="11" t="str">
        <f t="shared" si="1"/>
        <v>*</v>
      </c>
      <c r="T94" s="12"/>
    </row>
    <row r="95" spans="1:20" x14ac:dyDescent="0.3">
      <c r="A95" s="17">
        <v>1</v>
      </c>
      <c r="B95" s="17">
        <v>4</v>
      </c>
      <c r="C95" s="14" t="s">
        <v>572</v>
      </c>
      <c r="D95" s="16">
        <v>403900</v>
      </c>
      <c r="E95" s="14" t="s">
        <v>201</v>
      </c>
      <c r="F95" s="14">
        <v>38335.683121067086</v>
      </c>
      <c r="G95" s="14">
        <v>9734.0050997693797</v>
      </c>
      <c r="H95" s="14">
        <v>25188.336209411635</v>
      </c>
      <c r="I95" s="14">
        <v>27746.961801738078</v>
      </c>
      <c r="J95" s="14">
        <v>101004.98623198617</v>
      </c>
      <c r="K95" s="14">
        <v>34502.114808960381</v>
      </c>
      <c r="L95" s="14">
        <v>8760.6045897924414</v>
      </c>
      <c r="M95" s="14">
        <v>22669.50258847047</v>
      </c>
      <c r="N95" s="14">
        <v>24972.265621564271</v>
      </c>
      <c r="O95" s="14">
        <v>90904.487608787575</v>
      </c>
      <c r="P95" s="15">
        <v>0.90000000000000024</v>
      </c>
      <c r="Q95" s="14">
        <v>763</v>
      </c>
      <c r="R95" s="11" t="str">
        <f t="shared" si="1"/>
        <v xml:space="preserve">  </v>
      </c>
      <c r="T95" s="12"/>
    </row>
    <row r="96" spans="1:20" x14ac:dyDescent="0.3">
      <c r="A96" s="17">
        <v>1</v>
      </c>
      <c r="B96" s="17">
        <v>4</v>
      </c>
      <c r="C96" s="14" t="s">
        <v>572</v>
      </c>
      <c r="D96" s="16">
        <v>403950</v>
      </c>
      <c r="E96" s="14" t="s">
        <v>588</v>
      </c>
      <c r="F96" s="14">
        <v>612376.28773926757</v>
      </c>
      <c r="G96" s="14">
        <v>149355.98386485083</v>
      </c>
      <c r="H96" s="14">
        <v>448181.29614389525</v>
      </c>
      <c r="I96" s="14">
        <v>524775.3185737849</v>
      </c>
      <c r="J96" s="14">
        <v>1734688.8863217984</v>
      </c>
      <c r="K96" s="14">
        <v>581757.47335230419</v>
      </c>
      <c r="L96" s="14">
        <v>141888.18467160829</v>
      </c>
      <c r="M96" s="14">
        <v>425772.23133670044</v>
      </c>
      <c r="N96" s="14">
        <v>498536.55264509562</v>
      </c>
      <c r="O96" s="14">
        <v>1647954.4420057086</v>
      </c>
      <c r="P96" s="15">
        <v>0.95000000000000007</v>
      </c>
      <c r="Q96" s="14">
        <v>7351</v>
      </c>
      <c r="R96" s="11" t="str">
        <f t="shared" si="1"/>
        <v xml:space="preserve">  </v>
      </c>
      <c r="T96" s="12"/>
    </row>
    <row r="97" spans="1:20" x14ac:dyDescent="0.3">
      <c r="A97" s="17">
        <v>1</v>
      </c>
      <c r="B97" s="17">
        <v>4</v>
      </c>
      <c r="C97" s="14" t="s">
        <v>572</v>
      </c>
      <c r="D97" s="16">
        <v>403960</v>
      </c>
      <c r="E97" s="14" t="s">
        <v>220</v>
      </c>
      <c r="F97" s="14">
        <v>2019182.9923000475</v>
      </c>
      <c r="G97" s="14">
        <v>478464.16680237791</v>
      </c>
      <c r="H97" s="14">
        <v>1401820.1549212004</v>
      </c>
      <c r="I97" s="14">
        <v>1286286.7658443255</v>
      </c>
      <c r="J97" s="14">
        <v>5185754.0798679516</v>
      </c>
      <c r="K97" s="14">
        <v>2145502.1283378284</v>
      </c>
      <c r="L97" s="14">
        <v>511078.23026576889</v>
      </c>
      <c r="M97" s="14">
        <v>1662606.4976868995</v>
      </c>
      <c r="N97" s="14">
        <v>1715865.1822857428</v>
      </c>
      <c r="O97" s="14">
        <v>6035052.0385762397</v>
      </c>
      <c r="P97" s="15">
        <v>1.1637752090878004</v>
      </c>
      <c r="Q97" s="14">
        <v>46154</v>
      </c>
      <c r="R97" s="11" t="str">
        <f t="shared" si="1"/>
        <v>*</v>
      </c>
      <c r="T97" s="12"/>
    </row>
    <row r="98" spans="1:20" x14ac:dyDescent="0.3">
      <c r="A98" s="17">
        <v>1</v>
      </c>
      <c r="B98" s="17">
        <v>4</v>
      </c>
      <c r="C98" s="14" t="s">
        <v>572</v>
      </c>
      <c r="D98" s="16">
        <v>403990</v>
      </c>
      <c r="E98" s="14" t="s">
        <v>587</v>
      </c>
      <c r="F98" s="14">
        <v>834792.4202976441</v>
      </c>
      <c r="G98" s="14">
        <v>197811.81861861673</v>
      </c>
      <c r="H98" s="14">
        <v>299941.73702944198</v>
      </c>
      <c r="I98" s="14">
        <v>208002.71495006408</v>
      </c>
      <c r="J98" s="14">
        <v>1540548.690895767</v>
      </c>
      <c r="K98" s="14">
        <v>751313.17826787976</v>
      </c>
      <c r="L98" s="14">
        <v>178030.63675675506</v>
      </c>
      <c r="M98" s="14">
        <v>269947.5633264978</v>
      </c>
      <c r="N98" s="14">
        <v>196244.54069343611</v>
      </c>
      <c r="O98" s="14">
        <v>1395535.9190445687</v>
      </c>
      <c r="P98" s="15">
        <v>0.90586940048816034</v>
      </c>
      <c r="Q98" s="14">
        <v>37294</v>
      </c>
      <c r="R98" s="11" t="str">
        <f t="shared" si="1"/>
        <v>*</v>
      </c>
      <c r="T98" s="12"/>
    </row>
    <row r="99" spans="1:20" x14ac:dyDescent="0.3">
      <c r="A99" s="17">
        <v>1</v>
      </c>
      <c r="B99" s="17">
        <v>4</v>
      </c>
      <c r="C99" s="14" t="s">
        <v>572</v>
      </c>
      <c r="D99" s="16">
        <v>404010</v>
      </c>
      <c r="E99" s="14" t="s">
        <v>223</v>
      </c>
      <c r="F99" s="14">
        <v>96854.369205804003</v>
      </c>
      <c r="G99" s="14">
        <v>22950.542491662723</v>
      </c>
      <c r="H99" s="14">
        <v>63021.277996220146</v>
      </c>
      <c r="I99" s="14">
        <v>56419.562327519721</v>
      </c>
      <c r="J99" s="14">
        <v>239245.7520212066</v>
      </c>
      <c r="K99" s="14">
        <v>92011.650745513805</v>
      </c>
      <c r="L99" s="14">
        <v>21803.015367079588</v>
      </c>
      <c r="M99" s="14">
        <v>59870.214096409138</v>
      </c>
      <c r="N99" s="14">
        <v>53598.58421114373</v>
      </c>
      <c r="O99" s="14">
        <v>227283.46442014625</v>
      </c>
      <c r="P99" s="15">
        <v>0.95</v>
      </c>
      <c r="Q99" s="14">
        <v>1802</v>
      </c>
      <c r="R99" s="11" t="str">
        <f t="shared" si="1"/>
        <v xml:space="preserve">  </v>
      </c>
      <c r="T99" s="12"/>
    </row>
    <row r="100" spans="1:20" x14ac:dyDescent="0.3">
      <c r="A100" s="17">
        <v>1</v>
      </c>
      <c r="B100" s="17">
        <v>4</v>
      </c>
      <c r="C100" s="14" t="s">
        <v>572</v>
      </c>
      <c r="D100" s="16">
        <v>404060</v>
      </c>
      <c r="E100" s="14" t="s">
        <v>239</v>
      </c>
      <c r="F100" s="14">
        <v>641083.68188603607</v>
      </c>
      <c r="G100" s="14">
        <v>159737.41505464757</v>
      </c>
      <c r="H100" s="14">
        <v>437606.19354550989</v>
      </c>
      <c r="I100" s="14">
        <v>422773.20055062359</v>
      </c>
      <c r="J100" s="14">
        <v>1661200.491036817</v>
      </c>
      <c r="K100" s="14">
        <v>609029.49779173429</v>
      </c>
      <c r="L100" s="14">
        <v>151750.54430191519</v>
      </c>
      <c r="M100" s="14">
        <v>415725.88386823435</v>
      </c>
      <c r="N100" s="14">
        <v>401634.54052309238</v>
      </c>
      <c r="O100" s="14">
        <v>1578140.466484976</v>
      </c>
      <c r="P100" s="15">
        <v>0.95</v>
      </c>
      <c r="Q100" s="14">
        <v>10538</v>
      </c>
      <c r="R100" s="11" t="str">
        <f t="shared" si="1"/>
        <v xml:space="preserve">  </v>
      </c>
      <c r="T100" s="12"/>
    </row>
    <row r="101" spans="1:20" x14ac:dyDescent="0.3">
      <c r="A101" s="17">
        <v>1</v>
      </c>
      <c r="B101" s="17">
        <v>4</v>
      </c>
      <c r="C101" s="14" t="s">
        <v>572</v>
      </c>
      <c r="D101" s="16">
        <v>400295</v>
      </c>
      <c r="E101" s="14" t="s">
        <v>242</v>
      </c>
      <c r="F101" s="14">
        <v>1121665.8376595967</v>
      </c>
      <c r="G101" s="14">
        <v>265789.13971297012</v>
      </c>
      <c r="H101" s="14">
        <v>446582.03811783786</v>
      </c>
      <c r="I101" s="14">
        <v>397018.5593299006</v>
      </c>
      <c r="J101" s="14">
        <v>2231055.5748203052</v>
      </c>
      <c r="K101" s="14">
        <v>1294300.0496496891</v>
      </c>
      <c r="L101" s="14">
        <v>308314.10981648875</v>
      </c>
      <c r="M101" s="14">
        <v>610936.32474709698</v>
      </c>
      <c r="N101" s="14">
        <v>498260.44909929059</v>
      </c>
      <c r="O101" s="14">
        <v>2711810.9333125656</v>
      </c>
      <c r="P101" s="15">
        <v>1.2154833630851987</v>
      </c>
      <c r="Q101" s="14">
        <v>66418</v>
      </c>
      <c r="R101" s="11" t="str">
        <f t="shared" si="1"/>
        <v>*</v>
      </c>
      <c r="T101" s="12"/>
    </row>
    <row r="102" spans="1:20" x14ac:dyDescent="0.3">
      <c r="A102" s="17">
        <v>1</v>
      </c>
      <c r="B102" s="17">
        <v>4</v>
      </c>
      <c r="C102" s="14" t="s">
        <v>572</v>
      </c>
      <c r="D102" s="16">
        <v>404170</v>
      </c>
      <c r="E102" s="14" t="s">
        <v>243</v>
      </c>
      <c r="F102" s="14">
        <v>21336.736218226244</v>
      </c>
      <c r="G102" s="14">
        <v>4927.6469450403292</v>
      </c>
      <c r="H102" s="14">
        <v>11665.251961290429</v>
      </c>
      <c r="I102" s="14">
        <v>10898.380414524952</v>
      </c>
      <c r="J102" s="14">
        <v>48828.015539081956</v>
      </c>
      <c r="K102" s="14">
        <v>21752.942010919141</v>
      </c>
      <c r="L102" s="14">
        <v>5181.7497448149379</v>
      </c>
      <c r="M102" s="14">
        <v>11081.989363225906</v>
      </c>
      <c r="N102" s="14">
        <v>10353.461393798705</v>
      </c>
      <c r="O102" s="14">
        <v>48370.142512758684</v>
      </c>
      <c r="P102" s="15">
        <v>0.99062273939933543</v>
      </c>
      <c r="Q102" s="14">
        <v>1173</v>
      </c>
      <c r="R102" s="11" t="str">
        <f t="shared" si="1"/>
        <v xml:space="preserve">  </v>
      </c>
      <c r="T102" s="12"/>
    </row>
    <row r="103" spans="1:20" x14ac:dyDescent="0.3">
      <c r="A103" s="17">
        <v>1</v>
      </c>
      <c r="B103" s="17">
        <v>4</v>
      </c>
      <c r="C103" s="14" t="s">
        <v>572</v>
      </c>
      <c r="D103" s="16">
        <v>404200</v>
      </c>
      <c r="E103" s="14" t="s">
        <v>509</v>
      </c>
      <c r="F103" s="14">
        <v>0</v>
      </c>
      <c r="G103" s="14">
        <v>0</v>
      </c>
      <c r="H103" s="14">
        <v>0</v>
      </c>
      <c r="I103" s="14">
        <v>0</v>
      </c>
      <c r="J103" s="14">
        <v>0</v>
      </c>
      <c r="K103" s="14">
        <v>0</v>
      </c>
      <c r="L103" s="14">
        <v>0</v>
      </c>
      <c r="M103" s="14">
        <v>0</v>
      </c>
      <c r="N103" s="14">
        <v>0</v>
      </c>
      <c r="O103" s="14">
        <v>0</v>
      </c>
      <c r="P103" s="15">
        <v>0</v>
      </c>
      <c r="Q103" s="14">
        <v>67</v>
      </c>
      <c r="R103" s="11" t="str">
        <f t="shared" si="1"/>
        <v xml:space="preserve">  </v>
      </c>
      <c r="T103" s="12"/>
    </row>
    <row r="104" spans="1:20" x14ac:dyDescent="0.3">
      <c r="A104" s="17">
        <v>1</v>
      </c>
      <c r="B104" s="17">
        <v>4</v>
      </c>
      <c r="C104" s="14" t="s">
        <v>572</v>
      </c>
      <c r="D104" s="16">
        <v>404230</v>
      </c>
      <c r="E104" s="14" t="s">
        <v>244</v>
      </c>
      <c r="F104" s="14">
        <v>827874.25106865808</v>
      </c>
      <c r="G104" s="14">
        <v>0</v>
      </c>
      <c r="H104" s="14">
        <v>297093.58801776759</v>
      </c>
      <c r="I104" s="14">
        <v>208132.21380234184</v>
      </c>
      <c r="J104" s="14">
        <v>1333100.0528887676</v>
      </c>
      <c r="K104" s="14">
        <v>827557.57650235877</v>
      </c>
      <c r="L104" s="14">
        <v>0</v>
      </c>
      <c r="M104" s="14">
        <v>325322.04820112628</v>
      </c>
      <c r="N104" s="14">
        <v>252377.67588755296</v>
      </c>
      <c r="O104" s="14">
        <v>1405257.3005910381</v>
      </c>
      <c r="P104" s="15">
        <v>1.0541274059256911</v>
      </c>
      <c r="Q104" s="14">
        <v>161007</v>
      </c>
      <c r="R104" s="11" t="str">
        <f t="shared" si="1"/>
        <v>*</v>
      </c>
      <c r="T104" s="12"/>
    </row>
    <row r="105" spans="1:20" x14ac:dyDescent="0.3">
      <c r="A105" s="17">
        <v>1</v>
      </c>
      <c r="B105" s="17">
        <v>4</v>
      </c>
      <c r="C105" s="14" t="s">
        <v>572</v>
      </c>
      <c r="D105" s="16">
        <v>404280</v>
      </c>
      <c r="E105" s="14" t="s">
        <v>246</v>
      </c>
      <c r="F105" s="14">
        <v>797434.30646111968</v>
      </c>
      <c r="G105" s="14">
        <v>188959.46651468976</v>
      </c>
      <c r="H105" s="14">
        <v>295393.68560821115</v>
      </c>
      <c r="I105" s="14">
        <v>239679.78482687991</v>
      </c>
      <c r="J105" s="14">
        <v>1521467.2434109005</v>
      </c>
      <c r="K105" s="14">
        <v>818099.7756280459</v>
      </c>
      <c r="L105" s="14">
        <v>194878.84909847484</v>
      </c>
      <c r="M105" s="14">
        <v>337595.21672358637</v>
      </c>
      <c r="N105" s="14">
        <v>260293.82083133652</v>
      </c>
      <c r="O105" s="14">
        <v>1610867.6622814436</v>
      </c>
      <c r="P105" s="15">
        <v>1.0587593451372117</v>
      </c>
      <c r="Q105" s="14">
        <v>56412</v>
      </c>
      <c r="R105" s="11" t="str">
        <f t="shared" si="1"/>
        <v>*</v>
      </c>
      <c r="T105" s="12"/>
    </row>
    <row r="106" spans="1:20" x14ac:dyDescent="0.3">
      <c r="A106" s="17">
        <v>1</v>
      </c>
      <c r="B106" s="17">
        <v>4</v>
      </c>
      <c r="C106" s="14" t="s">
        <v>572</v>
      </c>
      <c r="D106" s="16">
        <v>404290</v>
      </c>
      <c r="E106" s="14" t="s">
        <v>247</v>
      </c>
      <c r="F106" s="14">
        <v>836637.2654253738</v>
      </c>
      <c r="G106" s="14">
        <v>198248.97180893415</v>
      </c>
      <c r="H106" s="14">
        <v>325194.73948010249</v>
      </c>
      <c r="I106" s="14">
        <v>227673.19242013435</v>
      </c>
      <c r="J106" s="14">
        <v>1587754.1691345447</v>
      </c>
      <c r="K106" s="14">
        <v>848837.62846956204</v>
      </c>
      <c r="L106" s="14">
        <v>202200.88678136544</v>
      </c>
      <c r="M106" s="14">
        <v>357236.50505649304</v>
      </c>
      <c r="N106" s="14">
        <v>277893.23052996118</v>
      </c>
      <c r="O106" s="14">
        <v>1686168.2508373817</v>
      </c>
      <c r="P106" s="15">
        <v>1.0619831984169694</v>
      </c>
      <c r="Q106" s="14">
        <v>43808</v>
      </c>
      <c r="R106" s="11" t="str">
        <f t="shared" si="1"/>
        <v>*</v>
      </c>
      <c r="T106" s="12"/>
    </row>
    <row r="107" spans="1:20" x14ac:dyDescent="0.3">
      <c r="A107" s="17">
        <v>1</v>
      </c>
      <c r="B107" s="17">
        <v>4</v>
      </c>
      <c r="C107" s="14" t="s">
        <v>572</v>
      </c>
      <c r="D107" s="16">
        <v>404320</v>
      </c>
      <c r="E107" s="14" t="s">
        <v>260</v>
      </c>
      <c r="F107" s="14">
        <v>308089.13633084332</v>
      </c>
      <c r="G107" s="14">
        <v>73004.582783003309</v>
      </c>
      <c r="H107" s="14">
        <v>88234.751303208584</v>
      </c>
      <c r="I107" s="14">
        <v>60338.949716494812</v>
      </c>
      <c r="J107" s="14">
        <v>529667.42013355007</v>
      </c>
      <c r="K107" s="14">
        <v>309742.9786337401</v>
      </c>
      <c r="L107" s="14">
        <v>73783.61049682142</v>
      </c>
      <c r="M107" s="14">
        <v>95598.948698726657</v>
      </c>
      <c r="N107" s="14">
        <v>73615.418179286236</v>
      </c>
      <c r="O107" s="14">
        <v>552740.95600857446</v>
      </c>
      <c r="P107" s="15">
        <v>1.0435623090980499</v>
      </c>
      <c r="Q107" s="14">
        <v>25637</v>
      </c>
      <c r="R107" s="11" t="str">
        <f t="shared" si="1"/>
        <v>*</v>
      </c>
      <c r="T107" s="12"/>
    </row>
    <row r="108" spans="1:20" x14ac:dyDescent="0.3">
      <c r="A108" s="17">
        <v>1</v>
      </c>
      <c r="B108" s="17">
        <v>4</v>
      </c>
      <c r="C108" s="14" t="s">
        <v>572</v>
      </c>
      <c r="D108" s="16">
        <v>404380</v>
      </c>
      <c r="E108" s="14" t="s">
        <v>262</v>
      </c>
      <c r="F108" s="14">
        <v>915504.39463581424</v>
      </c>
      <c r="G108" s="14">
        <v>216937.27069500231</v>
      </c>
      <c r="H108" s="14">
        <v>333170.14216564305</v>
      </c>
      <c r="I108" s="14">
        <v>231045.85176137104</v>
      </c>
      <c r="J108" s="14">
        <v>1696657.6592578308</v>
      </c>
      <c r="K108" s="14">
        <v>839852.717638965</v>
      </c>
      <c r="L108" s="14">
        <v>200060.59884328977</v>
      </c>
      <c r="M108" s="14">
        <v>330887.98804751545</v>
      </c>
      <c r="N108" s="14">
        <v>256695.6093640234</v>
      </c>
      <c r="O108" s="14">
        <v>1627496.9138937937</v>
      </c>
      <c r="P108" s="15">
        <v>0.95923706530503616</v>
      </c>
      <c r="Q108" s="14">
        <v>81452</v>
      </c>
      <c r="R108" s="11" t="str">
        <f t="shared" si="1"/>
        <v>*</v>
      </c>
      <c r="T108" s="12"/>
    </row>
    <row r="109" spans="1:20" x14ac:dyDescent="0.3">
      <c r="A109" s="17">
        <v>1</v>
      </c>
      <c r="B109" s="17">
        <v>4</v>
      </c>
      <c r="C109" s="14" t="s">
        <v>572</v>
      </c>
      <c r="D109" s="16">
        <v>404410</v>
      </c>
      <c r="E109" s="14" t="s">
        <v>263</v>
      </c>
      <c r="F109" s="14">
        <v>109467.58618075159</v>
      </c>
      <c r="G109" s="14">
        <v>23757.597646804395</v>
      </c>
      <c r="H109" s="14">
        <v>66995.123208870253</v>
      </c>
      <c r="I109" s="14">
        <v>70393.559146888132</v>
      </c>
      <c r="J109" s="14">
        <v>270613.86618331436</v>
      </c>
      <c r="K109" s="14">
        <v>98520.827562676437</v>
      </c>
      <c r="L109" s="14">
        <v>21381.837882123957</v>
      </c>
      <c r="M109" s="14">
        <v>60295.610887983232</v>
      </c>
      <c r="N109" s="14">
        <v>63354.203232199317</v>
      </c>
      <c r="O109" s="14">
        <v>243552.47956498293</v>
      </c>
      <c r="P109" s="15">
        <v>0.9</v>
      </c>
      <c r="Q109" s="14">
        <v>3992</v>
      </c>
      <c r="R109" s="11" t="str">
        <f t="shared" si="1"/>
        <v xml:space="preserve">  </v>
      </c>
      <c r="T109" s="12"/>
    </row>
    <row r="110" spans="1:20" x14ac:dyDescent="0.3">
      <c r="A110" s="17">
        <v>1</v>
      </c>
      <c r="B110" s="17">
        <v>4</v>
      </c>
      <c r="C110" s="14" t="s">
        <v>572</v>
      </c>
      <c r="D110" s="16">
        <v>404440</v>
      </c>
      <c r="E110" s="14" t="s">
        <v>264</v>
      </c>
      <c r="F110" s="14">
        <v>768377.99569937878</v>
      </c>
      <c r="G110" s="14">
        <v>182074.30376719087</v>
      </c>
      <c r="H110" s="14">
        <v>284978.22669020755</v>
      </c>
      <c r="I110" s="14">
        <v>195348.43372214513</v>
      </c>
      <c r="J110" s="14">
        <v>1430778.9598789224</v>
      </c>
      <c r="K110" s="14">
        <v>783105.91239308892</v>
      </c>
      <c r="L110" s="14">
        <v>186542.99081333776</v>
      </c>
      <c r="M110" s="14">
        <v>315146.23285009066</v>
      </c>
      <c r="N110" s="14">
        <v>240158.5109452293</v>
      </c>
      <c r="O110" s="14">
        <v>1524953.6470017466</v>
      </c>
      <c r="P110" s="15">
        <v>1.0658205703072356</v>
      </c>
      <c r="Q110" s="14">
        <v>41840</v>
      </c>
      <c r="R110" s="11" t="str">
        <f t="shared" si="1"/>
        <v>*</v>
      </c>
      <c r="T110" s="12"/>
    </row>
    <row r="111" spans="1:20" x14ac:dyDescent="0.3">
      <c r="A111" s="17">
        <v>1</v>
      </c>
      <c r="B111" s="17">
        <v>4</v>
      </c>
      <c r="C111" s="14" t="s">
        <v>572</v>
      </c>
      <c r="D111" s="16">
        <v>404500</v>
      </c>
      <c r="E111" s="14" t="s">
        <v>265</v>
      </c>
      <c r="F111" s="14">
        <v>520707.53730167972</v>
      </c>
      <c r="G111" s="14">
        <v>123386.48796708196</v>
      </c>
      <c r="H111" s="14">
        <v>172326.01542423322</v>
      </c>
      <c r="I111" s="14">
        <v>126609.58019173821</v>
      </c>
      <c r="J111" s="14">
        <v>943029.62088473304</v>
      </c>
      <c r="K111" s="14">
        <v>517814.59786861873</v>
      </c>
      <c r="L111" s="14">
        <v>123348.17327331213</v>
      </c>
      <c r="M111" s="14">
        <v>185103.17899401658</v>
      </c>
      <c r="N111" s="14">
        <v>143598.96715339163</v>
      </c>
      <c r="O111" s="14">
        <v>969864.91728933901</v>
      </c>
      <c r="P111" s="15">
        <v>1.0284564724270586</v>
      </c>
      <c r="Q111" s="14">
        <v>59119</v>
      </c>
      <c r="R111" s="11" t="str">
        <f t="shared" si="1"/>
        <v>*</v>
      </c>
      <c r="T111" s="12"/>
    </row>
    <row r="112" spans="1:20" x14ac:dyDescent="0.3">
      <c r="A112" s="17">
        <v>1</v>
      </c>
      <c r="B112" s="17">
        <v>4</v>
      </c>
      <c r="C112" s="14" t="s">
        <v>572</v>
      </c>
      <c r="D112" s="16">
        <v>404530</v>
      </c>
      <c r="E112" s="14" t="s">
        <v>267</v>
      </c>
      <c r="F112" s="14">
        <v>13375.127176039599</v>
      </c>
      <c r="G112" s="14">
        <v>3169.3606298010423</v>
      </c>
      <c r="H112" s="14">
        <v>4072.3277614322101</v>
      </c>
      <c r="I112" s="14">
        <v>2731.2832549840891</v>
      </c>
      <c r="J112" s="14">
        <v>23348.098822256943</v>
      </c>
      <c r="K112" s="14">
        <v>12037.614458435639</v>
      </c>
      <c r="L112" s="14">
        <v>2852.4245668209383</v>
      </c>
      <c r="M112" s="14">
        <v>3665.0949852889889</v>
      </c>
      <c r="N112" s="14">
        <v>2657.1898316741699</v>
      </c>
      <c r="O112" s="14">
        <v>21212.323842219739</v>
      </c>
      <c r="P112" s="15">
        <v>0.90852467276687887</v>
      </c>
      <c r="Q112" s="14">
        <v>1310</v>
      </c>
      <c r="R112" s="11" t="str">
        <f t="shared" si="1"/>
        <v xml:space="preserve">  </v>
      </c>
      <c r="T112" s="12"/>
    </row>
    <row r="113" spans="1:20" x14ac:dyDescent="0.3">
      <c r="A113" s="17">
        <v>1</v>
      </c>
      <c r="B113" s="17">
        <v>4</v>
      </c>
      <c r="C113" s="14" t="s">
        <v>572</v>
      </c>
      <c r="D113" s="16">
        <v>404570</v>
      </c>
      <c r="E113" s="14" t="s">
        <v>268</v>
      </c>
      <c r="F113" s="14">
        <v>247526.77171046709</v>
      </c>
      <c r="G113" s="14">
        <v>60370.731626773464</v>
      </c>
      <c r="H113" s="14">
        <v>82322.008550970189</v>
      </c>
      <c r="I113" s="14">
        <v>67293.153803316731</v>
      </c>
      <c r="J113" s="14">
        <v>457512.66569152742</v>
      </c>
      <c r="K113" s="14">
        <v>222774.09453942039</v>
      </c>
      <c r="L113" s="14">
        <v>54333.658464096115</v>
      </c>
      <c r="M113" s="14">
        <v>74089.807695873169</v>
      </c>
      <c r="N113" s="14">
        <v>60563.838422985056</v>
      </c>
      <c r="O113" s="14">
        <v>411761.39912237471</v>
      </c>
      <c r="P113" s="15">
        <v>0.9</v>
      </c>
      <c r="Q113" s="14">
        <v>5840</v>
      </c>
      <c r="R113" s="11" t="str">
        <f t="shared" si="1"/>
        <v xml:space="preserve">  </v>
      </c>
      <c r="T113" s="12"/>
    </row>
    <row r="114" spans="1:20" x14ac:dyDescent="0.3">
      <c r="A114" s="17">
        <v>1</v>
      </c>
      <c r="B114" s="17">
        <v>4</v>
      </c>
      <c r="C114" s="14" t="s">
        <v>572</v>
      </c>
      <c r="D114" s="16">
        <v>404630</v>
      </c>
      <c r="E114" s="14" t="s">
        <v>269</v>
      </c>
      <c r="F114" s="14">
        <v>918271.66232740832</v>
      </c>
      <c r="G114" s="14">
        <v>161260.85438538081</v>
      </c>
      <c r="H114" s="14">
        <v>334309.40177031269</v>
      </c>
      <c r="I114" s="14">
        <v>261574.53250913683</v>
      </c>
      <c r="J114" s="14">
        <v>1675416.4509922387</v>
      </c>
      <c r="K114" s="14">
        <v>1021442.4944257684</v>
      </c>
      <c r="L114" s="14">
        <v>137071.72622757367</v>
      </c>
      <c r="M114" s="14">
        <v>413092.63808649289</v>
      </c>
      <c r="N114" s="14">
        <v>320468.16532420355</v>
      </c>
      <c r="O114" s="14">
        <v>1892075.0240640384</v>
      </c>
      <c r="P114" s="15">
        <v>1.1293162502633223</v>
      </c>
      <c r="Q114" s="14">
        <v>88757</v>
      </c>
      <c r="R114" s="11" t="str">
        <f t="shared" si="1"/>
        <v>*</v>
      </c>
      <c r="T114" s="12"/>
    </row>
    <row r="115" spans="1:20" x14ac:dyDescent="0.3">
      <c r="A115" s="17">
        <v>1</v>
      </c>
      <c r="B115" s="17">
        <v>4</v>
      </c>
      <c r="C115" s="14" t="s">
        <v>572</v>
      </c>
      <c r="D115" s="16">
        <v>404720</v>
      </c>
      <c r="E115" s="14" t="s">
        <v>273</v>
      </c>
      <c r="F115" s="14">
        <v>743933.79775696143</v>
      </c>
      <c r="G115" s="14">
        <v>0</v>
      </c>
      <c r="H115" s="14">
        <v>262536.04667611839</v>
      </c>
      <c r="I115" s="14">
        <v>182062.72665390713</v>
      </c>
      <c r="J115" s="14">
        <v>1188532.5710869869</v>
      </c>
      <c r="K115" s="14">
        <v>800602.84401056776</v>
      </c>
      <c r="L115" s="14">
        <v>190710.91995590628</v>
      </c>
      <c r="M115" s="14">
        <v>313119.79546096566</v>
      </c>
      <c r="N115" s="14">
        <v>242911.43711221372</v>
      </c>
      <c r="O115" s="14">
        <v>1547344.9965396535</v>
      </c>
      <c r="P115" s="15">
        <v>1.3018953238483908</v>
      </c>
      <c r="Q115" s="14">
        <v>50580</v>
      </c>
      <c r="R115" s="11" t="str">
        <f t="shared" si="1"/>
        <v>*</v>
      </c>
      <c r="T115" s="12"/>
    </row>
    <row r="116" spans="1:20" x14ac:dyDescent="0.3">
      <c r="A116" s="17">
        <v>1</v>
      </c>
      <c r="B116" s="17">
        <v>4</v>
      </c>
      <c r="C116" s="14" t="s">
        <v>572</v>
      </c>
      <c r="D116" s="16">
        <v>404820</v>
      </c>
      <c r="E116" s="14" t="s">
        <v>586</v>
      </c>
      <c r="F116" s="14">
        <v>116225.24304696481</v>
      </c>
      <c r="G116" s="14">
        <v>27540.650989995258</v>
      </c>
      <c r="H116" s="14">
        <v>57100.118608399716</v>
      </c>
      <c r="I116" s="14">
        <v>44840.640651635149</v>
      </c>
      <c r="J116" s="14">
        <v>245706.65329699495</v>
      </c>
      <c r="K116" s="14">
        <v>110413.98089461656</v>
      </c>
      <c r="L116" s="14">
        <v>26163.618440495495</v>
      </c>
      <c r="M116" s="14">
        <v>54245.112677979727</v>
      </c>
      <c r="N116" s="14">
        <v>43792.043989204292</v>
      </c>
      <c r="O116" s="14">
        <v>234614.75600229605</v>
      </c>
      <c r="P116" s="15">
        <v>0.95485715528715576</v>
      </c>
      <c r="Q116" s="14">
        <v>5890</v>
      </c>
      <c r="R116" s="11" t="str">
        <f t="shared" si="1"/>
        <v xml:space="preserve">  </v>
      </c>
      <c r="T116" s="12"/>
    </row>
    <row r="117" spans="1:20" x14ac:dyDescent="0.3">
      <c r="A117" s="17">
        <v>1</v>
      </c>
      <c r="B117" s="17">
        <v>4</v>
      </c>
      <c r="C117" s="14" t="s">
        <v>572</v>
      </c>
      <c r="D117" s="16">
        <v>404860</v>
      </c>
      <c r="E117" s="14" t="s">
        <v>585</v>
      </c>
      <c r="F117" s="14">
        <v>41509.015373916001</v>
      </c>
      <c r="G117" s="14">
        <v>9835.9467821411617</v>
      </c>
      <c r="H117" s="14">
        <v>29455.177325534878</v>
      </c>
      <c r="I117" s="14">
        <v>35135.521705145184</v>
      </c>
      <c r="J117" s="14">
        <v>115935.66118673721</v>
      </c>
      <c r="K117" s="14">
        <v>39433.564605220199</v>
      </c>
      <c r="L117" s="14">
        <v>9344.1494430341027</v>
      </c>
      <c r="M117" s="14">
        <v>27982.418459258133</v>
      </c>
      <c r="N117" s="14">
        <v>33378.745619887923</v>
      </c>
      <c r="O117" s="14">
        <v>110138.87812740036</v>
      </c>
      <c r="P117" s="15">
        <v>0.95000000000000007</v>
      </c>
      <c r="Q117" s="14">
        <v>551</v>
      </c>
      <c r="R117" s="11" t="str">
        <f t="shared" si="1"/>
        <v xml:space="preserve">  </v>
      </c>
      <c r="T117" s="12"/>
    </row>
    <row r="118" spans="1:20" x14ac:dyDescent="0.3">
      <c r="A118" s="17">
        <v>1</v>
      </c>
      <c r="B118" s="17">
        <v>4</v>
      </c>
      <c r="C118" s="14" t="s">
        <v>572</v>
      </c>
      <c r="D118" s="16">
        <v>404920</v>
      </c>
      <c r="E118" s="14" t="s">
        <v>281</v>
      </c>
      <c r="F118" s="14">
        <v>11433.277069046464</v>
      </c>
      <c r="G118" s="14">
        <v>2707.2616715062895</v>
      </c>
      <c r="H118" s="14">
        <v>4412.4870735928744</v>
      </c>
      <c r="I118" s="14">
        <v>4270.6784037689749</v>
      </c>
      <c r="J118" s="14">
        <v>22823.704217914605</v>
      </c>
      <c r="K118" s="14">
        <v>10289.949362141819</v>
      </c>
      <c r="L118" s="14">
        <v>2436.5355043556606</v>
      </c>
      <c r="M118" s="14">
        <v>3971.2383662335869</v>
      </c>
      <c r="N118" s="14">
        <v>3843.6105633920774</v>
      </c>
      <c r="O118" s="14">
        <v>20541.333796123145</v>
      </c>
      <c r="P118" s="15">
        <v>0.9</v>
      </c>
      <c r="Q118" s="14">
        <v>492</v>
      </c>
      <c r="R118" s="11" t="str">
        <f t="shared" si="1"/>
        <v xml:space="preserve">  </v>
      </c>
      <c r="T118" s="12"/>
    </row>
    <row r="119" spans="1:20" x14ac:dyDescent="0.3">
      <c r="A119" s="17">
        <v>1</v>
      </c>
      <c r="B119" s="17">
        <v>4</v>
      </c>
      <c r="C119" s="14" t="s">
        <v>572</v>
      </c>
      <c r="D119" s="16">
        <v>404970</v>
      </c>
      <c r="E119" s="14" t="s">
        <v>282</v>
      </c>
      <c r="F119" s="14">
        <v>10056712.002535984</v>
      </c>
      <c r="G119" s="14">
        <v>2383031.3287176457</v>
      </c>
      <c r="H119" s="14">
        <v>6216623.2016815394</v>
      </c>
      <c r="I119" s="14">
        <v>5585516.8814164316</v>
      </c>
      <c r="J119" s="14">
        <v>24241883.414351601</v>
      </c>
      <c r="K119" s="14">
        <v>9891441.0443999078</v>
      </c>
      <c r="L119" s="14">
        <v>2356231.7263542181</v>
      </c>
      <c r="M119" s="14">
        <v>6692043.650438658</v>
      </c>
      <c r="N119" s="14">
        <v>6612029.3892707201</v>
      </c>
      <c r="O119" s="14">
        <v>25551745.810463503</v>
      </c>
      <c r="P119" s="15">
        <v>1.054033029271003</v>
      </c>
      <c r="Q119" s="14">
        <v>485879</v>
      </c>
      <c r="R119" s="11" t="str">
        <f t="shared" si="1"/>
        <v>*</v>
      </c>
      <c r="T119" s="12"/>
    </row>
    <row r="120" spans="1:20" x14ac:dyDescent="0.3">
      <c r="A120" s="17">
        <v>1</v>
      </c>
      <c r="B120" s="17">
        <v>4</v>
      </c>
      <c r="C120" s="14" t="s">
        <v>572</v>
      </c>
      <c r="D120" s="16">
        <v>405030</v>
      </c>
      <c r="E120" s="14" t="s">
        <v>285</v>
      </c>
      <c r="F120" s="14">
        <v>230144.42968426764</v>
      </c>
      <c r="G120" s="14">
        <v>54534.860492093765</v>
      </c>
      <c r="H120" s="14">
        <v>129683.29107569352</v>
      </c>
      <c r="I120" s="14">
        <v>108956.15420056411</v>
      </c>
      <c r="J120" s="14">
        <v>523318.73545261903</v>
      </c>
      <c r="K120" s="14">
        <v>261035.30413102973</v>
      </c>
      <c r="L120" s="14">
        <v>62180.996937779244</v>
      </c>
      <c r="M120" s="14">
        <v>176238.9880715129</v>
      </c>
      <c r="N120" s="14">
        <v>172310.16346780208</v>
      </c>
      <c r="O120" s="14">
        <v>671765.452608124</v>
      </c>
      <c r="P120" s="15">
        <v>1.2836640599674178</v>
      </c>
      <c r="Q120" s="14">
        <v>7467</v>
      </c>
      <c r="R120" s="11" t="str">
        <f t="shared" si="1"/>
        <v xml:space="preserve">  </v>
      </c>
      <c r="T120" s="12"/>
    </row>
    <row r="121" spans="1:20" x14ac:dyDescent="0.3">
      <c r="A121" s="17">
        <v>1</v>
      </c>
      <c r="B121" s="17">
        <v>4</v>
      </c>
      <c r="C121" s="14" t="s">
        <v>572</v>
      </c>
      <c r="D121" s="16">
        <v>405070</v>
      </c>
      <c r="E121" s="14" t="s">
        <v>288</v>
      </c>
      <c r="F121" s="14">
        <v>122220.98971208603</v>
      </c>
      <c r="G121" s="14">
        <v>28961.398858526754</v>
      </c>
      <c r="H121" s="14">
        <v>37046.481712901041</v>
      </c>
      <c r="I121" s="14">
        <v>30555.302574865698</v>
      </c>
      <c r="J121" s="14">
        <v>218784.17285837952</v>
      </c>
      <c r="K121" s="14">
        <v>126734.5317157898</v>
      </c>
      <c r="L121" s="14">
        <v>30189.324600226155</v>
      </c>
      <c r="M121" s="14">
        <v>41852.670797344428</v>
      </c>
      <c r="N121" s="14">
        <v>31536.237506264162</v>
      </c>
      <c r="O121" s="14">
        <v>230312.7646196245</v>
      </c>
      <c r="P121" s="15">
        <v>1.052693901988548</v>
      </c>
      <c r="Q121" s="14">
        <v>34449</v>
      </c>
      <c r="R121" s="11" t="str">
        <f t="shared" si="1"/>
        <v>*</v>
      </c>
      <c r="T121" s="12"/>
    </row>
    <row r="122" spans="1:20" x14ac:dyDescent="0.3">
      <c r="A122" s="17">
        <v>1</v>
      </c>
      <c r="B122" s="17">
        <v>4</v>
      </c>
      <c r="C122" s="14" t="s">
        <v>572</v>
      </c>
      <c r="D122" s="16">
        <v>405100</v>
      </c>
      <c r="E122" s="14" t="s">
        <v>499</v>
      </c>
      <c r="F122" s="14">
        <v>0</v>
      </c>
      <c r="G122" s="14">
        <v>1256.9429189136347</v>
      </c>
      <c r="H122" s="14">
        <v>0</v>
      </c>
      <c r="I122" s="14">
        <v>0</v>
      </c>
      <c r="J122" s="14">
        <v>1256.9429189136347</v>
      </c>
      <c r="K122" s="14">
        <v>0</v>
      </c>
      <c r="L122" s="14">
        <v>1068.4014810765896</v>
      </c>
      <c r="M122" s="14">
        <v>0</v>
      </c>
      <c r="N122" s="14">
        <v>0</v>
      </c>
      <c r="O122" s="14">
        <v>1068.4014810765896</v>
      </c>
      <c r="P122" s="15">
        <v>0.85000000000000009</v>
      </c>
      <c r="Q122" s="14">
        <v>133</v>
      </c>
      <c r="R122" s="11" t="str">
        <f t="shared" si="1"/>
        <v xml:space="preserve">  </v>
      </c>
      <c r="T122" s="12"/>
    </row>
    <row r="123" spans="1:20" x14ac:dyDescent="0.3">
      <c r="A123" s="17">
        <v>1</v>
      </c>
      <c r="B123" s="17">
        <v>4</v>
      </c>
      <c r="C123" s="14" t="s">
        <v>572</v>
      </c>
      <c r="D123" s="16">
        <v>405190</v>
      </c>
      <c r="E123" s="14" t="s">
        <v>291</v>
      </c>
      <c r="F123" s="14">
        <v>288257.05120774999</v>
      </c>
      <c r="G123" s="14">
        <v>68305.185987091449</v>
      </c>
      <c r="H123" s="14">
        <v>123253.70860779907</v>
      </c>
      <c r="I123" s="14">
        <v>89706.479522019567</v>
      </c>
      <c r="J123" s="14">
        <v>569522.42532466003</v>
      </c>
      <c r="K123" s="14">
        <v>262453.97426217655</v>
      </c>
      <c r="L123" s="14">
        <v>62518.937138528046</v>
      </c>
      <c r="M123" s="14">
        <v>115518.88724705843</v>
      </c>
      <c r="N123" s="14">
        <v>91614.397263036793</v>
      </c>
      <c r="O123" s="14">
        <v>532106.19591079978</v>
      </c>
      <c r="P123" s="15">
        <v>0.93430244754184899</v>
      </c>
      <c r="Q123" s="14">
        <v>22064</v>
      </c>
      <c r="R123" s="11" t="str">
        <f t="shared" si="1"/>
        <v>*</v>
      </c>
      <c r="T123" s="12"/>
    </row>
    <row r="124" spans="1:20" x14ac:dyDescent="0.3">
      <c r="A124" s="17">
        <v>1</v>
      </c>
      <c r="B124" s="17">
        <v>4</v>
      </c>
      <c r="C124" s="14" t="s">
        <v>572</v>
      </c>
      <c r="D124" s="16">
        <v>405220</v>
      </c>
      <c r="E124" s="14" t="s">
        <v>292</v>
      </c>
      <c r="F124" s="14">
        <v>38322.599270172526</v>
      </c>
      <c r="G124" s="14">
        <v>9730.6829137285022</v>
      </c>
      <c r="H124" s="14">
        <v>17164.912551918031</v>
      </c>
      <c r="I124" s="14">
        <v>15639.795373451943</v>
      </c>
      <c r="J124" s="14">
        <v>80857.990109271006</v>
      </c>
      <c r="K124" s="14">
        <v>36406.469306663901</v>
      </c>
      <c r="L124" s="14">
        <v>9244.148768042076</v>
      </c>
      <c r="M124" s="14">
        <v>16306.666924322128</v>
      </c>
      <c r="N124" s="14">
        <v>14857.805604779345</v>
      </c>
      <c r="O124" s="14">
        <v>76815.090603807446</v>
      </c>
      <c r="P124" s="15">
        <v>0.94999999999999984</v>
      </c>
      <c r="Q124" s="14">
        <v>1657</v>
      </c>
      <c r="R124" s="11" t="str">
        <f t="shared" si="1"/>
        <v xml:space="preserve">  </v>
      </c>
      <c r="T124" s="12"/>
    </row>
    <row r="125" spans="1:20" x14ac:dyDescent="0.3">
      <c r="A125" s="17">
        <v>1</v>
      </c>
      <c r="B125" s="17">
        <v>4</v>
      </c>
      <c r="C125" s="14" t="s">
        <v>572</v>
      </c>
      <c r="D125" s="16">
        <v>405320</v>
      </c>
      <c r="E125" s="14" t="s">
        <v>295</v>
      </c>
      <c r="F125" s="14">
        <v>35513.2687087948</v>
      </c>
      <c r="G125" s="14">
        <v>8116.2823975822839</v>
      </c>
      <c r="H125" s="14">
        <v>9871.0888754633761</v>
      </c>
      <c r="I125" s="14">
        <v>7493.5822288063309</v>
      </c>
      <c r="J125" s="14">
        <v>60994.222210646789</v>
      </c>
      <c r="K125" s="14">
        <v>30186.278402475578</v>
      </c>
      <c r="L125" s="14">
        <v>6898.8400379449413</v>
      </c>
      <c r="M125" s="14">
        <v>8390.425544143869</v>
      </c>
      <c r="N125" s="14">
        <v>6369.5448944853815</v>
      </c>
      <c r="O125" s="14">
        <v>51845.08887904977</v>
      </c>
      <c r="P125" s="15">
        <v>0.85</v>
      </c>
      <c r="Q125" s="14">
        <v>3188</v>
      </c>
      <c r="R125" s="11" t="str">
        <f t="shared" si="1"/>
        <v xml:space="preserve">  </v>
      </c>
      <c r="T125" s="12"/>
    </row>
    <row r="126" spans="1:20" x14ac:dyDescent="0.3">
      <c r="A126" s="17">
        <v>1</v>
      </c>
      <c r="B126" s="17">
        <v>4</v>
      </c>
      <c r="C126" s="14" t="s">
        <v>572</v>
      </c>
      <c r="D126" s="16">
        <v>405340</v>
      </c>
      <c r="E126" s="14" t="s">
        <v>297</v>
      </c>
      <c r="F126" s="14">
        <v>28595.0994798088</v>
      </c>
      <c r="G126" s="14">
        <v>6775.8744499194672</v>
      </c>
      <c r="H126" s="14">
        <v>9816.2468362561685</v>
      </c>
      <c r="I126" s="14">
        <v>6476.9473382464912</v>
      </c>
      <c r="J126" s="14">
        <v>51664.168104230928</v>
      </c>
      <c r="K126" s="14">
        <v>24305.834557837479</v>
      </c>
      <c r="L126" s="14">
        <v>5759.4932824315474</v>
      </c>
      <c r="M126" s="14">
        <v>8343.8098108177437</v>
      </c>
      <c r="N126" s="14">
        <v>5505.4052375095171</v>
      </c>
      <c r="O126" s="14">
        <v>43914.54288859629</v>
      </c>
      <c r="P126" s="15">
        <v>0.85</v>
      </c>
      <c r="Q126" s="14">
        <v>1924</v>
      </c>
      <c r="R126" s="11" t="str">
        <f t="shared" si="1"/>
        <v xml:space="preserve">  </v>
      </c>
      <c r="T126" s="12"/>
    </row>
    <row r="127" spans="1:20" x14ac:dyDescent="0.3">
      <c r="A127" s="17">
        <v>1</v>
      </c>
      <c r="B127" s="17">
        <v>4</v>
      </c>
      <c r="C127" s="14" t="s">
        <v>572</v>
      </c>
      <c r="D127" s="16">
        <v>405400</v>
      </c>
      <c r="E127" s="14" t="s">
        <v>299</v>
      </c>
      <c r="F127" s="14">
        <v>791954.98815225996</v>
      </c>
      <c r="G127" s="14">
        <v>193154.46858471219</v>
      </c>
      <c r="H127" s="14">
        <v>544956.2835714476</v>
      </c>
      <c r="I127" s="14">
        <v>624376.14533878444</v>
      </c>
      <c r="J127" s="14">
        <v>2154441.8856472042</v>
      </c>
      <c r="K127" s="14">
        <v>752357.23874464689</v>
      </c>
      <c r="L127" s="14">
        <v>183496.74515547656</v>
      </c>
      <c r="M127" s="14">
        <v>517708.46939287521</v>
      </c>
      <c r="N127" s="14">
        <v>593157.33807184524</v>
      </c>
      <c r="O127" s="14">
        <v>2046719.791364844</v>
      </c>
      <c r="P127" s="15">
        <v>0.95</v>
      </c>
      <c r="Q127" s="14">
        <v>18485</v>
      </c>
      <c r="R127" s="11" t="str">
        <f t="shared" si="1"/>
        <v xml:space="preserve">  </v>
      </c>
      <c r="T127" s="12"/>
    </row>
    <row r="128" spans="1:20" x14ac:dyDescent="0.3">
      <c r="A128" s="17">
        <v>1</v>
      </c>
      <c r="B128" s="17">
        <v>4</v>
      </c>
      <c r="C128" s="14" t="s">
        <v>572</v>
      </c>
      <c r="D128" s="16">
        <v>405430</v>
      </c>
      <c r="E128" s="14" t="s">
        <v>300</v>
      </c>
      <c r="F128" s="14">
        <v>55601.115270303329</v>
      </c>
      <c r="G128" s="14">
        <v>13165.671342979995</v>
      </c>
      <c r="H128" s="14">
        <v>26353.509299186881</v>
      </c>
      <c r="I128" s="14">
        <v>23743.413488209146</v>
      </c>
      <c r="J128" s="14">
        <v>118863.70940067935</v>
      </c>
      <c r="K128" s="14">
        <v>58638.365420738563</v>
      </c>
      <c r="L128" s="14">
        <v>13968.194964283743</v>
      </c>
      <c r="M128" s="14">
        <v>30570.906766741289</v>
      </c>
      <c r="N128" s="14">
        <v>26374.441433187563</v>
      </c>
      <c r="O128" s="14">
        <v>129551.90858495116</v>
      </c>
      <c r="P128" s="15">
        <v>1.0899197849214246</v>
      </c>
      <c r="Q128" s="14">
        <v>1457</v>
      </c>
      <c r="R128" s="11" t="str">
        <f t="shared" si="1"/>
        <v xml:space="preserve">  </v>
      </c>
      <c r="T128" s="12"/>
    </row>
    <row r="129" spans="1:20" x14ac:dyDescent="0.3">
      <c r="A129" s="17">
        <v>1</v>
      </c>
      <c r="B129" s="17">
        <v>4</v>
      </c>
      <c r="C129" s="14" t="s">
        <v>572</v>
      </c>
      <c r="D129" s="16">
        <v>405460</v>
      </c>
      <c r="E129" s="14" t="s">
        <v>301</v>
      </c>
      <c r="F129" s="14">
        <v>202471.75276832367</v>
      </c>
      <c r="G129" s="14">
        <v>47977.562637333023</v>
      </c>
      <c r="H129" s="14">
        <v>76844.18377152941</v>
      </c>
      <c r="I129" s="14">
        <v>60040.175798290242</v>
      </c>
      <c r="J129" s="14">
        <v>387333.67497547634</v>
      </c>
      <c r="K129" s="14">
        <v>182224.57749149131</v>
      </c>
      <c r="L129" s="14">
        <v>43179.80637359972</v>
      </c>
      <c r="M129" s="14">
        <v>69159.765394376474</v>
      </c>
      <c r="N129" s="14">
        <v>54036.15821846122</v>
      </c>
      <c r="O129" s="14">
        <v>348600.3074779287</v>
      </c>
      <c r="P129" s="15">
        <v>0.9</v>
      </c>
      <c r="Q129" s="14">
        <v>8711</v>
      </c>
      <c r="R129" s="11" t="str">
        <f t="shared" si="1"/>
        <v xml:space="preserve">  </v>
      </c>
      <c r="T129" s="12"/>
    </row>
    <row r="130" spans="1:20" x14ac:dyDescent="0.3">
      <c r="A130" s="17">
        <v>1</v>
      </c>
      <c r="B130" s="17">
        <v>4</v>
      </c>
      <c r="C130" s="14" t="s">
        <v>572</v>
      </c>
      <c r="D130" s="16">
        <v>405530</v>
      </c>
      <c r="E130" s="14" t="s">
        <v>306</v>
      </c>
      <c r="F130" s="14">
        <v>1015028.7694806287</v>
      </c>
      <c r="G130" s="14">
        <v>247561.21938780131</v>
      </c>
      <c r="H130" s="14">
        <v>566378.74406021112</v>
      </c>
      <c r="I130" s="14">
        <v>600325.14094880142</v>
      </c>
      <c r="J130" s="14">
        <v>2429293.8738774424</v>
      </c>
      <c r="K130" s="14">
        <v>964277.33100659715</v>
      </c>
      <c r="L130" s="14">
        <v>235183.15841841124</v>
      </c>
      <c r="M130" s="14">
        <v>575623.7081953733</v>
      </c>
      <c r="N130" s="14">
        <v>570308.88390136138</v>
      </c>
      <c r="O130" s="14">
        <v>2345393.081521743</v>
      </c>
      <c r="P130" s="15">
        <v>0.96546288892509169</v>
      </c>
      <c r="Q130" s="14">
        <v>21844</v>
      </c>
      <c r="R130" s="11" t="str">
        <f t="shared" si="1"/>
        <v>*</v>
      </c>
      <c r="T130" s="12"/>
    </row>
    <row r="131" spans="1:20" x14ac:dyDescent="0.3">
      <c r="A131" s="17">
        <v>1</v>
      </c>
      <c r="B131" s="17">
        <v>4</v>
      </c>
      <c r="C131" s="14" t="s">
        <v>572</v>
      </c>
      <c r="D131" s="16">
        <v>405640</v>
      </c>
      <c r="E131" s="14" t="s">
        <v>311</v>
      </c>
      <c r="F131" s="14">
        <v>66414.424598265614</v>
      </c>
      <c r="G131" s="14">
        <v>13731.024616586066</v>
      </c>
      <c r="H131" s="14">
        <v>19064.604242924452</v>
      </c>
      <c r="I131" s="14">
        <v>12640.806479345527</v>
      </c>
      <c r="J131" s="14">
        <v>111850.85993712167</v>
      </c>
      <c r="K131" s="14">
        <v>103562.9195737237</v>
      </c>
      <c r="L131" s="14">
        <v>24669.634654662419</v>
      </c>
      <c r="M131" s="14">
        <v>37169.153627037776</v>
      </c>
      <c r="N131" s="14">
        <v>27305.625930637034</v>
      </c>
      <c r="O131" s="14">
        <v>192707.33378606092</v>
      </c>
      <c r="P131" s="15">
        <v>1.7228954153271034</v>
      </c>
      <c r="Q131" s="14">
        <v>14569</v>
      </c>
      <c r="R131" s="11" t="str">
        <f t="shared" si="1"/>
        <v xml:space="preserve">  </v>
      </c>
      <c r="T131" s="12"/>
    </row>
    <row r="132" spans="1:20" x14ac:dyDescent="0.3">
      <c r="A132" s="17">
        <v>1</v>
      </c>
      <c r="B132" s="17">
        <v>4</v>
      </c>
      <c r="C132" s="14" t="s">
        <v>572</v>
      </c>
      <c r="D132" s="16">
        <v>405670</v>
      </c>
      <c r="E132" s="14" t="s">
        <v>312</v>
      </c>
      <c r="F132" s="14">
        <v>911353.49309842242</v>
      </c>
      <c r="G132" s="14">
        <v>215953.6760167882</v>
      </c>
      <c r="H132" s="14">
        <v>606103.41377185879</v>
      </c>
      <c r="I132" s="14">
        <v>555195.05737434723</v>
      </c>
      <c r="J132" s="14">
        <v>2288605.6402614163</v>
      </c>
      <c r="K132" s="14">
        <v>878156.81117993128</v>
      </c>
      <c r="L132" s="14">
        <v>209184.98426350745</v>
      </c>
      <c r="M132" s="14">
        <v>612119.53295322461</v>
      </c>
      <c r="N132" s="14">
        <v>606587.19752214476</v>
      </c>
      <c r="O132" s="14">
        <v>2306048.5259188078</v>
      </c>
      <c r="P132" s="15">
        <v>1.0076216213709055</v>
      </c>
      <c r="Q132" s="14">
        <v>39431</v>
      </c>
      <c r="R132" s="11" t="str">
        <f t="shared" si="1"/>
        <v>*</v>
      </c>
      <c r="T132" s="12"/>
    </row>
    <row r="133" spans="1:20" x14ac:dyDescent="0.3">
      <c r="A133" s="17">
        <v>1</v>
      </c>
      <c r="B133" s="17">
        <v>4</v>
      </c>
      <c r="C133" s="14" t="s">
        <v>572</v>
      </c>
      <c r="D133" s="16">
        <v>405730</v>
      </c>
      <c r="E133" s="14" t="s">
        <v>313</v>
      </c>
      <c r="F133" s="14">
        <v>10984.915904310668</v>
      </c>
      <c r="G133" s="14">
        <v>2679.1744804781133</v>
      </c>
      <c r="H133" s="14">
        <v>4491.961861136333</v>
      </c>
      <c r="I133" s="14">
        <v>4024.5963554945497</v>
      </c>
      <c r="J133" s="14">
        <v>22180.648601419663</v>
      </c>
      <c r="K133" s="14">
        <v>9886.424313879601</v>
      </c>
      <c r="L133" s="14">
        <v>2411.2570324303019</v>
      </c>
      <c r="M133" s="14">
        <v>4042.7656750226997</v>
      </c>
      <c r="N133" s="14">
        <v>3622.1367199450947</v>
      </c>
      <c r="O133" s="14">
        <v>19962.583741277696</v>
      </c>
      <c r="P133" s="15">
        <v>0.9</v>
      </c>
      <c r="Q133" s="14">
        <v>619</v>
      </c>
      <c r="R133" s="11" t="str">
        <f t="shared" si="1"/>
        <v xml:space="preserve">  </v>
      </c>
      <c r="T133" s="12"/>
    </row>
    <row r="134" spans="1:20" x14ac:dyDescent="0.3">
      <c r="A134" s="17">
        <v>1</v>
      </c>
      <c r="B134" s="17">
        <v>4</v>
      </c>
      <c r="C134" s="14" t="s">
        <v>572</v>
      </c>
      <c r="D134" s="16">
        <v>405820</v>
      </c>
      <c r="E134" s="14" t="s">
        <v>315</v>
      </c>
      <c r="F134" s="14">
        <v>432352.41600432043</v>
      </c>
      <c r="G134" s="14">
        <v>100654.52207057786</v>
      </c>
      <c r="H134" s="14">
        <v>212666.43822401026</v>
      </c>
      <c r="I134" s="14">
        <v>163112.76147927638</v>
      </c>
      <c r="J134" s="14">
        <v>908786.13777818496</v>
      </c>
      <c r="K134" s="14">
        <v>389117.17440388841</v>
      </c>
      <c r="L134" s="14">
        <v>90589.069863520082</v>
      </c>
      <c r="M134" s="14">
        <v>191399.79440160922</v>
      </c>
      <c r="N134" s="14">
        <v>146801.48533134875</v>
      </c>
      <c r="O134" s="14">
        <v>817907.52400036645</v>
      </c>
      <c r="P134" s="15">
        <v>0.9</v>
      </c>
      <c r="Q134" s="14">
        <v>13360</v>
      </c>
      <c r="R134" s="11" t="str">
        <f t="shared" si="1"/>
        <v xml:space="preserve">  </v>
      </c>
      <c r="T134" s="12"/>
    </row>
    <row r="135" spans="1:20" x14ac:dyDescent="0.3">
      <c r="A135" s="17">
        <v>1</v>
      </c>
      <c r="B135" s="17">
        <v>4</v>
      </c>
      <c r="C135" s="14" t="s">
        <v>572</v>
      </c>
      <c r="D135" s="16">
        <v>405850</v>
      </c>
      <c r="E135" s="14" t="s">
        <v>317</v>
      </c>
      <c r="F135" s="14">
        <v>55533.060049654217</v>
      </c>
      <c r="G135" s="14">
        <v>13335.586986684053</v>
      </c>
      <c r="H135" s="14">
        <v>24039.58699295919</v>
      </c>
      <c r="I135" s="14">
        <v>21915.241472892867</v>
      </c>
      <c r="J135" s="14">
        <v>114823.47550219033</v>
      </c>
      <c r="K135" s="14">
        <v>56746.805245876014</v>
      </c>
      <c r="L135" s="14">
        <v>13517.608029952009</v>
      </c>
      <c r="M135" s="14">
        <v>24499.490384546123</v>
      </c>
      <c r="N135" s="14">
        <v>19723.717325603582</v>
      </c>
      <c r="O135" s="14">
        <v>114487.62098597773</v>
      </c>
      <c r="P135" s="15">
        <v>0.9970750361392241</v>
      </c>
      <c r="Q135" s="14">
        <v>2933</v>
      </c>
      <c r="R135" s="11" t="str">
        <f t="shared" si="1"/>
        <v xml:space="preserve">  </v>
      </c>
      <c r="T135" s="12"/>
    </row>
    <row r="136" spans="1:20" x14ac:dyDescent="0.3">
      <c r="A136" s="17">
        <v>1</v>
      </c>
      <c r="B136" s="17">
        <v>4</v>
      </c>
      <c r="C136" s="14" t="s">
        <v>572</v>
      </c>
      <c r="D136" s="16">
        <v>408430</v>
      </c>
      <c r="E136" s="14" t="s">
        <v>318</v>
      </c>
      <c r="F136" s="14">
        <v>23285.571823845778</v>
      </c>
      <c r="G136" s="14">
        <v>5377.7239258961772</v>
      </c>
      <c r="H136" s="14">
        <v>18698.063345625218</v>
      </c>
      <c r="I136" s="14">
        <v>16595.713668562457</v>
      </c>
      <c r="J136" s="14">
        <v>63957.072763929631</v>
      </c>
      <c r="K136" s="14">
        <v>22121.293232653486</v>
      </c>
      <c r="L136" s="14">
        <v>5108.8377296013678</v>
      </c>
      <c r="M136" s="14">
        <v>17763.160178343955</v>
      </c>
      <c r="N136" s="14">
        <v>15765.927985134334</v>
      </c>
      <c r="O136" s="14">
        <v>60759.219125733143</v>
      </c>
      <c r="P136" s="15">
        <v>0.95</v>
      </c>
      <c r="Q136" s="14">
        <v>322</v>
      </c>
      <c r="R136" s="11" t="str">
        <f t="shared" si="1"/>
        <v xml:space="preserve">  </v>
      </c>
      <c r="T136" s="12"/>
    </row>
    <row r="137" spans="1:20" x14ac:dyDescent="0.3">
      <c r="A137" s="17">
        <v>1</v>
      </c>
      <c r="B137" s="17">
        <v>4</v>
      </c>
      <c r="C137" s="14" t="s">
        <v>572</v>
      </c>
      <c r="D137" s="16">
        <v>405880</v>
      </c>
      <c r="E137" s="14" t="s">
        <v>319</v>
      </c>
      <c r="F137" s="14">
        <v>247659.02324136015</v>
      </c>
      <c r="G137" s="14">
        <v>58250.66260979155</v>
      </c>
      <c r="H137" s="14">
        <v>122553.95871071279</v>
      </c>
      <c r="I137" s="14">
        <v>116575.12201251838</v>
      </c>
      <c r="J137" s="14">
        <v>545038.7665743829</v>
      </c>
      <c r="K137" s="14">
        <v>222893.12091722415</v>
      </c>
      <c r="L137" s="14">
        <v>52425.596348812396</v>
      </c>
      <c r="M137" s="14">
        <v>110298.56283964151</v>
      </c>
      <c r="N137" s="14">
        <v>104917.60981126653</v>
      </c>
      <c r="O137" s="14">
        <v>490534.88991694461</v>
      </c>
      <c r="P137" s="15">
        <v>0.9</v>
      </c>
      <c r="Q137" s="14">
        <v>10208</v>
      </c>
      <c r="R137" s="11" t="str">
        <f t="shared" si="1"/>
        <v xml:space="preserve">  </v>
      </c>
      <c r="T137" s="12"/>
    </row>
    <row r="138" spans="1:20" x14ac:dyDescent="0.3">
      <c r="A138" s="17">
        <v>1</v>
      </c>
      <c r="B138" s="17">
        <v>4</v>
      </c>
      <c r="C138" s="14" t="s">
        <v>572</v>
      </c>
      <c r="D138" s="16">
        <v>405930</v>
      </c>
      <c r="E138" s="14" t="s">
        <v>321</v>
      </c>
      <c r="F138" s="14">
        <v>3359924.1888775346</v>
      </c>
      <c r="G138" s="14">
        <v>796165.24786553753</v>
      </c>
      <c r="H138" s="14">
        <v>1657432.8481937109</v>
      </c>
      <c r="I138" s="14">
        <v>1290196.9108072028</v>
      </c>
      <c r="J138" s="14">
        <v>7103719.1957439855</v>
      </c>
      <c r="K138" s="14">
        <v>3165053.0625887355</v>
      </c>
      <c r="L138" s="14">
        <v>753944.58787057339</v>
      </c>
      <c r="M138" s="14">
        <v>1699681.0410402787</v>
      </c>
      <c r="N138" s="14">
        <v>1441221.0140150243</v>
      </c>
      <c r="O138" s="14">
        <v>7059899.7055146126</v>
      </c>
      <c r="P138" s="15">
        <v>0.99383147207513123</v>
      </c>
      <c r="Q138" s="14">
        <v>256828</v>
      </c>
      <c r="R138" s="11" t="str">
        <f t="shared" si="1"/>
        <v>*</v>
      </c>
      <c r="T138" s="12"/>
    </row>
    <row r="139" spans="1:20" x14ac:dyDescent="0.3">
      <c r="A139" s="17">
        <v>1</v>
      </c>
      <c r="B139" s="17">
        <v>4</v>
      </c>
      <c r="C139" s="14" t="s">
        <v>572</v>
      </c>
      <c r="D139" s="16">
        <v>405980</v>
      </c>
      <c r="E139" s="14" t="s">
        <v>325</v>
      </c>
      <c r="F139" s="14">
        <v>281641.41503620328</v>
      </c>
      <c r="G139" s="14">
        <v>68854.592587520427</v>
      </c>
      <c r="H139" s="14">
        <v>143800.25893506626</v>
      </c>
      <c r="I139" s="14">
        <v>144131.40578752646</v>
      </c>
      <c r="J139" s="14">
        <v>638427.67234631651</v>
      </c>
      <c r="K139" s="14">
        <v>277586.4556610767</v>
      </c>
      <c r="L139" s="14">
        <v>66123.632613181908</v>
      </c>
      <c r="M139" s="14">
        <v>148877.66981346137</v>
      </c>
      <c r="N139" s="14">
        <v>136924.83549815012</v>
      </c>
      <c r="O139" s="14">
        <v>629512.59358587011</v>
      </c>
      <c r="P139" s="15">
        <v>0.98603588292518374</v>
      </c>
      <c r="Q139" s="14">
        <v>9448</v>
      </c>
      <c r="R139" s="11" t="str">
        <f t="shared" ref="R139:R202" si="2">IF(AND($A139=1,Q139&gt;=20000),"*","  ")</f>
        <v xml:space="preserve">  </v>
      </c>
      <c r="T139" s="12"/>
    </row>
    <row r="140" spans="1:20" x14ac:dyDescent="0.3">
      <c r="A140" s="17">
        <v>1</v>
      </c>
      <c r="B140" s="17">
        <v>4</v>
      </c>
      <c r="C140" s="14" t="s">
        <v>572</v>
      </c>
      <c r="D140" s="16">
        <v>406000</v>
      </c>
      <c r="E140" s="14" t="s">
        <v>327</v>
      </c>
      <c r="F140" s="14">
        <v>28981.375060159164</v>
      </c>
      <c r="G140" s="14">
        <v>6633.8654053775163</v>
      </c>
      <c r="H140" s="14">
        <v>19700.079503803772</v>
      </c>
      <c r="I140" s="14">
        <v>21536.61697398686</v>
      </c>
      <c r="J140" s="14">
        <v>76851.93694332731</v>
      </c>
      <c r="K140" s="14">
        <v>27532.306307151204</v>
      </c>
      <c r="L140" s="14">
        <v>6302.1721351086398</v>
      </c>
      <c r="M140" s="14">
        <v>18715.075528613583</v>
      </c>
      <c r="N140" s="14">
        <v>20459.786125287515</v>
      </c>
      <c r="O140" s="14">
        <v>73009.340096160944</v>
      </c>
      <c r="P140" s="15">
        <v>0.95</v>
      </c>
      <c r="Q140" s="14">
        <v>1510</v>
      </c>
      <c r="R140" s="11" t="str">
        <f t="shared" si="2"/>
        <v xml:space="preserve">  </v>
      </c>
      <c r="T140" s="12"/>
    </row>
    <row r="141" spans="1:20" x14ac:dyDescent="0.3">
      <c r="A141" s="17">
        <v>1</v>
      </c>
      <c r="B141" s="17">
        <v>4</v>
      </c>
      <c r="C141" s="14" t="s">
        <v>572</v>
      </c>
      <c r="D141" s="16">
        <v>406030</v>
      </c>
      <c r="E141" s="14" t="s">
        <v>328</v>
      </c>
      <c r="F141" s="14">
        <v>13474.933688519044</v>
      </c>
      <c r="G141" s="14">
        <v>3190.7012557038415</v>
      </c>
      <c r="H141" s="14">
        <v>4925.0568900188346</v>
      </c>
      <c r="I141" s="14">
        <v>3897.8647378588644</v>
      </c>
      <c r="J141" s="14">
        <v>25488.556572100584</v>
      </c>
      <c r="K141" s="14">
        <v>12127.440319667139</v>
      </c>
      <c r="L141" s="14">
        <v>2871.6311301334576</v>
      </c>
      <c r="M141" s="14">
        <v>4432.5512010169514</v>
      </c>
      <c r="N141" s="14">
        <v>3508.0782640729781</v>
      </c>
      <c r="O141" s="14">
        <v>22939.700914890524</v>
      </c>
      <c r="P141" s="15">
        <v>0.89999999999999991</v>
      </c>
      <c r="Q141" s="14">
        <v>3330</v>
      </c>
      <c r="R141" s="11" t="str">
        <f t="shared" si="2"/>
        <v xml:space="preserve">  </v>
      </c>
      <c r="T141" s="12"/>
    </row>
    <row r="142" spans="1:20" x14ac:dyDescent="0.3">
      <c r="A142" s="17">
        <v>1</v>
      </c>
      <c r="B142" s="17">
        <v>4</v>
      </c>
      <c r="C142" s="14" t="s">
        <v>572</v>
      </c>
      <c r="D142" s="16">
        <v>406070</v>
      </c>
      <c r="E142" s="14" t="s">
        <v>330</v>
      </c>
      <c r="F142" s="14">
        <v>357899.95477954252</v>
      </c>
      <c r="G142" s="14">
        <v>84807.718921572712</v>
      </c>
      <c r="H142" s="14">
        <v>149033.23887241777</v>
      </c>
      <c r="I142" s="14">
        <v>126314.94451140784</v>
      </c>
      <c r="J142" s="14">
        <v>718055.85708494089</v>
      </c>
      <c r="K142" s="14">
        <v>342372.39165011869</v>
      </c>
      <c r="L142" s="14">
        <v>81556.23511404384</v>
      </c>
      <c r="M142" s="14">
        <v>149392.32301419371</v>
      </c>
      <c r="N142" s="14">
        <v>118047.3190157698</v>
      </c>
      <c r="O142" s="14">
        <v>691368.26879412599</v>
      </c>
      <c r="P142" s="15">
        <v>0.96283354835491863</v>
      </c>
      <c r="Q142" s="14">
        <v>21443</v>
      </c>
      <c r="R142" s="11" t="str">
        <f t="shared" si="2"/>
        <v>*</v>
      </c>
      <c r="T142" s="12"/>
    </row>
    <row r="143" spans="1:20" x14ac:dyDescent="0.3">
      <c r="A143" s="17">
        <v>1</v>
      </c>
      <c r="B143" s="17">
        <v>4</v>
      </c>
      <c r="C143" s="14" t="s">
        <v>572</v>
      </c>
      <c r="D143" s="16">
        <v>406120</v>
      </c>
      <c r="E143" s="14" t="s">
        <v>331</v>
      </c>
      <c r="F143" s="14">
        <v>62806.812904691054</v>
      </c>
      <c r="G143" s="14">
        <v>14494.462569162739</v>
      </c>
      <c r="H143" s="14">
        <v>38580.120650630721</v>
      </c>
      <c r="I143" s="14">
        <v>43228.803121088808</v>
      </c>
      <c r="J143" s="14">
        <v>159110.19924557331</v>
      </c>
      <c r="K143" s="14">
        <v>59666.472259456496</v>
      </c>
      <c r="L143" s="14">
        <v>13769.739440704601</v>
      </c>
      <c r="M143" s="14">
        <v>36651.114618099185</v>
      </c>
      <c r="N143" s="14">
        <v>41067.362965034365</v>
      </c>
      <c r="O143" s="14">
        <v>151154.68928329466</v>
      </c>
      <c r="P143" s="15">
        <v>0.95000000000000007</v>
      </c>
      <c r="Q143" s="14">
        <v>1327</v>
      </c>
      <c r="R143" s="11" t="str">
        <f t="shared" si="2"/>
        <v xml:space="preserve">  </v>
      </c>
      <c r="T143" s="12"/>
    </row>
    <row r="144" spans="1:20" x14ac:dyDescent="0.3">
      <c r="A144" s="17">
        <v>1</v>
      </c>
      <c r="B144" s="17">
        <v>4</v>
      </c>
      <c r="C144" s="14" t="s">
        <v>572</v>
      </c>
      <c r="D144" s="16">
        <v>406150</v>
      </c>
      <c r="E144" s="14" t="s">
        <v>333</v>
      </c>
      <c r="F144" s="14">
        <v>17526.028713431198</v>
      </c>
      <c r="G144" s="14">
        <v>4152.9553080151582</v>
      </c>
      <c r="H144" s="14">
        <v>8118.5539030135724</v>
      </c>
      <c r="I144" s="14">
        <v>7723.3057040943058</v>
      </c>
      <c r="J144" s="14">
        <v>37520.843628554234</v>
      </c>
      <c r="K144" s="14">
        <v>15773.42584208808</v>
      </c>
      <c r="L144" s="14">
        <v>3737.6597772136424</v>
      </c>
      <c r="M144" s="14">
        <v>7306.6985127122152</v>
      </c>
      <c r="N144" s="14">
        <v>6950.9751336848758</v>
      </c>
      <c r="O144" s="14">
        <v>33768.759265698813</v>
      </c>
      <c r="P144" s="15">
        <v>0.9</v>
      </c>
      <c r="Q144" s="14">
        <v>2007</v>
      </c>
      <c r="R144" s="11" t="str">
        <f t="shared" si="2"/>
        <v xml:space="preserve">  </v>
      </c>
      <c r="T144" s="12"/>
    </row>
    <row r="145" spans="1:20" x14ac:dyDescent="0.3">
      <c r="A145" s="17">
        <v>1</v>
      </c>
      <c r="B145" s="17">
        <v>4</v>
      </c>
      <c r="C145" s="14" t="s">
        <v>572</v>
      </c>
      <c r="D145" s="16">
        <v>406210</v>
      </c>
      <c r="E145" s="14" t="s">
        <v>334</v>
      </c>
      <c r="F145" s="14">
        <v>1482333.0601307342</v>
      </c>
      <c r="G145" s="14">
        <v>351252.58842001884</v>
      </c>
      <c r="H145" s="14">
        <v>626782.65916914213</v>
      </c>
      <c r="I145" s="14">
        <v>455551.84183724725</v>
      </c>
      <c r="J145" s="14">
        <v>2915920.1495571425</v>
      </c>
      <c r="K145" s="14">
        <v>1543513.1026878285</v>
      </c>
      <c r="L145" s="14">
        <v>367678.93841469457</v>
      </c>
      <c r="M145" s="14">
        <v>720931.92651370482</v>
      </c>
      <c r="N145" s="14">
        <v>587017.52031401871</v>
      </c>
      <c r="O145" s="14">
        <v>3219141.4879302466</v>
      </c>
      <c r="P145" s="15">
        <v>1.1039882173793942</v>
      </c>
      <c r="Q145" s="14">
        <v>71650</v>
      </c>
      <c r="R145" s="11" t="str">
        <f t="shared" si="2"/>
        <v>*</v>
      </c>
      <c r="T145" s="12"/>
    </row>
    <row r="146" spans="1:20" x14ac:dyDescent="0.3">
      <c r="A146" s="17">
        <v>1</v>
      </c>
      <c r="B146" s="17">
        <v>4</v>
      </c>
      <c r="C146" s="14" t="s">
        <v>572</v>
      </c>
      <c r="D146" s="16">
        <v>406250</v>
      </c>
      <c r="E146" s="14" t="s">
        <v>335</v>
      </c>
      <c r="F146" s="14">
        <v>2864583.2720821355</v>
      </c>
      <c r="G146" s="14">
        <v>678789.61626531999</v>
      </c>
      <c r="H146" s="14">
        <v>1385529.5558791966</v>
      </c>
      <c r="I146" s="14">
        <v>1068282.398098438</v>
      </c>
      <c r="J146" s="14">
        <v>5997184.8423250904</v>
      </c>
      <c r="K146" s="14">
        <v>2919623.1299003218</v>
      </c>
      <c r="L146" s="14">
        <v>695480.93314103084</v>
      </c>
      <c r="M146" s="14">
        <v>1551541.4112825375</v>
      </c>
      <c r="N146" s="14">
        <v>1311932.1212676284</v>
      </c>
      <c r="O146" s="14">
        <v>6478577.595591519</v>
      </c>
      <c r="P146" s="15">
        <v>1.0802697875624914</v>
      </c>
      <c r="Q146" s="14">
        <v>222690</v>
      </c>
      <c r="R146" s="11" t="str">
        <f t="shared" si="2"/>
        <v>*</v>
      </c>
      <c r="T146" s="12"/>
    </row>
    <row r="147" spans="1:20" x14ac:dyDescent="0.3">
      <c r="A147" s="17">
        <v>1</v>
      </c>
      <c r="B147" s="17">
        <v>4</v>
      </c>
      <c r="C147" s="14" t="s">
        <v>572</v>
      </c>
      <c r="D147" s="16">
        <v>406300</v>
      </c>
      <c r="E147" s="14" t="s">
        <v>337</v>
      </c>
      <c r="F147" s="14">
        <v>2988241.252196047</v>
      </c>
      <c r="G147" s="14">
        <v>731153.31667464389</v>
      </c>
      <c r="H147" s="14">
        <v>2031390.8993251296</v>
      </c>
      <c r="I147" s="14">
        <v>2316973.6503059086</v>
      </c>
      <c r="J147" s="14">
        <v>8067759.1185017284</v>
      </c>
      <c r="K147" s="14">
        <v>2838829.1895862445</v>
      </c>
      <c r="L147" s="14">
        <v>694595.65084091167</v>
      </c>
      <c r="M147" s="14">
        <v>1929821.3543588731</v>
      </c>
      <c r="N147" s="14">
        <v>2201124.967790613</v>
      </c>
      <c r="O147" s="14">
        <v>7664371.1625766419</v>
      </c>
      <c r="P147" s="15">
        <v>0.95</v>
      </c>
      <c r="Q147" s="14">
        <v>58999</v>
      </c>
      <c r="R147" s="11" t="str">
        <f t="shared" si="2"/>
        <v>*</v>
      </c>
      <c r="T147" s="12"/>
    </row>
    <row r="148" spans="1:20" x14ac:dyDescent="0.3">
      <c r="A148" s="17">
        <v>1</v>
      </c>
      <c r="B148" s="17">
        <v>4</v>
      </c>
      <c r="C148" s="14" t="s">
        <v>572</v>
      </c>
      <c r="D148" s="16">
        <v>406330</v>
      </c>
      <c r="E148" s="14" t="s">
        <v>339</v>
      </c>
      <c r="F148" s="14">
        <v>7613214.630858128</v>
      </c>
      <c r="G148" s="14">
        <v>1804021.9281422684</v>
      </c>
      <c r="H148" s="14">
        <v>4540012.8168092212</v>
      </c>
      <c r="I148" s="14">
        <v>4056681.9458923428</v>
      </c>
      <c r="J148" s="14">
        <v>18013931.321701959</v>
      </c>
      <c r="K148" s="14">
        <v>7232553.8993152212</v>
      </c>
      <c r="L148" s="14">
        <v>1713820.8317351548</v>
      </c>
      <c r="M148" s="14">
        <v>4591971.7314741584</v>
      </c>
      <c r="N148" s="14">
        <v>4412623.5432846649</v>
      </c>
      <c r="O148" s="14">
        <v>17950970.005809199</v>
      </c>
      <c r="P148" s="15">
        <v>0.99650485422818791</v>
      </c>
      <c r="Q148" s="14">
        <v>698734</v>
      </c>
      <c r="R148" s="11" t="str">
        <f t="shared" si="2"/>
        <v>*</v>
      </c>
      <c r="T148" s="12"/>
    </row>
    <row r="149" spans="1:20" x14ac:dyDescent="0.3">
      <c r="A149" s="17">
        <v>1</v>
      </c>
      <c r="B149" s="17">
        <v>4</v>
      </c>
      <c r="C149" s="14" t="s">
        <v>572</v>
      </c>
      <c r="D149" s="16">
        <v>406360</v>
      </c>
      <c r="E149" s="14" t="s">
        <v>340</v>
      </c>
      <c r="F149" s="14">
        <v>17691.496140626656</v>
      </c>
      <c r="G149" s="14">
        <v>4314.8810054015921</v>
      </c>
      <c r="H149" s="14">
        <v>5708.8402443010727</v>
      </c>
      <c r="I149" s="14">
        <v>4708.3636434996342</v>
      </c>
      <c r="J149" s="14">
        <v>32423.581033828956</v>
      </c>
      <c r="K149" s="14">
        <v>16078.261486331541</v>
      </c>
      <c r="L149" s="14">
        <v>3883.3929048614332</v>
      </c>
      <c r="M149" s="14">
        <v>6725.018276118356</v>
      </c>
      <c r="N149" s="14">
        <v>5216.9825843931831</v>
      </c>
      <c r="O149" s="14">
        <v>31903.655251704513</v>
      </c>
      <c r="P149" s="15">
        <v>0.98396457869406895</v>
      </c>
      <c r="Q149" s="14">
        <v>8840</v>
      </c>
      <c r="R149" s="11" t="str">
        <f t="shared" si="2"/>
        <v xml:space="preserve">  </v>
      </c>
      <c r="T149" s="12"/>
    </row>
    <row r="150" spans="1:20" x14ac:dyDescent="0.3">
      <c r="A150" s="17">
        <v>1</v>
      </c>
      <c r="B150" s="17">
        <v>4</v>
      </c>
      <c r="C150" s="14" t="s">
        <v>572</v>
      </c>
      <c r="D150" s="16">
        <v>406440</v>
      </c>
      <c r="E150" s="14" t="s">
        <v>345</v>
      </c>
      <c r="F150" s="14">
        <v>78032.954455608648</v>
      </c>
      <c r="G150" s="14">
        <v>18141.857398171473</v>
      </c>
      <c r="H150" s="14">
        <v>29018.481835839641</v>
      </c>
      <c r="I150" s="14">
        <v>24010.203047097599</v>
      </c>
      <c r="J150" s="14">
        <v>149203.49673671735</v>
      </c>
      <c r="K150" s="14">
        <v>94105.118699411076</v>
      </c>
      <c r="L150" s="14">
        <v>22416.699983003753</v>
      </c>
      <c r="M150" s="14">
        <v>34041.837558679988</v>
      </c>
      <c r="N150" s="14">
        <v>24950.11571785227</v>
      </c>
      <c r="O150" s="14">
        <v>175513.77195894707</v>
      </c>
      <c r="P150" s="15">
        <v>1.176338194463743</v>
      </c>
      <c r="Q150" s="14">
        <v>3819</v>
      </c>
      <c r="R150" s="11" t="str">
        <f t="shared" si="2"/>
        <v xml:space="preserve">  </v>
      </c>
      <c r="T150" s="12"/>
    </row>
    <row r="151" spans="1:20" x14ac:dyDescent="0.3">
      <c r="A151" s="17">
        <v>1</v>
      </c>
      <c r="B151" s="17">
        <v>4</v>
      </c>
      <c r="C151" s="14" t="s">
        <v>572</v>
      </c>
      <c r="D151" s="16">
        <v>406510</v>
      </c>
      <c r="E151" s="14" t="s">
        <v>347</v>
      </c>
      <c r="F151" s="14">
        <v>32260.963550554501</v>
      </c>
      <c r="G151" s="14">
        <v>7868.3124216146671</v>
      </c>
      <c r="H151" s="14">
        <v>13426.029804927392</v>
      </c>
      <c r="I151" s="14">
        <v>12113.796052316076</v>
      </c>
      <c r="J151" s="14">
        <v>65669.101829412641</v>
      </c>
      <c r="K151" s="14">
        <v>29034.867195499053</v>
      </c>
      <c r="L151" s="14">
        <v>7081.4811794532006</v>
      </c>
      <c r="M151" s="14">
        <v>12083.426824434653</v>
      </c>
      <c r="N151" s="14">
        <v>10902.41644708447</v>
      </c>
      <c r="O151" s="14">
        <v>59102.191646471379</v>
      </c>
      <c r="P151" s="15">
        <v>0.9</v>
      </c>
      <c r="Q151" s="14">
        <v>2926</v>
      </c>
      <c r="R151" s="11" t="str">
        <f t="shared" si="2"/>
        <v xml:space="preserve">  </v>
      </c>
      <c r="T151" s="12"/>
    </row>
    <row r="152" spans="1:20" x14ac:dyDescent="0.3">
      <c r="A152" s="17">
        <v>1</v>
      </c>
      <c r="B152" s="17">
        <v>4</v>
      </c>
      <c r="C152" s="14" t="s">
        <v>572</v>
      </c>
      <c r="D152" s="16">
        <v>400023</v>
      </c>
      <c r="E152" s="14" t="s">
        <v>348</v>
      </c>
      <c r="F152" s="14">
        <v>474260.41463663883</v>
      </c>
      <c r="G152" s="14">
        <v>122351.4932622785</v>
      </c>
      <c r="H152" s="14">
        <v>312676.5088771864</v>
      </c>
      <c r="I152" s="14">
        <v>355909.92754029256</v>
      </c>
      <c r="J152" s="14">
        <v>1265198.3443163962</v>
      </c>
      <c r="K152" s="14">
        <v>450547.39390480687</v>
      </c>
      <c r="L152" s="14">
        <v>116233.91859916456</v>
      </c>
      <c r="M152" s="14">
        <v>297042.68343332707</v>
      </c>
      <c r="N152" s="14">
        <v>338114.43116327788</v>
      </c>
      <c r="O152" s="14">
        <v>1201938.4271005765</v>
      </c>
      <c r="P152" s="15">
        <v>0.95000000000000007</v>
      </c>
      <c r="Q152" s="14">
        <v>7122</v>
      </c>
      <c r="R152" s="11" t="str">
        <f t="shared" si="2"/>
        <v xml:space="preserve">  </v>
      </c>
      <c r="T152" s="12"/>
    </row>
    <row r="153" spans="1:20" x14ac:dyDescent="0.3">
      <c r="A153" s="17">
        <v>1</v>
      </c>
      <c r="B153" s="17">
        <v>4</v>
      </c>
      <c r="C153" s="14" t="s">
        <v>572</v>
      </c>
      <c r="D153" s="16">
        <v>406630</v>
      </c>
      <c r="E153" s="14" t="s">
        <v>349</v>
      </c>
      <c r="F153" s="14">
        <v>13364.694807291989</v>
      </c>
      <c r="G153" s="14">
        <v>3406.37054735724</v>
      </c>
      <c r="H153" s="14">
        <v>5129.6405148524427</v>
      </c>
      <c r="I153" s="14">
        <v>4486.5013306661895</v>
      </c>
      <c r="J153" s="14">
        <v>26387.207200167861</v>
      </c>
      <c r="K153" s="14">
        <v>17969.82166119407</v>
      </c>
      <c r="L153" s="14">
        <v>4280.5758761514699</v>
      </c>
      <c r="M153" s="14">
        <v>7022.5962549313253</v>
      </c>
      <c r="N153" s="14">
        <v>5275.9500554077522</v>
      </c>
      <c r="O153" s="14">
        <v>34548.943847684619</v>
      </c>
      <c r="P153" s="15">
        <v>1.3093065736591039</v>
      </c>
      <c r="Q153" s="14">
        <v>980</v>
      </c>
      <c r="R153" s="11" t="str">
        <f t="shared" si="2"/>
        <v xml:space="preserve">  </v>
      </c>
      <c r="T153" s="12"/>
    </row>
    <row r="154" spans="1:20" x14ac:dyDescent="0.3">
      <c r="A154" s="17">
        <v>1</v>
      </c>
      <c r="B154" s="17">
        <v>4</v>
      </c>
      <c r="C154" s="14" t="s">
        <v>572</v>
      </c>
      <c r="D154" s="16">
        <v>406730</v>
      </c>
      <c r="E154" s="14" t="s">
        <v>352</v>
      </c>
      <c r="F154" s="14">
        <v>448297.36603829276</v>
      </c>
      <c r="G154" s="14">
        <v>106228.22524712459</v>
      </c>
      <c r="H154" s="14">
        <v>140825.14557723326</v>
      </c>
      <c r="I154" s="14">
        <v>106895.75291694926</v>
      </c>
      <c r="J154" s="14">
        <v>802246.48977959983</v>
      </c>
      <c r="K154" s="14">
        <v>410468.55794516986</v>
      </c>
      <c r="L154" s="14">
        <v>97777.364749986227</v>
      </c>
      <c r="M154" s="14">
        <v>136508.24264285032</v>
      </c>
      <c r="N154" s="14">
        <v>105900.08641651433</v>
      </c>
      <c r="O154" s="14">
        <v>750654.25175452069</v>
      </c>
      <c r="P154" s="15">
        <v>0.93569029134767168</v>
      </c>
      <c r="Q154" s="14">
        <v>56557</v>
      </c>
      <c r="R154" s="11" t="str">
        <f t="shared" si="2"/>
        <v>*</v>
      </c>
      <c r="T154" s="12"/>
    </row>
    <row r="155" spans="1:20" x14ac:dyDescent="0.3">
      <c r="A155" s="17">
        <v>1</v>
      </c>
      <c r="B155" s="17">
        <v>4</v>
      </c>
      <c r="C155" s="14" t="s">
        <v>572</v>
      </c>
      <c r="D155" s="16">
        <v>406780</v>
      </c>
      <c r="E155" s="14" t="s">
        <v>355</v>
      </c>
      <c r="F155" s="14">
        <v>28595.0994798088</v>
      </c>
      <c r="G155" s="14">
        <v>6775.8744499194672</v>
      </c>
      <c r="H155" s="14">
        <v>10635.532528568754</v>
      </c>
      <c r="I155" s="14">
        <v>9322.2999291581727</v>
      </c>
      <c r="J155" s="14">
        <v>55328.806387455195</v>
      </c>
      <c r="K155" s="14">
        <v>26008.952404359843</v>
      </c>
      <c r="L155" s="14">
        <v>6195.5703470613389</v>
      </c>
      <c r="M155" s="14">
        <v>9571.9792757118794</v>
      </c>
      <c r="N155" s="14">
        <v>8390.0699362423566</v>
      </c>
      <c r="O155" s="14">
        <v>50166.571963375412</v>
      </c>
      <c r="P155" s="15">
        <v>0.90669897362452001</v>
      </c>
      <c r="Q155" s="14">
        <v>6084</v>
      </c>
      <c r="R155" s="11" t="str">
        <f t="shared" si="2"/>
        <v xml:space="preserve">  </v>
      </c>
      <c r="T155" s="12"/>
    </row>
    <row r="156" spans="1:20" x14ac:dyDescent="0.3">
      <c r="A156" s="17">
        <v>1</v>
      </c>
      <c r="B156" s="17">
        <v>4</v>
      </c>
      <c r="C156" s="14" t="s">
        <v>572</v>
      </c>
      <c r="D156" s="16">
        <v>406810</v>
      </c>
      <c r="E156" s="14" t="s">
        <v>356</v>
      </c>
      <c r="F156" s="14">
        <v>600497.0890759849</v>
      </c>
      <c r="G156" s="14">
        <v>142293.36344830887</v>
      </c>
      <c r="H156" s="14">
        <v>203484.4238340696</v>
      </c>
      <c r="I156" s="14">
        <v>141111.78066352734</v>
      </c>
      <c r="J156" s="14">
        <v>1087386.6570218909</v>
      </c>
      <c r="K156" s="14">
        <v>612392.60661174566</v>
      </c>
      <c r="L156" s="14">
        <v>145877.51998989884</v>
      </c>
      <c r="M156" s="14">
        <v>227918.1008893174</v>
      </c>
      <c r="N156" s="14">
        <v>176813.84004931877</v>
      </c>
      <c r="O156" s="14">
        <v>1163002.0675402808</v>
      </c>
      <c r="P156" s="15">
        <v>1.069538659528418</v>
      </c>
      <c r="Q156" s="14">
        <v>28190</v>
      </c>
      <c r="R156" s="11" t="str">
        <f t="shared" si="2"/>
        <v>*</v>
      </c>
      <c r="T156" s="12"/>
    </row>
    <row r="157" spans="1:20" x14ac:dyDescent="0.3">
      <c r="A157" s="17">
        <v>1</v>
      </c>
      <c r="B157" s="17">
        <v>4</v>
      </c>
      <c r="C157" s="14" t="s">
        <v>572</v>
      </c>
      <c r="D157" s="16">
        <v>406850</v>
      </c>
      <c r="E157" s="14" t="s">
        <v>357</v>
      </c>
      <c r="F157" s="14">
        <v>147258.90042834249</v>
      </c>
      <c r="G157" s="14">
        <v>35915.822341076018</v>
      </c>
      <c r="H157" s="14">
        <v>46944.892606729059</v>
      </c>
      <c r="I157" s="14">
        <v>38858.871842898538</v>
      </c>
      <c r="J157" s="14">
        <v>268978.4872190461</v>
      </c>
      <c r="K157" s="14">
        <v>132533.01038550824</v>
      </c>
      <c r="L157" s="14">
        <v>32324.240106968417</v>
      </c>
      <c r="M157" s="14">
        <v>42250.403346056155</v>
      </c>
      <c r="N157" s="14">
        <v>34972.984658608686</v>
      </c>
      <c r="O157" s="14">
        <v>242080.63849714148</v>
      </c>
      <c r="P157" s="15">
        <v>0.89999999999999991</v>
      </c>
      <c r="Q157" s="14">
        <v>4092</v>
      </c>
      <c r="R157" s="11" t="str">
        <f t="shared" si="2"/>
        <v xml:space="preserve">  </v>
      </c>
      <c r="T157" s="12"/>
    </row>
    <row r="158" spans="1:20" x14ac:dyDescent="0.3">
      <c r="A158" s="17">
        <v>1</v>
      </c>
      <c r="B158" s="17">
        <v>4</v>
      </c>
      <c r="C158" s="14" t="s">
        <v>572</v>
      </c>
      <c r="D158" s="16">
        <v>406870</v>
      </c>
      <c r="E158" s="14" t="s">
        <v>358</v>
      </c>
      <c r="F158" s="14">
        <v>501058.46801806474</v>
      </c>
      <c r="G158" s="14">
        <v>129264.95630188681</v>
      </c>
      <c r="H158" s="14">
        <v>348976.40663400863</v>
      </c>
      <c r="I158" s="14">
        <v>405324.32942654716</v>
      </c>
      <c r="J158" s="14">
        <v>1384624.1603805074</v>
      </c>
      <c r="K158" s="14">
        <v>476005.5446171615</v>
      </c>
      <c r="L158" s="14">
        <v>122801.70848679246</v>
      </c>
      <c r="M158" s="14">
        <v>331527.58630230819</v>
      </c>
      <c r="N158" s="14">
        <v>385058.11295521981</v>
      </c>
      <c r="O158" s="14">
        <v>1315392.952361482</v>
      </c>
      <c r="P158" s="15">
        <v>0.95</v>
      </c>
      <c r="Q158" s="14">
        <v>8642</v>
      </c>
      <c r="R158" s="11" t="str">
        <f t="shared" si="2"/>
        <v xml:space="preserve">  </v>
      </c>
      <c r="T158" s="12"/>
    </row>
    <row r="159" spans="1:20" x14ac:dyDescent="0.3">
      <c r="A159" s="17">
        <v>1</v>
      </c>
      <c r="B159" s="17">
        <v>4</v>
      </c>
      <c r="C159" s="14" t="s">
        <v>572</v>
      </c>
      <c r="D159" s="16">
        <v>406900</v>
      </c>
      <c r="E159" s="14" t="s">
        <v>482</v>
      </c>
      <c r="F159" s="14">
        <v>58573.832805414815</v>
      </c>
      <c r="G159" s="14">
        <v>13879.613792576976</v>
      </c>
      <c r="H159" s="14">
        <v>19569.169826152782</v>
      </c>
      <c r="I159" s="14">
        <v>12763.343297154683</v>
      </c>
      <c r="J159" s="14">
        <v>104785.95972129925</v>
      </c>
      <c r="K159" s="14">
        <v>53909.46498358222</v>
      </c>
      <c r="L159" s="14">
        <v>12841.727628454413</v>
      </c>
      <c r="M159" s="14">
        <v>18649.516346303597</v>
      </c>
      <c r="N159" s="14">
        <v>13852.473102108082</v>
      </c>
      <c r="O159" s="14">
        <v>99253.182060448307</v>
      </c>
      <c r="P159" s="15">
        <v>0.94719924620085982</v>
      </c>
      <c r="Q159" s="14">
        <v>3598</v>
      </c>
      <c r="R159" s="11" t="str">
        <f t="shared" si="2"/>
        <v xml:space="preserve">  </v>
      </c>
      <c r="T159" s="12"/>
    </row>
    <row r="160" spans="1:20" x14ac:dyDescent="0.3">
      <c r="A160" s="17">
        <v>1</v>
      </c>
      <c r="B160" s="17">
        <v>4</v>
      </c>
      <c r="C160" s="14" t="s">
        <v>572</v>
      </c>
      <c r="D160" s="16">
        <v>406930</v>
      </c>
      <c r="E160" s="14" t="s">
        <v>481</v>
      </c>
      <c r="F160" s="14">
        <v>0</v>
      </c>
      <c r="G160" s="14">
        <v>1050.3233745770101</v>
      </c>
      <c r="H160" s="14">
        <v>0</v>
      </c>
      <c r="I160" s="14">
        <v>0</v>
      </c>
      <c r="J160" s="14">
        <v>1050.3233745770101</v>
      </c>
      <c r="K160" s="14">
        <v>0</v>
      </c>
      <c r="L160" s="14">
        <v>0</v>
      </c>
      <c r="M160" s="14">
        <v>0</v>
      </c>
      <c r="N160" s="14">
        <v>0</v>
      </c>
      <c r="O160" s="14">
        <v>0</v>
      </c>
      <c r="P160" s="15">
        <v>0</v>
      </c>
      <c r="Q160" s="14">
        <v>98</v>
      </c>
      <c r="R160" s="11" t="str">
        <f t="shared" si="2"/>
        <v xml:space="preserve">  </v>
      </c>
      <c r="T160" s="12"/>
    </row>
    <row r="161" spans="1:20" x14ac:dyDescent="0.3">
      <c r="A161" s="17">
        <v>1</v>
      </c>
      <c r="B161" s="17">
        <v>4</v>
      </c>
      <c r="C161" s="14" t="s">
        <v>572</v>
      </c>
      <c r="D161" s="16">
        <v>407020</v>
      </c>
      <c r="E161" s="14" t="s">
        <v>360</v>
      </c>
      <c r="F161" s="14">
        <v>182178.45636329803</v>
      </c>
      <c r="G161" s="14">
        <v>43168.877543841772</v>
      </c>
      <c r="H161" s="14">
        <v>77841.096053205678</v>
      </c>
      <c r="I161" s="14">
        <v>56638.98565999038</v>
      </c>
      <c r="J161" s="14">
        <v>359827.4156203359</v>
      </c>
      <c r="K161" s="14">
        <v>182062.66683051895</v>
      </c>
      <c r="L161" s="14">
        <v>43368.99242942936</v>
      </c>
      <c r="M161" s="14">
        <v>83668.859713323895</v>
      </c>
      <c r="N161" s="14">
        <v>67524.613182934845</v>
      </c>
      <c r="O161" s="14">
        <v>376625.13215620699</v>
      </c>
      <c r="P161" s="15">
        <v>1.0466827034480186</v>
      </c>
      <c r="Q161" s="14">
        <v>7229</v>
      </c>
      <c r="R161" s="11" t="str">
        <f t="shared" si="2"/>
        <v xml:space="preserve">  </v>
      </c>
      <c r="T161" s="12"/>
    </row>
    <row r="162" spans="1:20" x14ac:dyDescent="0.3">
      <c r="A162" s="17">
        <v>1</v>
      </c>
      <c r="B162" s="17">
        <v>4</v>
      </c>
      <c r="C162" s="14" t="s">
        <v>572</v>
      </c>
      <c r="D162" s="16">
        <v>407080</v>
      </c>
      <c r="E162" s="14" t="s">
        <v>361</v>
      </c>
      <c r="F162" s="14">
        <v>3189737.2258444787</v>
      </c>
      <c r="G162" s="14">
        <v>773930.38599543122</v>
      </c>
      <c r="H162" s="14">
        <v>1808122.6148358588</v>
      </c>
      <c r="I162" s="14">
        <v>1523549.9851050561</v>
      </c>
      <c r="J162" s="14">
        <v>7295340.2117808256</v>
      </c>
      <c r="K162" s="14">
        <v>3153703.7015395607</v>
      </c>
      <c r="L162" s="14">
        <v>751241.06626458291</v>
      </c>
      <c r="M162" s="14">
        <v>1879605.4055758638</v>
      </c>
      <c r="N162" s="14">
        <v>1732374.2086011278</v>
      </c>
      <c r="O162" s="14">
        <v>7516924.3819811344</v>
      </c>
      <c r="P162" s="15">
        <v>1.0303733840736427</v>
      </c>
      <c r="Q162" s="14">
        <v>109079</v>
      </c>
      <c r="R162" s="11" t="str">
        <f t="shared" si="2"/>
        <v>*</v>
      </c>
      <c r="T162" s="12"/>
    </row>
    <row r="163" spans="1:20" x14ac:dyDescent="0.3">
      <c r="A163" s="17">
        <v>1</v>
      </c>
      <c r="B163" s="17">
        <v>4</v>
      </c>
      <c r="C163" s="14" t="s">
        <v>572</v>
      </c>
      <c r="D163" s="16">
        <v>407130</v>
      </c>
      <c r="E163" s="14" t="s">
        <v>362</v>
      </c>
      <c r="F163" s="14">
        <v>203855.38661412086</v>
      </c>
      <c r="G163" s="14">
        <v>48305.42753007108</v>
      </c>
      <c r="H163" s="14">
        <v>86631.781393338126</v>
      </c>
      <c r="I163" s="14">
        <v>62904.65596327516</v>
      </c>
      <c r="J163" s="14">
        <v>401697.25150080526</v>
      </c>
      <c r="K163" s="14">
        <v>183469.84795270878</v>
      </c>
      <c r="L163" s="14">
        <v>43474.88477706397</v>
      </c>
      <c r="M163" s="14">
        <v>77968.603254004309</v>
      </c>
      <c r="N163" s="14">
        <v>57250.776916379749</v>
      </c>
      <c r="O163" s="14">
        <v>362164.11290015682</v>
      </c>
      <c r="P163" s="15">
        <v>0.90158474210877393</v>
      </c>
      <c r="Q163" s="14">
        <v>8203</v>
      </c>
      <c r="R163" s="11" t="str">
        <f t="shared" si="2"/>
        <v xml:space="preserve">  </v>
      </c>
      <c r="T163" s="12"/>
    </row>
    <row r="164" spans="1:20" x14ac:dyDescent="0.3">
      <c r="A164" s="17">
        <v>1</v>
      </c>
      <c r="B164" s="17">
        <v>4</v>
      </c>
      <c r="C164" s="14" t="s">
        <v>572</v>
      </c>
      <c r="D164" s="16">
        <v>407140</v>
      </c>
      <c r="E164" s="14" t="s">
        <v>584</v>
      </c>
      <c r="F164" s="14">
        <v>0</v>
      </c>
      <c r="G164" s="14">
        <v>0</v>
      </c>
      <c r="H164" s="14">
        <v>0</v>
      </c>
      <c r="I164" s="14">
        <v>0</v>
      </c>
      <c r="J164" s="14">
        <v>0</v>
      </c>
      <c r="K164" s="14">
        <v>0</v>
      </c>
      <c r="L164" s="14">
        <v>0</v>
      </c>
      <c r="M164" s="14">
        <v>0</v>
      </c>
      <c r="N164" s="14">
        <v>0</v>
      </c>
      <c r="O164" s="14">
        <v>0</v>
      </c>
      <c r="P164" s="15">
        <v>0</v>
      </c>
      <c r="Q164" s="14">
        <v>26</v>
      </c>
      <c r="R164" s="11" t="str">
        <f t="shared" si="2"/>
        <v xml:space="preserve">  </v>
      </c>
      <c r="T164" s="12"/>
    </row>
    <row r="165" spans="1:20" x14ac:dyDescent="0.3">
      <c r="A165" s="17">
        <v>1</v>
      </c>
      <c r="B165" s="17">
        <v>4</v>
      </c>
      <c r="C165" s="14" t="s">
        <v>572</v>
      </c>
      <c r="D165" s="16">
        <v>407200</v>
      </c>
      <c r="E165" s="14" t="s">
        <v>364</v>
      </c>
      <c r="F165" s="14">
        <v>620989.17504924326</v>
      </c>
      <c r="G165" s="14">
        <v>151456.63061400483</v>
      </c>
      <c r="H165" s="14">
        <v>385395.9206693981</v>
      </c>
      <c r="I165" s="14">
        <v>423920.4661064549</v>
      </c>
      <c r="J165" s="14">
        <v>1581762.1924391009</v>
      </c>
      <c r="K165" s="14">
        <v>589939.71629678109</v>
      </c>
      <c r="L165" s="14">
        <v>143883.79908330459</v>
      </c>
      <c r="M165" s="14">
        <v>366126.12463592819</v>
      </c>
      <c r="N165" s="14">
        <v>402724.44280113216</v>
      </c>
      <c r="O165" s="14">
        <v>1502674.0828171459</v>
      </c>
      <c r="P165" s="15">
        <v>0.95</v>
      </c>
      <c r="Q165" s="14">
        <v>7040</v>
      </c>
      <c r="R165" s="11" t="str">
        <f t="shared" si="2"/>
        <v xml:space="preserve">  </v>
      </c>
      <c r="T165" s="12"/>
    </row>
    <row r="166" spans="1:20" x14ac:dyDescent="0.3">
      <c r="A166" s="17">
        <v>1</v>
      </c>
      <c r="B166" s="17">
        <v>4</v>
      </c>
      <c r="C166" s="14" t="s">
        <v>572</v>
      </c>
      <c r="D166" s="16">
        <v>407170</v>
      </c>
      <c r="E166" s="14" t="s">
        <v>365</v>
      </c>
      <c r="F166" s="14">
        <v>172031.80816078524</v>
      </c>
      <c r="G166" s="14">
        <v>40764.534997096154</v>
      </c>
      <c r="H166" s="14">
        <v>52276.040902996152</v>
      </c>
      <c r="I166" s="14">
        <v>35082.55692239762</v>
      </c>
      <c r="J166" s="14">
        <v>300154.94098327518</v>
      </c>
      <c r="K166" s="14">
        <v>164092.84516932484</v>
      </c>
      <c r="L166" s="14">
        <v>39088.416553277893</v>
      </c>
      <c r="M166" s="14">
        <v>52111.011910333436</v>
      </c>
      <c r="N166" s="14">
        <v>39757.228553486479</v>
      </c>
      <c r="O166" s="14">
        <v>295049.50218642264</v>
      </c>
      <c r="P166" s="15">
        <v>0.98299065549236775</v>
      </c>
      <c r="Q166" s="14">
        <v>9423</v>
      </c>
      <c r="R166" s="11" t="str">
        <f t="shared" si="2"/>
        <v xml:space="preserve">  </v>
      </c>
      <c r="T166" s="12"/>
    </row>
    <row r="167" spans="1:20" x14ac:dyDescent="0.3">
      <c r="A167" s="17">
        <v>1</v>
      </c>
      <c r="B167" s="17">
        <v>4</v>
      </c>
      <c r="C167" s="14" t="s">
        <v>572</v>
      </c>
      <c r="D167" s="16">
        <v>407240</v>
      </c>
      <c r="E167" s="14" t="s">
        <v>366</v>
      </c>
      <c r="F167" s="14">
        <v>386033.84297741874</v>
      </c>
      <c r="G167" s="14">
        <v>91474.305073912852</v>
      </c>
      <c r="H167" s="14">
        <v>146223.93228404253</v>
      </c>
      <c r="I167" s="14">
        <v>113351.93683109267</v>
      </c>
      <c r="J167" s="14">
        <v>737084.0171664668</v>
      </c>
      <c r="K167" s="14">
        <v>353721.75269929401</v>
      </c>
      <c r="L167" s="14">
        <v>84259.756720034246</v>
      </c>
      <c r="M167" s="14">
        <v>131601.53905563828</v>
      </c>
      <c r="N167" s="14">
        <v>102016.7431479834</v>
      </c>
      <c r="O167" s="14">
        <v>671599.79162295</v>
      </c>
      <c r="P167" s="15">
        <v>0.91115771876962637</v>
      </c>
      <c r="Q167" s="14">
        <v>17007</v>
      </c>
      <c r="R167" s="11" t="str">
        <f t="shared" si="2"/>
        <v xml:space="preserve">  </v>
      </c>
      <c r="T167" s="12"/>
    </row>
    <row r="168" spans="1:20" x14ac:dyDescent="0.3">
      <c r="A168" s="17">
        <v>1</v>
      </c>
      <c r="B168" s="17">
        <v>4</v>
      </c>
      <c r="C168" s="14" t="s">
        <v>572</v>
      </c>
      <c r="D168" s="16">
        <v>407300</v>
      </c>
      <c r="E168" s="14" t="s">
        <v>367</v>
      </c>
      <c r="F168" s="14">
        <v>327921.22145393642</v>
      </c>
      <c r="G168" s="14">
        <v>0</v>
      </c>
      <c r="H168" s="14">
        <v>91959.962969657572</v>
      </c>
      <c r="I168" s="14">
        <v>74049.3760674277</v>
      </c>
      <c r="J168" s="14">
        <v>493930.56049102166</v>
      </c>
      <c r="K168" s="14">
        <v>361760.88344245974</v>
      </c>
      <c r="L168" s="14">
        <v>0</v>
      </c>
      <c r="M168" s="14">
        <v>114458.55786677053</v>
      </c>
      <c r="N168" s="14">
        <v>88794.426875111851</v>
      </c>
      <c r="O168" s="14">
        <v>565013.86818434217</v>
      </c>
      <c r="P168" s="15">
        <v>1.143913564738039</v>
      </c>
      <c r="Q168" s="14">
        <v>27711</v>
      </c>
      <c r="R168" s="11" t="str">
        <f t="shared" si="2"/>
        <v>*</v>
      </c>
      <c r="T168" s="12"/>
    </row>
    <row r="169" spans="1:20" x14ac:dyDescent="0.3">
      <c r="A169" s="17">
        <v>1</v>
      </c>
      <c r="B169" s="17">
        <v>4</v>
      </c>
      <c r="C169" s="14" t="s">
        <v>572</v>
      </c>
      <c r="D169" s="16">
        <v>400005</v>
      </c>
      <c r="E169" s="14" t="s">
        <v>368</v>
      </c>
      <c r="F169" s="14">
        <v>31033.180615983249</v>
      </c>
      <c r="G169" s="14">
        <v>7348.281679802787</v>
      </c>
      <c r="H169" s="14">
        <v>21215.169046616211</v>
      </c>
      <c r="I169" s="14">
        <v>22497.061616472951</v>
      </c>
      <c r="J169" s="14">
        <v>82093.692958875195</v>
      </c>
      <c r="K169" s="14">
        <v>29481.521585184084</v>
      </c>
      <c r="L169" s="14">
        <v>6984.0974821418713</v>
      </c>
      <c r="M169" s="14">
        <v>20290.737179405998</v>
      </c>
      <c r="N169" s="14">
        <v>21372.208535649301</v>
      </c>
      <c r="O169" s="14">
        <v>78128.564782381261</v>
      </c>
      <c r="P169" s="15">
        <v>0.95169996581247396</v>
      </c>
      <c r="Q169" s="14">
        <v>2728</v>
      </c>
      <c r="R169" s="11" t="str">
        <f t="shared" si="2"/>
        <v xml:space="preserve">  </v>
      </c>
      <c r="T169" s="12"/>
    </row>
    <row r="170" spans="1:20" x14ac:dyDescent="0.3">
      <c r="A170" s="17">
        <v>1</v>
      </c>
      <c r="B170" s="17">
        <v>4</v>
      </c>
      <c r="C170" s="14" t="s">
        <v>572</v>
      </c>
      <c r="D170" s="16">
        <v>406960</v>
      </c>
      <c r="E170" s="14" t="s">
        <v>370</v>
      </c>
      <c r="F170" s="14">
        <v>328151.00651007186</v>
      </c>
      <c r="G170" s="14">
        <v>80034.64114276816</v>
      </c>
      <c r="H170" s="14">
        <v>241456.24106913293</v>
      </c>
      <c r="I170" s="14">
        <v>283232.1228403619</v>
      </c>
      <c r="J170" s="14">
        <v>932874.01156233484</v>
      </c>
      <c r="K170" s="14">
        <v>316363.43924575887</v>
      </c>
      <c r="L170" s="14">
        <v>76032.909085629755</v>
      </c>
      <c r="M170" s="14">
        <v>239964.25756006804</v>
      </c>
      <c r="N170" s="14">
        <v>269070.5166983438</v>
      </c>
      <c r="O170" s="14">
        <v>901431.12258980039</v>
      </c>
      <c r="P170" s="15">
        <v>0.96629460293370661</v>
      </c>
      <c r="Q170" s="14">
        <v>5254</v>
      </c>
      <c r="R170" s="11" t="str">
        <f t="shared" si="2"/>
        <v xml:space="preserve">  </v>
      </c>
      <c r="T170" s="12"/>
    </row>
    <row r="171" spans="1:20" x14ac:dyDescent="0.3">
      <c r="A171" s="17">
        <v>1</v>
      </c>
      <c r="B171" s="17">
        <v>4</v>
      </c>
      <c r="C171" s="14" t="s">
        <v>572</v>
      </c>
      <c r="D171" s="16">
        <v>407380</v>
      </c>
      <c r="E171" s="14" t="s">
        <v>371</v>
      </c>
      <c r="F171" s="14">
        <v>0</v>
      </c>
      <c r="G171" s="14">
        <v>0</v>
      </c>
      <c r="H171" s="14">
        <v>0</v>
      </c>
      <c r="I171" s="14">
        <v>0</v>
      </c>
      <c r="J171" s="14">
        <v>0</v>
      </c>
      <c r="K171" s="14">
        <v>0</v>
      </c>
      <c r="L171" s="14">
        <v>0</v>
      </c>
      <c r="M171" s="14">
        <v>0</v>
      </c>
      <c r="N171" s="14">
        <v>0</v>
      </c>
      <c r="O171" s="14">
        <v>0</v>
      </c>
      <c r="P171" s="15">
        <v>0</v>
      </c>
      <c r="Q171" s="14">
        <v>53</v>
      </c>
      <c r="R171" s="11" t="str">
        <f t="shared" si="2"/>
        <v xml:space="preserve">  </v>
      </c>
      <c r="T171" s="12"/>
    </row>
    <row r="172" spans="1:20" x14ac:dyDescent="0.3">
      <c r="A172" s="17">
        <v>1</v>
      </c>
      <c r="B172" s="17">
        <v>4</v>
      </c>
      <c r="C172" s="14" t="s">
        <v>572</v>
      </c>
      <c r="D172" s="16">
        <v>407430</v>
      </c>
      <c r="E172" s="14" t="s">
        <v>372</v>
      </c>
      <c r="F172" s="14">
        <v>9685.4369205804051</v>
      </c>
      <c r="G172" s="14">
        <v>2295.0542491662718</v>
      </c>
      <c r="H172" s="14">
        <v>3773.5159373630231</v>
      </c>
      <c r="I172" s="14">
        <v>3114.4066360168649</v>
      </c>
      <c r="J172" s="14">
        <v>18868.413743126566</v>
      </c>
      <c r="K172" s="14">
        <v>8716.8932285223655</v>
      </c>
      <c r="L172" s="14">
        <v>2065.5488242496449</v>
      </c>
      <c r="M172" s="14">
        <v>3396.1643436267209</v>
      </c>
      <c r="N172" s="14">
        <v>2802.9659724151784</v>
      </c>
      <c r="O172" s="14">
        <v>16981.572368813908</v>
      </c>
      <c r="P172" s="15">
        <v>0.89999999999999991</v>
      </c>
      <c r="Q172" s="14">
        <v>667</v>
      </c>
      <c r="R172" s="11" t="str">
        <f t="shared" si="2"/>
        <v xml:space="preserve">  </v>
      </c>
      <c r="T172" s="12"/>
    </row>
    <row r="173" spans="1:20" x14ac:dyDescent="0.3">
      <c r="A173" s="17">
        <v>1</v>
      </c>
      <c r="B173" s="17">
        <v>4</v>
      </c>
      <c r="C173" s="14" t="s">
        <v>572</v>
      </c>
      <c r="D173" s="16">
        <v>406740</v>
      </c>
      <c r="E173" s="14" t="s">
        <v>374</v>
      </c>
      <c r="F173" s="14">
        <v>333916.96811905765</v>
      </c>
      <c r="G173" s="14">
        <v>83624.434985650529</v>
      </c>
      <c r="H173" s="14">
        <v>229004.84532465617</v>
      </c>
      <c r="I173" s="14">
        <v>243210.36866495735</v>
      </c>
      <c r="J173" s="14">
        <v>889756.61709432164</v>
      </c>
      <c r="K173" s="14">
        <v>317221.11971310474</v>
      </c>
      <c r="L173" s="14">
        <v>79443.213236367999</v>
      </c>
      <c r="M173" s="14">
        <v>217554.60305842335</v>
      </c>
      <c r="N173" s="14">
        <v>231049.85023170948</v>
      </c>
      <c r="O173" s="14">
        <v>845268.78623960563</v>
      </c>
      <c r="P173" s="15">
        <v>0.95000000000000007</v>
      </c>
      <c r="Q173" s="14">
        <v>5925</v>
      </c>
      <c r="R173" s="11" t="str">
        <f t="shared" si="2"/>
        <v xml:space="preserve">  </v>
      </c>
      <c r="T173" s="12"/>
    </row>
    <row r="174" spans="1:20" x14ac:dyDescent="0.3">
      <c r="A174" s="17">
        <v>1</v>
      </c>
      <c r="B174" s="17">
        <v>4</v>
      </c>
      <c r="C174" s="14" t="s">
        <v>572</v>
      </c>
      <c r="D174" s="16">
        <v>407500</v>
      </c>
      <c r="E174" s="14" t="s">
        <v>375</v>
      </c>
      <c r="F174" s="14">
        <v>66421.139300805982</v>
      </c>
      <c r="G174" s="14">
        <v>15339.737100097291</v>
      </c>
      <c r="H174" s="14">
        <v>34195.290634749414</v>
      </c>
      <c r="I174" s="14">
        <v>25342.197916352823</v>
      </c>
      <c r="J174" s="14">
        <v>141298.3649520055</v>
      </c>
      <c r="K174" s="14">
        <v>59779.025370725387</v>
      </c>
      <c r="L174" s="14">
        <v>13805.763390087563</v>
      </c>
      <c r="M174" s="14">
        <v>30775.761571274474</v>
      </c>
      <c r="N174" s="14">
        <v>22807.978124717542</v>
      </c>
      <c r="O174" s="14">
        <v>127168.52845680497</v>
      </c>
      <c r="P174" s="15">
        <v>0.90000000000000013</v>
      </c>
      <c r="Q174" s="14">
        <v>1726</v>
      </c>
      <c r="R174" s="11" t="str">
        <f t="shared" si="2"/>
        <v xml:space="preserve">  </v>
      </c>
      <c r="T174" s="12"/>
    </row>
    <row r="175" spans="1:20" x14ac:dyDescent="0.3">
      <c r="A175" s="17">
        <v>1</v>
      </c>
      <c r="B175" s="17">
        <v>4</v>
      </c>
      <c r="C175" s="14" t="s">
        <v>572</v>
      </c>
      <c r="D175" s="16">
        <v>407520</v>
      </c>
      <c r="E175" s="14" t="s">
        <v>376</v>
      </c>
      <c r="F175" s="14">
        <v>543030.40526850568</v>
      </c>
      <c r="G175" s="14">
        <v>125411.03241926897</v>
      </c>
      <c r="H175" s="14">
        <v>255446.49495231098</v>
      </c>
      <c r="I175" s="14">
        <v>181115.18475072214</v>
      </c>
      <c r="J175" s="14">
        <v>1105003.1173908077</v>
      </c>
      <c r="K175" s="14">
        <v>488727.36474165512</v>
      </c>
      <c r="L175" s="14">
        <v>112869.92917734208</v>
      </c>
      <c r="M175" s="14">
        <v>229901.84545707988</v>
      </c>
      <c r="N175" s="14">
        <v>163003.66627564994</v>
      </c>
      <c r="O175" s="14">
        <v>994502.80565172702</v>
      </c>
      <c r="P175" s="15">
        <v>0.9</v>
      </c>
      <c r="Q175" s="14">
        <v>19782</v>
      </c>
      <c r="R175" s="11" t="str">
        <f t="shared" si="2"/>
        <v xml:space="preserve">  </v>
      </c>
      <c r="T175" s="12"/>
    </row>
    <row r="176" spans="1:20" x14ac:dyDescent="0.3">
      <c r="A176" s="17">
        <v>1</v>
      </c>
      <c r="B176" s="17">
        <v>4</v>
      </c>
      <c r="C176" s="14" t="s">
        <v>572</v>
      </c>
      <c r="D176" s="16">
        <v>407530</v>
      </c>
      <c r="E176" s="14" t="s">
        <v>377</v>
      </c>
      <c r="F176" s="14">
        <v>103772.53843479001</v>
      </c>
      <c r="G176" s="14">
        <v>24876.079924192349</v>
      </c>
      <c r="H176" s="14">
        <v>46443.246920567901</v>
      </c>
      <c r="I176" s="14">
        <v>34704.614365340858</v>
      </c>
      <c r="J176" s="14">
        <v>209796.47964489111</v>
      </c>
      <c r="K176" s="14">
        <v>93395.284591311007</v>
      </c>
      <c r="L176" s="14">
        <v>22388.471931773114</v>
      </c>
      <c r="M176" s="14">
        <v>41798.92222851111</v>
      </c>
      <c r="N176" s="14">
        <v>31234.152928806772</v>
      </c>
      <c r="O176" s="14">
        <v>188816.83168040201</v>
      </c>
      <c r="P176" s="15">
        <v>0.90000000000000013</v>
      </c>
      <c r="Q176" s="14">
        <v>19542</v>
      </c>
      <c r="R176" s="11" t="str">
        <f t="shared" si="2"/>
        <v xml:space="preserve">  </v>
      </c>
      <c r="T176" s="12"/>
    </row>
    <row r="177" spans="1:20" x14ac:dyDescent="0.3">
      <c r="A177" s="17">
        <v>1</v>
      </c>
      <c r="B177" s="17">
        <v>4</v>
      </c>
      <c r="C177" s="14" t="s">
        <v>572</v>
      </c>
      <c r="D177" s="16">
        <v>407570</v>
      </c>
      <c r="E177" s="14" t="s">
        <v>379</v>
      </c>
      <c r="F177" s="14">
        <v>1822706.9861968448</v>
      </c>
      <c r="G177" s="14">
        <v>0</v>
      </c>
      <c r="H177" s="14">
        <v>813621.23433498153</v>
      </c>
      <c r="I177" s="14">
        <v>619090.19118600304</v>
      </c>
      <c r="J177" s="14">
        <v>3255418.4117178293</v>
      </c>
      <c r="K177" s="14">
        <v>1715172.1885566027</v>
      </c>
      <c r="L177" s="14">
        <v>0</v>
      </c>
      <c r="M177" s="14">
        <v>824544.03750033269</v>
      </c>
      <c r="N177" s="14">
        <v>677445.01177318033</v>
      </c>
      <c r="O177" s="14">
        <v>3217161.2378301155</v>
      </c>
      <c r="P177" s="15">
        <v>0.98824815459972593</v>
      </c>
      <c r="Q177" s="14">
        <v>235949</v>
      </c>
      <c r="R177" s="11" t="str">
        <f t="shared" si="2"/>
        <v>*</v>
      </c>
      <c r="T177" s="12"/>
    </row>
    <row r="178" spans="1:20" x14ac:dyDescent="0.3">
      <c r="A178" s="17">
        <v>1</v>
      </c>
      <c r="B178" s="17">
        <v>4</v>
      </c>
      <c r="C178" s="14" t="s">
        <v>572</v>
      </c>
      <c r="D178" s="16">
        <v>409733</v>
      </c>
      <c r="E178" s="14" t="s">
        <v>583</v>
      </c>
      <c r="F178" s="14">
        <v>171109.38559692045</v>
      </c>
      <c r="G178" s="14">
        <v>40545.95840193746</v>
      </c>
      <c r="H178" s="14">
        <v>71033.241421240702</v>
      </c>
      <c r="I178" s="14">
        <v>51109.519437397816</v>
      </c>
      <c r="J178" s="14">
        <v>333798.10485749645</v>
      </c>
      <c r="K178" s="14">
        <v>153998.44703722841</v>
      </c>
      <c r="L178" s="14">
        <v>36491.362561743714</v>
      </c>
      <c r="M178" s="14">
        <v>63929.917279116635</v>
      </c>
      <c r="N178" s="14">
        <v>45998.567493658033</v>
      </c>
      <c r="O178" s="14">
        <v>300418.29437174677</v>
      </c>
      <c r="P178" s="15">
        <v>0.89999999999999991</v>
      </c>
      <c r="Q178" s="14">
        <v>14958</v>
      </c>
      <c r="R178" s="11" t="str">
        <f t="shared" si="2"/>
        <v xml:space="preserve">  </v>
      </c>
      <c r="T178" s="12"/>
    </row>
    <row r="179" spans="1:20" x14ac:dyDescent="0.3">
      <c r="A179" s="17">
        <v>1</v>
      </c>
      <c r="B179" s="17">
        <v>4</v>
      </c>
      <c r="C179" s="14" t="s">
        <v>572</v>
      </c>
      <c r="D179" s="16">
        <v>407630</v>
      </c>
      <c r="E179" s="14" t="s">
        <v>382</v>
      </c>
      <c r="F179" s="14">
        <v>13247.724514387859</v>
      </c>
      <c r="G179" s="14">
        <v>3231.0639200637115</v>
      </c>
      <c r="H179" s="14">
        <v>4908.2979615216946</v>
      </c>
      <c r="I179" s="14">
        <v>4213.3165493697925</v>
      </c>
      <c r="J179" s="14">
        <v>25600.402945343056</v>
      </c>
      <c r="K179" s="14">
        <v>16551.151530047166</v>
      </c>
      <c r="L179" s="14">
        <v>3942.635675402671</v>
      </c>
      <c r="M179" s="14">
        <v>6638.0433301982093</v>
      </c>
      <c r="N179" s="14">
        <v>5050.3491028864673</v>
      </c>
      <c r="O179" s="14">
        <v>32182.179638534511</v>
      </c>
      <c r="P179" s="15">
        <v>1.2570966053637347</v>
      </c>
      <c r="Q179" s="14">
        <v>1364</v>
      </c>
      <c r="R179" s="11" t="str">
        <f t="shared" si="2"/>
        <v xml:space="preserve">  </v>
      </c>
      <c r="T179" s="12"/>
    </row>
    <row r="180" spans="1:20" x14ac:dyDescent="0.3">
      <c r="A180" s="17">
        <v>1</v>
      </c>
      <c r="B180" s="17">
        <v>4</v>
      </c>
      <c r="C180" s="14" t="s">
        <v>572</v>
      </c>
      <c r="D180" s="16">
        <v>407680</v>
      </c>
      <c r="E180" s="14" t="s">
        <v>476</v>
      </c>
      <c r="F180" s="14">
        <v>0</v>
      </c>
      <c r="G180" s="14">
        <v>1896.7696709865324</v>
      </c>
      <c r="H180" s="14">
        <v>0</v>
      </c>
      <c r="I180" s="14">
        <v>0</v>
      </c>
      <c r="J180" s="14">
        <v>1896.7696709865324</v>
      </c>
      <c r="K180" s="14">
        <v>0</v>
      </c>
      <c r="L180" s="14">
        <v>0</v>
      </c>
      <c r="M180" s="14">
        <v>0</v>
      </c>
      <c r="N180" s="14">
        <v>0</v>
      </c>
      <c r="O180" s="14">
        <v>0</v>
      </c>
      <c r="P180" s="15">
        <v>0</v>
      </c>
      <c r="Q180" s="14">
        <v>137</v>
      </c>
      <c r="R180" s="11" t="str">
        <f t="shared" si="2"/>
        <v xml:space="preserve">  </v>
      </c>
      <c r="T180" s="12"/>
    </row>
    <row r="181" spans="1:20" x14ac:dyDescent="0.3">
      <c r="A181" s="17">
        <v>1</v>
      </c>
      <c r="B181" s="17">
        <v>4</v>
      </c>
      <c r="C181" s="14" t="s">
        <v>572</v>
      </c>
      <c r="D181" s="16">
        <v>407700</v>
      </c>
      <c r="E181" s="14" t="s">
        <v>383</v>
      </c>
      <c r="F181" s="14">
        <v>492112.43782187096</v>
      </c>
      <c r="G181" s="14">
        <v>116610.61351716246</v>
      </c>
      <c r="H181" s="14">
        <v>266102.26468739618</v>
      </c>
      <c r="I181" s="14">
        <v>218969.74697647674</v>
      </c>
      <c r="J181" s="14">
        <v>1093795.0630029063</v>
      </c>
      <c r="K181" s="14">
        <v>442901.19403968385</v>
      </c>
      <c r="L181" s="14">
        <v>104949.55216544622</v>
      </c>
      <c r="M181" s="14">
        <v>239492.03821865655</v>
      </c>
      <c r="N181" s="14">
        <v>197072.77227882907</v>
      </c>
      <c r="O181" s="14">
        <v>984415.55670261569</v>
      </c>
      <c r="P181" s="15">
        <v>0.9</v>
      </c>
      <c r="Q181" s="14">
        <v>16388</v>
      </c>
      <c r="R181" s="11" t="str">
        <f t="shared" si="2"/>
        <v xml:space="preserve">  </v>
      </c>
      <c r="T181" s="12"/>
    </row>
    <row r="182" spans="1:20" x14ac:dyDescent="0.3">
      <c r="A182" s="17">
        <v>1</v>
      </c>
      <c r="B182" s="17">
        <v>4</v>
      </c>
      <c r="C182" s="14" t="s">
        <v>572</v>
      </c>
      <c r="D182" s="16">
        <v>401460</v>
      </c>
      <c r="E182" s="14" t="s">
        <v>384</v>
      </c>
      <c r="F182" s="14">
        <v>650307.90752468421</v>
      </c>
      <c r="G182" s="14">
        <v>154096.49958687826</v>
      </c>
      <c r="H182" s="14">
        <v>223991.09671812513</v>
      </c>
      <c r="I182" s="14">
        <v>162661.579386044</v>
      </c>
      <c r="J182" s="14">
        <v>1191057.0832157317</v>
      </c>
      <c r="K182" s="14">
        <v>678124.32268821844</v>
      </c>
      <c r="L182" s="14">
        <v>161535.41595792657</v>
      </c>
      <c r="M182" s="14">
        <v>257674.47160655129</v>
      </c>
      <c r="N182" s="14">
        <v>199898.17671198811</v>
      </c>
      <c r="O182" s="14">
        <v>1297232.3869646844</v>
      </c>
      <c r="P182" s="15">
        <v>1.0891437574614731</v>
      </c>
      <c r="Q182" s="14">
        <v>47505</v>
      </c>
      <c r="R182" s="11" t="str">
        <f t="shared" si="2"/>
        <v>*</v>
      </c>
      <c r="T182" s="12"/>
    </row>
    <row r="183" spans="1:20" x14ac:dyDescent="0.3">
      <c r="A183" s="17">
        <v>1</v>
      </c>
      <c r="B183" s="17">
        <v>4</v>
      </c>
      <c r="C183" s="14" t="s">
        <v>572</v>
      </c>
      <c r="D183" s="16">
        <v>407770</v>
      </c>
      <c r="E183" s="14" t="s">
        <v>475</v>
      </c>
      <c r="F183" s="14">
        <v>8301.8030747832017</v>
      </c>
      <c r="G183" s="14">
        <v>1967.1893564282329</v>
      </c>
      <c r="H183" s="14">
        <v>2360.3560242749481</v>
      </c>
      <c r="I183" s="14">
        <v>1794.1383169580763</v>
      </c>
      <c r="J183" s="14">
        <v>14423.486772444459</v>
      </c>
      <c r="K183" s="14">
        <v>7566.240699450138</v>
      </c>
      <c r="L183" s="14">
        <v>1672.110952963998</v>
      </c>
      <c r="M183" s="14">
        <v>2283.4625010827031</v>
      </c>
      <c r="N183" s="14">
        <v>1771.45988778278</v>
      </c>
      <c r="O183" s="14">
        <v>13293.274041279617</v>
      </c>
      <c r="P183" s="15">
        <v>0.92164081064475534</v>
      </c>
      <c r="Q183" s="14">
        <v>634</v>
      </c>
      <c r="R183" s="11" t="str">
        <f t="shared" si="2"/>
        <v xml:space="preserve">  </v>
      </c>
      <c r="T183" s="12"/>
    </row>
    <row r="184" spans="1:20" x14ac:dyDescent="0.3">
      <c r="A184" s="17">
        <v>1</v>
      </c>
      <c r="B184" s="17">
        <v>4</v>
      </c>
      <c r="C184" s="14" t="s">
        <v>572</v>
      </c>
      <c r="D184" s="16">
        <v>407820</v>
      </c>
      <c r="E184" s="14" t="s">
        <v>388</v>
      </c>
      <c r="F184" s="14">
        <v>324231.53119847726</v>
      </c>
      <c r="G184" s="14">
        <v>76829.673198280434</v>
      </c>
      <c r="H184" s="14">
        <v>128931.90666573092</v>
      </c>
      <c r="I184" s="14">
        <v>114216.6529907337</v>
      </c>
      <c r="J184" s="14">
        <v>644209.76405322237</v>
      </c>
      <c r="K184" s="14">
        <v>291808.37807862955</v>
      </c>
      <c r="L184" s="14">
        <v>69146.705878452398</v>
      </c>
      <c r="M184" s="14">
        <v>116038.71599915782</v>
      </c>
      <c r="N184" s="14">
        <v>102794.98769166032</v>
      </c>
      <c r="O184" s="14">
        <v>579788.78764790006</v>
      </c>
      <c r="P184" s="15">
        <v>0.89999999999999991</v>
      </c>
      <c r="Q184" s="14">
        <v>12313</v>
      </c>
      <c r="R184" s="11" t="str">
        <f t="shared" si="2"/>
        <v xml:space="preserve">  </v>
      </c>
      <c r="T184" s="12"/>
    </row>
    <row r="185" spans="1:20" x14ac:dyDescent="0.3">
      <c r="A185" s="17">
        <v>1</v>
      </c>
      <c r="B185" s="17">
        <v>4</v>
      </c>
      <c r="C185" s="14" t="s">
        <v>572</v>
      </c>
      <c r="D185" s="16">
        <v>407860</v>
      </c>
      <c r="E185" s="14" t="s">
        <v>389</v>
      </c>
      <c r="F185" s="14">
        <v>60879.889215076815</v>
      </c>
      <c r="G185" s="14">
        <v>14426.055280473704</v>
      </c>
      <c r="H185" s="14">
        <v>33764.020890611668</v>
      </c>
      <c r="I185" s="14">
        <v>34158.260706969399</v>
      </c>
      <c r="J185" s="14">
        <v>143228.22609313158</v>
      </c>
      <c r="K185" s="14">
        <v>54791.900293569131</v>
      </c>
      <c r="L185" s="14">
        <v>12983.449752426333</v>
      </c>
      <c r="M185" s="14">
        <v>30387.618801550503</v>
      </c>
      <c r="N185" s="14">
        <v>30742.434636272461</v>
      </c>
      <c r="O185" s="14">
        <v>128905.40348381843</v>
      </c>
      <c r="P185" s="15">
        <v>0.9</v>
      </c>
      <c r="Q185" s="14">
        <v>2940</v>
      </c>
      <c r="R185" s="11" t="str">
        <f t="shared" si="2"/>
        <v xml:space="preserve">  </v>
      </c>
      <c r="T185" s="12"/>
    </row>
    <row r="186" spans="1:20" x14ac:dyDescent="0.3">
      <c r="A186" s="17">
        <v>1</v>
      </c>
      <c r="B186" s="17">
        <v>4</v>
      </c>
      <c r="C186" s="14" t="s">
        <v>572</v>
      </c>
      <c r="D186" s="16">
        <v>407890</v>
      </c>
      <c r="E186" s="14" t="s">
        <v>390</v>
      </c>
      <c r="F186" s="14">
        <v>546996.58037182654</v>
      </c>
      <c r="G186" s="14">
        <v>130345.54306238084</v>
      </c>
      <c r="H186" s="14">
        <v>299676.85914339789</v>
      </c>
      <c r="I186" s="14">
        <v>313156.62084076932</v>
      </c>
      <c r="J186" s="14">
        <v>1290175.6034183747</v>
      </c>
      <c r="K186" s="14">
        <v>543350.6602292629</v>
      </c>
      <c r="L186" s="14">
        <v>129431.09688679052</v>
      </c>
      <c r="M186" s="14">
        <v>300321.46981026838</v>
      </c>
      <c r="N186" s="14">
        <v>297498.78979873087</v>
      </c>
      <c r="O186" s="14">
        <v>1270602.0167250526</v>
      </c>
      <c r="P186" s="15">
        <v>0.98482874219489114</v>
      </c>
      <c r="Q186" s="14">
        <v>22405</v>
      </c>
      <c r="R186" s="11" t="str">
        <f t="shared" si="2"/>
        <v>*</v>
      </c>
      <c r="T186" s="12"/>
    </row>
    <row r="187" spans="1:20" x14ac:dyDescent="0.3">
      <c r="A187" s="17">
        <v>1</v>
      </c>
      <c r="B187" s="17">
        <v>4</v>
      </c>
      <c r="C187" s="14" t="s">
        <v>572</v>
      </c>
      <c r="D187" s="16">
        <v>407920</v>
      </c>
      <c r="E187" s="14" t="s">
        <v>391</v>
      </c>
      <c r="F187" s="14">
        <v>12249.939716835494</v>
      </c>
      <c r="G187" s="14">
        <v>2900.637505185312</v>
      </c>
      <c r="H187" s="14">
        <v>4491.4984447616425</v>
      </c>
      <c r="I187" s="14">
        <v>3750.3154562849982</v>
      </c>
      <c r="J187" s="14">
        <v>23392.391123067446</v>
      </c>
      <c r="K187" s="14">
        <v>11349.361049175206</v>
      </c>
      <c r="L187" s="14">
        <v>2703.5216059904019</v>
      </c>
      <c r="M187" s="14">
        <v>4042.3486002854784</v>
      </c>
      <c r="N187" s="14">
        <v>3375.2839106564984</v>
      </c>
      <c r="O187" s="14">
        <v>21470.515166107583</v>
      </c>
      <c r="P187" s="15">
        <v>0.91784183383182738</v>
      </c>
      <c r="Q187" s="14">
        <v>1821</v>
      </c>
      <c r="R187" s="11" t="str">
        <f t="shared" si="2"/>
        <v xml:space="preserve">  </v>
      </c>
      <c r="T187" s="12"/>
    </row>
    <row r="188" spans="1:20" x14ac:dyDescent="0.3">
      <c r="A188" s="17">
        <v>1</v>
      </c>
      <c r="B188" s="17">
        <v>4</v>
      </c>
      <c r="C188" s="14" t="s">
        <v>572</v>
      </c>
      <c r="D188" s="16">
        <v>408020</v>
      </c>
      <c r="E188" s="14" t="s">
        <v>397</v>
      </c>
      <c r="F188" s="14">
        <v>63699.686527544553</v>
      </c>
      <c r="G188" s="14">
        <v>15083.31502696361</v>
      </c>
      <c r="H188" s="14">
        <v>26628.849333987604</v>
      </c>
      <c r="I188" s="14">
        <v>22330.783835031511</v>
      </c>
      <c r="J188" s="14">
        <v>127742.63472352728</v>
      </c>
      <c r="K188" s="14">
        <v>57329.717874790098</v>
      </c>
      <c r="L188" s="14">
        <v>13574.983524267249</v>
      </c>
      <c r="M188" s="14">
        <v>23965.964400588844</v>
      </c>
      <c r="N188" s="14">
        <v>20097.70545152836</v>
      </c>
      <c r="O188" s="14">
        <v>114968.37125117454</v>
      </c>
      <c r="P188" s="15">
        <v>0.89999999999999991</v>
      </c>
      <c r="Q188" s="14">
        <v>3569</v>
      </c>
      <c r="R188" s="11" t="str">
        <f t="shared" si="2"/>
        <v xml:space="preserve">  </v>
      </c>
      <c r="T188" s="12"/>
    </row>
    <row r="189" spans="1:20" x14ac:dyDescent="0.3">
      <c r="A189" s="17">
        <v>1</v>
      </c>
      <c r="B189" s="17">
        <v>4</v>
      </c>
      <c r="C189" s="14" t="s">
        <v>572</v>
      </c>
      <c r="D189" s="16">
        <v>408080</v>
      </c>
      <c r="E189" s="14" t="s">
        <v>398</v>
      </c>
      <c r="F189" s="14">
        <v>133290.06047846368</v>
      </c>
      <c r="G189" s="14">
        <v>31584.318000431067</v>
      </c>
      <c r="H189" s="14">
        <v>65687.082178947123</v>
      </c>
      <c r="I189" s="14">
        <v>51663.090199476981</v>
      </c>
      <c r="J189" s="14">
        <v>282224.55085731886</v>
      </c>
      <c r="K189" s="14">
        <v>126625.5574545405</v>
      </c>
      <c r="L189" s="14">
        <v>30005.102100409513</v>
      </c>
      <c r="M189" s="14">
        <v>62402.728069999765</v>
      </c>
      <c r="N189" s="14">
        <v>49079.935689503131</v>
      </c>
      <c r="O189" s="14">
        <v>268113.32331445295</v>
      </c>
      <c r="P189" s="15">
        <v>0.95000000000000018</v>
      </c>
      <c r="Q189" s="14">
        <v>4216</v>
      </c>
      <c r="R189" s="11" t="str">
        <f t="shared" si="2"/>
        <v xml:space="preserve">  </v>
      </c>
      <c r="T189" s="12"/>
    </row>
    <row r="190" spans="1:20" x14ac:dyDescent="0.3">
      <c r="A190" s="17">
        <v>1</v>
      </c>
      <c r="B190" s="17">
        <v>4</v>
      </c>
      <c r="C190" s="14" t="s">
        <v>572</v>
      </c>
      <c r="D190" s="16">
        <v>408130</v>
      </c>
      <c r="E190" s="14" t="s">
        <v>399</v>
      </c>
      <c r="F190" s="14">
        <v>137902.17329778764</v>
      </c>
      <c r="G190" s="14">
        <v>32710.735832948511</v>
      </c>
      <c r="H190" s="14">
        <v>71282.634842532992</v>
      </c>
      <c r="I190" s="14">
        <v>57353.634532133954</v>
      </c>
      <c r="J190" s="14">
        <v>299249.17850540305</v>
      </c>
      <c r="K190" s="14">
        <v>124111.95596800887</v>
      </c>
      <c r="L190" s="14">
        <v>29439.662249653658</v>
      </c>
      <c r="M190" s="14">
        <v>64154.371358279692</v>
      </c>
      <c r="N190" s="14">
        <v>51618.271078920559</v>
      </c>
      <c r="O190" s="14">
        <v>269324.2606548628</v>
      </c>
      <c r="P190" s="15">
        <v>0.90000000000000013</v>
      </c>
      <c r="Q190" s="14">
        <v>5554</v>
      </c>
      <c r="R190" s="11" t="str">
        <f t="shared" si="2"/>
        <v xml:space="preserve">  </v>
      </c>
      <c r="T190" s="12"/>
    </row>
    <row r="191" spans="1:20" x14ac:dyDescent="0.3">
      <c r="A191" s="17">
        <v>1</v>
      </c>
      <c r="B191" s="17">
        <v>4</v>
      </c>
      <c r="C191" s="14" t="s">
        <v>572</v>
      </c>
      <c r="D191" s="16">
        <v>408170</v>
      </c>
      <c r="E191" s="14" t="s">
        <v>403</v>
      </c>
      <c r="F191" s="14">
        <v>3938196.8234477625</v>
      </c>
      <c r="G191" s="14">
        <v>932517.35706052871</v>
      </c>
      <c r="H191" s="14">
        <v>2443903.0044073761</v>
      </c>
      <c r="I191" s="14">
        <v>2494121.4288284928</v>
      </c>
      <c r="J191" s="14">
        <v>9808738.6137441602</v>
      </c>
      <c r="K191" s="14">
        <v>3758057.1774081388</v>
      </c>
      <c r="L191" s="14">
        <v>895203.59178357199</v>
      </c>
      <c r="M191" s="14">
        <v>2321707.8541870071</v>
      </c>
      <c r="N191" s="14">
        <v>2369415.3573870682</v>
      </c>
      <c r="O191" s="14">
        <v>9344383.980765786</v>
      </c>
      <c r="P191" s="15">
        <v>0.95265908785379261</v>
      </c>
      <c r="Q191" s="14">
        <v>89942</v>
      </c>
      <c r="R191" s="11" t="str">
        <f t="shared" si="2"/>
        <v>*</v>
      </c>
      <c r="T191" s="12"/>
    </row>
    <row r="192" spans="1:20" x14ac:dyDescent="0.3">
      <c r="A192" s="17">
        <v>1</v>
      </c>
      <c r="B192" s="17">
        <v>4</v>
      </c>
      <c r="C192" s="14" t="s">
        <v>572</v>
      </c>
      <c r="D192" s="16">
        <v>408230</v>
      </c>
      <c r="E192" s="14" t="s">
        <v>404</v>
      </c>
      <c r="F192" s="14">
        <v>135981.69582599314</v>
      </c>
      <c r="G192" s="14">
        <v>33165.359884655372</v>
      </c>
      <c r="H192" s="14">
        <v>53539.66230655487</v>
      </c>
      <c r="I192" s="14">
        <v>47221.006711399205</v>
      </c>
      <c r="J192" s="14">
        <v>269907.72472860257</v>
      </c>
      <c r="K192" s="14">
        <v>122383.52624339383</v>
      </c>
      <c r="L192" s="14">
        <v>29848.823896189835</v>
      </c>
      <c r="M192" s="14">
        <v>48185.696075899381</v>
      </c>
      <c r="N192" s="14">
        <v>42498.906040259288</v>
      </c>
      <c r="O192" s="14">
        <v>242916.95225574233</v>
      </c>
      <c r="P192" s="15">
        <v>0.90000000000000013</v>
      </c>
      <c r="Q192" s="14">
        <v>3598</v>
      </c>
      <c r="R192" s="11" t="str">
        <f t="shared" si="2"/>
        <v xml:space="preserve">  </v>
      </c>
      <c r="T192" s="12"/>
    </row>
    <row r="193" spans="1:20" x14ac:dyDescent="0.3">
      <c r="A193" s="17">
        <v>1</v>
      </c>
      <c r="B193" s="17">
        <v>4</v>
      </c>
      <c r="C193" s="14" t="s">
        <v>572</v>
      </c>
      <c r="D193" s="16">
        <v>408280</v>
      </c>
      <c r="E193" s="14" t="s">
        <v>406</v>
      </c>
      <c r="F193" s="14">
        <v>70565.326135657189</v>
      </c>
      <c r="G193" s="14">
        <v>0</v>
      </c>
      <c r="H193" s="14">
        <v>19367.413279385779</v>
      </c>
      <c r="I193" s="14">
        <v>14707.855407192876</v>
      </c>
      <c r="J193" s="14">
        <v>104640.59482223586</v>
      </c>
      <c r="K193" s="14">
        <v>89376.218262254784</v>
      </c>
      <c r="L193" s="14">
        <v>0</v>
      </c>
      <c r="M193" s="14">
        <v>26973.40079403944</v>
      </c>
      <c r="N193" s="14">
        <v>20925.36992443409</v>
      </c>
      <c r="O193" s="14">
        <v>137274.98898072832</v>
      </c>
      <c r="P193" s="15">
        <v>1.3118712600394904</v>
      </c>
      <c r="Q193" s="14">
        <v>11765</v>
      </c>
      <c r="R193" s="11" t="str">
        <f t="shared" si="2"/>
        <v xml:space="preserve">  </v>
      </c>
      <c r="T193" s="12"/>
    </row>
    <row r="194" spans="1:20" x14ac:dyDescent="0.3">
      <c r="A194" s="17">
        <v>1</v>
      </c>
      <c r="B194" s="17">
        <v>4</v>
      </c>
      <c r="C194" s="14" t="s">
        <v>572</v>
      </c>
      <c r="D194" s="16">
        <v>408310</v>
      </c>
      <c r="E194" s="14" t="s">
        <v>409</v>
      </c>
      <c r="F194" s="14">
        <v>2202283.8712272104</v>
      </c>
      <c r="G194" s="14">
        <v>521851.62094137847</v>
      </c>
      <c r="H194" s="14">
        <v>1149058.5347600169</v>
      </c>
      <c r="I194" s="14">
        <v>1035583.9577195452</v>
      </c>
      <c r="J194" s="14">
        <v>4908777.9846481513</v>
      </c>
      <c r="K194" s="14">
        <v>2174821.311048198</v>
      </c>
      <c r="L194" s="14">
        <v>518062.32774791087</v>
      </c>
      <c r="M194" s="14">
        <v>1205219.2325969427</v>
      </c>
      <c r="N194" s="14">
        <v>1071995.0594158089</v>
      </c>
      <c r="O194" s="14">
        <v>4970097.9308088608</v>
      </c>
      <c r="P194" s="15">
        <v>1.0124918964256446</v>
      </c>
      <c r="Q194" s="14">
        <v>153911</v>
      </c>
      <c r="R194" s="11" t="str">
        <f t="shared" si="2"/>
        <v>*</v>
      </c>
      <c r="T194" s="12"/>
    </row>
    <row r="195" spans="1:20" x14ac:dyDescent="0.3">
      <c r="A195" s="17">
        <v>1</v>
      </c>
      <c r="B195" s="17">
        <v>4</v>
      </c>
      <c r="C195" s="14" t="s">
        <v>572</v>
      </c>
      <c r="D195" s="16">
        <v>408340</v>
      </c>
      <c r="E195" s="14" t="s">
        <v>410</v>
      </c>
      <c r="F195" s="14">
        <v>1039570.2294756299</v>
      </c>
      <c r="G195" s="14">
        <v>222355.35097619626</v>
      </c>
      <c r="H195" s="14">
        <v>384246.94777500367</v>
      </c>
      <c r="I195" s="14">
        <v>292224.30903309013</v>
      </c>
      <c r="J195" s="14">
        <v>1938396.8372599198</v>
      </c>
      <c r="K195" s="14">
        <v>1096159.1213328384</v>
      </c>
      <c r="L195" s="14">
        <v>189002.04832976681</v>
      </c>
      <c r="M195" s="14">
        <v>450912.48576067516</v>
      </c>
      <c r="N195" s="14">
        <v>351357.99711741577</v>
      </c>
      <c r="O195" s="14">
        <v>2087431.6525406961</v>
      </c>
      <c r="P195" s="15">
        <v>1.0768856058862792</v>
      </c>
      <c r="Q195" s="14">
        <v>314918</v>
      </c>
      <c r="R195" s="11" t="str">
        <f t="shared" si="2"/>
        <v>*</v>
      </c>
      <c r="T195" s="12"/>
    </row>
    <row r="196" spans="1:20" x14ac:dyDescent="0.3">
      <c r="A196" s="17">
        <v>1</v>
      </c>
      <c r="B196" s="17">
        <v>4</v>
      </c>
      <c r="C196" s="14" t="s">
        <v>572</v>
      </c>
      <c r="D196" s="16">
        <v>408410</v>
      </c>
      <c r="E196" s="14" t="s">
        <v>411</v>
      </c>
      <c r="F196" s="14">
        <v>129441.02967456169</v>
      </c>
      <c r="G196" s="14">
        <v>30650.06963812478</v>
      </c>
      <c r="H196" s="14">
        <v>42944.141329570972</v>
      </c>
      <c r="I196" s="14">
        <v>32565.262273476266</v>
      </c>
      <c r="J196" s="14">
        <v>235600.5029157337</v>
      </c>
      <c r="K196" s="14">
        <v>110024.87522337744</v>
      </c>
      <c r="L196" s="14">
        <v>26052.559192406061</v>
      </c>
      <c r="M196" s="14">
        <v>36502.520130135323</v>
      </c>
      <c r="N196" s="14">
        <v>27680.472932454824</v>
      </c>
      <c r="O196" s="14">
        <v>200260.42747837363</v>
      </c>
      <c r="P196" s="15">
        <v>0.85</v>
      </c>
      <c r="Q196" s="14">
        <v>7563</v>
      </c>
      <c r="R196" s="11" t="str">
        <f t="shared" si="2"/>
        <v xml:space="preserve">  </v>
      </c>
      <c r="T196" s="12"/>
    </row>
    <row r="197" spans="1:20" x14ac:dyDescent="0.3">
      <c r="A197" s="17">
        <v>1</v>
      </c>
      <c r="B197" s="17">
        <v>4</v>
      </c>
      <c r="C197" s="14" t="s">
        <v>572</v>
      </c>
      <c r="D197" s="16">
        <v>408490</v>
      </c>
      <c r="E197" s="14" t="s">
        <v>414</v>
      </c>
      <c r="F197" s="14">
        <v>438611.92911771243</v>
      </c>
      <c r="G197" s="14">
        <v>103933.1709979583</v>
      </c>
      <c r="H197" s="14">
        <v>216223.45067993607</v>
      </c>
      <c r="I197" s="14">
        <v>170087.48058154367</v>
      </c>
      <c r="J197" s="14">
        <v>928856.03137715044</v>
      </c>
      <c r="K197" s="14">
        <v>467688.25323476159</v>
      </c>
      <c r="L197" s="14">
        <v>111407.61951352117</v>
      </c>
      <c r="M197" s="14">
        <v>259588.97651820126</v>
      </c>
      <c r="N197" s="14">
        <v>231068.4638203092</v>
      </c>
      <c r="O197" s="14">
        <v>1069753.3130867933</v>
      </c>
      <c r="P197" s="15">
        <v>1.1516890421659256</v>
      </c>
      <c r="Q197" s="14">
        <v>16116</v>
      </c>
      <c r="R197" s="11" t="str">
        <f t="shared" si="2"/>
        <v xml:space="preserve">  </v>
      </c>
      <c r="T197" s="12"/>
    </row>
    <row r="198" spans="1:20" x14ac:dyDescent="0.3">
      <c r="A198" s="17">
        <v>1</v>
      </c>
      <c r="B198" s="17">
        <v>4</v>
      </c>
      <c r="C198" s="14" t="s">
        <v>572</v>
      </c>
      <c r="D198" s="16">
        <v>408520</v>
      </c>
      <c r="E198" s="14" t="s">
        <v>415</v>
      </c>
      <c r="F198" s="14">
        <v>1407155.6211757527</v>
      </c>
      <c r="G198" s="14">
        <v>333438.59591458546</v>
      </c>
      <c r="H198" s="14">
        <v>585516.14459999313</v>
      </c>
      <c r="I198" s="14">
        <v>423357.28783516423</v>
      </c>
      <c r="J198" s="14">
        <v>2749467.6495254952</v>
      </c>
      <c r="K198" s="14">
        <v>1417724.3510594692</v>
      </c>
      <c r="L198" s="14">
        <v>337714.90728163446</v>
      </c>
      <c r="M198" s="14">
        <v>645006.79835270485</v>
      </c>
      <c r="N198" s="14">
        <v>520753.84888664412</v>
      </c>
      <c r="O198" s="14">
        <v>2921199.9055804522</v>
      </c>
      <c r="P198" s="15">
        <v>1.0624601842777073</v>
      </c>
      <c r="Q198" s="14">
        <v>176428</v>
      </c>
      <c r="R198" s="11" t="str">
        <f t="shared" si="2"/>
        <v>*</v>
      </c>
      <c r="T198" s="12"/>
    </row>
    <row r="199" spans="1:20" x14ac:dyDescent="0.3">
      <c r="A199" s="17">
        <v>1</v>
      </c>
      <c r="B199" s="17">
        <v>4</v>
      </c>
      <c r="C199" s="14" t="s">
        <v>572</v>
      </c>
      <c r="D199" s="16">
        <v>408550</v>
      </c>
      <c r="E199" s="14" t="s">
        <v>416</v>
      </c>
      <c r="F199" s="14">
        <v>173132.48133127505</v>
      </c>
      <c r="G199" s="14">
        <v>40995.676739952396</v>
      </c>
      <c r="H199" s="14">
        <v>58235.914652006359</v>
      </c>
      <c r="I199" s="14">
        <v>44197.514077936859</v>
      </c>
      <c r="J199" s="14">
        <v>316561.58680117066</v>
      </c>
      <c r="K199" s="14">
        <v>147162.6091315838</v>
      </c>
      <c r="L199" s="14">
        <v>34846.325228959533</v>
      </c>
      <c r="M199" s="14">
        <v>49500.527454205403</v>
      </c>
      <c r="N199" s="14">
        <v>37567.886966246333</v>
      </c>
      <c r="O199" s="14">
        <v>269077.34878099506</v>
      </c>
      <c r="P199" s="15">
        <v>0.85</v>
      </c>
      <c r="Q199" s="14">
        <v>15184</v>
      </c>
      <c r="R199" s="11" t="str">
        <f t="shared" si="2"/>
        <v xml:space="preserve">  </v>
      </c>
      <c r="T199" s="12"/>
    </row>
    <row r="200" spans="1:20" x14ac:dyDescent="0.3">
      <c r="A200" s="17">
        <v>1</v>
      </c>
      <c r="B200" s="17">
        <v>4</v>
      </c>
      <c r="C200" s="14" t="s">
        <v>572</v>
      </c>
      <c r="D200" s="16">
        <v>408600</v>
      </c>
      <c r="E200" s="14" t="s">
        <v>417</v>
      </c>
      <c r="F200" s="14">
        <v>129139.158941072</v>
      </c>
      <c r="G200" s="14">
        <v>30600.723322216949</v>
      </c>
      <c r="H200" s="14">
        <v>50000.037558616961</v>
      </c>
      <c r="I200" s="14">
        <v>39829.215599573225</v>
      </c>
      <c r="J200" s="14">
        <v>249569.13542147912</v>
      </c>
      <c r="K200" s="14">
        <v>116225.24304696481</v>
      </c>
      <c r="L200" s="14">
        <v>27540.650989995254</v>
      </c>
      <c r="M200" s="14">
        <v>45000.033802755264</v>
      </c>
      <c r="N200" s="14">
        <v>35846.294039615903</v>
      </c>
      <c r="O200" s="14">
        <v>224612.22187933122</v>
      </c>
      <c r="P200" s="15">
        <v>0.9</v>
      </c>
      <c r="Q200" s="14">
        <v>7414</v>
      </c>
      <c r="R200" s="11" t="str">
        <f t="shared" si="2"/>
        <v xml:space="preserve">  </v>
      </c>
      <c r="T200" s="12"/>
    </row>
    <row r="201" spans="1:20" x14ac:dyDescent="0.3">
      <c r="A201" s="17">
        <v>1</v>
      </c>
      <c r="B201" s="17">
        <v>4</v>
      </c>
      <c r="C201" s="14" t="s">
        <v>572</v>
      </c>
      <c r="D201" s="16">
        <v>405760</v>
      </c>
      <c r="E201" s="14" t="s">
        <v>418</v>
      </c>
      <c r="F201" s="14">
        <v>25860.983846652707</v>
      </c>
      <c r="G201" s="14">
        <v>6123.5680665023247</v>
      </c>
      <c r="H201" s="14">
        <v>18461.727243030542</v>
      </c>
      <c r="I201" s="14">
        <v>20538.032855135927</v>
      </c>
      <c r="J201" s="14">
        <v>70984.312011321497</v>
      </c>
      <c r="K201" s="14">
        <v>24567.93465432007</v>
      </c>
      <c r="L201" s="14">
        <v>5817.3896631772086</v>
      </c>
      <c r="M201" s="14">
        <v>17538.640880879015</v>
      </c>
      <c r="N201" s="14">
        <v>19511.131212379129</v>
      </c>
      <c r="O201" s="14">
        <v>67435.096410755417</v>
      </c>
      <c r="P201" s="15">
        <v>0.95</v>
      </c>
      <c r="Q201" s="14">
        <v>1619</v>
      </c>
      <c r="R201" s="11" t="str">
        <f t="shared" si="2"/>
        <v xml:space="preserve">  </v>
      </c>
      <c r="T201" s="12"/>
    </row>
    <row r="202" spans="1:20" x14ac:dyDescent="0.3">
      <c r="A202" s="17">
        <v>1</v>
      </c>
      <c r="B202" s="17">
        <v>4</v>
      </c>
      <c r="C202" s="14" t="s">
        <v>572</v>
      </c>
      <c r="D202" s="16">
        <v>408640</v>
      </c>
      <c r="E202" s="14" t="s">
        <v>419</v>
      </c>
      <c r="F202" s="14">
        <v>35494.161914268014</v>
      </c>
      <c r="G202" s="14">
        <v>8656.8758136189354</v>
      </c>
      <c r="H202" s="14">
        <v>20676.359400046189</v>
      </c>
      <c r="I202" s="14">
        <v>22112.323820161339</v>
      </c>
      <c r="J202" s="14">
        <v>86939.720948094473</v>
      </c>
      <c r="K202" s="14">
        <v>33719.453818554612</v>
      </c>
      <c r="L202" s="14">
        <v>8224.0320229379886</v>
      </c>
      <c r="M202" s="14">
        <v>19642.541430043879</v>
      </c>
      <c r="N202" s="14">
        <v>21006.707629153272</v>
      </c>
      <c r="O202" s="14">
        <v>82592.734900689742</v>
      </c>
      <c r="P202" s="15">
        <v>0.95</v>
      </c>
      <c r="Q202" s="14">
        <v>2540</v>
      </c>
      <c r="R202" s="11" t="str">
        <f t="shared" si="2"/>
        <v xml:space="preserve">  </v>
      </c>
      <c r="T202" s="12"/>
    </row>
    <row r="203" spans="1:20" x14ac:dyDescent="0.3">
      <c r="A203" s="17">
        <v>1</v>
      </c>
      <c r="B203" s="17">
        <v>4</v>
      </c>
      <c r="C203" s="14" t="s">
        <v>572</v>
      </c>
      <c r="D203" s="16">
        <v>408680</v>
      </c>
      <c r="E203" s="14" t="s">
        <v>420</v>
      </c>
      <c r="F203" s="14">
        <v>851377.47648169496</v>
      </c>
      <c r="G203" s="14">
        <v>186295.37719493103</v>
      </c>
      <c r="H203" s="14">
        <v>336449.29233438167</v>
      </c>
      <c r="I203" s="14">
        <v>330751.24829461047</v>
      </c>
      <c r="J203" s="14">
        <v>1704873.3943056182</v>
      </c>
      <c r="K203" s="14">
        <v>808808.6026576102</v>
      </c>
      <c r="L203" s="14">
        <v>176980.60833518449</v>
      </c>
      <c r="M203" s="14">
        <v>319626.82771766256</v>
      </c>
      <c r="N203" s="14">
        <v>314213.68587987992</v>
      </c>
      <c r="O203" s="14">
        <v>1619629.7245903371</v>
      </c>
      <c r="P203" s="15">
        <v>0.94999999999999984</v>
      </c>
      <c r="Q203" s="14">
        <v>16452</v>
      </c>
      <c r="R203" s="11" t="str">
        <f t="shared" ref="R203:R236" si="3">IF(AND($A203=1,Q203&gt;=20000),"*","  ")</f>
        <v xml:space="preserve">  </v>
      </c>
      <c r="T203" s="12"/>
    </row>
    <row r="204" spans="1:20" x14ac:dyDescent="0.3">
      <c r="A204" s="17">
        <v>1</v>
      </c>
      <c r="B204" s="17">
        <v>4</v>
      </c>
      <c r="C204" s="14" t="s">
        <v>572</v>
      </c>
      <c r="D204" s="16">
        <v>408800</v>
      </c>
      <c r="E204" s="14" t="s">
        <v>424</v>
      </c>
      <c r="F204" s="14">
        <v>9559036.2923706304</v>
      </c>
      <c r="G204" s="14">
        <v>2263464.1332129366</v>
      </c>
      <c r="H204" s="14">
        <v>5938637.403327357</v>
      </c>
      <c r="I204" s="14">
        <v>6133284.4759164304</v>
      </c>
      <c r="J204" s="14">
        <v>23894422.304827355</v>
      </c>
      <c r="K204" s="14">
        <v>10243744.126968054</v>
      </c>
      <c r="L204" s="14">
        <v>2440153.542873505</v>
      </c>
      <c r="M204" s="14">
        <v>6957852.957205317</v>
      </c>
      <c r="N204" s="14">
        <v>6890411.5427297093</v>
      </c>
      <c r="O204" s="14">
        <v>26532162.169776585</v>
      </c>
      <c r="P204" s="15">
        <v>1.1103914474808765</v>
      </c>
      <c r="Q204" s="14">
        <v>484370</v>
      </c>
      <c r="R204" s="11" t="str">
        <f t="shared" si="3"/>
        <v>*</v>
      </c>
      <c r="T204" s="12"/>
    </row>
    <row r="205" spans="1:20" x14ac:dyDescent="0.3">
      <c r="A205" s="17">
        <v>1</v>
      </c>
      <c r="B205" s="17">
        <v>4</v>
      </c>
      <c r="C205" s="14" t="s">
        <v>572</v>
      </c>
      <c r="D205" s="16">
        <v>408820</v>
      </c>
      <c r="E205" s="14" t="s">
        <v>426</v>
      </c>
      <c r="F205" s="14">
        <v>339451.50350224663</v>
      </c>
      <c r="G205" s="14">
        <v>80436.187018398894</v>
      </c>
      <c r="H205" s="14">
        <v>133583.78367803138</v>
      </c>
      <c r="I205" s="14">
        <v>94023.82846747931</v>
      </c>
      <c r="J205" s="14">
        <v>647495.3026661562</v>
      </c>
      <c r="K205" s="14">
        <v>348519.96221842186</v>
      </c>
      <c r="L205" s="14">
        <v>83020.642650621929</v>
      </c>
      <c r="M205" s="14">
        <v>149915.68548362152</v>
      </c>
      <c r="N205" s="14">
        <v>117740.18108610118</v>
      </c>
      <c r="O205" s="14">
        <v>699196.47143876657</v>
      </c>
      <c r="P205" s="15">
        <v>1.0798479441622562</v>
      </c>
      <c r="Q205" s="14">
        <v>14962</v>
      </c>
      <c r="R205" s="11" t="str">
        <f t="shared" si="3"/>
        <v xml:space="preserve">  </v>
      </c>
      <c r="T205" s="12"/>
    </row>
    <row r="206" spans="1:20" x14ac:dyDescent="0.3">
      <c r="A206" s="17">
        <v>1</v>
      </c>
      <c r="B206" s="17">
        <v>4</v>
      </c>
      <c r="C206" s="14" t="s">
        <v>572</v>
      </c>
      <c r="D206" s="16">
        <v>408850</v>
      </c>
      <c r="E206" s="14" t="s">
        <v>427</v>
      </c>
      <c r="F206" s="14">
        <v>367906.52282895934</v>
      </c>
      <c r="G206" s="14">
        <v>0</v>
      </c>
      <c r="H206" s="14">
        <v>114606.81952188669</v>
      </c>
      <c r="I206" s="14">
        <v>92285.416442241985</v>
      </c>
      <c r="J206" s="14">
        <v>574798.75879308803</v>
      </c>
      <c r="K206" s="14">
        <v>404793.8774205824</v>
      </c>
      <c r="L206" s="14">
        <v>0</v>
      </c>
      <c r="M206" s="14">
        <v>133939.34732913229</v>
      </c>
      <c r="N206" s="14">
        <v>103907.1940427587</v>
      </c>
      <c r="O206" s="14">
        <v>642640.41879247339</v>
      </c>
      <c r="P206" s="15">
        <v>1.1180268032273302</v>
      </c>
      <c r="Q206" s="14">
        <v>53832</v>
      </c>
      <c r="R206" s="11" t="str">
        <f t="shared" si="3"/>
        <v>*</v>
      </c>
      <c r="T206" s="12"/>
    </row>
    <row r="207" spans="1:20" x14ac:dyDescent="0.3">
      <c r="A207" s="17">
        <v>1</v>
      </c>
      <c r="B207" s="17">
        <v>4</v>
      </c>
      <c r="C207" s="14" t="s">
        <v>572</v>
      </c>
      <c r="D207" s="16">
        <v>408880</v>
      </c>
      <c r="E207" s="14" t="s">
        <v>464</v>
      </c>
      <c r="F207" s="14">
        <v>0</v>
      </c>
      <c r="G207" s="14">
        <v>806.44682565871256</v>
      </c>
      <c r="H207" s="14">
        <v>0</v>
      </c>
      <c r="I207" s="14">
        <v>0</v>
      </c>
      <c r="J207" s="14">
        <v>806.44682565871256</v>
      </c>
      <c r="K207" s="14">
        <v>4728.9004371563351</v>
      </c>
      <c r="L207" s="14">
        <v>1126.4673358293344</v>
      </c>
      <c r="M207" s="14">
        <v>1994.5581118636878</v>
      </c>
      <c r="N207" s="14">
        <v>1553.0776343042082</v>
      </c>
      <c r="O207" s="14">
        <v>9403.0035191535662</v>
      </c>
      <c r="P207" s="15">
        <v>11.659793578421136</v>
      </c>
      <c r="Q207" s="14">
        <v>253</v>
      </c>
      <c r="R207" s="11" t="str">
        <f t="shared" si="3"/>
        <v xml:space="preserve">  </v>
      </c>
      <c r="T207" s="12"/>
    </row>
    <row r="208" spans="1:20" x14ac:dyDescent="0.3">
      <c r="A208" s="17">
        <v>1</v>
      </c>
      <c r="B208" s="17">
        <v>4</v>
      </c>
      <c r="C208" s="14" t="s">
        <v>572</v>
      </c>
      <c r="D208" s="16">
        <v>408910</v>
      </c>
      <c r="E208" s="14" t="s">
        <v>428</v>
      </c>
      <c r="F208" s="14">
        <v>32284.789735268001</v>
      </c>
      <c r="G208" s="14">
        <v>7650.1808305542372</v>
      </c>
      <c r="H208" s="14">
        <v>17414.744469251928</v>
      </c>
      <c r="I208" s="14">
        <v>14311.899150070425</v>
      </c>
      <c r="J208" s="14">
        <v>71661.614185144586</v>
      </c>
      <c r="K208" s="14">
        <v>29056.310761741202</v>
      </c>
      <c r="L208" s="14">
        <v>6885.1627474988136</v>
      </c>
      <c r="M208" s="14">
        <v>15673.270022326735</v>
      </c>
      <c r="N208" s="14">
        <v>12880.709235063383</v>
      </c>
      <c r="O208" s="14">
        <v>64495.452766630136</v>
      </c>
      <c r="P208" s="15">
        <v>0.90000000000000013</v>
      </c>
      <c r="Q208" s="14">
        <v>3778</v>
      </c>
      <c r="R208" s="11" t="str">
        <f t="shared" si="3"/>
        <v xml:space="preserve">  </v>
      </c>
      <c r="T208" s="12"/>
    </row>
    <row r="209" spans="1:20" x14ac:dyDescent="0.3">
      <c r="A209" s="17">
        <v>1</v>
      </c>
      <c r="B209" s="17">
        <v>4</v>
      </c>
      <c r="C209" s="14" t="s">
        <v>572</v>
      </c>
      <c r="D209" s="16">
        <v>400022</v>
      </c>
      <c r="E209" s="14" t="s">
        <v>430</v>
      </c>
      <c r="F209" s="14">
        <v>56267.7763957528</v>
      </c>
      <c r="G209" s="14">
        <v>13333.172304680247</v>
      </c>
      <c r="H209" s="14">
        <v>33873.735574656261</v>
      </c>
      <c r="I209" s="14">
        <v>29350.605170182967</v>
      </c>
      <c r="J209" s="14">
        <v>132825.28944527227</v>
      </c>
      <c r="K209" s="14">
        <v>53454.387575965156</v>
      </c>
      <c r="L209" s="14">
        <v>12666.513689446234</v>
      </c>
      <c r="M209" s="14">
        <v>32180.048795923445</v>
      </c>
      <c r="N209" s="14">
        <v>27883.074911673819</v>
      </c>
      <c r="O209" s="14">
        <v>126184.02497300865</v>
      </c>
      <c r="P209" s="15">
        <v>0.95</v>
      </c>
      <c r="Q209" s="14">
        <v>1939</v>
      </c>
      <c r="R209" s="11" t="str">
        <f t="shared" si="3"/>
        <v xml:space="preserve">  </v>
      </c>
      <c r="T209" s="12"/>
    </row>
    <row r="210" spans="1:20" x14ac:dyDescent="0.3">
      <c r="A210" s="17">
        <v>1</v>
      </c>
      <c r="B210" s="17">
        <v>4</v>
      </c>
      <c r="C210" s="14" t="s">
        <v>572</v>
      </c>
      <c r="D210" s="16">
        <v>409030</v>
      </c>
      <c r="E210" s="14" t="s">
        <v>459</v>
      </c>
      <c r="F210" s="14">
        <v>0</v>
      </c>
      <c r="G210" s="14">
        <v>0</v>
      </c>
      <c r="H210" s="14">
        <v>0</v>
      </c>
      <c r="I210" s="14">
        <v>0</v>
      </c>
      <c r="J210" s="14">
        <v>0</v>
      </c>
      <c r="K210" s="14">
        <v>0</v>
      </c>
      <c r="L210" s="14">
        <v>0</v>
      </c>
      <c r="M210" s="14">
        <v>0</v>
      </c>
      <c r="N210" s="14">
        <v>0</v>
      </c>
      <c r="O210" s="14">
        <v>0</v>
      </c>
      <c r="P210" s="15">
        <v>0</v>
      </c>
      <c r="Q210" s="14">
        <v>106</v>
      </c>
      <c r="R210" s="11" t="str">
        <f t="shared" si="3"/>
        <v xml:space="preserve">  </v>
      </c>
      <c r="T210" s="12"/>
    </row>
    <row r="211" spans="1:20" x14ac:dyDescent="0.3">
      <c r="A211" s="17">
        <v>1</v>
      </c>
      <c r="B211" s="17">
        <v>4</v>
      </c>
      <c r="C211" s="14" t="s">
        <v>572</v>
      </c>
      <c r="D211" s="16">
        <v>409060</v>
      </c>
      <c r="E211" s="14" t="s">
        <v>582</v>
      </c>
      <c r="F211" s="14">
        <v>4672070.2859752113</v>
      </c>
      <c r="G211" s="14">
        <v>1107090.4544787779</v>
      </c>
      <c r="H211" s="14">
        <v>2521941.0115372748</v>
      </c>
      <c r="I211" s="14">
        <v>2159175.4358635773</v>
      </c>
      <c r="J211" s="14">
        <v>10460277.187854841</v>
      </c>
      <c r="K211" s="14">
        <v>4721334.196456884</v>
      </c>
      <c r="L211" s="14">
        <v>1124664.9880920076</v>
      </c>
      <c r="M211" s="14">
        <v>2791247.4747609692</v>
      </c>
      <c r="N211" s="14">
        <v>2526724.5788450432</v>
      </c>
      <c r="O211" s="14">
        <v>11163971.238154903</v>
      </c>
      <c r="P211" s="15">
        <v>1.06727298308281</v>
      </c>
      <c r="Q211" s="14">
        <v>241720</v>
      </c>
      <c r="R211" s="11" t="str">
        <f t="shared" si="3"/>
        <v>*</v>
      </c>
      <c r="T211" s="12"/>
    </row>
    <row r="212" spans="1:20" x14ac:dyDescent="0.3">
      <c r="A212" s="17">
        <v>1</v>
      </c>
      <c r="B212" s="17">
        <v>4</v>
      </c>
      <c r="C212" s="14" t="s">
        <v>572</v>
      </c>
      <c r="D212" s="16">
        <v>409090</v>
      </c>
      <c r="E212" s="14" t="s">
        <v>434</v>
      </c>
      <c r="F212" s="14">
        <v>54564.206266828274</v>
      </c>
      <c r="G212" s="14">
        <v>13854.670605159958</v>
      </c>
      <c r="H212" s="14">
        <v>24470.556648760466</v>
      </c>
      <c r="I212" s="14">
        <v>22313.235948566315</v>
      </c>
      <c r="J212" s="14">
        <v>115202.66946931502</v>
      </c>
      <c r="K212" s="14">
        <v>51835.995953486861</v>
      </c>
      <c r="L212" s="14">
        <v>13161.93707490196</v>
      </c>
      <c r="M212" s="14">
        <v>23578.99453916826</v>
      </c>
      <c r="N212" s="14">
        <v>21197.574151137997</v>
      </c>
      <c r="O212" s="14">
        <v>109774.50171869507</v>
      </c>
      <c r="P212" s="15">
        <v>0.95288158012635482</v>
      </c>
      <c r="Q212" s="14">
        <v>4193</v>
      </c>
      <c r="R212" s="11" t="str">
        <f t="shared" si="3"/>
        <v xml:space="preserve">  </v>
      </c>
      <c r="T212" s="12"/>
    </row>
    <row r="213" spans="1:20" x14ac:dyDescent="0.3">
      <c r="A213" s="17">
        <v>1</v>
      </c>
      <c r="B213" s="17">
        <v>4</v>
      </c>
      <c r="C213" s="14" t="s">
        <v>572</v>
      </c>
      <c r="D213" s="16">
        <v>409120</v>
      </c>
      <c r="E213" s="14" t="s">
        <v>435</v>
      </c>
      <c r="F213" s="14">
        <v>24586.489359969819</v>
      </c>
      <c r="G213" s="14">
        <v>5870.7548621093938</v>
      </c>
      <c r="H213" s="14">
        <v>18562.04870977176</v>
      </c>
      <c r="I213" s="14">
        <v>22108.376443754092</v>
      </c>
      <c r="J213" s="14">
        <v>71127.669375605066</v>
      </c>
      <c r="K213" s="14">
        <v>23357.164891971326</v>
      </c>
      <c r="L213" s="14">
        <v>5577.2171190039235</v>
      </c>
      <c r="M213" s="14">
        <v>17633.946274283171</v>
      </c>
      <c r="N213" s="14">
        <v>21002.957621566387</v>
      </c>
      <c r="O213" s="14">
        <v>67571.285906824807</v>
      </c>
      <c r="P213" s="15">
        <v>0.95</v>
      </c>
      <c r="Q213" s="14">
        <v>805</v>
      </c>
      <c r="R213" s="11" t="str">
        <f t="shared" si="3"/>
        <v xml:space="preserve">  </v>
      </c>
      <c r="T213" s="12"/>
    </row>
    <row r="214" spans="1:20" x14ac:dyDescent="0.3">
      <c r="A214" s="17">
        <v>1</v>
      </c>
      <c r="B214" s="17">
        <v>4</v>
      </c>
      <c r="C214" s="14" t="s">
        <v>572</v>
      </c>
      <c r="D214" s="16">
        <v>409160</v>
      </c>
      <c r="E214" s="14" t="s">
        <v>441</v>
      </c>
      <c r="F214" s="14">
        <v>710533.81957278622</v>
      </c>
      <c r="G214" s="14">
        <v>183306.19877833809</v>
      </c>
      <c r="H214" s="14">
        <v>481989.06301520282</v>
      </c>
      <c r="I214" s="14">
        <v>554515.68801792141</v>
      </c>
      <c r="J214" s="14">
        <v>1930344.7693842486</v>
      </c>
      <c r="K214" s="14">
        <v>675007.12859414693</v>
      </c>
      <c r="L214" s="14">
        <v>174140.88883942118</v>
      </c>
      <c r="M214" s="14">
        <v>457889.60986444267</v>
      </c>
      <c r="N214" s="14">
        <v>526789.90361702535</v>
      </c>
      <c r="O214" s="14">
        <v>1833827.5309150361</v>
      </c>
      <c r="P214" s="15">
        <v>0.95</v>
      </c>
      <c r="Q214" s="14">
        <v>11239</v>
      </c>
      <c r="R214" s="11" t="str">
        <f t="shared" si="3"/>
        <v xml:space="preserve">  </v>
      </c>
      <c r="T214" s="12"/>
    </row>
    <row r="215" spans="1:20" x14ac:dyDescent="0.3">
      <c r="A215" s="17">
        <v>1</v>
      </c>
      <c r="B215" s="17">
        <v>4</v>
      </c>
      <c r="C215" s="14" t="s">
        <v>572</v>
      </c>
      <c r="D215" s="16">
        <v>409190</v>
      </c>
      <c r="E215" s="14" t="s">
        <v>442</v>
      </c>
      <c r="F215" s="14">
        <v>203394.17533218849</v>
      </c>
      <c r="G215" s="14">
        <v>48196.139232491718</v>
      </c>
      <c r="H215" s="14">
        <v>91824.941235334554</v>
      </c>
      <c r="I215" s="14">
        <v>68956.262109336269</v>
      </c>
      <c r="J215" s="14">
        <v>412371.51790935104</v>
      </c>
      <c r="K215" s="14">
        <v>183054.75779896966</v>
      </c>
      <c r="L215" s="14">
        <v>43481.639163012289</v>
      </c>
      <c r="M215" s="14">
        <v>82642.447111801099</v>
      </c>
      <c r="N215" s="14">
        <v>64637.349462522732</v>
      </c>
      <c r="O215" s="14">
        <v>373816.19353630574</v>
      </c>
      <c r="P215" s="15">
        <v>0.90650342543414775</v>
      </c>
      <c r="Q215" s="14">
        <v>11983</v>
      </c>
      <c r="R215" s="11" t="str">
        <f t="shared" si="3"/>
        <v xml:space="preserve">  </v>
      </c>
      <c r="T215" s="12"/>
    </row>
    <row r="216" spans="1:20" x14ac:dyDescent="0.3">
      <c r="A216" s="17">
        <v>1</v>
      </c>
      <c r="B216" s="17">
        <v>4</v>
      </c>
      <c r="C216" s="14" t="s">
        <v>572</v>
      </c>
      <c r="D216" s="16">
        <v>409250</v>
      </c>
      <c r="E216" s="14" t="s">
        <v>443</v>
      </c>
      <c r="F216" s="14">
        <v>173876.65328851479</v>
      </c>
      <c r="G216" s="14">
        <v>41201.688187413536</v>
      </c>
      <c r="H216" s="14">
        <v>64761.127155674068</v>
      </c>
      <c r="I216" s="14">
        <v>59607.578061702698</v>
      </c>
      <c r="J216" s="14">
        <v>339447.04669330508</v>
      </c>
      <c r="K216" s="14">
        <v>162201.28499446233</v>
      </c>
      <c r="L216" s="14">
        <v>38637.829618946176</v>
      </c>
      <c r="M216" s="14">
        <v>62067.489984409753</v>
      </c>
      <c r="N216" s="14">
        <v>53646.820255532431</v>
      </c>
      <c r="O216" s="14">
        <v>316553.42485335073</v>
      </c>
      <c r="P216" s="15">
        <v>0.93255613191226538</v>
      </c>
      <c r="Q216" s="14">
        <v>8279</v>
      </c>
      <c r="R216" s="11" t="str">
        <f t="shared" si="3"/>
        <v xml:space="preserve">  </v>
      </c>
      <c r="T216" s="12"/>
    </row>
    <row r="217" spans="1:20" x14ac:dyDescent="0.3">
      <c r="A217" s="17">
        <v>1</v>
      </c>
      <c r="B217" s="17">
        <v>4</v>
      </c>
      <c r="C217" s="14" t="s">
        <v>572</v>
      </c>
      <c r="D217" s="16">
        <v>409310</v>
      </c>
      <c r="E217" s="14" t="s">
        <v>444</v>
      </c>
      <c r="F217" s="14">
        <v>119232.74657719875</v>
      </c>
      <c r="G217" s="14">
        <v>28232.87171713703</v>
      </c>
      <c r="H217" s="14">
        <v>54207.799045570748</v>
      </c>
      <c r="I217" s="14">
        <v>47520.369682578683</v>
      </c>
      <c r="J217" s="14">
        <v>249193.78702248522</v>
      </c>
      <c r="K217" s="14">
        <v>124842.97154092725</v>
      </c>
      <c r="L217" s="14">
        <v>29738.737665894419</v>
      </c>
      <c r="M217" s="14">
        <v>57925.04638955502</v>
      </c>
      <c r="N217" s="14">
        <v>46923.154698981838</v>
      </c>
      <c r="O217" s="14">
        <v>259429.91029535851</v>
      </c>
      <c r="P217" s="15">
        <v>1.0410769602050698</v>
      </c>
      <c r="Q217" s="14">
        <v>5883</v>
      </c>
      <c r="R217" s="11" t="str">
        <f t="shared" si="3"/>
        <v xml:space="preserve">  </v>
      </c>
      <c r="T217" s="12"/>
    </row>
    <row r="218" spans="1:20" x14ac:dyDescent="0.3">
      <c r="A218" s="17">
        <v>1</v>
      </c>
      <c r="B218" s="17">
        <v>4</v>
      </c>
      <c r="C218" s="14" t="s">
        <v>572</v>
      </c>
      <c r="D218" s="16">
        <v>409360</v>
      </c>
      <c r="E218" s="14" t="s">
        <v>456</v>
      </c>
      <c r="F218" s="14">
        <v>7379.3805109184013</v>
      </c>
      <c r="G218" s="14">
        <v>1748.61276126954</v>
      </c>
      <c r="H218" s="14">
        <v>2916.4412957543068</v>
      </c>
      <c r="I218" s="14">
        <v>2056.5012041085261</v>
      </c>
      <c r="J218" s="14">
        <v>14100.935772050774</v>
      </c>
      <c r="K218" s="14">
        <v>6641.4424598265614</v>
      </c>
      <c r="L218" s="14">
        <v>1573.751485142586</v>
      </c>
      <c r="M218" s="14">
        <v>2624.7971661788761</v>
      </c>
      <c r="N218" s="14">
        <v>1850.8510836976734</v>
      </c>
      <c r="O218" s="14">
        <v>12690.842194845696</v>
      </c>
      <c r="P218" s="15">
        <v>0.89999999999999991</v>
      </c>
      <c r="Q218" s="14">
        <v>630</v>
      </c>
      <c r="R218" s="11" t="str">
        <f t="shared" si="3"/>
        <v xml:space="preserve">  </v>
      </c>
      <c r="T218" s="12"/>
    </row>
    <row r="219" spans="1:20" x14ac:dyDescent="0.3">
      <c r="A219" s="17">
        <v>1</v>
      </c>
      <c r="B219" s="17">
        <v>4</v>
      </c>
      <c r="C219" s="14" t="s">
        <v>572</v>
      </c>
      <c r="D219" s="16">
        <v>409390</v>
      </c>
      <c r="E219" s="14" t="s">
        <v>445</v>
      </c>
      <c r="F219" s="14">
        <v>285947.85869119113</v>
      </c>
      <c r="G219" s="14">
        <v>69741.472071913508</v>
      </c>
      <c r="H219" s="14">
        <v>201193.63764436563</v>
      </c>
      <c r="I219" s="14">
        <v>232378.71942261222</v>
      </c>
      <c r="J219" s="14">
        <v>789261.68783008249</v>
      </c>
      <c r="K219" s="14">
        <v>271650.46575663157</v>
      </c>
      <c r="L219" s="14">
        <v>66254.398468317828</v>
      </c>
      <c r="M219" s="14">
        <v>191133.95576214735</v>
      </c>
      <c r="N219" s="14">
        <v>220759.78345148161</v>
      </c>
      <c r="O219" s="14">
        <v>749798.60343857831</v>
      </c>
      <c r="P219" s="15">
        <v>0.95</v>
      </c>
      <c r="Q219" s="14">
        <v>4124</v>
      </c>
      <c r="R219" s="11" t="str">
        <f t="shared" si="3"/>
        <v xml:space="preserve">  </v>
      </c>
      <c r="T219" s="12"/>
    </row>
    <row r="220" spans="1:20" x14ac:dyDescent="0.3">
      <c r="A220" s="17">
        <v>1</v>
      </c>
      <c r="B220" s="17">
        <v>4</v>
      </c>
      <c r="C220" s="14" t="s">
        <v>572</v>
      </c>
      <c r="D220" s="16">
        <v>409430</v>
      </c>
      <c r="E220" s="14" t="s">
        <v>446</v>
      </c>
      <c r="F220" s="14">
        <v>521629.95986554452</v>
      </c>
      <c r="G220" s="14">
        <v>123605.06456224067</v>
      </c>
      <c r="H220" s="14">
        <v>312205.79705229169</v>
      </c>
      <c r="I220" s="14">
        <v>272944.68417904701</v>
      </c>
      <c r="J220" s="14">
        <v>1230385.5056591239</v>
      </c>
      <c r="K220" s="14">
        <v>495548.46187226725</v>
      </c>
      <c r="L220" s="14">
        <v>117424.81133412864</v>
      </c>
      <c r="M220" s="14">
        <v>296595.50719967711</v>
      </c>
      <c r="N220" s="14">
        <v>259297.44997009463</v>
      </c>
      <c r="O220" s="14">
        <v>1168866.2303761677</v>
      </c>
      <c r="P220" s="15">
        <v>0.95</v>
      </c>
      <c r="Q220" s="14">
        <v>11897</v>
      </c>
      <c r="R220" s="11" t="str">
        <f t="shared" si="3"/>
        <v xml:space="preserve">  </v>
      </c>
      <c r="T220" s="12"/>
    </row>
    <row r="221" spans="1:20" x14ac:dyDescent="0.3">
      <c r="A221" s="17">
        <v>1</v>
      </c>
      <c r="B221" s="17">
        <v>4</v>
      </c>
      <c r="C221" s="14" t="s">
        <v>572</v>
      </c>
      <c r="D221" s="16">
        <v>409460</v>
      </c>
      <c r="E221" s="14" t="s">
        <v>447</v>
      </c>
      <c r="F221" s="14">
        <v>358361.16606147494</v>
      </c>
      <c r="G221" s="14">
        <v>84917.007219152089</v>
      </c>
      <c r="H221" s="14">
        <v>177878.44078256233</v>
      </c>
      <c r="I221" s="14">
        <v>140396.17495256005</v>
      </c>
      <c r="J221" s="14">
        <v>761552.78901574947</v>
      </c>
      <c r="K221" s="14">
        <v>340480.83147525607</v>
      </c>
      <c r="L221" s="14">
        <v>81105.648179712065</v>
      </c>
      <c r="M221" s="14">
        <v>174472.30524561662</v>
      </c>
      <c r="N221" s="14">
        <v>149152.25032585606</v>
      </c>
      <c r="O221" s="14">
        <v>745211.03522644076</v>
      </c>
      <c r="P221" s="15">
        <v>0.97854153510431074</v>
      </c>
      <c r="Q221" s="14">
        <v>11623</v>
      </c>
      <c r="R221" s="11" t="str">
        <f t="shared" si="3"/>
        <v xml:space="preserve">  </v>
      </c>
      <c r="T221" s="12"/>
    </row>
    <row r="222" spans="1:20" x14ac:dyDescent="0.3">
      <c r="A222" s="17">
        <v>1</v>
      </c>
      <c r="B222" s="17">
        <v>4</v>
      </c>
      <c r="C222" s="14" t="s">
        <v>572</v>
      </c>
      <c r="D222" s="16">
        <v>409510</v>
      </c>
      <c r="E222" s="14" t="s">
        <v>448</v>
      </c>
      <c r="F222" s="14">
        <v>0</v>
      </c>
      <c r="G222" s="14">
        <v>1997.6300950933289</v>
      </c>
      <c r="H222" s="14">
        <v>0</v>
      </c>
      <c r="I222" s="14">
        <v>0</v>
      </c>
      <c r="J222" s="14">
        <v>1997.6300950933289</v>
      </c>
      <c r="K222" s="14">
        <v>9930.6909180283092</v>
      </c>
      <c r="L222" s="14">
        <v>2365.5814052416026</v>
      </c>
      <c r="M222" s="14">
        <v>4874.532376432353</v>
      </c>
      <c r="N222" s="14">
        <v>4068.7499641931327</v>
      </c>
      <c r="O222" s="14">
        <v>21239.554663895397</v>
      </c>
      <c r="P222" s="15">
        <v>10.632376192201434</v>
      </c>
      <c r="Q222" s="14">
        <v>1226</v>
      </c>
      <c r="R222" s="11" t="str">
        <f t="shared" si="3"/>
        <v xml:space="preserve">  </v>
      </c>
      <c r="T222" s="12"/>
    </row>
    <row r="223" spans="1:20" x14ac:dyDescent="0.3">
      <c r="A223" s="17">
        <v>1</v>
      </c>
      <c r="B223" s="17">
        <v>4</v>
      </c>
      <c r="C223" s="14" t="s">
        <v>572</v>
      </c>
      <c r="D223" s="16">
        <v>409540</v>
      </c>
      <c r="E223" s="14" t="s">
        <v>581</v>
      </c>
      <c r="F223" s="14">
        <v>13181.899085172805</v>
      </c>
      <c r="G223" s="14">
        <v>3215.0093765737352</v>
      </c>
      <c r="H223" s="14">
        <v>5971.7602894339352</v>
      </c>
      <c r="I223" s="14">
        <v>5630.0981298779516</v>
      </c>
      <c r="J223" s="14">
        <v>27998.766881058429</v>
      </c>
      <c r="K223" s="14">
        <v>11863.709176655524</v>
      </c>
      <c r="L223" s="14">
        <v>2893.5084389163617</v>
      </c>
      <c r="M223" s="14">
        <v>5374.584260490542</v>
      </c>
      <c r="N223" s="14">
        <v>5067.0883168901564</v>
      </c>
      <c r="O223" s="14">
        <v>25198.890192952585</v>
      </c>
      <c r="P223" s="15">
        <v>0.9</v>
      </c>
      <c r="Q223" s="14">
        <v>877</v>
      </c>
      <c r="R223" s="11" t="str">
        <f t="shared" si="3"/>
        <v xml:space="preserve">  </v>
      </c>
      <c r="T223" s="12"/>
    </row>
    <row r="224" spans="1:20" x14ac:dyDescent="0.3">
      <c r="A224" s="17">
        <v>1</v>
      </c>
      <c r="B224" s="17">
        <v>4</v>
      </c>
      <c r="C224" s="14" t="s">
        <v>572</v>
      </c>
      <c r="D224" s="16">
        <v>409570</v>
      </c>
      <c r="E224" s="14" t="s">
        <v>451</v>
      </c>
      <c r="F224" s="14">
        <v>8159.5774515558651</v>
      </c>
      <c r="G224" s="14">
        <v>1990.0863939353876</v>
      </c>
      <c r="H224" s="14">
        <v>4942.4015936808091</v>
      </c>
      <c r="I224" s="14">
        <v>5379.7205364133579</v>
      </c>
      <c r="J224" s="14">
        <v>20471.785975585422</v>
      </c>
      <c r="K224" s="14">
        <v>7343.619706400279</v>
      </c>
      <c r="L224" s="14">
        <v>1791.0777545418489</v>
      </c>
      <c r="M224" s="14">
        <v>4448.1614343127285</v>
      </c>
      <c r="N224" s="14">
        <v>4841.7484827720218</v>
      </c>
      <c r="O224" s="14">
        <v>18424.607378026878</v>
      </c>
      <c r="P224" s="15">
        <v>0.89999999999999991</v>
      </c>
      <c r="Q224" s="14">
        <v>697</v>
      </c>
      <c r="R224" s="11" t="str">
        <f t="shared" si="3"/>
        <v xml:space="preserve">  </v>
      </c>
      <c r="T224" s="12"/>
    </row>
    <row r="225" spans="1:25" x14ac:dyDescent="0.3">
      <c r="A225" s="17">
        <v>1</v>
      </c>
      <c r="B225" s="17">
        <v>4</v>
      </c>
      <c r="C225" s="14" t="s">
        <v>572</v>
      </c>
      <c r="D225" s="16">
        <v>409600</v>
      </c>
      <c r="E225" s="14" t="s">
        <v>452</v>
      </c>
      <c r="F225" s="14">
        <v>1513036.4022945042</v>
      </c>
      <c r="G225" s="14">
        <v>384182.64282808121</v>
      </c>
      <c r="H225" s="14">
        <v>716375.09821509523</v>
      </c>
      <c r="I225" s="14">
        <v>673889.92023796216</v>
      </c>
      <c r="J225" s="14">
        <v>3287484.0635756431</v>
      </c>
      <c r="K225" s="14">
        <v>1361732.7620650539</v>
      </c>
      <c r="L225" s="14">
        <v>345764.3785452731</v>
      </c>
      <c r="M225" s="14">
        <v>644737.58839358576</v>
      </c>
      <c r="N225" s="14">
        <v>606500.92821416596</v>
      </c>
      <c r="O225" s="14">
        <v>2958735.6572180786</v>
      </c>
      <c r="P225" s="15">
        <v>0.89999999999999991</v>
      </c>
      <c r="Q225" s="14">
        <v>103069</v>
      </c>
      <c r="R225" s="11" t="str">
        <f t="shared" si="3"/>
        <v>*</v>
      </c>
      <c r="T225" s="12"/>
    </row>
    <row r="226" spans="1:25" x14ac:dyDescent="0.3">
      <c r="A226" s="17">
        <v>1</v>
      </c>
      <c r="B226" s="17">
        <v>4</v>
      </c>
      <c r="C226" s="14" t="s">
        <v>572</v>
      </c>
      <c r="D226" s="16">
        <v>409630</v>
      </c>
      <c r="E226" s="14" t="s">
        <v>453</v>
      </c>
      <c r="F226" s="14">
        <v>1644350.241323218</v>
      </c>
      <c r="G226" s="14">
        <v>389362.24111270823</v>
      </c>
      <c r="H226" s="14">
        <v>763405.95758413954</v>
      </c>
      <c r="I226" s="14">
        <v>666490.6265843428</v>
      </c>
      <c r="J226" s="14">
        <v>3463609.0666044084</v>
      </c>
      <c r="K226" s="14">
        <v>1824409.7886549144</v>
      </c>
      <c r="L226" s="14">
        <v>434591.09816295729</v>
      </c>
      <c r="M226" s="14">
        <v>919840.17052813433</v>
      </c>
      <c r="N226" s="14">
        <v>779443.53528822318</v>
      </c>
      <c r="O226" s="14">
        <v>3958284.592634229</v>
      </c>
      <c r="P226" s="15">
        <v>1.1428208312535635</v>
      </c>
      <c r="Q226" s="14">
        <v>196634</v>
      </c>
      <c r="R226" s="11" t="str">
        <f t="shared" si="3"/>
        <v>*</v>
      </c>
      <c r="T226" s="12"/>
    </row>
    <row r="227" spans="1:25" x14ac:dyDescent="0.3">
      <c r="A227" s="17">
        <v>2</v>
      </c>
      <c r="B227" s="17">
        <v>4</v>
      </c>
      <c r="C227" s="14" t="s">
        <v>572</v>
      </c>
      <c r="D227" s="16">
        <v>481003</v>
      </c>
      <c r="E227" s="14" t="s">
        <v>580</v>
      </c>
      <c r="F227" s="14">
        <v>0</v>
      </c>
      <c r="G227" s="14">
        <v>0</v>
      </c>
      <c r="H227" s="14">
        <v>0</v>
      </c>
      <c r="I227" s="14">
        <v>0</v>
      </c>
      <c r="J227" s="14">
        <v>0</v>
      </c>
      <c r="K227" s="14">
        <v>0</v>
      </c>
      <c r="L227" s="14">
        <v>0</v>
      </c>
      <c r="M227" s="14">
        <v>0</v>
      </c>
      <c r="N227" s="14">
        <v>0</v>
      </c>
      <c r="O227" s="14">
        <v>0</v>
      </c>
      <c r="P227" s="15">
        <v>0</v>
      </c>
      <c r="Q227" s="14">
        <v>40</v>
      </c>
      <c r="R227" s="11" t="str">
        <f t="shared" si="3"/>
        <v xml:space="preserve">  </v>
      </c>
      <c r="T227" s="12"/>
    </row>
    <row r="228" spans="1:25" x14ac:dyDescent="0.3">
      <c r="A228" s="17">
        <v>2</v>
      </c>
      <c r="B228" s="17">
        <v>4</v>
      </c>
      <c r="C228" s="14" t="s">
        <v>572</v>
      </c>
      <c r="D228" s="16">
        <v>481005</v>
      </c>
      <c r="E228" s="14" t="s">
        <v>579</v>
      </c>
      <c r="F228" s="14">
        <v>27235.604294333352</v>
      </c>
      <c r="G228" s="14">
        <v>6393.9495890912294</v>
      </c>
      <c r="H228" s="14">
        <v>12330.360915141378</v>
      </c>
      <c r="I228" s="14">
        <v>12469.818176409188</v>
      </c>
      <c r="J228" s="14">
        <v>58429.732974975144</v>
      </c>
      <c r="K228" s="14">
        <v>24512.043864900017</v>
      </c>
      <c r="L228" s="14">
        <v>5754.5546301821068</v>
      </c>
      <c r="M228" s="14">
        <v>11097.324823627241</v>
      </c>
      <c r="N228" s="14">
        <v>11222.836358768269</v>
      </c>
      <c r="O228" s="14">
        <v>52586.759677477632</v>
      </c>
      <c r="P228" s="15">
        <v>0.9</v>
      </c>
      <c r="Q228" s="14">
        <v>493</v>
      </c>
      <c r="R228" s="11" t="str">
        <f t="shared" si="3"/>
        <v xml:space="preserve">  </v>
      </c>
      <c r="T228" s="12"/>
    </row>
    <row r="229" spans="1:25" x14ac:dyDescent="0.3">
      <c r="A229" s="17">
        <v>2</v>
      </c>
      <c r="B229" s="17">
        <v>4</v>
      </c>
      <c r="C229" s="14" t="s">
        <v>572</v>
      </c>
      <c r="D229" s="16">
        <v>481007</v>
      </c>
      <c r="E229" s="14" t="s">
        <v>578</v>
      </c>
      <c r="F229" s="14">
        <v>92588.538582238136</v>
      </c>
      <c r="G229" s="14">
        <v>22581.952553405717</v>
      </c>
      <c r="H229" s="14">
        <v>61131.046567515281</v>
      </c>
      <c r="I229" s="14">
        <v>68953.962793366503</v>
      </c>
      <c r="J229" s="14">
        <v>245255.50049652567</v>
      </c>
      <c r="K229" s="14">
        <v>87959.111653126223</v>
      </c>
      <c r="L229" s="14">
        <v>21452.854925735432</v>
      </c>
      <c r="M229" s="14">
        <v>58074.494239139516</v>
      </c>
      <c r="N229" s="14">
        <v>65506.264653698177</v>
      </c>
      <c r="O229" s="14">
        <v>232992.72547169938</v>
      </c>
      <c r="P229" s="15">
        <v>0.95</v>
      </c>
      <c r="Q229" s="14">
        <v>1664</v>
      </c>
      <c r="R229" s="11" t="str">
        <f t="shared" si="3"/>
        <v xml:space="preserve">  </v>
      </c>
      <c r="T229" s="12"/>
    </row>
    <row r="230" spans="1:25" x14ac:dyDescent="0.3">
      <c r="A230" s="17">
        <v>2</v>
      </c>
      <c r="B230" s="17">
        <v>4</v>
      </c>
      <c r="C230" s="14" t="s">
        <v>572</v>
      </c>
      <c r="D230" s="16">
        <v>481013</v>
      </c>
      <c r="E230" s="14" t="s">
        <v>577</v>
      </c>
      <c r="F230" s="14">
        <v>313623.67171403201</v>
      </c>
      <c r="G230" s="14">
        <v>74316.042353955461</v>
      </c>
      <c r="H230" s="14">
        <v>196688.85228817313</v>
      </c>
      <c r="I230" s="14">
        <v>213207.19837682848</v>
      </c>
      <c r="J230" s="14">
        <v>797835.76473298902</v>
      </c>
      <c r="K230" s="14">
        <v>282261.30454262882</v>
      </c>
      <c r="L230" s="14">
        <v>66884.43811855992</v>
      </c>
      <c r="M230" s="14">
        <v>177019.96705935581</v>
      </c>
      <c r="N230" s="14">
        <v>191886.47853914564</v>
      </c>
      <c r="O230" s="14">
        <v>718052.18825969019</v>
      </c>
      <c r="P230" s="15">
        <v>0.90000000000000013</v>
      </c>
      <c r="Q230" s="14">
        <v>66602</v>
      </c>
      <c r="R230" s="11" t="str">
        <f t="shared" si="3"/>
        <v xml:space="preserve">  </v>
      </c>
      <c r="T230" s="12"/>
    </row>
    <row r="231" spans="1:25" x14ac:dyDescent="0.3">
      <c r="A231" s="17">
        <v>2</v>
      </c>
      <c r="B231" s="17">
        <v>4</v>
      </c>
      <c r="C231" s="14" t="s">
        <v>572</v>
      </c>
      <c r="D231" s="16">
        <v>481017</v>
      </c>
      <c r="E231" s="14" t="s">
        <v>576</v>
      </c>
      <c r="F231" s="14">
        <v>23982.986660484799</v>
      </c>
      <c r="G231" s="14">
        <v>5862.8500868574565</v>
      </c>
      <c r="H231" s="14">
        <v>11923.665076024341</v>
      </c>
      <c r="I231" s="14">
        <v>10747.785436129527</v>
      </c>
      <c r="J231" s="14">
        <v>52517.287259496123</v>
      </c>
      <c r="K231" s="14">
        <v>22783.837327460558</v>
      </c>
      <c r="L231" s="14">
        <v>5569.707582514583</v>
      </c>
      <c r="M231" s="14">
        <v>11587.912129615506</v>
      </c>
      <c r="N231" s="14">
        <v>10210.39616432305</v>
      </c>
      <c r="O231" s="14">
        <v>50151.853203913699</v>
      </c>
      <c r="P231" s="15">
        <v>0.95495894439683371</v>
      </c>
      <c r="Q231" s="14">
        <v>698</v>
      </c>
      <c r="R231" s="11" t="str">
        <f t="shared" si="3"/>
        <v xml:space="preserve">  </v>
      </c>
      <c r="T231" s="12"/>
    </row>
    <row r="232" spans="1:25" x14ac:dyDescent="0.3">
      <c r="A232" s="17">
        <v>2</v>
      </c>
      <c r="B232" s="17">
        <v>4</v>
      </c>
      <c r="C232" s="14" t="s">
        <v>572</v>
      </c>
      <c r="D232" s="16">
        <v>481019</v>
      </c>
      <c r="E232" s="14" t="s">
        <v>575</v>
      </c>
      <c r="F232" s="14">
        <v>0</v>
      </c>
      <c r="G232" s="14">
        <v>1692.8907194862404</v>
      </c>
      <c r="H232" s="14">
        <v>0</v>
      </c>
      <c r="I232" s="14">
        <v>0</v>
      </c>
      <c r="J232" s="14">
        <v>1692.8907194862404</v>
      </c>
      <c r="K232" s="14">
        <v>7566.240699450138</v>
      </c>
      <c r="L232" s="14">
        <v>1802.3477373269347</v>
      </c>
      <c r="M232" s="14">
        <v>4153.1366215981143</v>
      </c>
      <c r="N232" s="14">
        <v>3677.1355411258528</v>
      </c>
      <c r="O232" s="14">
        <v>17198.86059950104</v>
      </c>
      <c r="P232" s="15">
        <v>10.159462983364078</v>
      </c>
      <c r="Q232" s="14">
        <v>388</v>
      </c>
      <c r="R232" s="11" t="str">
        <f t="shared" si="3"/>
        <v xml:space="preserve">  </v>
      </c>
      <c r="T232" s="12"/>
    </row>
    <row r="233" spans="1:25" x14ac:dyDescent="0.3">
      <c r="A233" s="17">
        <v>2</v>
      </c>
      <c r="B233" s="17">
        <v>4</v>
      </c>
      <c r="C233" s="14" t="s">
        <v>572</v>
      </c>
      <c r="D233" s="16">
        <v>481023</v>
      </c>
      <c r="E233" s="14" t="s">
        <v>574</v>
      </c>
      <c r="F233" s="14">
        <v>0</v>
      </c>
      <c r="G233" s="14">
        <v>0</v>
      </c>
      <c r="H233" s="14">
        <v>0</v>
      </c>
      <c r="I233" s="14">
        <v>0</v>
      </c>
      <c r="J233" s="14">
        <v>0</v>
      </c>
      <c r="K233" s="14">
        <v>0</v>
      </c>
      <c r="L233" s="14">
        <v>0</v>
      </c>
      <c r="M233" s="14">
        <v>0</v>
      </c>
      <c r="N233" s="14">
        <v>0</v>
      </c>
      <c r="O233" s="14">
        <v>0</v>
      </c>
      <c r="P233" s="15">
        <v>0</v>
      </c>
      <c r="Q233" s="14">
        <v>13</v>
      </c>
      <c r="R233" s="11" t="str">
        <f t="shared" si="3"/>
        <v xml:space="preserve">  </v>
      </c>
      <c r="T233" s="12"/>
    </row>
    <row r="234" spans="1:25" x14ac:dyDescent="0.3">
      <c r="A234" s="17">
        <v>3</v>
      </c>
      <c r="B234" s="17">
        <v>4</v>
      </c>
      <c r="C234" s="14" t="s">
        <v>572</v>
      </c>
      <c r="D234" s="16">
        <v>499998</v>
      </c>
      <c r="E234" s="14" t="s">
        <v>573</v>
      </c>
      <c r="F234" s="14">
        <v>0</v>
      </c>
      <c r="G234" s="14">
        <v>0</v>
      </c>
      <c r="H234" s="14">
        <v>0</v>
      </c>
      <c r="I234" s="14">
        <v>0</v>
      </c>
      <c r="J234" s="14">
        <v>0</v>
      </c>
      <c r="K234" s="14">
        <v>0</v>
      </c>
      <c r="L234" s="14">
        <v>0</v>
      </c>
      <c r="M234" s="14">
        <v>0</v>
      </c>
      <c r="N234" s="14">
        <v>0</v>
      </c>
      <c r="O234" s="14">
        <v>0</v>
      </c>
      <c r="P234" s="15">
        <v>0</v>
      </c>
      <c r="Q234" s="14">
        <v>0</v>
      </c>
      <c r="R234" s="11" t="str">
        <f t="shared" si="3"/>
        <v xml:space="preserve">  </v>
      </c>
      <c r="T234" s="12"/>
    </row>
    <row r="235" spans="1:25" x14ac:dyDescent="0.3">
      <c r="A235" s="17">
        <v>4</v>
      </c>
      <c r="B235" s="17">
        <v>4</v>
      </c>
      <c r="C235" s="14" t="s">
        <v>572</v>
      </c>
      <c r="D235" s="16">
        <v>499999</v>
      </c>
      <c r="E235" s="14" t="s">
        <v>571</v>
      </c>
      <c r="F235" s="14">
        <v>421148.59372904582</v>
      </c>
      <c r="G235" s="14">
        <v>107341.63304322549</v>
      </c>
      <c r="H235" s="14">
        <v>141792.8609582748</v>
      </c>
      <c r="I235" s="14">
        <v>109218.54016011878</v>
      </c>
      <c r="J235" s="14">
        <v>779501.62789066485</v>
      </c>
      <c r="K235" s="14">
        <v>621850.40748605819</v>
      </c>
      <c r="L235" s="14">
        <v>148130.45466155745</v>
      </c>
      <c r="M235" s="14">
        <v>232199.59307884745</v>
      </c>
      <c r="N235" s="14">
        <v>180135.32733891142</v>
      </c>
      <c r="O235" s="14">
        <v>1182315.7825653744</v>
      </c>
      <c r="P235" s="15">
        <v>1.5167585804339199</v>
      </c>
      <c r="Q235" s="14">
        <v>0</v>
      </c>
      <c r="R235" s="11" t="str">
        <f t="shared" si="3"/>
        <v xml:space="preserve">  </v>
      </c>
      <c r="T235" s="12"/>
    </row>
    <row r="236" spans="1:25" x14ac:dyDescent="0.3">
      <c r="A236" s="11"/>
      <c r="B236" s="11"/>
      <c r="C236" s="11"/>
      <c r="D236" s="27"/>
      <c r="E236" s="12"/>
      <c r="F236" s="10"/>
      <c r="G236" s="10"/>
      <c r="H236" s="10"/>
      <c r="I236" s="10"/>
      <c r="J236" s="10"/>
      <c r="K236" s="10"/>
      <c r="L236" s="10"/>
      <c r="M236" s="10"/>
      <c r="N236" s="10"/>
      <c r="O236" s="10"/>
      <c r="P236" s="19"/>
      <c r="Q236" s="12"/>
      <c r="R236" s="11" t="str">
        <f t="shared" si="3"/>
        <v xml:space="preserve">  </v>
      </c>
      <c r="T236" s="12"/>
    </row>
    <row r="237" spans="1:25" x14ac:dyDescent="0.3">
      <c r="F237" s="3">
        <f>SUM(F10:F235)</f>
        <v>145066003.64232546</v>
      </c>
      <c r="G237" s="3">
        <f t="shared" ref="G237:V237" si="4">SUM(G10:G235)</f>
        <v>31452543.375321306</v>
      </c>
      <c r="H237" s="3">
        <f t="shared" si="4"/>
        <v>77018264.80739139</v>
      </c>
      <c r="I237" s="3">
        <f t="shared" si="4"/>
        <v>69360871.348924622</v>
      </c>
      <c r="J237" s="3">
        <f t="shared" si="4"/>
        <v>322897683.17396265</v>
      </c>
      <c r="K237" s="3">
        <f t="shared" si="4"/>
        <v>144342915.73710912</v>
      </c>
      <c r="L237" s="3">
        <f t="shared" si="4"/>
        <v>31458698.270372391</v>
      </c>
      <c r="M237" s="3">
        <f t="shared" si="4"/>
        <v>81683541.747701183</v>
      </c>
      <c r="N237" s="3">
        <f t="shared" si="4"/>
        <v>76362474.111216471</v>
      </c>
      <c r="O237" s="3">
        <f t="shared" si="4"/>
        <v>333847629.86639905</v>
      </c>
      <c r="P237" s="3">
        <f t="shared" si="4"/>
        <v>236.06406843013215</v>
      </c>
      <c r="Q237" s="3">
        <f t="shared" si="4"/>
        <v>8900798</v>
      </c>
      <c r="R237" s="3">
        <f t="shared" si="4"/>
        <v>0</v>
      </c>
      <c r="S237" s="3">
        <f t="shared" si="4"/>
        <v>0</v>
      </c>
      <c r="T237" s="3">
        <f t="shared" si="4"/>
        <v>0</v>
      </c>
      <c r="U237" s="3">
        <f t="shared" si="4"/>
        <v>0</v>
      </c>
      <c r="V237" s="3">
        <f t="shared" si="4"/>
        <v>0</v>
      </c>
    </row>
    <row r="239" spans="1:25" x14ac:dyDescent="0.3">
      <c r="D239" s="24">
        <v>1</v>
      </c>
      <c r="E239" s="24">
        <f>D239+1</f>
        <v>2</v>
      </c>
      <c r="F239" s="3">
        <f>E239+1</f>
        <v>3</v>
      </c>
      <c r="G239" s="3">
        <f t="shared" ref="G239:Y239" si="5">F239+1</f>
        <v>4</v>
      </c>
      <c r="H239" s="3">
        <f t="shared" si="5"/>
        <v>5</v>
      </c>
      <c r="I239" s="3">
        <f t="shared" si="5"/>
        <v>6</v>
      </c>
      <c r="J239" s="3">
        <f t="shared" si="5"/>
        <v>7</v>
      </c>
      <c r="K239" s="3">
        <f t="shared" si="5"/>
        <v>8</v>
      </c>
      <c r="L239" s="3">
        <f t="shared" si="5"/>
        <v>9</v>
      </c>
      <c r="M239" s="3">
        <f t="shared" si="5"/>
        <v>10</v>
      </c>
      <c r="N239" s="3">
        <f t="shared" si="5"/>
        <v>11</v>
      </c>
      <c r="O239" s="3">
        <f t="shared" si="5"/>
        <v>12</v>
      </c>
      <c r="P239" s="3">
        <f t="shared" si="5"/>
        <v>13</v>
      </c>
      <c r="Q239" s="3">
        <f t="shared" si="5"/>
        <v>14</v>
      </c>
      <c r="R239" s="3">
        <f t="shared" si="5"/>
        <v>15</v>
      </c>
      <c r="S239" s="3">
        <f t="shared" si="5"/>
        <v>16</v>
      </c>
      <c r="T239" s="3">
        <f t="shared" si="5"/>
        <v>17</v>
      </c>
      <c r="U239" s="3">
        <f t="shared" si="5"/>
        <v>18</v>
      </c>
      <c r="V239" s="3">
        <f t="shared" si="5"/>
        <v>19</v>
      </c>
      <c r="W239" s="3">
        <f t="shared" si="5"/>
        <v>20</v>
      </c>
      <c r="X239" s="3">
        <f t="shared" si="5"/>
        <v>21</v>
      </c>
      <c r="Y239" s="3">
        <f t="shared" si="5"/>
        <v>22</v>
      </c>
    </row>
    <row r="241" spans="5:5" x14ac:dyDescent="0.3">
      <c r="E241" s="23" t="s">
        <v>888</v>
      </c>
    </row>
  </sheetData>
  <sheetProtection algorithmName="SHA-512" hashValue="aST0mabsgN/mF8jMSt71pbmVCaXsAN1CN2YFh0p86gDKO+wfNNcB3Qohx8Frkk4ghFjomzduuLkdS+jxaNDAmA==" saltValue="S7XLJo2flL7Jni7DsvDYsA==" spinCount="100000" sheet="1" objects="1" scenarios="1"/>
  <pageMargins left="0.25" right="0.25" top="0.75" bottom="0.75" header="0.3" footer="0.3"/>
  <pageSetup scale="62" fitToHeight="0" orientation="landscape" horizontalDpi="4294967294" verticalDpi="4294967294"/>
  <headerFooter>
    <oddHeader>&amp;R&amp;P</oddHeader>
    <oddFooter>&amp;L&amp;"-,Bold"LEA allocations are not final.  SEAs must adjust these allocations to provide for school improvement and State administration and to account for eligible LEAs not on the Census list that did not receive an allocation from ED.</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S236"/>
  <sheetViews>
    <sheetView topLeftCell="D1" workbookViewId="0">
      <selection activeCell="D1" sqref="D1"/>
    </sheetView>
  </sheetViews>
  <sheetFormatPr defaultColWidth="8.77734375" defaultRowHeight="14.4" x14ac:dyDescent="0.3"/>
  <cols>
    <col min="1" max="2" width="9.109375" style="47" hidden="1" customWidth="1"/>
    <col min="3" max="3" width="17.6640625" style="47" hidden="1" customWidth="1"/>
    <col min="4" max="4" width="8.77734375" style="47"/>
    <col min="5" max="5" width="34.6640625" style="47" customWidth="1"/>
    <col min="6" max="6" width="10.33203125" style="3" customWidth="1"/>
    <col min="7" max="10" width="8.77734375" style="3"/>
    <col min="11" max="11" width="10" style="3" customWidth="1"/>
    <col min="12" max="12" width="10.109375" style="3" bestFit="1" customWidth="1"/>
    <col min="13" max="13" width="10" style="4" bestFit="1" customWidth="1"/>
    <col min="14" max="15" width="10.44140625" style="3" bestFit="1" customWidth="1"/>
    <col min="16" max="16" width="13.44140625" style="3" bestFit="1" customWidth="1"/>
    <col min="17" max="18" width="10.77734375" style="47" bestFit="1" customWidth="1"/>
    <col min="19" max="16384" width="8.77734375" style="47"/>
  </cols>
  <sheetData>
    <row r="2" spans="1:19" x14ac:dyDescent="0.3">
      <c r="A2" s="11"/>
      <c r="B2" s="11"/>
      <c r="C2" s="11"/>
      <c r="D2" s="11"/>
      <c r="E2" s="23" t="s">
        <v>1591</v>
      </c>
      <c r="F2" s="14"/>
      <c r="G2" s="14"/>
      <c r="H2" s="14"/>
      <c r="I2" s="14"/>
      <c r="J2" s="14"/>
      <c r="K2" s="14"/>
      <c r="L2" s="14"/>
      <c r="M2" s="15"/>
      <c r="N2" s="14"/>
      <c r="O2" s="14"/>
      <c r="P2" s="14"/>
      <c r="Q2" s="13"/>
      <c r="R2" s="13"/>
    </row>
    <row r="3" spans="1:19" x14ac:dyDescent="0.3">
      <c r="A3" s="11"/>
      <c r="B3" s="11"/>
      <c r="C3" s="11"/>
      <c r="D3" s="11"/>
      <c r="E3" s="11"/>
      <c r="F3" s="14"/>
      <c r="G3" s="14"/>
      <c r="H3" s="14"/>
      <c r="I3" s="14"/>
      <c r="J3" s="14"/>
      <c r="K3" s="14"/>
      <c r="L3" s="14"/>
      <c r="M3" s="15"/>
      <c r="N3" s="14"/>
      <c r="O3" s="14"/>
      <c r="P3" s="14"/>
      <c r="Q3" s="13"/>
      <c r="R3" s="13"/>
    </row>
    <row r="4" spans="1:19" x14ac:dyDescent="0.3">
      <c r="A4" s="12" t="s">
        <v>618</v>
      </c>
      <c r="B4" s="12" t="s">
        <v>618</v>
      </c>
      <c r="C4" s="12" t="s">
        <v>618</v>
      </c>
      <c r="D4" s="11"/>
      <c r="E4" s="14" t="s">
        <v>572</v>
      </c>
      <c r="F4" s="14"/>
      <c r="G4" s="14"/>
      <c r="H4" s="14"/>
      <c r="I4" s="14"/>
      <c r="J4" s="14"/>
      <c r="K4" s="14"/>
      <c r="L4" s="14"/>
      <c r="M4" s="15"/>
      <c r="N4" s="14"/>
      <c r="O4" s="14"/>
      <c r="P4" s="10" t="s">
        <v>617</v>
      </c>
      <c r="Q4" s="13"/>
      <c r="R4" s="13"/>
    </row>
    <row r="5" spans="1:19" x14ac:dyDescent="0.3">
      <c r="A5" s="11"/>
      <c r="B5" s="22"/>
      <c r="C5" s="22"/>
      <c r="D5" s="11">
        <v>1</v>
      </c>
      <c r="E5" s="11">
        <f>D5+1</f>
        <v>2</v>
      </c>
      <c r="F5" s="11">
        <f t="shared" ref="F5:S5" si="0">E5+1</f>
        <v>3</v>
      </c>
      <c r="G5" s="11">
        <f t="shared" si="0"/>
        <v>4</v>
      </c>
      <c r="H5" s="11">
        <f t="shared" si="0"/>
        <v>5</v>
      </c>
      <c r="I5" s="11">
        <f t="shared" si="0"/>
        <v>6</v>
      </c>
      <c r="J5" s="11">
        <f t="shared" si="0"/>
        <v>7</v>
      </c>
      <c r="K5" s="11">
        <f t="shared" si="0"/>
        <v>8</v>
      </c>
      <c r="L5" s="11">
        <f t="shared" si="0"/>
        <v>9</v>
      </c>
      <c r="M5" s="11">
        <f t="shared" si="0"/>
        <v>10</v>
      </c>
      <c r="N5" s="11">
        <f t="shared" si="0"/>
        <v>11</v>
      </c>
      <c r="O5" s="11">
        <f t="shared" si="0"/>
        <v>12</v>
      </c>
      <c r="P5" s="11">
        <f t="shared" si="0"/>
        <v>13</v>
      </c>
      <c r="Q5" s="11">
        <f t="shared" si="0"/>
        <v>14</v>
      </c>
      <c r="R5" s="11">
        <f t="shared" si="0"/>
        <v>15</v>
      </c>
      <c r="S5" s="11">
        <f t="shared" si="0"/>
        <v>16</v>
      </c>
    </row>
    <row r="6" spans="1:19" x14ac:dyDescent="0.3">
      <c r="A6" s="11"/>
      <c r="B6" s="11"/>
      <c r="C6" s="11"/>
      <c r="D6" s="11"/>
      <c r="E6" s="12" t="s">
        <v>614</v>
      </c>
      <c r="F6" s="21">
        <v>2014</v>
      </c>
      <c r="G6" s="14"/>
      <c r="H6" s="14"/>
      <c r="I6" s="14"/>
      <c r="J6" s="14"/>
      <c r="K6" s="10" t="s">
        <v>596</v>
      </c>
      <c r="L6" s="20" t="s">
        <v>613</v>
      </c>
      <c r="M6" s="19" t="s">
        <v>612</v>
      </c>
      <c r="N6" s="10" t="s">
        <v>611</v>
      </c>
      <c r="O6" s="10" t="s">
        <v>610</v>
      </c>
      <c r="P6" s="10" t="s">
        <v>609</v>
      </c>
      <c r="Q6" s="18" t="s">
        <v>608</v>
      </c>
      <c r="R6" s="18" t="s">
        <v>608</v>
      </c>
    </row>
    <row r="7" spans="1:19" x14ac:dyDescent="0.3">
      <c r="A7" s="11" t="s">
        <v>607</v>
      </c>
      <c r="B7" s="11" t="s">
        <v>606</v>
      </c>
      <c r="C7" s="11" t="s">
        <v>605</v>
      </c>
      <c r="D7" s="12" t="s">
        <v>560</v>
      </c>
      <c r="E7" s="12" t="s">
        <v>604</v>
      </c>
      <c r="F7" s="10" t="s">
        <v>603</v>
      </c>
      <c r="G7" s="10" t="s">
        <v>602</v>
      </c>
      <c r="H7" s="10" t="s">
        <v>601</v>
      </c>
      <c r="I7" s="10" t="s">
        <v>600</v>
      </c>
      <c r="J7" s="10" t="s">
        <v>599</v>
      </c>
      <c r="K7" s="10" t="s">
        <v>598</v>
      </c>
      <c r="L7" s="10" t="s">
        <v>597</v>
      </c>
      <c r="M7" s="19" t="s">
        <v>596</v>
      </c>
      <c r="N7" s="10" t="s">
        <v>595</v>
      </c>
      <c r="O7" s="10" t="s">
        <v>595</v>
      </c>
      <c r="P7" s="10" t="s">
        <v>595</v>
      </c>
      <c r="Q7" s="18" t="s">
        <v>594</v>
      </c>
      <c r="R7" s="18" t="s">
        <v>593</v>
      </c>
    </row>
    <row r="8" spans="1:19" x14ac:dyDescent="0.3">
      <c r="A8" s="11"/>
      <c r="B8" s="11"/>
      <c r="C8" s="11"/>
      <c r="D8" s="12"/>
      <c r="E8" s="11"/>
      <c r="F8" s="8"/>
      <c r="G8" s="10"/>
      <c r="H8" s="10"/>
      <c r="I8" s="10"/>
      <c r="J8" s="10"/>
      <c r="K8" s="8"/>
      <c r="L8" s="8"/>
      <c r="M8" s="9"/>
      <c r="N8" s="8"/>
      <c r="O8" s="8"/>
      <c r="P8" s="8"/>
      <c r="Q8" s="7"/>
      <c r="R8" s="7"/>
    </row>
    <row r="9" spans="1:19" x14ac:dyDescent="0.3">
      <c r="A9" s="17">
        <v>1</v>
      </c>
      <c r="B9" s="17">
        <v>4</v>
      </c>
      <c r="C9" s="17" t="s">
        <v>572</v>
      </c>
      <c r="D9" s="16">
        <v>400450</v>
      </c>
      <c r="E9" s="17" t="s">
        <v>15</v>
      </c>
      <c r="F9" s="14">
        <v>1097</v>
      </c>
      <c r="G9" s="14">
        <v>0</v>
      </c>
      <c r="H9" s="14"/>
      <c r="I9" s="14">
        <v>50</v>
      </c>
      <c r="J9" s="14">
        <v>0</v>
      </c>
      <c r="K9" s="14">
        <v>1147</v>
      </c>
      <c r="L9" s="14">
        <v>7902</v>
      </c>
      <c r="M9" s="15">
        <v>0.145153125790939</v>
      </c>
      <c r="N9" s="14">
        <v>1147</v>
      </c>
      <c r="O9" s="14">
        <v>0</v>
      </c>
      <c r="P9" s="14">
        <v>1147</v>
      </c>
      <c r="Q9" s="13">
        <v>1375</v>
      </c>
      <c r="R9" s="13">
        <v>1375</v>
      </c>
    </row>
    <row r="10" spans="1:19" x14ac:dyDescent="0.3">
      <c r="A10" s="17">
        <v>1</v>
      </c>
      <c r="B10" s="17">
        <v>4</v>
      </c>
      <c r="C10" s="17" t="s">
        <v>572</v>
      </c>
      <c r="D10" s="16">
        <v>400480</v>
      </c>
      <c r="E10" s="17" t="s">
        <v>16</v>
      </c>
      <c r="F10" s="14">
        <v>86</v>
      </c>
      <c r="G10" s="14">
        <v>0</v>
      </c>
      <c r="H10" s="14"/>
      <c r="I10" s="14">
        <v>4</v>
      </c>
      <c r="J10" s="14">
        <v>0</v>
      </c>
      <c r="K10" s="14">
        <v>90</v>
      </c>
      <c r="L10" s="14">
        <v>207</v>
      </c>
      <c r="M10" s="15">
        <v>0.43478260869565216</v>
      </c>
      <c r="N10" s="14">
        <v>90</v>
      </c>
      <c r="O10" s="14">
        <v>90</v>
      </c>
      <c r="P10" s="14">
        <v>90</v>
      </c>
      <c r="Q10" s="13">
        <v>195.295275</v>
      </c>
      <c r="R10" s="13">
        <v>242.84115000000003</v>
      </c>
    </row>
    <row r="11" spans="1:19" x14ac:dyDescent="0.3">
      <c r="A11" s="17">
        <v>1</v>
      </c>
      <c r="B11" s="17">
        <v>4</v>
      </c>
      <c r="C11" s="17" t="s">
        <v>572</v>
      </c>
      <c r="D11" s="16">
        <v>400520</v>
      </c>
      <c r="E11" s="17" t="s">
        <v>18</v>
      </c>
      <c r="F11" s="14">
        <v>148</v>
      </c>
      <c r="G11" s="14">
        <v>0</v>
      </c>
      <c r="H11" s="14"/>
      <c r="I11" s="14">
        <v>7</v>
      </c>
      <c r="J11" s="14">
        <v>0</v>
      </c>
      <c r="K11" s="14">
        <v>155</v>
      </c>
      <c r="L11" s="14">
        <v>424</v>
      </c>
      <c r="M11" s="15">
        <v>0.36556603773584906</v>
      </c>
      <c r="N11" s="14">
        <v>155</v>
      </c>
      <c r="O11" s="14">
        <v>155</v>
      </c>
      <c r="P11" s="14">
        <v>155</v>
      </c>
      <c r="Q11" s="13">
        <v>287.98700000000002</v>
      </c>
      <c r="R11" s="13">
        <v>332.03319999999997</v>
      </c>
    </row>
    <row r="12" spans="1:19" x14ac:dyDescent="0.3">
      <c r="A12" s="17">
        <v>1</v>
      </c>
      <c r="B12" s="17">
        <v>4</v>
      </c>
      <c r="C12" s="17" t="s">
        <v>572</v>
      </c>
      <c r="D12" s="16">
        <v>400600</v>
      </c>
      <c r="E12" s="17" t="s">
        <v>22</v>
      </c>
      <c r="F12" s="14">
        <v>7714</v>
      </c>
      <c r="G12" s="14">
        <v>10</v>
      </c>
      <c r="H12" s="14"/>
      <c r="I12" s="14">
        <v>349</v>
      </c>
      <c r="J12" s="14">
        <v>0</v>
      </c>
      <c r="K12" s="14">
        <v>8073</v>
      </c>
      <c r="L12" s="14">
        <v>15357</v>
      </c>
      <c r="M12" s="15">
        <v>0.52568861105684705</v>
      </c>
      <c r="N12" s="14">
        <v>8073</v>
      </c>
      <c r="O12" s="14">
        <v>8073</v>
      </c>
      <c r="P12" s="14">
        <v>8073</v>
      </c>
      <c r="Q12" s="13">
        <v>20072.819025000004</v>
      </c>
      <c r="R12" s="13">
        <v>26392.258650000003</v>
      </c>
    </row>
    <row r="13" spans="1:19" x14ac:dyDescent="0.3">
      <c r="A13" s="17">
        <v>1</v>
      </c>
      <c r="B13" s="17">
        <v>4</v>
      </c>
      <c r="C13" s="17" t="s">
        <v>572</v>
      </c>
      <c r="D13" s="16">
        <v>400630</v>
      </c>
      <c r="E13" s="17" t="s">
        <v>554</v>
      </c>
      <c r="F13" s="14">
        <v>12</v>
      </c>
      <c r="G13" s="14">
        <v>0</v>
      </c>
      <c r="H13" s="14"/>
      <c r="I13" s="14">
        <v>0</v>
      </c>
      <c r="J13" s="14">
        <v>0</v>
      </c>
      <c r="K13" s="14">
        <v>12</v>
      </c>
      <c r="L13" s="14">
        <v>47</v>
      </c>
      <c r="M13" s="15">
        <v>0.25531914893617019</v>
      </c>
      <c r="N13" s="14">
        <v>12</v>
      </c>
      <c r="O13" s="14">
        <v>12</v>
      </c>
      <c r="P13" s="14">
        <v>12</v>
      </c>
      <c r="Q13" s="13">
        <v>16.714275000000001</v>
      </c>
      <c r="R13" s="13">
        <v>16.751149999999996</v>
      </c>
    </row>
    <row r="14" spans="1:19" x14ac:dyDescent="0.3">
      <c r="A14" s="17">
        <v>1</v>
      </c>
      <c r="B14" s="17">
        <v>4</v>
      </c>
      <c r="C14" s="17" t="s">
        <v>572</v>
      </c>
      <c r="D14" s="16">
        <v>404770</v>
      </c>
      <c r="E14" s="17" t="s">
        <v>24</v>
      </c>
      <c r="F14" s="14">
        <v>346</v>
      </c>
      <c r="G14" s="14">
        <v>0</v>
      </c>
      <c r="H14" s="14"/>
      <c r="I14" s="14">
        <v>17</v>
      </c>
      <c r="J14" s="14">
        <v>0</v>
      </c>
      <c r="K14" s="14">
        <v>363</v>
      </c>
      <c r="L14" s="14">
        <v>1345</v>
      </c>
      <c r="M14" s="15">
        <v>0.26988847583643122</v>
      </c>
      <c r="N14" s="14">
        <v>363</v>
      </c>
      <c r="O14" s="14">
        <v>363</v>
      </c>
      <c r="P14" s="14">
        <v>363</v>
      </c>
      <c r="Q14" s="13">
        <v>527.30212500000005</v>
      </c>
      <c r="R14" s="13">
        <v>538.15525000000002</v>
      </c>
    </row>
    <row r="15" spans="1:19" x14ac:dyDescent="0.3">
      <c r="A15" s="17">
        <v>1</v>
      </c>
      <c r="B15" s="17">
        <v>4</v>
      </c>
      <c r="C15" s="17" t="s">
        <v>572</v>
      </c>
      <c r="D15" s="16">
        <v>400680</v>
      </c>
      <c r="E15" s="17" t="s">
        <v>36</v>
      </c>
      <c r="F15" s="14">
        <v>3986</v>
      </c>
      <c r="G15" s="14">
        <v>111</v>
      </c>
      <c r="H15" s="14"/>
      <c r="I15" s="14">
        <v>193</v>
      </c>
      <c r="J15" s="14">
        <v>0</v>
      </c>
      <c r="K15" s="14">
        <v>4290</v>
      </c>
      <c r="L15" s="14">
        <v>19047</v>
      </c>
      <c r="M15" s="15">
        <v>0.22523232005040164</v>
      </c>
      <c r="N15" s="14">
        <v>4290</v>
      </c>
      <c r="O15" s="14">
        <v>4290</v>
      </c>
      <c r="P15" s="14">
        <v>4290</v>
      </c>
      <c r="Q15" s="13">
        <v>7103.5</v>
      </c>
      <c r="R15" s="13">
        <v>7610.5</v>
      </c>
    </row>
    <row r="16" spans="1:19" x14ac:dyDescent="0.3">
      <c r="A16" s="17">
        <v>1</v>
      </c>
      <c r="B16" s="17">
        <v>4</v>
      </c>
      <c r="C16" s="17" t="s">
        <v>572</v>
      </c>
      <c r="D16" s="16">
        <v>400720</v>
      </c>
      <c r="E16" s="17" t="s">
        <v>37</v>
      </c>
      <c r="F16" s="14">
        <v>93</v>
      </c>
      <c r="G16" s="14">
        <v>0</v>
      </c>
      <c r="H16" s="14"/>
      <c r="I16" s="14">
        <v>2</v>
      </c>
      <c r="J16" s="14">
        <v>0</v>
      </c>
      <c r="K16" s="14">
        <v>95</v>
      </c>
      <c r="L16" s="14">
        <v>354</v>
      </c>
      <c r="M16" s="15">
        <v>0.26836158192090398</v>
      </c>
      <c r="N16" s="14">
        <v>95</v>
      </c>
      <c r="O16" s="14">
        <v>95</v>
      </c>
      <c r="P16" s="14">
        <v>95</v>
      </c>
      <c r="Q16" s="13">
        <v>137.43305000000001</v>
      </c>
      <c r="R16" s="13">
        <v>140.01930000000004</v>
      </c>
    </row>
    <row r="17" spans="1:18" x14ac:dyDescent="0.3">
      <c r="A17" s="17">
        <v>1</v>
      </c>
      <c r="B17" s="17">
        <v>4</v>
      </c>
      <c r="C17" s="17" t="s">
        <v>572</v>
      </c>
      <c r="D17" s="16">
        <v>400750</v>
      </c>
      <c r="E17" s="17" t="s">
        <v>550</v>
      </c>
      <c r="F17" s="14">
        <v>8</v>
      </c>
      <c r="G17" s="14">
        <v>0</v>
      </c>
      <c r="H17" s="14"/>
      <c r="I17" s="14">
        <v>0</v>
      </c>
      <c r="J17" s="14">
        <v>0</v>
      </c>
      <c r="K17" s="14">
        <v>8</v>
      </c>
      <c r="L17" s="14">
        <v>22</v>
      </c>
      <c r="M17" s="15">
        <v>0.36363636363636365</v>
      </c>
      <c r="N17" s="14">
        <v>0</v>
      </c>
      <c r="O17" s="14">
        <v>0</v>
      </c>
      <c r="P17" s="14">
        <v>0</v>
      </c>
      <c r="Q17" s="13">
        <v>0</v>
      </c>
      <c r="R17" s="13">
        <v>0</v>
      </c>
    </row>
    <row r="18" spans="1:18" x14ac:dyDescent="0.3">
      <c r="A18" s="17">
        <v>1</v>
      </c>
      <c r="B18" s="17">
        <v>4</v>
      </c>
      <c r="C18" s="17" t="s">
        <v>572</v>
      </c>
      <c r="D18" s="16">
        <v>400790</v>
      </c>
      <c r="E18" s="17" t="s">
        <v>39</v>
      </c>
      <c r="F18" s="14">
        <v>2034</v>
      </c>
      <c r="G18" s="14">
        <v>0</v>
      </c>
      <c r="H18" s="14"/>
      <c r="I18" s="14">
        <v>110</v>
      </c>
      <c r="J18" s="14">
        <v>0</v>
      </c>
      <c r="K18" s="14">
        <v>2144</v>
      </c>
      <c r="L18" s="14">
        <v>7561</v>
      </c>
      <c r="M18" s="15">
        <v>0.28356037561169156</v>
      </c>
      <c r="N18" s="14">
        <v>2144</v>
      </c>
      <c r="O18" s="14">
        <v>2144</v>
      </c>
      <c r="P18" s="14">
        <v>2144</v>
      </c>
      <c r="Q18" s="13">
        <v>3222.6943249999995</v>
      </c>
      <c r="R18" s="13">
        <v>3335.3924499999994</v>
      </c>
    </row>
    <row r="19" spans="1:18" x14ac:dyDescent="0.3">
      <c r="A19" s="17">
        <v>1</v>
      </c>
      <c r="B19" s="17">
        <v>4</v>
      </c>
      <c r="C19" s="17" t="s">
        <v>572</v>
      </c>
      <c r="D19" s="16">
        <v>400840</v>
      </c>
      <c r="E19" s="17" t="s">
        <v>52</v>
      </c>
      <c r="F19" s="14">
        <v>83</v>
      </c>
      <c r="G19" s="14">
        <v>0</v>
      </c>
      <c r="H19" s="14"/>
      <c r="I19" s="14">
        <v>4</v>
      </c>
      <c r="J19" s="14">
        <v>0</v>
      </c>
      <c r="K19" s="14">
        <v>87</v>
      </c>
      <c r="L19" s="14">
        <v>264</v>
      </c>
      <c r="M19" s="15">
        <v>0.32954545454545453</v>
      </c>
      <c r="N19" s="14">
        <v>87</v>
      </c>
      <c r="O19" s="14">
        <v>87</v>
      </c>
      <c r="P19" s="14">
        <v>87</v>
      </c>
      <c r="Q19" s="13">
        <v>148.40700000000001</v>
      </c>
      <c r="R19" s="13">
        <v>163.9452</v>
      </c>
    </row>
    <row r="20" spans="1:18" x14ac:dyDescent="0.3">
      <c r="A20" s="17">
        <v>1</v>
      </c>
      <c r="B20" s="17">
        <v>4</v>
      </c>
      <c r="C20" s="17" t="s">
        <v>572</v>
      </c>
      <c r="D20" s="16">
        <v>400870</v>
      </c>
      <c r="E20" s="17" t="s">
        <v>53</v>
      </c>
      <c r="F20" s="14">
        <v>22</v>
      </c>
      <c r="G20" s="14">
        <v>0</v>
      </c>
      <c r="H20" s="14"/>
      <c r="I20" s="14">
        <v>1</v>
      </c>
      <c r="J20" s="14">
        <v>0</v>
      </c>
      <c r="K20" s="14">
        <v>23</v>
      </c>
      <c r="L20" s="14">
        <v>49</v>
      </c>
      <c r="M20" s="15">
        <v>0.46938775510204084</v>
      </c>
      <c r="N20" s="14">
        <v>23</v>
      </c>
      <c r="O20" s="14">
        <v>23</v>
      </c>
      <c r="P20" s="14">
        <v>23</v>
      </c>
      <c r="Q20" s="13">
        <v>53.011925000000005</v>
      </c>
      <c r="R20" s="13">
        <v>67.658050000000003</v>
      </c>
    </row>
    <row r="21" spans="1:18" x14ac:dyDescent="0.3">
      <c r="A21" s="17">
        <v>1</v>
      </c>
      <c r="B21" s="17">
        <v>4</v>
      </c>
      <c r="C21" s="17" t="s">
        <v>572</v>
      </c>
      <c r="D21" s="16">
        <v>400910</v>
      </c>
      <c r="E21" s="17" t="s">
        <v>55</v>
      </c>
      <c r="F21" s="14">
        <v>80</v>
      </c>
      <c r="G21" s="14">
        <v>0</v>
      </c>
      <c r="H21" s="14"/>
      <c r="I21" s="14">
        <v>3</v>
      </c>
      <c r="J21" s="14">
        <v>0</v>
      </c>
      <c r="K21" s="14">
        <v>83</v>
      </c>
      <c r="L21" s="14">
        <v>268</v>
      </c>
      <c r="M21" s="15">
        <v>0.30970149253731344</v>
      </c>
      <c r="N21" s="14">
        <v>83</v>
      </c>
      <c r="O21" s="14">
        <v>83</v>
      </c>
      <c r="P21" s="14">
        <v>83</v>
      </c>
      <c r="Q21" s="13">
        <v>133.37150000000003</v>
      </c>
      <c r="R21" s="13">
        <v>142.49740000000003</v>
      </c>
    </row>
    <row r="22" spans="1:18" x14ac:dyDescent="0.3">
      <c r="A22" s="17">
        <v>1</v>
      </c>
      <c r="B22" s="17">
        <v>4</v>
      </c>
      <c r="C22" s="17" t="s">
        <v>572</v>
      </c>
      <c r="D22" s="16">
        <v>400960</v>
      </c>
      <c r="E22" s="17" t="s">
        <v>58</v>
      </c>
      <c r="F22" s="14">
        <v>1906</v>
      </c>
      <c r="G22" s="14">
        <v>0</v>
      </c>
      <c r="H22" s="14"/>
      <c r="I22" s="14">
        <v>86</v>
      </c>
      <c r="J22" s="14">
        <v>0</v>
      </c>
      <c r="K22" s="14">
        <v>1992</v>
      </c>
      <c r="L22" s="14">
        <v>7557</v>
      </c>
      <c r="M22" s="15">
        <v>0.26359666534339021</v>
      </c>
      <c r="N22" s="14">
        <v>1992</v>
      </c>
      <c r="O22" s="14">
        <v>1992</v>
      </c>
      <c r="P22" s="14">
        <v>1992</v>
      </c>
      <c r="Q22" s="13">
        <v>2843.8250249999996</v>
      </c>
      <c r="R22" s="13">
        <v>2881.0306499999997</v>
      </c>
    </row>
    <row r="23" spans="1:18" x14ac:dyDescent="0.3">
      <c r="A23" s="17">
        <v>1</v>
      </c>
      <c r="B23" s="17">
        <v>4</v>
      </c>
      <c r="C23" s="17" t="s">
        <v>572</v>
      </c>
      <c r="D23" s="16">
        <v>401000</v>
      </c>
      <c r="E23" s="17" t="s">
        <v>592</v>
      </c>
      <c r="F23" s="14">
        <v>48</v>
      </c>
      <c r="G23" s="14">
        <v>0</v>
      </c>
      <c r="H23" s="14"/>
      <c r="I23" s="14">
        <v>2</v>
      </c>
      <c r="J23" s="14">
        <v>0</v>
      </c>
      <c r="K23" s="14">
        <v>50</v>
      </c>
      <c r="L23" s="14">
        <v>467</v>
      </c>
      <c r="M23" s="15">
        <v>0.10706638115631692</v>
      </c>
      <c r="N23" s="14">
        <v>50</v>
      </c>
      <c r="O23" s="14">
        <v>0</v>
      </c>
      <c r="P23" s="14">
        <v>50</v>
      </c>
      <c r="Q23" s="13">
        <v>50</v>
      </c>
      <c r="R23" s="13">
        <v>50</v>
      </c>
    </row>
    <row r="24" spans="1:18" x14ac:dyDescent="0.3">
      <c r="A24" s="17">
        <v>1</v>
      </c>
      <c r="B24" s="17">
        <v>4</v>
      </c>
      <c r="C24" s="17" t="s">
        <v>572</v>
      </c>
      <c r="D24" s="16">
        <v>401050</v>
      </c>
      <c r="E24" s="17" t="s">
        <v>65</v>
      </c>
      <c r="F24" s="14">
        <v>1897</v>
      </c>
      <c r="G24" s="14">
        <v>0</v>
      </c>
      <c r="H24" s="14"/>
      <c r="I24" s="14">
        <v>86</v>
      </c>
      <c r="J24" s="14">
        <v>0</v>
      </c>
      <c r="K24" s="14">
        <v>1983</v>
      </c>
      <c r="L24" s="14">
        <v>3722</v>
      </c>
      <c r="M24" s="15">
        <v>0.53277807630306284</v>
      </c>
      <c r="N24" s="14">
        <v>1983</v>
      </c>
      <c r="O24" s="14">
        <v>1983</v>
      </c>
      <c r="P24" s="14">
        <v>1983</v>
      </c>
      <c r="Q24" s="13">
        <v>4970.4976500000002</v>
      </c>
      <c r="R24" s="13">
        <v>6554.8829000000005</v>
      </c>
    </row>
    <row r="25" spans="1:18" x14ac:dyDescent="0.3">
      <c r="A25" s="17">
        <v>1</v>
      </c>
      <c r="B25" s="17">
        <v>4</v>
      </c>
      <c r="C25" s="17" t="s">
        <v>572</v>
      </c>
      <c r="D25" s="16">
        <v>401080</v>
      </c>
      <c r="E25" s="17" t="s">
        <v>66</v>
      </c>
      <c r="F25" s="14">
        <v>150</v>
      </c>
      <c r="G25" s="14">
        <v>0</v>
      </c>
      <c r="H25" s="14"/>
      <c r="I25" s="14">
        <v>8</v>
      </c>
      <c r="J25" s="14">
        <v>0</v>
      </c>
      <c r="K25" s="14">
        <v>158</v>
      </c>
      <c r="L25" s="14">
        <v>720</v>
      </c>
      <c r="M25" s="15">
        <v>0.21944444444444444</v>
      </c>
      <c r="N25" s="14">
        <v>158</v>
      </c>
      <c r="O25" s="14">
        <v>158</v>
      </c>
      <c r="P25" s="14">
        <v>158</v>
      </c>
      <c r="Q25" s="13">
        <v>192.36799999999999</v>
      </c>
      <c r="R25" s="13">
        <v>180.91200000000001</v>
      </c>
    </row>
    <row r="26" spans="1:18" x14ac:dyDescent="0.3">
      <c r="A26" s="17">
        <v>1</v>
      </c>
      <c r="B26" s="17">
        <v>4</v>
      </c>
      <c r="C26" s="17" t="s">
        <v>572</v>
      </c>
      <c r="D26" s="16">
        <v>400212</v>
      </c>
      <c r="E26" s="17" t="s">
        <v>68</v>
      </c>
      <c r="F26" s="14">
        <v>303</v>
      </c>
      <c r="G26" s="14">
        <v>0</v>
      </c>
      <c r="H26" s="14"/>
      <c r="I26" s="14">
        <v>8</v>
      </c>
      <c r="J26" s="14">
        <v>0</v>
      </c>
      <c r="K26" s="14">
        <v>311</v>
      </c>
      <c r="L26" s="14">
        <v>1145</v>
      </c>
      <c r="M26" s="15">
        <v>0.27161572052401745</v>
      </c>
      <c r="N26" s="14">
        <v>311</v>
      </c>
      <c r="O26" s="14">
        <v>311</v>
      </c>
      <c r="P26" s="14">
        <v>311</v>
      </c>
      <c r="Q26" s="13">
        <v>453.8371249999999</v>
      </c>
      <c r="R26" s="13">
        <v>464.06524999999993</v>
      </c>
    </row>
    <row r="27" spans="1:18" x14ac:dyDescent="0.3">
      <c r="A27" s="17">
        <v>1</v>
      </c>
      <c r="B27" s="17">
        <v>4</v>
      </c>
      <c r="C27" s="17" t="s">
        <v>572</v>
      </c>
      <c r="D27" s="16">
        <v>401160</v>
      </c>
      <c r="E27" s="17" t="s">
        <v>69</v>
      </c>
      <c r="F27" s="14">
        <v>116</v>
      </c>
      <c r="G27" s="14">
        <v>0</v>
      </c>
      <c r="H27" s="14"/>
      <c r="I27" s="14">
        <v>4</v>
      </c>
      <c r="J27" s="14">
        <v>0</v>
      </c>
      <c r="K27" s="14">
        <v>120</v>
      </c>
      <c r="L27" s="14">
        <v>319</v>
      </c>
      <c r="M27" s="15">
        <v>0.37617554858934171</v>
      </c>
      <c r="N27" s="14">
        <v>120</v>
      </c>
      <c r="O27" s="14">
        <v>120</v>
      </c>
      <c r="P27" s="14">
        <v>120</v>
      </c>
      <c r="Q27" s="13">
        <v>227.66887500000001</v>
      </c>
      <c r="R27" s="13">
        <v>265.03795000000002</v>
      </c>
    </row>
    <row r="28" spans="1:18" x14ac:dyDescent="0.3">
      <c r="A28" s="17">
        <v>1</v>
      </c>
      <c r="B28" s="17">
        <v>4</v>
      </c>
      <c r="C28" s="17" t="s">
        <v>572</v>
      </c>
      <c r="D28" s="16">
        <v>401180</v>
      </c>
      <c r="E28" s="17" t="s">
        <v>71</v>
      </c>
      <c r="F28" s="14">
        <v>256</v>
      </c>
      <c r="G28" s="14">
        <v>0</v>
      </c>
      <c r="H28" s="14"/>
      <c r="I28" s="14">
        <v>7</v>
      </c>
      <c r="J28" s="14">
        <v>0</v>
      </c>
      <c r="K28" s="14">
        <v>263</v>
      </c>
      <c r="L28" s="14">
        <v>787</v>
      </c>
      <c r="M28" s="15">
        <v>0.33418043202033038</v>
      </c>
      <c r="N28" s="14">
        <v>263</v>
      </c>
      <c r="O28" s="14">
        <v>263</v>
      </c>
      <c r="P28" s="14">
        <v>263</v>
      </c>
      <c r="Q28" s="13">
        <v>454.26537500000006</v>
      </c>
      <c r="R28" s="13">
        <v>505.14535000000012</v>
      </c>
    </row>
    <row r="29" spans="1:18" x14ac:dyDescent="0.3">
      <c r="A29" s="17">
        <v>1</v>
      </c>
      <c r="B29" s="17">
        <v>4</v>
      </c>
      <c r="C29" s="17" t="s">
        <v>572</v>
      </c>
      <c r="D29" s="16">
        <v>401230</v>
      </c>
      <c r="E29" s="17" t="s">
        <v>538</v>
      </c>
      <c r="F29" s="14">
        <v>0</v>
      </c>
      <c r="G29" s="14">
        <v>0</v>
      </c>
      <c r="H29" s="14"/>
      <c r="I29" s="14">
        <v>0</v>
      </c>
      <c r="J29" s="14">
        <v>0</v>
      </c>
      <c r="K29" s="14">
        <v>0</v>
      </c>
      <c r="L29" s="14">
        <v>0</v>
      </c>
      <c r="M29" s="15">
        <v>0</v>
      </c>
      <c r="N29" s="14">
        <v>0</v>
      </c>
      <c r="O29" s="14">
        <v>0</v>
      </c>
      <c r="P29" s="14">
        <v>0</v>
      </c>
      <c r="Q29" s="13">
        <v>0</v>
      </c>
      <c r="R29" s="13">
        <v>0</v>
      </c>
    </row>
    <row r="30" spans="1:18" x14ac:dyDescent="0.3">
      <c r="A30" s="17">
        <v>1</v>
      </c>
      <c r="B30" s="17">
        <v>4</v>
      </c>
      <c r="C30" s="17" t="s">
        <v>572</v>
      </c>
      <c r="D30" s="16">
        <v>406580</v>
      </c>
      <c r="E30" s="17" t="s">
        <v>72</v>
      </c>
      <c r="F30" s="14">
        <v>715</v>
      </c>
      <c r="G30" s="14">
        <v>0</v>
      </c>
      <c r="H30" s="14"/>
      <c r="I30" s="14">
        <v>10</v>
      </c>
      <c r="J30" s="14">
        <v>0</v>
      </c>
      <c r="K30" s="14">
        <v>725</v>
      </c>
      <c r="L30" s="14">
        <v>2531</v>
      </c>
      <c r="M30" s="15">
        <v>0.28644804425128406</v>
      </c>
      <c r="N30" s="14">
        <v>725</v>
      </c>
      <c r="O30" s="14">
        <v>725</v>
      </c>
      <c r="P30" s="14">
        <v>725</v>
      </c>
      <c r="Q30" s="13">
        <v>1097.049575</v>
      </c>
      <c r="R30" s="13">
        <v>1138.42895</v>
      </c>
    </row>
    <row r="31" spans="1:18" x14ac:dyDescent="0.3">
      <c r="A31" s="17">
        <v>1</v>
      </c>
      <c r="B31" s="17">
        <v>4</v>
      </c>
      <c r="C31" s="17" t="s">
        <v>572</v>
      </c>
      <c r="D31" s="16">
        <v>401260</v>
      </c>
      <c r="E31" s="17" t="s">
        <v>537</v>
      </c>
      <c r="F31" s="14">
        <v>7</v>
      </c>
      <c r="G31" s="14">
        <v>0</v>
      </c>
      <c r="H31" s="14"/>
      <c r="I31" s="14">
        <v>0</v>
      </c>
      <c r="J31" s="14">
        <v>0</v>
      </c>
      <c r="K31" s="14">
        <v>7</v>
      </c>
      <c r="L31" s="14">
        <v>55</v>
      </c>
      <c r="M31" s="15">
        <v>0.12727272727272726</v>
      </c>
      <c r="N31" s="14">
        <v>0</v>
      </c>
      <c r="O31" s="14">
        <v>0</v>
      </c>
      <c r="P31" s="14">
        <v>0</v>
      </c>
      <c r="Q31" s="13">
        <v>0</v>
      </c>
      <c r="R31" s="13">
        <v>0</v>
      </c>
    </row>
    <row r="32" spans="1:18" x14ac:dyDescent="0.3">
      <c r="A32" s="17">
        <v>1</v>
      </c>
      <c r="B32" s="17">
        <v>4</v>
      </c>
      <c r="C32" s="17" t="s">
        <v>572</v>
      </c>
      <c r="D32" s="16">
        <v>401290</v>
      </c>
      <c r="E32" s="17" t="s">
        <v>75</v>
      </c>
      <c r="F32" s="14">
        <v>9</v>
      </c>
      <c r="G32" s="14">
        <v>0</v>
      </c>
      <c r="H32" s="14"/>
      <c r="I32" s="14">
        <v>0</v>
      </c>
      <c r="J32" s="14">
        <v>0</v>
      </c>
      <c r="K32" s="14">
        <v>9</v>
      </c>
      <c r="L32" s="14">
        <v>47</v>
      </c>
      <c r="M32" s="15">
        <v>0.19148936170212766</v>
      </c>
      <c r="N32" s="14">
        <v>0</v>
      </c>
      <c r="O32" s="14">
        <v>0</v>
      </c>
      <c r="P32" s="14">
        <v>0</v>
      </c>
      <c r="Q32" s="13">
        <v>0</v>
      </c>
      <c r="R32" s="13">
        <v>0</v>
      </c>
    </row>
    <row r="33" spans="1:18" x14ac:dyDescent="0.3">
      <c r="A33" s="17">
        <v>1</v>
      </c>
      <c r="B33" s="17">
        <v>4</v>
      </c>
      <c r="C33" s="17" t="s">
        <v>572</v>
      </c>
      <c r="D33" s="16">
        <v>401330</v>
      </c>
      <c r="E33" s="17" t="s">
        <v>76</v>
      </c>
      <c r="F33" s="14">
        <v>14</v>
      </c>
      <c r="G33" s="14">
        <v>0</v>
      </c>
      <c r="H33" s="14"/>
      <c r="I33" s="14">
        <v>0</v>
      </c>
      <c r="J33" s="14">
        <v>0</v>
      </c>
      <c r="K33" s="14">
        <v>14</v>
      </c>
      <c r="L33" s="14">
        <v>82</v>
      </c>
      <c r="M33" s="15">
        <v>0.17073170731707318</v>
      </c>
      <c r="N33" s="14">
        <v>14</v>
      </c>
      <c r="O33" s="14">
        <v>14</v>
      </c>
      <c r="P33" s="14">
        <v>14</v>
      </c>
      <c r="Q33" s="13">
        <v>14.918300000000002</v>
      </c>
      <c r="R33" s="13">
        <v>14.612200000000001</v>
      </c>
    </row>
    <row r="34" spans="1:18" x14ac:dyDescent="0.3">
      <c r="A34" s="17">
        <v>1</v>
      </c>
      <c r="B34" s="17">
        <v>4</v>
      </c>
      <c r="C34" s="17" t="s">
        <v>572</v>
      </c>
      <c r="D34" s="16">
        <v>401380</v>
      </c>
      <c r="E34" s="17" t="s">
        <v>79</v>
      </c>
      <c r="F34" s="14">
        <v>1430</v>
      </c>
      <c r="G34" s="14">
        <v>0</v>
      </c>
      <c r="H34" s="14"/>
      <c r="I34" s="14">
        <v>65</v>
      </c>
      <c r="J34" s="14">
        <v>0</v>
      </c>
      <c r="K34" s="14">
        <v>1495</v>
      </c>
      <c r="L34" s="14">
        <v>5951</v>
      </c>
      <c r="M34" s="15">
        <v>0.25121828264157287</v>
      </c>
      <c r="N34" s="14">
        <v>1495</v>
      </c>
      <c r="O34" s="14">
        <v>1495</v>
      </c>
      <c r="P34" s="14">
        <v>1495</v>
      </c>
      <c r="Q34" s="13">
        <v>2055.3010750000003</v>
      </c>
      <c r="R34" s="13">
        <v>2047.7679500000006</v>
      </c>
    </row>
    <row r="35" spans="1:18" x14ac:dyDescent="0.3">
      <c r="A35" s="17">
        <v>1</v>
      </c>
      <c r="B35" s="17">
        <v>4</v>
      </c>
      <c r="C35" s="17" t="s">
        <v>572</v>
      </c>
      <c r="D35" s="16">
        <v>401410</v>
      </c>
      <c r="E35" s="17" t="s">
        <v>80</v>
      </c>
      <c r="F35" s="14">
        <v>761</v>
      </c>
      <c r="G35" s="14">
        <v>0</v>
      </c>
      <c r="H35" s="14"/>
      <c r="I35" s="14">
        <v>34</v>
      </c>
      <c r="J35" s="14">
        <v>0</v>
      </c>
      <c r="K35" s="14">
        <v>795</v>
      </c>
      <c r="L35" s="14">
        <v>4369</v>
      </c>
      <c r="M35" s="15">
        <v>0.18196383611810482</v>
      </c>
      <c r="N35" s="14">
        <v>795</v>
      </c>
      <c r="O35" s="14">
        <v>795</v>
      </c>
      <c r="P35" s="14">
        <v>795</v>
      </c>
      <c r="Q35" s="13">
        <v>880.73235</v>
      </c>
      <c r="R35" s="13">
        <v>852.1549</v>
      </c>
    </row>
    <row r="36" spans="1:18" x14ac:dyDescent="0.3">
      <c r="A36" s="17">
        <v>1</v>
      </c>
      <c r="B36" s="17">
        <v>4</v>
      </c>
      <c r="C36" s="17" t="s">
        <v>572</v>
      </c>
      <c r="D36" s="16">
        <v>401500</v>
      </c>
      <c r="E36" s="17" t="s">
        <v>81</v>
      </c>
      <c r="F36" s="14">
        <v>1410</v>
      </c>
      <c r="G36" s="14">
        <v>0</v>
      </c>
      <c r="H36" s="14"/>
      <c r="I36" s="14">
        <v>60</v>
      </c>
      <c r="J36" s="14">
        <v>0</v>
      </c>
      <c r="K36" s="14">
        <v>1470</v>
      </c>
      <c r="L36" s="14">
        <v>3664</v>
      </c>
      <c r="M36" s="15">
        <v>0.40120087336244542</v>
      </c>
      <c r="N36" s="14">
        <v>1470</v>
      </c>
      <c r="O36" s="14">
        <v>1470</v>
      </c>
      <c r="P36" s="14">
        <v>1470</v>
      </c>
      <c r="Q36" s="13">
        <v>2964.6468000000013</v>
      </c>
      <c r="R36" s="13">
        <v>3560.1448000000019</v>
      </c>
    </row>
    <row r="37" spans="1:18" x14ac:dyDescent="0.3">
      <c r="A37" s="17">
        <v>1</v>
      </c>
      <c r="B37" s="17">
        <v>4</v>
      </c>
      <c r="C37" s="17" t="s">
        <v>572</v>
      </c>
      <c r="D37" s="16">
        <v>401600</v>
      </c>
      <c r="E37" s="17" t="s">
        <v>86</v>
      </c>
      <c r="F37" s="14">
        <v>486</v>
      </c>
      <c r="G37" s="14">
        <v>0</v>
      </c>
      <c r="H37" s="14"/>
      <c r="I37" s="14">
        <v>25</v>
      </c>
      <c r="J37" s="14">
        <v>0</v>
      </c>
      <c r="K37" s="14">
        <v>511</v>
      </c>
      <c r="L37" s="14">
        <v>1833</v>
      </c>
      <c r="M37" s="15">
        <v>0.27877795962902346</v>
      </c>
      <c r="N37" s="14">
        <v>511</v>
      </c>
      <c r="O37" s="14">
        <v>511</v>
      </c>
      <c r="P37" s="14">
        <v>511</v>
      </c>
      <c r="Q37" s="13">
        <v>759.3567250000001</v>
      </c>
      <c r="R37" s="13">
        <v>782.29485</v>
      </c>
    </row>
    <row r="38" spans="1:18" x14ac:dyDescent="0.3">
      <c r="A38" s="17">
        <v>1</v>
      </c>
      <c r="B38" s="17">
        <v>4</v>
      </c>
      <c r="C38" s="17" t="s">
        <v>572</v>
      </c>
      <c r="D38" s="16">
        <v>401650</v>
      </c>
      <c r="E38" s="17" t="s">
        <v>87</v>
      </c>
      <c r="F38" s="14">
        <v>80</v>
      </c>
      <c r="G38" s="14">
        <v>0</v>
      </c>
      <c r="H38" s="14"/>
      <c r="I38" s="14">
        <v>4</v>
      </c>
      <c r="J38" s="14">
        <v>0</v>
      </c>
      <c r="K38" s="14">
        <v>84</v>
      </c>
      <c r="L38" s="14">
        <v>344</v>
      </c>
      <c r="M38" s="15">
        <v>0.2441860465116279</v>
      </c>
      <c r="N38" s="14">
        <v>84</v>
      </c>
      <c r="O38" s="14">
        <v>84</v>
      </c>
      <c r="P38" s="14">
        <v>84</v>
      </c>
      <c r="Q38" s="13">
        <v>112.75979999999996</v>
      </c>
      <c r="R38" s="13">
        <v>111.11479999999996</v>
      </c>
    </row>
    <row r="39" spans="1:18" x14ac:dyDescent="0.3">
      <c r="A39" s="17">
        <v>1</v>
      </c>
      <c r="B39" s="17">
        <v>4</v>
      </c>
      <c r="C39" s="17" t="s">
        <v>572</v>
      </c>
      <c r="D39" s="16">
        <v>401680</v>
      </c>
      <c r="E39" s="17" t="s">
        <v>91</v>
      </c>
      <c r="F39" s="14">
        <v>9625</v>
      </c>
      <c r="G39" s="14">
        <v>5</v>
      </c>
      <c r="H39" s="14"/>
      <c r="I39" s="14">
        <v>435</v>
      </c>
      <c r="J39" s="14">
        <v>0</v>
      </c>
      <c r="K39" s="14">
        <v>10065</v>
      </c>
      <c r="L39" s="14">
        <v>21561</v>
      </c>
      <c r="M39" s="15">
        <v>0.46681508278836786</v>
      </c>
      <c r="N39" s="14">
        <v>10065</v>
      </c>
      <c r="O39" s="14">
        <v>10065</v>
      </c>
      <c r="P39" s="14">
        <v>10065</v>
      </c>
      <c r="Q39" s="13">
        <v>23104.451324999995</v>
      </c>
      <c r="R39" s="13">
        <v>29438.106449999996</v>
      </c>
    </row>
    <row r="40" spans="1:18" x14ac:dyDescent="0.3">
      <c r="A40" s="17">
        <v>1</v>
      </c>
      <c r="B40" s="17">
        <v>4</v>
      </c>
      <c r="C40" s="17" t="s">
        <v>572</v>
      </c>
      <c r="D40" s="16">
        <v>401710</v>
      </c>
      <c r="E40" s="17" t="s">
        <v>93</v>
      </c>
      <c r="F40" s="14">
        <v>2447</v>
      </c>
      <c r="G40" s="14">
        <v>8</v>
      </c>
      <c r="H40" s="14"/>
      <c r="I40" s="14">
        <v>134</v>
      </c>
      <c r="J40" s="14">
        <v>0</v>
      </c>
      <c r="K40" s="14">
        <v>2589</v>
      </c>
      <c r="L40" s="14">
        <v>9240</v>
      </c>
      <c r="M40" s="15">
        <v>0.28019480519480522</v>
      </c>
      <c r="N40" s="14">
        <v>2589</v>
      </c>
      <c r="O40" s="14">
        <v>2589</v>
      </c>
      <c r="P40" s="14">
        <v>2589</v>
      </c>
      <c r="Q40" s="13">
        <v>3860.5830000000005</v>
      </c>
      <c r="R40" s="13">
        <v>3982.7580000000007</v>
      </c>
    </row>
    <row r="41" spans="1:18" x14ac:dyDescent="0.3">
      <c r="A41" s="17">
        <v>1</v>
      </c>
      <c r="B41" s="17">
        <v>4</v>
      </c>
      <c r="C41" s="17" t="s">
        <v>572</v>
      </c>
      <c r="D41" s="16">
        <v>401740</v>
      </c>
      <c r="E41" s="17" t="s">
        <v>94</v>
      </c>
      <c r="F41" s="14">
        <v>1202</v>
      </c>
      <c r="G41" s="14">
        <v>0</v>
      </c>
      <c r="H41" s="14"/>
      <c r="I41" s="14">
        <v>65</v>
      </c>
      <c r="J41" s="14">
        <v>0</v>
      </c>
      <c r="K41" s="14">
        <v>1267</v>
      </c>
      <c r="L41" s="14">
        <v>5452</v>
      </c>
      <c r="M41" s="15">
        <v>0.23239178283198828</v>
      </c>
      <c r="N41" s="14">
        <v>1267</v>
      </c>
      <c r="O41" s="14">
        <v>1267</v>
      </c>
      <c r="P41" s="14">
        <v>1267</v>
      </c>
      <c r="Q41" s="13">
        <v>1626.3559000000002</v>
      </c>
      <c r="R41" s="13">
        <v>1568.1334000000002</v>
      </c>
    </row>
    <row r="42" spans="1:18" x14ac:dyDescent="0.3">
      <c r="A42" s="17">
        <v>1</v>
      </c>
      <c r="B42" s="17">
        <v>4</v>
      </c>
      <c r="C42" s="17" t="s">
        <v>572</v>
      </c>
      <c r="D42" s="16">
        <v>401760</v>
      </c>
      <c r="E42" s="17" t="s">
        <v>95</v>
      </c>
      <c r="F42" s="14">
        <v>375</v>
      </c>
      <c r="G42" s="14">
        <v>0</v>
      </c>
      <c r="H42" s="14"/>
      <c r="I42" s="14">
        <v>18</v>
      </c>
      <c r="J42" s="14">
        <v>0</v>
      </c>
      <c r="K42" s="14">
        <v>393</v>
      </c>
      <c r="L42" s="14">
        <v>4653</v>
      </c>
      <c r="M42" s="15">
        <v>8.4461637653127017E-2</v>
      </c>
      <c r="N42" s="14">
        <v>393</v>
      </c>
      <c r="O42" s="14">
        <v>0</v>
      </c>
      <c r="P42" s="14">
        <v>393</v>
      </c>
      <c r="Q42" s="13">
        <v>393.00000000000006</v>
      </c>
      <c r="R42" s="13">
        <v>393.00000000000006</v>
      </c>
    </row>
    <row r="43" spans="1:18" x14ac:dyDescent="0.3">
      <c r="A43" s="17">
        <v>1</v>
      </c>
      <c r="B43" s="17">
        <v>4</v>
      </c>
      <c r="C43" s="17" t="s">
        <v>572</v>
      </c>
      <c r="D43" s="16">
        <v>400001</v>
      </c>
      <c r="E43" s="17" t="s">
        <v>96</v>
      </c>
      <c r="F43" s="14">
        <v>580</v>
      </c>
      <c r="G43" s="14">
        <v>0</v>
      </c>
      <c r="H43" s="14"/>
      <c r="I43" s="14">
        <v>26</v>
      </c>
      <c r="J43" s="14">
        <v>0</v>
      </c>
      <c r="K43" s="14">
        <v>606</v>
      </c>
      <c r="L43" s="14">
        <v>8799</v>
      </c>
      <c r="M43" s="15">
        <v>6.8871462666212066E-2</v>
      </c>
      <c r="N43" s="14">
        <v>606</v>
      </c>
      <c r="O43" s="14">
        <v>0</v>
      </c>
      <c r="P43" s="14">
        <v>606</v>
      </c>
      <c r="Q43" s="13">
        <v>606</v>
      </c>
      <c r="R43" s="13">
        <v>606</v>
      </c>
    </row>
    <row r="44" spans="1:18" x14ac:dyDescent="0.3">
      <c r="A44" s="17">
        <v>1</v>
      </c>
      <c r="B44" s="17">
        <v>4</v>
      </c>
      <c r="C44" s="17" t="s">
        <v>572</v>
      </c>
      <c r="D44" s="16">
        <v>401810</v>
      </c>
      <c r="E44" s="17" t="s">
        <v>97</v>
      </c>
      <c r="F44" s="14">
        <v>607</v>
      </c>
      <c r="G44" s="14">
        <v>0</v>
      </c>
      <c r="H44" s="14"/>
      <c r="I44" s="14">
        <v>8</v>
      </c>
      <c r="J44" s="14">
        <v>0</v>
      </c>
      <c r="K44" s="14">
        <v>615</v>
      </c>
      <c r="L44" s="14">
        <v>1627</v>
      </c>
      <c r="M44" s="15">
        <v>0.3779963122311002</v>
      </c>
      <c r="N44" s="14">
        <v>615</v>
      </c>
      <c r="O44" s="14">
        <v>615</v>
      </c>
      <c r="P44" s="14">
        <v>615</v>
      </c>
      <c r="Q44" s="13">
        <v>1170.810375</v>
      </c>
      <c r="R44" s="13">
        <v>1365.1073500000002</v>
      </c>
    </row>
    <row r="45" spans="1:18" x14ac:dyDescent="0.3">
      <c r="A45" s="17">
        <v>1</v>
      </c>
      <c r="B45" s="17">
        <v>4</v>
      </c>
      <c r="C45" s="17" t="s">
        <v>572</v>
      </c>
      <c r="D45" s="16">
        <v>401870</v>
      </c>
      <c r="E45" s="17" t="s">
        <v>591</v>
      </c>
      <c r="F45" s="14">
        <v>5344</v>
      </c>
      <c r="G45" s="14">
        <v>22</v>
      </c>
      <c r="H45" s="14"/>
      <c r="I45" s="14">
        <v>242</v>
      </c>
      <c r="J45" s="14">
        <v>0</v>
      </c>
      <c r="K45" s="14">
        <v>5608</v>
      </c>
      <c r="L45" s="14">
        <v>46137</v>
      </c>
      <c r="M45" s="15">
        <v>0.12155103279363634</v>
      </c>
      <c r="N45" s="14">
        <v>5608</v>
      </c>
      <c r="O45" s="14">
        <v>0</v>
      </c>
      <c r="P45" s="14">
        <v>5608</v>
      </c>
      <c r="Q45" s="13">
        <v>9739.5</v>
      </c>
      <c r="R45" s="13">
        <v>10576</v>
      </c>
    </row>
    <row r="46" spans="1:18" x14ac:dyDescent="0.3">
      <c r="A46" s="17">
        <v>1</v>
      </c>
      <c r="B46" s="17">
        <v>4</v>
      </c>
      <c r="C46" s="17" t="s">
        <v>572</v>
      </c>
      <c r="D46" s="16">
        <v>401920</v>
      </c>
      <c r="E46" s="17" t="s">
        <v>533</v>
      </c>
      <c r="F46" s="14">
        <v>10</v>
      </c>
      <c r="G46" s="14">
        <v>0</v>
      </c>
      <c r="H46" s="14"/>
      <c r="I46" s="14">
        <v>0</v>
      </c>
      <c r="J46" s="14">
        <v>0</v>
      </c>
      <c r="K46" s="14">
        <v>10</v>
      </c>
      <c r="L46" s="14">
        <v>28</v>
      </c>
      <c r="M46" s="15">
        <v>0.35714285714285715</v>
      </c>
      <c r="N46" s="14">
        <v>10</v>
      </c>
      <c r="O46" s="14">
        <v>10</v>
      </c>
      <c r="P46" s="14">
        <v>10</v>
      </c>
      <c r="Q46" s="13">
        <v>18.2515</v>
      </c>
      <c r="R46" s="13">
        <v>20.865400000000001</v>
      </c>
    </row>
    <row r="47" spans="1:18" x14ac:dyDescent="0.3">
      <c r="A47" s="17">
        <v>1</v>
      </c>
      <c r="B47" s="17">
        <v>4</v>
      </c>
      <c r="C47" s="17" t="s">
        <v>572</v>
      </c>
      <c r="D47" s="16">
        <v>401940</v>
      </c>
      <c r="E47" s="17" t="s">
        <v>102</v>
      </c>
      <c r="F47" s="14">
        <v>1896</v>
      </c>
      <c r="G47" s="14">
        <v>0</v>
      </c>
      <c r="H47" s="14"/>
      <c r="I47" s="14">
        <v>13</v>
      </c>
      <c r="J47" s="14">
        <v>0</v>
      </c>
      <c r="K47" s="14">
        <v>1909</v>
      </c>
      <c r="L47" s="14">
        <v>4862</v>
      </c>
      <c r="M47" s="15">
        <v>0.39263677498971616</v>
      </c>
      <c r="N47" s="14">
        <v>1909</v>
      </c>
      <c r="O47" s="14">
        <v>1909</v>
      </c>
      <c r="P47" s="14">
        <v>1909</v>
      </c>
      <c r="Q47" s="13">
        <v>3767.4281500000002</v>
      </c>
      <c r="R47" s="13">
        <v>4474.3559000000005</v>
      </c>
    </row>
    <row r="48" spans="1:18" x14ac:dyDescent="0.3">
      <c r="A48" s="17">
        <v>1</v>
      </c>
      <c r="B48" s="17">
        <v>4</v>
      </c>
      <c r="C48" s="17" t="s">
        <v>572</v>
      </c>
      <c r="D48" s="16">
        <v>400003</v>
      </c>
      <c r="E48" s="17" t="s">
        <v>104</v>
      </c>
      <c r="F48" s="14">
        <v>914</v>
      </c>
      <c r="G48" s="14">
        <v>0</v>
      </c>
      <c r="H48" s="14"/>
      <c r="I48" s="14">
        <v>46</v>
      </c>
      <c r="J48" s="14">
        <v>0</v>
      </c>
      <c r="K48" s="14">
        <v>960</v>
      </c>
      <c r="L48" s="14">
        <v>3542</v>
      </c>
      <c r="M48" s="15">
        <v>0.27103331451157536</v>
      </c>
      <c r="N48" s="14">
        <v>960</v>
      </c>
      <c r="O48" s="14">
        <v>960</v>
      </c>
      <c r="P48" s="14">
        <v>960</v>
      </c>
      <c r="Q48" s="13">
        <v>1398.7651499999999</v>
      </c>
      <c r="R48" s="13">
        <v>1429.3738999999998</v>
      </c>
    </row>
    <row r="49" spans="1:18" x14ac:dyDescent="0.3">
      <c r="A49" s="17">
        <v>1</v>
      </c>
      <c r="B49" s="17">
        <v>4</v>
      </c>
      <c r="C49" s="17" t="s">
        <v>572</v>
      </c>
      <c r="D49" s="16">
        <v>400004</v>
      </c>
      <c r="E49" s="17" t="s">
        <v>106</v>
      </c>
      <c r="F49" s="14">
        <v>58</v>
      </c>
      <c r="G49" s="14">
        <v>0</v>
      </c>
      <c r="H49" s="14"/>
      <c r="I49" s="14">
        <v>3</v>
      </c>
      <c r="J49" s="14">
        <v>0</v>
      </c>
      <c r="K49" s="14">
        <v>61</v>
      </c>
      <c r="L49" s="14">
        <v>342</v>
      </c>
      <c r="M49" s="15">
        <v>0.17836257309941519</v>
      </c>
      <c r="N49" s="14">
        <v>61</v>
      </c>
      <c r="O49" s="14">
        <v>61</v>
      </c>
      <c r="P49" s="14">
        <v>61</v>
      </c>
      <c r="Q49" s="13">
        <v>66.787300000000002</v>
      </c>
      <c r="R49" s="13">
        <v>64.858199999999997</v>
      </c>
    </row>
    <row r="50" spans="1:18" x14ac:dyDescent="0.3">
      <c r="A50" s="17">
        <v>1</v>
      </c>
      <c r="B50" s="17">
        <v>4</v>
      </c>
      <c r="C50" s="17" t="s">
        <v>572</v>
      </c>
      <c r="D50" s="16">
        <v>402110</v>
      </c>
      <c r="E50" s="17" t="s">
        <v>532</v>
      </c>
      <c r="F50" s="14">
        <v>32</v>
      </c>
      <c r="G50" s="14">
        <v>0</v>
      </c>
      <c r="H50" s="14"/>
      <c r="I50" s="14">
        <v>0</v>
      </c>
      <c r="J50" s="14">
        <v>0</v>
      </c>
      <c r="K50" s="14">
        <v>32</v>
      </c>
      <c r="L50" s="14">
        <v>616</v>
      </c>
      <c r="M50" s="15">
        <v>5.1948051948051951E-2</v>
      </c>
      <c r="N50" s="14">
        <v>32</v>
      </c>
      <c r="O50" s="14">
        <v>0</v>
      </c>
      <c r="P50" s="14">
        <v>32</v>
      </c>
      <c r="Q50" s="13">
        <v>32</v>
      </c>
      <c r="R50" s="13">
        <v>32</v>
      </c>
    </row>
    <row r="51" spans="1:18" x14ac:dyDescent="0.3">
      <c r="A51" s="17">
        <v>1</v>
      </c>
      <c r="B51" s="17">
        <v>4</v>
      </c>
      <c r="C51" s="17" t="s">
        <v>572</v>
      </c>
      <c r="D51" s="16">
        <v>402130</v>
      </c>
      <c r="E51" s="17" t="s">
        <v>530</v>
      </c>
      <c r="F51" s="14">
        <v>8</v>
      </c>
      <c r="G51" s="14">
        <v>0</v>
      </c>
      <c r="H51" s="14"/>
      <c r="I51" s="14">
        <v>0</v>
      </c>
      <c r="J51" s="14">
        <v>0</v>
      </c>
      <c r="K51" s="14">
        <v>8</v>
      </c>
      <c r="L51" s="14">
        <v>32</v>
      </c>
      <c r="M51" s="15">
        <v>0.25</v>
      </c>
      <c r="N51" s="14">
        <v>0</v>
      </c>
      <c r="O51" s="14">
        <v>0</v>
      </c>
      <c r="P51" s="14">
        <v>0</v>
      </c>
      <c r="Q51" s="13">
        <v>0</v>
      </c>
      <c r="R51" s="13">
        <v>0</v>
      </c>
    </row>
    <row r="52" spans="1:18" x14ac:dyDescent="0.3">
      <c r="A52" s="17">
        <v>1</v>
      </c>
      <c r="B52" s="17">
        <v>4</v>
      </c>
      <c r="C52" s="17" t="s">
        <v>572</v>
      </c>
      <c r="D52" s="16">
        <v>400021</v>
      </c>
      <c r="E52" s="17" t="s">
        <v>110</v>
      </c>
      <c r="F52" s="14">
        <v>1062</v>
      </c>
      <c r="G52" s="14">
        <v>0</v>
      </c>
      <c r="H52" s="14"/>
      <c r="I52" s="14">
        <v>45</v>
      </c>
      <c r="J52" s="14">
        <v>0</v>
      </c>
      <c r="K52" s="14">
        <v>1107</v>
      </c>
      <c r="L52" s="14">
        <v>2478</v>
      </c>
      <c r="M52" s="15">
        <v>0.44673123486682809</v>
      </c>
      <c r="N52" s="14">
        <v>1107</v>
      </c>
      <c r="O52" s="14">
        <v>1107</v>
      </c>
      <c r="P52" s="14">
        <v>1107</v>
      </c>
      <c r="Q52" s="13">
        <v>2456.3173500000003</v>
      </c>
      <c r="R52" s="13">
        <v>3084.7071000000005</v>
      </c>
    </row>
    <row r="53" spans="1:18" x14ac:dyDescent="0.3">
      <c r="A53" s="17">
        <v>1</v>
      </c>
      <c r="B53" s="17">
        <v>4</v>
      </c>
      <c r="C53" s="17" t="s">
        <v>572</v>
      </c>
      <c r="D53" s="16">
        <v>400082</v>
      </c>
      <c r="E53" s="17" t="s">
        <v>111</v>
      </c>
      <c r="F53" s="14">
        <v>723</v>
      </c>
      <c r="G53" s="14">
        <v>0</v>
      </c>
      <c r="H53" s="14"/>
      <c r="I53" s="14">
        <v>31</v>
      </c>
      <c r="J53" s="14">
        <v>0</v>
      </c>
      <c r="K53" s="14">
        <v>754</v>
      </c>
      <c r="L53" s="14">
        <v>2863</v>
      </c>
      <c r="M53" s="15">
        <v>0.26336011177086971</v>
      </c>
      <c r="N53" s="14">
        <v>754</v>
      </c>
      <c r="O53" s="14">
        <v>754</v>
      </c>
      <c r="P53" s="14">
        <v>754</v>
      </c>
      <c r="Q53" s="13">
        <v>1075.7014749999998</v>
      </c>
      <c r="R53" s="13">
        <v>1089.4583499999999</v>
      </c>
    </row>
    <row r="54" spans="1:18" x14ac:dyDescent="0.3">
      <c r="A54" s="17">
        <v>1</v>
      </c>
      <c r="B54" s="17">
        <v>4</v>
      </c>
      <c r="C54" s="17" t="s">
        <v>572</v>
      </c>
      <c r="D54" s="16">
        <v>402190</v>
      </c>
      <c r="E54" s="17" t="s">
        <v>112</v>
      </c>
      <c r="F54" s="14">
        <v>110</v>
      </c>
      <c r="G54" s="14">
        <v>0</v>
      </c>
      <c r="H54" s="14"/>
      <c r="I54" s="14">
        <v>1</v>
      </c>
      <c r="J54" s="14">
        <v>0</v>
      </c>
      <c r="K54" s="14">
        <v>111</v>
      </c>
      <c r="L54" s="14">
        <v>291</v>
      </c>
      <c r="M54" s="15">
        <v>0.38144329896907214</v>
      </c>
      <c r="N54" s="14">
        <v>111</v>
      </c>
      <c r="O54" s="14">
        <v>111</v>
      </c>
      <c r="P54" s="14">
        <v>111</v>
      </c>
      <c r="Q54" s="13">
        <v>212.66737499999999</v>
      </c>
      <c r="R54" s="13">
        <v>248.67255</v>
      </c>
    </row>
    <row r="55" spans="1:18" x14ac:dyDescent="0.3">
      <c r="A55" s="17">
        <v>1</v>
      </c>
      <c r="B55" s="17">
        <v>4</v>
      </c>
      <c r="C55" s="17" t="s">
        <v>572</v>
      </c>
      <c r="D55" s="16">
        <v>402220</v>
      </c>
      <c r="E55" s="17" t="s">
        <v>113</v>
      </c>
      <c r="F55" s="14">
        <v>61</v>
      </c>
      <c r="G55" s="14">
        <v>0</v>
      </c>
      <c r="H55" s="14"/>
      <c r="I55" s="14">
        <v>3</v>
      </c>
      <c r="J55" s="14">
        <v>0</v>
      </c>
      <c r="K55" s="14">
        <v>64</v>
      </c>
      <c r="L55" s="14">
        <v>211</v>
      </c>
      <c r="M55" s="15">
        <v>0.30331753554502372</v>
      </c>
      <c r="N55" s="14">
        <v>64</v>
      </c>
      <c r="O55" s="14">
        <v>64</v>
      </c>
      <c r="P55" s="14">
        <v>64</v>
      </c>
      <c r="Q55" s="13">
        <v>100.62737500000004</v>
      </c>
      <c r="R55" s="13">
        <v>106.12855000000003</v>
      </c>
    </row>
    <row r="56" spans="1:18" x14ac:dyDescent="0.3">
      <c r="A56" s="17">
        <v>1</v>
      </c>
      <c r="B56" s="17">
        <v>4</v>
      </c>
      <c r="C56" s="17" t="s">
        <v>572</v>
      </c>
      <c r="D56" s="16">
        <v>402250</v>
      </c>
      <c r="E56" s="17" t="s">
        <v>114</v>
      </c>
      <c r="F56" s="14">
        <v>91</v>
      </c>
      <c r="G56" s="14">
        <v>0</v>
      </c>
      <c r="H56" s="14"/>
      <c r="I56" s="14">
        <v>4</v>
      </c>
      <c r="J56" s="14">
        <v>0</v>
      </c>
      <c r="K56" s="14">
        <v>95</v>
      </c>
      <c r="L56" s="14">
        <v>687</v>
      </c>
      <c r="M56" s="15">
        <v>0.13828238719068414</v>
      </c>
      <c r="N56" s="14">
        <v>95</v>
      </c>
      <c r="O56" s="14">
        <v>0</v>
      </c>
      <c r="P56" s="14">
        <v>95</v>
      </c>
      <c r="Q56" s="13">
        <v>95</v>
      </c>
      <c r="R56" s="13">
        <v>95</v>
      </c>
    </row>
    <row r="57" spans="1:18" x14ac:dyDescent="0.3">
      <c r="A57" s="17">
        <v>1</v>
      </c>
      <c r="B57" s="17">
        <v>4</v>
      </c>
      <c r="C57" s="17" t="s">
        <v>572</v>
      </c>
      <c r="D57" s="16">
        <v>402320</v>
      </c>
      <c r="E57" s="17" t="s">
        <v>115</v>
      </c>
      <c r="F57" s="14">
        <v>1736</v>
      </c>
      <c r="G57" s="14">
        <v>0</v>
      </c>
      <c r="H57" s="14"/>
      <c r="I57" s="14">
        <v>94</v>
      </c>
      <c r="J57" s="14">
        <v>0</v>
      </c>
      <c r="K57" s="14">
        <v>1830</v>
      </c>
      <c r="L57" s="14">
        <v>8139</v>
      </c>
      <c r="M57" s="15">
        <v>0.22484334684850718</v>
      </c>
      <c r="N57" s="14">
        <v>1830</v>
      </c>
      <c r="O57" s="14">
        <v>1830</v>
      </c>
      <c r="P57" s="14">
        <v>1830</v>
      </c>
      <c r="Q57" s="13">
        <v>2399.5</v>
      </c>
      <c r="R57" s="13">
        <v>2399.5</v>
      </c>
    </row>
    <row r="58" spans="1:18" x14ac:dyDescent="0.3">
      <c r="A58" s="17">
        <v>1</v>
      </c>
      <c r="B58" s="17">
        <v>4</v>
      </c>
      <c r="C58" s="17" t="s">
        <v>572</v>
      </c>
      <c r="D58" s="16">
        <v>402370</v>
      </c>
      <c r="E58" s="17" t="s">
        <v>117</v>
      </c>
      <c r="F58" s="14">
        <v>712</v>
      </c>
      <c r="G58" s="14">
        <v>0</v>
      </c>
      <c r="H58" s="14"/>
      <c r="I58" s="14">
        <v>36</v>
      </c>
      <c r="J58" s="14">
        <v>0</v>
      </c>
      <c r="K58" s="14">
        <v>748</v>
      </c>
      <c r="L58" s="14">
        <v>3000</v>
      </c>
      <c r="M58" s="15">
        <v>0.24933333333333332</v>
      </c>
      <c r="N58" s="14">
        <v>748</v>
      </c>
      <c r="O58" s="14">
        <v>748</v>
      </c>
      <c r="P58" s="14">
        <v>748</v>
      </c>
      <c r="Q58" s="13">
        <v>1021.9749999999999</v>
      </c>
      <c r="R58" s="13">
        <v>1015.35</v>
      </c>
    </row>
    <row r="59" spans="1:18" x14ac:dyDescent="0.3">
      <c r="A59" s="17">
        <v>1</v>
      </c>
      <c r="B59" s="17">
        <v>4</v>
      </c>
      <c r="C59" s="17" t="s">
        <v>572</v>
      </c>
      <c r="D59" s="16">
        <v>402400</v>
      </c>
      <c r="E59" s="17" t="s">
        <v>121</v>
      </c>
      <c r="F59" s="14">
        <v>1900</v>
      </c>
      <c r="G59" s="14">
        <v>0</v>
      </c>
      <c r="H59" s="14"/>
      <c r="I59" s="14">
        <v>36</v>
      </c>
      <c r="J59" s="14">
        <v>0</v>
      </c>
      <c r="K59" s="14">
        <v>1936</v>
      </c>
      <c r="L59" s="14">
        <v>6588</v>
      </c>
      <c r="M59" s="15">
        <v>0.29386763812993322</v>
      </c>
      <c r="N59" s="14">
        <v>1936</v>
      </c>
      <c r="O59" s="14">
        <v>1936</v>
      </c>
      <c r="P59" s="14">
        <v>1936</v>
      </c>
      <c r="Q59" s="13">
        <v>2977.7371000000003</v>
      </c>
      <c r="R59" s="13">
        <v>3109.8846000000003</v>
      </c>
    </row>
    <row r="60" spans="1:18" x14ac:dyDescent="0.3">
      <c r="A60" s="17">
        <v>1</v>
      </c>
      <c r="B60" s="17">
        <v>4</v>
      </c>
      <c r="C60" s="17" t="s">
        <v>572</v>
      </c>
      <c r="D60" s="16">
        <v>402430</v>
      </c>
      <c r="E60" s="17" t="s">
        <v>122</v>
      </c>
      <c r="F60" s="14">
        <v>4168</v>
      </c>
      <c r="G60" s="14">
        <v>9</v>
      </c>
      <c r="H60" s="14"/>
      <c r="I60" s="14">
        <v>189</v>
      </c>
      <c r="J60" s="14">
        <v>0</v>
      </c>
      <c r="K60" s="14">
        <v>4366</v>
      </c>
      <c r="L60" s="14">
        <v>9584</v>
      </c>
      <c r="M60" s="15">
        <v>0.455550918196995</v>
      </c>
      <c r="N60" s="14">
        <v>4366</v>
      </c>
      <c r="O60" s="14">
        <v>4366</v>
      </c>
      <c r="P60" s="14">
        <v>4366</v>
      </c>
      <c r="Q60" s="13">
        <v>9838.2508000000016</v>
      </c>
      <c r="R60" s="13">
        <v>12437.688800000002</v>
      </c>
    </row>
    <row r="61" spans="1:18" x14ac:dyDescent="0.3">
      <c r="A61" s="17">
        <v>1</v>
      </c>
      <c r="B61" s="17">
        <v>4</v>
      </c>
      <c r="C61" s="17" t="s">
        <v>572</v>
      </c>
      <c r="D61" s="16">
        <v>402460</v>
      </c>
      <c r="E61" s="17" t="s">
        <v>527</v>
      </c>
      <c r="F61" s="14">
        <v>3</v>
      </c>
      <c r="G61" s="14">
        <v>0</v>
      </c>
      <c r="H61" s="14"/>
      <c r="I61" s="14">
        <v>0</v>
      </c>
      <c r="J61" s="14">
        <v>0</v>
      </c>
      <c r="K61" s="14">
        <v>3</v>
      </c>
      <c r="L61" s="14">
        <v>15</v>
      </c>
      <c r="M61" s="15">
        <v>0.2</v>
      </c>
      <c r="N61" s="14">
        <v>0</v>
      </c>
      <c r="O61" s="14">
        <v>0</v>
      </c>
      <c r="P61" s="14">
        <v>0</v>
      </c>
      <c r="Q61" s="13">
        <v>0</v>
      </c>
      <c r="R61" s="13">
        <v>0</v>
      </c>
    </row>
    <row r="62" spans="1:18" x14ac:dyDescent="0.3">
      <c r="A62" s="17">
        <v>1</v>
      </c>
      <c r="B62" s="17">
        <v>4</v>
      </c>
      <c r="C62" s="17" t="s">
        <v>572</v>
      </c>
      <c r="D62" s="16">
        <v>407750</v>
      </c>
      <c r="E62" s="17" t="s">
        <v>127</v>
      </c>
      <c r="F62" s="14">
        <v>5514</v>
      </c>
      <c r="G62" s="14">
        <v>169</v>
      </c>
      <c r="H62" s="14"/>
      <c r="I62" s="14">
        <v>249</v>
      </c>
      <c r="J62" s="14">
        <v>0</v>
      </c>
      <c r="K62" s="14">
        <v>5932</v>
      </c>
      <c r="L62" s="14">
        <v>48660</v>
      </c>
      <c r="M62" s="15">
        <v>0.12190711056309084</v>
      </c>
      <c r="N62" s="14">
        <v>5932</v>
      </c>
      <c r="O62" s="14">
        <v>0</v>
      </c>
      <c r="P62" s="14">
        <v>5932</v>
      </c>
      <c r="Q62" s="13">
        <v>10387.5</v>
      </c>
      <c r="R62" s="13">
        <v>11305</v>
      </c>
    </row>
    <row r="63" spans="1:18" x14ac:dyDescent="0.3">
      <c r="A63" s="17">
        <v>1</v>
      </c>
      <c r="B63" s="17">
        <v>4</v>
      </c>
      <c r="C63" s="17" t="s">
        <v>572</v>
      </c>
      <c r="D63" s="16">
        <v>402490</v>
      </c>
      <c r="E63" s="17" t="s">
        <v>134</v>
      </c>
      <c r="F63" s="14">
        <v>25</v>
      </c>
      <c r="G63" s="14">
        <v>0</v>
      </c>
      <c r="H63" s="14"/>
      <c r="I63" s="14">
        <v>1</v>
      </c>
      <c r="J63" s="14">
        <v>0</v>
      </c>
      <c r="K63" s="14">
        <v>26</v>
      </c>
      <c r="L63" s="14">
        <v>83</v>
      </c>
      <c r="M63" s="15">
        <v>0.31325301204819278</v>
      </c>
      <c r="N63" s="14">
        <v>26</v>
      </c>
      <c r="O63" s="14">
        <v>26</v>
      </c>
      <c r="P63" s="14">
        <v>26</v>
      </c>
      <c r="Q63" s="13">
        <v>42.263375000000003</v>
      </c>
      <c r="R63" s="13">
        <v>45.45815000000001</v>
      </c>
    </row>
    <row r="64" spans="1:18" x14ac:dyDescent="0.3">
      <c r="A64" s="17">
        <v>1</v>
      </c>
      <c r="B64" s="17">
        <v>4</v>
      </c>
      <c r="C64" s="17" t="s">
        <v>572</v>
      </c>
      <c r="D64" s="16">
        <v>402530</v>
      </c>
      <c r="E64" s="17" t="s">
        <v>135</v>
      </c>
      <c r="F64" s="14">
        <v>1744</v>
      </c>
      <c r="G64" s="14">
        <v>0</v>
      </c>
      <c r="H64" s="14"/>
      <c r="I64" s="14">
        <v>44</v>
      </c>
      <c r="J64" s="14">
        <v>0</v>
      </c>
      <c r="K64" s="14">
        <v>1788</v>
      </c>
      <c r="L64" s="14">
        <v>4327</v>
      </c>
      <c r="M64" s="15">
        <v>0.41321932054541255</v>
      </c>
      <c r="N64" s="14">
        <v>1788</v>
      </c>
      <c r="O64" s="14">
        <v>1788</v>
      </c>
      <c r="P64" s="14">
        <v>1788</v>
      </c>
      <c r="Q64" s="13">
        <v>3709.1142749999999</v>
      </c>
      <c r="R64" s="13">
        <v>4516.3751500000008</v>
      </c>
    </row>
    <row r="65" spans="1:18" x14ac:dyDescent="0.3">
      <c r="A65" s="17">
        <v>1</v>
      </c>
      <c r="B65" s="17">
        <v>4</v>
      </c>
      <c r="C65" s="17" t="s">
        <v>572</v>
      </c>
      <c r="D65" s="16">
        <v>402600</v>
      </c>
      <c r="E65" s="17" t="s">
        <v>136</v>
      </c>
      <c r="F65" s="14">
        <v>106</v>
      </c>
      <c r="G65" s="14">
        <v>0</v>
      </c>
      <c r="H65" s="14"/>
      <c r="I65" s="14">
        <v>0</v>
      </c>
      <c r="J65" s="14">
        <v>0</v>
      </c>
      <c r="K65" s="14">
        <v>106</v>
      </c>
      <c r="L65" s="14">
        <v>586</v>
      </c>
      <c r="M65" s="15">
        <v>0.18088737201365188</v>
      </c>
      <c r="N65" s="14">
        <v>106</v>
      </c>
      <c r="O65" s="14">
        <v>106</v>
      </c>
      <c r="P65" s="14">
        <v>106</v>
      </c>
      <c r="Q65" s="13">
        <v>117.02590000000001</v>
      </c>
      <c r="R65" s="13">
        <v>113.35060000000001</v>
      </c>
    </row>
    <row r="66" spans="1:18" x14ac:dyDescent="0.3">
      <c r="A66" s="17">
        <v>1</v>
      </c>
      <c r="B66" s="17">
        <v>4</v>
      </c>
      <c r="C66" s="17" t="s">
        <v>572</v>
      </c>
      <c r="D66" s="16">
        <v>402690</v>
      </c>
      <c r="E66" s="17" t="s">
        <v>137</v>
      </c>
      <c r="F66" s="14">
        <v>5616</v>
      </c>
      <c r="G66" s="14">
        <v>0</v>
      </c>
      <c r="H66" s="14"/>
      <c r="I66" s="14">
        <v>254</v>
      </c>
      <c r="J66" s="14">
        <v>0</v>
      </c>
      <c r="K66" s="14">
        <v>5870</v>
      </c>
      <c r="L66" s="14">
        <v>33811</v>
      </c>
      <c r="M66" s="15">
        <v>0.1736121380615776</v>
      </c>
      <c r="N66" s="14">
        <v>5870</v>
      </c>
      <c r="O66" s="14">
        <v>5870</v>
      </c>
      <c r="P66" s="14">
        <v>5870</v>
      </c>
      <c r="Q66" s="13">
        <v>10263.5</v>
      </c>
      <c r="R66" s="13">
        <v>11165.5</v>
      </c>
    </row>
    <row r="67" spans="1:18" x14ac:dyDescent="0.3">
      <c r="A67" s="17">
        <v>1</v>
      </c>
      <c r="B67" s="17">
        <v>4</v>
      </c>
      <c r="C67" s="17" t="s">
        <v>572</v>
      </c>
      <c r="D67" s="16">
        <v>402710</v>
      </c>
      <c r="E67" s="17" t="s">
        <v>525</v>
      </c>
      <c r="F67" s="14">
        <v>0</v>
      </c>
      <c r="G67" s="14">
        <v>0</v>
      </c>
      <c r="H67" s="14"/>
      <c r="I67" s="14">
        <v>0</v>
      </c>
      <c r="J67" s="14">
        <v>0</v>
      </c>
      <c r="K67" s="14">
        <v>0</v>
      </c>
      <c r="L67" s="14">
        <v>2</v>
      </c>
      <c r="M67" s="15">
        <v>0</v>
      </c>
      <c r="N67" s="14">
        <v>0</v>
      </c>
      <c r="O67" s="14">
        <v>0</v>
      </c>
      <c r="P67" s="14">
        <v>0</v>
      </c>
      <c r="Q67" s="13">
        <v>0</v>
      </c>
      <c r="R67" s="13">
        <v>0</v>
      </c>
    </row>
    <row r="68" spans="1:18" x14ac:dyDescent="0.3">
      <c r="A68" s="17">
        <v>1</v>
      </c>
      <c r="B68" s="17">
        <v>4</v>
      </c>
      <c r="C68" s="17" t="s">
        <v>572</v>
      </c>
      <c r="D68" s="16">
        <v>402760</v>
      </c>
      <c r="E68" s="17" t="s">
        <v>155</v>
      </c>
      <c r="F68" s="14">
        <v>16</v>
      </c>
      <c r="G68" s="14">
        <v>0</v>
      </c>
      <c r="H68" s="14"/>
      <c r="I68" s="14">
        <v>0</v>
      </c>
      <c r="J68" s="14">
        <v>0</v>
      </c>
      <c r="K68" s="14">
        <v>16</v>
      </c>
      <c r="L68" s="14">
        <v>119</v>
      </c>
      <c r="M68" s="15">
        <v>0.13445378151260504</v>
      </c>
      <c r="N68" s="14">
        <v>16</v>
      </c>
      <c r="O68" s="14">
        <v>0</v>
      </c>
      <c r="P68" s="14">
        <v>16</v>
      </c>
      <c r="Q68" s="13">
        <v>16</v>
      </c>
      <c r="R68" s="13">
        <v>16</v>
      </c>
    </row>
    <row r="69" spans="1:18" x14ac:dyDescent="0.3">
      <c r="A69" s="17">
        <v>1</v>
      </c>
      <c r="B69" s="17">
        <v>4</v>
      </c>
      <c r="C69" s="17" t="s">
        <v>572</v>
      </c>
      <c r="D69" s="16">
        <v>402790</v>
      </c>
      <c r="E69" s="17" t="s">
        <v>156</v>
      </c>
      <c r="F69" s="14">
        <v>443</v>
      </c>
      <c r="G69" s="14">
        <v>0</v>
      </c>
      <c r="H69" s="14"/>
      <c r="I69" s="14">
        <v>24</v>
      </c>
      <c r="J69" s="14">
        <v>0</v>
      </c>
      <c r="K69" s="14">
        <v>467</v>
      </c>
      <c r="L69" s="14">
        <v>1089</v>
      </c>
      <c r="M69" s="15">
        <v>0.42883379247015613</v>
      </c>
      <c r="N69" s="14">
        <v>467</v>
      </c>
      <c r="O69" s="14">
        <v>467</v>
      </c>
      <c r="P69" s="14">
        <v>467</v>
      </c>
      <c r="Q69" s="13">
        <v>1001.5099250000001</v>
      </c>
      <c r="R69" s="13">
        <v>1238.6860500000003</v>
      </c>
    </row>
    <row r="70" spans="1:18" x14ac:dyDescent="0.3">
      <c r="A70" s="17">
        <v>1</v>
      </c>
      <c r="B70" s="17">
        <v>4</v>
      </c>
      <c r="C70" s="17" t="s">
        <v>572</v>
      </c>
      <c r="D70" s="16">
        <v>402820</v>
      </c>
      <c r="E70" s="17" t="s">
        <v>523</v>
      </c>
      <c r="F70" s="14">
        <v>7</v>
      </c>
      <c r="G70" s="14">
        <v>0</v>
      </c>
      <c r="H70" s="14"/>
      <c r="I70" s="14">
        <v>0</v>
      </c>
      <c r="J70" s="14">
        <v>0</v>
      </c>
      <c r="K70" s="14">
        <v>7</v>
      </c>
      <c r="L70" s="14">
        <v>70</v>
      </c>
      <c r="M70" s="15">
        <v>0.1</v>
      </c>
      <c r="N70" s="14">
        <v>0</v>
      </c>
      <c r="O70" s="14">
        <v>0</v>
      </c>
      <c r="P70" s="14">
        <v>0</v>
      </c>
      <c r="Q70" s="13">
        <v>0</v>
      </c>
      <c r="R70" s="13">
        <v>0</v>
      </c>
    </row>
    <row r="71" spans="1:18" x14ac:dyDescent="0.3">
      <c r="A71" s="17">
        <v>1</v>
      </c>
      <c r="B71" s="17">
        <v>4</v>
      </c>
      <c r="C71" s="17" t="s">
        <v>572</v>
      </c>
      <c r="D71" s="16">
        <v>402860</v>
      </c>
      <c r="E71" s="17" t="s">
        <v>164</v>
      </c>
      <c r="F71" s="14">
        <v>2451</v>
      </c>
      <c r="G71" s="14">
        <v>34</v>
      </c>
      <c r="H71" s="14"/>
      <c r="I71" s="14">
        <v>35</v>
      </c>
      <c r="J71" s="14">
        <v>0</v>
      </c>
      <c r="K71" s="14">
        <v>2520</v>
      </c>
      <c r="L71" s="14">
        <v>13267</v>
      </c>
      <c r="M71" s="15">
        <v>0.18994497625687798</v>
      </c>
      <c r="N71" s="14">
        <v>2520</v>
      </c>
      <c r="O71" s="14">
        <v>2520</v>
      </c>
      <c r="P71" s="14">
        <v>2520</v>
      </c>
      <c r="Q71" s="13">
        <v>3563.5</v>
      </c>
      <c r="R71" s="13">
        <v>3628</v>
      </c>
    </row>
    <row r="72" spans="1:18" x14ac:dyDescent="0.3">
      <c r="A72" s="17">
        <v>1</v>
      </c>
      <c r="B72" s="17">
        <v>4</v>
      </c>
      <c r="C72" s="17" t="s">
        <v>572</v>
      </c>
      <c r="D72" s="16">
        <v>402920</v>
      </c>
      <c r="E72" s="17" t="s">
        <v>166</v>
      </c>
      <c r="F72" s="14">
        <v>2417</v>
      </c>
      <c r="G72" s="14">
        <v>0</v>
      </c>
      <c r="H72" s="14"/>
      <c r="I72" s="14">
        <v>131</v>
      </c>
      <c r="J72" s="14">
        <v>0</v>
      </c>
      <c r="K72" s="14">
        <v>2548</v>
      </c>
      <c r="L72" s="14">
        <v>13200</v>
      </c>
      <c r="M72" s="15">
        <v>0.19303030303030302</v>
      </c>
      <c r="N72" s="14">
        <v>2548</v>
      </c>
      <c r="O72" s="14">
        <v>2548</v>
      </c>
      <c r="P72" s="14">
        <v>2548</v>
      </c>
      <c r="Q72" s="13">
        <v>3619.5</v>
      </c>
      <c r="R72" s="13">
        <v>3691</v>
      </c>
    </row>
    <row r="73" spans="1:18" x14ac:dyDescent="0.3">
      <c r="A73" s="17">
        <v>1</v>
      </c>
      <c r="B73" s="17">
        <v>4</v>
      </c>
      <c r="C73" s="17" t="s">
        <v>572</v>
      </c>
      <c r="D73" s="16">
        <v>403010</v>
      </c>
      <c r="E73" s="17" t="s">
        <v>167</v>
      </c>
      <c r="F73" s="14">
        <v>1726</v>
      </c>
      <c r="G73" s="14">
        <v>0</v>
      </c>
      <c r="H73" s="14"/>
      <c r="I73" s="14">
        <v>84</v>
      </c>
      <c r="J73" s="14">
        <v>0</v>
      </c>
      <c r="K73" s="14">
        <v>1810</v>
      </c>
      <c r="L73" s="14">
        <v>5168</v>
      </c>
      <c r="M73" s="15">
        <v>0.35023219814241485</v>
      </c>
      <c r="N73" s="14">
        <v>1810</v>
      </c>
      <c r="O73" s="14">
        <v>1810</v>
      </c>
      <c r="P73" s="14">
        <v>1810</v>
      </c>
      <c r="Q73" s="13">
        <v>3252.634</v>
      </c>
      <c r="R73" s="13">
        <v>3690.4423999999999</v>
      </c>
    </row>
    <row r="74" spans="1:18" x14ac:dyDescent="0.3">
      <c r="A74" s="17">
        <v>1</v>
      </c>
      <c r="B74" s="17">
        <v>4</v>
      </c>
      <c r="C74" s="17" t="s">
        <v>572</v>
      </c>
      <c r="D74" s="16">
        <v>403150</v>
      </c>
      <c r="E74" s="17" t="s">
        <v>168</v>
      </c>
      <c r="F74" s="14">
        <v>101</v>
      </c>
      <c r="G74" s="14">
        <v>0</v>
      </c>
      <c r="H74" s="14"/>
      <c r="I74" s="14">
        <v>3</v>
      </c>
      <c r="J74" s="14">
        <v>0</v>
      </c>
      <c r="K74" s="14">
        <v>104</v>
      </c>
      <c r="L74" s="14">
        <v>685</v>
      </c>
      <c r="M74" s="15">
        <v>0.15182481751824817</v>
      </c>
      <c r="N74" s="14">
        <v>104</v>
      </c>
      <c r="O74" s="14">
        <v>104</v>
      </c>
      <c r="P74" s="14">
        <v>104</v>
      </c>
      <c r="Q74" s="13">
        <v>104</v>
      </c>
      <c r="R74" s="13">
        <v>104</v>
      </c>
    </row>
    <row r="75" spans="1:18" x14ac:dyDescent="0.3">
      <c r="A75" s="17">
        <v>1</v>
      </c>
      <c r="B75" s="17">
        <v>4</v>
      </c>
      <c r="C75" s="17" t="s">
        <v>572</v>
      </c>
      <c r="D75" s="16">
        <v>403200</v>
      </c>
      <c r="E75" s="17" t="s">
        <v>169</v>
      </c>
      <c r="F75" s="14">
        <v>457</v>
      </c>
      <c r="G75" s="14">
        <v>0</v>
      </c>
      <c r="H75" s="14"/>
      <c r="I75" s="14">
        <v>11</v>
      </c>
      <c r="J75" s="14">
        <v>0</v>
      </c>
      <c r="K75" s="14">
        <v>468</v>
      </c>
      <c r="L75" s="14">
        <v>1435</v>
      </c>
      <c r="M75" s="15">
        <v>0.32613240418118467</v>
      </c>
      <c r="N75" s="14">
        <v>468</v>
      </c>
      <c r="O75" s="14">
        <v>468</v>
      </c>
      <c r="P75" s="14">
        <v>468</v>
      </c>
      <c r="Q75" s="13">
        <v>790.76437499999997</v>
      </c>
      <c r="R75" s="13">
        <v>869.10175000000004</v>
      </c>
    </row>
    <row r="76" spans="1:18" x14ac:dyDescent="0.3">
      <c r="A76" s="17">
        <v>1</v>
      </c>
      <c r="B76" s="17">
        <v>4</v>
      </c>
      <c r="C76" s="17" t="s">
        <v>572</v>
      </c>
      <c r="D76" s="16">
        <v>403040</v>
      </c>
      <c r="E76" s="17" t="s">
        <v>171</v>
      </c>
      <c r="F76" s="14">
        <v>218</v>
      </c>
      <c r="G76" s="14">
        <v>0</v>
      </c>
      <c r="H76" s="14"/>
      <c r="I76" s="14">
        <v>10</v>
      </c>
      <c r="J76" s="14">
        <v>0</v>
      </c>
      <c r="K76" s="14">
        <v>228</v>
      </c>
      <c r="L76" s="14">
        <v>2712</v>
      </c>
      <c r="M76" s="15">
        <v>8.4070796460176997E-2</v>
      </c>
      <c r="N76" s="14">
        <v>228</v>
      </c>
      <c r="O76" s="14">
        <v>0</v>
      </c>
      <c r="P76" s="14">
        <v>228</v>
      </c>
      <c r="Q76" s="13">
        <v>228.00000000000003</v>
      </c>
      <c r="R76" s="13">
        <v>228.00000000000003</v>
      </c>
    </row>
    <row r="77" spans="1:18" x14ac:dyDescent="0.3">
      <c r="A77" s="17">
        <v>1</v>
      </c>
      <c r="B77" s="17">
        <v>4</v>
      </c>
      <c r="C77" s="17" t="s">
        <v>572</v>
      </c>
      <c r="D77" s="16">
        <v>403060</v>
      </c>
      <c r="E77" s="17" t="s">
        <v>172</v>
      </c>
      <c r="F77" s="14">
        <v>2057</v>
      </c>
      <c r="G77" s="14">
        <v>0</v>
      </c>
      <c r="H77" s="14"/>
      <c r="I77" s="14">
        <v>93</v>
      </c>
      <c r="J77" s="14">
        <v>0</v>
      </c>
      <c r="K77" s="14">
        <v>2150</v>
      </c>
      <c r="L77" s="14">
        <v>5689</v>
      </c>
      <c r="M77" s="15">
        <v>0.37792230620495693</v>
      </c>
      <c r="N77" s="14">
        <v>2150</v>
      </c>
      <c r="O77" s="14">
        <v>2150</v>
      </c>
      <c r="P77" s="14">
        <v>2150</v>
      </c>
      <c r="Q77" s="13">
        <v>4092.5101249999998</v>
      </c>
      <c r="R77" s="13">
        <v>4771.3664499999995</v>
      </c>
    </row>
    <row r="78" spans="1:18" x14ac:dyDescent="0.3">
      <c r="A78" s="17">
        <v>1</v>
      </c>
      <c r="B78" s="17">
        <v>4</v>
      </c>
      <c r="C78" s="17" t="s">
        <v>572</v>
      </c>
      <c r="D78" s="16">
        <v>403080</v>
      </c>
      <c r="E78" s="17" t="s">
        <v>174</v>
      </c>
      <c r="F78" s="14">
        <v>91</v>
      </c>
      <c r="G78" s="14">
        <v>0</v>
      </c>
      <c r="H78" s="14"/>
      <c r="I78" s="14">
        <v>3</v>
      </c>
      <c r="J78" s="14">
        <v>0</v>
      </c>
      <c r="K78" s="14">
        <v>94</v>
      </c>
      <c r="L78" s="14">
        <v>474</v>
      </c>
      <c r="M78" s="15">
        <v>0.19831223628691982</v>
      </c>
      <c r="N78" s="14">
        <v>94</v>
      </c>
      <c r="O78" s="14">
        <v>94</v>
      </c>
      <c r="P78" s="14">
        <v>94</v>
      </c>
      <c r="Q78" s="13">
        <v>109.1131</v>
      </c>
      <c r="R78" s="13">
        <v>104.0754</v>
      </c>
    </row>
    <row r="79" spans="1:18" x14ac:dyDescent="0.3">
      <c r="A79" s="17">
        <v>1</v>
      </c>
      <c r="B79" s="17">
        <v>4</v>
      </c>
      <c r="C79" s="17" t="s">
        <v>572</v>
      </c>
      <c r="D79" s="16">
        <v>403240</v>
      </c>
      <c r="E79" s="17" t="s">
        <v>176</v>
      </c>
      <c r="F79" s="14">
        <v>1741</v>
      </c>
      <c r="G79" s="14">
        <v>0</v>
      </c>
      <c r="H79" s="14"/>
      <c r="I79" s="14">
        <v>33</v>
      </c>
      <c r="J79" s="14">
        <v>0</v>
      </c>
      <c r="K79" s="14">
        <v>1774</v>
      </c>
      <c r="L79" s="14">
        <v>4355</v>
      </c>
      <c r="M79" s="15">
        <v>0.40734787600459244</v>
      </c>
      <c r="N79" s="14">
        <v>1774</v>
      </c>
      <c r="O79" s="14">
        <v>1774</v>
      </c>
      <c r="P79" s="14">
        <v>1774</v>
      </c>
      <c r="Q79" s="13">
        <v>3630.8353750000001</v>
      </c>
      <c r="R79" s="13">
        <v>4392.1797500000002</v>
      </c>
    </row>
    <row r="80" spans="1:18" x14ac:dyDescent="0.3">
      <c r="A80" s="17">
        <v>1</v>
      </c>
      <c r="B80" s="17">
        <v>4</v>
      </c>
      <c r="C80" s="17" t="s">
        <v>572</v>
      </c>
      <c r="D80" s="16">
        <v>403290</v>
      </c>
      <c r="E80" s="17" t="s">
        <v>590</v>
      </c>
      <c r="F80" s="14">
        <v>661</v>
      </c>
      <c r="G80" s="14">
        <v>3</v>
      </c>
      <c r="H80" s="14"/>
      <c r="I80" s="14">
        <v>4</v>
      </c>
      <c r="J80" s="14">
        <v>0</v>
      </c>
      <c r="K80" s="14">
        <v>668</v>
      </c>
      <c r="L80" s="14">
        <v>1613</v>
      </c>
      <c r="M80" s="15">
        <v>0.41413515189088657</v>
      </c>
      <c r="N80" s="14">
        <v>668</v>
      </c>
      <c r="O80" s="14">
        <v>668</v>
      </c>
      <c r="P80" s="14">
        <v>668</v>
      </c>
      <c r="Q80" s="13">
        <v>1388.5762250000002</v>
      </c>
      <c r="R80" s="13">
        <v>1692.4578499999998</v>
      </c>
    </row>
    <row r="81" spans="1:18" x14ac:dyDescent="0.3">
      <c r="A81" s="17">
        <v>1</v>
      </c>
      <c r="B81" s="17">
        <v>4</v>
      </c>
      <c r="C81" s="17" t="s">
        <v>572</v>
      </c>
      <c r="D81" s="16">
        <v>403310</v>
      </c>
      <c r="E81" s="17" t="s">
        <v>180</v>
      </c>
      <c r="F81" s="14">
        <v>140</v>
      </c>
      <c r="G81" s="14">
        <v>0</v>
      </c>
      <c r="H81" s="14"/>
      <c r="I81" s="14">
        <v>6</v>
      </c>
      <c r="J81" s="14">
        <v>0</v>
      </c>
      <c r="K81" s="14">
        <v>146</v>
      </c>
      <c r="L81" s="14">
        <v>519</v>
      </c>
      <c r="M81" s="15">
        <v>0.2813102119460501</v>
      </c>
      <c r="N81" s="14">
        <v>146</v>
      </c>
      <c r="O81" s="14">
        <v>146</v>
      </c>
      <c r="P81" s="14">
        <v>146</v>
      </c>
      <c r="Q81" s="13">
        <v>218.29167500000003</v>
      </c>
      <c r="R81" s="13">
        <v>225.44355000000004</v>
      </c>
    </row>
    <row r="82" spans="1:18" x14ac:dyDescent="0.3">
      <c r="A82" s="17">
        <v>1</v>
      </c>
      <c r="B82" s="17">
        <v>4</v>
      </c>
      <c r="C82" s="17" t="s">
        <v>572</v>
      </c>
      <c r="D82" s="16">
        <v>403400</v>
      </c>
      <c r="E82" s="17" t="s">
        <v>182</v>
      </c>
      <c r="F82" s="14">
        <v>3980</v>
      </c>
      <c r="G82" s="14">
        <v>0</v>
      </c>
      <c r="H82" s="14"/>
      <c r="I82" s="14">
        <v>180</v>
      </c>
      <c r="J82" s="14">
        <v>0</v>
      </c>
      <c r="K82" s="14">
        <v>4160</v>
      </c>
      <c r="L82" s="14">
        <v>43787</v>
      </c>
      <c r="M82" s="15">
        <v>9.5005366889716128E-2</v>
      </c>
      <c r="N82" s="14">
        <v>4160</v>
      </c>
      <c r="O82" s="14">
        <v>0</v>
      </c>
      <c r="P82" s="14">
        <v>4160</v>
      </c>
      <c r="Q82" s="13">
        <v>6843.5</v>
      </c>
      <c r="R82" s="13">
        <v>7318</v>
      </c>
    </row>
    <row r="83" spans="1:18" x14ac:dyDescent="0.3">
      <c r="A83" s="17">
        <v>1</v>
      </c>
      <c r="B83" s="17">
        <v>4</v>
      </c>
      <c r="C83" s="17" t="s">
        <v>572</v>
      </c>
      <c r="D83" s="16">
        <v>403420</v>
      </c>
      <c r="E83" s="17" t="s">
        <v>183</v>
      </c>
      <c r="F83" s="14">
        <v>6255</v>
      </c>
      <c r="G83" s="14">
        <v>103</v>
      </c>
      <c r="H83" s="14"/>
      <c r="I83" s="14">
        <v>283</v>
      </c>
      <c r="J83" s="14">
        <v>0</v>
      </c>
      <c r="K83" s="14">
        <v>6641</v>
      </c>
      <c r="L83" s="14">
        <v>16073</v>
      </c>
      <c r="M83" s="15">
        <v>0.41317737821190814</v>
      </c>
      <c r="N83" s="14">
        <v>6641</v>
      </c>
      <c r="O83" s="14">
        <v>6641</v>
      </c>
      <c r="P83" s="14">
        <v>6641</v>
      </c>
      <c r="Q83" s="13">
        <v>13775.115725</v>
      </c>
      <c r="R83" s="13">
        <v>16772.404850000003</v>
      </c>
    </row>
    <row r="84" spans="1:18" x14ac:dyDescent="0.3">
      <c r="A84" s="17">
        <v>1</v>
      </c>
      <c r="B84" s="17">
        <v>4</v>
      </c>
      <c r="C84" s="17" t="s">
        <v>572</v>
      </c>
      <c r="D84" s="16">
        <v>403450</v>
      </c>
      <c r="E84" s="17" t="s">
        <v>184</v>
      </c>
      <c r="F84" s="14">
        <v>5665</v>
      </c>
      <c r="G84" s="14">
        <v>0</v>
      </c>
      <c r="H84" s="14"/>
      <c r="I84" s="14">
        <v>256</v>
      </c>
      <c r="J84" s="14">
        <v>0</v>
      </c>
      <c r="K84" s="14">
        <v>5921</v>
      </c>
      <c r="L84" s="14">
        <v>20037</v>
      </c>
      <c r="M84" s="15">
        <v>0.29550331886010878</v>
      </c>
      <c r="N84" s="14">
        <v>5921</v>
      </c>
      <c r="O84" s="14">
        <v>5921</v>
      </c>
      <c r="P84" s="14">
        <v>5921</v>
      </c>
      <c r="Q84" s="13">
        <v>10365.5</v>
      </c>
      <c r="R84" s="13">
        <v>11280.25</v>
      </c>
    </row>
    <row r="85" spans="1:18" x14ac:dyDescent="0.3">
      <c r="A85" s="17">
        <v>1</v>
      </c>
      <c r="B85" s="17">
        <v>4</v>
      </c>
      <c r="C85" s="17" t="s">
        <v>572</v>
      </c>
      <c r="D85" s="16">
        <v>403500</v>
      </c>
      <c r="E85" s="17" t="s">
        <v>185</v>
      </c>
      <c r="F85" s="14">
        <v>436</v>
      </c>
      <c r="G85" s="14">
        <v>0</v>
      </c>
      <c r="H85" s="14"/>
      <c r="I85" s="14">
        <v>12</v>
      </c>
      <c r="J85" s="14">
        <v>0</v>
      </c>
      <c r="K85" s="14">
        <v>448</v>
      </c>
      <c r="L85" s="14">
        <v>1641</v>
      </c>
      <c r="M85" s="15">
        <v>0.27300426569165143</v>
      </c>
      <c r="N85" s="14">
        <v>448</v>
      </c>
      <c r="O85" s="14">
        <v>448</v>
      </c>
      <c r="P85" s="14">
        <v>448</v>
      </c>
      <c r="Q85" s="13">
        <v>656.13032499999986</v>
      </c>
      <c r="R85" s="13">
        <v>671.92845</v>
      </c>
    </row>
    <row r="86" spans="1:18" x14ac:dyDescent="0.3">
      <c r="A86" s="17">
        <v>1</v>
      </c>
      <c r="B86" s="17">
        <v>4</v>
      </c>
      <c r="C86" s="17" t="s">
        <v>572</v>
      </c>
      <c r="D86" s="16">
        <v>403550</v>
      </c>
      <c r="E86" s="17" t="s">
        <v>187</v>
      </c>
      <c r="F86" s="14">
        <v>50</v>
      </c>
      <c r="G86" s="14">
        <v>0</v>
      </c>
      <c r="H86" s="14"/>
      <c r="I86" s="14">
        <v>1</v>
      </c>
      <c r="J86" s="14">
        <v>0</v>
      </c>
      <c r="K86" s="14">
        <v>51</v>
      </c>
      <c r="L86" s="14">
        <v>203</v>
      </c>
      <c r="M86" s="15">
        <v>0.25123152709359609</v>
      </c>
      <c r="N86" s="14">
        <v>51</v>
      </c>
      <c r="O86" s="14">
        <v>51</v>
      </c>
      <c r="P86" s="14">
        <v>51</v>
      </c>
      <c r="Q86" s="13">
        <v>70.116975000000025</v>
      </c>
      <c r="R86" s="13">
        <v>69.861350000000016</v>
      </c>
    </row>
    <row r="87" spans="1:18" x14ac:dyDescent="0.3">
      <c r="A87" s="17">
        <v>1</v>
      </c>
      <c r="B87" s="17">
        <v>4</v>
      </c>
      <c r="C87" s="17" t="s">
        <v>572</v>
      </c>
      <c r="D87" s="16">
        <v>403660</v>
      </c>
      <c r="E87" s="17" t="s">
        <v>191</v>
      </c>
      <c r="F87" s="14">
        <v>28</v>
      </c>
      <c r="G87" s="14">
        <v>0</v>
      </c>
      <c r="H87" s="14"/>
      <c r="I87" s="14">
        <v>1</v>
      </c>
      <c r="J87" s="14">
        <v>0</v>
      </c>
      <c r="K87" s="14">
        <v>29</v>
      </c>
      <c r="L87" s="14">
        <v>105</v>
      </c>
      <c r="M87" s="15">
        <v>0.27619047619047621</v>
      </c>
      <c r="N87" s="14">
        <v>29</v>
      </c>
      <c r="O87" s="14">
        <v>29</v>
      </c>
      <c r="P87" s="14">
        <v>29</v>
      </c>
      <c r="Q87" s="13">
        <v>42.819125000000007</v>
      </c>
      <c r="R87" s="13">
        <v>43.997250000000008</v>
      </c>
    </row>
    <row r="88" spans="1:18" x14ac:dyDescent="0.3">
      <c r="A88" s="17">
        <v>1</v>
      </c>
      <c r="B88" s="17">
        <v>4</v>
      </c>
      <c r="C88" s="17" t="s">
        <v>572</v>
      </c>
      <c r="D88" s="16">
        <v>403730</v>
      </c>
      <c r="E88" s="17" t="s">
        <v>193</v>
      </c>
      <c r="F88" s="14">
        <v>74</v>
      </c>
      <c r="G88" s="14">
        <v>0</v>
      </c>
      <c r="H88" s="14"/>
      <c r="I88" s="14">
        <v>2</v>
      </c>
      <c r="J88" s="14">
        <v>0</v>
      </c>
      <c r="K88" s="14">
        <v>76</v>
      </c>
      <c r="L88" s="14">
        <v>200</v>
      </c>
      <c r="M88" s="15">
        <v>0.38</v>
      </c>
      <c r="N88" s="14">
        <v>76</v>
      </c>
      <c r="O88" s="14">
        <v>76</v>
      </c>
      <c r="P88" s="14">
        <v>76</v>
      </c>
      <c r="Q88" s="13">
        <v>145.22499999999999</v>
      </c>
      <c r="R88" s="13">
        <v>169.61</v>
      </c>
    </row>
    <row r="89" spans="1:18" x14ac:dyDescent="0.3">
      <c r="A89" s="17">
        <v>1</v>
      </c>
      <c r="B89" s="17">
        <v>4</v>
      </c>
      <c r="C89" s="17" t="s">
        <v>572</v>
      </c>
      <c r="D89" s="16">
        <v>400026</v>
      </c>
      <c r="E89" s="17" t="s">
        <v>194</v>
      </c>
      <c r="F89" s="14">
        <v>137</v>
      </c>
      <c r="G89" s="14">
        <v>0</v>
      </c>
      <c r="H89" s="14"/>
      <c r="I89" s="14">
        <v>2</v>
      </c>
      <c r="J89" s="14">
        <v>0</v>
      </c>
      <c r="K89" s="14">
        <v>139</v>
      </c>
      <c r="L89" s="14">
        <v>492</v>
      </c>
      <c r="M89" s="15">
        <v>0.28252032520325204</v>
      </c>
      <c r="N89" s="14">
        <v>139</v>
      </c>
      <c r="O89" s="14">
        <v>139</v>
      </c>
      <c r="P89" s="14">
        <v>139</v>
      </c>
      <c r="Q89" s="13">
        <v>208.42390000000003</v>
      </c>
      <c r="R89" s="13">
        <v>215.50140000000002</v>
      </c>
    </row>
    <row r="90" spans="1:18" x14ac:dyDescent="0.3">
      <c r="A90" s="17">
        <v>1</v>
      </c>
      <c r="B90" s="17">
        <v>4</v>
      </c>
      <c r="C90" s="17" t="s">
        <v>572</v>
      </c>
      <c r="D90" s="16">
        <v>403780</v>
      </c>
      <c r="E90" s="17" t="s">
        <v>589</v>
      </c>
      <c r="F90" s="14">
        <v>1244</v>
      </c>
      <c r="G90" s="14">
        <v>0</v>
      </c>
      <c r="H90" s="14"/>
      <c r="I90" s="14">
        <v>56</v>
      </c>
      <c r="J90" s="14">
        <v>0</v>
      </c>
      <c r="K90" s="14">
        <v>1300</v>
      </c>
      <c r="L90" s="14">
        <v>15704</v>
      </c>
      <c r="M90" s="15">
        <v>8.2781456953642391E-2</v>
      </c>
      <c r="N90" s="14">
        <v>1300</v>
      </c>
      <c r="O90" s="14">
        <v>0</v>
      </c>
      <c r="P90" s="14">
        <v>1300</v>
      </c>
      <c r="Q90" s="13">
        <v>1604.5</v>
      </c>
      <c r="R90" s="13">
        <v>1604.5</v>
      </c>
    </row>
    <row r="91" spans="1:18" x14ac:dyDescent="0.3">
      <c r="A91" s="17">
        <v>1</v>
      </c>
      <c r="B91" s="17">
        <v>4</v>
      </c>
      <c r="C91" s="17" t="s">
        <v>572</v>
      </c>
      <c r="D91" s="16">
        <v>408460</v>
      </c>
      <c r="E91" s="17" t="s">
        <v>514</v>
      </c>
      <c r="F91" s="14">
        <v>4</v>
      </c>
      <c r="G91" s="14">
        <v>0</v>
      </c>
      <c r="H91" s="14"/>
      <c r="I91" s="14">
        <v>0</v>
      </c>
      <c r="J91" s="14">
        <v>0</v>
      </c>
      <c r="K91" s="14">
        <v>4</v>
      </c>
      <c r="L91" s="14">
        <v>22</v>
      </c>
      <c r="M91" s="15">
        <v>0.18181818181818182</v>
      </c>
      <c r="N91" s="14">
        <v>0</v>
      </c>
      <c r="O91" s="14">
        <v>0</v>
      </c>
      <c r="P91" s="14">
        <v>0</v>
      </c>
      <c r="Q91" s="13">
        <v>0</v>
      </c>
      <c r="R91" s="13">
        <v>0</v>
      </c>
    </row>
    <row r="92" spans="1:18" x14ac:dyDescent="0.3">
      <c r="A92" s="17">
        <v>1</v>
      </c>
      <c r="B92" s="17">
        <v>4</v>
      </c>
      <c r="C92" s="17" t="s">
        <v>572</v>
      </c>
      <c r="D92" s="16">
        <v>403820</v>
      </c>
      <c r="E92" s="17" t="s">
        <v>199</v>
      </c>
      <c r="F92" s="14">
        <v>774</v>
      </c>
      <c r="G92" s="14">
        <v>0</v>
      </c>
      <c r="H92" s="14"/>
      <c r="I92" s="14">
        <v>11</v>
      </c>
      <c r="J92" s="14">
        <v>0</v>
      </c>
      <c r="K92" s="14">
        <v>785</v>
      </c>
      <c r="L92" s="14">
        <v>2283</v>
      </c>
      <c r="M92" s="15">
        <v>0.34384581690757776</v>
      </c>
      <c r="N92" s="14">
        <v>785</v>
      </c>
      <c r="O92" s="14">
        <v>785</v>
      </c>
      <c r="P92" s="14">
        <v>785</v>
      </c>
      <c r="Q92" s="13">
        <v>1389.4883750000001</v>
      </c>
      <c r="R92" s="13">
        <v>1564.6681500000002</v>
      </c>
    </row>
    <row r="93" spans="1:18" x14ac:dyDescent="0.3">
      <c r="A93" s="17">
        <v>1</v>
      </c>
      <c r="B93" s="17">
        <v>4</v>
      </c>
      <c r="C93" s="17" t="s">
        <v>572</v>
      </c>
      <c r="D93" s="16">
        <v>403870</v>
      </c>
      <c r="E93" s="17" t="s">
        <v>200</v>
      </c>
      <c r="F93" s="14">
        <v>1516</v>
      </c>
      <c r="G93" s="14">
        <v>0</v>
      </c>
      <c r="H93" s="14"/>
      <c r="I93" s="14">
        <v>78</v>
      </c>
      <c r="J93" s="14">
        <v>0</v>
      </c>
      <c r="K93" s="14">
        <v>1594</v>
      </c>
      <c r="L93" s="14">
        <v>8342</v>
      </c>
      <c r="M93" s="15">
        <v>0.19108127547350756</v>
      </c>
      <c r="N93" s="14">
        <v>1594</v>
      </c>
      <c r="O93" s="14">
        <v>1594</v>
      </c>
      <c r="P93" s="14">
        <v>1594</v>
      </c>
      <c r="Q93" s="13">
        <v>2045.5</v>
      </c>
      <c r="R93" s="13">
        <v>2045.5</v>
      </c>
    </row>
    <row r="94" spans="1:18" x14ac:dyDescent="0.3">
      <c r="A94" s="17">
        <v>1</v>
      </c>
      <c r="B94" s="17">
        <v>4</v>
      </c>
      <c r="C94" s="17" t="s">
        <v>572</v>
      </c>
      <c r="D94" s="16">
        <v>403900</v>
      </c>
      <c r="E94" s="17" t="s">
        <v>201</v>
      </c>
      <c r="F94" s="14">
        <v>23</v>
      </c>
      <c r="G94" s="14">
        <v>0</v>
      </c>
      <c r="H94" s="14"/>
      <c r="I94" s="14">
        <v>0</v>
      </c>
      <c r="J94" s="14">
        <v>0</v>
      </c>
      <c r="K94" s="14">
        <v>23</v>
      </c>
      <c r="L94" s="14">
        <v>110</v>
      </c>
      <c r="M94" s="15">
        <v>0.20909090909090908</v>
      </c>
      <c r="N94" s="14">
        <v>23</v>
      </c>
      <c r="O94" s="14">
        <v>23</v>
      </c>
      <c r="P94" s="14">
        <v>23</v>
      </c>
      <c r="Q94" s="13">
        <v>27.396499999999996</v>
      </c>
      <c r="R94" s="13">
        <v>25.930999999999997</v>
      </c>
    </row>
    <row r="95" spans="1:18" x14ac:dyDescent="0.3">
      <c r="A95" s="17">
        <v>1</v>
      </c>
      <c r="B95" s="17">
        <v>4</v>
      </c>
      <c r="C95" s="17" t="s">
        <v>572</v>
      </c>
      <c r="D95" s="16">
        <v>403950</v>
      </c>
      <c r="E95" s="17" t="s">
        <v>588</v>
      </c>
      <c r="F95" s="14">
        <v>659</v>
      </c>
      <c r="G95" s="14">
        <v>106</v>
      </c>
      <c r="H95" s="14"/>
      <c r="I95" s="14">
        <v>32</v>
      </c>
      <c r="J95" s="14">
        <v>0</v>
      </c>
      <c r="K95" s="14">
        <v>797</v>
      </c>
      <c r="L95" s="14">
        <v>1626</v>
      </c>
      <c r="M95" s="15">
        <v>0.49015990159901601</v>
      </c>
      <c r="N95" s="14">
        <v>797</v>
      </c>
      <c r="O95" s="14">
        <v>797</v>
      </c>
      <c r="P95" s="14">
        <v>797</v>
      </c>
      <c r="Q95" s="13">
        <v>1894.23245</v>
      </c>
      <c r="R95" s="13">
        <v>2447.7956999999997</v>
      </c>
    </row>
    <row r="96" spans="1:18" x14ac:dyDescent="0.3">
      <c r="A96" s="17">
        <v>1</v>
      </c>
      <c r="B96" s="17">
        <v>4</v>
      </c>
      <c r="C96" s="17" t="s">
        <v>572</v>
      </c>
      <c r="D96" s="16">
        <v>403960</v>
      </c>
      <c r="E96" s="17" t="s">
        <v>220</v>
      </c>
      <c r="F96" s="14">
        <v>4341</v>
      </c>
      <c r="G96" s="14">
        <v>0</v>
      </c>
      <c r="H96" s="14"/>
      <c r="I96" s="14">
        <v>196</v>
      </c>
      <c r="J96" s="14">
        <v>0</v>
      </c>
      <c r="K96" s="14">
        <v>4537</v>
      </c>
      <c r="L96" s="14">
        <v>8167</v>
      </c>
      <c r="M96" s="15">
        <v>0.55552834578180488</v>
      </c>
      <c r="N96" s="14">
        <v>4537</v>
      </c>
      <c r="O96" s="14">
        <v>4537</v>
      </c>
      <c r="P96" s="14">
        <v>4537</v>
      </c>
      <c r="Q96" s="13">
        <v>11649.722275000002</v>
      </c>
      <c r="R96" s="13">
        <v>15497.863150000001</v>
      </c>
    </row>
    <row r="97" spans="1:18" x14ac:dyDescent="0.3">
      <c r="A97" s="17">
        <v>1</v>
      </c>
      <c r="B97" s="17">
        <v>4</v>
      </c>
      <c r="C97" s="17" t="s">
        <v>572</v>
      </c>
      <c r="D97" s="16">
        <v>403990</v>
      </c>
      <c r="E97" s="17" t="s">
        <v>587</v>
      </c>
      <c r="F97" s="14">
        <v>1339</v>
      </c>
      <c r="G97" s="14">
        <v>0</v>
      </c>
      <c r="H97" s="14"/>
      <c r="I97" s="14">
        <v>73</v>
      </c>
      <c r="J97" s="14">
        <v>0</v>
      </c>
      <c r="K97" s="14">
        <v>1412</v>
      </c>
      <c r="L97" s="14">
        <v>9011</v>
      </c>
      <c r="M97" s="15">
        <v>0.15669736988125624</v>
      </c>
      <c r="N97" s="14">
        <v>1412</v>
      </c>
      <c r="O97" s="14">
        <v>1412</v>
      </c>
      <c r="P97" s="14">
        <v>1412</v>
      </c>
      <c r="Q97" s="13">
        <v>1772.5</v>
      </c>
      <c r="R97" s="13">
        <v>1772.5</v>
      </c>
    </row>
    <row r="98" spans="1:18" x14ac:dyDescent="0.3">
      <c r="A98" s="17">
        <v>1</v>
      </c>
      <c r="B98" s="17">
        <v>4</v>
      </c>
      <c r="C98" s="17" t="s">
        <v>572</v>
      </c>
      <c r="D98" s="16">
        <v>404010</v>
      </c>
      <c r="E98" s="17" t="s">
        <v>223</v>
      </c>
      <c r="F98" s="14">
        <v>139</v>
      </c>
      <c r="G98" s="14">
        <v>0</v>
      </c>
      <c r="H98" s="14"/>
      <c r="I98" s="14">
        <v>2</v>
      </c>
      <c r="J98" s="14">
        <v>0</v>
      </c>
      <c r="K98" s="14">
        <v>141</v>
      </c>
      <c r="L98" s="14">
        <v>429</v>
      </c>
      <c r="M98" s="15">
        <v>0.32867132867132864</v>
      </c>
      <c r="N98" s="14">
        <v>141</v>
      </c>
      <c r="O98" s="14">
        <v>141</v>
      </c>
      <c r="P98" s="14">
        <v>141</v>
      </c>
      <c r="Q98" s="13">
        <v>239.94262499999996</v>
      </c>
      <c r="R98" s="13">
        <v>264.7234499999999</v>
      </c>
    </row>
    <row r="99" spans="1:18" x14ac:dyDescent="0.3">
      <c r="A99" s="17">
        <v>1</v>
      </c>
      <c r="B99" s="17">
        <v>4</v>
      </c>
      <c r="C99" s="17" t="s">
        <v>572</v>
      </c>
      <c r="D99" s="16">
        <v>404060</v>
      </c>
      <c r="E99" s="17" t="s">
        <v>239</v>
      </c>
      <c r="F99" s="14">
        <v>1057</v>
      </c>
      <c r="G99" s="14">
        <v>0</v>
      </c>
      <c r="H99" s="14"/>
      <c r="I99" s="14">
        <v>15</v>
      </c>
      <c r="J99" s="14">
        <v>0</v>
      </c>
      <c r="K99" s="14">
        <v>1072</v>
      </c>
      <c r="L99" s="14">
        <v>2637</v>
      </c>
      <c r="M99" s="15">
        <v>0.40652256351915056</v>
      </c>
      <c r="N99" s="14">
        <v>1072</v>
      </c>
      <c r="O99" s="14">
        <v>1072</v>
      </c>
      <c r="P99" s="14">
        <v>1072</v>
      </c>
      <c r="Q99" s="13">
        <v>2189.8050250000001</v>
      </c>
      <c r="R99" s="13">
        <v>2646.4546500000006</v>
      </c>
    </row>
    <row r="100" spans="1:18" x14ac:dyDescent="0.3">
      <c r="A100" s="17">
        <v>1</v>
      </c>
      <c r="B100" s="17">
        <v>4</v>
      </c>
      <c r="C100" s="17" t="s">
        <v>572</v>
      </c>
      <c r="D100" s="16">
        <v>400295</v>
      </c>
      <c r="E100" s="17" t="s">
        <v>242</v>
      </c>
      <c r="F100" s="14">
        <v>2624</v>
      </c>
      <c r="G100" s="14">
        <v>0</v>
      </c>
      <c r="H100" s="14"/>
      <c r="I100" s="14">
        <v>113</v>
      </c>
      <c r="J100" s="14">
        <v>0</v>
      </c>
      <c r="K100" s="14">
        <v>2737</v>
      </c>
      <c r="L100" s="14">
        <v>9068</v>
      </c>
      <c r="M100" s="15">
        <v>0.30183061314512571</v>
      </c>
      <c r="N100" s="14">
        <v>2737</v>
      </c>
      <c r="O100" s="14">
        <v>2737</v>
      </c>
      <c r="P100" s="14">
        <v>2737</v>
      </c>
      <c r="Q100" s="13">
        <v>4280.7714999999998</v>
      </c>
      <c r="R100" s="13">
        <v>4500.3374000000003</v>
      </c>
    </row>
    <row r="101" spans="1:18" x14ac:dyDescent="0.3">
      <c r="A101" s="17">
        <v>1</v>
      </c>
      <c r="B101" s="17">
        <v>4</v>
      </c>
      <c r="C101" s="17" t="s">
        <v>572</v>
      </c>
      <c r="D101" s="16">
        <v>404170</v>
      </c>
      <c r="E101" s="17" t="s">
        <v>243</v>
      </c>
      <c r="F101" s="14">
        <v>44</v>
      </c>
      <c r="G101" s="14">
        <v>0</v>
      </c>
      <c r="H101" s="14"/>
      <c r="I101" s="14">
        <v>2</v>
      </c>
      <c r="J101" s="14">
        <v>0</v>
      </c>
      <c r="K101" s="14">
        <v>46</v>
      </c>
      <c r="L101" s="14">
        <v>144</v>
      </c>
      <c r="M101" s="15">
        <v>0.31944444444444442</v>
      </c>
      <c r="N101" s="14">
        <v>46</v>
      </c>
      <c r="O101" s="14">
        <v>46</v>
      </c>
      <c r="P101" s="14">
        <v>46</v>
      </c>
      <c r="Q101" s="13">
        <v>76.222000000000008</v>
      </c>
      <c r="R101" s="13">
        <v>82.879199999999997</v>
      </c>
    </row>
    <row r="102" spans="1:18" x14ac:dyDescent="0.3">
      <c r="A102" s="17">
        <v>1</v>
      </c>
      <c r="B102" s="17">
        <v>4</v>
      </c>
      <c r="C102" s="17" t="s">
        <v>572</v>
      </c>
      <c r="D102" s="16">
        <v>404200</v>
      </c>
      <c r="E102" s="17" t="s">
        <v>509</v>
      </c>
      <c r="F102" s="14">
        <v>5</v>
      </c>
      <c r="G102" s="14">
        <v>0</v>
      </c>
      <c r="H102" s="14"/>
      <c r="I102" s="14">
        <v>0</v>
      </c>
      <c r="J102" s="14">
        <v>0</v>
      </c>
      <c r="K102" s="14">
        <v>5</v>
      </c>
      <c r="L102" s="14">
        <v>6</v>
      </c>
      <c r="M102" s="15">
        <v>0.83333333333333337</v>
      </c>
      <c r="N102" s="14">
        <v>0</v>
      </c>
      <c r="O102" s="14">
        <v>0</v>
      </c>
      <c r="P102" s="14">
        <v>0</v>
      </c>
      <c r="Q102" s="13">
        <v>0</v>
      </c>
      <c r="R102" s="13">
        <v>0</v>
      </c>
    </row>
    <row r="103" spans="1:18" x14ac:dyDescent="0.3">
      <c r="A103" s="17">
        <v>1</v>
      </c>
      <c r="B103" s="17">
        <v>4</v>
      </c>
      <c r="C103" s="17" t="s">
        <v>572</v>
      </c>
      <c r="D103" s="16">
        <v>404230</v>
      </c>
      <c r="E103" s="17" t="s">
        <v>244</v>
      </c>
      <c r="F103" s="14">
        <v>1674</v>
      </c>
      <c r="G103" s="14">
        <v>0</v>
      </c>
      <c r="H103" s="14"/>
      <c r="I103" s="14">
        <v>76</v>
      </c>
      <c r="J103" s="14">
        <v>0</v>
      </c>
      <c r="K103" s="14">
        <v>1750</v>
      </c>
      <c r="L103" s="14">
        <v>18861</v>
      </c>
      <c r="M103" s="15">
        <v>9.2784051746991142E-2</v>
      </c>
      <c r="N103" s="14">
        <v>1750</v>
      </c>
      <c r="O103" s="14">
        <v>0</v>
      </c>
      <c r="P103" s="14">
        <v>1750</v>
      </c>
      <c r="Q103" s="13">
        <v>2279.5</v>
      </c>
      <c r="R103" s="13">
        <v>2279.5</v>
      </c>
    </row>
    <row r="104" spans="1:18" x14ac:dyDescent="0.3">
      <c r="A104" s="17">
        <v>1</v>
      </c>
      <c r="B104" s="17">
        <v>4</v>
      </c>
      <c r="C104" s="17" t="s">
        <v>572</v>
      </c>
      <c r="D104" s="16">
        <v>404280</v>
      </c>
      <c r="E104" s="17" t="s">
        <v>246</v>
      </c>
      <c r="F104" s="14">
        <v>1658</v>
      </c>
      <c r="G104" s="14">
        <v>0</v>
      </c>
      <c r="H104" s="14"/>
      <c r="I104" s="14">
        <v>72</v>
      </c>
      <c r="J104" s="14">
        <v>0</v>
      </c>
      <c r="K104" s="14">
        <v>1730</v>
      </c>
      <c r="L104" s="14">
        <v>6932</v>
      </c>
      <c r="M104" s="15">
        <v>0.24956722446624352</v>
      </c>
      <c r="N104" s="14">
        <v>1730</v>
      </c>
      <c r="O104" s="14">
        <v>1730</v>
      </c>
      <c r="P104" s="14">
        <v>1730</v>
      </c>
      <c r="Q104" s="13">
        <v>2365.4969000000001</v>
      </c>
      <c r="R104" s="13">
        <v>2350.9994000000006</v>
      </c>
    </row>
    <row r="105" spans="1:18" x14ac:dyDescent="0.3">
      <c r="A105" s="17">
        <v>1</v>
      </c>
      <c r="B105" s="17">
        <v>4</v>
      </c>
      <c r="C105" s="17" t="s">
        <v>572</v>
      </c>
      <c r="D105" s="16">
        <v>404290</v>
      </c>
      <c r="E105" s="17" t="s">
        <v>247</v>
      </c>
      <c r="F105" s="14">
        <v>1717</v>
      </c>
      <c r="G105" s="14">
        <v>0</v>
      </c>
      <c r="H105" s="14"/>
      <c r="I105" s="14">
        <v>78</v>
      </c>
      <c r="J105" s="14">
        <v>0</v>
      </c>
      <c r="K105" s="14">
        <v>1795</v>
      </c>
      <c r="L105" s="14">
        <v>7020</v>
      </c>
      <c r="M105" s="15">
        <v>0.25569800569800571</v>
      </c>
      <c r="N105" s="14">
        <v>1795</v>
      </c>
      <c r="O105" s="14">
        <v>1795</v>
      </c>
      <c r="P105" s="14">
        <v>1795</v>
      </c>
      <c r="Q105" s="13">
        <v>2503.1215000000002</v>
      </c>
      <c r="R105" s="13">
        <v>2509.9590000000003</v>
      </c>
    </row>
    <row r="106" spans="1:18" x14ac:dyDescent="0.3">
      <c r="A106" s="17">
        <v>1</v>
      </c>
      <c r="B106" s="17">
        <v>4</v>
      </c>
      <c r="C106" s="17" t="s">
        <v>572</v>
      </c>
      <c r="D106" s="16">
        <v>404320</v>
      </c>
      <c r="E106" s="17" t="s">
        <v>260</v>
      </c>
      <c r="F106" s="14">
        <v>627</v>
      </c>
      <c r="G106" s="14">
        <v>0</v>
      </c>
      <c r="H106" s="14"/>
      <c r="I106" s="14">
        <v>28</v>
      </c>
      <c r="J106" s="14">
        <v>0</v>
      </c>
      <c r="K106" s="14">
        <v>655</v>
      </c>
      <c r="L106" s="14">
        <v>4077</v>
      </c>
      <c r="M106" s="15">
        <v>0.16065734608780965</v>
      </c>
      <c r="N106" s="14">
        <v>655</v>
      </c>
      <c r="O106" s="14">
        <v>655</v>
      </c>
      <c r="P106" s="14">
        <v>655</v>
      </c>
      <c r="Q106" s="13">
        <v>669.85254999999995</v>
      </c>
      <c r="R106" s="13">
        <v>664.90170000000001</v>
      </c>
    </row>
    <row r="107" spans="1:18" x14ac:dyDescent="0.3">
      <c r="A107" s="17">
        <v>1</v>
      </c>
      <c r="B107" s="17">
        <v>4</v>
      </c>
      <c r="C107" s="17" t="s">
        <v>572</v>
      </c>
      <c r="D107" s="16">
        <v>404380</v>
      </c>
      <c r="E107" s="17" t="s">
        <v>262</v>
      </c>
      <c r="F107" s="14">
        <v>1699</v>
      </c>
      <c r="G107" s="14">
        <v>0</v>
      </c>
      <c r="H107" s="14"/>
      <c r="I107" s="14">
        <v>77</v>
      </c>
      <c r="J107" s="14">
        <v>0</v>
      </c>
      <c r="K107" s="14">
        <v>1776</v>
      </c>
      <c r="L107" s="14">
        <v>11452</v>
      </c>
      <c r="M107" s="15">
        <v>0.15508208173244847</v>
      </c>
      <c r="N107" s="14">
        <v>1776</v>
      </c>
      <c r="O107" s="14">
        <v>1776</v>
      </c>
      <c r="P107" s="14">
        <v>1776</v>
      </c>
      <c r="Q107" s="13">
        <v>2318.5</v>
      </c>
      <c r="R107" s="13">
        <v>2318.5</v>
      </c>
    </row>
    <row r="108" spans="1:18" x14ac:dyDescent="0.3">
      <c r="A108" s="17">
        <v>1</v>
      </c>
      <c r="B108" s="17">
        <v>4</v>
      </c>
      <c r="C108" s="17" t="s">
        <v>572</v>
      </c>
      <c r="D108" s="16">
        <v>404410</v>
      </c>
      <c r="E108" s="17" t="s">
        <v>263</v>
      </c>
      <c r="F108" s="14">
        <v>160</v>
      </c>
      <c r="G108" s="14">
        <v>0</v>
      </c>
      <c r="H108" s="14"/>
      <c r="I108" s="14">
        <v>7</v>
      </c>
      <c r="J108" s="14">
        <v>0</v>
      </c>
      <c r="K108" s="14">
        <v>167</v>
      </c>
      <c r="L108" s="14">
        <v>610</v>
      </c>
      <c r="M108" s="15">
        <v>0.27377049180327867</v>
      </c>
      <c r="N108" s="14">
        <v>167</v>
      </c>
      <c r="O108" s="14">
        <v>167</v>
      </c>
      <c r="P108" s="14">
        <v>167</v>
      </c>
      <c r="Q108" s="13">
        <v>245.06824999999998</v>
      </c>
      <c r="R108" s="13">
        <v>251.17449999999997</v>
      </c>
    </row>
    <row r="109" spans="1:18" x14ac:dyDescent="0.3">
      <c r="A109" s="17">
        <v>1</v>
      </c>
      <c r="B109" s="17">
        <v>4</v>
      </c>
      <c r="C109" s="17" t="s">
        <v>572</v>
      </c>
      <c r="D109" s="16">
        <v>404440</v>
      </c>
      <c r="E109" s="17" t="s">
        <v>264</v>
      </c>
      <c r="F109" s="14">
        <v>1548</v>
      </c>
      <c r="G109" s="14">
        <v>38</v>
      </c>
      <c r="H109" s="14"/>
      <c r="I109" s="14">
        <v>70</v>
      </c>
      <c r="J109" s="14">
        <v>0</v>
      </c>
      <c r="K109" s="14">
        <v>1656</v>
      </c>
      <c r="L109" s="14">
        <v>6834</v>
      </c>
      <c r="M109" s="15">
        <v>0.24231782265144863</v>
      </c>
      <c r="N109" s="14">
        <v>1656</v>
      </c>
      <c r="O109" s="14">
        <v>1656</v>
      </c>
      <c r="P109" s="14">
        <v>1656</v>
      </c>
      <c r="Q109" s="13">
        <v>2208.1990500000006</v>
      </c>
      <c r="R109" s="13">
        <v>2169.1353000000008</v>
      </c>
    </row>
    <row r="110" spans="1:18" x14ac:dyDescent="0.3">
      <c r="A110" s="17">
        <v>1</v>
      </c>
      <c r="B110" s="17">
        <v>4</v>
      </c>
      <c r="C110" s="17" t="s">
        <v>572</v>
      </c>
      <c r="D110" s="16">
        <v>404500</v>
      </c>
      <c r="E110" s="17" t="s">
        <v>265</v>
      </c>
      <c r="F110" s="14">
        <v>1024</v>
      </c>
      <c r="G110" s="14">
        <v>25</v>
      </c>
      <c r="H110" s="14"/>
      <c r="I110" s="14">
        <v>46</v>
      </c>
      <c r="J110" s="14">
        <v>0</v>
      </c>
      <c r="K110" s="14">
        <v>1095</v>
      </c>
      <c r="L110" s="14">
        <v>5307</v>
      </c>
      <c r="M110" s="15">
        <v>0.20633126059920859</v>
      </c>
      <c r="N110" s="14">
        <v>1095</v>
      </c>
      <c r="O110" s="14">
        <v>1095</v>
      </c>
      <c r="P110" s="14">
        <v>1095</v>
      </c>
      <c r="Q110" s="13">
        <v>1297</v>
      </c>
      <c r="R110" s="13">
        <v>1297</v>
      </c>
    </row>
    <row r="111" spans="1:18" x14ac:dyDescent="0.3">
      <c r="A111" s="17">
        <v>1</v>
      </c>
      <c r="B111" s="17">
        <v>4</v>
      </c>
      <c r="C111" s="17" t="s">
        <v>572</v>
      </c>
      <c r="D111" s="16">
        <v>404530</v>
      </c>
      <c r="E111" s="17" t="s">
        <v>267</v>
      </c>
      <c r="F111" s="14">
        <v>24</v>
      </c>
      <c r="G111" s="14">
        <v>0</v>
      </c>
      <c r="H111" s="14"/>
      <c r="I111" s="14">
        <v>0</v>
      </c>
      <c r="J111" s="14">
        <v>0</v>
      </c>
      <c r="K111" s="14">
        <v>24</v>
      </c>
      <c r="L111" s="14">
        <v>157</v>
      </c>
      <c r="M111" s="15">
        <v>0.15286624203821655</v>
      </c>
      <c r="N111" s="14">
        <v>24</v>
      </c>
      <c r="O111" s="14">
        <v>24</v>
      </c>
      <c r="P111" s="14">
        <v>24</v>
      </c>
      <c r="Q111" s="13">
        <v>24</v>
      </c>
      <c r="R111" s="13">
        <v>24</v>
      </c>
    </row>
    <row r="112" spans="1:18" x14ac:dyDescent="0.3">
      <c r="A112" s="17">
        <v>1</v>
      </c>
      <c r="B112" s="17">
        <v>4</v>
      </c>
      <c r="C112" s="17" t="s">
        <v>572</v>
      </c>
      <c r="D112" s="16">
        <v>404570</v>
      </c>
      <c r="E112" s="17" t="s">
        <v>268</v>
      </c>
      <c r="F112" s="14">
        <v>219</v>
      </c>
      <c r="G112" s="14">
        <v>0</v>
      </c>
      <c r="H112" s="14"/>
      <c r="I112" s="14">
        <v>12</v>
      </c>
      <c r="J112" s="14">
        <v>0</v>
      </c>
      <c r="K112" s="14">
        <v>231</v>
      </c>
      <c r="L112" s="14">
        <v>1145</v>
      </c>
      <c r="M112" s="15">
        <v>0.2017467248908297</v>
      </c>
      <c r="N112" s="14">
        <v>231</v>
      </c>
      <c r="O112" s="14">
        <v>231</v>
      </c>
      <c r="P112" s="14">
        <v>231</v>
      </c>
      <c r="Q112" s="13">
        <v>270.45674999999994</v>
      </c>
      <c r="R112" s="13">
        <v>257.30449999999996</v>
      </c>
    </row>
    <row r="113" spans="1:18" x14ac:dyDescent="0.3">
      <c r="A113" s="17">
        <v>1</v>
      </c>
      <c r="B113" s="17">
        <v>4</v>
      </c>
      <c r="C113" s="17" t="s">
        <v>572</v>
      </c>
      <c r="D113" s="16">
        <v>404630</v>
      </c>
      <c r="E113" s="17" t="s">
        <v>269</v>
      </c>
      <c r="F113" s="14">
        <v>2029</v>
      </c>
      <c r="G113" s="14">
        <v>33</v>
      </c>
      <c r="H113" s="14"/>
      <c r="I113" s="14">
        <v>98</v>
      </c>
      <c r="J113" s="14">
        <v>0</v>
      </c>
      <c r="K113" s="14">
        <v>2160</v>
      </c>
      <c r="L113" s="14">
        <v>15503</v>
      </c>
      <c r="M113" s="15">
        <v>0.1393278720247694</v>
      </c>
      <c r="N113" s="14">
        <v>2160</v>
      </c>
      <c r="O113" s="14">
        <v>0</v>
      </c>
      <c r="P113" s="14">
        <v>2160</v>
      </c>
      <c r="Q113" s="13">
        <v>2894.5</v>
      </c>
      <c r="R113" s="13">
        <v>2894.5</v>
      </c>
    </row>
    <row r="114" spans="1:18" x14ac:dyDescent="0.3">
      <c r="A114" s="17">
        <v>1</v>
      </c>
      <c r="B114" s="17">
        <v>4</v>
      </c>
      <c r="C114" s="17" t="s">
        <v>572</v>
      </c>
      <c r="D114" s="16">
        <v>404720</v>
      </c>
      <c r="E114" s="17" t="s">
        <v>273</v>
      </c>
      <c r="F114" s="14">
        <v>1606</v>
      </c>
      <c r="G114" s="14">
        <v>0</v>
      </c>
      <c r="H114" s="14"/>
      <c r="I114" s="14">
        <v>87</v>
      </c>
      <c r="J114" s="14">
        <v>0</v>
      </c>
      <c r="K114" s="14">
        <v>1693</v>
      </c>
      <c r="L114" s="14">
        <v>10971</v>
      </c>
      <c r="M114" s="15">
        <v>0.15431592379910675</v>
      </c>
      <c r="N114" s="14">
        <v>1693</v>
      </c>
      <c r="O114" s="14">
        <v>1693</v>
      </c>
      <c r="P114" s="14">
        <v>1693</v>
      </c>
      <c r="Q114" s="13">
        <v>2194</v>
      </c>
      <c r="R114" s="13">
        <v>2194</v>
      </c>
    </row>
    <row r="115" spans="1:18" x14ac:dyDescent="0.3">
      <c r="A115" s="17">
        <v>1</v>
      </c>
      <c r="B115" s="17">
        <v>4</v>
      </c>
      <c r="C115" s="17" t="s">
        <v>572</v>
      </c>
      <c r="D115" s="16">
        <v>404820</v>
      </c>
      <c r="E115" s="17" t="s">
        <v>586</v>
      </c>
      <c r="F115" s="14">
        <v>215</v>
      </c>
      <c r="G115" s="14">
        <v>0</v>
      </c>
      <c r="H115" s="14"/>
      <c r="I115" s="14">
        <v>11</v>
      </c>
      <c r="J115" s="14">
        <v>0</v>
      </c>
      <c r="K115" s="14">
        <v>226</v>
      </c>
      <c r="L115" s="14">
        <v>721</v>
      </c>
      <c r="M115" s="15">
        <v>0.31345353675450766</v>
      </c>
      <c r="N115" s="14">
        <v>226</v>
      </c>
      <c r="O115" s="14">
        <v>226</v>
      </c>
      <c r="P115" s="14">
        <v>226</v>
      </c>
      <c r="Q115" s="13">
        <v>367.60112500000014</v>
      </c>
      <c r="R115" s="13">
        <v>395.53405000000015</v>
      </c>
    </row>
    <row r="116" spans="1:18" x14ac:dyDescent="0.3">
      <c r="A116" s="17">
        <v>1</v>
      </c>
      <c r="B116" s="17">
        <v>4</v>
      </c>
      <c r="C116" s="17" t="s">
        <v>572</v>
      </c>
      <c r="D116" s="16">
        <v>404860</v>
      </c>
      <c r="E116" s="17" t="s">
        <v>585</v>
      </c>
      <c r="F116" s="14">
        <v>68</v>
      </c>
      <c r="G116" s="14">
        <v>0</v>
      </c>
      <c r="H116" s="14"/>
      <c r="I116" s="14">
        <v>0</v>
      </c>
      <c r="J116" s="14">
        <v>0</v>
      </c>
      <c r="K116" s="14">
        <v>68</v>
      </c>
      <c r="L116" s="14">
        <v>159</v>
      </c>
      <c r="M116" s="15">
        <v>0.42767295597484278</v>
      </c>
      <c r="N116" s="14">
        <v>68</v>
      </c>
      <c r="O116" s="14">
        <v>68</v>
      </c>
      <c r="P116" s="14">
        <v>68</v>
      </c>
      <c r="Q116" s="13">
        <v>145.487675</v>
      </c>
      <c r="R116" s="13">
        <v>179.74754999999999</v>
      </c>
    </row>
    <row r="117" spans="1:18" x14ac:dyDescent="0.3">
      <c r="A117" s="17">
        <v>1</v>
      </c>
      <c r="B117" s="17">
        <v>4</v>
      </c>
      <c r="C117" s="17" t="s">
        <v>572</v>
      </c>
      <c r="D117" s="16">
        <v>404920</v>
      </c>
      <c r="E117" s="17" t="s">
        <v>281</v>
      </c>
      <c r="F117" s="14">
        <v>20</v>
      </c>
      <c r="G117" s="14">
        <v>0</v>
      </c>
      <c r="H117" s="14"/>
      <c r="I117" s="14">
        <v>1</v>
      </c>
      <c r="J117" s="14">
        <v>0</v>
      </c>
      <c r="K117" s="14">
        <v>21</v>
      </c>
      <c r="L117" s="14">
        <v>105</v>
      </c>
      <c r="M117" s="15">
        <v>0.2</v>
      </c>
      <c r="N117" s="14">
        <v>21</v>
      </c>
      <c r="O117" s="14">
        <v>21</v>
      </c>
      <c r="P117" s="14">
        <v>21</v>
      </c>
      <c r="Q117" s="13">
        <v>24.48075</v>
      </c>
      <c r="R117" s="13">
        <v>23.320500000000003</v>
      </c>
    </row>
    <row r="118" spans="1:18" x14ac:dyDescent="0.3">
      <c r="A118" s="17">
        <v>1</v>
      </c>
      <c r="B118" s="17">
        <v>4</v>
      </c>
      <c r="C118" s="17" t="s">
        <v>572</v>
      </c>
      <c r="D118" s="16">
        <v>404970</v>
      </c>
      <c r="E118" s="17" t="s">
        <v>282</v>
      </c>
      <c r="F118" s="14">
        <v>19794</v>
      </c>
      <c r="G118" s="14">
        <v>228</v>
      </c>
      <c r="H118" s="14"/>
      <c r="I118" s="14">
        <v>895</v>
      </c>
      <c r="J118" s="14">
        <v>0</v>
      </c>
      <c r="K118" s="14">
        <v>20917</v>
      </c>
      <c r="L118" s="14">
        <v>82498</v>
      </c>
      <c r="M118" s="15">
        <v>0.25354554049795147</v>
      </c>
      <c r="N118" s="14">
        <v>20917</v>
      </c>
      <c r="O118" s="14">
        <v>20917</v>
      </c>
      <c r="P118" s="14">
        <v>20917</v>
      </c>
      <c r="Q118" s="13">
        <v>46890.5</v>
      </c>
      <c r="R118" s="13">
        <v>59720.5</v>
      </c>
    </row>
    <row r="119" spans="1:18" x14ac:dyDescent="0.3">
      <c r="A119" s="17">
        <v>1</v>
      </c>
      <c r="B119" s="17">
        <v>4</v>
      </c>
      <c r="C119" s="17" t="s">
        <v>572</v>
      </c>
      <c r="D119" s="16">
        <v>405030</v>
      </c>
      <c r="E119" s="17" t="s">
        <v>285</v>
      </c>
      <c r="F119" s="14">
        <v>537</v>
      </c>
      <c r="G119" s="14">
        <v>0</v>
      </c>
      <c r="H119" s="14"/>
      <c r="I119" s="14">
        <v>15</v>
      </c>
      <c r="J119" s="14">
        <v>0</v>
      </c>
      <c r="K119" s="14">
        <v>552</v>
      </c>
      <c r="L119" s="14">
        <v>1223</v>
      </c>
      <c r="M119" s="15">
        <v>0.45134914145543747</v>
      </c>
      <c r="N119" s="14">
        <v>552</v>
      </c>
      <c r="O119" s="14">
        <v>552</v>
      </c>
      <c r="P119" s="14">
        <v>552</v>
      </c>
      <c r="Q119" s="13">
        <v>1234.8894749999999</v>
      </c>
      <c r="R119" s="13">
        <v>1556.3223500000004</v>
      </c>
    </row>
    <row r="120" spans="1:18" x14ac:dyDescent="0.3">
      <c r="A120" s="17">
        <v>1</v>
      </c>
      <c r="B120" s="17">
        <v>4</v>
      </c>
      <c r="C120" s="17" t="s">
        <v>572</v>
      </c>
      <c r="D120" s="16">
        <v>405070</v>
      </c>
      <c r="E120" s="17" t="s">
        <v>288</v>
      </c>
      <c r="F120" s="14">
        <v>255</v>
      </c>
      <c r="G120" s="14">
        <v>0</v>
      </c>
      <c r="H120" s="14"/>
      <c r="I120" s="14">
        <v>13</v>
      </c>
      <c r="J120" s="14">
        <v>0</v>
      </c>
      <c r="K120" s="14">
        <v>268</v>
      </c>
      <c r="L120" s="14">
        <v>1504</v>
      </c>
      <c r="M120" s="15">
        <v>0.17819148936170212</v>
      </c>
      <c r="N120" s="14">
        <v>268</v>
      </c>
      <c r="O120" s="14">
        <v>268</v>
      </c>
      <c r="P120" s="14">
        <v>268</v>
      </c>
      <c r="Q120" s="13">
        <v>293.25759999999997</v>
      </c>
      <c r="R120" s="13">
        <v>284.83839999999998</v>
      </c>
    </row>
    <row r="121" spans="1:18" x14ac:dyDescent="0.3">
      <c r="A121" s="17">
        <v>1</v>
      </c>
      <c r="B121" s="17">
        <v>4</v>
      </c>
      <c r="C121" s="17" t="s">
        <v>572</v>
      </c>
      <c r="D121" s="16">
        <v>405100</v>
      </c>
      <c r="E121" s="17" t="s">
        <v>499</v>
      </c>
      <c r="F121" s="14">
        <v>2</v>
      </c>
      <c r="G121" s="14">
        <v>0</v>
      </c>
      <c r="H121" s="14"/>
      <c r="I121" s="14">
        <v>0</v>
      </c>
      <c r="J121" s="14">
        <v>0</v>
      </c>
      <c r="K121" s="14">
        <v>2</v>
      </c>
      <c r="L121" s="14">
        <v>25</v>
      </c>
      <c r="M121" s="15">
        <v>0.08</v>
      </c>
      <c r="N121" s="14">
        <v>0</v>
      </c>
      <c r="O121" s="14">
        <v>0</v>
      </c>
      <c r="P121" s="14">
        <v>0</v>
      </c>
      <c r="Q121" s="13">
        <v>0</v>
      </c>
      <c r="R121" s="13">
        <v>0</v>
      </c>
    </row>
    <row r="122" spans="1:18" x14ac:dyDescent="0.3">
      <c r="A122" s="17">
        <v>1</v>
      </c>
      <c r="B122" s="17">
        <v>4</v>
      </c>
      <c r="C122" s="17" t="s">
        <v>572</v>
      </c>
      <c r="D122" s="16">
        <v>405190</v>
      </c>
      <c r="E122" s="17" t="s">
        <v>291</v>
      </c>
      <c r="F122" s="14">
        <v>532</v>
      </c>
      <c r="G122" s="14">
        <v>0</v>
      </c>
      <c r="H122" s="14"/>
      <c r="I122" s="14">
        <v>23</v>
      </c>
      <c r="J122" s="14">
        <v>0</v>
      </c>
      <c r="K122" s="14">
        <v>555</v>
      </c>
      <c r="L122" s="14">
        <v>2045</v>
      </c>
      <c r="M122" s="15">
        <v>0.27139364303178481</v>
      </c>
      <c r="N122" s="14">
        <v>555</v>
      </c>
      <c r="O122" s="14">
        <v>555</v>
      </c>
      <c r="P122" s="14">
        <v>555</v>
      </c>
      <c r="Q122" s="13">
        <v>809.42962499999987</v>
      </c>
      <c r="R122" s="13">
        <v>827.47024999999996</v>
      </c>
    </row>
    <row r="123" spans="1:18" x14ac:dyDescent="0.3">
      <c r="A123" s="17">
        <v>1</v>
      </c>
      <c r="B123" s="17">
        <v>4</v>
      </c>
      <c r="C123" s="17" t="s">
        <v>572</v>
      </c>
      <c r="D123" s="16">
        <v>405220</v>
      </c>
      <c r="E123" s="17" t="s">
        <v>292</v>
      </c>
      <c r="F123" s="14">
        <v>54</v>
      </c>
      <c r="G123" s="14">
        <v>0</v>
      </c>
      <c r="H123" s="14"/>
      <c r="I123" s="14">
        <v>1</v>
      </c>
      <c r="J123" s="14">
        <v>0</v>
      </c>
      <c r="K123" s="14">
        <v>55</v>
      </c>
      <c r="L123" s="14">
        <v>174</v>
      </c>
      <c r="M123" s="15">
        <v>0.31609195402298851</v>
      </c>
      <c r="N123" s="14">
        <v>55</v>
      </c>
      <c r="O123" s="14">
        <v>55</v>
      </c>
      <c r="P123" s="14">
        <v>55</v>
      </c>
      <c r="Q123" s="13">
        <v>90.205750000000009</v>
      </c>
      <c r="R123" s="13">
        <v>97.520700000000005</v>
      </c>
    </row>
    <row r="124" spans="1:18" x14ac:dyDescent="0.3">
      <c r="A124" s="17">
        <v>1</v>
      </c>
      <c r="B124" s="17">
        <v>4</v>
      </c>
      <c r="C124" s="17" t="s">
        <v>572</v>
      </c>
      <c r="D124" s="16">
        <v>405320</v>
      </c>
      <c r="E124" s="17" t="s">
        <v>295</v>
      </c>
      <c r="F124" s="14">
        <v>57</v>
      </c>
      <c r="G124" s="14">
        <v>0</v>
      </c>
      <c r="H124" s="14"/>
      <c r="I124" s="14">
        <v>0</v>
      </c>
      <c r="J124" s="14">
        <v>0</v>
      </c>
      <c r="K124" s="14">
        <v>57</v>
      </c>
      <c r="L124" s="14">
        <v>789</v>
      </c>
      <c r="M124" s="15">
        <v>7.2243346007604556E-2</v>
      </c>
      <c r="N124" s="14">
        <v>57</v>
      </c>
      <c r="O124" s="14">
        <v>0</v>
      </c>
      <c r="P124" s="14">
        <v>57</v>
      </c>
      <c r="Q124" s="13">
        <v>57</v>
      </c>
      <c r="R124" s="13">
        <v>57</v>
      </c>
    </row>
    <row r="125" spans="1:18" x14ac:dyDescent="0.3">
      <c r="A125" s="17">
        <v>1</v>
      </c>
      <c r="B125" s="17">
        <v>4</v>
      </c>
      <c r="C125" s="17" t="s">
        <v>572</v>
      </c>
      <c r="D125" s="16">
        <v>405340</v>
      </c>
      <c r="E125" s="17" t="s">
        <v>297</v>
      </c>
      <c r="F125" s="14">
        <v>37</v>
      </c>
      <c r="G125" s="14">
        <v>0</v>
      </c>
      <c r="H125" s="14"/>
      <c r="I125" s="14">
        <v>2</v>
      </c>
      <c r="J125" s="14">
        <v>0</v>
      </c>
      <c r="K125" s="14">
        <v>39</v>
      </c>
      <c r="L125" s="14">
        <v>277</v>
      </c>
      <c r="M125" s="15">
        <v>0.1407942238267148</v>
      </c>
      <c r="N125" s="14">
        <v>39</v>
      </c>
      <c r="O125" s="14">
        <v>0</v>
      </c>
      <c r="P125" s="14">
        <v>39</v>
      </c>
      <c r="Q125" s="13">
        <v>39</v>
      </c>
      <c r="R125" s="13">
        <v>39</v>
      </c>
    </row>
    <row r="126" spans="1:18" x14ac:dyDescent="0.3">
      <c r="A126" s="17">
        <v>1</v>
      </c>
      <c r="B126" s="17">
        <v>4</v>
      </c>
      <c r="C126" s="17" t="s">
        <v>572</v>
      </c>
      <c r="D126" s="16">
        <v>405400</v>
      </c>
      <c r="E126" s="17" t="s">
        <v>299</v>
      </c>
      <c r="F126" s="14">
        <v>1066</v>
      </c>
      <c r="G126" s="14">
        <v>0</v>
      </c>
      <c r="H126" s="14"/>
      <c r="I126" s="14">
        <v>48</v>
      </c>
      <c r="J126" s="14">
        <v>0</v>
      </c>
      <c r="K126" s="14">
        <v>1114</v>
      </c>
      <c r="L126" s="14">
        <v>2138</v>
      </c>
      <c r="M126" s="15">
        <v>0.52104770813844714</v>
      </c>
      <c r="N126" s="14">
        <v>1114</v>
      </c>
      <c r="O126" s="14">
        <v>1114</v>
      </c>
      <c r="P126" s="14">
        <v>1114</v>
      </c>
      <c r="Q126" s="13">
        <v>2754.8468499999999</v>
      </c>
      <c r="R126" s="13">
        <v>3614.7941000000005</v>
      </c>
    </row>
    <row r="127" spans="1:18" x14ac:dyDescent="0.3">
      <c r="A127" s="17">
        <v>1</v>
      </c>
      <c r="B127" s="17">
        <v>4</v>
      </c>
      <c r="C127" s="17" t="s">
        <v>572</v>
      </c>
      <c r="D127" s="16">
        <v>405430</v>
      </c>
      <c r="E127" s="17" t="s">
        <v>300</v>
      </c>
      <c r="F127" s="14">
        <v>121</v>
      </c>
      <c r="G127" s="14">
        <v>0</v>
      </c>
      <c r="H127" s="14"/>
      <c r="I127" s="14">
        <v>3</v>
      </c>
      <c r="J127" s="14">
        <v>0</v>
      </c>
      <c r="K127" s="14">
        <v>124</v>
      </c>
      <c r="L127" s="14">
        <v>371</v>
      </c>
      <c r="M127" s="15">
        <v>0.33423180592991913</v>
      </c>
      <c r="N127" s="14">
        <v>124</v>
      </c>
      <c r="O127" s="14">
        <v>124</v>
      </c>
      <c r="P127" s="14">
        <v>124</v>
      </c>
      <c r="Q127" s="13">
        <v>214.20737500000001</v>
      </c>
      <c r="R127" s="13">
        <v>238.21655000000001</v>
      </c>
    </row>
    <row r="128" spans="1:18" x14ac:dyDescent="0.3">
      <c r="A128" s="17">
        <v>1</v>
      </c>
      <c r="B128" s="17">
        <v>4</v>
      </c>
      <c r="C128" s="17" t="s">
        <v>572</v>
      </c>
      <c r="D128" s="16">
        <v>405460</v>
      </c>
      <c r="E128" s="17" t="s">
        <v>301</v>
      </c>
      <c r="F128" s="14">
        <v>259</v>
      </c>
      <c r="G128" s="14">
        <v>0</v>
      </c>
      <c r="H128" s="14"/>
      <c r="I128" s="14">
        <v>12</v>
      </c>
      <c r="J128" s="14">
        <v>0</v>
      </c>
      <c r="K128" s="14">
        <v>271</v>
      </c>
      <c r="L128" s="14">
        <v>1751</v>
      </c>
      <c r="M128" s="15">
        <v>0.15476870359794404</v>
      </c>
      <c r="N128" s="14">
        <v>271</v>
      </c>
      <c r="O128" s="14">
        <v>271</v>
      </c>
      <c r="P128" s="14">
        <v>271</v>
      </c>
      <c r="Q128" s="13">
        <v>271</v>
      </c>
      <c r="R128" s="13">
        <v>271</v>
      </c>
    </row>
    <row r="129" spans="1:18" x14ac:dyDescent="0.3">
      <c r="A129" s="17">
        <v>1</v>
      </c>
      <c r="B129" s="17">
        <v>4</v>
      </c>
      <c r="C129" s="17" t="s">
        <v>572</v>
      </c>
      <c r="D129" s="16">
        <v>405530</v>
      </c>
      <c r="E129" s="17" t="s">
        <v>306</v>
      </c>
      <c r="F129" s="14">
        <v>1926</v>
      </c>
      <c r="G129" s="14">
        <v>0</v>
      </c>
      <c r="H129" s="14"/>
      <c r="I129" s="14">
        <v>27</v>
      </c>
      <c r="J129" s="14">
        <v>0</v>
      </c>
      <c r="K129" s="14">
        <v>1953</v>
      </c>
      <c r="L129" s="14">
        <v>4749</v>
      </c>
      <c r="M129" s="15">
        <v>0.41124447252053065</v>
      </c>
      <c r="N129" s="14">
        <v>1953</v>
      </c>
      <c r="O129" s="14">
        <v>1953</v>
      </c>
      <c r="P129" s="14">
        <v>1953</v>
      </c>
      <c r="Q129" s="13">
        <v>4033.3394250000006</v>
      </c>
      <c r="R129" s="13">
        <v>4900.5730500000009</v>
      </c>
    </row>
    <row r="130" spans="1:18" x14ac:dyDescent="0.3">
      <c r="A130" s="17">
        <v>1</v>
      </c>
      <c r="B130" s="17">
        <v>4</v>
      </c>
      <c r="C130" s="17" t="s">
        <v>572</v>
      </c>
      <c r="D130" s="16">
        <v>405640</v>
      </c>
      <c r="E130" s="17" t="s">
        <v>311</v>
      </c>
      <c r="F130" s="14">
        <v>208</v>
      </c>
      <c r="G130" s="14">
        <v>0</v>
      </c>
      <c r="H130" s="14"/>
      <c r="I130" s="14">
        <v>11</v>
      </c>
      <c r="J130" s="14">
        <v>0</v>
      </c>
      <c r="K130" s="14">
        <v>219</v>
      </c>
      <c r="L130" s="14">
        <v>1051</v>
      </c>
      <c r="M130" s="15">
        <v>0.20837297811607994</v>
      </c>
      <c r="N130" s="14">
        <v>219</v>
      </c>
      <c r="O130" s="14">
        <v>219</v>
      </c>
      <c r="P130" s="14">
        <v>219</v>
      </c>
      <c r="Q130" s="13">
        <v>260.44065000000001</v>
      </c>
      <c r="R130" s="13">
        <v>246.62710000000004</v>
      </c>
    </row>
    <row r="131" spans="1:18" x14ac:dyDescent="0.3">
      <c r="A131" s="17">
        <v>1</v>
      </c>
      <c r="B131" s="17">
        <v>4</v>
      </c>
      <c r="C131" s="17" t="s">
        <v>572</v>
      </c>
      <c r="D131" s="16">
        <v>405670</v>
      </c>
      <c r="E131" s="17" t="s">
        <v>312</v>
      </c>
      <c r="F131" s="14">
        <v>1770</v>
      </c>
      <c r="G131" s="14">
        <v>7</v>
      </c>
      <c r="H131" s="14"/>
      <c r="I131" s="14">
        <v>80</v>
      </c>
      <c r="J131" s="14">
        <v>0</v>
      </c>
      <c r="K131" s="14">
        <v>1857</v>
      </c>
      <c r="L131" s="14">
        <v>3945</v>
      </c>
      <c r="M131" s="15">
        <v>0.47072243346007603</v>
      </c>
      <c r="N131" s="14">
        <v>1857</v>
      </c>
      <c r="O131" s="14">
        <v>1857</v>
      </c>
      <c r="P131" s="14">
        <v>1857</v>
      </c>
      <c r="Q131" s="13">
        <v>4289.0621249999995</v>
      </c>
      <c r="R131" s="13">
        <v>5478.7552499999993</v>
      </c>
    </row>
    <row r="132" spans="1:18" x14ac:dyDescent="0.3">
      <c r="A132" s="17">
        <v>1</v>
      </c>
      <c r="B132" s="17">
        <v>4</v>
      </c>
      <c r="C132" s="17" t="s">
        <v>572</v>
      </c>
      <c r="D132" s="16">
        <v>405730</v>
      </c>
      <c r="E132" s="17" t="s">
        <v>313</v>
      </c>
      <c r="F132" s="14">
        <v>10</v>
      </c>
      <c r="G132" s="14">
        <v>0</v>
      </c>
      <c r="H132" s="14"/>
      <c r="I132" s="14">
        <v>0</v>
      </c>
      <c r="J132" s="14">
        <v>0</v>
      </c>
      <c r="K132" s="14">
        <v>10</v>
      </c>
      <c r="L132" s="14">
        <v>60</v>
      </c>
      <c r="M132" s="15">
        <v>0.16666666666666666</v>
      </c>
      <c r="N132" s="14">
        <v>10</v>
      </c>
      <c r="O132" s="14">
        <v>10</v>
      </c>
      <c r="P132" s="14">
        <v>10</v>
      </c>
      <c r="Q132" s="13">
        <v>10.488999999999995</v>
      </c>
      <c r="R132" s="13">
        <v>10.325999999999997</v>
      </c>
    </row>
    <row r="133" spans="1:18" x14ac:dyDescent="0.3">
      <c r="A133" s="17">
        <v>1</v>
      </c>
      <c r="B133" s="17">
        <v>4</v>
      </c>
      <c r="C133" s="17" t="s">
        <v>572</v>
      </c>
      <c r="D133" s="16">
        <v>405820</v>
      </c>
      <c r="E133" s="17" t="s">
        <v>315</v>
      </c>
      <c r="F133" s="14">
        <v>722</v>
      </c>
      <c r="G133" s="14">
        <v>0</v>
      </c>
      <c r="H133" s="14"/>
      <c r="I133" s="14">
        <v>10</v>
      </c>
      <c r="J133" s="14">
        <v>0</v>
      </c>
      <c r="K133" s="14">
        <v>732</v>
      </c>
      <c r="L133" s="14">
        <v>2900</v>
      </c>
      <c r="M133" s="15">
        <v>0.2524137931034483</v>
      </c>
      <c r="N133" s="14">
        <v>732</v>
      </c>
      <c r="O133" s="14">
        <v>732</v>
      </c>
      <c r="P133" s="14">
        <v>732</v>
      </c>
      <c r="Q133" s="13">
        <v>1010.2425000000003</v>
      </c>
      <c r="R133" s="13">
        <v>1008.3050000000003</v>
      </c>
    </row>
    <row r="134" spans="1:18" x14ac:dyDescent="0.3">
      <c r="A134" s="17">
        <v>1</v>
      </c>
      <c r="B134" s="17">
        <v>4</v>
      </c>
      <c r="C134" s="17" t="s">
        <v>572</v>
      </c>
      <c r="D134" s="16">
        <v>405850</v>
      </c>
      <c r="E134" s="17" t="s">
        <v>317</v>
      </c>
      <c r="F134" s="14">
        <v>115</v>
      </c>
      <c r="G134" s="14">
        <v>0</v>
      </c>
      <c r="H134" s="14"/>
      <c r="I134" s="14">
        <v>5</v>
      </c>
      <c r="J134" s="14">
        <v>0</v>
      </c>
      <c r="K134" s="14">
        <v>120</v>
      </c>
      <c r="L134" s="14">
        <v>454</v>
      </c>
      <c r="M134" s="15">
        <v>0.26431718061674009</v>
      </c>
      <c r="N134" s="14">
        <v>120</v>
      </c>
      <c r="O134" s="14">
        <v>120</v>
      </c>
      <c r="P134" s="14">
        <v>120</v>
      </c>
      <c r="Q134" s="13">
        <v>171.66555</v>
      </c>
      <c r="R134" s="13">
        <v>174.0643</v>
      </c>
    </row>
    <row r="135" spans="1:18" x14ac:dyDescent="0.3">
      <c r="A135" s="17">
        <v>1</v>
      </c>
      <c r="B135" s="17">
        <v>4</v>
      </c>
      <c r="C135" s="17" t="s">
        <v>572</v>
      </c>
      <c r="D135" s="16">
        <v>408430</v>
      </c>
      <c r="E135" s="17" t="s">
        <v>318</v>
      </c>
      <c r="F135" s="14">
        <v>41</v>
      </c>
      <c r="G135" s="14">
        <v>0</v>
      </c>
      <c r="H135" s="14"/>
      <c r="I135" s="14">
        <v>2</v>
      </c>
      <c r="J135" s="14">
        <v>0</v>
      </c>
      <c r="K135" s="14">
        <v>43</v>
      </c>
      <c r="L135" s="14">
        <v>84</v>
      </c>
      <c r="M135" s="15">
        <v>0.51190476190476186</v>
      </c>
      <c r="N135" s="14">
        <v>43</v>
      </c>
      <c r="O135" s="14">
        <v>43</v>
      </c>
      <c r="P135" s="14">
        <v>43</v>
      </c>
      <c r="Q135" s="13">
        <v>105.16329999999999</v>
      </c>
      <c r="R135" s="13">
        <v>137.41379999999998</v>
      </c>
    </row>
    <row r="136" spans="1:18" x14ac:dyDescent="0.3">
      <c r="A136" s="17">
        <v>1</v>
      </c>
      <c r="B136" s="17">
        <v>4</v>
      </c>
      <c r="C136" s="17" t="s">
        <v>572</v>
      </c>
      <c r="D136" s="16">
        <v>405880</v>
      </c>
      <c r="E136" s="17" t="s">
        <v>319</v>
      </c>
      <c r="F136" s="14">
        <v>436</v>
      </c>
      <c r="G136" s="14">
        <v>0</v>
      </c>
      <c r="H136" s="14"/>
      <c r="I136" s="14">
        <v>11</v>
      </c>
      <c r="J136" s="14">
        <v>0</v>
      </c>
      <c r="K136" s="14">
        <v>447</v>
      </c>
      <c r="L136" s="14">
        <v>1648</v>
      </c>
      <c r="M136" s="15">
        <v>0.27123786407766992</v>
      </c>
      <c r="N136" s="14">
        <v>447</v>
      </c>
      <c r="O136" s="14">
        <v>447</v>
      </c>
      <c r="P136" s="14">
        <v>447</v>
      </c>
      <c r="Q136" s="13">
        <v>651.65160000000014</v>
      </c>
      <c r="R136" s="13">
        <v>666.06160000000011</v>
      </c>
    </row>
    <row r="137" spans="1:18" x14ac:dyDescent="0.3">
      <c r="A137" s="17">
        <v>1</v>
      </c>
      <c r="B137" s="17">
        <v>4</v>
      </c>
      <c r="C137" s="17" t="s">
        <v>572</v>
      </c>
      <c r="D137" s="16">
        <v>405930</v>
      </c>
      <c r="E137" s="17" t="s">
        <v>321</v>
      </c>
      <c r="F137" s="14">
        <v>6348</v>
      </c>
      <c r="G137" s="14">
        <v>58</v>
      </c>
      <c r="H137" s="14"/>
      <c r="I137" s="14">
        <v>287</v>
      </c>
      <c r="J137" s="14">
        <v>0</v>
      </c>
      <c r="K137" s="14">
        <v>6693</v>
      </c>
      <c r="L137" s="14">
        <v>40856</v>
      </c>
      <c r="M137" s="15">
        <v>0.16381926767182298</v>
      </c>
      <c r="N137" s="14">
        <v>6693</v>
      </c>
      <c r="O137" s="14">
        <v>6693</v>
      </c>
      <c r="P137" s="14">
        <v>6693</v>
      </c>
      <c r="Q137" s="13">
        <v>11909.5</v>
      </c>
      <c r="R137" s="13">
        <v>13017.25</v>
      </c>
    </row>
    <row r="138" spans="1:18" x14ac:dyDescent="0.3">
      <c r="A138" s="17">
        <v>1</v>
      </c>
      <c r="B138" s="17">
        <v>4</v>
      </c>
      <c r="C138" s="17" t="s">
        <v>572</v>
      </c>
      <c r="D138" s="16">
        <v>405980</v>
      </c>
      <c r="E138" s="17" t="s">
        <v>325</v>
      </c>
      <c r="F138" s="14">
        <v>565</v>
      </c>
      <c r="G138" s="14">
        <v>0</v>
      </c>
      <c r="H138" s="14"/>
      <c r="I138" s="14">
        <v>22</v>
      </c>
      <c r="J138" s="14">
        <v>0</v>
      </c>
      <c r="K138" s="14">
        <v>587</v>
      </c>
      <c r="L138" s="14">
        <v>1699</v>
      </c>
      <c r="M138" s="15">
        <v>0.34549735138316656</v>
      </c>
      <c r="N138" s="14">
        <v>587</v>
      </c>
      <c r="O138" s="14">
        <v>587</v>
      </c>
      <c r="P138" s="14">
        <v>587</v>
      </c>
      <c r="Q138" s="13">
        <v>1043.1713750000001</v>
      </c>
      <c r="R138" s="13">
        <v>1177.0469500000002</v>
      </c>
    </row>
    <row r="139" spans="1:18" x14ac:dyDescent="0.3">
      <c r="A139" s="17">
        <v>1</v>
      </c>
      <c r="B139" s="17">
        <v>4</v>
      </c>
      <c r="C139" s="17" t="s">
        <v>572</v>
      </c>
      <c r="D139" s="16">
        <v>406000</v>
      </c>
      <c r="E139" s="17" t="s">
        <v>327</v>
      </c>
      <c r="F139" s="14">
        <v>39</v>
      </c>
      <c r="G139" s="14">
        <v>0</v>
      </c>
      <c r="H139" s="14"/>
      <c r="I139" s="14">
        <v>1</v>
      </c>
      <c r="J139" s="14">
        <v>0</v>
      </c>
      <c r="K139" s="14">
        <v>40</v>
      </c>
      <c r="L139" s="14">
        <v>126</v>
      </c>
      <c r="M139" s="15">
        <v>0.31746031746031744</v>
      </c>
      <c r="N139" s="14">
        <v>40</v>
      </c>
      <c r="O139" s="14">
        <v>40</v>
      </c>
      <c r="P139" s="14">
        <v>40</v>
      </c>
      <c r="Q139" s="13">
        <v>65.881749999999997</v>
      </c>
      <c r="R139" s="13">
        <v>71.394299999999987</v>
      </c>
    </row>
    <row r="140" spans="1:18" x14ac:dyDescent="0.3">
      <c r="A140" s="17">
        <v>1</v>
      </c>
      <c r="B140" s="17">
        <v>4</v>
      </c>
      <c r="C140" s="17" t="s">
        <v>572</v>
      </c>
      <c r="D140" s="16">
        <v>406030</v>
      </c>
      <c r="E140" s="17" t="s">
        <v>328</v>
      </c>
      <c r="F140" s="14">
        <v>21</v>
      </c>
      <c r="G140" s="14">
        <v>0</v>
      </c>
      <c r="H140" s="14"/>
      <c r="I140" s="14">
        <v>0</v>
      </c>
      <c r="J140" s="14">
        <v>0</v>
      </c>
      <c r="K140" s="14">
        <v>21</v>
      </c>
      <c r="L140" s="14">
        <v>129</v>
      </c>
      <c r="M140" s="15">
        <v>0.16279069767441862</v>
      </c>
      <c r="N140" s="14">
        <v>21</v>
      </c>
      <c r="O140" s="14">
        <v>21</v>
      </c>
      <c r="P140" s="14">
        <v>21</v>
      </c>
      <c r="Q140" s="13">
        <v>21.676350000000003</v>
      </c>
      <c r="R140" s="13">
        <v>21.450900000000001</v>
      </c>
    </row>
    <row r="141" spans="1:18" x14ac:dyDescent="0.3">
      <c r="A141" s="17">
        <v>1</v>
      </c>
      <c r="B141" s="17">
        <v>4</v>
      </c>
      <c r="C141" s="17" t="s">
        <v>572</v>
      </c>
      <c r="D141" s="16">
        <v>406070</v>
      </c>
      <c r="E141" s="17" t="s">
        <v>330</v>
      </c>
      <c r="F141" s="14">
        <v>705</v>
      </c>
      <c r="G141" s="14">
        <v>0</v>
      </c>
      <c r="H141" s="14"/>
      <c r="I141" s="14">
        <v>19</v>
      </c>
      <c r="J141" s="14">
        <v>0</v>
      </c>
      <c r="K141" s="14">
        <v>724</v>
      </c>
      <c r="L141" s="14">
        <v>2700</v>
      </c>
      <c r="M141" s="15">
        <v>0.26814814814814814</v>
      </c>
      <c r="N141" s="14">
        <v>724</v>
      </c>
      <c r="O141" s="14">
        <v>724</v>
      </c>
      <c r="P141" s="14">
        <v>724</v>
      </c>
      <c r="Q141" s="13">
        <v>1046.7775000000001</v>
      </c>
      <c r="R141" s="13">
        <v>1066.2149999999999</v>
      </c>
    </row>
    <row r="142" spans="1:18" x14ac:dyDescent="0.3">
      <c r="A142" s="17">
        <v>1</v>
      </c>
      <c r="B142" s="17">
        <v>4</v>
      </c>
      <c r="C142" s="17" t="s">
        <v>572</v>
      </c>
      <c r="D142" s="16">
        <v>406120</v>
      </c>
      <c r="E142" s="17" t="s">
        <v>331</v>
      </c>
      <c r="F142" s="14">
        <v>101</v>
      </c>
      <c r="G142" s="14">
        <v>0</v>
      </c>
      <c r="H142" s="14"/>
      <c r="I142" s="14">
        <v>4</v>
      </c>
      <c r="J142" s="14">
        <v>0</v>
      </c>
      <c r="K142" s="14">
        <v>105</v>
      </c>
      <c r="L142" s="14">
        <v>292</v>
      </c>
      <c r="M142" s="15">
        <v>0.3595890410958904</v>
      </c>
      <c r="N142" s="14">
        <v>105</v>
      </c>
      <c r="O142" s="14">
        <v>105</v>
      </c>
      <c r="P142" s="14">
        <v>105</v>
      </c>
      <c r="Q142" s="13">
        <v>192.6585</v>
      </c>
      <c r="R142" s="13">
        <v>220.81060000000002</v>
      </c>
    </row>
    <row r="143" spans="1:18" x14ac:dyDescent="0.3">
      <c r="A143" s="17">
        <v>1</v>
      </c>
      <c r="B143" s="17">
        <v>4</v>
      </c>
      <c r="C143" s="17" t="s">
        <v>572</v>
      </c>
      <c r="D143" s="16">
        <v>406150</v>
      </c>
      <c r="E143" s="17" t="s">
        <v>333</v>
      </c>
      <c r="F143" s="14">
        <v>31</v>
      </c>
      <c r="G143" s="14">
        <v>0</v>
      </c>
      <c r="H143" s="14"/>
      <c r="I143" s="14">
        <v>1</v>
      </c>
      <c r="J143" s="14">
        <v>0</v>
      </c>
      <c r="K143" s="14">
        <v>32</v>
      </c>
      <c r="L143" s="14">
        <v>115</v>
      </c>
      <c r="M143" s="15">
        <v>0.27826086956521739</v>
      </c>
      <c r="N143" s="14">
        <v>32</v>
      </c>
      <c r="O143" s="14">
        <v>32</v>
      </c>
      <c r="P143" s="14">
        <v>32</v>
      </c>
      <c r="Q143" s="13">
        <v>47.492374999999996</v>
      </c>
      <c r="R143" s="13">
        <v>48.90175</v>
      </c>
    </row>
    <row r="144" spans="1:18" x14ac:dyDescent="0.3">
      <c r="A144" s="17">
        <v>1</v>
      </c>
      <c r="B144" s="17">
        <v>4</v>
      </c>
      <c r="C144" s="17" t="s">
        <v>572</v>
      </c>
      <c r="D144" s="16">
        <v>406210</v>
      </c>
      <c r="E144" s="17" t="s">
        <v>334</v>
      </c>
      <c r="F144" s="14">
        <v>3086</v>
      </c>
      <c r="G144" s="14">
        <v>38</v>
      </c>
      <c r="H144" s="14"/>
      <c r="I144" s="14">
        <v>140</v>
      </c>
      <c r="J144" s="14">
        <v>0</v>
      </c>
      <c r="K144" s="14">
        <v>3264</v>
      </c>
      <c r="L144" s="14">
        <v>11337</v>
      </c>
      <c r="M144" s="15">
        <v>0.28790685366499075</v>
      </c>
      <c r="N144" s="14">
        <v>3264</v>
      </c>
      <c r="O144" s="14">
        <v>3264</v>
      </c>
      <c r="P144" s="14">
        <v>3264</v>
      </c>
      <c r="Q144" s="13">
        <v>5051.5</v>
      </c>
      <c r="R144" s="13">
        <v>5302</v>
      </c>
    </row>
    <row r="145" spans="1:18" x14ac:dyDescent="0.3">
      <c r="A145" s="17">
        <v>1</v>
      </c>
      <c r="B145" s="17">
        <v>4</v>
      </c>
      <c r="C145" s="17" t="s">
        <v>572</v>
      </c>
      <c r="D145" s="16">
        <v>406250</v>
      </c>
      <c r="E145" s="17" t="s">
        <v>335</v>
      </c>
      <c r="F145" s="14">
        <v>5852</v>
      </c>
      <c r="G145" s="14">
        <v>57</v>
      </c>
      <c r="H145" s="14"/>
      <c r="I145" s="14">
        <v>265</v>
      </c>
      <c r="J145" s="14">
        <v>0</v>
      </c>
      <c r="K145" s="14">
        <v>6174</v>
      </c>
      <c r="L145" s="14">
        <v>39820</v>
      </c>
      <c r="M145" s="15">
        <v>0.155047714716223</v>
      </c>
      <c r="N145" s="14">
        <v>6174</v>
      </c>
      <c r="O145" s="14">
        <v>6174</v>
      </c>
      <c r="P145" s="14">
        <v>6174</v>
      </c>
      <c r="Q145" s="13">
        <v>10871.5</v>
      </c>
      <c r="R145" s="13">
        <v>11849.5</v>
      </c>
    </row>
    <row r="146" spans="1:18" x14ac:dyDescent="0.3">
      <c r="A146" s="17">
        <v>1</v>
      </c>
      <c r="B146" s="17">
        <v>4</v>
      </c>
      <c r="C146" s="17" t="s">
        <v>572</v>
      </c>
      <c r="D146" s="16">
        <v>406300</v>
      </c>
      <c r="E146" s="17" t="s">
        <v>337</v>
      </c>
      <c r="F146" s="14">
        <v>3709</v>
      </c>
      <c r="G146" s="14">
        <v>0</v>
      </c>
      <c r="H146" s="14"/>
      <c r="I146" s="14">
        <v>168</v>
      </c>
      <c r="J146" s="14">
        <v>0</v>
      </c>
      <c r="K146" s="14">
        <v>3877</v>
      </c>
      <c r="L146" s="14">
        <v>6996</v>
      </c>
      <c r="M146" s="15">
        <v>0.55417381360777584</v>
      </c>
      <c r="N146" s="14">
        <v>3877</v>
      </c>
      <c r="O146" s="14">
        <v>3877</v>
      </c>
      <c r="P146" s="14">
        <v>3877</v>
      </c>
      <c r="Q146" s="13">
        <v>9941.457699999999</v>
      </c>
      <c r="R146" s="13">
        <v>13218.8922</v>
      </c>
    </row>
    <row r="147" spans="1:18" x14ac:dyDescent="0.3">
      <c r="A147" s="17">
        <v>1</v>
      </c>
      <c r="B147" s="17">
        <v>4</v>
      </c>
      <c r="C147" s="17" t="s">
        <v>572</v>
      </c>
      <c r="D147" s="16">
        <v>406330</v>
      </c>
      <c r="E147" s="17" t="s">
        <v>339</v>
      </c>
      <c r="F147" s="14">
        <v>14344</v>
      </c>
      <c r="G147" s="14">
        <v>38</v>
      </c>
      <c r="H147" s="14"/>
      <c r="I147" s="14">
        <v>649</v>
      </c>
      <c r="J147" s="14">
        <v>0</v>
      </c>
      <c r="K147" s="14">
        <v>15031</v>
      </c>
      <c r="L147" s="14">
        <v>42512</v>
      </c>
      <c r="M147" s="15">
        <v>0.35357075649228453</v>
      </c>
      <c r="N147" s="14">
        <v>15031</v>
      </c>
      <c r="O147" s="14">
        <v>15031</v>
      </c>
      <c r="P147" s="14">
        <v>15031</v>
      </c>
      <c r="Q147" s="13">
        <v>32175.5</v>
      </c>
      <c r="R147" s="13">
        <v>39855.25</v>
      </c>
    </row>
    <row r="148" spans="1:18" x14ac:dyDescent="0.3">
      <c r="A148" s="17">
        <v>1</v>
      </c>
      <c r="B148" s="17">
        <v>4</v>
      </c>
      <c r="C148" s="17" t="s">
        <v>572</v>
      </c>
      <c r="D148" s="16">
        <v>406360</v>
      </c>
      <c r="E148" s="17" t="s">
        <v>340</v>
      </c>
      <c r="F148" s="14">
        <v>32</v>
      </c>
      <c r="G148" s="14">
        <v>0</v>
      </c>
      <c r="H148" s="14"/>
      <c r="I148" s="14">
        <v>2</v>
      </c>
      <c r="J148" s="14">
        <v>0</v>
      </c>
      <c r="K148" s="14">
        <v>34</v>
      </c>
      <c r="L148" s="14">
        <v>134</v>
      </c>
      <c r="M148" s="15">
        <v>0.2537313432835821</v>
      </c>
      <c r="N148" s="14">
        <v>34</v>
      </c>
      <c r="O148" s="14">
        <v>34</v>
      </c>
      <c r="P148" s="14">
        <v>34</v>
      </c>
      <c r="Q148" s="13">
        <v>47.121550000000006</v>
      </c>
      <c r="R148" s="13">
        <v>47.120300000000007</v>
      </c>
    </row>
    <row r="149" spans="1:18" x14ac:dyDescent="0.3">
      <c r="A149" s="17">
        <v>1</v>
      </c>
      <c r="B149" s="17">
        <v>4</v>
      </c>
      <c r="C149" s="17" t="s">
        <v>572</v>
      </c>
      <c r="D149" s="16">
        <v>406440</v>
      </c>
      <c r="E149" s="17" t="s">
        <v>345</v>
      </c>
      <c r="F149" s="14">
        <v>194</v>
      </c>
      <c r="G149" s="14">
        <v>0</v>
      </c>
      <c r="H149" s="14"/>
      <c r="I149" s="14">
        <v>5</v>
      </c>
      <c r="J149" s="14">
        <v>0</v>
      </c>
      <c r="K149" s="14">
        <v>199</v>
      </c>
      <c r="L149" s="14">
        <v>939</v>
      </c>
      <c r="M149" s="15">
        <v>0.21192758253461128</v>
      </c>
      <c r="N149" s="14">
        <v>199</v>
      </c>
      <c r="O149" s="14">
        <v>199</v>
      </c>
      <c r="P149" s="14">
        <v>199</v>
      </c>
      <c r="Q149" s="13">
        <v>238.52785000000006</v>
      </c>
      <c r="R149" s="13">
        <v>225.35190000000003</v>
      </c>
    </row>
    <row r="150" spans="1:18" x14ac:dyDescent="0.3">
      <c r="A150" s="17">
        <v>1</v>
      </c>
      <c r="B150" s="17">
        <v>4</v>
      </c>
      <c r="C150" s="17" t="s">
        <v>572</v>
      </c>
      <c r="D150" s="16">
        <v>406510</v>
      </c>
      <c r="E150" s="17" t="s">
        <v>347</v>
      </c>
      <c r="F150" s="14">
        <v>53</v>
      </c>
      <c r="G150" s="14">
        <v>0</v>
      </c>
      <c r="H150" s="14"/>
      <c r="I150" s="14">
        <v>1</v>
      </c>
      <c r="J150" s="14">
        <v>0</v>
      </c>
      <c r="K150" s="14">
        <v>54</v>
      </c>
      <c r="L150" s="14">
        <v>220</v>
      </c>
      <c r="M150" s="15">
        <v>0.24545454545454545</v>
      </c>
      <c r="N150" s="14">
        <v>54</v>
      </c>
      <c r="O150" s="14">
        <v>54</v>
      </c>
      <c r="P150" s="14">
        <v>54</v>
      </c>
      <c r="Q150" s="13">
        <v>72.811500000000024</v>
      </c>
      <c r="R150" s="13">
        <v>71.899000000000015</v>
      </c>
    </row>
    <row r="151" spans="1:18" x14ac:dyDescent="0.3">
      <c r="A151" s="17">
        <v>1</v>
      </c>
      <c r="B151" s="17">
        <v>4</v>
      </c>
      <c r="C151" s="17" t="s">
        <v>572</v>
      </c>
      <c r="D151" s="16">
        <v>400023</v>
      </c>
      <c r="E151" s="17" t="s">
        <v>348</v>
      </c>
      <c r="F151" s="14">
        <v>757</v>
      </c>
      <c r="G151" s="14">
        <v>0</v>
      </c>
      <c r="H151" s="14"/>
      <c r="I151" s="14">
        <v>10</v>
      </c>
      <c r="J151" s="14">
        <v>0</v>
      </c>
      <c r="K151" s="14">
        <v>767</v>
      </c>
      <c r="L151" s="14">
        <v>1801</v>
      </c>
      <c r="M151" s="15">
        <v>0.42587451415880068</v>
      </c>
      <c r="N151" s="14">
        <v>767</v>
      </c>
      <c r="O151" s="14">
        <v>767</v>
      </c>
      <c r="P151" s="14">
        <v>767</v>
      </c>
      <c r="Q151" s="13">
        <v>1634.989325</v>
      </c>
      <c r="R151" s="13">
        <v>2016.5744499999998</v>
      </c>
    </row>
    <row r="152" spans="1:18" x14ac:dyDescent="0.3">
      <c r="A152" s="17">
        <v>1</v>
      </c>
      <c r="B152" s="17">
        <v>4</v>
      </c>
      <c r="C152" s="17" t="s">
        <v>572</v>
      </c>
      <c r="D152" s="16">
        <v>406630</v>
      </c>
      <c r="E152" s="17" t="s">
        <v>349</v>
      </c>
      <c r="F152" s="14">
        <v>37</v>
      </c>
      <c r="G152" s="14">
        <v>0</v>
      </c>
      <c r="H152" s="14"/>
      <c r="I152" s="14">
        <v>1</v>
      </c>
      <c r="J152" s="14">
        <v>0</v>
      </c>
      <c r="K152" s="14">
        <v>38</v>
      </c>
      <c r="L152" s="14">
        <v>162</v>
      </c>
      <c r="M152" s="15">
        <v>0.23456790123456789</v>
      </c>
      <c r="N152" s="14">
        <v>38</v>
      </c>
      <c r="O152" s="14">
        <v>38</v>
      </c>
      <c r="P152" s="14">
        <v>38</v>
      </c>
      <c r="Q152" s="13">
        <v>49.206649999999996</v>
      </c>
      <c r="R152" s="13">
        <v>47.652899999999995</v>
      </c>
    </row>
    <row r="153" spans="1:18" x14ac:dyDescent="0.3">
      <c r="A153" s="17">
        <v>1</v>
      </c>
      <c r="B153" s="17">
        <v>4</v>
      </c>
      <c r="C153" s="17" t="s">
        <v>572</v>
      </c>
      <c r="D153" s="16">
        <v>406730</v>
      </c>
      <c r="E153" s="17" t="s">
        <v>352</v>
      </c>
      <c r="F153" s="14">
        <v>826</v>
      </c>
      <c r="G153" s="14">
        <v>0</v>
      </c>
      <c r="H153" s="14"/>
      <c r="I153" s="14">
        <v>42</v>
      </c>
      <c r="J153" s="14">
        <v>0</v>
      </c>
      <c r="K153" s="14">
        <v>868</v>
      </c>
      <c r="L153" s="14">
        <v>5688</v>
      </c>
      <c r="M153" s="15">
        <v>0.15260196905766527</v>
      </c>
      <c r="N153" s="14">
        <v>868</v>
      </c>
      <c r="O153" s="14">
        <v>868</v>
      </c>
      <c r="P153" s="14">
        <v>868</v>
      </c>
      <c r="Q153" s="13">
        <v>956.5</v>
      </c>
      <c r="R153" s="13">
        <v>956.5</v>
      </c>
    </row>
    <row r="154" spans="1:18" x14ac:dyDescent="0.3">
      <c r="A154" s="17">
        <v>1</v>
      </c>
      <c r="B154" s="17">
        <v>4</v>
      </c>
      <c r="C154" s="17" t="s">
        <v>572</v>
      </c>
      <c r="D154" s="16">
        <v>406780</v>
      </c>
      <c r="E154" s="17" t="s">
        <v>355</v>
      </c>
      <c r="F154" s="14">
        <v>53</v>
      </c>
      <c r="G154" s="14">
        <v>0</v>
      </c>
      <c r="H154" s="14"/>
      <c r="I154" s="14">
        <v>2</v>
      </c>
      <c r="J154" s="14">
        <v>0</v>
      </c>
      <c r="K154" s="14">
        <v>55</v>
      </c>
      <c r="L154" s="14">
        <v>303</v>
      </c>
      <c r="M154" s="15">
        <v>0.18151815181518152</v>
      </c>
      <c r="N154" s="14">
        <v>55</v>
      </c>
      <c r="O154" s="14">
        <v>55</v>
      </c>
      <c r="P154" s="14">
        <v>55</v>
      </c>
      <c r="Q154" s="13">
        <v>60.844450000000009</v>
      </c>
      <c r="R154" s="13">
        <v>58.896300000000004</v>
      </c>
    </row>
    <row r="155" spans="1:18" x14ac:dyDescent="0.3">
      <c r="A155" s="17">
        <v>1</v>
      </c>
      <c r="B155" s="17">
        <v>4</v>
      </c>
      <c r="C155" s="17" t="s">
        <v>572</v>
      </c>
      <c r="D155" s="16">
        <v>406810</v>
      </c>
      <c r="E155" s="17" t="s">
        <v>356</v>
      </c>
      <c r="F155" s="14">
        <v>872</v>
      </c>
      <c r="G155" s="14">
        <v>384</v>
      </c>
      <c r="H155" s="14"/>
      <c r="I155" s="14">
        <v>39</v>
      </c>
      <c r="J155" s="14">
        <v>0</v>
      </c>
      <c r="K155" s="14">
        <v>1295</v>
      </c>
      <c r="L155" s="14">
        <v>6958</v>
      </c>
      <c r="M155" s="15">
        <v>0.18611670020120724</v>
      </c>
      <c r="N155" s="14">
        <v>1295</v>
      </c>
      <c r="O155" s="14">
        <v>1295</v>
      </c>
      <c r="P155" s="14">
        <v>1295</v>
      </c>
      <c r="Q155" s="13">
        <v>1597</v>
      </c>
      <c r="R155" s="13">
        <v>1597</v>
      </c>
    </row>
    <row r="156" spans="1:18" x14ac:dyDescent="0.3">
      <c r="A156" s="17">
        <v>1</v>
      </c>
      <c r="B156" s="17">
        <v>4</v>
      </c>
      <c r="C156" s="17" t="s">
        <v>572</v>
      </c>
      <c r="D156" s="16">
        <v>406850</v>
      </c>
      <c r="E156" s="17" t="s">
        <v>357</v>
      </c>
      <c r="F156" s="14">
        <v>162</v>
      </c>
      <c r="G156" s="14">
        <v>0</v>
      </c>
      <c r="H156" s="14"/>
      <c r="I156" s="14">
        <v>9</v>
      </c>
      <c r="J156" s="14">
        <v>0</v>
      </c>
      <c r="K156" s="14">
        <v>171</v>
      </c>
      <c r="L156" s="14">
        <v>770</v>
      </c>
      <c r="M156" s="15">
        <v>0.22207792207792207</v>
      </c>
      <c r="N156" s="14">
        <v>171</v>
      </c>
      <c r="O156" s="14">
        <v>171</v>
      </c>
      <c r="P156" s="14">
        <v>171</v>
      </c>
      <c r="Q156" s="13">
        <v>209.84024999999997</v>
      </c>
      <c r="R156" s="13">
        <v>197.64649999999997</v>
      </c>
    </row>
    <row r="157" spans="1:18" x14ac:dyDescent="0.3">
      <c r="A157" s="17">
        <v>1</v>
      </c>
      <c r="B157" s="17">
        <v>4</v>
      </c>
      <c r="C157" s="17" t="s">
        <v>572</v>
      </c>
      <c r="D157" s="16">
        <v>406870</v>
      </c>
      <c r="E157" s="17" t="s">
        <v>358</v>
      </c>
      <c r="F157" s="14">
        <v>815</v>
      </c>
      <c r="G157" s="14">
        <v>0</v>
      </c>
      <c r="H157" s="14"/>
      <c r="I157" s="14">
        <v>5</v>
      </c>
      <c r="J157" s="14">
        <v>0</v>
      </c>
      <c r="K157" s="14">
        <v>820</v>
      </c>
      <c r="L157" s="14">
        <v>2060</v>
      </c>
      <c r="M157" s="15">
        <v>0.39805825242718446</v>
      </c>
      <c r="N157" s="14">
        <v>820</v>
      </c>
      <c r="O157" s="14">
        <v>820</v>
      </c>
      <c r="P157" s="14">
        <v>820</v>
      </c>
      <c r="Q157" s="13">
        <v>1640.9095000000007</v>
      </c>
      <c r="R157" s="13">
        <v>1962.7670000000005</v>
      </c>
    </row>
    <row r="158" spans="1:18" x14ac:dyDescent="0.3">
      <c r="A158" s="17">
        <v>1</v>
      </c>
      <c r="B158" s="17">
        <v>4</v>
      </c>
      <c r="C158" s="17" t="s">
        <v>572</v>
      </c>
      <c r="D158" s="16">
        <v>406900</v>
      </c>
      <c r="E158" s="17" t="s">
        <v>482</v>
      </c>
      <c r="F158" s="14">
        <v>108</v>
      </c>
      <c r="G158" s="14">
        <v>0</v>
      </c>
      <c r="H158" s="14"/>
      <c r="I158" s="14">
        <v>6</v>
      </c>
      <c r="J158" s="14">
        <v>0</v>
      </c>
      <c r="K158" s="14">
        <v>114</v>
      </c>
      <c r="L158" s="14">
        <v>589</v>
      </c>
      <c r="M158" s="15">
        <v>0.19354838709677419</v>
      </c>
      <c r="N158" s="14">
        <v>114</v>
      </c>
      <c r="O158" s="14">
        <v>114</v>
      </c>
      <c r="P158" s="14">
        <v>114</v>
      </c>
      <c r="Q158" s="13">
        <v>130.67534999999998</v>
      </c>
      <c r="R158" s="13">
        <v>125.11689999999999</v>
      </c>
    </row>
    <row r="159" spans="1:18" x14ac:dyDescent="0.3">
      <c r="A159" s="17">
        <v>1</v>
      </c>
      <c r="B159" s="17">
        <v>4</v>
      </c>
      <c r="C159" s="17" t="s">
        <v>572</v>
      </c>
      <c r="D159" s="16">
        <v>406930</v>
      </c>
      <c r="E159" s="17" t="s">
        <v>481</v>
      </c>
      <c r="F159" s="14">
        <v>8</v>
      </c>
      <c r="G159" s="14">
        <v>0</v>
      </c>
      <c r="H159" s="14"/>
      <c r="I159" s="14">
        <v>0</v>
      </c>
      <c r="J159" s="14">
        <v>0</v>
      </c>
      <c r="K159" s="14">
        <v>8</v>
      </c>
      <c r="L159" s="14">
        <v>15</v>
      </c>
      <c r="M159" s="15">
        <v>0.53333333333333333</v>
      </c>
      <c r="N159" s="14">
        <v>0</v>
      </c>
      <c r="O159" s="14">
        <v>0</v>
      </c>
      <c r="P159" s="14">
        <v>0</v>
      </c>
      <c r="Q159" s="13">
        <v>0</v>
      </c>
      <c r="R159" s="13">
        <v>0</v>
      </c>
    </row>
    <row r="160" spans="1:18" x14ac:dyDescent="0.3">
      <c r="A160" s="17">
        <v>1</v>
      </c>
      <c r="B160" s="17">
        <v>4</v>
      </c>
      <c r="C160" s="17" t="s">
        <v>572</v>
      </c>
      <c r="D160" s="16">
        <v>407020</v>
      </c>
      <c r="E160" s="17" t="s">
        <v>360</v>
      </c>
      <c r="F160" s="14">
        <v>368</v>
      </c>
      <c r="G160" s="14">
        <v>0</v>
      </c>
      <c r="H160" s="14"/>
      <c r="I160" s="14">
        <v>17</v>
      </c>
      <c r="J160" s="14">
        <v>0</v>
      </c>
      <c r="K160" s="14">
        <v>385</v>
      </c>
      <c r="L160" s="14">
        <v>1331</v>
      </c>
      <c r="M160" s="15">
        <v>0.28925619834710742</v>
      </c>
      <c r="N160" s="14">
        <v>385</v>
      </c>
      <c r="O160" s="14">
        <v>385</v>
      </c>
      <c r="P160" s="14">
        <v>385</v>
      </c>
      <c r="Q160" s="13">
        <v>586.25957499999993</v>
      </c>
      <c r="R160" s="13">
        <v>609.88894999999991</v>
      </c>
    </row>
    <row r="161" spans="1:18" x14ac:dyDescent="0.3">
      <c r="A161" s="17">
        <v>1</v>
      </c>
      <c r="B161" s="17">
        <v>4</v>
      </c>
      <c r="C161" s="17" t="s">
        <v>572</v>
      </c>
      <c r="D161" s="16">
        <v>407080</v>
      </c>
      <c r="E161" s="17" t="s">
        <v>361</v>
      </c>
      <c r="F161" s="14">
        <v>6380</v>
      </c>
      <c r="G161" s="14">
        <v>0</v>
      </c>
      <c r="H161" s="14"/>
      <c r="I161" s="14">
        <v>289</v>
      </c>
      <c r="J161" s="14">
        <v>0</v>
      </c>
      <c r="K161" s="14">
        <v>6669</v>
      </c>
      <c r="L161" s="14">
        <v>16974</v>
      </c>
      <c r="M161" s="15">
        <v>0.3928950159066808</v>
      </c>
      <c r="N161" s="14">
        <v>6669</v>
      </c>
      <c r="O161" s="14">
        <v>6669</v>
      </c>
      <c r="P161" s="14">
        <v>6669</v>
      </c>
      <c r="Q161" s="13">
        <v>13170.212549999998</v>
      </c>
      <c r="R161" s="13">
        <v>15646.9743</v>
      </c>
    </row>
    <row r="162" spans="1:18" x14ac:dyDescent="0.3">
      <c r="A162" s="17">
        <v>1</v>
      </c>
      <c r="B162" s="17">
        <v>4</v>
      </c>
      <c r="C162" s="17" t="s">
        <v>572</v>
      </c>
      <c r="D162" s="16">
        <v>407130</v>
      </c>
      <c r="E162" s="17" t="s">
        <v>362</v>
      </c>
      <c r="F162" s="14">
        <v>372</v>
      </c>
      <c r="G162" s="14">
        <v>0</v>
      </c>
      <c r="H162" s="14"/>
      <c r="I162" s="14">
        <v>2</v>
      </c>
      <c r="J162" s="14">
        <v>0</v>
      </c>
      <c r="K162" s="14">
        <v>374</v>
      </c>
      <c r="L162" s="14">
        <v>1477</v>
      </c>
      <c r="M162" s="15">
        <v>0.25321597833446174</v>
      </c>
      <c r="N162" s="14">
        <v>374</v>
      </c>
      <c r="O162" s="14">
        <v>374</v>
      </c>
      <c r="P162" s="14">
        <v>374</v>
      </c>
      <c r="Q162" s="13">
        <v>517.48902499999997</v>
      </c>
      <c r="R162" s="13">
        <v>517.09465</v>
      </c>
    </row>
    <row r="163" spans="1:18" x14ac:dyDescent="0.3">
      <c r="A163" s="17">
        <v>1</v>
      </c>
      <c r="B163" s="17">
        <v>4</v>
      </c>
      <c r="C163" s="17" t="s">
        <v>572</v>
      </c>
      <c r="D163" s="16">
        <v>407140</v>
      </c>
      <c r="E163" s="17" t="s">
        <v>584</v>
      </c>
      <c r="F163" s="14">
        <v>0</v>
      </c>
      <c r="G163" s="14">
        <v>0</v>
      </c>
      <c r="H163" s="14"/>
      <c r="I163" s="14">
        <v>0</v>
      </c>
      <c r="J163" s="14">
        <v>0</v>
      </c>
      <c r="K163" s="14">
        <v>0</v>
      </c>
      <c r="L163" s="14">
        <v>0</v>
      </c>
      <c r="M163" s="15">
        <v>0</v>
      </c>
      <c r="N163" s="14">
        <v>0</v>
      </c>
      <c r="O163" s="14">
        <v>0</v>
      </c>
      <c r="P163" s="14">
        <v>0</v>
      </c>
      <c r="Q163" s="13">
        <v>0</v>
      </c>
      <c r="R163" s="13">
        <v>0</v>
      </c>
    </row>
    <row r="164" spans="1:18" x14ac:dyDescent="0.3">
      <c r="A164" s="17">
        <v>1</v>
      </c>
      <c r="B164" s="17">
        <v>4</v>
      </c>
      <c r="C164" s="17" t="s">
        <v>572</v>
      </c>
      <c r="D164" s="16">
        <v>407200</v>
      </c>
      <c r="E164" s="17" t="s">
        <v>364</v>
      </c>
      <c r="F164" s="14">
        <v>555</v>
      </c>
      <c r="G164" s="14">
        <v>0</v>
      </c>
      <c r="H164" s="14"/>
      <c r="I164" s="14">
        <v>30</v>
      </c>
      <c r="J164" s="14">
        <v>0</v>
      </c>
      <c r="K164" s="14">
        <v>585</v>
      </c>
      <c r="L164" s="14">
        <v>1219</v>
      </c>
      <c r="M164" s="15">
        <v>0.47990155865463496</v>
      </c>
      <c r="N164" s="14">
        <v>585</v>
      </c>
      <c r="O164" s="14">
        <v>585</v>
      </c>
      <c r="P164" s="14">
        <v>585</v>
      </c>
      <c r="Q164" s="13">
        <v>1370.0721750000002</v>
      </c>
      <c r="R164" s="13">
        <v>1760.0645500000005</v>
      </c>
    </row>
    <row r="165" spans="1:18" x14ac:dyDescent="0.3">
      <c r="A165" s="17">
        <v>1</v>
      </c>
      <c r="B165" s="17">
        <v>4</v>
      </c>
      <c r="C165" s="17" t="s">
        <v>572</v>
      </c>
      <c r="D165" s="16">
        <v>407170</v>
      </c>
      <c r="E165" s="17" t="s">
        <v>365</v>
      </c>
      <c r="F165" s="14">
        <v>332</v>
      </c>
      <c r="G165" s="14">
        <v>0</v>
      </c>
      <c r="H165" s="14"/>
      <c r="I165" s="14">
        <v>15</v>
      </c>
      <c r="J165" s="14">
        <v>0</v>
      </c>
      <c r="K165" s="14">
        <v>347</v>
      </c>
      <c r="L165" s="14">
        <v>2072</v>
      </c>
      <c r="M165" s="15">
        <v>0.16747104247104247</v>
      </c>
      <c r="N165" s="14">
        <v>347</v>
      </c>
      <c r="O165" s="14">
        <v>347</v>
      </c>
      <c r="P165" s="14">
        <v>347</v>
      </c>
      <c r="Q165" s="13">
        <v>365.13679999999999</v>
      </c>
      <c r="R165" s="13">
        <v>359.09119999999996</v>
      </c>
    </row>
    <row r="166" spans="1:18" x14ac:dyDescent="0.3">
      <c r="A166" s="17">
        <v>1</v>
      </c>
      <c r="B166" s="17">
        <v>4</v>
      </c>
      <c r="C166" s="17" t="s">
        <v>572</v>
      </c>
      <c r="D166" s="16">
        <v>407240</v>
      </c>
      <c r="E166" s="17" t="s">
        <v>366</v>
      </c>
      <c r="F166" s="14">
        <v>729</v>
      </c>
      <c r="G166" s="14">
        <v>0</v>
      </c>
      <c r="H166" s="14"/>
      <c r="I166" s="14">
        <v>19</v>
      </c>
      <c r="J166" s="14">
        <v>0</v>
      </c>
      <c r="K166" s="14">
        <v>748</v>
      </c>
      <c r="L166" s="14">
        <v>3397</v>
      </c>
      <c r="M166" s="15">
        <v>0.22019428907859875</v>
      </c>
      <c r="N166" s="14">
        <v>748</v>
      </c>
      <c r="O166" s="14">
        <v>748</v>
      </c>
      <c r="P166" s="14">
        <v>748</v>
      </c>
      <c r="Q166" s="13">
        <v>912.06055000000003</v>
      </c>
      <c r="R166" s="13">
        <v>857.3737000000001</v>
      </c>
    </row>
    <row r="167" spans="1:18" x14ac:dyDescent="0.3">
      <c r="A167" s="17">
        <v>1</v>
      </c>
      <c r="B167" s="17">
        <v>4</v>
      </c>
      <c r="C167" s="17" t="s">
        <v>572</v>
      </c>
      <c r="D167" s="16">
        <v>407300</v>
      </c>
      <c r="E167" s="17" t="s">
        <v>367</v>
      </c>
      <c r="F167" s="14">
        <v>730</v>
      </c>
      <c r="G167" s="14">
        <v>0</v>
      </c>
      <c r="H167" s="14"/>
      <c r="I167" s="14">
        <v>35</v>
      </c>
      <c r="J167" s="14">
        <v>0</v>
      </c>
      <c r="K167" s="14">
        <v>765</v>
      </c>
      <c r="L167" s="14">
        <v>5796</v>
      </c>
      <c r="M167" s="15">
        <v>0.13198757763975155</v>
      </c>
      <c r="N167" s="14">
        <v>765</v>
      </c>
      <c r="O167" s="14">
        <v>0</v>
      </c>
      <c r="P167" s="14">
        <v>765</v>
      </c>
      <c r="Q167" s="13">
        <v>802</v>
      </c>
      <c r="R167" s="13">
        <v>802</v>
      </c>
    </row>
    <row r="168" spans="1:18" x14ac:dyDescent="0.3">
      <c r="A168" s="17">
        <v>1</v>
      </c>
      <c r="B168" s="17">
        <v>4</v>
      </c>
      <c r="C168" s="17" t="s">
        <v>572</v>
      </c>
      <c r="D168" s="16">
        <v>400005</v>
      </c>
      <c r="E168" s="17" t="s">
        <v>368</v>
      </c>
      <c r="F168" s="14">
        <v>60</v>
      </c>
      <c r="G168" s="14">
        <v>0</v>
      </c>
      <c r="H168" s="14"/>
      <c r="I168" s="14">
        <v>2</v>
      </c>
      <c r="J168" s="14">
        <v>0</v>
      </c>
      <c r="K168" s="14">
        <v>62</v>
      </c>
      <c r="L168" s="14">
        <v>133</v>
      </c>
      <c r="M168" s="15">
        <v>0.46616541353383456</v>
      </c>
      <c r="N168" s="14">
        <v>62</v>
      </c>
      <c r="O168" s="14">
        <v>62</v>
      </c>
      <c r="P168" s="14">
        <v>62</v>
      </c>
      <c r="Q168" s="13">
        <v>142.17522499999998</v>
      </c>
      <c r="R168" s="13">
        <v>181.07184999999998</v>
      </c>
    </row>
    <row r="169" spans="1:18" x14ac:dyDescent="0.3">
      <c r="A169" s="17">
        <v>1</v>
      </c>
      <c r="B169" s="17">
        <v>4</v>
      </c>
      <c r="C169" s="17" t="s">
        <v>572</v>
      </c>
      <c r="D169" s="16">
        <v>406960</v>
      </c>
      <c r="E169" s="17" t="s">
        <v>370</v>
      </c>
      <c r="F169" s="14">
        <v>651</v>
      </c>
      <c r="G169" s="14">
        <v>0</v>
      </c>
      <c r="H169" s="14"/>
      <c r="I169" s="14">
        <v>18</v>
      </c>
      <c r="J169" s="14">
        <v>0</v>
      </c>
      <c r="K169" s="14">
        <v>669</v>
      </c>
      <c r="L169" s="14">
        <v>1250</v>
      </c>
      <c r="M169" s="15">
        <v>0.53520000000000001</v>
      </c>
      <c r="N169" s="14">
        <v>669</v>
      </c>
      <c r="O169" s="14">
        <v>669</v>
      </c>
      <c r="P169" s="14">
        <v>669</v>
      </c>
      <c r="Q169" s="13">
        <v>1681.40625</v>
      </c>
      <c r="R169" s="13">
        <v>2219.5625</v>
      </c>
    </row>
    <row r="170" spans="1:18" x14ac:dyDescent="0.3">
      <c r="A170" s="17">
        <v>1</v>
      </c>
      <c r="B170" s="17">
        <v>4</v>
      </c>
      <c r="C170" s="17" t="s">
        <v>572</v>
      </c>
      <c r="D170" s="16">
        <v>407380</v>
      </c>
      <c r="E170" s="17" t="s">
        <v>371</v>
      </c>
      <c r="F170" s="14">
        <v>0</v>
      </c>
      <c r="G170" s="14">
        <v>0</v>
      </c>
      <c r="H170" s="14"/>
      <c r="I170" s="14">
        <v>0</v>
      </c>
      <c r="J170" s="14">
        <v>0</v>
      </c>
      <c r="K170" s="14">
        <v>0</v>
      </c>
      <c r="L170" s="14">
        <v>6</v>
      </c>
      <c r="M170" s="15">
        <v>0</v>
      </c>
      <c r="N170" s="14">
        <v>0</v>
      </c>
      <c r="O170" s="14">
        <v>0</v>
      </c>
      <c r="P170" s="14">
        <v>0</v>
      </c>
      <c r="Q170" s="13">
        <v>0</v>
      </c>
      <c r="R170" s="13">
        <v>0</v>
      </c>
    </row>
    <row r="171" spans="1:18" x14ac:dyDescent="0.3">
      <c r="A171" s="17">
        <v>1</v>
      </c>
      <c r="B171" s="17">
        <v>4</v>
      </c>
      <c r="C171" s="17" t="s">
        <v>572</v>
      </c>
      <c r="D171" s="16">
        <v>407430</v>
      </c>
      <c r="E171" s="17" t="s">
        <v>372</v>
      </c>
      <c r="F171" s="14">
        <v>18</v>
      </c>
      <c r="G171" s="14">
        <v>0</v>
      </c>
      <c r="H171" s="14"/>
      <c r="I171" s="14">
        <v>0</v>
      </c>
      <c r="J171" s="14">
        <v>0</v>
      </c>
      <c r="K171" s="14">
        <v>18</v>
      </c>
      <c r="L171" s="14">
        <v>81</v>
      </c>
      <c r="M171" s="15">
        <v>0.22222222222222221</v>
      </c>
      <c r="N171" s="14">
        <v>18</v>
      </c>
      <c r="O171" s="14">
        <v>18</v>
      </c>
      <c r="P171" s="14">
        <v>18</v>
      </c>
      <c r="Q171" s="13">
        <v>22.103324999999998</v>
      </c>
      <c r="R171" s="13">
        <v>20.826449999999998</v>
      </c>
    </row>
    <row r="172" spans="1:18" x14ac:dyDescent="0.3">
      <c r="A172" s="17">
        <v>1</v>
      </c>
      <c r="B172" s="17">
        <v>4</v>
      </c>
      <c r="C172" s="17" t="s">
        <v>572</v>
      </c>
      <c r="D172" s="16">
        <v>406740</v>
      </c>
      <c r="E172" s="17" t="s">
        <v>374</v>
      </c>
      <c r="F172" s="14">
        <v>589</v>
      </c>
      <c r="G172" s="14">
        <v>0</v>
      </c>
      <c r="H172" s="14"/>
      <c r="I172" s="14">
        <v>4</v>
      </c>
      <c r="J172" s="14">
        <v>0</v>
      </c>
      <c r="K172" s="14">
        <v>593</v>
      </c>
      <c r="L172" s="14">
        <v>1356</v>
      </c>
      <c r="M172" s="15">
        <v>0.43731563421828906</v>
      </c>
      <c r="N172" s="14">
        <v>593</v>
      </c>
      <c r="O172" s="14">
        <v>593</v>
      </c>
      <c r="P172" s="14">
        <v>593</v>
      </c>
      <c r="Q172" s="13">
        <v>1293.0646999999999</v>
      </c>
      <c r="R172" s="13">
        <v>1611.3942000000004</v>
      </c>
    </row>
    <row r="173" spans="1:18" x14ac:dyDescent="0.3">
      <c r="A173" s="17">
        <v>1</v>
      </c>
      <c r="B173" s="17">
        <v>4</v>
      </c>
      <c r="C173" s="17" t="s">
        <v>572</v>
      </c>
      <c r="D173" s="16">
        <v>407500</v>
      </c>
      <c r="E173" s="17" t="s">
        <v>375</v>
      </c>
      <c r="F173" s="14">
        <v>116</v>
      </c>
      <c r="G173" s="14">
        <v>0</v>
      </c>
      <c r="H173" s="14"/>
      <c r="I173" s="14">
        <v>2</v>
      </c>
      <c r="J173" s="14">
        <v>0</v>
      </c>
      <c r="K173" s="14">
        <v>118</v>
      </c>
      <c r="L173" s="14">
        <v>420</v>
      </c>
      <c r="M173" s="15">
        <v>0.28095238095238095</v>
      </c>
      <c r="N173" s="14">
        <v>118</v>
      </c>
      <c r="O173" s="14">
        <v>118</v>
      </c>
      <c r="P173" s="14">
        <v>118</v>
      </c>
      <c r="Q173" s="13">
        <v>176.2765</v>
      </c>
      <c r="R173" s="13">
        <v>181.989</v>
      </c>
    </row>
    <row r="174" spans="1:18" x14ac:dyDescent="0.3">
      <c r="A174" s="17">
        <v>1</v>
      </c>
      <c r="B174" s="17">
        <v>4</v>
      </c>
      <c r="C174" s="17" t="s">
        <v>572</v>
      </c>
      <c r="D174" s="16">
        <v>407520</v>
      </c>
      <c r="E174" s="17" t="s">
        <v>376</v>
      </c>
      <c r="F174" s="14">
        <v>976</v>
      </c>
      <c r="G174" s="14">
        <v>0</v>
      </c>
      <c r="H174" s="14"/>
      <c r="I174" s="14">
        <v>14</v>
      </c>
      <c r="J174" s="14">
        <v>0</v>
      </c>
      <c r="K174" s="14">
        <v>990</v>
      </c>
      <c r="L174" s="14">
        <v>4284</v>
      </c>
      <c r="M174" s="15">
        <v>0.23109243697478993</v>
      </c>
      <c r="N174" s="14">
        <v>990</v>
      </c>
      <c r="O174" s="14">
        <v>990</v>
      </c>
      <c r="P174" s="14">
        <v>990</v>
      </c>
      <c r="Q174" s="13">
        <v>1264.0202999999999</v>
      </c>
      <c r="R174" s="13">
        <v>1215.4877999999997</v>
      </c>
    </row>
    <row r="175" spans="1:18" x14ac:dyDescent="0.3">
      <c r="A175" s="17">
        <v>1</v>
      </c>
      <c r="B175" s="17">
        <v>4</v>
      </c>
      <c r="C175" s="17" t="s">
        <v>572</v>
      </c>
      <c r="D175" s="16">
        <v>407530</v>
      </c>
      <c r="E175" s="17" t="s">
        <v>377</v>
      </c>
      <c r="F175" s="14">
        <v>170</v>
      </c>
      <c r="G175" s="14">
        <v>0</v>
      </c>
      <c r="H175" s="14"/>
      <c r="I175" s="14">
        <v>9</v>
      </c>
      <c r="J175" s="14">
        <v>0</v>
      </c>
      <c r="K175" s="14">
        <v>179</v>
      </c>
      <c r="L175" s="14">
        <v>729</v>
      </c>
      <c r="M175" s="15">
        <v>0.24554183813443073</v>
      </c>
      <c r="N175" s="14">
        <v>179</v>
      </c>
      <c r="O175" s="14">
        <v>179</v>
      </c>
      <c r="P175" s="14">
        <v>179</v>
      </c>
      <c r="Q175" s="13">
        <v>241.42992499999991</v>
      </c>
      <c r="R175" s="13">
        <v>238.43804999999995</v>
      </c>
    </row>
    <row r="176" spans="1:18" x14ac:dyDescent="0.3">
      <c r="A176" s="17">
        <v>1</v>
      </c>
      <c r="B176" s="17">
        <v>4</v>
      </c>
      <c r="C176" s="17" t="s">
        <v>572</v>
      </c>
      <c r="D176" s="16">
        <v>407570</v>
      </c>
      <c r="E176" s="17" t="s">
        <v>379</v>
      </c>
      <c r="F176" s="14">
        <v>3418</v>
      </c>
      <c r="G176" s="14">
        <v>54</v>
      </c>
      <c r="H176" s="14"/>
      <c r="I176" s="14">
        <v>155</v>
      </c>
      <c r="J176" s="14">
        <v>0</v>
      </c>
      <c r="K176" s="14">
        <v>3627</v>
      </c>
      <c r="L176" s="14">
        <v>32138</v>
      </c>
      <c r="M176" s="15">
        <v>0.11285705395481983</v>
      </c>
      <c r="N176" s="14">
        <v>3627</v>
      </c>
      <c r="O176" s="14">
        <v>0</v>
      </c>
      <c r="P176" s="14">
        <v>3627</v>
      </c>
      <c r="Q176" s="13">
        <v>5777.5</v>
      </c>
      <c r="R176" s="13">
        <v>6118.75</v>
      </c>
    </row>
    <row r="177" spans="1:18" x14ac:dyDescent="0.3">
      <c r="A177" s="17">
        <v>1</v>
      </c>
      <c r="B177" s="17">
        <v>4</v>
      </c>
      <c r="C177" s="17" t="s">
        <v>572</v>
      </c>
      <c r="D177" s="16">
        <v>409733</v>
      </c>
      <c r="E177" s="17" t="s">
        <v>583</v>
      </c>
      <c r="F177" s="14">
        <v>243</v>
      </c>
      <c r="G177" s="14">
        <v>0</v>
      </c>
      <c r="H177" s="14"/>
      <c r="I177" s="14">
        <v>12</v>
      </c>
      <c r="J177" s="14">
        <v>0</v>
      </c>
      <c r="K177" s="14">
        <v>255</v>
      </c>
      <c r="L177" s="14">
        <v>1292</v>
      </c>
      <c r="M177" s="15">
        <v>0.19736842105263158</v>
      </c>
      <c r="N177" s="14">
        <v>255</v>
      </c>
      <c r="O177" s="14">
        <v>255</v>
      </c>
      <c r="P177" s="14">
        <v>255</v>
      </c>
      <c r="Q177" s="13">
        <v>295.27980000000002</v>
      </c>
      <c r="R177" s="13">
        <v>281.85320000000002</v>
      </c>
    </row>
    <row r="178" spans="1:18" x14ac:dyDescent="0.3">
      <c r="A178" s="17">
        <v>1</v>
      </c>
      <c r="B178" s="17">
        <v>4</v>
      </c>
      <c r="C178" s="17" t="s">
        <v>572</v>
      </c>
      <c r="D178" s="16">
        <v>407630</v>
      </c>
      <c r="E178" s="17" t="s">
        <v>382</v>
      </c>
      <c r="F178" s="14">
        <v>33</v>
      </c>
      <c r="G178" s="14">
        <v>0</v>
      </c>
      <c r="H178" s="14"/>
      <c r="I178" s="14">
        <v>2</v>
      </c>
      <c r="J178" s="14">
        <v>0</v>
      </c>
      <c r="K178" s="14">
        <v>35</v>
      </c>
      <c r="L178" s="14">
        <v>145</v>
      </c>
      <c r="M178" s="15">
        <v>0.2413793103448276</v>
      </c>
      <c r="N178" s="14">
        <v>35</v>
      </c>
      <c r="O178" s="14">
        <v>35</v>
      </c>
      <c r="P178" s="14">
        <v>35</v>
      </c>
      <c r="Q178" s="13">
        <v>46.512124999999997</v>
      </c>
      <c r="R178" s="13">
        <v>45.615250000000003</v>
      </c>
    </row>
    <row r="179" spans="1:18" x14ac:dyDescent="0.3">
      <c r="A179" s="17">
        <v>1</v>
      </c>
      <c r="B179" s="17">
        <v>4</v>
      </c>
      <c r="C179" s="17" t="s">
        <v>572</v>
      </c>
      <c r="D179" s="16">
        <v>407680</v>
      </c>
      <c r="E179" s="17" t="s">
        <v>476</v>
      </c>
      <c r="F179" s="14">
        <v>7</v>
      </c>
      <c r="G179" s="14">
        <v>0</v>
      </c>
      <c r="H179" s="14"/>
      <c r="I179" s="14">
        <v>0</v>
      </c>
      <c r="J179" s="14">
        <v>0</v>
      </c>
      <c r="K179" s="14">
        <v>7</v>
      </c>
      <c r="L179" s="14">
        <v>26</v>
      </c>
      <c r="M179" s="15">
        <v>0.26923076923076922</v>
      </c>
      <c r="N179" s="14">
        <v>0</v>
      </c>
      <c r="O179" s="14">
        <v>0</v>
      </c>
      <c r="P179" s="14">
        <v>0</v>
      </c>
      <c r="Q179" s="13">
        <v>0</v>
      </c>
      <c r="R179" s="13">
        <v>0</v>
      </c>
    </row>
    <row r="180" spans="1:18" x14ac:dyDescent="0.3">
      <c r="A180" s="17">
        <v>1</v>
      </c>
      <c r="B180" s="17">
        <v>4</v>
      </c>
      <c r="C180" s="17" t="s">
        <v>572</v>
      </c>
      <c r="D180" s="16">
        <v>407700</v>
      </c>
      <c r="E180" s="17" t="s">
        <v>383</v>
      </c>
      <c r="F180" s="14">
        <v>755</v>
      </c>
      <c r="G180" s="14">
        <v>0</v>
      </c>
      <c r="H180" s="14"/>
      <c r="I180" s="14">
        <v>10</v>
      </c>
      <c r="J180" s="14">
        <v>0</v>
      </c>
      <c r="K180" s="14">
        <v>765</v>
      </c>
      <c r="L180" s="14">
        <v>2716</v>
      </c>
      <c r="M180" s="15">
        <v>0.28166421207658321</v>
      </c>
      <c r="N180" s="14">
        <v>765</v>
      </c>
      <c r="O180" s="14">
        <v>765</v>
      </c>
      <c r="P180" s="14">
        <v>765</v>
      </c>
      <c r="Q180" s="13">
        <v>1144.7547000000002</v>
      </c>
      <c r="R180" s="13">
        <v>1182.6622000000002</v>
      </c>
    </row>
    <row r="181" spans="1:18" x14ac:dyDescent="0.3">
      <c r="A181" s="17">
        <v>1</v>
      </c>
      <c r="B181" s="17">
        <v>4</v>
      </c>
      <c r="C181" s="17" t="s">
        <v>572</v>
      </c>
      <c r="D181" s="16">
        <v>401460</v>
      </c>
      <c r="E181" s="17" t="s">
        <v>384</v>
      </c>
      <c r="F181" s="14">
        <v>1375</v>
      </c>
      <c r="G181" s="14">
        <v>24</v>
      </c>
      <c r="H181" s="14"/>
      <c r="I181" s="14">
        <v>35</v>
      </c>
      <c r="J181" s="14">
        <v>0</v>
      </c>
      <c r="K181" s="14">
        <v>1434</v>
      </c>
      <c r="L181" s="14">
        <v>7226</v>
      </c>
      <c r="M181" s="15">
        <v>0.19845004151674508</v>
      </c>
      <c r="N181" s="14">
        <v>1434</v>
      </c>
      <c r="O181" s="14">
        <v>1434</v>
      </c>
      <c r="P181" s="14">
        <v>1434</v>
      </c>
      <c r="Q181" s="13">
        <v>1805.5</v>
      </c>
      <c r="R181" s="13">
        <v>1805.5</v>
      </c>
    </row>
    <row r="182" spans="1:18" x14ac:dyDescent="0.3">
      <c r="A182" s="17">
        <v>1</v>
      </c>
      <c r="B182" s="17">
        <v>4</v>
      </c>
      <c r="C182" s="17" t="s">
        <v>572</v>
      </c>
      <c r="D182" s="16">
        <v>407770</v>
      </c>
      <c r="E182" s="17" t="s">
        <v>475</v>
      </c>
      <c r="F182" s="14">
        <v>15</v>
      </c>
      <c r="G182" s="14">
        <v>0</v>
      </c>
      <c r="H182" s="14"/>
      <c r="I182" s="14">
        <v>1</v>
      </c>
      <c r="J182" s="14">
        <v>0</v>
      </c>
      <c r="K182" s="14">
        <v>16</v>
      </c>
      <c r="L182" s="14">
        <v>110</v>
      </c>
      <c r="M182" s="15">
        <v>0.14545454545454545</v>
      </c>
      <c r="N182" s="14">
        <v>16</v>
      </c>
      <c r="O182" s="14">
        <v>0</v>
      </c>
      <c r="P182" s="14">
        <v>16</v>
      </c>
      <c r="Q182" s="13">
        <v>16</v>
      </c>
      <c r="R182" s="13">
        <v>16</v>
      </c>
    </row>
    <row r="183" spans="1:18" x14ac:dyDescent="0.3">
      <c r="A183" s="17">
        <v>1</v>
      </c>
      <c r="B183" s="17">
        <v>4</v>
      </c>
      <c r="C183" s="17" t="s">
        <v>572</v>
      </c>
      <c r="D183" s="16">
        <v>407820</v>
      </c>
      <c r="E183" s="17" t="s">
        <v>388</v>
      </c>
      <c r="F183" s="14">
        <v>558</v>
      </c>
      <c r="G183" s="14">
        <v>0</v>
      </c>
      <c r="H183" s="14"/>
      <c r="I183" s="14">
        <v>8</v>
      </c>
      <c r="J183" s="14">
        <v>0</v>
      </c>
      <c r="K183" s="14">
        <v>566</v>
      </c>
      <c r="L183" s="14">
        <v>2740</v>
      </c>
      <c r="M183" s="15">
        <v>0.20656934306569344</v>
      </c>
      <c r="N183" s="14">
        <v>566</v>
      </c>
      <c r="O183" s="14">
        <v>566</v>
      </c>
      <c r="P183" s="14">
        <v>566</v>
      </c>
      <c r="Q183" s="13">
        <v>670.33100000000002</v>
      </c>
      <c r="R183" s="13">
        <v>635.55400000000009</v>
      </c>
    </row>
    <row r="184" spans="1:18" x14ac:dyDescent="0.3">
      <c r="A184" s="17">
        <v>1</v>
      </c>
      <c r="B184" s="17">
        <v>4</v>
      </c>
      <c r="C184" s="17" t="s">
        <v>572</v>
      </c>
      <c r="D184" s="16">
        <v>407860</v>
      </c>
      <c r="E184" s="17" t="s">
        <v>389</v>
      </c>
      <c r="F184" s="14">
        <v>86</v>
      </c>
      <c r="G184" s="14">
        <v>0</v>
      </c>
      <c r="H184" s="14"/>
      <c r="I184" s="14">
        <v>2</v>
      </c>
      <c r="J184" s="14">
        <v>0</v>
      </c>
      <c r="K184" s="14">
        <v>88</v>
      </c>
      <c r="L184" s="14">
        <v>397</v>
      </c>
      <c r="M184" s="15">
        <v>0.22166246851385391</v>
      </c>
      <c r="N184" s="14">
        <v>88</v>
      </c>
      <c r="O184" s="14">
        <v>88</v>
      </c>
      <c r="P184" s="14">
        <v>88</v>
      </c>
      <c r="Q184" s="13">
        <v>107.778025</v>
      </c>
      <c r="R184" s="13">
        <v>101.40864999999999</v>
      </c>
    </row>
    <row r="185" spans="1:18" x14ac:dyDescent="0.3">
      <c r="A185" s="17">
        <v>1</v>
      </c>
      <c r="B185" s="17">
        <v>4</v>
      </c>
      <c r="C185" s="17" t="s">
        <v>572</v>
      </c>
      <c r="D185" s="16">
        <v>407890</v>
      </c>
      <c r="E185" s="17" t="s">
        <v>390</v>
      </c>
      <c r="F185" s="14">
        <v>1128</v>
      </c>
      <c r="G185" s="14">
        <v>0</v>
      </c>
      <c r="H185" s="14"/>
      <c r="I185" s="14">
        <v>21</v>
      </c>
      <c r="J185" s="14">
        <v>0</v>
      </c>
      <c r="K185" s="14">
        <v>1149</v>
      </c>
      <c r="L185" s="14">
        <v>3203</v>
      </c>
      <c r="M185" s="15">
        <v>0.3587261941929441</v>
      </c>
      <c r="N185" s="14">
        <v>1149</v>
      </c>
      <c r="O185" s="14">
        <v>1149</v>
      </c>
      <c r="P185" s="14">
        <v>1149</v>
      </c>
      <c r="Q185" s="13">
        <v>2104.3233749999999</v>
      </c>
      <c r="R185" s="13">
        <v>2409.6741499999998</v>
      </c>
    </row>
    <row r="186" spans="1:18" x14ac:dyDescent="0.3">
      <c r="A186" s="17">
        <v>1</v>
      </c>
      <c r="B186" s="17">
        <v>4</v>
      </c>
      <c r="C186" s="17" t="s">
        <v>572</v>
      </c>
      <c r="D186" s="16">
        <v>407920</v>
      </c>
      <c r="E186" s="17" t="s">
        <v>391</v>
      </c>
      <c r="F186" s="14">
        <v>24</v>
      </c>
      <c r="G186" s="14">
        <v>0</v>
      </c>
      <c r="H186" s="14"/>
      <c r="I186" s="14">
        <v>0</v>
      </c>
      <c r="J186" s="14">
        <v>0</v>
      </c>
      <c r="K186" s="14">
        <v>24</v>
      </c>
      <c r="L186" s="14">
        <v>120</v>
      </c>
      <c r="M186" s="15">
        <v>0.2</v>
      </c>
      <c r="N186" s="14">
        <v>24</v>
      </c>
      <c r="O186" s="14">
        <v>24</v>
      </c>
      <c r="P186" s="14">
        <v>24</v>
      </c>
      <c r="Q186" s="13">
        <v>27.978000000000002</v>
      </c>
      <c r="R186" s="13">
        <v>26.652000000000001</v>
      </c>
    </row>
    <row r="187" spans="1:18" x14ac:dyDescent="0.3">
      <c r="A187" s="17">
        <v>1</v>
      </c>
      <c r="B187" s="17">
        <v>4</v>
      </c>
      <c r="C187" s="17" t="s">
        <v>572</v>
      </c>
      <c r="D187" s="16">
        <v>408020</v>
      </c>
      <c r="E187" s="17" t="s">
        <v>397</v>
      </c>
      <c r="F187" s="14">
        <v>99</v>
      </c>
      <c r="G187" s="14">
        <v>0</v>
      </c>
      <c r="H187" s="14"/>
      <c r="I187" s="14">
        <v>3</v>
      </c>
      <c r="J187" s="14">
        <v>0</v>
      </c>
      <c r="K187" s="14">
        <v>102</v>
      </c>
      <c r="L187" s="14">
        <v>518</v>
      </c>
      <c r="M187" s="15">
        <v>0.19691119691119691</v>
      </c>
      <c r="N187" s="14">
        <v>102</v>
      </c>
      <c r="O187" s="14">
        <v>102</v>
      </c>
      <c r="P187" s="14">
        <v>102</v>
      </c>
      <c r="Q187" s="13">
        <v>117.9717</v>
      </c>
      <c r="R187" s="13">
        <v>112.64779999999999</v>
      </c>
    </row>
    <row r="188" spans="1:18" x14ac:dyDescent="0.3">
      <c r="A188" s="17">
        <v>1</v>
      </c>
      <c r="B188" s="17">
        <v>4</v>
      </c>
      <c r="C188" s="17" t="s">
        <v>572</v>
      </c>
      <c r="D188" s="16">
        <v>408080</v>
      </c>
      <c r="E188" s="17" t="s">
        <v>398</v>
      </c>
      <c r="F188" s="14">
        <v>253</v>
      </c>
      <c r="G188" s="14">
        <v>0</v>
      </c>
      <c r="H188" s="14"/>
      <c r="I188" s="14">
        <v>2</v>
      </c>
      <c r="J188" s="14">
        <v>0</v>
      </c>
      <c r="K188" s="14">
        <v>255</v>
      </c>
      <c r="L188" s="14">
        <v>830</v>
      </c>
      <c r="M188" s="15">
        <v>0.30722891566265059</v>
      </c>
      <c r="N188" s="14">
        <v>255</v>
      </c>
      <c r="O188" s="14">
        <v>255</v>
      </c>
      <c r="P188" s="14">
        <v>255</v>
      </c>
      <c r="Q188" s="13">
        <v>406.38374999999996</v>
      </c>
      <c r="R188" s="13">
        <v>432.08149999999995</v>
      </c>
    </row>
    <row r="189" spans="1:18" x14ac:dyDescent="0.3">
      <c r="A189" s="17">
        <v>1</v>
      </c>
      <c r="B189" s="17">
        <v>4</v>
      </c>
      <c r="C189" s="17" t="s">
        <v>572</v>
      </c>
      <c r="D189" s="16">
        <v>408130</v>
      </c>
      <c r="E189" s="17" t="s">
        <v>399</v>
      </c>
      <c r="F189" s="14">
        <v>180</v>
      </c>
      <c r="G189" s="14">
        <v>0</v>
      </c>
      <c r="H189" s="14"/>
      <c r="I189" s="14">
        <v>10</v>
      </c>
      <c r="J189" s="14">
        <v>0</v>
      </c>
      <c r="K189" s="14">
        <v>190</v>
      </c>
      <c r="L189" s="14">
        <v>818</v>
      </c>
      <c r="M189" s="15">
        <v>0.23227383863080683</v>
      </c>
      <c r="N189" s="14">
        <v>190</v>
      </c>
      <c r="O189" s="14">
        <v>190</v>
      </c>
      <c r="P189" s="14">
        <v>190</v>
      </c>
      <c r="Q189" s="13">
        <v>243.77184999999994</v>
      </c>
      <c r="R189" s="13">
        <v>234.98809999999995</v>
      </c>
    </row>
    <row r="190" spans="1:18" x14ac:dyDescent="0.3">
      <c r="A190" s="17">
        <v>1</v>
      </c>
      <c r="B190" s="17">
        <v>4</v>
      </c>
      <c r="C190" s="17" t="s">
        <v>572</v>
      </c>
      <c r="D190" s="16">
        <v>408170</v>
      </c>
      <c r="E190" s="17" t="s">
        <v>403</v>
      </c>
      <c r="F190" s="14">
        <v>7579</v>
      </c>
      <c r="G190" s="14">
        <v>0</v>
      </c>
      <c r="H190" s="14"/>
      <c r="I190" s="14">
        <v>368</v>
      </c>
      <c r="J190" s="14">
        <v>0</v>
      </c>
      <c r="K190" s="14">
        <v>7947</v>
      </c>
      <c r="L190" s="14">
        <v>19735</v>
      </c>
      <c r="M190" s="15">
        <v>0.40268558398783888</v>
      </c>
      <c r="N190" s="14">
        <v>7947</v>
      </c>
      <c r="O190" s="14">
        <v>7947</v>
      </c>
      <c r="P190" s="14">
        <v>7947</v>
      </c>
      <c r="Q190" s="13">
        <v>16085.353875000001</v>
      </c>
      <c r="R190" s="13">
        <v>19351.420750000001</v>
      </c>
    </row>
    <row r="191" spans="1:18" x14ac:dyDescent="0.3">
      <c r="A191" s="17">
        <v>1</v>
      </c>
      <c r="B191" s="17">
        <v>4</v>
      </c>
      <c r="C191" s="17" t="s">
        <v>572</v>
      </c>
      <c r="D191" s="16">
        <v>408230</v>
      </c>
      <c r="E191" s="17" t="s">
        <v>404</v>
      </c>
      <c r="F191" s="14">
        <v>132</v>
      </c>
      <c r="G191" s="14">
        <v>0</v>
      </c>
      <c r="H191" s="14"/>
      <c r="I191" s="14">
        <v>7</v>
      </c>
      <c r="J191" s="14">
        <v>0</v>
      </c>
      <c r="K191" s="14">
        <v>139</v>
      </c>
      <c r="L191" s="14">
        <v>587</v>
      </c>
      <c r="M191" s="15">
        <v>0.23679727427597955</v>
      </c>
      <c r="N191" s="14">
        <v>139</v>
      </c>
      <c r="O191" s="14">
        <v>139</v>
      </c>
      <c r="P191" s="14">
        <v>139</v>
      </c>
      <c r="Q191" s="13">
        <v>181.56977499999994</v>
      </c>
      <c r="R191" s="13">
        <v>176.59414999999993</v>
      </c>
    </row>
    <row r="192" spans="1:18" x14ac:dyDescent="0.3">
      <c r="A192" s="17">
        <v>1</v>
      </c>
      <c r="B192" s="17">
        <v>4</v>
      </c>
      <c r="C192" s="17" t="s">
        <v>572</v>
      </c>
      <c r="D192" s="16">
        <v>408280</v>
      </c>
      <c r="E192" s="17" t="s">
        <v>406</v>
      </c>
      <c r="F192" s="14">
        <v>158</v>
      </c>
      <c r="G192" s="14">
        <v>23</v>
      </c>
      <c r="H192" s="14"/>
      <c r="I192" s="14">
        <v>8</v>
      </c>
      <c r="J192" s="14">
        <v>0</v>
      </c>
      <c r="K192" s="14">
        <v>189</v>
      </c>
      <c r="L192" s="14">
        <v>1921</v>
      </c>
      <c r="M192" s="15">
        <v>9.8386257157730347E-2</v>
      </c>
      <c r="N192" s="14">
        <v>189</v>
      </c>
      <c r="O192" s="14">
        <v>0</v>
      </c>
      <c r="P192" s="14">
        <v>189</v>
      </c>
      <c r="Q192" s="13">
        <v>189</v>
      </c>
      <c r="R192" s="13">
        <v>189</v>
      </c>
    </row>
    <row r="193" spans="1:18" x14ac:dyDescent="0.3">
      <c r="A193" s="17">
        <v>1</v>
      </c>
      <c r="B193" s="17">
        <v>4</v>
      </c>
      <c r="C193" s="17" t="s">
        <v>572</v>
      </c>
      <c r="D193" s="16">
        <v>408310</v>
      </c>
      <c r="E193" s="17" t="s">
        <v>409</v>
      </c>
      <c r="F193" s="14">
        <v>4400</v>
      </c>
      <c r="G193" s="14">
        <v>0</v>
      </c>
      <c r="H193" s="14"/>
      <c r="I193" s="14">
        <v>199</v>
      </c>
      <c r="J193" s="14">
        <v>0</v>
      </c>
      <c r="K193" s="14">
        <v>4599</v>
      </c>
      <c r="L193" s="14">
        <v>12777</v>
      </c>
      <c r="M193" s="15">
        <v>0.35994364874383661</v>
      </c>
      <c r="N193" s="14">
        <v>4599</v>
      </c>
      <c r="O193" s="14">
        <v>4599</v>
      </c>
      <c r="P193" s="14">
        <v>4599</v>
      </c>
      <c r="Q193" s="13">
        <v>8444.8541250000017</v>
      </c>
      <c r="R193" s="13">
        <v>9682.3648500000018</v>
      </c>
    </row>
    <row r="194" spans="1:18" x14ac:dyDescent="0.3">
      <c r="A194" s="17">
        <v>1</v>
      </c>
      <c r="B194" s="17">
        <v>4</v>
      </c>
      <c r="C194" s="17" t="s">
        <v>572</v>
      </c>
      <c r="D194" s="16">
        <v>408340</v>
      </c>
      <c r="E194" s="17" t="s">
        <v>410</v>
      </c>
      <c r="F194" s="14">
        <v>2218</v>
      </c>
      <c r="G194" s="14">
        <v>0</v>
      </c>
      <c r="H194" s="14"/>
      <c r="I194" s="14">
        <v>100</v>
      </c>
      <c r="J194" s="14">
        <v>0</v>
      </c>
      <c r="K194" s="14">
        <v>2318</v>
      </c>
      <c r="L194" s="14">
        <v>15656</v>
      </c>
      <c r="M194" s="15">
        <v>0.14805825242718446</v>
      </c>
      <c r="N194" s="14">
        <v>2318</v>
      </c>
      <c r="O194" s="14">
        <v>0</v>
      </c>
      <c r="P194" s="14">
        <v>2318</v>
      </c>
      <c r="Q194" s="13">
        <v>3159.5</v>
      </c>
      <c r="R194" s="13">
        <v>3173.5</v>
      </c>
    </row>
    <row r="195" spans="1:18" x14ac:dyDescent="0.3">
      <c r="A195" s="17">
        <v>1</v>
      </c>
      <c r="B195" s="17">
        <v>4</v>
      </c>
      <c r="C195" s="17" t="s">
        <v>572</v>
      </c>
      <c r="D195" s="16">
        <v>408410</v>
      </c>
      <c r="E195" s="17" t="s">
        <v>411</v>
      </c>
      <c r="F195" s="14">
        <v>211</v>
      </c>
      <c r="G195" s="14">
        <v>0</v>
      </c>
      <c r="H195" s="14"/>
      <c r="I195" s="14">
        <v>5</v>
      </c>
      <c r="J195" s="14">
        <v>0</v>
      </c>
      <c r="K195" s="14">
        <v>216</v>
      </c>
      <c r="L195" s="14">
        <v>1557</v>
      </c>
      <c r="M195" s="15">
        <v>0.13872832369942195</v>
      </c>
      <c r="N195" s="14">
        <v>216</v>
      </c>
      <c r="O195" s="14">
        <v>0</v>
      </c>
      <c r="P195" s="14">
        <v>216</v>
      </c>
      <c r="Q195" s="13">
        <v>216</v>
      </c>
      <c r="R195" s="13">
        <v>216</v>
      </c>
    </row>
    <row r="196" spans="1:18" x14ac:dyDescent="0.3">
      <c r="A196" s="17">
        <v>1</v>
      </c>
      <c r="B196" s="17">
        <v>4</v>
      </c>
      <c r="C196" s="17" t="s">
        <v>572</v>
      </c>
      <c r="D196" s="16">
        <v>408490</v>
      </c>
      <c r="E196" s="17" t="s">
        <v>414</v>
      </c>
      <c r="F196" s="14">
        <v>917</v>
      </c>
      <c r="G196" s="14">
        <v>31</v>
      </c>
      <c r="H196" s="14"/>
      <c r="I196" s="14">
        <v>41</v>
      </c>
      <c r="J196" s="14">
        <v>0</v>
      </c>
      <c r="K196" s="14">
        <v>989</v>
      </c>
      <c r="L196" s="14">
        <v>2742</v>
      </c>
      <c r="M196" s="15">
        <v>0.36068563092633116</v>
      </c>
      <c r="N196" s="14">
        <v>989</v>
      </c>
      <c r="O196" s="14">
        <v>989</v>
      </c>
      <c r="P196" s="14">
        <v>989</v>
      </c>
      <c r="Q196" s="13">
        <v>1818.9147499999997</v>
      </c>
      <c r="R196" s="13">
        <v>2087.0330999999996</v>
      </c>
    </row>
    <row r="197" spans="1:18" x14ac:dyDescent="0.3">
      <c r="A197" s="17">
        <v>1</v>
      </c>
      <c r="B197" s="17">
        <v>4</v>
      </c>
      <c r="C197" s="17" t="s">
        <v>572</v>
      </c>
      <c r="D197" s="16">
        <v>408520</v>
      </c>
      <c r="E197" s="17" t="s">
        <v>415</v>
      </c>
      <c r="F197" s="14">
        <v>2767</v>
      </c>
      <c r="G197" s="14">
        <v>106</v>
      </c>
      <c r="H197" s="14"/>
      <c r="I197" s="14">
        <v>125</v>
      </c>
      <c r="J197" s="14">
        <v>0</v>
      </c>
      <c r="K197" s="14">
        <v>2998</v>
      </c>
      <c r="L197" s="14">
        <v>12367</v>
      </c>
      <c r="M197" s="15">
        <v>0.24241934179671706</v>
      </c>
      <c r="N197" s="14">
        <v>2998</v>
      </c>
      <c r="O197" s="14">
        <v>2998</v>
      </c>
      <c r="P197" s="14">
        <v>2998</v>
      </c>
      <c r="Q197" s="13">
        <v>4519.5</v>
      </c>
      <c r="R197" s="13">
        <v>4703.5</v>
      </c>
    </row>
    <row r="198" spans="1:18" x14ac:dyDescent="0.3">
      <c r="A198" s="17">
        <v>1</v>
      </c>
      <c r="B198" s="17">
        <v>4</v>
      </c>
      <c r="C198" s="17" t="s">
        <v>572</v>
      </c>
      <c r="D198" s="16">
        <v>408550</v>
      </c>
      <c r="E198" s="17" t="s">
        <v>416</v>
      </c>
      <c r="F198" s="14">
        <v>276</v>
      </c>
      <c r="G198" s="14">
        <v>0</v>
      </c>
      <c r="H198" s="14"/>
      <c r="I198" s="14">
        <v>15</v>
      </c>
      <c r="J198" s="14">
        <v>0</v>
      </c>
      <c r="K198" s="14">
        <v>291</v>
      </c>
      <c r="L198" s="14">
        <v>1962</v>
      </c>
      <c r="M198" s="15">
        <v>0.14831804281345565</v>
      </c>
      <c r="N198" s="14">
        <v>291</v>
      </c>
      <c r="O198" s="14">
        <v>0</v>
      </c>
      <c r="P198" s="14">
        <v>291</v>
      </c>
      <c r="Q198" s="13">
        <v>291</v>
      </c>
      <c r="R198" s="13">
        <v>291</v>
      </c>
    </row>
    <row r="199" spans="1:18" x14ac:dyDescent="0.3">
      <c r="A199" s="17">
        <v>1</v>
      </c>
      <c r="B199" s="17">
        <v>4</v>
      </c>
      <c r="C199" s="17" t="s">
        <v>572</v>
      </c>
      <c r="D199" s="16">
        <v>408600</v>
      </c>
      <c r="E199" s="17" t="s">
        <v>417</v>
      </c>
      <c r="F199" s="14">
        <v>197</v>
      </c>
      <c r="G199" s="14">
        <v>0</v>
      </c>
      <c r="H199" s="14"/>
      <c r="I199" s="14">
        <v>5</v>
      </c>
      <c r="J199" s="14">
        <v>0</v>
      </c>
      <c r="K199" s="14">
        <v>202</v>
      </c>
      <c r="L199" s="14">
        <v>1051</v>
      </c>
      <c r="M199" s="15">
        <v>0.19219790675547099</v>
      </c>
      <c r="N199" s="14">
        <v>202</v>
      </c>
      <c r="O199" s="14">
        <v>202</v>
      </c>
      <c r="P199" s="14">
        <v>202</v>
      </c>
      <c r="Q199" s="13">
        <v>230.69065000000003</v>
      </c>
      <c r="R199" s="13">
        <v>221.12710000000004</v>
      </c>
    </row>
    <row r="200" spans="1:18" x14ac:dyDescent="0.3">
      <c r="A200" s="17">
        <v>1</v>
      </c>
      <c r="B200" s="17">
        <v>4</v>
      </c>
      <c r="C200" s="17" t="s">
        <v>572</v>
      </c>
      <c r="D200" s="16">
        <v>405760</v>
      </c>
      <c r="E200" s="17" t="s">
        <v>418</v>
      </c>
      <c r="F200" s="14">
        <v>48</v>
      </c>
      <c r="G200" s="14">
        <v>0</v>
      </c>
      <c r="H200" s="14"/>
      <c r="I200" s="14">
        <v>1</v>
      </c>
      <c r="J200" s="14">
        <v>0</v>
      </c>
      <c r="K200" s="14">
        <v>49</v>
      </c>
      <c r="L200" s="14">
        <v>102</v>
      </c>
      <c r="M200" s="15">
        <v>0.48039215686274511</v>
      </c>
      <c r="N200" s="14">
        <v>49</v>
      </c>
      <c r="O200" s="14">
        <v>49</v>
      </c>
      <c r="P200" s="14">
        <v>49</v>
      </c>
      <c r="Q200" s="13">
        <v>114.84115000000001</v>
      </c>
      <c r="R200" s="13">
        <v>147.57390000000004</v>
      </c>
    </row>
    <row r="201" spans="1:18" x14ac:dyDescent="0.3">
      <c r="A201" s="17">
        <v>1</v>
      </c>
      <c r="B201" s="17">
        <v>4</v>
      </c>
      <c r="C201" s="17" t="s">
        <v>572</v>
      </c>
      <c r="D201" s="16">
        <v>408640</v>
      </c>
      <c r="E201" s="17" t="s">
        <v>419</v>
      </c>
      <c r="F201" s="14">
        <v>49</v>
      </c>
      <c r="G201" s="14">
        <v>0</v>
      </c>
      <c r="H201" s="14"/>
      <c r="I201" s="14">
        <v>2</v>
      </c>
      <c r="J201" s="14">
        <v>0</v>
      </c>
      <c r="K201" s="14">
        <v>51</v>
      </c>
      <c r="L201" s="14">
        <v>161</v>
      </c>
      <c r="M201" s="15">
        <v>0.31677018633540371</v>
      </c>
      <c r="N201" s="14">
        <v>51</v>
      </c>
      <c r="O201" s="14">
        <v>51</v>
      </c>
      <c r="P201" s="14">
        <v>51</v>
      </c>
      <c r="Q201" s="13">
        <v>83.821124999999995</v>
      </c>
      <c r="R201" s="13">
        <v>90.726049999999987</v>
      </c>
    </row>
    <row r="202" spans="1:18" x14ac:dyDescent="0.3">
      <c r="A202" s="17">
        <v>1</v>
      </c>
      <c r="B202" s="17">
        <v>4</v>
      </c>
      <c r="C202" s="17" t="s">
        <v>572</v>
      </c>
      <c r="D202" s="16">
        <v>408680</v>
      </c>
      <c r="E202" s="17" t="s">
        <v>420</v>
      </c>
      <c r="F202" s="14">
        <v>1199</v>
      </c>
      <c r="G202" s="14">
        <v>0</v>
      </c>
      <c r="H202" s="14"/>
      <c r="I202" s="14">
        <v>17</v>
      </c>
      <c r="J202" s="14">
        <v>0</v>
      </c>
      <c r="K202" s="14">
        <v>1216</v>
      </c>
      <c r="L202" s="14">
        <v>3711</v>
      </c>
      <c r="M202" s="15">
        <v>0.32767448127189436</v>
      </c>
      <c r="N202" s="14">
        <v>1216</v>
      </c>
      <c r="O202" s="14">
        <v>1216</v>
      </c>
      <c r="P202" s="14">
        <v>1216</v>
      </c>
      <c r="Q202" s="13">
        <v>2063.5648750000009</v>
      </c>
      <c r="R202" s="13">
        <v>2273.303550000001</v>
      </c>
    </row>
    <row r="203" spans="1:18" x14ac:dyDescent="0.3">
      <c r="A203" s="17">
        <v>1</v>
      </c>
      <c r="B203" s="17">
        <v>4</v>
      </c>
      <c r="C203" s="17" t="s">
        <v>572</v>
      </c>
      <c r="D203" s="16">
        <v>408800</v>
      </c>
      <c r="E203" s="17" t="s">
        <v>424</v>
      </c>
      <c r="F203" s="14">
        <v>20444</v>
      </c>
      <c r="G203" s="14">
        <v>226</v>
      </c>
      <c r="H203" s="14"/>
      <c r="I203" s="14">
        <v>992</v>
      </c>
      <c r="J203" s="14">
        <v>0</v>
      </c>
      <c r="K203" s="14">
        <v>21662</v>
      </c>
      <c r="L203" s="14">
        <v>72963</v>
      </c>
      <c r="M203" s="15">
        <v>0.29689020462426163</v>
      </c>
      <c r="N203" s="14">
        <v>21662</v>
      </c>
      <c r="O203" s="14">
        <v>21662</v>
      </c>
      <c r="P203" s="14">
        <v>21662</v>
      </c>
      <c r="Q203" s="13">
        <v>48753</v>
      </c>
      <c r="R203" s="13">
        <v>62234.875</v>
      </c>
    </row>
    <row r="204" spans="1:18" x14ac:dyDescent="0.3">
      <c r="A204" s="17">
        <v>1</v>
      </c>
      <c r="B204" s="17">
        <v>4</v>
      </c>
      <c r="C204" s="17" t="s">
        <v>572</v>
      </c>
      <c r="D204" s="16">
        <v>408820</v>
      </c>
      <c r="E204" s="17" t="s">
        <v>426</v>
      </c>
      <c r="F204" s="14">
        <v>705</v>
      </c>
      <c r="G204" s="14">
        <v>0</v>
      </c>
      <c r="H204" s="14"/>
      <c r="I204" s="14">
        <v>32</v>
      </c>
      <c r="J204" s="14">
        <v>0</v>
      </c>
      <c r="K204" s="14">
        <v>737</v>
      </c>
      <c r="L204" s="14">
        <v>2802</v>
      </c>
      <c r="M204" s="15">
        <v>0.26302640970735192</v>
      </c>
      <c r="N204" s="14">
        <v>737</v>
      </c>
      <c r="O204" s="14">
        <v>737</v>
      </c>
      <c r="P204" s="14">
        <v>737</v>
      </c>
      <c r="Q204" s="13">
        <v>1050.4446500000001</v>
      </c>
      <c r="R204" s="13">
        <v>1063.4409000000001</v>
      </c>
    </row>
    <row r="205" spans="1:18" x14ac:dyDescent="0.3">
      <c r="A205" s="17">
        <v>1</v>
      </c>
      <c r="B205" s="17">
        <v>4</v>
      </c>
      <c r="C205" s="17" t="s">
        <v>572</v>
      </c>
      <c r="D205" s="16">
        <v>408850</v>
      </c>
      <c r="E205" s="17" t="s">
        <v>427</v>
      </c>
      <c r="F205" s="14">
        <v>816</v>
      </c>
      <c r="G205" s="14">
        <v>0</v>
      </c>
      <c r="H205" s="14"/>
      <c r="I205" s="14">
        <v>40</v>
      </c>
      <c r="J205" s="14">
        <v>0</v>
      </c>
      <c r="K205" s="14">
        <v>856</v>
      </c>
      <c r="L205" s="14">
        <v>11003</v>
      </c>
      <c r="M205" s="15">
        <v>7.779696446423702E-2</v>
      </c>
      <c r="N205" s="14">
        <v>856</v>
      </c>
      <c r="O205" s="14">
        <v>0</v>
      </c>
      <c r="P205" s="14">
        <v>856</v>
      </c>
      <c r="Q205" s="13">
        <v>938.5</v>
      </c>
      <c r="R205" s="13">
        <v>938.5</v>
      </c>
    </row>
    <row r="206" spans="1:18" x14ac:dyDescent="0.3">
      <c r="A206" s="17">
        <v>1</v>
      </c>
      <c r="B206" s="17">
        <v>4</v>
      </c>
      <c r="C206" s="17" t="s">
        <v>572</v>
      </c>
      <c r="D206" s="16">
        <v>408880</v>
      </c>
      <c r="E206" s="17" t="s">
        <v>464</v>
      </c>
      <c r="F206" s="14">
        <v>10</v>
      </c>
      <c r="G206" s="14">
        <v>0</v>
      </c>
      <c r="H206" s="14"/>
      <c r="I206" s="14">
        <v>0</v>
      </c>
      <c r="J206" s="14">
        <v>0</v>
      </c>
      <c r="K206" s="14">
        <v>10</v>
      </c>
      <c r="L206" s="14">
        <v>39</v>
      </c>
      <c r="M206" s="15">
        <v>0.25641025641025639</v>
      </c>
      <c r="N206" s="14">
        <v>10</v>
      </c>
      <c r="O206" s="14">
        <v>10</v>
      </c>
      <c r="P206" s="14">
        <v>10</v>
      </c>
      <c r="Q206" s="13">
        <v>13.975674999999997</v>
      </c>
      <c r="R206" s="13">
        <v>14.027549999999998</v>
      </c>
    </row>
    <row r="207" spans="1:18" x14ac:dyDescent="0.3">
      <c r="A207" s="17">
        <v>1</v>
      </c>
      <c r="B207" s="17">
        <v>4</v>
      </c>
      <c r="C207" s="17" t="s">
        <v>572</v>
      </c>
      <c r="D207" s="16">
        <v>408910</v>
      </c>
      <c r="E207" s="17" t="s">
        <v>428</v>
      </c>
      <c r="F207" s="14">
        <v>43</v>
      </c>
      <c r="G207" s="14">
        <v>0</v>
      </c>
      <c r="H207" s="14"/>
      <c r="I207" s="14">
        <v>1</v>
      </c>
      <c r="J207" s="14">
        <v>0</v>
      </c>
      <c r="K207" s="14">
        <v>44</v>
      </c>
      <c r="L207" s="14">
        <v>174</v>
      </c>
      <c r="M207" s="15">
        <v>0.25287356321839083</v>
      </c>
      <c r="N207" s="14">
        <v>44</v>
      </c>
      <c r="O207" s="14">
        <v>44</v>
      </c>
      <c r="P207" s="14">
        <v>44</v>
      </c>
      <c r="Q207" s="13">
        <v>60.814550000000011</v>
      </c>
      <c r="R207" s="13">
        <v>60.73830000000001</v>
      </c>
    </row>
    <row r="208" spans="1:18" x14ac:dyDescent="0.3">
      <c r="A208" s="17">
        <v>1</v>
      </c>
      <c r="B208" s="17">
        <v>4</v>
      </c>
      <c r="C208" s="17" t="s">
        <v>572</v>
      </c>
      <c r="D208" s="16">
        <v>400022</v>
      </c>
      <c r="E208" s="17" t="s">
        <v>430</v>
      </c>
      <c r="F208" s="14">
        <v>89</v>
      </c>
      <c r="G208" s="14">
        <v>0</v>
      </c>
      <c r="H208" s="14"/>
      <c r="I208" s="14">
        <v>1</v>
      </c>
      <c r="J208" s="14">
        <v>0</v>
      </c>
      <c r="K208" s="14">
        <v>90</v>
      </c>
      <c r="L208" s="14">
        <v>275</v>
      </c>
      <c r="M208" s="15">
        <v>0.32727272727272727</v>
      </c>
      <c r="N208" s="14">
        <v>90</v>
      </c>
      <c r="O208" s="14">
        <v>90</v>
      </c>
      <c r="P208" s="14">
        <v>90</v>
      </c>
      <c r="Q208" s="13">
        <v>152.55937500000002</v>
      </c>
      <c r="R208" s="13">
        <v>167.96375000000003</v>
      </c>
    </row>
    <row r="209" spans="1:18" x14ac:dyDescent="0.3">
      <c r="A209" s="17">
        <v>1</v>
      </c>
      <c r="B209" s="17">
        <v>4</v>
      </c>
      <c r="C209" s="17" t="s">
        <v>572</v>
      </c>
      <c r="D209" s="16">
        <v>409030</v>
      </c>
      <c r="E209" s="17" t="s">
        <v>459</v>
      </c>
      <c r="F209" s="14">
        <v>0</v>
      </c>
      <c r="G209" s="14">
        <v>0</v>
      </c>
      <c r="H209" s="14"/>
      <c r="I209" s="14">
        <v>0</v>
      </c>
      <c r="J209" s="14">
        <v>0</v>
      </c>
      <c r="K209" s="14">
        <v>0</v>
      </c>
      <c r="L209" s="14">
        <v>1</v>
      </c>
      <c r="M209" s="15">
        <v>0</v>
      </c>
      <c r="N209" s="14">
        <v>0</v>
      </c>
      <c r="O209" s="14">
        <v>0</v>
      </c>
      <c r="P209" s="14">
        <v>0</v>
      </c>
      <c r="Q209" s="13">
        <v>0</v>
      </c>
      <c r="R209" s="13">
        <v>0</v>
      </c>
    </row>
    <row r="210" spans="1:18" x14ac:dyDescent="0.3">
      <c r="A210" s="17">
        <v>1</v>
      </c>
      <c r="B210" s="17">
        <v>4</v>
      </c>
      <c r="C210" s="17" t="s">
        <v>572</v>
      </c>
      <c r="D210" s="16">
        <v>409060</v>
      </c>
      <c r="E210" s="17" t="s">
        <v>582</v>
      </c>
      <c r="F210" s="14">
        <v>9485</v>
      </c>
      <c r="G210" s="14">
        <v>70</v>
      </c>
      <c r="H210" s="14"/>
      <c r="I210" s="14">
        <v>429</v>
      </c>
      <c r="J210" s="14">
        <v>0</v>
      </c>
      <c r="K210" s="14">
        <v>9984</v>
      </c>
      <c r="L210" s="14">
        <v>28672</v>
      </c>
      <c r="M210" s="15">
        <v>0.3482142857142857</v>
      </c>
      <c r="N210" s="14">
        <v>9984</v>
      </c>
      <c r="O210" s="14">
        <v>9984</v>
      </c>
      <c r="P210" s="14">
        <v>9984</v>
      </c>
      <c r="Q210" s="13">
        <v>19558</v>
      </c>
      <c r="R210" s="13">
        <v>22821.625</v>
      </c>
    </row>
    <row r="211" spans="1:18" x14ac:dyDescent="0.3">
      <c r="A211" s="17">
        <v>1</v>
      </c>
      <c r="B211" s="17">
        <v>4</v>
      </c>
      <c r="C211" s="17" t="s">
        <v>572</v>
      </c>
      <c r="D211" s="16">
        <v>409090</v>
      </c>
      <c r="E211" s="17" t="s">
        <v>434</v>
      </c>
      <c r="F211" s="14">
        <v>104</v>
      </c>
      <c r="G211" s="14">
        <v>0</v>
      </c>
      <c r="H211" s="14"/>
      <c r="I211" s="14">
        <v>2</v>
      </c>
      <c r="J211" s="14">
        <v>0</v>
      </c>
      <c r="K211" s="14">
        <v>106</v>
      </c>
      <c r="L211" s="14">
        <v>353</v>
      </c>
      <c r="M211" s="15">
        <v>0.3002832861189802</v>
      </c>
      <c r="N211" s="14">
        <v>106</v>
      </c>
      <c r="O211" s="14">
        <v>106</v>
      </c>
      <c r="P211" s="14">
        <v>106</v>
      </c>
      <c r="Q211" s="13">
        <v>165.21572500000002</v>
      </c>
      <c r="R211" s="13">
        <v>173.42885000000001</v>
      </c>
    </row>
    <row r="212" spans="1:18" x14ac:dyDescent="0.3">
      <c r="A212" s="17">
        <v>1</v>
      </c>
      <c r="B212" s="17">
        <v>4</v>
      </c>
      <c r="C212" s="17" t="s">
        <v>572</v>
      </c>
      <c r="D212" s="16">
        <v>409120</v>
      </c>
      <c r="E212" s="17" t="s">
        <v>435</v>
      </c>
      <c r="F212" s="14">
        <v>42</v>
      </c>
      <c r="G212" s="14">
        <v>0</v>
      </c>
      <c r="H212" s="14"/>
      <c r="I212" s="14">
        <v>2</v>
      </c>
      <c r="J212" s="14">
        <v>0</v>
      </c>
      <c r="K212" s="14">
        <v>44</v>
      </c>
      <c r="L212" s="14">
        <v>104</v>
      </c>
      <c r="M212" s="15">
        <v>0.42307692307692307</v>
      </c>
      <c r="N212" s="14">
        <v>44</v>
      </c>
      <c r="O212" s="14">
        <v>44</v>
      </c>
      <c r="P212" s="14">
        <v>44</v>
      </c>
      <c r="Q212" s="13">
        <v>93.249799999999993</v>
      </c>
      <c r="R212" s="13">
        <v>114.70280000000001</v>
      </c>
    </row>
    <row r="213" spans="1:18" x14ac:dyDescent="0.3">
      <c r="A213" s="17">
        <v>1</v>
      </c>
      <c r="B213" s="17">
        <v>4</v>
      </c>
      <c r="C213" s="17" t="s">
        <v>572</v>
      </c>
      <c r="D213" s="16">
        <v>409160</v>
      </c>
      <c r="E213" s="17" t="s">
        <v>441</v>
      </c>
      <c r="F213" s="14">
        <v>1043</v>
      </c>
      <c r="G213" s="14">
        <v>0</v>
      </c>
      <c r="H213" s="14"/>
      <c r="I213" s="14">
        <v>14</v>
      </c>
      <c r="J213" s="14">
        <v>0</v>
      </c>
      <c r="K213" s="14">
        <v>1057</v>
      </c>
      <c r="L213" s="14">
        <v>2712</v>
      </c>
      <c r="M213" s="15">
        <v>0.38974926253687314</v>
      </c>
      <c r="N213" s="14">
        <v>1057</v>
      </c>
      <c r="O213" s="14">
        <v>1057</v>
      </c>
      <c r="P213" s="14">
        <v>1057</v>
      </c>
      <c r="Q213" s="13">
        <v>2070.1293999999994</v>
      </c>
      <c r="R213" s="13">
        <v>2448.7883999999999</v>
      </c>
    </row>
    <row r="214" spans="1:18" x14ac:dyDescent="0.3">
      <c r="A214" s="17">
        <v>1</v>
      </c>
      <c r="B214" s="17">
        <v>4</v>
      </c>
      <c r="C214" s="17" t="s">
        <v>572</v>
      </c>
      <c r="D214" s="16">
        <v>409190</v>
      </c>
      <c r="E214" s="17" t="s">
        <v>442</v>
      </c>
      <c r="F214" s="14">
        <v>370</v>
      </c>
      <c r="G214" s="14">
        <v>0</v>
      </c>
      <c r="H214" s="14"/>
      <c r="I214" s="14">
        <v>16</v>
      </c>
      <c r="J214" s="14">
        <v>0</v>
      </c>
      <c r="K214" s="14">
        <v>386</v>
      </c>
      <c r="L214" s="14">
        <v>1402</v>
      </c>
      <c r="M214" s="15">
        <v>0.27532097004279599</v>
      </c>
      <c r="N214" s="14">
        <v>386</v>
      </c>
      <c r="O214" s="14">
        <v>386</v>
      </c>
      <c r="P214" s="14">
        <v>386</v>
      </c>
      <c r="Q214" s="13">
        <v>568.68964999999992</v>
      </c>
      <c r="R214" s="13">
        <v>583.81089999999995</v>
      </c>
    </row>
    <row r="215" spans="1:18" x14ac:dyDescent="0.3">
      <c r="A215" s="17">
        <v>1</v>
      </c>
      <c r="B215" s="17">
        <v>4</v>
      </c>
      <c r="C215" s="17" t="s">
        <v>572</v>
      </c>
      <c r="D215" s="16">
        <v>409250</v>
      </c>
      <c r="E215" s="17" t="s">
        <v>443</v>
      </c>
      <c r="F215" s="14">
        <v>334</v>
      </c>
      <c r="G215" s="14">
        <v>0</v>
      </c>
      <c r="H215" s="14"/>
      <c r="I215" s="14">
        <v>9</v>
      </c>
      <c r="J215" s="14">
        <v>0</v>
      </c>
      <c r="K215" s="14">
        <v>343</v>
      </c>
      <c r="L215" s="14">
        <v>1495</v>
      </c>
      <c r="M215" s="15">
        <v>0.2294314381270903</v>
      </c>
      <c r="N215" s="14">
        <v>343</v>
      </c>
      <c r="O215" s="14">
        <v>343</v>
      </c>
      <c r="P215" s="14">
        <v>343</v>
      </c>
      <c r="Q215" s="13">
        <v>434.90087499999987</v>
      </c>
      <c r="R215" s="13">
        <v>416.72274999999985</v>
      </c>
    </row>
    <row r="216" spans="1:18" x14ac:dyDescent="0.3">
      <c r="A216" s="17">
        <v>1</v>
      </c>
      <c r="B216" s="17">
        <v>4</v>
      </c>
      <c r="C216" s="17" t="s">
        <v>572</v>
      </c>
      <c r="D216" s="16">
        <v>409310</v>
      </c>
      <c r="E216" s="17" t="s">
        <v>444</v>
      </c>
      <c r="F216" s="14">
        <v>260</v>
      </c>
      <c r="G216" s="14">
        <v>0</v>
      </c>
      <c r="H216" s="14"/>
      <c r="I216" s="14">
        <v>4</v>
      </c>
      <c r="J216" s="14">
        <v>0</v>
      </c>
      <c r="K216" s="14">
        <v>264</v>
      </c>
      <c r="L216" s="14">
        <v>899</v>
      </c>
      <c r="M216" s="15">
        <v>0.29365962180200222</v>
      </c>
      <c r="N216" s="14">
        <v>264</v>
      </c>
      <c r="O216" s="14">
        <v>264</v>
      </c>
      <c r="P216" s="14">
        <v>264</v>
      </c>
      <c r="Q216" s="13">
        <v>405.87517500000001</v>
      </c>
      <c r="R216" s="13">
        <v>423.81455000000005</v>
      </c>
    </row>
    <row r="217" spans="1:18" x14ac:dyDescent="0.3">
      <c r="A217" s="17">
        <v>1</v>
      </c>
      <c r="B217" s="17">
        <v>4</v>
      </c>
      <c r="C217" s="17" t="s">
        <v>572</v>
      </c>
      <c r="D217" s="16">
        <v>409360</v>
      </c>
      <c r="E217" s="17" t="s">
        <v>456</v>
      </c>
      <c r="F217" s="14">
        <v>11</v>
      </c>
      <c r="G217" s="14">
        <v>0</v>
      </c>
      <c r="H217" s="14"/>
      <c r="I217" s="14">
        <v>1</v>
      </c>
      <c r="J217" s="14">
        <v>0</v>
      </c>
      <c r="K217" s="14">
        <v>12</v>
      </c>
      <c r="L217" s="14">
        <v>59</v>
      </c>
      <c r="M217" s="15">
        <v>0.20338983050847459</v>
      </c>
      <c r="N217" s="14">
        <v>12</v>
      </c>
      <c r="O217" s="14">
        <v>12</v>
      </c>
      <c r="P217" s="14">
        <v>12</v>
      </c>
      <c r="Q217" s="13">
        <v>14.105850000000002</v>
      </c>
      <c r="R217" s="13">
        <v>13.403900000000002</v>
      </c>
    </row>
    <row r="218" spans="1:18" x14ac:dyDescent="0.3">
      <c r="A218" s="17">
        <v>1</v>
      </c>
      <c r="B218" s="17">
        <v>4</v>
      </c>
      <c r="C218" s="17" t="s">
        <v>572</v>
      </c>
      <c r="D218" s="16">
        <v>409390</v>
      </c>
      <c r="E218" s="17" t="s">
        <v>445</v>
      </c>
      <c r="F218" s="14">
        <v>350</v>
      </c>
      <c r="G218" s="14">
        <v>0</v>
      </c>
      <c r="H218" s="14"/>
      <c r="I218" s="14">
        <v>16</v>
      </c>
      <c r="J218" s="14">
        <v>0</v>
      </c>
      <c r="K218" s="14">
        <v>366</v>
      </c>
      <c r="L218" s="14">
        <v>608</v>
      </c>
      <c r="M218" s="15">
        <v>0.60197368421052633</v>
      </c>
      <c r="N218" s="14">
        <v>366</v>
      </c>
      <c r="O218" s="14">
        <v>366</v>
      </c>
      <c r="P218" s="14">
        <v>366</v>
      </c>
      <c r="Q218" s="13">
        <v>980.2296</v>
      </c>
      <c r="R218" s="13">
        <v>1323.1856</v>
      </c>
    </row>
    <row r="219" spans="1:18" x14ac:dyDescent="0.3">
      <c r="A219" s="17">
        <v>1</v>
      </c>
      <c r="B219" s="17">
        <v>4</v>
      </c>
      <c r="C219" s="17" t="s">
        <v>572</v>
      </c>
      <c r="D219" s="16">
        <v>409430</v>
      </c>
      <c r="E219" s="17" t="s">
        <v>446</v>
      </c>
      <c r="F219" s="14">
        <v>941</v>
      </c>
      <c r="G219" s="14">
        <v>18</v>
      </c>
      <c r="H219" s="14"/>
      <c r="I219" s="14">
        <v>6</v>
      </c>
      <c r="J219" s="14">
        <v>0</v>
      </c>
      <c r="K219" s="14">
        <v>965</v>
      </c>
      <c r="L219" s="14">
        <v>2567</v>
      </c>
      <c r="M219" s="15">
        <v>0.37592520451889366</v>
      </c>
      <c r="N219" s="14">
        <v>965</v>
      </c>
      <c r="O219" s="14">
        <v>965</v>
      </c>
      <c r="P219" s="14">
        <v>965</v>
      </c>
      <c r="Q219" s="13">
        <v>1829.9678750000003</v>
      </c>
      <c r="R219" s="13">
        <v>2129.8743500000005</v>
      </c>
    </row>
    <row r="220" spans="1:18" x14ac:dyDescent="0.3">
      <c r="A220" s="17">
        <v>1</v>
      </c>
      <c r="B220" s="17">
        <v>4</v>
      </c>
      <c r="C220" s="17" t="s">
        <v>572</v>
      </c>
      <c r="D220" s="16">
        <v>409460</v>
      </c>
      <c r="E220" s="17" t="s">
        <v>447</v>
      </c>
      <c r="F220" s="14">
        <v>710</v>
      </c>
      <c r="G220" s="14">
        <v>0</v>
      </c>
      <c r="H220" s="14"/>
      <c r="I220" s="14">
        <v>10</v>
      </c>
      <c r="J220" s="14">
        <v>0</v>
      </c>
      <c r="K220" s="14">
        <v>720</v>
      </c>
      <c r="L220" s="14">
        <v>2196</v>
      </c>
      <c r="M220" s="15">
        <v>0.32786885245901637</v>
      </c>
      <c r="N220" s="14">
        <v>720</v>
      </c>
      <c r="O220" s="14">
        <v>720</v>
      </c>
      <c r="P220" s="14">
        <v>720</v>
      </c>
      <c r="Q220" s="13">
        <v>1222.5105000000001</v>
      </c>
      <c r="R220" s="13">
        <v>1347.1578</v>
      </c>
    </row>
    <row r="221" spans="1:18" x14ac:dyDescent="0.3">
      <c r="A221" s="17">
        <v>1</v>
      </c>
      <c r="B221" s="17">
        <v>4</v>
      </c>
      <c r="C221" s="17" t="s">
        <v>572</v>
      </c>
      <c r="D221" s="16">
        <v>409510</v>
      </c>
      <c r="E221" s="17" t="s">
        <v>448</v>
      </c>
      <c r="F221" s="14">
        <v>20</v>
      </c>
      <c r="G221" s="14">
        <v>0</v>
      </c>
      <c r="H221" s="14"/>
      <c r="I221" s="14">
        <v>1</v>
      </c>
      <c r="J221" s="14">
        <v>0</v>
      </c>
      <c r="K221" s="14">
        <v>21</v>
      </c>
      <c r="L221" s="14">
        <v>67</v>
      </c>
      <c r="M221" s="15">
        <v>0.31343283582089554</v>
      </c>
      <c r="N221" s="14">
        <v>21</v>
      </c>
      <c r="O221" s="14">
        <v>21</v>
      </c>
      <c r="P221" s="14">
        <v>21</v>
      </c>
      <c r="Q221" s="13">
        <v>34.155375000000014</v>
      </c>
      <c r="R221" s="13">
        <v>36.749350000000014</v>
      </c>
    </row>
    <row r="222" spans="1:18" x14ac:dyDescent="0.3">
      <c r="A222" s="17">
        <v>1</v>
      </c>
      <c r="B222" s="17">
        <v>4</v>
      </c>
      <c r="C222" s="17" t="s">
        <v>572</v>
      </c>
      <c r="D222" s="16">
        <v>409540</v>
      </c>
      <c r="E222" s="17" t="s">
        <v>581</v>
      </c>
      <c r="F222" s="14">
        <v>24</v>
      </c>
      <c r="G222" s="14">
        <v>0</v>
      </c>
      <c r="H222" s="14"/>
      <c r="I222" s="14">
        <v>1</v>
      </c>
      <c r="J222" s="14">
        <v>0</v>
      </c>
      <c r="K222" s="14">
        <v>25</v>
      </c>
      <c r="L222" s="14">
        <v>95</v>
      </c>
      <c r="M222" s="15">
        <v>0.26315789473684209</v>
      </c>
      <c r="N222" s="14">
        <v>25</v>
      </c>
      <c r="O222" s="14">
        <v>25</v>
      </c>
      <c r="P222" s="14">
        <v>25</v>
      </c>
      <c r="Q222" s="13">
        <v>35.645874999999997</v>
      </c>
      <c r="R222" s="13">
        <v>36.092750000000002</v>
      </c>
    </row>
    <row r="223" spans="1:18" x14ac:dyDescent="0.3">
      <c r="A223" s="17">
        <v>1</v>
      </c>
      <c r="B223" s="17">
        <v>4</v>
      </c>
      <c r="C223" s="17" t="s">
        <v>572</v>
      </c>
      <c r="D223" s="16">
        <v>409570</v>
      </c>
      <c r="E223" s="17" t="s">
        <v>451</v>
      </c>
      <c r="F223" s="14">
        <v>10</v>
      </c>
      <c r="G223" s="14">
        <v>0</v>
      </c>
      <c r="H223" s="14"/>
      <c r="I223" s="14">
        <v>0</v>
      </c>
      <c r="J223" s="14">
        <v>0</v>
      </c>
      <c r="K223" s="14">
        <v>10</v>
      </c>
      <c r="L223" s="14">
        <v>49</v>
      </c>
      <c r="M223" s="15">
        <v>0.20408163265306123</v>
      </c>
      <c r="N223" s="14">
        <v>10</v>
      </c>
      <c r="O223" s="14">
        <v>10</v>
      </c>
      <c r="P223" s="14">
        <v>10</v>
      </c>
      <c r="Q223" s="13">
        <v>11.774350000000002</v>
      </c>
      <c r="R223" s="13">
        <v>11.1829</v>
      </c>
    </row>
    <row r="224" spans="1:18" x14ac:dyDescent="0.3">
      <c r="A224" s="17">
        <v>1</v>
      </c>
      <c r="B224" s="17">
        <v>4</v>
      </c>
      <c r="C224" s="17" t="s">
        <v>572</v>
      </c>
      <c r="D224" s="16">
        <v>409600</v>
      </c>
      <c r="E224" s="17" t="s">
        <v>452</v>
      </c>
      <c r="F224" s="14">
        <v>2428</v>
      </c>
      <c r="G224" s="14">
        <v>0</v>
      </c>
      <c r="H224" s="14"/>
      <c r="I224" s="14">
        <v>46</v>
      </c>
      <c r="J224" s="14">
        <v>0</v>
      </c>
      <c r="K224" s="14">
        <v>2474</v>
      </c>
      <c r="L224" s="14">
        <v>10809</v>
      </c>
      <c r="M224" s="15">
        <v>0.22888333795910815</v>
      </c>
      <c r="N224" s="14">
        <v>2474</v>
      </c>
      <c r="O224" s="14">
        <v>2474</v>
      </c>
      <c r="P224" s="14">
        <v>2474</v>
      </c>
      <c r="Q224" s="13">
        <v>3471.5</v>
      </c>
      <c r="R224" s="13">
        <v>3524.5</v>
      </c>
    </row>
    <row r="225" spans="1:18" x14ac:dyDescent="0.3">
      <c r="A225" s="17">
        <v>1</v>
      </c>
      <c r="B225" s="17">
        <v>4</v>
      </c>
      <c r="C225" s="17" t="s">
        <v>572</v>
      </c>
      <c r="D225" s="16">
        <v>409630</v>
      </c>
      <c r="E225" s="17" t="s">
        <v>453</v>
      </c>
      <c r="F225" s="14">
        <v>3738</v>
      </c>
      <c r="G225" s="14">
        <v>50</v>
      </c>
      <c r="H225" s="14"/>
      <c r="I225" s="14">
        <v>70</v>
      </c>
      <c r="J225" s="14">
        <v>0</v>
      </c>
      <c r="K225" s="14">
        <v>3858</v>
      </c>
      <c r="L225" s="14">
        <v>11974</v>
      </c>
      <c r="M225" s="15">
        <v>0.32219809587439452</v>
      </c>
      <c r="N225" s="14">
        <v>3858</v>
      </c>
      <c r="O225" s="14">
        <v>3858</v>
      </c>
      <c r="P225" s="14">
        <v>3858</v>
      </c>
      <c r="Q225" s="13">
        <v>6445.2307499999997</v>
      </c>
      <c r="R225" s="13">
        <v>7040.0107000000007</v>
      </c>
    </row>
    <row r="226" spans="1:18" x14ac:dyDescent="0.3">
      <c r="A226" s="17">
        <v>2</v>
      </c>
      <c r="B226" s="17">
        <v>4</v>
      </c>
      <c r="C226" s="17" t="s">
        <v>572</v>
      </c>
      <c r="D226" s="16">
        <v>481003</v>
      </c>
      <c r="E226" s="17" t="s">
        <v>580</v>
      </c>
      <c r="F226" s="14">
        <v>1</v>
      </c>
      <c r="G226" s="14">
        <v>0</v>
      </c>
      <c r="H226" s="14"/>
      <c r="I226" s="14">
        <v>0</v>
      </c>
      <c r="J226" s="14">
        <v>0</v>
      </c>
      <c r="K226" s="14">
        <v>1</v>
      </c>
      <c r="L226" s="14">
        <v>5</v>
      </c>
      <c r="M226" s="15">
        <v>0.2</v>
      </c>
      <c r="N226" s="14">
        <v>0</v>
      </c>
      <c r="O226" s="14">
        <v>0</v>
      </c>
      <c r="P226" s="14">
        <v>0</v>
      </c>
      <c r="Q226" s="13">
        <v>0</v>
      </c>
      <c r="R226" s="13">
        <v>0</v>
      </c>
    </row>
    <row r="227" spans="1:18" x14ac:dyDescent="0.3">
      <c r="A227" s="17">
        <v>2</v>
      </c>
      <c r="B227" s="17">
        <v>4</v>
      </c>
      <c r="C227" s="17" t="s">
        <v>572</v>
      </c>
      <c r="D227" s="16">
        <v>481005</v>
      </c>
      <c r="E227" s="17" t="s">
        <v>579</v>
      </c>
      <c r="F227" s="14">
        <v>20</v>
      </c>
      <c r="G227" s="14">
        <v>0</v>
      </c>
      <c r="H227" s="14"/>
      <c r="I227" s="14">
        <v>0</v>
      </c>
      <c r="J227" s="14">
        <v>0</v>
      </c>
      <c r="K227" s="14">
        <v>20</v>
      </c>
      <c r="L227" s="14">
        <v>91</v>
      </c>
      <c r="M227" s="15">
        <v>0.21978021978021978</v>
      </c>
      <c r="N227" s="14">
        <v>20</v>
      </c>
      <c r="O227" s="14">
        <v>20</v>
      </c>
      <c r="P227" s="14">
        <v>20</v>
      </c>
      <c r="Q227" s="13">
        <v>24.36665</v>
      </c>
      <c r="R227" s="13">
        <v>22.911099999999998</v>
      </c>
    </row>
    <row r="228" spans="1:18" x14ac:dyDescent="0.3">
      <c r="A228" s="17">
        <v>2</v>
      </c>
      <c r="B228" s="17">
        <v>4</v>
      </c>
      <c r="C228" s="17" t="s">
        <v>572</v>
      </c>
      <c r="D228" s="16">
        <v>481007</v>
      </c>
      <c r="E228" s="17" t="s">
        <v>578</v>
      </c>
      <c r="F228" s="14">
        <v>129</v>
      </c>
      <c r="G228" s="14">
        <v>0</v>
      </c>
      <c r="H228" s="14"/>
      <c r="I228" s="14">
        <v>4</v>
      </c>
      <c r="J228" s="14">
        <v>0</v>
      </c>
      <c r="K228" s="14">
        <v>133</v>
      </c>
      <c r="L228" s="14">
        <v>354</v>
      </c>
      <c r="M228" s="15">
        <v>0.37570621468926552</v>
      </c>
      <c r="N228" s="14">
        <v>133</v>
      </c>
      <c r="O228" s="14">
        <v>133</v>
      </c>
      <c r="P228" s="14">
        <v>133</v>
      </c>
      <c r="Q228" s="13">
        <v>252.10824999999997</v>
      </c>
      <c r="R228" s="13">
        <v>293.36969999999997</v>
      </c>
    </row>
    <row r="229" spans="1:18" x14ac:dyDescent="0.3">
      <c r="A229" s="17">
        <v>2</v>
      </c>
      <c r="B229" s="17">
        <v>4</v>
      </c>
      <c r="C229" s="17" t="s">
        <v>572</v>
      </c>
      <c r="D229" s="16">
        <v>481013</v>
      </c>
      <c r="E229" s="17" t="s">
        <v>577</v>
      </c>
      <c r="F229" s="14">
        <v>341</v>
      </c>
      <c r="G229" s="14">
        <v>0</v>
      </c>
      <c r="H229" s="14"/>
      <c r="I229" s="14">
        <v>15</v>
      </c>
      <c r="J229" s="14">
        <v>0</v>
      </c>
      <c r="K229" s="14">
        <v>356</v>
      </c>
      <c r="L229" s="14">
        <v>1497</v>
      </c>
      <c r="M229" s="15">
        <v>0.23780895123580495</v>
      </c>
      <c r="N229" s="14">
        <v>356</v>
      </c>
      <c r="O229" s="14">
        <v>356</v>
      </c>
      <c r="P229" s="14">
        <v>356</v>
      </c>
      <c r="Q229" s="13">
        <v>466.83552500000008</v>
      </c>
      <c r="R229" s="13">
        <v>454.90365000000008</v>
      </c>
    </row>
    <row r="230" spans="1:18" x14ac:dyDescent="0.3">
      <c r="A230" s="17">
        <v>2</v>
      </c>
      <c r="B230" s="17">
        <v>4</v>
      </c>
      <c r="C230" s="17" t="s">
        <v>572</v>
      </c>
      <c r="D230" s="16">
        <v>481017</v>
      </c>
      <c r="E230" s="17" t="s">
        <v>576</v>
      </c>
      <c r="F230" s="14">
        <v>47</v>
      </c>
      <c r="G230" s="14">
        <v>0</v>
      </c>
      <c r="H230" s="14"/>
      <c r="I230" s="14">
        <v>1</v>
      </c>
      <c r="J230" s="14">
        <v>0</v>
      </c>
      <c r="K230" s="14">
        <v>48</v>
      </c>
      <c r="L230" s="14">
        <v>147</v>
      </c>
      <c r="M230" s="15">
        <v>0.32653061224489793</v>
      </c>
      <c r="N230" s="14">
        <v>48</v>
      </c>
      <c r="O230" s="14">
        <v>48</v>
      </c>
      <c r="P230" s="14">
        <v>48</v>
      </c>
      <c r="Q230" s="13">
        <v>81.195375000000027</v>
      </c>
      <c r="R230" s="13">
        <v>89.293350000000032</v>
      </c>
    </row>
    <row r="231" spans="1:18" x14ac:dyDescent="0.3">
      <c r="A231" s="17">
        <v>2</v>
      </c>
      <c r="B231" s="17">
        <v>4</v>
      </c>
      <c r="C231" s="17" t="s">
        <v>572</v>
      </c>
      <c r="D231" s="16">
        <v>481019</v>
      </c>
      <c r="E231" s="17" t="s">
        <v>575</v>
      </c>
      <c r="F231" s="14">
        <v>15</v>
      </c>
      <c r="G231" s="14">
        <v>0</v>
      </c>
      <c r="H231" s="14"/>
      <c r="I231" s="14">
        <v>1</v>
      </c>
      <c r="J231" s="14">
        <v>0</v>
      </c>
      <c r="K231" s="14">
        <v>16</v>
      </c>
      <c r="L231" s="14">
        <v>45</v>
      </c>
      <c r="M231" s="15">
        <v>0.35555555555555557</v>
      </c>
      <c r="N231" s="14">
        <v>16</v>
      </c>
      <c r="O231" s="14">
        <v>16</v>
      </c>
      <c r="P231" s="14">
        <v>16</v>
      </c>
      <c r="Q231" s="13">
        <v>29.100625000000001</v>
      </c>
      <c r="R231" s="13">
        <v>33.212250000000004</v>
      </c>
    </row>
    <row r="232" spans="1:18" x14ac:dyDescent="0.3">
      <c r="A232" s="17">
        <v>2</v>
      </c>
      <c r="B232" s="17">
        <v>4</v>
      </c>
      <c r="C232" s="17" t="s">
        <v>572</v>
      </c>
      <c r="D232" s="16">
        <v>481023</v>
      </c>
      <c r="E232" s="17" t="s">
        <v>574</v>
      </c>
      <c r="F232" s="14">
        <v>0</v>
      </c>
      <c r="G232" s="14">
        <v>0</v>
      </c>
      <c r="H232" s="14"/>
      <c r="I232" s="14">
        <v>0</v>
      </c>
      <c r="J232" s="14">
        <v>0</v>
      </c>
      <c r="K232" s="14">
        <v>0</v>
      </c>
      <c r="L232" s="14">
        <v>0</v>
      </c>
      <c r="M232" s="15">
        <v>0</v>
      </c>
      <c r="N232" s="14">
        <v>0</v>
      </c>
      <c r="O232" s="14">
        <v>0</v>
      </c>
      <c r="P232" s="14">
        <v>0</v>
      </c>
      <c r="Q232" s="13">
        <v>0</v>
      </c>
      <c r="R232" s="13">
        <v>0</v>
      </c>
    </row>
    <row r="233" spans="1:18" x14ac:dyDescent="0.3">
      <c r="A233" s="17">
        <v>3</v>
      </c>
      <c r="B233" s="17">
        <v>4</v>
      </c>
      <c r="C233" s="17" t="s">
        <v>572</v>
      </c>
      <c r="D233" s="16">
        <v>499998</v>
      </c>
      <c r="E233" s="17" t="s">
        <v>573</v>
      </c>
      <c r="F233" s="14">
        <v>0</v>
      </c>
      <c r="G233" s="14">
        <v>0</v>
      </c>
      <c r="H233" s="14"/>
      <c r="I233" s="14">
        <v>0</v>
      </c>
      <c r="J233" s="14">
        <v>0</v>
      </c>
      <c r="K233" s="14">
        <v>0</v>
      </c>
      <c r="L233" s="14">
        <v>0</v>
      </c>
      <c r="M233" s="15">
        <v>0</v>
      </c>
      <c r="N233" s="14">
        <v>0</v>
      </c>
      <c r="O233" s="14">
        <v>0</v>
      </c>
      <c r="P233" s="14">
        <v>0</v>
      </c>
      <c r="Q233" s="13">
        <v>0</v>
      </c>
      <c r="R233" s="13">
        <v>0</v>
      </c>
    </row>
    <row r="234" spans="1:18" x14ac:dyDescent="0.3">
      <c r="A234" s="17">
        <v>4</v>
      </c>
      <c r="B234" s="17">
        <v>4</v>
      </c>
      <c r="C234" s="17" t="s">
        <v>572</v>
      </c>
      <c r="D234" s="16">
        <v>499999</v>
      </c>
      <c r="E234" s="17" t="s">
        <v>571</v>
      </c>
      <c r="F234" s="14">
        <v>0</v>
      </c>
      <c r="G234" s="14">
        <v>0</v>
      </c>
      <c r="H234" s="14">
        <v>1315</v>
      </c>
      <c r="I234" s="14">
        <v>0</v>
      </c>
      <c r="J234" s="14">
        <v>0</v>
      </c>
      <c r="K234" s="14">
        <v>1315</v>
      </c>
      <c r="L234" s="14">
        <v>1315</v>
      </c>
      <c r="M234" s="15">
        <v>1</v>
      </c>
      <c r="N234" s="14">
        <v>1315</v>
      </c>
      <c r="O234" s="14">
        <v>1315</v>
      </c>
      <c r="P234" s="14">
        <v>1315</v>
      </c>
      <c r="Q234" s="13">
        <v>1627</v>
      </c>
      <c r="R234" s="13">
        <v>1627</v>
      </c>
    </row>
    <row r="235" spans="1:18" x14ac:dyDescent="0.3">
      <c r="A235" s="11"/>
      <c r="B235" s="11"/>
      <c r="C235" s="11"/>
      <c r="D235" s="12"/>
      <c r="E235" s="11"/>
      <c r="F235" s="8"/>
      <c r="G235" s="10"/>
      <c r="H235" s="10"/>
      <c r="I235" s="10"/>
      <c r="J235" s="10"/>
      <c r="K235" s="8"/>
      <c r="L235" s="8"/>
      <c r="M235" s="9"/>
      <c r="N235" s="8"/>
      <c r="O235" s="8"/>
      <c r="P235" s="8"/>
      <c r="Q235" s="7"/>
      <c r="R235" s="7"/>
    </row>
    <row r="236" spans="1:18" x14ac:dyDescent="0.3">
      <c r="E236" s="6" t="s">
        <v>570</v>
      </c>
      <c r="F236" s="5"/>
      <c r="G236" s="5"/>
      <c r="H236" s="5"/>
      <c r="I236" s="5"/>
      <c r="J236" s="5"/>
      <c r="K236" s="5">
        <f>SUM(K9:K235)</f>
        <v>293829</v>
      </c>
      <c r="L236" s="5">
        <f>SUM(L9:L235)</f>
        <v>1190804</v>
      </c>
    </row>
  </sheetData>
  <sheetProtection algorithmName="SHA-512" hashValue="dqqAxuAjzVESRg+4w+jvh9I4fW0WWK6Bd4+p7w90M2nPt+HafZfly3mxyinB7FCwknhXDKsHOw5D/dOzRng0Rg==" saltValue="P0AUf3Gna/qIstGpkF9Lwg==" spinCount="100000" sheet="1" objects="1" scenarios="1"/>
  <pageMargins left="0.25" right="0.25" top="0.75" bottom="0.75" header="0.3" footer="0.3"/>
  <pageSetup scale="62" fitToHeight="0" orientation="landscape" horizontalDpi="4294967294" verticalDpi="4294967294"/>
  <headerFooter>
    <oddHeader>&amp;R&amp;P</oddHeader>
  </headerFooter>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3:F89"/>
  <sheetViews>
    <sheetView workbookViewId="0"/>
  </sheetViews>
  <sheetFormatPr defaultColWidth="8.77734375" defaultRowHeight="13.2" x14ac:dyDescent="0.25"/>
  <cols>
    <col min="1" max="1" width="54.33203125" style="723" bestFit="1" customWidth="1"/>
    <col min="2" max="2" width="22.109375" style="723" customWidth="1"/>
    <col min="3" max="3" width="14.77734375" style="723" bestFit="1" customWidth="1"/>
    <col min="4" max="4" width="19" style="723" bestFit="1" customWidth="1"/>
    <col min="5" max="5" width="15.77734375" style="723" bestFit="1" customWidth="1"/>
    <col min="6" max="6" width="27" style="723" customWidth="1"/>
    <col min="7" max="256" width="8.77734375" style="723"/>
    <col min="257" max="257" width="54.33203125" style="723" bestFit="1" customWidth="1"/>
    <col min="258" max="258" width="22.109375" style="723" customWidth="1"/>
    <col min="259" max="259" width="14.77734375" style="723" bestFit="1" customWidth="1"/>
    <col min="260" max="260" width="19" style="723" bestFit="1" customWidth="1"/>
    <col min="261" max="261" width="15.77734375" style="723" bestFit="1" customWidth="1"/>
    <col min="262" max="262" width="27" style="723" customWidth="1"/>
    <col min="263" max="512" width="8.77734375" style="723"/>
    <col min="513" max="513" width="54.33203125" style="723" bestFit="1" customWidth="1"/>
    <col min="514" max="514" width="22.109375" style="723" customWidth="1"/>
    <col min="515" max="515" width="14.77734375" style="723" bestFit="1" customWidth="1"/>
    <col min="516" max="516" width="19" style="723" bestFit="1" customWidth="1"/>
    <col min="517" max="517" width="15.77734375" style="723" bestFit="1" customWidth="1"/>
    <col min="518" max="518" width="27" style="723" customWidth="1"/>
    <col min="519" max="768" width="8.77734375" style="723"/>
    <col min="769" max="769" width="54.33203125" style="723" bestFit="1" customWidth="1"/>
    <col min="770" max="770" width="22.109375" style="723" customWidth="1"/>
    <col min="771" max="771" width="14.77734375" style="723" bestFit="1" customWidth="1"/>
    <col min="772" max="772" width="19" style="723" bestFit="1" customWidth="1"/>
    <col min="773" max="773" width="15.77734375" style="723" bestFit="1" customWidth="1"/>
    <col min="774" max="774" width="27" style="723" customWidth="1"/>
    <col min="775" max="1024" width="8.77734375" style="723"/>
    <col min="1025" max="1025" width="54.33203125" style="723" bestFit="1" customWidth="1"/>
    <col min="1026" max="1026" width="22.109375" style="723" customWidth="1"/>
    <col min="1027" max="1027" width="14.77734375" style="723" bestFit="1" customWidth="1"/>
    <col min="1028" max="1028" width="19" style="723" bestFit="1" customWidth="1"/>
    <col min="1029" max="1029" width="15.77734375" style="723" bestFit="1" customWidth="1"/>
    <col min="1030" max="1030" width="27" style="723" customWidth="1"/>
    <col min="1031" max="1280" width="8.77734375" style="723"/>
    <col min="1281" max="1281" width="54.33203125" style="723" bestFit="1" customWidth="1"/>
    <col min="1282" max="1282" width="22.109375" style="723" customWidth="1"/>
    <col min="1283" max="1283" width="14.77734375" style="723" bestFit="1" customWidth="1"/>
    <col min="1284" max="1284" width="19" style="723" bestFit="1" customWidth="1"/>
    <col min="1285" max="1285" width="15.77734375" style="723" bestFit="1" customWidth="1"/>
    <col min="1286" max="1286" width="27" style="723" customWidth="1"/>
    <col min="1287" max="1536" width="8.77734375" style="723"/>
    <col min="1537" max="1537" width="54.33203125" style="723" bestFit="1" customWidth="1"/>
    <col min="1538" max="1538" width="22.109375" style="723" customWidth="1"/>
    <col min="1539" max="1539" width="14.77734375" style="723" bestFit="1" customWidth="1"/>
    <col min="1540" max="1540" width="19" style="723" bestFit="1" customWidth="1"/>
    <col min="1541" max="1541" width="15.77734375" style="723" bestFit="1" customWidth="1"/>
    <col min="1542" max="1542" width="27" style="723" customWidth="1"/>
    <col min="1543" max="1792" width="8.77734375" style="723"/>
    <col min="1793" max="1793" width="54.33203125" style="723" bestFit="1" customWidth="1"/>
    <col min="1794" max="1794" width="22.109375" style="723" customWidth="1"/>
    <col min="1795" max="1795" width="14.77734375" style="723" bestFit="1" customWidth="1"/>
    <col min="1796" max="1796" width="19" style="723" bestFit="1" customWidth="1"/>
    <col min="1797" max="1797" width="15.77734375" style="723" bestFit="1" customWidth="1"/>
    <col min="1798" max="1798" width="27" style="723" customWidth="1"/>
    <col min="1799" max="2048" width="8.77734375" style="723"/>
    <col min="2049" max="2049" width="54.33203125" style="723" bestFit="1" customWidth="1"/>
    <col min="2050" max="2050" width="22.109375" style="723" customWidth="1"/>
    <col min="2051" max="2051" width="14.77734375" style="723" bestFit="1" customWidth="1"/>
    <col min="2052" max="2052" width="19" style="723" bestFit="1" customWidth="1"/>
    <col min="2053" max="2053" width="15.77734375" style="723" bestFit="1" customWidth="1"/>
    <col min="2054" max="2054" width="27" style="723" customWidth="1"/>
    <col min="2055" max="2304" width="8.77734375" style="723"/>
    <col min="2305" max="2305" width="54.33203125" style="723" bestFit="1" customWidth="1"/>
    <col min="2306" max="2306" width="22.109375" style="723" customWidth="1"/>
    <col min="2307" max="2307" width="14.77734375" style="723" bestFit="1" customWidth="1"/>
    <col min="2308" max="2308" width="19" style="723" bestFit="1" customWidth="1"/>
    <col min="2309" max="2309" width="15.77734375" style="723" bestFit="1" customWidth="1"/>
    <col min="2310" max="2310" width="27" style="723" customWidth="1"/>
    <col min="2311" max="2560" width="8.77734375" style="723"/>
    <col min="2561" max="2561" width="54.33203125" style="723" bestFit="1" customWidth="1"/>
    <col min="2562" max="2562" width="22.109375" style="723" customWidth="1"/>
    <col min="2563" max="2563" width="14.77734375" style="723" bestFit="1" customWidth="1"/>
    <col min="2564" max="2564" width="19" style="723" bestFit="1" customWidth="1"/>
    <col min="2565" max="2565" width="15.77734375" style="723" bestFit="1" customWidth="1"/>
    <col min="2566" max="2566" width="27" style="723" customWidth="1"/>
    <col min="2567" max="2816" width="8.77734375" style="723"/>
    <col min="2817" max="2817" width="54.33203125" style="723" bestFit="1" customWidth="1"/>
    <col min="2818" max="2818" width="22.109375" style="723" customWidth="1"/>
    <col min="2819" max="2819" width="14.77734375" style="723" bestFit="1" customWidth="1"/>
    <col min="2820" max="2820" width="19" style="723" bestFit="1" customWidth="1"/>
    <col min="2821" max="2821" width="15.77734375" style="723" bestFit="1" customWidth="1"/>
    <col min="2822" max="2822" width="27" style="723" customWidth="1"/>
    <col min="2823" max="3072" width="8.77734375" style="723"/>
    <col min="3073" max="3073" width="54.33203125" style="723" bestFit="1" customWidth="1"/>
    <col min="3074" max="3074" width="22.109375" style="723" customWidth="1"/>
    <col min="3075" max="3075" width="14.77734375" style="723" bestFit="1" customWidth="1"/>
    <col min="3076" max="3076" width="19" style="723" bestFit="1" customWidth="1"/>
    <col min="3077" max="3077" width="15.77734375" style="723" bestFit="1" customWidth="1"/>
    <col min="3078" max="3078" width="27" style="723" customWidth="1"/>
    <col min="3079" max="3328" width="8.77734375" style="723"/>
    <col min="3329" max="3329" width="54.33203125" style="723" bestFit="1" customWidth="1"/>
    <col min="3330" max="3330" width="22.109375" style="723" customWidth="1"/>
    <col min="3331" max="3331" width="14.77734375" style="723" bestFit="1" customWidth="1"/>
    <col min="3332" max="3332" width="19" style="723" bestFit="1" customWidth="1"/>
    <col min="3333" max="3333" width="15.77734375" style="723" bestFit="1" customWidth="1"/>
    <col min="3334" max="3334" width="27" style="723" customWidth="1"/>
    <col min="3335" max="3584" width="8.77734375" style="723"/>
    <col min="3585" max="3585" width="54.33203125" style="723" bestFit="1" customWidth="1"/>
    <col min="3586" max="3586" width="22.109375" style="723" customWidth="1"/>
    <col min="3587" max="3587" width="14.77734375" style="723" bestFit="1" customWidth="1"/>
    <col min="3588" max="3588" width="19" style="723" bestFit="1" customWidth="1"/>
    <col min="3589" max="3589" width="15.77734375" style="723" bestFit="1" customWidth="1"/>
    <col min="3590" max="3590" width="27" style="723" customWidth="1"/>
    <col min="3591" max="3840" width="8.77734375" style="723"/>
    <col min="3841" max="3841" width="54.33203125" style="723" bestFit="1" customWidth="1"/>
    <col min="3842" max="3842" width="22.109375" style="723" customWidth="1"/>
    <col min="3843" max="3843" width="14.77734375" style="723" bestFit="1" customWidth="1"/>
    <col min="3844" max="3844" width="19" style="723" bestFit="1" customWidth="1"/>
    <col min="3845" max="3845" width="15.77734375" style="723" bestFit="1" customWidth="1"/>
    <col min="3846" max="3846" width="27" style="723" customWidth="1"/>
    <col min="3847" max="4096" width="8.77734375" style="723"/>
    <col min="4097" max="4097" width="54.33203125" style="723" bestFit="1" customWidth="1"/>
    <col min="4098" max="4098" width="22.109375" style="723" customWidth="1"/>
    <col min="4099" max="4099" width="14.77734375" style="723" bestFit="1" customWidth="1"/>
    <col min="4100" max="4100" width="19" style="723" bestFit="1" customWidth="1"/>
    <col min="4101" max="4101" width="15.77734375" style="723" bestFit="1" customWidth="1"/>
    <col min="4102" max="4102" width="27" style="723" customWidth="1"/>
    <col min="4103" max="4352" width="8.77734375" style="723"/>
    <col min="4353" max="4353" width="54.33203125" style="723" bestFit="1" customWidth="1"/>
    <col min="4354" max="4354" width="22.109375" style="723" customWidth="1"/>
    <col min="4355" max="4355" width="14.77734375" style="723" bestFit="1" customWidth="1"/>
    <col min="4356" max="4356" width="19" style="723" bestFit="1" customWidth="1"/>
    <col min="4357" max="4357" width="15.77734375" style="723" bestFit="1" customWidth="1"/>
    <col min="4358" max="4358" width="27" style="723" customWidth="1"/>
    <col min="4359" max="4608" width="8.77734375" style="723"/>
    <col min="4609" max="4609" width="54.33203125" style="723" bestFit="1" customWidth="1"/>
    <col min="4610" max="4610" width="22.109375" style="723" customWidth="1"/>
    <col min="4611" max="4611" width="14.77734375" style="723" bestFit="1" customWidth="1"/>
    <col min="4612" max="4612" width="19" style="723" bestFit="1" customWidth="1"/>
    <col min="4613" max="4613" width="15.77734375" style="723" bestFit="1" customWidth="1"/>
    <col min="4614" max="4614" width="27" style="723" customWidth="1"/>
    <col min="4615" max="4864" width="8.77734375" style="723"/>
    <col min="4865" max="4865" width="54.33203125" style="723" bestFit="1" customWidth="1"/>
    <col min="4866" max="4866" width="22.109375" style="723" customWidth="1"/>
    <col min="4867" max="4867" width="14.77734375" style="723" bestFit="1" customWidth="1"/>
    <col min="4868" max="4868" width="19" style="723" bestFit="1" customWidth="1"/>
    <col min="4869" max="4869" width="15.77734375" style="723" bestFit="1" customWidth="1"/>
    <col min="4870" max="4870" width="27" style="723" customWidth="1"/>
    <col min="4871" max="5120" width="8.77734375" style="723"/>
    <col min="5121" max="5121" width="54.33203125" style="723" bestFit="1" customWidth="1"/>
    <col min="5122" max="5122" width="22.109375" style="723" customWidth="1"/>
    <col min="5123" max="5123" width="14.77734375" style="723" bestFit="1" customWidth="1"/>
    <col min="5124" max="5124" width="19" style="723" bestFit="1" customWidth="1"/>
    <col min="5125" max="5125" width="15.77734375" style="723" bestFit="1" customWidth="1"/>
    <col min="5126" max="5126" width="27" style="723" customWidth="1"/>
    <col min="5127" max="5376" width="8.77734375" style="723"/>
    <col min="5377" max="5377" width="54.33203125" style="723" bestFit="1" customWidth="1"/>
    <col min="5378" max="5378" width="22.109375" style="723" customWidth="1"/>
    <col min="5379" max="5379" width="14.77734375" style="723" bestFit="1" customWidth="1"/>
    <col min="5380" max="5380" width="19" style="723" bestFit="1" customWidth="1"/>
    <col min="5381" max="5381" width="15.77734375" style="723" bestFit="1" customWidth="1"/>
    <col min="5382" max="5382" width="27" style="723" customWidth="1"/>
    <col min="5383" max="5632" width="8.77734375" style="723"/>
    <col min="5633" max="5633" width="54.33203125" style="723" bestFit="1" customWidth="1"/>
    <col min="5634" max="5634" width="22.109375" style="723" customWidth="1"/>
    <col min="5635" max="5635" width="14.77734375" style="723" bestFit="1" customWidth="1"/>
    <col min="5636" max="5636" width="19" style="723" bestFit="1" customWidth="1"/>
    <col min="5637" max="5637" width="15.77734375" style="723" bestFit="1" customWidth="1"/>
    <col min="5638" max="5638" width="27" style="723" customWidth="1"/>
    <col min="5639" max="5888" width="8.77734375" style="723"/>
    <col min="5889" max="5889" width="54.33203125" style="723" bestFit="1" customWidth="1"/>
    <col min="5890" max="5890" width="22.109375" style="723" customWidth="1"/>
    <col min="5891" max="5891" width="14.77734375" style="723" bestFit="1" customWidth="1"/>
    <col min="5892" max="5892" width="19" style="723" bestFit="1" customWidth="1"/>
    <col min="5893" max="5893" width="15.77734375" style="723" bestFit="1" customWidth="1"/>
    <col min="5894" max="5894" width="27" style="723" customWidth="1"/>
    <col min="5895" max="6144" width="8.77734375" style="723"/>
    <col min="6145" max="6145" width="54.33203125" style="723" bestFit="1" customWidth="1"/>
    <col min="6146" max="6146" width="22.109375" style="723" customWidth="1"/>
    <col min="6147" max="6147" width="14.77734375" style="723" bestFit="1" customWidth="1"/>
    <col min="6148" max="6148" width="19" style="723" bestFit="1" customWidth="1"/>
    <col min="6149" max="6149" width="15.77734375" style="723" bestFit="1" customWidth="1"/>
    <col min="6150" max="6150" width="27" style="723" customWidth="1"/>
    <col min="6151" max="6400" width="8.77734375" style="723"/>
    <col min="6401" max="6401" width="54.33203125" style="723" bestFit="1" customWidth="1"/>
    <col min="6402" max="6402" width="22.109375" style="723" customWidth="1"/>
    <col min="6403" max="6403" width="14.77734375" style="723" bestFit="1" customWidth="1"/>
    <col min="6404" max="6404" width="19" style="723" bestFit="1" customWidth="1"/>
    <col min="6405" max="6405" width="15.77734375" style="723" bestFit="1" customWidth="1"/>
    <col min="6406" max="6406" width="27" style="723" customWidth="1"/>
    <col min="6407" max="6656" width="8.77734375" style="723"/>
    <col min="6657" max="6657" width="54.33203125" style="723" bestFit="1" customWidth="1"/>
    <col min="6658" max="6658" width="22.109375" style="723" customWidth="1"/>
    <col min="6659" max="6659" width="14.77734375" style="723" bestFit="1" customWidth="1"/>
    <col min="6660" max="6660" width="19" style="723" bestFit="1" customWidth="1"/>
    <col min="6661" max="6661" width="15.77734375" style="723" bestFit="1" customWidth="1"/>
    <col min="6662" max="6662" width="27" style="723" customWidth="1"/>
    <col min="6663" max="6912" width="8.77734375" style="723"/>
    <col min="6913" max="6913" width="54.33203125" style="723" bestFit="1" customWidth="1"/>
    <col min="6914" max="6914" width="22.109375" style="723" customWidth="1"/>
    <col min="6915" max="6915" width="14.77734375" style="723" bestFit="1" customWidth="1"/>
    <col min="6916" max="6916" width="19" style="723" bestFit="1" customWidth="1"/>
    <col min="6917" max="6917" width="15.77734375" style="723" bestFit="1" customWidth="1"/>
    <col min="6918" max="6918" width="27" style="723" customWidth="1"/>
    <col min="6919" max="7168" width="8.77734375" style="723"/>
    <col min="7169" max="7169" width="54.33203125" style="723" bestFit="1" customWidth="1"/>
    <col min="7170" max="7170" width="22.109375" style="723" customWidth="1"/>
    <col min="7171" max="7171" width="14.77734375" style="723" bestFit="1" customWidth="1"/>
    <col min="7172" max="7172" width="19" style="723" bestFit="1" customWidth="1"/>
    <col min="7173" max="7173" width="15.77734375" style="723" bestFit="1" customWidth="1"/>
    <col min="7174" max="7174" width="27" style="723" customWidth="1"/>
    <col min="7175" max="7424" width="8.77734375" style="723"/>
    <col min="7425" max="7425" width="54.33203125" style="723" bestFit="1" customWidth="1"/>
    <col min="7426" max="7426" width="22.109375" style="723" customWidth="1"/>
    <col min="7427" max="7427" width="14.77734375" style="723" bestFit="1" customWidth="1"/>
    <col min="7428" max="7428" width="19" style="723" bestFit="1" customWidth="1"/>
    <col min="7429" max="7429" width="15.77734375" style="723" bestFit="1" customWidth="1"/>
    <col min="7430" max="7430" width="27" style="723" customWidth="1"/>
    <col min="7431" max="7680" width="8.77734375" style="723"/>
    <col min="7681" max="7681" width="54.33203125" style="723" bestFit="1" customWidth="1"/>
    <col min="7682" max="7682" width="22.109375" style="723" customWidth="1"/>
    <col min="7683" max="7683" width="14.77734375" style="723" bestFit="1" customWidth="1"/>
    <col min="7684" max="7684" width="19" style="723" bestFit="1" customWidth="1"/>
    <col min="7685" max="7685" width="15.77734375" style="723" bestFit="1" customWidth="1"/>
    <col min="7686" max="7686" width="27" style="723" customWidth="1"/>
    <col min="7687" max="7936" width="8.77734375" style="723"/>
    <col min="7937" max="7937" width="54.33203125" style="723" bestFit="1" customWidth="1"/>
    <col min="7938" max="7938" width="22.109375" style="723" customWidth="1"/>
    <col min="7939" max="7939" width="14.77734375" style="723" bestFit="1" customWidth="1"/>
    <col min="7940" max="7940" width="19" style="723" bestFit="1" customWidth="1"/>
    <col min="7941" max="7941" width="15.77734375" style="723" bestFit="1" customWidth="1"/>
    <col min="7942" max="7942" width="27" style="723" customWidth="1"/>
    <col min="7943" max="8192" width="8.77734375" style="723"/>
    <col min="8193" max="8193" width="54.33203125" style="723" bestFit="1" customWidth="1"/>
    <col min="8194" max="8194" width="22.109375" style="723" customWidth="1"/>
    <col min="8195" max="8195" width="14.77734375" style="723" bestFit="1" customWidth="1"/>
    <col min="8196" max="8196" width="19" style="723" bestFit="1" customWidth="1"/>
    <col min="8197" max="8197" width="15.77734375" style="723" bestFit="1" customWidth="1"/>
    <col min="8198" max="8198" width="27" style="723" customWidth="1"/>
    <col min="8199" max="8448" width="8.77734375" style="723"/>
    <col min="8449" max="8449" width="54.33203125" style="723" bestFit="1" customWidth="1"/>
    <col min="8450" max="8450" width="22.109375" style="723" customWidth="1"/>
    <col min="8451" max="8451" width="14.77734375" style="723" bestFit="1" customWidth="1"/>
    <col min="8452" max="8452" width="19" style="723" bestFit="1" customWidth="1"/>
    <col min="8453" max="8453" width="15.77734375" style="723" bestFit="1" customWidth="1"/>
    <col min="8454" max="8454" width="27" style="723" customWidth="1"/>
    <col min="8455" max="8704" width="8.77734375" style="723"/>
    <col min="8705" max="8705" width="54.33203125" style="723" bestFit="1" customWidth="1"/>
    <col min="8706" max="8706" width="22.109375" style="723" customWidth="1"/>
    <col min="8707" max="8707" width="14.77734375" style="723" bestFit="1" customWidth="1"/>
    <col min="8708" max="8708" width="19" style="723" bestFit="1" customWidth="1"/>
    <col min="8709" max="8709" width="15.77734375" style="723" bestFit="1" customWidth="1"/>
    <col min="8710" max="8710" width="27" style="723" customWidth="1"/>
    <col min="8711" max="8960" width="8.77734375" style="723"/>
    <col min="8961" max="8961" width="54.33203125" style="723" bestFit="1" customWidth="1"/>
    <col min="8962" max="8962" width="22.109375" style="723" customWidth="1"/>
    <col min="8963" max="8963" width="14.77734375" style="723" bestFit="1" customWidth="1"/>
    <col min="8964" max="8964" width="19" style="723" bestFit="1" customWidth="1"/>
    <col min="8965" max="8965" width="15.77734375" style="723" bestFit="1" customWidth="1"/>
    <col min="8966" max="8966" width="27" style="723" customWidth="1"/>
    <col min="8967" max="9216" width="8.77734375" style="723"/>
    <col min="9217" max="9217" width="54.33203125" style="723" bestFit="1" customWidth="1"/>
    <col min="9218" max="9218" width="22.109375" style="723" customWidth="1"/>
    <col min="9219" max="9219" width="14.77734375" style="723" bestFit="1" customWidth="1"/>
    <col min="9220" max="9220" width="19" style="723" bestFit="1" customWidth="1"/>
    <col min="9221" max="9221" width="15.77734375" style="723" bestFit="1" customWidth="1"/>
    <col min="9222" max="9222" width="27" style="723" customWidth="1"/>
    <col min="9223" max="9472" width="8.77734375" style="723"/>
    <col min="9473" max="9473" width="54.33203125" style="723" bestFit="1" customWidth="1"/>
    <col min="9474" max="9474" width="22.109375" style="723" customWidth="1"/>
    <col min="9475" max="9475" width="14.77734375" style="723" bestFit="1" customWidth="1"/>
    <col min="9476" max="9476" width="19" style="723" bestFit="1" customWidth="1"/>
    <col min="9477" max="9477" width="15.77734375" style="723" bestFit="1" customWidth="1"/>
    <col min="9478" max="9478" width="27" style="723" customWidth="1"/>
    <col min="9479" max="9728" width="8.77734375" style="723"/>
    <col min="9729" max="9729" width="54.33203125" style="723" bestFit="1" customWidth="1"/>
    <col min="9730" max="9730" width="22.109375" style="723" customWidth="1"/>
    <col min="9731" max="9731" width="14.77734375" style="723" bestFit="1" customWidth="1"/>
    <col min="9732" max="9732" width="19" style="723" bestFit="1" customWidth="1"/>
    <col min="9733" max="9733" width="15.77734375" style="723" bestFit="1" customWidth="1"/>
    <col min="9734" max="9734" width="27" style="723" customWidth="1"/>
    <col min="9735" max="9984" width="8.77734375" style="723"/>
    <col min="9985" max="9985" width="54.33203125" style="723" bestFit="1" customWidth="1"/>
    <col min="9986" max="9986" width="22.109375" style="723" customWidth="1"/>
    <col min="9987" max="9987" width="14.77734375" style="723" bestFit="1" customWidth="1"/>
    <col min="9988" max="9988" width="19" style="723" bestFit="1" customWidth="1"/>
    <col min="9989" max="9989" width="15.77734375" style="723" bestFit="1" customWidth="1"/>
    <col min="9990" max="9990" width="27" style="723" customWidth="1"/>
    <col min="9991" max="10240" width="8.77734375" style="723"/>
    <col min="10241" max="10241" width="54.33203125" style="723" bestFit="1" customWidth="1"/>
    <col min="10242" max="10242" width="22.109375" style="723" customWidth="1"/>
    <col min="10243" max="10243" width="14.77734375" style="723" bestFit="1" customWidth="1"/>
    <col min="10244" max="10244" width="19" style="723" bestFit="1" customWidth="1"/>
    <col min="10245" max="10245" width="15.77734375" style="723" bestFit="1" customWidth="1"/>
    <col min="10246" max="10246" width="27" style="723" customWidth="1"/>
    <col min="10247" max="10496" width="8.77734375" style="723"/>
    <col min="10497" max="10497" width="54.33203125" style="723" bestFit="1" customWidth="1"/>
    <col min="10498" max="10498" width="22.109375" style="723" customWidth="1"/>
    <col min="10499" max="10499" width="14.77734375" style="723" bestFit="1" customWidth="1"/>
    <col min="10500" max="10500" width="19" style="723" bestFit="1" customWidth="1"/>
    <col min="10501" max="10501" width="15.77734375" style="723" bestFit="1" customWidth="1"/>
    <col min="10502" max="10502" width="27" style="723" customWidth="1"/>
    <col min="10503" max="10752" width="8.77734375" style="723"/>
    <col min="10753" max="10753" width="54.33203125" style="723" bestFit="1" customWidth="1"/>
    <col min="10754" max="10754" width="22.109375" style="723" customWidth="1"/>
    <col min="10755" max="10755" width="14.77734375" style="723" bestFit="1" customWidth="1"/>
    <col min="10756" max="10756" width="19" style="723" bestFit="1" customWidth="1"/>
    <col min="10757" max="10757" width="15.77734375" style="723" bestFit="1" customWidth="1"/>
    <col min="10758" max="10758" width="27" style="723" customWidth="1"/>
    <col min="10759" max="11008" width="8.77734375" style="723"/>
    <col min="11009" max="11009" width="54.33203125" style="723" bestFit="1" customWidth="1"/>
    <col min="11010" max="11010" width="22.109375" style="723" customWidth="1"/>
    <col min="11011" max="11011" width="14.77734375" style="723" bestFit="1" customWidth="1"/>
    <col min="11012" max="11012" width="19" style="723" bestFit="1" customWidth="1"/>
    <col min="11013" max="11013" width="15.77734375" style="723" bestFit="1" customWidth="1"/>
    <col min="11014" max="11014" width="27" style="723" customWidth="1"/>
    <col min="11015" max="11264" width="8.77734375" style="723"/>
    <col min="11265" max="11265" width="54.33203125" style="723" bestFit="1" customWidth="1"/>
    <col min="11266" max="11266" width="22.109375" style="723" customWidth="1"/>
    <col min="11267" max="11267" width="14.77734375" style="723" bestFit="1" customWidth="1"/>
    <col min="11268" max="11268" width="19" style="723" bestFit="1" customWidth="1"/>
    <col min="11269" max="11269" width="15.77734375" style="723" bestFit="1" customWidth="1"/>
    <col min="11270" max="11270" width="27" style="723" customWidth="1"/>
    <col min="11271" max="11520" width="8.77734375" style="723"/>
    <col min="11521" max="11521" width="54.33203125" style="723" bestFit="1" customWidth="1"/>
    <col min="11522" max="11522" width="22.109375" style="723" customWidth="1"/>
    <col min="11523" max="11523" width="14.77734375" style="723" bestFit="1" customWidth="1"/>
    <col min="11524" max="11524" width="19" style="723" bestFit="1" customWidth="1"/>
    <col min="11525" max="11525" width="15.77734375" style="723" bestFit="1" customWidth="1"/>
    <col min="11526" max="11526" width="27" style="723" customWidth="1"/>
    <col min="11527" max="11776" width="8.77734375" style="723"/>
    <col min="11777" max="11777" width="54.33203125" style="723" bestFit="1" customWidth="1"/>
    <col min="11778" max="11778" width="22.109375" style="723" customWidth="1"/>
    <col min="11779" max="11779" width="14.77734375" style="723" bestFit="1" customWidth="1"/>
    <col min="11780" max="11780" width="19" style="723" bestFit="1" customWidth="1"/>
    <col min="11781" max="11781" width="15.77734375" style="723" bestFit="1" customWidth="1"/>
    <col min="11782" max="11782" width="27" style="723" customWidth="1"/>
    <col min="11783" max="12032" width="8.77734375" style="723"/>
    <col min="12033" max="12033" width="54.33203125" style="723" bestFit="1" customWidth="1"/>
    <col min="12034" max="12034" width="22.109375" style="723" customWidth="1"/>
    <col min="12035" max="12035" width="14.77734375" style="723" bestFit="1" customWidth="1"/>
    <col min="12036" max="12036" width="19" style="723" bestFit="1" customWidth="1"/>
    <col min="12037" max="12037" width="15.77734375" style="723" bestFit="1" customWidth="1"/>
    <col min="12038" max="12038" width="27" style="723" customWidth="1"/>
    <col min="12039" max="12288" width="8.77734375" style="723"/>
    <col min="12289" max="12289" width="54.33203125" style="723" bestFit="1" customWidth="1"/>
    <col min="12290" max="12290" width="22.109375" style="723" customWidth="1"/>
    <col min="12291" max="12291" width="14.77734375" style="723" bestFit="1" customWidth="1"/>
    <col min="12292" max="12292" width="19" style="723" bestFit="1" customWidth="1"/>
    <col min="12293" max="12293" width="15.77734375" style="723" bestFit="1" customWidth="1"/>
    <col min="12294" max="12294" width="27" style="723" customWidth="1"/>
    <col min="12295" max="12544" width="8.77734375" style="723"/>
    <col min="12545" max="12545" width="54.33203125" style="723" bestFit="1" customWidth="1"/>
    <col min="12546" max="12546" width="22.109375" style="723" customWidth="1"/>
    <col min="12547" max="12547" width="14.77734375" style="723" bestFit="1" customWidth="1"/>
    <col min="12548" max="12548" width="19" style="723" bestFit="1" customWidth="1"/>
    <col min="12549" max="12549" width="15.77734375" style="723" bestFit="1" customWidth="1"/>
    <col min="12550" max="12550" width="27" style="723" customWidth="1"/>
    <col min="12551" max="12800" width="8.77734375" style="723"/>
    <col min="12801" max="12801" width="54.33203125" style="723" bestFit="1" customWidth="1"/>
    <col min="12802" max="12802" width="22.109375" style="723" customWidth="1"/>
    <col min="12803" max="12803" width="14.77734375" style="723" bestFit="1" customWidth="1"/>
    <col min="12804" max="12804" width="19" style="723" bestFit="1" customWidth="1"/>
    <col min="12805" max="12805" width="15.77734375" style="723" bestFit="1" customWidth="1"/>
    <col min="12806" max="12806" width="27" style="723" customWidth="1"/>
    <col min="12807" max="13056" width="8.77734375" style="723"/>
    <col min="13057" max="13057" width="54.33203125" style="723" bestFit="1" customWidth="1"/>
    <col min="13058" max="13058" width="22.109375" style="723" customWidth="1"/>
    <col min="13059" max="13059" width="14.77734375" style="723" bestFit="1" customWidth="1"/>
    <col min="13060" max="13060" width="19" style="723" bestFit="1" customWidth="1"/>
    <col min="13061" max="13061" width="15.77734375" style="723" bestFit="1" customWidth="1"/>
    <col min="13062" max="13062" width="27" style="723" customWidth="1"/>
    <col min="13063" max="13312" width="8.77734375" style="723"/>
    <col min="13313" max="13313" width="54.33203125" style="723" bestFit="1" customWidth="1"/>
    <col min="13314" max="13314" width="22.109375" style="723" customWidth="1"/>
    <col min="13315" max="13315" width="14.77734375" style="723" bestFit="1" customWidth="1"/>
    <col min="13316" max="13316" width="19" style="723" bestFit="1" customWidth="1"/>
    <col min="13317" max="13317" width="15.77734375" style="723" bestFit="1" customWidth="1"/>
    <col min="13318" max="13318" width="27" style="723" customWidth="1"/>
    <col min="13319" max="13568" width="8.77734375" style="723"/>
    <col min="13569" max="13569" width="54.33203125" style="723" bestFit="1" customWidth="1"/>
    <col min="13570" max="13570" width="22.109375" style="723" customWidth="1"/>
    <col min="13571" max="13571" width="14.77734375" style="723" bestFit="1" customWidth="1"/>
    <col min="13572" max="13572" width="19" style="723" bestFit="1" customWidth="1"/>
    <col min="13573" max="13573" width="15.77734375" style="723" bestFit="1" customWidth="1"/>
    <col min="13574" max="13574" width="27" style="723" customWidth="1"/>
    <col min="13575" max="13824" width="8.77734375" style="723"/>
    <col min="13825" max="13825" width="54.33203125" style="723" bestFit="1" customWidth="1"/>
    <col min="13826" max="13826" width="22.109375" style="723" customWidth="1"/>
    <col min="13827" max="13827" width="14.77734375" style="723" bestFit="1" customWidth="1"/>
    <col min="13828" max="13828" width="19" style="723" bestFit="1" customWidth="1"/>
    <col min="13829" max="13829" width="15.77734375" style="723" bestFit="1" customWidth="1"/>
    <col min="13830" max="13830" width="27" style="723" customWidth="1"/>
    <col min="13831" max="14080" width="8.77734375" style="723"/>
    <col min="14081" max="14081" width="54.33203125" style="723" bestFit="1" customWidth="1"/>
    <col min="14082" max="14082" width="22.109375" style="723" customWidth="1"/>
    <col min="14083" max="14083" width="14.77734375" style="723" bestFit="1" customWidth="1"/>
    <col min="14084" max="14084" width="19" style="723" bestFit="1" customWidth="1"/>
    <col min="14085" max="14085" width="15.77734375" style="723" bestFit="1" customWidth="1"/>
    <col min="14086" max="14086" width="27" style="723" customWidth="1"/>
    <col min="14087" max="14336" width="8.77734375" style="723"/>
    <col min="14337" max="14337" width="54.33203125" style="723" bestFit="1" customWidth="1"/>
    <col min="14338" max="14338" width="22.109375" style="723" customWidth="1"/>
    <col min="14339" max="14339" width="14.77734375" style="723" bestFit="1" customWidth="1"/>
    <col min="14340" max="14340" width="19" style="723" bestFit="1" customWidth="1"/>
    <col min="14341" max="14341" width="15.77734375" style="723" bestFit="1" customWidth="1"/>
    <col min="14342" max="14342" width="27" style="723" customWidth="1"/>
    <col min="14343" max="14592" width="8.77734375" style="723"/>
    <col min="14593" max="14593" width="54.33203125" style="723" bestFit="1" customWidth="1"/>
    <col min="14594" max="14594" width="22.109375" style="723" customWidth="1"/>
    <col min="14595" max="14595" width="14.77734375" style="723" bestFit="1" customWidth="1"/>
    <col min="14596" max="14596" width="19" style="723" bestFit="1" customWidth="1"/>
    <col min="14597" max="14597" width="15.77734375" style="723" bestFit="1" customWidth="1"/>
    <col min="14598" max="14598" width="27" style="723" customWidth="1"/>
    <col min="14599" max="14848" width="8.77734375" style="723"/>
    <col min="14849" max="14849" width="54.33203125" style="723" bestFit="1" customWidth="1"/>
    <col min="14850" max="14850" width="22.109375" style="723" customWidth="1"/>
    <col min="14851" max="14851" width="14.77734375" style="723" bestFit="1" customWidth="1"/>
    <col min="14852" max="14852" width="19" style="723" bestFit="1" customWidth="1"/>
    <col min="14853" max="14853" width="15.77734375" style="723" bestFit="1" customWidth="1"/>
    <col min="14854" max="14854" width="27" style="723" customWidth="1"/>
    <col min="14855" max="15104" width="8.77734375" style="723"/>
    <col min="15105" max="15105" width="54.33203125" style="723" bestFit="1" customWidth="1"/>
    <col min="15106" max="15106" width="22.109375" style="723" customWidth="1"/>
    <col min="15107" max="15107" width="14.77734375" style="723" bestFit="1" customWidth="1"/>
    <col min="15108" max="15108" width="19" style="723" bestFit="1" customWidth="1"/>
    <col min="15109" max="15109" width="15.77734375" style="723" bestFit="1" customWidth="1"/>
    <col min="15110" max="15110" width="27" style="723" customWidth="1"/>
    <col min="15111" max="15360" width="8.77734375" style="723"/>
    <col min="15361" max="15361" width="54.33203125" style="723" bestFit="1" customWidth="1"/>
    <col min="15362" max="15362" width="22.109375" style="723" customWidth="1"/>
    <col min="15363" max="15363" width="14.77734375" style="723" bestFit="1" customWidth="1"/>
    <col min="15364" max="15364" width="19" style="723" bestFit="1" customWidth="1"/>
    <col min="15365" max="15365" width="15.77734375" style="723" bestFit="1" customWidth="1"/>
    <col min="15366" max="15366" width="27" style="723" customWidth="1"/>
    <col min="15367" max="15616" width="8.77734375" style="723"/>
    <col min="15617" max="15617" width="54.33203125" style="723" bestFit="1" customWidth="1"/>
    <col min="15618" max="15618" width="22.109375" style="723" customWidth="1"/>
    <col min="15619" max="15619" width="14.77734375" style="723" bestFit="1" customWidth="1"/>
    <col min="15620" max="15620" width="19" style="723" bestFit="1" customWidth="1"/>
    <col min="15621" max="15621" width="15.77734375" style="723" bestFit="1" customWidth="1"/>
    <col min="15622" max="15622" width="27" style="723" customWidth="1"/>
    <col min="15623" max="15872" width="8.77734375" style="723"/>
    <col min="15873" max="15873" width="54.33203125" style="723" bestFit="1" customWidth="1"/>
    <col min="15874" max="15874" width="22.109375" style="723" customWidth="1"/>
    <col min="15875" max="15875" width="14.77734375" style="723" bestFit="1" customWidth="1"/>
    <col min="15876" max="15876" width="19" style="723" bestFit="1" customWidth="1"/>
    <col min="15877" max="15877" width="15.77734375" style="723" bestFit="1" customWidth="1"/>
    <col min="15878" max="15878" width="27" style="723" customWidth="1"/>
    <col min="15879" max="16128" width="8.77734375" style="723"/>
    <col min="16129" max="16129" width="54.33203125" style="723" bestFit="1" customWidth="1"/>
    <col min="16130" max="16130" width="22.109375" style="723" customWidth="1"/>
    <col min="16131" max="16131" width="14.77734375" style="723" bestFit="1" customWidth="1"/>
    <col min="16132" max="16132" width="19" style="723" bestFit="1" customWidth="1"/>
    <col min="16133" max="16133" width="15.77734375" style="723" bestFit="1" customWidth="1"/>
    <col min="16134" max="16134" width="27" style="723" customWidth="1"/>
    <col min="16135" max="16384" width="8.77734375" style="723"/>
  </cols>
  <sheetData>
    <row r="13" spans="2:6" x14ac:dyDescent="0.25">
      <c r="D13" s="724"/>
      <c r="E13" s="725"/>
      <c r="F13" s="725"/>
    </row>
    <row r="15" spans="2:6" x14ac:dyDescent="0.25">
      <c r="B15" s="726"/>
      <c r="C15" s="726"/>
      <c r="D15" s="726"/>
      <c r="E15" s="727"/>
      <c r="F15" s="726"/>
    </row>
    <row r="16" spans="2:6" ht="3" customHeight="1" x14ac:dyDescent="0.25">
      <c r="B16" s="726"/>
      <c r="C16" s="726"/>
      <c r="D16" s="726"/>
      <c r="E16" s="726"/>
      <c r="F16" s="726"/>
    </row>
    <row r="17" spans="1:6" ht="93" customHeight="1" x14ac:dyDescent="0.25">
      <c r="A17" s="961" t="s">
        <v>1592</v>
      </c>
      <c r="B17" s="961"/>
      <c r="C17" s="961"/>
      <c r="D17" s="961"/>
      <c r="E17" s="961"/>
    </row>
    <row r="18" spans="1:6" x14ac:dyDescent="0.25">
      <c r="A18" s="728"/>
      <c r="B18" s="729"/>
      <c r="C18" s="729"/>
      <c r="D18" s="729"/>
      <c r="E18" s="729"/>
      <c r="F18" s="729"/>
    </row>
    <row r="19" spans="1:6" x14ac:dyDescent="0.25">
      <c r="A19" s="730"/>
      <c r="B19" s="729"/>
      <c r="C19" s="729"/>
      <c r="D19" s="729"/>
      <c r="E19" s="729"/>
      <c r="F19" s="729"/>
    </row>
    <row r="20" spans="1:6" x14ac:dyDescent="0.25">
      <c r="A20" s="731"/>
      <c r="B20" s="732"/>
      <c r="C20" s="729"/>
      <c r="D20" s="733" t="s">
        <v>995</v>
      </c>
      <c r="E20" s="729"/>
      <c r="F20" s="729"/>
    </row>
    <row r="21" spans="1:6" x14ac:dyDescent="0.25">
      <c r="A21" s="729"/>
      <c r="B21" s="732"/>
      <c r="C21" s="729"/>
      <c r="D21" s="733" t="s">
        <v>994</v>
      </c>
      <c r="E21" s="729"/>
      <c r="F21" s="729"/>
    </row>
    <row r="22" spans="1:6" x14ac:dyDescent="0.25">
      <c r="A22" s="729"/>
      <c r="B22" s="734" t="s">
        <v>993</v>
      </c>
      <c r="C22" s="733" t="s">
        <v>992</v>
      </c>
      <c r="D22" s="733" t="s">
        <v>991</v>
      </c>
      <c r="E22" s="733" t="s">
        <v>616</v>
      </c>
      <c r="F22" s="729"/>
    </row>
    <row r="23" spans="1:6" x14ac:dyDescent="0.25">
      <c r="A23" s="729"/>
      <c r="B23" s="734" t="s">
        <v>616</v>
      </c>
      <c r="C23" s="733" t="s">
        <v>990</v>
      </c>
      <c r="D23" s="733" t="s">
        <v>989</v>
      </c>
      <c r="E23" s="733" t="s">
        <v>988</v>
      </c>
      <c r="F23" s="729"/>
    </row>
    <row r="24" spans="1:6" x14ac:dyDescent="0.25">
      <c r="A24" s="729"/>
      <c r="B24" s="734" t="s">
        <v>987</v>
      </c>
      <c r="C24" s="733" t="s">
        <v>986</v>
      </c>
      <c r="D24" s="733" t="s">
        <v>985</v>
      </c>
      <c r="E24" s="733" t="s">
        <v>984</v>
      </c>
      <c r="F24" s="733"/>
    </row>
    <row r="25" spans="1:6" x14ac:dyDescent="0.25">
      <c r="A25" s="729"/>
      <c r="B25" s="729"/>
      <c r="C25" s="729"/>
      <c r="D25" s="729"/>
      <c r="E25" s="729"/>
      <c r="F25" s="729"/>
    </row>
    <row r="26" spans="1:6" x14ac:dyDescent="0.25">
      <c r="A26" s="729" t="s">
        <v>983</v>
      </c>
      <c r="B26" s="735">
        <f>SUM(B28:B89)</f>
        <v>13614948266</v>
      </c>
      <c r="C26" s="735">
        <f>SUM(C28:C89)</f>
        <v>341644129</v>
      </c>
      <c r="D26" s="735">
        <f>SUM(D28:D89)</f>
        <v>43407605</v>
      </c>
      <c r="E26" s="735">
        <f>SUM(E28:E89)</f>
        <v>14000000000</v>
      </c>
      <c r="F26" s="736"/>
    </row>
    <row r="27" spans="1:6" x14ac:dyDescent="0.25">
      <c r="A27" s="729" t="s">
        <v>982</v>
      </c>
      <c r="B27" s="735">
        <f>SUM(B28:B79)</f>
        <v>13475203064</v>
      </c>
      <c r="C27" s="735">
        <f>SUM(C28:C79)</f>
        <v>331644129</v>
      </c>
      <c r="D27" s="735">
        <f>SUM(D28:D79)</f>
        <v>42322415</v>
      </c>
      <c r="E27" s="735">
        <f>SUM(E28:E79)</f>
        <v>13849169608</v>
      </c>
      <c r="F27" s="736"/>
    </row>
    <row r="28" spans="1:6" x14ac:dyDescent="0.25">
      <c r="A28" s="729" t="s">
        <v>981</v>
      </c>
      <c r="B28" s="737">
        <v>214070854</v>
      </c>
      <c r="C28" s="738">
        <v>1853416</v>
      </c>
      <c r="D28" s="737">
        <v>559985</v>
      </c>
      <c r="E28" s="739">
        <v>216484255</v>
      </c>
      <c r="F28" s="740"/>
    </row>
    <row r="29" spans="1:6" x14ac:dyDescent="0.25">
      <c r="A29" s="729" t="s">
        <v>980</v>
      </c>
      <c r="B29" s="737">
        <v>39003993</v>
      </c>
      <c r="C29" s="738">
        <v>6268841</v>
      </c>
      <c r="D29" s="737">
        <v>313892</v>
      </c>
      <c r="E29" s="739">
        <v>45586726</v>
      </c>
      <c r="F29" s="740"/>
    </row>
    <row r="30" spans="1:6" x14ac:dyDescent="0.25">
      <c r="A30" s="729" t="s">
        <v>572</v>
      </c>
      <c r="B30" s="737">
        <v>306735517</v>
      </c>
      <c r="C30" s="738">
        <v>5915251</v>
      </c>
      <c r="D30" s="737">
        <v>1178047</v>
      </c>
      <c r="E30" s="739">
        <v>313828815</v>
      </c>
      <c r="F30" s="740"/>
    </row>
    <row r="31" spans="1:6" x14ac:dyDescent="0.25">
      <c r="A31" s="729" t="s">
        <v>979</v>
      </c>
      <c r="B31" s="737">
        <v>145051070</v>
      </c>
      <c r="C31" s="738">
        <v>4744364</v>
      </c>
      <c r="D31" s="737">
        <v>398789</v>
      </c>
      <c r="E31" s="739">
        <v>150194223</v>
      </c>
      <c r="F31" s="740"/>
    </row>
    <row r="32" spans="1:6" x14ac:dyDescent="0.25">
      <c r="A32" s="729" t="s">
        <v>978</v>
      </c>
      <c r="B32" s="737">
        <v>1597394344</v>
      </c>
      <c r="C32" s="738">
        <v>116980010</v>
      </c>
      <c r="D32" s="737">
        <v>1555629</v>
      </c>
      <c r="E32" s="739">
        <v>1715929983</v>
      </c>
      <c r="F32" s="740"/>
    </row>
    <row r="33" spans="1:6" x14ac:dyDescent="0.25">
      <c r="A33" s="729" t="s">
        <v>977</v>
      </c>
      <c r="B33" s="737">
        <v>137862743</v>
      </c>
      <c r="C33" s="738">
        <v>6332795</v>
      </c>
      <c r="D33" s="737">
        <v>443256</v>
      </c>
      <c r="E33" s="739">
        <v>144638794</v>
      </c>
      <c r="F33" s="740"/>
    </row>
    <row r="34" spans="1:6" x14ac:dyDescent="0.25">
      <c r="A34" s="729" t="s">
        <v>976</v>
      </c>
      <c r="B34" s="737">
        <v>109975869</v>
      </c>
      <c r="C34" s="738">
        <v>0</v>
      </c>
      <c r="D34" s="737">
        <v>843985</v>
      </c>
      <c r="E34" s="739">
        <v>110819854</v>
      </c>
      <c r="F34" s="740"/>
    </row>
    <row r="35" spans="1:6" x14ac:dyDescent="0.25">
      <c r="A35" s="729" t="s">
        <v>975</v>
      </c>
      <c r="B35" s="737">
        <v>43923982</v>
      </c>
      <c r="C35" s="738">
        <v>262707</v>
      </c>
      <c r="D35" s="737">
        <v>403575</v>
      </c>
      <c r="E35" s="739">
        <v>44590264</v>
      </c>
      <c r="F35" s="740"/>
    </row>
    <row r="36" spans="1:6" x14ac:dyDescent="0.25">
      <c r="A36" s="729" t="s">
        <v>974</v>
      </c>
      <c r="B36" s="737">
        <v>42038677</v>
      </c>
      <c r="C36" s="738">
        <v>0</v>
      </c>
      <c r="D36" s="737">
        <v>144562</v>
      </c>
      <c r="E36" s="739">
        <v>42183239</v>
      </c>
      <c r="F36" s="740"/>
    </row>
    <row r="37" spans="1:6" x14ac:dyDescent="0.25">
      <c r="A37" s="729" t="s">
        <v>973</v>
      </c>
      <c r="B37" s="737">
        <v>731870407</v>
      </c>
      <c r="C37" s="738">
        <v>20452773</v>
      </c>
      <c r="D37" s="737">
        <v>1402806</v>
      </c>
      <c r="E37" s="739">
        <v>753725986</v>
      </c>
      <c r="F37" s="740"/>
    </row>
    <row r="38" spans="1:6" x14ac:dyDescent="0.25">
      <c r="A38" s="729" t="s">
        <v>972</v>
      </c>
      <c r="B38" s="737">
        <v>478591357</v>
      </c>
      <c r="C38" s="738">
        <v>7099933</v>
      </c>
      <c r="D38" s="737">
        <v>1493792</v>
      </c>
      <c r="E38" s="739">
        <v>487185082</v>
      </c>
      <c r="F38" s="740"/>
    </row>
    <row r="39" spans="1:6" x14ac:dyDescent="0.25">
      <c r="A39" s="729" t="s">
        <v>971</v>
      </c>
      <c r="B39" s="737">
        <v>45921453</v>
      </c>
      <c r="C39" s="738">
        <v>722323</v>
      </c>
      <c r="D39" s="737">
        <v>44029</v>
      </c>
      <c r="E39" s="739">
        <v>46687805</v>
      </c>
      <c r="F39" s="740"/>
    </row>
    <row r="40" spans="1:6" x14ac:dyDescent="0.25">
      <c r="A40" s="729" t="s">
        <v>970</v>
      </c>
      <c r="B40" s="737">
        <v>52962797</v>
      </c>
      <c r="C40" s="738">
        <v>3211173</v>
      </c>
      <c r="D40" s="737">
        <v>610861</v>
      </c>
      <c r="E40" s="739">
        <v>56784831</v>
      </c>
      <c r="F40" s="740"/>
    </row>
    <row r="41" spans="1:6" x14ac:dyDescent="0.25">
      <c r="A41" s="729" t="s">
        <v>969</v>
      </c>
      <c r="B41" s="737">
        <v>618370419</v>
      </c>
      <c r="C41" s="738">
        <v>1715641</v>
      </c>
      <c r="D41" s="737">
        <v>819827</v>
      </c>
      <c r="E41" s="739">
        <v>620905887</v>
      </c>
      <c r="F41" s="740"/>
    </row>
    <row r="42" spans="1:6" x14ac:dyDescent="0.25">
      <c r="A42" s="729" t="s">
        <v>968</v>
      </c>
      <c r="B42" s="737">
        <v>239829593</v>
      </c>
      <c r="C42" s="738">
        <v>4943415</v>
      </c>
      <c r="D42" s="737">
        <v>532692</v>
      </c>
      <c r="E42" s="739">
        <v>245305700</v>
      </c>
      <c r="F42" s="740"/>
    </row>
    <row r="43" spans="1:6" x14ac:dyDescent="0.25">
      <c r="A43" s="729" t="s">
        <v>967</v>
      </c>
      <c r="B43" s="737">
        <v>85222405</v>
      </c>
      <c r="C43" s="738">
        <v>1446270</v>
      </c>
      <c r="D43" s="737">
        <v>405896</v>
      </c>
      <c r="E43" s="739">
        <v>87074571</v>
      </c>
      <c r="F43" s="740"/>
    </row>
    <row r="44" spans="1:6" x14ac:dyDescent="0.25">
      <c r="A44" s="729" t="s">
        <v>966</v>
      </c>
      <c r="B44" s="737">
        <v>98552399</v>
      </c>
      <c r="C44" s="738">
        <v>10376676</v>
      </c>
      <c r="D44" s="737">
        <v>237483</v>
      </c>
      <c r="E44" s="739">
        <v>109166558</v>
      </c>
      <c r="F44" s="740"/>
    </row>
    <row r="45" spans="1:6" x14ac:dyDescent="0.25">
      <c r="A45" s="729" t="s">
        <v>965</v>
      </c>
      <c r="B45" s="737">
        <v>198943201</v>
      </c>
      <c r="C45" s="738">
        <v>6646530</v>
      </c>
      <c r="D45" s="737">
        <v>836025</v>
      </c>
      <c r="E45" s="739">
        <v>206425756</v>
      </c>
      <c r="F45" s="740"/>
    </row>
    <row r="46" spans="1:6" x14ac:dyDescent="0.25">
      <c r="A46" s="729" t="s">
        <v>964</v>
      </c>
      <c r="B46" s="737">
        <v>267975139</v>
      </c>
      <c r="C46" s="738">
        <v>2221194</v>
      </c>
      <c r="D46" s="737">
        <v>1856977</v>
      </c>
      <c r="E46" s="739">
        <v>272053310</v>
      </c>
      <c r="F46" s="740"/>
    </row>
    <row r="47" spans="1:6" x14ac:dyDescent="0.25">
      <c r="A47" s="729" t="s">
        <v>963</v>
      </c>
      <c r="B47" s="737">
        <v>46702528</v>
      </c>
      <c r="C47" s="738">
        <v>1051257</v>
      </c>
      <c r="D47" s="737">
        <v>157654</v>
      </c>
      <c r="E47" s="739">
        <v>47911439</v>
      </c>
      <c r="F47" s="740"/>
    </row>
    <row r="48" spans="1:6" x14ac:dyDescent="0.25">
      <c r="A48" s="729" t="s">
        <v>962</v>
      </c>
      <c r="B48" s="737">
        <v>188734430</v>
      </c>
      <c r="C48" s="738">
        <v>454216</v>
      </c>
      <c r="D48" s="737">
        <v>1252855</v>
      </c>
      <c r="E48" s="739">
        <v>190441501</v>
      </c>
      <c r="F48" s="740"/>
    </row>
    <row r="49" spans="1:6" x14ac:dyDescent="0.25">
      <c r="A49" s="729" t="s">
        <v>961</v>
      </c>
      <c r="B49" s="737">
        <v>214928624</v>
      </c>
      <c r="C49" s="738">
        <v>1446618</v>
      </c>
      <c r="D49" s="737">
        <v>1783007</v>
      </c>
      <c r="E49" s="739">
        <v>218158249</v>
      </c>
      <c r="F49" s="740"/>
    </row>
    <row r="50" spans="1:6" x14ac:dyDescent="0.25">
      <c r="A50" s="729" t="s">
        <v>960</v>
      </c>
      <c r="B50" s="737">
        <v>464139060</v>
      </c>
      <c r="C50" s="738">
        <v>7691583</v>
      </c>
      <c r="D50" s="737">
        <v>897955</v>
      </c>
      <c r="E50" s="739">
        <v>472728598</v>
      </c>
      <c r="F50" s="740"/>
    </row>
    <row r="51" spans="1:6" x14ac:dyDescent="0.25">
      <c r="A51" s="729" t="s">
        <v>959</v>
      </c>
      <c r="B51" s="737">
        <v>142644049</v>
      </c>
      <c r="C51" s="738">
        <v>1860463</v>
      </c>
      <c r="D51" s="737">
        <v>517233</v>
      </c>
      <c r="E51" s="739">
        <v>145021745</v>
      </c>
      <c r="F51" s="740"/>
    </row>
    <row r="52" spans="1:6" x14ac:dyDescent="0.25">
      <c r="A52" s="729" t="s">
        <v>958</v>
      </c>
      <c r="B52" s="737">
        <v>177586370</v>
      </c>
      <c r="C52" s="738">
        <v>930910</v>
      </c>
      <c r="D52" s="737">
        <v>482388</v>
      </c>
      <c r="E52" s="739">
        <v>178999668</v>
      </c>
      <c r="F52" s="740"/>
    </row>
    <row r="53" spans="1:6" x14ac:dyDescent="0.25">
      <c r="A53" s="729" t="s">
        <v>957</v>
      </c>
      <c r="B53" s="737">
        <v>223985190</v>
      </c>
      <c r="C53" s="738">
        <v>1363080</v>
      </c>
      <c r="D53" s="737">
        <v>1369108</v>
      </c>
      <c r="E53" s="739">
        <v>226717378</v>
      </c>
      <c r="F53" s="740"/>
    </row>
    <row r="54" spans="1:6" x14ac:dyDescent="0.25">
      <c r="A54" s="729" t="s">
        <v>956</v>
      </c>
      <c r="B54" s="737">
        <v>43756660</v>
      </c>
      <c r="C54" s="738">
        <v>904245</v>
      </c>
      <c r="D54" s="737">
        <v>160791</v>
      </c>
      <c r="E54" s="739">
        <v>44821696</v>
      </c>
      <c r="F54" s="740"/>
    </row>
    <row r="55" spans="1:6" x14ac:dyDescent="0.25">
      <c r="A55" s="729" t="s">
        <v>955</v>
      </c>
      <c r="B55" s="737">
        <v>63576731</v>
      </c>
      <c r="C55" s="738">
        <v>4575037</v>
      </c>
      <c r="D55" s="737">
        <v>308677</v>
      </c>
      <c r="E55" s="739">
        <v>68460445</v>
      </c>
      <c r="F55" s="740"/>
    </row>
    <row r="56" spans="1:6" x14ac:dyDescent="0.25">
      <c r="A56" s="729" t="s">
        <v>954</v>
      </c>
      <c r="B56" s="737">
        <v>108661506</v>
      </c>
      <c r="C56" s="738">
        <v>212520</v>
      </c>
      <c r="D56" s="737">
        <v>487519</v>
      </c>
      <c r="E56" s="739">
        <v>109361545</v>
      </c>
      <c r="F56" s="740"/>
    </row>
    <row r="57" spans="1:6" x14ac:dyDescent="0.25">
      <c r="A57" s="729" t="s">
        <v>953</v>
      </c>
      <c r="B57" s="737">
        <v>40819388</v>
      </c>
      <c r="C57" s="738">
        <v>131348</v>
      </c>
      <c r="D57" s="737">
        <v>791944</v>
      </c>
      <c r="E57" s="739">
        <v>41742680</v>
      </c>
      <c r="F57" s="740"/>
    </row>
    <row r="58" spans="1:6" x14ac:dyDescent="0.25">
      <c r="A58" s="729" t="s">
        <v>952</v>
      </c>
      <c r="B58" s="737">
        <v>311135497</v>
      </c>
      <c r="C58" s="738">
        <v>1762380</v>
      </c>
      <c r="D58" s="737">
        <v>1248799</v>
      </c>
      <c r="E58" s="739">
        <v>314146676</v>
      </c>
      <c r="F58" s="740"/>
    </row>
    <row r="59" spans="1:6" x14ac:dyDescent="0.25">
      <c r="A59" s="729" t="s">
        <v>951</v>
      </c>
      <c r="B59" s="737">
        <v>107070041</v>
      </c>
      <c r="C59" s="738">
        <v>827350</v>
      </c>
      <c r="D59" s="737">
        <v>311643</v>
      </c>
      <c r="E59" s="739">
        <v>108209034</v>
      </c>
      <c r="F59" s="740"/>
    </row>
    <row r="60" spans="1:6" x14ac:dyDescent="0.25">
      <c r="A60" s="729" t="s">
        <v>950</v>
      </c>
      <c r="B60" s="737">
        <v>1041596738</v>
      </c>
      <c r="C60" s="738">
        <v>8877725</v>
      </c>
      <c r="D60" s="737">
        <v>2535107</v>
      </c>
      <c r="E60" s="739">
        <v>1053009570</v>
      </c>
      <c r="F60" s="740"/>
    </row>
    <row r="61" spans="1:6" x14ac:dyDescent="0.25">
      <c r="A61" s="729" t="s">
        <v>949</v>
      </c>
      <c r="B61" s="737">
        <v>389854408</v>
      </c>
      <c r="C61" s="738">
        <v>5061662</v>
      </c>
      <c r="D61" s="737">
        <v>672499</v>
      </c>
      <c r="E61" s="739">
        <v>395588569</v>
      </c>
      <c r="F61" s="740"/>
    </row>
    <row r="62" spans="1:6" x14ac:dyDescent="0.25">
      <c r="A62" s="729" t="s">
        <v>948</v>
      </c>
      <c r="B62" s="737">
        <v>34325262</v>
      </c>
      <c r="C62" s="738">
        <v>210013</v>
      </c>
      <c r="D62" s="737">
        <v>112853</v>
      </c>
      <c r="E62" s="739">
        <v>34648128</v>
      </c>
      <c r="F62" s="740"/>
    </row>
    <row r="63" spans="1:6" x14ac:dyDescent="0.25">
      <c r="A63" s="729" t="s">
        <v>947</v>
      </c>
      <c r="B63" s="737">
        <v>528255715</v>
      </c>
      <c r="C63" s="738">
        <v>2383225</v>
      </c>
      <c r="D63" s="737">
        <v>1012533</v>
      </c>
      <c r="E63" s="739">
        <v>531651473</v>
      </c>
      <c r="F63" s="740"/>
    </row>
    <row r="64" spans="1:6" x14ac:dyDescent="0.25">
      <c r="A64" s="729" t="s">
        <v>946</v>
      </c>
      <c r="B64" s="737">
        <v>146755107</v>
      </c>
      <c r="C64" s="738">
        <v>1377913</v>
      </c>
      <c r="D64" s="737">
        <v>347215</v>
      </c>
      <c r="E64" s="739">
        <v>148480235</v>
      </c>
      <c r="F64" s="740"/>
    </row>
    <row r="65" spans="1:6" x14ac:dyDescent="0.25">
      <c r="A65" s="729" t="s">
        <v>945</v>
      </c>
      <c r="B65" s="737">
        <v>132173588</v>
      </c>
      <c r="C65" s="738">
        <v>9202783</v>
      </c>
      <c r="D65" s="737">
        <v>1433216</v>
      </c>
      <c r="E65" s="739">
        <v>142809587</v>
      </c>
      <c r="F65" s="740"/>
    </row>
    <row r="66" spans="1:6" x14ac:dyDescent="0.25">
      <c r="A66" s="729" t="s">
        <v>944</v>
      </c>
      <c r="B66" s="737">
        <v>517104766</v>
      </c>
      <c r="C66" s="738">
        <v>8134461</v>
      </c>
      <c r="D66" s="737">
        <v>1033744</v>
      </c>
      <c r="E66" s="739">
        <v>526272971</v>
      </c>
      <c r="F66" s="740"/>
    </row>
    <row r="67" spans="1:6" x14ac:dyDescent="0.25">
      <c r="A67" s="729" t="s">
        <v>943</v>
      </c>
      <c r="B67" s="737">
        <v>46637334</v>
      </c>
      <c r="C67" s="738">
        <v>0</v>
      </c>
      <c r="D67" s="737">
        <v>388105</v>
      </c>
      <c r="E67" s="739">
        <v>47025439</v>
      </c>
      <c r="F67" s="740"/>
    </row>
    <row r="68" spans="1:6" x14ac:dyDescent="0.25">
      <c r="A68" s="729" t="s">
        <v>942</v>
      </c>
      <c r="B68" s="737">
        <v>215652485</v>
      </c>
      <c r="C68" s="738">
        <v>504024</v>
      </c>
      <c r="D68" s="737">
        <v>1436546</v>
      </c>
      <c r="E68" s="739">
        <v>217593055</v>
      </c>
      <c r="F68" s="740"/>
    </row>
    <row r="69" spans="1:6" x14ac:dyDescent="0.25">
      <c r="A69" s="729" t="s">
        <v>941</v>
      </c>
      <c r="B69" s="737">
        <v>42485945</v>
      </c>
      <c r="C69" s="738">
        <v>751522</v>
      </c>
      <c r="D69" s="737">
        <v>0</v>
      </c>
      <c r="E69" s="739">
        <v>43237467</v>
      </c>
      <c r="F69" s="740"/>
    </row>
    <row r="70" spans="1:6" x14ac:dyDescent="0.25">
      <c r="A70" s="729" t="s">
        <v>940</v>
      </c>
      <c r="B70" s="737">
        <v>272148602</v>
      </c>
      <c r="C70" s="738">
        <v>516421</v>
      </c>
      <c r="D70" s="737">
        <v>291731</v>
      </c>
      <c r="E70" s="739">
        <v>272956754</v>
      </c>
      <c r="F70" s="740"/>
    </row>
    <row r="71" spans="1:6" x14ac:dyDescent="0.25">
      <c r="A71" s="729" t="s">
        <v>939</v>
      </c>
      <c r="B71" s="737">
        <v>1255327029</v>
      </c>
      <c r="C71" s="738">
        <v>52934098</v>
      </c>
      <c r="D71" s="737">
        <v>1755675</v>
      </c>
      <c r="E71" s="739">
        <v>1310016802</v>
      </c>
      <c r="F71" s="740"/>
    </row>
    <row r="72" spans="1:6" x14ac:dyDescent="0.25">
      <c r="A72" s="729" t="s">
        <v>938</v>
      </c>
      <c r="B72" s="737">
        <v>79272843</v>
      </c>
      <c r="C72" s="738">
        <v>1657186</v>
      </c>
      <c r="D72" s="737">
        <v>1196547</v>
      </c>
      <c r="E72" s="739">
        <v>82126576</v>
      </c>
      <c r="F72" s="740"/>
    </row>
    <row r="73" spans="1:6" x14ac:dyDescent="0.25">
      <c r="A73" s="729" t="s">
        <v>937</v>
      </c>
      <c r="B73" s="737">
        <v>33186428</v>
      </c>
      <c r="C73" s="738">
        <v>569345</v>
      </c>
      <c r="D73" s="737">
        <v>75246</v>
      </c>
      <c r="E73" s="739">
        <v>33831019</v>
      </c>
      <c r="F73" s="740"/>
    </row>
    <row r="74" spans="1:6" x14ac:dyDescent="0.25">
      <c r="A74" s="729" t="s">
        <v>936</v>
      </c>
      <c r="B74" s="737">
        <v>231336253</v>
      </c>
      <c r="C74" s="738">
        <v>712976</v>
      </c>
      <c r="D74" s="737">
        <v>1421277</v>
      </c>
      <c r="E74" s="739">
        <v>233470506</v>
      </c>
      <c r="F74" s="740"/>
    </row>
    <row r="75" spans="1:6" x14ac:dyDescent="0.25">
      <c r="A75" s="729" t="s">
        <v>935</v>
      </c>
      <c r="B75" s="737">
        <v>210555111</v>
      </c>
      <c r="C75" s="738">
        <v>13566765</v>
      </c>
      <c r="D75" s="737">
        <v>1698770</v>
      </c>
      <c r="E75" s="739">
        <v>225820646</v>
      </c>
      <c r="F75" s="740"/>
    </row>
    <row r="76" spans="1:6" x14ac:dyDescent="0.25">
      <c r="A76" s="729" t="s">
        <v>934</v>
      </c>
      <c r="B76" s="737">
        <v>82558239</v>
      </c>
      <c r="C76" s="738">
        <v>0</v>
      </c>
      <c r="D76" s="737">
        <v>760026</v>
      </c>
      <c r="E76" s="739">
        <v>83318265</v>
      </c>
      <c r="F76" s="740"/>
    </row>
    <row r="77" spans="1:6" x14ac:dyDescent="0.25">
      <c r="A77" s="729" t="s">
        <v>933</v>
      </c>
      <c r="B77" s="737">
        <v>195359051</v>
      </c>
      <c r="C77" s="738">
        <v>570404</v>
      </c>
      <c r="D77" s="737">
        <v>743365</v>
      </c>
      <c r="E77" s="739">
        <v>196672820</v>
      </c>
      <c r="F77" s="740"/>
    </row>
    <row r="78" spans="1:6" x14ac:dyDescent="0.25">
      <c r="A78" s="729" t="s">
        <v>932</v>
      </c>
      <c r="B78" s="737">
        <v>32660198</v>
      </c>
      <c r="C78" s="738">
        <v>209287</v>
      </c>
      <c r="D78" s="737">
        <v>664160</v>
      </c>
      <c r="E78" s="739">
        <v>33533645</v>
      </c>
      <c r="F78" s="740"/>
    </row>
    <row r="79" spans="1:6" x14ac:dyDescent="0.25">
      <c r="A79" s="729" t="s">
        <v>931</v>
      </c>
      <c r="B79" s="737">
        <v>399921669</v>
      </c>
      <c r="C79" s="738">
        <v>0</v>
      </c>
      <c r="D79" s="737">
        <v>892119</v>
      </c>
      <c r="E79" s="739">
        <v>400813788</v>
      </c>
      <c r="F79" s="740"/>
    </row>
    <row r="80" spans="1:6" x14ac:dyDescent="0.25">
      <c r="A80" s="729"/>
      <c r="B80" s="737"/>
      <c r="C80" s="738"/>
      <c r="D80" s="738"/>
      <c r="E80" s="739"/>
      <c r="F80" s="729"/>
    </row>
    <row r="81" spans="1:6" x14ac:dyDescent="0.25">
      <c r="A81" s="729" t="s">
        <v>930</v>
      </c>
      <c r="B81" s="737">
        <v>11000158</v>
      </c>
      <c r="C81" s="738">
        <v>0</v>
      </c>
      <c r="D81" s="738">
        <v>0</v>
      </c>
      <c r="E81" s="739">
        <v>11000158</v>
      </c>
      <c r="F81" s="740"/>
    </row>
    <row r="82" spans="1:6" x14ac:dyDescent="0.25">
      <c r="A82" s="729" t="s">
        <v>929</v>
      </c>
      <c r="B82" s="737">
        <v>15468697</v>
      </c>
      <c r="C82" s="738">
        <v>0</v>
      </c>
      <c r="D82" s="738">
        <v>0</v>
      </c>
      <c r="E82" s="739">
        <v>15468697</v>
      </c>
      <c r="F82" s="740"/>
    </row>
    <row r="83" spans="1:6" x14ac:dyDescent="0.25">
      <c r="A83" s="729" t="s">
        <v>928</v>
      </c>
      <c r="B83" s="737">
        <v>6649075</v>
      </c>
      <c r="C83" s="738">
        <v>0</v>
      </c>
      <c r="D83" s="738">
        <v>0</v>
      </c>
      <c r="E83" s="739">
        <v>6649075</v>
      </c>
      <c r="F83" s="740"/>
    </row>
    <row r="84" spans="1:6" x14ac:dyDescent="0.25">
      <c r="A84" s="729" t="s">
        <v>927</v>
      </c>
      <c r="B84" s="737">
        <v>9822018</v>
      </c>
      <c r="C84" s="738">
        <v>0</v>
      </c>
      <c r="D84" s="738">
        <v>0</v>
      </c>
      <c r="E84" s="739">
        <v>9822018</v>
      </c>
      <c r="F84" s="740"/>
    </row>
    <row r="85" spans="1:6" x14ac:dyDescent="0.25">
      <c r="A85" s="729" t="s">
        <v>926</v>
      </c>
      <c r="B85" s="737">
        <v>93173215</v>
      </c>
      <c r="C85" s="738">
        <v>0</v>
      </c>
      <c r="D85" s="738">
        <v>0</v>
      </c>
      <c r="E85" s="739">
        <v>93173215</v>
      </c>
      <c r="F85" s="740"/>
    </row>
    <row r="86" spans="1:6" x14ac:dyDescent="0.25">
      <c r="A86" s="729"/>
      <c r="B86" s="737"/>
      <c r="C86" s="738"/>
      <c r="D86" s="739"/>
      <c r="E86" s="739"/>
      <c r="F86" s="729"/>
    </row>
    <row r="87" spans="1:6" x14ac:dyDescent="0.25">
      <c r="A87" s="729" t="s">
        <v>925</v>
      </c>
      <c r="B87" s="739">
        <v>3632039</v>
      </c>
      <c r="C87" s="738">
        <v>0</v>
      </c>
      <c r="D87" s="738">
        <v>0</v>
      </c>
      <c r="E87" s="739">
        <v>3632039</v>
      </c>
      <c r="F87" s="740"/>
    </row>
    <row r="88" spans="1:6" x14ac:dyDescent="0.25">
      <c r="A88" s="729" t="s">
        <v>924</v>
      </c>
      <c r="B88" s="738">
        <v>0</v>
      </c>
      <c r="C88" s="738">
        <v>10000000</v>
      </c>
      <c r="D88" s="738">
        <v>0</v>
      </c>
      <c r="E88" s="739">
        <v>10000000</v>
      </c>
      <c r="F88" s="740"/>
    </row>
    <row r="89" spans="1:6" x14ac:dyDescent="0.25">
      <c r="A89" s="729" t="s">
        <v>923</v>
      </c>
      <c r="B89" s="738">
        <v>0</v>
      </c>
      <c r="C89" s="738">
        <v>0</v>
      </c>
      <c r="D89" s="737">
        <v>1085190</v>
      </c>
      <c r="E89" s="739">
        <v>1085190</v>
      </c>
      <c r="F89" s="740"/>
    </row>
  </sheetData>
  <sheetProtection algorithmName="SHA-512" hashValue="DCYhnKE4SGg2/5pMh6o3jbPysXj/LLO67esXj0E80i9o5aFeRJI0qY70KLxqE/QHz0MXQ7WHdSsyI5wsSaK/8Q==" saltValue="QwTd7CAgMEjPmeDTWQrobg==" spinCount="100000" sheet="1" objects="1" scenarios="1"/>
  <mergeCells count="1">
    <mergeCell ref="A17:E17"/>
  </mergeCells>
  <printOptions horizontalCentered="1"/>
  <pageMargins left="0.2" right="0.2" top="0.25" bottom="0.25" header="0.3" footer="0.3"/>
  <pageSetup scale="74" orientation="portrait"/>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2:T239"/>
  <sheetViews>
    <sheetView topLeftCell="D1" workbookViewId="0">
      <pane xSplit="2" ySplit="8" topLeftCell="I216" activePane="bottomRight" state="frozen"/>
      <selection activeCell="D1" sqref="D1"/>
      <selection pane="topRight" activeCell="F1" sqref="F1"/>
      <selection pane="bottomLeft" activeCell="D9" sqref="D9"/>
      <selection pane="bottomRight" activeCell="K220" sqref="K220:N220"/>
    </sheetView>
  </sheetViews>
  <sheetFormatPr defaultColWidth="9.109375" defaultRowHeight="14.4" x14ac:dyDescent="0.3"/>
  <cols>
    <col min="1" max="1" width="9.109375" style="47" hidden="1" customWidth="1"/>
    <col min="2" max="2" width="12.6640625" style="47" hidden="1" customWidth="1"/>
    <col min="3" max="3" width="17.6640625" style="47" hidden="1" customWidth="1"/>
    <col min="4" max="4" width="10.44140625" style="24" customWidth="1"/>
    <col min="5" max="5" width="34.6640625" style="47" customWidth="1"/>
    <col min="6" max="6" width="13.33203125" style="3" customWidth="1"/>
    <col min="7" max="7" width="12.44140625" style="3" customWidth="1"/>
    <col min="8" max="8" width="17.6640625" style="3" customWidth="1"/>
    <col min="9" max="9" width="12.44140625" style="3" customWidth="1"/>
    <col min="10" max="10" width="15.44140625" style="3" customWidth="1"/>
    <col min="11" max="11" width="13.33203125" style="3" customWidth="1"/>
    <col min="12" max="12" width="13" style="3" customWidth="1"/>
    <col min="13" max="13" width="17.6640625" style="3" customWidth="1"/>
    <col min="14" max="14" width="12.44140625" style="3" customWidth="1"/>
    <col min="15" max="15" width="15.44140625" style="3" customWidth="1"/>
    <col min="16" max="16" width="14.6640625" style="4" customWidth="1"/>
    <col min="17" max="17" width="9.109375" style="47"/>
    <col min="18" max="18" width="2" style="47" customWidth="1"/>
    <col min="19" max="19" width="9.109375" style="47"/>
    <col min="20" max="20" width="9.6640625" style="47" customWidth="1"/>
    <col min="21" max="16384" width="9.109375" style="47"/>
  </cols>
  <sheetData>
    <row r="2" spans="1:20" x14ac:dyDescent="0.3">
      <c r="A2" s="11"/>
      <c r="B2" s="11"/>
      <c r="C2" s="11"/>
      <c r="D2" s="16"/>
      <c r="E2" s="23" t="s">
        <v>1283</v>
      </c>
      <c r="F2" s="14"/>
      <c r="G2" s="14"/>
      <c r="H2" s="14"/>
      <c r="I2" s="14"/>
      <c r="J2" s="14"/>
      <c r="K2" s="14"/>
      <c r="L2" s="14"/>
      <c r="M2" s="14"/>
      <c r="N2" s="14"/>
      <c r="O2" s="14"/>
      <c r="P2" s="15"/>
      <c r="Q2" s="11"/>
      <c r="R2" s="11"/>
    </row>
    <row r="3" spans="1:20" x14ac:dyDescent="0.3">
      <c r="A3" s="11"/>
      <c r="B3" s="11"/>
      <c r="C3" s="11"/>
      <c r="D3" s="16"/>
      <c r="E3" s="11"/>
      <c r="F3" s="14"/>
      <c r="G3" s="14"/>
      <c r="H3" s="14"/>
      <c r="I3" s="14"/>
      <c r="J3" s="14"/>
      <c r="K3" s="14"/>
      <c r="L3" s="14"/>
      <c r="M3" s="14"/>
      <c r="N3" s="14"/>
      <c r="O3" s="14"/>
      <c r="P3" s="15"/>
      <c r="Q3" s="11"/>
      <c r="R3" s="11"/>
    </row>
    <row r="4" spans="1:20" x14ac:dyDescent="0.3">
      <c r="A4" s="11"/>
      <c r="B4" s="11"/>
      <c r="C4" s="11"/>
      <c r="E4" s="14" t="s">
        <v>572</v>
      </c>
      <c r="F4" s="14"/>
      <c r="G4" s="14"/>
      <c r="H4" s="14"/>
      <c r="I4" s="14"/>
      <c r="J4" s="14"/>
      <c r="K4" s="14"/>
      <c r="L4" s="14"/>
      <c r="M4" s="14"/>
      <c r="N4" s="14"/>
      <c r="O4" s="14"/>
      <c r="P4" s="30" t="s">
        <v>897</v>
      </c>
      <c r="Q4" s="29"/>
      <c r="R4" s="11"/>
    </row>
    <row r="5" spans="1:20" x14ac:dyDescent="0.3">
      <c r="A5" s="12" t="s">
        <v>618</v>
      </c>
      <c r="B5" s="12" t="s">
        <v>618</v>
      </c>
      <c r="C5" s="12" t="s">
        <v>618</v>
      </c>
      <c r="D5" s="16"/>
      <c r="E5" s="11"/>
      <c r="F5" s="14"/>
      <c r="G5" s="14"/>
      <c r="H5" s="14"/>
      <c r="I5" s="14"/>
      <c r="J5" s="10" t="s">
        <v>616</v>
      </c>
      <c r="K5" s="14"/>
      <c r="L5" s="14"/>
      <c r="M5" s="14"/>
      <c r="N5" s="14"/>
      <c r="O5" s="10" t="s">
        <v>616</v>
      </c>
      <c r="P5" s="19" t="s">
        <v>896</v>
      </c>
      <c r="Q5" s="11"/>
      <c r="R5" s="11"/>
    </row>
    <row r="6" spans="1:20" x14ac:dyDescent="0.3">
      <c r="A6" s="11"/>
      <c r="B6" s="22"/>
      <c r="C6" s="22"/>
      <c r="D6" s="16"/>
      <c r="E6" s="11"/>
      <c r="F6" s="20" t="s">
        <v>895</v>
      </c>
      <c r="G6" s="20" t="s">
        <v>895</v>
      </c>
      <c r="H6" s="20" t="s">
        <v>895</v>
      </c>
      <c r="I6" s="20" t="s">
        <v>895</v>
      </c>
      <c r="J6" s="20" t="s">
        <v>895</v>
      </c>
      <c r="K6" s="20" t="s">
        <v>1282</v>
      </c>
      <c r="L6" s="20" t="s">
        <v>1282</v>
      </c>
      <c r="M6" s="20" t="s">
        <v>1282</v>
      </c>
      <c r="N6" s="20" t="s">
        <v>1282</v>
      </c>
      <c r="O6" s="20" t="s">
        <v>1282</v>
      </c>
      <c r="P6" s="28" t="s">
        <v>895</v>
      </c>
      <c r="Q6" s="11"/>
      <c r="R6" s="11"/>
    </row>
    <row r="7" spans="1:20" x14ac:dyDescent="0.3">
      <c r="A7" s="11"/>
      <c r="B7" s="11"/>
      <c r="C7" s="11"/>
      <c r="D7" s="16"/>
      <c r="E7" s="12" t="s">
        <v>614</v>
      </c>
      <c r="F7" s="10" t="s">
        <v>611</v>
      </c>
      <c r="G7" s="10" t="s">
        <v>610</v>
      </c>
      <c r="H7" s="10" t="s">
        <v>594</v>
      </c>
      <c r="I7" s="10" t="s">
        <v>593</v>
      </c>
      <c r="J7" s="10" t="s">
        <v>894</v>
      </c>
      <c r="K7" s="10" t="s">
        <v>611</v>
      </c>
      <c r="L7" s="10" t="s">
        <v>610</v>
      </c>
      <c r="M7" s="10" t="s">
        <v>594</v>
      </c>
      <c r="N7" s="10" t="s">
        <v>593</v>
      </c>
      <c r="O7" s="10" t="s">
        <v>894</v>
      </c>
      <c r="P7" s="19" t="s">
        <v>894</v>
      </c>
      <c r="Q7" s="12" t="s">
        <v>893</v>
      </c>
      <c r="R7" s="11"/>
    </row>
    <row r="8" spans="1:20" x14ac:dyDescent="0.3">
      <c r="A8" s="11" t="s">
        <v>892</v>
      </c>
      <c r="B8" s="11" t="s">
        <v>891</v>
      </c>
      <c r="C8" s="11" t="s">
        <v>605</v>
      </c>
      <c r="D8" s="27" t="s">
        <v>560</v>
      </c>
      <c r="E8" s="12" t="s">
        <v>604</v>
      </c>
      <c r="F8" s="10" t="s">
        <v>890</v>
      </c>
      <c r="G8" s="10" t="s">
        <v>890</v>
      </c>
      <c r="H8" s="10" t="s">
        <v>890</v>
      </c>
      <c r="I8" s="10" t="s">
        <v>890</v>
      </c>
      <c r="J8" s="10" t="s">
        <v>890</v>
      </c>
      <c r="K8" s="10" t="s">
        <v>890</v>
      </c>
      <c r="L8" s="10" t="s">
        <v>890</v>
      </c>
      <c r="M8" s="10" t="s">
        <v>890</v>
      </c>
      <c r="N8" s="10" t="s">
        <v>890</v>
      </c>
      <c r="O8" s="10" t="s">
        <v>890</v>
      </c>
      <c r="P8" s="19" t="s">
        <v>890</v>
      </c>
      <c r="Q8" s="12" t="s">
        <v>597</v>
      </c>
      <c r="R8" s="11"/>
      <c r="T8" s="12" t="s">
        <v>889</v>
      </c>
    </row>
    <row r="9" spans="1:20" x14ac:dyDescent="0.3">
      <c r="A9" s="11"/>
      <c r="B9" s="11"/>
      <c r="C9" s="11"/>
      <c r="D9" s="27"/>
      <c r="E9" s="12"/>
      <c r="F9" s="10"/>
      <c r="G9" s="10"/>
      <c r="H9" s="10"/>
      <c r="I9" s="10"/>
      <c r="J9" s="10"/>
      <c r="K9" s="10"/>
      <c r="L9" s="10"/>
      <c r="M9" s="10"/>
      <c r="N9" s="10"/>
      <c r="O9" s="10"/>
      <c r="P9" s="19"/>
      <c r="Q9" s="12"/>
      <c r="R9" s="11"/>
      <c r="T9" s="12"/>
    </row>
    <row r="10" spans="1:20" x14ac:dyDescent="0.3">
      <c r="A10" s="17">
        <v>1</v>
      </c>
      <c r="B10" s="17">
        <v>4</v>
      </c>
      <c r="C10" s="14" t="s">
        <v>572</v>
      </c>
      <c r="D10" s="16">
        <v>400450</v>
      </c>
      <c r="E10" s="14" t="s">
        <v>15</v>
      </c>
      <c r="F10" s="14">
        <v>550686.2706272857</v>
      </c>
      <c r="G10" s="14">
        <v>130490.22730973946</v>
      </c>
      <c r="H10" s="14">
        <v>182977.7509500141</v>
      </c>
      <c r="I10" s="14">
        <v>128094.86854805792</v>
      </c>
      <c r="J10" s="14">
        <v>992249.11743509723</v>
      </c>
      <c r="K10" s="14">
        <v>541083.48036618216</v>
      </c>
      <c r="L10" s="14">
        <v>110916.69321327854</v>
      </c>
      <c r="M10" s="14">
        <v>195073.72863384368</v>
      </c>
      <c r="N10" s="14">
        <v>151214.21597193956</v>
      </c>
      <c r="O10" s="14">
        <v>998288.11818524403</v>
      </c>
      <c r="P10" s="15">
        <v>1.0060861739698568</v>
      </c>
      <c r="Q10" s="14">
        <v>129268</v>
      </c>
      <c r="R10" s="11" t="str">
        <f t="shared" ref="R10:R73" si="0">IF(AND($A10=1,Q10&gt;=20000),"*","  ")</f>
        <v>*</v>
      </c>
      <c r="T10" s="12"/>
    </row>
    <row r="11" spans="1:20" x14ac:dyDescent="0.3">
      <c r="A11" s="17">
        <v>1</v>
      </c>
      <c r="B11" s="17">
        <v>4</v>
      </c>
      <c r="C11" s="14" t="s">
        <v>572</v>
      </c>
      <c r="D11" s="16">
        <v>400480</v>
      </c>
      <c r="E11" s="14" t="s">
        <v>16</v>
      </c>
      <c r="F11" s="14">
        <v>47926.781241770259</v>
      </c>
      <c r="G11" s="14">
        <v>11689.139029641543</v>
      </c>
      <c r="H11" s="14">
        <v>20699.762587218323</v>
      </c>
      <c r="I11" s="14">
        <v>18980.929938969923</v>
      </c>
      <c r="J11" s="14">
        <v>99296.612797600043</v>
      </c>
      <c r="K11" s="14">
        <v>45530.442179681741</v>
      </c>
      <c r="L11" s="14">
        <v>11104.682078159465</v>
      </c>
      <c r="M11" s="14">
        <v>27706.892711870463</v>
      </c>
      <c r="N11" s="14">
        <v>26706.206620344856</v>
      </c>
      <c r="O11" s="14">
        <v>111048.22359005653</v>
      </c>
      <c r="P11" s="15">
        <v>1.1183485565253894</v>
      </c>
      <c r="Q11" s="14">
        <v>1262</v>
      </c>
      <c r="R11" s="11" t="str">
        <f t="shared" si="0"/>
        <v xml:space="preserve">  </v>
      </c>
      <c r="T11" s="12"/>
    </row>
    <row r="12" spans="1:20" x14ac:dyDescent="0.3">
      <c r="A12" s="17">
        <v>1</v>
      </c>
      <c r="B12" s="17">
        <v>4</v>
      </c>
      <c r="C12" s="14" t="s">
        <v>572</v>
      </c>
      <c r="D12" s="16">
        <v>400520</v>
      </c>
      <c r="E12" s="14" t="s">
        <v>18</v>
      </c>
      <c r="F12" s="14">
        <v>97506.950546092572</v>
      </c>
      <c r="G12" s="14">
        <v>23781.532407527888</v>
      </c>
      <c r="H12" s="14">
        <v>50330.531317770728</v>
      </c>
      <c r="I12" s="14">
        <v>52020.115215706515</v>
      </c>
      <c r="J12" s="14">
        <v>223639.12948709773</v>
      </c>
      <c r="K12" s="14">
        <v>92631.603018787937</v>
      </c>
      <c r="L12" s="14">
        <v>22592.455787151492</v>
      </c>
      <c r="M12" s="14">
        <v>47814.004751882188</v>
      </c>
      <c r="N12" s="14">
        <v>49419.109454921185</v>
      </c>
      <c r="O12" s="14">
        <v>212457.1730127428</v>
      </c>
      <c r="P12" s="15">
        <v>0.94999999999999984</v>
      </c>
      <c r="Q12" s="14">
        <v>3386</v>
      </c>
      <c r="R12" s="11" t="str">
        <f t="shared" si="0"/>
        <v xml:space="preserve">  </v>
      </c>
      <c r="T12" s="12"/>
    </row>
    <row r="13" spans="1:20" x14ac:dyDescent="0.3">
      <c r="A13" s="17">
        <v>1</v>
      </c>
      <c r="B13" s="17">
        <v>4</v>
      </c>
      <c r="C13" s="14" t="s">
        <v>572</v>
      </c>
      <c r="D13" s="16">
        <v>400600</v>
      </c>
      <c r="E13" s="14" t="s">
        <v>22</v>
      </c>
      <c r="F13" s="14">
        <v>3555016.5611349395</v>
      </c>
      <c r="G13" s="14">
        <v>842394.19774160092</v>
      </c>
      <c r="H13" s="14">
        <v>2370495.50437793</v>
      </c>
      <c r="I13" s="14">
        <v>2142576.5197968059</v>
      </c>
      <c r="J13" s="14">
        <v>8910482.7830512766</v>
      </c>
      <c r="K13" s="14">
        <v>3808340.8343471568</v>
      </c>
      <c r="L13" s="14">
        <v>903151.42014832131</v>
      </c>
      <c r="M13" s="14">
        <v>2847767.019199349</v>
      </c>
      <c r="N13" s="14">
        <v>2902461.5996279204</v>
      </c>
      <c r="O13" s="14">
        <v>10461720.873322748</v>
      </c>
      <c r="P13" s="15">
        <v>1.1740913627286389</v>
      </c>
      <c r="Q13" s="14">
        <v>90463</v>
      </c>
      <c r="R13" s="11" t="str">
        <f t="shared" si="0"/>
        <v>*</v>
      </c>
      <c r="T13" s="12"/>
    </row>
    <row r="14" spans="1:20" x14ac:dyDescent="0.3">
      <c r="A14" s="17">
        <v>1</v>
      </c>
      <c r="B14" s="17">
        <v>4</v>
      </c>
      <c r="C14" s="14" t="s">
        <v>572</v>
      </c>
      <c r="D14" s="16">
        <v>400630</v>
      </c>
      <c r="E14" s="14" t="s">
        <v>554</v>
      </c>
      <c r="F14" s="14">
        <v>7840.5917928507988</v>
      </c>
      <c r="G14" s="14">
        <v>1857.9010588488861</v>
      </c>
      <c r="H14" s="14">
        <v>3901.8375615933828</v>
      </c>
      <c r="I14" s="14">
        <v>3083.5140605283541</v>
      </c>
      <c r="J14" s="14">
        <v>16683.844473821424</v>
      </c>
      <c r="K14" s="14">
        <v>7056.5326135657187</v>
      </c>
      <c r="L14" s="14">
        <v>1672.1109529639975</v>
      </c>
      <c r="M14" s="14">
        <v>3511.6538054340444</v>
      </c>
      <c r="N14" s="14">
        <v>2775.1626544755186</v>
      </c>
      <c r="O14" s="14">
        <v>15015.460026439277</v>
      </c>
      <c r="P14" s="15">
        <v>0.8999999999999998</v>
      </c>
      <c r="Q14" s="14">
        <v>465</v>
      </c>
      <c r="R14" s="11" t="str">
        <f t="shared" si="0"/>
        <v xml:space="preserve">  </v>
      </c>
      <c r="T14" s="12"/>
    </row>
    <row r="15" spans="1:20" x14ac:dyDescent="0.3">
      <c r="A15" s="17">
        <v>1</v>
      </c>
      <c r="B15" s="17">
        <v>4</v>
      </c>
      <c r="C15" s="14" t="s">
        <v>572</v>
      </c>
      <c r="D15" s="16">
        <v>404770</v>
      </c>
      <c r="E15" s="14" t="s">
        <v>24</v>
      </c>
      <c r="F15" s="14">
        <v>263554.35168525443</v>
      </c>
      <c r="G15" s="14">
        <v>64279.790524112999</v>
      </c>
      <c r="H15" s="14">
        <v>126846.05325490976</v>
      </c>
      <c r="I15" s="14">
        <v>123521.75974480153</v>
      </c>
      <c r="J15" s="14">
        <v>578201.95520907873</v>
      </c>
      <c r="K15" s="14">
        <v>237198.91651672899</v>
      </c>
      <c r="L15" s="14">
        <v>57851.811471701702</v>
      </c>
      <c r="M15" s="14">
        <v>114161.44792941878</v>
      </c>
      <c r="N15" s="14">
        <v>111169.58377032138</v>
      </c>
      <c r="O15" s="14">
        <v>520381.75968817086</v>
      </c>
      <c r="P15" s="15">
        <v>0.9</v>
      </c>
      <c r="Q15" s="14">
        <v>7455</v>
      </c>
      <c r="R15" s="11" t="str">
        <f t="shared" si="0"/>
        <v xml:space="preserve">  </v>
      </c>
      <c r="T15" s="12"/>
    </row>
    <row r="16" spans="1:20" x14ac:dyDescent="0.3">
      <c r="A16" s="17">
        <v>1</v>
      </c>
      <c r="B16" s="17">
        <v>4</v>
      </c>
      <c r="C16" s="14" t="s">
        <v>572</v>
      </c>
      <c r="D16" s="16">
        <v>400680</v>
      </c>
      <c r="E16" s="14" t="s">
        <v>36</v>
      </c>
      <c r="F16" s="14">
        <v>1994698.5172247125</v>
      </c>
      <c r="G16" s="14">
        <v>472320.473761008</v>
      </c>
      <c r="H16" s="14">
        <v>927133.05544670695</v>
      </c>
      <c r="I16" s="14">
        <v>805588.89835116465</v>
      </c>
      <c r="J16" s="14">
        <v>4199740.9447835917</v>
      </c>
      <c r="K16" s="14">
        <v>2023755.9989284412</v>
      </c>
      <c r="L16" s="14">
        <v>479935.53727688582</v>
      </c>
      <c r="M16" s="14">
        <v>1007786.3500730974</v>
      </c>
      <c r="N16" s="14">
        <v>836956.93865777878</v>
      </c>
      <c r="O16" s="14">
        <v>4348434.8249362037</v>
      </c>
      <c r="P16" s="15">
        <v>1.0354054886021724</v>
      </c>
      <c r="Q16" s="14">
        <v>139577</v>
      </c>
      <c r="R16" s="11" t="str">
        <f t="shared" si="0"/>
        <v>*</v>
      </c>
      <c r="T16" s="12"/>
    </row>
    <row r="17" spans="1:20" x14ac:dyDescent="0.3">
      <c r="A17" s="17">
        <v>1</v>
      </c>
      <c r="B17" s="17">
        <v>4</v>
      </c>
      <c r="C17" s="14" t="s">
        <v>572</v>
      </c>
      <c r="D17" s="16">
        <v>400720</v>
      </c>
      <c r="E17" s="14" t="s">
        <v>37</v>
      </c>
      <c r="F17" s="14">
        <v>42466.457685029716</v>
      </c>
      <c r="G17" s="14">
        <v>10740.907460106775</v>
      </c>
      <c r="H17" s="14">
        <v>18832.559967486926</v>
      </c>
      <c r="I17" s="14">
        <v>17096.746078851225</v>
      </c>
      <c r="J17" s="14">
        <v>89136.671191474641</v>
      </c>
      <c r="K17" s="14">
        <v>44815.109533380382</v>
      </c>
      <c r="L17" s="14">
        <v>10627.943133171131</v>
      </c>
      <c r="M17" s="14">
        <v>19497.874546197429</v>
      </c>
      <c r="N17" s="14">
        <v>15398.479033047128</v>
      </c>
      <c r="O17" s="14">
        <v>90339.406245796068</v>
      </c>
      <c r="P17" s="15">
        <v>1.0134931565005141</v>
      </c>
      <c r="Q17" s="14">
        <v>6613</v>
      </c>
      <c r="R17" s="11" t="str">
        <f t="shared" si="0"/>
        <v xml:space="preserve">  </v>
      </c>
      <c r="T17" s="12"/>
    </row>
    <row r="18" spans="1:20" x14ac:dyDescent="0.3">
      <c r="A18" s="17">
        <v>1</v>
      </c>
      <c r="B18" s="17">
        <v>4</v>
      </c>
      <c r="C18" s="14" t="s">
        <v>572</v>
      </c>
      <c r="D18" s="16">
        <v>400750</v>
      </c>
      <c r="E18" s="14" t="s">
        <v>550</v>
      </c>
      <c r="F18" s="14">
        <v>0</v>
      </c>
      <c r="G18" s="14">
        <v>0</v>
      </c>
      <c r="H18" s="14">
        <v>0</v>
      </c>
      <c r="I18" s="14">
        <v>0</v>
      </c>
      <c r="J18" s="14">
        <v>0</v>
      </c>
      <c r="K18" s="14">
        <v>0</v>
      </c>
      <c r="L18" s="14">
        <v>0</v>
      </c>
      <c r="M18" s="14">
        <v>0</v>
      </c>
      <c r="N18" s="14">
        <v>0</v>
      </c>
      <c r="O18" s="14">
        <v>0</v>
      </c>
      <c r="P18" s="15">
        <v>0</v>
      </c>
      <c r="Q18" s="14">
        <v>161</v>
      </c>
      <c r="R18" s="11" t="str">
        <f t="shared" si="0"/>
        <v xml:space="preserve">  </v>
      </c>
      <c r="T18" s="12"/>
    </row>
    <row r="19" spans="1:20" x14ac:dyDescent="0.3">
      <c r="A19" s="17">
        <v>1</v>
      </c>
      <c r="B19" s="17">
        <v>4</v>
      </c>
      <c r="C19" s="14" t="s">
        <v>572</v>
      </c>
      <c r="D19" s="16">
        <v>400790</v>
      </c>
      <c r="E19" s="14" t="s">
        <v>39</v>
      </c>
      <c r="F19" s="14">
        <v>1006363.0171764968</v>
      </c>
      <c r="G19" s="14">
        <v>238467.06531813359</v>
      </c>
      <c r="H19" s="14">
        <v>424942.07934787049</v>
      </c>
      <c r="I19" s="14">
        <v>307796.60632345942</v>
      </c>
      <c r="J19" s="14">
        <v>1977568.7681659604</v>
      </c>
      <c r="K19" s="14">
        <v>1011406.2614691326</v>
      </c>
      <c r="L19" s="14">
        <v>239855.89555283054</v>
      </c>
      <c r="M19" s="14">
        <v>457209.45325445675</v>
      </c>
      <c r="N19" s="14">
        <v>366806.36675307382</v>
      </c>
      <c r="O19" s="14">
        <v>2075277.9770294935</v>
      </c>
      <c r="P19" s="15">
        <v>1.0494087540400179</v>
      </c>
      <c r="Q19" s="14">
        <v>60880</v>
      </c>
      <c r="R19" s="11" t="str">
        <f t="shared" si="0"/>
        <v>*</v>
      </c>
      <c r="T19" s="12"/>
    </row>
    <row r="20" spans="1:20" x14ac:dyDescent="0.3">
      <c r="A20" s="17">
        <v>1</v>
      </c>
      <c r="B20" s="17">
        <v>4</v>
      </c>
      <c r="C20" s="14" t="s">
        <v>572</v>
      </c>
      <c r="D20" s="16">
        <v>400840</v>
      </c>
      <c r="E20" s="14" t="s">
        <v>52</v>
      </c>
      <c r="F20" s="14">
        <v>71667.321627646626</v>
      </c>
      <c r="G20" s="14">
        <v>17451.98625973161</v>
      </c>
      <c r="H20" s="14">
        <v>45839.168386115874</v>
      </c>
      <c r="I20" s="14">
        <v>51063.088068551966</v>
      </c>
      <c r="J20" s="14">
        <v>186021.56434204607</v>
      </c>
      <c r="K20" s="14">
        <v>68083.955546264289</v>
      </c>
      <c r="L20" s="14">
        <v>16579.386946745028</v>
      </c>
      <c r="M20" s="14">
        <v>43547.209966810078</v>
      </c>
      <c r="N20" s="14">
        <v>48509.933665124365</v>
      </c>
      <c r="O20" s="14">
        <v>176720.48612494377</v>
      </c>
      <c r="P20" s="15">
        <v>0.95</v>
      </c>
      <c r="Q20" s="14">
        <v>1593</v>
      </c>
      <c r="R20" s="11" t="str">
        <f t="shared" si="0"/>
        <v xml:space="preserve">  </v>
      </c>
      <c r="T20" s="12"/>
    </row>
    <row r="21" spans="1:20" x14ac:dyDescent="0.3">
      <c r="A21" s="17">
        <v>1</v>
      </c>
      <c r="B21" s="17">
        <v>4</v>
      </c>
      <c r="C21" s="14" t="s">
        <v>572</v>
      </c>
      <c r="D21" s="16">
        <v>400870</v>
      </c>
      <c r="E21" s="14" t="s">
        <v>53</v>
      </c>
      <c r="F21" s="14">
        <v>15563.202453904772</v>
      </c>
      <c r="G21" s="14">
        <v>3764.4861287712929</v>
      </c>
      <c r="H21" s="14">
        <v>10881.600308557639</v>
      </c>
      <c r="I21" s="14">
        <v>11993.465931164113</v>
      </c>
      <c r="J21" s="14">
        <v>42202.754822397823</v>
      </c>
      <c r="K21" s="14">
        <v>14785.042331209534</v>
      </c>
      <c r="L21" s="14">
        <v>3576.2618223327281</v>
      </c>
      <c r="M21" s="14">
        <v>10337.520293129757</v>
      </c>
      <c r="N21" s="14">
        <v>11393.792634605907</v>
      </c>
      <c r="O21" s="14">
        <v>40092.617081277924</v>
      </c>
      <c r="P21" s="15">
        <v>0.94999999999999984</v>
      </c>
      <c r="Q21" s="14">
        <v>683</v>
      </c>
      <c r="R21" s="11" t="str">
        <f t="shared" si="0"/>
        <v xml:space="preserve">  </v>
      </c>
      <c r="T21" s="12"/>
    </row>
    <row r="22" spans="1:20" x14ac:dyDescent="0.3">
      <c r="A22" s="17">
        <v>1</v>
      </c>
      <c r="B22" s="17">
        <v>4</v>
      </c>
      <c r="C22" s="14" t="s">
        <v>572</v>
      </c>
      <c r="D22" s="16">
        <v>400910</v>
      </c>
      <c r="E22" s="14" t="s">
        <v>55</v>
      </c>
      <c r="F22" s="14">
        <v>41377.574154644324</v>
      </c>
      <c r="G22" s="14">
        <v>9797.7089064037173</v>
      </c>
      <c r="H22" s="14">
        <v>20663.446998032763</v>
      </c>
      <c r="I22" s="14">
        <v>19016.55965610885</v>
      </c>
      <c r="J22" s="14">
        <v>90855.289715189661</v>
      </c>
      <c r="K22" s="14">
        <v>39308.695446912105</v>
      </c>
      <c r="L22" s="14">
        <v>9307.8234610835316</v>
      </c>
      <c r="M22" s="14">
        <v>19630.274648131122</v>
      </c>
      <c r="N22" s="14">
        <v>18065.731673303406</v>
      </c>
      <c r="O22" s="14">
        <v>86312.525229430161</v>
      </c>
      <c r="P22" s="15">
        <v>0.94999999999999984</v>
      </c>
      <c r="Q22" s="14">
        <v>1891</v>
      </c>
      <c r="R22" s="11" t="str">
        <f t="shared" si="0"/>
        <v xml:space="preserve">  </v>
      </c>
      <c r="T22" s="12"/>
    </row>
    <row r="23" spans="1:20" x14ac:dyDescent="0.3">
      <c r="A23" s="17">
        <v>1</v>
      </c>
      <c r="B23" s="17">
        <v>4</v>
      </c>
      <c r="C23" s="14" t="s">
        <v>572</v>
      </c>
      <c r="D23" s="16">
        <v>400960</v>
      </c>
      <c r="E23" s="14" t="s">
        <v>58</v>
      </c>
      <c r="F23" s="14">
        <v>917810.45104547625</v>
      </c>
      <c r="G23" s="14">
        <v>217483.71218289912</v>
      </c>
      <c r="H23" s="14">
        <v>361855.72114673333</v>
      </c>
      <c r="I23" s="14">
        <v>254896.52103743135</v>
      </c>
      <c r="J23" s="14">
        <v>1752046.4054125401</v>
      </c>
      <c r="K23" s="14">
        <v>939702.08621572377</v>
      </c>
      <c r="L23" s="14">
        <v>222851.18653975677</v>
      </c>
      <c r="M23" s="14">
        <v>403458.58269744279</v>
      </c>
      <c r="N23" s="14">
        <v>316838.39340427436</v>
      </c>
      <c r="O23" s="14">
        <v>1882850.2488571978</v>
      </c>
      <c r="P23" s="15">
        <v>1.0746577505256536</v>
      </c>
      <c r="Q23" s="14">
        <v>47816</v>
      </c>
      <c r="R23" s="11" t="str">
        <f t="shared" si="0"/>
        <v>*</v>
      </c>
      <c r="T23" s="12"/>
    </row>
    <row r="24" spans="1:20" x14ac:dyDescent="0.3">
      <c r="A24" s="17">
        <v>1</v>
      </c>
      <c r="B24" s="17">
        <v>4</v>
      </c>
      <c r="C24" s="14" t="s">
        <v>572</v>
      </c>
      <c r="D24" s="16">
        <v>401000</v>
      </c>
      <c r="E24" s="14" t="s">
        <v>592</v>
      </c>
      <c r="F24" s="14">
        <v>25364.470793269542</v>
      </c>
      <c r="G24" s="14">
        <v>5857.8385999941693</v>
      </c>
      <c r="H24" s="14">
        <v>7443.0281157514828</v>
      </c>
      <c r="I24" s="14">
        <v>5526.0728408528148</v>
      </c>
      <c r="J24" s="14">
        <v>44191.410349868012</v>
      </c>
      <c r="K24" s="14">
        <v>23586.899754410737</v>
      </c>
      <c r="L24" s="14">
        <v>4979.162809995044</v>
      </c>
      <c r="M24" s="14">
        <v>7093.5901321397687</v>
      </c>
      <c r="N24" s="14">
        <v>5498.6987626159835</v>
      </c>
      <c r="O24" s="14">
        <v>41158.351459161531</v>
      </c>
      <c r="P24" s="15">
        <v>0.93136541996072453</v>
      </c>
      <c r="Q24" s="14">
        <v>2223</v>
      </c>
      <c r="R24" s="11" t="str">
        <f t="shared" si="0"/>
        <v xml:space="preserve">  </v>
      </c>
      <c r="T24" s="12"/>
    </row>
    <row r="25" spans="1:20" x14ac:dyDescent="0.3">
      <c r="A25" s="17">
        <v>1</v>
      </c>
      <c r="B25" s="17">
        <v>4</v>
      </c>
      <c r="C25" s="14" t="s">
        <v>572</v>
      </c>
      <c r="D25" s="16">
        <v>401050</v>
      </c>
      <c r="E25" s="14" t="s">
        <v>65</v>
      </c>
      <c r="F25" s="14">
        <v>1051561.7228058721</v>
      </c>
      <c r="G25" s="14">
        <v>249177.31848090951</v>
      </c>
      <c r="H25" s="14">
        <v>783094.93462296599</v>
      </c>
      <c r="I25" s="14">
        <v>736250.35570010275</v>
      </c>
      <c r="J25" s="14">
        <v>2820084.3316098503</v>
      </c>
      <c r="K25" s="14">
        <v>998983.63666557847</v>
      </c>
      <c r="L25" s="14">
        <v>236718.45255686404</v>
      </c>
      <c r="M25" s="14">
        <v>743940.18789181765</v>
      </c>
      <c r="N25" s="14">
        <v>720866.52982645342</v>
      </c>
      <c r="O25" s="14">
        <v>2700508.8069407139</v>
      </c>
      <c r="P25" s="15">
        <v>0.95759859968411776</v>
      </c>
      <c r="Q25" s="14">
        <v>31088</v>
      </c>
      <c r="R25" s="11" t="str">
        <f t="shared" si="0"/>
        <v>*</v>
      </c>
      <c r="T25" s="12"/>
    </row>
    <row r="26" spans="1:20" x14ac:dyDescent="0.3">
      <c r="A26" s="17">
        <v>1</v>
      </c>
      <c r="B26" s="17">
        <v>4</v>
      </c>
      <c r="C26" s="14" t="s">
        <v>572</v>
      </c>
      <c r="D26" s="16">
        <v>401080</v>
      </c>
      <c r="E26" s="14" t="s">
        <v>66</v>
      </c>
      <c r="F26" s="14">
        <v>73793.805109184003</v>
      </c>
      <c r="G26" s="14">
        <v>17486.127612695404</v>
      </c>
      <c r="H26" s="14">
        <v>25918.008198198233</v>
      </c>
      <c r="I26" s="14">
        <v>20605.490883825743</v>
      </c>
      <c r="J26" s="14">
        <v>137803.4318039034</v>
      </c>
      <c r="K26" s="14">
        <v>74534.603223937942</v>
      </c>
      <c r="L26" s="14">
        <v>17675.947526747772</v>
      </c>
      <c r="M26" s="14">
        <v>27291.59493078927</v>
      </c>
      <c r="N26" s="14">
        <v>19895.611810847655</v>
      </c>
      <c r="O26" s="14">
        <v>139397.75749232265</v>
      </c>
      <c r="P26" s="15">
        <v>1.0115695644698313</v>
      </c>
      <c r="Q26" s="14">
        <v>4986</v>
      </c>
      <c r="R26" s="11" t="str">
        <f t="shared" si="0"/>
        <v xml:space="preserve">  </v>
      </c>
      <c r="T26" s="12"/>
    </row>
    <row r="27" spans="1:20" x14ac:dyDescent="0.3">
      <c r="A27" s="17">
        <v>1</v>
      </c>
      <c r="B27" s="17">
        <v>4</v>
      </c>
      <c r="C27" s="14" t="s">
        <v>572</v>
      </c>
      <c r="D27" s="16">
        <v>400212</v>
      </c>
      <c r="E27" s="14" t="s">
        <v>68</v>
      </c>
      <c r="F27" s="14">
        <v>128216.73637720721</v>
      </c>
      <c r="G27" s="14">
        <v>30382.146727058258</v>
      </c>
      <c r="H27" s="14">
        <v>45896.237750605731</v>
      </c>
      <c r="I27" s="14">
        <v>39652.016813962502</v>
      </c>
      <c r="J27" s="14">
        <v>244147.13766883372</v>
      </c>
      <c r="K27" s="14">
        <v>146710.5164724348</v>
      </c>
      <c r="L27" s="14">
        <v>34792.529625433912</v>
      </c>
      <c r="M27" s="14">
        <v>64386.691029973656</v>
      </c>
      <c r="N27" s="14">
        <v>51035.100318961522</v>
      </c>
      <c r="O27" s="14">
        <v>296924.83744680387</v>
      </c>
      <c r="P27" s="15">
        <v>1.2161716917179628</v>
      </c>
      <c r="Q27" s="14">
        <v>7968</v>
      </c>
      <c r="R27" s="11" t="str">
        <f t="shared" si="0"/>
        <v xml:space="preserve">  </v>
      </c>
      <c r="T27" s="12"/>
    </row>
    <row r="28" spans="1:20" x14ac:dyDescent="0.3">
      <c r="A28" s="17">
        <v>1</v>
      </c>
      <c r="B28" s="17">
        <v>4</v>
      </c>
      <c r="C28" s="14" t="s">
        <v>572</v>
      </c>
      <c r="D28" s="16">
        <v>401160</v>
      </c>
      <c r="E28" s="14" t="s">
        <v>69</v>
      </c>
      <c r="F28" s="14">
        <v>60342.295642189652</v>
      </c>
      <c r="G28" s="14">
        <v>14288.325488505419</v>
      </c>
      <c r="H28" s="14">
        <v>36189.802998248932</v>
      </c>
      <c r="I28" s="14">
        <v>38036.26974761844</v>
      </c>
      <c r="J28" s="14">
        <v>148856.69387656244</v>
      </c>
      <c r="K28" s="14">
        <v>57325.180860080167</v>
      </c>
      <c r="L28" s="14">
        <v>13573.909214080148</v>
      </c>
      <c r="M28" s="14">
        <v>34380.312848336485</v>
      </c>
      <c r="N28" s="14">
        <v>36134.456260237515</v>
      </c>
      <c r="O28" s="14">
        <v>141413.8591827343</v>
      </c>
      <c r="P28" s="15">
        <v>0.95</v>
      </c>
      <c r="Q28" s="14">
        <v>10783</v>
      </c>
      <c r="R28" s="11" t="str">
        <f t="shared" si="0"/>
        <v xml:space="preserve">  </v>
      </c>
      <c r="T28" s="12"/>
    </row>
    <row r="29" spans="1:20" x14ac:dyDescent="0.3">
      <c r="A29" s="17">
        <v>1</v>
      </c>
      <c r="B29" s="17">
        <v>4</v>
      </c>
      <c r="C29" s="14" t="s">
        <v>572</v>
      </c>
      <c r="D29" s="16">
        <v>401180</v>
      </c>
      <c r="E29" s="14" t="s">
        <v>71</v>
      </c>
      <c r="F29" s="14">
        <v>161200.13264413521</v>
      </c>
      <c r="G29" s="14">
        <v>38170.240947864462</v>
      </c>
      <c r="H29" s="14">
        <v>100008.69631231242</v>
      </c>
      <c r="I29" s="14">
        <v>102052.35386150576</v>
      </c>
      <c r="J29" s="14">
        <v>401431.42376581783</v>
      </c>
      <c r="K29" s="14">
        <v>153140.12601192846</v>
      </c>
      <c r="L29" s="14">
        <v>36261.728900471237</v>
      </c>
      <c r="M29" s="14">
        <v>95008.261496696796</v>
      </c>
      <c r="N29" s="14">
        <v>96949.736168430463</v>
      </c>
      <c r="O29" s="14">
        <v>381359.852577527</v>
      </c>
      <c r="P29" s="15">
        <v>0.95000000000000018</v>
      </c>
      <c r="Q29" s="14">
        <v>6862</v>
      </c>
      <c r="R29" s="11" t="str">
        <f t="shared" si="0"/>
        <v xml:space="preserve">  </v>
      </c>
      <c r="T29" s="12"/>
    </row>
    <row r="30" spans="1:20" x14ac:dyDescent="0.3">
      <c r="A30" s="17">
        <v>1</v>
      </c>
      <c r="B30" s="17">
        <v>4</v>
      </c>
      <c r="C30" s="14" t="s">
        <v>572</v>
      </c>
      <c r="D30" s="16">
        <v>401230</v>
      </c>
      <c r="E30" s="14" t="s">
        <v>538</v>
      </c>
      <c r="F30" s="14">
        <v>0</v>
      </c>
      <c r="G30" s="14">
        <v>0</v>
      </c>
      <c r="H30" s="14">
        <v>0</v>
      </c>
      <c r="I30" s="14">
        <v>0</v>
      </c>
      <c r="J30" s="14">
        <v>0</v>
      </c>
      <c r="K30" s="14">
        <v>0</v>
      </c>
      <c r="L30" s="14">
        <v>0</v>
      </c>
      <c r="M30" s="14">
        <v>0</v>
      </c>
      <c r="N30" s="14">
        <v>0</v>
      </c>
      <c r="O30" s="14">
        <v>0</v>
      </c>
      <c r="P30" s="15">
        <v>0</v>
      </c>
      <c r="Q30" s="14">
        <v>42</v>
      </c>
      <c r="R30" s="11" t="str">
        <f t="shared" si="0"/>
        <v xml:space="preserve">  </v>
      </c>
      <c r="T30" s="12"/>
    </row>
    <row r="31" spans="1:20" x14ac:dyDescent="0.3">
      <c r="A31" s="17">
        <v>1</v>
      </c>
      <c r="B31" s="17">
        <v>4</v>
      </c>
      <c r="C31" s="14" t="s">
        <v>572</v>
      </c>
      <c r="D31" s="16">
        <v>406580</v>
      </c>
      <c r="E31" s="14" t="s">
        <v>72</v>
      </c>
      <c r="F31" s="14">
        <v>429848.91476099688</v>
      </c>
      <c r="G31" s="14">
        <v>101856.69334395073</v>
      </c>
      <c r="H31" s="14">
        <v>220066.09421123686</v>
      </c>
      <c r="I31" s="14">
        <v>176277.3455484726</v>
      </c>
      <c r="J31" s="14">
        <v>928049.04786465713</v>
      </c>
      <c r="K31" s="14">
        <v>386864.02328489721</v>
      </c>
      <c r="L31" s="14">
        <v>91671.024009555651</v>
      </c>
      <c r="M31" s="14">
        <v>198059.48479011317</v>
      </c>
      <c r="N31" s="14">
        <v>158649.61099362533</v>
      </c>
      <c r="O31" s="14">
        <v>835244.14307819144</v>
      </c>
      <c r="P31" s="15">
        <v>0.9</v>
      </c>
      <c r="Q31" s="14">
        <v>14312</v>
      </c>
      <c r="R31" s="11" t="str">
        <f t="shared" si="0"/>
        <v xml:space="preserve">  </v>
      </c>
      <c r="T31" s="12"/>
    </row>
    <row r="32" spans="1:20" x14ac:dyDescent="0.3">
      <c r="A32" s="17">
        <v>1</v>
      </c>
      <c r="B32" s="17">
        <v>4</v>
      </c>
      <c r="C32" s="14" t="s">
        <v>572</v>
      </c>
      <c r="D32" s="16">
        <v>401260</v>
      </c>
      <c r="E32" s="14" t="s">
        <v>537</v>
      </c>
      <c r="F32" s="14">
        <v>7379.3805109184013</v>
      </c>
      <c r="G32" s="14">
        <v>1748.61276126954</v>
      </c>
      <c r="H32" s="14">
        <v>3131.1347682543196</v>
      </c>
      <c r="I32" s="14">
        <v>2272.211299675856</v>
      </c>
      <c r="J32" s="14">
        <v>14531.339340118117</v>
      </c>
      <c r="K32" s="14">
        <v>0</v>
      </c>
      <c r="L32" s="14">
        <v>1486.3208470791089</v>
      </c>
      <c r="M32" s="14">
        <v>0</v>
      </c>
      <c r="N32" s="14">
        <v>0</v>
      </c>
      <c r="O32" s="14">
        <v>1486.3208470791089</v>
      </c>
      <c r="P32" s="15">
        <v>0.10228381653545691</v>
      </c>
      <c r="Q32" s="14">
        <v>1221</v>
      </c>
      <c r="R32" s="11" t="str">
        <f t="shared" si="0"/>
        <v xml:space="preserve">  </v>
      </c>
      <c r="T32" s="12"/>
    </row>
    <row r="33" spans="1:20" x14ac:dyDescent="0.3">
      <c r="A33" s="17">
        <v>1</v>
      </c>
      <c r="B33" s="17">
        <v>4</v>
      </c>
      <c r="C33" s="14" t="s">
        <v>572</v>
      </c>
      <c r="D33" s="16">
        <v>401290</v>
      </c>
      <c r="E33" s="14" t="s">
        <v>75</v>
      </c>
      <c r="F33" s="14">
        <v>6590.9495425864034</v>
      </c>
      <c r="G33" s="14">
        <v>1607.5046882868676</v>
      </c>
      <c r="H33" s="14">
        <v>4511.3609828576</v>
      </c>
      <c r="I33" s="14">
        <v>5158.7404488266529</v>
      </c>
      <c r="J33" s="14">
        <v>17868.555662557526</v>
      </c>
      <c r="K33" s="14">
        <v>0</v>
      </c>
      <c r="L33" s="14">
        <v>1446.7542194581808</v>
      </c>
      <c r="M33" s="14">
        <v>0</v>
      </c>
      <c r="N33" s="14">
        <v>0</v>
      </c>
      <c r="O33" s="14">
        <v>1446.7542194581808</v>
      </c>
      <c r="P33" s="15">
        <v>8.0966489221608803E-2</v>
      </c>
      <c r="Q33" s="14">
        <v>1166</v>
      </c>
      <c r="R33" s="11" t="str">
        <f t="shared" si="0"/>
        <v xml:space="preserve">  </v>
      </c>
      <c r="T33" s="12"/>
    </row>
    <row r="34" spans="1:20" x14ac:dyDescent="0.3">
      <c r="A34" s="17">
        <v>1</v>
      </c>
      <c r="B34" s="17">
        <v>4</v>
      </c>
      <c r="C34" s="14" t="s">
        <v>572</v>
      </c>
      <c r="D34" s="16">
        <v>401330</v>
      </c>
      <c r="E34" s="14" t="s">
        <v>76</v>
      </c>
      <c r="F34" s="14">
        <v>14300.7331124637</v>
      </c>
      <c r="G34" s="14">
        <v>3638.8366803866948</v>
      </c>
      <c r="H34" s="14">
        <v>6826.189516350647</v>
      </c>
      <c r="I34" s="14">
        <v>6555.1799768853607</v>
      </c>
      <c r="J34" s="14">
        <v>31320.939286086403</v>
      </c>
      <c r="K34" s="14">
        <v>12870.659801217331</v>
      </c>
      <c r="L34" s="14">
        <v>3274.9530123480254</v>
      </c>
      <c r="M34" s="14">
        <v>6143.5705647155828</v>
      </c>
      <c r="N34" s="14">
        <v>5899.6619791968251</v>
      </c>
      <c r="O34" s="14">
        <v>28188.845357477767</v>
      </c>
      <c r="P34" s="15">
        <v>0.90000000000000013</v>
      </c>
      <c r="Q34" s="14">
        <v>590</v>
      </c>
      <c r="R34" s="11" t="str">
        <f t="shared" si="0"/>
        <v xml:space="preserve">  </v>
      </c>
      <c r="T34" s="12"/>
    </row>
    <row r="35" spans="1:20" x14ac:dyDescent="0.3">
      <c r="A35" s="17">
        <v>1</v>
      </c>
      <c r="B35" s="17">
        <v>4</v>
      </c>
      <c r="C35" s="14" t="s">
        <v>572</v>
      </c>
      <c r="D35" s="16">
        <v>401380</v>
      </c>
      <c r="E35" s="14" t="s">
        <v>79</v>
      </c>
      <c r="F35" s="14">
        <v>686743.59879734355</v>
      </c>
      <c r="G35" s="14">
        <v>162730.27509564662</v>
      </c>
      <c r="H35" s="14">
        <v>260238.31195478013</v>
      </c>
      <c r="I35" s="14">
        <v>183529.29117786733</v>
      </c>
      <c r="J35" s="14">
        <v>1293241.4770256379</v>
      </c>
      <c r="K35" s="14">
        <v>705248.30265688093</v>
      </c>
      <c r="L35" s="14">
        <v>167250.26299042991</v>
      </c>
      <c r="M35" s="14">
        <v>291589.2684839252</v>
      </c>
      <c r="N35" s="14">
        <v>225201.1818557934</v>
      </c>
      <c r="O35" s="14">
        <v>1389289.0159870293</v>
      </c>
      <c r="P35" s="15">
        <v>1.074268835842084</v>
      </c>
      <c r="Q35" s="14">
        <v>40324</v>
      </c>
      <c r="R35" s="11" t="str">
        <f t="shared" si="0"/>
        <v>*</v>
      </c>
      <c r="T35" s="12"/>
    </row>
    <row r="36" spans="1:20" x14ac:dyDescent="0.3">
      <c r="A36" s="17">
        <v>1</v>
      </c>
      <c r="B36" s="17">
        <v>4</v>
      </c>
      <c r="C36" s="14" t="s">
        <v>572</v>
      </c>
      <c r="D36" s="16">
        <v>401410</v>
      </c>
      <c r="E36" s="14" t="s">
        <v>80</v>
      </c>
      <c r="F36" s="14">
        <v>359744.79990727204</v>
      </c>
      <c r="G36" s="14">
        <v>85244.872111890116</v>
      </c>
      <c r="H36" s="14">
        <v>108755.79151672302</v>
      </c>
      <c r="I36" s="14">
        <v>75919.560148035205</v>
      </c>
      <c r="J36" s="14">
        <v>629665.02368392039</v>
      </c>
      <c r="K36" s="14">
        <v>375031.70609513071</v>
      </c>
      <c r="L36" s="14">
        <v>88939.103061800532</v>
      </c>
      <c r="M36" s="14">
        <v>124951.08614032541</v>
      </c>
      <c r="N36" s="14">
        <v>93714.861883742953</v>
      </c>
      <c r="O36" s="14">
        <v>682636.75718099962</v>
      </c>
      <c r="P36" s="15">
        <v>1.0841268476167893</v>
      </c>
      <c r="Q36" s="14">
        <v>70486</v>
      </c>
      <c r="R36" s="11" t="str">
        <f t="shared" si="0"/>
        <v>*</v>
      </c>
      <c r="T36" s="12"/>
    </row>
    <row r="37" spans="1:20" x14ac:dyDescent="0.3">
      <c r="A37" s="17">
        <v>1</v>
      </c>
      <c r="B37" s="17">
        <v>4</v>
      </c>
      <c r="C37" s="14" t="s">
        <v>572</v>
      </c>
      <c r="D37" s="16">
        <v>401500</v>
      </c>
      <c r="E37" s="14" t="s">
        <v>81</v>
      </c>
      <c r="F37" s="14">
        <v>797176.00490152091</v>
      </c>
      <c r="G37" s="14">
        <v>187483.24230274613</v>
      </c>
      <c r="H37" s="14">
        <v>532769.88134451059</v>
      </c>
      <c r="I37" s="14">
        <v>578939.38886507566</v>
      </c>
      <c r="J37" s="14">
        <v>2096368.5174138532</v>
      </c>
      <c r="K37" s="14">
        <v>757317.20465644484</v>
      </c>
      <c r="L37" s="14">
        <v>178109.08018760881</v>
      </c>
      <c r="M37" s="14">
        <v>506131.38727728504</v>
      </c>
      <c r="N37" s="14">
        <v>549992.41942182183</v>
      </c>
      <c r="O37" s="14">
        <v>1991550.0915431606</v>
      </c>
      <c r="P37" s="15">
        <v>0.95000000000000007</v>
      </c>
      <c r="Q37" s="14">
        <v>40781</v>
      </c>
      <c r="R37" s="11" t="str">
        <f t="shared" si="0"/>
        <v>*</v>
      </c>
      <c r="T37" s="12"/>
    </row>
    <row r="38" spans="1:20" x14ac:dyDescent="0.3">
      <c r="A38" s="17">
        <v>1</v>
      </c>
      <c r="B38" s="17">
        <v>4</v>
      </c>
      <c r="C38" s="14" t="s">
        <v>572</v>
      </c>
      <c r="D38" s="16">
        <v>401600</v>
      </c>
      <c r="E38" s="14" t="s">
        <v>86</v>
      </c>
      <c r="F38" s="14">
        <v>362484.7902505821</v>
      </c>
      <c r="G38" s="14">
        <v>85832.01239880755</v>
      </c>
      <c r="H38" s="14">
        <v>224853.98268011483</v>
      </c>
      <c r="I38" s="14">
        <v>229435.04364600944</v>
      </c>
      <c r="J38" s="14">
        <v>902605.82897551393</v>
      </c>
      <c r="K38" s="14">
        <v>326236.31122552388</v>
      </c>
      <c r="L38" s="14">
        <v>77248.811158926794</v>
      </c>
      <c r="M38" s="14">
        <v>202368.58441210334</v>
      </c>
      <c r="N38" s="14">
        <v>206491.53928140851</v>
      </c>
      <c r="O38" s="14">
        <v>812345.24607796257</v>
      </c>
      <c r="P38" s="15">
        <v>0.9</v>
      </c>
      <c r="Q38" s="14">
        <v>11877</v>
      </c>
      <c r="R38" s="11" t="str">
        <f t="shared" si="0"/>
        <v xml:space="preserve">  </v>
      </c>
      <c r="T38" s="12"/>
    </row>
    <row r="39" spans="1:20" x14ac:dyDescent="0.3">
      <c r="A39" s="17">
        <v>1</v>
      </c>
      <c r="B39" s="17">
        <v>4</v>
      </c>
      <c r="C39" s="14" t="s">
        <v>572</v>
      </c>
      <c r="D39" s="16">
        <v>401650</v>
      </c>
      <c r="E39" s="14" t="s">
        <v>87</v>
      </c>
      <c r="F39" s="14">
        <v>70238.446157174127</v>
      </c>
      <c r="G39" s="14">
        <v>16221.331186309782</v>
      </c>
      <c r="H39" s="14">
        <v>47478.977918249257</v>
      </c>
      <c r="I39" s="14">
        <v>39787.002112411901</v>
      </c>
      <c r="J39" s="14">
        <v>173725.75737414506</v>
      </c>
      <c r="K39" s="14">
        <v>63214.601541456715</v>
      </c>
      <c r="L39" s="14">
        <v>14599.198067678804</v>
      </c>
      <c r="M39" s="14">
        <v>42731.080126424335</v>
      </c>
      <c r="N39" s="14">
        <v>35808.301901170715</v>
      </c>
      <c r="O39" s="14">
        <v>156353.18163673056</v>
      </c>
      <c r="P39" s="15">
        <v>0.9</v>
      </c>
      <c r="Q39" s="14">
        <v>3026</v>
      </c>
      <c r="R39" s="11" t="str">
        <f t="shared" si="0"/>
        <v xml:space="preserve">  </v>
      </c>
      <c r="T39" s="12"/>
    </row>
    <row r="40" spans="1:20" x14ac:dyDescent="0.3">
      <c r="A40" s="17">
        <v>1</v>
      </c>
      <c r="B40" s="17">
        <v>4</v>
      </c>
      <c r="C40" s="14" t="s">
        <v>572</v>
      </c>
      <c r="D40" s="16">
        <v>401680</v>
      </c>
      <c r="E40" s="14" t="s">
        <v>91</v>
      </c>
      <c r="F40" s="14">
        <v>4643475.1864954038</v>
      </c>
      <c r="G40" s="14">
        <v>1100314.5800288585</v>
      </c>
      <c r="H40" s="14">
        <v>2945822.5414607166</v>
      </c>
      <c r="I40" s="14">
        <v>2610329.9352015932</v>
      </c>
      <c r="J40" s="14">
        <v>11299942.243186573</v>
      </c>
      <c r="K40" s="14">
        <v>4748042.9205628848</v>
      </c>
      <c r="L40" s="14">
        <v>1126002.6066880785</v>
      </c>
      <c r="M40" s="14">
        <v>3277870.1585504725</v>
      </c>
      <c r="N40" s="14">
        <v>3237425.590207452</v>
      </c>
      <c r="O40" s="14">
        <v>12389341.276008887</v>
      </c>
      <c r="P40" s="15">
        <v>1.0964074868151807</v>
      </c>
      <c r="Q40" s="14">
        <v>119967</v>
      </c>
      <c r="R40" s="11" t="str">
        <f t="shared" si="0"/>
        <v>*</v>
      </c>
      <c r="T40" s="12"/>
    </row>
    <row r="41" spans="1:20" x14ac:dyDescent="0.3">
      <c r="A41" s="17">
        <v>1</v>
      </c>
      <c r="B41" s="17">
        <v>4</v>
      </c>
      <c r="C41" s="14" t="s">
        <v>572</v>
      </c>
      <c r="D41" s="16">
        <v>401710</v>
      </c>
      <c r="E41" s="14" t="s">
        <v>93</v>
      </c>
      <c r="F41" s="14">
        <v>1105523.4427919628</v>
      </c>
      <c r="G41" s="14">
        <v>261964.04929769304</v>
      </c>
      <c r="H41" s="14">
        <v>434012.0541800877</v>
      </c>
      <c r="I41" s="14">
        <v>332456.23359894444</v>
      </c>
      <c r="J41" s="14">
        <v>2133955.779868688</v>
      </c>
      <c r="K41" s="14">
        <v>1221329.6692833884</v>
      </c>
      <c r="L41" s="14">
        <v>289639.41865031642</v>
      </c>
      <c r="M41" s="14">
        <v>547707.86946213129</v>
      </c>
      <c r="N41" s="14">
        <v>437999.72972797829</v>
      </c>
      <c r="O41" s="14">
        <v>2496676.6871238141</v>
      </c>
      <c r="P41" s="15">
        <v>1.1699758311193524</v>
      </c>
      <c r="Q41" s="14">
        <v>64997</v>
      </c>
      <c r="R41" s="11" t="str">
        <f t="shared" si="0"/>
        <v>*</v>
      </c>
      <c r="T41" s="12"/>
    </row>
    <row r="42" spans="1:20" x14ac:dyDescent="0.3">
      <c r="A42" s="17">
        <v>1</v>
      </c>
      <c r="B42" s="17">
        <v>4</v>
      </c>
      <c r="C42" s="14" t="s">
        <v>572</v>
      </c>
      <c r="D42" s="16">
        <v>401740</v>
      </c>
      <c r="E42" s="14" t="s">
        <v>94</v>
      </c>
      <c r="F42" s="14">
        <v>612949.79368815967</v>
      </c>
      <c r="G42" s="14">
        <v>145244.1474829512</v>
      </c>
      <c r="H42" s="14">
        <v>246315.23468099179</v>
      </c>
      <c r="I42" s="14">
        <v>211894.51155063065</v>
      </c>
      <c r="J42" s="14">
        <v>1216403.6874027334</v>
      </c>
      <c r="K42" s="14">
        <v>597692.03977676807</v>
      </c>
      <c r="L42" s="14">
        <v>141743.19947081912</v>
      </c>
      <c r="M42" s="14">
        <v>230734.04327174596</v>
      </c>
      <c r="N42" s="14">
        <v>190705.06039556759</v>
      </c>
      <c r="O42" s="14">
        <v>1160874.3429149007</v>
      </c>
      <c r="P42" s="15">
        <v>0.95434957566891387</v>
      </c>
      <c r="Q42" s="14">
        <v>92775</v>
      </c>
      <c r="R42" s="11" t="str">
        <f t="shared" si="0"/>
        <v>*</v>
      </c>
      <c r="T42" s="12"/>
    </row>
    <row r="43" spans="1:20" x14ac:dyDescent="0.3">
      <c r="A43" s="17">
        <v>1</v>
      </c>
      <c r="B43" s="17">
        <v>4</v>
      </c>
      <c r="C43" s="14" t="s">
        <v>572</v>
      </c>
      <c r="D43" s="16">
        <v>401760</v>
      </c>
      <c r="E43" s="14" t="s">
        <v>95</v>
      </c>
      <c r="F43" s="14">
        <v>195553.58353933756</v>
      </c>
      <c r="G43" s="14">
        <v>0</v>
      </c>
      <c r="H43" s="14">
        <v>53671.785819997218</v>
      </c>
      <c r="I43" s="14">
        <v>39192.608917433048</v>
      </c>
      <c r="J43" s="14">
        <v>288417.97827676783</v>
      </c>
      <c r="K43" s="14">
        <v>185393.03206966838</v>
      </c>
      <c r="L43" s="14">
        <v>0</v>
      </c>
      <c r="M43" s="14">
        <v>55755.618438618607</v>
      </c>
      <c r="N43" s="14">
        <v>43219.772274161631</v>
      </c>
      <c r="O43" s="14">
        <v>284368.42278244859</v>
      </c>
      <c r="P43" s="15">
        <v>0.98595942070423481</v>
      </c>
      <c r="Q43" s="14">
        <v>31960</v>
      </c>
      <c r="R43" s="11" t="str">
        <f t="shared" si="0"/>
        <v>*</v>
      </c>
      <c r="T43" s="12"/>
    </row>
    <row r="44" spans="1:20" x14ac:dyDescent="0.3">
      <c r="A44" s="17">
        <v>1</v>
      </c>
      <c r="B44" s="17">
        <v>4</v>
      </c>
      <c r="C44" s="14" t="s">
        <v>572</v>
      </c>
      <c r="D44" s="16">
        <v>400001</v>
      </c>
      <c r="E44" s="14" t="s">
        <v>96</v>
      </c>
      <c r="F44" s="14">
        <v>307166.71376697847</v>
      </c>
      <c r="G44" s="14">
        <v>0</v>
      </c>
      <c r="H44" s="14">
        <v>84305.210745561635</v>
      </c>
      <c r="I44" s="14">
        <v>58463.729966973071</v>
      </c>
      <c r="J44" s="14">
        <v>449935.65447951318</v>
      </c>
      <c r="K44" s="14">
        <v>285873.22502345825</v>
      </c>
      <c r="L44" s="14">
        <v>0</v>
      </c>
      <c r="M44" s="14">
        <v>85974.312401534</v>
      </c>
      <c r="N44" s="14">
        <v>66644.229002905719</v>
      </c>
      <c r="O44" s="14">
        <v>438491.76642789796</v>
      </c>
      <c r="P44" s="15">
        <v>0.97456550078287629</v>
      </c>
      <c r="Q44" s="14">
        <v>60211</v>
      </c>
      <c r="R44" s="11" t="str">
        <f t="shared" si="0"/>
        <v>*</v>
      </c>
      <c r="T44" s="12"/>
    </row>
    <row r="45" spans="1:20" x14ac:dyDescent="0.3">
      <c r="A45" s="17">
        <v>1</v>
      </c>
      <c r="B45" s="17">
        <v>4</v>
      </c>
      <c r="C45" s="14" t="s">
        <v>572</v>
      </c>
      <c r="D45" s="16">
        <v>401810</v>
      </c>
      <c r="E45" s="14" t="s">
        <v>97</v>
      </c>
      <c r="F45" s="14">
        <v>360526.4407747566</v>
      </c>
      <c r="G45" s="14">
        <v>92059.555586732036</v>
      </c>
      <c r="H45" s="14">
        <v>223885.12126371881</v>
      </c>
      <c r="I45" s="14">
        <v>249897.66586799835</v>
      </c>
      <c r="J45" s="14">
        <v>926368.78349320579</v>
      </c>
      <c r="K45" s="14">
        <v>342500.11873601878</v>
      </c>
      <c r="L45" s="14">
        <v>87456.577807395428</v>
      </c>
      <c r="M45" s="14">
        <v>212690.86520053286</v>
      </c>
      <c r="N45" s="14">
        <v>237402.78257459842</v>
      </c>
      <c r="O45" s="14">
        <v>880050.34431854554</v>
      </c>
      <c r="P45" s="15">
        <v>0.95000000000000007</v>
      </c>
      <c r="Q45" s="14">
        <v>7350</v>
      </c>
      <c r="R45" s="11" t="str">
        <f t="shared" si="0"/>
        <v xml:space="preserve">  </v>
      </c>
      <c r="T45" s="12"/>
    </row>
    <row r="46" spans="1:20" x14ac:dyDescent="0.3">
      <c r="A46" s="17">
        <v>1</v>
      </c>
      <c r="B46" s="17">
        <v>4</v>
      </c>
      <c r="C46" s="14" t="s">
        <v>572</v>
      </c>
      <c r="D46" s="16">
        <v>401870</v>
      </c>
      <c r="E46" s="14" t="s">
        <v>591</v>
      </c>
      <c r="F46" s="14">
        <v>2651964.8711113012</v>
      </c>
      <c r="G46" s="14">
        <v>0</v>
      </c>
      <c r="H46" s="14">
        <v>1268818.7386008063</v>
      </c>
      <c r="I46" s="14">
        <v>976295.53934142389</v>
      </c>
      <c r="J46" s="14">
        <v>4897079.1490535317</v>
      </c>
      <c r="K46" s="14">
        <v>2645506.676454707</v>
      </c>
      <c r="L46" s="14">
        <v>0</v>
      </c>
      <c r="M46" s="14">
        <v>1381760.4218395061</v>
      </c>
      <c r="N46" s="14">
        <v>1163084.7622685325</v>
      </c>
      <c r="O46" s="14">
        <v>5190351.8605627455</v>
      </c>
      <c r="P46" s="15">
        <v>1.0598872721029831</v>
      </c>
      <c r="Q46" s="14">
        <v>236396</v>
      </c>
      <c r="R46" s="11" t="str">
        <f t="shared" si="0"/>
        <v>*</v>
      </c>
      <c r="T46" s="12"/>
    </row>
    <row r="47" spans="1:20" x14ac:dyDescent="0.3">
      <c r="A47" s="17">
        <v>1</v>
      </c>
      <c r="B47" s="17">
        <v>4</v>
      </c>
      <c r="C47" s="14" t="s">
        <v>572</v>
      </c>
      <c r="D47" s="16">
        <v>401920</v>
      </c>
      <c r="E47" s="14" t="s">
        <v>533</v>
      </c>
      <c r="F47" s="14">
        <v>5641.1312432996147</v>
      </c>
      <c r="G47" s="14">
        <v>1311.4595709521554</v>
      </c>
      <c r="H47" s="14">
        <v>3619.2861138888084</v>
      </c>
      <c r="I47" s="14">
        <v>3052.0592268211294</v>
      </c>
      <c r="J47" s="14">
        <v>13623.936154961708</v>
      </c>
      <c r="K47" s="14">
        <v>5359.0746811346335</v>
      </c>
      <c r="L47" s="14">
        <v>1245.8865924045476</v>
      </c>
      <c r="M47" s="14">
        <v>3438.3218081943678</v>
      </c>
      <c r="N47" s="14">
        <v>2899.4562654800729</v>
      </c>
      <c r="O47" s="14">
        <v>12942.739347213621</v>
      </c>
      <c r="P47" s="15">
        <v>0.94999999999999984</v>
      </c>
      <c r="Q47" s="14">
        <v>666</v>
      </c>
      <c r="R47" s="11" t="str">
        <f t="shared" si="0"/>
        <v xml:space="preserve">  </v>
      </c>
      <c r="T47" s="12"/>
    </row>
    <row r="48" spans="1:20" x14ac:dyDescent="0.3">
      <c r="A48" s="17">
        <v>1</v>
      </c>
      <c r="B48" s="17">
        <v>4</v>
      </c>
      <c r="C48" s="14" t="s">
        <v>572</v>
      </c>
      <c r="D48" s="16">
        <v>401940</v>
      </c>
      <c r="E48" s="14" t="s">
        <v>102</v>
      </c>
      <c r="F48" s="14">
        <v>1324371.2527847923</v>
      </c>
      <c r="G48" s="14">
        <v>341666.29853769718</v>
      </c>
      <c r="H48" s="14">
        <v>969285.7045567868</v>
      </c>
      <c r="I48" s="14">
        <v>1145078.1811552381</v>
      </c>
      <c r="J48" s="14">
        <v>3780401.4370345147</v>
      </c>
      <c r="K48" s="14">
        <v>1258152.6901455526</v>
      </c>
      <c r="L48" s="14">
        <v>324582.98361081228</v>
      </c>
      <c r="M48" s="14">
        <v>920821.41932894744</v>
      </c>
      <c r="N48" s="14">
        <v>1087824.2720974761</v>
      </c>
      <c r="O48" s="14">
        <v>3591381.3651827881</v>
      </c>
      <c r="P48" s="15">
        <v>0.94999999999999973</v>
      </c>
      <c r="Q48" s="14">
        <v>20292</v>
      </c>
      <c r="R48" s="11" t="str">
        <f t="shared" si="0"/>
        <v>*</v>
      </c>
      <c r="T48" s="12"/>
    </row>
    <row r="49" spans="1:20" x14ac:dyDescent="0.3">
      <c r="A49" s="17">
        <v>1</v>
      </c>
      <c r="B49" s="17">
        <v>4</v>
      </c>
      <c r="C49" s="14" t="s">
        <v>572</v>
      </c>
      <c r="D49" s="16">
        <v>400003</v>
      </c>
      <c r="E49" s="14" t="s">
        <v>104</v>
      </c>
      <c r="F49" s="14">
        <v>450603.42244795483</v>
      </c>
      <c r="G49" s="14">
        <v>106774.66673502131</v>
      </c>
      <c r="H49" s="14">
        <v>182083.86254730998</v>
      </c>
      <c r="I49" s="14">
        <v>129592.70530581834</v>
      </c>
      <c r="J49" s="14">
        <v>869054.65703610447</v>
      </c>
      <c r="K49" s="14">
        <v>452868.4752846862</v>
      </c>
      <c r="L49" s="14">
        <v>107398.16218783455</v>
      </c>
      <c r="M49" s="14">
        <v>198445.33330442008</v>
      </c>
      <c r="N49" s="14">
        <v>157193.92990491164</v>
      </c>
      <c r="O49" s="14">
        <v>915905.90068185248</v>
      </c>
      <c r="P49" s="15">
        <v>1.0539105834902645</v>
      </c>
      <c r="Q49" s="14">
        <v>22395</v>
      </c>
      <c r="R49" s="11" t="str">
        <f t="shared" si="0"/>
        <v>*</v>
      </c>
      <c r="T49" s="12"/>
    </row>
    <row r="50" spans="1:20" x14ac:dyDescent="0.3">
      <c r="A50" s="17">
        <v>1</v>
      </c>
      <c r="B50" s="17">
        <v>4</v>
      </c>
      <c r="C50" s="14" t="s">
        <v>572</v>
      </c>
      <c r="D50" s="16">
        <v>400004</v>
      </c>
      <c r="E50" s="14" t="s">
        <v>106</v>
      </c>
      <c r="F50" s="14">
        <v>38280.536400389203</v>
      </c>
      <c r="G50" s="14">
        <v>9070.9286990857363</v>
      </c>
      <c r="H50" s="14">
        <v>13992.952929746223</v>
      </c>
      <c r="I50" s="14">
        <v>9526.6340739358475</v>
      </c>
      <c r="J50" s="14">
        <v>70871.05210315701</v>
      </c>
      <c r="K50" s="14">
        <v>34452.482760350285</v>
      </c>
      <c r="L50" s="14">
        <v>8163.8358291771629</v>
      </c>
      <c r="M50" s="14">
        <v>12593.657636771601</v>
      </c>
      <c r="N50" s="14">
        <v>8573.9706665422636</v>
      </c>
      <c r="O50" s="14">
        <v>63783.946892841319</v>
      </c>
      <c r="P50" s="15">
        <v>0.90000000000000013</v>
      </c>
      <c r="Q50" s="14">
        <v>3928</v>
      </c>
      <c r="R50" s="11" t="str">
        <f t="shared" si="0"/>
        <v xml:space="preserve">  </v>
      </c>
      <c r="T50" s="12"/>
    </row>
    <row r="51" spans="1:20" x14ac:dyDescent="0.3">
      <c r="A51" s="17">
        <v>1</v>
      </c>
      <c r="B51" s="17">
        <v>4</v>
      </c>
      <c r="C51" s="14" t="s">
        <v>572</v>
      </c>
      <c r="D51" s="16">
        <v>402110</v>
      </c>
      <c r="E51" s="14" t="s">
        <v>532</v>
      </c>
      <c r="F51" s="14">
        <v>27707.373717949067</v>
      </c>
      <c r="G51" s="14">
        <v>6398.9240931663226</v>
      </c>
      <c r="H51" s="14">
        <v>8130.7584330132804</v>
      </c>
      <c r="I51" s="14">
        <v>5067.0636675016249</v>
      </c>
      <c r="J51" s="14">
        <v>47304.119911630303</v>
      </c>
      <c r="K51" s="14">
        <v>23551.267660256708</v>
      </c>
      <c r="L51" s="14">
        <v>5439.0854791913744</v>
      </c>
      <c r="M51" s="14">
        <v>6911.144668061288</v>
      </c>
      <c r="N51" s="14">
        <v>4307.0041173763811</v>
      </c>
      <c r="O51" s="14">
        <v>40208.50192488575</v>
      </c>
      <c r="P51" s="15">
        <v>0.84999999999999987</v>
      </c>
      <c r="Q51" s="14">
        <v>3137</v>
      </c>
      <c r="R51" s="11" t="str">
        <f t="shared" si="0"/>
        <v xml:space="preserve">  </v>
      </c>
      <c r="T51" s="12"/>
    </row>
    <row r="52" spans="1:20" x14ac:dyDescent="0.3">
      <c r="A52" s="17">
        <v>1</v>
      </c>
      <c r="B52" s="17">
        <v>4</v>
      </c>
      <c r="C52" s="14" t="s">
        <v>572</v>
      </c>
      <c r="D52" s="16">
        <v>402130</v>
      </c>
      <c r="E52" s="14" t="s">
        <v>530</v>
      </c>
      <c r="F52" s="14">
        <v>6896.2623591073889</v>
      </c>
      <c r="G52" s="14">
        <v>1632.9514844006194</v>
      </c>
      <c r="H52" s="14">
        <v>4453.6754422979266</v>
      </c>
      <c r="I52" s="14">
        <v>4620.4477713151582</v>
      </c>
      <c r="J52" s="14">
        <v>17603.337057121094</v>
      </c>
      <c r="K52" s="14">
        <v>0</v>
      </c>
      <c r="L52" s="14">
        <v>1469.6563359605575</v>
      </c>
      <c r="M52" s="14">
        <v>0</v>
      </c>
      <c r="N52" s="14">
        <v>0</v>
      </c>
      <c r="O52" s="14">
        <v>1469.6563359605575</v>
      </c>
      <c r="P52" s="15">
        <v>8.3487371240558966E-2</v>
      </c>
      <c r="Q52" s="14">
        <v>254</v>
      </c>
      <c r="R52" s="11" t="str">
        <f t="shared" si="0"/>
        <v xml:space="preserve">  </v>
      </c>
      <c r="T52" s="12"/>
    </row>
    <row r="53" spans="1:20" x14ac:dyDescent="0.3">
      <c r="A53" s="17">
        <v>1</v>
      </c>
      <c r="B53" s="17">
        <v>4</v>
      </c>
      <c r="C53" s="14" t="s">
        <v>572</v>
      </c>
      <c r="D53" s="16">
        <v>400021</v>
      </c>
      <c r="E53" s="14" t="s">
        <v>110</v>
      </c>
      <c r="F53" s="14">
        <v>489345.17013027635</v>
      </c>
      <c r="G53" s="14">
        <v>115954.88373168638</v>
      </c>
      <c r="H53" s="14">
        <v>283006.80756574689</v>
      </c>
      <c r="I53" s="14">
        <v>297088.81344133685</v>
      </c>
      <c r="J53" s="14">
        <v>1185395.6748690465</v>
      </c>
      <c r="K53" s="14">
        <v>522213.96056265361</v>
      </c>
      <c r="L53" s="14">
        <v>123843.50577284679</v>
      </c>
      <c r="M53" s="14">
        <v>348482.17030727433</v>
      </c>
      <c r="N53" s="14">
        <v>339237.50227605482</v>
      </c>
      <c r="O53" s="14">
        <v>1333777.1389188296</v>
      </c>
      <c r="P53" s="15">
        <v>1.1251746291938978</v>
      </c>
      <c r="Q53" s="14">
        <v>6230</v>
      </c>
      <c r="R53" s="11" t="str">
        <f t="shared" si="0"/>
        <v xml:space="preserve">  </v>
      </c>
      <c r="T53" s="12"/>
    </row>
    <row r="54" spans="1:20" x14ac:dyDescent="0.3">
      <c r="A54" s="17">
        <v>1</v>
      </c>
      <c r="B54" s="17">
        <v>4</v>
      </c>
      <c r="C54" s="14" t="s">
        <v>572</v>
      </c>
      <c r="D54" s="16">
        <v>400082</v>
      </c>
      <c r="E54" s="14" t="s">
        <v>111</v>
      </c>
      <c r="F54" s="14">
        <v>383423.113136951</v>
      </c>
      <c r="G54" s="14">
        <v>90789.953912300247</v>
      </c>
      <c r="H54" s="14">
        <v>171290.64072567975</v>
      </c>
      <c r="I54" s="14">
        <v>148683.42264374782</v>
      </c>
      <c r="J54" s="14">
        <v>794187.13041867875</v>
      </c>
      <c r="K54" s="14">
        <v>355690.44829651393</v>
      </c>
      <c r="L54" s="14">
        <v>84352.306551695088</v>
      </c>
      <c r="M54" s="14">
        <v>154161.57665311178</v>
      </c>
      <c r="N54" s="14">
        <v>133815.08037937304</v>
      </c>
      <c r="O54" s="14">
        <v>728019.41188069386</v>
      </c>
      <c r="P54" s="15">
        <v>0.91668497762850598</v>
      </c>
      <c r="Q54" s="14">
        <v>65385</v>
      </c>
      <c r="R54" s="11" t="str">
        <f t="shared" si="0"/>
        <v>*</v>
      </c>
      <c r="T54" s="12"/>
    </row>
    <row r="55" spans="1:20" x14ac:dyDescent="0.3">
      <c r="A55" s="17">
        <v>1</v>
      </c>
      <c r="B55" s="17">
        <v>4</v>
      </c>
      <c r="C55" s="14" t="s">
        <v>572</v>
      </c>
      <c r="D55" s="16">
        <v>402190</v>
      </c>
      <c r="E55" s="14" t="s">
        <v>112</v>
      </c>
      <c r="F55" s="14">
        <v>65030.790752468412</v>
      </c>
      <c r="G55" s="14">
        <v>15409.649958687825</v>
      </c>
      <c r="H55" s="14">
        <v>41882.62932796422</v>
      </c>
      <c r="I55" s="14">
        <v>37341.631439506578</v>
      </c>
      <c r="J55" s="14">
        <v>159664.70147862702</v>
      </c>
      <c r="K55" s="14">
        <v>61779.25121484499</v>
      </c>
      <c r="L55" s="14">
        <v>14639.167460753433</v>
      </c>
      <c r="M55" s="14">
        <v>39788.497861566007</v>
      </c>
      <c r="N55" s="14">
        <v>35474.549867531248</v>
      </c>
      <c r="O55" s="14">
        <v>151681.46640469568</v>
      </c>
      <c r="P55" s="15">
        <v>0.95000000000000007</v>
      </c>
      <c r="Q55" s="14">
        <v>2487</v>
      </c>
      <c r="R55" s="11" t="str">
        <f t="shared" si="0"/>
        <v xml:space="preserve">  </v>
      </c>
      <c r="T55" s="12"/>
    </row>
    <row r="56" spans="1:20" x14ac:dyDescent="0.3">
      <c r="A56" s="17">
        <v>1</v>
      </c>
      <c r="B56" s="17">
        <v>4</v>
      </c>
      <c r="C56" s="14" t="s">
        <v>572</v>
      </c>
      <c r="D56" s="16">
        <v>402220</v>
      </c>
      <c r="E56" s="14" t="s">
        <v>113</v>
      </c>
      <c r="F56" s="14">
        <v>25827.8317882144</v>
      </c>
      <c r="G56" s="14">
        <v>6120.1446644433927</v>
      </c>
      <c r="H56" s="14">
        <v>10135.980044306734</v>
      </c>
      <c r="I56" s="14">
        <v>8217.0698862909576</v>
      </c>
      <c r="J56" s="14">
        <v>50301.026383255485</v>
      </c>
      <c r="K56" s="14">
        <v>30191.231685645736</v>
      </c>
      <c r="L56" s="14">
        <v>7159.8774791889718</v>
      </c>
      <c r="M56" s="14">
        <v>14276.187086462571</v>
      </c>
      <c r="N56" s="14">
        <v>11671.378531264572</v>
      </c>
      <c r="O56" s="14">
        <v>63298.674782561844</v>
      </c>
      <c r="P56" s="15">
        <v>1.2583972800132186</v>
      </c>
      <c r="Q56" s="14">
        <v>2529</v>
      </c>
      <c r="R56" s="11" t="str">
        <f t="shared" si="0"/>
        <v xml:space="preserve">  </v>
      </c>
      <c r="T56" s="12"/>
    </row>
    <row r="57" spans="1:20" x14ac:dyDescent="0.3">
      <c r="A57" s="17">
        <v>1</v>
      </c>
      <c r="B57" s="17">
        <v>4</v>
      </c>
      <c r="C57" s="14" t="s">
        <v>572</v>
      </c>
      <c r="D57" s="16">
        <v>402250</v>
      </c>
      <c r="E57" s="14" t="s">
        <v>114</v>
      </c>
      <c r="F57" s="14">
        <v>53990.475048274951</v>
      </c>
      <c r="G57" s="14">
        <v>12784.291226557481</v>
      </c>
      <c r="H57" s="14">
        <v>17329.839184669341</v>
      </c>
      <c r="I57" s="14">
        <v>13270.498356335485</v>
      </c>
      <c r="J57" s="14">
        <v>97375.103815837268</v>
      </c>
      <c r="K57" s="14">
        <v>45891.903791033707</v>
      </c>
      <c r="L57" s="14">
        <v>10866.647542573859</v>
      </c>
      <c r="M57" s="14">
        <v>14730.36330696894</v>
      </c>
      <c r="N57" s="14">
        <v>11279.923602885163</v>
      </c>
      <c r="O57" s="14">
        <v>82768.838243461665</v>
      </c>
      <c r="P57" s="15">
        <v>0.84999999999999987</v>
      </c>
      <c r="Q57" s="14">
        <v>26660</v>
      </c>
      <c r="R57" s="11" t="str">
        <f t="shared" si="0"/>
        <v>*</v>
      </c>
      <c r="T57" s="12"/>
    </row>
    <row r="58" spans="1:20" x14ac:dyDescent="0.3">
      <c r="A58" s="17">
        <v>1</v>
      </c>
      <c r="B58" s="17">
        <v>4</v>
      </c>
      <c r="C58" s="14" t="s">
        <v>572</v>
      </c>
      <c r="D58" s="16">
        <v>402320</v>
      </c>
      <c r="E58" s="14" t="s">
        <v>115</v>
      </c>
      <c r="F58" s="14">
        <v>915965.60591774632</v>
      </c>
      <c r="G58" s="14">
        <v>217046.55899258165</v>
      </c>
      <c r="H58" s="14">
        <v>342627.1899423768</v>
      </c>
      <c r="I58" s="14">
        <v>265269.71439781471</v>
      </c>
      <c r="J58" s="14">
        <v>1740909.0692505194</v>
      </c>
      <c r="K58" s="14">
        <v>863280.53101143299</v>
      </c>
      <c r="L58" s="14">
        <v>204727.74667055972</v>
      </c>
      <c r="M58" s="14">
        <v>340421.3904413876</v>
      </c>
      <c r="N58" s="14">
        <v>263882.55361794104</v>
      </c>
      <c r="O58" s="14">
        <v>1672312.2217413213</v>
      </c>
      <c r="P58" s="15">
        <v>0.96059711060111264</v>
      </c>
      <c r="Q58" s="14">
        <v>36871</v>
      </c>
      <c r="R58" s="11" t="str">
        <f t="shared" si="0"/>
        <v>*</v>
      </c>
      <c r="T58" s="12"/>
    </row>
    <row r="59" spans="1:20" x14ac:dyDescent="0.3">
      <c r="A59" s="17">
        <v>1</v>
      </c>
      <c r="B59" s="17">
        <v>4</v>
      </c>
      <c r="C59" s="14" t="s">
        <v>572</v>
      </c>
      <c r="D59" s="16">
        <v>402370</v>
      </c>
      <c r="E59" s="14" t="s">
        <v>117</v>
      </c>
      <c r="F59" s="14">
        <v>360764.04842128488</v>
      </c>
      <c r="G59" s="14">
        <v>84370.565731255338</v>
      </c>
      <c r="H59" s="14">
        <v>173559.57043453646</v>
      </c>
      <c r="I59" s="14">
        <v>124489.17492348945</v>
      </c>
      <c r="J59" s="14">
        <v>743183.35951056611</v>
      </c>
      <c r="K59" s="14">
        <v>352860.02032598463</v>
      </c>
      <c r="L59" s="14">
        <v>83681.068038021142</v>
      </c>
      <c r="M59" s="14">
        <v>156203.61339108282</v>
      </c>
      <c r="N59" s="14">
        <v>112040.2574311405</v>
      </c>
      <c r="O59" s="14">
        <v>704784.95918622916</v>
      </c>
      <c r="P59" s="15">
        <v>0.94833253485435309</v>
      </c>
      <c r="Q59" s="14">
        <v>30522</v>
      </c>
      <c r="R59" s="11" t="str">
        <f t="shared" si="0"/>
        <v>*</v>
      </c>
      <c r="T59" s="12"/>
    </row>
    <row r="60" spans="1:20" x14ac:dyDescent="0.3">
      <c r="A60" s="17">
        <v>1</v>
      </c>
      <c r="B60" s="17">
        <v>4</v>
      </c>
      <c r="C60" s="14" t="s">
        <v>572</v>
      </c>
      <c r="D60" s="16">
        <v>402400</v>
      </c>
      <c r="E60" s="14" t="s">
        <v>121</v>
      </c>
      <c r="F60" s="14">
        <v>859697.82952199376</v>
      </c>
      <c r="G60" s="14">
        <v>203713.38668790145</v>
      </c>
      <c r="H60" s="14">
        <v>350392.73784412746</v>
      </c>
      <c r="I60" s="14">
        <v>272397.37467348127</v>
      </c>
      <c r="J60" s="14">
        <v>1686201.328727504</v>
      </c>
      <c r="K60" s="14">
        <v>913284.75849078421</v>
      </c>
      <c r="L60" s="14">
        <v>216586.29374546639</v>
      </c>
      <c r="M60" s="14">
        <v>422456.93017333001</v>
      </c>
      <c r="N60" s="14">
        <v>342006.37203797005</v>
      </c>
      <c r="O60" s="14">
        <v>1894334.3544475506</v>
      </c>
      <c r="P60" s="15">
        <v>1.1234330813136737</v>
      </c>
      <c r="Q60" s="14">
        <v>44923</v>
      </c>
      <c r="R60" s="11" t="str">
        <f t="shared" si="0"/>
        <v>*</v>
      </c>
      <c r="T60" s="12"/>
    </row>
    <row r="61" spans="1:20" x14ac:dyDescent="0.3">
      <c r="A61" s="17">
        <v>1</v>
      </c>
      <c r="B61" s="17">
        <v>4</v>
      </c>
      <c r="C61" s="14" t="s">
        <v>572</v>
      </c>
      <c r="D61" s="16">
        <v>402430</v>
      </c>
      <c r="E61" s="14" t="s">
        <v>122</v>
      </c>
      <c r="F61" s="14">
        <v>2209663.2517381296</v>
      </c>
      <c r="G61" s="14">
        <v>543436.82090652268</v>
      </c>
      <c r="H61" s="14">
        <v>1469526.6443708458</v>
      </c>
      <c r="I61" s="14">
        <v>1491442.3830725716</v>
      </c>
      <c r="J61" s="14">
        <v>5714069.1000880701</v>
      </c>
      <c r="K61" s="14">
        <v>2099180.0891512232</v>
      </c>
      <c r="L61" s="14">
        <v>516264.97986119654</v>
      </c>
      <c r="M61" s="14">
        <v>1396050.3121523033</v>
      </c>
      <c r="N61" s="14">
        <v>1416870.263918943</v>
      </c>
      <c r="O61" s="14">
        <v>5428365.6450836658</v>
      </c>
      <c r="P61" s="15">
        <v>0.94999999999999984</v>
      </c>
      <c r="Q61" s="14">
        <v>70785</v>
      </c>
      <c r="R61" s="11" t="str">
        <f t="shared" si="0"/>
        <v>*</v>
      </c>
      <c r="T61" s="12"/>
    </row>
    <row r="62" spans="1:20" x14ac:dyDescent="0.3">
      <c r="A62" s="17">
        <v>1</v>
      </c>
      <c r="B62" s="17">
        <v>4</v>
      </c>
      <c r="C62" s="14" t="s">
        <v>572</v>
      </c>
      <c r="D62" s="16">
        <v>402460</v>
      </c>
      <c r="E62" s="14" t="s">
        <v>527</v>
      </c>
      <c r="F62" s="14">
        <v>0</v>
      </c>
      <c r="G62" s="14">
        <v>0</v>
      </c>
      <c r="H62" s="14">
        <v>0</v>
      </c>
      <c r="I62" s="14">
        <v>0</v>
      </c>
      <c r="J62" s="14">
        <v>0</v>
      </c>
      <c r="K62" s="14">
        <v>0</v>
      </c>
      <c r="L62" s="14">
        <v>0</v>
      </c>
      <c r="M62" s="14">
        <v>0</v>
      </c>
      <c r="N62" s="14">
        <v>0</v>
      </c>
      <c r="O62" s="14">
        <v>0</v>
      </c>
      <c r="P62" s="15">
        <v>0</v>
      </c>
      <c r="Q62" s="14">
        <v>180</v>
      </c>
      <c r="R62" s="11" t="str">
        <f t="shared" si="0"/>
        <v xml:space="preserve">  </v>
      </c>
      <c r="T62" s="12"/>
    </row>
    <row r="63" spans="1:20" x14ac:dyDescent="0.3">
      <c r="A63" s="17">
        <v>1</v>
      </c>
      <c r="B63" s="17">
        <v>4</v>
      </c>
      <c r="C63" s="14" t="s">
        <v>572</v>
      </c>
      <c r="D63" s="16">
        <v>407750</v>
      </c>
      <c r="E63" s="14" t="s">
        <v>127</v>
      </c>
      <c r="F63" s="14">
        <v>2858587.5254170154</v>
      </c>
      <c r="G63" s="14">
        <v>0</v>
      </c>
      <c r="H63" s="14">
        <v>1382238.3614657063</v>
      </c>
      <c r="I63" s="14">
        <v>1044929.4439367325</v>
      </c>
      <c r="J63" s="14">
        <v>5285755.330819454</v>
      </c>
      <c r="K63" s="14">
        <v>2798349.7868632902</v>
      </c>
      <c r="L63" s="14">
        <v>0</v>
      </c>
      <c r="M63" s="14">
        <v>1473693.349952037</v>
      </c>
      <c r="N63" s="14">
        <v>1243255.7902274735</v>
      </c>
      <c r="O63" s="14">
        <v>5515298.9270428009</v>
      </c>
      <c r="P63" s="15">
        <v>1.0434268296311324</v>
      </c>
      <c r="Q63" s="14">
        <v>255938</v>
      </c>
      <c r="R63" s="11" t="str">
        <f t="shared" si="0"/>
        <v>*</v>
      </c>
      <c r="T63" s="12"/>
    </row>
    <row r="64" spans="1:20" x14ac:dyDescent="0.3">
      <c r="A64" s="17">
        <v>1</v>
      </c>
      <c r="B64" s="17">
        <v>4</v>
      </c>
      <c r="C64" s="14" t="s">
        <v>572</v>
      </c>
      <c r="D64" s="16">
        <v>402490</v>
      </c>
      <c r="E64" s="14" t="s">
        <v>134</v>
      </c>
      <c r="F64" s="14">
        <v>9685.4369205804051</v>
      </c>
      <c r="G64" s="14">
        <v>2402.2737641386993</v>
      </c>
      <c r="H64" s="14">
        <v>4504.8553884130806</v>
      </c>
      <c r="I64" s="14">
        <v>4369.9033405541722</v>
      </c>
      <c r="J64" s="14">
        <v>20962.469413686355</v>
      </c>
      <c r="K64" s="14">
        <v>12265.187872293585</v>
      </c>
      <c r="L64" s="14">
        <v>2908.7002259205206</v>
      </c>
      <c r="M64" s="14">
        <v>5995.9811970184519</v>
      </c>
      <c r="N64" s="14">
        <v>4999.2134631162371</v>
      </c>
      <c r="O64" s="14">
        <v>26169.082758348795</v>
      </c>
      <c r="P64" s="15">
        <v>1.2483778624508357</v>
      </c>
      <c r="Q64" s="14">
        <v>468</v>
      </c>
      <c r="R64" s="11" t="str">
        <f t="shared" si="0"/>
        <v xml:space="preserve">  </v>
      </c>
      <c r="T64" s="12"/>
    </row>
    <row r="65" spans="1:20" x14ac:dyDescent="0.3">
      <c r="A65" s="17">
        <v>1</v>
      </c>
      <c r="B65" s="17">
        <v>4</v>
      </c>
      <c r="C65" s="14" t="s">
        <v>572</v>
      </c>
      <c r="D65" s="16">
        <v>402530</v>
      </c>
      <c r="E65" s="14" t="s">
        <v>135</v>
      </c>
      <c r="F65" s="14">
        <v>940409.80386016401</v>
      </c>
      <c r="G65" s="14">
        <v>224061.30864344395</v>
      </c>
      <c r="H65" s="14">
        <v>584721.78001758712</v>
      </c>
      <c r="I65" s="14">
        <v>650903.69343439781</v>
      </c>
      <c r="J65" s="14">
        <v>2400096.5859555928</v>
      </c>
      <c r="K65" s="14">
        <v>893389.3136671558</v>
      </c>
      <c r="L65" s="14">
        <v>212858.24321127174</v>
      </c>
      <c r="M65" s="14">
        <v>555485.69101670769</v>
      </c>
      <c r="N65" s="14">
        <v>618358.5087626779</v>
      </c>
      <c r="O65" s="14">
        <v>2280091.7566578127</v>
      </c>
      <c r="P65" s="15">
        <v>0.94999999999999984</v>
      </c>
      <c r="Q65" s="14">
        <v>21278</v>
      </c>
      <c r="R65" s="11" t="str">
        <f t="shared" si="0"/>
        <v>*</v>
      </c>
      <c r="T65" s="12"/>
    </row>
    <row r="66" spans="1:20" x14ac:dyDescent="0.3">
      <c r="A66" s="17">
        <v>1</v>
      </c>
      <c r="B66" s="17">
        <v>4</v>
      </c>
      <c r="C66" s="14" t="s">
        <v>572</v>
      </c>
      <c r="D66" s="16">
        <v>402600</v>
      </c>
      <c r="E66" s="14" t="s">
        <v>136</v>
      </c>
      <c r="F66" s="14">
        <v>48888.39588483439</v>
      </c>
      <c r="G66" s="14">
        <v>11584.559543410705</v>
      </c>
      <c r="H66" s="14">
        <v>15900.217315828508</v>
      </c>
      <c r="I66" s="14">
        <v>13651.442220182109</v>
      </c>
      <c r="J66" s="14">
        <v>90024.614964255728</v>
      </c>
      <c r="K66" s="14">
        <v>50004.227479350768</v>
      </c>
      <c r="L66" s="14">
        <v>11858.547074906737</v>
      </c>
      <c r="M66" s="14">
        <v>16602.675388895503</v>
      </c>
      <c r="N66" s="14">
        <v>12465.616079235588</v>
      </c>
      <c r="O66" s="14">
        <v>90931.066022388608</v>
      </c>
      <c r="P66" s="15">
        <v>1.010068924576826</v>
      </c>
      <c r="Q66" s="14">
        <v>2939</v>
      </c>
      <c r="R66" s="11" t="str">
        <f t="shared" si="0"/>
        <v xml:space="preserve">  </v>
      </c>
      <c r="T66" s="12"/>
    </row>
    <row r="67" spans="1:20" x14ac:dyDescent="0.3">
      <c r="A67" s="17">
        <v>1</v>
      </c>
      <c r="B67" s="17">
        <v>4</v>
      </c>
      <c r="C67" s="14" t="s">
        <v>572</v>
      </c>
      <c r="D67" s="16">
        <v>402690</v>
      </c>
      <c r="E67" s="14" t="s">
        <v>137</v>
      </c>
      <c r="F67" s="14">
        <v>2785254.9315897636</v>
      </c>
      <c r="G67" s="14">
        <v>659992.0290816722</v>
      </c>
      <c r="H67" s="14">
        <v>1341984.5221007077</v>
      </c>
      <c r="I67" s="14">
        <v>1013524.9403396084</v>
      </c>
      <c r="J67" s="14">
        <v>5800756.4231117517</v>
      </c>
      <c r="K67" s="14">
        <v>2769102.0311678196</v>
      </c>
      <c r="L67" s="14">
        <v>656695.01254436362</v>
      </c>
      <c r="M67" s="14">
        <v>1456101.2464243304</v>
      </c>
      <c r="N67" s="14">
        <v>1227914.4206797753</v>
      </c>
      <c r="O67" s="14">
        <v>6109812.7108162893</v>
      </c>
      <c r="P67" s="15">
        <v>1.0532786183665936</v>
      </c>
      <c r="Q67" s="14">
        <v>175099</v>
      </c>
      <c r="R67" s="11" t="str">
        <f t="shared" si="0"/>
        <v>*</v>
      </c>
      <c r="T67" s="12"/>
    </row>
    <row r="68" spans="1:20" x14ac:dyDescent="0.3">
      <c r="A68" s="17">
        <v>1</v>
      </c>
      <c r="B68" s="17">
        <v>4</v>
      </c>
      <c r="C68" s="14" t="s">
        <v>572</v>
      </c>
      <c r="D68" s="16">
        <v>402710</v>
      </c>
      <c r="E68" s="14" t="s">
        <v>525</v>
      </c>
      <c r="F68" s="14">
        <v>0</v>
      </c>
      <c r="G68" s="14">
        <v>0</v>
      </c>
      <c r="H68" s="14">
        <v>0</v>
      </c>
      <c r="I68" s="14">
        <v>0</v>
      </c>
      <c r="J68" s="14">
        <v>0</v>
      </c>
      <c r="K68" s="14">
        <v>0</v>
      </c>
      <c r="L68" s="14">
        <v>0</v>
      </c>
      <c r="M68" s="14">
        <v>0</v>
      </c>
      <c r="N68" s="14">
        <v>0</v>
      </c>
      <c r="O68" s="14">
        <v>0</v>
      </c>
      <c r="P68" s="15">
        <v>0</v>
      </c>
      <c r="Q68" s="14">
        <v>40</v>
      </c>
      <c r="R68" s="11" t="str">
        <f t="shared" si="0"/>
        <v xml:space="preserve">  </v>
      </c>
      <c r="T68" s="12"/>
    </row>
    <row r="69" spans="1:20" x14ac:dyDescent="0.3">
      <c r="A69" s="17">
        <v>1</v>
      </c>
      <c r="B69" s="17">
        <v>4</v>
      </c>
      <c r="C69" s="14" t="s">
        <v>572</v>
      </c>
      <c r="D69" s="16">
        <v>402760</v>
      </c>
      <c r="E69" s="14" t="s">
        <v>155</v>
      </c>
      <c r="F69" s="14">
        <v>21237.504081667288</v>
      </c>
      <c r="G69" s="14">
        <v>5393.6623982377732</v>
      </c>
      <c r="H69" s="14">
        <v>9566.2021522106261</v>
      </c>
      <c r="I69" s="14">
        <v>8903.8113560753645</v>
      </c>
      <c r="J69" s="14">
        <v>45101.179988191048</v>
      </c>
      <c r="K69" s="14">
        <v>18051.878469417195</v>
      </c>
      <c r="L69" s="14">
        <v>4584.613038502107</v>
      </c>
      <c r="M69" s="14">
        <v>8131.2718293790322</v>
      </c>
      <c r="N69" s="14">
        <v>7568.2396526640596</v>
      </c>
      <c r="O69" s="14">
        <v>38336.002989962391</v>
      </c>
      <c r="P69" s="15">
        <v>0.85</v>
      </c>
      <c r="Q69" s="14">
        <v>1088</v>
      </c>
      <c r="R69" s="11" t="str">
        <f t="shared" si="0"/>
        <v xml:space="preserve">  </v>
      </c>
      <c r="T69" s="12"/>
    </row>
    <row r="70" spans="1:20" x14ac:dyDescent="0.3">
      <c r="A70" s="17">
        <v>1</v>
      </c>
      <c r="B70" s="17">
        <v>4</v>
      </c>
      <c r="C70" s="14" t="s">
        <v>572</v>
      </c>
      <c r="D70" s="16">
        <v>402790</v>
      </c>
      <c r="E70" s="14" t="s">
        <v>156</v>
      </c>
      <c r="F70" s="14">
        <v>352267.09097800357</v>
      </c>
      <c r="G70" s="14">
        <v>85916.452040399425</v>
      </c>
      <c r="H70" s="14">
        <v>153600.47682916859</v>
      </c>
      <c r="I70" s="14">
        <v>137064.70796160414</v>
      </c>
      <c r="J70" s="14">
        <v>728848.72780917573</v>
      </c>
      <c r="K70" s="14">
        <v>334653.73642910336</v>
      </c>
      <c r="L70" s="14">
        <v>81620.629438379445</v>
      </c>
      <c r="M70" s="14">
        <v>145920.45298771016</v>
      </c>
      <c r="N70" s="14">
        <v>136223.22900809362</v>
      </c>
      <c r="O70" s="14">
        <v>698418.04786328657</v>
      </c>
      <c r="P70" s="15">
        <v>0.95824829105847542</v>
      </c>
      <c r="Q70" s="14">
        <v>7104</v>
      </c>
      <c r="R70" s="11" t="str">
        <f t="shared" si="0"/>
        <v xml:space="preserve">  </v>
      </c>
      <c r="T70" s="12"/>
    </row>
    <row r="71" spans="1:20" x14ac:dyDescent="0.3">
      <c r="A71" s="17">
        <v>1</v>
      </c>
      <c r="B71" s="17">
        <v>4</v>
      </c>
      <c r="C71" s="14" t="s">
        <v>572</v>
      </c>
      <c r="D71" s="16">
        <v>402820</v>
      </c>
      <c r="E71" s="14" t="s">
        <v>523</v>
      </c>
      <c r="F71" s="14">
        <v>5308.3072106287145</v>
      </c>
      <c r="G71" s="14">
        <v>1256.9429189136347</v>
      </c>
      <c r="H71" s="14">
        <v>1721.5845256641519</v>
      </c>
      <c r="I71" s="14">
        <v>1486.6970696213525</v>
      </c>
      <c r="J71" s="14">
        <v>9773.5317248278534</v>
      </c>
      <c r="K71" s="14">
        <v>0</v>
      </c>
      <c r="L71" s="14">
        <v>1068.4014810765896</v>
      </c>
      <c r="M71" s="14">
        <v>0</v>
      </c>
      <c r="N71" s="14">
        <v>0</v>
      </c>
      <c r="O71" s="14">
        <v>1068.4014810765896</v>
      </c>
      <c r="P71" s="15">
        <v>0.10931580427191051</v>
      </c>
      <c r="Q71" s="14">
        <v>459</v>
      </c>
      <c r="R71" s="11" t="str">
        <f t="shared" si="0"/>
        <v xml:space="preserve">  </v>
      </c>
      <c r="T71" s="12"/>
    </row>
    <row r="72" spans="1:20" x14ac:dyDescent="0.3">
      <c r="A72" s="17">
        <v>1</v>
      </c>
      <c r="B72" s="17">
        <v>4</v>
      </c>
      <c r="C72" s="14" t="s">
        <v>572</v>
      </c>
      <c r="D72" s="16">
        <v>402860</v>
      </c>
      <c r="E72" s="14" t="s">
        <v>164</v>
      </c>
      <c r="F72" s="14">
        <v>1373948.4088766198</v>
      </c>
      <c r="G72" s="14">
        <v>325569.83848887251</v>
      </c>
      <c r="H72" s="14">
        <v>578203.02092558832</v>
      </c>
      <c r="I72" s="14">
        <v>489489.37008474284</v>
      </c>
      <c r="J72" s="14">
        <v>2767210.6383758239</v>
      </c>
      <c r="K72" s="14">
        <v>1236553.5679889577</v>
      </c>
      <c r="L72" s="14">
        <v>293012.85463998525</v>
      </c>
      <c r="M72" s="14">
        <v>520382.7188330295</v>
      </c>
      <c r="N72" s="14">
        <v>440540.43307626859</v>
      </c>
      <c r="O72" s="14">
        <v>2490489.5745382411</v>
      </c>
      <c r="P72" s="15">
        <v>0.89999999999999991</v>
      </c>
      <c r="Q72" s="14">
        <v>93887</v>
      </c>
      <c r="R72" s="11" t="str">
        <f t="shared" si="0"/>
        <v>*</v>
      </c>
      <c r="T72" s="12"/>
    </row>
    <row r="73" spans="1:20" x14ac:dyDescent="0.3">
      <c r="A73" s="17">
        <v>1</v>
      </c>
      <c r="B73" s="17">
        <v>4</v>
      </c>
      <c r="C73" s="14" t="s">
        <v>572</v>
      </c>
      <c r="D73" s="16">
        <v>402920</v>
      </c>
      <c r="E73" s="14" t="s">
        <v>166</v>
      </c>
      <c r="F73" s="14">
        <v>1115208.8797125432</v>
      </c>
      <c r="G73" s="14">
        <v>264259.10354685911</v>
      </c>
      <c r="H73" s="14">
        <v>425260.29354311473</v>
      </c>
      <c r="I73" s="14">
        <v>343191.6277859949</v>
      </c>
      <c r="J73" s="14">
        <v>2147919.9045885121</v>
      </c>
      <c r="K73" s="14">
        <v>1201988.4114847712</v>
      </c>
      <c r="L73" s="14">
        <v>285052.62214021088</v>
      </c>
      <c r="M73" s="14">
        <v>513504.98966559797</v>
      </c>
      <c r="N73" s="14">
        <v>405913.94265631191</v>
      </c>
      <c r="O73" s="14">
        <v>2406459.9659468918</v>
      </c>
      <c r="P73" s="15">
        <v>1.1203676453698628</v>
      </c>
      <c r="Q73" s="14">
        <v>75877</v>
      </c>
      <c r="R73" s="11" t="str">
        <f t="shared" si="0"/>
        <v>*</v>
      </c>
      <c r="T73" s="12"/>
    </row>
    <row r="74" spans="1:20" x14ac:dyDescent="0.3">
      <c r="A74" s="17">
        <v>1</v>
      </c>
      <c r="B74" s="17">
        <v>4</v>
      </c>
      <c r="C74" s="14" t="s">
        <v>572</v>
      </c>
      <c r="D74" s="16">
        <v>403010</v>
      </c>
      <c r="E74" s="14" t="s">
        <v>167</v>
      </c>
      <c r="F74" s="14">
        <v>824965.38470822142</v>
      </c>
      <c r="G74" s="14">
        <v>195341.82132142413</v>
      </c>
      <c r="H74" s="14">
        <v>421055.93721940339</v>
      </c>
      <c r="I74" s="14">
        <v>391525.08832336689</v>
      </c>
      <c r="J74" s="14">
        <v>1832888.2315724157</v>
      </c>
      <c r="K74" s="14">
        <v>853845.771109669</v>
      </c>
      <c r="L74" s="14">
        <v>202490.28495831304</v>
      </c>
      <c r="M74" s="14">
        <v>461457.04891724623</v>
      </c>
      <c r="N74" s="14">
        <v>405852.62116771122</v>
      </c>
      <c r="O74" s="14">
        <v>1923645.7261529395</v>
      </c>
      <c r="P74" s="15">
        <v>1.0495161096116941</v>
      </c>
      <c r="Q74" s="14">
        <v>30752</v>
      </c>
      <c r="R74" s="11" t="str">
        <f t="shared" ref="R74:R137" si="1">IF(AND($A74=1,Q74&gt;=20000),"*","  ")</f>
        <v>*</v>
      </c>
      <c r="T74" s="12"/>
    </row>
    <row r="75" spans="1:20" x14ac:dyDescent="0.3">
      <c r="A75" s="17">
        <v>1</v>
      </c>
      <c r="B75" s="17">
        <v>4</v>
      </c>
      <c r="C75" s="14" t="s">
        <v>572</v>
      </c>
      <c r="D75" s="16">
        <v>403150</v>
      </c>
      <c r="E75" s="14" t="s">
        <v>168</v>
      </c>
      <c r="F75" s="14">
        <v>94027.025784441648</v>
      </c>
      <c r="G75" s="14">
        <v>22932.793491671415</v>
      </c>
      <c r="H75" s="14">
        <v>29710.363808892096</v>
      </c>
      <c r="I75" s="14">
        <v>24658.770327277598</v>
      </c>
      <c r="J75" s="14">
        <v>171328.95341228275</v>
      </c>
      <c r="K75" s="14">
        <v>84624.323205997483</v>
      </c>
      <c r="L75" s="14">
        <v>20639.514142504275</v>
      </c>
      <c r="M75" s="14">
        <v>26739.327428002885</v>
      </c>
      <c r="N75" s="14">
        <v>22192.893294549838</v>
      </c>
      <c r="O75" s="14">
        <v>154196.05807105446</v>
      </c>
      <c r="P75" s="15">
        <v>0.89999999999999991</v>
      </c>
      <c r="Q75" s="14">
        <v>5454</v>
      </c>
      <c r="R75" s="11" t="str">
        <f t="shared" si="1"/>
        <v xml:space="preserve">  </v>
      </c>
      <c r="T75" s="12"/>
    </row>
    <row r="76" spans="1:20" x14ac:dyDescent="0.3">
      <c r="A76" s="17">
        <v>1</v>
      </c>
      <c r="B76" s="17">
        <v>4</v>
      </c>
      <c r="C76" s="14" t="s">
        <v>572</v>
      </c>
      <c r="D76" s="16">
        <v>403200</v>
      </c>
      <c r="E76" s="14" t="s">
        <v>169</v>
      </c>
      <c r="F76" s="14">
        <v>301147.97882754676</v>
      </c>
      <c r="G76" s="14">
        <v>74056.082312857703</v>
      </c>
      <c r="H76" s="14">
        <v>159119.36982101802</v>
      </c>
      <c r="I76" s="14">
        <v>171650.35288868842</v>
      </c>
      <c r="J76" s="14">
        <v>705973.78385011083</v>
      </c>
      <c r="K76" s="14">
        <v>286090.57988616941</v>
      </c>
      <c r="L76" s="14">
        <v>70353.278197214808</v>
      </c>
      <c r="M76" s="14">
        <v>151163.40132996711</v>
      </c>
      <c r="N76" s="14">
        <v>163067.83524425398</v>
      </c>
      <c r="O76" s="14">
        <v>670675.09465760528</v>
      </c>
      <c r="P76" s="15">
        <v>0.95</v>
      </c>
      <c r="Q76" s="14">
        <v>5340</v>
      </c>
      <c r="R76" s="11" t="str">
        <f t="shared" si="1"/>
        <v xml:space="preserve">  </v>
      </c>
      <c r="T76" s="12"/>
    </row>
    <row r="77" spans="1:20" x14ac:dyDescent="0.3">
      <c r="A77" s="17">
        <v>1</v>
      </c>
      <c r="B77" s="17">
        <v>4</v>
      </c>
      <c r="C77" s="14" t="s">
        <v>572</v>
      </c>
      <c r="D77" s="16">
        <v>403040</v>
      </c>
      <c r="E77" s="14" t="s">
        <v>171</v>
      </c>
      <c r="F77" s="14">
        <v>126877.61636344611</v>
      </c>
      <c r="G77" s="14">
        <v>0</v>
      </c>
      <c r="H77" s="14">
        <v>34735.738021833909</v>
      </c>
      <c r="I77" s="14">
        <v>27970.430225239626</v>
      </c>
      <c r="J77" s="14">
        <v>189583.78461051965</v>
      </c>
      <c r="K77" s="14">
        <v>107845.9739089292</v>
      </c>
      <c r="L77" s="14">
        <v>0</v>
      </c>
      <c r="M77" s="14">
        <v>32346.771002557354</v>
      </c>
      <c r="N77" s="14">
        <v>25074.066357528889</v>
      </c>
      <c r="O77" s="14">
        <v>165266.81126901542</v>
      </c>
      <c r="P77" s="15">
        <v>0.87173495142814594</v>
      </c>
      <c r="Q77" s="14">
        <v>24641</v>
      </c>
      <c r="R77" s="11" t="str">
        <f t="shared" si="1"/>
        <v>*</v>
      </c>
      <c r="T77" s="12"/>
    </row>
    <row r="78" spans="1:20" x14ac:dyDescent="0.3">
      <c r="A78" s="17">
        <v>1</v>
      </c>
      <c r="B78" s="17">
        <v>4</v>
      </c>
      <c r="C78" s="14" t="s">
        <v>572</v>
      </c>
      <c r="D78" s="16">
        <v>403060</v>
      </c>
      <c r="E78" s="14" t="s">
        <v>172</v>
      </c>
      <c r="F78" s="14">
        <v>942254.64898789348</v>
      </c>
      <c r="G78" s="14">
        <v>223275.99195460445</v>
      </c>
      <c r="H78" s="14">
        <v>482705.32936889399</v>
      </c>
      <c r="I78" s="14">
        <v>454698.53992096434</v>
      </c>
      <c r="J78" s="14">
        <v>2102934.5102323564</v>
      </c>
      <c r="K78" s="14">
        <v>1014236.689439662</v>
      </c>
      <c r="L78" s="14">
        <v>240527.13406650454</v>
      </c>
      <c r="M78" s="14">
        <v>580611.78876764199</v>
      </c>
      <c r="N78" s="14">
        <v>524726.13589204836</v>
      </c>
      <c r="O78" s="14">
        <v>2360101.748165857</v>
      </c>
      <c r="P78" s="15">
        <v>1.1222897035938062</v>
      </c>
      <c r="Q78" s="14">
        <v>31859</v>
      </c>
      <c r="R78" s="11" t="str">
        <f t="shared" si="1"/>
        <v>*</v>
      </c>
      <c r="T78" s="12"/>
    </row>
    <row r="79" spans="1:20" x14ac:dyDescent="0.3">
      <c r="A79" s="17">
        <v>1</v>
      </c>
      <c r="B79" s="17">
        <v>4</v>
      </c>
      <c r="C79" s="14" t="s">
        <v>572</v>
      </c>
      <c r="D79" s="16">
        <v>403080</v>
      </c>
      <c r="E79" s="14" t="s">
        <v>174</v>
      </c>
      <c r="F79" s="14">
        <v>47504.762039037203</v>
      </c>
      <c r="G79" s="14">
        <v>11256.694650672665</v>
      </c>
      <c r="H79" s="14">
        <v>16953.382293797178</v>
      </c>
      <c r="I79" s="14">
        <v>14650.92081707163</v>
      </c>
      <c r="J79" s="14">
        <v>90365.759800578671</v>
      </c>
      <c r="K79" s="14">
        <v>44343.37153829218</v>
      </c>
      <c r="L79" s="14">
        <v>10516.070047558806</v>
      </c>
      <c r="M79" s="14">
        <v>15480.072188943603</v>
      </c>
      <c r="N79" s="14">
        <v>13185.828735364468</v>
      </c>
      <c r="O79" s="14">
        <v>83525.342510159055</v>
      </c>
      <c r="P79" s="15">
        <v>0.92430299589672893</v>
      </c>
      <c r="Q79" s="14">
        <v>2886</v>
      </c>
      <c r="R79" s="11" t="str">
        <f t="shared" si="1"/>
        <v xml:space="preserve">  </v>
      </c>
      <c r="T79" s="12"/>
    </row>
    <row r="80" spans="1:20" x14ac:dyDescent="0.3">
      <c r="A80" s="17">
        <v>1</v>
      </c>
      <c r="B80" s="17">
        <v>4</v>
      </c>
      <c r="C80" s="14" t="s">
        <v>572</v>
      </c>
      <c r="D80" s="16">
        <v>403240</v>
      </c>
      <c r="E80" s="14" t="s">
        <v>176</v>
      </c>
      <c r="F80" s="14">
        <v>787748.8695405391</v>
      </c>
      <c r="G80" s="14">
        <v>196335.68618822371</v>
      </c>
      <c r="H80" s="14">
        <v>503140.03810751752</v>
      </c>
      <c r="I80" s="14">
        <v>552044.26813052362</v>
      </c>
      <c r="J80" s="14">
        <v>2039268.8619668041</v>
      </c>
      <c r="K80" s="14">
        <v>836863.2032864932</v>
      </c>
      <c r="L80" s="14">
        <v>198462.85387626934</v>
      </c>
      <c r="M80" s="14">
        <v>515113.15975048009</v>
      </c>
      <c r="N80" s="14">
        <v>524442.05472399737</v>
      </c>
      <c r="O80" s="14">
        <v>2074881.27163724</v>
      </c>
      <c r="P80" s="15">
        <v>1.0174633224361054</v>
      </c>
      <c r="Q80" s="14">
        <v>26237</v>
      </c>
      <c r="R80" s="11" t="str">
        <f t="shared" si="1"/>
        <v>*</v>
      </c>
      <c r="T80" s="12"/>
    </row>
    <row r="81" spans="1:20" x14ac:dyDescent="0.3">
      <c r="A81" s="17">
        <v>1</v>
      </c>
      <c r="B81" s="17">
        <v>4</v>
      </c>
      <c r="C81" s="14" t="s">
        <v>572</v>
      </c>
      <c r="D81" s="16">
        <v>403290</v>
      </c>
      <c r="E81" s="14" t="s">
        <v>590</v>
      </c>
      <c r="F81" s="14">
        <v>374306.05538083165</v>
      </c>
      <c r="G81" s="14">
        <v>96564.890089015331</v>
      </c>
      <c r="H81" s="14">
        <v>233219.0133535451</v>
      </c>
      <c r="I81" s="14">
        <v>259575.07496646733</v>
      </c>
      <c r="J81" s="14">
        <v>963665.03378985939</v>
      </c>
      <c r="K81" s="14">
        <v>355590.75261179003</v>
      </c>
      <c r="L81" s="14">
        <v>91736.645584564554</v>
      </c>
      <c r="M81" s="14">
        <v>221558.06268586783</v>
      </c>
      <c r="N81" s="14">
        <v>246596.32121814394</v>
      </c>
      <c r="O81" s="14">
        <v>915481.78210036631</v>
      </c>
      <c r="P81" s="15">
        <v>0.94999999999999984</v>
      </c>
      <c r="Q81" s="14">
        <v>7211</v>
      </c>
      <c r="R81" s="11" t="str">
        <f t="shared" si="1"/>
        <v xml:space="preserve">  </v>
      </c>
      <c r="T81" s="12"/>
    </row>
    <row r="82" spans="1:20" x14ac:dyDescent="0.3">
      <c r="A82" s="17">
        <v>1</v>
      </c>
      <c r="B82" s="17">
        <v>4</v>
      </c>
      <c r="C82" s="14" t="s">
        <v>572</v>
      </c>
      <c r="D82" s="16">
        <v>403310</v>
      </c>
      <c r="E82" s="14" t="s">
        <v>180</v>
      </c>
      <c r="F82" s="14">
        <v>121125.67500293581</v>
      </c>
      <c r="G82" s="14">
        <v>26503.245910406364</v>
      </c>
      <c r="H82" s="14">
        <v>48365.217967538985</v>
      </c>
      <c r="I82" s="14">
        <v>46305.705367601819</v>
      </c>
      <c r="J82" s="14">
        <v>242299.84424848299</v>
      </c>
      <c r="K82" s="14">
        <v>109013.10750264223</v>
      </c>
      <c r="L82" s="14">
        <v>23852.921319365727</v>
      </c>
      <c r="M82" s="14">
        <v>43528.696170785086</v>
      </c>
      <c r="N82" s="14">
        <v>41675.134830841635</v>
      </c>
      <c r="O82" s="14">
        <v>218069.85982363467</v>
      </c>
      <c r="P82" s="15">
        <v>0.89999999999999991</v>
      </c>
      <c r="Q82" s="14">
        <v>2584</v>
      </c>
      <c r="R82" s="11" t="str">
        <f t="shared" si="1"/>
        <v xml:space="preserve">  </v>
      </c>
      <c r="T82" s="12"/>
    </row>
    <row r="83" spans="1:20" x14ac:dyDescent="0.3">
      <c r="A83" s="17">
        <v>1</v>
      </c>
      <c r="B83" s="17">
        <v>4</v>
      </c>
      <c r="C83" s="14" t="s">
        <v>572</v>
      </c>
      <c r="D83" s="16">
        <v>403400</v>
      </c>
      <c r="E83" s="14" t="s">
        <v>182</v>
      </c>
      <c r="F83" s="14">
        <v>1985514.5687189819</v>
      </c>
      <c r="G83" s="14">
        <v>0</v>
      </c>
      <c r="H83" s="14">
        <v>902989.82110129762</v>
      </c>
      <c r="I83" s="14">
        <v>677432.76790962217</v>
      </c>
      <c r="J83" s="14">
        <v>3565937.1577299018</v>
      </c>
      <c r="K83" s="14">
        <v>1962430.0595669732</v>
      </c>
      <c r="L83" s="14">
        <v>0</v>
      </c>
      <c r="M83" s="14">
        <v>970899.68138597056</v>
      </c>
      <c r="N83" s="14">
        <v>804789.55089647532</v>
      </c>
      <c r="O83" s="14">
        <v>3738119.2918494195</v>
      </c>
      <c r="P83" s="15">
        <v>1.0482852407385468</v>
      </c>
      <c r="Q83" s="14">
        <v>197468</v>
      </c>
      <c r="R83" s="11" t="str">
        <f t="shared" si="1"/>
        <v>*</v>
      </c>
      <c r="T83" s="12"/>
    </row>
    <row r="84" spans="1:20" x14ac:dyDescent="0.3">
      <c r="A84" s="17">
        <v>1</v>
      </c>
      <c r="B84" s="17">
        <v>4</v>
      </c>
      <c r="C84" s="14" t="s">
        <v>572</v>
      </c>
      <c r="D84" s="16">
        <v>403420</v>
      </c>
      <c r="E84" s="14" t="s">
        <v>183</v>
      </c>
      <c r="F84" s="14">
        <v>3087809.532537417</v>
      </c>
      <c r="G84" s="14">
        <v>731685.15229372331</v>
      </c>
      <c r="H84" s="14">
        <v>1786064.2830286832</v>
      </c>
      <c r="I84" s="14">
        <v>1519556.7718949064</v>
      </c>
      <c r="J84" s="14">
        <v>7125115.7397547299</v>
      </c>
      <c r="K84" s="14">
        <v>3132812.025380834</v>
      </c>
      <c r="L84" s="14">
        <v>742949.16155146831</v>
      </c>
      <c r="M84" s="14">
        <v>1954300.4995188683</v>
      </c>
      <c r="N84" s="14">
        <v>1844528.0358957867</v>
      </c>
      <c r="O84" s="14">
        <v>7674589.7223469578</v>
      </c>
      <c r="P84" s="15">
        <v>1.0771179027347482</v>
      </c>
      <c r="Q84" s="14">
        <v>104470</v>
      </c>
      <c r="R84" s="11" t="str">
        <f t="shared" si="1"/>
        <v>*</v>
      </c>
      <c r="T84" s="12"/>
    </row>
    <row r="85" spans="1:20" x14ac:dyDescent="0.3">
      <c r="A85" s="17">
        <v>1</v>
      </c>
      <c r="B85" s="17">
        <v>4</v>
      </c>
      <c r="C85" s="14" t="s">
        <v>572</v>
      </c>
      <c r="D85" s="16">
        <v>403450</v>
      </c>
      <c r="E85" s="14" t="s">
        <v>184</v>
      </c>
      <c r="F85" s="14">
        <v>2840139.0741397203</v>
      </c>
      <c r="G85" s="14">
        <v>672997.33649361448</v>
      </c>
      <c r="H85" s="14">
        <v>1372111.6094241973</v>
      </c>
      <c r="I85" s="14">
        <v>1037028.9398871417</v>
      </c>
      <c r="J85" s="14">
        <v>5922276.9599446738</v>
      </c>
      <c r="K85" s="14">
        <v>2793160.6689173183</v>
      </c>
      <c r="L85" s="14">
        <v>662400.53991059237</v>
      </c>
      <c r="M85" s="14">
        <v>1470572.1702938955</v>
      </c>
      <c r="N85" s="14">
        <v>1240533.934339979</v>
      </c>
      <c r="O85" s="14">
        <v>6166667.3134617852</v>
      </c>
      <c r="P85" s="15">
        <v>1.0412662824062511</v>
      </c>
      <c r="Q85" s="14">
        <v>346190</v>
      </c>
      <c r="R85" s="11" t="str">
        <f t="shared" si="1"/>
        <v>*</v>
      </c>
      <c r="T85" s="12"/>
    </row>
    <row r="86" spans="1:20" x14ac:dyDescent="0.3">
      <c r="A86" s="17">
        <v>1</v>
      </c>
      <c r="B86" s="17">
        <v>4</v>
      </c>
      <c r="C86" s="14" t="s">
        <v>572</v>
      </c>
      <c r="D86" s="16">
        <v>403500</v>
      </c>
      <c r="E86" s="14" t="s">
        <v>185</v>
      </c>
      <c r="F86" s="14">
        <v>228760.7958384704</v>
      </c>
      <c r="G86" s="14">
        <v>54206.995599355738</v>
      </c>
      <c r="H86" s="14">
        <v>98670.071808642359</v>
      </c>
      <c r="I86" s="14">
        <v>72144.751922839103</v>
      </c>
      <c r="J86" s="14">
        <v>453782.61516930757</v>
      </c>
      <c r="K86" s="14">
        <v>211338.62179952028</v>
      </c>
      <c r="L86" s="14">
        <v>50119.142354322808</v>
      </c>
      <c r="M86" s="14">
        <v>93086.391976353159</v>
      </c>
      <c r="N86" s="14">
        <v>73894.642731629516</v>
      </c>
      <c r="O86" s="14">
        <v>428438.79886182572</v>
      </c>
      <c r="P86" s="15">
        <v>0.94414987383766125</v>
      </c>
      <c r="Q86" s="14">
        <v>10541</v>
      </c>
      <c r="R86" s="11" t="str">
        <f t="shared" si="1"/>
        <v xml:space="preserve">  </v>
      </c>
      <c r="T86" s="12"/>
    </row>
    <row r="87" spans="1:20" x14ac:dyDescent="0.3">
      <c r="A87" s="17">
        <v>1</v>
      </c>
      <c r="B87" s="17">
        <v>4</v>
      </c>
      <c r="C87" s="14" t="s">
        <v>572</v>
      </c>
      <c r="D87" s="16">
        <v>403550</v>
      </c>
      <c r="E87" s="14" t="s">
        <v>187</v>
      </c>
      <c r="F87" s="14">
        <v>31823.578453335609</v>
      </c>
      <c r="G87" s="14">
        <v>7540.8925329748918</v>
      </c>
      <c r="H87" s="14">
        <v>15116.930632663332</v>
      </c>
      <c r="I87" s="14">
        <v>13486.756841112723</v>
      </c>
      <c r="J87" s="14">
        <v>67968.158460086561</v>
      </c>
      <c r="K87" s="14">
        <v>28641.220608002048</v>
      </c>
      <c r="L87" s="14">
        <v>6786.8032796774023</v>
      </c>
      <c r="M87" s="14">
        <v>13605.237569396999</v>
      </c>
      <c r="N87" s="14">
        <v>12138.08115700145</v>
      </c>
      <c r="O87" s="14">
        <v>61171.34261407789</v>
      </c>
      <c r="P87" s="15">
        <v>0.8999999999999998</v>
      </c>
      <c r="Q87" s="14">
        <v>2691</v>
      </c>
      <c r="R87" s="11" t="str">
        <f t="shared" si="1"/>
        <v xml:space="preserve">  </v>
      </c>
      <c r="T87" s="12"/>
    </row>
    <row r="88" spans="1:20" x14ac:dyDescent="0.3">
      <c r="A88" s="17">
        <v>1</v>
      </c>
      <c r="B88" s="17">
        <v>4</v>
      </c>
      <c r="C88" s="14" t="s">
        <v>572</v>
      </c>
      <c r="D88" s="16">
        <v>403660</v>
      </c>
      <c r="E88" s="14" t="s">
        <v>191</v>
      </c>
      <c r="F88" s="14">
        <v>23685.440102433</v>
      </c>
      <c r="G88" s="14">
        <v>5776.7785601735568</v>
      </c>
      <c r="H88" s="14">
        <v>8795.5349397023383</v>
      </c>
      <c r="I88" s="14">
        <v>8080.4738572267242</v>
      </c>
      <c r="J88" s="14">
        <v>46338.227459535614</v>
      </c>
      <c r="K88" s="14">
        <v>21316.896092189701</v>
      </c>
      <c r="L88" s="14">
        <v>5199.1007041562016</v>
      </c>
      <c r="M88" s="14">
        <v>7915.9814457321045</v>
      </c>
      <c r="N88" s="14">
        <v>7272.4264715040517</v>
      </c>
      <c r="O88" s="14">
        <v>41704.404713582058</v>
      </c>
      <c r="P88" s="15">
        <v>0.90000000000000013</v>
      </c>
      <c r="Q88" s="14">
        <v>1228</v>
      </c>
      <c r="R88" s="11" t="str">
        <f t="shared" si="1"/>
        <v xml:space="preserve">  </v>
      </c>
      <c r="T88" s="12"/>
    </row>
    <row r="89" spans="1:20" x14ac:dyDescent="0.3">
      <c r="A89" s="17">
        <v>1</v>
      </c>
      <c r="B89" s="17">
        <v>4</v>
      </c>
      <c r="C89" s="14" t="s">
        <v>572</v>
      </c>
      <c r="D89" s="16">
        <v>403730</v>
      </c>
      <c r="E89" s="14" t="s">
        <v>193</v>
      </c>
      <c r="F89" s="14">
        <v>51677.323859853808</v>
      </c>
      <c r="G89" s="14">
        <v>12603.880494924126</v>
      </c>
      <c r="H89" s="14">
        <v>29122.084764032592</v>
      </c>
      <c r="I89" s="14">
        <v>27078.365567065906</v>
      </c>
      <c r="J89" s="14">
        <v>120481.65468587643</v>
      </c>
      <c r="K89" s="14">
        <v>49093.457666861119</v>
      </c>
      <c r="L89" s="14">
        <v>11973.68647017792</v>
      </c>
      <c r="M89" s="14">
        <v>27665.980525830961</v>
      </c>
      <c r="N89" s="14">
        <v>25724.44728871261</v>
      </c>
      <c r="O89" s="14">
        <v>114457.57195158262</v>
      </c>
      <c r="P89" s="15">
        <v>0.95000000000000007</v>
      </c>
      <c r="Q89" s="14">
        <v>1328</v>
      </c>
      <c r="R89" s="11" t="str">
        <f t="shared" si="1"/>
        <v xml:space="preserve">  </v>
      </c>
      <c r="T89" s="12"/>
    </row>
    <row r="90" spans="1:20" x14ac:dyDescent="0.3">
      <c r="A90" s="17">
        <v>1</v>
      </c>
      <c r="B90" s="17">
        <v>4</v>
      </c>
      <c r="C90" s="14" t="s">
        <v>572</v>
      </c>
      <c r="D90" s="16">
        <v>400026</v>
      </c>
      <c r="E90" s="14" t="s">
        <v>194</v>
      </c>
      <c r="F90" s="14">
        <v>97315.580487736413</v>
      </c>
      <c r="G90" s="14">
        <v>23059.830789242071</v>
      </c>
      <c r="H90" s="14">
        <v>57182.252896676378</v>
      </c>
      <c r="I90" s="14">
        <v>49007.164585619241</v>
      </c>
      <c r="J90" s="14">
        <v>226564.8287592741</v>
      </c>
      <c r="K90" s="14">
        <v>87584.022438962769</v>
      </c>
      <c r="L90" s="14">
        <v>20753.847710317863</v>
      </c>
      <c r="M90" s="14">
        <v>51464.027607008742</v>
      </c>
      <c r="N90" s="14">
        <v>44106.448127057316</v>
      </c>
      <c r="O90" s="14">
        <v>203908.34588334669</v>
      </c>
      <c r="P90" s="15">
        <v>0.9</v>
      </c>
      <c r="Q90" s="14">
        <v>4117</v>
      </c>
      <c r="R90" s="11" t="str">
        <f t="shared" si="1"/>
        <v xml:space="preserve">  </v>
      </c>
      <c r="T90" s="12"/>
    </row>
    <row r="91" spans="1:20" x14ac:dyDescent="0.3">
      <c r="A91" s="17">
        <v>1</v>
      </c>
      <c r="B91" s="17">
        <v>4</v>
      </c>
      <c r="C91" s="14" t="s">
        <v>572</v>
      </c>
      <c r="D91" s="16">
        <v>403780</v>
      </c>
      <c r="E91" s="14" t="s">
        <v>589</v>
      </c>
      <c r="F91" s="14">
        <v>659993.34444526455</v>
      </c>
      <c r="G91" s="14">
        <v>0</v>
      </c>
      <c r="H91" s="14">
        <v>227978.50533446926</v>
      </c>
      <c r="I91" s="14">
        <v>158097.8643701479</v>
      </c>
      <c r="J91" s="14">
        <v>1046069.7141498817</v>
      </c>
      <c r="K91" s="14">
        <v>613259.39361467946</v>
      </c>
      <c r="L91" s="14">
        <v>0</v>
      </c>
      <c r="M91" s="14">
        <v>227633.30734036522</v>
      </c>
      <c r="N91" s="14">
        <v>176453.24329234695</v>
      </c>
      <c r="O91" s="14">
        <v>1017345.9442473917</v>
      </c>
      <c r="P91" s="15">
        <v>0.97254124699917033</v>
      </c>
      <c r="Q91" s="14">
        <v>69278</v>
      </c>
      <c r="R91" s="11" t="str">
        <f t="shared" si="1"/>
        <v>*</v>
      </c>
      <c r="T91" s="12"/>
    </row>
    <row r="92" spans="1:20" x14ac:dyDescent="0.3">
      <c r="A92" s="17">
        <v>1</v>
      </c>
      <c r="B92" s="17">
        <v>4</v>
      </c>
      <c r="C92" s="14" t="s">
        <v>572</v>
      </c>
      <c r="D92" s="16">
        <v>408460</v>
      </c>
      <c r="E92" s="14" t="s">
        <v>514</v>
      </c>
      <c r="F92" s="14">
        <v>0</v>
      </c>
      <c r="G92" s="14">
        <v>0</v>
      </c>
      <c r="H92" s="14">
        <v>0</v>
      </c>
      <c r="I92" s="14">
        <v>0</v>
      </c>
      <c r="J92" s="14">
        <v>0</v>
      </c>
      <c r="K92" s="14">
        <v>0</v>
      </c>
      <c r="L92" s="14">
        <v>0</v>
      </c>
      <c r="M92" s="14">
        <v>0</v>
      </c>
      <c r="N92" s="14">
        <v>0</v>
      </c>
      <c r="O92" s="14">
        <v>0</v>
      </c>
      <c r="P92" s="15">
        <v>0</v>
      </c>
      <c r="Q92" s="14">
        <v>134</v>
      </c>
      <c r="R92" s="11" t="str">
        <f t="shared" si="1"/>
        <v xml:space="preserve">  </v>
      </c>
      <c r="T92" s="12"/>
    </row>
    <row r="93" spans="1:20" x14ac:dyDescent="0.3">
      <c r="A93" s="17">
        <v>1</v>
      </c>
      <c r="B93" s="17">
        <v>4</v>
      </c>
      <c r="C93" s="14" t="s">
        <v>572</v>
      </c>
      <c r="D93" s="16">
        <v>403820</v>
      </c>
      <c r="E93" s="14" t="s">
        <v>199</v>
      </c>
      <c r="F93" s="14">
        <v>494813.32425068005</v>
      </c>
      <c r="G93" s="14">
        <v>127653.33412233111</v>
      </c>
      <c r="H93" s="14">
        <v>280910.09742341167</v>
      </c>
      <c r="I93" s="14">
        <v>300062.32625072217</v>
      </c>
      <c r="J93" s="14">
        <v>1203439.0820471449</v>
      </c>
      <c r="K93" s="14">
        <v>470072.65803814604</v>
      </c>
      <c r="L93" s="14">
        <v>121270.66741621455</v>
      </c>
      <c r="M93" s="14">
        <v>266864.59255224105</v>
      </c>
      <c r="N93" s="14">
        <v>285059.20993818605</v>
      </c>
      <c r="O93" s="14">
        <v>1143267.1279447877</v>
      </c>
      <c r="P93" s="15">
        <v>0.95000000000000007</v>
      </c>
      <c r="Q93" s="14">
        <v>10599</v>
      </c>
      <c r="R93" s="11" t="str">
        <f t="shared" si="1"/>
        <v xml:space="preserve">  </v>
      </c>
      <c r="T93" s="12"/>
    </row>
    <row r="94" spans="1:20" x14ac:dyDescent="0.3">
      <c r="A94" s="17">
        <v>1</v>
      </c>
      <c r="B94" s="17">
        <v>4</v>
      </c>
      <c r="C94" s="14" t="s">
        <v>572</v>
      </c>
      <c r="D94" s="16">
        <v>403870</v>
      </c>
      <c r="E94" s="14" t="s">
        <v>200</v>
      </c>
      <c r="F94" s="14">
        <v>790529.44305978378</v>
      </c>
      <c r="G94" s="14">
        <v>187187.80700129209</v>
      </c>
      <c r="H94" s="14">
        <v>287258.99570752401</v>
      </c>
      <c r="I94" s="14">
        <v>239245.70777759296</v>
      </c>
      <c r="J94" s="14">
        <v>1504221.953546193</v>
      </c>
      <c r="K94" s="14">
        <v>751950.3641706144</v>
      </c>
      <c r="L94" s="14">
        <v>178325.69846605038</v>
      </c>
      <c r="M94" s="14">
        <v>290198.77230583795</v>
      </c>
      <c r="N94" s="14">
        <v>224951.76637861991</v>
      </c>
      <c r="O94" s="14">
        <v>1445426.6013211228</v>
      </c>
      <c r="P94" s="15">
        <v>0.96091311386164757</v>
      </c>
      <c r="Q94" s="14">
        <v>52989</v>
      </c>
      <c r="R94" s="11" t="str">
        <f t="shared" si="1"/>
        <v>*</v>
      </c>
      <c r="T94" s="12"/>
    </row>
    <row r="95" spans="1:20" x14ac:dyDescent="0.3">
      <c r="A95" s="17">
        <v>1</v>
      </c>
      <c r="B95" s="17">
        <v>4</v>
      </c>
      <c r="C95" s="14" t="s">
        <v>572</v>
      </c>
      <c r="D95" s="16">
        <v>403900</v>
      </c>
      <c r="E95" s="14" t="s">
        <v>201</v>
      </c>
      <c r="F95" s="14">
        <v>38335.683121067086</v>
      </c>
      <c r="G95" s="14">
        <v>9734.0050997693797</v>
      </c>
      <c r="H95" s="14">
        <v>25188.336209411635</v>
      </c>
      <c r="I95" s="14">
        <v>27746.961801738078</v>
      </c>
      <c r="J95" s="14">
        <v>101004.98623198617</v>
      </c>
      <c r="K95" s="14">
        <v>34502.114808960381</v>
      </c>
      <c r="L95" s="14">
        <v>8760.6045897924414</v>
      </c>
      <c r="M95" s="14">
        <v>22669.50258847047</v>
      </c>
      <c r="N95" s="14">
        <v>24972.265621564271</v>
      </c>
      <c r="O95" s="14">
        <v>90904.487608787575</v>
      </c>
      <c r="P95" s="15">
        <v>0.90000000000000024</v>
      </c>
      <c r="Q95" s="14">
        <v>763</v>
      </c>
      <c r="R95" s="11" t="str">
        <f t="shared" si="1"/>
        <v xml:space="preserve">  </v>
      </c>
      <c r="T95" s="12"/>
    </row>
    <row r="96" spans="1:20" x14ac:dyDescent="0.3">
      <c r="A96" s="17">
        <v>1</v>
      </c>
      <c r="B96" s="17">
        <v>4</v>
      </c>
      <c r="C96" s="14" t="s">
        <v>572</v>
      </c>
      <c r="D96" s="16">
        <v>403950</v>
      </c>
      <c r="E96" s="14" t="s">
        <v>588</v>
      </c>
      <c r="F96" s="14">
        <v>612376.28773926757</v>
      </c>
      <c r="G96" s="14">
        <v>149355.98386485083</v>
      </c>
      <c r="H96" s="14">
        <v>448181.29614389525</v>
      </c>
      <c r="I96" s="14">
        <v>524775.3185737849</v>
      </c>
      <c r="J96" s="14">
        <v>1734688.8863217984</v>
      </c>
      <c r="K96" s="14">
        <v>581757.47335230419</v>
      </c>
      <c r="L96" s="14">
        <v>141888.18467160829</v>
      </c>
      <c r="M96" s="14">
        <v>425772.23133670044</v>
      </c>
      <c r="N96" s="14">
        <v>498536.55264509562</v>
      </c>
      <c r="O96" s="14">
        <v>1647954.4420057086</v>
      </c>
      <c r="P96" s="15">
        <v>0.95000000000000007</v>
      </c>
      <c r="Q96" s="14">
        <v>7351</v>
      </c>
      <c r="R96" s="11" t="str">
        <f t="shared" si="1"/>
        <v xml:space="preserve">  </v>
      </c>
      <c r="T96" s="12"/>
    </row>
    <row r="97" spans="1:20" x14ac:dyDescent="0.3">
      <c r="A97" s="17">
        <v>1</v>
      </c>
      <c r="B97" s="17">
        <v>4</v>
      </c>
      <c r="C97" s="14" t="s">
        <v>572</v>
      </c>
      <c r="D97" s="16">
        <v>403960</v>
      </c>
      <c r="E97" s="14" t="s">
        <v>220</v>
      </c>
      <c r="F97" s="14">
        <v>2019182.9923000475</v>
      </c>
      <c r="G97" s="14">
        <v>478464.16680237791</v>
      </c>
      <c r="H97" s="14">
        <v>1401820.1549212004</v>
      </c>
      <c r="I97" s="14">
        <v>1286286.7658443255</v>
      </c>
      <c r="J97" s="14">
        <v>5185754.0798679516</v>
      </c>
      <c r="K97" s="14">
        <v>2140275.2837152295</v>
      </c>
      <c r="L97" s="14">
        <v>507568.18942313065</v>
      </c>
      <c r="M97" s="14">
        <v>1652767.0994421782</v>
      </c>
      <c r="N97" s="14">
        <v>1704361.6185219369</v>
      </c>
      <c r="O97" s="14">
        <v>6004972.1911024759</v>
      </c>
      <c r="P97" s="15">
        <v>1.1579747320481084</v>
      </c>
      <c r="Q97" s="14">
        <v>46154</v>
      </c>
      <c r="R97" s="11" t="str">
        <f t="shared" si="1"/>
        <v>*</v>
      </c>
      <c r="T97" s="12"/>
    </row>
    <row r="98" spans="1:20" x14ac:dyDescent="0.3">
      <c r="A98" s="17">
        <v>1</v>
      </c>
      <c r="B98" s="17">
        <v>4</v>
      </c>
      <c r="C98" s="14" t="s">
        <v>572</v>
      </c>
      <c r="D98" s="16">
        <v>403990</v>
      </c>
      <c r="E98" s="14" t="s">
        <v>587</v>
      </c>
      <c r="F98" s="14">
        <v>834792.4202976441</v>
      </c>
      <c r="G98" s="14">
        <v>197811.81861861673</v>
      </c>
      <c r="H98" s="14">
        <v>299941.73702944198</v>
      </c>
      <c r="I98" s="14">
        <v>208002.71495006408</v>
      </c>
      <c r="J98" s="14">
        <v>1540548.690895767</v>
      </c>
      <c r="K98" s="14">
        <v>751313.17826787976</v>
      </c>
      <c r="L98" s="14">
        <v>178030.63675675506</v>
      </c>
      <c r="M98" s="14">
        <v>269947.5633264978</v>
      </c>
      <c r="N98" s="14">
        <v>194928.87113473663</v>
      </c>
      <c r="O98" s="14">
        <v>1394220.2494858692</v>
      </c>
      <c r="P98" s="15">
        <v>0.90501537388940712</v>
      </c>
      <c r="Q98" s="14">
        <v>37294</v>
      </c>
      <c r="R98" s="11" t="str">
        <f t="shared" si="1"/>
        <v>*</v>
      </c>
      <c r="T98" s="12"/>
    </row>
    <row r="99" spans="1:20" x14ac:dyDescent="0.3">
      <c r="A99" s="17">
        <v>1</v>
      </c>
      <c r="B99" s="17">
        <v>4</v>
      </c>
      <c r="C99" s="14" t="s">
        <v>572</v>
      </c>
      <c r="D99" s="16">
        <v>404010</v>
      </c>
      <c r="E99" s="14" t="s">
        <v>223</v>
      </c>
      <c r="F99" s="14">
        <v>96854.369205804003</v>
      </c>
      <c r="G99" s="14">
        <v>22950.542491662723</v>
      </c>
      <c r="H99" s="14">
        <v>63021.277996220146</v>
      </c>
      <c r="I99" s="14">
        <v>56419.562327519721</v>
      </c>
      <c r="J99" s="14">
        <v>239245.7520212066</v>
      </c>
      <c r="K99" s="14">
        <v>92011.650745513805</v>
      </c>
      <c r="L99" s="14">
        <v>21803.015367079588</v>
      </c>
      <c r="M99" s="14">
        <v>59870.214096409138</v>
      </c>
      <c r="N99" s="14">
        <v>53598.58421114373</v>
      </c>
      <c r="O99" s="14">
        <v>227283.46442014625</v>
      </c>
      <c r="P99" s="15">
        <v>0.95</v>
      </c>
      <c r="Q99" s="14">
        <v>1802</v>
      </c>
      <c r="R99" s="11" t="str">
        <f t="shared" si="1"/>
        <v xml:space="preserve">  </v>
      </c>
      <c r="T99" s="12"/>
    </row>
    <row r="100" spans="1:20" x14ac:dyDescent="0.3">
      <c r="A100" s="17">
        <v>1</v>
      </c>
      <c r="B100" s="17">
        <v>4</v>
      </c>
      <c r="C100" s="14" t="s">
        <v>572</v>
      </c>
      <c r="D100" s="16">
        <v>404060</v>
      </c>
      <c r="E100" s="14" t="s">
        <v>239</v>
      </c>
      <c r="F100" s="14">
        <v>641083.68188603607</v>
      </c>
      <c r="G100" s="14">
        <v>159737.41505464757</v>
      </c>
      <c r="H100" s="14">
        <v>437606.19354550989</v>
      </c>
      <c r="I100" s="14">
        <v>422773.20055062359</v>
      </c>
      <c r="J100" s="14">
        <v>1661200.491036817</v>
      </c>
      <c r="K100" s="14">
        <v>609029.49779173429</v>
      </c>
      <c r="L100" s="14">
        <v>151750.54430191519</v>
      </c>
      <c r="M100" s="14">
        <v>415725.88386823435</v>
      </c>
      <c r="N100" s="14">
        <v>401634.54052309238</v>
      </c>
      <c r="O100" s="14">
        <v>1578140.466484976</v>
      </c>
      <c r="P100" s="15">
        <v>0.95</v>
      </c>
      <c r="Q100" s="14">
        <v>10538</v>
      </c>
      <c r="R100" s="11" t="str">
        <f t="shared" si="1"/>
        <v xml:space="preserve">  </v>
      </c>
      <c r="T100" s="12"/>
    </row>
    <row r="101" spans="1:20" x14ac:dyDescent="0.3">
      <c r="A101" s="17">
        <v>1</v>
      </c>
      <c r="B101" s="17">
        <v>4</v>
      </c>
      <c r="C101" s="14" t="s">
        <v>572</v>
      </c>
      <c r="D101" s="16">
        <v>400295</v>
      </c>
      <c r="E101" s="14" t="s">
        <v>242</v>
      </c>
      <c r="F101" s="14">
        <v>1121665.8376595967</v>
      </c>
      <c r="G101" s="14">
        <v>265789.13971297012</v>
      </c>
      <c r="H101" s="14">
        <v>446582.03811783786</v>
      </c>
      <c r="I101" s="14">
        <v>397018.5593299006</v>
      </c>
      <c r="J101" s="14">
        <v>2231055.5748203052</v>
      </c>
      <c r="K101" s="14">
        <v>1291146.892556444</v>
      </c>
      <c r="L101" s="14">
        <v>306196.63532094099</v>
      </c>
      <c r="M101" s="14">
        <v>607320.7694069033</v>
      </c>
      <c r="N101" s="14">
        <v>494919.9938546886</v>
      </c>
      <c r="O101" s="14">
        <v>2699584.2911389768</v>
      </c>
      <c r="P101" s="15">
        <v>1.2100031579699255</v>
      </c>
      <c r="Q101" s="14">
        <v>66418</v>
      </c>
      <c r="R101" s="11" t="str">
        <f t="shared" si="1"/>
        <v>*</v>
      </c>
      <c r="T101" s="12"/>
    </row>
    <row r="102" spans="1:20" x14ac:dyDescent="0.3">
      <c r="A102" s="17">
        <v>1</v>
      </c>
      <c r="B102" s="17">
        <v>4</v>
      </c>
      <c r="C102" s="14" t="s">
        <v>572</v>
      </c>
      <c r="D102" s="16">
        <v>404170</v>
      </c>
      <c r="E102" s="14" t="s">
        <v>243</v>
      </c>
      <c r="F102" s="14">
        <v>21336.736218226244</v>
      </c>
      <c r="G102" s="14">
        <v>4927.6469450403292</v>
      </c>
      <c r="H102" s="14">
        <v>11665.251961290429</v>
      </c>
      <c r="I102" s="14">
        <v>10898.380414524952</v>
      </c>
      <c r="J102" s="14">
        <v>48828.015539081956</v>
      </c>
      <c r="K102" s="14">
        <v>21699.94777405787</v>
      </c>
      <c r="L102" s="14">
        <v>5146.1619381670744</v>
      </c>
      <c r="M102" s="14">
        <v>11081.989363225906</v>
      </c>
      <c r="N102" s="14">
        <v>10353.461393798705</v>
      </c>
      <c r="O102" s="14">
        <v>48281.560469249554</v>
      </c>
      <c r="P102" s="15">
        <v>0.98880857508134812</v>
      </c>
      <c r="Q102" s="14">
        <v>1173</v>
      </c>
      <c r="R102" s="11" t="str">
        <f t="shared" si="1"/>
        <v xml:space="preserve">  </v>
      </c>
      <c r="T102" s="12"/>
    </row>
    <row r="103" spans="1:20" x14ac:dyDescent="0.3">
      <c r="A103" s="17">
        <v>1</v>
      </c>
      <c r="B103" s="17">
        <v>4</v>
      </c>
      <c r="C103" s="14" t="s">
        <v>572</v>
      </c>
      <c r="D103" s="16">
        <v>404200</v>
      </c>
      <c r="E103" s="14" t="s">
        <v>509</v>
      </c>
      <c r="F103" s="14">
        <v>0</v>
      </c>
      <c r="G103" s="14">
        <v>0</v>
      </c>
      <c r="H103" s="14">
        <v>0</v>
      </c>
      <c r="I103" s="14">
        <v>0</v>
      </c>
      <c r="J103" s="14">
        <v>0</v>
      </c>
      <c r="K103" s="14">
        <v>0</v>
      </c>
      <c r="L103" s="14">
        <v>0</v>
      </c>
      <c r="M103" s="14">
        <v>0</v>
      </c>
      <c r="N103" s="14">
        <v>0</v>
      </c>
      <c r="O103" s="14">
        <v>0</v>
      </c>
      <c r="P103" s="15">
        <v>0</v>
      </c>
      <c r="Q103" s="14">
        <v>67</v>
      </c>
      <c r="R103" s="11" t="str">
        <f t="shared" si="1"/>
        <v xml:space="preserve">  </v>
      </c>
      <c r="T103" s="12"/>
    </row>
    <row r="104" spans="1:20" x14ac:dyDescent="0.3">
      <c r="A104" s="17">
        <v>1</v>
      </c>
      <c r="B104" s="17">
        <v>4</v>
      </c>
      <c r="C104" s="14" t="s">
        <v>572</v>
      </c>
      <c r="D104" s="16">
        <v>404230</v>
      </c>
      <c r="E104" s="14" t="s">
        <v>244</v>
      </c>
      <c r="F104" s="14">
        <v>827874.25106865808</v>
      </c>
      <c r="G104" s="14">
        <v>0</v>
      </c>
      <c r="H104" s="14">
        <v>297093.58801776759</v>
      </c>
      <c r="I104" s="14">
        <v>208132.21380234184</v>
      </c>
      <c r="J104" s="14">
        <v>1333100.0528887676</v>
      </c>
      <c r="K104" s="14">
        <v>825541.49140437611</v>
      </c>
      <c r="L104" s="14">
        <v>0</v>
      </c>
      <c r="M104" s="14">
        <v>323396.77412425214</v>
      </c>
      <c r="N104" s="14">
        <v>250685.67658766272</v>
      </c>
      <c r="O104" s="14">
        <v>1399623.9421162908</v>
      </c>
      <c r="P104" s="15">
        <v>1.0499016477295675</v>
      </c>
      <c r="Q104" s="14">
        <v>161007</v>
      </c>
      <c r="R104" s="11" t="str">
        <f t="shared" si="1"/>
        <v>*</v>
      </c>
      <c r="T104" s="12"/>
    </row>
    <row r="105" spans="1:20" x14ac:dyDescent="0.3">
      <c r="A105" s="17">
        <v>1</v>
      </c>
      <c r="B105" s="17">
        <v>4</v>
      </c>
      <c r="C105" s="14" t="s">
        <v>572</v>
      </c>
      <c r="D105" s="16">
        <v>404280</v>
      </c>
      <c r="E105" s="14" t="s">
        <v>246</v>
      </c>
      <c r="F105" s="14">
        <v>797434.30646111968</v>
      </c>
      <c r="G105" s="14">
        <v>188959.46651468976</v>
      </c>
      <c r="H105" s="14">
        <v>295393.68560821115</v>
      </c>
      <c r="I105" s="14">
        <v>239679.78482687991</v>
      </c>
      <c r="J105" s="14">
        <v>1521467.2434109005</v>
      </c>
      <c r="K105" s="14">
        <v>816106.73150261189</v>
      </c>
      <c r="L105" s="14">
        <v>193540.43810932699</v>
      </c>
      <c r="M105" s="14">
        <v>335597.3093489444</v>
      </c>
      <c r="N105" s="14">
        <v>258548.74983381853</v>
      </c>
      <c r="O105" s="14">
        <v>1603793.2287947019</v>
      </c>
      <c r="P105" s="15">
        <v>1.054109600939708</v>
      </c>
      <c r="Q105" s="14">
        <v>56412</v>
      </c>
      <c r="R105" s="11" t="str">
        <f t="shared" si="1"/>
        <v>*</v>
      </c>
      <c r="T105" s="12"/>
    </row>
    <row r="106" spans="1:20" x14ac:dyDescent="0.3">
      <c r="A106" s="17">
        <v>1</v>
      </c>
      <c r="B106" s="17">
        <v>4</v>
      </c>
      <c r="C106" s="14" t="s">
        <v>572</v>
      </c>
      <c r="D106" s="16">
        <v>404290</v>
      </c>
      <c r="E106" s="14" t="s">
        <v>247</v>
      </c>
      <c r="F106" s="14">
        <v>836637.2654253738</v>
      </c>
      <c r="G106" s="14">
        <v>198248.97180893415</v>
      </c>
      <c r="H106" s="14">
        <v>325194.73948010249</v>
      </c>
      <c r="I106" s="14">
        <v>227673.19242013435</v>
      </c>
      <c r="J106" s="14">
        <v>1587754.1691345447</v>
      </c>
      <c r="K106" s="14">
        <v>846769.70118334552</v>
      </c>
      <c r="L106" s="14">
        <v>200812.18867412821</v>
      </c>
      <c r="M106" s="14">
        <v>355122.35943893809</v>
      </c>
      <c r="N106" s="14">
        <v>276030.16895033704</v>
      </c>
      <c r="O106" s="14">
        <v>1678734.4182467489</v>
      </c>
      <c r="P106" s="15">
        <v>1.0573012188415767</v>
      </c>
      <c r="Q106" s="14">
        <v>43808</v>
      </c>
      <c r="R106" s="11" t="str">
        <f t="shared" si="1"/>
        <v>*</v>
      </c>
      <c r="T106" s="12"/>
    </row>
    <row r="107" spans="1:20" x14ac:dyDescent="0.3">
      <c r="A107" s="17">
        <v>1</v>
      </c>
      <c r="B107" s="17">
        <v>4</v>
      </c>
      <c r="C107" s="14" t="s">
        <v>572</v>
      </c>
      <c r="D107" s="16">
        <v>404320</v>
      </c>
      <c r="E107" s="14" t="s">
        <v>260</v>
      </c>
      <c r="F107" s="14">
        <v>308089.13633084332</v>
      </c>
      <c r="G107" s="14">
        <v>73004.582783003309</v>
      </c>
      <c r="H107" s="14">
        <v>88234.751303208584</v>
      </c>
      <c r="I107" s="14">
        <v>60338.949716494812</v>
      </c>
      <c r="J107" s="14">
        <v>529667.42013355007</v>
      </c>
      <c r="K107" s="14">
        <v>308988.3867827807</v>
      </c>
      <c r="L107" s="14">
        <v>73276.871076074662</v>
      </c>
      <c r="M107" s="14">
        <v>95033.188773373229</v>
      </c>
      <c r="N107" s="14">
        <v>73121.883101025276</v>
      </c>
      <c r="O107" s="14">
        <v>550420.32973325381</v>
      </c>
      <c r="P107" s="15">
        <v>1.0391810196565821</v>
      </c>
      <c r="Q107" s="14">
        <v>25637</v>
      </c>
      <c r="R107" s="11" t="str">
        <f t="shared" si="1"/>
        <v>*</v>
      </c>
      <c r="T107" s="12"/>
    </row>
    <row r="108" spans="1:20" x14ac:dyDescent="0.3">
      <c r="A108" s="17">
        <v>1</v>
      </c>
      <c r="B108" s="17">
        <v>4</v>
      </c>
      <c r="C108" s="14" t="s">
        <v>572</v>
      </c>
      <c r="D108" s="16">
        <v>404380</v>
      </c>
      <c r="E108" s="14" t="s">
        <v>262</v>
      </c>
      <c r="F108" s="14">
        <v>915504.39463581424</v>
      </c>
      <c r="G108" s="14">
        <v>216937.27069500231</v>
      </c>
      <c r="H108" s="14">
        <v>333170.14216564305</v>
      </c>
      <c r="I108" s="14">
        <v>231045.85176137104</v>
      </c>
      <c r="J108" s="14">
        <v>1696657.6592578308</v>
      </c>
      <c r="K108" s="14">
        <v>837806.67927666986</v>
      </c>
      <c r="L108" s="14">
        <v>198686.60004749396</v>
      </c>
      <c r="M108" s="14">
        <v>328929.77442732116</v>
      </c>
      <c r="N108" s="14">
        <v>254974.66162250316</v>
      </c>
      <c r="O108" s="14">
        <v>1620397.715373988</v>
      </c>
      <c r="P108" s="15">
        <v>0.95505283964167453</v>
      </c>
      <c r="Q108" s="14">
        <v>81452</v>
      </c>
      <c r="R108" s="11" t="str">
        <f t="shared" si="1"/>
        <v>*</v>
      </c>
      <c r="T108" s="12"/>
    </row>
    <row r="109" spans="1:20" x14ac:dyDescent="0.3">
      <c r="A109" s="17">
        <v>1</v>
      </c>
      <c r="B109" s="17">
        <v>4</v>
      </c>
      <c r="C109" s="14" t="s">
        <v>572</v>
      </c>
      <c r="D109" s="16">
        <v>404410</v>
      </c>
      <c r="E109" s="14" t="s">
        <v>263</v>
      </c>
      <c r="F109" s="14">
        <v>109467.58618075159</v>
      </c>
      <c r="G109" s="14">
        <v>23757.597646804395</v>
      </c>
      <c r="H109" s="14">
        <v>66995.123208870253</v>
      </c>
      <c r="I109" s="14">
        <v>70393.559146888132</v>
      </c>
      <c r="J109" s="14">
        <v>270613.86618331436</v>
      </c>
      <c r="K109" s="14">
        <v>98520.827562676437</v>
      </c>
      <c r="L109" s="14">
        <v>21381.837882123957</v>
      </c>
      <c r="M109" s="14">
        <v>60295.610887983232</v>
      </c>
      <c r="N109" s="14">
        <v>63354.203232199317</v>
      </c>
      <c r="O109" s="14">
        <v>243552.47956498293</v>
      </c>
      <c r="P109" s="15">
        <v>0.9</v>
      </c>
      <c r="Q109" s="14">
        <v>3992</v>
      </c>
      <c r="R109" s="11" t="str">
        <f t="shared" si="1"/>
        <v xml:space="preserve">  </v>
      </c>
      <c r="T109" s="12"/>
    </row>
    <row r="110" spans="1:20" x14ac:dyDescent="0.3">
      <c r="A110" s="17">
        <v>1</v>
      </c>
      <c r="B110" s="17">
        <v>4</v>
      </c>
      <c r="C110" s="14" t="s">
        <v>572</v>
      </c>
      <c r="D110" s="16">
        <v>404440</v>
      </c>
      <c r="E110" s="14" t="s">
        <v>264</v>
      </c>
      <c r="F110" s="14">
        <v>768377.99569937878</v>
      </c>
      <c r="G110" s="14">
        <v>182074.30376719087</v>
      </c>
      <c r="H110" s="14">
        <v>284978.22669020755</v>
      </c>
      <c r="I110" s="14">
        <v>195348.43372214513</v>
      </c>
      <c r="J110" s="14">
        <v>1430778.9598789224</v>
      </c>
      <c r="K110" s="14">
        <v>781198.11986608349</v>
      </c>
      <c r="L110" s="14">
        <v>185261.82977401468</v>
      </c>
      <c r="M110" s="14">
        <v>313281.17981760838</v>
      </c>
      <c r="N110" s="14">
        <v>238548.43180113309</v>
      </c>
      <c r="O110" s="14">
        <v>1518289.5612588397</v>
      </c>
      <c r="P110" s="15">
        <v>1.0611629076425073</v>
      </c>
      <c r="Q110" s="14">
        <v>41840</v>
      </c>
      <c r="R110" s="11" t="str">
        <f t="shared" si="1"/>
        <v>*</v>
      </c>
      <c r="T110" s="12"/>
    </row>
    <row r="111" spans="1:20" x14ac:dyDescent="0.3">
      <c r="A111" s="17">
        <v>1</v>
      </c>
      <c r="B111" s="17">
        <v>4</v>
      </c>
      <c r="C111" s="14" t="s">
        <v>572</v>
      </c>
      <c r="D111" s="16">
        <v>404500</v>
      </c>
      <c r="E111" s="14" t="s">
        <v>265</v>
      </c>
      <c r="F111" s="14">
        <v>520707.53730167972</v>
      </c>
      <c r="G111" s="14">
        <v>123386.48796708196</v>
      </c>
      <c r="H111" s="14">
        <v>172326.01542423322</v>
      </c>
      <c r="I111" s="14">
        <v>126609.58019173821</v>
      </c>
      <c r="J111" s="14">
        <v>943029.62088473304</v>
      </c>
      <c r="K111" s="14">
        <v>516553.10462159506</v>
      </c>
      <c r="L111" s="14">
        <v>122501.02874549883</v>
      </c>
      <c r="M111" s="14">
        <v>184007.72802770566</v>
      </c>
      <c r="N111" s="14">
        <v>142636.24590225861</v>
      </c>
      <c r="O111" s="14">
        <v>965698.10729705822</v>
      </c>
      <c r="P111" s="15">
        <v>1.024037936784062</v>
      </c>
      <c r="Q111" s="14">
        <v>59119</v>
      </c>
      <c r="R111" s="11" t="str">
        <f t="shared" si="1"/>
        <v>*</v>
      </c>
      <c r="T111" s="12"/>
    </row>
    <row r="112" spans="1:20" x14ac:dyDescent="0.3">
      <c r="A112" s="17">
        <v>1</v>
      </c>
      <c r="B112" s="17">
        <v>4</v>
      </c>
      <c r="C112" s="14" t="s">
        <v>572</v>
      </c>
      <c r="D112" s="16">
        <v>404530</v>
      </c>
      <c r="E112" s="14" t="s">
        <v>267</v>
      </c>
      <c r="F112" s="14">
        <v>13375.127176039599</v>
      </c>
      <c r="G112" s="14">
        <v>3169.3606298010423</v>
      </c>
      <c r="H112" s="14">
        <v>4072.3277614322101</v>
      </c>
      <c r="I112" s="14">
        <v>2731.2832549840891</v>
      </c>
      <c r="J112" s="14">
        <v>23348.098822256943</v>
      </c>
      <c r="K112" s="14">
        <v>12037.614458435639</v>
      </c>
      <c r="L112" s="14">
        <v>2852.4245668209383</v>
      </c>
      <c r="M112" s="14">
        <v>3665.0949852889889</v>
      </c>
      <c r="N112" s="14">
        <v>2639.3754060556716</v>
      </c>
      <c r="O112" s="14">
        <v>21194.509416601239</v>
      </c>
      <c r="P112" s="15">
        <v>0.90776168021000658</v>
      </c>
      <c r="Q112" s="14">
        <v>1310</v>
      </c>
      <c r="R112" s="11" t="str">
        <f t="shared" si="1"/>
        <v xml:space="preserve">  </v>
      </c>
      <c r="T112" s="12"/>
    </row>
    <row r="113" spans="1:20" x14ac:dyDescent="0.3">
      <c r="A113" s="17">
        <v>1</v>
      </c>
      <c r="B113" s="17">
        <v>4</v>
      </c>
      <c r="C113" s="14" t="s">
        <v>572</v>
      </c>
      <c r="D113" s="16">
        <v>404570</v>
      </c>
      <c r="E113" s="14" t="s">
        <v>268</v>
      </c>
      <c r="F113" s="14">
        <v>247526.77171046709</v>
      </c>
      <c r="G113" s="14">
        <v>60370.731626773464</v>
      </c>
      <c r="H113" s="14">
        <v>82322.008550970189</v>
      </c>
      <c r="I113" s="14">
        <v>67293.153803316731</v>
      </c>
      <c r="J113" s="14">
        <v>457512.66569152742</v>
      </c>
      <c r="K113" s="14">
        <v>222774.09453942039</v>
      </c>
      <c r="L113" s="14">
        <v>54333.658464096115</v>
      </c>
      <c r="M113" s="14">
        <v>74089.807695873169</v>
      </c>
      <c r="N113" s="14">
        <v>60563.838422985056</v>
      </c>
      <c r="O113" s="14">
        <v>411761.39912237471</v>
      </c>
      <c r="P113" s="15">
        <v>0.9</v>
      </c>
      <c r="Q113" s="14">
        <v>5840</v>
      </c>
      <c r="R113" s="11" t="str">
        <f t="shared" si="1"/>
        <v xml:space="preserve">  </v>
      </c>
      <c r="T113" s="12"/>
    </row>
    <row r="114" spans="1:20" x14ac:dyDescent="0.3">
      <c r="A114" s="17">
        <v>1</v>
      </c>
      <c r="B114" s="17">
        <v>4</v>
      </c>
      <c r="C114" s="14" t="s">
        <v>572</v>
      </c>
      <c r="D114" s="16">
        <v>404630</v>
      </c>
      <c r="E114" s="14" t="s">
        <v>269</v>
      </c>
      <c r="F114" s="14">
        <v>918271.66232740832</v>
      </c>
      <c r="G114" s="14">
        <v>161260.85438538081</v>
      </c>
      <c r="H114" s="14">
        <v>334309.40177031269</v>
      </c>
      <c r="I114" s="14">
        <v>261574.53250913683</v>
      </c>
      <c r="J114" s="14">
        <v>1675416.4509922387</v>
      </c>
      <c r="K114" s="14">
        <v>1018954.0693905442</v>
      </c>
      <c r="L114" s="14">
        <v>137071.72622757367</v>
      </c>
      <c r="M114" s="14">
        <v>410647.93274957128</v>
      </c>
      <c r="N114" s="14">
        <v>318319.67136783927</v>
      </c>
      <c r="O114" s="14">
        <v>1884993.3997355283</v>
      </c>
      <c r="P114" s="15">
        <v>1.1250894657380086</v>
      </c>
      <c r="Q114" s="14">
        <v>88757</v>
      </c>
      <c r="R114" s="11" t="str">
        <f t="shared" si="1"/>
        <v>*</v>
      </c>
      <c r="T114" s="12"/>
    </row>
    <row r="115" spans="1:20" x14ac:dyDescent="0.3">
      <c r="A115" s="17">
        <v>1</v>
      </c>
      <c r="B115" s="17">
        <v>4</v>
      </c>
      <c r="C115" s="14" t="s">
        <v>572</v>
      </c>
      <c r="D115" s="16">
        <v>404720</v>
      </c>
      <c r="E115" s="14" t="s">
        <v>273</v>
      </c>
      <c r="F115" s="14">
        <v>743933.79775696143</v>
      </c>
      <c r="G115" s="14">
        <v>0</v>
      </c>
      <c r="H115" s="14">
        <v>262536.04667611839</v>
      </c>
      <c r="I115" s="14">
        <v>182062.72665390713</v>
      </c>
      <c r="J115" s="14">
        <v>1188532.5710869869</v>
      </c>
      <c r="K115" s="14">
        <v>798652.42568434798</v>
      </c>
      <c r="L115" s="14">
        <v>189401.13394167082</v>
      </c>
      <c r="M115" s="14">
        <v>311266.7349982931</v>
      </c>
      <c r="N115" s="14">
        <v>241282.90170358942</v>
      </c>
      <c r="O115" s="14">
        <v>1540603.1963279012</v>
      </c>
      <c r="P115" s="15">
        <v>1.2962229507256362</v>
      </c>
      <c r="Q115" s="14">
        <v>50580</v>
      </c>
      <c r="R115" s="11" t="str">
        <f t="shared" si="1"/>
        <v>*</v>
      </c>
      <c r="T115" s="12"/>
    </row>
    <row r="116" spans="1:20" x14ac:dyDescent="0.3">
      <c r="A116" s="17">
        <v>1</v>
      </c>
      <c r="B116" s="17">
        <v>4</v>
      </c>
      <c r="C116" s="14" t="s">
        <v>572</v>
      </c>
      <c r="D116" s="16">
        <v>404820</v>
      </c>
      <c r="E116" s="14" t="s">
        <v>586</v>
      </c>
      <c r="F116" s="14">
        <v>116225.24304696481</v>
      </c>
      <c r="G116" s="14">
        <v>27540.650989995258</v>
      </c>
      <c r="H116" s="14">
        <v>57100.118608399716</v>
      </c>
      <c r="I116" s="14">
        <v>44840.640651635149</v>
      </c>
      <c r="J116" s="14">
        <v>245706.65329699495</v>
      </c>
      <c r="K116" s="14">
        <v>110413.98089461656</v>
      </c>
      <c r="L116" s="14">
        <v>26163.618440495495</v>
      </c>
      <c r="M116" s="14">
        <v>54245.112677979727</v>
      </c>
      <c r="N116" s="14">
        <v>43498.451826149794</v>
      </c>
      <c r="O116" s="14">
        <v>234321.16383924158</v>
      </c>
      <c r="P116" s="15">
        <v>0.95366226634493578</v>
      </c>
      <c r="Q116" s="14">
        <v>5890</v>
      </c>
      <c r="R116" s="11" t="str">
        <f t="shared" si="1"/>
        <v xml:space="preserve">  </v>
      </c>
      <c r="T116" s="12"/>
    </row>
    <row r="117" spans="1:20" x14ac:dyDescent="0.3">
      <c r="A117" s="17">
        <v>1</v>
      </c>
      <c r="B117" s="17">
        <v>4</v>
      </c>
      <c r="C117" s="14" t="s">
        <v>572</v>
      </c>
      <c r="D117" s="16">
        <v>404860</v>
      </c>
      <c r="E117" s="14" t="s">
        <v>585</v>
      </c>
      <c r="F117" s="14">
        <v>41509.015373916001</v>
      </c>
      <c r="G117" s="14">
        <v>9835.9467821411617</v>
      </c>
      <c r="H117" s="14">
        <v>29455.177325534878</v>
      </c>
      <c r="I117" s="14">
        <v>35135.521705145184</v>
      </c>
      <c r="J117" s="14">
        <v>115935.66118673721</v>
      </c>
      <c r="K117" s="14">
        <v>39433.564605220199</v>
      </c>
      <c r="L117" s="14">
        <v>9344.1494430341027</v>
      </c>
      <c r="M117" s="14">
        <v>27982.418459258133</v>
      </c>
      <c r="N117" s="14">
        <v>33378.745619887923</v>
      </c>
      <c r="O117" s="14">
        <v>110138.87812740036</v>
      </c>
      <c r="P117" s="15">
        <v>0.95000000000000007</v>
      </c>
      <c r="Q117" s="14">
        <v>551</v>
      </c>
      <c r="R117" s="11" t="str">
        <f t="shared" si="1"/>
        <v xml:space="preserve">  </v>
      </c>
      <c r="T117" s="12"/>
    </row>
    <row r="118" spans="1:20" x14ac:dyDescent="0.3">
      <c r="A118" s="17">
        <v>1</v>
      </c>
      <c r="B118" s="17">
        <v>4</v>
      </c>
      <c r="C118" s="14" t="s">
        <v>572</v>
      </c>
      <c r="D118" s="16">
        <v>404920</v>
      </c>
      <c r="E118" s="14" t="s">
        <v>281</v>
      </c>
      <c r="F118" s="14">
        <v>11433.277069046464</v>
      </c>
      <c r="G118" s="14">
        <v>2707.2616715062895</v>
      </c>
      <c r="H118" s="14">
        <v>4412.4870735928744</v>
      </c>
      <c r="I118" s="14">
        <v>4270.6784037689749</v>
      </c>
      <c r="J118" s="14">
        <v>22823.704217914605</v>
      </c>
      <c r="K118" s="14">
        <v>10289.949362141819</v>
      </c>
      <c r="L118" s="14">
        <v>2436.5355043556606</v>
      </c>
      <c r="M118" s="14">
        <v>3971.2383662335869</v>
      </c>
      <c r="N118" s="14">
        <v>3843.6105633920774</v>
      </c>
      <c r="O118" s="14">
        <v>20541.333796123145</v>
      </c>
      <c r="P118" s="15">
        <v>0.9</v>
      </c>
      <c r="Q118" s="14">
        <v>492</v>
      </c>
      <c r="R118" s="11" t="str">
        <f t="shared" si="1"/>
        <v xml:space="preserve">  </v>
      </c>
      <c r="T118" s="12"/>
    </row>
    <row r="119" spans="1:20" x14ac:dyDescent="0.3">
      <c r="A119" s="17">
        <v>1</v>
      </c>
      <c r="B119" s="17">
        <v>4</v>
      </c>
      <c r="C119" s="14" t="s">
        <v>572</v>
      </c>
      <c r="D119" s="16">
        <v>404970</v>
      </c>
      <c r="E119" s="14" t="s">
        <v>282</v>
      </c>
      <c r="F119" s="14">
        <v>10056712.002535984</v>
      </c>
      <c r="G119" s="14">
        <v>2383031.3287176457</v>
      </c>
      <c r="H119" s="14">
        <v>6216623.2016815394</v>
      </c>
      <c r="I119" s="14">
        <v>5585516.8814164316</v>
      </c>
      <c r="J119" s="14">
        <v>24241883.414351601</v>
      </c>
      <c r="K119" s="14">
        <v>9867343.6432601903</v>
      </c>
      <c r="L119" s="14">
        <v>2340049.3317530584</v>
      </c>
      <c r="M119" s="14">
        <v>6652439.7618219992</v>
      </c>
      <c r="N119" s="14">
        <v>6567700.7890561568</v>
      </c>
      <c r="O119" s="14">
        <v>25427533.525891405</v>
      </c>
      <c r="P119" s="15">
        <v>1.0489091582231551</v>
      </c>
      <c r="Q119" s="14">
        <v>485879</v>
      </c>
      <c r="R119" s="11" t="str">
        <f t="shared" si="1"/>
        <v>*</v>
      </c>
      <c r="T119" s="12"/>
    </row>
    <row r="120" spans="1:20" x14ac:dyDescent="0.3">
      <c r="A120" s="17">
        <v>1</v>
      </c>
      <c r="B120" s="17">
        <v>4</v>
      </c>
      <c r="C120" s="14" t="s">
        <v>572</v>
      </c>
      <c r="D120" s="16">
        <v>405030</v>
      </c>
      <c r="E120" s="14" t="s">
        <v>285</v>
      </c>
      <c r="F120" s="14">
        <v>230144.42968426764</v>
      </c>
      <c r="G120" s="14">
        <v>54534.860492093765</v>
      </c>
      <c r="H120" s="14">
        <v>129683.29107569352</v>
      </c>
      <c r="I120" s="14">
        <v>108956.15420056411</v>
      </c>
      <c r="J120" s="14">
        <v>523318.73545261903</v>
      </c>
      <c r="K120" s="14">
        <v>260399.37328869459</v>
      </c>
      <c r="L120" s="14">
        <v>61753.943258004874</v>
      </c>
      <c r="M120" s="14">
        <v>175195.99588286525</v>
      </c>
      <c r="N120" s="14">
        <v>171154.95560353203</v>
      </c>
      <c r="O120" s="14">
        <v>668504.2680330968</v>
      </c>
      <c r="P120" s="15">
        <v>1.2774323232568898</v>
      </c>
      <c r="Q120" s="14">
        <v>7467</v>
      </c>
      <c r="R120" s="11" t="str">
        <f t="shared" si="1"/>
        <v xml:space="preserve">  </v>
      </c>
      <c r="T120" s="12"/>
    </row>
    <row r="121" spans="1:20" x14ac:dyDescent="0.3">
      <c r="A121" s="17">
        <v>1</v>
      </c>
      <c r="B121" s="17">
        <v>4</v>
      </c>
      <c r="C121" s="14" t="s">
        <v>572</v>
      </c>
      <c r="D121" s="16">
        <v>405070</v>
      </c>
      <c r="E121" s="14" t="s">
        <v>288</v>
      </c>
      <c r="F121" s="14">
        <v>122220.98971208603</v>
      </c>
      <c r="G121" s="14">
        <v>28961.398858526754</v>
      </c>
      <c r="H121" s="14">
        <v>37046.481712901041</v>
      </c>
      <c r="I121" s="14">
        <v>30555.302574865698</v>
      </c>
      <c r="J121" s="14">
        <v>218784.17285837952</v>
      </c>
      <c r="K121" s="14">
        <v>126425.78268364158</v>
      </c>
      <c r="L121" s="14">
        <v>29981.986944103817</v>
      </c>
      <c r="M121" s="14">
        <v>41604.98435069983</v>
      </c>
      <c r="N121" s="14">
        <v>31324.81115251033</v>
      </c>
      <c r="O121" s="14">
        <v>229337.56513095554</v>
      </c>
      <c r="P121" s="15">
        <v>1.0482365435063135</v>
      </c>
      <c r="Q121" s="14">
        <v>34449</v>
      </c>
      <c r="R121" s="11" t="str">
        <f t="shared" si="1"/>
        <v>*</v>
      </c>
      <c r="T121" s="12"/>
    </row>
    <row r="122" spans="1:20" x14ac:dyDescent="0.3">
      <c r="A122" s="17">
        <v>1</v>
      </c>
      <c r="B122" s="17">
        <v>4</v>
      </c>
      <c r="C122" s="14" t="s">
        <v>572</v>
      </c>
      <c r="D122" s="16">
        <v>405100</v>
      </c>
      <c r="E122" s="14" t="s">
        <v>499</v>
      </c>
      <c r="F122" s="14">
        <v>0</v>
      </c>
      <c r="G122" s="14">
        <v>1256.9429189136347</v>
      </c>
      <c r="H122" s="14">
        <v>0</v>
      </c>
      <c r="I122" s="14">
        <v>0</v>
      </c>
      <c r="J122" s="14">
        <v>1256.9429189136347</v>
      </c>
      <c r="K122" s="14">
        <v>0</v>
      </c>
      <c r="L122" s="14">
        <v>1068.4014810765896</v>
      </c>
      <c r="M122" s="14">
        <v>0</v>
      </c>
      <c r="N122" s="14">
        <v>0</v>
      </c>
      <c r="O122" s="14">
        <v>1068.4014810765896</v>
      </c>
      <c r="P122" s="15">
        <v>0.85000000000000009</v>
      </c>
      <c r="Q122" s="14">
        <v>133</v>
      </c>
      <c r="R122" s="11" t="str">
        <f t="shared" si="1"/>
        <v xml:space="preserve">  </v>
      </c>
      <c r="T122" s="12"/>
    </row>
    <row r="123" spans="1:20" x14ac:dyDescent="0.3">
      <c r="A123" s="17">
        <v>1</v>
      </c>
      <c r="B123" s="17">
        <v>4</v>
      </c>
      <c r="C123" s="14" t="s">
        <v>572</v>
      </c>
      <c r="D123" s="16">
        <v>405190</v>
      </c>
      <c r="E123" s="14" t="s">
        <v>291</v>
      </c>
      <c r="F123" s="14">
        <v>288257.05120774999</v>
      </c>
      <c r="G123" s="14">
        <v>68305.185987091449</v>
      </c>
      <c r="H123" s="14">
        <v>123253.70860779907</v>
      </c>
      <c r="I123" s="14">
        <v>89706.479522019567</v>
      </c>
      <c r="J123" s="14">
        <v>569522.42532466003</v>
      </c>
      <c r="K123" s="14">
        <v>261814.58727395927</v>
      </c>
      <c r="L123" s="14">
        <v>62089.562514841855</v>
      </c>
      <c r="M123" s="14">
        <v>114835.2400112319</v>
      </c>
      <c r="N123" s="14">
        <v>91000.192795530762</v>
      </c>
      <c r="O123" s="14">
        <v>529739.58259556384</v>
      </c>
      <c r="P123" s="15">
        <v>0.93014701272488487</v>
      </c>
      <c r="Q123" s="14">
        <v>22064</v>
      </c>
      <c r="R123" s="11" t="str">
        <f t="shared" si="1"/>
        <v>*</v>
      </c>
      <c r="T123" s="12"/>
    </row>
    <row r="124" spans="1:20" x14ac:dyDescent="0.3">
      <c r="A124" s="17">
        <v>1</v>
      </c>
      <c r="B124" s="17">
        <v>4</v>
      </c>
      <c r="C124" s="14" t="s">
        <v>572</v>
      </c>
      <c r="D124" s="16">
        <v>405220</v>
      </c>
      <c r="E124" s="14" t="s">
        <v>292</v>
      </c>
      <c r="F124" s="14">
        <v>38322.599270172526</v>
      </c>
      <c r="G124" s="14">
        <v>9730.6829137285022</v>
      </c>
      <c r="H124" s="14">
        <v>17164.912551918031</v>
      </c>
      <c r="I124" s="14">
        <v>15639.795373451943</v>
      </c>
      <c r="J124" s="14">
        <v>80857.990109271006</v>
      </c>
      <c r="K124" s="14">
        <v>36406.469306663901</v>
      </c>
      <c r="L124" s="14">
        <v>9244.148768042076</v>
      </c>
      <c r="M124" s="14">
        <v>16306.666924322128</v>
      </c>
      <c r="N124" s="14">
        <v>14857.805604779345</v>
      </c>
      <c r="O124" s="14">
        <v>76815.090603807446</v>
      </c>
      <c r="P124" s="15">
        <v>0.94999999999999984</v>
      </c>
      <c r="Q124" s="14">
        <v>1657</v>
      </c>
      <c r="R124" s="11" t="str">
        <f t="shared" si="1"/>
        <v xml:space="preserve">  </v>
      </c>
      <c r="T124" s="12"/>
    </row>
    <row r="125" spans="1:20" x14ac:dyDescent="0.3">
      <c r="A125" s="17">
        <v>1</v>
      </c>
      <c r="B125" s="17">
        <v>4</v>
      </c>
      <c r="C125" s="14" t="s">
        <v>572</v>
      </c>
      <c r="D125" s="16">
        <v>405320</v>
      </c>
      <c r="E125" s="14" t="s">
        <v>295</v>
      </c>
      <c r="F125" s="14">
        <v>35513.2687087948</v>
      </c>
      <c r="G125" s="14">
        <v>8116.2823975822839</v>
      </c>
      <c r="H125" s="14">
        <v>9871.0888754633761</v>
      </c>
      <c r="I125" s="14">
        <v>7493.5822288063309</v>
      </c>
      <c r="J125" s="14">
        <v>60994.222210646789</v>
      </c>
      <c r="K125" s="14">
        <v>30186.278402475578</v>
      </c>
      <c r="L125" s="14">
        <v>6898.8400379449413</v>
      </c>
      <c r="M125" s="14">
        <v>8390.425544143869</v>
      </c>
      <c r="N125" s="14">
        <v>6369.5448944853815</v>
      </c>
      <c r="O125" s="14">
        <v>51845.08887904977</v>
      </c>
      <c r="P125" s="15">
        <v>0.85</v>
      </c>
      <c r="Q125" s="14">
        <v>3188</v>
      </c>
      <c r="R125" s="11" t="str">
        <f t="shared" si="1"/>
        <v xml:space="preserve">  </v>
      </c>
      <c r="T125" s="12"/>
    </row>
    <row r="126" spans="1:20" x14ac:dyDescent="0.3">
      <c r="A126" s="17">
        <v>1</v>
      </c>
      <c r="B126" s="17">
        <v>4</v>
      </c>
      <c r="C126" s="14" t="s">
        <v>572</v>
      </c>
      <c r="D126" s="16">
        <v>405340</v>
      </c>
      <c r="E126" s="14" t="s">
        <v>297</v>
      </c>
      <c r="F126" s="14">
        <v>28595.0994798088</v>
      </c>
      <c r="G126" s="14">
        <v>6775.8744499194672</v>
      </c>
      <c r="H126" s="14">
        <v>9816.2468362561685</v>
      </c>
      <c r="I126" s="14">
        <v>6476.9473382464912</v>
      </c>
      <c r="J126" s="14">
        <v>51664.168104230928</v>
      </c>
      <c r="K126" s="14">
        <v>24305.834557837479</v>
      </c>
      <c r="L126" s="14">
        <v>5759.4932824315474</v>
      </c>
      <c r="M126" s="14">
        <v>8343.8098108177437</v>
      </c>
      <c r="N126" s="14">
        <v>5505.4052375095171</v>
      </c>
      <c r="O126" s="14">
        <v>43914.54288859629</v>
      </c>
      <c r="P126" s="15">
        <v>0.85</v>
      </c>
      <c r="Q126" s="14">
        <v>1924</v>
      </c>
      <c r="R126" s="11" t="str">
        <f t="shared" si="1"/>
        <v xml:space="preserve">  </v>
      </c>
      <c r="T126" s="12"/>
    </row>
    <row r="127" spans="1:20" x14ac:dyDescent="0.3">
      <c r="A127" s="17">
        <v>1</v>
      </c>
      <c r="B127" s="17">
        <v>4</v>
      </c>
      <c r="C127" s="14" t="s">
        <v>572</v>
      </c>
      <c r="D127" s="16">
        <v>405400</v>
      </c>
      <c r="E127" s="14" t="s">
        <v>299</v>
      </c>
      <c r="F127" s="14">
        <v>791954.98815225996</v>
      </c>
      <c r="G127" s="14">
        <v>193154.46858471219</v>
      </c>
      <c r="H127" s="14">
        <v>544956.2835714476</v>
      </c>
      <c r="I127" s="14">
        <v>624376.14533878444</v>
      </c>
      <c r="J127" s="14">
        <v>2154441.8856472042</v>
      </c>
      <c r="K127" s="14">
        <v>752357.23874464689</v>
      </c>
      <c r="L127" s="14">
        <v>183496.74515547656</v>
      </c>
      <c r="M127" s="14">
        <v>517708.46939287521</v>
      </c>
      <c r="N127" s="14">
        <v>593157.33807184524</v>
      </c>
      <c r="O127" s="14">
        <v>2046719.791364844</v>
      </c>
      <c r="P127" s="15">
        <v>0.95</v>
      </c>
      <c r="Q127" s="14">
        <v>18485</v>
      </c>
      <c r="R127" s="11" t="str">
        <f t="shared" si="1"/>
        <v xml:space="preserve">  </v>
      </c>
      <c r="T127" s="12"/>
    </row>
    <row r="128" spans="1:20" x14ac:dyDescent="0.3">
      <c r="A128" s="17">
        <v>1</v>
      </c>
      <c r="B128" s="17">
        <v>4</v>
      </c>
      <c r="C128" s="14" t="s">
        <v>572</v>
      </c>
      <c r="D128" s="16">
        <v>405430</v>
      </c>
      <c r="E128" s="14" t="s">
        <v>300</v>
      </c>
      <c r="F128" s="14">
        <v>55601.115270303329</v>
      </c>
      <c r="G128" s="14">
        <v>13165.671342979995</v>
      </c>
      <c r="H128" s="14">
        <v>26353.509299186881</v>
      </c>
      <c r="I128" s="14">
        <v>23743.413488209146</v>
      </c>
      <c r="J128" s="14">
        <v>118863.70940067935</v>
      </c>
      <c r="K128" s="14">
        <v>58495.51139093862</v>
      </c>
      <c r="L128" s="14">
        <v>13872.262615928636</v>
      </c>
      <c r="M128" s="14">
        <v>30389.986430631274</v>
      </c>
      <c r="N128" s="14">
        <v>26197.620974392976</v>
      </c>
      <c r="O128" s="14">
        <v>128955.38141189152</v>
      </c>
      <c r="P128" s="15">
        <v>1.0849012037576078</v>
      </c>
      <c r="Q128" s="14">
        <v>1457</v>
      </c>
      <c r="R128" s="11" t="str">
        <f t="shared" si="1"/>
        <v xml:space="preserve">  </v>
      </c>
      <c r="T128" s="12"/>
    </row>
    <row r="129" spans="1:20" x14ac:dyDescent="0.3">
      <c r="A129" s="17">
        <v>1</v>
      </c>
      <c r="B129" s="17">
        <v>4</v>
      </c>
      <c r="C129" s="14" t="s">
        <v>572</v>
      </c>
      <c r="D129" s="16">
        <v>405460</v>
      </c>
      <c r="E129" s="14" t="s">
        <v>301</v>
      </c>
      <c r="F129" s="14">
        <v>202471.75276832367</v>
      </c>
      <c r="G129" s="14">
        <v>47977.562637333023</v>
      </c>
      <c r="H129" s="14">
        <v>76844.18377152941</v>
      </c>
      <c r="I129" s="14">
        <v>60040.175798290242</v>
      </c>
      <c r="J129" s="14">
        <v>387333.67497547634</v>
      </c>
      <c r="K129" s="14">
        <v>182224.57749149131</v>
      </c>
      <c r="L129" s="14">
        <v>43179.80637359972</v>
      </c>
      <c r="M129" s="14">
        <v>69159.765394376474</v>
      </c>
      <c r="N129" s="14">
        <v>54036.15821846122</v>
      </c>
      <c r="O129" s="14">
        <v>348600.3074779287</v>
      </c>
      <c r="P129" s="15">
        <v>0.9</v>
      </c>
      <c r="Q129" s="14">
        <v>8711</v>
      </c>
      <c r="R129" s="11" t="str">
        <f t="shared" si="1"/>
        <v xml:space="preserve">  </v>
      </c>
      <c r="T129" s="12"/>
    </row>
    <row r="130" spans="1:20" x14ac:dyDescent="0.3">
      <c r="A130" s="17">
        <v>1</v>
      </c>
      <c r="B130" s="17">
        <v>4</v>
      </c>
      <c r="C130" s="14" t="s">
        <v>572</v>
      </c>
      <c r="D130" s="16">
        <v>405530</v>
      </c>
      <c r="E130" s="14" t="s">
        <v>306</v>
      </c>
      <c r="F130" s="14">
        <v>1015028.7694806287</v>
      </c>
      <c r="G130" s="14">
        <v>247561.21938780131</v>
      </c>
      <c r="H130" s="14">
        <v>566378.74406021112</v>
      </c>
      <c r="I130" s="14">
        <v>600325.14094880142</v>
      </c>
      <c r="J130" s="14">
        <v>2429293.8738774424</v>
      </c>
      <c r="K130" s="14">
        <v>964277.33100659715</v>
      </c>
      <c r="L130" s="14">
        <v>235183.15841841124</v>
      </c>
      <c r="M130" s="14">
        <v>572217.13489500596</v>
      </c>
      <c r="N130" s="14">
        <v>570308.88390136138</v>
      </c>
      <c r="O130" s="14">
        <v>2341986.5082213758</v>
      </c>
      <c r="P130" s="15">
        <v>0.96406059942154565</v>
      </c>
      <c r="Q130" s="14">
        <v>21844</v>
      </c>
      <c r="R130" s="11" t="str">
        <f t="shared" si="1"/>
        <v>*</v>
      </c>
      <c r="T130" s="12"/>
    </row>
    <row r="131" spans="1:20" x14ac:dyDescent="0.3">
      <c r="A131" s="17">
        <v>1</v>
      </c>
      <c r="B131" s="17">
        <v>4</v>
      </c>
      <c r="C131" s="14" t="s">
        <v>572</v>
      </c>
      <c r="D131" s="16">
        <v>405640</v>
      </c>
      <c r="E131" s="14" t="s">
        <v>311</v>
      </c>
      <c r="F131" s="14">
        <v>66414.424598265614</v>
      </c>
      <c r="G131" s="14">
        <v>13731.024616586066</v>
      </c>
      <c r="H131" s="14">
        <v>19064.604242924452</v>
      </c>
      <c r="I131" s="14">
        <v>12640.806479345527</v>
      </c>
      <c r="J131" s="14">
        <v>111850.85993712167</v>
      </c>
      <c r="K131" s="14">
        <v>103310.62092431905</v>
      </c>
      <c r="L131" s="14">
        <v>24500.205749099769</v>
      </c>
      <c r="M131" s="14">
        <v>36949.184496961345</v>
      </c>
      <c r="N131" s="14">
        <v>27122.562591951377</v>
      </c>
      <c r="O131" s="14">
        <v>191882.57376233154</v>
      </c>
      <c r="P131" s="15">
        <v>1.7155216676045286</v>
      </c>
      <c r="Q131" s="14">
        <v>14569</v>
      </c>
      <c r="R131" s="11" t="str">
        <f t="shared" si="1"/>
        <v xml:space="preserve">  </v>
      </c>
      <c r="T131" s="12"/>
    </row>
    <row r="132" spans="1:20" x14ac:dyDescent="0.3">
      <c r="A132" s="17">
        <v>1</v>
      </c>
      <c r="B132" s="17">
        <v>4</v>
      </c>
      <c r="C132" s="14" t="s">
        <v>572</v>
      </c>
      <c r="D132" s="16">
        <v>405670</v>
      </c>
      <c r="E132" s="14" t="s">
        <v>312</v>
      </c>
      <c r="F132" s="14">
        <v>911353.49309842242</v>
      </c>
      <c r="G132" s="14">
        <v>215953.6760167882</v>
      </c>
      <c r="H132" s="14">
        <v>606103.41377185879</v>
      </c>
      <c r="I132" s="14">
        <v>555195.05737434723</v>
      </c>
      <c r="J132" s="14">
        <v>2288605.6402614163</v>
      </c>
      <c r="K132" s="14">
        <v>876017.4568788152</v>
      </c>
      <c r="L132" s="14">
        <v>207748.31998209251</v>
      </c>
      <c r="M132" s="14">
        <v>608496.97532068857</v>
      </c>
      <c r="N132" s="14">
        <v>602520.49427701638</v>
      </c>
      <c r="O132" s="14">
        <v>2294783.2464586124</v>
      </c>
      <c r="P132" s="15">
        <v>1.0026992881991195</v>
      </c>
      <c r="Q132" s="14">
        <v>39431</v>
      </c>
      <c r="R132" s="11" t="str">
        <f t="shared" si="1"/>
        <v>*</v>
      </c>
      <c r="T132" s="12"/>
    </row>
    <row r="133" spans="1:20" x14ac:dyDescent="0.3">
      <c r="A133" s="17">
        <v>1</v>
      </c>
      <c r="B133" s="17">
        <v>4</v>
      </c>
      <c r="C133" s="14" t="s">
        <v>572</v>
      </c>
      <c r="D133" s="16">
        <v>405730</v>
      </c>
      <c r="E133" s="14" t="s">
        <v>313</v>
      </c>
      <c r="F133" s="14">
        <v>10984.915904310668</v>
      </c>
      <c r="G133" s="14">
        <v>2679.1744804781133</v>
      </c>
      <c r="H133" s="14">
        <v>4491.961861136333</v>
      </c>
      <c r="I133" s="14">
        <v>4024.5963554945497</v>
      </c>
      <c r="J133" s="14">
        <v>22180.648601419663</v>
      </c>
      <c r="K133" s="14">
        <v>9886.424313879601</v>
      </c>
      <c r="L133" s="14">
        <v>2411.2570324303019</v>
      </c>
      <c r="M133" s="14">
        <v>4042.7656750226997</v>
      </c>
      <c r="N133" s="14">
        <v>3622.1367199450947</v>
      </c>
      <c r="O133" s="14">
        <v>19962.583741277696</v>
      </c>
      <c r="P133" s="15">
        <v>0.9</v>
      </c>
      <c r="Q133" s="14">
        <v>619</v>
      </c>
      <c r="R133" s="11" t="str">
        <f t="shared" si="1"/>
        <v xml:space="preserve">  </v>
      </c>
      <c r="T133" s="12"/>
    </row>
    <row r="134" spans="1:20" x14ac:dyDescent="0.3">
      <c r="A134" s="17">
        <v>1</v>
      </c>
      <c r="B134" s="17">
        <v>4</v>
      </c>
      <c r="C134" s="14" t="s">
        <v>572</v>
      </c>
      <c r="D134" s="16">
        <v>405820</v>
      </c>
      <c r="E134" s="14" t="s">
        <v>315</v>
      </c>
      <c r="F134" s="14">
        <v>432352.41600432043</v>
      </c>
      <c r="G134" s="14">
        <v>100654.52207057786</v>
      </c>
      <c r="H134" s="14">
        <v>212666.43822401026</v>
      </c>
      <c r="I134" s="14">
        <v>163112.76147927638</v>
      </c>
      <c r="J134" s="14">
        <v>908786.13777818496</v>
      </c>
      <c r="K134" s="14">
        <v>389117.17440388841</v>
      </c>
      <c r="L134" s="14">
        <v>90589.069863520082</v>
      </c>
      <c r="M134" s="14">
        <v>191399.79440160922</v>
      </c>
      <c r="N134" s="14">
        <v>146801.48533134875</v>
      </c>
      <c r="O134" s="14">
        <v>817907.52400036645</v>
      </c>
      <c r="P134" s="15">
        <v>0.9</v>
      </c>
      <c r="Q134" s="14">
        <v>13360</v>
      </c>
      <c r="R134" s="11" t="str">
        <f t="shared" si="1"/>
        <v xml:space="preserve">  </v>
      </c>
      <c r="T134" s="12"/>
    </row>
    <row r="135" spans="1:20" x14ac:dyDescent="0.3">
      <c r="A135" s="17">
        <v>1</v>
      </c>
      <c r="B135" s="17">
        <v>4</v>
      </c>
      <c r="C135" s="14" t="s">
        <v>572</v>
      </c>
      <c r="D135" s="16">
        <v>405850</v>
      </c>
      <c r="E135" s="14" t="s">
        <v>317</v>
      </c>
      <c r="F135" s="14">
        <v>55533.060049654217</v>
      </c>
      <c r="G135" s="14">
        <v>13335.586986684053</v>
      </c>
      <c r="H135" s="14">
        <v>24039.58699295919</v>
      </c>
      <c r="I135" s="14">
        <v>21915.241472892867</v>
      </c>
      <c r="J135" s="14">
        <v>114823.47550219033</v>
      </c>
      <c r="K135" s="14">
        <v>56608.559410585774</v>
      </c>
      <c r="L135" s="14">
        <v>13424.770273479318</v>
      </c>
      <c r="M135" s="14">
        <v>24354.501030166917</v>
      </c>
      <c r="N135" s="14">
        <v>19723.717325603582</v>
      </c>
      <c r="O135" s="14">
        <v>114111.54803983559</v>
      </c>
      <c r="P135" s="15">
        <v>0.99379980914842492</v>
      </c>
      <c r="Q135" s="14">
        <v>2933</v>
      </c>
      <c r="R135" s="11" t="str">
        <f t="shared" si="1"/>
        <v xml:space="preserve">  </v>
      </c>
      <c r="T135" s="12"/>
    </row>
    <row r="136" spans="1:20" x14ac:dyDescent="0.3">
      <c r="A136" s="17">
        <v>1</v>
      </c>
      <c r="B136" s="17">
        <v>4</v>
      </c>
      <c r="C136" s="14" t="s">
        <v>572</v>
      </c>
      <c r="D136" s="16">
        <v>408430</v>
      </c>
      <c r="E136" s="14" t="s">
        <v>318</v>
      </c>
      <c r="F136" s="14">
        <v>23285.571823845778</v>
      </c>
      <c r="G136" s="14">
        <v>5377.7239258961772</v>
      </c>
      <c r="H136" s="14">
        <v>18698.063345625218</v>
      </c>
      <c r="I136" s="14">
        <v>16595.713668562457</v>
      </c>
      <c r="J136" s="14">
        <v>63957.072763929631</v>
      </c>
      <c r="K136" s="14">
        <v>22121.293232653486</v>
      </c>
      <c r="L136" s="14">
        <v>5108.8377296013678</v>
      </c>
      <c r="M136" s="14">
        <v>17763.160178343955</v>
      </c>
      <c r="N136" s="14">
        <v>15765.927985134334</v>
      </c>
      <c r="O136" s="14">
        <v>60759.219125733143</v>
      </c>
      <c r="P136" s="15">
        <v>0.95</v>
      </c>
      <c r="Q136" s="14">
        <v>322</v>
      </c>
      <c r="R136" s="11" t="str">
        <f t="shared" si="1"/>
        <v xml:space="preserve">  </v>
      </c>
      <c r="T136" s="12"/>
    </row>
    <row r="137" spans="1:20" x14ac:dyDescent="0.3">
      <c r="A137" s="17">
        <v>1</v>
      </c>
      <c r="B137" s="17">
        <v>4</v>
      </c>
      <c r="C137" s="14" t="s">
        <v>572</v>
      </c>
      <c r="D137" s="16">
        <v>405880</v>
      </c>
      <c r="E137" s="14" t="s">
        <v>319</v>
      </c>
      <c r="F137" s="14">
        <v>247659.02324136015</v>
      </c>
      <c r="G137" s="14">
        <v>58250.66260979155</v>
      </c>
      <c r="H137" s="14">
        <v>122553.95871071279</v>
      </c>
      <c r="I137" s="14">
        <v>116575.12201251838</v>
      </c>
      <c r="J137" s="14">
        <v>545038.7665743829</v>
      </c>
      <c r="K137" s="14">
        <v>222893.12091722415</v>
      </c>
      <c r="L137" s="14">
        <v>52425.596348812396</v>
      </c>
      <c r="M137" s="14">
        <v>110298.56283964151</v>
      </c>
      <c r="N137" s="14">
        <v>104917.60981126653</v>
      </c>
      <c r="O137" s="14">
        <v>490534.88991694461</v>
      </c>
      <c r="P137" s="15">
        <v>0.9</v>
      </c>
      <c r="Q137" s="14">
        <v>10208</v>
      </c>
      <c r="R137" s="11" t="str">
        <f t="shared" si="1"/>
        <v xml:space="preserve">  </v>
      </c>
      <c r="T137" s="12"/>
    </row>
    <row r="138" spans="1:20" x14ac:dyDescent="0.3">
      <c r="A138" s="17">
        <v>1</v>
      </c>
      <c r="B138" s="17">
        <v>4</v>
      </c>
      <c r="C138" s="14" t="s">
        <v>572</v>
      </c>
      <c r="D138" s="16">
        <v>405930</v>
      </c>
      <c r="E138" s="14" t="s">
        <v>321</v>
      </c>
      <c r="F138" s="14">
        <v>3359924.1888775346</v>
      </c>
      <c r="G138" s="14">
        <v>796165.24786553753</v>
      </c>
      <c r="H138" s="14">
        <v>1657432.8481937109</v>
      </c>
      <c r="I138" s="14">
        <v>1290196.9108072028</v>
      </c>
      <c r="J138" s="14">
        <v>7103719.1957439855</v>
      </c>
      <c r="K138" s="14">
        <v>3157342.4011254222</v>
      </c>
      <c r="L138" s="14">
        <v>748766.56200330926</v>
      </c>
      <c r="M138" s="14">
        <v>1689622.2335743718</v>
      </c>
      <c r="N138" s="14">
        <v>1431558.7293532584</v>
      </c>
      <c r="O138" s="14">
        <v>7027289.9260563618</v>
      </c>
      <c r="P138" s="15">
        <v>0.98924095004579937</v>
      </c>
      <c r="Q138" s="14">
        <v>256828</v>
      </c>
      <c r="R138" s="11" t="str">
        <f t="shared" ref="R138:R201" si="2">IF(AND($A138=1,Q138&gt;=20000),"*","  ")</f>
        <v>*</v>
      </c>
      <c r="T138" s="12"/>
    </row>
    <row r="139" spans="1:20" x14ac:dyDescent="0.3">
      <c r="A139" s="17">
        <v>1</v>
      </c>
      <c r="B139" s="17">
        <v>4</v>
      </c>
      <c r="C139" s="14" t="s">
        <v>572</v>
      </c>
      <c r="D139" s="16">
        <v>405980</v>
      </c>
      <c r="E139" s="14" t="s">
        <v>325</v>
      </c>
      <c r="F139" s="14">
        <v>281641.41503620328</v>
      </c>
      <c r="G139" s="14">
        <v>68854.592587520427</v>
      </c>
      <c r="H139" s="14">
        <v>143800.25893506626</v>
      </c>
      <c r="I139" s="14">
        <v>144131.40578752646</v>
      </c>
      <c r="J139" s="14">
        <v>638427.67234631651</v>
      </c>
      <c r="K139" s="14">
        <v>276910.20311678207</v>
      </c>
      <c r="L139" s="14">
        <v>65669.501254436371</v>
      </c>
      <c r="M139" s="14">
        <v>147996.60343661351</v>
      </c>
      <c r="N139" s="14">
        <v>136924.83549815012</v>
      </c>
      <c r="O139" s="14">
        <v>627501.14330598211</v>
      </c>
      <c r="P139" s="15">
        <v>0.982885251511455</v>
      </c>
      <c r="Q139" s="14">
        <v>9448</v>
      </c>
      <c r="R139" s="11" t="str">
        <f t="shared" si="2"/>
        <v xml:space="preserve">  </v>
      </c>
      <c r="T139" s="12"/>
    </row>
    <row r="140" spans="1:20" x14ac:dyDescent="0.3">
      <c r="A140" s="17">
        <v>1</v>
      </c>
      <c r="B140" s="17">
        <v>4</v>
      </c>
      <c r="C140" s="14" t="s">
        <v>572</v>
      </c>
      <c r="D140" s="16">
        <v>406000</v>
      </c>
      <c r="E140" s="14" t="s">
        <v>327</v>
      </c>
      <c r="F140" s="14">
        <v>28981.375060159164</v>
      </c>
      <c r="G140" s="14">
        <v>6633.8654053775163</v>
      </c>
      <c r="H140" s="14">
        <v>19700.079503803772</v>
      </c>
      <c r="I140" s="14">
        <v>21536.61697398686</v>
      </c>
      <c r="J140" s="14">
        <v>76851.93694332731</v>
      </c>
      <c r="K140" s="14">
        <v>27532.306307151204</v>
      </c>
      <c r="L140" s="14">
        <v>6302.1721351086398</v>
      </c>
      <c r="M140" s="14">
        <v>18715.075528613583</v>
      </c>
      <c r="N140" s="14">
        <v>20459.786125287515</v>
      </c>
      <c r="O140" s="14">
        <v>73009.340096160944</v>
      </c>
      <c r="P140" s="15">
        <v>0.95</v>
      </c>
      <c r="Q140" s="14">
        <v>1510</v>
      </c>
      <c r="R140" s="11" t="str">
        <f t="shared" si="2"/>
        <v xml:space="preserve">  </v>
      </c>
      <c r="T140" s="12"/>
    </row>
    <row r="141" spans="1:20" x14ac:dyDescent="0.3">
      <c r="A141" s="17">
        <v>1</v>
      </c>
      <c r="B141" s="17">
        <v>4</v>
      </c>
      <c r="C141" s="14" t="s">
        <v>572</v>
      </c>
      <c r="D141" s="16">
        <v>406030</v>
      </c>
      <c r="E141" s="14" t="s">
        <v>328</v>
      </c>
      <c r="F141" s="14">
        <v>13474.933688519044</v>
      </c>
      <c r="G141" s="14">
        <v>3190.7012557038415</v>
      </c>
      <c r="H141" s="14">
        <v>4925.0568900188346</v>
      </c>
      <c r="I141" s="14">
        <v>3897.8647378588644</v>
      </c>
      <c r="J141" s="14">
        <v>25488.556572100584</v>
      </c>
      <c r="K141" s="14">
        <v>12127.440319667139</v>
      </c>
      <c r="L141" s="14">
        <v>2871.6311301334576</v>
      </c>
      <c r="M141" s="14">
        <v>4432.5512010169514</v>
      </c>
      <c r="N141" s="14">
        <v>3508.0782640729781</v>
      </c>
      <c r="O141" s="14">
        <v>22939.700914890524</v>
      </c>
      <c r="P141" s="15">
        <v>0.89999999999999991</v>
      </c>
      <c r="Q141" s="14">
        <v>3330</v>
      </c>
      <c r="R141" s="11" t="str">
        <f t="shared" si="2"/>
        <v xml:space="preserve">  </v>
      </c>
      <c r="T141" s="12"/>
    </row>
    <row r="142" spans="1:20" x14ac:dyDescent="0.3">
      <c r="A142" s="17">
        <v>1</v>
      </c>
      <c r="B142" s="17">
        <v>4</v>
      </c>
      <c r="C142" s="14" t="s">
        <v>572</v>
      </c>
      <c r="D142" s="16">
        <v>406070</v>
      </c>
      <c r="E142" s="14" t="s">
        <v>330</v>
      </c>
      <c r="F142" s="14">
        <v>357899.95477954252</v>
      </c>
      <c r="G142" s="14">
        <v>84807.718921572712</v>
      </c>
      <c r="H142" s="14">
        <v>149033.23887241777</v>
      </c>
      <c r="I142" s="14">
        <v>126314.94451140784</v>
      </c>
      <c r="J142" s="14">
        <v>718055.85708494089</v>
      </c>
      <c r="K142" s="14">
        <v>341538.30844386737</v>
      </c>
      <c r="L142" s="14">
        <v>80996.113983325253</v>
      </c>
      <c r="M142" s="14">
        <v>148508.2108909188</v>
      </c>
      <c r="N142" s="14">
        <v>117255.902023652</v>
      </c>
      <c r="O142" s="14">
        <v>688298.5353417634</v>
      </c>
      <c r="P142" s="15">
        <v>0.95855848615457029</v>
      </c>
      <c r="Q142" s="14">
        <v>21443</v>
      </c>
      <c r="R142" s="11" t="str">
        <f t="shared" si="2"/>
        <v>*</v>
      </c>
      <c r="T142" s="12"/>
    </row>
    <row r="143" spans="1:20" x14ac:dyDescent="0.3">
      <c r="A143" s="17">
        <v>1</v>
      </c>
      <c r="B143" s="17">
        <v>4</v>
      </c>
      <c r="C143" s="14" t="s">
        <v>572</v>
      </c>
      <c r="D143" s="16">
        <v>406120</v>
      </c>
      <c r="E143" s="14" t="s">
        <v>331</v>
      </c>
      <c r="F143" s="14">
        <v>62806.812904691054</v>
      </c>
      <c r="G143" s="14">
        <v>14494.462569162739</v>
      </c>
      <c r="H143" s="14">
        <v>38580.120650630721</v>
      </c>
      <c r="I143" s="14">
        <v>43228.803121088808</v>
      </c>
      <c r="J143" s="14">
        <v>159110.19924557331</v>
      </c>
      <c r="K143" s="14">
        <v>59666.472259456496</v>
      </c>
      <c r="L143" s="14">
        <v>13769.739440704601</v>
      </c>
      <c r="M143" s="14">
        <v>36651.114618099185</v>
      </c>
      <c r="N143" s="14">
        <v>41067.362965034365</v>
      </c>
      <c r="O143" s="14">
        <v>151154.68928329466</v>
      </c>
      <c r="P143" s="15">
        <v>0.95000000000000007</v>
      </c>
      <c r="Q143" s="14">
        <v>1327</v>
      </c>
      <c r="R143" s="11" t="str">
        <f t="shared" si="2"/>
        <v xml:space="preserve">  </v>
      </c>
      <c r="T143" s="12"/>
    </row>
    <row r="144" spans="1:20" x14ac:dyDescent="0.3">
      <c r="A144" s="17">
        <v>1</v>
      </c>
      <c r="B144" s="17">
        <v>4</v>
      </c>
      <c r="C144" s="14" t="s">
        <v>572</v>
      </c>
      <c r="D144" s="16">
        <v>406150</v>
      </c>
      <c r="E144" s="14" t="s">
        <v>333</v>
      </c>
      <c r="F144" s="14">
        <v>17526.028713431198</v>
      </c>
      <c r="G144" s="14">
        <v>4152.9553080151582</v>
      </c>
      <c r="H144" s="14">
        <v>8118.5539030135724</v>
      </c>
      <c r="I144" s="14">
        <v>7723.3057040943058</v>
      </c>
      <c r="J144" s="14">
        <v>37520.843628554234</v>
      </c>
      <c r="K144" s="14">
        <v>15773.42584208808</v>
      </c>
      <c r="L144" s="14">
        <v>3737.6597772136424</v>
      </c>
      <c r="M144" s="14">
        <v>7306.6985127122152</v>
      </c>
      <c r="N144" s="14">
        <v>6950.9751336848758</v>
      </c>
      <c r="O144" s="14">
        <v>33768.759265698813</v>
      </c>
      <c r="P144" s="15">
        <v>0.9</v>
      </c>
      <c r="Q144" s="14">
        <v>2007</v>
      </c>
      <c r="R144" s="11" t="str">
        <f t="shared" si="2"/>
        <v xml:space="preserve">  </v>
      </c>
      <c r="T144" s="12"/>
    </row>
    <row r="145" spans="1:20" x14ac:dyDescent="0.3">
      <c r="A145" s="17">
        <v>1</v>
      </c>
      <c r="B145" s="17">
        <v>4</v>
      </c>
      <c r="C145" s="14" t="s">
        <v>572</v>
      </c>
      <c r="D145" s="16">
        <v>406210</v>
      </c>
      <c r="E145" s="14" t="s">
        <v>334</v>
      </c>
      <c r="F145" s="14">
        <v>1482333.0601307342</v>
      </c>
      <c r="G145" s="14">
        <v>351252.58842001884</v>
      </c>
      <c r="H145" s="14">
        <v>626782.65916914213</v>
      </c>
      <c r="I145" s="14">
        <v>455551.84183724725</v>
      </c>
      <c r="J145" s="14">
        <v>2915920.1495571425</v>
      </c>
      <c r="K145" s="14">
        <v>1539752.8159679328</v>
      </c>
      <c r="L145" s="14">
        <v>365153.75143863756</v>
      </c>
      <c r="M145" s="14">
        <v>716665.41105008079</v>
      </c>
      <c r="N145" s="14">
        <v>583082.01678779884</v>
      </c>
      <c r="O145" s="14">
        <v>3204653.9952444499</v>
      </c>
      <c r="P145" s="15">
        <v>1.0990198053712681</v>
      </c>
      <c r="Q145" s="14">
        <v>71650</v>
      </c>
      <c r="R145" s="11" t="str">
        <f t="shared" si="2"/>
        <v>*</v>
      </c>
      <c r="T145" s="12"/>
    </row>
    <row r="146" spans="1:20" x14ac:dyDescent="0.3">
      <c r="A146" s="17">
        <v>1</v>
      </c>
      <c r="B146" s="17">
        <v>4</v>
      </c>
      <c r="C146" s="14" t="s">
        <v>572</v>
      </c>
      <c r="D146" s="16">
        <v>406250</v>
      </c>
      <c r="E146" s="14" t="s">
        <v>335</v>
      </c>
      <c r="F146" s="14">
        <v>2864583.2720821355</v>
      </c>
      <c r="G146" s="14">
        <v>678789.61626531999</v>
      </c>
      <c r="H146" s="14">
        <v>1385529.5558791966</v>
      </c>
      <c r="I146" s="14">
        <v>1068282.398098438</v>
      </c>
      <c r="J146" s="14">
        <v>5997184.8423250904</v>
      </c>
      <c r="K146" s="14">
        <v>2912510.3816746376</v>
      </c>
      <c r="L146" s="14">
        <v>690704.43057051103</v>
      </c>
      <c r="M146" s="14">
        <v>1542359.3024311499</v>
      </c>
      <c r="N146" s="14">
        <v>1303136.6197523617</v>
      </c>
      <c r="O146" s="14">
        <v>6448710.73442866</v>
      </c>
      <c r="P146" s="15">
        <v>1.0752896407189134</v>
      </c>
      <c r="Q146" s="14">
        <v>222690</v>
      </c>
      <c r="R146" s="11" t="str">
        <f t="shared" si="2"/>
        <v>*</v>
      </c>
      <c r="T146" s="12"/>
    </row>
    <row r="147" spans="1:20" x14ac:dyDescent="0.3">
      <c r="A147" s="17">
        <v>1</v>
      </c>
      <c r="B147" s="17">
        <v>4</v>
      </c>
      <c r="C147" s="14" t="s">
        <v>572</v>
      </c>
      <c r="D147" s="16">
        <v>406300</v>
      </c>
      <c r="E147" s="14" t="s">
        <v>337</v>
      </c>
      <c r="F147" s="14">
        <v>2988241.252196047</v>
      </c>
      <c r="G147" s="14">
        <v>731153.31667464389</v>
      </c>
      <c r="H147" s="14">
        <v>2031390.8993251296</v>
      </c>
      <c r="I147" s="14">
        <v>2316973.6503059086</v>
      </c>
      <c r="J147" s="14">
        <v>8067759.1185017284</v>
      </c>
      <c r="K147" s="14">
        <v>2838829.1895862445</v>
      </c>
      <c r="L147" s="14">
        <v>694595.65084091167</v>
      </c>
      <c r="M147" s="14">
        <v>1929821.3543588731</v>
      </c>
      <c r="N147" s="14">
        <v>2201124.967790613</v>
      </c>
      <c r="O147" s="14">
        <v>7664371.1625766419</v>
      </c>
      <c r="P147" s="15">
        <v>0.95</v>
      </c>
      <c r="Q147" s="14">
        <v>58999</v>
      </c>
      <c r="R147" s="11" t="str">
        <f t="shared" si="2"/>
        <v>*</v>
      </c>
      <c r="T147" s="12"/>
    </row>
    <row r="148" spans="1:20" x14ac:dyDescent="0.3">
      <c r="A148" s="17">
        <v>1</v>
      </c>
      <c r="B148" s="17">
        <v>4</v>
      </c>
      <c r="C148" s="14" t="s">
        <v>572</v>
      </c>
      <c r="D148" s="16">
        <v>406330</v>
      </c>
      <c r="E148" s="14" t="s">
        <v>339</v>
      </c>
      <c r="F148" s="14">
        <v>7613214.630858128</v>
      </c>
      <c r="G148" s="14">
        <v>1804021.9281422684</v>
      </c>
      <c r="H148" s="14">
        <v>4540012.8168092212</v>
      </c>
      <c r="I148" s="14">
        <v>4056681.9458923428</v>
      </c>
      <c r="J148" s="14">
        <v>18013931.321701959</v>
      </c>
      <c r="K148" s="14">
        <v>7232553.8993152212</v>
      </c>
      <c r="L148" s="14">
        <v>1713820.8317351548</v>
      </c>
      <c r="M148" s="14">
        <v>4564796.185933263</v>
      </c>
      <c r="N148" s="14">
        <v>4383040.2771750139</v>
      </c>
      <c r="O148" s="14">
        <v>17894211.194158651</v>
      </c>
      <c r="P148" s="15">
        <v>0.99335402553694219</v>
      </c>
      <c r="Q148" s="14">
        <v>698734</v>
      </c>
      <c r="R148" s="11" t="str">
        <f t="shared" si="2"/>
        <v>*</v>
      </c>
      <c r="T148" s="12"/>
    </row>
    <row r="149" spans="1:20" x14ac:dyDescent="0.3">
      <c r="A149" s="17">
        <v>1</v>
      </c>
      <c r="B149" s="17">
        <v>4</v>
      </c>
      <c r="C149" s="14" t="s">
        <v>572</v>
      </c>
      <c r="D149" s="16">
        <v>406360</v>
      </c>
      <c r="E149" s="14" t="s">
        <v>340</v>
      </c>
      <c r="F149" s="14">
        <v>17691.496140626656</v>
      </c>
      <c r="G149" s="14">
        <v>4314.8810054015921</v>
      </c>
      <c r="H149" s="14">
        <v>5708.8402443010727</v>
      </c>
      <c r="I149" s="14">
        <v>4708.3636434996342</v>
      </c>
      <c r="J149" s="14">
        <v>32423.581033828956</v>
      </c>
      <c r="K149" s="14">
        <v>16039.091832999302</v>
      </c>
      <c r="L149" s="14">
        <v>3883.3929048614332</v>
      </c>
      <c r="M149" s="14">
        <v>6685.2192418226168</v>
      </c>
      <c r="N149" s="14">
        <v>5182.0067060818792</v>
      </c>
      <c r="O149" s="14">
        <v>31789.710685765229</v>
      </c>
      <c r="P149" s="15">
        <v>0.9804503288084564</v>
      </c>
      <c r="Q149" s="14">
        <v>8840</v>
      </c>
      <c r="R149" s="11" t="str">
        <f t="shared" si="2"/>
        <v xml:space="preserve">  </v>
      </c>
      <c r="T149" s="12"/>
    </row>
    <row r="150" spans="1:20" x14ac:dyDescent="0.3">
      <c r="A150" s="17">
        <v>1</v>
      </c>
      <c r="B150" s="17">
        <v>4</v>
      </c>
      <c r="C150" s="14" t="s">
        <v>572</v>
      </c>
      <c r="D150" s="16">
        <v>406440</v>
      </c>
      <c r="E150" s="14" t="s">
        <v>345</v>
      </c>
      <c r="F150" s="14">
        <v>78032.954455608648</v>
      </c>
      <c r="G150" s="14">
        <v>18141.857398171473</v>
      </c>
      <c r="H150" s="14">
        <v>29018.481835839641</v>
      </c>
      <c r="I150" s="14">
        <v>24010.203047097599</v>
      </c>
      <c r="J150" s="14">
        <v>149203.49673671735</v>
      </c>
      <c r="K150" s="14">
        <v>93875.861022554716</v>
      </c>
      <c r="L150" s="14">
        <v>22262.744036853215</v>
      </c>
      <c r="M150" s="14">
        <v>33840.376060010291</v>
      </c>
      <c r="N150" s="14">
        <v>24782.844273663217</v>
      </c>
      <c r="O150" s="14">
        <v>174761.82539308144</v>
      </c>
      <c r="P150" s="15">
        <v>1.1712984562383548</v>
      </c>
      <c r="Q150" s="14">
        <v>3819</v>
      </c>
      <c r="R150" s="11" t="str">
        <f t="shared" si="2"/>
        <v xml:space="preserve">  </v>
      </c>
      <c r="T150" s="12"/>
    </row>
    <row r="151" spans="1:20" x14ac:dyDescent="0.3">
      <c r="A151" s="17">
        <v>1</v>
      </c>
      <c r="B151" s="17">
        <v>4</v>
      </c>
      <c r="C151" s="14" t="s">
        <v>572</v>
      </c>
      <c r="D151" s="16">
        <v>406510</v>
      </c>
      <c r="E151" s="14" t="s">
        <v>347</v>
      </c>
      <c r="F151" s="14">
        <v>32260.963550554501</v>
      </c>
      <c r="G151" s="14">
        <v>7868.3124216146671</v>
      </c>
      <c r="H151" s="14">
        <v>13426.029804927392</v>
      </c>
      <c r="I151" s="14">
        <v>12113.796052316076</v>
      </c>
      <c r="J151" s="14">
        <v>65669.101829412641</v>
      </c>
      <c r="K151" s="14">
        <v>29034.867195499053</v>
      </c>
      <c r="L151" s="14">
        <v>7081.4811794532006</v>
      </c>
      <c r="M151" s="14">
        <v>12083.426824434653</v>
      </c>
      <c r="N151" s="14">
        <v>10902.41644708447</v>
      </c>
      <c r="O151" s="14">
        <v>59102.191646471379</v>
      </c>
      <c r="P151" s="15">
        <v>0.9</v>
      </c>
      <c r="Q151" s="14">
        <v>2926</v>
      </c>
      <c r="R151" s="11" t="str">
        <f t="shared" si="2"/>
        <v xml:space="preserve">  </v>
      </c>
      <c r="T151" s="12"/>
    </row>
    <row r="152" spans="1:20" x14ac:dyDescent="0.3">
      <c r="A152" s="17">
        <v>1</v>
      </c>
      <c r="B152" s="17">
        <v>4</v>
      </c>
      <c r="C152" s="14" t="s">
        <v>572</v>
      </c>
      <c r="D152" s="16">
        <v>400023</v>
      </c>
      <c r="E152" s="14" t="s">
        <v>348</v>
      </c>
      <c r="F152" s="14">
        <v>474260.41463663883</v>
      </c>
      <c r="G152" s="14">
        <v>122351.4932622785</v>
      </c>
      <c r="H152" s="14">
        <v>312676.5088771864</v>
      </c>
      <c r="I152" s="14">
        <v>355909.92754029256</v>
      </c>
      <c r="J152" s="14">
        <v>1265198.3443163962</v>
      </c>
      <c r="K152" s="14">
        <v>450547.39390480687</v>
      </c>
      <c r="L152" s="14">
        <v>116233.91859916456</v>
      </c>
      <c r="M152" s="14">
        <v>297042.68343332707</v>
      </c>
      <c r="N152" s="14">
        <v>338114.43116327788</v>
      </c>
      <c r="O152" s="14">
        <v>1201938.4271005765</v>
      </c>
      <c r="P152" s="15">
        <v>0.95000000000000007</v>
      </c>
      <c r="Q152" s="14">
        <v>7122</v>
      </c>
      <c r="R152" s="11" t="str">
        <f t="shared" si="2"/>
        <v xml:space="preserve">  </v>
      </c>
      <c r="T152" s="12"/>
    </row>
    <row r="153" spans="1:20" x14ac:dyDescent="0.3">
      <c r="A153" s="17">
        <v>1</v>
      </c>
      <c r="B153" s="17">
        <v>4</v>
      </c>
      <c r="C153" s="14" t="s">
        <v>572</v>
      </c>
      <c r="D153" s="16">
        <v>406630</v>
      </c>
      <c r="E153" s="14" t="s">
        <v>349</v>
      </c>
      <c r="F153" s="14">
        <v>13364.694807291989</v>
      </c>
      <c r="G153" s="14">
        <v>3406.37054735724</v>
      </c>
      <c r="H153" s="14">
        <v>5129.6405148524427</v>
      </c>
      <c r="I153" s="14">
        <v>4486.5013306661895</v>
      </c>
      <c r="J153" s="14">
        <v>26387.207200167861</v>
      </c>
      <c r="K153" s="14">
        <v>17926.043813352167</v>
      </c>
      <c r="L153" s="14">
        <v>4251.1772532684536</v>
      </c>
      <c r="M153" s="14">
        <v>6981.0361375131079</v>
      </c>
      <c r="N153" s="14">
        <v>5240.5788453012647</v>
      </c>
      <c r="O153" s="14">
        <v>34398.836049434991</v>
      </c>
      <c r="P153" s="15">
        <v>1.3036179156245138</v>
      </c>
      <c r="Q153" s="14">
        <v>980</v>
      </c>
      <c r="R153" s="11" t="str">
        <f t="shared" si="2"/>
        <v xml:space="preserve">  </v>
      </c>
      <c r="T153" s="12"/>
    </row>
    <row r="154" spans="1:20" x14ac:dyDescent="0.3">
      <c r="A154" s="17">
        <v>1</v>
      </c>
      <c r="B154" s="17">
        <v>4</v>
      </c>
      <c r="C154" s="14" t="s">
        <v>572</v>
      </c>
      <c r="D154" s="16">
        <v>406730</v>
      </c>
      <c r="E154" s="14" t="s">
        <v>352</v>
      </c>
      <c r="F154" s="14">
        <v>448297.36603829276</v>
      </c>
      <c r="G154" s="14">
        <v>106228.22524712459</v>
      </c>
      <c r="H154" s="14">
        <v>140825.14557723326</v>
      </c>
      <c r="I154" s="14">
        <v>106895.75291694926</v>
      </c>
      <c r="J154" s="14">
        <v>802246.48977959983</v>
      </c>
      <c r="K154" s="14">
        <v>409468.57973657042</v>
      </c>
      <c r="L154" s="14">
        <v>97105.838311500484</v>
      </c>
      <c r="M154" s="14">
        <v>135700.37922783376</v>
      </c>
      <c r="N154" s="14">
        <v>105190.10732884376</v>
      </c>
      <c r="O154" s="14">
        <v>747464.90460474847</v>
      </c>
      <c r="P154" s="15">
        <v>0.93171477111741374</v>
      </c>
      <c r="Q154" s="14">
        <v>56557</v>
      </c>
      <c r="R154" s="11" t="str">
        <f t="shared" si="2"/>
        <v>*</v>
      </c>
      <c r="T154" s="12"/>
    </row>
    <row r="155" spans="1:20" x14ac:dyDescent="0.3">
      <c r="A155" s="17">
        <v>1</v>
      </c>
      <c r="B155" s="17">
        <v>4</v>
      </c>
      <c r="C155" s="14" t="s">
        <v>572</v>
      </c>
      <c r="D155" s="16">
        <v>406780</v>
      </c>
      <c r="E155" s="14" t="s">
        <v>355</v>
      </c>
      <c r="F155" s="14">
        <v>28595.0994798088</v>
      </c>
      <c r="G155" s="14">
        <v>6775.8744499194672</v>
      </c>
      <c r="H155" s="14">
        <v>10635.532528568754</v>
      </c>
      <c r="I155" s="14">
        <v>9322.2999291581727</v>
      </c>
      <c r="J155" s="14">
        <v>55328.806387455195</v>
      </c>
      <c r="K155" s="14">
        <v>25945.589729851821</v>
      </c>
      <c r="L155" s="14">
        <v>6153.0197086780227</v>
      </c>
      <c r="M155" s="14">
        <v>9571.9792757118794</v>
      </c>
      <c r="N155" s="14">
        <v>8390.0699362423566</v>
      </c>
      <c r="O155" s="14">
        <v>50060.658650484074</v>
      </c>
      <c r="P155" s="15">
        <v>0.9047847209990495</v>
      </c>
      <c r="Q155" s="14">
        <v>6084</v>
      </c>
      <c r="R155" s="11" t="str">
        <f t="shared" si="2"/>
        <v xml:space="preserve">  </v>
      </c>
      <c r="T155" s="12"/>
    </row>
    <row r="156" spans="1:20" x14ac:dyDescent="0.3">
      <c r="A156" s="17">
        <v>1</v>
      </c>
      <c r="B156" s="17">
        <v>4</v>
      </c>
      <c r="C156" s="14" t="s">
        <v>572</v>
      </c>
      <c r="D156" s="16">
        <v>406810</v>
      </c>
      <c r="E156" s="14" t="s">
        <v>356</v>
      </c>
      <c r="F156" s="14">
        <v>600497.0890759849</v>
      </c>
      <c r="G156" s="14">
        <v>142293.36344830887</v>
      </c>
      <c r="H156" s="14">
        <v>203484.4238340696</v>
      </c>
      <c r="I156" s="14">
        <v>141111.78066352734</v>
      </c>
      <c r="J156" s="14">
        <v>1087386.6570218909</v>
      </c>
      <c r="K156" s="14">
        <v>610900.70363923814</v>
      </c>
      <c r="L156" s="14">
        <v>144875.64586796437</v>
      </c>
      <c r="M156" s="14">
        <v>226569.26882054415</v>
      </c>
      <c r="N156" s="14">
        <v>175628.43847795454</v>
      </c>
      <c r="O156" s="14">
        <v>1157974.0568057012</v>
      </c>
      <c r="P156" s="15">
        <v>1.0649147194587927</v>
      </c>
      <c r="Q156" s="14">
        <v>28190</v>
      </c>
      <c r="R156" s="11" t="str">
        <f t="shared" si="2"/>
        <v>*</v>
      </c>
      <c r="T156" s="12"/>
    </row>
    <row r="157" spans="1:20" x14ac:dyDescent="0.3">
      <c r="A157" s="17">
        <v>1</v>
      </c>
      <c r="B157" s="17">
        <v>4</v>
      </c>
      <c r="C157" s="14" t="s">
        <v>572</v>
      </c>
      <c r="D157" s="16">
        <v>406850</v>
      </c>
      <c r="E157" s="14" t="s">
        <v>357</v>
      </c>
      <c r="F157" s="14">
        <v>147258.90042834249</v>
      </c>
      <c r="G157" s="14">
        <v>35915.822341076018</v>
      </c>
      <c r="H157" s="14">
        <v>46944.892606729059</v>
      </c>
      <c r="I157" s="14">
        <v>38858.871842898538</v>
      </c>
      <c r="J157" s="14">
        <v>268978.4872190461</v>
      </c>
      <c r="K157" s="14">
        <v>132533.01038550824</v>
      </c>
      <c r="L157" s="14">
        <v>32324.240106968417</v>
      </c>
      <c r="M157" s="14">
        <v>42250.403346056155</v>
      </c>
      <c r="N157" s="14">
        <v>34972.984658608686</v>
      </c>
      <c r="O157" s="14">
        <v>242080.63849714148</v>
      </c>
      <c r="P157" s="15">
        <v>0.89999999999999991</v>
      </c>
      <c r="Q157" s="14">
        <v>4092</v>
      </c>
      <c r="R157" s="11" t="str">
        <f t="shared" si="2"/>
        <v xml:space="preserve">  </v>
      </c>
      <c r="T157" s="12"/>
    </row>
    <row r="158" spans="1:20" x14ac:dyDescent="0.3">
      <c r="A158" s="17">
        <v>1</v>
      </c>
      <c r="B158" s="17">
        <v>4</v>
      </c>
      <c r="C158" s="14" t="s">
        <v>572</v>
      </c>
      <c r="D158" s="16">
        <v>406870</v>
      </c>
      <c r="E158" s="14" t="s">
        <v>358</v>
      </c>
      <c r="F158" s="14">
        <v>501058.46801806474</v>
      </c>
      <c r="G158" s="14">
        <v>129264.95630188681</v>
      </c>
      <c r="H158" s="14">
        <v>348976.40663400863</v>
      </c>
      <c r="I158" s="14">
        <v>405324.32942654716</v>
      </c>
      <c r="J158" s="14">
        <v>1384624.1603805074</v>
      </c>
      <c r="K158" s="14">
        <v>476005.5446171615</v>
      </c>
      <c r="L158" s="14">
        <v>122801.70848679246</v>
      </c>
      <c r="M158" s="14">
        <v>331527.58630230819</v>
      </c>
      <c r="N158" s="14">
        <v>385058.11295521981</v>
      </c>
      <c r="O158" s="14">
        <v>1315392.952361482</v>
      </c>
      <c r="P158" s="15">
        <v>0.95</v>
      </c>
      <c r="Q158" s="14">
        <v>8642</v>
      </c>
      <c r="R158" s="11" t="str">
        <f t="shared" si="2"/>
        <v xml:space="preserve">  </v>
      </c>
      <c r="T158" s="12"/>
    </row>
    <row r="159" spans="1:20" x14ac:dyDescent="0.3">
      <c r="A159" s="17">
        <v>1</v>
      </c>
      <c r="B159" s="17">
        <v>4</v>
      </c>
      <c r="C159" s="14" t="s">
        <v>572</v>
      </c>
      <c r="D159" s="16">
        <v>406900</v>
      </c>
      <c r="E159" s="14" t="s">
        <v>482</v>
      </c>
      <c r="F159" s="14">
        <v>58573.832805414815</v>
      </c>
      <c r="G159" s="14">
        <v>13879.613792576976</v>
      </c>
      <c r="H159" s="14">
        <v>19569.169826152782</v>
      </c>
      <c r="I159" s="14">
        <v>12763.343297154683</v>
      </c>
      <c r="J159" s="14">
        <v>104785.95972129925</v>
      </c>
      <c r="K159" s="14">
        <v>53778.131440056481</v>
      </c>
      <c r="L159" s="14">
        <v>12753.531759805353</v>
      </c>
      <c r="M159" s="14">
        <v>18539.147465478203</v>
      </c>
      <c r="N159" s="14">
        <v>13759.60286424695</v>
      </c>
      <c r="O159" s="14">
        <v>98830.413529586993</v>
      </c>
      <c r="P159" s="15">
        <v>0.94316465481108047</v>
      </c>
      <c r="Q159" s="14">
        <v>3598</v>
      </c>
      <c r="R159" s="11" t="str">
        <f t="shared" si="2"/>
        <v xml:space="preserve">  </v>
      </c>
      <c r="T159" s="12"/>
    </row>
    <row r="160" spans="1:20" x14ac:dyDescent="0.3">
      <c r="A160" s="17">
        <v>1</v>
      </c>
      <c r="B160" s="17">
        <v>4</v>
      </c>
      <c r="C160" s="14" t="s">
        <v>572</v>
      </c>
      <c r="D160" s="16">
        <v>406930</v>
      </c>
      <c r="E160" s="14" t="s">
        <v>481</v>
      </c>
      <c r="F160" s="14">
        <v>0</v>
      </c>
      <c r="G160" s="14">
        <v>1050.3233745770101</v>
      </c>
      <c r="H160" s="14">
        <v>0</v>
      </c>
      <c r="I160" s="14">
        <v>0</v>
      </c>
      <c r="J160" s="14">
        <v>1050.3233745770101</v>
      </c>
      <c r="K160" s="14">
        <v>0</v>
      </c>
      <c r="L160" s="14">
        <v>0</v>
      </c>
      <c r="M160" s="14">
        <v>0</v>
      </c>
      <c r="N160" s="14">
        <v>0</v>
      </c>
      <c r="O160" s="14">
        <v>0</v>
      </c>
      <c r="P160" s="15">
        <v>0</v>
      </c>
      <c r="Q160" s="14">
        <v>98</v>
      </c>
      <c r="R160" s="11" t="str">
        <f t="shared" si="2"/>
        <v xml:space="preserve">  </v>
      </c>
      <c r="T160" s="12"/>
    </row>
    <row r="161" spans="1:20" x14ac:dyDescent="0.3">
      <c r="A161" s="17">
        <v>1</v>
      </c>
      <c r="B161" s="17">
        <v>4</v>
      </c>
      <c r="C161" s="14" t="s">
        <v>572</v>
      </c>
      <c r="D161" s="16">
        <v>407020</v>
      </c>
      <c r="E161" s="14" t="s">
        <v>360</v>
      </c>
      <c r="F161" s="14">
        <v>182178.45636329803</v>
      </c>
      <c r="G161" s="14">
        <v>43168.877543841772</v>
      </c>
      <c r="H161" s="14">
        <v>77841.096053205678</v>
      </c>
      <c r="I161" s="14">
        <v>56638.98565999038</v>
      </c>
      <c r="J161" s="14">
        <v>359827.4156203359</v>
      </c>
      <c r="K161" s="14">
        <v>181619.12810896264</v>
      </c>
      <c r="L161" s="14">
        <v>43071.137960746164</v>
      </c>
      <c r="M161" s="14">
        <v>83173.702721849113</v>
      </c>
      <c r="N161" s="14">
        <v>67071.912293963222</v>
      </c>
      <c r="O161" s="14">
        <v>374935.88108552119</v>
      </c>
      <c r="P161" s="15">
        <v>1.0419880887595476</v>
      </c>
      <c r="Q161" s="14">
        <v>7229</v>
      </c>
      <c r="R161" s="11" t="str">
        <f t="shared" si="2"/>
        <v xml:space="preserve">  </v>
      </c>
      <c r="T161" s="12"/>
    </row>
    <row r="162" spans="1:20" x14ac:dyDescent="0.3">
      <c r="A162" s="17">
        <v>1</v>
      </c>
      <c r="B162" s="17">
        <v>4</v>
      </c>
      <c r="C162" s="14" t="s">
        <v>572</v>
      </c>
      <c r="D162" s="16">
        <v>407080</v>
      </c>
      <c r="E162" s="14" t="s">
        <v>361</v>
      </c>
      <c r="F162" s="14">
        <v>3189737.2258444787</v>
      </c>
      <c r="G162" s="14">
        <v>773930.38599543122</v>
      </c>
      <c r="H162" s="14">
        <v>1808122.6148358588</v>
      </c>
      <c r="I162" s="14">
        <v>1523549.9851050561</v>
      </c>
      <c r="J162" s="14">
        <v>7295340.2117808256</v>
      </c>
      <c r="K162" s="14">
        <v>3146020.6892433045</v>
      </c>
      <c r="L162" s="14">
        <v>746081.60794861347</v>
      </c>
      <c r="M162" s="14">
        <v>1868481.7956572671</v>
      </c>
      <c r="N162" s="14">
        <v>1720759.964441882</v>
      </c>
      <c r="O162" s="14">
        <v>7481344.0572910663</v>
      </c>
      <c r="P162" s="15">
        <v>1.02549625378812</v>
      </c>
      <c r="Q162" s="14">
        <v>109079</v>
      </c>
      <c r="R162" s="11" t="str">
        <f t="shared" si="2"/>
        <v>*</v>
      </c>
      <c r="T162" s="12"/>
    </row>
    <row r="163" spans="1:20" x14ac:dyDescent="0.3">
      <c r="A163" s="17">
        <v>1</v>
      </c>
      <c r="B163" s="17">
        <v>4</v>
      </c>
      <c r="C163" s="14" t="s">
        <v>572</v>
      </c>
      <c r="D163" s="16">
        <v>407130</v>
      </c>
      <c r="E163" s="14" t="s">
        <v>362</v>
      </c>
      <c r="F163" s="14">
        <v>203855.38661412086</v>
      </c>
      <c r="G163" s="14">
        <v>48305.42753007108</v>
      </c>
      <c r="H163" s="14">
        <v>86631.781393338126</v>
      </c>
      <c r="I163" s="14">
        <v>62904.65596327516</v>
      </c>
      <c r="J163" s="14">
        <v>401697.25150080526</v>
      </c>
      <c r="K163" s="14">
        <v>183469.84795270878</v>
      </c>
      <c r="L163" s="14">
        <v>43474.88477706397</v>
      </c>
      <c r="M163" s="14">
        <v>77968.603254004309</v>
      </c>
      <c r="N163" s="14">
        <v>56866.954242206899</v>
      </c>
      <c r="O163" s="14">
        <v>361780.29022598395</v>
      </c>
      <c r="P163" s="15">
        <v>0.90062923974290299</v>
      </c>
      <c r="Q163" s="14">
        <v>8203</v>
      </c>
      <c r="R163" s="11" t="str">
        <f t="shared" si="2"/>
        <v xml:space="preserve">  </v>
      </c>
      <c r="T163" s="12"/>
    </row>
    <row r="164" spans="1:20" x14ac:dyDescent="0.3">
      <c r="A164" s="17">
        <v>1</v>
      </c>
      <c r="B164" s="17">
        <v>4</v>
      </c>
      <c r="C164" s="14" t="s">
        <v>572</v>
      </c>
      <c r="D164" s="16">
        <v>407140</v>
      </c>
      <c r="E164" s="14" t="s">
        <v>584</v>
      </c>
      <c r="F164" s="14">
        <v>0</v>
      </c>
      <c r="G164" s="14">
        <v>0</v>
      </c>
      <c r="H164" s="14">
        <v>0</v>
      </c>
      <c r="I164" s="14">
        <v>0</v>
      </c>
      <c r="J164" s="14">
        <v>0</v>
      </c>
      <c r="K164" s="14">
        <v>0</v>
      </c>
      <c r="L164" s="14">
        <v>0</v>
      </c>
      <c r="M164" s="14">
        <v>0</v>
      </c>
      <c r="N164" s="14">
        <v>0</v>
      </c>
      <c r="O164" s="14">
        <v>0</v>
      </c>
      <c r="P164" s="15">
        <v>0</v>
      </c>
      <c r="Q164" s="14">
        <v>26</v>
      </c>
      <c r="R164" s="11" t="str">
        <f t="shared" si="2"/>
        <v xml:space="preserve">  </v>
      </c>
      <c r="T164" s="12"/>
    </row>
    <row r="165" spans="1:20" x14ac:dyDescent="0.3">
      <c r="A165" s="17">
        <v>1</v>
      </c>
      <c r="B165" s="17">
        <v>4</v>
      </c>
      <c r="C165" s="14" t="s">
        <v>572</v>
      </c>
      <c r="D165" s="16">
        <v>407200</v>
      </c>
      <c r="E165" s="14" t="s">
        <v>364</v>
      </c>
      <c r="F165" s="14">
        <v>620989.17504924326</v>
      </c>
      <c r="G165" s="14">
        <v>151456.63061400483</v>
      </c>
      <c r="H165" s="14">
        <v>385395.9206693981</v>
      </c>
      <c r="I165" s="14">
        <v>423920.4661064549</v>
      </c>
      <c r="J165" s="14">
        <v>1581762.1924391009</v>
      </c>
      <c r="K165" s="14">
        <v>589939.71629678109</v>
      </c>
      <c r="L165" s="14">
        <v>143883.79908330459</v>
      </c>
      <c r="M165" s="14">
        <v>366126.12463592819</v>
      </c>
      <c r="N165" s="14">
        <v>402724.44280113216</v>
      </c>
      <c r="O165" s="14">
        <v>1502674.0828171459</v>
      </c>
      <c r="P165" s="15">
        <v>0.95</v>
      </c>
      <c r="Q165" s="14">
        <v>7040</v>
      </c>
      <c r="R165" s="11" t="str">
        <f t="shared" si="2"/>
        <v xml:space="preserve">  </v>
      </c>
      <c r="T165" s="12"/>
    </row>
    <row r="166" spans="1:20" x14ac:dyDescent="0.3">
      <c r="A166" s="17">
        <v>1</v>
      </c>
      <c r="B166" s="17">
        <v>4</v>
      </c>
      <c r="C166" s="14" t="s">
        <v>572</v>
      </c>
      <c r="D166" s="16">
        <v>407170</v>
      </c>
      <c r="E166" s="14" t="s">
        <v>365</v>
      </c>
      <c r="F166" s="14">
        <v>172031.80816078524</v>
      </c>
      <c r="G166" s="14">
        <v>40764.534997096154</v>
      </c>
      <c r="H166" s="14">
        <v>52276.040902996152</v>
      </c>
      <c r="I166" s="14">
        <v>35082.55692239762</v>
      </c>
      <c r="J166" s="14">
        <v>300154.94098327518</v>
      </c>
      <c r="K166" s="14">
        <v>163693.08429561055</v>
      </c>
      <c r="L166" s="14">
        <v>38819.960707477709</v>
      </c>
      <c r="M166" s="14">
        <v>51802.616027221862</v>
      </c>
      <c r="N166" s="14">
        <v>39490.686742125785</v>
      </c>
      <c r="O166" s="14">
        <v>293806.34777243593</v>
      </c>
      <c r="P166" s="15">
        <v>0.9788489465139506</v>
      </c>
      <c r="Q166" s="14">
        <v>9423</v>
      </c>
      <c r="R166" s="11" t="str">
        <f t="shared" si="2"/>
        <v xml:space="preserve">  </v>
      </c>
      <c r="T166" s="12"/>
    </row>
    <row r="167" spans="1:20" x14ac:dyDescent="0.3">
      <c r="A167" s="17">
        <v>1</v>
      </c>
      <c r="B167" s="17">
        <v>4</v>
      </c>
      <c r="C167" s="14" t="s">
        <v>572</v>
      </c>
      <c r="D167" s="16">
        <v>407240</v>
      </c>
      <c r="E167" s="14" t="s">
        <v>366</v>
      </c>
      <c r="F167" s="14">
        <v>386033.84297741874</v>
      </c>
      <c r="G167" s="14">
        <v>91474.305073912852</v>
      </c>
      <c r="H167" s="14">
        <v>146223.93228404253</v>
      </c>
      <c r="I167" s="14">
        <v>113351.93683109267</v>
      </c>
      <c r="J167" s="14">
        <v>737084.0171664668</v>
      </c>
      <c r="K167" s="14">
        <v>352860.02032598463</v>
      </c>
      <c r="L167" s="14">
        <v>83681.068038021142</v>
      </c>
      <c r="M167" s="14">
        <v>131601.53905563828</v>
      </c>
      <c r="N167" s="14">
        <v>102016.7431479834</v>
      </c>
      <c r="O167" s="14">
        <v>670159.37056762748</v>
      </c>
      <c r="P167" s="15">
        <v>0.90920350320969623</v>
      </c>
      <c r="Q167" s="14">
        <v>17007</v>
      </c>
      <c r="R167" s="11" t="str">
        <f t="shared" si="2"/>
        <v xml:space="preserve">  </v>
      </c>
      <c r="T167" s="12"/>
    </row>
    <row r="168" spans="1:20" x14ac:dyDescent="0.3">
      <c r="A168" s="17">
        <v>1</v>
      </c>
      <c r="B168" s="17">
        <v>4</v>
      </c>
      <c r="C168" s="14" t="s">
        <v>572</v>
      </c>
      <c r="D168" s="16">
        <v>407300</v>
      </c>
      <c r="E168" s="14" t="s">
        <v>367</v>
      </c>
      <c r="F168" s="14">
        <v>327921.22145393642</v>
      </c>
      <c r="G168" s="14">
        <v>0</v>
      </c>
      <c r="H168" s="14">
        <v>91959.962969657572</v>
      </c>
      <c r="I168" s="14">
        <v>74049.3760674277</v>
      </c>
      <c r="J168" s="14">
        <v>493930.56049102166</v>
      </c>
      <c r="K168" s="14">
        <v>360879.5662424842</v>
      </c>
      <c r="L168" s="14">
        <v>0</v>
      </c>
      <c r="M168" s="14">
        <v>113781.18571952191</v>
      </c>
      <c r="N168" s="14">
        <v>88199.128152360383</v>
      </c>
      <c r="O168" s="14">
        <v>562859.88011436653</v>
      </c>
      <c r="P168" s="15">
        <v>1.139552652006026</v>
      </c>
      <c r="Q168" s="14">
        <v>27711</v>
      </c>
      <c r="R168" s="11" t="str">
        <f t="shared" si="2"/>
        <v>*</v>
      </c>
      <c r="T168" s="12"/>
    </row>
    <row r="169" spans="1:20" x14ac:dyDescent="0.3">
      <c r="A169" s="17">
        <v>1</v>
      </c>
      <c r="B169" s="17">
        <v>4</v>
      </c>
      <c r="C169" s="14" t="s">
        <v>572</v>
      </c>
      <c r="D169" s="16">
        <v>400005</v>
      </c>
      <c r="E169" s="14" t="s">
        <v>368</v>
      </c>
      <c r="F169" s="14">
        <v>31033.180615983249</v>
      </c>
      <c r="G169" s="14">
        <v>7348.281679802787</v>
      </c>
      <c r="H169" s="14">
        <v>21215.169046616211</v>
      </c>
      <c r="I169" s="14">
        <v>22497.061616472951</v>
      </c>
      <c r="J169" s="14">
        <v>82093.692958875195</v>
      </c>
      <c r="K169" s="14">
        <v>29481.521585184084</v>
      </c>
      <c r="L169" s="14">
        <v>6980.8675958126478</v>
      </c>
      <c r="M169" s="14">
        <v>20170.655461895029</v>
      </c>
      <c r="N169" s="14">
        <v>21372.208535649301</v>
      </c>
      <c r="O169" s="14">
        <v>78005.253178541068</v>
      </c>
      <c r="P169" s="15">
        <v>0.9501978820421414</v>
      </c>
      <c r="Q169" s="14">
        <v>2728</v>
      </c>
      <c r="R169" s="11" t="str">
        <f t="shared" si="2"/>
        <v xml:space="preserve">  </v>
      </c>
      <c r="T169" s="12"/>
    </row>
    <row r="170" spans="1:20" x14ac:dyDescent="0.3">
      <c r="A170" s="17">
        <v>1</v>
      </c>
      <c r="B170" s="17">
        <v>4</v>
      </c>
      <c r="C170" s="14" t="s">
        <v>572</v>
      </c>
      <c r="D170" s="16">
        <v>406960</v>
      </c>
      <c r="E170" s="14" t="s">
        <v>370</v>
      </c>
      <c r="F170" s="14">
        <v>328151.00651007186</v>
      </c>
      <c r="G170" s="14">
        <v>80034.64114276816</v>
      </c>
      <c r="H170" s="14">
        <v>241456.24106913293</v>
      </c>
      <c r="I170" s="14">
        <v>283232.1228403619</v>
      </c>
      <c r="J170" s="14">
        <v>932874.01156233484</v>
      </c>
      <c r="K170" s="14">
        <v>315592.71871401573</v>
      </c>
      <c r="L170" s="14">
        <v>76032.909085629755</v>
      </c>
      <c r="M170" s="14">
        <v>238544.13566236277</v>
      </c>
      <c r="N170" s="14">
        <v>269070.5166983438</v>
      </c>
      <c r="O170" s="14">
        <v>899240.28016035201</v>
      </c>
      <c r="P170" s="15">
        <v>0.96394611599732039</v>
      </c>
      <c r="Q170" s="14">
        <v>5254</v>
      </c>
      <c r="R170" s="11" t="str">
        <f t="shared" si="2"/>
        <v xml:space="preserve">  </v>
      </c>
      <c r="T170" s="12"/>
    </row>
    <row r="171" spans="1:20" x14ac:dyDescent="0.3">
      <c r="A171" s="17">
        <v>1</v>
      </c>
      <c r="B171" s="17">
        <v>4</v>
      </c>
      <c r="C171" s="14" t="s">
        <v>572</v>
      </c>
      <c r="D171" s="16">
        <v>407380</v>
      </c>
      <c r="E171" s="14" t="s">
        <v>371</v>
      </c>
      <c r="F171" s="14">
        <v>0</v>
      </c>
      <c r="G171" s="14">
        <v>0</v>
      </c>
      <c r="H171" s="14">
        <v>0</v>
      </c>
      <c r="I171" s="14">
        <v>0</v>
      </c>
      <c r="J171" s="14">
        <v>0</v>
      </c>
      <c r="K171" s="14">
        <v>0</v>
      </c>
      <c r="L171" s="14">
        <v>0</v>
      </c>
      <c r="M171" s="14">
        <v>0</v>
      </c>
      <c r="N171" s="14">
        <v>0</v>
      </c>
      <c r="O171" s="14">
        <v>0</v>
      </c>
      <c r="P171" s="15">
        <v>0</v>
      </c>
      <c r="Q171" s="14">
        <v>53</v>
      </c>
      <c r="R171" s="11" t="str">
        <f t="shared" si="2"/>
        <v xml:space="preserve">  </v>
      </c>
      <c r="T171" s="12"/>
    </row>
    <row r="172" spans="1:20" x14ac:dyDescent="0.3">
      <c r="A172" s="17">
        <v>1</v>
      </c>
      <c r="B172" s="17">
        <v>4</v>
      </c>
      <c r="C172" s="14" t="s">
        <v>572</v>
      </c>
      <c r="D172" s="16">
        <v>407430</v>
      </c>
      <c r="E172" s="14" t="s">
        <v>372</v>
      </c>
      <c r="F172" s="14">
        <v>9685.4369205804051</v>
      </c>
      <c r="G172" s="14">
        <v>2295.0542491662718</v>
      </c>
      <c r="H172" s="14">
        <v>3773.5159373630231</v>
      </c>
      <c r="I172" s="14">
        <v>3114.4066360168649</v>
      </c>
      <c r="J172" s="14">
        <v>18868.413743126566</v>
      </c>
      <c r="K172" s="14">
        <v>8716.8932285223655</v>
      </c>
      <c r="L172" s="14">
        <v>2065.5488242496449</v>
      </c>
      <c r="M172" s="14">
        <v>3396.1643436267209</v>
      </c>
      <c r="N172" s="14">
        <v>2802.9659724151784</v>
      </c>
      <c r="O172" s="14">
        <v>16981.572368813908</v>
      </c>
      <c r="P172" s="15">
        <v>0.89999999999999991</v>
      </c>
      <c r="Q172" s="14">
        <v>667</v>
      </c>
      <c r="R172" s="11" t="str">
        <f t="shared" si="2"/>
        <v xml:space="preserve">  </v>
      </c>
      <c r="T172" s="12"/>
    </row>
    <row r="173" spans="1:20" x14ac:dyDescent="0.3">
      <c r="A173" s="17">
        <v>1</v>
      </c>
      <c r="B173" s="17">
        <v>4</v>
      </c>
      <c r="C173" s="14" t="s">
        <v>572</v>
      </c>
      <c r="D173" s="16">
        <v>406740</v>
      </c>
      <c r="E173" s="14" t="s">
        <v>374</v>
      </c>
      <c r="F173" s="14">
        <v>333916.96811905765</v>
      </c>
      <c r="G173" s="14">
        <v>83624.434985650529</v>
      </c>
      <c r="H173" s="14">
        <v>229004.84532465617</v>
      </c>
      <c r="I173" s="14">
        <v>243210.36866495735</v>
      </c>
      <c r="J173" s="14">
        <v>889756.61709432164</v>
      </c>
      <c r="K173" s="14">
        <v>317221.11971310474</v>
      </c>
      <c r="L173" s="14">
        <v>79443.213236367999</v>
      </c>
      <c r="M173" s="14">
        <v>217554.60305842335</v>
      </c>
      <c r="N173" s="14">
        <v>231049.85023170948</v>
      </c>
      <c r="O173" s="14">
        <v>845268.78623960563</v>
      </c>
      <c r="P173" s="15">
        <v>0.95000000000000007</v>
      </c>
      <c r="Q173" s="14">
        <v>5925</v>
      </c>
      <c r="R173" s="11" t="str">
        <f t="shared" si="2"/>
        <v xml:space="preserve">  </v>
      </c>
      <c r="T173" s="12"/>
    </row>
    <row r="174" spans="1:20" x14ac:dyDescent="0.3">
      <c r="A174" s="17">
        <v>1</v>
      </c>
      <c r="B174" s="17">
        <v>4</v>
      </c>
      <c r="C174" s="14" t="s">
        <v>572</v>
      </c>
      <c r="D174" s="16">
        <v>407500</v>
      </c>
      <c r="E174" s="14" t="s">
        <v>375</v>
      </c>
      <c r="F174" s="14">
        <v>66421.139300805982</v>
      </c>
      <c r="G174" s="14">
        <v>15339.737100097291</v>
      </c>
      <c r="H174" s="14">
        <v>34195.290634749414</v>
      </c>
      <c r="I174" s="14">
        <v>25342.197916352823</v>
      </c>
      <c r="J174" s="14">
        <v>141298.3649520055</v>
      </c>
      <c r="K174" s="14">
        <v>59779.025370725387</v>
      </c>
      <c r="L174" s="14">
        <v>13805.763390087563</v>
      </c>
      <c r="M174" s="14">
        <v>30775.761571274474</v>
      </c>
      <c r="N174" s="14">
        <v>22807.978124717542</v>
      </c>
      <c r="O174" s="14">
        <v>127168.52845680497</v>
      </c>
      <c r="P174" s="15">
        <v>0.90000000000000013</v>
      </c>
      <c r="Q174" s="14">
        <v>1726</v>
      </c>
      <c r="R174" s="11" t="str">
        <f t="shared" si="2"/>
        <v xml:space="preserve">  </v>
      </c>
      <c r="T174" s="12"/>
    </row>
    <row r="175" spans="1:20" x14ac:dyDescent="0.3">
      <c r="A175" s="17">
        <v>1</v>
      </c>
      <c r="B175" s="17">
        <v>4</v>
      </c>
      <c r="C175" s="14" t="s">
        <v>572</v>
      </c>
      <c r="D175" s="16">
        <v>407520</v>
      </c>
      <c r="E175" s="14" t="s">
        <v>376</v>
      </c>
      <c r="F175" s="14">
        <v>543030.40526850568</v>
      </c>
      <c r="G175" s="14">
        <v>125411.03241926897</v>
      </c>
      <c r="H175" s="14">
        <v>255446.49495231098</v>
      </c>
      <c r="I175" s="14">
        <v>181115.18475072214</v>
      </c>
      <c r="J175" s="14">
        <v>1105003.1173908077</v>
      </c>
      <c r="K175" s="14">
        <v>488727.36474165512</v>
      </c>
      <c r="L175" s="14">
        <v>112869.92917734208</v>
      </c>
      <c r="M175" s="14">
        <v>229901.84545707988</v>
      </c>
      <c r="N175" s="14">
        <v>163003.66627564994</v>
      </c>
      <c r="O175" s="14">
        <v>994502.80565172702</v>
      </c>
      <c r="P175" s="15">
        <v>0.9</v>
      </c>
      <c r="Q175" s="14">
        <v>19782</v>
      </c>
      <c r="R175" s="11" t="str">
        <f t="shared" si="2"/>
        <v xml:space="preserve">  </v>
      </c>
      <c r="T175" s="12"/>
    </row>
    <row r="176" spans="1:20" x14ac:dyDescent="0.3">
      <c r="A176" s="17">
        <v>1</v>
      </c>
      <c r="B176" s="17">
        <v>4</v>
      </c>
      <c r="C176" s="14" t="s">
        <v>572</v>
      </c>
      <c r="D176" s="16">
        <v>407530</v>
      </c>
      <c r="E176" s="14" t="s">
        <v>377</v>
      </c>
      <c r="F176" s="14">
        <v>103772.53843479001</v>
      </c>
      <c r="G176" s="14">
        <v>24876.079924192349</v>
      </c>
      <c r="H176" s="14">
        <v>46443.246920567901</v>
      </c>
      <c r="I176" s="14">
        <v>34704.614365340858</v>
      </c>
      <c r="J176" s="14">
        <v>209796.47964489111</v>
      </c>
      <c r="K176" s="14">
        <v>93395.284591311007</v>
      </c>
      <c r="L176" s="14">
        <v>22388.471931773114</v>
      </c>
      <c r="M176" s="14">
        <v>41798.92222851111</v>
      </c>
      <c r="N176" s="14">
        <v>31234.152928806772</v>
      </c>
      <c r="O176" s="14">
        <v>188816.83168040201</v>
      </c>
      <c r="P176" s="15">
        <v>0.90000000000000013</v>
      </c>
      <c r="Q176" s="14">
        <v>19542</v>
      </c>
      <c r="R176" s="11" t="str">
        <f t="shared" si="2"/>
        <v xml:space="preserve">  </v>
      </c>
      <c r="T176" s="12"/>
    </row>
    <row r="177" spans="1:20" x14ac:dyDescent="0.3">
      <c r="A177" s="17">
        <v>1</v>
      </c>
      <c r="B177" s="17">
        <v>4</v>
      </c>
      <c r="C177" s="14" t="s">
        <v>572</v>
      </c>
      <c r="D177" s="16">
        <v>407570</v>
      </c>
      <c r="E177" s="14" t="s">
        <v>379</v>
      </c>
      <c r="F177" s="14">
        <v>1822706.9861968448</v>
      </c>
      <c r="G177" s="14">
        <v>0</v>
      </c>
      <c r="H177" s="14">
        <v>813621.23433498153</v>
      </c>
      <c r="I177" s="14">
        <v>619090.19118600304</v>
      </c>
      <c r="J177" s="14">
        <v>3255418.4117178293</v>
      </c>
      <c r="K177" s="14">
        <v>1710993.7081849554</v>
      </c>
      <c r="L177" s="14">
        <v>0</v>
      </c>
      <c r="M177" s="14">
        <v>819664.33976875059</v>
      </c>
      <c r="N177" s="14">
        <v>672903.2610751309</v>
      </c>
      <c r="O177" s="14">
        <v>3203561.3090288369</v>
      </c>
      <c r="P177" s="15">
        <v>0.98407052607974033</v>
      </c>
      <c r="Q177" s="14">
        <v>235949</v>
      </c>
      <c r="R177" s="11" t="str">
        <f t="shared" si="2"/>
        <v>*</v>
      </c>
      <c r="T177" s="12"/>
    </row>
    <row r="178" spans="1:20" x14ac:dyDescent="0.3">
      <c r="A178" s="17">
        <v>1</v>
      </c>
      <c r="B178" s="17">
        <v>4</v>
      </c>
      <c r="C178" s="14" t="s">
        <v>572</v>
      </c>
      <c r="D178" s="16">
        <v>409733</v>
      </c>
      <c r="E178" s="14" t="s">
        <v>583</v>
      </c>
      <c r="F178" s="14">
        <v>171109.38559692045</v>
      </c>
      <c r="G178" s="14">
        <v>40545.95840193746</v>
      </c>
      <c r="H178" s="14">
        <v>71033.241421240702</v>
      </c>
      <c r="I178" s="14">
        <v>51109.519437397816</v>
      </c>
      <c r="J178" s="14">
        <v>333798.10485749645</v>
      </c>
      <c r="K178" s="14">
        <v>153998.44703722841</v>
      </c>
      <c r="L178" s="14">
        <v>36491.362561743714</v>
      </c>
      <c r="M178" s="14">
        <v>63929.917279116635</v>
      </c>
      <c r="N178" s="14">
        <v>45998.567493658033</v>
      </c>
      <c r="O178" s="14">
        <v>300418.29437174677</v>
      </c>
      <c r="P178" s="15">
        <v>0.89999999999999991</v>
      </c>
      <c r="Q178" s="14">
        <v>14958</v>
      </c>
      <c r="R178" s="11" t="str">
        <f t="shared" si="2"/>
        <v xml:space="preserve">  </v>
      </c>
      <c r="T178" s="12"/>
    </row>
    <row r="179" spans="1:20" x14ac:dyDescent="0.3">
      <c r="A179" s="17">
        <v>1</v>
      </c>
      <c r="B179" s="17">
        <v>4</v>
      </c>
      <c r="C179" s="14" t="s">
        <v>572</v>
      </c>
      <c r="D179" s="16">
        <v>407630</v>
      </c>
      <c r="E179" s="14" t="s">
        <v>382</v>
      </c>
      <c r="F179" s="14">
        <v>13247.724514387859</v>
      </c>
      <c r="G179" s="14">
        <v>3231.0639200637115</v>
      </c>
      <c r="H179" s="14">
        <v>4908.2979615216946</v>
      </c>
      <c r="I179" s="14">
        <v>4213.3165493697925</v>
      </c>
      <c r="J179" s="14">
        <v>25600.402945343056</v>
      </c>
      <c r="K179" s="14">
        <v>16510.829828087521</v>
      </c>
      <c r="L179" s="14">
        <v>3915.5579964314697</v>
      </c>
      <c r="M179" s="14">
        <v>6598.7590184970286</v>
      </c>
      <c r="N179" s="14">
        <v>5016.4903746283753</v>
      </c>
      <c r="O179" s="14">
        <v>32041.637217644395</v>
      </c>
      <c r="P179" s="15">
        <v>1.2516067534582715</v>
      </c>
      <c r="Q179" s="14">
        <v>1364</v>
      </c>
      <c r="R179" s="11" t="str">
        <f t="shared" si="2"/>
        <v xml:space="preserve">  </v>
      </c>
      <c r="T179" s="12"/>
    </row>
    <row r="180" spans="1:20" x14ac:dyDescent="0.3">
      <c r="A180" s="17">
        <v>1</v>
      </c>
      <c r="B180" s="17">
        <v>4</v>
      </c>
      <c r="C180" s="14" t="s">
        <v>572</v>
      </c>
      <c r="D180" s="16">
        <v>407680</v>
      </c>
      <c r="E180" s="14" t="s">
        <v>476</v>
      </c>
      <c r="F180" s="14">
        <v>0</v>
      </c>
      <c r="G180" s="14">
        <v>1896.7696709865324</v>
      </c>
      <c r="H180" s="14">
        <v>0</v>
      </c>
      <c r="I180" s="14">
        <v>0</v>
      </c>
      <c r="J180" s="14">
        <v>1896.7696709865324</v>
      </c>
      <c r="K180" s="14">
        <v>0</v>
      </c>
      <c r="L180" s="14">
        <v>0</v>
      </c>
      <c r="M180" s="14">
        <v>0</v>
      </c>
      <c r="N180" s="14">
        <v>0</v>
      </c>
      <c r="O180" s="14">
        <v>0</v>
      </c>
      <c r="P180" s="15">
        <v>0</v>
      </c>
      <c r="Q180" s="14">
        <v>137</v>
      </c>
      <c r="R180" s="11" t="str">
        <f t="shared" si="2"/>
        <v xml:space="preserve">  </v>
      </c>
      <c r="T180" s="12"/>
    </row>
    <row r="181" spans="1:20" x14ac:dyDescent="0.3">
      <c r="A181" s="17">
        <v>1</v>
      </c>
      <c r="B181" s="17">
        <v>4</v>
      </c>
      <c r="C181" s="14" t="s">
        <v>572</v>
      </c>
      <c r="D181" s="16">
        <v>407700</v>
      </c>
      <c r="E181" s="14" t="s">
        <v>383</v>
      </c>
      <c r="F181" s="14">
        <v>492112.43782187096</v>
      </c>
      <c r="G181" s="14">
        <v>116610.61351716246</v>
      </c>
      <c r="H181" s="14">
        <v>266102.26468739618</v>
      </c>
      <c r="I181" s="14">
        <v>218969.74697647674</v>
      </c>
      <c r="J181" s="14">
        <v>1093795.0630029063</v>
      </c>
      <c r="K181" s="14">
        <v>442901.19403968385</v>
      </c>
      <c r="L181" s="14">
        <v>104949.55216544622</v>
      </c>
      <c r="M181" s="14">
        <v>239492.03821865655</v>
      </c>
      <c r="N181" s="14">
        <v>197072.77227882907</v>
      </c>
      <c r="O181" s="14">
        <v>984415.55670261569</v>
      </c>
      <c r="P181" s="15">
        <v>0.9</v>
      </c>
      <c r="Q181" s="14">
        <v>16388</v>
      </c>
      <c r="R181" s="11" t="str">
        <f t="shared" si="2"/>
        <v xml:space="preserve">  </v>
      </c>
      <c r="T181" s="12"/>
    </row>
    <row r="182" spans="1:20" x14ac:dyDescent="0.3">
      <c r="A182" s="17">
        <v>1</v>
      </c>
      <c r="B182" s="17">
        <v>4</v>
      </c>
      <c r="C182" s="14" t="s">
        <v>572</v>
      </c>
      <c r="D182" s="16">
        <v>401460</v>
      </c>
      <c r="E182" s="14" t="s">
        <v>384</v>
      </c>
      <c r="F182" s="14">
        <v>650307.90752468421</v>
      </c>
      <c r="G182" s="14">
        <v>154096.49958687826</v>
      </c>
      <c r="H182" s="14">
        <v>223991.09671812513</v>
      </c>
      <c r="I182" s="14">
        <v>162661.579386044</v>
      </c>
      <c r="J182" s="14">
        <v>1191057.0832157317</v>
      </c>
      <c r="K182" s="14">
        <v>676472.28495649982</v>
      </c>
      <c r="L182" s="14">
        <v>160426.00476807792</v>
      </c>
      <c r="M182" s="14">
        <v>256149.53967156709</v>
      </c>
      <c r="N182" s="14">
        <v>198558.01231806315</v>
      </c>
      <c r="O182" s="14">
        <v>1291605.8417142078</v>
      </c>
      <c r="P182" s="15">
        <v>1.0844197645229603</v>
      </c>
      <c r="Q182" s="14">
        <v>47505</v>
      </c>
      <c r="R182" s="11" t="str">
        <f t="shared" si="2"/>
        <v>*</v>
      </c>
      <c r="T182" s="12"/>
    </row>
    <row r="183" spans="1:20" x14ac:dyDescent="0.3">
      <c r="A183" s="17">
        <v>1</v>
      </c>
      <c r="B183" s="17">
        <v>4</v>
      </c>
      <c r="C183" s="14" t="s">
        <v>572</v>
      </c>
      <c r="D183" s="16">
        <v>407770</v>
      </c>
      <c r="E183" s="14" t="s">
        <v>475</v>
      </c>
      <c r="F183" s="14">
        <v>8301.8030747832017</v>
      </c>
      <c r="G183" s="14">
        <v>1967.1893564282329</v>
      </c>
      <c r="H183" s="14">
        <v>2360.3560242749481</v>
      </c>
      <c r="I183" s="14">
        <v>1794.1383169580763</v>
      </c>
      <c r="J183" s="14">
        <v>14423.486772444459</v>
      </c>
      <c r="K183" s="14">
        <v>7547.8079214114341</v>
      </c>
      <c r="L183" s="14">
        <v>1672.110952963998</v>
      </c>
      <c r="M183" s="14">
        <v>2269.9488422847262</v>
      </c>
      <c r="N183" s="14">
        <v>1759.5836040371148</v>
      </c>
      <c r="O183" s="14">
        <v>13249.451320697272</v>
      </c>
      <c r="P183" s="15">
        <v>0.91860252168774204</v>
      </c>
      <c r="Q183" s="14">
        <v>634</v>
      </c>
      <c r="R183" s="11" t="str">
        <f t="shared" si="2"/>
        <v xml:space="preserve">  </v>
      </c>
      <c r="T183" s="12"/>
    </row>
    <row r="184" spans="1:20" x14ac:dyDescent="0.3">
      <c r="A184" s="17">
        <v>1</v>
      </c>
      <c r="B184" s="17">
        <v>4</v>
      </c>
      <c r="C184" s="14" t="s">
        <v>572</v>
      </c>
      <c r="D184" s="16">
        <v>407820</v>
      </c>
      <c r="E184" s="14" t="s">
        <v>388</v>
      </c>
      <c r="F184" s="14">
        <v>324231.53119847726</v>
      </c>
      <c r="G184" s="14">
        <v>76829.673198280434</v>
      </c>
      <c r="H184" s="14">
        <v>128931.90666573092</v>
      </c>
      <c r="I184" s="14">
        <v>114216.6529907337</v>
      </c>
      <c r="J184" s="14">
        <v>644209.76405322237</v>
      </c>
      <c r="K184" s="14">
        <v>291808.37807862955</v>
      </c>
      <c r="L184" s="14">
        <v>69146.705878452398</v>
      </c>
      <c r="M184" s="14">
        <v>116038.71599915782</v>
      </c>
      <c r="N184" s="14">
        <v>102794.98769166032</v>
      </c>
      <c r="O184" s="14">
        <v>579788.78764790006</v>
      </c>
      <c r="P184" s="15">
        <v>0.89999999999999991</v>
      </c>
      <c r="Q184" s="14">
        <v>12313</v>
      </c>
      <c r="R184" s="11" t="str">
        <f t="shared" si="2"/>
        <v xml:space="preserve">  </v>
      </c>
      <c r="T184" s="12"/>
    </row>
    <row r="185" spans="1:20" x14ac:dyDescent="0.3">
      <c r="A185" s="17">
        <v>1</v>
      </c>
      <c r="B185" s="17">
        <v>4</v>
      </c>
      <c r="C185" s="14" t="s">
        <v>572</v>
      </c>
      <c r="D185" s="16">
        <v>407860</v>
      </c>
      <c r="E185" s="14" t="s">
        <v>389</v>
      </c>
      <c r="F185" s="14">
        <v>60879.889215076815</v>
      </c>
      <c r="G185" s="14">
        <v>14426.055280473704</v>
      </c>
      <c r="H185" s="14">
        <v>33764.020890611668</v>
      </c>
      <c r="I185" s="14">
        <v>34158.260706969399</v>
      </c>
      <c r="J185" s="14">
        <v>143228.22609313158</v>
      </c>
      <c r="K185" s="14">
        <v>54791.900293569131</v>
      </c>
      <c r="L185" s="14">
        <v>12983.449752426333</v>
      </c>
      <c r="M185" s="14">
        <v>30387.618801550503</v>
      </c>
      <c r="N185" s="14">
        <v>30742.434636272461</v>
      </c>
      <c r="O185" s="14">
        <v>128905.40348381843</v>
      </c>
      <c r="P185" s="15">
        <v>0.9</v>
      </c>
      <c r="Q185" s="14">
        <v>2940</v>
      </c>
      <c r="R185" s="11" t="str">
        <f t="shared" si="2"/>
        <v xml:space="preserve">  </v>
      </c>
      <c r="T185" s="12"/>
    </row>
    <row r="186" spans="1:20" x14ac:dyDescent="0.3">
      <c r="A186" s="17">
        <v>1</v>
      </c>
      <c r="B186" s="17">
        <v>4</v>
      </c>
      <c r="C186" s="14" t="s">
        <v>572</v>
      </c>
      <c r="D186" s="16">
        <v>407890</v>
      </c>
      <c r="E186" s="14" t="s">
        <v>390</v>
      </c>
      <c r="F186" s="14">
        <v>546996.58037182654</v>
      </c>
      <c r="G186" s="14">
        <v>130345.54306238084</v>
      </c>
      <c r="H186" s="14">
        <v>299676.85914339789</v>
      </c>
      <c r="I186" s="14">
        <v>313156.62084076932</v>
      </c>
      <c r="J186" s="14">
        <v>1290175.6034183747</v>
      </c>
      <c r="K186" s="14">
        <v>542026.95635635871</v>
      </c>
      <c r="L186" s="14">
        <v>128542.17536856452</v>
      </c>
      <c r="M186" s="14">
        <v>298544.15055462101</v>
      </c>
      <c r="N186" s="14">
        <v>297498.78979873087</v>
      </c>
      <c r="O186" s="14">
        <v>1266612.072078275</v>
      </c>
      <c r="P186" s="15">
        <v>0.98173618282839403</v>
      </c>
      <c r="Q186" s="14">
        <v>22405</v>
      </c>
      <c r="R186" s="11" t="str">
        <f t="shared" si="2"/>
        <v>*</v>
      </c>
      <c r="T186" s="12"/>
    </row>
    <row r="187" spans="1:20" x14ac:dyDescent="0.3">
      <c r="A187" s="17">
        <v>1</v>
      </c>
      <c r="B187" s="17">
        <v>4</v>
      </c>
      <c r="C187" s="14" t="s">
        <v>572</v>
      </c>
      <c r="D187" s="16">
        <v>407920</v>
      </c>
      <c r="E187" s="14" t="s">
        <v>391</v>
      </c>
      <c r="F187" s="14">
        <v>12249.939716835494</v>
      </c>
      <c r="G187" s="14">
        <v>2900.637505185312</v>
      </c>
      <c r="H187" s="14">
        <v>4491.4984447616425</v>
      </c>
      <c r="I187" s="14">
        <v>3750.3154562849982</v>
      </c>
      <c r="J187" s="14">
        <v>23392.391123067446</v>
      </c>
      <c r="K187" s="14">
        <v>11321.711882117153</v>
      </c>
      <c r="L187" s="14">
        <v>2684.9540546958642</v>
      </c>
      <c r="M187" s="14">
        <v>4042.3486002854784</v>
      </c>
      <c r="N187" s="14">
        <v>3375.2839106564984</v>
      </c>
      <c r="O187" s="14">
        <v>21424.298447754991</v>
      </c>
      <c r="P187" s="15">
        <v>0.91586611796296014</v>
      </c>
      <c r="Q187" s="14">
        <v>1821</v>
      </c>
      <c r="R187" s="11" t="str">
        <f t="shared" si="2"/>
        <v xml:space="preserve">  </v>
      </c>
      <c r="T187" s="12"/>
    </row>
    <row r="188" spans="1:20" x14ac:dyDescent="0.3">
      <c r="A188" s="17">
        <v>1</v>
      </c>
      <c r="B188" s="17">
        <v>4</v>
      </c>
      <c r="C188" s="14" t="s">
        <v>572</v>
      </c>
      <c r="D188" s="16">
        <v>408020</v>
      </c>
      <c r="E188" s="14" t="s">
        <v>397</v>
      </c>
      <c r="F188" s="14">
        <v>63699.686527544553</v>
      </c>
      <c r="G188" s="14">
        <v>15083.31502696361</v>
      </c>
      <c r="H188" s="14">
        <v>26628.849333987604</v>
      </c>
      <c r="I188" s="14">
        <v>22330.783835031511</v>
      </c>
      <c r="J188" s="14">
        <v>127742.63472352728</v>
      </c>
      <c r="K188" s="14">
        <v>57329.717874790098</v>
      </c>
      <c r="L188" s="14">
        <v>13574.983524267249</v>
      </c>
      <c r="M188" s="14">
        <v>23965.964400588844</v>
      </c>
      <c r="N188" s="14">
        <v>20097.70545152836</v>
      </c>
      <c r="O188" s="14">
        <v>114968.37125117454</v>
      </c>
      <c r="P188" s="15">
        <v>0.89999999999999991</v>
      </c>
      <c r="Q188" s="14">
        <v>3569</v>
      </c>
      <c r="R188" s="11" t="str">
        <f t="shared" si="2"/>
        <v xml:space="preserve">  </v>
      </c>
      <c r="T188" s="12"/>
    </row>
    <row r="189" spans="1:20" x14ac:dyDescent="0.3">
      <c r="A189" s="17">
        <v>1</v>
      </c>
      <c r="B189" s="17">
        <v>4</v>
      </c>
      <c r="C189" s="14" t="s">
        <v>572</v>
      </c>
      <c r="D189" s="16">
        <v>408080</v>
      </c>
      <c r="E189" s="14" t="s">
        <v>398</v>
      </c>
      <c r="F189" s="14">
        <v>133290.06047846368</v>
      </c>
      <c r="G189" s="14">
        <v>31584.318000431067</v>
      </c>
      <c r="H189" s="14">
        <v>65687.082178947123</v>
      </c>
      <c r="I189" s="14">
        <v>51663.090199476981</v>
      </c>
      <c r="J189" s="14">
        <v>282224.55085731886</v>
      </c>
      <c r="K189" s="14">
        <v>126625.5574545405</v>
      </c>
      <c r="L189" s="14">
        <v>30005.102100409513</v>
      </c>
      <c r="M189" s="14">
        <v>62402.728069999765</v>
      </c>
      <c r="N189" s="14">
        <v>49079.935689503131</v>
      </c>
      <c r="O189" s="14">
        <v>268113.32331445295</v>
      </c>
      <c r="P189" s="15">
        <v>0.95000000000000018</v>
      </c>
      <c r="Q189" s="14">
        <v>4216</v>
      </c>
      <c r="R189" s="11" t="str">
        <f t="shared" si="2"/>
        <v xml:space="preserve">  </v>
      </c>
      <c r="T189" s="12"/>
    </row>
    <row r="190" spans="1:20" x14ac:dyDescent="0.3">
      <c r="A190" s="17">
        <v>1</v>
      </c>
      <c r="B190" s="17">
        <v>4</v>
      </c>
      <c r="C190" s="14" t="s">
        <v>572</v>
      </c>
      <c r="D190" s="16">
        <v>408130</v>
      </c>
      <c r="E190" s="14" t="s">
        <v>399</v>
      </c>
      <c r="F190" s="14">
        <v>137902.17329778764</v>
      </c>
      <c r="G190" s="14">
        <v>32710.735832948511</v>
      </c>
      <c r="H190" s="14">
        <v>71282.634842532992</v>
      </c>
      <c r="I190" s="14">
        <v>57353.634532133954</v>
      </c>
      <c r="J190" s="14">
        <v>299249.17850540305</v>
      </c>
      <c r="K190" s="14">
        <v>124111.95596800887</v>
      </c>
      <c r="L190" s="14">
        <v>29439.662249653658</v>
      </c>
      <c r="M190" s="14">
        <v>64154.371358279692</v>
      </c>
      <c r="N190" s="14">
        <v>51618.271078920559</v>
      </c>
      <c r="O190" s="14">
        <v>269324.2606548628</v>
      </c>
      <c r="P190" s="15">
        <v>0.90000000000000013</v>
      </c>
      <c r="Q190" s="14">
        <v>5554</v>
      </c>
      <c r="R190" s="11" t="str">
        <f t="shared" si="2"/>
        <v xml:space="preserve">  </v>
      </c>
      <c r="T190" s="12"/>
    </row>
    <row r="191" spans="1:20" x14ac:dyDescent="0.3">
      <c r="A191" s="17">
        <v>1</v>
      </c>
      <c r="B191" s="17">
        <v>4</v>
      </c>
      <c r="C191" s="14" t="s">
        <v>572</v>
      </c>
      <c r="D191" s="16">
        <v>408170</v>
      </c>
      <c r="E191" s="14" t="s">
        <v>403</v>
      </c>
      <c r="F191" s="14">
        <v>3938196.8234477625</v>
      </c>
      <c r="G191" s="14">
        <v>932517.35706052871</v>
      </c>
      <c r="H191" s="14">
        <v>2443903.0044073761</v>
      </c>
      <c r="I191" s="14">
        <v>2494121.4288284928</v>
      </c>
      <c r="J191" s="14">
        <v>9808738.6137441602</v>
      </c>
      <c r="K191" s="14">
        <v>3748901.8469660431</v>
      </c>
      <c r="L191" s="14">
        <v>889055.41136116826</v>
      </c>
      <c r="M191" s="14">
        <v>2321707.8541870071</v>
      </c>
      <c r="N191" s="14">
        <v>2369415.3573870682</v>
      </c>
      <c r="O191" s="14">
        <v>9329080.4699012861</v>
      </c>
      <c r="P191" s="15">
        <v>0.95109889632793665</v>
      </c>
      <c r="Q191" s="14">
        <v>89942</v>
      </c>
      <c r="R191" s="11" t="str">
        <f t="shared" si="2"/>
        <v>*</v>
      </c>
      <c r="T191" s="12"/>
    </row>
    <row r="192" spans="1:20" x14ac:dyDescent="0.3">
      <c r="A192" s="17">
        <v>1</v>
      </c>
      <c r="B192" s="17">
        <v>4</v>
      </c>
      <c r="C192" s="14" t="s">
        <v>572</v>
      </c>
      <c r="D192" s="16">
        <v>408230</v>
      </c>
      <c r="E192" s="14" t="s">
        <v>404</v>
      </c>
      <c r="F192" s="14">
        <v>135981.69582599314</v>
      </c>
      <c r="G192" s="14">
        <v>33165.359884655372</v>
      </c>
      <c r="H192" s="14">
        <v>53539.66230655487</v>
      </c>
      <c r="I192" s="14">
        <v>47221.006711399205</v>
      </c>
      <c r="J192" s="14">
        <v>269907.72472860257</v>
      </c>
      <c r="K192" s="14">
        <v>122383.52624339383</v>
      </c>
      <c r="L192" s="14">
        <v>29848.823896189835</v>
      </c>
      <c r="M192" s="14">
        <v>48185.696075899381</v>
      </c>
      <c r="N192" s="14">
        <v>42498.906040259288</v>
      </c>
      <c r="O192" s="14">
        <v>242916.95225574233</v>
      </c>
      <c r="P192" s="15">
        <v>0.90000000000000013</v>
      </c>
      <c r="Q192" s="14">
        <v>3598</v>
      </c>
      <c r="R192" s="11" t="str">
        <f t="shared" si="2"/>
        <v xml:space="preserve">  </v>
      </c>
      <c r="T192" s="12"/>
    </row>
    <row r="193" spans="1:20" x14ac:dyDescent="0.3">
      <c r="A193" s="17">
        <v>1</v>
      </c>
      <c r="B193" s="17">
        <v>4</v>
      </c>
      <c r="C193" s="14" t="s">
        <v>572</v>
      </c>
      <c r="D193" s="16">
        <v>408280</v>
      </c>
      <c r="E193" s="14" t="s">
        <v>406</v>
      </c>
      <c r="F193" s="14">
        <v>70565.326135657189</v>
      </c>
      <c r="G193" s="14">
        <v>0</v>
      </c>
      <c r="H193" s="14">
        <v>19367.413279385779</v>
      </c>
      <c r="I193" s="14">
        <v>14707.855407192876</v>
      </c>
      <c r="J193" s="14">
        <v>104640.59482223586</v>
      </c>
      <c r="K193" s="14">
        <v>89158.481071672591</v>
      </c>
      <c r="L193" s="14">
        <v>0</v>
      </c>
      <c r="M193" s="14">
        <v>26813.770699488326</v>
      </c>
      <c r="N193" s="14">
        <v>20785.081322688417</v>
      </c>
      <c r="O193" s="14">
        <v>136757.33309384933</v>
      </c>
      <c r="P193" s="15">
        <v>1.3069242708928939</v>
      </c>
      <c r="Q193" s="14">
        <v>11765</v>
      </c>
      <c r="R193" s="11" t="str">
        <f t="shared" si="2"/>
        <v xml:space="preserve">  </v>
      </c>
      <c r="T193" s="12"/>
    </row>
    <row r="194" spans="1:20" x14ac:dyDescent="0.3">
      <c r="A194" s="17">
        <v>1</v>
      </c>
      <c r="B194" s="17">
        <v>4</v>
      </c>
      <c r="C194" s="14" t="s">
        <v>572</v>
      </c>
      <c r="D194" s="16">
        <v>408310</v>
      </c>
      <c r="E194" s="14" t="s">
        <v>409</v>
      </c>
      <c r="F194" s="14">
        <v>2202283.8712272104</v>
      </c>
      <c r="G194" s="14">
        <v>521851.62094137847</v>
      </c>
      <c r="H194" s="14">
        <v>1149058.5347600169</v>
      </c>
      <c r="I194" s="14">
        <v>1035583.9577195452</v>
      </c>
      <c r="J194" s="14">
        <v>4908777.9846481513</v>
      </c>
      <c r="K194" s="14">
        <v>2169523.0394107001</v>
      </c>
      <c r="L194" s="14">
        <v>514504.32073109515</v>
      </c>
      <c r="M194" s="14">
        <v>1198086.6777691967</v>
      </c>
      <c r="N194" s="14">
        <v>1064808.15239783</v>
      </c>
      <c r="O194" s="14">
        <v>4946922.1903088223</v>
      </c>
      <c r="P194" s="15">
        <v>1.0077706112967351</v>
      </c>
      <c r="Q194" s="14">
        <v>153911</v>
      </c>
      <c r="R194" s="11" t="str">
        <f t="shared" si="2"/>
        <v>*</v>
      </c>
      <c r="T194" s="12"/>
    </row>
    <row r="195" spans="1:20" x14ac:dyDescent="0.3">
      <c r="A195" s="17">
        <v>1</v>
      </c>
      <c r="B195" s="17">
        <v>4</v>
      </c>
      <c r="C195" s="14" t="s">
        <v>572</v>
      </c>
      <c r="D195" s="16">
        <v>408340</v>
      </c>
      <c r="E195" s="14" t="s">
        <v>410</v>
      </c>
      <c r="F195" s="14">
        <v>1039570.2294756299</v>
      </c>
      <c r="G195" s="14">
        <v>222355.35097619626</v>
      </c>
      <c r="H195" s="14">
        <v>384246.94777500367</v>
      </c>
      <c r="I195" s="14">
        <v>292224.30903309013</v>
      </c>
      <c r="J195" s="14">
        <v>1938396.8372599198</v>
      </c>
      <c r="K195" s="14">
        <v>1093488.6726144815</v>
      </c>
      <c r="L195" s="14">
        <v>189002.04832976681</v>
      </c>
      <c r="M195" s="14">
        <v>448243.96044991206</v>
      </c>
      <c r="N195" s="14">
        <v>349002.41046323645</v>
      </c>
      <c r="O195" s="14">
        <v>2079737.091857397</v>
      </c>
      <c r="P195" s="15">
        <v>1.0729160571667424</v>
      </c>
      <c r="Q195" s="14">
        <v>314918</v>
      </c>
      <c r="R195" s="11" t="str">
        <f t="shared" si="2"/>
        <v>*</v>
      </c>
      <c r="T195" s="12"/>
    </row>
    <row r="196" spans="1:20" x14ac:dyDescent="0.3">
      <c r="A196" s="17">
        <v>1</v>
      </c>
      <c r="B196" s="17">
        <v>4</v>
      </c>
      <c r="C196" s="14" t="s">
        <v>572</v>
      </c>
      <c r="D196" s="16">
        <v>408410</v>
      </c>
      <c r="E196" s="14" t="s">
        <v>411</v>
      </c>
      <c r="F196" s="14">
        <v>129441.02967456169</v>
      </c>
      <c r="G196" s="14">
        <v>30650.06963812478</v>
      </c>
      <c r="H196" s="14">
        <v>42944.141329570972</v>
      </c>
      <c r="I196" s="14">
        <v>32565.262273476266</v>
      </c>
      <c r="J196" s="14">
        <v>235600.5029157337</v>
      </c>
      <c r="K196" s="14">
        <v>110024.87522337744</v>
      </c>
      <c r="L196" s="14">
        <v>26052.559192406061</v>
      </c>
      <c r="M196" s="14">
        <v>36502.520130135323</v>
      </c>
      <c r="N196" s="14">
        <v>27680.472932454824</v>
      </c>
      <c r="O196" s="14">
        <v>200260.42747837363</v>
      </c>
      <c r="P196" s="15">
        <v>0.85</v>
      </c>
      <c r="Q196" s="14">
        <v>7563</v>
      </c>
      <c r="R196" s="11" t="str">
        <f t="shared" si="2"/>
        <v xml:space="preserve">  </v>
      </c>
      <c r="T196" s="12"/>
    </row>
    <row r="197" spans="1:20" x14ac:dyDescent="0.3">
      <c r="A197" s="17">
        <v>1</v>
      </c>
      <c r="B197" s="17">
        <v>4</v>
      </c>
      <c r="C197" s="14" t="s">
        <v>572</v>
      </c>
      <c r="D197" s="16">
        <v>408490</v>
      </c>
      <c r="E197" s="14" t="s">
        <v>414</v>
      </c>
      <c r="F197" s="14">
        <v>438611.92911771243</v>
      </c>
      <c r="G197" s="14">
        <v>103933.1709979583</v>
      </c>
      <c r="H197" s="14">
        <v>216223.45067993607</v>
      </c>
      <c r="I197" s="14">
        <v>170087.48058154367</v>
      </c>
      <c r="J197" s="14">
        <v>928856.03137715044</v>
      </c>
      <c r="K197" s="14">
        <v>466548.87714224437</v>
      </c>
      <c r="L197" s="14">
        <v>110642.48167059208</v>
      </c>
      <c r="M197" s="14">
        <v>258052.71443606948</v>
      </c>
      <c r="N197" s="14">
        <v>229519.32649017195</v>
      </c>
      <c r="O197" s="14">
        <v>1064763.3997390778</v>
      </c>
      <c r="P197" s="15">
        <v>1.1463169358554166</v>
      </c>
      <c r="Q197" s="14">
        <v>16116</v>
      </c>
      <c r="R197" s="11" t="str">
        <f t="shared" si="2"/>
        <v xml:space="preserve">  </v>
      </c>
      <c r="T197" s="12"/>
    </row>
    <row r="198" spans="1:20" x14ac:dyDescent="0.3">
      <c r="A198" s="17">
        <v>1</v>
      </c>
      <c r="B198" s="17">
        <v>4</v>
      </c>
      <c r="C198" s="14" t="s">
        <v>572</v>
      </c>
      <c r="D198" s="16">
        <v>408520</v>
      </c>
      <c r="E198" s="14" t="s">
        <v>415</v>
      </c>
      <c r="F198" s="14">
        <v>1407155.6211757527</v>
      </c>
      <c r="G198" s="14">
        <v>333438.59591458546</v>
      </c>
      <c r="H198" s="14">
        <v>585516.14459999313</v>
      </c>
      <c r="I198" s="14">
        <v>423357.28783516423</v>
      </c>
      <c r="J198" s="14">
        <v>2749467.6495254952</v>
      </c>
      <c r="K198" s="14">
        <v>1414270.5092744674</v>
      </c>
      <c r="L198" s="14">
        <v>335395.51066575845</v>
      </c>
      <c r="M198" s="14">
        <v>641189.6120441138</v>
      </c>
      <c r="N198" s="14">
        <v>517262.59259928548</v>
      </c>
      <c r="O198" s="14">
        <v>2908118.2245836249</v>
      </c>
      <c r="P198" s="15">
        <v>1.0577022883268001</v>
      </c>
      <c r="Q198" s="14">
        <v>176428</v>
      </c>
      <c r="R198" s="11" t="str">
        <f t="shared" si="2"/>
        <v>*</v>
      </c>
      <c r="T198" s="12"/>
    </row>
    <row r="199" spans="1:20" x14ac:dyDescent="0.3">
      <c r="A199" s="17">
        <v>1</v>
      </c>
      <c r="B199" s="17">
        <v>4</v>
      </c>
      <c r="C199" s="14" t="s">
        <v>572</v>
      </c>
      <c r="D199" s="16">
        <v>408550</v>
      </c>
      <c r="E199" s="14" t="s">
        <v>416</v>
      </c>
      <c r="F199" s="14">
        <v>173132.48133127505</v>
      </c>
      <c r="G199" s="14">
        <v>40995.676739952396</v>
      </c>
      <c r="H199" s="14">
        <v>58235.914652006359</v>
      </c>
      <c r="I199" s="14">
        <v>44197.514077936859</v>
      </c>
      <c r="J199" s="14">
        <v>316561.58680117066</v>
      </c>
      <c r="K199" s="14">
        <v>147162.6091315838</v>
      </c>
      <c r="L199" s="14">
        <v>34846.325228959533</v>
      </c>
      <c r="M199" s="14">
        <v>49500.527454205403</v>
      </c>
      <c r="N199" s="14">
        <v>37567.886966246333</v>
      </c>
      <c r="O199" s="14">
        <v>269077.34878099506</v>
      </c>
      <c r="P199" s="15">
        <v>0.85</v>
      </c>
      <c r="Q199" s="14">
        <v>15184</v>
      </c>
      <c r="R199" s="11" t="str">
        <f t="shared" si="2"/>
        <v xml:space="preserve">  </v>
      </c>
      <c r="T199" s="12"/>
    </row>
    <row r="200" spans="1:20" x14ac:dyDescent="0.3">
      <c r="A200" s="17">
        <v>1</v>
      </c>
      <c r="B200" s="17">
        <v>4</v>
      </c>
      <c r="C200" s="14" t="s">
        <v>572</v>
      </c>
      <c r="D200" s="16">
        <v>408600</v>
      </c>
      <c r="E200" s="14" t="s">
        <v>417</v>
      </c>
      <c r="F200" s="14">
        <v>129139.158941072</v>
      </c>
      <c r="G200" s="14">
        <v>30600.723322216949</v>
      </c>
      <c r="H200" s="14">
        <v>50000.037558616961</v>
      </c>
      <c r="I200" s="14">
        <v>39829.215599573225</v>
      </c>
      <c r="J200" s="14">
        <v>249569.13542147912</v>
      </c>
      <c r="K200" s="14">
        <v>116225.24304696481</v>
      </c>
      <c r="L200" s="14">
        <v>27540.650989995254</v>
      </c>
      <c r="M200" s="14">
        <v>45000.033802755264</v>
      </c>
      <c r="N200" s="14">
        <v>35846.294039615903</v>
      </c>
      <c r="O200" s="14">
        <v>224612.22187933122</v>
      </c>
      <c r="P200" s="15">
        <v>0.9</v>
      </c>
      <c r="Q200" s="14">
        <v>7414</v>
      </c>
      <c r="R200" s="11" t="str">
        <f t="shared" si="2"/>
        <v xml:space="preserve">  </v>
      </c>
      <c r="T200" s="12"/>
    </row>
    <row r="201" spans="1:20" x14ac:dyDescent="0.3">
      <c r="A201" s="17">
        <v>1</v>
      </c>
      <c r="B201" s="17">
        <v>4</v>
      </c>
      <c r="C201" s="14" t="s">
        <v>572</v>
      </c>
      <c r="D201" s="16">
        <v>405760</v>
      </c>
      <c r="E201" s="14" t="s">
        <v>418</v>
      </c>
      <c r="F201" s="14">
        <v>25860.983846652707</v>
      </c>
      <c r="G201" s="14">
        <v>6123.5680665023247</v>
      </c>
      <c r="H201" s="14">
        <v>18461.727243030542</v>
      </c>
      <c r="I201" s="14">
        <v>20538.032855135927</v>
      </c>
      <c r="J201" s="14">
        <v>70984.312011321497</v>
      </c>
      <c r="K201" s="14">
        <v>24567.93465432007</v>
      </c>
      <c r="L201" s="14">
        <v>5817.3896631772086</v>
      </c>
      <c r="M201" s="14">
        <v>17538.640880879015</v>
      </c>
      <c r="N201" s="14">
        <v>19511.131212379129</v>
      </c>
      <c r="O201" s="14">
        <v>67435.096410755417</v>
      </c>
      <c r="P201" s="15">
        <v>0.95</v>
      </c>
      <c r="Q201" s="14">
        <v>1619</v>
      </c>
      <c r="R201" s="11" t="str">
        <f t="shared" si="2"/>
        <v xml:space="preserve">  </v>
      </c>
      <c r="T201" s="12"/>
    </row>
    <row r="202" spans="1:20" x14ac:dyDescent="0.3">
      <c r="A202" s="17">
        <v>1</v>
      </c>
      <c r="B202" s="17">
        <v>4</v>
      </c>
      <c r="C202" s="14" t="s">
        <v>572</v>
      </c>
      <c r="D202" s="16">
        <v>408640</v>
      </c>
      <c r="E202" s="14" t="s">
        <v>419</v>
      </c>
      <c r="F202" s="14">
        <v>35494.161914268014</v>
      </c>
      <c r="G202" s="14">
        <v>8656.8758136189354</v>
      </c>
      <c r="H202" s="14">
        <v>20676.359400046189</v>
      </c>
      <c r="I202" s="14">
        <v>22112.323820161339</v>
      </c>
      <c r="J202" s="14">
        <v>86939.720948094473</v>
      </c>
      <c r="K202" s="14">
        <v>33719.453818554612</v>
      </c>
      <c r="L202" s="14">
        <v>8224.0320229379886</v>
      </c>
      <c r="M202" s="14">
        <v>19642.541430043879</v>
      </c>
      <c r="N202" s="14">
        <v>21006.707629153272</v>
      </c>
      <c r="O202" s="14">
        <v>82592.734900689742</v>
      </c>
      <c r="P202" s="15">
        <v>0.95</v>
      </c>
      <c r="Q202" s="14">
        <v>2540</v>
      </c>
      <c r="R202" s="11" t="str">
        <f t="shared" ref="R202:R236" si="3">IF(AND($A202=1,Q202&gt;=20000),"*","  ")</f>
        <v xml:space="preserve">  </v>
      </c>
      <c r="T202" s="12"/>
    </row>
    <row r="203" spans="1:20" x14ac:dyDescent="0.3">
      <c r="A203" s="17">
        <v>1</v>
      </c>
      <c r="B203" s="17">
        <v>4</v>
      </c>
      <c r="C203" s="14" t="s">
        <v>572</v>
      </c>
      <c r="D203" s="16">
        <v>408680</v>
      </c>
      <c r="E203" s="14" t="s">
        <v>420</v>
      </c>
      <c r="F203" s="14">
        <v>851377.47648169496</v>
      </c>
      <c r="G203" s="14">
        <v>186295.37719493103</v>
      </c>
      <c r="H203" s="14">
        <v>336449.29233438167</v>
      </c>
      <c r="I203" s="14">
        <v>330751.24829461047</v>
      </c>
      <c r="J203" s="14">
        <v>1704873.3943056182</v>
      </c>
      <c r="K203" s="14">
        <v>808808.6026576102</v>
      </c>
      <c r="L203" s="14">
        <v>176980.60833518449</v>
      </c>
      <c r="M203" s="14">
        <v>319626.82771766256</v>
      </c>
      <c r="N203" s="14">
        <v>314213.68587987992</v>
      </c>
      <c r="O203" s="14">
        <v>1619629.7245903371</v>
      </c>
      <c r="P203" s="15">
        <v>0.94999999999999984</v>
      </c>
      <c r="Q203" s="14">
        <v>16452</v>
      </c>
      <c r="R203" s="11" t="str">
        <f t="shared" si="3"/>
        <v xml:space="preserve">  </v>
      </c>
      <c r="T203" s="12"/>
    </row>
    <row r="204" spans="1:20" x14ac:dyDescent="0.3">
      <c r="A204" s="17">
        <v>1</v>
      </c>
      <c r="B204" s="17">
        <v>4</v>
      </c>
      <c r="C204" s="14" t="s">
        <v>572</v>
      </c>
      <c r="D204" s="16">
        <v>408800</v>
      </c>
      <c r="E204" s="14" t="s">
        <v>424</v>
      </c>
      <c r="F204" s="14">
        <v>9559036.2923706304</v>
      </c>
      <c r="G204" s="14">
        <v>2263464.1332129366</v>
      </c>
      <c r="H204" s="14">
        <v>5938637.403327357</v>
      </c>
      <c r="I204" s="14">
        <v>6133284.4759164304</v>
      </c>
      <c r="J204" s="14">
        <v>23894422.304827355</v>
      </c>
      <c r="K204" s="14">
        <v>10218788.449600909</v>
      </c>
      <c r="L204" s="14">
        <v>2423394.7805342423</v>
      </c>
      <c r="M204" s="14">
        <v>6916675.9942442058</v>
      </c>
      <c r="N204" s="14">
        <v>6844216.6030812077</v>
      </c>
      <c r="O204" s="14">
        <v>26403075.827460565</v>
      </c>
      <c r="P204" s="15">
        <v>1.1049890845080774</v>
      </c>
      <c r="Q204" s="14">
        <v>484370</v>
      </c>
      <c r="R204" s="11" t="str">
        <f t="shared" si="3"/>
        <v>*</v>
      </c>
      <c r="T204" s="12"/>
    </row>
    <row r="205" spans="1:20" x14ac:dyDescent="0.3">
      <c r="A205" s="17">
        <v>1</v>
      </c>
      <c r="B205" s="17">
        <v>4</v>
      </c>
      <c r="C205" s="14" t="s">
        <v>572</v>
      </c>
      <c r="D205" s="16">
        <v>408820</v>
      </c>
      <c r="E205" s="14" t="s">
        <v>426</v>
      </c>
      <c r="F205" s="14">
        <v>339451.50350224663</v>
      </c>
      <c r="G205" s="14">
        <v>80436.187018398894</v>
      </c>
      <c r="H205" s="14">
        <v>133583.78367803138</v>
      </c>
      <c r="I205" s="14">
        <v>94023.82846747931</v>
      </c>
      <c r="J205" s="14">
        <v>647495.3026661562</v>
      </c>
      <c r="K205" s="14">
        <v>347670.90238001407</v>
      </c>
      <c r="L205" s="14">
        <v>82450.464096285534</v>
      </c>
      <c r="M205" s="14">
        <v>149028.47607198029</v>
      </c>
      <c r="N205" s="14">
        <v>116950.82321890455</v>
      </c>
      <c r="O205" s="14">
        <v>696100.66576718446</v>
      </c>
      <c r="P205" s="15">
        <v>1.0750667424163367</v>
      </c>
      <c r="Q205" s="14">
        <v>14962</v>
      </c>
      <c r="R205" s="11" t="str">
        <f t="shared" si="3"/>
        <v xml:space="preserve">  </v>
      </c>
      <c r="T205" s="12"/>
    </row>
    <row r="206" spans="1:20" x14ac:dyDescent="0.3">
      <c r="A206" s="17">
        <v>1</v>
      </c>
      <c r="B206" s="17">
        <v>4</v>
      </c>
      <c r="C206" s="14" t="s">
        <v>572</v>
      </c>
      <c r="D206" s="16">
        <v>408850</v>
      </c>
      <c r="E206" s="14" t="s">
        <v>427</v>
      </c>
      <c r="F206" s="14">
        <v>367906.52282895934</v>
      </c>
      <c r="G206" s="14">
        <v>0</v>
      </c>
      <c r="H206" s="14">
        <v>114606.81952188669</v>
      </c>
      <c r="I206" s="14">
        <v>92285.416442241985</v>
      </c>
      <c r="J206" s="14">
        <v>574798.75879308803</v>
      </c>
      <c r="K206" s="14">
        <v>403807.72379551182</v>
      </c>
      <c r="L206" s="14">
        <v>0</v>
      </c>
      <c r="M206" s="14">
        <v>133146.68678026344</v>
      </c>
      <c r="N206" s="14">
        <v>103210.57577430201</v>
      </c>
      <c r="O206" s="14">
        <v>640164.9863500772</v>
      </c>
      <c r="P206" s="15">
        <v>1.1137201960808674</v>
      </c>
      <c r="Q206" s="14">
        <v>53832</v>
      </c>
      <c r="R206" s="11" t="str">
        <f t="shared" si="3"/>
        <v>*</v>
      </c>
      <c r="T206" s="12"/>
    </row>
    <row r="207" spans="1:20" x14ac:dyDescent="0.3">
      <c r="A207" s="17">
        <v>1</v>
      </c>
      <c r="B207" s="17">
        <v>4</v>
      </c>
      <c r="C207" s="14" t="s">
        <v>572</v>
      </c>
      <c r="D207" s="16">
        <v>408880</v>
      </c>
      <c r="E207" s="14" t="s">
        <v>464</v>
      </c>
      <c r="F207" s="14">
        <v>0</v>
      </c>
      <c r="G207" s="14">
        <v>806.44682565871256</v>
      </c>
      <c r="H207" s="14">
        <v>0</v>
      </c>
      <c r="I207" s="14">
        <v>0</v>
      </c>
      <c r="J207" s="14">
        <v>806.44682565871256</v>
      </c>
      <c r="K207" s="14">
        <v>4717.3799508821467</v>
      </c>
      <c r="L207" s="14">
        <v>1118.7308561232774</v>
      </c>
      <c r="M207" s="14">
        <v>1982.7542053998498</v>
      </c>
      <c r="N207" s="14">
        <v>1542.6654365506768</v>
      </c>
      <c r="O207" s="14">
        <v>9361.5304489559512</v>
      </c>
      <c r="P207" s="15">
        <v>11.60836666609652</v>
      </c>
      <c r="Q207" s="14">
        <v>253</v>
      </c>
      <c r="R207" s="11" t="str">
        <f t="shared" si="3"/>
        <v xml:space="preserve">  </v>
      </c>
      <c r="T207" s="12"/>
    </row>
    <row r="208" spans="1:20" x14ac:dyDescent="0.3">
      <c r="A208" s="17">
        <v>1</v>
      </c>
      <c r="B208" s="17">
        <v>4</v>
      </c>
      <c r="C208" s="14" t="s">
        <v>572</v>
      </c>
      <c r="D208" s="16">
        <v>408910</v>
      </c>
      <c r="E208" s="14" t="s">
        <v>428</v>
      </c>
      <c r="F208" s="14">
        <v>32284.789735268001</v>
      </c>
      <c r="G208" s="14">
        <v>7650.1808305542372</v>
      </c>
      <c r="H208" s="14">
        <v>17414.744469251928</v>
      </c>
      <c r="I208" s="14">
        <v>14311.899150070425</v>
      </c>
      <c r="J208" s="14">
        <v>71661.614185144586</v>
      </c>
      <c r="K208" s="14">
        <v>29056.310761741202</v>
      </c>
      <c r="L208" s="14">
        <v>6885.1627474988136</v>
      </c>
      <c r="M208" s="14">
        <v>15673.270022326735</v>
      </c>
      <c r="N208" s="14">
        <v>12880.709235063383</v>
      </c>
      <c r="O208" s="14">
        <v>64495.452766630136</v>
      </c>
      <c r="P208" s="15">
        <v>0.90000000000000013</v>
      </c>
      <c r="Q208" s="14">
        <v>3778</v>
      </c>
      <c r="R208" s="11" t="str">
        <f t="shared" si="3"/>
        <v xml:space="preserve">  </v>
      </c>
      <c r="T208" s="12"/>
    </row>
    <row r="209" spans="1:20" x14ac:dyDescent="0.3">
      <c r="A209" s="17">
        <v>1</v>
      </c>
      <c r="B209" s="17">
        <v>4</v>
      </c>
      <c r="C209" s="14" t="s">
        <v>572</v>
      </c>
      <c r="D209" s="16">
        <v>400022</v>
      </c>
      <c r="E209" s="14" t="s">
        <v>430</v>
      </c>
      <c r="F209" s="14">
        <v>56267.7763957528</v>
      </c>
      <c r="G209" s="14">
        <v>13333.172304680247</v>
      </c>
      <c r="H209" s="14">
        <v>33873.735574656261</v>
      </c>
      <c r="I209" s="14">
        <v>29350.605170182967</v>
      </c>
      <c r="J209" s="14">
        <v>132825.28944527227</v>
      </c>
      <c r="K209" s="14">
        <v>53454.387575965156</v>
      </c>
      <c r="L209" s="14">
        <v>12666.513689446234</v>
      </c>
      <c r="M209" s="14">
        <v>32180.048795923445</v>
      </c>
      <c r="N209" s="14">
        <v>27883.074911673819</v>
      </c>
      <c r="O209" s="14">
        <v>126184.02497300865</v>
      </c>
      <c r="P209" s="15">
        <v>0.95</v>
      </c>
      <c r="Q209" s="14">
        <v>1939</v>
      </c>
      <c r="R209" s="11" t="str">
        <f t="shared" si="3"/>
        <v xml:space="preserve">  </v>
      </c>
      <c r="T209" s="12"/>
    </row>
    <row r="210" spans="1:20" x14ac:dyDescent="0.3">
      <c r="A210" s="17">
        <v>1</v>
      </c>
      <c r="B210" s="17">
        <v>4</v>
      </c>
      <c r="C210" s="14" t="s">
        <v>572</v>
      </c>
      <c r="D210" s="16">
        <v>409030</v>
      </c>
      <c r="E210" s="14" t="s">
        <v>459</v>
      </c>
      <c r="F210" s="14">
        <v>0</v>
      </c>
      <c r="G210" s="14">
        <v>0</v>
      </c>
      <c r="H210" s="14">
        <v>0</v>
      </c>
      <c r="I210" s="14">
        <v>0</v>
      </c>
      <c r="J210" s="14">
        <v>0</v>
      </c>
      <c r="K210" s="14">
        <v>0</v>
      </c>
      <c r="L210" s="14">
        <v>0</v>
      </c>
      <c r="M210" s="14">
        <v>0</v>
      </c>
      <c r="N210" s="14">
        <v>0</v>
      </c>
      <c r="O210" s="14">
        <v>0</v>
      </c>
      <c r="P210" s="15">
        <v>0</v>
      </c>
      <c r="Q210" s="14">
        <v>106</v>
      </c>
      <c r="R210" s="11" t="str">
        <f t="shared" si="3"/>
        <v xml:space="preserve">  </v>
      </c>
      <c r="T210" s="12"/>
    </row>
    <row r="211" spans="1:20" x14ac:dyDescent="0.3">
      <c r="A211" s="17">
        <v>1</v>
      </c>
      <c r="B211" s="17">
        <v>4</v>
      </c>
      <c r="C211" s="14" t="s">
        <v>572</v>
      </c>
      <c r="D211" s="16">
        <v>409060</v>
      </c>
      <c r="E211" s="14" t="s">
        <v>582</v>
      </c>
      <c r="F211" s="14">
        <v>4672070.2859752113</v>
      </c>
      <c r="G211" s="14">
        <v>1107090.4544787779</v>
      </c>
      <c r="H211" s="14">
        <v>2521941.0115372748</v>
      </c>
      <c r="I211" s="14">
        <v>2159175.4358635773</v>
      </c>
      <c r="J211" s="14">
        <v>10460277.187854841</v>
      </c>
      <c r="K211" s="14">
        <v>4709832.1429607375</v>
      </c>
      <c r="L211" s="14">
        <v>1116940.8867534795</v>
      </c>
      <c r="M211" s="14">
        <v>2774728.7160877925</v>
      </c>
      <c r="N211" s="14">
        <v>2509784.8229677193</v>
      </c>
      <c r="O211" s="14">
        <v>11111286.568769729</v>
      </c>
      <c r="P211" s="15">
        <v>1.0622363412769555</v>
      </c>
      <c r="Q211" s="14">
        <v>241720</v>
      </c>
      <c r="R211" s="11" t="str">
        <f t="shared" si="3"/>
        <v>*</v>
      </c>
      <c r="T211" s="12"/>
    </row>
    <row r="212" spans="1:20" x14ac:dyDescent="0.3">
      <c r="A212" s="17">
        <v>1</v>
      </c>
      <c r="B212" s="17">
        <v>4</v>
      </c>
      <c r="C212" s="14" t="s">
        <v>572</v>
      </c>
      <c r="D212" s="16">
        <v>409090</v>
      </c>
      <c r="E212" s="14" t="s">
        <v>434</v>
      </c>
      <c r="F212" s="14">
        <v>54564.206266828274</v>
      </c>
      <c r="G212" s="14">
        <v>13854.670605159958</v>
      </c>
      <c r="H212" s="14">
        <v>24470.556648760466</v>
      </c>
      <c r="I212" s="14">
        <v>22313.235948566315</v>
      </c>
      <c r="J212" s="14">
        <v>115202.66946931502</v>
      </c>
      <c r="K212" s="14">
        <v>51835.995953486861</v>
      </c>
      <c r="L212" s="14">
        <v>13161.93707490196</v>
      </c>
      <c r="M212" s="14">
        <v>23439.452730686357</v>
      </c>
      <c r="N212" s="14">
        <v>21197.574151137997</v>
      </c>
      <c r="O212" s="14">
        <v>109634.95991021316</v>
      </c>
      <c r="P212" s="15">
        <v>0.95167030777368533</v>
      </c>
      <c r="Q212" s="14">
        <v>4193</v>
      </c>
      <c r="R212" s="11" t="str">
        <f t="shared" si="3"/>
        <v xml:space="preserve">  </v>
      </c>
      <c r="T212" s="12"/>
    </row>
    <row r="213" spans="1:20" x14ac:dyDescent="0.3">
      <c r="A213" s="17">
        <v>1</v>
      </c>
      <c r="B213" s="17">
        <v>4</v>
      </c>
      <c r="C213" s="14" t="s">
        <v>572</v>
      </c>
      <c r="D213" s="16">
        <v>409120</v>
      </c>
      <c r="E213" s="14" t="s">
        <v>435</v>
      </c>
      <c r="F213" s="14">
        <v>24586.489359969819</v>
      </c>
      <c r="G213" s="14">
        <v>5870.7548621093938</v>
      </c>
      <c r="H213" s="14">
        <v>18562.04870977176</v>
      </c>
      <c r="I213" s="14">
        <v>22108.376443754092</v>
      </c>
      <c r="J213" s="14">
        <v>71127.669375605066</v>
      </c>
      <c r="K213" s="14">
        <v>23357.164891971326</v>
      </c>
      <c r="L213" s="14">
        <v>5577.2171190039235</v>
      </c>
      <c r="M213" s="14">
        <v>17633.946274283171</v>
      </c>
      <c r="N213" s="14">
        <v>21002.957621566387</v>
      </c>
      <c r="O213" s="14">
        <v>67571.285906824807</v>
      </c>
      <c r="P213" s="15">
        <v>0.95</v>
      </c>
      <c r="Q213" s="14">
        <v>805</v>
      </c>
      <c r="R213" s="11" t="str">
        <f t="shared" si="3"/>
        <v xml:space="preserve">  </v>
      </c>
      <c r="T213" s="12"/>
    </row>
    <row r="214" spans="1:20" x14ac:dyDescent="0.3">
      <c r="A214" s="17">
        <v>1</v>
      </c>
      <c r="B214" s="17">
        <v>4</v>
      </c>
      <c r="C214" s="14" t="s">
        <v>572</v>
      </c>
      <c r="D214" s="16">
        <v>409160</v>
      </c>
      <c r="E214" s="14" t="s">
        <v>441</v>
      </c>
      <c r="F214" s="14">
        <v>710533.81957278622</v>
      </c>
      <c r="G214" s="14">
        <v>183306.19877833809</v>
      </c>
      <c r="H214" s="14">
        <v>481989.06301520282</v>
      </c>
      <c r="I214" s="14">
        <v>554515.68801792141</v>
      </c>
      <c r="J214" s="14">
        <v>1930344.7693842486</v>
      </c>
      <c r="K214" s="14">
        <v>675007.12859414693</v>
      </c>
      <c r="L214" s="14">
        <v>174140.88883942118</v>
      </c>
      <c r="M214" s="14">
        <v>457889.60986444267</v>
      </c>
      <c r="N214" s="14">
        <v>526789.90361702535</v>
      </c>
      <c r="O214" s="14">
        <v>1833827.5309150361</v>
      </c>
      <c r="P214" s="15">
        <v>0.95</v>
      </c>
      <c r="Q214" s="14">
        <v>11239</v>
      </c>
      <c r="R214" s="11" t="str">
        <f t="shared" si="3"/>
        <v xml:space="preserve">  </v>
      </c>
      <c r="T214" s="12"/>
    </row>
    <row r="215" spans="1:20" x14ac:dyDescent="0.3">
      <c r="A215" s="17">
        <v>1</v>
      </c>
      <c r="B215" s="17">
        <v>4</v>
      </c>
      <c r="C215" s="14" t="s">
        <v>572</v>
      </c>
      <c r="D215" s="16">
        <v>409190</v>
      </c>
      <c r="E215" s="14" t="s">
        <v>442</v>
      </c>
      <c r="F215" s="14">
        <v>203394.17533218849</v>
      </c>
      <c r="G215" s="14">
        <v>48196.139232491718</v>
      </c>
      <c r="H215" s="14">
        <v>91824.941235334554</v>
      </c>
      <c r="I215" s="14">
        <v>68956.262109336269</v>
      </c>
      <c r="J215" s="14">
        <v>412371.51790935104</v>
      </c>
      <c r="K215" s="14">
        <v>183054.75779896966</v>
      </c>
      <c r="L215" s="14">
        <v>43376.525309242548</v>
      </c>
      <c r="M215" s="14">
        <v>82642.447111801099</v>
      </c>
      <c r="N215" s="14">
        <v>64204.005468634474</v>
      </c>
      <c r="O215" s="14">
        <v>373277.73568864778</v>
      </c>
      <c r="P215" s="15">
        <v>0.90519766636914778</v>
      </c>
      <c r="Q215" s="14">
        <v>11983</v>
      </c>
      <c r="R215" s="11" t="str">
        <f t="shared" si="3"/>
        <v xml:space="preserve">  </v>
      </c>
      <c r="T215" s="12"/>
    </row>
    <row r="216" spans="1:20" x14ac:dyDescent="0.3">
      <c r="A216" s="17">
        <v>1</v>
      </c>
      <c r="B216" s="17">
        <v>4</v>
      </c>
      <c r="C216" s="14" t="s">
        <v>572</v>
      </c>
      <c r="D216" s="16">
        <v>409250</v>
      </c>
      <c r="E216" s="14" t="s">
        <v>443</v>
      </c>
      <c r="F216" s="14">
        <v>173876.65328851479</v>
      </c>
      <c r="G216" s="14">
        <v>41201.688187413536</v>
      </c>
      <c r="H216" s="14">
        <v>64761.127155674068</v>
      </c>
      <c r="I216" s="14">
        <v>59607.578061702698</v>
      </c>
      <c r="J216" s="14">
        <v>339447.04669330508</v>
      </c>
      <c r="K216" s="14">
        <v>161806.13231525774</v>
      </c>
      <c r="L216" s="14">
        <v>38372.468365028406</v>
      </c>
      <c r="M216" s="14">
        <v>61700.171107179027</v>
      </c>
      <c r="N216" s="14">
        <v>53646.820255532431</v>
      </c>
      <c r="O216" s="14">
        <v>315525.5920429976</v>
      </c>
      <c r="P216" s="15">
        <v>0.92952816975921182</v>
      </c>
      <c r="Q216" s="14">
        <v>8279</v>
      </c>
      <c r="R216" s="11" t="str">
        <f t="shared" si="3"/>
        <v xml:space="preserve">  </v>
      </c>
      <c r="T216" s="12"/>
    </row>
    <row r="217" spans="1:20" x14ac:dyDescent="0.3">
      <c r="A217" s="17">
        <v>1</v>
      </c>
      <c r="B217" s="17">
        <v>4</v>
      </c>
      <c r="C217" s="14" t="s">
        <v>572</v>
      </c>
      <c r="D217" s="16">
        <v>409310</v>
      </c>
      <c r="E217" s="14" t="s">
        <v>444</v>
      </c>
      <c r="F217" s="14">
        <v>119232.74657719875</v>
      </c>
      <c r="G217" s="14">
        <v>28232.87171713703</v>
      </c>
      <c r="H217" s="14">
        <v>54207.799045570748</v>
      </c>
      <c r="I217" s="14">
        <v>47520.369682578683</v>
      </c>
      <c r="J217" s="14">
        <v>249193.78702248522</v>
      </c>
      <c r="K217" s="14">
        <v>124538.83070328872</v>
      </c>
      <c r="L217" s="14">
        <v>29534.494601654504</v>
      </c>
      <c r="M217" s="14">
        <v>57582.242725210061</v>
      </c>
      <c r="N217" s="14">
        <v>46608.570833272992</v>
      </c>
      <c r="O217" s="14">
        <v>258264.13886342628</v>
      </c>
      <c r="P217" s="15">
        <v>1.0363987880649794</v>
      </c>
      <c r="Q217" s="14">
        <v>5883</v>
      </c>
      <c r="R217" s="11" t="str">
        <f t="shared" si="3"/>
        <v xml:space="preserve">  </v>
      </c>
      <c r="T217" s="12"/>
    </row>
    <row r="218" spans="1:20" x14ac:dyDescent="0.3">
      <c r="A218" s="17">
        <v>1</v>
      </c>
      <c r="B218" s="17">
        <v>4</v>
      </c>
      <c r="C218" s="14" t="s">
        <v>572</v>
      </c>
      <c r="D218" s="16">
        <v>409360</v>
      </c>
      <c r="E218" s="14" t="s">
        <v>456</v>
      </c>
      <c r="F218" s="14">
        <v>7379.3805109184013</v>
      </c>
      <c r="G218" s="14">
        <v>1748.61276126954</v>
      </c>
      <c r="H218" s="14">
        <v>2916.4412957543068</v>
      </c>
      <c r="I218" s="14">
        <v>2056.5012041085261</v>
      </c>
      <c r="J218" s="14">
        <v>14100.935772050774</v>
      </c>
      <c r="K218" s="14">
        <v>6641.4424598265614</v>
      </c>
      <c r="L218" s="14">
        <v>1573.751485142586</v>
      </c>
      <c r="M218" s="14">
        <v>2624.7971661788761</v>
      </c>
      <c r="N218" s="14">
        <v>1850.8510836976734</v>
      </c>
      <c r="O218" s="14">
        <v>12690.842194845696</v>
      </c>
      <c r="P218" s="15">
        <v>0.89999999999999991</v>
      </c>
      <c r="Q218" s="14">
        <v>630</v>
      </c>
      <c r="R218" s="11" t="str">
        <f t="shared" si="3"/>
        <v xml:space="preserve">  </v>
      </c>
      <c r="T218" s="12"/>
    </row>
    <row r="219" spans="1:20" x14ac:dyDescent="0.3">
      <c r="A219" s="17">
        <v>1</v>
      </c>
      <c r="B219" s="17">
        <v>4</v>
      </c>
      <c r="C219" s="14" t="s">
        <v>572</v>
      </c>
      <c r="D219" s="16">
        <v>409390</v>
      </c>
      <c r="E219" s="14" t="s">
        <v>445</v>
      </c>
      <c r="F219" s="14">
        <v>285947.85869119113</v>
      </c>
      <c r="G219" s="14">
        <v>69741.472071913508</v>
      </c>
      <c r="H219" s="14">
        <v>201193.63764436563</v>
      </c>
      <c r="I219" s="14">
        <v>232378.71942261222</v>
      </c>
      <c r="J219" s="14">
        <v>789261.68783008249</v>
      </c>
      <c r="K219" s="14">
        <v>271650.46575663157</v>
      </c>
      <c r="L219" s="14">
        <v>66254.398468317828</v>
      </c>
      <c r="M219" s="14">
        <v>191133.95576214735</v>
      </c>
      <c r="N219" s="14">
        <v>220759.78345148161</v>
      </c>
      <c r="O219" s="14">
        <v>749798.60343857831</v>
      </c>
      <c r="P219" s="15">
        <v>0.95</v>
      </c>
      <c r="Q219" s="14">
        <v>4124</v>
      </c>
      <c r="R219" s="11" t="str">
        <f t="shared" si="3"/>
        <v xml:space="preserve">  </v>
      </c>
      <c r="T219" s="12"/>
    </row>
    <row r="220" spans="1:20" s="48" customFormat="1" x14ac:dyDescent="0.3">
      <c r="A220" s="172">
        <v>1</v>
      </c>
      <c r="B220" s="172">
        <v>4</v>
      </c>
      <c r="C220" s="281" t="s">
        <v>572</v>
      </c>
      <c r="D220" s="282">
        <v>409430</v>
      </c>
      <c r="E220" s="281" t="s">
        <v>446</v>
      </c>
      <c r="F220" s="281">
        <v>521629.95986554452</v>
      </c>
      <c r="G220" s="281">
        <v>123605.06456224067</v>
      </c>
      <c r="H220" s="281">
        <v>312205.79705229169</v>
      </c>
      <c r="I220" s="281">
        <v>272944.68417904701</v>
      </c>
      <c r="J220" s="281">
        <v>1230385.5056591239</v>
      </c>
      <c r="K220" s="281">
        <v>495548.46187226725</v>
      </c>
      <c r="L220" s="281">
        <v>117424.81133412864</v>
      </c>
      <c r="M220" s="281">
        <v>296595.50719967711</v>
      </c>
      <c r="N220" s="281">
        <v>259297.44997009463</v>
      </c>
      <c r="O220" s="281">
        <v>1168866.2303761677</v>
      </c>
      <c r="P220" s="283">
        <v>0.95</v>
      </c>
      <c r="Q220" s="281">
        <v>11897</v>
      </c>
      <c r="R220" s="284" t="str">
        <f t="shared" si="3"/>
        <v xml:space="preserve">  </v>
      </c>
      <c r="T220" s="285"/>
    </row>
    <row r="221" spans="1:20" x14ac:dyDescent="0.3">
      <c r="A221" s="17">
        <v>1</v>
      </c>
      <c r="B221" s="17">
        <v>4</v>
      </c>
      <c r="C221" s="14" t="s">
        <v>572</v>
      </c>
      <c r="D221" s="16">
        <v>409460</v>
      </c>
      <c r="E221" s="14" t="s">
        <v>447</v>
      </c>
      <c r="F221" s="14">
        <v>358361.16606147494</v>
      </c>
      <c r="G221" s="14">
        <v>84917.007219152089</v>
      </c>
      <c r="H221" s="14">
        <v>177878.44078256233</v>
      </c>
      <c r="I221" s="14">
        <v>140396.17495256005</v>
      </c>
      <c r="J221" s="14">
        <v>761552.78901574947</v>
      </c>
      <c r="K221" s="14">
        <v>340443.10775840119</v>
      </c>
      <c r="L221" s="14">
        <v>80671.156858194474</v>
      </c>
      <c r="M221" s="14">
        <v>173439.76838474511</v>
      </c>
      <c r="N221" s="14">
        <v>148152.29855816936</v>
      </c>
      <c r="O221" s="14">
        <v>742706.3315595102</v>
      </c>
      <c r="P221" s="15">
        <v>0.97525259216685833</v>
      </c>
      <c r="Q221" s="14">
        <v>11623</v>
      </c>
      <c r="R221" s="11" t="str">
        <f t="shared" si="3"/>
        <v xml:space="preserve">  </v>
      </c>
      <c r="T221" s="12"/>
    </row>
    <row r="222" spans="1:20" x14ac:dyDescent="0.3">
      <c r="A222" s="17">
        <v>1</v>
      </c>
      <c r="B222" s="17">
        <v>4</v>
      </c>
      <c r="C222" s="14" t="s">
        <v>572</v>
      </c>
      <c r="D222" s="16">
        <v>409510</v>
      </c>
      <c r="E222" s="14" t="s">
        <v>448</v>
      </c>
      <c r="F222" s="14">
        <v>0</v>
      </c>
      <c r="G222" s="14">
        <v>1997.6300950933289</v>
      </c>
      <c r="H222" s="14">
        <v>0</v>
      </c>
      <c r="I222" s="14">
        <v>0</v>
      </c>
      <c r="J222" s="14">
        <v>1997.6300950933289</v>
      </c>
      <c r="K222" s="14">
        <v>9906.497896852512</v>
      </c>
      <c r="L222" s="14">
        <v>2349.3347978588808</v>
      </c>
      <c r="M222" s="14">
        <v>4845.6846211906695</v>
      </c>
      <c r="N222" s="14">
        <v>4041.4721074388344</v>
      </c>
      <c r="O222" s="14">
        <v>21142.9894233409</v>
      </c>
      <c r="P222" s="15">
        <v>10.584036291440183</v>
      </c>
      <c r="Q222" s="14">
        <v>1226</v>
      </c>
      <c r="R222" s="11" t="str">
        <f t="shared" si="3"/>
        <v xml:space="preserve">  </v>
      </c>
      <c r="T222" s="12"/>
    </row>
    <row r="223" spans="1:20" x14ac:dyDescent="0.3">
      <c r="A223" s="17">
        <v>1</v>
      </c>
      <c r="B223" s="17">
        <v>4</v>
      </c>
      <c r="C223" s="14" t="s">
        <v>572</v>
      </c>
      <c r="D223" s="16">
        <v>409540</v>
      </c>
      <c r="E223" s="14" t="s">
        <v>581</v>
      </c>
      <c r="F223" s="14">
        <v>13181.899085172805</v>
      </c>
      <c r="G223" s="14">
        <v>3215.0093765737352</v>
      </c>
      <c r="H223" s="14">
        <v>5971.7602894339352</v>
      </c>
      <c r="I223" s="14">
        <v>5630.0981298779516</v>
      </c>
      <c r="J223" s="14">
        <v>27998.766881058429</v>
      </c>
      <c r="K223" s="14">
        <v>11863.709176655524</v>
      </c>
      <c r="L223" s="14">
        <v>2893.5084389163617</v>
      </c>
      <c r="M223" s="14">
        <v>5374.584260490542</v>
      </c>
      <c r="N223" s="14">
        <v>5067.0883168901564</v>
      </c>
      <c r="O223" s="14">
        <v>25198.890192952585</v>
      </c>
      <c r="P223" s="15">
        <v>0.9</v>
      </c>
      <c r="Q223" s="14">
        <v>877</v>
      </c>
      <c r="R223" s="11" t="str">
        <f t="shared" si="3"/>
        <v xml:space="preserve">  </v>
      </c>
      <c r="T223" s="12"/>
    </row>
    <row r="224" spans="1:20" x14ac:dyDescent="0.3">
      <c r="A224" s="17">
        <v>1</v>
      </c>
      <c r="B224" s="17">
        <v>4</v>
      </c>
      <c r="C224" s="14" t="s">
        <v>572</v>
      </c>
      <c r="D224" s="16">
        <v>409570</v>
      </c>
      <c r="E224" s="14" t="s">
        <v>451</v>
      </c>
      <c r="F224" s="14">
        <v>8159.5774515558651</v>
      </c>
      <c r="G224" s="14">
        <v>1990.0863939353876</v>
      </c>
      <c r="H224" s="14">
        <v>4942.4015936808091</v>
      </c>
      <c r="I224" s="14">
        <v>5379.7205364133579</v>
      </c>
      <c r="J224" s="14">
        <v>20471.785975585422</v>
      </c>
      <c r="K224" s="14">
        <v>7343.619706400279</v>
      </c>
      <c r="L224" s="14">
        <v>1791.0777545418489</v>
      </c>
      <c r="M224" s="14">
        <v>4448.1614343127285</v>
      </c>
      <c r="N224" s="14">
        <v>4841.7484827720218</v>
      </c>
      <c r="O224" s="14">
        <v>18424.607378026878</v>
      </c>
      <c r="P224" s="15">
        <v>0.89999999999999991</v>
      </c>
      <c r="Q224" s="14">
        <v>697</v>
      </c>
      <c r="R224" s="11" t="str">
        <f t="shared" si="3"/>
        <v xml:space="preserve">  </v>
      </c>
      <c r="T224" s="12"/>
    </row>
    <row r="225" spans="1:20" x14ac:dyDescent="0.3">
      <c r="A225" s="17">
        <v>1</v>
      </c>
      <c r="B225" s="17">
        <v>4</v>
      </c>
      <c r="C225" s="14" t="s">
        <v>572</v>
      </c>
      <c r="D225" s="16">
        <v>409600</v>
      </c>
      <c r="E225" s="14" t="s">
        <v>452</v>
      </c>
      <c r="F225" s="14">
        <v>1513036.4022945042</v>
      </c>
      <c r="G225" s="14">
        <v>384182.64282808121</v>
      </c>
      <c r="H225" s="14">
        <v>716375.09821509523</v>
      </c>
      <c r="I225" s="14">
        <v>673889.92023796216</v>
      </c>
      <c r="J225" s="14">
        <v>3287484.0635756431</v>
      </c>
      <c r="K225" s="14">
        <v>1361732.7620650539</v>
      </c>
      <c r="L225" s="14">
        <v>345764.3785452731</v>
      </c>
      <c r="M225" s="14">
        <v>644737.58839358576</v>
      </c>
      <c r="N225" s="14">
        <v>606500.92821416596</v>
      </c>
      <c r="O225" s="14">
        <v>2958735.6572180786</v>
      </c>
      <c r="P225" s="15">
        <v>0.89999999999999991</v>
      </c>
      <c r="Q225" s="14">
        <v>103069</v>
      </c>
      <c r="R225" s="11" t="str">
        <f t="shared" si="3"/>
        <v>*</v>
      </c>
      <c r="T225" s="12"/>
    </row>
    <row r="226" spans="1:20" x14ac:dyDescent="0.3">
      <c r="A226" s="17">
        <v>1</v>
      </c>
      <c r="B226" s="17">
        <v>4</v>
      </c>
      <c r="C226" s="14" t="s">
        <v>572</v>
      </c>
      <c r="D226" s="16">
        <v>409630</v>
      </c>
      <c r="E226" s="14" t="s">
        <v>453</v>
      </c>
      <c r="F226" s="14">
        <v>1644350.241323218</v>
      </c>
      <c r="G226" s="14">
        <v>389362.24111270823</v>
      </c>
      <c r="H226" s="14">
        <v>763405.95758413954</v>
      </c>
      <c r="I226" s="14">
        <v>666490.6265843428</v>
      </c>
      <c r="J226" s="14">
        <v>3463609.0666044084</v>
      </c>
      <c r="K226" s="14">
        <v>1819965.1850503334</v>
      </c>
      <c r="L226" s="14">
        <v>431606.36429236032</v>
      </c>
      <c r="M226" s="14">
        <v>914396.504951276</v>
      </c>
      <c r="N226" s="14">
        <v>774217.96249786578</v>
      </c>
      <c r="O226" s="14">
        <v>3940186.0167918354</v>
      </c>
      <c r="P226" s="15">
        <v>1.1375954794617296</v>
      </c>
      <c r="Q226" s="14">
        <v>196634</v>
      </c>
      <c r="R226" s="11" t="str">
        <f t="shared" si="3"/>
        <v>*</v>
      </c>
      <c r="T226" s="12"/>
    </row>
    <row r="227" spans="1:20" x14ac:dyDescent="0.3">
      <c r="A227" s="17">
        <v>2</v>
      </c>
      <c r="B227" s="17">
        <v>4</v>
      </c>
      <c r="C227" s="14" t="s">
        <v>572</v>
      </c>
      <c r="D227" s="16">
        <v>481003</v>
      </c>
      <c r="E227" s="14" t="s">
        <v>580</v>
      </c>
      <c r="F227" s="14">
        <v>0</v>
      </c>
      <c r="G227" s="14">
        <v>0</v>
      </c>
      <c r="H227" s="14">
        <v>0</v>
      </c>
      <c r="I227" s="14">
        <v>0</v>
      </c>
      <c r="J227" s="14">
        <v>0</v>
      </c>
      <c r="K227" s="14">
        <v>0</v>
      </c>
      <c r="L227" s="14">
        <v>0</v>
      </c>
      <c r="M227" s="14">
        <v>0</v>
      </c>
      <c r="N227" s="14">
        <v>0</v>
      </c>
      <c r="O227" s="14">
        <v>0</v>
      </c>
      <c r="P227" s="15">
        <v>0</v>
      </c>
      <c r="Q227" s="14">
        <v>40</v>
      </c>
      <c r="R227" s="11" t="str">
        <f t="shared" si="3"/>
        <v xml:space="preserve">  </v>
      </c>
      <c r="T227" s="12"/>
    </row>
    <row r="228" spans="1:20" x14ac:dyDescent="0.3">
      <c r="A228" s="17">
        <v>2</v>
      </c>
      <c r="B228" s="17">
        <v>4</v>
      </c>
      <c r="C228" s="14" t="s">
        <v>572</v>
      </c>
      <c r="D228" s="16">
        <v>481005</v>
      </c>
      <c r="E228" s="14" t="s">
        <v>579</v>
      </c>
      <c r="F228" s="14">
        <v>27235.604294333352</v>
      </c>
      <c r="G228" s="14">
        <v>6393.9495890912294</v>
      </c>
      <c r="H228" s="14">
        <v>12330.360915141378</v>
      </c>
      <c r="I228" s="14">
        <v>12469.818176409188</v>
      </c>
      <c r="J228" s="14">
        <v>58429.732974975144</v>
      </c>
      <c r="K228" s="14">
        <v>24512.043864900017</v>
      </c>
      <c r="L228" s="14">
        <v>5754.5546301821068</v>
      </c>
      <c r="M228" s="14">
        <v>11097.324823627241</v>
      </c>
      <c r="N228" s="14">
        <v>11222.836358768269</v>
      </c>
      <c r="O228" s="14">
        <v>52586.759677477632</v>
      </c>
      <c r="P228" s="15">
        <v>0.9</v>
      </c>
      <c r="Q228" s="14">
        <v>493</v>
      </c>
      <c r="R228" s="11" t="str">
        <f t="shared" si="3"/>
        <v xml:space="preserve">  </v>
      </c>
      <c r="T228" s="12"/>
    </row>
    <row r="229" spans="1:20" x14ac:dyDescent="0.3">
      <c r="A229" s="17">
        <v>2</v>
      </c>
      <c r="B229" s="17">
        <v>4</v>
      </c>
      <c r="C229" s="14" t="s">
        <v>572</v>
      </c>
      <c r="D229" s="16">
        <v>481007</v>
      </c>
      <c r="E229" s="14" t="s">
        <v>578</v>
      </c>
      <c r="F229" s="14">
        <v>92588.538582238136</v>
      </c>
      <c r="G229" s="14">
        <v>22581.952553405717</v>
      </c>
      <c r="H229" s="14">
        <v>61131.046567515281</v>
      </c>
      <c r="I229" s="14">
        <v>68953.962793366503</v>
      </c>
      <c r="J229" s="14">
        <v>245255.50049652567</v>
      </c>
      <c r="K229" s="14">
        <v>87959.111653126223</v>
      </c>
      <c r="L229" s="14">
        <v>21452.854925735432</v>
      </c>
      <c r="M229" s="14">
        <v>58074.494239139516</v>
      </c>
      <c r="N229" s="14">
        <v>65506.264653698177</v>
      </c>
      <c r="O229" s="14">
        <v>232992.72547169938</v>
      </c>
      <c r="P229" s="15">
        <v>0.95</v>
      </c>
      <c r="Q229" s="14">
        <v>1664</v>
      </c>
      <c r="R229" s="11" t="str">
        <f t="shared" si="3"/>
        <v xml:space="preserve">  </v>
      </c>
      <c r="T229" s="12"/>
    </row>
    <row r="230" spans="1:20" x14ac:dyDescent="0.3">
      <c r="A230" s="17">
        <v>2</v>
      </c>
      <c r="B230" s="17">
        <v>4</v>
      </c>
      <c r="C230" s="14" t="s">
        <v>572</v>
      </c>
      <c r="D230" s="16">
        <v>481013</v>
      </c>
      <c r="E230" s="14" t="s">
        <v>577</v>
      </c>
      <c r="F230" s="14">
        <v>313623.67171403201</v>
      </c>
      <c r="G230" s="14">
        <v>74316.042353955461</v>
      </c>
      <c r="H230" s="14">
        <v>196688.85228817313</v>
      </c>
      <c r="I230" s="14">
        <v>213207.19837682848</v>
      </c>
      <c r="J230" s="14">
        <v>797835.76473298902</v>
      </c>
      <c r="K230" s="14">
        <v>282261.30454262882</v>
      </c>
      <c r="L230" s="14">
        <v>66884.43811855992</v>
      </c>
      <c r="M230" s="14">
        <v>177019.96705935581</v>
      </c>
      <c r="N230" s="14">
        <v>191886.47853914564</v>
      </c>
      <c r="O230" s="14">
        <v>718052.18825969019</v>
      </c>
      <c r="P230" s="15">
        <v>0.90000000000000013</v>
      </c>
      <c r="Q230" s="14">
        <v>66602</v>
      </c>
      <c r="R230" s="11" t="str">
        <f t="shared" si="3"/>
        <v xml:space="preserve">  </v>
      </c>
      <c r="T230" s="12"/>
    </row>
    <row r="231" spans="1:20" x14ac:dyDescent="0.3">
      <c r="A231" s="17">
        <v>2</v>
      </c>
      <c r="B231" s="17">
        <v>4</v>
      </c>
      <c r="C231" s="14" t="s">
        <v>572</v>
      </c>
      <c r="D231" s="16">
        <v>481017</v>
      </c>
      <c r="E231" s="14" t="s">
        <v>576</v>
      </c>
      <c r="F231" s="14">
        <v>23982.986660484799</v>
      </c>
      <c r="G231" s="14">
        <v>5862.8500868574565</v>
      </c>
      <c r="H231" s="14">
        <v>11923.665076024341</v>
      </c>
      <c r="I231" s="14">
        <v>10747.785436129527</v>
      </c>
      <c r="J231" s="14">
        <v>52517.287259496123</v>
      </c>
      <c r="K231" s="14">
        <v>22783.837327460558</v>
      </c>
      <c r="L231" s="14">
        <v>5569.707582514583</v>
      </c>
      <c r="M231" s="14">
        <v>11519.334217507767</v>
      </c>
      <c r="N231" s="14">
        <v>10210.39616432305</v>
      </c>
      <c r="O231" s="14">
        <v>50083.275291805963</v>
      </c>
      <c r="P231" s="15">
        <v>0.95365312843248495</v>
      </c>
      <c r="Q231" s="14">
        <v>698</v>
      </c>
      <c r="R231" s="11" t="str">
        <f t="shared" si="3"/>
        <v xml:space="preserve">  </v>
      </c>
      <c r="T231" s="12"/>
    </row>
    <row r="232" spans="1:20" x14ac:dyDescent="0.3">
      <c r="A232" s="17">
        <v>2</v>
      </c>
      <c r="B232" s="17">
        <v>4</v>
      </c>
      <c r="C232" s="14" t="s">
        <v>572</v>
      </c>
      <c r="D232" s="16">
        <v>481019</v>
      </c>
      <c r="E232" s="14" t="s">
        <v>575</v>
      </c>
      <c r="F232" s="14">
        <v>0</v>
      </c>
      <c r="G232" s="14">
        <v>1692.8907194862404</v>
      </c>
      <c r="H232" s="14">
        <v>0</v>
      </c>
      <c r="I232" s="14">
        <v>0</v>
      </c>
      <c r="J232" s="14">
        <v>1692.8907194862404</v>
      </c>
      <c r="K232" s="14">
        <v>7547.8079214114341</v>
      </c>
      <c r="L232" s="14">
        <v>1789.969369797243</v>
      </c>
      <c r="M232" s="14">
        <v>4128.5581267819971</v>
      </c>
      <c r="N232" s="14">
        <v>3652.4831595738547</v>
      </c>
      <c r="O232" s="14">
        <v>17118.818577564529</v>
      </c>
      <c r="P232" s="15">
        <v>10.112181714103649</v>
      </c>
      <c r="Q232" s="14">
        <v>388</v>
      </c>
      <c r="R232" s="11" t="str">
        <f t="shared" si="3"/>
        <v xml:space="preserve">  </v>
      </c>
      <c r="T232" s="12"/>
    </row>
    <row r="233" spans="1:20" x14ac:dyDescent="0.3">
      <c r="A233" s="17">
        <v>2</v>
      </c>
      <c r="B233" s="17">
        <v>4</v>
      </c>
      <c r="C233" s="14" t="s">
        <v>572</v>
      </c>
      <c r="D233" s="16">
        <v>481023</v>
      </c>
      <c r="E233" s="14" t="s">
        <v>574</v>
      </c>
      <c r="F233" s="14">
        <v>0</v>
      </c>
      <c r="G233" s="14">
        <v>0</v>
      </c>
      <c r="H233" s="14">
        <v>0</v>
      </c>
      <c r="I233" s="14">
        <v>0</v>
      </c>
      <c r="J233" s="14">
        <v>0</v>
      </c>
      <c r="K233" s="14">
        <v>0</v>
      </c>
      <c r="L233" s="14">
        <v>0</v>
      </c>
      <c r="M233" s="14">
        <v>0</v>
      </c>
      <c r="N233" s="14">
        <v>0</v>
      </c>
      <c r="O233" s="14">
        <v>0</v>
      </c>
      <c r="P233" s="15">
        <v>0</v>
      </c>
      <c r="Q233" s="14">
        <v>13</v>
      </c>
      <c r="R233" s="11" t="str">
        <f t="shared" si="3"/>
        <v xml:space="preserve">  </v>
      </c>
      <c r="T233" s="12"/>
    </row>
    <row r="234" spans="1:20" x14ac:dyDescent="0.3">
      <c r="A234" s="17">
        <v>3</v>
      </c>
      <c r="B234" s="17">
        <v>4</v>
      </c>
      <c r="C234" s="14" t="s">
        <v>572</v>
      </c>
      <c r="D234" s="16">
        <v>499998</v>
      </c>
      <c r="E234" s="14" t="s">
        <v>573</v>
      </c>
      <c r="F234" s="14">
        <v>0</v>
      </c>
      <c r="G234" s="14">
        <v>0</v>
      </c>
      <c r="H234" s="14">
        <v>0</v>
      </c>
      <c r="I234" s="14">
        <v>0</v>
      </c>
      <c r="J234" s="14">
        <v>0</v>
      </c>
      <c r="K234" s="14">
        <v>0</v>
      </c>
      <c r="L234" s="14">
        <v>0</v>
      </c>
      <c r="M234" s="14">
        <v>0</v>
      </c>
      <c r="N234" s="14">
        <v>0</v>
      </c>
      <c r="O234" s="14">
        <v>0</v>
      </c>
      <c r="P234" s="15">
        <v>0</v>
      </c>
      <c r="Q234" s="14">
        <v>0</v>
      </c>
      <c r="R234" s="11" t="str">
        <f t="shared" si="3"/>
        <v xml:space="preserve">  </v>
      </c>
      <c r="T234" s="12"/>
    </row>
    <row r="235" spans="1:20" x14ac:dyDescent="0.3">
      <c r="A235" s="17">
        <v>4</v>
      </c>
      <c r="B235" s="17">
        <v>4</v>
      </c>
      <c r="C235" s="14" t="s">
        <v>572</v>
      </c>
      <c r="D235" s="16">
        <v>499999</v>
      </c>
      <c r="E235" s="14" t="s">
        <v>571</v>
      </c>
      <c r="F235" s="14">
        <v>421148.59372904582</v>
      </c>
      <c r="G235" s="14">
        <v>107341.63304322549</v>
      </c>
      <c r="H235" s="14">
        <v>141792.8609582748</v>
      </c>
      <c r="I235" s="14">
        <v>109218.54016011878</v>
      </c>
      <c r="J235" s="14">
        <v>779501.62789066485</v>
      </c>
      <c r="K235" s="14">
        <v>620335.46354100236</v>
      </c>
      <c r="L235" s="14">
        <v>147113.10758021096</v>
      </c>
      <c r="M235" s="14">
        <v>230825.42289982809</v>
      </c>
      <c r="N235" s="14">
        <v>178927.65773552406</v>
      </c>
      <c r="O235" s="14">
        <v>1177201.6517565653</v>
      </c>
      <c r="P235" s="15">
        <v>1.5101978105447691</v>
      </c>
      <c r="Q235" s="14">
        <v>0</v>
      </c>
      <c r="R235" s="11" t="str">
        <f t="shared" si="3"/>
        <v xml:space="preserve">  </v>
      </c>
      <c r="T235" s="12"/>
    </row>
    <row r="236" spans="1:20" x14ac:dyDescent="0.3">
      <c r="A236" s="11"/>
      <c r="B236" s="11"/>
      <c r="C236" s="11"/>
      <c r="D236" s="27"/>
      <c r="E236" s="12"/>
      <c r="F236" s="10"/>
      <c r="G236" s="10"/>
      <c r="H236" s="10"/>
      <c r="I236" s="10"/>
      <c r="J236" s="10"/>
      <c r="K236" s="10"/>
      <c r="L236" s="10"/>
      <c r="M236" s="10"/>
      <c r="N236" s="10"/>
      <c r="O236" s="10"/>
      <c r="P236" s="19"/>
      <c r="Q236" s="12"/>
      <c r="R236" s="11" t="str">
        <f t="shared" si="3"/>
        <v xml:space="preserve">  </v>
      </c>
      <c r="T236" s="12"/>
    </row>
    <row r="237" spans="1:20" x14ac:dyDescent="0.3">
      <c r="E237" s="23" t="s">
        <v>888</v>
      </c>
    </row>
    <row r="239" spans="1:20" x14ac:dyDescent="0.3">
      <c r="E239" s="47" t="s">
        <v>887</v>
      </c>
    </row>
  </sheetData>
  <pageMargins left="0.25" right="0.25" top="0.75" bottom="0.75" header="0.3" footer="0.3"/>
  <pageSetup scale="62" fitToHeight="0" orientation="landscape" horizontalDpi="4294967294" verticalDpi="4294967294"/>
  <headerFooter>
    <oddHeader>&amp;R&amp;P</oddHeader>
    <oddFooter>&amp;L&amp;"-,Bold"LEA allocations are not final.  SEAs must adjust these allocations to provide for school improvement and State administration and to account for eligible LEAs not on the Census list that did not receive an allocation from ED.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DJ589"/>
  <sheetViews>
    <sheetView zoomScale="70" zoomScaleNormal="70" zoomScalePageLayoutView="70" workbookViewId="0">
      <pane xSplit="4" ySplit="5" topLeftCell="I6" activePane="bottomRight" state="frozen"/>
      <selection pane="topRight" activeCell="E1" sqref="E1"/>
      <selection pane="bottomLeft" activeCell="A6" sqref="A6"/>
      <selection pane="bottomRight" activeCell="I6" sqref="I6"/>
    </sheetView>
  </sheetViews>
  <sheetFormatPr defaultColWidth="8.77734375" defaultRowHeight="14.4" outlineLevelRow="1" outlineLevelCol="1" x14ac:dyDescent="0.3"/>
  <cols>
    <col min="1" max="1" width="10.33203125" style="47" customWidth="1"/>
    <col min="2" max="2" width="8.6640625" style="47" customWidth="1" outlineLevel="1"/>
    <col min="3" max="3" width="7.77734375" style="47" customWidth="1" outlineLevel="1"/>
    <col min="4" max="4" width="35" style="47" customWidth="1"/>
    <col min="5" max="5" width="10.109375" style="47" hidden="1" customWidth="1" outlineLevel="1"/>
    <col min="6" max="6" width="52.109375" style="47" hidden="1" customWidth="1" outlineLevel="1"/>
    <col min="7" max="7" width="19.44140625" style="47" hidden="1" customWidth="1" outlineLevel="1"/>
    <col min="8" max="8" width="18.33203125" style="47" hidden="1" customWidth="1" outlineLevel="1"/>
    <col min="9" max="9" width="10.109375" style="47" customWidth="1" collapsed="1"/>
    <col min="10" max="14" width="10.109375" style="47" customWidth="1"/>
    <col min="15" max="16" width="11.44140625" style="382" customWidth="1"/>
    <col min="17" max="17" width="10.44140625" style="383" customWidth="1"/>
    <col min="18" max="22" width="11.44140625" style="382" customWidth="1"/>
    <col min="23" max="23" width="11.44140625" style="4" customWidth="1"/>
    <col min="24" max="41" width="13.44140625" style="31" customWidth="1"/>
    <col min="42" max="42" width="3.109375" style="47" customWidth="1"/>
    <col min="43" max="47" width="13.44140625" style="31" customWidth="1"/>
    <col min="48" max="48" width="3.109375" style="47" customWidth="1"/>
    <col min="49" max="49" width="13.44140625" style="31" customWidth="1"/>
    <col min="50" max="50" width="3.109375" style="47" customWidth="1"/>
    <col min="51" max="52" width="14.109375" style="253" customWidth="1"/>
    <col min="53" max="53" width="14.109375" style="31" customWidth="1"/>
    <col min="54" max="55" width="14.109375" style="253" customWidth="1"/>
    <col min="56" max="56" width="13.33203125" style="253" customWidth="1"/>
    <col min="57" max="57" width="17.109375" style="253" customWidth="1"/>
    <col min="58" max="58" width="9.44140625" style="253" customWidth="1"/>
    <col min="59" max="59" width="3.6640625" style="47" customWidth="1"/>
    <col min="60" max="60" width="21" style="47" hidden="1" customWidth="1" outlineLevel="1"/>
    <col min="61" max="61" width="28.33203125" style="47" hidden="1" customWidth="1" outlineLevel="1"/>
    <col min="62" max="62" width="9.6640625" style="4" hidden="1" customWidth="1" outlineLevel="1"/>
    <col min="63" max="63" width="9.6640625" style="207" hidden="1" customWidth="1" outlineLevel="1"/>
    <col min="64" max="64" width="15" style="4" hidden="1" customWidth="1" outlineLevel="1"/>
    <col min="65" max="66" width="13.77734375" style="4" hidden="1" customWidth="1" outlineLevel="1"/>
    <col min="67" max="67" width="31.6640625" style="47" hidden="1" customWidth="1" outlineLevel="1"/>
    <col min="68" max="68" width="19.109375" style="47" hidden="1" customWidth="1" outlineLevel="1"/>
    <col min="69" max="69" width="14.77734375" style="31" hidden="1" customWidth="1" outlineLevel="1"/>
    <col min="70" max="70" width="11.6640625" style="4" hidden="1" customWidth="1" outlineLevel="1"/>
    <col min="71" max="71" width="16.109375" style="47" hidden="1" customWidth="1" outlineLevel="1"/>
    <col min="72" max="72" width="13.44140625" style="384" customWidth="1" collapsed="1"/>
    <col min="73" max="73" width="13.44140625" style="47" customWidth="1"/>
    <col min="74" max="74" width="14.109375" style="47" customWidth="1"/>
    <col min="75" max="75" width="3.6640625" style="47" hidden="1" customWidth="1" outlineLevel="1"/>
    <col min="76" max="76" width="14.33203125" style="137" hidden="1" customWidth="1" outlineLevel="1"/>
    <col min="77" max="78" width="14.33203125" style="47" hidden="1" customWidth="1" outlineLevel="1"/>
    <col min="79" max="79" width="4.44140625" style="47" customWidth="1" collapsed="1"/>
    <col min="80" max="80" width="20" style="31" hidden="1" customWidth="1" outlineLevel="1"/>
    <col min="81" max="81" width="13.77734375" style="47" hidden="1" customWidth="1" outlineLevel="1"/>
    <col min="82" max="82" width="19.77734375" style="47" hidden="1" customWidth="1" outlineLevel="1"/>
    <col min="83" max="83" width="16.6640625" style="31" hidden="1" customWidth="1" outlineLevel="1"/>
    <col min="84" max="84" width="16.6640625" style="47" hidden="1" customWidth="1" outlineLevel="1"/>
    <col min="85" max="85" width="0" style="47" hidden="1" customWidth="1" outlineLevel="1"/>
    <col min="86" max="86" width="3.33203125" style="199" customWidth="1" collapsed="1"/>
    <col min="87" max="87" width="4.44140625" style="47" customWidth="1"/>
    <col min="88" max="89" width="8.77734375" style="47" customWidth="1"/>
    <col min="90" max="90" width="8.77734375" style="702" customWidth="1"/>
    <col min="91" max="91" width="3.44140625" style="47" customWidth="1"/>
    <col min="92" max="95" width="8.77734375" style="47" customWidth="1"/>
    <col min="96" max="96" width="3.44140625" style="47" customWidth="1"/>
    <col min="97" max="99" width="8.77734375" style="47" customWidth="1"/>
    <col min="100" max="16384" width="8.77734375" style="47"/>
  </cols>
  <sheetData>
    <row r="1" spans="1:100" x14ac:dyDescent="0.3">
      <c r="A1" s="47" t="s">
        <v>454</v>
      </c>
      <c r="BV1" s="253"/>
    </row>
    <row r="2" spans="1:100" s="385" customFormat="1" ht="15" thickBot="1" x14ac:dyDescent="0.35">
      <c r="A2" s="385" t="s">
        <v>1017</v>
      </c>
      <c r="O2" s="386"/>
      <c r="P2" s="386"/>
      <c r="Q2" s="387"/>
      <c r="R2" s="386"/>
      <c r="S2" s="386"/>
      <c r="T2" s="386"/>
      <c r="U2" s="388">
        <v>0</v>
      </c>
      <c r="V2" s="388">
        <v>0</v>
      </c>
      <c r="W2" s="389" t="s">
        <v>1450</v>
      </c>
      <c r="X2" s="351">
        <v>145066003.64232543</v>
      </c>
      <c r="Y2" s="351">
        <v>31452543.375321317</v>
      </c>
      <c r="Z2" s="351">
        <v>77018264.807391375</v>
      </c>
      <c r="AA2" s="351">
        <v>69360871.348924637</v>
      </c>
      <c r="AB2" s="351">
        <v>322897683.17396277</v>
      </c>
      <c r="AC2" s="351">
        <v>145066003.64232543</v>
      </c>
      <c r="AD2" s="351">
        <v>31452543.37532131</v>
      </c>
      <c r="AE2" s="351">
        <v>77018264.807391375</v>
      </c>
      <c r="AF2" s="351">
        <v>69360871.348924652</v>
      </c>
      <c r="AG2" s="390">
        <v>145019418.06988767</v>
      </c>
      <c r="AH2" s="390">
        <v>30821164.545282856</v>
      </c>
      <c r="AI2" s="390">
        <v>76996475.425360918</v>
      </c>
      <c r="AJ2" s="390">
        <v>69340323.676182657</v>
      </c>
      <c r="AK2" s="351">
        <v>145066003.64232546</v>
      </c>
      <c r="AL2" s="351">
        <v>31452543.37532131</v>
      </c>
      <c r="AM2" s="351">
        <v>77018264.807391375</v>
      </c>
      <c r="AN2" s="351">
        <v>69360871.348924622</v>
      </c>
      <c r="AO2" s="351">
        <v>322897683.17396271</v>
      </c>
      <c r="AQ2" s="351">
        <v>145066003.64232549</v>
      </c>
      <c r="AR2" s="351">
        <v>31452543.375321314</v>
      </c>
      <c r="AS2" s="351">
        <v>77018264.807391405</v>
      </c>
      <c r="AT2" s="351">
        <v>69360871.348924682</v>
      </c>
      <c r="AU2" s="351">
        <v>322897683.17396271</v>
      </c>
      <c r="AW2" s="351"/>
      <c r="AY2" s="389" t="s">
        <v>1450</v>
      </c>
      <c r="AZ2" s="351">
        <v>12915908.000000075</v>
      </c>
      <c r="BA2" s="351">
        <v>309981775.17396283</v>
      </c>
      <c r="BB2" s="351">
        <v>3034063.9899999979</v>
      </c>
      <c r="BC2" s="351">
        <v>306947711.1839627</v>
      </c>
      <c r="BD2" s="351">
        <v>3069477.1118396274</v>
      </c>
      <c r="BE2" s="351">
        <v>303878234.07212317</v>
      </c>
      <c r="BF2" s="389" t="s">
        <v>1450</v>
      </c>
      <c r="BJ2" s="391"/>
      <c r="BK2" s="392"/>
      <c r="BL2" s="391"/>
      <c r="BM2" s="391"/>
      <c r="BN2" s="391"/>
      <c r="BQ2" s="393"/>
      <c r="BR2" s="391"/>
      <c r="BT2" s="394" t="s">
        <v>1450</v>
      </c>
      <c r="BU2" s="316">
        <v>-175167.96640984467</v>
      </c>
      <c r="BV2" s="316">
        <v>303703066.10571325</v>
      </c>
      <c r="BX2" s="316">
        <v>-7743889.4728190713</v>
      </c>
      <c r="BY2" s="389" t="s">
        <v>1450</v>
      </c>
      <c r="BZ2" s="389" t="s">
        <v>1450</v>
      </c>
      <c r="CB2" s="393"/>
      <c r="CE2" s="393"/>
      <c r="CH2" s="395"/>
      <c r="CL2" s="396"/>
    </row>
    <row r="3" spans="1:100" s="398" customFormat="1" ht="55.8" thickBot="1" x14ac:dyDescent="0.35">
      <c r="A3" s="397" t="s">
        <v>1452</v>
      </c>
      <c r="I3" s="741" t="s">
        <v>1593</v>
      </c>
      <c r="J3" s="742" t="s">
        <v>1593</v>
      </c>
      <c r="K3" s="742" t="s">
        <v>1593</v>
      </c>
      <c r="L3" s="742" t="s">
        <v>1593</v>
      </c>
      <c r="M3" s="742" t="s">
        <v>1593</v>
      </c>
      <c r="N3" s="743" t="s">
        <v>1593</v>
      </c>
      <c r="O3" s="204" t="s">
        <v>1429</v>
      </c>
      <c r="P3" s="204" t="s">
        <v>1429</v>
      </c>
      <c r="Q3" s="204" t="s">
        <v>1429</v>
      </c>
      <c r="R3" s="204" t="s">
        <v>1429</v>
      </c>
      <c r="S3" s="204" t="s">
        <v>1429</v>
      </c>
      <c r="T3" s="742" t="s">
        <v>1593</v>
      </c>
      <c r="U3" s="205" t="s">
        <v>1430</v>
      </c>
      <c r="V3" s="205" t="s">
        <v>1430</v>
      </c>
      <c r="W3" s="205" t="s">
        <v>1430</v>
      </c>
      <c r="X3" s="204" t="s">
        <v>1429</v>
      </c>
      <c r="Y3" s="204" t="s">
        <v>1429</v>
      </c>
      <c r="Z3" s="204" t="s">
        <v>1429</v>
      </c>
      <c r="AA3" s="204" t="s">
        <v>1429</v>
      </c>
      <c r="AB3" s="204" t="s">
        <v>1429</v>
      </c>
      <c r="AC3" s="204" t="s">
        <v>1429</v>
      </c>
      <c r="AD3" s="204" t="s">
        <v>1429</v>
      </c>
      <c r="AE3" s="204" t="s">
        <v>1429</v>
      </c>
      <c r="AF3" s="204" t="s">
        <v>1429</v>
      </c>
      <c r="AG3" s="399" t="s">
        <v>1431</v>
      </c>
      <c r="AH3" s="399" t="s">
        <v>1431</v>
      </c>
      <c r="AI3" s="399" t="s">
        <v>1431</v>
      </c>
      <c r="AJ3" s="399" t="s">
        <v>1431</v>
      </c>
      <c r="AK3" s="399" t="s">
        <v>1432</v>
      </c>
      <c r="AL3" s="399" t="s">
        <v>1432</v>
      </c>
      <c r="AM3" s="399" t="s">
        <v>1432</v>
      </c>
      <c r="AN3" s="399" t="s">
        <v>1432</v>
      </c>
      <c r="AO3" s="399" t="s">
        <v>1432</v>
      </c>
      <c r="AQ3" s="399" t="s">
        <v>1432</v>
      </c>
      <c r="AR3" s="399" t="s">
        <v>1432</v>
      </c>
      <c r="AS3" s="399" t="s">
        <v>1432</v>
      </c>
      <c r="AT3" s="399" t="s">
        <v>1432</v>
      </c>
      <c r="AU3" s="399" t="s">
        <v>1432</v>
      </c>
      <c r="AW3" s="399" t="s">
        <v>1453</v>
      </c>
      <c r="AY3" s="399" t="s">
        <v>1454</v>
      </c>
      <c r="AZ3" s="399" t="s">
        <v>1454</v>
      </c>
      <c r="BA3" s="205" t="s">
        <v>1455</v>
      </c>
      <c r="BB3" s="205" t="s">
        <v>1455</v>
      </c>
      <c r="BC3" s="205" t="s">
        <v>1455</v>
      </c>
      <c r="BD3" s="205" t="s">
        <v>1455</v>
      </c>
      <c r="BE3" s="205" t="s">
        <v>1455</v>
      </c>
      <c r="BF3" s="205" t="s">
        <v>1455</v>
      </c>
      <c r="BH3" s="47"/>
      <c r="BI3" s="47"/>
      <c r="BJ3" s="4"/>
      <c r="BK3" s="207"/>
      <c r="BL3" s="4"/>
      <c r="BM3" s="4"/>
      <c r="BN3" s="4"/>
      <c r="BO3" s="47"/>
      <c r="BP3" s="47"/>
      <c r="BQ3" s="4"/>
      <c r="BR3" s="4"/>
      <c r="BS3" s="47"/>
      <c r="BT3" s="400" t="s">
        <v>1455</v>
      </c>
      <c r="BU3" s="399" t="s">
        <v>1457</v>
      </c>
      <c r="BV3" s="399" t="s">
        <v>1458</v>
      </c>
      <c r="BX3" s="399" t="s">
        <v>1456</v>
      </c>
      <c r="BY3" s="399" t="s">
        <v>1456</v>
      </c>
      <c r="BZ3" s="399" t="s">
        <v>1456</v>
      </c>
      <c r="CB3" s="401"/>
      <c r="CE3" s="401"/>
      <c r="CH3" s="402"/>
    </row>
    <row r="4" spans="1:100" ht="15" thickBot="1" x14ac:dyDescent="0.35">
      <c r="I4" s="744" t="s">
        <v>1594</v>
      </c>
      <c r="J4" s="745"/>
      <c r="K4" s="745"/>
      <c r="L4" s="745"/>
      <c r="M4" s="745"/>
      <c r="N4" s="746"/>
      <c r="T4" s="47"/>
      <c r="X4" s="403" t="s">
        <v>1435</v>
      </c>
      <c r="Y4" s="404"/>
      <c r="Z4" s="404"/>
      <c r="AA4" s="404"/>
      <c r="AB4" s="405"/>
      <c r="AC4" s="406" t="s">
        <v>1433</v>
      </c>
      <c r="AD4" s="407"/>
      <c r="AE4" s="407"/>
      <c r="AF4" s="408"/>
      <c r="AG4" s="403" t="s">
        <v>1434</v>
      </c>
      <c r="AH4" s="404"/>
      <c r="AI4" s="404"/>
      <c r="AJ4" s="405"/>
      <c r="AK4" s="406" t="s">
        <v>1560</v>
      </c>
      <c r="AL4" s="407"/>
      <c r="AM4" s="407"/>
      <c r="AN4" s="407"/>
      <c r="AO4" s="408"/>
      <c r="AP4" s="409"/>
      <c r="AQ4" s="406" t="s">
        <v>1561</v>
      </c>
      <c r="AR4" s="407"/>
      <c r="AS4" s="407"/>
      <c r="AT4" s="407"/>
      <c r="AU4" s="408"/>
      <c r="AW4" s="410"/>
      <c r="AY4" s="332" t="s">
        <v>1459</v>
      </c>
      <c r="AZ4" s="333"/>
      <c r="BA4" s="333"/>
      <c r="BB4" s="333"/>
      <c r="BC4" s="334"/>
      <c r="BD4" s="335" t="s">
        <v>1002</v>
      </c>
      <c r="BE4" s="336"/>
      <c r="BF4" s="411"/>
      <c r="BX4" s="412" t="s">
        <v>1460</v>
      </c>
      <c r="BY4" s="407"/>
      <c r="BZ4" s="408"/>
    </row>
    <row r="5" spans="1:100" s="429" customFormat="1" ht="72.599999999999994" thickBot="1" x14ac:dyDescent="0.3">
      <c r="A5" s="413" t="s">
        <v>0</v>
      </c>
      <c r="B5" s="413" t="s">
        <v>558</v>
      </c>
      <c r="C5" s="413" t="s">
        <v>559</v>
      </c>
      <c r="D5" s="413" t="s">
        <v>1</v>
      </c>
      <c r="E5" s="413" t="s">
        <v>2</v>
      </c>
      <c r="F5" s="413" t="s">
        <v>1461</v>
      </c>
      <c r="G5" s="413" t="s">
        <v>1462</v>
      </c>
      <c r="H5" s="414" t="s">
        <v>1463</v>
      </c>
      <c r="I5" s="8" t="s">
        <v>1595</v>
      </c>
      <c r="J5" s="8" t="s">
        <v>602</v>
      </c>
      <c r="K5" s="8" t="s">
        <v>601</v>
      </c>
      <c r="L5" s="8" t="s">
        <v>600</v>
      </c>
      <c r="M5" s="8" t="s">
        <v>599</v>
      </c>
      <c r="N5" s="8" t="s">
        <v>1596</v>
      </c>
      <c r="O5" s="415" t="s">
        <v>562</v>
      </c>
      <c r="P5" s="416" t="s">
        <v>563</v>
      </c>
      <c r="Q5" s="417" t="s">
        <v>564</v>
      </c>
      <c r="R5" s="416" t="s">
        <v>565</v>
      </c>
      <c r="S5" s="418" t="s">
        <v>566</v>
      </c>
      <c r="T5" s="771" t="s">
        <v>1598</v>
      </c>
      <c r="U5" s="419" t="s">
        <v>1638</v>
      </c>
      <c r="V5" s="420" t="s">
        <v>568</v>
      </c>
      <c r="W5" s="421" t="s">
        <v>569</v>
      </c>
      <c r="X5" s="422" t="s">
        <v>1464</v>
      </c>
      <c r="Y5" s="423" t="s">
        <v>1465</v>
      </c>
      <c r="Z5" s="423" t="s">
        <v>1466</v>
      </c>
      <c r="AA5" s="423" t="s">
        <v>1467</v>
      </c>
      <c r="AB5" s="424" t="s">
        <v>1468</v>
      </c>
      <c r="AC5" s="425" t="s">
        <v>1469</v>
      </c>
      <c r="AD5" s="426" t="s">
        <v>1470</v>
      </c>
      <c r="AE5" s="426" t="s">
        <v>1471</v>
      </c>
      <c r="AF5" s="427" t="s">
        <v>1472</v>
      </c>
      <c r="AG5" s="428" t="s">
        <v>1473</v>
      </c>
      <c r="AH5" s="426" t="s">
        <v>1474</v>
      </c>
      <c r="AI5" s="426" t="s">
        <v>1475</v>
      </c>
      <c r="AJ5" s="427" t="s">
        <v>1476</v>
      </c>
      <c r="AK5" s="428" t="s">
        <v>1477</v>
      </c>
      <c r="AL5" s="426" t="s">
        <v>1478</v>
      </c>
      <c r="AM5" s="426" t="s">
        <v>1479</v>
      </c>
      <c r="AN5" s="426" t="s">
        <v>1480</v>
      </c>
      <c r="AO5" s="427" t="s">
        <v>1481</v>
      </c>
      <c r="AQ5" s="430" t="s">
        <v>1477</v>
      </c>
      <c r="AR5" s="426" t="s">
        <v>1478</v>
      </c>
      <c r="AS5" s="426" t="s">
        <v>1479</v>
      </c>
      <c r="AT5" s="426" t="s">
        <v>1480</v>
      </c>
      <c r="AU5" s="427" t="s">
        <v>1481</v>
      </c>
      <c r="AW5" s="431" t="s">
        <v>1482</v>
      </c>
      <c r="AY5" s="430" t="s">
        <v>919</v>
      </c>
      <c r="AZ5" s="426" t="s">
        <v>920</v>
      </c>
      <c r="BA5" s="426" t="s">
        <v>1483</v>
      </c>
      <c r="BB5" s="426" t="s">
        <v>922</v>
      </c>
      <c r="BC5" s="427" t="s">
        <v>1484</v>
      </c>
      <c r="BD5" s="843" t="s">
        <v>1002</v>
      </c>
      <c r="BE5" s="317" t="s">
        <v>1485</v>
      </c>
      <c r="BF5" s="318" t="s">
        <v>1486</v>
      </c>
      <c r="BH5" s="432" t="s">
        <v>921</v>
      </c>
      <c r="BI5" s="433" t="s">
        <v>1491</v>
      </c>
      <c r="BJ5" s="434" t="s">
        <v>1492</v>
      </c>
      <c r="BK5" s="435"/>
      <c r="BL5" s="436" t="s">
        <v>998</v>
      </c>
      <c r="BM5" s="437" t="s">
        <v>997</v>
      </c>
      <c r="BN5" s="437" t="s">
        <v>999</v>
      </c>
      <c r="BO5" s="413" t="s">
        <v>996</v>
      </c>
      <c r="BP5" s="438" t="s">
        <v>1000</v>
      </c>
      <c r="BQ5" s="439" t="s">
        <v>1001</v>
      </c>
      <c r="BR5" s="437" t="s">
        <v>1493</v>
      </c>
      <c r="BS5" s="414" t="s">
        <v>999</v>
      </c>
      <c r="BT5" s="844" t="s">
        <v>1014</v>
      </c>
      <c r="BU5" s="321" t="s">
        <v>1015</v>
      </c>
      <c r="BV5" s="322" t="s">
        <v>1494</v>
      </c>
      <c r="BW5" s="440"/>
      <c r="BX5" s="845" t="s">
        <v>1495</v>
      </c>
      <c r="BY5" s="319" t="s">
        <v>1496</v>
      </c>
      <c r="BZ5" s="320" t="s">
        <v>1497</v>
      </c>
      <c r="CA5" s="440"/>
      <c r="CB5" s="441" t="s">
        <v>1005</v>
      </c>
      <c r="CC5" s="429" t="s">
        <v>1004</v>
      </c>
      <c r="CD5" s="429" t="s">
        <v>1011</v>
      </c>
      <c r="CE5" s="442" t="s">
        <v>1018</v>
      </c>
      <c r="CF5" s="442" t="s">
        <v>1013</v>
      </c>
      <c r="CH5" s="443"/>
      <c r="CJ5" s="286" t="s">
        <v>1437</v>
      </c>
      <c r="CK5" s="286" t="s">
        <v>1020</v>
      </c>
      <c r="CL5" s="287" t="s">
        <v>1438</v>
      </c>
      <c r="CM5" s="288"/>
      <c r="CN5" s="286" t="s">
        <v>1439</v>
      </c>
      <c r="CO5" s="289" t="s">
        <v>1440</v>
      </c>
      <c r="CP5" s="289" t="s">
        <v>1441</v>
      </c>
      <c r="CQ5" s="287" t="s">
        <v>1442</v>
      </c>
      <c r="CR5" s="288"/>
      <c r="CS5" s="290" t="s">
        <v>1443</v>
      </c>
      <c r="CT5" s="291" t="s">
        <v>1444</v>
      </c>
      <c r="CU5" s="290" t="s">
        <v>1445</v>
      </c>
      <c r="CV5" s="290" t="s">
        <v>1446</v>
      </c>
    </row>
    <row r="6" spans="1:100" outlineLevel="1" x14ac:dyDescent="0.3">
      <c r="A6" s="1">
        <v>10323000</v>
      </c>
      <c r="B6" s="47">
        <v>404860</v>
      </c>
      <c r="C6" s="47">
        <v>4163</v>
      </c>
      <c r="D6" s="47" t="s">
        <v>280</v>
      </c>
      <c r="E6" s="47" t="s">
        <v>103</v>
      </c>
      <c r="F6" s="47" t="s">
        <v>1498</v>
      </c>
      <c r="G6" s="47" t="s">
        <v>1499</v>
      </c>
      <c r="H6" s="47" t="s">
        <v>1500</v>
      </c>
      <c r="I6" s="382">
        <v>90</v>
      </c>
      <c r="J6" s="382">
        <v>0</v>
      </c>
      <c r="K6" s="382">
        <v>0</v>
      </c>
      <c r="L6" s="382">
        <v>0</v>
      </c>
      <c r="M6" s="382">
        <v>0</v>
      </c>
      <c r="N6" s="382">
        <v>90</v>
      </c>
      <c r="O6" s="444">
        <v>160</v>
      </c>
      <c r="P6" s="445">
        <v>90</v>
      </c>
      <c r="Q6" s="346">
        <v>0.5625</v>
      </c>
      <c r="R6" s="445">
        <v>133</v>
      </c>
      <c r="S6" s="447">
        <v>122</v>
      </c>
      <c r="T6" s="445">
        <v>-0.25747472191601162</v>
      </c>
      <c r="U6" s="444">
        <v>159.76637100007102</v>
      </c>
      <c r="V6" s="445">
        <v>89.742525278083988</v>
      </c>
      <c r="W6" s="229">
        <v>0.56171098283282717</v>
      </c>
      <c r="X6" s="261">
        <v>41509.015373916001</v>
      </c>
      <c r="Y6" s="262">
        <v>9835.9467821411617</v>
      </c>
      <c r="Z6" s="262">
        <v>29455.177325534878</v>
      </c>
      <c r="AA6" s="262">
        <v>35135.521705145184</v>
      </c>
      <c r="AB6" s="263">
        <v>115935.66118673721</v>
      </c>
      <c r="AC6" s="262">
        <v>41390.990823307133</v>
      </c>
      <c r="AD6" s="262">
        <v>9807.9797685100821</v>
      </c>
      <c r="AE6" s="262">
        <v>29371.42602390474</v>
      </c>
      <c r="AF6" s="263">
        <v>35035.619211137484</v>
      </c>
      <c r="AG6" s="262">
        <v>41390.990823307133</v>
      </c>
      <c r="AH6" s="262">
        <v>9807.9797685100821</v>
      </c>
      <c r="AI6" s="262">
        <v>29371.42602390474</v>
      </c>
      <c r="AJ6" s="263">
        <v>35035.619211137484</v>
      </c>
      <c r="AK6" s="262">
        <v>41390.990823307133</v>
      </c>
      <c r="AL6" s="262">
        <v>9807.9797685100821</v>
      </c>
      <c r="AM6" s="262">
        <v>29371.42602390474</v>
      </c>
      <c r="AN6" s="262">
        <v>35035.619211137484</v>
      </c>
      <c r="AO6" s="263">
        <v>115606.01582685944</v>
      </c>
      <c r="AP6" s="31"/>
      <c r="AQ6" s="261">
        <v>40762.301662266917</v>
      </c>
      <c r="AR6" s="262">
        <v>9496.549633659688</v>
      </c>
      <c r="AS6" s="262">
        <v>28964.617668960418</v>
      </c>
      <c r="AT6" s="262">
        <v>34809.418576515796</v>
      </c>
      <c r="AU6" s="263">
        <v>114032.88754140283</v>
      </c>
      <c r="AV6" s="31"/>
      <c r="AW6" s="323">
        <v>110589.43758982744</v>
      </c>
      <c r="AX6" s="31"/>
      <c r="AY6" s="747">
        <v>0</v>
      </c>
      <c r="AZ6" s="262">
        <v>3443.4499515753851</v>
      </c>
      <c r="BA6" s="262">
        <v>110589.43758982744</v>
      </c>
      <c r="BB6" s="262">
        <v>1082.435991849341</v>
      </c>
      <c r="BC6" s="263">
        <v>109507.0015979781</v>
      </c>
      <c r="BD6" s="261">
        <v>1095.0700159797811</v>
      </c>
      <c r="BE6" s="262">
        <v>108411.93158199832</v>
      </c>
      <c r="BF6" s="354">
        <v>0.98031000016560876</v>
      </c>
      <c r="BG6" s="31"/>
      <c r="BJ6" s="4">
        <v>0.98031000016560876</v>
      </c>
      <c r="BL6" s="4">
        <v>1.0281558049019319</v>
      </c>
      <c r="BM6" s="4">
        <v>0.95</v>
      </c>
      <c r="BN6" s="4" t="s">
        <v>900</v>
      </c>
      <c r="BO6" s="31" t="s">
        <v>900</v>
      </c>
      <c r="BP6" s="31" t="s">
        <v>900</v>
      </c>
      <c r="BQ6" s="31">
        <v>106201.50917428304</v>
      </c>
      <c r="BR6" s="4">
        <v>0.96032235527031895</v>
      </c>
      <c r="BS6" s="4" t="s">
        <v>900</v>
      </c>
      <c r="BT6" s="448" t="s">
        <v>900</v>
      </c>
      <c r="BU6" s="367" t="s">
        <v>900</v>
      </c>
      <c r="BV6" s="368">
        <v>108411.93158199832</v>
      </c>
      <c r="BX6" s="449">
        <v>1334.6971328615036</v>
      </c>
      <c r="BY6" s="450">
        <v>1.2465907877508049E-2</v>
      </c>
      <c r="BZ6" s="368">
        <v>14.872515886149795</v>
      </c>
      <c r="CB6" s="31">
        <v>9049</v>
      </c>
      <c r="CC6" s="31">
        <v>10635.370947608117</v>
      </c>
      <c r="CD6" s="31" t="e">
        <v>#VALUE!</v>
      </c>
      <c r="CE6" s="31" t="s">
        <v>900</v>
      </c>
      <c r="CF6" s="31" t="e">
        <v>#VALUE!</v>
      </c>
      <c r="CJ6" s="702" t="s">
        <v>1447</v>
      </c>
      <c r="CK6" s="702" t="s">
        <v>1447</v>
      </c>
      <c r="CL6" s="702" t="s">
        <v>1448</v>
      </c>
      <c r="CN6" s="702" t="s">
        <v>1447</v>
      </c>
      <c r="CO6" s="702" t="s">
        <v>1447</v>
      </c>
      <c r="CP6" s="702" t="s">
        <v>1447</v>
      </c>
      <c r="CQ6" s="702" t="s">
        <v>1447</v>
      </c>
      <c r="CS6" s="292">
        <v>0</v>
      </c>
      <c r="CT6" s="293">
        <v>0</v>
      </c>
      <c r="CU6" s="293">
        <v>0.95</v>
      </c>
      <c r="CV6" s="294">
        <v>0.95</v>
      </c>
    </row>
    <row r="7" spans="1:100" outlineLevel="1" x14ac:dyDescent="0.3">
      <c r="A7" s="1">
        <v>10309000</v>
      </c>
      <c r="B7" s="47">
        <v>400022</v>
      </c>
      <c r="C7" s="47">
        <v>4162</v>
      </c>
      <c r="D7" s="47" t="s">
        <v>430</v>
      </c>
      <c r="E7" s="47" t="s">
        <v>103</v>
      </c>
      <c r="F7" s="47" t="s">
        <v>1498</v>
      </c>
      <c r="G7" s="47" t="s">
        <v>1499</v>
      </c>
      <c r="H7" s="47" t="s">
        <v>1500</v>
      </c>
      <c r="I7" s="382">
        <v>121</v>
      </c>
      <c r="J7" s="382">
        <v>0</v>
      </c>
      <c r="K7" s="382">
        <v>0</v>
      </c>
      <c r="L7" s="382">
        <v>1</v>
      </c>
      <c r="M7" s="382">
        <v>0</v>
      </c>
      <c r="N7" s="382">
        <v>121</v>
      </c>
      <c r="O7" s="444">
        <v>277</v>
      </c>
      <c r="P7" s="445">
        <v>122</v>
      </c>
      <c r="Q7" s="346">
        <v>0.44043321299638988</v>
      </c>
      <c r="R7" s="445">
        <v>114</v>
      </c>
      <c r="S7" s="447">
        <v>106</v>
      </c>
      <c r="T7" s="445">
        <v>-0.34616045946486007</v>
      </c>
      <c r="U7" s="444">
        <v>276.59552979387291</v>
      </c>
      <c r="V7" s="445">
        <v>121.65383954053515</v>
      </c>
      <c r="W7" s="229">
        <v>0.43982576157754666</v>
      </c>
      <c r="X7" s="261">
        <v>56267.7763957528</v>
      </c>
      <c r="Y7" s="262">
        <v>13333.172304680247</v>
      </c>
      <c r="Z7" s="262">
        <v>33873.735574656261</v>
      </c>
      <c r="AA7" s="262">
        <v>29350.605170182967</v>
      </c>
      <c r="AB7" s="263">
        <v>132825.28944527227</v>
      </c>
      <c r="AC7" s="262">
        <v>56107.787560482997</v>
      </c>
      <c r="AD7" s="262">
        <v>13295.26146398034</v>
      </c>
      <c r="AE7" s="262">
        <v>33777.420776951978</v>
      </c>
      <c r="AF7" s="263">
        <v>29267.151203518028</v>
      </c>
      <c r="AG7" s="262">
        <v>56107.787560482997</v>
      </c>
      <c r="AH7" s="262">
        <v>13295.26146398034</v>
      </c>
      <c r="AI7" s="262">
        <v>33777.420776951978</v>
      </c>
      <c r="AJ7" s="263">
        <v>29267.151203518028</v>
      </c>
      <c r="AK7" s="262">
        <v>56107.787560482997</v>
      </c>
      <c r="AL7" s="262">
        <v>13295.26146398034</v>
      </c>
      <c r="AM7" s="262">
        <v>33777.420776951978</v>
      </c>
      <c r="AN7" s="262">
        <v>29267.151203518028</v>
      </c>
      <c r="AO7" s="263">
        <v>132447.62100493335</v>
      </c>
      <c r="AP7" s="31"/>
      <c r="AQ7" s="261">
        <v>55255.564475517378</v>
      </c>
      <c r="AR7" s="262">
        <v>12873.10061451647</v>
      </c>
      <c r="AS7" s="262">
        <v>33309.587278866093</v>
      </c>
      <c r="AT7" s="262">
        <v>28091.434370059127</v>
      </c>
      <c r="AU7" s="263">
        <v>129529.68673895906</v>
      </c>
      <c r="AV7" s="31"/>
      <c r="AW7" s="323">
        <v>101587.05864213943</v>
      </c>
      <c r="AX7" s="31"/>
      <c r="AY7" s="747">
        <v>0</v>
      </c>
      <c r="AZ7" s="262">
        <v>12219.457435543431</v>
      </c>
      <c r="BA7" s="262">
        <v>117310.22930341563</v>
      </c>
      <c r="BB7" s="262">
        <v>1148.2182853762577</v>
      </c>
      <c r="BC7" s="263">
        <v>116162.01101803937</v>
      </c>
      <c r="BD7" s="261">
        <v>1161.6201101803938</v>
      </c>
      <c r="BE7" s="262">
        <v>115000.39090785898</v>
      </c>
      <c r="BF7" s="354">
        <v>1.1320378052579578</v>
      </c>
      <c r="BG7" s="31"/>
      <c r="BJ7" s="4">
        <v>1.1320378052579578</v>
      </c>
      <c r="BL7" s="4">
        <v>1.2053022850393218</v>
      </c>
      <c r="BM7" s="4">
        <v>0.95</v>
      </c>
      <c r="BN7" s="4" t="s">
        <v>900</v>
      </c>
      <c r="BO7" s="31" t="s">
        <v>900</v>
      </c>
      <c r="BP7" s="31" t="s">
        <v>900</v>
      </c>
      <c r="BQ7" s="31">
        <v>112655.6357019573</v>
      </c>
      <c r="BR7" s="4">
        <v>1.1089565660012772</v>
      </c>
      <c r="BS7" s="4" t="s">
        <v>900</v>
      </c>
      <c r="BT7" s="448" t="s">
        <v>900</v>
      </c>
      <c r="BU7" s="367" t="s">
        <v>900</v>
      </c>
      <c r="BV7" s="368">
        <v>115000.39090785898</v>
      </c>
      <c r="BX7" s="449">
        <v>-6478.6067997308273</v>
      </c>
      <c r="BY7" s="450">
        <v>-5.3335792678065014E-2</v>
      </c>
      <c r="BZ7" s="368">
        <v>-53.254437543437753</v>
      </c>
      <c r="CB7" s="31">
        <v>3337</v>
      </c>
      <c r="CC7" s="31">
        <v>5548.515866405487</v>
      </c>
      <c r="CD7" s="31" t="e">
        <v>#VALUE!</v>
      </c>
      <c r="CE7" s="31" t="s">
        <v>900</v>
      </c>
      <c r="CF7" s="31" t="e">
        <v>#VALUE!</v>
      </c>
      <c r="CJ7" s="702" t="s">
        <v>1447</v>
      </c>
      <c r="CK7" s="702" t="s">
        <v>1447</v>
      </c>
      <c r="CL7" s="702" t="s">
        <v>1448</v>
      </c>
      <c r="CN7" s="702" t="s">
        <v>1447</v>
      </c>
      <c r="CO7" s="702" t="s">
        <v>1447</v>
      </c>
      <c r="CP7" s="702" t="s">
        <v>1447</v>
      </c>
      <c r="CQ7" s="702" t="s">
        <v>1447</v>
      </c>
      <c r="CS7" s="451">
        <v>0</v>
      </c>
      <c r="CT7" s="452">
        <v>0</v>
      </c>
      <c r="CU7" s="452">
        <v>0.95</v>
      </c>
      <c r="CV7" s="453">
        <v>0.95</v>
      </c>
    </row>
    <row r="8" spans="1:100" outlineLevel="1" x14ac:dyDescent="0.3">
      <c r="A8" s="1">
        <v>10306000</v>
      </c>
      <c r="B8" s="47">
        <v>402190</v>
      </c>
      <c r="C8" s="47">
        <v>4160</v>
      </c>
      <c r="D8" s="47" t="s">
        <v>112</v>
      </c>
      <c r="E8" s="47" t="s">
        <v>103</v>
      </c>
      <c r="F8" s="47" t="s">
        <v>1501</v>
      </c>
      <c r="G8" s="47" t="s">
        <v>1502</v>
      </c>
      <c r="H8" s="47" t="s">
        <v>1500</v>
      </c>
      <c r="I8" s="382">
        <v>140</v>
      </c>
      <c r="J8" s="382">
        <v>0</v>
      </c>
      <c r="K8" s="382">
        <v>0</v>
      </c>
      <c r="L8" s="382">
        <v>1</v>
      </c>
      <c r="M8" s="382">
        <v>0</v>
      </c>
      <c r="N8" s="382">
        <v>140</v>
      </c>
      <c r="O8" s="444">
        <v>293</v>
      </c>
      <c r="P8" s="445">
        <v>141</v>
      </c>
      <c r="Q8" s="346">
        <v>0.48122866894197952</v>
      </c>
      <c r="R8" s="445">
        <v>138</v>
      </c>
      <c r="S8" s="447">
        <v>134</v>
      </c>
      <c r="T8" s="445">
        <v>-0.40051623409157361</v>
      </c>
      <c r="U8" s="444">
        <v>292.57216689388002</v>
      </c>
      <c r="V8" s="445">
        <v>140.59948376590842</v>
      </c>
      <c r="W8" s="229">
        <v>0.48056342904588661</v>
      </c>
      <c r="X8" s="261">
        <v>65030.790752468412</v>
      </c>
      <c r="Y8" s="262">
        <v>15409.649958687825</v>
      </c>
      <c r="Z8" s="262">
        <v>41882.62932796422</v>
      </c>
      <c r="AA8" s="262">
        <v>37341.631439506578</v>
      </c>
      <c r="AB8" s="263">
        <v>159664.70147862702</v>
      </c>
      <c r="AC8" s="262">
        <v>64845.885623181181</v>
      </c>
      <c r="AD8" s="262">
        <v>15365.834970665801</v>
      </c>
      <c r="AE8" s="262">
        <v>41763.542463093479</v>
      </c>
      <c r="AF8" s="263">
        <v>37235.456209139171</v>
      </c>
      <c r="AG8" s="262">
        <v>64845.885623181181</v>
      </c>
      <c r="AH8" s="262">
        <v>15365.834970665801</v>
      </c>
      <c r="AI8" s="262">
        <v>41763.542463093479</v>
      </c>
      <c r="AJ8" s="263">
        <v>37235.456209139171</v>
      </c>
      <c r="AK8" s="262">
        <v>64845.885623181181</v>
      </c>
      <c r="AL8" s="262">
        <v>15365.834970665801</v>
      </c>
      <c r="AM8" s="262">
        <v>41763.542463093479</v>
      </c>
      <c r="AN8" s="262">
        <v>37235.456209139171</v>
      </c>
      <c r="AO8" s="263">
        <v>159210.71926607963</v>
      </c>
      <c r="AP8" s="31"/>
      <c r="AQ8" s="261">
        <v>63860.939270884846</v>
      </c>
      <c r="AR8" s="262">
        <v>14877.927759400183</v>
      </c>
      <c r="AS8" s="262">
        <v>41185.097344622525</v>
      </c>
      <c r="AT8" s="262">
        <v>35739.637488615925</v>
      </c>
      <c r="AU8" s="263">
        <v>155663.60186352348</v>
      </c>
      <c r="AV8" s="31"/>
      <c r="AW8" s="323">
        <v>115286.76560676948</v>
      </c>
      <c r="AX8" s="31"/>
      <c r="AY8" s="747">
        <v>0</v>
      </c>
      <c r="AZ8" s="262">
        <v>14684.855689244781</v>
      </c>
      <c r="BA8" s="262">
        <v>140978.7461742787</v>
      </c>
      <c r="BB8" s="262">
        <v>1379.8828556378223</v>
      </c>
      <c r="BC8" s="263">
        <v>139598.86331864088</v>
      </c>
      <c r="BD8" s="261">
        <v>1395.9886331864088</v>
      </c>
      <c r="BE8" s="262">
        <v>138202.87468545447</v>
      </c>
      <c r="BF8" s="354">
        <v>1.1987748459944598</v>
      </c>
      <c r="BG8" s="31"/>
      <c r="BJ8" s="4">
        <v>1.1987748459944598</v>
      </c>
      <c r="BL8" s="4">
        <v>1.2767094124963152</v>
      </c>
      <c r="BM8" s="4">
        <v>0.95</v>
      </c>
      <c r="BN8" s="4" t="s">
        <v>900</v>
      </c>
      <c r="BO8" s="31" t="s">
        <v>900</v>
      </c>
      <c r="BP8" s="31" t="s">
        <v>900</v>
      </c>
      <c r="BQ8" s="31">
        <v>135385.04156913981</v>
      </c>
      <c r="BR8" s="4">
        <v>1.1743328981135905</v>
      </c>
      <c r="BS8" s="4" t="s">
        <v>900</v>
      </c>
      <c r="BT8" s="448" t="s">
        <v>900</v>
      </c>
      <c r="BU8" s="367" t="s">
        <v>900</v>
      </c>
      <c r="BV8" s="368">
        <v>138202.87468545447</v>
      </c>
      <c r="BX8" s="449">
        <v>-7821.2964414292655</v>
      </c>
      <c r="BY8" s="450">
        <v>-5.3566383776248519E-2</v>
      </c>
      <c r="BZ8" s="368">
        <v>-55.628201697037234</v>
      </c>
      <c r="CB8" s="31">
        <v>7633</v>
      </c>
      <c r="CC8" s="31">
        <v>10161.359017080787</v>
      </c>
      <c r="CD8" s="31" t="e">
        <v>#VALUE!</v>
      </c>
      <c r="CE8" s="31" t="s">
        <v>900</v>
      </c>
      <c r="CF8" s="31" t="e">
        <v>#VALUE!</v>
      </c>
      <c r="CJ8" s="702" t="s">
        <v>1447</v>
      </c>
      <c r="CK8" s="702" t="s">
        <v>1447</v>
      </c>
      <c r="CL8" s="702" t="s">
        <v>1448</v>
      </c>
      <c r="CN8" s="702" t="s">
        <v>1447</v>
      </c>
      <c r="CO8" s="702" t="s">
        <v>1447</v>
      </c>
      <c r="CP8" s="702" t="s">
        <v>1447</v>
      </c>
      <c r="CQ8" s="702" t="s">
        <v>1447</v>
      </c>
      <c r="CS8" s="451">
        <v>0</v>
      </c>
      <c r="CT8" s="452">
        <v>0</v>
      </c>
      <c r="CU8" s="452">
        <v>0.95</v>
      </c>
      <c r="CV8" s="453">
        <v>0.95</v>
      </c>
    </row>
    <row r="9" spans="1:100" outlineLevel="1" x14ac:dyDescent="0.3">
      <c r="A9" s="1">
        <v>10201000</v>
      </c>
      <c r="B9" s="47">
        <v>408080</v>
      </c>
      <c r="C9" s="47">
        <v>4153</v>
      </c>
      <c r="D9" s="47" t="s">
        <v>398</v>
      </c>
      <c r="E9" s="47" t="s">
        <v>103</v>
      </c>
      <c r="F9" s="47" t="s">
        <v>1498</v>
      </c>
      <c r="G9" s="47" t="s">
        <v>1499</v>
      </c>
      <c r="H9" s="47" t="s">
        <v>1500</v>
      </c>
      <c r="I9" s="382">
        <v>288</v>
      </c>
      <c r="J9" s="382">
        <v>0</v>
      </c>
      <c r="K9" s="382">
        <v>0</v>
      </c>
      <c r="L9" s="382">
        <v>1</v>
      </c>
      <c r="M9" s="382">
        <v>0</v>
      </c>
      <c r="N9" s="382">
        <v>288</v>
      </c>
      <c r="O9" s="444">
        <v>826</v>
      </c>
      <c r="P9" s="445">
        <v>289</v>
      </c>
      <c r="Q9" s="346">
        <v>0.34987893462469732</v>
      </c>
      <c r="R9" s="445">
        <v>773</v>
      </c>
      <c r="S9" s="447">
        <v>427</v>
      </c>
      <c r="T9" s="445">
        <v>-0.8239191101312372</v>
      </c>
      <c r="U9" s="444">
        <v>824.79389028786659</v>
      </c>
      <c r="V9" s="445">
        <v>288.17608088986879</v>
      </c>
      <c r="W9" s="229">
        <v>0.34939162896719639</v>
      </c>
      <c r="X9" s="261">
        <v>133290.06047846368</v>
      </c>
      <c r="Y9" s="262">
        <v>31584.318000431067</v>
      </c>
      <c r="Z9" s="262">
        <v>65687.082178947123</v>
      </c>
      <c r="AA9" s="262">
        <v>51663.090199476981</v>
      </c>
      <c r="AB9" s="263">
        <v>282224.55085731886</v>
      </c>
      <c r="AC9" s="262">
        <v>132911.07053261963</v>
      </c>
      <c r="AD9" s="262">
        <v>31494.512812215711</v>
      </c>
      <c r="AE9" s="262">
        <v>65500.310985144002</v>
      </c>
      <c r="AF9" s="263">
        <v>51516.194086694442</v>
      </c>
      <c r="AG9" s="262">
        <v>132911.07053261963</v>
      </c>
      <c r="AH9" s="262">
        <v>31494.512812215711</v>
      </c>
      <c r="AI9" s="262">
        <v>65500.310985144002</v>
      </c>
      <c r="AJ9" s="263">
        <v>51516.194086694442</v>
      </c>
      <c r="AK9" s="262">
        <v>132911.07053261963</v>
      </c>
      <c r="AL9" s="262">
        <v>31494.512812215711</v>
      </c>
      <c r="AM9" s="262">
        <v>65500.310985144002</v>
      </c>
      <c r="AN9" s="262">
        <v>51516.194086694442</v>
      </c>
      <c r="AO9" s="263">
        <v>281422.08841667377</v>
      </c>
      <c r="AP9" s="31"/>
      <c r="AQ9" s="261">
        <v>130892.27978216828</v>
      </c>
      <c r="AR9" s="262">
        <v>30494.476045862775</v>
      </c>
      <c r="AS9" s="262">
        <v>64593.10022395994</v>
      </c>
      <c r="AT9" s="262">
        <v>49446.691108345738</v>
      </c>
      <c r="AU9" s="263">
        <v>275426.54716033675</v>
      </c>
      <c r="AV9" s="31"/>
      <c r="AW9" s="323">
        <v>207896.65566915009</v>
      </c>
      <c r="AX9" s="31"/>
      <c r="AY9" s="747">
        <v>0</v>
      </c>
      <c r="AZ9" s="262">
        <v>25982.94687786157</v>
      </c>
      <c r="BA9" s="262">
        <v>249443.60028247518</v>
      </c>
      <c r="BB9" s="262">
        <v>2441.5236822496336</v>
      </c>
      <c r="BC9" s="263">
        <v>247002.07660022556</v>
      </c>
      <c r="BD9" s="261">
        <v>2470.0207660022556</v>
      </c>
      <c r="BE9" s="262">
        <v>244532.05583422331</v>
      </c>
      <c r="BF9" s="354">
        <v>1.1762192857174931</v>
      </c>
      <c r="BG9" s="31"/>
      <c r="BJ9" s="4">
        <v>1.1762192857174931</v>
      </c>
      <c r="BL9" s="4">
        <v>1.2512339980581102</v>
      </c>
      <c r="BM9" s="4">
        <v>0.95</v>
      </c>
      <c r="BN9" s="4" t="s">
        <v>900</v>
      </c>
      <c r="BO9" s="31" t="s">
        <v>900</v>
      </c>
      <c r="BP9" s="31" t="s">
        <v>900</v>
      </c>
      <c r="BQ9" s="31">
        <v>239546.26573037461</v>
      </c>
      <c r="BR9" s="4">
        <v>1.1522372255549516</v>
      </c>
      <c r="BS9" s="4" t="s">
        <v>900</v>
      </c>
      <c r="BT9" s="448" t="s">
        <v>900</v>
      </c>
      <c r="BU9" s="367" t="s">
        <v>900</v>
      </c>
      <c r="BV9" s="368">
        <v>244532.05583422331</v>
      </c>
      <c r="BX9" s="449">
        <v>-13592.135248445236</v>
      </c>
      <c r="BY9" s="450">
        <v>-5.266199540041494E-2</v>
      </c>
      <c r="BZ9" s="368">
        <v>-47.166077095897819</v>
      </c>
      <c r="CB9" s="31">
        <v>43358</v>
      </c>
      <c r="CC9" s="31">
        <v>48769.191549948489</v>
      </c>
      <c r="CD9" s="31" t="e">
        <v>#VALUE!</v>
      </c>
      <c r="CE9" s="31" t="s">
        <v>900</v>
      </c>
      <c r="CF9" s="31" t="e">
        <v>#VALUE!</v>
      </c>
      <c r="CJ9" s="702" t="s">
        <v>1447</v>
      </c>
      <c r="CK9" s="702" t="s">
        <v>1447</v>
      </c>
      <c r="CL9" s="702" t="s">
        <v>1448</v>
      </c>
      <c r="CN9" s="702" t="s">
        <v>1447</v>
      </c>
      <c r="CO9" s="702" t="s">
        <v>1447</v>
      </c>
      <c r="CP9" s="702" t="s">
        <v>1447</v>
      </c>
      <c r="CQ9" s="702" t="s">
        <v>1447</v>
      </c>
      <c r="CS9" s="451">
        <v>0</v>
      </c>
      <c r="CT9" s="452">
        <v>0</v>
      </c>
      <c r="CU9" s="452">
        <v>0.95</v>
      </c>
      <c r="CV9" s="453">
        <v>0.95</v>
      </c>
    </row>
    <row r="10" spans="1:100" outlineLevel="1" x14ac:dyDescent="0.3">
      <c r="A10" s="1">
        <v>10218000</v>
      </c>
      <c r="B10" s="47">
        <v>406740</v>
      </c>
      <c r="C10" s="47">
        <v>4156</v>
      </c>
      <c r="D10" s="47" t="s">
        <v>374</v>
      </c>
      <c r="E10" s="47" t="s">
        <v>103</v>
      </c>
      <c r="F10" s="47" t="s">
        <v>1503</v>
      </c>
      <c r="G10" s="47" t="s">
        <v>1502</v>
      </c>
      <c r="H10" s="47" t="s">
        <v>1500</v>
      </c>
      <c r="I10" s="382">
        <v>721</v>
      </c>
      <c r="J10" s="382">
        <v>0</v>
      </c>
      <c r="K10" s="382">
        <v>0</v>
      </c>
      <c r="L10" s="382">
        <v>3</v>
      </c>
      <c r="M10" s="382">
        <v>0</v>
      </c>
      <c r="N10" s="382">
        <v>721</v>
      </c>
      <c r="O10" s="444">
        <v>1366</v>
      </c>
      <c r="P10" s="445">
        <v>724</v>
      </c>
      <c r="Q10" s="346">
        <v>0.53001464128843334</v>
      </c>
      <c r="R10" s="445">
        <v>703</v>
      </c>
      <c r="S10" s="447">
        <v>699</v>
      </c>
      <c r="T10" s="445">
        <v>-2.0626586055716039</v>
      </c>
      <c r="U10" s="444">
        <v>1364.0053924131062</v>
      </c>
      <c r="V10" s="445">
        <v>721.93734139442836</v>
      </c>
      <c r="W10" s="229">
        <v>0.52927748336626856</v>
      </c>
      <c r="X10" s="261">
        <v>333916.96811905765</v>
      </c>
      <c r="Y10" s="262">
        <v>83624.434985650529</v>
      </c>
      <c r="Z10" s="262">
        <v>229004.84532465617</v>
      </c>
      <c r="AA10" s="262">
        <v>243210.36866495735</v>
      </c>
      <c r="AB10" s="263">
        <v>889756.61709432164</v>
      </c>
      <c r="AC10" s="262">
        <v>332967.52617860405</v>
      </c>
      <c r="AD10" s="262">
        <v>83386.661666524669</v>
      </c>
      <c r="AE10" s="262">
        <v>228353.70499494165</v>
      </c>
      <c r="AF10" s="263">
        <v>242518.83709750086</v>
      </c>
      <c r="AG10" s="262">
        <v>332967.52617860405</v>
      </c>
      <c r="AH10" s="262">
        <v>83386.661666524669</v>
      </c>
      <c r="AI10" s="262">
        <v>228353.70499494165</v>
      </c>
      <c r="AJ10" s="263">
        <v>242518.83709750086</v>
      </c>
      <c r="AK10" s="262">
        <v>332967.52617860405</v>
      </c>
      <c r="AL10" s="262">
        <v>83386.661666524669</v>
      </c>
      <c r="AM10" s="262">
        <v>228353.70499494165</v>
      </c>
      <c r="AN10" s="262">
        <v>242518.83709750086</v>
      </c>
      <c r="AO10" s="263">
        <v>887226.72993757133</v>
      </c>
      <c r="AP10" s="31"/>
      <c r="AQ10" s="261">
        <v>327910.07114979165</v>
      </c>
      <c r="AR10" s="262">
        <v>82848.291966983132</v>
      </c>
      <c r="AS10" s="262">
        <v>225190.89652255669</v>
      </c>
      <c r="AT10" s="262">
        <v>240953.06157834781</v>
      </c>
      <c r="AU10" s="263">
        <v>876902.3212176793</v>
      </c>
      <c r="AV10" s="31"/>
      <c r="AW10" s="323">
        <v>892834.39801646862</v>
      </c>
      <c r="AX10" s="31"/>
      <c r="AY10" s="747">
        <v>0</v>
      </c>
      <c r="AZ10" s="262">
        <v>0</v>
      </c>
      <c r="BA10" s="262">
        <v>876902.3212176793</v>
      </c>
      <c r="BB10" s="262">
        <v>8583.0134821985848</v>
      </c>
      <c r="BC10" s="263">
        <v>868319.30773548072</v>
      </c>
      <c r="BD10" s="261">
        <v>8683.1930773548065</v>
      </c>
      <c r="BE10" s="262">
        <v>859636.11465812591</v>
      </c>
      <c r="BF10" s="354">
        <v>0.96281697543005018</v>
      </c>
      <c r="BG10" s="31"/>
      <c r="BJ10" s="4">
        <v>0.96281697543005018</v>
      </c>
      <c r="BL10" s="4">
        <v>0.97738445651909611</v>
      </c>
      <c r="BM10" s="4">
        <v>0.95</v>
      </c>
      <c r="BN10" s="4" t="s">
        <v>900</v>
      </c>
      <c r="BO10" s="31" t="s">
        <v>900</v>
      </c>
      <c r="BP10" s="31" t="s">
        <v>900</v>
      </c>
      <c r="BQ10" s="31">
        <v>842108.90245377168</v>
      </c>
      <c r="BR10" s="4">
        <v>0.94318599767729683</v>
      </c>
      <c r="BS10" s="4" t="s">
        <v>1509</v>
      </c>
      <c r="BT10" s="448" t="s">
        <v>900</v>
      </c>
      <c r="BU10" s="367" t="s">
        <v>900</v>
      </c>
      <c r="BV10" s="368">
        <v>859636.11465812591</v>
      </c>
      <c r="BX10" s="449">
        <v>-31288.420341874124</v>
      </c>
      <c r="BY10" s="450">
        <v>-3.5119046689935554E-2</v>
      </c>
      <c r="BZ10" s="368">
        <v>-43.339523457036123</v>
      </c>
      <c r="CB10" s="31">
        <v>73187</v>
      </c>
      <c r="CC10" s="31">
        <v>86028.738761843153</v>
      </c>
      <c r="CD10" s="31" t="e">
        <v>#VALUE!</v>
      </c>
      <c r="CE10" s="31" t="s">
        <v>900</v>
      </c>
      <c r="CF10" s="31" t="e">
        <v>#VALUE!</v>
      </c>
      <c r="CJ10" s="702" t="s">
        <v>1447</v>
      </c>
      <c r="CK10" s="702" t="s">
        <v>1447</v>
      </c>
      <c r="CL10" s="702" t="s">
        <v>1448</v>
      </c>
      <c r="CN10" s="702" t="s">
        <v>1447</v>
      </c>
      <c r="CO10" s="702" t="s">
        <v>1447</v>
      </c>
      <c r="CP10" s="702" t="s">
        <v>1447</v>
      </c>
      <c r="CQ10" s="702" t="s">
        <v>1447</v>
      </c>
      <c r="CS10" s="451">
        <v>0</v>
      </c>
      <c r="CT10" s="452">
        <v>0</v>
      </c>
      <c r="CU10" s="452">
        <v>0.95</v>
      </c>
      <c r="CV10" s="453">
        <v>0.95</v>
      </c>
    </row>
    <row r="11" spans="1:100" outlineLevel="1" x14ac:dyDescent="0.3">
      <c r="A11" s="1">
        <v>10210000</v>
      </c>
      <c r="B11" s="47">
        <v>407130</v>
      </c>
      <c r="C11" s="47">
        <v>4155</v>
      </c>
      <c r="D11" s="47" t="s">
        <v>362</v>
      </c>
      <c r="E11" s="47" t="s">
        <v>103</v>
      </c>
      <c r="F11" s="47" t="s">
        <v>1498</v>
      </c>
      <c r="G11" s="47" t="s">
        <v>1499</v>
      </c>
      <c r="H11" s="47" t="s">
        <v>1500</v>
      </c>
      <c r="I11" s="382">
        <v>440</v>
      </c>
      <c r="J11" s="382">
        <v>0</v>
      </c>
      <c r="K11" s="382">
        <v>0</v>
      </c>
      <c r="L11" s="382">
        <v>2</v>
      </c>
      <c r="M11" s="382">
        <v>0</v>
      </c>
      <c r="N11" s="382">
        <v>440</v>
      </c>
      <c r="O11" s="444">
        <v>1488</v>
      </c>
      <c r="P11" s="445">
        <v>442</v>
      </c>
      <c r="Q11" s="346">
        <v>0.29704301075268819</v>
      </c>
      <c r="R11" s="445">
        <v>1273</v>
      </c>
      <c r="S11" s="447">
        <v>696</v>
      </c>
      <c r="T11" s="445">
        <v>-1.2587653071449456</v>
      </c>
      <c r="U11" s="444">
        <v>1485.8272503006604</v>
      </c>
      <c r="V11" s="445">
        <v>440.74123469285507</v>
      </c>
      <c r="W11" s="229">
        <v>0.2966302001822016</v>
      </c>
      <c r="X11" s="261">
        <v>203855.38661412086</v>
      </c>
      <c r="Y11" s="262">
        <v>48305.42753007108</v>
      </c>
      <c r="Z11" s="262">
        <v>86631.781393338126</v>
      </c>
      <c r="AA11" s="262">
        <v>62904.65596327516</v>
      </c>
      <c r="AB11" s="263">
        <v>401697.25150080526</v>
      </c>
      <c r="AC11" s="262">
        <v>203275.75493224172</v>
      </c>
      <c r="AD11" s="262">
        <v>48168.07841868289</v>
      </c>
      <c r="AE11" s="262">
        <v>86385.457143647058</v>
      </c>
      <c r="AF11" s="263">
        <v>62725.796173795869</v>
      </c>
      <c r="AG11" s="262">
        <v>203275.75493224172</v>
      </c>
      <c r="AH11" s="262">
        <v>48168.07841868289</v>
      </c>
      <c r="AI11" s="262">
        <v>86385.457143647058</v>
      </c>
      <c r="AJ11" s="263">
        <v>62725.796173795869</v>
      </c>
      <c r="AK11" s="262">
        <v>203275.75493224172</v>
      </c>
      <c r="AL11" s="262">
        <v>48168.07841868289</v>
      </c>
      <c r="AM11" s="262">
        <v>86385.457143647058</v>
      </c>
      <c r="AN11" s="262">
        <v>62725.796173795869</v>
      </c>
      <c r="AO11" s="263">
        <v>400555.08666836756</v>
      </c>
      <c r="AP11" s="31"/>
      <c r="AQ11" s="261">
        <v>200188.19260802199</v>
      </c>
      <c r="AR11" s="262">
        <v>46638.610423084283</v>
      </c>
      <c r="AS11" s="262">
        <v>85188.977078868484</v>
      </c>
      <c r="AT11" s="262">
        <v>60205.982272510562</v>
      </c>
      <c r="AU11" s="263">
        <v>392221.76238248532</v>
      </c>
      <c r="AV11" s="31"/>
      <c r="AW11" s="323">
        <v>307074.00425256346</v>
      </c>
      <c r="AX11" s="31"/>
      <c r="AY11" s="747">
        <v>0</v>
      </c>
      <c r="AZ11" s="262">
        <v>37001.070962098427</v>
      </c>
      <c r="BA11" s="262">
        <v>355220.69142038689</v>
      </c>
      <c r="BB11" s="262">
        <v>3476.8570111473623</v>
      </c>
      <c r="BC11" s="263">
        <v>351743.83440923953</v>
      </c>
      <c r="BD11" s="261">
        <v>3517.4383440923953</v>
      </c>
      <c r="BE11" s="262">
        <v>348226.39606514713</v>
      </c>
      <c r="BF11" s="354">
        <v>1.1340145738248051</v>
      </c>
      <c r="BG11" s="31"/>
      <c r="BJ11" s="4">
        <v>1.1340145738248051</v>
      </c>
      <c r="BL11" s="4">
        <v>1.2057023980340096</v>
      </c>
      <c r="BM11" s="4">
        <v>0.9</v>
      </c>
      <c r="BN11" s="4" t="s">
        <v>900</v>
      </c>
      <c r="BO11" s="31" t="s">
        <v>900</v>
      </c>
      <c r="BP11" s="31" t="s">
        <v>900</v>
      </c>
      <c r="BQ11" s="31">
        <v>341126.37102557713</v>
      </c>
      <c r="BR11" s="4">
        <v>1.1108930300234927</v>
      </c>
      <c r="BS11" s="4" t="s">
        <v>900</v>
      </c>
      <c r="BT11" s="448" t="s">
        <v>900</v>
      </c>
      <c r="BU11" s="367" t="s">
        <v>900</v>
      </c>
      <c r="BV11" s="368">
        <v>348226.39606514713</v>
      </c>
      <c r="BX11" s="449">
        <v>-19176.165780883399</v>
      </c>
      <c r="BY11" s="450">
        <v>-5.2198488427050757E-2</v>
      </c>
      <c r="BZ11" s="368">
        <v>-43.508898808269976</v>
      </c>
      <c r="CB11" s="31">
        <v>46511</v>
      </c>
      <c r="CC11" s="31">
        <v>55015.201383972766</v>
      </c>
      <c r="CD11" s="31" t="e">
        <v>#VALUE!</v>
      </c>
      <c r="CE11" s="31" t="s">
        <v>900</v>
      </c>
      <c r="CF11" s="31" t="e">
        <v>#VALUE!</v>
      </c>
      <c r="CJ11" s="702" t="s">
        <v>1447</v>
      </c>
      <c r="CK11" s="702" t="s">
        <v>1447</v>
      </c>
      <c r="CL11" s="702" t="s">
        <v>1448</v>
      </c>
      <c r="CN11" s="702" t="s">
        <v>1447</v>
      </c>
      <c r="CO11" s="702" t="s">
        <v>1447</v>
      </c>
      <c r="CP11" s="702" t="s">
        <v>1447</v>
      </c>
      <c r="CQ11" s="702" t="s">
        <v>1447</v>
      </c>
      <c r="CS11" s="451">
        <v>0</v>
      </c>
      <c r="CT11" s="452">
        <v>0.9</v>
      </c>
      <c r="CU11" s="452">
        <v>0</v>
      </c>
      <c r="CV11" s="453">
        <v>0.9</v>
      </c>
    </row>
    <row r="12" spans="1:100" outlineLevel="1" x14ac:dyDescent="0.3">
      <c r="A12" s="1">
        <v>10220000</v>
      </c>
      <c r="B12" s="47">
        <v>403290</v>
      </c>
      <c r="C12" s="47">
        <v>4157</v>
      </c>
      <c r="D12" s="47" t="s">
        <v>177</v>
      </c>
      <c r="E12" s="47" t="s">
        <v>103</v>
      </c>
      <c r="F12" s="47" t="s">
        <v>1498</v>
      </c>
      <c r="G12" s="47" t="s">
        <v>1502</v>
      </c>
      <c r="H12" s="47" t="s">
        <v>1500</v>
      </c>
      <c r="I12" s="382">
        <v>772</v>
      </c>
      <c r="J12" s="382">
        <v>0</v>
      </c>
      <c r="K12" s="382">
        <v>0</v>
      </c>
      <c r="L12" s="382">
        <v>3</v>
      </c>
      <c r="M12" s="382">
        <v>0</v>
      </c>
      <c r="N12" s="382">
        <v>772</v>
      </c>
      <c r="O12" s="444">
        <v>1625</v>
      </c>
      <c r="P12" s="445">
        <v>775</v>
      </c>
      <c r="Q12" s="346">
        <v>0.47692307692307695</v>
      </c>
      <c r="R12" s="445">
        <v>1446</v>
      </c>
      <c r="S12" s="447">
        <v>1125</v>
      </c>
      <c r="T12" s="445">
        <v>-2.2085609479906774</v>
      </c>
      <c r="U12" s="444">
        <v>1622.6272054694712</v>
      </c>
      <c r="V12" s="445">
        <v>772.79143905200931</v>
      </c>
      <c r="W12" s="229">
        <v>0.47625938752112768</v>
      </c>
      <c r="X12" s="261">
        <v>374306.05538083165</v>
      </c>
      <c r="Y12" s="262">
        <v>96564.890089015331</v>
      </c>
      <c r="Z12" s="262">
        <v>233219.0133535451</v>
      </c>
      <c r="AA12" s="262">
        <v>259575.07496646733</v>
      </c>
      <c r="AB12" s="263">
        <v>963665.03378985939</v>
      </c>
      <c r="AC12" s="262">
        <v>373241.77323444613</v>
      </c>
      <c r="AD12" s="262">
        <v>96290.322560619737</v>
      </c>
      <c r="AE12" s="262">
        <v>232555.8906801561</v>
      </c>
      <c r="AF12" s="263">
        <v>258837.01285402721</v>
      </c>
      <c r="AG12" s="262">
        <v>373241.77323444613</v>
      </c>
      <c r="AH12" s="262">
        <v>96290.322560619737</v>
      </c>
      <c r="AI12" s="262">
        <v>232555.8906801561</v>
      </c>
      <c r="AJ12" s="263">
        <v>258837.01285402721</v>
      </c>
      <c r="AK12" s="262">
        <v>373241.77323444613</v>
      </c>
      <c r="AL12" s="262">
        <v>96290.322560619737</v>
      </c>
      <c r="AM12" s="262">
        <v>232555.8906801561</v>
      </c>
      <c r="AN12" s="262">
        <v>258837.01285402721</v>
      </c>
      <c r="AO12" s="263">
        <v>960924.99932924914</v>
      </c>
      <c r="AP12" s="31"/>
      <c r="AQ12" s="261">
        <v>370832.01060218998</v>
      </c>
      <c r="AR12" s="262">
        <v>95668.642893995915</v>
      </c>
      <c r="AS12" s="262">
        <v>231054.43897924994</v>
      </c>
      <c r="AT12" s="262">
        <v>257165.88221927738</v>
      </c>
      <c r="AU12" s="263">
        <v>954720.97469471325</v>
      </c>
      <c r="AV12" s="31"/>
      <c r="AW12" s="323">
        <v>995067.74477954814</v>
      </c>
      <c r="AX12" s="31"/>
      <c r="AY12" s="747">
        <v>0</v>
      </c>
      <c r="AZ12" s="262">
        <v>0</v>
      </c>
      <c r="BA12" s="262">
        <v>954720.97469471325</v>
      </c>
      <c r="BB12" s="262">
        <v>9344.6930168501076</v>
      </c>
      <c r="BC12" s="263">
        <v>945376.28167786309</v>
      </c>
      <c r="BD12" s="261">
        <v>9453.7628167786315</v>
      </c>
      <c r="BE12" s="262">
        <v>935922.51886108448</v>
      </c>
      <c r="BF12" s="354">
        <v>0.94056160876607753</v>
      </c>
      <c r="BG12" s="31"/>
      <c r="BJ12" s="4">
        <v>0.94056160876607753</v>
      </c>
      <c r="BL12" s="4">
        <v>0.95</v>
      </c>
      <c r="BM12" s="4">
        <v>0.95</v>
      </c>
      <c r="BN12" s="4" t="s">
        <v>1003</v>
      </c>
      <c r="BO12" s="31">
        <v>9391.8386794863036</v>
      </c>
      <c r="BP12" s="31">
        <v>945314.35754057078</v>
      </c>
      <c r="BQ12" s="31">
        <v>945314.35754057078</v>
      </c>
      <c r="BR12" s="4">
        <v>0.95000000000000007</v>
      </c>
      <c r="BS12" s="4" t="s">
        <v>900</v>
      </c>
      <c r="BT12" s="448" t="s">
        <v>900</v>
      </c>
      <c r="BU12" s="367" t="s">
        <v>900</v>
      </c>
      <c r="BV12" s="368">
        <v>935922.51886108448</v>
      </c>
      <c r="BX12" s="449">
        <v>-12321.928638915531</v>
      </c>
      <c r="BY12" s="450">
        <v>-1.2994464319197116E-2</v>
      </c>
      <c r="BZ12" s="368">
        <v>-15.944701268987865</v>
      </c>
      <c r="CB12" s="31">
        <v>128063</v>
      </c>
      <c r="CC12" s="31">
        <v>141974.66314134348</v>
      </c>
      <c r="CD12" s="31" t="e">
        <v>#VALUE!</v>
      </c>
      <c r="CE12" s="31" t="s">
        <v>900</v>
      </c>
      <c r="CF12" s="31" t="e">
        <v>#VALUE!</v>
      </c>
      <c r="CJ12" s="702" t="s">
        <v>1447</v>
      </c>
      <c r="CK12" s="702" t="s">
        <v>1447</v>
      </c>
      <c r="CL12" s="702" t="s">
        <v>1448</v>
      </c>
      <c r="CN12" s="702" t="s">
        <v>1447</v>
      </c>
      <c r="CO12" s="702" t="s">
        <v>1447</v>
      </c>
      <c r="CP12" s="702" t="s">
        <v>1447</v>
      </c>
      <c r="CQ12" s="702" t="s">
        <v>1447</v>
      </c>
      <c r="CS12" s="451">
        <v>0</v>
      </c>
      <c r="CT12" s="452">
        <v>0</v>
      </c>
      <c r="CU12" s="452">
        <v>0.95</v>
      </c>
      <c r="CV12" s="453">
        <v>0.95</v>
      </c>
    </row>
    <row r="13" spans="1:100" outlineLevel="1" x14ac:dyDescent="0.3">
      <c r="A13" s="1">
        <v>10227000</v>
      </c>
      <c r="B13" s="47">
        <v>406870</v>
      </c>
      <c r="C13" s="47">
        <v>4159</v>
      </c>
      <c r="D13" s="47" t="s">
        <v>358</v>
      </c>
      <c r="E13" s="47" t="s">
        <v>103</v>
      </c>
      <c r="F13" s="47" t="s">
        <v>1504</v>
      </c>
      <c r="G13" s="47" t="s">
        <v>1502</v>
      </c>
      <c r="H13" s="47" t="s">
        <v>1500</v>
      </c>
      <c r="I13" s="382">
        <v>1052</v>
      </c>
      <c r="J13" s="382">
        <v>0</v>
      </c>
      <c r="K13" s="382">
        <v>0</v>
      </c>
      <c r="L13" s="382">
        <v>4</v>
      </c>
      <c r="M13" s="382">
        <v>0</v>
      </c>
      <c r="N13" s="382">
        <v>1052</v>
      </c>
      <c r="O13" s="444">
        <v>2075</v>
      </c>
      <c r="P13" s="445">
        <v>1056</v>
      </c>
      <c r="Q13" s="346">
        <v>0.5089156626506024</v>
      </c>
      <c r="R13" s="445">
        <v>700</v>
      </c>
      <c r="S13" s="447">
        <v>590</v>
      </c>
      <c r="T13" s="445">
        <v>-3.009593416173824</v>
      </c>
      <c r="U13" s="444">
        <v>2071.970123907171</v>
      </c>
      <c r="V13" s="445">
        <v>1052.9904065838261</v>
      </c>
      <c r="W13" s="229">
        <v>0.50820733100059046</v>
      </c>
      <c r="X13" s="261">
        <v>501058.46801806474</v>
      </c>
      <c r="Y13" s="262">
        <v>129264.95630188681</v>
      </c>
      <c r="Z13" s="262">
        <v>348976.40663400863</v>
      </c>
      <c r="AA13" s="262">
        <v>405324.32942654716</v>
      </c>
      <c r="AB13" s="263">
        <v>1384624.1603805074</v>
      </c>
      <c r="AC13" s="262">
        <v>499633.78472977446</v>
      </c>
      <c r="AD13" s="262">
        <v>128897.41112550585</v>
      </c>
      <c r="AE13" s="262">
        <v>347984.14547832822</v>
      </c>
      <c r="AF13" s="263">
        <v>404171.85155154869</v>
      </c>
      <c r="AG13" s="262">
        <v>499633.78472977446</v>
      </c>
      <c r="AH13" s="262">
        <v>128897.41112550585</v>
      </c>
      <c r="AI13" s="262">
        <v>347984.14547832822</v>
      </c>
      <c r="AJ13" s="263">
        <v>404171.85155154869</v>
      </c>
      <c r="AK13" s="262">
        <v>499633.78472977446</v>
      </c>
      <c r="AL13" s="262">
        <v>128897.41112550585</v>
      </c>
      <c r="AM13" s="262">
        <v>347984.14547832822</v>
      </c>
      <c r="AN13" s="262">
        <v>404171.85155154869</v>
      </c>
      <c r="AO13" s="263">
        <v>1380687.1928851572</v>
      </c>
      <c r="AP13" s="31"/>
      <c r="AQ13" s="261">
        <v>496407.99675373721</v>
      </c>
      <c r="AR13" s="262">
        <v>128065.21015819961</v>
      </c>
      <c r="AS13" s="262">
        <v>345737.45378804801</v>
      </c>
      <c r="AT13" s="262">
        <v>401562.39490783343</v>
      </c>
      <c r="AU13" s="263">
        <v>1371773.0556078183</v>
      </c>
      <c r="AV13" s="31"/>
      <c r="AW13" s="323">
        <v>1429744.5609482953</v>
      </c>
      <c r="AX13" s="31"/>
      <c r="AY13" s="747">
        <v>0</v>
      </c>
      <c r="AZ13" s="262">
        <v>0</v>
      </c>
      <c r="BA13" s="262">
        <v>1371773.0556078183</v>
      </c>
      <c r="BB13" s="262">
        <v>13426.748163295066</v>
      </c>
      <c r="BC13" s="263">
        <v>1358346.3074445233</v>
      </c>
      <c r="BD13" s="261">
        <v>13583.463074445233</v>
      </c>
      <c r="BE13" s="262">
        <v>1344762.8443700781</v>
      </c>
      <c r="BF13" s="354">
        <v>0.94056160876607775</v>
      </c>
      <c r="BG13" s="31"/>
      <c r="BJ13" s="4">
        <v>0.94056160876607775</v>
      </c>
      <c r="BL13" s="4">
        <v>0.95</v>
      </c>
      <c r="BM13" s="4">
        <v>0.95</v>
      </c>
      <c r="BN13" s="4" t="s">
        <v>1003</v>
      </c>
      <c r="BO13" s="31">
        <v>13494.48853080254</v>
      </c>
      <c r="BP13" s="31">
        <v>1358257.3329008806</v>
      </c>
      <c r="BQ13" s="31">
        <v>1358257.3329008806</v>
      </c>
      <c r="BR13" s="4">
        <v>0.95000000000000007</v>
      </c>
      <c r="BS13" s="4" t="s">
        <v>900</v>
      </c>
      <c r="BT13" s="448" t="s">
        <v>900</v>
      </c>
      <c r="BU13" s="367" t="s">
        <v>900</v>
      </c>
      <c r="BV13" s="368">
        <v>1344762.8443700781</v>
      </c>
      <c r="BX13" s="449">
        <v>-17196.694629922044</v>
      </c>
      <c r="BY13" s="450">
        <v>-1.2626435762216899E-2</v>
      </c>
      <c r="BZ13" s="368">
        <v>-16.33129278519505</v>
      </c>
      <c r="CB13" s="31">
        <v>52545</v>
      </c>
      <c r="CC13" s="31">
        <v>71359.376202272746</v>
      </c>
      <c r="CD13" s="31" t="e">
        <v>#VALUE!</v>
      </c>
      <c r="CE13" s="31" t="s">
        <v>900</v>
      </c>
      <c r="CF13" s="31" t="e">
        <v>#VALUE!</v>
      </c>
      <c r="CJ13" s="702" t="s">
        <v>1447</v>
      </c>
      <c r="CK13" s="702" t="s">
        <v>1447</v>
      </c>
      <c r="CL13" s="702" t="s">
        <v>1448</v>
      </c>
      <c r="CN13" s="702" t="s">
        <v>1447</v>
      </c>
      <c r="CO13" s="702" t="s">
        <v>1447</v>
      </c>
      <c r="CP13" s="702" t="s">
        <v>1447</v>
      </c>
      <c r="CQ13" s="702" t="s">
        <v>1447</v>
      </c>
      <c r="CS13" s="451">
        <v>0</v>
      </c>
      <c r="CT13" s="452">
        <v>0</v>
      </c>
      <c r="CU13" s="452">
        <v>0.95</v>
      </c>
      <c r="CV13" s="453">
        <v>0.95</v>
      </c>
    </row>
    <row r="14" spans="1:100" outlineLevel="1" x14ac:dyDescent="0.3">
      <c r="A14" s="1">
        <v>10208000</v>
      </c>
      <c r="B14" s="47">
        <v>409430</v>
      </c>
      <c r="C14" s="47">
        <v>4154</v>
      </c>
      <c r="D14" s="47" t="s">
        <v>446</v>
      </c>
      <c r="E14" s="47" t="s">
        <v>103</v>
      </c>
      <c r="F14" s="47" t="s">
        <v>1503</v>
      </c>
      <c r="G14" s="47" t="s">
        <v>1502</v>
      </c>
      <c r="H14" s="47" t="s">
        <v>1500</v>
      </c>
      <c r="I14" s="382">
        <v>1112</v>
      </c>
      <c r="J14" s="382">
        <v>14</v>
      </c>
      <c r="K14" s="382">
        <v>0</v>
      </c>
      <c r="L14" s="382">
        <v>5</v>
      </c>
      <c r="M14" s="382">
        <v>0</v>
      </c>
      <c r="N14" s="382">
        <v>1126</v>
      </c>
      <c r="O14" s="444">
        <v>2586</v>
      </c>
      <c r="P14" s="445">
        <v>1131</v>
      </c>
      <c r="Q14" s="346">
        <v>0.43735498839907194</v>
      </c>
      <c r="R14" s="445">
        <v>2036</v>
      </c>
      <c r="S14" s="447">
        <v>1586</v>
      </c>
      <c r="T14" s="445">
        <v>-3.1812432307844989</v>
      </c>
      <c r="U14" s="444">
        <v>2582.2239712886476</v>
      </c>
      <c r="V14" s="445">
        <v>1127.8187567692155</v>
      </c>
      <c r="W14" s="229">
        <v>0.43676256177204587</v>
      </c>
      <c r="X14" s="261">
        <v>521629.95986554452</v>
      </c>
      <c r="Y14" s="262">
        <v>123605.06456224067</v>
      </c>
      <c r="Z14" s="262">
        <v>312205.79705229169</v>
      </c>
      <c r="AA14" s="262">
        <v>272944.68417904701</v>
      </c>
      <c r="AB14" s="263">
        <v>1230385.5056591239</v>
      </c>
      <c r="AC14" s="262">
        <v>520146.7846795597</v>
      </c>
      <c r="AD14" s="262">
        <v>123253.61242427678</v>
      </c>
      <c r="AE14" s="262">
        <v>311318.08751346858</v>
      </c>
      <c r="AF14" s="263">
        <v>272168.60762311995</v>
      </c>
      <c r="AG14" s="262">
        <v>520146.7846795597</v>
      </c>
      <c r="AH14" s="262">
        <v>123253.61242427678</v>
      </c>
      <c r="AI14" s="262">
        <v>311318.08751346858</v>
      </c>
      <c r="AJ14" s="263">
        <v>272168.60762311995</v>
      </c>
      <c r="AK14" s="262">
        <v>520146.7846795597</v>
      </c>
      <c r="AL14" s="262">
        <v>123253.61242427678</v>
      </c>
      <c r="AM14" s="262">
        <v>311318.08751346858</v>
      </c>
      <c r="AN14" s="262">
        <v>272168.60762311995</v>
      </c>
      <c r="AO14" s="263">
        <v>1226887.0922404251</v>
      </c>
      <c r="AP14" s="31"/>
      <c r="AQ14" s="261">
        <v>512246.25755582098</v>
      </c>
      <c r="AR14" s="262">
        <v>119339.97372965681</v>
      </c>
      <c r="AS14" s="262">
        <v>307006.18250270427</v>
      </c>
      <c r="AT14" s="262">
        <v>269580.78652118583</v>
      </c>
      <c r="AU14" s="263">
        <v>1208173.2003093679</v>
      </c>
      <c r="AV14" s="31"/>
      <c r="AW14" s="323">
        <v>1123153.5499914889</v>
      </c>
      <c r="AX14" s="31"/>
      <c r="AY14" s="747">
        <v>0</v>
      </c>
      <c r="AZ14" s="262">
        <v>85019.650317878928</v>
      </c>
      <c r="BA14" s="262">
        <v>1123153.5499914889</v>
      </c>
      <c r="BB14" s="262">
        <v>10993.29061960955</v>
      </c>
      <c r="BC14" s="263">
        <v>1112160.2593718793</v>
      </c>
      <c r="BD14" s="261">
        <v>11121.602593718793</v>
      </c>
      <c r="BE14" s="262">
        <v>1101038.6567781605</v>
      </c>
      <c r="BF14" s="354">
        <v>0.98031000016560865</v>
      </c>
      <c r="BG14" s="31"/>
      <c r="BJ14" s="4">
        <v>0.98031000016560865</v>
      </c>
      <c r="BL14" s="4">
        <v>1.0101861185369148</v>
      </c>
      <c r="BM14" s="4">
        <v>0.95</v>
      </c>
      <c r="BN14" s="4" t="s">
        <v>900</v>
      </c>
      <c r="BO14" s="31" t="s">
        <v>900</v>
      </c>
      <c r="BP14" s="31" t="s">
        <v>900</v>
      </c>
      <c r="BQ14" s="31">
        <v>1078589.4624580466</v>
      </c>
      <c r="BR14" s="4">
        <v>0.96032235527031895</v>
      </c>
      <c r="BS14" s="4" t="s">
        <v>900</v>
      </c>
      <c r="BT14" s="448" t="s">
        <v>900</v>
      </c>
      <c r="BU14" s="367" t="s">
        <v>900</v>
      </c>
      <c r="BV14" s="368">
        <v>1101038.6567781605</v>
      </c>
      <c r="BX14" s="449">
        <v>-24529.399396782275</v>
      </c>
      <c r="BY14" s="450">
        <v>-2.1794830049721048E-2</v>
      </c>
      <c r="BZ14" s="368">
        <v>-21.749416073775855</v>
      </c>
      <c r="CB14" s="31">
        <v>170003</v>
      </c>
      <c r="CC14" s="31">
        <v>190523.63936465976</v>
      </c>
      <c r="CD14" s="31" t="e">
        <v>#VALUE!</v>
      </c>
      <c r="CE14" s="31" t="s">
        <v>900</v>
      </c>
      <c r="CF14" s="31" t="e">
        <v>#VALUE!</v>
      </c>
      <c r="CJ14" s="702" t="s">
        <v>1447</v>
      </c>
      <c r="CK14" s="702" t="s">
        <v>1447</v>
      </c>
      <c r="CL14" s="702" t="s">
        <v>1448</v>
      </c>
      <c r="CN14" s="702" t="s">
        <v>1447</v>
      </c>
      <c r="CO14" s="702" t="s">
        <v>1447</v>
      </c>
      <c r="CP14" s="702" t="s">
        <v>1447</v>
      </c>
      <c r="CQ14" s="702" t="s">
        <v>1447</v>
      </c>
      <c r="CS14" s="451">
        <v>0</v>
      </c>
      <c r="CT14" s="452">
        <v>0</v>
      </c>
      <c r="CU14" s="452">
        <v>0.95</v>
      </c>
      <c r="CV14" s="453">
        <v>0.95</v>
      </c>
    </row>
    <row r="15" spans="1:100" outlineLevel="1" x14ac:dyDescent="0.3">
      <c r="A15" s="1">
        <v>10224000</v>
      </c>
      <c r="B15" s="47">
        <v>401940</v>
      </c>
      <c r="C15" s="47">
        <v>4158</v>
      </c>
      <c r="D15" s="47" t="s">
        <v>102</v>
      </c>
      <c r="E15" s="47" t="s">
        <v>103</v>
      </c>
      <c r="F15" s="47" t="s">
        <v>1504</v>
      </c>
      <c r="G15" s="47" t="s">
        <v>1502</v>
      </c>
      <c r="H15" s="47" t="s">
        <v>1500</v>
      </c>
      <c r="I15" s="382">
        <v>2403</v>
      </c>
      <c r="J15" s="382">
        <v>0</v>
      </c>
      <c r="K15" s="382">
        <v>0</v>
      </c>
      <c r="L15" s="382">
        <v>10</v>
      </c>
      <c r="M15" s="382">
        <v>0</v>
      </c>
      <c r="N15" s="382">
        <v>2403</v>
      </c>
      <c r="O15" s="444">
        <v>4898</v>
      </c>
      <c r="P15" s="445">
        <v>2413</v>
      </c>
      <c r="Q15" s="346">
        <v>0.49265006124948957</v>
      </c>
      <c r="R15" s="445">
        <v>3167</v>
      </c>
      <c r="S15" s="447">
        <v>2494</v>
      </c>
      <c r="T15" s="445">
        <v>-6.8745750751575097</v>
      </c>
      <c r="U15" s="444">
        <v>4890.8480322396736</v>
      </c>
      <c r="V15" s="445">
        <v>2406.1254249248423</v>
      </c>
      <c r="W15" s="229">
        <v>0.49196487174904135</v>
      </c>
      <c r="X15" s="261">
        <v>1324371.2527847923</v>
      </c>
      <c r="Y15" s="262">
        <v>341666.29853769718</v>
      </c>
      <c r="Z15" s="262">
        <v>969285.7045567868</v>
      </c>
      <c r="AA15" s="262">
        <v>1145078.1811552381</v>
      </c>
      <c r="AB15" s="263">
        <v>3780401.4370345147</v>
      </c>
      <c r="AC15" s="262">
        <v>1320605.6052371163</v>
      </c>
      <c r="AD15" s="262">
        <v>340694.82255880785</v>
      </c>
      <c r="AE15" s="262">
        <v>966529.68857660994</v>
      </c>
      <c r="AF15" s="263">
        <v>1141822.3260951878</v>
      </c>
      <c r="AG15" s="262">
        <v>1320605.6052371163</v>
      </c>
      <c r="AH15" s="262">
        <v>340694.82255880785</v>
      </c>
      <c r="AI15" s="262">
        <v>966529.68857660994</v>
      </c>
      <c r="AJ15" s="263">
        <v>1141822.3260951878</v>
      </c>
      <c r="AK15" s="262">
        <v>1320605.6052371163</v>
      </c>
      <c r="AL15" s="262">
        <v>340694.82255880785</v>
      </c>
      <c r="AM15" s="262">
        <v>966529.68857660994</v>
      </c>
      <c r="AN15" s="262">
        <v>1141822.3260951878</v>
      </c>
      <c r="AO15" s="263">
        <v>3769652.4424677221</v>
      </c>
      <c r="AP15" s="31"/>
      <c r="AQ15" s="261">
        <v>1312079.3729993075</v>
      </c>
      <c r="AR15" s="262">
        <v>338495.19295869424</v>
      </c>
      <c r="AS15" s="262">
        <v>960289.47836028133</v>
      </c>
      <c r="AT15" s="262">
        <v>1134450.3731911606</v>
      </c>
      <c r="AU15" s="263">
        <v>3745314.4175094436</v>
      </c>
      <c r="AV15" s="31"/>
      <c r="AW15" s="323">
        <v>3903592.4314045417</v>
      </c>
      <c r="AX15" s="31"/>
      <c r="AY15" s="747">
        <v>0</v>
      </c>
      <c r="AZ15" s="262">
        <v>0</v>
      </c>
      <c r="BA15" s="262">
        <v>3745314.4175094436</v>
      </c>
      <c r="BB15" s="262">
        <v>36658.68291455516</v>
      </c>
      <c r="BC15" s="263">
        <v>3708655.7345948885</v>
      </c>
      <c r="BD15" s="261">
        <v>37086.557345948888</v>
      </c>
      <c r="BE15" s="262">
        <v>3671569.1772489394</v>
      </c>
      <c r="BF15" s="354">
        <v>0.94056160876607742</v>
      </c>
      <c r="BG15" s="31"/>
      <c r="BJ15" s="4">
        <v>0.94056160876607742</v>
      </c>
      <c r="BL15" s="4">
        <v>0.95</v>
      </c>
      <c r="BM15" s="4">
        <v>0.95</v>
      </c>
      <c r="BN15" s="4" t="s">
        <v>1003</v>
      </c>
      <c r="BO15" s="31">
        <v>36843.632585375104</v>
      </c>
      <c r="BP15" s="31">
        <v>3708412.8098343145</v>
      </c>
      <c r="BQ15" s="31">
        <v>3708412.8098343145</v>
      </c>
      <c r="BR15" s="4">
        <v>0.95</v>
      </c>
      <c r="BS15" s="4" t="s">
        <v>900</v>
      </c>
      <c r="BT15" s="448" t="s">
        <v>900</v>
      </c>
      <c r="BU15" s="367" t="s">
        <v>900</v>
      </c>
      <c r="BV15" s="368">
        <v>3671569.1772489394</v>
      </c>
      <c r="BX15" s="449">
        <v>-44940.148751060478</v>
      </c>
      <c r="BY15" s="450">
        <v>-1.2092031745129133E-2</v>
      </c>
      <c r="BZ15" s="368">
        <v>-18.677392410856648</v>
      </c>
      <c r="CB15" s="31">
        <v>261791</v>
      </c>
      <c r="CC15" s="31">
        <v>304941.60984487704</v>
      </c>
      <c r="CD15" s="31" t="e">
        <v>#VALUE!</v>
      </c>
      <c r="CE15" s="31" t="s">
        <v>900</v>
      </c>
      <c r="CF15" s="31" t="e">
        <v>#VALUE!</v>
      </c>
      <c r="CJ15" s="702" t="s">
        <v>1447</v>
      </c>
      <c r="CK15" s="702" t="s">
        <v>1447</v>
      </c>
      <c r="CL15" s="702" t="s">
        <v>1448</v>
      </c>
      <c r="CN15" s="702" t="s">
        <v>1447</v>
      </c>
      <c r="CO15" s="702" t="s">
        <v>1447</v>
      </c>
      <c r="CP15" s="702" t="s">
        <v>1447</v>
      </c>
      <c r="CQ15" s="702" t="s">
        <v>1447</v>
      </c>
      <c r="CS15" s="451">
        <v>0</v>
      </c>
      <c r="CT15" s="452">
        <v>0</v>
      </c>
      <c r="CU15" s="452">
        <v>0.95</v>
      </c>
      <c r="CV15" s="453">
        <v>0.95</v>
      </c>
    </row>
    <row r="16" spans="1:100" outlineLevel="1" x14ac:dyDescent="0.3">
      <c r="A16" s="1">
        <v>10307000</v>
      </c>
      <c r="B16" s="47">
        <v>400630</v>
      </c>
      <c r="C16" s="47">
        <v>4161</v>
      </c>
      <c r="D16" s="47" t="s">
        <v>554</v>
      </c>
      <c r="E16" s="47" t="s">
        <v>103</v>
      </c>
      <c r="F16" s="47" t="s">
        <v>900</v>
      </c>
      <c r="G16" s="47" t="s">
        <v>900</v>
      </c>
      <c r="H16" s="47" t="s">
        <v>900</v>
      </c>
      <c r="I16" s="382">
        <v>17</v>
      </c>
      <c r="J16" s="382">
        <v>0</v>
      </c>
      <c r="K16" s="382">
        <v>0</v>
      </c>
      <c r="L16" s="382">
        <v>0</v>
      </c>
      <c r="M16" s="382">
        <v>0</v>
      </c>
      <c r="N16" s="382">
        <v>17</v>
      </c>
      <c r="O16" s="444">
        <v>48</v>
      </c>
      <c r="P16" s="445">
        <v>17</v>
      </c>
      <c r="Q16" s="346">
        <v>0.35416666666666669</v>
      </c>
      <c r="R16" s="445">
        <v>57</v>
      </c>
      <c r="S16" s="447">
        <v>31</v>
      </c>
      <c r="T16" s="445">
        <v>-4.8634114139691084E-2</v>
      </c>
      <c r="U16" s="444">
        <v>47.929911300021303</v>
      </c>
      <c r="V16" s="445">
        <v>16.951365885860309</v>
      </c>
      <c r="W16" s="229">
        <v>0.35366987807992822</v>
      </c>
      <c r="X16" s="261">
        <v>7840.5917928507988</v>
      </c>
      <c r="Y16" s="262">
        <v>1857.9010588488861</v>
      </c>
      <c r="Z16" s="262">
        <v>3901.8375615933828</v>
      </c>
      <c r="AA16" s="262">
        <v>3083.5140605283541</v>
      </c>
      <c r="AB16" s="263">
        <v>16683.844473821424</v>
      </c>
      <c r="AC16" s="262">
        <v>7818.2982666246789</v>
      </c>
      <c r="AD16" s="262">
        <v>1852.6184007185711</v>
      </c>
      <c r="AE16" s="262">
        <v>3890.7432819385285</v>
      </c>
      <c r="AF16" s="263">
        <v>3074.7465588660843</v>
      </c>
      <c r="AG16" s="262">
        <v>7818.2982666246789</v>
      </c>
      <c r="AH16" s="262">
        <v>1852.6184007185711</v>
      </c>
      <c r="AI16" s="262">
        <v>3890.7432819385285</v>
      </c>
      <c r="AJ16" s="263">
        <v>3074.7465588660843</v>
      </c>
      <c r="AK16" s="262">
        <v>7818.2982666246789</v>
      </c>
      <c r="AL16" s="262">
        <v>1852.6184007185711</v>
      </c>
      <c r="AM16" s="262">
        <v>3890.7432819385285</v>
      </c>
      <c r="AN16" s="262">
        <v>3074.7465588660843</v>
      </c>
      <c r="AO16" s="263">
        <v>16636.406508147862</v>
      </c>
      <c r="AP16" s="31"/>
      <c r="AQ16" s="261">
        <v>7699.5458695393054</v>
      </c>
      <c r="AR16" s="262">
        <v>1793.7927085801632</v>
      </c>
      <c r="AS16" s="262">
        <v>3836.8546191018008</v>
      </c>
      <c r="AT16" s="262">
        <v>2951.2281725789985</v>
      </c>
      <c r="AU16" s="263">
        <v>16281.421369800268</v>
      </c>
      <c r="AV16" s="31"/>
      <c r="AW16" s="323">
        <v>12629.791518461576</v>
      </c>
      <c r="AX16" s="31"/>
      <c r="AY16" s="747">
        <v>0</v>
      </c>
      <c r="AZ16" s="262">
        <v>1535.9423806788418</v>
      </c>
      <c r="BA16" s="262">
        <v>14745.478989121426</v>
      </c>
      <c r="BB16" s="262">
        <v>144.32695854808688</v>
      </c>
      <c r="BC16" s="263">
        <v>14601.152030573339</v>
      </c>
      <c r="BD16" s="261">
        <v>146.0115203057334</v>
      </c>
      <c r="BE16" s="262">
        <v>14455.140510267605</v>
      </c>
      <c r="BF16" s="354">
        <v>1.1445272464820839</v>
      </c>
      <c r="BG16" s="31"/>
      <c r="BJ16" s="4">
        <v>1.1445272464820839</v>
      </c>
      <c r="BL16" s="4">
        <v>1.2175853856403756</v>
      </c>
      <c r="BM16" s="4">
        <v>0.95</v>
      </c>
      <c r="BN16" s="4" t="s">
        <v>900</v>
      </c>
      <c r="BO16" s="31" t="s">
        <v>900</v>
      </c>
      <c r="BP16" s="31" t="s">
        <v>900</v>
      </c>
      <c r="BQ16" s="31">
        <v>14160.413112422091</v>
      </c>
      <c r="BR16" s="4">
        <v>1.1211913586794471</v>
      </c>
      <c r="BS16" s="4" t="s">
        <v>900</v>
      </c>
      <c r="BT16" s="448" t="s">
        <v>900</v>
      </c>
      <c r="BU16" s="367" t="s">
        <v>900</v>
      </c>
      <c r="BV16" s="368">
        <v>14455.140510267605</v>
      </c>
      <c r="BX16" s="449">
        <v>-1439.7737739510012</v>
      </c>
      <c r="BY16" s="450">
        <v>-9.0588777667762535E-2</v>
      </c>
      <c r="BZ16" s="368">
        <v>-84.935561160411496</v>
      </c>
      <c r="CB16" s="31">
        <v>1222</v>
      </c>
      <c r="CC16" s="31">
        <v>1539.7052283679459</v>
      </c>
      <c r="CD16" s="31" t="e">
        <v>#VALUE!</v>
      </c>
      <c r="CE16" s="31" t="s">
        <v>900</v>
      </c>
      <c r="CF16" s="31" t="e">
        <v>#VALUE!</v>
      </c>
      <c r="CJ16" s="702" t="s">
        <v>1447</v>
      </c>
      <c r="CK16" s="702" t="s">
        <v>1447</v>
      </c>
      <c r="CL16" s="702" t="s">
        <v>1448</v>
      </c>
      <c r="CN16" s="702" t="s">
        <v>1447</v>
      </c>
      <c r="CO16" s="702" t="s">
        <v>1447</v>
      </c>
      <c r="CP16" s="702" t="s">
        <v>1447</v>
      </c>
      <c r="CQ16" s="702" t="s">
        <v>1447</v>
      </c>
      <c r="CS16" s="451">
        <v>0</v>
      </c>
      <c r="CT16" s="452">
        <v>0</v>
      </c>
      <c r="CU16" s="452">
        <v>0.95</v>
      </c>
      <c r="CV16" s="453">
        <v>0.95</v>
      </c>
    </row>
    <row r="17" spans="1:100" s="48" customFormat="1" outlineLevel="1" x14ac:dyDescent="0.3">
      <c r="A17" s="202">
        <v>108796000</v>
      </c>
      <c r="D17" s="48" t="s">
        <v>1505</v>
      </c>
      <c r="E17" s="48" t="s">
        <v>103</v>
      </c>
      <c r="F17" s="48" t="s">
        <v>900</v>
      </c>
      <c r="G17" s="48" t="s">
        <v>900</v>
      </c>
      <c r="H17" s="48" t="s">
        <v>900</v>
      </c>
      <c r="I17" s="755">
        <v>0</v>
      </c>
      <c r="J17" s="755">
        <v>0</v>
      </c>
      <c r="K17" s="755">
        <v>0</v>
      </c>
      <c r="L17" s="755">
        <v>0</v>
      </c>
      <c r="M17" s="755">
        <v>0</v>
      </c>
      <c r="N17" s="755">
        <v>0</v>
      </c>
      <c r="O17" s="454">
        <v>0</v>
      </c>
      <c r="P17" s="455">
        <v>0</v>
      </c>
      <c r="Q17" s="347">
        <v>0</v>
      </c>
      <c r="R17" s="455">
        <v>57.062903920723826</v>
      </c>
      <c r="S17" s="457">
        <v>22.840155105557947</v>
      </c>
      <c r="T17" s="455"/>
      <c r="U17" s="454">
        <v>22.840155105557947</v>
      </c>
      <c r="V17" s="455">
        <v>20.472101222566433</v>
      </c>
      <c r="W17" s="230">
        <v>0.8963205866139119</v>
      </c>
      <c r="X17" s="264"/>
      <c r="Y17" s="265"/>
      <c r="Z17" s="265"/>
      <c r="AA17" s="265"/>
      <c r="AB17" s="266"/>
      <c r="AC17" s="265">
        <v>10131.063777905438</v>
      </c>
      <c r="AD17" s="265">
        <v>2544.943940842526</v>
      </c>
      <c r="AE17" s="265">
        <v>6693.5923651380836</v>
      </c>
      <c r="AF17" s="266">
        <v>7238.0582658366175</v>
      </c>
      <c r="AG17" s="265">
        <v>10131.063777905438</v>
      </c>
      <c r="AH17" s="265">
        <v>2544.943940842526</v>
      </c>
      <c r="AI17" s="265">
        <v>6693.5923651380836</v>
      </c>
      <c r="AJ17" s="266">
        <v>7238.0582658366175</v>
      </c>
      <c r="AK17" s="265">
        <v>10131.063777905438</v>
      </c>
      <c r="AL17" s="265">
        <v>2544.943940842526</v>
      </c>
      <c r="AM17" s="265">
        <v>6693.5923651380836</v>
      </c>
      <c r="AN17" s="265">
        <v>7238.0582658366175</v>
      </c>
      <c r="AO17" s="266">
        <v>26607.658349722667</v>
      </c>
      <c r="AP17" s="203"/>
      <c r="AQ17" s="264">
        <v>0</v>
      </c>
      <c r="AR17" s="265">
        <v>0</v>
      </c>
      <c r="AS17" s="265">
        <v>0</v>
      </c>
      <c r="AT17" s="265">
        <v>0</v>
      </c>
      <c r="AU17" s="266">
        <v>0</v>
      </c>
      <c r="AV17" s="203"/>
      <c r="AW17" s="324">
        <v>0</v>
      </c>
      <c r="AX17" s="203"/>
      <c r="AY17" s="377">
        <v>0</v>
      </c>
      <c r="AZ17" s="265">
        <v>0</v>
      </c>
      <c r="BA17" s="265">
        <v>0</v>
      </c>
      <c r="BB17" s="265">
        <v>0</v>
      </c>
      <c r="BC17" s="266">
        <v>0</v>
      </c>
      <c r="BD17" s="264">
        <v>0</v>
      </c>
      <c r="BE17" s="265">
        <v>0</v>
      </c>
      <c r="BF17" s="357" t="s">
        <v>1450</v>
      </c>
      <c r="BG17" s="203"/>
      <c r="BJ17" s="458"/>
      <c r="BK17" s="210"/>
      <c r="BL17" s="458"/>
      <c r="BM17" s="458"/>
      <c r="BN17" s="458"/>
      <c r="BP17" s="203"/>
      <c r="BQ17" s="203">
        <v>0</v>
      </c>
      <c r="BR17" s="458"/>
      <c r="BT17" s="459">
        <v>0</v>
      </c>
      <c r="BU17" s="460"/>
      <c r="BV17" s="461">
        <v>0</v>
      </c>
      <c r="BX17" s="462">
        <v>-25431.013764204945</v>
      </c>
      <c r="BY17" s="463">
        <v>-1.0000882653876049</v>
      </c>
      <c r="BZ17" s="461">
        <v>-1242.2278244781387</v>
      </c>
      <c r="CB17" s="203" t="s">
        <v>900</v>
      </c>
      <c r="CC17" s="203">
        <v>348.04357091911322</v>
      </c>
      <c r="CD17" s="203" t="e">
        <v>#VALUE!</v>
      </c>
      <c r="CE17" s="203" t="s">
        <v>900</v>
      </c>
      <c r="CF17" s="203" t="e">
        <v>#VALUE!</v>
      </c>
      <c r="CH17" s="199"/>
      <c r="CJ17" s="464" t="s">
        <v>1448</v>
      </c>
      <c r="CK17" s="464" t="s">
        <v>1447</v>
      </c>
      <c r="CL17" s="464" t="s">
        <v>1448</v>
      </c>
      <c r="CN17" s="464" t="s">
        <v>1447</v>
      </c>
      <c r="CO17" s="464" t="s">
        <v>1447</v>
      </c>
      <c r="CP17" s="464" t="s">
        <v>1447</v>
      </c>
      <c r="CQ17" s="464" t="s">
        <v>1447</v>
      </c>
      <c r="CS17" s="465">
        <v>0</v>
      </c>
      <c r="CT17" s="466">
        <v>0</v>
      </c>
      <c r="CU17" s="466">
        <v>0.95</v>
      </c>
      <c r="CV17" s="467">
        <v>0.95</v>
      </c>
    </row>
    <row r="18" spans="1:100" s="469" customFormat="1" outlineLevel="1" x14ac:dyDescent="0.3">
      <c r="A18" s="468"/>
      <c r="D18" s="469" t="s">
        <v>878</v>
      </c>
      <c r="E18" s="469" t="s">
        <v>900</v>
      </c>
      <c r="F18" s="469" t="s">
        <v>900</v>
      </c>
      <c r="G18" s="469" t="s">
        <v>900</v>
      </c>
      <c r="H18" s="469" t="s">
        <v>900</v>
      </c>
      <c r="I18" s="469">
        <v>0</v>
      </c>
      <c r="J18" s="469">
        <v>0</v>
      </c>
      <c r="K18" s="469">
        <v>0</v>
      </c>
      <c r="L18" s="469">
        <v>0</v>
      </c>
      <c r="M18" s="469">
        <v>0</v>
      </c>
      <c r="N18" s="469">
        <v>0</v>
      </c>
      <c r="O18" s="470">
        <v>0</v>
      </c>
      <c r="P18" s="471">
        <v>0</v>
      </c>
      <c r="Q18" s="846"/>
      <c r="R18" s="471">
        <v>57.062903920723826</v>
      </c>
      <c r="S18" s="472">
        <v>22.840155105557947</v>
      </c>
      <c r="T18" s="471"/>
      <c r="U18" s="470">
        <v>22.840155105557947</v>
      </c>
      <c r="V18" s="471">
        <v>20.472101222566433</v>
      </c>
      <c r="W18" s="473"/>
      <c r="X18" s="474"/>
      <c r="Y18" s="475"/>
      <c r="Z18" s="475"/>
      <c r="AA18" s="475"/>
      <c r="AB18" s="476"/>
      <c r="AC18" s="475">
        <v>10131.063777905438</v>
      </c>
      <c r="AD18" s="475">
        <v>2544.943940842526</v>
      </c>
      <c r="AE18" s="475">
        <v>6693.5923651380836</v>
      </c>
      <c r="AF18" s="476">
        <v>7238.0582658366175</v>
      </c>
      <c r="AG18" s="475"/>
      <c r="AH18" s="475"/>
      <c r="AI18" s="475"/>
      <c r="AJ18" s="476"/>
      <c r="AK18" s="475"/>
      <c r="AL18" s="475"/>
      <c r="AM18" s="475"/>
      <c r="AN18" s="475"/>
      <c r="AO18" s="476"/>
      <c r="AQ18" s="474"/>
      <c r="AR18" s="475"/>
      <c r="AS18" s="475"/>
      <c r="AT18" s="475"/>
      <c r="AU18" s="476"/>
      <c r="AW18" s="477"/>
      <c r="AY18" s="847"/>
      <c r="AZ18" s="475"/>
      <c r="BA18" s="475"/>
      <c r="BB18" s="475"/>
      <c r="BC18" s="476"/>
      <c r="BD18" s="474"/>
      <c r="BE18" s="475"/>
      <c r="BF18" s="478" t="s">
        <v>1450</v>
      </c>
      <c r="BJ18" s="479"/>
      <c r="BK18" s="480"/>
      <c r="BL18" s="479"/>
      <c r="BM18" s="479"/>
      <c r="BN18" s="479"/>
      <c r="BQ18" s="481"/>
      <c r="BR18" s="479"/>
      <c r="BT18" s="482">
        <v>0</v>
      </c>
      <c r="BU18" s="483"/>
      <c r="BV18" s="484"/>
      <c r="BX18" s="485"/>
      <c r="BY18" s="486" t="s">
        <v>900</v>
      </c>
      <c r="BZ18" s="484">
        <v>0</v>
      </c>
      <c r="CB18" s="481"/>
      <c r="CE18" s="481"/>
      <c r="CH18" s="199"/>
      <c r="CJ18" s="487" t="s">
        <v>1450</v>
      </c>
      <c r="CK18" s="487" t="s">
        <v>1448</v>
      </c>
      <c r="CL18" s="487" t="s">
        <v>1448</v>
      </c>
      <c r="CN18" s="487" t="s">
        <v>1448</v>
      </c>
      <c r="CO18" s="487" t="s">
        <v>1450</v>
      </c>
      <c r="CP18" s="487" t="s">
        <v>1450</v>
      </c>
      <c r="CQ18" s="487" t="s">
        <v>1450</v>
      </c>
      <c r="CS18" s="488">
        <v>0.85</v>
      </c>
      <c r="CT18" s="489">
        <v>0</v>
      </c>
      <c r="CU18" s="489">
        <v>0</v>
      </c>
      <c r="CV18" s="490">
        <v>0.85</v>
      </c>
    </row>
    <row r="19" spans="1:100" s="492" customFormat="1" outlineLevel="1" x14ac:dyDescent="0.3">
      <c r="A19" s="491" t="s">
        <v>880</v>
      </c>
      <c r="B19" s="492">
        <v>0.89632058661391179</v>
      </c>
      <c r="D19" s="492" t="s">
        <v>879</v>
      </c>
      <c r="E19" s="492" t="s">
        <v>900</v>
      </c>
      <c r="F19" s="492" t="s">
        <v>900</v>
      </c>
      <c r="G19" s="492" t="s">
        <v>900</v>
      </c>
      <c r="H19" s="492" t="s">
        <v>900</v>
      </c>
      <c r="I19" s="492">
        <v>7156</v>
      </c>
      <c r="J19" s="492">
        <v>14</v>
      </c>
      <c r="K19" s="492">
        <v>0</v>
      </c>
      <c r="L19" s="492">
        <v>30</v>
      </c>
      <c r="M19" s="492">
        <v>0</v>
      </c>
      <c r="N19" s="492">
        <v>7170</v>
      </c>
      <c r="O19" s="493">
        <v>15642</v>
      </c>
      <c r="P19" s="494">
        <v>7200</v>
      </c>
      <c r="Q19" s="848"/>
      <c r="R19" s="494">
        <v>10597.062903920723</v>
      </c>
      <c r="S19" s="495">
        <v>8032.8401551055576</v>
      </c>
      <c r="T19" s="494"/>
      <c r="U19" s="493">
        <v>15642</v>
      </c>
      <c r="V19" s="494">
        <v>7200</v>
      </c>
      <c r="W19" s="496"/>
      <c r="X19" s="497">
        <v>3563076.3255758635</v>
      </c>
      <c r="Y19" s="498">
        <v>895052.06011135073</v>
      </c>
      <c r="Z19" s="498">
        <v>2354124.0102833225</v>
      </c>
      <c r="AA19" s="498">
        <v>2545611.6569303726</v>
      </c>
      <c r="AB19" s="499">
        <v>9357864.0529009085</v>
      </c>
      <c r="AC19" s="498">
        <v>3563076.325575863</v>
      </c>
      <c r="AD19" s="498">
        <v>895052.06011135085</v>
      </c>
      <c r="AE19" s="498">
        <v>2354124.0102833225</v>
      </c>
      <c r="AF19" s="499">
        <v>2545611.6569303721</v>
      </c>
      <c r="AG19" s="498">
        <v>3563076.325575863</v>
      </c>
      <c r="AH19" s="498">
        <v>895052.06011135085</v>
      </c>
      <c r="AI19" s="498">
        <v>2354124.0102833225</v>
      </c>
      <c r="AJ19" s="499">
        <v>2545611.6569303721</v>
      </c>
      <c r="AK19" s="498">
        <v>3563076.325575863</v>
      </c>
      <c r="AL19" s="498">
        <v>895052.06011135085</v>
      </c>
      <c r="AM19" s="498">
        <v>2354124.0102833225</v>
      </c>
      <c r="AN19" s="498">
        <v>2545611.6569303721</v>
      </c>
      <c r="AO19" s="499">
        <v>9357864.0529009085</v>
      </c>
      <c r="AP19" s="500"/>
      <c r="AQ19" s="497">
        <v>3518134.5327292467</v>
      </c>
      <c r="AR19" s="498">
        <v>880591.76889263326</v>
      </c>
      <c r="AS19" s="498">
        <v>2326356.684367219</v>
      </c>
      <c r="AT19" s="498">
        <v>2514956.8904064307</v>
      </c>
      <c r="AU19" s="499">
        <v>9240039.8763955291</v>
      </c>
      <c r="AV19" s="500"/>
      <c r="AW19" s="501">
        <v>9199456.3984192535</v>
      </c>
      <c r="AX19" s="500"/>
      <c r="AY19" s="849">
        <v>0</v>
      </c>
      <c r="AZ19" s="498">
        <v>179887.37361488136</v>
      </c>
      <c r="BA19" s="498">
        <v>9060152.5027806479</v>
      </c>
      <c r="BB19" s="498">
        <v>88679.672981316966</v>
      </c>
      <c r="BC19" s="499">
        <v>8971472.8297993317</v>
      </c>
      <c r="BD19" s="497">
        <v>89714.728297993337</v>
      </c>
      <c r="BE19" s="498">
        <v>8881758.10150134</v>
      </c>
      <c r="BF19" s="502">
        <v>0.96546553587965223</v>
      </c>
      <c r="BG19" s="500"/>
      <c r="BJ19" s="503"/>
      <c r="BK19" s="504"/>
      <c r="BL19" s="503"/>
      <c r="BM19" s="503"/>
      <c r="BN19" s="503"/>
      <c r="BO19" s="500">
        <v>59729.959795663948</v>
      </c>
      <c r="BP19" s="500">
        <v>6011984.5002757665</v>
      </c>
      <c r="BQ19" s="500">
        <v>8881758.1015013382</v>
      </c>
      <c r="BR19" s="503"/>
      <c r="BT19" s="497">
        <v>0</v>
      </c>
      <c r="BU19" s="498">
        <v>0</v>
      </c>
      <c r="BV19" s="499">
        <v>8881758.10150134</v>
      </c>
      <c r="BX19" s="506"/>
      <c r="BY19" s="507" t="s">
        <v>900</v>
      </c>
      <c r="BZ19" s="505">
        <v>0</v>
      </c>
      <c r="CB19" s="500"/>
      <c r="CE19" s="500"/>
      <c r="CH19" s="395"/>
      <c r="CJ19" s="487" t="s">
        <v>1450</v>
      </c>
      <c r="CK19" s="487" t="s">
        <v>1448</v>
      </c>
      <c r="CL19" s="508" t="s">
        <v>1448</v>
      </c>
      <c r="CN19" s="487" t="s">
        <v>1448</v>
      </c>
      <c r="CO19" s="487" t="s">
        <v>1450</v>
      </c>
      <c r="CP19" s="487" t="s">
        <v>1450</v>
      </c>
      <c r="CQ19" s="487" t="s">
        <v>1450</v>
      </c>
      <c r="CS19" s="488">
        <v>0.85</v>
      </c>
      <c r="CT19" s="489">
        <v>0</v>
      </c>
      <c r="CU19" s="489">
        <v>0</v>
      </c>
      <c r="CV19" s="490">
        <v>0.85</v>
      </c>
    </row>
    <row r="20" spans="1:100" s="469" customFormat="1" outlineLevel="1" x14ac:dyDescent="0.3">
      <c r="A20" s="468"/>
      <c r="E20" s="469" t="s">
        <v>900</v>
      </c>
      <c r="F20" s="469" t="s">
        <v>900</v>
      </c>
      <c r="G20" s="469" t="s">
        <v>900</v>
      </c>
      <c r="H20" s="469" t="s">
        <v>900</v>
      </c>
      <c r="O20" s="470"/>
      <c r="P20" s="471"/>
      <c r="Q20" s="846"/>
      <c r="R20" s="471"/>
      <c r="S20" s="472"/>
      <c r="T20" s="471"/>
      <c r="U20" s="470"/>
      <c r="V20" s="471"/>
      <c r="W20" s="473"/>
      <c r="X20" s="474">
        <v>494.87171188553657</v>
      </c>
      <c r="Y20" s="475">
        <v>124.31278612657648</v>
      </c>
      <c r="Z20" s="475">
        <v>326.96166809490592</v>
      </c>
      <c r="AA20" s="475">
        <v>353.55717457366285</v>
      </c>
      <c r="AB20" s="476" t="s">
        <v>900</v>
      </c>
      <c r="AC20" s="475"/>
      <c r="AD20" s="475"/>
      <c r="AE20" s="475"/>
      <c r="AF20" s="476"/>
      <c r="AG20" s="475">
        <v>0</v>
      </c>
      <c r="AH20" s="475">
        <v>0</v>
      </c>
      <c r="AI20" s="475">
        <v>0</v>
      </c>
      <c r="AJ20" s="476">
        <v>0</v>
      </c>
      <c r="AK20" s="475"/>
      <c r="AL20" s="475"/>
      <c r="AM20" s="475"/>
      <c r="AN20" s="475"/>
      <c r="AO20" s="476"/>
      <c r="AQ20" s="474"/>
      <c r="AR20" s="475"/>
      <c r="AS20" s="475"/>
      <c r="AT20" s="475"/>
      <c r="AU20" s="476"/>
      <c r="AW20" s="477"/>
      <c r="AY20" s="847"/>
      <c r="AZ20" s="475"/>
      <c r="BA20" s="475"/>
      <c r="BB20" s="475"/>
      <c r="BC20" s="476"/>
      <c r="BD20" s="474"/>
      <c r="BE20" s="475"/>
      <c r="BF20" s="478" t="s">
        <v>1450</v>
      </c>
      <c r="BJ20" s="479"/>
      <c r="BK20" s="480"/>
      <c r="BL20" s="479"/>
      <c r="BM20" s="479"/>
      <c r="BN20" s="479"/>
      <c r="BQ20" s="481"/>
      <c r="BR20" s="479"/>
      <c r="BT20" s="482">
        <v>0</v>
      </c>
      <c r="BU20" s="483"/>
      <c r="BV20" s="484"/>
      <c r="BX20" s="485"/>
      <c r="BY20" s="486" t="s">
        <v>900</v>
      </c>
      <c r="BZ20" s="484" t="s">
        <v>900</v>
      </c>
      <c r="CB20" s="481"/>
      <c r="CE20" s="481"/>
      <c r="CH20" s="199"/>
      <c r="CJ20" s="487" t="s">
        <v>1450</v>
      </c>
      <c r="CK20" s="487" t="s">
        <v>1448</v>
      </c>
      <c r="CL20" s="487" t="s">
        <v>1448</v>
      </c>
      <c r="CN20" s="487" t="s">
        <v>1448</v>
      </c>
      <c r="CO20" s="487" t="s">
        <v>1450</v>
      </c>
      <c r="CP20" s="487" t="s">
        <v>1450</v>
      </c>
      <c r="CQ20" s="487" t="s">
        <v>1450</v>
      </c>
      <c r="CS20" s="488">
        <v>0.85</v>
      </c>
      <c r="CT20" s="489">
        <v>0</v>
      </c>
      <c r="CU20" s="489">
        <v>0</v>
      </c>
      <c r="CV20" s="490">
        <v>0.85</v>
      </c>
    </row>
    <row r="21" spans="1:100" s="199" customFormat="1" outlineLevel="1" x14ac:dyDescent="0.3">
      <c r="A21" s="201"/>
      <c r="E21" s="199" t="s">
        <v>900</v>
      </c>
      <c r="F21" s="199" t="s">
        <v>900</v>
      </c>
      <c r="G21" s="199" t="s">
        <v>900</v>
      </c>
      <c r="H21" s="199" t="s">
        <v>900</v>
      </c>
      <c r="O21" s="509" t="s">
        <v>900</v>
      </c>
      <c r="P21" s="510" t="s">
        <v>900</v>
      </c>
      <c r="Q21" s="349" t="s">
        <v>900</v>
      </c>
      <c r="R21" s="510" t="s">
        <v>900</v>
      </c>
      <c r="S21" s="512" t="s">
        <v>900</v>
      </c>
      <c r="T21" s="510"/>
      <c r="U21" s="509"/>
      <c r="V21" s="510"/>
      <c r="W21" s="232"/>
      <c r="X21" s="270" t="s">
        <v>900</v>
      </c>
      <c r="Y21" s="271" t="s">
        <v>900</v>
      </c>
      <c r="Z21" s="271" t="s">
        <v>900</v>
      </c>
      <c r="AA21" s="271" t="s">
        <v>900</v>
      </c>
      <c r="AB21" s="272" t="s">
        <v>900</v>
      </c>
      <c r="AC21" s="271"/>
      <c r="AD21" s="271"/>
      <c r="AE21" s="271"/>
      <c r="AF21" s="272"/>
      <c r="AG21" s="271"/>
      <c r="AH21" s="271"/>
      <c r="AI21" s="271"/>
      <c r="AJ21" s="272"/>
      <c r="AK21" s="271"/>
      <c r="AL21" s="271"/>
      <c r="AM21" s="271"/>
      <c r="AN21" s="271"/>
      <c r="AO21" s="272"/>
      <c r="AQ21" s="270"/>
      <c r="AR21" s="271"/>
      <c r="AS21" s="271"/>
      <c r="AT21" s="271"/>
      <c r="AU21" s="272"/>
      <c r="AW21" s="326"/>
      <c r="AY21" s="378"/>
      <c r="AZ21" s="271"/>
      <c r="BA21" s="271"/>
      <c r="BB21" s="271"/>
      <c r="BC21" s="272"/>
      <c r="BD21" s="270"/>
      <c r="BE21" s="271"/>
      <c r="BF21" s="363" t="s">
        <v>1450</v>
      </c>
      <c r="BJ21" s="513"/>
      <c r="BK21" s="221"/>
      <c r="BL21" s="513"/>
      <c r="BM21" s="513"/>
      <c r="BN21" s="513"/>
      <c r="BQ21" s="200"/>
      <c r="BR21" s="513"/>
      <c r="BT21" s="514">
        <v>0</v>
      </c>
      <c r="BU21" s="515"/>
      <c r="BV21" s="516"/>
      <c r="BX21" s="517"/>
      <c r="BY21" s="518" t="s">
        <v>900</v>
      </c>
      <c r="BZ21" s="516" t="s">
        <v>900</v>
      </c>
      <c r="CB21" s="200"/>
      <c r="CE21" s="200"/>
      <c r="CJ21" s="519" t="s">
        <v>1450</v>
      </c>
      <c r="CK21" s="519" t="s">
        <v>1448</v>
      </c>
      <c r="CL21" s="519" t="s">
        <v>1448</v>
      </c>
      <c r="CN21" s="519" t="s">
        <v>1448</v>
      </c>
      <c r="CO21" s="519" t="s">
        <v>1450</v>
      </c>
      <c r="CP21" s="519" t="s">
        <v>1450</v>
      </c>
      <c r="CQ21" s="519" t="s">
        <v>1450</v>
      </c>
      <c r="CS21" s="520">
        <v>0.85</v>
      </c>
      <c r="CT21" s="521">
        <v>0</v>
      </c>
      <c r="CU21" s="521">
        <v>0</v>
      </c>
      <c r="CV21" s="522">
        <v>0.85</v>
      </c>
    </row>
    <row r="22" spans="1:100" outlineLevel="1" x14ac:dyDescent="0.3">
      <c r="A22" s="1">
        <v>20453000</v>
      </c>
      <c r="B22" s="47">
        <v>400870</v>
      </c>
      <c r="C22" s="47">
        <v>4187</v>
      </c>
      <c r="D22" s="47" t="s">
        <v>53</v>
      </c>
      <c r="E22" s="47" t="s">
        <v>54</v>
      </c>
      <c r="F22" s="47" t="s">
        <v>1504</v>
      </c>
      <c r="G22" s="47" t="s">
        <v>1502</v>
      </c>
      <c r="H22" s="47" t="s">
        <v>1506</v>
      </c>
      <c r="I22" s="382">
        <v>29</v>
      </c>
      <c r="J22" s="382">
        <v>0</v>
      </c>
      <c r="K22" s="382">
        <v>0</v>
      </c>
      <c r="L22" s="382">
        <v>1</v>
      </c>
      <c r="M22" s="382">
        <v>0</v>
      </c>
      <c r="N22" s="382">
        <v>29</v>
      </c>
      <c r="O22" s="444">
        <v>50</v>
      </c>
      <c r="P22" s="445">
        <v>30</v>
      </c>
      <c r="Q22" s="346">
        <v>0.6</v>
      </c>
      <c r="R22" s="445">
        <v>28</v>
      </c>
      <c r="S22" s="447">
        <v>23</v>
      </c>
      <c r="T22" s="445">
        <v>-4.2055963426742498</v>
      </c>
      <c r="U22" s="444">
        <v>44.928561432416323</v>
      </c>
      <c r="V22" s="445">
        <v>25.794403657325752</v>
      </c>
      <c r="W22" s="229">
        <v>0.57412039991814379</v>
      </c>
      <c r="X22" s="261">
        <v>15563.202453904772</v>
      </c>
      <c r="Y22" s="262">
        <v>3764.4861287712929</v>
      </c>
      <c r="Z22" s="262">
        <v>10881.600308557639</v>
      </c>
      <c r="AA22" s="262">
        <v>11993.465931164113</v>
      </c>
      <c r="AB22" s="263">
        <v>42202.754822397823</v>
      </c>
      <c r="AC22" s="262">
        <v>13372.654717277797</v>
      </c>
      <c r="AD22" s="262">
        <v>3234.6281774037948</v>
      </c>
      <c r="AE22" s="262">
        <v>9349.9961931842154</v>
      </c>
      <c r="AF22" s="263">
        <v>10305.364801101859</v>
      </c>
      <c r="AG22" s="262">
        <v>13372.654717277797</v>
      </c>
      <c r="AH22" s="262">
        <v>3234.6281774037948</v>
      </c>
      <c r="AI22" s="262">
        <v>9349.9961931842154</v>
      </c>
      <c r="AJ22" s="263">
        <v>10305.364801101859</v>
      </c>
      <c r="AK22" s="262">
        <v>13372.654717277797</v>
      </c>
      <c r="AL22" s="262">
        <v>3234.6281774037948</v>
      </c>
      <c r="AM22" s="262">
        <v>9349.9961931842154</v>
      </c>
      <c r="AN22" s="262">
        <v>10305.364801101859</v>
      </c>
      <c r="AO22" s="263">
        <v>36262.643888967665</v>
      </c>
      <c r="AP22" s="31"/>
      <c r="AQ22" s="261">
        <v>13281.632297016589</v>
      </c>
      <c r="AR22" s="262">
        <v>3212.611330967763</v>
      </c>
      <c r="AS22" s="262">
        <v>9220.4942559276005</v>
      </c>
      <c r="AT22" s="262">
        <v>10100.246169712804</v>
      </c>
      <c r="AU22" s="263">
        <v>35814.984053624758</v>
      </c>
      <c r="AV22" s="31"/>
      <c r="AW22" s="323">
        <v>35193.988237168611</v>
      </c>
      <c r="AX22" s="31"/>
      <c r="AY22" s="747">
        <v>0</v>
      </c>
      <c r="AZ22" s="262">
        <v>620.99581645614671</v>
      </c>
      <c r="BA22" s="262">
        <v>35193.988237168611</v>
      </c>
      <c r="BB22" s="262">
        <v>344.47448504013215</v>
      </c>
      <c r="BC22" s="263">
        <v>34849.513752128478</v>
      </c>
      <c r="BD22" s="261">
        <v>348.49513752128479</v>
      </c>
      <c r="BE22" s="262">
        <v>34501.018614607194</v>
      </c>
      <c r="BF22" s="354">
        <v>0.98031000016560876</v>
      </c>
      <c r="BG22" s="31"/>
      <c r="BJ22" s="523">
        <v>0.94989999999999997</v>
      </c>
      <c r="BK22" s="524"/>
      <c r="BL22" s="4">
        <v>0.94999999999999984</v>
      </c>
      <c r="BM22" s="4">
        <v>0.95</v>
      </c>
      <c r="BN22" s="4" t="s">
        <v>1003</v>
      </c>
      <c r="BO22" s="31">
        <v>3.6320684929596609</v>
      </c>
      <c r="BP22" s="31">
        <v>34504.650683100153</v>
      </c>
      <c r="BQ22" s="31">
        <v>34504.650683100153</v>
      </c>
      <c r="BR22" s="4">
        <v>0.98041320155524625</v>
      </c>
      <c r="BS22" s="4" t="s">
        <v>900</v>
      </c>
      <c r="BT22" s="448" t="s">
        <v>900</v>
      </c>
      <c r="BU22" s="367" t="s">
        <v>900</v>
      </c>
      <c r="BV22" s="368">
        <v>34501.018614607194</v>
      </c>
      <c r="BX22" s="449">
        <v>-1058.1101617450768</v>
      </c>
      <c r="BY22" s="450">
        <v>-2.975698433805115E-2</v>
      </c>
      <c r="BZ22" s="368">
        <v>-41.020919723591582</v>
      </c>
      <c r="CB22" s="31">
        <v>2764</v>
      </c>
      <c r="CC22" s="31">
        <v>3218.9558135743005</v>
      </c>
      <c r="CD22" s="31" t="e">
        <v>#VALUE!</v>
      </c>
      <c r="CE22" s="31" t="s">
        <v>900</v>
      </c>
      <c r="CF22" s="31" t="e">
        <v>#VALUE!</v>
      </c>
      <c r="CJ22" s="702" t="s">
        <v>1447</v>
      </c>
      <c r="CK22" s="702" t="s">
        <v>1447</v>
      </c>
      <c r="CL22" s="702" t="s">
        <v>1448</v>
      </c>
      <c r="CN22" s="702" t="s">
        <v>1447</v>
      </c>
      <c r="CO22" s="702" t="s">
        <v>1447</v>
      </c>
      <c r="CP22" s="702" t="s">
        <v>1447</v>
      </c>
      <c r="CQ22" s="702" t="s">
        <v>1447</v>
      </c>
      <c r="CS22" s="451">
        <v>0</v>
      </c>
      <c r="CT22" s="452">
        <v>0</v>
      </c>
      <c r="CU22" s="452">
        <v>0.95</v>
      </c>
      <c r="CV22" s="453">
        <v>0.95</v>
      </c>
    </row>
    <row r="23" spans="1:100" outlineLevel="1" x14ac:dyDescent="0.3">
      <c r="A23" s="1">
        <v>20218000</v>
      </c>
      <c r="B23" s="47">
        <v>407430</v>
      </c>
      <c r="C23" s="47">
        <v>4172</v>
      </c>
      <c r="D23" s="47" t="s">
        <v>372</v>
      </c>
      <c r="E23" s="47" t="s">
        <v>54</v>
      </c>
      <c r="F23" s="47" t="s">
        <v>1498</v>
      </c>
      <c r="G23" s="47" t="s">
        <v>1499</v>
      </c>
      <c r="H23" s="47" t="s">
        <v>1507</v>
      </c>
      <c r="I23" s="382">
        <v>20</v>
      </c>
      <c r="J23" s="382">
        <v>0</v>
      </c>
      <c r="K23" s="382">
        <v>0</v>
      </c>
      <c r="L23" s="382">
        <v>1</v>
      </c>
      <c r="M23" s="382">
        <v>0</v>
      </c>
      <c r="N23" s="382">
        <v>20</v>
      </c>
      <c r="O23" s="444">
        <v>83</v>
      </c>
      <c r="P23" s="445">
        <v>21</v>
      </c>
      <c r="Q23" s="346">
        <v>0.25301204819277107</v>
      </c>
      <c r="R23" s="445">
        <v>132</v>
      </c>
      <c r="S23" s="447">
        <v>88</v>
      </c>
      <c r="T23" s="445">
        <v>-2.9003584820995729</v>
      </c>
      <c r="U23" s="444">
        <v>74.581411977811101</v>
      </c>
      <c r="V23" s="445">
        <v>18.099641517900427</v>
      </c>
      <c r="W23" s="229">
        <v>0.2426830095853548</v>
      </c>
      <c r="X23" s="261">
        <v>9685.4369205804051</v>
      </c>
      <c r="Y23" s="262">
        <v>2295.0542491662718</v>
      </c>
      <c r="Z23" s="262">
        <v>3773.5159373630231</v>
      </c>
      <c r="AA23" s="262">
        <v>3114.4066360168649</v>
      </c>
      <c r="AB23" s="263">
        <v>18868.413743126566</v>
      </c>
      <c r="AC23" s="262">
        <v>8322.1948765692377</v>
      </c>
      <c r="AD23" s="262">
        <v>1972.0213832867992</v>
      </c>
      <c r="AE23" s="262">
        <v>3242.387024775855</v>
      </c>
      <c r="AF23" s="263">
        <v>2676.0485006864924</v>
      </c>
      <c r="AG23" s="262">
        <v>8322.1948765692377</v>
      </c>
      <c r="AH23" s="262">
        <v>1972.0213832867992</v>
      </c>
      <c r="AI23" s="262">
        <v>3242.387024775855</v>
      </c>
      <c r="AJ23" s="263">
        <v>2676.0485006864924</v>
      </c>
      <c r="AK23" s="262">
        <v>8322.1948765692377</v>
      </c>
      <c r="AL23" s="262">
        <v>1972.0213832867992</v>
      </c>
      <c r="AM23" s="262">
        <v>3242.387024775855</v>
      </c>
      <c r="AN23" s="262">
        <v>2676.0485006864924</v>
      </c>
      <c r="AO23" s="263">
        <v>16212.651785318385</v>
      </c>
      <c r="AP23" s="31"/>
      <c r="AQ23" s="261">
        <v>8195.7887768143755</v>
      </c>
      <c r="AR23" s="262">
        <v>1909.4043204644759</v>
      </c>
      <c r="AS23" s="262">
        <v>3197.4784074493296</v>
      </c>
      <c r="AT23" s="262">
        <v>2622.7842624391615</v>
      </c>
      <c r="AU23" s="263">
        <v>15925.455767167341</v>
      </c>
      <c r="AV23" s="31"/>
      <c r="AW23" s="323">
        <v>16164.770518038373</v>
      </c>
      <c r="AX23" s="31"/>
      <c r="AY23" s="747">
        <v>0</v>
      </c>
      <c r="AZ23" s="262">
        <v>0</v>
      </c>
      <c r="BA23" s="262">
        <v>15925.455767167341</v>
      </c>
      <c r="BB23" s="262">
        <v>155.87642802672366</v>
      </c>
      <c r="BC23" s="263">
        <v>15769.579339140617</v>
      </c>
      <c r="BD23" s="261">
        <v>157.69579339140617</v>
      </c>
      <c r="BE23" s="262">
        <v>15611.883545749211</v>
      </c>
      <c r="BF23" s="354">
        <v>0.96579679422778131</v>
      </c>
      <c r="BG23" s="31"/>
      <c r="BJ23" s="523">
        <v>0.89990000000000003</v>
      </c>
      <c r="BK23" s="524"/>
      <c r="BL23" s="4">
        <v>0.91757049411051184</v>
      </c>
      <c r="BM23" s="4">
        <v>0.9</v>
      </c>
      <c r="BN23" s="4" t="s">
        <v>1003</v>
      </c>
      <c r="BO23" s="31">
        <v>1.7348464880269603</v>
      </c>
      <c r="BP23" s="31">
        <v>15613.618392237238</v>
      </c>
      <c r="BQ23" s="31">
        <v>15613.618392237238</v>
      </c>
      <c r="BR23" s="4">
        <v>0.96590411690743772</v>
      </c>
      <c r="BS23" s="4" t="s">
        <v>900</v>
      </c>
      <c r="BT23" s="448" t="s">
        <v>900</v>
      </c>
      <c r="BU23" s="367" t="s">
        <v>900</v>
      </c>
      <c r="BV23" s="368">
        <v>15611.883545749211</v>
      </c>
      <c r="BX23" s="449">
        <v>-283.11526640296142</v>
      </c>
      <c r="BY23" s="450">
        <v>-1.7811969044920228E-2</v>
      </c>
      <c r="BZ23" s="368">
        <v>-15.642037226149606</v>
      </c>
      <c r="CB23" s="31">
        <v>5063</v>
      </c>
      <c r="CC23" s="31">
        <v>5426.0340198250069</v>
      </c>
      <c r="CD23" s="31" t="e">
        <v>#VALUE!</v>
      </c>
      <c r="CE23" s="31" t="s">
        <v>900</v>
      </c>
      <c r="CF23" s="31" t="e">
        <v>#VALUE!</v>
      </c>
      <c r="CJ23" s="702" t="s">
        <v>1447</v>
      </c>
      <c r="CK23" s="702" t="s">
        <v>1447</v>
      </c>
      <c r="CL23" s="702" t="s">
        <v>1448</v>
      </c>
      <c r="CN23" s="702" t="s">
        <v>1447</v>
      </c>
      <c r="CO23" s="702" t="s">
        <v>1447</v>
      </c>
      <c r="CP23" s="702" t="s">
        <v>1447</v>
      </c>
      <c r="CQ23" s="702" t="s">
        <v>1447</v>
      </c>
      <c r="CS23" s="451">
        <v>0</v>
      </c>
      <c r="CT23" s="452">
        <v>0.9</v>
      </c>
      <c r="CU23" s="452">
        <v>0</v>
      </c>
      <c r="CV23" s="453">
        <v>0.9</v>
      </c>
    </row>
    <row r="24" spans="1:100" outlineLevel="1" x14ac:dyDescent="0.3">
      <c r="A24" s="1">
        <v>20214000</v>
      </c>
      <c r="B24" s="47">
        <v>401330</v>
      </c>
      <c r="C24" s="47">
        <v>4171</v>
      </c>
      <c r="D24" s="47" t="s">
        <v>76</v>
      </c>
      <c r="E24" s="47" t="s">
        <v>54</v>
      </c>
      <c r="F24" s="47" t="s">
        <v>1498</v>
      </c>
      <c r="G24" s="47" t="s">
        <v>1499</v>
      </c>
      <c r="H24" s="47" t="s">
        <v>1508</v>
      </c>
      <c r="I24" s="382">
        <v>16</v>
      </c>
      <c r="J24" s="382">
        <v>0</v>
      </c>
      <c r="K24" s="382">
        <v>0</v>
      </c>
      <c r="L24" s="382">
        <v>0</v>
      </c>
      <c r="M24" s="382">
        <v>0</v>
      </c>
      <c r="N24" s="382">
        <v>16</v>
      </c>
      <c r="O24" s="444">
        <v>84</v>
      </c>
      <c r="P24" s="445">
        <v>16</v>
      </c>
      <c r="Q24" s="346">
        <v>0.19047619047619047</v>
      </c>
      <c r="R24" s="445">
        <v>35</v>
      </c>
      <c r="S24" s="447">
        <v>29</v>
      </c>
      <c r="T24" s="445">
        <v>-2.3204228632438699</v>
      </c>
      <c r="U24" s="444">
        <v>75.479983206459437</v>
      </c>
      <c r="V24" s="445">
        <v>13.67957713675613</v>
      </c>
      <c r="W24" s="229">
        <v>0.18123450159413201</v>
      </c>
      <c r="X24" s="261">
        <v>14300.7331124637</v>
      </c>
      <c r="Y24" s="262">
        <v>3638.8366803866948</v>
      </c>
      <c r="Z24" s="262">
        <v>6826.189516350647</v>
      </c>
      <c r="AA24" s="262">
        <v>6555.1799768853607</v>
      </c>
      <c r="AB24" s="263">
        <v>31320.939286086403</v>
      </c>
      <c r="AC24" s="262">
        <v>12287.88012514334</v>
      </c>
      <c r="AD24" s="262">
        <v>3126.6641067929886</v>
      </c>
      <c r="AE24" s="262">
        <v>5865.3915032735249</v>
      </c>
      <c r="AF24" s="263">
        <v>5632.527026499436</v>
      </c>
      <c r="AG24" s="262">
        <v>12287.88012514334</v>
      </c>
      <c r="AH24" s="262">
        <v>3126.6641067929886</v>
      </c>
      <c r="AI24" s="262">
        <v>5865.3915032735249</v>
      </c>
      <c r="AJ24" s="263">
        <v>5632.527026499436</v>
      </c>
      <c r="AK24" s="262">
        <v>12287.88012514334</v>
      </c>
      <c r="AL24" s="262">
        <v>3126.6641067929886</v>
      </c>
      <c r="AM24" s="262">
        <v>5865.3915032735249</v>
      </c>
      <c r="AN24" s="262">
        <v>5632.527026499436</v>
      </c>
      <c r="AO24" s="263">
        <v>26912.462761709288</v>
      </c>
      <c r="AP24" s="31"/>
      <c r="AQ24" s="261">
        <v>12184.120676878681</v>
      </c>
      <c r="AR24" s="262">
        <v>3105.3821294772624</v>
      </c>
      <c r="AS24" s="262">
        <v>5825.4680818067545</v>
      </c>
      <c r="AT24" s="262">
        <v>5598.186641778062</v>
      </c>
      <c r="AU24" s="263">
        <v>26713.15752994076</v>
      </c>
      <c r="AV24" s="31"/>
      <c r="AW24" s="323">
        <v>29388.844161010653</v>
      </c>
      <c r="AX24" s="31"/>
      <c r="AY24" s="747">
        <v>0</v>
      </c>
      <c r="AZ24" s="262">
        <v>0</v>
      </c>
      <c r="BA24" s="262">
        <v>26713.15752994076</v>
      </c>
      <c r="BB24" s="262">
        <v>261.4651434759524</v>
      </c>
      <c r="BC24" s="263">
        <v>26451.692386464809</v>
      </c>
      <c r="BD24" s="261">
        <v>264.51692386464811</v>
      </c>
      <c r="BE24" s="262">
        <v>26187.17546260016</v>
      </c>
      <c r="BF24" s="354">
        <v>0.8910583661994419</v>
      </c>
      <c r="BG24" s="31"/>
      <c r="BJ24" s="4">
        <v>0.8910583661994419</v>
      </c>
      <c r="BL24" s="4">
        <v>0.90000000000000013</v>
      </c>
      <c r="BM24" s="4">
        <v>0.9</v>
      </c>
      <c r="BN24" s="4" t="s">
        <v>1003</v>
      </c>
      <c r="BO24" s="31">
        <v>262.78428230942518</v>
      </c>
      <c r="BP24" s="31">
        <v>26449.959744909585</v>
      </c>
      <c r="BQ24" s="31">
        <v>26449.959744909585</v>
      </c>
      <c r="BR24" s="4">
        <v>0.89999999999999991</v>
      </c>
      <c r="BS24" s="4" t="s">
        <v>900</v>
      </c>
      <c r="BT24" s="448" t="s">
        <v>900</v>
      </c>
      <c r="BU24" s="367" t="s">
        <v>900</v>
      </c>
      <c r="BV24" s="368">
        <v>26187.17546260016</v>
      </c>
      <c r="BX24" s="449">
        <v>-699.53253739983847</v>
      </c>
      <c r="BY24" s="450">
        <v>-2.6017783114237653E-2</v>
      </c>
      <c r="BZ24" s="368">
        <v>-51.137000099238463</v>
      </c>
      <c r="CB24" s="31">
        <v>5258</v>
      </c>
      <c r="CC24" s="31">
        <v>5551.8193366129672</v>
      </c>
      <c r="CD24" s="31" t="e">
        <v>#VALUE!</v>
      </c>
      <c r="CE24" s="31" t="s">
        <v>900</v>
      </c>
      <c r="CF24" s="31" t="e">
        <v>#VALUE!</v>
      </c>
      <c r="CJ24" s="702" t="s">
        <v>1447</v>
      </c>
      <c r="CK24" s="702" t="s">
        <v>1447</v>
      </c>
      <c r="CL24" s="702" t="s">
        <v>1448</v>
      </c>
      <c r="CN24" s="702" t="s">
        <v>1447</v>
      </c>
      <c r="CO24" s="702" t="s">
        <v>1447</v>
      </c>
      <c r="CP24" s="702" t="s">
        <v>1447</v>
      </c>
      <c r="CQ24" s="702" t="s">
        <v>1447</v>
      </c>
      <c r="CS24" s="451">
        <v>0</v>
      </c>
      <c r="CT24" s="452">
        <v>0.9</v>
      </c>
      <c r="CU24" s="452">
        <v>0</v>
      </c>
      <c r="CV24" s="453">
        <v>0.9</v>
      </c>
    </row>
    <row r="25" spans="1:100" outlineLevel="1" x14ac:dyDescent="0.3">
      <c r="A25" s="1">
        <v>20345000</v>
      </c>
      <c r="B25" s="47">
        <v>402490</v>
      </c>
      <c r="C25" s="47">
        <v>4179</v>
      </c>
      <c r="D25" s="47" t="s">
        <v>134</v>
      </c>
      <c r="E25" s="47" t="s">
        <v>54</v>
      </c>
      <c r="F25" s="47" t="s">
        <v>1498</v>
      </c>
      <c r="G25" s="47" t="s">
        <v>1502</v>
      </c>
      <c r="H25" s="47" t="s">
        <v>1508</v>
      </c>
      <c r="I25" s="382">
        <v>20</v>
      </c>
      <c r="J25" s="382">
        <v>0</v>
      </c>
      <c r="K25" s="382">
        <v>0</v>
      </c>
      <c r="L25" s="382">
        <v>1</v>
      </c>
      <c r="M25" s="382">
        <v>0</v>
      </c>
      <c r="N25" s="382">
        <v>20</v>
      </c>
      <c r="O25" s="444">
        <v>85</v>
      </c>
      <c r="P25" s="445">
        <v>21</v>
      </c>
      <c r="Q25" s="346">
        <v>0.24705882352941178</v>
      </c>
      <c r="R25" s="445">
        <v>47</v>
      </c>
      <c r="S25" s="447">
        <v>14</v>
      </c>
      <c r="T25" s="445">
        <v>-2.9003584820995729</v>
      </c>
      <c r="U25" s="444">
        <v>76.378554435107745</v>
      </c>
      <c r="V25" s="445">
        <v>18.099641517900427</v>
      </c>
      <c r="W25" s="229">
        <v>0.23697282112452295</v>
      </c>
      <c r="X25" s="261">
        <v>9685.4369205804051</v>
      </c>
      <c r="Y25" s="262">
        <v>2402.2737641386993</v>
      </c>
      <c r="Z25" s="262">
        <v>4504.8553884130806</v>
      </c>
      <c r="AA25" s="262">
        <v>4369.9033405541722</v>
      </c>
      <c r="AB25" s="263">
        <v>20962.469413686355</v>
      </c>
      <c r="AC25" s="262">
        <v>8322.1948765692377</v>
      </c>
      <c r="AD25" s="262">
        <v>2064.1495655762051</v>
      </c>
      <c r="AE25" s="262">
        <v>3870.789179729647</v>
      </c>
      <c r="AF25" s="263">
        <v>3754.8318666540245</v>
      </c>
      <c r="AG25" s="262">
        <v>8322.1948765692377</v>
      </c>
      <c r="AH25" s="262">
        <v>2064.1495655762051</v>
      </c>
      <c r="AI25" s="262">
        <v>3870.789179729647</v>
      </c>
      <c r="AJ25" s="263">
        <v>3754.8318666540245</v>
      </c>
      <c r="AK25" s="262">
        <v>8322.1948765692377</v>
      </c>
      <c r="AL25" s="262">
        <v>2064.1495655762051</v>
      </c>
      <c r="AM25" s="262">
        <v>3870.789179729647</v>
      </c>
      <c r="AN25" s="262">
        <v>3754.8318666540245</v>
      </c>
      <c r="AO25" s="263">
        <v>18011.965488529113</v>
      </c>
      <c r="AP25" s="31"/>
      <c r="AQ25" s="261">
        <v>8195.7887768143755</v>
      </c>
      <c r="AR25" s="262">
        <v>2050.0997083704324</v>
      </c>
      <c r="AS25" s="262">
        <v>3844.442234645911</v>
      </c>
      <c r="AT25" s="262">
        <v>3731.9394117650681</v>
      </c>
      <c r="AU25" s="263">
        <v>17822.270131595789</v>
      </c>
      <c r="AV25" s="31"/>
      <c r="AW25" s="323">
        <v>19547.429803418199</v>
      </c>
      <c r="AX25" s="31"/>
      <c r="AY25" s="747">
        <v>0</v>
      </c>
      <c r="AZ25" s="262">
        <v>0</v>
      </c>
      <c r="BA25" s="262">
        <v>17822.270131595789</v>
      </c>
      <c r="BB25" s="262">
        <v>174.44221679155456</v>
      </c>
      <c r="BC25" s="263">
        <v>17647.827914804235</v>
      </c>
      <c r="BD25" s="261">
        <v>176.47827914804236</v>
      </c>
      <c r="BE25" s="262">
        <v>17471.349635656192</v>
      </c>
      <c r="BF25" s="354">
        <v>0.89379267818631736</v>
      </c>
      <c r="BG25" s="31"/>
      <c r="BJ25" s="4">
        <v>0.89379267818631736</v>
      </c>
      <c r="BL25" s="4">
        <v>0.90616480066137584</v>
      </c>
      <c r="BM25" s="4">
        <v>0.9</v>
      </c>
      <c r="BN25" s="4" t="s">
        <v>1003</v>
      </c>
      <c r="BO25" s="31">
        <v>121.33718742018755</v>
      </c>
      <c r="BP25" s="31">
        <v>17592.686823076379</v>
      </c>
      <c r="BQ25" s="31">
        <v>17592.686823076379</v>
      </c>
      <c r="BR25" s="4">
        <v>0.9</v>
      </c>
      <c r="BS25" s="4" t="s">
        <v>900</v>
      </c>
      <c r="BT25" s="448" t="s">
        <v>900</v>
      </c>
      <c r="BU25" s="367" t="s">
        <v>900</v>
      </c>
      <c r="BV25" s="368">
        <v>17471.349635656192</v>
      </c>
      <c r="BX25" s="449">
        <v>-594.08036434380847</v>
      </c>
      <c r="BY25" s="450">
        <v>-3.2884927972586783E-2</v>
      </c>
      <c r="BZ25" s="368">
        <v>-32.822769652993784</v>
      </c>
      <c r="CB25" s="31">
        <v>2960</v>
      </c>
      <c r="CC25" s="31">
        <v>3324.8620966622775</v>
      </c>
      <c r="CD25" s="31" t="e">
        <v>#VALUE!</v>
      </c>
      <c r="CE25" s="31" t="s">
        <v>900</v>
      </c>
      <c r="CF25" s="31" t="e">
        <v>#VALUE!</v>
      </c>
      <c r="CJ25" s="702" t="s">
        <v>1447</v>
      </c>
      <c r="CK25" s="702" t="s">
        <v>1447</v>
      </c>
      <c r="CL25" s="702" t="s">
        <v>1448</v>
      </c>
      <c r="CN25" s="702" t="s">
        <v>1447</v>
      </c>
      <c r="CO25" s="702" t="s">
        <v>1447</v>
      </c>
      <c r="CP25" s="702" t="s">
        <v>1447</v>
      </c>
      <c r="CQ25" s="702" t="s">
        <v>1447</v>
      </c>
      <c r="CS25" s="451">
        <v>0</v>
      </c>
      <c r="CT25" s="452">
        <v>0.9</v>
      </c>
      <c r="CU25" s="452">
        <v>0</v>
      </c>
      <c r="CV25" s="453">
        <v>0.9</v>
      </c>
    </row>
    <row r="26" spans="1:100" outlineLevel="1" x14ac:dyDescent="0.3">
      <c r="A26" s="1">
        <v>20355000</v>
      </c>
      <c r="B26" s="47">
        <v>404920</v>
      </c>
      <c r="C26" s="47">
        <v>4181</v>
      </c>
      <c r="D26" s="47" t="s">
        <v>281</v>
      </c>
      <c r="E26" s="47" t="s">
        <v>54</v>
      </c>
      <c r="F26" s="47" t="s">
        <v>1498</v>
      </c>
      <c r="G26" s="47" t="s">
        <v>1499</v>
      </c>
      <c r="H26" s="47" t="s">
        <v>1506</v>
      </c>
      <c r="I26" s="382">
        <v>23</v>
      </c>
      <c r="J26" s="382">
        <v>0</v>
      </c>
      <c r="K26" s="382">
        <v>0</v>
      </c>
      <c r="L26" s="382">
        <v>1</v>
      </c>
      <c r="M26" s="382">
        <v>0</v>
      </c>
      <c r="N26" s="382">
        <v>23</v>
      </c>
      <c r="O26" s="444">
        <v>107</v>
      </c>
      <c r="P26" s="445">
        <v>24</v>
      </c>
      <c r="Q26" s="346">
        <v>0.22429906542056074</v>
      </c>
      <c r="R26" s="445">
        <v>40</v>
      </c>
      <c r="S26" s="447">
        <v>23</v>
      </c>
      <c r="T26" s="445">
        <v>-3.3354377689577985</v>
      </c>
      <c r="U26" s="444">
        <v>96.147121465370944</v>
      </c>
      <c r="V26" s="445">
        <v>20.664562231042201</v>
      </c>
      <c r="W26" s="229">
        <v>0.21492647846441146</v>
      </c>
      <c r="X26" s="261">
        <v>11433.277069046464</v>
      </c>
      <c r="Y26" s="262">
        <v>2707.2616715062895</v>
      </c>
      <c r="Z26" s="262">
        <v>4412.4870735928744</v>
      </c>
      <c r="AA26" s="262">
        <v>4270.6784037689749</v>
      </c>
      <c r="AB26" s="263">
        <v>22823.704217914605</v>
      </c>
      <c r="AC26" s="262">
        <v>9824.0234928620157</v>
      </c>
      <c r="AD26" s="262">
        <v>2326.2098960417134</v>
      </c>
      <c r="AE26" s="262">
        <v>3791.4218654146221</v>
      </c>
      <c r="AF26" s="263">
        <v>3669.5730118070105</v>
      </c>
      <c r="AG26" s="262">
        <v>9824.0234928620157</v>
      </c>
      <c r="AH26" s="262">
        <v>2326.2098960417134</v>
      </c>
      <c r="AI26" s="262">
        <v>3791.4218654146221</v>
      </c>
      <c r="AJ26" s="263">
        <v>3669.5730118070105</v>
      </c>
      <c r="AK26" s="262">
        <v>9824.0234928620157</v>
      </c>
      <c r="AL26" s="262">
        <v>2326.2098960417134</v>
      </c>
      <c r="AM26" s="262">
        <v>3791.4218654146221</v>
      </c>
      <c r="AN26" s="262">
        <v>3669.5730118070105</v>
      </c>
      <c r="AO26" s="263">
        <v>19611.228266125363</v>
      </c>
      <c r="AP26" s="31"/>
      <c r="AQ26" s="261">
        <v>9674.8060674050485</v>
      </c>
      <c r="AR26" s="262">
        <v>2257.8064724761416</v>
      </c>
      <c r="AS26" s="262">
        <v>3738.908851892093</v>
      </c>
      <c r="AT26" s="262">
        <v>3647.2003630126469</v>
      </c>
      <c r="AU26" s="263">
        <v>19318.721754785929</v>
      </c>
      <c r="AV26" s="31"/>
      <c r="AW26" s="323">
        <v>21175.916918329625</v>
      </c>
      <c r="AX26" s="31"/>
      <c r="AY26" s="747">
        <v>0</v>
      </c>
      <c r="AZ26" s="262">
        <v>0</v>
      </c>
      <c r="BA26" s="262">
        <v>19318.721754785929</v>
      </c>
      <c r="BB26" s="262">
        <v>189.0893036409353</v>
      </c>
      <c r="BC26" s="263">
        <v>19129.632451144993</v>
      </c>
      <c r="BD26" s="261">
        <v>191.29632451144994</v>
      </c>
      <c r="BE26" s="262">
        <v>18938.336126633541</v>
      </c>
      <c r="BF26" s="354">
        <v>0.8943336999136382</v>
      </c>
      <c r="BG26" s="31"/>
      <c r="BJ26" s="4">
        <v>0.8943336999136382</v>
      </c>
      <c r="BL26" s="4">
        <v>0.9</v>
      </c>
      <c r="BM26" s="4">
        <v>0.9</v>
      </c>
      <c r="BN26" s="4" t="s">
        <v>1003</v>
      </c>
      <c r="BO26" s="31">
        <v>119.98909986311992</v>
      </c>
      <c r="BP26" s="31">
        <v>19058.325226496661</v>
      </c>
      <c r="BQ26" s="31">
        <v>19058.325226496661</v>
      </c>
      <c r="BR26" s="4">
        <v>0.89999999999999991</v>
      </c>
      <c r="BS26" s="4" t="s">
        <v>900</v>
      </c>
      <c r="BT26" s="448">
        <v>-4.717319431764512</v>
      </c>
      <c r="BU26" s="367">
        <v>-893.38181015456269</v>
      </c>
      <c r="BV26" s="368">
        <v>18044.954316478979</v>
      </c>
      <c r="BX26" s="449">
        <v>-774.77765680549419</v>
      </c>
      <c r="BY26" s="450">
        <v>-4.1168368279916462E-2</v>
      </c>
      <c r="BZ26" s="368">
        <v>-37.493059283957493</v>
      </c>
      <c r="CB26" s="31">
        <v>1455</v>
      </c>
      <c r="CC26" s="31">
        <v>1880.665962393681</v>
      </c>
      <c r="CD26" s="31" t="e">
        <v>#VALUE!</v>
      </c>
      <c r="CE26" s="31" t="e">
        <v>#VALUE!</v>
      </c>
      <c r="CF26" s="31" t="e">
        <v>#VALUE!</v>
      </c>
      <c r="CJ26" s="702" t="s">
        <v>1447</v>
      </c>
      <c r="CK26" s="702" t="s">
        <v>1447</v>
      </c>
      <c r="CL26" s="702" t="s">
        <v>1448</v>
      </c>
      <c r="CN26" s="702" t="s">
        <v>1447</v>
      </c>
      <c r="CO26" s="702" t="s">
        <v>1447</v>
      </c>
      <c r="CP26" s="702" t="s">
        <v>1447</v>
      </c>
      <c r="CQ26" s="702" t="s">
        <v>1447</v>
      </c>
      <c r="CS26" s="451">
        <v>0</v>
      </c>
      <c r="CT26" s="452">
        <v>0.9</v>
      </c>
      <c r="CU26" s="452">
        <v>0</v>
      </c>
      <c r="CV26" s="453">
        <v>0.9</v>
      </c>
    </row>
    <row r="27" spans="1:100" outlineLevel="1" x14ac:dyDescent="0.3">
      <c r="A27" s="1">
        <v>20422000</v>
      </c>
      <c r="B27" s="47">
        <v>406150</v>
      </c>
      <c r="C27" s="47">
        <v>4186</v>
      </c>
      <c r="D27" s="47" t="s">
        <v>333</v>
      </c>
      <c r="E27" s="47" t="s">
        <v>54</v>
      </c>
      <c r="F27" s="47" t="s">
        <v>1498</v>
      </c>
      <c r="G27" s="47" t="s">
        <v>1499</v>
      </c>
      <c r="H27" s="47" t="s">
        <v>1510</v>
      </c>
      <c r="I27" s="382">
        <v>37</v>
      </c>
      <c r="J27" s="382">
        <v>0</v>
      </c>
      <c r="K27" s="382">
        <v>0</v>
      </c>
      <c r="L27" s="382">
        <v>1</v>
      </c>
      <c r="M27" s="382">
        <v>0</v>
      </c>
      <c r="N27" s="382">
        <v>37</v>
      </c>
      <c r="O27" s="444">
        <v>118</v>
      </c>
      <c r="P27" s="445">
        <v>38</v>
      </c>
      <c r="Q27" s="346">
        <v>0.32203389830508472</v>
      </c>
      <c r="R27" s="445">
        <v>100</v>
      </c>
      <c r="S27" s="447">
        <v>68</v>
      </c>
      <c r="T27" s="445">
        <v>-5.3658077742961838</v>
      </c>
      <c r="U27" s="444">
        <v>106.03140498050253</v>
      </c>
      <c r="V27" s="445">
        <v>32.634192225703814</v>
      </c>
      <c r="W27" s="229">
        <v>0.30777855138017568</v>
      </c>
      <c r="X27" s="261">
        <v>17526.028713431198</v>
      </c>
      <c r="Y27" s="262">
        <v>4152.9553080151582</v>
      </c>
      <c r="Z27" s="262">
        <v>8118.5539030135724</v>
      </c>
      <c r="AA27" s="262">
        <v>7723.3057040943058</v>
      </c>
      <c r="AB27" s="263">
        <v>37520.843628554234</v>
      </c>
      <c r="AC27" s="262">
        <v>15059.209776649088</v>
      </c>
      <c r="AD27" s="262">
        <v>3568.4196459475411</v>
      </c>
      <c r="AE27" s="262">
        <v>6975.8533611679259</v>
      </c>
      <c r="AF27" s="263">
        <v>6636.2370317249352</v>
      </c>
      <c r="AG27" s="262">
        <v>15059.209776649088</v>
      </c>
      <c r="AH27" s="262">
        <v>3568.4196459475411</v>
      </c>
      <c r="AI27" s="262">
        <v>6975.8533611679259</v>
      </c>
      <c r="AJ27" s="263">
        <v>6636.2370317249352</v>
      </c>
      <c r="AK27" s="262">
        <v>15059.209776649088</v>
      </c>
      <c r="AL27" s="262">
        <v>3568.4196459475411</v>
      </c>
      <c r="AM27" s="262">
        <v>6975.8533611679259</v>
      </c>
      <c r="AN27" s="262">
        <v>6636.2370317249352</v>
      </c>
      <c r="AO27" s="263">
        <v>32239.719815489494</v>
      </c>
      <c r="AP27" s="31"/>
      <c r="AQ27" s="261">
        <v>14830.474929473627</v>
      </c>
      <c r="AR27" s="262">
        <v>3455.1125798880989</v>
      </c>
      <c r="AS27" s="262">
        <v>6892.8274810999783</v>
      </c>
      <c r="AT27" s="262">
        <v>6595.9499405797669</v>
      </c>
      <c r="AU27" s="263">
        <v>31774.364931041469</v>
      </c>
      <c r="AV27" s="31"/>
      <c r="AW27" s="323">
        <v>32044.740824125402</v>
      </c>
      <c r="AX27" s="31"/>
      <c r="AY27" s="747">
        <v>0</v>
      </c>
      <c r="AZ27" s="262">
        <v>0</v>
      </c>
      <c r="BA27" s="262">
        <v>31774.364931041469</v>
      </c>
      <c r="BB27" s="262">
        <v>311.00362719159438</v>
      </c>
      <c r="BC27" s="263">
        <v>31463.361303849873</v>
      </c>
      <c r="BD27" s="261">
        <v>314.63361303849877</v>
      </c>
      <c r="BE27" s="262">
        <v>31148.727690811374</v>
      </c>
      <c r="BF27" s="354">
        <v>0.97203868371937496</v>
      </c>
      <c r="BG27" s="31"/>
      <c r="BJ27" s="523">
        <v>0.94989999999999997</v>
      </c>
      <c r="BK27" s="524"/>
      <c r="BL27" s="4">
        <v>0.98300416751825348</v>
      </c>
      <c r="BM27" s="4">
        <v>0.95</v>
      </c>
      <c r="BN27" s="4" t="s">
        <v>1003</v>
      </c>
      <c r="BO27" s="31">
        <v>3.2791586157291022</v>
      </c>
      <c r="BP27" s="31">
        <v>31152.006849427104</v>
      </c>
      <c r="BQ27" s="31">
        <v>31152.006849427104</v>
      </c>
      <c r="BR27" s="4">
        <v>0.97214101435246469</v>
      </c>
      <c r="BS27" s="4" t="s">
        <v>900</v>
      </c>
      <c r="BT27" s="448" t="s">
        <v>900</v>
      </c>
      <c r="BU27" s="367" t="s">
        <v>900</v>
      </c>
      <c r="BV27" s="368">
        <v>31148.727690811374</v>
      </c>
      <c r="BX27" s="449">
        <v>-459.71241763365106</v>
      </c>
      <c r="BY27" s="450">
        <v>-1.4544282930552731E-2</v>
      </c>
      <c r="BZ27" s="368">
        <v>-14.086833050874958</v>
      </c>
      <c r="CB27" s="31">
        <v>3979</v>
      </c>
      <c r="CC27" s="31">
        <v>4604.6304807653069</v>
      </c>
      <c r="CD27" s="31" t="e">
        <v>#VALUE!</v>
      </c>
      <c r="CE27" s="31" t="s">
        <v>900</v>
      </c>
      <c r="CF27" s="31" t="e">
        <v>#VALUE!</v>
      </c>
      <c r="CJ27" s="702" t="s">
        <v>1447</v>
      </c>
      <c r="CK27" s="702" t="s">
        <v>1447</v>
      </c>
      <c r="CL27" s="702" t="s">
        <v>1448</v>
      </c>
      <c r="CN27" s="702" t="s">
        <v>1447</v>
      </c>
      <c r="CO27" s="702" t="s">
        <v>1447</v>
      </c>
      <c r="CP27" s="702" t="s">
        <v>1447</v>
      </c>
      <c r="CQ27" s="702" t="s">
        <v>1447</v>
      </c>
      <c r="CS27" s="451">
        <v>0</v>
      </c>
      <c r="CT27" s="452">
        <v>0</v>
      </c>
      <c r="CU27" s="452">
        <v>0.95</v>
      </c>
      <c r="CV27" s="453">
        <v>0.95</v>
      </c>
    </row>
    <row r="28" spans="1:100" outlineLevel="1" x14ac:dyDescent="0.3">
      <c r="A28" s="1">
        <v>20412000</v>
      </c>
      <c r="B28" s="47">
        <v>402760</v>
      </c>
      <c r="C28" s="47">
        <v>4185</v>
      </c>
      <c r="D28" s="47" t="s">
        <v>155</v>
      </c>
      <c r="E28" s="47" t="s">
        <v>54</v>
      </c>
      <c r="F28" s="47" t="s">
        <v>1511</v>
      </c>
      <c r="G28" s="47" t="s">
        <v>1502</v>
      </c>
      <c r="H28" s="47" t="s">
        <v>1506</v>
      </c>
      <c r="I28" s="382">
        <v>21</v>
      </c>
      <c r="J28" s="382">
        <v>0</v>
      </c>
      <c r="K28" s="382">
        <v>0</v>
      </c>
      <c r="L28" s="382">
        <v>1</v>
      </c>
      <c r="M28" s="382">
        <v>0</v>
      </c>
      <c r="N28" s="382">
        <v>21</v>
      </c>
      <c r="O28" s="444">
        <v>123</v>
      </c>
      <c r="P28" s="445">
        <v>22</v>
      </c>
      <c r="Q28" s="346">
        <v>0.17886178861788618</v>
      </c>
      <c r="R28" s="445">
        <v>123</v>
      </c>
      <c r="S28" s="447">
        <v>100</v>
      </c>
      <c r="T28" s="445">
        <v>-3.0453849110523143</v>
      </c>
      <c r="U28" s="444">
        <v>110.52426112374417</v>
      </c>
      <c r="V28" s="445">
        <v>18.954615088947687</v>
      </c>
      <c r="W28" s="229">
        <v>0.17149732462563938</v>
      </c>
      <c r="X28" s="261">
        <v>21237.504081667288</v>
      </c>
      <c r="Y28" s="262">
        <v>5393.6623982377732</v>
      </c>
      <c r="Z28" s="262">
        <v>9566.2021522106261</v>
      </c>
      <c r="AA28" s="262">
        <v>8903.8113560753645</v>
      </c>
      <c r="AB28" s="263">
        <v>45101.179988191048</v>
      </c>
      <c r="AC28" s="262">
        <v>18248.288549999495</v>
      </c>
      <c r="AD28" s="262">
        <v>4634.4950614647814</v>
      </c>
      <c r="AE28" s="262">
        <v>8219.7426086361957</v>
      </c>
      <c r="AF28" s="263">
        <v>7650.5844658403867</v>
      </c>
      <c r="AG28" s="262">
        <v>18248.288549999495</v>
      </c>
      <c r="AH28" s="262">
        <v>4634.4950614647814</v>
      </c>
      <c r="AI28" s="262">
        <v>8219.7426086361957</v>
      </c>
      <c r="AJ28" s="263">
        <v>7650.5844658403867</v>
      </c>
      <c r="AK28" s="262">
        <v>18248.288549999495</v>
      </c>
      <c r="AL28" s="262">
        <v>4634.4950614647814</v>
      </c>
      <c r="AM28" s="262">
        <v>8219.7426086361957</v>
      </c>
      <c r="AN28" s="262">
        <v>7650.5844658403867</v>
      </c>
      <c r="AO28" s="263">
        <v>38753.110685940861</v>
      </c>
      <c r="AP28" s="31"/>
      <c r="AQ28" s="261">
        <v>18092.539101244736</v>
      </c>
      <c r="AR28" s="262">
        <v>4602.9498697207591</v>
      </c>
      <c r="AS28" s="262">
        <v>8163.7940418048411</v>
      </c>
      <c r="AT28" s="262">
        <v>7603.9403906918278</v>
      </c>
      <c r="AU28" s="263">
        <v>38463.223403462165</v>
      </c>
      <c r="AV28" s="31"/>
      <c r="AW28" s="323">
        <v>42315.839198998423</v>
      </c>
      <c r="AX28" s="31"/>
      <c r="AY28" s="747">
        <v>0</v>
      </c>
      <c r="AZ28" s="262">
        <v>0</v>
      </c>
      <c r="BA28" s="262">
        <v>38463.223403462165</v>
      </c>
      <c r="BB28" s="262">
        <v>376.4733620300014</v>
      </c>
      <c r="BC28" s="263">
        <v>38086.750041432162</v>
      </c>
      <c r="BD28" s="261">
        <v>380.86750041432163</v>
      </c>
      <c r="BE28" s="262">
        <v>37705.88254101784</v>
      </c>
      <c r="BF28" s="354">
        <v>0.89105836619944201</v>
      </c>
      <c r="BG28" s="31"/>
      <c r="BJ28" s="4">
        <v>0.89105836619944201</v>
      </c>
      <c r="BL28" s="4">
        <v>0.9</v>
      </c>
      <c r="BM28" s="4">
        <v>0.9</v>
      </c>
      <c r="BN28" s="4" t="s">
        <v>1003</v>
      </c>
      <c r="BO28" s="31">
        <v>378.37273808073951</v>
      </c>
      <c r="BP28" s="31">
        <v>38084.255279098579</v>
      </c>
      <c r="BQ28" s="31">
        <v>38084.255279098579</v>
      </c>
      <c r="BR28" s="4">
        <v>0.89999999999999991</v>
      </c>
      <c r="BS28" s="4" t="s">
        <v>900</v>
      </c>
      <c r="BT28" s="448" t="s">
        <v>900</v>
      </c>
      <c r="BU28" s="367" t="s">
        <v>900</v>
      </c>
      <c r="BV28" s="368">
        <v>37705.88254101784</v>
      </c>
      <c r="BW28" s="31"/>
      <c r="BX28" s="449">
        <v>-753.37645898216579</v>
      </c>
      <c r="BY28" s="450">
        <v>-1.9588948892181355E-2</v>
      </c>
      <c r="BZ28" s="368">
        <v>-39.746333831988743</v>
      </c>
      <c r="CA28" s="31"/>
      <c r="CB28" s="31">
        <v>9189</v>
      </c>
      <c r="CC28" s="31">
        <v>9602.1605634109019</v>
      </c>
      <c r="CD28" s="31" t="e">
        <v>#VALUE!</v>
      </c>
      <c r="CE28" s="31" t="s">
        <v>900</v>
      </c>
      <c r="CF28" s="31" t="e">
        <v>#VALUE!</v>
      </c>
      <c r="CJ28" s="702" t="s">
        <v>1447</v>
      </c>
      <c r="CK28" s="702" t="s">
        <v>1447</v>
      </c>
      <c r="CL28" s="702" t="s">
        <v>1448</v>
      </c>
      <c r="CN28" s="702" t="s">
        <v>1447</v>
      </c>
      <c r="CO28" s="702" t="s">
        <v>1447</v>
      </c>
      <c r="CP28" s="702" t="s">
        <v>1447</v>
      </c>
      <c r="CQ28" s="702" t="s">
        <v>1447</v>
      </c>
      <c r="CS28" s="451">
        <v>0</v>
      </c>
      <c r="CT28" s="452">
        <v>0.9</v>
      </c>
      <c r="CU28" s="452">
        <v>0</v>
      </c>
      <c r="CV28" s="453">
        <v>0.9</v>
      </c>
    </row>
    <row r="29" spans="1:100" outlineLevel="1" x14ac:dyDescent="0.3">
      <c r="A29" s="1">
        <v>20364000</v>
      </c>
      <c r="B29" s="47">
        <v>406630</v>
      </c>
      <c r="C29" s="47">
        <v>4188</v>
      </c>
      <c r="D29" s="47" t="s">
        <v>349</v>
      </c>
      <c r="E29" s="47" t="s">
        <v>54</v>
      </c>
      <c r="F29" s="47" t="s">
        <v>1498</v>
      </c>
      <c r="G29" s="47" t="s">
        <v>1499</v>
      </c>
      <c r="H29" s="47" t="s">
        <v>1510</v>
      </c>
      <c r="I29" s="382">
        <v>27</v>
      </c>
      <c r="J29" s="382">
        <v>0</v>
      </c>
      <c r="K29" s="382">
        <v>0</v>
      </c>
      <c r="L29" s="382">
        <v>1</v>
      </c>
      <c r="M29" s="382">
        <v>0</v>
      </c>
      <c r="N29" s="382">
        <v>27</v>
      </c>
      <c r="O29" s="444">
        <v>167</v>
      </c>
      <c r="P29" s="445">
        <v>28</v>
      </c>
      <c r="Q29" s="346">
        <v>0.16766467065868262</v>
      </c>
      <c r="R29" s="445">
        <v>85</v>
      </c>
      <c r="S29" s="447">
        <v>47</v>
      </c>
      <c r="T29" s="445">
        <v>-3.915543484768766</v>
      </c>
      <c r="U29" s="444">
        <v>150.06139518427054</v>
      </c>
      <c r="V29" s="445">
        <v>24.084456515231235</v>
      </c>
      <c r="W29" s="229">
        <v>0.16049735167166945</v>
      </c>
      <c r="X29" s="261">
        <v>13364.694807291989</v>
      </c>
      <c r="Y29" s="262">
        <v>3406.37054735724</v>
      </c>
      <c r="Z29" s="262">
        <v>5129.6405148524427</v>
      </c>
      <c r="AA29" s="262">
        <v>4486.5013306661895</v>
      </c>
      <c r="AB29" s="263">
        <v>26387.207200167861</v>
      </c>
      <c r="AC29" s="262">
        <v>11483.590834794448</v>
      </c>
      <c r="AD29" s="262">
        <v>2926.9179851531135</v>
      </c>
      <c r="AE29" s="262">
        <v>4407.6347160587129</v>
      </c>
      <c r="AF29" s="263">
        <v>3855.018487442047</v>
      </c>
      <c r="AG29" s="262">
        <v>11483.590834794448</v>
      </c>
      <c r="AH29" s="262">
        <v>2926.9179851531135</v>
      </c>
      <c r="AI29" s="262">
        <v>4407.6347160587129</v>
      </c>
      <c r="AJ29" s="263">
        <v>3855.018487442047</v>
      </c>
      <c r="AK29" s="262">
        <v>11483.590834794448</v>
      </c>
      <c r="AL29" s="262">
        <v>2926.9179851531135</v>
      </c>
      <c r="AM29" s="262">
        <v>4407.6347160587129</v>
      </c>
      <c r="AN29" s="262">
        <v>3855.018487442047</v>
      </c>
      <c r="AO29" s="263">
        <v>22673.162023448323</v>
      </c>
      <c r="AP29" s="31"/>
      <c r="AQ29" s="261">
        <v>11405.426532105776</v>
      </c>
      <c r="AR29" s="262">
        <v>2906.9956014120248</v>
      </c>
      <c r="AS29" s="262">
        <v>4377.6336737851389</v>
      </c>
      <c r="AT29" s="262">
        <v>3831.5152148711481</v>
      </c>
      <c r="AU29" s="263">
        <v>22521.571022174088</v>
      </c>
      <c r="AV29" s="31"/>
      <c r="AW29" s="323">
        <v>24777.413163904457</v>
      </c>
      <c r="AX29" s="31"/>
      <c r="AY29" s="747">
        <v>0</v>
      </c>
      <c r="AZ29" s="262">
        <v>0</v>
      </c>
      <c r="BA29" s="262">
        <v>22521.571022174088</v>
      </c>
      <c r="BB29" s="262">
        <v>220.43840351019929</v>
      </c>
      <c r="BC29" s="263">
        <v>22301.132618663891</v>
      </c>
      <c r="BD29" s="261">
        <v>223.01132618663891</v>
      </c>
      <c r="BE29" s="262">
        <v>22078.121292477252</v>
      </c>
      <c r="BF29" s="354">
        <v>0.89105836619944201</v>
      </c>
      <c r="BG29" s="31"/>
      <c r="BJ29" s="4">
        <v>0.89105836619944201</v>
      </c>
      <c r="BL29" s="4">
        <v>0.9</v>
      </c>
      <c r="BM29" s="4">
        <v>0.9</v>
      </c>
      <c r="BN29" s="4" t="s">
        <v>1003</v>
      </c>
      <c r="BO29" s="31">
        <v>221.55055503675612</v>
      </c>
      <c r="BP29" s="31">
        <v>22299.671847514008</v>
      </c>
      <c r="BQ29" s="31">
        <v>22299.671847514008</v>
      </c>
      <c r="BR29" s="4">
        <v>0.8999999999999998</v>
      </c>
      <c r="BS29" s="4" t="s">
        <v>900</v>
      </c>
      <c r="BT29" s="448" t="s">
        <v>900</v>
      </c>
      <c r="BU29" s="367" t="s">
        <v>900</v>
      </c>
      <c r="BV29" s="368">
        <v>22078.121292477252</v>
      </c>
      <c r="BX29" s="449">
        <v>-665.26570752274711</v>
      </c>
      <c r="BY29" s="450">
        <v>-2.9250951387440539E-2</v>
      </c>
      <c r="BZ29" s="368">
        <v>-27.622201360534206</v>
      </c>
      <c r="CB29" s="31">
        <v>2078</v>
      </c>
      <c r="CC29" s="31">
        <v>2612.7682948737079</v>
      </c>
      <c r="CD29" s="31" t="e">
        <v>#VALUE!</v>
      </c>
      <c r="CE29" s="31" t="s">
        <v>900</v>
      </c>
      <c r="CF29" s="31" t="e">
        <v>#VALUE!</v>
      </c>
      <c r="CJ29" s="702" t="s">
        <v>1447</v>
      </c>
      <c r="CK29" s="702" t="s">
        <v>1447</v>
      </c>
      <c r="CL29" s="702" t="s">
        <v>1448</v>
      </c>
      <c r="CN29" s="702" t="s">
        <v>1447</v>
      </c>
      <c r="CO29" s="702" t="s">
        <v>1447</v>
      </c>
      <c r="CP29" s="702" t="s">
        <v>1447</v>
      </c>
      <c r="CQ29" s="702" t="s">
        <v>1447</v>
      </c>
      <c r="CS29" s="451">
        <v>0</v>
      </c>
      <c r="CT29" s="452">
        <v>0.9</v>
      </c>
      <c r="CU29" s="452">
        <v>0</v>
      </c>
      <c r="CV29" s="453">
        <v>0.9</v>
      </c>
    </row>
    <row r="30" spans="1:100" outlineLevel="1" x14ac:dyDescent="0.3">
      <c r="A30" s="1">
        <v>20522000</v>
      </c>
      <c r="B30" s="47">
        <v>408910</v>
      </c>
      <c r="C30" s="47">
        <v>4190</v>
      </c>
      <c r="D30" s="47" t="s">
        <v>428</v>
      </c>
      <c r="E30" s="47" t="s">
        <v>54</v>
      </c>
      <c r="F30" s="47" t="s">
        <v>1498</v>
      </c>
      <c r="G30" s="47" t="s">
        <v>1502</v>
      </c>
      <c r="H30" s="47" t="s">
        <v>1506</v>
      </c>
      <c r="I30" s="382">
        <v>68</v>
      </c>
      <c r="J30" s="382">
        <v>0</v>
      </c>
      <c r="K30" s="382">
        <v>0</v>
      </c>
      <c r="L30" s="382">
        <v>2</v>
      </c>
      <c r="M30" s="382">
        <v>0</v>
      </c>
      <c r="N30" s="382">
        <v>68</v>
      </c>
      <c r="O30" s="444">
        <v>179</v>
      </c>
      <c r="P30" s="445">
        <v>70</v>
      </c>
      <c r="Q30" s="346">
        <v>0.39106145251396646</v>
      </c>
      <c r="R30" s="445">
        <v>99</v>
      </c>
      <c r="S30" s="447">
        <v>80</v>
      </c>
      <c r="T30" s="445">
        <v>-9.8614569748759191</v>
      </c>
      <c r="U30" s="444">
        <v>160.84424992805046</v>
      </c>
      <c r="V30" s="445">
        <v>60.138543025124079</v>
      </c>
      <c r="W30" s="229">
        <v>0.37389302416483966</v>
      </c>
      <c r="X30" s="261">
        <v>32284.789735268001</v>
      </c>
      <c r="Y30" s="262">
        <v>7650.1808305542372</v>
      </c>
      <c r="Z30" s="262">
        <v>17414.744469251928</v>
      </c>
      <c r="AA30" s="262">
        <v>14311.899150070425</v>
      </c>
      <c r="AB30" s="263">
        <v>71661.614185144586</v>
      </c>
      <c r="AC30" s="262">
        <v>27740.649588564112</v>
      </c>
      <c r="AD30" s="262">
        <v>6573.4046109559958</v>
      </c>
      <c r="AE30" s="262">
        <v>14963.588982838157</v>
      </c>
      <c r="AF30" s="263">
        <v>12297.474523591674</v>
      </c>
      <c r="AG30" s="262">
        <v>27740.649588564112</v>
      </c>
      <c r="AH30" s="262">
        <v>6573.4046109559958</v>
      </c>
      <c r="AI30" s="262">
        <v>14963.588982838157</v>
      </c>
      <c r="AJ30" s="263">
        <v>12297.474523591674</v>
      </c>
      <c r="AK30" s="262">
        <v>27740.649588564112</v>
      </c>
      <c r="AL30" s="262">
        <v>6573.4046109559958</v>
      </c>
      <c r="AM30" s="262">
        <v>14963.588982838157</v>
      </c>
      <c r="AN30" s="262">
        <v>12297.474523591674</v>
      </c>
      <c r="AO30" s="263">
        <v>61575.117705949931</v>
      </c>
      <c r="AP30" s="31"/>
      <c r="AQ30" s="261">
        <v>27319.295922714577</v>
      </c>
      <c r="AR30" s="262">
        <v>6364.681068214918</v>
      </c>
      <c r="AS30" s="262">
        <v>14756.336089729832</v>
      </c>
      <c r="AT30" s="262">
        <v>11803.461706769216</v>
      </c>
      <c r="AU30" s="263">
        <v>60243.774787428541</v>
      </c>
      <c r="AV30" s="31"/>
      <c r="AW30" s="323">
        <v>51670.056939079826</v>
      </c>
      <c r="AX30" s="31"/>
      <c r="AY30" s="747">
        <v>0</v>
      </c>
      <c r="AZ30" s="262">
        <v>5683.2241342094931</v>
      </c>
      <c r="BA30" s="262">
        <v>54560.550653219048</v>
      </c>
      <c r="BB30" s="262">
        <v>534.03204726665354</v>
      </c>
      <c r="BC30" s="263">
        <v>54026.518605952399</v>
      </c>
      <c r="BD30" s="261">
        <v>540.26518605952401</v>
      </c>
      <c r="BE30" s="262">
        <v>53486.253419892877</v>
      </c>
      <c r="BF30" s="354">
        <v>1.035149883479989</v>
      </c>
      <c r="BG30" s="31"/>
      <c r="BJ30" s="4">
        <v>1.035149883479989</v>
      </c>
      <c r="BL30" s="4">
        <v>1.0953825057019981</v>
      </c>
      <c r="BM30" s="4">
        <v>0.95</v>
      </c>
      <c r="BN30" s="4" t="s">
        <v>900</v>
      </c>
      <c r="BO30" s="31" t="s">
        <v>900</v>
      </c>
      <c r="BP30" s="31" t="s">
        <v>900</v>
      </c>
      <c r="BQ30" s="31">
        <v>51002.573539720936</v>
      </c>
      <c r="BR30" s="4">
        <v>0.98708181413181195</v>
      </c>
      <c r="BS30" s="4" t="s">
        <v>900</v>
      </c>
      <c r="BT30" s="448" t="s">
        <v>900</v>
      </c>
      <c r="BU30" s="367" t="s">
        <v>900</v>
      </c>
      <c r="BV30" s="368">
        <v>53486.253419892877</v>
      </c>
      <c r="BX30" s="449">
        <v>-2597.3187479304761</v>
      </c>
      <c r="BY30" s="450">
        <v>-4.6313450078082054E-2</v>
      </c>
      <c r="BZ30" s="368">
        <v>-43.188920404097487</v>
      </c>
      <c r="CB30" s="31" t="s">
        <v>900</v>
      </c>
      <c r="CC30" s="31">
        <v>1117.7707306255459</v>
      </c>
      <c r="CD30" s="31" t="e">
        <v>#VALUE!</v>
      </c>
      <c r="CE30" s="31" t="s">
        <v>900</v>
      </c>
      <c r="CF30" s="31" t="e">
        <v>#VALUE!</v>
      </c>
      <c r="CJ30" s="702" t="s">
        <v>1447</v>
      </c>
      <c r="CK30" s="702" t="s">
        <v>1447</v>
      </c>
      <c r="CL30" s="702" t="s">
        <v>1448</v>
      </c>
      <c r="CN30" s="702" t="s">
        <v>1447</v>
      </c>
      <c r="CO30" s="702" t="s">
        <v>1447</v>
      </c>
      <c r="CP30" s="702" t="s">
        <v>1447</v>
      </c>
      <c r="CQ30" s="702" t="s">
        <v>1447</v>
      </c>
      <c r="CS30" s="451">
        <v>0</v>
      </c>
      <c r="CT30" s="452">
        <v>0</v>
      </c>
      <c r="CU30" s="452">
        <v>0.95</v>
      </c>
      <c r="CV30" s="453">
        <v>0.95</v>
      </c>
    </row>
    <row r="31" spans="1:100" outlineLevel="1" x14ac:dyDescent="0.3">
      <c r="A31" s="1">
        <v>20323000</v>
      </c>
      <c r="B31" s="47">
        <v>405430</v>
      </c>
      <c r="C31" s="47">
        <v>4176</v>
      </c>
      <c r="D31" s="47" t="s">
        <v>300</v>
      </c>
      <c r="E31" s="47" t="s">
        <v>54</v>
      </c>
      <c r="F31" s="47" t="s">
        <v>1498</v>
      </c>
      <c r="G31" s="47" t="s">
        <v>1502</v>
      </c>
      <c r="H31" s="47" t="s">
        <v>1506</v>
      </c>
      <c r="I31" s="382">
        <v>117</v>
      </c>
      <c r="J31" s="382">
        <v>0</v>
      </c>
      <c r="K31" s="382">
        <v>0</v>
      </c>
      <c r="L31" s="382">
        <v>3</v>
      </c>
      <c r="M31" s="382">
        <v>0</v>
      </c>
      <c r="N31" s="382">
        <v>117</v>
      </c>
      <c r="O31" s="444">
        <v>382</v>
      </c>
      <c r="P31" s="445">
        <v>120</v>
      </c>
      <c r="Q31" s="346">
        <v>0.31413612565445026</v>
      </c>
      <c r="R31" s="445">
        <v>309</v>
      </c>
      <c r="S31" s="447">
        <v>309</v>
      </c>
      <c r="T31" s="445">
        <v>-16.967581896605008</v>
      </c>
      <c r="U31" s="444">
        <v>343.25420934366076</v>
      </c>
      <c r="V31" s="445">
        <v>103.03241810339499</v>
      </c>
      <c r="W31" s="229">
        <v>0.30016359682931243</v>
      </c>
      <c r="X31" s="261">
        <v>55601.115270303329</v>
      </c>
      <c r="Y31" s="262">
        <v>13165.671342979995</v>
      </c>
      <c r="Z31" s="262">
        <v>26353.509299186881</v>
      </c>
      <c r="AA31" s="262">
        <v>23743.413488209146</v>
      </c>
      <c r="AB31" s="263">
        <v>118863.70940067935</v>
      </c>
      <c r="AC31" s="262">
        <v>47775.161867073009</v>
      </c>
      <c r="AD31" s="262">
        <v>11312.580268250476</v>
      </c>
      <c r="AE31" s="262">
        <v>22644.207160472637</v>
      </c>
      <c r="AF31" s="263">
        <v>20401.486861575468</v>
      </c>
      <c r="AG31" s="262">
        <v>47775.161867073009</v>
      </c>
      <c r="AH31" s="262">
        <v>11312.580268250476</v>
      </c>
      <c r="AI31" s="262">
        <v>22644.207160472637</v>
      </c>
      <c r="AJ31" s="263">
        <v>20401.486861575468</v>
      </c>
      <c r="AK31" s="262">
        <v>47775.161867073009</v>
      </c>
      <c r="AL31" s="262">
        <v>11312.580268250476</v>
      </c>
      <c r="AM31" s="262">
        <v>22644.207160472637</v>
      </c>
      <c r="AN31" s="262">
        <v>20401.486861575468</v>
      </c>
      <c r="AO31" s="263">
        <v>102133.43615737159</v>
      </c>
      <c r="AP31" s="31"/>
      <c r="AQ31" s="261">
        <v>47049.503315892413</v>
      </c>
      <c r="AR31" s="262">
        <v>10979.927904839336</v>
      </c>
      <c r="AS31" s="262">
        <v>22330.57401727853</v>
      </c>
      <c r="AT31" s="262">
        <v>20277.103098405139</v>
      </c>
      <c r="AU31" s="263">
        <v>100637.10833641543</v>
      </c>
      <c r="AV31" s="31"/>
      <c r="AW31" s="323">
        <v>100810.66468354974</v>
      </c>
      <c r="AX31" s="31"/>
      <c r="AY31" s="747">
        <v>0</v>
      </c>
      <c r="AZ31" s="262">
        <v>0</v>
      </c>
      <c r="BA31" s="262">
        <v>100637.10833641543</v>
      </c>
      <c r="BB31" s="262">
        <v>985.02380112472531</v>
      </c>
      <c r="BC31" s="263">
        <v>99652.084535290705</v>
      </c>
      <c r="BD31" s="261">
        <v>996.52084535290703</v>
      </c>
      <c r="BE31" s="262">
        <v>98655.563689937801</v>
      </c>
      <c r="BF31" s="354">
        <v>0.97862229159606362</v>
      </c>
      <c r="BG31" s="31"/>
      <c r="BJ31" s="523">
        <v>0.94989999999999997</v>
      </c>
      <c r="BK31" s="524"/>
      <c r="BL31" s="4">
        <v>0.95</v>
      </c>
      <c r="BM31" s="4">
        <v>0.95</v>
      </c>
      <c r="BN31" s="4" t="s">
        <v>1003</v>
      </c>
      <c r="BO31" s="31">
        <v>10.38588942939532</v>
      </c>
      <c r="BP31" s="31">
        <v>98665.949579367196</v>
      </c>
      <c r="BQ31" s="31">
        <v>98665.949579367196</v>
      </c>
      <c r="BR31" s="4">
        <v>0.97872531531346485</v>
      </c>
      <c r="BS31" s="4" t="s">
        <v>900</v>
      </c>
      <c r="BT31" s="448" t="s">
        <v>900</v>
      </c>
      <c r="BU31" s="367" t="s">
        <v>900</v>
      </c>
      <c r="BV31" s="368">
        <v>98655.563689937801</v>
      </c>
      <c r="BX31" s="449">
        <v>-1496.4279798212665</v>
      </c>
      <c r="BY31" s="450">
        <v>-1.4941884420642348E-2</v>
      </c>
      <c r="BZ31" s="368">
        <v>-14.52385576663427</v>
      </c>
      <c r="CB31" s="31">
        <v>14022</v>
      </c>
      <c r="CC31" s="31">
        <v>16005.874559060559</v>
      </c>
      <c r="CD31" s="31" t="e">
        <v>#VALUE!</v>
      </c>
      <c r="CE31" s="31" t="s">
        <v>900</v>
      </c>
      <c r="CF31" s="31" t="e">
        <v>#VALUE!</v>
      </c>
      <c r="CJ31" s="702" t="s">
        <v>1447</v>
      </c>
      <c r="CK31" s="702" t="s">
        <v>1447</v>
      </c>
      <c r="CL31" s="702" t="s">
        <v>1448</v>
      </c>
      <c r="CN31" s="702" t="s">
        <v>1447</v>
      </c>
      <c r="CO31" s="702" t="s">
        <v>1447</v>
      </c>
      <c r="CP31" s="702" t="s">
        <v>1447</v>
      </c>
      <c r="CQ31" s="702" t="s">
        <v>1447</v>
      </c>
      <c r="CS31" s="451">
        <v>0</v>
      </c>
      <c r="CT31" s="452">
        <v>0</v>
      </c>
      <c r="CU31" s="452">
        <v>0.95</v>
      </c>
      <c r="CV31" s="453">
        <v>0.95</v>
      </c>
    </row>
    <row r="32" spans="1:100" outlineLevel="1" x14ac:dyDescent="0.3">
      <c r="A32" s="1">
        <v>20221000</v>
      </c>
      <c r="B32" s="47">
        <v>408020</v>
      </c>
      <c r="C32" s="47">
        <v>4173</v>
      </c>
      <c r="D32" s="47" t="s">
        <v>397</v>
      </c>
      <c r="E32" s="47" t="s">
        <v>54</v>
      </c>
      <c r="F32" s="47" t="s">
        <v>1498</v>
      </c>
      <c r="G32" s="47" t="s">
        <v>1499</v>
      </c>
      <c r="H32" s="47" t="s">
        <v>1507</v>
      </c>
      <c r="I32" s="382">
        <v>128</v>
      </c>
      <c r="J32" s="382">
        <v>0</v>
      </c>
      <c r="K32" s="382">
        <v>0</v>
      </c>
      <c r="L32" s="382">
        <v>3</v>
      </c>
      <c r="M32" s="382">
        <v>0</v>
      </c>
      <c r="N32" s="382">
        <v>128</v>
      </c>
      <c r="O32" s="444">
        <v>532</v>
      </c>
      <c r="P32" s="445">
        <v>131</v>
      </c>
      <c r="Q32" s="346">
        <v>0.2462406015037594</v>
      </c>
      <c r="R32" s="445">
        <v>408</v>
      </c>
      <c r="S32" s="447">
        <v>261</v>
      </c>
      <c r="T32" s="445">
        <v>-18.562872615085166</v>
      </c>
      <c r="U32" s="444">
        <v>478.03989364090972</v>
      </c>
      <c r="V32" s="445">
        <v>112.43712738491483</v>
      </c>
      <c r="W32" s="229">
        <v>0.23520448581928285</v>
      </c>
      <c r="X32" s="261">
        <v>63699.686527544553</v>
      </c>
      <c r="Y32" s="262">
        <v>15083.31502696361</v>
      </c>
      <c r="Z32" s="262">
        <v>26628.849333987604</v>
      </c>
      <c r="AA32" s="262">
        <v>22330.783835031511</v>
      </c>
      <c r="AB32" s="263">
        <v>127742.63472352728</v>
      </c>
      <c r="AC32" s="262">
        <v>54733.845174516915</v>
      </c>
      <c r="AD32" s="262">
        <v>12960.312277946685</v>
      </c>
      <c r="AE32" s="262">
        <v>22880.792607853327</v>
      </c>
      <c r="AF32" s="263">
        <v>19187.687282004183</v>
      </c>
      <c r="AG32" s="262">
        <v>54733.845174516915</v>
      </c>
      <c r="AH32" s="262">
        <v>12960.312277946685</v>
      </c>
      <c r="AI32" s="262">
        <v>22880.792607853327</v>
      </c>
      <c r="AJ32" s="263">
        <v>19187.687282004183</v>
      </c>
      <c r="AK32" s="262">
        <v>54733.845174516915</v>
      </c>
      <c r="AL32" s="262">
        <v>12960.312277946685</v>
      </c>
      <c r="AM32" s="262">
        <v>22880.792607853327</v>
      </c>
      <c r="AN32" s="262">
        <v>19187.687282004183</v>
      </c>
      <c r="AO32" s="263">
        <v>109762.6373423211</v>
      </c>
      <c r="AP32" s="31"/>
      <c r="AQ32" s="261">
        <v>53902.49094697096</v>
      </c>
      <c r="AR32" s="262">
        <v>12579.20748950993</v>
      </c>
      <c r="AS32" s="262">
        <v>22563.882642601809</v>
      </c>
      <c r="AT32" s="262">
        <v>18805.774343377787</v>
      </c>
      <c r="AU32" s="263">
        <v>107851.35542246047</v>
      </c>
      <c r="AV32" s="31"/>
      <c r="AW32" s="323">
        <v>111600.8204561938</v>
      </c>
      <c r="AX32" s="31"/>
      <c r="AY32" s="747">
        <v>0</v>
      </c>
      <c r="AZ32" s="262">
        <v>0</v>
      </c>
      <c r="BA32" s="262">
        <v>107851.35542246047</v>
      </c>
      <c r="BB32" s="262">
        <v>1055.6359759419313</v>
      </c>
      <c r="BC32" s="263">
        <v>106795.71944651855</v>
      </c>
      <c r="BD32" s="261">
        <v>1067.9571944651855</v>
      </c>
      <c r="BE32" s="262">
        <v>105727.76225205336</v>
      </c>
      <c r="BF32" s="354">
        <v>0.94737441731939809</v>
      </c>
      <c r="BG32" s="31"/>
      <c r="BJ32" s="4">
        <v>0.94737441731939809</v>
      </c>
      <c r="BL32" s="4">
        <v>0.89999999999999991</v>
      </c>
      <c r="BM32" s="4">
        <v>0.9</v>
      </c>
      <c r="BN32" s="4" t="s">
        <v>900</v>
      </c>
      <c r="BO32" s="31" t="s">
        <v>900</v>
      </c>
      <c r="BP32" s="31" t="s">
        <v>900</v>
      </c>
      <c r="BQ32" s="31">
        <v>100818.20327024287</v>
      </c>
      <c r="BR32" s="4">
        <v>0.9033822767442522</v>
      </c>
      <c r="BS32" s="4" t="s">
        <v>900</v>
      </c>
      <c r="BT32" s="448" t="s">
        <v>900</v>
      </c>
      <c r="BU32" s="367" t="s">
        <v>900</v>
      </c>
      <c r="BV32" s="368">
        <v>105727.76225205336</v>
      </c>
      <c r="BX32" s="449">
        <v>1538.7025600951165</v>
      </c>
      <c r="BY32" s="450">
        <v>1.4768966646168344E-2</v>
      </c>
      <c r="BZ32" s="368">
        <v>13.685004196412413</v>
      </c>
      <c r="CB32" s="31">
        <v>13953</v>
      </c>
      <c r="CC32" s="31">
        <v>16223.195397101101</v>
      </c>
      <c r="CD32" s="31" t="e">
        <v>#VALUE!</v>
      </c>
      <c r="CE32" s="31" t="s">
        <v>900</v>
      </c>
      <c r="CF32" s="31" t="e">
        <v>#VALUE!</v>
      </c>
      <c r="CJ32" s="702" t="s">
        <v>1447</v>
      </c>
      <c r="CK32" s="702" t="s">
        <v>1447</v>
      </c>
      <c r="CL32" s="702" t="s">
        <v>1448</v>
      </c>
      <c r="CN32" s="702" t="s">
        <v>1447</v>
      </c>
      <c r="CO32" s="702" t="s">
        <v>1447</v>
      </c>
      <c r="CP32" s="702" t="s">
        <v>1447</v>
      </c>
      <c r="CQ32" s="702" t="s">
        <v>1447</v>
      </c>
      <c r="CS32" s="451">
        <v>0</v>
      </c>
      <c r="CT32" s="452">
        <v>0.9</v>
      </c>
      <c r="CU32" s="452">
        <v>0</v>
      </c>
      <c r="CV32" s="453">
        <v>0.9</v>
      </c>
    </row>
    <row r="33" spans="1:100" outlineLevel="1" x14ac:dyDescent="0.3">
      <c r="A33" s="1">
        <v>20100000</v>
      </c>
      <c r="B33" s="47">
        <v>403150</v>
      </c>
      <c r="C33" s="47">
        <v>4167</v>
      </c>
      <c r="D33" s="47" t="s">
        <v>168</v>
      </c>
      <c r="E33" s="47" t="s">
        <v>54</v>
      </c>
      <c r="F33" s="47" t="s">
        <v>1498</v>
      </c>
      <c r="G33" s="47" t="s">
        <v>1502</v>
      </c>
      <c r="H33" s="47" t="s">
        <v>1508</v>
      </c>
      <c r="I33" s="382">
        <v>112</v>
      </c>
      <c r="J33" s="382">
        <v>0</v>
      </c>
      <c r="K33" s="382">
        <v>0</v>
      </c>
      <c r="L33" s="382">
        <v>3</v>
      </c>
      <c r="M33" s="382">
        <v>0</v>
      </c>
      <c r="N33" s="382">
        <v>112</v>
      </c>
      <c r="O33" s="444">
        <v>704</v>
      </c>
      <c r="P33" s="445">
        <v>115</v>
      </c>
      <c r="Q33" s="346">
        <v>0.16335227272727273</v>
      </c>
      <c r="R33" s="445">
        <v>1003</v>
      </c>
      <c r="S33" s="447">
        <v>327</v>
      </c>
      <c r="T33" s="445">
        <v>-16.242449751841296</v>
      </c>
      <c r="U33" s="444">
        <v>632.59414496842192</v>
      </c>
      <c r="V33" s="445">
        <v>98.757550248158708</v>
      </c>
      <c r="W33" s="229">
        <v>0.15611518227549914</v>
      </c>
      <c r="X33" s="261">
        <v>94027.025784441648</v>
      </c>
      <c r="Y33" s="262">
        <v>22932.793491671415</v>
      </c>
      <c r="Z33" s="262">
        <v>29710.363808892096</v>
      </c>
      <c r="AA33" s="262">
        <v>24658.770327277598</v>
      </c>
      <c r="AB33" s="263">
        <v>171328.95341228275</v>
      </c>
      <c r="AC33" s="262">
        <v>80792.558834344411</v>
      </c>
      <c r="AD33" s="262">
        <v>19704.963035407531</v>
      </c>
      <c r="AE33" s="262">
        <v>25528.578576148841</v>
      </c>
      <c r="AF33" s="263">
        <v>21188.005638042971</v>
      </c>
      <c r="AG33" s="262">
        <v>80792.558834344411</v>
      </c>
      <c r="AH33" s="262">
        <v>19704.963035407531</v>
      </c>
      <c r="AI33" s="262">
        <v>25528.578576148841</v>
      </c>
      <c r="AJ33" s="263">
        <v>21188.005638042971</v>
      </c>
      <c r="AK33" s="262">
        <v>80792.558834344411</v>
      </c>
      <c r="AL33" s="262">
        <v>19704.963035407531</v>
      </c>
      <c r="AM33" s="262">
        <v>25528.578576148841</v>
      </c>
      <c r="AN33" s="262">
        <v>21188.005638042971</v>
      </c>
      <c r="AO33" s="263">
        <v>147214.10608394374</v>
      </c>
      <c r="AP33" s="31"/>
      <c r="AQ33" s="261">
        <v>80094.778721941388</v>
      </c>
      <c r="AR33" s="262">
        <v>19478.318426609345</v>
      </c>
      <c r="AS33" s="262">
        <v>25248.51265781893</v>
      </c>
      <c r="AT33" s="262">
        <v>21058.826628041621</v>
      </c>
      <c r="AU33" s="263">
        <v>145880.4364344113</v>
      </c>
      <c r="AV33" s="31"/>
      <c r="AW33" s="323">
        <v>160492.34942390732</v>
      </c>
      <c r="AX33" s="31"/>
      <c r="AY33" s="747">
        <v>0</v>
      </c>
      <c r="AZ33" s="262">
        <v>0</v>
      </c>
      <c r="BA33" s="262">
        <v>145880.4364344113</v>
      </c>
      <c r="BB33" s="262">
        <v>1427.8600049397637</v>
      </c>
      <c r="BC33" s="263">
        <v>144452.57642947155</v>
      </c>
      <c r="BD33" s="261">
        <v>1444.5257642947156</v>
      </c>
      <c r="BE33" s="262">
        <v>143008.05066517682</v>
      </c>
      <c r="BF33" s="354">
        <v>0.89105836619944212</v>
      </c>
      <c r="BG33" s="31"/>
      <c r="BJ33" s="4">
        <v>0.89105836619944212</v>
      </c>
      <c r="BL33" s="4">
        <v>0.89999999999999991</v>
      </c>
      <c r="BM33" s="4">
        <v>0.9</v>
      </c>
      <c r="BN33" s="4" t="s">
        <v>1003</v>
      </c>
      <c r="BO33" s="31">
        <v>1435.063816339738</v>
      </c>
      <c r="BP33" s="31">
        <v>144443.11448151656</v>
      </c>
      <c r="BQ33" s="31">
        <v>144443.11448151656</v>
      </c>
      <c r="BR33" s="4">
        <v>0.8999999999999998</v>
      </c>
      <c r="BS33" s="4" t="s">
        <v>900</v>
      </c>
      <c r="BT33" s="448" t="s">
        <v>900</v>
      </c>
      <c r="BU33" s="367" t="s">
        <v>900</v>
      </c>
      <c r="BV33" s="368">
        <v>143008.05066517682</v>
      </c>
      <c r="BX33" s="449">
        <v>-1456.4843348231807</v>
      </c>
      <c r="BY33" s="450">
        <v>-1.0081950804210741E-2</v>
      </c>
      <c r="BZ33" s="368">
        <v>-14.748080842055275</v>
      </c>
      <c r="CB33" s="31">
        <v>22505</v>
      </c>
      <c r="CC33" s="31">
        <v>24715.369895658827</v>
      </c>
      <c r="CD33" s="31" t="e">
        <v>#VALUE!</v>
      </c>
      <c r="CE33" s="31" t="s">
        <v>900</v>
      </c>
      <c r="CF33" s="31" t="e">
        <v>#VALUE!</v>
      </c>
      <c r="CJ33" s="702" t="s">
        <v>1447</v>
      </c>
      <c r="CK33" s="702" t="s">
        <v>1447</v>
      </c>
      <c r="CL33" s="702" t="s">
        <v>1448</v>
      </c>
      <c r="CN33" s="702" t="s">
        <v>1447</v>
      </c>
      <c r="CO33" s="702" t="s">
        <v>1447</v>
      </c>
      <c r="CP33" s="702" t="s">
        <v>1447</v>
      </c>
      <c r="CQ33" s="702" t="s">
        <v>1447</v>
      </c>
      <c r="CS33" s="451">
        <v>0</v>
      </c>
      <c r="CT33" s="452">
        <v>0.9</v>
      </c>
      <c r="CU33" s="452">
        <v>0</v>
      </c>
      <c r="CV33" s="453">
        <v>0.9</v>
      </c>
    </row>
    <row r="34" spans="1:100" outlineLevel="1" x14ac:dyDescent="0.3">
      <c r="A34" s="1">
        <v>20202000</v>
      </c>
      <c r="B34" s="47">
        <v>401180</v>
      </c>
      <c r="C34" s="47">
        <v>4169</v>
      </c>
      <c r="D34" s="47" t="s">
        <v>71</v>
      </c>
      <c r="E34" s="47" t="s">
        <v>54</v>
      </c>
      <c r="F34" s="47" t="s">
        <v>1498</v>
      </c>
      <c r="G34" s="47" t="s">
        <v>1502</v>
      </c>
      <c r="H34" s="47" t="s">
        <v>1508</v>
      </c>
      <c r="I34" s="382">
        <v>306</v>
      </c>
      <c r="J34" s="382">
        <v>0</v>
      </c>
      <c r="K34" s="382">
        <v>0</v>
      </c>
      <c r="L34" s="382">
        <v>8</v>
      </c>
      <c r="M34" s="382">
        <v>0</v>
      </c>
      <c r="N34" s="382">
        <v>306</v>
      </c>
      <c r="O34" s="444">
        <v>808</v>
      </c>
      <c r="P34" s="445">
        <v>314</v>
      </c>
      <c r="Q34" s="346">
        <v>0.38861386138613863</v>
      </c>
      <c r="R34" s="445">
        <v>752</v>
      </c>
      <c r="S34" s="447">
        <v>515</v>
      </c>
      <c r="T34" s="445">
        <v>-44.376726483896896</v>
      </c>
      <c r="U34" s="444">
        <v>726.04555274784786</v>
      </c>
      <c r="V34" s="445">
        <v>269.6232735161031</v>
      </c>
      <c r="W34" s="229">
        <v>0.37135861860962593</v>
      </c>
      <c r="X34" s="261">
        <v>161200.13264413521</v>
      </c>
      <c r="Y34" s="262">
        <v>38170.240947864462</v>
      </c>
      <c r="Z34" s="262">
        <v>100008.69631231242</v>
      </c>
      <c r="AA34" s="262">
        <v>102052.35386150576</v>
      </c>
      <c r="AB34" s="263">
        <v>401431.42376581783</v>
      </c>
      <c r="AC34" s="262">
        <v>138510.93440531244</v>
      </c>
      <c r="AD34" s="262">
        <v>32797.713335857959</v>
      </c>
      <c r="AE34" s="262">
        <v>85932.298861414674</v>
      </c>
      <c r="AF34" s="263">
        <v>87688.308066246682</v>
      </c>
      <c r="AG34" s="262">
        <v>138510.93440531244</v>
      </c>
      <c r="AH34" s="262">
        <v>32797.713335857959</v>
      </c>
      <c r="AI34" s="262">
        <v>85932.298861414674</v>
      </c>
      <c r="AJ34" s="263">
        <v>87688.308066246682</v>
      </c>
      <c r="AK34" s="262">
        <v>138510.93440531244</v>
      </c>
      <c r="AL34" s="262">
        <v>32797.713335857959</v>
      </c>
      <c r="AM34" s="262">
        <v>85932.298861414674</v>
      </c>
      <c r="AN34" s="262">
        <v>87688.308066246682</v>
      </c>
      <c r="AO34" s="263">
        <v>344929.25466883177</v>
      </c>
      <c r="AP34" s="31"/>
      <c r="AQ34" s="261">
        <v>136407.08713289734</v>
      </c>
      <c r="AR34" s="262">
        <v>31833.279352014804</v>
      </c>
      <c r="AS34" s="262">
        <v>84742.095256457091</v>
      </c>
      <c r="AT34" s="262">
        <v>85942.954448347853</v>
      </c>
      <c r="AU34" s="263">
        <v>338925.41618971707</v>
      </c>
      <c r="AV34" s="31"/>
      <c r="AW34" s="323">
        <v>332350.7539513621</v>
      </c>
      <c r="AX34" s="31"/>
      <c r="AY34" s="747">
        <v>0</v>
      </c>
      <c r="AZ34" s="262">
        <v>6574.6622383549693</v>
      </c>
      <c r="BA34" s="262">
        <v>332350.7539513621</v>
      </c>
      <c r="BB34" s="262">
        <v>3253.008839139899</v>
      </c>
      <c r="BC34" s="263">
        <v>329097.74511222221</v>
      </c>
      <c r="BD34" s="261">
        <v>3290.9774511222222</v>
      </c>
      <c r="BE34" s="262">
        <v>325806.76766109996</v>
      </c>
      <c r="BF34" s="354">
        <v>0.98031000016560876</v>
      </c>
      <c r="BG34" s="31"/>
      <c r="BJ34" s="523">
        <v>0.94989999999999997</v>
      </c>
      <c r="BK34" s="524"/>
      <c r="BL34" s="4">
        <v>0.95</v>
      </c>
      <c r="BM34" s="4">
        <v>0.95</v>
      </c>
      <c r="BN34" s="4" t="s">
        <v>1003</v>
      </c>
      <c r="BO34" s="31">
        <v>34.299059654818848</v>
      </c>
      <c r="BP34" s="31">
        <v>325841.06672075478</v>
      </c>
      <c r="BQ34" s="31">
        <v>325841.06672075478</v>
      </c>
      <c r="BR34" s="4">
        <v>0.98041320155524614</v>
      </c>
      <c r="BS34" s="4" t="s">
        <v>900</v>
      </c>
      <c r="BT34" s="448" t="s">
        <v>900</v>
      </c>
      <c r="BU34" s="367" t="s">
        <v>900</v>
      </c>
      <c r="BV34" s="368">
        <v>325806.76766109996</v>
      </c>
      <c r="BX34" s="449">
        <v>-8882.602572235046</v>
      </c>
      <c r="BY34" s="450">
        <v>-2.6540399448369237E-2</v>
      </c>
      <c r="BZ34" s="368">
        <v>-32.944494948076276</v>
      </c>
      <c r="CB34" s="31">
        <v>47087</v>
      </c>
      <c r="CC34" s="31">
        <v>52103.384689592764</v>
      </c>
      <c r="CD34" s="31" t="e">
        <v>#VALUE!</v>
      </c>
      <c r="CE34" s="31" t="s">
        <v>900</v>
      </c>
      <c r="CF34" s="31" t="e">
        <v>#VALUE!</v>
      </c>
      <c r="CJ34" s="702" t="s">
        <v>1447</v>
      </c>
      <c r="CK34" s="702" t="s">
        <v>1447</v>
      </c>
      <c r="CL34" s="702" t="s">
        <v>1448</v>
      </c>
      <c r="CN34" s="702" t="s">
        <v>1447</v>
      </c>
      <c r="CO34" s="702" t="s">
        <v>1447</v>
      </c>
      <c r="CP34" s="702" t="s">
        <v>1447</v>
      </c>
      <c r="CQ34" s="702" t="s">
        <v>1447</v>
      </c>
      <c r="CS34" s="451">
        <v>0</v>
      </c>
      <c r="CT34" s="452">
        <v>0</v>
      </c>
      <c r="CU34" s="452">
        <v>0.95</v>
      </c>
      <c r="CV34" s="453">
        <v>0.95</v>
      </c>
    </row>
    <row r="35" spans="1:100" outlineLevel="1" x14ac:dyDescent="0.3">
      <c r="A35" s="1">
        <v>20201000</v>
      </c>
      <c r="B35" s="47">
        <v>408600</v>
      </c>
      <c r="C35" s="47">
        <v>4168</v>
      </c>
      <c r="D35" s="47" t="s">
        <v>417</v>
      </c>
      <c r="E35" s="47" t="s">
        <v>54</v>
      </c>
      <c r="F35" s="47" t="s">
        <v>1501</v>
      </c>
      <c r="G35" s="47" t="s">
        <v>1502</v>
      </c>
      <c r="H35" s="47" t="s">
        <v>1512</v>
      </c>
      <c r="I35" s="382">
        <v>273</v>
      </c>
      <c r="J35" s="382">
        <v>0</v>
      </c>
      <c r="K35" s="382">
        <v>0</v>
      </c>
      <c r="L35" s="382">
        <v>7</v>
      </c>
      <c r="M35" s="382">
        <v>0</v>
      </c>
      <c r="N35" s="382">
        <v>273</v>
      </c>
      <c r="O35" s="444">
        <v>1079</v>
      </c>
      <c r="P35" s="445">
        <v>280</v>
      </c>
      <c r="Q35" s="346">
        <v>0.25949953660797032</v>
      </c>
      <c r="R35" s="445">
        <v>869</v>
      </c>
      <c r="S35" s="447">
        <v>599</v>
      </c>
      <c r="T35" s="445">
        <v>-39.591024425411675</v>
      </c>
      <c r="U35" s="444">
        <v>969.55835571154432</v>
      </c>
      <c r="V35" s="445">
        <v>240.40897557458834</v>
      </c>
      <c r="W35" s="229">
        <v>0.24795720047005917</v>
      </c>
      <c r="X35" s="261">
        <v>129139.158941072</v>
      </c>
      <c r="Y35" s="262">
        <v>30600.723322216949</v>
      </c>
      <c r="Z35" s="262">
        <v>50000.037558616961</v>
      </c>
      <c r="AA35" s="262">
        <v>39829.215599573225</v>
      </c>
      <c r="AB35" s="263">
        <v>249569.13542147912</v>
      </c>
      <c r="AC35" s="262">
        <v>110962.59835425645</v>
      </c>
      <c r="AD35" s="262">
        <v>26293.618443823983</v>
      </c>
      <c r="AE35" s="262">
        <v>42962.445557247607</v>
      </c>
      <c r="AF35" s="263">
        <v>34223.184428181332</v>
      </c>
      <c r="AG35" s="262">
        <v>110962.59835425645</v>
      </c>
      <c r="AH35" s="262">
        <v>26293.618443823983</v>
      </c>
      <c r="AI35" s="262">
        <v>42962.445557247607</v>
      </c>
      <c r="AJ35" s="263">
        <v>34223.184428181332</v>
      </c>
      <c r="AK35" s="262">
        <v>110962.59835425645</v>
      </c>
      <c r="AL35" s="262">
        <v>26293.618443823983</v>
      </c>
      <c r="AM35" s="262">
        <v>42962.445557247607</v>
      </c>
      <c r="AN35" s="262">
        <v>34223.184428181332</v>
      </c>
      <c r="AO35" s="263">
        <v>214441.84678350936</v>
      </c>
      <c r="AP35" s="31"/>
      <c r="AQ35" s="261">
        <v>109277.18369085831</v>
      </c>
      <c r="AR35" s="262">
        <v>25458.724272859672</v>
      </c>
      <c r="AS35" s="262">
        <v>42367.39505519488</v>
      </c>
      <c r="AT35" s="262">
        <v>34014.532554142359</v>
      </c>
      <c r="AU35" s="263">
        <v>211117.8355730552</v>
      </c>
      <c r="AV35" s="31"/>
      <c r="AW35" s="323">
        <v>203238.25597633439</v>
      </c>
      <c r="AX35" s="31"/>
      <c r="AY35" s="747">
        <v>0</v>
      </c>
      <c r="AZ35" s="262">
        <v>7879.5795967208105</v>
      </c>
      <c r="BA35" s="262">
        <v>203238.25597633439</v>
      </c>
      <c r="BB35" s="262">
        <v>1989.2713805582252</v>
      </c>
      <c r="BC35" s="263">
        <v>201248.98459577616</v>
      </c>
      <c r="BD35" s="261">
        <v>2012.4898459577616</v>
      </c>
      <c r="BE35" s="262">
        <v>199236.4947498184</v>
      </c>
      <c r="BF35" s="354">
        <v>0.98031000016560876</v>
      </c>
      <c r="BG35" s="31"/>
      <c r="BJ35" s="4">
        <v>0.98031000016560876</v>
      </c>
      <c r="BL35" s="4">
        <v>1.0374806398442269</v>
      </c>
      <c r="BM35" s="4">
        <v>0.9</v>
      </c>
      <c r="BN35" s="4" t="s">
        <v>900</v>
      </c>
      <c r="BO35" s="31" t="s">
        <v>900</v>
      </c>
      <c r="BP35" s="31" t="s">
        <v>900</v>
      </c>
      <c r="BQ35" s="31">
        <v>189984.77787368247</v>
      </c>
      <c r="BR35" s="4">
        <v>0.93478846765839596</v>
      </c>
      <c r="BS35" s="4" t="s">
        <v>900</v>
      </c>
      <c r="BT35" s="448" t="s">
        <v>900</v>
      </c>
      <c r="BU35" s="367" t="s">
        <v>900</v>
      </c>
      <c r="BV35" s="368">
        <v>199236.4947498184</v>
      </c>
      <c r="BX35" s="449">
        <v>3877.435507100512</v>
      </c>
      <c r="BY35" s="450">
        <v>1.9848540582247391E-2</v>
      </c>
      <c r="BZ35" s="368">
        <v>16.128497273586667</v>
      </c>
      <c r="CB35" s="31">
        <v>31104</v>
      </c>
      <c r="CC35" s="31">
        <v>35904.57518103857</v>
      </c>
      <c r="CD35" s="31" t="e">
        <v>#VALUE!</v>
      </c>
      <c r="CE35" s="31" t="s">
        <v>900</v>
      </c>
      <c r="CF35" s="31" t="e">
        <v>#VALUE!</v>
      </c>
      <c r="CJ35" s="702" t="s">
        <v>1447</v>
      </c>
      <c r="CK35" s="702" t="s">
        <v>1447</v>
      </c>
      <c r="CL35" s="702" t="s">
        <v>1448</v>
      </c>
      <c r="CN35" s="702" t="s">
        <v>1447</v>
      </c>
      <c r="CO35" s="702" t="s">
        <v>1447</v>
      </c>
      <c r="CP35" s="702" t="s">
        <v>1447</v>
      </c>
      <c r="CQ35" s="702" t="s">
        <v>1447</v>
      </c>
      <c r="CS35" s="451">
        <v>0</v>
      </c>
      <c r="CT35" s="452">
        <v>0.9</v>
      </c>
      <c r="CU35" s="452">
        <v>0</v>
      </c>
      <c r="CV35" s="453">
        <v>0.9</v>
      </c>
    </row>
    <row r="36" spans="1:100" outlineLevel="1" x14ac:dyDescent="0.3">
      <c r="A36" s="1">
        <v>20209000</v>
      </c>
      <c r="B36" s="47">
        <v>400212</v>
      </c>
      <c r="C36" s="47">
        <v>79226</v>
      </c>
      <c r="D36" s="47" t="s">
        <v>68</v>
      </c>
      <c r="E36" s="47" t="s">
        <v>54</v>
      </c>
      <c r="F36" s="47" t="s">
        <v>1498</v>
      </c>
      <c r="G36" s="47" t="s">
        <v>1502</v>
      </c>
      <c r="H36" s="47" t="s">
        <v>1506</v>
      </c>
      <c r="I36" s="382">
        <v>271</v>
      </c>
      <c r="J36" s="382">
        <v>0</v>
      </c>
      <c r="K36" s="382">
        <v>0</v>
      </c>
      <c r="L36" s="382">
        <v>7</v>
      </c>
      <c r="M36" s="382">
        <v>0</v>
      </c>
      <c r="N36" s="382">
        <v>271</v>
      </c>
      <c r="O36" s="444">
        <v>1176</v>
      </c>
      <c r="P36" s="445">
        <v>278</v>
      </c>
      <c r="Q36" s="346">
        <v>0.23639455782312926</v>
      </c>
      <c r="R36" s="445">
        <v>1238</v>
      </c>
      <c r="S36" s="447">
        <v>664</v>
      </c>
      <c r="T36" s="445">
        <v>-39.300971567506195</v>
      </c>
      <c r="U36" s="444">
        <v>1056.7197648904319</v>
      </c>
      <c r="V36" s="445">
        <v>238.6990284324938</v>
      </c>
      <c r="W36" s="229">
        <v>0.22588678319766622</v>
      </c>
      <c r="X36" s="261">
        <v>128216.73637720721</v>
      </c>
      <c r="Y36" s="262">
        <v>30382.146727058258</v>
      </c>
      <c r="Z36" s="262">
        <v>45896.237750605731</v>
      </c>
      <c r="AA36" s="262">
        <v>39652.016813962502</v>
      </c>
      <c r="AB36" s="263">
        <v>244147.13766883372</v>
      </c>
      <c r="AC36" s="262">
        <v>110170.00836601178</v>
      </c>
      <c r="AD36" s="262">
        <v>26105.806883510955</v>
      </c>
      <c r="AE36" s="262">
        <v>39436.262689428127</v>
      </c>
      <c r="AF36" s="263">
        <v>34070.926678960917</v>
      </c>
      <c r="AG36" s="262">
        <v>110170.00836601178</v>
      </c>
      <c r="AH36" s="262">
        <v>26105.806883510955</v>
      </c>
      <c r="AI36" s="262">
        <v>39436.262689428127</v>
      </c>
      <c r="AJ36" s="263">
        <v>34070.926678960917</v>
      </c>
      <c r="AK36" s="262">
        <v>110170.00836601178</v>
      </c>
      <c r="AL36" s="262">
        <v>26105.806883510955</v>
      </c>
      <c r="AM36" s="262">
        <v>39436.262689428127</v>
      </c>
      <c r="AN36" s="262">
        <v>34070.926678960917</v>
      </c>
      <c r="AO36" s="263">
        <v>209783.00461791176</v>
      </c>
      <c r="AP36" s="31"/>
      <c r="AQ36" s="261">
        <v>108496.63237878076</v>
      </c>
      <c r="AR36" s="262">
        <v>25276.876242339247</v>
      </c>
      <c r="AS36" s="262">
        <v>38890.051513410275</v>
      </c>
      <c r="AT36" s="262">
        <v>33863.203089803741</v>
      </c>
      <c r="AU36" s="263">
        <v>206526.76322433405</v>
      </c>
      <c r="AV36" s="31"/>
      <c r="AW36" s="323">
        <v>200029.0909877386</v>
      </c>
      <c r="AX36" s="31"/>
      <c r="AY36" s="747">
        <v>0</v>
      </c>
      <c r="AZ36" s="262">
        <v>6497.6722365954483</v>
      </c>
      <c r="BA36" s="262">
        <v>200029.0909877386</v>
      </c>
      <c r="BB36" s="262">
        <v>1957.8604631763797</v>
      </c>
      <c r="BC36" s="263">
        <v>198071.23052456221</v>
      </c>
      <c r="BD36" s="261">
        <v>1980.7123052456222</v>
      </c>
      <c r="BE36" s="262">
        <v>196090.51821931658</v>
      </c>
      <c r="BF36" s="354">
        <v>0.98031000016560865</v>
      </c>
      <c r="BG36" s="31"/>
      <c r="BJ36" s="4">
        <v>0.98031000016560865</v>
      </c>
      <c r="BL36" s="4">
        <v>1.0236469178969145</v>
      </c>
      <c r="BM36" s="4">
        <v>0.9</v>
      </c>
      <c r="BN36" s="4" t="s">
        <v>900</v>
      </c>
      <c r="BO36" s="31" t="s">
        <v>900</v>
      </c>
      <c r="BP36" s="31" t="s">
        <v>900</v>
      </c>
      <c r="BQ36" s="31">
        <v>186984.88745153003</v>
      </c>
      <c r="BR36" s="4">
        <v>0.93478846765839596</v>
      </c>
      <c r="BS36" s="4" t="s">
        <v>900</v>
      </c>
      <c r="BT36" s="448" t="s">
        <v>900</v>
      </c>
      <c r="BU36" s="367" t="s">
        <v>900</v>
      </c>
      <c r="BV36" s="368">
        <v>196090.51821931658</v>
      </c>
      <c r="BX36" s="449">
        <v>-2987.5380923909252</v>
      </c>
      <c r="BY36" s="450">
        <v>-1.5007474407308378E-2</v>
      </c>
      <c r="BZ36" s="368">
        <v>-12.515920621921707</v>
      </c>
      <c r="CB36" s="31">
        <v>23515</v>
      </c>
      <c r="CC36" s="31">
        <v>28377.106893965269</v>
      </c>
      <c r="CD36" s="31" t="e">
        <v>#VALUE!</v>
      </c>
      <c r="CE36" s="31" t="s">
        <v>900</v>
      </c>
      <c r="CF36" s="31" t="e">
        <v>#VALUE!</v>
      </c>
      <c r="CJ36" s="702" t="s">
        <v>1447</v>
      </c>
      <c r="CK36" s="702" t="s">
        <v>1447</v>
      </c>
      <c r="CL36" s="702" t="s">
        <v>1448</v>
      </c>
      <c r="CN36" s="702" t="s">
        <v>1447</v>
      </c>
      <c r="CO36" s="702" t="s">
        <v>1447</v>
      </c>
      <c r="CP36" s="702" t="s">
        <v>1447</v>
      </c>
      <c r="CQ36" s="702" t="s">
        <v>1447</v>
      </c>
      <c r="CS36" s="451">
        <v>0</v>
      </c>
      <c r="CT36" s="452">
        <v>0.9</v>
      </c>
      <c r="CU36" s="452">
        <v>0</v>
      </c>
      <c r="CV36" s="453">
        <v>0.9</v>
      </c>
    </row>
    <row r="37" spans="1:100" outlineLevel="1" x14ac:dyDescent="0.3">
      <c r="A37" s="1">
        <v>20213000</v>
      </c>
      <c r="B37" s="47">
        <v>409250</v>
      </c>
      <c r="C37" s="47">
        <v>4170</v>
      </c>
      <c r="D37" s="47" t="s">
        <v>443</v>
      </c>
      <c r="E37" s="47" t="s">
        <v>54</v>
      </c>
      <c r="F37" s="47" t="s">
        <v>1498</v>
      </c>
      <c r="G37" s="47" t="s">
        <v>1502</v>
      </c>
      <c r="H37" s="47" t="s">
        <v>1513</v>
      </c>
      <c r="I37" s="382">
        <v>367</v>
      </c>
      <c r="J37" s="382">
        <v>0</v>
      </c>
      <c r="K37" s="382">
        <v>0</v>
      </c>
      <c r="L37" s="382">
        <v>10</v>
      </c>
      <c r="M37" s="382">
        <v>0</v>
      </c>
      <c r="N37" s="382">
        <v>367</v>
      </c>
      <c r="O37" s="444">
        <v>1536</v>
      </c>
      <c r="P37" s="445">
        <v>377</v>
      </c>
      <c r="Q37" s="346">
        <v>0.24544270833333334</v>
      </c>
      <c r="R37" s="445">
        <v>1075</v>
      </c>
      <c r="S37" s="447">
        <v>858</v>
      </c>
      <c r="T37" s="445">
        <v>-53.222998456103618</v>
      </c>
      <c r="U37" s="444">
        <v>1380.2054072038295</v>
      </c>
      <c r="V37" s="445">
        <v>323.7770015438964</v>
      </c>
      <c r="W37" s="229">
        <v>0.23458609845605455</v>
      </c>
      <c r="X37" s="261">
        <v>173876.65328851479</v>
      </c>
      <c r="Y37" s="262">
        <v>41201.688187413536</v>
      </c>
      <c r="Z37" s="262">
        <v>64761.127155674068</v>
      </c>
      <c r="AA37" s="262">
        <v>59607.578061702698</v>
      </c>
      <c r="AB37" s="263">
        <v>339447.04669330508</v>
      </c>
      <c r="AC37" s="262">
        <v>149403.21278412387</v>
      </c>
      <c r="AD37" s="262">
        <v>35402.47911900586</v>
      </c>
      <c r="AE37" s="262">
        <v>55645.886193382234</v>
      </c>
      <c r="AF37" s="263">
        <v>51217.708072180198</v>
      </c>
      <c r="AG37" s="262">
        <v>149403.21278412387</v>
      </c>
      <c r="AH37" s="262">
        <v>35402.47911900586</v>
      </c>
      <c r="AI37" s="262">
        <v>55645.886193382234</v>
      </c>
      <c r="AJ37" s="263">
        <v>51217.708072180198</v>
      </c>
      <c r="AK37" s="262">
        <v>149403.21278412387</v>
      </c>
      <c r="AL37" s="262">
        <v>35402.47911900586</v>
      </c>
      <c r="AM37" s="262">
        <v>55645.886193382234</v>
      </c>
      <c r="AN37" s="262">
        <v>51217.708072180198</v>
      </c>
      <c r="AO37" s="263">
        <v>291669.28616869217</v>
      </c>
      <c r="AP37" s="31"/>
      <c r="AQ37" s="261">
        <v>147133.92232661997</v>
      </c>
      <c r="AR37" s="262">
        <v>34278.353753100346</v>
      </c>
      <c r="AS37" s="262">
        <v>55267.126452254903</v>
      </c>
      <c r="AT37" s="262">
        <v>50905.44400465404</v>
      </c>
      <c r="AU37" s="263">
        <v>287584.84653662925</v>
      </c>
      <c r="AV37" s="31"/>
      <c r="AW37" s="323">
        <v>290535.07406504796</v>
      </c>
      <c r="AX37" s="31"/>
      <c r="AY37" s="747">
        <v>0</v>
      </c>
      <c r="AZ37" s="262">
        <v>0</v>
      </c>
      <c r="BA37" s="262">
        <v>287584.84653662925</v>
      </c>
      <c r="BB37" s="262">
        <v>2814.8455710236012</v>
      </c>
      <c r="BC37" s="263">
        <v>284770.00096560566</v>
      </c>
      <c r="BD37" s="261">
        <v>2847.7000096560569</v>
      </c>
      <c r="BE37" s="262">
        <v>281922.30095594958</v>
      </c>
      <c r="BF37" s="354">
        <v>0.97035547898368357</v>
      </c>
      <c r="BG37" s="31"/>
      <c r="BJ37" s="4">
        <v>0.97035547898368357</v>
      </c>
      <c r="BL37" s="4">
        <v>0.98718369743411094</v>
      </c>
      <c r="BM37" s="4">
        <v>0.9</v>
      </c>
      <c r="BN37" s="4" t="s">
        <v>900</v>
      </c>
      <c r="BO37" s="31" t="s">
        <v>900</v>
      </c>
      <c r="BP37" s="31" t="s">
        <v>900</v>
      </c>
      <c r="BQ37" s="31">
        <v>268830.99801575061</v>
      </c>
      <c r="BR37" s="4">
        <v>0.92529619317343414</v>
      </c>
      <c r="BS37" s="4" t="s">
        <v>900</v>
      </c>
      <c r="BT37" s="448" t="s">
        <v>900</v>
      </c>
      <c r="BU37" s="367" t="s">
        <v>900</v>
      </c>
      <c r="BV37" s="368">
        <v>281922.30095594958</v>
      </c>
      <c r="BX37" s="449">
        <v>7258.802375300671</v>
      </c>
      <c r="BY37" s="450">
        <v>2.6429051478411996E-2</v>
      </c>
      <c r="BZ37" s="368">
        <v>22.41914138647229</v>
      </c>
      <c r="CB37" s="31">
        <v>62953</v>
      </c>
      <c r="CC37" s="31">
        <v>69494.007464165887</v>
      </c>
      <c r="CD37" s="31" t="e">
        <v>#VALUE!</v>
      </c>
      <c r="CE37" s="31" t="s">
        <v>900</v>
      </c>
      <c r="CF37" s="31" t="e">
        <v>#VALUE!</v>
      </c>
      <c r="CJ37" s="702" t="s">
        <v>1447</v>
      </c>
      <c r="CK37" s="702" t="s">
        <v>1447</v>
      </c>
      <c r="CL37" s="702" t="s">
        <v>1448</v>
      </c>
      <c r="CN37" s="702" t="s">
        <v>1447</v>
      </c>
      <c r="CO37" s="702" t="s">
        <v>1447</v>
      </c>
      <c r="CP37" s="702" t="s">
        <v>1447</v>
      </c>
      <c r="CQ37" s="702" t="s">
        <v>1447</v>
      </c>
      <c r="CS37" s="451">
        <v>0</v>
      </c>
      <c r="CT37" s="452">
        <v>0.9</v>
      </c>
      <c r="CU37" s="452">
        <v>0</v>
      </c>
      <c r="CV37" s="453">
        <v>0.9</v>
      </c>
    </row>
    <row r="38" spans="1:100" outlineLevel="1" x14ac:dyDescent="0.3">
      <c r="A38" s="1">
        <v>20349000</v>
      </c>
      <c r="B38" s="47">
        <v>405880</v>
      </c>
      <c r="C38" s="47">
        <v>4180</v>
      </c>
      <c r="D38" s="47" t="s">
        <v>319</v>
      </c>
      <c r="E38" s="47" t="s">
        <v>54</v>
      </c>
      <c r="F38" s="47" t="s">
        <v>1504</v>
      </c>
      <c r="G38" s="47" t="s">
        <v>1502</v>
      </c>
      <c r="H38" s="47" t="s">
        <v>1512</v>
      </c>
      <c r="I38" s="382">
        <v>519</v>
      </c>
      <c r="J38" s="382">
        <v>0</v>
      </c>
      <c r="K38" s="382">
        <v>0</v>
      </c>
      <c r="L38" s="382">
        <v>14</v>
      </c>
      <c r="M38" s="382">
        <v>0</v>
      </c>
      <c r="N38" s="382">
        <v>519</v>
      </c>
      <c r="O38" s="444">
        <v>1693</v>
      </c>
      <c r="P38" s="445">
        <v>533</v>
      </c>
      <c r="Q38" s="346">
        <v>0.31482575310100414</v>
      </c>
      <c r="R38" s="445">
        <v>1039</v>
      </c>
      <c r="S38" s="447">
        <v>520</v>
      </c>
      <c r="T38" s="445">
        <v>-75.266335269099329</v>
      </c>
      <c r="U38" s="444">
        <v>1521.2810901016167</v>
      </c>
      <c r="V38" s="445">
        <v>457.73366473090067</v>
      </c>
      <c r="W38" s="229">
        <v>0.30088697460922592</v>
      </c>
      <c r="X38" s="261">
        <v>247659.02324136015</v>
      </c>
      <c r="Y38" s="262">
        <v>58250.66260979155</v>
      </c>
      <c r="Z38" s="262">
        <v>122553.95871071279</v>
      </c>
      <c r="AA38" s="262">
        <v>116575.12201251838</v>
      </c>
      <c r="AB38" s="263">
        <v>545038.7665743829</v>
      </c>
      <c r="AC38" s="262">
        <v>212800.58620544698</v>
      </c>
      <c r="AD38" s="262">
        <v>50051.780823422079</v>
      </c>
      <c r="AE38" s="262">
        <v>105304.2764770237</v>
      </c>
      <c r="AF38" s="263">
        <v>100166.97141318812</v>
      </c>
      <c r="AG38" s="262">
        <v>212800.58620544698</v>
      </c>
      <c r="AH38" s="262">
        <v>50051.780823422079</v>
      </c>
      <c r="AI38" s="262">
        <v>105304.2764770237</v>
      </c>
      <c r="AJ38" s="263">
        <v>100166.97141318812</v>
      </c>
      <c r="AK38" s="262">
        <v>212800.58620544698</v>
      </c>
      <c r="AL38" s="262">
        <v>50051.780823422079</v>
      </c>
      <c r="AM38" s="262">
        <v>105304.2764770237</v>
      </c>
      <c r="AN38" s="262">
        <v>100166.97141318812</v>
      </c>
      <c r="AO38" s="263">
        <v>468323.61491908086</v>
      </c>
      <c r="AP38" s="31"/>
      <c r="AQ38" s="261">
        <v>209568.35089652476</v>
      </c>
      <c r="AR38" s="262">
        <v>48462.500133693597</v>
      </c>
      <c r="AS38" s="262">
        <v>104050.95594736743</v>
      </c>
      <c r="AT38" s="262">
        <v>99558.880429130906</v>
      </c>
      <c r="AU38" s="263">
        <v>461640.68740671669</v>
      </c>
      <c r="AV38" s="31"/>
      <c r="AW38" s="323">
        <v>451699.932834837</v>
      </c>
      <c r="AX38" s="31"/>
      <c r="AY38" s="747">
        <v>0</v>
      </c>
      <c r="AZ38" s="262">
        <v>9940.75457187969</v>
      </c>
      <c r="BA38" s="262">
        <v>451699.932834837</v>
      </c>
      <c r="BB38" s="262">
        <v>4421.1841155192942</v>
      </c>
      <c r="BC38" s="263">
        <v>447278.74871931772</v>
      </c>
      <c r="BD38" s="261">
        <v>4472.7874871931772</v>
      </c>
      <c r="BE38" s="262">
        <v>442805.96123212454</v>
      </c>
      <c r="BF38" s="354">
        <v>0.98031000016560876</v>
      </c>
      <c r="BG38" s="31"/>
      <c r="BJ38" s="523">
        <v>0.94989999999999997</v>
      </c>
      <c r="BK38" s="524"/>
      <c r="BL38" s="4">
        <v>0.95420990641000092</v>
      </c>
      <c r="BM38" s="4">
        <v>0.95</v>
      </c>
      <c r="BN38" s="4" t="s">
        <v>1003</v>
      </c>
      <c r="BO38" s="31">
        <v>46.616060767672025</v>
      </c>
      <c r="BP38" s="31">
        <v>442852.57729289221</v>
      </c>
      <c r="BQ38" s="31">
        <v>442852.57729289221</v>
      </c>
      <c r="BR38" s="4">
        <v>0.98041320155524614</v>
      </c>
      <c r="BS38" s="4" t="s">
        <v>900</v>
      </c>
      <c r="BT38" s="448" t="s">
        <v>900</v>
      </c>
      <c r="BU38" s="367" t="s">
        <v>900</v>
      </c>
      <c r="BV38" s="368">
        <v>442805.96123212454</v>
      </c>
      <c r="BX38" s="449">
        <v>-16415.449178561161</v>
      </c>
      <c r="BY38" s="450">
        <v>-3.5747015273772581E-2</v>
      </c>
      <c r="BZ38" s="368">
        <v>-35.862446753204665</v>
      </c>
      <c r="CB38" s="31">
        <v>25968</v>
      </c>
      <c r="CC38" s="31">
        <v>34777.86731271883</v>
      </c>
      <c r="CD38" s="31" t="e">
        <v>#VALUE!</v>
      </c>
      <c r="CE38" s="31" t="s">
        <v>900</v>
      </c>
      <c r="CF38" s="31" t="e">
        <v>#VALUE!</v>
      </c>
      <c r="CJ38" s="702" t="s">
        <v>1447</v>
      </c>
      <c r="CK38" s="702" t="s">
        <v>1447</v>
      </c>
      <c r="CL38" s="702" t="s">
        <v>1448</v>
      </c>
      <c r="CN38" s="702" t="s">
        <v>1447</v>
      </c>
      <c r="CO38" s="702" t="s">
        <v>1447</v>
      </c>
      <c r="CP38" s="702" t="s">
        <v>1447</v>
      </c>
      <c r="CQ38" s="702" t="s">
        <v>1447</v>
      </c>
      <c r="CS38" s="451">
        <v>0</v>
      </c>
      <c r="CT38" s="452">
        <v>0</v>
      </c>
      <c r="CU38" s="452">
        <v>0.95</v>
      </c>
      <c r="CV38" s="453">
        <v>0.95</v>
      </c>
    </row>
    <row r="39" spans="1:100" outlineLevel="1" x14ac:dyDescent="0.3">
      <c r="A39" s="1">
        <v>20227000</v>
      </c>
      <c r="B39" s="47">
        <v>402530</v>
      </c>
      <c r="C39" s="47">
        <v>4174</v>
      </c>
      <c r="D39" s="47" t="s">
        <v>135</v>
      </c>
      <c r="E39" s="47" t="s">
        <v>54</v>
      </c>
      <c r="F39" s="47" t="s">
        <v>1498</v>
      </c>
      <c r="G39" s="47" t="s">
        <v>1502</v>
      </c>
      <c r="H39" s="47" t="s">
        <v>1513</v>
      </c>
      <c r="I39" s="382">
        <v>1985</v>
      </c>
      <c r="J39" s="382">
        <v>0</v>
      </c>
      <c r="K39" s="382">
        <v>0</v>
      </c>
      <c r="L39" s="382">
        <v>54</v>
      </c>
      <c r="M39" s="382">
        <v>0</v>
      </c>
      <c r="N39" s="382">
        <v>1985</v>
      </c>
      <c r="O39" s="444">
        <v>4445</v>
      </c>
      <c r="P39" s="445">
        <v>2039</v>
      </c>
      <c r="Q39" s="346">
        <v>0.45871766029246347</v>
      </c>
      <c r="R39" s="445">
        <v>3614</v>
      </c>
      <c r="S39" s="447">
        <v>3116</v>
      </c>
      <c r="T39" s="445">
        <v>-287.86827623560828</v>
      </c>
      <c r="U39" s="444">
        <v>3994.1491113418115</v>
      </c>
      <c r="V39" s="445">
        <v>1751.1317237643916</v>
      </c>
      <c r="W39" s="229">
        <v>0.43842422377068163</v>
      </c>
      <c r="X39" s="261">
        <v>940409.80386016401</v>
      </c>
      <c r="Y39" s="262">
        <v>224061.30864344395</v>
      </c>
      <c r="Z39" s="262">
        <v>584721.78001758712</v>
      </c>
      <c r="AA39" s="262">
        <v>650903.69343439781</v>
      </c>
      <c r="AB39" s="263">
        <v>2400096.5859555928</v>
      </c>
      <c r="AC39" s="262">
        <v>808045.49301546067</v>
      </c>
      <c r="AD39" s="262">
        <v>192524.29086267034</v>
      </c>
      <c r="AE39" s="262">
        <v>502421.17539796035</v>
      </c>
      <c r="AF39" s="263">
        <v>559287.86972215667</v>
      </c>
      <c r="AG39" s="262">
        <v>808045.49301546067</v>
      </c>
      <c r="AH39" s="262">
        <v>192524.29086267034</v>
      </c>
      <c r="AI39" s="262">
        <v>502421.17539796035</v>
      </c>
      <c r="AJ39" s="263">
        <v>559287.86972215667</v>
      </c>
      <c r="AK39" s="262">
        <v>808045.49301546067</v>
      </c>
      <c r="AL39" s="262">
        <v>192524.29086267034</v>
      </c>
      <c r="AM39" s="262">
        <v>502421.17539796035</v>
      </c>
      <c r="AN39" s="262">
        <v>559287.86972215667</v>
      </c>
      <c r="AO39" s="263">
        <v>2062278.8289982481</v>
      </c>
      <c r="AP39" s="31"/>
      <c r="AQ39" s="261">
        <v>795772.06266307202</v>
      </c>
      <c r="AR39" s="262">
        <v>191213.85346008404</v>
      </c>
      <c r="AS39" s="262">
        <v>495462.40084998676</v>
      </c>
      <c r="AT39" s="262">
        <v>555878.00403915194</v>
      </c>
      <c r="AU39" s="263">
        <v>2038326.3210122949</v>
      </c>
      <c r="AV39" s="31"/>
      <c r="AW39" s="323">
        <v>2227855.1364564062</v>
      </c>
      <c r="AX39" s="31"/>
      <c r="AY39" s="747">
        <v>0</v>
      </c>
      <c r="AZ39" s="262">
        <v>0</v>
      </c>
      <c r="BA39" s="262">
        <v>2038326.3210122949</v>
      </c>
      <c r="BB39" s="262">
        <v>19950.890619236794</v>
      </c>
      <c r="BC39" s="263">
        <v>2018375.4303930581</v>
      </c>
      <c r="BD39" s="261">
        <v>20183.754303930582</v>
      </c>
      <c r="BE39" s="262">
        <v>1998191.6760891275</v>
      </c>
      <c r="BF39" s="354">
        <v>0.89691274957285683</v>
      </c>
      <c r="BG39" s="31"/>
      <c r="BJ39" s="4">
        <v>0.89691274957285683</v>
      </c>
      <c r="BL39" s="4">
        <v>0.96214385397313906</v>
      </c>
      <c r="BM39" s="4">
        <v>0.95</v>
      </c>
      <c r="BN39" s="4" t="s">
        <v>1003</v>
      </c>
      <c r="BO39" s="31">
        <v>118270.70354445837</v>
      </c>
      <c r="BP39" s="31">
        <v>2116462.3796335859</v>
      </c>
      <c r="BQ39" s="31">
        <v>2116462.3796335859</v>
      </c>
      <c r="BR39" s="4">
        <v>0.95</v>
      </c>
      <c r="BS39" s="4" t="s">
        <v>900</v>
      </c>
      <c r="BT39" s="448" t="s">
        <v>900</v>
      </c>
      <c r="BU39" s="367" t="s">
        <v>900</v>
      </c>
      <c r="BV39" s="368">
        <v>1998191.6760891275</v>
      </c>
      <c r="BX39" s="449">
        <v>-105905.49741087249</v>
      </c>
      <c r="BY39" s="450">
        <v>-5.0332987822376579E-2</v>
      </c>
      <c r="BZ39" s="368">
        <v>-60.478315807795667</v>
      </c>
      <c r="CB39" s="31">
        <v>208823</v>
      </c>
      <c r="CC39" s="31">
        <v>240669.34883968977</v>
      </c>
      <c r="CD39" s="31" t="e">
        <v>#VALUE!</v>
      </c>
      <c r="CE39" s="31" t="s">
        <v>900</v>
      </c>
      <c r="CF39" s="31" t="e">
        <v>#VALUE!</v>
      </c>
      <c r="CJ39" s="702" t="s">
        <v>1447</v>
      </c>
      <c r="CK39" s="702" t="s">
        <v>1447</v>
      </c>
      <c r="CL39" s="702" t="s">
        <v>1448</v>
      </c>
      <c r="CN39" s="702" t="s">
        <v>1447</v>
      </c>
      <c r="CO39" s="702" t="s">
        <v>1447</v>
      </c>
      <c r="CP39" s="702" t="s">
        <v>1447</v>
      </c>
      <c r="CQ39" s="702" t="s">
        <v>1447</v>
      </c>
      <c r="CS39" s="451">
        <v>0</v>
      </c>
      <c r="CT39" s="452">
        <v>0</v>
      </c>
      <c r="CU39" s="452">
        <v>0.95</v>
      </c>
      <c r="CV39" s="453">
        <v>0.95</v>
      </c>
    </row>
    <row r="40" spans="1:100" outlineLevel="1" x14ac:dyDescent="0.3">
      <c r="A40" s="1">
        <v>20268000</v>
      </c>
      <c r="B40" s="47">
        <v>401460</v>
      </c>
      <c r="C40" s="47">
        <v>4175</v>
      </c>
      <c r="D40" s="47" t="s">
        <v>384</v>
      </c>
      <c r="E40" s="47" t="s">
        <v>54</v>
      </c>
      <c r="F40" s="47" t="s">
        <v>1498</v>
      </c>
      <c r="G40" s="47" t="s">
        <v>1502</v>
      </c>
      <c r="H40" s="47" t="s">
        <v>1506</v>
      </c>
      <c r="I40" s="382">
        <v>1349</v>
      </c>
      <c r="J40" s="382">
        <v>24</v>
      </c>
      <c r="K40" s="382">
        <v>0</v>
      </c>
      <c r="L40" s="382">
        <v>37</v>
      </c>
      <c r="M40" s="382">
        <v>0</v>
      </c>
      <c r="N40" s="382">
        <v>1373</v>
      </c>
      <c r="O40" s="444">
        <v>7434</v>
      </c>
      <c r="P40" s="445">
        <v>1410</v>
      </c>
      <c r="Q40" s="346">
        <v>0.18966908797417273</v>
      </c>
      <c r="R40" s="445">
        <v>5736</v>
      </c>
      <c r="S40" s="447">
        <v>2394</v>
      </c>
      <c r="T40" s="445">
        <v>-195.63027674297766</v>
      </c>
      <c r="U40" s="444">
        <v>6679.978513771659</v>
      </c>
      <c r="V40" s="445">
        <v>1214.3697232570223</v>
      </c>
      <c r="W40" s="229">
        <v>0.18179245947474809</v>
      </c>
      <c r="X40" s="261">
        <v>650307.90752468421</v>
      </c>
      <c r="Y40" s="262">
        <v>154096.49958687826</v>
      </c>
      <c r="Z40" s="262">
        <v>223991.09671812513</v>
      </c>
      <c r="AA40" s="262">
        <v>162661.579386044</v>
      </c>
      <c r="AB40" s="263">
        <v>1191057.0832157317</v>
      </c>
      <c r="AC40" s="262">
        <v>558775.94171250588</v>
      </c>
      <c r="AD40" s="262">
        <v>132407.15002068511</v>
      </c>
      <c r="AE40" s="262">
        <v>192463.96138760858</v>
      </c>
      <c r="AF40" s="263">
        <v>139766.67998371256</v>
      </c>
      <c r="AG40" s="262">
        <v>558775.94171250588</v>
      </c>
      <c r="AH40" s="262">
        <v>132407.15002068511</v>
      </c>
      <c r="AI40" s="262">
        <v>192463.96138760858</v>
      </c>
      <c r="AJ40" s="263">
        <v>139766.67998371256</v>
      </c>
      <c r="AK40" s="262">
        <v>558775.94171250588</v>
      </c>
      <c r="AL40" s="262">
        <v>132407.15002068511</v>
      </c>
      <c r="AM40" s="262">
        <v>192463.96138760858</v>
      </c>
      <c r="AN40" s="262">
        <v>139766.67998371256</v>
      </c>
      <c r="AO40" s="263">
        <v>1023413.7331045121</v>
      </c>
      <c r="AP40" s="31"/>
      <c r="AQ40" s="261">
        <v>550288.67501467955</v>
      </c>
      <c r="AR40" s="262">
        <v>128202.86151690055</v>
      </c>
      <c r="AS40" s="262">
        <v>189798.24309887318</v>
      </c>
      <c r="AT40" s="262">
        <v>136984.75516441982</v>
      </c>
      <c r="AU40" s="263">
        <v>1005274.5347948731</v>
      </c>
      <c r="AV40" s="31"/>
      <c r="AW40" s="323">
        <v>951589.16290248453</v>
      </c>
      <c r="AX40" s="31"/>
      <c r="AY40" s="747">
        <v>0</v>
      </c>
      <c r="AZ40" s="262">
        <v>53685.371892388561</v>
      </c>
      <c r="BA40" s="262">
        <v>951589.16290248453</v>
      </c>
      <c r="BB40" s="262">
        <v>9314.0392231652186</v>
      </c>
      <c r="BC40" s="263">
        <v>942275.12367931928</v>
      </c>
      <c r="BD40" s="261">
        <v>9422.7512367931922</v>
      </c>
      <c r="BE40" s="262">
        <v>932852.37244252604</v>
      </c>
      <c r="BF40" s="354">
        <v>0.98031000016560865</v>
      </c>
      <c r="BG40" s="31"/>
      <c r="BJ40" s="4">
        <v>0.98031000016560865</v>
      </c>
      <c r="BL40" s="4">
        <v>0.98374352253494457</v>
      </c>
      <c r="BM40" s="4">
        <v>0.9</v>
      </c>
      <c r="BN40" s="4" t="s">
        <v>900</v>
      </c>
      <c r="BO40" s="31" t="s">
        <v>900</v>
      </c>
      <c r="BP40" s="31" t="s">
        <v>900</v>
      </c>
      <c r="BQ40" s="31">
        <v>889534.57542994921</v>
      </c>
      <c r="BR40" s="4">
        <v>0.93478846765839596</v>
      </c>
      <c r="BS40" s="4" t="s">
        <v>900</v>
      </c>
      <c r="BT40" s="448" t="s">
        <v>900</v>
      </c>
      <c r="BU40" s="367" t="s">
        <v>900</v>
      </c>
      <c r="BV40" s="368">
        <v>932852.37244252604</v>
      </c>
      <c r="BX40" s="449">
        <v>517.3616837275913</v>
      </c>
      <c r="BY40" s="450">
        <v>5.5493206537790454E-4</v>
      </c>
      <c r="BZ40" s="368">
        <v>0.4260330884567774</v>
      </c>
      <c r="CB40" s="31" t="s">
        <v>900</v>
      </c>
      <c r="CC40" s="31">
        <v>26062.146182331351</v>
      </c>
      <c r="CD40" s="31" t="e">
        <v>#VALUE!</v>
      </c>
      <c r="CE40" s="31" t="s">
        <v>900</v>
      </c>
      <c r="CF40" s="31" t="e">
        <v>#VALUE!</v>
      </c>
      <c r="CJ40" s="702" t="s">
        <v>1447</v>
      </c>
      <c r="CK40" s="702" t="s">
        <v>1447</v>
      </c>
      <c r="CL40" s="702" t="s">
        <v>1448</v>
      </c>
      <c r="CN40" s="702" t="s">
        <v>1447</v>
      </c>
      <c r="CO40" s="702" t="s">
        <v>1447</v>
      </c>
      <c r="CP40" s="702" t="s">
        <v>1447</v>
      </c>
      <c r="CQ40" s="702" t="s">
        <v>1447</v>
      </c>
      <c r="CS40" s="451">
        <v>0</v>
      </c>
      <c r="CT40" s="452">
        <v>0.9</v>
      </c>
      <c r="CU40" s="452">
        <v>0</v>
      </c>
      <c r="CV40" s="453">
        <v>0.9</v>
      </c>
    </row>
    <row r="41" spans="1:100" outlineLevel="1" x14ac:dyDescent="0.3">
      <c r="A41" s="1">
        <v>20326000</v>
      </c>
      <c r="B41" s="47">
        <v>402130</v>
      </c>
      <c r="C41" s="47">
        <v>4177</v>
      </c>
      <c r="D41" s="47" t="s">
        <v>530</v>
      </c>
      <c r="E41" s="47" t="s">
        <v>54</v>
      </c>
      <c r="F41" s="47" t="s">
        <v>900</v>
      </c>
      <c r="G41" s="47" t="s">
        <v>900</v>
      </c>
      <c r="H41" s="47" t="s">
        <v>900</v>
      </c>
      <c r="I41" s="382">
        <v>12</v>
      </c>
      <c r="J41" s="382">
        <v>0</v>
      </c>
      <c r="K41" s="382">
        <v>0</v>
      </c>
      <c r="L41" s="382">
        <v>0</v>
      </c>
      <c r="M41" s="382">
        <v>0</v>
      </c>
      <c r="N41" s="382">
        <v>12</v>
      </c>
      <c r="O41" s="444">
        <v>33</v>
      </c>
      <c r="P41" s="445">
        <v>12</v>
      </c>
      <c r="Q41" s="346">
        <v>0.36363636363636365</v>
      </c>
      <c r="R41" s="445">
        <v>88</v>
      </c>
      <c r="S41" s="447">
        <v>43</v>
      </c>
      <c r="T41" s="445">
        <v>-1.7403171474329022</v>
      </c>
      <c r="U41" s="444">
        <v>29.652850545394774</v>
      </c>
      <c r="V41" s="445">
        <v>10.259682852567098</v>
      </c>
      <c r="W41" s="229">
        <v>0.34599313940697934</v>
      </c>
      <c r="X41" s="261">
        <v>6896.2623591073889</v>
      </c>
      <c r="Y41" s="262">
        <v>1632.9514844006194</v>
      </c>
      <c r="Z41" s="262">
        <v>4453.6754422979266</v>
      </c>
      <c r="AA41" s="262">
        <v>4620.4477713151582</v>
      </c>
      <c r="AB41" s="263">
        <v>17603.337057121094</v>
      </c>
      <c r="AC41" s="262">
        <v>5925.6014718850238</v>
      </c>
      <c r="AD41" s="262">
        <v>1403.1107309457955</v>
      </c>
      <c r="AE41" s="262">
        <v>3826.8128997915087</v>
      </c>
      <c r="AF41" s="263">
        <v>3970.111734266552</v>
      </c>
      <c r="AG41" s="262">
        <v>5925.6014718850238</v>
      </c>
      <c r="AH41" s="262">
        <v>1403.1107309457955</v>
      </c>
      <c r="AI41" s="262">
        <v>3826.8128997915087</v>
      </c>
      <c r="AJ41" s="263">
        <v>3970.111734266552</v>
      </c>
      <c r="AK41" s="262">
        <v>5925.6014718850238</v>
      </c>
      <c r="AL41" s="262">
        <v>1403.1107309457955</v>
      </c>
      <c r="AM41" s="262">
        <v>3826.8128997915087</v>
      </c>
      <c r="AN41" s="262">
        <v>3970.111734266552</v>
      </c>
      <c r="AO41" s="263">
        <v>15125.63683688888</v>
      </c>
      <c r="AP41" s="31"/>
      <c r="AQ41" s="261">
        <v>5835.5973104982822</v>
      </c>
      <c r="AR41" s="262">
        <v>1361.8515230808478</v>
      </c>
      <c r="AS41" s="262">
        <v>3773.8097034476582</v>
      </c>
      <c r="AT41" s="262">
        <v>3891.0903797476599</v>
      </c>
      <c r="AU41" s="263">
        <v>14862.348916774448</v>
      </c>
      <c r="AV41" s="31"/>
      <c r="AW41" s="323">
        <v>14574.505558629467</v>
      </c>
      <c r="AX41" s="31"/>
      <c r="AY41" s="747">
        <v>0</v>
      </c>
      <c r="AZ41" s="262">
        <v>287.84335814498081</v>
      </c>
      <c r="BA41" s="262">
        <v>14574.505558629467</v>
      </c>
      <c r="BB41" s="262">
        <v>142.65349136308447</v>
      </c>
      <c r="BC41" s="263">
        <v>14431.852067266384</v>
      </c>
      <c r="BD41" s="261">
        <v>144.31852067266385</v>
      </c>
      <c r="BE41" s="262">
        <v>14287.533546593721</v>
      </c>
      <c r="BF41" s="354">
        <v>0.98031000016560887</v>
      </c>
      <c r="BG41" s="31"/>
      <c r="BJ41" s="4">
        <v>0.98031000016560887</v>
      </c>
      <c r="BL41" s="4">
        <v>0.95000000000000007</v>
      </c>
      <c r="BM41" s="4">
        <v>0.95</v>
      </c>
      <c r="BN41" s="4" t="s">
        <v>900</v>
      </c>
      <c r="BO41" s="31" t="s">
        <v>900</v>
      </c>
      <c r="BP41" s="31" t="s">
        <v>900</v>
      </c>
      <c r="BQ41" s="31">
        <v>13624.079718030016</v>
      </c>
      <c r="BR41" s="4">
        <v>0.93478846765839607</v>
      </c>
      <c r="BS41" s="4" t="s">
        <v>1639</v>
      </c>
      <c r="BT41" s="448" t="s">
        <v>900</v>
      </c>
      <c r="BU41" s="367" t="s">
        <v>900</v>
      </c>
      <c r="BV41" s="368">
        <v>14287.533546593721</v>
      </c>
      <c r="BX41" s="449">
        <v>-70.046750630694078</v>
      </c>
      <c r="BY41" s="450">
        <v>-4.8789266821486817E-3</v>
      </c>
      <c r="BZ41" s="368">
        <v>-6.8273797189712866</v>
      </c>
      <c r="CB41" s="31">
        <v>1125</v>
      </c>
      <c r="CC41" s="31">
        <v>1317.9433499006595</v>
      </c>
      <c r="CD41" s="31" t="e">
        <v>#VALUE!</v>
      </c>
      <c r="CE41" s="31" t="s">
        <v>900</v>
      </c>
      <c r="CF41" s="31" t="e">
        <v>#VALUE!</v>
      </c>
      <c r="CJ41" s="702" t="s">
        <v>1447</v>
      </c>
      <c r="CK41" s="702" t="s">
        <v>1447</v>
      </c>
      <c r="CL41" s="702" t="s">
        <v>1448</v>
      </c>
      <c r="CN41" s="702" t="s">
        <v>1447</v>
      </c>
      <c r="CO41" s="702" t="s">
        <v>1447</v>
      </c>
      <c r="CP41" s="702" t="s">
        <v>1447</v>
      </c>
      <c r="CQ41" s="702" t="s">
        <v>1447</v>
      </c>
      <c r="CS41" s="451">
        <v>0</v>
      </c>
      <c r="CT41" s="452">
        <v>0</v>
      </c>
      <c r="CU41" s="452">
        <v>0.95</v>
      </c>
      <c r="CV41" s="453">
        <v>0.95</v>
      </c>
    </row>
    <row r="42" spans="1:100" s="237" customFormat="1" outlineLevel="1" x14ac:dyDescent="0.3">
      <c r="A42" s="236"/>
      <c r="B42" s="237">
        <v>481003</v>
      </c>
      <c r="D42" s="237" t="s">
        <v>877</v>
      </c>
      <c r="E42" s="237" t="s">
        <v>54</v>
      </c>
      <c r="F42" s="237" t="s">
        <v>900</v>
      </c>
      <c r="G42" s="237" t="s">
        <v>900</v>
      </c>
      <c r="H42" s="237" t="s">
        <v>900</v>
      </c>
      <c r="I42" s="760">
        <v>1</v>
      </c>
      <c r="J42" s="760">
        <v>0</v>
      </c>
      <c r="K42" s="760">
        <v>0</v>
      </c>
      <c r="L42" s="760">
        <v>0</v>
      </c>
      <c r="M42" s="760">
        <v>0</v>
      </c>
      <c r="N42" s="760">
        <v>1</v>
      </c>
      <c r="O42" s="525">
        <v>5</v>
      </c>
      <c r="P42" s="526">
        <v>1</v>
      </c>
      <c r="Q42" s="350">
        <v>0.2</v>
      </c>
      <c r="R42" s="526" t="s">
        <v>900</v>
      </c>
      <c r="S42" s="528" t="s">
        <v>900</v>
      </c>
      <c r="T42" s="526"/>
      <c r="U42" s="525"/>
      <c r="V42" s="526"/>
      <c r="W42" s="241">
        <v>0</v>
      </c>
      <c r="X42" s="273">
        <v>0</v>
      </c>
      <c r="Y42" s="274">
        <v>0</v>
      </c>
      <c r="Z42" s="274">
        <v>0</v>
      </c>
      <c r="AA42" s="274">
        <v>0</v>
      </c>
      <c r="AB42" s="275">
        <v>0</v>
      </c>
      <c r="AC42" s="274" t="s">
        <v>900</v>
      </c>
      <c r="AD42" s="274" t="s">
        <v>900</v>
      </c>
      <c r="AE42" s="274" t="s">
        <v>900</v>
      </c>
      <c r="AF42" s="275" t="s">
        <v>900</v>
      </c>
      <c r="AG42" s="274" t="s">
        <v>900</v>
      </c>
      <c r="AH42" s="274" t="s">
        <v>900</v>
      </c>
      <c r="AI42" s="274" t="s">
        <v>900</v>
      </c>
      <c r="AJ42" s="275" t="s">
        <v>900</v>
      </c>
      <c r="AK42" s="274" t="s">
        <v>900</v>
      </c>
      <c r="AL42" s="274" t="s">
        <v>900</v>
      </c>
      <c r="AM42" s="274" t="s">
        <v>900</v>
      </c>
      <c r="AN42" s="274" t="s">
        <v>900</v>
      </c>
      <c r="AO42" s="275">
        <v>0</v>
      </c>
      <c r="AQ42" s="273">
        <v>0</v>
      </c>
      <c r="AR42" s="274">
        <v>0</v>
      </c>
      <c r="AS42" s="274">
        <v>0</v>
      </c>
      <c r="AT42" s="274">
        <v>0</v>
      </c>
      <c r="AU42" s="275">
        <v>0</v>
      </c>
      <c r="AW42" s="327">
        <v>0</v>
      </c>
      <c r="AY42" s="379">
        <v>0</v>
      </c>
      <c r="AZ42" s="274">
        <v>0</v>
      </c>
      <c r="BA42" s="274">
        <v>0</v>
      </c>
      <c r="BB42" s="274"/>
      <c r="BC42" s="275"/>
      <c r="BD42" s="273"/>
      <c r="BE42" s="274"/>
      <c r="BF42" s="366" t="s">
        <v>1450</v>
      </c>
      <c r="BJ42" s="529"/>
      <c r="BK42" s="239"/>
      <c r="BL42" s="529"/>
      <c r="BM42" s="529"/>
      <c r="BN42" s="529"/>
      <c r="BQ42" s="242"/>
      <c r="BR42" s="529"/>
      <c r="BT42" s="530" t="s">
        <v>900</v>
      </c>
      <c r="BU42" s="531" t="s">
        <v>900</v>
      </c>
      <c r="BV42" s="532"/>
      <c r="BX42" s="533">
        <v>0</v>
      </c>
      <c r="BY42" s="534" t="s">
        <v>900</v>
      </c>
      <c r="BZ42" s="532" t="s">
        <v>900</v>
      </c>
      <c r="CB42" s="242" t="s">
        <v>900</v>
      </c>
      <c r="CC42" s="242">
        <v>0</v>
      </c>
      <c r="CD42" s="242" t="e">
        <v>#VALUE!</v>
      </c>
      <c r="CE42" s="242" t="s">
        <v>900</v>
      </c>
      <c r="CF42" s="242" t="e">
        <v>#VALUE!</v>
      </c>
      <c r="CJ42" s="535" t="s">
        <v>1447</v>
      </c>
      <c r="CK42" s="535" t="s">
        <v>1447</v>
      </c>
      <c r="CL42" s="535" t="s">
        <v>1447</v>
      </c>
      <c r="CN42" s="535" t="s">
        <v>1448</v>
      </c>
      <c r="CO42" s="535" t="s">
        <v>1448</v>
      </c>
      <c r="CP42" s="535" t="s">
        <v>1448</v>
      </c>
      <c r="CQ42" s="535" t="s">
        <v>1448</v>
      </c>
      <c r="CS42" s="536">
        <v>0.85</v>
      </c>
      <c r="CT42" s="537">
        <v>0</v>
      </c>
      <c r="CU42" s="537">
        <v>0</v>
      </c>
      <c r="CV42" s="538">
        <v>0.85</v>
      </c>
    </row>
    <row r="43" spans="1:100" s="48" customFormat="1" outlineLevel="1" x14ac:dyDescent="0.3">
      <c r="A43" s="202">
        <v>28750000</v>
      </c>
      <c r="B43" s="48">
        <v>400016</v>
      </c>
      <c r="C43" s="48">
        <v>4191</v>
      </c>
      <c r="D43" s="48" t="s">
        <v>98</v>
      </c>
      <c r="E43" s="48" t="s">
        <v>54</v>
      </c>
      <c r="F43" s="48" t="s">
        <v>1498</v>
      </c>
      <c r="G43" s="48" t="s">
        <v>1499</v>
      </c>
      <c r="H43" s="48" t="s">
        <v>1506</v>
      </c>
      <c r="O43" s="454" t="s">
        <v>900</v>
      </c>
      <c r="P43" s="455" t="s">
        <v>900</v>
      </c>
      <c r="Q43" s="347" t="s">
        <v>900</v>
      </c>
      <c r="R43" s="455">
        <v>1130</v>
      </c>
      <c r="S43" s="457">
        <v>950</v>
      </c>
      <c r="T43" s="455"/>
      <c r="U43" s="454">
        <v>1130</v>
      </c>
      <c r="V43" s="455">
        <v>476.26124352134804</v>
      </c>
      <c r="W43" s="230">
        <v>0.42147012701004249</v>
      </c>
      <c r="X43" s="264" t="s">
        <v>900</v>
      </c>
      <c r="Y43" s="265" t="s">
        <v>900</v>
      </c>
      <c r="Z43" s="265" t="s">
        <v>900</v>
      </c>
      <c r="AA43" s="265" t="s">
        <v>900</v>
      </c>
      <c r="AB43" s="266" t="s">
        <v>900</v>
      </c>
      <c r="AC43" s="265">
        <v>226476.36411767197</v>
      </c>
      <c r="AD43" s="265">
        <v>53861.994485259187</v>
      </c>
      <c r="AE43" s="265">
        <v>109321.97143096247</v>
      </c>
      <c r="AF43" s="266">
        <v>106297.30795952275</v>
      </c>
      <c r="AG43" s="265">
        <v>226476.36411767197</v>
      </c>
      <c r="AH43" s="265">
        <v>53861.994485259187</v>
      </c>
      <c r="AI43" s="265">
        <v>109321.97143096247</v>
      </c>
      <c r="AJ43" s="266">
        <v>106297.30795952275</v>
      </c>
      <c r="AK43" s="265">
        <v>226476.36411767197</v>
      </c>
      <c r="AL43" s="265">
        <v>53861.994485259187</v>
      </c>
      <c r="AM43" s="265">
        <v>109321.97143096247</v>
      </c>
      <c r="AN43" s="265">
        <v>106297.30795952275</v>
      </c>
      <c r="AO43" s="266">
        <v>495957.63799341634</v>
      </c>
      <c r="AP43" s="203"/>
      <c r="AQ43" s="264">
        <v>223036.40695500356</v>
      </c>
      <c r="AR43" s="265">
        <v>52151.729109334206</v>
      </c>
      <c r="AS43" s="265">
        <v>107807.80962891362</v>
      </c>
      <c r="AT43" s="265">
        <v>106350.31398826186</v>
      </c>
      <c r="AU43" s="266">
        <v>489346.2596815133</v>
      </c>
      <c r="AV43" s="203"/>
      <c r="AW43" s="324">
        <v>471445.04863545147</v>
      </c>
      <c r="AX43" s="203"/>
      <c r="AY43" s="377">
        <v>0</v>
      </c>
      <c r="AZ43" s="265">
        <v>17901.211046061828</v>
      </c>
      <c r="BA43" s="265">
        <v>471445.04863545147</v>
      </c>
      <c r="BB43" s="265">
        <v>4614.4469123253439</v>
      </c>
      <c r="BC43" s="266">
        <v>466830.60172312614</v>
      </c>
      <c r="BD43" s="264">
        <v>4668.3060172312616</v>
      </c>
      <c r="BE43" s="265">
        <v>462162.29570589488</v>
      </c>
      <c r="BF43" s="357">
        <v>0.98031000016560876</v>
      </c>
      <c r="BG43" s="203"/>
      <c r="BJ43" s="458">
        <v>0.98031000016560876</v>
      </c>
      <c r="BK43" s="210"/>
      <c r="BL43" s="458"/>
      <c r="BM43" s="458"/>
      <c r="BN43" s="458"/>
      <c r="BQ43" s="203">
        <v>440701.39459907165</v>
      </c>
      <c r="BR43" s="458">
        <v>0.93478846765839596</v>
      </c>
      <c r="BT43" s="459" t="s">
        <v>900</v>
      </c>
      <c r="BU43" s="460" t="s">
        <v>900</v>
      </c>
      <c r="BV43" s="461">
        <v>462162.29570589488</v>
      </c>
      <c r="BX43" s="462">
        <v>2855.2928574790712</v>
      </c>
      <c r="BY43" s="463">
        <v>6.2167749191307199E-3</v>
      </c>
      <c r="BZ43" s="461">
        <v>5.9952240420988296</v>
      </c>
      <c r="CB43" s="203">
        <v>14326</v>
      </c>
      <c r="CC43" s="203">
        <v>23031.809546808116</v>
      </c>
      <c r="CD43" s="203" t="e">
        <v>#VALUE!</v>
      </c>
      <c r="CE43" s="203" t="s">
        <v>900</v>
      </c>
      <c r="CF43" s="203" t="e">
        <v>#VALUE!</v>
      </c>
      <c r="CH43" s="199"/>
      <c r="CJ43" s="464" t="s">
        <v>1448</v>
      </c>
      <c r="CK43" s="464" t="s">
        <v>1447</v>
      </c>
      <c r="CL43" s="464" t="s">
        <v>1448</v>
      </c>
      <c r="CN43" s="464" t="s">
        <v>1447</v>
      </c>
      <c r="CO43" s="464" t="s">
        <v>1447</v>
      </c>
      <c r="CP43" s="464" t="s">
        <v>1447</v>
      </c>
      <c r="CQ43" s="464" t="s">
        <v>1447</v>
      </c>
      <c r="CS43" s="465">
        <v>0</v>
      </c>
      <c r="CT43" s="466">
        <v>0</v>
      </c>
      <c r="CU43" s="466">
        <v>0.95</v>
      </c>
      <c r="CV43" s="467">
        <v>0.95</v>
      </c>
    </row>
    <row r="44" spans="1:100" s="48" customFormat="1" outlineLevel="1" x14ac:dyDescent="0.3">
      <c r="A44" s="202">
        <v>28701000</v>
      </c>
      <c r="B44" s="48">
        <v>400632</v>
      </c>
      <c r="C44" s="48">
        <v>81027</v>
      </c>
      <c r="D44" s="48" t="s">
        <v>108</v>
      </c>
      <c r="E44" s="48" t="s">
        <v>54</v>
      </c>
      <c r="F44" s="48" t="s">
        <v>1498</v>
      </c>
      <c r="G44" s="48" t="s">
        <v>1499</v>
      </c>
      <c r="H44" s="48" t="s">
        <v>1506</v>
      </c>
      <c r="O44" s="454" t="s">
        <v>900</v>
      </c>
      <c r="P44" s="455" t="s">
        <v>900</v>
      </c>
      <c r="Q44" s="347" t="s">
        <v>900</v>
      </c>
      <c r="R44" s="455">
        <v>365</v>
      </c>
      <c r="S44" s="457">
        <v>212</v>
      </c>
      <c r="T44" s="455"/>
      <c r="U44" s="454">
        <v>365</v>
      </c>
      <c r="V44" s="455">
        <v>106.28145644897451</v>
      </c>
      <c r="W44" s="230">
        <v>0.29118207246294386</v>
      </c>
      <c r="X44" s="264" t="s">
        <v>900</v>
      </c>
      <c r="Y44" s="265" t="s">
        <v>900</v>
      </c>
      <c r="Z44" s="265" t="s">
        <v>900</v>
      </c>
      <c r="AA44" s="265" t="s">
        <v>900</v>
      </c>
      <c r="AB44" s="266" t="s">
        <v>900</v>
      </c>
      <c r="AC44" s="265">
        <v>50539.988624154161</v>
      </c>
      <c r="AD44" s="265">
        <v>12019.72929565784</v>
      </c>
      <c r="AE44" s="265">
        <v>24396.06099301478</v>
      </c>
      <c r="AF44" s="266">
        <v>23721.083460440866</v>
      </c>
      <c r="AG44" s="265">
        <v>50539.988624154161</v>
      </c>
      <c r="AH44" s="265">
        <v>12019.72929565784</v>
      </c>
      <c r="AI44" s="265">
        <v>24396.06099301478</v>
      </c>
      <c r="AJ44" s="266">
        <v>23721.083460440866</v>
      </c>
      <c r="AK44" s="265">
        <v>50539.988624154161</v>
      </c>
      <c r="AL44" s="265">
        <v>12019.72929565784</v>
      </c>
      <c r="AM44" s="265">
        <v>24396.06099301478</v>
      </c>
      <c r="AN44" s="265">
        <v>23721.083460440866</v>
      </c>
      <c r="AO44" s="266">
        <v>110676.86237326765</v>
      </c>
      <c r="AP44" s="203"/>
      <c r="AQ44" s="264">
        <v>51070.540526675017</v>
      </c>
      <c r="AR44" s="265">
        <v>12194.515688114388</v>
      </c>
      <c r="AS44" s="265">
        <v>25335.776487481842</v>
      </c>
      <c r="AT44" s="265">
        <v>25277.65793704188</v>
      </c>
      <c r="AU44" s="266">
        <v>113878.49063931312</v>
      </c>
      <c r="AV44" s="203"/>
      <c r="AW44" s="324">
        <v>118279.70450972278</v>
      </c>
      <c r="AX44" s="203"/>
      <c r="AY44" s="377">
        <v>0</v>
      </c>
      <c r="AZ44" s="265">
        <v>0</v>
      </c>
      <c r="BA44" s="265">
        <v>113878.49063931312</v>
      </c>
      <c r="BB44" s="265">
        <v>1114.6288438744118</v>
      </c>
      <c r="BC44" s="266">
        <v>112763.86179543872</v>
      </c>
      <c r="BD44" s="264">
        <v>1127.6386179543872</v>
      </c>
      <c r="BE44" s="265">
        <v>111636.22317748432</v>
      </c>
      <c r="BF44" s="357">
        <v>0.94383244902600894</v>
      </c>
      <c r="BG44" s="203"/>
      <c r="BJ44" s="458">
        <v>0.94383244902600894</v>
      </c>
      <c r="BK44" s="210"/>
      <c r="BL44" s="458"/>
      <c r="BM44" s="458"/>
      <c r="BN44" s="458"/>
      <c r="BQ44" s="203">
        <v>106452.2997639745</v>
      </c>
      <c r="BR44" s="458">
        <v>0.90000478277508678</v>
      </c>
      <c r="BT44" s="459">
        <v>-8.5790523868592814</v>
      </c>
      <c r="BU44" s="460">
        <v>-9577.3300691075219</v>
      </c>
      <c r="BV44" s="461">
        <v>102058.8931083768</v>
      </c>
      <c r="BX44" s="462">
        <v>6031.580936923885</v>
      </c>
      <c r="BY44" s="463">
        <v>6.281363676354916E-2</v>
      </c>
      <c r="BZ44" s="461">
        <v>56.75101883666445</v>
      </c>
      <c r="CB44" s="203" t="s">
        <v>900</v>
      </c>
      <c r="CC44" s="203">
        <v>2057.5438898373154</v>
      </c>
      <c r="CD44" s="203" t="e">
        <v>#VALUE!</v>
      </c>
      <c r="CE44" s="203" t="e">
        <v>#VALUE!</v>
      </c>
      <c r="CF44" s="203" t="e">
        <v>#VALUE!</v>
      </c>
      <c r="CH44" s="199"/>
      <c r="CJ44" s="464" t="s">
        <v>1448</v>
      </c>
      <c r="CK44" s="464" t="s">
        <v>1447</v>
      </c>
      <c r="CL44" s="464" t="s">
        <v>1448</v>
      </c>
      <c r="CN44" s="464" t="s">
        <v>1447</v>
      </c>
      <c r="CO44" s="464" t="s">
        <v>1447</v>
      </c>
      <c r="CP44" s="464" t="s">
        <v>1447</v>
      </c>
      <c r="CQ44" s="464" t="s">
        <v>1447</v>
      </c>
      <c r="CS44" s="465">
        <v>0</v>
      </c>
      <c r="CT44" s="466">
        <v>0.9</v>
      </c>
      <c r="CU44" s="466">
        <v>0</v>
      </c>
      <c r="CV44" s="467">
        <v>0.9</v>
      </c>
    </row>
    <row r="45" spans="1:100" s="48" customFormat="1" outlineLevel="1" x14ac:dyDescent="0.3">
      <c r="A45" s="202">
        <v>28751000</v>
      </c>
      <c r="B45" s="48">
        <v>400284</v>
      </c>
      <c r="C45" s="48">
        <v>79503</v>
      </c>
      <c r="D45" s="48" t="s">
        <v>309</v>
      </c>
      <c r="E45" s="48" t="s">
        <v>54</v>
      </c>
      <c r="F45" s="48" t="s">
        <v>1498</v>
      </c>
      <c r="G45" s="48" t="s">
        <v>1502</v>
      </c>
      <c r="H45" s="48" t="s">
        <v>1512</v>
      </c>
      <c r="O45" s="454" t="s">
        <v>900</v>
      </c>
      <c r="P45" s="455" t="s">
        <v>900</v>
      </c>
      <c r="Q45" s="347" t="s">
        <v>900</v>
      </c>
      <c r="R45" s="455">
        <v>425</v>
      </c>
      <c r="S45" s="457">
        <v>391</v>
      </c>
      <c r="T45" s="455"/>
      <c r="U45" s="454">
        <v>425</v>
      </c>
      <c r="V45" s="455">
        <v>196.01910128089165</v>
      </c>
      <c r="W45" s="230">
        <v>0.46122141477856859</v>
      </c>
      <c r="X45" s="264" t="s">
        <v>900</v>
      </c>
      <c r="Y45" s="265" t="s">
        <v>900</v>
      </c>
      <c r="Z45" s="265" t="s">
        <v>900</v>
      </c>
      <c r="AA45" s="265" t="s">
        <v>900</v>
      </c>
      <c r="AB45" s="266" t="s">
        <v>900</v>
      </c>
      <c r="AC45" s="265">
        <v>93212.903547378664</v>
      </c>
      <c r="AD45" s="265">
        <v>22168.462993406676</v>
      </c>
      <c r="AE45" s="265">
        <v>44994.621925796127</v>
      </c>
      <c r="AF45" s="266">
        <v>43749.734118077256</v>
      </c>
      <c r="AG45" s="265">
        <v>93212.903547378664</v>
      </c>
      <c r="AH45" s="265">
        <v>22168.462993406676</v>
      </c>
      <c r="AI45" s="265">
        <v>44994.621925796127</v>
      </c>
      <c r="AJ45" s="266">
        <v>43749.734118077256</v>
      </c>
      <c r="AK45" s="265">
        <v>93212.903547378664</v>
      </c>
      <c r="AL45" s="265">
        <v>22168.462993406676</v>
      </c>
      <c r="AM45" s="265">
        <v>44994.621925796127</v>
      </c>
      <c r="AN45" s="265">
        <v>43749.734118077256</v>
      </c>
      <c r="AO45" s="266">
        <v>204125.72258465874</v>
      </c>
      <c r="AP45" s="203"/>
      <c r="AQ45" s="264">
        <v>106544.17534928191</v>
      </c>
      <c r="AR45" s="265">
        <v>25440.392922714527</v>
      </c>
      <c r="AS45" s="265">
        <v>52855.900580933681</v>
      </c>
      <c r="AT45" s="265">
        <v>52734.652735007956</v>
      </c>
      <c r="AU45" s="266">
        <v>237575.12158793808</v>
      </c>
      <c r="AV45" s="203"/>
      <c r="AW45" s="324">
        <v>233769.79334704642</v>
      </c>
      <c r="AX45" s="203"/>
      <c r="AY45" s="377">
        <v>0</v>
      </c>
      <c r="AZ45" s="265">
        <v>3805.3282408916566</v>
      </c>
      <c r="BA45" s="265">
        <v>233769.79334704642</v>
      </c>
      <c r="BB45" s="265">
        <v>2288.110362442982</v>
      </c>
      <c r="BC45" s="266">
        <v>231481.68298460342</v>
      </c>
      <c r="BD45" s="264">
        <v>2314.8168298460341</v>
      </c>
      <c r="BE45" s="265">
        <v>229166.86615475739</v>
      </c>
      <c r="BF45" s="357">
        <v>0.98031000016560865</v>
      </c>
      <c r="BG45" s="203"/>
      <c r="BJ45" s="458">
        <v>0.98031000016560865</v>
      </c>
      <c r="BK45" s="210"/>
      <c r="BL45" s="458"/>
      <c r="BM45" s="458"/>
      <c r="BN45" s="458"/>
      <c r="BQ45" s="203">
        <v>218525.30690770541</v>
      </c>
      <c r="BR45" s="458">
        <v>0.93478846765839596</v>
      </c>
      <c r="BT45" s="459" t="s">
        <v>900</v>
      </c>
      <c r="BU45" s="460" t="s">
        <v>900</v>
      </c>
      <c r="BV45" s="461">
        <v>229166.86615475739</v>
      </c>
      <c r="BX45" s="462">
        <v>35439.956384551973</v>
      </c>
      <c r="BY45" s="463">
        <v>0.18294509910458845</v>
      </c>
      <c r="BZ45" s="461">
        <v>180.79848419347249</v>
      </c>
      <c r="CB45" s="203" t="s">
        <v>900</v>
      </c>
      <c r="CC45" s="203">
        <v>3542.3537455014834</v>
      </c>
      <c r="CD45" s="203" t="e">
        <v>#VALUE!</v>
      </c>
      <c r="CE45" s="203" t="s">
        <v>900</v>
      </c>
      <c r="CF45" s="203" t="e">
        <v>#VALUE!</v>
      </c>
      <c r="CH45" s="199"/>
      <c r="CJ45" s="464" t="s">
        <v>1448</v>
      </c>
      <c r="CK45" s="464" t="s">
        <v>1447</v>
      </c>
      <c r="CL45" s="464" t="s">
        <v>1448</v>
      </c>
      <c r="CN45" s="464" t="s">
        <v>1447</v>
      </c>
      <c r="CO45" s="464" t="s">
        <v>1447</v>
      </c>
      <c r="CP45" s="464" t="s">
        <v>1447</v>
      </c>
      <c r="CQ45" s="464" t="s">
        <v>1447</v>
      </c>
      <c r="CS45" s="465">
        <v>0</v>
      </c>
      <c r="CT45" s="466">
        <v>0</v>
      </c>
      <c r="CU45" s="466">
        <v>0.95</v>
      </c>
      <c r="CV45" s="467">
        <v>0.95</v>
      </c>
    </row>
    <row r="46" spans="1:100" s="48" customFormat="1" outlineLevel="1" x14ac:dyDescent="0.3">
      <c r="A46" s="202">
        <v>38708000</v>
      </c>
      <c r="B46" s="48">
        <v>400299</v>
      </c>
      <c r="C46" s="48">
        <v>79671</v>
      </c>
      <c r="D46" s="48" t="s">
        <v>431</v>
      </c>
      <c r="E46" s="48" t="s">
        <v>54</v>
      </c>
      <c r="F46" s="48" t="s">
        <v>1503</v>
      </c>
      <c r="G46" s="48" t="s">
        <v>1502</v>
      </c>
      <c r="H46" s="48" t="s">
        <v>1508</v>
      </c>
      <c r="O46" s="454" t="s">
        <v>900</v>
      </c>
      <c r="P46" s="455" t="s">
        <v>900</v>
      </c>
      <c r="Q46" s="347" t="s">
        <v>900</v>
      </c>
      <c r="R46" s="455">
        <v>47</v>
      </c>
      <c r="S46" s="457">
        <v>38</v>
      </c>
      <c r="T46" s="455"/>
      <c r="U46" s="454">
        <v>47</v>
      </c>
      <c r="V46" s="455">
        <v>19.050449740853921</v>
      </c>
      <c r="W46" s="230">
        <v>0.40532871789050895</v>
      </c>
      <c r="X46" s="264" t="s">
        <v>900</v>
      </c>
      <c r="Y46" s="265" t="s">
        <v>900</v>
      </c>
      <c r="Z46" s="265" t="s">
        <v>900</v>
      </c>
      <c r="AA46" s="265" t="s">
        <v>900</v>
      </c>
      <c r="AB46" s="266" t="s">
        <v>900</v>
      </c>
      <c r="AC46" s="265">
        <v>9059.0545647068775</v>
      </c>
      <c r="AD46" s="265">
        <v>2154.4797794103674</v>
      </c>
      <c r="AE46" s="265">
        <v>4372.8788572384983</v>
      </c>
      <c r="AF46" s="266">
        <v>4251.8923183809102</v>
      </c>
      <c r="AG46" s="265">
        <v>9059.0545647068775</v>
      </c>
      <c r="AH46" s="265">
        <v>2154.4797794103674</v>
      </c>
      <c r="AI46" s="265">
        <v>4372.8788572384983</v>
      </c>
      <c r="AJ46" s="266">
        <v>4251.8923183809102</v>
      </c>
      <c r="AK46" s="265">
        <v>9059.0545647068775</v>
      </c>
      <c r="AL46" s="265">
        <v>2154.4797794103674</v>
      </c>
      <c r="AM46" s="265">
        <v>4372.8788572384983</v>
      </c>
      <c r="AN46" s="265">
        <v>4251.8923183809102</v>
      </c>
      <c r="AO46" s="266">
        <v>19838.305519736652</v>
      </c>
      <c r="AP46" s="203"/>
      <c r="AQ46" s="264">
        <v>8921.4562782001412</v>
      </c>
      <c r="AR46" s="265">
        <v>2086.0691643733685</v>
      </c>
      <c r="AS46" s="265">
        <v>4312.3123851565442</v>
      </c>
      <c r="AT46" s="265">
        <v>4081.0857599286433</v>
      </c>
      <c r="AU46" s="266">
        <v>19400.923587658697</v>
      </c>
      <c r="AV46" s="203"/>
      <c r="AW46" s="324">
        <v>17579.027072532212</v>
      </c>
      <c r="AX46" s="203"/>
      <c r="AY46" s="377">
        <v>0</v>
      </c>
      <c r="AZ46" s="265">
        <v>1821.8965151264856</v>
      </c>
      <c r="BA46" s="265">
        <v>17579.027072532212</v>
      </c>
      <c r="BB46" s="265">
        <v>172.06138325413752</v>
      </c>
      <c r="BC46" s="266">
        <v>17406.965689278073</v>
      </c>
      <c r="BD46" s="264">
        <v>174.06965689278073</v>
      </c>
      <c r="BE46" s="265">
        <v>17232.896032385292</v>
      </c>
      <c r="BF46" s="357">
        <v>0.98031000016560865</v>
      </c>
      <c r="BG46" s="203"/>
      <c r="BJ46" s="458">
        <v>0.98031000016560865</v>
      </c>
      <c r="BK46" s="210"/>
      <c r="BL46" s="458"/>
      <c r="BM46" s="458"/>
      <c r="BN46" s="458"/>
      <c r="BQ46" s="203">
        <v>16432.671780057844</v>
      </c>
      <c r="BR46" s="458">
        <v>0.93478846765839596</v>
      </c>
      <c r="BT46" s="459" t="s">
        <v>900</v>
      </c>
      <c r="BU46" s="460" t="s">
        <v>900</v>
      </c>
      <c r="BV46" s="461">
        <v>17232.896032385292</v>
      </c>
      <c r="BX46" s="462">
        <v>-841.67600960216078</v>
      </c>
      <c r="BY46" s="463">
        <v>-4.6568738910138963E-2</v>
      </c>
      <c r="BZ46" s="461">
        <v>-44.181424640971933</v>
      </c>
      <c r="CB46" s="203" t="s">
        <v>900</v>
      </c>
      <c r="CC46" s="203">
        <v>350.06336543944684</v>
      </c>
      <c r="CD46" s="203" t="e">
        <v>#VALUE!</v>
      </c>
      <c r="CE46" s="203" t="s">
        <v>900</v>
      </c>
      <c r="CF46" s="203" t="e">
        <v>#VALUE!</v>
      </c>
      <c r="CH46" s="199"/>
      <c r="CJ46" s="464" t="s">
        <v>1448</v>
      </c>
      <c r="CK46" s="464" t="s">
        <v>1447</v>
      </c>
      <c r="CL46" s="464" t="s">
        <v>1448</v>
      </c>
      <c r="CN46" s="464" t="s">
        <v>1447</v>
      </c>
      <c r="CO46" s="464" t="s">
        <v>1447</v>
      </c>
      <c r="CP46" s="464" t="s">
        <v>1447</v>
      </c>
      <c r="CQ46" s="464" t="s">
        <v>1447</v>
      </c>
      <c r="CS46" s="465">
        <v>0</v>
      </c>
      <c r="CT46" s="466">
        <v>0</v>
      </c>
      <c r="CU46" s="466">
        <v>0.95</v>
      </c>
      <c r="CV46" s="467">
        <v>0.95</v>
      </c>
    </row>
    <row r="47" spans="1:100" s="48" customFormat="1" outlineLevel="1" x14ac:dyDescent="0.3">
      <c r="A47" s="202">
        <v>108796000</v>
      </c>
      <c r="D47" s="48" t="s">
        <v>1514</v>
      </c>
      <c r="E47" s="48" t="s">
        <v>54</v>
      </c>
      <c r="F47" s="48" t="s">
        <v>900</v>
      </c>
      <c r="G47" s="48" t="s">
        <v>900</v>
      </c>
      <c r="H47" s="48" t="s">
        <v>900</v>
      </c>
      <c r="O47" s="454" t="s">
        <v>900</v>
      </c>
      <c r="P47" s="455" t="s">
        <v>900</v>
      </c>
      <c r="Q47" s="347" t="s">
        <v>900</v>
      </c>
      <c r="R47" s="455">
        <v>149.54416199913831</v>
      </c>
      <c r="S47" s="457">
        <v>59.856958207669109</v>
      </c>
      <c r="T47" s="455"/>
      <c r="U47" s="454">
        <v>149.54416199913831</v>
      </c>
      <c r="V47" s="455">
        <v>30.00794668356826</v>
      </c>
      <c r="W47" s="230">
        <v>0.20066277601489499</v>
      </c>
      <c r="X47" s="264"/>
      <c r="Y47" s="265"/>
      <c r="Z47" s="265"/>
      <c r="AA47" s="265"/>
      <c r="AB47" s="266"/>
      <c r="AC47" s="265">
        <v>14269.669749490886</v>
      </c>
      <c r="AD47" s="265">
        <v>3393.7001609324875</v>
      </c>
      <c r="AE47" s="265">
        <v>6888.0849211822269</v>
      </c>
      <c r="AF47" s="266">
        <v>6697.5089685483008</v>
      </c>
      <c r="AG47" s="265">
        <v>14269.669749490886</v>
      </c>
      <c r="AH47" s="265">
        <v>3393.7001609324875</v>
      </c>
      <c r="AI47" s="265">
        <v>6888.0849211822269</v>
      </c>
      <c r="AJ47" s="266">
        <v>6697.5089685483008</v>
      </c>
      <c r="AK47" s="265">
        <v>14269.669749490886</v>
      </c>
      <c r="AL47" s="265">
        <v>3393.7001609324875</v>
      </c>
      <c r="AM47" s="265">
        <v>6888.0849211822269</v>
      </c>
      <c r="AN47" s="265">
        <v>6697.5089685483008</v>
      </c>
      <c r="AO47" s="266">
        <v>31248.963800153902</v>
      </c>
      <c r="AP47" s="203"/>
      <c r="AQ47" s="264">
        <v>0</v>
      </c>
      <c r="AR47" s="265">
        <v>0</v>
      </c>
      <c r="AS47" s="265">
        <v>0</v>
      </c>
      <c r="AT47" s="265">
        <v>0</v>
      </c>
      <c r="AU47" s="266">
        <v>0</v>
      </c>
      <c r="AV47" s="203"/>
      <c r="AW47" s="324">
        <v>0</v>
      </c>
      <c r="AX47" s="203"/>
      <c r="AY47" s="377">
        <v>0</v>
      </c>
      <c r="AZ47" s="265">
        <v>0</v>
      </c>
      <c r="BA47" s="265">
        <v>0</v>
      </c>
      <c r="BB47" s="265">
        <v>0</v>
      </c>
      <c r="BC47" s="266">
        <v>0</v>
      </c>
      <c r="BD47" s="264">
        <v>0</v>
      </c>
      <c r="BE47" s="265">
        <v>0</v>
      </c>
      <c r="BF47" s="357" t="s">
        <v>1450</v>
      </c>
      <c r="BG47" s="203"/>
      <c r="BJ47" s="458"/>
      <c r="BK47" s="210"/>
      <c r="BL47" s="458"/>
      <c r="BM47" s="458"/>
      <c r="BN47" s="458"/>
      <c r="BQ47" s="203">
        <v>0</v>
      </c>
      <c r="BR47" s="458"/>
      <c r="BT47" s="459">
        <v>0</v>
      </c>
      <c r="BU47" s="460"/>
      <c r="BV47" s="461">
        <v>0</v>
      </c>
      <c r="BX47" s="462">
        <v>-29657.042306434963</v>
      </c>
      <c r="BY47" s="463">
        <v>-1.0000404154725355</v>
      </c>
      <c r="BZ47" s="461">
        <v>-988.30628497065925</v>
      </c>
      <c r="CB47" s="203" t="s">
        <v>900</v>
      </c>
      <c r="CC47" s="203">
        <v>628.22422692751104</v>
      </c>
      <c r="CD47" s="203" t="e">
        <v>#VALUE!</v>
      </c>
      <c r="CE47" s="203" t="s">
        <v>900</v>
      </c>
      <c r="CF47" s="203" t="e">
        <v>#VALUE!</v>
      </c>
      <c r="CH47" s="199"/>
      <c r="CJ47" s="464" t="s">
        <v>1448</v>
      </c>
      <c r="CK47" s="464" t="s">
        <v>1447</v>
      </c>
      <c r="CL47" s="464" t="s">
        <v>1448</v>
      </c>
      <c r="CN47" s="464" t="s">
        <v>1447</v>
      </c>
      <c r="CO47" s="464" t="s">
        <v>1447</v>
      </c>
      <c r="CP47" s="464" t="s">
        <v>1447</v>
      </c>
      <c r="CQ47" s="464" t="s">
        <v>1447</v>
      </c>
      <c r="CS47" s="465">
        <v>0</v>
      </c>
      <c r="CT47" s="466">
        <v>0.9</v>
      </c>
      <c r="CU47" s="466">
        <v>0</v>
      </c>
      <c r="CV47" s="467">
        <v>0.9</v>
      </c>
    </row>
    <row r="48" spans="1:100" s="469" customFormat="1" outlineLevel="1" x14ac:dyDescent="0.3">
      <c r="A48" s="468"/>
      <c r="D48" s="469" t="s">
        <v>878</v>
      </c>
      <c r="E48" s="469" t="s">
        <v>900</v>
      </c>
      <c r="F48" s="469" t="s">
        <v>900</v>
      </c>
      <c r="G48" s="469" t="s">
        <v>900</v>
      </c>
      <c r="H48" s="469" t="s">
        <v>900</v>
      </c>
      <c r="I48" s="469">
        <v>0</v>
      </c>
      <c r="J48" s="469">
        <v>0</v>
      </c>
      <c r="K48" s="469">
        <v>0</v>
      </c>
      <c r="L48" s="469">
        <v>0</v>
      </c>
      <c r="M48" s="469">
        <v>0</v>
      </c>
      <c r="N48" s="469">
        <v>0</v>
      </c>
      <c r="O48" s="470">
        <v>0</v>
      </c>
      <c r="P48" s="471">
        <v>0</v>
      </c>
      <c r="Q48" s="846"/>
      <c r="R48" s="471">
        <v>2116.5441619991384</v>
      </c>
      <c r="S48" s="472">
        <v>1650.8569582076691</v>
      </c>
      <c r="T48" s="471"/>
      <c r="U48" s="470">
        <v>2116.5441619991384</v>
      </c>
      <c r="V48" s="471">
        <v>827.62019767563629</v>
      </c>
      <c r="W48" s="473"/>
      <c r="X48" s="474"/>
      <c r="Y48" s="475"/>
      <c r="Z48" s="475"/>
      <c r="AA48" s="475"/>
      <c r="AB48" s="476"/>
      <c r="AC48" s="475">
        <v>393557.98060340254</v>
      </c>
      <c r="AD48" s="475">
        <v>93598.366714666568</v>
      </c>
      <c r="AE48" s="475">
        <v>189973.6181281941</v>
      </c>
      <c r="AF48" s="476">
        <v>184717.52682497009</v>
      </c>
      <c r="AG48" s="475"/>
      <c r="AH48" s="475"/>
      <c r="AI48" s="475"/>
      <c r="AJ48" s="476"/>
      <c r="AK48" s="475"/>
      <c r="AL48" s="475"/>
      <c r="AM48" s="475"/>
      <c r="AN48" s="475"/>
      <c r="AO48" s="476"/>
      <c r="AQ48" s="474"/>
      <c r="AR48" s="475"/>
      <c r="AS48" s="475"/>
      <c r="AT48" s="475"/>
      <c r="AU48" s="476"/>
      <c r="AW48" s="477"/>
      <c r="AY48" s="847"/>
      <c r="AZ48" s="475"/>
      <c r="BA48" s="475"/>
      <c r="BB48" s="475"/>
      <c r="BC48" s="476"/>
      <c r="BD48" s="474"/>
      <c r="BE48" s="475"/>
      <c r="BF48" s="478" t="s">
        <v>1450</v>
      </c>
      <c r="BJ48" s="479"/>
      <c r="BK48" s="480"/>
      <c r="BL48" s="479"/>
      <c r="BM48" s="479"/>
      <c r="BN48" s="479"/>
      <c r="BQ48" s="481"/>
      <c r="BR48" s="479"/>
      <c r="BT48" s="482">
        <v>0</v>
      </c>
      <c r="BU48" s="483"/>
      <c r="BV48" s="484"/>
      <c r="BX48" s="485"/>
      <c r="BY48" s="486" t="s">
        <v>900</v>
      </c>
      <c r="BZ48" s="484">
        <v>0</v>
      </c>
      <c r="CB48" s="481"/>
      <c r="CE48" s="481"/>
      <c r="CH48" s="199"/>
      <c r="CJ48" s="487" t="s">
        <v>1450</v>
      </c>
      <c r="CK48" s="487" t="s">
        <v>1448</v>
      </c>
      <c r="CL48" s="487" t="s">
        <v>1448</v>
      </c>
      <c r="CN48" s="487" t="s">
        <v>1448</v>
      </c>
      <c r="CO48" s="487" t="s">
        <v>1450</v>
      </c>
      <c r="CP48" s="487" t="s">
        <v>1450</v>
      </c>
      <c r="CQ48" s="487" t="s">
        <v>1450</v>
      </c>
      <c r="CS48" s="488">
        <v>0.85</v>
      </c>
      <c r="CT48" s="489">
        <v>0</v>
      </c>
      <c r="CU48" s="489">
        <v>0</v>
      </c>
      <c r="CV48" s="490">
        <v>0.85</v>
      </c>
    </row>
    <row r="49" spans="1:100" s="492" customFormat="1" outlineLevel="1" x14ac:dyDescent="0.3">
      <c r="A49" s="491" t="s">
        <v>880</v>
      </c>
      <c r="B49" s="492">
        <v>0.50132762475931369</v>
      </c>
      <c r="D49" s="492" t="s">
        <v>879</v>
      </c>
      <c r="E49" s="492" t="s">
        <v>900</v>
      </c>
      <c r="F49" s="492" t="s">
        <v>900</v>
      </c>
      <c r="G49" s="492" t="s">
        <v>900</v>
      </c>
      <c r="H49" s="492" t="s">
        <v>900</v>
      </c>
      <c r="I49" s="492">
        <v>5701</v>
      </c>
      <c r="J49" s="492">
        <v>24</v>
      </c>
      <c r="K49" s="492">
        <v>0</v>
      </c>
      <c r="L49" s="492">
        <v>155</v>
      </c>
      <c r="M49" s="492">
        <v>0</v>
      </c>
      <c r="N49" s="492">
        <v>5725</v>
      </c>
      <c r="O49" s="493">
        <v>20823</v>
      </c>
      <c r="P49" s="494">
        <v>5880</v>
      </c>
      <c r="Q49" s="848"/>
      <c r="R49" s="494">
        <v>18936.54416199914</v>
      </c>
      <c r="S49" s="495">
        <v>11728.856958207669</v>
      </c>
      <c r="T49" s="494"/>
      <c r="U49" s="493">
        <v>20822.999999999996</v>
      </c>
      <c r="V49" s="494">
        <v>5880.0000000000009</v>
      </c>
      <c r="W49" s="496"/>
      <c r="X49" s="497">
        <v>2796114.6096327691</v>
      </c>
      <c r="Y49" s="498">
        <v>664989.08294881624</v>
      </c>
      <c r="Z49" s="498">
        <v>1349707.1213716045</v>
      </c>
      <c r="AA49" s="498">
        <v>1312364.1264208336</v>
      </c>
      <c r="AB49" s="499">
        <v>6123174.9403740223</v>
      </c>
      <c r="AC49" s="498">
        <v>2796114.6096327687</v>
      </c>
      <c r="AD49" s="498">
        <v>664989.08294881636</v>
      </c>
      <c r="AE49" s="498">
        <v>1349707.1213716045</v>
      </c>
      <c r="AF49" s="499">
        <v>1312364.1264208339</v>
      </c>
      <c r="AG49" s="498">
        <v>2796114.6096327687</v>
      </c>
      <c r="AH49" s="498">
        <v>664989.08294881636</v>
      </c>
      <c r="AI49" s="498">
        <v>1349707.1213716045</v>
      </c>
      <c r="AJ49" s="499">
        <v>1312364.1264208339</v>
      </c>
      <c r="AK49" s="498">
        <v>2796114.6096327687</v>
      </c>
      <c r="AL49" s="498">
        <v>664989.08294881636</v>
      </c>
      <c r="AM49" s="498">
        <v>1349707.1213716045</v>
      </c>
      <c r="AN49" s="498">
        <v>1312364.1264208339</v>
      </c>
      <c r="AO49" s="499">
        <v>6123174.9403740223</v>
      </c>
      <c r="AP49" s="500"/>
      <c r="AQ49" s="497">
        <v>2756578.7365883645</v>
      </c>
      <c r="AR49" s="498">
        <v>650863.50404055987</v>
      </c>
      <c r="AS49" s="498">
        <v>1334824.2293953185</v>
      </c>
      <c r="AT49" s="498">
        <v>1305159.5027010827</v>
      </c>
      <c r="AU49" s="499">
        <v>6047425.9727253262</v>
      </c>
      <c r="AV49" s="500"/>
      <c r="AW49" s="501">
        <v>6158128.3206253182</v>
      </c>
      <c r="AX49" s="500"/>
      <c r="AY49" s="849">
        <v>0</v>
      </c>
      <c r="AZ49" s="498">
        <v>114698.53964683006</v>
      </c>
      <c r="BA49" s="498">
        <v>5932727.4330784958</v>
      </c>
      <c r="BB49" s="498">
        <v>58068.816004059532</v>
      </c>
      <c r="BC49" s="499">
        <v>5874658.6170744365</v>
      </c>
      <c r="BD49" s="497">
        <v>58746.586170744369</v>
      </c>
      <c r="BE49" s="498">
        <v>5815912.0309036924</v>
      </c>
      <c r="BF49" s="502">
        <v>0.94442852244967901</v>
      </c>
      <c r="BG49" s="500"/>
      <c r="BJ49" s="503"/>
      <c r="BK49" s="504"/>
      <c r="BL49" s="503"/>
      <c r="BM49" s="503"/>
      <c r="BN49" s="503"/>
      <c r="BO49" s="500">
        <v>120909.74830695694</v>
      </c>
      <c r="BP49" s="500">
        <v>3333020.2625539764</v>
      </c>
      <c r="BQ49" s="500">
        <v>5815912.0309036924</v>
      </c>
      <c r="BR49" s="503"/>
      <c r="BT49" s="497">
        <v>-13.296371818623793</v>
      </c>
      <c r="BU49" s="498">
        <v>-10470.711879262084</v>
      </c>
      <c r="BV49" s="499">
        <v>5805441.3190244306</v>
      </c>
      <c r="BX49" s="506"/>
      <c r="BY49" s="507" t="s">
        <v>900</v>
      </c>
      <c r="BZ49" s="505">
        <v>0</v>
      </c>
      <c r="CB49" s="500"/>
      <c r="CE49" s="500"/>
      <c r="CH49" s="395"/>
      <c r="CJ49" s="487" t="s">
        <v>1450</v>
      </c>
      <c r="CK49" s="487" t="s">
        <v>1448</v>
      </c>
      <c r="CL49" s="508" t="s">
        <v>1448</v>
      </c>
      <c r="CN49" s="487" t="s">
        <v>1448</v>
      </c>
      <c r="CO49" s="487" t="s">
        <v>1450</v>
      </c>
      <c r="CP49" s="487" t="s">
        <v>1450</v>
      </c>
      <c r="CQ49" s="487" t="s">
        <v>1450</v>
      </c>
      <c r="CS49" s="488">
        <v>0.85</v>
      </c>
      <c r="CT49" s="489">
        <v>0</v>
      </c>
      <c r="CU49" s="489">
        <v>0</v>
      </c>
      <c r="CV49" s="490">
        <v>0.85</v>
      </c>
    </row>
    <row r="50" spans="1:100" s="469" customFormat="1" outlineLevel="1" x14ac:dyDescent="0.3">
      <c r="A50" s="468"/>
      <c r="E50" s="469" t="s">
        <v>900</v>
      </c>
      <c r="F50" s="469" t="s">
        <v>900</v>
      </c>
      <c r="G50" s="469" t="s">
        <v>900</v>
      </c>
      <c r="H50" s="469" t="s">
        <v>900</v>
      </c>
      <c r="O50" s="470"/>
      <c r="P50" s="471"/>
      <c r="Q50" s="846"/>
      <c r="R50" s="471"/>
      <c r="S50" s="472"/>
      <c r="T50" s="471"/>
      <c r="U50" s="470"/>
      <c r="V50" s="471"/>
      <c r="W50" s="473"/>
      <c r="X50" s="474">
        <v>475.52969551577701</v>
      </c>
      <c r="Y50" s="475">
        <v>113.0933814538803</v>
      </c>
      <c r="Z50" s="475">
        <v>229.54202744415039</v>
      </c>
      <c r="AA50" s="475">
        <v>223.19117796272678</v>
      </c>
      <c r="AB50" s="476" t="s">
        <v>900</v>
      </c>
      <c r="AC50" s="475"/>
      <c r="AD50" s="475"/>
      <c r="AE50" s="475"/>
      <c r="AF50" s="476"/>
      <c r="AG50" s="475">
        <v>0</v>
      </c>
      <c r="AH50" s="475">
        <v>0</v>
      </c>
      <c r="AI50" s="475">
        <v>0</v>
      </c>
      <c r="AJ50" s="476">
        <v>0</v>
      </c>
      <c r="AK50" s="475"/>
      <c r="AL50" s="475"/>
      <c r="AM50" s="475"/>
      <c r="AN50" s="475"/>
      <c r="AO50" s="476"/>
      <c r="AQ50" s="474"/>
      <c r="AR50" s="475"/>
      <c r="AS50" s="475"/>
      <c r="AT50" s="475"/>
      <c r="AU50" s="476"/>
      <c r="AW50" s="477"/>
      <c r="AY50" s="847"/>
      <c r="AZ50" s="475"/>
      <c r="BA50" s="475"/>
      <c r="BB50" s="475"/>
      <c r="BC50" s="476"/>
      <c r="BD50" s="474"/>
      <c r="BE50" s="475"/>
      <c r="BF50" s="478" t="s">
        <v>1450</v>
      </c>
      <c r="BJ50" s="479"/>
      <c r="BK50" s="480"/>
      <c r="BL50" s="479"/>
      <c r="BM50" s="479"/>
      <c r="BN50" s="479"/>
      <c r="BQ50" s="481"/>
      <c r="BR50" s="479"/>
      <c r="BT50" s="482">
        <v>0</v>
      </c>
      <c r="BU50" s="483"/>
      <c r="BV50" s="484"/>
      <c r="BX50" s="485"/>
      <c r="BY50" s="486" t="s">
        <v>900</v>
      </c>
      <c r="BZ50" s="484" t="s">
        <v>900</v>
      </c>
      <c r="CB50" s="481"/>
      <c r="CE50" s="481"/>
      <c r="CH50" s="199"/>
      <c r="CJ50" s="487" t="s">
        <v>1450</v>
      </c>
      <c r="CK50" s="487" t="s">
        <v>1448</v>
      </c>
      <c r="CL50" s="487" t="s">
        <v>1448</v>
      </c>
      <c r="CN50" s="487" t="s">
        <v>1448</v>
      </c>
      <c r="CO50" s="487" t="s">
        <v>1450</v>
      </c>
      <c r="CP50" s="487" t="s">
        <v>1450</v>
      </c>
      <c r="CQ50" s="487" t="s">
        <v>1450</v>
      </c>
      <c r="CS50" s="488">
        <v>0.85</v>
      </c>
      <c r="CT50" s="489">
        <v>0</v>
      </c>
      <c r="CU50" s="489">
        <v>0</v>
      </c>
      <c r="CV50" s="490">
        <v>0.85</v>
      </c>
    </row>
    <row r="51" spans="1:100" s="199" customFormat="1" outlineLevel="1" x14ac:dyDescent="0.3">
      <c r="A51" s="201"/>
      <c r="E51" s="199" t="s">
        <v>900</v>
      </c>
      <c r="F51" s="199" t="s">
        <v>900</v>
      </c>
      <c r="G51" s="199" t="s">
        <v>900</v>
      </c>
      <c r="H51" s="199" t="s">
        <v>900</v>
      </c>
      <c r="O51" s="509" t="s">
        <v>900</v>
      </c>
      <c r="P51" s="510" t="s">
        <v>900</v>
      </c>
      <c r="Q51" s="349" t="s">
        <v>900</v>
      </c>
      <c r="R51" s="510" t="s">
        <v>900</v>
      </c>
      <c r="S51" s="512" t="s">
        <v>900</v>
      </c>
      <c r="T51" s="510"/>
      <c r="U51" s="509"/>
      <c r="V51" s="510"/>
      <c r="W51" s="232"/>
      <c r="X51" s="270" t="s">
        <v>900</v>
      </c>
      <c r="Y51" s="271" t="s">
        <v>900</v>
      </c>
      <c r="Z51" s="271" t="s">
        <v>900</v>
      </c>
      <c r="AA51" s="271" t="s">
        <v>900</v>
      </c>
      <c r="AB51" s="272" t="s">
        <v>900</v>
      </c>
      <c r="AC51" s="271"/>
      <c r="AD51" s="271"/>
      <c r="AE51" s="271"/>
      <c r="AF51" s="272"/>
      <c r="AG51" s="271"/>
      <c r="AH51" s="271"/>
      <c r="AI51" s="271"/>
      <c r="AJ51" s="272"/>
      <c r="AK51" s="271"/>
      <c r="AL51" s="271"/>
      <c r="AM51" s="271"/>
      <c r="AN51" s="271"/>
      <c r="AO51" s="272"/>
      <c r="AQ51" s="270"/>
      <c r="AR51" s="271"/>
      <c r="AS51" s="271"/>
      <c r="AT51" s="271"/>
      <c r="AU51" s="272"/>
      <c r="AW51" s="326"/>
      <c r="AY51" s="378"/>
      <c r="AZ51" s="271"/>
      <c r="BA51" s="271"/>
      <c r="BB51" s="271"/>
      <c r="BC51" s="272"/>
      <c r="BD51" s="270"/>
      <c r="BE51" s="271"/>
      <c r="BF51" s="363" t="s">
        <v>1450</v>
      </c>
      <c r="BJ51" s="513"/>
      <c r="BK51" s="221"/>
      <c r="BL51" s="513"/>
      <c r="BM51" s="513"/>
      <c r="BN51" s="513"/>
      <c r="BQ51" s="200"/>
      <c r="BR51" s="513"/>
      <c r="BT51" s="514">
        <v>0</v>
      </c>
      <c r="BU51" s="515"/>
      <c r="BV51" s="516"/>
      <c r="BX51" s="517"/>
      <c r="BY51" s="518" t="s">
        <v>900</v>
      </c>
      <c r="BZ51" s="516" t="s">
        <v>900</v>
      </c>
      <c r="CB51" s="200"/>
      <c r="CE51" s="200"/>
      <c r="CJ51" s="519" t="s">
        <v>1450</v>
      </c>
      <c r="CK51" s="519" t="s">
        <v>1448</v>
      </c>
      <c r="CL51" s="519" t="s">
        <v>1448</v>
      </c>
      <c r="CN51" s="519" t="s">
        <v>1448</v>
      </c>
      <c r="CO51" s="519" t="s">
        <v>1450</v>
      </c>
      <c r="CP51" s="519" t="s">
        <v>1450</v>
      </c>
      <c r="CQ51" s="519" t="s">
        <v>1450</v>
      </c>
      <c r="CS51" s="520">
        <v>0.85</v>
      </c>
      <c r="CT51" s="521">
        <v>0</v>
      </c>
      <c r="CU51" s="521">
        <v>0</v>
      </c>
      <c r="CV51" s="522">
        <v>0.85</v>
      </c>
    </row>
    <row r="52" spans="1:100" outlineLevel="1" x14ac:dyDescent="0.3">
      <c r="A52" s="1">
        <v>30310000</v>
      </c>
      <c r="B52" s="47">
        <v>404530</v>
      </c>
      <c r="C52" s="47">
        <v>4199</v>
      </c>
      <c r="D52" s="47" t="s">
        <v>267</v>
      </c>
      <c r="E52" s="47" t="s">
        <v>163</v>
      </c>
      <c r="F52" s="47" t="s">
        <v>1498</v>
      </c>
      <c r="G52" s="47" t="s">
        <v>1502</v>
      </c>
      <c r="H52" s="47" t="s">
        <v>1515</v>
      </c>
      <c r="I52" s="382">
        <v>29</v>
      </c>
      <c r="J52" s="382">
        <v>0</v>
      </c>
      <c r="K52" s="382">
        <v>0</v>
      </c>
      <c r="L52" s="382">
        <v>0</v>
      </c>
      <c r="M52" s="382">
        <v>0</v>
      </c>
      <c r="N52" s="382">
        <v>29</v>
      </c>
      <c r="O52" s="444">
        <v>159</v>
      </c>
      <c r="P52" s="445">
        <v>29</v>
      </c>
      <c r="Q52" s="346">
        <v>0.18238993710691823</v>
      </c>
      <c r="R52" s="445">
        <v>107</v>
      </c>
      <c r="S52" s="447">
        <v>53</v>
      </c>
      <c r="T52" s="445">
        <v>-1.0366542625354109</v>
      </c>
      <c r="U52" s="444">
        <v>153.16078938844228</v>
      </c>
      <c r="V52" s="445">
        <v>27.963345737464589</v>
      </c>
      <c r="W52" s="229">
        <v>0.18257509542174469</v>
      </c>
      <c r="X52" s="261">
        <v>13375.127176039599</v>
      </c>
      <c r="Y52" s="262">
        <v>3169.3606298010423</v>
      </c>
      <c r="Z52" s="262">
        <v>4072.3277614322101</v>
      </c>
      <c r="AA52" s="262">
        <v>2731.2832549840891</v>
      </c>
      <c r="AB52" s="263">
        <v>23348.098822256943</v>
      </c>
      <c r="AC52" s="262">
        <v>12941.641060386051</v>
      </c>
      <c r="AD52" s="262">
        <v>3067.117739998143</v>
      </c>
      <c r="AE52" s="262">
        <v>3942.778993325468</v>
      </c>
      <c r="AF52" s="263">
        <v>2648.6232846765351</v>
      </c>
      <c r="AG52" s="262">
        <v>12941.641060386051</v>
      </c>
      <c r="AH52" s="262">
        <v>3067.117739998143</v>
      </c>
      <c r="AI52" s="262">
        <v>3942.778993325468</v>
      </c>
      <c r="AJ52" s="263">
        <v>2648.6232846765351</v>
      </c>
      <c r="AK52" s="262">
        <v>12941.641060386051</v>
      </c>
      <c r="AL52" s="262">
        <v>3293.8301011184612</v>
      </c>
      <c r="AM52" s="262">
        <v>3942.778993325468</v>
      </c>
      <c r="AN52" s="262">
        <v>2648.6232846765351</v>
      </c>
      <c r="AO52" s="263">
        <v>22826.873439506515</v>
      </c>
      <c r="AP52" s="31"/>
      <c r="AQ52" s="261">
        <v>12745.070036139003</v>
      </c>
      <c r="AR52" s="262">
        <v>3189.2420027764269</v>
      </c>
      <c r="AS52" s="262">
        <v>3888.1696108978545</v>
      </c>
      <c r="AT52" s="262">
        <v>2542.2230764830197</v>
      </c>
      <c r="AU52" s="263">
        <v>22364.704726296306</v>
      </c>
      <c r="AV52" s="31"/>
      <c r="AW52" s="323">
        <v>13912.392027130789</v>
      </c>
      <c r="AX52" s="31"/>
      <c r="AY52" s="747">
        <v>0</v>
      </c>
      <c r="AZ52" s="262">
        <v>2109.8218048826384</v>
      </c>
      <c r="BA52" s="262">
        <v>20254.882921413668</v>
      </c>
      <c r="BB52" s="262">
        <v>198.25233550920427</v>
      </c>
      <c r="BC52" s="263">
        <v>20056.630585904462</v>
      </c>
      <c r="BD52" s="261">
        <v>200.56630585904463</v>
      </c>
      <c r="BE52" s="262">
        <v>19856.064280045419</v>
      </c>
      <c r="BF52" s="354">
        <v>1.4272214469894016</v>
      </c>
      <c r="BG52" s="31"/>
      <c r="BJ52" s="4">
        <v>1.4272214469894016</v>
      </c>
      <c r="BL52" s="4">
        <v>1.4967808544661589</v>
      </c>
      <c r="BM52" s="4">
        <v>0.9</v>
      </c>
      <c r="BN52" s="4" t="s">
        <v>900</v>
      </c>
      <c r="BO52" s="31" t="s">
        <v>900</v>
      </c>
      <c r="BP52" s="31" t="s">
        <v>900</v>
      </c>
      <c r="BQ52" s="31">
        <v>19705.72148708352</v>
      </c>
      <c r="BR52" s="4">
        <v>1.4164150527569279</v>
      </c>
      <c r="BS52" s="4" t="s">
        <v>900</v>
      </c>
      <c r="BT52" s="448" t="s">
        <v>900</v>
      </c>
      <c r="BU52" s="367" t="s">
        <v>900</v>
      </c>
      <c r="BV52" s="368">
        <v>19856.064280045419</v>
      </c>
      <c r="BX52" s="449">
        <v>-2600.8744161011564</v>
      </c>
      <c r="BY52" s="450">
        <v>-0.1216353636767095</v>
      </c>
      <c r="BZ52" s="368">
        <v>-93.010129779161943</v>
      </c>
      <c r="CB52" s="31">
        <v>1886</v>
      </c>
      <c r="CC52" s="31">
        <v>2485.4634782266753</v>
      </c>
      <c r="CD52" s="31" t="e">
        <v>#VALUE!</v>
      </c>
      <c r="CE52" s="31" t="s">
        <v>900</v>
      </c>
      <c r="CF52" s="31" t="e">
        <v>#VALUE!</v>
      </c>
      <c r="CJ52" s="702" t="s">
        <v>1447</v>
      </c>
      <c r="CK52" s="702" t="s">
        <v>1447</v>
      </c>
      <c r="CL52" s="702" t="s">
        <v>1448</v>
      </c>
      <c r="CN52" s="702" t="s">
        <v>1447</v>
      </c>
      <c r="CO52" s="702" t="s">
        <v>1447</v>
      </c>
      <c r="CP52" s="702" t="s">
        <v>1447</v>
      </c>
      <c r="CQ52" s="702" t="s">
        <v>1447</v>
      </c>
      <c r="CS52" s="451">
        <v>0</v>
      </c>
      <c r="CT52" s="452">
        <v>0.9</v>
      </c>
      <c r="CU52" s="452">
        <v>0</v>
      </c>
      <c r="CV52" s="453">
        <v>0.9</v>
      </c>
    </row>
    <row r="53" spans="1:100" outlineLevel="1" x14ac:dyDescent="0.3">
      <c r="A53" s="1">
        <v>30204000</v>
      </c>
      <c r="B53" s="47">
        <v>403550</v>
      </c>
      <c r="C53" s="47">
        <v>4194</v>
      </c>
      <c r="D53" s="47" t="s">
        <v>187</v>
      </c>
      <c r="E53" s="47" t="s">
        <v>163</v>
      </c>
      <c r="F53" s="47" t="s">
        <v>1503</v>
      </c>
      <c r="G53" s="47" t="s">
        <v>1502</v>
      </c>
      <c r="H53" s="47" t="s">
        <v>1500</v>
      </c>
      <c r="I53" s="382">
        <v>68</v>
      </c>
      <c r="J53" s="382">
        <v>0</v>
      </c>
      <c r="K53" s="382">
        <v>0</v>
      </c>
      <c r="L53" s="382">
        <v>1</v>
      </c>
      <c r="M53" s="382">
        <v>0</v>
      </c>
      <c r="N53" s="382">
        <v>68</v>
      </c>
      <c r="O53" s="444">
        <v>206</v>
      </c>
      <c r="P53" s="445">
        <v>69</v>
      </c>
      <c r="Q53" s="346">
        <v>0.33495145631067963</v>
      </c>
      <c r="R53" s="445">
        <v>288</v>
      </c>
      <c r="S53" s="447">
        <v>182</v>
      </c>
      <c r="T53" s="445">
        <v>-2.4241777946056353</v>
      </c>
      <c r="U53" s="444">
        <v>198.43473342150384</v>
      </c>
      <c r="V53" s="445">
        <v>66.57582220539436</v>
      </c>
      <c r="W53" s="229">
        <v>0.33550488393570577</v>
      </c>
      <c r="X53" s="261">
        <v>31823.578453335609</v>
      </c>
      <c r="Y53" s="262">
        <v>7540.8925329748918</v>
      </c>
      <c r="Z53" s="262">
        <v>15116.930632663332</v>
      </c>
      <c r="AA53" s="262">
        <v>13486.756841112723</v>
      </c>
      <c r="AB53" s="263">
        <v>67968.158460086561</v>
      </c>
      <c r="AC53" s="262">
        <v>30792.180454021996</v>
      </c>
      <c r="AD53" s="262">
        <v>7297.6249675817871</v>
      </c>
      <c r="AE53" s="262">
        <v>14636.031290630053</v>
      </c>
      <c r="AF53" s="263">
        <v>13078.591588388661</v>
      </c>
      <c r="AG53" s="262">
        <v>30792.180454021996</v>
      </c>
      <c r="AH53" s="262">
        <v>7297.6249675817871</v>
      </c>
      <c r="AI53" s="262">
        <v>14636.031290630053</v>
      </c>
      <c r="AJ53" s="263">
        <v>13078.591588388661</v>
      </c>
      <c r="AK53" s="262">
        <v>30792.180454021996</v>
      </c>
      <c r="AL53" s="262">
        <v>7524.337328702105</v>
      </c>
      <c r="AM53" s="262">
        <v>14636.031290630053</v>
      </c>
      <c r="AN53" s="262">
        <v>13078.591588388661</v>
      </c>
      <c r="AO53" s="263">
        <v>66031.140661742815</v>
      </c>
      <c r="AP53" s="31"/>
      <c r="AQ53" s="261">
        <v>30324.476982537635</v>
      </c>
      <c r="AR53" s="262">
        <v>7285.4190759890362</v>
      </c>
      <c r="AS53" s="262">
        <v>14433.315228855965</v>
      </c>
      <c r="AT53" s="262">
        <v>12897.050149671151</v>
      </c>
      <c r="AU53" s="263">
        <v>64940.261437053785</v>
      </c>
      <c r="AV53" s="31"/>
      <c r="AW53" s="323">
        <v>62123.109392050668</v>
      </c>
      <c r="AX53" s="31"/>
      <c r="AY53" s="747">
        <v>0</v>
      </c>
      <c r="AZ53" s="262">
        <v>2817.1520450031167</v>
      </c>
      <c r="BA53" s="262">
        <v>62123.109392050668</v>
      </c>
      <c r="BB53" s="262">
        <v>608.05345426347412</v>
      </c>
      <c r="BC53" s="263">
        <v>61515.055937787198</v>
      </c>
      <c r="BD53" s="261">
        <v>615.15055937787201</v>
      </c>
      <c r="BE53" s="262">
        <v>60899.905378409327</v>
      </c>
      <c r="BF53" s="354">
        <v>0.98031000016560887</v>
      </c>
      <c r="BG53" s="31"/>
      <c r="BJ53" s="4">
        <v>0.98031000016560887</v>
      </c>
      <c r="BL53" s="4">
        <v>0.97521651236813889</v>
      </c>
      <c r="BM53" s="4">
        <v>0.95</v>
      </c>
      <c r="BN53" s="4" t="s">
        <v>900</v>
      </c>
      <c r="BO53" s="31" t="s">
        <v>900</v>
      </c>
      <c r="BP53" s="31" t="s">
        <v>900</v>
      </c>
      <c r="BQ53" s="31">
        <v>60438.793763510563</v>
      </c>
      <c r="BR53" s="4">
        <v>0.97288745452339465</v>
      </c>
      <c r="BS53" s="4" t="s">
        <v>900</v>
      </c>
      <c r="BT53" s="448" t="s">
        <v>900</v>
      </c>
      <c r="BU53" s="367" t="s">
        <v>900</v>
      </c>
      <c r="BV53" s="368">
        <v>60899.905378409327</v>
      </c>
      <c r="BX53" s="449">
        <v>-2545.4791939638308</v>
      </c>
      <c r="BY53" s="450">
        <v>-4.014932886838813E-2</v>
      </c>
      <c r="BZ53" s="368">
        <v>-38.234288509584211</v>
      </c>
      <c r="CB53" s="31">
        <v>10229</v>
      </c>
      <c r="CC53" s="31">
        <v>11487.142105180323</v>
      </c>
      <c r="CD53" s="31" t="e">
        <v>#VALUE!</v>
      </c>
      <c r="CE53" s="31" t="s">
        <v>900</v>
      </c>
      <c r="CF53" s="31" t="e">
        <v>#VALUE!</v>
      </c>
      <c r="CJ53" s="702" t="s">
        <v>1447</v>
      </c>
      <c r="CK53" s="702" t="s">
        <v>1447</v>
      </c>
      <c r="CL53" s="702" t="s">
        <v>1448</v>
      </c>
      <c r="CN53" s="702" t="s">
        <v>1447</v>
      </c>
      <c r="CO53" s="702" t="s">
        <v>1447</v>
      </c>
      <c r="CP53" s="702" t="s">
        <v>1447</v>
      </c>
      <c r="CQ53" s="702" t="s">
        <v>1447</v>
      </c>
      <c r="CS53" s="451">
        <v>0</v>
      </c>
      <c r="CT53" s="452">
        <v>0</v>
      </c>
      <c r="CU53" s="452">
        <v>0.95</v>
      </c>
      <c r="CV53" s="453">
        <v>0.95</v>
      </c>
    </row>
    <row r="54" spans="1:100" outlineLevel="1" x14ac:dyDescent="0.3">
      <c r="A54" s="1">
        <v>30206000</v>
      </c>
      <c r="B54" s="47">
        <v>403080</v>
      </c>
      <c r="C54" s="47">
        <v>4195</v>
      </c>
      <c r="D54" s="47" t="s">
        <v>174</v>
      </c>
      <c r="E54" s="47" t="s">
        <v>163</v>
      </c>
      <c r="F54" s="47" t="s">
        <v>1498</v>
      </c>
      <c r="G54" s="47" t="s">
        <v>1499</v>
      </c>
      <c r="H54" s="47" t="s">
        <v>1515</v>
      </c>
      <c r="I54" s="382">
        <v>101</v>
      </c>
      <c r="J54" s="382">
        <v>0</v>
      </c>
      <c r="K54" s="382">
        <v>0</v>
      </c>
      <c r="L54" s="382">
        <v>2</v>
      </c>
      <c r="M54" s="382">
        <v>0</v>
      </c>
      <c r="N54" s="382">
        <v>101</v>
      </c>
      <c r="O54" s="444">
        <v>481</v>
      </c>
      <c r="P54" s="445">
        <v>103</v>
      </c>
      <c r="Q54" s="346">
        <v>0.21413721413721415</v>
      </c>
      <c r="R54" s="445">
        <v>254</v>
      </c>
      <c r="S54" s="447">
        <v>186</v>
      </c>
      <c r="T54" s="445">
        <v>-3.5972211344271536</v>
      </c>
      <c r="U54" s="444">
        <v>463.33546978516188</v>
      </c>
      <c r="V54" s="445">
        <v>99.402778865572841</v>
      </c>
      <c r="W54" s="229">
        <v>0.2145373824103379</v>
      </c>
      <c r="X54" s="261">
        <v>47504.762039037203</v>
      </c>
      <c r="Y54" s="262">
        <v>11256.694650672665</v>
      </c>
      <c r="Z54" s="262">
        <v>16953.382293797178</v>
      </c>
      <c r="AA54" s="262">
        <v>14650.92081707163</v>
      </c>
      <c r="AB54" s="263">
        <v>90365.759800578671</v>
      </c>
      <c r="AC54" s="262">
        <v>45965.138938612537</v>
      </c>
      <c r="AD54" s="262">
        <v>10893.556111027885</v>
      </c>
      <c r="AE54" s="262">
        <v>16414.061806825459</v>
      </c>
      <c r="AF54" s="263">
        <v>14207.523129370242</v>
      </c>
      <c r="AG54" s="262">
        <v>45965.138938612537</v>
      </c>
      <c r="AH54" s="262">
        <v>10893.556111027885</v>
      </c>
      <c r="AI54" s="262">
        <v>16414.061806825459</v>
      </c>
      <c r="AJ54" s="263">
        <v>14207.523129370242</v>
      </c>
      <c r="AK54" s="262">
        <v>45965.138938612537</v>
      </c>
      <c r="AL54" s="262">
        <v>11120.268472148204</v>
      </c>
      <c r="AM54" s="262">
        <v>16414.061806825459</v>
      </c>
      <c r="AN54" s="262">
        <v>14207.523129370242</v>
      </c>
      <c r="AO54" s="263">
        <v>87706.992346956438</v>
      </c>
      <c r="AP54" s="31"/>
      <c r="AQ54" s="261">
        <v>45266.972886976466</v>
      </c>
      <c r="AR54" s="262">
        <v>10767.169588219756</v>
      </c>
      <c r="AS54" s="262">
        <v>16201.94025972772</v>
      </c>
      <c r="AT54" s="262">
        <v>14010.311206963546</v>
      </c>
      <c r="AU54" s="263">
        <v>86246.39394188748</v>
      </c>
      <c r="AV54" s="31"/>
      <c r="AW54" s="323">
        <v>92162.431051813604</v>
      </c>
      <c r="AX54" s="31"/>
      <c r="AY54" s="747">
        <v>0</v>
      </c>
      <c r="AZ54" s="262">
        <v>0</v>
      </c>
      <c r="BA54" s="262">
        <v>86246.39394188748</v>
      </c>
      <c r="BB54" s="262">
        <v>844.16923536740478</v>
      </c>
      <c r="BC54" s="263">
        <v>85402.224706520079</v>
      </c>
      <c r="BD54" s="261">
        <v>854.02224706520076</v>
      </c>
      <c r="BE54" s="262">
        <v>84548.202459454871</v>
      </c>
      <c r="BF54" s="354">
        <v>0.9173825114478803</v>
      </c>
      <c r="BG54" s="31"/>
      <c r="BJ54" s="4">
        <v>0.9173825114478803</v>
      </c>
      <c r="BL54" s="4">
        <v>0.92717553609809533</v>
      </c>
      <c r="BM54" s="4">
        <v>0.9</v>
      </c>
      <c r="BN54" s="4" t="s">
        <v>900</v>
      </c>
      <c r="BO54" s="31" t="s">
        <v>900</v>
      </c>
      <c r="BP54" s="31" t="s">
        <v>900</v>
      </c>
      <c r="BQ54" s="31">
        <v>83908.034663944811</v>
      </c>
      <c r="BR54" s="4">
        <v>0.9104364295335462</v>
      </c>
      <c r="BS54" s="4" t="s">
        <v>900</v>
      </c>
      <c r="BT54" s="448" t="s">
        <v>900</v>
      </c>
      <c r="BU54" s="367" t="s">
        <v>900</v>
      </c>
      <c r="BV54" s="368">
        <v>84548.202459454871</v>
      </c>
      <c r="BX54" s="449">
        <v>-2214.1780833559897</v>
      </c>
      <c r="BY54" s="450">
        <v>-2.5867113712034141E-2</v>
      </c>
      <c r="BZ54" s="368">
        <v>-22.274810710778308</v>
      </c>
      <c r="CB54" s="31">
        <v>15511</v>
      </c>
      <c r="CC54" s="31">
        <v>17559.434949532322</v>
      </c>
      <c r="CD54" s="31" t="e">
        <v>#VALUE!</v>
      </c>
      <c r="CE54" s="31" t="s">
        <v>900</v>
      </c>
      <c r="CF54" s="31" t="e">
        <v>#VALUE!</v>
      </c>
      <c r="CJ54" s="702" t="s">
        <v>1447</v>
      </c>
      <c r="CK54" s="702" t="s">
        <v>1447</v>
      </c>
      <c r="CL54" s="702" t="s">
        <v>1448</v>
      </c>
      <c r="CN54" s="702" t="s">
        <v>1447</v>
      </c>
      <c r="CO54" s="702" t="s">
        <v>1447</v>
      </c>
      <c r="CP54" s="702" t="s">
        <v>1447</v>
      </c>
      <c r="CQ54" s="702" t="s">
        <v>1447</v>
      </c>
      <c r="CS54" s="451">
        <v>0</v>
      </c>
      <c r="CT54" s="452">
        <v>0.9</v>
      </c>
      <c r="CU54" s="452">
        <v>0</v>
      </c>
      <c r="CV54" s="453">
        <v>0.9</v>
      </c>
    </row>
    <row r="55" spans="1:100" outlineLevel="1" x14ac:dyDescent="0.3">
      <c r="A55" s="1">
        <v>30202000</v>
      </c>
      <c r="B55" s="47">
        <v>409310</v>
      </c>
      <c r="C55" s="47">
        <v>4193</v>
      </c>
      <c r="D55" s="47" t="s">
        <v>444</v>
      </c>
      <c r="E55" s="47" t="s">
        <v>163</v>
      </c>
      <c r="F55" s="47" t="s">
        <v>1498</v>
      </c>
      <c r="G55" s="47" t="s">
        <v>1499</v>
      </c>
      <c r="H55" s="47" t="s">
        <v>1515</v>
      </c>
      <c r="I55" s="382">
        <v>249</v>
      </c>
      <c r="J55" s="382">
        <v>0</v>
      </c>
      <c r="K55" s="382">
        <v>0</v>
      </c>
      <c r="L55" s="382">
        <v>2</v>
      </c>
      <c r="M55" s="382">
        <v>0</v>
      </c>
      <c r="N55" s="382">
        <v>249</v>
      </c>
      <c r="O55" s="444">
        <v>909</v>
      </c>
      <c r="P55" s="445">
        <v>251</v>
      </c>
      <c r="Q55" s="346">
        <v>0.27612761276127612</v>
      </c>
      <c r="R55" s="445">
        <v>580</v>
      </c>
      <c r="S55" s="447">
        <v>364</v>
      </c>
      <c r="T55" s="445">
        <v>-8.8877325432285605</v>
      </c>
      <c r="U55" s="444">
        <v>875.61734310750956</v>
      </c>
      <c r="V55" s="445">
        <v>242.11226745677143</v>
      </c>
      <c r="W55" s="229">
        <v>0.27650465053322332</v>
      </c>
      <c r="X55" s="261">
        <v>119232.74657719875</v>
      </c>
      <c r="Y55" s="262">
        <v>28232.87171713703</v>
      </c>
      <c r="Z55" s="262">
        <v>54207.799045570748</v>
      </c>
      <c r="AA55" s="262">
        <v>47520.369682578683</v>
      </c>
      <c r="AB55" s="263">
        <v>249193.78702248522</v>
      </c>
      <c r="AC55" s="262">
        <v>115368.42891560341</v>
      </c>
      <c r="AD55" s="262">
        <v>27322.085369678731</v>
      </c>
      <c r="AE55" s="262">
        <v>52483.342174824735</v>
      </c>
      <c r="AF55" s="263">
        <v>46082.206013615381</v>
      </c>
      <c r="AG55" s="262">
        <v>115368.42891560341</v>
      </c>
      <c r="AH55" s="262">
        <v>27322.085369678731</v>
      </c>
      <c r="AI55" s="262">
        <v>52483.342174824735</v>
      </c>
      <c r="AJ55" s="263">
        <v>46082.206013615381</v>
      </c>
      <c r="AK55" s="262">
        <v>115368.42891560341</v>
      </c>
      <c r="AL55" s="262">
        <v>27548.797730799048</v>
      </c>
      <c r="AM55" s="262">
        <v>52483.342174824735</v>
      </c>
      <c r="AN55" s="262">
        <v>46082.206013615381</v>
      </c>
      <c r="AO55" s="263">
        <v>241482.77483484257</v>
      </c>
      <c r="AP55" s="31"/>
      <c r="AQ55" s="261">
        <v>113722.85849525392</v>
      </c>
      <c r="AR55" s="262">
        <v>26685.322194084598</v>
      </c>
      <c r="AS55" s="262">
        <v>51805.091546186653</v>
      </c>
      <c r="AT55" s="262">
        <v>45442.547689364656</v>
      </c>
      <c r="AU55" s="263">
        <v>237655.81992488983</v>
      </c>
      <c r="AV55" s="31"/>
      <c r="AW55" s="323">
        <v>246840.82128172991</v>
      </c>
      <c r="AX55" s="31"/>
      <c r="AY55" s="747">
        <v>0</v>
      </c>
      <c r="AZ55" s="262">
        <v>0</v>
      </c>
      <c r="BA55" s="262">
        <v>237655.81992488983</v>
      </c>
      <c r="BB55" s="262">
        <v>2326.1463189033284</v>
      </c>
      <c r="BC55" s="263">
        <v>235329.67360598649</v>
      </c>
      <c r="BD55" s="261">
        <v>2353.296736059865</v>
      </c>
      <c r="BE55" s="262">
        <v>232976.37686992664</v>
      </c>
      <c r="BF55" s="354">
        <v>0.94383244902600938</v>
      </c>
      <c r="BG55" s="31"/>
      <c r="BJ55" s="4">
        <v>0.94383244902600938</v>
      </c>
      <c r="BL55" s="4">
        <v>0.90000000000000013</v>
      </c>
      <c r="BM55" s="4">
        <v>0.9</v>
      </c>
      <c r="BN55" s="4" t="s">
        <v>900</v>
      </c>
      <c r="BO55" s="31" t="s">
        <v>900</v>
      </c>
      <c r="BP55" s="31" t="s">
        <v>900</v>
      </c>
      <c r="BQ55" s="31">
        <v>231212.36569939629</v>
      </c>
      <c r="BR55" s="4">
        <v>0.93668609794286739</v>
      </c>
      <c r="BS55" s="4" t="s">
        <v>900</v>
      </c>
      <c r="BT55" s="448" t="s">
        <v>900</v>
      </c>
      <c r="BU55" s="367" t="s">
        <v>900</v>
      </c>
      <c r="BV55" s="368">
        <v>232976.37686992664</v>
      </c>
      <c r="BX55" s="449">
        <v>-4019.9021821824135</v>
      </c>
      <c r="BY55" s="450">
        <v>-1.7053332696767089E-2</v>
      </c>
      <c r="BZ55" s="368">
        <v>-16.603463444495464</v>
      </c>
      <c r="CB55" s="31">
        <v>20844</v>
      </c>
      <c r="CC55" s="31">
        <v>25576.041574419633</v>
      </c>
      <c r="CD55" s="31" t="e">
        <v>#VALUE!</v>
      </c>
      <c r="CE55" s="31" t="s">
        <v>900</v>
      </c>
      <c r="CF55" s="31" t="e">
        <v>#VALUE!</v>
      </c>
      <c r="CJ55" s="702" t="s">
        <v>1447</v>
      </c>
      <c r="CK55" s="702" t="s">
        <v>1447</v>
      </c>
      <c r="CL55" s="702" t="s">
        <v>1448</v>
      </c>
      <c r="CN55" s="702" t="s">
        <v>1447</v>
      </c>
      <c r="CO55" s="702" t="s">
        <v>1447</v>
      </c>
      <c r="CP55" s="702" t="s">
        <v>1447</v>
      </c>
      <c r="CQ55" s="702" t="s">
        <v>1447</v>
      </c>
      <c r="CS55" s="451">
        <v>0</v>
      </c>
      <c r="CT55" s="452">
        <v>0.9</v>
      </c>
      <c r="CU55" s="452">
        <v>0</v>
      </c>
      <c r="CV55" s="453">
        <v>0.9</v>
      </c>
    </row>
    <row r="56" spans="1:100" outlineLevel="1" x14ac:dyDescent="0.3">
      <c r="A56" s="1">
        <v>30208000</v>
      </c>
      <c r="B56" s="47">
        <v>405820</v>
      </c>
      <c r="C56" s="47">
        <v>4196</v>
      </c>
      <c r="D56" s="47" t="s">
        <v>315</v>
      </c>
      <c r="E56" s="47" t="s">
        <v>163</v>
      </c>
      <c r="F56" s="47" t="s">
        <v>1501</v>
      </c>
      <c r="G56" s="47" t="s">
        <v>1502</v>
      </c>
      <c r="H56" s="47" t="s">
        <v>1500</v>
      </c>
      <c r="I56" s="382">
        <v>914</v>
      </c>
      <c r="J56" s="382">
        <v>0</v>
      </c>
      <c r="K56" s="382">
        <v>0</v>
      </c>
      <c r="L56" s="382">
        <v>7</v>
      </c>
      <c r="M56" s="382">
        <v>0</v>
      </c>
      <c r="N56" s="382">
        <v>914</v>
      </c>
      <c r="O56" s="444">
        <v>2933</v>
      </c>
      <c r="P56" s="445">
        <v>921</v>
      </c>
      <c r="Q56" s="346">
        <v>0.31401295601772927</v>
      </c>
      <c r="R56" s="445">
        <v>2582</v>
      </c>
      <c r="S56" s="447">
        <v>1657</v>
      </c>
      <c r="T56" s="445">
        <v>-32.62629859639496</v>
      </c>
      <c r="U56" s="444">
        <v>2825.2867627440328</v>
      </c>
      <c r="V56" s="445">
        <v>888.37370140360508</v>
      </c>
      <c r="W56" s="229">
        <v>0.31443664873889848</v>
      </c>
      <c r="X56" s="261">
        <v>432352.41600432043</v>
      </c>
      <c r="Y56" s="262">
        <v>100654.52207057786</v>
      </c>
      <c r="Z56" s="262">
        <v>212666.43822401026</v>
      </c>
      <c r="AA56" s="262">
        <v>163112.76147927638</v>
      </c>
      <c r="AB56" s="263">
        <v>908786.13777818496</v>
      </c>
      <c r="AC56" s="262">
        <v>418339.93096844846</v>
      </c>
      <c r="AD56" s="262">
        <v>97407.428915113385</v>
      </c>
      <c r="AE56" s="262">
        <v>205901.09989577124</v>
      </c>
      <c r="AF56" s="263">
        <v>158176.29214895103</v>
      </c>
      <c r="AG56" s="262">
        <v>418339.93096844846</v>
      </c>
      <c r="AH56" s="262">
        <v>97407.428915113385</v>
      </c>
      <c r="AI56" s="262">
        <v>205901.09989577124</v>
      </c>
      <c r="AJ56" s="263">
        <v>158176.29214895103</v>
      </c>
      <c r="AK56" s="262">
        <v>418339.93096844846</v>
      </c>
      <c r="AL56" s="262">
        <v>97634.141276233699</v>
      </c>
      <c r="AM56" s="262">
        <v>205901.09989577124</v>
      </c>
      <c r="AN56" s="262">
        <v>158176.29214895103</v>
      </c>
      <c r="AO56" s="263">
        <v>880051.46428940445</v>
      </c>
      <c r="AP56" s="31"/>
      <c r="AQ56" s="261">
        <v>412372.89282358199</v>
      </c>
      <c r="AR56" s="262">
        <v>95789.11777663359</v>
      </c>
      <c r="AS56" s="262">
        <v>203240.20703615897</v>
      </c>
      <c r="AT56" s="262">
        <v>155980.67716597265</v>
      </c>
      <c r="AU56" s="263">
        <v>867382.89480234717</v>
      </c>
      <c r="AV56" s="31"/>
      <c r="AW56" s="323">
        <v>904038.73369108583</v>
      </c>
      <c r="AX56" s="31"/>
      <c r="AY56" s="747">
        <v>0</v>
      </c>
      <c r="AZ56" s="262">
        <v>0</v>
      </c>
      <c r="BA56" s="262">
        <v>867382.89480234717</v>
      </c>
      <c r="BB56" s="262">
        <v>8489.8384919076088</v>
      </c>
      <c r="BC56" s="263">
        <v>858893.0563104396</v>
      </c>
      <c r="BD56" s="261">
        <v>8588.9305631043953</v>
      </c>
      <c r="BE56" s="262">
        <v>850304.12574733526</v>
      </c>
      <c r="BF56" s="354">
        <v>0.94056160876607753</v>
      </c>
      <c r="BG56" s="31"/>
      <c r="BJ56" s="4">
        <v>0.94056160876607753</v>
      </c>
      <c r="BL56" s="4">
        <v>0.95080607107724835</v>
      </c>
      <c r="BM56" s="4">
        <v>0.95</v>
      </c>
      <c r="BN56" s="4" t="s">
        <v>1003</v>
      </c>
      <c r="BO56" s="31">
        <v>8532.6712591962423</v>
      </c>
      <c r="BP56" s="31">
        <v>858836.7970065315</v>
      </c>
      <c r="BQ56" s="31">
        <v>858836.7970065315</v>
      </c>
      <c r="BR56" s="4">
        <v>0.95</v>
      </c>
      <c r="BS56" s="4" t="s">
        <v>900</v>
      </c>
      <c r="BT56" s="448" t="s">
        <v>900</v>
      </c>
      <c r="BU56" s="367" t="s">
        <v>900</v>
      </c>
      <c r="BV56" s="368">
        <v>850304.12574733526</v>
      </c>
      <c r="BX56" s="449">
        <v>-17354.72875266464</v>
      </c>
      <c r="BY56" s="450">
        <v>-2.0001788332657002E-2</v>
      </c>
      <c r="BZ56" s="368">
        <v>-19.535392285076274</v>
      </c>
      <c r="CB56" s="31">
        <v>119129</v>
      </c>
      <c r="CC56" s="31">
        <v>136097.85184488981</v>
      </c>
      <c r="CD56" s="31" t="e">
        <v>#VALUE!</v>
      </c>
      <c r="CE56" s="31" t="s">
        <v>900</v>
      </c>
      <c r="CF56" s="31" t="e">
        <v>#VALUE!</v>
      </c>
      <c r="CJ56" s="702" t="s">
        <v>1447</v>
      </c>
      <c r="CK56" s="702" t="s">
        <v>1447</v>
      </c>
      <c r="CL56" s="702" t="s">
        <v>1448</v>
      </c>
      <c r="CN56" s="702" t="s">
        <v>1447</v>
      </c>
      <c r="CO56" s="702" t="s">
        <v>1447</v>
      </c>
      <c r="CP56" s="702" t="s">
        <v>1447</v>
      </c>
      <c r="CQ56" s="702" t="s">
        <v>1447</v>
      </c>
      <c r="CS56" s="451">
        <v>0</v>
      </c>
      <c r="CT56" s="452">
        <v>0</v>
      </c>
      <c r="CU56" s="452">
        <v>0.95</v>
      </c>
      <c r="CV56" s="453">
        <v>0.95</v>
      </c>
    </row>
    <row r="57" spans="1:100" outlineLevel="1" x14ac:dyDescent="0.3">
      <c r="A57" s="1">
        <v>30215000</v>
      </c>
      <c r="B57" s="47">
        <v>408680</v>
      </c>
      <c r="C57" s="47">
        <v>4197</v>
      </c>
      <c r="D57" s="47" t="s">
        <v>420</v>
      </c>
      <c r="E57" s="47" t="s">
        <v>163</v>
      </c>
      <c r="F57" s="47" t="s">
        <v>1501</v>
      </c>
      <c r="G57" s="47" t="s">
        <v>1502</v>
      </c>
      <c r="H57" s="47" t="s">
        <v>1500</v>
      </c>
      <c r="I57" s="382">
        <v>1234</v>
      </c>
      <c r="J57" s="382">
        <v>0</v>
      </c>
      <c r="K57" s="382">
        <v>0</v>
      </c>
      <c r="L57" s="382">
        <v>10</v>
      </c>
      <c r="M57" s="382">
        <v>0</v>
      </c>
      <c r="N57" s="382">
        <v>1234</v>
      </c>
      <c r="O57" s="444">
        <v>3753</v>
      </c>
      <c r="P57" s="445">
        <v>1244</v>
      </c>
      <c r="Q57" s="346">
        <v>0.33146815880628833</v>
      </c>
      <c r="R57" s="445">
        <v>1569</v>
      </c>
      <c r="S57" s="447">
        <v>1325</v>
      </c>
      <c r="T57" s="445">
        <v>-44.04544903035351</v>
      </c>
      <c r="U57" s="444">
        <v>3615.172594810213</v>
      </c>
      <c r="V57" s="445">
        <v>1199.9545509696466</v>
      </c>
      <c r="W57" s="229">
        <v>0.33192178782618842</v>
      </c>
      <c r="X57" s="261">
        <v>851377.47648169496</v>
      </c>
      <c r="Y57" s="262">
        <v>186295.37719493103</v>
      </c>
      <c r="Z57" s="262">
        <v>336449.29233438167</v>
      </c>
      <c r="AA57" s="262">
        <v>330751.24829461047</v>
      </c>
      <c r="AB57" s="263">
        <v>1704873.3943056182</v>
      </c>
      <c r="AC57" s="262">
        <v>823784.44425272977</v>
      </c>
      <c r="AD57" s="262">
        <v>180285.52853894941</v>
      </c>
      <c r="AE57" s="262">
        <v>325746.17757895857</v>
      </c>
      <c r="AF57" s="263">
        <v>320741.34239659394</v>
      </c>
      <c r="AG57" s="262">
        <v>823784.44425272977</v>
      </c>
      <c r="AH57" s="262">
        <v>180285.52853894941</v>
      </c>
      <c r="AI57" s="262">
        <v>325746.17757895857</v>
      </c>
      <c r="AJ57" s="263">
        <v>320741.34239659394</v>
      </c>
      <c r="AK57" s="262">
        <v>823784.44425272977</v>
      </c>
      <c r="AL57" s="262">
        <v>180512.24090006974</v>
      </c>
      <c r="AM57" s="262">
        <v>325746.17757895857</v>
      </c>
      <c r="AN57" s="262">
        <v>320741.34239659394</v>
      </c>
      <c r="AO57" s="263">
        <v>1650784.2051283519</v>
      </c>
      <c r="AP57" s="31"/>
      <c r="AQ57" s="261">
        <v>812034.30318772502</v>
      </c>
      <c r="AR57" s="262">
        <v>179450.27278974361</v>
      </c>
      <c r="AS57" s="262">
        <v>321536.50760437065</v>
      </c>
      <c r="AT57" s="262">
        <v>316289.19291540992</v>
      </c>
      <c r="AU57" s="263">
        <v>1629310.276497249</v>
      </c>
      <c r="AV57" s="31"/>
      <c r="AW57" s="323">
        <v>1698165.3753848735</v>
      </c>
      <c r="AX57" s="31"/>
      <c r="AY57" s="747">
        <v>0</v>
      </c>
      <c r="AZ57" s="262">
        <v>0</v>
      </c>
      <c r="BA57" s="262">
        <v>1629310.276497249</v>
      </c>
      <c r="BB57" s="262">
        <v>15947.491221646744</v>
      </c>
      <c r="BC57" s="263">
        <v>1613362.7852756022</v>
      </c>
      <c r="BD57" s="261">
        <v>16133.627852756023</v>
      </c>
      <c r="BE57" s="262">
        <v>1597229.1574228462</v>
      </c>
      <c r="BF57" s="354">
        <v>0.94056160876607731</v>
      </c>
      <c r="BG57" s="31"/>
      <c r="BJ57" s="4">
        <v>0.94056160876607731</v>
      </c>
      <c r="BL57" s="4">
        <v>0.94999999999999984</v>
      </c>
      <c r="BM57" s="4">
        <v>0.95</v>
      </c>
      <c r="BN57" s="4" t="s">
        <v>1003</v>
      </c>
      <c r="BO57" s="31">
        <v>16027.949192783562</v>
      </c>
      <c r="BP57" s="31">
        <v>1613257.1066156297</v>
      </c>
      <c r="BQ57" s="31">
        <v>1613257.1066156297</v>
      </c>
      <c r="BR57" s="4">
        <v>0.95</v>
      </c>
      <c r="BS57" s="4" t="s">
        <v>900</v>
      </c>
      <c r="BT57" s="448" t="s">
        <v>900</v>
      </c>
      <c r="BU57" s="367" t="s">
        <v>900</v>
      </c>
      <c r="BV57" s="368">
        <v>1597229.1574228462</v>
      </c>
      <c r="BX57" s="449">
        <v>-30957.412577153882</v>
      </c>
      <c r="BY57" s="450">
        <v>-1.9013430737949078E-2</v>
      </c>
      <c r="BZ57" s="368">
        <v>-25.798820923790942</v>
      </c>
      <c r="CB57" s="31">
        <v>124783</v>
      </c>
      <c r="CC57" s="31">
        <v>147498.87441572739</v>
      </c>
      <c r="CD57" s="31" t="e">
        <v>#VALUE!</v>
      </c>
      <c r="CE57" s="31" t="s">
        <v>900</v>
      </c>
      <c r="CF57" s="31" t="e">
        <v>#VALUE!</v>
      </c>
      <c r="CJ57" s="702" t="s">
        <v>1447</v>
      </c>
      <c r="CK57" s="702" t="s">
        <v>1447</v>
      </c>
      <c r="CL57" s="702" t="s">
        <v>1448</v>
      </c>
      <c r="CN57" s="702" t="s">
        <v>1447</v>
      </c>
      <c r="CO57" s="702" t="s">
        <v>1447</v>
      </c>
      <c r="CP57" s="702" t="s">
        <v>1447</v>
      </c>
      <c r="CQ57" s="702" t="s">
        <v>1447</v>
      </c>
      <c r="CS57" s="451">
        <v>0</v>
      </c>
      <c r="CT57" s="452">
        <v>0</v>
      </c>
      <c r="CU57" s="452">
        <v>0.95</v>
      </c>
      <c r="CV57" s="453">
        <v>0.95</v>
      </c>
    </row>
    <row r="58" spans="1:100" outlineLevel="1" x14ac:dyDescent="0.3">
      <c r="A58" s="1">
        <v>30201000</v>
      </c>
      <c r="B58" s="47">
        <v>402860</v>
      </c>
      <c r="C58" s="47">
        <v>4192</v>
      </c>
      <c r="D58" s="47" t="s">
        <v>164</v>
      </c>
      <c r="E58" s="47" t="s">
        <v>163</v>
      </c>
      <c r="F58" s="47" t="s">
        <v>1498</v>
      </c>
      <c r="G58" s="47" t="s">
        <v>1502</v>
      </c>
      <c r="H58" s="47" t="s">
        <v>1516</v>
      </c>
      <c r="I58" s="382">
        <v>2924</v>
      </c>
      <c r="J58" s="382">
        <v>32</v>
      </c>
      <c r="K58" s="382">
        <v>0</v>
      </c>
      <c r="L58" s="382">
        <v>23</v>
      </c>
      <c r="M58" s="382">
        <v>0</v>
      </c>
      <c r="N58" s="382">
        <v>2956</v>
      </c>
      <c r="O58" s="444">
        <v>13410</v>
      </c>
      <c r="P58" s="445">
        <v>2979</v>
      </c>
      <c r="Q58" s="346">
        <v>0.22214765100671141</v>
      </c>
      <c r="R58" s="445">
        <v>9390</v>
      </c>
      <c r="S58" s="447">
        <v>4264</v>
      </c>
      <c r="T58" s="445">
        <v>-104.16047255748596</v>
      </c>
      <c r="U58" s="444">
        <v>12917.523180496924</v>
      </c>
      <c r="V58" s="445">
        <v>2874.8395274425138</v>
      </c>
      <c r="W58" s="229">
        <v>0.22255346379273319</v>
      </c>
      <c r="X58" s="261">
        <v>1373948.4088766198</v>
      </c>
      <c r="Y58" s="262">
        <v>325569.83848887251</v>
      </c>
      <c r="Z58" s="262">
        <v>578203.02092558832</v>
      </c>
      <c r="AA58" s="262">
        <v>489489.37008474284</v>
      </c>
      <c r="AB58" s="263">
        <v>2767210.6383758239</v>
      </c>
      <c r="AC58" s="262">
        <v>1329418.9213410364</v>
      </c>
      <c r="AD58" s="262">
        <v>315067.02577429195</v>
      </c>
      <c r="AE58" s="262">
        <v>559809.24383674155</v>
      </c>
      <c r="AF58" s="263">
        <v>474675.38961485418</v>
      </c>
      <c r="AG58" s="262">
        <v>1329418.9213410364</v>
      </c>
      <c r="AH58" s="262">
        <v>315067.02577429195</v>
      </c>
      <c r="AI58" s="262">
        <v>559809.24383674155</v>
      </c>
      <c r="AJ58" s="263">
        <v>474675.38961485418</v>
      </c>
      <c r="AK58" s="262">
        <v>1329418.9213410364</v>
      </c>
      <c r="AL58" s="262">
        <v>315293.73813541228</v>
      </c>
      <c r="AM58" s="262">
        <v>559809.24383674155</v>
      </c>
      <c r="AN58" s="262">
        <v>474675.38961485418</v>
      </c>
      <c r="AO58" s="263">
        <v>2679197.2929280442</v>
      </c>
      <c r="AP58" s="31"/>
      <c r="AQ58" s="261">
        <v>1309226.3323330379</v>
      </c>
      <c r="AR58" s="262">
        <v>305282.30115220638</v>
      </c>
      <c r="AS58" s="262">
        <v>552498.89861355443</v>
      </c>
      <c r="AT58" s="262">
        <v>468024.97243250557</v>
      </c>
      <c r="AU58" s="263">
        <v>2635032.5045313044</v>
      </c>
      <c r="AV58" s="31"/>
      <c r="AW58" s="323">
        <v>2720083.975377664</v>
      </c>
      <c r="AX58" s="31"/>
      <c r="AY58" s="747">
        <v>0</v>
      </c>
      <c r="AZ58" s="262">
        <v>0</v>
      </c>
      <c r="BA58" s="262">
        <v>2635032.5045313044</v>
      </c>
      <c r="BB58" s="262">
        <v>25791.378315680657</v>
      </c>
      <c r="BC58" s="263">
        <v>2609241.1262156237</v>
      </c>
      <c r="BD58" s="261">
        <v>26092.411262156238</v>
      </c>
      <c r="BE58" s="262">
        <v>2583148.7149534672</v>
      </c>
      <c r="BF58" s="354">
        <v>0.94965770848850939</v>
      </c>
      <c r="BG58" s="31"/>
      <c r="BJ58" s="4">
        <v>0.94965770848850939</v>
      </c>
      <c r="BL58" s="4">
        <v>0.90656625573182714</v>
      </c>
      <c r="BM58" s="4">
        <v>0.9</v>
      </c>
      <c r="BN58" s="4" t="s">
        <v>900</v>
      </c>
      <c r="BO58" s="31" t="s">
        <v>900</v>
      </c>
      <c r="BP58" s="31" t="s">
        <v>900</v>
      </c>
      <c r="BQ58" s="31">
        <v>2563590.0659198654</v>
      </c>
      <c r="BR58" s="4">
        <v>0.94246725068990911</v>
      </c>
      <c r="BS58" s="4" t="s">
        <v>900</v>
      </c>
      <c r="BT58" s="448" t="s">
        <v>900</v>
      </c>
      <c r="BU58" s="367" t="s">
        <v>900</v>
      </c>
      <c r="BV58" s="368">
        <v>2583148.7149534672</v>
      </c>
      <c r="BX58" s="449">
        <v>-34623.730611334089</v>
      </c>
      <c r="BY58" s="450">
        <v>-1.324139744563305E-2</v>
      </c>
      <c r="BZ58" s="368">
        <v>-12.043708972561577</v>
      </c>
      <c r="CB58" s="31">
        <v>339668</v>
      </c>
      <c r="CC58" s="31">
        <v>398420.06474430877</v>
      </c>
      <c r="CD58" s="31" t="e">
        <v>#VALUE!</v>
      </c>
      <c r="CE58" s="31" t="s">
        <v>900</v>
      </c>
      <c r="CF58" s="31" t="e">
        <v>#VALUE!</v>
      </c>
      <c r="CJ58" s="702" t="s">
        <v>1447</v>
      </c>
      <c r="CK58" s="702" t="s">
        <v>1447</v>
      </c>
      <c r="CL58" s="702" t="s">
        <v>1448</v>
      </c>
      <c r="CN58" s="702" t="s">
        <v>1447</v>
      </c>
      <c r="CO58" s="702" t="s">
        <v>1447</v>
      </c>
      <c r="CP58" s="702" t="s">
        <v>1447</v>
      </c>
      <c r="CQ58" s="702" t="s">
        <v>1447</v>
      </c>
      <c r="CS58" s="451">
        <v>0</v>
      </c>
      <c r="CT58" s="452">
        <v>0.9</v>
      </c>
      <c r="CU58" s="452">
        <v>0</v>
      </c>
      <c r="CV58" s="453">
        <v>0.9</v>
      </c>
    </row>
    <row r="59" spans="1:100" outlineLevel="1" x14ac:dyDescent="0.3">
      <c r="A59" s="1">
        <v>30305000</v>
      </c>
      <c r="B59" s="47">
        <v>401920</v>
      </c>
      <c r="C59" s="47">
        <v>4198</v>
      </c>
      <c r="D59" s="47" t="s">
        <v>533</v>
      </c>
      <c r="E59" s="47" t="s">
        <v>163</v>
      </c>
      <c r="F59" s="47" t="s">
        <v>900</v>
      </c>
      <c r="G59" s="47" t="s">
        <v>900</v>
      </c>
      <c r="H59" s="47" t="s">
        <v>900</v>
      </c>
      <c r="I59" s="382">
        <v>12</v>
      </c>
      <c r="J59" s="382">
        <v>0</v>
      </c>
      <c r="K59" s="382">
        <v>0</v>
      </c>
      <c r="L59" s="382">
        <v>0</v>
      </c>
      <c r="M59" s="382">
        <v>0</v>
      </c>
      <c r="N59" s="382">
        <v>12</v>
      </c>
      <c r="O59" s="444">
        <v>28</v>
      </c>
      <c r="P59" s="445">
        <v>12</v>
      </c>
      <c r="Q59" s="346">
        <v>0.42857142857142855</v>
      </c>
      <c r="R59" s="445" t="s">
        <v>900</v>
      </c>
      <c r="S59" s="447" t="s">
        <v>900</v>
      </c>
      <c r="T59" s="445">
        <v>-0.42896038449741136</v>
      </c>
      <c r="U59" s="444">
        <v>26.971711338845182</v>
      </c>
      <c r="V59" s="445">
        <v>11.571039615502588</v>
      </c>
      <c r="W59" s="229">
        <v>0.42900650500577442</v>
      </c>
      <c r="X59" s="261">
        <v>5641.1312432996147</v>
      </c>
      <c r="Y59" s="262">
        <v>1311.4595709521554</v>
      </c>
      <c r="Z59" s="262">
        <v>3619.2861138888084</v>
      </c>
      <c r="AA59" s="262">
        <v>3052.0592268211294</v>
      </c>
      <c r="AB59" s="263">
        <v>13623.936154961708</v>
      </c>
      <c r="AC59" s="262">
        <v>5458.3029203711822</v>
      </c>
      <c r="AD59" s="262">
        <v>1269.1521682750938</v>
      </c>
      <c r="AE59" s="262">
        <v>3504.1494930301687</v>
      </c>
      <c r="AF59" s="263">
        <v>2959.6912438938512</v>
      </c>
      <c r="AG59" s="262">
        <v>5458.3029203711822</v>
      </c>
      <c r="AH59" s="262">
        <v>1269.1521682750938</v>
      </c>
      <c r="AI59" s="262">
        <v>3504.1494930301687</v>
      </c>
      <c r="AJ59" s="263">
        <v>2959.6912438938512</v>
      </c>
      <c r="AK59" s="262">
        <v>5458.3029203711822</v>
      </c>
      <c r="AL59" s="262">
        <v>1495.8645293954119</v>
      </c>
      <c r="AM59" s="262">
        <v>3504.1494930301687</v>
      </c>
      <c r="AN59" s="262">
        <v>2959.6912438938512</v>
      </c>
      <c r="AO59" s="263">
        <v>13418.008186690613</v>
      </c>
      <c r="AP59" s="31"/>
      <c r="AQ59" s="261">
        <v>5380.4478094409578</v>
      </c>
      <c r="AR59" s="262">
        <v>1448.3667466610677</v>
      </c>
      <c r="AS59" s="262">
        <v>3458.8648084425781</v>
      </c>
      <c r="AT59" s="262">
        <v>2918.6083334791601</v>
      </c>
      <c r="AU59" s="263">
        <v>13206.287698023763</v>
      </c>
      <c r="AV59" s="31"/>
      <c r="AW59" s="323">
        <v>13562.406832169359</v>
      </c>
      <c r="AX59" s="31"/>
      <c r="AY59" s="747">
        <v>0</v>
      </c>
      <c r="AZ59" s="262">
        <v>0</v>
      </c>
      <c r="BA59" s="262">
        <v>13206.287698023763</v>
      </c>
      <c r="BB59" s="262">
        <v>129.26154101694266</v>
      </c>
      <c r="BC59" s="263">
        <v>13077.026157006821</v>
      </c>
      <c r="BD59" s="261">
        <v>130.77026157006821</v>
      </c>
      <c r="BE59" s="262">
        <v>12946.255895436752</v>
      </c>
      <c r="BF59" s="354">
        <v>0.9545692040979683</v>
      </c>
      <c r="BG59" s="31"/>
      <c r="BJ59" s="4">
        <v>0.9545692040979683</v>
      </c>
      <c r="BL59" s="4">
        <v>0.95057349982320805</v>
      </c>
      <c r="BM59" s="4">
        <v>0.95</v>
      </c>
      <c r="BN59" s="4" t="s">
        <v>900</v>
      </c>
      <c r="BO59" s="31" t="s">
        <v>900</v>
      </c>
      <c r="BP59" s="31" t="s">
        <v>900</v>
      </c>
      <c r="BQ59" s="31">
        <v>12848.231622233958</v>
      </c>
      <c r="BR59" s="4">
        <v>0.94734155826667776</v>
      </c>
      <c r="BS59" s="4" t="s">
        <v>1509</v>
      </c>
      <c r="BT59" s="448" t="s">
        <v>900</v>
      </c>
      <c r="BU59" s="367" t="s">
        <v>900</v>
      </c>
      <c r="BV59" s="368">
        <v>12946.255895436752</v>
      </c>
      <c r="BX59" s="449">
        <v>12946.255895436752</v>
      </c>
      <c r="BY59" s="450">
        <v>0.98844265486250993</v>
      </c>
      <c r="BZ59" s="368">
        <v>1118.8498463086828</v>
      </c>
      <c r="CB59" s="31" t="s">
        <v>900</v>
      </c>
      <c r="CC59" s="31">
        <v>211.02204051039843</v>
      </c>
      <c r="CD59" s="31" t="e">
        <v>#VALUE!</v>
      </c>
      <c r="CE59" s="31" t="s">
        <v>900</v>
      </c>
      <c r="CF59" s="31" t="e">
        <v>#VALUE!</v>
      </c>
      <c r="CJ59" s="702" t="s">
        <v>1447</v>
      </c>
      <c r="CK59" s="702" t="s">
        <v>1447</v>
      </c>
      <c r="CL59" s="702" t="s">
        <v>1448</v>
      </c>
      <c r="CN59" s="702" t="s">
        <v>1447</v>
      </c>
      <c r="CO59" s="702" t="s">
        <v>1447</v>
      </c>
      <c r="CP59" s="702" t="s">
        <v>1447</v>
      </c>
      <c r="CQ59" s="702" t="s">
        <v>1447</v>
      </c>
      <c r="CS59" s="451">
        <v>0</v>
      </c>
      <c r="CT59" s="452">
        <v>0</v>
      </c>
      <c r="CU59" s="452">
        <v>0.95</v>
      </c>
      <c r="CV59" s="453">
        <v>0.95</v>
      </c>
    </row>
    <row r="60" spans="1:100" s="237" customFormat="1" outlineLevel="1" x14ac:dyDescent="0.3">
      <c r="A60" s="236"/>
      <c r="B60" s="237">
        <v>481005</v>
      </c>
      <c r="D60" s="237" t="s">
        <v>881</v>
      </c>
      <c r="E60" s="237" t="s">
        <v>163</v>
      </c>
      <c r="F60" s="237" t="s">
        <v>900</v>
      </c>
      <c r="G60" s="237" t="s">
        <v>900</v>
      </c>
      <c r="H60" s="237" t="s">
        <v>900</v>
      </c>
      <c r="I60" s="760">
        <v>37</v>
      </c>
      <c r="J60" s="760">
        <v>0</v>
      </c>
      <c r="K60" s="760">
        <v>0</v>
      </c>
      <c r="L60" s="760">
        <v>0</v>
      </c>
      <c r="M60" s="760">
        <v>0</v>
      </c>
      <c r="N60" s="760">
        <v>37</v>
      </c>
      <c r="O60" s="525">
        <v>92</v>
      </c>
      <c r="P60" s="526">
        <v>37</v>
      </c>
      <c r="Q60" s="350">
        <v>0.40217391304347827</v>
      </c>
      <c r="R60" s="526" t="s">
        <v>900</v>
      </c>
      <c r="S60" s="528" t="s">
        <v>900</v>
      </c>
      <c r="T60" s="526"/>
      <c r="U60" s="525"/>
      <c r="V60" s="526"/>
      <c r="W60" s="241">
        <v>0</v>
      </c>
      <c r="X60" s="273">
        <v>27235.604294333352</v>
      </c>
      <c r="Y60" s="274">
        <v>6393.9495890912294</v>
      </c>
      <c r="Z60" s="274">
        <v>12330.360915141378</v>
      </c>
      <c r="AA60" s="274">
        <v>12469.818176409188</v>
      </c>
      <c r="AB60" s="275">
        <v>58429.732974975144</v>
      </c>
      <c r="AC60" s="274"/>
      <c r="AD60" s="274"/>
      <c r="AE60" s="274"/>
      <c r="AF60" s="275"/>
      <c r="AG60" s="274" t="s">
        <v>900</v>
      </c>
      <c r="AH60" s="274" t="s">
        <v>900</v>
      </c>
      <c r="AI60" s="274" t="s">
        <v>900</v>
      </c>
      <c r="AJ60" s="275" t="s">
        <v>900</v>
      </c>
      <c r="AK60" s="274" t="s">
        <v>900</v>
      </c>
      <c r="AL60" s="274" t="s">
        <v>900</v>
      </c>
      <c r="AM60" s="274" t="s">
        <v>900</v>
      </c>
      <c r="AN60" s="274" t="s">
        <v>900</v>
      </c>
      <c r="AO60" s="275">
        <v>0</v>
      </c>
      <c r="AQ60" s="273">
        <v>0</v>
      </c>
      <c r="AR60" s="274">
        <v>0</v>
      </c>
      <c r="AS60" s="274">
        <v>0</v>
      </c>
      <c r="AT60" s="274">
        <v>0</v>
      </c>
      <c r="AU60" s="275">
        <v>0</v>
      </c>
      <c r="AW60" s="327">
        <v>0</v>
      </c>
      <c r="AY60" s="379">
        <v>0</v>
      </c>
      <c r="AZ60" s="274">
        <v>0</v>
      </c>
      <c r="BA60" s="274">
        <v>0</v>
      </c>
      <c r="BB60" s="274"/>
      <c r="BC60" s="275"/>
      <c r="BD60" s="273"/>
      <c r="BE60" s="274"/>
      <c r="BF60" s="366" t="s">
        <v>1450</v>
      </c>
      <c r="BJ60" s="529"/>
      <c r="BK60" s="239"/>
      <c r="BL60" s="529"/>
      <c r="BM60" s="529"/>
      <c r="BN60" s="529"/>
      <c r="BQ60" s="242"/>
      <c r="BR60" s="529"/>
      <c r="BT60" s="530" t="s">
        <v>900</v>
      </c>
      <c r="BU60" s="531" t="s">
        <v>900</v>
      </c>
      <c r="BV60" s="532">
        <v>0</v>
      </c>
      <c r="BX60" s="533">
        <v>0</v>
      </c>
      <c r="BY60" s="534" t="s">
        <v>900</v>
      </c>
      <c r="BZ60" s="532" t="s">
        <v>900</v>
      </c>
      <c r="CB60" s="242" t="s">
        <v>900</v>
      </c>
      <c r="CC60" s="242">
        <v>0</v>
      </c>
      <c r="CD60" s="242" t="e">
        <v>#VALUE!</v>
      </c>
      <c r="CE60" s="242" t="s">
        <v>900</v>
      </c>
      <c r="CF60" s="242" t="e">
        <v>#VALUE!</v>
      </c>
      <c r="CJ60" s="535" t="s">
        <v>1447</v>
      </c>
      <c r="CK60" s="535" t="s">
        <v>1447</v>
      </c>
      <c r="CL60" s="535" t="s">
        <v>1447</v>
      </c>
      <c r="CN60" s="535" t="s">
        <v>1448</v>
      </c>
      <c r="CO60" s="535" t="s">
        <v>1448</v>
      </c>
      <c r="CP60" s="535" t="s">
        <v>1448</v>
      </c>
      <c r="CQ60" s="535" t="s">
        <v>1448</v>
      </c>
      <c r="CS60" s="536">
        <v>0.85</v>
      </c>
      <c r="CT60" s="537">
        <v>0</v>
      </c>
      <c r="CU60" s="537">
        <v>0</v>
      </c>
      <c r="CV60" s="538">
        <v>0.85</v>
      </c>
    </row>
    <row r="61" spans="1:100" s="48" customFormat="1" outlineLevel="1" x14ac:dyDescent="0.3">
      <c r="A61" s="202">
        <v>38752000</v>
      </c>
      <c r="B61" s="48">
        <v>400098</v>
      </c>
      <c r="C61" s="48">
        <v>4207</v>
      </c>
      <c r="D61" s="48" t="s">
        <v>162</v>
      </c>
      <c r="E61" s="48" t="s">
        <v>163</v>
      </c>
      <c r="F61" s="48" t="s">
        <v>1498</v>
      </c>
      <c r="G61" s="48" t="s">
        <v>1502</v>
      </c>
      <c r="H61" s="48" t="s">
        <v>1500</v>
      </c>
      <c r="O61" s="454" t="s">
        <v>900</v>
      </c>
      <c r="P61" s="455" t="s">
        <v>900</v>
      </c>
      <c r="Q61" s="347" t="s">
        <v>900</v>
      </c>
      <c r="R61" s="455">
        <v>279</v>
      </c>
      <c r="S61" s="457">
        <v>34</v>
      </c>
      <c r="T61" s="455"/>
      <c r="U61" s="454">
        <v>279</v>
      </c>
      <c r="V61" s="455">
        <v>22.907105359940232</v>
      </c>
      <c r="W61" s="230">
        <v>8.2104320286524132E-2</v>
      </c>
      <c r="X61" s="264" t="s">
        <v>900</v>
      </c>
      <c r="Y61" s="265" t="s">
        <v>900</v>
      </c>
      <c r="Z61" s="265" t="s">
        <v>900</v>
      </c>
      <c r="AA61" s="265" t="s">
        <v>900</v>
      </c>
      <c r="AB61" s="266" t="s">
        <v>900</v>
      </c>
      <c r="AC61" s="265">
        <v>11778.152860284041</v>
      </c>
      <c r="AD61" s="265">
        <v>2720.5483334437999</v>
      </c>
      <c r="AE61" s="265">
        <v>5005.9586716951371</v>
      </c>
      <c r="AF61" s="266">
        <v>4371.4815614857043</v>
      </c>
      <c r="AG61" s="265">
        <v>11778.152860284041</v>
      </c>
      <c r="AH61" s="265" t="s">
        <v>900</v>
      </c>
      <c r="AI61" s="265">
        <v>5005.9586716951371</v>
      </c>
      <c r="AJ61" s="266">
        <v>4371.4815614857043</v>
      </c>
      <c r="AK61" s="265">
        <v>11778.152860284041</v>
      </c>
      <c r="AL61" s="265" t="s">
        <v>900</v>
      </c>
      <c r="AM61" s="265">
        <v>5005.9586716951371</v>
      </c>
      <c r="AN61" s="265">
        <v>4371.4815614857043</v>
      </c>
      <c r="AO61" s="266">
        <v>21155.593093464882</v>
      </c>
      <c r="AP61" s="203"/>
      <c r="AQ61" s="264">
        <v>22209.862871860427</v>
      </c>
      <c r="AR61" s="265">
        <v>5062.6569244144312</v>
      </c>
      <c r="AS61" s="265">
        <v>9517.335641598489</v>
      </c>
      <c r="AT61" s="265">
        <v>8303.4829041446355</v>
      </c>
      <c r="AU61" s="266">
        <v>45093.338342017982</v>
      </c>
      <c r="AV61" s="203"/>
      <c r="AW61" s="324">
        <v>49591.186639653235</v>
      </c>
      <c r="AX61" s="203"/>
      <c r="AY61" s="377">
        <v>0</v>
      </c>
      <c r="AZ61" s="265">
        <v>0</v>
      </c>
      <c r="BA61" s="265">
        <v>45093.338342017982</v>
      </c>
      <c r="BB61" s="265">
        <v>441.36812228919393</v>
      </c>
      <c r="BC61" s="266">
        <v>44651.970219728784</v>
      </c>
      <c r="BD61" s="264">
        <v>446.51970219728787</v>
      </c>
      <c r="BE61" s="265">
        <v>44205.450517531499</v>
      </c>
      <c r="BF61" s="357">
        <v>0.8913973129690087</v>
      </c>
      <c r="BG61" s="203"/>
      <c r="BJ61" s="458">
        <v>0.8913973129690087</v>
      </c>
      <c r="BK61" s="210"/>
      <c r="BL61" s="458"/>
      <c r="BM61" s="458"/>
      <c r="BN61" s="458"/>
      <c r="BQ61" s="203">
        <v>43870.743155528056</v>
      </c>
      <c r="BR61" s="458">
        <v>0.88464798139048562</v>
      </c>
      <c r="BS61" s="458" t="s">
        <v>900</v>
      </c>
      <c r="BT61" s="459" t="s">
        <v>900</v>
      </c>
      <c r="BU61" s="460" t="s">
        <v>900</v>
      </c>
      <c r="BV61" s="461">
        <v>44205.450517531499</v>
      </c>
      <c r="BX61" s="462">
        <v>22570.926765068562</v>
      </c>
      <c r="BY61" s="463">
        <v>1.0930589165811684</v>
      </c>
      <c r="BZ61" s="461">
        <v>985.32426556785401</v>
      </c>
      <c r="CB61" s="203">
        <v>2593</v>
      </c>
      <c r="CC61" s="203">
        <v>3240.2464837205107</v>
      </c>
      <c r="CD61" s="203" t="e">
        <v>#VALUE!</v>
      </c>
      <c r="CE61" s="203" t="s">
        <v>900</v>
      </c>
      <c r="CF61" s="203" t="e">
        <v>#VALUE!</v>
      </c>
      <c r="CH61" s="199"/>
      <c r="CJ61" s="464" t="s">
        <v>1448</v>
      </c>
      <c r="CK61" s="464" t="s">
        <v>1447</v>
      </c>
      <c r="CL61" s="464" t="s">
        <v>1448</v>
      </c>
      <c r="CN61" s="464" t="s">
        <v>1447</v>
      </c>
      <c r="CO61" s="464" t="s">
        <v>1448</v>
      </c>
      <c r="CP61" s="464" t="s">
        <v>1447</v>
      </c>
      <c r="CQ61" s="464" t="s">
        <v>1447</v>
      </c>
      <c r="CS61" s="465">
        <v>0.85</v>
      </c>
      <c r="CT61" s="466">
        <v>0</v>
      </c>
      <c r="CU61" s="466">
        <v>0</v>
      </c>
      <c r="CV61" s="467">
        <v>0.85</v>
      </c>
    </row>
    <row r="62" spans="1:100" s="48" customFormat="1" outlineLevel="1" x14ac:dyDescent="0.3">
      <c r="A62" s="202">
        <v>38753000</v>
      </c>
      <c r="B62" s="48">
        <v>400213</v>
      </c>
      <c r="C62" s="48">
        <v>79086</v>
      </c>
      <c r="D62" s="48" t="s">
        <v>316</v>
      </c>
      <c r="E62" s="48" t="s">
        <v>163</v>
      </c>
      <c r="F62" s="48" t="s">
        <v>1504</v>
      </c>
      <c r="G62" s="48" t="s">
        <v>1502</v>
      </c>
      <c r="H62" s="48" t="s">
        <v>1517</v>
      </c>
      <c r="O62" s="454" t="s">
        <v>900</v>
      </c>
      <c r="P62" s="455" t="s">
        <v>900</v>
      </c>
      <c r="Q62" s="347" t="s">
        <v>900</v>
      </c>
      <c r="R62" s="455">
        <v>99</v>
      </c>
      <c r="S62" s="457">
        <v>69</v>
      </c>
      <c r="T62" s="455"/>
      <c r="U62" s="454">
        <v>99</v>
      </c>
      <c r="V62" s="455">
        <v>46.487949112819884</v>
      </c>
      <c r="W62" s="230">
        <v>0.46957524356383723</v>
      </c>
      <c r="X62" s="264" t="s">
        <v>900</v>
      </c>
      <c r="Y62" s="265" t="s">
        <v>900</v>
      </c>
      <c r="Z62" s="265" t="s">
        <v>900</v>
      </c>
      <c r="AA62" s="265" t="s">
        <v>900</v>
      </c>
      <c r="AB62" s="266" t="s">
        <v>900</v>
      </c>
      <c r="AC62" s="265">
        <v>23902.721981164672</v>
      </c>
      <c r="AD62" s="265">
        <v>5521.1127943418296</v>
      </c>
      <c r="AE62" s="265">
        <v>10159.151421969544</v>
      </c>
      <c r="AF62" s="266">
        <v>8871.5361100739301</v>
      </c>
      <c r="AG62" s="265">
        <v>23902.721981164672</v>
      </c>
      <c r="AH62" s="265">
        <v>5521.1127943418296</v>
      </c>
      <c r="AI62" s="265">
        <v>10159.151421969544</v>
      </c>
      <c r="AJ62" s="266">
        <v>8871.5361100739301</v>
      </c>
      <c r="AK62" s="265">
        <v>23902.721981164672</v>
      </c>
      <c r="AL62" s="265">
        <v>5747.8251554621474</v>
      </c>
      <c r="AM62" s="265">
        <v>10159.151421969544</v>
      </c>
      <c r="AN62" s="265">
        <v>8871.5361100739301</v>
      </c>
      <c r="AO62" s="266">
        <v>48681.234668670295</v>
      </c>
      <c r="AP62" s="203"/>
      <c r="AQ62" s="264">
        <v>28723.511730918657</v>
      </c>
      <c r="AR62" s="265">
        <v>6547.419333339335</v>
      </c>
      <c r="AS62" s="265">
        <v>12308.554245731151</v>
      </c>
      <c r="AT62" s="265">
        <v>10738.706041578647</v>
      </c>
      <c r="AU62" s="266">
        <v>58318.191351567795</v>
      </c>
      <c r="AV62" s="203"/>
      <c r="AW62" s="324">
        <v>60782.734103419978</v>
      </c>
      <c r="AX62" s="203"/>
      <c r="AY62" s="377">
        <v>0</v>
      </c>
      <c r="AZ62" s="265">
        <v>0</v>
      </c>
      <c r="BA62" s="265">
        <v>58318.191351567795</v>
      </c>
      <c r="BB62" s="265">
        <v>570.81137832190723</v>
      </c>
      <c r="BC62" s="266">
        <v>57747.379973245887</v>
      </c>
      <c r="BD62" s="264">
        <v>577.47379973245893</v>
      </c>
      <c r="BE62" s="265">
        <v>57169.906173513431</v>
      </c>
      <c r="BF62" s="357">
        <v>0.94056160876607775</v>
      </c>
      <c r="BG62" s="203"/>
      <c r="BJ62" s="458">
        <v>0.94056160876607775</v>
      </c>
      <c r="BK62" s="210"/>
      <c r="BL62" s="458"/>
      <c r="BM62" s="458"/>
      <c r="BN62" s="458"/>
      <c r="BQ62" s="203">
        <v>56737.036736435031</v>
      </c>
      <c r="BR62" s="458">
        <v>0.93344002327862852</v>
      </c>
      <c r="BS62" s="458" t="s">
        <v>900</v>
      </c>
      <c r="BT62" s="459" t="s">
        <v>900</v>
      </c>
      <c r="BU62" s="460" t="s">
        <v>900</v>
      </c>
      <c r="BV62" s="461">
        <v>57169.906173513431</v>
      </c>
      <c r="BX62" s="462">
        <v>8517.3025506953709</v>
      </c>
      <c r="BY62" s="463">
        <v>0.17925314945235826</v>
      </c>
      <c r="BZ62" s="461">
        <v>183.21527865264704</v>
      </c>
      <c r="CB62" s="203">
        <v>1448</v>
      </c>
      <c r="CC62" s="203">
        <v>2286.2816881429844</v>
      </c>
      <c r="CD62" s="203" t="e">
        <v>#VALUE!</v>
      </c>
      <c r="CE62" s="203" t="s">
        <v>900</v>
      </c>
      <c r="CF62" s="203" t="e">
        <v>#VALUE!</v>
      </c>
      <c r="CH62" s="199"/>
      <c r="CJ62" s="464" t="s">
        <v>1448</v>
      </c>
      <c r="CK62" s="464" t="s">
        <v>1447</v>
      </c>
      <c r="CL62" s="464" t="s">
        <v>1448</v>
      </c>
      <c r="CN62" s="464" t="s">
        <v>1447</v>
      </c>
      <c r="CO62" s="464" t="s">
        <v>1447</v>
      </c>
      <c r="CP62" s="464" t="s">
        <v>1447</v>
      </c>
      <c r="CQ62" s="464" t="s">
        <v>1447</v>
      </c>
      <c r="CS62" s="465">
        <v>0</v>
      </c>
      <c r="CT62" s="466">
        <v>0</v>
      </c>
      <c r="CU62" s="466">
        <v>0.95</v>
      </c>
      <c r="CV62" s="467">
        <v>0.95</v>
      </c>
    </row>
    <row r="63" spans="1:100" s="48" customFormat="1" outlineLevel="1" x14ac:dyDescent="0.3">
      <c r="A63" s="202">
        <v>38702000</v>
      </c>
      <c r="B63" s="48">
        <v>400350</v>
      </c>
      <c r="C63" s="48">
        <v>79866</v>
      </c>
      <c r="D63" s="48" t="s">
        <v>332</v>
      </c>
      <c r="E63" s="48" t="s">
        <v>163</v>
      </c>
      <c r="F63" s="48" t="s">
        <v>1498</v>
      </c>
      <c r="G63" s="48" t="s">
        <v>1499</v>
      </c>
      <c r="H63" s="48" t="s">
        <v>1500</v>
      </c>
      <c r="O63" s="454" t="s">
        <v>900</v>
      </c>
      <c r="P63" s="455" t="s">
        <v>900</v>
      </c>
      <c r="Q63" s="347" t="s">
        <v>900</v>
      </c>
      <c r="R63" s="455">
        <v>167</v>
      </c>
      <c r="S63" s="457">
        <v>132</v>
      </c>
      <c r="T63" s="455"/>
      <c r="U63" s="454">
        <v>167</v>
      </c>
      <c r="V63" s="455">
        <v>88.933467868003262</v>
      </c>
      <c r="W63" s="230">
        <v>0.53253573573654645</v>
      </c>
      <c r="X63" s="264" t="s">
        <v>900</v>
      </c>
      <c r="Y63" s="265" t="s">
        <v>900</v>
      </c>
      <c r="Z63" s="265" t="s">
        <v>900</v>
      </c>
      <c r="AA63" s="265" t="s">
        <v>900</v>
      </c>
      <c r="AB63" s="266" t="s">
        <v>900</v>
      </c>
      <c r="AC63" s="265">
        <v>45726.946398749809</v>
      </c>
      <c r="AD63" s="265">
        <v>10562.128823958283</v>
      </c>
      <c r="AE63" s="265">
        <v>19434.898372463478</v>
      </c>
      <c r="AF63" s="266">
        <v>16971.634297532739</v>
      </c>
      <c r="AG63" s="265">
        <v>45726.946398749809</v>
      </c>
      <c r="AH63" s="265">
        <v>10562.128823958283</v>
      </c>
      <c r="AI63" s="265">
        <v>19434.898372463478</v>
      </c>
      <c r="AJ63" s="266">
        <v>16971.634297532739</v>
      </c>
      <c r="AK63" s="265">
        <v>45726.946398749809</v>
      </c>
      <c r="AL63" s="265">
        <v>10788.841185078601</v>
      </c>
      <c r="AM63" s="265">
        <v>19434.898372463478</v>
      </c>
      <c r="AN63" s="265">
        <v>16971.634297532739</v>
      </c>
      <c r="AO63" s="266">
        <v>92922.320253824626</v>
      </c>
      <c r="AP63" s="203"/>
      <c r="AQ63" s="264">
        <v>50001.638636056028</v>
      </c>
      <c r="AR63" s="265">
        <v>11317.816045509708</v>
      </c>
      <c r="AS63" s="265">
        <v>20891.498736449212</v>
      </c>
      <c r="AT63" s="265">
        <v>16289.851639693494</v>
      </c>
      <c r="AU63" s="266">
        <v>98500.805057708436</v>
      </c>
      <c r="AV63" s="203"/>
      <c r="AW63" s="324">
        <v>102593.48442387863</v>
      </c>
      <c r="AX63" s="203"/>
      <c r="AY63" s="377">
        <v>0</v>
      </c>
      <c r="AZ63" s="265">
        <v>0</v>
      </c>
      <c r="BA63" s="265">
        <v>98500.805057708436</v>
      </c>
      <c r="BB63" s="265">
        <v>964.11392393595747</v>
      </c>
      <c r="BC63" s="266">
        <v>97536.691133772474</v>
      </c>
      <c r="BD63" s="264">
        <v>975.36691133772479</v>
      </c>
      <c r="BE63" s="265">
        <v>96561.324222434749</v>
      </c>
      <c r="BF63" s="357">
        <v>0.94120328171600831</v>
      </c>
      <c r="BG63" s="203"/>
      <c r="BJ63" s="458">
        <v>0.94120328171600831</v>
      </c>
      <c r="BK63" s="210"/>
      <c r="BL63" s="458"/>
      <c r="BM63" s="458"/>
      <c r="BN63" s="458"/>
      <c r="BQ63" s="203">
        <v>95830.197501099057</v>
      </c>
      <c r="BR63" s="458">
        <v>0.93407683771772332</v>
      </c>
      <c r="BS63" s="458" t="s">
        <v>900</v>
      </c>
      <c r="BT63" s="459" t="s">
        <v>900</v>
      </c>
      <c r="BU63" s="460" t="s">
        <v>900</v>
      </c>
      <c r="BV63" s="461">
        <v>96561.324222434749</v>
      </c>
      <c r="BX63" s="462">
        <v>8370.9114532689273</v>
      </c>
      <c r="BY63" s="463">
        <v>9.6140783955517978E-2</v>
      </c>
      <c r="BZ63" s="461">
        <v>94.125548614534992</v>
      </c>
      <c r="CB63" s="203" t="s">
        <v>900</v>
      </c>
      <c r="CC63" s="203">
        <v>1580.8925884989474</v>
      </c>
      <c r="CD63" s="203" t="e">
        <v>#VALUE!</v>
      </c>
      <c r="CE63" s="203" t="s">
        <v>900</v>
      </c>
      <c r="CF63" s="203" t="e">
        <v>#VALUE!</v>
      </c>
      <c r="CH63" s="199"/>
      <c r="CJ63" s="464" t="s">
        <v>1448</v>
      </c>
      <c r="CK63" s="464" t="s">
        <v>1447</v>
      </c>
      <c r="CL63" s="464" t="s">
        <v>1448</v>
      </c>
      <c r="CN63" s="464" t="s">
        <v>1447</v>
      </c>
      <c r="CO63" s="464" t="s">
        <v>1447</v>
      </c>
      <c r="CP63" s="464" t="s">
        <v>1447</v>
      </c>
      <c r="CQ63" s="464" t="s">
        <v>1447</v>
      </c>
      <c r="CS63" s="465">
        <v>0</v>
      </c>
      <c r="CT63" s="466">
        <v>0</v>
      </c>
      <c r="CU63" s="466">
        <v>0.95</v>
      </c>
      <c r="CV63" s="467">
        <v>0.95</v>
      </c>
    </row>
    <row r="64" spans="1:100" s="48" customFormat="1" outlineLevel="1" x14ac:dyDescent="0.3">
      <c r="A64" s="202">
        <v>38706000</v>
      </c>
      <c r="B64" s="48">
        <v>400018</v>
      </c>
      <c r="C64" s="48">
        <v>4201</v>
      </c>
      <c r="D64" s="48" t="s">
        <v>346</v>
      </c>
      <c r="E64" s="48" t="s">
        <v>163</v>
      </c>
      <c r="F64" s="48" t="s">
        <v>1498</v>
      </c>
      <c r="G64" s="48" t="s">
        <v>1499</v>
      </c>
      <c r="H64" s="48" t="s">
        <v>1517</v>
      </c>
      <c r="O64" s="454" t="s">
        <v>900</v>
      </c>
      <c r="P64" s="455" t="s">
        <v>900</v>
      </c>
      <c r="Q64" s="347" t="s">
        <v>900</v>
      </c>
      <c r="R64" s="455">
        <v>259</v>
      </c>
      <c r="S64" s="457">
        <v>76</v>
      </c>
      <c r="T64" s="455"/>
      <c r="U64" s="454">
        <v>259</v>
      </c>
      <c r="V64" s="455">
        <v>51.204117863395815</v>
      </c>
      <c r="W64" s="230">
        <v>0.197699296769868</v>
      </c>
      <c r="X64" s="264" t="s">
        <v>900</v>
      </c>
      <c r="Y64" s="265" t="s">
        <v>900</v>
      </c>
      <c r="Z64" s="265" t="s">
        <v>900</v>
      </c>
      <c r="AA64" s="265" t="s">
        <v>900</v>
      </c>
      <c r="AB64" s="266" t="s">
        <v>900</v>
      </c>
      <c r="AC64" s="265">
        <v>26327.6358053408</v>
      </c>
      <c r="AD64" s="265">
        <v>6081.2256865214349</v>
      </c>
      <c r="AE64" s="265">
        <v>11189.789972024426</v>
      </c>
      <c r="AF64" s="266">
        <v>9771.5470197915765</v>
      </c>
      <c r="AG64" s="265">
        <v>26327.6358053408</v>
      </c>
      <c r="AH64" s="265">
        <v>6081.2256865214349</v>
      </c>
      <c r="AI64" s="265">
        <v>11189.789972024426</v>
      </c>
      <c r="AJ64" s="266">
        <v>9771.5470197915765</v>
      </c>
      <c r="AK64" s="265">
        <v>26327.6358053408</v>
      </c>
      <c r="AL64" s="265">
        <v>6307.9380476417527</v>
      </c>
      <c r="AM64" s="265">
        <v>11189.789972024426</v>
      </c>
      <c r="AN64" s="265">
        <v>9771.5470197915765</v>
      </c>
      <c r="AO64" s="266">
        <v>53596.910844798556</v>
      </c>
      <c r="AP64" s="203"/>
      <c r="AQ64" s="264">
        <v>25927.744453686762</v>
      </c>
      <c r="AR64" s="265">
        <v>6107.6437930479306</v>
      </c>
      <c r="AS64" s="265">
        <v>11034.806007439698</v>
      </c>
      <c r="AT64" s="265">
        <v>9419.9175803321486</v>
      </c>
      <c r="AU64" s="266">
        <v>52490.111834506541</v>
      </c>
      <c r="AV64" s="203"/>
      <c r="AW64" s="324">
        <v>53133.414256771335</v>
      </c>
      <c r="AX64" s="203"/>
      <c r="AY64" s="377">
        <v>0</v>
      </c>
      <c r="AZ64" s="265">
        <v>0</v>
      </c>
      <c r="BA64" s="265">
        <v>52490.111834506541</v>
      </c>
      <c r="BB64" s="265">
        <v>513.76684341772284</v>
      </c>
      <c r="BC64" s="266">
        <v>51976.344991088816</v>
      </c>
      <c r="BD64" s="264">
        <v>519.7634499108882</v>
      </c>
      <c r="BE64" s="265">
        <v>51456.581541177926</v>
      </c>
      <c r="BF64" s="357">
        <v>0.96844108854947686</v>
      </c>
      <c r="BG64" s="203"/>
      <c r="BJ64" s="458">
        <v>0.96844108854947686</v>
      </c>
      <c r="BK64" s="210"/>
      <c r="BL64" s="458"/>
      <c r="BM64" s="458"/>
      <c r="BN64" s="458"/>
      <c r="BQ64" s="203">
        <v>51066.971290321366</v>
      </c>
      <c r="BR64" s="458">
        <v>0.96110840992706159</v>
      </c>
      <c r="BS64" s="458" t="s">
        <v>900</v>
      </c>
      <c r="BT64" s="459" t="s">
        <v>900</v>
      </c>
      <c r="BU64" s="460" t="s">
        <v>900</v>
      </c>
      <c r="BV64" s="461">
        <v>51456.581541177926</v>
      </c>
      <c r="BX64" s="462">
        <v>-1997.4009347952815</v>
      </c>
      <c r="BY64" s="463">
        <v>-3.8181393293886819E-2</v>
      </c>
      <c r="BZ64" s="461">
        <v>-39.008599662316605</v>
      </c>
      <c r="CB64" s="203" t="s">
        <v>900</v>
      </c>
      <c r="CC64" s="203">
        <v>1075.8624952252344</v>
      </c>
      <c r="CD64" s="203" t="e">
        <v>#VALUE!</v>
      </c>
      <c r="CE64" s="203" t="s">
        <v>900</v>
      </c>
      <c r="CF64" s="203" t="e">
        <v>#VALUE!</v>
      </c>
      <c r="CH64" s="199"/>
      <c r="CJ64" s="464" t="s">
        <v>1448</v>
      </c>
      <c r="CK64" s="464" t="s">
        <v>1447</v>
      </c>
      <c r="CL64" s="464" t="s">
        <v>1448</v>
      </c>
      <c r="CN64" s="464" t="s">
        <v>1447</v>
      </c>
      <c r="CO64" s="464" t="s">
        <v>1447</v>
      </c>
      <c r="CP64" s="464" t="s">
        <v>1447</v>
      </c>
      <c r="CQ64" s="464" t="s">
        <v>1447</v>
      </c>
      <c r="CS64" s="465">
        <v>0</v>
      </c>
      <c r="CT64" s="466">
        <v>0.9</v>
      </c>
      <c r="CU64" s="466">
        <v>0</v>
      </c>
      <c r="CV64" s="467">
        <v>0.9</v>
      </c>
    </row>
    <row r="65" spans="1:100" s="48" customFormat="1" outlineLevel="1" x14ac:dyDescent="0.3">
      <c r="A65" s="202">
        <v>108796000</v>
      </c>
      <c r="D65" s="48" t="s">
        <v>1518</v>
      </c>
      <c r="E65" s="48" t="s">
        <v>163</v>
      </c>
      <c r="F65" s="48" t="s">
        <v>900</v>
      </c>
      <c r="G65" s="48" t="s">
        <v>900</v>
      </c>
      <c r="H65" s="48" t="s">
        <v>900</v>
      </c>
      <c r="O65" s="454" t="s">
        <v>900</v>
      </c>
      <c r="P65" s="455" t="s">
        <v>900</v>
      </c>
      <c r="Q65" s="347" t="s">
        <v>900</v>
      </c>
      <c r="R65" s="455">
        <v>91.497414907367514</v>
      </c>
      <c r="S65" s="457">
        <v>36.623007324429125</v>
      </c>
      <c r="T65" s="455"/>
      <c r="U65" s="454">
        <v>91.497414907367514</v>
      </c>
      <c r="V65" s="455">
        <v>24.674326099369434</v>
      </c>
      <c r="W65" s="230">
        <v>0.26967238499961838</v>
      </c>
      <c r="X65" s="264"/>
      <c r="Y65" s="265"/>
      <c r="Z65" s="265"/>
      <c r="AA65" s="265"/>
      <c r="AB65" s="266"/>
      <c r="AC65" s="265">
        <v>12686.805249130244</v>
      </c>
      <c r="AD65" s="265">
        <v>2930.4312218286977</v>
      </c>
      <c r="AE65" s="265">
        <v>5392.1547382141325</v>
      </c>
      <c r="AF65" s="266">
        <v>4708.7294483793476</v>
      </c>
      <c r="AG65" s="265">
        <v>12686.805249130244</v>
      </c>
      <c r="AH65" s="265">
        <v>2930.4312218286977</v>
      </c>
      <c r="AI65" s="265">
        <v>5392.1547382141325</v>
      </c>
      <c r="AJ65" s="266">
        <v>4708.7294483793476</v>
      </c>
      <c r="AK65" s="265">
        <v>12686.805249130244</v>
      </c>
      <c r="AL65" s="265">
        <v>3157.143582949016</v>
      </c>
      <c r="AM65" s="265">
        <v>5392.1547382141325</v>
      </c>
      <c r="AN65" s="265">
        <v>4708.7294483793476</v>
      </c>
      <c r="AO65" s="266">
        <v>25944.833018672743</v>
      </c>
      <c r="AP65" s="203"/>
      <c r="AQ65" s="264">
        <v>0</v>
      </c>
      <c r="AR65" s="265">
        <v>0</v>
      </c>
      <c r="AS65" s="265">
        <v>0</v>
      </c>
      <c r="AT65" s="265">
        <v>0</v>
      </c>
      <c r="AU65" s="266">
        <v>0</v>
      </c>
      <c r="AV65" s="203"/>
      <c r="AW65" s="324">
        <v>0</v>
      </c>
      <c r="AX65" s="203"/>
      <c r="AY65" s="377">
        <v>0</v>
      </c>
      <c r="AZ65" s="265">
        <v>0</v>
      </c>
      <c r="BA65" s="265">
        <v>0</v>
      </c>
      <c r="BB65" s="265">
        <v>0</v>
      </c>
      <c r="BC65" s="266">
        <v>0</v>
      </c>
      <c r="BD65" s="264">
        <v>0</v>
      </c>
      <c r="BE65" s="265">
        <v>0</v>
      </c>
      <c r="BF65" s="357" t="s">
        <v>1450</v>
      </c>
      <c r="BG65" s="203"/>
      <c r="BJ65" s="458"/>
      <c r="BK65" s="210"/>
      <c r="BL65" s="458"/>
      <c r="BM65" s="458"/>
      <c r="BN65" s="458"/>
      <c r="BQ65" s="203">
        <v>0</v>
      </c>
      <c r="BR65" s="458"/>
      <c r="BT65" s="459">
        <v>0</v>
      </c>
      <c r="BU65" s="460"/>
      <c r="BV65" s="461">
        <v>0</v>
      </c>
      <c r="BX65" s="462">
        <v>-26444.859628354479</v>
      </c>
      <c r="BY65" s="463">
        <v>-1.0442798616004936</v>
      </c>
      <c r="BZ65" s="461">
        <v>-1071.7561047809243</v>
      </c>
      <c r="CB65" s="203" t="s">
        <v>900</v>
      </c>
      <c r="CC65" s="203">
        <v>484.55511554104532</v>
      </c>
      <c r="CD65" s="203" t="e">
        <v>#VALUE!</v>
      </c>
      <c r="CE65" s="203" t="s">
        <v>900</v>
      </c>
      <c r="CF65" s="203" t="e">
        <v>#VALUE!</v>
      </c>
      <c r="CH65" s="199"/>
      <c r="CJ65" s="464" t="s">
        <v>1448</v>
      </c>
      <c r="CK65" s="464" t="s">
        <v>1447</v>
      </c>
      <c r="CL65" s="464" t="s">
        <v>1448</v>
      </c>
      <c r="CN65" s="464" t="s">
        <v>1447</v>
      </c>
      <c r="CO65" s="464" t="s">
        <v>1447</v>
      </c>
      <c r="CP65" s="464" t="s">
        <v>1447</v>
      </c>
      <c r="CQ65" s="464" t="s">
        <v>1447</v>
      </c>
      <c r="CS65" s="465">
        <v>0</v>
      </c>
      <c r="CT65" s="466">
        <v>0.9</v>
      </c>
      <c r="CU65" s="466">
        <v>0</v>
      </c>
      <c r="CV65" s="467">
        <v>0.9</v>
      </c>
    </row>
    <row r="66" spans="1:100" s="469" customFormat="1" outlineLevel="1" x14ac:dyDescent="0.3">
      <c r="A66" s="468"/>
      <c r="D66" s="469" t="s">
        <v>878</v>
      </c>
      <c r="E66" s="469" t="s">
        <v>900</v>
      </c>
      <c r="F66" s="469" t="s">
        <v>900</v>
      </c>
      <c r="G66" s="469" t="s">
        <v>900</v>
      </c>
      <c r="H66" s="469" t="s">
        <v>900</v>
      </c>
      <c r="I66" s="469">
        <v>0</v>
      </c>
      <c r="J66" s="469">
        <v>0</v>
      </c>
      <c r="K66" s="469">
        <v>0</v>
      </c>
      <c r="L66" s="469">
        <v>0</v>
      </c>
      <c r="M66" s="469">
        <v>0</v>
      </c>
      <c r="N66" s="469">
        <v>0</v>
      </c>
      <c r="O66" s="470">
        <v>0</v>
      </c>
      <c r="P66" s="471">
        <v>0</v>
      </c>
      <c r="Q66" s="846"/>
      <c r="R66" s="471">
        <v>895.49741490736756</v>
      </c>
      <c r="S66" s="472">
        <v>347.62300732442912</v>
      </c>
      <c r="T66" s="471"/>
      <c r="U66" s="470">
        <v>895.49741490736756</v>
      </c>
      <c r="V66" s="471">
        <v>234.20696630352862</v>
      </c>
      <c r="W66" s="473"/>
      <c r="X66" s="474"/>
      <c r="Y66" s="475"/>
      <c r="Z66" s="475"/>
      <c r="AA66" s="475"/>
      <c r="AB66" s="476"/>
      <c r="AC66" s="475">
        <v>120422.26229466958</v>
      </c>
      <c r="AD66" s="475">
        <v>27815.446860094049</v>
      </c>
      <c r="AE66" s="475">
        <v>51181.953176366718</v>
      </c>
      <c r="AF66" s="476">
        <v>44694.928437263297</v>
      </c>
      <c r="AG66" s="475"/>
      <c r="AH66" s="475"/>
      <c r="AI66" s="475"/>
      <c r="AJ66" s="476"/>
      <c r="AK66" s="475"/>
      <c r="AL66" s="475"/>
      <c r="AM66" s="475"/>
      <c r="AN66" s="475"/>
      <c r="AO66" s="476"/>
      <c r="AQ66" s="474"/>
      <c r="AR66" s="475"/>
      <c r="AS66" s="475"/>
      <c r="AT66" s="475"/>
      <c r="AU66" s="476"/>
      <c r="AW66" s="477"/>
      <c r="AY66" s="847"/>
      <c r="AZ66" s="475"/>
      <c r="BA66" s="475"/>
      <c r="BB66" s="475"/>
      <c r="BC66" s="476"/>
      <c r="BD66" s="474"/>
      <c r="BE66" s="475"/>
      <c r="BF66" s="478" t="s">
        <v>1450</v>
      </c>
      <c r="BJ66" s="479"/>
      <c r="BK66" s="480"/>
      <c r="BL66" s="479"/>
      <c r="BM66" s="479"/>
      <c r="BN66" s="479"/>
      <c r="BQ66" s="481"/>
      <c r="BR66" s="479"/>
      <c r="BT66" s="482">
        <v>0</v>
      </c>
      <c r="BU66" s="483"/>
      <c r="BV66" s="484"/>
      <c r="BX66" s="485"/>
      <c r="BY66" s="486" t="s">
        <v>900</v>
      </c>
      <c r="BZ66" s="484">
        <v>0</v>
      </c>
      <c r="CB66" s="481"/>
      <c r="CE66" s="481"/>
      <c r="CH66" s="199"/>
      <c r="CJ66" s="487" t="s">
        <v>1450</v>
      </c>
      <c r="CK66" s="487" t="s">
        <v>1448</v>
      </c>
      <c r="CL66" s="487" t="s">
        <v>1448</v>
      </c>
      <c r="CN66" s="487" t="s">
        <v>1448</v>
      </c>
      <c r="CO66" s="487" t="s">
        <v>1450</v>
      </c>
      <c r="CP66" s="487" t="s">
        <v>1450</v>
      </c>
      <c r="CQ66" s="487" t="s">
        <v>1450</v>
      </c>
      <c r="CS66" s="488">
        <v>0.85</v>
      </c>
      <c r="CT66" s="489">
        <v>0</v>
      </c>
      <c r="CU66" s="489">
        <v>0</v>
      </c>
      <c r="CV66" s="490">
        <v>0.85</v>
      </c>
    </row>
    <row r="67" spans="1:100" s="492" customFormat="1" outlineLevel="1" x14ac:dyDescent="0.3">
      <c r="A67" s="491" t="s">
        <v>880</v>
      </c>
      <c r="B67" s="492">
        <v>0.67373839293941862</v>
      </c>
      <c r="D67" s="492" t="s">
        <v>879</v>
      </c>
      <c r="E67" s="492" t="s">
        <v>900</v>
      </c>
      <c r="F67" s="492" t="s">
        <v>900</v>
      </c>
      <c r="G67" s="492" t="s">
        <v>900</v>
      </c>
      <c r="H67" s="492" t="s">
        <v>900</v>
      </c>
      <c r="I67" s="492">
        <v>5568</v>
      </c>
      <c r="J67" s="492">
        <v>32</v>
      </c>
      <c r="K67" s="492">
        <v>0</v>
      </c>
      <c r="L67" s="492">
        <v>45</v>
      </c>
      <c r="M67" s="492">
        <v>0</v>
      </c>
      <c r="N67" s="492">
        <v>5600</v>
      </c>
      <c r="O67" s="493">
        <v>21971</v>
      </c>
      <c r="P67" s="494">
        <v>5645</v>
      </c>
      <c r="Q67" s="848"/>
      <c r="R67" s="494">
        <v>15665.497414907368</v>
      </c>
      <c r="S67" s="495">
        <v>8378.6230073244296</v>
      </c>
      <c r="T67" s="494"/>
      <c r="U67" s="493">
        <v>21971.000000000004</v>
      </c>
      <c r="V67" s="494">
        <v>5644.9999999999991</v>
      </c>
      <c r="W67" s="496"/>
      <c r="X67" s="497">
        <v>2902491.2511458793</v>
      </c>
      <c r="Y67" s="498">
        <v>670424.96644501039</v>
      </c>
      <c r="Z67" s="498">
        <v>1233618.838246474</v>
      </c>
      <c r="AA67" s="498">
        <v>1077264.5878576073</v>
      </c>
      <c r="AB67" s="499">
        <v>5883799.6436949717</v>
      </c>
      <c r="AC67" s="498">
        <v>2902491.2511458797</v>
      </c>
      <c r="AD67" s="498">
        <v>670424.9664450105</v>
      </c>
      <c r="AE67" s="498">
        <v>1233618.838246474</v>
      </c>
      <c r="AF67" s="499">
        <v>1077264.5878576071</v>
      </c>
      <c r="AG67" s="498">
        <v>2902491.2511458797</v>
      </c>
      <c r="AH67" s="498">
        <v>667704.41811156669</v>
      </c>
      <c r="AI67" s="498">
        <v>1233618.838246474</v>
      </c>
      <c r="AJ67" s="499">
        <v>1077264.5878576071</v>
      </c>
      <c r="AK67" s="498">
        <v>2902491.2511458797</v>
      </c>
      <c r="AL67" s="498">
        <v>670424.96644501039</v>
      </c>
      <c r="AM67" s="498">
        <v>1233618.838246474</v>
      </c>
      <c r="AN67" s="498">
        <v>1077264.5878576071</v>
      </c>
      <c r="AO67" s="499">
        <v>5883799.6436949698</v>
      </c>
      <c r="AP67" s="500"/>
      <c r="AQ67" s="497">
        <v>2867936.1122472151</v>
      </c>
      <c r="AR67" s="498">
        <v>658932.74742262578</v>
      </c>
      <c r="AS67" s="498">
        <v>1220815.1893394135</v>
      </c>
      <c r="AT67" s="498">
        <v>1062857.5411355987</v>
      </c>
      <c r="AU67" s="499">
        <v>5810541.5901448522</v>
      </c>
      <c r="AV67" s="500"/>
      <c r="AW67" s="501">
        <v>6016990.0644622408</v>
      </c>
      <c r="AX67" s="500"/>
      <c r="AY67" s="849">
        <v>0</v>
      </c>
      <c r="AZ67" s="498">
        <v>4926.973849885755</v>
      </c>
      <c r="BA67" s="498">
        <v>5805614.6162949661</v>
      </c>
      <c r="BB67" s="498">
        <v>56824.651182260153</v>
      </c>
      <c r="BC67" s="499">
        <v>5748789.9651127057</v>
      </c>
      <c r="BD67" s="497">
        <v>57487.89965112706</v>
      </c>
      <c r="BE67" s="498">
        <v>5691302.0654615788</v>
      </c>
      <c r="BF67" s="502">
        <v>0.94587194003788511</v>
      </c>
      <c r="BG67" s="500"/>
      <c r="BJ67" s="503"/>
      <c r="BK67" s="504"/>
      <c r="BL67" s="503"/>
      <c r="BM67" s="503"/>
      <c r="BN67" s="503"/>
      <c r="BO67" s="500">
        <v>24560.620451979805</v>
      </c>
      <c r="BP67" s="500">
        <v>2472093.9036221611</v>
      </c>
      <c r="BQ67" s="500">
        <v>5691302.0654615788</v>
      </c>
      <c r="BR67" s="503"/>
      <c r="BT67" s="497">
        <v>0</v>
      </c>
      <c r="BU67" s="498">
        <v>0</v>
      </c>
      <c r="BV67" s="499">
        <v>5691302.0654615788</v>
      </c>
      <c r="BX67" s="506"/>
      <c r="BY67" s="507" t="s">
        <v>900</v>
      </c>
      <c r="BZ67" s="505">
        <v>0</v>
      </c>
      <c r="CB67" s="500"/>
      <c r="CE67" s="500"/>
      <c r="CH67" s="395"/>
      <c r="CJ67" s="487" t="s">
        <v>1450</v>
      </c>
      <c r="CK67" s="487" t="s">
        <v>1448</v>
      </c>
      <c r="CL67" s="508" t="s">
        <v>1448</v>
      </c>
      <c r="CN67" s="487" t="s">
        <v>1448</v>
      </c>
      <c r="CO67" s="487" t="s">
        <v>1450</v>
      </c>
      <c r="CP67" s="487" t="s">
        <v>1450</v>
      </c>
      <c r="CQ67" s="487" t="s">
        <v>1450</v>
      </c>
      <c r="CS67" s="488">
        <v>0.85</v>
      </c>
      <c r="CT67" s="489">
        <v>0</v>
      </c>
      <c r="CU67" s="489">
        <v>0</v>
      </c>
      <c r="CV67" s="490">
        <v>0.85</v>
      </c>
    </row>
    <row r="68" spans="1:100" s="469" customFormat="1" outlineLevel="1" x14ac:dyDescent="0.3">
      <c r="A68" s="468"/>
      <c r="E68" s="469" t="s">
        <v>900</v>
      </c>
      <c r="F68" s="469" t="s">
        <v>900</v>
      </c>
      <c r="G68" s="469" t="s">
        <v>900</v>
      </c>
      <c r="H68" s="469" t="s">
        <v>900</v>
      </c>
      <c r="O68" s="470"/>
      <c r="P68" s="471"/>
      <c r="Q68" s="846"/>
      <c r="R68" s="471"/>
      <c r="S68" s="472"/>
      <c r="T68" s="471"/>
      <c r="U68" s="470"/>
      <c r="V68" s="471"/>
      <c r="W68" s="473"/>
      <c r="X68" s="474">
        <v>514.17028363965983</v>
      </c>
      <c r="Y68" s="475">
        <v>118.76438732418255</v>
      </c>
      <c r="Z68" s="475">
        <v>218.53300943250207</v>
      </c>
      <c r="AA68" s="475">
        <v>190.8351794256169</v>
      </c>
      <c r="AB68" s="476" t="s">
        <v>900</v>
      </c>
      <c r="AC68" s="475"/>
      <c r="AD68" s="475"/>
      <c r="AE68" s="475"/>
      <c r="AF68" s="476"/>
      <c r="AG68" s="475">
        <v>0</v>
      </c>
      <c r="AH68" s="475">
        <v>226.71236112031815</v>
      </c>
      <c r="AI68" s="475">
        <v>0</v>
      </c>
      <c r="AJ68" s="476">
        <v>0</v>
      </c>
      <c r="AK68" s="475"/>
      <c r="AL68" s="475"/>
      <c r="AM68" s="475"/>
      <c r="AN68" s="475"/>
      <c r="AO68" s="476"/>
      <c r="AQ68" s="474"/>
      <c r="AR68" s="475"/>
      <c r="AS68" s="475"/>
      <c r="AT68" s="475"/>
      <c r="AU68" s="476"/>
      <c r="AW68" s="477"/>
      <c r="AY68" s="847"/>
      <c r="AZ68" s="475"/>
      <c r="BA68" s="475"/>
      <c r="BB68" s="475"/>
      <c r="BC68" s="476"/>
      <c r="BD68" s="474"/>
      <c r="BE68" s="475"/>
      <c r="BF68" s="478" t="s">
        <v>1450</v>
      </c>
      <c r="BJ68" s="479"/>
      <c r="BK68" s="480"/>
      <c r="BL68" s="479"/>
      <c r="BM68" s="479"/>
      <c r="BN68" s="479"/>
      <c r="BQ68" s="481"/>
      <c r="BR68" s="479"/>
      <c r="BT68" s="482">
        <v>0</v>
      </c>
      <c r="BU68" s="483"/>
      <c r="BV68" s="484"/>
      <c r="BX68" s="485"/>
      <c r="BY68" s="486" t="s">
        <v>900</v>
      </c>
      <c r="BZ68" s="484" t="s">
        <v>900</v>
      </c>
      <c r="CB68" s="481"/>
      <c r="CE68" s="481"/>
      <c r="CH68" s="199"/>
      <c r="CJ68" s="487" t="s">
        <v>1450</v>
      </c>
      <c r="CK68" s="487" t="s">
        <v>1448</v>
      </c>
      <c r="CL68" s="487" t="s">
        <v>1448</v>
      </c>
      <c r="CN68" s="487" t="s">
        <v>1448</v>
      </c>
      <c r="CO68" s="487" t="s">
        <v>1450</v>
      </c>
      <c r="CP68" s="487" t="s">
        <v>1450</v>
      </c>
      <c r="CQ68" s="487" t="s">
        <v>1450</v>
      </c>
      <c r="CS68" s="488">
        <v>0.85</v>
      </c>
      <c r="CT68" s="489">
        <v>0</v>
      </c>
      <c r="CU68" s="489">
        <v>0</v>
      </c>
      <c r="CV68" s="490">
        <v>0.85</v>
      </c>
    </row>
    <row r="69" spans="1:100" s="199" customFormat="1" outlineLevel="1" x14ac:dyDescent="0.3">
      <c r="A69" s="201"/>
      <c r="E69" s="199" t="s">
        <v>900</v>
      </c>
      <c r="F69" s="199" t="s">
        <v>900</v>
      </c>
      <c r="G69" s="199" t="s">
        <v>900</v>
      </c>
      <c r="H69" s="199" t="s">
        <v>900</v>
      </c>
      <c r="O69" s="509" t="s">
        <v>900</v>
      </c>
      <c r="P69" s="510" t="s">
        <v>900</v>
      </c>
      <c r="Q69" s="349" t="s">
        <v>900</v>
      </c>
      <c r="R69" s="510" t="s">
        <v>900</v>
      </c>
      <c r="S69" s="512" t="s">
        <v>900</v>
      </c>
      <c r="T69" s="510"/>
      <c r="U69" s="509"/>
      <c r="V69" s="510"/>
      <c r="W69" s="232"/>
      <c r="X69" s="270" t="s">
        <v>900</v>
      </c>
      <c r="Y69" s="271" t="s">
        <v>900</v>
      </c>
      <c r="Z69" s="271" t="s">
        <v>900</v>
      </c>
      <c r="AA69" s="271" t="s">
        <v>900</v>
      </c>
      <c r="AB69" s="272" t="s">
        <v>900</v>
      </c>
      <c r="AC69" s="271"/>
      <c r="AD69" s="271"/>
      <c r="AE69" s="271"/>
      <c r="AF69" s="272"/>
      <c r="AG69" s="271"/>
      <c r="AH69" s="271"/>
      <c r="AI69" s="271"/>
      <c r="AJ69" s="272"/>
      <c r="AK69" s="271"/>
      <c r="AL69" s="271"/>
      <c r="AM69" s="271"/>
      <c r="AN69" s="271"/>
      <c r="AO69" s="272"/>
      <c r="AQ69" s="270"/>
      <c r="AR69" s="271"/>
      <c r="AS69" s="271"/>
      <c r="AT69" s="271"/>
      <c r="AU69" s="272"/>
      <c r="AW69" s="326"/>
      <c r="AY69" s="378"/>
      <c r="AZ69" s="271"/>
      <c r="BA69" s="271"/>
      <c r="BB69" s="271"/>
      <c r="BC69" s="272"/>
      <c r="BD69" s="270"/>
      <c r="BE69" s="271"/>
      <c r="BF69" s="363" t="s">
        <v>1450</v>
      </c>
      <c r="BJ69" s="513"/>
      <c r="BK69" s="221"/>
      <c r="BL69" s="513"/>
      <c r="BM69" s="513"/>
      <c r="BN69" s="513"/>
      <c r="BQ69" s="200"/>
      <c r="BR69" s="513"/>
      <c r="BT69" s="514">
        <v>0</v>
      </c>
      <c r="BU69" s="515"/>
      <c r="BV69" s="516"/>
      <c r="BX69" s="517"/>
      <c r="BY69" s="518" t="s">
        <v>900</v>
      </c>
      <c r="BZ69" s="516" t="s">
        <v>900</v>
      </c>
      <c r="CB69" s="200"/>
      <c r="CE69" s="200"/>
      <c r="CJ69" s="519" t="s">
        <v>1450</v>
      </c>
      <c r="CK69" s="519" t="s">
        <v>1448</v>
      </c>
      <c r="CL69" s="519" t="s">
        <v>1448</v>
      </c>
      <c r="CN69" s="519" t="s">
        <v>1448</v>
      </c>
      <c r="CO69" s="519" t="s">
        <v>1450</v>
      </c>
      <c r="CP69" s="519" t="s">
        <v>1450</v>
      </c>
      <c r="CQ69" s="519" t="s">
        <v>1450</v>
      </c>
      <c r="CS69" s="520">
        <v>0.85</v>
      </c>
      <c r="CT69" s="521">
        <v>0</v>
      </c>
      <c r="CU69" s="521">
        <v>0</v>
      </c>
      <c r="CV69" s="522">
        <v>0.85</v>
      </c>
    </row>
    <row r="70" spans="1:100" outlineLevel="1" x14ac:dyDescent="0.3">
      <c r="A70" s="1">
        <v>40305000</v>
      </c>
      <c r="B70" s="47">
        <v>409540</v>
      </c>
      <c r="C70" s="47">
        <v>4213</v>
      </c>
      <c r="D70" s="47" t="s">
        <v>449</v>
      </c>
      <c r="E70" s="47" t="s">
        <v>131</v>
      </c>
      <c r="F70" s="47" t="s">
        <v>1498</v>
      </c>
      <c r="G70" s="47" t="s">
        <v>1499</v>
      </c>
      <c r="H70" s="47" t="s">
        <v>1516</v>
      </c>
      <c r="I70" s="382">
        <v>27</v>
      </c>
      <c r="J70" s="382">
        <v>0</v>
      </c>
      <c r="K70" s="382">
        <v>0</v>
      </c>
      <c r="L70" s="382">
        <v>1</v>
      </c>
      <c r="M70" s="382">
        <v>0</v>
      </c>
      <c r="N70" s="382">
        <v>27</v>
      </c>
      <c r="O70" s="444">
        <v>95</v>
      </c>
      <c r="P70" s="445">
        <v>28</v>
      </c>
      <c r="Q70" s="346">
        <v>0.29473684210526313</v>
      </c>
      <c r="R70" s="445">
        <v>43</v>
      </c>
      <c r="S70" s="447">
        <v>38</v>
      </c>
      <c r="T70" s="445">
        <v>6.2521715398207389E-2</v>
      </c>
      <c r="U70" s="444">
        <v>94.190034337871609</v>
      </c>
      <c r="V70" s="445">
        <v>28.062521715398208</v>
      </c>
      <c r="W70" s="229">
        <v>0.29793514688331446</v>
      </c>
      <c r="X70" s="261">
        <v>13181.899085172805</v>
      </c>
      <c r="Y70" s="262">
        <v>3215.0093765737352</v>
      </c>
      <c r="Z70" s="262">
        <v>5971.7602894339352</v>
      </c>
      <c r="AA70" s="262">
        <v>5630.0981298779516</v>
      </c>
      <c r="AB70" s="263">
        <v>27998.766881058429</v>
      </c>
      <c r="AC70" s="262">
        <v>13293.623850009515</v>
      </c>
      <c r="AD70" s="262">
        <v>3246.5127291495346</v>
      </c>
      <c r="AE70" s="262">
        <v>6112.8046780106306</v>
      </c>
      <c r="AF70" s="263">
        <v>5847.6102873058389</v>
      </c>
      <c r="AG70" s="262">
        <v>13293.623850009515</v>
      </c>
      <c r="AH70" s="262">
        <v>3246.5127291495346</v>
      </c>
      <c r="AI70" s="262">
        <v>6112.8046780106306</v>
      </c>
      <c r="AJ70" s="263">
        <v>5847.6102873058389</v>
      </c>
      <c r="AK70" s="262">
        <v>13293.623850009515</v>
      </c>
      <c r="AL70" s="262">
        <v>3246.5127291495346</v>
      </c>
      <c r="AM70" s="262">
        <v>6112.8046780106306</v>
      </c>
      <c r="AN70" s="262">
        <v>5847.6102873058389</v>
      </c>
      <c r="AO70" s="263">
        <v>28500.551544475522</v>
      </c>
      <c r="AP70" s="31"/>
      <c r="AQ70" s="261">
        <v>13091.706547253367</v>
      </c>
      <c r="AR70" s="262">
        <v>3172.6977009493849</v>
      </c>
      <c r="AS70" s="262">
        <v>6030.9973236855858</v>
      </c>
      <c r="AT70" s="262">
        <v>5736.8333278821274</v>
      </c>
      <c r="AU70" s="263">
        <v>28032.234899770465</v>
      </c>
      <c r="AV70" s="31"/>
      <c r="AW70" s="323">
        <v>30830.841666775908</v>
      </c>
      <c r="AX70" s="31"/>
      <c r="AY70" s="747">
        <v>0</v>
      </c>
      <c r="AZ70" s="262">
        <v>0</v>
      </c>
      <c r="BA70" s="262">
        <v>28032.234899770465</v>
      </c>
      <c r="BB70" s="262">
        <v>274.37611266302213</v>
      </c>
      <c r="BC70" s="263">
        <v>27757.858787107441</v>
      </c>
      <c r="BD70" s="261">
        <v>277.57858787107443</v>
      </c>
      <c r="BE70" s="262">
        <v>27480.280199236367</v>
      </c>
      <c r="BF70" s="354">
        <v>0.89132435942706711</v>
      </c>
      <c r="BG70" s="31"/>
      <c r="BJ70" s="4">
        <v>0.89132435942706711</v>
      </c>
      <c r="BL70" s="4">
        <v>0.9</v>
      </c>
      <c r="BM70" s="4">
        <v>0.9</v>
      </c>
      <c r="BN70" s="4" t="s">
        <v>1003</v>
      </c>
      <c r="BO70" s="31">
        <v>267.47730086195224</v>
      </c>
      <c r="BP70" s="31">
        <v>27747.75750009832</v>
      </c>
      <c r="BQ70" s="31">
        <v>27747.75750009832</v>
      </c>
      <c r="BR70" s="4">
        <v>0.9</v>
      </c>
      <c r="BS70" s="4" t="s">
        <v>900</v>
      </c>
      <c r="BT70" s="448" t="s">
        <v>900</v>
      </c>
      <c r="BU70" s="367" t="s">
        <v>900</v>
      </c>
      <c r="BV70" s="368">
        <v>27480.280199236367</v>
      </c>
      <c r="BX70" s="449">
        <v>-3072.1098670035863</v>
      </c>
      <c r="BY70" s="450">
        <v>-0.10954560869231811</v>
      </c>
      <c r="BZ70" s="368">
        <v>-109.47376355411019</v>
      </c>
      <c r="CB70" s="31">
        <v>2594</v>
      </c>
      <c r="CC70" s="31">
        <v>3135.0511797149575</v>
      </c>
      <c r="CD70" s="31" t="e">
        <v>#VALUE!</v>
      </c>
      <c r="CE70" s="31" t="s">
        <v>900</v>
      </c>
      <c r="CF70" s="31" t="e">
        <v>#VALUE!</v>
      </c>
      <c r="CJ70" s="702" t="s">
        <v>1447</v>
      </c>
      <c r="CK70" s="702" t="s">
        <v>1447</v>
      </c>
      <c r="CL70" s="702" t="s">
        <v>1448</v>
      </c>
      <c r="CN70" s="702" t="s">
        <v>1447</v>
      </c>
      <c r="CO70" s="702" t="s">
        <v>1447</v>
      </c>
      <c r="CP70" s="702" t="s">
        <v>1447</v>
      </c>
      <c r="CQ70" s="702" t="s">
        <v>1447</v>
      </c>
      <c r="CS70" s="451">
        <v>0</v>
      </c>
      <c r="CT70" s="452">
        <v>0.9</v>
      </c>
      <c r="CU70" s="452">
        <v>0</v>
      </c>
      <c r="CV70" s="453">
        <v>0.9</v>
      </c>
    </row>
    <row r="71" spans="1:100" outlineLevel="1" x14ac:dyDescent="0.3">
      <c r="A71" s="1">
        <v>40333000</v>
      </c>
      <c r="B71" s="47">
        <v>405760</v>
      </c>
      <c r="C71" s="47">
        <v>4215</v>
      </c>
      <c r="D71" s="47" t="s">
        <v>418</v>
      </c>
      <c r="E71" s="47" t="s">
        <v>131</v>
      </c>
      <c r="F71" s="47" t="s">
        <v>1504</v>
      </c>
      <c r="G71" s="47" t="s">
        <v>1502</v>
      </c>
      <c r="H71" s="47" t="s">
        <v>1516</v>
      </c>
      <c r="I71" s="382">
        <v>47</v>
      </c>
      <c r="J71" s="382">
        <v>0</v>
      </c>
      <c r="K71" s="382">
        <v>0</v>
      </c>
      <c r="L71" s="382">
        <v>2</v>
      </c>
      <c r="M71" s="382">
        <v>0</v>
      </c>
      <c r="N71" s="382">
        <v>47</v>
      </c>
      <c r="O71" s="444">
        <v>102</v>
      </c>
      <c r="P71" s="445">
        <v>49</v>
      </c>
      <c r="Q71" s="346">
        <v>0.48039215686274511</v>
      </c>
      <c r="R71" s="445">
        <v>61</v>
      </c>
      <c r="S71" s="447">
        <v>53</v>
      </c>
      <c r="T71" s="445">
        <v>0.1259924184645782</v>
      </c>
      <c r="U71" s="444">
        <v>101.13035265750428</v>
      </c>
      <c r="V71" s="445">
        <v>49.125992418464577</v>
      </c>
      <c r="W71" s="229">
        <v>0.48576902114480297</v>
      </c>
      <c r="X71" s="261">
        <v>25860.983846652707</v>
      </c>
      <c r="Y71" s="262">
        <v>6123.5680665023247</v>
      </c>
      <c r="Z71" s="262">
        <v>18461.727243030542</v>
      </c>
      <c r="AA71" s="262">
        <v>20538.032855135927</v>
      </c>
      <c r="AB71" s="263">
        <v>70984.312011321497</v>
      </c>
      <c r="AC71" s="262">
        <v>26080.171713290463</v>
      </c>
      <c r="AD71" s="262">
        <v>6183.5719113516097</v>
      </c>
      <c r="AE71" s="262">
        <v>18897.766686152561</v>
      </c>
      <c r="AF71" s="263">
        <v>21331.495372589827</v>
      </c>
      <c r="AG71" s="262">
        <v>26080.171713290463</v>
      </c>
      <c r="AH71" s="262">
        <v>6183.5719113516097</v>
      </c>
      <c r="AI71" s="262">
        <v>18897.766686152561</v>
      </c>
      <c r="AJ71" s="263">
        <v>21331.495372589827</v>
      </c>
      <c r="AK71" s="262">
        <v>26080.171713290463</v>
      </c>
      <c r="AL71" s="262">
        <v>6183.5719113516097</v>
      </c>
      <c r="AM71" s="262">
        <v>18897.766686152561</v>
      </c>
      <c r="AN71" s="262">
        <v>21331.495372589827</v>
      </c>
      <c r="AO71" s="263">
        <v>72493.005683384457</v>
      </c>
      <c r="AP71" s="31"/>
      <c r="AQ71" s="261">
        <v>25684.039102109273</v>
      </c>
      <c r="AR71" s="262">
        <v>6042.977811437624</v>
      </c>
      <c r="AS71" s="262">
        <v>18644.858835062965</v>
      </c>
      <c r="AT71" s="262">
        <v>20927.392143880108</v>
      </c>
      <c r="AU71" s="263">
        <v>71299.267892489966</v>
      </c>
      <c r="AV71" s="31"/>
      <c r="AW71" s="323">
        <v>70141.092201746214</v>
      </c>
      <c r="AX71" s="31"/>
      <c r="AY71" s="747">
        <v>0</v>
      </c>
      <c r="AZ71" s="262">
        <v>1158.1756907437521</v>
      </c>
      <c r="BA71" s="262">
        <v>70141.092201746214</v>
      </c>
      <c r="BB71" s="262">
        <v>686.53249678680902</v>
      </c>
      <c r="BC71" s="263">
        <v>69454.559704959407</v>
      </c>
      <c r="BD71" s="261">
        <v>694.54559704959411</v>
      </c>
      <c r="BE71" s="262">
        <v>68760.01410790981</v>
      </c>
      <c r="BF71" s="354">
        <v>0.98031000016560876</v>
      </c>
      <c r="BG71" s="31"/>
      <c r="BJ71" s="4">
        <v>0.98031000016560876</v>
      </c>
      <c r="BL71" s="4">
        <v>0.94999999999999984</v>
      </c>
      <c r="BM71" s="4">
        <v>0.95</v>
      </c>
      <c r="BN71" s="4" t="s">
        <v>900</v>
      </c>
      <c r="BO71" s="31" t="s">
        <v>900</v>
      </c>
      <c r="BP71" s="31" t="s">
        <v>900</v>
      </c>
      <c r="BQ71" s="31">
        <v>68341.850755002321</v>
      </c>
      <c r="BR71" s="4">
        <v>0.97434825449297613</v>
      </c>
      <c r="BS71" s="4" t="s">
        <v>900</v>
      </c>
      <c r="BT71" s="448" t="s">
        <v>900</v>
      </c>
      <c r="BU71" s="367" t="s">
        <v>900</v>
      </c>
      <c r="BV71" s="368">
        <v>68760.01410790981</v>
      </c>
      <c r="BX71" s="449">
        <v>-2269.0075368149119</v>
      </c>
      <c r="BY71" s="450">
        <v>-3.2118301585020097E-2</v>
      </c>
      <c r="BZ71" s="368">
        <v>-46.187515510874015</v>
      </c>
      <c r="CB71" s="31">
        <v>2280</v>
      </c>
      <c r="CC71" s="31">
        <v>3162.3038940044207</v>
      </c>
      <c r="CD71" s="31" t="e">
        <v>#VALUE!</v>
      </c>
      <c r="CE71" s="31" t="s">
        <v>900</v>
      </c>
      <c r="CF71" s="31" t="e">
        <v>#VALUE!</v>
      </c>
      <c r="CJ71" s="702" t="s">
        <v>1447</v>
      </c>
      <c r="CK71" s="702" t="s">
        <v>1447</v>
      </c>
      <c r="CL71" s="702" t="s">
        <v>1448</v>
      </c>
      <c r="CN71" s="702" t="s">
        <v>1447</v>
      </c>
      <c r="CO71" s="702" t="s">
        <v>1447</v>
      </c>
      <c r="CP71" s="702" t="s">
        <v>1447</v>
      </c>
      <c r="CQ71" s="702" t="s">
        <v>1447</v>
      </c>
      <c r="CS71" s="451">
        <v>0</v>
      </c>
      <c r="CT71" s="452">
        <v>0</v>
      </c>
      <c r="CU71" s="452">
        <v>0.95</v>
      </c>
      <c r="CV71" s="453">
        <v>0.95</v>
      </c>
    </row>
    <row r="72" spans="1:100" outlineLevel="1" x14ac:dyDescent="0.3">
      <c r="A72" s="1">
        <v>40241000</v>
      </c>
      <c r="B72" s="47">
        <v>403730</v>
      </c>
      <c r="C72" s="47">
        <v>4212</v>
      </c>
      <c r="D72" s="47" t="s">
        <v>193</v>
      </c>
      <c r="E72" s="47" t="s">
        <v>131</v>
      </c>
      <c r="F72" s="47" t="s">
        <v>1501</v>
      </c>
      <c r="G72" s="47" t="s">
        <v>1502</v>
      </c>
      <c r="H72" s="47" t="s">
        <v>1516</v>
      </c>
      <c r="I72" s="382">
        <v>79</v>
      </c>
      <c r="J72" s="382">
        <v>0</v>
      </c>
      <c r="K72" s="382">
        <v>0</v>
      </c>
      <c r="L72" s="382">
        <v>3</v>
      </c>
      <c r="M72" s="382">
        <v>0</v>
      </c>
      <c r="N72" s="382">
        <v>79</v>
      </c>
      <c r="O72" s="444">
        <v>199</v>
      </c>
      <c r="P72" s="445">
        <v>82</v>
      </c>
      <c r="Q72" s="346">
        <v>0.4120603015075377</v>
      </c>
      <c r="R72" s="445">
        <v>261</v>
      </c>
      <c r="S72" s="447">
        <v>213</v>
      </c>
      <c r="T72" s="445">
        <v>0.18783628552838216</v>
      </c>
      <c r="U72" s="444">
        <v>197.30333508669949</v>
      </c>
      <c r="V72" s="445">
        <v>82.187836285528377</v>
      </c>
      <c r="W72" s="229">
        <v>0.41655573763825737</v>
      </c>
      <c r="X72" s="261">
        <v>51677.323859853808</v>
      </c>
      <c r="Y72" s="262">
        <v>12603.880494924126</v>
      </c>
      <c r="Z72" s="262">
        <v>29122.084764032592</v>
      </c>
      <c r="AA72" s="262">
        <v>27078.365567065906</v>
      </c>
      <c r="AB72" s="263">
        <v>120481.65468587643</v>
      </c>
      <c r="AC72" s="262">
        <v>52115.321208970745</v>
      </c>
      <c r="AD72" s="262">
        <v>12727.383864447107</v>
      </c>
      <c r="AE72" s="262">
        <v>29809.906518514137</v>
      </c>
      <c r="AF72" s="263">
        <v>28124.506074432375</v>
      </c>
      <c r="AG72" s="262">
        <v>52115.321208970745</v>
      </c>
      <c r="AH72" s="262">
        <v>12727.383864447107</v>
      </c>
      <c r="AI72" s="262">
        <v>29809.906518514137</v>
      </c>
      <c r="AJ72" s="263">
        <v>28124.506074432375</v>
      </c>
      <c r="AK72" s="262">
        <v>52115.321208970745</v>
      </c>
      <c r="AL72" s="262">
        <v>12727.383864447107</v>
      </c>
      <c r="AM72" s="262">
        <v>29809.906518514137</v>
      </c>
      <c r="AN72" s="262">
        <v>28124.506074432375</v>
      </c>
      <c r="AO72" s="263">
        <v>122777.11766636436</v>
      </c>
      <c r="AP72" s="31"/>
      <c r="AQ72" s="261">
        <v>51323.739830596016</v>
      </c>
      <c r="AR72" s="262">
        <v>12447.608431864588</v>
      </c>
      <c r="AS72" s="262">
        <v>29410.962054653035</v>
      </c>
      <c r="AT72" s="262">
        <v>27870.19440717201</v>
      </c>
      <c r="AU72" s="263">
        <v>121052.50472428565</v>
      </c>
      <c r="AV72" s="31"/>
      <c r="AW72" s="323">
        <v>126134.03528437075</v>
      </c>
      <c r="AX72" s="31"/>
      <c r="AY72" s="747">
        <v>0</v>
      </c>
      <c r="AZ72" s="262">
        <v>0</v>
      </c>
      <c r="BA72" s="262">
        <v>121052.50472428565</v>
      </c>
      <c r="BB72" s="262">
        <v>1184.8472229605775</v>
      </c>
      <c r="BC72" s="263">
        <v>119867.65750132507</v>
      </c>
      <c r="BD72" s="261">
        <v>1198.6765750132506</v>
      </c>
      <c r="BE72" s="262">
        <v>118668.98092631182</v>
      </c>
      <c r="BF72" s="354">
        <v>0.94081649460251648</v>
      </c>
      <c r="BG72" s="31"/>
      <c r="BJ72" s="4">
        <v>0.94081649460251648</v>
      </c>
      <c r="BL72" s="4">
        <v>0.95</v>
      </c>
      <c r="BM72" s="4">
        <v>0.95</v>
      </c>
      <c r="BN72" s="4" t="s">
        <v>1003</v>
      </c>
      <c r="BO72" s="31">
        <v>1158.3525938403909</v>
      </c>
      <c r="BP72" s="31">
        <v>119827.33352015221</v>
      </c>
      <c r="BQ72" s="31">
        <v>119827.33352015221</v>
      </c>
      <c r="BR72" s="4">
        <v>0.95</v>
      </c>
      <c r="BS72" s="4" t="s">
        <v>900</v>
      </c>
      <c r="BT72" s="448" t="s">
        <v>900</v>
      </c>
      <c r="BU72" s="367" t="s">
        <v>900</v>
      </c>
      <c r="BV72" s="368">
        <v>118668.98092631182</v>
      </c>
      <c r="BX72" s="449">
        <v>-4411.7306312148867</v>
      </c>
      <c r="BY72" s="450">
        <v>-3.6651915345967033E-2</v>
      </c>
      <c r="BZ72" s="368">
        <v>-53.678632150481661</v>
      </c>
      <c r="CB72" s="31">
        <v>24228</v>
      </c>
      <c r="CC72" s="31">
        <v>25732.691377297928</v>
      </c>
      <c r="CD72" s="31" t="e">
        <v>#VALUE!</v>
      </c>
      <c r="CE72" s="31" t="s">
        <v>900</v>
      </c>
      <c r="CF72" s="31" t="e">
        <v>#VALUE!</v>
      </c>
      <c r="CJ72" s="702" t="s">
        <v>1447</v>
      </c>
      <c r="CK72" s="702" t="s">
        <v>1447</v>
      </c>
      <c r="CL72" s="702" t="s">
        <v>1448</v>
      </c>
      <c r="CN72" s="702" t="s">
        <v>1447</v>
      </c>
      <c r="CO72" s="702" t="s">
        <v>1447</v>
      </c>
      <c r="CP72" s="702" t="s">
        <v>1447</v>
      </c>
      <c r="CQ72" s="702" t="s">
        <v>1447</v>
      </c>
      <c r="CS72" s="451">
        <v>0</v>
      </c>
      <c r="CT72" s="452">
        <v>0</v>
      </c>
      <c r="CU72" s="452">
        <v>0.95</v>
      </c>
      <c r="CV72" s="453">
        <v>0.95</v>
      </c>
    </row>
    <row r="73" spans="1:100" outlineLevel="1" x14ac:dyDescent="0.3">
      <c r="A73" s="1">
        <v>40312000</v>
      </c>
      <c r="B73" s="47">
        <v>406510</v>
      </c>
      <c r="C73" s="47">
        <v>4214</v>
      </c>
      <c r="D73" s="47" t="s">
        <v>347</v>
      </c>
      <c r="E73" s="47" t="s">
        <v>131</v>
      </c>
      <c r="F73" s="47" t="s">
        <v>1498</v>
      </c>
      <c r="G73" s="47" t="s">
        <v>1499</v>
      </c>
      <c r="H73" s="47" t="s">
        <v>1512</v>
      </c>
      <c r="I73" s="382">
        <v>55</v>
      </c>
      <c r="J73" s="382">
        <v>0</v>
      </c>
      <c r="K73" s="382">
        <v>0</v>
      </c>
      <c r="L73" s="382">
        <v>2</v>
      </c>
      <c r="M73" s="382">
        <v>0</v>
      </c>
      <c r="N73" s="382">
        <v>55</v>
      </c>
      <c r="O73" s="444">
        <v>220</v>
      </c>
      <c r="P73" s="445">
        <v>57</v>
      </c>
      <c r="Q73" s="346">
        <v>0.25909090909090909</v>
      </c>
      <c r="R73" s="445">
        <v>136</v>
      </c>
      <c r="S73" s="447">
        <v>93</v>
      </c>
      <c r="T73" s="445">
        <v>0.12490786112953378</v>
      </c>
      <c r="U73" s="444">
        <v>218.12429004559743</v>
      </c>
      <c r="V73" s="445">
        <v>57.124907861129536</v>
      </c>
      <c r="W73" s="229">
        <v>0.26189154747134286</v>
      </c>
      <c r="X73" s="261">
        <v>32260.963550554501</v>
      </c>
      <c r="Y73" s="262">
        <v>7868.3124216146671</v>
      </c>
      <c r="Z73" s="262">
        <v>13426.029804927392</v>
      </c>
      <c r="AA73" s="262">
        <v>12113.796052316076</v>
      </c>
      <c r="AB73" s="263">
        <v>65669.101829412641</v>
      </c>
      <c r="AC73" s="262">
        <v>32534.395211865394</v>
      </c>
      <c r="AD73" s="262">
        <v>7945.4127318659657</v>
      </c>
      <c r="AE73" s="262">
        <v>13743.133317638545</v>
      </c>
      <c r="AF73" s="263">
        <v>12581.798181798997</v>
      </c>
      <c r="AG73" s="262">
        <v>32534.395211865394</v>
      </c>
      <c r="AH73" s="262">
        <v>7945.4127318659657</v>
      </c>
      <c r="AI73" s="262">
        <v>13743.133317638545</v>
      </c>
      <c r="AJ73" s="263">
        <v>12581.798181798997</v>
      </c>
      <c r="AK73" s="262">
        <v>32534.395211865394</v>
      </c>
      <c r="AL73" s="262">
        <v>7945.4127318659657</v>
      </c>
      <c r="AM73" s="262">
        <v>13743.133317638545</v>
      </c>
      <c r="AN73" s="262">
        <v>12581.798181798997</v>
      </c>
      <c r="AO73" s="263">
        <v>66804.739443168903</v>
      </c>
      <c r="AP73" s="31"/>
      <c r="AQ73" s="261">
        <v>32040.229181435872</v>
      </c>
      <c r="AR73" s="262">
        <v>7768.9215526860589</v>
      </c>
      <c r="AS73" s="262">
        <v>13559.209662937657</v>
      </c>
      <c r="AT73" s="262">
        <v>12466.242321297526</v>
      </c>
      <c r="AU73" s="263">
        <v>65834.602718357113</v>
      </c>
      <c r="AV73" s="31"/>
      <c r="AW73" s="323">
        <v>72406.310834609452</v>
      </c>
      <c r="AX73" s="31"/>
      <c r="AY73" s="747">
        <v>0</v>
      </c>
      <c r="AZ73" s="262">
        <v>0</v>
      </c>
      <c r="BA73" s="262">
        <v>65834.602718357113</v>
      </c>
      <c r="BB73" s="262">
        <v>644.38110044251823</v>
      </c>
      <c r="BC73" s="263">
        <v>65190.221617914598</v>
      </c>
      <c r="BD73" s="261">
        <v>651.90221617914597</v>
      </c>
      <c r="BE73" s="262">
        <v>64538.319401735454</v>
      </c>
      <c r="BF73" s="354">
        <v>0.89133555705046108</v>
      </c>
      <c r="BG73" s="31"/>
      <c r="BJ73" s="4">
        <v>0.89133555705046108</v>
      </c>
      <c r="BL73" s="4">
        <v>0.90000000000000013</v>
      </c>
      <c r="BM73" s="4">
        <v>0.9</v>
      </c>
      <c r="BN73" s="4" t="s">
        <v>1003</v>
      </c>
      <c r="BO73" s="31">
        <v>627.36034941305843</v>
      </c>
      <c r="BP73" s="31">
        <v>65165.679751148513</v>
      </c>
      <c r="BQ73" s="31">
        <v>65165.679751148513</v>
      </c>
      <c r="BR73" s="4">
        <v>0.90000000000000013</v>
      </c>
      <c r="BS73" s="4" t="s">
        <v>900</v>
      </c>
      <c r="BT73" s="448" t="s">
        <v>900</v>
      </c>
      <c r="BU73" s="367" t="s">
        <v>900</v>
      </c>
      <c r="BV73" s="368">
        <v>64538.319401735454</v>
      </c>
      <c r="BX73" s="449">
        <v>-3872.706805232825</v>
      </c>
      <c r="BY73" s="450">
        <v>-5.8910269554325441E-2</v>
      </c>
      <c r="BZ73" s="368">
        <v>-67.793663924104038</v>
      </c>
      <c r="CB73" s="31">
        <v>7132</v>
      </c>
      <c r="CC73" s="31">
        <v>8260.2224154073556</v>
      </c>
      <c r="CD73" s="31" t="e">
        <v>#VALUE!</v>
      </c>
      <c r="CE73" s="31" t="s">
        <v>900</v>
      </c>
      <c r="CF73" s="31" t="e">
        <v>#VALUE!</v>
      </c>
      <c r="CJ73" s="702" t="s">
        <v>1447</v>
      </c>
      <c r="CK73" s="702" t="s">
        <v>1447</v>
      </c>
      <c r="CL73" s="702" t="s">
        <v>1448</v>
      </c>
      <c r="CN73" s="702" t="s">
        <v>1447</v>
      </c>
      <c r="CO73" s="702" t="s">
        <v>1447</v>
      </c>
      <c r="CP73" s="702" t="s">
        <v>1447</v>
      </c>
      <c r="CQ73" s="702" t="s">
        <v>1447</v>
      </c>
      <c r="CS73" s="451">
        <v>0</v>
      </c>
      <c r="CT73" s="452">
        <v>0.9</v>
      </c>
      <c r="CU73" s="452">
        <v>0</v>
      </c>
      <c r="CV73" s="453">
        <v>0.9</v>
      </c>
    </row>
    <row r="74" spans="1:100" outlineLevel="1" x14ac:dyDescent="0.3">
      <c r="A74" s="1">
        <v>40240000</v>
      </c>
      <c r="B74" s="47">
        <v>405030</v>
      </c>
      <c r="C74" s="47">
        <v>4211</v>
      </c>
      <c r="D74" s="47" t="s">
        <v>285</v>
      </c>
      <c r="E74" s="47" t="s">
        <v>131</v>
      </c>
      <c r="F74" s="47" t="s">
        <v>1498</v>
      </c>
      <c r="G74" s="47" t="s">
        <v>1502</v>
      </c>
      <c r="H74" s="47" t="s">
        <v>1508</v>
      </c>
      <c r="I74" s="382">
        <v>483</v>
      </c>
      <c r="J74" s="382">
        <v>0</v>
      </c>
      <c r="K74" s="382">
        <v>0</v>
      </c>
      <c r="L74" s="382">
        <v>16</v>
      </c>
      <c r="M74" s="382">
        <v>0</v>
      </c>
      <c r="N74" s="382">
        <v>483</v>
      </c>
      <c r="O74" s="444">
        <v>1221</v>
      </c>
      <c r="P74" s="445">
        <v>499</v>
      </c>
      <c r="Q74" s="346">
        <v>0.40868140868140868</v>
      </c>
      <c r="R74" s="445">
        <v>1078</v>
      </c>
      <c r="S74" s="447">
        <v>700</v>
      </c>
      <c r="T74" s="445">
        <v>0.99343339336041936</v>
      </c>
      <c r="U74" s="444">
        <v>1210.5898097530658</v>
      </c>
      <c r="V74" s="445">
        <v>499.99343339336042</v>
      </c>
      <c r="W74" s="229">
        <v>0.41301639032906473</v>
      </c>
      <c r="X74" s="261">
        <v>230144.42968426764</v>
      </c>
      <c r="Y74" s="262">
        <v>54534.860492093765</v>
      </c>
      <c r="Z74" s="262">
        <v>129683.29107569352</v>
      </c>
      <c r="AA74" s="262">
        <v>108956.15420056411</v>
      </c>
      <c r="AB74" s="263">
        <v>523318.73545261903</v>
      </c>
      <c r="AC74" s="262">
        <v>232095.04636846573</v>
      </c>
      <c r="AD74" s="262">
        <v>55069.238696485001</v>
      </c>
      <c r="AE74" s="262">
        <v>132746.22388141043</v>
      </c>
      <c r="AF74" s="263">
        <v>113165.54586985709</v>
      </c>
      <c r="AG74" s="262">
        <v>232095.04636846573</v>
      </c>
      <c r="AH74" s="262">
        <v>55069.238696485001</v>
      </c>
      <c r="AI74" s="262">
        <v>132746.22388141043</v>
      </c>
      <c r="AJ74" s="263">
        <v>113165.54586985709</v>
      </c>
      <c r="AK74" s="262">
        <v>232095.04636846573</v>
      </c>
      <c r="AL74" s="262">
        <v>55069.238696485001</v>
      </c>
      <c r="AM74" s="262">
        <v>132746.22388141043</v>
      </c>
      <c r="AN74" s="262">
        <v>113165.54586985709</v>
      </c>
      <c r="AO74" s="263">
        <v>533076.05481621821</v>
      </c>
      <c r="AP74" s="31"/>
      <c r="AQ74" s="261">
        <v>228569.74685085149</v>
      </c>
      <c r="AR74" s="262">
        <v>53320.640020902683</v>
      </c>
      <c r="AS74" s="262">
        <v>130907.62493431417</v>
      </c>
      <c r="AT74" s="262">
        <v>108619.47179788649</v>
      </c>
      <c r="AU74" s="263">
        <v>521417.48360395484</v>
      </c>
      <c r="AV74" s="31"/>
      <c r="AW74" s="323">
        <v>425915.11683425092</v>
      </c>
      <c r="AX74" s="31"/>
      <c r="AY74" s="747">
        <v>0</v>
      </c>
      <c r="AZ74" s="262">
        <v>49189.023052970297</v>
      </c>
      <c r="BA74" s="262">
        <v>472228.46055098454</v>
      </c>
      <c r="BB74" s="262">
        <v>4622.1148530645114</v>
      </c>
      <c r="BC74" s="263">
        <v>467606.34569792001</v>
      </c>
      <c r="BD74" s="261">
        <v>4676.0634569792001</v>
      </c>
      <c r="BE74" s="262">
        <v>462930.28224094084</v>
      </c>
      <c r="BF74" s="354">
        <v>1.0869073764787145</v>
      </c>
      <c r="BG74" s="31"/>
      <c r="BJ74" s="4">
        <v>1.0869073764787145</v>
      </c>
      <c r="BL74" s="4">
        <v>1.1761921975609866</v>
      </c>
      <c r="BM74" s="4">
        <v>0.95</v>
      </c>
      <c r="BN74" s="4" t="s">
        <v>900</v>
      </c>
      <c r="BO74" s="31" t="s">
        <v>900</v>
      </c>
      <c r="BP74" s="31" t="s">
        <v>900</v>
      </c>
      <c r="BQ74" s="31">
        <v>460114.97625975701</v>
      </c>
      <c r="BR74" s="4">
        <v>1.0802973599052021</v>
      </c>
      <c r="BS74" s="4" t="s">
        <v>900</v>
      </c>
      <c r="BT74" s="448" t="s">
        <v>900</v>
      </c>
      <c r="BU74" s="367" t="s">
        <v>900</v>
      </c>
      <c r="BV74" s="368">
        <v>462930.28224094084</v>
      </c>
      <c r="BX74" s="449">
        <v>-41396.196533507376</v>
      </c>
      <c r="BY74" s="450">
        <v>-8.255020527770067E-2</v>
      </c>
      <c r="BZ74" s="368">
        <v>-82.793480411451114</v>
      </c>
      <c r="CB74" s="31">
        <v>41772</v>
      </c>
      <c r="CC74" s="31">
        <v>50936.321374420382</v>
      </c>
      <c r="CD74" s="31" t="e">
        <v>#VALUE!</v>
      </c>
      <c r="CE74" s="31" t="s">
        <v>900</v>
      </c>
      <c r="CF74" s="31" t="e">
        <v>#VALUE!</v>
      </c>
      <c r="CJ74" s="702" t="s">
        <v>1447</v>
      </c>
      <c r="CK74" s="702" t="s">
        <v>1447</v>
      </c>
      <c r="CL74" s="702" t="s">
        <v>1448</v>
      </c>
      <c r="CN74" s="702" t="s">
        <v>1447</v>
      </c>
      <c r="CO74" s="702" t="s">
        <v>1447</v>
      </c>
      <c r="CP74" s="702" t="s">
        <v>1447</v>
      </c>
      <c r="CQ74" s="702" t="s">
        <v>1447</v>
      </c>
      <c r="CS74" s="451">
        <v>0</v>
      </c>
      <c r="CT74" s="452">
        <v>0</v>
      </c>
      <c r="CU74" s="452">
        <v>0.95</v>
      </c>
      <c r="CV74" s="453">
        <v>0.95</v>
      </c>
    </row>
    <row r="75" spans="1:100" outlineLevel="1" x14ac:dyDescent="0.3">
      <c r="A75" s="1">
        <v>40220000</v>
      </c>
      <c r="B75" s="47">
        <v>406960</v>
      </c>
      <c r="C75" s="47">
        <v>4210</v>
      </c>
      <c r="D75" s="47" t="s">
        <v>370</v>
      </c>
      <c r="E75" s="47" t="s">
        <v>131</v>
      </c>
      <c r="F75" s="47" t="s">
        <v>1503</v>
      </c>
      <c r="G75" s="47" t="s">
        <v>1502</v>
      </c>
      <c r="H75" s="47" t="s">
        <v>1516</v>
      </c>
      <c r="I75" s="382">
        <v>606</v>
      </c>
      <c r="J75" s="382">
        <v>0</v>
      </c>
      <c r="K75" s="382">
        <v>0</v>
      </c>
      <c r="L75" s="382">
        <v>21</v>
      </c>
      <c r="M75" s="382">
        <v>0</v>
      </c>
      <c r="N75" s="382">
        <v>606</v>
      </c>
      <c r="O75" s="444">
        <v>1218</v>
      </c>
      <c r="P75" s="445">
        <v>627</v>
      </c>
      <c r="Q75" s="346">
        <v>0.51477832512315269</v>
      </c>
      <c r="R75" s="445">
        <v>1457</v>
      </c>
      <c r="S75" s="447">
        <v>1254</v>
      </c>
      <c r="T75" s="445">
        <v>1.3076688063540161</v>
      </c>
      <c r="U75" s="444">
        <v>1207.6153876160804</v>
      </c>
      <c r="V75" s="445">
        <v>628.30766880635406</v>
      </c>
      <c r="W75" s="229">
        <v>0.52028789567403455</v>
      </c>
      <c r="X75" s="261">
        <v>328151.00651007186</v>
      </c>
      <c r="Y75" s="262">
        <v>80034.64114276816</v>
      </c>
      <c r="Z75" s="262">
        <v>241456.24106913293</v>
      </c>
      <c r="AA75" s="262">
        <v>283232.1228403619</v>
      </c>
      <c r="AB75" s="263">
        <v>932874.01156233484</v>
      </c>
      <c r="AC75" s="262">
        <v>330932.2896769644</v>
      </c>
      <c r="AD75" s="262">
        <v>80818.887539239091</v>
      </c>
      <c r="AE75" s="262">
        <v>247159.09018547801</v>
      </c>
      <c r="AF75" s="263">
        <v>294174.45966482203</v>
      </c>
      <c r="AG75" s="262">
        <v>330932.2896769644</v>
      </c>
      <c r="AH75" s="262">
        <v>80818.887539239091</v>
      </c>
      <c r="AI75" s="262">
        <v>247159.09018547801</v>
      </c>
      <c r="AJ75" s="263">
        <v>294174.45966482203</v>
      </c>
      <c r="AK75" s="262">
        <v>330932.2896769644</v>
      </c>
      <c r="AL75" s="262">
        <v>80818.887539239091</v>
      </c>
      <c r="AM75" s="262">
        <v>247159.09018547801</v>
      </c>
      <c r="AN75" s="262">
        <v>294174.45966482203</v>
      </c>
      <c r="AO75" s="263">
        <v>953084.7270665036</v>
      </c>
      <c r="AP75" s="31"/>
      <c r="AQ75" s="261">
        <v>325905.74792428489</v>
      </c>
      <c r="AR75" s="262">
        <v>79042.313542340082</v>
      </c>
      <c r="AS75" s="262">
        <v>243851.37264328435</v>
      </c>
      <c r="AT75" s="262">
        <v>291514.43082361203</v>
      </c>
      <c r="AU75" s="263">
        <v>940313.86493352137</v>
      </c>
      <c r="AV75" s="31"/>
      <c r="AW75" s="323">
        <v>979834.73427173251</v>
      </c>
      <c r="AX75" s="31"/>
      <c r="AY75" s="747">
        <v>0</v>
      </c>
      <c r="AZ75" s="262">
        <v>0</v>
      </c>
      <c r="BA75" s="262">
        <v>940313.86493352137</v>
      </c>
      <c r="BB75" s="262">
        <v>9203.6779752339407</v>
      </c>
      <c r="BC75" s="263">
        <v>931110.18695828738</v>
      </c>
      <c r="BD75" s="261">
        <v>9311.1018695828734</v>
      </c>
      <c r="BE75" s="262">
        <v>921799.08508870448</v>
      </c>
      <c r="BF75" s="354">
        <v>0.94076996134846824</v>
      </c>
      <c r="BG75" s="31"/>
      <c r="BJ75" s="4">
        <v>0.94076996134846824</v>
      </c>
      <c r="BL75" s="4">
        <v>0.95</v>
      </c>
      <c r="BM75" s="4">
        <v>0.95</v>
      </c>
      <c r="BN75" s="4" t="s">
        <v>1003</v>
      </c>
      <c r="BO75" s="31">
        <v>9043.9124694414204</v>
      </c>
      <c r="BP75" s="31">
        <v>930842.9975581459</v>
      </c>
      <c r="BQ75" s="31">
        <v>930842.9975581459</v>
      </c>
      <c r="BR75" s="4">
        <v>0.95000000000000007</v>
      </c>
      <c r="BS75" s="4" t="s">
        <v>900</v>
      </c>
      <c r="BT75" s="448" t="s">
        <v>900</v>
      </c>
      <c r="BU75" s="367" t="s">
        <v>900</v>
      </c>
      <c r="BV75" s="368">
        <v>921799.08508870448</v>
      </c>
      <c r="BX75" s="449">
        <v>-15622.650263411808</v>
      </c>
      <c r="BY75" s="450">
        <v>-1.6719672501195663E-2</v>
      </c>
      <c r="BZ75" s="368">
        <v>-24.864649978077455</v>
      </c>
      <c r="CB75" s="31">
        <v>96589</v>
      </c>
      <c r="CC75" s="31">
        <v>107786.12883637114</v>
      </c>
      <c r="CD75" s="31" t="e">
        <v>#VALUE!</v>
      </c>
      <c r="CE75" s="31" t="s">
        <v>900</v>
      </c>
      <c r="CF75" s="31" t="e">
        <v>#VALUE!</v>
      </c>
      <c r="CJ75" s="702" t="s">
        <v>1447</v>
      </c>
      <c r="CK75" s="702" t="s">
        <v>1447</v>
      </c>
      <c r="CL75" s="702" t="s">
        <v>1448</v>
      </c>
      <c r="CN75" s="702" t="s">
        <v>1447</v>
      </c>
      <c r="CO75" s="702" t="s">
        <v>1447</v>
      </c>
      <c r="CP75" s="702" t="s">
        <v>1447</v>
      </c>
      <c r="CQ75" s="702" t="s">
        <v>1447</v>
      </c>
      <c r="CS75" s="451">
        <v>0</v>
      </c>
      <c r="CT75" s="452">
        <v>0</v>
      </c>
      <c r="CU75" s="452">
        <v>0.95</v>
      </c>
      <c r="CV75" s="453">
        <v>0.95</v>
      </c>
    </row>
    <row r="76" spans="1:100" outlineLevel="1" x14ac:dyDescent="0.3">
      <c r="A76" s="1">
        <v>40201000</v>
      </c>
      <c r="B76" s="47">
        <v>403500</v>
      </c>
      <c r="C76" s="47">
        <v>4208</v>
      </c>
      <c r="D76" s="47" t="s">
        <v>185</v>
      </c>
      <c r="E76" s="47" t="s">
        <v>131</v>
      </c>
      <c r="F76" s="47" t="s">
        <v>1503</v>
      </c>
      <c r="G76" s="47" t="s">
        <v>1502</v>
      </c>
      <c r="H76" s="47" t="s">
        <v>1516</v>
      </c>
      <c r="I76" s="382">
        <v>480</v>
      </c>
      <c r="J76" s="382">
        <v>0</v>
      </c>
      <c r="K76" s="382">
        <v>0</v>
      </c>
      <c r="L76" s="382">
        <v>16</v>
      </c>
      <c r="M76" s="382">
        <v>0</v>
      </c>
      <c r="N76" s="382">
        <v>480</v>
      </c>
      <c r="O76" s="444">
        <v>1636</v>
      </c>
      <c r="P76" s="445">
        <v>496</v>
      </c>
      <c r="Q76" s="346">
        <v>0.30317848410757947</v>
      </c>
      <c r="R76" s="445">
        <v>1742</v>
      </c>
      <c r="S76" s="447">
        <v>990</v>
      </c>
      <c r="T76" s="445">
        <v>0.99384010236104814</v>
      </c>
      <c r="U76" s="444">
        <v>1622.0515387027153</v>
      </c>
      <c r="V76" s="445">
        <v>496.99384010236105</v>
      </c>
      <c r="W76" s="229">
        <v>0.30639830378006783</v>
      </c>
      <c r="X76" s="261">
        <v>228760.7958384704</v>
      </c>
      <c r="Y76" s="262">
        <v>54206.995599355738</v>
      </c>
      <c r="Z76" s="262">
        <v>98670.071808642359</v>
      </c>
      <c r="AA76" s="262">
        <v>72144.751922839103</v>
      </c>
      <c r="AB76" s="263">
        <v>453782.61516930757</v>
      </c>
      <c r="AC76" s="262">
        <v>230699.68536825446</v>
      </c>
      <c r="AD76" s="262">
        <v>54738.161109131397</v>
      </c>
      <c r="AE76" s="262">
        <v>101000.51698302288</v>
      </c>
      <c r="AF76" s="263">
        <v>74931.978766108456</v>
      </c>
      <c r="AG76" s="262">
        <v>230699.68536825446</v>
      </c>
      <c r="AH76" s="262">
        <v>54738.161109131397</v>
      </c>
      <c r="AI76" s="262">
        <v>101000.51698302288</v>
      </c>
      <c r="AJ76" s="263">
        <v>74931.978766108456</v>
      </c>
      <c r="AK76" s="262">
        <v>230699.68536825446</v>
      </c>
      <c r="AL76" s="262">
        <v>54738.161109131397</v>
      </c>
      <c r="AM76" s="262">
        <v>101000.51698302288</v>
      </c>
      <c r="AN76" s="262">
        <v>74931.978766108456</v>
      </c>
      <c r="AO76" s="263">
        <v>461370.34222651721</v>
      </c>
      <c r="AP76" s="31"/>
      <c r="AQ76" s="261">
        <v>227195.58003611685</v>
      </c>
      <c r="AR76" s="262">
        <v>53000.075050837142</v>
      </c>
      <c r="AS76" s="262">
        <v>99601.611321140837</v>
      </c>
      <c r="AT76" s="262">
        <v>71921.819417592546</v>
      </c>
      <c r="AU76" s="263">
        <v>451719.08582568739</v>
      </c>
      <c r="AV76" s="31"/>
      <c r="AW76" s="323">
        <v>392794.09361821745</v>
      </c>
      <c r="AX76" s="31"/>
      <c r="AY76" s="747">
        <v>0</v>
      </c>
      <c r="AZ76" s="262">
        <v>42613.877027229581</v>
      </c>
      <c r="BA76" s="262">
        <v>409105.20879845781</v>
      </c>
      <c r="BB76" s="262">
        <v>4004.2721267733805</v>
      </c>
      <c r="BC76" s="263">
        <v>405100.93667168444</v>
      </c>
      <c r="BD76" s="261">
        <v>4051.0093667168444</v>
      </c>
      <c r="BE76" s="262">
        <v>401049.9273049676</v>
      </c>
      <c r="BF76" s="354">
        <v>1.0210182225773856</v>
      </c>
      <c r="BG76" s="31"/>
      <c r="BJ76" s="4">
        <v>1.0210182225773856</v>
      </c>
      <c r="BL76" s="4">
        <v>1.0793748828978977</v>
      </c>
      <c r="BM76" s="4">
        <v>0.95</v>
      </c>
      <c r="BN76" s="4" t="s">
        <v>900</v>
      </c>
      <c r="BO76" s="31" t="s">
        <v>900</v>
      </c>
      <c r="BP76" s="31" t="s">
        <v>900</v>
      </c>
      <c r="BQ76" s="31">
        <v>398610.94609676191</v>
      </c>
      <c r="BR76" s="4">
        <v>1.0148089102485289</v>
      </c>
      <c r="BS76" s="4" t="s">
        <v>900</v>
      </c>
      <c r="BT76" s="448" t="s">
        <v>900</v>
      </c>
      <c r="BU76" s="367" t="s">
        <v>900</v>
      </c>
      <c r="BV76" s="368">
        <v>401049.9273049676</v>
      </c>
      <c r="BX76" s="449">
        <v>-35830.951291282836</v>
      </c>
      <c r="BY76" s="450">
        <v>-8.2554008148349858E-2</v>
      </c>
      <c r="BZ76" s="368">
        <v>-72.095362960440468</v>
      </c>
      <c r="CB76" s="31">
        <v>59842</v>
      </c>
      <c r="CC76" s="31">
        <v>69377.274098622307</v>
      </c>
      <c r="CD76" s="31" t="e">
        <v>#VALUE!</v>
      </c>
      <c r="CE76" s="31" t="s">
        <v>900</v>
      </c>
      <c r="CF76" s="31" t="e">
        <v>#VALUE!</v>
      </c>
      <c r="CJ76" s="702" t="s">
        <v>1447</v>
      </c>
      <c r="CK76" s="702" t="s">
        <v>1447</v>
      </c>
      <c r="CL76" s="702" t="s">
        <v>1448</v>
      </c>
      <c r="CN76" s="702" t="s">
        <v>1447</v>
      </c>
      <c r="CO76" s="702" t="s">
        <v>1447</v>
      </c>
      <c r="CP76" s="702" t="s">
        <v>1447</v>
      </c>
      <c r="CQ76" s="702" t="s">
        <v>1447</v>
      </c>
      <c r="CS76" s="451">
        <v>0</v>
      </c>
      <c r="CT76" s="452">
        <v>0</v>
      </c>
      <c r="CU76" s="452">
        <v>0.95</v>
      </c>
      <c r="CV76" s="453">
        <v>0.95</v>
      </c>
    </row>
    <row r="77" spans="1:100" outlineLevel="1" x14ac:dyDescent="0.3">
      <c r="A77" s="1">
        <v>40210000</v>
      </c>
      <c r="B77" s="47">
        <v>406070</v>
      </c>
      <c r="C77" s="47">
        <v>4209</v>
      </c>
      <c r="D77" s="47" t="s">
        <v>330</v>
      </c>
      <c r="E77" s="47" t="s">
        <v>131</v>
      </c>
      <c r="F77" s="47" t="s">
        <v>1498</v>
      </c>
      <c r="G77" s="47" t="s">
        <v>1502</v>
      </c>
      <c r="H77" s="47" t="s">
        <v>1512</v>
      </c>
      <c r="I77" s="382">
        <v>751</v>
      </c>
      <c r="J77" s="382">
        <v>0</v>
      </c>
      <c r="K77" s="382">
        <v>0</v>
      </c>
      <c r="L77" s="382">
        <v>25</v>
      </c>
      <c r="M77" s="382">
        <v>0</v>
      </c>
      <c r="N77" s="382">
        <v>751</v>
      </c>
      <c r="O77" s="444">
        <v>2698</v>
      </c>
      <c r="P77" s="445">
        <v>776</v>
      </c>
      <c r="Q77" s="346">
        <v>0.2876204595997035</v>
      </c>
      <c r="R77" s="445">
        <v>2260</v>
      </c>
      <c r="S77" s="447">
        <v>1462</v>
      </c>
      <c r="T77" s="445">
        <v>1.5527395902722745</v>
      </c>
      <c r="U77" s="444">
        <v>2674.9969751955541</v>
      </c>
      <c r="V77" s="445">
        <v>777.55273959027227</v>
      </c>
      <c r="W77" s="229">
        <v>0.29067425002730318</v>
      </c>
      <c r="X77" s="261">
        <v>357899.95477954252</v>
      </c>
      <c r="Y77" s="262">
        <v>84807.718921572712</v>
      </c>
      <c r="Z77" s="262">
        <v>149033.23887241777</v>
      </c>
      <c r="AA77" s="262">
        <v>126314.94451140784</v>
      </c>
      <c r="AB77" s="263">
        <v>718055.85708494089</v>
      </c>
      <c r="AC77" s="262">
        <v>360933.37872130144</v>
      </c>
      <c r="AD77" s="262">
        <v>85638.735928802373</v>
      </c>
      <c r="AE77" s="262">
        <v>152553.18961316615</v>
      </c>
      <c r="AF77" s="263">
        <v>131194.97243672144</v>
      </c>
      <c r="AG77" s="262">
        <v>360933.37872130144</v>
      </c>
      <c r="AH77" s="262">
        <v>85638.735928802373</v>
      </c>
      <c r="AI77" s="262">
        <v>152553.18961316615</v>
      </c>
      <c r="AJ77" s="263">
        <v>131194.97243672144</v>
      </c>
      <c r="AK77" s="262">
        <v>360933.37872130144</v>
      </c>
      <c r="AL77" s="262">
        <v>85638.735928802373</v>
      </c>
      <c r="AM77" s="262">
        <v>152553.18961316615</v>
      </c>
      <c r="AN77" s="262">
        <v>131194.97243672144</v>
      </c>
      <c r="AO77" s="263">
        <v>730320.27669999143</v>
      </c>
      <c r="AP77" s="31"/>
      <c r="AQ77" s="261">
        <v>355451.1494113442</v>
      </c>
      <c r="AR77" s="262">
        <v>82919.472256954919</v>
      </c>
      <c r="AS77" s="262">
        <v>150440.25467914104</v>
      </c>
      <c r="AT77" s="262">
        <v>128709.61868977852</v>
      </c>
      <c r="AU77" s="263">
        <v>717520.49503721867</v>
      </c>
      <c r="AV77" s="31"/>
      <c r="AW77" s="323">
        <v>674670.06489893945</v>
      </c>
      <c r="AX77" s="31"/>
      <c r="AY77" s="747">
        <v>0</v>
      </c>
      <c r="AZ77" s="262">
        <v>42850.430138279218</v>
      </c>
      <c r="BA77" s="262">
        <v>674670.06489893945</v>
      </c>
      <c r="BB77" s="262">
        <v>6603.5887041812575</v>
      </c>
      <c r="BC77" s="263">
        <v>668066.4761947582</v>
      </c>
      <c r="BD77" s="261">
        <v>6680.6647619475825</v>
      </c>
      <c r="BE77" s="262">
        <v>661385.81143281062</v>
      </c>
      <c r="BF77" s="354">
        <v>0.98031000016560876</v>
      </c>
      <c r="BG77" s="31"/>
      <c r="BJ77" s="4">
        <v>0.98031000016560876</v>
      </c>
      <c r="BL77" s="4">
        <v>0.99545603665855165</v>
      </c>
      <c r="BM77" s="4">
        <v>0.9</v>
      </c>
      <c r="BN77" s="4" t="s">
        <v>900</v>
      </c>
      <c r="BO77" s="31" t="s">
        <v>900</v>
      </c>
      <c r="BP77" s="31" t="s">
        <v>900</v>
      </c>
      <c r="BQ77" s="31">
        <v>657363.60009294457</v>
      </c>
      <c r="BR77" s="4">
        <v>0.97434825449297613</v>
      </c>
      <c r="BS77" s="4" t="s">
        <v>900</v>
      </c>
      <c r="BT77" s="448" t="s">
        <v>900</v>
      </c>
      <c r="BU77" s="367" t="s">
        <v>900</v>
      </c>
      <c r="BV77" s="368">
        <v>661385.81143281062</v>
      </c>
      <c r="BX77" s="449">
        <v>-46225.573042623582</v>
      </c>
      <c r="BY77" s="450">
        <v>-6.5335042926458073E-2</v>
      </c>
      <c r="BZ77" s="368">
        <v>-59.450080604155453</v>
      </c>
      <c r="CB77" s="31">
        <v>91881</v>
      </c>
      <c r="CC77" s="31">
        <v>106938.69022259164</v>
      </c>
      <c r="CD77" s="31" t="e">
        <v>#VALUE!</v>
      </c>
      <c r="CE77" s="31" t="s">
        <v>900</v>
      </c>
      <c r="CF77" s="31" t="e">
        <v>#VALUE!</v>
      </c>
      <c r="CJ77" s="702" t="s">
        <v>1447</v>
      </c>
      <c r="CK77" s="702" t="s">
        <v>1447</v>
      </c>
      <c r="CL77" s="702" t="s">
        <v>1448</v>
      </c>
      <c r="CN77" s="702" t="s">
        <v>1447</v>
      </c>
      <c r="CO77" s="702" t="s">
        <v>1447</v>
      </c>
      <c r="CP77" s="702" t="s">
        <v>1447</v>
      </c>
      <c r="CQ77" s="702" t="s">
        <v>1447</v>
      </c>
      <c r="CS77" s="451">
        <v>0</v>
      </c>
      <c r="CT77" s="452">
        <v>0.9</v>
      </c>
      <c r="CU77" s="452">
        <v>0</v>
      </c>
      <c r="CV77" s="453">
        <v>0.9</v>
      </c>
    </row>
    <row r="78" spans="1:100" s="237" customFormat="1" outlineLevel="1" x14ac:dyDescent="0.3">
      <c r="A78" s="236"/>
      <c r="B78" s="237">
        <v>481007</v>
      </c>
      <c r="D78" s="237" t="s">
        <v>882</v>
      </c>
      <c r="E78" s="237" t="s">
        <v>131</v>
      </c>
      <c r="F78" s="237" t="s">
        <v>900</v>
      </c>
      <c r="G78" s="237" t="s">
        <v>900</v>
      </c>
      <c r="H78" s="237" t="s">
        <v>900</v>
      </c>
      <c r="I78" s="760">
        <v>167</v>
      </c>
      <c r="J78" s="760">
        <v>0</v>
      </c>
      <c r="K78" s="760">
        <v>0</v>
      </c>
      <c r="L78" s="760">
        <v>6</v>
      </c>
      <c r="M78" s="760">
        <v>0</v>
      </c>
      <c r="N78" s="760">
        <v>167</v>
      </c>
      <c r="O78" s="525">
        <v>353</v>
      </c>
      <c r="P78" s="526">
        <v>173</v>
      </c>
      <c r="Q78" s="350">
        <v>0.49008498583569404</v>
      </c>
      <c r="R78" s="526" t="s">
        <v>900</v>
      </c>
      <c r="S78" s="528" t="s">
        <v>900</v>
      </c>
      <c r="T78" s="526"/>
      <c r="U78" s="525"/>
      <c r="V78" s="526"/>
      <c r="W78" s="241">
        <v>0</v>
      </c>
      <c r="X78" s="273">
        <v>92588.538582238136</v>
      </c>
      <c r="Y78" s="274">
        <v>22581.952553405717</v>
      </c>
      <c r="Z78" s="274">
        <v>61131.046567515281</v>
      </c>
      <c r="AA78" s="274">
        <v>68953.962793366503</v>
      </c>
      <c r="AB78" s="275">
        <v>245255.50049652567</v>
      </c>
      <c r="AC78" s="274"/>
      <c r="AD78" s="274"/>
      <c r="AE78" s="274"/>
      <c r="AF78" s="275"/>
      <c r="AG78" s="274" t="s">
        <v>900</v>
      </c>
      <c r="AH78" s="274" t="s">
        <v>900</v>
      </c>
      <c r="AI78" s="274" t="s">
        <v>900</v>
      </c>
      <c r="AJ78" s="275" t="s">
        <v>900</v>
      </c>
      <c r="AK78" s="274" t="s">
        <v>900</v>
      </c>
      <c r="AL78" s="274" t="s">
        <v>900</v>
      </c>
      <c r="AM78" s="274" t="s">
        <v>900</v>
      </c>
      <c r="AN78" s="274" t="s">
        <v>900</v>
      </c>
      <c r="AO78" s="275">
        <v>0</v>
      </c>
      <c r="AQ78" s="273">
        <v>0</v>
      </c>
      <c r="AR78" s="274">
        <v>0</v>
      </c>
      <c r="AS78" s="274">
        <v>0</v>
      </c>
      <c r="AT78" s="274">
        <v>0</v>
      </c>
      <c r="AU78" s="275">
        <v>0</v>
      </c>
      <c r="AW78" s="327">
        <v>0</v>
      </c>
      <c r="AY78" s="379">
        <v>0</v>
      </c>
      <c r="AZ78" s="274">
        <v>0</v>
      </c>
      <c r="BA78" s="274">
        <v>0</v>
      </c>
      <c r="BB78" s="274"/>
      <c r="BC78" s="275"/>
      <c r="BD78" s="273"/>
      <c r="BE78" s="274"/>
      <c r="BF78" s="366" t="s">
        <v>1450</v>
      </c>
      <c r="BJ78" s="529"/>
      <c r="BK78" s="239"/>
      <c r="BL78" s="529"/>
      <c r="BM78" s="529"/>
      <c r="BN78" s="529"/>
      <c r="BQ78" s="242"/>
      <c r="BR78" s="529"/>
      <c r="BT78" s="530" t="s">
        <v>900</v>
      </c>
      <c r="BU78" s="531" t="s">
        <v>900</v>
      </c>
      <c r="BV78" s="532">
        <v>0</v>
      </c>
      <c r="BX78" s="533">
        <v>0</v>
      </c>
      <c r="BY78" s="534" t="s">
        <v>900</v>
      </c>
      <c r="BZ78" s="532" t="s">
        <v>900</v>
      </c>
      <c r="CB78" s="242" t="s">
        <v>900</v>
      </c>
      <c r="CC78" s="242">
        <v>0</v>
      </c>
      <c r="CD78" s="242" t="e">
        <v>#VALUE!</v>
      </c>
      <c r="CE78" s="242" t="s">
        <v>900</v>
      </c>
      <c r="CF78" s="242" t="e">
        <v>#VALUE!</v>
      </c>
      <c r="CJ78" s="535" t="s">
        <v>1447</v>
      </c>
      <c r="CK78" s="535" t="s">
        <v>1447</v>
      </c>
      <c r="CL78" s="535" t="s">
        <v>1447</v>
      </c>
      <c r="CN78" s="535" t="s">
        <v>1448</v>
      </c>
      <c r="CO78" s="535" t="s">
        <v>1448</v>
      </c>
      <c r="CP78" s="535" t="s">
        <v>1448</v>
      </c>
      <c r="CQ78" s="535" t="s">
        <v>1448</v>
      </c>
      <c r="CS78" s="536">
        <v>0.85</v>
      </c>
      <c r="CT78" s="537">
        <v>0</v>
      </c>
      <c r="CU78" s="537">
        <v>0</v>
      </c>
      <c r="CV78" s="538">
        <v>0.85</v>
      </c>
    </row>
    <row r="79" spans="1:100" s="48" customFormat="1" outlineLevel="1" x14ac:dyDescent="0.3">
      <c r="A79" s="202">
        <v>48701000</v>
      </c>
      <c r="B79" s="48">
        <v>400339</v>
      </c>
      <c r="C79" s="48">
        <v>6258</v>
      </c>
      <c r="D79" s="48" t="s">
        <v>130</v>
      </c>
      <c r="E79" s="48" t="s">
        <v>131</v>
      </c>
      <c r="F79" s="48" t="s">
        <v>1498</v>
      </c>
      <c r="G79" s="48" t="s">
        <v>1502</v>
      </c>
      <c r="H79" s="48" t="s">
        <v>1516</v>
      </c>
      <c r="O79" s="454" t="s">
        <v>900</v>
      </c>
      <c r="P79" s="455" t="s">
        <v>900</v>
      </c>
      <c r="Q79" s="347" t="s">
        <v>900</v>
      </c>
      <c r="R79" s="455">
        <v>305</v>
      </c>
      <c r="S79" s="457">
        <v>235</v>
      </c>
      <c r="T79" s="455"/>
      <c r="U79" s="454">
        <v>305</v>
      </c>
      <c r="V79" s="455">
        <v>128.15885924227027</v>
      </c>
      <c r="W79" s="230">
        <v>0.42019298112219761</v>
      </c>
      <c r="X79" s="264" t="s">
        <v>900</v>
      </c>
      <c r="Y79" s="265" t="s">
        <v>900</v>
      </c>
      <c r="Z79" s="265" t="s">
        <v>900</v>
      </c>
      <c r="AA79" s="265" t="s">
        <v>900</v>
      </c>
      <c r="AB79" s="266" t="s">
        <v>900</v>
      </c>
      <c r="AC79" s="265">
        <v>62563.131240473391</v>
      </c>
      <c r="AD79" s="265">
        <v>14989.893308340817</v>
      </c>
      <c r="AE79" s="265">
        <v>34348.390274390476</v>
      </c>
      <c r="AF79" s="266">
        <v>33337.040633688215</v>
      </c>
      <c r="AG79" s="265">
        <v>62563.131240473391</v>
      </c>
      <c r="AH79" s="265">
        <v>14989.893308340817</v>
      </c>
      <c r="AI79" s="265">
        <v>34348.390274390476</v>
      </c>
      <c r="AJ79" s="266">
        <v>33337.040633688215</v>
      </c>
      <c r="AK79" s="265">
        <v>62563.131240473391</v>
      </c>
      <c r="AL79" s="265">
        <v>14989.893308340817</v>
      </c>
      <c r="AM79" s="265">
        <v>34348.390274390476</v>
      </c>
      <c r="AN79" s="265">
        <v>33337.040633688215</v>
      </c>
      <c r="AO79" s="266">
        <v>145238.4554568929</v>
      </c>
      <c r="AP79" s="203"/>
      <c r="AQ79" s="264">
        <v>78798.290426890686</v>
      </c>
      <c r="AR79" s="265">
        <v>18033.38060463544</v>
      </c>
      <c r="AS79" s="265">
        <v>43508.240086636426</v>
      </c>
      <c r="AT79" s="265">
        <v>44923.450797252844</v>
      </c>
      <c r="AU79" s="266">
        <v>185263.36191541541</v>
      </c>
      <c r="AV79" s="203"/>
      <c r="AW79" s="324">
        <v>182295.93039991337</v>
      </c>
      <c r="AX79" s="203"/>
      <c r="AY79" s="377">
        <v>0</v>
      </c>
      <c r="AZ79" s="265">
        <v>2967.4315155020449</v>
      </c>
      <c r="BA79" s="265">
        <v>182295.93039991337</v>
      </c>
      <c r="BB79" s="265">
        <v>1784.290439783188</v>
      </c>
      <c r="BC79" s="266">
        <v>180511.63996013018</v>
      </c>
      <c r="BD79" s="264">
        <v>1805.116399601302</v>
      </c>
      <c r="BE79" s="265">
        <v>178706.52356052888</v>
      </c>
      <c r="BF79" s="357">
        <v>0.98031000016560876</v>
      </c>
      <c r="BG79" s="203"/>
      <c r="BJ79" s="458">
        <v>0.98031000016560876</v>
      </c>
      <c r="BK79" s="210"/>
      <c r="BL79" s="458"/>
      <c r="BM79" s="458"/>
      <c r="BN79" s="458"/>
      <c r="BQ79" s="203">
        <v>177619.72158632864</v>
      </c>
      <c r="BR79" s="458">
        <v>0.97434825449297602</v>
      </c>
      <c r="BT79" s="459" t="s">
        <v>900</v>
      </c>
      <c r="BU79" s="460" t="s">
        <v>900</v>
      </c>
      <c r="BV79" s="461">
        <v>178706.52356052888</v>
      </c>
      <c r="BX79" s="462">
        <v>33421.647092345724</v>
      </c>
      <c r="BY79" s="463">
        <v>0.23477261951594805</v>
      </c>
      <c r="BZ79" s="461">
        <v>260.78296334680823</v>
      </c>
      <c r="CB79" s="203">
        <v>18040</v>
      </c>
      <c r="CC79" s="203">
        <v>20383.617878782832</v>
      </c>
      <c r="CD79" s="203" t="e">
        <v>#VALUE!</v>
      </c>
      <c r="CE79" s="203" t="s">
        <v>900</v>
      </c>
      <c r="CF79" s="203" t="e">
        <v>#VALUE!</v>
      </c>
      <c r="CH79" s="199"/>
      <c r="CJ79" s="464" t="s">
        <v>1448</v>
      </c>
      <c r="CK79" s="464" t="s">
        <v>1447</v>
      </c>
      <c r="CL79" s="464" t="s">
        <v>1448</v>
      </c>
      <c r="CN79" s="464" t="s">
        <v>1447</v>
      </c>
      <c r="CO79" s="464" t="s">
        <v>1447</v>
      </c>
      <c r="CP79" s="464" t="s">
        <v>1447</v>
      </c>
      <c r="CQ79" s="464" t="s">
        <v>1447</v>
      </c>
      <c r="CS79" s="465">
        <v>0</v>
      </c>
      <c r="CT79" s="466">
        <v>0</v>
      </c>
      <c r="CU79" s="466">
        <v>0.95</v>
      </c>
      <c r="CV79" s="467">
        <v>0.95</v>
      </c>
    </row>
    <row r="80" spans="1:100" s="48" customFormat="1" outlineLevel="1" x14ac:dyDescent="0.3">
      <c r="A80" s="202">
        <v>40149000</v>
      </c>
      <c r="B80" s="48">
        <v>400419</v>
      </c>
      <c r="C80" s="48">
        <v>87600</v>
      </c>
      <c r="D80" s="48" t="s">
        <v>181</v>
      </c>
      <c r="E80" s="48" t="s">
        <v>131</v>
      </c>
      <c r="F80" s="48" t="s">
        <v>1501</v>
      </c>
      <c r="G80" s="48" t="s">
        <v>1502</v>
      </c>
      <c r="H80" s="48" t="s">
        <v>1508</v>
      </c>
      <c r="O80" s="454" t="s">
        <v>900</v>
      </c>
      <c r="P80" s="455" t="s">
        <v>900</v>
      </c>
      <c r="Q80" s="347" t="s">
        <v>900</v>
      </c>
      <c r="R80" s="455">
        <v>50</v>
      </c>
      <c r="S80" s="457">
        <v>48</v>
      </c>
      <c r="T80" s="455"/>
      <c r="U80" s="454">
        <v>50</v>
      </c>
      <c r="V80" s="455">
        <v>26.177128696293501</v>
      </c>
      <c r="W80" s="230">
        <v>0.52354257392587</v>
      </c>
      <c r="X80" s="264" t="s">
        <v>900</v>
      </c>
      <c r="Y80" s="265" t="s">
        <v>900</v>
      </c>
      <c r="Z80" s="265" t="s">
        <v>900</v>
      </c>
      <c r="AA80" s="265" t="s">
        <v>900</v>
      </c>
      <c r="AB80" s="266" t="s">
        <v>900</v>
      </c>
      <c r="AC80" s="265">
        <v>12778.852338479672</v>
      </c>
      <c r="AD80" s="265">
        <v>3061.7654417036561</v>
      </c>
      <c r="AE80" s="265">
        <v>7015.8414177478417</v>
      </c>
      <c r="AF80" s="266">
        <v>6809.2678741150394</v>
      </c>
      <c r="AG80" s="265">
        <v>12778.852338479672</v>
      </c>
      <c r="AH80" s="265">
        <v>3061.7654417036561</v>
      </c>
      <c r="AI80" s="265">
        <v>7015.8414177478417</v>
      </c>
      <c r="AJ80" s="266">
        <v>6809.2678741150394</v>
      </c>
      <c r="AK80" s="265">
        <v>12778.852338479672</v>
      </c>
      <c r="AL80" s="265">
        <v>3061.7654417036561</v>
      </c>
      <c r="AM80" s="265">
        <v>7015.8414177478417</v>
      </c>
      <c r="AN80" s="265">
        <v>6809.2678741150394</v>
      </c>
      <c r="AO80" s="266">
        <v>29665.727072046211</v>
      </c>
      <c r="AP80" s="203"/>
      <c r="AQ80" s="264">
        <v>22885.312071176177</v>
      </c>
      <c r="AR80" s="265">
        <v>5237.4174693330679</v>
      </c>
      <c r="AS80" s="265">
        <v>12636.056526811899</v>
      </c>
      <c r="AT80" s="265">
        <v>13047.074819004127</v>
      </c>
      <c r="AU80" s="266">
        <v>53805.860886325267</v>
      </c>
      <c r="AV80" s="203"/>
      <c r="AW80" s="324">
        <v>52944.032591394003</v>
      </c>
      <c r="AX80" s="203"/>
      <c r="AY80" s="377">
        <v>0</v>
      </c>
      <c r="AZ80" s="265">
        <v>861.82829493126337</v>
      </c>
      <c r="BA80" s="265">
        <v>52944.032591394003</v>
      </c>
      <c r="BB80" s="265">
        <v>518.20976468950698</v>
      </c>
      <c r="BC80" s="266">
        <v>52425.822826704498</v>
      </c>
      <c r="BD80" s="264">
        <v>524.25822826704496</v>
      </c>
      <c r="BE80" s="265">
        <v>51901.56459843745</v>
      </c>
      <c r="BF80" s="357">
        <v>0.98031000016560876</v>
      </c>
      <c r="BG80" s="203"/>
      <c r="BJ80" s="458">
        <v>0.98031000016560876</v>
      </c>
      <c r="BK80" s="210"/>
      <c r="BL80" s="458"/>
      <c r="BM80" s="458"/>
      <c r="BN80" s="458"/>
      <c r="BQ80" s="203">
        <v>51585.925741243984</v>
      </c>
      <c r="BR80" s="458">
        <v>0.97434825449297602</v>
      </c>
      <c r="BT80" s="459" t="s">
        <v>900</v>
      </c>
      <c r="BU80" s="460" t="s">
        <v>900</v>
      </c>
      <c r="BV80" s="461">
        <v>51901.56459843745</v>
      </c>
      <c r="BX80" s="462">
        <v>51901.56459843745</v>
      </c>
      <c r="BY80" s="463">
        <v>1.7849525335079468</v>
      </c>
      <c r="BZ80" s="461">
        <v>1982.7065527544414</v>
      </c>
      <c r="CB80" s="203" t="s">
        <v>900</v>
      </c>
      <c r="CC80" s="203">
        <v>466.18686103511459</v>
      </c>
      <c r="CD80" s="203" t="e">
        <v>#VALUE!</v>
      </c>
      <c r="CE80" s="203" t="s">
        <v>900</v>
      </c>
      <c r="CF80" s="203" t="e">
        <v>#VALUE!</v>
      </c>
      <c r="CH80" s="199"/>
      <c r="CJ80" s="464" t="s">
        <v>1448</v>
      </c>
      <c r="CK80" s="464" t="s">
        <v>1447</v>
      </c>
      <c r="CL80" s="464" t="s">
        <v>1448</v>
      </c>
      <c r="CN80" s="464" t="s">
        <v>1447</v>
      </c>
      <c r="CO80" s="464" t="s">
        <v>1447</v>
      </c>
      <c r="CP80" s="464" t="s">
        <v>1447</v>
      </c>
      <c r="CQ80" s="464" t="s">
        <v>1447</v>
      </c>
      <c r="CS80" s="465">
        <v>0</v>
      </c>
      <c r="CT80" s="466">
        <v>0</v>
      </c>
      <c r="CU80" s="466">
        <v>0.95</v>
      </c>
      <c r="CV80" s="467">
        <v>0.95</v>
      </c>
    </row>
    <row r="81" spans="1:100" s="48" customFormat="1" outlineLevel="1" x14ac:dyDescent="0.3">
      <c r="A81" s="202">
        <v>108796000</v>
      </c>
      <c r="D81" s="48" t="s">
        <v>1519</v>
      </c>
      <c r="E81" s="48" t="s">
        <v>131</v>
      </c>
      <c r="F81" s="48" t="s">
        <v>900</v>
      </c>
      <c r="G81" s="48" t="s">
        <v>900</v>
      </c>
      <c r="H81" s="48" t="s">
        <v>900</v>
      </c>
      <c r="O81" s="454" t="s">
        <v>900</v>
      </c>
      <c r="P81" s="455" t="s">
        <v>900</v>
      </c>
      <c r="Q81" s="347" t="s">
        <v>900</v>
      </c>
      <c r="R81" s="455">
        <v>60.99827660491168</v>
      </c>
      <c r="S81" s="457">
        <v>24.415338216286084</v>
      </c>
      <c r="T81" s="455"/>
      <c r="U81" s="454">
        <v>60.99827660491168</v>
      </c>
      <c r="V81" s="455">
        <v>13.315071888567788</v>
      </c>
      <c r="W81" s="230">
        <v>0.21828603412535816</v>
      </c>
      <c r="X81" s="264"/>
      <c r="Y81" s="265"/>
      <c r="Z81" s="265"/>
      <c r="AA81" s="265"/>
      <c r="AB81" s="266"/>
      <c r="AC81" s="265">
        <v>6500.0000387491564</v>
      </c>
      <c r="AD81" s="265">
        <v>1557.3758082944025</v>
      </c>
      <c r="AE81" s="265">
        <v>3568.6279392946167</v>
      </c>
      <c r="AF81" s="266">
        <v>3463.5537114960421</v>
      </c>
      <c r="AG81" s="265">
        <v>6500.0000387491564</v>
      </c>
      <c r="AH81" s="265">
        <v>1557.3758082944025</v>
      </c>
      <c r="AI81" s="265">
        <v>3568.6279392946167</v>
      </c>
      <c r="AJ81" s="266">
        <v>3463.5537114960421</v>
      </c>
      <c r="AK81" s="265">
        <v>6500.0000387491564</v>
      </c>
      <c r="AL81" s="265">
        <v>1557.3758082944025</v>
      </c>
      <c r="AM81" s="265">
        <v>3568.6279392946167</v>
      </c>
      <c r="AN81" s="265">
        <v>3463.5537114960421</v>
      </c>
      <c r="AO81" s="266">
        <v>15089.557497834217</v>
      </c>
      <c r="AP81" s="203"/>
      <c r="AQ81" s="264">
        <v>0</v>
      </c>
      <c r="AR81" s="265">
        <v>0</v>
      </c>
      <c r="AS81" s="265">
        <v>0</v>
      </c>
      <c r="AT81" s="265">
        <v>0</v>
      </c>
      <c r="AU81" s="266">
        <v>0</v>
      </c>
      <c r="AV81" s="203"/>
      <c r="AW81" s="324">
        <v>0</v>
      </c>
      <c r="AX81" s="203"/>
      <c r="AY81" s="377">
        <v>0</v>
      </c>
      <c r="AZ81" s="265">
        <v>0</v>
      </c>
      <c r="BA81" s="265">
        <v>0</v>
      </c>
      <c r="BB81" s="265">
        <v>0</v>
      </c>
      <c r="BC81" s="266">
        <v>0</v>
      </c>
      <c r="BD81" s="264">
        <v>0</v>
      </c>
      <c r="BE81" s="265">
        <v>0</v>
      </c>
      <c r="BF81" s="357" t="s">
        <v>1450</v>
      </c>
      <c r="BG81" s="203"/>
      <c r="BJ81" s="458"/>
      <c r="BK81" s="210"/>
      <c r="BL81" s="458"/>
      <c r="BM81" s="458"/>
      <c r="BN81" s="458"/>
      <c r="BQ81" s="203">
        <v>0</v>
      </c>
      <c r="BR81" s="458"/>
      <c r="BT81" s="459">
        <v>0</v>
      </c>
      <c r="BU81" s="460"/>
      <c r="BV81" s="461">
        <v>0</v>
      </c>
      <c r="BX81" s="462">
        <v>-17700.3619838587</v>
      </c>
      <c r="BY81" s="463">
        <v>-1.1967594408529292</v>
      </c>
      <c r="BZ81" s="461">
        <v>-1329.3478346937118</v>
      </c>
      <c r="CB81" s="203" t="s">
        <v>900</v>
      </c>
      <c r="CC81" s="203">
        <v>273.30511641953882</v>
      </c>
      <c r="CD81" s="203" t="e">
        <v>#VALUE!</v>
      </c>
      <c r="CE81" s="203" t="s">
        <v>900</v>
      </c>
      <c r="CF81" s="203" t="e">
        <v>#VALUE!</v>
      </c>
      <c r="CH81" s="199"/>
      <c r="CJ81" s="464" t="s">
        <v>1448</v>
      </c>
      <c r="CK81" s="464" t="s">
        <v>1447</v>
      </c>
      <c r="CL81" s="464" t="s">
        <v>1448</v>
      </c>
      <c r="CN81" s="464" t="s">
        <v>1447</v>
      </c>
      <c r="CO81" s="464" t="s">
        <v>1447</v>
      </c>
      <c r="CP81" s="464" t="s">
        <v>1447</v>
      </c>
      <c r="CQ81" s="464" t="s">
        <v>1447</v>
      </c>
      <c r="CS81" s="465">
        <v>0</v>
      </c>
      <c r="CT81" s="466">
        <v>0.9</v>
      </c>
      <c r="CU81" s="466">
        <v>0</v>
      </c>
      <c r="CV81" s="467">
        <v>0.9</v>
      </c>
    </row>
    <row r="82" spans="1:100" s="469" customFormat="1" outlineLevel="1" x14ac:dyDescent="0.3">
      <c r="A82" s="468"/>
      <c r="D82" s="469" t="s">
        <v>878</v>
      </c>
      <c r="E82" s="469" t="s">
        <v>900</v>
      </c>
      <c r="F82" s="469" t="s">
        <v>900</v>
      </c>
      <c r="G82" s="469" t="s">
        <v>900</v>
      </c>
      <c r="H82" s="469" t="s">
        <v>900</v>
      </c>
      <c r="I82" s="469">
        <v>0</v>
      </c>
      <c r="J82" s="469">
        <v>0</v>
      </c>
      <c r="K82" s="469">
        <v>0</v>
      </c>
      <c r="L82" s="469">
        <v>0</v>
      </c>
      <c r="M82" s="469">
        <v>0</v>
      </c>
      <c r="N82" s="469">
        <v>0</v>
      </c>
      <c r="O82" s="470">
        <v>0</v>
      </c>
      <c r="P82" s="471">
        <v>0</v>
      </c>
      <c r="Q82" s="846"/>
      <c r="R82" s="471">
        <v>415.99827660491167</v>
      </c>
      <c r="S82" s="472">
        <v>307.4153382162861</v>
      </c>
      <c r="T82" s="471"/>
      <c r="U82" s="470">
        <v>415.99827660491167</v>
      </c>
      <c r="V82" s="471">
        <v>167.65105982713155</v>
      </c>
      <c r="W82" s="473"/>
      <c r="X82" s="474"/>
      <c r="Y82" s="475"/>
      <c r="Z82" s="475"/>
      <c r="AA82" s="475"/>
      <c r="AB82" s="476"/>
      <c r="AC82" s="475">
        <v>81841.983617702223</v>
      </c>
      <c r="AD82" s="475">
        <v>19609.034558338877</v>
      </c>
      <c r="AE82" s="475">
        <v>44932.859631432933</v>
      </c>
      <c r="AF82" s="476">
        <v>43609.862219299292</v>
      </c>
      <c r="AG82" s="475"/>
      <c r="AH82" s="475"/>
      <c r="AI82" s="475"/>
      <c r="AJ82" s="476"/>
      <c r="AK82" s="475"/>
      <c r="AL82" s="475"/>
      <c r="AM82" s="475"/>
      <c r="AN82" s="475"/>
      <c r="AO82" s="476"/>
      <c r="AQ82" s="474"/>
      <c r="AR82" s="475"/>
      <c r="AS82" s="475"/>
      <c r="AT82" s="475"/>
      <c r="AU82" s="476"/>
      <c r="AW82" s="477"/>
      <c r="AY82" s="847"/>
      <c r="AZ82" s="475"/>
      <c r="BA82" s="475"/>
      <c r="BB82" s="475"/>
      <c r="BC82" s="476"/>
      <c r="BD82" s="474"/>
      <c r="BE82" s="475"/>
      <c r="BF82" s="478" t="s">
        <v>1450</v>
      </c>
      <c r="BJ82" s="479"/>
      <c r="BK82" s="480"/>
      <c r="BL82" s="479"/>
      <c r="BM82" s="479"/>
      <c r="BN82" s="479"/>
      <c r="BQ82" s="481"/>
      <c r="BR82" s="479"/>
      <c r="BT82" s="482">
        <v>0</v>
      </c>
      <c r="BU82" s="483"/>
      <c r="BV82" s="484"/>
      <c r="BX82" s="485"/>
      <c r="BY82" s="486" t="s">
        <v>900</v>
      </c>
      <c r="BZ82" s="484">
        <v>0</v>
      </c>
      <c r="CB82" s="481"/>
      <c r="CE82" s="481"/>
      <c r="CH82" s="199"/>
      <c r="CJ82" s="487" t="s">
        <v>1450</v>
      </c>
      <c r="CK82" s="487" t="s">
        <v>1448</v>
      </c>
      <c r="CL82" s="487" t="s">
        <v>1448</v>
      </c>
      <c r="CN82" s="487" t="s">
        <v>1448</v>
      </c>
      <c r="CO82" s="487" t="s">
        <v>1450</v>
      </c>
      <c r="CP82" s="487" t="s">
        <v>1450</v>
      </c>
      <c r="CQ82" s="487" t="s">
        <v>1450</v>
      </c>
      <c r="CS82" s="488">
        <v>0.85</v>
      </c>
      <c r="CT82" s="489">
        <v>0</v>
      </c>
      <c r="CU82" s="489">
        <v>0</v>
      </c>
      <c r="CV82" s="490">
        <v>0.85</v>
      </c>
    </row>
    <row r="83" spans="1:100" s="492" customFormat="1" outlineLevel="1" x14ac:dyDescent="0.3">
      <c r="A83" s="491" t="s">
        <v>880</v>
      </c>
      <c r="B83" s="492">
        <v>0.54535684783944793</v>
      </c>
      <c r="D83" s="492" t="s">
        <v>879</v>
      </c>
      <c r="E83" s="492" t="s">
        <v>900</v>
      </c>
      <c r="F83" s="492" t="s">
        <v>900</v>
      </c>
      <c r="G83" s="492" t="s">
        <v>900</v>
      </c>
      <c r="H83" s="492" t="s">
        <v>900</v>
      </c>
      <c r="I83" s="492">
        <v>2695</v>
      </c>
      <c r="J83" s="492">
        <v>0</v>
      </c>
      <c r="K83" s="492">
        <v>0</v>
      </c>
      <c r="L83" s="492">
        <v>92</v>
      </c>
      <c r="M83" s="492">
        <v>0</v>
      </c>
      <c r="N83" s="492">
        <v>2695</v>
      </c>
      <c r="O83" s="493">
        <v>7742</v>
      </c>
      <c r="P83" s="494">
        <v>2787</v>
      </c>
      <c r="Q83" s="848"/>
      <c r="R83" s="494">
        <v>7453.9982766049116</v>
      </c>
      <c r="S83" s="495">
        <v>5110.4153382162858</v>
      </c>
      <c r="T83" s="494"/>
      <c r="U83" s="493">
        <v>7742</v>
      </c>
      <c r="V83" s="494">
        <v>2787</v>
      </c>
      <c r="W83" s="496"/>
      <c r="X83" s="497">
        <v>1360525.8957368243</v>
      </c>
      <c r="Y83" s="498">
        <v>325976.93906881096</v>
      </c>
      <c r="Z83" s="498">
        <v>746955.49149482627</v>
      </c>
      <c r="AA83" s="498">
        <v>724962.2288729354</v>
      </c>
      <c r="AB83" s="499">
        <v>3158420.5551733975</v>
      </c>
      <c r="AC83" s="498">
        <v>1360525.8957368243</v>
      </c>
      <c r="AD83" s="498">
        <v>325976.93906881096</v>
      </c>
      <c r="AE83" s="498">
        <v>746955.49149482639</v>
      </c>
      <c r="AF83" s="499">
        <v>724962.2288729354</v>
      </c>
      <c r="AG83" s="498">
        <v>1360525.8957368243</v>
      </c>
      <c r="AH83" s="498">
        <v>325976.93906881096</v>
      </c>
      <c r="AI83" s="498">
        <v>746955.49149482639</v>
      </c>
      <c r="AJ83" s="499">
        <v>724962.2288729354</v>
      </c>
      <c r="AK83" s="498">
        <v>1360525.8957368243</v>
      </c>
      <c r="AL83" s="498">
        <v>325976.93906881096</v>
      </c>
      <c r="AM83" s="498">
        <v>746955.49149482639</v>
      </c>
      <c r="AN83" s="498">
        <v>724962.2288729354</v>
      </c>
      <c r="AO83" s="499">
        <v>3158420.5551733971</v>
      </c>
      <c r="AP83" s="500"/>
      <c r="AQ83" s="497">
        <v>1360945.5413820588</v>
      </c>
      <c r="AR83" s="498">
        <v>320985.50444194098</v>
      </c>
      <c r="AS83" s="498">
        <v>748591.18806766788</v>
      </c>
      <c r="AT83" s="498">
        <v>725736.52854535833</v>
      </c>
      <c r="AU83" s="499">
        <v>3156258.762437026</v>
      </c>
      <c r="AV83" s="500"/>
      <c r="AW83" s="501">
        <v>3007966.25260195</v>
      </c>
      <c r="AX83" s="500"/>
      <c r="AY83" s="849">
        <v>0</v>
      </c>
      <c r="AZ83" s="498">
        <v>139640.76571965616</v>
      </c>
      <c r="BA83" s="498">
        <v>3016617.9967173701</v>
      </c>
      <c r="BB83" s="498">
        <v>29526.290796578709</v>
      </c>
      <c r="BC83" s="499">
        <v>2987091.7059207913</v>
      </c>
      <c r="BD83" s="497">
        <v>29870.91705920791</v>
      </c>
      <c r="BE83" s="498">
        <v>2957220.788861583</v>
      </c>
      <c r="BF83" s="502">
        <v>0.98312964326096708</v>
      </c>
      <c r="BG83" s="500"/>
      <c r="BJ83" s="503"/>
      <c r="BK83" s="504"/>
      <c r="BL83" s="503"/>
      <c r="BM83" s="503"/>
      <c r="BN83" s="503"/>
      <c r="BO83" s="500">
        <v>11097.102713556822</v>
      </c>
      <c r="BP83" s="500">
        <v>1143583.7683295449</v>
      </c>
      <c r="BQ83" s="500">
        <v>2957220.788861583</v>
      </c>
      <c r="BR83" s="503"/>
      <c r="BT83" s="497">
        <v>0</v>
      </c>
      <c r="BU83" s="498">
        <v>0</v>
      </c>
      <c r="BV83" s="499">
        <v>2957220.788861583</v>
      </c>
      <c r="BX83" s="506"/>
      <c r="BY83" s="507" t="s">
        <v>900</v>
      </c>
      <c r="BZ83" s="505">
        <v>0</v>
      </c>
      <c r="CB83" s="500"/>
      <c r="CE83" s="500"/>
      <c r="CH83" s="395"/>
      <c r="CJ83" s="487" t="s">
        <v>1450</v>
      </c>
      <c r="CK83" s="487" t="s">
        <v>1448</v>
      </c>
      <c r="CL83" s="508" t="s">
        <v>1448</v>
      </c>
      <c r="CN83" s="487" t="s">
        <v>1448</v>
      </c>
      <c r="CO83" s="487" t="s">
        <v>1450</v>
      </c>
      <c r="CP83" s="487" t="s">
        <v>1450</v>
      </c>
      <c r="CQ83" s="487" t="s">
        <v>1450</v>
      </c>
      <c r="CS83" s="488">
        <v>0.85</v>
      </c>
      <c r="CT83" s="489">
        <v>0</v>
      </c>
      <c r="CU83" s="489">
        <v>0</v>
      </c>
      <c r="CV83" s="490">
        <v>0.85</v>
      </c>
    </row>
    <row r="84" spans="1:100" s="469" customFormat="1" outlineLevel="1" x14ac:dyDescent="0.3">
      <c r="A84" s="468"/>
      <c r="E84" s="469" t="s">
        <v>900</v>
      </c>
      <c r="F84" s="469" t="s">
        <v>900</v>
      </c>
      <c r="G84" s="469" t="s">
        <v>900</v>
      </c>
      <c r="H84" s="469" t="s">
        <v>900</v>
      </c>
      <c r="O84" s="470"/>
      <c r="P84" s="471"/>
      <c r="Q84" s="846"/>
      <c r="R84" s="471"/>
      <c r="S84" s="472"/>
      <c r="T84" s="471"/>
      <c r="U84" s="470"/>
      <c r="V84" s="471"/>
      <c r="W84" s="473"/>
      <c r="X84" s="474">
        <v>488.16860270427856</v>
      </c>
      <c r="Y84" s="475">
        <v>116.9633796443527</v>
      </c>
      <c r="Z84" s="475">
        <v>268.01416989408909</v>
      </c>
      <c r="AA84" s="475">
        <v>260.1227947158003</v>
      </c>
      <c r="AB84" s="476" t="s">
        <v>900</v>
      </c>
      <c r="AC84" s="475"/>
      <c r="AD84" s="475"/>
      <c r="AE84" s="475"/>
      <c r="AF84" s="476"/>
      <c r="AG84" s="475">
        <v>0</v>
      </c>
      <c r="AH84" s="475">
        <v>0</v>
      </c>
      <c r="AI84" s="475">
        <v>0</v>
      </c>
      <c r="AJ84" s="476">
        <v>0</v>
      </c>
      <c r="AK84" s="475"/>
      <c r="AL84" s="475"/>
      <c r="AM84" s="475"/>
      <c r="AN84" s="475"/>
      <c r="AO84" s="476"/>
      <c r="AQ84" s="474"/>
      <c r="AR84" s="475"/>
      <c r="AS84" s="475"/>
      <c r="AT84" s="475"/>
      <c r="AU84" s="476"/>
      <c r="AW84" s="477"/>
      <c r="AY84" s="847"/>
      <c r="AZ84" s="475"/>
      <c r="BA84" s="475"/>
      <c r="BB84" s="475"/>
      <c r="BC84" s="476"/>
      <c r="BD84" s="474"/>
      <c r="BE84" s="475"/>
      <c r="BF84" s="478" t="s">
        <v>1450</v>
      </c>
      <c r="BJ84" s="479"/>
      <c r="BK84" s="480"/>
      <c r="BL84" s="479"/>
      <c r="BM84" s="479"/>
      <c r="BN84" s="479"/>
      <c r="BQ84" s="481"/>
      <c r="BR84" s="479"/>
      <c r="BT84" s="482">
        <v>0</v>
      </c>
      <c r="BU84" s="483"/>
      <c r="BV84" s="484"/>
      <c r="BX84" s="485"/>
      <c r="BY84" s="486" t="s">
        <v>900</v>
      </c>
      <c r="BZ84" s="484" t="s">
        <v>900</v>
      </c>
      <c r="CB84" s="481"/>
      <c r="CE84" s="481"/>
      <c r="CH84" s="199"/>
      <c r="CJ84" s="487" t="s">
        <v>1450</v>
      </c>
      <c r="CK84" s="487" t="s">
        <v>1448</v>
      </c>
      <c r="CL84" s="487" t="s">
        <v>1448</v>
      </c>
      <c r="CN84" s="487" t="s">
        <v>1448</v>
      </c>
      <c r="CO84" s="487" t="s">
        <v>1450</v>
      </c>
      <c r="CP84" s="487" t="s">
        <v>1450</v>
      </c>
      <c r="CQ84" s="487" t="s">
        <v>1450</v>
      </c>
      <c r="CS84" s="488">
        <v>0.85</v>
      </c>
      <c r="CT84" s="489">
        <v>0</v>
      </c>
      <c r="CU84" s="489">
        <v>0</v>
      </c>
      <c r="CV84" s="490">
        <v>0.85</v>
      </c>
    </row>
    <row r="85" spans="1:100" s="199" customFormat="1" outlineLevel="1" x14ac:dyDescent="0.3">
      <c r="A85" s="201"/>
      <c r="E85" s="199" t="s">
        <v>900</v>
      </c>
      <c r="F85" s="199" t="s">
        <v>900</v>
      </c>
      <c r="G85" s="199" t="s">
        <v>900</v>
      </c>
      <c r="H85" s="199" t="s">
        <v>900</v>
      </c>
      <c r="O85" s="509" t="s">
        <v>900</v>
      </c>
      <c r="P85" s="510" t="s">
        <v>900</v>
      </c>
      <c r="Q85" s="349" t="s">
        <v>900</v>
      </c>
      <c r="R85" s="510" t="s">
        <v>900</v>
      </c>
      <c r="S85" s="512" t="s">
        <v>900</v>
      </c>
      <c r="T85" s="510"/>
      <c r="U85" s="509"/>
      <c r="V85" s="510"/>
      <c r="W85" s="232"/>
      <c r="X85" s="270" t="s">
        <v>900</v>
      </c>
      <c r="Y85" s="271" t="s">
        <v>900</v>
      </c>
      <c r="Z85" s="271" t="s">
        <v>900</v>
      </c>
      <c r="AA85" s="271" t="s">
        <v>900</v>
      </c>
      <c r="AB85" s="272" t="s">
        <v>900</v>
      </c>
      <c r="AC85" s="271"/>
      <c r="AD85" s="271"/>
      <c r="AE85" s="271"/>
      <c r="AF85" s="272"/>
      <c r="AG85" s="271"/>
      <c r="AH85" s="271"/>
      <c r="AI85" s="271"/>
      <c r="AJ85" s="272"/>
      <c r="AK85" s="271"/>
      <c r="AL85" s="271"/>
      <c r="AM85" s="271"/>
      <c r="AN85" s="271"/>
      <c r="AO85" s="272"/>
      <c r="AQ85" s="270"/>
      <c r="AR85" s="271"/>
      <c r="AS85" s="271"/>
      <c r="AT85" s="271"/>
      <c r="AU85" s="272"/>
      <c r="AW85" s="326"/>
      <c r="AY85" s="378"/>
      <c r="AZ85" s="271"/>
      <c r="BA85" s="271"/>
      <c r="BB85" s="271"/>
      <c r="BC85" s="272"/>
      <c r="BD85" s="270"/>
      <c r="BE85" s="271"/>
      <c r="BF85" s="363" t="s">
        <v>1450</v>
      </c>
      <c r="BJ85" s="513"/>
      <c r="BK85" s="221"/>
      <c r="BL85" s="513"/>
      <c r="BM85" s="513"/>
      <c r="BN85" s="513"/>
      <c r="BQ85" s="200"/>
      <c r="BR85" s="513"/>
      <c r="BT85" s="514">
        <v>0</v>
      </c>
      <c r="BU85" s="515"/>
      <c r="BV85" s="516"/>
      <c r="BX85" s="517"/>
      <c r="BY85" s="518" t="s">
        <v>900</v>
      </c>
      <c r="BZ85" s="516" t="s">
        <v>900</v>
      </c>
      <c r="CB85" s="200"/>
      <c r="CE85" s="200"/>
      <c r="CJ85" s="519" t="s">
        <v>1450</v>
      </c>
      <c r="CK85" s="519" t="s">
        <v>1448</v>
      </c>
      <c r="CL85" s="519" t="s">
        <v>1448</v>
      </c>
      <c r="CN85" s="519" t="s">
        <v>1448</v>
      </c>
      <c r="CO85" s="519" t="s">
        <v>1450</v>
      </c>
      <c r="CP85" s="519" t="s">
        <v>1450</v>
      </c>
      <c r="CQ85" s="519" t="s">
        <v>1450</v>
      </c>
      <c r="CS85" s="520">
        <v>0.85</v>
      </c>
      <c r="CT85" s="521">
        <v>0</v>
      </c>
      <c r="CU85" s="521">
        <v>0</v>
      </c>
      <c r="CV85" s="522">
        <v>0.85</v>
      </c>
    </row>
    <row r="86" spans="1:100" outlineLevel="1" x14ac:dyDescent="0.3">
      <c r="A86" s="1">
        <v>50305000</v>
      </c>
      <c r="B86" s="47">
        <v>407860</v>
      </c>
      <c r="C86" s="47">
        <v>4222</v>
      </c>
      <c r="D86" s="47" t="s">
        <v>389</v>
      </c>
      <c r="E86" s="47" t="s">
        <v>133</v>
      </c>
      <c r="F86" s="47" t="s">
        <v>1498</v>
      </c>
      <c r="G86" s="47" t="s">
        <v>1499</v>
      </c>
      <c r="H86" s="47" t="s">
        <v>1506</v>
      </c>
      <c r="I86" s="382">
        <v>129</v>
      </c>
      <c r="J86" s="382">
        <v>0</v>
      </c>
      <c r="K86" s="382">
        <v>0</v>
      </c>
      <c r="L86" s="382">
        <v>3</v>
      </c>
      <c r="M86" s="382">
        <v>0</v>
      </c>
      <c r="N86" s="382">
        <v>129</v>
      </c>
      <c r="O86" s="444">
        <v>389</v>
      </c>
      <c r="P86" s="445">
        <v>132</v>
      </c>
      <c r="Q86" s="346">
        <v>0.33933161953727509</v>
      </c>
      <c r="R86" s="445">
        <v>185</v>
      </c>
      <c r="S86" s="447">
        <v>115</v>
      </c>
      <c r="T86" s="445">
        <v>-3.9889760965469536</v>
      </c>
      <c r="U86" s="444">
        <v>379.91264502894984</v>
      </c>
      <c r="V86" s="445">
        <v>128.01102390345307</v>
      </c>
      <c r="W86" s="229">
        <v>0.3369485737798974</v>
      </c>
      <c r="X86" s="261">
        <v>60879.889215076815</v>
      </c>
      <c r="Y86" s="262">
        <v>14426.055280473704</v>
      </c>
      <c r="Z86" s="262">
        <v>33764.020890611668</v>
      </c>
      <c r="AA86" s="262">
        <v>34158.260706969399</v>
      </c>
      <c r="AB86" s="263">
        <v>143228.22609313158</v>
      </c>
      <c r="AC86" s="262">
        <v>59037.006396378965</v>
      </c>
      <c r="AD86" s="262">
        <v>13989.367077509851</v>
      </c>
      <c r="AE86" s="262">
        <v>32741.957040106925</v>
      </c>
      <c r="AF86" s="263">
        <v>33124.262902684852</v>
      </c>
      <c r="AG86" s="262">
        <v>59037.006396378965</v>
      </c>
      <c r="AH86" s="262">
        <v>13989.367077509851</v>
      </c>
      <c r="AI86" s="262">
        <v>32741.957040106925</v>
      </c>
      <c r="AJ86" s="263">
        <v>33124.262902684852</v>
      </c>
      <c r="AK86" s="262">
        <v>59376.434196366426</v>
      </c>
      <c r="AL86" s="262">
        <v>14070.617320277168</v>
      </c>
      <c r="AM86" s="262">
        <v>32887.96302257193</v>
      </c>
      <c r="AN86" s="262">
        <v>33257.51089529274</v>
      </c>
      <c r="AO86" s="263">
        <v>139592.52543450828</v>
      </c>
      <c r="AP86" s="31"/>
      <c r="AQ86" s="261">
        <v>58524.408275056005</v>
      </c>
      <c r="AR86" s="262">
        <v>13623.836805542491</v>
      </c>
      <c r="AS86" s="262">
        <v>32799.551943359671</v>
      </c>
      <c r="AT86" s="262">
        <v>33134.084011369778</v>
      </c>
      <c r="AU86" s="263">
        <v>138081.88103532797</v>
      </c>
      <c r="AV86" s="31"/>
      <c r="AW86" s="323">
        <v>135000.58699855689</v>
      </c>
      <c r="AX86" s="31"/>
      <c r="AY86" s="747">
        <v>0</v>
      </c>
      <c r="AZ86" s="262">
        <v>3081.2940367710835</v>
      </c>
      <c r="BA86" s="262">
        <v>135000.58699855689</v>
      </c>
      <c r="BB86" s="262">
        <v>1321.3693592512477</v>
      </c>
      <c r="BC86" s="263">
        <v>133679.21763930563</v>
      </c>
      <c r="BD86" s="261">
        <v>1336.7921763930563</v>
      </c>
      <c r="BE86" s="262">
        <v>132342.42546291256</v>
      </c>
      <c r="BF86" s="354">
        <v>0.98031000016560865</v>
      </c>
      <c r="BG86" s="31"/>
      <c r="BJ86" s="4">
        <v>0.98031000016560865</v>
      </c>
      <c r="BL86" s="4">
        <v>0.96339604107203447</v>
      </c>
      <c r="BM86" s="4">
        <v>0.95</v>
      </c>
      <c r="BN86" s="4" t="s">
        <v>900</v>
      </c>
      <c r="BO86" s="31" t="s">
        <v>900</v>
      </c>
      <c r="BP86" s="31" t="s">
        <v>900</v>
      </c>
      <c r="BQ86" s="31">
        <v>131467.35539103299</v>
      </c>
      <c r="BR86" s="4">
        <v>0.97382802781767419</v>
      </c>
      <c r="BS86" s="4" t="s">
        <v>900</v>
      </c>
      <c r="BT86" s="448" t="s">
        <v>900</v>
      </c>
      <c r="BU86" s="367" t="s">
        <v>900</v>
      </c>
      <c r="BV86" s="368">
        <v>132342.42546291256</v>
      </c>
      <c r="BX86" s="449">
        <v>-3885.7410370874277</v>
      </c>
      <c r="BY86" s="450">
        <v>-2.8523771088759586E-2</v>
      </c>
      <c r="BZ86" s="368">
        <v>-30.354737573367778</v>
      </c>
      <c r="CB86" s="31">
        <v>7614</v>
      </c>
      <c r="CC86" s="31">
        <v>10031.474447303905</v>
      </c>
      <c r="CD86" s="31" t="e">
        <v>#VALUE!</v>
      </c>
      <c r="CE86" s="31" t="s">
        <v>900</v>
      </c>
      <c r="CF86" s="31" t="e">
        <v>#VALUE!</v>
      </c>
      <c r="CJ86" s="702" t="s">
        <v>1447</v>
      </c>
      <c r="CK86" s="702" t="s">
        <v>1447</v>
      </c>
      <c r="CL86" s="702" t="s">
        <v>1448</v>
      </c>
      <c r="CN86" s="702" t="s">
        <v>1447</v>
      </c>
      <c r="CO86" s="702" t="s">
        <v>1447</v>
      </c>
      <c r="CP86" s="702" t="s">
        <v>1447</v>
      </c>
      <c r="CQ86" s="702" t="s">
        <v>1447</v>
      </c>
      <c r="CS86" s="451">
        <v>0</v>
      </c>
      <c r="CT86" s="452">
        <v>0</v>
      </c>
      <c r="CU86" s="452">
        <v>0.95</v>
      </c>
      <c r="CV86" s="453">
        <v>0.95</v>
      </c>
    </row>
    <row r="87" spans="1:100" outlineLevel="1" x14ac:dyDescent="0.3">
      <c r="A87" s="1">
        <v>50206000</v>
      </c>
      <c r="B87" s="47">
        <v>406440</v>
      </c>
      <c r="C87" s="47">
        <v>4220</v>
      </c>
      <c r="D87" s="47" t="s">
        <v>345</v>
      </c>
      <c r="E87" s="47" t="s">
        <v>133</v>
      </c>
      <c r="F87" s="47" t="s">
        <v>1503</v>
      </c>
      <c r="G87" s="47" t="s">
        <v>1502</v>
      </c>
      <c r="H87" s="47" t="s">
        <v>1506</v>
      </c>
      <c r="I87" s="382">
        <v>163</v>
      </c>
      <c r="J87" s="382">
        <v>0</v>
      </c>
      <c r="K87" s="382">
        <v>0</v>
      </c>
      <c r="L87" s="382">
        <v>3</v>
      </c>
      <c r="M87" s="382">
        <v>0</v>
      </c>
      <c r="N87" s="382">
        <v>163</v>
      </c>
      <c r="O87" s="444">
        <v>918</v>
      </c>
      <c r="P87" s="445">
        <v>166</v>
      </c>
      <c r="Q87" s="346">
        <v>0.18082788671023964</v>
      </c>
      <c r="R87" s="445">
        <v>780</v>
      </c>
      <c r="S87" s="447">
        <v>412</v>
      </c>
      <c r="T87" s="445">
        <v>-5.0403341374973136</v>
      </c>
      <c r="U87" s="444">
        <v>896.55477670070934</v>
      </c>
      <c r="V87" s="445">
        <v>160.95966586250267</v>
      </c>
      <c r="W87" s="229">
        <v>0.17953132373554317</v>
      </c>
      <c r="X87" s="261">
        <v>78032.954455608648</v>
      </c>
      <c r="Y87" s="262">
        <v>18141.857398171473</v>
      </c>
      <c r="Z87" s="262">
        <v>29018.481835839641</v>
      </c>
      <c r="AA87" s="262">
        <v>24010.203047097599</v>
      </c>
      <c r="AB87" s="263">
        <v>149203.49673671735</v>
      </c>
      <c r="AC87" s="262">
        <v>75670.83466674971</v>
      </c>
      <c r="AD87" s="262">
        <v>17592.688900504807</v>
      </c>
      <c r="AE87" s="262">
        <v>28140.06923868398</v>
      </c>
      <c r="AF87" s="263">
        <v>23283.395044661469</v>
      </c>
      <c r="AG87" s="262">
        <v>75670.83466674971</v>
      </c>
      <c r="AH87" s="262">
        <v>17592.688900504807</v>
      </c>
      <c r="AI87" s="262">
        <v>28140.06923868398</v>
      </c>
      <c r="AJ87" s="263">
        <v>23283.395044661469</v>
      </c>
      <c r="AK87" s="262">
        <v>76010.262466737171</v>
      </c>
      <c r="AL87" s="262">
        <v>17673.939143272124</v>
      </c>
      <c r="AM87" s="262">
        <v>28286.075221148989</v>
      </c>
      <c r="AN87" s="262">
        <v>23416.643037269358</v>
      </c>
      <c r="AO87" s="263">
        <v>145386.91986842765</v>
      </c>
      <c r="AP87" s="31"/>
      <c r="AQ87" s="261">
        <v>75664.157263174187</v>
      </c>
      <c r="AR87" s="262">
        <v>17112.743323068775</v>
      </c>
      <c r="AS87" s="262">
        <v>28208.389685909679</v>
      </c>
      <c r="AT87" s="262">
        <v>23338.861755069622</v>
      </c>
      <c r="AU87" s="263">
        <v>144324.15202722227</v>
      </c>
      <c r="AV87" s="31"/>
      <c r="AW87" s="323">
        <v>149179.90074032219</v>
      </c>
      <c r="AX87" s="31"/>
      <c r="AY87" s="747">
        <v>0</v>
      </c>
      <c r="AZ87" s="262">
        <v>0</v>
      </c>
      <c r="BA87" s="262">
        <v>144324.15202722227</v>
      </c>
      <c r="BB87" s="262">
        <v>1412.6272820630693</v>
      </c>
      <c r="BC87" s="263">
        <v>142911.5247451592</v>
      </c>
      <c r="BD87" s="261">
        <v>1429.115247451592</v>
      </c>
      <c r="BE87" s="262">
        <v>141482.40949770762</v>
      </c>
      <c r="BF87" s="354">
        <v>0.94840128459387019</v>
      </c>
      <c r="BG87" s="31"/>
      <c r="BJ87" s="4">
        <v>0.94840128459387019</v>
      </c>
      <c r="BL87" s="4">
        <v>0.9072997918149952</v>
      </c>
      <c r="BM87" s="4">
        <v>0.9</v>
      </c>
      <c r="BN87" s="4" t="s">
        <v>900</v>
      </c>
      <c r="BO87" s="31" t="s">
        <v>900</v>
      </c>
      <c r="BP87" s="31" t="s">
        <v>900</v>
      </c>
      <c r="BQ87" s="31">
        <v>140546.90433512806</v>
      </c>
      <c r="BR87" s="4">
        <v>0.94213029796673742</v>
      </c>
      <c r="BS87" s="4" t="s">
        <v>900</v>
      </c>
      <c r="BT87" s="448" t="s">
        <v>900</v>
      </c>
      <c r="BU87" s="367" t="s">
        <v>900</v>
      </c>
      <c r="BV87" s="368">
        <v>141482.40949770762</v>
      </c>
      <c r="BX87" s="449">
        <v>-1277.354502292379</v>
      </c>
      <c r="BY87" s="450">
        <v>-8.9475806522934503E-3</v>
      </c>
      <c r="BZ87" s="368">
        <v>-7.9358670102082565</v>
      </c>
      <c r="CB87" s="31">
        <v>30708</v>
      </c>
      <c r="CC87" s="31">
        <v>34173.772593380221</v>
      </c>
      <c r="CD87" s="31" t="e">
        <v>#VALUE!</v>
      </c>
      <c r="CE87" s="31" t="s">
        <v>900</v>
      </c>
      <c r="CF87" s="31" t="e">
        <v>#VALUE!</v>
      </c>
      <c r="CJ87" s="702" t="s">
        <v>1447</v>
      </c>
      <c r="CK87" s="702" t="s">
        <v>1447</v>
      </c>
      <c r="CL87" s="702" t="s">
        <v>1448</v>
      </c>
      <c r="CN87" s="702" t="s">
        <v>1447</v>
      </c>
      <c r="CO87" s="702" t="s">
        <v>1447</v>
      </c>
      <c r="CP87" s="702" t="s">
        <v>1447</v>
      </c>
      <c r="CQ87" s="702" t="s">
        <v>1447</v>
      </c>
      <c r="CS87" s="451">
        <v>0</v>
      </c>
      <c r="CT87" s="452">
        <v>0.9</v>
      </c>
      <c r="CU87" s="452">
        <v>0</v>
      </c>
      <c r="CV87" s="453">
        <v>0.9</v>
      </c>
    </row>
    <row r="88" spans="1:100" outlineLevel="1" x14ac:dyDescent="0.3">
      <c r="A88" s="1">
        <v>50207000</v>
      </c>
      <c r="B88" s="47">
        <v>403200</v>
      </c>
      <c r="C88" s="47">
        <v>4221</v>
      </c>
      <c r="D88" s="47" t="s">
        <v>169</v>
      </c>
      <c r="E88" s="47" t="s">
        <v>133</v>
      </c>
      <c r="F88" s="47" t="s">
        <v>1498</v>
      </c>
      <c r="G88" s="47" t="s">
        <v>1499</v>
      </c>
      <c r="H88" s="47" t="s">
        <v>1506</v>
      </c>
      <c r="I88" s="382">
        <v>519</v>
      </c>
      <c r="J88" s="382">
        <v>0</v>
      </c>
      <c r="K88" s="382">
        <v>0</v>
      </c>
      <c r="L88" s="382">
        <v>11</v>
      </c>
      <c r="M88" s="382">
        <v>0</v>
      </c>
      <c r="N88" s="382">
        <v>519</v>
      </c>
      <c r="O88" s="444">
        <v>1403</v>
      </c>
      <c r="P88" s="445">
        <v>530</v>
      </c>
      <c r="Q88" s="346">
        <v>0.37776193870277974</v>
      </c>
      <c r="R88" s="445">
        <v>537</v>
      </c>
      <c r="S88" s="447">
        <v>537</v>
      </c>
      <c r="T88" s="445">
        <v>-16.048671272154021</v>
      </c>
      <c r="U88" s="444">
        <v>1370.2247839990143</v>
      </c>
      <c r="V88" s="445">
        <v>513.95132872784598</v>
      </c>
      <c r="W88" s="229">
        <v>0.37508541279473434</v>
      </c>
      <c r="X88" s="261">
        <v>301147.97882754676</v>
      </c>
      <c r="Y88" s="262">
        <v>74056.082312857703</v>
      </c>
      <c r="Z88" s="262">
        <v>159119.36982101802</v>
      </c>
      <c r="AA88" s="262">
        <v>171650.35288868842</v>
      </c>
      <c r="AB88" s="263">
        <v>705973.78385011083</v>
      </c>
      <c r="AC88" s="262">
        <v>292031.98924178665</v>
      </c>
      <c r="AD88" s="262">
        <v>71814.345616650957</v>
      </c>
      <c r="AE88" s="262">
        <v>154302.69954539993</v>
      </c>
      <c r="AF88" s="263">
        <v>166454.35975794453</v>
      </c>
      <c r="AG88" s="262">
        <v>292031.98924178665</v>
      </c>
      <c r="AH88" s="262">
        <v>71814.345616650957</v>
      </c>
      <c r="AI88" s="262">
        <v>154302.69954539993</v>
      </c>
      <c r="AJ88" s="263">
        <v>166454.35975794453</v>
      </c>
      <c r="AK88" s="262">
        <v>292371.41704177414</v>
      </c>
      <c r="AL88" s="262">
        <v>71895.595859418274</v>
      </c>
      <c r="AM88" s="262">
        <v>154448.70552786492</v>
      </c>
      <c r="AN88" s="262">
        <v>166587.60775055242</v>
      </c>
      <c r="AO88" s="263">
        <v>685303.32617960975</v>
      </c>
      <c r="AP88" s="31"/>
      <c r="AQ88" s="261">
        <v>290707.57947959908</v>
      </c>
      <c r="AR88" s="262">
        <v>70972.028240828819</v>
      </c>
      <c r="AS88" s="262">
        <v>153779.3600227217</v>
      </c>
      <c r="AT88" s="262">
        <v>165704.08678423997</v>
      </c>
      <c r="AU88" s="263">
        <v>681163.05452738958</v>
      </c>
      <c r="AV88" s="31"/>
      <c r="AW88" s="323">
        <v>709949.19192223274</v>
      </c>
      <c r="AX88" s="31"/>
      <c r="AY88" s="747">
        <v>0</v>
      </c>
      <c r="AZ88" s="262">
        <v>0</v>
      </c>
      <c r="BA88" s="262">
        <v>681163.05452738958</v>
      </c>
      <c r="BB88" s="262">
        <v>6667.1412985493234</v>
      </c>
      <c r="BC88" s="263">
        <v>674495.91322884022</v>
      </c>
      <c r="BD88" s="261">
        <v>6744.9591322884025</v>
      </c>
      <c r="BE88" s="262">
        <v>667750.95409655187</v>
      </c>
      <c r="BF88" s="354">
        <v>0.94056160876607742</v>
      </c>
      <c r="BG88" s="31"/>
      <c r="BJ88" s="4">
        <v>0.94056160876607742</v>
      </c>
      <c r="BL88" s="4">
        <v>0.95</v>
      </c>
      <c r="BM88" s="4">
        <v>0.95</v>
      </c>
      <c r="BN88" s="4" t="s">
        <v>1003</v>
      </c>
      <c r="BO88" s="31">
        <v>6700.7782295692014</v>
      </c>
      <c r="BP88" s="31">
        <v>674451.73232612107</v>
      </c>
      <c r="BQ88" s="31">
        <v>674451.73232612107</v>
      </c>
      <c r="BR88" s="4">
        <v>0.95</v>
      </c>
      <c r="BS88" s="4" t="s">
        <v>900</v>
      </c>
      <c r="BT88" s="448" t="s">
        <v>900</v>
      </c>
      <c r="BU88" s="367" t="s">
        <v>900</v>
      </c>
      <c r="BV88" s="368">
        <v>667750.95409655187</v>
      </c>
      <c r="BX88" s="449">
        <v>-12787.920403448166</v>
      </c>
      <c r="BY88" s="450">
        <v>-1.8790874236014225E-2</v>
      </c>
      <c r="BZ88" s="368">
        <v>-24.881578641116402</v>
      </c>
      <c r="CB88" s="31">
        <v>25665</v>
      </c>
      <c r="CC88" s="31">
        <v>35213.160065022901</v>
      </c>
      <c r="CD88" s="31" t="e">
        <v>#VALUE!</v>
      </c>
      <c r="CE88" s="31" t="s">
        <v>900</v>
      </c>
      <c r="CF88" s="31" t="e">
        <v>#VALUE!</v>
      </c>
      <c r="CJ88" s="702" t="s">
        <v>1447</v>
      </c>
      <c r="CK88" s="702" t="s">
        <v>1447</v>
      </c>
      <c r="CL88" s="702" t="s">
        <v>1448</v>
      </c>
      <c r="CN88" s="702" t="s">
        <v>1447</v>
      </c>
      <c r="CO88" s="702" t="s">
        <v>1447</v>
      </c>
      <c r="CP88" s="702" t="s">
        <v>1447</v>
      </c>
      <c r="CQ88" s="702" t="s">
        <v>1447</v>
      </c>
      <c r="CS88" s="451">
        <v>0</v>
      </c>
      <c r="CT88" s="452">
        <v>0</v>
      </c>
      <c r="CU88" s="452">
        <v>0.95</v>
      </c>
      <c r="CV88" s="453">
        <v>0.95</v>
      </c>
    </row>
    <row r="89" spans="1:100" outlineLevel="1" x14ac:dyDescent="0.3">
      <c r="A89" s="1">
        <v>50204000</v>
      </c>
      <c r="B89" s="47">
        <v>408410</v>
      </c>
      <c r="C89" s="47">
        <v>4219</v>
      </c>
      <c r="D89" s="47" t="s">
        <v>411</v>
      </c>
      <c r="E89" s="47" t="s">
        <v>133</v>
      </c>
      <c r="F89" s="47" t="s">
        <v>1503</v>
      </c>
      <c r="G89" s="47" t="s">
        <v>1502</v>
      </c>
      <c r="H89" s="47" t="s">
        <v>1506</v>
      </c>
      <c r="I89" s="382">
        <v>259</v>
      </c>
      <c r="J89" s="382">
        <v>0</v>
      </c>
      <c r="K89" s="382">
        <v>0</v>
      </c>
      <c r="L89" s="382">
        <v>6</v>
      </c>
      <c r="M89" s="382">
        <v>0</v>
      </c>
      <c r="N89" s="382">
        <v>259</v>
      </c>
      <c r="O89" s="444">
        <v>1523</v>
      </c>
      <c r="P89" s="445">
        <v>265</v>
      </c>
      <c r="Q89" s="346">
        <v>0.17399868680236374</v>
      </c>
      <c r="R89" s="445">
        <v>1635</v>
      </c>
      <c r="S89" s="447">
        <v>621</v>
      </c>
      <c r="T89" s="445">
        <v>-8.0088744884159784</v>
      </c>
      <c r="U89" s="444">
        <v>1487.4214868357085</v>
      </c>
      <c r="V89" s="445">
        <v>256.99112551158402</v>
      </c>
      <c r="W89" s="229">
        <v>0.17277626267070975</v>
      </c>
      <c r="X89" s="261">
        <v>129441.02967456169</v>
      </c>
      <c r="Y89" s="262">
        <v>30650.06963812478</v>
      </c>
      <c r="Z89" s="262">
        <v>42944.141329570972</v>
      </c>
      <c r="AA89" s="262">
        <v>32565.262273476266</v>
      </c>
      <c r="AB89" s="263">
        <v>235600.5029157337</v>
      </c>
      <c r="AC89" s="262">
        <v>125522.74643362022</v>
      </c>
      <c r="AD89" s="262">
        <v>29722.267576454724</v>
      </c>
      <c r="AE89" s="262">
        <v>41644.187909149841</v>
      </c>
      <c r="AF89" s="263">
        <v>31579.485802724801</v>
      </c>
      <c r="AG89" s="262">
        <v>125522.74643362022</v>
      </c>
      <c r="AH89" s="262">
        <v>29722.267576454724</v>
      </c>
      <c r="AI89" s="262">
        <v>41644.187909149841</v>
      </c>
      <c r="AJ89" s="263">
        <v>31579.485802724801</v>
      </c>
      <c r="AK89" s="262">
        <v>125862.17423360769</v>
      </c>
      <c r="AL89" s="262">
        <v>29803.517819222041</v>
      </c>
      <c r="AM89" s="262">
        <v>41790.19389161485</v>
      </c>
      <c r="AN89" s="262">
        <v>31712.73379533269</v>
      </c>
      <c r="AO89" s="263">
        <v>229168.61973977726</v>
      </c>
      <c r="AP89" s="31"/>
      <c r="AQ89" s="261">
        <v>125206.52036571813</v>
      </c>
      <c r="AR89" s="262">
        <v>29512.734999547305</v>
      </c>
      <c r="AS89" s="262">
        <v>41647.972657877406</v>
      </c>
      <c r="AT89" s="262">
        <v>31587.657793929266</v>
      </c>
      <c r="AU89" s="263">
        <v>227954.88581707209</v>
      </c>
      <c r="AV89" s="31"/>
      <c r="AW89" s="323">
        <v>242122.31690009843</v>
      </c>
      <c r="AX89" s="31"/>
      <c r="AY89" s="747">
        <v>0</v>
      </c>
      <c r="AZ89" s="262">
        <v>0</v>
      </c>
      <c r="BA89" s="262">
        <v>227954.88581707209</v>
      </c>
      <c r="BB89" s="262">
        <v>2231.1947533495968</v>
      </c>
      <c r="BC89" s="263">
        <v>225723.69106372251</v>
      </c>
      <c r="BD89" s="261">
        <v>2257.2369106372253</v>
      </c>
      <c r="BE89" s="262">
        <v>223466.45415308527</v>
      </c>
      <c r="BF89" s="354">
        <v>0.92294860306201876</v>
      </c>
      <c r="BG89" s="31"/>
      <c r="BJ89" s="523">
        <v>0.89990000000000003</v>
      </c>
      <c r="BK89" s="524"/>
      <c r="BL89" s="4">
        <v>0.90000000000000013</v>
      </c>
      <c r="BM89" s="4">
        <v>0.9</v>
      </c>
      <c r="BN89" s="4" t="s">
        <v>1003</v>
      </c>
      <c r="BO89" s="31">
        <v>24.832365168666001</v>
      </c>
      <c r="BP89" s="31">
        <v>223491.28651825394</v>
      </c>
      <c r="BQ89" s="31">
        <v>223491.28651825394</v>
      </c>
      <c r="BR89" s="4">
        <v>0.92305116430249667</v>
      </c>
      <c r="BS89" s="4" t="s">
        <v>900</v>
      </c>
      <c r="BT89" s="448" t="s">
        <v>900</v>
      </c>
      <c r="BU89" s="367" t="s">
        <v>900</v>
      </c>
      <c r="BV89" s="368">
        <v>223466.45415308527</v>
      </c>
      <c r="BX89" s="449">
        <v>-571.12644523798372</v>
      </c>
      <c r="BY89" s="450">
        <v>-2.5492976115984388E-3</v>
      </c>
      <c r="BZ89" s="368">
        <v>-2.2223586285365324</v>
      </c>
      <c r="CB89" s="31">
        <v>32734</v>
      </c>
      <c r="CC89" s="31">
        <v>38324.444654787396</v>
      </c>
      <c r="CD89" s="31" t="e">
        <v>#VALUE!</v>
      </c>
      <c r="CE89" s="31" t="s">
        <v>900</v>
      </c>
      <c r="CF89" s="31" t="e">
        <v>#VALUE!</v>
      </c>
      <c r="CJ89" s="702" t="s">
        <v>1447</v>
      </c>
      <c r="CK89" s="702" t="s">
        <v>1447</v>
      </c>
      <c r="CL89" s="702" t="s">
        <v>1448</v>
      </c>
      <c r="CN89" s="702" t="s">
        <v>1447</v>
      </c>
      <c r="CO89" s="702" t="s">
        <v>1447</v>
      </c>
      <c r="CP89" s="702" t="s">
        <v>1447</v>
      </c>
      <c r="CQ89" s="702" t="s">
        <v>1447</v>
      </c>
      <c r="CS89" s="451">
        <v>0</v>
      </c>
      <c r="CT89" s="452">
        <v>0.9</v>
      </c>
      <c r="CU89" s="452">
        <v>0</v>
      </c>
      <c r="CV89" s="453">
        <v>0.9</v>
      </c>
    </row>
    <row r="90" spans="1:100" outlineLevel="1" x14ac:dyDescent="0.3">
      <c r="A90" s="1">
        <v>50201000</v>
      </c>
      <c r="B90" s="47">
        <v>407240</v>
      </c>
      <c r="C90" s="47">
        <v>4218</v>
      </c>
      <c r="D90" s="47" t="s">
        <v>366</v>
      </c>
      <c r="E90" s="47" t="s">
        <v>133</v>
      </c>
      <c r="F90" s="47" t="s">
        <v>1498</v>
      </c>
      <c r="G90" s="47" t="s">
        <v>1502</v>
      </c>
      <c r="H90" s="47" t="s">
        <v>1506</v>
      </c>
      <c r="I90" s="382">
        <v>819</v>
      </c>
      <c r="J90" s="382">
        <v>0</v>
      </c>
      <c r="K90" s="382">
        <v>0</v>
      </c>
      <c r="L90" s="382">
        <v>18</v>
      </c>
      <c r="M90" s="382">
        <v>0</v>
      </c>
      <c r="N90" s="382">
        <v>819</v>
      </c>
      <c r="O90" s="444">
        <v>3316</v>
      </c>
      <c r="P90" s="445">
        <v>837</v>
      </c>
      <c r="Q90" s="346">
        <v>0.25241254523522316</v>
      </c>
      <c r="R90" s="445">
        <v>3112</v>
      </c>
      <c r="S90" s="447">
        <v>1518</v>
      </c>
      <c r="T90" s="445">
        <v>-25.325359868774846</v>
      </c>
      <c r="U90" s="444">
        <v>3238.5355550539784</v>
      </c>
      <c r="V90" s="445">
        <v>811.67464013122515</v>
      </c>
      <c r="W90" s="229">
        <v>0.2506301463525839</v>
      </c>
      <c r="X90" s="261">
        <v>386033.84297741874</v>
      </c>
      <c r="Y90" s="262">
        <v>91474.305073912852</v>
      </c>
      <c r="Z90" s="262">
        <v>146223.93228404253</v>
      </c>
      <c r="AA90" s="262">
        <v>113351.93683109267</v>
      </c>
      <c r="AB90" s="263">
        <v>737084.0171664668</v>
      </c>
      <c r="AC90" s="262">
        <v>374348.29055885738</v>
      </c>
      <c r="AD90" s="262">
        <v>88705.304877846589</v>
      </c>
      <c r="AE90" s="262">
        <v>141797.61719111091</v>
      </c>
      <c r="AF90" s="263">
        <v>109920.6832669779</v>
      </c>
      <c r="AG90" s="262">
        <v>374348.29055885738</v>
      </c>
      <c r="AH90" s="262">
        <v>88705.304877846589</v>
      </c>
      <c r="AI90" s="262">
        <v>141797.61719111091</v>
      </c>
      <c r="AJ90" s="263">
        <v>109920.6832669779</v>
      </c>
      <c r="AK90" s="262">
        <v>374687.71835884487</v>
      </c>
      <c r="AL90" s="262">
        <v>88786.555120613906</v>
      </c>
      <c r="AM90" s="262">
        <v>141943.62317357591</v>
      </c>
      <c r="AN90" s="262">
        <v>110053.93125958578</v>
      </c>
      <c r="AO90" s="263">
        <v>715471.8279126205</v>
      </c>
      <c r="AP90" s="31"/>
      <c r="AQ90" s="261">
        <v>368996.57391843561</v>
      </c>
      <c r="AR90" s="262">
        <v>85967.339595425758</v>
      </c>
      <c r="AS90" s="262">
        <v>139977.63582958101</v>
      </c>
      <c r="AT90" s="262">
        <v>109482.24431283424</v>
      </c>
      <c r="AU90" s="263">
        <v>704423.79365627654</v>
      </c>
      <c r="AV90" s="31"/>
      <c r="AW90" s="323">
        <v>684080.9574325782</v>
      </c>
      <c r="AX90" s="31"/>
      <c r="AY90" s="747">
        <v>0</v>
      </c>
      <c r="AZ90" s="262">
        <v>20342.836223698338</v>
      </c>
      <c r="BA90" s="262">
        <v>684080.9574325782</v>
      </c>
      <c r="BB90" s="262">
        <v>6695.7013780119978</v>
      </c>
      <c r="BC90" s="263">
        <v>677385.25605456624</v>
      </c>
      <c r="BD90" s="261">
        <v>6773.8525605456625</v>
      </c>
      <c r="BE90" s="262">
        <v>670611.40349402057</v>
      </c>
      <c r="BF90" s="354">
        <v>0.98031000016560876</v>
      </c>
      <c r="BG90" s="31"/>
      <c r="BJ90" s="4">
        <v>0.98031000016560876</v>
      </c>
      <c r="BL90" s="4">
        <v>0.97130739520595943</v>
      </c>
      <c r="BM90" s="4">
        <v>0.9</v>
      </c>
      <c r="BN90" s="4" t="s">
        <v>900</v>
      </c>
      <c r="BO90" s="31" t="s">
        <v>900</v>
      </c>
      <c r="BP90" s="31" t="s">
        <v>900</v>
      </c>
      <c r="BQ90" s="31">
        <v>666177.20964419399</v>
      </c>
      <c r="BR90" s="4">
        <v>0.97382802781767419</v>
      </c>
      <c r="BS90" s="4" t="s">
        <v>900</v>
      </c>
      <c r="BT90" s="448" t="s">
        <v>900</v>
      </c>
      <c r="BU90" s="367" t="s">
        <v>900</v>
      </c>
      <c r="BV90" s="368">
        <v>670611.40349402057</v>
      </c>
      <c r="BX90" s="449">
        <v>-20693.77318873629</v>
      </c>
      <c r="BY90" s="450">
        <v>-2.9935777891947679E-2</v>
      </c>
      <c r="BZ90" s="368">
        <v>-25.495157992604874</v>
      </c>
      <c r="CB90" s="31">
        <v>115868</v>
      </c>
      <c r="CC90" s="31">
        <v>132040.30696516539</v>
      </c>
      <c r="CD90" s="31" t="e">
        <v>#VALUE!</v>
      </c>
      <c r="CE90" s="31" t="s">
        <v>900</v>
      </c>
      <c r="CF90" s="31" t="e">
        <v>#VALUE!</v>
      </c>
      <c r="CJ90" s="702" t="s">
        <v>1447</v>
      </c>
      <c r="CK90" s="702" t="s">
        <v>1447</v>
      </c>
      <c r="CL90" s="702" t="s">
        <v>1448</v>
      </c>
      <c r="CN90" s="702" t="s">
        <v>1447</v>
      </c>
      <c r="CO90" s="702" t="s">
        <v>1447</v>
      </c>
      <c r="CP90" s="702" t="s">
        <v>1447</v>
      </c>
      <c r="CQ90" s="702" t="s">
        <v>1447</v>
      </c>
      <c r="CS90" s="451">
        <v>0</v>
      </c>
      <c r="CT90" s="452">
        <v>0.9</v>
      </c>
      <c r="CU90" s="452">
        <v>0</v>
      </c>
      <c r="CV90" s="453">
        <v>0.9</v>
      </c>
    </row>
    <row r="91" spans="1:100" outlineLevel="1" x14ac:dyDescent="0.3">
      <c r="A91" s="1">
        <v>50316000</v>
      </c>
      <c r="B91" s="47">
        <v>401260</v>
      </c>
      <c r="C91" s="47">
        <v>4224</v>
      </c>
      <c r="D91" s="47" t="s">
        <v>537</v>
      </c>
      <c r="E91" s="47" t="s">
        <v>133</v>
      </c>
      <c r="F91" s="47" t="s">
        <v>900</v>
      </c>
      <c r="G91" s="47" t="s">
        <v>900</v>
      </c>
      <c r="H91" s="47" t="s">
        <v>900</v>
      </c>
      <c r="I91" s="382">
        <v>16</v>
      </c>
      <c r="J91" s="382">
        <v>0</v>
      </c>
      <c r="K91" s="382">
        <v>0</v>
      </c>
      <c r="L91" s="382">
        <v>0</v>
      </c>
      <c r="M91" s="382">
        <v>0</v>
      </c>
      <c r="N91" s="382">
        <v>16</v>
      </c>
      <c r="O91" s="444">
        <v>54</v>
      </c>
      <c r="P91" s="445">
        <v>16</v>
      </c>
      <c r="Q91" s="346">
        <v>0.29629629629629628</v>
      </c>
      <c r="R91" s="445">
        <v>96</v>
      </c>
      <c r="S91" s="447">
        <v>47</v>
      </c>
      <c r="T91" s="445">
        <v>-0.49475672515311053</v>
      </c>
      <c r="U91" s="444">
        <v>52.738516276512314</v>
      </c>
      <c r="V91" s="445">
        <v>15.50524327484689</v>
      </c>
      <c r="W91" s="229">
        <v>0.2940022656980269</v>
      </c>
      <c r="X91" s="261">
        <v>7379.3805109184013</v>
      </c>
      <c r="Y91" s="262">
        <v>1748.61276126954</v>
      </c>
      <c r="Z91" s="262">
        <v>3131.1347682543196</v>
      </c>
      <c r="AA91" s="262">
        <v>2272.211299675856</v>
      </c>
      <c r="AB91" s="263">
        <v>14531.339340118117</v>
      </c>
      <c r="AC91" s="262">
        <v>7156.0007753186619</v>
      </c>
      <c r="AD91" s="262">
        <v>1695.6808578799819</v>
      </c>
      <c r="AE91" s="262">
        <v>3036.3528206877272</v>
      </c>
      <c r="AF91" s="263">
        <v>2203.4296507830595</v>
      </c>
      <c r="AG91" s="262">
        <v>7156.0007753186619</v>
      </c>
      <c r="AH91" s="262">
        <v>1695.6808578799819</v>
      </c>
      <c r="AI91" s="262">
        <v>3036.3528206877272</v>
      </c>
      <c r="AJ91" s="263">
        <v>2203.4296507830595</v>
      </c>
      <c r="AK91" s="262">
        <v>7495.4285753061231</v>
      </c>
      <c r="AL91" s="262">
        <v>1776.931100647299</v>
      </c>
      <c r="AM91" s="262">
        <v>3182.3588031527361</v>
      </c>
      <c r="AN91" s="262">
        <v>2336.6776433909481</v>
      </c>
      <c r="AO91" s="263">
        <v>14791.396122497106</v>
      </c>
      <c r="AP91" s="31"/>
      <c r="AQ91" s="261">
        <v>7381.580256893978</v>
      </c>
      <c r="AR91" s="262">
        <v>1720.508686923406</v>
      </c>
      <c r="AS91" s="262">
        <v>3138.2816055219669</v>
      </c>
      <c r="AT91" s="262">
        <v>2242.8088817681373</v>
      </c>
      <c r="AU91" s="263">
        <v>14483.179431107488</v>
      </c>
      <c r="AV91" s="31"/>
      <c r="AW91" s="323">
        <v>0</v>
      </c>
      <c r="AX91" s="31"/>
      <c r="AY91" s="747">
        <v>0</v>
      </c>
      <c r="AZ91" s="262">
        <v>1366.301417422681</v>
      </c>
      <c r="BA91" s="262">
        <v>13116.878013684807</v>
      </c>
      <c r="BB91" s="262">
        <v>128.38640987912703</v>
      </c>
      <c r="BC91" s="263">
        <v>12988.49160380568</v>
      </c>
      <c r="BD91" s="261">
        <v>129.88491603805682</v>
      </c>
      <c r="BE91" s="262">
        <v>12858.606687767624</v>
      </c>
      <c r="BF91" s="354" t="s">
        <v>1450</v>
      </c>
      <c r="BG91" s="31"/>
      <c r="BJ91" s="4" t="s">
        <v>900</v>
      </c>
      <c r="BL91" s="4">
        <v>12.937147497116452</v>
      </c>
      <c r="BM91" s="4">
        <v>0.9</v>
      </c>
      <c r="BN91" s="4" t="s">
        <v>900</v>
      </c>
      <c r="BO91" s="31" t="s">
        <v>900</v>
      </c>
      <c r="BP91" s="31" t="s">
        <v>900</v>
      </c>
      <c r="BQ91" s="31">
        <v>12773.583447191688</v>
      </c>
      <c r="BR91" s="4" t="s">
        <v>900</v>
      </c>
      <c r="BS91" s="4" t="s">
        <v>900</v>
      </c>
      <c r="BT91" s="448" t="s">
        <v>900</v>
      </c>
      <c r="BU91" s="367" t="s">
        <v>900</v>
      </c>
      <c r="BV91" s="368">
        <v>12858.606687767624</v>
      </c>
      <c r="BX91" s="449">
        <v>-767.79173664449263</v>
      </c>
      <c r="BY91" s="450">
        <v>-5.6348586036880914E-2</v>
      </c>
      <c r="BZ91" s="368">
        <v>-49.518199942727072</v>
      </c>
      <c r="CB91" s="31">
        <v>2976</v>
      </c>
      <c r="CC91" s="31">
        <v>3275.6524294532978</v>
      </c>
      <c r="CD91" s="31" t="e">
        <v>#VALUE!</v>
      </c>
      <c r="CE91" s="31" t="s">
        <v>900</v>
      </c>
      <c r="CF91" s="31" t="e">
        <v>#VALUE!</v>
      </c>
      <c r="CJ91" s="702" t="s">
        <v>1447</v>
      </c>
      <c r="CK91" s="702" t="s">
        <v>1447</v>
      </c>
      <c r="CL91" s="702" t="s">
        <v>1448</v>
      </c>
      <c r="CN91" s="702" t="s">
        <v>1447</v>
      </c>
      <c r="CO91" s="702" t="s">
        <v>1447</v>
      </c>
      <c r="CP91" s="702" t="s">
        <v>1447</v>
      </c>
      <c r="CQ91" s="702" t="s">
        <v>1447</v>
      </c>
      <c r="CS91" s="451">
        <v>0</v>
      </c>
      <c r="CT91" s="452">
        <v>0.9</v>
      </c>
      <c r="CU91" s="452">
        <v>0</v>
      </c>
      <c r="CV91" s="453">
        <v>0.9</v>
      </c>
    </row>
    <row r="92" spans="1:100" s="48" customFormat="1" outlineLevel="1" x14ac:dyDescent="0.3">
      <c r="A92" s="202">
        <v>58703000</v>
      </c>
      <c r="B92" s="48">
        <v>400141</v>
      </c>
      <c r="C92" s="48">
        <v>6357</v>
      </c>
      <c r="D92" s="48" t="s">
        <v>132</v>
      </c>
      <c r="E92" s="48" t="s">
        <v>133</v>
      </c>
      <c r="F92" s="48" t="s">
        <v>1498</v>
      </c>
      <c r="G92" s="48" t="s">
        <v>1499</v>
      </c>
      <c r="H92" s="48" t="s">
        <v>1516</v>
      </c>
      <c r="O92" s="454" t="s">
        <v>900</v>
      </c>
      <c r="P92" s="455" t="s">
        <v>900</v>
      </c>
      <c r="Q92" s="347" t="s">
        <v>900</v>
      </c>
      <c r="R92" s="455">
        <v>107</v>
      </c>
      <c r="S92" s="457">
        <v>54</v>
      </c>
      <c r="T92" s="455"/>
      <c r="U92" s="454">
        <v>107</v>
      </c>
      <c r="V92" s="455">
        <v>31.354776455451915</v>
      </c>
      <c r="W92" s="230">
        <v>0.29303529397618611</v>
      </c>
      <c r="X92" s="264" t="s">
        <v>900</v>
      </c>
      <c r="Y92" s="265" t="s">
        <v>900</v>
      </c>
      <c r="Z92" s="265" t="s">
        <v>900</v>
      </c>
      <c r="AA92" s="265" t="s">
        <v>900</v>
      </c>
      <c r="AB92" s="266" t="s">
        <v>900</v>
      </c>
      <c r="AC92" s="265">
        <v>15514.895654131209</v>
      </c>
      <c r="AD92" s="265">
        <v>3713.8650353753028</v>
      </c>
      <c r="AE92" s="265">
        <v>6673.7832991500072</v>
      </c>
      <c r="AF92" s="266">
        <v>6090.6287036898275</v>
      </c>
      <c r="AG92" s="265">
        <v>15514.895654131209</v>
      </c>
      <c r="AH92" s="265">
        <v>3713.8650353753028</v>
      </c>
      <c r="AI92" s="265">
        <v>6673.7832991500072</v>
      </c>
      <c r="AJ92" s="266">
        <v>6090.6287036898275</v>
      </c>
      <c r="AK92" s="265">
        <v>15854.32345411867</v>
      </c>
      <c r="AL92" s="265">
        <v>3795.1152781426199</v>
      </c>
      <c r="AM92" s="265">
        <v>6819.7892816150161</v>
      </c>
      <c r="AN92" s="265">
        <v>6223.8766962977161</v>
      </c>
      <c r="AO92" s="266">
        <v>32693.104710174022</v>
      </c>
      <c r="AP92" s="203"/>
      <c r="AQ92" s="264">
        <v>19953.125240212445</v>
      </c>
      <c r="AR92" s="265">
        <v>4728.1165225796231</v>
      </c>
      <c r="AS92" s="265">
        <v>8441.8104675222785</v>
      </c>
      <c r="AT92" s="265">
        <v>7371.5637051801277</v>
      </c>
      <c r="AU92" s="266">
        <v>40494.615935494468</v>
      </c>
      <c r="AV92" s="203"/>
      <c r="AW92" s="324">
        <v>44550.703366097536</v>
      </c>
      <c r="AX92" s="203"/>
      <c r="AY92" s="377">
        <v>0</v>
      </c>
      <c r="AZ92" s="265">
        <v>0</v>
      </c>
      <c r="BA92" s="265">
        <v>40494.615935494468</v>
      </c>
      <c r="BB92" s="265">
        <v>396.35638556432116</v>
      </c>
      <c r="BC92" s="266">
        <v>40098.259549930146</v>
      </c>
      <c r="BD92" s="264">
        <v>400.98259549930145</v>
      </c>
      <c r="BE92" s="265">
        <v>39697.276954430847</v>
      </c>
      <c r="BF92" s="357">
        <v>0.8910583661994419</v>
      </c>
      <c r="BG92" s="203"/>
      <c r="BJ92" s="458">
        <v>0.8910583661994419</v>
      </c>
      <c r="BK92" s="210"/>
      <c r="BL92" s="458"/>
      <c r="BM92" s="458"/>
      <c r="BN92" s="458"/>
      <c r="BQ92" s="203">
        <v>39434.791973696738</v>
      </c>
      <c r="BR92" s="458">
        <v>0.88516654046153764</v>
      </c>
      <c r="BT92" s="459" t="s">
        <v>900</v>
      </c>
      <c r="BU92" s="460" t="s">
        <v>900</v>
      </c>
      <c r="BV92" s="461">
        <v>39697.276954430847</v>
      </c>
      <c r="BX92" s="462">
        <v>9987.7592395152278</v>
      </c>
      <c r="BY92" s="463">
        <v>0.33619645928549496</v>
      </c>
      <c r="BZ92" s="461">
        <v>318.54027898127697</v>
      </c>
      <c r="CB92" s="203" t="s">
        <v>900</v>
      </c>
      <c r="CC92" s="203">
        <v>606.31654343296464</v>
      </c>
      <c r="CD92" s="203" t="e">
        <v>#VALUE!</v>
      </c>
      <c r="CE92" s="203" t="s">
        <v>900</v>
      </c>
      <c r="CF92" s="203" t="e">
        <v>#VALUE!</v>
      </c>
      <c r="CH92" s="199"/>
      <c r="CJ92" s="464" t="s">
        <v>1448</v>
      </c>
      <c r="CK92" s="464" t="s">
        <v>1447</v>
      </c>
      <c r="CL92" s="464" t="s">
        <v>1448</v>
      </c>
      <c r="CN92" s="464" t="s">
        <v>1447</v>
      </c>
      <c r="CO92" s="464" t="s">
        <v>1447</v>
      </c>
      <c r="CP92" s="464" t="s">
        <v>1447</v>
      </c>
      <c r="CQ92" s="464" t="s">
        <v>1447</v>
      </c>
      <c r="CS92" s="465">
        <v>0</v>
      </c>
      <c r="CT92" s="466">
        <v>0.9</v>
      </c>
      <c r="CU92" s="466">
        <v>0</v>
      </c>
      <c r="CV92" s="467">
        <v>0.9</v>
      </c>
    </row>
    <row r="93" spans="1:100" s="48" customFormat="1" outlineLevel="1" x14ac:dyDescent="0.3">
      <c r="A93" s="202">
        <v>50199000</v>
      </c>
      <c r="B93" s="48">
        <v>402480</v>
      </c>
      <c r="C93" s="48">
        <v>4217</v>
      </c>
      <c r="D93" s="48" t="s">
        <v>186</v>
      </c>
      <c r="E93" s="48" t="s">
        <v>133</v>
      </c>
      <c r="F93" s="48" t="s">
        <v>1498</v>
      </c>
      <c r="G93" s="48" t="s">
        <v>1499</v>
      </c>
      <c r="H93" s="48" t="s">
        <v>1506</v>
      </c>
      <c r="O93" s="454" t="s">
        <v>900</v>
      </c>
      <c r="P93" s="455" t="s">
        <v>900</v>
      </c>
      <c r="Q93" s="347" t="s">
        <v>900</v>
      </c>
      <c r="R93" s="455">
        <v>47</v>
      </c>
      <c r="S93" s="457">
        <v>38</v>
      </c>
      <c r="T93" s="455"/>
      <c r="U93" s="454">
        <v>47</v>
      </c>
      <c r="V93" s="455">
        <v>22.064472320503199</v>
      </c>
      <c r="W93" s="230">
        <v>0.46945685788304681</v>
      </c>
      <c r="X93" s="264" t="s">
        <v>900</v>
      </c>
      <c r="Y93" s="265" t="s">
        <v>900</v>
      </c>
      <c r="Z93" s="265" t="s">
        <v>900</v>
      </c>
      <c r="AA93" s="265" t="s">
        <v>900</v>
      </c>
      <c r="AB93" s="266" t="s">
        <v>900</v>
      </c>
      <c r="AC93" s="265">
        <v>10917.889534388629</v>
      </c>
      <c r="AD93" s="265">
        <v>2613.4605804492871</v>
      </c>
      <c r="AE93" s="265">
        <v>4696.3660253277831</v>
      </c>
      <c r="AF93" s="266">
        <v>4285.9979766706192</v>
      </c>
      <c r="AG93" s="265">
        <v>10917.889534388629</v>
      </c>
      <c r="AH93" s="265">
        <v>2613.4605804492871</v>
      </c>
      <c r="AI93" s="265">
        <v>4696.3660253277831</v>
      </c>
      <c r="AJ93" s="266">
        <v>4285.9979766706192</v>
      </c>
      <c r="AK93" s="265">
        <v>11257.31733437609</v>
      </c>
      <c r="AL93" s="265">
        <v>2694.7108232166042</v>
      </c>
      <c r="AM93" s="265">
        <v>4842.3720077927919</v>
      </c>
      <c r="AN93" s="265">
        <v>4419.2459692785078</v>
      </c>
      <c r="AO93" s="266">
        <v>23213.646134663995</v>
      </c>
      <c r="AP93" s="203"/>
      <c r="AQ93" s="264">
        <v>11086.329560231597</v>
      </c>
      <c r="AR93" s="265">
        <v>2609.1463976300447</v>
      </c>
      <c r="AS93" s="265">
        <v>4775.3028301193835</v>
      </c>
      <c r="AT93" s="265">
        <v>4241.7164980585148</v>
      </c>
      <c r="AU93" s="266">
        <v>22712.495286039542</v>
      </c>
      <c r="AV93" s="203"/>
      <c r="AW93" s="324">
        <v>17304.772448330048</v>
      </c>
      <c r="AX93" s="203"/>
      <c r="AY93" s="377">
        <v>0</v>
      </c>
      <c r="AZ93" s="265">
        <v>2142.6313642065288</v>
      </c>
      <c r="BA93" s="265">
        <v>20569.863921833014</v>
      </c>
      <c r="BB93" s="265">
        <v>201.33533130910311</v>
      </c>
      <c r="BC93" s="266">
        <v>20368.528590523911</v>
      </c>
      <c r="BD93" s="264">
        <v>203.68528590523911</v>
      </c>
      <c r="BE93" s="265">
        <v>20164.843304618673</v>
      </c>
      <c r="BF93" s="357">
        <v>1.1652764209889757</v>
      </c>
      <c r="BG93" s="203"/>
      <c r="BJ93" s="458">
        <v>1.1652764209889757</v>
      </c>
      <c r="BK93" s="210"/>
      <c r="BL93" s="458"/>
      <c r="BM93" s="458"/>
      <c r="BN93" s="458"/>
      <c r="BQ93" s="203">
        <v>20031.510015476575</v>
      </c>
      <c r="BR93" s="458">
        <v>1.1575714199818712</v>
      </c>
      <c r="BT93" s="459" t="s">
        <v>900</v>
      </c>
      <c r="BU93" s="460" t="s">
        <v>900</v>
      </c>
      <c r="BV93" s="461">
        <v>20164.843304618673</v>
      </c>
      <c r="BX93" s="462">
        <v>-741.85434661824911</v>
      </c>
      <c r="BY93" s="463">
        <v>-3.5485741062762977E-2</v>
      </c>
      <c r="BZ93" s="461">
        <v>-33.622120476857631</v>
      </c>
      <c r="CB93" s="203">
        <v>1539</v>
      </c>
      <c r="CC93" s="203">
        <v>1936.8838341589712</v>
      </c>
      <c r="CD93" s="203" t="e">
        <v>#VALUE!</v>
      </c>
      <c r="CE93" s="203" t="s">
        <v>900</v>
      </c>
      <c r="CF93" s="203" t="e">
        <v>#VALUE!</v>
      </c>
      <c r="CH93" s="199"/>
      <c r="CJ93" s="464" t="s">
        <v>1448</v>
      </c>
      <c r="CK93" s="464" t="s">
        <v>1447</v>
      </c>
      <c r="CL93" s="464" t="s">
        <v>1448</v>
      </c>
      <c r="CN93" s="464" t="s">
        <v>1447</v>
      </c>
      <c r="CO93" s="464" t="s">
        <v>1447</v>
      </c>
      <c r="CP93" s="464" t="s">
        <v>1447</v>
      </c>
      <c r="CQ93" s="464" t="s">
        <v>1447</v>
      </c>
      <c r="CS93" s="465">
        <v>0</v>
      </c>
      <c r="CT93" s="466">
        <v>0</v>
      </c>
      <c r="CU93" s="466">
        <v>0.95</v>
      </c>
      <c r="CV93" s="467">
        <v>0.95</v>
      </c>
    </row>
    <row r="94" spans="1:100" s="48" customFormat="1" outlineLevel="1" x14ac:dyDescent="0.3">
      <c r="A94" s="202">
        <v>108796000</v>
      </c>
      <c r="D94" s="48" t="s">
        <v>1520</v>
      </c>
      <c r="E94" s="48" t="s">
        <v>133</v>
      </c>
      <c r="F94" s="48" t="s">
        <v>900</v>
      </c>
      <c r="G94" s="48" t="s">
        <v>900</v>
      </c>
      <c r="H94" s="48" t="s">
        <v>900</v>
      </c>
      <c r="O94" s="454" t="s">
        <v>900</v>
      </c>
      <c r="P94" s="455" t="s">
        <v>900</v>
      </c>
      <c r="Q94" s="347" t="s">
        <v>900</v>
      </c>
      <c r="R94" s="455">
        <v>23.612236105127099</v>
      </c>
      <c r="S94" s="457">
        <v>9.4510986643688071</v>
      </c>
      <c r="T94" s="455"/>
      <c r="U94" s="454">
        <v>23.612236105127099</v>
      </c>
      <c r="V94" s="455">
        <v>5.4877238125871139</v>
      </c>
      <c r="W94" s="230">
        <v>0.23241017022506918</v>
      </c>
      <c r="X94" s="264"/>
      <c r="Y94" s="265"/>
      <c r="Z94" s="265"/>
      <c r="AA94" s="265"/>
      <c r="AB94" s="266"/>
      <c r="AC94" s="265">
        <v>2715.4223998996463</v>
      </c>
      <c r="AD94" s="265">
        <v>650.00194213854707</v>
      </c>
      <c r="AE94" s="265">
        <v>1168.0478597200647</v>
      </c>
      <c r="AF94" s="266">
        <v>1065.9839408631342</v>
      </c>
      <c r="AG94" s="265" t="s">
        <v>900</v>
      </c>
      <c r="AH94" s="265" t="s">
        <v>900</v>
      </c>
      <c r="AI94" s="265" t="s">
        <v>900</v>
      </c>
      <c r="AJ94" s="266" t="s">
        <v>900</v>
      </c>
      <c r="AK94" s="265" t="s">
        <v>900</v>
      </c>
      <c r="AL94" s="265" t="s">
        <v>900</v>
      </c>
      <c r="AM94" s="265" t="s">
        <v>900</v>
      </c>
      <c r="AN94" s="265" t="s">
        <v>900</v>
      </c>
      <c r="AO94" s="266">
        <v>0</v>
      </c>
      <c r="AP94" s="203"/>
      <c r="AQ94" s="264">
        <v>0</v>
      </c>
      <c r="AR94" s="265">
        <v>0</v>
      </c>
      <c r="AS94" s="265">
        <v>0</v>
      </c>
      <c r="AT94" s="265">
        <v>0</v>
      </c>
      <c r="AU94" s="266">
        <v>0</v>
      </c>
      <c r="AV94" s="203"/>
      <c r="AW94" s="324">
        <v>0</v>
      </c>
      <c r="AX94" s="203"/>
      <c r="AY94" s="377">
        <v>0</v>
      </c>
      <c r="AZ94" s="265">
        <v>0</v>
      </c>
      <c r="BA94" s="265">
        <v>0</v>
      </c>
      <c r="BB94" s="265">
        <v>0</v>
      </c>
      <c r="BC94" s="266">
        <v>0</v>
      </c>
      <c r="BD94" s="264">
        <v>0</v>
      </c>
      <c r="BE94" s="265">
        <v>0</v>
      </c>
      <c r="BF94" s="357" t="s">
        <v>1450</v>
      </c>
      <c r="BG94" s="203"/>
      <c r="BJ94" s="458"/>
      <c r="BK94" s="210"/>
      <c r="BL94" s="458"/>
      <c r="BM94" s="458"/>
      <c r="BN94" s="458"/>
      <c r="BQ94" s="203">
        <v>0</v>
      </c>
      <c r="BR94" s="458"/>
      <c r="BT94" s="459" t="s">
        <v>900</v>
      </c>
      <c r="BU94" s="460"/>
      <c r="BV94" s="461">
        <v>0</v>
      </c>
      <c r="BX94" s="462">
        <v>-5416.4271449552571</v>
      </c>
      <c r="BY94" s="463">
        <v>-1.0000476005986618</v>
      </c>
      <c r="BZ94" s="461">
        <v>-987.00797086975751</v>
      </c>
      <c r="CB94" s="203" t="s">
        <v>900</v>
      </c>
      <c r="CC94" s="203">
        <v>111.0868770949909</v>
      </c>
      <c r="CD94" s="203" t="e">
        <v>#VALUE!</v>
      </c>
      <c r="CE94" s="203" t="s">
        <v>900</v>
      </c>
      <c r="CF94" s="203" t="e">
        <v>#VALUE!</v>
      </c>
      <c r="CH94" s="199"/>
      <c r="CJ94" s="464" t="s">
        <v>1448</v>
      </c>
      <c r="CK94" s="464" t="s">
        <v>1447</v>
      </c>
      <c r="CL94" s="464" t="s">
        <v>1448</v>
      </c>
      <c r="CN94" s="464" t="s">
        <v>1448</v>
      </c>
      <c r="CO94" s="464" t="s">
        <v>1448</v>
      </c>
      <c r="CP94" s="464" t="s">
        <v>1448</v>
      </c>
      <c r="CQ94" s="464" t="s">
        <v>1448</v>
      </c>
      <c r="CS94" s="465">
        <v>0</v>
      </c>
      <c r="CT94" s="466">
        <v>0.9</v>
      </c>
      <c r="CU94" s="466">
        <v>0</v>
      </c>
      <c r="CV94" s="467">
        <v>0.9</v>
      </c>
    </row>
    <row r="95" spans="1:100" s="469" customFormat="1" outlineLevel="1" x14ac:dyDescent="0.3">
      <c r="A95" s="468"/>
      <c r="D95" s="469" t="s">
        <v>878</v>
      </c>
      <c r="E95" s="469" t="s">
        <v>900</v>
      </c>
      <c r="F95" s="469" t="s">
        <v>900</v>
      </c>
      <c r="G95" s="469" t="s">
        <v>900</v>
      </c>
      <c r="H95" s="469" t="s">
        <v>900</v>
      </c>
      <c r="I95" s="469">
        <v>0</v>
      </c>
      <c r="J95" s="469">
        <v>0</v>
      </c>
      <c r="K95" s="469">
        <v>0</v>
      </c>
      <c r="L95" s="469">
        <v>0</v>
      </c>
      <c r="M95" s="469">
        <v>0</v>
      </c>
      <c r="N95" s="469">
        <v>0</v>
      </c>
      <c r="O95" s="470">
        <v>0</v>
      </c>
      <c r="P95" s="471">
        <v>0</v>
      </c>
      <c r="Q95" s="846"/>
      <c r="R95" s="471">
        <v>177.6122361051271</v>
      </c>
      <c r="S95" s="472">
        <v>101.4510986643688</v>
      </c>
      <c r="T95" s="471"/>
      <c r="U95" s="470">
        <v>177.6122361051271</v>
      </c>
      <c r="V95" s="471">
        <v>58.906972588542224</v>
      </c>
      <c r="W95" s="473"/>
      <c r="X95" s="474"/>
      <c r="Y95" s="475"/>
      <c r="Z95" s="475"/>
      <c r="AA95" s="475"/>
      <c r="AB95" s="476"/>
      <c r="AC95" s="475">
        <v>29148.207588419486</v>
      </c>
      <c r="AD95" s="475">
        <v>6977.3275579631363</v>
      </c>
      <c r="AE95" s="475">
        <v>12538.197184197856</v>
      </c>
      <c r="AF95" s="476">
        <v>11442.610621223581</v>
      </c>
      <c r="AG95" s="475"/>
      <c r="AH95" s="475"/>
      <c r="AI95" s="475"/>
      <c r="AJ95" s="476"/>
      <c r="AK95" s="475"/>
      <c r="AL95" s="475"/>
      <c r="AM95" s="475"/>
      <c r="AN95" s="475"/>
      <c r="AO95" s="476"/>
      <c r="AQ95" s="474"/>
      <c r="AR95" s="475"/>
      <c r="AS95" s="475"/>
      <c r="AT95" s="475"/>
      <c r="AU95" s="476"/>
      <c r="AW95" s="477"/>
      <c r="AY95" s="847"/>
      <c r="AZ95" s="475"/>
      <c r="BA95" s="475"/>
      <c r="BB95" s="475"/>
      <c r="BC95" s="476"/>
      <c r="BD95" s="474"/>
      <c r="BE95" s="475"/>
      <c r="BF95" s="478" t="s">
        <v>1450</v>
      </c>
      <c r="BJ95" s="479"/>
      <c r="BK95" s="480"/>
      <c r="BL95" s="479"/>
      <c r="BM95" s="479"/>
      <c r="BN95" s="479"/>
      <c r="BQ95" s="481"/>
      <c r="BR95" s="479"/>
      <c r="BT95" s="482">
        <v>0</v>
      </c>
      <c r="BU95" s="483"/>
      <c r="BV95" s="484"/>
      <c r="BX95" s="485"/>
      <c r="BY95" s="486" t="s">
        <v>900</v>
      </c>
      <c r="BZ95" s="484">
        <v>0</v>
      </c>
      <c r="CB95" s="481"/>
      <c r="CE95" s="481"/>
      <c r="CH95" s="199"/>
      <c r="CJ95" s="487" t="s">
        <v>1450</v>
      </c>
      <c r="CK95" s="487" t="s">
        <v>1448</v>
      </c>
      <c r="CL95" s="487" t="s">
        <v>1448</v>
      </c>
      <c r="CN95" s="487" t="s">
        <v>1448</v>
      </c>
      <c r="CO95" s="487" t="s">
        <v>1450</v>
      </c>
      <c r="CP95" s="487" t="s">
        <v>1450</v>
      </c>
      <c r="CQ95" s="487" t="s">
        <v>1450</v>
      </c>
      <c r="CS95" s="488">
        <v>0.85</v>
      </c>
      <c r="CT95" s="489">
        <v>0</v>
      </c>
      <c r="CU95" s="489">
        <v>0</v>
      </c>
      <c r="CV95" s="490">
        <v>0.85</v>
      </c>
    </row>
    <row r="96" spans="1:100" s="492" customFormat="1" outlineLevel="1" x14ac:dyDescent="0.3">
      <c r="A96" s="491" t="s">
        <v>880</v>
      </c>
      <c r="B96" s="492">
        <v>0.58064400843429476</v>
      </c>
      <c r="D96" s="492" t="s">
        <v>879</v>
      </c>
      <c r="E96" s="492" t="s">
        <v>900</v>
      </c>
      <c r="F96" s="492" t="s">
        <v>900</v>
      </c>
      <c r="G96" s="492" t="s">
        <v>900</v>
      </c>
      <c r="H96" s="492" t="s">
        <v>900</v>
      </c>
      <c r="I96" s="492">
        <v>1905</v>
      </c>
      <c r="J96" s="492">
        <v>0</v>
      </c>
      <c r="K96" s="492">
        <v>0</v>
      </c>
      <c r="L96" s="492">
        <v>41</v>
      </c>
      <c r="M96" s="492">
        <v>0</v>
      </c>
      <c r="N96" s="492">
        <v>1905</v>
      </c>
      <c r="O96" s="493">
        <v>7603</v>
      </c>
      <c r="P96" s="494">
        <v>1946</v>
      </c>
      <c r="Q96" s="848"/>
      <c r="R96" s="494">
        <v>6522.6122361051275</v>
      </c>
      <c r="S96" s="495">
        <v>3351.4510986643686</v>
      </c>
      <c r="T96" s="494"/>
      <c r="U96" s="493">
        <v>7603.0000000000009</v>
      </c>
      <c r="V96" s="494">
        <v>1946</v>
      </c>
      <c r="W96" s="496"/>
      <c r="X96" s="497">
        <v>962915.07566113106</v>
      </c>
      <c r="Y96" s="498">
        <v>230496.98246481005</v>
      </c>
      <c r="Z96" s="498">
        <v>414201.08092933713</v>
      </c>
      <c r="AA96" s="498">
        <v>378008.2270470002</v>
      </c>
      <c r="AB96" s="499">
        <v>1985621.3661022787</v>
      </c>
      <c r="AC96" s="498">
        <v>962915.07566113118</v>
      </c>
      <c r="AD96" s="498">
        <v>230496.98246481002</v>
      </c>
      <c r="AE96" s="498">
        <v>414201.08092933719</v>
      </c>
      <c r="AF96" s="499">
        <v>378008.2270470002</v>
      </c>
      <c r="AG96" s="498">
        <v>960199.65326123149</v>
      </c>
      <c r="AH96" s="498">
        <v>229846.98052267148</v>
      </c>
      <c r="AI96" s="498">
        <v>413033.03306961711</v>
      </c>
      <c r="AJ96" s="499">
        <v>376942.24310613709</v>
      </c>
      <c r="AK96" s="498">
        <v>962915.07566113106</v>
      </c>
      <c r="AL96" s="498">
        <v>230496.98246480999</v>
      </c>
      <c r="AM96" s="498">
        <v>414201.08092933719</v>
      </c>
      <c r="AN96" s="498">
        <v>378008.22704700014</v>
      </c>
      <c r="AO96" s="499">
        <v>1985621.3661022785</v>
      </c>
      <c r="AP96" s="500"/>
      <c r="AQ96" s="497">
        <v>957520.27435932111</v>
      </c>
      <c r="AR96" s="498">
        <v>226246.4545715462</v>
      </c>
      <c r="AS96" s="498">
        <v>412768.30504261306</v>
      </c>
      <c r="AT96" s="498">
        <v>377103.0237424497</v>
      </c>
      <c r="AU96" s="499">
        <v>1973638.05771593</v>
      </c>
      <c r="AV96" s="500"/>
      <c r="AW96" s="501">
        <v>1982188.4298082159</v>
      </c>
      <c r="AX96" s="500"/>
      <c r="AY96" s="849">
        <v>0</v>
      </c>
      <c r="AZ96" s="498">
        <v>26933.063042098631</v>
      </c>
      <c r="BA96" s="498">
        <v>1946704.9946738314</v>
      </c>
      <c r="BB96" s="498">
        <v>19054.112197977789</v>
      </c>
      <c r="BC96" s="499">
        <v>1927650.8824758537</v>
      </c>
      <c r="BD96" s="497">
        <v>19276.508824758537</v>
      </c>
      <c r="BE96" s="498">
        <v>1908374.3736510952</v>
      </c>
      <c r="BF96" s="502">
        <v>0.9627613323500922</v>
      </c>
      <c r="BG96" s="500"/>
      <c r="BJ96" s="503"/>
      <c r="BK96" s="504"/>
      <c r="BL96" s="503"/>
      <c r="BM96" s="503"/>
      <c r="BN96" s="503"/>
      <c r="BO96" s="500">
        <v>6725.6105947378674</v>
      </c>
      <c r="BP96" s="500">
        <v>897943.01884437504</v>
      </c>
      <c r="BQ96" s="500">
        <v>1908374.373651095</v>
      </c>
      <c r="BR96" s="503"/>
      <c r="BT96" s="497">
        <v>0</v>
      </c>
      <c r="BU96" s="498">
        <v>0</v>
      </c>
      <c r="BV96" s="499">
        <v>1908374.3736510952</v>
      </c>
      <c r="BX96" s="506"/>
      <c r="BY96" s="507" t="s">
        <v>900</v>
      </c>
      <c r="BZ96" s="505">
        <v>0</v>
      </c>
      <c r="CB96" s="500"/>
      <c r="CE96" s="500"/>
      <c r="CH96" s="395"/>
      <c r="CJ96" s="487" t="s">
        <v>1450</v>
      </c>
      <c r="CK96" s="487" t="s">
        <v>1448</v>
      </c>
      <c r="CL96" s="508" t="s">
        <v>1448</v>
      </c>
      <c r="CN96" s="487" t="s">
        <v>1448</v>
      </c>
      <c r="CO96" s="487" t="s">
        <v>1450</v>
      </c>
      <c r="CP96" s="487" t="s">
        <v>1450</v>
      </c>
      <c r="CQ96" s="487" t="s">
        <v>1450</v>
      </c>
      <c r="CS96" s="488">
        <v>0.85</v>
      </c>
      <c r="CT96" s="489">
        <v>0</v>
      </c>
      <c r="CU96" s="489">
        <v>0</v>
      </c>
      <c r="CV96" s="490">
        <v>0.85</v>
      </c>
    </row>
    <row r="97" spans="1:100" s="469" customFormat="1" outlineLevel="1" x14ac:dyDescent="0.3">
      <c r="A97" s="468"/>
      <c r="E97" s="469" t="s">
        <v>900</v>
      </c>
      <c r="F97" s="469" t="s">
        <v>900</v>
      </c>
      <c r="G97" s="469" t="s">
        <v>900</v>
      </c>
      <c r="H97" s="469" t="s">
        <v>900</v>
      </c>
      <c r="O97" s="470"/>
      <c r="P97" s="471"/>
      <c r="Q97" s="846"/>
      <c r="R97" s="471"/>
      <c r="S97" s="472"/>
      <c r="T97" s="471"/>
      <c r="U97" s="470"/>
      <c r="V97" s="471"/>
      <c r="W97" s="473"/>
      <c r="X97" s="474">
        <v>494.8176133921537</v>
      </c>
      <c r="Y97" s="475">
        <v>118.44654802919324</v>
      </c>
      <c r="Z97" s="475">
        <v>212.84742082699751</v>
      </c>
      <c r="AA97" s="475">
        <v>194.24883198715324</v>
      </c>
      <c r="AB97" s="476" t="s">
        <v>900</v>
      </c>
      <c r="AC97" s="475"/>
      <c r="AD97" s="475"/>
      <c r="AE97" s="475"/>
      <c r="AF97" s="476"/>
      <c r="AG97" s="475">
        <v>339.42779998746119</v>
      </c>
      <c r="AH97" s="475">
        <v>81.250242767317104</v>
      </c>
      <c r="AI97" s="475">
        <v>146.00598246500886</v>
      </c>
      <c r="AJ97" s="476">
        <v>133.24799260788859</v>
      </c>
      <c r="AK97" s="475"/>
      <c r="AL97" s="475"/>
      <c r="AM97" s="475"/>
      <c r="AN97" s="475"/>
      <c r="AO97" s="476"/>
      <c r="AQ97" s="474"/>
      <c r="AR97" s="475"/>
      <c r="AS97" s="475"/>
      <c r="AT97" s="475"/>
      <c r="AU97" s="476"/>
      <c r="AW97" s="477"/>
      <c r="AY97" s="847"/>
      <c r="AZ97" s="475"/>
      <c r="BA97" s="475"/>
      <c r="BB97" s="475"/>
      <c r="BC97" s="476"/>
      <c r="BD97" s="474"/>
      <c r="BE97" s="475"/>
      <c r="BF97" s="478" t="s">
        <v>1450</v>
      </c>
      <c r="BJ97" s="479"/>
      <c r="BK97" s="480"/>
      <c r="BL97" s="479"/>
      <c r="BM97" s="479"/>
      <c r="BN97" s="479"/>
      <c r="BQ97" s="481"/>
      <c r="BR97" s="479"/>
      <c r="BT97" s="482">
        <v>0</v>
      </c>
      <c r="BU97" s="483"/>
      <c r="BV97" s="484"/>
      <c r="BX97" s="485"/>
      <c r="BY97" s="486" t="s">
        <v>900</v>
      </c>
      <c r="BZ97" s="484" t="s">
        <v>900</v>
      </c>
      <c r="CB97" s="481"/>
      <c r="CE97" s="481"/>
      <c r="CH97" s="199"/>
      <c r="CJ97" s="487" t="s">
        <v>1450</v>
      </c>
      <c r="CK97" s="487" t="s">
        <v>1448</v>
      </c>
      <c r="CL97" s="487" t="s">
        <v>1448</v>
      </c>
      <c r="CN97" s="487" t="s">
        <v>1448</v>
      </c>
      <c r="CO97" s="487" t="s">
        <v>1450</v>
      </c>
      <c r="CP97" s="487" t="s">
        <v>1450</v>
      </c>
      <c r="CQ97" s="487" t="s">
        <v>1450</v>
      </c>
      <c r="CS97" s="488">
        <v>0.85</v>
      </c>
      <c r="CT97" s="489">
        <v>0</v>
      </c>
      <c r="CU97" s="489">
        <v>0</v>
      </c>
      <c r="CV97" s="490">
        <v>0.85</v>
      </c>
    </row>
    <row r="98" spans="1:100" s="199" customFormat="1" outlineLevel="1" x14ac:dyDescent="0.3">
      <c r="A98" s="201"/>
      <c r="E98" s="199" t="s">
        <v>900</v>
      </c>
      <c r="F98" s="199" t="s">
        <v>900</v>
      </c>
      <c r="G98" s="199" t="s">
        <v>900</v>
      </c>
      <c r="H98" s="199" t="s">
        <v>900</v>
      </c>
      <c r="O98" s="509" t="s">
        <v>900</v>
      </c>
      <c r="P98" s="510" t="s">
        <v>900</v>
      </c>
      <c r="Q98" s="349" t="s">
        <v>900</v>
      </c>
      <c r="R98" s="510" t="s">
        <v>900</v>
      </c>
      <c r="S98" s="512" t="s">
        <v>900</v>
      </c>
      <c r="T98" s="510"/>
      <c r="U98" s="509"/>
      <c r="V98" s="510"/>
      <c r="W98" s="232"/>
      <c r="X98" s="270" t="s">
        <v>900</v>
      </c>
      <c r="Y98" s="271" t="s">
        <v>900</v>
      </c>
      <c r="Z98" s="271" t="s">
        <v>900</v>
      </c>
      <c r="AA98" s="271" t="s">
        <v>900</v>
      </c>
      <c r="AB98" s="272" t="s">
        <v>900</v>
      </c>
      <c r="AC98" s="271"/>
      <c r="AD98" s="271"/>
      <c r="AE98" s="271"/>
      <c r="AF98" s="272"/>
      <c r="AG98" s="271"/>
      <c r="AH98" s="271"/>
      <c r="AI98" s="271"/>
      <c r="AJ98" s="272"/>
      <c r="AK98" s="271"/>
      <c r="AL98" s="271"/>
      <c r="AM98" s="271"/>
      <c r="AN98" s="271"/>
      <c r="AO98" s="272"/>
      <c r="AQ98" s="270"/>
      <c r="AR98" s="271"/>
      <c r="AS98" s="271"/>
      <c r="AT98" s="271"/>
      <c r="AU98" s="272"/>
      <c r="AW98" s="326"/>
      <c r="AY98" s="378"/>
      <c r="AZ98" s="271"/>
      <c r="BA98" s="271"/>
      <c r="BB98" s="271"/>
      <c r="BC98" s="272"/>
      <c r="BD98" s="270"/>
      <c r="BE98" s="271"/>
      <c r="BF98" s="363" t="s">
        <v>1450</v>
      </c>
      <c r="BJ98" s="513"/>
      <c r="BK98" s="221"/>
      <c r="BL98" s="513"/>
      <c r="BM98" s="513"/>
      <c r="BN98" s="513"/>
      <c r="BQ98" s="200"/>
      <c r="BR98" s="513"/>
      <c r="BT98" s="514">
        <v>0</v>
      </c>
      <c r="BU98" s="515"/>
      <c r="BV98" s="516"/>
      <c r="BX98" s="517"/>
      <c r="BY98" s="518" t="s">
        <v>900</v>
      </c>
      <c r="BZ98" s="516" t="s">
        <v>900</v>
      </c>
      <c r="CB98" s="200"/>
      <c r="CE98" s="200"/>
      <c r="CJ98" s="519" t="s">
        <v>1450</v>
      </c>
      <c r="CK98" s="519" t="s">
        <v>1448</v>
      </c>
      <c r="CL98" s="519" t="s">
        <v>1448</v>
      </c>
      <c r="CN98" s="519" t="s">
        <v>1448</v>
      </c>
      <c r="CO98" s="519" t="s">
        <v>1450</v>
      </c>
      <c r="CP98" s="519" t="s">
        <v>1450</v>
      </c>
      <c r="CQ98" s="519" t="s">
        <v>1450</v>
      </c>
      <c r="CS98" s="520">
        <v>0.85</v>
      </c>
      <c r="CT98" s="521">
        <v>0</v>
      </c>
      <c r="CU98" s="521">
        <v>0</v>
      </c>
      <c r="CV98" s="522">
        <v>0.85</v>
      </c>
    </row>
    <row r="99" spans="1:100" outlineLevel="1" x14ac:dyDescent="0.3">
      <c r="A99" s="1">
        <v>60202000</v>
      </c>
      <c r="B99" s="47">
        <v>402600</v>
      </c>
      <c r="C99" s="47">
        <v>4228</v>
      </c>
      <c r="D99" s="47" t="s">
        <v>136</v>
      </c>
      <c r="E99" s="47" t="s">
        <v>107</v>
      </c>
      <c r="F99" s="47" t="s">
        <v>1503</v>
      </c>
      <c r="G99" s="47" t="s">
        <v>1502</v>
      </c>
      <c r="H99" s="47" t="s">
        <v>1506</v>
      </c>
      <c r="I99" s="382">
        <v>104</v>
      </c>
      <c r="J99" s="382">
        <v>0</v>
      </c>
      <c r="K99" s="382">
        <v>0</v>
      </c>
      <c r="L99" s="382">
        <v>2</v>
      </c>
      <c r="M99" s="382">
        <v>0</v>
      </c>
      <c r="N99" s="382">
        <v>104</v>
      </c>
      <c r="O99" s="444">
        <v>564</v>
      </c>
      <c r="P99" s="445">
        <v>106</v>
      </c>
      <c r="Q99" s="346">
        <v>0.18794326241134751</v>
      </c>
      <c r="R99" s="445">
        <v>309</v>
      </c>
      <c r="S99" s="447">
        <v>197</v>
      </c>
      <c r="T99" s="445">
        <v>-1.5579427414894436</v>
      </c>
      <c r="U99" s="444">
        <v>555.89099616013903</v>
      </c>
      <c r="V99" s="445">
        <v>104.44205725851056</v>
      </c>
      <c r="W99" s="229">
        <v>0.18788226105468936</v>
      </c>
      <c r="X99" s="261">
        <v>48888.39588483439</v>
      </c>
      <c r="Y99" s="262">
        <v>11584.559543410705</v>
      </c>
      <c r="Z99" s="262">
        <v>15900.217315828508</v>
      </c>
      <c r="AA99" s="262">
        <v>13651.442220182109</v>
      </c>
      <c r="AB99" s="263">
        <v>90024.614964255728</v>
      </c>
      <c r="AC99" s="262">
        <v>48168.718562856877</v>
      </c>
      <c r="AD99" s="262">
        <v>11414.025316676605</v>
      </c>
      <c r="AE99" s="262">
        <v>15666.153063778347</v>
      </c>
      <c r="AF99" s="263">
        <v>13450.48178365449</v>
      </c>
      <c r="AG99" s="262">
        <v>48168.718562856877</v>
      </c>
      <c r="AH99" s="262">
        <v>11414.025316676605</v>
      </c>
      <c r="AI99" s="262">
        <v>15666.153063778347</v>
      </c>
      <c r="AJ99" s="263">
        <v>13450.48178365449</v>
      </c>
      <c r="AK99" s="262">
        <v>48718.83092252339</v>
      </c>
      <c r="AL99" s="262">
        <v>26099.766034159311</v>
      </c>
      <c r="AM99" s="262">
        <v>15832.508471414711</v>
      </c>
      <c r="AN99" s="262">
        <v>13579.102935550141</v>
      </c>
      <c r="AO99" s="263">
        <v>104230.20836364754</v>
      </c>
      <c r="AP99" s="31"/>
      <c r="AQ99" s="261">
        <v>47978.838950108606</v>
      </c>
      <c r="AR99" s="262">
        <v>26264.112710937472</v>
      </c>
      <c r="AS99" s="262">
        <v>15695.258952956774</v>
      </c>
      <c r="AT99" s="262">
        <v>13651.442220182109</v>
      </c>
      <c r="AU99" s="263">
        <v>103589.65283418496</v>
      </c>
      <c r="AV99" s="31"/>
      <c r="AW99" s="323">
        <v>107137.39731632342</v>
      </c>
      <c r="AX99" s="31"/>
      <c r="AY99" s="747">
        <v>0</v>
      </c>
      <c r="AZ99" s="262">
        <v>0</v>
      </c>
      <c r="BA99" s="262">
        <v>103589.65283418496</v>
      </c>
      <c r="BB99" s="262">
        <v>1013.9229482908057</v>
      </c>
      <c r="BC99" s="263">
        <v>102575.72988589415</v>
      </c>
      <c r="BD99" s="261">
        <v>1025.7572988589416</v>
      </c>
      <c r="BE99" s="262">
        <v>101549.97258703521</v>
      </c>
      <c r="BF99" s="354">
        <v>0.9478480449474489</v>
      </c>
      <c r="BG99" s="31"/>
      <c r="BJ99" s="4">
        <v>0.9478480449474489</v>
      </c>
      <c r="BL99" s="4">
        <v>0.90869717829714003</v>
      </c>
      <c r="BM99" s="4">
        <v>0.9</v>
      </c>
      <c r="BN99" s="4" t="s">
        <v>900</v>
      </c>
      <c r="BO99" s="31" t="s">
        <v>900</v>
      </c>
      <c r="BP99" s="31" t="s">
        <v>900</v>
      </c>
      <c r="BQ99" s="31">
        <v>101121.62548641274</v>
      </c>
      <c r="BR99" s="4">
        <v>0.94384993493775948</v>
      </c>
      <c r="BS99" s="4" t="s">
        <v>900</v>
      </c>
      <c r="BT99" s="448" t="s">
        <v>900</v>
      </c>
      <c r="BU99" s="367" t="s">
        <v>900</v>
      </c>
      <c r="BV99" s="368">
        <v>101549.97258703521</v>
      </c>
      <c r="BX99" s="449">
        <v>3453.5896421321377</v>
      </c>
      <c r="BY99" s="450">
        <v>3.5206826660269142E-2</v>
      </c>
      <c r="BZ99" s="368">
        <v>33.067039589080082</v>
      </c>
      <c r="CB99" s="31">
        <v>13276</v>
      </c>
      <c r="CC99" s="31">
        <v>15498.536811138467</v>
      </c>
      <c r="CD99" s="31" t="e">
        <v>#VALUE!</v>
      </c>
      <c r="CE99" s="31" t="s">
        <v>900</v>
      </c>
      <c r="CF99" s="31" t="e">
        <v>#VALUE!</v>
      </c>
      <c r="CJ99" s="702" t="s">
        <v>1447</v>
      </c>
      <c r="CK99" s="702" t="s">
        <v>1447</v>
      </c>
      <c r="CL99" s="702" t="s">
        <v>1448</v>
      </c>
      <c r="CN99" s="702" t="s">
        <v>1447</v>
      </c>
      <c r="CO99" s="702" t="s">
        <v>1447</v>
      </c>
      <c r="CP99" s="702" t="s">
        <v>1447</v>
      </c>
      <c r="CQ99" s="702" t="s">
        <v>1447</v>
      </c>
      <c r="CS99" s="451">
        <v>0</v>
      </c>
      <c r="CT99" s="452">
        <v>0.9</v>
      </c>
      <c r="CU99" s="452">
        <v>0</v>
      </c>
      <c r="CV99" s="453">
        <v>0.9</v>
      </c>
    </row>
    <row r="100" spans="1:100" outlineLevel="1" x14ac:dyDescent="0.3">
      <c r="A100" s="1">
        <v>60218000</v>
      </c>
      <c r="B100" s="47">
        <v>405320</v>
      </c>
      <c r="C100" s="47">
        <v>4230</v>
      </c>
      <c r="D100" s="47" t="s">
        <v>295</v>
      </c>
      <c r="E100" s="47" t="s">
        <v>107</v>
      </c>
      <c r="F100" s="47" t="s">
        <v>1498</v>
      </c>
      <c r="G100" s="47" t="s">
        <v>1499</v>
      </c>
      <c r="H100" s="47" t="s">
        <v>1506</v>
      </c>
      <c r="I100" s="382">
        <v>76</v>
      </c>
      <c r="J100" s="382">
        <v>0</v>
      </c>
      <c r="K100" s="382">
        <v>0</v>
      </c>
      <c r="L100" s="382">
        <v>1</v>
      </c>
      <c r="M100" s="382">
        <v>0</v>
      </c>
      <c r="N100" s="382">
        <v>76</v>
      </c>
      <c r="O100" s="444">
        <v>759</v>
      </c>
      <c r="P100" s="445">
        <v>77</v>
      </c>
      <c r="Q100" s="346">
        <v>0.10144927536231885</v>
      </c>
      <c r="R100" s="445">
        <v>1439</v>
      </c>
      <c r="S100" s="447">
        <v>541</v>
      </c>
      <c r="T100" s="445">
        <v>-1.1384966187807473</v>
      </c>
      <c r="U100" s="444">
        <v>748.08735121550626</v>
      </c>
      <c r="V100" s="445">
        <v>75.861503381219251</v>
      </c>
      <c r="W100" s="229">
        <v>0.10140727985569876</v>
      </c>
      <c r="X100" s="261">
        <v>35513.2687087948</v>
      </c>
      <c r="Y100" s="262">
        <v>8116.2823975822839</v>
      </c>
      <c r="Z100" s="262">
        <v>9871.0888754633761</v>
      </c>
      <c r="AA100" s="262">
        <v>7493.5822288063309</v>
      </c>
      <c r="AB100" s="263">
        <v>60994.222210646789</v>
      </c>
      <c r="AC100" s="262">
        <v>34990.484239056423</v>
      </c>
      <c r="AD100" s="262">
        <v>7996.8040576902367</v>
      </c>
      <c r="AE100" s="262">
        <v>9725.7783436220325</v>
      </c>
      <c r="AF100" s="263">
        <v>7383.2705465995814</v>
      </c>
      <c r="AG100" s="262">
        <v>34990.484239056423</v>
      </c>
      <c r="AH100" s="262" t="s">
        <v>900</v>
      </c>
      <c r="AI100" s="262">
        <v>9725.7783436220325</v>
      </c>
      <c r="AJ100" s="263">
        <v>7383.2705465995814</v>
      </c>
      <c r="AK100" s="262">
        <v>35540.596598722936</v>
      </c>
      <c r="AL100" s="262" t="s">
        <v>900</v>
      </c>
      <c r="AM100" s="262">
        <v>9892.1337512583959</v>
      </c>
      <c r="AN100" s="262">
        <v>7511.891698495233</v>
      </c>
      <c r="AO100" s="263">
        <v>52944.622048476558</v>
      </c>
      <c r="AP100" s="31"/>
      <c r="AQ100" s="261">
        <v>35116.813552149171</v>
      </c>
      <c r="AR100" s="262">
        <v>10986.932569304836</v>
      </c>
      <c r="AS100" s="262">
        <v>9868.3315686222413</v>
      </c>
      <c r="AT100" s="262">
        <v>7437.4943602123549</v>
      </c>
      <c r="AU100" s="263">
        <v>63409.572050288603</v>
      </c>
      <c r="AV100" s="31"/>
      <c r="AW100" s="323">
        <v>73864.487116166827</v>
      </c>
      <c r="AX100" s="31"/>
      <c r="AY100" s="747">
        <v>0</v>
      </c>
      <c r="AZ100" s="262">
        <v>0</v>
      </c>
      <c r="BA100" s="262">
        <v>63409.572050288603</v>
      </c>
      <c r="BB100" s="262">
        <v>620.64519461223779</v>
      </c>
      <c r="BC100" s="263">
        <v>62788.926855676364</v>
      </c>
      <c r="BD100" s="261">
        <v>627.88926855676368</v>
      </c>
      <c r="BE100" s="262">
        <v>62161.037587119601</v>
      </c>
      <c r="BF100" s="354">
        <v>0.84155512363280627</v>
      </c>
      <c r="BG100" s="31"/>
      <c r="BJ100" s="4">
        <v>0.84155512363280627</v>
      </c>
      <c r="BL100" s="4">
        <v>0.85502745232521338</v>
      </c>
      <c r="BM100" s="4">
        <v>0.85</v>
      </c>
      <c r="BN100" s="4" t="s">
        <v>1003</v>
      </c>
      <c r="BO100" s="31">
        <v>623.77646162220481</v>
      </c>
      <c r="BP100" s="31">
        <v>62784.814048741806</v>
      </c>
      <c r="BQ100" s="31">
        <v>62784.814048741806</v>
      </c>
      <c r="BR100" s="4">
        <v>0.85000000000000009</v>
      </c>
      <c r="BS100" s="4" t="s">
        <v>900</v>
      </c>
      <c r="BT100" s="448" t="s">
        <v>900</v>
      </c>
      <c r="BU100" s="367" t="s">
        <v>900</v>
      </c>
      <c r="BV100" s="368">
        <v>62161.037587119601</v>
      </c>
      <c r="BX100" s="449">
        <v>-9019.478551319582</v>
      </c>
      <c r="BY100" s="450">
        <v>-0.12671541212625526</v>
      </c>
      <c r="BZ100" s="368">
        <v>-118.89401276421975</v>
      </c>
      <c r="CB100" s="31">
        <v>13813</v>
      </c>
      <c r="CC100" s="31">
        <v>15777.582520371836</v>
      </c>
      <c r="CD100" s="31" t="e">
        <v>#VALUE!</v>
      </c>
      <c r="CE100" s="31" t="s">
        <v>900</v>
      </c>
      <c r="CF100" s="31" t="e">
        <v>#VALUE!</v>
      </c>
      <c r="CJ100" s="702" t="s">
        <v>1447</v>
      </c>
      <c r="CK100" s="702" t="s">
        <v>1447</v>
      </c>
      <c r="CL100" s="702" t="s">
        <v>1448</v>
      </c>
      <c r="CN100" s="702" t="s">
        <v>1447</v>
      </c>
      <c r="CO100" s="702" t="s">
        <v>1448</v>
      </c>
      <c r="CP100" s="702" t="s">
        <v>1447</v>
      </c>
      <c r="CQ100" s="702" t="s">
        <v>1447</v>
      </c>
      <c r="CS100" s="451">
        <v>0.85</v>
      </c>
      <c r="CT100" s="452">
        <v>0</v>
      </c>
      <c r="CU100" s="452">
        <v>0</v>
      </c>
      <c r="CV100" s="453">
        <v>0.85</v>
      </c>
    </row>
    <row r="101" spans="1:100" outlineLevel="1" x14ac:dyDescent="0.3">
      <c r="A101" s="1">
        <v>60203000</v>
      </c>
      <c r="B101" s="47">
        <v>402110</v>
      </c>
      <c r="C101" s="47">
        <v>4229</v>
      </c>
      <c r="D101" s="47" t="s">
        <v>532</v>
      </c>
      <c r="E101" s="47" t="s">
        <v>107</v>
      </c>
      <c r="F101" s="47" t="s">
        <v>900</v>
      </c>
      <c r="G101" s="47" t="s">
        <v>900</v>
      </c>
      <c r="H101" s="47" t="s">
        <v>900</v>
      </c>
      <c r="I101" s="382">
        <v>47</v>
      </c>
      <c r="J101" s="382">
        <v>0</v>
      </c>
      <c r="K101" s="382">
        <v>0</v>
      </c>
      <c r="L101" s="382">
        <v>1</v>
      </c>
      <c r="M101" s="382">
        <v>0</v>
      </c>
      <c r="N101" s="382">
        <v>47</v>
      </c>
      <c r="O101" s="444">
        <v>593</v>
      </c>
      <c r="P101" s="445">
        <v>48</v>
      </c>
      <c r="Q101" s="346">
        <v>8.0944350758853284E-2</v>
      </c>
      <c r="R101" s="445" t="s">
        <v>900</v>
      </c>
      <c r="S101" s="447" t="s">
        <v>900</v>
      </c>
      <c r="T101" s="445">
        <v>-0.70407027740388317</v>
      </c>
      <c r="U101" s="444">
        <v>584.47404383503977</v>
      </c>
      <c r="V101" s="445">
        <v>47.295929722596114</v>
      </c>
      <c r="W101" s="229">
        <v>8.0920496335924158E-2</v>
      </c>
      <c r="X101" s="261">
        <v>27707.373717949067</v>
      </c>
      <c r="Y101" s="262">
        <v>6398.9240931663226</v>
      </c>
      <c r="Z101" s="262">
        <v>8130.7584330132804</v>
      </c>
      <c r="AA101" s="262">
        <v>5067.0636675016249</v>
      </c>
      <c r="AB101" s="263">
        <v>47304.119911630303</v>
      </c>
      <c r="AC101" s="262">
        <v>27299.498430665419</v>
      </c>
      <c r="AD101" s="262">
        <v>6304.7266773673746</v>
      </c>
      <c r="AE101" s="262">
        <v>8011.0669939956988</v>
      </c>
      <c r="AF101" s="263">
        <v>4992.4723305490388</v>
      </c>
      <c r="AG101" s="262">
        <v>27299.498430665419</v>
      </c>
      <c r="AH101" s="262" t="s">
        <v>900</v>
      </c>
      <c r="AI101" s="262">
        <v>8011.0669939956988</v>
      </c>
      <c r="AJ101" s="263">
        <v>4992.4723305490388</v>
      </c>
      <c r="AK101" s="262">
        <v>27849.610790331932</v>
      </c>
      <c r="AL101" s="262" t="s">
        <v>900</v>
      </c>
      <c r="AM101" s="262">
        <v>8177.4224016320613</v>
      </c>
      <c r="AN101" s="262">
        <v>5121.0934824446904</v>
      </c>
      <c r="AO101" s="263">
        <v>41148.126674408682</v>
      </c>
      <c r="AP101" s="31"/>
      <c r="AQ101" s="261">
        <v>27678.189065036393</v>
      </c>
      <c r="AR101" s="262">
        <v>6397.1051464207603</v>
      </c>
      <c r="AS101" s="262">
        <v>8113.8966472452394</v>
      </c>
      <c r="AT101" s="262">
        <v>5072.6200188518796</v>
      </c>
      <c r="AU101" s="263">
        <v>47261.810877554271</v>
      </c>
      <c r="AV101" s="31"/>
      <c r="AW101" s="323">
        <v>55054.297131720392</v>
      </c>
      <c r="AX101" s="31"/>
      <c r="AY101" s="747">
        <v>0</v>
      </c>
      <c r="AZ101" s="262">
        <v>0</v>
      </c>
      <c r="BA101" s="262">
        <v>47261.810877554271</v>
      </c>
      <c r="BB101" s="262">
        <v>462.59286825912181</v>
      </c>
      <c r="BC101" s="263">
        <v>46799.218009295153</v>
      </c>
      <c r="BD101" s="261">
        <v>467.99218009295151</v>
      </c>
      <c r="BE101" s="262">
        <v>46331.225829202202</v>
      </c>
      <c r="BF101" s="354">
        <v>0.84155512363280616</v>
      </c>
      <c r="BG101" s="31"/>
      <c r="BJ101" s="4">
        <v>0.84155512363280616</v>
      </c>
      <c r="BL101" s="4">
        <v>0.85000000000000009</v>
      </c>
      <c r="BM101" s="4">
        <v>0</v>
      </c>
      <c r="BN101" s="4" t="s">
        <v>900</v>
      </c>
      <c r="BO101" s="31" t="s">
        <v>900</v>
      </c>
      <c r="BP101" s="31" t="s">
        <v>900</v>
      </c>
      <c r="BQ101" s="31">
        <v>46135.796468202476</v>
      </c>
      <c r="BR101" s="4">
        <v>0.83800536691659289</v>
      </c>
      <c r="BS101" s="4" t="s">
        <v>900</v>
      </c>
      <c r="BT101" s="448" t="s">
        <v>900</v>
      </c>
      <c r="BU101" s="367" t="s">
        <v>900</v>
      </c>
      <c r="BV101" s="368">
        <v>46331.225829202202</v>
      </c>
      <c r="BX101" s="449">
        <v>46331.225829202202</v>
      </c>
      <c r="BY101" s="450" t="s">
        <v>900</v>
      </c>
      <c r="BZ101" s="368">
        <v>979.60281362366334</v>
      </c>
      <c r="CC101" s="31"/>
      <c r="CD101" s="31" t="e">
        <v>#VALUE!</v>
      </c>
      <c r="CE101" s="31" t="s">
        <v>900</v>
      </c>
      <c r="CF101" s="31" t="e">
        <v>#VALUE!</v>
      </c>
      <c r="CJ101" s="702" t="s">
        <v>1447</v>
      </c>
      <c r="CK101" s="702" t="s">
        <v>1447</v>
      </c>
      <c r="CL101" s="702" t="s">
        <v>1448</v>
      </c>
      <c r="CN101" s="702" t="s">
        <v>1447</v>
      </c>
      <c r="CO101" s="702" t="s">
        <v>1448</v>
      </c>
      <c r="CP101" s="702" t="s">
        <v>1447</v>
      </c>
      <c r="CQ101" s="702" t="s">
        <v>1447</v>
      </c>
      <c r="CS101" s="451">
        <v>0.85</v>
      </c>
      <c r="CT101" s="452">
        <v>0</v>
      </c>
      <c r="CU101" s="452">
        <v>0</v>
      </c>
      <c r="CV101" s="453">
        <v>0.85</v>
      </c>
    </row>
    <row r="102" spans="1:100" s="48" customFormat="1" outlineLevel="1" x14ac:dyDescent="0.3">
      <c r="A102" s="202">
        <v>108796000</v>
      </c>
      <c r="D102" s="48" t="s">
        <v>1521</v>
      </c>
      <c r="E102" s="48" t="s">
        <v>107</v>
      </c>
      <c r="F102" s="48" t="s">
        <v>900</v>
      </c>
      <c r="G102" s="48" t="s">
        <v>900</v>
      </c>
      <c r="H102" s="48" t="s">
        <v>900</v>
      </c>
      <c r="O102" s="454" t="s">
        <v>900</v>
      </c>
      <c r="P102" s="455" t="s">
        <v>900</v>
      </c>
      <c r="Q102" s="347" t="s">
        <v>900</v>
      </c>
      <c r="R102" s="455">
        <v>27.54760878931495</v>
      </c>
      <c r="S102" s="457">
        <v>11.02628177509694</v>
      </c>
      <c r="T102" s="455"/>
      <c r="U102" s="454">
        <v>27.54760878931495</v>
      </c>
      <c r="V102" s="455">
        <v>3.400509637674074</v>
      </c>
      <c r="W102" s="230">
        <v>0.12344119098253818</v>
      </c>
      <c r="X102" s="264"/>
      <c r="Y102" s="265"/>
      <c r="Z102" s="265"/>
      <c r="AA102" s="265"/>
      <c r="AB102" s="266"/>
      <c r="AC102" s="265">
        <v>1650.3370789995406</v>
      </c>
      <c r="AD102" s="265">
        <v>384.20998242509603</v>
      </c>
      <c r="AE102" s="265">
        <v>499.0662229090866</v>
      </c>
      <c r="AF102" s="266">
        <v>385.86345568695469</v>
      </c>
      <c r="AG102" s="265" t="s">
        <v>900</v>
      </c>
      <c r="AH102" s="265" t="s">
        <v>900</v>
      </c>
      <c r="AI102" s="265" t="s">
        <v>900</v>
      </c>
      <c r="AJ102" s="266" t="s">
        <v>900</v>
      </c>
      <c r="AK102" s="265" t="s">
        <v>900</v>
      </c>
      <c r="AL102" s="265" t="s">
        <v>900</v>
      </c>
      <c r="AM102" s="265" t="s">
        <v>900</v>
      </c>
      <c r="AN102" s="265" t="s">
        <v>900</v>
      </c>
      <c r="AO102" s="266">
        <v>0</v>
      </c>
      <c r="AP102" s="203"/>
      <c r="AQ102" s="264">
        <v>0</v>
      </c>
      <c r="AR102" s="265">
        <v>0</v>
      </c>
      <c r="AS102" s="265">
        <v>0</v>
      </c>
      <c r="AT102" s="265">
        <v>0</v>
      </c>
      <c r="AU102" s="266">
        <v>0</v>
      </c>
      <c r="AV102" s="203"/>
      <c r="AW102" s="324">
        <v>0</v>
      </c>
      <c r="AX102" s="203"/>
      <c r="AY102" s="377">
        <v>0</v>
      </c>
      <c r="AZ102" s="265">
        <v>0</v>
      </c>
      <c r="BA102" s="265">
        <v>0</v>
      </c>
      <c r="BB102" s="265">
        <v>0</v>
      </c>
      <c r="BC102" s="266">
        <v>0</v>
      </c>
      <c r="BD102" s="264">
        <v>0</v>
      </c>
      <c r="BE102" s="265">
        <v>0</v>
      </c>
      <c r="BF102" s="357" t="s">
        <v>1450</v>
      </c>
      <c r="BG102" s="203"/>
      <c r="BJ102" s="458"/>
      <c r="BK102" s="210"/>
      <c r="BL102" s="458"/>
      <c r="BM102" s="458"/>
      <c r="BN102" s="458"/>
      <c r="BQ102" s="203">
        <v>0</v>
      </c>
      <c r="BR102" s="458"/>
      <c r="BT102" s="459" t="s">
        <v>900</v>
      </c>
      <c r="BU102" s="460"/>
      <c r="BV102" s="461">
        <v>0</v>
      </c>
      <c r="BX102" s="462">
        <v>-18095.009750252375</v>
      </c>
      <c r="BY102" s="463">
        <v>-1.0000210529379518</v>
      </c>
      <c r="BZ102" s="461">
        <v>-5321.2640687086077</v>
      </c>
      <c r="CB102" s="203" t="s">
        <v>900</v>
      </c>
      <c r="CC102" s="203">
        <v>81.974258984384491</v>
      </c>
      <c r="CD102" s="203" t="e">
        <v>#VALUE!</v>
      </c>
      <c r="CE102" s="203" t="s">
        <v>900</v>
      </c>
      <c r="CF102" s="203" t="e">
        <v>#VALUE!</v>
      </c>
      <c r="CH102" s="199"/>
      <c r="CJ102" s="464" t="s">
        <v>1448</v>
      </c>
      <c r="CK102" s="464" t="s">
        <v>1447</v>
      </c>
      <c r="CL102" s="464" t="s">
        <v>1448</v>
      </c>
      <c r="CN102" s="464" t="s">
        <v>1448</v>
      </c>
      <c r="CO102" s="464" t="s">
        <v>1448</v>
      </c>
      <c r="CP102" s="464" t="s">
        <v>1448</v>
      </c>
      <c r="CQ102" s="464" t="s">
        <v>1448</v>
      </c>
      <c r="CS102" s="465">
        <v>0.85</v>
      </c>
      <c r="CT102" s="466">
        <v>0</v>
      </c>
      <c r="CU102" s="466">
        <v>0</v>
      </c>
      <c r="CV102" s="467">
        <v>0.85</v>
      </c>
    </row>
    <row r="103" spans="1:100" s="469" customFormat="1" outlineLevel="1" x14ac:dyDescent="0.3">
      <c r="A103" s="468"/>
      <c r="D103" s="469" t="s">
        <v>878</v>
      </c>
      <c r="E103" s="469" t="s">
        <v>900</v>
      </c>
      <c r="F103" s="469" t="s">
        <v>900</v>
      </c>
      <c r="G103" s="469" t="s">
        <v>900</v>
      </c>
      <c r="H103" s="469" t="s">
        <v>900</v>
      </c>
      <c r="I103" s="469">
        <v>0</v>
      </c>
      <c r="J103" s="469">
        <v>0</v>
      </c>
      <c r="K103" s="469">
        <v>0</v>
      </c>
      <c r="L103" s="469">
        <v>0</v>
      </c>
      <c r="M103" s="469">
        <v>0</v>
      </c>
      <c r="N103" s="469">
        <v>0</v>
      </c>
      <c r="O103" s="470">
        <v>0</v>
      </c>
      <c r="P103" s="471">
        <v>0</v>
      </c>
      <c r="Q103" s="846"/>
      <c r="R103" s="471">
        <v>27.54760878931495</v>
      </c>
      <c r="S103" s="472">
        <v>11.02628177509694</v>
      </c>
      <c r="T103" s="471"/>
      <c r="U103" s="470">
        <v>27.54760878931495</v>
      </c>
      <c r="V103" s="471">
        <v>3.400509637674074</v>
      </c>
      <c r="W103" s="473"/>
      <c r="X103" s="474"/>
      <c r="Y103" s="475"/>
      <c r="Z103" s="475"/>
      <c r="AA103" s="475"/>
      <c r="AB103" s="476"/>
      <c r="AC103" s="475">
        <v>1650.3370789995406</v>
      </c>
      <c r="AD103" s="475">
        <v>384.20998242509603</v>
      </c>
      <c r="AE103" s="475">
        <v>499.0662229090866</v>
      </c>
      <c r="AF103" s="476">
        <v>385.86345568695469</v>
      </c>
      <c r="AG103" s="475"/>
      <c r="AH103" s="475"/>
      <c r="AI103" s="475"/>
      <c r="AJ103" s="476"/>
      <c r="AK103" s="475"/>
      <c r="AL103" s="475"/>
      <c r="AM103" s="475"/>
      <c r="AN103" s="475"/>
      <c r="AO103" s="476"/>
      <c r="AQ103" s="474"/>
      <c r="AR103" s="475"/>
      <c r="AS103" s="475"/>
      <c r="AT103" s="475"/>
      <c r="AU103" s="476"/>
      <c r="AW103" s="477"/>
      <c r="AY103" s="847"/>
      <c r="AZ103" s="475"/>
      <c r="BA103" s="475"/>
      <c r="BB103" s="475"/>
      <c r="BC103" s="476"/>
      <c r="BD103" s="474"/>
      <c r="BE103" s="475"/>
      <c r="BF103" s="478" t="s">
        <v>1450</v>
      </c>
      <c r="BJ103" s="479"/>
      <c r="BK103" s="480"/>
      <c r="BL103" s="479"/>
      <c r="BM103" s="479"/>
      <c r="BN103" s="479"/>
      <c r="BQ103" s="481"/>
      <c r="BR103" s="479"/>
      <c r="BT103" s="482">
        <v>0</v>
      </c>
      <c r="BU103" s="483"/>
      <c r="BV103" s="484"/>
      <c r="BX103" s="485"/>
      <c r="BY103" s="486" t="s">
        <v>900</v>
      </c>
      <c r="BZ103" s="484">
        <v>0</v>
      </c>
      <c r="CB103" s="481"/>
      <c r="CC103" s="481"/>
      <c r="CE103" s="481"/>
      <c r="CH103" s="199"/>
      <c r="CJ103" s="487" t="s">
        <v>1450</v>
      </c>
      <c r="CK103" s="487" t="s">
        <v>1448</v>
      </c>
      <c r="CL103" s="487" t="s">
        <v>1448</v>
      </c>
      <c r="CN103" s="487" t="s">
        <v>1448</v>
      </c>
      <c r="CO103" s="487" t="s">
        <v>1450</v>
      </c>
      <c r="CP103" s="487" t="s">
        <v>1450</v>
      </c>
      <c r="CQ103" s="487" t="s">
        <v>1450</v>
      </c>
      <c r="CS103" s="488">
        <v>0.85</v>
      </c>
      <c r="CT103" s="489">
        <v>0</v>
      </c>
      <c r="CU103" s="489">
        <v>0</v>
      </c>
      <c r="CV103" s="490">
        <v>0.85</v>
      </c>
    </row>
    <row r="104" spans="1:100" s="492" customFormat="1" outlineLevel="1" x14ac:dyDescent="0.3">
      <c r="A104" s="491" t="s">
        <v>880</v>
      </c>
      <c r="B104" s="492">
        <v>0.30840039344488612</v>
      </c>
      <c r="D104" s="492" t="s">
        <v>879</v>
      </c>
      <c r="E104" s="492" t="s">
        <v>900</v>
      </c>
      <c r="F104" s="492" t="s">
        <v>900</v>
      </c>
      <c r="G104" s="492" t="s">
        <v>900</v>
      </c>
      <c r="H104" s="492" t="s">
        <v>900</v>
      </c>
      <c r="I104" s="492">
        <v>227</v>
      </c>
      <c r="J104" s="492">
        <v>0</v>
      </c>
      <c r="K104" s="492">
        <v>0</v>
      </c>
      <c r="L104" s="492">
        <v>4</v>
      </c>
      <c r="M104" s="492">
        <v>0</v>
      </c>
      <c r="N104" s="492">
        <v>227</v>
      </c>
      <c r="O104" s="493">
        <v>1916</v>
      </c>
      <c r="P104" s="494">
        <v>231</v>
      </c>
      <c r="Q104" s="848"/>
      <c r="R104" s="494">
        <v>1775.5476087893148</v>
      </c>
      <c r="S104" s="495">
        <v>749.02628177509689</v>
      </c>
      <c r="T104" s="494"/>
      <c r="U104" s="493">
        <v>1916</v>
      </c>
      <c r="V104" s="494">
        <v>231</v>
      </c>
      <c r="W104" s="496"/>
      <c r="X104" s="497">
        <v>112109.03831157826</v>
      </c>
      <c r="Y104" s="498">
        <v>26099.766034159311</v>
      </c>
      <c r="Z104" s="498">
        <v>33902.064624305167</v>
      </c>
      <c r="AA104" s="498">
        <v>26212.088116490064</v>
      </c>
      <c r="AB104" s="499">
        <v>198322.95708653284</v>
      </c>
      <c r="AC104" s="498">
        <v>112109.03831157826</v>
      </c>
      <c r="AD104" s="498">
        <v>26099.766034159311</v>
      </c>
      <c r="AE104" s="498">
        <v>33902.064624305167</v>
      </c>
      <c r="AF104" s="499">
        <v>26212.088116490067</v>
      </c>
      <c r="AG104" s="498">
        <v>110458.70123257872</v>
      </c>
      <c r="AH104" s="498">
        <v>11414.025316676605</v>
      </c>
      <c r="AI104" s="498">
        <v>33402.998401396078</v>
      </c>
      <c r="AJ104" s="499">
        <v>25826.224660803113</v>
      </c>
      <c r="AK104" s="498">
        <v>112109.03831157826</v>
      </c>
      <c r="AL104" s="498">
        <v>26099.766034159311</v>
      </c>
      <c r="AM104" s="498">
        <v>33902.064624305167</v>
      </c>
      <c r="AN104" s="498">
        <v>26212.088116490064</v>
      </c>
      <c r="AO104" s="499">
        <v>198322.95708653278</v>
      </c>
      <c r="AP104" s="500"/>
      <c r="AQ104" s="497">
        <v>110773.84156729418</v>
      </c>
      <c r="AR104" s="498">
        <v>43648.150426663073</v>
      </c>
      <c r="AS104" s="498">
        <v>33677.487168824257</v>
      </c>
      <c r="AT104" s="498">
        <v>26161.556599246345</v>
      </c>
      <c r="AU104" s="499">
        <v>214261.03576202784</v>
      </c>
      <c r="AV104" s="500"/>
      <c r="AW104" s="501">
        <v>236056.18156421062</v>
      </c>
      <c r="AX104" s="500"/>
      <c r="AY104" s="849">
        <v>0</v>
      </c>
      <c r="AZ104" s="498">
        <v>0</v>
      </c>
      <c r="BA104" s="498">
        <v>214261.03576202784</v>
      </c>
      <c r="BB104" s="498">
        <v>2097.1610111621653</v>
      </c>
      <c r="BC104" s="499">
        <v>212163.87475086565</v>
      </c>
      <c r="BD104" s="497">
        <v>2121.6387475086567</v>
      </c>
      <c r="BE104" s="498">
        <v>210042.23600335704</v>
      </c>
      <c r="BF104" s="502">
        <v>0.88979765160787616</v>
      </c>
      <c r="BG104" s="500"/>
      <c r="BJ104" s="503"/>
      <c r="BK104" s="504"/>
      <c r="BL104" s="503"/>
      <c r="BM104" s="503"/>
      <c r="BN104" s="503"/>
      <c r="BO104" s="500">
        <v>623.77646162220481</v>
      </c>
      <c r="BP104" s="500">
        <v>62784.814048741806</v>
      </c>
      <c r="BQ104" s="500">
        <v>210042.23600335704</v>
      </c>
      <c r="BR104" s="503"/>
      <c r="BT104" s="497">
        <v>0</v>
      </c>
      <c r="BU104" s="498">
        <v>0</v>
      </c>
      <c r="BV104" s="499">
        <v>210042.23600335704</v>
      </c>
      <c r="BX104" s="506"/>
      <c r="BY104" s="507" t="s">
        <v>900</v>
      </c>
      <c r="BZ104" s="505">
        <v>0</v>
      </c>
      <c r="CB104" s="500"/>
      <c r="CE104" s="500"/>
      <c r="CH104" s="395"/>
      <c r="CJ104" s="487" t="s">
        <v>1450</v>
      </c>
      <c r="CK104" s="487" t="s">
        <v>1448</v>
      </c>
      <c r="CL104" s="508" t="s">
        <v>1448</v>
      </c>
      <c r="CN104" s="487" t="s">
        <v>1448</v>
      </c>
      <c r="CO104" s="487" t="s">
        <v>1450</v>
      </c>
      <c r="CP104" s="487" t="s">
        <v>1450</v>
      </c>
      <c r="CQ104" s="487" t="s">
        <v>1450</v>
      </c>
      <c r="CS104" s="488">
        <v>0.85</v>
      </c>
      <c r="CT104" s="489">
        <v>0</v>
      </c>
      <c r="CU104" s="489">
        <v>0</v>
      </c>
      <c r="CV104" s="490">
        <v>0.85</v>
      </c>
    </row>
    <row r="105" spans="1:100" s="469" customFormat="1" outlineLevel="1" x14ac:dyDescent="0.3">
      <c r="A105" s="468"/>
      <c r="E105" s="469" t="s">
        <v>900</v>
      </c>
      <c r="F105" s="469" t="s">
        <v>900</v>
      </c>
      <c r="G105" s="469" t="s">
        <v>900</v>
      </c>
      <c r="H105" s="469" t="s">
        <v>900</v>
      </c>
      <c r="O105" s="470"/>
      <c r="P105" s="471"/>
      <c r="Q105" s="846"/>
      <c r="R105" s="471"/>
      <c r="S105" s="472"/>
      <c r="T105" s="471"/>
      <c r="U105" s="470"/>
      <c r="V105" s="471"/>
      <c r="W105" s="473"/>
      <c r="X105" s="474">
        <v>485.32051217133449</v>
      </c>
      <c r="Y105" s="475">
        <v>112.9860001478758</v>
      </c>
      <c r="Z105" s="475">
        <v>146.76218452080158</v>
      </c>
      <c r="AA105" s="475">
        <v>113.47224292852842</v>
      </c>
      <c r="AB105" s="476" t="s">
        <v>900</v>
      </c>
      <c r="AC105" s="475"/>
      <c r="AD105" s="475"/>
      <c r="AE105" s="475"/>
      <c r="AF105" s="476"/>
      <c r="AG105" s="475">
        <v>550.11235966651293</v>
      </c>
      <c r="AH105" s="475">
        <v>14685.740717482706</v>
      </c>
      <c r="AI105" s="475">
        <v>166.35540763636286</v>
      </c>
      <c r="AJ105" s="476">
        <v>128.62115189565156</v>
      </c>
      <c r="AK105" s="475"/>
      <c r="AL105" s="475"/>
      <c r="AM105" s="475"/>
      <c r="AN105" s="475"/>
      <c r="AO105" s="476"/>
      <c r="AQ105" s="474"/>
      <c r="AR105" s="475"/>
      <c r="AS105" s="475"/>
      <c r="AT105" s="475"/>
      <c r="AU105" s="476"/>
      <c r="AW105" s="477"/>
      <c r="AY105" s="847"/>
      <c r="AZ105" s="475"/>
      <c r="BA105" s="475"/>
      <c r="BB105" s="475"/>
      <c r="BC105" s="476"/>
      <c r="BD105" s="474"/>
      <c r="BE105" s="475"/>
      <c r="BF105" s="478" t="s">
        <v>1450</v>
      </c>
      <c r="BJ105" s="479"/>
      <c r="BK105" s="480"/>
      <c r="BL105" s="479"/>
      <c r="BM105" s="479"/>
      <c r="BN105" s="479"/>
      <c r="BQ105" s="481"/>
      <c r="BR105" s="479"/>
      <c r="BT105" s="482">
        <v>0</v>
      </c>
      <c r="BU105" s="483"/>
      <c r="BV105" s="484"/>
      <c r="BX105" s="485"/>
      <c r="BY105" s="486" t="s">
        <v>900</v>
      </c>
      <c r="BZ105" s="484" t="s">
        <v>900</v>
      </c>
      <c r="CB105" s="481"/>
      <c r="CE105" s="481"/>
      <c r="CH105" s="199"/>
      <c r="CJ105" s="487" t="s">
        <v>1450</v>
      </c>
      <c r="CK105" s="487" t="s">
        <v>1448</v>
      </c>
      <c r="CL105" s="487" t="s">
        <v>1448</v>
      </c>
      <c r="CN105" s="487" t="s">
        <v>1448</v>
      </c>
      <c r="CO105" s="487" t="s">
        <v>1450</v>
      </c>
      <c r="CP105" s="487" t="s">
        <v>1450</v>
      </c>
      <c r="CQ105" s="487" t="s">
        <v>1450</v>
      </c>
      <c r="CS105" s="488">
        <v>0.85</v>
      </c>
      <c r="CT105" s="489">
        <v>0</v>
      </c>
      <c r="CU105" s="489">
        <v>0</v>
      </c>
      <c r="CV105" s="490">
        <v>0.85</v>
      </c>
    </row>
    <row r="106" spans="1:100" s="199" customFormat="1" outlineLevel="1" x14ac:dyDescent="0.3">
      <c r="A106" s="201"/>
      <c r="E106" s="199" t="s">
        <v>900</v>
      </c>
      <c r="F106" s="199" t="s">
        <v>900</v>
      </c>
      <c r="G106" s="199" t="s">
        <v>900</v>
      </c>
      <c r="H106" s="199" t="s">
        <v>900</v>
      </c>
      <c r="O106" s="509" t="s">
        <v>900</v>
      </c>
      <c r="P106" s="510" t="s">
        <v>900</v>
      </c>
      <c r="Q106" s="349" t="s">
        <v>900</v>
      </c>
      <c r="R106" s="510" t="s">
        <v>900</v>
      </c>
      <c r="S106" s="512" t="s">
        <v>900</v>
      </c>
      <c r="T106" s="510"/>
      <c r="U106" s="509"/>
      <c r="V106" s="510"/>
      <c r="W106" s="232"/>
      <c r="X106" s="270" t="s">
        <v>900</v>
      </c>
      <c r="Y106" s="271" t="s">
        <v>900</v>
      </c>
      <c r="Z106" s="271" t="s">
        <v>900</v>
      </c>
      <c r="AA106" s="271" t="s">
        <v>900</v>
      </c>
      <c r="AB106" s="272" t="s">
        <v>900</v>
      </c>
      <c r="AC106" s="271"/>
      <c r="AD106" s="271"/>
      <c r="AE106" s="271"/>
      <c r="AF106" s="272"/>
      <c r="AG106" s="271"/>
      <c r="AH106" s="271"/>
      <c r="AI106" s="271"/>
      <c r="AJ106" s="272"/>
      <c r="AK106" s="271"/>
      <c r="AL106" s="271"/>
      <c r="AM106" s="271"/>
      <c r="AN106" s="271"/>
      <c r="AO106" s="272"/>
      <c r="AQ106" s="270"/>
      <c r="AR106" s="271"/>
      <c r="AS106" s="271"/>
      <c r="AT106" s="271"/>
      <c r="AU106" s="272"/>
      <c r="AW106" s="326"/>
      <c r="AY106" s="378"/>
      <c r="AZ106" s="271"/>
      <c r="BA106" s="271"/>
      <c r="BB106" s="271"/>
      <c r="BC106" s="272"/>
      <c r="BD106" s="270"/>
      <c r="BE106" s="271"/>
      <c r="BF106" s="363" t="s">
        <v>1450</v>
      </c>
      <c r="BJ106" s="513"/>
      <c r="BK106" s="221"/>
      <c r="BL106" s="513"/>
      <c r="BM106" s="513"/>
      <c r="BN106" s="513"/>
      <c r="BQ106" s="200"/>
      <c r="BR106" s="513"/>
      <c r="BT106" s="514">
        <v>0</v>
      </c>
      <c r="BU106" s="515"/>
      <c r="BV106" s="516"/>
      <c r="BX106" s="517"/>
      <c r="BY106" s="518" t="s">
        <v>900</v>
      </c>
      <c r="BZ106" s="516" t="s">
        <v>900</v>
      </c>
      <c r="CB106" s="200"/>
      <c r="CE106" s="200"/>
      <c r="CJ106" s="519" t="s">
        <v>1450</v>
      </c>
      <c r="CK106" s="519" t="s">
        <v>1448</v>
      </c>
      <c r="CL106" s="519" t="s">
        <v>1448</v>
      </c>
      <c r="CN106" s="519" t="s">
        <v>1448</v>
      </c>
      <c r="CO106" s="519" t="s">
        <v>1450</v>
      </c>
      <c r="CP106" s="519" t="s">
        <v>1450</v>
      </c>
      <c r="CQ106" s="519" t="s">
        <v>1450</v>
      </c>
      <c r="CS106" s="520">
        <v>0.85</v>
      </c>
      <c r="CT106" s="521">
        <v>0</v>
      </c>
      <c r="CU106" s="521">
        <v>0</v>
      </c>
      <c r="CV106" s="522">
        <v>0.85</v>
      </c>
    </row>
    <row r="107" spans="1:100" outlineLevel="1" x14ac:dyDescent="0.3">
      <c r="A107" s="1">
        <v>150426000</v>
      </c>
      <c r="B107" s="47">
        <v>401290</v>
      </c>
      <c r="C107" s="47">
        <v>4513</v>
      </c>
      <c r="D107" s="47" t="s">
        <v>75</v>
      </c>
      <c r="E107" s="47" t="s">
        <v>70</v>
      </c>
      <c r="F107" s="47" t="s">
        <v>1501</v>
      </c>
      <c r="G107" s="47" t="s">
        <v>1502</v>
      </c>
      <c r="H107" s="47" t="s">
        <v>1510</v>
      </c>
      <c r="I107" s="382">
        <v>14</v>
      </c>
      <c r="J107" s="382">
        <v>0</v>
      </c>
      <c r="K107" s="382">
        <v>0</v>
      </c>
      <c r="L107" s="382">
        <v>0</v>
      </c>
      <c r="M107" s="382">
        <v>0</v>
      </c>
      <c r="N107" s="382">
        <v>14</v>
      </c>
      <c r="O107" s="444">
        <v>48</v>
      </c>
      <c r="P107" s="445">
        <v>14</v>
      </c>
      <c r="Q107" s="346">
        <v>0.29166666666666669</v>
      </c>
      <c r="R107" s="445">
        <v>30</v>
      </c>
      <c r="S107" s="447">
        <v>24</v>
      </c>
      <c r="T107" s="445">
        <v>-4.8555906619350865E-2</v>
      </c>
      <c r="U107" s="444">
        <v>47.712921141579002</v>
      </c>
      <c r="V107" s="445">
        <v>13.951444093380649</v>
      </c>
      <c r="W107" s="229">
        <v>0.2924038973003224</v>
      </c>
      <c r="X107" s="261">
        <v>6590.9495425864034</v>
      </c>
      <c r="Y107" s="262">
        <v>1607.5046882868676</v>
      </c>
      <c r="Z107" s="262">
        <v>4511.3609828576</v>
      </c>
      <c r="AA107" s="262">
        <v>5158.7404488266529</v>
      </c>
      <c r="AB107" s="263">
        <v>17868.555662557526</v>
      </c>
      <c r="AC107" s="262">
        <v>6568.7338504338077</v>
      </c>
      <c r="AD107" s="262">
        <v>1602.0863750289539</v>
      </c>
      <c r="AE107" s="262">
        <v>4496.1548268801007</v>
      </c>
      <c r="AF107" s="263">
        <v>5141.3522122811028</v>
      </c>
      <c r="AG107" s="262">
        <v>6568.7338504338077</v>
      </c>
      <c r="AH107" s="262">
        <v>1602.0863750289539</v>
      </c>
      <c r="AI107" s="262">
        <v>4496.1548268801007</v>
      </c>
      <c r="AJ107" s="263">
        <v>5141.3522122811028</v>
      </c>
      <c r="AK107" s="262">
        <v>6811.863126280733</v>
      </c>
      <c r="AL107" s="262">
        <v>1660.9294414215367</v>
      </c>
      <c r="AM107" s="262">
        <v>4628.1231904772212</v>
      </c>
      <c r="AN107" s="262">
        <v>5276.8822038393901</v>
      </c>
      <c r="AO107" s="263">
        <v>18377.797962018882</v>
      </c>
      <c r="AP107" s="31"/>
      <c r="AQ107" s="261">
        <v>6708.3975066181392</v>
      </c>
      <c r="AR107" s="262">
        <v>1619.4784255782163</v>
      </c>
      <c r="AS107" s="262">
        <v>4566.7846250500179</v>
      </c>
      <c r="AT107" s="262">
        <v>5204.7371547140337</v>
      </c>
      <c r="AU107" s="263">
        <v>18099.39771196041</v>
      </c>
      <c r="AV107" s="31"/>
      <c r="AW107" s="323">
        <v>19358.817682281722</v>
      </c>
      <c r="AX107" s="31"/>
      <c r="AY107" s="747">
        <v>0</v>
      </c>
      <c r="AZ107" s="262">
        <v>0</v>
      </c>
      <c r="BA107" s="262">
        <v>18099.39771196041</v>
      </c>
      <c r="BB107" s="262">
        <v>177.15470791058326</v>
      </c>
      <c r="BC107" s="263">
        <v>17922.243004049826</v>
      </c>
      <c r="BD107" s="261">
        <v>179.22243004049827</v>
      </c>
      <c r="BE107" s="262">
        <v>17743.020574009326</v>
      </c>
      <c r="BF107" s="354">
        <v>0.91653430830379357</v>
      </c>
      <c r="BG107" s="31"/>
      <c r="BJ107" s="46">
        <v>0.91653430830379357</v>
      </c>
      <c r="BK107" s="539"/>
      <c r="BL107" s="46">
        <v>0.9</v>
      </c>
      <c r="BM107" s="458">
        <v>0.89</v>
      </c>
      <c r="BN107" s="4" t="s">
        <v>900</v>
      </c>
      <c r="BO107" s="31" t="s">
        <v>900</v>
      </c>
      <c r="BP107" s="31" t="s">
        <v>900</v>
      </c>
      <c r="BQ107" s="31">
        <v>17743.020574009326</v>
      </c>
      <c r="BR107" s="4">
        <v>0.91653430830379357</v>
      </c>
      <c r="BS107" s="4" t="s">
        <v>900</v>
      </c>
      <c r="BT107" s="448" t="s">
        <v>900</v>
      </c>
      <c r="BU107" s="367" t="s">
        <v>900</v>
      </c>
      <c r="BV107" s="368">
        <v>17743.020574009326</v>
      </c>
      <c r="BX107" s="449">
        <v>282.02278561603816</v>
      </c>
      <c r="BY107" s="450">
        <v>1.6151924789299013E-2</v>
      </c>
      <c r="BZ107" s="368">
        <v>20.214594541495934</v>
      </c>
      <c r="CB107" s="31">
        <v>893</v>
      </c>
      <c r="CC107" s="31">
        <v>1162.8877574441735</v>
      </c>
      <c r="CD107" s="31" t="e">
        <v>#VALUE!</v>
      </c>
      <c r="CE107" s="31" t="s">
        <v>900</v>
      </c>
      <c r="CF107" s="31" t="e">
        <v>#VALUE!</v>
      </c>
      <c r="CJ107" s="702" t="s">
        <v>1447</v>
      </c>
      <c r="CK107" s="702" t="s">
        <v>1447</v>
      </c>
      <c r="CL107" s="702" t="s">
        <v>1448</v>
      </c>
      <c r="CN107" s="702" t="s">
        <v>1447</v>
      </c>
      <c r="CO107" s="702" t="s">
        <v>1447</v>
      </c>
      <c r="CP107" s="702" t="s">
        <v>1447</v>
      </c>
      <c r="CQ107" s="702" t="s">
        <v>1447</v>
      </c>
      <c r="CS107" s="451">
        <v>0</v>
      </c>
      <c r="CT107" s="452">
        <v>0.9</v>
      </c>
      <c r="CU107" s="452">
        <v>0</v>
      </c>
      <c r="CV107" s="453">
        <v>0.9</v>
      </c>
    </row>
    <row r="108" spans="1:100" outlineLevel="1" x14ac:dyDescent="0.3">
      <c r="A108" s="1">
        <v>150419000</v>
      </c>
      <c r="B108" s="47">
        <v>409120</v>
      </c>
      <c r="C108" s="47">
        <v>4512</v>
      </c>
      <c r="D108" s="47" t="s">
        <v>435</v>
      </c>
      <c r="E108" s="47" t="s">
        <v>70</v>
      </c>
      <c r="F108" s="47" t="s">
        <v>1498</v>
      </c>
      <c r="G108" s="47" t="s">
        <v>1499</v>
      </c>
      <c r="H108" s="47" t="s">
        <v>1522</v>
      </c>
      <c r="I108" s="382">
        <v>41</v>
      </c>
      <c r="J108" s="382">
        <v>0</v>
      </c>
      <c r="K108" s="382">
        <v>0</v>
      </c>
      <c r="L108" s="382">
        <v>1</v>
      </c>
      <c r="M108" s="382">
        <v>0</v>
      </c>
      <c r="N108" s="382">
        <v>41</v>
      </c>
      <c r="O108" s="444">
        <v>105</v>
      </c>
      <c r="P108" s="445">
        <v>42</v>
      </c>
      <c r="Q108" s="346">
        <v>0.4</v>
      </c>
      <c r="R108" s="445">
        <v>94</v>
      </c>
      <c r="S108" s="447">
        <v>90</v>
      </c>
      <c r="T108" s="445">
        <v>-0.14219944081381325</v>
      </c>
      <c r="U108" s="444">
        <v>104.37201499720406</v>
      </c>
      <c r="V108" s="445">
        <v>41.857800559186188</v>
      </c>
      <c r="W108" s="229">
        <v>0.40104428912584933</v>
      </c>
      <c r="X108" s="261">
        <v>24586.489359969819</v>
      </c>
      <c r="Y108" s="262">
        <v>5870.7548621093938</v>
      </c>
      <c r="Z108" s="262">
        <v>18562.04870977176</v>
      </c>
      <c r="AA108" s="262">
        <v>22108.376443754092</v>
      </c>
      <c r="AB108" s="263">
        <v>71127.669375605066</v>
      </c>
      <c r="AC108" s="262">
        <v>24503.617252513232</v>
      </c>
      <c r="AD108" s="262">
        <v>5850.9666841120852</v>
      </c>
      <c r="AE108" s="262">
        <v>18499.482799170666</v>
      </c>
      <c r="AF108" s="263">
        <v>22033.857153036628</v>
      </c>
      <c r="AG108" s="262">
        <v>24503.617252513232</v>
      </c>
      <c r="AH108" s="262">
        <v>5850.9666841120852</v>
      </c>
      <c r="AI108" s="262">
        <v>18499.482799170666</v>
      </c>
      <c r="AJ108" s="263">
        <v>22033.857153036628</v>
      </c>
      <c r="AK108" s="262">
        <v>24746.746528360156</v>
      </c>
      <c r="AL108" s="262">
        <v>5909.809750504668</v>
      </c>
      <c r="AM108" s="262">
        <v>18631.451162767786</v>
      </c>
      <c r="AN108" s="262">
        <v>22169.387144594915</v>
      </c>
      <c r="AO108" s="263">
        <v>71457.394586227529</v>
      </c>
      <c r="AP108" s="31"/>
      <c r="AQ108" s="261">
        <v>24480.684134106577</v>
      </c>
      <c r="AR108" s="262">
        <v>5820.7651962211103</v>
      </c>
      <c r="AS108" s="262">
        <v>18461.189884096158</v>
      </c>
      <c r="AT108" s="262">
        <v>21956.59586060961</v>
      </c>
      <c r="AU108" s="263">
        <v>70719.235075033459</v>
      </c>
      <c r="AV108" s="31"/>
      <c r="AW108" s="323">
        <v>73707.849333833161</v>
      </c>
      <c r="AX108" s="31"/>
      <c r="AY108" s="747">
        <v>0</v>
      </c>
      <c r="AZ108" s="262">
        <v>0</v>
      </c>
      <c r="BA108" s="262">
        <v>70719.235075033459</v>
      </c>
      <c r="BB108" s="262">
        <v>692.19128905590787</v>
      </c>
      <c r="BC108" s="263">
        <v>70027.043785977556</v>
      </c>
      <c r="BD108" s="261">
        <v>700.2704378597756</v>
      </c>
      <c r="BE108" s="262">
        <v>69326.773348117786</v>
      </c>
      <c r="BF108" s="354">
        <v>0.94056160876607764</v>
      </c>
      <c r="BG108" s="31"/>
      <c r="BJ108" s="46">
        <v>0.94056160876607764</v>
      </c>
      <c r="BK108" s="539"/>
      <c r="BL108" s="46">
        <v>0.94999999999999984</v>
      </c>
      <c r="BM108" s="458">
        <v>0.94</v>
      </c>
      <c r="BN108" s="4" t="s">
        <v>900</v>
      </c>
      <c r="BO108" s="31" t="s">
        <v>900</v>
      </c>
      <c r="BP108" s="31" t="s">
        <v>900</v>
      </c>
      <c r="BQ108" s="31">
        <v>69326.773348117786</v>
      </c>
      <c r="BR108" s="4">
        <v>0.94056160876607764</v>
      </c>
      <c r="BS108" s="4" t="s">
        <v>900</v>
      </c>
      <c r="BT108" s="448" t="s">
        <v>900</v>
      </c>
      <c r="BU108" s="367" t="s">
        <v>900</v>
      </c>
      <c r="BV108" s="368">
        <v>69326.773348117786</v>
      </c>
      <c r="BX108" s="449">
        <v>-178.56894787208876</v>
      </c>
      <c r="BY108" s="450">
        <v>-2.5691939838611692E-3</v>
      </c>
      <c r="BZ108" s="368">
        <v>-4.2660853051654115</v>
      </c>
      <c r="CB108" s="31">
        <v>5876</v>
      </c>
      <c r="CC108" s="31">
        <v>6646.284255964727</v>
      </c>
      <c r="CD108" s="31" t="e">
        <v>#VALUE!</v>
      </c>
      <c r="CE108" s="31" t="s">
        <v>900</v>
      </c>
      <c r="CF108" s="31" t="e">
        <v>#VALUE!</v>
      </c>
      <c r="CJ108" s="702" t="s">
        <v>1447</v>
      </c>
      <c r="CK108" s="702" t="s">
        <v>1447</v>
      </c>
      <c r="CL108" s="702" t="s">
        <v>1448</v>
      </c>
      <c r="CN108" s="702" t="s">
        <v>1447</v>
      </c>
      <c r="CO108" s="702" t="s">
        <v>1447</v>
      </c>
      <c r="CP108" s="702" t="s">
        <v>1447</v>
      </c>
      <c r="CQ108" s="702" t="s">
        <v>1447</v>
      </c>
      <c r="CS108" s="451">
        <v>0</v>
      </c>
      <c r="CT108" s="452">
        <v>0</v>
      </c>
      <c r="CU108" s="452">
        <v>0.95</v>
      </c>
      <c r="CV108" s="453">
        <v>0.95</v>
      </c>
    </row>
    <row r="109" spans="1:100" outlineLevel="1" x14ac:dyDescent="0.3">
      <c r="A109" s="1">
        <v>150430000</v>
      </c>
      <c r="B109" s="47">
        <v>400005</v>
      </c>
      <c r="C109" s="47">
        <v>4514</v>
      </c>
      <c r="D109" s="47" t="s">
        <v>368</v>
      </c>
      <c r="E109" s="47" t="s">
        <v>70</v>
      </c>
      <c r="F109" s="47" t="s">
        <v>1498</v>
      </c>
      <c r="G109" s="47" t="s">
        <v>1502</v>
      </c>
      <c r="H109" s="47" t="s">
        <v>1522</v>
      </c>
      <c r="I109" s="382">
        <v>53</v>
      </c>
      <c r="J109" s="382">
        <v>0</v>
      </c>
      <c r="K109" s="382">
        <v>0</v>
      </c>
      <c r="L109" s="382">
        <v>2</v>
      </c>
      <c r="M109" s="382">
        <v>0</v>
      </c>
      <c r="N109" s="382">
        <v>53</v>
      </c>
      <c r="O109" s="444">
        <v>134</v>
      </c>
      <c r="P109" s="445">
        <v>55</v>
      </c>
      <c r="Q109" s="346">
        <v>0.41044776119402987</v>
      </c>
      <c r="R109" s="445">
        <v>108</v>
      </c>
      <c r="S109" s="447">
        <v>91</v>
      </c>
      <c r="T109" s="445">
        <v>-0.18381878934468543</v>
      </c>
      <c r="U109" s="444">
        <v>133.19857152024139</v>
      </c>
      <c r="V109" s="445">
        <v>54.816181210655316</v>
      </c>
      <c r="W109" s="229">
        <v>0.41153730543067596</v>
      </c>
      <c r="X109" s="261">
        <v>31033.180615983249</v>
      </c>
      <c r="Y109" s="262">
        <v>7348.281679802787</v>
      </c>
      <c r="Z109" s="262">
        <v>21215.169046616211</v>
      </c>
      <c r="AA109" s="262">
        <v>22497.061616472951</v>
      </c>
      <c r="AB109" s="263">
        <v>82093.692958875195</v>
      </c>
      <c r="AC109" s="262">
        <v>30928.579058555752</v>
      </c>
      <c r="AD109" s="262">
        <v>7323.5132966442961</v>
      </c>
      <c r="AE109" s="262">
        <v>21143.660432954461</v>
      </c>
      <c r="AF109" s="263">
        <v>22421.232209499001</v>
      </c>
      <c r="AG109" s="262">
        <v>30928.579058555752</v>
      </c>
      <c r="AH109" s="262">
        <v>7323.5132966442961</v>
      </c>
      <c r="AI109" s="262">
        <v>21143.660432954461</v>
      </c>
      <c r="AJ109" s="263">
        <v>22421.232209499001</v>
      </c>
      <c r="AK109" s="262">
        <v>31171.708334402676</v>
      </c>
      <c r="AL109" s="262">
        <v>7382.356363036879</v>
      </c>
      <c r="AM109" s="262">
        <v>21275.62879655158</v>
      </c>
      <c r="AN109" s="262">
        <v>22556.762201057289</v>
      </c>
      <c r="AO109" s="263">
        <v>82386.455695048426</v>
      </c>
      <c r="AP109" s="31"/>
      <c r="AQ109" s="261">
        <v>30839.107484912671</v>
      </c>
      <c r="AR109" s="262">
        <v>7236.2701205603717</v>
      </c>
      <c r="AS109" s="262">
        <v>21083.672274531698</v>
      </c>
      <c r="AT109" s="262">
        <v>22333.089501033042</v>
      </c>
      <c r="AU109" s="263">
        <v>81492.139381037778</v>
      </c>
      <c r="AV109" s="31"/>
      <c r="AW109" s="323">
        <v>80186.849764327766</v>
      </c>
      <c r="AX109" s="31"/>
      <c r="AY109" s="747">
        <v>0</v>
      </c>
      <c r="AZ109" s="262">
        <v>1305.2896167100116</v>
      </c>
      <c r="BA109" s="262">
        <v>80186.849764327766</v>
      </c>
      <c r="BB109" s="262">
        <v>784.85915246130378</v>
      </c>
      <c r="BC109" s="263">
        <v>79401.990611866466</v>
      </c>
      <c r="BD109" s="261">
        <v>794.01990611866472</v>
      </c>
      <c r="BE109" s="262">
        <v>78607.970705747808</v>
      </c>
      <c r="BF109" s="354">
        <v>0.98031000016560887</v>
      </c>
      <c r="BG109" s="31"/>
      <c r="BJ109" s="46">
        <v>0.98031000016560887</v>
      </c>
      <c r="BK109" s="539"/>
      <c r="BL109" s="46">
        <v>0.95</v>
      </c>
      <c r="BM109" s="458">
        <v>0.94</v>
      </c>
      <c r="BN109" s="4" t="s">
        <v>900</v>
      </c>
      <c r="BO109" s="31" t="s">
        <v>900</v>
      </c>
      <c r="BP109" s="31" t="s">
        <v>900</v>
      </c>
      <c r="BQ109" s="31">
        <v>78607.970705747808</v>
      </c>
      <c r="BR109" s="4">
        <v>0.98031000016560887</v>
      </c>
      <c r="BS109" s="4" t="s">
        <v>900</v>
      </c>
      <c r="BT109" s="448" t="s">
        <v>900</v>
      </c>
      <c r="BU109" s="367" t="s">
        <v>900</v>
      </c>
      <c r="BV109" s="368">
        <v>78607.970705747808</v>
      </c>
      <c r="BX109" s="449">
        <v>-1613.2748311614559</v>
      </c>
      <c r="BY109" s="450">
        <v>-2.0110742292004217E-2</v>
      </c>
      <c r="BZ109" s="368">
        <v>-29.430631531257841</v>
      </c>
      <c r="CB109" s="31">
        <v>5233</v>
      </c>
      <c r="CC109" s="31">
        <v>6238.2046159309066</v>
      </c>
      <c r="CD109" s="31" t="e">
        <v>#VALUE!</v>
      </c>
      <c r="CE109" s="31" t="s">
        <v>900</v>
      </c>
      <c r="CF109" s="31" t="e">
        <v>#VALUE!</v>
      </c>
      <c r="CJ109" s="702" t="s">
        <v>1447</v>
      </c>
      <c r="CK109" s="702" t="s">
        <v>1447</v>
      </c>
      <c r="CL109" s="702" t="s">
        <v>1448</v>
      </c>
      <c r="CN109" s="702" t="s">
        <v>1447</v>
      </c>
      <c r="CO109" s="702" t="s">
        <v>1447</v>
      </c>
      <c r="CP109" s="702" t="s">
        <v>1447</v>
      </c>
      <c r="CQ109" s="702" t="s">
        <v>1447</v>
      </c>
      <c r="CS109" s="451">
        <v>0</v>
      </c>
      <c r="CT109" s="452">
        <v>0</v>
      </c>
      <c r="CU109" s="452">
        <v>0.95</v>
      </c>
      <c r="CV109" s="453">
        <v>0.95</v>
      </c>
    </row>
    <row r="110" spans="1:100" outlineLevel="1" x14ac:dyDescent="0.3">
      <c r="A110" s="1">
        <v>150404000</v>
      </c>
      <c r="B110" s="47">
        <v>406780</v>
      </c>
      <c r="C110" s="47">
        <v>4511</v>
      </c>
      <c r="D110" s="47" t="s">
        <v>355</v>
      </c>
      <c r="E110" s="47" t="s">
        <v>70</v>
      </c>
      <c r="F110" s="47" t="s">
        <v>1498</v>
      </c>
      <c r="G110" s="47" t="s">
        <v>1499</v>
      </c>
      <c r="H110" s="47" t="s">
        <v>1510</v>
      </c>
      <c r="I110" s="382">
        <v>60</v>
      </c>
      <c r="J110" s="382">
        <v>0</v>
      </c>
      <c r="K110" s="382">
        <v>0</v>
      </c>
      <c r="L110" s="382">
        <v>2</v>
      </c>
      <c r="M110" s="382">
        <v>0</v>
      </c>
      <c r="N110" s="382">
        <v>60</v>
      </c>
      <c r="O110" s="444">
        <v>306</v>
      </c>
      <c r="P110" s="445">
        <v>62</v>
      </c>
      <c r="Q110" s="346">
        <v>0.20261437908496732</v>
      </c>
      <c r="R110" s="445">
        <v>218</v>
      </c>
      <c r="S110" s="447">
        <v>187</v>
      </c>
      <c r="T110" s="445">
        <v>-0.20809674265436087</v>
      </c>
      <c r="U110" s="444">
        <v>304.16987227756613</v>
      </c>
      <c r="V110" s="445">
        <v>61.791903257345638</v>
      </c>
      <c r="W110" s="229">
        <v>0.20314932177424286</v>
      </c>
      <c r="X110" s="261">
        <v>28595.0994798088</v>
      </c>
      <c r="Y110" s="262">
        <v>6775.8744499194672</v>
      </c>
      <c r="Z110" s="262">
        <v>10635.532528568754</v>
      </c>
      <c r="AA110" s="262">
        <v>9322.2999291581727</v>
      </c>
      <c r="AB110" s="263">
        <v>55328.806387455195</v>
      </c>
      <c r="AC110" s="262">
        <v>28498.715806559347</v>
      </c>
      <c r="AD110" s="262">
        <v>6753.0354432070926</v>
      </c>
      <c r="AE110" s="262">
        <v>10599.684019183735</v>
      </c>
      <c r="AF110" s="263">
        <v>9290.8778489188699</v>
      </c>
      <c r="AG110" s="262">
        <v>28498.715806559347</v>
      </c>
      <c r="AH110" s="262">
        <v>6753.0354432070926</v>
      </c>
      <c r="AI110" s="262">
        <v>10599.684019183735</v>
      </c>
      <c r="AJ110" s="263">
        <v>9290.8778489188699</v>
      </c>
      <c r="AK110" s="262">
        <v>28741.845082406271</v>
      </c>
      <c r="AL110" s="262">
        <v>6811.8785095996755</v>
      </c>
      <c r="AM110" s="262">
        <v>10731.652382780856</v>
      </c>
      <c r="AN110" s="262">
        <v>9426.4078404771572</v>
      </c>
      <c r="AO110" s="263">
        <v>55711.78381526396</v>
      </c>
      <c r="AP110" s="31"/>
      <c r="AQ110" s="261">
        <v>28305.284224302079</v>
      </c>
      <c r="AR110" s="262">
        <v>6625.3583261883578</v>
      </c>
      <c r="AS110" s="262">
        <v>10620.234900786809</v>
      </c>
      <c r="AT110" s="262">
        <v>9316.4041051458516</v>
      </c>
      <c r="AU110" s="263">
        <v>54867.281556423099</v>
      </c>
      <c r="AV110" s="31"/>
      <c r="AW110" s="323">
        <v>59198.143522871855</v>
      </c>
      <c r="AX110" s="31"/>
      <c r="AY110" s="747">
        <v>0</v>
      </c>
      <c r="AZ110" s="262">
        <v>0</v>
      </c>
      <c r="BA110" s="262">
        <v>54867.281556423099</v>
      </c>
      <c r="BB110" s="262">
        <v>537.03429211640093</v>
      </c>
      <c r="BC110" s="263">
        <v>54330.247264306701</v>
      </c>
      <c r="BD110" s="261">
        <v>543.30247264306706</v>
      </c>
      <c r="BE110" s="262">
        <v>53786.944791663635</v>
      </c>
      <c r="BF110" s="354">
        <v>0.90859174951799726</v>
      </c>
      <c r="BG110" s="31"/>
      <c r="BJ110" s="46">
        <v>0.90859174951799726</v>
      </c>
      <c r="BK110" s="539"/>
      <c r="BL110" s="46">
        <v>0.92117208769420011</v>
      </c>
      <c r="BM110" s="458">
        <v>0.89</v>
      </c>
      <c r="BN110" s="4" t="s">
        <v>900</v>
      </c>
      <c r="BO110" s="31" t="s">
        <v>900</v>
      </c>
      <c r="BP110" s="31" t="s">
        <v>900</v>
      </c>
      <c r="BQ110" s="31">
        <v>53786.944791663635</v>
      </c>
      <c r="BR110" s="4">
        <v>0.90859174951799726</v>
      </c>
      <c r="BS110" s="4" t="s">
        <v>900</v>
      </c>
      <c r="BT110" s="448" t="s">
        <v>900</v>
      </c>
      <c r="BU110" s="367" t="s">
        <v>900</v>
      </c>
      <c r="BV110" s="368">
        <v>53786.944791663635</v>
      </c>
      <c r="BX110" s="449">
        <v>-268.88864550009748</v>
      </c>
      <c r="BY110" s="450">
        <v>-4.9743809187335671E-3</v>
      </c>
      <c r="BZ110" s="368">
        <v>-4.3515190716857033</v>
      </c>
      <c r="CB110" s="31">
        <v>12530</v>
      </c>
      <c r="CC110" s="31">
        <v>13819.795636242638</v>
      </c>
      <c r="CD110" s="31" t="e">
        <v>#VALUE!</v>
      </c>
      <c r="CE110" s="31" t="s">
        <v>900</v>
      </c>
      <c r="CF110" s="31" t="e">
        <v>#VALUE!</v>
      </c>
      <c r="CJ110" s="702" t="s">
        <v>1447</v>
      </c>
      <c r="CK110" s="702" t="s">
        <v>1447</v>
      </c>
      <c r="CL110" s="702" t="s">
        <v>1448</v>
      </c>
      <c r="CN110" s="702" t="s">
        <v>1447</v>
      </c>
      <c r="CO110" s="702" t="s">
        <v>1447</v>
      </c>
      <c r="CP110" s="702" t="s">
        <v>1447</v>
      </c>
      <c r="CQ110" s="702" t="s">
        <v>1447</v>
      </c>
      <c r="CS110" s="451">
        <v>0</v>
      </c>
      <c r="CT110" s="452">
        <v>0.9</v>
      </c>
      <c r="CU110" s="452">
        <v>0</v>
      </c>
      <c r="CV110" s="453">
        <v>0.9</v>
      </c>
    </row>
    <row r="111" spans="1:100" outlineLevel="1" x14ac:dyDescent="0.3">
      <c r="A111" s="1">
        <v>150576000</v>
      </c>
      <c r="B111" s="47">
        <v>401160</v>
      </c>
      <c r="C111" s="47">
        <v>4515</v>
      </c>
      <c r="D111" s="47" t="s">
        <v>69</v>
      </c>
      <c r="E111" s="47" t="s">
        <v>70</v>
      </c>
      <c r="F111" s="47" t="s">
        <v>1503</v>
      </c>
      <c r="G111" s="47" t="s">
        <v>1502</v>
      </c>
      <c r="H111" s="47" t="s">
        <v>1523</v>
      </c>
      <c r="I111" s="382">
        <v>124</v>
      </c>
      <c r="J111" s="382">
        <v>0</v>
      </c>
      <c r="K111" s="382">
        <v>0</v>
      </c>
      <c r="L111" s="382">
        <v>4</v>
      </c>
      <c r="M111" s="382">
        <v>0</v>
      </c>
      <c r="N111" s="382">
        <v>124</v>
      </c>
      <c r="O111" s="444">
        <v>323</v>
      </c>
      <c r="P111" s="445">
        <v>128</v>
      </c>
      <c r="Q111" s="346">
        <v>0.39628482972136225</v>
      </c>
      <c r="R111" s="445">
        <v>95</v>
      </c>
      <c r="S111" s="447">
        <v>73</v>
      </c>
      <c r="T111" s="445">
        <v>-0.4300666014856791</v>
      </c>
      <c r="U111" s="444">
        <v>321.06819851520868</v>
      </c>
      <c r="V111" s="445">
        <v>127.56993339851432</v>
      </c>
      <c r="W111" s="229">
        <v>0.39732970748416074</v>
      </c>
      <c r="X111" s="261">
        <v>60342.295642189652</v>
      </c>
      <c r="Y111" s="262">
        <v>14288.325488505419</v>
      </c>
      <c r="Z111" s="262">
        <v>36189.802998248932</v>
      </c>
      <c r="AA111" s="262">
        <v>38036.26974761844</v>
      </c>
      <c r="AB111" s="263">
        <v>148856.69387656244</v>
      </c>
      <c r="AC111" s="262">
        <v>60138.903724969517</v>
      </c>
      <c r="AD111" s="262">
        <v>14240.164743475021</v>
      </c>
      <c r="AE111" s="262">
        <v>36067.820343507396</v>
      </c>
      <c r="AF111" s="263">
        <v>37908.06332548058</v>
      </c>
      <c r="AG111" s="262">
        <v>60138.903724969517</v>
      </c>
      <c r="AH111" s="262">
        <v>14240.164743475021</v>
      </c>
      <c r="AI111" s="262">
        <v>36067.820343507396</v>
      </c>
      <c r="AJ111" s="263">
        <v>37908.06332548058</v>
      </c>
      <c r="AK111" s="262">
        <v>60382.033000816446</v>
      </c>
      <c r="AL111" s="262">
        <v>14299.007809867604</v>
      </c>
      <c r="AM111" s="262">
        <v>36199.788707104519</v>
      </c>
      <c r="AN111" s="262">
        <v>38043.593317038867</v>
      </c>
      <c r="AO111" s="263">
        <v>148924.42283482745</v>
      </c>
      <c r="AP111" s="31"/>
      <c r="AQ111" s="261">
        <v>59768.125411793961</v>
      </c>
      <c r="AR111" s="262">
        <v>14023.242289544682</v>
      </c>
      <c r="AS111" s="262">
        <v>35885.38077452479</v>
      </c>
      <c r="AT111" s="262">
        <v>37678.62468806126</v>
      </c>
      <c r="AU111" s="263">
        <v>147355.3731639247</v>
      </c>
      <c r="AV111" s="31"/>
      <c r="AW111" s="323">
        <v>144995.12786887912</v>
      </c>
      <c r="AX111" s="31"/>
      <c r="AY111" s="747">
        <v>0</v>
      </c>
      <c r="AZ111" s="262">
        <v>2360.2452950455772</v>
      </c>
      <c r="BA111" s="262">
        <v>144995.12786887912</v>
      </c>
      <c r="BB111" s="262">
        <v>1419.1947121585597</v>
      </c>
      <c r="BC111" s="263">
        <v>143575.93315672057</v>
      </c>
      <c r="BD111" s="261">
        <v>1435.7593315672057</v>
      </c>
      <c r="BE111" s="262">
        <v>142140.17382515335</v>
      </c>
      <c r="BF111" s="354">
        <v>0.98031000016560876</v>
      </c>
      <c r="BG111" s="31"/>
      <c r="BJ111" s="46">
        <v>0.98031000016560876</v>
      </c>
      <c r="BK111" s="539"/>
      <c r="BL111" s="46">
        <v>0.95</v>
      </c>
      <c r="BM111" s="458">
        <v>0.94</v>
      </c>
      <c r="BN111" s="4" t="s">
        <v>900</v>
      </c>
      <c r="BO111" s="31" t="s">
        <v>900</v>
      </c>
      <c r="BP111" s="31" t="s">
        <v>900</v>
      </c>
      <c r="BQ111" s="31">
        <v>142140.17382515335</v>
      </c>
      <c r="BR111" s="4">
        <v>0.98031000016560876</v>
      </c>
      <c r="BS111" s="4" t="s">
        <v>900</v>
      </c>
      <c r="BT111" s="448" t="s">
        <v>900</v>
      </c>
      <c r="BU111" s="367" t="s">
        <v>900</v>
      </c>
      <c r="BV111" s="368">
        <v>142140.17382515335</v>
      </c>
      <c r="BX111" s="449">
        <v>-3321.2978041754395</v>
      </c>
      <c r="BY111" s="450">
        <v>-2.2833315860544049E-2</v>
      </c>
      <c r="BZ111" s="368">
        <v>-26.035114354101555</v>
      </c>
      <c r="CB111" s="31">
        <v>6923</v>
      </c>
      <c r="CC111" s="31">
        <v>9273.6187658974559</v>
      </c>
      <c r="CD111" s="31" t="e">
        <v>#VALUE!</v>
      </c>
      <c r="CE111" s="31" t="s">
        <v>900</v>
      </c>
      <c r="CF111" s="31" t="e">
        <v>#VALUE!</v>
      </c>
      <c r="CJ111" s="702" t="s">
        <v>1447</v>
      </c>
      <c r="CK111" s="702" t="s">
        <v>1447</v>
      </c>
      <c r="CL111" s="702" t="s">
        <v>1448</v>
      </c>
      <c r="CN111" s="702" t="s">
        <v>1447</v>
      </c>
      <c r="CO111" s="702" t="s">
        <v>1447</v>
      </c>
      <c r="CP111" s="702" t="s">
        <v>1447</v>
      </c>
      <c r="CQ111" s="702" t="s">
        <v>1447</v>
      </c>
      <c r="CS111" s="451">
        <v>0</v>
      </c>
      <c r="CT111" s="452">
        <v>0</v>
      </c>
      <c r="CU111" s="452">
        <v>0.95</v>
      </c>
      <c r="CV111" s="453">
        <v>0.95</v>
      </c>
    </row>
    <row r="112" spans="1:100" outlineLevel="1" x14ac:dyDescent="0.3">
      <c r="A112" s="1">
        <v>150227000</v>
      </c>
      <c r="B112" s="47">
        <v>405980</v>
      </c>
      <c r="C112" s="47">
        <v>4510</v>
      </c>
      <c r="D112" s="47" t="s">
        <v>325</v>
      </c>
      <c r="E112" s="47" t="s">
        <v>70</v>
      </c>
      <c r="F112" s="47" t="s">
        <v>1501</v>
      </c>
      <c r="G112" s="47" t="s">
        <v>1502</v>
      </c>
      <c r="H112" s="47" t="s">
        <v>1510</v>
      </c>
      <c r="I112" s="382">
        <v>571</v>
      </c>
      <c r="J112" s="382">
        <v>0</v>
      </c>
      <c r="K112" s="382">
        <v>0</v>
      </c>
      <c r="L112" s="382">
        <v>16</v>
      </c>
      <c r="M112" s="382">
        <v>0</v>
      </c>
      <c r="N112" s="382">
        <v>571</v>
      </c>
      <c r="O112" s="444">
        <v>1716</v>
      </c>
      <c r="P112" s="445">
        <v>587</v>
      </c>
      <c r="Q112" s="346">
        <v>0.34207459207459207</v>
      </c>
      <c r="R112" s="445">
        <v>1795</v>
      </c>
      <c r="S112" s="447">
        <v>1398</v>
      </c>
      <c r="T112" s="445">
        <v>-1.9803873342606677</v>
      </c>
      <c r="U112" s="444">
        <v>1705.7369308114494</v>
      </c>
      <c r="V112" s="445">
        <v>585.01961266573937</v>
      </c>
      <c r="W112" s="229">
        <v>0.34297176903324428</v>
      </c>
      <c r="X112" s="261">
        <v>281641.41503620328</v>
      </c>
      <c r="Y112" s="262">
        <v>68854.592587520427</v>
      </c>
      <c r="Z112" s="262">
        <v>143800.25893506626</v>
      </c>
      <c r="AA112" s="262">
        <v>144131.40578752646</v>
      </c>
      <c r="AB112" s="263">
        <v>638427.67234631651</v>
      </c>
      <c r="AC112" s="262">
        <v>280692.10432862799</v>
      </c>
      <c r="AD112" s="262">
        <v>68622.508815321416</v>
      </c>
      <c r="AE112" s="262">
        <v>143315.56059785045</v>
      </c>
      <c r="AF112" s="263">
        <v>143645.59127479084</v>
      </c>
      <c r="AG112" s="262">
        <v>280692.10432862799</v>
      </c>
      <c r="AH112" s="262">
        <v>68622.508815321416</v>
      </c>
      <c r="AI112" s="262">
        <v>143315.56059785045</v>
      </c>
      <c r="AJ112" s="263">
        <v>143645.59127479084</v>
      </c>
      <c r="AK112" s="262">
        <v>280935.23360447492</v>
      </c>
      <c r="AL112" s="262">
        <v>68681.351881713999</v>
      </c>
      <c r="AM112" s="262">
        <v>143447.52896144756</v>
      </c>
      <c r="AN112" s="262">
        <v>143781.12126634913</v>
      </c>
      <c r="AO112" s="263">
        <v>636845.23571398563</v>
      </c>
      <c r="AP112" s="31"/>
      <c r="AQ112" s="261">
        <v>279967.06931571872</v>
      </c>
      <c r="AR112" s="262">
        <v>68440.287709734766</v>
      </c>
      <c r="AS112" s="262">
        <v>142644.31630529114</v>
      </c>
      <c r="AT112" s="262">
        <v>143141.9007971659</v>
      </c>
      <c r="AU112" s="263">
        <v>634193.57412791054</v>
      </c>
      <c r="AV112" s="31"/>
      <c r="AW112" s="323">
        <v>660994.76840648043</v>
      </c>
      <c r="AX112" s="31"/>
      <c r="AY112" s="747">
        <v>0</v>
      </c>
      <c r="AZ112" s="262">
        <v>0</v>
      </c>
      <c r="BA112" s="262">
        <v>634193.57412791054</v>
      </c>
      <c r="BB112" s="262">
        <v>6207.4097255267043</v>
      </c>
      <c r="BC112" s="263">
        <v>627986.16440238385</v>
      </c>
      <c r="BD112" s="261">
        <v>6279.8616440238384</v>
      </c>
      <c r="BE112" s="262">
        <v>621706.30275836005</v>
      </c>
      <c r="BF112" s="354">
        <v>0.94056160876607753</v>
      </c>
      <c r="BG112" s="31"/>
      <c r="BJ112" s="46">
        <v>0.94056160876607753</v>
      </c>
      <c r="BK112" s="539"/>
      <c r="BL112" s="46">
        <v>0.94999999999999984</v>
      </c>
      <c r="BM112" s="458">
        <v>0.94</v>
      </c>
      <c r="BN112" s="4" t="s">
        <v>900</v>
      </c>
      <c r="BO112" s="31" t="s">
        <v>900</v>
      </c>
      <c r="BP112" s="31" t="s">
        <v>900</v>
      </c>
      <c r="BQ112" s="31">
        <v>621706.30275836005</v>
      </c>
      <c r="BR112" s="4">
        <v>0.94056160876607753</v>
      </c>
      <c r="BS112" s="4" t="s">
        <v>900</v>
      </c>
      <c r="BT112" s="448" t="s">
        <v>900</v>
      </c>
      <c r="BU112" s="367" t="s">
        <v>900</v>
      </c>
      <c r="BV112" s="368">
        <v>621706.30275836005</v>
      </c>
      <c r="BX112" s="449">
        <v>-2159.6876108108554</v>
      </c>
      <c r="BY112" s="450">
        <v>-3.461854167274138E-3</v>
      </c>
      <c r="BZ112" s="368">
        <v>-3.6916499277176005</v>
      </c>
      <c r="CB112" s="31">
        <v>80769</v>
      </c>
      <c r="CC112" s="31">
        <v>91786.016487520203</v>
      </c>
      <c r="CD112" s="31" t="e">
        <v>#VALUE!</v>
      </c>
      <c r="CE112" s="31" t="s">
        <v>900</v>
      </c>
      <c r="CF112" s="31" t="e">
        <v>#VALUE!</v>
      </c>
      <c r="CJ112" s="702" t="s">
        <v>1447</v>
      </c>
      <c r="CK112" s="702" t="s">
        <v>1447</v>
      </c>
      <c r="CL112" s="702" t="s">
        <v>1448</v>
      </c>
      <c r="CN112" s="702" t="s">
        <v>1447</v>
      </c>
      <c r="CO112" s="702" t="s">
        <v>1447</v>
      </c>
      <c r="CP112" s="702" t="s">
        <v>1447</v>
      </c>
      <c r="CQ112" s="702" t="s">
        <v>1447</v>
      </c>
      <c r="CS112" s="451">
        <v>0</v>
      </c>
      <c r="CT112" s="452">
        <v>0</v>
      </c>
      <c r="CU112" s="452">
        <v>0.95</v>
      </c>
      <c r="CV112" s="453">
        <v>0.95</v>
      </c>
    </row>
    <row r="113" spans="1:100" s="48" customFormat="1" outlineLevel="1" x14ac:dyDescent="0.3">
      <c r="A113" s="202">
        <v>108796000</v>
      </c>
      <c r="D113" s="48" t="s">
        <v>1524</v>
      </c>
      <c r="E113" s="48" t="s">
        <v>70</v>
      </c>
      <c r="F113" s="48" t="s">
        <v>900</v>
      </c>
      <c r="G113" s="48" t="s">
        <v>900</v>
      </c>
      <c r="H113" s="48" t="s">
        <v>900</v>
      </c>
      <c r="O113" s="454" t="s">
        <v>900</v>
      </c>
      <c r="P113" s="455" t="s">
        <v>900</v>
      </c>
      <c r="Q113" s="347" t="s">
        <v>900</v>
      </c>
      <c r="R113" s="455">
        <v>15.7414907367514</v>
      </c>
      <c r="S113" s="457">
        <v>6.3007324429125378</v>
      </c>
      <c r="T113" s="455"/>
      <c r="U113" s="454">
        <v>15.7414907367514</v>
      </c>
      <c r="V113" s="455">
        <v>2.993124815178557</v>
      </c>
      <c r="W113" s="230">
        <v>0.19014239916874948</v>
      </c>
      <c r="X113" s="264"/>
      <c r="Y113" s="265"/>
      <c r="Z113" s="265"/>
      <c r="AA113" s="265"/>
      <c r="AB113" s="266"/>
      <c r="AC113" s="265">
        <v>1458.7756550815645</v>
      </c>
      <c r="AD113" s="265">
        <v>353.05839835549085</v>
      </c>
      <c r="AE113" s="265">
        <v>791.81018158271877</v>
      </c>
      <c r="AF113" s="266">
        <v>813.17994934973262</v>
      </c>
      <c r="AG113" s="265" t="s">
        <v>900</v>
      </c>
      <c r="AH113" s="265" t="s">
        <v>900</v>
      </c>
      <c r="AI113" s="265" t="s">
        <v>900</v>
      </c>
      <c r="AJ113" s="266" t="s">
        <v>900</v>
      </c>
      <c r="AK113" s="265" t="s">
        <v>900</v>
      </c>
      <c r="AL113" s="265" t="s">
        <v>900</v>
      </c>
      <c r="AM113" s="265" t="s">
        <v>900</v>
      </c>
      <c r="AN113" s="265" t="s">
        <v>900</v>
      </c>
      <c r="AO113" s="266">
        <v>0</v>
      </c>
      <c r="AP113" s="203"/>
      <c r="AQ113" s="264">
        <v>0</v>
      </c>
      <c r="AR113" s="265">
        <v>0</v>
      </c>
      <c r="AS113" s="265">
        <v>0</v>
      </c>
      <c r="AT113" s="265">
        <v>0</v>
      </c>
      <c r="AU113" s="266">
        <v>0</v>
      </c>
      <c r="AV113" s="203"/>
      <c r="AW113" s="324">
        <v>0</v>
      </c>
      <c r="AX113" s="203"/>
      <c r="AY113" s="377">
        <v>0</v>
      </c>
      <c r="AZ113" s="265">
        <v>0</v>
      </c>
      <c r="BA113" s="265">
        <v>0</v>
      </c>
      <c r="BB113" s="265">
        <v>0</v>
      </c>
      <c r="BC113" s="266">
        <v>0</v>
      </c>
      <c r="BD113" s="264">
        <v>0</v>
      </c>
      <c r="BE113" s="265">
        <v>0</v>
      </c>
      <c r="BF113" s="357" t="s">
        <v>1450</v>
      </c>
      <c r="BG113" s="203"/>
      <c r="BJ113" s="458"/>
      <c r="BK113" s="210"/>
      <c r="BL113" s="458"/>
      <c r="BM113" s="458"/>
      <c r="BN113" s="458"/>
      <c r="BQ113" s="203">
        <v>0</v>
      </c>
      <c r="BR113" s="458"/>
      <c r="BT113" s="459">
        <v>0</v>
      </c>
      <c r="BU113" s="460"/>
      <c r="BV113" s="461">
        <v>0</v>
      </c>
      <c r="BX113" s="462">
        <v>-3350.1460479227148</v>
      </c>
      <c r="BY113" s="463">
        <v>-1.0000210529379521</v>
      </c>
      <c r="BZ113" s="461">
        <v>-1119.2804359289171</v>
      </c>
      <c r="CB113" s="203" t="s">
        <v>900</v>
      </c>
      <c r="CC113" s="203">
        <v>63.501355360569377</v>
      </c>
      <c r="CD113" s="203" t="e">
        <v>#VALUE!</v>
      </c>
      <c r="CE113" s="203" t="s">
        <v>900</v>
      </c>
      <c r="CF113" s="203" t="e">
        <v>#VALUE!</v>
      </c>
      <c r="CH113" s="199"/>
      <c r="CJ113" s="464" t="s">
        <v>1448</v>
      </c>
      <c r="CK113" s="464" t="s">
        <v>1447</v>
      </c>
      <c r="CL113" s="464" t="s">
        <v>1448</v>
      </c>
      <c r="CN113" s="464" t="s">
        <v>1448</v>
      </c>
      <c r="CO113" s="464" t="s">
        <v>1448</v>
      </c>
      <c r="CP113" s="464" t="s">
        <v>1448</v>
      </c>
      <c r="CQ113" s="464" t="s">
        <v>1448</v>
      </c>
      <c r="CS113" s="465">
        <v>0</v>
      </c>
      <c r="CT113" s="466">
        <v>0.9</v>
      </c>
      <c r="CU113" s="466">
        <v>0</v>
      </c>
      <c r="CV113" s="467">
        <v>0.9</v>
      </c>
    </row>
    <row r="114" spans="1:100" s="469" customFormat="1" outlineLevel="1" x14ac:dyDescent="0.3">
      <c r="A114" s="468"/>
      <c r="D114" s="469" t="s">
        <v>878</v>
      </c>
      <c r="E114" s="469" t="s">
        <v>900</v>
      </c>
      <c r="F114" s="469" t="s">
        <v>900</v>
      </c>
      <c r="G114" s="469" t="s">
        <v>900</v>
      </c>
      <c r="H114" s="469" t="s">
        <v>900</v>
      </c>
      <c r="I114" s="469">
        <v>0</v>
      </c>
      <c r="J114" s="469">
        <v>0</v>
      </c>
      <c r="K114" s="469">
        <v>0</v>
      </c>
      <c r="L114" s="469">
        <v>0</v>
      </c>
      <c r="M114" s="469">
        <v>0</v>
      </c>
      <c r="N114" s="469">
        <v>0</v>
      </c>
      <c r="O114" s="470">
        <v>0</v>
      </c>
      <c r="P114" s="471">
        <v>0</v>
      </c>
      <c r="Q114" s="846"/>
      <c r="R114" s="471">
        <v>15.7414907367514</v>
      </c>
      <c r="S114" s="472">
        <v>6.3007324429125378</v>
      </c>
      <c r="T114" s="471"/>
      <c r="U114" s="470">
        <v>15.7414907367514</v>
      </c>
      <c r="V114" s="471">
        <v>2.993124815178557</v>
      </c>
      <c r="W114" s="473"/>
      <c r="X114" s="474"/>
      <c r="Y114" s="475"/>
      <c r="Z114" s="475"/>
      <c r="AA114" s="475"/>
      <c r="AB114" s="476"/>
      <c r="AC114" s="475">
        <v>1458.7756550815645</v>
      </c>
      <c r="AD114" s="475">
        <v>353.05839835549085</v>
      </c>
      <c r="AE114" s="475">
        <v>791.81018158271877</v>
      </c>
      <c r="AF114" s="476">
        <v>813.17994934973262</v>
      </c>
      <c r="AG114" s="475"/>
      <c r="AH114" s="475"/>
      <c r="AI114" s="475"/>
      <c r="AJ114" s="476"/>
      <c r="AK114" s="475"/>
      <c r="AL114" s="475"/>
      <c r="AM114" s="475"/>
      <c r="AN114" s="475"/>
      <c r="AO114" s="476"/>
      <c r="AQ114" s="474"/>
      <c r="AR114" s="475"/>
      <c r="AS114" s="475"/>
      <c r="AT114" s="475"/>
      <c r="AU114" s="476"/>
      <c r="AW114" s="477"/>
      <c r="AY114" s="847"/>
      <c r="AZ114" s="475"/>
      <c r="BA114" s="475"/>
      <c r="BB114" s="475"/>
      <c r="BC114" s="476"/>
      <c r="BD114" s="474"/>
      <c r="BE114" s="475"/>
      <c r="BF114" s="478" t="s">
        <v>1450</v>
      </c>
      <c r="BJ114" s="479"/>
      <c r="BK114" s="480"/>
      <c r="BL114" s="479"/>
      <c r="BM114" s="479"/>
      <c r="BN114" s="479"/>
      <c r="BQ114" s="481"/>
      <c r="BR114" s="479"/>
      <c r="BT114" s="482">
        <v>0</v>
      </c>
      <c r="BU114" s="483"/>
      <c r="BV114" s="484"/>
      <c r="BX114" s="485"/>
      <c r="BY114" s="486" t="s">
        <v>900</v>
      </c>
      <c r="BZ114" s="484">
        <v>0</v>
      </c>
      <c r="CB114" s="481"/>
      <c r="CE114" s="481"/>
      <c r="CH114" s="199"/>
      <c r="CJ114" s="487" t="s">
        <v>1450</v>
      </c>
      <c r="CK114" s="487" t="s">
        <v>1448</v>
      </c>
      <c r="CL114" s="487" t="s">
        <v>1448</v>
      </c>
      <c r="CN114" s="487" t="s">
        <v>1448</v>
      </c>
      <c r="CO114" s="487" t="s">
        <v>1450</v>
      </c>
      <c r="CP114" s="487" t="s">
        <v>1450</v>
      </c>
      <c r="CQ114" s="487" t="s">
        <v>1450</v>
      </c>
      <c r="CS114" s="488">
        <v>0.85</v>
      </c>
      <c r="CT114" s="489">
        <v>0</v>
      </c>
      <c r="CU114" s="489">
        <v>0</v>
      </c>
      <c r="CV114" s="490">
        <v>0.85</v>
      </c>
    </row>
    <row r="115" spans="1:100" s="492" customFormat="1" outlineLevel="1" x14ac:dyDescent="0.3">
      <c r="A115" s="491" t="s">
        <v>880</v>
      </c>
      <c r="B115" s="492">
        <v>0.47504394803264705</v>
      </c>
      <c r="D115" s="492" t="s">
        <v>879</v>
      </c>
      <c r="E115" s="492" t="s">
        <v>900</v>
      </c>
      <c r="F115" s="492" t="s">
        <v>900</v>
      </c>
      <c r="G115" s="492" t="s">
        <v>900</v>
      </c>
      <c r="H115" s="492" t="s">
        <v>900</v>
      </c>
      <c r="I115" s="492">
        <v>863</v>
      </c>
      <c r="J115" s="492">
        <v>0</v>
      </c>
      <c r="K115" s="492">
        <v>0</v>
      </c>
      <c r="L115" s="492">
        <v>25</v>
      </c>
      <c r="M115" s="492">
        <v>0</v>
      </c>
      <c r="N115" s="492">
        <v>863</v>
      </c>
      <c r="O115" s="493">
        <v>2632</v>
      </c>
      <c r="P115" s="494">
        <v>888</v>
      </c>
      <c r="Q115" s="848"/>
      <c r="R115" s="494">
        <v>2355.7414907367515</v>
      </c>
      <c r="S115" s="495">
        <v>1869.3007324429125</v>
      </c>
      <c r="T115" s="494"/>
      <c r="U115" s="493">
        <v>2632.0000000000005</v>
      </c>
      <c r="V115" s="494">
        <v>888</v>
      </c>
      <c r="W115" s="496"/>
      <c r="X115" s="497">
        <v>432789.42967674125</v>
      </c>
      <c r="Y115" s="498">
        <v>104745.33375614436</v>
      </c>
      <c r="Z115" s="498">
        <v>234914.17320112951</v>
      </c>
      <c r="AA115" s="498">
        <v>241254.15397335676</v>
      </c>
      <c r="AB115" s="499">
        <v>1013703.0906073719</v>
      </c>
      <c r="AC115" s="498">
        <v>432789.42967674119</v>
      </c>
      <c r="AD115" s="498">
        <v>104745.33375614436</v>
      </c>
      <c r="AE115" s="498">
        <v>234914.17320112954</v>
      </c>
      <c r="AF115" s="499">
        <v>241254.15397335676</v>
      </c>
      <c r="AG115" s="498">
        <v>431330.65402165963</v>
      </c>
      <c r="AH115" s="498">
        <v>104392.27535778887</v>
      </c>
      <c r="AI115" s="498">
        <v>234122.36301954681</v>
      </c>
      <c r="AJ115" s="499">
        <v>240440.97402400704</v>
      </c>
      <c r="AK115" s="498">
        <v>432789.42967674119</v>
      </c>
      <c r="AL115" s="498">
        <v>104745.33375614436</v>
      </c>
      <c r="AM115" s="498">
        <v>234914.17320112954</v>
      </c>
      <c r="AN115" s="498">
        <v>241254.15397335676</v>
      </c>
      <c r="AO115" s="499">
        <v>1013703.0906073719</v>
      </c>
      <c r="AP115" s="500"/>
      <c r="AQ115" s="497">
        <v>430068.66807745217</v>
      </c>
      <c r="AR115" s="498">
        <v>103765.4020678275</v>
      </c>
      <c r="AS115" s="498">
        <v>233261.57876428062</v>
      </c>
      <c r="AT115" s="498">
        <v>239631.3521067297</v>
      </c>
      <c r="AU115" s="499">
        <v>1006727.00101629</v>
      </c>
      <c r="AV115" s="500"/>
      <c r="AW115" s="501">
        <v>1038441.5565786741</v>
      </c>
      <c r="AX115" s="500"/>
      <c r="AY115" s="849">
        <v>0</v>
      </c>
      <c r="AZ115" s="498">
        <v>3665.5349117555888</v>
      </c>
      <c r="BA115" s="498">
        <v>1003061.4661045345</v>
      </c>
      <c r="BB115" s="498">
        <v>9817.8438792294601</v>
      </c>
      <c r="BC115" s="499">
        <v>993243.62222530495</v>
      </c>
      <c r="BD115" s="497">
        <v>9932.4362222530508</v>
      </c>
      <c r="BE115" s="498">
        <v>983311.18600305193</v>
      </c>
      <c r="BF115" s="502">
        <v>0.94691047346250401</v>
      </c>
      <c r="BG115" s="500"/>
      <c r="BJ115" s="503"/>
      <c r="BK115" s="504"/>
      <c r="BL115" s="503"/>
      <c r="BM115" s="503"/>
      <c r="BN115" s="503"/>
      <c r="BO115" s="500">
        <v>0</v>
      </c>
      <c r="BP115" s="500">
        <v>0</v>
      </c>
      <c r="BQ115" s="500">
        <v>983311.18600305193</v>
      </c>
      <c r="BR115" s="503"/>
      <c r="BT115" s="497">
        <v>0</v>
      </c>
      <c r="BU115" s="498">
        <v>0</v>
      </c>
      <c r="BV115" s="499">
        <v>983311.18600305193</v>
      </c>
      <c r="BX115" s="506"/>
      <c r="BY115" s="507" t="s">
        <v>900</v>
      </c>
      <c r="BZ115" s="505">
        <v>0</v>
      </c>
      <c r="CB115" s="500"/>
      <c r="CE115" s="500"/>
      <c r="CH115" s="395"/>
      <c r="CJ115" s="487" t="s">
        <v>1450</v>
      </c>
      <c r="CK115" s="487" t="s">
        <v>1448</v>
      </c>
      <c r="CL115" s="508" t="s">
        <v>1448</v>
      </c>
      <c r="CN115" s="487" t="s">
        <v>1448</v>
      </c>
      <c r="CO115" s="487" t="s">
        <v>1450</v>
      </c>
      <c r="CP115" s="487" t="s">
        <v>1450</v>
      </c>
      <c r="CQ115" s="487" t="s">
        <v>1450</v>
      </c>
      <c r="CS115" s="488">
        <v>0.85</v>
      </c>
      <c r="CT115" s="489">
        <v>0</v>
      </c>
      <c r="CU115" s="489">
        <v>0</v>
      </c>
      <c r="CV115" s="490">
        <v>0.85</v>
      </c>
    </row>
    <row r="116" spans="1:100" s="469" customFormat="1" outlineLevel="1" x14ac:dyDescent="0.3">
      <c r="A116" s="468"/>
      <c r="E116" s="469" t="s">
        <v>900</v>
      </c>
      <c r="F116" s="469" t="s">
        <v>900</v>
      </c>
      <c r="G116" s="469" t="s">
        <v>900</v>
      </c>
      <c r="H116" s="469" t="s">
        <v>900</v>
      </c>
      <c r="O116" s="470"/>
      <c r="P116" s="471"/>
      <c r="Q116" s="846"/>
      <c r="R116" s="471"/>
      <c r="S116" s="472"/>
      <c r="T116" s="471"/>
      <c r="U116" s="470"/>
      <c r="V116" s="471"/>
      <c r="W116" s="473"/>
      <c r="X116" s="474">
        <v>487.37548387020411</v>
      </c>
      <c r="Y116" s="475">
        <v>117.956456932595</v>
      </c>
      <c r="Z116" s="475">
        <v>264.5429878391098</v>
      </c>
      <c r="AA116" s="475">
        <v>271.68260582585219</v>
      </c>
      <c r="AB116" s="476" t="s">
        <v>900</v>
      </c>
      <c r="AC116" s="475"/>
      <c r="AD116" s="475"/>
      <c r="AE116" s="475"/>
      <c r="AF116" s="476"/>
      <c r="AG116" s="475">
        <v>243.12927584692565</v>
      </c>
      <c r="AH116" s="475">
        <v>58.843066392582841</v>
      </c>
      <c r="AI116" s="475">
        <v>131.96836359712083</v>
      </c>
      <c r="AJ116" s="476">
        <v>135.52999155828729</v>
      </c>
      <c r="AK116" s="475"/>
      <c r="AL116" s="475"/>
      <c r="AM116" s="475"/>
      <c r="AN116" s="475"/>
      <c r="AO116" s="476"/>
      <c r="AQ116" s="474"/>
      <c r="AR116" s="475"/>
      <c r="AS116" s="475"/>
      <c r="AT116" s="475"/>
      <c r="AU116" s="476"/>
      <c r="AW116" s="477"/>
      <c r="AY116" s="847"/>
      <c r="AZ116" s="475"/>
      <c r="BA116" s="475"/>
      <c r="BB116" s="475"/>
      <c r="BC116" s="476"/>
      <c r="BD116" s="474"/>
      <c r="BE116" s="475"/>
      <c r="BF116" s="478" t="s">
        <v>1450</v>
      </c>
      <c r="BJ116" s="479"/>
      <c r="BK116" s="480"/>
      <c r="BL116" s="479"/>
      <c r="BM116" s="479"/>
      <c r="BN116" s="479"/>
      <c r="BQ116" s="481"/>
      <c r="BR116" s="479"/>
      <c r="BT116" s="482">
        <v>0</v>
      </c>
      <c r="BU116" s="483"/>
      <c r="BV116" s="484"/>
      <c r="BX116" s="485"/>
      <c r="BY116" s="486" t="s">
        <v>900</v>
      </c>
      <c r="BZ116" s="484" t="s">
        <v>900</v>
      </c>
      <c r="CB116" s="481"/>
      <c r="CE116" s="481"/>
      <c r="CH116" s="199"/>
      <c r="CJ116" s="487" t="s">
        <v>1450</v>
      </c>
      <c r="CK116" s="487" t="s">
        <v>1448</v>
      </c>
      <c r="CL116" s="487" t="s">
        <v>1448</v>
      </c>
      <c r="CN116" s="487" t="s">
        <v>1448</v>
      </c>
      <c r="CO116" s="487" t="s">
        <v>1450</v>
      </c>
      <c r="CP116" s="487" t="s">
        <v>1450</v>
      </c>
      <c r="CQ116" s="487" t="s">
        <v>1450</v>
      </c>
      <c r="CS116" s="488">
        <v>0.85</v>
      </c>
      <c r="CT116" s="489">
        <v>0</v>
      </c>
      <c r="CU116" s="489">
        <v>0</v>
      </c>
      <c r="CV116" s="490">
        <v>0.85</v>
      </c>
    </row>
    <row r="117" spans="1:100" s="199" customFormat="1" outlineLevel="1" x14ac:dyDescent="0.3">
      <c r="A117" s="201"/>
      <c r="E117" s="199" t="s">
        <v>900</v>
      </c>
      <c r="F117" s="199" t="s">
        <v>900</v>
      </c>
      <c r="G117" s="199" t="s">
        <v>900</v>
      </c>
      <c r="H117" s="199" t="s">
        <v>900</v>
      </c>
      <c r="O117" s="509" t="s">
        <v>900</v>
      </c>
      <c r="P117" s="510" t="s">
        <v>900</v>
      </c>
      <c r="Q117" s="349" t="s">
        <v>900</v>
      </c>
      <c r="R117" s="510" t="s">
        <v>900</v>
      </c>
      <c r="S117" s="512" t="s">
        <v>900</v>
      </c>
      <c r="T117" s="510"/>
      <c r="U117" s="509"/>
      <c r="V117" s="510"/>
      <c r="W117" s="232"/>
      <c r="X117" s="270" t="s">
        <v>900</v>
      </c>
      <c r="Y117" s="271" t="s">
        <v>900</v>
      </c>
      <c r="Z117" s="271" t="s">
        <v>900</v>
      </c>
      <c r="AA117" s="271" t="s">
        <v>900</v>
      </c>
      <c r="AB117" s="272" t="s">
        <v>900</v>
      </c>
      <c r="AC117" s="271"/>
      <c r="AD117" s="271"/>
      <c r="AE117" s="271"/>
      <c r="AF117" s="272"/>
      <c r="AG117" s="271"/>
      <c r="AH117" s="271"/>
      <c r="AI117" s="271"/>
      <c r="AJ117" s="272"/>
      <c r="AK117" s="271"/>
      <c r="AL117" s="271"/>
      <c r="AM117" s="271"/>
      <c r="AN117" s="271"/>
      <c r="AO117" s="272"/>
      <c r="AQ117" s="270"/>
      <c r="AR117" s="271"/>
      <c r="AS117" s="271"/>
      <c r="AT117" s="271"/>
      <c r="AU117" s="272"/>
      <c r="AW117" s="326"/>
      <c r="AY117" s="378"/>
      <c r="AZ117" s="271"/>
      <c r="BA117" s="271"/>
      <c r="BB117" s="271"/>
      <c r="BC117" s="272"/>
      <c r="BD117" s="270"/>
      <c r="BE117" s="271"/>
      <c r="BF117" s="363" t="s">
        <v>1450</v>
      </c>
      <c r="BJ117" s="513"/>
      <c r="BK117" s="221"/>
      <c r="BL117" s="513"/>
      <c r="BM117" s="513"/>
      <c r="BN117" s="513"/>
      <c r="BQ117" s="200"/>
      <c r="BR117" s="513"/>
      <c r="BT117" s="514">
        <v>0</v>
      </c>
      <c r="BU117" s="515"/>
      <c r="BV117" s="516"/>
      <c r="BX117" s="517"/>
      <c r="BY117" s="518" t="s">
        <v>900</v>
      </c>
      <c r="BZ117" s="516" t="s">
        <v>900</v>
      </c>
      <c r="CB117" s="200"/>
      <c r="CE117" s="200"/>
      <c r="CJ117" s="519" t="s">
        <v>1450</v>
      </c>
      <c r="CK117" s="519" t="s">
        <v>1448</v>
      </c>
      <c r="CL117" s="519" t="s">
        <v>1448</v>
      </c>
      <c r="CN117" s="519" t="s">
        <v>1448</v>
      </c>
      <c r="CO117" s="519" t="s">
        <v>1450</v>
      </c>
      <c r="CP117" s="519" t="s">
        <v>1450</v>
      </c>
      <c r="CQ117" s="519" t="s">
        <v>1450</v>
      </c>
      <c r="CS117" s="520">
        <v>0.85</v>
      </c>
      <c r="CT117" s="521">
        <v>0</v>
      </c>
      <c r="CU117" s="521">
        <v>0</v>
      </c>
      <c r="CV117" s="522">
        <v>0.85</v>
      </c>
    </row>
    <row r="118" spans="1:100" outlineLevel="1" x14ac:dyDescent="0.3">
      <c r="A118" s="1">
        <v>70394000</v>
      </c>
      <c r="B118" s="47">
        <v>408430</v>
      </c>
      <c r="C118" s="47">
        <v>4255</v>
      </c>
      <c r="D118" s="47" t="s">
        <v>318</v>
      </c>
      <c r="E118" s="47" t="s">
        <v>7</v>
      </c>
      <c r="F118" s="47" t="s">
        <v>1498</v>
      </c>
      <c r="G118" s="47" t="s">
        <v>1502</v>
      </c>
      <c r="H118" s="47" t="s">
        <v>1523</v>
      </c>
      <c r="I118" s="382">
        <v>43</v>
      </c>
      <c r="J118" s="382">
        <v>0</v>
      </c>
      <c r="K118" s="382">
        <v>0</v>
      </c>
      <c r="L118" s="382">
        <v>2</v>
      </c>
      <c r="M118" s="382">
        <v>0</v>
      </c>
      <c r="N118" s="382">
        <v>43</v>
      </c>
      <c r="O118" s="444">
        <v>83</v>
      </c>
      <c r="P118" s="445">
        <v>45</v>
      </c>
      <c r="Q118" s="346">
        <v>0.54216867469879515</v>
      </c>
      <c r="R118" s="445">
        <v>94</v>
      </c>
      <c r="S118" s="447">
        <v>68</v>
      </c>
      <c r="T118" s="445">
        <v>-5.1641778765335467</v>
      </c>
      <c r="U118" s="444">
        <v>75.389990276584413</v>
      </c>
      <c r="V118" s="445">
        <v>39.835822123466457</v>
      </c>
      <c r="W118" s="229">
        <v>0.52839670064049837</v>
      </c>
      <c r="X118" s="261">
        <v>23285.571823845778</v>
      </c>
      <c r="Y118" s="262">
        <v>5377.7239258961772</v>
      </c>
      <c r="Z118" s="262">
        <v>18698.063345625218</v>
      </c>
      <c r="AA118" s="262">
        <v>16595.713668562457</v>
      </c>
      <c r="AB118" s="263">
        <v>63957.072763929631</v>
      </c>
      <c r="AC118" s="262">
        <v>20613.019224589338</v>
      </c>
      <c r="AD118" s="262">
        <v>4763.082101581017</v>
      </c>
      <c r="AE118" s="262">
        <v>16561.569352241269</v>
      </c>
      <c r="AF118" s="263">
        <v>14715.454893503578</v>
      </c>
      <c r="AG118" s="262">
        <v>20613.019224589338</v>
      </c>
      <c r="AH118" s="262">
        <v>4763.082101581017</v>
      </c>
      <c r="AI118" s="262">
        <v>16561.569352241269</v>
      </c>
      <c r="AJ118" s="263">
        <v>14715.454893503578</v>
      </c>
      <c r="AK118" s="262">
        <v>20622.524327611329</v>
      </c>
      <c r="AL118" s="262">
        <v>6737.6669330162686</v>
      </c>
      <c r="AM118" s="262">
        <v>16566.720881352499</v>
      </c>
      <c r="AN118" s="262">
        <v>14719.899037050651</v>
      </c>
      <c r="AO118" s="263">
        <v>58646.811179030745</v>
      </c>
      <c r="AP118" s="31"/>
      <c r="AQ118" s="261">
        <v>20517.374021966258</v>
      </c>
      <c r="AR118" s="262">
        <v>6523.7276130899327</v>
      </c>
      <c r="AS118" s="262">
        <v>16479.946441057531</v>
      </c>
      <c r="AT118" s="262">
        <v>14596.53518367658</v>
      </c>
      <c r="AU118" s="263">
        <v>58117.583259790306</v>
      </c>
      <c r="AV118" s="31"/>
      <c r="AW118" s="323">
        <v>66756.107443585715</v>
      </c>
      <c r="AX118" s="31"/>
      <c r="AY118" s="747">
        <v>0</v>
      </c>
      <c r="AZ118" s="262">
        <v>0</v>
      </c>
      <c r="BA118" s="262">
        <v>58117.583259790306</v>
      </c>
      <c r="BB118" s="262">
        <v>568.84785066927952</v>
      </c>
      <c r="BC118" s="263">
        <v>57548.735409121029</v>
      </c>
      <c r="BD118" s="261">
        <v>575.48735409121025</v>
      </c>
      <c r="BE118" s="262">
        <v>56973.248055029821</v>
      </c>
      <c r="BF118" s="354">
        <v>0.85345371737225395</v>
      </c>
      <c r="BG118" s="31"/>
      <c r="BJ118" s="4">
        <v>0.85345371737225395</v>
      </c>
      <c r="BL118" s="4">
        <v>0.95000000000000007</v>
      </c>
      <c r="BM118" s="4">
        <v>0.95</v>
      </c>
      <c r="BN118" s="4" t="s">
        <v>1003</v>
      </c>
      <c r="BO118" s="31">
        <v>6445.0540163766054</v>
      </c>
      <c r="BP118" s="31">
        <v>63418.302071406426</v>
      </c>
      <c r="BQ118" s="31">
        <v>63418.302071406426</v>
      </c>
      <c r="BR118" s="4">
        <v>0.95</v>
      </c>
      <c r="BS118" s="4" t="s">
        <v>900</v>
      </c>
      <c r="BT118" s="448" t="s">
        <v>900</v>
      </c>
      <c r="BU118" s="367" t="s">
        <v>900</v>
      </c>
      <c r="BV118" s="368">
        <v>56973.248055029821</v>
      </c>
      <c r="BX118" s="449">
        <v>-6699.2669449701716</v>
      </c>
      <c r="BY118" s="450">
        <v>-0.10521442328719342</v>
      </c>
      <c r="BZ118" s="368">
        <v>-168.17192636834704</v>
      </c>
      <c r="CB118" s="31">
        <v>5287</v>
      </c>
      <c r="CC118" s="31">
        <v>5995.7226601767597</v>
      </c>
      <c r="CD118" s="31" t="e">
        <v>#VALUE!</v>
      </c>
      <c r="CE118" s="31" t="s">
        <v>900</v>
      </c>
      <c r="CF118" s="31" t="e">
        <v>#VALUE!</v>
      </c>
      <c r="CJ118" s="702" t="s">
        <v>1447</v>
      </c>
      <c r="CK118" s="702" t="s">
        <v>1447</v>
      </c>
      <c r="CL118" s="702" t="s">
        <v>1448</v>
      </c>
      <c r="CN118" s="702" t="s">
        <v>1447</v>
      </c>
      <c r="CO118" s="702" t="s">
        <v>1447</v>
      </c>
      <c r="CP118" s="702" t="s">
        <v>1447</v>
      </c>
      <c r="CQ118" s="702" t="s">
        <v>1447</v>
      </c>
      <c r="CS118" s="451">
        <v>0</v>
      </c>
      <c r="CT118" s="452">
        <v>0</v>
      </c>
      <c r="CU118" s="452">
        <v>0.95</v>
      </c>
      <c r="CV118" s="453">
        <v>0.95</v>
      </c>
    </row>
    <row r="119" spans="1:100" outlineLevel="1" x14ac:dyDescent="0.3">
      <c r="A119" s="1">
        <v>70363000</v>
      </c>
      <c r="B119" s="47">
        <v>400480</v>
      </c>
      <c r="C119" s="47">
        <v>4249</v>
      </c>
      <c r="D119" s="47" t="s">
        <v>16</v>
      </c>
      <c r="E119" s="47" t="s">
        <v>7</v>
      </c>
      <c r="F119" s="47" t="s">
        <v>1498</v>
      </c>
      <c r="G119" s="47" t="s">
        <v>1499</v>
      </c>
      <c r="H119" s="47" t="s">
        <v>1513</v>
      </c>
      <c r="I119" s="382">
        <v>51</v>
      </c>
      <c r="J119" s="382">
        <v>0</v>
      </c>
      <c r="K119" s="382">
        <v>0</v>
      </c>
      <c r="L119" s="382">
        <v>2</v>
      </c>
      <c r="M119" s="382">
        <v>0</v>
      </c>
      <c r="N119" s="382">
        <v>51</v>
      </c>
      <c r="O119" s="444">
        <v>205</v>
      </c>
      <c r="P119" s="445">
        <v>53</v>
      </c>
      <c r="Q119" s="346">
        <v>0.25853658536585367</v>
      </c>
      <c r="R119" s="445">
        <v>164</v>
      </c>
      <c r="S119" s="447">
        <v>146</v>
      </c>
      <c r="T119" s="445">
        <v>-6.1263443554747248</v>
      </c>
      <c r="U119" s="444">
        <v>186.20419285180486</v>
      </c>
      <c r="V119" s="445">
        <v>46.873655644525272</v>
      </c>
      <c r="W119" s="229">
        <v>0.25173254654813715</v>
      </c>
      <c r="X119" s="261">
        <v>47926.781241770259</v>
      </c>
      <c r="Y119" s="262">
        <v>11689.139029641543</v>
      </c>
      <c r="Z119" s="262">
        <v>20699.762587218323</v>
      </c>
      <c r="AA119" s="262">
        <v>18980.929938969923</v>
      </c>
      <c r="AB119" s="263">
        <v>99296.612797600043</v>
      </c>
      <c r="AC119" s="262">
        <v>42426.085585650726</v>
      </c>
      <c r="AD119" s="262">
        <v>10353.14003883148</v>
      </c>
      <c r="AE119" s="262">
        <v>18334.548735142409</v>
      </c>
      <c r="AF119" s="263">
        <v>16830.431274719504</v>
      </c>
      <c r="AG119" s="262">
        <v>42426.085585650726</v>
      </c>
      <c r="AH119" s="262">
        <v>10353.14003883148</v>
      </c>
      <c r="AI119" s="262">
        <v>18334.548735142409</v>
      </c>
      <c r="AJ119" s="263">
        <v>16830.431274719504</v>
      </c>
      <c r="AK119" s="262">
        <v>42435.590688672717</v>
      </c>
      <c r="AL119" s="262">
        <v>12327.724870266731</v>
      </c>
      <c r="AM119" s="262">
        <v>18339.700264253639</v>
      </c>
      <c r="AN119" s="262">
        <v>16834.875418266576</v>
      </c>
      <c r="AO119" s="263">
        <v>89937.891241459656</v>
      </c>
      <c r="AP119" s="31"/>
      <c r="AQ119" s="261">
        <v>42168.418979085531</v>
      </c>
      <c r="AR119" s="262">
        <v>11936.285949167801</v>
      </c>
      <c r="AS119" s="262">
        <v>18180.827130966311</v>
      </c>
      <c r="AT119" s="262">
        <v>16699.280544392295</v>
      </c>
      <c r="AU119" s="263">
        <v>88984.812603611936</v>
      </c>
      <c r="AV119" s="31"/>
      <c r="AW119" s="323">
        <v>96647.710425066616</v>
      </c>
      <c r="AX119" s="31"/>
      <c r="AY119" s="747">
        <v>0</v>
      </c>
      <c r="AZ119" s="262">
        <v>0</v>
      </c>
      <c r="BA119" s="262">
        <v>88984.812603611936</v>
      </c>
      <c r="BB119" s="262">
        <v>870.97254484074188</v>
      </c>
      <c r="BC119" s="263">
        <v>88113.840058771195</v>
      </c>
      <c r="BD119" s="261">
        <v>881.138400587712</v>
      </c>
      <c r="BE119" s="262">
        <v>87232.701658183476</v>
      </c>
      <c r="BF119" s="354">
        <v>0.90258425444870904</v>
      </c>
      <c r="BG119" s="31"/>
      <c r="BJ119" s="4">
        <v>0.90258425444870904</v>
      </c>
      <c r="BL119" s="4">
        <v>0.9</v>
      </c>
      <c r="BM119" s="4">
        <v>0.9</v>
      </c>
      <c r="BN119" s="4" t="s">
        <v>900</v>
      </c>
      <c r="BO119" s="31" t="s">
        <v>900</v>
      </c>
      <c r="BP119" s="31" t="s">
        <v>900</v>
      </c>
      <c r="BQ119" s="31">
        <v>87024.656619165879</v>
      </c>
      <c r="BR119" s="4">
        <v>0.90043164226469974</v>
      </c>
      <c r="BS119" s="4" t="s">
        <v>900</v>
      </c>
      <c r="BT119" s="448" t="s">
        <v>900</v>
      </c>
      <c r="BU119" s="367" t="s">
        <v>900</v>
      </c>
      <c r="BV119" s="368">
        <v>87232.701658183476</v>
      </c>
      <c r="BX119" s="449">
        <v>-1977.4583418165275</v>
      </c>
      <c r="BY119" s="450">
        <v>-2.2166290720883448E-2</v>
      </c>
      <c r="BZ119" s="368">
        <v>-42.186987863991995</v>
      </c>
      <c r="CB119" s="31">
        <v>10600</v>
      </c>
      <c r="CC119" s="31">
        <v>11533.106552963578</v>
      </c>
      <c r="CD119" s="31" t="e">
        <v>#VALUE!</v>
      </c>
      <c r="CE119" s="31" t="s">
        <v>900</v>
      </c>
      <c r="CF119" s="31" t="e">
        <v>#VALUE!</v>
      </c>
      <c r="CJ119" s="702" t="s">
        <v>1447</v>
      </c>
      <c r="CK119" s="702" t="s">
        <v>1447</v>
      </c>
      <c r="CL119" s="702" t="s">
        <v>1448</v>
      </c>
      <c r="CN119" s="702" t="s">
        <v>1447</v>
      </c>
      <c r="CO119" s="702" t="s">
        <v>1447</v>
      </c>
      <c r="CP119" s="702" t="s">
        <v>1447</v>
      </c>
      <c r="CQ119" s="702" t="s">
        <v>1447</v>
      </c>
      <c r="CS119" s="451">
        <v>0</v>
      </c>
      <c r="CT119" s="452">
        <v>0.9</v>
      </c>
      <c r="CU119" s="452">
        <v>0</v>
      </c>
      <c r="CV119" s="453">
        <v>0.9</v>
      </c>
    </row>
    <row r="120" spans="1:100" outlineLevel="1" x14ac:dyDescent="0.3">
      <c r="A120" s="1">
        <v>70447000</v>
      </c>
      <c r="B120" s="47">
        <v>400840</v>
      </c>
      <c r="C120" s="47">
        <v>4274</v>
      </c>
      <c r="D120" s="47" t="s">
        <v>52</v>
      </c>
      <c r="E120" s="47" t="s">
        <v>7</v>
      </c>
      <c r="F120" s="47" t="s">
        <v>1498</v>
      </c>
      <c r="G120" s="47" t="s">
        <v>1502</v>
      </c>
      <c r="H120" s="47" t="s">
        <v>1513</v>
      </c>
      <c r="I120" s="382">
        <v>92</v>
      </c>
      <c r="J120" s="382">
        <v>0</v>
      </c>
      <c r="K120" s="382">
        <v>0</v>
      </c>
      <c r="L120" s="382">
        <v>4</v>
      </c>
      <c r="M120" s="382">
        <v>0</v>
      </c>
      <c r="N120" s="382">
        <v>92</v>
      </c>
      <c r="O120" s="444">
        <v>262</v>
      </c>
      <c r="P120" s="445">
        <v>96</v>
      </c>
      <c r="Q120" s="346">
        <v>0.36641221374045801</v>
      </c>
      <c r="R120" s="445">
        <v>260</v>
      </c>
      <c r="S120" s="447">
        <v>257</v>
      </c>
      <c r="T120" s="445">
        <v>-11.049980612272977</v>
      </c>
      <c r="U120" s="444">
        <v>237.97804159596524</v>
      </c>
      <c r="V120" s="445">
        <v>84.950019387727025</v>
      </c>
      <c r="W120" s="229">
        <v>0.35696578901995341</v>
      </c>
      <c r="X120" s="261">
        <v>71667.321627646626</v>
      </c>
      <c r="Y120" s="262">
        <v>17451.98625973161</v>
      </c>
      <c r="Z120" s="262">
        <v>45839.168386115874</v>
      </c>
      <c r="AA120" s="262">
        <v>51063.088068551966</v>
      </c>
      <c r="AB120" s="263">
        <v>186021.56434204607</v>
      </c>
      <c r="AC120" s="262">
        <v>63441.85531113678</v>
      </c>
      <c r="AD120" s="262">
        <v>15457.32814406477</v>
      </c>
      <c r="AE120" s="262">
        <v>40601.454398930902</v>
      </c>
      <c r="AF120" s="263">
        <v>45277.749676966196</v>
      </c>
      <c r="AG120" s="262">
        <v>63441.85531113678</v>
      </c>
      <c r="AH120" s="262">
        <v>15457.32814406477</v>
      </c>
      <c r="AI120" s="262">
        <v>40601.454398930902</v>
      </c>
      <c r="AJ120" s="263">
        <v>45277.749676966196</v>
      </c>
      <c r="AK120" s="262">
        <v>63451.360414158771</v>
      </c>
      <c r="AL120" s="262">
        <v>17431.912975500021</v>
      </c>
      <c r="AM120" s="262">
        <v>40606.605928042132</v>
      </c>
      <c r="AN120" s="262">
        <v>45282.193820513268</v>
      </c>
      <c r="AO120" s="263">
        <v>166772.07313821418</v>
      </c>
      <c r="AP120" s="31"/>
      <c r="AQ120" s="261">
        <v>62897.866281876697</v>
      </c>
      <c r="AR120" s="262">
        <v>16878.402146889795</v>
      </c>
      <c r="AS120" s="262">
        <v>40217.826290985198</v>
      </c>
      <c r="AT120" s="262">
        <v>44897.299180891248</v>
      </c>
      <c r="AU120" s="263">
        <v>164891.39390064293</v>
      </c>
      <c r="AV120" s="31"/>
      <c r="AW120" s="323">
        <v>170762.19938059535</v>
      </c>
      <c r="AX120" s="31"/>
      <c r="AY120" s="747">
        <v>0</v>
      </c>
      <c r="AZ120" s="262">
        <v>0</v>
      </c>
      <c r="BA120" s="262">
        <v>164891.39390064293</v>
      </c>
      <c r="BB120" s="262">
        <v>1613.9369490805752</v>
      </c>
      <c r="BC120" s="263">
        <v>163277.45695156234</v>
      </c>
      <c r="BD120" s="261">
        <v>1632.7745695156234</v>
      </c>
      <c r="BE120" s="262">
        <v>161644.68238204671</v>
      </c>
      <c r="BF120" s="354">
        <v>0.94660693624455206</v>
      </c>
      <c r="BG120" s="31"/>
      <c r="BJ120" s="4">
        <v>0.94660693624455206</v>
      </c>
      <c r="BL120" s="4">
        <v>0.95</v>
      </c>
      <c r="BM120" s="4">
        <v>0.95</v>
      </c>
      <c r="BN120" s="4" t="s">
        <v>1003</v>
      </c>
      <c r="BO120" s="31">
        <v>579.4070295188867</v>
      </c>
      <c r="BP120" s="31">
        <v>162224.0894115656</v>
      </c>
      <c r="BQ120" s="31">
        <v>162224.0894115656</v>
      </c>
      <c r="BR120" s="4">
        <v>0.95000000000000007</v>
      </c>
      <c r="BS120" s="4" t="s">
        <v>900</v>
      </c>
      <c r="BT120" s="448" t="s">
        <v>900</v>
      </c>
      <c r="BU120" s="367" t="s">
        <v>900</v>
      </c>
      <c r="BV120" s="368">
        <v>161644.68238204671</v>
      </c>
      <c r="BX120" s="449">
        <v>-3011.0371179532958</v>
      </c>
      <c r="BY120" s="450">
        <v>-1.8286866238820792E-2</v>
      </c>
      <c r="BZ120" s="368">
        <v>-35.44480789592744</v>
      </c>
      <c r="CB120" s="31">
        <v>9370</v>
      </c>
      <c r="CC120" s="31">
        <v>10959.891006007547</v>
      </c>
      <c r="CD120" s="31" t="e">
        <v>#VALUE!</v>
      </c>
      <c r="CE120" s="31" t="s">
        <v>900</v>
      </c>
      <c r="CF120" s="31" t="e">
        <v>#VALUE!</v>
      </c>
      <c r="CJ120" s="702" t="s">
        <v>1447</v>
      </c>
      <c r="CK120" s="702" t="s">
        <v>1447</v>
      </c>
      <c r="CL120" s="702" t="s">
        <v>1448</v>
      </c>
      <c r="CN120" s="702" t="s">
        <v>1447</v>
      </c>
      <c r="CO120" s="702" t="s">
        <v>1447</v>
      </c>
      <c r="CP120" s="702" t="s">
        <v>1447</v>
      </c>
      <c r="CQ120" s="702" t="s">
        <v>1447</v>
      </c>
      <c r="CS120" s="451">
        <v>0</v>
      </c>
      <c r="CT120" s="452">
        <v>0</v>
      </c>
      <c r="CU120" s="452">
        <v>0.95</v>
      </c>
      <c r="CV120" s="453">
        <v>0.95</v>
      </c>
    </row>
    <row r="121" spans="1:100" outlineLevel="1" x14ac:dyDescent="0.3">
      <c r="A121" s="1">
        <v>70375000</v>
      </c>
      <c r="B121" s="47">
        <v>405340</v>
      </c>
      <c r="C121" s="47">
        <v>4251</v>
      </c>
      <c r="D121" s="47" t="s">
        <v>297</v>
      </c>
      <c r="E121" s="47" t="s">
        <v>7</v>
      </c>
      <c r="F121" s="47" t="s">
        <v>1498</v>
      </c>
      <c r="G121" s="47" t="s">
        <v>1499</v>
      </c>
      <c r="H121" s="47" t="s">
        <v>1510</v>
      </c>
      <c r="I121" s="382">
        <v>60</v>
      </c>
      <c r="J121" s="382">
        <v>0</v>
      </c>
      <c r="K121" s="382">
        <v>0</v>
      </c>
      <c r="L121" s="382">
        <v>2</v>
      </c>
      <c r="M121" s="382">
        <v>0</v>
      </c>
      <c r="N121" s="382">
        <v>60</v>
      </c>
      <c r="O121" s="444">
        <v>274</v>
      </c>
      <c r="P121" s="445">
        <v>62</v>
      </c>
      <c r="Q121" s="346">
        <v>0.22627737226277372</v>
      </c>
      <c r="R121" s="445">
        <v>131</v>
      </c>
      <c r="S121" s="447">
        <v>89</v>
      </c>
      <c r="T121" s="445">
        <v>-7.2087816442835519</v>
      </c>
      <c r="U121" s="444">
        <v>248.87779922631481</v>
      </c>
      <c r="V121" s="445">
        <v>54.791218355716445</v>
      </c>
      <c r="W121" s="229">
        <v>0.22015309732746607</v>
      </c>
      <c r="X121" s="261">
        <v>28595.0994798088</v>
      </c>
      <c r="Y121" s="262">
        <v>6775.8744499194672</v>
      </c>
      <c r="Z121" s="262">
        <v>9816.2468362561685</v>
      </c>
      <c r="AA121" s="262">
        <v>6476.9473382464912</v>
      </c>
      <c r="AB121" s="263">
        <v>51664.168104230928</v>
      </c>
      <c r="AC121" s="262">
        <v>25313.156995471825</v>
      </c>
      <c r="AD121" s="262">
        <v>6001.4323456727434</v>
      </c>
      <c r="AE121" s="262">
        <v>8694.6145037749338</v>
      </c>
      <c r="AF121" s="263">
        <v>5743.1230923267849</v>
      </c>
      <c r="AG121" s="262">
        <v>25313.156995471825</v>
      </c>
      <c r="AH121" s="262">
        <v>6001.4323456727434</v>
      </c>
      <c r="AI121" s="262">
        <v>8694.6145037749338</v>
      </c>
      <c r="AJ121" s="263">
        <v>5743.1230923267849</v>
      </c>
      <c r="AK121" s="262">
        <v>25322.662098493816</v>
      </c>
      <c r="AL121" s="262">
        <v>7976.0171771079949</v>
      </c>
      <c r="AM121" s="262">
        <v>8699.7660328861639</v>
      </c>
      <c r="AN121" s="262">
        <v>5747.5672358738566</v>
      </c>
      <c r="AO121" s="263">
        <v>47746.012544361838</v>
      </c>
      <c r="AP121" s="31"/>
      <c r="AQ121" s="261">
        <v>24938.035326499696</v>
      </c>
      <c r="AR121" s="262">
        <v>7722.7568560568698</v>
      </c>
      <c r="AS121" s="262">
        <v>8579.2700955980508</v>
      </c>
      <c r="AT121" s="262">
        <v>5516.6765863650162</v>
      </c>
      <c r="AU121" s="263">
        <v>46756.738864519626</v>
      </c>
      <c r="AV121" s="31"/>
      <c r="AW121" s="323">
        <v>31676.918798508865</v>
      </c>
      <c r="AX121" s="31"/>
      <c r="AY121" s="747">
        <v>0</v>
      </c>
      <c r="AZ121" s="262">
        <v>4410.8960251810131</v>
      </c>
      <c r="BA121" s="262">
        <v>42345.842839338613</v>
      </c>
      <c r="BB121" s="262">
        <v>414.47596979833168</v>
      </c>
      <c r="BC121" s="263">
        <v>41931.366869540281</v>
      </c>
      <c r="BD121" s="261">
        <v>419.31366869540284</v>
      </c>
      <c r="BE121" s="262">
        <v>41512.053200844879</v>
      </c>
      <c r="BF121" s="354">
        <v>1.3104826724119072</v>
      </c>
      <c r="BG121" s="31"/>
      <c r="BJ121" s="4">
        <v>1.3104826724119072</v>
      </c>
      <c r="BL121" s="4">
        <v>1.4122312769052421</v>
      </c>
      <c r="BM121" s="4">
        <v>0.9</v>
      </c>
      <c r="BN121" s="4" t="s">
        <v>900</v>
      </c>
      <c r="BO121" s="31" t="s">
        <v>900</v>
      </c>
      <c r="BP121" s="31" t="s">
        <v>900</v>
      </c>
      <c r="BQ121" s="31">
        <v>41413.049311664516</v>
      </c>
      <c r="BR121" s="4">
        <v>1.3073572456679077</v>
      </c>
      <c r="BS121" s="4" t="s">
        <v>900</v>
      </c>
      <c r="BT121" s="448" t="s">
        <v>900</v>
      </c>
      <c r="BU121" s="367" t="s">
        <v>900</v>
      </c>
      <c r="BV121" s="368">
        <v>41512.053200844879</v>
      </c>
      <c r="BX121" s="449">
        <v>-1790.9154161743645</v>
      </c>
      <c r="BY121" s="450">
        <v>-4.0782352563995268E-2</v>
      </c>
      <c r="BZ121" s="368">
        <v>-32.686176177856716</v>
      </c>
      <c r="CB121" s="31">
        <v>2507</v>
      </c>
      <c r="CC121" s="31">
        <v>3629.4789803793942</v>
      </c>
      <c r="CD121" s="31" t="e">
        <v>#VALUE!</v>
      </c>
      <c r="CE121" s="31" t="s">
        <v>900</v>
      </c>
      <c r="CF121" s="31" t="e">
        <v>#VALUE!</v>
      </c>
      <c r="CJ121" s="702" t="s">
        <v>1447</v>
      </c>
      <c r="CK121" s="702" t="s">
        <v>1447</v>
      </c>
      <c r="CL121" s="702" t="s">
        <v>1448</v>
      </c>
      <c r="CN121" s="702" t="s">
        <v>1447</v>
      </c>
      <c r="CO121" s="702" t="s">
        <v>1447</v>
      </c>
      <c r="CP121" s="702" t="s">
        <v>1447</v>
      </c>
      <c r="CQ121" s="702" t="s">
        <v>1447</v>
      </c>
      <c r="CS121" s="451">
        <v>0</v>
      </c>
      <c r="CT121" s="452">
        <v>0.9</v>
      </c>
      <c r="CU121" s="452">
        <v>0</v>
      </c>
      <c r="CV121" s="453">
        <v>0.9</v>
      </c>
    </row>
    <row r="122" spans="1:100" outlineLevel="1" x14ac:dyDescent="0.3">
      <c r="A122" s="1">
        <v>70449000</v>
      </c>
      <c r="B122" s="47">
        <v>405850</v>
      </c>
      <c r="C122" s="47">
        <v>4275</v>
      </c>
      <c r="D122" s="47" t="s">
        <v>317</v>
      </c>
      <c r="E122" s="47" t="s">
        <v>7</v>
      </c>
      <c r="F122" s="47" t="s">
        <v>1498</v>
      </c>
      <c r="G122" s="47" t="s">
        <v>1502</v>
      </c>
      <c r="H122" s="47" t="s">
        <v>1513</v>
      </c>
      <c r="I122" s="382">
        <v>93</v>
      </c>
      <c r="J122" s="382">
        <v>0</v>
      </c>
      <c r="K122" s="382">
        <v>0</v>
      </c>
      <c r="L122" s="382">
        <v>4</v>
      </c>
      <c r="M122" s="382">
        <v>0</v>
      </c>
      <c r="N122" s="382">
        <v>93</v>
      </c>
      <c r="O122" s="444">
        <v>450</v>
      </c>
      <c r="P122" s="445">
        <v>97</v>
      </c>
      <c r="Q122" s="346">
        <v>0.21555555555555556</v>
      </c>
      <c r="R122" s="445">
        <v>454</v>
      </c>
      <c r="S122" s="447">
        <v>354</v>
      </c>
      <c r="T122" s="445">
        <v>-11.170251422140623</v>
      </c>
      <c r="U122" s="444">
        <v>408.74091113810823</v>
      </c>
      <c r="V122" s="445">
        <v>85.829748577859377</v>
      </c>
      <c r="W122" s="229">
        <v>0.20998570546528586</v>
      </c>
      <c r="X122" s="261">
        <v>55533.060049654217</v>
      </c>
      <c r="Y122" s="262">
        <v>13335.586986684053</v>
      </c>
      <c r="Z122" s="262">
        <v>24039.58699295919</v>
      </c>
      <c r="AA122" s="262">
        <v>21915.241472892867</v>
      </c>
      <c r="AB122" s="263">
        <v>114823.47550219033</v>
      </c>
      <c r="AC122" s="262">
        <v>49159.369718872571</v>
      </c>
      <c r="AD122" s="262">
        <v>11811.408797778035</v>
      </c>
      <c r="AE122" s="262">
        <v>21292.755288278666</v>
      </c>
      <c r="AF122" s="263">
        <v>19432.291603433565</v>
      </c>
      <c r="AG122" s="262">
        <v>49159.369718872571</v>
      </c>
      <c r="AH122" s="262">
        <v>11811.408797778035</v>
      </c>
      <c r="AI122" s="262">
        <v>21292.755288278666</v>
      </c>
      <c r="AJ122" s="263">
        <v>19432.291603433565</v>
      </c>
      <c r="AK122" s="262">
        <v>49168.874821894562</v>
      </c>
      <c r="AL122" s="262">
        <v>13785.993629213286</v>
      </c>
      <c r="AM122" s="262">
        <v>21297.906817389896</v>
      </c>
      <c r="AN122" s="262">
        <v>19436.735746980637</v>
      </c>
      <c r="AO122" s="263">
        <v>103689.51101547838</v>
      </c>
      <c r="AP122" s="31"/>
      <c r="AQ122" s="261">
        <v>48524.628658622394</v>
      </c>
      <c r="AR122" s="262">
        <v>13348.25069373364</v>
      </c>
      <c r="AS122" s="262">
        <v>21058.759368296982</v>
      </c>
      <c r="AT122" s="262">
        <v>19192.076606480619</v>
      </c>
      <c r="AU122" s="263">
        <v>102123.71532713364</v>
      </c>
      <c r="AV122" s="31"/>
      <c r="AW122" s="323">
        <v>110768.78178254221</v>
      </c>
      <c r="AX122" s="31"/>
      <c r="AY122" s="747">
        <v>0</v>
      </c>
      <c r="AZ122" s="262">
        <v>0</v>
      </c>
      <c r="BA122" s="262">
        <v>102123.71532713364</v>
      </c>
      <c r="BB122" s="262">
        <v>999.57452990640638</v>
      </c>
      <c r="BC122" s="263">
        <v>101124.14079722724</v>
      </c>
      <c r="BD122" s="261">
        <v>1011.2414079722724</v>
      </c>
      <c r="BE122" s="262">
        <v>100112.89938925498</v>
      </c>
      <c r="BF122" s="354">
        <v>0.90380067179752388</v>
      </c>
      <c r="BG122" s="31"/>
      <c r="BJ122" s="4">
        <v>0.90380067179752388</v>
      </c>
      <c r="BL122" s="4">
        <v>0.9</v>
      </c>
      <c r="BM122" s="4">
        <v>0.9</v>
      </c>
      <c r="BN122" s="4" t="s">
        <v>900</v>
      </c>
      <c r="BO122" s="31" t="s">
        <v>900</v>
      </c>
      <c r="BP122" s="31" t="s">
        <v>900</v>
      </c>
      <c r="BQ122" s="31">
        <v>99874.135810187858</v>
      </c>
      <c r="BR122" s="4">
        <v>0.90164515852722493</v>
      </c>
      <c r="BS122" s="4" t="s">
        <v>900</v>
      </c>
      <c r="BT122" s="448" t="s">
        <v>900</v>
      </c>
      <c r="BU122" s="367" t="s">
        <v>900</v>
      </c>
      <c r="BV122" s="368">
        <v>100112.89938925498</v>
      </c>
      <c r="BX122" s="449">
        <v>-1434.181610745014</v>
      </c>
      <c r="BY122" s="450">
        <v>-1.4123316954280684E-2</v>
      </c>
      <c r="BZ122" s="368">
        <v>-16.70960983235334</v>
      </c>
      <c r="CB122" s="31">
        <v>15250</v>
      </c>
      <c r="CC122" s="31">
        <v>17027.55101205947</v>
      </c>
      <c r="CD122" s="31" t="e">
        <v>#VALUE!</v>
      </c>
      <c r="CE122" s="31" t="s">
        <v>900</v>
      </c>
      <c r="CF122" s="31" t="e">
        <v>#VALUE!</v>
      </c>
      <c r="CJ122" s="702" t="s">
        <v>1447</v>
      </c>
      <c r="CK122" s="702" t="s">
        <v>1447</v>
      </c>
      <c r="CL122" s="702" t="s">
        <v>1448</v>
      </c>
      <c r="CN122" s="702" t="s">
        <v>1447</v>
      </c>
      <c r="CO122" s="702" t="s">
        <v>1447</v>
      </c>
      <c r="CP122" s="702" t="s">
        <v>1447</v>
      </c>
      <c r="CQ122" s="702" t="s">
        <v>1447</v>
      </c>
      <c r="CS122" s="451">
        <v>0</v>
      </c>
      <c r="CT122" s="452">
        <v>0.9</v>
      </c>
      <c r="CU122" s="452">
        <v>0</v>
      </c>
      <c r="CV122" s="453">
        <v>0.9</v>
      </c>
    </row>
    <row r="123" spans="1:100" outlineLevel="1" x14ac:dyDescent="0.3">
      <c r="A123" s="1">
        <v>70224000</v>
      </c>
      <c r="B123" s="47">
        <v>403310</v>
      </c>
      <c r="C123" s="47">
        <v>4238</v>
      </c>
      <c r="D123" s="47" t="s">
        <v>180</v>
      </c>
      <c r="E123" s="47" t="s">
        <v>7</v>
      </c>
      <c r="F123" s="47" t="s">
        <v>1498</v>
      </c>
      <c r="G123" s="47" t="s">
        <v>1499</v>
      </c>
      <c r="H123" s="47" t="s">
        <v>1523</v>
      </c>
      <c r="I123" s="382">
        <v>155</v>
      </c>
      <c r="J123" s="382">
        <v>0</v>
      </c>
      <c r="K123" s="382">
        <v>0</v>
      </c>
      <c r="L123" s="382">
        <v>6</v>
      </c>
      <c r="M123" s="382">
        <v>0</v>
      </c>
      <c r="N123" s="382">
        <v>155</v>
      </c>
      <c r="O123" s="444">
        <v>514</v>
      </c>
      <c r="P123" s="445">
        <v>161</v>
      </c>
      <c r="Q123" s="346">
        <v>0.3132295719844358</v>
      </c>
      <c r="R123" s="445">
        <v>397</v>
      </c>
      <c r="S123" s="447">
        <v>218</v>
      </c>
      <c r="T123" s="445">
        <v>-18.619574686159471</v>
      </c>
      <c r="U123" s="444">
        <v>466.87295183330582</v>
      </c>
      <c r="V123" s="445">
        <v>142.38042531384053</v>
      </c>
      <c r="W123" s="229">
        <v>0.30496610427900012</v>
      </c>
      <c r="X123" s="261">
        <v>121125.67500293581</v>
      </c>
      <c r="Y123" s="262">
        <v>26503.245910406364</v>
      </c>
      <c r="Z123" s="262">
        <v>48365.217967538985</v>
      </c>
      <c r="AA123" s="262">
        <v>46305.705367601819</v>
      </c>
      <c r="AB123" s="263">
        <v>242299.84424848299</v>
      </c>
      <c r="AC123" s="262">
        <v>107223.73005545189</v>
      </c>
      <c r="AD123" s="262">
        <v>23474.082710301998</v>
      </c>
      <c r="AE123" s="262">
        <v>42838.870357826294</v>
      </c>
      <c r="AF123" s="263">
        <v>41059.368235523172</v>
      </c>
      <c r="AG123" s="262">
        <v>107223.73005545189</v>
      </c>
      <c r="AH123" s="262">
        <v>23474.082710301998</v>
      </c>
      <c r="AI123" s="262">
        <v>42838.870357826294</v>
      </c>
      <c r="AJ123" s="263">
        <v>41059.368235523172</v>
      </c>
      <c r="AK123" s="262">
        <v>107233.23515847388</v>
      </c>
      <c r="AL123" s="262">
        <v>25448.66754173725</v>
      </c>
      <c r="AM123" s="262">
        <v>42844.021886937524</v>
      </c>
      <c r="AN123" s="262">
        <v>41063.812379070245</v>
      </c>
      <c r="AO123" s="263">
        <v>216589.73696621889</v>
      </c>
      <c r="AP123" s="31"/>
      <c r="AQ123" s="261">
        <v>108666.15777544843</v>
      </c>
      <c r="AR123" s="262">
        <v>24640.602868752096</v>
      </c>
      <c r="AS123" s="262">
        <v>43242.806526439585</v>
      </c>
      <c r="AT123" s="262">
        <v>41471.259859742546</v>
      </c>
      <c r="AU123" s="263">
        <v>218020.82703038264</v>
      </c>
      <c r="AV123" s="31"/>
      <c r="AW123" s="323">
        <v>226640.49904186107</v>
      </c>
      <c r="AX123" s="31"/>
      <c r="AY123" s="747">
        <v>0</v>
      </c>
      <c r="AZ123" s="262">
        <v>0</v>
      </c>
      <c r="BA123" s="262">
        <v>218020.82703038264</v>
      </c>
      <c r="BB123" s="262">
        <v>2133.9613917356032</v>
      </c>
      <c r="BC123" s="263">
        <v>215886.86563864705</v>
      </c>
      <c r="BD123" s="261">
        <v>2158.8686563864708</v>
      </c>
      <c r="BE123" s="262">
        <v>213727.99698226058</v>
      </c>
      <c r="BF123" s="354">
        <v>0.9430265018203321</v>
      </c>
      <c r="BG123" s="31"/>
      <c r="BJ123" s="4">
        <v>0.9430265018203321</v>
      </c>
      <c r="BL123" s="4">
        <v>0.95</v>
      </c>
      <c r="BM123" s="4">
        <v>0.95</v>
      </c>
      <c r="BN123" s="4" t="s">
        <v>1003</v>
      </c>
      <c r="BO123" s="31">
        <v>1580.4771075074095</v>
      </c>
      <c r="BP123" s="31">
        <v>215308.47408976799</v>
      </c>
      <c r="BQ123" s="31">
        <v>215308.47408976799</v>
      </c>
      <c r="BR123" s="4">
        <v>0.94999999999999984</v>
      </c>
      <c r="BS123" s="4" t="s">
        <v>900</v>
      </c>
      <c r="BT123" s="448" t="s">
        <v>900</v>
      </c>
      <c r="BU123" s="367" t="s">
        <v>900</v>
      </c>
      <c r="BV123" s="368">
        <v>213727.99698226058</v>
      </c>
      <c r="BX123" s="449">
        <v>-4533.4770177394093</v>
      </c>
      <c r="BY123" s="450">
        <v>-2.0770853117849875E-2</v>
      </c>
      <c r="BZ123" s="368">
        <v>-31.840591905429001</v>
      </c>
      <c r="CB123" s="31">
        <v>32922</v>
      </c>
      <c r="CC123" s="31">
        <v>35655.916468219744</v>
      </c>
      <c r="CD123" s="31" t="e">
        <v>#VALUE!</v>
      </c>
      <c r="CE123" s="31" t="s">
        <v>900</v>
      </c>
      <c r="CF123" s="31" t="e">
        <v>#VALUE!</v>
      </c>
      <c r="CJ123" s="702" t="s">
        <v>1447</v>
      </c>
      <c r="CK123" s="702" t="s">
        <v>1447</v>
      </c>
      <c r="CL123" s="702" t="s">
        <v>1448</v>
      </c>
      <c r="CN123" s="702" t="s">
        <v>1447</v>
      </c>
      <c r="CO123" s="702" t="s">
        <v>1447</v>
      </c>
      <c r="CP123" s="702" t="s">
        <v>1447</v>
      </c>
      <c r="CQ123" s="702" t="s">
        <v>1447</v>
      </c>
      <c r="CS123" s="451">
        <v>0</v>
      </c>
      <c r="CT123" s="452">
        <v>0</v>
      </c>
      <c r="CU123" s="452">
        <v>0.95</v>
      </c>
      <c r="CV123" s="453">
        <v>0.95</v>
      </c>
    </row>
    <row r="124" spans="1:100" outlineLevel="1" x14ac:dyDescent="0.3">
      <c r="A124" s="1">
        <v>70407000</v>
      </c>
      <c r="B124" s="47">
        <v>409390</v>
      </c>
      <c r="C124" s="47">
        <v>4261</v>
      </c>
      <c r="D124" s="47" t="s">
        <v>445</v>
      </c>
      <c r="E124" s="47" t="s">
        <v>7</v>
      </c>
      <c r="F124" s="47" t="s">
        <v>1498</v>
      </c>
      <c r="G124" s="47" t="s">
        <v>1502</v>
      </c>
      <c r="H124" s="47" t="s">
        <v>1512</v>
      </c>
      <c r="I124" s="382">
        <v>305</v>
      </c>
      <c r="J124" s="382">
        <v>0</v>
      </c>
      <c r="K124" s="382">
        <v>0</v>
      </c>
      <c r="L124" s="382">
        <v>12</v>
      </c>
      <c r="M124" s="382">
        <v>0</v>
      </c>
      <c r="N124" s="382">
        <v>305</v>
      </c>
      <c r="O124" s="444">
        <v>603</v>
      </c>
      <c r="P124" s="445">
        <v>317</v>
      </c>
      <c r="Q124" s="346">
        <v>0.52570480928689889</v>
      </c>
      <c r="R124" s="445">
        <v>1245</v>
      </c>
      <c r="S124" s="447">
        <v>1208</v>
      </c>
      <c r="T124" s="445">
        <v>-36.637795322980708</v>
      </c>
      <c r="U124" s="444">
        <v>547.71282092506499</v>
      </c>
      <c r="V124" s="445">
        <v>280.36220467701929</v>
      </c>
      <c r="W124" s="229">
        <v>0.51187811197024524</v>
      </c>
      <c r="X124" s="261">
        <v>285947.85869119113</v>
      </c>
      <c r="Y124" s="262">
        <v>69741.472071913508</v>
      </c>
      <c r="Z124" s="262">
        <v>201193.63764436563</v>
      </c>
      <c r="AA124" s="262">
        <v>232378.71942261222</v>
      </c>
      <c r="AB124" s="263">
        <v>789261.68783008249</v>
      </c>
      <c r="AC124" s="262">
        <v>253128.79378790368</v>
      </c>
      <c r="AD124" s="262">
        <v>61770.437073577799</v>
      </c>
      <c r="AE124" s="262">
        <v>178204.67935554771</v>
      </c>
      <c r="AF124" s="263">
        <v>206050.70876531824</v>
      </c>
      <c r="AG124" s="262">
        <v>253128.79378790368</v>
      </c>
      <c r="AH124" s="262">
        <v>61770.437073577799</v>
      </c>
      <c r="AI124" s="262">
        <v>178204.67935554771</v>
      </c>
      <c r="AJ124" s="263">
        <v>206050.70876531824</v>
      </c>
      <c r="AK124" s="262">
        <v>253138.29889092565</v>
      </c>
      <c r="AL124" s="262">
        <v>63745.021905013047</v>
      </c>
      <c r="AM124" s="262">
        <v>178209.83088465894</v>
      </c>
      <c r="AN124" s="262">
        <v>206055.1529088653</v>
      </c>
      <c r="AO124" s="263">
        <v>701148.30458946293</v>
      </c>
      <c r="AP124" s="31"/>
      <c r="AQ124" s="261">
        <v>251591.46512750679</v>
      </c>
      <c r="AR124" s="262">
        <v>61720.943426419763</v>
      </c>
      <c r="AS124" s="262">
        <v>176710.56517919412</v>
      </c>
      <c r="AT124" s="262">
        <v>204445.06358024199</v>
      </c>
      <c r="AU124" s="263">
        <v>694468.0373133627</v>
      </c>
      <c r="AV124" s="31"/>
      <c r="AW124" s="323">
        <v>723644.07069160731</v>
      </c>
      <c r="AX124" s="31"/>
      <c r="AY124" s="747">
        <v>0</v>
      </c>
      <c r="AZ124" s="262">
        <v>0</v>
      </c>
      <c r="BA124" s="262">
        <v>694468.0373133627</v>
      </c>
      <c r="BB124" s="262">
        <v>6797.3688551075638</v>
      </c>
      <c r="BC124" s="263">
        <v>687670.66845825512</v>
      </c>
      <c r="BD124" s="261">
        <v>6876.7066845825511</v>
      </c>
      <c r="BE124" s="262">
        <v>680793.96177367261</v>
      </c>
      <c r="BF124" s="354">
        <v>0.94078565602426389</v>
      </c>
      <c r="BG124" s="31"/>
      <c r="BJ124" s="4">
        <v>0.94078565602426389</v>
      </c>
      <c r="BL124" s="4">
        <v>0.95000000000000007</v>
      </c>
      <c r="BM124" s="4">
        <v>0.95</v>
      </c>
      <c r="BN124" s="4" t="s">
        <v>1003</v>
      </c>
      <c r="BO124" s="31">
        <v>6667.9053833542857</v>
      </c>
      <c r="BP124" s="31">
        <v>687461.86715702689</v>
      </c>
      <c r="BQ124" s="31">
        <v>687461.86715702689</v>
      </c>
      <c r="BR124" s="4">
        <v>0.95</v>
      </c>
      <c r="BS124" s="4" t="s">
        <v>900</v>
      </c>
      <c r="BT124" s="448" t="s">
        <v>900</v>
      </c>
      <c r="BU124" s="367" t="s">
        <v>900</v>
      </c>
      <c r="BV124" s="368">
        <v>680793.96177367261</v>
      </c>
      <c r="BX124" s="449">
        <v>-17602.366726327455</v>
      </c>
      <c r="BY124" s="450">
        <v>-2.5203979471274458E-2</v>
      </c>
      <c r="BZ124" s="368">
        <v>-62.784378324480642</v>
      </c>
      <c r="CB124" s="31">
        <v>82482</v>
      </c>
      <c r="CC124" s="31">
        <v>87487.366133494419</v>
      </c>
      <c r="CD124" s="31" t="e">
        <v>#VALUE!</v>
      </c>
      <c r="CE124" s="31" t="s">
        <v>900</v>
      </c>
      <c r="CF124" s="31" t="e">
        <v>#VALUE!</v>
      </c>
      <c r="CJ124" s="702" t="s">
        <v>1447</v>
      </c>
      <c r="CK124" s="702" t="s">
        <v>1447</v>
      </c>
      <c r="CL124" s="702" t="s">
        <v>1448</v>
      </c>
      <c r="CN124" s="702" t="s">
        <v>1447</v>
      </c>
      <c r="CO124" s="702" t="s">
        <v>1447</v>
      </c>
      <c r="CP124" s="702" t="s">
        <v>1447</v>
      </c>
      <c r="CQ124" s="702" t="s">
        <v>1447</v>
      </c>
      <c r="CS124" s="451">
        <v>0</v>
      </c>
      <c r="CT124" s="452">
        <v>0</v>
      </c>
      <c r="CU124" s="452">
        <v>0.95</v>
      </c>
      <c r="CV124" s="453">
        <v>0.95</v>
      </c>
    </row>
    <row r="125" spans="1:100" outlineLevel="1" x14ac:dyDescent="0.3">
      <c r="A125" s="1">
        <v>70402000</v>
      </c>
      <c r="B125" s="47">
        <v>407020</v>
      </c>
      <c r="C125" s="47">
        <v>4257</v>
      </c>
      <c r="D125" s="47" t="s">
        <v>360</v>
      </c>
      <c r="E125" s="47" t="s">
        <v>7</v>
      </c>
      <c r="F125" s="47" t="s">
        <v>1498</v>
      </c>
      <c r="G125" s="47" t="s">
        <v>1499</v>
      </c>
      <c r="H125" s="47" t="s">
        <v>1508</v>
      </c>
      <c r="I125" s="382">
        <v>380</v>
      </c>
      <c r="J125" s="382">
        <v>0</v>
      </c>
      <c r="K125" s="382">
        <v>0</v>
      </c>
      <c r="L125" s="382">
        <v>15</v>
      </c>
      <c r="M125" s="382">
        <v>0</v>
      </c>
      <c r="N125" s="382">
        <v>380</v>
      </c>
      <c r="O125" s="444">
        <v>1318</v>
      </c>
      <c r="P125" s="445">
        <v>395</v>
      </c>
      <c r="Q125" s="346">
        <v>0.29969650986342944</v>
      </c>
      <c r="R125" s="445">
        <v>862</v>
      </c>
      <c r="S125" s="447">
        <v>792</v>
      </c>
      <c r="T125" s="445">
        <v>-45.646905641391321</v>
      </c>
      <c r="U125" s="444">
        <v>1197.1567130667258</v>
      </c>
      <c r="V125" s="445">
        <v>349.3530943586087</v>
      </c>
      <c r="W125" s="229">
        <v>0.29181901629543539</v>
      </c>
      <c r="X125" s="261">
        <v>182178.45636329803</v>
      </c>
      <c r="Y125" s="262">
        <v>43168.877543841772</v>
      </c>
      <c r="Z125" s="262">
        <v>77841.096053205678</v>
      </c>
      <c r="AA125" s="262">
        <v>56638.98565999038</v>
      </c>
      <c r="AB125" s="263">
        <v>359827.4156203359</v>
      </c>
      <c r="AC125" s="262">
        <v>161269.30666469957</v>
      </c>
      <c r="AD125" s="262">
        <v>38234.931879689262</v>
      </c>
      <c r="AE125" s="262">
        <v>68946.750629191083</v>
      </c>
      <c r="AF125" s="263">
        <v>50221.910026818427</v>
      </c>
      <c r="AG125" s="262">
        <v>161269.30666469957</v>
      </c>
      <c r="AH125" s="262">
        <v>38234.931879689262</v>
      </c>
      <c r="AI125" s="262">
        <v>68946.750629191083</v>
      </c>
      <c r="AJ125" s="263">
        <v>50221.910026818427</v>
      </c>
      <c r="AK125" s="262">
        <v>161278.81176772155</v>
      </c>
      <c r="AL125" s="262">
        <v>40209.51671112451</v>
      </c>
      <c r="AM125" s="262">
        <v>68951.902158302313</v>
      </c>
      <c r="AN125" s="262">
        <v>50226.354170365499</v>
      </c>
      <c r="AO125" s="263">
        <v>320666.58480751386</v>
      </c>
      <c r="AP125" s="31"/>
      <c r="AQ125" s="261">
        <v>158829.1424351692</v>
      </c>
      <c r="AR125" s="262">
        <v>38932.754777762872</v>
      </c>
      <c r="AS125" s="262">
        <v>67996.885201874262</v>
      </c>
      <c r="AT125" s="262">
        <v>48208.666501663771</v>
      </c>
      <c r="AU125" s="263">
        <v>313967.44891647005</v>
      </c>
      <c r="AV125" s="31"/>
      <c r="AW125" s="323">
        <v>259165.81072600998</v>
      </c>
      <c r="AX125" s="31"/>
      <c r="AY125" s="747">
        <v>0</v>
      </c>
      <c r="AZ125" s="262">
        <v>29618.784502371796</v>
      </c>
      <c r="BA125" s="262">
        <v>284348.66441409825</v>
      </c>
      <c r="BB125" s="262">
        <v>2783.1702132141213</v>
      </c>
      <c r="BC125" s="263">
        <v>281565.49420088413</v>
      </c>
      <c r="BD125" s="261">
        <v>2815.6549420088413</v>
      </c>
      <c r="BE125" s="262">
        <v>278749.83925887529</v>
      </c>
      <c r="BF125" s="354">
        <v>1.0755656329745189</v>
      </c>
      <c r="BG125" s="31"/>
      <c r="BJ125" s="4">
        <v>1.0755656329745189</v>
      </c>
      <c r="BL125" s="4">
        <v>1.1360046680073643</v>
      </c>
      <c r="BM125" s="4">
        <v>0.9</v>
      </c>
      <c r="BN125" s="4" t="s">
        <v>900</v>
      </c>
      <c r="BO125" s="31" t="s">
        <v>900</v>
      </c>
      <c r="BP125" s="31" t="s">
        <v>900</v>
      </c>
      <c r="BQ125" s="31">
        <v>278085.03672401857</v>
      </c>
      <c r="BR125" s="4">
        <v>1.0730004700273139</v>
      </c>
      <c r="BS125" s="4" t="s">
        <v>900</v>
      </c>
      <c r="BT125" s="448" t="s">
        <v>900</v>
      </c>
      <c r="BU125" s="367" t="s">
        <v>900</v>
      </c>
      <c r="BV125" s="368">
        <v>278749.83925887529</v>
      </c>
      <c r="BX125" s="449">
        <v>-20642.698084513657</v>
      </c>
      <c r="BY125" s="450">
        <v>-6.7917849582851741E-2</v>
      </c>
      <c r="BZ125" s="368">
        <v>-59.088350490819067</v>
      </c>
      <c r="CB125" s="31">
        <v>12175</v>
      </c>
      <c r="CC125" s="31">
        <v>18935.598109654886</v>
      </c>
      <c r="CD125" s="31" t="e">
        <v>#VALUE!</v>
      </c>
      <c r="CE125" s="31" t="s">
        <v>900</v>
      </c>
      <c r="CF125" s="31" t="e">
        <v>#VALUE!</v>
      </c>
      <c r="CJ125" s="702" t="s">
        <v>1447</v>
      </c>
      <c r="CK125" s="702" t="s">
        <v>1447</v>
      </c>
      <c r="CL125" s="702" t="s">
        <v>1448</v>
      </c>
      <c r="CN125" s="702" t="s">
        <v>1447</v>
      </c>
      <c r="CO125" s="702" t="s">
        <v>1447</v>
      </c>
      <c r="CP125" s="702" t="s">
        <v>1447</v>
      </c>
      <c r="CQ125" s="702" t="s">
        <v>1447</v>
      </c>
      <c r="CS125" s="451">
        <v>0</v>
      </c>
      <c r="CT125" s="452">
        <v>0.9</v>
      </c>
      <c r="CU125" s="452">
        <v>0</v>
      </c>
      <c r="CV125" s="453">
        <v>0.9</v>
      </c>
    </row>
    <row r="126" spans="1:100" outlineLevel="1" x14ac:dyDescent="0.3">
      <c r="A126" s="1">
        <v>70209000</v>
      </c>
      <c r="B126" s="47">
        <v>409190</v>
      </c>
      <c r="C126" s="47">
        <v>4236</v>
      </c>
      <c r="D126" s="47" t="s">
        <v>442</v>
      </c>
      <c r="E126" s="47" t="s">
        <v>7</v>
      </c>
      <c r="F126" s="47" t="s">
        <v>1501</v>
      </c>
      <c r="G126" s="47" t="s">
        <v>1502</v>
      </c>
      <c r="H126" s="47" t="s">
        <v>1510</v>
      </c>
      <c r="I126" s="382">
        <v>425</v>
      </c>
      <c r="J126" s="382">
        <v>0</v>
      </c>
      <c r="K126" s="382">
        <v>0</v>
      </c>
      <c r="L126" s="382">
        <v>16</v>
      </c>
      <c r="M126" s="382">
        <v>0</v>
      </c>
      <c r="N126" s="382">
        <v>425</v>
      </c>
      <c r="O126" s="444">
        <v>1391</v>
      </c>
      <c r="P126" s="445">
        <v>441</v>
      </c>
      <c r="Q126" s="346">
        <v>0.31703810208483107</v>
      </c>
      <c r="R126" s="445">
        <v>1445</v>
      </c>
      <c r="S126" s="447">
        <v>830</v>
      </c>
      <c r="T126" s="445">
        <v>-51.05535861154781</v>
      </c>
      <c r="U126" s="444">
        <v>1263.4635719846856</v>
      </c>
      <c r="V126" s="445">
        <v>389.94464138845217</v>
      </c>
      <c r="W126" s="229">
        <v>0.30863148731380968</v>
      </c>
      <c r="X126" s="261">
        <v>203394.17533218849</v>
      </c>
      <c r="Y126" s="262">
        <v>48196.139232491718</v>
      </c>
      <c r="Z126" s="262">
        <v>91824.941235334554</v>
      </c>
      <c r="AA126" s="262">
        <v>68956.262109336269</v>
      </c>
      <c r="AB126" s="263">
        <v>412371.51790935104</v>
      </c>
      <c r="AC126" s="262">
        <v>180050.03604843677</v>
      </c>
      <c r="AD126" s="262">
        <v>42687.607490994858</v>
      </c>
      <c r="AE126" s="262">
        <v>81332.761817297273</v>
      </c>
      <c r="AF126" s="263">
        <v>61143.665464459918</v>
      </c>
      <c r="AG126" s="262">
        <v>180050.03604843677</v>
      </c>
      <c r="AH126" s="262">
        <v>42687.607490994858</v>
      </c>
      <c r="AI126" s="262">
        <v>81332.761817297273</v>
      </c>
      <c r="AJ126" s="263">
        <v>61143.665464459918</v>
      </c>
      <c r="AK126" s="262">
        <v>180059.54115145875</v>
      </c>
      <c r="AL126" s="262">
        <v>44662.192322430106</v>
      </c>
      <c r="AM126" s="262">
        <v>81337.913346408503</v>
      </c>
      <c r="AN126" s="262">
        <v>61148.109608006991</v>
      </c>
      <c r="AO126" s="263">
        <v>367207.75642830436</v>
      </c>
      <c r="AP126" s="31"/>
      <c r="AQ126" s="261">
        <v>177324.61068441486</v>
      </c>
      <c r="AR126" s="262">
        <v>43244.045781962515</v>
      </c>
      <c r="AS126" s="262">
        <v>80211.344187113122</v>
      </c>
      <c r="AT126" s="262">
        <v>58691.674360845594</v>
      </c>
      <c r="AU126" s="263">
        <v>359471.67501433607</v>
      </c>
      <c r="AV126" s="31"/>
      <c r="AW126" s="323">
        <v>210722.91324036743</v>
      </c>
      <c r="AX126" s="31"/>
      <c r="AY126" s="747">
        <v>0</v>
      </c>
      <c r="AZ126" s="262">
        <v>33911.522081987874</v>
      </c>
      <c r="BA126" s="262">
        <v>325560.1529323482</v>
      </c>
      <c r="BB126" s="262">
        <v>3186.5432606048876</v>
      </c>
      <c r="BC126" s="263">
        <v>322373.6096717433</v>
      </c>
      <c r="BD126" s="261">
        <v>3223.7360967174332</v>
      </c>
      <c r="BE126" s="262">
        <v>319149.87357502588</v>
      </c>
      <c r="BF126" s="354">
        <v>1.5145475575832514</v>
      </c>
      <c r="BG126" s="31"/>
      <c r="BJ126" s="4">
        <v>1.5145475575832514</v>
      </c>
      <c r="BL126" s="4">
        <v>1.7028063582720359</v>
      </c>
      <c r="BM126" s="4">
        <v>0.95</v>
      </c>
      <c r="BN126" s="4" t="s">
        <v>900</v>
      </c>
      <c r="BO126" s="31" t="s">
        <v>900</v>
      </c>
      <c r="BP126" s="31" t="s">
        <v>900</v>
      </c>
      <c r="BQ126" s="31">
        <v>318388.71925287094</v>
      </c>
      <c r="BR126" s="4">
        <v>1.5109354476781141</v>
      </c>
      <c r="BS126" s="4" t="s">
        <v>900</v>
      </c>
      <c r="BT126" s="448" t="s">
        <v>900</v>
      </c>
      <c r="BU126" s="367" t="s">
        <v>900</v>
      </c>
      <c r="BV126" s="368">
        <v>319149.87357502588</v>
      </c>
      <c r="BX126" s="449">
        <v>-23911.09041782032</v>
      </c>
      <c r="BY126" s="450">
        <v>-6.8655715273638451E-2</v>
      </c>
      <c r="BZ126" s="368">
        <v>-61.319192213237123</v>
      </c>
      <c r="CB126" s="31">
        <v>42445</v>
      </c>
      <c r="CC126" s="31">
        <v>49917.071617661932</v>
      </c>
      <c r="CD126" s="31" t="e">
        <v>#VALUE!</v>
      </c>
      <c r="CE126" s="31" t="s">
        <v>900</v>
      </c>
      <c r="CF126" s="31" t="e">
        <v>#VALUE!</v>
      </c>
      <c r="CJ126" s="702" t="s">
        <v>1447</v>
      </c>
      <c r="CK126" s="702" t="s">
        <v>1447</v>
      </c>
      <c r="CL126" s="702" t="s">
        <v>1448</v>
      </c>
      <c r="CN126" s="702" t="s">
        <v>1447</v>
      </c>
      <c r="CO126" s="702" t="s">
        <v>1447</v>
      </c>
      <c r="CP126" s="702" t="s">
        <v>1447</v>
      </c>
      <c r="CQ126" s="702" t="s">
        <v>1447</v>
      </c>
      <c r="CS126" s="451">
        <v>0</v>
      </c>
      <c r="CT126" s="452">
        <v>0</v>
      </c>
      <c r="CU126" s="452">
        <v>0.95</v>
      </c>
      <c r="CV126" s="453">
        <v>0.95</v>
      </c>
    </row>
    <row r="127" spans="1:100" outlineLevel="1" x14ac:dyDescent="0.3">
      <c r="A127" s="1">
        <v>70381000</v>
      </c>
      <c r="B127" s="47">
        <v>405460</v>
      </c>
      <c r="C127" s="47">
        <v>4252</v>
      </c>
      <c r="D127" s="47" t="s">
        <v>301</v>
      </c>
      <c r="E127" s="47" t="s">
        <v>7</v>
      </c>
      <c r="F127" s="47" t="s">
        <v>1501</v>
      </c>
      <c r="G127" s="47" t="s">
        <v>1502</v>
      </c>
      <c r="H127" s="47" t="s">
        <v>1510</v>
      </c>
      <c r="I127" s="382">
        <v>423</v>
      </c>
      <c r="J127" s="382">
        <v>0</v>
      </c>
      <c r="K127" s="382">
        <v>0</v>
      </c>
      <c r="L127" s="382">
        <v>16</v>
      </c>
      <c r="M127" s="382">
        <v>0</v>
      </c>
      <c r="N127" s="382">
        <v>423</v>
      </c>
      <c r="O127" s="444">
        <v>1735</v>
      </c>
      <c r="P127" s="445">
        <v>439</v>
      </c>
      <c r="Q127" s="346">
        <v>0.25302593659942363</v>
      </c>
      <c r="R127" s="445">
        <v>835</v>
      </c>
      <c r="S127" s="447">
        <v>567</v>
      </c>
      <c r="T127" s="445">
        <v>-50.814816991812506</v>
      </c>
      <c r="U127" s="444">
        <v>1575.923290721373</v>
      </c>
      <c r="V127" s="445">
        <v>388.18518300818749</v>
      </c>
      <c r="W127" s="229">
        <v>0.24632238465775652</v>
      </c>
      <c r="X127" s="261">
        <v>202471.75276832367</v>
      </c>
      <c r="Y127" s="262">
        <v>47977.562637333023</v>
      </c>
      <c r="Z127" s="262">
        <v>76844.18377152941</v>
      </c>
      <c r="AA127" s="262">
        <v>60040.175798290242</v>
      </c>
      <c r="AB127" s="263">
        <v>387333.67497547634</v>
      </c>
      <c r="AC127" s="262">
        <v>179233.48259696993</v>
      </c>
      <c r="AD127" s="262">
        <v>42494.012899198962</v>
      </c>
      <c r="AE127" s="262">
        <v>68063.748385274434</v>
      </c>
      <c r="AF127" s="263">
        <v>53237.75261508816</v>
      </c>
      <c r="AG127" s="262">
        <v>179233.48259696993</v>
      </c>
      <c r="AH127" s="262">
        <v>42494.012899198962</v>
      </c>
      <c r="AI127" s="262">
        <v>68063.748385274434</v>
      </c>
      <c r="AJ127" s="263">
        <v>53237.75261508816</v>
      </c>
      <c r="AK127" s="262">
        <v>179242.98769999191</v>
      </c>
      <c r="AL127" s="262">
        <v>44468.59773063421</v>
      </c>
      <c r="AM127" s="262">
        <v>68068.899914385664</v>
      </c>
      <c r="AN127" s="262">
        <v>53242.196758635233</v>
      </c>
      <c r="AO127" s="263">
        <v>345022.68210364704</v>
      </c>
      <c r="AP127" s="31"/>
      <c r="AQ127" s="261">
        <v>176520.45989096939</v>
      </c>
      <c r="AR127" s="262">
        <v>43056.598346997314</v>
      </c>
      <c r="AS127" s="262">
        <v>67126.11296306421</v>
      </c>
      <c r="AT127" s="262">
        <v>52555.406237772717</v>
      </c>
      <c r="AU127" s="263">
        <v>339258.57743880362</v>
      </c>
      <c r="AV127" s="31"/>
      <c r="AW127" s="323">
        <v>331059.79533664032</v>
      </c>
      <c r="AX127" s="31"/>
      <c r="AY127" s="747">
        <v>0</v>
      </c>
      <c r="AZ127" s="262">
        <v>8198.782102163299</v>
      </c>
      <c r="BA127" s="262">
        <v>331059.79533664032</v>
      </c>
      <c r="BB127" s="262">
        <v>3240.3730929147878</v>
      </c>
      <c r="BC127" s="263">
        <v>327819.42224372551</v>
      </c>
      <c r="BD127" s="261">
        <v>3278.1942224372551</v>
      </c>
      <c r="BE127" s="262">
        <v>324541.22802128823</v>
      </c>
      <c r="BF127" s="354">
        <v>0.98031000016560865</v>
      </c>
      <c r="BG127" s="31"/>
      <c r="BJ127" s="4">
        <v>0.98031000016560865</v>
      </c>
      <c r="BL127" s="4">
        <v>0.95682495516157107</v>
      </c>
      <c r="BM127" s="4">
        <v>0.9</v>
      </c>
      <c r="BN127" s="4" t="s">
        <v>900</v>
      </c>
      <c r="BO127" s="31" t="s">
        <v>900</v>
      </c>
      <c r="BP127" s="31" t="s">
        <v>900</v>
      </c>
      <c r="BQ127" s="31">
        <v>323767.21562498441</v>
      </c>
      <c r="BR127" s="4">
        <v>0.97797201649254806</v>
      </c>
      <c r="BS127" s="4" t="s">
        <v>900</v>
      </c>
      <c r="BT127" s="448" t="s">
        <v>900</v>
      </c>
      <c r="BU127" s="367" t="s">
        <v>900</v>
      </c>
      <c r="BV127" s="368">
        <v>324541.22802128823</v>
      </c>
      <c r="BX127" s="449">
        <v>-11192.63312985556</v>
      </c>
      <c r="BY127" s="450">
        <v>-3.3272218660275583E-2</v>
      </c>
      <c r="BZ127" s="368">
        <v>-28.833231199397655</v>
      </c>
      <c r="CB127" s="31">
        <v>19266</v>
      </c>
      <c r="CC127" s="31">
        <v>27027.994175784261</v>
      </c>
      <c r="CD127" s="31" t="e">
        <v>#VALUE!</v>
      </c>
      <c r="CE127" s="31" t="s">
        <v>900</v>
      </c>
      <c r="CF127" s="31" t="e">
        <v>#VALUE!</v>
      </c>
      <c r="CJ127" s="702" t="s">
        <v>1447</v>
      </c>
      <c r="CK127" s="702" t="s">
        <v>1447</v>
      </c>
      <c r="CL127" s="702" t="s">
        <v>1448</v>
      </c>
      <c r="CN127" s="702" t="s">
        <v>1447</v>
      </c>
      <c r="CO127" s="702" t="s">
        <v>1447</v>
      </c>
      <c r="CP127" s="702" t="s">
        <v>1447</v>
      </c>
      <c r="CQ127" s="702" t="s">
        <v>1447</v>
      </c>
      <c r="CS127" s="451">
        <v>0</v>
      </c>
      <c r="CT127" s="452">
        <v>0.9</v>
      </c>
      <c r="CU127" s="452">
        <v>0</v>
      </c>
      <c r="CV127" s="453">
        <v>0.9</v>
      </c>
    </row>
    <row r="128" spans="1:100" outlineLevel="1" x14ac:dyDescent="0.3">
      <c r="A128" s="1">
        <v>70290000</v>
      </c>
      <c r="B128" s="47">
        <v>407170</v>
      </c>
      <c r="C128" s="47">
        <v>4254</v>
      </c>
      <c r="D128" s="47" t="s">
        <v>365</v>
      </c>
      <c r="E128" s="47" t="s">
        <v>7</v>
      </c>
      <c r="F128" s="47" t="s">
        <v>1504</v>
      </c>
      <c r="G128" s="47" t="s">
        <v>1502</v>
      </c>
      <c r="H128" s="47" t="s">
        <v>1523</v>
      </c>
      <c r="I128" s="382">
        <v>359</v>
      </c>
      <c r="J128" s="382">
        <v>0</v>
      </c>
      <c r="K128" s="382">
        <v>0</v>
      </c>
      <c r="L128" s="382">
        <v>14</v>
      </c>
      <c r="M128" s="382">
        <v>0</v>
      </c>
      <c r="N128" s="382">
        <v>359</v>
      </c>
      <c r="O128" s="444">
        <v>2052</v>
      </c>
      <c r="P128" s="445">
        <v>373</v>
      </c>
      <c r="Q128" s="346">
        <v>0.1817738791423002</v>
      </c>
      <c r="R128" s="445">
        <v>1370</v>
      </c>
      <c r="S128" s="447">
        <v>981</v>
      </c>
      <c r="T128" s="445">
        <v>-43.12495210805838</v>
      </c>
      <c r="U128" s="444">
        <v>1863.8585547897735</v>
      </c>
      <c r="V128" s="445">
        <v>329.87504789194162</v>
      </c>
      <c r="W128" s="229">
        <v>0.17698502230452168</v>
      </c>
      <c r="X128" s="261">
        <v>172031.80816078524</v>
      </c>
      <c r="Y128" s="262">
        <v>40764.534997096154</v>
      </c>
      <c r="Z128" s="262">
        <v>52276.040902996152</v>
      </c>
      <c r="AA128" s="262">
        <v>35082.55692239762</v>
      </c>
      <c r="AB128" s="263">
        <v>300154.94098327518</v>
      </c>
      <c r="AC128" s="262">
        <v>152287.21869856439</v>
      </c>
      <c r="AD128" s="262">
        <v>36105.391369934412</v>
      </c>
      <c r="AE128" s="262">
        <v>46302.831521754204</v>
      </c>
      <c r="AF128" s="263">
        <v>31107.778445121407</v>
      </c>
      <c r="AG128" s="262">
        <v>152287.21869856439</v>
      </c>
      <c r="AH128" s="262">
        <v>36105.391369934412</v>
      </c>
      <c r="AI128" s="262">
        <v>46302.831521754204</v>
      </c>
      <c r="AJ128" s="263">
        <v>31107.778445121407</v>
      </c>
      <c r="AK128" s="262">
        <v>152296.72380158637</v>
      </c>
      <c r="AL128" s="262">
        <v>38079.97620136966</v>
      </c>
      <c r="AM128" s="262">
        <v>46307.983050865434</v>
      </c>
      <c r="AN128" s="262">
        <v>31112.222588668479</v>
      </c>
      <c r="AO128" s="263">
        <v>267796.90564248996</v>
      </c>
      <c r="AP128" s="31"/>
      <c r="AQ128" s="261">
        <v>149983.4837072691</v>
      </c>
      <c r="AR128" s="262">
        <v>36870.832993145654</v>
      </c>
      <c r="AS128" s="262">
        <v>45666.595247958619</v>
      </c>
      <c r="AT128" s="262">
        <v>29862.385747034888</v>
      </c>
      <c r="AU128" s="263">
        <v>262383.29769540823</v>
      </c>
      <c r="AV128" s="31"/>
      <c r="AW128" s="323">
        <v>211441.72467689434</v>
      </c>
      <c r="AX128" s="31"/>
      <c r="AY128" s="747">
        <v>0</v>
      </c>
      <c r="AZ128" s="262">
        <v>24752.484304605547</v>
      </c>
      <c r="BA128" s="262">
        <v>237630.81339080268</v>
      </c>
      <c r="BB128" s="262">
        <v>2325.9015579829615</v>
      </c>
      <c r="BC128" s="263">
        <v>235304.91183281972</v>
      </c>
      <c r="BD128" s="261">
        <v>2353.0491183281974</v>
      </c>
      <c r="BE128" s="262">
        <v>232951.86271449152</v>
      </c>
      <c r="BF128" s="354">
        <v>1.1017308105600585</v>
      </c>
      <c r="BG128" s="31"/>
      <c r="BJ128" s="4">
        <v>1.1017308105600585</v>
      </c>
      <c r="BL128" s="4">
        <v>1.1631031238132821</v>
      </c>
      <c r="BM128" s="4">
        <v>0.9</v>
      </c>
      <c r="BN128" s="4" t="s">
        <v>900</v>
      </c>
      <c r="BO128" s="31" t="s">
        <v>900</v>
      </c>
      <c r="BP128" s="31" t="s">
        <v>900</v>
      </c>
      <c r="BQ128" s="31">
        <v>232396.28575256772</v>
      </c>
      <c r="BR128" s="4">
        <v>1.0991032451503799</v>
      </c>
      <c r="BS128" s="4" t="s">
        <v>900</v>
      </c>
      <c r="BT128" s="448" t="s">
        <v>900</v>
      </c>
      <c r="BU128" s="367" t="s">
        <v>900</v>
      </c>
      <c r="BV128" s="368">
        <v>232951.86271449152</v>
      </c>
      <c r="BX128" s="449">
        <v>-16839.429172577249</v>
      </c>
      <c r="BY128" s="450">
        <v>-6.6408523790469742E-2</v>
      </c>
      <c r="BZ128" s="368">
        <v>-51.047902168379231</v>
      </c>
      <c r="CB128" s="31">
        <v>14871</v>
      </c>
      <c r="CC128" s="31">
        <v>22000.737354271827</v>
      </c>
      <c r="CD128" s="31" t="e">
        <v>#VALUE!</v>
      </c>
      <c r="CE128" s="31" t="s">
        <v>900</v>
      </c>
      <c r="CF128" s="31" t="e">
        <v>#VALUE!</v>
      </c>
      <c r="CJ128" s="702" t="s">
        <v>1447</v>
      </c>
      <c r="CK128" s="702" t="s">
        <v>1447</v>
      </c>
      <c r="CL128" s="702" t="s">
        <v>1448</v>
      </c>
      <c r="CN128" s="702" t="s">
        <v>1447</v>
      </c>
      <c r="CO128" s="702" t="s">
        <v>1447</v>
      </c>
      <c r="CP128" s="702" t="s">
        <v>1447</v>
      </c>
      <c r="CQ128" s="702" t="s">
        <v>1447</v>
      </c>
      <c r="CS128" s="451">
        <v>0</v>
      </c>
      <c r="CT128" s="452">
        <v>0.9</v>
      </c>
      <c r="CU128" s="452">
        <v>0</v>
      </c>
      <c r="CV128" s="453">
        <v>0.9</v>
      </c>
    </row>
    <row r="129" spans="1:100" outlineLevel="1" x14ac:dyDescent="0.3">
      <c r="A129" s="1">
        <v>70421000</v>
      </c>
      <c r="B129" s="47">
        <v>405400</v>
      </c>
      <c r="C129" s="47">
        <v>4265</v>
      </c>
      <c r="D129" s="47" t="s">
        <v>299</v>
      </c>
      <c r="E129" s="47" t="s">
        <v>7</v>
      </c>
      <c r="F129" s="47" t="s">
        <v>1498</v>
      </c>
      <c r="G129" s="47" t="s">
        <v>1502</v>
      </c>
      <c r="H129" s="47" t="s">
        <v>1507</v>
      </c>
      <c r="I129" s="382">
        <v>1120</v>
      </c>
      <c r="J129" s="382">
        <v>0</v>
      </c>
      <c r="K129" s="382">
        <v>0</v>
      </c>
      <c r="L129" s="382">
        <v>43</v>
      </c>
      <c r="M129" s="382">
        <v>0</v>
      </c>
      <c r="N129" s="382">
        <v>1120</v>
      </c>
      <c r="O129" s="444">
        <v>2118</v>
      </c>
      <c r="P129" s="445">
        <v>1163</v>
      </c>
      <c r="Q129" s="346">
        <v>0.54910292728989618</v>
      </c>
      <c r="R129" s="445">
        <v>1928</v>
      </c>
      <c r="S129" s="447">
        <v>1801</v>
      </c>
      <c r="T129" s="445">
        <v>-134.54276767459632</v>
      </c>
      <c r="U129" s="444">
        <v>1923.8072217566962</v>
      </c>
      <c r="V129" s="445">
        <v>1028.4572323254038</v>
      </c>
      <c r="W129" s="229">
        <v>0.53459474561400344</v>
      </c>
      <c r="X129" s="261">
        <v>791954.98815225996</v>
      </c>
      <c r="Y129" s="262">
        <v>193154.46858471219</v>
      </c>
      <c r="Z129" s="262">
        <v>544956.2835714476</v>
      </c>
      <c r="AA129" s="262">
        <v>624376.14533878444</v>
      </c>
      <c r="AB129" s="263">
        <v>2154441.8856472042</v>
      </c>
      <c r="AC129" s="262">
        <v>701060.01773487194</v>
      </c>
      <c r="AD129" s="262">
        <v>171078.06291914085</v>
      </c>
      <c r="AE129" s="262">
        <v>482688.02589225612</v>
      </c>
      <c r="AF129" s="263">
        <v>553635.66682386561</v>
      </c>
      <c r="AG129" s="262">
        <v>701060.01773487194</v>
      </c>
      <c r="AH129" s="262">
        <v>171078.06291914085</v>
      </c>
      <c r="AI129" s="262">
        <v>482688.02589225612</v>
      </c>
      <c r="AJ129" s="263">
        <v>553635.66682386561</v>
      </c>
      <c r="AK129" s="262">
        <v>701069.52283789392</v>
      </c>
      <c r="AL129" s="262">
        <v>173052.64775057611</v>
      </c>
      <c r="AM129" s="262">
        <v>482693.17742136732</v>
      </c>
      <c r="AN129" s="262">
        <v>553640.11096741271</v>
      </c>
      <c r="AO129" s="263">
        <v>1910455.4589772499</v>
      </c>
      <c r="AP129" s="31"/>
      <c r="AQ129" s="261">
        <v>696802.26561669447</v>
      </c>
      <c r="AR129" s="262">
        <v>170482.93430850533</v>
      </c>
      <c r="AS129" s="262">
        <v>478641.04449507967</v>
      </c>
      <c r="AT129" s="262">
        <v>549321.47422511701</v>
      </c>
      <c r="AU129" s="263">
        <v>1895247.7186453966</v>
      </c>
      <c r="AV129" s="31"/>
      <c r="AW129" s="323">
        <v>1975341.4067331075</v>
      </c>
      <c r="AX129" s="31"/>
      <c r="AY129" s="747">
        <v>0</v>
      </c>
      <c r="AZ129" s="262">
        <v>0</v>
      </c>
      <c r="BA129" s="262">
        <v>1895247.7186453966</v>
      </c>
      <c r="BB129" s="262">
        <v>18550.454626064904</v>
      </c>
      <c r="BC129" s="263">
        <v>1876697.2640193317</v>
      </c>
      <c r="BD129" s="261">
        <v>18766.972640193319</v>
      </c>
      <c r="BE129" s="262">
        <v>1857930.2913791384</v>
      </c>
      <c r="BF129" s="354">
        <v>0.94056160876607753</v>
      </c>
      <c r="BG129" s="31"/>
      <c r="BJ129" s="4">
        <v>0.94056160876607753</v>
      </c>
      <c r="BL129" s="4">
        <v>0.94999999999999984</v>
      </c>
      <c r="BM129" s="4">
        <v>0.95</v>
      </c>
      <c r="BN129" s="4" t="s">
        <v>1003</v>
      </c>
      <c r="BO129" s="31">
        <v>18644.045017313678</v>
      </c>
      <c r="BP129" s="31">
        <v>1876574.336396452</v>
      </c>
      <c r="BQ129" s="31">
        <v>1876574.336396452</v>
      </c>
      <c r="BR129" s="4">
        <v>0.95</v>
      </c>
      <c r="BS129" s="4" t="s">
        <v>900</v>
      </c>
      <c r="BT129" s="448" t="s">
        <v>900</v>
      </c>
      <c r="BU129" s="367" t="s">
        <v>900</v>
      </c>
      <c r="BV129" s="368">
        <v>1857930.2913791384</v>
      </c>
      <c r="BX129" s="449">
        <v>-48332.536120861536</v>
      </c>
      <c r="BY129" s="450">
        <v>-2.535460243131743E-2</v>
      </c>
      <c r="BZ129" s="368">
        <v>-46.995183272306576</v>
      </c>
      <c r="CB129" s="31">
        <v>164154</v>
      </c>
      <c r="CC129" s="31">
        <v>182428.41972567039</v>
      </c>
      <c r="CD129" s="31" t="e">
        <v>#VALUE!</v>
      </c>
      <c r="CE129" s="31" t="s">
        <v>900</v>
      </c>
      <c r="CF129" s="31" t="e">
        <v>#VALUE!</v>
      </c>
      <c r="CJ129" s="702" t="s">
        <v>1447</v>
      </c>
      <c r="CK129" s="702" t="s">
        <v>1447</v>
      </c>
      <c r="CL129" s="702" t="s">
        <v>1448</v>
      </c>
      <c r="CN129" s="702" t="s">
        <v>1447</v>
      </c>
      <c r="CO129" s="702" t="s">
        <v>1447</v>
      </c>
      <c r="CP129" s="702" t="s">
        <v>1447</v>
      </c>
      <c r="CQ129" s="702" t="s">
        <v>1447</v>
      </c>
      <c r="CS129" s="451">
        <v>0</v>
      </c>
      <c r="CT129" s="452">
        <v>0</v>
      </c>
      <c r="CU129" s="452">
        <v>0.95</v>
      </c>
      <c r="CV129" s="453">
        <v>0.95</v>
      </c>
    </row>
    <row r="130" spans="1:100" outlineLevel="1" x14ac:dyDescent="0.3">
      <c r="A130" s="1">
        <v>70298000</v>
      </c>
      <c r="B130" s="47">
        <v>403040</v>
      </c>
      <c r="C130" s="47">
        <v>4247</v>
      </c>
      <c r="D130" s="47" t="s">
        <v>171</v>
      </c>
      <c r="E130" s="47" t="s">
        <v>7</v>
      </c>
      <c r="F130" s="47" t="s">
        <v>1503</v>
      </c>
      <c r="G130" s="47" t="s">
        <v>1502</v>
      </c>
      <c r="H130" s="47" t="s">
        <v>1512</v>
      </c>
      <c r="I130" s="382">
        <v>234</v>
      </c>
      <c r="J130" s="382">
        <v>0</v>
      </c>
      <c r="K130" s="382">
        <v>0</v>
      </c>
      <c r="L130" s="382">
        <v>9</v>
      </c>
      <c r="M130" s="382">
        <v>0</v>
      </c>
      <c r="N130" s="382">
        <v>234</v>
      </c>
      <c r="O130" s="444">
        <v>2687</v>
      </c>
      <c r="P130" s="445">
        <v>243</v>
      </c>
      <c r="Q130" s="346">
        <v>9.043542984741347E-2</v>
      </c>
      <c r="R130" s="445">
        <v>1580</v>
      </c>
      <c r="S130" s="447">
        <v>473</v>
      </c>
      <c r="T130" s="445">
        <v>-28.10976824404068</v>
      </c>
      <c r="U130" s="444">
        <v>2440.6373960624373</v>
      </c>
      <c r="V130" s="445">
        <v>214.89023175595932</v>
      </c>
      <c r="W130" s="229">
        <v>8.8046766841583676E-2</v>
      </c>
      <c r="X130" s="261">
        <v>126877.61636344611</v>
      </c>
      <c r="Y130" s="262">
        <v>0</v>
      </c>
      <c r="Z130" s="262">
        <v>34735.738021833909</v>
      </c>
      <c r="AA130" s="262">
        <v>27970.430225239626</v>
      </c>
      <c r="AB130" s="263">
        <v>189583.78461051965</v>
      </c>
      <c r="AC130" s="262">
        <v>112315.50442714638</v>
      </c>
      <c r="AD130" s="262" t="s">
        <v>900</v>
      </c>
      <c r="AE130" s="262">
        <v>30766.733624553908</v>
      </c>
      <c r="AF130" s="263">
        <v>24801.440453332187</v>
      </c>
      <c r="AG130" s="262">
        <v>112315.50442714638</v>
      </c>
      <c r="AH130" s="262" t="s">
        <v>900</v>
      </c>
      <c r="AI130" s="262">
        <v>30766.733624553908</v>
      </c>
      <c r="AJ130" s="263">
        <v>24801.440453332187</v>
      </c>
      <c r="AK130" s="262">
        <v>112325.00953016838</v>
      </c>
      <c r="AL130" s="262" t="s">
        <v>900</v>
      </c>
      <c r="AM130" s="262">
        <v>30771.885153665138</v>
      </c>
      <c r="AN130" s="262">
        <v>24805.884596879259</v>
      </c>
      <c r="AO130" s="263">
        <v>167902.77928071277</v>
      </c>
      <c r="AP130" s="31"/>
      <c r="AQ130" s="261">
        <v>110828.74029338003</v>
      </c>
      <c r="AR130" s="262">
        <v>0</v>
      </c>
      <c r="AS130" s="262">
        <v>30421.385619156175</v>
      </c>
      <c r="AT130" s="262">
        <v>24490.22987136904</v>
      </c>
      <c r="AU130" s="263">
        <v>165740.35578390525</v>
      </c>
      <c r="AV130" s="31"/>
      <c r="AW130" s="323">
        <v>186234.22953973751</v>
      </c>
      <c r="AX130" s="31"/>
      <c r="AY130" s="747">
        <v>0</v>
      </c>
      <c r="AZ130" s="262">
        <v>0</v>
      </c>
      <c r="BA130" s="262">
        <v>165740.35578390525</v>
      </c>
      <c r="BB130" s="262">
        <v>1622.2464849474604</v>
      </c>
      <c r="BC130" s="263">
        <v>164118.1092989578</v>
      </c>
      <c r="BD130" s="261">
        <v>1641.181092989578</v>
      </c>
      <c r="BE130" s="262">
        <v>162476.92820596823</v>
      </c>
      <c r="BF130" s="354">
        <v>0.87243321814425046</v>
      </c>
      <c r="BG130" s="31"/>
      <c r="BJ130" s="4">
        <v>0.87243321814425046</v>
      </c>
      <c r="BL130" s="4">
        <v>0.85</v>
      </c>
      <c r="BM130" s="4">
        <v>0.85</v>
      </c>
      <c r="BN130" s="4" t="s">
        <v>900</v>
      </c>
      <c r="BO130" s="31" t="s">
        <v>900</v>
      </c>
      <c r="BP130" s="31" t="s">
        <v>900</v>
      </c>
      <c r="BQ130" s="31">
        <v>162089.42996017821</v>
      </c>
      <c r="BR130" s="4">
        <v>0.87035251446937989</v>
      </c>
      <c r="BS130" s="4" t="s">
        <v>900</v>
      </c>
      <c r="BT130" s="448" t="s">
        <v>900</v>
      </c>
      <c r="BU130" s="367" t="s">
        <v>900</v>
      </c>
      <c r="BV130" s="368">
        <v>162476.92820596823</v>
      </c>
      <c r="BX130" s="449">
        <v>-1709.5981778166606</v>
      </c>
      <c r="BY130" s="450">
        <v>-1.0254992208790481E-2</v>
      </c>
      <c r="BZ130" s="368">
        <v>-7.9556812045238541</v>
      </c>
      <c r="CB130" s="31">
        <v>29483</v>
      </c>
      <c r="CC130" s="31">
        <v>35375.095766615239</v>
      </c>
      <c r="CD130" s="31" t="e">
        <v>#VALUE!</v>
      </c>
      <c r="CE130" s="31" t="s">
        <v>900</v>
      </c>
      <c r="CF130" s="31" t="e">
        <v>#VALUE!</v>
      </c>
      <c r="CJ130" s="702" t="s">
        <v>1447</v>
      </c>
      <c r="CK130" s="702" t="s">
        <v>1447</v>
      </c>
      <c r="CL130" s="702" t="s">
        <v>1448</v>
      </c>
      <c r="CN130" s="702" t="s">
        <v>1447</v>
      </c>
      <c r="CO130" s="702" t="s">
        <v>1448</v>
      </c>
      <c r="CP130" s="702" t="s">
        <v>1447</v>
      </c>
      <c r="CQ130" s="702" t="s">
        <v>1447</v>
      </c>
      <c r="CS130" s="451">
        <v>0.85</v>
      </c>
      <c r="CT130" s="452">
        <v>0</v>
      </c>
      <c r="CU130" s="452">
        <v>0</v>
      </c>
      <c r="CV130" s="453">
        <v>0.85</v>
      </c>
    </row>
    <row r="131" spans="1:100" outlineLevel="1" x14ac:dyDescent="0.3">
      <c r="A131" s="1">
        <v>70417000</v>
      </c>
      <c r="B131" s="47">
        <v>408490</v>
      </c>
      <c r="C131" s="47">
        <v>4264</v>
      </c>
      <c r="D131" s="47" t="s">
        <v>414</v>
      </c>
      <c r="E131" s="47" t="s">
        <v>7</v>
      </c>
      <c r="F131" s="47" t="s">
        <v>1503</v>
      </c>
      <c r="G131" s="47" t="s">
        <v>1502</v>
      </c>
      <c r="H131" s="47" t="s">
        <v>1510</v>
      </c>
      <c r="I131" s="382">
        <v>905</v>
      </c>
      <c r="J131" s="382">
        <v>11</v>
      </c>
      <c r="K131" s="382">
        <v>0</v>
      </c>
      <c r="L131" s="382">
        <v>35</v>
      </c>
      <c r="M131" s="382">
        <v>0</v>
      </c>
      <c r="N131" s="382">
        <v>916</v>
      </c>
      <c r="O131" s="444">
        <v>2717</v>
      </c>
      <c r="P131" s="445">
        <v>951</v>
      </c>
      <c r="Q131" s="346">
        <v>0.35001840264998157</v>
      </c>
      <c r="R131" s="445">
        <v>2880</v>
      </c>
      <c r="S131" s="447">
        <v>2312</v>
      </c>
      <c r="T131" s="445">
        <v>-108.67334313138919</v>
      </c>
      <c r="U131" s="444">
        <v>2467.8867901383114</v>
      </c>
      <c r="V131" s="445">
        <v>842.32665686861083</v>
      </c>
      <c r="W131" s="229">
        <v>0.3413149501972913</v>
      </c>
      <c r="X131" s="261">
        <v>438611.92911771243</v>
      </c>
      <c r="Y131" s="262">
        <v>103933.1709979583</v>
      </c>
      <c r="Z131" s="262">
        <v>216223.45067993607</v>
      </c>
      <c r="AA131" s="262">
        <v>170087.48058154367</v>
      </c>
      <c r="AB131" s="263">
        <v>928856.03137715044</v>
      </c>
      <c r="AC131" s="262">
        <v>388271.16617247916</v>
      </c>
      <c r="AD131" s="262">
        <v>92054.228398948064</v>
      </c>
      <c r="AE131" s="262">
        <v>191517.14312993421</v>
      </c>
      <c r="AF131" s="263">
        <v>150816.93372359668</v>
      </c>
      <c r="AG131" s="262">
        <v>388271.16617247916</v>
      </c>
      <c r="AH131" s="262">
        <v>92054.228398948064</v>
      </c>
      <c r="AI131" s="262">
        <v>191517.14312993421</v>
      </c>
      <c r="AJ131" s="263">
        <v>150816.93372359668</v>
      </c>
      <c r="AK131" s="262">
        <v>388280.67127550114</v>
      </c>
      <c r="AL131" s="262">
        <v>94028.813230383312</v>
      </c>
      <c r="AM131" s="262">
        <v>191522.29465904544</v>
      </c>
      <c r="AN131" s="262">
        <v>150821.37786714375</v>
      </c>
      <c r="AO131" s="263">
        <v>824653.15703207359</v>
      </c>
      <c r="AP131" s="31"/>
      <c r="AQ131" s="261">
        <v>382383.06301300769</v>
      </c>
      <c r="AR131" s="262">
        <v>91043.141698088817</v>
      </c>
      <c r="AS131" s="262">
        <v>188869.61890670037</v>
      </c>
      <c r="AT131" s="262">
        <v>144762.59778394413</v>
      </c>
      <c r="AU131" s="263">
        <v>807058.42140174098</v>
      </c>
      <c r="AV131" s="31"/>
      <c r="AW131" s="323">
        <v>709649.47561103664</v>
      </c>
      <c r="AX131" s="31"/>
      <c r="AY131" s="747">
        <v>0</v>
      </c>
      <c r="AZ131" s="262">
        <v>76135.566113040433</v>
      </c>
      <c r="BA131" s="262">
        <v>730922.85528870055</v>
      </c>
      <c r="BB131" s="262">
        <v>7154.1841885861368</v>
      </c>
      <c r="BC131" s="263">
        <v>723768.67110011436</v>
      </c>
      <c r="BD131" s="261">
        <v>7237.6867110011435</v>
      </c>
      <c r="BE131" s="262">
        <v>716530.98438911326</v>
      </c>
      <c r="BF131" s="354">
        <v>1.0096970532841603</v>
      </c>
      <c r="BG131" s="31"/>
      <c r="BJ131" s="4">
        <v>1.0096970532841603</v>
      </c>
      <c r="BL131" s="4">
        <v>1.0833039406632763</v>
      </c>
      <c r="BM131" s="4">
        <v>0.95</v>
      </c>
      <c r="BN131" s="4" t="s">
        <v>900</v>
      </c>
      <c r="BO131" s="31" t="s">
        <v>900</v>
      </c>
      <c r="BP131" s="31" t="s">
        <v>900</v>
      </c>
      <c r="BQ131" s="31">
        <v>714822.09868718148</v>
      </c>
      <c r="BR131" s="4">
        <v>1.0072889831584684</v>
      </c>
      <c r="BS131" s="4" t="s">
        <v>900</v>
      </c>
      <c r="BT131" s="448" t="s">
        <v>900</v>
      </c>
      <c r="BU131" s="367" t="s">
        <v>900</v>
      </c>
      <c r="BV131" s="368">
        <v>716530.98438911326</v>
      </c>
      <c r="BX131" s="449">
        <v>-55753.163492380292</v>
      </c>
      <c r="BY131" s="450">
        <v>-7.1105566259775377E-2</v>
      </c>
      <c r="BZ131" s="368">
        <v>-66.189480099852602</v>
      </c>
      <c r="CB131" s="31">
        <v>64792</v>
      </c>
      <c r="CC131" s="31">
        <v>80666.717711473975</v>
      </c>
      <c r="CD131" s="31" t="e">
        <v>#VALUE!</v>
      </c>
      <c r="CE131" s="31" t="s">
        <v>900</v>
      </c>
      <c r="CF131" s="31" t="e">
        <v>#VALUE!</v>
      </c>
      <c r="CJ131" s="702" t="s">
        <v>1447</v>
      </c>
      <c r="CK131" s="702" t="s">
        <v>1447</v>
      </c>
      <c r="CL131" s="702" t="s">
        <v>1448</v>
      </c>
      <c r="CN131" s="702" t="s">
        <v>1447</v>
      </c>
      <c r="CO131" s="702" t="s">
        <v>1447</v>
      </c>
      <c r="CP131" s="702" t="s">
        <v>1447</v>
      </c>
      <c r="CQ131" s="702" t="s">
        <v>1447</v>
      </c>
      <c r="CS131" s="451">
        <v>0</v>
      </c>
      <c r="CT131" s="452">
        <v>0</v>
      </c>
      <c r="CU131" s="452">
        <v>0.95</v>
      </c>
      <c r="CV131" s="453">
        <v>0.95</v>
      </c>
    </row>
    <row r="132" spans="1:100" outlineLevel="1" x14ac:dyDescent="0.3">
      <c r="A132" s="1">
        <v>70462000</v>
      </c>
      <c r="B132" s="47">
        <v>408820</v>
      </c>
      <c r="C132" s="47">
        <v>4277</v>
      </c>
      <c r="D132" s="47" t="s">
        <v>426</v>
      </c>
      <c r="E132" s="47" t="s">
        <v>7</v>
      </c>
      <c r="F132" s="47" t="s">
        <v>1498</v>
      </c>
      <c r="G132" s="47" t="s">
        <v>1502</v>
      </c>
      <c r="H132" s="47" t="s">
        <v>1523</v>
      </c>
      <c r="I132" s="382">
        <v>709</v>
      </c>
      <c r="J132" s="382">
        <v>0</v>
      </c>
      <c r="K132" s="382">
        <v>0</v>
      </c>
      <c r="L132" s="382">
        <v>27</v>
      </c>
      <c r="M132" s="382">
        <v>0</v>
      </c>
      <c r="N132" s="382">
        <v>709</v>
      </c>
      <c r="O132" s="444">
        <v>2776</v>
      </c>
      <c r="P132" s="445">
        <v>736</v>
      </c>
      <c r="Q132" s="346">
        <v>0.26512968299711814</v>
      </c>
      <c r="R132" s="445">
        <v>2003</v>
      </c>
      <c r="S132" s="447">
        <v>1722</v>
      </c>
      <c r="T132" s="445">
        <v>-85.171200401195563</v>
      </c>
      <c r="U132" s="444">
        <v>2521.4772651541966</v>
      </c>
      <c r="V132" s="445">
        <v>650.82879959880438</v>
      </c>
      <c r="W132" s="229">
        <v>0.25811408597372543</v>
      </c>
      <c r="X132" s="261">
        <v>339451.50350224663</v>
      </c>
      <c r="Y132" s="262">
        <v>80436.187018398894</v>
      </c>
      <c r="Z132" s="262">
        <v>133583.78367803138</v>
      </c>
      <c r="AA132" s="262">
        <v>94023.82846747931</v>
      </c>
      <c r="AB132" s="263">
        <v>647495.3026661562</v>
      </c>
      <c r="AC132" s="262">
        <v>300491.67013979476</v>
      </c>
      <c r="AD132" s="262">
        <v>71242.809780889394</v>
      </c>
      <c r="AE132" s="262">
        <v>118320.11994098507</v>
      </c>
      <c r="AF132" s="263">
        <v>83371.130302681282</v>
      </c>
      <c r="AG132" s="262">
        <v>300491.67013979476</v>
      </c>
      <c r="AH132" s="262">
        <v>71242.809780889394</v>
      </c>
      <c r="AI132" s="262">
        <v>118320.11994098507</v>
      </c>
      <c r="AJ132" s="263">
        <v>83371.130302681282</v>
      </c>
      <c r="AK132" s="262">
        <v>300501.17524281674</v>
      </c>
      <c r="AL132" s="262">
        <v>73217.394612324642</v>
      </c>
      <c r="AM132" s="262">
        <v>118325.2714700963</v>
      </c>
      <c r="AN132" s="262">
        <v>83375.574446228347</v>
      </c>
      <c r="AO132" s="263">
        <v>575419.4157714661</v>
      </c>
      <c r="AP132" s="31"/>
      <c r="AQ132" s="261">
        <v>295936.85271762067</v>
      </c>
      <c r="AR132" s="262">
        <v>70892.542439329729</v>
      </c>
      <c r="AS132" s="262">
        <v>116686.4096390121</v>
      </c>
      <c r="AT132" s="262">
        <v>80026.219885065817</v>
      </c>
      <c r="AU132" s="263">
        <v>563542.02468102833</v>
      </c>
      <c r="AV132" s="31"/>
      <c r="AW132" s="323">
        <v>482120.1128387638</v>
      </c>
      <c r="AX132" s="31"/>
      <c r="AY132" s="747">
        <v>0</v>
      </c>
      <c r="AZ132" s="262">
        <v>53162.930885546491</v>
      </c>
      <c r="BA132" s="262">
        <v>510379.09379548184</v>
      </c>
      <c r="BB132" s="262">
        <v>4995.5286205605726</v>
      </c>
      <c r="BC132" s="263">
        <v>505383.56517492124</v>
      </c>
      <c r="BD132" s="261">
        <v>5053.835651749213</v>
      </c>
      <c r="BE132" s="262">
        <v>500329.72952317202</v>
      </c>
      <c r="BF132" s="354">
        <v>1.0377698755963289</v>
      </c>
      <c r="BG132" s="31"/>
      <c r="BJ132" s="4">
        <v>1.0377698755963289</v>
      </c>
      <c r="BL132" s="4">
        <v>1.0972847186512431</v>
      </c>
      <c r="BM132" s="4">
        <v>0.9</v>
      </c>
      <c r="BN132" s="4" t="s">
        <v>900</v>
      </c>
      <c r="BO132" s="31" t="s">
        <v>900</v>
      </c>
      <c r="BP132" s="31" t="s">
        <v>900</v>
      </c>
      <c r="BQ132" s="31">
        <v>499136.47153480671</v>
      </c>
      <c r="BR132" s="4">
        <v>1.0352948533838366</v>
      </c>
      <c r="BS132" s="4" t="s">
        <v>900</v>
      </c>
      <c r="BT132" s="448" t="s">
        <v>900</v>
      </c>
      <c r="BU132" s="367" t="s">
        <v>900</v>
      </c>
      <c r="BV132" s="368">
        <v>500329.72952317202</v>
      </c>
      <c r="BX132" s="449">
        <v>-38111.415989142144</v>
      </c>
      <c r="BY132" s="450">
        <v>-6.9717376598198655E-2</v>
      </c>
      <c r="BZ132" s="368">
        <v>-58.558281398480631</v>
      </c>
      <c r="CB132" s="31">
        <v>4218</v>
      </c>
      <c r="CC132" s="31">
        <v>17108.92650045504</v>
      </c>
      <c r="CD132" s="31" t="e">
        <v>#VALUE!</v>
      </c>
      <c r="CE132" s="31" t="s">
        <v>900</v>
      </c>
      <c r="CF132" s="31" t="e">
        <v>#VALUE!</v>
      </c>
      <c r="CJ132" s="702" t="s">
        <v>1447</v>
      </c>
      <c r="CK132" s="702" t="s">
        <v>1447</v>
      </c>
      <c r="CL132" s="702" t="s">
        <v>1448</v>
      </c>
      <c r="CN132" s="702" t="s">
        <v>1447</v>
      </c>
      <c r="CO132" s="702" t="s">
        <v>1447</v>
      </c>
      <c r="CP132" s="702" t="s">
        <v>1447</v>
      </c>
      <c r="CQ132" s="702" t="s">
        <v>1447</v>
      </c>
      <c r="CS132" s="451">
        <v>0</v>
      </c>
      <c r="CT132" s="452">
        <v>0.9</v>
      </c>
      <c r="CU132" s="452">
        <v>0</v>
      </c>
      <c r="CV132" s="453">
        <v>0.9</v>
      </c>
    </row>
    <row r="133" spans="1:100" outlineLevel="1" x14ac:dyDescent="0.3">
      <c r="A133" s="1">
        <v>70431000</v>
      </c>
      <c r="B133" s="47">
        <v>401050</v>
      </c>
      <c r="C133" s="47">
        <v>4268</v>
      </c>
      <c r="D133" s="47" t="s">
        <v>65</v>
      </c>
      <c r="E133" s="47" t="s">
        <v>7</v>
      </c>
      <c r="F133" s="47" t="s">
        <v>1498</v>
      </c>
      <c r="G133" s="47" t="s">
        <v>1502</v>
      </c>
      <c r="H133" s="47" t="s">
        <v>1512</v>
      </c>
      <c r="I133" s="382">
        <v>2195</v>
      </c>
      <c r="J133" s="382">
        <v>0</v>
      </c>
      <c r="K133" s="382">
        <v>0</v>
      </c>
      <c r="L133" s="382">
        <v>85</v>
      </c>
      <c r="M133" s="382">
        <v>0</v>
      </c>
      <c r="N133" s="382">
        <v>2195</v>
      </c>
      <c r="O133" s="444">
        <v>3687</v>
      </c>
      <c r="P133" s="445">
        <v>2280</v>
      </c>
      <c r="Q133" s="346">
        <v>0.6183889340927583</v>
      </c>
      <c r="R133" s="445">
        <v>2566</v>
      </c>
      <c r="S133" s="447">
        <v>2353</v>
      </c>
      <c r="T133" s="445">
        <v>-263.67708237903616</v>
      </c>
      <c r="U133" s="444">
        <v>3348.9505319249001</v>
      </c>
      <c r="V133" s="445">
        <v>2016.3229176209638</v>
      </c>
      <c r="W133" s="229">
        <v>0.60207605290067623</v>
      </c>
      <c r="X133" s="261">
        <v>1051561.7228058721</v>
      </c>
      <c r="Y133" s="262">
        <v>249177.31848090951</v>
      </c>
      <c r="Z133" s="262">
        <v>783094.93462296599</v>
      </c>
      <c r="AA133" s="262">
        <v>736250.35570010275</v>
      </c>
      <c r="AB133" s="263">
        <v>2820084.3316098503</v>
      </c>
      <c r="AC133" s="262">
        <v>930870.93467218976</v>
      </c>
      <c r="AD133" s="262">
        <v>220697.83464732033</v>
      </c>
      <c r="AE133" s="262">
        <v>693616.27615736553</v>
      </c>
      <c r="AF133" s="263">
        <v>652834.76902559167</v>
      </c>
      <c r="AG133" s="262">
        <v>930870.93467218976</v>
      </c>
      <c r="AH133" s="262">
        <v>220697.83464732033</v>
      </c>
      <c r="AI133" s="262">
        <v>693616.27615736553</v>
      </c>
      <c r="AJ133" s="263">
        <v>652834.76902559167</v>
      </c>
      <c r="AK133" s="262">
        <v>930880.43977521174</v>
      </c>
      <c r="AL133" s="262">
        <v>222672.41947875559</v>
      </c>
      <c r="AM133" s="262">
        <v>693621.42768647673</v>
      </c>
      <c r="AN133" s="262">
        <v>652839.21316913876</v>
      </c>
      <c r="AO133" s="263">
        <v>2500013.5001095831</v>
      </c>
      <c r="AP133" s="31"/>
      <c r="AQ133" s="261">
        <v>916741.26525751746</v>
      </c>
      <c r="AR133" s="262">
        <v>215601.9622324651</v>
      </c>
      <c r="AS133" s="262">
        <v>684014.43782763847</v>
      </c>
      <c r="AT133" s="262">
        <v>626613.42688992084</v>
      </c>
      <c r="AU133" s="263">
        <v>2442971.0922075417</v>
      </c>
      <c r="AV133" s="31"/>
      <c r="AW133" s="323">
        <v>2080663.8855977729</v>
      </c>
      <c r="AX133" s="31"/>
      <c r="AY133" s="747">
        <v>0</v>
      </c>
      <c r="AZ133" s="262">
        <v>230462.85395295732</v>
      </c>
      <c r="BA133" s="262">
        <v>2212508.2382545844</v>
      </c>
      <c r="BB133" s="262">
        <v>21655.762083107235</v>
      </c>
      <c r="BC133" s="263">
        <v>2190852.4761714772</v>
      </c>
      <c r="BD133" s="261">
        <v>21908.524761714772</v>
      </c>
      <c r="BE133" s="262">
        <v>2168943.9514097623</v>
      </c>
      <c r="BF133" s="354">
        <v>1.0424287970887842</v>
      </c>
      <c r="BG133" s="31"/>
      <c r="BJ133" s="4">
        <v>1.0424287970887842</v>
      </c>
      <c r="BL133" s="4">
        <v>1.10675504131221</v>
      </c>
      <c r="BM133" s="4">
        <v>0.95</v>
      </c>
      <c r="BN133" s="4" t="s">
        <v>900</v>
      </c>
      <c r="BO133" s="31" t="s">
        <v>900</v>
      </c>
      <c r="BP133" s="31" t="s">
        <v>900</v>
      </c>
      <c r="BQ133" s="31">
        <v>2163771.1432722108</v>
      </c>
      <c r="BR133" s="4">
        <v>1.0399426636131388</v>
      </c>
      <c r="BS133" s="4" t="s">
        <v>900</v>
      </c>
      <c r="BT133" s="448" t="s">
        <v>900</v>
      </c>
      <c r="BU133" s="367" t="s">
        <v>900</v>
      </c>
      <c r="BV133" s="368">
        <v>2168943.9514097623</v>
      </c>
      <c r="BX133" s="449">
        <v>-175205.77392834704</v>
      </c>
      <c r="BY133" s="450">
        <v>-7.3612949976455636E-2</v>
      </c>
      <c r="BZ133" s="368">
        <v>-86.893707549121302</v>
      </c>
      <c r="CB133" s="31">
        <v>178971</v>
      </c>
      <c r="CC133" s="31">
        <v>214368.5666885731</v>
      </c>
      <c r="CD133" s="31" t="e">
        <v>#VALUE!</v>
      </c>
      <c r="CE133" s="31" t="s">
        <v>900</v>
      </c>
      <c r="CF133" s="31" t="e">
        <v>#VALUE!</v>
      </c>
      <c r="CJ133" s="702" t="s">
        <v>1447</v>
      </c>
      <c r="CK133" s="702" t="s">
        <v>1447</v>
      </c>
      <c r="CL133" s="702" t="s">
        <v>1448</v>
      </c>
      <c r="CN133" s="702" t="s">
        <v>1447</v>
      </c>
      <c r="CO133" s="702" t="s">
        <v>1447</v>
      </c>
      <c r="CP133" s="702" t="s">
        <v>1447</v>
      </c>
      <c r="CQ133" s="702" t="s">
        <v>1447</v>
      </c>
      <c r="CS133" s="451">
        <v>0</v>
      </c>
      <c r="CT133" s="452">
        <v>0</v>
      </c>
      <c r="CU133" s="452">
        <v>0.95</v>
      </c>
      <c r="CV133" s="453">
        <v>0.95</v>
      </c>
    </row>
    <row r="134" spans="1:100" outlineLevel="1" x14ac:dyDescent="0.3">
      <c r="A134" s="1">
        <v>70408000</v>
      </c>
      <c r="B134" s="47">
        <v>405670</v>
      </c>
      <c r="C134" s="47">
        <v>4262</v>
      </c>
      <c r="D134" s="47" t="s">
        <v>312</v>
      </c>
      <c r="E134" s="47" t="s">
        <v>7</v>
      </c>
      <c r="F134" s="47" t="s">
        <v>1498</v>
      </c>
      <c r="G134" s="47" t="s">
        <v>1499</v>
      </c>
      <c r="H134" s="47" t="s">
        <v>1512</v>
      </c>
      <c r="I134" s="382">
        <v>1889</v>
      </c>
      <c r="J134" s="382">
        <v>14</v>
      </c>
      <c r="K134" s="382">
        <v>0</v>
      </c>
      <c r="L134" s="382">
        <v>73</v>
      </c>
      <c r="M134" s="382">
        <v>0</v>
      </c>
      <c r="N134" s="382">
        <v>1903</v>
      </c>
      <c r="O134" s="444">
        <v>3916</v>
      </c>
      <c r="P134" s="445">
        <v>1976</v>
      </c>
      <c r="Q134" s="346">
        <v>0.50459652706843716</v>
      </c>
      <c r="R134" s="445">
        <v>2887</v>
      </c>
      <c r="S134" s="447">
        <v>2448</v>
      </c>
      <c r="T134" s="445">
        <v>-226.86674761176073</v>
      </c>
      <c r="U134" s="444">
        <v>3556.9542400374044</v>
      </c>
      <c r="V134" s="445">
        <v>1749.1332523882393</v>
      </c>
      <c r="W134" s="229">
        <v>0.4917502825028881</v>
      </c>
      <c r="X134" s="261">
        <v>911353.49309842242</v>
      </c>
      <c r="Y134" s="262">
        <v>215953.6760167882</v>
      </c>
      <c r="Z134" s="262">
        <v>606103.41377185879</v>
      </c>
      <c r="AA134" s="262">
        <v>555195.05737434723</v>
      </c>
      <c r="AB134" s="263">
        <v>2288605.6402614163</v>
      </c>
      <c r="AC134" s="262">
        <v>806754.81004923105</v>
      </c>
      <c r="AD134" s="262">
        <v>191271.45669434423</v>
      </c>
      <c r="AE134" s="262">
        <v>536848.31077232503</v>
      </c>
      <c r="AF134" s="263">
        <v>492292.64779162884</v>
      </c>
      <c r="AG134" s="262">
        <v>806754.81004923105</v>
      </c>
      <c r="AH134" s="262">
        <v>191271.45669434423</v>
      </c>
      <c r="AI134" s="262">
        <v>536848.31077232503</v>
      </c>
      <c r="AJ134" s="263">
        <v>492292.64779162884</v>
      </c>
      <c r="AK134" s="262">
        <v>806764.31515225302</v>
      </c>
      <c r="AL134" s="262">
        <v>193246.0415257795</v>
      </c>
      <c r="AM134" s="262">
        <v>536853.46230143623</v>
      </c>
      <c r="AN134" s="262">
        <v>492297.09193517594</v>
      </c>
      <c r="AO134" s="263">
        <v>2029160.9109146446</v>
      </c>
      <c r="AP134" s="31"/>
      <c r="AQ134" s="261">
        <v>794510.34465380711</v>
      </c>
      <c r="AR134" s="262">
        <v>187109.9521177545</v>
      </c>
      <c r="AS134" s="262">
        <v>529417.78404504969</v>
      </c>
      <c r="AT134" s="262">
        <v>485868.80960316164</v>
      </c>
      <c r="AU134" s="263">
        <v>1996906.8904197728</v>
      </c>
      <c r="AV134" s="31"/>
      <c r="AW134" s="323">
        <v>1827236.1547949929</v>
      </c>
      <c r="AX134" s="31"/>
      <c r="AY134" s="747">
        <v>0</v>
      </c>
      <c r="AZ134" s="262">
        <v>169670.73562477995</v>
      </c>
      <c r="BA134" s="262">
        <v>1827236.1547949929</v>
      </c>
      <c r="BB134" s="262">
        <v>17884.765694300157</v>
      </c>
      <c r="BC134" s="263">
        <v>1809351.3891006927</v>
      </c>
      <c r="BD134" s="261">
        <v>18093.513891006929</v>
      </c>
      <c r="BE134" s="262">
        <v>1791257.8752096859</v>
      </c>
      <c r="BF134" s="354">
        <v>0.98031000016560876</v>
      </c>
      <c r="BG134" s="31"/>
      <c r="BJ134" s="4">
        <v>0.98031000016560876</v>
      </c>
      <c r="BL134" s="4">
        <v>1.0275042385824349</v>
      </c>
      <c r="BM134" s="4">
        <v>0.95</v>
      </c>
      <c r="BN134" s="4" t="s">
        <v>900</v>
      </c>
      <c r="BO134" s="31" t="s">
        <v>900</v>
      </c>
      <c r="BP134" s="31" t="s">
        <v>900</v>
      </c>
      <c r="BQ134" s="31">
        <v>1786985.8269129493</v>
      </c>
      <c r="BR134" s="4">
        <v>0.97797201649254828</v>
      </c>
      <c r="BS134" s="4" t="s">
        <v>900</v>
      </c>
      <c r="BT134" s="448" t="s">
        <v>900</v>
      </c>
      <c r="BU134" s="367" t="s">
        <v>900</v>
      </c>
      <c r="BV134" s="368">
        <v>1791257.8752096859</v>
      </c>
      <c r="BX134" s="449">
        <v>-116751.67798110307</v>
      </c>
      <c r="BY134" s="450">
        <v>-6.0427433179898737E-2</v>
      </c>
      <c r="BZ134" s="368">
        <v>-66.748303950938066</v>
      </c>
      <c r="CB134" s="31">
        <v>199127</v>
      </c>
      <c r="CC134" s="31">
        <v>230496.92075459054</v>
      </c>
      <c r="CD134" s="31" t="e">
        <v>#VALUE!</v>
      </c>
      <c r="CE134" s="31" t="s">
        <v>900</v>
      </c>
      <c r="CF134" s="31" t="e">
        <v>#VALUE!</v>
      </c>
      <c r="CJ134" s="702" t="s">
        <v>1447</v>
      </c>
      <c r="CK134" s="702" t="s">
        <v>1447</v>
      </c>
      <c r="CL134" s="702" t="s">
        <v>1448</v>
      </c>
      <c r="CN134" s="702" t="s">
        <v>1447</v>
      </c>
      <c r="CO134" s="702" t="s">
        <v>1447</v>
      </c>
      <c r="CP134" s="702" t="s">
        <v>1447</v>
      </c>
      <c r="CQ134" s="702" t="s">
        <v>1447</v>
      </c>
      <c r="CS134" s="451">
        <v>0</v>
      </c>
      <c r="CT134" s="452">
        <v>0</v>
      </c>
      <c r="CU134" s="452">
        <v>0.95</v>
      </c>
      <c r="CV134" s="453">
        <v>0.95</v>
      </c>
    </row>
    <row r="135" spans="1:100" outlineLevel="1" x14ac:dyDescent="0.3">
      <c r="A135" s="1">
        <v>70425000</v>
      </c>
      <c r="B135" s="47">
        <v>404320</v>
      </c>
      <c r="C135" s="47">
        <v>4266</v>
      </c>
      <c r="D135" s="47" t="s">
        <v>260</v>
      </c>
      <c r="E135" s="47" t="s">
        <v>7</v>
      </c>
      <c r="F135" s="47" t="s">
        <v>1525</v>
      </c>
      <c r="G135" s="47" t="s">
        <v>1502</v>
      </c>
      <c r="H135" s="47" t="s">
        <v>1513</v>
      </c>
      <c r="I135" s="382">
        <v>643</v>
      </c>
      <c r="J135" s="382">
        <v>0</v>
      </c>
      <c r="K135" s="382">
        <v>0</v>
      </c>
      <c r="L135" s="382">
        <v>25</v>
      </c>
      <c r="M135" s="382">
        <v>0</v>
      </c>
      <c r="N135" s="382">
        <v>643</v>
      </c>
      <c r="O135" s="444">
        <v>4039</v>
      </c>
      <c r="P135" s="445">
        <v>668</v>
      </c>
      <c r="Q135" s="346">
        <v>0.16538747214657093</v>
      </c>
      <c r="R135" s="445">
        <v>3305</v>
      </c>
      <c r="S135" s="447">
        <v>1616</v>
      </c>
      <c r="T135" s="445">
        <v>-77.240793897706126</v>
      </c>
      <c r="U135" s="444">
        <v>3668.6767557484868</v>
      </c>
      <c r="V135" s="445">
        <v>590.75920610229389</v>
      </c>
      <c r="W135" s="229">
        <v>0.16102787065571458</v>
      </c>
      <c r="X135" s="261">
        <v>308089.13633084332</v>
      </c>
      <c r="Y135" s="262">
        <v>73004.582783003309</v>
      </c>
      <c r="Z135" s="262">
        <v>88234.751303208584</v>
      </c>
      <c r="AA135" s="262">
        <v>60338.949716494812</v>
      </c>
      <c r="AB135" s="263">
        <v>529667.42013355007</v>
      </c>
      <c r="AC135" s="262">
        <v>272728.85278992238</v>
      </c>
      <c r="AD135" s="262">
        <v>64660.593659828934</v>
      </c>
      <c r="AE135" s="262">
        <v>78152.797216175401</v>
      </c>
      <c r="AF135" s="263">
        <v>53502.676088974265</v>
      </c>
      <c r="AG135" s="262">
        <v>272728.85278992238</v>
      </c>
      <c r="AH135" s="262">
        <v>64660.593659828934</v>
      </c>
      <c r="AI135" s="262">
        <v>78152.797216175401</v>
      </c>
      <c r="AJ135" s="263">
        <v>53502.676088974265</v>
      </c>
      <c r="AK135" s="262">
        <v>272738.35789294436</v>
      </c>
      <c r="AL135" s="262">
        <v>66635.178491264189</v>
      </c>
      <c r="AM135" s="262">
        <v>78157.948745286631</v>
      </c>
      <c r="AN135" s="262">
        <v>53507.120232521338</v>
      </c>
      <c r="AO135" s="263">
        <v>471038.60536201647</v>
      </c>
      <c r="AP135" s="31"/>
      <c r="AQ135" s="261">
        <v>268595.72574047494</v>
      </c>
      <c r="AR135" s="262">
        <v>64519.329650512853</v>
      </c>
      <c r="AS135" s="262">
        <v>77075.423622774179</v>
      </c>
      <c r="AT135" s="262">
        <v>51357.637984323475</v>
      </c>
      <c r="AU135" s="263">
        <v>461548.11699808546</v>
      </c>
      <c r="AV135" s="31"/>
      <c r="AW135" s="323">
        <v>402929.84509789763</v>
      </c>
      <c r="AX135" s="31"/>
      <c r="AY135" s="747">
        <v>0</v>
      </c>
      <c r="AZ135" s="262">
        <v>43541.119507833966</v>
      </c>
      <c r="BA135" s="262">
        <v>418006.9974902515</v>
      </c>
      <c r="BB135" s="262">
        <v>4091.4017539948618</v>
      </c>
      <c r="BC135" s="263">
        <v>413915.59573625663</v>
      </c>
      <c r="BD135" s="261">
        <v>4139.1559573625664</v>
      </c>
      <c r="BE135" s="262">
        <v>409776.43977889407</v>
      </c>
      <c r="BF135" s="354">
        <v>1.0169920266872585</v>
      </c>
      <c r="BG135" s="31"/>
      <c r="BJ135" s="4">
        <v>1.0169920266872585</v>
      </c>
      <c r="BL135" s="4">
        <v>1.0741050781064505</v>
      </c>
      <c r="BM135" s="4">
        <v>0.9</v>
      </c>
      <c r="BN135" s="4" t="s">
        <v>900</v>
      </c>
      <c r="BO135" s="31" t="s">
        <v>900</v>
      </c>
      <c r="BP135" s="31" t="s">
        <v>900</v>
      </c>
      <c r="BQ135" s="31">
        <v>408799.14624353679</v>
      </c>
      <c r="BR135" s="4">
        <v>1.0145665584643231</v>
      </c>
      <c r="BS135" s="4" t="s">
        <v>900</v>
      </c>
      <c r="BT135" s="448" t="s">
        <v>900</v>
      </c>
      <c r="BU135" s="367" t="s">
        <v>900</v>
      </c>
      <c r="BV135" s="368">
        <v>409776.43977889407</v>
      </c>
      <c r="BX135" s="449">
        <v>-30730.750932797033</v>
      </c>
      <c r="BY135" s="450">
        <v>-6.8715371241690665E-2</v>
      </c>
      <c r="BZ135" s="368">
        <v>-52.019080896854952</v>
      </c>
      <c r="CB135" s="31">
        <v>36493</v>
      </c>
      <c r="CC135" s="31">
        <v>49597.808941615156</v>
      </c>
      <c r="CD135" s="31" t="e">
        <v>#VALUE!</v>
      </c>
      <c r="CE135" s="31" t="s">
        <v>900</v>
      </c>
      <c r="CF135" s="31" t="e">
        <v>#VALUE!</v>
      </c>
      <c r="CJ135" s="702" t="s">
        <v>1447</v>
      </c>
      <c r="CK135" s="702" t="s">
        <v>1447</v>
      </c>
      <c r="CL135" s="702" t="s">
        <v>1448</v>
      </c>
      <c r="CN135" s="702" t="s">
        <v>1447</v>
      </c>
      <c r="CO135" s="702" t="s">
        <v>1447</v>
      </c>
      <c r="CP135" s="702" t="s">
        <v>1447</v>
      </c>
      <c r="CQ135" s="702" t="s">
        <v>1447</v>
      </c>
      <c r="CS135" s="451">
        <v>0</v>
      </c>
      <c r="CT135" s="452">
        <v>0.9</v>
      </c>
      <c r="CU135" s="452">
        <v>0</v>
      </c>
      <c r="CV135" s="453">
        <v>0.9</v>
      </c>
    </row>
    <row r="136" spans="1:100" outlineLevel="1" x14ac:dyDescent="0.3">
      <c r="A136" s="1">
        <v>70501000</v>
      </c>
      <c r="B136" s="47">
        <v>401410</v>
      </c>
      <c r="C136" s="47">
        <v>4284</v>
      </c>
      <c r="D136" s="47" t="s">
        <v>80</v>
      </c>
      <c r="E136" s="47" t="s">
        <v>7</v>
      </c>
      <c r="F136" s="47" t="s">
        <v>1498</v>
      </c>
      <c r="G136" s="47" t="s">
        <v>1502</v>
      </c>
      <c r="H136" s="47" t="s">
        <v>1513</v>
      </c>
      <c r="I136" s="382">
        <v>751</v>
      </c>
      <c r="J136" s="382">
        <v>0</v>
      </c>
      <c r="K136" s="382">
        <v>0</v>
      </c>
      <c r="L136" s="382">
        <v>29</v>
      </c>
      <c r="M136" s="382">
        <v>0</v>
      </c>
      <c r="N136" s="382">
        <v>751</v>
      </c>
      <c r="O136" s="444">
        <v>4329</v>
      </c>
      <c r="P136" s="445">
        <v>780</v>
      </c>
      <c r="Q136" s="346">
        <v>0.18018018018018017</v>
      </c>
      <c r="R136" s="445">
        <v>3099</v>
      </c>
      <c r="S136" s="447">
        <v>1813</v>
      </c>
      <c r="T136" s="445">
        <v>-90.215107467861458</v>
      </c>
      <c r="U136" s="444">
        <v>3932.0875651486012</v>
      </c>
      <c r="V136" s="445">
        <v>689.78489253213854</v>
      </c>
      <c r="W136" s="229">
        <v>0.17542460108109781</v>
      </c>
      <c r="X136" s="261">
        <v>359744.79990727204</v>
      </c>
      <c r="Y136" s="262">
        <v>85244.872111890116</v>
      </c>
      <c r="Z136" s="262">
        <v>108755.79151672302</v>
      </c>
      <c r="AA136" s="262">
        <v>75919.560148035205</v>
      </c>
      <c r="AB136" s="263">
        <v>629665.02368392039</v>
      </c>
      <c r="AC136" s="262">
        <v>318455.84607206495</v>
      </c>
      <c r="AD136" s="262">
        <v>75501.89080039908</v>
      </c>
      <c r="AE136" s="262">
        <v>96329.04490525859</v>
      </c>
      <c r="AF136" s="263">
        <v>67318.036765683515</v>
      </c>
      <c r="AG136" s="262">
        <v>318455.84607206495</v>
      </c>
      <c r="AH136" s="262">
        <v>75501.89080039908</v>
      </c>
      <c r="AI136" s="262">
        <v>96329.04490525859</v>
      </c>
      <c r="AJ136" s="263">
        <v>67318.036765683515</v>
      </c>
      <c r="AK136" s="262">
        <v>318465.35117508692</v>
      </c>
      <c r="AL136" s="262">
        <v>77476.475631834328</v>
      </c>
      <c r="AM136" s="262">
        <v>96334.19643436982</v>
      </c>
      <c r="AN136" s="262">
        <v>67322.48090923058</v>
      </c>
      <c r="AO136" s="263">
        <v>559598.50415052171</v>
      </c>
      <c r="AP136" s="31"/>
      <c r="AQ136" s="261">
        <v>313628.17017342069</v>
      </c>
      <c r="AR136" s="262">
        <v>75016.38600856415</v>
      </c>
      <c r="AS136" s="262">
        <v>94999.921552910062</v>
      </c>
      <c r="AT136" s="262">
        <v>66451.538618769278</v>
      </c>
      <c r="AU136" s="263">
        <v>550096.01635366422</v>
      </c>
      <c r="AV136" s="31"/>
      <c r="AW136" s="323">
        <v>517439.6256891996</v>
      </c>
      <c r="AX136" s="31"/>
      <c r="AY136" s="747">
        <v>0</v>
      </c>
      <c r="AZ136" s="262">
        <v>32656.390664464619</v>
      </c>
      <c r="BA136" s="262">
        <v>517439.6256891996</v>
      </c>
      <c r="BB136" s="262">
        <v>5064.6362497331374</v>
      </c>
      <c r="BC136" s="263">
        <v>512374.98943946644</v>
      </c>
      <c r="BD136" s="261">
        <v>5123.7498943946648</v>
      </c>
      <c r="BE136" s="262">
        <v>507251.23954507179</v>
      </c>
      <c r="BF136" s="354">
        <v>0.98031000016560876</v>
      </c>
      <c r="BG136" s="31"/>
      <c r="BJ136" s="4">
        <v>0.98031000016560876</v>
      </c>
      <c r="BL136" s="4">
        <v>0.99409684746633298</v>
      </c>
      <c r="BM136" s="4">
        <v>0.9</v>
      </c>
      <c r="BN136" s="4" t="s">
        <v>900</v>
      </c>
      <c r="BO136" s="31" t="s">
        <v>900</v>
      </c>
      <c r="BP136" s="31" t="s">
        <v>900</v>
      </c>
      <c r="BQ136" s="31">
        <v>506041.47414841584</v>
      </c>
      <c r="BR136" s="4">
        <v>0.97797201649254817</v>
      </c>
      <c r="BS136" s="4" t="s">
        <v>900</v>
      </c>
      <c r="BT136" s="448" t="s">
        <v>900</v>
      </c>
      <c r="BU136" s="367" t="s">
        <v>900</v>
      </c>
      <c r="BV136" s="368">
        <v>507251.23954507179</v>
      </c>
      <c r="BX136" s="449">
        <v>-37104.806735527178</v>
      </c>
      <c r="BY136" s="450">
        <v>-6.8106217746203457E-2</v>
      </c>
      <c r="BZ136" s="368">
        <v>-53.791851832705056</v>
      </c>
      <c r="CB136" s="31">
        <v>23527</v>
      </c>
      <c r="CC136" s="31">
        <v>38470.894962128485</v>
      </c>
      <c r="CD136" s="31" t="e">
        <v>#VALUE!</v>
      </c>
      <c r="CE136" s="31" t="s">
        <v>900</v>
      </c>
      <c r="CF136" s="31" t="e">
        <v>#VALUE!</v>
      </c>
      <c r="CJ136" s="702" t="s">
        <v>1447</v>
      </c>
      <c r="CK136" s="702" t="s">
        <v>1447</v>
      </c>
      <c r="CL136" s="702" t="s">
        <v>1448</v>
      </c>
      <c r="CN136" s="702" t="s">
        <v>1447</v>
      </c>
      <c r="CO136" s="702" t="s">
        <v>1447</v>
      </c>
      <c r="CP136" s="702" t="s">
        <v>1447</v>
      </c>
      <c r="CQ136" s="702" t="s">
        <v>1447</v>
      </c>
      <c r="CS136" s="451">
        <v>0</v>
      </c>
      <c r="CT136" s="452">
        <v>0.9</v>
      </c>
      <c r="CU136" s="452">
        <v>0</v>
      </c>
      <c r="CV136" s="453">
        <v>0.9</v>
      </c>
    </row>
    <row r="137" spans="1:100" outlineLevel="1" x14ac:dyDescent="0.3">
      <c r="A137" s="1">
        <v>70438000</v>
      </c>
      <c r="B137" s="47">
        <v>404500</v>
      </c>
      <c r="C137" s="47">
        <v>4270</v>
      </c>
      <c r="D137" s="47" t="s">
        <v>265</v>
      </c>
      <c r="E137" s="47" t="s">
        <v>7</v>
      </c>
      <c r="F137" s="47" t="s">
        <v>1501</v>
      </c>
      <c r="G137" s="47" t="s">
        <v>1502</v>
      </c>
      <c r="H137" s="47" t="s">
        <v>1512</v>
      </c>
      <c r="I137" s="382">
        <v>1072</v>
      </c>
      <c r="J137" s="382">
        <v>15</v>
      </c>
      <c r="K137" s="382">
        <v>0</v>
      </c>
      <c r="L137" s="382">
        <v>42</v>
      </c>
      <c r="M137" s="382">
        <v>0</v>
      </c>
      <c r="N137" s="382">
        <v>1087</v>
      </c>
      <c r="O137" s="444">
        <v>5258</v>
      </c>
      <c r="P137" s="445">
        <v>1129</v>
      </c>
      <c r="Q137" s="346">
        <v>0.21472042601749713</v>
      </c>
      <c r="R137" s="445">
        <v>5899</v>
      </c>
      <c r="S137" s="447">
        <v>2658</v>
      </c>
      <c r="T137" s="445">
        <v>-128.7175001665222</v>
      </c>
      <c r="U137" s="444">
        <v>4775.9104683648293</v>
      </c>
      <c r="V137" s="445">
        <v>1000.2824998334778</v>
      </c>
      <c r="W137" s="229">
        <v>0.20944331064396049</v>
      </c>
      <c r="X137" s="261">
        <v>520707.53730167972</v>
      </c>
      <c r="Y137" s="262">
        <v>123386.48796708196</v>
      </c>
      <c r="Z137" s="262">
        <v>172326.01542423322</v>
      </c>
      <c r="AA137" s="262">
        <v>126609.58019173821</v>
      </c>
      <c r="AB137" s="263">
        <v>943029.62088473304</v>
      </c>
      <c r="AC137" s="262">
        <v>460944.42335302738</v>
      </c>
      <c r="AD137" s="262">
        <v>109284.14706878275</v>
      </c>
      <c r="AE137" s="262">
        <v>152635.55390144643</v>
      </c>
      <c r="AF137" s="263">
        <v>112264.9862251048</v>
      </c>
      <c r="AG137" s="262">
        <v>460944.42335302738</v>
      </c>
      <c r="AH137" s="262">
        <v>109284.14706878275</v>
      </c>
      <c r="AI137" s="262">
        <v>152635.55390144643</v>
      </c>
      <c r="AJ137" s="263">
        <v>112264.9862251048</v>
      </c>
      <c r="AK137" s="262">
        <v>460953.92845604935</v>
      </c>
      <c r="AL137" s="262">
        <v>111258.731900218</v>
      </c>
      <c r="AM137" s="262">
        <v>152640.70543055766</v>
      </c>
      <c r="AN137" s="262">
        <v>112269.43036865187</v>
      </c>
      <c r="AO137" s="263">
        <v>837122.79615547694</v>
      </c>
      <c r="AP137" s="31"/>
      <c r="AQ137" s="261">
        <v>453952.48362965393</v>
      </c>
      <c r="AR137" s="262">
        <v>107725.96340999176</v>
      </c>
      <c r="AS137" s="262">
        <v>150526.55836043556</v>
      </c>
      <c r="AT137" s="262">
        <v>110810.64054667119</v>
      </c>
      <c r="AU137" s="263">
        <v>823015.6459467524</v>
      </c>
      <c r="AV137" s="31"/>
      <c r="AW137" s="323">
        <v>797097.52280768543</v>
      </c>
      <c r="AX137" s="31"/>
      <c r="AY137" s="747">
        <v>0</v>
      </c>
      <c r="AZ137" s="262">
        <v>25918.123139066971</v>
      </c>
      <c r="BA137" s="262">
        <v>797097.52280768543</v>
      </c>
      <c r="BB137" s="262">
        <v>7801.8938020203368</v>
      </c>
      <c r="BC137" s="263">
        <v>789295.62900566508</v>
      </c>
      <c r="BD137" s="261">
        <v>7892.9562900566507</v>
      </c>
      <c r="BE137" s="262">
        <v>781402.67271560838</v>
      </c>
      <c r="BF137" s="354">
        <v>0.98031000016560865</v>
      </c>
      <c r="BG137" s="31"/>
      <c r="BJ137" s="4">
        <v>0.98031000016560865</v>
      </c>
      <c r="BL137" s="4">
        <v>0.96607237777497823</v>
      </c>
      <c r="BM137" s="4">
        <v>0.9</v>
      </c>
      <c r="BN137" s="4" t="s">
        <v>900</v>
      </c>
      <c r="BO137" s="31" t="s">
        <v>900</v>
      </c>
      <c r="BP137" s="31" t="s">
        <v>900</v>
      </c>
      <c r="BQ137" s="31">
        <v>779539.07172144705</v>
      </c>
      <c r="BR137" s="4">
        <v>0.97797201649254817</v>
      </c>
      <c r="BS137" s="4" t="s">
        <v>900</v>
      </c>
      <c r="BT137" s="448" t="s">
        <v>900</v>
      </c>
      <c r="BU137" s="367" t="s">
        <v>900</v>
      </c>
      <c r="BV137" s="368">
        <v>781402.67271560838</v>
      </c>
      <c r="BX137" s="449">
        <v>-28949.716492016334</v>
      </c>
      <c r="BY137" s="450">
        <v>-3.5695217935502441E-2</v>
      </c>
      <c r="BZ137" s="368">
        <v>-28.941540511641204</v>
      </c>
      <c r="CB137" s="31">
        <v>125018</v>
      </c>
      <c r="CC137" s="31">
        <v>145746.59631102029</v>
      </c>
      <c r="CD137" s="31" t="e">
        <v>#VALUE!</v>
      </c>
      <c r="CE137" s="31" t="s">
        <v>900</v>
      </c>
      <c r="CF137" s="31" t="e">
        <v>#VALUE!</v>
      </c>
      <c r="CJ137" s="702" t="s">
        <v>1447</v>
      </c>
      <c r="CK137" s="702" t="s">
        <v>1447</v>
      </c>
      <c r="CL137" s="702" t="s">
        <v>1448</v>
      </c>
      <c r="CN137" s="702" t="s">
        <v>1447</v>
      </c>
      <c r="CO137" s="702" t="s">
        <v>1447</v>
      </c>
      <c r="CP137" s="702" t="s">
        <v>1447</v>
      </c>
      <c r="CQ137" s="702" t="s">
        <v>1447</v>
      </c>
      <c r="CS137" s="451">
        <v>0</v>
      </c>
      <c r="CT137" s="452">
        <v>0.9</v>
      </c>
      <c r="CU137" s="452">
        <v>0</v>
      </c>
      <c r="CV137" s="453">
        <v>0.9</v>
      </c>
    </row>
    <row r="138" spans="1:100" outlineLevel="1" x14ac:dyDescent="0.3">
      <c r="A138" s="1">
        <v>70445000</v>
      </c>
      <c r="B138" s="47">
        <v>403060</v>
      </c>
      <c r="C138" s="47">
        <v>4273</v>
      </c>
      <c r="D138" s="47" t="s">
        <v>172</v>
      </c>
      <c r="E138" s="47" t="s">
        <v>7</v>
      </c>
      <c r="F138" s="47" t="s">
        <v>1503</v>
      </c>
      <c r="G138" s="47" t="s">
        <v>1502</v>
      </c>
      <c r="H138" s="47" t="s">
        <v>1523</v>
      </c>
      <c r="I138" s="382">
        <v>1967</v>
      </c>
      <c r="J138" s="382">
        <v>0</v>
      </c>
      <c r="K138" s="382">
        <v>0</v>
      </c>
      <c r="L138" s="382">
        <v>76</v>
      </c>
      <c r="M138" s="382">
        <v>0</v>
      </c>
      <c r="N138" s="382">
        <v>1967</v>
      </c>
      <c r="O138" s="444">
        <v>5636</v>
      </c>
      <c r="P138" s="445">
        <v>2043</v>
      </c>
      <c r="Q138" s="346">
        <v>0.36249112845990061</v>
      </c>
      <c r="R138" s="445">
        <v>4725</v>
      </c>
      <c r="S138" s="447">
        <v>4012</v>
      </c>
      <c r="T138" s="445">
        <v>-236.28893899420132</v>
      </c>
      <c r="U138" s="444">
        <v>5119.2528337208396</v>
      </c>
      <c r="V138" s="445">
        <v>1806.7110610057987</v>
      </c>
      <c r="W138" s="229">
        <v>0.3529247567349828</v>
      </c>
      <c r="X138" s="261">
        <v>942254.64898789348</v>
      </c>
      <c r="Y138" s="262">
        <v>223275.99195460445</v>
      </c>
      <c r="Z138" s="262">
        <v>482705.32936889399</v>
      </c>
      <c r="AA138" s="262">
        <v>454698.53992096434</v>
      </c>
      <c r="AB138" s="263">
        <v>2102934.5102323564</v>
      </c>
      <c r="AC138" s="262">
        <v>834109.3506733703</v>
      </c>
      <c r="AD138" s="262">
        <v>197756.87551950678</v>
      </c>
      <c r="AE138" s="262">
        <v>427550.04308560339</v>
      </c>
      <c r="AF138" s="263">
        <v>403182.1702867737</v>
      </c>
      <c r="AG138" s="262">
        <v>834109.3506733703</v>
      </c>
      <c r="AH138" s="262">
        <v>197756.87551950678</v>
      </c>
      <c r="AI138" s="262">
        <v>427550.04308560339</v>
      </c>
      <c r="AJ138" s="263">
        <v>403182.1702867737</v>
      </c>
      <c r="AK138" s="262">
        <v>834118.85577639227</v>
      </c>
      <c r="AL138" s="262">
        <v>199731.46035094204</v>
      </c>
      <c r="AM138" s="262">
        <v>427555.19461471459</v>
      </c>
      <c r="AN138" s="262">
        <v>403186.6144303208</v>
      </c>
      <c r="AO138" s="263">
        <v>1864592.1251723696</v>
      </c>
      <c r="AP138" s="31"/>
      <c r="AQ138" s="261">
        <v>821449.39623423025</v>
      </c>
      <c r="AR138" s="262">
        <v>193389.44118908877</v>
      </c>
      <c r="AS138" s="262">
        <v>422576.37211145542</v>
      </c>
      <c r="AT138" s="262">
        <v>397923.78103007522</v>
      </c>
      <c r="AU138" s="263">
        <v>1835338.9905648497</v>
      </c>
      <c r="AV138" s="31"/>
      <c r="AW138" s="323">
        <v>1783499.9817419478</v>
      </c>
      <c r="AX138" s="31"/>
      <c r="AY138" s="747">
        <v>0</v>
      </c>
      <c r="AZ138" s="262">
        <v>51839.008822901873</v>
      </c>
      <c r="BA138" s="262">
        <v>1783499.9817419478</v>
      </c>
      <c r="BB138" s="262">
        <v>17456.681341127514</v>
      </c>
      <c r="BC138" s="263">
        <v>1766043.3004008203</v>
      </c>
      <c r="BD138" s="261">
        <v>17660.433004008202</v>
      </c>
      <c r="BE138" s="262">
        <v>1748382.8673968122</v>
      </c>
      <c r="BF138" s="354">
        <v>0.98031000016560876</v>
      </c>
      <c r="BG138" s="31"/>
      <c r="BJ138" s="4">
        <v>0.98031000016560876</v>
      </c>
      <c r="BL138" s="4">
        <v>0.9628725634103561</v>
      </c>
      <c r="BM138" s="4">
        <v>0.95</v>
      </c>
      <c r="BN138" s="4" t="s">
        <v>900</v>
      </c>
      <c r="BO138" s="31" t="s">
        <v>900</v>
      </c>
      <c r="BP138" s="31" t="s">
        <v>900</v>
      </c>
      <c r="BQ138" s="31">
        <v>1744213.0735585957</v>
      </c>
      <c r="BR138" s="4">
        <v>0.97797201649254828</v>
      </c>
      <c r="BS138" s="4" t="s">
        <v>900</v>
      </c>
      <c r="BT138" s="448" t="s">
        <v>900</v>
      </c>
      <c r="BU138" s="367" t="s">
        <v>900</v>
      </c>
      <c r="BV138" s="368">
        <v>1748382.8673968122</v>
      </c>
      <c r="BX138" s="449">
        <v>-65067.408948553726</v>
      </c>
      <c r="BY138" s="450">
        <v>-3.5850688521255628E-2</v>
      </c>
      <c r="BZ138" s="368">
        <v>-36.014286043242912</v>
      </c>
      <c r="CB138" s="31">
        <v>87850</v>
      </c>
      <c r="CC138" s="31">
        <v>121722.64059209361</v>
      </c>
      <c r="CD138" s="31" t="e">
        <v>#VALUE!</v>
      </c>
      <c r="CE138" s="31" t="s">
        <v>900</v>
      </c>
      <c r="CF138" s="31" t="e">
        <v>#VALUE!</v>
      </c>
      <c r="CJ138" s="702" t="s">
        <v>1447</v>
      </c>
      <c r="CK138" s="702" t="s">
        <v>1447</v>
      </c>
      <c r="CL138" s="702" t="s">
        <v>1448</v>
      </c>
      <c r="CN138" s="702" t="s">
        <v>1447</v>
      </c>
      <c r="CO138" s="702" t="s">
        <v>1447</v>
      </c>
      <c r="CP138" s="702" t="s">
        <v>1447</v>
      </c>
      <c r="CQ138" s="702" t="s">
        <v>1447</v>
      </c>
      <c r="CS138" s="451">
        <v>0</v>
      </c>
      <c r="CT138" s="452">
        <v>0</v>
      </c>
      <c r="CU138" s="452">
        <v>0.95</v>
      </c>
      <c r="CV138" s="453">
        <v>0.95</v>
      </c>
    </row>
    <row r="139" spans="1:100" outlineLevel="1" x14ac:dyDescent="0.3">
      <c r="A139" s="1">
        <v>70433000</v>
      </c>
      <c r="B139" s="47">
        <v>401380</v>
      </c>
      <c r="C139" s="47">
        <v>4269</v>
      </c>
      <c r="D139" s="47" t="s">
        <v>79</v>
      </c>
      <c r="E139" s="47" t="s">
        <v>7</v>
      </c>
      <c r="F139" s="47" t="s">
        <v>1498</v>
      </c>
      <c r="G139" s="47" t="s">
        <v>1502</v>
      </c>
      <c r="H139" s="47" t="s">
        <v>1513</v>
      </c>
      <c r="I139" s="382">
        <v>1433</v>
      </c>
      <c r="J139" s="382">
        <v>0</v>
      </c>
      <c r="K139" s="382">
        <v>0</v>
      </c>
      <c r="L139" s="382">
        <v>56</v>
      </c>
      <c r="M139" s="382">
        <v>0</v>
      </c>
      <c r="N139" s="382">
        <v>1433</v>
      </c>
      <c r="O139" s="444">
        <v>5896</v>
      </c>
      <c r="P139" s="445">
        <v>1489</v>
      </c>
      <c r="Q139" s="346">
        <v>0.2525440976933514</v>
      </c>
      <c r="R139" s="445">
        <v>4901</v>
      </c>
      <c r="S139" s="447">
        <v>3941</v>
      </c>
      <c r="T139" s="445">
        <v>-172.13899600263053</v>
      </c>
      <c r="U139" s="444">
        <v>5355.4142490450804</v>
      </c>
      <c r="V139" s="445">
        <v>1316.8610039973694</v>
      </c>
      <c r="W139" s="229">
        <v>0.24589339736551244</v>
      </c>
      <c r="X139" s="261">
        <v>686743.59879734355</v>
      </c>
      <c r="Y139" s="262">
        <v>162730.27509564662</v>
      </c>
      <c r="Z139" s="262">
        <v>260238.31195478013</v>
      </c>
      <c r="AA139" s="262">
        <v>183529.29117786733</v>
      </c>
      <c r="AB139" s="263">
        <v>1293241.4770256379</v>
      </c>
      <c r="AC139" s="262">
        <v>607924.0446170572</v>
      </c>
      <c r="AD139" s="262">
        <v>144131.17359204387</v>
      </c>
      <c r="AE139" s="262">
        <v>230502.7409460397</v>
      </c>
      <c r="AF139" s="263">
        <v>162735.81600052578</v>
      </c>
      <c r="AG139" s="262">
        <v>607924.0446170572</v>
      </c>
      <c r="AH139" s="262">
        <v>144131.17359204387</v>
      </c>
      <c r="AI139" s="262">
        <v>230502.7409460397</v>
      </c>
      <c r="AJ139" s="263">
        <v>162735.81600052578</v>
      </c>
      <c r="AK139" s="262">
        <v>607933.54972007917</v>
      </c>
      <c r="AL139" s="262">
        <v>146105.75842347913</v>
      </c>
      <c r="AM139" s="262">
        <v>230507.89247515093</v>
      </c>
      <c r="AN139" s="262">
        <v>162740.26014407285</v>
      </c>
      <c r="AO139" s="263">
        <v>1147287.460762782</v>
      </c>
      <c r="AP139" s="31"/>
      <c r="AQ139" s="261">
        <v>598699.626449837</v>
      </c>
      <c r="AR139" s="262">
        <v>141466.50170372802</v>
      </c>
      <c r="AS139" s="262">
        <v>227315.24747169824</v>
      </c>
      <c r="AT139" s="262">
        <v>160621.37763384418</v>
      </c>
      <c r="AU139" s="263">
        <v>1128102.7532591075</v>
      </c>
      <c r="AV139" s="31"/>
      <c r="AW139" s="323">
        <v>1050497.5710334629</v>
      </c>
      <c r="AX139" s="31"/>
      <c r="AY139" s="747">
        <v>0</v>
      </c>
      <c r="AZ139" s="262">
        <v>77605.182225644588</v>
      </c>
      <c r="BA139" s="262">
        <v>1050497.5710334629</v>
      </c>
      <c r="BB139" s="262">
        <v>10282.142716507724</v>
      </c>
      <c r="BC139" s="263">
        <v>1040215.4283169551</v>
      </c>
      <c r="BD139" s="261">
        <v>10402.154283169551</v>
      </c>
      <c r="BE139" s="262">
        <v>1029813.2740337856</v>
      </c>
      <c r="BF139" s="354">
        <v>0.98031000016560876</v>
      </c>
      <c r="BG139" s="31"/>
      <c r="BJ139" s="4">
        <v>0.98031000016560876</v>
      </c>
      <c r="BL139" s="4">
        <v>1.0051416310598262</v>
      </c>
      <c r="BM139" s="4">
        <v>0.9</v>
      </c>
      <c r="BN139" s="4" t="s">
        <v>900</v>
      </c>
      <c r="BO139" s="31" t="s">
        <v>900</v>
      </c>
      <c r="BP139" s="31" t="s">
        <v>900</v>
      </c>
      <c r="BQ139" s="31">
        <v>1027357.2278641196</v>
      </c>
      <c r="BR139" s="4">
        <v>0.97797201649254817</v>
      </c>
      <c r="BS139" s="4" t="s">
        <v>900</v>
      </c>
      <c r="BT139" s="448" t="s">
        <v>900</v>
      </c>
      <c r="BU139" s="367" t="s">
        <v>900</v>
      </c>
      <c r="BV139" s="368">
        <v>1029813.2740337856</v>
      </c>
      <c r="BX139" s="449">
        <v>-45414.394224909833</v>
      </c>
      <c r="BY139" s="450">
        <v>-4.1600243696926081E-2</v>
      </c>
      <c r="BZ139" s="368">
        <v>-34.486854791092711</v>
      </c>
      <c r="CB139" s="31">
        <v>51602</v>
      </c>
      <c r="CC139" s="31">
        <v>77942.908270104657</v>
      </c>
      <c r="CD139" s="31" t="e">
        <v>#VALUE!</v>
      </c>
      <c r="CE139" s="31" t="s">
        <v>900</v>
      </c>
      <c r="CF139" s="31" t="e">
        <v>#VALUE!</v>
      </c>
      <c r="CJ139" s="702" t="s">
        <v>1447</v>
      </c>
      <c r="CK139" s="702" t="s">
        <v>1447</v>
      </c>
      <c r="CL139" s="702" t="s">
        <v>1448</v>
      </c>
      <c r="CN139" s="702" t="s">
        <v>1447</v>
      </c>
      <c r="CO139" s="702" t="s">
        <v>1447</v>
      </c>
      <c r="CP139" s="702" t="s">
        <v>1447</v>
      </c>
      <c r="CQ139" s="702" t="s">
        <v>1447</v>
      </c>
      <c r="CS139" s="451">
        <v>0</v>
      </c>
      <c r="CT139" s="452">
        <v>0.9</v>
      </c>
      <c r="CU139" s="452">
        <v>0</v>
      </c>
      <c r="CV139" s="453">
        <v>0.9</v>
      </c>
    </row>
    <row r="140" spans="1:100" outlineLevel="1" x14ac:dyDescent="0.3">
      <c r="A140" s="1">
        <v>70465000</v>
      </c>
      <c r="B140" s="47">
        <v>404440</v>
      </c>
      <c r="C140" s="47">
        <v>4278</v>
      </c>
      <c r="D140" s="47" t="s">
        <v>264</v>
      </c>
      <c r="E140" s="47" t="s">
        <v>7</v>
      </c>
      <c r="F140" s="47" t="s">
        <v>1498</v>
      </c>
      <c r="G140" s="47" t="s">
        <v>1502</v>
      </c>
      <c r="H140" s="47" t="s">
        <v>1523</v>
      </c>
      <c r="I140" s="382">
        <v>1567</v>
      </c>
      <c r="J140" s="382">
        <v>38</v>
      </c>
      <c r="K140" s="382">
        <v>0</v>
      </c>
      <c r="L140" s="382">
        <v>61</v>
      </c>
      <c r="M140" s="382">
        <v>0</v>
      </c>
      <c r="N140" s="382">
        <v>1605</v>
      </c>
      <c r="O140" s="444">
        <v>6770</v>
      </c>
      <c r="P140" s="445">
        <v>1666</v>
      </c>
      <c r="Q140" s="346">
        <v>0.24608567208271787</v>
      </c>
      <c r="R140" s="445">
        <v>5512</v>
      </c>
      <c r="S140" s="447">
        <v>4741</v>
      </c>
      <c r="T140" s="445">
        <v>-188.09474514772657</v>
      </c>
      <c r="U140" s="444">
        <v>6149.2799297888732</v>
      </c>
      <c r="V140" s="445">
        <v>1477.9052548522734</v>
      </c>
      <c r="W140" s="229">
        <v>0.24033793740513862</v>
      </c>
      <c r="X140" s="261">
        <v>768377.99569937878</v>
      </c>
      <c r="Y140" s="262">
        <v>182074.30376719087</v>
      </c>
      <c r="Z140" s="262">
        <v>284978.22669020755</v>
      </c>
      <c r="AA140" s="262">
        <v>195348.43372214513</v>
      </c>
      <c r="AB140" s="263">
        <v>1430778.9598789224</v>
      </c>
      <c r="AC140" s="262">
        <v>680189.02507187228</v>
      </c>
      <c r="AD140" s="262">
        <v>161264.29496598052</v>
      </c>
      <c r="AE140" s="262">
        <v>252415.80253352126</v>
      </c>
      <c r="AF140" s="263">
        <v>173215.87503647292</v>
      </c>
      <c r="AG140" s="262">
        <v>680189.02507187228</v>
      </c>
      <c r="AH140" s="262">
        <v>161264.29496598052</v>
      </c>
      <c r="AI140" s="262">
        <v>252415.80253352126</v>
      </c>
      <c r="AJ140" s="263">
        <v>173215.87503647292</v>
      </c>
      <c r="AK140" s="262">
        <v>680198.53017489426</v>
      </c>
      <c r="AL140" s="262">
        <v>163238.87979741578</v>
      </c>
      <c r="AM140" s="262">
        <v>252420.95406263249</v>
      </c>
      <c r="AN140" s="262">
        <v>173220.31918001999</v>
      </c>
      <c r="AO140" s="263">
        <v>1269078.6832149625</v>
      </c>
      <c r="AP140" s="31"/>
      <c r="AQ140" s="261">
        <v>669866.97166976065</v>
      </c>
      <c r="AR140" s="262">
        <v>158055.59969814829</v>
      </c>
      <c r="AS140" s="262">
        <v>248924.80263327656</v>
      </c>
      <c r="AT140" s="262">
        <v>166261.73124842136</v>
      </c>
      <c r="AU140" s="263">
        <v>1243109.1052496068</v>
      </c>
      <c r="AV140" s="31"/>
      <c r="AW140" s="323">
        <v>1121735.221986681</v>
      </c>
      <c r="AX140" s="31"/>
      <c r="AY140" s="747">
        <v>0</v>
      </c>
      <c r="AZ140" s="262">
        <v>117271.33124274947</v>
      </c>
      <c r="BA140" s="262">
        <v>1125837.7740068573</v>
      </c>
      <c r="BB140" s="262">
        <v>11019.563478462465</v>
      </c>
      <c r="BC140" s="263">
        <v>1114818.2105283949</v>
      </c>
      <c r="BD140" s="261">
        <v>11148.18210528395</v>
      </c>
      <c r="BE140" s="262">
        <v>1103670.028423111</v>
      </c>
      <c r="BF140" s="354">
        <v>0.98389531396582597</v>
      </c>
      <c r="BG140" s="31"/>
      <c r="BJ140" s="4">
        <v>0.98389531396582597</v>
      </c>
      <c r="BL140" s="4">
        <v>1.0887212260311905</v>
      </c>
      <c r="BM140" s="4">
        <v>0.9</v>
      </c>
      <c r="BN140" s="4" t="s">
        <v>900</v>
      </c>
      <c r="BO140" s="31" t="s">
        <v>900</v>
      </c>
      <c r="BP140" s="31" t="s">
        <v>900</v>
      </c>
      <c r="BQ140" s="31">
        <v>1101037.8380889681</v>
      </c>
      <c r="BR140" s="4">
        <v>0.98154877952298203</v>
      </c>
      <c r="BS140" s="4" t="s">
        <v>900</v>
      </c>
      <c r="BT140" s="448" t="s">
        <v>900</v>
      </c>
      <c r="BU140" s="367" t="s">
        <v>900</v>
      </c>
      <c r="BV140" s="368">
        <v>1103670.028423111</v>
      </c>
      <c r="BX140" s="449">
        <v>-85670.118341566296</v>
      </c>
      <c r="BY140" s="450">
        <v>-7.0945361797023224E-2</v>
      </c>
      <c r="BZ140" s="368">
        <v>-57.967260120561384</v>
      </c>
      <c r="CB140" s="31">
        <v>73111</v>
      </c>
      <c r="CC140" s="31">
        <v>102814.56619569477</v>
      </c>
      <c r="CD140" s="31" t="e">
        <v>#VALUE!</v>
      </c>
      <c r="CE140" s="31" t="s">
        <v>900</v>
      </c>
      <c r="CF140" s="31" t="e">
        <v>#VALUE!</v>
      </c>
      <c r="CJ140" s="702" t="s">
        <v>1447</v>
      </c>
      <c r="CK140" s="702" t="s">
        <v>1447</v>
      </c>
      <c r="CL140" s="702" t="s">
        <v>1448</v>
      </c>
      <c r="CN140" s="702" t="s">
        <v>1447</v>
      </c>
      <c r="CO140" s="702" t="s">
        <v>1447</v>
      </c>
      <c r="CP140" s="702" t="s">
        <v>1447</v>
      </c>
      <c r="CQ140" s="702" t="s">
        <v>1447</v>
      </c>
      <c r="CS140" s="451">
        <v>0</v>
      </c>
      <c r="CT140" s="452">
        <v>0.9</v>
      </c>
      <c r="CU140" s="452">
        <v>0</v>
      </c>
      <c r="CV140" s="453">
        <v>0.9</v>
      </c>
    </row>
    <row r="141" spans="1:100" outlineLevel="1" x14ac:dyDescent="0.3">
      <c r="A141" s="1">
        <v>70295000</v>
      </c>
      <c r="B141" s="47">
        <v>406810</v>
      </c>
      <c r="C141" s="47">
        <v>4245</v>
      </c>
      <c r="D141" s="47" t="s">
        <v>356</v>
      </c>
      <c r="E141" s="47" t="s">
        <v>7</v>
      </c>
      <c r="F141" s="47" t="s">
        <v>1498</v>
      </c>
      <c r="G141" s="47" t="s">
        <v>1502</v>
      </c>
      <c r="H141" s="47" t="s">
        <v>1516</v>
      </c>
      <c r="I141" s="382">
        <v>841</v>
      </c>
      <c r="J141" s="382">
        <v>428</v>
      </c>
      <c r="K141" s="382">
        <v>0</v>
      </c>
      <c r="L141" s="382">
        <v>33</v>
      </c>
      <c r="M141" s="382">
        <v>0</v>
      </c>
      <c r="N141" s="382">
        <v>1269</v>
      </c>
      <c r="O141" s="444">
        <v>6893</v>
      </c>
      <c r="P141" s="445">
        <v>1302</v>
      </c>
      <c r="Q141" s="346">
        <v>0.18888727694762802</v>
      </c>
      <c r="R141" s="445">
        <v>5095</v>
      </c>
      <c r="S141" s="447">
        <v>1461</v>
      </c>
      <c r="T141" s="445">
        <v>-99.426619636487331</v>
      </c>
      <c r="U141" s="444">
        <v>6261.0024454999548</v>
      </c>
      <c r="V141" s="445">
        <v>1202.5733803635126</v>
      </c>
      <c r="W141" s="229">
        <v>0.19207361613919391</v>
      </c>
      <c r="X141" s="261">
        <v>600497.0890759849</v>
      </c>
      <c r="Y141" s="262">
        <v>142293.36344830887</v>
      </c>
      <c r="Z141" s="262">
        <v>203484.4238340696</v>
      </c>
      <c r="AA141" s="262">
        <v>141111.78066352734</v>
      </c>
      <c r="AB141" s="263">
        <v>1087386.6570218909</v>
      </c>
      <c r="AC141" s="262">
        <v>531576.29690490838</v>
      </c>
      <c r="AD141" s="262">
        <v>126030.07925912767</v>
      </c>
      <c r="AE141" s="262">
        <v>180233.71378818672</v>
      </c>
      <c r="AF141" s="263">
        <v>125124.11847823707</v>
      </c>
      <c r="AG141" s="262">
        <v>531576.29690490838</v>
      </c>
      <c r="AH141" s="262">
        <v>126030.07925912767</v>
      </c>
      <c r="AI141" s="262">
        <v>180233.71378818672</v>
      </c>
      <c r="AJ141" s="263">
        <v>125124.11847823707</v>
      </c>
      <c r="AK141" s="262">
        <v>531585.80200793035</v>
      </c>
      <c r="AL141" s="262">
        <v>128004.66409056292</v>
      </c>
      <c r="AM141" s="262">
        <v>180238.86531729795</v>
      </c>
      <c r="AN141" s="262">
        <v>125128.56262178413</v>
      </c>
      <c r="AO141" s="263">
        <v>964957.89403757546</v>
      </c>
      <c r="AP141" s="31"/>
      <c r="AQ141" s="261">
        <v>523511.52726268634</v>
      </c>
      <c r="AR141" s="262">
        <v>123940.16653448167</v>
      </c>
      <c r="AS141" s="262">
        <v>177742.47047977505</v>
      </c>
      <c r="AT141" s="262">
        <v>120101.91153442912</v>
      </c>
      <c r="AU141" s="263">
        <v>945296.07581137214</v>
      </c>
      <c r="AV141" s="31"/>
      <c r="AW141" s="323">
        <v>803180.27375065954</v>
      </c>
      <c r="AX141" s="31"/>
      <c r="AY141" s="747">
        <v>0</v>
      </c>
      <c r="AZ141" s="262">
        <v>89176.508128534304</v>
      </c>
      <c r="BA141" s="262">
        <v>856119.56768283783</v>
      </c>
      <c r="BB141" s="262">
        <v>8379.5944131977703</v>
      </c>
      <c r="BC141" s="263">
        <v>847739.97326964012</v>
      </c>
      <c r="BD141" s="261">
        <v>8477.3997326964018</v>
      </c>
      <c r="BE141" s="262">
        <v>839262.57353694376</v>
      </c>
      <c r="BF141" s="354">
        <v>1.044924285326118</v>
      </c>
      <c r="BG141" s="31"/>
      <c r="BJ141" s="4">
        <v>1.044924285326118</v>
      </c>
      <c r="BL141" s="4">
        <v>1.1053327955506129</v>
      </c>
      <c r="BM141" s="4">
        <v>0.9</v>
      </c>
      <c r="BN141" s="4" t="s">
        <v>900</v>
      </c>
      <c r="BO141" s="31" t="s">
        <v>900</v>
      </c>
      <c r="BP141" s="31" t="s">
        <v>900</v>
      </c>
      <c r="BQ141" s="31">
        <v>837260.97996551357</v>
      </c>
      <c r="BR141" s="4">
        <v>1.0424322002527593</v>
      </c>
      <c r="BS141" s="4" t="s">
        <v>900</v>
      </c>
      <c r="BT141" s="448" t="s">
        <v>900</v>
      </c>
      <c r="BU141" s="367" t="s">
        <v>900</v>
      </c>
      <c r="BV141" s="368">
        <v>839262.57353694376</v>
      </c>
      <c r="BX141" s="449">
        <v>-64710.684989216388</v>
      </c>
      <c r="BY141" s="450">
        <v>-7.0506192576425264E-2</v>
      </c>
      <c r="BZ141" s="368">
        <v>-53.810175782916225</v>
      </c>
      <c r="CB141" s="31">
        <v>50367</v>
      </c>
      <c r="CC141" s="31">
        <v>75815.79751669876</v>
      </c>
      <c r="CD141" s="31" t="e">
        <v>#VALUE!</v>
      </c>
      <c r="CE141" s="31" t="s">
        <v>900</v>
      </c>
      <c r="CF141" s="31" t="e">
        <v>#VALUE!</v>
      </c>
      <c r="CJ141" s="702" t="s">
        <v>1447</v>
      </c>
      <c r="CK141" s="702" t="s">
        <v>1447</v>
      </c>
      <c r="CL141" s="702" t="s">
        <v>1448</v>
      </c>
      <c r="CN141" s="702" t="s">
        <v>1447</v>
      </c>
      <c r="CO141" s="702" t="s">
        <v>1447</v>
      </c>
      <c r="CP141" s="702" t="s">
        <v>1447</v>
      </c>
      <c r="CQ141" s="702" t="s">
        <v>1447</v>
      </c>
      <c r="CS141" s="451">
        <v>0</v>
      </c>
      <c r="CT141" s="452">
        <v>0.9</v>
      </c>
      <c r="CU141" s="452">
        <v>0</v>
      </c>
      <c r="CV141" s="453">
        <v>0.9</v>
      </c>
    </row>
    <row r="142" spans="1:100" outlineLevel="1" x14ac:dyDescent="0.3">
      <c r="A142" s="1">
        <v>70401000</v>
      </c>
      <c r="B142" s="47">
        <v>406300</v>
      </c>
      <c r="C142" s="47">
        <v>4256</v>
      </c>
      <c r="D142" s="47" t="s">
        <v>337</v>
      </c>
      <c r="E142" s="47" t="s">
        <v>7</v>
      </c>
      <c r="F142" s="47" t="s">
        <v>1498</v>
      </c>
      <c r="G142" s="47" t="s">
        <v>1502</v>
      </c>
      <c r="H142" s="47" t="s">
        <v>1517</v>
      </c>
      <c r="I142" s="382">
        <v>4004</v>
      </c>
      <c r="J142" s="382">
        <v>0</v>
      </c>
      <c r="K142" s="382">
        <v>0</v>
      </c>
      <c r="L142" s="382">
        <v>155</v>
      </c>
      <c r="M142" s="382">
        <v>0</v>
      </c>
      <c r="N142" s="382">
        <v>4004</v>
      </c>
      <c r="O142" s="444">
        <v>6930</v>
      </c>
      <c r="P142" s="445">
        <v>4159</v>
      </c>
      <c r="Q142" s="346">
        <v>0.60014430014430009</v>
      </c>
      <c r="R142" s="445">
        <v>7105</v>
      </c>
      <c r="S142" s="447">
        <v>6338</v>
      </c>
      <c r="T142" s="445">
        <v>-480.98563425747506</v>
      </c>
      <c r="U142" s="444">
        <v>6294.6100315268659</v>
      </c>
      <c r="V142" s="445">
        <v>3678.0143657425251</v>
      </c>
      <c r="W142" s="229">
        <v>0.58431171229369383</v>
      </c>
      <c r="X142" s="261">
        <v>2988241.252196047</v>
      </c>
      <c r="Y142" s="262">
        <v>731153.31667464389</v>
      </c>
      <c r="Z142" s="262">
        <v>2031390.8993251296</v>
      </c>
      <c r="AA142" s="262">
        <v>2316973.6503059086</v>
      </c>
      <c r="AB142" s="263">
        <v>8067759.1185017284</v>
      </c>
      <c r="AC142" s="262">
        <v>2645272.1386961802</v>
      </c>
      <c r="AD142" s="262">
        <v>647586.84606224764</v>
      </c>
      <c r="AE142" s="262">
        <v>1799278.3872216558</v>
      </c>
      <c r="AF142" s="263">
        <v>2054465.5036499142</v>
      </c>
      <c r="AG142" s="262">
        <v>2645272.1386961802</v>
      </c>
      <c r="AH142" s="262">
        <v>647586.84606224764</v>
      </c>
      <c r="AI142" s="262">
        <v>1799278.3872216558</v>
      </c>
      <c r="AJ142" s="263">
        <v>2054465.5036499142</v>
      </c>
      <c r="AK142" s="262">
        <v>2645281.6437992021</v>
      </c>
      <c r="AL142" s="262">
        <v>649561.43089368287</v>
      </c>
      <c r="AM142" s="262">
        <v>1799283.538750767</v>
      </c>
      <c r="AN142" s="262">
        <v>2054469.9477934611</v>
      </c>
      <c r="AO142" s="263">
        <v>7148596.5612371136</v>
      </c>
      <c r="AP142" s="31"/>
      <c r="AQ142" s="261">
        <v>2629206.5911442311</v>
      </c>
      <c r="AR142" s="262">
        <v>647520.45166554744</v>
      </c>
      <c r="AS142" s="262">
        <v>1784192.771314844</v>
      </c>
      <c r="AT142" s="262">
        <v>2038456.1306969784</v>
      </c>
      <c r="AU142" s="263">
        <v>7099375.9448216017</v>
      </c>
      <c r="AV142" s="31"/>
      <c r="AW142" s="323">
        <v>7692677.5182275064</v>
      </c>
      <c r="AX142" s="31"/>
      <c r="AY142" s="747">
        <v>0</v>
      </c>
      <c r="AZ142" s="262">
        <v>0</v>
      </c>
      <c r="BA142" s="262">
        <v>7099375.9448216017</v>
      </c>
      <c r="BB142" s="262">
        <v>69487.830029901437</v>
      </c>
      <c r="BC142" s="263">
        <v>7029888.1147917006</v>
      </c>
      <c r="BD142" s="261">
        <v>70298.881147917011</v>
      </c>
      <c r="BE142" s="262">
        <v>6959589.2336437833</v>
      </c>
      <c r="BF142" s="354">
        <v>0.90470310462817416</v>
      </c>
      <c r="BG142" s="31"/>
      <c r="BJ142" s="4">
        <v>0.90470310462817416</v>
      </c>
      <c r="BL142" s="4">
        <v>0.95</v>
      </c>
      <c r="BM142" s="4">
        <v>0.95</v>
      </c>
      <c r="BN142" s="4" t="s">
        <v>1003</v>
      </c>
      <c r="BO142" s="31">
        <v>348454.4086723486</v>
      </c>
      <c r="BP142" s="31">
        <v>7308043.6423161319</v>
      </c>
      <c r="BQ142" s="31">
        <v>7308043.6423161319</v>
      </c>
      <c r="BR142" s="4">
        <v>0.95000000000000007</v>
      </c>
      <c r="BS142" s="4" t="s">
        <v>900</v>
      </c>
      <c r="BT142" s="448" t="s">
        <v>900</v>
      </c>
      <c r="BU142" s="367" t="s">
        <v>900</v>
      </c>
      <c r="BV142" s="368">
        <v>6959589.2336437833</v>
      </c>
      <c r="BX142" s="449">
        <v>-457260.98835621681</v>
      </c>
      <c r="BY142" s="450">
        <v>-6.1651641150832569E-2</v>
      </c>
      <c r="BZ142" s="368">
        <v>-124.32278476538903</v>
      </c>
      <c r="CB142" s="31">
        <v>467189</v>
      </c>
      <c r="CC142" s="31">
        <v>531947.31915561424</v>
      </c>
      <c r="CD142" s="31" t="e">
        <v>#VALUE!</v>
      </c>
      <c r="CE142" s="31" t="s">
        <v>900</v>
      </c>
      <c r="CF142" s="31" t="e">
        <v>#VALUE!</v>
      </c>
      <c r="CJ142" s="702" t="s">
        <v>1447</v>
      </c>
      <c r="CK142" s="702" t="s">
        <v>1447</v>
      </c>
      <c r="CL142" s="702" t="s">
        <v>1448</v>
      </c>
      <c r="CN142" s="702" t="s">
        <v>1447</v>
      </c>
      <c r="CO142" s="702" t="s">
        <v>1447</v>
      </c>
      <c r="CP142" s="702" t="s">
        <v>1447</v>
      </c>
      <c r="CQ142" s="702" t="s">
        <v>1447</v>
      </c>
      <c r="CS142" s="451">
        <v>0</v>
      </c>
      <c r="CT142" s="452">
        <v>0</v>
      </c>
      <c r="CU142" s="452">
        <v>0.95</v>
      </c>
      <c r="CV142" s="453">
        <v>0.95</v>
      </c>
    </row>
    <row r="143" spans="1:100" outlineLevel="1" x14ac:dyDescent="0.3">
      <c r="A143" s="1">
        <v>70459000</v>
      </c>
      <c r="B143" s="47">
        <v>404290</v>
      </c>
      <c r="C143" s="47">
        <v>4276</v>
      </c>
      <c r="D143" s="47" t="s">
        <v>247</v>
      </c>
      <c r="E143" s="47" t="s">
        <v>7</v>
      </c>
      <c r="F143" s="47" t="s">
        <v>1503</v>
      </c>
      <c r="G143" s="47" t="s">
        <v>1502</v>
      </c>
      <c r="H143" s="47" t="s">
        <v>1506</v>
      </c>
      <c r="I143" s="382">
        <v>1746</v>
      </c>
      <c r="J143" s="382">
        <v>0</v>
      </c>
      <c r="K143" s="382">
        <v>0</v>
      </c>
      <c r="L143" s="382">
        <v>68</v>
      </c>
      <c r="M143" s="382">
        <v>0</v>
      </c>
      <c r="N143" s="382">
        <v>1746</v>
      </c>
      <c r="O143" s="444">
        <v>6955</v>
      </c>
      <c r="P143" s="445">
        <v>1814</v>
      </c>
      <c r="Q143" s="346">
        <v>0.2608195542774982</v>
      </c>
      <c r="R143" s="445">
        <v>6326</v>
      </c>
      <c r="S143" s="447">
        <v>4770</v>
      </c>
      <c r="T143" s="445">
        <v>-209.73895780455243</v>
      </c>
      <c r="U143" s="444">
        <v>6317.3178599234279</v>
      </c>
      <c r="V143" s="445">
        <v>1604.2610421954475</v>
      </c>
      <c r="W143" s="229">
        <v>0.25394654468358391</v>
      </c>
      <c r="X143" s="261">
        <v>836637.2654253738</v>
      </c>
      <c r="Y143" s="262">
        <v>198248.97180893415</v>
      </c>
      <c r="Z143" s="262">
        <v>325194.73948010249</v>
      </c>
      <c r="AA143" s="262">
        <v>227673.19242013435</v>
      </c>
      <c r="AB143" s="263">
        <v>1587754.1691345447</v>
      </c>
      <c r="AC143" s="262">
        <v>740613.98048041773</v>
      </c>
      <c r="AD143" s="262">
        <v>175590.29475887679</v>
      </c>
      <c r="AE143" s="262">
        <v>288037.06198502367</v>
      </c>
      <c r="AF143" s="263">
        <v>201878.30788289662</v>
      </c>
      <c r="AG143" s="262">
        <v>740613.98048041773</v>
      </c>
      <c r="AH143" s="262">
        <v>175590.29475887679</v>
      </c>
      <c r="AI143" s="262">
        <v>288037.06198502367</v>
      </c>
      <c r="AJ143" s="263">
        <v>201878.30788289662</v>
      </c>
      <c r="AK143" s="262">
        <v>740623.4855834397</v>
      </c>
      <c r="AL143" s="262">
        <v>177564.87959031205</v>
      </c>
      <c r="AM143" s="262">
        <v>288042.21351413487</v>
      </c>
      <c r="AN143" s="262">
        <v>201882.75202644369</v>
      </c>
      <c r="AO143" s="263">
        <v>1408113.3307143303</v>
      </c>
      <c r="AP143" s="31"/>
      <c r="AQ143" s="261">
        <v>729374.1303847247</v>
      </c>
      <c r="AR143" s="262">
        <v>171926.70988557322</v>
      </c>
      <c r="AS143" s="262">
        <v>284052.69053561694</v>
      </c>
      <c r="AT143" s="262">
        <v>193772.73994183849</v>
      </c>
      <c r="AU143" s="263">
        <v>1379126.2707477533</v>
      </c>
      <c r="AV143" s="31"/>
      <c r="AW143" s="323">
        <v>1131635.7337261767</v>
      </c>
      <c r="AX143" s="31"/>
      <c r="AY143" s="747">
        <v>0</v>
      </c>
      <c r="AZ143" s="262">
        <v>130102.79873218574</v>
      </c>
      <c r="BA143" s="262">
        <v>1249023.4720155676</v>
      </c>
      <c r="BB143" s="262">
        <v>12225.290138365266</v>
      </c>
      <c r="BC143" s="263">
        <v>1236798.1818772024</v>
      </c>
      <c r="BD143" s="261">
        <v>12367.981818772023</v>
      </c>
      <c r="BE143" s="262">
        <v>1224430.2000584304</v>
      </c>
      <c r="BF143" s="354">
        <v>1.0820002970626477</v>
      </c>
      <c r="BG143" s="31"/>
      <c r="BJ143" s="4">
        <v>1.0820002970626477</v>
      </c>
      <c r="BL143" s="4">
        <v>1.1452505481098947</v>
      </c>
      <c r="BM143" s="4">
        <v>0.9</v>
      </c>
      <c r="BN143" s="4" t="s">
        <v>900</v>
      </c>
      <c r="BO143" s="31" t="s">
        <v>900</v>
      </c>
      <c r="BP143" s="31" t="s">
        <v>900</v>
      </c>
      <c r="BQ143" s="31">
        <v>1221510.0035735886</v>
      </c>
      <c r="BR143" s="4">
        <v>1.0794197878070533</v>
      </c>
      <c r="BS143" s="4" t="s">
        <v>900</v>
      </c>
      <c r="BT143" s="448" t="s">
        <v>900</v>
      </c>
      <c r="BU143" s="367" t="s">
        <v>900</v>
      </c>
      <c r="BV143" s="368">
        <v>1224430.2000584304</v>
      </c>
      <c r="BX143" s="449">
        <v>-95365.757190360688</v>
      </c>
      <c r="BY143" s="450">
        <v>-7.1167952020745315E-2</v>
      </c>
      <c r="BZ143" s="368">
        <v>-59.445286447803831</v>
      </c>
      <c r="CB143" s="31">
        <v>78130</v>
      </c>
      <c r="CC143" s="31">
        <v>110009.2569331297</v>
      </c>
      <c r="CD143" s="31" t="e">
        <v>#VALUE!</v>
      </c>
      <c r="CE143" s="31" t="s">
        <v>900</v>
      </c>
      <c r="CF143" s="31" t="e">
        <v>#VALUE!</v>
      </c>
      <c r="CJ143" s="702" t="s">
        <v>1447</v>
      </c>
      <c r="CK143" s="702" t="s">
        <v>1447</v>
      </c>
      <c r="CL143" s="702" t="s">
        <v>1448</v>
      </c>
      <c r="CN143" s="702" t="s">
        <v>1447</v>
      </c>
      <c r="CO143" s="702" t="s">
        <v>1447</v>
      </c>
      <c r="CP143" s="702" t="s">
        <v>1447</v>
      </c>
      <c r="CQ143" s="702" t="s">
        <v>1447</v>
      </c>
      <c r="CS143" s="451">
        <v>0</v>
      </c>
      <c r="CT143" s="452">
        <v>0.9</v>
      </c>
      <c r="CU143" s="452">
        <v>0</v>
      </c>
      <c r="CV143" s="453">
        <v>0.9</v>
      </c>
    </row>
    <row r="144" spans="1:100" outlineLevel="1" x14ac:dyDescent="0.3">
      <c r="A144" s="1">
        <v>70444000</v>
      </c>
      <c r="B144" s="47">
        <v>400960</v>
      </c>
      <c r="C144" s="47">
        <v>4272</v>
      </c>
      <c r="D144" s="47" t="s">
        <v>58</v>
      </c>
      <c r="E144" s="47" t="s">
        <v>7</v>
      </c>
      <c r="F144" s="47" t="s">
        <v>1498</v>
      </c>
      <c r="G144" s="47" t="s">
        <v>1502</v>
      </c>
      <c r="H144" s="47" t="s">
        <v>1513</v>
      </c>
      <c r="I144" s="382">
        <v>1916</v>
      </c>
      <c r="J144" s="382">
        <v>0</v>
      </c>
      <c r="K144" s="382">
        <v>0</v>
      </c>
      <c r="L144" s="382">
        <v>74</v>
      </c>
      <c r="M144" s="382">
        <v>0</v>
      </c>
      <c r="N144" s="382">
        <v>1916</v>
      </c>
      <c r="O144" s="444">
        <v>7487</v>
      </c>
      <c r="P144" s="445">
        <v>1990</v>
      </c>
      <c r="Q144" s="346">
        <v>0.26579404300788034</v>
      </c>
      <c r="R144" s="445">
        <v>5678</v>
      </c>
      <c r="S144" s="447">
        <v>4133</v>
      </c>
      <c r="T144" s="445">
        <v>-230.16259463872663</v>
      </c>
      <c r="U144" s="444">
        <v>6800.5404482022586</v>
      </c>
      <c r="V144" s="445">
        <v>1759.8374053612733</v>
      </c>
      <c r="W144" s="229">
        <v>0.25877905127768058</v>
      </c>
      <c r="X144" s="261">
        <v>917810.45104547625</v>
      </c>
      <c r="Y144" s="262">
        <v>217483.71218289912</v>
      </c>
      <c r="Z144" s="262">
        <v>361855.72114673333</v>
      </c>
      <c r="AA144" s="262">
        <v>254896.52103743135</v>
      </c>
      <c r="AB144" s="263">
        <v>1752046.4054125401</v>
      </c>
      <c r="AC144" s="262">
        <v>812470.68420949916</v>
      </c>
      <c r="AD144" s="262">
        <v>192626.61883691559</v>
      </c>
      <c r="AE144" s="262">
        <v>320509.0554300138</v>
      </c>
      <c r="AF144" s="263">
        <v>226017.29173857314</v>
      </c>
      <c r="AG144" s="262">
        <v>812470.68420949916</v>
      </c>
      <c r="AH144" s="262">
        <v>192626.61883691559</v>
      </c>
      <c r="AI144" s="262">
        <v>320509.0554300138</v>
      </c>
      <c r="AJ144" s="263">
        <v>226017.29173857314</v>
      </c>
      <c r="AK144" s="262">
        <v>812480.18931252114</v>
      </c>
      <c r="AL144" s="262">
        <v>194601.20366835085</v>
      </c>
      <c r="AM144" s="262">
        <v>320514.206959125</v>
      </c>
      <c r="AN144" s="262">
        <v>226021.73588212021</v>
      </c>
      <c r="AO144" s="263">
        <v>1553617.335822117</v>
      </c>
      <c r="AP144" s="31"/>
      <c r="AQ144" s="261">
        <v>800139.40020792547</v>
      </c>
      <c r="AR144" s="262">
        <v>188422.08416251096</v>
      </c>
      <c r="AS144" s="262">
        <v>316074.93127795088</v>
      </c>
      <c r="AT144" s="262">
        <v>216942.0151482393</v>
      </c>
      <c r="AU144" s="263">
        <v>1521578.4307966265</v>
      </c>
      <c r="AV144" s="31"/>
      <c r="AW144" s="323">
        <v>1359965.0581614068</v>
      </c>
      <c r="AX144" s="31"/>
      <c r="AY144" s="747">
        <v>0</v>
      </c>
      <c r="AZ144" s="262">
        <v>143541.32506651175</v>
      </c>
      <c r="BA144" s="262">
        <v>1378037.1057301147</v>
      </c>
      <c r="BB144" s="262">
        <v>13488.059925565438</v>
      </c>
      <c r="BC144" s="263">
        <v>1364549.0458045492</v>
      </c>
      <c r="BD144" s="261">
        <v>13645.490458045493</v>
      </c>
      <c r="BE144" s="262">
        <v>1350903.5553465039</v>
      </c>
      <c r="BF144" s="354">
        <v>0.99333695909279207</v>
      </c>
      <c r="BG144" s="31"/>
      <c r="BJ144" s="4">
        <v>0.99333695909279207</v>
      </c>
      <c r="BL144" s="4">
        <v>1.0515302084273688</v>
      </c>
      <c r="BM144" s="4">
        <v>0.9</v>
      </c>
      <c r="BN144" s="4" t="s">
        <v>900</v>
      </c>
      <c r="BO144" s="31" t="s">
        <v>900</v>
      </c>
      <c r="BP144" s="31" t="s">
        <v>900</v>
      </c>
      <c r="BQ144" s="31">
        <v>1347681.7270924351</v>
      </c>
      <c r="BR144" s="4">
        <v>0.99096790686256453</v>
      </c>
      <c r="BS144" s="4" t="s">
        <v>900</v>
      </c>
      <c r="BT144" s="448" t="s">
        <v>900</v>
      </c>
      <c r="BU144" s="367" t="s">
        <v>900</v>
      </c>
      <c r="BV144" s="368">
        <v>1350903.5553465039</v>
      </c>
      <c r="BX144" s="449">
        <v>-105422.85498954915</v>
      </c>
      <c r="BY144" s="450">
        <v>-7.1297320477399048E-2</v>
      </c>
      <c r="BZ144" s="368">
        <v>-59.904883637762609</v>
      </c>
      <c r="CB144" s="31">
        <v>145195</v>
      </c>
      <c r="CC144" s="31">
        <v>180034.17115633146</v>
      </c>
      <c r="CD144" s="31" t="e">
        <v>#VALUE!</v>
      </c>
      <c r="CE144" s="31" t="s">
        <v>900</v>
      </c>
      <c r="CF144" s="31" t="e">
        <v>#VALUE!</v>
      </c>
      <c r="CJ144" s="702" t="s">
        <v>1447</v>
      </c>
      <c r="CK144" s="702" t="s">
        <v>1447</v>
      </c>
      <c r="CL144" s="702" t="s">
        <v>1448</v>
      </c>
      <c r="CN144" s="702" t="s">
        <v>1447</v>
      </c>
      <c r="CO144" s="702" t="s">
        <v>1447</v>
      </c>
      <c r="CP144" s="702" t="s">
        <v>1447</v>
      </c>
      <c r="CQ144" s="702" t="s">
        <v>1447</v>
      </c>
      <c r="CS144" s="451">
        <v>0</v>
      </c>
      <c r="CT144" s="452">
        <v>0.9</v>
      </c>
      <c r="CU144" s="452">
        <v>0</v>
      </c>
      <c r="CV144" s="453">
        <v>0.9</v>
      </c>
    </row>
    <row r="145" spans="1:100" outlineLevel="1" x14ac:dyDescent="0.3">
      <c r="A145" s="1">
        <v>70516000</v>
      </c>
      <c r="B145" s="47">
        <v>400450</v>
      </c>
      <c r="C145" s="47">
        <v>4289</v>
      </c>
      <c r="D145" s="47" t="s">
        <v>15</v>
      </c>
      <c r="E145" s="47" t="s">
        <v>7</v>
      </c>
      <c r="F145" s="47" t="s">
        <v>1503</v>
      </c>
      <c r="G145" s="47" t="s">
        <v>1502</v>
      </c>
      <c r="H145" s="47" t="s">
        <v>1507</v>
      </c>
      <c r="I145" s="382">
        <v>1149</v>
      </c>
      <c r="J145" s="382">
        <v>0</v>
      </c>
      <c r="K145" s="382">
        <v>0</v>
      </c>
      <c r="L145" s="382">
        <v>45</v>
      </c>
      <c r="M145" s="382">
        <v>0</v>
      </c>
      <c r="N145" s="382">
        <v>1149</v>
      </c>
      <c r="O145" s="444">
        <v>7829</v>
      </c>
      <c r="P145" s="445">
        <v>1194</v>
      </c>
      <c r="Q145" s="346">
        <v>0.15250989909311535</v>
      </c>
      <c r="R145" s="445">
        <v>6848</v>
      </c>
      <c r="S145" s="447">
        <v>2819</v>
      </c>
      <c r="T145" s="445">
        <v>-138.0231542129828</v>
      </c>
      <c r="U145" s="444">
        <v>7111.1835406672208</v>
      </c>
      <c r="V145" s="445">
        <v>1055.9768457870173</v>
      </c>
      <c r="W145" s="229">
        <v>0.14849523145452917</v>
      </c>
      <c r="X145" s="261">
        <v>550686.2706272857</v>
      </c>
      <c r="Y145" s="262">
        <v>130490.22730973946</v>
      </c>
      <c r="Z145" s="262">
        <v>182977.7509500141</v>
      </c>
      <c r="AA145" s="262">
        <v>128094.86854805792</v>
      </c>
      <c r="AB145" s="263">
        <v>992249.11743509723</v>
      </c>
      <c r="AC145" s="262">
        <v>487482.41052569944</v>
      </c>
      <c r="AD145" s="262">
        <v>115575.97130214934</v>
      </c>
      <c r="AE145" s="262">
        <v>162070.19177656234</v>
      </c>
      <c r="AF145" s="263">
        <v>113581.99459532465</v>
      </c>
      <c r="AG145" s="262">
        <v>487482.41052569944</v>
      </c>
      <c r="AH145" s="262" t="s">
        <v>900</v>
      </c>
      <c r="AI145" s="262">
        <v>162070.19177656234</v>
      </c>
      <c r="AJ145" s="263">
        <v>113581.99459532465</v>
      </c>
      <c r="AK145" s="262">
        <v>487491.91562872141</v>
      </c>
      <c r="AL145" s="262" t="s">
        <v>900</v>
      </c>
      <c r="AM145" s="262">
        <v>162075.34330567357</v>
      </c>
      <c r="AN145" s="262">
        <v>113586.43873887172</v>
      </c>
      <c r="AO145" s="263">
        <v>763153.69767326664</v>
      </c>
      <c r="AP145" s="31"/>
      <c r="AQ145" s="261">
        <v>480087.38441663148</v>
      </c>
      <c r="AR145" s="262">
        <v>67767.51373748573</v>
      </c>
      <c r="AS145" s="262">
        <v>159830.52197035414</v>
      </c>
      <c r="AT145" s="262">
        <v>109023.45660407866</v>
      </c>
      <c r="AU145" s="263">
        <v>816708.87672854995</v>
      </c>
      <c r="AV145" s="31"/>
      <c r="AW145" s="323">
        <v>772330.69564046874</v>
      </c>
      <c r="AX145" s="31"/>
      <c r="AY145" s="747">
        <v>0</v>
      </c>
      <c r="AZ145" s="262">
        <v>44378.181088081212</v>
      </c>
      <c r="BA145" s="262">
        <v>772330.69564046874</v>
      </c>
      <c r="BB145" s="262">
        <v>7559.4791038903104</v>
      </c>
      <c r="BC145" s="263">
        <v>764771.21653657837</v>
      </c>
      <c r="BD145" s="261">
        <v>7647.7121653657841</v>
      </c>
      <c r="BE145" s="262">
        <v>757123.50437121256</v>
      </c>
      <c r="BF145" s="354">
        <v>0.98031000016560865</v>
      </c>
      <c r="BG145" s="31"/>
      <c r="BJ145" s="4">
        <v>0.98031000016560865</v>
      </c>
      <c r="BL145" s="4">
        <v>1.0115445499809785</v>
      </c>
      <c r="BM145" s="4">
        <v>0.85</v>
      </c>
      <c r="BN145" s="4" t="s">
        <v>900</v>
      </c>
      <c r="BO145" s="31" t="s">
        <v>900</v>
      </c>
      <c r="BP145" s="31" t="s">
        <v>900</v>
      </c>
      <c r="BQ145" s="31">
        <v>755317.80781460169</v>
      </c>
      <c r="BR145" s="4">
        <v>0.97797201649254817</v>
      </c>
      <c r="BS145" s="4" t="s">
        <v>900</v>
      </c>
      <c r="BT145" s="448" t="s">
        <v>900</v>
      </c>
      <c r="BU145" s="367" t="s">
        <v>900</v>
      </c>
      <c r="BV145" s="368">
        <v>757123.50437121256</v>
      </c>
      <c r="BX145" s="449">
        <v>-67912.530655825045</v>
      </c>
      <c r="BY145" s="450">
        <v>-8.1074875363144658E-2</v>
      </c>
      <c r="BZ145" s="368">
        <v>-64.312518713618175</v>
      </c>
      <c r="CB145" s="31">
        <v>84461</v>
      </c>
      <c r="CC145" s="31">
        <v>108448.71289843718</v>
      </c>
      <c r="CD145" s="31" t="e">
        <v>#VALUE!</v>
      </c>
      <c r="CE145" s="31" t="s">
        <v>900</v>
      </c>
      <c r="CF145" s="31" t="e">
        <v>#VALUE!</v>
      </c>
      <c r="CJ145" s="702" t="s">
        <v>1447</v>
      </c>
      <c r="CK145" s="702" t="s">
        <v>1447</v>
      </c>
      <c r="CL145" s="702" t="s">
        <v>1448</v>
      </c>
      <c r="CN145" s="702" t="s">
        <v>1447</v>
      </c>
      <c r="CO145" s="702" t="s">
        <v>1448</v>
      </c>
      <c r="CP145" s="702" t="s">
        <v>1447</v>
      </c>
      <c r="CQ145" s="702" t="s">
        <v>1447</v>
      </c>
      <c r="CS145" s="451">
        <v>0.85</v>
      </c>
      <c r="CT145" s="452">
        <v>0</v>
      </c>
      <c r="CU145" s="452">
        <v>0</v>
      </c>
      <c r="CV145" s="453">
        <v>0.85</v>
      </c>
    </row>
    <row r="146" spans="1:100" outlineLevel="1" x14ac:dyDescent="0.3">
      <c r="A146" s="1">
        <v>70405000</v>
      </c>
      <c r="B146" s="47">
        <v>403960</v>
      </c>
      <c r="C146" s="47">
        <v>4259</v>
      </c>
      <c r="D146" s="47" t="s">
        <v>220</v>
      </c>
      <c r="E146" s="47" t="s">
        <v>7</v>
      </c>
      <c r="F146" s="47" t="s">
        <v>1501</v>
      </c>
      <c r="G146" s="47" t="s">
        <v>1502</v>
      </c>
      <c r="H146" s="47" t="s">
        <v>1526</v>
      </c>
      <c r="I146" s="382">
        <v>4215</v>
      </c>
      <c r="J146" s="382">
        <v>0</v>
      </c>
      <c r="K146" s="382">
        <v>0</v>
      </c>
      <c r="L146" s="382">
        <v>163</v>
      </c>
      <c r="M146" s="382">
        <v>0</v>
      </c>
      <c r="N146" s="382">
        <v>4215</v>
      </c>
      <c r="O146" s="444">
        <v>8091</v>
      </c>
      <c r="P146" s="445">
        <v>4378</v>
      </c>
      <c r="Q146" s="346">
        <v>0.54109504387591145</v>
      </c>
      <c r="R146" s="445">
        <v>7212</v>
      </c>
      <c r="S146" s="447">
        <v>6404</v>
      </c>
      <c r="T146" s="445">
        <v>-506.33290734844741</v>
      </c>
      <c r="U146" s="444">
        <v>7349.1615822631857</v>
      </c>
      <c r="V146" s="445">
        <v>3871.6670926515526</v>
      </c>
      <c r="W146" s="229">
        <v>0.52681752187836195</v>
      </c>
      <c r="X146" s="261">
        <v>2019182.9923000475</v>
      </c>
      <c r="Y146" s="262">
        <v>478464.16680237791</v>
      </c>
      <c r="Z146" s="262">
        <v>1401820.1549212004</v>
      </c>
      <c r="AA146" s="262">
        <v>1286286.7658443255</v>
      </c>
      <c r="AB146" s="263">
        <v>5185754.0798679516</v>
      </c>
      <c r="AC146" s="262">
        <v>1787435.5052608978</v>
      </c>
      <c r="AD146" s="262">
        <v>423778.56144121411</v>
      </c>
      <c r="AE146" s="262">
        <v>1241644.1898796426</v>
      </c>
      <c r="AF146" s="263">
        <v>1140553.2332573901</v>
      </c>
      <c r="AG146" s="262">
        <v>1787435.5052608978</v>
      </c>
      <c r="AH146" s="262">
        <v>423778.56144121411</v>
      </c>
      <c r="AI146" s="262">
        <v>1241644.1898796426</v>
      </c>
      <c r="AJ146" s="263">
        <v>1140553.2332573901</v>
      </c>
      <c r="AK146" s="262">
        <v>1787445.0103639199</v>
      </c>
      <c r="AL146" s="262">
        <v>425753.14627264935</v>
      </c>
      <c r="AM146" s="262">
        <v>1241649.3414087538</v>
      </c>
      <c r="AN146" s="262">
        <v>1140557.6774009371</v>
      </c>
      <c r="AO146" s="263">
        <v>4595405.1754462598</v>
      </c>
      <c r="AP146" s="31"/>
      <c r="AQ146" s="261">
        <v>1760295.4475818076</v>
      </c>
      <c r="AR146" s="262">
        <v>412234.32151096116</v>
      </c>
      <c r="AS146" s="262">
        <v>1224451.9017752439</v>
      </c>
      <c r="AT146" s="262">
        <v>1094739.3177141263</v>
      </c>
      <c r="AU146" s="263">
        <v>4491720.9885821398</v>
      </c>
      <c r="AV146" s="31"/>
      <c r="AW146" s="323">
        <v>3939529.3527017613</v>
      </c>
      <c r="AX146" s="31"/>
      <c r="AY146" s="747">
        <v>0</v>
      </c>
      <c r="AZ146" s="262">
        <v>423736.01615303056</v>
      </c>
      <c r="BA146" s="262">
        <v>4067984.9724291093</v>
      </c>
      <c r="BB146" s="262">
        <v>39816.943140549585</v>
      </c>
      <c r="BC146" s="263">
        <v>4028168.0292885597</v>
      </c>
      <c r="BD146" s="261">
        <v>40281.680292885598</v>
      </c>
      <c r="BE146" s="262">
        <v>3987886.3489956739</v>
      </c>
      <c r="BF146" s="354">
        <v>1.0122748155844425</v>
      </c>
      <c r="BG146" s="31"/>
      <c r="BJ146" s="4">
        <v>1.0122748155844425</v>
      </c>
      <c r="BL146" s="4">
        <v>1.1042650369295621</v>
      </c>
      <c r="BM146" s="4">
        <v>0.95</v>
      </c>
      <c r="BN146" s="4" t="s">
        <v>900</v>
      </c>
      <c r="BO146" s="31" t="s">
        <v>900</v>
      </c>
      <c r="BP146" s="31" t="s">
        <v>900</v>
      </c>
      <c r="BQ146" s="31">
        <v>3978375.4665478789</v>
      </c>
      <c r="BR146" s="4">
        <v>1.0098605976420703</v>
      </c>
      <c r="BS146" s="4" t="s">
        <v>900</v>
      </c>
      <c r="BT146" s="448" t="s">
        <v>900</v>
      </c>
      <c r="BU146" s="367" t="s">
        <v>900</v>
      </c>
      <c r="BV146" s="368">
        <v>3987886.3489956739</v>
      </c>
      <c r="BX146" s="449">
        <v>-322320.35115479352</v>
      </c>
      <c r="BY146" s="450">
        <v>-7.3650600446752701E-2</v>
      </c>
      <c r="BZ146" s="368">
        <v>-83.251050113931413</v>
      </c>
      <c r="CB146" s="31">
        <v>465385</v>
      </c>
      <c r="CC146" s="31">
        <v>534288.51609598403</v>
      </c>
      <c r="CD146" s="31" t="e">
        <v>#VALUE!</v>
      </c>
      <c r="CE146" s="31" t="s">
        <v>900</v>
      </c>
      <c r="CF146" s="31" t="e">
        <v>#VALUE!</v>
      </c>
      <c r="CJ146" s="702" t="s">
        <v>1447</v>
      </c>
      <c r="CK146" s="702" t="s">
        <v>1447</v>
      </c>
      <c r="CL146" s="702" t="s">
        <v>1448</v>
      </c>
      <c r="CN146" s="702" t="s">
        <v>1447</v>
      </c>
      <c r="CO146" s="702" t="s">
        <v>1447</v>
      </c>
      <c r="CP146" s="702" t="s">
        <v>1447</v>
      </c>
      <c r="CQ146" s="702" t="s">
        <v>1447</v>
      </c>
      <c r="CS146" s="451">
        <v>0</v>
      </c>
      <c r="CT146" s="452">
        <v>0</v>
      </c>
      <c r="CU146" s="452">
        <v>0.95</v>
      </c>
      <c r="CV146" s="453">
        <v>0.95</v>
      </c>
    </row>
    <row r="147" spans="1:100" outlineLevel="1" x14ac:dyDescent="0.3">
      <c r="A147" s="1">
        <v>70293000</v>
      </c>
      <c r="B147" s="47">
        <v>400001</v>
      </c>
      <c r="C147" s="47">
        <v>4244</v>
      </c>
      <c r="D147" s="47" t="s">
        <v>96</v>
      </c>
      <c r="E147" s="47" t="s">
        <v>7</v>
      </c>
      <c r="F147" s="47" t="s">
        <v>1504</v>
      </c>
      <c r="G147" s="47" t="s">
        <v>1502</v>
      </c>
      <c r="H147" s="47" t="s">
        <v>1508</v>
      </c>
      <c r="I147" s="382">
        <v>641</v>
      </c>
      <c r="J147" s="382">
        <v>0</v>
      </c>
      <c r="K147" s="382">
        <v>0</v>
      </c>
      <c r="L147" s="382">
        <v>25</v>
      </c>
      <c r="M147" s="382">
        <v>0</v>
      </c>
      <c r="N147" s="382">
        <v>641</v>
      </c>
      <c r="O147" s="444">
        <v>8717</v>
      </c>
      <c r="P147" s="445">
        <v>666</v>
      </c>
      <c r="Q147" s="346">
        <v>7.6402432029367903E-2</v>
      </c>
      <c r="R147" s="445">
        <v>5223</v>
      </c>
      <c r="S147" s="447">
        <v>539</v>
      </c>
      <c r="T147" s="445">
        <v>-77.000252277970844</v>
      </c>
      <c r="U147" s="444">
        <v>7917.7656053130877</v>
      </c>
      <c r="V147" s="445">
        <v>588.99974772202916</v>
      </c>
      <c r="W147" s="229">
        <v>7.4389641861435055E-2</v>
      </c>
      <c r="X147" s="261">
        <v>307166.71376697847</v>
      </c>
      <c r="Y147" s="262">
        <v>0</v>
      </c>
      <c r="Z147" s="262">
        <v>84305.210745561635</v>
      </c>
      <c r="AA147" s="262">
        <v>58463.729966973071</v>
      </c>
      <c r="AB147" s="263">
        <v>449935.65447951318</v>
      </c>
      <c r="AC147" s="262">
        <v>271912.29933845549</v>
      </c>
      <c r="AD147" s="262" t="s">
        <v>900</v>
      </c>
      <c r="AE147" s="262">
        <v>74672.257158900364</v>
      </c>
      <c r="AF147" s="263">
        <v>51839.914716333362</v>
      </c>
      <c r="AG147" s="262">
        <v>271912.29933845549</v>
      </c>
      <c r="AH147" s="262" t="s">
        <v>900</v>
      </c>
      <c r="AI147" s="262">
        <v>74672.257158900364</v>
      </c>
      <c r="AJ147" s="263">
        <v>51839.914716333362</v>
      </c>
      <c r="AK147" s="262">
        <v>271921.80444147746</v>
      </c>
      <c r="AL147" s="262" t="s">
        <v>900</v>
      </c>
      <c r="AM147" s="262">
        <v>74677.408688011594</v>
      </c>
      <c r="AN147" s="262">
        <v>51844.358859880434</v>
      </c>
      <c r="AO147" s="263">
        <v>398443.57198936946</v>
      </c>
      <c r="AP147" s="31"/>
      <c r="AQ147" s="261">
        <v>267791.57494702935</v>
      </c>
      <c r="AR147" s="262">
        <v>0</v>
      </c>
      <c r="AS147" s="262">
        <v>73643.090716689738</v>
      </c>
      <c r="AT147" s="262">
        <v>50008.877244496492</v>
      </c>
      <c r="AU147" s="263">
        <v>391443.54290821555</v>
      </c>
      <c r="AV147" s="31"/>
      <c r="AW147" s="323">
        <v>372240.3314153417</v>
      </c>
      <c r="AX147" s="31"/>
      <c r="AY147" s="747">
        <v>0</v>
      </c>
      <c r="AZ147" s="262">
        <v>19203.211492873845</v>
      </c>
      <c r="BA147" s="262">
        <v>372240.3314153417</v>
      </c>
      <c r="BB147" s="262">
        <v>3643.4431815842404</v>
      </c>
      <c r="BC147" s="263">
        <v>368596.88823375746</v>
      </c>
      <c r="BD147" s="261">
        <v>3685.9688823375745</v>
      </c>
      <c r="BE147" s="262">
        <v>364910.9193514199</v>
      </c>
      <c r="BF147" s="354">
        <v>0.98031000016560876</v>
      </c>
      <c r="BG147" s="31"/>
      <c r="BJ147" s="4">
        <v>0.98031000016560876</v>
      </c>
      <c r="BL147" s="4">
        <v>0.98721630574865504</v>
      </c>
      <c r="BM147" s="4">
        <v>0.85</v>
      </c>
      <c r="BN147" s="4" t="s">
        <v>900</v>
      </c>
      <c r="BO147" s="31" t="s">
        <v>900</v>
      </c>
      <c r="BP147" s="31" t="s">
        <v>900</v>
      </c>
      <c r="BQ147" s="31">
        <v>364040.62753411615</v>
      </c>
      <c r="BR147" s="4">
        <v>0.97797201649254817</v>
      </c>
      <c r="BS147" s="4" t="s">
        <v>900</v>
      </c>
      <c r="BT147" s="448" t="s">
        <v>900</v>
      </c>
      <c r="BU147" s="367" t="s">
        <v>900</v>
      </c>
      <c r="BV147" s="368">
        <v>364910.9193514199</v>
      </c>
      <c r="BX147" s="449">
        <v>-13400.664455888676</v>
      </c>
      <c r="BY147" s="450">
        <v>-3.5299729965452019E-2</v>
      </c>
      <c r="BZ147" s="368">
        <v>-22.751562301539298</v>
      </c>
      <c r="CB147" s="31">
        <v>47320</v>
      </c>
      <c r="CC147" s="31">
        <v>64719.122193293384</v>
      </c>
      <c r="CD147" s="31" t="e">
        <v>#VALUE!</v>
      </c>
      <c r="CE147" s="31" t="s">
        <v>900</v>
      </c>
      <c r="CF147" s="31" t="e">
        <v>#VALUE!</v>
      </c>
      <c r="CJ147" s="702" t="s">
        <v>1447</v>
      </c>
      <c r="CK147" s="702" t="s">
        <v>1447</v>
      </c>
      <c r="CL147" s="702" t="s">
        <v>1448</v>
      </c>
      <c r="CN147" s="702" t="s">
        <v>1447</v>
      </c>
      <c r="CO147" s="702" t="s">
        <v>1448</v>
      </c>
      <c r="CP147" s="702" t="s">
        <v>1447</v>
      </c>
      <c r="CQ147" s="702" t="s">
        <v>1447</v>
      </c>
      <c r="CS147" s="451">
        <v>0.85</v>
      </c>
      <c r="CT147" s="452">
        <v>0</v>
      </c>
      <c r="CU147" s="452">
        <v>0</v>
      </c>
      <c r="CV147" s="453">
        <v>0.85</v>
      </c>
    </row>
    <row r="148" spans="1:100" outlineLevel="1" x14ac:dyDescent="0.3">
      <c r="A148" s="1">
        <v>70414000</v>
      </c>
      <c r="B148" s="47">
        <v>402430</v>
      </c>
      <c r="C148" s="47">
        <v>4263</v>
      </c>
      <c r="D148" s="47" t="s">
        <v>122</v>
      </c>
      <c r="E148" s="47" t="s">
        <v>7</v>
      </c>
      <c r="F148" s="47" t="s">
        <v>1498</v>
      </c>
      <c r="G148" s="47" t="s">
        <v>1502</v>
      </c>
      <c r="H148" s="47" t="s">
        <v>1512</v>
      </c>
      <c r="I148" s="382">
        <v>4599</v>
      </c>
      <c r="J148" s="382">
        <v>14</v>
      </c>
      <c r="K148" s="382">
        <v>0</v>
      </c>
      <c r="L148" s="382">
        <v>178</v>
      </c>
      <c r="M148" s="382">
        <v>0</v>
      </c>
      <c r="N148" s="382">
        <v>4613</v>
      </c>
      <c r="O148" s="444">
        <v>9495</v>
      </c>
      <c r="P148" s="445">
        <v>4791</v>
      </c>
      <c r="Q148" s="346">
        <v>0.50458135860979458</v>
      </c>
      <c r="R148" s="445">
        <v>6461</v>
      </c>
      <c r="S148" s="447">
        <v>5853</v>
      </c>
      <c r="T148" s="445">
        <v>-552.40862759488232</v>
      </c>
      <c r="U148" s="444">
        <v>8624.4332250140833</v>
      </c>
      <c r="V148" s="445">
        <v>4238.5913724051179</v>
      </c>
      <c r="W148" s="229">
        <v>0.49146317929758176</v>
      </c>
      <c r="X148" s="261">
        <v>2209663.2517381296</v>
      </c>
      <c r="Y148" s="262">
        <v>543436.82090652268</v>
      </c>
      <c r="Z148" s="262">
        <v>1469526.6443708458</v>
      </c>
      <c r="AA148" s="262">
        <v>1491442.3830725716</v>
      </c>
      <c r="AB148" s="263">
        <v>5714069.1000880701</v>
      </c>
      <c r="AC148" s="262">
        <v>1956053.7929887997</v>
      </c>
      <c r="AD148" s="262">
        <v>481325.22804591421</v>
      </c>
      <c r="AE148" s="262">
        <v>1301614.3429318543</v>
      </c>
      <c r="AF148" s="263">
        <v>1322465.1589367301</v>
      </c>
      <c r="AG148" s="262">
        <v>1956053.7929887997</v>
      </c>
      <c r="AH148" s="262">
        <v>481325.22804591421</v>
      </c>
      <c r="AI148" s="262">
        <v>1301614.3429318543</v>
      </c>
      <c r="AJ148" s="263">
        <v>1322465.1589367301</v>
      </c>
      <c r="AK148" s="262">
        <v>1956063.2980918218</v>
      </c>
      <c r="AL148" s="262">
        <v>483299.81287734944</v>
      </c>
      <c r="AM148" s="262">
        <v>1301619.4944609655</v>
      </c>
      <c r="AN148" s="262">
        <v>1322469.6030802771</v>
      </c>
      <c r="AO148" s="263">
        <v>5063452.2085104138</v>
      </c>
      <c r="AP148" s="31"/>
      <c r="AQ148" s="261">
        <v>1926352.5864282965</v>
      </c>
      <c r="AR148" s="262">
        <v>481688.31108243903</v>
      </c>
      <c r="AS148" s="262">
        <v>1283591.4394092914</v>
      </c>
      <c r="AT148" s="262">
        <v>1305183.7460456125</v>
      </c>
      <c r="AU148" s="263">
        <v>4996816.0829656394</v>
      </c>
      <c r="AV148" s="31"/>
      <c r="AW148" s="323">
        <v>4964860.3571207104</v>
      </c>
      <c r="AX148" s="31"/>
      <c r="AY148" s="747">
        <v>0</v>
      </c>
      <c r="AZ148" s="262">
        <v>31955.725844928995</v>
      </c>
      <c r="BA148" s="262">
        <v>4964860.3571207104</v>
      </c>
      <c r="BB148" s="262">
        <v>48595.45054371241</v>
      </c>
      <c r="BC148" s="263">
        <v>4916264.9065769976</v>
      </c>
      <c r="BD148" s="261">
        <v>49162.649065769976</v>
      </c>
      <c r="BE148" s="262">
        <v>4867102.2575112274</v>
      </c>
      <c r="BF148" s="354">
        <v>0.98031000016560865</v>
      </c>
      <c r="BG148" s="31"/>
      <c r="BJ148" s="4">
        <v>0.98031000016560865</v>
      </c>
      <c r="BL148" s="4">
        <v>0.96480296814961941</v>
      </c>
      <c r="BM148" s="4">
        <v>0.95</v>
      </c>
      <c r="BN148" s="4" t="s">
        <v>900</v>
      </c>
      <c r="BO148" s="31" t="s">
        <v>900</v>
      </c>
      <c r="BP148" s="31" t="s">
        <v>900</v>
      </c>
      <c r="BQ148" s="31">
        <v>4855494.4950572532</v>
      </c>
      <c r="BR148" s="4">
        <v>0.97797201649254795</v>
      </c>
      <c r="BS148" s="4" t="s">
        <v>900</v>
      </c>
      <c r="BT148" s="448" t="s">
        <v>900</v>
      </c>
      <c r="BU148" s="367" t="s">
        <v>900</v>
      </c>
      <c r="BV148" s="368">
        <v>4867102.2575112274</v>
      </c>
      <c r="BX148" s="449">
        <v>-81731.863644113764</v>
      </c>
      <c r="BY148" s="450">
        <v>-1.6368597833348885E-2</v>
      </c>
      <c r="BZ148" s="368">
        <v>-19.282789130421975</v>
      </c>
      <c r="CB148" s="31">
        <v>465459</v>
      </c>
      <c r="CC148" s="31">
        <v>541481.35808346421</v>
      </c>
      <c r="CD148" s="31" t="e">
        <v>#VALUE!</v>
      </c>
      <c r="CE148" s="31" t="s">
        <v>900</v>
      </c>
      <c r="CF148" s="31" t="e">
        <v>#VALUE!</v>
      </c>
      <c r="CJ148" s="702" t="s">
        <v>1447</v>
      </c>
      <c r="CK148" s="702" t="s">
        <v>1447</v>
      </c>
      <c r="CL148" s="702" t="s">
        <v>1448</v>
      </c>
      <c r="CN148" s="702" t="s">
        <v>1447</v>
      </c>
      <c r="CO148" s="702" t="s">
        <v>1447</v>
      </c>
      <c r="CP148" s="702" t="s">
        <v>1447</v>
      </c>
      <c r="CQ148" s="702" t="s">
        <v>1447</v>
      </c>
      <c r="CS148" s="451">
        <v>0</v>
      </c>
      <c r="CT148" s="452">
        <v>0</v>
      </c>
      <c r="CU148" s="452">
        <v>0.95</v>
      </c>
      <c r="CV148" s="453">
        <v>0.95</v>
      </c>
    </row>
    <row r="149" spans="1:100" outlineLevel="1" x14ac:dyDescent="0.3">
      <c r="A149" s="1">
        <v>70492000</v>
      </c>
      <c r="B149" s="47">
        <v>406210</v>
      </c>
      <c r="C149" s="47">
        <v>4283</v>
      </c>
      <c r="D149" s="47" t="s">
        <v>334</v>
      </c>
      <c r="E149" s="47" t="s">
        <v>7</v>
      </c>
      <c r="F149" s="47" t="s">
        <v>1498</v>
      </c>
      <c r="G149" s="47" t="s">
        <v>1502</v>
      </c>
      <c r="H149" s="47" t="s">
        <v>1510</v>
      </c>
      <c r="I149" s="382">
        <v>3055</v>
      </c>
      <c r="J149" s="382">
        <v>41</v>
      </c>
      <c r="K149" s="382">
        <v>0</v>
      </c>
      <c r="L149" s="382">
        <v>118</v>
      </c>
      <c r="M149" s="382">
        <v>0</v>
      </c>
      <c r="N149" s="382">
        <v>3096</v>
      </c>
      <c r="O149" s="444">
        <v>11231</v>
      </c>
      <c r="P149" s="445">
        <v>3214</v>
      </c>
      <c r="Q149" s="346">
        <v>0.28617220194105603</v>
      </c>
      <c r="R149" s="445">
        <v>9797</v>
      </c>
      <c r="S149" s="447">
        <v>6849</v>
      </c>
      <c r="T149" s="445">
        <v>-366.83370179752711</v>
      </c>
      <c r="U149" s="444">
        <v>10201.264828871319</v>
      </c>
      <c r="V149" s="445">
        <v>2847.1662982024727</v>
      </c>
      <c r="W149" s="229">
        <v>0.27909934169579703</v>
      </c>
      <c r="X149" s="261">
        <v>1482333.0601307342</v>
      </c>
      <c r="Y149" s="262">
        <v>351252.58842001884</v>
      </c>
      <c r="Z149" s="262">
        <v>626782.65916914213</v>
      </c>
      <c r="AA149" s="262">
        <v>455551.84183724725</v>
      </c>
      <c r="AB149" s="263">
        <v>2915920.1495571425</v>
      </c>
      <c r="AC149" s="262">
        <v>1312201.3965072013</v>
      </c>
      <c r="AD149" s="262">
        <v>311106.50901600323</v>
      </c>
      <c r="AE149" s="262">
        <v>555164.68667011312</v>
      </c>
      <c r="AF149" s="263">
        <v>403938.79492554342</v>
      </c>
      <c r="AG149" s="262">
        <v>1312201.3965072013</v>
      </c>
      <c r="AH149" s="262">
        <v>311106.50901600323</v>
      </c>
      <c r="AI149" s="262">
        <v>555164.68667011312</v>
      </c>
      <c r="AJ149" s="263">
        <v>403938.79492554342</v>
      </c>
      <c r="AK149" s="262">
        <v>1312210.9016102233</v>
      </c>
      <c r="AL149" s="262">
        <v>313081.09384743846</v>
      </c>
      <c r="AM149" s="262">
        <v>555169.83819922432</v>
      </c>
      <c r="AN149" s="262">
        <v>403943.23906909052</v>
      </c>
      <c r="AO149" s="263">
        <v>2584405.0727259768</v>
      </c>
      <c r="AP149" s="31"/>
      <c r="AQ149" s="261">
        <v>1292279.6857965488</v>
      </c>
      <c r="AR149" s="262">
        <v>303139.91436121403</v>
      </c>
      <c r="AS149" s="262">
        <v>547480.46934090869</v>
      </c>
      <c r="AT149" s="262">
        <v>387716.07494802785</v>
      </c>
      <c r="AU149" s="263">
        <v>2530616.1444466994</v>
      </c>
      <c r="AV149" s="31"/>
      <c r="AW149" s="323">
        <v>2284362.9184839148</v>
      </c>
      <c r="AX149" s="31"/>
      <c r="AY149" s="747">
        <v>0</v>
      </c>
      <c r="AZ149" s="262">
        <v>238731.03565118648</v>
      </c>
      <c r="BA149" s="262">
        <v>2291885.1087955129</v>
      </c>
      <c r="BB149" s="262">
        <v>22432.6932572447</v>
      </c>
      <c r="BC149" s="263">
        <v>2269452.4155382682</v>
      </c>
      <c r="BD149" s="261">
        <v>22694.524155382682</v>
      </c>
      <c r="BE149" s="262">
        <v>2246757.8913828856</v>
      </c>
      <c r="BF149" s="354">
        <v>0.98353806796776977</v>
      </c>
      <c r="BG149" s="31"/>
      <c r="BJ149" s="4">
        <v>0.98353806796776977</v>
      </c>
      <c r="BL149" s="4">
        <v>1.0417214499651588</v>
      </c>
      <c r="BM149" s="4">
        <v>0.9</v>
      </c>
      <c r="BN149" s="4" t="s">
        <v>900</v>
      </c>
      <c r="BO149" s="31" t="s">
        <v>900</v>
      </c>
      <c r="BP149" s="31" t="s">
        <v>900</v>
      </c>
      <c r="BQ149" s="31">
        <v>2241399.5014179912</v>
      </c>
      <c r="BR149" s="4">
        <v>0.98119238553634136</v>
      </c>
      <c r="BS149" s="4" t="s">
        <v>900</v>
      </c>
      <c r="BT149" s="448" t="s">
        <v>900</v>
      </c>
      <c r="BU149" s="367" t="s">
        <v>900</v>
      </c>
      <c r="BV149" s="368">
        <v>2246757.8913828856</v>
      </c>
      <c r="BX149" s="449">
        <v>-176780.02364433184</v>
      </c>
      <c r="BY149" s="450">
        <v>-7.1841303189447675E-2</v>
      </c>
      <c r="BZ149" s="368">
        <v>-62.089813213910254</v>
      </c>
      <c r="CB149" s="31">
        <v>211108</v>
      </c>
      <c r="CC149" s="31">
        <v>266657.98785457946</v>
      </c>
      <c r="CD149" s="31" t="e">
        <v>#VALUE!</v>
      </c>
      <c r="CE149" s="31" t="s">
        <v>900</v>
      </c>
      <c r="CF149" s="31" t="e">
        <v>#VALUE!</v>
      </c>
      <c r="CJ149" s="702" t="s">
        <v>1447</v>
      </c>
      <c r="CK149" s="702" t="s">
        <v>1447</v>
      </c>
      <c r="CL149" s="702" t="s">
        <v>1448</v>
      </c>
      <c r="CN149" s="702" t="s">
        <v>1447</v>
      </c>
      <c r="CO149" s="702" t="s">
        <v>1447</v>
      </c>
      <c r="CP149" s="702" t="s">
        <v>1447</v>
      </c>
      <c r="CQ149" s="702" t="s">
        <v>1447</v>
      </c>
      <c r="CS149" s="451">
        <v>0</v>
      </c>
      <c r="CT149" s="452">
        <v>0.9</v>
      </c>
      <c r="CU149" s="452">
        <v>0</v>
      </c>
      <c r="CV149" s="453">
        <v>0.9</v>
      </c>
    </row>
    <row r="150" spans="1:100" outlineLevel="1" x14ac:dyDescent="0.3">
      <c r="A150" s="1">
        <v>70479000</v>
      </c>
      <c r="B150" s="47">
        <v>404380</v>
      </c>
      <c r="C150" s="47">
        <v>4281</v>
      </c>
      <c r="D150" s="47" t="s">
        <v>262</v>
      </c>
      <c r="E150" s="47" t="s">
        <v>7</v>
      </c>
      <c r="F150" s="47" t="s">
        <v>1501</v>
      </c>
      <c r="G150" s="47" t="s">
        <v>1502</v>
      </c>
      <c r="H150" s="47" t="s">
        <v>1510</v>
      </c>
      <c r="I150" s="382">
        <v>1911</v>
      </c>
      <c r="J150" s="382">
        <v>0</v>
      </c>
      <c r="K150" s="382">
        <v>0</v>
      </c>
      <c r="L150" s="382">
        <v>74</v>
      </c>
      <c r="M150" s="382">
        <v>0</v>
      </c>
      <c r="N150" s="382">
        <v>1911</v>
      </c>
      <c r="O150" s="444">
        <v>11345</v>
      </c>
      <c r="P150" s="445">
        <v>1985</v>
      </c>
      <c r="Q150" s="346">
        <v>0.17496694579109739</v>
      </c>
      <c r="R150" s="445">
        <v>11060</v>
      </c>
      <c r="S150" s="447">
        <v>4015</v>
      </c>
      <c r="T150" s="445">
        <v>-229.56124058938835</v>
      </c>
      <c r="U150" s="444">
        <v>10304.812526359639</v>
      </c>
      <c r="V150" s="445">
        <v>1755.4387594106117</v>
      </c>
      <c r="W150" s="229">
        <v>0.17035135330411993</v>
      </c>
      <c r="X150" s="261">
        <v>915504.39463581424</v>
      </c>
      <c r="Y150" s="262">
        <v>216937.27069500231</v>
      </c>
      <c r="Z150" s="262">
        <v>333170.14216564305</v>
      </c>
      <c r="AA150" s="262">
        <v>231045.85176137104</v>
      </c>
      <c r="AB150" s="263">
        <v>1696657.6592578308</v>
      </c>
      <c r="AC150" s="262">
        <v>810429.30058083206</v>
      </c>
      <c r="AD150" s="262">
        <v>192142.63235742575</v>
      </c>
      <c r="AE150" s="262">
        <v>295101.17243577447</v>
      </c>
      <c r="AF150" s="263">
        <v>204868.85215223633</v>
      </c>
      <c r="AG150" s="262">
        <v>810429.30058083206</v>
      </c>
      <c r="AH150" s="262">
        <v>192142.63235742575</v>
      </c>
      <c r="AI150" s="262">
        <v>295101.17243577447</v>
      </c>
      <c r="AJ150" s="263">
        <v>204868.85215223633</v>
      </c>
      <c r="AK150" s="262">
        <v>810438.80568385404</v>
      </c>
      <c r="AL150" s="262">
        <v>194117.21718886102</v>
      </c>
      <c r="AM150" s="262">
        <v>295106.32396488567</v>
      </c>
      <c r="AN150" s="262">
        <v>204873.2962957834</v>
      </c>
      <c r="AO150" s="263">
        <v>1504535.6431333842</v>
      </c>
      <c r="AP150" s="31"/>
      <c r="AQ150" s="261">
        <v>798129.02322431188</v>
      </c>
      <c r="AR150" s="262">
        <v>187953.46557509786</v>
      </c>
      <c r="AS150" s="262">
        <v>291018.95966435375</v>
      </c>
      <c r="AT150" s="262">
        <v>196643.14839016111</v>
      </c>
      <c r="AU150" s="263">
        <v>1473744.5968539247</v>
      </c>
      <c r="AV150" s="31"/>
      <c r="AW150" s="323">
        <v>1233882.2019103894</v>
      </c>
      <c r="AX150" s="31"/>
      <c r="AY150" s="747">
        <v>0</v>
      </c>
      <c r="AZ150" s="262">
        <v>139028.81899506785</v>
      </c>
      <c r="BA150" s="262">
        <v>1334715.7778588568</v>
      </c>
      <c r="BB150" s="262">
        <v>13064.036026678472</v>
      </c>
      <c r="BC150" s="263">
        <v>1321651.7418321783</v>
      </c>
      <c r="BD150" s="261">
        <v>13216.517418321784</v>
      </c>
      <c r="BE150" s="262">
        <v>1308435.2244138566</v>
      </c>
      <c r="BF150" s="354">
        <v>1.060421507327068</v>
      </c>
      <c r="BG150" s="31"/>
      <c r="BJ150" s="4">
        <v>1.060421507327068</v>
      </c>
      <c r="BL150" s="4">
        <v>1.1221497865573873</v>
      </c>
      <c r="BM150" s="4">
        <v>0.9</v>
      </c>
      <c r="BN150" s="4" t="s">
        <v>900</v>
      </c>
      <c r="BO150" s="31" t="s">
        <v>900</v>
      </c>
      <c r="BP150" s="31" t="s">
        <v>900</v>
      </c>
      <c r="BQ150" s="31">
        <v>1305314.6807170464</v>
      </c>
      <c r="BR150" s="4">
        <v>1.0578924622594117</v>
      </c>
      <c r="BS150" s="4" t="s">
        <v>900</v>
      </c>
      <c r="BT150" s="448" t="s">
        <v>900</v>
      </c>
      <c r="BU150" s="367" t="s">
        <v>900</v>
      </c>
      <c r="BV150" s="368">
        <v>1308435.2244138566</v>
      </c>
      <c r="BX150" s="449">
        <v>-101846.320169101</v>
      </c>
      <c r="BY150" s="450">
        <v>-7.1127443217479616E-2</v>
      </c>
      <c r="BZ150" s="368">
        <v>-58.017586556705567</v>
      </c>
      <c r="CB150" s="31">
        <v>60736</v>
      </c>
      <c r="CC150" s="31">
        <v>99069.973698217931</v>
      </c>
      <c r="CD150" s="31" t="e">
        <v>#VALUE!</v>
      </c>
      <c r="CE150" s="31" t="s">
        <v>900</v>
      </c>
      <c r="CF150" s="31" t="e">
        <v>#VALUE!</v>
      </c>
      <c r="CJ150" s="702" t="s">
        <v>1447</v>
      </c>
      <c r="CK150" s="702" t="s">
        <v>1447</v>
      </c>
      <c r="CL150" s="702" t="s">
        <v>1448</v>
      </c>
      <c r="CN150" s="702" t="s">
        <v>1447</v>
      </c>
      <c r="CO150" s="702" t="s">
        <v>1447</v>
      </c>
      <c r="CP150" s="702" t="s">
        <v>1447</v>
      </c>
      <c r="CQ150" s="702" t="s">
        <v>1447</v>
      </c>
      <c r="CS150" s="451">
        <v>0</v>
      </c>
      <c r="CT150" s="452">
        <v>0.9</v>
      </c>
      <c r="CU150" s="452">
        <v>0</v>
      </c>
      <c r="CV150" s="453">
        <v>0.9</v>
      </c>
    </row>
    <row r="151" spans="1:100" outlineLevel="1" x14ac:dyDescent="0.3">
      <c r="A151" s="1">
        <v>70514000</v>
      </c>
      <c r="B151" s="47">
        <v>408520</v>
      </c>
      <c r="C151" s="47">
        <v>4288</v>
      </c>
      <c r="D151" s="47" t="s">
        <v>415</v>
      </c>
      <c r="E151" s="47" t="s">
        <v>7</v>
      </c>
      <c r="F151" s="47" t="s">
        <v>1503</v>
      </c>
      <c r="G151" s="47" t="s">
        <v>1502</v>
      </c>
      <c r="H151" s="47" t="s">
        <v>1510</v>
      </c>
      <c r="I151" s="382">
        <v>2836</v>
      </c>
      <c r="J151" s="382">
        <v>105</v>
      </c>
      <c r="K151" s="382">
        <v>0</v>
      </c>
      <c r="L151" s="382">
        <v>110</v>
      </c>
      <c r="M151" s="382">
        <v>0</v>
      </c>
      <c r="N151" s="382">
        <v>2941</v>
      </c>
      <c r="O151" s="444">
        <v>12252</v>
      </c>
      <c r="P151" s="445">
        <v>3051</v>
      </c>
      <c r="Q151" s="346">
        <v>0.24902056807051909</v>
      </c>
      <c r="R151" s="445">
        <v>10173</v>
      </c>
      <c r="S151" s="447">
        <v>7378</v>
      </c>
      <c r="T151" s="445">
        <v>-340.28531989880429</v>
      </c>
      <c r="U151" s="444">
        <v>11128.652540586894</v>
      </c>
      <c r="V151" s="445">
        <v>2710.7146801011959</v>
      </c>
      <c r="W151" s="229">
        <v>0.24357977483932122</v>
      </c>
      <c r="X151" s="261">
        <v>1407155.6211757527</v>
      </c>
      <c r="Y151" s="262">
        <v>333438.59591458546</v>
      </c>
      <c r="Z151" s="262">
        <v>585516.14459999313</v>
      </c>
      <c r="AA151" s="262">
        <v>423357.28783516423</v>
      </c>
      <c r="AB151" s="263">
        <v>2749467.6495254952</v>
      </c>
      <c r="AC151" s="262">
        <v>1245652.290212654</v>
      </c>
      <c r="AD151" s="262">
        <v>295328.54978463781</v>
      </c>
      <c r="AE151" s="262">
        <v>518613.40163437487</v>
      </c>
      <c r="AF151" s="263">
        <v>375391.81486215722</v>
      </c>
      <c r="AG151" s="262">
        <v>1245652.290212654</v>
      </c>
      <c r="AH151" s="262">
        <v>295328.54978463781</v>
      </c>
      <c r="AI151" s="262">
        <v>518613.40163437487</v>
      </c>
      <c r="AJ151" s="263">
        <v>375391.81486215722</v>
      </c>
      <c r="AK151" s="262">
        <v>1245661.7953156761</v>
      </c>
      <c r="AL151" s="262">
        <v>297303.13461607305</v>
      </c>
      <c r="AM151" s="262">
        <v>518618.55316348607</v>
      </c>
      <c r="AN151" s="262">
        <v>375396.25900570431</v>
      </c>
      <c r="AO151" s="263">
        <v>2436979.7421009396</v>
      </c>
      <c r="AP151" s="31"/>
      <c r="AQ151" s="261">
        <v>1226741.3961307432</v>
      </c>
      <c r="AR151" s="262">
        <v>287862.94841155014</v>
      </c>
      <c r="AS151" s="262">
        <v>511435.43715528364</v>
      </c>
      <c r="AT151" s="262">
        <v>365213.74300718773</v>
      </c>
      <c r="AU151" s="263">
        <v>2391253.5247047646</v>
      </c>
      <c r="AV151" s="31"/>
      <c r="AW151" s="323">
        <v>2190604.2658126564</v>
      </c>
      <c r="AX151" s="31"/>
      <c r="AY151" s="747">
        <v>0</v>
      </c>
      <c r="AZ151" s="262">
        <v>200649.25889210822</v>
      </c>
      <c r="BA151" s="262">
        <v>2190604.2658126564</v>
      </c>
      <c r="BB151" s="262">
        <v>21441.368659536736</v>
      </c>
      <c r="BC151" s="263">
        <v>2169162.8971531196</v>
      </c>
      <c r="BD151" s="261">
        <v>21691.628971531198</v>
      </c>
      <c r="BE151" s="262">
        <v>2147471.2681815885</v>
      </c>
      <c r="BF151" s="354">
        <v>0.98031000016560876</v>
      </c>
      <c r="BG151" s="31"/>
      <c r="BJ151" s="4">
        <v>0.98031000016560876</v>
      </c>
      <c r="BL151" s="4">
        <v>1.0243861920441586</v>
      </c>
      <c r="BM151" s="4">
        <v>0.9</v>
      </c>
      <c r="BN151" s="4" t="s">
        <v>900</v>
      </c>
      <c r="BO151" s="31" t="s">
        <v>900</v>
      </c>
      <c r="BP151" s="31" t="s">
        <v>900</v>
      </c>
      <c r="BQ151" s="31">
        <v>2142349.6711739819</v>
      </c>
      <c r="BR151" s="4">
        <v>0.97797201649254828</v>
      </c>
      <c r="BS151" s="4" t="s">
        <v>900</v>
      </c>
      <c r="BT151" s="448" t="s">
        <v>900</v>
      </c>
      <c r="BU151" s="367" t="s">
        <v>900</v>
      </c>
      <c r="BV151" s="368">
        <v>2147471.2681815885</v>
      </c>
      <c r="BX151" s="449">
        <v>-137736.47188617149</v>
      </c>
      <c r="BY151" s="450">
        <v>-5.9362840994805606E-2</v>
      </c>
      <c r="BZ151" s="368">
        <v>-50.811866293884364</v>
      </c>
      <c r="CB151" s="31">
        <v>119776</v>
      </c>
      <c r="CC151" s="31">
        <v>174104.39801678297</v>
      </c>
      <c r="CD151" s="31" t="e">
        <v>#VALUE!</v>
      </c>
      <c r="CE151" s="31" t="s">
        <v>900</v>
      </c>
      <c r="CF151" s="31" t="e">
        <v>#VALUE!</v>
      </c>
      <c r="CJ151" s="702" t="s">
        <v>1447</v>
      </c>
      <c r="CK151" s="702" t="s">
        <v>1447</v>
      </c>
      <c r="CL151" s="702" t="s">
        <v>1448</v>
      </c>
      <c r="CN151" s="702" t="s">
        <v>1447</v>
      </c>
      <c r="CO151" s="702" t="s">
        <v>1447</v>
      </c>
      <c r="CP151" s="702" t="s">
        <v>1447</v>
      </c>
      <c r="CQ151" s="702" t="s">
        <v>1447</v>
      </c>
      <c r="CS151" s="451">
        <v>0</v>
      </c>
      <c r="CT151" s="452">
        <v>0.9</v>
      </c>
      <c r="CU151" s="452">
        <v>0</v>
      </c>
      <c r="CV151" s="453">
        <v>0.9</v>
      </c>
    </row>
    <row r="152" spans="1:100" outlineLevel="1" x14ac:dyDescent="0.3">
      <c r="A152" s="1">
        <v>70403000</v>
      </c>
      <c r="B152" s="47">
        <v>408310</v>
      </c>
      <c r="C152" s="47">
        <v>4258</v>
      </c>
      <c r="D152" s="47" t="s">
        <v>409</v>
      </c>
      <c r="E152" s="47" t="s">
        <v>7</v>
      </c>
      <c r="F152" s="47" t="s">
        <v>1501</v>
      </c>
      <c r="G152" s="47" t="s">
        <v>1502</v>
      </c>
      <c r="H152" s="47" t="s">
        <v>1510</v>
      </c>
      <c r="I152" s="382">
        <v>4597</v>
      </c>
      <c r="J152" s="382">
        <v>0</v>
      </c>
      <c r="K152" s="382">
        <v>0</v>
      </c>
      <c r="L152" s="382">
        <v>178</v>
      </c>
      <c r="M152" s="382">
        <v>0</v>
      </c>
      <c r="N152" s="382">
        <v>4597</v>
      </c>
      <c r="O152" s="444">
        <v>12658</v>
      </c>
      <c r="P152" s="445">
        <v>4775</v>
      </c>
      <c r="Q152" s="346">
        <v>0.37723179017222308</v>
      </c>
      <c r="R152" s="445">
        <v>11840</v>
      </c>
      <c r="S152" s="447">
        <v>8420</v>
      </c>
      <c r="T152" s="445">
        <v>-552.22035460957409</v>
      </c>
      <c r="U152" s="444">
        <v>11497.427673747052</v>
      </c>
      <c r="V152" s="445">
        <v>4222.7796453904257</v>
      </c>
      <c r="W152" s="229">
        <v>0.36728038350983661</v>
      </c>
      <c r="X152" s="261">
        <v>2202283.8712272104</v>
      </c>
      <c r="Y152" s="262">
        <v>521851.62094137847</v>
      </c>
      <c r="Z152" s="262">
        <v>1149058.5347600169</v>
      </c>
      <c r="AA152" s="262">
        <v>1035583.9577195452</v>
      </c>
      <c r="AB152" s="263">
        <v>4908777.9846481513</v>
      </c>
      <c r="AC152" s="262">
        <v>1949521.3653770643</v>
      </c>
      <c r="AD152" s="262">
        <v>462207.08791269938</v>
      </c>
      <c r="AE152" s="262">
        <v>1017763.8326198768</v>
      </c>
      <c r="AF152" s="263">
        <v>918254.51575038617</v>
      </c>
      <c r="AG152" s="262">
        <v>1949521.3653770643</v>
      </c>
      <c r="AH152" s="262">
        <v>462207.08791269938</v>
      </c>
      <c r="AI152" s="262">
        <v>1017763.8326198768</v>
      </c>
      <c r="AJ152" s="263">
        <v>918254.51575038617</v>
      </c>
      <c r="AK152" s="262">
        <v>1949530.8704800864</v>
      </c>
      <c r="AL152" s="262">
        <v>464181.67274413462</v>
      </c>
      <c r="AM152" s="262">
        <v>1017768.984148988</v>
      </c>
      <c r="AN152" s="262">
        <v>918258.95989393326</v>
      </c>
      <c r="AO152" s="263">
        <v>4349740.4872671422</v>
      </c>
      <c r="AP152" s="31"/>
      <c r="AQ152" s="261">
        <v>1919919.3800807323</v>
      </c>
      <c r="AR152" s="262">
        <v>449442.63735155365</v>
      </c>
      <c r="AS152" s="262">
        <v>1003672.3949735755</v>
      </c>
      <c r="AT152" s="262">
        <v>906259.65137187636</v>
      </c>
      <c r="AU152" s="263">
        <v>4279294.0637777383</v>
      </c>
      <c r="AV152" s="31"/>
      <c r="AW152" s="323">
        <v>4039484.7385605606</v>
      </c>
      <c r="AX152" s="31"/>
      <c r="AY152" s="747">
        <v>0</v>
      </c>
      <c r="AZ152" s="262">
        <v>239809.32521717763</v>
      </c>
      <c r="BA152" s="262">
        <v>4039484.7385605606</v>
      </c>
      <c r="BB152" s="262">
        <v>39537.986310785593</v>
      </c>
      <c r="BC152" s="263">
        <v>3999946.752249775</v>
      </c>
      <c r="BD152" s="261">
        <v>39999.467522497747</v>
      </c>
      <c r="BE152" s="262">
        <v>3959947.2847272772</v>
      </c>
      <c r="BF152" s="354">
        <v>0.98031000016560876</v>
      </c>
      <c r="BG152" s="31"/>
      <c r="BJ152" s="4">
        <v>0.98031000016560876</v>
      </c>
      <c r="BL152" s="4">
        <v>0.99204449708410292</v>
      </c>
      <c r="BM152" s="4">
        <v>0.95</v>
      </c>
      <c r="BN152" s="4" t="s">
        <v>900</v>
      </c>
      <c r="BO152" s="31" t="s">
        <v>900</v>
      </c>
      <c r="BP152" s="31" t="s">
        <v>900</v>
      </c>
      <c r="BQ152" s="31">
        <v>3950503.0353609454</v>
      </c>
      <c r="BR152" s="4">
        <v>0.97797201649254817</v>
      </c>
      <c r="BS152" s="4" t="s">
        <v>900</v>
      </c>
      <c r="BT152" s="448" t="s">
        <v>900</v>
      </c>
      <c r="BU152" s="367" t="s">
        <v>900</v>
      </c>
      <c r="BV152" s="368">
        <v>3959947.2847272772</v>
      </c>
      <c r="BX152" s="449">
        <v>-148250.20191925485</v>
      </c>
      <c r="BY152" s="450">
        <v>-3.5779558262806259E-2</v>
      </c>
      <c r="BZ152" s="368">
        <v>-35.107255023615629</v>
      </c>
      <c r="CB152" s="31">
        <v>472862</v>
      </c>
      <c r="CC152" s="31">
        <v>551555.93686254811</v>
      </c>
      <c r="CD152" s="31" t="e">
        <v>#VALUE!</v>
      </c>
      <c r="CE152" s="31" t="s">
        <v>900</v>
      </c>
      <c r="CF152" s="31" t="e">
        <v>#VALUE!</v>
      </c>
      <c r="CJ152" s="702" t="s">
        <v>1447</v>
      </c>
      <c r="CK152" s="702" t="s">
        <v>1447</v>
      </c>
      <c r="CL152" s="702" t="s">
        <v>1448</v>
      </c>
      <c r="CN152" s="702" t="s">
        <v>1447</v>
      </c>
      <c r="CO152" s="702" t="s">
        <v>1447</v>
      </c>
      <c r="CP152" s="702" t="s">
        <v>1447</v>
      </c>
      <c r="CQ152" s="702" t="s">
        <v>1447</v>
      </c>
      <c r="CS152" s="451">
        <v>0</v>
      </c>
      <c r="CT152" s="452">
        <v>0</v>
      </c>
      <c r="CU152" s="452">
        <v>0.95</v>
      </c>
      <c r="CV152" s="453">
        <v>0.95</v>
      </c>
    </row>
    <row r="153" spans="1:100" outlineLevel="1" x14ac:dyDescent="0.3">
      <c r="A153" s="1">
        <v>70468000</v>
      </c>
      <c r="B153" s="47">
        <v>400600</v>
      </c>
      <c r="C153" s="47">
        <v>4280</v>
      </c>
      <c r="D153" s="47" t="s">
        <v>22</v>
      </c>
      <c r="E153" s="47" t="s">
        <v>7</v>
      </c>
      <c r="F153" s="47" t="s">
        <v>1503</v>
      </c>
      <c r="G153" s="47" t="s">
        <v>1502</v>
      </c>
      <c r="H153" s="47" t="s">
        <v>1508</v>
      </c>
      <c r="I153" s="382">
        <v>7420</v>
      </c>
      <c r="J153" s="382">
        <v>0</v>
      </c>
      <c r="K153" s="382">
        <v>0</v>
      </c>
      <c r="L153" s="382">
        <v>288</v>
      </c>
      <c r="M153" s="382">
        <v>0</v>
      </c>
      <c r="N153" s="382">
        <v>7420</v>
      </c>
      <c r="O153" s="444">
        <v>15214</v>
      </c>
      <c r="P153" s="445">
        <v>7708</v>
      </c>
      <c r="Q153" s="346">
        <v>0.50663862232154599</v>
      </c>
      <c r="R153" s="445">
        <v>13809</v>
      </c>
      <c r="S153" s="447">
        <v>12916</v>
      </c>
      <c r="T153" s="445">
        <v>-891.33416873830163</v>
      </c>
      <c r="U153" s="444">
        <v>13819.076049011508</v>
      </c>
      <c r="V153" s="445">
        <v>6816.6658312616983</v>
      </c>
      <c r="W153" s="229">
        <v>0.49327942093127863</v>
      </c>
      <c r="X153" s="261">
        <v>3555016.5611349395</v>
      </c>
      <c r="Y153" s="262">
        <v>842394.19774160092</v>
      </c>
      <c r="Z153" s="262">
        <v>2370495.50437793</v>
      </c>
      <c r="AA153" s="262">
        <v>2142576.5197968059</v>
      </c>
      <c r="AB153" s="263">
        <v>8910482.7830512766</v>
      </c>
      <c r="AC153" s="262">
        <v>3146997.0019531748</v>
      </c>
      <c r="AD153" s="262">
        <v>746113.55678137927</v>
      </c>
      <c r="AE153" s="262">
        <v>2099635.9339063149</v>
      </c>
      <c r="AF153" s="263">
        <v>1899827.1940950435</v>
      </c>
      <c r="AG153" s="262">
        <v>3146997.0019531748</v>
      </c>
      <c r="AH153" s="262">
        <v>746113.55678137927</v>
      </c>
      <c r="AI153" s="262">
        <v>2099635.9339063149</v>
      </c>
      <c r="AJ153" s="263">
        <v>1899827.1940950435</v>
      </c>
      <c r="AK153" s="262">
        <v>3147006.5070561967</v>
      </c>
      <c r="AL153" s="262">
        <v>748088.14161281451</v>
      </c>
      <c r="AM153" s="262">
        <v>2099641.0854354263</v>
      </c>
      <c r="AN153" s="262">
        <v>1899831.6382385904</v>
      </c>
      <c r="AO153" s="263">
        <v>7894567.372343028</v>
      </c>
      <c r="AP153" s="31"/>
      <c r="AQ153" s="261">
        <v>3099206.5186685021</v>
      </c>
      <c r="AR153" s="262">
        <v>724334.30072802119</v>
      </c>
      <c r="AS153" s="262">
        <v>2070560.0481291572</v>
      </c>
      <c r="AT153" s="262">
        <v>1823511.807098127</v>
      </c>
      <c r="AU153" s="263">
        <v>7717612.674623807</v>
      </c>
      <c r="AV153" s="31"/>
      <c r="AW153" s="323">
        <v>6449893.9335976522</v>
      </c>
      <c r="AX153" s="31"/>
      <c r="AY153" s="747">
        <v>0</v>
      </c>
      <c r="AZ153" s="262">
        <v>728057.34311416</v>
      </c>
      <c r="BA153" s="262">
        <v>6989555.331509647</v>
      </c>
      <c r="BB153" s="262">
        <v>68412.919196764473</v>
      </c>
      <c r="BC153" s="263">
        <v>6921142.412312882</v>
      </c>
      <c r="BD153" s="261">
        <v>69211.424123128818</v>
      </c>
      <c r="BE153" s="262">
        <v>6851930.9881897531</v>
      </c>
      <c r="BF153" s="354">
        <v>1.0623323513116829</v>
      </c>
      <c r="BG153" s="31"/>
      <c r="BJ153" s="4">
        <v>1.0623323513116829</v>
      </c>
      <c r="BL153" s="4">
        <v>1.1276465207666064</v>
      </c>
      <c r="BM153" s="4">
        <v>0.95</v>
      </c>
      <c r="BN153" s="4" t="s">
        <v>900</v>
      </c>
      <c r="BO153" s="31" t="s">
        <v>900</v>
      </c>
      <c r="BP153" s="31" t="s">
        <v>900</v>
      </c>
      <c r="BQ153" s="31">
        <v>6835589.5219427301</v>
      </c>
      <c r="BR153" s="4">
        <v>1.0597987489896508</v>
      </c>
      <c r="BS153" s="4" t="s">
        <v>900</v>
      </c>
      <c r="BT153" s="448" t="s">
        <v>900</v>
      </c>
      <c r="BU153" s="367" t="s">
        <v>900</v>
      </c>
      <c r="BV153" s="368">
        <v>6851930.9881897531</v>
      </c>
      <c r="BX153" s="449">
        <v>-553809.00910589844</v>
      </c>
      <c r="BY153" s="450">
        <v>-7.3650547291910715E-2</v>
      </c>
      <c r="BZ153" s="368">
        <v>-81.24338537560287</v>
      </c>
      <c r="CB153" s="31">
        <v>726473</v>
      </c>
      <c r="CC153" s="31">
        <v>848683.13456858031</v>
      </c>
      <c r="CD153" s="31" t="e">
        <v>#VALUE!</v>
      </c>
      <c r="CE153" s="31" t="s">
        <v>900</v>
      </c>
      <c r="CF153" s="31" t="e">
        <v>#VALUE!</v>
      </c>
      <c r="CJ153" s="702" t="s">
        <v>1447</v>
      </c>
      <c r="CK153" s="702" t="s">
        <v>1447</v>
      </c>
      <c r="CL153" s="702" t="s">
        <v>1448</v>
      </c>
      <c r="CN153" s="702" t="s">
        <v>1447</v>
      </c>
      <c r="CO153" s="702" t="s">
        <v>1447</v>
      </c>
      <c r="CP153" s="702" t="s">
        <v>1447</v>
      </c>
      <c r="CQ153" s="702" t="s">
        <v>1447</v>
      </c>
      <c r="CS153" s="451">
        <v>0</v>
      </c>
      <c r="CT153" s="452">
        <v>0</v>
      </c>
      <c r="CU153" s="452">
        <v>0.95</v>
      </c>
      <c r="CV153" s="453">
        <v>0.95</v>
      </c>
    </row>
    <row r="154" spans="1:100" outlineLevel="1" x14ac:dyDescent="0.3">
      <c r="A154" s="1">
        <v>70513000</v>
      </c>
      <c r="B154" s="47">
        <v>408340</v>
      </c>
      <c r="C154" s="47">
        <v>4287</v>
      </c>
      <c r="D154" s="47" t="s">
        <v>410</v>
      </c>
      <c r="E154" s="47" t="s">
        <v>7</v>
      </c>
      <c r="F154" s="47" t="s">
        <v>1498</v>
      </c>
      <c r="G154" s="47" t="s">
        <v>1502</v>
      </c>
      <c r="H154" s="47" t="s">
        <v>1508</v>
      </c>
      <c r="I154" s="382">
        <v>2170</v>
      </c>
      <c r="J154" s="382">
        <v>0</v>
      </c>
      <c r="K154" s="382">
        <v>0</v>
      </c>
      <c r="L154" s="382">
        <v>84</v>
      </c>
      <c r="M154" s="382">
        <v>0</v>
      </c>
      <c r="N154" s="382">
        <v>2170</v>
      </c>
      <c r="O154" s="444">
        <v>15510</v>
      </c>
      <c r="P154" s="445">
        <v>2254</v>
      </c>
      <c r="Q154" s="346">
        <v>0.14532559638942619</v>
      </c>
      <c r="R154" s="445">
        <v>12588</v>
      </c>
      <c r="S154" s="447">
        <v>3412</v>
      </c>
      <c r="T154" s="445">
        <v>-260.67404560623254</v>
      </c>
      <c r="U154" s="444">
        <v>14087.936737226797</v>
      </c>
      <c r="V154" s="445">
        <v>1993.3259543937675</v>
      </c>
      <c r="W154" s="229">
        <v>0.1414916883553633</v>
      </c>
      <c r="X154" s="261">
        <v>1039570.2294756299</v>
      </c>
      <c r="Y154" s="262">
        <v>222355.35097619626</v>
      </c>
      <c r="Z154" s="262">
        <v>384246.94777500367</v>
      </c>
      <c r="AA154" s="262">
        <v>292224.30903309013</v>
      </c>
      <c r="AB154" s="263">
        <v>1938396.8372599198</v>
      </c>
      <c r="AC154" s="262">
        <v>920255.73980312108</v>
      </c>
      <c r="AD154" s="262">
        <v>196941.45832318661</v>
      </c>
      <c r="AE154" s="262">
        <v>340341.79670546867</v>
      </c>
      <c r="AF154" s="263">
        <v>259115.92139045254</v>
      </c>
      <c r="AG154" s="262">
        <v>920255.73980312108</v>
      </c>
      <c r="AH154" s="262" t="s">
        <v>900</v>
      </c>
      <c r="AI154" s="262">
        <v>340341.79670546867</v>
      </c>
      <c r="AJ154" s="263">
        <v>259115.92139045254</v>
      </c>
      <c r="AK154" s="262">
        <v>920265.24490614305</v>
      </c>
      <c r="AL154" s="262" t="s">
        <v>900</v>
      </c>
      <c r="AM154" s="262">
        <v>340346.94823457988</v>
      </c>
      <c r="AN154" s="262">
        <v>259120.3655339996</v>
      </c>
      <c r="AO154" s="263">
        <v>1519732.5586747224</v>
      </c>
      <c r="AP154" s="31"/>
      <c r="AQ154" s="261">
        <v>906287.30494272651</v>
      </c>
      <c r="AR154" s="262">
        <v>193081.38480493097</v>
      </c>
      <c r="AS154" s="262">
        <v>335632.97956281895</v>
      </c>
      <c r="AT154" s="262">
        <v>255701.82279800708</v>
      </c>
      <c r="AU154" s="263">
        <v>1690703.4921084836</v>
      </c>
      <c r="AV154" s="31"/>
      <c r="AW154" s="323">
        <v>1740393.7984813005</v>
      </c>
      <c r="AX154" s="31"/>
      <c r="AY154" s="747">
        <v>0</v>
      </c>
      <c r="AZ154" s="262">
        <v>0</v>
      </c>
      <c r="BA154" s="262">
        <v>1690703.4921084836</v>
      </c>
      <c r="BB154" s="262">
        <v>16548.400564177657</v>
      </c>
      <c r="BC154" s="263">
        <v>1674155.0915443059</v>
      </c>
      <c r="BD154" s="261">
        <v>16741.550915443058</v>
      </c>
      <c r="BE154" s="262">
        <v>1657413.5406288628</v>
      </c>
      <c r="BF154" s="354">
        <v>0.95232098739673299</v>
      </c>
      <c r="BG154" s="31"/>
      <c r="BJ154" s="4">
        <v>0.95232098739673299</v>
      </c>
      <c r="BL154" s="4">
        <v>0.9090506550884252</v>
      </c>
      <c r="BM154" s="4">
        <v>0.85</v>
      </c>
      <c r="BN154" s="4" t="s">
        <v>900</v>
      </c>
      <c r="BO154" s="31" t="s">
        <v>900</v>
      </c>
      <c r="BP154" s="31" t="s">
        <v>900</v>
      </c>
      <c r="BQ154" s="31">
        <v>1653460.7034683267</v>
      </c>
      <c r="BR154" s="4">
        <v>0.95004975592947227</v>
      </c>
      <c r="BS154" s="4" t="s">
        <v>900</v>
      </c>
      <c r="BT154" s="448" t="s">
        <v>900</v>
      </c>
      <c r="BU154" s="367" t="s">
        <v>900</v>
      </c>
      <c r="BV154" s="368">
        <v>1657413.5406288628</v>
      </c>
      <c r="BX154" s="449">
        <v>-21249.245097398059</v>
      </c>
      <c r="BY154" s="450">
        <v>-1.2467393779505471E-2</v>
      </c>
      <c r="BZ154" s="368">
        <v>-10.660195865387514</v>
      </c>
      <c r="CB154" s="31">
        <v>274770</v>
      </c>
      <c r="CC154" s="31">
        <v>320726.53434516035</v>
      </c>
      <c r="CD154" s="31" t="e">
        <v>#VALUE!</v>
      </c>
      <c r="CE154" s="31" t="s">
        <v>900</v>
      </c>
      <c r="CF154" s="31" t="e">
        <v>#VALUE!</v>
      </c>
      <c r="CJ154" s="702" t="s">
        <v>1447</v>
      </c>
      <c r="CK154" s="702" t="s">
        <v>1447</v>
      </c>
      <c r="CL154" s="702" t="s">
        <v>1448</v>
      </c>
      <c r="CN154" s="702" t="s">
        <v>1447</v>
      </c>
      <c r="CO154" s="702" t="s">
        <v>1448</v>
      </c>
      <c r="CP154" s="702" t="s">
        <v>1447</v>
      </c>
      <c r="CQ154" s="702" t="s">
        <v>1447</v>
      </c>
      <c r="CS154" s="451">
        <v>0.85</v>
      </c>
      <c r="CT154" s="452">
        <v>0</v>
      </c>
      <c r="CU154" s="452">
        <v>0</v>
      </c>
      <c r="CV154" s="453">
        <v>0.85</v>
      </c>
    </row>
    <row r="155" spans="1:100" outlineLevel="1" x14ac:dyDescent="0.3">
      <c r="A155" s="1">
        <v>70260000</v>
      </c>
      <c r="B155" s="47">
        <v>403780</v>
      </c>
      <c r="C155" s="47">
        <v>4248</v>
      </c>
      <c r="D155" s="47" t="s">
        <v>197</v>
      </c>
      <c r="E155" s="47" t="s">
        <v>7</v>
      </c>
      <c r="F155" s="47" t="s">
        <v>1511</v>
      </c>
      <c r="G155" s="47" t="s">
        <v>1502</v>
      </c>
      <c r="H155" s="47" t="s">
        <v>1516</v>
      </c>
      <c r="I155" s="382">
        <v>1378</v>
      </c>
      <c r="J155" s="382">
        <v>0</v>
      </c>
      <c r="K155" s="382">
        <v>0</v>
      </c>
      <c r="L155" s="382">
        <v>53</v>
      </c>
      <c r="M155" s="382">
        <v>0</v>
      </c>
      <c r="N155" s="382">
        <v>1378</v>
      </c>
      <c r="O155" s="444">
        <v>15558</v>
      </c>
      <c r="P155" s="445">
        <v>1431</v>
      </c>
      <c r="Q155" s="346">
        <v>9.1978403393752406E-2</v>
      </c>
      <c r="R155" s="445">
        <v>11027</v>
      </c>
      <c r="S155" s="447">
        <v>2276</v>
      </c>
      <c r="T155" s="445">
        <v>-165.53530188157288</v>
      </c>
      <c r="U155" s="444">
        <v>14131.535767748195</v>
      </c>
      <c r="V155" s="445">
        <v>1265.4646981184271</v>
      </c>
      <c r="W155" s="229">
        <v>8.9548985964182579E-2</v>
      </c>
      <c r="X155" s="261">
        <v>659993.34444526455</v>
      </c>
      <c r="Y155" s="262">
        <v>0</v>
      </c>
      <c r="Z155" s="262">
        <v>227978.50533446926</v>
      </c>
      <c r="AA155" s="262">
        <v>158097.8643701479</v>
      </c>
      <c r="AB155" s="263">
        <v>1046069.7141498817</v>
      </c>
      <c r="AC155" s="262">
        <v>584243.99452451919</v>
      </c>
      <c r="AD155" s="262" t="s">
        <v>900</v>
      </c>
      <c r="AE155" s="262">
        <v>201929.03174651586</v>
      </c>
      <c r="AF155" s="263">
        <v>140185.71532149607</v>
      </c>
      <c r="AG155" s="262">
        <v>584243.99452451919</v>
      </c>
      <c r="AH155" s="262" t="s">
        <v>900</v>
      </c>
      <c r="AI155" s="262">
        <v>201929.03174651586</v>
      </c>
      <c r="AJ155" s="263">
        <v>140185.71532149607</v>
      </c>
      <c r="AK155" s="262">
        <v>584253.49962754117</v>
      </c>
      <c r="AL155" s="262" t="s">
        <v>900</v>
      </c>
      <c r="AM155" s="262">
        <v>201934.18327562709</v>
      </c>
      <c r="AN155" s="262">
        <v>140190.15946504314</v>
      </c>
      <c r="AO155" s="263">
        <v>926377.84236821136</v>
      </c>
      <c r="AP155" s="31"/>
      <c r="AQ155" s="261">
        <v>575379.25343991874</v>
      </c>
      <c r="AR155" s="262">
        <v>0</v>
      </c>
      <c r="AS155" s="262">
        <v>199137.29786602783</v>
      </c>
      <c r="AT155" s="262">
        <v>134558.45553792754</v>
      </c>
      <c r="AU155" s="263">
        <v>909075.00684387411</v>
      </c>
      <c r="AV155" s="31"/>
      <c r="AW155" s="323">
        <v>862425.18178667314</v>
      </c>
      <c r="AX155" s="31"/>
      <c r="AY155" s="747">
        <v>0</v>
      </c>
      <c r="AZ155" s="262">
        <v>46649.825057200971</v>
      </c>
      <c r="BA155" s="262">
        <v>862425.18178667314</v>
      </c>
      <c r="BB155" s="262">
        <v>8441.3129986744352</v>
      </c>
      <c r="BC155" s="263">
        <v>853983.86878799868</v>
      </c>
      <c r="BD155" s="261">
        <v>8539.8386878799865</v>
      </c>
      <c r="BE155" s="262">
        <v>845444.03010011872</v>
      </c>
      <c r="BF155" s="354">
        <v>0.98031000016560876</v>
      </c>
      <c r="BG155" s="31"/>
      <c r="BJ155" s="4">
        <v>0.98031000016560876</v>
      </c>
      <c r="BL155" s="4">
        <v>0.99067273414057533</v>
      </c>
      <c r="BM155" s="4">
        <v>0.85</v>
      </c>
      <c r="BN155" s="4" t="s">
        <v>900</v>
      </c>
      <c r="BO155" s="31" t="s">
        <v>900</v>
      </c>
      <c r="BP155" s="31" t="s">
        <v>900</v>
      </c>
      <c r="BQ155" s="31">
        <v>843427.6941058652</v>
      </c>
      <c r="BR155" s="4">
        <v>0.97797201649254817</v>
      </c>
      <c r="BS155" s="4" t="s">
        <v>900</v>
      </c>
      <c r="BT155" s="448" t="s">
        <v>900</v>
      </c>
      <c r="BU155" s="367" t="s">
        <v>900</v>
      </c>
      <c r="BV155" s="368">
        <v>845444.03010011872</v>
      </c>
      <c r="BX155" s="449">
        <v>-31002.202445021248</v>
      </c>
      <c r="BY155" s="450">
        <v>-3.5125647356028071E-2</v>
      </c>
      <c r="BZ155" s="368">
        <v>-24.498670323334409</v>
      </c>
      <c r="CB155" s="31">
        <v>12942</v>
      </c>
      <c r="CC155" s="31">
        <v>47394.640424964084</v>
      </c>
      <c r="CD155" s="31" t="e">
        <v>#VALUE!</v>
      </c>
      <c r="CE155" s="31" t="s">
        <v>900</v>
      </c>
      <c r="CF155" s="31" t="e">
        <v>#VALUE!</v>
      </c>
      <c r="CJ155" s="702" t="s">
        <v>1447</v>
      </c>
      <c r="CK155" s="702" t="s">
        <v>1447</v>
      </c>
      <c r="CL155" s="702" t="s">
        <v>1448</v>
      </c>
      <c r="CN155" s="702" t="s">
        <v>1447</v>
      </c>
      <c r="CO155" s="702" t="s">
        <v>1448</v>
      </c>
      <c r="CP155" s="702" t="s">
        <v>1447</v>
      </c>
      <c r="CQ155" s="702" t="s">
        <v>1447</v>
      </c>
      <c r="CS155" s="451">
        <v>0.85</v>
      </c>
      <c r="CT155" s="452">
        <v>0</v>
      </c>
      <c r="CU155" s="452">
        <v>0</v>
      </c>
      <c r="CV155" s="453">
        <v>0.85</v>
      </c>
    </row>
    <row r="156" spans="1:100" outlineLevel="1" x14ac:dyDescent="0.3">
      <c r="A156" s="1">
        <v>70440000</v>
      </c>
      <c r="B156" s="47">
        <v>403420</v>
      </c>
      <c r="C156" s="47">
        <v>4271</v>
      </c>
      <c r="D156" s="47" t="s">
        <v>183</v>
      </c>
      <c r="E156" s="47" t="s">
        <v>7</v>
      </c>
      <c r="F156" s="47" t="s">
        <v>1498</v>
      </c>
      <c r="G156" s="47" t="s">
        <v>1502</v>
      </c>
      <c r="H156" s="47" t="s">
        <v>1512</v>
      </c>
      <c r="I156" s="382">
        <v>6348</v>
      </c>
      <c r="J156" s="382">
        <v>101</v>
      </c>
      <c r="K156" s="382">
        <v>0</v>
      </c>
      <c r="L156" s="382">
        <v>246</v>
      </c>
      <c r="M156" s="382">
        <v>0</v>
      </c>
      <c r="N156" s="382">
        <v>6449</v>
      </c>
      <c r="O156" s="444">
        <v>15924</v>
      </c>
      <c r="P156" s="445">
        <v>6695</v>
      </c>
      <c r="Q156" s="346">
        <v>0.42043456417985431</v>
      </c>
      <c r="R156" s="445">
        <v>13621</v>
      </c>
      <c r="S156" s="447">
        <v>12388</v>
      </c>
      <c r="T156" s="445">
        <v>-762.18358560081265</v>
      </c>
      <c r="U156" s="444">
        <v>14463.978375473856</v>
      </c>
      <c r="V156" s="445">
        <v>5932.8164143991871</v>
      </c>
      <c r="W156" s="229">
        <v>0.41017873923672965</v>
      </c>
      <c r="X156" s="261">
        <v>3087809.532537417</v>
      </c>
      <c r="Y156" s="262">
        <v>731685.15229372331</v>
      </c>
      <c r="Z156" s="262">
        <v>1786064.2830286832</v>
      </c>
      <c r="AA156" s="262">
        <v>1519556.7718949064</v>
      </c>
      <c r="AB156" s="263">
        <v>7125115.7397547299</v>
      </c>
      <c r="AC156" s="262">
        <v>2733412.678785223</v>
      </c>
      <c r="AD156" s="262">
        <v>648057.89603675855</v>
      </c>
      <c r="AE156" s="262">
        <v>1581983.4891008353</v>
      </c>
      <c r="AF156" s="263">
        <v>1347394.2477867743</v>
      </c>
      <c r="AG156" s="262">
        <v>2733412.678785223</v>
      </c>
      <c r="AH156" s="262">
        <v>648057.89603675855</v>
      </c>
      <c r="AI156" s="262">
        <v>1581983.4891008353</v>
      </c>
      <c r="AJ156" s="263">
        <v>1347394.2477867743</v>
      </c>
      <c r="AK156" s="262">
        <v>2733422.1838882449</v>
      </c>
      <c r="AL156" s="262">
        <v>650032.48086819379</v>
      </c>
      <c r="AM156" s="262">
        <v>1581988.6406299465</v>
      </c>
      <c r="AN156" s="262">
        <v>1347398.6919303213</v>
      </c>
      <c r="AO156" s="263">
        <v>6312841.997316706</v>
      </c>
      <c r="AP156" s="31"/>
      <c r="AQ156" s="261">
        <v>2691904.1417883746</v>
      </c>
      <c r="AR156" s="262">
        <v>629392.17491814692</v>
      </c>
      <c r="AS156" s="262">
        <v>1560077.3382671843</v>
      </c>
      <c r="AT156" s="262">
        <v>1293271.1373737794</v>
      </c>
      <c r="AU156" s="263">
        <v>6174644.7923474852</v>
      </c>
      <c r="AV156" s="31"/>
      <c r="AW156" s="323">
        <v>5494888.442674743</v>
      </c>
      <c r="AX156" s="31"/>
      <c r="AY156" s="747">
        <v>0</v>
      </c>
      <c r="AZ156" s="262">
        <v>582498.19882407039</v>
      </c>
      <c r="BA156" s="262">
        <v>5592146.5935234148</v>
      </c>
      <c r="BB156" s="262">
        <v>54735.252085993321</v>
      </c>
      <c r="BC156" s="263">
        <v>5537411.3414374217</v>
      </c>
      <c r="BD156" s="261">
        <v>55374.113414374217</v>
      </c>
      <c r="BE156" s="262">
        <v>5482037.2280230476</v>
      </c>
      <c r="BF156" s="354">
        <v>0.99766124193679906</v>
      </c>
      <c r="BG156" s="31"/>
      <c r="BJ156" s="4">
        <v>0.99766124193679906</v>
      </c>
      <c r="BL156" s="4">
        <v>1.0583165387930087</v>
      </c>
      <c r="BM156" s="4">
        <v>0.95</v>
      </c>
      <c r="BN156" s="4" t="s">
        <v>900</v>
      </c>
      <c r="BO156" s="31" t="s">
        <v>900</v>
      </c>
      <c r="BP156" s="31" t="s">
        <v>900</v>
      </c>
      <c r="BQ156" s="31">
        <v>5468962.8805900281</v>
      </c>
      <c r="BR156" s="4">
        <v>0.99528187653758893</v>
      </c>
      <c r="BS156" s="4" t="s">
        <v>900</v>
      </c>
      <c r="BT156" s="448" t="s">
        <v>900</v>
      </c>
      <c r="BU156" s="367" t="s">
        <v>900</v>
      </c>
      <c r="BV156" s="368">
        <v>5482037.2280230476</v>
      </c>
      <c r="BX156" s="449">
        <v>-439748.01229674648</v>
      </c>
      <c r="BY156" s="450">
        <v>-7.3136881078584445E-2</v>
      </c>
      <c r="BZ156" s="368">
        <v>-74.121291066661044</v>
      </c>
      <c r="CB156" s="31">
        <v>465029</v>
      </c>
      <c r="CC156" s="31">
        <v>573871.98677810212</v>
      </c>
      <c r="CD156" s="31" t="e">
        <v>#VALUE!</v>
      </c>
      <c r="CE156" s="31" t="s">
        <v>900</v>
      </c>
      <c r="CF156" s="31" t="e">
        <v>#VALUE!</v>
      </c>
      <c r="CJ156" s="702" t="s">
        <v>1447</v>
      </c>
      <c r="CK156" s="702" t="s">
        <v>1447</v>
      </c>
      <c r="CL156" s="702" t="s">
        <v>1448</v>
      </c>
      <c r="CN156" s="702" t="s">
        <v>1447</v>
      </c>
      <c r="CO156" s="702" t="s">
        <v>1447</v>
      </c>
      <c r="CP156" s="702" t="s">
        <v>1447</v>
      </c>
      <c r="CQ156" s="702" t="s">
        <v>1447</v>
      </c>
      <c r="CS156" s="451">
        <v>0</v>
      </c>
      <c r="CT156" s="452">
        <v>0</v>
      </c>
      <c r="CU156" s="452">
        <v>0.95</v>
      </c>
      <c r="CV156" s="453">
        <v>0.95</v>
      </c>
    </row>
    <row r="157" spans="1:100" outlineLevel="1" x14ac:dyDescent="0.3">
      <c r="A157" s="1">
        <v>70466000</v>
      </c>
      <c r="B157" s="47">
        <v>407080</v>
      </c>
      <c r="C157" s="47">
        <v>4279</v>
      </c>
      <c r="D157" s="47" t="s">
        <v>361</v>
      </c>
      <c r="E157" s="47" t="s">
        <v>7</v>
      </c>
      <c r="F157" s="47" t="s">
        <v>1503</v>
      </c>
      <c r="G157" s="47" t="s">
        <v>1502</v>
      </c>
      <c r="H157" s="47" t="s">
        <v>1517</v>
      </c>
      <c r="I157" s="382">
        <v>6658</v>
      </c>
      <c r="J157" s="382">
        <v>0</v>
      </c>
      <c r="K157" s="382">
        <v>0</v>
      </c>
      <c r="L157" s="382">
        <v>258</v>
      </c>
      <c r="M157" s="382">
        <v>0</v>
      </c>
      <c r="N157" s="382">
        <v>6658</v>
      </c>
      <c r="O157" s="444">
        <v>16816</v>
      </c>
      <c r="P157" s="445">
        <v>6916</v>
      </c>
      <c r="Q157" s="346">
        <v>0.41127497621313036</v>
      </c>
      <c r="R157" s="445">
        <v>9477</v>
      </c>
      <c r="S157" s="447">
        <v>8262</v>
      </c>
      <c r="T157" s="445">
        <v>-799.79981583578365</v>
      </c>
      <c r="U157" s="444">
        <v>15274.193692663173</v>
      </c>
      <c r="V157" s="445">
        <v>6116.2001841642159</v>
      </c>
      <c r="W157" s="229">
        <v>0.40042704100983606</v>
      </c>
      <c r="X157" s="261">
        <v>3189737.2258444787</v>
      </c>
      <c r="Y157" s="262">
        <v>773930.38599543122</v>
      </c>
      <c r="Z157" s="262">
        <v>1808122.6148358588</v>
      </c>
      <c r="AA157" s="262">
        <v>1523549.9851050561</v>
      </c>
      <c r="AB157" s="263">
        <v>7295340.2117808256</v>
      </c>
      <c r="AC157" s="262">
        <v>2823641.8351723091</v>
      </c>
      <c r="AD157" s="262">
        <v>685474.75106584595</v>
      </c>
      <c r="AE157" s="262">
        <v>1601521.3730659552</v>
      </c>
      <c r="AF157" s="263">
        <v>1350935.0385022357</v>
      </c>
      <c r="AG157" s="262">
        <v>2823641.8351723091</v>
      </c>
      <c r="AH157" s="262">
        <v>685474.75106584595</v>
      </c>
      <c r="AI157" s="262">
        <v>1601521.3730659552</v>
      </c>
      <c r="AJ157" s="263">
        <v>1350935.0385022357</v>
      </c>
      <c r="AK157" s="262">
        <v>2823651.3402753309</v>
      </c>
      <c r="AL157" s="262">
        <v>687449.33589728118</v>
      </c>
      <c r="AM157" s="262">
        <v>1601526.5245950664</v>
      </c>
      <c r="AN157" s="262">
        <v>1350939.4826457826</v>
      </c>
      <c r="AO157" s="263">
        <v>6463566.6834134618</v>
      </c>
      <c r="AP157" s="31"/>
      <c r="AQ157" s="261">
        <v>2780762.804464099</v>
      </c>
      <c r="AR157" s="262">
        <v>685991.83232312498</v>
      </c>
      <c r="AS157" s="262">
        <v>1579344.6131570598</v>
      </c>
      <c r="AT157" s="262">
        <v>1296669.6878274889</v>
      </c>
      <c r="AU157" s="263">
        <v>6342768.937771773</v>
      </c>
      <c r="AV157" s="31"/>
      <c r="AW157" s="323">
        <v>6168020.3928573327</v>
      </c>
      <c r="AX157" s="31"/>
      <c r="AY157" s="747">
        <v>0</v>
      </c>
      <c r="AZ157" s="262">
        <v>174748.54491444025</v>
      </c>
      <c r="BA157" s="262">
        <v>6168020.3928573327</v>
      </c>
      <c r="BB157" s="262">
        <v>60371.834934655861</v>
      </c>
      <c r="BC157" s="263">
        <v>6107648.5579226771</v>
      </c>
      <c r="BD157" s="261">
        <v>61076.48557922677</v>
      </c>
      <c r="BE157" s="262">
        <v>6046572.07234345</v>
      </c>
      <c r="BF157" s="354">
        <v>0.98031000016560876</v>
      </c>
      <c r="BG157" s="31"/>
      <c r="BJ157" s="4">
        <v>0.98031000016560876</v>
      </c>
      <c r="BL157" s="4">
        <v>1.0194164671004062</v>
      </c>
      <c r="BM157" s="4">
        <v>0.95</v>
      </c>
      <c r="BN157" s="4" t="s">
        <v>900</v>
      </c>
      <c r="BO157" s="31" t="s">
        <v>900</v>
      </c>
      <c r="BP157" s="31" t="s">
        <v>900</v>
      </c>
      <c r="BQ157" s="31">
        <v>6032151.341369845</v>
      </c>
      <c r="BR157" s="4">
        <v>0.97797201649254817</v>
      </c>
      <c r="BS157" s="4" t="s">
        <v>900</v>
      </c>
      <c r="BT157" s="448" t="s">
        <v>900</v>
      </c>
      <c r="BU157" s="367" t="s">
        <v>900</v>
      </c>
      <c r="BV157" s="368">
        <v>6046572.07234345</v>
      </c>
      <c r="BX157" s="449">
        <v>-101414.70091881044</v>
      </c>
      <c r="BY157" s="450">
        <v>-1.6472764051963486E-2</v>
      </c>
      <c r="BZ157" s="368">
        <v>-16.581324656669793</v>
      </c>
      <c r="CB157" s="31">
        <v>825234</v>
      </c>
      <c r="CC157" s="31">
        <v>937810.71447469946</v>
      </c>
      <c r="CD157" s="31" t="e">
        <v>#VALUE!</v>
      </c>
      <c r="CE157" s="31" t="s">
        <v>900</v>
      </c>
      <c r="CF157" s="31" t="e">
        <v>#VALUE!</v>
      </c>
      <c r="CJ157" s="702" t="s">
        <v>1447</v>
      </c>
      <c r="CK157" s="702" t="s">
        <v>1447</v>
      </c>
      <c r="CL157" s="702" t="s">
        <v>1448</v>
      </c>
      <c r="CN157" s="702" t="s">
        <v>1447</v>
      </c>
      <c r="CO157" s="702" t="s">
        <v>1447</v>
      </c>
      <c r="CP157" s="702" t="s">
        <v>1447</v>
      </c>
      <c r="CQ157" s="702" t="s">
        <v>1447</v>
      </c>
      <c r="CS157" s="451">
        <v>0</v>
      </c>
      <c r="CT157" s="452">
        <v>0</v>
      </c>
      <c r="CU157" s="452">
        <v>0.95</v>
      </c>
      <c r="CV157" s="453">
        <v>0.95</v>
      </c>
    </row>
    <row r="158" spans="1:100" outlineLevel="1" x14ac:dyDescent="0.3">
      <c r="A158" s="1">
        <v>70428000</v>
      </c>
      <c r="B158" s="47">
        <v>404230</v>
      </c>
      <c r="C158" s="47">
        <v>4267</v>
      </c>
      <c r="D158" s="47" t="s">
        <v>244</v>
      </c>
      <c r="E158" s="47" t="s">
        <v>7</v>
      </c>
      <c r="F158" s="47" t="s">
        <v>1498</v>
      </c>
      <c r="G158" s="47" t="s">
        <v>1502</v>
      </c>
      <c r="H158" s="47" t="s">
        <v>1510</v>
      </c>
      <c r="I158" s="382">
        <v>1728</v>
      </c>
      <c r="J158" s="382">
        <v>0</v>
      </c>
      <c r="K158" s="382">
        <v>0</v>
      </c>
      <c r="L158" s="382">
        <v>67</v>
      </c>
      <c r="M158" s="382">
        <v>0</v>
      </c>
      <c r="N158" s="382">
        <v>1728</v>
      </c>
      <c r="O158" s="444">
        <v>18686</v>
      </c>
      <c r="P158" s="445">
        <v>1795</v>
      </c>
      <c r="Q158" s="346">
        <v>9.6061222305469332E-2</v>
      </c>
      <c r="R158" s="445">
        <v>17250</v>
      </c>
      <c r="S158" s="447">
        <v>5141</v>
      </c>
      <c r="T158" s="445">
        <v>-207.57781670082244</v>
      </c>
      <c r="U158" s="444">
        <v>16972.739256725981</v>
      </c>
      <c r="V158" s="445">
        <v>1587.4221832991775</v>
      </c>
      <c r="W158" s="229">
        <v>9.3527754081894093E-2</v>
      </c>
      <c r="X158" s="261">
        <v>827874.25106865808</v>
      </c>
      <c r="Y158" s="262">
        <v>0</v>
      </c>
      <c r="Z158" s="262">
        <v>297093.58801776759</v>
      </c>
      <c r="AA158" s="262">
        <v>208132.21380234184</v>
      </c>
      <c r="AB158" s="263">
        <v>1333100.0528887676</v>
      </c>
      <c r="AC158" s="262">
        <v>732856.72269148275</v>
      </c>
      <c r="AD158" s="262" t="s">
        <v>900</v>
      </c>
      <c r="AE158" s="262">
        <v>263146.82815606485</v>
      </c>
      <c r="AF158" s="263">
        <v>184551.28024384051</v>
      </c>
      <c r="AG158" s="262">
        <v>732856.72269148275</v>
      </c>
      <c r="AH158" s="262" t="s">
        <v>900</v>
      </c>
      <c r="AI158" s="262">
        <v>263146.82815606485</v>
      </c>
      <c r="AJ158" s="263">
        <v>184551.28024384051</v>
      </c>
      <c r="AK158" s="262">
        <v>732866.22779450472</v>
      </c>
      <c r="AL158" s="262" t="s">
        <v>900</v>
      </c>
      <c r="AM158" s="262">
        <v>263151.97968517605</v>
      </c>
      <c r="AN158" s="262">
        <v>184555.72438738757</v>
      </c>
      <c r="AO158" s="263">
        <v>1180573.9318670684</v>
      </c>
      <c r="AP158" s="31"/>
      <c r="AQ158" s="261">
        <v>721734.69784699276</v>
      </c>
      <c r="AR158" s="262">
        <v>0</v>
      </c>
      <c r="AS158" s="262">
        <v>259507.1983977799</v>
      </c>
      <c r="AT158" s="262">
        <v>182103.21663513151</v>
      </c>
      <c r="AU158" s="263">
        <v>1163345.1128799042</v>
      </c>
      <c r="AV158" s="31"/>
      <c r="AW158" s="323">
        <v>1138731.0559973866</v>
      </c>
      <c r="AX158" s="31"/>
      <c r="AY158" s="747">
        <v>0</v>
      </c>
      <c r="AZ158" s="262">
        <v>24614.056882517645</v>
      </c>
      <c r="BA158" s="262">
        <v>1138731.0559973866</v>
      </c>
      <c r="BB158" s="262">
        <v>11145.761357606898</v>
      </c>
      <c r="BC158" s="263">
        <v>1127585.2946397797</v>
      </c>
      <c r="BD158" s="261">
        <v>11275.852946397797</v>
      </c>
      <c r="BE158" s="262">
        <v>1116309.4416933819</v>
      </c>
      <c r="BF158" s="354">
        <v>0.98031000016560876</v>
      </c>
      <c r="BG158" s="31"/>
      <c r="BJ158" s="4">
        <v>0.98031000016560876</v>
      </c>
      <c r="BL158" s="4">
        <v>0.95615098442654689</v>
      </c>
      <c r="BM158" s="4">
        <v>0.85</v>
      </c>
      <c r="BN158" s="4" t="s">
        <v>900</v>
      </c>
      <c r="BO158" s="31" t="s">
        <v>900</v>
      </c>
      <c r="BP158" s="31" t="s">
        <v>900</v>
      </c>
      <c r="BQ158" s="31">
        <v>1113647.107076453</v>
      </c>
      <c r="BR158" s="4">
        <v>0.97797201649254828</v>
      </c>
      <c r="BS158" s="4" t="s">
        <v>900</v>
      </c>
      <c r="BT158" s="448" t="s">
        <v>900</v>
      </c>
      <c r="BU158" s="367" t="s">
        <v>900</v>
      </c>
      <c r="BV158" s="368">
        <v>1116309.4416933819</v>
      </c>
      <c r="BX158" s="449">
        <v>-37831.674516216619</v>
      </c>
      <c r="BY158" s="450">
        <v>-3.2664388224975353E-2</v>
      </c>
      <c r="BZ158" s="368">
        <v>-23.832144286651044</v>
      </c>
      <c r="CB158" s="31">
        <v>228337</v>
      </c>
      <c r="CC158" s="31">
        <v>270787.92582808255</v>
      </c>
      <c r="CD158" s="31" t="e">
        <v>#VALUE!</v>
      </c>
      <c r="CE158" s="31" t="s">
        <v>900</v>
      </c>
      <c r="CF158" s="31" t="e">
        <v>#VALUE!</v>
      </c>
      <c r="CJ158" s="702" t="s">
        <v>1447</v>
      </c>
      <c r="CK158" s="702" t="s">
        <v>1447</v>
      </c>
      <c r="CL158" s="702" t="s">
        <v>1448</v>
      </c>
      <c r="CN158" s="702" t="s">
        <v>1447</v>
      </c>
      <c r="CO158" s="702" t="s">
        <v>1448</v>
      </c>
      <c r="CP158" s="702" t="s">
        <v>1447</v>
      </c>
      <c r="CQ158" s="702" t="s">
        <v>1447</v>
      </c>
      <c r="CS158" s="451">
        <v>0.85</v>
      </c>
      <c r="CT158" s="452">
        <v>0</v>
      </c>
      <c r="CU158" s="452">
        <v>0</v>
      </c>
      <c r="CV158" s="453">
        <v>0.85</v>
      </c>
    </row>
    <row r="159" spans="1:100" outlineLevel="1" x14ac:dyDescent="0.3">
      <c r="A159" s="1">
        <v>70505000</v>
      </c>
      <c r="B159" s="47">
        <v>403450</v>
      </c>
      <c r="C159" s="47">
        <v>4285</v>
      </c>
      <c r="D159" s="47" t="s">
        <v>184</v>
      </c>
      <c r="E159" s="47" t="s">
        <v>7</v>
      </c>
      <c r="F159" s="47" t="s">
        <v>1498</v>
      </c>
      <c r="G159" s="47" t="s">
        <v>1499</v>
      </c>
      <c r="H159" s="47" t="s">
        <v>1507</v>
      </c>
      <c r="I159" s="382">
        <v>5928</v>
      </c>
      <c r="J159" s="382">
        <v>0</v>
      </c>
      <c r="K159" s="382">
        <v>0</v>
      </c>
      <c r="L159" s="382">
        <v>230</v>
      </c>
      <c r="M159" s="382">
        <v>0</v>
      </c>
      <c r="N159" s="382">
        <v>5928</v>
      </c>
      <c r="O159" s="444">
        <v>19851</v>
      </c>
      <c r="P159" s="445">
        <v>6158</v>
      </c>
      <c r="Q159" s="346">
        <v>0.31021107249005087</v>
      </c>
      <c r="R159" s="445">
        <v>13745</v>
      </c>
      <c r="S159" s="447">
        <v>9208</v>
      </c>
      <c r="T159" s="445">
        <v>-712.10666190125517</v>
      </c>
      <c r="U159" s="444">
        <v>18030.924060005749</v>
      </c>
      <c r="V159" s="445">
        <v>5445.8933380987446</v>
      </c>
      <c r="W159" s="229">
        <v>0.30203074007605846</v>
      </c>
      <c r="X159" s="261">
        <v>2840139.0741397203</v>
      </c>
      <c r="Y159" s="262">
        <v>672997.33649361448</v>
      </c>
      <c r="Z159" s="262">
        <v>1372111.6094241973</v>
      </c>
      <c r="AA159" s="262">
        <v>1037028.9398871417</v>
      </c>
      <c r="AB159" s="263">
        <v>5922276.9599446738</v>
      </c>
      <c r="AC159" s="262">
        <v>2514168.0770663801</v>
      </c>
      <c r="AD159" s="262">
        <v>596077.7481395608</v>
      </c>
      <c r="AE159" s="262">
        <v>1215330.227438289</v>
      </c>
      <c r="AF159" s="263">
        <v>919535.78453664295</v>
      </c>
      <c r="AG159" s="262">
        <v>2514168.0770663801</v>
      </c>
      <c r="AH159" s="262">
        <v>596077.7481395608</v>
      </c>
      <c r="AI159" s="262">
        <v>1215330.227438289</v>
      </c>
      <c r="AJ159" s="263">
        <v>919535.78453664295</v>
      </c>
      <c r="AK159" s="262">
        <v>2514177.5821694019</v>
      </c>
      <c r="AL159" s="262">
        <v>598052.33297099604</v>
      </c>
      <c r="AM159" s="262">
        <v>1215335.3789674002</v>
      </c>
      <c r="AN159" s="262">
        <v>919540.22868019005</v>
      </c>
      <c r="AO159" s="263">
        <v>5247105.5227879882</v>
      </c>
      <c r="AP159" s="31"/>
      <c r="AQ159" s="261">
        <v>2475989.6537482697</v>
      </c>
      <c r="AR159" s="262">
        <v>579062.53862999042</v>
      </c>
      <c r="AS159" s="262">
        <v>1198502.4003499856</v>
      </c>
      <c r="AT159" s="262">
        <v>904304.14858339482</v>
      </c>
      <c r="AU159" s="263">
        <v>5157858.7413116405</v>
      </c>
      <c r="AV159" s="31"/>
      <c r="AW159" s="323">
        <v>4532881.2375009302</v>
      </c>
      <c r="AX159" s="31"/>
      <c r="AY159" s="747">
        <v>0</v>
      </c>
      <c r="AZ159" s="262">
        <v>486577.53241555952</v>
      </c>
      <c r="BA159" s="262">
        <v>4671281.208896081</v>
      </c>
      <c r="BB159" s="262">
        <v>45721.933475351412</v>
      </c>
      <c r="BC159" s="263">
        <v>4625559.27542073</v>
      </c>
      <c r="BD159" s="261">
        <v>46255.592754207304</v>
      </c>
      <c r="BE159" s="262">
        <v>4579303.6826665225</v>
      </c>
      <c r="BF159" s="354">
        <v>1.0102412665881328</v>
      </c>
      <c r="BG159" s="31"/>
      <c r="BJ159" s="4">
        <v>1.0102412665881328</v>
      </c>
      <c r="BL159" s="4">
        <v>1.0662031682816373</v>
      </c>
      <c r="BM159" s="4">
        <v>0.95</v>
      </c>
      <c r="BN159" s="4" t="s">
        <v>900</v>
      </c>
      <c r="BO159" s="31" t="s">
        <v>900</v>
      </c>
      <c r="BP159" s="31" t="s">
        <v>900</v>
      </c>
      <c r="BQ159" s="31">
        <v>4568382.3034678493</v>
      </c>
      <c r="BR159" s="4">
        <v>1.00783189854462</v>
      </c>
      <c r="BS159" s="4" t="s">
        <v>900</v>
      </c>
      <c r="BT159" s="448" t="s">
        <v>900</v>
      </c>
      <c r="BU159" s="367" t="s">
        <v>900</v>
      </c>
      <c r="BV159" s="368">
        <v>4579303.6826665225</v>
      </c>
      <c r="BX159" s="449">
        <v>-342663.89543212019</v>
      </c>
      <c r="BY159" s="450">
        <v>-6.8567070560633422E-2</v>
      </c>
      <c r="BZ159" s="368">
        <v>-62.921521623438565</v>
      </c>
      <c r="CB159" s="31">
        <v>604442</v>
      </c>
      <c r="CC159" s="31">
        <v>709187.81128697016</v>
      </c>
      <c r="CD159" s="31" t="e">
        <v>#VALUE!</v>
      </c>
      <c r="CE159" s="31" t="s">
        <v>900</v>
      </c>
      <c r="CF159" s="31" t="e">
        <v>#VALUE!</v>
      </c>
      <c r="CJ159" s="702" t="s">
        <v>1447</v>
      </c>
      <c r="CK159" s="702" t="s">
        <v>1447</v>
      </c>
      <c r="CL159" s="702" t="s">
        <v>1448</v>
      </c>
      <c r="CN159" s="702" t="s">
        <v>1447</v>
      </c>
      <c r="CO159" s="702" t="s">
        <v>1447</v>
      </c>
      <c r="CP159" s="702" t="s">
        <v>1447</v>
      </c>
      <c r="CQ159" s="702" t="s">
        <v>1447</v>
      </c>
      <c r="CS159" s="451">
        <v>0</v>
      </c>
      <c r="CT159" s="452">
        <v>0</v>
      </c>
      <c r="CU159" s="452">
        <v>0.95</v>
      </c>
      <c r="CV159" s="453">
        <v>0.95</v>
      </c>
    </row>
    <row r="160" spans="1:100" outlineLevel="1" x14ac:dyDescent="0.3">
      <c r="A160" s="1">
        <v>70483000</v>
      </c>
      <c r="B160" s="47">
        <v>401680</v>
      </c>
      <c r="C160" s="47">
        <v>4282</v>
      </c>
      <c r="D160" s="47" t="s">
        <v>91</v>
      </c>
      <c r="E160" s="47" t="s">
        <v>7</v>
      </c>
      <c r="F160" s="47" t="s">
        <v>1503</v>
      </c>
      <c r="G160" s="47" t="s">
        <v>1502</v>
      </c>
      <c r="H160" s="47" t="s">
        <v>1517</v>
      </c>
      <c r="I160" s="382">
        <v>9683</v>
      </c>
      <c r="J160" s="382">
        <v>10</v>
      </c>
      <c r="K160" s="382">
        <v>0</v>
      </c>
      <c r="L160" s="382">
        <v>375</v>
      </c>
      <c r="M160" s="382">
        <v>0</v>
      </c>
      <c r="N160" s="382">
        <v>9693</v>
      </c>
      <c r="O160" s="444">
        <v>21366</v>
      </c>
      <c r="P160" s="445">
        <v>10068</v>
      </c>
      <c r="Q160" s="346">
        <v>0.471215950575681</v>
      </c>
      <c r="R160" s="445">
        <v>18812</v>
      </c>
      <c r="S160" s="447">
        <v>16305</v>
      </c>
      <c r="T160" s="445">
        <v>-1163.144864501686</v>
      </c>
      <c r="U160" s="444">
        <v>19407.018460837378</v>
      </c>
      <c r="V160" s="445">
        <v>8904.8551354983138</v>
      </c>
      <c r="W160" s="229">
        <v>0.45884715127509007</v>
      </c>
      <c r="X160" s="261">
        <v>4643475.1864954038</v>
      </c>
      <c r="Y160" s="262">
        <v>1100314.5800288585</v>
      </c>
      <c r="Z160" s="262">
        <v>2945822.5414607166</v>
      </c>
      <c r="AA160" s="262">
        <v>2610329.9352015932</v>
      </c>
      <c r="AB160" s="263">
        <v>11299942.243186573</v>
      </c>
      <c r="AC160" s="262">
        <v>4110530.0746840383</v>
      </c>
      <c r="AD160" s="262">
        <v>974555.17510053574</v>
      </c>
      <c r="AE160" s="262">
        <v>2609224.4644797444</v>
      </c>
      <c r="AF160" s="263">
        <v>2314585.1504648477</v>
      </c>
      <c r="AG160" s="262">
        <v>4110530.0746840383</v>
      </c>
      <c r="AH160" s="262">
        <v>974555.17510053574</v>
      </c>
      <c r="AI160" s="262">
        <v>2609224.4644797444</v>
      </c>
      <c r="AJ160" s="263">
        <v>2314585.1504648477</v>
      </c>
      <c r="AK160" s="262">
        <v>4110539.5797870602</v>
      </c>
      <c r="AL160" s="262">
        <v>976529.75993197097</v>
      </c>
      <c r="AM160" s="262">
        <v>2609229.6160088559</v>
      </c>
      <c r="AN160" s="262">
        <v>2314589.5946083949</v>
      </c>
      <c r="AO160" s="263">
        <v>10010888.550336281</v>
      </c>
      <c r="AP160" s="31"/>
      <c r="AQ160" s="261">
        <v>4048104.4549341477</v>
      </c>
      <c r="AR160" s="262">
        <v>945522.27398695902</v>
      </c>
      <c r="AS160" s="262">
        <v>2573090.5328435823</v>
      </c>
      <c r="AT160" s="262">
        <v>2221608.1516928715</v>
      </c>
      <c r="AU160" s="263">
        <v>9788325.4134575613</v>
      </c>
      <c r="AV160" s="31"/>
      <c r="AW160" s="323">
        <v>8381088.5115071097</v>
      </c>
      <c r="AX160" s="31"/>
      <c r="AY160" s="747">
        <v>0</v>
      </c>
      <c r="AZ160" s="262">
        <v>923402.41659071296</v>
      </c>
      <c r="BA160" s="262">
        <v>8864922.9968668483</v>
      </c>
      <c r="BB160" s="262">
        <v>86768.790274273531</v>
      </c>
      <c r="BC160" s="263">
        <v>8778154.2065925747</v>
      </c>
      <c r="BD160" s="261">
        <v>87781.542065925751</v>
      </c>
      <c r="BE160" s="262">
        <v>8690372.6645266488</v>
      </c>
      <c r="BF160" s="354">
        <v>1.036902623399681</v>
      </c>
      <c r="BG160" s="31"/>
      <c r="BJ160" s="4">
        <v>1.036902623399681</v>
      </c>
      <c r="BL160" s="4">
        <v>1.1004499282733289</v>
      </c>
      <c r="BM160" s="4">
        <v>0.95</v>
      </c>
      <c r="BN160" s="4" t="s">
        <v>900</v>
      </c>
      <c r="BO160" s="31" t="s">
        <v>900</v>
      </c>
      <c r="BP160" s="31" t="s">
        <v>900</v>
      </c>
      <c r="BQ160" s="31">
        <v>8669646.619297035</v>
      </c>
      <c r="BR160" s="4">
        <v>1.0344296695344213</v>
      </c>
      <c r="BS160" s="4" t="s">
        <v>900</v>
      </c>
      <c r="BT160" s="448" t="s">
        <v>900</v>
      </c>
      <c r="BU160" s="367" t="s">
        <v>900</v>
      </c>
      <c r="BV160" s="368">
        <v>8690372.6645266488</v>
      </c>
      <c r="BX160" s="449">
        <v>-701121.5871336516</v>
      </c>
      <c r="BY160" s="450">
        <v>-7.3526248109222883E-2</v>
      </c>
      <c r="BZ160" s="368">
        <v>-78.734754969645778</v>
      </c>
      <c r="CB160" s="31">
        <v>830869</v>
      </c>
      <c r="CC160" s="31">
        <v>991894.46487961768</v>
      </c>
      <c r="CD160" s="31" t="e">
        <v>#VALUE!</v>
      </c>
      <c r="CE160" s="31" t="s">
        <v>900</v>
      </c>
      <c r="CF160" s="31" t="e">
        <v>#VALUE!</v>
      </c>
      <c r="CJ160" s="702" t="s">
        <v>1447</v>
      </c>
      <c r="CK160" s="702" t="s">
        <v>1447</v>
      </c>
      <c r="CL160" s="702" t="s">
        <v>1448</v>
      </c>
      <c r="CN160" s="702" t="s">
        <v>1447</v>
      </c>
      <c r="CO160" s="702" t="s">
        <v>1447</v>
      </c>
      <c r="CP160" s="702" t="s">
        <v>1447</v>
      </c>
      <c r="CQ160" s="702" t="s">
        <v>1447</v>
      </c>
      <c r="CS160" s="451">
        <v>0</v>
      </c>
      <c r="CT160" s="452">
        <v>0</v>
      </c>
      <c r="CU160" s="452">
        <v>0.95</v>
      </c>
      <c r="CV160" s="453">
        <v>0.95</v>
      </c>
    </row>
    <row r="161" spans="1:100" outlineLevel="1" x14ac:dyDescent="0.3">
      <c r="A161" s="1">
        <v>70406000</v>
      </c>
      <c r="B161" s="47">
        <v>409060</v>
      </c>
      <c r="C161" s="47">
        <v>4260</v>
      </c>
      <c r="D161" s="47" t="s">
        <v>433</v>
      </c>
      <c r="E161" s="47" t="s">
        <v>7</v>
      </c>
      <c r="F161" s="47" t="s">
        <v>1498</v>
      </c>
      <c r="G161" s="47" t="s">
        <v>1502</v>
      </c>
      <c r="H161" s="47" t="s">
        <v>1527</v>
      </c>
      <c r="I161" s="382">
        <v>9691</v>
      </c>
      <c r="J161" s="382">
        <v>63</v>
      </c>
      <c r="K161" s="382">
        <v>0</v>
      </c>
      <c r="L161" s="382">
        <v>376</v>
      </c>
      <c r="M161" s="382">
        <v>0</v>
      </c>
      <c r="N161" s="382">
        <v>9754</v>
      </c>
      <c r="O161" s="444">
        <v>28405</v>
      </c>
      <c r="P161" s="445">
        <v>10130</v>
      </c>
      <c r="Q161" s="346">
        <v>0.35662735433902482</v>
      </c>
      <c r="R161" s="445">
        <v>23006</v>
      </c>
      <c r="S161" s="447">
        <v>19009</v>
      </c>
      <c r="T161" s="445">
        <v>-1163.9054233906945</v>
      </c>
      <c r="U161" s="444">
        <v>25800.634624173254</v>
      </c>
      <c r="V161" s="445">
        <v>8966.0945766093064</v>
      </c>
      <c r="W161" s="229">
        <v>0.34751449750033475</v>
      </c>
      <c r="X161" s="261">
        <v>4672070.2859752113</v>
      </c>
      <c r="Y161" s="262">
        <v>1107090.4544787779</v>
      </c>
      <c r="Z161" s="262">
        <v>2521941.0115372748</v>
      </c>
      <c r="AA161" s="262">
        <v>2159175.4358635773</v>
      </c>
      <c r="AB161" s="263">
        <v>10460277.187854841</v>
      </c>
      <c r="AC161" s="262">
        <v>4135843.2316795089</v>
      </c>
      <c r="AD161" s="262">
        <v>980556.60744620836</v>
      </c>
      <c r="AE161" s="262">
        <v>2233776.8459110698</v>
      </c>
      <c r="AF161" s="263">
        <v>1914545.4885619055</v>
      </c>
      <c r="AG161" s="262">
        <v>4135843.2316795089</v>
      </c>
      <c r="AH161" s="262">
        <v>980556.60744620836</v>
      </c>
      <c r="AI161" s="262">
        <v>2233776.8459110698</v>
      </c>
      <c r="AJ161" s="263">
        <v>1914545.4885619055</v>
      </c>
      <c r="AK161" s="262">
        <v>4135852.7367825308</v>
      </c>
      <c r="AL161" s="262">
        <v>982531.1922776436</v>
      </c>
      <c r="AM161" s="262">
        <v>2233781.9974401812</v>
      </c>
      <c r="AN161" s="262">
        <v>1914549.9327054524</v>
      </c>
      <c r="AO161" s="263">
        <v>9266715.8592058085</v>
      </c>
      <c r="AP161" s="31"/>
      <c r="AQ161" s="261">
        <v>4073033.129530956</v>
      </c>
      <c r="AR161" s="262">
        <v>951333.14447088027</v>
      </c>
      <c r="AS161" s="262">
        <v>2202843.0440865611</v>
      </c>
      <c r="AT161" s="262">
        <v>1889520.436460176</v>
      </c>
      <c r="AU161" s="263">
        <v>9116729.7545485739</v>
      </c>
      <c r="AV161" s="31"/>
      <c r="AW161" s="323">
        <v>8392926.6801150907</v>
      </c>
      <c r="AX161" s="31"/>
      <c r="AY161" s="747">
        <v>0</v>
      </c>
      <c r="AZ161" s="262">
        <v>723803.07443348318</v>
      </c>
      <c r="BA161" s="262">
        <v>8392926.6801150907</v>
      </c>
      <c r="BB161" s="262">
        <v>82148.947616538368</v>
      </c>
      <c r="BC161" s="263">
        <v>8310777.7324985527</v>
      </c>
      <c r="BD161" s="261">
        <v>83107.777324985524</v>
      </c>
      <c r="BE161" s="262">
        <v>8227669.9551735669</v>
      </c>
      <c r="BF161" s="354">
        <v>0.98031000016560876</v>
      </c>
      <c r="BG161" s="31"/>
      <c r="BJ161" s="4">
        <v>0.98031000016560876</v>
      </c>
      <c r="BL161" s="4">
        <v>1.0173614507350039</v>
      </c>
      <c r="BM161" s="4">
        <v>0.95</v>
      </c>
      <c r="BN161" s="4" t="s">
        <v>900</v>
      </c>
      <c r="BO161" s="31" t="s">
        <v>900</v>
      </c>
      <c r="BP161" s="31" t="s">
        <v>900</v>
      </c>
      <c r="BQ161" s="31">
        <v>8208047.4296262637</v>
      </c>
      <c r="BR161" s="4">
        <v>0.97797201649254828</v>
      </c>
      <c r="BS161" s="4" t="s">
        <v>900</v>
      </c>
      <c r="BT161" s="448" t="s">
        <v>900</v>
      </c>
      <c r="BU161" s="367" t="s">
        <v>900</v>
      </c>
      <c r="BV161" s="368">
        <v>8227669.9551735669</v>
      </c>
      <c r="BX161" s="449">
        <v>-467816.97518110275</v>
      </c>
      <c r="BY161" s="450">
        <v>-5.2986597210455552E-2</v>
      </c>
      <c r="BZ161" s="368">
        <v>-52.176225800867734</v>
      </c>
      <c r="CB161" s="31">
        <v>835453</v>
      </c>
      <c r="CC161" s="31">
        <v>1003953.7596493713</v>
      </c>
      <c r="CD161" s="31" t="e">
        <v>#VALUE!</v>
      </c>
      <c r="CE161" s="31" t="s">
        <v>900</v>
      </c>
      <c r="CF161" s="31" t="e">
        <v>#VALUE!</v>
      </c>
      <c r="CJ161" s="702" t="s">
        <v>1447</v>
      </c>
      <c r="CK161" s="702" t="s">
        <v>1447</v>
      </c>
      <c r="CL161" s="702" t="s">
        <v>1448</v>
      </c>
      <c r="CN161" s="702" t="s">
        <v>1447</v>
      </c>
      <c r="CO161" s="702" t="s">
        <v>1447</v>
      </c>
      <c r="CP161" s="702" t="s">
        <v>1447</v>
      </c>
      <c r="CQ161" s="702" t="s">
        <v>1447</v>
      </c>
      <c r="CS161" s="451">
        <v>0</v>
      </c>
      <c r="CT161" s="452">
        <v>0</v>
      </c>
      <c r="CU161" s="452">
        <v>0.95</v>
      </c>
      <c r="CV161" s="453">
        <v>0.95</v>
      </c>
    </row>
    <row r="162" spans="1:100" outlineLevel="1" x14ac:dyDescent="0.3">
      <c r="A162" s="1">
        <v>70248000</v>
      </c>
      <c r="B162" s="47">
        <v>407570</v>
      </c>
      <c r="C162" s="47">
        <v>4240</v>
      </c>
      <c r="D162" s="47" t="s">
        <v>379</v>
      </c>
      <c r="E162" s="47" t="s">
        <v>7</v>
      </c>
      <c r="F162" s="47" t="s">
        <v>1498</v>
      </c>
      <c r="G162" s="47" t="s">
        <v>1502</v>
      </c>
      <c r="H162" s="47" t="s">
        <v>1527</v>
      </c>
      <c r="I162" s="382">
        <v>3761</v>
      </c>
      <c r="J162" s="382">
        <v>45</v>
      </c>
      <c r="K162" s="382">
        <v>0</v>
      </c>
      <c r="L162" s="382">
        <v>146</v>
      </c>
      <c r="M162" s="382">
        <v>0</v>
      </c>
      <c r="N162" s="382">
        <v>3806</v>
      </c>
      <c r="O162" s="444">
        <v>31843</v>
      </c>
      <c r="P162" s="445">
        <v>3952</v>
      </c>
      <c r="Q162" s="346">
        <v>0.12410890933643187</v>
      </c>
      <c r="R162" s="445">
        <v>22770</v>
      </c>
      <c r="S162" s="447">
        <v>6043</v>
      </c>
      <c r="T162" s="445">
        <v>-451.6254223996815</v>
      </c>
      <c r="U162" s="444">
        <v>28923.415185268401</v>
      </c>
      <c r="V162" s="445">
        <v>3500.3745776003184</v>
      </c>
      <c r="W162" s="229">
        <v>0.12102217373635629</v>
      </c>
      <c r="X162" s="261">
        <v>1822706.9861968448</v>
      </c>
      <c r="Y162" s="262">
        <v>0</v>
      </c>
      <c r="Z162" s="262">
        <v>813621.23433498153</v>
      </c>
      <c r="AA162" s="262">
        <v>619090.19118600304</v>
      </c>
      <c r="AB162" s="263">
        <v>3255418.4117178293</v>
      </c>
      <c r="AC162" s="262">
        <v>1613509.6200984621</v>
      </c>
      <c r="AD162" s="262" t="s">
        <v>900</v>
      </c>
      <c r="AE162" s="262">
        <v>720654.55388713558</v>
      </c>
      <c r="AF162" s="263">
        <v>548948.59994275088</v>
      </c>
      <c r="AG162" s="262">
        <v>1613509.6200984621</v>
      </c>
      <c r="AH162" s="262" t="s">
        <v>900</v>
      </c>
      <c r="AI162" s="262">
        <v>720654.55388713558</v>
      </c>
      <c r="AJ162" s="263">
        <v>548948.59994275088</v>
      </c>
      <c r="AK162" s="262">
        <v>1613519.1252014842</v>
      </c>
      <c r="AL162" s="262" t="s">
        <v>900</v>
      </c>
      <c r="AM162" s="262">
        <v>720659.70541624678</v>
      </c>
      <c r="AN162" s="262">
        <v>548953.04408629797</v>
      </c>
      <c r="AO162" s="263">
        <v>2883131.8747040289</v>
      </c>
      <c r="AP162" s="31"/>
      <c r="AQ162" s="261">
        <v>1589011.3285779238</v>
      </c>
      <c r="AR162" s="262">
        <v>0</v>
      </c>
      <c r="AS162" s="262">
        <v>710678.22242674406</v>
      </c>
      <c r="AT162" s="262">
        <v>541782.22749631142</v>
      </c>
      <c r="AU162" s="263">
        <v>2841471.7785009793</v>
      </c>
      <c r="AV162" s="31"/>
      <c r="AW162" s="323">
        <v>2823066.5701979133</v>
      </c>
      <c r="AX162" s="31"/>
      <c r="AY162" s="747">
        <v>0</v>
      </c>
      <c r="AZ162" s="262">
        <v>18405.208303065971</v>
      </c>
      <c r="BA162" s="262">
        <v>2823066.5701979133</v>
      </c>
      <c r="BB162" s="262">
        <v>27631.832926962834</v>
      </c>
      <c r="BC162" s="263">
        <v>2795434.7372709503</v>
      </c>
      <c r="BD162" s="261">
        <v>27954.347372709504</v>
      </c>
      <c r="BE162" s="262">
        <v>2767480.389898241</v>
      </c>
      <c r="BF162" s="354">
        <v>0.98031000016560876</v>
      </c>
      <c r="BG162" s="31"/>
      <c r="BJ162" s="4">
        <v>0.98031000016560876</v>
      </c>
      <c r="BL162" s="4">
        <v>0.94212060569942468</v>
      </c>
      <c r="BM162" s="4">
        <v>0.85</v>
      </c>
      <c r="BN162" s="4" t="s">
        <v>900</v>
      </c>
      <c r="BO162" s="31" t="s">
        <v>900</v>
      </c>
      <c r="BP162" s="31" t="s">
        <v>900</v>
      </c>
      <c r="BQ162" s="31">
        <v>2760880.1063491553</v>
      </c>
      <c r="BR162" s="4">
        <v>0.97797201649254828</v>
      </c>
      <c r="BS162" s="4" t="s">
        <v>900</v>
      </c>
      <c r="BT162" s="448" t="s">
        <v>900</v>
      </c>
      <c r="BU162" s="367" t="s">
        <v>900</v>
      </c>
      <c r="BV162" s="368">
        <v>2767480.389898241</v>
      </c>
      <c r="BX162" s="449">
        <v>-51130.113294858951</v>
      </c>
      <c r="BY162" s="450">
        <v>-1.7865815639501237E-2</v>
      </c>
      <c r="BZ162" s="368">
        <v>-14.607040521335062</v>
      </c>
      <c r="CB162" s="31">
        <v>407972</v>
      </c>
      <c r="CC162" s="31">
        <v>492930.20395217033</v>
      </c>
      <c r="CD162" s="31" t="e">
        <v>#VALUE!</v>
      </c>
      <c r="CE162" s="31" t="s">
        <v>900</v>
      </c>
      <c r="CF162" s="31" t="e">
        <v>#VALUE!</v>
      </c>
      <c r="CJ162" s="702" t="s">
        <v>1447</v>
      </c>
      <c r="CK162" s="702" t="s">
        <v>1447</v>
      </c>
      <c r="CL162" s="702" t="s">
        <v>1448</v>
      </c>
      <c r="CN162" s="702" t="s">
        <v>1447</v>
      </c>
      <c r="CO162" s="702" t="s">
        <v>1448</v>
      </c>
      <c r="CP162" s="702" t="s">
        <v>1447</v>
      </c>
      <c r="CQ162" s="702" t="s">
        <v>1447</v>
      </c>
      <c r="CS162" s="451">
        <v>0.85</v>
      </c>
      <c r="CT162" s="452">
        <v>0</v>
      </c>
      <c r="CU162" s="452">
        <v>0</v>
      </c>
      <c r="CV162" s="453">
        <v>0.85</v>
      </c>
    </row>
    <row r="163" spans="1:100" outlineLevel="1" x14ac:dyDescent="0.3">
      <c r="A163" s="1">
        <v>70289000</v>
      </c>
      <c r="B163" s="47">
        <v>402690</v>
      </c>
      <c r="C163" s="47">
        <v>4243</v>
      </c>
      <c r="D163" s="47" t="s">
        <v>137</v>
      </c>
      <c r="E163" s="47" t="s">
        <v>7</v>
      </c>
      <c r="F163" s="47" t="s">
        <v>1498</v>
      </c>
      <c r="G163" s="47" t="s">
        <v>1502</v>
      </c>
      <c r="H163" s="47" t="s">
        <v>1510</v>
      </c>
      <c r="I163" s="382">
        <v>5814</v>
      </c>
      <c r="J163" s="382">
        <v>0</v>
      </c>
      <c r="K163" s="382">
        <v>0</v>
      </c>
      <c r="L163" s="382">
        <v>225</v>
      </c>
      <c r="M163" s="382">
        <v>0</v>
      </c>
      <c r="N163" s="382">
        <v>5814</v>
      </c>
      <c r="O163" s="444">
        <v>33496</v>
      </c>
      <c r="P163" s="445">
        <v>6039</v>
      </c>
      <c r="Q163" s="346">
        <v>0.18029018390255552</v>
      </c>
      <c r="R163" s="445">
        <v>25426</v>
      </c>
      <c r="S163" s="447">
        <v>12092</v>
      </c>
      <c r="T163" s="445">
        <v>-698.41445694578158</v>
      </c>
      <c r="U163" s="444">
        <v>30424.856798849054</v>
      </c>
      <c r="V163" s="445">
        <v>5340.5855430542188</v>
      </c>
      <c r="W163" s="229">
        <v>0.17553362957015622</v>
      </c>
      <c r="X163" s="261">
        <v>2785254.9315897636</v>
      </c>
      <c r="Y163" s="262">
        <v>659992.0290816722</v>
      </c>
      <c r="Z163" s="262">
        <v>1341984.5221007077</v>
      </c>
      <c r="AA163" s="262">
        <v>1013524.9403396084</v>
      </c>
      <c r="AB163" s="263">
        <v>5800756.4231117517</v>
      </c>
      <c r="AC163" s="262">
        <v>2465583.1467041024</v>
      </c>
      <c r="AD163" s="262">
        <v>584558.86992770503</v>
      </c>
      <c r="AE163" s="262">
        <v>1188645.5469520749</v>
      </c>
      <c r="AF163" s="263">
        <v>898694.73774190061</v>
      </c>
      <c r="AG163" s="262">
        <v>2465583.1467041024</v>
      </c>
      <c r="AH163" s="262">
        <v>584558.86992770503</v>
      </c>
      <c r="AI163" s="262">
        <v>1188645.5469520749</v>
      </c>
      <c r="AJ163" s="263">
        <v>898694.73774190061</v>
      </c>
      <c r="AK163" s="262">
        <v>2465592.6518071243</v>
      </c>
      <c r="AL163" s="262">
        <v>586533.45475914027</v>
      </c>
      <c r="AM163" s="262">
        <v>1188650.6984811861</v>
      </c>
      <c r="AN163" s="262">
        <v>898699.1818854477</v>
      </c>
      <c r="AO163" s="263">
        <v>5139475.9869328979</v>
      </c>
      <c r="AP163" s="31"/>
      <c r="AQ163" s="261">
        <v>2428142.6815382633</v>
      </c>
      <c r="AR163" s="262">
        <v>567909.41624956089</v>
      </c>
      <c r="AS163" s="262">
        <v>1172187.315502811</v>
      </c>
      <c r="AT163" s="262">
        <v>862596.73552806338</v>
      </c>
      <c r="AU163" s="263">
        <v>5030836.1488186987</v>
      </c>
      <c r="AV163" s="31"/>
      <c r="AW163" s="323">
        <v>4535424.2474385956</v>
      </c>
      <c r="AX163" s="31"/>
      <c r="AY163" s="747">
        <v>0</v>
      </c>
      <c r="AZ163" s="262">
        <v>474594.58702754229</v>
      </c>
      <c r="BA163" s="262">
        <v>4556241.5617911564</v>
      </c>
      <c r="BB163" s="262">
        <v>44595.939372932073</v>
      </c>
      <c r="BC163" s="263">
        <v>4511645.6224182248</v>
      </c>
      <c r="BD163" s="261">
        <v>45116.45622418225</v>
      </c>
      <c r="BE163" s="262">
        <v>4466529.1661940422</v>
      </c>
      <c r="BF163" s="354">
        <v>0.98480956190956948</v>
      </c>
      <c r="BG163" s="31"/>
      <c r="BJ163" s="4">
        <v>0.98480956190956948</v>
      </c>
      <c r="BL163" s="4">
        <v>1.0551400659453585</v>
      </c>
      <c r="BM163" s="4">
        <v>0.9</v>
      </c>
      <c r="BN163" s="4" t="s">
        <v>900</v>
      </c>
      <c r="BO163" s="31" t="s">
        <v>900</v>
      </c>
      <c r="BP163" s="31" t="s">
        <v>900</v>
      </c>
      <c r="BQ163" s="31">
        <v>4455876.7478120541</v>
      </c>
      <c r="BR163" s="4">
        <v>0.98246084703730496</v>
      </c>
      <c r="BS163" s="4" t="s">
        <v>900</v>
      </c>
      <c r="BT163" s="448" t="s">
        <v>900</v>
      </c>
      <c r="BU163" s="367" t="s">
        <v>900</v>
      </c>
      <c r="BV163" s="368">
        <v>4466529.1661940422</v>
      </c>
      <c r="BX163" s="449">
        <v>-354448.89767039567</v>
      </c>
      <c r="BY163" s="450">
        <v>-7.2411003984361219E-2</v>
      </c>
      <c r="BZ163" s="368">
        <v>-66.368920563659856</v>
      </c>
      <c r="CB163" s="31">
        <v>199393</v>
      </c>
      <c r="CC163" s="31">
        <v>315075.26893729426</v>
      </c>
      <c r="CD163" s="31" t="e">
        <v>#VALUE!</v>
      </c>
      <c r="CE163" s="31" t="s">
        <v>900</v>
      </c>
      <c r="CF163" s="31" t="e">
        <v>#VALUE!</v>
      </c>
      <c r="CJ163" s="702" t="s">
        <v>1447</v>
      </c>
      <c r="CK163" s="702" t="s">
        <v>1447</v>
      </c>
      <c r="CL163" s="702" t="s">
        <v>1448</v>
      </c>
      <c r="CN163" s="702" t="s">
        <v>1447</v>
      </c>
      <c r="CO163" s="702" t="s">
        <v>1447</v>
      </c>
      <c r="CP163" s="702" t="s">
        <v>1447</v>
      </c>
      <c r="CQ163" s="702" t="s">
        <v>1447</v>
      </c>
      <c r="CS163" s="451">
        <v>0</v>
      </c>
      <c r="CT163" s="452">
        <v>0.9</v>
      </c>
      <c r="CU163" s="452">
        <v>0</v>
      </c>
      <c r="CV163" s="453">
        <v>0.9</v>
      </c>
    </row>
    <row r="164" spans="1:100" outlineLevel="1" x14ac:dyDescent="0.3">
      <c r="A164" s="1">
        <v>70211000</v>
      </c>
      <c r="B164" s="47">
        <v>406250</v>
      </c>
      <c r="C164" s="47">
        <v>4237</v>
      </c>
      <c r="D164" s="47" t="s">
        <v>335</v>
      </c>
      <c r="E164" s="47" t="s">
        <v>7</v>
      </c>
      <c r="F164" s="47" t="s">
        <v>1498</v>
      </c>
      <c r="G164" s="47" t="s">
        <v>1502</v>
      </c>
      <c r="H164" s="47" t="s">
        <v>1507</v>
      </c>
      <c r="I164" s="382">
        <v>5962</v>
      </c>
      <c r="J164" s="382">
        <v>18</v>
      </c>
      <c r="K164" s="382">
        <v>0</v>
      </c>
      <c r="L164" s="382">
        <v>231</v>
      </c>
      <c r="M164" s="382">
        <v>0</v>
      </c>
      <c r="N164" s="382">
        <v>5980</v>
      </c>
      <c r="O164" s="444">
        <v>39454</v>
      </c>
      <c r="P164" s="445">
        <v>6211</v>
      </c>
      <c r="Q164" s="346">
        <v>0.15742383535256249</v>
      </c>
      <c r="R164" s="445">
        <v>35020</v>
      </c>
      <c r="S164" s="447">
        <v>14737</v>
      </c>
      <c r="T164" s="445">
        <v>-716.12493343288986</v>
      </c>
      <c r="U164" s="444">
        <v>35836.586462317602</v>
      </c>
      <c r="V164" s="445">
        <v>5494.8750665671105</v>
      </c>
      <c r="W164" s="229">
        <v>0.15333143050175849</v>
      </c>
      <c r="X164" s="261">
        <v>2864583.2720821355</v>
      </c>
      <c r="Y164" s="262">
        <v>678789.61626531999</v>
      </c>
      <c r="Z164" s="262">
        <v>1385529.5558791966</v>
      </c>
      <c r="AA164" s="262">
        <v>1068282.398098438</v>
      </c>
      <c r="AB164" s="263">
        <v>5997184.8423250904</v>
      </c>
      <c r="AC164" s="262">
        <v>2535806.7435302492</v>
      </c>
      <c r="AD164" s="262">
        <v>601208.0048221522</v>
      </c>
      <c r="AE164" s="262">
        <v>1227215.0011002161</v>
      </c>
      <c r="AF164" s="263">
        <v>947248.29294449429</v>
      </c>
      <c r="AG164" s="262">
        <v>2535806.7435302492</v>
      </c>
      <c r="AH164" s="262">
        <v>601208.0048221522</v>
      </c>
      <c r="AI164" s="262">
        <v>1227215.0011002161</v>
      </c>
      <c r="AJ164" s="263">
        <v>947248.29294449429</v>
      </c>
      <c r="AK164" s="262">
        <v>2535816.2486332711</v>
      </c>
      <c r="AL164" s="262">
        <v>603182.58965358743</v>
      </c>
      <c r="AM164" s="262">
        <v>1227220.1526293273</v>
      </c>
      <c r="AN164" s="262">
        <v>947252.73708804138</v>
      </c>
      <c r="AO164" s="263">
        <v>5313471.7280042274</v>
      </c>
      <c r="AP164" s="31"/>
      <c r="AQ164" s="261">
        <v>2497299.6497745728</v>
      </c>
      <c r="AR164" s="262">
        <v>584029.89565656835</v>
      </c>
      <c r="AS164" s="262">
        <v>1210222.5641894834</v>
      </c>
      <c r="AT164" s="262">
        <v>934873.45362592943</v>
      </c>
      <c r="AU164" s="263">
        <v>5226425.5632465547</v>
      </c>
      <c r="AV164" s="31"/>
      <c r="AW164" s="323">
        <v>4905381.8305462012</v>
      </c>
      <c r="AX164" s="31"/>
      <c r="AY164" s="747">
        <v>0</v>
      </c>
      <c r="AZ164" s="262">
        <v>321043.73270035349</v>
      </c>
      <c r="BA164" s="262">
        <v>4905381.8305462012</v>
      </c>
      <c r="BB164" s="262">
        <v>48013.281945069146</v>
      </c>
      <c r="BC164" s="263">
        <v>4857368.5486011319</v>
      </c>
      <c r="BD164" s="261">
        <v>48573.685486011316</v>
      </c>
      <c r="BE164" s="262">
        <v>4808794.8631151207</v>
      </c>
      <c r="BF164" s="354">
        <v>0.98031000016560876</v>
      </c>
      <c r="BG164" s="31"/>
      <c r="BJ164" s="4">
        <v>0.98031000016560876</v>
      </c>
      <c r="BL164" s="4">
        <v>0.99790023230799885</v>
      </c>
      <c r="BM164" s="4">
        <v>0.9</v>
      </c>
      <c r="BN164" s="4" t="s">
        <v>900</v>
      </c>
      <c r="BO164" s="31" t="s">
        <v>900</v>
      </c>
      <c r="BP164" s="31" t="s">
        <v>900</v>
      </c>
      <c r="BQ164" s="31">
        <v>4797326.1604851754</v>
      </c>
      <c r="BR164" s="4">
        <v>0.97797201649254817</v>
      </c>
      <c r="BS164" s="4" t="s">
        <v>900</v>
      </c>
      <c r="BT164" s="448" t="s">
        <v>900</v>
      </c>
      <c r="BU164" s="367" t="s">
        <v>900</v>
      </c>
      <c r="BV164" s="368">
        <v>4808794.8631151207</v>
      </c>
      <c r="BX164" s="449">
        <v>-180563.49639231991</v>
      </c>
      <c r="BY164" s="450">
        <v>-3.5672144960268673E-2</v>
      </c>
      <c r="BZ164" s="368">
        <v>-32.860346087017746</v>
      </c>
      <c r="CB164" s="31">
        <v>521457</v>
      </c>
      <c r="CC164" s="31">
        <v>645092.10809340444</v>
      </c>
      <c r="CD164" s="31" t="e">
        <v>#VALUE!</v>
      </c>
      <c r="CE164" s="31" t="s">
        <v>900</v>
      </c>
      <c r="CF164" s="31" t="e">
        <v>#VALUE!</v>
      </c>
      <c r="CJ164" s="702" t="s">
        <v>1447</v>
      </c>
      <c r="CK164" s="702" t="s">
        <v>1447</v>
      </c>
      <c r="CL164" s="702" t="s">
        <v>1448</v>
      </c>
      <c r="CN164" s="702" t="s">
        <v>1447</v>
      </c>
      <c r="CO164" s="702" t="s">
        <v>1447</v>
      </c>
      <c r="CP164" s="702" t="s">
        <v>1447</v>
      </c>
      <c r="CQ164" s="702" t="s">
        <v>1447</v>
      </c>
      <c r="CS164" s="451">
        <v>0</v>
      </c>
      <c r="CT164" s="452">
        <v>0.9</v>
      </c>
      <c r="CU164" s="452">
        <v>0</v>
      </c>
      <c r="CV164" s="453">
        <v>0.9</v>
      </c>
    </row>
    <row r="165" spans="1:100" outlineLevel="1" x14ac:dyDescent="0.3">
      <c r="A165" s="1">
        <v>70269000</v>
      </c>
      <c r="B165" s="47">
        <v>405930</v>
      </c>
      <c r="C165" s="47">
        <v>4241</v>
      </c>
      <c r="D165" s="47" t="s">
        <v>321</v>
      </c>
      <c r="E165" s="47" t="s">
        <v>7</v>
      </c>
      <c r="F165" s="47" t="s">
        <v>1498</v>
      </c>
      <c r="G165" s="47" t="s">
        <v>1502</v>
      </c>
      <c r="H165" s="47" t="s">
        <v>1516</v>
      </c>
      <c r="I165" s="382">
        <v>6957</v>
      </c>
      <c r="J165" s="382">
        <v>58</v>
      </c>
      <c r="K165" s="382">
        <v>0</v>
      </c>
      <c r="L165" s="382">
        <v>270</v>
      </c>
      <c r="M165" s="382">
        <v>0</v>
      </c>
      <c r="N165" s="382">
        <v>7015</v>
      </c>
      <c r="O165" s="444">
        <v>40476</v>
      </c>
      <c r="P165" s="445">
        <v>7285</v>
      </c>
      <c r="Q165" s="346">
        <v>0.17998319992094081</v>
      </c>
      <c r="R165" s="445">
        <v>31090</v>
      </c>
      <c r="S165" s="447">
        <v>10818</v>
      </c>
      <c r="T165" s="445">
        <v>-835.4994448140751</v>
      </c>
      <c r="U165" s="444">
        <v>36764.882487169045</v>
      </c>
      <c r="V165" s="445">
        <v>6449.5005551859249</v>
      </c>
      <c r="W165" s="229">
        <v>0.17542557241783113</v>
      </c>
      <c r="X165" s="261">
        <v>3359924.1888775346</v>
      </c>
      <c r="Y165" s="262">
        <v>796165.24786553753</v>
      </c>
      <c r="Z165" s="262">
        <v>1657432.8481937109</v>
      </c>
      <c r="AA165" s="262">
        <v>1290196.9108072028</v>
      </c>
      <c r="AB165" s="263">
        <v>7103719.1957439855</v>
      </c>
      <c r="AC165" s="262">
        <v>2974295.9469679398</v>
      </c>
      <c r="AD165" s="262">
        <v>705168.30061654747</v>
      </c>
      <c r="AE165" s="262">
        <v>1468049.8485136067</v>
      </c>
      <c r="AF165" s="263">
        <v>1144020.3671798846</v>
      </c>
      <c r="AG165" s="262">
        <v>2974295.9469679398</v>
      </c>
      <c r="AH165" s="262">
        <v>705168.30061654747</v>
      </c>
      <c r="AI165" s="262">
        <v>1468049.8485136067</v>
      </c>
      <c r="AJ165" s="263">
        <v>1144020.3671798846</v>
      </c>
      <c r="AK165" s="262">
        <v>2974305.4520709617</v>
      </c>
      <c r="AL165" s="262">
        <v>707142.8854479827</v>
      </c>
      <c r="AM165" s="262">
        <v>1468055.0000427179</v>
      </c>
      <c r="AN165" s="262">
        <v>1144024.8113234316</v>
      </c>
      <c r="AO165" s="263">
        <v>6293528.1488850936</v>
      </c>
      <c r="AP165" s="31"/>
      <c r="AQ165" s="261">
        <v>2929128.625854787</v>
      </c>
      <c r="AR165" s="262">
        <v>684689.16823288111</v>
      </c>
      <c r="AS165" s="262">
        <v>1447721.733314398</v>
      </c>
      <c r="AT165" s="262">
        <v>1134942.9416098478</v>
      </c>
      <c r="AU165" s="263">
        <v>6196482.469011914</v>
      </c>
      <c r="AV165" s="31"/>
      <c r="AW165" s="323">
        <v>6050649.0420159716</v>
      </c>
      <c r="AX165" s="31"/>
      <c r="AY165" s="747">
        <v>0</v>
      </c>
      <c r="AZ165" s="262">
        <v>145833.42699594237</v>
      </c>
      <c r="BA165" s="262">
        <v>6050649.0420159716</v>
      </c>
      <c r="BB165" s="262">
        <v>59223.018399085086</v>
      </c>
      <c r="BC165" s="263">
        <v>5991426.0236168867</v>
      </c>
      <c r="BD165" s="261">
        <v>59914.26023616887</v>
      </c>
      <c r="BE165" s="262">
        <v>5931511.7633807175</v>
      </c>
      <c r="BF165" s="354">
        <v>0.98031000016560876</v>
      </c>
      <c r="BG165" s="31"/>
      <c r="BJ165" s="4">
        <v>0.98031000016560876</v>
      </c>
      <c r="BL165" s="4">
        <v>1.0161398189011415</v>
      </c>
      <c r="BM165" s="4">
        <v>0.9</v>
      </c>
      <c r="BN165" s="4" t="s">
        <v>900</v>
      </c>
      <c r="BO165" s="31" t="s">
        <v>900</v>
      </c>
      <c r="BP165" s="31" t="s">
        <v>900</v>
      </c>
      <c r="BQ165" s="31">
        <v>5917365.4447090644</v>
      </c>
      <c r="BR165" s="4">
        <v>0.97797201649254817</v>
      </c>
      <c r="BS165" s="4" t="s">
        <v>900</v>
      </c>
      <c r="BT165" s="448" t="s">
        <v>900</v>
      </c>
      <c r="BU165" s="367" t="s">
        <v>900</v>
      </c>
      <c r="BV165" s="368">
        <v>5931511.7633807175</v>
      </c>
      <c r="BX165" s="449">
        <v>-114107.61753471848</v>
      </c>
      <c r="BY165" s="450">
        <v>-1.885877487163086E-2</v>
      </c>
      <c r="BZ165" s="368">
        <v>-17.692473480441308</v>
      </c>
      <c r="CB165" s="31">
        <v>594744</v>
      </c>
      <c r="CC165" s="31">
        <v>734469.46668127168</v>
      </c>
      <c r="CD165" s="31" t="e">
        <v>#VALUE!</v>
      </c>
      <c r="CE165" s="31" t="s">
        <v>900</v>
      </c>
      <c r="CF165" s="31" t="e">
        <v>#VALUE!</v>
      </c>
      <c r="CJ165" s="702" t="s">
        <v>1447</v>
      </c>
      <c r="CK165" s="702" t="s">
        <v>1447</v>
      </c>
      <c r="CL165" s="702" t="s">
        <v>1448</v>
      </c>
      <c r="CN165" s="702" t="s">
        <v>1447</v>
      </c>
      <c r="CO165" s="702" t="s">
        <v>1447</v>
      </c>
      <c r="CP165" s="702" t="s">
        <v>1447</v>
      </c>
      <c r="CQ165" s="702" t="s">
        <v>1447</v>
      </c>
      <c r="CS165" s="451">
        <v>0</v>
      </c>
      <c r="CT165" s="452">
        <v>0.9</v>
      </c>
      <c r="CU165" s="452">
        <v>0</v>
      </c>
      <c r="CV165" s="453">
        <v>0.9</v>
      </c>
    </row>
    <row r="166" spans="1:100" outlineLevel="1" x14ac:dyDescent="0.3">
      <c r="A166" s="1">
        <v>70510000</v>
      </c>
      <c r="B166" s="47">
        <v>406330</v>
      </c>
      <c r="C166" s="47">
        <v>4286</v>
      </c>
      <c r="D166" s="47" t="s">
        <v>339</v>
      </c>
      <c r="E166" s="47" t="s">
        <v>7</v>
      </c>
      <c r="F166" s="47" t="s">
        <v>1498</v>
      </c>
      <c r="G166" s="47" t="s">
        <v>1502</v>
      </c>
      <c r="H166" s="47" t="s">
        <v>1507</v>
      </c>
      <c r="I166" s="382">
        <v>15816</v>
      </c>
      <c r="J166" s="382">
        <v>78</v>
      </c>
      <c r="K166" s="382">
        <v>0</v>
      </c>
      <c r="L166" s="382">
        <v>613</v>
      </c>
      <c r="M166" s="382">
        <v>0</v>
      </c>
      <c r="N166" s="382">
        <v>15894</v>
      </c>
      <c r="O166" s="444">
        <v>42310</v>
      </c>
      <c r="P166" s="445">
        <v>16507</v>
      </c>
      <c r="Q166" s="346">
        <v>0.39014417395414797</v>
      </c>
      <c r="R166" s="445">
        <v>23888</v>
      </c>
      <c r="S166" s="447">
        <v>21197</v>
      </c>
      <c r="T166" s="445">
        <v>-1899.6232984103481</v>
      </c>
      <c r="U166" s="444">
        <v>38430.728778340796</v>
      </c>
      <c r="V166" s="445">
        <v>14607.376701589652</v>
      </c>
      <c r="W166" s="229">
        <v>0.38009627102940174</v>
      </c>
      <c r="X166" s="261">
        <v>7613214.630858128</v>
      </c>
      <c r="Y166" s="262">
        <v>1804021.9281422684</v>
      </c>
      <c r="Z166" s="262">
        <v>4540012.8168092212</v>
      </c>
      <c r="AA166" s="262">
        <v>4056681.9458923428</v>
      </c>
      <c r="AB166" s="263">
        <v>18013931.321701959</v>
      </c>
      <c r="AC166" s="262">
        <v>6739423.9116815077</v>
      </c>
      <c r="AD166" s="262">
        <v>1597832.963387419</v>
      </c>
      <c r="AE166" s="262">
        <v>4021258.0167155275</v>
      </c>
      <c r="AF166" s="263">
        <v>3597068.5795303937</v>
      </c>
      <c r="AG166" s="262">
        <v>6739423.9116815077</v>
      </c>
      <c r="AH166" s="262">
        <v>1597832.963387419</v>
      </c>
      <c r="AI166" s="262">
        <v>4021258.0167155275</v>
      </c>
      <c r="AJ166" s="263">
        <v>3597068.5795303937</v>
      </c>
      <c r="AK166" s="262">
        <v>6739433.4167845296</v>
      </c>
      <c r="AL166" s="262">
        <v>1599807.5482188542</v>
      </c>
      <c r="AM166" s="262">
        <v>4021263.1682446389</v>
      </c>
      <c r="AN166" s="262">
        <v>3597073.0236739409</v>
      </c>
      <c r="AO166" s="263">
        <v>15957577.156921964</v>
      </c>
      <c r="AP166" s="31"/>
      <c r="AQ166" s="261">
        <v>6637067.9344318137</v>
      </c>
      <c r="AR166" s="262">
        <v>1549009.290857424</v>
      </c>
      <c r="AS166" s="262">
        <v>3965566.7423053472</v>
      </c>
      <c r="AT166" s="262">
        <v>3550038.3177838321</v>
      </c>
      <c r="AU166" s="263">
        <v>15701682.285378417</v>
      </c>
      <c r="AV166" s="31"/>
      <c r="AW166" s="323">
        <v>14236207.073284768</v>
      </c>
      <c r="AX166" s="31"/>
      <c r="AY166" s="747">
        <v>0</v>
      </c>
      <c r="AZ166" s="262">
        <v>1465475.2120936494</v>
      </c>
      <c r="BA166" s="262">
        <v>14236207.073284768</v>
      </c>
      <c r="BB166" s="262">
        <v>139342.26685099868</v>
      </c>
      <c r="BC166" s="263">
        <v>14096864.806433769</v>
      </c>
      <c r="BD166" s="261">
        <v>140968.6480643377</v>
      </c>
      <c r="BE166" s="262">
        <v>13955896.158369431</v>
      </c>
      <c r="BF166" s="354">
        <v>0.98031000016560876</v>
      </c>
      <c r="BG166" s="31"/>
      <c r="BJ166" s="4">
        <v>0.98031000016560876</v>
      </c>
      <c r="BL166" s="4">
        <v>1.0330013983060424</v>
      </c>
      <c r="BM166" s="4">
        <v>0.95</v>
      </c>
      <c r="BN166" s="4" t="s">
        <v>900</v>
      </c>
      <c r="BO166" s="31" t="s">
        <v>900</v>
      </c>
      <c r="BP166" s="31" t="s">
        <v>900</v>
      </c>
      <c r="BQ166" s="31">
        <v>13922612.138665782</v>
      </c>
      <c r="BR166" s="4">
        <v>0.97797201649254817</v>
      </c>
      <c r="BS166" s="4" t="s">
        <v>900</v>
      </c>
      <c r="BT166" s="448" t="s">
        <v>900</v>
      </c>
      <c r="BU166" s="367" t="s">
        <v>900</v>
      </c>
      <c r="BV166" s="368">
        <v>13955896.158369431</v>
      </c>
      <c r="BX166" s="449">
        <v>-1019182.9422339238</v>
      </c>
      <c r="BY166" s="450">
        <v>-6.7029482738337767E-2</v>
      </c>
      <c r="BZ166" s="368">
        <v>-69.77179839026202</v>
      </c>
      <c r="CB166" s="31">
        <v>941007</v>
      </c>
      <c r="CC166" s="31">
        <v>1211859.8136595024</v>
      </c>
      <c r="CD166" s="31" t="e">
        <v>#VALUE!</v>
      </c>
      <c r="CE166" s="31" t="s">
        <v>900</v>
      </c>
      <c r="CF166" s="31" t="e">
        <v>#VALUE!</v>
      </c>
      <c r="CJ166" s="702" t="s">
        <v>1447</v>
      </c>
      <c r="CK166" s="702" t="s">
        <v>1447</v>
      </c>
      <c r="CL166" s="702" t="s">
        <v>1448</v>
      </c>
      <c r="CN166" s="702" t="s">
        <v>1447</v>
      </c>
      <c r="CO166" s="702" t="s">
        <v>1447</v>
      </c>
      <c r="CP166" s="702" t="s">
        <v>1447</v>
      </c>
      <c r="CQ166" s="702" t="s">
        <v>1447</v>
      </c>
      <c r="CS166" s="451">
        <v>0</v>
      </c>
      <c r="CT166" s="452">
        <v>0</v>
      </c>
      <c r="CU166" s="452">
        <v>0.95</v>
      </c>
      <c r="CV166" s="453">
        <v>0.95</v>
      </c>
    </row>
    <row r="167" spans="1:100" outlineLevel="1" x14ac:dyDescent="0.3">
      <c r="A167" s="1">
        <v>70241000</v>
      </c>
      <c r="B167" s="47">
        <v>403400</v>
      </c>
      <c r="C167" s="47">
        <v>4239</v>
      </c>
      <c r="D167" s="47" t="s">
        <v>182</v>
      </c>
      <c r="E167" s="47" t="s">
        <v>7</v>
      </c>
      <c r="F167" s="47" t="s">
        <v>1503</v>
      </c>
      <c r="G167" s="47" t="s">
        <v>1502</v>
      </c>
      <c r="H167" s="47" t="s">
        <v>1523</v>
      </c>
      <c r="I167" s="382">
        <v>4144</v>
      </c>
      <c r="J167" s="382">
        <v>0</v>
      </c>
      <c r="K167" s="382">
        <v>0</v>
      </c>
      <c r="L167" s="382">
        <v>161</v>
      </c>
      <c r="M167" s="382">
        <v>0</v>
      </c>
      <c r="N167" s="382">
        <v>4144</v>
      </c>
      <c r="O167" s="444">
        <v>43379</v>
      </c>
      <c r="P167" s="445">
        <v>4305</v>
      </c>
      <c r="Q167" s="346">
        <v>9.9241568500887528E-2</v>
      </c>
      <c r="R167" s="445">
        <v>35436</v>
      </c>
      <c r="S167" s="447">
        <v>9130</v>
      </c>
      <c r="T167" s="445">
        <v>-497.80114679561979</v>
      </c>
      <c r="U167" s="444">
        <v>39401.715520577767</v>
      </c>
      <c r="V167" s="445">
        <v>3807.1988532043802</v>
      </c>
      <c r="W167" s="229">
        <v>9.6625205347113607E-2</v>
      </c>
      <c r="X167" s="261">
        <v>1985514.5687189819</v>
      </c>
      <c r="Y167" s="262">
        <v>0</v>
      </c>
      <c r="Z167" s="262">
        <v>902989.82110129762</v>
      </c>
      <c r="AA167" s="262">
        <v>677432.76790962217</v>
      </c>
      <c r="AB167" s="263">
        <v>3565937.1577299018</v>
      </c>
      <c r="AC167" s="262">
        <v>1757631.3042823581</v>
      </c>
      <c r="AD167" s="262" t="s">
        <v>900</v>
      </c>
      <c r="AE167" s="262">
        <v>799811.63129581977</v>
      </c>
      <c r="AF167" s="263">
        <v>600681.08781843237</v>
      </c>
      <c r="AG167" s="262">
        <v>1757631.3042823581</v>
      </c>
      <c r="AH167" s="262" t="s">
        <v>900</v>
      </c>
      <c r="AI167" s="262">
        <v>799811.63129581977</v>
      </c>
      <c r="AJ167" s="263">
        <v>600681.08781843237</v>
      </c>
      <c r="AK167" s="262">
        <v>1757640.8093853802</v>
      </c>
      <c r="AL167" s="262" t="s">
        <v>900</v>
      </c>
      <c r="AM167" s="262">
        <v>799816.78282493097</v>
      </c>
      <c r="AN167" s="262">
        <v>600685.53196197946</v>
      </c>
      <c r="AO167" s="263">
        <v>3158143.1241722908</v>
      </c>
      <c r="AP167" s="31"/>
      <c r="AQ167" s="261">
        <v>1730943.943621048</v>
      </c>
      <c r="AR167" s="262">
        <v>0</v>
      </c>
      <c r="AS167" s="262">
        <v>788738.93630113406</v>
      </c>
      <c r="AT167" s="262">
        <v>592838.12183977698</v>
      </c>
      <c r="AU167" s="263">
        <v>3112521.0017619594</v>
      </c>
      <c r="AV167" s="31"/>
      <c r="AW167" s="323">
        <v>3054183.5979299317</v>
      </c>
      <c r="AX167" s="31"/>
      <c r="AY167" s="747">
        <v>0</v>
      </c>
      <c r="AZ167" s="262">
        <v>58337.403832027689</v>
      </c>
      <c r="BA167" s="262">
        <v>3054183.5979299317</v>
      </c>
      <c r="BB167" s="262">
        <v>29893.978341557027</v>
      </c>
      <c r="BC167" s="263">
        <v>3024289.6195883746</v>
      </c>
      <c r="BD167" s="261">
        <v>30242.896195883746</v>
      </c>
      <c r="BE167" s="262">
        <v>2994046.7233924908</v>
      </c>
      <c r="BF167" s="354">
        <v>0.98031000016560876</v>
      </c>
      <c r="BG167" s="31"/>
      <c r="BJ167" s="4">
        <v>0.98031000016560876</v>
      </c>
      <c r="BL167" s="4">
        <v>0.95389953599860511</v>
      </c>
      <c r="BM167" s="4">
        <v>0.85</v>
      </c>
      <c r="BN167" s="4" t="s">
        <v>900</v>
      </c>
      <c r="BO167" s="31" t="s">
        <v>900</v>
      </c>
      <c r="BP167" s="31" t="s">
        <v>900</v>
      </c>
      <c r="BQ167" s="31">
        <v>2986906.0920060012</v>
      </c>
      <c r="BR167" s="4">
        <v>0.97797201649254817</v>
      </c>
      <c r="BS167" s="4" t="s">
        <v>900</v>
      </c>
      <c r="BT167" s="448" t="s">
        <v>900</v>
      </c>
      <c r="BU167" s="367" t="s">
        <v>900</v>
      </c>
      <c r="BV167" s="368">
        <v>2994046.7233924908</v>
      </c>
      <c r="BX167" s="449">
        <v>-93420.508821675554</v>
      </c>
      <c r="BY167" s="450">
        <v>-3.0075456711974244E-2</v>
      </c>
      <c r="BZ167" s="368">
        <v>-24.537859046434342</v>
      </c>
      <c r="CB167" s="31">
        <v>342655</v>
      </c>
      <c r="CC167" s="31">
        <v>443139.94082349323</v>
      </c>
      <c r="CD167" s="31" t="e">
        <v>#VALUE!</v>
      </c>
      <c r="CE167" s="31" t="s">
        <v>900</v>
      </c>
      <c r="CF167" s="31" t="e">
        <v>#VALUE!</v>
      </c>
      <c r="CJ167" s="702" t="s">
        <v>1447</v>
      </c>
      <c r="CK167" s="702" t="s">
        <v>1447</v>
      </c>
      <c r="CL167" s="702" t="s">
        <v>1448</v>
      </c>
      <c r="CN167" s="702" t="s">
        <v>1447</v>
      </c>
      <c r="CO167" s="702" t="s">
        <v>1448</v>
      </c>
      <c r="CP167" s="702" t="s">
        <v>1447</v>
      </c>
      <c r="CQ167" s="702" t="s">
        <v>1447</v>
      </c>
      <c r="CS167" s="451">
        <v>0.85</v>
      </c>
      <c r="CT167" s="452">
        <v>0</v>
      </c>
      <c r="CU167" s="452">
        <v>0</v>
      </c>
      <c r="CV167" s="453">
        <v>0.85</v>
      </c>
    </row>
    <row r="168" spans="1:100" outlineLevel="1" x14ac:dyDescent="0.3">
      <c r="A168" s="1">
        <v>70280000</v>
      </c>
      <c r="B168" s="47">
        <v>401870</v>
      </c>
      <c r="C168" s="47">
        <v>4242</v>
      </c>
      <c r="D168" s="47" t="s">
        <v>101</v>
      </c>
      <c r="E168" s="47" t="s">
        <v>7</v>
      </c>
      <c r="F168" s="47" t="s">
        <v>1498</v>
      </c>
      <c r="G168" s="47" t="s">
        <v>1499</v>
      </c>
      <c r="H168" s="47" t="s">
        <v>1510</v>
      </c>
      <c r="I168" s="382">
        <v>5511</v>
      </c>
      <c r="J168" s="382">
        <v>25</v>
      </c>
      <c r="K168" s="382">
        <v>0</v>
      </c>
      <c r="L168" s="382">
        <v>214</v>
      </c>
      <c r="M168" s="382">
        <v>0</v>
      </c>
      <c r="N168" s="382">
        <v>5536</v>
      </c>
      <c r="O168" s="444">
        <v>45710</v>
      </c>
      <c r="P168" s="445">
        <v>5750</v>
      </c>
      <c r="Q168" s="346">
        <v>0.12579304309779041</v>
      </c>
      <c r="R168" s="445">
        <v>40885</v>
      </c>
      <c r="S168" s="447">
        <v>12284</v>
      </c>
      <c r="T168" s="445">
        <v>-661.92013292145748</v>
      </c>
      <c r="U168" s="444">
        <v>41518.993440273167</v>
      </c>
      <c r="V168" s="445">
        <v>5088.0798670785425</v>
      </c>
      <c r="W168" s="229">
        <v>0.1225482470907673</v>
      </c>
      <c r="X168" s="261">
        <v>2651964.8711113012</v>
      </c>
      <c r="Y168" s="262">
        <v>0</v>
      </c>
      <c r="Z168" s="262">
        <v>1268818.7386008063</v>
      </c>
      <c r="AA168" s="262">
        <v>976295.53934142389</v>
      </c>
      <c r="AB168" s="263">
        <v>4897079.1490535317</v>
      </c>
      <c r="AC168" s="262">
        <v>2347591.1729671462</v>
      </c>
      <c r="AD168" s="262" t="s">
        <v>900</v>
      </c>
      <c r="AE168" s="262">
        <v>1123839.8943426993</v>
      </c>
      <c r="AF168" s="263">
        <v>865683.34805163753</v>
      </c>
      <c r="AG168" s="262">
        <v>2347591.1729671462</v>
      </c>
      <c r="AH168" s="262" t="s">
        <v>900</v>
      </c>
      <c r="AI168" s="262">
        <v>1123839.8943426993</v>
      </c>
      <c r="AJ168" s="263">
        <v>865683.34805163753</v>
      </c>
      <c r="AK168" s="262">
        <v>2347600.678070168</v>
      </c>
      <c r="AL168" s="262" t="s">
        <v>900</v>
      </c>
      <c r="AM168" s="262">
        <v>1123845.0458718105</v>
      </c>
      <c r="AN168" s="262">
        <v>865687.79219518462</v>
      </c>
      <c r="AO168" s="263">
        <v>4337133.5161371632</v>
      </c>
      <c r="AP168" s="31"/>
      <c r="AQ168" s="261">
        <v>2311942.8918853956</v>
      </c>
      <c r="AR168" s="262">
        <v>0</v>
      </c>
      <c r="AS168" s="262">
        <v>1108279.2523025319</v>
      </c>
      <c r="AT168" s="262">
        <v>853809.07030358992</v>
      </c>
      <c r="AU168" s="263">
        <v>4274031.2144915173</v>
      </c>
      <c r="AV168" s="31"/>
      <c r="AW168" s="323">
        <v>4235532.6019765409</v>
      </c>
      <c r="AX168" s="31"/>
      <c r="AY168" s="747">
        <v>0</v>
      </c>
      <c r="AZ168" s="262">
        <v>38498.612514976412</v>
      </c>
      <c r="BA168" s="262">
        <v>4235532.6019765409</v>
      </c>
      <c r="BB168" s="262">
        <v>41456.87900172863</v>
      </c>
      <c r="BC168" s="263">
        <v>4194075.7229748121</v>
      </c>
      <c r="BD168" s="261">
        <v>41940.757229748124</v>
      </c>
      <c r="BE168" s="262">
        <v>4152134.965745064</v>
      </c>
      <c r="BF168" s="354">
        <v>0.98031000016560876</v>
      </c>
      <c r="BG168" s="31"/>
      <c r="BJ168" s="4">
        <v>0.98031000016560876</v>
      </c>
      <c r="BL168" s="4">
        <v>0.94389632430845438</v>
      </c>
      <c r="BM168" s="4">
        <v>0.85</v>
      </c>
      <c r="BN168" s="4" t="s">
        <v>900</v>
      </c>
      <c r="BO168" s="31" t="s">
        <v>900</v>
      </c>
      <c r="BP168" s="31" t="s">
        <v>900</v>
      </c>
      <c r="BQ168" s="31">
        <v>4142232.3596749273</v>
      </c>
      <c r="BR168" s="4">
        <v>0.97797201649254817</v>
      </c>
      <c r="BS168" s="4" t="s">
        <v>900</v>
      </c>
      <c r="BT168" s="448" t="s">
        <v>900</v>
      </c>
      <c r="BU168" s="367" t="s">
        <v>900</v>
      </c>
      <c r="BV168" s="368">
        <v>4152134.965745064</v>
      </c>
      <c r="BX168" s="449">
        <v>-87951.033426828217</v>
      </c>
      <c r="BY168" s="450">
        <v>-2.0429017922208515E-2</v>
      </c>
      <c r="BZ168" s="368">
        <v>-17.285702214679986</v>
      </c>
      <c r="CB168" s="31">
        <v>503936</v>
      </c>
      <c r="CC168" s="31">
        <v>626897.11606117443</v>
      </c>
      <c r="CD168" s="31" t="e">
        <v>#VALUE!</v>
      </c>
      <c r="CE168" s="31" t="s">
        <v>900</v>
      </c>
      <c r="CF168" s="31" t="e">
        <v>#VALUE!</v>
      </c>
      <c r="CJ168" s="702" t="s">
        <v>1447</v>
      </c>
      <c r="CK168" s="702" t="s">
        <v>1447</v>
      </c>
      <c r="CL168" s="702" t="s">
        <v>1448</v>
      </c>
      <c r="CN168" s="702" t="s">
        <v>1447</v>
      </c>
      <c r="CO168" s="702" t="s">
        <v>1448</v>
      </c>
      <c r="CP168" s="702" t="s">
        <v>1447</v>
      </c>
      <c r="CQ168" s="702" t="s">
        <v>1447</v>
      </c>
      <c r="CS168" s="451">
        <v>0.85</v>
      </c>
      <c r="CT168" s="452">
        <v>0</v>
      </c>
      <c r="CU168" s="452">
        <v>0</v>
      </c>
      <c r="CV168" s="453">
        <v>0.85</v>
      </c>
    </row>
    <row r="169" spans="1:100" outlineLevel="1" x14ac:dyDescent="0.3">
      <c r="A169" s="1">
        <v>70297000</v>
      </c>
      <c r="B169" s="47">
        <v>407750</v>
      </c>
      <c r="C169" s="47">
        <v>4246</v>
      </c>
      <c r="D169" s="47" t="s">
        <v>127</v>
      </c>
      <c r="E169" s="47" t="s">
        <v>7</v>
      </c>
      <c r="F169" s="47" t="s">
        <v>1498</v>
      </c>
      <c r="G169" s="47" t="s">
        <v>1502</v>
      </c>
      <c r="H169" s="47" t="s">
        <v>1508</v>
      </c>
      <c r="I169" s="382">
        <v>5832</v>
      </c>
      <c r="J169" s="382">
        <v>140</v>
      </c>
      <c r="K169" s="382">
        <v>0</v>
      </c>
      <c r="L169" s="382">
        <v>226</v>
      </c>
      <c r="M169" s="382">
        <v>0</v>
      </c>
      <c r="N169" s="382">
        <v>5972</v>
      </c>
      <c r="O169" s="444">
        <v>48207</v>
      </c>
      <c r="P169" s="445">
        <v>6198</v>
      </c>
      <c r="Q169" s="346">
        <v>0.12857053954819839</v>
      </c>
      <c r="R169" s="445">
        <v>32520</v>
      </c>
      <c r="S169" s="447">
        <v>9302</v>
      </c>
      <c r="T169" s="445">
        <v>-700.0529117052414</v>
      </c>
      <c r="U169" s="444">
        <v>43787.051340521743</v>
      </c>
      <c r="V169" s="445">
        <v>5497.9470882947589</v>
      </c>
      <c r="W169" s="229">
        <v>0.1255610259192495</v>
      </c>
      <c r="X169" s="261">
        <v>2858587.5254170154</v>
      </c>
      <c r="Y169" s="262">
        <v>0</v>
      </c>
      <c r="Z169" s="262">
        <v>1382238.3614657063</v>
      </c>
      <c r="AA169" s="262">
        <v>1044929.4439367325</v>
      </c>
      <c r="AB169" s="263">
        <v>5285755.330819454</v>
      </c>
      <c r="AC169" s="262">
        <v>2530499.1460957159</v>
      </c>
      <c r="AD169" s="262" t="s">
        <v>900</v>
      </c>
      <c r="AE169" s="262">
        <v>1224299.8679378566</v>
      </c>
      <c r="AF169" s="263">
        <v>926541.1784172284</v>
      </c>
      <c r="AG169" s="262">
        <v>2530499.1460957159</v>
      </c>
      <c r="AH169" s="262" t="s">
        <v>900</v>
      </c>
      <c r="AI169" s="262">
        <v>1224299.8679378566</v>
      </c>
      <c r="AJ169" s="263">
        <v>926541.1784172284</v>
      </c>
      <c r="AK169" s="262">
        <v>2530508.6511987378</v>
      </c>
      <c r="AL169" s="262" t="s">
        <v>900</v>
      </c>
      <c r="AM169" s="262">
        <v>1224305.0194669678</v>
      </c>
      <c r="AN169" s="262">
        <v>926545.62256077549</v>
      </c>
      <c r="AO169" s="263">
        <v>4681359.2932264814</v>
      </c>
      <c r="AP169" s="31"/>
      <c r="AQ169" s="261">
        <v>2492072.6696171779</v>
      </c>
      <c r="AR169" s="262">
        <v>0</v>
      </c>
      <c r="AS169" s="262">
        <v>1207347.8070213045</v>
      </c>
      <c r="AT169" s="262">
        <v>889324.53199964785</v>
      </c>
      <c r="AU169" s="263">
        <v>4588745.0086381305</v>
      </c>
      <c r="AV169" s="31"/>
      <c r="AW169" s="323">
        <v>4343134.6280025989</v>
      </c>
      <c r="AX169" s="31"/>
      <c r="AY169" s="747">
        <v>0</v>
      </c>
      <c r="AZ169" s="262">
        <v>245610.38063553162</v>
      </c>
      <c r="BA169" s="262">
        <v>4343134.6280025989</v>
      </c>
      <c r="BB169" s="262">
        <v>42510.074571802033</v>
      </c>
      <c r="BC169" s="263">
        <v>4300624.5534307966</v>
      </c>
      <c r="BD169" s="261">
        <v>43006.245534307964</v>
      </c>
      <c r="BE169" s="262">
        <v>4257618.3078964883</v>
      </c>
      <c r="BF169" s="354">
        <v>0.98031000016560865</v>
      </c>
      <c r="BG169" s="31"/>
      <c r="BJ169" s="4">
        <v>0.98031000016560865</v>
      </c>
      <c r="BL169" s="4">
        <v>0.99412840546008485</v>
      </c>
      <c r="BM169" s="4">
        <v>0.85</v>
      </c>
      <c r="BN169" s="4" t="s">
        <v>900</v>
      </c>
      <c r="BO169" s="31" t="s">
        <v>900</v>
      </c>
      <c r="BP169" s="31" t="s">
        <v>900</v>
      </c>
      <c r="BQ169" s="31">
        <v>4247464.1300463146</v>
      </c>
      <c r="BR169" s="4">
        <v>0.97797201649254817</v>
      </c>
      <c r="BS169" s="4" t="s">
        <v>900</v>
      </c>
      <c r="BT169" s="448" t="s">
        <v>900</v>
      </c>
      <c r="BU169" s="367" t="s">
        <v>900</v>
      </c>
      <c r="BV169" s="368">
        <v>4257618.3078964883</v>
      </c>
      <c r="BX169" s="449">
        <v>-155770.165750755</v>
      </c>
      <c r="BY169" s="450">
        <v>-3.4926025755975289E-2</v>
      </c>
      <c r="BZ169" s="368">
        <v>-28.332423584503541</v>
      </c>
      <c r="CB169" s="31">
        <v>468680</v>
      </c>
      <c r="CC169" s="31">
        <v>600451.16574466485</v>
      </c>
      <c r="CD169" s="31" t="e">
        <v>#VALUE!</v>
      </c>
      <c r="CE169" s="31" t="s">
        <v>900</v>
      </c>
      <c r="CF169" s="31" t="e">
        <v>#VALUE!</v>
      </c>
      <c r="CJ169" s="702" t="s">
        <v>1447</v>
      </c>
      <c r="CK169" s="702" t="s">
        <v>1447</v>
      </c>
      <c r="CL169" s="702" t="s">
        <v>1448</v>
      </c>
      <c r="CN169" s="702" t="s">
        <v>1447</v>
      </c>
      <c r="CO169" s="702" t="s">
        <v>1448</v>
      </c>
      <c r="CP169" s="702" t="s">
        <v>1447</v>
      </c>
      <c r="CQ169" s="702" t="s">
        <v>1447</v>
      </c>
      <c r="CS169" s="451">
        <v>0.85</v>
      </c>
      <c r="CT169" s="452">
        <v>0</v>
      </c>
      <c r="CU169" s="452">
        <v>0</v>
      </c>
      <c r="CV169" s="453">
        <v>0.85</v>
      </c>
    </row>
    <row r="170" spans="1:100" outlineLevel="1" x14ac:dyDescent="0.3">
      <c r="A170" s="1">
        <v>70204000</v>
      </c>
      <c r="B170" s="47">
        <v>404970</v>
      </c>
      <c r="C170" s="47">
        <v>4235</v>
      </c>
      <c r="D170" s="47" t="s">
        <v>282</v>
      </c>
      <c r="E170" s="47" t="s">
        <v>7</v>
      </c>
      <c r="F170" s="47" t="s">
        <v>1503</v>
      </c>
      <c r="G170" s="47" t="s">
        <v>1502</v>
      </c>
      <c r="H170" s="47" t="s">
        <v>1508</v>
      </c>
      <c r="I170" s="382">
        <v>20782</v>
      </c>
      <c r="J170" s="382">
        <v>218</v>
      </c>
      <c r="K170" s="382">
        <v>0</v>
      </c>
      <c r="L170" s="382">
        <v>805</v>
      </c>
      <c r="M170" s="382">
        <v>0</v>
      </c>
      <c r="N170" s="382">
        <v>21000</v>
      </c>
      <c r="O170" s="444">
        <v>81787</v>
      </c>
      <c r="P170" s="445">
        <v>21805</v>
      </c>
      <c r="Q170" s="346">
        <v>0.26660716250748895</v>
      </c>
      <c r="R170" s="445">
        <v>60798</v>
      </c>
      <c r="S170" s="447">
        <v>35720</v>
      </c>
      <c r="T170" s="445">
        <v>-2495.6486268823869</v>
      </c>
      <c r="U170" s="444">
        <v>74288.206442783237</v>
      </c>
      <c r="V170" s="445">
        <v>19309.351373117614</v>
      </c>
      <c r="W170" s="229">
        <v>0.25992485614778804</v>
      </c>
      <c r="X170" s="261">
        <v>10056712.002535984</v>
      </c>
      <c r="Y170" s="262">
        <v>2383031.3287176457</v>
      </c>
      <c r="Z170" s="262">
        <v>6216623.2016815394</v>
      </c>
      <c r="AA170" s="262">
        <v>5585516.8814164316</v>
      </c>
      <c r="AB170" s="263">
        <v>24241883.414351601</v>
      </c>
      <c r="AC170" s="262">
        <v>8902474.004617149</v>
      </c>
      <c r="AD170" s="262">
        <v>2110665.0370547455</v>
      </c>
      <c r="AE170" s="262">
        <v>5506294.1219251901</v>
      </c>
      <c r="AF170" s="263">
        <v>4952689.7949008774</v>
      </c>
      <c r="AG170" s="262">
        <v>8902474.004617149</v>
      </c>
      <c r="AH170" s="262">
        <v>2110665.0370547455</v>
      </c>
      <c r="AI170" s="262">
        <v>5506294.1219251901</v>
      </c>
      <c r="AJ170" s="263">
        <v>4952689.7949008774</v>
      </c>
      <c r="AK170" s="262">
        <v>8902483.5097201709</v>
      </c>
      <c r="AL170" s="262">
        <v>2112639.6218861807</v>
      </c>
      <c r="AM170" s="262">
        <v>5506299.2734543011</v>
      </c>
      <c r="AN170" s="262">
        <v>4952694.2390444241</v>
      </c>
      <c r="AO170" s="263">
        <v>21474116.644105077</v>
      </c>
      <c r="AP170" s="31"/>
      <c r="AQ170" s="261">
        <v>8767263.386268843</v>
      </c>
      <c r="AR170" s="262">
        <v>2045557.5460802426</v>
      </c>
      <c r="AS170" s="262">
        <v>5430034.3843255956</v>
      </c>
      <c r="AT170" s="262">
        <v>4887928.9999637622</v>
      </c>
      <c r="AU170" s="263">
        <v>21130784.316638444</v>
      </c>
      <c r="AV170" s="31"/>
      <c r="AW170" s="323">
        <v>20099754.995344613</v>
      </c>
      <c r="AX170" s="31"/>
      <c r="AY170" s="747">
        <v>0</v>
      </c>
      <c r="AZ170" s="262">
        <v>1031029.3212938309</v>
      </c>
      <c r="BA170" s="262">
        <v>20099754.995344613</v>
      </c>
      <c r="BB170" s="262">
        <v>196733.96219817543</v>
      </c>
      <c r="BC170" s="263">
        <v>19903021.033146437</v>
      </c>
      <c r="BD170" s="261">
        <v>199030.21033146439</v>
      </c>
      <c r="BE170" s="262">
        <v>19703990.822814971</v>
      </c>
      <c r="BF170" s="354">
        <v>0.98031000016560865</v>
      </c>
      <c r="BG170" s="31"/>
      <c r="BJ170" s="4">
        <v>0.98031000016560865</v>
      </c>
      <c r="BL170" s="4">
        <v>0.99453902566761021</v>
      </c>
      <c r="BM170" s="4">
        <v>0.9</v>
      </c>
      <c r="BN170" s="4" t="s">
        <v>900</v>
      </c>
      <c r="BO170" s="31" t="s">
        <v>900</v>
      </c>
      <c r="BP170" s="31" t="s">
        <v>900</v>
      </c>
      <c r="BQ170" s="31">
        <v>19656997.923803337</v>
      </c>
      <c r="BR170" s="4">
        <v>0.97797201649254806</v>
      </c>
      <c r="BS170" s="4" t="s">
        <v>900</v>
      </c>
      <c r="BT170" s="448" t="s">
        <v>900</v>
      </c>
      <c r="BU170" s="367" t="s">
        <v>900</v>
      </c>
      <c r="BV170" s="368">
        <v>19703990.822814971</v>
      </c>
      <c r="BX170" s="449">
        <v>-730164.11338042095</v>
      </c>
      <c r="BY170" s="450">
        <v>-3.5683999103064155E-2</v>
      </c>
      <c r="BZ170" s="368">
        <v>-37.814015565377922</v>
      </c>
      <c r="CB170" s="31">
        <v>1953065</v>
      </c>
      <c r="CC170" s="31">
        <v>2334994.0184486732</v>
      </c>
      <c r="CD170" s="31" t="e">
        <v>#VALUE!</v>
      </c>
      <c r="CE170" s="31" t="s">
        <v>900</v>
      </c>
      <c r="CF170" s="31" t="e">
        <v>#VALUE!</v>
      </c>
      <c r="CJ170" s="702" t="s">
        <v>1447</v>
      </c>
      <c r="CK170" s="702" t="s">
        <v>1447</v>
      </c>
      <c r="CL170" s="702" t="s">
        <v>1448</v>
      </c>
      <c r="CN170" s="702" t="s">
        <v>1447</v>
      </c>
      <c r="CO170" s="702" t="s">
        <v>1447</v>
      </c>
      <c r="CP170" s="702" t="s">
        <v>1447</v>
      </c>
      <c r="CQ170" s="702" t="s">
        <v>1447</v>
      </c>
      <c r="CS170" s="451">
        <v>0</v>
      </c>
      <c r="CT170" s="452">
        <v>0.9</v>
      </c>
      <c r="CU170" s="452">
        <v>0</v>
      </c>
      <c r="CV170" s="453">
        <v>0.9</v>
      </c>
    </row>
    <row r="171" spans="1:100" outlineLevel="1" x14ac:dyDescent="0.3">
      <c r="A171" s="1">
        <v>70386000</v>
      </c>
      <c r="B171" s="47">
        <v>405100</v>
      </c>
      <c r="C171" s="47">
        <v>4253</v>
      </c>
      <c r="D171" s="47" t="s">
        <v>499</v>
      </c>
      <c r="E171" s="47" t="s">
        <v>7</v>
      </c>
      <c r="F171" s="47" t="s">
        <v>900</v>
      </c>
      <c r="G171" s="47" t="s">
        <v>900</v>
      </c>
      <c r="H171" s="47" t="s">
        <v>900</v>
      </c>
      <c r="I171" s="382">
        <v>7</v>
      </c>
      <c r="J171" s="382">
        <v>0</v>
      </c>
      <c r="K171" s="382">
        <v>0</v>
      </c>
      <c r="L171" s="382">
        <v>0</v>
      </c>
      <c r="M171" s="382">
        <v>0</v>
      </c>
      <c r="N171" s="382">
        <v>7</v>
      </c>
      <c r="O171" s="444">
        <v>25</v>
      </c>
      <c r="P171" s="445">
        <v>7</v>
      </c>
      <c r="Q171" s="346">
        <v>0.28000000000000003</v>
      </c>
      <c r="R171" s="445">
        <v>6</v>
      </c>
      <c r="S171" s="447">
        <v>6</v>
      </c>
      <c r="T171" s="445">
        <v>-0.84189566907353131</v>
      </c>
      <c r="U171" s="444">
        <v>22.70782839656157</v>
      </c>
      <c r="V171" s="445">
        <v>6.1581043309264683</v>
      </c>
      <c r="W171" s="229">
        <v>0.27118860612223628</v>
      </c>
      <c r="X171" s="261">
        <v>0</v>
      </c>
      <c r="Y171" s="262">
        <v>1256.9429189136347</v>
      </c>
      <c r="Z171" s="262">
        <v>0</v>
      </c>
      <c r="AA171" s="262">
        <v>0</v>
      </c>
      <c r="AB171" s="263">
        <v>1256.9429189136347</v>
      </c>
      <c r="AC171" s="262" t="s">
        <v>900</v>
      </c>
      <c r="AD171" s="262">
        <v>1113.281827458042</v>
      </c>
      <c r="AE171" s="262" t="s">
        <v>900</v>
      </c>
      <c r="AF171" s="263" t="s">
        <v>900</v>
      </c>
      <c r="AG171" s="262" t="s">
        <v>900</v>
      </c>
      <c r="AH171" s="262" t="s">
        <v>900</v>
      </c>
      <c r="AI171" s="262" t="s">
        <v>900</v>
      </c>
      <c r="AJ171" s="263" t="s">
        <v>900</v>
      </c>
      <c r="AK171" s="262" t="s">
        <v>900</v>
      </c>
      <c r="AL171" s="262" t="s">
        <v>900</v>
      </c>
      <c r="AM171" s="262" t="s">
        <v>900</v>
      </c>
      <c r="AN171" s="262" t="s">
        <v>900</v>
      </c>
      <c r="AO171" s="263">
        <v>0</v>
      </c>
      <c r="AP171" s="31"/>
      <c r="AQ171" s="261">
        <v>0</v>
      </c>
      <c r="AR171" s="262">
        <v>1771.4994098905661</v>
      </c>
      <c r="AS171" s="262">
        <v>0</v>
      </c>
      <c r="AT171" s="262">
        <v>0</v>
      </c>
      <c r="AU171" s="263">
        <v>1771.4994098905661</v>
      </c>
      <c r="AV171" s="31"/>
      <c r="AW171" s="323">
        <v>13620.159257742427</v>
      </c>
      <c r="AX171" s="31"/>
      <c r="AY171" s="747">
        <v>0</v>
      </c>
      <c r="AZ171" s="262">
        <v>0</v>
      </c>
      <c r="BA171" s="262">
        <v>1771.4994098905661</v>
      </c>
      <c r="BB171" s="262">
        <v>17.339221200468437</v>
      </c>
      <c r="BC171" s="263">
        <v>1754.1601886900976</v>
      </c>
      <c r="BD171" s="261">
        <v>17.541601886900978</v>
      </c>
      <c r="BE171" s="262">
        <v>1736.6185868031966</v>
      </c>
      <c r="BF171" s="354">
        <v>0.12750354485143114</v>
      </c>
      <c r="BG171" s="31"/>
      <c r="BJ171" s="4">
        <v>0.12750354485143114</v>
      </c>
      <c r="BL171" s="4">
        <v>7.9870417806350097E-2</v>
      </c>
      <c r="BM171" s="4">
        <v>0.9</v>
      </c>
      <c r="BN171" s="4" t="s">
        <v>1003</v>
      </c>
      <c r="BO171" s="31">
        <v>10521.524745164987</v>
      </c>
      <c r="BP171" s="31">
        <v>12258.143331968184</v>
      </c>
      <c r="BQ171" s="31">
        <v>12258.143331968184</v>
      </c>
      <c r="BR171" s="4">
        <v>0.89999999999999991</v>
      </c>
      <c r="BS171" s="4" t="s">
        <v>900</v>
      </c>
      <c r="BT171" s="448" t="s">
        <v>900</v>
      </c>
      <c r="BU171" s="367" t="s">
        <v>900</v>
      </c>
      <c r="BV171" s="368">
        <v>1736.6185868031966</v>
      </c>
      <c r="BX171" s="449">
        <v>280.29952421905273</v>
      </c>
      <c r="BY171" s="450">
        <v>0.19718726974748021</v>
      </c>
      <c r="BZ171" s="368">
        <v>45.517176903185479</v>
      </c>
      <c r="CB171" s="31">
        <v>1120</v>
      </c>
      <c r="CC171" s="31">
        <v>1240.8031560273698</v>
      </c>
      <c r="CD171" s="31" t="e">
        <v>#VALUE!</v>
      </c>
      <c r="CE171" s="31" t="s">
        <v>900</v>
      </c>
      <c r="CF171" s="31" t="e">
        <v>#VALUE!</v>
      </c>
      <c r="CJ171" s="702" t="s">
        <v>1447</v>
      </c>
      <c r="CK171" s="702" t="s">
        <v>1447</v>
      </c>
      <c r="CL171" s="702" t="s">
        <v>1448</v>
      </c>
      <c r="CN171" s="702" t="s">
        <v>1448</v>
      </c>
      <c r="CO171" s="702" t="s">
        <v>1448</v>
      </c>
      <c r="CP171" s="702" t="s">
        <v>1448</v>
      </c>
      <c r="CQ171" s="702" t="s">
        <v>1448</v>
      </c>
      <c r="CS171" s="451">
        <v>0</v>
      </c>
      <c r="CT171" s="452">
        <v>0.9</v>
      </c>
      <c r="CU171" s="452">
        <v>0</v>
      </c>
      <c r="CV171" s="453">
        <v>0.9</v>
      </c>
    </row>
    <row r="172" spans="1:100" outlineLevel="1" x14ac:dyDescent="0.3">
      <c r="A172" s="1">
        <v>70371000</v>
      </c>
      <c r="B172" s="47">
        <v>407680</v>
      </c>
      <c r="C172" s="47">
        <v>4250</v>
      </c>
      <c r="D172" s="47" t="s">
        <v>476</v>
      </c>
      <c r="E172" s="47" t="s">
        <v>7</v>
      </c>
      <c r="F172" s="47" t="s">
        <v>900</v>
      </c>
      <c r="G172" s="47" t="s">
        <v>900</v>
      </c>
      <c r="H172" s="47" t="s">
        <v>900</v>
      </c>
      <c r="I172" s="382">
        <v>0</v>
      </c>
      <c r="J172" s="382">
        <v>0</v>
      </c>
      <c r="K172" s="382">
        <v>0</v>
      </c>
      <c r="L172" s="382">
        <v>0</v>
      </c>
      <c r="M172" s="382">
        <v>0</v>
      </c>
      <c r="N172" s="382">
        <v>0</v>
      </c>
      <c r="O172" s="444">
        <v>26</v>
      </c>
      <c r="P172" s="445">
        <v>0</v>
      </c>
      <c r="Q172" s="346">
        <v>0</v>
      </c>
      <c r="R172" s="445">
        <v>37</v>
      </c>
      <c r="S172" s="447">
        <v>30</v>
      </c>
      <c r="T172" s="445">
        <v>0</v>
      </c>
      <c r="U172" s="444">
        <v>23.616141532424031</v>
      </c>
      <c r="V172" s="445">
        <v>0</v>
      </c>
      <c r="W172" s="229">
        <v>0</v>
      </c>
      <c r="X172" s="261">
        <v>0</v>
      </c>
      <c r="Y172" s="262">
        <v>1896.7696709865324</v>
      </c>
      <c r="Z172" s="262">
        <v>0</v>
      </c>
      <c r="AA172" s="262">
        <v>0</v>
      </c>
      <c r="AB172" s="263">
        <v>1896.7696709865324</v>
      </c>
      <c r="AC172" s="262" t="s">
        <v>900</v>
      </c>
      <c r="AD172" s="262">
        <v>1679.9801914695922</v>
      </c>
      <c r="AE172" s="262" t="s">
        <v>900</v>
      </c>
      <c r="AF172" s="263" t="s">
        <v>900</v>
      </c>
      <c r="AG172" s="262" t="s">
        <v>900</v>
      </c>
      <c r="AH172" s="262" t="s">
        <v>900</v>
      </c>
      <c r="AI172" s="262" t="s">
        <v>900</v>
      </c>
      <c r="AJ172" s="263" t="s">
        <v>900</v>
      </c>
      <c r="AK172" s="262" t="s">
        <v>900</v>
      </c>
      <c r="AL172" s="262" t="s">
        <v>900</v>
      </c>
      <c r="AM172" s="262" t="s">
        <v>900</v>
      </c>
      <c r="AN172" s="262" t="s">
        <v>900</v>
      </c>
      <c r="AO172" s="263">
        <v>0</v>
      </c>
      <c r="AP172" s="31"/>
      <c r="AQ172" s="261">
        <v>0</v>
      </c>
      <c r="AR172" s="262">
        <v>1681.2474682996408</v>
      </c>
      <c r="AS172" s="262">
        <v>0</v>
      </c>
      <c r="AT172" s="262">
        <v>0</v>
      </c>
      <c r="AU172" s="263">
        <v>1681.2474682996408</v>
      </c>
      <c r="AV172" s="31"/>
      <c r="AW172" s="323">
        <v>1958.4500879901727</v>
      </c>
      <c r="AX172" s="31"/>
      <c r="AY172" s="747">
        <v>0</v>
      </c>
      <c r="AZ172" s="262">
        <v>0</v>
      </c>
      <c r="BA172" s="262">
        <v>1681.2474682996408</v>
      </c>
      <c r="BB172" s="262">
        <v>16.455846150903231</v>
      </c>
      <c r="BC172" s="263">
        <v>1664.7916221487376</v>
      </c>
      <c r="BD172" s="261">
        <v>16.647916221487375</v>
      </c>
      <c r="BE172" s="262">
        <v>1648.1437059272503</v>
      </c>
      <c r="BF172" s="354">
        <v>0.84155512363280638</v>
      </c>
      <c r="BG172" s="31"/>
      <c r="BJ172" s="4">
        <v>0.84155512363280638</v>
      </c>
      <c r="BL172" s="4">
        <v>0.85</v>
      </c>
      <c r="BM172" s="4">
        <v>0.85</v>
      </c>
      <c r="BN172" s="4" t="s">
        <v>1003</v>
      </c>
      <c r="BO172" s="31">
        <v>16.538868864396363</v>
      </c>
      <c r="BP172" s="31">
        <v>1664.6825747916466</v>
      </c>
      <c r="BQ172" s="31">
        <v>1664.6825747916466</v>
      </c>
      <c r="BR172" s="4">
        <v>0.84999999999999987</v>
      </c>
      <c r="BS172" s="4" t="s">
        <v>900</v>
      </c>
      <c r="BT172" s="448" t="s">
        <v>900</v>
      </c>
      <c r="BU172" s="367" t="s">
        <v>900</v>
      </c>
      <c r="BV172" s="368">
        <v>1648.1437059272503</v>
      </c>
      <c r="BX172" s="449">
        <v>-362.33044942828838</v>
      </c>
      <c r="BY172" s="450">
        <v>-0.18261205038411055</v>
      </c>
      <c r="BZ172" s="368" t="s">
        <v>900</v>
      </c>
      <c r="CB172" s="31">
        <v>2051</v>
      </c>
      <c r="CC172" s="31">
        <v>2075.0226483692786</v>
      </c>
      <c r="CD172" s="31" t="e">
        <v>#VALUE!</v>
      </c>
      <c r="CE172" s="31" t="s">
        <v>900</v>
      </c>
      <c r="CF172" s="31" t="e">
        <v>#VALUE!</v>
      </c>
      <c r="CJ172" s="702" t="s">
        <v>1447</v>
      </c>
      <c r="CK172" s="702" t="s">
        <v>1447</v>
      </c>
      <c r="CL172" s="702" t="s">
        <v>1448</v>
      </c>
      <c r="CN172" s="702" t="s">
        <v>1448</v>
      </c>
      <c r="CO172" s="702" t="s">
        <v>1448</v>
      </c>
      <c r="CP172" s="702" t="s">
        <v>1448</v>
      </c>
      <c r="CQ172" s="702" t="s">
        <v>1448</v>
      </c>
      <c r="CS172" s="451">
        <v>0.85</v>
      </c>
      <c r="CT172" s="452">
        <v>0</v>
      </c>
      <c r="CU172" s="452">
        <v>0</v>
      </c>
      <c r="CV172" s="453">
        <v>0.85</v>
      </c>
    </row>
    <row r="173" spans="1:100" s="237" customFormat="1" outlineLevel="1" x14ac:dyDescent="0.3">
      <c r="A173" s="236"/>
      <c r="B173" s="237">
        <v>481013</v>
      </c>
      <c r="D173" s="237" t="s">
        <v>883</v>
      </c>
      <c r="E173" s="237" t="s">
        <v>7</v>
      </c>
      <c r="F173" s="237" t="s">
        <v>900</v>
      </c>
      <c r="G173" s="237" t="s">
        <v>900</v>
      </c>
      <c r="H173" s="237" t="s">
        <v>900</v>
      </c>
      <c r="I173" s="760">
        <v>655</v>
      </c>
      <c r="J173" s="760">
        <v>0</v>
      </c>
      <c r="K173" s="760">
        <v>0</v>
      </c>
      <c r="L173" s="760">
        <v>25</v>
      </c>
      <c r="M173" s="760">
        <v>0</v>
      </c>
      <c r="N173" s="760">
        <v>655</v>
      </c>
      <c r="O173" s="525">
        <v>1483</v>
      </c>
      <c r="P173" s="526">
        <v>680</v>
      </c>
      <c r="Q173" s="350">
        <v>0.45853000674308836</v>
      </c>
      <c r="R173" s="526" t="s">
        <v>900</v>
      </c>
      <c r="S173" s="528" t="s">
        <v>900</v>
      </c>
      <c r="T173" s="526"/>
      <c r="U173" s="525"/>
      <c r="V173" s="526"/>
      <c r="W173" s="241">
        <v>0</v>
      </c>
      <c r="X173" s="273">
        <v>313623.67171403201</v>
      </c>
      <c r="Y173" s="274">
        <v>74316.042353955461</v>
      </c>
      <c r="Z173" s="274">
        <v>196688.85228817313</v>
      </c>
      <c r="AA173" s="274">
        <v>213207.19837682848</v>
      </c>
      <c r="AB173" s="275">
        <v>797835.76473298902</v>
      </c>
      <c r="AC173" s="274"/>
      <c r="AD173" s="274"/>
      <c r="AE173" s="274"/>
      <c r="AF173" s="275"/>
      <c r="AG173" s="274" t="s">
        <v>900</v>
      </c>
      <c r="AH173" s="274" t="s">
        <v>900</v>
      </c>
      <c r="AI173" s="274" t="s">
        <v>900</v>
      </c>
      <c r="AJ173" s="275" t="s">
        <v>900</v>
      </c>
      <c r="AK173" s="274"/>
      <c r="AL173" s="274"/>
      <c r="AM173" s="274"/>
      <c r="AN173" s="274"/>
      <c r="AO173" s="275"/>
      <c r="AQ173" s="273">
        <v>0</v>
      </c>
      <c r="AR173" s="274">
        <v>0</v>
      </c>
      <c r="AS173" s="274">
        <v>0</v>
      </c>
      <c r="AT173" s="274">
        <v>0</v>
      </c>
      <c r="AU173" s="275">
        <v>0</v>
      </c>
      <c r="AW173" s="327">
        <v>0</v>
      </c>
      <c r="AY173" s="379">
        <v>0</v>
      </c>
      <c r="AZ173" s="274">
        <v>0</v>
      </c>
      <c r="BA173" s="274">
        <v>0</v>
      </c>
      <c r="BB173" s="274"/>
      <c r="BC173" s="275"/>
      <c r="BD173" s="273"/>
      <c r="BE173" s="274"/>
      <c r="BF173" s="366" t="s">
        <v>1450</v>
      </c>
      <c r="BJ173" s="529"/>
      <c r="BK173" s="239"/>
      <c r="BL173" s="529"/>
      <c r="BM173" s="529"/>
      <c r="BN173" s="529"/>
      <c r="BQ173" s="242"/>
      <c r="BR173" s="529"/>
      <c r="BT173" s="530" t="s">
        <v>900</v>
      </c>
      <c r="BU173" s="531" t="s">
        <v>900</v>
      </c>
      <c r="BV173" s="532">
        <v>0</v>
      </c>
      <c r="BX173" s="533">
        <v>0</v>
      </c>
      <c r="BY173" s="534" t="s">
        <v>900</v>
      </c>
      <c r="BZ173" s="532" t="s">
        <v>900</v>
      </c>
      <c r="CB173" s="242" t="s">
        <v>900</v>
      </c>
      <c r="CC173" s="242">
        <v>0</v>
      </c>
      <c r="CD173" s="242" t="e">
        <v>#VALUE!</v>
      </c>
      <c r="CE173" s="242" t="s">
        <v>900</v>
      </c>
      <c r="CF173" s="242" t="e">
        <v>#VALUE!</v>
      </c>
      <c r="CJ173" s="535" t="s">
        <v>1447</v>
      </c>
      <c r="CK173" s="535" t="s">
        <v>1447</v>
      </c>
      <c r="CL173" s="535" t="s">
        <v>1447</v>
      </c>
      <c r="CN173" s="535" t="s">
        <v>1448</v>
      </c>
      <c r="CO173" s="535" t="s">
        <v>1448</v>
      </c>
      <c r="CP173" s="535" t="s">
        <v>1448</v>
      </c>
      <c r="CQ173" s="535" t="s">
        <v>1448</v>
      </c>
      <c r="CS173" s="536">
        <v>0.85</v>
      </c>
      <c r="CT173" s="537">
        <v>0</v>
      </c>
      <c r="CU173" s="537">
        <v>0</v>
      </c>
      <c r="CV173" s="538">
        <v>0.85</v>
      </c>
    </row>
    <row r="174" spans="1:100" s="48" customFormat="1" outlineLevel="1" x14ac:dyDescent="0.3">
      <c r="A174" s="202">
        <v>78604000</v>
      </c>
      <c r="B174" s="48">
        <v>400128</v>
      </c>
      <c r="C174" s="48">
        <v>4296</v>
      </c>
      <c r="D174" s="48" t="s">
        <v>6</v>
      </c>
      <c r="E174" s="48" t="s">
        <v>7</v>
      </c>
      <c r="F174" s="48" t="s">
        <v>1498</v>
      </c>
      <c r="G174" s="48" t="s">
        <v>1499</v>
      </c>
      <c r="H174" s="48" t="s">
        <v>1512</v>
      </c>
      <c r="O174" s="454" t="s">
        <v>900</v>
      </c>
      <c r="P174" s="455" t="s">
        <v>900</v>
      </c>
      <c r="Q174" s="347" t="s">
        <v>900</v>
      </c>
      <c r="R174" s="455">
        <v>150</v>
      </c>
      <c r="S174" s="457">
        <v>132</v>
      </c>
      <c r="T174" s="455"/>
      <c r="U174" s="454">
        <v>150</v>
      </c>
      <c r="V174" s="455">
        <v>67.642517357444419</v>
      </c>
      <c r="W174" s="230">
        <v>0.45095011571629612</v>
      </c>
      <c r="X174" s="264" t="s">
        <v>900</v>
      </c>
      <c r="Y174" s="265" t="s">
        <v>900</v>
      </c>
      <c r="Z174" s="265" t="s">
        <v>900</v>
      </c>
      <c r="AA174" s="265" t="s">
        <v>900</v>
      </c>
      <c r="AB174" s="266" t="s">
        <v>900</v>
      </c>
      <c r="AC174" s="265">
        <v>31785.064505442191</v>
      </c>
      <c r="AD174" s="265">
        <v>6563.3553151114857</v>
      </c>
      <c r="AE174" s="265">
        <v>17226.713347944675</v>
      </c>
      <c r="AF174" s="266">
        <v>14861.216021392382</v>
      </c>
      <c r="AG174" s="265">
        <v>31785.064505442191</v>
      </c>
      <c r="AH174" s="265">
        <v>6563.3553151114857</v>
      </c>
      <c r="AI174" s="265">
        <v>17226.713347944675</v>
      </c>
      <c r="AJ174" s="266">
        <v>14861.216021392382</v>
      </c>
      <c r="AK174" s="265">
        <v>31794.569608464182</v>
      </c>
      <c r="AL174" s="265">
        <v>8537.9401465467363</v>
      </c>
      <c r="AM174" s="265">
        <v>17231.864877055905</v>
      </c>
      <c r="AN174" s="265">
        <v>14865.660164939454</v>
      </c>
      <c r="AO174" s="266">
        <v>72430.034797006287</v>
      </c>
      <c r="AP174" s="203"/>
      <c r="AQ174" s="264">
        <v>35460.055392384682</v>
      </c>
      <c r="AR174" s="265">
        <v>8266.8372370851303</v>
      </c>
      <c r="AS174" s="265">
        <v>17789.65450852062</v>
      </c>
      <c r="AT174" s="265">
        <v>16694.248752115491</v>
      </c>
      <c r="AU174" s="266">
        <v>78210.795890105917</v>
      </c>
      <c r="AV174" s="203"/>
      <c r="AW174" s="324">
        <v>79969.566657952411</v>
      </c>
      <c r="AX174" s="203"/>
      <c r="AY174" s="377">
        <v>0</v>
      </c>
      <c r="AZ174" s="265">
        <v>0</v>
      </c>
      <c r="BA174" s="265">
        <v>78210.795890105917</v>
      </c>
      <c r="BB174" s="265">
        <v>765.51777699265938</v>
      </c>
      <c r="BC174" s="266">
        <v>77445.278113113265</v>
      </c>
      <c r="BD174" s="264">
        <v>774.45278113113272</v>
      </c>
      <c r="BE174" s="265">
        <v>76670.825331982138</v>
      </c>
      <c r="BF174" s="357">
        <v>0.95875004124907015</v>
      </c>
      <c r="BG174" s="203"/>
      <c r="BJ174" s="458">
        <v>0.95875004124907015</v>
      </c>
      <c r="BK174" s="210"/>
      <c r="BL174" s="458"/>
      <c r="BM174" s="458"/>
      <c r="BN174" s="458"/>
      <c r="BQ174" s="203">
        <v>76487.969768134004</v>
      </c>
      <c r="BR174" s="458">
        <v>0.95646347685351396</v>
      </c>
      <c r="BT174" s="459" t="s">
        <v>900</v>
      </c>
      <c r="BU174" s="460" t="s">
        <v>900</v>
      </c>
      <c r="BV174" s="461">
        <v>76670.825331982138</v>
      </c>
      <c r="BX174" s="462">
        <v>10256.562730805643</v>
      </c>
      <c r="BY174" s="463">
        <v>0.15221926043429379</v>
      </c>
      <c r="BZ174" s="461">
        <v>151.62893297726822</v>
      </c>
      <c r="CB174" s="203">
        <v>12874</v>
      </c>
      <c r="CC174" s="203">
        <v>14099.797840689778</v>
      </c>
      <c r="CD174" s="203" t="e">
        <v>#VALUE!</v>
      </c>
      <c r="CE174" s="203" t="s">
        <v>900</v>
      </c>
      <c r="CF174" s="203" t="e">
        <v>#VALUE!</v>
      </c>
      <c r="CH174" s="199"/>
      <c r="CJ174" s="464" t="s">
        <v>1448</v>
      </c>
      <c r="CK174" s="464" t="s">
        <v>1447</v>
      </c>
      <c r="CL174" s="464" t="s">
        <v>1448</v>
      </c>
      <c r="CN174" s="464" t="s">
        <v>1447</v>
      </c>
      <c r="CO174" s="464" t="s">
        <v>1447</v>
      </c>
      <c r="CP174" s="464" t="s">
        <v>1447</v>
      </c>
      <c r="CQ174" s="464" t="s">
        <v>1447</v>
      </c>
      <c r="CS174" s="465">
        <v>0</v>
      </c>
      <c r="CT174" s="466">
        <v>0</v>
      </c>
      <c r="CU174" s="466">
        <v>0.95</v>
      </c>
      <c r="CV174" s="467">
        <v>0.95</v>
      </c>
    </row>
    <row r="175" spans="1:100" s="48" customFormat="1" outlineLevel="1" x14ac:dyDescent="0.3">
      <c r="A175" s="202">
        <v>78794000</v>
      </c>
      <c r="B175" s="48">
        <v>400276</v>
      </c>
      <c r="C175" s="48">
        <v>79213</v>
      </c>
      <c r="D175" s="48" t="s">
        <v>11</v>
      </c>
      <c r="E175" s="48" t="s">
        <v>7</v>
      </c>
      <c r="F175" s="48" t="s">
        <v>1498</v>
      </c>
      <c r="G175" s="48" t="s">
        <v>1499</v>
      </c>
      <c r="H175" s="48" t="s">
        <v>1523</v>
      </c>
      <c r="O175" s="454" t="s">
        <v>900</v>
      </c>
      <c r="P175" s="455" t="s">
        <v>900</v>
      </c>
      <c r="Q175" s="347" t="s">
        <v>900</v>
      </c>
      <c r="R175" s="455">
        <v>87</v>
      </c>
      <c r="S175" s="457">
        <v>67</v>
      </c>
      <c r="T175" s="455"/>
      <c r="U175" s="454">
        <v>87</v>
      </c>
      <c r="V175" s="455">
        <v>34.333701992036183</v>
      </c>
      <c r="W175" s="230">
        <v>0.39464025278202508</v>
      </c>
      <c r="X175" s="264" t="s">
        <v>900</v>
      </c>
      <c r="Y175" s="265" t="s">
        <v>900</v>
      </c>
      <c r="Z175" s="265" t="s">
        <v>900</v>
      </c>
      <c r="AA175" s="265" t="s">
        <v>900</v>
      </c>
      <c r="AB175" s="266" t="s">
        <v>900</v>
      </c>
      <c r="AC175" s="265">
        <v>16133.328195944143</v>
      </c>
      <c r="AD175" s="265">
        <v>3331.4000463065872</v>
      </c>
      <c r="AE175" s="265">
        <v>8743.8620781234331</v>
      </c>
      <c r="AF175" s="266">
        <v>7543.1929805552236</v>
      </c>
      <c r="AG175" s="265">
        <v>16133.328195944143</v>
      </c>
      <c r="AH175" s="265">
        <v>3331.4000463065872</v>
      </c>
      <c r="AI175" s="265">
        <v>8743.8620781234331</v>
      </c>
      <c r="AJ175" s="266">
        <v>7543.1929805552236</v>
      </c>
      <c r="AK175" s="265">
        <v>16142.833298966134</v>
      </c>
      <c r="AL175" s="265">
        <v>5305.9848777418383</v>
      </c>
      <c r="AM175" s="265">
        <v>8749.0136072346631</v>
      </c>
      <c r="AN175" s="265">
        <v>7547.6371241022953</v>
      </c>
      <c r="AO175" s="266">
        <v>37745.468908044932</v>
      </c>
      <c r="AP175" s="203"/>
      <c r="AQ175" s="264">
        <v>23959.496886746401</v>
      </c>
      <c r="AR175" s="265">
        <v>5215.0675516525926</v>
      </c>
      <c r="AS175" s="265">
        <v>12020.036830081501</v>
      </c>
      <c r="AT175" s="265">
        <v>11279.897805483439</v>
      </c>
      <c r="AU175" s="266">
        <v>52474.499073963932</v>
      </c>
      <c r="AV175" s="203"/>
      <c r="AW175" s="324">
        <v>54692.0857883766</v>
      </c>
      <c r="AX175" s="203"/>
      <c r="AY175" s="377">
        <v>0</v>
      </c>
      <c r="AZ175" s="265">
        <v>0</v>
      </c>
      <c r="BA175" s="265">
        <v>52474.499073963932</v>
      </c>
      <c r="BB175" s="265">
        <v>513.61402761259944</v>
      </c>
      <c r="BC175" s="266">
        <v>51960.88504635133</v>
      </c>
      <c r="BD175" s="264">
        <v>519.60885046351336</v>
      </c>
      <c r="BE175" s="265">
        <v>51441.276195887818</v>
      </c>
      <c r="BF175" s="357">
        <v>0.94056160876607753</v>
      </c>
      <c r="BG175" s="203"/>
      <c r="BJ175" s="458">
        <v>0.94056160876607753</v>
      </c>
      <c r="BK175" s="210"/>
      <c r="BL175" s="458"/>
      <c r="BM175" s="458"/>
      <c r="BN175" s="458"/>
      <c r="BQ175" s="203">
        <v>51318.59167380086</v>
      </c>
      <c r="BR175" s="458">
        <v>0.93831842274896948</v>
      </c>
      <c r="BT175" s="459">
        <v>-3.2250602972418232</v>
      </c>
      <c r="BU175" s="460">
        <v>-1659.0121749880868</v>
      </c>
      <c r="BV175" s="461">
        <v>49782.264020899733</v>
      </c>
      <c r="BX175" s="462">
        <v>15615.770375256412</v>
      </c>
      <c r="BY175" s="463">
        <v>0.45084382855593719</v>
      </c>
      <c r="BZ175" s="461">
        <v>454.823379630852</v>
      </c>
      <c r="CB175" s="203">
        <v>2822</v>
      </c>
      <c r="CC175" s="203">
        <v>3455.2359007678479</v>
      </c>
      <c r="CD175" s="203" t="e">
        <v>#VALUE!</v>
      </c>
      <c r="CE175" s="203" t="e">
        <v>#VALUE!</v>
      </c>
      <c r="CF175" s="203" t="e">
        <v>#VALUE!</v>
      </c>
      <c r="CH175" s="199"/>
      <c r="CJ175" s="464" t="s">
        <v>1448</v>
      </c>
      <c r="CK175" s="464" t="s">
        <v>1447</v>
      </c>
      <c r="CL175" s="464" t="s">
        <v>1448</v>
      </c>
      <c r="CN175" s="464" t="s">
        <v>1447</v>
      </c>
      <c r="CO175" s="464" t="s">
        <v>1447</v>
      </c>
      <c r="CP175" s="464" t="s">
        <v>1447</v>
      </c>
      <c r="CQ175" s="464" t="s">
        <v>1447</v>
      </c>
      <c r="CS175" s="465">
        <v>0</v>
      </c>
      <c r="CT175" s="466">
        <v>0</v>
      </c>
      <c r="CU175" s="466">
        <v>0.95</v>
      </c>
      <c r="CV175" s="467">
        <v>0.95</v>
      </c>
    </row>
    <row r="176" spans="1:100" s="48" customFormat="1" outlineLevel="1" x14ac:dyDescent="0.3">
      <c r="A176" s="202">
        <v>78701000</v>
      </c>
      <c r="B176" s="48">
        <v>400122</v>
      </c>
      <c r="C176" s="48">
        <v>4325</v>
      </c>
      <c r="D176" s="48" t="s">
        <v>13</v>
      </c>
      <c r="E176" s="48" t="s">
        <v>7</v>
      </c>
      <c r="F176" s="48" t="s">
        <v>1503</v>
      </c>
      <c r="G176" s="48" t="s">
        <v>1502</v>
      </c>
      <c r="H176" s="48" t="s">
        <v>1523</v>
      </c>
      <c r="O176" s="454" t="s">
        <v>900</v>
      </c>
      <c r="P176" s="455" t="s">
        <v>900</v>
      </c>
      <c r="Q176" s="347" t="s">
        <v>900</v>
      </c>
      <c r="R176" s="455">
        <v>396</v>
      </c>
      <c r="S176" s="457">
        <v>380</v>
      </c>
      <c r="T176" s="455"/>
      <c r="U176" s="454">
        <v>396</v>
      </c>
      <c r="V176" s="455">
        <v>194.7284590593097</v>
      </c>
      <c r="W176" s="230">
        <v>0.49173853297805481</v>
      </c>
      <c r="X176" s="264" t="s">
        <v>900</v>
      </c>
      <c r="Y176" s="265" t="s">
        <v>900</v>
      </c>
      <c r="Z176" s="265" t="s">
        <v>900</v>
      </c>
      <c r="AA176" s="265" t="s">
        <v>900</v>
      </c>
      <c r="AB176" s="266" t="s">
        <v>900</v>
      </c>
      <c r="AC176" s="265">
        <v>91502.458424757831</v>
      </c>
      <c r="AD176" s="265">
        <v>18894.507725320942</v>
      </c>
      <c r="AE176" s="265">
        <v>49592.053577416489</v>
      </c>
      <c r="AF176" s="266">
        <v>42782.288546432617</v>
      </c>
      <c r="AG176" s="265">
        <v>91502.458424757831</v>
      </c>
      <c r="AH176" s="265">
        <v>18894.507725320942</v>
      </c>
      <c r="AI176" s="265">
        <v>49592.053577416489</v>
      </c>
      <c r="AJ176" s="266">
        <v>42782.288546432617</v>
      </c>
      <c r="AK176" s="265">
        <v>91511.963527779822</v>
      </c>
      <c r="AL176" s="265">
        <v>20869.092556756194</v>
      </c>
      <c r="AM176" s="265">
        <v>49597.205106527719</v>
      </c>
      <c r="AN176" s="265">
        <v>42786.73268997969</v>
      </c>
      <c r="AO176" s="266">
        <v>204764.99388104343</v>
      </c>
      <c r="AP176" s="203"/>
      <c r="AQ176" s="264">
        <v>97035.96239132293</v>
      </c>
      <c r="AR176" s="265">
        <v>20206.441892444796</v>
      </c>
      <c r="AS176" s="265">
        <v>49684.000327941794</v>
      </c>
      <c r="AT176" s="265">
        <v>47870.192313628169</v>
      </c>
      <c r="AU176" s="266">
        <v>214796.59692533768</v>
      </c>
      <c r="AV176" s="203"/>
      <c r="AW176" s="324">
        <v>223482.60133659342</v>
      </c>
      <c r="AX176" s="203"/>
      <c r="AY176" s="377">
        <v>0</v>
      </c>
      <c r="AZ176" s="265">
        <v>0</v>
      </c>
      <c r="BA176" s="265">
        <v>214796.59692533768</v>
      </c>
      <c r="BB176" s="265">
        <v>2102.4030188225479</v>
      </c>
      <c r="BC176" s="266">
        <v>212694.19390651514</v>
      </c>
      <c r="BD176" s="264">
        <v>2126.9419390651515</v>
      </c>
      <c r="BE176" s="265">
        <v>210567.25196744999</v>
      </c>
      <c r="BF176" s="357">
        <v>0.94220870308516202</v>
      </c>
      <c r="BG176" s="203"/>
      <c r="BJ176" s="458">
        <v>0.94220870308516202</v>
      </c>
      <c r="BK176" s="210"/>
      <c r="BL176" s="458"/>
      <c r="BM176" s="458"/>
      <c r="BN176" s="458"/>
      <c r="BQ176" s="203">
        <v>210065.06103080959</v>
      </c>
      <c r="BR176" s="458">
        <v>0.93996158884165082</v>
      </c>
      <c r="BT176" s="459" t="s">
        <v>900</v>
      </c>
      <c r="BU176" s="460" t="s">
        <v>900</v>
      </c>
      <c r="BV176" s="461">
        <v>210567.25196744999</v>
      </c>
      <c r="BX176" s="462">
        <v>12134.160595984606</v>
      </c>
      <c r="BY176" s="463">
        <v>6.024183275445575E-2</v>
      </c>
      <c r="BZ176" s="461">
        <v>62.31323687663356</v>
      </c>
      <c r="CB176" s="203">
        <v>11857</v>
      </c>
      <c r="CC176" s="203">
        <v>15349.377242114708</v>
      </c>
      <c r="CD176" s="203" t="e">
        <v>#VALUE!</v>
      </c>
      <c r="CE176" s="203" t="s">
        <v>900</v>
      </c>
      <c r="CF176" s="203" t="e">
        <v>#VALUE!</v>
      </c>
      <c r="CH176" s="199"/>
      <c r="CJ176" s="464" t="s">
        <v>1448</v>
      </c>
      <c r="CK176" s="464" t="s">
        <v>1447</v>
      </c>
      <c r="CL176" s="464" t="s">
        <v>1448</v>
      </c>
      <c r="CN176" s="464" t="s">
        <v>1447</v>
      </c>
      <c r="CO176" s="464" t="s">
        <v>1447</v>
      </c>
      <c r="CP176" s="464" t="s">
        <v>1447</v>
      </c>
      <c r="CQ176" s="464" t="s">
        <v>1447</v>
      </c>
      <c r="CS176" s="465">
        <v>0</v>
      </c>
      <c r="CT176" s="466">
        <v>0</v>
      </c>
      <c r="CU176" s="466">
        <v>0.95</v>
      </c>
      <c r="CV176" s="467">
        <v>0.95</v>
      </c>
    </row>
    <row r="177" spans="1:100" s="48" customFormat="1" outlineLevel="1" x14ac:dyDescent="0.3">
      <c r="A177" s="202">
        <v>78501000</v>
      </c>
      <c r="B177" s="48">
        <v>400418</v>
      </c>
      <c r="C177" s="48">
        <v>85875</v>
      </c>
      <c r="D177" s="48" t="s">
        <v>1528</v>
      </c>
      <c r="E177" s="48" t="s">
        <v>7</v>
      </c>
      <c r="F177" s="48" t="s">
        <v>1498</v>
      </c>
      <c r="G177" s="48" t="s">
        <v>1499</v>
      </c>
      <c r="H177" s="48" t="s">
        <v>1527</v>
      </c>
      <c r="O177" s="454" t="s">
        <v>900</v>
      </c>
      <c r="P177" s="455" t="s">
        <v>900</v>
      </c>
      <c r="Q177" s="347" t="s">
        <v>900</v>
      </c>
      <c r="R177" s="455">
        <v>253</v>
      </c>
      <c r="S177" s="457">
        <v>163</v>
      </c>
      <c r="T177" s="455"/>
      <c r="U177" s="454">
        <v>253</v>
      </c>
      <c r="V177" s="455">
        <v>83.528260070177581</v>
      </c>
      <c r="W177" s="230">
        <v>0.33015122557382443</v>
      </c>
      <c r="X177" s="264" t="s">
        <v>900</v>
      </c>
      <c r="Y177" s="265" t="s">
        <v>900</v>
      </c>
      <c r="Z177" s="265" t="s">
        <v>900</v>
      </c>
      <c r="AA177" s="265" t="s">
        <v>900</v>
      </c>
      <c r="AB177" s="266" t="s">
        <v>900</v>
      </c>
      <c r="AC177" s="265">
        <v>39249.738745356648</v>
      </c>
      <c r="AD177" s="265">
        <v>8104.7493663876676</v>
      </c>
      <c r="AE177" s="265">
        <v>21272.380876628653</v>
      </c>
      <c r="AF177" s="266">
        <v>18351.350087022412</v>
      </c>
      <c r="AG177" s="265">
        <v>39249.738745356648</v>
      </c>
      <c r="AH177" s="265">
        <v>8104.7493663876676</v>
      </c>
      <c r="AI177" s="265">
        <v>21272.380876628653</v>
      </c>
      <c r="AJ177" s="266">
        <v>18351.350087022412</v>
      </c>
      <c r="AK177" s="265">
        <v>39259.243848378639</v>
      </c>
      <c r="AL177" s="265">
        <v>10079.334197822918</v>
      </c>
      <c r="AM177" s="265">
        <v>21277.532405739883</v>
      </c>
      <c r="AN177" s="265">
        <v>18355.794230569485</v>
      </c>
      <c r="AO177" s="266">
        <v>88971.904682510925</v>
      </c>
      <c r="AP177" s="203"/>
      <c r="AQ177" s="264">
        <v>38662.933864317762</v>
      </c>
      <c r="AR177" s="265">
        <v>9759.2878190050869</v>
      </c>
      <c r="AS177" s="265">
        <v>20982.828364192537</v>
      </c>
      <c r="AT177" s="265">
        <v>19305.290925880432</v>
      </c>
      <c r="AU177" s="266">
        <v>88710.340973395811</v>
      </c>
      <c r="AV177" s="203"/>
      <c r="AW177" s="324">
        <v>84186.232791843388</v>
      </c>
      <c r="AX177" s="203"/>
      <c r="AY177" s="377">
        <v>0</v>
      </c>
      <c r="AZ177" s="265">
        <v>4524.108181552423</v>
      </c>
      <c r="BA177" s="265">
        <v>84186.232791843388</v>
      </c>
      <c r="BB177" s="265">
        <v>824.00462809190321</v>
      </c>
      <c r="BC177" s="266">
        <v>83362.228163751482</v>
      </c>
      <c r="BD177" s="264">
        <v>833.62228163751479</v>
      </c>
      <c r="BE177" s="265">
        <v>82528.605882113974</v>
      </c>
      <c r="BF177" s="357">
        <v>0.98031000016560887</v>
      </c>
      <c r="BG177" s="203"/>
      <c r="BJ177" s="458">
        <v>0.98031000016560887</v>
      </c>
      <c r="BK177" s="210"/>
      <c r="BL177" s="458"/>
      <c r="BM177" s="458"/>
      <c r="BN177" s="458"/>
      <c r="BQ177" s="203">
        <v>82331.779844350167</v>
      </c>
      <c r="BR177" s="458">
        <v>0.97797201649254828</v>
      </c>
      <c r="BT177" s="459" t="s">
        <v>900</v>
      </c>
      <c r="BU177" s="460" t="s">
        <v>900</v>
      </c>
      <c r="BV177" s="461">
        <v>82528.605882113974</v>
      </c>
      <c r="BX177" s="462">
        <v>-2385.0009691229934</v>
      </c>
      <c r="BY177" s="463">
        <v>-2.8064086543995281E-2</v>
      </c>
      <c r="BZ177" s="461">
        <v>-28.553222192335831</v>
      </c>
      <c r="CB177" s="203" t="s">
        <v>900</v>
      </c>
      <c r="CC177" s="203">
        <v>1582.613911825996</v>
      </c>
      <c r="CD177" s="203" t="e">
        <v>#VALUE!</v>
      </c>
      <c r="CE177" s="203" t="s">
        <v>900</v>
      </c>
      <c r="CF177" s="203" t="e">
        <v>#VALUE!</v>
      </c>
      <c r="CH177" s="199"/>
      <c r="CJ177" s="464" t="s">
        <v>1448</v>
      </c>
      <c r="CK177" s="464" t="s">
        <v>1447</v>
      </c>
      <c r="CL177" s="464" t="s">
        <v>1448</v>
      </c>
      <c r="CN177" s="464" t="s">
        <v>1447</v>
      </c>
      <c r="CO177" s="464" t="s">
        <v>1447</v>
      </c>
      <c r="CP177" s="464" t="s">
        <v>1447</v>
      </c>
      <c r="CQ177" s="464" t="s">
        <v>1447</v>
      </c>
      <c r="CS177" s="465">
        <v>0</v>
      </c>
      <c r="CT177" s="466">
        <v>0</v>
      </c>
      <c r="CU177" s="466">
        <v>0.95</v>
      </c>
      <c r="CV177" s="467">
        <v>0.95</v>
      </c>
    </row>
    <row r="178" spans="1:100" s="48" customFormat="1" outlineLevel="1" x14ac:dyDescent="0.3">
      <c r="A178" s="202">
        <v>78793000</v>
      </c>
      <c r="B178" s="48">
        <v>400274</v>
      </c>
      <c r="C178" s="48">
        <v>79053</v>
      </c>
      <c r="D178" s="48" t="s">
        <v>17</v>
      </c>
      <c r="E178" s="48" t="s">
        <v>7</v>
      </c>
      <c r="F178" s="48" t="s">
        <v>1503</v>
      </c>
      <c r="G178" s="48" t="s">
        <v>1502</v>
      </c>
      <c r="H178" s="48" t="s">
        <v>1508</v>
      </c>
      <c r="O178" s="454" t="s">
        <v>900</v>
      </c>
      <c r="P178" s="455" t="s">
        <v>900</v>
      </c>
      <c r="Q178" s="347" t="s">
        <v>900</v>
      </c>
      <c r="R178" s="455">
        <v>209</v>
      </c>
      <c r="S178" s="457">
        <v>209</v>
      </c>
      <c r="T178" s="455"/>
      <c r="U178" s="454">
        <v>209</v>
      </c>
      <c r="V178" s="455">
        <v>107.10065248262033</v>
      </c>
      <c r="W178" s="230">
        <v>0.51244331331397286</v>
      </c>
      <c r="X178" s="264" t="s">
        <v>900</v>
      </c>
      <c r="Y178" s="265" t="s">
        <v>900</v>
      </c>
      <c r="Z178" s="265" t="s">
        <v>900</v>
      </c>
      <c r="AA178" s="265" t="s">
        <v>900</v>
      </c>
      <c r="AB178" s="266" t="s">
        <v>900</v>
      </c>
      <c r="AC178" s="265">
        <v>50326.352133616805</v>
      </c>
      <c r="AD178" s="265">
        <v>10391.979248926518</v>
      </c>
      <c r="AE178" s="265">
        <v>27275.62946757907</v>
      </c>
      <c r="AF178" s="266">
        <v>23530.258700537939</v>
      </c>
      <c r="AG178" s="265">
        <v>50326.352133616805</v>
      </c>
      <c r="AH178" s="265">
        <v>10391.979248926518</v>
      </c>
      <c r="AI178" s="265">
        <v>27275.62946757907</v>
      </c>
      <c r="AJ178" s="266">
        <v>23530.258700537939</v>
      </c>
      <c r="AK178" s="265">
        <v>50335.857236638796</v>
      </c>
      <c r="AL178" s="265">
        <v>12366.56408036177</v>
      </c>
      <c r="AM178" s="265">
        <v>27280.780996690301</v>
      </c>
      <c r="AN178" s="265">
        <v>23534.702844085012</v>
      </c>
      <c r="AO178" s="266">
        <v>113517.90515777588</v>
      </c>
      <c r="AP178" s="203"/>
      <c r="AQ178" s="264">
        <v>63206.074779168019</v>
      </c>
      <c r="AR178" s="265">
        <v>13609.325261952999</v>
      </c>
      <c r="AS178" s="265">
        <v>33512.784326077912</v>
      </c>
      <c r="AT178" s="265">
        <v>32289.337011220308</v>
      </c>
      <c r="AU178" s="266">
        <v>142617.52137841925</v>
      </c>
      <c r="AV178" s="203"/>
      <c r="AW178" s="324">
        <v>140333.16400076178</v>
      </c>
      <c r="AX178" s="203"/>
      <c r="AY178" s="377">
        <v>0</v>
      </c>
      <c r="AZ178" s="265">
        <v>2284.3573776574631</v>
      </c>
      <c r="BA178" s="265">
        <v>140333.16400076178</v>
      </c>
      <c r="BB178" s="265">
        <v>1373.5639756838175</v>
      </c>
      <c r="BC178" s="266">
        <v>138959.60002507796</v>
      </c>
      <c r="BD178" s="264">
        <v>1389.5960002507798</v>
      </c>
      <c r="BE178" s="265">
        <v>137570.00402482718</v>
      </c>
      <c r="BF178" s="357">
        <v>0.98031000016560876</v>
      </c>
      <c r="BG178" s="203"/>
      <c r="BJ178" s="458">
        <v>0.98031000016560876</v>
      </c>
      <c r="BK178" s="210"/>
      <c r="BL178" s="458"/>
      <c r="BM178" s="458"/>
      <c r="BN178" s="458"/>
      <c r="BQ178" s="203">
        <v>137241.90737860446</v>
      </c>
      <c r="BR178" s="458">
        <v>0.97797201649254806</v>
      </c>
      <c r="BT178" s="459">
        <v>-2.0952069168453349</v>
      </c>
      <c r="BU178" s="460">
        <v>-2882.3762398325848</v>
      </c>
      <c r="BV178" s="461">
        <v>134687.62778499461</v>
      </c>
      <c r="BX178" s="462">
        <v>27665.890780221685</v>
      </c>
      <c r="BY178" s="463">
        <v>0.25472646106254532</v>
      </c>
      <c r="BZ178" s="461">
        <v>258.31673420207358</v>
      </c>
      <c r="CB178" s="203">
        <v>3635</v>
      </c>
      <c r="CC178" s="203">
        <v>5546.8560079460476</v>
      </c>
      <c r="CD178" s="203" t="e">
        <v>#VALUE!</v>
      </c>
      <c r="CE178" s="203" t="e">
        <v>#VALUE!</v>
      </c>
      <c r="CF178" s="203" t="e">
        <v>#VALUE!</v>
      </c>
      <c r="CH178" s="199"/>
      <c r="CJ178" s="464" t="s">
        <v>1448</v>
      </c>
      <c r="CK178" s="464" t="s">
        <v>1447</v>
      </c>
      <c r="CL178" s="464" t="s">
        <v>1448</v>
      </c>
      <c r="CN178" s="464" t="s">
        <v>1447</v>
      </c>
      <c r="CO178" s="464" t="s">
        <v>1447</v>
      </c>
      <c r="CP178" s="464" t="s">
        <v>1447</v>
      </c>
      <c r="CQ178" s="464" t="s">
        <v>1447</v>
      </c>
      <c r="CS178" s="465">
        <v>0</v>
      </c>
      <c r="CT178" s="466">
        <v>0</v>
      </c>
      <c r="CU178" s="466">
        <v>0.95</v>
      </c>
      <c r="CV178" s="467">
        <v>0.95</v>
      </c>
    </row>
    <row r="179" spans="1:100" s="48" customFormat="1" outlineLevel="1" x14ac:dyDescent="0.3">
      <c r="A179" s="202">
        <v>78967000</v>
      </c>
      <c r="B179" s="48">
        <v>400396</v>
      </c>
      <c r="C179" s="48">
        <v>79969</v>
      </c>
      <c r="D179" s="48" t="s">
        <v>23</v>
      </c>
      <c r="E179" s="48" t="s">
        <v>7</v>
      </c>
      <c r="F179" s="48" t="s">
        <v>1498</v>
      </c>
      <c r="G179" s="48" t="s">
        <v>1502</v>
      </c>
      <c r="H179" s="48" t="s">
        <v>1523</v>
      </c>
      <c r="O179" s="454" t="s">
        <v>900</v>
      </c>
      <c r="P179" s="455" t="s">
        <v>900</v>
      </c>
      <c r="Q179" s="347" t="s">
        <v>900</v>
      </c>
      <c r="R179" s="455">
        <v>110</v>
      </c>
      <c r="S179" s="457">
        <v>86</v>
      </c>
      <c r="T179" s="455"/>
      <c r="U179" s="454">
        <v>110</v>
      </c>
      <c r="V179" s="455">
        <v>44.070124945001666</v>
      </c>
      <c r="W179" s="230">
        <v>0.40063749950001515</v>
      </c>
      <c r="X179" s="264" t="s">
        <v>900</v>
      </c>
      <c r="Y179" s="265" t="s">
        <v>900</v>
      </c>
      <c r="Z179" s="265" t="s">
        <v>900</v>
      </c>
      <c r="AA179" s="265" t="s">
        <v>900</v>
      </c>
      <c r="AB179" s="266" t="s">
        <v>900</v>
      </c>
      <c r="AC179" s="265">
        <v>20708.451117182034</v>
      </c>
      <c r="AD179" s="265">
        <v>4276.1254325726341</v>
      </c>
      <c r="AE179" s="265">
        <v>11223.464756994257</v>
      </c>
      <c r="AF179" s="266">
        <v>9682.307407876855</v>
      </c>
      <c r="AG179" s="265">
        <v>20708.451117182034</v>
      </c>
      <c r="AH179" s="265">
        <v>4276.1254325726341</v>
      </c>
      <c r="AI179" s="265">
        <v>11223.464756994257</v>
      </c>
      <c r="AJ179" s="266">
        <v>9682.307407876855</v>
      </c>
      <c r="AK179" s="265">
        <v>20717.956220204025</v>
      </c>
      <c r="AL179" s="265">
        <v>6250.7102640078856</v>
      </c>
      <c r="AM179" s="265">
        <v>11228.616286105487</v>
      </c>
      <c r="AN179" s="265">
        <v>9686.7515514239276</v>
      </c>
      <c r="AO179" s="266">
        <v>47884.034321741325</v>
      </c>
      <c r="AP179" s="203"/>
      <c r="AQ179" s="264">
        <v>22056.119896283537</v>
      </c>
      <c r="AR179" s="265">
        <v>6052.2331477845482</v>
      </c>
      <c r="AS179" s="265">
        <v>11694.477021975836</v>
      </c>
      <c r="AT179" s="265">
        <v>11267.548111146214</v>
      </c>
      <c r="AU179" s="266">
        <v>51070.378177190134</v>
      </c>
      <c r="AV179" s="203"/>
      <c r="AW179" s="324">
        <v>49839.041122364513</v>
      </c>
      <c r="AX179" s="203"/>
      <c r="AY179" s="377">
        <v>0</v>
      </c>
      <c r="AZ179" s="265">
        <v>1231.3370548256207</v>
      </c>
      <c r="BA179" s="265">
        <v>49839.041122364513</v>
      </c>
      <c r="BB179" s="265">
        <v>487.81848507265659</v>
      </c>
      <c r="BC179" s="266">
        <v>49351.222637291859</v>
      </c>
      <c r="BD179" s="264">
        <v>493.51222637291863</v>
      </c>
      <c r="BE179" s="265">
        <v>48857.710410918939</v>
      </c>
      <c r="BF179" s="357">
        <v>0.98031000016560876</v>
      </c>
      <c r="BG179" s="203"/>
      <c r="BJ179" s="458">
        <v>0.98031000016560876</v>
      </c>
      <c r="BK179" s="210"/>
      <c r="BL179" s="458"/>
      <c r="BM179" s="458"/>
      <c r="BN179" s="458"/>
      <c r="BQ179" s="203">
        <v>48741.187546493857</v>
      </c>
      <c r="BR179" s="458">
        <v>0.97797201649254817</v>
      </c>
      <c r="BT179" s="459" t="s">
        <v>900</v>
      </c>
      <c r="BU179" s="460" t="s">
        <v>900</v>
      </c>
      <c r="BV179" s="461">
        <v>48857.710410918939</v>
      </c>
      <c r="BX179" s="462">
        <v>3650.2679975201536</v>
      </c>
      <c r="BY179" s="463">
        <v>7.9621159938574909E-2</v>
      </c>
      <c r="BZ179" s="461">
        <v>82.828628284480473</v>
      </c>
      <c r="CB179" s="203" t="s">
        <v>900</v>
      </c>
      <c r="CC179" s="203">
        <v>811.10984477068928</v>
      </c>
      <c r="CD179" s="203" t="e">
        <v>#VALUE!</v>
      </c>
      <c r="CE179" s="203" t="s">
        <v>900</v>
      </c>
      <c r="CF179" s="203" t="e">
        <v>#VALUE!</v>
      </c>
      <c r="CH179" s="199"/>
      <c r="CJ179" s="464" t="s">
        <v>1448</v>
      </c>
      <c r="CK179" s="464" t="s">
        <v>1447</v>
      </c>
      <c r="CL179" s="464" t="s">
        <v>1448</v>
      </c>
      <c r="CN179" s="464" t="s">
        <v>1447</v>
      </c>
      <c r="CO179" s="464" t="s">
        <v>1447</v>
      </c>
      <c r="CP179" s="464" t="s">
        <v>1447</v>
      </c>
      <c r="CQ179" s="464" t="s">
        <v>1447</v>
      </c>
      <c r="CS179" s="465">
        <v>0</v>
      </c>
      <c r="CT179" s="466">
        <v>0</v>
      </c>
      <c r="CU179" s="466">
        <v>0.95</v>
      </c>
      <c r="CV179" s="467">
        <v>0.95</v>
      </c>
    </row>
    <row r="180" spans="1:100" s="48" customFormat="1" outlineLevel="1" x14ac:dyDescent="0.3">
      <c r="A180" s="202">
        <v>78950000</v>
      </c>
      <c r="B180" s="48">
        <v>400385</v>
      </c>
      <c r="C180" s="48">
        <v>79874</v>
      </c>
      <c r="D180" s="48" t="s">
        <v>27</v>
      </c>
      <c r="E180" s="48" t="s">
        <v>7</v>
      </c>
      <c r="F180" s="48" t="s">
        <v>1501</v>
      </c>
      <c r="G180" s="48" t="s">
        <v>1502</v>
      </c>
      <c r="H180" s="48" t="s">
        <v>1529</v>
      </c>
      <c r="O180" s="454" t="s">
        <v>900</v>
      </c>
      <c r="P180" s="455" t="s">
        <v>900</v>
      </c>
      <c r="Q180" s="347" t="s">
        <v>900</v>
      </c>
      <c r="R180" s="455">
        <v>154</v>
      </c>
      <c r="S180" s="457">
        <v>117</v>
      </c>
      <c r="T180" s="455"/>
      <c r="U180" s="454">
        <v>154</v>
      </c>
      <c r="V180" s="455">
        <v>59.955867657734828</v>
      </c>
      <c r="W180" s="230">
        <v>0.38932381595931709</v>
      </c>
      <c r="X180" s="264" t="s">
        <v>900</v>
      </c>
      <c r="Y180" s="265" t="s">
        <v>900</v>
      </c>
      <c r="Z180" s="265" t="s">
        <v>900</v>
      </c>
      <c r="AA180" s="265" t="s">
        <v>900</v>
      </c>
      <c r="AB180" s="266" t="s">
        <v>900</v>
      </c>
      <c r="AC180" s="265">
        <v>28173.125357096487</v>
      </c>
      <c r="AD180" s="265">
        <v>5817.5194838488169</v>
      </c>
      <c r="AE180" s="265">
        <v>15269.132285678235</v>
      </c>
      <c r="AF180" s="266">
        <v>13172.441473506884</v>
      </c>
      <c r="AG180" s="265">
        <v>28173.125357096487</v>
      </c>
      <c r="AH180" s="265">
        <v>5817.5194838488169</v>
      </c>
      <c r="AI180" s="265">
        <v>15269.132285678235</v>
      </c>
      <c r="AJ180" s="266">
        <v>13172.441473506884</v>
      </c>
      <c r="AK180" s="265">
        <v>28182.630460118478</v>
      </c>
      <c r="AL180" s="265">
        <v>7792.1043152840684</v>
      </c>
      <c r="AM180" s="265">
        <v>15274.283814789465</v>
      </c>
      <c r="AN180" s="265">
        <v>13176.885617053957</v>
      </c>
      <c r="AO180" s="266">
        <v>64425.904207245971</v>
      </c>
      <c r="AP180" s="203"/>
      <c r="AQ180" s="264">
        <v>41689.52458293875</v>
      </c>
      <c r="AR180" s="265">
        <v>8325.8807031168617</v>
      </c>
      <c r="AS180" s="265">
        <v>20914.864084341807</v>
      </c>
      <c r="AT180" s="265">
        <v>19627.022181541179</v>
      </c>
      <c r="AU180" s="266">
        <v>90557.291551938601</v>
      </c>
      <c r="AV180" s="203"/>
      <c r="AW180" s="324">
        <v>107684.26751517199</v>
      </c>
      <c r="AX180" s="203"/>
      <c r="AY180" s="377">
        <v>0</v>
      </c>
      <c r="AZ180" s="265">
        <v>0</v>
      </c>
      <c r="BA180" s="265">
        <v>90557.291551938601</v>
      </c>
      <c r="BB180" s="265">
        <v>886.36377792040776</v>
      </c>
      <c r="BC180" s="266">
        <v>89670.927774018186</v>
      </c>
      <c r="BD180" s="264">
        <v>896.70927774018185</v>
      </c>
      <c r="BE180" s="265">
        <v>88774.218496278001</v>
      </c>
      <c r="BF180" s="357">
        <v>0.82439357711905603</v>
      </c>
      <c r="BG180" s="203"/>
      <c r="BJ180" s="458">
        <v>0.82439357711905603</v>
      </c>
      <c r="BK180" s="210"/>
      <c r="BL180" s="458"/>
      <c r="BM180" s="458"/>
      <c r="BN180" s="458"/>
      <c r="BQ180" s="203">
        <v>88562.497027152989</v>
      </c>
      <c r="BR180" s="458">
        <v>0.82242744525958844</v>
      </c>
      <c r="BT180" s="459" t="s">
        <v>900</v>
      </c>
      <c r="BU180" s="460" t="s">
        <v>900</v>
      </c>
      <c r="BV180" s="461">
        <v>88774.218496278001</v>
      </c>
      <c r="BX180" s="462">
        <v>27410.330104307577</v>
      </c>
      <c r="BY180" s="463">
        <v>0.44032652478942741</v>
      </c>
      <c r="BZ180" s="461">
        <v>457.17510520876277</v>
      </c>
      <c r="CB180" s="203" t="s">
        <v>900</v>
      </c>
      <c r="CC180" s="203">
        <v>1107.9103434290109</v>
      </c>
      <c r="CD180" s="203" t="e">
        <v>#VALUE!</v>
      </c>
      <c r="CE180" s="203" t="s">
        <v>900</v>
      </c>
      <c r="CF180" s="203" t="e">
        <v>#VALUE!</v>
      </c>
      <c r="CH180" s="199"/>
      <c r="CJ180" s="464" t="s">
        <v>1448</v>
      </c>
      <c r="CK180" s="464" t="s">
        <v>1447</v>
      </c>
      <c r="CL180" s="464" t="s">
        <v>1448</v>
      </c>
      <c r="CN180" s="464" t="s">
        <v>1447</v>
      </c>
      <c r="CO180" s="464" t="s">
        <v>1447</v>
      </c>
      <c r="CP180" s="464" t="s">
        <v>1447</v>
      </c>
      <c r="CQ180" s="464" t="s">
        <v>1447</v>
      </c>
      <c r="CS180" s="465">
        <v>0</v>
      </c>
      <c r="CT180" s="466">
        <v>0</v>
      </c>
      <c r="CU180" s="466">
        <v>0.95</v>
      </c>
      <c r="CV180" s="467">
        <v>0.95</v>
      </c>
    </row>
    <row r="181" spans="1:100" s="48" customFormat="1" outlineLevel="1" x14ac:dyDescent="0.3">
      <c r="A181" s="202">
        <v>78947000</v>
      </c>
      <c r="B181" s="48">
        <v>400384</v>
      </c>
      <c r="C181" s="48">
        <v>79872</v>
      </c>
      <c r="D181" s="48" t="s">
        <v>28</v>
      </c>
      <c r="E181" s="48" t="s">
        <v>7</v>
      </c>
      <c r="F181" s="48" t="s">
        <v>1501</v>
      </c>
      <c r="G181" s="48" t="s">
        <v>1502</v>
      </c>
      <c r="H181" s="48" t="s">
        <v>1529</v>
      </c>
      <c r="O181" s="454" t="s">
        <v>900</v>
      </c>
      <c r="P181" s="455" t="s">
        <v>900</v>
      </c>
      <c r="Q181" s="347" t="s">
        <v>900</v>
      </c>
      <c r="R181" s="455">
        <v>157</v>
      </c>
      <c r="S181" s="457">
        <v>78</v>
      </c>
      <c r="T181" s="455"/>
      <c r="U181" s="454">
        <v>157</v>
      </c>
      <c r="V181" s="455">
        <v>39.970578438489881</v>
      </c>
      <c r="W181" s="230">
        <v>0.2545896715827381</v>
      </c>
      <c r="X181" s="264" t="s">
        <v>900</v>
      </c>
      <c r="Y181" s="265" t="s">
        <v>900</v>
      </c>
      <c r="Z181" s="265" t="s">
        <v>900</v>
      </c>
      <c r="AA181" s="265" t="s">
        <v>900</v>
      </c>
      <c r="AB181" s="266" t="s">
        <v>900</v>
      </c>
      <c r="AC181" s="265">
        <v>18782.083571397656</v>
      </c>
      <c r="AD181" s="265">
        <v>3878.3463225658775</v>
      </c>
      <c r="AE181" s="265">
        <v>10179.42152378549</v>
      </c>
      <c r="AF181" s="266">
        <v>8781.6276490045875</v>
      </c>
      <c r="AG181" s="265">
        <v>18782.083571397656</v>
      </c>
      <c r="AH181" s="265">
        <v>3878.3463225658775</v>
      </c>
      <c r="AI181" s="265">
        <v>10179.42152378549</v>
      </c>
      <c r="AJ181" s="266">
        <v>8781.6276490045875</v>
      </c>
      <c r="AK181" s="265">
        <v>18791.588674419647</v>
      </c>
      <c r="AL181" s="265">
        <v>5852.9311540011286</v>
      </c>
      <c r="AM181" s="265">
        <v>10184.57305289672</v>
      </c>
      <c r="AN181" s="265">
        <v>8786.0717925516601</v>
      </c>
      <c r="AO181" s="266">
        <v>43615.164673869156</v>
      </c>
      <c r="AP181" s="203"/>
      <c r="AQ181" s="264">
        <v>29335.729933612376</v>
      </c>
      <c r="AR181" s="265">
        <v>5969.7315050575544</v>
      </c>
      <c r="AS181" s="265">
        <v>14717.193599937436</v>
      </c>
      <c r="AT181" s="265">
        <v>13810.975967673769</v>
      </c>
      <c r="AU181" s="266">
        <v>63833.631006281132</v>
      </c>
      <c r="AV181" s="203"/>
      <c r="AW181" s="324">
        <v>90227.438735851072</v>
      </c>
      <c r="AX181" s="203"/>
      <c r="AY181" s="377">
        <v>0</v>
      </c>
      <c r="AZ181" s="265">
        <v>0</v>
      </c>
      <c r="BA181" s="265">
        <v>63833.631006281132</v>
      </c>
      <c r="BB181" s="265">
        <v>624.79583220146992</v>
      </c>
      <c r="BC181" s="266">
        <v>63208.835174079664</v>
      </c>
      <c r="BD181" s="264">
        <v>632.08835174079661</v>
      </c>
      <c r="BE181" s="265">
        <v>62576.746822338864</v>
      </c>
      <c r="BF181" s="357">
        <v>0.69354453256218329</v>
      </c>
      <c r="BG181" s="203"/>
      <c r="BJ181" s="458">
        <v>0.69354453256218329</v>
      </c>
      <c r="BK181" s="210"/>
      <c r="BL181" s="458"/>
      <c r="BM181" s="458"/>
      <c r="BN181" s="458"/>
      <c r="BQ181" s="203">
        <v>62427.504835254003</v>
      </c>
      <c r="BR181" s="458">
        <v>0.69189046824232847</v>
      </c>
      <c r="BT181" s="459" t="s">
        <v>900</v>
      </c>
      <c r="BU181" s="460" t="s">
        <v>900</v>
      </c>
      <c r="BV181" s="461">
        <v>62576.746822338864</v>
      </c>
      <c r="BX181" s="462">
        <v>21538.70982276502</v>
      </c>
      <c r="BY181" s="463">
        <v>0.51760792781821863</v>
      </c>
      <c r="BZ181" s="461">
        <v>538.86410115156616</v>
      </c>
      <c r="CB181" s="203" t="s">
        <v>900</v>
      </c>
      <c r="CC181" s="203">
        <v>793.87547366395631</v>
      </c>
      <c r="CD181" s="203" t="e">
        <v>#VALUE!</v>
      </c>
      <c r="CE181" s="203" t="s">
        <v>900</v>
      </c>
      <c r="CF181" s="203" t="e">
        <v>#VALUE!</v>
      </c>
      <c r="CH181" s="199"/>
      <c r="CJ181" s="464" t="s">
        <v>1448</v>
      </c>
      <c r="CK181" s="464" t="s">
        <v>1447</v>
      </c>
      <c r="CL181" s="464" t="s">
        <v>1448</v>
      </c>
      <c r="CN181" s="464" t="s">
        <v>1447</v>
      </c>
      <c r="CO181" s="464" t="s">
        <v>1447</v>
      </c>
      <c r="CP181" s="464" t="s">
        <v>1447</v>
      </c>
      <c r="CQ181" s="464" t="s">
        <v>1447</v>
      </c>
      <c r="CS181" s="465">
        <v>0</v>
      </c>
      <c r="CT181" s="466">
        <v>0.9</v>
      </c>
      <c r="CU181" s="466">
        <v>0</v>
      </c>
      <c r="CV181" s="467">
        <v>0.9</v>
      </c>
    </row>
    <row r="182" spans="1:100" s="48" customFormat="1" outlineLevel="1" x14ac:dyDescent="0.3">
      <c r="A182" s="202">
        <v>78948000</v>
      </c>
      <c r="B182" s="48">
        <v>400352</v>
      </c>
      <c r="C182" s="48">
        <v>79873</v>
      </c>
      <c r="D182" s="48" t="s">
        <v>29</v>
      </c>
      <c r="E182" s="48" t="s">
        <v>7</v>
      </c>
      <c r="F182" s="48" t="s">
        <v>1498</v>
      </c>
      <c r="G182" s="48" t="s">
        <v>1502</v>
      </c>
      <c r="H182" s="48" t="s">
        <v>1529</v>
      </c>
      <c r="O182" s="454" t="s">
        <v>900</v>
      </c>
      <c r="P182" s="455" t="s">
        <v>900</v>
      </c>
      <c r="Q182" s="347" t="s">
        <v>900</v>
      </c>
      <c r="R182" s="455">
        <v>159</v>
      </c>
      <c r="S182" s="457">
        <v>147</v>
      </c>
      <c r="T182" s="455"/>
      <c r="U182" s="454">
        <v>159</v>
      </c>
      <c r="V182" s="455">
        <v>75.32916705715401</v>
      </c>
      <c r="W182" s="230">
        <v>0.47376834627140885</v>
      </c>
      <c r="X182" s="264" t="s">
        <v>900</v>
      </c>
      <c r="Y182" s="265" t="s">
        <v>900</v>
      </c>
      <c r="Z182" s="265" t="s">
        <v>900</v>
      </c>
      <c r="AA182" s="265" t="s">
        <v>900</v>
      </c>
      <c r="AB182" s="266" t="s">
        <v>900</v>
      </c>
      <c r="AC182" s="265">
        <v>35397.003653787891</v>
      </c>
      <c r="AD182" s="265">
        <v>7309.1911463741535</v>
      </c>
      <c r="AE182" s="265">
        <v>19184.294410211114</v>
      </c>
      <c r="AF182" s="266">
        <v>16549.990569277878</v>
      </c>
      <c r="AG182" s="265">
        <v>35397.003653787891</v>
      </c>
      <c r="AH182" s="265">
        <v>7309.1911463741535</v>
      </c>
      <c r="AI182" s="265">
        <v>19184.294410211114</v>
      </c>
      <c r="AJ182" s="266">
        <v>16549.990569277878</v>
      </c>
      <c r="AK182" s="265">
        <v>35406.508756809882</v>
      </c>
      <c r="AL182" s="265">
        <v>9283.7759778094041</v>
      </c>
      <c r="AM182" s="265">
        <v>19189.445939322344</v>
      </c>
      <c r="AN182" s="265">
        <v>16554.43471282495</v>
      </c>
      <c r="AO182" s="266">
        <v>80434.165386766574</v>
      </c>
      <c r="AP182" s="203"/>
      <c r="AQ182" s="264">
        <v>58700.767372528688</v>
      </c>
      <c r="AR182" s="265">
        <v>11228.782748043279</v>
      </c>
      <c r="AS182" s="265">
        <v>29449.090233699681</v>
      </c>
      <c r="AT182" s="265">
        <v>27635.749623434425</v>
      </c>
      <c r="AU182" s="266">
        <v>127014.38997770607</v>
      </c>
      <c r="AV182" s="203"/>
      <c r="AW182" s="324">
        <v>153132.0529135023</v>
      </c>
      <c r="AX182" s="203"/>
      <c r="AY182" s="377">
        <v>0</v>
      </c>
      <c r="AZ182" s="265">
        <v>0</v>
      </c>
      <c r="BA182" s="265">
        <v>127014.38997770607</v>
      </c>
      <c r="BB182" s="265">
        <v>1243.2014321709851</v>
      </c>
      <c r="BC182" s="266">
        <v>125771.18854553509</v>
      </c>
      <c r="BD182" s="264">
        <v>1257.711885455351</v>
      </c>
      <c r="BE182" s="265">
        <v>124513.47666007973</v>
      </c>
      <c r="BF182" s="357">
        <v>0.81311178352981417</v>
      </c>
      <c r="BG182" s="203"/>
      <c r="BJ182" s="458">
        <v>0.81311178352981417</v>
      </c>
      <c r="BK182" s="210"/>
      <c r="BL182" s="458"/>
      <c r="BM182" s="458"/>
      <c r="BN182" s="458"/>
      <c r="BQ182" s="203">
        <v>124216.5190900681</v>
      </c>
      <c r="BR182" s="458">
        <v>0.81117255810730016</v>
      </c>
      <c r="BT182" s="459" t="s">
        <v>900</v>
      </c>
      <c r="BU182" s="460" t="s">
        <v>900</v>
      </c>
      <c r="BV182" s="461">
        <v>124513.47666007973</v>
      </c>
      <c r="BX182" s="462">
        <v>47514.317966265779</v>
      </c>
      <c r="BY182" s="463">
        <v>0.60818025373339835</v>
      </c>
      <c r="BZ182" s="461">
        <v>630.7559186233342</v>
      </c>
      <c r="CB182" s="203" t="s">
        <v>900</v>
      </c>
      <c r="CC182" s="203">
        <v>1356.9091081575402</v>
      </c>
      <c r="CD182" s="203" t="e">
        <v>#VALUE!</v>
      </c>
      <c r="CE182" s="203" t="s">
        <v>900</v>
      </c>
      <c r="CF182" s="203" t="e">
        <v>#VALUE!</v>
      </c>
      <c r="CH182" s="199"/>
      <c r="CJ182" s="464" t="s">
        <v>1448</v>
      </c>
      <c r="CK182" s="464" t="s">
        <v>1447</v>
      </c>
      <c r="CL182" s="464" t="s">
        <v>1448</v>
      </c>
      <c r="CN182" s="464" t="s">
        <v>1447</v>
      </c>
      <c r="CO182" s="464" t="s">
        <v>1447</v>
      </c>
      <c r="CP182" s="464" t="s">
        <v>1447</v>
      </c>
      <c r="CQ182" s="464" t="s">
        <v>1447</v>
      </c>
      <c r="CS182" s="465">
        <v>0</v>
      </c>
      <c r="CT182" s="466">
        <v>0</v>
      </c>
      <c r="CU182" s="466">
        <v>0.95</v>
      </c>
      <c r="CV182" s="467">
        <v>0.95</v>
      </c>
    </row>
    <row r="183" spans="1:100" s="48" customFormat="1" outlineLevel="1" x14ac:dyDescent="0.3">
      <c r="A183" s="202">
        <v>78951000</v>
      </c>
      <c r="B183" s="48">
        <v>400353</v>
      </c>
      <c r="C183" s="48">
        <v>79875</v>
      </c>
      <c r="D183" s="48" t="s">
        <v>30</v>
      </c>
      <c r="E183" s="48" t="s">
        <v>7</v>
      </c>
      <c r="F183" s="48" t="s">
        <v>1501</v>
      </c>
      <c r="G183" s="48" t="s">
        <v>1502</v>
      </c>
      <c r="H183" s="48" t="s">
        <v>1529</v>
      </c>
      <c r="O183" s="454" t="s">
        <v>900</v>
      </c>
      <c r="P183" s="455" t="s">
        <v>900</v>
      </c>
      <c r="Q183" s="347" t="s">
        <v>900</v>
      </c>
      <c r="R183" s="455">
        <v>297</v>
      </c>
      <c r="S183" s="457">
        <v>285</v>
      </c>
      <c r="T183" s="455"/>
      <c r="U183" s="454">
        <v>297</v>
      </c>
      <c r="V183" s="455">
        <v>146.04634429448225</v>
      </c>
      <c r="W183" s="230">
        <v>0.4917385329780547</v>
      </c>
      <c r="X183" s="264" t="s">
        <v>900</v>
      </c>
      <c r="Y183" s="265" t="s">
        <v>900</v>
      </c>
      <c r="Z183" s="265" t="s">
        <v>900</v>
      </c>
      <c r="AA183" s="265" t="s">
        <v>900</v>
      </c>
      <c r="AB183" s="266" t="s">
        <v>900</v>
      </c>
      <c r="AC183" s="265">
        <v>68626.843818568363</v>
      </c>
      <c r="AD183" s="265">
        <v>14170.880793990706</v>
      </c>
      <c r="AE183" s="265">
        <v>37194.04018306236</v>
      </c>
      <c r="AF183" s="266">
        <v>32086.716409824458</v>
      </c>
      <c r="AG183" s="265">
        <v>68626.843818568363</v>
      </c>
      <c r="AH183" s="265">
        <v>14170.880793990706</v>
      </c>
      <c r="AI183" s="265">
        <v>37194.04018306236</v>
      </c>
      <c r="AJ183" s="266">
        <v>32086.716409824458</v>
      </c>
      <c r="AK183" s="265">
        <v>68636.348921590354</v>
      </c>
      <c r="AL183" s="265">
        <v>16145.465625425957</v>
      </c>
      <c r="AM183" s="265">
        <v>37199.19171217359</v>
      </c>
      <c r="AN183" s="265">
        <v>32091.16055337153</v>
      </c>
      <c r="AO183" s="266">
        <v>154072.16681256142</v>
      </c>
      <c r="AP183" s="203"/>
      <c r="AQ183" s="264">
        <v>72404.299988283368</v>
      </c>
      <c r="AR183" s="265">
        <v>15632.803012367503</v>
      </c>
      <c r="AS183" s="265">
        <v>38389.817723465443</v>
      </c>
      <c r="AT183" s="265">
        <v>36988.325118295703</v>
      </c>
      <c r="AU183" s="266">
        <v>163415.245842412</v>
      </c>
      <c r="AV183" s="203"/>
      <c r="AW183" s="324">
        <v>189903.00577160847</v>
      </c>
      <c r="AX183" s="203"/>
      <c r="AY183" s="377">
        <v>0</v>
      </c>
      <c r="AZ183" s="265">
        <v>0</v>
      </c>
      <c r="BA183" s="265">
        <v>163415.245842412</v>
      </c>
      <c r="BB183" s="265">
        <v>1599.4885910605806</v>
      </c>
      <c r="BC183" s="266">
        <v>161815.75725135143</v>
      </c>
      <c r="BD183" s="264">
        <v>1618.1575725135144</v>
      </c>
      <c r="BE183" s="265">
        <v>160197.59967883793</v>
      </c>
      <c r="BF183" s="357">
        <v>0.84357590354048173</v>
      </c>
      <c r="BG183" s="203"/>
      <c r="BJ183" s="458">
        <v>0.84357590354048173</v>
      </c>
      <c r="BK183" s="210"/>
      <c r="BL183" s="458"/>
      <c r="BM183" s="458"/>
      <c r="BN183" s="458"/>
      <c r="BQ183" s="203">
        <v>159815.53750212918</v>
      </c>
      <c r="BR183" s="458">
        <v>0.84156402292197141</v>
      </c>
      <c r="BT183" s="459" t="s">
        <v>900</v>
      </c>
      <c r="BU183" s="460" t="s">
        <v>900</v>
      </c>
      <c r="BV183" s="461">
        <v>160197.59967883793</v>
      </c>
      <c r="BX183" s="462">
        <v>11276.19759654373</v>
      </c>
      <c r="BY183" s="463">
        <v>7.4601646025939536E-2</v>
      </c>
      <c r="BZ183" s="461">
        <v>77.20972168811592</v>
      </c>
      <c r="CB183" s="203" t="s">
        <v>900</v>
      </c>
      <c r="CC183" s="203">
        <v>2619.2829315860304</v>
      </c>
      <c r="CD183" s="203" t="e">
        <v>#VALUE!</v>
      </c>
      <c r="CE183" s="203" t="s">
        <v>900</v>
      </c>
      <c r="CF183" s="203" t="e">
        <v>#VALUE!</v>
      </c>
      <c r="CH183" s="199"/>
      <c r="CJ183" s="464" t="s">
        <v>1448</v>
      </c>
      <c r="CK183" s="464" t="s">
        <v>1447</v>
      </c>
      <c r="CL183" s="464" t="s">
        <v>1448</v>
      </c>
      <c r="CN183" s="464" t="s">
        <v>1447</v>
      </c>
      <c r="CO183" s="464" t="s">
        <v>1447</v>
      </c>
      <c r="CP183" s="464" t="s">
        <v>1447</v>
      </c>
      <c r="CQ183" s="464" t="s">
        <v>1447</v>
      </c>
      <c r="CS183" s="465">
        <v>0</v>
      </c>
      <c r="CT183" s="466">
        <v>0</v>
      </c>
      <c r="CU183" s="466">
        <v>0.95</v>
      </c>
      <c r="CV183" s="467">
        <v>0.95</v>
      </c>
    </row>
    <row r="184" spans="1:100" s="48" customFormat="1" outlineLevel="1" x14ac:dyDescent="0.3">
      <c r="A184" s="202">
        <v>78983000</v>
      </c>
      <c r="B184" s="48">
        <v>400618</v>
      </c>
      <c r="C184" s="48">
        <v>80989</v>
      </c>
      <c r="D184" s="48" t="s">
        <v>31</v>
      </c>
      <c r="E184" s="48" t="s">
        <v>7</v>
      </c>
      <c r="F184" s="48" t="s">
        <v>1501</v>
      </c>
      <c r="G184" s="48" t="s">
        <v>1502</v>
      </c>
      <c r="H184" s="48" t="s">
        <v>1529</v>
      </c>
      <c r="O184" s="454" t="s">
        <v>900</v>
      </c>
      <c r="P184" s="455" t="s">
        <v>900</v>
      </c>
      <c r="Q184" s="347" t="s">
        <v>900</v>
      </c>
      <c r="R184" s="455">
        <v>391</v>
      </c>
      <c r="S184" s="457">
        <v>352</v>
      </c>
      <c r="T184" s="455"/>
      <c r="U184" s="454">
        <v>391</v>
      </c>
      <c r="V184" s="455">
        <v>180.38004628651845</v>
      </c>
      <c r="W184" s="230">
        <v>0.46133004165349989</v>
      </c>
      <c r="X184" s="264" t="s">
        <v>900</v>
      </c>
      <c r="Y184" s="265" t="s">
        <v>900</v>
      </c>
      <c r="Z184" s="265" t="s">
        <v>900</v>
      </c>
      <c r="AA184" s="265" t="s">
        <v>900</v>
      </c>
      <c r="AB184" s="266" t="s">
        <v>900</v>
      </c>
      <c r="AC184" s="265">
        <v>84760.172014512515</v>
      </c>
      <c r="AD184" s="265">
        <v>17502.280840297295</v>
      </c>
      <c r="AE184" s="265">
        <v>45937.902261185802</v>
      </c>
      <c r="AF184" s="266">
        <v>39629.909390379682</v>
      </c>
      <c r="AG184" s="265">
        <v>84760.172014512515</v>
      </c>
      <c r="AH184" s="265">
        <v>17502.280840297295</v>
      </c>
      <c r="AI184" s="265">
        <v>45937.902261185802</v>
      </c>
      <c r="AJ184" s="266">
        <v>39629.909390379682</v>
      </c>
      <c r="AK184" s="265">
        <v>84769.677117534506</v>
      </c>
      <c r="AL184" s="265">
        <v>19476.865671732547</v>
      </c>
      <c r="AM184" s="265">
        <v>45943.053790297032</v>
      </c>
      <c r="AN184" s="265">
        <v>39634.353533926755</v>
      </c>
      <c r="AO184" s="266">
        <v>189823.95011349086</v>
      </c>
      <c r="AP184" s="203"/>
      <c r="AQ184" s="264">
        <v>103025.83661300952</v>
      </c>
      <c r="AR184" s="265">
        <v>19707.659516973916</v>
      </c>
      <c r="AS184" s="265">
        <v>51686.158369350451</v>
      </c>
      <c r="AT184" s="265">
        <v>48503.56056357878</v>
      </c>
      <c r="AU184" s="266">
        <v>222923.21506291267</v>
      </c>
      <c r="AV184" s="203"/>
      <c r="AW184" s="324">
        <v>232344.0112359428</v>
      </c>
      <c r="AX184" s="203"/>
      <c r="AY184" s="377">
        <v>0</v>
      </c>
      <c r="AZ184" s="265">
        <v>0</v>
      </c>
      <c r="BA184" s="265">
        <v>222923.21506291267</v>
      </c>
      <c r="BB184" s="265">
        <v>2181.9453707490757</v>
      </c>
      <c r="BC184" s="266">
        <v>220741.26969216359</v>
      </c>
      <c r="BD184" s="264">
        <v>2207.4126969216359</v>
      </c>
      <c r="BE184" s="265">
        <v>218533.85699524195</v>
      </c>
      <c r="BF184" s="357">
        <v>0.94056160876607753</v>
      </c>
      <c r="BG184" s="203"/>
      <c r="BJ184" s="458">
        <v>0.94056160876607753</v>
      </c>
      <c r="BK184" s="210"/>
      <c r="BL184" s="458"/>
      <c r="BM184" s="458"/>
      <c r="BN184" s="458"/>
      <c r="BQ184" s="203">
        <v>218012.6661580787</v>
      </c>
      <c r="BR184" s="458">
        <v>0.93831842274896948</v>
      </c>
      <c r="BT184" s="459" t="s">
        <v>900</v>
      </c>
      <c r="BU184" s="460" t="s">
        <v>900</v>
      </c>
      <c r="BV184" s="461">
        <v>218533.85699524195</v>
      </c>
      <c r="BX184" s="462">
        <v>34693.684572163882</v>
      </c>
      <c r="BY184" s="463">
        <v>0.18591831186059146</v>
      </c>
      <c r="BZ184" s="461">
        <v>192.33659867819247</v>
      </c>
      <c r="CB184" s="203" t="s">
        <v>900</v>
      </c>
      <c r="CC184" s="203">
        <v>3259.6393240037978</v>
      </c>
      <c r="CD184" s="203" t="e">
        <v>#VALUE!</v>
      </c>
      <c r="CE184" s="203" t="s">
        <v>900</v>
      </c>
      <c r="CF184" s="203" t="e">
        <v>#VALUE!</v>
      </c>
      <c r="CH184" s="199"/>
      <c r="CJ184" s="464" t="s">
        <v>1448</v>
      </c>
      <c r="CK184" s="464" t="s">
        <v>1447</v>
      </c>
      <c r="CL184" s="464" t="s">
        <v>1448</v>
      </c>
      <c r="CN184" s="464" t="s">
        <v>1447</v>
      </c>
      <c r="CO184" s="464" t="s">
        <v>1447</v>
      </c>
      <c r="CP184" s="464" t="s">
        <v>1447</v>
      </c>
      <c r="CQ184" s="464" t="s">
        <v>1447</v>
      </c>
      <c r="CS184" s="465">
        <v>0</v>
      </c>
      <c r="CT184" s="466">
        <v>0</v>
      </c>
      <c r="CU184" s="466">
        <v>0.95</v>
      </c>
      <c r="CV184" s="467">
        <v>0.95</v>
      </c>
    </row>
    <row r="185" spans="1:100" s="48" customFormat="1" outlineLevel="1" x14ac:dyDescent="0.3">
      <c r="A185" s="202">
        <v>78517000</v>
      </c>
      <c r="B185" s="48">
        <v>400447</v>
      </c>
      <c r="C185" s="48">
        <v>88334</v>
      </c>
      <c r="D185" s="48" t="s">
        <v>32</v>
      </c>
      <c r="E185" s="48" t="s">
        <v>7</v>
      </c>
      <c r="F185" s="48" t="s">
        <v>1498</v>
      </c>
      <c r="G185" s="48" t="s">
        <v>1502</v>
      </c>
      <c r="H185" s="48" t="s">
        <v>1529</v>
      </c>
      <c r="O185" s="454" t="s">
        <v>900</v>
      </c>
      <c r="P185" s="455" t="s">
        <v>900</v>
      </c>
      <c r="Q185" s="347" t="s">
        <v>900</v>
      </c>
      <c r="R185" s="455">
        <v>408</v>
      </c>
      <c r="S185" s="457">
        <v>367</v>
      </c>
      <c r="T185" s="455"/>
      <c r="U185" s="454">
        <v>408</v>
      </c>
      <c r="V185" s="455">
        <v>188.06669598622804</v>
      </c>
      <c r="W185" s="230">
        <v>0.46094778427997068</v>
      </c>
      <c r="X185" s="264" t="s">
        <v>900</v>
      </c>
      <c r="Y185" s="265" t="s">
        <v>900</v>
      </c>
      <c r="Z185" s="265" t="s">
        <v>900</v>
      </c>
      <c r="AA185" s="265" t="s">
        <v>900</v>
      </c>
      <c r="AB185" s="266" t="s">
        <v>900</v>
      </c>
      <c r="AC185" s="265">
        <v>88372.111162858215</v>
      </c>
      <c r="AD185" s="265">
        <v>18248.116671559961</v>
      </c>
      <c r="AE185" s="265">
        <v>47895.483323452238</v>
      </c>
      <c r="AF185" s="266">
        <v>41318.683938265181</v>
      </c>
      <c r="AG185" s="265">
        <v>88372.111162858215</v>
      </c>
      <c r="AH185" s="265">
        <v>18248.116671559961</v>
      </c>
      <c r="AI185" s="265">
        <v>47895.483323452238</v>
      </c>
      <c r="AJ185" s="266">
        <v>41318.683938265181</v>
      </c>
      <c r="AK185" s="265">
        <v>88381.616265880206</v>
      </c>
      <c r="AL185" s="265">
        <v>20222.701502995213</v>
      </c>
      <c r="AM185" s="265">
        <v>47900.634852563468</v>
      </c>
      <c r="AN185" s="265">
        <v>41323.128081812254</v>
      </c>
      <c r="AO185" s="266">
        <v>197828.08070325115</v>
      </c>
      <c r="AP185" s="203"/>
      <c r="AQ185" s="264">
        <v>87452.163636624391</v>
      </c>
      <c r="AR185" s="265">
        <v>19580.575519381586</v>
      </c>
      <c r="AS185" s="265">
        <v>47237.188057392523</v>
      </c>
      <c r="AT185" s="265">
        <v>43542.176951848211</v>
      </c>
      <c r="AU185" s="266">
        <v>197812.10416524671</v>
      </c>
      <c r="AV185" s="203"/>
      <c r="AW185" s="324">
        <v>202499.76737597235</v>
      </c>
      <c r="AX185" s="203"/>
      <c r="AY185" s="377">
        <v>0</v>
      </c>
      <c r="AZ185" s="265">
        <v>0</v>
      </c>
      <c r="BA185" s="265">
        <v>197812.10416524671</v>
      </c>
      <c r="BB185" s="265">
        <v>1936.1608652543655</v>
      </c>
      <c r="BC185" s="266">
        <v>195875.94329999236</v>
      </c>
      <c r="BD185" s="264">
        <v>1958.7594329999235</v>
      </c>
      <c r="BE185" s="265">
        <v>193917.18386699245</v>
      </c>
      <c r="BF185" s="357">
        <v>0.95761682287246774</v>
      </c>
      <c r="BG185" s="203"/>
      <c r="BJ185" s="458">
        <v>0.95761682287246774</v>
      </c>
      <c r="BK185" s="210"/>
      <c r="BL185" s="458"/>
      <c r="BM185" s="458"/>
      <c r="BN185" s="458"/>
      <c r="BQ185" s="203">
        <v>193454.70239712036</v>
      </c>
      <c r="BR185" s="458">
        <v>0.95533296113837785</v>
      </c>
      <c r="BT185" s="459" t="s">
        <v>900</v>
      </c>
      <c r="BU185" s="460" t="s">
        <v>900</v>
      </c>
      <c r="BV185" s="461">
        <v>193917.18386699245</v>
      </c>
      <c r="BX185" s="462">
        <v>2259.3762929926161</v>
      </c>
      <c r="BY185" s="463">
        <v>1.1613653747403727E-2</v>
      </c>
      <c r="BZ185" s="461">
        <v>12.013696955457059</v>
      </c>
      <c r="CB185" s="203" t="s">
        <v>900</v>
      </c>
      <c r="CC185" s="203">
        <v>3398.8882962143257</v>
      </c>
      <c r="CD185" s="203" t="e">
        <v>#VALUE!</v>
      </c>
      <c r="CE185" s="203" t="s">
        <v>900</v>
      </c>
      <c r="CF185" s="203" t="e">
        <v>#VALUE!</v>
      </c>
      <c r="CH185" s="199"/>
      <c r="CJ185" s="464" t="s">
        <v>1448</v>
      </c>
      <c r="CK185" s="464" t="s">
        <v>1447</v>
      </c>
      <c r="CL185" s="464" t="s">
        <v>1448</v>
      </c>
      <c r="CN185" s="464" t="s">
        <v>1447</v>
      </c>
      <c r="CO185" s="464" t="s">
        <v>1447</v>
      </c>
      <c r="CP185" s="464" t="s">
        <v>1447</v>
      </c>
      <c r="CQ185" s="464" t="s">
        <v>1447</v>
      </c>
      <c r="CS185" s="465">
        <v>0</v>
      </c>
      <c r="CT185" s="466">
        <v>0</v>
      </c>
      <c r="CU185" s="466">
        <v>0.95</v>
      </c>
      <c r="CV185" s="467">
        <v>0.95</v>
      </c>
    </row>
    <row r="186" spans="1:100" s="48" customFormat="1" outlineLevel="1" x14ac:dyDescent="0.3">
      <c r="A186" s="202">
        <v>78953000</v>
      </c>
      <c r="B186" s="48">
        <v>400354</v>
      </c>
      <c r="C186" s="48">
        <v>79877</v>
      </c>
      <c r="D186" s="48" t="s">
        <v>33</v>
      </c>
      <c r="E186" s="48" t="s">
        <v>7</v>
      </c>
      <c r="F186" s="48" t="s">
        <v>1501</v>
      </c>
      <c r="G186" s="48" t="s">
        <v>1502</v>
      </c>
      <c r="H186" s="48" t="s">
        <v>1529</v>
      </c>
      <c r="O186" s="454" t="s">
        <v>900</v>
      </c>
      <c r="P186" s="455" t="s">
        <v>900</v>
      </c>
      <c r="Q186" s="347" t="s">
        <v>900</v>
      </c>
      <c r="R186" s="455">
        <v>267</v>
      </c>
      <c r="S186" s="457">
        <v>208</v>
      </c>
      <c r="T186" s="455"/>
      <c r="U186" s="454">
        <v>267</v>
      </c>
      <c r="V186" s="455">
        <v>106.58820916930635</v>
      </c>
      <c r="W186" s="230">
        <v>0.39920677591500509</v>
      </c>
      <c r="X186" s="264" t="s">
        <v>900</v>
      </c>
      <c r="Y186" s="265" t="s">
        <v>900</v>
      </c>
      <c r="Z186" s="265" t="s">
        <v>900</v>
      </c>
      <c r="AA186" s="265" t="s">
        <v>900</v>
      </c>
      <c r="AB186" s="266" t="s">
        <v>900</v>
      </c>
      <c r="AC186" s="265">
        <v>50085.556190393756</v>
      </c>
      <c r="AD186" s="265">
        <v>10342.256860175674</v>
      </c>
      <c r="AE186" s="265">
        <v>27145.124063427971</v>
      </c>
      <c r="AF186" s="266">
        <v>23417.673730678904</v>
      </c>
      <c r="AG186" s="265">
        <v>50085.556190393756</v>
      </c>
      <c r="AH186" s="265">
        <v>10342.256860175674</v>
      </c>
      <c r="AI186" s="265">
        <v>27145.124063427971</v>
      </c>
      <c r="AJ186" s="266">
        <v>23417.673730678904</v>
      </c>
      <c r="AK186" s="265">
        <v>50095.061293415747</v>
      </c>
      <c r="AL186" s="265">
        <v>12316.841691610925</v>
      </c>
      <c r="AM186" s="265">
        <v>27150.275592539201</v>
      </c>
      <c r="AN186" s="265">
        <v>23422.117874225976</v>
      </c>
      <c r="AO186" s="266">
        <v>112984.29645179186</v>
      </c>
      <c r="AP186" s="203"/>
      <c r="AQ186" s="264">
        <v>68047.24594186031</v>
      </c>
      <c r="AR186" s="265">
        <v>14596.884992576575</v>
      </c>
      <c r="AS186" s="265">
        <v>36079.644008913456</v>
      </c>
      <c r="AT186" s="265">
        <v>34762.488646523139</v>
      </c>
      <c r="AU186" s="266">
        <v>153486.2635898735</v>
      </c>
      <c r="AV186" s="203"/>
      <c r="AW186" s="324">
        <v>167777.81756436534</v>
      </c>
      <c r="AX186" s="203"/>
      <c r="AY186" s="377">
        <v>0</v>
      </c>
      <c r="AZ186" s="265">
        <v>0</v>
      </c>
      <c r="BA186" s="265">
        <v>153486.2635898735</v>
      </c>
      <c r="BB186" s="265">
        <v>1502.30491794667</v>
      </c>
      <c r="BC186" s="266">
        <v>151983.95867192684</v>
      </c>
      <c r="BD186" s="264">
        <v>1519.8395867192685</v>
      </c>
      <c r="BE186" s="265">
        <v>150464.11908520758</v>
      </c>
      <c r="BF186" s="357">
        <v>0.89680579512535608</v>
      </c>
      <c r="BG186" s="203"/>
      <c r="BJ186" s="458">
        <v>0.89680579512535608</v>
      </c>
      <c r="BK186" s="210"/>
      <c r="BL186" s="458"/>
      <c r="BM186" s="458"/>
      <c r="BN186" s="458"/>
      <c r="BQ186" s="203">
        <v>150105.27070689539</v>
      </c>
      <c r="BR186" s="458">
        <v>0.89466696423864167</v>
      </c>
      <c r="BT186" s="459" t="s">
        <v>900</v>
      </c>
      <c r="BU186" s="460" t="s">
        <v>900</v>
      </c>
      <c r="BV186" s="461">
        <v>150464.11908520758</v>
      </c>
      <c r="BX186" s="462">
        <v>41673.244110978456</v>
      </c>
      <c r="BY186" s="463">
        <v>0.37745683528804902</v>
      </c>
      <c r="BZ186" s="461">
        <v>390.97424035696139</v>
      </c>
      <c r="CB186" s="203" t="s">
        <v>900</v>
      </c>
      <c r="CC186" s="203">
        <v>1962.723944022287</v>
      </c>
      <c r="CD186" s="203" t="e">
        <v>#VALUE!</v>
      </c>
      <c r="CE186" s="203" t="s">
        <v>900</v>
      </c>
      <c r="CF186" s="203" t="e">
        <v>#VALUE!</v>
      </c>
      <c r="CH186" s="199"/>
      <c r="CJ186" s="464" t="s">
        <v>1448</v>
      </c>
      <c r="CK186" s="464" t="s">
        <v>1447</v>
      </c>
      <c r="CL186" s="464" t="s">
        <v>1448</v>
      </c>
      <c r="CN186" s="464" t="s">
        <v>1447</v>
      </c>
      <c r="CO186" s="464" t="s">
        <v>1447</v>
      </c>
      <c r="CP186" s="464" t="s">
        <v>1447</v>
      </c>
      <c r="CQ186" s="464" t="s">
        <v>1447</v>
      </c>
      <c r="CS186" s="465">
        <v>0</v>
      </c>
      <c r="CT186" s="466">
        <v>0</v>
      </c>
      <c r="CU186" s="466">
        <v>0.95</v>
      </c>
      <c r="CV186" s="467">
        <v>0.95</v>
      </c>
    </row>
    <row r="187" spans="1:100" s="48" customFormat="1" outlineLevel="1" x14ac:dyDescent="0.3">
      <c r="A187" s="202">
        <v>78956000</v>
      </c>
      <c r="B187" s="48">
        <v>400355</v>
      </c>
      <c r="C187" s="48">
        <v>79879</v>
      </c>
      <c r="D187" s="48" t="s">
        <v>34</v>
      </c>
      <c r="E187" s="48" t="s">
        <v>7</v>
      </c>
      <c r="F187" s="48" t="s">
        <v>1501</v>
      </c>
      <c r="G187" s="48" t="s">
        <v>1502</v>
      </c>
      <c r="H187" s="48" t="s">
        <v>1529</v>
      </c>
      <c r="O187" s="454" t="s">
        <v>900</v>
      </c>
      <c r="P187" s="455" t="s">
        <v>900</v>
      </c>
      <c r="Q187" s="347" t="s">
        <v>900</v>
      </c>
      <c r="R187" s="455">
        <v>244</v>
      </c>
      <c r="S187" s="457">
        <v>229</v>
      </c>
      <c r="T187" s="455"/>
      <c r="U187" s="454">
        <v>244</v>
      </c>
      <c r="V187" s="455">
        <v>117.34951874889978</v>
      </c>
      <c r="W187" s="230">
        <v>0.48094065061024499</v>
      </c>
      <c r="X187" s="264" t="s">
        <v>900</v>
      </c>
      <c r="Y187" s="265" t="s">
        <v>900</v>
      </c>
      <c r="Z187" s="265" t="s">
        <v>900</v>
      </c>
      <c r="AA187" s="265" t="s">
        <v>900</v>
      </c>
      <c r="AB187" s="266" t="s">
        <v>900</v>
      </c>
      <c r="AC187" s="265">
        <v>55142.270998077736</v>
      </c>
      <c r="AD187" s="265">
        <v>11386.42702394341</v>
      </c>
      <c r="AE187" s="265">
        <v>29885.737550600988</v>
      </c>
      <c r="AF187" s="266">
        <v>25781.958097718601</v>
      </c>
      <c r="AG187" s="265">
        <v>55142.270998077736</v>
      </c>
      <c r="AH187" s="265">
        <v>11386.42702394341</v>
      </c>
      <c r="AI187" s="265">
        <v>29885.737550600988</v>
      </c>
      <c r="AJ187" s="266">
        <v>25781.958097718601</v>
      </c>
      <c r="AK187" s="265">
        <v>55151.776101099727</v>
      </c>
      <c r="AL187" s="265">
        <v>13361.011855378661</v>
      </c>
      <c r="AM187" s="265">
        <v>29890.889079712219</v>
      </c>
      <c r="AN187" s="265">
        <v>25786.402241265674</v>
      </c>
      <c r="AO187" s="266">
        <v>124190.07927745629</v>
      </c>
      <c r="AP187" s="203"/>
      <c r="AQ187" s="264">
        <v>83502.355545113751</v>
      </c>
      <c r="AR187" s="265">
        <v>17460.808211384952</v>
      </c>
      <c r="AS187" s="265">
        <v>43523.537089136516</v>
      </c>
      <c r="AT187" s="265">
        <v>42744.525260477778</v>
      </c>
      <c r="AU187" s="266">
        <v>187231.226106113</v>
      </c>
      <c r="AV187" s="203"/>
      <c r="AW187" s="324">
        <v>211682.2745849427</v>
      </c>
      <c r="AX187" s="203"/>
      <c r="AY187" s="377">
        <v>0</v>
      </c>
      <c r="AZ187" s="265">
        <v>0</v>
      </c>
      <c r="BA187" s="265">
        <v>187231.226106113</v>
      </c>
      <c r="BB187" s="265">
        <v>1832.5965151122246</v>
      </c>
      <c r="BC187" s="266">
        <v>185398.62959100076</v>
      </c>
      <c r="BD187" s="264">
        <v>1853.9862959100076</v>
      </c>
      <c r="BE187" s="265">
        <v>183544.64329509076</v>
      </c>
      <c r="BF187" s="357">
        <v>0.86707611043474009</v>
      </c>
      <c r="BG187" s="203"/>
      <c r="BJ187" s="458">
        <v>0.86707611043474009</v>
      </c>
      <c r="BK187" s="210"/>
      <c r="BL187" s="458"/>
      <c r="BM187" s="458"/>
      <c r="BN187" s="458"/>
      <c r="BQ187" s="203">
        <v>183106.89974536755</v>
      </c>
      <c r="BR187" s="458">
        <v>0.86500818315749639</v>
      </c>
      <c r="BT187" s="459" t="s">
        <v>900</v>
      </c>
      <c r="BU187" s="460" t="s">
        <v>900</v>
      </c>
      <c r="BV187" s="461">
        <v>183544.64329509076</v>
      </c>
      <c r="BX187" s="462">
        <v>63809.079109571161</v>
      </c>
      <c r="BY187" s="463">
        <v>0.52509942982860536</v>
      </c>
      <c r="BZ187" s="461">
        <v>543.75237146142456</v>
      </c>
      <c r="CB187" s="203" t="s">
        <v>900</v>
      </c>
      <c r="CC187" s="203">
        <v>2110.0669323718471</v>
      </c>
      <c r="CD187" s="203" t="e">
        <v>#VALUE!</v>
      </c>
      <c r="CE187" s="203" t="s">
        <v>900</v>
      </c>
      <c r="CF187" s="203" t="e">
        <v>#VALUE!</v>
      </c>
      <c r="CH187" s="199"/>
      <c r="CJ187" s="464" t="s">
        <v>1448</v>
      </c>
      <c r="CK187" s="464" t="s">
        <v>1447</v>
      </c>
      <c r="CL187" s="464" t="s">
        <v>1448</v>
      </c>
      <c r="CN187" s="464" t="s">
        <v>1447</v>
      </c>
      <c r="CO187" s="464" t="s">
        <v>1447</v>
      </c>
      <c r="CP187" s="464" t="s">
        <v>1447</v>
      </c>
      <c r="CQ187" s="464" t="s">
        <v>1447</v>
      </c>
      <c r="CS187" s="465">
        <v>0</v>
      </c>
      <c r="CT187" s="466">
        <v>0</v>
      </c>
      <c r="CU187" s="466">
        <v>0.95</v>
      </c>
      <c r="CV187" s="467">
        <v>0.95</v>
      </c>
    </row>
    <row r="188" spans="1:100" s="48" customFormat="1" outlineLevel="1" x14ac:dyDescent="0.3">
      <c r="A188" s="202">
        <v>78665000</v>
      </c>
      <c r="B188" s="48">
        <v>400164</v>
      </c>
      <c r="C188" s="48">
        <v>6378</v>
      </c>
      <c r="D188" s="48" t="s">
        <v>41</v>
      </c>
      <c r="E188" s="48" t="s">
        <v>7</v>
      </c>
      <c r="F188" s="48" t="s">
        <v>1498</v>
      </c>
      <c r="G188" s="48" t="s">
        <v>1499</v>
      </c>
      <c r="H188" s="48" t="s">
        <v>1510</v>
      </c>
      <c r="O188" s="454" t="s">
        <v>900</v>
      </c>
      <c r="P188" s="455" t="s">
        <v>900</v>
      </c>
      <c r="Q188" s="347" t="s">
        <v>900</v>
      </c>
      <c r="R188" s="455">
        <v>90</v>
      </c>
      <c r="S188" s="457">
        <v>68</v>
      </c>
      <c r="T188" s="455"/>
      <c r="U188" s="454">
        <v>90</v>
      </c>
      <c r="V188" s="455">
        <v>34.846145305350156</v>
      </c>
      <c r="W188" s="230">
        <v>0.38717939228166842</v>
      </c>
      <c r="X188" s="264" t="s">
        <v>900</v>
      </c>
      <c r="Y188" s="265" t="s">
        <v>900</v>
      </c>
      <c r="Z188" s="265" t="s">
        <v>900</v>
      </c>
      <c r="AA188" s="265" t="s">
        <v>900</v>
      </c>
      <c r="AB188" s="266" t="s">
        <v>900</v>
      </c>
      <c r="AC188" s="265">
        <v>16374.12413916719</v>
      </c>
      <c r="AD188" s="265">
        <v>3381.1224350574321</v>
      </c>
      <c r="AE188" s="265">
        <v>8874.3674822745288</v>
      </c>
      <c r="AF188" s="266">
        <v>7655.7779504142572</v>
      </c>
      <c r="AG188" s="265">
        <v>16374.12413916719</v>
      </c>
      <c r="AH188" s="265">
        <v>3381.1224350574321</v>
      </c>
      <c r="AI188" s="265">
        <v>8874.3674822745288</v>
      </c>
      <c r="AJ188" s="266">
        <v>7655.7779504142572</v>
      </c>
      <c r="AK188" s="265">
        <v>16383.629242189181</v>
      </c>
      <c r="AL188" s="265">
        <v>5355.7072664926836</v>
      </c>
      <c r="AM188" s="265">
        <v>8879.5190113857589</v>
      </c>
      <c r="AN188" s="265">
        <v>7660.2220939613289</v>
      </c>
      <c r="AO188" s="266">
        <v>38279.077614028953</v>
      </c>
      <c r="AP188" s="203"/>
      <c r="AQ188" s="264">
        <v>25397.066699951189</v>
      </c>
      <c r="AR188" s="265">
        <v>5185.6489389277976</v>
      </c>
      <c r="AS188" s="265">
        <v>12741.23903988639</v>
      </c>
      <c r="AT188" s="265">
        <v>11956.691673812446</v>
      </c>
      <c r="AU188" s="266">
        <v>55280.646352577824</v>
      </c>
      <c r="AV188" s="203"/>
      <c r="AW188" s="324">
        <v>57275.500444209159</v>
      </c>
      <c r="AX188" s="203"/>
      <c r="AY188" s="377">
        <v>0</v>
      </c>
      <c r="AZ188" s="265">
        <v>0</v>
      </c>
      <c r="BA188" s="265">
        <v>55280.646352577824</v>
      </c>
      <c r="BB188" s="265">
        <v>541.08025656719121</v>
      </c>
      <c r="BC188" s="266">
        <v>54739.566096010632</v>
      </c>
      <c r="BD188" s="264">
        <v>547.39566096010628</v>
      </c>
      <c r="BE188" s="265">
        <v>54192.170435050524</v>
      </c>
      <c r="BF188" s="357">
        <v>0.94616668583870267</v>
      </c>
      <c r="BG188" s="203"/>
      <c r="BJ188" s="458">
        <v>0.94616668583870267</v>
      </c>
      <c r="BK188" s="210"/>
      <c r="BL188" s="458"/>
      <c r="BM188" s="458"/>
      <c r="BN188" s="458"/>
      <c r="BQ188" s="203">
        <v>54062.925186441964</v>
      </c>
      <c r="BR188" s="458">
        <v>0.9439101320311204</v>
      </c>
      <c r="BT188" s="459">
        <v>-6.7913012399307178</v>
      </c>
      <c r="BU188" s="460">
        <v>-3680.3535427009542</v>
      </c>
      <c r="BV188" s="461">
        <v>50511.816892349569</v>
      </c>
      <c r="BX188" s="462">
        <v>17118.607273693655</v>
      </c>
      <c r="BY188" s="463">
        <v>0.5056656640866013</v>
      </c>
      <c r="BZ188" s="461">
        <v>491.26258080159369</v>
      </c>
      <c r="CB188" s="203">
        <v>1363</v>
      </c>
      <c r="CC188" s="203">
        <v>2007.4179633551946</v>
      </c>
      <c r="CD188" s="203" t="e">
        <v>#VALUE!</v>
      </c>
      <c r="CE188" s="203" t="e">
        <v>#VALUE!</v>
      </c>
      <c r="CF188" s="203" t="e">
        <v>#VALUE!</v>
      </c>
      <c r="CH188" s="199"/>
      <c r="CJ188" s="464" t="s">
        <v>1448</v>
      </c>
      <c r="CK188" s="464" t="s">
        <v>1447</v>
      </c>
      <c r="CL188" s="464" t="s">
        <v>1448</v>
      </c>
      <c r="CN188" s="464" t="s">
        <v>1447</v>
      </c>
      <c r="CO188" s="464" t="s">
        <v>1447</v>
      </c>
      <c r="CP188" s="464" t="s">
        <v>1447</v>
      </c>
      <c r="CQ188" s="464" t="s">
        <v>1447</v>
      </c>
      <c r="CS188" s="465">
        <v>0</v>
      </c>
      <c r="CT188" s="466">
        <v>0</v>
      </c>
      <c r="CU188" s="466">
        <v>0.95</v>
      </c>
      <c r="CV188" s="467">
        <v>0.95</v>
      </c>
    </row>
    <row r="189" spans="1:100" s="48" customFormat="1" outlineLevel="1" x14ac:dyDescent="0.3">
      <c r="A189" s="202">
        <v>78510000</v>
      </c>
      <c r="B189" s="48">
        <v>400426</v>
      </c>
      <c r="C189" s="48">
        <v>87403</v>
      </c>
      <c r="D189" s="48" t="s">
        <v>42</v>
      </c>
      <c r="E189" s="48" t="s">
        <v>7</v>
      </c>
      <c r="F189" s="48" t="s">
        <v>1530</v>
      </c>
      <c r="G189" s="48" t="s">
        <v>1502</v>
      </c>
      <c r="H189" s="48" t="s">
        <v>1516</v>
      </c>
      <c r="O189" s="454" t="s">
        <v>900</v>
      </c>
      <c r="P189" s="455" t="s">
        <v>900</v>
      </c>
      <c r="Q189" s="347" t="s">
        <v>900</v>
      </c>
      <c r="R189" s="455">
        <v>154</v>
      </c>
      <c r="S189" s="457">
        <v>51</v>
      </c>
      <c r="T189" s="455"/>
      <c r="U189" s="454">
        <v>154</v>
      </c>
      <c r="V189" s="455">
        <v>26.134608979012615</v>
      </c>
      <c r="W189" s="230">
        <v>0.16970525311047152</v>
      </c>
      <c r="X189" s="264" t="s">
        <v>900</v>
      </c>
      <c r="Y189" s="265" t="s">
        <v>900</v>
      </c>
      <c r="Z189" s="265" t="s">
        <v>900</v>
      </c>
      <c r="AA189" s="265" t="s">
        <v>900</v>
      </c>
      <c r="AB189" s="266" t="s">
        <v>900</v>
      </c>
      <c r="AC189" s="265">
        <v>12280.593104375392</v>
      </c>
      <c r="AD189" s="265">
        <v>2535.8418262930736</v>
      </c>
      <c r="AE189" s="265">
        <v>6655.7756117058971</v>
      </c>
      <c r="AF189" s="266">
        <v>5741.8334628106923</v>
      </c>
      <c r="AG189" s="265">
        <v>12280.593104375392</v>
      </c>
      <c r="AH189" s="265">
        <v>2535.8418262930736</v>
      </c>
      <c r="AI189" s="265">
        <v>6655.7756117058971</v>
      </c>
      <c r="AJ189" s="266">
        <v>5741.8334628106923</v>
      </c>
      <c r="AK189" s="265">
        <v>12290.098207397383</v>
      </c>
      <c r="AL189" s="265">
        <v>4510.4266577283252</v>
      </c>
      <c r="AM189" s="265">
        <v>6660.9271408171262</v>
      </c>
      <c r="AN189" s="265">
        <v>5746.2776063577639</v>
      </c>
      <c r="AO189" s="266">
        <v>29207.729612300594</v>
      </c>
      <c r="AP189" s="203"/>
      <c r="AQ189" s="264">
        <v>14474.349728066209</v>
      </c>
      <c r="AR189" s="265">
        <v>4367.2082972297558</v>
      </c>
      <c r="AS189" s="265">
        <v>7674.5117046373434</v>
      </c>
      <c r="AT189" s="265">
        <v>7394.3391995263373</v>
      </c>
      <c r="AU189" s="266">
        <v>33910.408929459642</v>
      </c>
      <c r="AV189" s="203"/>
      <c r="AW189" s="324">
        <v>34456.093721087069</v>
      </c>
      <c r="AX189" s="203"/>
      <c r="AY189" s="377">
        <v>0</v>
      </c>
      <c r="AZ189" s="265">
        <v>0</v>
      </c>
      <c r="BA189" s="265">
        <v>33910.408929459642</v>
      </c>
      <c r="BB189" s="265">
        <v>331.91096657636655</v>
      </c>
      <c r="BC189" s="266">
        <v>33578.497962883273</v>
      </c>
      <c r="BD189" s="264">
        <v>335.78497962883273</v>
      </c>
      <c r="BE189" s="265">
        <v>33242.712983254438</v>
      </c>
      <c r="BF189" s="357">
        <v>0.96478472726320552</v>
      </c>
      <c r="BG189" s="203"/>
      <c r="BJ189" s="458">
        <v>0.96478472726320552</v>
      </c>
      <c r="BK189" s="210"/>
      <c r="BL189" s="458"/>
      <c r="BM189" s="458"/>
      <c r="BN189" s="458"/>
      <c r="BQ189" s="203">
        <v>33163.431000830555</v>
      </c>
      <c r="BR189" s="458">
        <v>0.96248377048424949</v>
      </c>
      <c r="BT189" s="459" t="s">
        <v>900</v>
      </c>
      <c r="BU189" s="460" t="s">
        <v>900</v>
      </c>
      <c r="BV189" s="461">
        <v>33242.712983254438</v>
      </c>
      <c r="BX189" s="462">
        <v>6276.4192553397697</v>
      </c>
      <c r="BY189" s="463">
        <v>0.22970204880466155</v>
      </c>
      <c r="BZ189" s="461">
        <v>240.15738136277628</v>
      </c>
      <c r="CB189" s="203" t="s">
        <v>900</v>
      </c>
      <c r="CC189" s="203">
        <v>571.30240504754818</v>
      </c>
      <c r="CD189" s="203" t="e">
        <v>#VALUE!</v>
      </c>
      <c r="CE189" s="203" t="s">
        <v>900</v>
      </c>
      <c r="CF189" s="203" t="e">
        <v>#VALUE!</v>
      </c>
      <c r="CH189" s="199"/>
      <c r="CJ189" s="464" t="s">
        <v>1448</v>
      </c>
      <c r="CK189" s="464" t="s">
        <v>1447</v>
      </c>
      <c r="CL189" s="464" t="s">
        <v>1448</v>
      </c>
      <c r="CN189" s="464" t="s">
        <v>1447</v>
      </c>
      <c r="CO189" s="464" t="s">
        <v>1447</v>
      </c>
      <c r="CP189" s="464" t="s">
        <v>1447</v>
      </c>
      <c r="CQ189" s="464" t="s">
        <v>1447</v>
      </c>
      <c r="CS189" s="465">
        <v>0</v>
      </c>
      <c r="CT189" s="466">
        <v>0.9</v>
      </c>
      <c r="CU189" s="466">
        <v>0</v>
      </c>
      <c r="CV189" s="467">
        <v>0.9</v>
      </c>
    </row>
    <row r="190" spans="1:100" s="48" customFormat="1" outlineLevel="1" x14ac:dyDescent="0.3">
      <c r="A190" s="202">
        <v>78707000</v>
      </c>
      <c r="B190" s="48">
        <v>400106</v>
      </c>
      <c r="C190" s="48">
        <v>4331</v>
      </c>
      <c r="D190" s="48" t="s">
        <v>42</v>
      </c>
      <c r="E190" s="48" t="s">
        <v>7</v>
      </c>
      <c r="F190" s="48" t="s">
        <v>1498</v>
      </c>
      <c r="G190" s="48" t="s">
        <v>1502</v>
      </c>
      <c r="H190" s="48" t="s">
        <v>1516</v>
      </c>
      <c r="O190" s="454" t="s">
        <v>900</v>
      </c>
      <c r="P190" s="455" t="s">
        <v>900</v>
      </c>
      <c r="Q190" s="347" t="s">
        <v>900</v>
      </c>
      <c r="R190" s="455">
        <v>361</v>
      </c>
      <c r="S190" s="457">
        <v>90</v>
      </c>
      <c r="T190" s="455"/>
      <c r="U190" s="454">
        <v>361</v>
      </c>
      <c r="V190" s="455">
        <v>46.119898198257559</v>
      </c>
      <c r="W190" s="230">
        <v>0.12775595068769408</v>
      </c>
      <c r="X190" s="264" t="s">
        <v>900</v>
      </c>
      <c r="Y190" s="265" t="s">
        <v>900</v>
      </c>
      <c r="Z190" s="265" t="s">
        <v>900</v>
      </c>
      <c r="AA190" s="265" t="s">
        <v>900</v>
      </c>
      <c r="AB190" s="266" t="s">
        <v>900</v>
      </c>
      <c r="AC190" s="265">
        <v>21671.63489007422</v>
      </c>
      <c r="AD190" s="265">
        <v>4475.0149875760126</v>
      </c>
      <c r="AE190" s="265">
        <v>11745.486373598642</v>
      </c>
      <c r="AF190" s="266">
        <v>10132.647287312988</v>
      </c>
      <c r="AG190" s="265">
        <v>21671.63489007422</v>
      </c>
      <c r="AH190" s="265" t="s">
        <v>900</v>
      </c>
      <c r="AI190" s="265">
        <v>11745.486373598642</v>
      </c>
      <c r="AJ190" s="266">
        <v>10132.647287312988</v>
      </c>
      <c r="AK190" s="265">
        <v>21681.139993096211</v>
      </c>
      <c r="AL190" s="265" t="s">
        <v>900</v>
      </c>
      <c r="AM190" s="265">
        <v>11750.637902709872</v>
      </c>
      <c r="AN190" s="265">
        <v>10137.09143086006</v>
      </c>
      <c r="AO190" s="266">
        <v>43568.869326666143</v>
      </c>
      <c r="AP190" s="203"/>
      <c r="AQ190" s="264">
        <v>21351.824423656406</v>
      </c>
      <c r="AR190" s="265">
        <v>4666.1130725312678</v>
      </c>
      <c r="AS190" s="265">
        <v>11587.88592495921</v>
      </c>
      <c r="AT190" s="265">
        <v>10081.490415236085</v>
      </c>
      <c r="AU190" s="266">
        <v>47687.313836382964</v>
      </c>
      <c r="AV190" s="203"/>
      <c r="AW190" s="324">
        <v>49428.608710131979</v>
      </c>
      <c r="AX190" s="203"/>
      <c r="AY190" s="377">
        <v>0</v>
      </c>
      <c r="AZ190" s="265">
        <v>0</v>
      </c>
      <c r="BA190" s="265">
        <v>47687.313836382964</v>
      </c>
      <c r="BB190" s="265">
        <v>466.75763957284204</v>
      </c>
      <c r="BC190" s="266">
        <v>47220.556196810125</v>
      </c>
      <c r="BD190" s="264">
        <v>472.20556196810128</v>
      </c>
      <c r="BE190" s="265">
        <v>46748.350634842027</v>
      </c>
      <c r="BF190" s="357">
        <v>0.94577516654356997</v>
      </c>
      <c r="BG190" s="203"/>
      <c r="BJ190" s="458">
        <v>0.94577516654356997</v>
      </c>
      <c r="BK190" s="210"/>
      <c r="BL190" s="458"/>
      <c r="BM190" s="458"/>
      <c r="BN190" s="458"/>
      <c r="BQ190" s="203">
        <v>46636.858473680448</v>
      </c>
      <c r="BR190" s="458">
        <v>0.94351954648726999</v>
      </c>
      <c r="BT190" s="459" t="s">
        <v>900</v>
      </c>
      <c r="BU190" s="460" t="s">
        <v>900</v>
      </c>
      <c r="BV190" s="461">
        <v>46748.350634842027</v>
      </c>
      <c r="BX190" s="462">
        <v>4194.7917575157117</v>
      </c>
      <c r="BY190" s="463">
        <v>9.7083667039657637E-2</v>
      </c>
      <c r="BZ190" s="461">
        <v>90.954055004271311</v>
      </c>
      <c r="CB190" s="203">
        <v>1503</v>
      </c>
      <c r="CC190" s="203">
        <v>2601.9520243101979</v>
      </c>
      <c r="CD190" s="203" t="e">
        <v>#VALUE!</v>
      </c>
      <c r="CE190" s="203" t="s">
        <v>900</v>
      </c>
      <c r="CF190" s="203" t="e">
        <v>#VALUE!</v>
      </c>
      <c r="CH190" s="199"/>
      <c r="CJ190" s="464" t="s">
        <v>1448</v>
      </c>
      <c r="CK190" s="464" t="s">
        <v>1447</v>
      </c>
      <c r="CL190" s="464" t="s">
        <v>1448</v>
      </c>
      <c r="CN190" s="464" t="s">
        <v>1447</v>
      </c>
      <c r="CO190" s="464" t="s">
        <v>1448</v>
      </c>
      <c r="CP190" s="464" t="s">
        <v>1447</v>
      </c>
      <c r="CQ190" s="464" t="s">
        <v>1447</v>
      </c>
      <c r="CS190" s="465">
        <v>0.85</v>
      </c>
      <c r="CT190" s="466">
        <v>0</v>
      </c>
      <c r="CU190" s="466">
        <v>0</v>
      </c>
      <c r="CV190" s="467">
        <v>0.85</v>
      </c>
    </row>
    <row r="191" spans="1:100" s="48" customFormat="1" outlineLevel="1" x14ac:dyDescent="0.3">
      <c r="A191" s="202">
        <v>78993000</v>
      </c>
      <c r="B191" s="48">
        <v>400417</v>
      </c>
      <c r="C191" s="48">
        <v>85816</v>
      </c>
      <c r="D191" s="48" t="s">
        <v>43</v>
      </c>
      <c r="E191" s="48" t="s">
        <v>7</v>
      </c>
      <c r="F191" s="48" t="s">
        <v>1503</v>
      </c>
      <c r="G191" s="48" t="s">
        <v>1502</v>
      </c>
      <c r="H191" s="48" t="s">
        <v>1516</v>
      </c>
      <c r="O191" s="454" t="s">
        <v>900</v>
      </c>
      <c r="P191" s="455" t="s">
        <v>900</v>
      </c>
      <c r="Q191" s="347" t="s">
        <v>900</v>
      </c>
      <c r="R191" s="455">
        <v>354</v>
      </c>
      <c r="S191" s="457">
        <v>275</v>
      </c>
      <c r="T191" s="455"/>
      <c r="U191" s="454">
        <v>354</v>
      </c>
      <c r="V191" s="455">
        <v>140.92191116134254</v>
      </c>
      <c r="W191" s="230">
        <v>0.39808449480605235</v>
      </c>
      <c r="X191" s="264" t="s">
        <v>900</v>
      </c>
      <c r="Y191" s="265" t="s">
        <v>900</v>
      </c>
      <c r="Z191" s="265" t="s">
        <v>900</v>
      </c>
      <c r="AA191" s="265" t="s">
        <v>900</v>
      </c>
      <c r="AB191" s="266" t="s">
        <v>900</v>
      </c>
      <c r="AC191" s="265">
        <v>66218.884386337901</v>
      </c>
      <c r="AD191" s="265">
        <v>13673.65690648226</v>
      </c>
      <c r="AE191" s="265">
        <v>35888.986141551402</v>
      </c>
      <c r="AF191" s="266">
        <v>30960.866711234128</v>
      </c>
      <c r="AG191" s="265">
        <v>66218.884386337901</v>
      </c>
      <c r="AH191" s="265">
        <v>13673.65690648226</v>
      </c>
      <c r="AI191" s="265">
        <v>35888.986141551402</v>
      </c>
      <c r="AJ191" s="266">
        <v>30960.866711234128</v>
      </c>
      <c r="AK191" s="265">
        <v>66228.389489359892</v>
      </c>
      <c r="AL191" s="265">
        <v>15648.241737917511</v>
      </c>
      <c r="AM191" s="265">
        <v>35894.137670662632</v>
      </c>
      <c r="AN191" s="265">
        <v>30965.310854781201</v>
      </c>
      <c r="AO191" s="266">
        <v>148736.07975272124</v>
      </c>
      <c r="AP191" s="203"/>
      <c r="AQ191" s="264">
        <v>65222.444239031058</v>
      </c>
      <c r="AR191" s="265">
        <v>15151.36734078042</v>
      </c>
      <c r="AS191" s="265">
        <v>35396.986627125858</v>
      </c>
      <c r="AT191" s="265">
        <v>32783.967338280876</v>
      </c>
      <c r="AU191" s="266">
        <v>148554.76554521819</v>
      </c>
      <c r="AV191" s="203"/>
      <c r="AW191" s="324">
        <v>142472.09471348257</v>
      </c>
      <c r="AX191" s="203"/>
      <c r="AY191" s="377">
        <v>0</v>
      </c>
      <c r="AZ191" s="265">
        <v>6082.6708317356242</v>
      </c>
      <c r="BA191" s="265">
        <v>142472.09471348257</v>
      </c>
      <c r="BB191" s="265">
        <v>1394.4995698777961</v>
      </c>
      <c r="BC191" s="266">
        <v>141077.59514360476</v>
      </c>
      <c r="BD191" s="264">
        <v>1410.7759514360475</v>
      </c>
      <c r="BE191" s="265">
        <v>139666.81919216871</v>
      </c>
      <c r="BF191" s="357">
        <v>0.98031000016560865</v>
      </c>
      <c r="BG191" s="203"/>
      <c r="BJ191" s="458">
        <v>0.98031000016560865</v>
      </c>
      <c r="BK191" s="210"/>
      <c r="BL191" s="458"/>
      <c r="BM191" s="458"/>
      <c r="BN191" s="458"/>
      <c r="BQ191" s="203">
        <v>139333.72176086184</v>
      </c>
      <c r="BR191" s="458">
        <v>0.97797201649254806</v>
      </c>
      <c r="BT191" s="459" t="s">
        <v>900</v>
      </c>
      <c r="BU191" s="460" t="s">
        <v>900</v>
      </c>
      <c r="BV191" s="461">
        <v>139666.81919216871</v>
      </c>
      <c r="BX191" s="462">
        <v>-4042.8261228443007</v>
      </c>
      <c r="BY191" s="463">
        <v>-2.8014302997540153E-2</v>
      </c>
      <c r="BZ191" s="461">
        <v>-28.688413955837138</v>
      </c>
      <c r="CB191" s="203" t="s">
        <v>900</v>
      </c>
      <c r="CC191" s="203">
        <v>2595.9598447901349</v>
      </c>
      <c r="CD191" s="203" t="e">
        <v>#VALUE!</v>
      </c>
      <c r="CE191" s="203" t="s">
        <v>900</v>
      </c>
      <c r="CF191" s="203" t="e">
        <v>#VALUE!</v>
      </c>
      <c r="CH191" s="199"/>
      <c r="CJ191" s="464" t="s">
        <v>1448</v>
      </c>
      <c r="CK191" s="464" t="s">
        <v>1447</v>
      </c>
      <c r="CL191" s="464" t="s">
        <v>1448</v>
      </c>
      <c r="CN191" s="464" t="s">
        <v>1447</v>
      </c>
      <c r="CO191" s="464" t="s">
        <v>1447</v>
      </c>
      <c r="CP191" s="464" t="s">
        <v>1447</v>
      </c>
      <c r="CQ191" s="464" t="s">
        <v>1447</v>
      </c>
      <c r="CS191" s="465">
        <v>0</v>
      </c>
      <c r="CT191" s="466">
        <v>0</v>
      </c>
      <c r="CU191" s="466">
        <v>0.95</v>
      </c>
      <c r="CV191" s="467">
        <v>0.95</v>
      </c>
    </row>
    <row r="192" spans="1:100" s="48" customFormat="1" outlineLevel="1" x14ac:dyDescent="0.3">
      <c r="A192" s="202">
        <v>78587000</v>
      </c>
      <c r="B192" s="48">
        <v>400828</v>
      </c>
      <c r="C192" s="48">
        <v>90779</v>
      </c>
      <c r="D192" s="48" t="s">
        <v>43</v>
      </c>
      <c r="E192" s="48" t="s">
        <v>7</v>
      </c>
      <c r="F192" s="48" t="s">
        <v>1498</v>
      </c>
      <c r="G192" s="48" t="s">
        <v>1502</v>
      </c>
      <c r="H192" s="48" t="s">
        <v>1516</v>
      </c>
      <c r="O192" s="454" t="s">
        <v>900</v>
      </c>
      <c r="P192" s="455" t="s">
        <v>900</v>
      </c>
      <c r="Q192" s="347" t="s">
        <v>900</v>
      </c>
      <c r="R192" s="455">
        <v>415</v>
      </c>
      <c r="S192" s="457">
        <v>160</v>
      </c>
      <c r="T192" s="455"/>
      <c r="U192" s="454">
        <v>415</v>
      </c>
      <c r="V192" s="455">
        <v>81.990930130235654</v>
      </c>
      <c r="W192" s="230">
        <v>0.19756850633791723</v>
      </c>
      <c r="X192" s="264" t="s">
        <v>900</v>
      </c>
      <c r="Y192" s="265" t="s">
        <v>900</v>
      </c>
      <c r="Z192" s="265" t="s">
        <v>900</v>
      </c>
      <c r="AA192" s="265" t="s">
        <v>900</v>
      </c>
      <c r="AB192" s="266" t="s">
        <v>900</v>
      </c>
      <c r="AC192" s="265">
        <v>38527.350915687501</v>
      </c>
      <c r="AD192" s="265">
        <v>7955.5822001351335</v>
      </c>
      <c r="AE192" s="265">
        <v>20880.864664175362</v>
      </c>
      <c r="AF192" s="266">
        <v>18013.59517744531</v>
      </c>
      <c r="AG192" s="265">
        <v>38527.350915687501</v>
      </c>
      <c r="AH192" s="265">
        <v>7955.5822001351335</v>
      </c>
      <c r="AI192" s="265">
        <v>20880.864664175362</v>
      </c>
      <c r="AJ192" s="266">
        <v>18013.59517744531</v>
      </c>
      <c r="AK192" s="265">
        <v>38536.856018709492</v>
      </c>
      <c r="AL192" s="265">
        <v>9930.167031570385</v>
      </c>
      <c r="AM192" s="265">
        <v>20886.016193286592</v>
      </c>
      <c r="AN192" s="265">
        <v>18018.039320992382</v>
      </c>
      <c r="AO192" s="266">
        <v>87371.078564558848</v>
      </c>
      <c r="AP192" s="203"/>
      <c r="AQ192" s="264">
        <v>37951.518407852222</v>
      </c>
      <c r="AR192" s="265">
        <v>9614.8571175289635</v>
      </c>
      <c r="AS192" s="265">
        <v>20596.734839292534</v>
      </c>
      <c r="AT192" s="265">
        <v>17294.220593699625</v>
      </c>
      <c r="AU192" s="266">
        <v>85457.33095837335</v>
      </c>
      <c r="AV192" s="203"/>
      <c r="AW192" s="324">
        <v>70817.915837338995</v>
      </c>
      <c r="AX192" s="203"/>
      <c r="AY192" s="377">
        <v>0</v>
      </c>
      <c r="AZ192" s="265">
        <v>8061.7983760390489</v>
      </c>
      <c r="BA192" s="265">
        <v>77395.532582334301</v>
      </c>
      <c r="BB192" s="265">
        <v>757.53807869236425</v>
      </c>
      <c r="BC192" s="266">
        <v>76637.994503641938</v>
      </c>
      <c r="BD192" s="264">
        <v>766.37994503641937</v>
      </c>
      <c r="BE192" s="265">
        <v>75871.614558605521</v>
      </c>
      <c r="BF192" s="357">
        <v>1.0713618674245415</v>
      </c>
      <c r="BG192" s="203"/>
      <c r="BJ192" s="458">
        <v>1.0713618674245415</v>
      </c>
      <c r="BK192" s="210"/>
      <c r="BL192" s="458"/>
      <c r="BM192" s="458"/>
      <c r="BN192" s="458"/>
      <c r="BQ192" s="203">
        <v>75690.665067060196</v>
      </c>
      <c r="BR192" s="458">
        <v>1.0688067302194175</v>
      </c>
      <c r="BT192" s="459" t="s">
        <v>900</v>
      </c>
      <c r="BU192" s="460" t="s">
        <v>900</v>
      </c>
      <c r="BV192" s="461">
        <v>75871.614558605521</v>
      </c>
      <c r="BX192" s="462">
        <v>-4551.8502330227784</v>
      </c>
      <c r="BY192" s="463">
        <v>-5.5779382165435307E-2</v>
      </c>
      <c r="BZ192" s="461">
        <v>-55.516509274776482</v>
      </c>
      <c r="CB192" s="203" t="s">
        <v>900</v>
      </c>
      <c r="CC192" s="203">
        <v>1723.0111629405671</v>
      </c>
      <c r="CD192" s="203" t="e">
        <v>#VALUE!</v>
      </c>
      <c r="CE192" s="203" t="s">
        <v>900</v>
      </c>
      <c r="CF192" s="203" t="e">
        <v>#VALUE!</v>
      </c>
      <c r="CH192" s="199"/>
      <c r="CJ192" s="464" t="s">
        <v>1448</v>
      </c>
      <c r="CK192" s="464" t="s">
        <v>1447</v>
      </c>
      <c r="CL192" s="464" t="s">
        <v>1448</v>
      </c>
      <c r="CN192" s="464" t="s">
        <v>1447</v>
      </c>
      <c r="CO192" s="464" t="s">
        <v>1447</v>
      </c>
      <c r="CP192" s="464" t="s">
        <v>1447</v>
      </c>
      <c r="CQ192" s="464" t="s">
        <v>1447</v>
      </c>
      <c r="CS192" s="465">
        <v>0</v>
      </c>
      <c r="CT192" s="466">
        <v>0.9</v>
      </c>
      <c r="CU192" s="466">
        <v>0</v>
      </c>
      <c r="CV192" s="467">
        <v>0.9</v>
      </c>
    </row>
    <row r="193" spans="1:100" s="48" customFormat="1" outlineLevel="1" x14ac:dyDescent="0.3">
      <c r="A193" s="202">
        <v>78226000</v>
      </c>
      <c r="B193" s="48" t="e">
        <v>#N/A</v>
      </c>
      <c r="C193" s="48">
        <v>91958</v>
      </c>
      <c r="D193" s="48" t="s">
        <v>44</v>
      </c>
      <c r="E193" s="48" t="s">
        <v>7</v>
      </c>
      <c r="F193" s="48" t="s">
        <v>1498</v>
      </c>
      <c r="G193" s="48" t="s">
        <v>1502</v>
      </c>
      <c r="H193" s="48" t="s">
        <v>1512</v>
      </c>
      <c r="O193" s="454" t="s">
        <v>900</v>
      </c>
      <c r="P193" s="455" t="s">
        <v>900</v>
      </c>
      <c r="Q193" s="347" t="s">
        <v>900</v>
      </c>
      <c r="R193" s="455">
        <v>87</v>
      </c>
      <c r="S193" s="457">
        <v>77</v>
      </c>
      <c r="T193" s="455"/>
      <c r="U193" s="454">
        <v>87</v>
      </c>
      <c r="V193" s="455">
        <v>39.458135125175907</v>
      </c>
      <c r="W193" s="230">
        <v>0.45354178304799891</v>
      </c>
      <c r="X193" s="264" t="s">
        <v>900</v>
      </c>
      <c r="Y193" s="265" t="s">
        <v>900</v>
      </c>
      <c r="Z193" s="265" t="s">
        <v>900</v>
      </c>
      <c r="AA193" s="265" t="s">
        <v>900</v>
      </c>
      <c r="AB193" s="266" t="s">
        <v>900</v>
      </c>
      <c r="AC193" s="265">
        <v>18541.28762817461</v>
      </c>
      <c r="AD193" s="265">
        <v>3828.6239338150326</v>
      </c>
      <c r="AE193" s="265">
        <v>10048.916119634392</v>
      </c>
      <c r="AF193" s="266">
        <v>8669.0426791455557</v>
      </c>
      <c r="AG193" s="265">
        <v>18541.28762817461</v>
      </c>
      <c r="AH193" s="265">
        <v>3828.6239338150326</v>
      </c>
      <c r="AI193" s="265">
        <v>10048.916119634392</v>
      </c>
      <c r="AJ193" s="266">
        <v>8669.0426791455557</v>
      </c>
      <c r="AK193" s="265">
        <v>18550.792731196601</v>
      </c>
      <c r="AL193" s="265">
        <v>5803.2087652502842</v>
      </c>
      <c r="AM193" s="265">
        <v>10054.067648745622</v>
      </c>
      <c r="AN193" s="265">
        <v>8673.4868226926283</v>
      </c>
      <c r="AO193" s="266">
        <v>43081.555967885135</v>
      </c>
      <c r="AP193" s="203"/>
      <c r="AQ193" s="264">
        <v>18667.300082398931</v>
      </c>
      <c r="AR193" s="265">
        <v>5618.9410433561725</v>
      </c>
      <c r="AS193" s="265">
        <v>9914.8139837258714</v>
      </c>
      <c r="AT193" s="265">
        <v>9536.3419664342291</v>
      </c>
      <c r="AU193" s="266">
        <v>43737.397075915207</v>
      </c>
      <c r="AV193" s="203"/>
      <c r="AW193" s="324">
        <v>41942.351215609524</v>
      </c>
      <c r="AX193" s="203"/>
      <c r="AY193" s="377">
        <v>0</v>
      </c>
      <c r="AZ193" s="265">
        <v>1795.0458603056832</v>
      </c>
      <c r="BA193" s="265">
        <v>41942.351215609524</v>
      </c>
      <c r="BB193" s="265">
        <v>410.52664276084363</v>
      </c>
      <c r="BC193" s="266">
        <v>41531.82457284868</v>
      </c>
      <c r="BD193" s="264">
        <v>415.31824572848683</v>
      </c>
      <c r="BE193" s="265">
        <v>41116.506327120194</v>
      </c>
      <c r="BF193" s="357">
        <v>0.98031000016560876</v>
      </c>
      <c r="BG193" s="203"/>
      <c r="BJ193" s="458">
        <v>0.98031000016560876</v>
      </c>
      <c r="BK193" s="210"/>
      <c r="BL193" s="458"/>
      <c r="BM193" s="458"/>
      <c r="BN193" s="458"/>
      <c r="BQ193" s="203">
        <v>41018.445794768326</v>
      </c>
      <c r="BR193" s="458">
        <v>0.97797201649254817</v>
      </c>
      <c r="BT193" s="459" t="s">
        <v>900</v>
      </c>
      <c r="BU193" s="460" t="s">
        <v>900</v>
      </c>
      <c r="BV193" s="461">
        <v>41116.506327120194</v>
      </c>
      <c r="BX193" s="462">
        <v>599.6450042744691</v>
      </c>
      <c r="BY193" s="463">
        <v>1.4595997734198842E-2</v>
      </c>
      <c r="BZ193" s="461">
        <v>15.196993024940781</v>
      </c>
      <c r="CB193" s="203" t="s">
        <v>900</v>
      </c>
      <c r="CC193" s="203">
        <v>714.54013385594794</v>
      </c>
      <c r="CD193" s="203" t="e">
        <v>#VALUE!</v>
      </c>
      <c r="CE193" s="203" t="s">
        <v>900</v>
      </c>
      <c r="CF193" s="203" t="e">
        <v>#VALUE!</v>
      </c>
      <c r="CH193" s="199"/>
      <c r="CJ193" s="464" t="s">
        <v>1448</v>
      </c>
      <c r="CK193" s="464" t="s">
        <v>1447</v>
      </c>
      <c r="CL193" s="464" t="s">
        <v>1448</v>
      </c>
      <c r="CN193" s="464" t="s">
        <v>1447</v>
      </c>
      <c r="CO193" s="464" t="s">
        <v>1447</v>
      </c>
      <c r="CP193" s="464" t="s">
        <v>1447</v>
      </c>
      <c r="CQ193" s="464" t="s">
        <v>1447</v>
      </c>
      <c r="CS193" s="465">
        <v>0</v>
      </c>
      <c r="CT193" s="466">
        <v>0</v>
      </c>
      <c r="CU193" s="466">
        <v>0.95</v>
      </c>
      <c r="CV193" s="467">
        <v>0.95</v>
      </c>
    </row>
    <row r="194" spans="1:100" s="48" customFormat="1" outlineLevel="1" x14ac:dyDescent="0.3">
      <c r="A194" s="202">
        <v>78723000</v>
      </c>
      <c r="B194" s="48">
        <v>400057</v>
      </c>
      <c r="C194" s="48">
        <v>4346</v>
      </c>
      <c r="D194" s="48" t="s">
        <v>45</v>
      </c>
      <c r="E194" s="48" t="s">
        <v>7</v>
      </c>
      <c r="F194" s="48" t="s">
        <v>1501</v>
      </c>
      <c r="G194" s="48" t="s">
        <v>1502</v>
      </c>
      <c r="H194" s="48" t="s">
        <v>1523</v>
      </c>
      <c r="O194" s="454" t="s">
        <v>900</v>
      </c>
      <c r="P194" s="455" t="s">
        <v>900</v>
      </c>
      <c r="Q194" s="347" t="s">
        <v>900</v>
      </c>
      <c r="R194" s="455">
        <v>45</v>
      </c>
      <c r="S194" s="457">
        <v>45</v>
      </c>
      <c r="T194" s="455"/>
      <c r="U194" s="454">
        <v>45</v>
      </c>
      <c r="V194" s="455">
        <v>23.059949099128779</v>
      </c>
      <c r="W194" s="230">
        <v>0.51244331331397286</v>
      </c>
      <c r="X194" s="264" t="s">
        <v>900</v>
      </c>
      <c r="Y194" s="265" t="s">
        <v>900</v>
      </c>
      <c r="Z194" s="265" t="s">
        <v>900</v>
      </c>
      <c r="AA194" s="265" t="s">
        <v>900</v>
      </c>
      <c r="AB194" s="266" t="s">
        <v>900</v>
      </c>
      <c r="AC194" s="265">
        <v>10835.81744503711</v>
      </c>
      <c r="AD194" s="265">
        <v>2237.5074937880063</v>
      </c>
      <c r="AE194" s="265">
        <v>5872.7431867993209</v>
      </c>
      <c r="AF194" s="266">
        <v>5066.3236436564939</v>
      </c>
      <c r="AG194" s="265">
        <v>10835.81744503711</v>
      </c>
      <c r="AH194" s="265">
        <v>2237.5074937880063</v>
      </c>
      <c r="AI194" s="265">
        <v>5872.7431867993209</v>
      </c>
      <c r="AJ194" s="266">
        <v>5066.3236436564939</v>
      </c>
      <c r="AK194" s="265">
        <v>10845.322548059101</v>
      </c>
      <c r="AL194" s="265">
        <v>4212.0923252232578</v>
      </c>
      <c r="AM194" s="265">
        <v>5877.8947159105501</v>
      </c>
      <c r="AN194" s="265">
        <v>5070.7677872035656</v>
      </c>
      <c r="AO194" s="266">
        <v>26006.077376396475</v>
      </c>
      <c r="AP194" s="203"/>
      <c r="AQ194" s="264">
        <v>14674.918920057118</v>
      </c>
      <c r="AR194" s="265">
        <v>4078.3468942775066</v>
      </c>
      <c r="AS194" s="265">
        <v>7512.1197661055203</v>
      </c>
      <c r="AT194" s="265">
        <v>7512.0329046879269</v>
      </c>
      <c r="AU194" s="266">
        <v>33777.418485128073</v>
      </c>
      <c r="AV194" s="203"/>
      <c r="AW194" s="324">
        <v>32508.597431138602</v>
      </c>
      <c r="AX194" s="203"/>
      <c r="AY194" s="377">
        <v>0</v>
      </c>
      <c r="AZ194" s="265">
        <v>1268.8210539894717</v>
      </c>
      <c r="BA194" s="265">
        <v>32508.597431138602</v>
      </c>
      <c r="BB194" s="265">
        <v>318.19020578184274</v>
      </c>
      <c r="BC194" s="266">
        <v>32190.407225356757</v>
      </c>
      <c r="BD194" s="264">
        <v>321.90407225356756</v>
      </c>
      <c r="BE194" s="265">
        <v>31868.503153103189</v>
      </c>
      <c r="BF194" s="357">
        <v>0.98031000016560865</v>
      </c>
      <c r="BG194" s="203"/>
      <c r="BJ194" s="458">
        <v>0.98031000016560865</v>
      </c>
      <c r="BK194" s="210"/>
      <c r="BL194" s="458"/>
      <c r="BM194" s="458"/>
      <c r="BN194" s="458"/>
      <c r="BQ194" s="203">
        <v>31792.498583075088</v>
      </c>
      <c r="BR194" s="458">
        <v>0.97797201649254817</v>
      </c>
      <c r="BT194" s="459" t="s">
        <v>900</v>
      </c>
      <c r="BU194" s="460" t="s">
        <v>900</v>
      </c>
      <c r="BV194" s="461">
        <v>31868.503153103189</v>
      </c>
      <c r="BX194" s="462">
        <v>8029.2634855572251</v>
      </c>
      <c r="BY194" s="463">
        <v>0.33248706245882648</v>
      </c>
      <c r="BZ194" s="461">
        <v>348.19085901020378</v>
      </c>
      <c r="CB194" s="203">
        <v>9239</v>
      </c>
      <c r="CC194" s="203">
        <v>9650.6436380745072</v>
      </c>
      <c r="CD194" s="203" t="e">
        <v>#VALUE!</v>
      </c>
      <c r="CE194" s="203" t="s">
        <v>900</v>
      </c>
      <c r="CF194" s="203" t="e">
        <v>#VALUE!</v>
      </c>
      <c r="CH194" s="199"/>
      <c r="CJ194" s="464" t="s">
        <v>1448</v>
      </c>
      <c r="CK194" s="464" t="s">
        <v>1447</v>
      </c>
      <c r="CL194" s="464" t="s">
        <v>1448</v>
      </c>
      <c r="CN194" s="464" t="s">
        <v>1447</v>
      </c>
      <c r="CO194" s="464" t="s">
        <v>1447</v>
      </c>
      <c r="CP194" s="464" t="s">
        <v>1447</v>
      </c>
      <c r="CQ194" s="464" t="s">
        <v>1447</v>
      </c>
      <c r="CS194" s="465">
        <v>0</v>
      </c>
      <c r="CT194" s="466">
        <v>0</v>
      </c>
      <c r="CU194" s="466">
        <v>0.95</v>
      </c>
      <c r="CV194" s="467">
        <v>0.95</v>
      </c>
    </row>
    <row r="195" spans="1:100" s="48" customFormat="1" outlineLevel="1" x14ac:dyDescent="0.3">
      <c r="A195" s="202">
        <v>78511000</v>
      </c>
      <c r="B195" s="48">
        <v>400427</v>
      </c>
      <c r="C195" s="48">
        <v>87407</v>
      </c>
      <c r="D195" s="48" t="s">
        <v>47</v>
      </c>
      <c r="E195" s="48" t="s">
        <v>7</v>
      </c>
      <c r="F195" s="48" t="s">
        <v>1498</v>
      </c>
      <c r="G195" s="48" t="s">
        <v>1502</v>
      </c>
      <c r="H195" s="48" t="s">
        <v>1523</v>
      </c>
      <c r="O195" s="454" t="s">
        <v>900</v>
      </c>
      <c r="P195" s="455" t="s">
        <v>900</v>
      </c>
      <c r="Q195" s="347" t="s">
        <v>900</v>
      </c>
      <c r="R195" s="455">
        <v>1817</v>
      </c>
      <c r="S195" s="457">
        <v>833</v>
      </c>
      <c r="T195" s="455"/>
      <c r="U195" s="454">
        <v>1817</v>
      </c>
      <c r="V195" s="455">
        <v>426.86527999053936</v>
      </c>
      <c r="W195" s="230">
        <v>0.23492860758972997</v>
      </c>
      <c r="X195" s="264" t="s">
        <v>900</v>
      </c>
      <c r="Y195" s="265" t="s">
        <v>900</v>
      </c>
      <c r="Z195" s="265" t="s">
        <v>900</v>
      </c>
      <c r="AA195" s="265" t="s">
        <v>900</v>
      </c>
      <c r="AB195" s="266" t="s">
        <v>900</v>
      </c>
      <c r="AC195" s="265">
        <v>200583.02070479805</v>
      </c>
      <c r="AD195" s="265">
        <v>41418.749829453533</v>
      </c>
      <c r="AE195" s="265">
        <v>108711.00165786297</v>
      </c>
      <c r="AF195" s="266">
        <v>93783.279892574647</v>
      </c>
      <c r="AG195" s="265">
        <v>200583.02070479805</v>
      </c>
      <c r="AH195" s="265">
        <v>41418.749829453533</v>
      </c>
      <c r="AI195" s="265">
        <v>108711.00165786297</v>
      </c>
      <c r="AJ195" s="266">
        <v>93783.279892574647</v>
      </c>
      <c r="AK195" s="265">
        <v>200592.52580782003</v>
      </c>
      <c r="AL195" s="265">
        <v>43393.33466088878</v>
      </c>
      <c r="AM195" s="265">
        <v>108716.1531869742</v>
      </c>
      <c r="AN195" s="265">
        <v>93787.724036121712</v>
      </c>
      <c r="AO195" s="266">
        <v>446489.73769180477</v>
      </c>
      <c r="AP195" s="203"/>
      <c r="AQ195" s="264">
        <v>202744.94826034698</v>
      </c>
      <c r="AR195" s="265">
        <v>42036.45240398914</v>
      </c>
      <c r="AS195" s="265">
        <v>107498.33379133098</v>
      </c>
      <c r="AT195" s="265">
        <v>103573.90463769817</v>
      </c>
      <c r="AU195" s="266">
        <v>455853.63909336529</v>
      </c>
      <c r="AV195" s="203"/>
      <c r="AW195" s="324">
        <v>473471.62250701105</v>
      </c>
      <c r="AX195" s="203"/>
      <c r="AY195" s="377">
        <v>0</v>
      </c>
      <c r="AZ195" s="265">
        <v>0</v>
      </c>
      <c r="BA195" s="265">
        <v>455853.63909336529</v>
      </c>
      <c r="BB195" s="265">
        <v>4461.8400882033839</v>
      </c>
      <c r="BC195" s="266">
        <v>451391.79900516191</v>
      </c>
      <c r="BD195" s="264">
        <v>4513.9179900516192</v>
      </c>
      <c r="BE195" s="265">
        <v>446877.8810151103</v>
      </c>
      <c r="BF195" s="357">
        <v>0.94383244902600905</v>
      </c>
      <c r="BG195" s="203"/>
      <c r="BJ195" s="458">
        <v>0.94383244902600905</v>
      </c>
      <c r="BK195" s="210"/>
      <c r="BL195" s="458"/>
      <c r="BM195" s="458"/>
      <c r="BN195" s="458"/>
      <c r="BQ195" s="203">
        <v>445812.10264960479</v>
      </c>
      <c r="BR195" s="458">
        <v>0.94158146224065054</v>
      </c>
      <c r="BT195" s="459" t="s">
        <v>900</v>
      </c>
      <c r="BU195" s="460" t="s">
        <v>900</v>
      </c>
      <c r="BV195" s="461">
        <v>446877.8810151103</v>
      </c>
      <c r="BX195" s="462">
        <v>12352.208085807739</v>
      </c>
      <c r="BY195" s="463">
        <v>2.8000502222742515E-2</v>
      </c>
      <c r="BZ195" s="461">
        <v>28.937017520097914</v>
      </c>
      <c r="CB195" s="203" t="s">
        <v>900</v>
      </c>
      <c r="CC195" s="203">
        <v>8620.91880593938</v>
      </c>
      <c r="CD195" s="203" t="e">
        <v>#VALUE!</v>
      </c>
      <c r="CE195" s="203" t="s">
        <v>900</v>
      </c>
      <c r="CF195" s="203" t="e">
        <v>#VALUE!</v>
      </c>
      <c r="CH195" s="199"/>
      <c r="CJ195" s="464" t="s">
        <v>1448</v>
      </c>
      <c r="CK195" s="464" t="s">
        <v>1447</v>
      </c>
      <c r="CL195" s="464" t="s">
        <v>1448</v>
      </c>
      <c r="CN195" s="464" t="s">
        <v>1447</v>
      </c>
      <c r="CO195" s="464" t="s">
        <v>1447</v>
      </c>
      <c r="CP195" s="464" t="s">
        <v>1447</v>
      </c>
      <c r="CQ195" s="464" t="s">
        <v>1447</v>
      </c>
      <c r="CS195" s="465">
        <v>0</v>
      </c>
      <c r="CT195" s="466">
        <v>0.9</v>
      </c>
      <c r="CU195" s="466">
        <v>0</v>
      </c>
      <c r="CV195" s="467">
        <v>0.9</v>
      </c>
    </row>
    <row r="196" spans="1:100" s="48" customFormat="1" outlineLevel="1" x14ac:dyDescent="0.3">
      <c r="A196" s="202">
        <v>78991000</v>
      </c>
      <c r="B196" s="48">
        <v>400415</v>
      </c>
      <c r="C196" s="48">
        <v>85749</v>
      </c>
      <c r="D196" s="48" t="s">
        <v>49</v>
      </c>
      <c r="E196" s="48" t="s">
        <v>7</v>
      </c>
      <c r="F196" s="48" t="s">
        <v>1498</v>
      </c>
      <c r="G196" s="48" t="s">
        <v>1499</v>
      </c>
      <c r="H196" s="48" t="s">
        <v>1508</v>
      </c>
      <c r="O196" s="454" t="s">
        <v>900</v>
      </c>
      <c r="P196" s="455" t="s">
        <v>900</v>
      </c>
      <c r="Q196" s="347" t="s">
        <v>900</v>
      </c>
      <c r="R196" s="455">
        <v>188</v>
      </c>
      <c r="S196" s="457">
        <v>34</v>
      </c>
      <c r="T196" s="455"/>
      <c r="U196" s="454">
        <v>188</v>
      </c>
      <c r="V196" s="455">
        <v>17.423072652675078</v>
      </c>
      <c r="W196" s="230">
        <v>9.2675918365292972E-2</v>
      </c>
      <c r="X196" s="264" t="s">
        <v>900</v>
      </c>
      <c r="Y196" s="265" t="s">
        <v>900</v>
      </c>
      <c r="Z196" s="265" t="s">
        <v>900</v>
      </c>
      <c r="AA196" s="265" t="s">
        <v>900</v>
      </c>
      <c r="AB196" s="266" t="s">
        <v>900</v>
      </c>
      <c r="AC196" s="265">
        <v>8187.0620695835951</v>
      </c>
      <c r="AD196" s="265">
        <v>1690.561217528716</v>
      </c>
      <c r="AE196" s="265">
        <v>4437.1837411372644</v>
      </c>
      <c r="AF196" s="266">
        <v>3827.8889752071286</v>
      </c>
      <c r="AG196" s="265">
        <v>8187.0620695835951</v>
      </c>
      <c r="AH196" s="265" t="s">
        <v>900</v>
      </c>
      <c r="AI196" s="265">
        <v>4437.1837411372644</v>
      </c>
      <c r="AJ196" s="266">
        <v>3827.8889752071286</v>
      </c>
      <c r="AK196" s="265">
        <v>8196.5671726055862</v>
      </c>
      <c r="AL196" s="265" t="s">
        <v>900</v>
      </c>
      <c r="AM196" s="265">
        <v>4442.3352702484935</v>
      </c>
      <c r="AN196" s="265">
        <v>3832.3331187542008</v>
      </c>
      <c r="AO196" s="266">
        <v>16471.235561608279</v>
      </c>
      <c r="AP196" s="203"/>
      <c r="AQ196" s="264">
        <v>18868.108225456122</v>
      </c>
      <c r="AR196" s="265">
        <v>4489.391857577576</v>
      </c>
      <c r="AS196" s="265">
        <v>10004.146655365706</v>
      </c>
      <c r="AT196" s="265">
        <v>9638.9264383924201</v>
      </c>
      <c r="AU196" s="266">
        <v>43000.573176791819</v>
      </c>
      <c r="AV196" s="203"/>
      <c r="AW196" s="324">
        <v>49900.126479620194</v>
      </c>
      <c r="AX196" s="203"/>
      <c r="AY196" s="377">
        <v>0</v>
      </c>
      <c r="AZ196" s="265">
        <v>0</v>
      </c>
      <c r="BA196" s="265">
        <v>43000.573176791819</v>
      </c>
      <c r="BB196" s="265">
        <v>420.88439087054621</v>
      </c>
      <c r="BC196" s="266">
        <v>42579.688785921273</v>
      </c>
      <c r="BD196" s="264">
        <v>425.79688785921275</v>
      </c>
      <c r="BE196" s="265">
        <v>42153.891898062058</v>
      </c>
      <c r="BF196" s="357">
        <v>0.84476523151255356</v>
      </c>
      <c r="BG196" s="203"/>
      <c r="BJ196" s="458">
        <v>0.84476523151255356</v>
      </c>
      <c r="BK196" s="210"/>
      <c r="BL196" s="458"/>
      <c r="BM196" s="458"/>
      <c r="BN196" s="458"/>
      <c r="BQ196" s="203">
        <v>42053.357260042474</v>
      </c>
      <c r="BR196" s="458">
        <v>0.84275051441437865</v>
      </c>
      <c r="BT196" s="459" t="s">
        <v>900</v>
      </c>
      <c r="BU196" s="460" t="s">
        <v>900</v>
      </c>
      <c r="BV196" s="461">
        <v>42153.891898062058</v>
      </c>
      <c r="BX196" s="462">
        <v>26066.495023059411</v>
      </c>
      <c r="BY196" s="463">
        <v>1.5957051203140731</v>
      </c>
      <c r="BZ196" s="461">
        <v>1496.0905887663421</v>
      </c>
      <c r="CB196" s="203" t="s">
        <v>900</v>
      </c>
      <c r="CC196" s="203">
        <v>467.67045395453107</v>
      </c>
      <c r="CD196" s="203" t="e">
        <v>#VALUE!</v>
      </c>
      <c r="CE196" s="203" t="s">
        <v>900</v>
      </c>
      <c r="CF196" s="203" t="e">
        <v>#VALUE!</v>
      </c>
      <c r="CH196" s="199"/>
      <c r="CJ196" s="464" t="s">
        <v>1448</v>
      </c>
      <c r="CK196" s="464" t="s">
        <v>1447</v>
      </c>
      <c r="CL196" s="464" t="s">
        <v>1448</v>
      </c>
      <c r="CN196" s="464" t="s">
        <v>1447</v>
      </c>
      <c r="CO196" s="464" t="s">
        <v>1448</v>
      </c>
      <c r="CP196" s="464" t="s">
        <v>1447</v>
      </c>
      <c r="CQ196" s="464" t="s">
        <v>1447</v>
      </c>
      <c r="CS196" s="465">
        <v>0.85</v>
      </c>
      <c r="CT196" s="466">
        <v>0</v>
      </c>
      <c r="CU196" s="466">
        <v>0</v>
      </c>
      <c r="CV196" s="467">
        <v>0.85</v>
      </c>
    </row>
    <row r="197" spans="1:100" s="48" customFormat="1" outlineLevel="1" x14ac:dyDescent="0.3">
      <c r="A197" s="202">
        <v>78546000</v>
      </c>
      <c r="B197" s="48">
        <v>400764</v>
      </c>
      <c r="C197" s="48">
        <v>89949</v>
      </c>
      <c r="D197" s="48" t="s">
        <v>56</v>
      </c>
      <c r="E197" s="48" t="s">
        <v>7</v>
      </c>
      <c r="F197" s="48" t="s">
        <v>1525</v>
      </c>
      <c r="G197" s="48" t="s">
        <v>1502</v>
      </c>
      <c r="H197" s="48" t="s">
        <v>1527</v>
      </c>
      <c r="O197" s="454" t="s">
        <v>900</v>
      </c>
      <c r="P197" s="455" t="s">
        <v>900</v>
      </c>
      <c r="Q197" s="347" t="s">
        <v>900</v>
      </c>
      <c r="R197" s="455">
        <v>384</v>
      </c>
      <c r="S197" s="457">
        <v>279</v>
      </c>
      <c r="T197" s="455"/>
      <c r="U197" s="454">
        <v>384</v>
      </c>
      <c r="V197" s="455">
        <v>142.97168441459843</v>
      </c>
      <c r="W197" s="230">
        <v>0.37232209482968343</v>
      </c>
      <c r="X197" s="264" t="s">
        <v>900</v>
      </c>
      <c r="Y197" s="265" t="s">
        <v>900</v>
      </c>
      <c r="Z197" s="265" t="s">
        <v>900</v>
      </c>
      <c r="AA197" s="265" t="s">
        <v>900</v>
      </c>
      <c r="AB197" s="266" t="s">
        <v>900</v>
      </c>
      <c r="AC197" s="265">
        <v>67182.068159230083</v>
      </c>
      <c r="AD197" s="265">
        <v>13872.546461485639</v>
      </c>
      <c r="AE197" s="265">
        <v>36411.007758155793</v>
      </c>
      <c r="AF197" s="266">
        <v>31411.206590670259</v>
      </c>
      <c r="AG197" s="265">
        <v>67182.068159230083</v>
      </c>
      <c r="AH197" s="265">
        <v>13872.546461485639</v>
      </c>
      <c r="AI197" s="265">
        <v>36411.007758155793</v>
      </c>
      <c r="AJ197" s="266">
        <v>31411.206590670259</v>
      </c>
      <c r="AK197" s="265">
        <v>67191.573262252074</v>
      </c>
      <c r="AL197" s="265">
        <v>15847.131292920891</v>
      </c>
      <c r="AM197" s="265">
        <v>36416.159287267023</v>
      </c>
      <c r="AN197" s="265">
        <v>31415.650734217332</v>
      </c>
      <c r="AO197" s="266">
        <v>150870.51457665733</v>
      </c>
      <c r="AP197" s="203"/>
      <c r="AQ197" s="264">
        <v>116922.34480732246</v>
      </c>
      <c r="AR197" s="265">
        <v>22365.901963449465</v>
      </c>
      <c r="AS197" s="265">
        <v>58657.779730797716</v>
      </c>
      <c r="AT197" s="265">
        <v>55045.901290759168</v>
      </c>
      <c r="AU197" s="266">
        <v>252991.92779232882</v>
      </c>
      <c r="AV197" s="203"/>
      <c r="AW197" s="324">
        <v>263683.43600730255</v>
      </c>
      <c r="AX197" s="203"/>
      <c r="AY197" s="377">
        <v>0</v>
      </c>
      <c r="AZ197" s="265">
        <v>0</v>
      </c>
      <c r="BA197" s="265">
        <v>252991.92779232882</v>
      </c>
      <c r="BB197" s="265">
        <v>2476.2542812222073</v>
      </c>
      <c r="BC197" s="266">
        <v>250515.67351110661</v>
      </c>
      <c r="BD197" s="264">
        <v>2505.1567351110662</v>
      </c>
      <c r="BE197" s="265">
        <v>248010.51677599555</v>
      </c>
      <c r="BF197" s="357">
        <v>0.94056160876607753</v>
      </c>
      <c r="BG197" s="203"/>
      <c r="BJ197" s="458">
        <v>0.94056160876607753</v>
      </c>
      <c r="BK197" s="210"/>
      <c r="BL197" s="458"/>
      <c r="BM197" s="458"/>
      <c r="BN197" s="458"/>
      <c r="BQ197" s="203">
        <v>247419.02577940098</v>
      </c>
      <c r="BR197" s="458">
        <v>0.93831842274896959</v>
      </c>
      <c r="BT197" s="459">
        <v>-5.0216939284724162</v>
      </c>
      <c r="BU197" s="460">
        <v>-12454.329062913232</v>
      </c>
      <c r="BV197" s="461">
        <v>235556.18771308233</v>
      </c>
      <c r="BX197" s="462">
        <v>97083.185613829788</v>
      </c>
      <c r="BY197" s="463">
        <v>0.69771159016425011</v>
      </c>
      <c r="BZ197" s="461">
        <v>679.03785292409202</v>
      </c>
      <c r="CB197" s="203" t="s">
        <v>900</v>
      </c>
      <c r="CC197" s="203">
        <v>2658.9979308107454</v>
      </c>
      <c r="CD197" s="203" t="e">
        <v>#VALUE!</v>
      </c>
      <c r="CE197" s="203" t="e">
        <v>#VALUE!</v>
      </c>
      <c r="CF197" s="203" t="e">
        <v>#VALUE!</v>
      </c>
      <c r="CH197" s="199"/>
      <c r="CJ197" s="464" t="s">
        <v>1448</v>
      </c>
      <c r="CK197" s="464" t="s">
        <v>1447</v>
      </c>
      <c r="CL197" s="464" t="s">
        <v>1448</v>
      </c>
      <c r="CN197" s="464" t="s">
        <v>1447</v>
      </c>
      <c r="CO197" s="464" t="s">
        <v>1447</v>
      </c>
      <c r="CP197" s="464" t="s">
        <v>1447</v>
      </c>
      <c r="CQ197" s="464" t="s">
        <v>1447</v>
      </c>
      <c r="CS197" s="465">
        <v>0</v>
      </c>
      <c r="CT197" s="466">
        <v>0</v>
      </c>
      <c r="CU197" s="466">
        <v>0.95</v>
      </c>
      <c r="CV197" s="467">
        <v>0.95</v>
      </c>
    </row>
    <row r="198" spans="1:100" s="48" customFormat="1" outlineLevel="1" x14ac:dyDescent="0.3">
      <c r="A198" s="202">
        <v>78250000</v>
      </c>
      <c r="B198" s="48">
        <v>400890</v>
      </c>
      <c r="C198" s="48">
        <v>92325</v>
      </c>
      <c r="D198" s="48" t="s">
        <v>56</v>
      </c>
      <c r="E198" s="48" t="s">
        <v>7</v>
      </c>
      <c r="F198" s="48" t="s">
        <v>1498</v>
      </c>
      <c r="G198" s="48" t="s">
        <v>1502</v>
      </c>
      <c r="H198" s="48" t="s">
        <v>1527</v>
      </c>
      <c r="O198" s="454" t="s">
        <v>900</v>
      </c>
      <c r="P198" s="455" t="s">
        <v>900</v>
      </c>
      <c r="Q198" s="347" t="s">
        <v>900</v>
      </c>
      <c r="R198" s="455">
        <v>356</v>
      </c>
      <c r="S198" s="457">
        <v>232</v>
      </c>
      <c r="T198" s="455"/>
      <c r="U198" s="454">
        <v>356</v>
      </c>
      <c r="V198" s="455">
        <v>118.88684868884171</v>
      </c>
      <c r="W198" s="230">
        <v>0.33395182215966773</v>
      </c>
      <c r="X198" s="264" t="s">
        <v>900</v>
      </c>
      <c r="Y198" s="265" t="s">
        <v>900</v>
      </c>
      <c r="Z198" s="265" t="s">
        <v>900</v>
      </c>
      <c r="AA198" s="265" t="s">
        <v>900</v>
      </c>
      <c r="AB198" s="266" t="s">
        <v>900</v>
      </c>
      <c r="AC198" s="265">
        <v>55864.658827746884</v>
      </c>
      <c r="AD198" s="265">
        <v>11535.594190195945</v>
      </c>
      <c r="AE198" s="265">
        <v>30277.253763054279</v>
      </c>
      <c r="AF198" s="266">
        <v>26119.713007295701</v>
      </c>
      <c r="AG198" s="265">
        <v>55864.658827746884</v>
      </c>
      <c r="AH198" s="265">
        <v>11535.594190195945</v>
      </c>
      <c r="AI198" s="265">
        <v>30277.253763054279</v>
      </c>
      <c r="AJ198" s="266">
        <v>26119.713007295701</v>
      </c>
      <c r="AK198" s="265">
        <v>55874.163930768875</v>
      </c>
      <c r="AL198" s="265">
        <v>13510.179021631197</v>
      </c>
      <c r="AM198" s="265">
        <v>30282.405292165509</v>
      </c>
      <c r="AN198" s="265">
        <v>26124.157150842773</v>
      </c>
      <c r="AO198" s="266">
        <v>125790.90539540835</v>
      </c>
      <c r="AP198" s="203"/>
      <c r="AQ198" s="264">
        <v>59575.196407148804</v>
      </c>
      <c r="AR198" s="265">
        <v>13081.193952955964</v>
      </c>
      <c r="AS198" s="265">
        <v>31587.639563951267</v>
      </c>
      <c r="AT198" s="265">
        <v>30434.473284743184</v>
      </c>
      <c r="AU198" s="266">
        <v>134678.5032087992</v>
      </c>
      <c r="AV198" s="203"/>
      <c r="AW198" s="324">
        <v>132312.17382805911</v>
      </c>
      <c r="AX198" s="203"/>
      <c r="AY198" s="377">
        <v>0</v>
      </c>
      <c r="AZ198" s="265">
        <v>2366.3293807400914</v>
      </c>
      <c r="BA198" s="265">
        <v>132312.17382805911</v>
      </c>
      <c r="BB198" s="265">
        <v>1295.0554974564006</v>
      </c>
      <c r="BC198" s="266">
        <v>131017.11833060271</v>
      </c>
      <c r="BD198" s="264">
        <v>1310.1711833060272</v>
      </c>
      <c r="BE198" s="265">
        <v>129706.94714729668</v>
      </c>
      <c r="BF198" s="357">
        <v>0.98031000016560876</v>
      </c>
      <c r="BG198" s="203"/>
      <c r="BJ198" s="458">
        <v>0.98031000016560876</v>
      </c>
      <c r="BK198" s="210"/>
      <c r="BL198" s="458"/>
      <c r="BM198" s="458"/>
      <c r="BN198" s="458"/>
      <c r="BQ198" s="203">
        <v>129397.60344513952</v>
      </c>
      <c r="BR198" s="458">
        <v>0.97797201649254817</v>
      </c>
      <c r="BT198" s="459" t="s">
        <v>900</v>
      </c>
      <c r="BU198" s="460" t="s">
        <v>900</v>
      </c>
      <c r="BV198" s="461">
        <v>129706.94714729668</v>
      </c>
      <c r="BX198" s="462">
        <v>8407.8559315927268</v>
      </c>
      <c r="BY198" s="463">
        <v>6.8297901278661796E-2</v>
      </c>
      <c r="BZ198" s="461">
        <v>70.721497157337453</v>
      </c>
      <c r="CB198" s="203" t="s">
        <v>900</v>
      </c>
      <c r="CC198" s="203">
        <v>2248.3860686969947</v>
      </c>
      <c r="CD198" s="203" t="e">
        <v>#VALUE!</v>
      </c>
      <c r="CE198" s="203" t="s">
        <v>900</v>
      </c>
      <c r="CF198" s="203" t="e">
        <v>#VALUE!</v>
      </c>
      <c r="CH198" s="199"/>
      <c r="CJ198" s="464" t="s">
        <v>1448</v>
      </c>
      <c r="CK198" s="464" t="s">
        <v>1447</v>
      </c>
      <c r="CL198" s="464" t="s">
        <v>1448</v>
      </c>
      <c r="CN198" s="464" t="s">
        <v>1447</v>
      </c>
      <c r="CO198" s="464" t="s">
        <v>1447</v>
      </c>
      <c r="CP198" s="464" t="s">
        <v>1447</v>
      </c>
      <c r="CQ198" s="464" t="s">
        <v>1447</v>
      </c>
      <c r="CS198" s="465">
        <v>0</v>
      </c>
      <c r="CT198" s="466">
        <v>0</v>
      </c>
      <c r="CU198" s="466">
        <v>0.95</v>
      </c>
      <c r="CV198" s="467">
        <v>0.95</v>
      </c>
    </row>
    <row r="199" spans="1:100" s="48" customFormat="1" outlineLevel="1" x14ac:dyDescent="0.3">
      <c r="A199" s="202">
        <v>78207000</v>
      </c>
      <c r="B199" s="48">
        <v>400858</v>
      </c>
      <c r="C199" s="48">
        <v>91303</v>
      </c>
      <c r="D199" s="48" t="s">
        <v>56</v>
      </c>
      <c r="E199" s="48" t="s">
        <v>7</v>
      </c>
      <c r="F199" s="48" t="s">
        <v>1498</v>
      </c>
      <c r="G199" s="48" t="s">
        <v>1502</v>
      </c>
      <c r="H199" s="48" t="s">
        <v>1527</v>
      </c>
      <c r="O199" s="454" t="s">
        <v>900</v>
      </c>
      <c r="P199" s="455" t="s">
        <v>900</v>
      </c>
      <c r="Q199" s="347" t="s">
        <v>900</v>
      </c>
      <c r="R199" s="455">
        <v>357</v>
      </c>
      <c r="S199" s="457">
        <v>283</v>
      </c>
      <c r="T199" s="455"/>
      <c r="U199" s="454">
        <v>357</v>
      </c>
      <c r="V199" s="455">
        <v>145.02145766785432</v>
      </c>
      <c r="W199" s="230">
        <v>0.40622257049819138</v>
      </c>
      <c r="X199" s="264" t="s">
        <v>900</v>
      </c>
      <c r="Y199" s="265" t="s">
        <v>900</v>
      </c>
      <c r="Z199" s="265" t="s">
        <v>900</v>
      </c>
      <c r="AA199" s="265" t="s">
        <v>900</v>
      </c>
      <c r="AB199" s="266" t="s">
        <v>900</v>
      </c>
      <c r="AC199" s="265">
        <v>68145.251932122279</v>
      </c>
      <c r="AD199" s="265">
        <v>14071.436016489017</v>
      </c>
      <c r="AE199" s="265">
        <v>36933.029374760175</v>
      </c>
      <c r="AF199" s="266">
        <v>31861.546470106394</v>
      </c>
      <c r="AG199" s="265">
        <v>68145.251932122279</v>
      </c>
      <c r="AH199" s="265">
        <v>14071.436016489017</v>
      </c>
      <c r="AI199" s="265">
        <v>36933.029374760175</v>
      </c>
      <c r="AJ199" s="266">
        <v>31861.546470106394</v>
      </c>
      <c r="AK199" s="265">
        <v>68154.75703514427</v>
      </c>
      <c r="AL199" s="265">
        <v>16046.020847924268</v>
      </c>
      <c r="AM199" s="265">
        <v>36938.180903871405</v>
      </c>
      <c r="AN199" s="265">
        <v>31865.990613653466</v>
      </c>
      <c r="AO199" s="266">
        <v>153004.94940059341</v>
      </c>
      <c r="AP199" s="203"/>
      <c r="AQ199" s="264">
        <v>73856.651337091069</v>
      </c>
      <c r="AR199" s="265">
        <v>15781.956669324871</v>
      </c>
      <c r="AS199" s="265">
        <v>39159.875628316098</v>
      </c>
      <c r="AT199" s="265">
        <v>37730.270608886545</v>
      </c>
      <c r="AU199" s="266">
        <v>166528.7542436186</v>
      </c>
      <c r="AV199" s="203"/>
      <c r="AW199" s="324">
        <v>163861.4018406895</v>
      </c>
      <c r="AX199" s="203"/>
      <c r="AY199" s="377">
        <v>0</v>
      </c>
      <c r="AZ199" s="265">
        <v>2667.3524029291002</v>
      </c>
      <c r="BA199" s="265">
        <v>163861.4018406895</v>
      </c>
      <c r="BB199" s="265">
        <v>1603.8555118175721</v>
      </c>
      <c r="BC199" s="266">
        <v>162257.54632887192</v>
      </c>
      <c r="BD199" s="264">
        <v>1622.5754632887192</v>
      </c>
      <c r="BE199" s="265">
        <v>160634.97086558319</v>
      </c>
      <c r="BF199" s="357">
        <v>0.98031000016560865</v>
      </c>
      <c r="BG199" s="203"/>
      <c r="BJ199" s="458">
        <v>0.98031000016560865</v>
      </c>
      <c r="BK199" s="210"/>
      <c r="BL199" s="458"/>
      <c r="BM199" s="458"/>
      <c r="BN199" s="458"/>
      <c r="BQ199" s="203">
        <v>160251.86558343485</v>
      </c>
      <c r="BR199" s="458">
        <v>0.97797201649254806</v>
      </c>
      <c r="BT199" s="459" t="s">
        <v>900</v>
      </c>
      <c r="BU199" s="460" t="s">
        <v>900</v>
      </c>
      <c r="BV199" s="461">
        <v>160634.97086558319</v>
      </c>
      <c r="BX199" s="462">
        <v>12755.920136745233</v>
      </c>
      <c r="BY199" s="463">
        <v>8.4986339746016923E-2</v>
      </c>
      <c r="BZ199" s="461">
        <v>87.958846517460771</v>
      </c>
      <c r="CB199" s="203" t="s">
        <v>900</v>
      </c>
      <c r="CC199" s="203">
        <v>2664.054870539152</v>
      </c>
      <c r="CD199" s="203" t="e">
        <v>#VALUE!</v>
      </c>
      <c r="CE199" s="203" t="s">
        <v>900</v>
      </c>
      <c r="CF199" s="203" t="e">
        <v>#VALUE!</v>
      </c>
      <c r="CH199" s="199"/>
      <c r="CJ199" s="464" t="s">
        <v>1448</v>
      </c>
      <c r="CK199" s="464" t="s">
        <v>1447</v>
      </c>
      <c r="CL199" s="464" t="s">
        <v>1448</v>
      </c>
      <c r="CN199" s="464" t="s">
        <v>1447</v>
      </c>
      <c r="CO199" s="464" t="s">
        <v>1447</v>
      </c>
      <c r="CP199" s="464" t="s">
        <v>1447</v>
      </c>
      <c r="CQ199" s="464" t="s">
        <v>1447</v>
      </c>
      <c r="CS199" s="465">
        <v>0</v>
      </c>
      <c r="CT199" s="466">
        <v>0</v>
      </c>
      <c r="CU199" s="466">
        <v>0.95</v>
      </c>
      <c r="CV199" s="467">
        <v>0.95</v>
      </c>
    </row>
    <row r="200" spans="1:100" s="48" customFormat="1" outlineLevel="1" x14ac:dyDescent="0.3">
      <c r="A200" s="202">
        <v>78542000</v>
      </c>
      <c r="B200" s="48">
        <v>400785</v>
      </c>
      <c r="C200" s="48">
        <v>89869</v>
      </c>
      <c r="D200" s="48" t="s">
        <v>59</v>
      </c>
      <c r="E200" s="48" t="s">
        <v>7</v>
      </c>
      <c r="F200" s="48" t="s">
        <v>1498</v>
      </c>
      <c r="G200" s="48" t="s">
        <v>1499</v>
      </c>
      <c r="H200" s="48" t="s">
        <v>1515</v>
      </c>
      <c r="O200" s="454" t="s">
        <v>900</v>
      </c>
      <c r="P200" s="455" t="s">
        <v>900</v>
      </c>
      <c r="Q200" s="347" t="s">
        <v>900</v>
      </c>
      <c r="R200" s="455">
        <v>137</v>
      </c>
      <c r="S200" s="457">
        <v>116</v>
      </c>
      <c r="T200" s="455"/>
      <c r="U200" s="454">
        <v>137</v>
      </c>
      <c r="V200" s="455">
        <v>59.443424344420855</v>
      </c>
      <c r="W200" s="230">
        <v>0.43389360835343688</v>
      </c>
      <c r="X200" s="264" t="s">
        <v>900</v>
      </c>
      <c r="Y200" s="265" t="s">
        <v>900</v>
      </c>
      <c r="Z200" s="265" t="s">
        <v>900</v>
      </c>
      <c r="AA200" s="265" t="s">
        <v>900</v>
      </c>
      <c r="AB200" s="266" t="s">
        <v>900</v>
      </c>
      <c r="AC200" s="265">
        <v>27932.329413873442</v>
      </c>
      <c r="AD200" s="265">
        <v>5767.7970950979725</v>
      </c>
      <c r="AE200" s="265">
        <v>15138.62688152714</v>
      </c>
      <c r="AF200" s="266">
        <v>13059.85650364785</v>
      </c>
      <c r="AG200" s="265">
        <v>27932.329413873442</v>
      </c>
      <c r="AH200" s="265">
        <v>5767.7970950979725</v>
      </c>
      <c r="AI200" s="265">
        <v>15138.62688152714</v>
      </c>
      <c r="AJ200" s="266">
        <v>13059.85650364785</v>
      </c>
      <c r="AK200" s="265">
        <v>27941.834516895433</v>
      </c>
      <c r="AL200" s="265">
        <v>7742.381926533224</v>
      </c>
      <c r="AM200" s="265">
        <v>15143.77841063837</v>
      </c>
      <c r="AN200" s="265">
        <v>13064.300647194923</v>
      </c>
      <c r="AO200" s="266">
        <v>63892.29550126195</v>
      </c>
      <c r="AP200" s="203"/>
      <c r="AQ200" s="264">
        <v>27517.425046357708</v>
      </c>
      <c r="AR200" s="265">
        <v>7496.540162545798</v>
      </c>
      <c r="AS200" s="265">
        <v>14934.029807425874</v>
      </c>
      <c r="AT200" s="265">
        <v>12539.482974252818</v>
      </c>
      <c r="AU200" s="266">
        <v>62487.4779905822</v>
      </c>
      <c r="AV200" s="203"/>
      <c r="AW200" s="324">
        <v>52102.272101032853</v>
      </c>
      <c r="AX200" s="203"/>
      <c r="AY200" s="377">
        <v>0</v>
      </c>
      <c r="AZ200" s="265">
        <v>5894.8886296558485</v>
      </c>
      <c r="BA200" s="265">
        <v>56592.589360926351</v>
      </c>
      <c r="BB200" s="265">
        <v>553.92139549004776</v>
      </c>
      <c r="BC200" s="266">
        <v>56038.667965436303</v>
      </c>
      <c r="BD200" s="264">
        <v>560.38667965436309</v>
      </c>
      <c r="BE200" s="265">
        <v>55478.281285781937</v>
      </c>
      <c r="BF200" s="357">
        <v>1.0647958150117249</v>
      </c>
      <c r="BG200" s="203"/>
      <c r="BJ200" s="458">
        <v>1.0647958150117249</v>
      </c>
      <c r="BK200" s="210"/>
      <c r="BL200" s="458"/>
      <c r="BM200" s="458"/>
      <c r="BN200" s="458"/>
      <c r="BQ200" s="203">
        <v>55345.968735839873</v>
      </c>
      <c r="BR200" s="458">
        <v>1.0622563374686824</v>
      </c>
      <c r="BT200" s="459" t="s">
        <v>900</v>
      </c>
      <c r="BU200" s="460" t="s">
        <v>900</v>
      </c>
      <c r="BV200" s="461">
        <v>55478.281285781937</v>
      </c>
      <c r="BX200" s="462">
        <v>-2930.7229208506906</v>
      </c>
      <c r="BY200" s="463">
        <v>-4.9462011332903143E-2</v>
      </c>
      <c r="BZ200" s="461">
        <v>-49.302726973967772</v>
      </c>
      <c r="CB200" s="203" t="s">
        <v>900</v>
      </c>
      <c r="CC200" s="203">
        <v>1082.4872975418241</v>
      </c>
      <c r="CD200" s="203" t="e">
        <v>#VALUE!</v>
      </c>
      <c r="CE200" s="203" t="s">
        <v>900</v>
      </c>
      <c r="CF200" s="203" t="e">
        <v>#VALUE!</v>
      </c>
      <c r="CH200" s="199"/>
      <c r="CJ200" s="464" t="s">
        <v>1448</v>
      </c>
      <c r="CK200" s="464" t="s">
        <v>1447</v>
      </c>
      <c r="CL200" s="464" t="s">
        <v>1448</v>
      </c>
      <c r="CN200" s="464" t="s">
        <v>1447</v>
      </c>
      <c r="CO200" s="464" t="s">
        <v>1447</v>
      </c>
      <c r="CP200" s="464" t="s">
        <v>1447</v>
      </c>
      <c r="CQ200" s="464" t="s">
        <v>1447</v>
      </c>
      <c r="CS200" s="465">
        <v>0</v>
      </c>
      <c r="CT200" s="466">
        <v>0</v>
      </c>
      <c r="CU200" s="466">
        <v>0.95</v>
      </c>
      <c r="CV200" s="467">
        <v>0.95</v>
      </c>
    </row>
    <row r="201" spans="1:100" s="48" customFormat="1" outlineLevel="1" x14ac:dyDescent="0.3">
      <c r="A201" s="202">
        <v>78988000</v>
      </c>
      <c r="B201" s="48">
        <v>400184</v>
      </c>
      <c r="C201" s="48">
        <v>79204</v>
      </c>
      <c r="D201" s="48" t="s">
        <v>63</v>
      </c>
      <c r="E201" s="48" t="s">
        <v>7</v>
      </c>
      <c r="F201" s="48" t="s">
        <v>1503</v>
      </c>
      <c r="G201" s="48" t="s">
        <v>1502</v>
      </c>
      <c r="H201" s="48" t="s">
        <v>1523</v>
      </c>
      <c r="O201" s="454" t="s">
        <v>900</v>
      </c>
      <c r="P201" s="455" t="s">
        <v>900</v>
      </c>
      <c r="Q201" s="347" t="s">
        <v>900</v>
      </c>
      <c r="R201" s="455">
        <v>553</v>
      </c>
      <c r="S201" s="457">
        <v>188</v>
      </c>
      <c r="T201" s="455"/>
      <c r="U201" s="454">
        <v>553</v>
      </c>
      <c r="V201" s="455">
        <v>96.339342903026903</v>
      </c>
      <c r="W201" s="230">
        <v>0.17421219331469603</v>
      </c>
      <c r="X201" s="264" t="s">
        <v>900</v>
      </c>
      <c r="Y201" s="265" t="s">
        <v>900</v>
      </c>
      <c r="Z201" s="265" t="s">
        <v>900</v>
      </c>
      <c r="AA201" s="265" t="s">
        <v>900</v>
      </c>
      <c r="AB201" s="266" t="s">
        <v>900</v>
      </c>
      <c r="AC201" s="265">
        <v>45269.637325932817</v>
      </c>
      <c r="AD201" s="265">
        <v>9347.8090851587822</v>
      </c>
      <c r="AE201" s="265">
        <v>24535.015980406053</v>
      </c>
      <c r="AF201" s="266">
        <v>21165.974333498241</v>
      </c>
      <c r="AG201" s="265">
        <v>45269.637325932817</v>
      </c>
      <c r="AH201" s="265">
        <v>9347.8090851587822</v>
      </c>
      <c r="AI201" s="265">
        <v>24535.015980406053</v>
      </c>
      <c r="AJ201" s="266">
        <v>21165.974333498241</v>
      </c>
      <c r="AK201" s="265">
        <v>45279.142428954809</v>
      </c>
      <c r="AL201" s="265">
        <v>11322.393916594034</v>
      </c>
      <c r="AM201" s="265">
        <v>24540.167509517283</v>
      </c>
      <c r="AN201" s="265">
        <v>21170.418477045314</v>
      </c>
      <c r="AO201" s="266">
        <v>102312.12233211144</v>
      </c>
      <c r="AP201" s="203"/>
      <c r="AQ201" s="264">
        <v>44591.396001530542</v>
      </c>
      <c r="AR201" s="265">
        <v>10962.876997972797</v>
      </c>
      <c r="AS201" s="265">
        <v>24200.274405025866</v>
      </c>
      <c r="AT201" s="265">
        <v>20319.962715165781</v>
      </c>
      <c r="AU201" s="266">
        <v>100074.51011969498</v>
      </c>
      <c r="AV201" s="203"/>
      <c r="AW201" s="324">
        <v>88021.604335228825</v>
      </c>
      <c r="AX201" s="203"/>
      <c r="AY201" s="377">
        <v>0</v>
      </c>
      <c r="AZ201" s="265">
        <v>9440.7409419192991</v>
      </c>
      <c r="BA201" s="265">
        <v>90633.769177775685</v>
      </c>
      <c r="BB201" s="265">
        <v>887.11233163929251</v>
      </c>
      <c r="BC201" s="266">
        <v>89746.656846136393</v>
      </c>
      <c r="BD201" s="264">
        <v>897.46656846136398</v>
      </c>
      <c r="BE201" s="265">
        <v>88849.190277675036</v>
      </c>
      <c r="BF201" s="357">
        <v>1.0094020774637822</v>
      </c>
      <c r="BG201" s="203"/>
      <c r="BJ201" s="458">
        <v>1.0094020774637822</v>
      </c>
      <c r="BK201" s="210"/>
      <c r="BL201" s="458"/>
      <c r="BM201" s="458"/>
      <c r="BN201" s="458"/>
      <c r="BQ201" s="203">
        <v>88637.290005109462</v>
      </c>
      <c r="BR201" s="458">
        <v>1.0069947108386688</v>
      </c>
      <c r="BT201" s="459" t="s">
        <v>900</v>
      </c>
      <c r="BU201" s="460" t="s">
        <v>900</v>
      </c>
      <c r="BV201" s="461">
        <v>88849.190277675036</v>
      </c>
      <c r="BX201" s="462">
        <v>-5583.4767044050677</v>
      </c>
      <c r="BY201" s="463">
        <v>-5.8265080111696198E-2</v>
      </c>
      <c r="BZ201" s="461">
        <v>-57.956350294243492</v>
      </c>
      <c r="CB201" s="203" t="s">
        <v>900</v>
      </c>
      <c r="CC201" s="203">
        <v>2091.038422399954</v>
      </c>
      <c r="CD201" s="203" t="e">
        <v>#VALUE!</v>
      </c>
      <c r="CE201" s="203" t="s">
        <v>900</v>
      </c>
      <c r="CF201" s="203" t="e">
        <v>#VALUE!</v>
      </c>
      <c r="CH201" s="199"/>
      <c r="CJ201" s="464" t="s">
        <v>1448</v>
      </c>
      <c r="CK201" s="464" t="s">
        <v>1447</v>
      </c>
      <c r="CL201" s="464" t="s">
        <v>1448</v>
      </c>
      <c r="CN201" s="464" t="s">
        <v>1447</v>
      </c>
      <c r="CO201" s="464" t="s">
        <v>1447</v>
      </c>
      <c r="CP201" s="464" t="s">
        <v>1447</v>
      </c>
      <c r="CQ201" s="464" t="s">
        <v>1447</v>
      </c>
      <c r="CS201" s="465">
        <v>0</v>
      </c>
      <c r="CT201" s="466">
        <v>0.9</v>
      </c>
      <c r="CU201" s="466">
        <v>0</v>
      </c>
      <c r="CV201" s="467">
        <v>0.9</v>
      </c>
    </row>
    <row r="202" spans="1:100" s="48" customFormat="1" outlineLevel="1" x14ac:dyDescent="0.3">
      <c r="A202" s="202">
        <v>78987000</v>
      </c>
      <c r="B202" s="48">
        <v>400100</v>
      </c>
      <c r="C202" s="48">
        <v>4294</v>
      </c>
      <c r="D202" s="48" t="s">
        <v>64</v>
      </c>
      <c r="E202" s="48" t="s">
        <v>7</v>
      </c>
      <c r="F202" s="48" t="s">
        <v>1498</v>
      </c>
      <c r="G202" s="48" t="s">
        <v>1499</v>
      </c>
      <c r="H202" s="48" t="s">
        <v>1523</v>
      </c>
      <c r="O202" s="454" t="s">
        <v>900</v>
      </c>
      <c r="P202" s="455" t="s">
        <v>900</v>
      </c>
      <c r="Q202" s="347" t="s">
        <v>900</v>
      </c>
      <c r="R202" s="455">
        <v>609</v>
      </c>
      <c r="S202" s="457">
        <v>271</v>
      </c>
      <c r="T202" s="455"/>
      <c r="U202" s="454">
        <v>609</v>
      </c>
      <c r="V202" s="455">
        <v>138.87213790808664</v>
      </c>
      <c r="W202" s="230">
        <v>0.22803306717255606</v>
      </c>
      <c r="X202" s="264" t="s">
        <v>900</v>
      </c>
      <c r="Y202" s="265" t="s">
        <v>900</v>
      </c>
      <c r="Z202" s="265" t="s">
        <v>900</v>
      </c>
      <c r="AA202" s="265" t="s">
        <v>900</v>
      </c>
      <c r="AB202" s="266" t="s">
        <v>900</v>
      </c>
      <c r="AC202" s="265">
        <v>65255.700613445704</v>
      </c>
      <c r="AD202" s="265">
        <v>13474.767351478882</v>
      </c>
      <c r="AE202" s="265">
        <v>35366.96452494702</v>
      </c>
      <c r="AF202" s="266">
        <v>30510.526831797994</v>
      </c>
      <c r="AG202" s="265">
        <v>65255.700613445704</v>
      </c>
      <c r="AH202" s="265">
        <v>13474.767351478882</v>
      </c>
      <c r="AI202" s="265">
        <v>35366.96452494702</v>
      </c>
      <c r="AJ202" s="266">
        <v>30510.526831797994</v>
      </c>
      <c r="AK202" s="265">
        <v>65265.205716467695</v>
      </c>
      <c r="AL202" s="265">
        <v>15449.352182914134</v>
      </c>
      <c r="AM202" s="265">
        <v>35372.11605405825</v>
      </c>
      <c r="AN202" s="265">
        <v>30514.970975345066</v>
      </c>
      <c r="AO202" s="266">
        <v>146601.64492878516</v>
      </c>
      <c r="AP202" s="203"/>
      <c r="AQ202" s="264">
        <v>71804.008233632834</v>
      </c>
      <c r="AR202" s="265">
        <v>15325.56053201776</v>
      </c>
      <c r="AS202" s="265">
        <v>38071.534264531874</v>
      </c>
      <c r="AT202" s="265">
        <v>36681.661196533598</v>
      </c>
      <c r="AU202" s="266">
        <v>161882.76422671607</v>
      </c>
      <c r="AV202" s="203"/>
      <c r="AW202" s="324">
        <v>168139.26326613085</v>
      </c>
      <c r="AX202" s="203"/>
      <c r="AY202" s="377">
        <v>0</v>
      </c>
      <c r="AZ202" s="265">
        <v>0</v>
      </c>
      <c r="BA202" s="265">
        <v>161882.76422671607</v>
      </c>
      <c r="BB202" s="265">
        <v>1584.4888470178523</v>
      </c>
      <c r="BC202" s="266">
        <v>160298.27537969823</v>
      </c>
      <c r="BD202" s="264">
        <v>1602.9827537969823</v>
      </c>
      <c r="BE202" s="265">
        <v>158695.29262590126</v>
      </c>
      <c r="BF202" s="357">
        <v>0.94383244902600971</v>
      </c>
      <c r="BG202" s="203"/>
      <c r="BJ202" s="458">
        <v>0.94383244902600971</v>
      </c>
      <c r="BK202" s="210"/>
      <c r="BL202" s="458"/>
      <c r="BM202" s="458"/>
      <c r="BN202" s="458"/>
      <c r="BQ202" s="203">
        <v>158316.81336618928</v>
      </c>
      <c r="BR202" s="458">
        <v>0.94158146224065109</v>
      </c>
      <c r="BT202" s="459" t="s">
        <v>900</v>
      </c>
      <c r="BU202" s="460" t="s">
        <v>900</v>
      </c>
      <c r="BV202" s="461">
        <v>158695.29262590126</v>
      </c>
      <c r="BX202" s="462">
        <v>17070.350017800723</v>
      </c>
      <c r="BY202" s="463">
        <v>0.11875553277996816</v>
      </c>
      <c r="BZ202" s="461">
        <v>122.92134531045268</v>
      </c>
      <c r="CB202" s="203" t="s">
        <v>900</v>
      </c>
      <c r="CC202" s="203">
        <v>2822.8274902305457</v>
      </c>
      <c r="CD202" s="203" t="e">
        <v>#VALUE!</v>
      </c>
      <c r="CE202" s="203" t="s">
        <v>900</v>
      </c>
      <c r="CF202" s="203" t="e">
        <v>#VALUE!</v>
      </c>
      <c r="CH202" s="199"/>
      <c r="CJ202" s="464" t="s">
        <v>1448</v>
      </c>
      <c r="CK202" s="464" t="s">
        <v>1447</v>
      </c>
      <c r="CL202" s="464" t="s">
        <v>1448</v>
      </c>
      <c r="CN202" s="464" t="s">
        <v>1447</v>
      </c>
      <c r="CO202" s="464" t="s">
        <v>1447</v>
      </c>
      <c r="CP202" s="464" t="s">
        <v>1447</v>
      </c>
      <c r="CQ202" s="464" t="s">
        <v>1447</v>
      </c>
      <c r="CS202" s="465">
        <v>0</v>
      </c>
      <c r="CT202" s="466">
        <v>0.9</v>
      </c>
      <c r="CU202" s="466">
        <v>0</v>
      </c>
      <c r="CV202" s="467">
        <v>0.9</v>
      </c>
    </row>
    <row r="203" spans="1:100" s="48" customFormat="1" outlineLevel="1" x14ac:dyDescent="0.3">
      <c r="A203" s="202">
        <v>78972000</v>
      </c>
      <c r="B203" s="48">
        <v>400374</v>
      </c>
      <c r="C203" s="48">
        <v>79983</v>
      </c>
      <c r="D203" s="48" t="s">
        <v>67</v>
      </c>
      <c r="E203" s="48" t="s">
        <v>7</v>
      </c>
      <c r="F203" s="48" t="s">
        <v>1504</v>
      </c>
      <c r="G203" s="48" t="s">
        <v>1502</v>
      </c>
      <c r="H203" s="48" t="s">
        <v>1527</v>
      </c>
      <c r="O203" s="454" t="s">
        <v>900</v>
      </c>
      <c r="P203" s="455" t="s">
        <v>900</v>
      </c>
      <c r="Q203" s="347" t="s">
        <v>900</v>
      </c>
      <c r="R203" s="455">
        <v>404</v>
      </c>
      <c r="S203" s="457">
        <v>267</v>
      </c>
      <c r="T203" s="455"/>
      <c r="U203" s="454">
        <v>404</v>
      </c>
      <c r="V203" s="455">
        <v>136.82236465483075</v>
      </c>
      <c r="W203" s="230">
        <v>0.33866921944265038</v>
      </c>
      <c r="X203" s="264" t="s">
        <v>900</v>
      </c>
      <c r="Y203" s="265" t="s">
        <v>900</v>
      </c>
      <c r="Z203" s="265" t="s">
        <v>900</v>
      </c>
      <c r="AA203" s="265" t="s">
        <v>900</v>
      </c>
      <c r="AB203" s="266" t="s">
        <v>900</v>
      </c>
      <c r="AC203" s="265">
        <v>64292.516840553522</v>
      </c>
      <c r="AD203" s="265">
        <v>13275.877796475505</v>
      </c>
      <c r="AE203" s="265">
        <v>34844.942908342637</v>
      </c>
      <c r="AF203" s="266">
        <v>30060.186952361862</v>
      </c>
      <c r="AG203" s="265">
        <v>64292.516840553522</v>
      </c>
      <c r="AH203" s="265">
        <v>13275.877796475505</v>
      </c>
      <c r="AI203" s="265">
        <v>34844.942908342637</v>
      </c>
      <c r="AJ203" s="266">
        <v>30060.186952361862</v>
      </c>
      <c r="AK203" s="265">
        <v>64302.021943575513</v>
      </c>
      <c r="AL203" s="265">
        <v>15250.462627910756</v>
      </c>
      <c r="AM203" s="265">
        <v>34850.094437453867</v>
      </c>
      <c r="AN203" s="265">
        <v>30064.631095908935</v>
      </c>
      <c r="AO203" s="266">
        <v>144467.21010484907</v>
      </c>
      <c r="AP203" s="203"/>
      <c r="AQ203" s="264">
        <v>66352.836034918</v>
      </c>
      <c r="AR203" s="265">
        <v>14766.218803510756</v>
      </c>
      <c r="AS203" s="265">
        <v>35181.243119921011</v>
      </c>
      <c r="AT203" s="265">
        <v>33896.885574167136</v>
      </c>
      <c r="AU203" s="266">
        <v>150197.18353251691</v>
      </c>
      <c r="AV203" s="203"/>
      <c r="AW203" s="324">
        <v>147284.68881710403</v>
      </c>
      <c r="AX203" s="203"/>
      <c r="AY203" s="377">
        <v>0</v>
      </c>
      <c r="AZ203" s="265">
        <v>2912.4947154128749</v>
      </c>
      <c r="BA203" s="265">
        <v>147284.68881710403</v>
      </c>
      <c r="BB203" s="265">
        <v>1441.6046568142449</v>
      </c>
      <c r="BC203" s="266">
        <v>145843.08416028979</v>
      </c>
      <c r="BD203" s="264">
        <v>1458.4308416028978</v>
      </c>
      <c r="BE203" s="265">
        <v>144384.65331868688</v>
      </c>
      <c r="BF203" s="357">
        <v>0.98031000016560865</v>
      </c>
      <c r="BG203" s="203"/>
      <c r="BJ203" s="458">
        <v>0.98031000016560865</v>
      </c>
      <c r="BK203" s="210"/>
      <c r="BL203" s="458"/>
      <c r="BM203" s="458"/>
      <c r="BN203" s="458"/>
      <c r="BQ203" s="203">
        <v>144040.30412094068</v>
      </c>
      <c r="BR203" s="458">
        <v>0.97797201649254806</v>
      </c>
      <c r="BT203" s="459" t="s">
        <v>900</v>
      </c>
      <c r="BU203" s="460" t="s">
        <v>900</v>
      </c>
      <c r="BV203" s="461">
        <v>144384.65331868688</v>
      </c>
      <c r="BX203" s="462">
        <v>4844.413417498843</v>
      </c>
      <c r="BY203" s="463">
        <v>3.4205460723385456E-2</v>
      </c>
      <c r="BZ203" s="461">
        <v>35.406590360575258</v>
      </c>
      <c r="CB203" s="203" t="s">
        <v>900</v>
      </c>
      <c r="CC203" s="203">
        <v>2581.7771129619391</v>
      </c>
      <c r="CD203" s="203" t="e">
        <v>#VALUE!</v>
      </c>
      <c r="CE203" s="203" t="s">
        <v>900</v>
      </c>
      <c r="CF203" s="203" t="e">
        <v>#VALUE!</v>
      </c>
      <c r="CH203" s="199"/>
      <c r="CJ203" s="464" t="s">
        <v>1448</v>
      </c>
      <c r="CK203" s="464" t="s">
        <v>1447</v>
      </c>
      <c r="CL203" s="464" t="s">
        <v>1448</v>
      </c>
      <c r="CN203" s="464" t="s">
        <v>1447</v>
      </c>
      <c r="CO203" s="464" t="s">
        <v>1447</v>
      </c>
      <c r="CP203" s="464" t="s">
        <v>1447</v>
      </c>
      <c r="CQ203" s="464" t="s">
        <v>1447</v>
      </c>
      <c r="CS203" s="465">
        <v>0</v>
      </c>
      <c r="CT203" s="466">
        <v>0</v>
      </c>
      <c r="CU203" s="466">
        <v>0.95</v>
      </c>
      <c r="CV203" s="467">
        <v>0.95</v>
      </c>
    </row>
    <row r="204" spans="1:100" s="48" customFormat="1" outlineLevel="1" x14ac:dyDescent="0.3">
      <c r="A204" s="202">
        <v>78745000</v>
      </c>
      <c r="B204" s="48">
        <v>400636</v>
      </c>
      <c r="C204" s="48">
        <v>81041</v>
      </c>
      <c r="D204" s="48" t="s">
        <v>74</v>
      </c>
      <c r="E204" s="48" t="s">
        <v>7</v>
      </c>
      <c r="F204" s="48" t="s">
        <v>1503</v>
      </c>
      <c r="G204" s="48" t="s">
        <v>1502</v>
      </c>
      <c r="H204" s="48" t="s">
        <v>1527</v>
      </c>
      <c r="O204" s="454" t="s">
        <v>900</v>
      </c>
      <c r="P204" s="455" t="s">
        <v>900</v>
      </c>
      <c r="Q204" s="347" t="s">
        <v>900</v>
      </c>
      <c r="R204" s="455">
        <v>214</v>
      </c>
      <c r="S204" s="457">
        <v>102</v>
      </c>
      <c r="T204" s="455"/>
      <c r="U204" s="454">
        <v>214</v>
      </c>
      <c r="V204" s="455">
        <v>52.26921795802523</v>
      </c>
      <c r="W204" s="230">
        <v>0.24424868204684688</v>
      </c>
      <c r="X204" s="264" t="s">
        <v>900</v>
      </c>
      <c r="Y204" s="265" t="s">
        <v>900</v>
      </c>
      <c r="Z204" s="265" t="s">
        <v>900</v>
      </c>
      <c r="AA204" s="265" t="s">
        <v>900</v>
      </c>
      <c r="AB204" s="266" t="s">
        <v>900</v>
      </c>
      <c r="AC204" s="265">
        <v>24561.186208750783</v>
      </c>
      <c r="AD204" s="265">
        <v>5071.6836525861472</v>
      </c>
      <c r="AE204" s="265">
        <v>13311.551223411794</v>
      </c>
      <c r="AF204" s="266">
        <v>11483.666925621385</v>
      </c>
      <c r="AG204" s="265">
        <v>24561.186208750783</v>
      </c>
      <c r="AH204" s="265">
        <v>5071.6836525861472</v>
      </c>
      <c r="AI204" s="265">
        <v>13311.551223411794</v>
      </c>
      <c r="AJ204" s="266">
        <v>11483.666925621385</v>
      </c>
      <c r="AK204" s="265">
        <v>24570.691311772774</v>
      </c>
      <c r="AL204" s="265">
        <v>7046.2684840213988</v>
      </c>
      <c r="AM204" s="265">
        <v>13316.702752523024</v>
      </c>
      <c r="AN204" s="265">
        <v>11488.111069168457</v>
      </c>
      <c r="AO204" s="266">
        <v>56421.773617485655</v>
      </c>
      <c r="AP204" s="203"/>
      <c r="AQ204" s="264">
        <v>24197.486249518548</v>
      </c>
      <c r="AR204" s="265">
        <v>6822.5302223238805</v>
      </c>
      <c r="AS204" s="265">
        <v>13132.260024559206</v>
      </c>
      <c r="AT204" s="265">
        <v>11026.61191351974</v>
      </c>
      <c r="AU204" s="266">
        <v>55178.888409921376</v>
      </c>
      <c r="AV204" s="203"/>
      <c r="AW204" s="324">
        <v>52413.394881720691</v>
      </c>
      <c r="AX204" s="203"/>
      <c r="AY204" s="377">
        <v>0</v>
      </c>
      <c r="AZ204" s="265">
        <v>2765.4935282006845</v>
      </c>
      <c r="BA204" s="265">
        <v>52413.394881720691</v>
      </c>
      <c r="BB204" s="265">
        <v>513.0159471957129</v>
      </c>
      <c r="BC204" s="266">
        <v>51900.378934524975</v>
      </c>
      <c r="BD204" s="264">
        <v>519.00378934524974</v>
      </c>
      <c r="BE204" s="265">
        <v>51381.375145179729</v>
      </c>
      <c r="BF204" s="357">
        <v>0.98031000016560876</v>
      </c>
      <c r="BG204" s="203"/>
      <c r="BJ204" s="458">
        <v>0.98031000016560876</v>
      </c>
      <c r="BK204" s="210"/>
      <c r="BL204" s="458"/>
      <c r="BM204" s="458"/>
      <c r="BN204" s="458"/>
      <c r="BQ204" s="203">
        <v>51258.833483696588</v>
      </c>
      <c r="BR204" s="458">
        <v>0.97797201649254817</v>
      </c>
      <c r="BT204" s="459" t="s">
        <v>900</v>
      </c>
      <c r="BU204" s="460" t="s">
        <v>900</v>
      </c>
      <c r="BV204" s="461">
        <v>51381.375145179729</v>
      </c>
      <c r="BX204" s="462">
        <v>-23.027966226982244</v>
      </c>
      <c r="BY204" s="463">
        <v>-4.4165789568269092E-4</v>
      </c>
      <c r="BZ204" s="461">
        <v>-0.44056458325959347</v>
      </c>
      <c r="CB204" s="203" t="s">
        <v>900</v>
      </c>
      <c r="CC204" s="203">
        <v>1046.9867793676015</v>
      </c>
      <c r="CD204" s="203" t="e">
        <v>#VALUE!</v>
      </c>
      <c r="CE204" s="203" t="s">
        <v>900</v>
      </c>
      <c r="CF204" s="203" t="e">
        <v>#VALUE!</v>
      </c>
      <c r="CH204" s="199"/>
      <c r="CJ204" s="464" t="s">
        <v>1448</v>
      </c>
      <c r="CK204" s="464" t="s">
        <v>1447</v>
      </c>
      <c r="CL204" s="464" t="s">
        <v>1448</v>
      </c>
      <c r="CN204" s="464" t="s">
        <v>1447</v>
      </c>
      <c r="CO204" s="464" t="s">
        <v>1447</v>
      </c>
      <c r="CP204" s="464" t="s">
        <v>1447</v>
      </c>
      <c r="CQ204" s="464" t="s">
        <v>1447</v>
      </c>
      <c r="CS204" s="465">
        <v>0</v>
      </c>
      <c r="CT204" s="466">
        <v>0.9</v>
      </c>
      <c r="CU204" s="466">
        <v>0</v>
      </c>
      <c r="CV204" s="467">
        <v>0.9</v>
      </c>
    </row>
    <row r="205" spans="1:100" s="48" customFormat="1" outlineLevel="1" x14ac:dyDescent="0.3">
      <c r="A205" s="202">
        <v>78613000</v>
      </c>
      <c r="B205" s="48">
        <v>400033</v>
      </c>
      <c r="C205" s="48">
        <v>4305</v>
      </c>
      <c r="D205" s="48" t="s">
        <v>77</v>
      </c>
      <c r="E205" s="48" t="s">
        <v>7</v>
      </c>
      <c r="F205" s="48" t="s">
        <v>1498</v>
      </c>
      <c r="G205" s="48" t="s">
        <v>1499</v>
      </c>
      <c r="H205" s="48" t="s">
        <v>1506</v>
      </c>
      <c r="O205" s="454" t="s">
        <v>900</v>
      </c>
      <c r="P205" s="455" t="s">
        <v>900</v>
      </c>
      <c r="Q205" s="347" t="s">
        <v>900</v>
      </c>
      <c r="R205" s="455">
        <v>238</v>
      </c>
      <c r="S205" s="457">
        <v>195</v>
      </c>
      <c r="T205" s="455"/>
      <c r="U205" s="454">
        <v>238</v>
      </c>
      <c r="V205" s="455">
        <v>99.926446096224709</v>
      </c>
      <c r="W205" s="230">
        <v>0.4198590172110282</v>
      </c>
      <c r="X205" s="264" t="s">
        <v>900</v>
      </c>
      <c r="Y205" s="265" t="s">
        <v>900</v>
      </c>
      <c r="Z205" s="265" t="s">
        <v>900</v>
      </c>
      <c r="AA205" s="265" t="s">
        <v>900</v>
      </c>
      <c r="AB205" s="266" t="s">
        <v>900</v>
      </c>
      <c r="AC205" s="265">
        <v>46955.208928494147</v>
      </c>
      <c r="AD205" s="265">
        <v>9695.8658064146948</v>
      </c>
      <c r="AE205" s="265">
        <v>25448.553809463723</v>
      </c>
      <c r="AF205" s="266">
        <v>21954.069122511472</v>
      </c>
      <c r="AG205" s="265">
        <v>46955.208928494147</v>
      </c>
      <c r="AH205" s="265">
        <v>9695.8658064146948</v>
      </c>
      <c r="AI205" s="265">
        <v>25448.553809463723</v>
      </c>
      <c r="AJ205" s="266">
        <v>21954.069122511472</v>
      </c>
      <c r="AK205" s="265">
        <v>46964.714031516138</v>
      </c>
      <c r="AL205" s="265">
        <v>11670.450637849946</v>
      </c>
      <c r="AM205" s="265">
        <v>25453.705338574953</v>
      </c>
      <c r="AN205" s="265">
        <v>21958.513266058544</v>
      </c>
      <c r="AO205" s="266">
        <v>106047.38327399959</v>
      </c>
      <c r="AP205" s="203"/>
      <c r="AQ205" s="264">
        <v>46251.365399950126</v>
      </c>
      <c r="AR205" s="265">
        <v>11299.881968083757</v>
      </c>
      <c r="AS205" s="265">
        <v>25101.159296459198</v>
      </c>
      <c r="AT205" s="265">
        <v>21076.398245532313</v>
      </c>
      <c r="AU205" s="266">
        <v>103728.8049100254</v>
      </c>
      <c r="AV205" s="203"/>
      <c r="AW205" s="324">
        <v>84298.337176074419</v>
      </c>
      <c r="AX205" s="203"/>
      <c r="AY205" s="377">
        <v>0</v>
      </c>
      <c r="AZ205" s="265">
        <v>9785.4765833893616</v>
      </c>
      <c r="BA205" s="265">
        <v>93943.328326636038</v>
      </c>
      <c r="BB205" s="265">
        <v>919.50589487602474</v>
      </c>
      <c r="BC205" s="266">
        <v>93023.822431760011</v>
      </c>
      <c r="BD205" s="264">
        <v>930.23822431760016</v>
      </c>
      <c r="BE205" s="265">
        <v>92093.584207442414</v>
      </c>
      <c r="BF205" s="357">
        <v>1.092472132814269</v>
      </c>
      <c r="BG205" s="203"/>
      <c r="BJ205" s="458">
        <v>1.092472132814269</v>
      </c>
      <c r="BK205" s="210"/>
      <c r="BL205" s="458"/>
      <c r="BM205" s="458"/>
      <c r="BN205" s="458"/>
      <c r="BQ205" s="203">
        <v>91873.946239621771</v>
      </c>
      <c r="BR205" s="458">
        <v>1.0898666488251616</v>
      </c>
      <c r="BT205" s="459" t="s">
        <v>900</v>
      </c>
      <c r="BU205" s="460" t="s">
        <v>900</v>
      </c>
      <c r="BV205" s="461">
        <v>92093.584207442414</v>
      </c>
      <c r="BX205" s="462">
        <v>-5841.3833222506364</v>
      </c>
      <c r="BY205" s="463">
        <v>-5.8775328907739163E-2</v>
      </c>
      <c r="BZ205" s="461">
        <v>-58.456830503364891</v>
      </c>
      <c r="CB205" s="203">
        <v>6981</v>
      </c>
      <c r="CC205" s="203">
        <v>8808.5292613152305</v>
      </c>
      <c r="CD205" s="203" t="e">
        <v>#VALUE!</v>
      </c>
      <c r="CE205" s="203" t="s">
        <v>900</v>
      </c>
      <c r="CF205" s="203" t="e">
        <v>#VALUE!</v>
      </c>
      <c r="CH205" s="199"/>
      <c r="CJ205" s="464" t="s">
        <v>1448</v>
      </c>
      <c r="CK205" s="464" t="s">
        <v>1447</v>
      </c>
      <c r="CL205" s="464" t="s">
        <v>1448</v>
      </c>
      <c r="CN205" s="464" t="s">
        <v>1447</v>
      </c>
      <c r="CO205" s="464" t="s">
        <v>1447</v>
      </c>
      <c r="CP205" s="464" t="s">
        <v>1447</v>
      </c>
      <c r="CQ205" s="464" t="s">
        <v>1447</v>
      </c>
      <c r="CS205" s="465">
        <v>0</v>
      </c>
      <c r="CT205" s="466">
        <v>0</v>
      </c>
      <c r="CU205" s="466">
        <v>0.95</v>
      </c>
      <c r="CV205" s="467">
        <v>0.95</v>
      </c>
    </row>
    <row r="206" spans="1:100" s="48" customFormat="1" outlineLevel="1" x14ac:dyDescent="0.3">
      <c r="A206" s="202">
        <v>78746000</v>
      </c>
      <c r="B206" s="48">
        <v>400609</v>
      </c>
      <c r="C206" s="48">
        <v>81097</v>
      </c>
      <c r="D206" s="48" t="s">
        <v>78</v>
      </c>
      <c r="E206" s="48" t="s">
        <v>7</v>
      </c>
      <c r="F206" s="48" t="s">
        <v>1503</v>
      </c>
      <c r="G206" s="48" t="s">
        <v>1502</v>
      </c>
      <c r="H206" s="48" t="s">
        <v>1510</v>
      </c>
      <c r="O206" s="454" t="s">
        <v>900</v>
      </c>
      <c r="P206" s="455" t="s">
        <v>900</v>
      </c>
      <c r="Q206" s="347" t="s">
        <v>900</v>
      </c>
      <c r="R206" s="455">
        <v>444</v>
      </c>
      <c r="S206" s="457">
        <v>444</v>
      </c>
      <c r="T206" s="455"/>
      <c r="U206" s="454">
        <v>444</v>
      </c>
      <c r="V206" s="455">
        <v>227.52483111140396</v>
      </c>
      <c r="W206" s="230">
        <v>0.51244331331397286</v>
      </c>
      <c r="X206" s="264" t="s">
        <v>900</v>
      </c>
      <c r="Y206" s="265" t="s">
        <v>900</v>
      </c>
      <c r="Z206" s="265" t="s">
        <v>900</v>
      </c>
      <c r="AA206" s="265" t="s">
        <v>900</v>
      </c>
      <c r="AB206" s="266" t="s">
        <v>900</v>
      </c>
      <c r="AC206" s="265">
        <v>106913.39879103283</v>
      </c>
      <c r="AD206" s="265">
        <v>22076.740605374995</v>
      </c>
      <c r="AE206" s="265">
        <v>57944.399443086637</v>
      </c>
      <c r="AF206" s="266">
        <v>49987.726617410735</v>
      </c>
      <c r="AG206" s="265">
        <v>106913.39879103283</v>
      </c>
      <c r="AH206" s="265">
        <v>22076.740605374995</v>
      </c>
      <c r="AI206" s="265">
        <v>57944.399443086637</v>
      </c>
      <c r="AJ206" s="266">
        <v>49987.726617410735</v>
      </c>
      <c r="AK206" s="265">
        <v>106922.90389405482</v>
      </c>
      <c r="AL206" s="265">
        <v>24051.325436810246</v>
      </c>
      <c r="AM206" s="265">
        <v>57949.550972197867</v>
      </c>
      <c r="AN206" s="265">
        <v>49992.170760957808</v>
      </c>
      <c r="AO206" s="266">
        <v>238915.95106402074</v>
      </c>
      <c r="AP206" s="203"/>
      <c r="AQ206" s="264">
        <v>105298.84828658952</v>
      </c>
      <c r="AR206" s="265">
        <v>23287.630190602129</v>
      </c>
      <c r="AS206" s="265">
        <v>57146.921863159187</v>
      </c>
      <c r="AT206" s="265">
        <v>47983.890682856298</v>
      </c>
      <c r="AU206" s="266">
        <v>233717.29102320713</v>
      </c>
      <c r="AV206" s="203"/>
      <c r="AW206" s="324">
        <v>190197.88826756246</v>
      </c>
      <c r="AX206" s="203"/>
      <c r="AY206" s="377">
        <v>0</v>
      </c>
      <c r="AZ206" s="265">
        <v>22048.215829967085</v>
      </c>
      <c r="BA206" s="265">
        <v>211669.07519324005</v>
      </c>
      <c r="BB206" s="265">
        <v>2071.7912157254959</v>
      </c>
      <c r="BC206" s="266">
        <v>209597.28397751454</v>
      </c>
      <c r="BD206" s="264">
        <v>2095.9728397751455</v>
      </c>
      <c r="BE206" s="265">
        <v>207501.31113773939</v>
      </c>
      <c r="BF206" s="357">
        <v>1.0909758937272489</v>
      </c>
      <c r="BG206" s="203"/>
      <c r="BJ206" s="458">
        <v>1.0909758937272489</v>
      </c>
      <c r="BK206" s="210"/>
      <c r="BL206" s="458"/>
      <c r="BM206" s="458"/>
      <c r="BN206" s="458"/>
      <c r="BQ206" s="203">
        <v>207006.43229584576</v>
      </c>
      <c r="BR206" s="458">
        <v>1.0883739781833841</v>
      </c>
      <c r="BT206" s="459">
        <v>-13.910986931971824</v>
      </c>
      <c r="BU206" s="460">
        <v>-28865.480276041118</v>
      </c>
      <c r="BV206" s="461">
        <v>178635.83086169828</v>
      </c>
      <c r="BX206" s="462">
        <v>-12926.687283525156</v>
      </c>
      <c r="BY206" s="463">
        <v>-6.647552767900948E-2</v>
      </c>
      <c r="BZ206" s="461">
        <v>-56.814402280319932</v>
      </c>
      <c r="CB206" s="203" t="s">
        <v>900</v>
      </c>
      <c r="CC206" s="203">
        <v>4061.5505623351437</v>
      </c>
      <c r="CD206" s="203" t="e">
        <v>#VALUE!</v>
      </c>
      <c r="CE206" s="203" t="e">
        <v>#VALUE!</v>
      </c>
      <c r="CF206" s="203" t="e">
        <v>#VALUE!</v>
      </c>
      <c r="CH206" s="199"/>
      <c r="CJ206" s="464" t="s">
        <v>1448</v>
      </c>
      <c r="CK206" s="464" t="s">
        <v>1447</v>
      </c>
      <c r="CL206" s="464" t="s">
        <v>1448</v>
      </c>
      <c r="CN206" s="464" t="s">
        <v>1447</v>
      </c>
      <c r="CO206" s="464" t="s">
        <v>1447</v>
      </c>
      <c r="CP206" s="464" t="s">
        <v>1447</v>
      </c>
      <c r="CQ206" s="464" t="s">
        <v>1447</v>
      </c>
      <c r="CS206" s="465">
        <v>0</v>
      </c>
      <c r="CT206" s="466">
        <v>0</v>
      </c>
      <c r="CU206" s="466">
        <v>0.95</v>
      </c>
      <c r="CV206" s="467">
        <v>0.95</v>
      </c>
    </row>
    <row r="207" spans="1:100" s="48" customFormat="1" outlineLevel="1" x14ac:dyDescent="0.3">
      <c r="A207" s="202">
        <v>78565000</v>
      </c>
      <c r="B207" s="48">
        <v>400796</v>
      </c>
      <c r="C207" s="48">
        <v>90328</v>
      </c>
      <c r="D207" s="48" t="s">
        <v>82</v>
      </c>
      <c r="E207" s="48" t="s">
        <v>7</v>
      </c>
      <c r="F207" s="48" t="s">
        <v>1498</v>
      </c>
      <c r="G207" s="48" t="s">
        <v>1499</v>
      </c>
      <c r="H207" s="48" t="s">
        <v>1526</v>
      </c>
      <c r="O207" s="454" t="s">
        <v>900</v>
      </c>
      <c r="P207" s="455" t="s">
        <v>900</v>
      </c>
      <c r="Q207" s="347" t="s">
        <v>900</v>
      </c>
      <c r="R207" s="455">
        <v>248</v>
      </c>
      <c r="S207" s="457">
        <v>174</v>
      </c>
      <c r="T207" s="455"/>
      <c r="U207" s="454">
        <v>248</v>
      </c>
      <c r="V207" s="455">
        <v>89.165136516631279</v>
      </c>
      <c r="W207" s="230">
        <v>0.35953684079286807</v>
      </c>
      <c r="X207" s="264" t="s">
        <v>900</v>
      </c>
      <c r="Y207" s="265" t="s">
        <v>900</v>
      </c>
      <c r="Z207" s="265" t="s">
        <v>900</v>
      </c>
      <c r="AA207" s="265" t="s">
        <v>900</v>
      </c>
      <c r="AB207" s="266" t="s">
        <v>900</v>
      </c>
      <c r="AC207" s="265">
        <v>41898.494120810159</v>
      </c>
      <c r="AD207" s="265">
        <v>8651.6956426469569</v>
      </c>
      <c r="AE207" s="265">
        <v>22707.940322290709</v>
      </c>
      <c r="AF207" s="266">
        <v>19589.784755471777</v>
      </c>
      <c r="AG207" s="265">
        <v>41898.494120810159</v>
      </c>
      <c r="AH207" s="265">
        <v>8651.6956426469569</v>
      </c>
      <c r="AI207" s="265">
        <v>22707.940322290709</v>
      </c>
      <c r="AJ207" s="266">
        <v>19589.784755471777</v>
      </c>
      <c r="AK207" s="265">
        <v>41907.99922383215</v>
      </c>
      <c r="AL207" s="265">
        <v>10626.280474082208</v>
      </c>
      <c r="AM207" s="265">
        <v>22713.091851401939</v>
      </c>
      <c r="AN207" s="265">
        <v>19594.22889901885</v>
      </c>
      <c r="AO207" s="266">
        <v>94841.600448335157</v>
      </c>
      <c r="AP207" s="203"/>
      <c r="AQ207" s="264">
        <v>41271.457204691382</v>
      </c>
      <c r="AR207" s="265">
        <v>10288.86705775088</v>
      </c>
      <c r="AS207" s="265">
        <v>22398.504622159206</v>
      </c>
      <c r="AT207" s="265">
        <v>21036.49707059241</v>
      </c>
      <c r="AU207" s="266">
        <v>94995.325955193883</v>
      </c>
      <c r="AV207" s="203"/>
      <c r="AW207" s="324">
        <v>91672.490286365821</v>
      </c>
      <c r="AX207" s="203"/>
      <c r="AY207" s="377">
        <v>0</v>
      </c>
      <c r="AZ207" s="265">
        <v>3322.8356688280619</v>
      </c>
      <c r="BA207" s="265">
        <v>91672.490286365821</v>
      </c>
      <c r="BB207" s="265">
        <v>897.27920777082488</v>
      </c>
      <c r="BC207" s="266">
        <v>90775.211078594992</v>
      </c>
      <c r="BD207" s="264">
        <v>907.75211078594998</v>
      </c>
      <c r="BE207" s="265">
        <v>89867.458967809041</v>
      </c>
      <c r="BF207" s="357">
        <v>0.98031000016560876</v>
      </c>
      <c r="BG207" s="203"/>
      <c r="BJ207" s="458">
        <v>0.98031000016560876</v>
      </c>
      <c r="BK207" s="210"/>
      <c r="BL207" s="458"/>
      <c r="BM207" s="458"/>
      <c r="BN207" s="458"/>
      <c r="BQ207" s="203">
        <v>89653.130182250708</v>
      </c>
      <c r="BR207" s="458">
        <v>0.97797201649254806</v>
      </c>
      <c r="BT207" s="459" t="s">
        <v>900</v>
      </c>
      <c r="BU207" s="460" t="s">
        <v>900</v>
      </c>
      <c r="BV207" s="461">
        <v>89867.458967809041</v>
      </c>
      <c r="BX207" s="462">
        <v>-1203.4429976640968</v>
      </c>
      <c r="BY207" s="463">
        <v>-1.3022410558761044E-2</v>
      </c>
      <c r="BZ207" s="461">
        <v>-13.496788595614699</v>
      </c>
      <c r="CB207" s="203" t="s">
        <v>900</v>
      </c>
      <c r="CC207" s="203">
        <v>1666.9625027586778</v>
      </c>
      <c r="CD207" s="203" t="e">
        <v>#VALUE!</v>
      </c>
      <c r="CE207" s="203" t="s">
        <v>900</v>
      </c>
      <c r="CF207" s="203" t="e">
        <v>#VALUE!</v>
      </c>
      <c r="CH207" s="199"/>
      <c r="CJ207" s="464" t="s">
        <v>1448</v>
      </c>
      <c r="CK207" s="464" t="s">
        <v>1447</v>
      </c>
      <c r="CL207" s="464" t="s">
        <v>1448</v>
      </c>
      <c r="CN207" s="464" t="s">
        <v>1447</v>
      </c>
      <c r="CO207" s="464" t="s">
        <v>1447</v>
      </c>
      <c r="CP207" s="464" t="s">
        <v>1447</v>
      </c>
      <c r="CQ207" s="464" t="s">
        <v>1447</v>
      </c>
      <c r="CS207" s="465">
        <v>0</v>
      </c>
      <c r="CT207" s="466">
        <v>0</v>
      </c>
      <c r="CU207" s="466">
        <v>0.95</v>
      </c>
      <c r="CV207" s="467">
        <v>0.95</v>
      </c>
    </row>
    <row r="208" spans="1:100" s="48" customFormat="1" outlineLevel="1" x14ac:dyDescent="0.3">
      <c r="A208" s="202">
        <v>78564000</v>
      </c>
      <c r="B208" s="48">
        <v>400803</v>
      </c>
      <c r="C208" s="48">
        <v>90327</v>
      </c>
      <c r="D208" s="48" t="s">
        <v>83</v>
      </c>
      <c r="E208" s="48" t="s">
        <v>7</v>
      </c>
      <c r="F208" s="48" t="s">
        <v>1498</v>
      </c>
      <c r="G208" s="48" t="s">
        <v>1499</v>
      </c>
      <c r="H208" s="48" t="s">
        <v>1526</v>
      </c>
      <c r="O208" s="454" t="s">
        <v>900</v>
      </c>
      <c r="P208" s="455" t="s">
        <v>900</v>
      </c>
      <c r="Q208" s="347" t="s">
        <v>900</v>
      </c>
      <c r="R208" s="455">
        <v>809</v>
      </c>
      <c r="S208" s="457">
        <v>338</v>
      </c>
      <c r="T208" s="455"/>
      <c r="U208" s="454">
        <v>809</v>
      </c>
      <c r="V208" s="455">
        <v>173.20583990012284</v>
      </c>
      <c r="W208" s="230">
        <v>0.21409868961696271</v>
      </c>
      <c r="X208" s="264" t="s">
        <v>900</v>
      </c>
      <c r="Y208" s="265" t="s">
        <v>900</v>
      </c>
      <c r="Z208" s="265" t="s">
        <v>900</v>
      </c>
      <c r="AA208" s="265" t="s">
        <v>900</v>
      </c>
      <c r="AB208" s="266" t="s">
        <v>900</v>
      </c>
      <c r="AC208" s="265">
        <v>81389.028809389856</v>
      </c>
      <c r="AD208" s="265">
        <v>16806.16739778547</v>
      </c>
      <c r="AE208" s="265">
        <v>44110.826603070462</v>
      </c>
      <c r="AF208" s="266">
        <v>38053.719812353222</v>
      </c>
      <c r="AG208" s="265">
        <v>81389.028809389856</v>
      </c>
      <c r="AH208" s="265">
        <v>16806.16739778547</v>
      </c>
      <c r="AI208" s="265">
        <v>44110.826603070462</v>
      </c>
      <c r="AJ208" s="266">
        <v>38053.719812353222</v>
      </c>
      <c r="AK208" s="265">
        <v>81398.533912411847</v>
      </c>
      <c r="AL208" s="265">
        <v>18780.752229220721</v>
      </c>
      <c r="AM208" s="265">
        <v>44115.978132181692</v>
      </c>
      <c r="AN208" s="265">
        <v>38058.163955900294</v>
      </c>
      <c r="AO208" s="266">
        <v>182353.42822971454</v>
      </c>
      <c r="AP208" s="203"/>
      <c r="AQ208" s="264">
        <v>80162.16882480729</v>
      </c>
      <c r="AR208" s="265">
        <v>18184.412071779047</v>
      </c>
      <c r="AS208" s="265">
        <v>43504.950650025865</v>
      </c>
      <c r="AT208" s="265">
        <v>36529.295508734438</v>
      </c>
      <c r="AU208" s="266">
        <v>178380.82705534666</v>
      </c>
      <c r="AV208" s="203"/>
      <c r="AW208" s="324">
        <v>123756.45097717633</v>
      </c>
      <c r="AX208" s="203"/>
      <c r="AY208" s="377">
        <v>0</v>
      </c>
      <c r="AZ208" s="265">
        <v>16827.933259134705</v>
      </c>
      <c r="BA208" s="265">
        <v>161552.89379621195</v>
      </c>
      <c r="BB208" s="265">
        <v>1581.2601152835539</v>
      </c>
      <c r="BC208" s="266">
        <v>159971.63368092841</v>
      </c>
      <c r="BD208" s="264">
        <v>1599.7163368092843</v>
      </c>
      <c r="BE208" s="265">
        <v>158371.91734411914</v>
      </c>
      <c r="BF208" s="357">
        <v>1.2797063594957707</v>
      </c>
      <c r="BG208" s="203"/>
      <c r="BJ208" s="458">
        <v>1.2797063594957707</v>
      </c>
      <c r="BK208" s="210"/>
      <c r="BL208" s="458"/>
      <c r="BM208" s="458"/>
      <c r="BN208" s="458"/>
      <c r="BQ208" s="203">
        <v>157994.20931608792</v>
      </c>
      <c r="BR208" s="458">
        <v>1.2766543325101158</v>
      </c>
      <c r="BT208" s="459" t="s">
        <v>900</v>
      </c>
      <c r="BU208" s="460" t="s">
        <v>900</v>
      </c>
      <c r="BV208" s="461">
        <v>158371.91734411914</v>
      </c>
      <c r="BX208" s="462">
        <v>-11110.047086809936</v>
      </c>
      <c r="BY208" s="463">
        <v>-6.4581775381510859E-2</v>
      </c>
      <c r="BZ208" s="461">
        <v>-64.143605626787277</v>
      </c>
      <c r="CB208" s="203" t="s">
        <v>900</v>
      </c>
      <c r="CC208" s="203">
        <v>3571.0084704899559</v>
      </c>
      <c r="CD208" s="203" t="e">
        <v>#VALUE!</v>
      </c>
      <c r="CE208" s="203" t="s">
        <v>900</v>
      </c>
      <c r="CF208" s="203" t="e">
        <v>#VALUE!</v>
      </c>
      <c r="CH208" s="199"/>
      <c r="CJ208" s="464" t="s">
        <v>1448</v>
      </c>
      <c r="CK208" s="464" t="s">
        <v>1447</v>
      </c>
      <c r="CL208" s="464" t="s">
        <v>1448</v>
      </c>
      <c r="CN208" s="464" t="s">
        <v>1447</v>
      </c>
      <c r="CO208" s="464" t="s">
        <v>1447</v>
      </c>
      <c r="CP208" s="464" t="s">
        <v>1447</v>
      </c>
      <c r="CQ208" s="464" t="s">
        <v>1447</v>
      </c>
      <c r="CS208" s="465">
        <v>0</v>
      </c>
      <c r="CT208" s="466">
        <v>0.9</v>
      </c>
      <c r="CU208" s="466">
        <v>0</v>
      </c>
      <c r="CV208" s="467">
        <v>0.9</v>
      </c>
    </row>
    <row r="209" spans="1:100" s="48" customFormat="1" outlineLevel="1" x14ac:dyDescent="0.3">
      <c r="A209" s="202">
        <v>98749000</v>
      </c>
      <c r="B209" s="48">
        <v>400397</v>
      </c>
      <c r="C209" s="48">
        <v>79971</v>
      </c>
      <c r="D209" s="48" t="s">
        <v>84</v>
      </c>
      <c r="E209" s="48" t="s">
        <v>7</v>
      </c>
      <c r="F209" s="48" t="s">
        <v>1498</v>
      </c>
      <c r="G209" s="48" t="s">
        <v>1499</v>
      </c>
      <c r="H209" s="48" t="s">
        <v>1526</v>
      </c>
      <c r="O209" s="454" t="s">
        <v>900</v>
      </c>
      <c r="P209" s="455" t="s">
        <v>900</v>
      </c>
      <c r="Q209" s="347" t="s">
        <v>900</v>
      </c>
      <c r="R209" s="455">
        <v>214</v>
      </c>
      <c r="S209" s="457">
        <v>171</v>
      </c>
      <c r="T209" s="455"/>
      <c r="U209" s="454">
        <v>214</v>
      </c>
      <c r="V209" s="455">
        <v>87.627806576689352</v>
      </c>
      <c r="W209" s="230">
        <v>0.40947573166677265</v>
      </c>
      <c r="X209" s="264" t="s">
        <v>900</v>
      </c>
      <c r="Y209" s="265" t="s">
        <v>900</v>
      </c>
      <c r="Z209" s="265" t="s">
        <v>900</v>
      </c>
      <c r="AA209" s="265" t="s">
        <v>900</v>
      </c>
      <c r="AB209" s="266" t="s">
        <v>900</v>
      </c>
      <c r="AC209" s="265">
        <v>41176.106291141019</v>
      </c>
      <c r="AD209" s="265">
        <v>8502.5284763944237</v>
      </c>
      <c r="AE209" s="265">
        <v>22316.424109837419</v>
      </c>
      <c r="AF209" s="266">
        <v>19252.029845894675</v>
      </c>
      <c r="AG209" s="265">
        <v>41176.106291141019</v>
      </c>
      <c r="AH209" s="265">
        <v>8502.5284763944237</v>
      </c>
      <c r="AI209" s="265">
        <v>22316.424109837419</v>
      </c>
      <c r="AJ209" s="266">
        <v>19252.029845894675</v>
      </c>
      <c r="AK209" s="265">
        <v>41185.61139416301</v>
      </c>
      <c r="AL209" s="265">
        <v>10477.113307829675</v>
      </c>
      <c r="AM209" s="265">
        <v>22321.575638948649</v>
      </c>
      <c r="AN209" s="265">
        <v>19256.473989441747</v>
      </c>
      <c r="AO209" s="266">
        <v>93240.774330383079</v>
      </c>
      <c r="AP209" s="203"/>
      <c r="AQ209" s="264">
        <v>40560.041748225842</v>
      </c>
      <c r="AR209" s="265">
        <v>10144.436356274757</v>
      </c>
      <c r="AS209" s="265">
        <v>22012.411097259203</v>
      </c>
      <c r="AT209" s="265">
        <v>18563.345435289579</v>
      </c>
      <c r="AU209" s="266">
        <v>91280.234637049376</v>
      </c>
      <c r="AV209" s="203"/>
      <c r="AW209" s="324">
        <v>80977.836722762324</v>
      </c>
      <c r="AX209" s="203"/>
      <c r="AY209" s="377">
        <v>0</v>
      </c>
      <c r="AZ209" s="265">
        <v>8611.1143316643283</v>
      </c>
      <c r="BA209" s="265">
        <v>82669.120305385048</v>
      </c>
      <c r="BB209" s="265">
        <v>809.15531522065646</v>
      </c>
      <c r="BC209" s="266">
        <v>81859.964990164386</v>
      </c>
      <c r="BD209" s="264">
        <v>818.59964990164383</v>
      </c>
      <c r="BE209" s="265">
        <v>81041.365340262739</v>
      </c>
      <c r="BF209" s="357">
        <v>1.0007845185802866</v>
      </c>
      <c r="BG209" s="203"/>
      <c r="BJ209" s="458">
        <v>1.0007845185802866</v>
      </c>
      <c r="BK209" s="210"/>
      <c r="BL209" s="458"/>
      <c r="BM209" s="458"/>
      <c r="BN209" s="458"/>
      <c r="BQ209" s="203">
        <v>80848.086286722464</v>
      </c>
      <c r="BR209" s="458">
        <v>0.99839770434367026</v>
      </c>
      <c r="BT209" s="459" t="s">
        <v>900</v>
      </c>
      <c r="BU209" s="460" t="s">
        <v>900</v>
      </c>
      <c r="BV209" s="461">
        <v>81041.365340262739</v>
      </c>
      <c r="BX209" s="462">
        <v>-4885.714597614482</v>
      </c>
      <c r="BY209" s="463">
        <v>-5.6033552005402443E-2</v>
      </c>
      <c r="BZ209" s="461">
        <v>-55.755299470364399</v>
      </c>
      <c r="CB209" s="203" t="s">
        <v>900</v>
      </c>
      <c r="CC209" s="203">
        <v>1607.985987675494</v>
      </c>
      <c r="CD209" s="203" t="e">
        <v>#VALUE!</v>
      </c>
      <c r="CE209" s="203" t="s">
        <v>900</v>
      </c>
      <c r="CF209" s="203" t="e">
        <v>#VALUE!</v>
      </c>
      <c r="CH209" s="199"/>
      <c r="CJ209" s="464" t="s">
        <v>1448</v>
      </c>
      <c r="CK209" s="464" t="s">
        <v>1447</v>
      </c>
      <c r="CL209" s="464" t="s">
        <v>1448</v>
      </c>
      <c r="CN209" s="464" t="s">
        <v>1447</v>
      </c>
      <c r="CO209" s="464" t="s">
        <v>1447</v>
      </c>
      <c r="CP209" s="464" t="s">
        <v>1447</v>
      </c>
      <c r="CQ209" s="464" t="s">
        <v>1447</v>
      </c>
      <c r="CS209" s="465">
        <v>0</v>
      </c>
      <c r="CT209" s="466">
        <v>0</v>
      </c>
      <c r="CU209" s="466">
        <v>0.95</v>
      </c>
      <c r="CV209" s="467">
        <v>0.95</v>
      </c>
    </row>
    <row r="210" spans="1:100" s="48" customFormat="1" outlineLevel="1" x14ac:dyDescent="0.3">
      <c r="A210" s="202">
        <v>78909000</v>
      </c>
      <c r="B210" s="48">
        <v>400310</v>
      </c>
      <c r="C210" s="48">
        <v>79055</v>
      </c>
      <c r="D210" s="48" t="s">
        <v>85</v>
      </c>
      <c r="E210" s="48" t="s">
        <v>7</v>
      </c>
      <c r="F210" s="48" t="s">
        <v>1498</v>
      </c>
      <c r="G210" s="48" t="s">
        <v>1499</v>
      </c>
      <c r="H210" s="48" t="s">
        <v>1512</v>
      </c>
      <c r="O210" s="454" t="s">
        <v>900</v>
      </c>
      <c r="P210" s="455" t="s">
        <v>900</v>
      </c>
      <c r="Q210" s="347" t="s">
        <v>900</v>
      </c>
      <c r="R210" s="455">
        <v>763</v>
      </c>
      <c r="S210" s="457">
        <v>374</v>
      </c>
      <c r="T210" s="455"/>
      <c r="U210" s="454">
        <v>763</v>
      </c>
      <c r="V210" s="455">
        <v>191.65379917942585</v>
      </c>
      <c r="W210" s="230">
        <v>0.25118453365586613</v>
      </c>
      <c r="X210" s="264" t="s">
        <v>900</v>
      </c>
      <c r="Y210" s="265" t="s">
        <v>900</v>
      </c>
      <c r="Z210" s="265" t="s">
        <v>900</v>
      </c>
      <c r="AA210" s="265" t="s">
        <v>900</v>
      </c>
      <c r="AB210" s="266" t="s">
        <v>900</v>
      </c>
      <c r="AC210" s="265">
        <v>90057.682765419537</v>
      </c>
      <c r="AD210" s="265">
        <v>18596.173392815876</v>
      </c>
      <c r="AE210" s="265">
        <v>48809.021152509908</v>
      </c>
      <c r="AF210" s="266">
        <v>42106.778727278412</v>
      </c>
      <c r="AG210" s="265">
        <v>90057.682765419537</v>
      </c>
      <c r="AH210" s="265">
        <v>18596.173392815876</v>
      </c>
      <c r="AI210" s="265">
        <v>48809.021152509908</v>
      </c>
      <c r="AJ210" s="266">
        <v>42106.778727278412</v>
      </c>
      <c r="AK210" s="265">
        <v>90067.187868441528</v>
      </c>
      <c r="AL210" s="265">
        <v>20570.758224251127</v>
      </c>
      <c r="AM210" s="265">
        <v>48814.172681621138</v>
      </c>
      <c r="AN210" s="265">
        <v>42111.222870825484</v>
      </c>
      <c r="AO210" s="266">
        <v>201563.34164513927</v>
      </c>
      <c r="AP210" s="203"/>
      <c r="AQ210" s="264">
        <v>118814.32820819748</v>
      </c>
      <c r="AR210" s="265">
        <v>24915.285284651964</v>
      </c>
      <c r="AS210" s="265">
        <v>62997.092763645385</v>
      </c>
      <c r="AT210" s="265">
        <v>60697.265234079547</v>
      </c>
      <c r="AU210" s="266">
        <v>267423.97149057436</v>
      </c>
      <c r="AV210" s="203"/>
      <c r="AW210" s="324">
        <v>254760.97881520091</v>
      </c>
      <c r="AX210" s="203"/>
      <c r="AY210" s="377">
        <v>0</v>
      </c>
      <c r="AZ210" s="265">
        <v>12662.992675373447</v>
      </c>
      <c r="BA210" s="265">
        <v>254760.97881520091</v>
      </c>
      <c r="BB210" s="265">
        <v>2493.5695379077224</v>
      </c>
      <c r="BC210" s="266">
        <v>252267.40927729319</v>
      </c>
      <c r="BD210" s="264">
        <v>2522.674092772932</v>
      </c>
      <c r="BE210" s="265">
        <v>249744.73518452025</v>
      </c>
      <c r="BF210" s="357">
        <v>0.98031000016560876</v>
      </c>
      <c r="BG210" s="203"/>
      <c r="BJ210" s="458">
        <v>0.98031000016560876</v>
      </c>
      <c r="BK210" s="210"/>
      <c r="BL210" s="458"/>
      <c r="BM210" s="458"/>
      <c r="BN210" s="458"/>
      <c r="BQ210" s="203">
        <v>249149.10817551738</v>
      </c>
      <c r="BR210" s="458">
        <v>0.97797201649254817</v>
      </c>
      <c r="BT210" s="459" t="s">
        <v>900</v>
      </c>
      <c r="BU210" s="460" t="s">
        <v>900</v>
      </c>
      <c r="BV210" s="461">
        <v>249744.73518452025</v>
      </c>
      <c r="BX210" s="462">
        <v>54438.697873423574</v>
      </c>
      <c r="BY210" s="463">
        <v>0.27459747367786186</v>
      </c>
      <c r="BZ210" s="461">
        <v>284.04705832342091</v>
      </c>
      <c r="CB210" s="203" t="s">
        <v>900</v>
      </c>
      <c r="CC210" s="203">
        <v>3816.9119073362158</v>
      </c>
      <c r="CD210" s="203" t="e">
        <v>#VALUE!</v>
      </c>
      <c r="CE210" s="203" t="s">
        <v>900</v>
      </c>
      <c r="CF210" s="203" t="e">
        <v>#VALUE!</v>
      </c>
      <c r="CH210" s="199"/>
      <c r="CJ210" s="464" t="s">
        <v>1448</v>
      </c>
      <c r="CK210" s="464" t="s">
        <v>1447</v>
      </c>
      <c r="CL210" s="464" t="s">
        <v>1448</v>
      </c>
      <c r="CN210" s="464" t="s">
        <v>1447</v>
      </c>
      <c r="CO210" s="464" t="s">
        <v>1447</v>
      </c>
      <c r="CP210" s="464" t="s">
        <v>1447</v>
      </c>
      <c r="CQ210" s="464" t="s">
        <v>1447</v>
      </c>
      <c r="CS210" s="465">
        <v>0</v>
      </c>
      <c r="CT210" s="466">
        <v>0.9</v>
      </c>
      <c r="CU210" s="466">
        <v>0</v>
      </c>
      <c r="CV210" s="467">
        <v>0.9</v>
      </c>
    </row>
    <row r="211" spans="1:100" s="192" customFormat="1" outlineLevel="1" x14ac:dyDescent="0.3">
      <c r="A211" s="192">
        <v>78959000</v>
      </c>
      <c r="D211" s="192" t="s">
        <v>786</v>
      </c>
      <c r="E211" s="192" t="s">
        <v>7</v>
      </c>
      <c r="F211" s="192" t="s">
        <v>900</v>
      </c>
      <c r="G211" s="192" t="s">
        <v>900</v>
      </c>
      <c r="H211" s="192" t="s">
        <v>900</v>
      </c>
      <c r="O211" s="540" t="s">
        <v>900</v>
      </c>
      <c r="P211" s="541" t="s">
        <v>900</v>
      </c>
      <c r="Q211" s="850" t="s">
        <v>900</v>
      </c>
      <c r="R211" s="541">
        <v>535</v>
      </c>
      <c r="S211" s="542">
        <v>464</v>
      </c>
      <c r="T211" s="541"/>
      <c r="U211" s="540">
        <v>535</v>
      </c>
      <c r="V211" s="541">
        <v>237.77369737768342</v>
      </c>
      <c r="W211" s="543">
        <v>0.44443681752838021</v>
      </c>
      <c r="X211" s="544"/>
      <c r="Y211" s="545"/>
      <c r="Z211" s="545"/>
      <c r="AA211" s="545"/>
      <c r="AB211" s="546"/>
      <c r="AC211" s="545">
        <v>111729.31765549377</v>
      </c>
      <c r="AD211" s="545">
        <v>23071.18838039189</v>
      </c>
      <c r="AE211" s="545">
        <v>60554.507526108559</v>
      </c>
      <c r="AF211" s="546">
        <v>52239.426014591401</v>
      </c>
      <c r="AG211" s="545">
        <v>111729.31765549377</v>
      </c>
      <c r="AH211" s="545">
        <v>23071.18838039189</v>
      </c>
      <c r="AI211" s="545">
        <v>60554.507526108559</v>
      </c>
      <c r="AJ211" s="546">
        <v>52239.426014591401</v>
      </c>
      <c r="AK211" s="545">
        <v>111738.82275851576</v>
      </c>
      <c r="AL211" s="545">
        <v>25045.773211827141</v>
      </c>
      <c r="AM211" s="545">
        <v>60559.659055219789</v>
      </c>
      <c r="AN211" s="545">
        <v>52243.870158138474</v>
      </c>
      <c r="AO211" s="546">
        <v>249588.12518370117</v>
      </c>
      <c r="AP211" s="547"/>
      <c r="AQ211" s="544">
        <v>110041.61799635974</v>
      </c>
      <c r="AR211" s="545">
        <v>24250.5015337763</v>
      </c>
      <c r="AS211" s="545">
        <v>59720.878695825857</v>
      </c>
      <c r="AT211" s="545">
        <v>53311.125911294403</v>
      </c>
      <c r="AU211" s="546">
        <v>247324.12413725627</v>
      </c>
      <c r="AV211" s="547"/>
      <c r="AW211" s="548">
        <v>240887.37856174787</v>
      </c>
      <c r="AX211" s="547"/>
      <c r="AY211" s="851">
        <v>0</v>
      </c>
      <c r="AZ211" s="545">
        <v>6436.7455755083938</v>
      </c>
      <c r="BA211" s="545">
        <v>240887.37856174787</v>
      </c>
      <c r="BB211" s="545">
        <v>2357.7764225962374</v>
      </c>
      <c r="BC211" s="546">
        <v>238529.60213915163</v>
      </c>
      <c r="BD211" s="544">
        <v>2385.2960213915162</v>
      </c>
      <c r="BE211" s="545">
        <v>236144.3061177601</v>
      </c>
      <c r="BF211" s="549">
        <v>0.98031000016560876</v>
      </c>
      <c r="BG211" s="547"/>
      <c r="BJ211" s="550">
        <v>0.98031000016560876</v>
      </c>
      <c r="BK211" s="551"/>
      <c r="BL211" s="550"/>
      <c r="BM211" s="550"/>
      <c r="BN211" s="550"/>
      <c r="BQ211" s="547">
        <v>235581.11535963637</v>
      </c>
      <c r="BR211" s="550">
        <v>0.97797201649254817</v>
      </c>
      <c r="BT211" s="552">
        <v>0</v>
      </c>
      <c r="BU211" s="553" t="s">
        <v>900</v>
      </c>
      <c r="BV211" s="554">
        <v>236144.3061177601</v>
      </c>
      <c r="BX211" s="555">
        <v>1672.0047536787752</v>
      </c>
      <c r="BY211" s="556">
        <v>9.2485214285630054E-3</v>
      </c>
      <c r="BZ211" s="554">
        <v>7.0319163646723171</v>
      </c>
      <c r="CB211" s="547" t="s">
        <v>900</v>
      </c>
      <c r="CC211" s="547">
        <v>4316.7254199603021</v>
      </c>
      <c r="CD211" s="547" t="e">
        <v>#VALUE!</v>
      </c>
      <c r="CE211" s="547" t="s">
        <v>900</v>
      </c>
      <c r="CF211" s="547" t="e">
        <v>#VALUE!</v>
      </c>
      <c r="CJ211" s="557" t="s">
        <v>1448</v>
      </c>
      <c r="CK211" s="557" t="s">
        <v>1447</v>
      </c>
      <c r="CL211" s="557" t="s">
        <v>1448</v>
      </c>
      <c r="CN211" s="557" t="s">
        <v>1447</v>
      </c>
      <c r="CO211" s="557" t="s">
        <v>1447</v>
      </c>
      <c r="CP211" s="557" t="s">
        <v>1447</v>
      </c>
      <c r="CQ211" s="557" t="s">
        <v>1447</v>
      </c>
      <c r="CS211" s="558">
        <v>0</v>
      </c>
      <c r="CT211" s="559">
        <v>0</v>
      </c>
      <c r="CU211" s="559">
        <v>0.95</v>
      </c>
      <c r="CV211" s="560">
        <v>0.95</v>
      </c>
    </row>
    <row r="212" spans="1:100" s="48" customFormat="1" outlineLevel="1" x14ac:dyDescent="0.3">
      <c r="A212" s="202">
        <v>78524000</v>
      </c>
      <c r="B212" s="48">
        <v>400219</v>
      </c>
      <c r="C212" s="48">
        <v>79047</v>
      </c>
      <c r="D212" s="48" t="s">
        <v>89</v>
      </c>
      <c r="E212" s="48" t="s">
        <v>7</v>
      </c>
      <c r="F212" s="48" t="s">
        <v>1503</v>
      </c>
      <c r="G212" s="48" t="s">
        <v>1502</v>
      </c>
      <c r="H212" s="48" t="s">
        <v>1516</v>
      </c>
      <c r="O212" s="454" t="s">
        <v>900</v>
      </c>
      <c r="P212" s="455" t="s">
        <v>900</v>
      </c>
      <c r="Q212" s="347" t="s">
        <v>900</v>
      </c>
      <c r="R212" s="455">
        <v>389</v>
      </c>
      <c r="S212" s="457">
        <v>341</v>
      </c>
      <c r="T212" s="455"/>
      <c r="U212" s="454">
        <v>389</v>
      </c>
      <c r="V212" s="455">
        <v>174.74316984006475</v>
      </c>
      <c r="W212" s="230">
        <v>0.44921123352201736</v>
      </c>
      <c r="X212" s="264" t="s">
        <v>900</v>
      </c>
      <c r="Y212" s="265" t="s">
        <v>900</v>
      </c>
      <c r="Z212" s="265" t="s">
        <v>900</v>
      </c>
      <c r="AA212" s="265" t="s">
        <v>900</v>
      </c>
      <c r="AB212" s="266" t="s">
        <v>900</v>
      </c>
      <c r="AC212" s="265">
        <v>82111.416639058996</v>
      </c>
      <c r="AD212" s="265">
        <v>16955.334564038003</v>
      </c>
      <c r="AE212" s="265">
        <v>44502.342815523742</v>
      </c>
      <c r="AF212" s="266">
        <v>38391.474721930317</v>
      </c>
      <c r="AG212" s="265">
        <v>82111.416639058996</v>
      </c>
      <c r="AH212" s="265">
        <v>16955.334564038003</v>
      </c>
      <c r="AI212" s="265">
        <v>44502.342815523742</v>
      </c>
      <c r="AJ212" s="266">
        <v>38391.474721930317</v>
      </c>
      <c r="AK212" s="265">
        <v>82120.921742080987</v>
      </c>
      <c r="AL212" s="265">
        <v>18929.919395473255</v>
      </c>
      <c r="AM212" s="265">
        <v>44507.494344634972</v>
      </c>
      <c r="AN212" s="265">
        <v>38395.91886547739</v>
      </c>
      <c r="AO212" s="266">
        <v>183954.25434766657</v>
      </c>
      <c r="AP212" s="203"/>
      <c r="AQ212" s="264">
        <v>137527.51212992435</v>
      </c>
      <c r="AR212" s="265">
        <v>26307.433866844251</v>
      </c>
      <c r="AS212" s="265">
        <v>68995.011404667806</v>
      </c>
      <c r="AT212" s="265">
        <v>64746.613403474934</v>
      </c>
      <c r="AU212" s="266">
        <v>297576.57080491132</v>
      </c>
      <c r="AV212" s="203"/>
      <c r="AW212" s="324">
        <v>310152.23825449112</v>
      </c>
      <c r="AX212" s="203"/>
      <c r="AY212" s="377">
        <v>0</v>
      </c>
      <c r="AZ212" s="265">
        <v>0</v>
      </c>
      <c r="BA212" s="265">
        <v>297576.57080491132</v>
      </c>
      <c r="BB212" s="265">
        <v>2912.6433553720221</v>
      </c>
      <c r="BC212" s="266">
        <v>294663.9274495393</v>
      </c>
      <c r="BD212" s="264">
        <v>2946.6392744953932</v>
      </c>
      <c r="BE212" s="265">
        <v>291717.28817504388</v>
      </c>
      <c r="BF212" s="357">
        <v>0.94056160876607731</v>
      </c>
      <c r="BG212" s="203"/>
      <c r="BJ212" s="458">
        <v>0.94056160876607731</v>
      </c>
      <c r="BK212" s="210"/>
      <c r="BL212" s="458"/>
      <c r="BM212" s="458"/>
      <c r="BN212" s="458"/>
      <c r="BQ212" s="203">
        <v>291021.55901101662</v>
      </c>
      <c r="BR212" s="458">
        <v>0.93831842274896926</v>
      </c>
      <c r="BT212" s="459" t="s">
        <v>900</v>
      </c>
      <c r="BU212" s="460" t="s">
        <v>900</v>
      </c>
      <c r="BV212" s="461">
        <v>291717.28817504388</v>
      </c>
      <c r="BX212" s="462">
        <v>113610.04819597511</v>
      </c>
      <c r="BY212" s="463">
        <v>0.62842223559994514</v>
      </c>
      <c r="BZ212" s="461">
        <v>650.15444265980591</v>
      </c>
      <c r="CB212" s="203" t="s">
        <v>900</v>
      </c>
      <c r="CC212" s="203">
        <v>3168.1702414211968</v>
      </c>
      <c r="CD212" s="203" t="e">
        <v>#VALUE!</v>
      </c>
      <c r="CE212" s="203" t="s">
        <v>900</v>
      </c>
      <c r="CF212" s="203" t="e">
        <v>#VALUE!</v>
      </c>
      <c r="CH212" s="199"/>
      <c r="CJ212" s="464" t="s">
        <v>1448</v>
      </c>
      <c r="CK212" s="464" t="s">
        <v>1447</v>
      </c>
      <c r="CL212" s="464" t="s">
        <v>1448</v>
      </c>
      <c r="CN212" s="464" t="s">
        <v>1447</v>
      </c>
      <c r="CO212" s="464" t="s">
        <v>1447</v>
      </c>
      <c r="CP212" s="464" t="s">
        <v>1447</v>
      </c>
      <c r="CQ212" s="464" t="s">
        <v>1447</v>
      </c>
      <c r="CS212" s="465">
        <v>0</v>
      </c>
      <c r="CT212" s="466">
        <v>0</v>
      </c>
      <c r="CU212" s="466">
        <v>0.95</v>
      </c>
      <c r="CV212" s="467">
        <v>0.95</v>
      </c>
    </row>
    <row r="213" spans="1:100" s="48" customFormat="1" outlineLevel="1" x14ac:dyDescent="0.3">
      <c r="A213" s="202">
        <v>78218000</v>
      </c>
      <c r="B213" s="48" t="e">
        <v>#N/A</v>
      </c>
      <c r="C213" s="48">
        <v>91934</v>
      </c>
      <c r="D213" s="48" t="s">
        <v>92</v>
      </c>
      <c r="E213" s="48" t="s">
        <v>7</v>
      </c>
      <c r="F213" s="48" t="s">
        <v>1498</v>
      </c>
      <c r="G213" s="48" t="s">
        <v>1502</v>
      </c>
      <c r="H213" s="48" t="s">
        <v>1512</v>
      </c>
      <c r="O213" s="454" t="s">
        <v>900</v>
      </c>
      <c r="P213" s="455" t="s">
        <v>900</v>
      </c>
      <c r="Q213" s="347" t="s">
        <v>900</v>
      </c>
      <c r="R213" s="455">
        <v>178</v>
      </c>
      <c r="S213" s="457">
        <v>162</v>
      </c>
      <c r="T213" s="455"/>
      <c r="U213" s="454">
        <v>178</v>
      </c>
      <c r="V213" s="455">
        <v>83.0158167568636</v>
      </c>
      <c r="W213" s="230">
        <v>0.46638099301608765</v>
      </c>
      <c r="X213" s="264" t="s">
        <v>900</v>
      </c>
      <c r="Y213" s="265" t="s">
        <v>900</v>
      </c>
      <c r="Z213" s="265" t="s">
        <v>900</v>
      </c>
      <c r="AA213" s="265" t="s">
        <v>900</v>
      </c>
      <c r="AB213" s="266" t="s">
        <v>900</v>
      </c>
      <c r="AC213" s="265">
        <v>39008.942802133599</v>
      </c>
      <c r="AD213" s="265">
        <v>8055.0269776368223</v>
      </c>
      <c r="AE213" s="265">
        <v>21141.875472477554</v>
      </c>
      <c r="AF213" s="266">
        <v>18238.765117163377</v>
      </c>
      <c r="AG213" s="265">
        <v>39008.942802133599</v>
      </c>
      <c r="AH213" s="265">
        <v>8055.0269776368223</v>
      </c>
      <c r="AI213" s="265">
        <v>21141.875472477554</v>
      </c>
      <c r="AJ213" s="266">
        <v>18238.765117163377</v>
      </c>
      <c r="AK213" s="265">
        <v>39018.44790515559</v>
      </c>
      <c r="AL213" s="265">
        <v>10029.611809072074</v>
      </c>
      <c r="AM213" s="265">
        <v>21147.027001588784</v>
      </c>
      <c r="AN213" s="265">
        <v>18243.20926071045</v>
      </c>
      <c r="AO213" s="266">
        <v>88438.29597652689</v>
      </c>
      <c r="AP213" s="203"/>
      <c r="AQ213" s="264">
        <v>38425.795378829243</v>
      </c>
      <c r="AR213" s="265">
        <v>9711.1442518463791</v>
      </c>
      <c r="AS213" s="265">
        <v>20854.1305225592</v>
      </c>
      <c r="AT213" s="265">
        <v>17510.345030947206</v>
      </c>
      <c r="AU213" s="266">
        <v>86501.415184182028</v>
      </c>
      <c r="AV213" s="203"/>
      <c r="AW213" s="324">
        <v>66005.321733717443</v>
      </c>
      <c r="AX213" s="203"/>
      <c r="AY213" s="377">
        <v>0</v>
      </c>
      <c r="AZ213" s="265">
        <v>8160.2942736019759</v>
      </c>
      <c r="BA213" s="265">
        <v>78341.120910580052</v>
      </c>
      <c r="BB213" s="265">
        <v>766.79338247428723</v>
      </c>
      <c r="BC213" s="266">
        <v>77574.327528105758</v>
      </c>
      <c r="BD213" s="264">
        <v>775.74327528105755</v>
      </c>
      <c r="BE213" s="265">
        <v>76798.584252824701</v>
      </c>
      <c r="BF213" s="357">
        <v>1.1635210955057544</v>
      </c>
      <c r="BG213" s="203"/>
      <c r="BJ213" s="458">
        <v>1.1635210955057544</v>
      </c>
      <c r="BK213" s="210"/>
      <c r="BL213" s="458"/>
      <c r="BM213" s="458"/>
      <c r="BN213" s="458"/>
      <c r="BQ213" s="203">
        <v>76615.423991206495</v>
      </c>
      <c r="BR213" s="458">
        <v>1.1607461637758991</v>
      </c>
      <c r="BT213" s="459" t="s">
        <v>900</v>
      </c>
      <c r="BU213" s="460" t="s">
        <v>900</v>
      </c>
      <c r="BV213" s="461">
        <v>76798.584252824701</v>
      </c>
      <c r="BX213" s="462">
        <v>-4625.5378381215996</v>
      </c>
      <c r="BY213" s="463">
        <v>-6.7628565005740562E-2</v>
      </c>
      <c r="BZ213" s="461">
        <v>-55.718753592087843</v>
      </c>
      <c r="CB213" s="203" t="s">
        <v>900</v>
      </c>
      <c r="CC213" s="203">
        <v>1498.1925065537589</v>
      </c>
      <c r="CD213" s="203" t="e">
        <v>#VALUE!</v>
      </c>
      <c r="CE213" s="203" t="s">
        <v>900</v>
      </c>
      <c r="CF213" s="203" t="e">
        <v>#VALUE!</v>
      </c>
      <c r="CH213" s="199"/>
      <c r="CJ213" s="464" t="s">
        <v>1448</v>
      </c>
      <c r="CK213" s="464" t="s">
        <v>1447</v>
      </c>
      <c r="CL213" s="464" t="s">
        <v>1448</v>
      </c>
      <c r="CN213" s="464" t="s">
        <v>1447</v>
      </c>
      <c r="CO213" s="464" t="s">
        <v>1447</v>
      </c>
      <c r="CP213" s="464" t="s">
        <v>1447</v>
      </c>
      <c r="CQ213" s="464" t="s">
        <v>1447</v>
      </c>
      <c r="CS213" s="465">
        <v>0</v>
      </c>
      <c r="CT213" s="466">
        <v>0</v>
      </c>
      <c r="CU213" s="466">
        <v>0.95</v>
      </c>
      <c r="CV213" s="467">
        <v>0.95</v>
      </c>
    </row>
    <row r="214" spans="1:100" s="48" customFormat="1" outlineLevel="1" x14ac:dyDescent="0.3">
      <c r="A214" s="202">
        <v>78550000</v>
      </c>
      <c r="B214" s="48">
        <v>400798</v>
      </c>
      <c r="C214" s="48">
        <v>90140</v>
      </c>
      <c r="D214" s="48" t="s">
        <v>99</v>
      </c>
      <c r="E214" s="48" t="s">
        <v>7</v>
      </c>
      <c r="F214" s="48" t="s">
        <v>1501</v>
      </c>
      <c r="G214" s="48" t="s">
        <v>1502</v>
      </c>
      <c r="H214" s="48" t="s">
        <v>1515</v>
      </c>
      <c r="O214" s="454" t="s">
        <v>900</v>
      </c>
      <c r="P214" s="455" t="s">
        <v>900</v>
      </c>
      <c r="Q214" s="347" t="s">
        <v>900</v>
      </c>
      <c r="R214" s="455">
        <v>628</v>
      </c>
      <c r="S214" s="457">
        <v>541</v>
      </c>
      <c r="T214" s="455"/>
      <c r="U214" s="454">
        <v>628</v>
      </c>
      <c r="V214" s="455">
        <v>277.23183250285933</v>
      </c>
      <c r="W214" s="230">
        <v>0.44145196258417091</v>
      </c>
      <c r="X214" s="264" t="s">
        <v>900</v>
      </c>
      <c r="Y214" s="265" t="s">
        <v>900</v>
      </c>
      <c r="Z214" s="265" t="s">
        <v>900</v>
      </c>
      <c r="AA214" s="265" t="s">
        <v>900</v>
      </c>
      <c r="AB214" s="266" t="s">
        <v>900</v>
      </c>
      <c r="AC214" s="265">
        <v>130270.60528366838</v>
      </c>
      <c r="AD214" s="265">
        <v>26899.812314206923</v>
      </c>
      <c r="AE214" s="265">
        <v>70603.423645742951</v>
      </c>
      <c r="AF214" s="266">
        <v>60908.468693736962</v>
      </c>
      <c r="AG214" s="265">
        <v>130270.60528366838</v>
      </c>
      <c r="AH214" s="265">
        <v>26899.812314206923</v>
      </c>
      <c r="AI214" s="265">
        <v>70603.423645742951</v>
      </c>
      <c r="AJ214" s="266">
        <v>60908.468693736962</v>
      </c>
      <c r="AK214" s="265">
        <v>130280.11038669037</v>
      </c>
      <c r="AL214" s="265">
        <v>28874.397145642175</v>
      </c>
      <c r="AM214" s="265">
        <v>70608.575174854181</v>
      </c>
      <c r="AN214" s="265">
        <v>60912.912837284035</v>
      </c>
      <c r="AO214" s="266">
        <v>290675.99554447079</v>
      </c>
      <c r="AP214" s="203"/>
      <c r="AQ214" s="264">
        <v>138728.34491716779</v>
      </c>
      <c r="AR214" s="265">
        <v>29015.2570596808</v>
      </c>
      <c r="AS214" s="265">
        <v>73555.795378312308</v>
      </c>
      <c r="AT214" s="265">
        <v>70870.502521944538</v>
      </c>
      <c r="AU214" s="266">
        <v>312169.89987710543</v>
      </c>
      <c r="AV214" s="203"/>
      <c r="AW214" s="324">
        <v>307169.75959297642</v>
      </c>
      <c r="AX214" s="203"/>
      <c r="AY214" s="377">
        <v>0</v>
      </c>
      <c r="AZ214" s="265">
        <v>5000.140284129011</v>
      </c>
      <c r="BA214" s="265">
        <v>307169.75959297642</v>
      </c>
      <c r="BB214" s="265">
        <v>3006.5403228140767</v>
      </c>
      <c r="BC214" s="266">
        <v>304163.21927016234</v>
      </c>
      <c r="BD214" s="264">
        <v>3041.6321927016234</v>
      </c>
      <c r="BE214" s="265">
        <v>301121.58707746072</v>
      </c>
      <c r="BF214" s="357">
        <v>0.98031000016560876</v>
      </c>
      <c r="BG214" s="203"/>
      <c r="BJ214" s="458">
        <v>0.98031000016560876</v>
      </c>
      <c r="BK214" s="210"/>
      <c r="BL214" s="458"/>
      <c r="BM214" s="458"/>
      <c r="BN214" s="458"/>
      <c r="BQ214" s="203">
        <v>300403.42919467442</v>
      </c>
      <c r="BR214" s="458">
        <v>0.97797201649254828</v>
      </c>
      <c r="BT214" s="459" t="s">
        <v>900</v>
      </c>
      <c r="BU214" s="460" t="s">
        <v>900</v>
      </c>
      <c r="BV214" s="461">
        <v>301121.58707746072</v>
      </c>
      <c r="BX214" s="462">
        <v>18779.211752768431</v>
      </c>
      <c r="BY214" s="463">
        <v>6.5519081208318827E-2</v>
      </c>
      <c r="BZ214" s="461">
        <v>67.738295358180935</v>
      </c>
      <c r="CB214" s="203" t="s">
        <v>900</v>
      </c>
      <c r="CC214" s="203">
        <v>5037.3688323733249</v>
      </c>
      <c r="CD214" s="203" t="e">
        <v>#VALUE!</v>
      </c>
      <c r="CE214" s="203" t="s">
        <v>900</v>
      </c>
      <c r="CF214" s="203" t="e">
        <v>#VALUE!</v>
      </c>
      <c r="CH214" s="199"/>
      <c r="CJ214" s="464" t="s">
        <v>1448</v>
      </c>
      <c r="CK214" s="464" t="s">
        <v>1447</v>
      </c>
      <c r="CL214" s="464" t="s">
        <v>1448</v>
      </c>
      <c r="CN214" s="464" t="s">
        <v>1447</v>
      </c>
      <c r="CO214" s="464" t="s">
        <v>1447</v>
      </c>
      <c r="CP214" s="464" t="s">
        <v>1447</v>
      </c>
      <c r="CQ214" s="464" t="s">
        <v>1447</v>
      </c>
      <c r="CS214" s="465">
        <v>0</v>
      </c>
      <c r="CT214" s="466">
        <v>0</v>
      </c>
      <c r="CU214" s="466">
        <v>0.95</v>
      </c>
      <c r="CV214" s="467">
        <v>0.95</v>
      </c>
    </row>
    <row r="215" spans="1:100" s="48" customFormat="1" outlineLevel="1" x14ac:dyDescent="0.3">
      <c r="A215" s="202">
        <v>78772000</v>
      </c>
      <c r="B215" s="48">
        <v>400135</v>
      </c>
      <c r="C215" s="48">
        <v>6362</v>
      </c>
      <c r="D215" s="48" t="s">
        <v>100</v>
      </c>
      <c r="E215" s="48" t="s">
        <v>7</v>
      </c>
      <c r="F215" s="48" t="s">
        <v>1498</v>
      </c>
      <c r="G215" s="48" t="s">
        <v>1499</v>
      </c>
      <c r="H215" s="48" t="s">
        <v>1508</v>
      </c>
      <c r="O215" s="454" t="s">
        <v>900</v>
      </c>
      <c r="P215" s="455" t="s">
        <v>900</v>
      </c>
      <c r="Q215" s="347" t="s">
        <v>900</v>
      </c>
      <c r="R215" s="455">
        <v>575</v>
      </c>
      <c r="S215" s="457">
        <v>128</v>
      </c>
      <c r="T215" s="455"/>
      <c r="U215" s="454">
        <v>575</v>
      </c>
      <c r="V215" s="455">
        <v>65.592744104188526</v>
      </c>
      <c r="W215" s="230">
        <v>0.11407433757250178</v>
      </c>
      <c r="X215" s="264" t="s">
        <v>900</v>
      </c>
      <c r="Y215" s="265" t="s">
        <v>900</v>
      </c>
      <c r="Z215" s="265" t="s">
        <v>900</v>
      </c>
      <c r="AA215" s="265" t="s">
        <v>900</v>
      </c>
      <c r="AB215" s="266" t="s">
        <v>900</v>
      </c>
      <c r="AC215" s="265">
        <v>30821.880732550002</v>
      </c>
      <c r="AD215" s="265">
        <v>6364.4657601081071</v>
      </c>
      <c r="AE215" s="265">
        <v>16704.691731340292</v>
      </c>
      <c r="AF215" s="266">
        <v>14410.876141956249</v>
      </c>
      <c r="AG215" s="265">
        <v>30821.880732550002</v>
      </c>
      <c r="AH215" s="265" t="s">
        <v>900</v>
      </c>
      <c r="AI215" s="265">
        <v>16704.691731340292</v>
      </c>
      <c r="AJ215" s="266">
        <v>14410.876141956249</v>
      </c>
      <c r="AK215" s="265">
        <v>30831.385835571993</v>
      </c>
      <c r="AL215" s="265" t="s">
        <v>900</v>
      </c>
      <c r="AM215" s="265">
        <v>16709.843260451522</v>
      </c>
      <c r="AN215" s="265">
        <v>14415.320285503321</v>
      </c>
      <c r="AO215" s="266">
        <v>61956.549381526835</v>
      </c>
      <c r="AP215" s="203"/>
      <c r="AQ215" s="264">
        <v>30363.086872219847</v>
      </c>
      <c r="AR215" s="265">
        <v>0</v>
      </c>
      <c r="AS215" s="265">
        <v>16478.403907025873</v>
      </c>
      <c r="AT215" s="265">
        <v>13836.229597738311</v>
      </c>
      <c r="AU215" s="266">
        <v>60677.720376984034</v>
      </c>
      <c r="AV215" s="203"/>
      <c r="AW215" s="324">
        <v>58928.284908891619</v>
      </c>
      <c r="AX215" s="203"/>
      <c r="AY215" s="377">
        <v>0</v>
      </c>
      <c r="AZ215" s="265">
        <v>1749.4354680924152</v>
      </c>
      <c r="BA215" s="265">
        <v>58928.284908891619</v>
      </c>
      <c r="BB215" s="265">
        <v>576.78290000820118</v>
      </c>
      <c r="BC215" s="266">
        <v>58351.502008883421</v>
      </c>
      <c r="BD215" s="264">
        <v>583.51502008883426</v>
      </c>
      <c r="BE215" s="265">
        <v>57767.98698879459</v>
      </c>
      <c r="BF215" s="357">
        <v>0.98031000016560887</v>
      </c>
      <c r="BG215" s="203"/>
      <c r="BJ215" s="458">
        <v>0.98031000016560887</v>
      </c>
      <c r="BK215" s="210"/>
      <c r="BL215" s="458"/>
      <c r="BM215" s="458"/>
      <c r="BN215" s="458"/>
      <c r="BQ215" s="203">
        <v>57630.213620796138</v>
      </c>
      <c r="BR215" s="458">
        <v>0.97797201649254828</v>
      </c>
      <c r="BT215" s="459" t="s">
        <v>900</v>
      </c>
      <c r="BU215" s="460" t="s">
        <v>900</v>
      </c>
      <c r="BV215" s="461">
        <v>57767.98698879459</v>
      </c>
      <c r="BX215" s="462">
        <v>-2744.7532472513412</v>
      </c>
      <c r="BY215" s="463">
        <v>-4.4671548325789227E-2</v>
      </c>
      <c r="BZ215" s="461">
        <v>-41.845379161017149</v>
      </c>
      <c r="CB215" s="203">
        <v>10461</v>
      </c>
      <c r="CC215" s="203">
        <v>12086.591711913958</v>
      </c>
      <c r="CD215" s="203" t="e">
        <v>#VALUE!</v>
      </c>
      <c r="CE215" s="203" t="s">
        <v>900</v>
      </c>
      <c r="CF215" s="203" t="e">
        <v>#VALUE!</v>
      </c>
      <c r="CH215" s="199"/>
      <c r="CJ215" s="464" t="s">
        <v>1448</v>
      </c>
      <c r="CK215" s="464" t="s">
        <v>1447</v>
      </c>
      <c r="CL215" s="464" t="s">
        <v>1448</v>
      </c>
      <c r="CN215" s="464" t="s">
        <v>1447</v>
      </c>
      <c r="CO215" s="464" t="s">
        <v>1448</v>
      </c>
      <c r="CP215" s="464" t="s">
        <v>1447</v>
      </c>
      <c r="CQ215" s="464" t="s">
        <v>1447</v>
      </c>
      <c r="CS215" s="465">
        <v>0.85</v>
      </c>
      <c r="CT215" s="466">
        <v>0</v>
      </c>
      <c r="CU215" s="466">
        <v>0</v>
      </c>
      <c r="CV215" s="467">
        <v>0.85</v>
      </c>
    </row>
    <row r="216" spans="1:100" s="48" customFormat="1" outlineLevel="1" x14ac:dyDescent="0.3">
      <c r="A216" s="202">
        <v>78995000</v>
      </c>
      <c r="B216" s="48">
        <v>400402</v>
      </c>
      <c r="C216" s="48">
        <v>5186</v>
      </c>
      <c r="D216" s="48" t="s">
        <v>105</v>
      </c>
      <c r="E216" s="48" t="s">
        <v>7</v>
      </c>
      <c r="F216" s="48" t="s">
        <v>1498</v>
      </c>
      <c r="G216" s="48" t="s">
        <v>1499</v>
      </c>
      <c r="H216" s="48" t="s">
        <v>1512</v>
      </c>
      <c r="O216" s="454" t="s">
        <v>900</v>
      </c>
      <c r="P216" s="455" t="s">
        <v>900</v>
      </c>
      <c r="Q216" s="347" t="s">
        <v>900</v>
      </c>
      <c r="R216" s="455">
        <v>388</v>
      </c>
      <c r="S216" s="457">
        <v>319</v>
      </c>
      <c r="T216" s="455"/>
      <c r="U216" s="454">
        <v>388</v>
      </c>
      <c r="V216" s="455">
        <v>163.46941694715736</v>
      </c>
      <c r="W216" s="230">
        <v>0.42131293027617878</v>
      </c>
      <c r="X216" s="264" t="s">
        <v>900</v>
      </c>
      <c r="Y216" s="265" t="s">
        <v>900</v>
      </c>
      <c r="Z216" s="265" t="s">
        <v>900</v>
      </c>
      <c r="AA216" s="265" t="s">
        <v>900</v>
      </c>
      <c r="AB216" s="266" t="s">
        <v>900</v>
      </c>
      <c r="AC216" s="265">
        <v>76813.90588815196</v>
      </c>
      <c r="AD216" s="265">
        <v>15861.442011519424</v>
      </c>
      <c r="AE216" s="265">
        <v>41631.223924199636</v>
      </c>
      <c r="AF216" s="266">
        <v>35914.605385031588</v>
      </c>
      <c r="AG216" s="265">
        <v>76813.90588815196</v>
      </c>
      <c r="AH216" s="265">
        <v>15861.442011519424</v>
      </c>
      <c r="AI216" s="265">
        <v>41631.223924199636</v>
      </c>
      <c r="AJ216" s="266">
        <v>35914.605385031588</v>
      </c>
      <c r="AK216" s="265">
        <v>76823.410991173951</v>
      </c>
      <c r="AL216" s="265">
        <v>17836.026842954674</v>
      </c>
      <c r="AM216" s="265">
        <v>41636.375453310866</v>
      </c>
      <c r="AN216" s="265">
        <v>35919.04952857866</v>
      </c>
      <c r="AO216" s="266">
        <v>172214.86281601817</v>
      </c>
      <c r="AP216" s="203"/>
      <c r="AQ216" s="264">
        <v>75656.537600525568</v>
      </c>
      <c r="AR216" s="265">
        <v>17269.684295763589</v>
      </c>
      <c r="AS216" s="265">
        <v>41059.691658992524</v>
      </c>
      <c r="AT216" s="265">
        <v>37606.613027121399</v>
      </c>
      <c r="AU216" s="266">
        <v>171592.52658240308</v>
      </c>
      <c r="AV216" s="203"/>
      <c r="AW216" s="324">
        <v>163326.66916250926</v>
      </c>
      <c r="AX216" s="203"/>
      <c r="AY216" s="377">
        <v>0</v>
      </c>
      <c r="AZ216" s="265">
        <v>8265.8574198938149</v>
      </c>
      <c r="BA216" s="265">
        <v>163326.66916250926</v>
      </c>
      <c r="BB216" s="265">
        <v>1598.621613269077</v>
      </c>
      <c r="BC216" s="266">
        <v>161728.04754924017</v>
      </c>
      <c r="BD216" s="264">
        <v>1617.2804754924018</v>
      </c>
      <c r="BE216" s="265">
        <v>160110.76707374776</v>
      </c>
      <c r="BF216" s="357">
        <v>0.98031000016560865</v>
      </c>
      <c r="BG216" s="203"/>
      <c r="BJ216" s="458">
        <v>0.98031000016560865</v>
      </c>
      <c r="BK216" s="210"/>
      <c r="BL216" s="458"/>
      <c r="BM216" s="458"/>
      <c r="BN216" s="458"/>
      <c r="BQ216" s="203">
        <v>159728.91198787044</v>
      </c>
      <c r="BR216" s="458">
        <v>0.97797201649254795</v>
      </c>
      <c r="BT216" s="459" t="s">
        <v>900</v>
      </c>
      <c r="BU216" s="460" t="s">
        <v>900</v>
      </c>
      <c r="BV216" s="461">
        <v>160110.76707374776</v>
      </c>
      <c r="BX216" s="462">
        <v>-3525.8785237782577</v>
      </c>
      <c r="BY216" s="463">
        <v>-2.1529126872904619E-2</v>
      </c>
      <c r="BZ216" s="461">
        <v>-21.569040800567748</v>
      </c>
      <c r="CB216" s="203" t="s">
        <v>900</v>
      </c>
      <c r="CC216" s="203">
        <v>2988.2837155345301</v>
      </c>
      <c r="CD216" s="203" t="e">
        <v>#VALUE!</v>
      </c>
      <c r="CE216" s="203" t="s">
        <v>900</v>
      </c>
      <c r="CF216" s="203" t="e">
        <v>#VALUE!</v>
      </c>
      <c r="CH216" s="199"/>
      <c r="CJ216" s="464" t="s">
        <v>1448</v>
      </c>
      <c r="CK216" s="464" t="s">
        <v>1447</v>
      </c>
      <c r="CL216" s="464" t="s">
        <v>1448</v>
      </c>
      <c r="CN216" s="464" t="s">
        <v>1447</v>
      </c>
      <c r="CO216" s="464" t="s">
        <v>1447</v>
      </c>
      <c r="CP216" s="464" t="s">
        <v>1447</v>
      </c>
      <c r="CQ216" s="464" t="s">
        <v>1447</v>
      </c>
      <c r="CS216" s="465">
        <v>0</v>
      </c>
      <c r="CT216" s="466">
        <v>0</v>
      </c>
      <c r="CU216" s="466">
        <v>0.95</v>
      </c>
      <c r="CV216" s="467">
        <v>0.95</v>
      </c>
    </row>
    <row r="217" spans="1:100" s="48" customFormat="1" outlineLevel="1" x14ac:dyDescent="0.3">
      <c r="A217" s="202">
        <v>78975000</v>
      </c>
      <c r="B217" s="48">
        <v>400376</v>
      </c>
      <c r="C217" s="48">
        <v>79988</v>
      </c>
      <c r="D217" s="48" t="s">
        <v>116</v>
      </c>
      <c r="E217" s="48" t="s">
        <v>7</v>
      </c>
      <c r="F217" s="48" t="s">
        <v>1498</v>
      </c>
      <c r="G217" s="48" t="s">
        <v>1502</v>
      </c>
      <c r="H217" s="48" t="s">
        <v>1527</v>
      </c>
      <c r="O217" s="454" t="s">
        <v>900</v>
      </c>
      <c r="P217" s="455" t="s">
        <v>900</v>
      </c>
      <c r="Q217" s="347" t="s">
        <v>900</v>
      </c>
      <c r="R217" s="455">
        <v>240</v>
      </c>
      <c r="S217" s="457">
        <v>221</v>
      </c>
      <c r="T217" s="455"/>
      <c r="U217" s="454">
        <v>240</v>
      </c>
      <c r="V217" s="455">
        <v>113.249972242388</v>
      </c>
      <c r="W217" s="230">
        <v>0.47187488434328334</v>
      </c>
      <c r="X217" s="264" t="s">
        <v>900</v>
      </c>
      <c r="Y217" s="265" t="s">
        <v>900</v>
      </c>
      <c r="Z217" s="265" t="s">
        <v>900</v>
      </c>
      <c r="AA217" s="265" t="s">
        <v>900</v>
      </c>
      <c r="AB217" s="266" t="s">
        <v>900</v>
      </c>
      <c r="AC217" s="265">
        <v>53215.903452293358</v>
      </c>
      <c r="AD217" s="265">
        <v>10988.647913936653</v>
      </c>
      <c r="AE217" s="265">
        <v>28841.694317392219</v>
      </c>
      <c r="AF217" s="266">
        <v>24881.278338846336</v>
      </c>
      <c r="AG217" s="265">
        <v>53215.903452293358</v>
      </c>
      <c r="AH217" s="265">
        <v>10988.647913936653</v>
      </c>
      <c r="AI217" s="265">
        <v>28841.694317392219</v>
      </c>
      <c r="AJ217" s="266">
        <v>24881.278338846336</v>
      </c>
      <c r="AK217" s="265">
        <v>53225.408555315349</v>
      </c>
      <c r="AL217" s="265">
        <v>12963.232745371904</v>
      </c>
      <c r="AM217" s="265">
        <v>28846.845846503449</v>
      </c>
      <c r="AN217" s="265">
        <v>24885.722482393408</v>
      </c>
      <c r="AO217" s="266">
        <v>119921.2096295841</v>
      </c>
      <c r="AP217" s="203"/>
      <c r="AQ217" s="264">
        <v>55944.318035129589</v>
      </c>
      <c r="AR217" s="265">
        <v>12551.614714210173</v>
      </c>
      <c r="AS217" s="265">
        <v>29662.494801824603</v>
      </c>
      <c r="AT217" s="265">
        <v>28579.609558266056</v>
      </c>
      <c r="AU217" s="266">
        <v>126738.03710943041</v>
      </c>
      <c r="AV217" s="203"/>
      <c r="AW217" s="324">
        <v>124291.18365535649</v>
      </c>
      <c r="AX217" s="203"/>
      <c r="AY217" s="377">
        <v>0</v>
      </c>
      <c r="AZ217" s="265">
        <v>2446.8534540739201</v>
      </c>
      <c r="BA217" s="265">
        <v>124291.18365535649</v>
      </c>
      <c r="BB217" s="265">
        <v>1216.5470192289847</v>
      </c>
      <c r="BC217" s="266">
        <v>123074.63663612751</v>
      </c>
      <c r="BD217" s="264">
        <v>1230.7463663612752</v>
      </c>
      <c r="BE217" s="265">
        <v>121843.89026976624</v>
      </c>
      <c r="BF217" s="357">
        <v>0.98031000016560887</v>
      </c>
      <c r="BG217" s="203"/>
      <c r="BJ217" s="458">
        <v>0.98031000016560887</v>
      </c>
      <c r="BK217" s="210"/>
      <c r="BL217" s="458"/>
      <c r="BM217" s="458"/>
      <c r="BN217" s="458"/>
      <c r="BQ217" s="203">
        <v>121553.29951167465</v>
      </c>
      <c r="BR217" s="458">
        <v>0.97797201649254828</v>
      </c>
      <c r="BT217" s="459" t="s">
        <v>900</v>
      </c>
      <c r="BU217" s="460" t="s">
        <v>900</v>
      </c>
      <c r="BV217" s="461">
        <v>121843.89026976624</v>
      </c>
      <c r="BX217" s="462">
        <v>6277.7314980715746</v>
      </c>
      <c r="BY217" s="463">
        <v>5.3525599974500057E-2</v>
      </c>
      <c r="BZ217" s="461">
        <v>55.432521295770357</v>
      </c>
      <c r="CB217" s="203" t="s">
        <v>900</v>
      </c>
      <c r="CC217" s="203">
        <v>2040.9546935299838</v>
      </c>
      <c r="CD217" s="203" t="e">
        <v>#VALUE!</v>
      </c>
      <c r="CE217" s="203" t="s">
        <v>900</v>
      </c>
      <c r="CF217" s="203" t="e">
        <v>#VALUE!</v>
      </c>
      <c r="CH217" s="199"/>
      <c r="CJ217" s="464" t="s">
        <v>1448</v>
      </c>
      <c r="CK217" s="464" t="s">
        <v>1447</v>
      </c>
      <c r="CL217" s="464" t="s">
        <v>1448</v>
      </c>
      <c r="CN217" s="464" t="s">
        <v>1447</v>
      </c>
      <c r="CO217" s="464" t="s">
        <v>1447</v>
      </c>
      <c r="CP217" s="464" t="s">
        <v>1447</v>
      </c>
      <c r="CQ217" s="464" t="s">
        <v>1447</v>
      </c>
      <c r="CS217" s="465">
        <v>0</v>
      </c>
      <c r="CT217" s="466">
        <v>0</v>
      </c>
      <c r="CU217" s="466">
        <v>0.95</v>
      </c>
      <c r="CV217" s="467">
        <v>0.95</v>
      </c>
    </row>
    <row r="218" spans="1:100" s="48" customFormat="1" outlineLevel="1" x14ac:dyDescent="0.3">
      <c r="A218" s="202">
        <v>78513000</v>
      </c>
      <c r="B218" s="48">
        <v>400429</v>
      </c>
      <c r="C218" s="48">
        <v>79074</v>
      </c>
      <c r="D218" s="48" t="s">
        <v>118</v>
      </c>
      <c r="E218" s="48" t="s">
        <v>7</v>
      </c>
      <c r="F218" s="48" t="s">
        <v>1498</v>
      </c>
      <c r="G218" s="48" t="s">
        <v>1502</v>
      </c>
      <c r="H218" s="48" t="s">
        <v>1517</v>
      </c>
      <c r="O218" s="454" t="s">
        <v>900</v>
      </c>
      <c r="P218" s="455" t="s">
        <v>900</v>
      </c>
      <c r="Q218" s="347" t="s">
        <v>900</v>
      </c>
      <c r="R218" s="455">
        <v>393</v>
      </c>
      <c r="S218" s="457">
        <v>240</v>
      </c>
      <c r="T218" s="455"/>
      <c r="U218" s="454">
        <v>393</v>
      </c>
      <c r="V218" s="455">
        <v>122.98639519535348</v>
      </c>
      <c r="W218" s="230">
        <v>0.3129424814131132</v>
      </c>
      <c r="X218" s="264" t="s">
        <v>900</v>
      </c>
      <c r="Y218" s="265" t="s">
        <v>900</v>
      </c>
      <c r="Z218" s="265" t="s">
        <v>900</v>
      </c>
      <c r="AA218" s="265" t="s">
        <v>900</v>
      </c>
      <c r="AB218" s="266" t="s">
        <v>900</v>
      </c>
      <c r="AC218" s="265">
        <v>57791.026373531255</v>
      </c>
      <c r="AD218" s="265">
        <v>11933.3733002027</v>
      </c>
      <c r="AE218" s="265">
        <v>31321.296996263045</v>
      </c>
      <c r="AF218" s="266">
        <v>27020.392766167966</v>
      </c>
      <c r="AG218" s="265">
        <v>57791.026373531255</v>
      </c>
      <c r="AH218" s="265">
        <v>11933.3733002027</v>
      </c>
      <c r="AI218" s="265">
        <v>31321.296996263045</v>
      </c>
      <c r="AJ218" s="266">
        <v>27020.392766167966</v>
      </c>
      <c r="AK218" s="265">
        <v>57800.531476553246</v>
      </c>
      <c r="AL218" s="265">
        <v>13907.958131637952</v>
      </c>
      <c r="AM218" s="265">
        <v>31326.448525374275</v>
      </c>
      <c r="AN218" s="265">
        <v>27024.836909715039</v>
      </c>
      <c r="AO218" s="266">
        <v>130059.77504328052</v>
      </c>
      <c r="AP218" s="203"/>
      <c r="AQ218" s="264">
        <v>56922.597246933146</v>
      </c>
      <c r="AR218" s="265">
        <v>13466.342490225628</v>
      </c>
      <c r="AS218" s="265">
        <v>30892.562169959197</v>
      </c>
      <c r="AT218" s="265">
        <v>26056.563930666747</v>
      </c>
      <c r="AU218" s="266">
        <v>127338.06583778471</v>
      </c>
      <c r="AV218" s="203"/>
      <c r="AW218" s="324">
        <v>125342.56947660292</v>
      </c>
      <c r="AX218" s="203"/>
      <c r="AY218" s="377">
        <v>0</v>
      </c>
      <c r="AZ218" s="265">
        <v>1995.4963611817948</v>
      </c>
      <c r="BA218" s="265">
        <v>125342.56947660292</v>
      </c>
      <c r="BB218" s="265">
        <v>1226.8378560307615</v>
      </c>
      <c r="BC218" s="266">
        <v>124115.73162057216</v>
      </c>
      <c r="BD218" s="264">
        <v>1241.1573162057216</v>
      </c>
      <c r="BE218" s="265">
        <v>122874.57430436644</v>
      </c>
      <c r="BF218" s="357">
        <v>0.98031000016560876</v>
      </c>
      <c r="BG218" s="203"/>
      <c r="BJ218" s="458">
        <v>0.98031000016560876</v>
      </c>
      <c r="BK218" s="210"/>
      <c r="BL218" s="458"/>
      <c r="BM218" s="458"/>
      <c r="BN218" s="458"/>
      <c r="BQ218" s="203">
        <v>122581.52542339069</v>
      </c>
      <c r="BR218" s="458">
        <v>0.97797201649254828</v>
      </c>
      <c r="BT218" s="459" t="s">
        <v>900</v>
      </c>
      <c r="BU218" s="460" t="s">
        <v>900</v>
      </c>
      <c r="BV218" s="461">
        <v>122874.57430436644</v>
      </c>
      <c r="BX218" s="462">
        <v>2424.8175400187174</v>
      </c>
      <c r="BY218" s="463">
        <v>1.9835638704504763E-2</v>
      </c>
      <c r="BZ218" s="461">
        <v>19.716144506610672</v>
      </c>
      <c r="CB218" s="203" t="s">
        <v>900</v>
      </c>
      <c r="CC218" s="203">
        <v>2351.0663396027653</v>
      </c>
      <c r="CD218" s="203" t="e">
        <v>#VALUE!</v>
      </c>
      <c r="CE218" s="203" t="s">
        <v>900</v>
      </c>
      <c r="CF218" s="203" t="e">
        <v>#VALUE!</v>
      </c>
      <c r="CH218" s="199"/>
      <c r="CJ218" s="464" t="s">
        <v>1448</v>
      </c>
      <c r="CK218" s="464" t="s">
        <v>1447</v>
      </c>
      <c r="CL218" s="464" t="s">
        <v>1448</v>
      </c>
      <c r="CN218" s="464" t="s">
        <v>1447</v>
      </c>
      <c r="CO218" s="464" t="s">
        <v>1447</v>
      </c>
      <c r="CP218" s="464" t="s">
        <v>1447</v>
      </c>
      <c r="CQ218" s="464" t="s">
        <v>1447</v>
      </c>
      <c r="CS218" s="465">
        <v>0</v>
      </c>
      <c r="CT218" s="466">
        <v>0</v>
      </c>
      <c r="CU218" s="466">
        <v>0.95</v>
      </c>
      <c r="CV218" s="467">
        <v>0.95</v>
      </c>
    </row>
    <row r="219" spans="1:100" s="48" customFormat="1" outlineLevel="1" x14ac:dyDescent="0.3">
      <c r="A219" s="202">
        <v>78544000</v>
      </c>
      <c r="B219" s="48">
        <v>400778</v>
      </c>
      <c r="C219" s="48">
        <v>89917</v>
      </c>
      <c r="D219" s="48" t="s">
        <v>123</v>
      </c>
      <c r="E219" s="48" t="s">
        <v>7</v>
      </c>
      <c r="F219" s="48" t="s">
        <v>1501</v>
      </c>
      <c r="G219" s="48" t="s">
        <v>1502</v>
      </c>
      <c r="H219" s="48" t="s">
        <v>1507</v>
      </c>
      <c r="O219" s="454" t="s">
        <v>900</v>
      </c>
      <c r="P219" s="455" t="s">
        <v>900</v>
      </c>
      <c r="Q219" s="347" t="s">
        <v>900</v>
      </c>
      <c r="R219" s="455">
        <v>459</v>
      </c>
      <c r="S219" s="457">
        <v>151</v>
      </c>
      <c r="T219" s="455"/>
      <c r="U219" s="454">
        <v>459</v>
      </c>
      <c r="V219" s="455">
        <v>77.378940310409902</v>
      </c>
      <c r="W219" s="230">
        <v>0.16858156930372528</v>
      </c>
      <c r="X219" s="264" t="s">
        <v>900</v>
      </c>
      <c r="Y219" s="265" t="s">
        <v>900</v>
      </c>
      <c r="Z219" s="265" t="s">
        <v>900</v>
      </c>
      <c r="AA219" s="265" t="s">
        <v>900</v>
      </c>
      <c r="AB219" s="266" t="s">
        <v>900</v>
      </c>
      <c r="AC219" s="265">
        <v>36360.187426680081</v>
      </c>
      <c r="AD219" s="265">
        <v>7508.080701377532</v>
      </c>
      <c r="AE219" s="265">
        <v>19706.316026815501</v>
      </c>
      <c r="AF219" s="266">
        <v>17000.330448714012</v>
      </c>
      <c r="AG219" s="265">
        <v>36360.187426680081</v>
      </c>
      <c r="AH219" s="265">
        <v>7508.080701377532</v>
      </c>
      <c r="AI219" s="265">
        <v>19706.316026815501</v>
      </c>
      <c r="AJ219" s="266">
        <v>17000.330448714012</v>
      </c>
      <c r="AK219" s="265">
        <v>36369.692529702072</v>
      </c>
      <c r="AL219" s="265">
        <v>9482.6655328127836</v>
      </c>
      <c r="AM219" s="265">
        <v>19711.467555926731</v>
      </c>
      <c r="AN219" s="265">
        <v>17004.774592261085</v>
      </c>
      <c r="AO219" s="266">
        <v>82568.600210702658</v>
      </c>
      <c r="AP219" s="203"/>
      <c r="AQ219" s="264">
        <v>35817.272038455616</v>
      </c>
      <c r="AR219" s="265">
        <v>9181.5650131005896</v>
      </c>
      <c r="AS219" s="265">
        <v>19438.454264592539</v>
      </c>
      <c r="AT219" s="265">
        <v>16649.132950580632</v>
      </c>
      <c r="AU219" s="266">
        <v>81086.424266729373</v>
      </c>
      <c r="AV219" s="203"/>
      <c r="AW219" s="324">
        <v>76699.975297320925</v>
      </c>
      <c r="AX219" s="203"/>
      <c r="AY219" s="377">
        <v>0</v>
      </c>
      <c r="AZ219" s="265">
        <v>4386.4489694084477</v>
      </c>
      <c r="BA219" s="265">
        <v>76699.975297320925</v>
      </c>
      <c r="BB219" s="265">
        <v>750.73004841298132</v>
      </c>
      <c r="BC219" s="266">
        <v>75949.245248907944</v>
      </c>
      <c r="BD219" s="264">
        <v>759.49245248907948</v>
      </c>
      <c r="BE219" s="265">
        <v>75189.752796418863</v>
      </c>
      <c r="BF219" s="357">
        <v>0.98031000016560876</v>
      </c>
      <c r="BG219" s="203"/>
      <c r="BJ219" s="458">
        <v>0.98031000016560876</v>
      </c>
      <c r="BK219" s="210"/>
      <c r="BL219" s="458"/>
      <c r="BM219" s="458"/>
      <c r="BN219" s="458"/>
      <c r="BQ219" s="203">
        <v>75010.429506449582</v>
      </c>
      <c r="BR219" s="458">
        <v>0.97797201649254828</v>
      </c>
      <c r="BT219" s="459" t="s">
        <v>900</v>
      </c>
      <c r="BU219" s="460" t="s">
        <v>900</v>
      </c>
      <c r="BV219" s="461">
        <v>75189.752796418863</v>
      </c>
      <c r="BX219" s="462">
        <v>-2109.9521863426053</v>
      </c>
      <c r="BY219" s="463">
        <v>-2.7273094495703067E-2</v>
      </c>
      <c r="BZ219" s="461">
        <v>-27.26778342890734</v>
      </c>
      <c r="CB219" s="203" t="s">
        <v>900</v>
      </c>
      <c r="CC219" s="203">
        <v>1694.5947292464875</v>
      </c>
      <c r="CD219" s="203" t="e">
        <v>#VALUE!</v>
      </c>
      <c r="CE219" s="203" t="s">
        <v>900</v>
      </c>
      <c r="CF219" s="203" t="e">
        <v>#VALUE!</v>
      </c>
      <c r="CH219" s="199"/>
      <c r="CJ219" s="464" t="s">
        <v>1448</v>
      </c>
      <c r="CK219" s="464" t="s">
        <v>1447</v>
      </c>
      <c r="CL219" s="464" t="s">
        <v>1448</v>
      </c>
      <c r="CN219" s="464" t="s">
        <v>1447</v>
      </c>
      <c r="CO219" s="464" t="s">
        <v>1447</v>
      </c>
      <c r="CP219" s="464" t="s">
        <v>1447</v>
      </c>
      <c r="CQ219" s="464" t="s">
        <v>1447</v>
      </c>
      <c r="CS219" s="465">
        <v>0</v>
      </c>
      <c r="CT219" s="466">
        <v>0.9</v>
      </c>
      <c r="CU219" s="466">
        <v>0</v>
      </c>
      <c r="CV219" s="467">
        <v>0.9</v>
      </c>
    </row>
    <row r="220" spans="1:100" s="48" customFormat="1" outlineLevel="1" x14ac:dyDescent="0.3">
      <c r="A220" s="202">
        <v>78569000</v>
      </c>
      <c r="B220" s="48">
        <v>400806</v>
      </c>
      <c r="C220" s="48">
        <v>90332</v>
      </c>
      <c r="D220" s="48" t="s">
        <v>1531</v>
      </c>
      <c r="E220" s="48" t="s">
        <v>7</v>
      </c>
      <c r="F220" s="48" t="s">
        <v>1498</v>
      </c>
      <c r="G220" s="48" t="s">
        <v>1499</v>
      </c>
      <c r="H220" s="48" t="s">
        <v>1510</v>
      </c>
      <c r="O220" s="454" t="s">
        <v>900</v>
      </c>
      <c r="P220" s="455" t="s">
        <v>900</v>
      </c>
      <c r="Q220" s="347" t="s">
        <v>900</v>
      </c>
      <c r="R220" s="455" t="s">
        <v>900</v>
      </c>
      <c r="S220" s="457" t="s">
        <v>900</v>
      </c>
      <c r="T220" s="455"/>
      <c r="U220" s="454" t="s">
        <v>900</v>
      </c>
      <c r="V220" s="455"/>
      <c r="W220" s="230">
        <v>0</v>
      </c>
      <c r="X220" s="264"/>
      <c r="Y220" s="265"/>
      <c r="Z220" s="265"/>
      <c r="AA220" s="265"/>
      <c r="AB220" s="266"/>
      <c r="AC220" s="265">
        <v>0</v>
      </c>
      <c r="AD220" s="265">
        <v>0</v>
      </c>
      <c r="AE220" s="265">
        <v>0</v>
      </c>
      <c r="AF220" s="266">
        <v>0</v>
      </c>
      <c r="AG220" s="265" t="s">
        <v>900</v>
      </c>
      <c r="AH220" s="265" t="s">
        <v>900</v>
      </c>
      <c r="AI220" s="265" t="s">
        <v>900</v>
      </c>
      <c r="AJ220" s="266" t="s">
        <v>900</v>
      </c>
      <c r="AK220" s="265" t="s">
        <v>900</v>
      </c>
      <c r="AL220" s="265" t="s">
        <v>900</v>
      </c>
      <c r="AM220" s="265" t="s">
        <v>900</v>
      </c>
      <c r="AN220" s="265" t="s">
        <v>900</v>
      </c>
      <c r="AO220" s="266">
        <v>0</v>
      </c>
      <c r="AP220" s="203"/>
      <c r="AQ220" s="264">
        <v>0</v>
      </c>
      <c r="AR220" s="265">
        <v>2589.6387968253789</v>
      </c>
      <c r="AS220" s="265">
        <v>0</v>
      </c>
      <c r="AT220" s="265">
        <v>0</v>
      </c>
      <c r="AU220" s="266">
        <v>2589.6387968253789</v>
      </c>
      <c r="AV220" s="203"/>
      <c r="AW220" s="324">
        <v>30923.175344480926</v>
      </c>
      <c r="AX220" s="203"/>
      <c r="AY220" s="377">
        <v>0</v>
      </c>
      <c r="AZ220" s="265">
        <v>0</v>
      </c>
      <c r="BA220" s="265">
        <v>2589.6387968253789</v>
      </c>
      <c r="BB220" s="265">
        <v>25.347070214516194</v>
      </c>
      <c r="BC220" s="266">
        <v>2564.2917266108625</v>
      </c>
      <c r="BD220" s="264">
        <v>25.642917266108626</v>
      </c>
      <c r="BE220" s="265">
        <v>2538.6488093447538</v>
      </c>
      <c r="BF220" s="357">
        <v>8.2095346970822783E-2</v>
      </c>
      <c r="BG220" s="203"/>
      <c r="BJ220" s="458">
        <v>8.2095346970822783E-2</v>
      </c>
      <c r="BK220" s="210"/>
      <c r="BL220" s="458"/>
      <c r="BM220" s="458"/>
      <c r="BN220" s="458"/>
      <c r="BQ220" s="203">
        <v>2532.594276118652</v>
      </c>
      <c r="BR220" s="458">
        <v>8.1899554230955185E-2</v>
      </c>
      <c r="BT220" s="459">
        <v>0</v>
      </c>
      <c r="BU220" s="460" t="s">
        <v>900</v>
      </c>
      <c r="BV220" s="461">
        <v>2538.6488093447538</v>
      </c>
      <c r="BX220" s="462">
        <v>2538.6488093447538</v>
      </c>
      <c r="BY220" s="463">
        <v>6.9759482279026952E-2</v>
      </c>
      <c r="BZ220" s="461" t="s">
        <v>900</v>
      </c>
      <c r="CB220" s="203" t="s">
        <v>900</v>
      </c>
      <c r="CC220" s="203" t="e">
        <v>#VALUE!</v>
      </c>
      <c r="CD220" s="203" t="e">
        <v>#VALUE!</v>
      </c>
      <c r="CE220" s="203" t="s">
        <v>900</v>
      </c>
      <c r="CF220" s="203" t="e">
        <v>#VALUE!</v>
      </c>
      <c r="CH220" s="199"/>
      <c r="CJ220" s="464" t="s">
        <v>1448</v>
      </c>
      <c r="CK220" s="464" t="s">
        <v>1447</v>
      </c>
      <c r="CL220" s="464" t="s">
        <v>1448</v>
      </c>
      <c r="CN220" s="464" t="s">
        <v>1448</v>
      </c>
      <c r="CO220" s="464" t="s">
        <v>1448</v>
      </c>
      <c r="CP220" s="464" t="s">
        <v>1448</v>
      </c>
      <c r="CQ220" s="464" t="s">
        <v>1448</v>
      </c>
      <c r="CS220" s="465">
        <v>0.85</v>
      </c>
      <c r="CT220" s="466">
        <v>0</v>
      </c>
      <c r="CU220" s="466">
        <v>0</v>
      </c>
      <c r="CV220" s="467">
        <v>0.85</v>
      </c>
    </row>
    <row r="221" spans="1:100" s="48" customFormat="1" outlineLevel="1" x14ac:dyDescent="0.3">
      <c r="A221" s="202">
        <v>78577000</v>
      </c>
      <c r="B221" s="48">
        <v>400822</v>
      </c>
      <c r="C221" s="48">
        <v>90541</v>
      </c>
      <c r="D221" s="48" t="s">
        <v>126</v>
      </c>
      <c r="E221" s="48" t="s">
        <v>7</v>
      </c>
      <c r="F221" s="48" t="s">
        <v>1501</v>
      </c>
      <c r="G221" s="48" t="s">
        <v>1502</v>
      </c>
      <c r="H221" s="48" t="s">
        <v>1507</v>
      </c>
      <c r="O221" s="454" t="s">
        <v>900</v>
      </c>
      <c r="P221" s="455" t="s">
        <v>900</v>
      </c>
      <c r="Q221" s="347" t="s">
        <v>900</v>
      </c>
      <c r="R221" s="455">
        <v>209</v>
      </c>
      <c r="S221" s="457">
        <v>180</v>
      </c>
      <c r="T221" s="455"/>
      <c r="U221" s="454">
        <v>209</v>
      </c>
      <c r="V221" s="455">
        <v>92.239796396515118</v>
      </c>
      <c r="W221" s="230">
        <v>0.44133873873930679</v>
      </c>
      <c r="X221" s="264" t="s">
        <v>900</v>
      </c>
      <c r="Y221" s="265" t="s">
        <v>900</v>
      </c>
      <c r="Z221" s="265" t="s">
        <v>900</v>
      </c>
      <c r="AA221" s="265" t="s">
        <v>900</v>
      </c>
      <c r="AB221" s="266" t="s">
        <v>900</v>
      </c>
      <c r="AC221" s="265">
        <v>43343.269780148439</v>
      </c>
      <c r="AD221" s="265">
        <v>8950.0299751520251</v>
      </c>
      <c r="AE221" s="265">
        <v>23490.972747197284</v>
      </c>
      <c r="AF221" s="266">
        <v>20265.294574625976</v>
      </c>
      <c r="AG221" s="265">
        <v>43343.269780148439</v>
      </c>
      <c r="AH221" s="265">
        <v>8950.0299751520251</v>
      </c>
      <c r="AI221" s="265">
        <v>23490.972747197284</v>
      </c>
      <c r="AJ221" s="266">
        <v>20265.294574625976</v>
      </c>
      <c r="AK221" s="265">
        <v>43352.77488317043</v>
      </c>
      <c r="AL221" s="265">
        <v>10924.614806587277</v>
      </c>
      <c r="AM221" s="265">
        <v>23496.124276308514</v>
      </c>
      <c r="AN221" s="265">
        <v>20269.738718173048</v>
      </c>
      <c r="AO221" s="266">
        <v>98043.252684239269</v>
      </c>
      <c r="AP221" s="203"/>
      <c r="AQ221" s="264">
        <v>42694.288117622447</v>
      </c>
      <c r="AR221" s="265">
        <v>10577.728460703131</v>
      </c>
      <c r="AS221" s="265">
        <v>23170.691671959201</v>
      </c>
      <c r="AT221" s="265">
        <v>19455.464966175448</v>
      </c>
      <c r="AU221" s="266">
        <v>95898.173216460229</v>
      </c>
      <c r="AV221" s="203"/>
      <c r="AW221" s="324">
        <v>59588.529595555301</v>
      </c>
      <c r="AX221" s="203"/>
      <c r="AY221" s="377">
        <v>0</v>
      </c>
      <c r="AZ221" s="265">
        <v>9046.757351667824</v>
      </c>
      <c r="BA221" s="265">
        <v>86851.415864792405</v>
      </c>
      <c r="BB221" s="265">
        <v>850.09111651159844</v>
      </c>
      <c r="BC221" s="266">
        <v>86001.324748280807</v>
      </c>
      <c r="BD221" s="264">
        <v>860.01324748280808</v>
      </c>
      <c r="BE221" s="265">
        <v>85141.311500797994</v>
      </c>
      <c r="BF221" s="357">
        <v>1.4288204806978266</v>
      </c>
      <c r="BG221" s="203"/>
      <c r="BJ221" s="458">
        <v>1.4288204806978266</v>
      </c>
      <c r="BK221" s="210"/>
      <c r="BL221" s="458"/>
      <c r="BM221" s="458"/>
      <c r="BN221" s="458"/>
      <c r="BQ221" s="203">
        <v>84938.254308523916</v>
      </c>
      <c r="BR221" s="458">
        <v>1.4254128250021367</v>
      </c>
      <c r="BT221" s="459" t="s">
        <v>900</v>
      </c>
      <c r="BU221" s="460" t="s">
        <v>900</v>
      </c>
      <c r="BV221" s="461">
        <v>85141.311500797994</v>
      </c>
      <c r="BX221" s="462">
        <v>-5288.7262840101612</v>
      </c>
      <c r="BY221" s="463">
        <v>-5.7633514339181575E-2</v>
      </c>
      <c r="BZ221" s="461">
        <v>-57.33670813056969</v>
      </c>
      <c r="CB221" s="203" t="s">
        <v>900</v>
      </c>
      <c r="CC221" s="203">
        <v>1676.0737319905561</v>
      </c>
      <c r="CD221" s="203" t="e">
        <v>#VALUE!</v>
      </c>
      <c r="CE221" s="203" t="s">
        <v>900</v>
      </c>
      <c r="CF221" s="203" t="e">
        <v>#VALUE!</v>
      </c>
      <c r="CH221" s="199"/>
      <c r="CJ221" s="464" t="s">
        <v>1448</v>
      </c>
      <c r="CK221" s="464" t="s">
        <v>1447</v>
      </c>
      <c r="CL221" s="464" t="s">
        <v>1448</v>
      </c>
      <c r="CN221" s="464" t="s">
        <v>1447</v>
      </c>
      <c r="CO221" s="464" t="s">
        <v>1447</v>
      </c>
      <c r="CP221" s="464" t="s">
        <v>1447</v>
      </c>
      <c r="CQ221" s="464" t="s">
        <v>1447</v>
      </c>
      <c r="CS221" s="465">
        <v>0</v>
      </c>
      <c r="CT221" s="466">
        <v>0</v>
      </c>
      <c r="CU221" s="466">
        <v>0.95</v>
      </c>
      <c r="CV221" s="467">
        <v>0.95</v>
      </c>
    </row>
    <row r="222" spans="1:100" s="48" customFormat="1" outlineLevel="1" x14ac:dyDescent="0.3">
      <c r="A222" s="202">
        <v>78621000</v>
      </c>
      <c r="B222" s="48">
        <v>400610</v>
      </c>
      <c r="C222" s="48">
        <v>81099</v>
      </c>
      <c r="D222" s="48" t="s">
        <v>128</v>
      </c>
      <c r="E222" s="48" t="s">
        <v>7</v>
      </c>
      <c r="F222" s="48" t="s">
        <v>1498</v>
      </c>
      <c r="G222" s="48" t="s">
        <v>1499</v>
      </c>
      <c r="H222" s="48" t="s">
        <v>1517</v>
      </c>
      <c r="O222" s="454" t="s">
        <v>900</v>
      </c>
      <c r="P222" s="455" t="s">
        <v>900</v>
      </c>
      <c r="Q222" s="347" t="s">
        <v>900</v>
      </c>
      <c r="R222" s="455">
        <v>793</v>
      </c>
      <c r="S222" s="457">
        <v>295</v>
      </c>
      <c r="T222" s="455"/>
      <c r="U222" s="454">
        <v>793</v>
      </c>
      <c r="V222" s="455">
        <v>151.170777427622</v>
      </c>
      <c r="W222" s="230">
        <v>0.19063149738666077</v>
      </c>
      <c r="X222" s="264" t="s">
        <v>900</v>
      </c>
      <c r="Y222" s="265" t="s">
        <v>900</v>
      </c>
      <c r="Z222" s="265" t="s">
        <v>900</v>
      </c>
      <c r="AA222" s="265" t="s">
        <v>900</v>
      </c>
      <c r="AB222" s="266" t="s">
        <v>900</v>
      </c>
      <c r="AC222" s="265">
        <v>71034.803250798839</v>
      </c>
      <c r="AD222" s="265">
        <v>14668.104681499153</v>
      </c>
      <c r="AE222" s="265">
        <v>38499.094224573324</v>
      </c>
      <c r="AF222" s="266">
        <v>33212.566108414794</v>
      </c>
      <c r="AG222" s="265">
        <v>71034.803250798839</v>
      </c>
      <c r="AH222" s="265">
        <v>14668.104681499153</v>
      </c>
      <c r="AI222" s="265">
        <v>38499.094224573324</v>
      </c>
      <c r="AJ222" s="266">
        <v>33212.566108414794</v>
      </c>
      <c r="AK222" s="265">
        <v>71044.30835382083</v>
      </c>
      <c r="AL222" s="265">
        <v>16642.689512934405</v>
      </c>
      <c r="AM222" s="265">
        <v>38504.245753684554</v>
      </c>
      <c r="AN222" s="265">
        <v>33217.010251961867</v>
      </c>
      <c r="AO222" s="266">
        <v>159408.25387240166</v>
      </c>
      <c r="AP222" s="203"/>
      <c r="AQ222" s="264">
        <v>78454.248620278551</v>
      </c>
      <c r="AR222" s="265">
        <v>16682.155740926988</v>
      </c>
      <c r="AS222" s="265">
        <v>41597.588881479634</v>
      </c>
      <c r="AT222" s="265">
        <v>40078.990548186426</v>
      </c>
      <c r="AU222" s="266">
        <v>176812.98379087157</v>
      </c>
      <c r="AV222" s="203"/>
      <c r="AW222" s="324">
        <v>183646.51093335592</v>
      </c>
      <c r="AX222" s="203"/>
      <c r="AY222" s="377">
        <v>0</v>
      </c>
      <c r="AZ222" s="265">
        <v>0</v>
      </c>
      <c r="BA222" s="265">
        <v>176812.98379087157</v>
      </c>
      <c r="BB222" s="265">
        <v>1730.6240238906721</v>
      </c>
      <c r="BC222" s="266">
        <v>175082.3597669809</v>
      </c>
      <c r="BD222" s="264">
        <v>1750.823597669809</v>
      </c>
      <c r="BE222" s="265">
        <v>173331.53616931109</v>
      </c>
      <c r="BF222" s="357">
        <v>0.94383244902600916</v>
      </c>
      <c r="BG222" s="203"/>
      <c r="BJ222" s="458">
        <v>0.94383244902600916</v>
      </c>
      <c r="BK222" s="210"/>
      <c r="BL222" s="458"/>
      <c r="BM222" s="458"/>
      <c r="BN222" s="458"/>
      <c r="BQ222" s="203">
        <v>172918.15030002291</v>
      </c>
      <c r="BR222" s="458">
        <v>0.94158146224065065</v>
      </c>
      <c r="BT222" s="459" t="s">
        <v>900</v>
      </c>
      <c r="BU222" s="460" t="s">
        <v>900</v>
      </c>
      <c r="BV222" s="461">
        <v>173331.53616931109</v>
      </c>
      <c r="BX222" s="462">
        <v>19198.377319735708</v>
      </c>
      <c r="BY222" s="463">
        <v>0.12271731070636695</v>
      </c>
      <c r="BZ222" s="461">
        <v>126.99793998828619</v>
      </c>
      <c r="CB222" s="203" t="s">
        <v>900</v>
      </c>
      <c r="CC222" s="203">
        <v>3205.1248587255932</v>
      </c>
      <c r="CD222" s="203" t="e">
        <v>#VALUE!</v>
      </c>
      <c r="CE222" s="203" t="s">
        <v>900</v>
      </c>
      <c r="CF222" s="203" t="e">
        <v>#VALUE!</v>
      </c>
      <c r="CH222" s="199"/>
      <c r="CJ222" s="464" t="s">
        <v>1448</v>
      </c>
      <c r="CK222" s="464" t="s">
        <v>1447</v>
      </c>
      <c r="CL222" s="464" t="s">
        <v>1448</v>
      </c>
      <c r="CN222" s="464" t="s">
        <v>1447</v>
      </c>
      <c r="CO222" s="464" t="s">
        <v>1447</v>
      </c>
      <c r="CP222" s="464" t="s">
        <v>1447</v>
      </c>
      <c r="CQ222" s="464" t="s">
        <v>1447</v>
      </c>
      <c r="CS222" s="465">
        <v>0</v>
      </c>
      <c r="CT222" s="466">
        <v>0.9</v>
      </c>
      <c r="CU222" s="466">
        <v>0</v>
      </c>
      <c r="CV222" s="467">
        <v>0.9</v>
      </c>
    </row>
    <row r="223" spans="1:100" s="48" customFormat="1" outlineLevel="1" x14ac:dyDescent="0.3">
      <c r="A223" s="202">
        <v>78202000</v>
      </c>
      <c r="B223" s="48">
        <v>400849</v>
      </c>
      <c r="C223" s="48">
        <v>91170</v>
      </c>
      <c r="D223" s="48" t="s">
        <v>138</v>
      </c>
      <c r="E223" s="48" t="s">
        <v>7</v>
      </c>
      <c r="F223" s="48" t="s">
        <v>1503</v>
      </c>
      <c r="G223" s="48" t="s">
        <v>1502</v>
      </c>
      <c r="H223" s="48" t="s">
        <v>1523</v>
      </c>
      <c r="O223" s="454" t="s">
        <v>900</v>
      </c>
      <c r="P223" s="455" t="s">
        <v>900</v>
      </c>
      <c r="Q223" s="347" t="s">
        <v>900</v>
      </c>
      <c r="R223" s="455">
        <v>278</v>
      </c>
      <c r="S223" s="457">
        <v>164</v>
      </c>
      <c r="T223" s="455"/>
      <c r="U223" s="454">
        <v>278</v>
      </c>
      <c r="V223" s="455">
        <v>84.040703383491547</v>
      </c>
      <c r="W223" s="230">
        <v>0.30230468842982572</v>
      </c>
      <c r="X223" s="264" t="s">
        <v>900</v>
      </c>
      <c r="Y223" s="265" t="s">
        <v>900</v>
      </c>
      <c r="Z223" s="265" t="s">
        <v>900</v>
      </c>
      <c r="AA223" s="265" t="s">
        <v>900</v>
      </c>
      <c r="AB223" s="266" t="s">
        <v>900</v>
      </c>
      <c r="AC223" s="265">
        <v>39490.53468857969</v>
      </c>
      <c r="AD223" s="265">
        <v>8154.471755138512</v>
      </c>
      <c r="AE223" s="265">
        <v>21402.886280779745</v>
      </c>
      <c r="AF223" s="266">
        <v>18463.935056881444</v>
      </c>
      <c r="AG223" s="265">
        <v>39490.53468857969</v>
      </c>
      <c r="AH223" s="265">
        <v>8154.471755138512</v>
      </c>
      <c r="AI223" s="265">
        <v>21402.886280779745</v>
      </c>
      <c r="AJ223" s="266">
        <v>18463.935056881444</v>
      </c>
      <c r="AK223" s="265">
        <v>39500.039791601681</v>
      </c>
      <c r="AL223" s="265">
        <v>10129.056586573763</v>
      </c>
      <c r="AM223" s="265">
        <v>21408.037809890975</v>
      </c>
      <c r="AN223" s="265">
        <v>18468.379200428517</v>
      </c>
      <c r="AO223" s="266">
        <v>89505.513388494932</v>
      </c>
      <c r="AP223" s="203"/>
      <c r="AQ223" s="264">
        <v>38900.072349806265</v>
      </c>
      <c r="AR223" s="265">
        <v>9807.4313861637966</v>
      </c>
      <c r="AS223" s="265">
        <v>21111.526205825867</v>
      </c>
      <c r="AT223" s="265">
        <v>18563.345435289579</v>
      </c>
      <c r="AU223" s="266">
        <v>88382.375377085511</v>
      </c>
      <c r="AV223" s="203"/>
      <c r="AW223" s="324">
        <v>80977.836722762324</v>
      </c>
      <c r="AX223" s="203"/>
      <c r="AY223" s="377">
        <v>0</v>
      </c>
      <c r="AZ223" s="265">
        <v>7404.5386543231871</v>
      </c>
      <c r="BA223" s="265">
        <v>80977.836722762324</v>
      </c>
      <c r="BB223" s="265">
        <v>792.60123680093659</v>
      </c>
      <c r="BC223" s="266">
        <v>80185.235485961384</v>
      </c>
      <c r="BD223" s="264">
        <v>801.85235485961391</v>
      </c>
      <c r="BE223" s="265">
        <v>79383.383131101771</v>
      </c>
      <c r="BF223" s="357">
        <v>0.98031000016560876</v>
      </c>
      <c r="BG223" s="203"/>
      <c r="BJ223" s="458">
        <v>0.98031000016560876</v>
      </c>
      <c r="BK223" s="210"/>
      <c r="BL223" s="458"/>
      <c r="BM223" s="458"/>
      <c r="BN223" s="458"/>
      <c r="BQ223" s="203">
        <v>79194.058270964189</v>
      </c>
      <c r="BR223" s="458">
        <v>0.97797201649254817</v>
      </c>
      <c r="BT223" s="459" t="s">
        <v>900</v>
      </c>
      <c r="BU223" s="460" t="s">
        <v>900</v>
      </c>
      <c r="BV223" s="461">
        <v>79383.383131101771</v>
      </c>
      <c r="BX223" s="462">
        <v>-3041.3962591625022</v>
      </c>
      <c r="BY223" s="463">
        <v>-3.6364427342234613E-2</v>
      </c>
      <c r="BZ223" s="461">
        <v>-36.189562161136507</v>
      </c>
      <c r="CB223" s="203" t="s">
        <v>900</v>
      </c>
      <c r="CC223" s="203">
        <v>1616.174662455948</v>
      </c>
      <c r="CD223" s="203" t="e">
        <v>#VALUE!</v>
      </c>
      <c r="CE223" s="203" t="s">
        <v>900</v>
      </c>
      <c r="CF223" s="203" t="e">
        <v>#VALUE!</v>
      </c>
      <c r="CH223" s="199"/>
      <c r="CJ223" s="464" t="s">
        <v>1448</v>
      </c>
      <c r="CK223" s="464" t="s">
        <v>1447</v>
      </c>
      <c r="CL223" s="464" t="s">
        <v>1448</v>
      </c>
      <c r="CN223" s="464" t="s">
        <v>1447</v>
      </c>
      <c r="CO223" s="464" t="s">
        <v>1447</v>
      </c>
      <c r="CP223" s="464" t="s">
        <v>1447</v>
      </c>
      <c r="CQ223" s="464" t="s">
        <v>1447</v>
      </c>
      <c r="CS223" s="465">
        <v>0</v>
      </c>
      <c r="CT223" s="466">
        <v>0</v>
      </c>
      <c r="CU223" s="466">
        <v>0.95</v>
      </c>
      <c r="CV223" s="467">
        <v>0.95</v>
      </c>
    </row>
    <row r="224" spans="1:100" s="48" customFormat="1" outlineLevel="1" x14ac:dyDescent="0.3">
      <c r="A224" s="202">
        <v>78541000</v>
      </c>
      <c r="B224" s="48">
        <v>400763</v>
      </c>
      <c r="C224" s="48">
        <v>89850</v>
      </c>
      <c r="D224" s="48" t="s">
        <v>139</v>
      </c>
      <c r="E224" s="48" t="s">
        <v>7</v>
      </c>
      <c r="F224" s="48" t="s">
        <v>1498</v>
      </c>
      <c r="G224" s="48" t="s">
        <v>1502</v>
      </c>
      <c r="H224" s="48" t="s">
        <v>1523</v>
      </c>
      <c r="O224" s="454" t="s">
        <v>900</v>
      </c>
      <c r="P224" s="455" t="s">
        <v>900</v>
      </c>
      <c r="Q224" s="347" t="s">
        <v>900</v>
      </c>
      <c r="R224" s="455">
        <v>662</v>
      </c>
      <c r="S224" s="457">
        <v>265</v>
      </c>
      <c r="T224" s="455"/>
      <c r="U224" s="454">
        <v>662</v>
      </c>
      <c r="V224" s="455">
        <v>135.79747802820282</v>
      </c>
      <c r="W224" s="230">
        <v>0.20513214203656016</v>
      </c>
      <c r="X224" s="264" t="s">
        <v>900</v>
      </c>
      <c r="Y224" s="265" t="s">
        <v>900</v>
      </c>
      <c r="Z224" s="265" t="s">
        <v>900</v>
      </c>
      <c r="AA224" s="265" t="s">
        <v>900</v>
      </c>
      <c r="AB224" s="266" t="s">
        <v>900</v>
      </c>
      <c r="AC224" s="265">
        <v>63810.924954107431</v>
      </c>
      <c r="AD224" s="265">
        <v>13176.433018973816</v>
      </c>
      <c r="AE224" s="265">
        <v>34583.932100040445</v>
      </c>
      <c r="AF224" s="266">
        <v>29835.017012643799</v>
      </c>
      <c r="AG224" s="265">
        <v>63810.924954107431</v>
      </c>
      <c r="AH224" s="265">
        <v>13176.433018973816</v>
      </c>
      <c r="AI224" s="265">
        <v>34583.932100040445</v>
      </c>
      <c r="AJ224" s="266">
        <v>29835.017012643799</v>
      </c>
      <c r="AK224" s="265">
        <v>63820.430057129422</v>
      </c>
      <c r="AL224" s="265">
        <v>15151.017850409067</v>
      </c>
      <c r="AM224" s="265">
        <v>34589.083629151675</v>
      </c>
      <c r="AN224" s="265">
        <v>29839.461156190871</v>
      </c>
      <c r="AO224" s="266">
        <v>143399.99269288103</v>
      </c>
      <c r="AP224" s="203"/>
      <c r="AQ224" s="264">
        <v>62851.059384145941</v>
      </c>
      <c r="AR224" s="265">
        <v>14669.931669193336</v>
      </c>
      <c r="AS224" s="265">
        <v>34110.008210792526</v>
      </c>
      <c r="AT224" s="265">
        <v>31175.644661096227</v>
      </c>
      <c r="AU224" s="266">
        <v>142806.64392522804</v>
      </c>
      <c r="AV224" s="203"/>
      <c r="AW224" s="324">
        <v>143006.82739166269</v>
      </c>
      <c r="AX224" s="203"/>
      <c r="AY224" s="377">
        <v>0</v>
      </c>
      <c r="AZ224" s="265">
        <v>0</v>
      </c>
      <c r="BA224" s="265">
        <v>142806.64392522804</v>
      </c>
      <c r="BB224" s="265">
        <v>1397.7740969549773</v>
      </c>
      <c r="BC224" s="266">
        <v>141408.86982827308</v>
      </c>
      <c r="BD224" s="264">
        <v>1414.0886982827308</v>
      </c>
      <c r="BE224" s="265">
        <v>139994.78112999036</v>
      </c>
      <c r="BF224" s="357">
        <v>0.97893774502511666</v>
      </c>
      <c r="BG224" s="203"/>
      <c r="BJ224" s="458">
        <v>0.97893774502511666</v>
      </c>
      <c r="BK224" s="210"/>
      <c r="BL224" s="458"/>
      <c r="BM224" s="458"/>
      <c r="BN224" s="458"/>
      <c r="BQ224" s="203">
        <v>139660.90152808861</v>
      </c>
      <c r="BR224" s="458">
        <v>0.97660303410262805</v>
      </c>
      <c r="BT224" s="459" t="s">
        <v>900</v>
      </c>
      <c r="BU224" s="460" t="s">
        <v>900</v>
      </c>
      <c r="BV224" s="461">
        <v>139994.78112999036</v>
      </c>
      <c r="BX224" s="462">
        <v>1496.8925822585297</v>
      </c>
      <c r="BY224" s="463">
        <v>1.0648844690032357E-2</v>
      </c>
      <c r="BZ224" s="461">
        <v>11.022977775387336</v>
      </c>
      <c r="CB224" s="203" t="s">
        <v>900</v>
      </c>
      <c r="CC224" s="203">
        <v>2827.9572442985068</v>
      </c>
      <c r="CD224" s="203" t="e">
        <v>#VALUE!</v>
      </c>
      <c r="CE224" s="203" t="s">
        <v>900</v>
      </c>
      <c r="CF224" s="203" t="e">
        <v>#VALUE!</v>
      </c>
      <c r="CH224" s="199"/>
      <c r="CJ224" s="464" t="s">
        <v>1448</v>
      </c>
      <c r="CK224" s="464" t="s">
        <v>1447</v>
      </c>
      <c r="CL224" s="464" t="s">
        <v>1448</v>
      </c>
      <c r="CN224" s="464" t="s">
        <v>1447</v>
      </c>
      <c r="CO224" s="464" t="s">
        <v>1447</v>
      </c>
      <c r="CP224" s="464" t="s">
        <v>1447</v>
      </c>
      <c r="CQ224" s="464" t="s">
        <v>1447</v>
      </c>
      <c r="CS224" s="465">
        <v>0</v>
      </c>
      <c r="CT224" s="466">
        <v>0.9</v>
      </c>
      <c r="CU224" s="466">
        <v>0</v>
      </c>
      <c r="CV224" s="467">
        <v>0.9</v>
      </c>
    </row>
    <row r="225" spans="1:100" s="48" customFormat="1" outlineLevel="1" x14ac:dyDescent="0.3">
      <c r="A225" s="202">
        <v>78223000</v>
      </c>
      <c r="B225" s="48" t="e">
        <v>#N/A</v>
      </c>
      <c r="C225" s="48">
        <v>91939</v>
      </c>
      <c r="D225" s="48" t="s">
        <v>140</v>
      </c>
      <c r="E225" s="48" t="s">
        <v>7</v>
      </c>
      <c r="F225" s="48" t="s">
        <v>1498</v>
      </c>
      <c r="G225" s="48" t="s">
        <v>1502</v>
      </c>
      <c r="H225" s="48" t="s">
        <v>1523</v>
      </c>
      <c r="O225" s="454" t="s">
        <v>900</v>
      </c>
      <c r="P225" s="455" t="s">
        <v>900</v>
      </c>
      <c r="Q225" s="347" t="s">
        <v>900</v>
      </c>
      <c r="R225" s="455">
        <v>106</v>
      </c>
      <c r="S225" s="457">
        <v>99</v>
      </c>
      <c r="T225" s="455"/>
      <c r="U225" s="454">
        <v>106</v>
      </c>
      <c r="V225" s="455">
        <v>50.73188801808331</v>
      </c>
      <c r="W225" s="230">
        <v>0.47860271715172936</v>
      </c>
      <c r="X225" s="264" t="s">
        <v>900</v>
      </c>
      <c r="Y225" s="265" t="s">
        <v>900</v>
      </c>
      <c r="Z225" s="265" t="s">
        <v>900</v>
      </c>
      <c r="AA225" s="265" t="s">
        <v>900</v>
      </c>
      <c r="AB225" s="266" t="s">
        <v>900</v>
      </c>
      <c r="AC225" s="265">
        <v>23838.79837908164</v>
      </c>
      <c r="AD225" s="265">
        <v>4922.516486333614</v>
      </c>
      <c r="AE225" s="265">
        <v>12920.035010958505</v>
      </c>
      <c r="AF225" s="266">
        <v>11145.912016044285</v>
      </c>
      <c r="AG225" s="265">
        <v>23838.79837908164</v>
      </c>
      <c r="AH225" s="265">
        <v>4922.516486333614</v>
      </c>
      <c r="AI225" s="265">
        <v>12920.035010958505</v>
      </c>
      <c r="AJ225" s="266">
        <v>11145.912016044285</v>
      </c>
      <c r="AK225" s="265">
        <v>23848.303482103631</v>
      </c>
      <c r="AL225" s="265">
        <v>6897.1013177688656</v>
      </c>
      <c r="AM225" s="265">
        <v>12925.186540069735</v>
      </c>
      <c r="AN225" s="265">
        <v>11150.356159591358</v>
      </c>
      <c r="AO225" s="266">
        <v>54820.947499533584</v>
      </c>
      <c r="AP225" s="203"/>
      <c r="AQ225" s="264">
        <v>23486.070793053008</v>
      </c>
      <c r="AR225" s="265">
        <v>6678.099520847757</v>
      </c>
      <c r="AS225" s="265">
        <v>12746.166499659206</v>
      </c>
      <c r="AT225" s="265">
        <v>10896.575365850787</v>
      </c>
      <c r="AU225" s="266">
        <v>53806.912179410763</v>
      </c>
      <c r="AV225" s="203"/>
      <c r="AW225" s="324">
        <v>47824.410675591462</v>
      </c>
      <c r="AX225" s="203"/>
      <c r="AY225" s="377">
        <v>0</v>
      </c>
      <c r="AZ225" s="265">
        <v>5075.989062178247</v>
      </c>
      <c r="BA225" s="265">
        <v>48730.923117232516</v>
      </c>
      <c r="BB225" s="265">
        <v>476.97236054112619</v>
      </c>
      <c r="BC225" s="266">
        <v>48253.950756691389</v>
      </c>
      <c r="BD225" s="264">
        <v>482.53950756691393</v>
      </c>
      <c r="BE225" s="265">
        <v>47771.411249124474</v>
      </c>
      <c r="BF225" s="357">
        <v>0.99889179133170092</v>
      </c>
      <c r="BG225" s="203"/>
      <c r="BJ225" s="458">
        <v>0.99889179133170092</v>
      </c>
      <c r="BK225" s="210"/>
      <c r="BL225" s="458"/>
      <c r="BM225" s="458"/>
      <c r="BN225" s="458"/>
      <c r="BQ225" s="203">
        <v>47657.479146503218</v>
      </c>
      <c r="BR225" s="458">
        <v>0.99650949114207399</v>
      </c>
      <c r="BT225" s="459" t="s">
        <v>900</v>
      </c>
      <c r="BU225" s="460" t="s">
        <v>900</v>
      </c>
      <c r="BV225" s="461">
        <v>47771.411249124474</v>
      </c>
      <c r="BX225" s="462">
        <v>-2132.0059133052637</v>
      </c>
      <c r="BY225" s="463">
        <v>-4.2121359557917445E-2</v>
      </c>
      <c r="BZ225" s="461">
        <v>-42.024966871828489</v>
      </c>
      <c r="CB225" s="203" t="s">
        <v>900</v>
      </c>
      <c r="CC225" s="203">
        <v>912.73649541383691</v>
      </c>
      <c r="CD225" s="203" t="e">
        <v>#VALUE!</v>
      </c>
      <c r="CE225" s="203" t="s">
        <v>900</v>
      </c>
      <c r="CF225" s="203" t="e">
        <v>#VALUE!</v>
      </c>
      <c r="CH225" s="199"/>
      <c r="CJ225" s="464" t="s">
        <v>1448</v>
      </c>
      <c r="CK225" s="464" t="s">
        <v>1447</v>
      </c>
      <c r="CL225" s="464" t="s">
        <v>1448</v>
      </c>
      <c r="CN225" s="464" t="s">
        <v>1447</v>
      </c>
      <c r="CO225" s="464" t="s">
        <v>1447</v>
      </c>
      <c r="CP225" s="464" t="s">
        <v>1447</v>
      </c>
      <c r="CQ225" s="464" t="s">
        <v>1447</v>
      </c>
      <c r="CS225" s="465">
        <v>0</v>
      </c>
      <c r="CT225" s="466">
        <v>0</v>
      </c>
      <c r="CU225" s="466">
        <v>0.95</v>
      </c>
      <c r="CV225" s="467">
        <v>0.95</v>
      </c>
    </row>
    <row r="226" spans="1:100" s="48" customFormat="1" outlineLevel="1" x14ac:dyDescent="0.3">
      <c r="A226" s="202">
        <v>78222000</v>
      </c>
      <c r="B226" s="48" t="e">
        <v>#N/A</v>
      </c>
      <c r="C226" s="48">
        <v>91938</v>
      </c>
      <c r="D226" s="48" t="s">
        <v>140</v>
      </c>
      <c r="E226" s="48" t="s">
        <v>7</v>
      </c>
      <c r="F226" s="48" t="s">
        <v>1501</v>
      </c>
      <c r="G226" s="48" t="s">
        <v>1502</v>
      </c>
      <c r="H226" s="48" t="s">
        <v>1523</v>
      </c>
      <c r="O226" s="454" t="s">
        <v>900</v>
      </c>
      <c r="P226" s="455" t="s">
        <v>900</v>
      </c>
      <c r="Q226" s="347" t="s">
        <v>900</v>
      </c>
      <c r="R226" s="455">
        <v>127</v>
      </c>
      <c r="S226" s="457">
        <v>119</v>
      </c>
      <c r="T226" s="455"/>
      <c r="U226" s="454">
        <v>127</v>
      </c>
      <c r="V226" s="455">
        <v>60.980754284362767</v>
      </c>
      <c r="W226" s="230">
        <v>0.48016341956191155</v>
      </c>
      <c r="X226" s="264" t="s">
        <v>900</v>
      </c>
      <c r="Y226" s="265" t="s">
        <v>900</v>
      </c>
      <c r="Z226" s="265" t="s">
        <v>900</v>
      </c>
      <c r="AA226" s="265" t="s">
        <v>900</v>
      </c>
      <c r="AB226" s="266" t="s">
        <v>900</v>
      </c>
      <c r="AC226" s="265">
        <v>28654.717243542578</v>
      </c>
      <c r="AD226" s="265">
        <v>5916.9642613505057</v>
      </c>
      <c r="AE226" s="265">
        <v>15530.143093980425</v>
      </c>
      <c r="AF226" s="266">
        <v>13397.61141322495</v>
      </c>
      <c r="AG226" s="265">
        <v>28654.717243542578</v>
      </c>
      <c r="AH226" s="265">
        <v>5916.9642613505057</v>
      </c>
      <c r="AI226" s="265">
        <v>15530.143093980425</v>
      </c>
      <c r="AJ226" s="266">
        <v>13397.61141322495</v>
      </c>
      <c r="AK226" s="265">
        <v>28664.222346564569</v>
      </c>
      <c r="AL226" s="265">
        <v>7891.5490927857572</v>
      </c>
      <c r="AM226" s="265">
        <v>15535.294623091655</v>
      </c>
      <c r="AN226" s="265">
        <v>13402.055556772022</v>
      </c>
      <c r="AO226" s="266">
        <v>65493.121619214005</v>
      </c>
      <c r="AP226" s="203"/>
      <c r="AQ226" s="264">
        <v>28228.840502823241</v>
      </c>
      <c r="AR226" s="265">
        <v>7640.9708640219224</v>
      </c>
      <c r="AS226" s="265">
        <v>15320.123332325871</v>
      </c>
      <c r="AT226" s="265">
        <v>13246.069419388483</v>
      </c>
      <c r="AU226" s="266">
        <v>64436.004118559518</v>
      </c>
      <c r="AV226" s="203"/>
      <c r="AW226" s="324">
        <v>57984.331561014806</v>
      </c>
      <c r="AX226" s="203"/>
      <c r="AY226" s="377">
        <v>0</v>
      </c>
      <c r="AZ226" s="265">
        <v>6078.7069703181623</v>
      </c>
      <c r="BA226" s="265">
        <v>58357.297148241356</v>
      </c>
      <c r="BB226" s="265">
        <v>571.19414111310971</v>
      </c>
      <c r="BC226" s="266">
        <v>57786.103007128244</v>
      </c>
      <c r="BD226" s="264">
        <v>577.86103007128247</v>
      </c>
      <c r="BE226" s="265">
        <v>57208.241977056961</v>
      </c>
      <c r="BF226" s="357">
        <v>0.98661552934966246</v>
      </c>
      <c r="BG226" s="203"/>
      <c r="BJ226" s="458">
        <v>0.98661552934966246</v>
      </c>
      <c r="BK226" s="210"/>
      <c r="BL226" s="458"/>
      <c r="BM226" s="458"/>
      <c r="BN226" s="458"/>
      <c r="BQ226" s="203">
        <v>57071.803569120428</v>
      </c>
      <c r="BR226" s="458">
        <v>0.98426250734762444</v>
      </c>
      <c r="BT226" s="459" t="s">
        <v>900</v>
      </c>
      <c r="BU226" s="460" t="s">
        <v>900</v>
      </c>
      <c r="BV226" s="461">
        <v>57208.241977056961</v>
      </c>
      <c r="BX226" s="462">
        <v>-2701.7481785526325</v>
      </c>
      <c r="BY226" s="463">
        <v>-4.4454171386016796E-2</v>
      </c>
      <c r="BZ226" s="461">
        <v>-44.304932109464559</v>
      </c>
      <c r="CB226" s="203" t="s">
        <v>900</v>
      </c>
      <c r="CC226" s="203">
        <v>1096.7064365397973</v>
      </c>
      <c r="CD226" s="203" t="e">
        <v>#VALUE!</v>
      </c>
      <c r="CE226" s="203" t="s">
        <v>900</v>
      </c>
      <c r="CF226" s="203" t="e">
        <v>#VALUE!</v>
      </c>
      <c r="CH226" s="199"/>
      <c r="CJ226" s="464" t="s">
        <v>1448</v>
      </c>
      <c r="CK226" s="464" t="s">
        <v>1447</v>
      </c>
      <c r="CL226" s="464" t="s">
        <v>1448</v>
      </c>
      <c r="CN226" s="464" t="s">
        <v>1447</v>
      </c>
      <c r="CO226" s="464" t="s">
        <v>1447</v>
      </c>
      <c r="CP226" s="464" t="s">
        <v>1447</v>
      </c>
      <c r="CQ226" s="464" t="s">
        <v>1447</v>
      </c>
      <c r="CS226" s="465">
        <v>0</v>
      </c>
      <c r="CT226" s="466">
        <v>0</v>
      </c>
      <c r="CU226" s="466">
        <v>0.95</v>
      </c>
      <c r="CV226" s="467">
        <v>0.95</v>
      </c>
    </row>
    <row r="227" spans="1:100" s="48" customFormat="1" outlineLevel="1" x14ac:dyDescent="0.3">
      <c r="A227" s="202">
        <v>78509000</v>
      </c>
      <c r="B227" s="48">
        <v>400425</v>
      </c>
      <c r="C227" s="48">
        <v>87401</v>
      </c>
      <c r="D227" s="48" t="s">
        <v>141</v>
      </c>
      <c r="E227" s="48" t="s">
        <v>7</v>
      </c>
      <c r="F227" s="48" t="s">
        <v>1530</v>
      </c>
      <c r="G227" s="48" t="s">
        <v>1502</v>
      </c>
      <c r="H227" s="48" t="s">
        <v>1527</v>
      </c>
      <c r="O227" s="454" t="s">
        <v>900</v>
      </c>
      <c r="P227" s="455" t="s">
        <v>900</v>
      </c>
      <c r="Q227" s="347" t="s">
        <v>900</v>
      </c>
      <c r="R227" s="455">
        <v>618</v>
      </c>
      <c r="S227" s="457">
        <v>346</v>
      </c>
      <c r="T227" s="455"/>
      <c r="U227" s="454">
        <v>618</v>
      </c>
      <c r="V227" s="455">
        <v>177.3053864066346</v>
      </c>
      <c r="W227" s="230">
        <v>0.28690191975183593</v>
      </c>
      <c r="X227" s="264" t="s">
        <v>900</v>
      </c>
      <c r="Y227" s="265" t="s">
        <v>900</v>
      </c>
      <c r="Z227" s="265" t="s">
        <v>900</v>
      </c>
      <c r="AA227" s="265" t="s">
        <v>900</v>
      </c>
      <c r="AB227" s="266" t="s">
        <v>900</v>
      </c>
      <c r="AC227" s="265">
        <v>83315.39635517422</v>
      </c>
      <c r="AD227" s="265">
        <v>17203.946507792225</v>
      </c>
      <c r="AE227" s="265">
        <v>45154.86983627922</v>
      </c>
      <c r="AF227" s="266">
        <v>38954.399571225484</v>
      </c>
      <c r="AG227" s="265">
        <v>83315.39635517422</v>
      </c>
      <c r="AH227" s="265">
        <v>17203.946507792225</v>
      </c>
      <c r="AI227" s="265">
        <v>45154.86983627922</v>
      </c>
      <c r="AJ227" s="266">
        <v>38954.399571225484</v>
      </c>
      <c r="AK227" s="265">
        <v>83324.901458196211</v>
      </c>
      <c r="AL227" s="265">
        <v>19178.531339227477</v>
      </c>
      <c r="AM227" s="265">
        <v>45160.02136539045</v>
      </c>
      <c r="AN227" s="265">
        <v>38958.843714772556</v>
      </c>
      <c r="AO227" s="266">
        <v>186622.29787758668</v>
      </c>
      <c r="AP227" s="203"/>
      <c r="AQ227" s="264">
        <v>86480.400811057887</v>
      </c>
      <c r="AR227" s="265">
        <v>18569.560609048713</v>
      </c>
      <c r="AS227" s="265">
        <v>45853.172039864876</v>
      </c>
      <c r="AT227" s="265">
        <v>44179.215627767451</v>
      </c>
      <c r="AU227" s="266">
        <v>195082.3490877389</v>
      </c>
      <c r="AV227" s="203"/>
      <c r="AW227" s="324">
        <v>202362.15466966212</v>
      </c>
      <c r="AX227" s="203"/>
      <c r="AY227" s="377">
        <v>0</v>
      </c>
      <c r="AZ227" s="265">
        <v>0</v>
      </c>
      <c r="BA227" s="265">
        <v>195082.3490877389</v>
      </c>
      <c r="BB227" s="265">
        <v>1909.4423538917604</v>
      </c>
      <c r="BC227" s="266">
        <v>193172.90673384714</v>
      </c>
      <c r="BD227" s="264">
        <v>1931.7290673384714</v>
      </c>
      <c r="BE227" s="265">
        <v>191241.17766650865</v>
      </c>
      <c r="BF227" s="357">
        <v>0.94504418565167259</v>
      </c>
      <c r="BG227" s="203"/>
      <c r="BJ227" s="458">
        <v>0.94504418565167259</v>
      </c>
      <c r="BK227" s="210"/>
      <c r="BL227" s="458"/>
      <c r="BM227" s="458"/>
      <c r="BN227" s="458"/>
      <c r="BQ227" s="203">
        <v>190785.07831943923</v>
      </c>
      <c r="BR227" s="458">
        <v>0.94279030894328331</v>
      </c>
      <c r="BT227" s="459" t="s">
        <v>900</v>
      </c>
      <c r="BU227" s="460" t="s">
        <v>900</v>
      </c>
      <c r="BV227" s="461">
        <v>191241.17766650865</v>
      </c>
      <c r="BX227" s="462">
        <v>10528.059303799295</v>
      </c>
      <c r="BY227" s="463">
        <v>5.7394868811183608E-2</v>
      </c>
      <c r="BZ227" s="461">
        <v>59.37811319309894</v>
      </c>
      <c r="CB227" s="203" t="s">
        <v>900</v>
      </c>
      <c r="CC227" s="203">
        <v>3441.7641562269096</v>
      </c>
      <c r="CD227" s="203" t="e">
        <v>#VALUE!</v>
      </c>
      <c r="CE227" s="203" t="s">
        <v>900</v>
      </c>
      <c r="CF227" s="203" t="e">
        <v>#VALUE!</v>
      </c>
      <c r="CH227" s="199"/>
      <c r="CJ227" s="464" t="s">
        <v>1448</v>
      </c>
      <c r="CK227" s="464" t="s">
        <v>1447</v>
      </c>
      <c r="CL227" s="464" t="s">
        <v>1448</v>
      </c>
      <c r="CN227" s="464" t="s">
        <v>1447</v>
      </c>
      <c r="CO227" s="464" t="s">
        <v>1447</v>
      </c>
      <c r="CP227" s="464" t="s">
        <v>1447</v>
      </c>
      <c r="CQ227" s="464" t="s">
        <v>1447</v>
      </c>
      <c r="CS227" s="465">
        <v>0</v>
      </c>
      <c r="CT227" s="466">
        <v>0.9</v>
      </c>
      <c r="CU227" s="466">
        <v>0</v>
      </c>
      <c r="CV227" s="467">
        <v>0.9</v>
      </c>
    </row>
    <row r="228" spans="1:100" s="48" customFormat="1" outlineLevel="1" x14ac:dyDescent="0.3">
      <c r="A228" s="202">
        <v>78971000</v>
      </c>
      <c r="B228" s="48">
        <v>400653</v>
      </c>
      <c r="C228" s="48">
        <v>79981</v>
      </c>
      <c r="D228" s="48" t="s">
        <v>144</v>
      </c>
      <c r="E228" s="48" t="s">
        <v>7</v>
      </c>
      <c r="F228" s="48" t="s">
        <v>1498</v>
      </c>
      <c r="G228" s="48" t="s">
        <v>1499</v>
      </c>
      <c r="H228" s="48" t="s">
        <v>1526</v>
      </c>
      <c r="O228" s="454" t="s">
        <v>900</v>
      </c>
      <c r="P228" s="455" t="s">
        <v>900</v>
      </c>
      <c r="Q228" s="347" t="s">
        <v>900</v>
      </c>
      <c r="R228" s="455">
        <v>460</v>
      </c>
      <c r="S228" s="457">
        <v>250</v>
      </c>
      <c r="T228" s="455"/>
      <c r="U228" s="454">
        <v>460</v>
      </c>
      <c r="V228" s="455">
        <v>128.11082832849323</v>
      </c>
      <c r="W228" s="230">
        <v>0.27850180071411573</v>
      </c>
      <c r="X228" s="264" t="s">
        <v>900</v>
      </c>
      <c r="Y228" s="265" t="s">
        <v>900</v>
      </c>
      <c r="Z228" s="265" t="s">
        <v>900</v>
      </c>
      <c r="AA228" s="265" t="s">
        <v>900</v>
      </c>
      <c r="AB228" s="266" t="s">
        <v>900</v>
      </c>
      <c r="AC228" s="265">
        <v>60198.985805761731</v>
      </c>
      <c r="AD228" s="265">
        <v>12430.597187711148</v>
      </c>
      <c r="AE228" s="265">
        <v>32626.351037774009</v>
      </c>
      <c r="AF228" s="266">
        <v>28146.242464758299</v>
      </c>
      <c r="AG228" s="265">
        <v>60198.985805761731</v>
      </c>
      <c r="AH228" s="265">
        <v>12430.597187711148</v>
      </c>
      <c r="AI228" s="265">
        <v>32626.351037774009</v>
      </c>
      <c r="AJ228" s="266">
        <v>28146.242464758299</v>
      </c>
      <c r="AK228" s="265">
        <v>60208.490908783722</v>
      </c>
      <c r="AL228" s="265">
        <v>14405.182019146399</v>
      </c>
      <c r="AM228" s="265">
        <v>32631.50256688524</v>
      </c>
      <c r="AN228" s="265">
        <v>28150.686608305372</v>
      </c>
      <c r="AO228" s="266">
        <v>135395.86210312074</v>
      </c>
      <c r="AP228" s="203"/>
      <c r="AQ228" s="264">
        <v>59293.98210181827</v>
      </c>
      <c r="AR228" s="265">
        <v>13947.778161812716</v>
      </c>
      <c r="AS228" s="265">
        <v>32179.540586292536</v>
      </c>
      <c r="AT228" s="265">
        <v>27019.820269840828</v>
      </c>
      <c r="AU228" s="266">
        <v>132441.12111976434</v>
      </c>
      <c r="AV228" s="203"/>
      <c r="AW228" s="324">
        <v>108783.93598813139</v>
      </c>
      <c r="AX228" s="203"/>
      <c r="AY228" s="377">
        <v>0</v>
      </c>
      <c r="AZ228" s="265">
        <v>12494.113766368362</v>
      </c>
      <c r="BA228" s="265">
        <v>119947.00735339598</v>
      </c>
      <c r="BB228" s="265">
        <v>1174.0267488789202</v>
      </c>
      <c r="BC228" s="266">
        <v>118772.98060451706</v>
      </c>
      <c r="BD228" s="264">
        <v>1187.7298060451706</v>
      </c>
      <c r="BE228" s="265">
        <v>117585.25079847188</v>
      </c>
      <c r="BF228" s="357">
        <v>1.0809063831933856</v>
      </c>
      <c r="BG228" s="203"/>
      <c r="BJ228" s="458">
        <v>1.0809063831933856</v>
      </c>
      <c r="BK228" s="210"/>
      <c r="BL228" s="458"/>
      <c r="BM228" s="458"/>
      <c r="BN228" s="458"/>
      <c r="BQ228" s="203">
        <v>117304.81665364717</v>
      </c>
      <c r="BR228" s="458">
        <v>1.07832848286024</v>
      </c>
      <c r="BT228" s="459" t="s">
        <v>900</v>
      </c>
      <c r="BU228" s="460" t="s">
        <v>900</v>
      </c>
      <c r="BV228" s="461">
        <v>117585.25079847188</v>
      </c>
      <c r="BX228" s="462">
        <v>-7867.7924624658044</v>
      </c>
      <c r="BY228" s="463">
        <v>-6.1792689407010368E-2</v>
      </c>
      <c r="BZ228" s="461">
        <v>-61.413953567544944</v>
      </c>
      <c r="CB228" s="203" t="s">
        <v>900</v>
      </c>
      <c r="CC228" s="203">
        <v>2500.5238499115271</v>
      </c>
      <c r="CD228" s="203" t="e">
        <v>#VALUE!</v>
      </c>
      <c r="CE228" s="203" t="s">
        <v>900</v>
      </c>
      <c r="CF228" s="203" t="e">
        <v>#VALUE!</v>
      </c>
      <c r="CH228" s="199"/>
      <c r="CJ228" s="464" t="s">
        <v>1448</v>
      </c>
      <c r="CK228" s="464" t="s">
        <v>1447</v>
      </c>
      <c r="CL228" s="464" t="s">
        <v>1448</v>
      </c>
      <c r="CN228" s="464" t="s">
        <v>1447</v>
      </c>
      <c r="CO228" s="464" t="s">
        <v>1447</v>
      </c>
      <c r="CP228" s="464" t="s">
        <v>1447</v>
      </c>
      <c r="CQ228" s="464" t="s">
        <v>1447</v>
      </c>
      <c r="CS228" s="465">
        <v>0</v>
      </c>
      <c r="CT228" s="466">
        <v>0.9</v>
      </c>
      <c r="CU228" s="466">
        <v>0</v>
      </c>
      <c r="CV228" s="467">
        <v>0.9</v>
      </c>
    </row>
    <row r="229" spans="1:100" s="48" customFormat="1" outlineLevel="1" x14ac:dyDescent="0.3">
      <c r="A229" s="202">
        <v>78742000</v>
      </c>
      <c r="B229" s="48">
        <v>400638</v>
      </c>
      <c r="C229" s="48">
        <v>81045</v>
      </c>
      <c r="D229" s="48" t="s">
        <v>145</v>
      </c>
      <c r="E229" s="48" t="s">
        <v>7</v>
      </c>
      <c r="F229" s="48" t="s">
        <v>1498</v>
      </c>
      <c r="G229" s="48" t="s">
        <v>1502</v>
      </c>
      <c r="H229" s="48" t="s">
        <v>1526</v>
      </c>
      <c r="O229" s="454" t="s">
        <v>900</v>
      </c>
      <c r="P229" s="455" t="s">
        <v>900</v>
      </c>
      <c r="Q229" s="347" t="s">
        <v>900</v>
      </c>
      <c r="R229" s="455">
        <v>447</v>
      </c>
      <c r="S229" s="457">
        <v>152</v>
      </c>
      <c r="T229" s="455"/>
      <c r="U229" s="454">
        <v>447</v>
      </c>
      <c r="V229" s="455">
        <v>77.891383623723868</v>
      </c>
      <c r="W229" s="230">
        <v>0.17425365463920328</v>
      </c>
      <c r="X229" s="264" t="s">
        <v>900</v>
      </c>
      <c r="Y229" s="265" t="s">
        <v>900</v>
      </c>
      <c r="Z229" s="265" t="s">
        <v>900</v>
      </c>
      <c r="AA229" s="265" t="s">
        <v>900</v>
      </c>
      <c r="AB229" s="266" t="s">
        <v>900</v>
      </c>
      <c r="AC229" s="265">
        <v>36600.983369903122</v>
      </c>
      <c r="AD229" s="265">
        <v>7557.8030901283764</v>
      </c>
      <c r="AE229" s="265">
        <v>19836.821430966593</v>
      </c>
      <c r="AF229" s="266">
        <v>17112.915418573044</v>
      </c>
      <c r="AG229" s="265">
        <v>36600.983369903122</v>
      </c>
      <c r="AH229" s="265">
        <v>7557.8030901283764</v>
      </c>
      <c r="AI229" s="265">
        <v>19836.821430966593</v>
      </c>
      <c r="AJ229" s="266">
        <v>17112.915418573044</v>
      </c>
      <c r="AK229" s="265">
        <v>36610.488472925113</v>
      </c>
      <c r="AL229" s="265">
        <v>9532.387921563628</v>
      </c>
      <c r="AM229" s="265">
        <v>19841.972960077823</v>
      </c>
      <c r="AN229" s="265">
        <v>17117.359562120117</v>
      </c>
      <c r="AO229" s="266">
        <v>83102.208916686679</v>
      </c>
      <c r="AP229" s="203"/>
      <c r="AQ229" s="264">
        <v>36054.41052394412</v>
      </c>
      <c r="AR229" s="265">
        <v>9229.7085802592974</v>
      </c>
      <c r="AS229" s="265">
        <v>19567.152106225869</v>
      </c>
      <c r="AT229" s="265">
        <v>16429.722844709297</v>
      </c>
      <c r="AU229" s="266">
        <v>81280.994055138581</v>
      </c>
      <c r="AV229" s="203"/>
      <c r="AW229" s="324">
        <v>40872.885859249174</v>
      </c>
      <c r="AX229" s="203"/>
      <c r="AY229" s="377">
        <v>0</v>
      </c>
      <c r="AZ229" s="265">
        <v>7667.8147857875447</v>
      </c>
      <c r="BA229" s="265">
        <v>73613.179269351036</v>
      </c>
      <c r="BB229" s="265">
        <v>720.51686356467042</v>
      </c>
      <c r="BC229" s="266">
        <v>72892.662405786366</v>
      </c>
      <c r="BD229" s="264">
        <v>728.92662405786371</v>
      </c>
      <c r="BE229" s="265">
        <v>72163.735781728508</v>
      </c>
      <c r="BF229" s="357">
        <v>1.7655649769931401</v>
      </c>
      <c r="BG229" s="203"/>
      <c r="BJ229" s="458">
        <v>1.7655649769931401</v>
      </c>
      <c r="BK229" s="210"/>
      <c r="BL229" s="458"/>
      <c r="BM229" s="458"/>
      <c r="BN229" s="458"/>
      <c r="BQ229" s="203">
        <v>71991.629370474679</v>
      </c>
      <c r="BR229" s="458">
        <v>1.7613542047994051</v>
      </c>
      <c r="BT229" s="459" t="s">
        <v>900</v>
      </c>
      <c r="BU229" s="460" t="s">
        <v>900</v>
      </c>
      <c r="BV229" s="461">
        <v>72163.735781728508</v>
      </c>
      <c r="BX229" s="462">
        <v>-4257.0998126278428</v>
      </c>
      <c r="BY229" s="463">
        <v>-5.490167741170833E-2</v>
      </c>
      <c r="BZ229" s="461">
        <v>-54.654309816769398</v>
      </c>
      <c r="CB229" s="203" t="s">
        <v>900</v>
      </c>
      <c r="CC229" s="203">
        <v>1690.5185954411493</v>
      </c>
      <c r="CD229" s="203" t="e">
        <v>#VALUE!</v>
      </c>
      <c r="CE229" s="203" t="s">
        <v>900</v>
      </c>
      <c r="CF229" s="203" t="e">
        <v>#VALUE!</v>
      </c>
      <c r="CH229" s="199"/>
      <c r="CJ229" s="464" t="s">
        <v>1448</v>
      </c>
      <c r="CK229" s="464" t="s">
        <v>1447</v>
      </c>
      <c r="CL229" s="464" t="s">
        <v>1448</v>
      </c>
      <c r="CN229" s="464" t="s">
        <v>1447</v>
      </c>
      <c r="CO229" s="464" t="s">
        <v>1447</v>
      </c>
      <c r="CP229" s="464" t="s">
        <v>1447</v>
      </c>
      <c r="CQ229" s="464" t="s">
        <v>1447</v>
      </c>
      <c r="CS229" s="465">
        <v>0</v>
      </c>
      <c r="CT229" s="466">
        <v>0.9</v>
      </c>
      <c r="CU229" s="466">
        <v>0</v>
      </c>
      <c r="CV229" s="467">
        <v>0.9</v>
      </c>
    </row>
    <row r="230" spans="1:100" s="48" customFormat="1" outlineLevel="1" x14ac:dyDescent="0.3">
      <c r="A230" s="202">
        <v>78740000</v>
      </c>
      <c r="B230" s="48">
        <v>400637</v>
      </c>
      <c r="C230" s="48">
        <v>81043</v>
      </c>
      <c r="D230" s="48" t="s">
        <v>146</v>
      </c>
      <c r="E230" s="48" t="s">
        <v>7</v>
      </c>
      <c r="F230" s="48" t="s">
        <v>1504</v>
      </c>
      <c r="G230" s="48" t="s">
        <v>1502</v>
      </c>
      <c r="H230" s="48" t="s">
        <v>1526</v>
      </c>
      <c r="O230" s="454" t="s">
        <v>900</v>
      </c>
      <c r="P230" s="455" t="s">
        <v>900</v>
      </c>
      <c r="Q230" s="347" t="s">
        <v>900</v>
      </c>
      <c r="R230" s="455">
        <v>329</v>
      </c>
      <c r="S230" s="457">
        <v>220</v>
      </c>
      <c r="T230" s="455"/>
      <c r="U230" s="454">
        <v>329</v>
      </c>
      <c r="V230" s="455">
        <v>112.73752892907403</v>
      </c>
      <c r="W230" s="230">
        <v>0.34266726118259583</v>
      </c>
      <c r="X230" s="264" t="s">
        <v>900</v>
      </c>
      <c r="Y230" s="265" t="s">
        <v>900</v>
      </c>
      <c r="Z230" s="265" t="s">
        <v>900</v>
      </c>
      <c r="AA230" s="265" t="s">
        <v>900</v>
      </c>
      <c r="AB230" s="266" t="s">
        <v>900</v>
      </c>
      <c r="AC230" s="265">
        <v>52975.107509070316</v>
      </c>
      <c r="AD230" s="265">
        <v>10938.925525185809</v>
      </c>
      <c r="AE230" s="265">
        <v>28711.188913241123</v>
      </c>
      <c r="AF230" s="266">
        <v>24768.693368987304</v>
      </c>
      <c r="AG230" s="265">
        <v>52975.107509070316</v>
      </c>
      <c r="AH230" s="265">
        <v>10938.925525185809</v>
      </c>
      <c r="AI230" s="265">
        <v>28711.188913241123</v>
      </c>
      <c r="AJ230" s="266">
        <v>24768.693368987304</v>
      </c>
      <c r="AK230" s="265">
        <v>52984.612612092307</v>
      </c>
      <c r="AL230" s="265">
        <v>12913.51035662106</v>
      </c>
      <c r="AM230" s="265">
        <v>28716.340442352353</v>
      </c>
      <c r="AN230" s="265">
        <v>24773.137512534377</v>
      </c>
      <c r="AO230" s="266">
        <v>119387.6009236001</v>
      </c>
      <c r="AP230" s="203"/>
      <c r="AQ230" s="264">
        <v>52179.827537162913</v>
      </c>
      <c r="AR230" s="265">
        <v>12503.471147051465</v>
      </c>
      <c r="AS230" s="265">
        <v>28318.605337292531</v>
      </c>
      <c r="AT230" s="265">
        <v>23777.953711127095</v>
      </c>
      <c r="AU230" s="266">
        <v>116779.857732634</v>
      </c>
      <c r="AV230" s="203"/>
      <c r="AW230" s="324">
        <v>99693.480459068436</v>
      </c>
      <c r="AX230" s="203"/>
      <c r="AY230" s="377">
        <v>0</v>
      </c>
      <c r="AZ230" s="265">
        <v>11016.675302925258</v>
      </c>
      <c r="BA230" s="265">
        <v>105763.18242970874</v>
      </c>
      <c r="BB230" s="265">
        <v>1035.1971921500681</v>
      </c>
      <c r="BC230" s="266">
        <v>104727.98523755868</v>
      </c>
      <c r="BD230" s="264">
        <v>1047.2798523755869</v>
      </c>
      <c r="BE230" s="265">
        <v>103680.70538518309</v>
      </c>
      <c r="BF230" s="357">
        <v>1.0399948412649882</v>
      </c>
      <c r="BG230" s="203"/>
      <c r="BJ230" s="458">
        <v>1.0399948412649882</v>
      </c>
      <c r="BK230" s="210"/>
      <c r="BL230" s="458"/>
      <c r="BM230" s="458"/>
      <c r="BN230" s="458"/>
      <c r="BQ230" s="203">
        <v>103433.4327914515</v>
      </c>
      <c r="BR230" s="458">
        <v>1.0375145126357443</v>
      </c>
      <c r="BT230" s="459" t="s">
        <v>900</v>
      </c>
      <c r="BU230" s="460" t="s">
        <v>900</v>
      </c>
      <c r="BV230" s="461">
        <v>103680.70538518309</v>
      </c>
      <c r="BX230" s="462">
        <v>-6762.4783859847958</v>
      </c>
      <c r="BY230" s="463">
        <v>-6.0333344605671274E-2</v>
      </c>
      <c r="BZ230" s="461">
        <v>-59.984270102631378</v>
      </c>
      <c r="CB230" s="203" t="s">
        <v>900</v>
      </c>
      <c r="CC230" s="203">
        <v>2123.3562354844403</v>
      </c>
      <c r="CD230" s="203" t="e">
        <v>#VALUE!</v>
      </c>
      <c r="CE230" s="203" t="s">
        <v>900</v>
      </c>
      <c r="CF230" s="203" t="e">
        <v>#VALUE!</v>
      </c>
      <c r="CH230" s="199"/>
      <c r="CJ230" s="464" t="s">
        <v>1448</v>
      </c>
      <c r="CK230" s="464" t="s">
        <v>1447</v>
      </c>
      <c r="CL230" s="464" t="s">
        <v>1448</v>
      </c>
      <c r="CN230" s="464" t="s">
        <v>1447</v>
      </c>
      <c r="CO230" s="464" t="s">
        <v>1447</v>
      </c>
      <c r="CP230" s="464" t="s">
        <v>1447</v>
      </c>
      <c r="CQ230" s="464" t="s">
        <v>1447</v>
      </c>
      <c r="CS230" s="465">
        <v>0</v>
      </c>
      <c r="CT230" s="466">
        <v>0</v>
      </c>
      <c r="CU230" s="466">
        <v>0.95</v>
      </c>
      <c r="CV230" s="467">
        <v>0.95</v>
      </c>
    </row>
    <row r="231" spans="1:100" s="48" customFormat="1" outlineLevel="1" x14ac:dyDescent="0.3">
      <c r="A231" s="202">
        <v>78915000</v>
      </c>
      <c r="B231" s="48">
        <v>400244</v>
      </c>
      <c r="C231" s="48">
        <v>6446</v>
      </c>
      <c r="D231" s="48" t="s">
        <v>147</v>
      </c>
      <c r="E231" s="48" t="s">
        <v>7</v>
      </c>
      <c r="F231" s="48" t="s">
        <v>1498</v>
      </c>
      <c r="G231" s="48" t="s">
        <v>1502</v>
      </c>
      <c r="H231" s="48" t="s">
        <v>1526</v>
      </c>
      <c r="O231" s="454" t="s">
        <v>900</v>
      </c>
      <c r="P231" s="455" t="s">
        <v>900</v>
      </c>
      <c r="Q231" s="347" t="s">
        <v>900</v>
      </c>
      <c r="R231" s="455">
        <v>968</v>
      </c>
      <c r="S231" s="457">
        <v>827</v>
      </c>
      <c r="T231" s="455"/>
      <c r="U231" s="454">
        <v>968</v>
      </c>
      <c r="V231" s="455">
        <v>423.79062011065554</v>
      </c>
      <c r="W231" s="230">
        <v>0.43780022738704083</v>
      </c>
      <c r="X231" s="264" t="s">
        <v>900</v>
      </c>
      <c r="Y231" s="265" t="s">
        <v>900</v>
      </c>
      <c r="Z231" s="265" t="s">
        <v>900</v>
      </c>
      <c r="AA231" s="265" t="s">
        <v>900</v>
      </c>
      <c r="AB231" s="266" t="s">
        <v>900</v>
      </c>
      <c r="AC231" s="265">
        <v>199138.24504545977</v>
      </c>
      <c r="AD231" s="265">
        <v>41120.415496948466</v>
      </c>
      <c r="AE231" s="265">
        <v>107927.9692329564</v>
      </c>
      <c r="AF231" s="266">
        <v>93107.770073420441</v>
      </c>
      <c r="AG231" s="265">
        <v>199138.24504545977</v>
      </c>
      <c r="AH231" s="265">
        <v>41120.415496948466</v>
      </c>
      <c r="AI231" s="265">
        <v>107927.9692329564</v>
      </c>
      <c r="AJ231" s="266">
        <v>93107.770073420441</v>
      </c>
      <c r="AK231" s="265">
        <v>199147.75014848175</v>
      </c>
      <c r="AL231" s="265">
        <v>43095.000328383714</v>
      </c>
      <c r="AM231" s="265">
        <v>107933.12076206763</v>
      </c>
      <c r="AN231" s="265">
        <v>93112.214216967506</v>
      </c>
      <c r="AO231" s="266">
        <v>443288.08545590058</v>
      </c>
      <c r="AP231" s="203"/>
      <c r="AQ231" s="264">
        <v>224659.13305495598</v>
      </c>
      <c r="AR231" s="265">
        <v>46544.442278249306</v>
      </c>
      <c r="AS231" s="265">
        <v>119117.5547486431</v>
      </c>
      <c r="AT231" s="265">
        <v>114768.94404856986</v>
      </c>
      <c r="AU231" s="266">
        <v>505090.07413041824</v>
      </c>
      <c r="AV231" s="203"/>
      <c r="AW231" s="324">
        <v>496999.86034693866</v>
      </c>
      <c r="AX231" s="203"/>
      <c r="AY231" s="377">
        <v>0</v>
      </c>
      <c r="AZ231" s="265">
        <v>8090.2137834795867</v>
      </c>
      <c r="BA231" s="265">
        <v>496999.86034693866</v>
      </c>
      <c r="BB231" s="265">
        <v>4864.5743075295968</v>
      </c>
      <c r="BC231" s="266">
        <v>492135.28603940905</v>
      </c>
      <c r="BD231" s="264">
        <v>4921.3528603940904</v>
      </c>
      <c r="BE231" s="265">
        <v>487213.93317901494</v>
      </c>
      <c r="BF231" s="357">
        <v>0.98031000016560876</v>
      </c>
      <c r="BG231" s="203"/>
      <c r="BJ231" s="458">
        <v>0.98031000016560876</v>
      </c>
      <c r="BK231" s="210"/>
      <c r="BL231" s="458"/>
      <c r="BM231" s="458"/>
      <c r="BN231" s="458"/>
      <c r="BQ231" s="203">
        <v>486051.95562001044</v>
      </c>
      <c r="BR231" s="458">
        <v>0.97797201649254817</v>
      </c>
      <c r="BT231" s="459" t="s">
        <v>900</v>
      </c>
      <c r="BU231" s="460" t="s">
        <v>900</v>
      </c>
      <c r="BV231" s="461">
        <v>487213.93317901494</v>
      </c>
      <c r="BX231" s="462">
        <v>55815.314310081012</v>
      </c>
      <c r="BY231" s="463">
        <v>0.12744173878881607</v>
      </c>
      <c r="BZ231" s="461">
        <v>131.70493083472951</v>
      </c>
      <c r="CB231" s="203">
        <v>18542</v>
      </c>
      <c r="CC231" s="203">
        <v>26250.522350260529</v>
      </c>
      <c r="CD231" s="203" t="e">
        <v>#VALUE!</v>
      </c>
      <c r="CE231" s="203" t="s">
        <v>900</v>
      </c>
      <c r="CF231" s="203" t="e">
        <v>#VALUE!</v>
      </c>
      <c r="CH231" s="199"/>
      <c r="CJ231" s="464" t="s">
        <v>1448</v>
      </c>
      <c r="CK231" s="464" t="s">
        <v>1447</v>
      </c>
      <c r="CL231" s="464" t="s">
        <v>1448</v>
      </c>
      <c r="CN231" s="464" t="s">
        <v>1447</v>
      </c>
      <c r="CO231" s="464" t="s">
        <v>1447</v>
      </c>
      <c r="CP231" s="464" t="s">
        <v>1447</v>
      </c>
      <c r="CQ231" s="464" t="s">
        <v>1447</v>
      </c>
      <c r="CS231" s="465">
        <v>0</v>
      </c>
      <c r="CT231" s="466">
        <v>0</v>
      </c>
      <c r="CU231" s="466">
        <v>0.95</v>
      </c>
      <c r="CV231" s="467">
        <v>0.95</v>
      </c>
    </row>
    <row r="232" spans="1:100" s="48" customFormat="1" outlineLevel="1" x14ac:dyDescent="0.3">
      <c r="A232" s="202">
        <v>78744000</v>
      </c>
      <c r="B232" s="48">
        <v>400640</v>
      </c>
      <c r="C232" s="48">
        <v>81050</v>
      </c>
      <c r="D232" s="48" t="s">
        <v>1532</v>
      </c>
      <c r="E232" s="48" t="s">
        <v>7</v>
      </c>
      <c r="F232" s="48" t="s">
        <v>1498</v>
      </c>
      <c r="G232" s="48" t="s">
        <v>1499</v>
      </c>
      <c r="H232" s="48" t="s">
        <v>1512</v>
      </c>
      <c r="O232" s="454" t="s">
        <v>900</v>
      </c>
      <c r="P232" s="455" t="s">
        <v>900</v>
      </c>
      <c r="Q232" s="347" t="s">
        <v>900</v>
      </c>
      <c r="R232" s="455">
        <v>55</v>
      </c>
      <c r="S232" s="457">
        <v>36</v>
      </c>
      <c r="T232" s="455"/>
      <c r="U232" s="454">
        <v>55</v>
      </c>
      <c r="V232" s="455">
        <v>18.447959279303024</v>
      </c>
      <c r="W232" s="230">
        <v>0.33541744144187319</v>
      </c>
      <c r="X232" s="264" t="s">
        <v>900</v>
      </c>
      <c r="Y232" s="265" t="s">
        <v>900</v>
      </c>
      <c r="Z232" s="265" t="s">
        <v>900</v>
      </c>
      <c r="AA232" s="265" t="s">
        <v>900</v>
      </c>
      <c r="AB232" s="266" t="s">
        <v>900</v>
      </c>
      <c r="AC232" s="265">
        <v>8668.6539560296897</v>
      </c>
      <c r="AD232" s="265">
        <v>1790.0059950304051</v>
      </c>
      <c r="AE232" s="265">
        <v>4698.1945494394568</v>
      </c>
      <c r="AF232" s="266">
        <v>4053.058914925195</v>
      </c>
      <c r="AG232" s="265">
        <v>8668.6539560296897</v>
      </c>
      <c r="AH232" s="265">
        <v>1790.0059950304051</v>
      </c>
      <c r="AI232" s="265">
        <v>4698.1945494394568</v>
      </c>
      <c r="AJ232" s="266">
        <v>4053.058914925195</v>
      </c>
      <c r="AK232" s="265">
        <v>8678.1590590516807</v>
      </c>
      <c r="AL232" s="265">
        <v>3764.5908264656564</v>
      </c>
      <c r="AM232" s="265">
        <v>4703.3460785506859</v>
      </c>
      <c r="AN232" s="265">
        <v>4057.5030584722672</v>
      </c>
      <c r="AO232" s="266">
        <v>21203.599022540289</v>
      </c>
      <c r="AP232" s="203"/>
      <c r="AQ232" s="264">
        <v>11021.368567903344</v>
      </c>
      <c r="AR232" s="265">
        <v>3645.0547898491313</v>
      </c>
      <c r="AS232" s="265">
        <v>5529.2169418374897</v>
      </c>
      <c r="AT232" s="265">
        <v>5188.7529905223819</v>
      </c>
      <c r="AU232" s="266">
        <v>25384.393290112348</v>
      </c>
      <c r="AV232" s="203"/>
      <c r="AW232" s="324">
        <v>25417.341523628122</v>
      </c>
      <c r="AX232" s="203"/>
      <c r="AY232" s="377">
        <v>0</v>
      </c>
      <c r="AZ232" s="265">
        <v>0</v>
      </c>
      <c r="BA232" s="265">
        <v>25384.393290112348</v>
      </c>
      <c r="BB232" s="265">
        <v>248.4593603811218</v>
      </c>
      <c r="BC232" s="266">
        <v>25135.933929731225</v>
      </c>
      <c r="BD232" s="264">
        <v>251.35933929731226</v>
      </c>
      <c r="BE232" s="265">
        <v>24884.574590433913</v>
      </c>
      <c r="BF232" s="357">
        <v>0.97903923458324915</v>
      </c>
      <c r="BG232" s="203"/>
      <c r="BJ232" s="458">
        <v>0.97903923458324915</v>
      </c>
      <c r="BK232" s="210"/>
      <c r="BL232" s="458"/>
      <c r="BM232" s="458"/>
      <c r="BN232" s="458"/>
      <c r="BQ232" s="203">
        <v>24825.226293371081</v>
      </c>
      <c r="BR232" s="458">
        <v>0.97670428161392853</v>
      </c>
      <c r="BT232" s="459" t="s">
        <v>900</v>
      </c>
      <c r="BU232" s="460" t="s">
        <v>900</v>
      </c>
      <c r="BV232" s="461">
        <v>24884.574590433913</v>
      </c>
      <c r="BX232" s="462">
        <v>5735.9160134410085</v>
      </c>
      <c r="BY232" s="463">
        <v>0.295871863241433</v>
      </c>
      <c r="BZ232" s="461">
        <v>310.92414757637709</v>
      </c>
      <c r="CB232" s="203" t="s">
        <v>900</v>
      </c>
      <c r="CC232" s="203">
        <v>348.64195922367435</v>
      </c>
      <c r="CD232" s="203" t="e">
        <v>#VALUE!</v>
      </c>
      <c r="CE232" s="203" t="s">
        <v>900</v>
      </c>
      <c r="CF232" s="203" t="e">
        <v>#VALUE!</v>
      </c>
      <c r="CH232" s="199"/>
      <c r="CJ232" s="464" t="s">
        <v>1448</v>
      </c>
      <c r="CK232" s="464" t="s">
        <v>1447</v>
      </c>
      <c r="CL232" s="464" t="s">
        <v>1448</v>
      </c>
      <c r="CN232" s="464" t="s">
        <v>1447</v>
      </c>
      <c r="CO232" s="464" t="s">
        <v>1447</v>
      </c>
      <c r="CP232" s="464" t="s">
        <v>1447</v>
      </c>
      <c r="CQ232" s="464" t="s">
        <v>1447</v>
      </c>
      <c r="CS232" s="465">
        <v>0</v>
      </c>
      <c r="CT232" s="466">
        <v>0</v>
      </c>
      <c r="CU232" s="466">
        <v>0.95</v>
      </c>
      <c r="CV232" s="467">
        <v>0.95</v>
      </c>
    </row>
    <row r="233" spans="1:100" s="48" customFormat="1" outlineLevel="1" x14ac:dyDescent="0.3">
      <c r="A233" s="202">
        <v>78917000</v>
      </c>
      <c r="B233" s="48">
        <v>400246</v>
      </c>
      <c r="C233" s="48">
        <v>79211</v>
      </c>
      <c r="D233" s="48" t="s">
        <v>149</v>
      </c>
      <c r="E233" s="48" t="s">
        <v>7</v>
      </c>
      <c r="F233" s="48" t="s">
        <v>1498</v>
      </c>
      <c r="G233" s="48" t="s">
        <v>1502</v>
      </c>
      <c r="H233" s="48" t="s">
        <v>1526</v>
      </c>
      <c r="O233" s="454" t="s">
        <v>900</v>
      </c>
      <c r="P233" s="455" t="s">
        <v>900</v>
      </c>
      <c r="Q233" s="347" t="s">
        <v>900</v>
      </c>
      <c r="R233" s="455">
        <v>298</v>
      </c>
      <c r="S233" s="457">
        <v>203</v>
      </c>
      <c r="T233" s="455"/>
      <c r="U233" s="454">
        <v>298</v>
      </c>
      <c r="V233" s="455">
        <v>104.02599260273649</v>
      </c>
      <c r="W233" s="230">
        <v>0.3490805120897198</v>
      </c>
      <c r="X233" s="264" t="s">
        <v>900</v>
      </c>
      <c r="Y233" s="265" t="s">
        <v>900</v>
      </c>
      <c r="Z233" s="265" t="s">
        <v>900</v>
      </c>
      <c r="AA233" s="265" t="s">
        <v>900</v>
      </c>
      <c r="AB233" s="266" t="s">
        <v>900</v>
      </c>
      <c r="AC233" s="265">
        <v>48881.576474278525</v>
      </c>
      <c r="AD233" s="265">
        <v>10093.644916421452</v>
      </c>
      <c r="AE233" s="265">
        <v>26492.597042672493</v>
      </c>
      <c r="AF233" s="266">
        <v>22854.748881383737</v>
      </c>
      <c r="AG233" s="265">
        <v>48881.576474278525</v>
      </c>
      <c r="AH233" s="265">
        <v>10093.644916421452</v>
      </c>
      <c r="AI233" s="265">
        <v>26492.597042672493</v>
      </c>
      <c r="AJ233" s="266">
        <v>22854.748881383737</v>
      </c>
      <c r="AK233" s="265">
        <v>48891.081577300516</v>
      </c>
      <c r="AL233" s="265">
        <v>12068.229747856703</v>
      </c>
      <c r="AM233" s="265">
        <v>26497.748571783723</v>
      </c>
      <c r="AN233" s="265">
        <v>22859.19302493081</v>
      </c>
      <c r="AO233" s="266">
        <v>110316.25292187175</v>
      </c>
      <c r="AP233" s="203"/>
      <c r="AQ233" s="264">
        <v>49490.614345572678</v>
      </c>
      <c r="AR233" s="265">
        <v>12058.893166743708</v>
      </c>
      <c r="AS233" s="265">
        <v>28381.710575081699</v>
      </c>
      <c r="AT233" s="265">
        <v>30338.671466028176</v>
      </c>
      <c r="AU233" s="266">
        <v>120269.88955342626</v>
      </c>
      <c r="AV233" s="203"/>
      <c r="AW233" s="324">
        <v>118343.48242717687</v>
      </c>
      <c r="AX233" s="203"/>
      <c r="AY233" s="377">
        <v>0</v>
      </c>
      <c r="AZ233" s="265">
        <v>1926.4071262493817</v>
      </c>
      <c r="BA233" s="265">
        <v>118343.48242717687</v>
      </c>
      <c r="BB233" s="265">
        <v>1158.3316415359855</v>
      </c>
      <c r="BC233" s="266">
        <v>117185.15078564089</v>
      </c>
      <c r="BD233" s="264">
        <v>1171.8515078564089</v>
      </c>
      <c r="BE233" s="265">
        <v>116013.29927778448</v>
      </c>
      <c r="BF233" s="357">
        <v>0.98031000016560876</v>
      </c>
      <c r="BG233" s="203"/>
      <c r="BJ233" s="458">
        <v>0.98031000016560876</v>
      </c>
      <c r="BK233" s="210"/>
      <c r="BL233" s="458"/>
      <c r="BM233" s="458"/>
      <c r="BN233" s="458"/>
      <c r="BQ233" s="203">
        <v>115736.61414805661</v>
      </c>
      <c r="BR233" s="458">
        <v>0.97797201649254828</v>
      </c>
      <c r="BT233" s="459" t="s">
        <v>900</v>
      </c>
      <c r="BU233" s="460" t="s">
        <v>900</v>
      </c>
      <c r="BV233" s="461">
        <v>116013.29927778448</v>
      </c>
      <c r="BX233" s="462">
        <v>9828.30268719593</v>
      </c>
      <c r="BY233" s="463">
        <v>9.1205966182394821E-2</v>
      </c>
      <c r="BZ233" s="461">
        <v>94.479297349549043</v>
      </c>
      <c r="CB233" s="203">
        <v>5031</v>
      </c>
      <c r="CC233" s="203">
        <v>6984.6054333564534</v>
      </c>
      <c r="CD233" s="203" t="e">
        <v>#VALUE!</v>
      </c>
      <c r="CE233" s="203" t="s">
        <v>900</v>
      </c>
      <c r="CF233" s="203" t="e">
        <v>#VALUE!</v>
      </c>
      <c r="CH233" s="199"/>
      <c r="CJ233" s="464" t="s">
        <v>1448</v>
      </c>
      <c r="CK233" s="464" t="s">
        <v>1447</v>
      </c>
      <c r="CL233" s="464" t="s">
        <v>1448</v>
      </c>
      <c r="CN233" s="464" t="s">
        <v>1447</v>
      </c>
      <c r="CO233" s="464" t="s">
        <v>1447</v>
      </c>
      <c r="CP233" s="464" t="s">
        <v>1447</v>
      </c>
      <c r="CQ233" s="464" t="s">
        <v>1447</v>
      </c>
      <c r="CS233" s="465">
        <v>0</v>
      </c>
      <c r="CT233" s="466">
        <v>0</v>
      </c>
      <c r="CU233" s="466">
        <v>0.95</v>
      </c>
      <c r="CV233" s="467">
        <v>0.95</v>
      </c>
    </row>
    <row r="234" spans="1:100" s="48" customFormat="1" outlineLevel="1" x14ac:dyDescent="0.3">
      <c r="A234" s="202">
        <v>78246000</v>
      </c>
      <c r="B234" s="48">
        <v>400904</v>
      </c>
      <c r="C234" s="48">
        <v>92226</v>
      </c>
      <c r="D234" s="48" t="s">
        <v>150</v>
      </c>
      <c r="E234" s="48" t="s">
        <v>7</v>
      </c>
      <c r="F234" s="48" t="s">
        <v>1498</v>
      </c>
      <c r="G234" s="48" t="s">
        <v>1499</v>
      </c>
      <c r="H234" s="48" t="s">
        <v>1526</v>
      </c>
      <c r="O234" s="454" t="s">
        <v>900</v>
      </c>
      <c r="P234" s="455" t="s">
        <v>900</v>
      </c>
      <c r="Q234" s="347" t="s">
        <v>900</v>
      </c>
      <c r="R234" s="455">
        <v>1065</v>
      </c>
      <c r="S234" s="457">
        <v>507</v>
      </c>
      <c r="T234" s="455"/>
      <c r="U234" s="454">
        <v>1065</v>
      </c>
      <c r="V234" s="455">
        <v>259.80875985018423</v>
      </c>
      <c r="W234" s="230">
        <v>0.24395188718327157</v>
      </c>
      <c r="X234" s="264" t="s">
        <v>900</v>
      </c>
      <c r="Y234" s="265" t="s">
        <v>900</v>
      </c>
      <c r="Z234" s="265" t="s">
        <v>900</v>
      </c>
      <c r="AA234" s="265" t="s">
        <v>900</v>
      </c>
      <c r="AB234" s="266" t="s">
        <v>900</v>
      </c>
      <c r="AC234" s="265">
        <v>122083.54321408477</v>
      </c>
      <c r="AD234" s="265">
        <v>25209.251096678203</v>
      </c>
      <c r="AE234" s="265">
        <v>66166.239904605682</v>
      </c>
      <c r="AF234" s="266">
        <v>57080.579718529829</v>
      </c>
      <c r="AG234" s="265">
        <v>122083.54321408477</v>
      </c>
      <c r="AH234" s="265">
        <v>25209.251096678203</v>
      </c>
      <c r="AI234" s="265">
        <v>66166.239904605682</v>
      </c>
      <c r="AJ234" s="266">
        <v>57080.579718529829</v>
      </c>
      <c r="AK234" s="265">
        <v>122093.04831710676</v>
      </c>
      <c r="AL234" s="265">
        <v>27183.835928113454</v>
      </c>
      <c r="AM234" s="265">
        <v>66171.391433716912</v>
      </c>
      <c r="AN234" s="265">
        <v>57085.023862076901</v>
      </c>
      <c r="AO234" s="266">
        <v>272533.29954101407</v>
      </c>
      <c r="AP234" s="203"/>
      <c r="AQ234" s="264">
        <v>120238.57287236574</v>
      </c>
      <c r="AR234" s="265">
        <v>26320.674921600756</v>
      </c>
      <c r="AS234" s="265">
        <v>65254.885886059179</v>
      </c>
      <c r="AT234" s="265">
        <v>54791.810456155137</v>
      </c>
      <c r="AU234" s="266">
        <v>266605.9441361808</v>
      </c>
      <c r="AV234" s="203"/>
      <c r="AW234" s="324">
        <v>160118.27309342826</v>
      </c>
      <c r="AX234" s="203"/>
      <c r="AY234" s="377">
        <v>0</v>
      </c>
      <c r="AZ234" s="265">
        <v>25150.836603197589</v>
      </c>
      <c r="BA234" s="265">
        <v>241455.10753298321</v>
      </c>
      <c r="BB234" s="265">
        <v>2363.3332848560854</v>
      </c>
      <c r="BC234" s="266">
        <v>239091.77424812713</v>
      </c>
      <c r="BD234" s="264">
        <v>2390.9177424812715</v>
      </c>
      <c r="BE234" s="265">
        <v>236700.85650564585</v>
      </c>
      <c r="BF234" s="357">
        <v>1.4782875928691288</v>
      </c>
      <c r="BG234" s="203"/>
      <c r="BJ234" s="458">
        <v>1.4782875928691288</v>
      </c>
      <c r="BK234" s="210"/>
      <c r="BL234" s="458"/>
      <c r="BM234" s="458"/>
      <c r="BN234" s="458"/>
      <c r="BQ234" s="203">
        <v>236136.33840645666</v>
      </c>
      <c r="BR234" s="458">
        <v>1.4747619609204268</v>
      </c>
      <c r="BT234" s="459" t="s">
        <v>900</v>
      </c>
      <c r="BU234" s="460" t="s">
        <v>900</v>
      </c>
      <c r="BV234" s="461">
        <v>236700.85650564585</v>
      </c>
      <c r="BX234" s="462">
        <v>-17336.649717652967</v>
      </c>
      <c r="BY234" s="463">
        <v>-6.7226351677208945E-2</v>
      </c>
      <c r="BZ234" s="461">
        <v>-66.728503410161949</v>
      </c>
      <c r="CB234" s="203" t="s">
        <v>900</v>
      </c>
      <c r="CC234" s="203">
        <v>5205.4565614473486</v>
      </c>
      <c r="CD234" s="203" t="e">
        <v>#VALUE!</v>
      </c>
      <c r="CE234" s="203" t="s">
        <v>900</v>
      </c>
      <c r="CF234" s="203" t="e">
        <v>#VALUE!</v>
      </c>
      <c r="CH234" s="199"/>
      <c r="CJ234" s="464" t="s">
        <v>1448</v>
      </c>
      <c r="CK234" s="464" t="s">
        <v>1447</v>
      </c>
      <c r="CL234" s="464" t="s">
        <v>1448</v>
      </c>
      <c r="CN234" s="464" t="s">
        <v>1447</v>
      </c>
      <c r="CO234" s="464" t="s">
        <v>1447</v>
      </c>
      <c r="CP234" s="464" t="s">
        <v>1447</v>
      </c>
      <c r="CQ234" s="464" t="s">
        <v>1447</v>
      </c>
      <c r="CS234" s="465">
        <v>0</v>
      </c>
      <c r="CT234" s="466">
        <v>0.9</v>
      </c>
      <c r="CU234" s="466">
        <v>0</v>
      </c>
      <c r="CV234" s="467">
        <v>0.9</v>
      </c>
    </row>
    <row r="235" spans="1:100" s="48" customFormat="1" outlineLevel="1" x14ac:dyDescent="0.3">
      <c r="A235" s="202">
        <v>78705000</v>
      </c>
      <c r="B235" s="48">
        <v>400157</v>
      </c>
      <c r="C235" s="48">
        <v>4329</v>
      </c>
      <c r="D235" s="48" t="s">
        <v>151</v>
      </c>
      <c r="E235" s="48" t="s">
        <v>7</v>
      </c>
      <c r="F235" s="48" t="s">
        <v>1498</v>
      </c>
      <c r="G235" s="48" t="s">
        <v>1499</v>
      </c>
      <c r="H235" s="48" t="s">
        <v>1512</v>
      </c>
      <c r="O235" s="454" t="s">
        <v>900</v>
      </c>
      <c r="P235" s="455" t="s">
        <v>900</v>
      </c>
      <c r="Q235" s="347" t="s">
        <v>900</v>
      </c>
      <c r="R235" s="455">
        <v>685</v>
      </c>
      <c r="S235" s="457">
        <v>276</v>
      </c>
      <c r="T235" s="455"/>
      <c r="U235" s="454">
        <v>685</v>
      </c>
      <c r="V235" s="455">
        <v>141.43435447465652</v>
      </c>
      <c r="W235" s="230">
        <v>0.20647351018198032</v>
      </c>
      <c r="X235" s="264" t="s">
        <v>900</v>
      </c>
      <c r="Y235" s="265" t="s">
        <v>900</v>
      </c>
      <c r="Z235" s="265" t="s">
        <v>900</v>
      </c>
      <c r="AA235" s="265" t="s">
        <v>900</v>
      </c>
      <c r="AB235" s="266" t="s">
        <v>900</v>
      </c>
      <c r="AC235" s="265">
        <v>66459.680329560942</v>
      </c>
      <c r="AD235" s="265">
        <v>13723.379295233106</v>
      </c>
      <c r="AE235" s="265">
        <v>36019.491545702505</v>
      </c>
      <c r="AF235" s="266">
        <v>31073.451681093164</v>
      </c>
      <c r="AG235" s="265">
        <v>66459.680329560942</v>
      </c>
      <c r="AH235" s="265">
        <v>13723.379295233106</v>
      </c>
      <c r="AI235" s="265">
        <v>36019.491545702505</v>
      </c>
      <c r="AJ235" s="266">
        <v>31073.451681093164</v>
      </c>
      <c r="AK235" s="265">
        <v>66469.185432582934</v>
      </c>
      <c r="AL235" s="265">
        <v>15697.964126668357</v>
      </c>
      <c r="AM235" s="265">
        <v>36024.643074813735</v>
      </c>
      <c r="AN235" s="265">
        <v>31077.895824640236</v>
      </c>
      <c r="AO235" s="266">
        <v>149269.68845870526</v>
      </c>
      <c r="AP235" s="203"/>
      <c r="AQ235" s="264">
        <v>65459.582724519561</v>
      </c>
      <c r="AR235" s="265">
        <v>15199.51090793913</v>
      </c>
      <c r="AS235" s="265">
        <v>35525.684468759202</v>
      </c>
      <c r="AT235" s="265">
        <v>29829.437954059398</v>
      </c>
      <c r="AU235" s="266">
        <v>146014.2160552773</v>
      </c>
      <c r="AV235" s="203"/>
      <c r="AW235" s="324">
        <v>121617.52026445564</v>
      </c>
      <c r="AX235" s="203"/>
      <c r="AY235" s="377">
        <v>0</v>
      </c>
      <c r="AZ235" s="265">
        <v>13774.5604346857</v>
      </c>
      <c r="BA235" s="265">
        <v>132239.6556205916</v>
      </c>
      <c r="BB235" s="265">
        <v>1294.3456980439255</v>
      </c>
      <c r="BC235" s="266">
        <v>130945.30992254768</v>
      </c>
      <c r="BD235" s="264">
        <v>1309.4530992254768</v>
      </c>
      <c r="BE235" s="265">
        <v>129635.8568233222</v>
      </c>
      <c r="BF235" s="357">
        <v>1.0659307683747441</v>
      </c>
      <c r="BG235" s="203"/>
      <c r="BJ235" s="458">
        <v>1.0659307683747441</v>
      </c>
      <c r="BK235" s="210"/>
      <c r="BL235" s="458"/>
      <c r="BM235" s="458"/>
      <c r="BN235" s="458"/>
      <c r="BQ235" s="203">
        <v>129326.68266755011</v>
      </c>
      <c r="BR235" s="458">
        <v>1.0633885840323911</v>
      </c>
      <c r="BT235" s="459" t="s">
        <v>900</v>
      </c>
      <c r="BU235" s="460" t="s">
        <v>900</v>
      </c>
      <c r="BV235" s="461">
        <v>129635.8568233222</v>
      </c>
      <c r="BX235" s="462">
        <v>-8825.7313287492871</v>
      </c>
      <c r="BY235" s="463">
        <v>-6.2801424877045625E-2</v>
      </c>
      <c r="BZ235" s="461">
        <v>-62.401609294513811</v>
      </c>
      <c r="CB235" s="203">
        <v>660</v>
      </c>
      <c r="CC235" s="203">
        <v>3600.7878018308684</v>
      </c>
      <c r="CD235" s="203" t="e">
        <v>#VALUE!</v>
      </c>
      <c r="CE235" s="203" t="s">
        <v>900</v>
      </c>
      <c r="CF235" s="203" t="e">
        <v>#VALUE!</v>
      </c>
      <c r="CH235" s="199"/>
      <c r="CJ235" s="464" t="s">
        <v>1448</v>
      </c>
      <c r="CK235" s="464" t="s">
        <v>1447</v>
      </c>
      <c r="CL235" s="464" t="s">
        <v>1448</v>
      </c>
      <c r="CN235" s="464" t="s">
        <v>1447</v>
      </c>
      <c r="CO235" s="464" t="s">
        <v>1447</v>
      </c>
      <c r="CP235" s="464" t="s">
        <v>1447</v>
      </c>
      <c r="CQ235" s="464" t="s">
        <v>1447</v>
      </c>
      <c r="CS235" s="465">
        <v>0</v>
      </c>
      <c r="CT235" s="466">
        <v>0.9</v>
      </c>
      <c r="CU235" s="466">
        <v>0</v>
      </c>
      <c r="CV235" s="467">
        <v>0.9</v>
      </c>
    </row>
    <row r="236" spans="1:100" s="48" customFormat="1" outlineLevel="1" x14ac:dyDescent="0.3">
      <c r="A236" s="202">
        <v>78558000</v>
      </c>
      <c r="B236" s="48">
        <v>400816</v>
      </c>
      <c r="C236" s="48">
        <v>90201</v>
      </c>
      <c r="D236" s="48" t="s">
        <v>152</v>
      </c>
      <c r="E236" s="48" t="s">
        <v>7</v>
      </c>
      <c r="F236" s="48" t="s">
        <v>1503</v>
      </c>
      <c r="G236" s="48" t="s">
        <v>1502</v>
      </c>
      <c r="H236" s="48" t="s">
        <v>1517</v>
      </c>
      <c r="O236" s="454" t="s">
        <v>900</v>
      </c>
      <c r="P236" s="455" t="s">
        <v>900</v>
      </c>
      <c r="Q236" s="347" t="s">
        <v>900</v>
      </c>
      <c r="R236" s="455">
        <v>284</v>
      </c>
      <c r="S236" s="457">
        <v>168</v>
      </c>
      <c r="T236" s="455"/>
      <c r="U236" s="454">
        <v>284</v>
      </c>
      <c r="V236" s="455">
        <v>86.090476636747439</v>
      </c>
      <c r="W236" s="230">
        <v>0.30313548111530786</v>
      </c>
      <c r="X236" s="264" t="s">
        <v>900</v>
      </c>
      <c r="Y236" s="265" t="s">
        <v>900</v>
      </c>
      <c r="Z236" s="265" t="s">
        <v>900</v>
      </c>
      <c r="AA236" s="265" t="s">
        <v>900</v>
      </c>
      <c r="AB236" s="266" t="s">
        <v>900</v>
      </c>
      <c r="AC236" s="265">
        <v>40453.718461471879</v>
      </c>
      <c r="AD236" s="265">
        <v>8353.3613101418905</v>
      </c>
      <c r="AE236" s="265">
        <v>21924.907897384132</v>
      </c>
      <c r="AF236" s="266">
        <v>18914.274936317575</v>
      </c>
      <c r="AG236" s="265">
        <v>40453.718461471879</v>
      </c>
      <c r="AH236" s="265">
        <v>8353.3613101418905</v>
      </c>
      <c r="AI236" s="265">
        <v>21924.907897384132</v>
      </c>
      <c r="AJ236" s="266">
        <v>18914.274936317575</v>
      </c>
      <c r="AK236" s="265">
        <v>40463.22356449387</v>
      </c>
      <c r="AL236" s="265">
        <v>10327.946141577142</v>
      </c>
      <c r="AM236" s="265">
        <v>21930.059426495362</v>
      </c>
      <c r="AN236" s="265">
        <v>18918.719079864648</v>
      </c>
      <c r="AO236" s="266">
        <v>91639.948212431016</v>
      </c>
      <c r="AP236" s="203"/>
      <c r="AQ236" s="264">
        <v>39848.626291760316</v>
      </c>
      <c r="AR236" s="265">
        <v>10000.005654798631</v>
      </c>
      <c r="AS236" s="265">
        <v>21626.317572359203</v>
      </c>
      <c r="AT236" s="265">
        <v>18158.718342689954</v>
      </c>
      <c r="AU236" s="266">
        <v>89633.667861608104</v>
      </c>
      <c r="AV236" s="203"/>
      <c r="AW236" s="324">
        <v>86120.873173090135</v>
      </c>
      <c r="AX236" s="203"/>
      <c r="AY236" s="377">
        <v>0</v>
      </c>
      <c r="AZ236" s="265">
        <v>3512.7946885179699</v>
      </c>
      <c r="BA236" s="265">
        <v>86120.873173090135</v>
      </c>
      <c r="BB236" s="265">
        <v>842.94065331805223</v>
      </c>
      <c r="BC236" s="266">
        <v>85277.932519772075</v>
      </c>
      <c r="BD236" s="264">
        <v>852.77932519772082</v>
      </c>
      <c r="BE236" s="265">
        <v>84425.153194574348</v>
      </c>
      <c r="BF236" s="357">
        <v>0.98031000016560865</v>
      </c>
      <c r="BG236" s="203"/>
      <c r="BJ236" s="458">
        <v>0.98031000016560865</v>
      </c>
      <c r="BK236" s="210"/>
      <c r="BL236" s="458"/>
      <c r="BM236" s="458"/>
      <c r="BN236" s="458"/>
      <c r="BQ236" s="203">
        <v>84223.80399918594</v>
      </c>
      <c r="BR236" s="458">
        <v>0.97797201649254806</v>
      </c>
      <c r="BT236" s="459" t="s">
        <v>900</v>
      </c>
      <c r="BU236" s="460" t="s">
        <v>900</v>
      </c>
      <c r="BV236" s="461">
        <v>84425.153194574348</v>
      </c>
      <c r="BX236" s="462">
        <v>-0.94079432591388468</v>
      </c>
      <c r="BY236" s="463">
        <v>-1.0981783720689471E-5</v>
      </c>
      <c r="BZ236" s="461">
        <v>-1.0927972090147654E-2</v>
      </c>
      <c r="CB236" s="203" t="s">
        <v>900</v>
      </c>
      <c r="CC236" s="203">
        <v>1654.7996342482622</v>
      </c>
      <c r="CD236" s="203" t="e">
        <v>#VALUE!</v>
      </c>
      <c r="CE236" s="203" t="s">
        <v>900</v>
      </c>
      <c r="CF236" s="203" t="e">
        <v>#VALUE!</v>
      </c>
      <c r="CH236" s="199"/>
      <c r="CJ236" s="464" t="s">
        <v>1448</v>
      </c>
      <c r="CK236" s="464" t="s">
        <v>1447</v>
      </c>
      <c r="CL236" s="464" t="s">
        <v>1448</v>
      </c>
      <c r="CN236" s="464" t="s">
        <v>1447</v>
      </c>
      <c r="CO236" s="464" t="s">
        <v>1447</v>
      </c>
      <c r="CP236" s="464" t="s">
        <v>1447</v>
      </c>
      <c r="CQ236" s="464" t="s">
        <v>1447</v>
      </c>
      <c r="CS236" s="465">
        <v>0</v>
      </c>
      <c r="CT236" s="466">
        <v>0</v>
      </c>
      <c r="CU236" s="466">
        <v>0.95</v>
      </c>
      <c r="CV236" s="467">
        <v>0.95</v>
      </c>
    </row>
    <row r="237" spans="1:100" s="48" customFormat="1" outlineLevel="1" x14ac:dyDescent="0.3">
      <c r="A237" s="202">
        <v>78717000</v>
      </c>
      <c r="B237" s="48">
        <v>400055</v>
      </c>
      <c r="C237" s="48">
        <v>4341</v>
      </c>
      <c r="D237" s="48" t="s">
        <v>153</v>
      </c>
      <c r="E237" s="48" t="s">
        <v>7</v>
      </c>
      <c r="F237" s="48" t="s">
        <v>1533</v>
      </c>
      <c r="G237" s="48" t="s">
        <v>1502</v>
      </c>
      <c r="H237" s="48" t="s">
        <v>1527</v>
      </c>
      <c r="O237" s="454" t="s">
        <v>900</v>
      </c>
      <c r="P237" s="455" t="s">
        <v>900</v>
      </c>
      <c r="Q237" s="347" t="s">
        <v>900</v>
      </c>
      <c r="R237" s="455">
        <v>74</v>
      </c>
      <c r="S237" s="457">
        <v>72</v>
      </c>
      <c r="T237" s="455"/>
      <c r="U237" s="454">
        <v>74</v>
      </c>
      <c r="V237" s="455">
        <v>36.895918558606049</v>
      </c>
      <c r="W237" s="230">
        <v>0.49859349403521686</v>
      </c>
      <c r="X237" s="264" t="s">
        <v>900</v>
      </c>
      <c r="Y237" s="265" t="s">
        <v>900</v>
      </c>
      <c r="Z237" s="265" t="s">
        <v>900</v>
      </c>
      <c r="AA237" s="265" t="s">
        <v>900</v>
      </c>
      <c r="AB237" s="266" t="s">
        <v>900</v>
      </c>
      <c r="AC237" s="265">
        <v>17337.307912059379</v>
      </c>
      <c r="AD237" s="265">
        <v>3580.0119900608101</v>
      </c>
      <c r="AE237" s="265">
        <v>9396.3890988789135</v>
      </c>
      <c r="AF237" s="266">
        <v>8106.1178298503901</v>
      </c>
      <c r="AG237" s="265">
        <v>17337.307912059379</v>
      </c>
      <c r="AH237" s="265">
        <v>3580.0119900608101</v>
      </c>
      <c r="AI237" s="265">
        <v>9396.3890988789135</v>
      </c>
      <c r="AJ237" s="266">
        <v>8106.1178298503901</v>
      </c>
      <c r="AK237" s="265">
        <v>17346.81301508137</v>
      </c>
      <c r="AL237" s="265">
        <v>5554.5968214960612</v>
      </c>
      <c r="AM237" s="265">
        <v>9401.5406279901435</v>
      </c>
      <c r="AN237" s="265">
        <v>8110.5619733974618</v>
      </c>
      <c r="AO237" s="266">
        <v>40413.512437965037</v>
      </c>
      <c r="AP237" s="203"/>
      <c r="AQ237" s="264">
        <v>17083.331684863198</v>
      </c>
      <c r="AR237" s="265">
        <v>5378.2232075626307</v>
      </c>
      <c r="AS237" s="265">
        <v>9271.3247755592092</v>
      </c>
      <c r="AT237" s="265">
        <v>7784.7453548060093</v>
      </c>
      <c r="AU237" s="266">
        <v>39517.62502279105</v>
      </c>
      <c r="AV237" s="203"/>
      <c r="AW237" s="324">
        <v>30424.704043409321</v>
      </c>
      <c r="AX237" s="203"/>
      <c r="AY237" s="377">
        <v>0</v>
      </c>
      <c r="AZ237" s="265">
        <v>3727.9788832726408</v>
      </c>
      <c r="BA237" s="265">
        <v>35789.646139518409</v>
      </c>
      <c r="BB237" s="265">
        <v>350.30471228773143</v>
      </c>
      <c r="BC237" s="266">
        <v>35439.341427230676</v>
      </c>
      <c r="BD237" s="264">
        <v>354.39341427230676</v>
      </c>
      <c r="BE237" s="265">
        <v>35084.948012958368</v>
      </c>
      <c r="BF237" s="357">
        <v>1.1531730255420038</v>
      </c>
      <c r="BG237" s="203"/>
      <c r="BJ237" s="458">
        <v>1.1531730255420038</v>
      </c>
      <c r="BK237" s="210"/>
      <c r="BL237" s="458"/>
      <c r="BM237" s="458"/>
      <c r="BN237" s="458"/>
      <c r="BQ237" s="203">
        <v>35001.272404619558</v>
      </c>
      <c r="BR237" s="458">
        <v>1.1504227733712868</v>
      </c>
      <c r="BT237" s="459" t="s">
        <v>900</v>
      </c>
      <c r="BU237" s="460" t="s">
        <v>900</v>
      </c>
      <c r="BV237" s="461">
        <v>35084.948012958368</v>
      </c>
      <c r="BX237" s="462">
        <v>-1309.5956086785664</v>
      </c>
      <c r="BY237" s="463">
        <v>-3.5490911895814145E-2</v>
      </c>
      <c r="BZ237" s="461">
        <v>-35.494321861058545</v>
      </c>
      <c r="CB237" s="203">
        <v>2932</v>
      </c>
      <c r="CC237" s="203">
        <v>3592.664247104904</v>
      </c>
      <c r="CD237" s="203" t="e">
        <v>#VALUE!</v>
      </c>
      <c r="CE237" s="203" t="s">
        <v>900</v>
      </c>
      <c r="CF237" s="203" t="e">
        <v>#VALUE!</v>
      </c>
      <c r="CH237" s="199"/>
      <c r="CJ237" s="464" t="s">
        <v>1448</v>
      </c>
      <c r="CK237" s="464" t="s">
        <v>1447</v>
      </c>
      <c r="CL237" s="464" t="s">
        <v>1448</v>
      </c>
      <c r="CN237" s="464" t="s">
        <v>1447</v>
      </c>
      <c r="CO237" s="464" t="s">
        <v>1447</v>
      </c>
      <c r="CP237" s="464" t="s">
        <v>1447</v>
      </c>
      <c r="CQ237" s="464" t="s">
        <v>1447</v>
      </c>
      <c r="CS237" s="465">
        <v>0</v>
      </c>
      <c r="CT237" s="466">
        <v>0</v>
      </c>
      <c r="CU237" s="466">
        <v>0.95</v>
      </c>
      <c r="CV237" s="467">
        <v>0.95</v>
      </c>
    </row>
    <row r="238" spans="1:100" s="48" customFormat="1" outlineLevel="1" x14ac:dyDescent="0.3">
      <c r="A238" s="202">
        <v>78911000</v>
      </c>
      <c r="B238" s="48">
        <v>400311</v>
      </c>
      <c r="C238" s="48">
        <v>79059</v>
      </c>
      <c r="D238" s="48" t="s">
        <v>154</v>
      </c>
      <c r="E238" s="48" t="s">
        <v>7</v>
      </c>
      <c r="F238" s="48" t="s">
        <v>1498</v>
      </c>
      <c r="G238" s="48" t="s">
        <v>1499</v>
      </c>
      <c r="H238" s="48" t="s">
        <v>1512</v>
      </c>
      <c r="O238" s="454" t="s">
        <v>900</v>
      </c>
      <c r="P238" s="455" t="s">
        <v>900</v>
      </c>
      <c r="Q238" s="347" t="s">
        <v>900</v>
      </c>
      <c r="R238" s="455">
        <v>474</v>
      </c>
      <c r="S238" s="457">
        <v>292</v>
      </c>
      <c r="T238" s="455"/>
      <c r="U238" s="454">
        <v>474</v>
      </c>
      <c r="V238" s="455">
        <v>149.63344748768009</v>
      </c>
      <c r="W238" s="230">
        <v>0.31568237866599175</v>
      </c>
      <c r="X238" s="264" t="s">
        <v>900</v>
      </c>
      <c r="Y238" s="265" t="s">
        <v>900</v>
      </c>
      <c r="Z238" s="265" t="s">
        <v>900</v>
      </c>
      <c r="AA238" s="265" t="s">
        <v>900</v>
      </c>
      <c r="AB238" s="266" t="s">
        <v>900</v>
      </c>
      <c r="AC238" s="265">
        <v>70312.415421129699</v>
      </c>
      <c r="AD238" s="265">
        <v>14518.93751524662</v>
      </c>
      <c r="AE238" s="265">
        <v>38107.578012120044</v>
      </c>
      <c r="AF238" s="266">
        <v>32874.811198837691</v>
      </c>
      <c r="AG238" s="265">
        <v>70312.415421129699</v>
      </c>
      <c r="AH238" s="265">
        <v>14518.93751524662</v>
      </c>
      <c r="AI238" s="265">
        <v>38107.578012120044</v>
      </c>
      <c r="AJ238" s="266">
        <v>32874.811198837691</v>
      </c>
      <c r="AK238" s="265">
        <v>70321.92052415169</v>
      </c>
      <c r="AL238" s="265">
        <v>16493.522346681872</v>
      </c>
      <c r="AM238" s="265">
        <v>38112.729541231274</v>
      </c>
      <c r="AN238" s="265">
        <v>32879.255342384764</v>
      </c>
      <c r="AO238" s="266">
        <v>157807.4277544496</v>
      </c>
      <c r="AP238" s="203"/>
      <c r="AQ238" s="264">
        <v>69253.798492335744</v>
      </c>
      <c r="AR238" s="265">
        <v>15969.807982478465</v>
      </c>
      <c r="AS238" s="265">
        <v>37584.849934892532</v>
      </c>
      <c r="AT238" s="265">
        <v>31558.433452040052</v>
      </c>
      <c r="AU238" s="266">
        <v>154366.88986174678</v>
      </c>
      <c r="AV238" s="203"/>
      <c r="AW238" s="324">
        <v>122686.98562081599</v>
      </c>
      <c r="AX238" s="203"/>
      <c r="AY238" s="377">
        <v>0</v>
      </c>
      <c r="AZ238" s="265">
        <v>14562.52761518865</v>
      </c>
      <c r="BA238" s="265">
        <v>139804.36224655813</v>
      </c>
      <c r="BB238" s="265">
        <v>1368.3881282993132</v>
      </c>
      <c r="BC238" s="266">
        <v>138435.9741182588</v>
      </c>
      <c r="BD238" s="264">
        <v>1384.3597411825881</v>
      </c>
      <c r="BE238" s="265">
        <v>137051.61437707621</v>
      </c>
      <c r="BF238" s="357">
        <v>1.1170835576697307</v>
      </c>
      <c r="BG238" s="203"/>
      <c r="BJ238" s="458">
        <v>1.1170835576697307</v>
      </c>
      <c r="BK238" s="210"/>
      <c r="BL238" s="458"/>
      <c r="BM238" s="458"/>
      <c r="BN238" s="458"/>
      <c r="BQ238" s="203">
        <v>136724.75406072111</v>
      </c>
      <c r="BR238" s="458">
        <v>1.1144193768301645</v>
      </c>
      <c r="BT238" s="459" t="s">
        <v>900</v>
      </c>
      <c r="BU238" s="460" t="s">
        <v>900</v>
      </c>
      <c r="BV238" s="461">
        <v>137051.61437707621</v>
      </c>
      <c r="BX238" s="462">
        <v>-9415.2321695391729</v>
      </c>
      <c r="BY238" s="463">
        <v>-6.3333091477929301E-2</v>
      </c>
      <c r="BZ238" s="461">
        <v>-62.921975852453485</v>
      </c>
      <c r="CB238" s="203" t="s">
        <v>900</v>
      </c>
      <c r="CC238" s="203">
        <v>2856.2426121813883</v>
      </c>
      <c r="CD238" s="203" t="e">
        <v>#VALUE!</v>
      </c>
      <c r="CE238" s="203" t="s">
        <v>900</v>
      </c>
      <c r="CF238" s="203" t="e">
        <v>#VALUE!</v>
      </c>
      <c r="CH238" s="199"/>
      <c r="CJ238" s="464" t="s">
        <v>1448</v>
      </c>
      <c r="CK238" s="464" t="s">
        <v>1447</v>
      </c>
      <c r="CL238" s="464" t="s">
        <v>1448</v>
      </c>
      <c r="CN238" s="464" t="s">
        <v>1447</v>
      </c>
      <c r="CO238" s="464" t="s">
        <v>1447</v>
      </c>
      <c r="CP238" s="464" t="s">
        <v>1447</v>
      </c>
      <c r="CQ238" s="464" t="s">
        <v>1447</v>
      </c>
      <c r="CS238" s="465">
        <v>0</v>
      </c>
      <c r="CT238" s="466">
        <v>0</v>
      </c>
      <c r="CU238" s="466">
        <v>0.95</v>
      </c>
      <c r="CV238" s="467">
        <v>0.95</v>
      </c>
    </row>
    <row r="239" spans="1:100" s="48" customFormat="1" outlineLevel="1" x14ac:dyDescent="0.3">
      <c r="A239" s="202">
        <v>78664000</v>
      </c>
      <c r="B239" s="48">
        <v>400133</v>
      </c>
      <c r="C239" s="48">
        <v>6375</v>
      </c>
      <c r="D239" s="48" t="s">
        <v>157</v>
      </c>
      <c r="E239" s="48" t="s">
        <v>7</v>
      </c>
      <c r="F239" s="48" t="s">
        <v>1503</v>
      </c>
      <c r="G239" s="48" t="s">
        <v>1502</v>
      </c>
      <c r="H239" s="48" t="s">
        <v>1517</v>
      </c>
      <c r="O239" s="454" t="s">
        <v>900</v>
      </c>
      <c r="P239" s="455" t="s">
        <v>900</v>
      </c>
      <c r="Q239" s="347" t="s">
        <v>900</v>
      </c>
      <c r="R239" s="455">
        <v>239</v>
      </c>
      <c r="S239" s="457">
        <v>184</v>
      </c>
      <c r="T239" s="455"/>
      <c r="U239" s="454">
        <v>239</v>
      </c>
      <c r="V239" s="455">
        <v>94.289569649771011</v>
      </c>
      <c r="W239" s="230">
        <v>0.39451702782330966</v>
      </c>
      <c r="X239" s="264" t="s">
        <v>900</v>
      </c>
      <c r="Y239" s="265" t="s">
        <v>900</v>
      </c>
      <c r="Z239" s="265" t="s">
        <v>900</v>
      </c>
      <c r="AA239" s="265" t="s">
        <v>900</v>
      </c>
      <c r="AB239" s="266" t="s">
        <v>900</v>
      </c>
      <c r="AC239" s="265">
        <v>44306.453553040628</v>
      </c>
      <c r="AD239" s="265">
        <v>9148.9195301554046</v>
      </c>
      <c r="AE239" s="265">
        <v>24012.99436380167</v>
      </c>
      <c r="AF239" s="266">
        <v>20715.634454062107</v>
      </c>
      <c r="AG239" s="265">
        <v>44306.453553040628</v>
      </c>
      <c r="AH239" s="265">
        <v>9148.9195301554046</v>
      </c>
      <c r="AI239" s="265">
        <v>24012.99436380167</v>
      </c>
      <c r="AJ239" s="266">
        <v>20715.634454062107</v>
      </c>
      <c r="AK239" s="265">
        <v>44315.958656062619</v>
      </c>
      <c r="AL239" s="265">
        <v>11123.504361590656</v>
      </c>
      <c r="AM239" s="265">
        <v>24018.1458929129</v>
      </c>
      <c r="AN239" s="265">
        <v>20720.078597609179</v>
      </c>
      <c r="AO239" s="266">
        <v>100177.68750817535</v>
      </c>
      <c r="AP239" s="203"/>
      <c r="AQ239" s="264">
        <v>48440.502732956542</v>
      </c>
      <c r="AR239" s="265">
        <v>10770.302729337964</v>
      </c>
      <c r="AS239" s="265">
        <v>25683.86229342952</v>
      </c>
      <c r="AT239" s="265">
        <v>24746.224523546665</v>
      </c>
      <c r="AU239" s="266">
        <v>109640.89227927069</v>
      </c>
      <c r="AV239" s="203"/>
      <c r="AW239" s="324">
        <v>107714.4706317711</v>
      </c>
      <c r="AX239" s="203"/>
      <c r="AY239" s="377">
        <v>0</v>
      </c>
      <c r="AZ239" s="265">
        <v>1926.4216474995919</v>
      </c>
      <c r="BA239" s="265">
        <v>107714.4706317711</v>
      </c>
      <c r="BB239" s="265">
        <v>1054.2961642256578</v>
      </c>
      <c r="BC239" s="266">
        <v>106660.17446754544</v>
      </c>
      <c r="BD239" s="264">
        <v>1066.6017446754545</v>
      </c>
      <c r="BE239" s="265">
        <v>105593.57272286998</v>
      </c>
      <c r="BF239" s="357">
        <v>0.98031000016560876</v>
      </c>
      <c r="BG239" s="203"/>
      <c r="BJ239" s="458">
        <v>0.98031000016560876</v>
      </c>
      <c r="BK239" s="210"/>
      <c r="BL239" s="458"/>
      <c r="BM239" s="458"/>
      <c r="BN239" s="458"/>
      <c r="BQ239" s="203">
        <v>105341.73804918054</v>
      </c>
      <c r="BR239" s="458">
        <v>0.97797201649254817</v>
      </c>
      <c r="BT239" s="459" t="s">
        <v>900</v>
      </c>
      <c r="BU239" s="460" t="s">
        <v>900</v>
      </c>
      <c r="BV239" s="461">
        <v>105593.57272286998</v>
      </c>
      <c r="BX239" s="462">
        <v>9310.9139901156595</v>
      </c>
      <c r="BY239" s="463">
        <v>9.529616695781333E-2</v>
      </c>
      <c r="BZ239" s="461">
        <v>98.748080245780102</v>
      </c>
      <c r="CB239" s="203">
        <v>11596</v>
      </c>
      <c r="CC239" s="203">
        <v>13335.111818011166</v>
      </c>
      <c r="CD239" s="203" t="e">
        <v>#VALUE!</v>
      </c>
      <c r="CE239" s="203" t="s">
        <v>900</v>
      </c>
      <c r="CF239" s="203" t="e">
        <v>#VALUE!</v>
      </c>
      <c r="CH239" s="199"/>
      <c r="CJ239" s="464" t="s">
        <v>1448</v>
      </c>
      <c r="CK239" s="464" t="s">
        <v>1447</v>
      </c>
      <c r="CL239" s="464" t="s">
        <v>1448</v>
      </c>
      <c r="CN239" s="464" t="s">
        <v>1447</v>
      </c>
      <c r="CO239" s="464" t="s">
        <v>1447</v>
      </c>
      <c r="CP239" s="464" t="s">
        <v>1447</v>
      </c>
      <c r="CQ239" s="464" t="s">
        <v>1447</v>
      </c>
      <c r="CS239" s="465">
        <v>0</v>
      </c>
      <c r="CT239" s="466">
        <v>0</v>
      </c>
      <c r="CU239" s="466">
        <v>0.95</v>
      </c>
      <c r="CV239" s="467">
        <v>0.95</v>
      </c>
    </row>
    <row r="240" spans="1:100" s="48" customFormat="1" outlineLevel="1" x14ac:dyDescent="0.3">
      <c r="A240" s="202">
        <v>78401000</v>
      </c>
      <c r="B240" s="48">
        <v>400877</v>
      </c>
      <c r="C240" s="48">
        <v>91277</v>
      </c>
      <c r="D240" s="48" t="s">
        <v>158</v>
      </c>
      <c r="E240" s="48" t="s">
        <v>7</v>
      </c>
      <c r="F240" s="48" t="s">
        <v>1498</v>
      </c>
      <c r="G240" s="48" t="s">
        <v>1502</v>
      </c>
      <c r="H240" s="48" t="s">
        <v>1523</v>
      </c>
      <c r="O240" s="454" t="s">
        <v>900</v>
      </c>
      <c r="P240" s="455" t="s">
        <v>900</v>
      </c>
      <c r="Q240" s="347" t="s">
        <v>900</v>
      </c>
      <c r="R240" s="455">
        <v>503</v>
      </c>
      <c r="S240" s="457">
        <v>480</v>
      </c>
      <c r="T240" s="455"/>
      <c r="U240" s="454">
        <v>503</v>
      </c>
      <c r="V240" s="455">
        <v>245.97279039070696</v>
      </c>
      <c r="W240" s="230">
        <v>0.48901151171114704</v>
      </c>
      <c r="X240" s="264" t="s">
        <v>900</v>
      </c>
      <c r="Y240" s="265" t="s">
        <v>900</v>
      </c>
      <c r="Z240" s="265" t="s">
        <v>900</v>
      </c>
      <c r="AA240" s="265" t="s">
        <v>900</v>
      </c>
      <c r="AB240" s="266" t="s">
        <v>900</v>
      </c>
      <c r="AC240" s="265">
        <v>115582.05274706251</v>
      </c>
      <c r="AD240" s="265">
        <v>23866.7466004054</v>
      </c>
      <c r="AE240" s="265">
        <v>62642.59399252609</v>
      </c>
      <c r="AF240" s="266">
        <v>54040.785532335933</v>
      </c>
      <c r="AG240" s="265">
        <v>115582.05274706251</v>
      </c>
      <c r="AH240" s="265">
        <v>23866.7466004054</v>
      </c>
      <c r="AI240" s="265">
        <v>62642.59399252609</v>
      </c>
      <c r="AJ240" s="266">
        <v>54040.785532335933</v>
      </c>
      <c r="AK240" s="265">
        <v>115591.5578500845</v>
      </c>
      <c r="AL240" s="265">
        <v>25841.331431840652</v>
      </c>
      <c r="AM240" s="265">
        <v>62647.74552163732</v>
      </c>
      <c r="AN240" s="265">
        <v>54045.229675883005</v>
      </c>
      <c r="AO240" s="266">
        <v>258125.8644794455</v>
      </c>
      <c r="AP240" s="203"/>
      <c r="AQ240" s="264">
        <v>113835.83376417593</v>
      </c>
      <c r="AR240" s="265">
        <v>25020.798608315632</v>
      </c>
      <c r="AS240" s="265">
        <v>61780.04416195918</v>
      </c>
      <c r="AT240" s="265">
        <v>51874.130553312774</v>
      </c>
      <c r="AU240" s="266">
        <v>252510.8070877635</v>
      </c>
      <c r="AV240" s="203"/>
      <c r="AW240" s="324">
        <v>160118.27309342826</v>
      </c>
      <c r="AX240" s="203"/>
      <c r="AY240" s="377">
        <v>0</v>
      </c>
      <c r="AZ240" s="265">
        <v>23821.14198609881</v>
      </c>
      <c r="BA240" s="265">
        <v>228689.66510166469</v>
      </c>
      <c r="BB240" s="265">
        <v>2238.3866838001186</v>
      </c>
      <c r="BC240" s="266">
        <v>226451.27841786458</v>
      </c>
      <c r="BD240" s="264">
        <v>2264.5127841786457</v>
      </c>
      <c r="BE240" s="265">
        <v>224186.76563368592</v>
      </c>
      <c r="BF240" s="357">
        <v>1.4001322978475668</v>
      </c>
      <c r="BG240" s="203"/>
      <c r="BJ240" s="458">
        <v>1.4001322978475668</v>
      </c>
      <c r="BK240" s="210"/>
      <c r="BL240" s="458"/>
      <c r="BM240" s="458"/>
      <c r="BN240" s="458"/>
      <c r="BQ240" s="203">
        <v>223652.09293048055</v>
      </c>
      <c r="BR240" s="458">
        <v>1.3967930618386111</v>
      </c>
      <c r="BT240" s="459" t="s">
        <v>900</v>
      </c>
      <c r="BU240" s="460" t="s">
        <v>900</v>
      </c>
      <c r="BV240" s="461">
        <v>224186.76563368592</v>
      </c>
      <c r="BX240" s="462">
        <v>-16341.867048820102</v>
      </c>
      <c r="BY240" s="463">
        <v>-0.10340894856297585</v>
      </c>
      <c r="BZ240" s="461">
        <v>-66.437702409532491</v>
      </c>
      <c r="CB240" s="203" t="s">
        <v>900</v>
      </c>
      <c r="CC240" s="203">
        <v>4414.2613739302005</v>
      </c>
      <c r="CD240" s="203" t="e">
        <v>#VALUE!</v>
      </c>
      <c r="CE240" s="203" t="s">
        <v>900</v>
      </c>
      <c r="CF240" s="203" t="e">
        <v>#VALUE!</v>
      </c>
      <c r="CH240" s="199"/>
      <c r="CJ240" s="464" t="s">
        <v>1448</v>
      </c>
      <c r="CK240" s="464" t="s">
        <v>1447</v>
      </c>
      <c r="CL240" s="464" t="s">
        <v>1448</v>
      </c>
      <c r="CN240" s="464" t="s">
        <v>1447</v>
      </c>
      <c r="CO240" s="464" t="s">
        <v>1447</v>
      </c>
      <c r="CP240" s="464" t="s">
        <v>1447</v>
      </c>
      <c r="CQ240" s="464" t="s">
        <v>1447</v>
      </c>
      <c r="CS240" s="465">
        <v>0</v>
      </c>
      <c r="CT240" s="466">
        <v>0</v>
      </c>
      <c r="CU240" s="466">
        <v>0.95</v>
      </c>
      <c r="CV240" s="467">
        <v>0.95</v>
      </c>
    </row>
    <row r="241" spans="1:100" s="48" customFormat="1" outlineLevel="1" x14ac:dyDescent="0.3">
      <c r="A241" s="202">
        <v>78103000</v>
      </c>
      <c r="B241" s="48">
        <v>400895</v>
      </c>
      <c r="C241" s="48">
        <v>92250</v>
      </c>
      <c r="D241" s="48" t="s">
        <v>159</v>
      </c>
      <c r="E241" s="48" t="s">
        <v>7</v>
      </c>
      <c r="F241" s="48" t="s">
        <v>1498</v>
      </c>
      <c r="G241" s="48" t="s">
        <v>1499</v>
      </c>
      <c r="H241" s="48" t="s">
        <v>1517</v>
      </c>
      <c r="O241" s="454" t="s">
        <v>900</v>
      </c>
      <c r="P241" s="455" t="s">
        <v>900</v>
      </c>
      <c r="Q241" s="347" t="s">
        <v>900</v>
      </c>
      <c r="R241" s="455">
        <v>475</v>
      </c>
      <c r="S241" s="457">
        <v>432</v>
      </c>
      <c r="T241" s="455"/>
      <c r="U241" s="454">
        <v>475</v>
      </c>
      <c r="V241" s="455">
        <v>221.37551135163628</v>
      </c>
      <c r="W241" s="230">
        <v>0.46605370810870794</v>
      </c>
      <c r="X241" s="264" t="s">
        <v>900</v>
      </c>
      <c r="Y241" s="265" t="s">
        <v>900</v>
      </c>
      <c r="Z241" s="265" t="s">
        <v>900</v>
      </c>
      <c r="AA241" s="265" t="s">
        <v>900</v>
      </c>
      <c r="AB241" s="266" t="s">
        <v>900</v>
      </c>
      <c r="AC241" s="265">
        <v>104023.84747235625</v>
      </c>
      <c r="AD241" s="265">
        <v>21480.071940364862</v>
      </c>
      <c r="AE241" s="265">
        <v>56378.334593273481</v>
      </c>
      <c r="AF241" s="266">
        <v>48636.706979102339</v>
      </c>
      <c r="AG241" s="265">
        <v>104023.84747235625</v>
      </c>
      <c r="AH241" s="265">
        <v>21480.071940364862</v>
      </c>
      <c r="AI241" s="265">
        <v>56378.334593273481</v>
      </c>
      <c r="AJ241" s="266">
        <v>48636.706979102339</v>
      </c>
      <c r="AK241" s="265">
        <v>104033.35257537825</v>
      </c>
      <c r="AL241" s="265">
        <v>23454.656771800113</v>
      </c>
      <c r="AM241" s="265">
        <v>56383.486122384711</v>
      </c>
      <c r="AN241" s="265">
        <v>48641.151122649411</v>
      </c>
      <c r="AO241" s="266">
        <v>232512.64659221246</v>
      </c>
      <c r="AP241" s="203"/>
      <c r="AQ241" s="264">
        <v>107744.84947593712</v>
      </c>
      <c r="AR241" s="265">
        <v>22709.907384697632</v>
      </c>
      <c r="AS241" s="265">
        <v>57127.893408164862</v>
      </c>
      <c r="AT241" s="265">
        <v>55042.33205600638</v>
      </c>
      <c r="AU241" s="266">
        <v>242624.98232480601</v>
      </c>
      <c r="AV241" s="203"/>
      <c r="AW241" s="324">
        <v>238723.97678591413</v>
      </c>
      <c r="AX241" s="203"/>
      <c r="AY241" s="377">
        <v>0</v>
      </c>
      <c r="AZ241" s="265">
        <v>3901.0055388918845</v>
      </c>
      <c r="BA241" s="265">
        <v>238723.97678591413</v>
      </c>
      <c r="BB241" s="265">
        <v>2336.6013086067919</v>
      </c>
      <c r="BC241" s="266">
        <v>236387.37547730733</v>
      </c>
      <c r="BD241" s="264">
        <v>2363.8737547730734</v>
      </c>
      <c r="BE241" s="265">
        <v>234023.50172253425</v>
      </c>
      <c r="BF241" s="357">
        <v>0.98031000016560865</v>
      </c>
      <c r="BG241" s="203"/>
      <c r="BJ241" s="458">
        <v>0.98031000016560865</v>
      </c>
      <c r="BK241" s="210"/>
      <c r="BL241" s="458"/>
      <c r="BM241" s="458"/>
      <c r="BN241" s="458"/>
      <c r="BQ241" s="203">
        <v>233465.3689624407</v>
      </c>
      <c r="BR241" s="458">
        <v>0.97797201649254817</v>
      </c>
      <c r="BT241" s="459" t="s">
        <v>900</v>
      </c>
      <c r="BU241" s="460" t="s">
        <v>900</v>
      </c>
      <c r="BV241" s="461">
        <v>234023.50172253425</v>
      </c>
      <c r="BX241" s="462">
        <v>8489.2751612067805</v>
      </c>
      <c r="BY241" s="463">
        <v>3.7080545806919399E-2</v>
      </c>
      <c r="BZ241" s="461">
        <v>38.347851166438574</v>
      </c>
      <c r="CB241" s="203" t="s">
        <v>900</v>
      </c>
      <c r="CC241" s="203">
        <v>3995.5190885076386</v>
      </c>
      <c r="CD241" s="203" t="e">
        <v>#VALUE!</v>
      </c>
      <c r="CE241" s="203" t="s">
        <v>900</v>
      </c>
      <c r="CF241" s="203" t="e">
        <v>#VALUE!</v>
      </c>
      <c r="CH241" s="199"/>
      <c r="CJ241" s="464" t="s">
        <v>1448</v>
      </c>
      <c r="CK241" s="464" t="s">
        <v>1447</v>
      </c>
      <c r="CL241" s="464" t="s">
        <v>1448</v>
      </c>
      <c r="CN241" s="464" t="s">
        <v>1447</v>
      </c>
      <c r="CO241" s="464" t="s">
        <v>1447</v>
      </c>
      <c r="CP241" s="464" t="s">
        <v>1447</v>
      </c>
      <c r="CQ241" s="464" t="s">
        <v>1447</v>
      </c>
      <c r="CS241" s="465">
        <v>0</v>
      </c>
      <c r="CT241" s="466">
        <v>0</v>
      </c>
      <c r="CU241" s="466">
        <v>0.95</v>
      </c>
      <c r="CV241" s="467">
        <v>0.95</v>
      </c>
    </row>
    <row r="242" spans="1:100" s="48" customFormat="1" outlineLevel="1" x14ac:dyDescent="0.3">
      <c r="A242" s="202">
        <v>78711000</v>
      </c>
      <c r="B242" s="48">
        <v>400052</v>
      </c>
      <c r="C242" s="48">
        <v>4335</v>
      </c>
      <c r="D242" s="48" t="s">
        <v>159</v>
      </c>
      <c r="E242" s="48" t="s">
        <v>7</v>
      </c>
      <c r="F242" s="48" t="s">
        <v>1498</v>
      </c>
      <c r="G242" s="48" t="s">
        <v>1499</v>
      </c>
      <c r="H242" s="48" t="s">
        <v>1517</v>
      </c>
      <c r="O242" s="454" t="s">
        <v>900</v>
      </c>
      <c r="P242" s="455" t="s">
        <v>900</v>
      </c>
      <c r="Q242" s="347" t="s">
        <v>900</v>
      </c>
      <c r="R242" s="455">
        <v>279</v>
      </c>
      <c r="S242" s="457">
        <v>259</v>
      </c>
      <c r="T242" s="455"/>
      <c r="U242" s="454">
        <v>279</v>
      </c>
      <c r="V242" s="455">
        <v>132.72281814831896</v>
      </c>
      <c r="W242" s="230">
        <v>0.47570902562121492</v>
      </c>
      <c r="X242" s="264" t="s">
        <v>900</v>
      </c>
      <c r="Y242" s="265" t="s">
        <v>900</v>
      </c>
      <c r="Z242" s="265" t="s">
        <v>900</v>
      </c>
      <c r="AA242" s="265" t="s">
        <v>900</v>
      </c>
      <c r="AB242" s="266" t="s">
        <v>900</v>
      </c>
      <c r="AC242" s="265">
        <v>62366.149294769144</v>
      </c>
      <c r="AD242" s="265">
        <v>12878.098686468747</v>
      </c>
      <c r="AE242" s="265">
        <v>33800.899675133871</v>
      </c>
      <c r="AF242" s="266">
        <v>29159.507193489597</v>
      </c>
      <c r="AG242" s="265">
        <v>62366.149294769144</v>
      </c>
      <c r="AH242" s="265">
        <v>12878.098686468747</v>
      </c>
      <c r="AI242" s="265">
        <v>33800.899675133871</v>
      </c>
      <c r="AJ242" s="266">
        <v>29159.507193489597</v>
      </c>
      <c r="AK242" s="265">
        <v>62375.654397791135</v>
      </c>
      <c r="AL242" s="265">
        <v>14852.683517903999</v>
      </c>
      <c r="AM242" s="265">
        <v>33806.051204245101</v>
      </c>
      <c r="AN242" s="265">
        <v>29163.951337036669</v>
      </c>
      <c r="AO242" s="266">
        <v>140198.3404569769</v>
      </c>
      <c r="AP242" s="203"/>
      <c r="AQ242" s="264">
        <v>162684.98386100811</v>
      </c>
      <c r="AR242" s="265">
        <v>31119.769330291365</v>
      </c>
      <c r="AS242" s="265">
        <v>81616.050076253377</v>
      </c>
      <c r="AT242" s="265">
        <v>76590.506099232531</v>
      </c>
      <c r="AU242" s="266">
        <v>352011.3093667854</v>
      </c>
      <c r="AV242" s="203"/>
      <c r="AW242" s="324">
        <v>366887.40378884925</v>
      </c>
      <c r="AX242" s="203"/>
      <c r="AY242" s="377">
        <v>0</v>
      </c>
      <c r="AZ242" s="265">
        <v>0</v>
      </c>
      <c r="BA242" s="265">
        <v>352011.3093667854</v>
      </c>
      <c r="BB242" s="265">
        <v>3445.4439691595871</v>
      </c>
      <c r="BC242" s="266">
        <v>348565.86539762584</v>
      </c>
      <c r="BD242" s="264">
        <v>3485.6586539762584</v>
      </c>
      <c r="BE242" s="265">
        <v>345080.20674364956</v>
      </c>
      <c r="BF242" s="357">
        <v>0.94056160876607764</v>
      </c>
      <c r="BG242" s="203"/>
      <c r="BJ242" s="458">
        <v>0.94056160876607764</v>
      </c>
      <c r="BK242" s="210"/>
      <c r="BL242" s="458"/>
      <c r="BM242" s="458"/>
      <c r="BN242" s="458"/>
      <c r="BQ242" s="203">
        <v>344257.21004961734</v>
      </c>
      <c r="BR242" s="458">
        <v>0.93831842274896959</v>
      </c>
      <c r="BT242" s="459" t="s">
        <v>900</v>
      </c>
      <c r="BU242" s="460" t="s">
        <v>900</v>
      </c>
      <c r="BV242" s="461">
        <v>345080.20674364956</v>
      </c>
      <c r="BX242" s="462">
        <v>209709.37225628641</v>
      </c>
      <c r="BY242" s="463">
        <v>1.5263416554479643</v>
      </c>
      <c r="BZ242" s="461">
        <v>1580.0551493861008</v>
      </c>
      <c r="CB242" s="203">
        <v>41087</v>
      </c>
      <c r="CC242" s="203">
        <v>43476.582089885749</v>
      </c>
      <c r="CD242" s="203" t="e">
        <v>#VALUE!</v>
      </c>
      <c r="CE242" s="203" t="s">
        <v>900</v>
      </c>
      <c r="CF242" s="203" t="e">
        <v>#VALUE!</v>
      </c>
      <c r="CH242" s="199"/>
      <c r="CJ242" s="464" t="s">
        <v>1448</v>
      </c>
      <c r="CK242" s="464" t="s">
        <v>1447</v>
      </c>
      <c r="CL242" s="464" t="s">
        <v>1448</v>
      </c>
      <c r="CN242" s="464" t="s">
        <v>1447</v>
      </c>
      <c r="CO242" s="464" t="s">
        <v>1447</v>
      </c>
      <c r="CP242" s="464" t="s">
        <v>1447</v>
      </c>
      <c r="CQ242" s="464" t="s">
        <v>1447</v>
      </c>
      <c r="CS242" s="465">
        <v>0</v>
      </c>
      <c r="CT242" s="466">
        <v>0</v>
      </c>
      <c r="CU242" s="466">
        <v>0.95</v>
      </c>
      <c r="CV242" s="467">
        <v>0.95</v>
      </c>
    </row>
    <row r="243" spans="1:100" s="48" customFormat="1" outlineLevel="1" x14ac:dyDescent="0.3">
      <c r="A243" s="202">
        <v>78901000</v>
      </c>
      <c r="B243" s="48">
        <v>400235</v>
      </c>
      <c r="C243" s="48">
        <v>79214</v>
      </c>
      <c r="D243" s="48" t="s">
        <v>160</v>
      </c>
      <c r="E243" s="48" t="s">
        <v>7</v>
      </c>
      <c r="F243" s="48" t="s">
        <v>1503</v>
      </c>
      <c r="G243" s="48" t="s">
        <v>1502</v>
      </c>
      <c r="H243" s="48" t="s">
        <v>1515</v>
      </c>
      <c r="O243" s="454" t="s">
        <v>900</v>
      </c>
      <c r="P243" s="455" t="s">
        <v>900</v>
      </c>
      <c r="Q243" s="347" t="s">
        <v>900</v>
      </c>
      <c r="R243" s="455">
        <v>309</v>
      </c>
      <c r="S243" s="457">
        <v>237</v>
      </c>
      <c r="T243" s="455"/>
      <c r="U243" s="454">
        <v>309</v>
      </c>
      <c r="V243" s="455">
        <v>121.44906525541157</v>
      </c>
      <c r="W243" s="230">
        <v>0.39303904613401802</v>
      </c>
      <c r="X243" s="264" t="s">
        <v>900</v>
      </c>
      <c r="Y243" s="265" t="s">
        <v>900</v>
      </c>
      <c r="Z243" s="265" t="s">
        <v>900</v>
      </c>
      <c r="AA243" s="265" t="s">
        <v>900</v>
      </c>
      <c r="AB243" s="266" t="s">
        <v>900</v>
      </c>
      <c r="AC243" s="265">
        <v>57068.638543862115</v>
      </c>
      <c r="AD243" s="265">
        <v>11784.206133950167</v>
      </c>
      <c r="AE243" s="265">
        <v>30929.780783809758</v>
      </c>
      <c r="AF243" s="266">
        <v>26682.637856590867</v>
      </c>
      <c r="AG243" s="265">
        <v>57068.638543862115</v>
      </c>
      <c r="AH243" s="265">
        <v>11784.206133950167</v>
      </c>
      <c r="AI243" s="265">
        <v>30929.780783809758</v>
      </c>
      <c r="AJ243" s="266">
        <v>26682.637856590867</v>
      </c>
      <c r="AK243" s="265">
        <v>57078.143646884106</v>
      </c>
      <c r="AL243" s="265">
        <v>13758.790965385419</v>
      </c>
      <c r="AM243" s="265">
        <v>30934.932312920988</v>
      </c>
      <c r="AN243" s="265">
        <v>26687.08200013794</v>
      </c>
      <c r="AO243" s="266">
        <v>128458.94892532847</v>
      </c>
      <c r="AP243" s="203"/>
      <c r="AQ243" s="264">
        <v>56211.181790467621</v>
      </c>
      <c r="AR243" s="265">
        <v>13321.911788749505</v>
      </c>
      <c r="AS243" s="265">
        <v>30506.468645059194</v>
      </c>
      <c r="AT243" s="265">
        <v>28084.979231205485</v>
      </c>
      <c r="AU243" s="266">
        <v>128124.54145548181</v>
      </c>
      <c r="AV243" s="203"/>
      <c r="AW243" s="324">
        <v>128914.79471713366</v>
      </c>
      <c r="AX243" s="203"/>
      <c r="AY243" s="377">
        <v>0</v>
      </c>
      <c r="AZ243" s="265">
        <v>0</v>
      </c>
      <c r="BA243" s="265">
        <v>128124.54145548181</v>
      </c>
      <c r="BB243" s="265">
        <v>1254.0674600859306</v>
      </c>
      <c r="BC243" s="266">
        <v>126870.47399539588</v>
      </c>
      <c r="BD243" s="264">
        <v>1268.7047399539588</v>
      </c>
      <c r="BE243" s="265">
        <v>125601.76925544192</v>
      </c>
      <c r="BF243" s="357">
        <v>0.97430065750823081</v>
      </c>
      <c r="BG243" s="203"/>
      <c r="BJ243" s="458">
        <v>0.97430065750823081</v>
      </c>
      <c r="BK243" s="210"/>
      <c r="BL243" s="458"/>
      <c r="BM243" s="458"/>
      <c r="BN243" s="458"/>
      <c r="BQ243" s="203">
        <v>125302.21616940064</v>
      </c>
      <c r="BR243" s="458">
        <v>0.97197700577610369</v>
      </c>
      <c r="BT243" s="459" t="s">
        <v>900</v>
      </c>
      <c r="BU243" s="460" t="s">
        <v>900</v>
      </c>
      <c r="BV243" s="461">
        <v>125601.76925544192</v>
      </c>
      <c r="BX243" s="462">
        <v>1696.7996560973697</v>
      </c>
      <c r="BY243" s="463">
        <v>1.3493273206625262E-2</v>
      </c>
      <c r="BZ243" s="461">
        <v>13.971286255097489</v>
      </c>
      <c r="CB243" s="203">
        <v>6472</v>
      </c>
      <c r="CC243" s="203">
        <v>8713.229169877297</v>
      </c>
      <c r="CD243" s="203" t="e">
        <v>#VALUE!</v>
      </c>
      <c r="CE243" s="203" t="s">
        <v>900</v>
      </c>
      <c r="CF243" s="203" t="e">
        <v>#VALUE!</v>
      </c>
      <c r="CH243" s="199"/>
      <c r="CJ243" s="464" t="s">
        <v>1448</v>
      </c>
      <c r="CK243" s="464" t="s">
        <v>1447</v>
      </c>
      <c r="CL243" s="464" t="s">
        <v>1448</v>
      </c>
      <c r="CN243" s="464" t="s">
        <v>1447</v>
      </c>
      <c r="CO243" s="464" t="s">
        <v>1447</v>
      </c>
      <c r="CP243" s="464" t="s">
        <v>1447</v>
      </c>
      <c r="CQ243" s="464" t="s">
        <v>1447</v>
      </c>
      <c r="CS243" s="465">
        <v>0</v>
      </c>
      <c r="CT243" s="466">
        <v>0</v>
      </c>
      <c r="CU243" s="466">
        <v>0.95</v>
      </c>
      <c r="CV243" s="467">
        <v>0.95</v>
      </c>
    </row>
    <row r="244" spans="1:100" s="48" customFormat="1" outlineLevel="1" x14ac:dyDescent="0.3">
      <c r="A244" s="202">
        <v>78785000</v>
      </c>
      <c r="B244" s="48">
        <v>400191</v>
      </c>
      <c r="C244" s="48">
        <v>78783</v>
      </c>
      <c r="D244" s="48" t="s">
        <v>161</v>
      </c>
      <c r="E244" s="48" t="s">
        <v>7</v>
      </c>
      <c r="F244" s="48" t="s">
        <v>1498</v>
      </c>
      <c r="G244" s="48" t="s">
        <v>1499</v>
      </c>
      <c r="H244" s="48" t="s">
        <v>1517</v>
      </c>
      <c r="O244" s="454" t="s">
        <v>900</v>
      </c>
      <c r="P244" s="455" t="s">
        <v>900</v>
      </c>
      <c r="Q244" s="347" t="s">
        <v>900</v>
      </c>
      <c r="R244" s="455">
        <v>1099</v>
      </c>
      <c r="S244" s="457">
        <v>961</v>
      </c>
      <c r="T244" s="455"/>
      <c r="U244" s="454">
        <v>1099</v>
      </c>
      <c r="V244" s="455">
        <v>492.45802409472793</v>
      </c>
      <c r="W244" s="230">
        <v>0.44809647324361052</v>
      </c>
      <c r="X244" s="264" t="s">
        <v>900</v>
      </c>
      <c r="Y244" s="265" t="s">
        <v>900</v>
      </c>
      <c r="Z244" s="265" t="s">
        <v>900</v>
      </c>
      <c r="AA244" s="265" t="s">
        <v>900</v>
      </c>
      <c r="AB244" s="266" t="s">
        <v>900</v>
      </c>
      <c r="AC244" s="265">
        <v>231404.90143734807</v>
      </c>
      <c r="AD244" s="265">
        <v>47783.215589561645</v>
      </c>
      <c r="AE244" s="265">
        <v>125415.69338920328</v>
      </c>
      <c r="AF244" s="266">
        <v>108194.1560345309</v>
      </c>
      <c r="AG244" s="265">
        <v>231404.90143734807</v>
      </c>
      <c r="AH244" s="265">
        <v>47783.215589561645</v>
      </c>
      <c r="AI244" s="265">
        <v>125415.69338920328</v>
      </c>
      <c r="AJ244" s="266">
        <v>108194.1560345309</v>
      </c>
      <c r="AK244" s="265">
        <v>231414.40654037005</v>
      </c>
      <c r="AL244" s="265">
        <v>49757.800420996893</v>
      </c>
      <c r="AM244" s="265">
        <v>125420.84491831451</v>
      </c>
      <c r="AN244" s="265">
        <v>108198.60017807796</v>
      </c>
      <c r="AO244" s="266">
        <v>514791.65205775935</v>
      </c>
      <c r="AP244" s="203"/>
      <c r="AQ244" s="264">
        <v>227899.44528414999</v>
      </c>
      <c r="AR244" s="265">
        <v>48177.854411654327</v>
      </c>
      <c r="AS244" s="265">
        <v>123683.70598759249</v>
      </c>
      <c r="AT244" s="265">
        <v>103852.0577113563</v>
      </c>
      <c r="AU244" s="266">
        <v>503613.06339475315</v>
      </c>
      <c r="AV244" s="203"/>
      <c r="AW244" s="324">
        <v>259043.8185567607</v>
      </c>
      <c r="AX244" s="203"/>
      <c r="AY244" s="377">
        <v>0</v>
      </c>
      <c r="AZ244" s="265">
        <v>47509.405349969864</v>
      </c>
      <c r="BA244" s="265">
        <v>456103.65804478328</v>
      </c>
      <c r="BB244" s="265">
        <v>4464.2872433527127</v>
      </c>
      <c r="BC244" s="266">
        <v>451639.37080143054</v>
      </c>
      <c r="BD244" s="264">
        <v>4516.393708014306</v>
      </c>
      <c r="BE244" s="265">
        <v>447122.97709341627</v>
      </c>
      <c r="BF244" s="357">
        <v>1.7260515212620076</v>
      </c>
      <c r="BG244" s="203"/>
      <c r="BJ244" s="458">
        <v>1.7260515212620076</v>
      </c>
      <c r="BK244" s="210"/>
      <c r="BL244" s="458"/>
      <c r="BM244" s="458"/>
      <c r="BN244" s="458"/>
      <c r="BQ244" s="203">
        <v>446056.61418768438</v>
      </c>
      <c r="BR244" s="458">
        <v>1.7219349864159994</v>
      </c>
      <c r="BT244" s="459" t="s">
        <v>900</v>
      </c>
      <c r="BU244" s="460" t="s">
        <v>900</v>
      </c>
      <c r="BV244" s="461">
        <v>447122.97709341627</v>
      </c>
      <c r="BX244" s="462">
        <v>-34063.73607506539</v>
      </c>
      <c r="BY244" s="463">
        <v>-0.11917672898889242</v>
      </c>
      <c r="BZ244" s="461">
        <v>-69.170841794453082</v>
      </c>
      <c r="CB244" s="203">
        <v>849</v>
      </c>
      <c r="CC244" s="203">
        <v>9780.2539888038591</v>
      </c>
      <c r="CD244" s="203" t="e">
        <v>#VALUE!</v>
      </c>
      <c r="CE244" s="203" t="s">
        <v>900</v>
      </c>
      <c r="CF244" s="203" t="e">
        <v>#VALUE!</v>
      </c>
      <c r="CH244" s="199"/>
      <c r="CJ244" s="464" t="s">
        <v>1448</v>
      </c>
      <c r="CK244" s="464" t="s">
        <v>1447</v>
      </c>
      <c r="CL244" s="464" t="s">
        <v>1448</v>
      </c>
      <c r="CN244" s="464" t="s">
        <v>1447</v>
      </c>
      <c r="CO244" s="464" t="s">
        <v>1447</v>
      </c>
      <c r="CP244" s="464" t="s">
        <v>1447</v>
      </c>
      <c r="CQ244" s="464" t="s">
        <v>1447</v>
      </c>
      <c r="CS244" s="465">
        <v>0</v>
      </c>
      <c r="CT244" s="466">
        <v>0</v>
      </c>
      <c r="CU244" s="466">
        <v>0.95</v>
      </c>
      <c r="CV244" s="467">
        <v>0.95</v>
      </c>
    </row>
    <row r="245" spans="1:100" s="48" customFormat="1" outlineLevel="1" x14ac:dyDescent="0.3">
      <c r="A245" s="202">
        <v>78608000</v>
      </c>
      <c r="B245" s="48">
        <v>400144</v>
      </c>
      <c r="C245" s="48">
        <v>4300</v>
      </c>
      <c r="D245" s="48" t="s">
        <v>165</v>
      </c>
      <c r="E245" s="48" t="s">
        <v>7</v>
      </c>
      <c r="F245" s="48" t="s">
        <v>1498</v>
      </c>
      <c r="G245" s="48" t="s">
        <v>1502</v>
      </c>
      <c r="H245" s="48" t="s">
        <v>1516</v>
      </c>
      <c r="O245" s="454" t="s">
        <v>900</v>
      </c>
      <c r="P245" s="455" t="s">
        <v>900</v>
      </c>
      <c r="Q245" s="347" t="s">
        <v>900</v>
      </c>
      <c r="R245" s="455">
        <v>126</v>
      </c>
      <c r="S245" s="457">
        <v>103</v>
      </c>
      <c r="T245" s="455"/>
      <c r="U245" s="454">
        <v>126</v>
      </c>
      <c r="V245" s="455">
        <v>52.781661271339203</v>
      </c>
      <c r="W245" s="230">
        <v>0.41890207358205717</v>
      </c>
      <c r="X245" s="264" t="s">
        <v>900</v>
      </c>
      <c r="Y245" s="265" t="s">
        <v>900</v>
      </c>
      <c r="Z245" s="265" t="s">
        <v>900</v>
      </c>
      <c r="AA245" s="265" t="s">
        <v>900</v>
      </c>
      <c r="AB245" s="266" t="s">
        <v>900</v>
      </c>
      <c r="AC245" s="265">
        <v>24801.982151973829</v>
      </c>
      <c r="AD245" s="265">
        <v>5121.4060413369925</v>
      </c>
      <c r="AE245" s="265">
        <v>13442.05662756289</v>
      </c>
      <c r="AF245" s="266">
        <v>11596.251895480418</v>
      </c>
      <c r="AG245" s="265">
        <v>24801.982151973829</v>
      </c>
      <c r="AH245" s="265">
        <v>5121.4060413369925</v>
      </c>
      <c r="AI245" s="265">
        <v>13442.05662756289</v>
      </c>
      <c r="AJ245" s="266">
        <v>11596.251895480418</v>
      </c>
      <c r="AK245" s="265">
        <v>24811.48725499582</v>
      </c>
      <c r="AL245" s="265">
        <v>7095.9908727722441</v>
      </c>
      <c r="AM245" s="265">
        <v>13447.20815667412</v>
      </c>
      <c r="AN245" s="265">
        <v>11600.696039027491</v>
      </c>
      <c r="AO245" s="266">
        <v>56955.382323469676</v>
      </c>
      <c r="AP245" s="203"/>
      <c r="AQ245" s="264">
        <v>24434.624735007055</v>
      </c>
      <c r="AR245" s="265">
        <v>6870.6737894825901</v>
      </c>
      <c r="AS245" s="265">
        <v>13260.957866192541</v>
      </c>
      <c r="AT245" s="265">
        <v>12009.493601737066</v>
      </c>
      <c r="AU245" s="266">
        <v>56575.749992419253</v>
      </c>
      <c r="AV245" s="203"/>
      <c r="AW245" s="324">
        <v>52637.00477921305</v>
      </c>
      <c r="AX245" s="203"/>
      <c r="AY245" s="377">
        <v>0</v>
      </c>
      <c r="AZ245" s="265">
        <v>3938.7452132062026</v>
      </c>
      <c r="BA245" s="265">
        <v>52637.00477921305</v>
      </c>
      <c r="BB245" s="265">
        <v>515.20461373073226</v>
      </c>
      <c r="BC245" s="266">
        <v>52121.800165482317</v>
      </c>
      <c r="BD245" s="264">
        <v>521.21800165482318</v>
      </c>
      <c r="BE245" s="265">
        <v>51600.582163827494</v>
      </c>
      <c r="BF245" s="357">
        <v>0.98031000016560876</v>
      </c>
      <c r="BG245" s="203"/>
      <c r="BJ245" s="458">
        <v>0.98031000016560876</v>
      </c>
      <c r="BK245" s="210"/>
      <c r="BL245" s="458"/>
      <c r="BM245" s="458"/>
      <c r="BN245" s="458"/>
      <c r="BQ245" s="203">
        <v>51477.517706054881</v>
      </c>
      <c r="BR245" s="458">
        <v>0.97797201649254817</v>
      </c>
      <c r="BT245" s="459" t="s">
        <v>900</v>
      </c>
      <c r="BU245" s="460" t="s">
        <v>900</v>
      </c>
      <c r="BV245" s="461">
        <v>51600.582163827494</v>
      </c>
      <c r="BX245" s="462">
        <v>-869.12055796659115</v>
      </c>
      <c r="BY245" s="463">
        <v>-1.6508190542615968E-2</v>
      </c>
      <c r="BZ245" s="461">
        <v>-16.466335788459343</v>
      </c>
      <c r="CB245" s="203">
        <v>3338</v>
      </c>
      <c r="CC245" s="203">
        <v>4303.6024505059904</v>
      </c>
      <c r="CD245" s="203" t="e">
        <v>#VALUE!</v>
      </c>
      <c r="CE245" s="203" t="s">
        <v>900</v>
      </c>
      <c r="CF245" s="203" t="e">
        <v>#VALUE!</v>
      </c>
      <c r="CH245" s="199"/>
      <c r="CJ245" s="464" t="s">
        <v>1448</v>
      </c>
      <c r="CK245" s="464" t="s">
        <v>1447</v>
      </c>
      <c r="CL245" s="464" t="s">
        <v>1448</v>
      </c>
      <c r="CN245" s="464" t="s">
        <v>1447</v>
      </c>
      <c r="CO245" s="464" t="s">
        <v>1447</v>
      </c>
      <c r="CP245" s="464" t="s">
        <v>1447</v>
      </c>
      <c r="CQ245" s="464" t="s">
        <v>1447</v>
      </c>
      <c r="CS245" s="465">
        <v>0</v>
      </c>
      <c r="CT245" s="466">
        <v>0</v>
      </c>
      <c r="CU245" s="466">
        <v>0.95</v>
      </c>
      <c r="CV245" s="467">
        <v>0.95</v>
      </c>
    </row>
    <row r="246" spans="1:100" s="48" customFormat="1" outlineLevel="1" x14ac:dyDescent="0.3">
      <c r="A246" s="202">
        <v>78611000</v>
      </c>
      <c r="B246" s="48">
        <v>400102</v>
      </c>
      <c r="C246" s="48">
        <v>4303</v>
      </c>
      <c r="D246" s="48" t="s">
        <v>175</v>
      </c>
      <c r="E246" s="48" t="s">
        <v>7</v>
      </c>
      <c r="F246" s="48" t="s">
        <v>1498</v>
      </c>
      <c r="G246" s="48" t="s">
        <v>1499</v>
      </c>
      <c r="H246" s="48" t="s">
        <v>1517</v>
      </c>
      <c r="O246" s="454" t="s">
        <v>900</v>
      </c>
      <c r="P246" s="455" t="s">
        <v>900</v>
      </c>
      <c r="Q246" s="347" t="s">
        <v>900</v>
      </c>
      <c r="R246" s="455">
        <v>397</v>
      </c>
      <c r="S246" s="457">
        <v>374</v>
      </c>
      <c r="T246" s="455"/>
      <c r="U246" s="454">
        <v>397</v>
      </c>
      <c r="V246" s="455">
        <v>191.65379917942585</v>
      </c>
      <c r="W246" s="230">
        <v>0.48275516166102228</v>
      </c>
      <c r="X246" s="264" t="s">
        <v>900</v>
      </c>
      <c r="Y246" s="265" t="s">
        <v>900</v>
      </c>
      <c r="Z246" s="265" t="s">
        <v>900</v>
      </c>
      <c r="AA246" s="265" t="s">
        <v>900</v>
      </c>
      <c r="AB246" s="266" t="s">
        <v>900</v>
      </c>
      <c r="AC246" s="265">
        <v>90057.682765419537</v>
      </c>
      <c r="AD246" s="265">
        <v>18596.173392815876</v>
      </c>
      <c r="AE246" s="265">
        <v>48809.021152509908</v>
      </c>
      <c r="AF246" s="266">
        <v>42106.778727278412</v>
      </c>
      <c r="AG246" s="265">
        <v>90057.682765419537</v>
      </c>
      <c r="AH246" s="265">
        <v>18596.173392815876</v>
      </c>
      <c r="AI246" s="265">
        <v>48809.021152509908</v>
      </c>
      <c r="AJ246" s="266">
        <v>42106.778727278412</v>
      </c>
      <c r="AK246" s="265">
        <v>90067.187868441528</v>
      </c>
      <c r="AL246" s="265">
        <v>20570.758224251127</v>
      </c>
      <c r="AM246" s="265">
        <v>48814.172681621138</v>
      </c>
      <c r="AN246" s="265">
        <v>42111.222870825484</v>
      </c>
      <c r="AO246" s="266">
        <v>201563.34164513927</v>
      </c>
      <c r="AP246" s="203"/>
      <c r="AQ246" s="264">
        <v>88699.154302393697</v>
      </c>
      <c r="AR246" s="265">
        <v>19917.58048949255</v>
      </c>
      <c r="AS246" s="265">
        <v>48138.072948825851</v>
      </c>
      <c r="AT246" s="265">
        <v>44655.095187734478</v>
      </c>
      <c r="AU246" s="266">
        <v>201409.90292844659</v>
      </c>
      <c r="AV246" s="203"/>
      <c r="AW246" s="324">
        <v>193806.43181877927</v>
      </c>
      <c r="AX246" s="203"/>
      <c r="AY246" s="377">
        <v>0</v>
      </c>
      <c r="AZ246" s="265">
        <v>7603.4711096673273</v>
      </c>
      <c r="BA246" s="265">
        <v>193806.43181877927</v>
      </c>
      <c r="BB246" s="265">
        <v>1896.9538305332594</v>
      </c>
      <c r="BC246" s="266">
        <v>191909.47798824601</v>
      </c>
      <c r="BD246" s="264">
        <v>1919.0947798824602</v>
      </c>
      <c r="BE246" s="265">
        <v>189990.38320836355</v>
      </c>
      <c r="BF246" s="357">
        <v>0.98031000016560876</v>
      </c>
      <c r="BG246" s="203"/>
      <c r="BJ246" s="458">
        <v>0.98031000016560876</v>
      </c>
      <c r="BK246" s="210"/>
      <c r="BL246" s="458"/>
      <c r="BM246" s="458"/>
      <c r="BN246" s="458"/>
      <c r="BQ246" s="203">
        <v>189537.26693503713</v>
      </c>
      <c r="BR246" s="458">
        <v>0.97797201649254828</v>
      </c>
      <c r="BT246" s="459" t="s">
        <v>900</v>
      </c>
      <c r="BU246" s="460" t="s">
        <v>900</v>
      </c>
      <c r="BV246" s="461">
        <v>189990.38320836355</v>
      </c>
      <c r="BX246" s="462">
        <v>-5315.6541027331259</v>
      </c>
      <c r="BY246" s="463">
        <v>-2.7042611598715943E-2</v>
      </c>
      <c r="BZ246" s="461">
        <v>-27.735709521503527</v>
      </c>
      <c r="CB246" s="203">
        <v>14243</v>
      </c>
      <c r="CC246" s="203">
        <v>17687.611915354693</v>
      </c>
      <c r="CD246" s="203" t="e">
        <v>#VALUE!</v>
      </c>
      <c r="CE246" s="203" t="s">
        <v>900</v>
      </c>
      <c r="CF246" s="203" t="e">
        <v>#VALUE!</v>
      </c>
      <c r="CH246" s="199"/>
      <c r="CJ246" s="464" t="s">
        <v>1448</v>
      </c>
      <c r="CK246" s="464" t="s">
        <v>1447</v>
      </c>
      <c r="CL246" s="464" t="s">
        <v>1448</v>
      </c>
      <c r="CN246" s="464" t="s">
        <v>1447</v>
      </c>
      <c r="CO246" s="464" t="s">
        <v>1447</v>
      </c>
      <c r="CP246" s="464" t="s">
        <v>1447</v>
      </c>
      <c r="CQ246" s="464" t="s">
        <v>1447</v>
      </c>
      <c r="CS246" s="465">
        <v>0</v>
      </c>
      <c r="CT246" s="466">
        <v>0</v>
      </c>
      <c r="CU246" s="466">
        <v>0.95</v>
      </c>
      <c r="CV246" s="467">
        <v>0.95</v>
      </c>
    </row>
    <row r="247" spans="1:100" s="48" customFormat="1" outlineLevel="1" x14ac:dyDescent="0.3">
      <c r="A247" s="202">
        <v>78774000</v>
      </c>
      <c r="B247" s="48">
        <v>400145</v>
      </c>
      <c r="C247" s="48">
        <v>6372</v>
      </c>
      <c r="D247" s="48" t="s">
        <v>178</v>
      </c>
      <c r="E247" s="48" t="s">
        <v>7</v>
      </c>
      <c r="F247" s="48" t="s">
        <v>1498</v>
      </c>
      <c r="G247" s="48" t="s">
        <v>1502</v>
      </c>
      <c r="H247" s="48" t="s">
        <v>1517</v>
      </c>
      <c r="O247" s="454" t="s">
        <v>900</v>
      </c>
      <c r="P247" s="455" t="s">
        <v>900</v>
      </c>
      <c r="Q247" s="347" t="s">
        <v>900</v>
      </c>
      <c r="R247" s="455">
        <v>37</v>
      </c>
      <c r="S247" s="457">
        <v>24</v>
      </c>
      <c r="T247" s="455"/>
      <c r="U247" s="454">
        <v>37</v>
      </c>
      <c r="V247" s="455">
        <v>12.29863951953535</v>
      </c>
      <c r="W247" s="230">
        <v>0.33239566269014459</v>
      </c>
      <c r="X247" s="264" t="s">
        <v>900</v>
      </c>
      <c r="Y247" s="265" t="s">
        <v>900</v>
      </c>
      <c r="Z247" s="265" t="s">
        <v>900</v>
      </c>
      <c r="AA247" s="265" t="s">
        <v>900</v>
      </c>
      <c r="AB247" s="266" t="s">
        <v>900</v>
      </c>
      <c r="AC247" s="265">
        <v>5779.1026373531258</v>
      </c>
      <c r="AD247" s="265">
        <v>1193.3373300202702</v>
      </c>
      <c r="AE247" s="265">
        <v>3132.1296996263045</v>
      </c>
      <c r="AF247" s="266">
        <v>2702.039276616797</v>
      </c>
      <c r="AG247" s="265">
        <v>5779.1026373531258</v>
      </c>
      <c r="AH247" s="265">
        <v>1193.3373300202702</v>
      </c>
      <c r="AI247" s="265">
        <v>3132.1296996263045</v>
      </c>
      <c r="AJ247" s="266">
        <v>2702.039276616797</v>
      </c>
      <c r="AK247" s="265">
        <v>5788.6077403751169</v>
      </c>
      <c r="AL247" s="265">
        <v>3167.9221614555217</v>
      </c>
      <c r="AM247" s="265">
        <v>3137.2812287375341</v>
      </c>
      <c r="AN247" s="265">
        <v>2706.4834201638691</v>
      </c>
      <c r="AO247" s="266">
        <v>14800.294550732044</v>
      </c>
      <c r="AP247" s="203"/>
      <c r="AQ247" s="264">
        <v>7048.4892919374342</v>
      </c>
      <c r="AR247" s="265">
        <v>3067.3319839446317</v>
      </c>
      <c r="AS247" s="265">
        <v>3737.2120051856709</v>
      </c>
      <c r="AT247" s="265">
        <v>3600.778041707425</v>
      </c>
      <c r="AU247" s="266">
        <v>17453.811322775164</v>
      </c>
      <c r="AV247" s="203"/>
      <c r="AW247" s="324">
        <v>16275.182662961126</v>
      </c>
      <c r="AX247" s="203"/>
      <c r="AY247" s="377">
        <v>0</v>
      </c>
      <c r="AZ247" s="265">
        <v>1178.6286598140377</v>
      </c>
      <c r="BA247" s="265">
        <v>16275.182662961126</v>
      </c>
      <c r="BB247" s="265">
        <v>159.29951243311149</v>
      </c>
      <c r="BC247" s="266">
        <v>16115.883150528014</v>
      </c>
      <c r="BD247" s="264">
        <v>161.15883150528015</v>
      </c>
      <c r="BE247" s="265">
        <v>15954.724319022735</v>
      </c>
      <c r="BF247" s="357">
        <v>0.98031000016560876</v>
      </c>
      <c r="BG247" s="203"/>
      <c r="BJ247" s="458">
        <v>0.98031000016560876</v>
      </c>
      <c r="BK247" s="210"/>
      <c r="BL247" s="458"/>
      <c r="BM247" s="458"/>
      <c r="BN247" s="458"/>
      <c r="BQ247" s="203">
        <v>15916.673207680653</v>
      </c>
      <c r="BR247" s="458">
        <v>0.97797201649254817</v>
      </c>
      <c r="BT247" s="459">
        <v>-10.73875682385987</v>
      </c>
      <c r="BU247" s="460">
        <v>-1713.339046537084</v>
      </c>
      <c r="BV247" s="461">
        <v>14241.385272485652</v>
      </c>
      <c r="BX247" s="462">
        <v>2731.5492332573504</v>
      </c>
      <c r="BY247" s="463">
        <v>0.23474187622449708</v>
      </c>
      <c r="BZ247" s="461">
        <v>222.10173970206341</v>
      </c>
      <c r="CB247" s="203">
        <v>974</v>
      </c>
      <c r="CC247" s="203">
        <v>1206.7670438467314</v>
      </c>
      <c r="CD247" s="203" t="e">
        <v>#VALUE!</v>
      </c>
      <c r="CE247" s="203" t="e">
        <v>#VALUE!</v>
      </c>
      <c r="CF247" s="203" t="e">
        <v>#VALUE!</v>
      </c>
      <c r="CH247" s="199"/>
      <c r="CJ247" s="464" t="s">
        <v>1448</v>
      </c>
      <c r="CK247" s="464" t="s">
        <v>1447</v>
      </c>
      <c r="CL247" s="464" t="s">
        <v>1448</v>
      </c>
      <c r="CN247" s="464" t="s">
        <v>1447</v>
      </c>
      <c r="CO247" s="464" t="s">
        <v>1447</v>
      </c>
      <c r="CP247" s="464" t="s">
        <v>1447</v>
      </c>
      <c r="CQ247" s="464" t="s">
        <v>1447</v>
      </c>
      <c r="CS247" s="465">
        <v>0</v>
      </c>
      <c r="CT247" s="466">
        <v>0</v>
      </c>
      <c r="CU247" s="466">
        <v>0.95</v>
      </c>
      <c r="CV247" s="467">
        <v>0.95</v>
      </c>
    </row>
    <row r="248" spans="1:100" s="48" customFormat="1" outlineLevel="1" x14ac:dyDescent="0.3">
      <c r="A248" s="202">
        <v>78708000</v>
      </c>
      <c r="B248" s="48">
        <v>400124</v>
      </c>
      <c r="C248" s="48">
        <v>4332</v>
      </c>
      <c r="D248" s="48" t="s">
        <v>179</v>
      </c>
      <c r="E248" s="48" t="s">
        <v>7</v>
      </c>
      <c r="F248" s="48" t="s">
        <v>1498</v>
      </c>
      <c r="G248" s="48" t="s">
        <v>1499</v>
      </c>
      <c r="H248" s="48" t="s">
        <v>1523</v>
      </c>
      <c r="O248" s="454" t="s">
        <v>900</v>
      </c>
      <c r="P248" s="455" t="s">
        <v>900</v>
      </c>
      <c r="Q248" s="347" t="s">
        <v>900</v>
      </c>
      <c r="R248" s="455">
        <v>105</v>
      </c>
      <c r="S248" s="457">
        <v>98</v>
      </c>
      <c r="T248" s="455"/>
      <c r="U248" s="454">
        <v>105</v>
      </c>
      <c r="V248" s="455">
        <v>50.219444704769337</v>
      </c>
      <c r="W248" s="230">
        <v>0.47828042575970797</v>
      </c>
      <c r="X248" s="264" t="s">
        <v>900</v>
      </c>
      <c r="Y248" s="265" t="s">
        <v>900</v>
      </c>
      <c r="Z248" s="265" t="s">
        <v>900</v>
      </c>
      <c r="AA248" s="265" t="s">
        <v>900</v>
      </c>
      <c r="AB248" s="266" t="s">
        <v>900</v>
      </c>
      <c r="AC248" s="265">
        <v>23598.002435858594</v>
      </c>
      <c r="AD248" s="265">
        <v>4872.7940975827687</v>
      </c>
      <c r="AE248" s="265">
        <v>12789.529606807409</v>
      </c>
      <c r="AF248" s="266">
        <v>11033.327046185252</v>
      </c>
      <c r="AG248" s="265">
        <v>23598.002435858594</v>
      </c>
      <c r="AH248" s="265">
        <v>4872.7940975827687</v>
      </c>
      <c r="AI248" s="265">
        <v>12789.529606807409</v>
      </c>
      <c r="AJ248" s="266">
        <v>11033.327046185252</v>
      </c>
      <c r="AK248" s="265">
        <v>23607.507538880585</v>
      </c>
      <c r="AL248" s="265">
        <v>6847.3789290180202</v>
      </c>
      <c r="AM248" s="265">
        <v>12794.681135918639</v>
      </c>
      <c r="AN248" s="265">
        <v>11037.771189732324</v>
      </c>
      <c r="AO248" s="266">
        <v>54287.33879354957</v>
      </c>
      <c r="AP248" s="203"/>
      <c r="AQ248" s="264">
        <v>23248.932307564501</v>
      </c>
      <c r="AR248" s="265">
        <v>6629.9559536890474</v>
      </c>
      <c r="AS248" s="265">
        <v>12617.468658025871</v>
      </c>
      <c r="AT248" s="265">
        <v>10594.363039024576</v>
      </c>
      <c r="AU248" s="266">
        <v>53090.719958303998</v>
      </c>
      <c r="AV248" s="203"/>
      <c r="AW248" s="324">
        <v>39803.420502888825</v>
      </c>
      <c r="AX248" s="203"/>
      <c r="AY248" s="377">
        <v>0</v>
      </c>
      <c r="AZ248" s="265">
        <v>5008.4255515899931</v>
      </c>
      <c r="BA248" s="265">
        <v>48082.294406714005</v>
      </c>
      <c r="BB248" s="265">
        <v>470.62366145273648</v>
      </c>
      <c r="BC248" s="266">
        <v>47611.670745261268</v>
      </c>
      <c r="BD248" s="264">
        <v>476.11670745261267</v>
      </c>
      <c r="BE248" s="265">
        <v>47135.554037808659</v>
      </c>
      <c r="BF248" s="357">
        <v>1.184208629366104</v>
      </c>
      <c r="BG248" s="203"/>
      <c r="BJ248" s="458">
        <v>1.184208629366104</v>
      </c>
      <c r="BK248" s="210"/>
      <c r="BL248" s="458"/>
      <c r="BM248" s="458"/>
      <c r="BN248" s="458"/>
      <c r="BQ248" s="203">
        <v>47023.138418522467</v>
      </c>
      <c r="BR248" s="458">
        <v>1.1813843590429536</v>
      </c>
      <c r="BT248" s="459" t="s">
        <v>900</v>
      </c>
      <c r="BU248" s="460" t="s">
        <v>900</v>
      </c>
      <c r="BV248" s="461">
        <v>47135.554037808659</v>
      </c>
      <c r="BX248" s="462">
        <v>-2267.5344749620781</v>
      </c>
      <c r="BY248" s="463">
        <v>-4.525314323272904E-2</v>
      </c>
      <c r="BZ248" s="461">
        <v>-45.152519871386204</v>
      </c>
      <c r="CB248" s="203" t="s">
        <v>900</v>
      </c>
      <c r="CC248" s="203">
        <v>903.58885901218116</v>
      </c>
      <c r="CD248" s="203" t="e">
        <v>#VALUE!</v>
      </c>
      <c r="CE248" s="203" t="s">
        <v>900</v>
      </c>
      <c r="CF248" s="203" t="e">
        <v>#VALUE!</v>
      </c>
      <c r="CH248" s="199"/>
      <c r="CJ248" s="464" t="s">
        <v>1448</v>
      </c>
      <c r="CK248" s="464" t="s">
        <v>1447</v>
      </c>
      <c r="CL248" s="464" t="s">
        <v>1448</v>
      </c>
      <c r="CN248" s="464" t="s">
        <v>1447</v>
      </c>
      <c r="CO248" s="464" t="s">
        <v>1447</v>
      </c>
      <c r="CP248" s="464" t="s">
        <v>1447</v>
      </c>
      <c r="CQ248" s="464" t="s">
        <v>1447</v>
      </c>
      <c r="CS248" s="465">
        <v>0</v>
      </c>
      <c r="CT248" s="466">
        <v>0</v>
      </c>
      <c r="CU248" s="466">
        <v>0.95</v>
      </c>
      <c r="CV248" s="467">
        <v>0.95</v>
      </c>
    </row>
    <row r="249" spans="1:100" s="48" customFormat="1" outlineLevel="1" x14ac:dyDescent="0.3">
      <c r="A249" s="202">
        <v>78985000</v>
      </c>
      <c r="B249" s="48">
        <v>400649</v>
      </c>
      <c r="C249" s="48">
        <v>81076</v>
      </c>
      <c r="D249" s="48" t="s">
        <v>195</v>
      </c>
      <c r="E249" s="48" t="s">
        <v>7</v>
      </c>
      <c r="F249" s="48" t="s">
        <v>1503</v>
      </c>
      <c r="G249" s="48" t="s">
        <v>1502</v>
      </c>
      <c r="H249" s="48" t="s">
        <v>1507</v>
      </c>
      <c r="O249" s="454" t="s">
        <v>900</v>
      </c>
      <c r="P249" s="455" t="s">
        <v>900</v>
      </c>
      <c r="Q249" s="347" t="s">
        <v>900</v>
      </c>
      <c r="R249" s="455">
        <v>761</v>
      </c>
      <c r="S249" s="457">
        <v>557</v>
      </c>
      <c r="T249" s="455"/>
      <c r="U249" s="454">
        <v>761</v>
      </c>
      <c r="V249" s="455">
        <v>285.4309255158829</v>
      </c>
      <c r="W249" s="230">
        <v>0.37507348950838754</v>
      </c>
      <c r="X249" s="264" t="s">
        <v>900</v>
      </c>
      <c r="Y249" s="265" t="s">
        <v>900</v>
      </c>
      <c r="Z249" s="265" t="s">
        <v>900</v>
      </c>
      <c r="AA249" s="265" t="s">
        <v>900</v>
      </c>
      <c r="AB249" s="266" t="s">
        <v>900</v>
      </c>
      <c r="AC249" s="265">
        <v>134123.34037523714</v>
      </c>
      <c r="AD249" s="265">
        <v>27695.370534220434</v>
      </c>
      <c r="AE249" s="265">
        <v>72691.510112160482</v>
      </c>
      <c r="AF249" s="266">
        <v>62709.828211481494</v>
      </c>
      <c r="AG249" s="265">
        <v>134123.34037523714</v>
      </c>
      <c r="AH249" s="265">
        <v>27695.370534220434</v>
      </c>
      <c r="AI249" s="265">
        <v>72691.510112160482</v>
      </c>
      <c r="AJ249" s="266">
        <v>62709.828211481494</v>
      </c>
      <c r="AK249" s="265">
        <v>134132.84547825911</v>
      </c>
      <c r="AL249" s="265">
        <v>29669.955365655685</v>
      </c>
      <c r="AM249" s="265">
        <v>72696.661641271712</v>
      </c>
      <c r="AN249" s="265">
        <v>62714.272355028566</v>
      </c>
      <c r="AO249" s="266">
        <v>299213.73484021507</v>
      </c>
      <c r="AP249" s="203"/>
      <c r="AQ249" s="264">
        <v>133160.99808007161</v>
      </c>
      <c r="AR249" s="265">
        <v>28727.853279536172</v>
      </c>
      <c r="AS249" s="265">
        <v>71689.777967725851</v>
      </c>
      <c r="AT249" s="265">
        <v>68026.378141346271</v>
      </c>
      <c r="AU249" s="266">
        <v>301605.00746867992</v>
      </c>
      <c r="AV249" s="203"/>
      <c r="AW249" s="324">
        <v>307126.79814522935</v>
      </c>
      <c r="AX249" s="203"/>
      <c r="AY249" s="377">
        <v>0</v>
      </c>
      <c r="AZ249" s="265">
        <v>0</v>
      </c>
      <c r="BA249" s="265">
        <v>301605.00746867992</v>
      </c>
      <c r="BB249" s="265">
        <v>2952.0732044677525</v>
      </c>
      <c r="BC249" s="266">
        <v>298652.93426421215</v>
      </c>
      <c r="BD249" s="264">
        <v>2986.5293426421217</v>
      </c>
      <c r="BE249" s="265">
        <v>295666.40492157004</v>
      </c>
      <c r="BF249" s="357">
        <v>0.96268514081848344</v>
      </c>
      <c r="BG249" s="203"/>
      <c r="BJ249" s="458">
        <v>0.96268514081848344</v>
      </c>
      <c r="BK249" s="210"/>
      <c r="BL249" s="458"/>
      <c r="BM249" s="458"/>
      <c r="BN249" s="458"/>
      <c r="BQ249" s="203">
        <v>294961.25733839493</v>
      </c>
      <c r="BR249" s="458">
        <v>0.96038919143395052</v>
      </c>
      <c r="BT249" s="459">
        <v>-5.5753658652794478</v>
      </c>
      <c r="BU249" s="460">
        <v>-16484.48381509613</v>
      </c>
      <c r="BV249" s="461">
        <v>279181.92110647389</v>
      </c>
      <c r="BX249" s="462">
        <v>4707.2745836587856</v>
      </c>
      <c r="BY249" s="463">
        <v>1.6893955933220808E-2</v>
      </c>
      <c r="BZ249" s="461">
        <v>16.491816978664591</v>
      </c>
      <c r="CB249" s="203" t="s">
        <v>900</v>
      </c>
      <c r="CC249" s="203">
        <v>5302.7449466627613</v>
      </c>
      <c r="CD249" s="203" t="e">
        <v>#VALUE!</v>
      </c>
      <c r="CE249" s="203" t="e">
        <v>#VALUE!</v>
      </c>
      <c r="CF249" s="203" t="e">
        <v>#VALUE!</v>
      </c>
      <c r="CH249" s="199"/>
      <c r="CJ249" s="464" t="s">
        <v>1448</v>
      </c>
      <c r="CK249" s="464" t="s">
        <v>1447</v>
      </c>
      <c r="CL249" s="464" t="s">
        <v>1448</v>
      </c>
      <c r="CN249" s="464" t="s">
        <v>1447</v>
      </c>
      <c r="CO249" s="464" t="s">
        <v>1447</v>
      </c>
      <c r="CP249" s="464" t="s">
        <v>1447</v>
      </c>
      <c r="CQ249" s="464" t="s">
        <v>1447</v>
      </c>
      <c r="CS249" s="465">
        <v>0</v>
      </c>
      <c r="CT249" s="466">
        <v>0</v>
      </c>
      <c r="CU249" s="466">
        <v>0.95</v>
      </c>
      <c r="CV249" s="467">
        <v>0.95</v>
      </c>
    </row>
    <row r="250" spans="1:100" s="48" customFormat="1" outlineLevel="1" x14ac:dyDescent="0.3">
      <c r="A250" s="202">
        <v>78704000</v>
      </c>
      <c r="B250" s="48">
        <v>400105</v>
      </c>
      <c r="C250" s="48">
        <v>4328</v>
      </c>
      <c r="D250" s="48" t="s">
        <v>198</v>
      </c>
      <c r="E250" s="48" t="s">
        <v>7</v>
      </c>
      <c r="F250" s="48" t="s">
        <v>1498</v>
      </c>
      <c r="G250" s="48" t="s">
        <v>1502</v>
      </c>
      <c r="H250" s="48" t="s">
        <v>1517</v>
      </c>
      <c r="O250" s="454" t="s">
        <v>900</v>
      </c>
      <c r="P250" s="455" t="s">
        <v>900</v>
      </c>
      <c r="Q250" s="347" t="s">
        <v>900</v>
      </c>
      <c r="R250" s="455">
        <v>106</v>
      </c>
      <c r="S250" s="457">
        <v>0</v>
      </c>
      <c r="T250" s="455"/>
      <c r="U250" s="454">
        <v>106</v>
      </c>
      <c r="V250" s="455">
        <v>0</v>
      </c>
      <c r="W250" s="230">
        <v>0</v>
      </c>
      <c r="X250" s="264" t="s">
        <v>900</v>
      </c>
      <c r="Y250" s="265" t="s">
        <v>900</v>
      </c>
      <c r="Z250" s="265" t="s">
        <v>900</v>
      </c>
      <c r="AA250" s="265" t="s">
        <v>900</v>
      </c>
      <c r="AB250" s="266" t="s">
        <v>900</v>
      </c>
      <c r="AC250" s="265">
        <v>0</v>
      </c>
      <c r="AD250" s="265">
        <v>0</v>
      </c>
      <c r="AE250" s="265">
        <v>0</v>
      </c>
      <c r="AF250" s="266">
        <v>0</v>
      </c>
      <c r="AG250" s="265" t="s">
        <v>900</v>
      </c>
      <c r="AH250" s="265" t="s">
        <v>900</v>
      </c>
      <c r="AI250" s="265" t="s">
        <v>900</v>
      </c>
      <c r="AJ250" s="266" t="s">
        <v>900</v>
      </c>
      <c r="AK250" s="265" t="s">
        <v>900</v>
      </c>
      <c r="AL250" s="265" t="s">
        <v>900</v>
      </c>
      <c r="AM250" s="265" t="s">
        <v>900</v>
      </c>
      <c r="AN250" s="265" t="s">
        <v>900</v>
      </c>
      <c r="AO250" s="266">
        <v>0</v>
      </c>
      <c r="AP250" s="203"/>
      <c r="AQ250" s="264">
        <v>0</v>
      </c>
      <c r="AR250" s="265">
        <v>2412.9175818716863</v>
      </c>
      <c r="AS250" s="265">
        <v>0</v>
      </c>
      <c r="AT250" s="265">
        <v>0</v>
      </c>
      <c r="AU250" s="266">
        <v>2412.9175818716863</v>
      </c>
      <c r="AV250" s="203"/>
      <c r="AW250" s="324">
        <v>28451.492911166461</v>
      </c>
      <c r="AX250" s="203"/>
      <c r="AY250" s="377">
        <v>0</v>
      </c>
      <c r="AZ250" s="265">
        <v>0</v>
      </c>
      <c r="BA250" s="265">
        <v>2412.9175818716863</v>
      </c>
      <c r="BB250" s="265">
        <v>23.617344412864988</v>
      </c>
      <c r="BC250" s="266">
        <v>2389.3002374588214</v>
      </c>
      <c r="BD250" s="264">
        <v>23.893002374588214</v>
      </c>
      <c r="BE250" s="265">
        <v>2365.407235084233</v>
      </c>
      <c r="BF250" s="357">
        <v>8.3138246645604777E-2</v>
      </c>
      <c r="BG250" s="203"/>
      <c r="BJ250" s="458">
        <v>8.3138246645604777E-2</v>
      </c>
      <c r="BK250" s="210"/>
      <c r="BL250" s="458"/>
      <c r="BM250" s="458"/>
      <c r="BN250" s="458"/>
      <c r="BQ250" s="203">
        <v>2359.7658731733763</v>
      </c>
      <c r="BR250" s="458">
        <v>8.2939966649244981E-2</v>
      </c>
      <c r="BT250" s="459" t="s">
        <v>900</v>
      </c>
      <c r="BU250" s="460" t="s">
        <v>900</v>
      </c>
      <c r="BV250" s="461">
        <v>2365.407235084233</v>
      </c>
      <c r="BX250" s="462">
        <v>2365.407235084233</v>
      </c>
      <c r="BY250" s="463" t="s">
        <v>900</v>
      </c>
      <c r="BZ250" s="461" t="s">
        <v>900</v>
      </c>
      <c r="CB250" s="203">
        <v>1799</v>
      </c>
      <c r="CC250" s="203">
        <v>1906.8245878416431</v>
      </c>
      <c r="CD250" s="203" t="e">
        <v>#VALUE!</v>
      </c>
      <c r="CE250" s="203" t="s">
        <v>900</v>
      </c>
      <c r="CF250" s="203" t="e">
        <v>#VALUE!</v>
      </c>
      <c r="CH250" s="199"/>
      <c r="CJ250" s="464" t="s">
        <v>1448</v>
      </c>
      <c r="CK250" s="464" t="s">
        <v>1447</v>
      </c>
      <c r="CL250" s="464" t="s">
        <v>1448</v>
      </c>
      <c r="CN250" s="464" t="s">
        <v>1448</v>
      </c>
      <c r="CO250" s="464" t="s">
        <v>1448</v>
      </c>
      <c r="CP250" s="464" t="s">
        <v>1448</v>
      </c>
      <c r="CQ250" s="464" t="s">
        <v>1448</v>
      </c>
      <c r="CS250" s="465">
        <v>0.85</v>
      </c>
      <c r="CT250" s="466">
        <v>0</v>
      </c>
      <c r="CU250" s="466">
        <v>0</v>
      </c>
      <c r="CV250" s="467">
        <v>0.85</v>
      </c>
    </row>
    <row r="251" spans="1:100" s="48" customFormat="1" outlineLevel="1" x14ac:dyDescent="0.3">
      <c r="A251" s="202">
        <v>78535000</v>
      </c>
      <c r="B251" s="48">
        <v>400780</v>
      </c>
      <c r="C251" s="48">
        <v>89784</v>
      </c>
      <c r="D251" s="48" t="s">
        <v>202</v>
      </c>
      <c r="E251" s="48" t="s">
        <v>7</v>
      </c>
      <c r="F251" s="48" t="s">
        <v>1498</v>
      </c>
      <c r="G251" s="48" t="s">
        <v>1499</v>
      </c>
      <c r="H251" s="48" t="s">
        <v>1527</v>
      </c>
      <c r="O251" s="454" t="s">
        <v>900</v>
      </c>
      <c r="P251" s="455" t="s">
        <v>900</v>
      </c>
      <c r="Q251" s="347" t="s">
        <v>900</v>
      </c>
      <c r="R251" s="455">
        <v>553</v>
      </c>
      <c r="S251" s="457">
        <v>409</v>
      </c>
      <c r="T251" s="455"/>
      <c r="U251" s="454">
        <v>553</v>
      </c>
      <c r="V251" s="455">
        <v>209.5893151454149</v>
      </c>
      <c r="W251" s="230">
        <v>0.37900418651973761</v>
      </c>
      <c r="X251" s="264" t="s">
        <v>900</v>
      </c>
      <c r="Y251" s="265" t="s">
        <v>900</v>
      </c>
      <c r="Z251" s="265" t="s">
        <v>900</v>
      </c>
      <c r="AA251" s="265" t="s">
        <v>900</v>
      </c>
      <c r="AB251" s="266" t="s">
        <v>900</v>
      </c>
      <c r="AC251" s="265">
        <v>98485.540778226175</v>
      </c>
      <c r="AD251" s="265">
        <v>20336.456999095437</v>
      </c>
      <c r="AE251" s="265">
        <v>53376.710297798272</v>
      </c>
      <c r="AF251" s="266">
        <v>46047.252672344577</v>
      </c>
      <c r="AG251" s="265">
        <v>98485.540778226175</v>
      </c>
      <c r="AH251" s="265">
        <v>20336.456999095437</v>
      </c>
      <c r="AI251" s="265">
        <v>53376.710297798272</v>
      </c>
      <c r="AJ251" s="266">
        <v>46047.252672344577</v>
      </c>
      <c r="AK251" s="265">
        <v>98495.045881248167</v>
      </c>
      <c r="AL251" s="265">
        <v>22311.041830530688</v>
      </c>
      <c r="AM251" s="265">
        <v>53381.861826909502</v>
      </c>
      <c r="AN251" s="265">
        <v>46051.69681589165</v>
      </c>
      <c r="AO251" s="266">
        <v>220239.64635458001</v>
      </c>
      <c r="AP251" s="203"/>
      <c r="AQ251" s="264">
        <v>108471.02515034094</v>
      </c>
      <c r="AR251" s="265">
        <v>22843.008743283444</v>
      </c>
      <c r="AS251" s="265">
        <v>57512.922360590186</v>
      </c>
      <c r="AT251" s="265">
        <v>55413.304801301805</v>
      </c>
      <c r="AU251" s="266">
        <v>244240.26105551637</v>
      </c>
      <c r="AV251" s="203"/>
      <c r="AW251" s="324">
        <v>240328.1748204545</v>
      </c>
      <c r="AX251" s="203"/>
      <c r="AY251" s="377">
        <v>0</v>
      </c>
      <c r="AZ251" s="265">
        <v>3912.08623506187</v>
      </c>
      <c r="BA251" s="265">
        <v>240328.1748204545</v>
      </c>
      <c r="BB251" s="265">
        <v>2352.3030042522737</v>
      </c>
      <c r="BC251" s="266">
        <v>237975.87181620221</v>
      </c>
      <c r="BD251" s="264">
        <v>2379.758718162022</v>
      </c>
      <c r="BE251" s="265">
        <v>235596.11309804019</v>
      </c>
      <c r="BF251" s="357">
        <v>0.98031000016560876</v>
      </c>
      <c r="BG251" s="203"/>
      <c r="BJ251" s="458">
        <v>0.98031000016560876</v>
      </c>
      <c r="BK251" s="210"/>
      <c r="BL251" s="458"/>
      <c r="BM251" s="458"/>
      <c r="BN251" s="458"/>
      <c r="BQ251" s="203">
        <v>235034.22974913352</v>
      </c>
      <c r="BR251" s="458">
        <v>0.97797201649254817</v>
      </c>
      <c r="BT251" s="459" t="s">
        <v>900</v>
      </c>
      <c r="BU251" s="460" t="s">
        <v>900</v>
      </c>
      <c r="BV251" s="461">
        <v>235596.11309804019</v>
      </c>
      <c r="BX251" s="462">
        <v>22048.927101459441</v>
      </c>
      <c r="BY251" s="463">
        <v>0.10171559948378973</v>
      </c>
      <c r="BZ251" s="461">
        <v>105.2006257387773</v>
      </c>
      <c r="CB251" s="203" t="s">
        <v>900</v>
      </c>
      <c r="CC251" s="203">
        <v>3887.8619736469727</v>
      </c>
      <c r="CD251" s="203" t="e">
        <v>#VALUE!</v>
      </c>
      <c r="CE251" s="203" t="s">
        <v>900</v>
      </c>
      <c r="CF251" s="203" t="e">
        <v>#VALUE!</v>
      </c>
      <c r="CH251" s="199"/>
      <c r="CJ251" s="464" t="s">
        <v>1448</v>
      </c>
      <c r="CK251" s="464" t="s">
        <v>1447</v>
      </c>
      <c r="CL251" s="464" t="s">
        <v>1448</v>
      </c>
      <c r="CN251" s="464" t="s">
        <v>1447</v>
      </c>
      <c r="CO251" s="464" t="s">
        <v>1447</v>
      </c>
      <c r="CP251" s="464" t="s">
        <v>1447</v>
      </c>
      <c r="CQ251" s="464" t="s">
        <v>1447</v>
      </c>
      <c r="CS251" s="465">
        <v>0</v>
      </c>
      <c r="CT251" s="466">
        <v>0</v>
      </c>
      <c r="CU251" s="466">
        <v>0.95</v>
      </c>
      <c r="CV251" s="467">
        <v>0.95</v>
      </c>
    </row>
    <row r="252" spans="1:100" s="48" customFormat="1" outlineLevel="1" x14ac:dyDescent="0.3">
      <c r="A252" s="202">
        <v>78553000</v>
      </c>
      <c r="B252" s="48">
        <v>400802</v>
      </c>
      <c r="C252" s="48">
        <v>90162</v>
      </c>
      <c r="D252" s="48" t="s">
        <v>203</v>
      </c>
      <c r="E252" s="48" t="s">
        <v>7</v>
      </c>
      <c r="F252" s="48" t="s">
        <v>1498</v>
      </c>
      <c r="G252" s="48" t="s">
        <v>1499</v>
      </c>
      <c r="H252" s="48" t="s">
        <v>1527</v>
      </c>
      <c r="O252" s="454" t="s">
        <v>900</v>
      </c>
      <c r="P252" s="455" t="s">
        <v>900</v>
      </c>
      <c r="Q252" s="347" t="s">
        <v>900</v>
      </c>
      <c r="R252" s="455">
        <v>196</v>
      </c>
      <c r="S252" s="457">
        <v>133</v>
      </c>
      <c r="T252" s="455"/>
      <c r="U252" s="454">
        <v>196</v>
      </c>
      <c r="V252" s="455">
        <v>68.154960670758385</v>
      </c>
      <c r="W252" s="230">
        <v>0.3477293911773387</v>
      </c>
      <c r="X252" s="264" t="s">
        <v>900</v>
      </c>
      <c r="Y252" s="265" t="s">
        <v>900</v>
      </c>
      <c r="Z252" s="265" t="s">
        <v>900</v>
      </c>
      <c r="AA252" s="265" t="s">
        <v>900</v>
      </c>
      <c r="AB252" s="266" t="s">
        <v>900</v>
      </c>
      <c r="AC252" s="265">
        <v>32025.860448665233</v>
      </c>
      <c r="AD252" s="265">
        <v>6613.0777038623291</v>
      </c>
      <c r="AE252" s="265">
        <v>17357.21875209577</v>
      </c>
      <c r="AF252" s="266">
        <v>14973.800991251414</v>
      </c>
      <c r="AG252" s="265">
        <v>32025.860448665233</v>
      </c>
      <c r="AH252" s="265">
        <v>6613.0777038623291</v>
      </c>
      <c r="AI252" s="265">
        <v>17357.21875209577</v>
      </c>
      <c r="AJ252" s="266">
        <v>14973.800991251414</v>
      </c>
      <c r="AK252" s="265">
        <v>32035.365551687224</v>
      </c>
      <c r="AL252" s="265">
        <v>8587.6625352975807</v>
      </c>
      <c r="AM252" s="265">
        <v>17362.370281207001</v>
      </c>
      <c r="AN252" s="265">
        <v>14978.245134798486</v>
      </c>
      <c r="AO252" s="266">
        <v>72963.643502990293</v>
      </c>
      <c r="AP252" s="203"/>
      <c r="AQ252" s="264">
        <v>31548.779299662401</v>
      </c>
      <c r="AR252" s="265">
        <v>8314.9808042438381</v>
      </c>
      <c r="AS252" s="265">
        <v>17121.893115192539</v>
      </c>
      <c r="AT252" s="265">
        <v>14376.540690857264</v>
      </c>
      <c r="AU252" s="266">
        <v>71362.19390995604</v>
      </c>
      <c r="AV252" s="203"/>
      <c r="AW252" s="324">
        <v>56380.133526474259</v>
      </c>
      <c r="AX252" s="203"/>
      <c r="AY252" s="377">
        <v>0</v>
      </c>
      <c r="AZ252" s="265">
        <v>6732.103758940284</v>
      </c>
      <c r="BA252" s="265">
        <v>64630.090151015756</v>
      </c>
      <c r="BB252" s="265">
        <v>632.59147763639714</v>
      </c>
      <c r="BC252" s="266">
        <v>63997.498673379356</v>
      </c>
      <c r="BD252" s="264">
        <v>639.97498673379357</v>
      </c>
      <c r="BE252" s="265">
        <v>63357.52368664556</v>
      </c>
      <c r="BF252" s="357">
        <v>1.1237561836723027</v>
      </c>
      <c r="BG252" s="203"/>
      <c r="BJ252" s="458">
        <v>1.1237561836723027</v>
      </c>
      <c r="BK252" s="210"/>
      <c r="BL252" s="458"/>
      <c r="BM252" s="458"/>
      <c r="BN252" s="458"/>
      <c r="BQ252" s="203">
        <v>63206.41959108405</v>
      </c>
      <c r="BR252" s="458">
        <v>1.1210760889986966</v>
      </c>
      <c r="BT252" s="459" t="s">
        <v>900</v>
      </c>
      <c r="BU252" s="460" t="s">
        <v>900</v>
      </c>
      <c r="BV252" s="461">
        <v>63357.52368664556</v>
      </c>
      <c r="BX252" s="462">
        <v>-3557.0675641899361</v>
      </c>
      <c r="BY252" s="463">
        <v>-5.239596040783677E-2</v>
      </c>
      <c r="BZ252" s="461">
        <v>-52.190882793892975</v>
      </c>
      <c r="CB252" s="203" t="s">
        <v>900</v>
      </c>
      <c r="CC252" s="203">
        <v>1280.7200662694902</v>
      </c>
      <c r="CD252" s="203" t="e">
        <v>#VALUE!</v>
      </c>
      <c r="CE252" s="203" t="s">
        <v>900</v>
      </c>
      <c r="CF252" s="203" t="e">
        <v>#VALUE!</v>
      </c>
      <c r="CH252" s="199"/>
      <c r="CJ252" s="464" t="s">
        <v>1448</v>
      </c>
      <c r="CK252" s="464" t="s">
        <v>1447</v>
      </c>
      <c r="CL252" s="464" t="s">
        <v>1448</v>
      </c>
      <c r="CN252" s="464" t="s">
        <v>1447</v>
      </c>
      <c r="CO252" s="464" t="s">
        <v>1447</v>
      </c>
      <c r="CP252" s="464" t="s">
        <v>1447</v>
      </c>
      <c r="CQ252" s="464" t="s">
        <v>1447</v>
      </c>
      <c r="CS252" s="465">
        <v>0</v>
      </c>
      <c r="CT252" s="466">
        <v>0</v>
      </c>
      <c r="CU252" s="466">
        <v>0.95</v>
      </c>
      <c r="CV252" s="467">
        <v>0.95</v>
      </c>
    </row>
    <row r="253" spans="1:100" s="48" customFormat="1" outlineLevel="1" x14ac:dyDescent="0.3">
      <c r="A253" s="202">
        <v>78531000</v>
      </c>
      <c r="B253" s="48">
        <v>400756</v>
      </c>
      <c r="C253" s="48">
        <v>89561</v>
      </c>
      <c r="D253" s="48" t="s">
        <v>204</v>
      </c>
      <c r="E253" s="48" t="s">
        <v>7</v>
      </c>
      <c r="F253" s="48" t="s">
        <v>1498</v>
      </c>
      <c r="G253" s="48" t="s">
        <v>1499</v>
      </c>
      <c r="H253" s="48" t="s">
        <v>1527</v>
      </c>
      <c r="O253" s="454" t="s">
        <v>900</v>
      </c>
      <c r="P253" s="455" t="s">
        <v>900</v>
      </c>
      <c r="Q253" s="347" t="s">
        <v>900</v>
      </c>
      <c r="R253" s="455">
        <v>168</v>
      </c>
      <c r="S253" s="457">
        <v>148</v>
      </c>
      <c r="T253" s="455"/>
      <c r="U253" s="454">
        <v>168</v>
      </c>
      <c r="V253" s="455">
        <v>75.84161037046799</v>
      </c>
      <c r="W253" s="230">
        <v>0.45143815696707135</v>
      </c>
      <c r="X253" s="264" t="s">
        <v>900</v>
      </c>
      <c r="Y253" s="265" t="s">
        <v>900</v>
      </c>
      <c r="Z253" s="265" t="s">
        <v>900</v>
      </c>
      <c r="AA253" s="265" t="s">
        <v>900</v>
      </c>
      <c r="AB253" s="266" t="s">
        <v>900</v>
      </c>
      <c r="AC253" s="265">
        <v>35637.79959701094</v>
      </c>
      <c r="AD253" s="265">
        <v>7358.9135351249988</v>
      </c>
      <c r="AE253" s="265">
        <v>19314.799814362214</v>
      </c>
      <c r="AF253" s="266">
        <v>16662.575539136913</v>
      </c>
      <c r="AG253" s="265">
        <v>35637.79959701094</v>
      </c>
      <c r="AH253" s="265">
        <v>7358.9135351249988</v>
      </c>
      <c r="AI253" s="265">
        <v>19314.799814362214</v>
      </c>
      <c r="AJ253" s="266">
        <v>16662.575539136913</v>
      </c>
      <c r="AK253" s="265">
        <v>35647.304700032932</v>
      </c>
      <c r="AL253" s="265">
        <v>9333.4983665602504</v>
      </c>
      <c r="AM253" s="265">
        <v>19319.951343473444</v>
      </c>
      <c r="AN253" s="265">
        <v>16667.019682683986</v>
      </c>
      <c r="AO253" s="266">
        <v>80967.774092750609</v>
      </c>
      <c r="AP253" s="203"/>
      <c r="AQ253" s="264">
        <v>35105.856581990083</v>
      </c>
      <c r="AR253" s="265">
        <v>9037.1343116244643</v>
      </c>
      <c r="AS253" s="265">
        <v>19052.36073969254</v>
      </c>
      <c r="AT253" s="265">
        <v>17326.769617638158</v>
      </c>
      <c r="AU253" s="266">
        <v>80522.121250945245</v>
      </c>
      <c r="AV253" s="203"/>
      <c r="AW253" s="324">
        <v>75630.50994096059</v>
      </c>
      <c r="AX253" s="203"/>
      <c r="AY253" s="377">
        <v>0</v>
      </c>
      <c r="AZ253" s="265">
        <v>4891.6113099846552</v>
      </c>
      <c r="BA253" s="265">
        <v>75630.50994096059</v>
      </c>
      <c r="BB253" s="265">
        <v>740.26225131599244</v>
      </c>
      <c r="BC253" s="266">
        <v>74890.247689644602</v>
      </c>
      <c r="BD253" s="264">
        <v>748.90247689644605</v>
      </c>
      <c r="BE253" s="265">
        <v>74141.345212748158</v>
      </c>
      <c r="BF253" s="357">
        <v>0.98031000016560887</v>
      </c>
      <c r="BG253" s="203"/>
      <c r="BJ253" s="458">
        <v>0.98031000016560887</v>
      </c>
      <c r="BK253" s="210"/>
      <c r="BL253" s="458"/>
      <c r="BM253" s="458"/>
      <c r="BN253" s="458"/>
      <c r="BQ253" s="203">
        <v>73964.522315320952</v>
      </c>
      <c r="BR253" s="458">
        <v>0.97797201649254839</v>
      </c>
      <c r="BT253" s="459" t="s">
        <v>900</v>
      </c>
      <c r="BU253" s="460" t="s">
        <v>900</v>
      </c>
      <c r="BV253" s="461">
        <v>74141.345212748158</v>
      </c>
      <c r="BX253" s="462">
        <v>-2070.663693513372</v>
      </c>
      <c r="BY253" s="463">
        <v>-2.7147247288814305E-2</v>
      </c>
      <c r="BZ253" s="461">
        <v>-27.302475295536038</v>
      </c>
      <c r="CB253" s="203" t="s">
        <v>900</v>
      </c>
      <c r="CC253" s="203">
        <v>1374.1944493019616</v>
      </c>
      <c r="CD253" s="203" t="e">
        <v>#VALUE!</v>
      </c>
      <c r="CE253" s="203" t="s">
        <v>900</v>
      </c>
      <c r="CF253" s="203" t="e">
        <v>#VALUE!</v>
      </c>
      <c r="CH253" s="199"/>
      <c r="CJ253" s="464" t="s">
        <v>1448</v>
      </c>
      <c r="CK253" s="464" t="s">
        <v>1447</v>
      </c>
      <c r="CL253" s="464" t="s">
        <v>1448</v>
      </c>
      <c r="CN253" s="464" t="s">
        <v>1447</v>
      </c>
      <c r="CO253" s="464" t="s">
        <v>1447</v>
      </c>
      <c r="CP253" s="464" t="s">
        <v>1447</v>
      </c>
      <c r="CQ253" s="464" t="s">
        <v>1447</v>
      </c>
      <c r="CS253" s="465">
        <v>0</v>
      </c>
      <c r="CT253" s="466">
        <v>0</v>
      </c>
      <c r="CU253" s="466">
        <v>0.95</v>
      </c>
      <c r="CV253" s="467">
        <v>0.95</v>
      </c>
    </row>
    <row r="254" spans="1:100" s="48" customFormat="1" outlineLevel="1" x14ac:dyDescent="0.3">
      <c r="A254" s="202">
        <v>78519000</v>
      </c>
      <c r="B254" s="48">
        <v>400445</v>
      </c>
      <c r="C254" s="48">
        <v>88365</v>
      </c>
      <c r="D254" s="48" t="s">
        <v>205</v>
      </c>
      <c r="E254" s="48" t="s">
        <v>7</v>
      </c>
      <c r="F254" s="48" t="s">
        <v>1498</v>
      </c>
      <c r="G254" s="48" t="s">
        <v>1502</v>
      </c>
      <c r="H254" s="48" t="s">
        <v>1527</v>
      </c>
      <c r="O254" s="454" t="s">
        <v>900</v>
      </c>
      <c r="P254" s="455" t="s">
        <v>900</v>
      </c>
      <c r="Q254" s="347" t="s">
        <v>900</v>
      </c>
      <c r="R254" s="455">
        <v>487</v>
      </c>
      <c r="S254" s="457">
        <v>414</v>
      </c>
      <c r="T254" s="455"/>
      <c r="U254" s="454">
        <v>487</v>
      </c>
      <c r="V254" s="455">
        <v>212.15153171198477</v>
      </c>
      <c r="W254" s="230">
        <v>0.43562942856670384</v>
      </c>
      <c r="X254" s="264" t="s">
        <v>900</v>
      </c>
      <c r="Y254" s="265" t="s">
        <v>900</v>
      </c>
      <c r="Z254" s="265" t="s">
        <v>900</v>
      </c>
      <c r="AA254" s="265" t="s">
        <v>900</v>
      </c>
      <c r="AB254" s="266" t="s">
        <v>900</v>
      </c>
      <c r="AC254" s="265">
        <v>99689.520494341414</v>
      </c>
      <c r="AD254" s="265">
        <v>20585.068942849659</v>
      </c>
      <c r="AE254" s="265">
        <v>54029.237318553758</v>
      </c>
      <c r="AF254" s="266">
        <v>46610.177521639744</v>
      </c>
      <c r="AG254" s="265">
        <v>99689.520494341414</v>
      </c>
      <c r="AH254" s="265">
        <v>20585.068942849659</v>
      </c>
      <c r="AI254" s="265">
        <v>54029.237318553758</v>
      </c>
      <c r="AJ254" s="266">
        <v>46610.177521639744</v>
      </c>
      <c r="AK254" s="265">
        <v>99699.025597363405</v>
      </c>
      <c r="AL254" s="265">
        <v>22559.65377428491</v>
      </c>
      <c r="AM254" s="265">
        <v>54034.388847664988</v>
      </c>
      <c r="AN254" s="265">
        <v>46614.621665186816</v>
      </c>
      <c r="AO254" s="266">
        <v>222907.68988450011</v>
      </c>
      <c r="AP254" s="203"/>
      <c r="AQ254" s="264">
        <v>118879.54315012938</v>
      </c>
      <c r="AR254" s="265">
        <v>24966.262164124135</v>
      </c>
      <c r="AS254" s="265">
        <v>63031.670678686598</v>
      </c>
      <c r="AT254" s="265">
        <v>60730.580817202906</v>
      </c>
      <c r="AU254" s="266">
        <v>267608.05681014305</v>
      </c>
      <c r="AV254" s="203"/>
      <c r="AW254" s="324">
        <v>263321.67998220201</v>
      </c>
      <c r="AX254" s="203"/>
      <c r="AY254" s="377">
        <v>0</v>
      </c>
      <c r="AZ254" s="265">
        <v>4286.3768279410433</v>
      </c>
      <c r="BA254" s="265">
        <v>263321.67998220201</v>
      </c>
      <c r="BB254" s="265">
        <v>2577.3606418375339</v>
      </c>
      <c r="BC254" s="266">
        <v>260744.31934036448</v>
      </c>
      <c r="BD254" s="264">
        <v>2607.4431934036447</v>
      </c>
      <c r="BE254" s="265">
        <v>258136.87614696083</v>
      </c>
      <c r="BF254" s="357">
        <v>0.98031000016560876</v>
      </c>
      <c r="BG254" s="203"/>
      <c r="BJ254" s="458">
        <v>0.98031000016560876</v>
      </c>
      <c r="BK254" s="210"/>
      <c r="BL254" s="458"/>
      <c r="BM254" s="458"/>
      <c r="BN254" s="458"/>
      <c r="BQ254" s="203">
        <v>257521.23435839955</v>
      </c>
      <c r="BR254" s="458">
        <v>0.97797201649254817</v>
      </c>
      <c r="BT254" s="459" t="s">
        <v>900</v>
      </c>
      <c r="BU254" s="460" t="s">
        <v>900</v>
      </c>
      <c r="BV254" s="461">
        <v>258136.87614696083</v>
      </c>
      <c r="BX254" s="462">
        <v>41983.811766739469</v>
      </c>
      <c r="BY254" s="463">
        <v>0.1913432144109084</v>
      </c>
      <c r="BZ254" s="461">
        <v>197.89539782223378</v>
      </c>
      <c r="CB254" s="203" t="s">
        <v>900</v>
      </c>
      <c r="CC254" s="203">
        <v>3861.378026063207</v>
      </c>
      <c r="CD254" s="203" t="e">
        <v>#VALUE!</v>
      </c>
      <c r="CE254" s="203" t="s">
        <v>900</v>
      </c>
      <c r="CF254" s="203" t="e">
        <v>#VALUE!</v>
      </c>
      <c r="CH254" s="199"/>
      <c r="CJ254" s="464" t="s">
        <v>1448</v>
      </c>
      <c r="CK254" s="464" t="s">
        <v>1447</v>
      </c>
      <c r="CL254" s="464" t="s">
        <v>1448</v>
      </c>
      <c r="CN254" s="464" t="s">
        <v>1447</v>
      </c>
      <c r="CO254" s="464" t="s">
        <v>1447</v>
      </c>
      <c r="CP254" s="464" t="s">
        <v>1447</v>
      </c>
      <c r="CQ254" s="464" t="s">
        <v>1447</v>
      </c>
      <c r="CS254" s="465">
        <v>0</v>
      </c>
      <c r="CT254" s="466">
        <v>0</v>
      </c>
      <c r="CU254" s="466">
        <v>0.95</v>
      </c>
      <c r="CV254" s="467">
        <v>0.95</v>
      </c>
    </row>
    <row r="255" spans="1:100" s="48" customFormat="1" outlineLevel="1" x14ac:dyDescent="0.3">
      <c r="A255" s="202">
        <v>78520000</v>
      </c>
      <c r="B255" s="48">
        <v>400438</v>
      </c>
      <c r="C255" s="48">
        <v>88367</v>
      </c>
      <c r="D255" s="48" t="s">
        <v>206</v>
      </c>
      <c r="E255" s="48" t="s">
        <v>7</v>
      </c>
      <c r="F255" s="48" t="s">
        <v>1498</v>
      </c>
      <c r="G255" s="48" t="s">
        <v>1502</v>
      </c>
      <c r="H255" s="48" t="s">
        <v>1527</v>
      </c>
      <c r="O255" s="454" t="s">
        <v>900</v>
      </c>
      <c r="P255" s="455" t="s">
        <v>900</v>
      </c>
      <c r="Q255" s="347" t="s">
        <v>900</v>
      </c>
      <c r="R255" s="455">
        <v>819</v>
      </c>
      <c r="S255" s="457">
        <v>753</v>
      </c>
      <c r="T255" s="455"/>
      <c r="U255" s="454">
        <v>819</v>
      </c>
      <c r="V255" s="455">
        <v>385.86981492542157</v>
      </c>
      <c r="W255" s="230">
        <v>0.47114751517145492</v>
      </c>
      <c r="X255" s="264" t="s">
        <v>900</v>
      </c>
      <c r="Y255" s="265" t="s">
        <v>900</v>
      </c>
      <c r="Z255" s="265" t="s">
        <v>900</v>
      </c>
      <c r="AA255" s="265" t="s">
        <v>900</v>
      </c>
      <c r="AB255" s="266" t="s">
        <v>900</v>
      </c>
      <c r="AC255" s="265">
        <v>181319.34524695433</v>
      </c>
      <c r="AD255" s="265">
        <v>37440.958729385973</v>
      </c>
      <c r="AE255" s="265">
        <v>98270.569325775301</v>
      </c>
      <c r="AF255" s="266">
        <v>84776.482303851997</v>
      </c>
      <c r="AG255" s="265">
        <v>181319.34524695433</v>
      </c>
      <c r="AH255" s="265">
        <v>37440.958729385973</v>
      </c>
      <c r="AI255" s="265">
        <v>98270.569325775301</v>
      </c>
      <c r="AJ255" s="266">
        <v>84776.482303851997</v>
      </c>
      <c r="AK255" s="265">
        <v>181328.8503499763</v>
      </c>
      <c r="AL255" s="265">
        <v>39415.543560821221</v>
      </c>
      <c r="AM255" s="265">
        <v>98275.720854886531</v>
      </c>
      <c r="AN255" s="265">
        <v>84780.926447399062</v>
      </c>
      <c r="AO255" s="266">
        <v>403801.04121308314</v>
      </c>
      <c r="AP255" s="203"/>
      <c r="AQ255" s="264">
        <v>191012.99347424455</v>
      </c>
      <c r="AR255" s="265">
        <v>39680.902150415437</v>
      </c>
      <c r="AS255" s="265">
        <v>101277.8799529361</v>
      </c>
      <c r="AT255" s="265">
        <v>97580.540183215155</v>
      </c>
      <c r="AU255" s="266">
        <v>429552.31576081127</v>
      </c>
      <c r="AV255" s="203"/>
      <c r="AW255" s="324">
        <v>422672.01807989425</v>
      </c>
      <c r="AX255" s="203"/>
      <c r="AY255" s="377">
        <v>0</v>
      </c>
      <c r="AZ255" s="265">
        <v>6880.2976809170214</v>
      </c>
      <c r="BA255" s="265">
        <v>422672.01807989425</v>
      </c>
      <c r="BB255" s="265">
        <v>4137.062409288872</v>
      </c>
      <c r="BC255" s="266">
        <v>418534.95567060536</v>
      </c>
      <c r="BD255" s="264">
        <v>4185.3495567060536</v>
      </c>
      <c r="BE255" s="265">
        <v>414349.60611389932</v>
      </c>
      <c r="BF255" s="357">
        <v>0.98031000016560876</v>
      </c>
      <c r="BG255" s="203"/>
      <c r="BJ255" s="458">
        <v>0.98031000016560876</v>
      </c>
      <c r="BK255" s="210"/>
      <c r="BL255" s="458"/>
      <c r="BM255" s="458"/>
      <c r="BN255" s="458"/>
      <c r="BQ255" s="203">
        <v>413361.40583656897</v>
      </c>
      <c r="BR255" s="458">
        <v>0.97797201649254817</v>
      </c>
      <c r="BT255" s="459" t="s">
        <v>900</v>
      </c>
      <c r="BU255" s="460" t="s">
        <v>900</v>
      </c>
      <c r="BV255" s="461">
        <v>414349.60611389932</v>
      </c>
      <c r="BX255" s="462">
        <v>21517.987322846078</v>
      </c>
      <c r="BY255" s="463">
        <v>5.3955751928484619E-2</v>
      </c>
      <c r="BZ255" s="461">
        <v>55.764888805839703</v>
      </c>
      <c r="CB255" s="203" t="s">
        <v>900</v>
      </c>
      <c r="CC255" s="203">
        <v>6955.3062745745792</v>
      </c>
      <c r="CD255" s="203" t="e">
        <v>#VALUE!</v>
      </c>
      <c r="CE255" s="203" t="s">
        <v>900</v>
      </c>
      <c r="CF255" s="203" t="e">
        <v>#VALUE!</v>
      </c>
      <c r="CH255" s="199"/>
      <c r="CJ255" s="464" t="s">
        <v>1448</v>
      </c>
      <c r="CK255" s="464" t="s">
        <v>1447</v>
      </c>
      <c r="CL255" s="464" t="s">
        <v>1448</v>
      </c>
      <c r="CN255" s="464" t="s">
        <v>1447</v>
      </c>
      <c r="CO255" s="464" t="s">
        <v>1447</v>
      </c>
      <c r="CP255" s="464" t="s">
        <v>1447</v>
      </c>
      <c r="CQ255" s="464" t="s">
        <v>1447</v>
      </c>
      <c r="CS255" s="465">
        <v>0</v>
      </c>
      <c r="CT255" s="466">
        <v>0</v>
      </c>
      <c r="CU255" s="466">
        <v>0.95</v>
      </c>
      <c r="CV255" s="467">
        <v>0.95</v>
      </c>
    </row>
    <row r="256" spans="1:100" s="48" customFormat="1" outlineLevel="1" x14ac:dyDescent="0.3">
      <c r="A256" s="202">
        <v>78536000</v>
      </c>
      <c r="B256" s="48">
        <v>400766</v>
      </c>
      <c r="C256" s="48">
        <v>89786</v>
      </c>
      <c r="D256" s="48" t="s">
        <v>207</v>
      </c>
      <c r="E256" s="48" t="s">
        <v>7</v>
      </c>
      <c r="F256" s="48" t="s">
        <v>1498</v>
      </c>
      <c r="G256" s="48" t="s">
        <v>1502</v>
      </c>
      <c r="H256" s="48" t="s">
        <v>1527</v>
      </c>
      <c r="O256" s="454" t="s">
        <v>900</v>
      </c>
      <c r="P256" s="455" t="s">
        <v>900</v>
      </c>
      <c r="Q256" s="347" t="s">
        <v>900</v>
      </c>
      <c r="R256" s="455">
        <v>685</v>
      </c>
      <c r="S256" s="457">
        <v>486</v>
      </c>
      <c r="T256" s="455"/>
      <c r="U256" s="454">
        <v>685</v>
      </c>
      <c r="V256" s="455">
        <v>249.04745027059082</v>
      </c>
      <c r="W256" s="230">
        <v>0.36357292010305231</v>
      </c>
      <c r="X256" s="264" t="s">
        <v>900</v>
      </c>
      <c r="Y256" s="265" t="s">
        <v>900</v>
      </c>
      <c r="Z256" s="265" t="s">
        <v>900</v>
      </c>
      <c r="AA256" s="265" t="s">
        <v>900</v>
      </c>
      <c r="AB256" s="266" t="s">
        <v>900</v>
      </c>
      <c r="AC256" s="265">
        <v>117026.82840640079</v>
      </c>
      <c r="AD256" s="265">
        <v>24165.080932910467</v>
      </c>
      <c r="AE256" s="265">
        <v>63425.626417432664</v>
      </c>
      <c r="AF256" s="266">
        <v>54716.295351490131</v>
      </c>
      <c r="AG256" s="265">
        <v>117026.82840640079</v>
      </c>
      <c r="AH256" s="265">
        <v>24165.080932910467</v>
      </c>
      <c r="AI256" s="265">
        <v>63425.626417432664</v>
      </c>
      <c r="AJ256" s="266">
        <v>54716.295351490131</v>
      </c>
      <c r="AK256" s="265">
        <v>117036.33350942278</v>
      </c>
      <c r="AL256" s="265">
        <v>26139.665764345718</v>
      </c>
      <c r="AM256" s="265">
        <v>63430.777946543894</v>
      </c>
      <c r="AN256" s="265">
        <v>54720.739495037204</v>
      </c>
      <c r="AO256" s="266">
        <v>261327.5167153496</v>
      </c>
      <c r="AP256" s="203"/>
      <c r="AQ256" s="264">
        <v>130014.23682432163</v>
      </c>
      <c r="AR256" s="265">
        <v>27237.649544558361</v>
      </c>
      <c r="AS256" s="265">
        <v>68935.447949208334</v>
      </c>
      <c r="AT256" s="265">
        <v>66418.829578399425</v>
      </c>
      <c r="AU256" s="266">
        <v>292606.16389648773</v>
      </c>
      <c r="AV256" s="203"/>
      <c r="AW256" s="324">
        <v>287919.3831784901</v>
      </c>
      <c r="AX256" s="203"/>
      <c r="AY256" s="377">
        <v>0</v>
      </c>
      <c r="AZ256" s="265">
        <v>4686.7807179976371</v>
      </c>
      <c r="BA256" s="265">
        <v>287919.3831784901</v>
      </c>
      <c r="BB256" s="265">
        <v>2818.1199750682777</v>
      </c>
      <c r="BC256" s="266">
        <v>285101.26320342184</v>
      </c>
      <c r="BD256" s="264">
        <v>2851.0126320342183</v>
      </c>
      <c r="BE256" s="265">
        <v>282250.25057138765</v>
      </c>
      <c r="BF256" s="357">
        <v>0.98031000016560887</v>
      </c>
      <c r="BG256" s="203"/>
      <c r="BJ256" s="458">
        <v>0.98031000016560887</v>
      </c>
      <c r="BK256" s="210"/>
      <c r="BL256" s="458"/>
      <c r="BM256" s="458"/>
      <c r="BN256" s="458"/>
      <c r="BQ256" s="203">
        <v>281577.09975435864</v>
      </c>
      <c r="BR256" s="458">
        <v>0.97797201649254828</v>
      </c>
      <c r="BT256" s="459" t="s">
        <v>900</v>
      </c>
      <c r="BU256" s="460" t="s">
        <v>900</v>
      </c>
      <c r="BV256" s="461">
        <v>282250.25057138765</v>
      </c>
      <c r="BX256" s="462">
        <v>28572.537466741807</v>
      </c>
      <c r="BY256" s="463">
        <v>0.11095391446978936</v>
      </c>
      <c r="BZ256" s="461">
        <v>114.72728363891162</v>
      </c>
      <c r="CB256" s="203" t="s">
        <v>900</v>
      </c>
      <c r="CC256" s="203">
        <v>4648.1766966809764</v>
      </c>
      <c r="CD256" s="203" t="e">
        <v>#VALUE!</v>
      </c>
      <c r="CE256" s="203" t="s">
        <v>900</v>
      </c>
      <c r="CF256" s="203" t="e">
        <v>#VALUE!</v>
      </c>
      <c r="CH256" s="199"/>
      <c r="CJ256" s="464" t="s">
        <v>1448</v>
      </c>
      <c r="CK256" s="464" t="s">
        <v>1447</v>
      </c>
      <c r="CL256" s="464" t="s">
        <v>1448</v>
      </c>
      <c r="CN256" s="464" t="s">
        <v>1447</v>
      </c>
      <c r="CO256" s="464" t="s">
        <v>1447</v>
      </c>
      <c r="CP256" s="464" t="s">
        <v>1447</v>
      </c>
      <c r="CQ256" s="464" t="s">
        <v>1447</v>
      </c>
      <c r="CS256" s="465">
        <v>0</v>
      </c>
      <c r="CT256" s="466">
        <v>0</v>
      </c>
      <c r="CU256" s="466">
        <v>0.95</v>
      </c>
      <c r="CV256" s="467">
        <v>0.95</v>
      </c>
    </row>
    <row r="257" spans="1:100" s="48" customFormat="1" outlineLevel="1" x14ac:dyDescent="0.3">
      <c r="A257" s="202">
        <v>78532000</v>
      </c>
      <c r="B257" s="48">
        <v>400754</v>
      </c>
      <c r="C257" s="48">
        <v>89563</v>
      </c>
      <c r="D257" s="48" t="s">
        <v>208</v>
      </c>
      <c r="E257" s="48" t="s">
        <v>7</v>
      </c>
      <c r="F257" s="48" t="s">
        <v>1498</v>
      </c>
      <c r="G257" s="48" t="s">
        <v>1502</v>
      </c>
      <c r="H257" s="48" t="s">
        <v>1527</v>
      </c>
      <c r="O257" s="454" t="s">
        <v>900</v>
      </c>
      <c r="P257" s="455" t="s">
        <v>900</v>
      </c>
      <c r="Q257" s="347" t="s">
        <v>900</v>
      </c>
      <c r="R257" s="455">
        <v>316</v>
      </c>
      <c r="S257" s="457">
        <v>291</v>
      </c>
      <c r="T257" s="455"/>
      <c r="U257" s="454">
        <v>316</v>
      </c>
      <c r="V257" s="455">
        <v>149.12100417436611</v>
      </c>
      <c r="W257" s="230">
        <v>0.47190191194419656</v>
      </c>
      <c r="X257" s="264" t="s">
        <v>900</v>
      </c>
      <c r="Y257" s="265" t="s">
        <v>900</v>
      </c>
      <c r="Z257" s="265" t="s">
        <v>900</v>
      </c>
      <c r="AA257" s="265" t="s">
        <v>900</v>
      </c>
      <c r="AB257" s="266" t="s">
        <v>900</v>
      </c>
      <c r="AC257" s="265">
        <v>70071.619477906643</v>
      </c>
      <c r="AD257" s="265">
        <v>14469.215126495774</v>
      </c>
      <c r="AE257" s="265">
        <v>37977.072607968941</v>
      </c>
      <c r="AF257" s="266">
        <v>32762.226228978659</v>
      </c>
      <c r="AG257" s="265">
        <v>70071.619477906643</v>
      </c>
      <c r="AH257" s="265">
        <v>14469.215126495774</v>
      </c>
      <c r="AI257" s="265">
        <v>37977.072607968941</v>
      </c>
      <c r="AJ257" s="266">
        <v>32762.226228978659</v>
      </c>
      <c r="AK257" s="265">
        <v>70081.124580928634</v>
      </c>
      <c r="AL257" s="265">
        <v>16443.799957931024</v>
      </c>
      <c r="AM257" s="265">
        <v>37982.224137080171</v>
      </c>
      <c r="AN257" s="265">
        <v>32766.670372525732</v>
      </c>
      <c r="AO257" s="266">
        <v>157273.81904846555</v>
      </c>
      <c r="AP257" s="203"/>
      <c r="AQ257" s="264">
        <v>69016.660006847233</v>
      </c>
      <c r="AR257" s="265">
        <v>15921.664415319754</v>
      </c>
      <c r="AS257" s="265">
        <v>37456.152093259188</v>
      </c>
      <c r="AT257" s="265">
        <v>35257.118973583703</v>
      </c>
      <c r="AU257" s="266">
        <v>157651.59548900989</v>
      </c>
      <c r="AV257" s="203"/>
      <c r="AW257" s="324">
        <v>153166.74827708592</v>
      </c>
      <c r="AX257" s="203"/>
      <c r="AY257" s="377">
        <v>0</v>
      </c>
      <c r="AZ257" s="265">
        <v>4484.8472119239741</v>
      </c>
      <c r="BA257" s="265">
        <v>153166.74827708592</v>
      </c>
      <c r="BB257" s="265">
        <v>1499.1775408476831</v>
      </c>
      <c r="BC257" s="266">
        <v>151667.57073623824</v>
      </c>
      <c r="BD257" s="264">
        <v>1516.6757073623824</v>
      </c>
      <c r="BE257" s="265">
        <v>150150.89502887585</v>
      </c>
      <c r="BF257" s="357">
        <v>0.98031000016560876</v>
      </c>
      <c r="BG257" s="203"/>
      <c r="BJ257" s="458">
        <v>0.98031000016560876</v>
      </c>
      <c r="BK257" s="210"/>
      <c r="BL257" s="458"/>
      <c r="BM257" s="458"/>
      <c r="BN257" s="458"/>
      <c r="BQ257" s="203">
        <v>149792.79367214825</v>
      </c>
      <c r="BR257" s="458">
        <v>0.97797201649254828</v>
      </c>
      <c r="BT257" s="459" t="s">
        <v>900</v>
      </c>
      <c r="BU257" s="460" t="s">
        <v>900</v>
      </c>
      <c r="BV257" s="461">
        <v>150150.89502887585</v>
      </c>
      <c r="BX257" s="462">
        <v>-1897.5611137870292</v>
      </c>
      <c r="BY257" s="463">
        <v>-1.2295700695890756E-2</v>
      </c>
      <c r="BZ257" s="461">
        <v>-12.724975427125107</v>
      </c>
      <c r="CB257" s="203" t="s">
        <v>900</v>
      </c>
      <c r="CC257" s="203">
        <v>2687.3925202029591</v>
      </c>
      <c r="CD257" s="203" t="e">
        <v>#VALUE!</v>
      </c>
      <c r="CE257" s="203" t="s">
        <v>900</v>
      </c>
      <c r="CF257" s="203" t="e">
        <v>#VALUE!</v>
      </c>
      <c r="CH257" s="199"/>
      <c r="CJ257" s="464" t="s">
        <v>1448</v>
      </c>
      <c r="CK257" s="464" t="s">
        <v>1447</v>
      </c>
      <c r="CL257" s="464" t="s">
        <v>1448</v>
      </c>
      <c r="CN257" s="464" t="s">
        <v>1447</v>
      </c>
      <c r="CO257" s="464" t="s">
        <v>1447</v>
      </c>
      <c r="CP257" s="464" t="s">
        <v>1447</v>
      </c>
      <c r="CQ257" s="464" t="s">
        <v>1447</v>
      </c>
      <c r="CS257" s="465">
        <v>0</v>
      </c>
      <c r="CT257" s="466">
        <v>0</v>
      </c>
      <c r="CU257" s="466">
        <v>0.95</v>
      </c>
      <c r="CV257" s="467">
        <v>0.95</v>
      </c>
    </row>
    <row r="258" spans="1:100" s="48" customFormat="1" outlineLevel="1" x14ac:dyDescent="0.3">
      <c r="A258" s="202">
        <v>78523000</v>
      </c>
      <c r="B258" s="48">
        <v>400446</v>
      </c>
      <c r="C258" s="48">
        <v>88374</v>
      </c>
      <c r="D258" s="48" t="s">
        <v>209</v>
      </c>
      <c r="E258" s="48" t="s">
        <v>7</v>
      </c>
      <c r="F258" s="48" t="s">
        <v>1498</v>
      </c>
      <c r="G258" s="48" t="s">
        <v>1499</v>
      </c>
      <c r="H258" s="48" t="s">
        <v>1527</v>
      </c>
      <c r="O258" s="454" t="s">
        <v>900</v>
      </c>
      <c r="P258" s="455" t="s">
        <v>900</v>
      </c>
      <c r="Q258" s="347" t="s">
        <v>900</v>
      </c>
      <c r="R258" s="455">
        <v>280</v>
      </c>
      <c r="S258" s="457">
        <v>279</v>
      </c>
      <c r="T258" s="455"/>
      <c r="U258" s="454">
        <v>280</v>
      </c>
      <c r="V258" s="455">
        <v>142.97168441459843</v>
      </c>
      <c r="W258" s="230">
        <v>0.51061315862356582</v>
      </c>
      <c r="X258" s="264" t="s">
        <v>900</v>
      </c>
      <c r="Y258" s="265" t="s">
        <v>900</v>
      </c>
      <c r="Z258" s="265" t="s">
        <v>900</v>
      </c>
      <c r="AA258" s="265" t="s">
        <v>900</v>
      </c>
      <c r="AB258" s="266" t="s">
        <v>900</v>
      </c>
      <c r="AC258" s="265">
        <v>67182.068159230083</v>
      </c>
      <c r="AD258" s="265">
        <v>13872.546461485639</v>
      </c>
      <c r="AE258" s="265">
        <v>36411.007758155793</v>
      </c>
      <c r="AF258" s="266">
        <v>31411.206590670259</v>
      </c>
      <c r="AG258" s="265">
        <v>67182.068159230083</v>
      </c>
      <c r="AH258" s="265">
        <v>13872.546461485639</v>
      </c>
      <c r="AI258" s="265">
        <v>36411.007758155793</v>
      </c>
      <c r="AJ258" s="266">
        <v>31411.206590670259</v>
      </c>
      <c r="AK258" s="265">
        <v>67191.573262252074</v>
      </c>
      <c r="AL258" s="265">
        <v>15847.131292920891</v>
      </c>
      <c r="AM258" s="265">
        <v>36416.159287267023</v>
      </c>
      <c r="AN258" s="265">
        <v>31415.650734217332</v>
      </c>
      <c r="AO258" s="266">
        <v>150870.51457665733</v>
      </c>
      <c r="AP258" s="203"/>
      <c r="AQ258" s="264">
        <v>66170.998180985101</v>
      </c>
      <c r="AR258" s="265">
        <v>15343.941609415255</v>
      </c>
      <c r="AS258" s="265">
        <v>35911.777993659205</v>
      </c>
      <c r="AT258" s="265">
        <v>30153.624609930768</v>
      </c>
      <c r="AU258" s="266">
        <v>147580.34239399032</v>
      </c>
      <c r="AV258" s="203"/>
      <c r="AW258" s="324">
        <v>113061.79741357286</v>
      </c>
      <c r="AX258" s="203"/>
      <c r="AY258" s="377">
        <v>0</v>
      </c>
      <c r="AZ258" s="265">
        <v>13922.304281029996</v>
      </c>
      <c r="BA258" s="265">
        <v>133658.03811296032</v>
      </c>
      <c r="BB258" s="265">
        <v>1308.2286537168106</v>
      </c>
      <c r="BC258" s="266">
        <v>132349.80945924352</v>
      </c>
      <c r="BD258" s="264">
        <v>1323.4980945924353</v>
      </c>
      <c r="BE258" s="265">
        <v>131026.31136465109</v>
      </c>
      <c r="BF258" s="357">
        <v>1.1588911052365918</v>
      </c>
      <c r="BG258" s="203"/>
      <c r="BJ258" s="458">
        <v>1.1588911052365918</v>
      </c>
      <c r="BK258" s="210"/>
      <c r="BL258" s="458"/>
      <c r="BM258" s="458"/>
      <c r="BN258" s="458"/>
      <c r="BQ258" s="203">
        <v>130713.82105376969</v>
      </c>
      <c r="BR258" s="458">
        <v>1.1561272157705653</v>
      </c>
      <c r="BT258" s="459" t="s">
        <v>900</v>
      </c>
      <c r="BU258" s="460" t="s">
        <v>900</v>
      </c>
      <c r="BV258" s="461">
        <v>131026.31136465109</v>
      </c>
      <c r="BX258" s="462">
        <v>-8936.2627363973734</v>
      </c>
      <c r="BY258" s="463">
        <v>-6.2905746753488354E-2</v>
      </c>
      <c r="BZ258" s="461">
        <v>-62.503724237335192</v>
      </c>
      <c r="CB258" s="203" t="s">
        <v>900</v>
      </c>
      <c r="CC258" s="203">
        <v>2553.2077691547938</v>
      </c>
      <c r="CD258" s="203" t="e">
        <v>#VALUE!</v>
      </c>
      <c r="CE258" s="203" t="s">
        <v>900</v>
      </c>
      <c r="CF258" s="203" t="e">
        <v>#VALUE!</v>
      </c>
      <c r="CH258" s="199"/>
      <c r="CJ258" s="464" t="s">
        <v>1448</v>
      </c>
      <c r="CK258" s="464" t="s">
        <v>1447</v>
      </c>
      <c r="CL258" s="464" t="s">
        <v>1448</v>
      </c>
      <c r="CN258" s="464" t="s">
        <v>1447</v>
      </c>
      <c r="CO258" s="464" t="s">
        <v>1447</v>
      </c>
      <c r="CP258" s="464" t="s">
        <v>1447</v>
      </c>
      <c r="CQ258" s="464" t="s">
        <v>1447</v>
      </c>
      <c r="CS258" s="465">
        <v>0</v>
      </c>
      <c r="CT258" s="466">
        <v>0</v>
      </c>
      <c r="CU258" s="466">
        <v>0.95</v>
      </c>
      <c r="CV258" s="467">
        <v>0.95</v>
      </c>
    </row>
    <row r="259" spans="1:100" s="48" customFormat="1" outlineLevel="1" x14ac:dyDescent="0.3">
      <c r="A259" s="202">
        <v>78521000</v>
      </c>
      <c r="B259" s="48">
        <v>400442</v>
      </c>
      <c r="C259" s="48">
        <v>88369</v>
      </c>
      <c r="D259" s="48" t="s">
        <v>210</v>
      </c>
      <c r="E259" s="48" t="s">
        <v>7</v>
      </c>
      <c r="F259" s="48" t="s">
        <v>1498</v>
      </c>
      <c r="G259" s="48" t="s">
        <v>1502</v>
      </c>
      <c r="H259" s="48" t="s">
        <v>1527</v>
      </c>
      <c r="O259" s="454" t="s">
        <v>900</v>
      </c>
      <c r="P259" s="455" t="s">
        <v>900</v>
      </c>
      <c r="Q259" s="347" t="s">
        <v>900</v>
      </c>
      <c r="R259" s="455">
        <v>131</v>
      </c>
      <c r="S259" s="457">
        <v>75</v>
      </c>
      <c r="T259" s="455"/>
      <c r="U259" s="454">
        <v>131</v>
      </c>
      <c r="V259" s="455">
        <v>38.433248498547961</v>
      </c>
      <c r="W259" s="230">
        <v>0.29338357632479362</v>
      </c>
      <c r="X259" s="264" t="s">
        <v>900</v>
      </c>
      <c r="Y259" s="265" t="s">
        <v>900</v>
      </c>
      <c r="Z259" s="265" t="s">
        <v>900</v>
      </c>
      <c r="AA259" s="265" t="s">
        <v>900</v>
      </c>
      <c r="AB259" s="266" t="s">
        <v>900</v>
      </c>
      <c r="AC259" s="265">
        <v>18059.695741728516</v>
      </c>
      <c r="AD259" s="265">
        <v>3729.1791563133434</v>
      </c>
      <c r="AE259" s="265">
        <v>9787.9053113322007</v>
      </c>
      <c r="AF259" s="266">
        <v>8443.8727394274883</v>
      </c>
      <c r="AG259" s="265">
        <v>18059.695741728516</v>
      </c>
      <c r="AH259" s="265">
        <v>3729.1791563133434</v>
      </c>
      <c r="AI259" s="265">
        <v>9787.9053113322007</v>
      </c>
      <c r="AJ259" s="266">
        <v>8443.8727394274883</v>
      </c>
      <c r="AK259" s="265">
        <v>18069.200844750507</v>
      </c>
      <c r="AL259" s="265">
        <v>5703.7639877485944</v>
      </c>
      <c r="AM259" s="265">
        <v>9793.0568404434307</v>
      </c>
      <c r="AN259" s="265">
        <v>8448.3168829745609</v>
      </c>
      <c r="AO259" s="266">
        <v>42014.338555917093</v>
      </c>
      <c r="AP259" s="203"/>
      <c r="AQ259" s="264">
        <v>17794.747141328731</v>
      </c>
      <c r="AR259" s="265">
        <v>5522.653909038756</v>
      </c>
      <c r="AS259" s="265">
        <v>9657.4183004592069</v>
      </c>
      <c r="AT259" s="265">
        <v>8108.9320106773812</v>
      </c>
      <c r="AU259" s="266">
        <v>41083.751361504073</v>
      </c>
      <c r="AV259" s="203"/>
      <c r="AW259" s="324">
        <v>33921.361042906916</v>
      </c>
      <c r="AX259" s="203"/>
      <c r="AY259" s="377">
        <v>0</v>
      </c>
      <c r="AZ259" s="265">
        <v>3875.7227296169513</v>
      </c>
      <c r="BA259" s="265">
        <v>37208.028631887122</v>
      </c>
      <c r="BB259" s="265">
        <v>364.18766796061658</v>
      </c>
      <c r="BC259" s="266">
        <v>36843.840963926508</v>
      </c>
      <c r="BD259" s="264">
        <v>368.4384096392651</v>
      </c>
      <c r="BE259" s="265">
        <v>36475.40255428724</v>
      </c>
      <c r="BF259" s="357">
        <v>1.075293013984602</v>
      </c>
      <c r="BG259" s="203"/>
      <c r="BJ259" s="458">
        <v>1.075293013984602</v>
      </c>
      <c r="BK259" s="210"/>
      <c r="BL259" s="458"/>
      <c r="BM259" s="458"/>
      <c r="BN259" s="458"/>
      <c r="BQ259" s="203">
        <v>36388.410790839116</v>
      </c>
      <c r="BR259" s="458">
        <v>1.0727285012182042</v>
      </c>
      <c r="BT259" s="459" t="s">
        <v>900</v>
      </c>
      <c r="BU259" s="460" t="s">
        <v>900</v>
      </c>
      <c r="BV259" s="461">
        <v>36475.40255428724</v>
      </c>
      <c r="BX259" s="462">
        <v>-1420.1270163266745</v>
      </c>
      <c r="BY259" s="463">
        <v>-3.6959855861777413E-2</v>
      </c>
      <c r="BZ259" s="461">
        <v>-36.950480945692846</v>
      </c>
      <c r="CB259" s="203" t="s">
        <v>900</v>
      </c>
      <c r="CC259" s="203">
        <v>743.03666332353805</v>
      </c>
      <c r="CD259" s="203" t="e">
        <v>#VALUE!</v>
      </c>
      <c r="CE259" s="203" t="s">
        <v>900</v>
      </c>
      <c r="CF259" s="203" t="e">
        <v>#VALUE!</v>
      </c>
      <c r="CH259" s="199"/>
      <c r="CJ259" s="464" t="s">
        <v>1448</v>
      </c>
      <c r="CK259" s="464" t="s">
        <v>1447</v>
      </c>
      <c r="CL259" s="464" t="s">
        <v>1448</v>
      </c>
      <c r="CN259" s="464" t="s">
        <v>1447</v>
      </c>
      <c r="CO259" s="464" t="s">
        <v>1447</v>
      </c>
      <c r="CP259" s="464" t="s">
        <v>1447</v>
      </c>
      <c r="CQ259" s="464" t="s">
        <v>1447</v>
      </c>
      <c r="CS259" s="465">
        <v>0</v>
      </c>
      <c r="CT259" s="466">
        <v>0.9</v>
      </c>
      <c r="CU259" s="466">
        <v>0</v>
      </c>
      <c r="CV259" s="467">
        <v>0.9</v>
      </c>
    </row>
    <row r="260" spans="1:100" s="48" customFormat="1" outlineLevel="1" x14ac:dyDescent="0.3">
      <c r="A260" s="202">
        <v>78522000</v>
      </c>
      <c r="B260" s="48">
        <v>400441</v>
      </c>
      <c r="C260" s="48">
        <v>88372</v>
      </c>
      <c r="D260" s="48" t="s">
        <v>211</v>
      </c>
      <c r="E260" s="48" t="s">
        <v>7</v>
      </c>
      <c r="F260" s="48" t="s">
        <v>1498</v>
      </c>
      <c r="G260" s="48" t="s">
        <v>1502</v>
      </c>
      <c r="H260" s="48" t="s">
        <v>1527</v>
      </c>
      <c r="O260" s="454" t="s">
        <v>900</v>
      </c>
      <c r="P260" s="455" t="s">
        <v>900</v>
      </c>
      <c r="Q260" s="347" t="s">
        <v>900</v>
      </c>
      <c r="R260" s="455">
        <v>308</v>
      </c>
      <c r="S260" s="457">
        <v>108</v>
      </c>
      <c r="T260" s="455"/>
      <c r="U260" s="454">
        <v>308</v>
      </c>
      <c r="V260" s="455">
        <v>55.343877837909069</v>
      </c>
      <c r="W260" s="230">
        <v>0.17968791505814632</v>
      </c>
      <c r="X260" s="264" t="s">
        <v>900</v>
      </c>
      <c r="Y260" s="265" t="s">
        <v>900</v>
      </c>
      <c r="Z260" s="265" t="s">
        <v>900</v>
      </c>
      <c r="AA260" s="265" t="s">
        <v>900</v>
      </c>
      <c r="AB260" s="266" t="s">
        <v>900</v>
      </c>
      <c r="AC260" s="265">
        <v>26005.961868089064</v>
      </c>
      <c r="AD260" s="265">
        <v>5370.0179850912155</v>
      </c>
      <c r="AE260" s="265">
        <v>14094.58364831837</v>
      </c>
      <c r="AF260" s="266">
        <v>12159.176744775585</v>
      </c>
      <c r="AG260" s="265">
        <v>26005.961868089064</v>
      </c>
      <c r="AH260" s="265">
        <v>5370.0179850912155</v>
      </c>
      <c r="AI260" s="265">
        <v>14094.58364831837</v>
      </c>
      <c r="AJ260" s="266">
        <v>12159.176744775585</v>
      </c>
      <c r="AK260" s="265">
        <v>26015.466971111055</v>
      </c>
      <c r="AL260" s="265">
        <v>7344.602816526467</v>
      </c>
      <c r="AM260" s="265">
        <v>14099.7351774296</v>
      </c>
      <c r="AN260" s="265">
        <v>12163.620888322657</v>
      </c>
      <c r="AO260" s="266">
        <v>59623.425853389774</v>
      </c>
      <c r="AP260" s="203"/>
      <c r="AQ260" s="264">
        <v>26398.918697224064</v>
      </c>
      <c r="AR260" s="265">
        <v>7111.3916252761319</v>
      </c>
      <c r="AS260" s="265">
        <v>13997.092397095406</v>
      </c>
      <c r="AT260" s="265">
        <v>13486.102174903846</v>
      </c>
      <c r="AU260" s="266">
        <v>60993.504894499449</v>
      </c>
      <c r="AV260" s="203"/>
      <c r="AW260" s="324">
        <v>62262.19298645619</v>
      </c>
      <c r="AX260" s="203"/>
      <c r="AY260" s="377">
        <v>0</v>
      </c>
      <c r="AZ260" s="265">
        <v>0</v>
      </c>
      <c r="BA260" s="265">
        <v>60993.504894499449</v>
      </c>
      <c r="BB260" s="265">
        <v>596.99702255216209</v>
      </c>
      <c r="BC260" s="266">
        <v>60396.507871947288</v>
      </c>
      <c r="BD260" s="264">
        <v>603.9650787194729</v>
      </c>
      <c r="BE260" s="265">
        <v>59792.542793227818</v>
      </c>
      <c r="BF260" s="357">
        <v>0.96033467382420035</v>
      </c>
      <c r="BG260" s="203"/>
      <c r="BJ260" s="458">
        <v>0.96033467382420035</v>
      </c>
      <c r="BK260" s="210"/>
      <c r="BL260" s="458"/>
      <c r="BM260" s="458"/>
      <c r="BN260" s="458"/>
      <c r="BQ260" s="203">
        <v>59649.940974621742</v>
      </c>
      <c r="BR260" s="458">
        <v>0.95804433016995261</v>
      </c>
      <c r="BT260" s="459" t="s">
        <v>900</v>
      </c>
      <c r="BU260" s="460" t="s">
        <v>900</v>
      </c>
      <c r="BV260" s="461">
        <v>59792.542793227818</v>
      </c>
      <c r="BX260" s="462">
        <v>3119.2354918104393</v>
      </c>
      <c r="BY260" s="463">
        <v>5.425946802726319E-2</v>
      </c>
      <c r="BZ260" s="461">
        <v>56.360985418225368</v>
      </c>
      <c r="CB260" s="203" t="s">
        <v>900</v>
      </c>
      <c r="CC260" s="203">
        <v>1191.3873499479566</v>
      </c>
      <c r="CD260" s="203" t="e">
        <v>#VALUE!</v>
      </c>
      <c r="CE260" s="203" t="s">
        <v>900</v>
      </c>
      <c r="CF260" s="203" t="e">
        <v>#VALUE!</v>
      </c>
      <c r="CH260" s="199"/>
      <c r="CJ260" s="464" t="s">
        <v>1448</v>
      </c>
      <c r="CK260" s="464" t="s">
        <v>1447</v>
      </c>
      <c r="CL260" s="464" t="s">
        <v>1448</v>
      </c>
      <c r="CN260" s="464" t="s">
        <v>1447</v>
      </c>
      <c r="CO260" s="464" t="s">
        <v>1447</v>
      </c>
      <c r="CP260" s="464" t="s">
        <v>1447</v>
      </c>
      <c r="CQ260" s="464" t="s">
        <v>1447</v>
      </c>
      <c r="CS260" s="465">
        <v>0</v>
      </c>
      <c r="CT260" s="466">
        <v>0.9</v>
      </c>
      <c r="CU260" s="466">
        <v>0</v>
      </c>
      <c r="CV260" s="467">
        <v>0.9</v>
      </c>
    </row>
    <row r="261" spans="1:100" s="48" customFormat="1" outlineLevel="1" x14ac:dyDescent="0.3">
      <c r="A261" s="202">
        <v>78547000</v>
      </c>
      <c r="B261" s="48">
        <v>400769</v>
      </c>
      <c r="C261" s="48">
        <v>90034</v>
      </c>
      <c r="D261" s="48" t="s">
        <v>212</v>
      </c>
      <c r="E261" s="48" t="s">
        <v>7</v>
      </c>
      <c r="F261" s="48" t="s">
        <v>1498</v>
      </c>
      <c r="G261" s="48" t="s">
        <v>1502</v>
      </c>
      <c r="H261" s="48" t="s">
        <v>1527</v>
      </c>
      <c r="O261" s="454" t="s">
        <v>900</v>
      </c>
      <c r="P261" s="455" t="s">
        <v>900</v>
      </c>
      <c r="Q261" s="347" t="s">
        <v>900</v>
      </c>
      <c r="R261" s="455">
        <v>483</v>
      </c>
      <c r="S261" s="457">
        <v>324</v>
      </c>
      <c r="T261" s="455"/>
      <c r="U261" s="454">
        <v>483</v>
      </c>
      <c r="V261" s="455">
        <v>166.0316335137272</v>
      </c>
      <c r="W261" s="230">
        <v>0.34375079402427994</v>
      </c>
      <c r="X261" s="264" t="s">
        <v>900</v>
      </c>
      <c r="Y261" s="265" t="s">
        <v>900</v>
      </c>
      <c r="Z261" s="265" t="s">
        <v>900</v>
      </c>
      <c r="AA261" s="265" t="s">
        <v>900</v>
      </c>
      <c r="AB261" s="266" t="s">
        <v>900</v>
      </c>
      <c r="AC261" s="265">
        <v>78017.885604267198</v>
      </c>
      <c r="AD261" s="265">
        <v>16110.053955273645</v>
      </c>
      <c r="AE261" s="265">
        <v>42283.750944955107</v>
      </c>
      <c r="AF261" s="266">
        <v>36477.530234326754</v>
      </c>
      <c r="AG261" s="265">
        <v>78017.885604267198</v>
      </c>
      <c r="AH261" s="265">
        <v>16110.053955273645</v>
      </c>
      <c r="AI261" s="265">
        <v>42283.750944955107</v>
      </c>
      <c r="AJ261" s="266">
        <v>36477.530234326754</v>
      </c>
      <c r="AK261" s="265">
        <v>78027.390707289189</v>
      </c>
      <c r="AL261" s="265">
        <v>18084.638786708896</v>
      </c>
      <c r="AM261" s="265">
        <v>42288.902474066337</v>
      </c>
      <c r="AN261" s="265">
        <v>36481.974377873827</v>
      </c>
      <c r="AO261" s="266">
        <v>174882.90634593825</v>
      </c>
      <c r="AP261" s="203"/>
      <c r="AQ261" s="264">
        <v>91284.867522783316</v>
      </c>
      <c r="AR261" s="265">
        <v>19337.17169956975</v>
      </c>
      <c r="AS261" s="265">
        <v>48400.570486524033</v>
      </c>
      <c r="AT261" s="265">
        <v>46633.616495976748</v>
      </c>
      <c r="AU261" s="266">
        <v>205656.22620485385</v>
      </c>
      <c r="AV261" s="203"/>
      <c r="AW261" s="324">
        <v>202362.15466966212</v>
      </c>
      <c r="AX261" s="203"/>
      <c r="AY261" s="377">
        <v>0</v>
      </c>
      <c r="AZ261" s="265">
        <v>3294.0715351917315</v>
      </c>
      <c r="BA261" s="265">
        <v>202362.15466966212</v>
      </c>
      <c r="BB261" s="265">
        <v>1980.6962073091706</v>
      </c>
      <c r="BC261" s="266">
        <v>200381.45846235295</v>
      </c>
      <c r="BD261" s="264">
        <v>2003.8145846235295</v>
      </c>
      <c r="BE261" s="265">
        <v>198377.64387772942</v>
      </c>
      <c r="BF261" s="357">
        <v>0.98031000016560876</v>
      </c>
      <c r="BG261" s="203"/>
      <c r="BJ261" s="458">
        <v>0.98031000016560876</v>
      </c>
      <c r="BK261" s="210"/>
      <c r="BL261" s="458"/>
      <c r="BM261" s="458"/>
      <c r="BN261" s="458"/>
      <c r="BQ261" s="203">
        <v>197904.5244640664</v>
      </c>
      <c r="BR261" s="458">
        <v>0.97797201649254828</v>
      </c>
      <c r="BT261" s="459" t="s">
        <v>900</v>
      </c>
      <c r="BU261" s="460" t="s">
        <v>900</v>
      </c>
      <c r="BV261" s="461">
        <v>198377.64387772942</v>
      </c>
      <c r="BX261" s="462">
        <v>29130.390403038677</v>
      </c>
      <c r="BY261" s="463">
        <v>0.169569648609462</v>
      </c>
      <c r="BZ261" s="461">
        <v>175.45084503809466</v>
      </c>
      <c r="CB261" s="203" t="s">
        <v>900</v>
      </c>
      <c r="CC261" s="203">
        <v>3125.5710758989203</v>
      </c>
      <c r="CD261" s="203" t="e">
        <v>#VALUE!</v>
      </c>
      <c r="CE261" s="203" t="s">
        <v>900</v>
      </c>
      <c r="CF261" s="203" t="e">
        <v>#VALUE!</v>
      </c>
      <c r="CH261" s="199"/>
      <c r="CJ261" s="464" t="s">
        <v>1448</v>
      </c>
      <c r="CK261" s="464" t="s">
        <v>1447</v>
      </c>
      <c r="CL261" s="464" t="s">
        <v>1448</v>
      </c>
      <c r="CN261" s="464" t="s">
        <v>1447</v>
      </c>
      <c r="CO261" s="464" t="s">
        <v>1447</v>
      </c>
      <c r="CP261" s="464" t="s">
        <v>1447</v>
      </c>
      <c r="CQ261" s="464" t="s">
        <v>1447</v>
      </c>
      <c r="CS261" s="465">
        <v>0</v>
      </c>
      <c r="CT261" s="466">
        <v>0</v>
      </c>
      <c r="CU261" s="466">
        <v>0.95</v>
      </c>
      <c r="CV261" s="467">
        <v>0.95</v>
      </c>
    </row>
    <row r="262" spans="1:100" s="48" customFormat="1" outlineLevel="1" x14ac:dyDescent="0.3">
      <c r="A262" s="202">
        <v>78537000</v>
      </c>
      <c r="B262" s="48">
        <v>400783</v>
      </c>
      <c r="C262" s="48">
        <v>89788</v>
      </c>
      <c r="D262" s="48" t="s">
        <v>213</v>
      </c>
      <c r="E262" s="48" t="s">
        <v>7</v>
      </c>
      <c r="F262" s="48" t="s">
        <v>1498</v>
      </c>
      <c r="G262" s="48" t="s">
        <v>1502</v>
      </c>
      <c r="H262" s="48" t="s">
        <v>1527</v>
      </c>
      <c r="O262" s="454" t="s">
        <v>900</v>
      </c>
      <c r="P262" s="455" t="s">
        <v>900</v>
      </c>
      <c r="Q262" s="347" t="s">
        <v>900</v>
      </c>
      <c r="R262" s="455">
        <v>163</v>
      </c>
      <c r="S262" s="457">
        <v>101</v>
      </c>
      <c r="T262" s="455"/>
      <c r="U262" s="454">
        <v>163</v>
      </c>
      <c r="V262" s="455">
        <v>51.756774644711257</v>
      </c>
      <c r="W262" s="230">
        <v>0.31752622481417947</v>
      </c>
      <c r="X262" s="264" t="s">
        <v>900</v>
      </c>
      <c r="Y262" s="265" t="s">
        <v>900</v>
      </c>
      <c r="Z262" s="265" t="s">
        <v>900</v>
      </c>
      <c r="AA262" s="265" t="s">
        <v>900</v>
      </c>
      <c r="AB262" s="266" t="s">
        <v>900</v>
      </c>
      <c r="AC262" s="265">
        <v>24320.390265527734</v>
      </c>
      <c r="AD262" s="265">
        <v>5021.9612638353028</v>
      </c>
      <c r="AE262" s="265">
        <v>13181.045819260698</v>
      </c>
      <c r="AF262" s="266">
        <v>11371.081955762353</v>
      </c>
      <c r="AG262" s="265">
        <v>24320.390265527734</v>
      </c>
      <c r="AH262" s="265">
        <v>5021.9612638353028</v>
      </c>
      <c r="AI262" s="265">
        <v>13181.045819260698</v>
      </c>
      <c r="AJ262" s="266">
        <v>11371.081955762353</v>
      </c>
      <c r="AK262" s="265">
        <v>24329.895368549725</v>
      </c>
      <c r="AL262" s="265">
        <v>6996.5460952705544</v>
      </c>
      <c r="AM262" s="265">
        <v>13186.197348371928</v>
      </c>
      <c r="AN262" s="265">
        <v>11375.526099309425</v>
      </c>
      <c r="AO262" s="266">
        <v>55888.164911501633</v>
      </c>
      <c r="AP262" s="203"/>
      <c r="AQ262" s="264">
        <v>23960.347764030037</v>
      </c>
      <c r="AR262" s="265">
        <v>6774.3866551651727</v>
      </c>
      <c r="AS262" s="265">
        <v>13003.562182925874</v>
      </c>
      <c r="AT262" s="265">
        <v>10918.549694895952</v>
      </c>
      <c r="AU262" s="266">
        <v>54656.846297017037</v>
      </c>
      <c r="AV262" s="203"/>
      <c r="AW262" s="324">
        <v>39268.687824708664</v>
      </c>
      <c r="AX262" s="203"/>
      <c r="AY262" s="377">
        <v>0</v>
      </c>
      <c r="AZ262" s="265">
        <v>5156.1693979342963</v>
      </c>
      <c r="BA262" s="265">
        <v>49500.67689908274</v>
      </c>
      <c r="BB262" s="265">
        <v>484.50661712562186</v>
      </c>
      <c r="BC262" s="266">
        <v>49016.170281957122</v>
      </c>
      <c r="BD262" s="264">
        <v>490.16170281957125</v>
      </c>
      <c r="BE262" s="265">
        <v>48526.008579137553</v>
      </c>
      <c r="BF262" s="357">
        <v>1.2357430631691235</v>
      </c>
      <c r="BG262" s="203"/>
      <c r="BJ262" s="458">
        <v>1.2357430631691235</v>
      </c>
      <c r="BK262" s="210"/>
      <c r="BL262" s="458"/>
      <c r="BM262" s="458"/>
      <c r="BN262" s="458"/>
      <c r="BQ262" s="203">
        <v>48410.276804742054</v>
      </c>
      <c r="BR262" s="458">
        <v>1.2327958861482842</v>
      </c>
      <c r="BT262" s="459" t="s">
        <v>900</v>
      </c>
      <c r="BU262" s="460" t="s">
        <v>900</v>
      </c>
      <c r="BV262" s="461">
        <v>48526.008579137553</v>
      </c>
      <c r="BX262" s="462">
        <v>-2378.0658826101717</v>
      </c>
      <c r="BY262" s="463">
        <v>-4.6058150245262462E-2</v>
      </c>
      <c r="BZ262" s="461">
        <v>-45.946948953728388</v>
      </c>
      <c r="CB262" s="203" t="s">
        <v>900</v>
      </c>
      <c r="CC262" s="203">
        <v>986.97848832366128</v>
      </c>
      <c r="CD262" s="203" t="e">
        <v>#VALUE!</v>
      </c>
      <c r="CE262" s="203" t="s">
        <v>900</v>
      </c>
      <c r="CF262" s="203" t="e">
        <v>#VALUE!</v>
      </c>
      <c r="CH262" s="199"/>
      <c r="CJ262" s="464" t="s">
        <v>1448</v>
      </c>
      <c r="CK262" s="464" t="s">
        <v>1447</v>
      </c>
      <c r="CL262" s="464" t="s">
        <v>1448</v>
      </c>
      <c r="CN262" s="464" t="s">
        <v>1447</v>
      </c>
      <c r="CO262" s="464" t="s">
        <v>1447</v>
      </c>
      <c r="CP262" s="464" t="s">
        <v>1447</v>
      </c>
      <c r="CQ262" s="464" t="s">
        <v>1447</v>
      </c>
      <c r="CS262" s="465">
        <v>0</v>
      </c>
      <c r="CT262" s="466">
        <v>0</v>
      </c>
      <c r="CU262" s="466">
        <v>0.95</v>
      </c>
      <c r="CV262" s="467">
        <v>0.95</v>
      </c>
    </row>
    <row r="263" spans="1:100" s="48" customFormat="1" outlineLevel="1" x14ac:dyDescent="0.3">
      <c r="A263" s="202">
        <v>78538000</v>
      </c>
      <c r="B263" s="48">
        <v>400770</v>
      </c>
      <c r="C263" s="48">
        <v>89790</v>
      </c>
      <c r="D263" s="48" t="s">
        <v>214</v>
      </c>
      <c r="E263" s="48" t="s">
        <v>7</v>
      </c>
      <c r="F263" s="48" t="s">
        <v>1503</v>
      </c>
      <c r="G263" s="48" t="s">
        <v>1502</v>
      </c>
      <c r="H263" s="48" t="s">
        <v>1527</v>
      </c>
      <c r="O263" s="454" t="s">
        <v>900</v>
      </c>
      <c r="P263" s="455" t="s">
        <v>900</v>
      </c>
      <c r="Q263" s="347" t="s">
        <v>900</v>
      </c>
      <c r="R263" s="455">
        <v>229</v>
      </c>
      <c r="S263" s="457">
        <v>80</v>
      </c>
      <c r="T263" s="455"/>
      <c r="U263" s="454">
        <v>229</v>
      </c>
      <c r="V263" s="455">
        <v>40.995465065117827</v>
      </c>
      <c r="W263" s="230">
        <v>0.17901949810095122</v>
      </c>
      <c r="X263" s="264" t="s">
        <v>900</v>
      </c>
      <c r="Y263" s="265" t="s">
        <v>900</v>
      </c>
      <c r="Z263" s="265" t="s">
        <v>900</v>
      </c>
      <c r="AA263" s="265" t="s">
        <v>900</v>
      </c>
      <c r="AB263" s="266" t="s">
        <v>900</v>
      </c>
      <c r="AC263" s="265">
        <v>19263.67545784375</v>
      </c>
      <c r="AD263" s="265">
        <v>3977.7911000675667</v>
      </c>
      <c r="AE263" s="265">
        <v>10440.432332087681</v>
      </c>
      <c r="AF263" s="266">
        <v>9006.7975887226548</v>
      </c>
      <c r="AG263" s="265">
        <v>19263.67545784375</v>
      </c>
      <c r="AH263" s="265">
        <v>3977.7911000675667</v>
      </c>
      <c r="AI263" s="265">
        <v>10440.432332087681</v>
      </c>
      <c r="AJ263" s="266">
        <v>9006.7975887226548</v>
      </c>
      <c r="AK263" s="265">
        <v>19273.180560865741</v>
      </c>
      <c r="AL263" s="265">
        <v>5952.3759315028183</v>
      </c>
      <c r="AM263" s="265">
        <v>10445.583861198911</v>
      </c>
      <c r="AN263" s="265">
        <v>9011.2417322697274</v>
      </c>
      <c r="AO263" s="266">
        <v>44682.382085837198</v>
      </c>
      <c r="AP263" s="203"/>
      <c r="AQ263" s="264">
        <v>18980.439568771289</v>
      </c>
      <c r="AR263" s="265">
        <v>5763.3717448322977</v>
      </c>
      <c r="AS263" s="265">
        <v>10300.907508625874</v>
      </c>
      <c r="AT263" s="265">
        <v>8649.2431037963361</v>
      </c>
      <c r="AU263" s="266">
        <v>43693.961926025804</v>
      </c>
      <c r="AV263" s="203"/>
      <c r="AW263" s="324">
        <v>33804.873549758522</v>
      </c>
      <c r="AX263" s="203"/>
      <c r="AY263" s="377">
        <v>0</v>
      </c>
      <c r="AZ263" s="265">
        <v>4121.962473524145</v>
      </c>
      <c r="BA263" s="265">
        <v>39571.999452501659</v>
      </c>
      <c r="BB263" s="265">
        <v>387.32592741542527</v>
      </c>
      <c r="BC263" s="266">
        <v>39184.673525086233</v>
      </c>
      <c r="BD263" s="264">
        <v>391.84673525086237</v>
      </c>
      <c r="BE263" s="265">
        <v>38792.826789835373</v>
      </c>
      <c r="BF263" s="357">
        <v>1.1475513059599207</v>
      </c>
      <c r="BG263" s="203"/>
      <c r="BJ263" s="458">
        <v>1.1475513059599207</v>
      </c>
      <c r="BK263" s="210"/>
      <c r="BL263" s="458"/>
      <c r="BM263" s="458"/>
      <c r="BN263" s="458"/>
      <c r="BQ263" s="203">
        <v>38700.308101205061</v>
      </c>
      <c r="BR263" s="458">
        <v>1.1448144612711177</v>
      </c>
      <c r="BT263" s="459" t="s">
        <v>900</v>
      </c>
      <c r="BU263" s="460" t="s">
        <v>900</v>
      </c>
      <c r="BV263" s="461">
        <v>38792.826789835373</v>
      </c>
      <c r="BX263" s="462">
        <v>-1604.3460290735093</v>
      </c>
      <c r="BY263" s="463">
        <v>-3.9165199819847646E-2</v>
      </c>
      <c r="BZ263" s="461">
        <v>-39.134719572643981</v>
      </c>
      <c r="CB263" s="203" t="s">
        <v>900</v>
      </c>
      <c r="CC263" s="203">
        <v>883.37566296646594</v>
      </c>
      <c r="CD263" s="203" t="e">
        <v>#VALUE!</v>
      </c>
      <c r="CE263" s="203" t="s">
        <v>900</v>
      </c>
      <c r="CF263" s="203" t="e">
        <v>#VALUE!</v>
      </c>
      <c r="CH263" s="199"/>
      <c r="CJ263" s="464" t="s">
        <v>1448</v>
      </c>
      <c r="CK263" s="464" t="s">
        <v>1447</v>
      </c>
      <c r="CL263" s="464" t="s">
        <v>1448</v>
      </c>
      <c r="CN263" s="464" t="s">
        <v>1447</v>
      </c>
      <c r="CO263" s="464" t="s">
        <v>1447</v>
      </c>
      <c r="CP263" s="464" t="s">
        <v>1447</v>
      </c>
      <c r="CQ263" s="464" t="s">
        <v>1447</v>
      </c>
      <c r="CS263" s="465">
        <v>0</v>
      </c>
      <c r="CT263" s="466">
        <v>0.9</v>
      </c>
      <c r="CU263" s="466">
        <v>0</v>
      </c>
      <c r="CV263" s="467">
        <v>0.9</v>
      </c>
    </row>
    <row r="264" spans="1:100" s="48" customFormat="1" outlineLevel="1" x14ac:dyDescent="0.3">
      <c r="A264" s="202">
        <v>78552000</v>
      </c>
      <c r="B264" s="48">
        <v>400810</v>
      </c>
      <c r="C264" s="48">
        <v>90160</v>
      </c>
      <c r="D264" s="48" t="s">
        <v>215</v>
      </c>
      <c r="E264" s="48" t="s">
        <v>7</v>
      </c>
      <c r="F264" s="48" t="s">
        <v>1498</v>
      </c>
      <c r="G264" s="48" t="s">
        <v>1499</v>
      </c>
      <c r="H264" s="48" t="s">
        <v>1527</v>
      </c>
      <c r="O264" s="454" t="s">
        <v>900</v>
      </c>
      <c r="P264" s="455" t="s">
        <v>900</v>
      </c>
      <c r="Q264" s="347" t="s">
        <v>900</v>
      </c>
      <c r="R264" s="455">
        <v>93</v>
      </c>
      <c r="S264" s="457">
        <v>53</v>
      </c>
      <c r="T264" s="455"/>
      <c r="U264" s="454">
        <v>93</v>
      </c>
      <c r="V264" s="455">
        <v>27.159495605640561</v>
      </c>
      <c r="W264" s="230">
        <v>0.29203758715742539</v>
      </c>
      <c r="X264" s="264" t="s">
        <v>900</v>
      </c>
      <c r="Y264" s="265" t="s">
        <v>900</v>
      </c>
      <c r="Z264" s="265" t="s">
        <v>900</v>
      </c>
      <c r="AA264" s="265" t="s">
        <v>900</v>
      </c>
      <c r="AB264" s="266" t="s">
        <v>900</v>
      </c>
      <c r="AC264" s="265">
        <v>12762.184990821486</v>
      </c>
      <c r="AD264" s="265">
        <v>2635.2866037947629</v>
      </c>
      <c r="AE264" s="265">
        <v>6916.7864200080894</v>
      </c>
      <c r="AF264" s="266">
        <v>5967.0034025287587</v>
      </c>
      <c r="AG264" s="265">
        <v>12762.184990821486</v>
      </c>
      <c r="AH264" s="265">
        <v>2635.2866037947629</v>
      </c>
      <c r="AI264" s="265">
        <v>6916.7864200080894</v>
      </c>
      <c r="AJ264" s="266">
        <v>5967.0034025287587</v>
      </c>
      <c r="AK264" s="265">
        <v>12771.690093843477</v>
      </c>
      <c r="AL264" s="265">
        <v>4609.871435230014</v>
      </c>
      <c r="AM264" s="265">
        <v>6921.9379491193185</v>
      </c>
      <c r="AN264" s="265">
        <v>5971.4475460758304</v>
      </c>
      <c r="AO264" s="266">
        <v>30274.94702426864</v>
      </c>
      <c r="AP264" s="203"/>
      <c r="AQ264" s="264">
        <v>14474.349728066209</v>
      </c>
      <c r="AR264" s="265">
        <v>4463.4954315471723</v>
      </c>
      <c r="AS264" s="265">
        <v>7674.5117046373434</v>
      </c>
      <c r="AT264" s="265">
        <v>7394.3391995263373</v>
      </c>
      <c r="AU264" s="266">
        <v>34006.696063777061</v>
      </c>
      <c r="AV264" s="203"/>
      <c r="AW264" s="324">
        <v>34456.093721087069</v>
      </c>
      <c r="AX264" s="203"/>
      <c r="AY264" s="377">
        <v>0</v>
      </c>
      <c r="AZ264" s="265">
        <v>0</v>
      </c>
      <c r="BA264" s="265">
        <v>34006.696063777061</v>
      </c>
      <c r="BB264" s="265">
        <v>332.85341335979058</v>
      </c>
      <c r="BC264" s="266">
        <v>33673.842650417268</v>
      </c>
      <c r="BD264" s="264">
        <v>336.73842650417271</v>
      </c>
      <c r="BE264" s="265">
        <v>33337.104223913098</v>
      </c>
      <c r="BF264" s="357">
        <v>0.96752419162102665</v>
      </c>
      <c r="BG264" s="203"/>
      <c r="BJ264" s="458">
        <v>0.96752419162102665</v>
      </c>
      <c r="BK264" s="210"/>
      <c r="BL264" s="458"/>
      <c r="BM264" s="458"/>
      <c r="BN264" s="458"/>
      <c r="BQ264" s="203">
        <v>33257.597123741252</v>
      </c>
      <c r="BR264" s="458">
        <v>0.96521670137516669</v>
      </c>
      <c r="BT264" s="459" t="s">
        <v>900</v>
      </c>
      <c r="BU264" s="460" t="s">
        <v>900</v>
      </c>
      <c r="BV264" s="461">
        <v>33337.104223913098</v>
      </c>
      <c r="BX264" s="462">
        <v>5328.4591425421931</v>
      </c>
      <c r="BY264" s="463">
        <v>0.18773725412076966</v>
      </c>
      <c r="BZ264" s="461">
        <v>196.19138808437825</v>
      </c>
      <c r="CB264" s="203" t="s">
        <v>900</v>
      </c>
      <c r="CC264" s="203">
        <v>525.51325300158112</v>
      </c>
      <c r="CD264" s="203" t="e">
        <v>#VALUE!</v>
      </c>
      <c r="CE264" s="203" t="s">
        <v>900</v>
      </c>
      <c r="CF264" s="203" t="e">
        <v>#VALUE!</v>
      </c>
      <c r="CH264" s="199"/>
      <c r="CJ264" s="464" t="s">
        <v>1448</v>
      </c>
      <c r="CK264" s="464" t="s">
        <v>1447</v>
      </c>
      <c r="CL264" s="464" t="s">
        <v>1448</v>
      </c>
      <c r="CN264" s="464" t="s">
        <v>1447</v>
      </c>
      <c r="CO264" s="464" t="s">
        <v>1447</v>
      </c>
      <c r="CP264" s="464" t="s">
        <v>1447</v>
      </c>
      <c r="CQ264" s="464" t="s">
        <v>1447</v>
      </c>
      <c r="CS264" s="465">
        <v>0</v>
      </c>
      <c r="CT264" s="466">
        <v>0.9</v>
      </c>
      <c r="CU264" s="466">
        <v>0</v>
      </c>
      <c r="CV264" s="467">
        <v>0.9</v>
      </c>
    </row>
    <row r="265" spans="1:100" s="192" customFormat="1" outlineLevel="1" x14ac:dyDescent="0.3">
      <c r="A265" s="561">
        <v>78210000</v>
      </c>
      <c r="D265" s="192" t="s">
        <v>512</v>
      </c>
      <c r="E265" s="192" t="s">
        <v>900</v>
      </c>
      <c r="F265" s="192" t="s">
        <v>900</v>
      </c>
      <c r="G265" s="192" t="s">
        <v>900</v>
      </c>
      <c r="H265" s="192" t="s">
        <v>900</v>
      </c>
      <c r="O265" s="540" t="s">
        <v>900</v>
      </c>
      <c r="P265" s="541" t="s">
        <v>900</v>
      </c>
      <c r="Q265" s="850" t="s">
        <v>900</v>
      </c>
      <c r="R265" s="541">
        <v>254</v>
      </c>
      <c r="S265" s="542">
        <v>124</v>
      </c>
      <c r="T265" s="541"/>
      <c r="U265" s="540">
        <v>254</v>
      </c>
      <c r="V265" s="541">
        <v>63.542970850932633</v>
      </c>
      <c r="W265" s="543">
        <v>0.25016917657847493</v>
      </c>
      <c r="X265" s="544"/>
      <c r="Y265" s="545"/>
      <c r="Z265" s="545"/>
      <c r="AA265" s="545"/>
      <c r="AB265" s="546"/>
      <c r="AC265" s="545">
        <v>29858.696959657813</v>
      </c>
      <c r="AD265" s="545">
        <v>6165.5762051047286</v>
      </c>
      <c r="AE265" s="545">
        <v>16182.670114735905</v>
      </c>
      <c r="AF265" s="546">
        <v>13960.536262520116</v>
      </c>
      <c r="AG265" s="545">
        <v>29858.696959657813</v>
      </c>
      <c r="AH265" s="545">
        <v>6165.5762051047286</v>
      </c>
      <c r="AI265" s="545">
        <v>16182.670114735905</v>
      </c>
      <c r="AJ265" s="546">
        <v>13960.536262520116</v>
      </c>
      <c r="AK265" s="545">
        <v>29868.202062679804</v>
      </c>
      <c r="AL265" s="545">
        <v>8140.1610365399802</v>
      </c>
      <c r="AM265" s="545">
        <v>16187.821643847135</v>
      </c>
      <c r="AN265" s="545">
        <v>13964.980406067189</v>
      </c>
      <c r="AO265" s="546">
        <v>68161.165149134118</v>
      </c>
      <c r="AP265" s="547"/>
      <c r="AQ265" s="544">
        <v>29414.532930265799</v>
      </c>
      <c r="AR265" s="545">
        <v>7881.688699815465</v>
      </c>
      <c r="AS265" s="545">
        <v>15963.612540492537</v>
      </c>
      <c r="AT265" s="545">
        <v>14423.296478808081</v>
      </c>
      <c r="AU265" s="546">
        <v>67683.130649381885</v>
      </c>
      <c r="AV265" s="547"/>
      <c r="AW265" s="548">
        <v>66540.054411897625</v>
      </c>
      <c r="AX265" s="547"/>
      <c r="AY265" s="851">
        <v>0</v>
      </c>
      <c r="AZ265" s="545">
        <v>1143.0762374842598</v>
      </c>
      <c r="BA265" s="545">
        <v>66540.054411897625</v>
      </c>
      <c r="BB265" s="545">
        <v>651.28597599158752</v>
      </c>
      <c r="BC265" s="546">
        <v>65888.768435906037</v>
      </c>
      <c r="BD265" s="544">
        <v>658.88768435906036</v>
      </c>
      <c r="BE265" s="545">
        <v>65229.880751546974</v>
      </c>
      <c r="BF265" s="549">
        <v>0.98031000016560876</v>
      </c>
      <c r="BG265" s="547"/>
      <c r="BJ265" s="550">
        <v>0.98031000016560876</v>
      </c>
      <c r="BK265" s="551"/>
      <c r="BL265" s="550"/>
      <c r="BM265" s="550"/>
      <c r="BN265" s="550"/>
      <c r="BQ265" s="547">
        <v>65074.3111907274</v>
      </c>
      <c r="BR265" s="550">
        <v>0.97797201649254817</v>
      </c>
      <c r="BT265" s="552" t="s">
        <v>900</v>
      </c>
      <c r="BU265" s="553" t="s">
        <v>900</v>
      </c>
      <c r="BV265" s="554">
        <v>65229.880751546974</v>
      </c>
      <c r="BX265" s="555">
        <v>217.76262247972772</v>
      </c>
      <c r="BY265" s="556">
        <v>1.123270157834232E-2</v>
      </c>
      <c r="BZ265" s="554">
        <v>3.4270135557650212</v>
      </c>
      <c r="CB265" s="547" t="s">
        <v>900</v>
      </c>
      <c r="CC265" s="547">
        <v>1266.54461587525</v>
      </c>
      <c r="CD265" s="547" t="e">
        <v>#VALUE!</v>
      </c>
      <c r="CE265" s="547" t="s">
        <v>900</v>
      </c>
      <c r="CF265" s="547" t="e">
        <v>#VALUE!</v>
      </c>
      <c r="CJ265" s="557" t="s">
        <v>1448</v>
      </c>
      <c r="CK265" s="557" t="s">
        <v>1447</v>
      </c>
      <c r="CL265" s="557" t="s">
        <v>1448</v>
      </c>
      <c r="CN265" s="557" t="s">
        <v>1447</v>
      </c>
      <c r="CO265" s="557" t="s">
        <v>1447</v>
      </c>
      <c r="CP265" s="557" t="s">
        <v>1447</v>
      </c>
      <c r="CQ265" s="557" t="s">
        <v>1447</v>
      </c>
      <c r="CS265" s="558">
        <v>0</v>
      </c>
      <c r="CT265" s="559">
        <v>0.9</v>
      </c>
      <c r="CU265" s="559">
        <v>0</v>
      </c>
      <c r="CV265" s="560">
        <v>0.9</v>
      </c>
    </row>
    <row r="266" spans="1:100" s="48" customFormat="1" outlineLevel="1" x14ac:dyDescent="0.3">
      <c r="A266" s="202">
        <v>78751000</v>
      </c>
      <c r="B266" s="48">
        <v>400650</v>
      </c>
      <c r="C266" s="48">
        <v>5174</v>
      </c>
      <c r="D266" s="48" t="s">
        <v>218</v>
      </c>
      <c r="E266" s="48" t="s">
        <v>7</v>
      </c>
      <c r="F266" s="48" t="s">
        <v>1498</v>
      </c>
      <c r="G266" s="48" t="s">
        <v>1502</v>
      </c>
      <c r="H266" s="48" t="s">
        <v>1527</v>
      </c>
      <c r="O266" s="454" t="s">
        <v>900</v>
      </c>
      <c r="P266" s="455" t="s">
        <v>900</v>
      </c>
      <c r="Q266" s="347" t="s">
        <v>900</v>
      </c>
      <c r="R266" s="455">
        <v>45</v>
      </c>
      <c r="S266" s="457">
        <v>36</v>
      </c>
      <c r="T266" s="455"/>
      <c r="U266" s="454">
        <v>45</v>
      </c>
      <c r="V266" s="455">
        <v>18.447959279303024</v>
      </c>
      <c r="W266" s="230">
        <v>0.40995465065117831</v>
      </c>
      <c r="X266" s="264" t="s">
        <v>900</v>
      </c>
      <c r="Y266" s="265" t="s">
        <v>900</v>
      </c>
      <c r="Z266" s="265" t="s">
        <v>900</v>
      </c>
      <c r="AA266" s="265" t="s">
        <v>900</v>
      </c>
      <c r="AB266" s="266" t="s">
        <v>900</v>
      </c>
      <c r="AC266" s="265">
        <v>8668.6539560296897</v>
      </c>
      <c r="AD266" s="265">
        <v>1790.0059950304051</v>
      </c>
      <c r="AE266" s="265">
        <v>4698.1945494394568</v>
      </c>
      <c r="AF266" s="266">
        <v>4053.058914925195</v>
      </c>
      <c r="AG266" s="265">
        <v>8668.6539560296897</v>
      </c>
      <c r="AH266" s="265">
        <v>1790.0059950304051</v>
      </c>
      <c r="AI266" s="265">
        <v>4698.1945494394568</v>
      </c>
      <c r="AJ266" s="266">
        <v>4053.058914925195</v>
      </c>
      <c r="AK266" s="265">
        <v>8678.1590590516807</v>
      </c>
      <c r="AL266" s="265">
        <v>3764.5908264656564</v>
      </c>
      <c r="AM266" s="265">
        <v>4703.3460785506859</v>
      </c>
      <c r="AN266" s="265">
        <v>4057.5030584722672</v>
      </c>
      <c r="AO266" s="266">
        <v>21203.599022540289</v>
      </c>
      <c r="AP266" s="203"/>
      <c r="AQ266" s="264">
        <v>10437.309105822038</v>
      </c>
      <c r="AR266" s="265">
        <v>3645.0547898491313</v>
      </c>
      <c r="AS266" s="265">
        <v>5534.013783170547</v>
      </c>
      <c r="AT266" s="265">
        <v>5331.9841864194086</v>
      </c>
      <c r="AU266" s="266">
        <v>24948.361865261126</v>
      </c>
      <c r="AV266" s="203"/>
      <c r="AW266" s="324">
        <v>23754.311725436328</v>
      </c>
      <c r="AX266" s="203"/>
      <c r="AY266" s="377">
        <v>0</v>
      </c>
      <c r="AZ266" s="265">
        <v>1194.050139824798</v>
      </c>
      <c r="BA266" s="265">
        <v>23754.311725436328</v>
      </c>
      <c r="BB266" s="265">
        <v>232.50431988439973</v>
      </c>
      <c r="BC266" s="266">
        <v>23521.807405551928</v>
      </c>
      <c r="BD266" s="264">
        <v>235.21807405551928</v>
      </c>
      <c r="BE266" s="265">
        <v>23286.589331496409</v>
      </c>
      <c r="BF266" s="357">
        <v>0.98031000016560876</v>
      </c>
      <c r="BG266" s="203"/>
      <c r="BJ266" s="458">
        <v>0.98031000016560876</v>
      </c>
      <c r="BK266" s="210"/>
      <c r="BL266" s="458"/>
      <c r="BM266" s="458"/>
      <c r="BN266" s="458"/>
      <c r="BQ266" s="203">
        <v>23231.052138517549</v>
      </c>
      <c r="BR266" s="458">
        <v>0.97797201649254828</v>
      </c>
      <c r="BT266" s="459" t="s">
        <v>900</v>
      </c>
      <c r="BU266" s="460" t="s">
        <v>900</v>
      </c>
      <c r="BV266" s="461">
        <v>23286.589331496409</v>
      </c>
      <c r="BX266" s="462">
        <v>4137.9307545035044</v>
      </c>
      <c r="BY266" s="463">
        <v>0.21344407404677421</v>
      </c>
      <c r="BZ266" s="461">
        <v>224.30289940773537</v>
      </c>
      <c r="CB266" s="203" t="s">
        <v>900</v>
      </c>
      <c r="CC266" s="203">
        <v>338.46982829521744</v>
      </c>
      <c r="CD266" s="203" t="e">
        <v>#VALUE!</v>
      </c>
      <c r="CE266" s="203" t="s">
        <v>900</v>
      </c>
      <c r="CF266" s="203" t="e">
        <v>#VALUE!</v>
      </c>
      <c r="CH266" s="199"/>
      <c r="CJ266" s="464" t="s">
        <v>1448</v>
      </c>
      <c r="CK266" s="464" t="s">
        <v>1447</v>
      </c>
      <c r="CL266" s="464" t="s">
        <v>1448</v>
      </c>
      <c r="CN266" s="464" t="s">
        <v>1447</v>
      </c>
      <c r="CO266" s="464" t="s">
        <v>1447</v>
      </c>
      <c r="CP266" s="464" t="s">
        <v>1447</v>
      </c>
      <c r="CQ266" s="464" t="s">
        <v>1447</v>
      </c>
      <c r="CS266" s="465">
        <v>0</v>
      </c>
      <c r="CT266" s="466">
        <v>0</v>
      </c>
      <c r="CU266" s="466">
        <v>0.95</v>
      </c>
      <c r="CV266" s="467">
        <v>0.95</v>
      </c>
    </row>
    <row r="267" spans="1:100" s="48" customFormat="1" outlineLevel="1" x14ac:dyDescent="0.3">
      <c r="A267" s="202">
        <v>78741000</v>
      </c>
      <c r="B267" s="48">
        <v>400061</v>
      </c>
      <c r="C267" s="48">
        <v>4352</v>
      </c>
      <c r="D267" s="48" t="s">
        <v>219</v>
      </c>
      <c r="E267" s="48" t="s">
        <v>7</v>
      </c>
      <c r="F267" s="48" t="s">
        <v>1498</v>
      </c>
      <c r="G267" s="48" t="s">
        <v>1502</v>
      </c>
      <c r="H267" s="48" t="s">
        <v>1506</v>
      </c>
      <c r="O267" s="454" t="s">
        <v>900</v>
      </c>
      <c r="P267" s="455" t="s">
        <v>900</v>
      </c>
      <c r="Q267" s="347" t="s">
        <v>900</v>
      </c>
      <c r="R267" s="455">
        <v>61</v>
      </c>
      <c r="S267" s="457">
        <v>51</v>
      </c>
      <c r="T267" s="455"/>
      <c r="U267" s="454">
        <v>61</v>
      </c>
      <c r="V267" s="455">
        <v>26.134608979012615</v>
      </c>
      <c r="W267" s="230">
        <v>0.4284362127706986</v>
      </c>
      <c r="X267" s="264" t="s">
        <v>900</v>
      </c>
      <c r="Y267" s="265" t="s">
        <v>900</v>
      </c>
      <c r="Z267" s="265" t="s">
        <v>900</v>
      </c>
      <c r="AA267" s="265" t="s">
        <v>900</v>
      </c>
      <c r="AB267" s="266" t="s">
        <v>900</v>
      </c>
      <c r="AC267" s="265">
        <v>12280.593104375392</v>
      </c>
      <c r="AD267" s="265">
        <v>2535.8418262930736</v>
      </c>
      <c r="AE267" s="265">
        <v>6655.7756117058971</v>
      </c>
      <c r="AF267" s="266">
        <v>5741.8334628106923</v>
      </c>
      <c r="AG267" s="265">
        <v>12280.593104375392</v>
      </c>
      <c r="AH267" s="265">
        <v>2535.8418262930736</v>
      </c>
      <c r="AI267" s="265">
        <v>6655.7756117058971</v>
      </c>
      <c r="AJ267" s="266">
        <v>5741.8334628106923</v>
      </c>
      <c r="AK267" s="265">
        <v>12290.098207397383</v>
      </c>
      <c r="AL267" s="265">
        <v>4510.4266577283252</v>
      </c>
      <c r="AM267" s="265">
        <v>6660.9271408171262</v>
      </c>
      <c r="AN267" s="265">
        <v>5746.2776063577639</v>
      </c>
      <c r="AO267" s="266">
        <v>29207.729612300594</v>
      </c>
      <c r="AP267" s="203"/>
      <c r="AQ267" s="264">
        <v>13826.128919706644</v>
      </c>
      <c r="AR267" s="265">
        <v>4367.2082972297558</v>
      </c>
      <c r="AS267" s="265">
        <v>7330.815561155423</v>
      </c>
      <c r="AT267" s="265">
        <v>7063.1903311313936</v>
      </c>
      <c r="AU267" s="266">
        <v>32587.34310922322</v>
      </c>
      <c r="AV267" s="203"/>
      <c r="AW267" s="324">
        <v>31247.697652006023</v>
      </c>
      <c r="AX267" s="203"/>
      <c r="AY267" s="377">
        <v>0</v>
      </c>
      <c r="AZ267" s="265">
        <v>1339.645457217197</v>
      </c>
      <c r="BA267" s="265">
        <v>31247.697652006023</v>
      </c>
      <c r="BB267" s="265">
        <v>305.84867179095522</v>
      </c>
      <c r="BC267" s="266">
        <v>30941.848980215069</v>
      </c>
      <c r="BD267" s="264">
        <v>309.4184898021507</v>
      </c>
      <c r="BE267" s="265">
        <v>30632.430490412917</v>
      </c>
      <c r="BF267" s="357">
        <v>0.98031000016560876</v>
      </c>
      <c r="BG267" s="203"/>
      <c r="BJ267" s="458">
        <v>0.98031000016560876</v>
      </c>
      <c r="BK267" s="210"/>
      <c r="BL267" s="458"/>
      <c r="BM267" s="458"/>
      <c r="BN267" s="458"/>
      <c r="BQ267" s="203">
        <v>30559.373883481792</v>
      </c>
      <c r="BR267" s="458">
        <v>0.97797201649254817</v>
      </c>
      <c r="BT267" s="459">
        <v>-26.651595167474497</v>
      </c>
      <c r="BU267" s="460">
        <v>-8164.0313642628735</v>
      </c>
      <c r="BV267" s="461">
        <v>22468.399126150041</v>
      </c>
      <c r="BX267" s="462">
        <v>2689.0528342712569</v>
      </c>
      <c r="BY267" s="463">
        <v>0.13417190459791045</v>
      </c>
      <c r="BZ267" s="461">
        <v>102.89240739858398</v>
      </c>
      <c r="CB267" s="203" t="s">
        <v>900</v>
      </c>
      <c r="CC267" s="203">
        <v>476.70158741289902</v>
      </c>
      <c r="CD267" s="203" t="e">
        <v>#VALUE!</v>
      </c>
      <c r="CE267" s="203" t="e">
        <v>#VALUE!</v>
      </c>
      <c r="CF267" s="203" t="e">
        <v>#VALUE!</v>
      </c>
      <c r="CH267" s="199"/>
      <c r="CJ267" s="464" t="s">
        <v>1448</v>
      </c>
      <c r="CK267" s="464" t="s">
        <v>1447</v>
      </c>
      <c r="CL267" s="464" t="s">
        <v>1448</v>
      </c>
      <c r="CN267" s="464" t="s">
        <v>1447</v>
      </c>
      <c r="CO267" s="464" t="s">
        <v>1447</v>
      </c>
      <c r="CP267" s="464" t="s">
        <v>1447</v>
      </c>
      <c r="CQ267" s="464" t="s">
        <v>1447</v>
      </c>
      <c r="CS267" s="465">
        <v>0</v>
      </c>
      <c r="CT267" s="466">
        <v>0</v>
      </c>
      <c r="CU267" s="466">
        <v>0.95</v>
      </c>
      <c r="CV267" s="467">
        <v>0.95</v>
      </c>
    </row>
    <row r="268" spans="1:100" s="48" customFormat="1" outlineLevel="1" x14ac:dyDescent="0.3">
      <c r="A268" s="202">
        <v>78928000</v>
      </c>
      <c r="B268" s="48">
        <v>400332</v>
      </c>
      <c r="C268" s="48">
        <v>79475</v>
      </c>
      <c r="D268" s="48" t="s">
        <v>222</v>
      </c>
      <c r="E268" s="48" t="s">
        <v>7</v>
      </c>
      <c r="F268" s="48" t="s">
        <v>1498</v>
      </c>
      <c r="G268" s="48" t="s">
        <v>1499</v>
      </c>
      <c r="H268" s="48" t="s">
        <v>1508</v>
      </c>
      <c r="O268" s="454" t="s">
        <v>900</v>
      </c>
      <c r="P268" s="455" t="s">
        <v>900</v>
      </c>
      <c r="Q268" s="347" t="s">
        <v>900</v>
      </c>
      <c r="R268" s="455">
        <v>54</v>
      </c>
      <c r="S268" s="457">
        <v>54</v>
      </c>
      <c r="T268" s="455"/>
      <c r="U268" s="454">
        <v>54</v>
      </c>
      <c r="V268" s="455">
        <v>27.671938918954535</v>
      </c>
      <c r="W268" s="230">
        <v>0.51244331331397286</v>
      </c>
      <c r="X268" s="264" t="s">
        <v>900</v>
      </c>
      <c r="Y268" s="265" t="s">
        <v>900</v>
      </c>
      <c r="Z268" s="265" t="s">
        <v>900</v>
      </c>
      <c r="AA268" s="265" t="s">
        <v>900</v>
      </c>
      <c r="AB268" s="266" t="s">
        <v>900</v>
      </c>
      <c r="AC268" s="265">
        <v>13002.980934044532</v>
      </c>
      <c r="AD268" s="265">
        <v>2685.0089925456077</v>
      </c>
      <c r="AE268" s="265">
        <v>7047.2918241591851</v>
      </c>
      <c r="AF268" s="266">
        <v>6079.5883723877923</v>
      </c>
      <c r="AG268" s="265">
        <v>13002.980934044532</v>
      </c>
      <c r="AH268" s="265">
        <v>2685.0089925456077</v>
      </c>
      <c r="AI268" s="265">
        <v>7047.2918241591851</v>
      </c>
      <c r="AJ268" s="266">
        <v>6079.5883723877923</v>
      </c>
      <c r="AK268" s="265">
        <v>13012.486037066523</v>
      </c>
      <c r="AL268" s="265">
        <v>4659.5938239808593</v>
      </c>
      <c r="AM268" s="265">
        <v>7052.4433532704143</v>
      </c>
      <c r="AN268" s="265">
        <v>6084.032515934864</v>
      </c>
      <c r="AO268" s="266">
        <v>30808.555730252661</v>
      </c>
      <c r="AP268" s="203"/>
      <c r="AQ268" s="264">
        <v>19151.417198668165</v>
      </c>
      <c r="AR268" s="265">
        <v>4622.5317132784476</v>
      </c>
      <c r="AS268" s="265">
        <v>10154.361212274516</v>
      </c>
      <c r="AT268" s="265">
        <v>9783.6571299645129</v>
      </c>
      <c r="AU268" s="266">
        <v>43711.967254185642</v>
      </c>
      <c r="AV268" s="203"/>
      <c r="AW268" s="324">
        <v>43011.816571969895</v>
      </c>
      <c r="AX268" s="203"/>
      <c r="AY268" s="377">
        <v>0</v>
      </c>
      <c r="AZ268" s="265">
        <v>700.1506822157462</v>
      </c>
      <c r="BA268" s="265">
        <v>43011.816571969895</v>
      </c>
      <c r="BB268" s="265">
        <v>420.99443985783273</v>
      </c>
      <c r="BC268" s="266">
        <v>42590.822132112065</v>
      </c>
      <c r="BD268" s="264">
        <v>425.90822132112066</v>
      </c>
      <c r="BE268" s="265">
        <v>42164.913910790943</v>
      </c>
      <c r="BF268" s="357">
        <v>0.98031000016560876</v>
      </c>
      <c r="BG268" s="203"/>
      <c r="BJ268" s="458">
        <v>0.98031000016560876</v>
      </c>
      <c r="BK268" s="210"/>
      <c r="BL268" s="458"/>
      <c r="BM268" s="458"/>
      <c r="BN268" s="458"/>
      <c r="BQ268" s="203">
        <v>42064.352985897</v>
      </c>
      <c r="BR268" s="458">
        <v>0.97797201649254817</v>
      </c>
      <c r="BT268" s="459" t="s">
        <v>900</v>
      </c>
      <c r="BU268" s="460" t="s">
        <v>900</v>
      </c>
      <c r="BV268" s="461">
        <v>42164.913910790943</v>
      </c>
      <c r="BX268" s="462">
        <v>13635.093152691919</v>
      </c>
      <c r="BY268" s="463">
        <v>0.4716113727357274</v>
      </c>
      <c r="BZ268" s="461">
        <v>492.74079393664198</v>
      </c>
      <c r="CB268" s="203" t="s">
        <v>900</v>
      </c>
      <c r="CC268" s="203">
        <v>493.97236568940929</v>
      </c>
      <c r="CD268" s="203" t="e">
        <v>#VALUE!</v>
      </c>
      <c r="CE268" s="203" t="s">
        <v>900</v>
      </c>
      <c r="CF268" s="203" t="e">
        <v>#VALUE!</v>
      </c>
      <c r="CH268" s="199"/>
      <c r="CJ268" s="464" t="s">
        <v>1448</v>
      </c>
      <c r="CK268" s="464" t="s">
        <v>1447</v>
      </c>
      <c r="CL268" s="464" t="s">
        <v>1448</v>
      </c>
      <c r="CN268" s="464" t="s">
        <v>1447</v>
      </c>
      <c r="CO268" s="464" t="s">
        <v>1447</v>
      </c>
      <c r="CP268" s="464" t="s">
        <v>1447</v>
      </c>
      <c r="CQ268" s="464" t="s">
        <v>1447</v>
      </c>
      <c r="CS268" s="465">
        <v>0</v>
      </c>
      <c r="CT268" s="466">
        <v>0</v>
      </c>
      <c r="CU268" s="466">
        <v>0.95</v>
      </c>
      <c r="CV268" s="467">
        <v>0.95</v>
      </c>
    </row>
    <row r="269" spans="1:100" s="48" customFormat="1" outlineLevel="1" x14ac:dyDescent="0.3">
      <c r="A269" s="202">
        <v>78240000</v>
      </c>
      <c r="B269" s="48">
        <v>400882</v>
      </c>
      <c r="C269" s="48">
        <v>91329</v>
      </c>
      <c r="D269" s="48" t="s">
        <v>225</v>
      </c>
      <c r="E269" s="48" t="s">
        <v>7</v>
      </c>
      <c r="F269" s="48" t="s">
        <v>1498</v>
      </c>
      <c r="G269" s="48" t="s">
        <v>1502</v>
      </c>
      <c r="H269" s="48" t="s">
        <v>1529</v>
      </c>
      <c r="O269" s="454" t="s">
        <v>900</v>
      </c>
      <c r="P269" s="455" t="s">
        <v>900</v>
      </c>
      <c r="Q269" s="347" t="s">
        <v>900</v>
      </c>
      <c r="R269" s="455">
        <v>49</v>
      </c>
      <c r="S269" s="457">
        <v>42</v>
      </c>
      <c r="T269" s="455"/>
      <c r="U269" s="454">
        <v>49</v>
      </c>
      <c r="V269" s="455">
        <v>21.52261915918686</v>
      </c>
      <c r="W269" s="230">
        <v>0.43923712569769102</v>
      </c>
      <c r="X269" s="264" t="s">
        <v>900</v>
      </c>
      <c r="Y269" s="265" t="s">
        <v>900</v>
      </c>
      <c r="Z269" s="265" t="s">
        <v>900</v>
      </c>
      <c r="AA269" s="265" t="s">
        <v>900</v>
      </c>
      <c r="AB269" s="266" t="s">
        <v>900</v>
      </c>
      <c r="AC269" s="265">
        <v>10113.42961536797</v>
      </c>
      <c r="AD269" s="265">
        <v>2088.3403275354726</v>
      </c>
      <c r="AE269" s="265">
        <v>5481.2269743460329</v>
      </c>
      <c r="AF269" s="266">
        <v>4728.5687340793938</v>
      </c>
      <c r="AG269" s="265">
        <v>10113.42961536797</v>
      </c>
      <c r="AH269" s="265">
        <v>2088.3403275354726</v>
      </c>
      <c r="AI269" s="265">
        <v>5481.2269743460329</v>
      </c>
      <c r="AJ269" s="266">
        <v>4728.5687340793938</v>
      </c>
      <c r="AK269" s="265">
        <v>10122.934718389961</v>
      </c>
      <c r="AL269" s="265">
        <v>4062.9251589707237</v>
      </c>
      <c r="AM269" s="265">
        <v>5486.378503457262</v>
      </c>
      <c r="AN269" s="265">
        <v>4733.0128776264655</v>
      </c>
      <c r="AO269" s="266">
        <v>24405.251258444412</v>
      </c>
      <c r="AP269" s="203"/>
      <c r="AQ269" s="264">
        <v>18808.698897538001</v>
      </c>
      <c r="AR269" s="265">
        <v>3933.9161928013805</v>
      </c>
      <c r="AS269" s="265">
        <v>9628.2098410648232</v>
      </c>
      <c r="AT269" s="265">
        <v>9628.0985116422726</v>
      </c>
      <c r="AU269" s="266">
        <v>41998.923443046478</v>
      </c>
      <c r="AV269" s="203"/>
      <c r="AW269" s="324">
        <v>41157.521863274538</v>
      </c>
      <c r="AX269" s="203"/>
      <c r="AY269" s="377">
        <v>0</v>
      </c>
      <c r="AZ269" s="265">
        <v>841.40157977194031</v>
      </c>
      <c r="BA269" s="265">
        <v>41157.521863274538</v>
      </c>
      <c r="BB269" s="265">
        <v>402.84482832230685</v>
      </c>
      <c r="BC269" s="266">
        <v>40754.677034952234</v>
      </c>
      <c r="BD269" s="264">
        <v>407.54677034952238</v>
      </c>
      <c r="BE269" s="265">
        <v>40347.130264602711</v>
      </c>
      <c r="BF269" s="357">
        <v>0.98031000016560876</v>
      </c>
      <c r="BG269" s="203"/>
      <c r="BJ269" s="458">
        <v>0.98031000016560876</v>
      </c>
      <c r="BK269" s="210"/>
      <c r="BL269" s="458"/>
      <c r="BM269" s="458"/>
      <c r="BN269" s="458"/>
      <c r="BQ269" s="203">
        <v>40250.90465046274</v>
      </c>
      <c r="BR269" s="458">
        <v>0.97797201649254817</v>
      </c>
      <c r="BT269" s="459" t="s">
        <v>900</v>
      </c>
      <c r="BU269" s="460" t="s">
        <v>900</v>
      </c>
      <c r="BV269" s="461">
        <v>40347.130264602711</v>
      </c>
      <c r="BX269" s="462">
        <v>18071.417627241102</v>
      </c>
      <c r="BY269" s="463">
        <v>0.80098253435175404</v>
      </c>
      <c r="BZ269" s="461">
        <v>839.64769778158609</v>
      </c>
      <c r="CB269" s="203" t="s">
        <v>900</v>
      </c>
      <c r="CC269" s="203">
        <v>391.32122051946033</v>
      </c>
      <c r="CD269" s="203" t="e">
        <v>#VALUE!</v>
      </c>
      <c r="CE269" s="203" t="s">
        <v>900</v>
      </c>
      <c r="CF269" s="203" t="e">
        <v>#VALUE!</v>
      </c>
      <c r="CH269" s="199"/>
      <c r="CJ269" s="464" t="s">
        <v>1448</v>
      </c>
      <c r="CK269" s="464" t="s">
        <v>1447</v>
      </c>
      <c r="CL269" s="464" t="s">
        <v>1448</v>
      </c>
      <c r="CN269" s="464" t="s">
        <v>1447</v>
      </c>
      <c r="CO269" s="464" t="s">
        <v>1447</v>
      </c>
      <c r="CP269" s="464" t="s">
        <v>1447</v>
      </c>
      <c r="CQ269" s="464" t="s">
        <v>1447</v>
      </c>
      <c r="CS269" s="465">
        <v>0</v>
      </c>
      <c r="CT269" s="466">
        <v>0</v>
      </c>
      <c r="CU269" s="466">
        <v>0.95</v>
      </c>
      <c r="CV269" s="467">
        <v>0.95</v>
      </c>
    </row>
    <row r="270" spans="1:100" s="48" customFormat="1" outlineLevel="1" x14ac:dyDescent="0.3">
      <c r="A270" s="202">
        <v>78230000</v>
      </c>
      <c r="B270" s="48">
        <v>400894</v>
      </c>
      <c r="C270" s="48">
        <v>91328</v>
      </c>
      <c r="D270" s="48" t="s">
        <v>226</v>
      </c>
      <c r="E270" s="48" t="s">
        <v>7</v>
      </c>
      <c r="F270" s="48" t="s">
        <v>1501</v>
      </c>
      <c r="G270" s="48" t="s">
        <v>1502</v>
      </c>
      <c r="H270" s="48" t="s">
        <v>1529</v>
      </c>
      <c r="O270" s="454" t="s">
        <v>900</v>
      </c>
      <c r="P270" s="455" t="s">
        <v>900</v>
      </c>
      <c r="Q270" s="347" t="s">
        <v>900</v>
      </c>
      <c r="R270" s="455">
        <v>183</v>
      </c>
      <c r="S270" s="457">
        <v>115</v>
      </c>
      <c r="T270" s="455"/>
      <c r="U270" s="454">
        <v>183</v>
      </c>
      <c r="V270" s="455">
        <v>58.930981031106882</v>
      </c>
      <c r="W270" s="230">
        <v>0.32202721874921791</v>
      </c>
      <c r="X270" s="264" t="s">
        <v>900</v>
      </c>
      <c r="Y270" s="265" t="s">
        <v>900</v>
      </c>
      <c r="Z270" s="265" t="s">
        <v>900</v>
      </c>
      <c r="AA270" s="265" t="s">
        <v>900</v>
      </c>
      <c r="AB270" s="266" t="s">
        <v>900</v>
      </c>
      <c r="AC270" s="265">
        <v>27691.533470650393</v>
      </c>
      <c r="AD270" s="265">
        <v>5718.0747063471272</v>
      </c>
      <c r="AE270" s="265">
        <v>15008.121477376044</v>
      </c>
      <c r="AF270" s="266">
        <v>12947.271533788818</v>
      </c>
      <c r="AG270" s="265">
        <v>27691.533470650393</v>
      </c>
      <c r="AH270" s="265">
        <v>5718.0747063471272</v>
      </c>
      <c r="AI270" s="265">
        <v>15008.121477376044</v>
      </c>
      <c r="AJ270" s="266">
        <v>12947.271533788818</v>
      </c>
      <c r="AK270" s="265">
        <v>27701.038573672384</v>
      </c>
      <c r="AL270" s="265">
        <v>7692.6595377823787</v>
      </c>
      <c r="AM270" s="265">
        <v>15013.273006487274</v>
      </c>
      <c r="AN270" s="265">
        <v>12951.715677335891</v>
      </c>
      <c r="AO270" s="266">
        <v>63358.686795277928</v>
      </c>
      <c r="AP270" s="203"/>
      <c r="AQ270" s="264">
        <v>27280.286560869197</v>
      </c>
      <c r="AR270" s="265">
        <v>7448.3965953870893</v>
      </c>
      <c r="AS270" s="265">
        <v>14805.331965792539</v>
      </c>
      <c r="AT270" s="265">
        <v>12431.420755629028</v>
      </c>
      <c r="AU270" s="266">
        <v>61965.435877677854</v>
      </c>
      <c r="AV270" s="203"/>
      <c r="AW270" s="324">
        <v>42898.477666615319</v>
      </c>
      <c r="AX270" s="203"/>
      <c r="AY270" s="377">
        <v>0</v>
      </c>
      <c r="AZ270" s="265">
        <v>5845.6406808744214</v>
      </c>
      <c r="BA270" s="265">
        <v>56119.795196803432</v>
      </c>
      <c r="BB270" s="265">
        <v>549.29374359908593</v>
      </c>
      <c r="BC270" s="266">
        <v>55570.50145320435</v>
      </c>
      <c r="BD270" s="264">
        <v>555.70501453204349</v>
      </c>
      <c r="BE270" s="265">
        <v>55014.796438672303</v>
      </c>
      <c r="BF270" s="357">
        <v>1.282441695628892</v>
      </c>
      <c r="BG270" s="203"/>
      <c r="BJ270" s="458">
        <v>1.282441695628892</v>
      </c>
      <c r="BK270" s="210"/>
      <c r="BL270" s="458"/>
      <c r="BM270" s="458"/>
      <c r="BN270" s="458"/>
      <c r="BQ270" s="203">
        <v>54883.589273766673</v>
      </c>
      <c r="BR270" s="458">
        <v>1.2793831450219146</v>
      </c>
      <c r="BT270" s="459" t="s">
        <v>900</v>
      </c>
      <c r="BU270" s="460" t="s">
        <v>900</v>
      </c>
      <c r="BV270" s="461">
        <v>55014.796438672303</v>
      </c>
      <c r="BX270" s="462">
        <v>-2893.8791183013236</v>
      </c>
      <c r="BY270" s="463">
        <v>-4.9262561094560411E-2</v>
      </c>
      <c r="BZ270" s="461">
        <v>-49.106243739159567</v>
      </c>
      <c r="CB270" s="203" t="s">
        <v>900</v>
      </c>
      <c r="CC270" s="203">
        <v>1121.1486765039156</v>
      </c>
      <c r="CD270" s="203" t="e">
        <v>#VALUE!</v>
      </c>
      <c r="CE270" s="203" t="s">
        <v>900</v>
      </c>
      <c r="CF270" s="203" t="e">
        <v>#VALUE!</v>
      </c>
      <c r="CH270" s="199"/>
      <c r="CJ270" s="464" t="s">
        <v>1448</v>
      </c>
      <c r="CK270" s="464" t="s">
        <v>1447</v>
      </c>
      <c r="CL270" s="464" t="s">
        <v>1448</v>
      </c>
      <c r="CN270" s="464" t="s">
        <v>1447</v>
      </c>
      <c r="CO270" s="464" t="s">
        <v>1447</v>
      </c>
      <c r="CP270" s="464" t="s">
        <v>1447</v>
      </c>
      <c r="CQ270" s="464" t="s">
        <v>1447</v>
      </c>
      <c r="CS270" s="465">
        <v>0</v>
      </c>
      <c r="CT270" s="466">
        <v>0</v>
      </c>
      <c r="CU270" s="466">
        <v>0.95</v>
      </c>
      <c r="CV270" s="467">
        <v>0.95</v>
      </c>
    </row>
    <row r="271" spans="1:100" s="48" customFormat="1" outlineLevel="1" x14ac:dyDescent="0.3">
      <c r="A271" s="202">
        <v>78718000</v>
      </c>
      <c r="B271" s="48">
        <v>400149</v>
      </c>
      <c r="C271" s="48">
        <v>4342</v>
      </c>
      <c r="D271" s="48" t="s">
        <v>227</v>
      </c>
      <c r="E271" s="48" t="s">
        <v>7</v>
      </c>
      <c r="F271" s="48" t="s">
        <v>1501</v>
      </c>
      <c r="G271" s="48" t="s">
        <v>1502</v>
      </c>
      <c r="H271" s="48" t="s">
        <v>1529</v>
      </c>
      <c r="O271" s="454" t="s">
        <v>900</v>
      </c>
      <c r="P271" s="455" t="s">
        <v>900</v>
      </c>
      <c r="Q271" s="347" t="s">
        <v>900</v>
      </c>
      <c r="R271" s="455">
        <v>235</v>
      </c>
      <c r="S271" s="457">
        <v>210</v>
      </c>
      <c r="T271" s="455"/>
      <c r="U271" s="454">
        <v>235</v>
      </c>
      <c r="V271" s="455">
        <v>107.6130957959343</v>
      </c>
      <c r="W271" s="230">
        <v>0.45792806721674167</v>
      </c>
      <c r="X271" s="264" t="s">
        <v>900</v>
      </c>
      <c r="Y271" s="265" t="s">
        <v>900</v>
      </c>
      <c r="Z271" s="265" t="s">
        <v>900</v>
      </c>
      <c r="AA271" s="265" t="s">
        <v>900</v>
      </c>
      <c r="AB271" s="266" t="s">
        <v>900</v>
      </c>
      <c r="AC271" s="265">
        <v>50567.148076839847</v>
      </c>
      <c r="AD271" s="265">
        <v>10441.701637677363</v>
      </c>
      <c r="AE271" s="265">
        <v>27406.134871730163</v>
      </c>
      <c r="AF271" s="266">
        <v>23642.843670396971</v>
      </c>
      <c r="AG271" s="265">
        <v>50567.148076839847</v>
      </c>
      <c r="AH271" s="265">
        <v>10441.701637677363</v>
      </c>
      <c r="AI271" s="265">
        <v>27406.134871730163</v>
      </c>
      <c r="AJ271" s="266">
        <v>23642.843670396971</v>
      </c>
      <c r="AK271" s="265">
        <v>50576.653179861838</v>
      </c>
      <c r="AL271" s="265">
        <v>12416.286469112614</v>
      </c>
      <c r="AM271" s="265">
        <v>27411.286400841393</v>
      </c>
      <c r="AN271" s="265">
        <v>23647.287813944044</v>
      </c>
      <c r="AO271" s="266">
        <v>114051.51386375989</v>
      </c>
      <c r="AP271" s="203"/>
      <c r="AQ271" s="264">
        <v>49808.442682277804</v>
      </c>
      <c r="AR271" s="265">
        <v>12022.035475464379</v>
      </c>
      <c r="AS271" s="265">
        <v>27031.626920959196</v>
      </c>
      <c r="AT271" s="265">
        <v>24440.557760322696</v>
      </c>
      <c r="AU271" s="266">
        <v>113302.66283902408</v>
      </c>
      <c r="AV271" s="203"/>
      <c r="AW271" s="324">
        <v>111055.41725211627</v>
      </c>
      <c r="AX271" s="203"/>
      <c r="AY271" s="377">
        <v>0</v>
      </c>
      <c r="AZ271" s="265">
        <v>2247.2455869078112</v>
      </c>
      <c r="BA271" s="265">
        <v>111055.41725211627</v>
      </c>
      <c r="BB271" s="265">
        <v>1086.9969442234908</v>
      </c>
      <c r="BC271" s="266">
        <v>109968.42030789278</v>
      </c>
      <c r="BD271" s="264">
        <v>1099.6842030789278</v>
      </c>
      <c r="BE271" s="265">
        <v>108868.73610481386</v>
      </c>
      <c r="BF271" s="357">
        <v>0.98031000016560876</v>
      </c>
      <c r="BG271" s="203"/>
      <c r="BJ271" s="458">
        <v>0.98031000016560876</v>
      </c>
      <c r="BK271" s="210"/>
      <c r="BL271" s="458"/>
      <c r="BM271" s="458"/>
      <c r="BN271" s="458"/>
      <c r="BQ271" s="203">
        <v>108609.09035247347</v>
      </c>
      <c r="BR271" s="458">
        <v>0.97797201649254817</v>
      </c>
      <c r="BT271" s="459" t="s">
        <v>900</v>
      </c>
      <c r="BU271" s="460" t="s">
        <v>900</v>
      </c>
      <c r="BV271" s="461">
        <v>108868.73610481386</v>
      </c>
      <c r="BX271" s="462">
        <v>3428.8388302359235</v>
      </c>
      <c r="BY271" s="463">
        <v>3.2043684900443979E-2</v>
      </c>
      <c r="BZ271" s="461">
        <v>31.862653935149289</v>
      </c>
      <c r="CB271" s="203" t="s">
        <v>900</v>
      </c>
      <c r="CC271" s="203">
        <v>1946.4339716688448</v>
      </c>
      <c r="CD271" s="203" t="e">
        <v>#VALUE!</v>
      </c>
      <c r="CE271" s="203" t="s">
        <v>900</v>
      </c>
      <c r="CF271" s="203" t="e">
        <v>#VALUE!</v>
      </c>
      <c r="CH271" s="199"/>
      <c r="CJ271" s="464" t="s">
        <v>1448</v>
      </c>
      <c r="CK271" s="464" t="s">
        <v>1447</v>
      </c>
      <c r="CL271" s="464" t="s">
        <v>1448</v>
      </c>
      <c r="CN271" s="464" t="s">
        <v>1447</v>
      </c>
      <c r="CO271" s="464" t="s">
        <v>1447</v>
      </c>
      <c r="CP271" s="464" t="s">
        <v>1447</v>
      </c>
      <c r="CQ271" s="464" t="s">
        <v>1447</v>
      </c>
      <c r="CS271" s="465">
        <v>0</v>
      </c>
      <c r="CT271" s="466">
        <v>0</v>
      </c>
      <c r="CU271" s="466">
        <v>0.95</v>
      </c>
      <c r="CV271" s="467">
        <v>0.95</v>
      </c>
    </row>
    <row r="272" spans="1:100" s="48" customFormat="1" outlineLevel="1" x14ac:dyDescent="0.3">
      <c r="A272" s="202">
        <v>78570000</v>
      </c>
      <c r="B272" s="48">
        <v>400799</v>
      </c>
      <c r="C272" s="48">
        <v>90333</v>
      </c>
      <c r="D272" s="48" t="s">
        <v>228</v>
      </c>
      <c r="E272" s="48" t="s">
        <v>7</v>
      </c>
      <c r="F272" s="48" t="s">
        <v>1498</v>
      </c>
      <c r="G272" s="48" t="s">
        <v>1502</v>
      </c>
      <c r="H272" s="48" t="s">
        <v>1529</v>
      </c>
      <c r="O272" s="454" t="s">
        <v>900</v>
      </c>
      <c r="P272" s="455" t="s">
        <v>900</v>
      </c>
      <c r="Q272" s="347" t="s">
        <v>900</v>
      </c>
      <c r="R272" s="455">
        <v>171</v>
      </c>
      <c r="S272" s="457">
        <v>102</v>
      </c>
      <c r="T272" s="455"/>
      <c r="U272" s="454">
        <v>171</v>
      </c>
      <c r="V272" s="455">
        <v>52.26921795802523</v>
      </c>
      <c r="W272" s="230">
        <v>0.30566794127500135</v>
      </c>
      <c r="X272" s="264" t="s">
        <v>900</v>
      </c>
      <c r="Y272" s="265" t="s">
        <v>900</v>
      </c>
      <c r="Z272" s="265" t="s">
        <v>900</v>
      </c>
      <c r="AA272" s="265" t="s">
        <v>900</v>
      </c>
      <c r="AB272" s="266" t="s">
        <v>900</v>
      </c>
      <c r="AC272" s="265">
        <v>24561.186208750783</v>
      </c>
      <c r="AD272" s="265">
        <v>5071.6836525861472</v>
      </c>
      <c r="AE272" s="265">
        <v>13311.551223411794</v>
      </c>
      <c r="AF272" s="266">
        <v>11483.666925621385</v>
      </c>
      <c r="AG272" s="265">
        <v>24561.186208750783</v>
      </c>
      <c r="AH272" s="265">
        <v>5071.6836525861472</v>
      </c>
      <c r="AI272" s="265">
        <v>13311.551223411794</v>
      </c>
      <c r="AJ272" s="266">
        <v>11483.666925621385</v>
      </c>
      <c r="AK272" s="265">
        <v>24570.691311772774</v>
      </c>
      <c r="AL272" s="265">
        <v>7046.2684840213988</v>
      </c>
      <c r="AM272" s="265">
        <v>13316.702752523024</v>
      </c>
      <c r="AN272" s="265">
        <v>11488.111069168457</v>
      </c>
      <c r="AO272" s="266">
        <v>56421.773617485655</v>
      </c>
      <c r="AP272" s="203"/>
      <c r="AQ272" s="264">
        <v>24197.486249518548</v>
      </c>
      <c r="AR272" s="265">
        <v>6822.5302223238805</v>
      </c>
      <c r="AS272" s="265">
        <v>13132.260024559206</v>
      </c>
      <c r="AT272" s="265">
        <v>12256.808765267348</v>
      </c>
      <c r="AU272" s="266">
        <v>56409.085261668981</v>
      </c>
      <c r="AV272" s="203"/>
      <c r="AW272" s="324">
        <v>53706.470135573392</v>
      </c>
      <c r="AX272" s="203"/>
      <c r="AY272" s="377">
        <v>0</v>
      </c>
      <c r="AZ272" s="265">
        <v>2702.6151260955885</v>
      </c>
      <c r="BA272" s="265">
        <v>53706.470135573392</v>
      </c>
      <c r="BB272" s="265">
        <v>525.67241082772114</v>
      </c>
      <c r="BC272" s="266">
        <v>53180.797724745673</v>
      </c>
      <c r="BD272" s="264">
        <v>531.80797724745673</v>
      </c>
      <c r="BE272" s="265">
        <v>52648.989747498214</v>
      </c>
      <c r="BF272" s="357">
        <v>0.98031000016560876</v>
      </c>
      <c r="BG272" s="203"/>
      <c r="BJ272" s="458">
        <v>0.98031000016560876</v>
      </c>
      <c r="BK272" s="210"/>
      <c r="BL272" s="458"/>
      <c r="BM272" s="458"/>
      <c r="BN272" s="458"/>
      <c r="BQ272" s="203">
        <v>52523.424897183526</v>
      </c>
      <c r="BR272" s="458">
        <v>0.97797201649254817</v>
      </c>
      <c r="BT272" s="459">
        <v>0</v>
      </c>
      <c r="BU272" s="460" t="s">
        <v>900</v>
      </c>
      <c r="BV272" s="461">
        <v>52648.989747498214</v>
      </c>
      <c r="BX272" s="462">
        <v>-897.26349355045386</v>
      </c>
      <c r="BY272" s="463">
        <v>-1.6886411374721046E-2</v>
      </c>
      <c r="BZ272" s="461">
        <v>-17.166193193688127</v>
      </c>
      <c r="CB272" s="203" t="s">
        <v>900</v>
      </c>
      <c r="CC272" s="203">
        <v>1003.2466163752368</v>
      </c>
      <c r="CD272" s="203" t="e">
        <v>#VALUE!</v>
      </c>
      <c r="CE272" s="203" t="s">
        <v>900</v>
      </c>
      <c r="CF272" s="203" t="e">
        <v>#VALUE!</v>
      </c>
      <c r="CH272" s="199"/>
      <c r="CJ272" s="464" t="s">
        <v>1448</v>
      </c>
      <c r="CK272" s="464" t="s">
        <v>1447</v>
      </c>
      <c r="CL272" s="464" t="s">
        <v>1448</v>
      </c>
      <c r="CN272" s="464" t="s">
        <v>1447</v>
      </c>
      <c r="CO272" s="464" t="s">
        <v>1447</v>
      </c>
      <c r="CP272" s="464" t="s">
        <v>1447</v>
      </c>
      <c r="CQ272" s="464" t="s">
        <v>1447</v>
      </c>
      <c r="CS272" s="465">
        <v>0</v>
      </c>
      <c r="CT272" s="466">
        <v>0</v>
      </c>
      <c r="CU272" s="466">
        <v>0.95</v>
      </c>
      <c r="CV272" s="467">
        <v>0.95</v>
      </c>
    </row>
    <row r="273" spans="1:100" s="48" customFormat="1" outlineLevel="1" x14ac:dyDescent="0.3">
      <c r="A273" s="202">
        <v>78580000</v>
      </c>
      <c r="B273" s="48">
        <v>400852</v>
      </c>
      <c r="C273" s="48">
        <v>90535</v>
      </c>
      <c r="D273" s="48" t="s">
        <v>229</v>
      </c>
      <c r="E273" s="48" t="s">
        <v>7</v>
      </c>
      <c r="F273" s="48" t="s">
        <v>1503</v>
      </c>
      <c r="G273" s="48" t="s">
        <v>1502</v>
      </c>
      <c r="H273" s="48" t="s">
        <v>1529</v>
      </c>
      <c r="O273" s="454" t="s">
        <v>900</v>
      </c>
      <c r="P273" s="455" t="s">
        <v>900</v>
      </c>
      <c r="Q273" s="347" t="s">
        <v>900</v>
      </c>
      <c r="R273" s="455">
        <v>265</v>
      </c>
      <c r="S273" s="457">
        <v>154</v>
      </c>
      <c r="T273" s="455"/>
      <c r="U273" s="454">
        <v>265</v>
      </c>
      <c r="V273" s="455">
        <v>78.916270250351815</v>
      </c>
      <c r="W273" s="230">
        <v>0.29779724622774267</v>
      </c>
      <c r="X273" s="264" t="s">
        <v>900</v>
      </c>
      <c r="Y273" s="265" t="s">
        <v>900</v>
      </c>
      <c r="Z273" s="265" t="s">
        <v>900</v>
      </c>
      <c r="AA273" s="265" t="s">
        <v>900</v>
      </c>
      <c r="AB273" s="266" t="s">
        <v>900</v>
      </c>
      <c r="AC273" s="265">
        <v>37082.575256349221</v>
      </c>
      <c r="AD273" s="265">
        <v>7657.2478676300652</v>
      </c>
      <c r="AE273" s="265">
        <v>20097.832239268784</v>
      </c>
      <c r="AF273" s="266">
        <v>17338.085358291111</v>
      </c>
      <c r="AG273" s="265">
        <v>37082.575256349221</v>
      </c>
      <c r="AH273" s="265">
        <v>7657.2478676300652</v>
      </c>
      <c r="AI273" s="265">
        <v>20097.832239268784</v>
      </c>
      <c r="AJ273" s="266">
        <v>17338.085358291111</v>
      </c>
      <c r="AK273" s="265">
        <v>37092.080359371212</v>
      </c>
      <c r="AL273" s="265">
        <v>9631.8326990653168</v>
      </c>
      <c r="AM273" s="265">
        <v>20102.983768380014</v>
      </c>
      <c r="AN273" s="265">
        <v>17342.529501838184</v>
      </c>
      <c r="AO273" s="266">
        <v>84169.426328654736</v>
      </c>
      <c r="AP273" s="203"/>
      <c r="AQ273" s="264">
        <v>36528.687494921156</v>
      </c>
      <c r="AR273" s="265">
        <v>9325.995714576713</v>
      </c>
      <c r="AS273" s="265">
        <v>19824.547789492532</v>
      </c>
      <c r="AT273" s="265">
        <v>18289.222982413041</v>
      </c>
      <c r="AU273" s="266">
        <v>83968.453981403436</v>
      </c>
      <c r="AV273" s="203"/>
      <c r="AW273" s="324">
        <v>84186.232791843388</v>
      </c>
      <c r="AX273" s="203"/>
      <c r="AY273" s="377">
        <v>0</v>
      </c>
      <c r="AZ273" s="265">
        <v>0</v>
      </c>
      <c r="BA273" s="265">
        <v>83968.453981403436</v>
      </c>
      <c r="BB273" s="265">
        <v>821.87303552917888</v>
      </c>
      <c r="BC273" s="266">
        <v>83146.580945874259</v>
      </c>
      <c r="BD273" s="264">
        <v>831.46580945874257</v>
      </c>
      <c r="BE273" s="265">
        <v>82315.115136415523</v>
      </c>
      <c r="BF273" s="357">
        <v>0.97777406597995253</v>
      </c>
      <c r="BG273" s="203"/>
      <c r="BJ273" s="458">
        <v>0.97777406597995253</v>
      </c>
      <c r="BK273" s="210"/>
      <c r="BL273" s="458"/>
      <c r="BM273" s="458"/>
      <c r="BN273" s="458"/>
      <c r="BQ273" s="203">
        <v>82118.798261954871</v>
      </c>
      <c r="BR273" s="458">
        <v>0.97544213036589489</v>
      </c>
      <c r="BT273" s="459" t="s">
        <v>900</v>
      </c>
      <c r="BU273" s="460" t="s">
        <v>900</v>
      </c>
      <c r="BV273" s="461">
        <v>82315.115136415523</v>
      </c>
      <c r="BX273" s="462">
        <v>1667.726705504756</v>
      </c>
      <c r="BY273" s="463">
        <v>2.0380471620057513E-2</v>
      </c>
      <c r="BZ273" s="461">
        <v>21.132862719108562</v>
      </c>
      <c r="CB273" s="203" t="s">
        <v>900</v>
      </c>
      <c r="CC273" s="203">
        <v>1521.6466591608537</v>
      </c>
      <c r="CD273" s="203" t="e">
        <v>#VALUE!</v>
      </c>
      <c r="CE273" s="203" t="s">
        <v>900</v>
      </c>
      <c r="CF273" s="203" t="e">
        <v>#VALUE!</v>
      </c>
      <c r="CH273" s="199"/>
      <c r="CJ273" s="464" t="s">
        <v>1448</v>
      </c>
      <c r="CK273" s="464" t="s">
        <v>1447</v>
      </c>
      <c r="CL273" s="464" t="s">
        <v>1448</v>
      </c>
      <c r="CN273" s="464" t="s">
        <v>1447</v>
      </c>
      <c r="CO273" s="464" t="s">
        <v>1447</v>
      </c>
      <c r="CP273" s="464" t="s">
        <v>1447</v>
      </c>
      <c r="CQ273" s="464" t="s">
        <v>1447</v>
      </c>
      <c r="CS273" s="465">
        <v>0</v>
      </c>
      <c r="CT273" s="466">
        <v>0.9</v>
      </c>
      <c r="CU273" s="466">
        <v>0</v>
      </c>
      <c r="CV273" s="467">
        <v>0.9</v>
      </c>
    </row>
    <row r="274" spans="1:100" s="48" customFormat="1" outlineLevel="1" x14ac:dyDescent="0.3">
      <c r="A274" s="202">
        <v>78571000</v>
      </c>
      <c r="B274" s="48">
        <v>400789</v>
      </c>
      <c r="C274" s="48">
        <v>90334</v>
      </c>
      <c r="D274" s="48" t="s">
        <v>230</v>
      </c>
      <c r="E274" s="48" t="s">
        <v>7</v>
      </c>
      <c r="F274" s="48" t="s">
        <v>1498</v>
      </c>
      <c r="G274" s="48" t="s">
        <v>1502</v>
      </c>
      <c r="H274" s="48" t="s">
        <v>1529</v>
      </c>
      <c r="O274" s="454" t="s">
        <v>900</v>
      </c>
      <c r="P274" s="455" t="s">
        <v>900</v>
      </c>
      <c r="Q274" s="347" t="s">
        <v>900</v>
      </c>
      <c r="R274" s="455">
        <v>197</v>
      </c>
      <c r="S274" s="457">
        <v>128</v>
      </c>
      <c r="T274" s="455"/>
      <c r="U274" s="454">
        <v>197</v>
      </c>
      <c r="V274" s="455">
        <v>65.592744104188526</v>
      </c>
      <c r="W274" s="230">
        <v>0.33295809189943415</v>
      </c>
      <c r="X274" s="264" t="s">
        <v>900</v>
      </c>
      <c r="Y274" s="265" t="s">
        <v>900</v>
      </c>
      <c r="Z274" s="265" t="s">
        <v>900</v>
      </c>
      <c r="AA274" s="265" t="s">
        <v>900</v>
      </c>
      <c r="AB274" s="266" t="s">
        <v>900</v>
      </c>
      <c r="AC274" s="265">
        <v>30821.880732550002</v>
      </c>
      <c r="AD274" s="265">
        <v>6364.4657601081071</v>
      </c>
      <c r="AE274" s="265">
        <v>16704.691731340292</v>
      </c>
      <c r="AF274" s="266">
        <v>14410.876141956249</v>
      </c>
      <c r="AG274" s="265">
        <v>30821.880732550002</v>
      </c>
      <c r="AH274" s="265">
        <v>6364.4657601081071</v>
      </c>
      <c r="AI274" s="265">
        <v>16704.691731340292</v>
      </c>
      <c r="AJ274" s="266">
        <v>14410.876141956249</v>
      </c>
      <c r="AK274" s="265">
        <v>30831.385835571993</v>
      </c>
      <c r="AL274" s="265">
        <v>8339.0505915433587</v>
      </c>
      <c r="AM274" s="265">
        <v>16709.843260451522</v>
      </c>
      <c r="AN274" s="265">
        <v>14415.320285503321</v>
      </c>
      <c r="AO274" s="266">
        <v>70295.599973070188</v>
      </c>
      <c r="AP274" s="203"/>
      <c r="AQ274" s="264">
        <v>42146.98022145655</v>
      </c>
      <c r="AR274" s="265">
        <v>9313.4404337404412</v>
      </c>
      <c r="AS274" s="265">
        <v>22346.944705743321</v>
      </c>
      <c r="AT274" s="265">
        <v>21531.127397652977</v>
      </c>
      <c r="AU274" s="266">
        <v>95338.492758593289</v>
      </c>
      <c r="AV274" s="203"/>
      <c r="AW274" s="324">
        <v>93811.42099908652</v>
      </c>
      <c r="AX274" s="203"/>
      <c r="AY274" s="377">
        <v>0</v>
      </c>
      <c r="AZ274" s="265">
        <v>1527.071759506769</v>
      </c>
      <c r="BA274" s="265">
        <v>93811.42099908652</v>
      </c>
      <c r="BB274" s="265">
        <v>918.21480196480263</v>
      </c>
      <c r="BC274" s="266">
        <v>92893.206197121719</v>
      </c>
      <c r="BD274" s="264">
        <v>928.93206197121719</v>
      </c>
      <c r="BE274" s="265">
        <v>91964.274135150496</v>
      </c>
      <c r="BF274" s="357">
        <v>0.98031000016560876</v>
      </c>
      <c r="BG274" s="203"/>
      <c r="BJ274" s="458">
        <v>0.98031000016560876</v>
      </c>
      <c r="BK274" s="210"/>
      <c r="BL274" s="458"/>
      <c r="BM274" s="458"/>
      <c r="BN274" s="458"/>
      <c r="BQ274" s="203">
        <v>91744.944564508027</v>
      </c>
      <c r="BR274" s="458">
        <v>0.97797201649254817</v>
      </c>
      <c r="BT274" s="459" t="s">
        <v>900</v>
      </c>
      <c r="BU274" s="460" t="s">
        <v>900</v>
      </c>
      <c r="BV274" s="461">
        <v>91964.274135150496</v>
      </c>
      <c r="BX274" s="462">
        <v>24867.453299170767</v>
      </c>
      <c r="BY274" s="463">
        <v>0.36531651095869622</v>
      </c>
      <c r="BZ274" s="461">
        <v>379.11896565374548</v>
      </c>
      <c r="CB274" s="203" t="s">
        <v>900</v>
      </c>
      <c r="CC274" s="203">
        <v>1241.0851628182859</v>
      </c>
      <c r="CD274" s="203" t="e">
        <v>#VALUE!</v>
      </c>
      <c r="CE274" s="203" t="s">
        <v>900</v>
      </c>
      <c r="CF274" s="203" t="e">
        <v>#VALUE!</v>
      </c>
      <c r="CH274" s="199"/>
      <c r="CJ274" s="464" t="s">
        <v>1448</v>
      </c>
      <c r="CK274" s="464" t="s">
        <v>1447</v>
      </c>
      <c r="CL274" s="464" t="s">
        <v>1448</v>
      </c>
      <c r="CN274" s="464" t="s">
        <v>1447</v>
      </c>
      <c r="CO274" s="464" t="s">
        <v>1447</v>
      </c>
      <c r="CP274" s="464" t="s">
        <v>1447</v>
      </c>
      <c r="CQ274" s="464" t="s">
        <v>1447</v>
      </c>
      <c r="CS274" s="465">
        <v>0</v>
      </c>
      <c r="CT274" s="466">
        <v>0</v>
      </c>
      <c r="CU274" s="466">
        <v>0.95</v>
      </c>
      <c r="CV274" s="467">
        <v>0.95</v>
      </c>
    </row>
    <row r="275" spans="1:100" s="48" customFormat="1" outlineLevel="1" x14ac:dyDescent="0.3">
      <c r="A275" s="202">
        <v>78949000</v>
      </c>
      <c r="B275" s="48">
        <v>400389</v>
      </c>
      <c r="C275" s="48">
        <v>79882</v>
      </c>
      <c r="D275" s="48" t="s">
        <v>231</v>
      </c>
      <c r="E275" s="48" t="s">
        <v>7</v>
      </c>
      <c r="F275" s="48" t="s">
        <v>1501</v>
      </c>
      <c r="G275" s="48" t="s">
        <v>1502</v>
      </c>
      <c r="H275" s="48" t="s">
        <v>1529</v>
      </c>
      <c r="O275" s="454" t="s">
        <v>900</v>
      </c>
      <c r="P275" s="455" t="s">
        <v>900</v>
      </c>
      <c r="Q275" s="347" t="s">
        <v>900</v>
      </c>
      <c r="R275" s="455">
        <v>229</v>
      </c>
      <c r="S275" s="457">
        <v>197</v>
      </c>
      <c r="T275" s="455"/>
      <c r="U275" s="454">
        <v>229</v>
      </c>
      <c r="V275" s="455">
        <v>100.95133272285265</v>
      </c>
      <c r="W275" s="230">
        <v>0.44083551407359239</v>
      </c>
      <c r="X275" s="264" t="s">
        <v>900</v>
      </c>
      <c r="Y275" s="265" t="s">
        <v>900</v>
      </c>
      <c r="Z275" s="265" t="s">
        <v>900</v>
      </c>
      <c r="AA275" s="265" t="s">
        <v>900</v>
      </c>
      <c r="AB275" s="266" t="s">
        <v>900</v>
      </c>
      <c r="AC275" s="265">
        <v>47436.800814940238</v>
      </c>
      <c r="AD275" s="265">
        <v>9795.3105839163836</v>
      </c>
      <c r="AE275" s="265">
        <v>25709.564617765918</v>
      </c>
      <c r="AF275" s="266">
        <v>22179.239062229539</v>
      </c>
      <c r="AG275" s="265">
        <v>47436.800814940238</v>
      </c>
      <c r="AH275" s="265">
        <v>9795.3105839163836</v>
      </c>
      <c r="AI275" s="265">
        <v>25709.564617765918</v>
      </c>
      <c r="AJ275" s="266">
        <v>22179.239062229539</v>
      </c>
      <c r="AK275" s="265">
        <v>47446.305917962229</v>
      </c>
      <c r="AL275" s="265">
        <v>11769.895415351635</v>
      </c>
      <c r="AM275" s="265">
        <v>25714.716146877148</v>
      </c>
      <c r="AN275" s="265">
        <v>22183.683205776611</v>
      </c>
      <c r="AO275" s="266">
        <v>107114.60068596763</v>
      </c>
      <c r="AP275" s="203"/>
      <c r="AQ275" s="264">
        <v>61511.664872225731</v>
      </c>
      <c r="AR275" s="265">
        <v>13263.679356234748</v>
      </c>
      <c r="AS275" s="265">
        <v>32614.383437085471</v>
      </c>
      <c r="AT275" s="265">
        <v>31423.733938864305</v>
      </c>
      <c r="AU275" s="266">
        <v>138813.46160441026</v>
      </c>
      <c r="AV275" s="203"/>
      <c r="AW275" s="324">
        <v>145309.06950019178</v>
      </c>
      <c r="AX275" s="203"/>
      <c r="AY275" s="377">
        <v>0</v>
      </c>
      <c r="AZ275" s="265">
        <v>0</v>
      </c>
      <c r="BA275" s="265">
        <v>138813.46160441026</v>
      </c>
      <c r="BB275" s="265">
        <v>1358.6893130888982</v>
      </c>
      <c r="BC275" s="266">
        <v>137454.77229132137</v>
      </c>
      <c r="BD275" s="264">
        <v>1374.5477229132136</v>
      </c>
      <c r="BE275" s="265">
        <v>136080.22456840816</v>
      </c>
      <c r="BF275" s="357">
        <v>0.93648816991583972</v>
      </c>
      <c r="BG275" s="203"/>
      <c r="BJ275" s="458">
        <v>0.93648816991583972</v>
      </c>
      <c r="BK275" s="210"/>
      <c r="BL275" s="458"/>
      <c r="BM275" s="458"/>
      <c r="BN275" s="458"/>
      <c r="BQ275" s="203">
        <v>135755.68096157603</v>
      </c>
      <c r="BR275" s="458">
        <v>0.93425469881903589</v>
      </c>
      <c r="BT275" s="459" t="s">
        <v>900</v>
      </c>
      <c r="BU275" s="460" t="s">
        <v>900</v>
      </c>
      <c r="BV275" s="461">
        <v>136080.22456840816</v>
      </c>
      <c r="BX275" s="462">
        <v>33022.282038188321</v>
      </c>
      <c r="BY275" s="463">
        <v>0.31574782954274339</v>
      </c>
      <c r="BZ275" s="461">
        <v>327.11090728089982</v>
      </c>
      <c r="CB275" s="203" t="s">
        <v>900</v>
      </c>
      <c r="CC275" s="203">
        <v>1834.6351900972404</v>
      </c>
      <c r="CD275" s="203" t="e">
        <v>#VALUE!</v>
      </c>
      <c r="CE275" s="203" t="s">
        <v>900</v>
      </c>
      <c r="CF275" s="203" t="e">
        <v>#VALUE!</v>
      </c>
      <c r="CH275" s="199"/>
      <c r="CJ275" s="464" t="s">
        <v>1448</v>
      </c>
      <c r="CK275" s="464" t="s">
        <v>1447</v>
      </c>
      <c r="CL275" s="464" t="s">
        <v>1448</v>
      </c>
      <c r="CN275" s="464" t="s">
        <v>1447</v>
      </c>
      <c r="CO275" s="464" t="s">
        <v>1447</v>
      </c>
      <c r="CP275" s="464" t="s">
        <v>1447</v>
      </c>
      <c r="CQ275" s="464" t="s">
        <v>1447</v>
      </c>
      <c r="CS275" s="465">
        <v>0</v>
      </c>
      <c r="CT275" s="466">
        <v>0</v>
      </c>
      <c r="CU275" s="466">
        <v>0.95</v>
      </c>
      <c r="CV275" s="467">
        <v>0.95</v>
      </c>
    </row>
    <row r="276" spans="1:100" s="48" customFormat="1" outlineLevel="1" x14ac:dyDescent="0.3">
      <c r="A276" s="202">
        <v>78576000</v>
      </c>
      <c r="B276" s="48">
        <v>400823</v>
      </c>
      <c r="C276" s="48">
        <v>90548</v>
      </c>
      <c r="D276" s="48" t="s">
        <v>232</v>
      </c>
      <c r="E276" s="48" t="s">
        <v>7</v>
      </c>
      <c r="F276" s="48" t="s">
        <v>1501</v>
      </c>
      <c r="G276" s="48" t="s">
        <v>1502</v>
      </c>
      <c r="H276" s="48" t="s">
        <v>1529</v>
      </c>
      <c r="O276" s="454" t="s">
        <v>900</v>
      </c>
      <c r="P276" s="455" t="s">
        <v>900</v>
      </c>
      <c r="Q276" s="347" t="s">
        <v>900</v>
      </c>
      <c r="R276" s="455">
        <v>283</v>
      </c>
      <c r="S276" s="457">
        <v>140</v>
      </c>
      <c r="T276" s="455"/>
      <c r="U276" s="454">
        <v>283</v>
      </c>
      <c r="V276" s="455">
        <v>71.742063863956204</v>
      </c>
      <c r="W276" s="230">
        <v>0.25350552602104665</v>
      </c>
      <c r="X276" s="264" t="s">
        <v>900</v>
      </c>
      <c r="Y276" s="265" t="s">
        <v>900</v>
      </c>
      <c r="Z276" s="265" t="s">
        <v>900</v>
      </c>
      <c r="AA276" s="265" t="s">
        <v>900</v>
      </c>
      <c r="AB276" s="266" t="s">
        <v>900</v>
      </c>
      <c r="AC276" s="265">
        <v>33711.432051226569</v>
      </c>
      <c r="AD276" s="265">
        <v>6961.1344251182418</v>
      </c>
      <c r="AE276" s="265">
        <v>18270.756581153444</v>
      </c>
      <c r="AF276" s="266">
        <v>15761.895780264647</v>
      </c>
      <c r="AG276" s="265">
        <v>33711.432051226569</v>
      </c>
      <c r="AH276" s="265">
        <v>6961.1344251182418</v>
      </c>
      <c r="AI276" s="265">
        <v>18270.756581153444</v>
      </c>
      <c r="AJ276" s="266">
        <v>15761.895780264647</v>
      </c>
      <c r="AK276" s="265">
        <v>33720.937154248561</v>
      </c>
      <c r="AL276" s="265">
        <v>8935.7192565534933</v>
      </c>
      <c r="AM276" s="265">
        <v>18275.908110264674</v>
      </c>
      <c r="AN276" s="265">
        <v>15766.33992381172</v>
      </c>
      <c r="AO276" s="266">
        <v>76698.904444878455</v>
      </c>
      <c r="AP276" s="203"/>
      <c r="AQ276" s="264">
        <v>34425.0708880034</v>
      </c>
      <c r="AR276" s="265">
        <v>8651.9857743547964</v>
      </c>
      <c r="AS276" s="265">
        <v>18252.67555548064</v>
      </c>
      <c r="AT276" s="265">
        <v>17586.327254484866</v>
      </c>
      <c r="AU276" s="266">
        <v>78916.059472323715</v>
      </c>
      <c r="AV276" s="203"/>
      <c r="AW276" s="324">
        <v>80977.836722762324</v>
      </c>
      <c r="AX276" s="203"/>
      <c r="AY276" s="377">
        <v>0</v>
      </c>
      <c r="AZ276" s="265">
        <v>0</v>
      </c>
      <c r="BA276" s="265">
        <v>78916.059472323715</v>
      </c>
      <c r="BB276" s="265">
        <v>772.42081133093484</v>
      </c>
      <c r="BC276" s="266">
        <v>78143.638660992787</v>
      </c>
      <c r="BD276" s="264">
        <v>781.43638660992792</v>
      </c>
      <c r="BE276" s="265">
        <v>77362.202274382857</v>
      </c>
      <c r="BF276" s="357">
        <v>0.95535032059749825</v>
      </c>
      <c r="BG276" s="203"/>
      <c r="BJ276" s="458">
        <v>0.95535032059749825</v>
      </c>
      <c r="BK276" s="210"/>
      <c r="BL276" s="458"/>
      <c r="BM276" s="458"/>
      <c r="BN276" s="458"/>
      <c r="BQ276" s="203">
        <v>77177.697815794294</v>
      </c>
      <c r="BR276" s="458">
        <v>0.95307186434260671</v>
      </c>
      <c r="BT276" s="459" t="s">
        <v>900</v>
      </c>
      <c r="BU276" s="460" t="s">
        <v>900</v>
      </c>
      <c r="BV276" s="461">
        <v>77362.202274382857</v>
      </c>
      <c r="BX276" s="462">
        <v>4011.2733176657057</v>
      </c>
      <c r="BY276" s="463">
        <v>5.3899654366760863E-2</v>
      </c>
      <c r="BZ276" s="461">
        <v>55.91243270157721</v>
      </c>
      <c r="CB276" s="203" t="s">
        <v>900</v>
      </c>
      <c r="CC276" s="203">
        <v>1426.1305685087357</v>
      </c>
      <c r="CD276" s="203" t="e">
        <v>#VALUE!</v>
      </c>
      <c r="CE276" s="203" t="s">
        <v>900</v>
      </c>
      <c r="CF276" s="203" t="e">
        <v>#VALUE!</v>
      </c>
      <c r="CH276" s="199"/>
      <c r="CJ276" s="464" t="s">
        <v>1448</v>
      </c>
      <c r="CK276" s="464" t="s">
        <v>1447</v>
      </c>
      <c r="CL276" s="464" t="s">
        <v>1448</v>
      </c>
      <c r="CN276" s="464" t="s">
        <v>1447</v>
      </c>
      <c r="CO276" s="464" t="s">
        <v>1447</v>
      </c>
      <c r="CP276" s="464" t="s">
        <v>1447</v>
      </c>
      <c r="CQ276" s="464" t="s">
        <v>1447</v>
      </c>
      <c r="CS276" s="465">
        <v>0</v>
      </c>
      <c r="CT276" s="466">
        <v>0.9</v>
      </c>
      <c r="CU276" s="466">
        <v>0</v>
      </c>
      <c r="CV276" s="467">
        <v>0.9</v>
      </c>
    </row>
    <row r="277" spans="1:100" s="48" customFormat="1" outlineLevel="1" x14ac:dyDescent="0.3">
      <c r="A277" s="202">
        <v>78999000</v>
      </c>
      <c r="B277" s="48">
        <v>400221</v>
      </c>
      <c r="C277" s="48">
        <v>79233</v>
      </c>
      <c r="D277" s="48" t="s">
        <v>234</v>
      </c>
      <c r="E277" s="48" t="s">
        <v>7</v>
      </c>
      <c r="F277" s="48" t="s">
        <v>1501</v>
      </c>
      <c r="G277" s="48" t="s">
        <v>1502</v>
      </c>
      <c r="H277" s="48" t="s">
        <v>1529</v>
      </c>
      <c r="O277" s="454" t="s">
        <v>900</v>
      </c>
      <c r="P277" s="455" t="s">
        <v>900</v>
      </c>
      <c r="Q277" s="347" t="s">
        <v>900</v>
      </c>
      <c r="R277" s="455">
        <v>374</v>
      </c>
      <c r="S277" s="457">
        <v>355</v>
      </c>
      <c r="T277" s="455"/>
      <c r="U277" s="454">
        <v>374</v>
      </c>
      <c r="V277" s="455">
        <v>181.91737622646036</v>
      </c>
      <c r="W277" s="230">
        <v>0.4864100968621935</v>
      </c>
      <c r="X277" s="264" t="s">
        <v>900</v>
      </c>
      <c r="Y277" s="265" t="s">
        <v>900</v>
      </c>
      <c r="Z277" s="265" t="s">
        <v>900</v>
      </c>
      <c r="AA277" s="265" t="s">
        <v>900</v>
      </c>
      <c r="AB277" s="266" t="s">
        <v>900</v>
      </c>
      <c r="AC277" s="265">
        <v>85482.55984418164</v>
      </c>
      <c r="AD277" s="265">
        <v>17651.448006549828</v>
      </c>
      <c r="AE277" s="265">
        <v>46329.418473639089</v>
      </c>
      <c r="AF277" s="266">
        <v>39967.664299956785</v>
      </c>
      <c r="AG277" s="265">
        <v>85482.55984418164</v>
      </c>
      <c r="AH277" s="265">
        <v>17651.448006549828</v>
      </c>
      <c r="AI277" s="265">
        <v>46329.418473639089</v>
      </c>
      <c r="AJ277" s="266">
        <v>39967.664299956785</v>
      </c>
      <c r="AK277" s="265">
        <v>85492.064947203631</v>
      </c>
      <c r="AL277" s="265">
        <v>19626.03283798508</v>
      </c>
      <c r="AM277" s="265">
        <v>46334.570002750319</v>
      </c>
      <c r="AN277" s="265">
        <v>39972.108443503857</v>
      </c>
      <c r="AO277" s="266">
        <v>191424.77623144287</v>
      </c>
      <c r="AP277" s="203"/>
      <c r="AQ277" s="264">
        <v>84193.523078111975</v>
      </c>
      <c r="AR277" s="265">
        <v>19002.852713477088</v>
      </c>
      <c r="AS277" s="265">
        <v>45692.813957792525</v>
      </c>
      <c r="AT277" s="265">
        <v>41439.998061840794</v>
      </c>
      <c r="AU277" s="266">
        <v>190329.18781122239</v>
      </c>
      <c r="AV277" s="203"/>
      <c r="AW277" s="324">
        <v>223215.20701476911</v>
      </c>
      <c r="AX277" s="203"/>
      <c r="AY277" s="377">
        <v>0</v>
      </c>
      <c r="AZ277" s="265">
        <v>0</v>
      </c>
      <c r="BA277" s="265">
        <v>190329.18781122239</v>
      </c>
      <c r="BB277" s="265">
        <v>1862.9189882530936</v>
      </c>
      <c r="BC277" s="266">
        <v>188466.26882296929</v>
      </c>
      <c r="BD277" s="264">
        <v>1884.662688229693</v>
      </c>
      <c r="BE277" s="265">
        <v>186581.60613473959</v>
      </c>
      <c r="BF277" s="357">
        <v>0.83588214544179484</v>
      </c>
      <c r="BG277" s="203"/>
      <c r="BJ277" s="458">
        <v>0.83588214544179484</v>
      </c>
      <c r="BK277" s="210"/>
      <c r="BL277" s="458"/>
      <c r="BM277" s="458"/>
      <c r="BN277" s="458"/>
      <c r="BQ277" s="203">
        <v>186136.61960113008</v>
      </c>
      <c r="BR277" s="458">
        <v>0.83388861399937808</v>
      </c>
      <c r="BT277" s="459" t="s">
        <v>900</v>
      </c>
      <c r="BU277" s="460" t="s">
        <v>900</v>
      </c>
      <c r="BV277" s="461">
        <v>186581.60613473959</v>
      </c>
      <c r="BX277" s="462">
        <v>1177.9066814771504</v>
      </c>
      <c r="BY277" s="463">
        <v>6.258979748036712E-3</v>
      </c>
      <c r="BZ277" s="461">
        <v>6.4749542122399015</v>
      </c>
      <c r="CB277" s="203" t="s">
        <v>900</v>
      </c>
      <c r="CC277" s="203">
        <v>3266.7379713518512</v>
      </c>
      <c r="CD277" s="203" t="e">
        <v>#VALUE!</v>
      </c>
      <c r="CE277" s="203" t="s">
        <v>900</v>
      </c>
      <c r="CF277" s="203" t="e">
        <v>#VALUE!</v>
      </c>
      <c r="CH277" s="199"/>
      <c r="CJ277" s="464" t="s">
        <v>1448</v>
      </c>
      <c r="CK277" s="464" t="s">
        <v>1447</v>
      </c>
      <c r="CL277" s="464" t="s">
        <v>1448</v>
      </c>
      <c r="CN277" s="464" t="s">
        <v>1447</v>
      </c>
      <c r="CO277" s="464" t="s">
        <v>1447</v>
      </c>
      <c r="CP277" s="464" t="s">
        <v>1447</v>
      </c>
      <c r="CQ277" s="464" t="s">
        <v>1447</v>
      </c>
      <c r="CS277" s="465">
        <v>0</v>
      </c>
      <c r="CT277" s="466">
        <v>0</v>
      </c>
      <c r="CU277" s="466">
        <v>0.95</v>
      </c>
      <c r="CV277" s="467">
        <v>0.95</v>
      </c>
    </row>
    <row r="278" spans="1:100" s="48" customFormat="1" outlineLevel="1" x14ac:dyDescent="0.3">
      <c r="A278" s="202">
        <v>78765000</v>
      </c>
      <c r="B278" s="48">
        <v>400227</v>
      </c>
      <c r="C278" s="48">
        <v>78965</v>
      </c>
      <c r="D278" s="48" t="s">
        <v>235</v>
      </c>
      <c r="E278" s="48" t="s">
        <v>7</v>
      </c>
      <c r="F278" s="48" t="s">
        <v>1498</v>
      </c>
      <c r="G278" s="48" t="s">
        <v>1499</v>
      </c>
      <c r="H278" s="48" t="s">
        <v>1529</v>
      </c>
      <c r="O278" s="454" t="s">
        <v>900</v>
      </c>
      <c r="P278" s="455" t="s">
        <v>900</v>
      </c>
      <c r="Q278" s="347" t="s">
        <v>900</v>
      </c>
      <c r="R278" s="455">
        <v>128</v>
      </c>
      <c r="S278" s="457">
        <v>110</v>
      </c>
      <c r="T278" s="455"/>
      <c r="U278" s="454">
        <v>128</v>
      </c>
      <c r="V278" s="455">
        <v>56.368764464537016</v>
      </c>
      <c r="W278" s="230">
        <v>0.44038097237919543</v>
      </c>
      <c r="X278" s="264" t="s">
        <v>900</v>
      </c>
      <c r="Y278" s="265" t="s">
        <v>900</v>
      </c>
      <c r="Z278" s="265" t="s">
        <v>900</v>
      </c>
      <c r="AA278" s="265" t="s">
        <v>900</v>
      </c>
      <c r="AB278" s="266" t="s">
        <v>900</v>
      </c>
      <c r="AC278" s="265">
        <v>26487.553754535158</v>
      </c>
      <c r="AD278" s="265">
        <v>5469.4627625929043</v>
      </c>
      <c r="AE278" s="265">
        <v>14355.594456620562</v>
      </c>
      <c r="AF278" s="266">
        <v>12384.346684493652</v>
      </c>
      <c r="AG278" s="265">
        <v>26487.553754535158</v>
      </c>
      <c r="AH278" s="265">
        <v>5469.4627625929043</v>
      </c>
      <c r="AI278" s="265">
        <v>14355.594456620562</v>
      </c>
      <c r="AJ278" s="266">
        <v>12384.346684493652</v>
      </c>
      <c r="AK278" s="265">
        <v>26497.058857557149</v>
      </c>
      <c r="AL278" s="265">
        <v>7444.0475940281558</v>
      </c>
      <c r="AM278" s="265">
        <v>14360.745985731792</v>
      </c>
      <c r="AN278" s="265">
        <v>12388.790828040725</v>
      </c>
      <c r="AO278" s="266">
        <v>60690.643265357823</v>
      </c>
      <c r="AP278" s="203"/>
      <c r="AQ278" s="264">
        <v>62773.881843275572</v>
      </c>
      <c r="AR278" s="265">
        <v>12007.922775458524</v>
      </c>
      <c r="AS278" s="265">
        <v>31492.496494813524</v>
      </c>
      <c r="AT278" s="265">
        <v>29553.332250366606</v>
      </c>
      <c r="AU278" s="266">
        <v>135827.63336391421</v>
      </c>
      <c r="AV278" s="203"/>
      <c r="AW278" s="324">
        <v>141567.74638096982</v>
      </c>
      <c r="AX278" s="203"/>
      <c r="AY278" s="377">
        <v>0</v>
      </c>
      <c r="AZ278" s="265">
        <v>0</v>
      </c>
      <c r="BA278" s="265">
        <v>135827.63336391421</v>
      </c>
      <c r="BB278" s="265">
        <v>1329.4643886889712</v>
      </c>
      <c r="BC278" s="266">
        <v>134498.16897522524</v>
      </c>
      <c r="BD278" s="264">
        <v>1344.9816897522524</v>
      </c>
      <c r="BE278" s="265">
        <v>133153.18728547299</v>
      </c>
      <c r="BF278" s="357">
        <v>0.94056160876607731</v>
      </c>
      <c r="BG278" s="203"/>
      <c r="BJ278" s="458">
        <v>0.94056160876607731</v>
      </c>
      <c r="BK278" s="210"/>
      <c r="BL278" s="458"/>
      <c r="BM278" s="458"/>
      <c r="BN278" s="458"/>
      <c r="BQ278" s="203">
        <v>132835.6244963177</v>
      </c>
      <c r="BR278" s="458">
        <v>0.93831842274896926</v>
      </c>
      <c r="BT278" s="459">
        <v>0</v>
      </c>
      <c r="BU278" s="460" t="s">
        <v>900</v>
      </c>
      <c r="BV278" s="461">
        <v>133153.18728547299</v>
      </c>
      <c r="BX278" s="462">
        <v>75437.52863059938</v>
      </c>
      <c r="BY278" s="463">
        <v>1.2958686645313835</v>
      </c>
      <c r="BZ278" s="461">
        <v>1338.2860055068086</v>
      </c>
      <c r="CB278" s="203" t="s">
        <v>900</v>
      </c>
      <c r="CC278" s="203">
        <v>1024.5498398533525</v>
      </c>
      <c r="CD278" s="203" t="e">
        <v>#VALUE!</v>
      </c>
      <c r="CE278" s="203" t="s">
        <v>900</v>
      </c>
      <c r="CF278" s="203" t="e">
        <v>#VALUE!</v>
      </c>
      <c r="CH278" s="199"/>
      <c r="CJ278" s="464" t="s">
        <v>1448</v>
      </c>
      <c r="CK278" s="464" t="s">
        <v>1447</v>
      </c>
      <c r="CL278" s="464" t="s">
        <v>1448</v>
      </c>
      <c r="CN278" s="464" t="s">
        <v>1447</v>
      </c>
      <c r="CO278" s="464" t="s">
        <v>1447</v>
      </c>
      <c r="CP278" s="464" t="s">
        <v>1447</v>
      </c>
      <c r="CQ278" s="464" t="s">
        <v>1447</v>
      </c>
      <c r="CS278" s="465">
        <v>0</v>
      </c>
      <c r="CT278" s="466">
        <v>0</v>
      </c>
      <c r="CU278" s="466">
        <v>0.95</v>
      </c>
      <c r="CV278" s="467">
        <v>0.95</v>
      </c>
    </row>
    <row r="279" spans="1:100" s="48" customFormat="1" outlineLevel="1" x14ac:dyDescent="0.3">
      <c r="A279" s="202">
        <v>78952000</v>
      </c>
      <c r="B279" s="48">
        <v>400386</v>
      </c>
      <c r="C279" s="48">
        <v>79876</v>
      </c>
      <c r="D279" s="48" t="s">
        <v>236</v>
      </c>
      <c r="E279" s="48" t="s">
        <v>7</v>
      </c>
      <c r="F279" s="48" t="s">
        <v>1501</v>
      </c>
      <c r="G279" s="48" t="s">
        <v>1502</v>
      </c>
      <c r="H279" s="48" t="s">
        <v>1529</v>
      </c>
      <c r="O279" s="454" t="s">
        <v>900</v>
      </c>
      <c r="P279" s="455" t="s">
        <v>900</v>
      </c>
      <c r="Q279" s="347" t="s">
        <v>900</v>
      </c>
      <c r="R279" s="455">
        <v>207</v>
      </c>
      <c r="S279" s="457">
        <v>172</v>
      </c>
      <c r="T279" s="455"/>
      <c r="U279" s="454">
        <v>207</v>
      </c>
      <c r="V279" s="455">
        <v>88.140249890003332</v>
      </c>
      <c r="W279" s="230">
        <v>0.42579830864735907</v>
      </c>
      <c r="X279" s="264" t="s">
        <v>900</v>
      </c>
      <c r="Y279" s="265" t="s">
        <v>900</v>
      </c>
      <c r="Z279" s="265" t="s">
        <v>900</v>
      </c>
      <c r="AA279" s="265" t="s">
        <v>900</v>
      </c>
      <c r="AB279" s="266" t="s">
        <v>900</v>
      </c>
      <c r="AC279" s="265">
        <v>41416.902234364068</v>
      </c>
      <c r="AD279" s="265">
        <v>8552.2508651452681</v>
      </c>
      <c r="AE279" s="265">
        <v>22446.929513988514</v>
      </c>
      <c r="AF279" s="266">
        <v>19364.61481575371</v>
      </c>
      <c r="AG279" s="265">
        <v>41416.902234364068</v>
      </c>
      <c r="AH279" s="265">
        <v>8552.2508651452681</v>
      </c>
      <c r="AI279" s="265">
        <v>22446.929513988514</v>
      </c>
      <c r="AJ279" s="266">
        <v>19364.61481575371</v>
      </c>
      <c r="AK279" s="265">
        <v>41426.407337386059</v>
      </c>
      <c r="AL279" s="265">
        <v>10526.83569658052</v>
      </c>
      <c r="AM279" s="265">
        <v>22452.081043099744</v>
      </c>
      <c r="AN279" s="265">
        <v>19369.058959300783</v>
      </c>
      <c r="AO279" s="266">
        <v>93774.3830363671</v>
      </c>
      <c r="AP279" s="203"/>
      <c r="AQ279" s="264">
        <v>61027.547755956497</v>
      </c>
      <c r="AR279" s="265">
        <v>13164.923383172389</v>
      </c>
      <c r="AS279" s="265">
        <v>32357.697468801925</v>
      </c>
      <c r="AT279" s="265">
        <v>31176.41877533403</v>
      </c>
      <c r="AU279" s="266">
        <v>137726.58738326485</v>
      </c>
      <c r="AV279" s="203"/>
      <c r="AW279" s="324">
        <v>148950.56989714017</v>
      </c>
      <c r="AX279" s="203"/>
      <c r="AY279" s="377">
        <v>0</v>
      </c>
      <c r="AZ279" s="265">
        <v>0</v>
      </c>
      <c r="BA279" s="265">
        <v>137726.58738326485</v>
      </c>
      <c r="BB279" s="265">
        <v>1348.0511201364707</v>
      </c>
      <c r="BC279" s="266">
        <v>136378.53626312839</v>
      </c>
      <c r="BD279" s="264">
        <v>1363.785362631284</v>
      </c>
      <c r="BE279" s="265">
        <v>135014.75090049711</v>
      </c>
      <c r="BF279" s="357">
        <v>0.90643997531351084</v>
      </c>
      <c r="BG279" s="203"/>
      <c r="BJ279" s="458">
        <v>0.90643997531351084</v>
      </c>
      <c r="BK279" s="210"/>
      <c r="BL279" s="458"/>
      <c r="BM279" s="458"/>
      <c r="BN279" s="458"/>
      <c r="BQ279" s="203">
        <v>134692.7483878487</v>
      </c>
      <c r="BR279" s="458">
        <v>0.90427816745422718</v>
      </c>
      <c r="BT279" s="459" t="s">
        <v>900</v>
      </c>
      <c r="BU279" s="460" t="s">
        <v>900</v>
      </c>
      <c r="BV279" s="461">
        <v>135014.75090049711</v>
      </c>
      <c r="BX279" s="462">
        <v>44986.200288480206</v>
      </c>
      <c r="BY279" s="463">
        <v>0.49243352333655893</v>
      </c>
      <c r="BZ279" s="461">
        <v>510.39338264438527</v>
      </c>
      <c r="CB279" s="203" t="s">
        <v>900</v>
      </c>
      <c r="CC279" s="203">
        <v>1608.9959193343843</v>
      </c>
      <c r="CD279" s="203" t="e">
        <v>#VALUE!</v>
      </c>
      <c r="CE279" s="203" t="s">
        <v>900</v>
      </c>
      <c r="CF279" s="203" t="e">
        <v>#VALUE!</v>
      </c>
      <c r="CH279" s="199"/>
      <c r="CJ279" s="464" t="s">
        <v>1448</v>
      </c>
      <c r="CK279" s="464" t="s">
        <v>1447</v>
      </c>
      <c r="CL279" s="464" t="s">
        <v>1448</v>
      </c>
      <c r="CN279" s="464" t="s">
        <v>1447</v>
      </c>
      <c r="CO279" s="464" t="s">
        <v>1447</v>
      </c>
      <c r="CP279" s="464" t="s">
        <v>1447</v>
      </c>
      <c r="CQ279" s="464" t="s">
        <v>1447</v>
      </c>
      <c r="CS279" s="465">
        <v>0</v>
      </c>
      <c r="CT279" s="466">
        <v>0</v>
      </c>
      <c r="CU279" s="466">
        <v>0.95</v>
      </c>
      <c r="CV279" s="467">
        <v>0.95</v>
      </c>
    </row>
    <row r="280" spans="1:100" s="48" customFormat="1" outlineLevel="1" x14ac:dyDescent="0.3">
      <c r="A280" s="202">
        <v>78954000</v>
      </c>
      <c r="B280" s="48">
        <v>400387</v>
      </c>
      <c r="C280" s="48">
        <v>79878</v>
      </c>
      <c r="D280" s="48" t="s">
        <v>237</v>
      </c>
      <c r="E280" s="48" t="s">
        <v>7</v>
      </c>
      <c r="F280" s="48" t="s">
        <v>1498</v>
      </c>
      <c r="G280" s="48" t="s">
        <v>1502</v>
      </c>
      <c r="H280" s="48" t="s">
        <v>1529</v>
      </c>
      <c r="O280" s="454" t="s">
        <v>900</v>
      </c>
      <c r="P280" s="455" t="s">
        <v>900</v>
      </c>
      <c r="Q280" s="347" t="s">
        <v>900</v>
      </c>
      <c r="R280" s="455">
        <v>10</v>
      </c>
      <c r="S280" s="457">
        <v>9</v>
      </c>
      <c r="T280" s="455"/>
      <c r="U280" s="454">
        <v>10</v>
      </c>
      <c r="V280" s="455">
        <v>4.6119898198257561</v>
      </c>
      <c r="W280" s="230">
        <v>0.46119898198257558</v>
      </c>
      <c r="X280" s="264" t="s">
        <v>900</v>
      </c>
      <c r="Y280" s="265" t="s">
        <v>900</v>
      </c>
      <c r="Z280" s="265" t="s">
        <v>900</v>
      </c>
      <c r="AA280" s="265" t="s">
        <v>900</v>
      </c>
      <c r="AB280" s="266" t="s">
        <v>900</v>
      </c>
      <c r="AC280" s="265">
        <v>2167.1634890074224</v>
      </c>
      <c r="AD280" s="265">
        <v>447.50149875760127</v>
      </c>
      <c r="AE280" s="265">
        <v>1174.5486373598642</v>
      </c>
      <c r="AF280" s="266">
        <v>1013.2647287312988</v>
      </c>
      <c r="AG280" s="265" t="s">
        <v>900</v>
      </c>
      <c r="AH280" s="265" t="s">
        <v>900</v>
      </c>
      <c r="AI280" s="265" t="s">
        <v>900</v>
      </c>
      <c r="AJ280" s="266" t="s">
        <v>900</v>
      </c>
      <c r="AK280" s="265" t="s">
        <v>900</v>
      </c>
      <c r="AL280" s="265" t="s">
        <v>900</v>
      </c>
      <c r="AM280" s="265" t="s">
        <v>900</v>
      </c>
      <c r="AN280" s="265" t="s">
        <v>900</v>
      </c>
      <c r="AO280" s="266">
        <v>0</v>
      </c>
      <c r="AP280" s="203"/>
      <c r="AQ280" s="264">
        <v>0</v>
      </c>
      <c r="AR280" s="265">
        <v>4079.3738614354793</v>
      </c>
      <c r="AS280" s="265">
        <v>0</v>
      </c>
      <c r="AT280" s="265">
        <v>0</v>
      </c>
      <c r="AU280" s="266">
        <v>4079.3738614354793</v>
      </c>
      <c r="AV280" s="203"/>
      <c r="AW280" s="324">
        <v>37129.757111987943</v>
      </c>
      <c r="AX280" s="203"/>
      <c r="AY280" s="377">
        <v>0</v>
      </c>
      <c r="AZ280" s="265">
        <v>0</v>
      </c>
      <c r="BA280" s="265">
        <v>4079.3738614354793</v>
      </c>
      <c r="BB280" s="265">
        <v>39.928416203767391</v>
      </c>
      <c r="BC280" s="266">
        <v>4039.4454452317118</v>
      </c>
      <c r="BD280" s="264">
        <v>40.39445445231712</v>
      </c>
      <c r="BE280" s="265">
        <v>3999.0509907793949</v>
      </c>
      <c r="BF280" s="357">
        <v>0.10770474416834352</v>
      </c>
      <c r="BG280" s="203"/>
      <c r="BJ280" s="458">
        <v>0.10770474416834352</v>
      </c>
      <c r="BK280" s="210"/>
      <c r="BL280" s="458"/>
      <c r="BM280" s="458"/>
      <c r="BN280" s="458"/>
      <c r="BQ280" s="203">
        <v>3989.5134812950487</v>
      </c>
      <c r="BR280" s="458">
        <v>0.10744787447066197</v>
      </c>
      <c r="BT280" s="459">
        <v>-0.39069951531588742</v>
      </c>
      <c r="BU280" s="460">
        <v>-15.62427283821029</v>
      </c>
      <c r="BV280" s="461">
        <v>3983.4267179411845</v>
      </c>
      <c r="BX280" s="462">
        <v>3983.4267179411845</v>
      </c>
      <c r="BY280" s="463" t="s">
        <v>900</v>
      </c>
      <c r="BZ280" s="461">
        <v>863.71108210548493</v>
      </c>
      <c r="CB280" s="203" t="s">
        <v>900</v>
      </c>
      <c r="CC280" s="203">
        <v>83.345940707747246</v>
      </c>
      <c r="CD280" s="203" t="e">
        <v>#VALUE!</v>
      </c>
      <c r="CE280" s="203" t="e">
        <v>#VALUE!</v>
      </c>
      <c r="CF280" s="203" t="e">
        <v>#VALUE!</v>
      </c>
      <c r="CH280" s="199"/>
      <c r="CJ280" s="464" t="s">
        <v>1448</v>
      </c>
      <c r="CK280" s="464" t="s">
        <v>1447</v>
      </c>
      <c r="CL280" s="464" t="s">
        <v>1448</v>
      </c>
      <c r="CN280" s="464" t="s">
        <v>1448</v>
      </c>
      <c r="CO280" s="464" t="s">
        <v>1448</v>
      </c>
      <c r="CP280" s="464" t="s">
        <v>1448</v>
      </c>
      <c r="CQ280" s="464" t="s">
        <v>1448</v>
      </c>
      <c r="CS280" s="465">
        <v>0</v>
      </c>
      <c r="CT280" s="466">
        <v>0</v>
      </c>
      <c r="CU280" s="466">
        <v>0.95</v>
      </c>
      <c r="CV280" s="467">
        <v>0.95</v>
      </c>
    </row>
    <row r="281" spans="1:100" s="48" customFormat="1" outlineLevel="1" x14ac:dyDescent="0.3">
      <c r="A281" s="202">
        <v>78946000</v>
      </c>
      <c r="B281" s="48">
        <v>400351</v>
      </c>
      <c r="C281" s="48">
        <v>79871</v>
      </c>
      <c r="D281" s="48" t="s">
        <v>238</v>
      </c>
      <c r="E281" s="48" t="s">
        <v>7</v>
      </c>
      <c r="F281" s="48" t="s">
        <v>1498</v>
      </c>
      <c r="G281" s="48" t="s">
        <v>1502</v>
      </c>
      <c r="H281" s="48" t="s">
        <v>1529</v>
      </c>
      <c r="O281" s="454" t="s">
        <v>900</v>
      </c>
      <c r="P281" s="455" t="s">
        <v>900</v>
      </c>
      <c r="Q281" s="347" t="s">
        <v>900</v>
      </c>
      <c r="R281" s="455">
        <v>74</v>
      </c>
      <c r="S281" s="457">
        <v>69</v>
      </c>
      <c r="T281" s="455"/>
      <c r="U281" s="454">
        <v>74</v>
      </c>
      <c r="V281" s="455">
        <v>35.358588618664129</v>
      </c>
      <c r="W281" s="230">
        <v>0.47781876511708282</v>
      </c>
      <c r="X281" s="264" t="s">
        <v>900</v>
      </c>
      <c r="Y281" s="265" t="s">
        <v>900</v>
      </c>
      <c r="Z281" s="265" t="s">
        <v>900</v>
      </c>
      <c r="AA281" s="265" t="s">
        <v>900</v>
      </c>
      <c r="AB281" s="266" t="s">
        <v>900</v>
      </c>
      <c r="AC281" s="265">
        <v>16614.920082390236</v>
      </c>
      <c r="AD281" s="265">
        <v>3430.8448238082765</v>
      </c>
      <c r="AE281" s="265">
        <v>9004.8728864256263</v>
      </c>
      <c r="AF281" s="266">
        <v>7768.3629202732909</v>
      </c>
      <c r="AG281" s="265">
        <v>16614.920082390236</v>
      </c>
      <c r="AH281" s="265">
        <v>3430.8448238082765</v>
      </c>
      <c r="AI281" s="265">
        <v>9004.8728864256263</v>
      </c>
      <c r="AJ281" s="266">
        <v>7768.3629202732909</v>
      </c>
      <c r="AK281" s="265">
        <v>16624.425185412227</v>
      </c>
      <c r="AL281" s="265">
        <v>5405.429655243528</v>
      </c>
      <c r="AM281" s="265">
        <v>9010.0244155368564</v>
      </c>
      <c r="AN281" s="265">
        <v>7772.8070638203626</v>
      </c>
      <c r="AO281" s="266">
        <v>38812.686320012974</v>
      </c>
      <c r="AP281" s="203"/>
      <c r="AQ281" s="264">
        <v>16730.831617322019</v>
      </c>
      <c r="AR281" s="265">
        <v>5233.7925060865064</v>
      </c>
      <c r="AS281" s="265">
        <v>8885.2312506592098</v>
      </c>
      <c r="AT281" s="265">
        <v>8547.0813123130938</v>
      </c>
      <c r="AU281" s="266">
        <v>39396.936686380825</v>
      </c>
      <c r="AV281" s="203"/>
      <c r="AW281" s="324">
        <v>38860.33456636894</v>
      </c>
      <c r="AX281" s="203"/>
      <c r="AY281" s="377">
        <v>0</v>
      </c>
      <c r="AZ281" s="265">
        <v>536.60212001188484</v>
      </c>
      <c r="BA281" s="265">
        <v>38860.33456636894</v>
      </c>
      <c r="BB281" s="265">
        <v>380.36023789141706</v>
      </c>
      <c r="BC281" s="266">
        <v>38479.974328477525</v>
      </c>
      <c r="BD281" s="264">
        <v>384.79974328477527</v>
      </c>
      <c r="BE281" s="265">
        <v>38095.174585192748</v>
      </c>
      <c r="BF281" s="357">
        <v>0.98031000016560876</v>
      </c>
      <c r="BG281" s="203"/>
      <c r="BJ281" s="458">
        <v>0.98031000016560876</v>
      </c>
      <c r="BK281" s="210"/>
      <c r="BL281" s="458"/>
      <c r="BM281" s="458"/>
      <c r="BN281" s="458"/>
      <c r="BQ281" s="203">
        <v>38004.319757446909</v>
      </c>
      <c r="BR281" s="458">
        <v>0.97797201649254828</v>
      </c>
      <c r="BT281" s="459" t="s">
        <v>900</v>
      </c>
      <c r="BU281" s="460" t="s">
        <v>900</v>
      </c>
      <c r="BV281" s="461">
        <v>38095.174585192748</v>
      </c>
      <c r="BX281" s="462">
        <v>1747.718676171964</v>
      </c>
      <c r="BY281" s="463">
        <v>4.7428683210722772E-2</v>
      </c>
      <c r="BZ281" s="461">
        <v>49.428406066225897</v>
      </c>
      <c r="CB281" s="203" t="s">
        <v>900</v>
      </c>
      <c r="CC281" s="203">
        <v>636.27297717847375</v>
      </c>
      <c r="CD281" s="203" t="e">
        <v>#VALUE!</v>
      </c>
      <c r="CE281" s="203" t="s">
        <v>900</v>
      </c>
      <c r="CF281" s="203" t="e">
        <v>#VALUE!</v>
      </c>
      <c r="CH281" s="199"/>
      <c r="CJ281" s="464" t="s">
        <v>1448</v>
      </c>
      <c r="CK281" s="464" t="s">
        <v>1447</v>
      </c>
      <c r="CL281" s="464" t="s">
        <v>1448</v>
      </c>
      <c r="CN281" s="464" t="s">
        <v>1447</v>
      </c>
      <c r="CO281" s="464" t="s">
        <v>1447</v>
      </c>
      <c r="CP281" s="464" t="s">
        <v>1447</v>
      </c>
      <c r="CQ281" s="464" t="s">
        <v>1447</v>
      </c>
      <c r="CS281" s="465">
        <v>0</v>
      </c>
      <c r="CT281" s="466">
        <v>0</v>
      </c>
      <c r="CU281" s="466">
        <v>0.95</v>
      </c>
      <c r="CV281" s="467">
        <v>0.95</v>
      </c>
    </row>
    <row r="282" spans="1:100" s="48" customFormat="1" outlineLevel="1" x14ac:dyDescent="0.3">
      <c r="A282" s="202">
        <v>78567000</v>
      </c>
      <c r="B282" s="48">
        <v>400787</v>
      </c>
      <c r="C282" s="48">
        <v>90330</v>
      </c>
      <c r="D282" s="48" t="s">
        <v>238</v>
      </c>
      <c r="E282" s="48" t="s">
        <v>7</v>
      </c>
      <c r="F282" s="48" t="s">
        <v>1498</v>
      </c>
      <c r="G282" s="48" t="s">
        <v>1502</v>
      </c>
      <c r="H282" s="48" t="s">
        <v>1529</v>
      </c>
      <c r="O282" s="454" t="s">
        <v>900</v>
      </c>
      <c r="P282" s="455" t="s">
        <v>900</v>
      </c>
      <c r="Q282" s="347" t="s">
        <v>900</v>
      </c>
      <c r="R282" s="455">
        <v>320</v>
      </c>
      <c r="S282" s="457">
        <v>310</v>
      </c>
      <c r="T282" s="455"/>
      <c r="U282" s="454">
        <v>320</v>
      </c>
      <c r="V282" s="455">
        <v>158.85742712733159</v>
      </c>
      <c r="W282" s="230">
        <v>0.4964294597729112</v>
      </c>
      <c r="X282" s="264" t="s">
        <v>900</v>
      </c>
      <c r="Y282" s="265" t="s">
        <v>900</v>
      </c>
      <c r="Z282" s="265" t="s">
        <v>900</v>
      </c>
      <c r="AA282" s="265" t="s">
        <v>900</v>
      </c>
      <c r="AB282" s="266" t="s">
        <v>900</v>
      </c>
      <c r="AC282" s="265">
        <v>74646.742399144539</v>
      </c>
      <c r="AD282" s="265">
        <v>15413.940512761821</v>
      </c>
      <c r="AE282" s="265">
        <v>40456.675286839767</v>
      </c>
      <c r="AF282" s="266">
        <v>34901.340656300294</v>
      </c>
      <c r="AG282" s="265">
        <v>74646.742399144539</v>
      </c>
      <c r="AH282" s="265">
        <v>15413.940512761821</v>
      </c>
      <c r="AI282" s="265">
        <v>40456.675286839767</v>
      </c>
      <c r="AJ282" s="266">
        <v>34901.340656300294</v>
      </c>
      <c r="AK282" s="265">
        <v>74656.24750216653</v>
      </c>
      <c r="AL282" s="265">
        <v>17388.525344197071</v>
      </c>
      <c r="AM282" s="265">
        <v>40461.826815950997</v>
      </c>
      <c r="AN282" s="265">
        <v>34905.784799847366</v>
      </c>
      <c r="AO282" s="266">
        <v>167412.38446216198</v>
      </c>
      <c r="AP282" s="203"/>
      <c r="AQ282" s="264">
        <v>79423.998174187189</v>
      </c>
      <c r="AR282" s="265">
        <v>16917.650359541978</v>
      </c>
      <c r="AS282" s="265">
        <v>42111.764263576966</v>
      </c>
      <c r="AT282" s="265">
        <v>40574.394989484805</v>
      </c>
      <c r="AU282" s="266">
        <v>179027.80778679095</v>
      </c>
      <c r="AV282" s="203"/>
      <c r="AW282" s="324">
        <v>216060.25343883349</v>
      </c>
      <c r="AX282" s="203"/>
      <c r="AY282" s="377">
        <v>0</v>
      </c>
      <c r="AZ282" s="265">
        <v>0</v>
      </c>
      <c r="BA282" s="265">
        <v>179027.80778679095</v>
      </c>
      <c r="BB282" s="265">
        <v>1752.3024523287168</v>
      </c>
      <c r="BC282" s="266">
        <v>177275.50533446221</v>
      </c>
      <c r="BD282" s="264">
        <v>1772.7550533446222</v>
      </c>
      <c r="BE282" s="265">
        <v>175502.75028111759</v>
      </c>
      <c r="BF282" s="357">
        <v>0.81228614466474425</v>
      </c>
      <c r="BG282" s="203"/>
      <c r="BJ282" s="458">
        <v>0.81228614466474425</v>
      </c>
      <c r="BK282" s="210"/>
      <c r="BL282" s="458"/>
      <c r="BM282" s="458"/>
      <c r="BN282" s="458"/>
      <c r="BQ282" s="203">
        <v>175084.18618948825</v>
      </c>
      <c r="BR282" s="458">
        <v>0.81034888834403063</v>
      </c>
      <c r="BT282" s="459" t="s">
        <v>900</v>
      </c>
      <c r="BU282" s="460" t="s">
        <v>900</v>
      </c>
      <c r="BV282" s="461">
        <v>175502.75028111759</v>
      </c>
      <c r="BX282" s="462">
        <v>13551.956280620419</v>
      </c>
      <c r="BY282" s="463">
        <v>8.2442045799180672E-2</v>
      </c>
      <c r="BZ282" s="461">
        <v>85.308924648250141</v>
      </c>
      <c r="CB282" s="203" t="s">
        <v>900</v>
      </c>
      <c r="CC282" s="203">
        <v>2845.9394154417332</v>
      </c>
      <c r="CD282" s="203" t="e">
        <v>#VALUE!</v>
      </c>
      <c r="CE282" s="203" t="s">
        <v>900</v>
      </c>
      <c r="CF282" s="203" t="e">
        <v>#VALUE!</v>
      </c>
      <c r="CH282" s="199"/>
      <c r="CJ282" s="464" t="s">
        <v>1448</v>
      </c>
      <c r="CK282" s="464" t="s">
        <v>1447</v>
      </c>
      <c r="CL282" s="464" t="s">
        <v>1448</v>
      </c>
      <c r="CN282" s="464" t="s">
        <v>1447</v>
      </c>
      <c r="CO282" s="464" t="s">
        <v>1447</v>
      </c>
      <c r="CP282" s="464" t="s">
        <v>1447</v>
      </c>
      <c r="CQ282" s="464" t="s">
        <v>1447</v>
      </c>
      <c r="CS282" s="465">
        <v>0</v>
      </c>
      <c r="CT282" s="466">
        <v>0</v>
      </c>
      <c r="CU282" s="466">
        <v>0.95</v>
      </c>
      <c r="CV282" s="467">
        <v>0.95</v>
      </c>
    </row>
    <row r="283" spans="1:100" s="48" customFormat="1" outlineLevel="1" x14ac:dyDescent="0.3">
      <c r="A283" s="202">
        <v>78759000</v>
      </c>
      <c r="B283" s="48">
        <v>400069</v>
      </c>
      <c r="C283" s="48">
        <v>4360</v>
      </c>
      <c r="D283" s="48" t="s">
        <v>240</v>
      </c>
      <c r="E283" s="48" t="s">
        <v>7</v>
      </c>
      <c r="F283" s="48" t="s">
        <v>1498</v>
      </c>
      <c r="G283" s="48" t="s">
        <v>1499</v>
      </c>
      <c r="H283" s="48" t="s">
        <v>1512</v>
      </c>
      <c r="O283" s="454" t="s">
        <v>900</v>
      </c>
      <c r="P283" s="455" t="s">
        <v>900</v>
      </c>
      <c r="Q283" s="347" t="s">
        <v>900</v>
      </c>
      <c r="R283" s="455">
        <v>139</v>
      </c>
      <c r="S283" s="457">
        <v>23</v>
      </c>
      <c r="T283" s="455"/>
      <c r="U283" s="454">
        <v>139</v>
      </c>
      <c r="V283" s="455">
        <v>11.786196206221376</v>
      </c>
      <c r="W283" s="230">
        <v>8.4792778462024293E-2</v>
      </c>
      <c r="X283" s="264" t="s">
        <v>900</v>
      </c>
      <c r="Y283" s="265" t="s">
        <v>900</v>
      </c>
      <c r="Z283" s="265" t="s">
        <v>900</v>
      </c>
      <c r="AA283" s="265" t="s">
        <v>900</v>
      </c>
      <c r="AB283" s="266" t="s">
        <v>900</v>
      </c>
      <c r="AC283" s="265">
        <v>5538.3066941300785</v>
      </c>
      <c r="AD283" s="265">
        <v>1143.6149412694256</v>
      </c>
      <c r="AE283" s="265">
        <v>3001.6242954752088</v>
      </c>
      <c r="AF283" s="266">
        <v>2589.4543067577633</v>
      </c>
      <c r="AG283" s="265">
        <v>5538.3066941300785</v>
      </c>
      <c r="AH283" s="265" t="s">
        <v>900</v>
      </c>
      <c r="AI283" s="265">
        <v>3001.6242954752088</v>
      </c>
      <c r="AJ283" s="266">
        <v>2589.4543067577633</v>
      </c>
      <c r="AK283" s="265">
        <v>5547.8117971520696</v>
      </c>
      <c r="AL283" s="265" t="s">
        <v>900</v>
      </c>
      <c r="AM283" s="265">
        <v>3006.7758245864384</v>
      </c>
      <c r="AN283" s="265">
        <v>2593.8984503048355</v>
      </c>
      <c r="AO283" s="266">
        <v>11148.486072043344</v>
      </c>
      <c r="AP283" s="203"/>
      <c r="AQ283" s="264">
        <v>6089.9643407709427</v>
      </c>
      <c r="AR283" s="265">
        <v>0</v>
      </c>
      <c r="AS283" s="265">
        <v>3228.9880714603264</v>
      </c>
      <c r="AT283" s="265">
        <v>3111.1077799483583</v>
      </c>
      <c r="AU283" s="266">
        <v>12430.060192179626</v>
      </c>
      <c r="AV283" s="203"/>
      <c r="AW283" s="324">
        <v>14479.517701054277</v>
      </c>
      <c r="AX283" s="203"/>
      <c r="AY283" s="377">
        <v>0</v>
      </c>
      <c r="AZ283" s="265">
        <v>0</v>
      </c>
      <c r="BA283" s="265">
        <v>12430.060192179626</v>
      </c>
      <c r="BB283" s="265">
        <v>121.66392040777133</v>
      </c>
      <c r="BC283" s="266">
        <v>12308.396271771855</v>
      </c>
      <c r="BD283" s="264">
        <v>123.08396271771855</v>
      </c>
      <c r="BE283" s="265">
        <v>12185.312309054136</v>
      </c>
      <c r="BF283" s="357">
        <v>0.84155512363280605</v>
      </c>
      <c r="BG283" s="203"/>
      <c r="BJ283" s="458">
        <v>0.84155512363280605</v>
      </c>
      <c r="BK283" s="210"/>
      <c r="BL283" s="458"/>
      <c r="BM283" s="458"/>
      <c r="BN283" s="458"/>
      <c r="BQ283" s="203">
        <v>12156.25103126966</v>
      </c>
      <c r="BR283" s="458">
        <v>0.83954806245960412</v>
      </c>
      <c r="BT283" s="459" t="s">
        <v>900</v>
      </c>
      <c r="BU283" s="460" t="s">
        <v>900</v>
      </c>
      <c r="BV283" s="461">
        <v>12185.312309054136</v>
      </c>
      <c r="BX283" s="462">
        <v>1296.625827365071</v>
      </c>
      <c r="BY283" s="463">
        <v>0.11726887605022207</v>
      </c>
      <c r="BZ283" s="461">
        <v>110.01223844217387</v>
      </c>
      <c r="CB283" s="203">
        <v>2095</v>
      </c>
      <c r="CC283" s="203">
        <v>2423.3923560081817</v>
      </c>
      <c r="CD283" s="203" t="e">
        <v>#VALUE!</v>
      </c>
      <c r="CE283" s="203" t="s">
        <v>900</v>
      </c>
      <c r="CF283" s="203" t="e">
        <v>#VALUE!</v>
      </c>
      <c r="CH283" s="199"/>
      <c r="CJ283" s="464" t="s">
        <v>1448</v>
      </c>
      <c r="CK283" s="464" t="s">
        <v>1447</v>
      </c>
      <c r="CL283" s="464" t="s">
        <v>1448</v>
      </c>
      <c r="CN283" s="464" t="s">
        <v>1447</v>
      </c>
      <c r="CO283" s="464" t="s">
        <v>1448</v>
      </c>
      <c r="CP283" s="464" t="s">
        <v>1447</v>
      </c>
      <c r="CQ283" s="464" t="s">
        <v>1447</v>
      </c>
      <c r="CS283" s="465">
        <v>0.85</v>
      </c>
      <c r="CT283" s="466">
        <v>0</v>
      </c>
      <c r="CU283" s="466">
        <v>0</v>
      </c>
      <c r="CV283" s="467">
        <v>0.85</v>
      </c>
    </row>
    <row r="284" spans="1:100" s="48" customFormat="1" outlineLevel="1" x14ac:dyDescent="0.3">
      <c r="A284" s="202">
        <v>78101000</v>
      </c>
      <c r="B284" s="48">
        <v>400845</v>
      </c>
      <c r="C284" s="48">
        <v>91174</v>
      </c>
      <c r="D284" s="48" t="s">
        <v>248</v>
      </c>
      <c r="E284" s="48" t="s">
        <v>7</v>
      </c>
      <c r="F284" s="48" t="s">
        <v>1498</v>
      </c>
      <c r="G284" s="48" t="s">
        <v>1499</v>
      </c>
      <c r="H284" s="48" t="s">
        <v>1510</v>
      </c>
      <c r="O284" s="454" t="s">
        <v>900</v>
      </c>
      <c r="P284" s="455" t="s">
        <v>900</v>
      </c>
      <c r="Q284" s="347" t="s">
        <v>900</v>
      </c>
      <c r="R284" s="455">
        <v>338</v>
      </c>
      <c r="S284" s="457">
        <v>147</v>
      </c>
      <c r="T284" s="455"/>
      <c r="U284" s="454">
        <v>338</v>
      </c>
      <c r="V284" s="455">
        <v>75.32916705715401</v>
      </c>
      <c r="W284" s="230">
        <v>0.22286735815726039</v>
      </c>
      <c r="X284" s="264" t="s">
        <v>900</v>
      </c>
      <c r="Y284" s="265" t="s">
        <v>900</v>
      </c>
      <c r="Z284" s="265" t="s">
        <v>900</v>
      </c>
      <c r="AA284" s="265" t="s">
        <v>900</v>
      </c>
      <c r="AB284" s="266" t="s">
        <v>900</v>
      </c>
      <c r="AC284" s="265">
        <v>35397.003653787891</v>
      </c>
      <c r="AD284" s="265">
        <v>7309.1911463741535</v>
      </c>
      <c r="AE284" s="265">
        <v>19184.294410211114</v>
      </c>
      <c r="AF284" s="266">
        <v>16549.990569277878</v>
      </c>
      <c r="AG284" s="265">
        <v>35397.003653787891</v>
      </c>
      <c r="AH284" s="265">
        <v>7309.1911463741535</v>
      </c>
      <c r="AI284" s="265">
        <v>19184.294410211114</v>
      </c>
      <c r="AJ284" s="266">
        <v>16549.990569277878</v>
      </c>
      <c r="AK284" s="265">
        <v>35406.508756809882</v>
      </c>
      <c r="AL284" s="265">
        <v>9283.7759778094041</v>
      </c>
      <c r="AM284" s="265">
        <v>19189.445939322344</v>
      </c>
      <c r="AN284" s="265">
        <v>16554.43471282495</v>
      </c>
      <c r="AO284" s="266">
        <v>80434.165386766574</v>
      </c>
      <c r="AP284" s="203"/>
      <c r="AQ284" s="264">
        <v>38399.495225718507</v>
      </c>
      <c r="AR284" s="265">
        <v>8988.9907444657565</v>
      </c>
      <c r="AS284" s="265">
        <v>19656.776890217516</v>
      </c>
      <c r="AT284" s="265">
        <v>19656.54960210721</v>
      </c>
      <c r="AU284" s="266">
        <v>86701.812462508999</v>
      </c>
      <c r="AV284" s="203"/>
      <c r="AW284" s="324">
        <v>92567.108349518137</v>
      </c>
      <c r="AX284" s="203"/>
      <c r="AY284" s="377">
        <v>0</v>
      </c>
      <c r="AZ284" s="265">
        <v>0</v>
      </c>
      <c r="BA284" s="265">
        <v>86701.812462508999</v>
      </c>
      <c r="BB284" s="265">
        <v>848.62681656882023</v>
      </c>
      <c r="BC284" s="266">
        <v>85853.185645940175</v>
      </c>
      <c r="BD284" s="264">
        <v>858.53185645940175</v>
      </c>
      <c r="BE284" s="265">
        <v>84994.65378948077</v>
      </c>
      <c r="BF284" s="357">
        <v>0.91819497556902152</v>
      </c>
      <c r="BG284" s="203"/>
      <c r="BJ284" s="458">
        <v>0.91819497556902152</v>
      </c>
      <c r="BK284" s="210"/>
      <c r="BL284" s="458"/>
      <c r="BM284" s="458"/>
      <c r="BN284" s="458"/>
      <c r="BQ284" s="203">
        <v>84791.946367518671</v>
      </c>
      <c r="BR284" s="458">
        <v>0.9160051327017612</v>
      </c>
      <c r="BT284" s="459" t="s">
        <v>900</v>
      </c>
      <c r="BU284" s="460" t="s">
        <v>900</v>
      </c>
      <c r="BV284" s="461">
        <v>84994.65378948077</v>
      </c>
      <c r="BX284" s="462">
        <v>7995.4950956668181</v>
      </c>
      <c r="BY284" s="463">
        <v>0.10234182966614841</v>
      </c>
      <c r="BZ284" s="461">
        <v>106.14076071756439</v>
      </c>
      <c r="CB284" s="203" t="s">
        <v>900</v>
      </c>
      <c r="CC284" s="203">
        <v>1538.9902517769187</v>
      </c>
      <c r="CD284" s="203" t="e">
        <v>#VALUE!</v>
      </c>
      <c r="CE284" s="203" t="s">
        <v>900</v>
      </c>
      <c r="CF284" s="203" t="e">
        <v>#VALUE!</v>
      </c>
      <c r="CH284" s="199"/>
      <c r="CJ284" s="464" t="s">
        <v>1448</v>
      </c>
      <c r="CK284" s="464" t="s">
        <v>1447</v>
      </c>
      <c r="CL284" s="464" t="s">
        <v>1448</v>
      </c>
      <c r="CN284" s="464" t="s">
        <v>1447</v>
      </c>
      <c r="CO284" s="464" t="s">
        <v>1447</v>
      </c>
      <c r="CP284" s="464" t="s">
        <v>1447</v>
      </c>
      <c r="CQ284" s="464" t="s">
        <v>1447</v>
      </c>
      <c r="CS284" s="465">
        <v>0</v>
      </c>
      <c r="CT284" s="466">
        <v>0.9</v>
      </c>
      <c r="CU284" s="466">
        <v>0</v>
      </c>
      <c r="CV284" s="467">
        <v>0.9</v>
      </c>
    </row>
    <row r="285" spans="1:100" s="48" customFormat="1" outlineLevel="1" x14ac:dyDescent="0.3">
      <c r="A285" s="202">
        <v>78968000</v>
      </c>
      <c r="B285" s="48">
        <v>400395</v>
      </c>
      <c r="C285" s="48">
        <v>79967</v>
      </c>
      <c r="D285" s="48" t="s">
        <v>249</v>
      </c>
      <c r="E285" s="48" t="s">
        <v>7</v>
      </c>
      <c r="F285" s="48" t="s">
        <v>1498</v>
      </c>
      <c r="G285" s="48" t="s">
        <v>1502</v>
      </c>
      <c r="H285" s="48" t="s">
        <v>1510</v>
      </c>
      <c r="O285" s="454" t="s">
        <v>900</v>
      </c>
      <c r="P285" s="455" t="s">
        <v>900</v>
      </c>
      <c r="Q285" s="347" t="s">
        <v>900</v>
      </c>
      <c r="R285" s="455">
        <v>532</v>
      </c>
      <c r="S285" s="457">
        <v>222</v>
      </c>
      <c r="T285" s="455"/>
      <c r="U285" s="454">
        <v>532</v>
      </c>
      <c r="V285" s="455">
        <v>113.76241555570198</v>
      </c>
      <c r="W285" s="230">
        <v>0.21383912698440222</v>
      </c>
      <c r="X285" s="264" t="s">
        <v>900</v>
      </c>
      <c r="Y285" s="265" t="s">
        <v>900</v>
      </c>
      <c r="Z285" s="265" t="s">
        <v>900</v>
      </c>
      <c r="AA285" s="265" t="s">
        <v>900</v>
      </c>
      <c r="AB285" s="266" t="s">
        <v>900</v>
      </c>
      <c r="AC285" s="265">
        <v>53456.699395516414</v>
      </c>
      <c r="AD285" s="265">
        <v>11038.370302687497</v>
      </c>
      <c r="AE285" s="265">
        <v>28972.199721543318</v>
      </c>
      <c r="AF285" s="266">
        <v>24993.863308705368</v>
      </c>
      <c r="AG285" s="265">
        <v>53456.699395516414</v>
      </c>
      <c r="AH285" s="265">
        <v>11038.370302687497</v>
      </c>
      <c r="AI285" s="265">
        <v>28972.199721543318</v>
      </c>
      <c r="AJ285" s="266">
        <v>24993.863308705368</v>
      </c>
      <c r="AK285" s="265">
        <v>53466.204498538405</v>
      </c>
      <c r="AL285" s="265">
        <v>13012.955134122749</v>
      </c>
      <c r="AM285" s="265">
        <v>28977.351250654548</v>
      </c>
      <c r="AN285" s="265">
        <v>24998.30745225244</v>
      </c>
      <c r="AO285" s="266">
        <v>120454.81833556814</v>
      </c>
      <c r="AP285" s="203"/>
      <c r="AQ285" s="264">
        <v>52654.104508139942</v>
      </c>
      <c r="AR285" s="265">
        <v>12599.75828136888</v>
      </c>
      <c r="AS285" s="265">
        <v>28576.001020559201</v>
      </c>
      <c r="AT285" s="265">
        <v>23994.078148374672</v>
      </c>
      <c r="AU285" s="266">
        <v>117823.94195844269</v>
      </c>
      <c r="AV285" s="203"/>
      <c r="AW285" s="324">
        <v>98483.801152841552</v>
      </c>
      <c r="AX285" s="203"/>
      <c r="AY285" s="377">
        <v>0</v>
      </c>
      <c r="AZ285" s="265">
        <v>11115.171200488156</v>
      </c>
      <c r="BA285" s="265">
        <v>106708.77075795454</v>
      </c>
      <c r="BB285" s="265">
        <v>1044.4524959319913</v>
      </c>
      <c r="BC285" s="266">
        <v>105664.31826202254</v>
      </c>
      <c r="BD285" s="264">
        <v>1056.6431826202254</v>
      </c>
      <c r="BE285" s="265">
        <v>104607.67507940231</v>
      </c>
      <c r="BF285" s="357">
        <v>1.0621815349821524</v>
      </c>
      <c r="BG285" s="203"/>
      <c r="BJ285" s="458">
        <v>1.0621815349821524</v>
      </c>
      <c r="BK285" s="210"/>
      <c r="BL285" s="458"/>
      <c r="BM285" s="458"/>
      <c r="BN285" s="458"/>
      <c r="BQ285" s="203">
        <v>104358.19171559784</v>
      </c>
      <c r="BR285" s="458">
        <v>1.0596482923485007</v>
      </c>
      <c r="BT285" s="459" t="s">
        <v>900</v>
      </c>
      <c r="BU285" s="460" t="s">
        <v>900</v>
      </c>
      <c r="BV285" s="461">
        <v>104607.67507940231</v>
      </c>
      <c r="BX285" s="462">
        <v>-6836.1659910835442</v>
      </c>
      <c r="BY285" s="463">
        <v>-6.0442870027082825E-2</v>
      </c>
      <c r="BZ285" s="461">
        <v>-60.091603696093486</v>
      </c>
      <c r="CB285" s="203" t="s">
        <v>900</v>
      </c>
      <c r="CC285" s="203">
        <v>2346.1113399497358</v>
      </c>
      <c r="CD285" s="203" t="e">
        <v>#VALUE!</v>
      </c>
      <c r="CE285" s="203" t="s">
        <v>900</v>
      </c>
      <c r="CF285" s="203" t="e">
        <v>#VALUE!</v>
      </c>
      <c r="CH285" s="199"/>
      <c r="CJ285" s="464" t="s">
        <v>1448</v>
      </c>
      <c r="CK285" s="464" t="s">
        <v>1447</v>
      </c>
      <c r="CL285" s="464" t="s">
        <v>1448</v>
      </c>
      <c r="CN285" s="464" t="s">
        <v>1447</v>
      </c>
      <c r="CO285" s="464" t="s">
        <v>1447</v>
      </c>
      <c r="CP285" s="464" t="s">
        <v>1447</v>
      </c>
      <c r="CQ285" s="464" t="s">
        <v>1447</v>
      </c>
      <c r="CS285" s="465">
        <v>0</v>
      </c>
      <c r="CT285" s="466">
        <v>0.9</v>
      </c>
      <c r="CU285" s="466">
        <v>0</v>
      </c>
      <c r="CV285" s="467">
        <v>0.9</v>
      </c>
    </row>
    <row r="286" spans="1:100" s="48" customFormat="1" outlineLevel="1" x14ac:dyDescent="0.3">
      <c r="A286" s="202">
        <v>78507000</v>
      </c>
      <c r="B286" s="48">
        <v>400423</v>
      </c>
      <c r="C286" s="48">
        <v>87349</v>
      </c>
      <c r="D286" s="48" t="s">
        <v>251</v>
      </c>
      <c r="E286" s="48" t="s">
        <v>7</v>
      </c>
      <c r="F286" s="48" t="s">
        <v>1498</v>
      </c>
      <c r="G286" s="48" t="s">
        <v>1499</v>
      </c>
      <c r="H286" s="48" t="s">
        <v>1506</v>
      </c>
      <c r="O286" s="454" t="s">
        <v>900</v>
      </c>
      <c r="P286" s="455" t="s">
        <v>900</v>
      </c>
      <c r="Q286" s="347" t="s">
        <v>900</v>
      </c>
      <c r="R286" s="455">
        <v>95</v>
      </c>
      <c r="S286" s="457">
        <v>52</v>
      </c>
      <c r="T286" s="455"/>
      <c r="U286" s="454">
        <v>95</v>
      </c>
      <c r="V286" s="455">
        <v>26.647052292326588</v>
      </c>
      <c r="W286" s="230">
        <v>0.28049528728764828</v>
      </c>
      <c r="X286" s="264" t="s">
        <v>900</v>
      </c>
      <c r="Y286" s="265" t="s">
        <v>900</v>
      </c>
      <c r="Z286" s="265" t="s">
        <v>900</v>
      </c>
      <c r="AA286" s="265" t="s">
        <v>900</v>
      </c>
      <c r="AB286" s="266" t="s">
        <v>900</v>
      </c>
      <c r="AC286" s="265">
        <v>12521.389047598439</v>
      </c>
      <c r="AD286" s="265">
        <v>2585.5642150439185</v>
      </c>
      <c r="AE286" s="265">
        <v>6786.2810158569928</v>
      </c>
      <c r="AF286" s="266">
        <v>5854.4184326697259</v>
      </c>
      <c r="AG286" s="265">
        <v>12521.389047598439</v>
      </c>
      <c r="AH286" s="265">
        <v>2585.5642150439185</v>
      </c>
      <c r="AI286" s="265">
        <v>6786.2810158569928</v>
      </c>
      <c r="AJ286" s="266">
        <v>5854.4184326697259</v>
      </c>
      <c r="AK286" s="265">
        <v>12530.89415062043</v>
      </c>
      <c r="AL286" s="265">
        <v>4560.1490464791696</v>
      </c>
      <c r="AM286" s="265">
        <v>6791.4325449682219</v>
      </c>
      <c r="AN286" s="265">
        <v>5858.8625762167976</v>
      </c>
      <c r="AO286" s="266">
        <v>29741.338318284619</v>
      </c>
      <c r="AP286" s="203"/>
      <c r="AQ286" s="264">
        <v>12340.561975092967</v>
      </c>
      <c r="AR286" s="265">
        <v>4415.3518643884645</v>
      </c>
      <c r="AS286" s="265">
        <v>6697.3679428925416</v>
      </c>
      <c r="AT286" s="265">
        <v>5623.5009823301853</v>
      </c>
      <c r="AU286" s="266">
        <v>29076.782764704159</v>
      </c>
      <c r="AV286" s="203"/>
      <c r="AW286" s="324">
        <v>27412.935474045917</v>
      </c>
      <c r="AX286" s="203"/>
      <c r="AY286" s="377">
        <v>0</v>
      </c>
      <c r="AZ286" s="265">
        <v>1663.8472906582429</v>
      </c>
      <c r="BA286" s="265">
        <v>27412.935474045917</v>
      </c>
      <c r="BB286" s="265">
        <v>268.31448505422475</v>
      </c>
      <c r="BC286" s="266">
        <v>27144.620988991694</v>
      </c>
      <c r="BD286" s="264">
        <v>271.44620988991693</v>
      </c>
      <c r="BE286" s="265">
        <v>26873.174779101777</v>
      </c>
      <c r="BF286" s="357">
        <v>0.98031000016560887</v>
      </c>
      <c r="BG286" s="203"/>
      <c r="BJ286" s="458">
        <v>0.98031000016560887</v>
      </c>
      <c r="BK286" s="210"/>
      <c r="BL286" s="458"/>
      <c r="BM286" s="458"/>
      <c r="BN286" s="458"/>
      <c r="BQ286" s="203">
        <v>26809.083783532795</v>
      </c>
      <c r="BR286" s="458">
        <v>0.97797201649254828</v>
      </c>
      <c r="BT286" s="459" t="s">
        <v>900</v>
      </c>
      <c r="BU286" s="460" t="s">
        <v>900</v>
      </c>
      <c r="BV286" s="461">
        <v>26873.174779101777</v>
      </c>
      <c r="BX286" s="462">
        <v>485.20415064470217</v>
      </c>
      <c r="BY286" s="463">
        <v>1.8145784644266489E-2</v>
      </c>
      <c r="BZ286" s="461">
        <v>18.208548747601018</v>
      </c>
      <c r="CB286" s="203" t="s">
        <v>900</v>
      </c>
      <c r="CC286" s="203">
        <v>519.41725587846247</v>
      </c>
      <c r="CD286" s="203" t="e">
        <v>#VALUE!</v>
      </c>
      <c r="CE286" s="203" t="s">
        <v>900</v>
      </c>
      <c r="CF286" s="203" t="e">
        <v>#VALUE!</v>
      </c>
      <c r="CH286" s="199"/>
      <c r="CJ286" s="464" t="s">
        <v>1448</v>
      </c>
      <c r="CK286" s="464" t="s">
        <v>1447</v>
      </c>
      <c r="CL286" s="464" t="s">
        <v>1448</v>
      </c>
      <c r="CN286" s="464" t="s">
        <v>1447</v>
      </c>
      <c r="CO286" s="464" t="s">
        <v>1447</v>
      </c>
      <c r="CP286" s="464" t="s">
        <v>1447</v>
      </c>
      <c r="CQ286" s="464" t="s">
        <v>1447</v>
      </c>
      <c r="CS286" s="465">
        <v>0</v>
      </c>
      <c r="CT286" s="466">
        <v>0.9</v>
      </c>
      <c r="CU286" s="466">
        <v>0</v>
      </c>
      <c r="CV286" s="467">
        <v>0.9</v>
      </c>
    </row>
    <row r="287" spans="1:100" s="48" customFormat="1" outlineLevel="1" x14ac:dyDescent="0.3">
      <c r="A287" s="202">
        <v>78685000</v>
      </c>
      <c r="B287" s="48">
        <v>400298</v>
      </c>
      <c r="C287" s="48">
        <v>79660</v>
      </c>
      <c r="D287" s="48" t="s">
        <v>252</v>
      </c>
      <c r="E287" s="48" t="s">
        <v>7</v>
      </c>
      <c r="F287" s="48" t="s">
        <v>1498</v>
      </c>
      <c r="G287" s="48" t="s">
        <v>1499</v>
      </c>
      <c r="H287" s="48" t="s">
        <v>1506</v>
      </c>
      <c r="O287" s="454" t="s">
        <v>900</v>
      </c>
      <c r="P287" s="455" t="s">
        <v>900</v>
      </c>
      <c r="Q287" s="347" t="s">
        <v>900</v>
      </c>
      <c r="R287" s="455">
        <v>212</v>
      </c>
      <c r="S287" s="457">
        <v>171</v>
      </c>
      <c r="T287" s="455"/>
      <c r="U287" s="454">
        <v>212</v>
      </c>
      <c r="V287" s="455">
        <v>87.627806576689352</v>
      </c>
      <c r="W287" s="230">
        <v>0.4133387102674026</v>
      </c>
      <c r="X287" s="264" t="s">
        <v>900</v>
      </c>
      <c r="Y287" s="265" t="s">
        <v>900</v>
      </c>
      <c r="Z287" s="265" t="s">
        <v>900</v>
      </c>
      <c r="AA287" s="265" t="s">
        <v>900</v>
      </c>
      <c r="AB287" s="266" t="s">
        <v>900</v>
      </c>
      <c r="AC287" s="265">
        <v>41176.106291141019</v>
      </c>
      <c r="AD287" s="265">
        <v>8502.5284763944237</v>
      </c>
      <c r="AE287" s="265">
        <v>22316.424109837419</v>
      </c>
      <c r="AF287" s="266">
        <v>19252.029845894675</v>
      </c>
      <c r="AG287" s="265">
        <v>41176.106291141019</v>
      </c>
      <c r="AH287" s="265">
        <v>8502.5284763944237</v>
      </c>
      <c r="AI287" s="265">
        <v>22316.424109837419</v>
      </c>
      <c r="AJ287" s="266">
        <v>19252.029845894675</v>
      </c>
      <c r="AK287" s="265">
        <v>41185.61139416301</v>
      </c>
      <c r="AL287" s="265">
        <v>10477.113307829675</v>
      </c>
      <c r="AM287" s="265">
        <v>22321.575638948649</v>
      </c>
      <c r="AN287" s="265">
        <v>19256.473989441747</v>
      </c>
      <c r="AO287" s="266">
        <v>93240.774330383079</v>
      </c>
      <c r="AP287" s="203"/>
      <c r="AQ287" s="264">
        <v>51992.108244239695</v>
      </c>
      <c r="AR287" s="265">
        <v>10144.436356274757</v>
      </c>
      <c r="AS287" s="265">
        <v>26083.479921276856</v>
      </c>
      <c r="AT287" s="265">
        <v>24477.378237899062</v>
      </c>
      <c r="AU287" s="266">
        <v>112697.40275969036</v>
      </c>
      <c r="AV287" s="203"/>
      <c r="AW287" s="324">
        <v>117252.67543767346</v>
      </c>
      <c r="AX287" s="203"/>
      <c r="AY287" s="377">
        <v>0</v>
      </c>
      <c r="AZ287" s="265">
        <v>0</v>
      </c>
      <c r="BA287" s="265">
        <v>112697.40275969036</v>
      </c>
      <c r="BB287" s="265">
        <v>1103.0684990684056</v>
      </c>
      <c r="BC287" s="266">
        <v>111594.33426062195</v>
      </c>
      <c r="BD287" s="264">
        <v>1115.9433426062196</v>
      </c>
      <c r="BE287" s="265">
        <v>110478.39091801574</v>
      </c>
      <c r="BF287" s="357">
        <v>0.94222490451180663</v>
      </c>
      <c r="BG287" s="203"/>
      <c r="BJ287" s="458">
        <v>0.94222490451180663</v>
      </c>
      <c r="BK287" s="210"/>
      <c r="BL287" s="458"/>
      <c r="BM287" s="458"/>
      <c r="BN287" s="458"/>
      <c r="BQ287" s="203">
        <v>110214.90623036725</v>
      </c>
      <c r="BR287" s="458">
        <v>0.93997775162881303</v>
      </c>
      <c r="BT287" s="459" t="s">
        <v>900</v>
      </c>
      <c r="BU287" s="460" t="s">
        <v>900</v>
      </c>
      <c r="BV287" s="461">
        <v>110478.39091801574</v>
      </c>
      <c r="BX287" s="462">
        <v>20971.015982726953</v>
      </c>
      <c r="BY287" s="463">
        <v>0.23089299866964921</v>
      </c>
      <c r="BZ287" s="461">
        <v>239.31919332448106</v>
      </c>
      <c r="CB287" s="203" t="s">
        <v>900</v>
      </c>
      <c r="CC287" s="203">
        <v>1605.9515614898028</v>
      </c>
      <c r="CD287" s="203" t="e">
        <v>#VALUE!</v>
      </c>
      <c r="CE287" s="203" t="s">
        <v>900</v>
      </c>
      <c r="CF287" s="203" t="e">
        <v>#VALUE!</v>
      </c>
      <c r="CH287" s="199"/>
      <c r="CJ287" s="464" t="s">
        <v>1448</v>
      </c>
      <c r="CK287" s="464" t="s">
        <v>1447</v>
      </c>
      <c r="CL287" s="464" t="s">
        <v>1448</v>
      </c>
      <c r="CN287" s="464" t="s">
        <v>1447</v>
      </c>
      <c r="CO287" s="464" t="s">
        <v>1447</v>
      </c>
      <c r="CP287" s="464" t="s">
        <v>1447</v>
      </c>
      <c r="CQ287" s="464" t="s">
        <v>1447</v>
      </c>
      <c r="CS287" s="465">
        <v>0</v>
      </c>
      <c r="CT287" s="466">
        <v>0</v>
      </c>
      <c r="CU287" s="466">
        <v>0.95</v>
      </c>
      <c r="CV287" s="467">
        <v>0.95</v>
      </c>
    </row>
    <row r="288" spans="1:100" s="48" customFormat="1" outlineLevel="1" x14ac:dyDescent="0.3">
      <c r="A288" s="202">
        <v>78229000</v>
      </c>
      <c r="B288" s="48">
        <v>400899</v>
      </c>
      <c r="C288" s="48">
        <v>92047</v>
      </c>
      <c r="D288" s="48" t="s">
        <v>254</v>
      </c>
      <c r="E288" s="48" t="s">
        <v>7</v>
      </c>
      <c r="F288" s="48" t="s">
        <v>1498</v>
      </c>
      <c r="G288" s="48" t="s">
        <v>1499</v>
      </c>
      <c r="H288" s="48" t="s">
        <v>1523</v>
      </c>
      <c r="O288" s="454" t="s">
        <v>900</v>
      </c>
      <c r="P288" s="455" t="s">
        <v>900</v>
      </c>
      <c r="Q288" s="347" t="s">
        <v>900</v>
      </c>
      <c r="R288" s="455">
        <v>900</v>
      </c>
      <c r="S288" s="457">
        <v>196</v>
      </c>
      <c r="T288" s="455"/>
      <c r="U288" s="454">
        <v>900</v>
      </c>
      <c r="V288" s="455">
        <v>100.43888940953867</v>
      </c>
      <c r="W288" s="230">
        <v>0.11159876601059852</v>
      </c>
      <c r="X288" s="264" t="s">
        <v>900</v>
      </c>
      <c r="Y288" s="265" t="s">
        <v>900</v>
      </c>
      <c r="Z288" s="265" t="s">
        <v>900</v>
      </c>
      <c r="AA288" s="265" t="s">
        <v>900</v>
      </c>
      <c r="AB288" s="266" t="s">
        <v>900</v>
      </c>
      <c r="AC288" s="265">
        <v>47196.004871717189</v>
      </c>
      <c r="AD288" s="265">
        <v>9745.5881951655374</v>
      </c>
      <c r="AE288" s="265">
        <v>25579.059213614819</v>
      </c>
      <c r="AF288" s="266">
        <v>22066.654092370503</v>
      </c>
      <c r="AG288" s="265">
        <v>47196.004871717189</v>
      </c>
      <c r="AH288" s="265" t="s">
        <v>900</v>
      </c>
      <c r="AI288" s="265">
        <v>25579.059213614819</v>
      </c>
      <c r="AJ288" s="266">
        <v>22066.654092370503</v>
      </c>
      <c r="AK288" s="265">
        <v>47205.50997473918</v>
      </c>
      <c r="AL288" s="265" t="s">
        <v>900</v>
      </c>
      <c r="AM288" s="265">
        <v>25584.210742726049</v>
      </c>
      <c r="AN288" s="265">
        <v>22071.098235917576</v>
      </c>
      <c r="AO288" s="266">
        <v>94860.818953382812</v>
      </c>
      <c r="AP288" s="203"/>
      <c r="AQ288" s="264">
        <v>46488.503885438629</v>
      </c>
      <c r="AR288" s="265">
        <v>5979.862324115812</v>
      </c>
      <c r="AS288" s="265">
        <v>25229.857138092535</v>
      </c>
      <c r="AT288" s="265">
        <v>21184.460464156105</v>
      </c>
      <c r="AU288" s="266">
        <v>98882.683811803072</v>
      </c>
      <c r="AV288" s="203"/>
      <c r="AW288" s="324">
        <v>80528.279687273025</v>
      </c>
      <c r="AX288" s="203"/>
      <c r="AY288" s="377">
        <v>0</v>
      </c>
      <c r="AZ288" s="265">
        <v>9328.3074820191105</v>
      </c>
      <c r="BA288" s="265">
        <v>89554.376329783961</v>
      </c>
      <c r="BB288" s="265">
        <v>876.54736545920878</v>
      </c>
      <c r="BC288" s="266">
        <v>88677.828964324755</v>
      </c>
      <c r="BD288" s="264">
        <v>886.7782896432476</v>
      </c>
      <c r="BE288" s="265">
        <v>87791.050674681508</v>
      </c>
      <c r="BF288" s="357">
        <v>1.0901890741440527</v>
      </c>
      <c r="BG288" s="203"/>
      <c r="BJ288" s="458">
        <v>1.0901890741440527</v>
      </c>
      <c r="BK288" s="210"/>
      <c r="BL288" s="458"/>
      <c r="BM288" s="458"/>
      <c r="BN288" s="458"/>
      <c r="BQ288" s="203">
        <v>87581.674004971355</v>
      </c>
      <c r="BR288" s="458">
        <v>1.087589035120206</v>
      </c>
      <c r="BT288" s="459" t="s">
        <v>900</v>
      </c>
      <c r="BU288" s="460" t="s">
        <v>900</v>
      </c>
      <c r="BV288" s="461">
        <v>87791.050674681508</v>
      </c>
      <c r="BX288" s="462">
        <v>-1153.1630860598962</v>
      </c>
      <c r="BY288" s="463">
        <v>-1.2768794666769744E-2</v>
      </c>
      <c r="BZ288" s="461">
        <v>-11.481240910160645</v>
      </c>
      <c r="CB288" s="203" t="s">
        <v>900</v>
      </c>
      <c r="CC288" s="203">
        <v>2509.0547520878886</v>
      </c>
      <c r="CD288" s="203" t="e">
        <v>#VALUE!</v>
      </c>
      <c r="CE288" s="203" t="s">
        <v>900</v>
      </c>
      <c r="CF288" s="203" t="e">
        <v>#VALUE!</v>
      </c>
      <c r="CH288" s="199"/>
      <c r="CJ288" s="464" t="s">
        <v>1448</v>
      </c>
      <c r="CK288" s="464" t="s">
        <v>1447</v>
      </c>
      <c r="CL288" s="464" t="s">
        <v>1448</v>
      </c>
      <c r="CN288" s="464" t="s">
        <v>1447</v>
      </c>
      <c r="CO288" s="464" t="s">
        <v>1448</v>
      </c>
      <c r="CP288" s="464" t="s">
        <v>1447</v>
      </c>
      <c r="CQ288" s="464" t="s">
        <v>1447</v>
      </c>
      <c r="CS288" s="465">
        <v>0.85</v>
      </c>
      <c r="CT288" s="466">
        <v>0</v>
      </c>
      <c r="CU288" s="466">
        <v>0</v>
      </c>
      <c r="CV288" s="467">
        <v>0.85</v>
      </c>
    </row>
    <row r="289" spans="1:100" s="48" customFormat="1" outlineLevel="1" x14ac:dyDescent="0.3">
      <c r="A289" s="202">
        <v>78215000</v>
      </c>
      <c r="B289" s="48">
        <v>400871</v>
      </c>
      <c r="C289" s="48">
        <v>91763</v>
      </c>
      <c r="D289" s="48" t="s">
        <v>256</v>
      </c>
      <c r="E289" s="48" t="s">
        <v>7</v>
      </c>
      <c r="F289" s="48" t="s">
        <v>1501</v>
      </c>
      <c r="G289" s="48" t="s">
        <v>1502</v>
      </c>
      <c r="H289" s="48" t="s">
        <v>1523</v>
      </c>
      <c r="O289" s="454" t="s">
        <v>900</v>
      </c>
      <c r="P289" s="455" t="s">
        <v>900</v>
      </c>
      <c r="Q289" s="347" t="s">
        <v>900</v>
      </c>
      <c r="R289" s="455">
        <v>748</v>
      </c>
      <c r="S289" s="457">
        <v>333</v>
      </c>
      <c r="T289" s="455"/>
      <c r="U289" s="454">
        <v>748</v>
      </c>
      <c r="V289" s="455">
        <v>170.64362333355297</v>
      </c>
      <c r="W289" s="230">
        <v>0.22813318627480342</v>
      </c>
      <c r="X289" s="264" t="s">
        <v>900</v>
      </c>
      <c r="Y289" s="265" t="s">
        <v>900</v>
      </c>
      <c r="Z289" s="265" t="s">
        <v>900</v>
      </c>
      <c r="AA289" s="265" t="s">
        <v>900</v>
      </c>
      <c r="AB289" s="266" t="s">
        <v>900</v>
      </c>
      <c r="AC289" s="265">
        <v>80185.049093274618</v>
      </c>
      <c r="AD289" s="265">
        <v>16557.555454031248</v>
      </c>
      <c r="AE289" s="265">
        <v>43458.299582314976</v>
      </c>
      <c r="AF289" s="266">
        <v>37490.794963058055</v>
      </c>
      <c r="AG289" s="265">
        <v>80185.049093274618</v>
      </c>
      <c r="AH289" s="265">
        <v>16557.555454031248</v>
      </c>
      <c r="AI289" s="265">
        <v>43458.299582314976</v>
      </c>
      <c r="AJ289" s="266">
        <v>37490.794963058055</v>
      </c>
      <c r="AK289" s="265">
        <v>80194.554196296609</v>
      </c>
      <c r="AL289" s="265">
        <v>18532.140285466499</v>
      </c>
      <c r="AM289" s="265">
        <v>43463.451111426206</v>
      </c>
      <c r="AN289" s="265">
        <v>37495.239106605128</v>
      </c>
      <c r="AO289" s="266">
        <v>179685.38469979443</v>
      </c>
      <c r="AP289" s="203"/>
      <c r="AQ289" s="264">
        <v>78976.47639736472</v>
      </c>
      <c r="AR289" s="265">
        <v>17943.694235985509</v>
      </c>
      <c r="AS289" s="265">
        <v>42861.461441859203</v>
      </c>
      <c r="AT289" s="265">
        <v>35988.984415615487</v>
      </c>
      <c r="AU289" s="266">
        <v>175770.6164908249</v>
      </c>
      <c r="AV289" s="203"/>
      <c r="AW289" s="324">
        <v>160229.98759050097</v>
      </c>
      <c r="AX289" s="203"/>
      <c r="AY289" s="377">
        <v>0</v>
      </c>
      <c r="AZ289" s="265">
        <v>15540.628900323936</v>
      </c>
      <c r="BA289" s="265">
        <v>160229.98759050097</v>
      </c>
      <c r="BB289" s="265">
        <v>1568.3116699156199</v>
      </c>
      <c r="BC289" s="266">
        <v>158661.67592058535</v>
      </c>
      <c r="BD289" s="264">
        <v>1586.6167592058534</v>
      </c>
      <c r="BE289" s="265">
        <v>157075.0591613795</v>
      </c>
      <c r="BF289" s="357">
        <v>0.98031000016560876</v>
      </c>
      <c r="BG289" s="203"/>
      <c r="BJ289" s="458">
        <v>0.98031000016560876</v>
      </c>
      <c r="BK289" s="210"/>
      <c r="BL289" s="458"/>
      <c r="BM289" s="458"/>
      <c r="BN289" s="458"/>
      <c r="BQ289" s="203">
        <v>156700.44406645821</v>
      </c>
      <c r="BR289" s="458">
        <v>0.97797201649254817</v>
      </c>
      <c r="BT289" s="459" t="s">
        <v>900</v>
      </c>
      <c r="BU289" s="460" t="s">
        <v>900</v>
      </c>
      <c r="BV289" s="461">
        <v>157075.0591613795</v>
      </c>
      <c r="BX289" s="462">
        <v>-9905.2620212545735</v>
      </c>
      <c r="BY289" s="463">
        <v>-5.8441356432114289E-2</v>
      </c>
      <c r="BZ289" s="461">
        <v>-58.04648206451288</v>
      </c>
      <c r="CB289" s="203" t="s">
        <v>900</v>
      </c>
      <c r="CC289" s="203">
        <v>3468.3063552823187</v>
      </c>
      <c r="CD289" s="203" t="e">
        <v>#VALUE!</v>
      </c>
      <c r="CE289" s="203" t="s">
        <v>900</v>
      </c>
      <c r="CF289" s="203" t="e">
        <v>#VALUE!</v>
      </c>
      <c r="CH289" s="199"/>
      <c r="CJ289" s="464" t="s">
        <v>1448</v>
      </c>
      <c r="CK289" s="464" t="s">
        <v>1447</v>
      </c>
      <c r="CL289" s="464" t="s">
        <v>1448</v>
      </c>
      <c r="CN289" s="464" t="s">
        <v>1447</v>
      </c>
      <c r="CO289" s="464" t="s">
        <v>1447</v>
      </c>
      <c r="CP289" s="464" t="s">
        <v>1447</v>
      </c>
      <c r="CQ289" s="464" t="s">
        <v>1447</v>
      </c>
      <c r="CS289" s="465">
        <v>0</v>
      </c>
      <c r="CT289" s="466">
        <v>0.9</v>
      </c>
      <c r="CU289" s="466">
        <v>0</v>
      </c>
      <c r="CV289" s="467">
        <v>0.9</v>
      </c>
    </row>
    <row r="290" spans="1:100" s="48" customFormat="1" outlineLevel="1" x14ac:dyDescent="0.3">
      <c r="A290" s="202">
        <v>78784000</v>
      </c>
      <c r="B290" s="48">
        <v>400190</v>
      </c>
      <c r="C290" s="48">
        <v>10968</v>
      </c>
      <c r="D290" s="48" t="s">
        <v>261</v>
      </c>
      <c r="E290" s="48" t="s">
        <v>7</v>
      </c>
      <c r="F290" s="48" t="s">
        <v>1498</v>
      </c>
      <c r="G290" s="48" t="s">
        <v>1499</v>
      </c>
      <c r="H290" s="48" t="s">
        <v>1507</v>
      </c>
      <c r="O290" s="454" t="s">
        <v>900</v>
      </c>
      <c r="P290" s="455" t="s">
        <v>900</v>
      </c>
      <c r="Q290" s="347" t="s">
        <v>900</v>
      </c>
      <c r="R290" s="455">
        <v>524</v>
      </c>
      <c r="S290" s="457">
        <v>481</v>
      </c>
      <c r="T290" s="455"/>
      <c r="U290" s="454">
        <v>524</v>
      </c>
      <c r="V290" s="455">
        <v>246.48523370402094</v>
      </c>
      <c r="W290" s="230">
        <v>0.47039166737408578</v>
      </c>
      <c r="X290" s="264" t="s">
        <v>900</v>
      </c>
      <c r="Y290" s="265" t="s">
        <v>900</v>
      </c>
      <c r="Z290" s="265" t="s">
        <v>900</v>
      </c>
      <c r="AA290" s="265" t="s">
        <v>900</v>
      </c>
      <c r="AB290" s="266" t="s">
        <v>900</v>
      </c>
      <c r="AC290" s="265">
        <v>115822.84869028555</v>
      </c>
      <c r="AD290" s="265">
        <v>23916.468989156245</v>
      </c>
      <c r="AE290" s="265">
        <v>62773.099396677186</v>
      </c>
      <c r="AF290" s="266">
        <v>54153.370502194965</v>
      </c>
      <c r="AG290" s="265">
        <v>115822.84869028555</v>
      </c>
      <c r="AH290" s="265">
        <v>23916.468989156245</v>
      </c>
      <c r="AI290" s="265">
        <v>62773.099396677186</v>
      </c>
      <c r="AJ290" s="266">
        <v>54153.370502194965</v>
      </c>
      <c r="AK290" s="265">
        <v>115832.35379330754</v>
      </c>
      <c r="AL290" s="265">
        <v>25891.053820591496</v>
      </c>
      <c r="AM290" s="265">
        <v>62778.250925788416</v>
      </c>
      <c r="AN290" s="265">
        <v>54157.814645742037</v>
      </c>
      <c r="AO290" s="266">
        <v>258659.4731854295</v>
      </c>
      <c r="AP290" s="203"/>
      <c r="AQ290" s="264">
        <v>121058.07017334094</v>
      </c>
      <c r="AR290" s="265">
        <v>25410.664042904744</v>
      </c>
      <c r="AS290" s="265">
        <v>64186.757535962584</v>
      </c>
      <c r="AT290" s="265">
        <v>61843.499053089188</v>
      </c>
      <c r="AU290" s="266">
        <v>272498.99080529745</v>
      </c>
      <c r="AV290" s="203"/>
      <c r="AW290" s="324">
        <v>268134.27408582362</v>
      </c>
      <c r="AX290" s="203"/>
      <c r="AY290" s="377">
        <v>0</v>
      </c>
      <c r="AZ290" s="265">
        <v>4364.7167194738286</v>
      </c>
      <c r="BA290" s="265">
        <v>268134.27408582362</v>
      </c>
      <c r="BB290" s="265">
        <v>2624.4657287739842</v>
      </c>
      <c r="BC290" s="266">
        <v>265509.80835704965</v>
      </c>
      <c r="BD290" s="264">
        <v>2655.0980835704968</v>
      </c>
      <c r="BE290" s="265">
        <v>262854.71027347917</v>
      </c>
      <c r="BF290" s="357">
        <v>0.98031000016560887</v>
      </c>
      <c r="BG290" s="203"/>
      <c r="BJ290" s="458">
        <v>0.98031000016560887</v>
      </c>
      <c r="BK290" s="210"/>
      <c r="BL290" s="458"/>
      <c r="BM290" s="458"/>
      <c r="BN290" s="458"/>
      <c r="BQ290" s="203">
        <v>262227.81671847857</v>
      </c>
      <c r="BR290" s="458">
        <v>0.97797201649254828</v>
      </c>
      <c r="BT290" s="459">
        <v>-3.8127086750656609</v>
      </c>
      <c r="BU290" s="460">
        <v>-10021.884341415649</v>
      </c>
      <c r="BV290" s="461">
        <v>252832.82593206351</v>
      </c>
      <c r="BX290" s="462">
        <v>11333.628834112576</v>
      </c>
      <c r="BY290" s="463">
        <v>4.6230693761290853E-2</v>
      </c>
      <c r="BZ290" s="461">
        <v>45.980964716620626</v>
      </c>
      <c r="CB290" s="203">
        <v>10834</v>
      </c>
      <c r="CC290" s="203">
        <v>15277.753272188769</v>
      </c>
      <c r="CD290" s="203" t="e">
        <v>#VALUE!</v>
      </c>
      <c r="CE290" s="203" t="e">
        <v>#VALUE!</v>
      </c>
      <c r="CF290" s="203" t="e">
        <v>#VALUE!</v>
      </c>
      <c r="CH290" s="199"/>
      <c r="CJ290" s="464" t="s">
        <v>1448</v>
      </c>
      <c r="CK290" s="464" t="s">
        <v>1447</v>
      </c>
      <c r="CL290" s="464" t="s">
        <v>1448</v>
      </c>
      <c r="CN290" s="464" t="s">
        <v>1447</v>
      </c>
      <c r="CO290" s="464" t="s">
        <v>1447</v>
      </c>
      <c r="CP290" s="464" t="s">
        <v>1447</v>
      </c>
      <c r="CQ290" s="464" t="s">
        <v>1447</v>
      </c>
      <c r="CS290" s="465">
        <v>0</v>
      </c>
      <c r="CT290" s="466">
        <v>0</v>
      </c>
      <c r="CU290" s="466">
        <v>0.95</v>
      </c>
      <c r="CV290" s="467">
        <v>0.95</v>
      </c>
    </row>
    <row r="291" spans="1:100" s="48" customFormat="1" outlineLevel="1" x14ac:dyDescent="0.3">
      <c r="A291" s="202">
        <v>78219000</v>
      </c>
      <c r="B291" s="48" t="e">
        <v>#N/A</v>
      </c>
      <c r="C291" s="48">
        <v>91935</v>
      </c>
      <c r="D291" s="48" t="s">
        <v>266</v>
      </c>
      <c r="E291" s="48" t="s">
        <v>7</v>
      </c>
      <c r="F291" s="48" t="s">
        <v>1498</v>
      </c>
      <c r="G291" s="48" t="s">
        <v>1499</v>
      </c>
      <c r="H291" s="48" t="s">
        <v>1512</v>
      </c>
      <c r="O291" s="454" t="s">
        <v>900</v>
      </c>
      <c r="P291" s="455" t="s">
        <v>900</v>
      </c>
      <c r="Q291" s="347" t="s">
        <v>900</v>
      </c>
      <c r="R291" s="455">
        <v>101</v>
      </c>
      <c r="S291" s="457">
        <v>63</v>
      </c>
      <c r="T291" s="455"/>
      <c r="U291" s="454">
        <v>101</v>
      </c>
      <c r="V291" s="455">
        <v>32.28392873878029</v>
      </c>
      <c r="W291" s="230">
        <v>0.31964285879980486</v>
      </c>
      <c r="X291" s="264" t="s">
        <v>900</v>
      </c>
      <c r="Y291" s="265" t="s">
        <v>900</v>
      </c>
      <c r="Z291" s="265" t="s">
        <v>900</v>
      </c>
      <c r="AA291" s="265" t="s">
        <v>900</v>
      </c>
      <c r="AB291" s="266" t="s">
        <v>900</v>
      </c>
      <c r="AC291" s="265">
        <v>15170.144423051954</v>
      </c>
      <c r="AD291" s="265">
        <v>3132.5104913032087</v>
      </c>
      <c r="AE291" s="265">
        <v>8221.8404615190484</v>
      </c>
      <c r="AF291" s="266">
        <v>7092.8531011190908</v>
      </c>
      <c r="AG291" s="265">
        <v>15170.144423051954</v>
      </c>
      <c r="AH291" s="265">
        <v>3132.5104913032087</v>
      </c>
      <c r="AI291" s="265">
        <v>8221.8404615190484</v>
      </c>
      <c r="AJ291" s="266">
        <v>7092.8531011190908</v>
      </c>
      <c r="AK291" s="265">
        <v>15179.649526073945</v>
      </c>
      <c r="AL291" s="265">
        <v>5107.0953227384598</v>
      </c>
      <c r="AM291" s="265">
        <v>8226.9919906302785</v>
      </c>
      <c r="AN291" s="265">
        <v>7097.2972446661624</v>
      </c>
      <c r="AO291" s="266">
        <v>35611.034084108847</v>
      </c>
      <c r="AP291" s="203"/>
      <c r="AQ291" s="264">
        <v>14949.085315466595</v>
      </c>
      <c r="AR291" s="265">
        <v>4944.931103134255</v>
      </c>
      <c r="AS291" s="265">
        <v>8113.0442008592081</v>
      </c>
      <c r="AT291" s="265">
        <v>7186.8479128965346</v>
      </c>
      <c r="AU291" s="266">
        <v>35193.908532356589</v>
      </c>
      <c r="AV291" s="203"/>
      <c r="AW291" s="324">
        <v>31782.430330186209</v>
      </c>
      <c r="AX291" s="203"/>
      <c r="AY291" s="377">
        <v>0</v>
      </c>
      <c r="AZ291" s="265">
        <v>3320.0919274067201</v>
      </c>
      <c r="BA291" s="265">
        <v>31873.816604949869</v>
      </c>
      <c r="BB291" s="265">
        <v>311.97704810442497</v>
      </c>
      <c r="BC291" s="266">
        <v>31561.839556845443</v>
      </c>
      <c r="BD291" s="264">
        <v>315.61839556845445</v>
      </c>
      <c r="BE291" s="265">
        <v>31246.22116127699</v>
      </c>
      <c r="BF291" s="357">
        <v>0.9831287549964377</v>
      </c>
      <c r="BG291" s="203"/>
      <c r="BJ291" s="458">
        <v>0.9831287549964377</v>
      </c>
      <c r="BK291" s="210"/>
      <c r="BL291" s="458"/>
      <c r="BM291" s="458"/>
      <c r="BN291" s="458"/>
      <c r="BQ291" s="203">
        <v>31171.70069845649</v>
      </c>
      <c r="BR291" s="458">
        <v>0.98078404875319869</v>
      </c>
      <c r="BT291" s="459" t="s">
        <v>900</v>
      </c>
      <c r="BU291" s="460" t="s">
        <v>900</v>
      </c>
      <c r="BV291" s="461">
        <v>31246.22116127699</v>
      </c>
      <c r="BX291" s="462">
        <v>-645.36461342901384</v>
      </c>
      <c r="BY291" s="463">
        <v>-1.9963421793508983E-2</v>
      </c>
      <c r="BZ291" s="461">
        <v>-19.990274995675641</v>
      </c>
      <c r="CB291" s="203" t="s">
        <v>900</v>
      </c>
      <c r="CC291" s="203">
        <v>614.9551908324471</v>
      </c>
      <c r="CD291" s="203" t="e">
        <v>#VALUE!</v>
      </c>
      <c r="CE291" s="203" t="s">
        <v>900</v>
      </c>
      <c r="CF291" s="203" t="e">
        <v>#VALUE!</v>
      </c>
      <c r="CH291" s="199"/>
      <c r="CJ291" s="464" t="s">
        <v>1448</v>
      </c>
      <c r="CK291" s="464" t="s">
        <v>1447</v>
      </c>
      <c r="CL291" s="464" t="s">
        <v>1448</v>
      </c>
      <c r="CN291" s="464" t="s">
        <v>1447</v>
      </c>
      <c r="CO291" s="464" t="s">
        <v>1447</v>
      </c>
      <c r="CP291" s="464" t="s">
        <v>1447</v>
      </c>
      <c r="CQ291" s="464" t="s">
        <v>1447</v>
      </c>
      <c r="CS291" s="465">
        <v>0</v>
      </c>
      <c r="CT291" s="466">
        <v>0</v>
      </c>
      <c r="CU291" s="466">
        <v>0.95</v>
      </c>
      <c r="CV291" s="467">
        <v>0.95</v>
      </c>
    </row>
    <row r="292" spans="1:100" s="48" customFormat="1" outlineLevel="1" x14ac:dyDescent="0.3">
      <c r="A292" s="202">
        <v>78647000</v>
      </c>
      <c r="B292" s="48">
        <v>400041</v>
      </c>
      <c r="C292" s="48">
        <v>4314</v>
      </c>
      <c r="D292" s="48" t="s">
        <v>270</v>
      </c>
      <c r="E292" s="48" t="s">
        <v>7</v>
      </c>
      <c r="F292" s="48" t="s">
        <v>1498</v>
      </c>
      <c r="G292" s="48" t="s">
        <v>1499</v>
      </c>
      <c r="H292" s="48" t="s">
        <v>1512</v>
      </c>
      <c r="O292" s="454" t="s">
        <v>900</v>
      </c>
      <c r="P292" s="455" t="s">
        <v>900</v>
      </c>
      <c r="Q292" s="347" t="s">
        <v>900</v>
      </c>
      <c r="R292" s="455">
        <v>223</v>
      </c>
      <c r="S292" s="457">
        <v>210</v>
      </c>
      <c r="T292" s="455"/>
      <c r="U292" s="454">
        <v>223</v>
      </c>
      <c r="V292" s="455">
        <v>107.6130957959343</v>
      </c>
      <c r="W292" s="230">
        <v>0.48256993630463813</v>
      </c>
      <c r="X292" s="264" t="s">
        <v>900</v>
      </c>
      <c r="Y292" s="265" t="s">
        <v>900</v>
      </c>
      <c r="Z292" s="265" t="s">
        <v>900</v>
      </c>
      <c r="AA292" s="265" t="s">
        <v>900</v>
      </c>
      <c r="AB292" s="266" t="s">
        <v>900</v>
      </c>
      <c r="AC292" s="265">
        <v>50567.148076839847</v>
      </c>
      <c r="AD292" s="265">
        <v>10441.701637677363</v>
      </c>
      <c r="AE292" s="265">
        <v>27406.134871730163</v>
      </c>
      <c r="AF292" s="266">
        <v>23642.843670396971</v>
      </c>
      <c r="AG292" s="265">
        <v>50567.148076839847</v>
      </c>
      <c r="AH292" s="265">
        <v>10441.701637677363</v>
      </c>
      <c r="AI292" s="265">
        <v>27406.134871730163</v>
      </c>
      <c r="AJ292" s="266">
        <v>23642.843670396971</v>
      </c>
      <c r="AK292" s="265">
        <v>50576.653179861838</v>
      </c>
      <c r="AL292" s="265">
        <v>12416.286469112614</v>
      </c>
      <c r="AM292" s="265">
        <v>27411.286400841393</v>
      </c>
      <c r="AN292" s="265">
        <v>23647.287813944044</v>
      </c>
      <c r="AO292" s="266">
        <v>114051.51386375989</v>
      </c>
      <c r="AP292" s="203"/>
      <c r="AQ292" s="264">
        <v>56428.435151398822</v>
      </c>
      <c r="AR292" s="265">
        <v>12226.741639079994</v>
      </c>
      <c r="AS292" s="265">
        <v>29919.180770108156</v>
      </c>
      <c r="AT292" s="265">
        <v>28826.924721796338</v>
      </c>
      <c r="AU292" s="266">
        <v>127401.28228238331</v>
      </c>
      <c r="AV292" s="203"/>
      <c r="AW292" s="324">
        <v>125360.6490117169</v>
      </c>
      <c r="AX292" s="203"/>
      <c r="AY292" s="377">
        <v>0</v>
      </c>
      <c r="AZ292" s="265">
        <v>2040.6332706664107</v>
      </c>
      <c r="BA292" s="265">
        <v>125360.6490117169</v>
      </c>
      <c r="BB292" s="265">
        <v>1227.0148163259739</v>
      </c>
      <c r="BC292" s="266">
        <v>124133.63419539093</v>
      </c>
      <c r="BD292" s="264">
        <v>1241.3363419539094</v>
      </c>
      <c r="BE292" s="265">
        <v>122892.29785343702</v>
      </c>
      <c r="BF292" s="357">
        <v>0.98031000016560876</v>
      </c>
      <c r="BG292" s="203"/>
      <c r="BJ292" s="458">
        <v>0.98031000016560876</v>
      </c>
      <c r="BK292" s="210"/>
      <c r="BL292" s="458"/>
      <c r="BM292" s="458"/>
      <c r="BN292" s="458"/>
      <c r="BQ292" s="203">
        <v>122599.20670280335</v>
      </c>
      <c r="BR292" s="458">
        <v>0.97797201649254817</v>
      </c>
      <c r="BT292" s="459" t="s">
        <v>900</v>
      </c>
      <c r="BU292" s="460" t="s">
        <v>900</v>
      </c>
      <c r="BV292" s="461">
        <v>122892.29785343702</v>
      </c>
      <c r="BX292" s="462">
        <v>13059.071525751657</v>
      </c>
      <c r="BY292" s="463">
        <v>0.11715987890669204</v>
      </c>
      <c r="BZ292" s="461">
        <v>121.35206620684393</v>
      </c>
      <c r="CB292" s="203" t="s">
        <v>900</v>
      </c>
      <c r="CC292" s="203">
        <v>1934.2274145546965</v>
      </c>
      <c r="CD292" s="203" t="e">
        <v>#VALUE!</v>
      </c>
      <c r="CE292" s="203" t="s">
        <v>900</v>
      </c>
      <c r="CF292" s="203" t="e">
        <v>#VALUE!</v>
      </c>
      <c r="CH292" s="199"/>
      <c r="CJ292" s="464" t="s">
        <v>1448</v>
      </c>
      <c r="CK292" s="464" t="s">
        <v>1447</v>
      </c>
      <c r="CL292" s="464" t="s">
        <v>1448</v>
      </c>
      <c r="CN292" s="464" t="s">
        <v>1447</v>
      </c>
      <c r="CO292" s="464" t="s">
        <v>1447</v>
      </c>
      <c r="CP292" s="464" t="s">
        <v>1447</v>
      </c>
      <c r="CQ292" s="464" t="s">
        <v>1447</v>
      </c>
      <c r="CS292" s="465">
        <v>0</v>
      </c>
      <c r="CT292" s="466">
        <v>0</v>
      </c>
      <c r="CU292" s="466">
        <v>0.95</v>
      </c>
      <c r="CV292" s="467">
        <v>0.95</v>
      </c>
    </row>
    <row r="293" spans="1:100" s="48" customFormat="1" outlineLevel="1" x14ac:dyDescent="0.3">
      <c r="A293" s="202">
        <v>70199000</v>
      </c>
      <c r="B293" s="48">
        <v>403860</v>
      </c>
      <c r="C293" s="48">
        <v>4234</v>
      </c>
      <c r="D293" s="48" t="s">
        <v>272</v>
      </c>
      <c r="E293" s="48" t="s">
        <v>7</v>
      </c>
      <c r="F293" s="48" t="s">
        <v>1498</v>
      </c>
      <c r="G293" s="48" t="s">
        <v>1502</v>
      </c>
      <c r="H293" s="48" t="s">
        <v>1516</v>
      </c>
      <c r="O293" s="454" t="s">
        <v>900</v>
      </c>
      <c r="P293" s="455" t="s">
        <v>900</v>
      </c>
      <c r="Q293" s="347" t="s">
        <v>900</v>
      </c>
      <c r="R293" s="455">
        <v>326</v>
      </c>
      <c r="S293" s="457">
        <v>319</v>
      </c>
      <c r="T293" s="455"/>
      <c r="U293" s="454">
        <v>326</v>
      </c>
      <c r="V293" s="455">
        <v>163.46941694715736</v>
      </c>
      <c r="W293" s="230">
        <v>0.50143992928575876</v>
      </c>
      <c r="X293" s="264" t="s">
        <v>900</v>
      </c>
      <c r="Y293" s="265" t="s">
        <v>900</v>
      </c>
      <c r="Z293" s="265" t="s">
        <v>900</v>
      </c>
      <c r="AA293" s="265" t="s">
        <v>900</v>
      </c>
      <c r="AB293" s="266" t="s">
        <v>900</v>
      </c>
      <c r="AC293" s="265">
        <v>76813.90588815196</v>
      </c>
      <c r="AD293" s="265">
        <v>15861.442011519424</v>
      </c>
      <c r="AE293" s="265">
        <v>41631.223924199636</v>
      </c>
      <c r="AF293" s="266">
        <v>35914.605385031588</v>
      </c>
      <c r="AG293" s="265">
        <v>76813.90588815196</v>
      </c>
      <c r="AH293" s="265">
        <v>15861.442011519424</v>
      </c>
      <c r="AI293" s="265">
        <v>41631.223924199636</v>
      </c>
      <c r="AJ293" s="266">
        <v>35914.605385031588</v>
      </c>
      <c r="AK293" s="265">
        <v>76823.410991173951</v>
      </c>
      <c r="AL293" s="265">
        <v>17836.026842954674</v>
      </c>
      <c r="AM293" s="265">
        <v>41636.375453310866</v>
      </c>
      <c r="AN293" s="265">
        <v>35919.04952857866</v>
      </c>
      <c r="AO293" s="266">
        <v>172214.86281601817</v>
      </c>
      <c r="AP293" s="203"/>
      <c r="AQ293" s="264">
        <v>92737.218871591016</v>
      </c>
      <c r="AR293" s="265">
        <v>19633.439618756816</v>
      </c>
      <c r="AS293" s="265">
        <v>49170.628391374703</v>
      </c>
      <c r="AT293" s="265">
        <v>47375.561986567605</v>
      </c>
      <c r="AU293" s="266">
        <v>208916.84886829014</v>
      </c>
      <c r="AV293" s="203"/>
      <c r="AW293" s="324">
        <v>212293.92013899636</v>
      </c>
      <c r="AX293" s="203"/>
      <c r="AY293" s="377">
        <v>0</v>
      </c>
      <c r="AZ293" s="265">
        <v>0</v>
      </c>
      <c r="BA293" s="265">
        <v>208916.84886829014</v>
      </c>
      <c r="BB293" s="265">
        <v>2044.8527585204743</v>
      </c>
      <c r="BC293" s="266">
        <v>206871.99610976965</v>
      </c>
      <c r="BD293" s="264">
        <v>2068.7199610976963</v>
      </c>
      <c r="BE293" s="265">
        <v>204803.27614867195</v>
      </c>
      <c r="BF293" s="357">
        <v>0.96471569235039789</v>
      </c>
      <c r="BG293" s="203"/>
      <c r="BJ293" s="458">
        <v>0.96471569235039789</v>
      </c>
      <c r="BK293" s="210"/>
      <c r="BL293" s="458"/>
      <c r="BM293" s="458"/>
      <c r="BN293" s="458"/>
      <c r="BQ293" s="203">
        <v>204314.83196699063</v>
      </c>
      <c r="BR293" s="458">
        <v>0.96241490021578791</v>
      </c>
      <c r="BT293" s="459" t="s">
        <v>900</v>
      </c>
      <c r="BU293" s="460" t="s">
        <v>900</v>
      </c>
      <c r="BV293" s="461">
        <v>204803.27614867195</v>
      </c>
      <c r="BX293" s="462">
        <v>38161.901057621726</v>
      </c>
      <c r="BY293" s="463">
        <v>0.22561752385071929</v>
      </c>
      <c r="BZ293" s="461">
        <v>233.44978999929896</v>
      </c>
      <c r="CB293" s="203">
        <v>60777</v>
      </c>
      <c r="CC293" s="203">
        <v>63702.216503778094</v>
      </c>
      <c r="CD293" s="203" t="e">
        <v>#VALUE!</v>
      </c>
      <c r="CE293" s="203" t="s">
        <v>900</v>
      </c>
      <c r="CF293" s="203" t="e">
        <v>#VALUE!</v>
      </c>
      <c r="CH293" s="199"/>
      <c r="CJ293" s="464" t="s">
        <v>1448</v>
      </c>
      <c r="CK293" s="464" t="s">
        <v>1447</v>
      </c>
      <c r="CL293" s="464" t="s">
        <v>1448</v>
      </c>
      <c r="CN293" s="464" t="s">
        <v>1447</v>
      </c>
      <c r="CO293" s="464" t="s">
        <v>1447</v>
      </c>
      <c r="CP293" s="464" t="s">
        <v>1447</v>
      </c>
      <c r="CQ293" s="464" t="s">
        <v>1447</v>
      </c>
      <c r="CS293" s="465">
        <v>0</v>
      </c>
      <c r="CT293" s="466">
        <v>0</v>
      </c>
      <c r="CU293" s="466">
        <v>0.95</v>
      </c>
      <c r="CV293" s="467">
        <v>0.95</v>
      </c>
    </row>
    <row r="294" spans="1:100" s="48" customFormat="1" outlineLevel="1" x14ac:dyDescent="0.3">
      <c r="A294" s="202">
        <v>78592000</v>
      </c>
      <c r="B294" s="48">
        <v>400875</v>
      </c>
      <c r="C294" s="48">
        <v>90861</v>
      </c>
      <c r="D294" s="48" t="s">
        <v>275</v>
      </c>
      <c r="E294" s="48" t="s">
        <v>7</v>
      </c>
      <c r="F294" s="48" t="s">
        <v>1498</v>
      </c>
      <c r="G294" s="48" t="s">
        <v>1499</v>
      </c>
      <c r="H294" s="48" t="s">
        <v>1527</v>
      </c>
      <c r="O294" s="454" t="s">
        <v>900</v>
      </c>
      <c r="P294" s="455" t="s">
        <v>900</v>
      </c>
      <c r="Q294" s="347" t="s">
        <v>900</v>
      </c>
      <c r="R294" s="455">
        <v>347</v>
      </c>
      <c r="S294" s="457">
        <v>259</v>
      </c>
      <c r="T294" s="455"/>
      <c r="U294" s="454">
        <v>347</v>
      </c>
      <c r="V294" s="455">
        <v>132.72281814831896</v>
      </c>
      <c r="W294" s="230">
        <v>0.38248650763204312</v>
      </c>
      <c r="X294" s="264" t="s">
        <v>900</v>
      </c>
      <c r="Y294" s="265" t="s">
        <v>900</v>
      </c>
      <c r="Z294" s="265" t="s">
        <v>900</v>
      </c>
      <c r="AA294" s="265" t="s">
        <v>900</v>
      </c>
      <c r="AB294" s="266" t="s">
        <v>900</v>
      </c>
      <c r="AC294" s="265">
        <v>62366.149294769144</v>
      </c>
      <c r="AD294" s="265">
        <v>12878.098686468747</v>
      </c>
      <c r="AE294" s="265">
        <v>33800.899675133871</v>
      </c>
      <c r="AF294" s="266">
        <v>29159.507193489597</v>
      </c>
      <c r="AG294" s="265">
        <v>62366.149294769144</v>
      </c>
      <c r="AH294" s="265">
        <v>12878.098686468747</v>
      </c>
      <c r="AI294" s="265">
        <v>33800.899675133871</v>
      </c>
      <c r="AJ294" s="266">
        <v>29159.507193489597</v>
      </c>
      <c r="AK294" s="265">
        <v>62375.654397791135</v>
      </c>
      <c r="AL294" s="265">
        <v>14852.683517903999</v>
      </c>
      <c r="AM294" s="265">
        <v>33806.051204245101</v>
      </c>
      <c r="AN294" s="265">
        <v>29163.951337036669</v>
      </c>
      <c r="AO294" s="266">
        <v>140198.3404569769</v>
      </c>
      <c r="AP294" s="203"/>
      <c r="AQ294" s="264">
        <v>61428.228471214861</v>
      </c>
      <c r="AR294" s="265">
        <v>14381.070266241089</v>
      </c>
      <c r="AS294" s="265">
        <v>33337.821160992527</v>
      </c>
      <c r="AT294" s="265">
        <v>29816.185375917474</v>
      </c>
      <c r="AU294" s="266">
        <v>138963.30527436594</v>
      </c>
      <c r="AV294" s="203"/>
      <c r="AW294" s="324">
        <v>129638.51043715827</v>
      </c>
      <c r="AX294" s="203"/>
      <c r="AY294" s="377">
        <v>0</v>
      </c>
      <c r="AZ294" s="265">
        <v>9324.7948372076644</v>
      </c>
      <c r="BA294" s="265">
        <v>129638.51043715827</v>
      </c>
      <c r="BB294" s="265">
        <v>1268.886004713929</v>
      </c>
      <c r="BC294" s="266">
        <v>128369.62443244434</v>
      </c>
      <c r="BD294" s="264">
        <v>1283.6962443244433</v>
      </c>
      <c r="BE294" s="265">
        <v>127085.9281881199</v>
      </c>
      <c r="BF294" s="357">
        <v>0.98031000016560876</v>
      </c>
      <c r="BG294" s="203"/>
      <c r="BJ294" s="458">
        <v>0.98031000016560876</v>
      </c>
      <c r="BK294" s="210"/>
      <c r="BL294" s="458"/>
      <c r="BM294" s="458"/>
      <c r="BN294" s="458"/>
      <c r="BQ294" s="203">
        <v>126782.83546731793</v>
      </c>
      <c r="BR294" s="458">
        <v>0.97797201649254817</v>
      </c>
      <c r="BT294" s="459" t="s">
        <v>900</v>
      </c>
      <c r="BU294" s="460" t="s">
        <v>900</v>
      </c>
      <c r="BV294" s="461">
        <v>127085.9281881199</v>
      </c>
      <c r="BX294" s="462">
        <v>-2870.0729197487235</v>
      </c>
      <c r="BY294" s="463">
        <v>-2.1759835828851867E-2</v>
      </c>
      <c r="BZ294" s="461">
        <v>-21.624562827933556</v>
      </c>
      <c r="CB294" s="203" t="s">
        <v>900</v>
      </c>
      <c r="CC294" s="203">
        <v>2458.7525801992542</v>
      </c>
      <c r="CD294" s="203" t="e">
        <v>#VALUE!</v>
      </c>
      <c r="CE294" s="203" t="s">
        <v>900</v>
      </c>
      <c r="CF294" s="203" t="e">
        <v>#VALUE!</v>
      </c>
      <c r="CH294" s="199"/>
      <c r="CJ294" s="464" t="s">
        <v>1448</v>
      </c>
      <c r="CK294" s="464" t="s">
        <v>1447</v>
      </c>
      <c r="CL294" s="464" t="s">
        <v>1448</v>
      </c>
      <c r="CN294" s="464" t="s">
        <v>1447</v>
      </c>
      <c r="CO294" s="464" t="s">
        <v>1447</v>
      </c>
      <c r="CP294" s="464" t="s">
        <v>1447</v>
      </c>
      <c r="CQ294" s="464" t="s">
        <v>1447</v>
      </c>
      <c r="CS294" s="465">
        <v>0</v>
      </c>
      <c r="CT294" s="466">
        <v>0</v>
      </c>
      <c r="CU294" s="466">
        <v>0.95</v>
      </c>
      <c r="CV294" s="467">
        <v>0.95</v>
      </c>
    </row>
    <row r="295" spans="1:100" s="48" customFormat="1" outlineLevel="1" x14ac:dyDescent="0.3">
      <c r="A295" s="202">
        <v>78743000</v>
      </c>
      <c r="B295" s="48">
        <v>400614</v>
      </c>
      <c r="C295" s="48">
        <v>81174</v>
      </c>
      <c r="D295" s="48" t="s">
        <v>279</v>
      </c>
      <c r="E295" s="48" t="s">
        <v>7</v>
      </c>
      <c r="F295" s="48" t="s">
        <v>1498</v>
      </c>
      <c r="G295" s="48" t="s">
        <v>1499</v>
      </c>
      <c r="H295" s="48" t="s">
        <v>1512</v>
      </c>
      <c r="O295" s="454" t="s">
        <v>900</v>
      </c>
      <c r="P295" s="455" t="s">
        <v>900</v>
      </c>
      <c r="Q295" s="347" t="s">
        <v>900</v>
      </c>
      <c r="R295" s="455">
        <v>93</v>
      </c>
      <c r="S295" s="457">
        <v>90</v>
      </c>
      <c r="T295" s="455"/>
      <c r="U295" s="454">
        <v>93</v>
      </c>
      <c r="V295" s="455">
        <v>46.119898198257559</v>
      </c>
      <c r="W295" s="230">
        <v>0.49591288385223181</v>
      </c>
      <c r="X295" s="264" t="s">
        <v>900</v>
      </c>
      <c r="Y295" s="265" t="s">
        <v>900</v>
      </c>
      <c r="Z295" s="265" t="s">
        <v>900</v>
      </c>
      <c r="AA295" s="265" t="s">
        <v>900</v>
      </c>
      <c r="AB295" s="266" t="s">
        <v>900</v>
      </c>
      <c r="AC295" s="265">
        <v>21671.63489007422</v>
      </c>
      <c r="AD295" s="265">
        <v>4475.0149875760126</v>
      </c>
      <c r="AE295" s="265">
        <v>11745.486373598642</v>
      </c>
      <c r="AF295" s="266">
        <v>10132.647287312988</v>
      </c>
      <c r="AG295" s="265">
        <v>21671.63489007422</v>
      </c>
      <c r="AH295" s="265">
        <v>4475.0149875760126</v>
      </c>
      <c r="AI295" s="265">
        <v>11745.486373598642</v>
      </c>
      <c r="AJ295" s="266">
        <v>10132.647287312988</v>
      </c>
      <c r="AK295" s="265">
        <v>21681.139993096211</v>
      </c>
      <c r="AL295" s="265">
        <v>6449.5998190112641</v>
      </c>
      <c r="AM295" s="265">
        <v>11750.637902709872</v>
      </c>
      <c r="AN295" s="265">
        <v>10137.09143086006</v>
      </c>
      <c r="AO295" s="266">
        <v>50018.469145677409</v>
      </c>
      <c r="AP295" s="203"/>
      <c r="AQ295" s="264">
        <v>21351.824423656406</v>
      </c>
      <c r="AR295" s="265">
        <v>6244.8074164193804</v>
      </c>
      <c r="AS295" s="265">
        <v>11587.88592495921</v>
      </c>
      <c r="AT295" s="265">
        <v>9729.8652900342495</v>
      </c>
      <c r="AU295" s="266">
        <v>48914.383055069244</v>
      </c>
      <c r="AV295" s="203"/>
      <c r="AW295" s="324">
        <v>20553.044088402523</v>
      </c>
      <c r="AX295" s="203"/>
      <c r="AY295" s="377">
        <v>0</v>
      </c>
      <c r="AZ295" s="265">
        <v>4614.4419613385107</v>
      </c>
      <c r="BA295" s="265">
        <v>44299.941093730733</v>
      </c>
      <c r="BB295" s="265">
        <v>433.60244632504254</v>
      </c>
      <c r="BC295" s="266">
        <v>43866.33864740569</v>
      </c>
      <c r="BD295" s="264">
        <v>438.66338647405689</v>
      </c>
      <c r="BE295" s="265">
        <v>43427.675260931632</v>
      </c>
      <c r="BF295" s="357">
        <v>2.1129558752533688</v>
      </c>
      <c r="BG295" s="203"/>
      <c r="BJ295" s="458">
        <v>2.1129558752533688</v>
      </c>
      <c r="BK295" s="210"/>
      <c r="BL295" s="458"/>
      <c r="BM295" s="458"/>
      <c r="BN295" s="458"/>
      <c r="BQ295" s="203">
        <v>43324.102721936943</v>
      </c>
      <c r="BR295" s="458">
        <v>2.107916595497572</v>
      </c>
      <c r="BT295" s="459">
        <v>0</v>
      </c>
      <c r="BU295" s="460" t="s">
        <v>900</v>
      </c>
      <c r="BV295" s="461">
        <v>43427.675260931632</v>
      </c>
      <c r="BX295" s="462">
        <v>-1972.7840545671861</v>
      </c>
      <c r="BY295" s="463">
        <v>-4.6897016611635714E-2</v>
      </c>
      <c r="BZ295" s="461">
        <v>-42.775117284229374</v>
      </c>
      <c r="CB295" s="203" t="s">
        <v>900</v>
      </c>
      <c r="CC295" s="203">
        <v>826.33891542755259</v>
      </c>
      <c r="CD295" s="203" t="e">
        <v>#VALUE!</v>
      </c>
      <c r="CE295" s="203" t="s">
        <v>900</v>
      </c>
      <c r="CF295" s="203" t="e">
        <v>#VALUE!</v>
      </c>
      <c r="CH295" s="199"/>
      <c r="CJ295" s="464" t="s">
        <v>1448</v>
      </c>
      <c r="CK295" s="464" t="s">
        <v>1447</v>
      </c>
      <c r="CL295" s="464" t="s">
        <v>1448</v>
      </c>
      <c r="CN295" s="464" t="s">
        <v>1447</v>
      </c>
      <c r="CO295" s="464" t="s">
        <v>1447</v>
      </c>
      <c r="CP295" s="464" t="s">
        <v>1447</v>
      </c>
      <c r="CQ295" s="464" t="s">
        <v>1447</v>
      </c>
      <c r="CS295" s="465">
        <v>0</v>
      </c>
      <c r="CT295" s="466">
        <v>0</v>
      </c>
      <c r="CU295" s="466">
        <v>0.95</v>
      </c>
      <c r="CV295" s="467">
        <v>0.95</v>
      </c>
    </row>
    <row r="296" spans="1:100" s="48" customFormat="1" outlineLevel="1" x14ac:dyDescent="0.3">
      <c r="A296" s="202">
        <v>78976000</v>
      </c>
      <c r="B296" s="48">
        <v>400370</v>
      </c>
      <c r="C296" s="48">
        <v>79994</v>
      </c>
      <c r="D296" s="48" t="s">
        <v>286</v>
      </c>
      <c r="E296" s="48" t="s">
        <v>7</v>
      </c>
      <c r="F296" s="48" t="s">
        <v>1498</v>
      </c>
      <c r="G296" s="48" t="s">
        <v>1499</v>
      </c>
      <c r="H296" s="48" t="s">
        <v>1527</v>
      </c>
      <c r="O296" s="454" t="s">
        <v>900</v>
      </c>
      <c r="P296" s="455" t="s">
        <v>900</v>
      </c>
      <c r="Q296" s="347" t="s">
        <v>900</v>
      </c>
      <c r="R296" s="455">
        <v>118</v>
      </c>
      <c r="S296" s="457">
        <v>100</v>
      </c>
      <c r="T296" s="455"/>
      <c r="U296" s="454">
        <v>118</v>
      </c>
      <c r="V296" s="455">
        <v>51.244331331397284</v>
      </c>
      <c r="W296" s="230">
        <v>0.43427399433387531</v>
      </c>
      <c r="X296" s="264" t="s">
        <v>900</v>
      </c>
      <c r="Y296" s="265" t="s">
        <v>900</v>
      </c>
      <c r="Z296" s="265" t="s">
        <v>900</v>
      </c>
      <c r="AA296" s="265" t="s">
        <v>900</v>
      </c>
      <c r="AB296" s="266" t="s">
        <v>900</v>
      </c>
      <c r="AC296" s="265">
        <v>24079.594322304689</v>
      </c>
      <c r="AD296" s="265">
        <v>4972.2388750844584</v>
      </c>
      <c r="AE296" s="265">
        <v>13050.540415109601</v>
      </c>
      <c r="AF296" s="266">
        <v>11258.496985903319</v>
      </c>
      <c r="AG296" s="265">
        <v>24079.594322304689</v>
      </c>
      <c r="AH296" s="265">
        <v>4972.2388750844584</v>
      </c>
      <c r="AI296" s="265">
        <v>13050.540415109601</v>
      </c>
      <c r="AJ296" s="266">
        <v>11258.496985903319</v>
      </c>
      <c r="AK296" s="265">
        <v>24089.09942532668</v>
      </c>
      <c r="AL296" s="265">
        <v>6946.82370651971</v>
      </c>
      <c r="AM296" s="265">
        <v>13055.691944220831</v>
      </c>
      <c r="AN296" s="265">
        <v>11262.941129450392</v>
      </c>
      <c r="AO296" s="266">
        <v>55354.556205517612</v>
      </c>
      <c r="AP296" s="203"/>
      <c r="AQ296" s="264">
        <v>23723.209278541523</v>
      </c>
      <c r="AR296" s="265">
        <v>6726.2430880064639</v>
      </c>
      <c r="AS296" s="265">
        <v>12874.864341292538</v>
      </c>
      <c r="AT296" s="265">
        <v>10810.487476272159</v>
      </c>
      <c r="AU296" s="266">
        <v>54134.804184112683</v>
      </c>
      <c r="AV296" s="203"/>
      <c r="AW296" s="324">
        <v>49130.05912904549</v>
      </c>
      <c r="AX296" s="203"/>
      <c r="AY296" s="377">
        <v>0</v>
      </c>
      <c r="AZ296" s="265">
        <v>5004.7450550671929</v>
      </c>
      <c r="BA296" s="265">
        <v>49130.05912904549</v>
      </c>
      <c r="BB296" s="265">
        <v>480.87905537786088</v>
      </c>
      <c r="BC296" s="266">
        <v>48649.18007366763</v>
      </c>
      <c r="BD296" s="264">
        <v>486.49180073667634</v>
      </c>
      <c r="BE296" s="265">
        <v>48162.688272930951</v>
      </c>
      <c r="BF296" s="357">
        <v>0.98031000016560876</v>
      </c>
      <c r="BG296" s="203"/>
      <c r="BJ296" s="458">
        <v>0.98031000016560876</v>
      </c>
      <c r="BK296" s="210"/>
      <c r="BL296" s="458"/>
      <c r="BM296" s="458"/>
      <c r="BN296" s="458"/>
      <c r="BQ296" s="203">
        <v>48047.822996830742</v>
      </c>
      <c r="BR296" s="458">
        <v>0.97797201649254817</v>
      </c>
      <c r="BT296" s="459" t="s">
        <v>900</v>
      </c>
      <c r="BU296" s="460" t="s">
        <v>900</v>
      </c>
      <c r="BV296" s="461">
        <v>48162.688272930951</v>
      </c>
      <c r="BX296" s="462">
        <v>-2241.0575391577877</v>
      </c>
      <c r="BY296" s="463">
        <v>-4.3835892914693732E-2</v>
      </c>
      <c r="BZ296" s="461">
        <v>-43.732789187253907</v>
      </c>
      <c r="CB296" s="203" t="s">
        <v>900</v>
      </c>
      <c r="CC296" s="203">
        <v>933.07347583679518</v>
      </c>
      <c r="CD296" s="203" t="e">
        <v>#VALUE!</v>
      </c>
      <c r="CE296" s="203" t="s">
        <v>900</v>
      </c>
      <c r="CF296" s="203" t="e">
        <v>#VALUE!</v>
      </c>
      <c r="CH296" s="199"/>
      <c r="CJ296" s="464" t="s">
        <v>1448</v>
      </c>
      <c r="CK296" s="464" t="s">
        <v>1447</v>
      </c>
      <c r="CL296" s="464" t="s">
        <v>1448</v>
      </c>
      <c r="CN296" s="464" t="s">
        <v>1447</v>
      </c>
      <c r="CO296" s="464" t="s">
        <v>1447</v>
      </c>
      <c r="CP296" s="464" t="s">
        <v>1447</v>
      </c>
      <c r="CQ296" s="464" t="s">
        <v>1447</v>
      </c>
      <c r="CS296" s="465">
        <v>0</v>
      </c>
      <c r="CT296" s="466">
        <v>0</v>
      </c>
      <c r="CU296" s="466">
        <v>0.95</v>
      </c>
      <c r="CV296" s="467">
        <v>0.95</v>
      </c>
    </row>
    <row r="297" spans="1:100" s="48" customFormat="1" outlineLevel="1" x14ac:dyDescent="0.3">
      <c r="A297" s="202">
        <v>78977000</v>
      </c>
      <c r="B297" s="48">
        <v>400399</v>
      </c>
      <c r="C297" s="48">
        <v>80011</v>
      </c>
      <c r="D297" s="48" t="s">
        <v>293</v>
      </c>
      <c r="E297" s="48" t="s">
        <v>7</v>
      </c>
      <c r="F297" s="48" t="s">
        <v>1498</v>
      </c>
      <c r="G297" s="48" t="s">
        <v>1499</v>
      </c>
      <c r="H297" s="48" t="s">
        <v>1517</v>
      </c>
      <c r="O297" s="454" t="s">
        <v>900</v>
      </c>
      <c r="P297" s="455" t="s">
        <v>900</v>
      </c>
      <c r="Q297" s="347" t="s">
        <v>900</v>
      </c>
      <c r="R297" s="455">
        <v>191</v>
      </c>
      <c r="S297" s="457">
        <v>56</v>
      </c>
      <c r="T297" s="455"/>
      <c r="U297" s="454">
        <v>191</v>
      </c>
      <c r="V297" s="455">
        <v>28.696825545582481</v>
      </c>
      <c r="W297" s="230">
        <v>0.15024515992451562</v>
      </c>
      <c r="X297" s="264" t="s">
        <v>900</v>
      </c>
      <c r="Y297" s="265" t="s">
        <v>900</v>
      </c>
      <c r="Z297" s="265" t="s">
        <v>900</v>
      </c>
      <c r="AA297" s="265" t="s">
        <v>900</v>
      </c>
      <c r="AB297" s="266" t="s">
        <v>900</v>
      </c>
      <c r="AC297" s="265">
        <v>13484.572820490626</v>
      </c>
      <c r="AD297" s="265">
        <v>2784.453770047297</v>
      </c>
      <c r="AE297" s="265">
        <v>7308.3026324613775</v>
      </c>
      <c r="AF297" s="266">
        <v>6304.7583121058587</v>
      </c>
      <c r="AG297" s="265">
        <v>13484.572820490626</v>
      </c>
      <c r="AH297" s="265">
        <v>2784.453770047297</v>
      </c>
      <c r="AI297" s="265">
        <v>7308.3026324613775</v>
      </c>
      <c r="AJ297" s="266">
        <v>6304.7583121058587</v>
      </c>
      <c r="AK297" s="265">
        <v>13494.077923512617</v>
      </c>
      <c r="AL297" s="265">
        <v>4759.0386014825481</v>
      </c>
      <c r="AM297" s="265">
        <v>7313.4541615726066</v>
      </c>
      <c r="AN297" s="265">
        <v>6309.2024556529304</v>
      </c>
      <c r="AO297" s="266">
        <v>31875.7731422207</v>
      </c>
      <c r="AP297" s="203"/>
      <c r="AQ297" s="264">
        <v>13289.115917047013</v>
      </c>
      <c r="AR297" s="265">
        <v>4607.9261330232976</v>
      </c>
      <c r="AS297" s="265">
        <v>7212.1593094258751</v>
      </c>
      <c r="AT297" s="265">
        <v>6691.4434715981624</v>
      </c>
      <c r="AU297" s="266">
        <v>31800.644831094349</v>
      </c>
      <c r="AV297" s="203"/>
      <c r="AW297" s="324">
        <v>31247.697652006023</v>
      </c>
      <c r="AX297" s="203"/>
      <c r="AY297" s="377">
        <v>0</v>
      </c>
      <c r="AZ297" s="265">
        <v>552.94717908832536</v>
      </c>
      <c r="BA297" s="265">
        <v>31247.697652006023</v>
      </c>
      <c r="BB297" s="265">
        <v>305.84867179095522</v>
      </c>
      <c r="BC297" s="266">
        <v>30941.848980215069</v>
      </c>
      <c r="BD297" s="264">
        <v>309.4184898021507</v>
      </c>
      <c r="BE297" s="265">
        <v>30632.430490412917</v>
      </c>
      <c r="BF297" s="357">
        <v>0.98031000016560876</v>
      </c>
      <c r="BG297" s="203"/>
      <c r="BJ297" s="458">
        <v>0.98031000016560876</v>
      </c>
      <c r="BK297" s="210"/>
      <c r="BL297" s="458"/>
      <c r="BM297" s="458"/>
      <c r="BN297" s="458"/>
      <c r="BQ297" s="203">
        <v>30559.373883481792</v>
      </c>
      <c r="BR297" s="458">
        <v>0.97797201649254817</v>
      </c>
      <c r="BT297" s="459" t="s">
        <v>900</v>
      </c>
      <c r="BU297" s="460" t="s">
        <v>900</v>
      </c>
      <c r="BV297" s="461">
        <v>30632.430490412917</v>
      </c>
      <c r="BX297" s="462">
        <v>1060.2583788576558</v>
      </c>
      <c r="BY297" s="463">
        <v>3.5377237561988774E-2</v>
      </c>
      <c r="BZ297" s="461">
        <v>36.946887284571773</v>
      </c>
      <c r="CB297" s="203" t="s">
        <v>900</v>
      </c>
      <c r="CC297" s="203">
        <v>649.59140602688888</v>
      </c>
      <c r="CD297" s="203" t="e">
        <v>#VALUE!</v>
      </c>
      <c r="CE297" s="203" t="s">
        <v>900</v>
      </c>
      <c r="CF297" s="203" t="e">
        <v>#VALUE!</v>
      </c>
      <c r="CH297" s="199"/>
      <c r="CJ297" s="464" t="s">
        <v>1448</v>
      </c>
      <c r="CK297" s="464" t="s">
        <v>1447</v>
      </c>
      <c r="CL297" s="464" t="s">
        <v>1448</v>
      </c>
      <c r="CN297" s="464" t="s">
        <v>1447</v>
      </c>
      <c r="CO297" s="464" t="s">
        <v>1447</v>
      </c>
      <c r="CP297" s="464" t="s">
        <v>1447</v>
      </c>
      <c r="CQ297" s="464" t="s">
        <v>1447</v>
      </c>
      <c r="CS297" s="465">
        <v>0</v>
      </c>
      <c r="CT297" s="466">
        <v>0.9</v>
      </c>
      <c r="CU297" s="466">
        <v>0</v>
      </c>
      <c r="CV297" s="467">
        <v>0.9</v>
      </c>
    </row>
    <row r="298" spans="1:100" s="48" customFormat="1" outlineLevel="1" x14ac:dyDescent="0.3">
      <c r="A298" s="202">
        <v>78758000</v>
      </c>
      <c r="B298" s="48">
        <v>400068</v>
      </c>
      <c r="C298" s="48">
        <v>4359</v>
      </c>
      <c r="D298" s="48" t="s">
        <v>294</v>
      </c>
      <c r="E298" s="48" t="s">
        <v>7</v>
      </c>
      <c r="F298" s="48" t="s">
        <v>1498</v>
      </c>
      <c r="G298" s="48" t="s">
        <v>1499</v>
      </c>
      <c r="H298" s="48" t="s">
        <v>1523</v>
      </c>
      <c r="O298" s="454" t="s">
        <v>900</v>
      </c>
      <c r="P298" s="455" t="s">
        <v>900</v>
      </c>
      <c r="Q298" s="347" t="s">
        <v>900</v>
      </c>
      <c r="R298" s="455">
        <v>283</v>
      </c>
      <c r="S298" s="457">
        <v>121</v>
      </c>
      <c r="T298" s="455"/>
      <c r="U298" s="454">
        <v>283</v>
      </c>
      <c r="V298" s="455">
        <v>62.005640910990714</v>
      </c>
      <c r="W298" s="230">
        <v>0.21910120463247601</v>
      </c>
      <c r="X298" s="264" t="s">
        <v>900</v>
      </c>
      <c r="Y298" s="265" t="s">
        <v>900</v>
      </c>
      <c r="Z298" s="265" t="s">
        <v>900</v>
      </c>
      <c r="AA298" s="265" t="s">
        <v>900</v>
      </c>
      <c r="AB298" s="266" t="s">
        <v>900</v>
      </c>
      <c r="AC298" s="265">
        <v>29136.309129988673</v>
      </c>
      <c r="AD298" s="265">
        <v>6016.4090388521945</v>
      </c>
      <c r="AE298" s="265">
        <v>15791.153902282618</v>
      </c>
      <c r="AF298" s="266">
        <v>13622.781352943015</v>
      </c>
      <c r="AG298" s="265">
        <v>29136.309129988673</v>
      </c>
      <c r="AH298" s="265">
        <v>6016.4090388521945</v>
      </c>
      <c r="AI298" s="265">
        <v>15791.153902282618</v>
      </c>
      <c r="AJ298" s="266">
        <v>13622.781352943015</v>
      </c>
      <c r="AK298" s="265">
        <v>29145.814233010664</v>
      </c>
      <c r="AL298" s="265">
        <v>7990.993870287446</v>
      </c>
      <c r="AM298" s="265">
        <v>15796.305431393848</v>
      </c>
      <c r="AN298" s="265">
        <v>13627.225496490088</v>
      </c>
      <c r="AO298" s="266">
        <v>66560.339031182055</v>
      </c>
      <c r="AP298" s="203"/>
      <c r="AQ298" s="264">
        <v>28703.117473800266</v>
      </c>
      <c r="AR298" s="265">
        <v>7737.257998339338</v>
      </c>
      <c r="AS298" s="265">
        <v>15577.519015592537</v>
      </c>
      <c r="AT298" s="265">
        <v>14540.445766796111</v>
      </c>
      <c r="AU298" s="266">
        <v>66558.340254528244</v>
      </c>
      <c r="AV298" s="203"/>
      <c r="AW298" s="324">
        <v>70539.466803252857</v>
      </c>
      <c r="AX298" s="203"/>
      <c r="AY298" s="377">
        <v>0</v>
      </c>
      <c r="AZ298" s="265">
        <v>0</v>
      </c>
      <c r="BA298" s="265">
        <v>66558.340254528244</v>
      </c>
      <c r="BB298" s="265">
        <v>651.4649555997313</v>
      </c>
      <c r="BC298" s="266">
        <v>65906.875298928513</v>
      </c>
      <c r="BD298" s="264">
        <v>659.06875298928514</v>
      </c>
      <c r="BE298" s="265">
        <v>65247.806545939231</v>
      </c>
      <c r="BF298" s="357">
        <v>0.92498298474422824</v>
      </c>
      <c r="BG298" s="203"/>
      <c r="BJ298" s="458">
        <v>0.92498298474422824</v>
      </c>
      <c r="BK298" s="210"/>
      <c r="BL298" s="458"/>
      <c r="BM298" s="458"/>
      <c r="BN298" s="458"/>
      <c r="BQ298" s="203">
        <v>65092.194233118134</v>
      </c>
      <c r="BR298" s="458">
        <v>0.92277695286061434</v>
      </c>
      <c r="BT298" s="459" t="s">
        <v>900</v>
      </c>
      <c r="BU298" s="460" t="s">
        <v>900</v>
      </c>
      <c r="BV298" s="461">
        <v>65247.806545939231</v>
      </c>
      <c r="BX298" s="462">
        <v>1799.2154470563328</v>
      </c>
      <c r="BY298" s="463">
        <v>2.7952570478180335E-2</v>
      </c>
      <c r="BZ298" s="461">
        <v>29.01696395073332</v>
      </c>
      <c r="CB298" s="203">
        <v>9889</v>
      </c>
      <c r="CC298" s="203">
        <v>11160.652525641344</v>
      </c>
      <c r="CD298" s="203" t="e">
        <v>#VALUE!</v>
      </c>
      <c r="CE298" s="203" t="s">
        <v>900</v>
      </c>
      <c r="CF298" s="203" t="e">
        <v>#VALUE!</v>
      </c>
      <c r="CH298" s="199"/>
      <c r="CJ298" s="464" t="s">
        <v>1448</v>
      </c>
      <c r="CK298" s="464" t="s">
        <v>1447</v>
      </c>
      <c r="CL298" s="464" t="s">
        <v>1448</v>
      </c>
      <c r="CN298" s="464" t="s">
        <v>1447</v>
      </c>
      <c r="CO298" s="464" t="s">
        <v>1447</v>
      </c>
      <c r="CP298" s="464" t="s">
        <v>1447</v>
      </c>
      <c r="CQ298" s="464" t="s">
        <v>1447</v>
      </c>
      <c r="CS298" s="465">
        <v>0</v>
      </c>
      <c r="CT298" s="466">
        <v>0.9</v>
      </c>
      <c r="CU298" s="466">
        <v>0</v>
      </c>
      <c r="CV298" s="467">
        <v>0.9</v>
      </c>
    </row>
    <row r="299" spans="1:100" s="48" customFormat="1" outlineLevel="1" x14ac:dyDescent="0.3">
      <c r="A299" s="202">
        <v>78556000</v>
      </c>
      <c r="B299" s="48">
        <v>400793</v>
      </c>
      <c r="C299" s="48">
        <v>90192</v>
      </c>
      <c r="D299" s="48" t="s">
        <v>296</v>
      </c>
      <c r="E299" s="48" t="s">
        <v>7</v>
      </c>
      <c r="F299" s="48" t="s">
        <v>1498</v>
      </c>
      <c r="G299" s="48" t="s">
        <v>1499</v>
      </c>
      <c r="H299" s="48" t="s">
        <v>1523</v>
      </c>
      <c r="O299" s="454" t="s">
        <v>900</v>
      </c>
      <c r="P299" s="455" t="s">
        <v>900</v>
      </c>
      <c r="Q299" s="347" t="s">
        <v>900</v>
      </c>
      <c r="R299" s="455">
        <v>307</v>
      </c>
      <c r="S299" s="457">
        <v>243</v>
      </c>
      <c r="T299" s="455"/>
      <c r="U299" s="454">
        <v>307</v>
      </c>
      <c r="V299" s="455">
        <v>124.52372513529541</v>
      </c>
      <c r="W299" s="230">
        <v>0.40561473985438246</v>
      </c>
      <c r="X299" s="264" t="s">
        <v>900</v>
      </c>
      <c r="Y299" s="265" t="s">
        <v>900</v>
      </c>
      <c r="Z299" s="265" t="s">
        <v>900</v>
      </c>
      <c r="AA299" s="265" t="s">
        <v>900</v>
      </c>
      <c r="AB299" s="266" t="s">
        <v>900</v>
      </c>
      <c r="AC299" s="265">
        <v>58513.414203200395</v>
      </c>
      <c r="AD299" s="265">
        <v>12082.540466455233</v>
      </c>
      <c r="AE299" s="265">
        <v>31712.813208716332</v>
      </c>
      <c r="AF299" s="266">
        <v>27358.147675745065</v>
      </c>
      <c r="AG299" s="265">
        <v>58513.414203200395</v>
      </c>
      <c r="AH299" s="265">
        <v>12082.540466455233</v>
      </c>
      <c r="AI299" s="265">
        <v>31712.813208716332</v>
      </c>
      <c r="AJ299" s="266">
        <v>27358.147675745065</v>
      </c>
      <c r="AK299" s="265">
        <v>58522.919306222386</v>
      </c>
      <c r="AL299" s="265">
        <v>14057.125297890485</v>
      </c>
      <c r="AM299" s="265">
        <v>31717.964737827562</v>
      </c>
      <c r="AN299" s="265">
        <v>27362.591819292138</v>
      </c>
      <c r="AO299" s="266">
        <v>131660.60116123257</v>
      </c>
      <c r="AP299" s="203"/>
      <c r="AQ299" s="264">
        <v>57634.012703398679</v>
      </c>
      <c r="AR299" s="265">
        <v>13610.773191701755</v>
      </c>
      <c r="AS299" s="265">
        <v>31278.655694859197</v>
      </c>
      <c r="AT299" s="265">
        <v>26263.384739474288</v>
      </c>
      <c r="AU299" s="266">
        <v>128786.82632943393</v>
      </c>
      <c r="AV299" s="203"/>
      <c r="AW299" s="324">
        <v>100228.21313724863</v>
      </c>
      <c r="AX299" s="203"/>
      <c r="AY299" s="377">
        <v>0</v>
      </c>
      <c r="AZ299" s="265">
        <v>12149.378124898285</v>
      </c>
      <c r="BA299" s="265">
        <v>116637.44820453564</v>
      </c>
      <c r="BB299" s="265">
        <v>1141.6331856421882</v>
      </c>
      <c r="BC299" s="266">
        <v>115495.81501889345</v>
      </c>
      <c r="BD299" s="264">
        <v>1154.9581501889345</v>
      </c>
      <c r="BE299" s="265">
        <v>114340.85686870452</v>
      </c>
      <c r="BF299" s="357">
        <v>1.1408051015748488</v>
      </c>
      <c r="BG299" s="203"/>
      <c r="BJ299" s="458">
        <v>1.1408051015748488</v>
      </c>
      <c r="BK299" s="210"/>
      <c r="BL299" s="458"/>
      <c r="BM299" s="458"/>
      <c r="BN299" s="458"/>
      <c r="BQ299" s="203">
        <v>114068.16041913487</v>
      </c>
      <c r="BR299" s="458">
        <v>1.1380843462003494</v>
      </c>
      <c r="BT299" s="459" t="s">
        <v>900</v>
      </c>
      <c r="BU299" s="460" t="s">
        <v>900</v>
      </c>
      <c r="BV299" s="461">
        <v>114340.85686870452</v>
      </c>
      <c r="BX299" s="462">
        <v>-7609.8858446201775</v>
      </c>
      <c r="BY299" s="463">
        <v>-6.1484321316934022E-2</v>
      </c>
      <c r="BZ299" s="461">
        <v>-61.111935387027756</v>
      </c>
      <c r="CB299" s="203" t="s">
        <v>900</v>
      </c>
      <c r="CC299" s="203">
        <v>2287.977283544466</v>
      </c>
      <c r="CD299" s="203" t="e">
        <v>#VALUE!</v>
      </c>
      <c r="CE299" s="203" t="s">
        <v>900</v>
      </c>
      <c r="CF299" s="203" t="e">
        <v>#VALUE!</v>
      </c>
      <c r="CH299" s="199"/>
      <c r="CJ299" s="464" t="s">
        <v>1448</v>
      </c>
      <c r="CK299" s="464" t="s">
        <v>1447</v>
      </c>
      <c r="CL299" s="464" t="s">
        <v>1448</v>
      </c>
      <c r="CN299" s="464" t="s">
        <v>1447</v>
      </c>
      <c r="CO299" s="464" t="s">
        <v>1447</v>
      </c>
      <c r="CP299" s="464" t="s">
        <v>1447</v>
      </c>
      <c r="CQ299" s="464" t="s">
        <v>1447</v>
      </c>
      <c r="CS299" s="465">
        <v>0</v>
      </c>
      <c r="CT299" s="466">
        <v>0</v>
      </c>
      <c r="CU299" s="466">
        <v>0.95</v>
      </c>
      <c r="CV299" s="467">
        <v>0.95</v>
      </c>
    </row>
    <row r="300" spans="1:100" s="48" customFormat="1" outlineLevel="1" x14ac:dyDescent="0.3">
      <c r="A300" s="202">
        <v>78771000</v>
      </c>
      <c r="B300" s="48">
        <v>400151</v>
      </c>
      <c r="C300" s="48">
        <v>4366</v>
      </c>
      <c r="D300" s="48" t="s">
        <v>302</v>
      </c>
      <c r="E300" s="48" t="s">
        <v>7</v>
      </c>
      <c r="F300" s="48" t="s">
        <v>1498</v>
      </c>
      <c r="G300" s="48" t="s">
        <v>1502</v>
      </c>
      <c r="H300" s="48" t="s">
        <v>1527</v>
      </c>
      <c r="O300" s="454" t="s">
        <v>900</v>
      </c>
      <c r="P300" s="455" t="s">
        <v>900</v>
      </c>
      <c r="Q300" s="347" t="s">
        <v>900</v>
      </c>
      <c r="R300" s="455">
        <v>182</v>
      </c>
      <c r="S300" s="457">
        <v>177</v>
      </c>
      <c r="T300" s="455"/>
      <c r="U300" s="454">
        <v>182</v>
      </c>
      <c r="V300" s="455">
        <v>90.702466456573191</v>
      </c>
      <c r="W300" s="230">
        <v>0.49836520031084169</v>
      </c>
      <c r="X300" s="264" t="s">
        <v>900</v>
      </c>
      <c r="Y300" s="265" t="s">
        <v>900</v>
      </c>
      <c r="Z300" s="265" t="s">
        <v>900</v>
      </c>
      <c r="AA300" s="265" t="s">
        <v>900</v>
      </c>
      <c r="AB300" s="266" t="s">
        <v>900</v>
      </c>
      <c r="AC300" s="265">
        <v>42620.881950479299</v>
      </c>
      <c r="AD300" s="265">
        <v>8800.8628088994901</v>
      </c>
      <c r="AE300" s="265">
        <v>23099.456534743993</v>
      </c>
      <c r="AF300" s="266">
        <v>19927.539665048873</v>
      </c>
      <c r="AG300" s="265">
        <v>42620.881950479299</v>
      </c>
      <c r="AH300" s="265">
        <v>8800.8628088994901</v>
      </c>
      <c r="AI300" s="265">
        <v>23099.456534743993</v>
      </c>
      <c r="AJ300" s="266">
        <v>19927.539665048873</v>
      </c>
      <c r="AK300" s="265">
        <v>42630.38705350129</v>
      </c>
      <c r="AL300" s="265">
        <v>10775.447640334742</v>
      </c>
      <c r="AM300" s="265">
        <v>23104.608063855223</v>
      </c>
      <c r="AN300" s="265">
        <v>19931.983808595945</v>
      </c>
      <c r="AO300" s="266">
        <v>96442.426566287206</v>
      </c>
      <c r="AP300" s="203"/>
      <c r="AQ300" s="264">
        <v>41982.872661156915</v>
      </c>
      <c r="AR300" s="265">
        <v>10433.297759227004</v>
      </c>
      <c r="AS300" s="265">
        <v>22784.598147059198</v>
      </c>
      <c r="AT300" s="265">
        <v>19401.424225431514</v>
      </c>
      <c r="AU300" s="266">
        <v>94602.19279287463</v>
      </c>
      <c r="AV300" s="203"/>
      <c r="AW300" s="324">
        <v>93399.13495412175</v>
      </c>
      <c r="AX300" s="203"/>
      <c r="AY300" s="377">
        <v>0</v>
      </c>
      <c r="AZ300" s="265">
        <v>1203.0578387528803</v>
      </c>
      <c r="BA300" s="265">
        <v>93399.13495412175</v>
      </c>
      <c r="BB300" s="265">
        <v>914.17939619972128</v>
      </c>
      <c r="BC300" s="266">
        <v>92484.955557922032</v>
      </c>
      <c r="BD300" s="264">
        <v>924.84955557922035</v>
      </c>
      <c r="BE300" s="265">
        <v>91560.106002342814</v>
      </c>
      <c r="BF300" s="357">
        <v>0.98031000016560887</v>
      </c>
      <c r="BG300" s="203"/>
      <c r="BJ300" s="458">
        <v>0.98031000016560887</v>
      </c>
      <c r="BK300" s="210"/>
      <c r="BL300" s="458"/>
      <c r="BM300" s="458"/>
      <c r="BN300" s="458"/>
      <c r="BQ300" s="203">
        <v>91341.740349742104</v>
      </c>
      <c r="BR300" s="458">
        <v>0.97797201649254839</v>
      </c>
      <c r="BT300" s="459" t="s">
        <v>900</v>
      </c>
      <c r="BU300" s="460" t="s">
        <v>900</v>
      </c>
      <c r="BV300" s="461">
        <v>91560.106002342814</v>
      </c>
      <c r="BX300" s="462">
        <v>2631.0541665116325</v>
      </c>
      <c r="BY300" s="463">
        <v>2.9155947774064654E-2</v>
      </c>
      <c r="BZ300" s="461">
        <v>29.007526137906478</v>
      </c>
      <c r="CB300" s="203">
        <v>5241</v>
      </c>
      <c r="CC300" s="203">
        <v>6865.2177085572921</v>
      </c>
      <c r="CD300" s="203" t="e">
        <v>#VALUE!</v>
      </c>
      <c r="CE300" s="203" t="s">
        <v>900</v>
      </c>
      <c r="CF300" s="203" t="e">
        <v>#VALUE!</v>
      </c>
      <c r="CH300" s="199"/>
      <c r="CJ300" s="464" t="s">
        <v>1448</v>
      </c>
      <c r="CK300" s="464" t="s">
        <v>1447</v>
      </c>
      <c r="CL300" s="464" t="s">
        <v>1448</v>
      </c>
      <c r="CN300" s="464" t="s">
        <v>1447</v>
      </c>
      <c r="CO300" s="464" t="s">
        <v>1447</v>
      </c>
      <c r="CP300" s="464" t="s">
        <v>1447</v>
      </c>
      <c r="CQ300" s="464" t="s">
        <v>1447</v>
      </c>
      <c r="CS300" s="465">
        <v>0</v>
      </c>
      <c r="CT300" s="466">
        <v>0</v>
      </c>
      <c r="CU300" s="466">
        <v>0.95</v>
      </c>
      <c r="CV300" s="467">
        <v>0.95</v>
      </c>
    </row>
    <row r="301" spans="1:100" s="48" customFormat="1" outlineLevel="1" x14ac:dyDescent="0.3">
      <c r="A301" s="202">
        <v>78760000</v>
      </c>
      <c r="B301" s="48">
        <v>400401</v>
      </c>
      <c r="C301" s="48">
        <v>78882</v>
      </c>
      <c r="D301" s="48" t="s">
        <v>303</v>
      </c>
      <c r="E301" s="48" t="s">
        <v>7</v>
      </c>
      <c r="F301" s="48" t="s">
        <v>1498</v>
      </c>
      <c r="G301" s="48" t="s">
        <v>1502</v>
      </c>
      <c r="H301" s="48" t="s">
        <v>1523</v>
      </c>
      <c r="O301" s="454" t="s">
        <v>900</v>
      </c>
      <c r="P301" s="455" t="s">
        <v>900</v>
      </c>
      <c r="Q301" s="347" t="s">
        <v>900</v>
      </c>
      <c r="R301" s="455">
        <v>172</v>
      </c>
      <c r="S301" s="457">
        <v>136</v>
      </c>
      <c r="T301" s="455"/>
      <c r="U301" s="454">
        <v>172</v>
      </c>
      <c r="V301" s="455">
        <v>69.692290610700312</v>
      </c>
      <c r="W301" s="230">
        <v>0.40518773610872272</v>
      </c>
      <c r="X301" s="264" t="s">
        <v>900</v>
      </c>
      <c r="Y301" s="265" t="s">
        <v>900</v>
      </c>
      <c r="Z301" s="265" t="s">
        <v>900</v>
      </c>
      <c r="AA301" s="265" t="s">
        <v>900</v>
      </c>
      <c r="AB301" s="266" t="s">
        <v>900</v>
      </c>
      <c r="AC301" s="265">
        <v>32748.24827833438</v>
      </c>
      <c r="AD301" s="265">
        <v>6762.2448701148642</v>
      </c>
      <c r="AE301" s="265">
        <v>17748.734964549058</v>
      </c>
      <c r="AF301" s="266">
        <v>15311.555900828514</v>
      </c>
      <c r="AG301" s="265">
        <v>32748.24827833438</v>
      </c>
      <c r="AH301" s="265">
        <v>6762.2448701148642</v>
      </c>
      <c r="AI301" s="265">
        <v>17748.734964549058</v>
      </c>
      <c r="AJ301" s="266">
        <v>15311.555900828514</v>
      </c>
      <c r="AK301" s="265">
        <v>32757.753381356371</v>
      </c>
      <c r="AL301" s="265">
        <v>8736.8297015501157</v>
      </c>
      <c r="AM301" s="265">
        <v>17753.886493660288</v>
      </c>
      <c r="AN301" s="265">
        <v>15316.000044375587</v>
      </c>
      <c r="AO301" s="266">
        <v>74564.469620942356</v>
      </c>
      <c r="AP301" s="203"/>
      <c r="AQ301" s="264">
        <v>46241.828991420567</v>
      </c>
      <c r="AR301" s="265">
        <v>8845.5308994789902</v>
      </c>
      <c r="AS301" s="265">
        <v>23198.671082057295</v>
      </c>
      <c r="AT301" s="265">
        <v>21770.202764583035</v>
      </c>
      <c r="AU301" s="266">
        <v>100056.23373753989</v>
      </c>
      <c r="AV301" s="203"/>
      <c r="AW301" s="324">
        <v>104284.63760124877</v>
      </c>
      <c r="AX301" s="203"/>
      <c r="AY301" s="377">
        <v>0</v>
      </c>
      <c r="AZ301" s="265">
        <v>0</v>
      </c>
      <c r="BA301" s="265">
        <v>100056.23373753989</v>
      </c>
      <c r="BB301" s="265">
        <v>979.3382710571434</v>
      </c>
      <c r="BC301" s="266">
        <v>99076.895466482747</v>
      </c>
      <c r="BD301" s="264">
        <v>990.76895466482745</v>
      </c>
      <c r="BE301" s="265">
        <v>98086.126511817914</v>
      </c>
      <c r="BF301" s="357">
        <v>0.94056160876607742</v>
      </c>
      <c r="BG301" s="203"/>
      <c r="BJ301" s="458">
        <v>0.94056160876607742</v>
      </c>
      <c r="BK301" s="210"/>
      <c r="BL301" s="458"/>
      <c r="BM301" s="458"/>
      <c r="BN301" s="458"/>
      <c r="BQ301" s="203">
        <v>97852.196670951613</v>
      </c>
      <c r="BR301" s="458">
        <v>0.93831842274896937</v>
      </c>
      <c r="BT301" s="459" t="s">
        <v>900</v>
      </c>
      <c r="BU301" s="460" t="s">
        <v>900</v>
      </c>
      <c r="BV301" s="461">
        <v>98086.126511817914</v>
      </c>
      <c r="BX301" s="462">
        <v>26819.900262013238</v>
      </c>
      <c r="BY301" s="463">
        <v>0.37093032477104965</v>
      </c>
      <c r="BZ301" s="461">
        <v>384.83310028979594</v>
      </c>
      <c r="CB301" s="203" t="s">
        <v>900</v>
      </c>
      <c r="CC301" s="203">
        <v>1280.6982219676238</v>
      </c>
      <c r="CD301" s="203" t="e">
        <v>#VALUE!</v>
      </c>
      <c r="CE301" s="203" t="s">
        <v>900</v>
      </c>
      <c r="CF301" s="203" t="e">
        <v>#VALUE!</v>
      </c>
      <c r="CH301" s="199"/>
      <c r="CJ301" s="464" t="s">
        <v>1448</v>
      </c>
      <c r="CK301" s="464" t="s">
        <v>1447</v>
      </c>
      <c r="CL301" s="464" t="s">
        <v>1448</v>
      </c>
      <c r="CN301" s="464" t="s">
        <v>1447</v>
      </c>
      <c r="CO301" s="464" t="s">
        <v>1447</v>
      </c>
      <c r="CP301" s="464" t="s">
        <v>1447</v>
      </c>
      <c r="CQ301" s="464" t="s">
        <v>1447</v>
      </c>
      <c r="CS301" s="465">
        <v>0</v>
      </c>
      <c r="CT301" s="466">
        <v>0</v>
      </c>
      <c r="CU301" s="466">
        <v>0.95</v>
      </c>
      <c r="CV301" s="467">
        <v>0.95</v>
      </c>
    </row>
    <row r="302" spans="1:100" s="48" customFormat="1" outlineLevel="1" x14ac:dyDescent="0.3">
      <c r="A302" s="202">
        <v>78930000</v>
      </c>
      <c r="B302" s="48">
        <v>400340</v>
      </c>
      <c r="C302" s="48">
        <v>10760</v>
      </c>
      <c r="D302" s="48" t="s">
        <v>304</v>
      </c>
      <c r="E302" s="48" t="s">
        <v>7</v>
      </c>
      <c r="F302" s="48" t="s">
        <v>1498</v>
      </c>
      <c r="G302" s="48" t="s">
        <v>1499</v>
      </c>
      <c r="H302" s="48" t="s">
        <v>1516</v>
      </c>
      <c r="O302" s="454" t="s">
        <v>900</v>
      </c>
      <c r="P302" s="455" t="s">
        <v>900</v>
      </c>
      <c r="Q302" s="347" t="s">
        <v>900</v>
      </c>
      <c r="R302" s="455">
        <v>1064</v>
      </c>
      <c r="S302" s="457">
        <v>492</v>
      </c>
      <c r="T302" s="455"/>
      <c r="U302" s="454">
        <v>1064</v>
      </c>
      <c r="V302" s="455">
        <v>252.12211015047464</v>
      </c>
      <c r="W302" s="230">
        <v>0.23695687044217542</v>
      </c>
      <c r="X302" s="264" t="s">
        <v>900</v>
      </c>
      <c r="Y302" s="265" t="s">
        <v>900</v>
      </c>
      <c r="Z302" s="265" t="s">
        <v>900</v>
      </c>
      <c r="AA302" s="265" t="s">
        <v>900</v>
      </c>
      <c r="AB302" s="266" t="s">
        <v>900</v>
      </c>
      <c r="AC302" s="265">
        <v>118471.60406573907</v>
      </c>
      <c r="AD302" s="265">
        <v>24463.415265415533</v>
      </c>
      <c r="AE302" s="265">
        <v>64208.658842339239</v>
      </c>
      <c r="AF302" s="266">
        <v>55391.805170644329</v>
      </c>
      <c r="AG302" s="265">
        <v>118471.60406573907</v>
      </c>
      <c r="AH302" s="265">
        <v>24463.415265415533</v>
      </c>
      <c r="AI302" s="265">
        <v>64208.658842339239</v>
      </c>
      <c r="AJ302" s="266">
        <v>55391.805170644329</v>
      </c>
      <c r="AK302" s="265">
        <v>118481.10916876106</v>
      </c>
      <c r="AL302" s="265">
        <v>26438.000096850785</v>
      </c>
      <c r="AM302" s="265">
        <v>64213.810371450469</v>
      </c>
      <c r="AN302" s="265">
        <v>55396.249314191402</v>
      </c>
      <c r="AO302" s="266">
        <v>264529.16895125376</v>
      </c>
      <c r="AP302" s="203"/>
      <c r="AQ302" s="264">
        <v>118768.96216177789</v>
      </c>
      <c r="AR302" s="265">
        <v>25598.521414220126</v>
      </c>
      <c r="AS302" s="265">
        <v>63324.418261559178</v>
      </c>
      <c r="AT302" s="265">
        <v>57417.085170414735</v>
      </c>
      <c r="AU302" s="266">
        <v>265108.98700797197</v>
      </c>
      <c r="AV302" s="203"/>
      <c r="AW302" s="324">
        <v>285364.99819419766</v>
      </c>
      <c r="AX302" s="203"/>
      <c r="AY302" s="377">
        <v>0</v>
      </c>
      <c r="AZ302" s="265">
        <v>0</v>
      </c>
      <c r="BA302" s="265">
        <v>265108.98700797197</v>
      </c>
      <c r="BB302" s="265">
        <v>2594.8545860635113</v>
      </c>
      <c r="BC302" s="266">
        <v>262514.13242190843</v>
      </c>
      <c r="BD302" s="264">
        <v>2625.1413242190843</v>
      </c>
      <c r="BE302" s="265">
        <v>259888.99109768934</v>
      </c>
      <c r="BF302" s="357">
        <v>0.91072483570962937</v>
      </c>
      <c r="BG302" s="203"/>
      <c r="BJ302" s="458">
        <v>0.91072483570962937</v>
      </c>
      <c r="BK302" s="210"/>
      <c r="BL302" s="458"/>
      <c r="BM302" s="458"/>
      <c r="BN302" s="458"/>
      <c r="BQ302" s="203">
        <v>259269.17061448307</v>
      </c>
      <c r="BR302" s="458">
        <v>0.90855280870166233</v>
      </c>
      <c r="BT302" s="459" t="s">
        <v>900</v>
      </c>
      <c r="BU302" s="460" t="s">
        <v>900</v>
      </c>
      <c r="BV302" s="461">
        <v>259888.99109768934</v>
      </c>
      <c r="BX302" s="462">
        <v>3084.2239326748531</v>
      </c>
      <c r="BY302" s="463">
        <v>1.1830900405357062E-2</v>
      </c>
      <c r="BZ302" s="461">
        <v>12.233056160104674</v>
      </c>
      <c r="CB302" s="203" t="s">
        <v>900</v>
      </c>
      <c r="CC302" s="203">
        <v>5082.4829987223529</v>
      </c>
      <c r="CD302" s="203" t="e">
        <v>#VALUE!</v>
      </c>
      <c r="CE302" s="203" t="s">
        <v>900</v>
      </c>
      <c r="CF302" s="203" t="e">
        <v>#VALUE!</v>
      </c>
      <c r="CH302" s="199"/>
      <c r="CJ302" s="464" t="s">
        <v>1448</v>
      </c>
      <c r="CK302" s="464" t="s">
        <v>1447</v>
      </c>
      <c r="CL302" s="464" t="s">
        <v>1448</v>
      </c>
      <c r="CN302" s="464" t="s">
        <v>1447</v>
      </c>
      <c r="CO302" s="464" t="s">
        <v>1447</v>
      </c>
      <c r="CP302" s="464" t="s">
        <v>1447</v>
      </c>
      <c r="CQ302" s="464" t="s">
        <v>1447</v>
      </c>
      <c r="CS302" s="465">
        <v>0</v>
      </c>
      <c r="CT302" s="466">
        <v>0.9</v>
      </c>
      <c r="CU302" s="466">
        <v>0</v>
      </c>
      <c r="CV302" s="467">
        <v>0.9</v>
      </c>
    </row>
    <row r="303" spans="1:100" s="48" customFormat="1" outlineLevel="1" x14ac:dyDescent="0.3">
      <c r="A303" s="202">
        <v>78261000</v>
      </c>
      <c r="B303" s="48" t="e">
        <v>#N/A</v>
      </c>
      <c r="C303" s="48">
        <v>92374</v>
      </c>
      <c r="D303" s="48" t="s">
        <v>305</v>
      </c>
      <c r="E303" s="48" t="s">
        <v>7</v>
      </c>
      <c r="F303" s="48" t="s">
        <v>1498</v>
      </c>
      <c r="G303" s="48" t="s">
        <v>1499</v>
      </c>
      <c r="H303" s="48" t="s">
        <v>900</v>
      </c>
      <c r="O303" s="454" t="s">
        <v>900</v>
      </c>
      <c r="P303" s="455" t="s">
        <v>900</v>
      </c>
      <c r="Q303" s="347" t="s">
        <v>900</v>
      </c>
      <c r="R303" s="455">
        <v>281</v>
      </c>
      <c r="S303" s="457">
        <v>185</v>
      </c>
      <c r="T303" s="455"/>
      <c r="U303" s="454">
        <v>281</v>
      </c>
      <c r="V303" s="455">
        <v>94.802012963084977</v>
      </c>
      <c r="W303" s="230">
        <v>0.33737371161240204</v>
      </c>
      <c r="X303" s="264" t="s">
        <v>900</v>
      </c>
      <c r="Y303" s="265" t="s">
        <v>900</v>
      </c>
      <c r="Z303" s="265" t="s">
        <v>900</v>
      </c>
      <c r="AA303" s="265" t="s">
        <v>900</v>
      </c>
      <c r="AB303" s="266" t="s">
        <v>900</v>
      </c>
      <c r="AC303" s="265">
        <v>44547.249496263677</v>
      </c>
      <c r="AD303" s="265">
        <v>9198.6419189062472</v>
      </c>
      <c r="AE303" s="265">
        <v>24143.499767952762</v>
      </c>
      <c r="AF303" s="266">
        <v>20828.219423921139</v>
      </c>
      <c r="AG303" s="265">
        <v>44547.249496263677</v>
      </c>
      <c r="AH303" s="265">
        <v>9198.6419189062472</v>
      </c>
      <c r="AI303" s="265">
        <v>24143.499767952762</v>
      </c>
      <c r="AJ303" s="266">
        <v>20828.219423921139</v>
      </c>
      <c r="AK303" s="265">
        <v>44556.754599285669</v>
      </c>
      <c r="AL303" s="265">
        <v>11173.226750341499</v>
      </c>
      <c r="AM303" s="265">
        <v>24148.651297063992</v>
      </c>
      <c r="AN303" s="265">
        <v>20832.663567468211</v>
      </c>
      <c r="AO303" s="266">
        <v>100711.29621415937</v>
      </c>
      <c r="AP303" s="203"/>
      <c r="AQ303" s="264">
        <v>45293.741477206539</v>
      </c>
      <c r="AR303" s="265">
        <v>10818.446296496671</v>
      </c>
      <c r="AS303" s="265">
        <v>24015.40349958642</v>
      </c>
      <c r="AT303" s="265">
        <v>23138.67596059982</v>
      </c>
      <c r="AU303" s="266">
        <v>103266.26723388946</v>
      </c>
      <c r="AV303" s="203"/>
      <c r="AW303" s="324">
        <v>100762.94581542881</v>
      </c>
      <c r="AX303" s="203"/>
      <c r="AY303" s="377">
        <v>0</v>
      </c>
      <c r="AZ303" s="265">
        <v>2503.3214184606477</v>
      </c>
      <c r="BA303" s="265">
        <v>100762.94581542881</v>
      </c>
      <c r="BB303" s="265">
        <v>986.25548309523037</v>
      </c>
      <c r="BC303" s="266">
        <v>99776.690332333586</v>
      </c>
      <c r="BD303" s="264">
        <v>997.7669033233359</v>
      </c>
      <c r="BE303" s="265">
        <v>98778.923429010247</v>
      </c>
      <c r="BF303" s="357">
        <v>0.98031000016560876</v>
      </c>
      <c r="BG303" s="203"/>
      <c r="BJ303" s="458">
        <v>0.98031000016560876</v>
      </c>
      <c r="BK303" s="210"/>
      <c r="BL303" s="458"/>
      <c r="BM303" s="458"/>
      <c r="BN303" s="458"/>
      <c r="BQ303" s="203">
        <v>98543.34130684429</v>
      </c>
      <c r="BR303" s="458">
        <v>0.97797201649254817</v>
      </c>
      <c r="BT303" s="459" t="s">
        <v>900</v>
      </c>
      <c r="BU303" s="460" t="s">
        <v>900</v>
      </c>
      <c r="BV303" s="461">
        <v>98778.923429010247</v>
      </c>
      <c r="BX303" s="462">
        <v>1975.0890195278189</v>
      </c>
      <c r="BY303" s="463">
        <v>2.0105920490051572E-2</v>
      </c>
      <c r="BZ303" s="461">
        <v>20.833829976763258</v>
      </c>
      <c r="CB303" s="203" t="s">
        <v>900</v>
      </c>
      <c r="CC303" s="203">
        <v>1789.9651912194956</v>
      </c>
      <c r="CD303" s="203" t="e">
        <v>#VALUE!</v>
      </c>
      <c r="CE303" s="203" t="s">
        <v>900</v>
      </c>
      <c r="CF303" s="203" t="e">
        <v>#VALUE!</v>
      </c>
      <c r="CH303" s="199"/>
      <c r="CJ303" s="464" t="s">
        <v>1448</v>
      </c>
      <c r="CK303" s="464" t="s">
        <v>1447</v>
      </c>
      <c r="CL303" s="464" t="s">
        <v>1448</v>
      </c>
      <c r="CN303" s="464" t="s">
        <v>1447</v>
      </c>
      <c r="CO303" s="464" t="s">
        <v>1447</v>
      </c>
      <c r="CP303" s="464" t="s">
        <v>1447</v>
      </c>
      <c r="CQ303" s="464" t="s">
        <v>1447</v>
      </c>
      <c r="CS303" s="465">
        <v>0</v>
      </c>
      <c r="CT303" s="466">
        <v>0</v>
      </c>
      <c r="CU303" s="466">
        <v>0.95</v>
      </c>
      <c r="CV303" s="467">
        <v>0.95</v>
      </c>
    </row>
    <row r="304" spans="1:100" s="48" customFormat="1" outlineLevel="1" x14ac:dyDescent="0.3">
      <c r="A304" s="202">
        <v>78945000</v>
      </c>
      <c r="B304" s="48">
        <v>400303</v>
      </c>
      <c r="C304" s="48">
        <v>79701</v>
      </c>
      <c r="D304" s="48" t="s">
        <v>307</v>
      </c>
      <c r="E304" s="48" t="s">
        <v>7</v>
      </c>
      <c r="F304" s="48" t="s">
        <v>1498</v>
      </c>
      <c r="G304" s="48" t="s">
        <v>1499</v>
      </c>
      <c r="H304" s="48" t="s">
        <v>1523</v>
      </c>
      <c r="O304" s="454" t="s">
        <v>900</v>
      </c>
      <c r="P304" s="455" t="s">
        <v>900</v>
      </c>
      <c r="Q304" s="347" t="s">
        <v>900</v>
      </c>
      <c r="R304" s="455">
        <v>112</v>
      </c>
      <c r="S304" s="457">
        <v>46</v>
      </c>
      <c r="T304" s="455"/>
      <c r="U304" s="454">
        <v>112</v>
      </c>
      <c r="V304" s="455">
        <v>23.572392412442753</v>
      </c>
      <c r="W304" s="230">
        <v>0.2104677893968103</v>
      </c>
      <c r="X304" s="264" t="s">
        <v>900</v>
      </c>
      <c r="Y304" s="265" t="s">
        <v>900</v>
      </c>
      <c r="Z304" s="265" t="s">
        <v>900</v>
      </c>
      <c r="AA304" s="265" t="s">
        <v>900</v>
      </c>
      <c r="AB304" s="266" t="s">
        <v>900</v>
      </c>
      <c r="AC304" s="265">
        <v>11076.613388260157</v>
      </c>
      <c r="AD304" s="265">
        <v>2287.2298825388511</v>
      </c>
      <c r="AE304" s="265">
        <v>6003.2485909504176</v>
      </c>
      <c r="AF304" s="266">
        <v>5178.9086135155267</v>
      </c>
      <c r="AG304" s="265">
        <v>11076.613388260157</v>
      </c>
      <c r="AH304" s="265">
        <v>2287.2298825388511</v>
      </c>
      <c r="AI304" s="265">
        <v>6003.2485909504176</v>
      </c>
      <c r="AJ304" s="266">
        <v>5178.9086135155267</v>
      </c>
      <c r="AK304" s="265">
        <v>11086.118491282148</v>
      </c>
      <c r="AL304" s="265">
        <v>4261.8147139741022</v>
      </c>
      <c r="AM304" s="265">
        <v>6008.4001200616467</v>
      </c>
      <c r="AN304" s="265">
        <v>5183.3527570625984</v>
      </c>
      <c r="AO304" s="266">
        <v>26539.686082380496</v>
      </c>
      <c r="AP304" s="203"/>
      <c r="AQ304" s="264">
        <v>10917.731062161898</v>
      </c>
      <c r="AR304" s="265">
        <v>4126.4904614362149</v>
      </c>
      <c r="AS304" s="265">
        <v>5925.1808930925426</v>
      </c>
      <c r="AT304" s="265">
        <v>4975.1276705874388</v>
      </c>
      <c r="AU304" s="266">
        <v>25944.530087278094</v>
      </c>
      <c r="AV304" s="203"/>
      <c r="AW304" s="324">
        <v>15913.817589814586</v>
      </c>
      <c r="AX304" s="203"/>
      <c r="AY304" s="377">
        <v>0</v>
      </c>
      <c r="AZ304" s="265">
        <v>2447.5322149552994</v>
      </c>
      <c r="BA304" s="265">
        <v>23496.997872322794</v>
      </c>
      <c r="BB304" s="265">
        <v>229.98576312272627</v>
      </c>
      <c r="BC304" s="266">
        <v>23267.012109200066</v>
      </c>
      <c r="BD304" s="264">
        <v>232.67012109200067</v>
      </c>
      <c r="BE304" s="265">
        <v>23034.341988108066</v>
      </c>
      <c r="BF304" s="357">
        <v>1.4474428815151728</v>
      </c>
      <c r="BG304" s="203"/>
      <c r="BJ304" s="458">
        <v>1.4474428815151728</v>
      </c>
      <c r="BK304" s="210"/>
      <c r="BL304" s="458"/>
      <c r="BM304" s="458"/>
      <c r="BN304" s="458"/>
      <c r="BQ304" s="203">
        <v>22979.406390716638</v>
      </c>
      <c r="BR304" s="458">
        <v>1.4439908124512049</v>
      </c>
      <c r="BT304" s="459" t="s">
        <v>900</v>
      </c>
      <c r="BU304" s="460" t="s">
        <v>900</v>
      </c>
      <c r="BV304" s="461">
        <v>23034.341988108066</v>
      </c>
      <c r="BX304" s="462">
        <v>-351.65674239504733</v>
      </c>
      <c r="BY304" s="463">
        <v>-1.4843380896107122E-2</v>
      </c>
      <c r="BZ304" s="461">
        <v>-14.91816088253411</v>
      </c>
      <c r="CB304" s="203">
        <v>1943</v>
      </c>
      <c r="CC304" s="203">
        <v>2430.927338603979</v>
      </c>
      <c r="CD304" s="203" t="e">
        <v>#VALUE!</v>
      </c>
      <c r="CE304" s="203" t="s">
        <v>900</v>
      </c>
      <c r="CF304" s="203" t="e">
        <v>#VALUE!</v>
      </c>
      <c r="CH304" s="199"/>
      <c r="CJ304" s="464" t="s">
        <v>1448</v>
      </c>
      <c r="CK304" s="464" t="s">
        <v>1447</v>
      </c>
      <c r="CL304" s="464" t="s">
        <v>1448</v>
      </c>
      <c r="CN304" s="464" t="s">
        <v>1447</v>
      </c>
      <c r="CO304" s="464" t="s">
        <v>1447</v>
      </c>
      <c r="CP304" s="464" t="s">
        <v>1447</v>
      </c>
      <c r="CQ304" s="464" t="s">
        <v>1447</v>
      </c>
      <c r="CS304" s="465">
        <v>0</v>
      </c>
      <c r="CT304" s="466">
        <v>0.9</v>
      </c>
      <c r="CU304" s="466">
        <v>0</v>
      </c>
      <c r="CV304" s="467">
        <v>0.9</v>
      </c>
    </row>
    <row r="305" spans="1:100" s="48" customFormat="1" outlineLevel="1" x14ac:dyDescent="0.3">
      <c r="A305" s="202">
        <v>78907000</v>
      </c>
      <c r="B305" s="48">
        <v>400239</v>
      </c>
      <c r="C305" s="48">
        <v>6235</v>
      </c>
      <c r="D305" s="48" t="s">
        <v>314</v>
      </c>
      <c r="E305" s="48" t="s">
        <v>7</v>
      </c>
      <c r="F305" s="48" t="s">
        <v>1534</v>
      </c>
      <c r="G305" s="48" t="s">
        <v>1502</v>
      </c>
      <c r="H305" s="48" t="s">
        <v>1506</v>
      </c>
      <c r="O305" s="454" t="s">
        <v>900</v>
      </c>
      <c r="P305" s="455" t="s">
        <v>900</v>
      </c>
      <c r="Q305" s="347" t="s">
        <v>900</v>
      </c>
      <c r="R305" s="455">
        <v>1134</v>
      </c>
      <c r="S305" s="457">
        <v>901</v>
      </c>
      <c r="T305" s="455"/>
      <c r="U305" s="454">
        <v>1134</v>
      </c>
      <c r="V305" s="455">
        <v>461.71142529588957</v>
      </c>
      <c r="W305" s="230">
        <v>0.40715293235969097</v>
      </c>
      <c r="X305" s="264" t="s">
        <v>900</v>
      </c>
      <c r="Y305" s="265" t="s">
        <v>900</v>
      </c>
      <c r="Z305" s="265" t="s">
        <v>900</v>
      </c>
      <c r="AA305" s="265" t="s">
        <v>900</v>
      </c>
      <c r="AB305" s="266" t="s">
        <v>900</v>
      </c>
      <c r="AC305" s="265">
        <v>216957.14484396527</v>
      </c>
      <c r="AD305" s="265">
        <v>44799.872264510974</v>
      </c>
      <c r="AE305" s="265">
        <v>117585.36914013753</v>
      </c>
      <c r="AF305" s="266">
        <v>101439.05784298891</v>
      </c>
      <c r="AG305" s="265">
        <v>216957.14484396527</v>
      </c>
      <c r="AH305" s="265">
        <v>44799.872264510974</v>
      </c>
      <c r="AI305" s="265">
        <v>117585.36914013753</v>
      </c>
      <c r="AJ305" s="266">
        <v>101439.05784298891</v>
      </c>
      <c r="AK305" s="265">
        <v>216966.64994698725</v>
      </c>
      <c r="AL305" s="265">
        <v>46774.457095946222</v>
      </c>
      <c r="AM305" s="265">
        <v>117590.52066924876</v>
      </c>
      <c r="AN305" s="265">
        <v>101443.50198653598</v>
      </c>
      <c r="AO305" s="266">
        <v>482775.1296987182</v>
      </c>
      <c r="AP305" s="203"/>
      <c r="AQ305" s="264">
        <v>222480.60603174445</v>
      </c>
      <c r="AR305" s="265">
        <v>46100.040399468686</v>
      </c>
      <c r="AS305" s="265">
        <v>117962.46789136711</v>
      </c>
      <c r="AT305" s="265">
        <v>113656.02581268358</v>
      </c>
      <c r="AU305" s="266">
        <v>500199.14013526379</v>
      </c>
      <c r="AV305" s="203"/>
      <c r="AW305" s="324">
        <v>492187.26624331728</v>
      </c>
      <c r="AX305" s="203"/>
      <c r="AY305" s="377">
        <v>0</v>
      </c>
      <c r="AZ305" s="265">
        <v>8011.8738919465104</v>
      </c>
      <c r="BA305" s="265">
        <v>492187.26624331728</v>
      </c>
      <c r="BB305" s="265">
        <v>4817.4692205931487</v>
      </c>
      <c r="BC305" s="266">
        <v>487369.79702272412</v>
      </c>
      <c r="BD305" s="264">
        <v>4873.6979702272411</v>
      </c>
      <c r="BE305" s="265">
        <v>482496.09905249689</v>
      </c>
      <c r="BF305" s="357">
        <v>0.98031000016560876</v>
      </c>
      <c r="BG305" s="203"/>
      <c r="BJ305" s="458">
        <v>0.98031000016560876</v>
      </c>
      <c r="BK305" s="210"/>
      <c r="BL305" s="458"/>
      <c r="BM305" s="458"/>
      <c r="BN305" s="458"/>
      <c r="BQ305" s="203">
        <v>481345.37325993169</v>
      </c>
      <c r="BR305" s="458">
        <v>0.97797201649254817</v>
      </c>
      <c r="BT305" s="459" t="s">
        <v>900</v>
      </c>
      <c r="BU305" s="460" t="s">
        <v>900</v>
      </c>
      <c r="BV305" s="461">
        <v>482496.09905249689</v>
      </c>
      <c r="BX305" s="462">
        <v>12530.480105682276</v>
      </c>
      <c r="BY305" s="463">
        <v>2.6262381847114654E-2</v>
      </c>
      <c r="BZ305" s="461">
        <v>27.139203015502744</v>
      </c>
      <c r="CB305" s="203">
        <v>4097</v>
      </c>
      <c r="CC305" s="203">
        <v>12576.031048524857</v>
      </c>
      <c r="CD305" s="203" t="e">
        <v>#VALUE!</v>
      </c>
      <c r="CE305" s="203" t="s">
        <v>900</v>
      </c>
      <c r="CF305" s="203" t="e">
        <v>#VALUE!</v>
      </c>
      <c r="CH305" s="199"/>
      <c r="CJ305" s="464" t="s">
        <v>1448</v>
      </c>
      <c r="CK305" s="464" t="s">
        <v>1447</v>
      </c>
      <c r="CL305" s="464" t="s">
        <v>1448</v>
      </c>
      <c r="CN305" s="464" t="s">
        <v>1447</v>
      </c>
      <c r="CO305" s="464" t="s">
        <v>1447</v>
      </c>
      <c r="CP305" s="464" t="s">
        <v>1447</v>
      </c>
      <c r="CQ305" s="464" t="s">
        <v>1447</v>
      </c>
      <c r="CS305" s="465">
        <v>0</v>
      </c>
      <c r="CT305" s="466">
        <v>0</v>
      </c>
      <c r="CU305" s="466">
        <v>0.95</v>
      </c>
      <c r="CV305" s="467">
        <v>0.95</v>
      </c>
    </row>
    <row r="306" spans="1:100" s="48" customFormat="1" outlineLevel="1" x14ac:dyDescent="0.3">
      <c r="A306" s="202">
        <v>78940000</v>
      </c>
      <c r="B306" s="48">
        <v>400290</v>
      </c>
      <c r="C306" s="48">
        <v>79578</v>
      </c>
      <c r="D306" s="48" t="s">
        <v>320</v>
      </c>
      <c r="E306" s="48" t="s">
        <v>7</v>
      </c>
      <c r="F306" s="48" t="s">
        <v>1503</v>
      </c>
      <c r="G306" s="48" t="s">
        <v>1502</v>
      </c>
      <c r="H306" s="48" t="s">
        <v>1527</v>
      </c>
      <c r="O306" s="454" t="s">
        <v>900</v>
      </c>
      <c r="P306" s="455" t="s">
        <v>900</v>
      </c>
      <c r="Q306" s="347" t="s">
        <v>900</v>
      </c>
      <c r="R306" s="455">
        <v>684</v>
      </c>
      <c r="S306" s="457">
        <v>663</v>
      </c>
      <c r="T306" s="455"/>
      <c r="U306" s="454">
        <v>684</v>
      </c>
      <c r="V306" s="455">
        <v>339.74991672716402</v>
      </c>
      <c r="W306" s="230">
        <v>0.49671040457187721</v>
      </c>
      <c r="X306" s="264" t="s">
        <v>900</v>
      </c>
      <c r="Y306" s="265" t="s">
        <v>900</v>
      </c>
      <c r="Z306" s="265" t="s">
        <v>900</v>
      </c>
      <c r="AA306" s="265" t="s">
        <v>900</v>
      </c>
      <c r="AB306" s="266" t="s">
        <v>900</v>
      </c>
      <c r="AC306" s="265">
        <v>159647.7103568801</v>
      </c>
      <c r="AD306" s="265">
        <v>32965.943741809962</v>
      </c>
      <c r="AE306" s="265">
        <v>86525.082952176672</v>
      </c>
      <c r="AF306" s="266">
        <v>74643.835016539015</v>
      </c>
      <c r="AG306" s="265">
        <v>159647.7103568801</v>
      </c>
      <c r="AH306" s="265">
        <v>32965.943741809962</v>
      </c>
      <c r="AI306" s="265">
        <v>86525.082952176672</v>
      </c>
      <c r="AJ306" s="266">
        <v>74643.835016539015</v>
      </c>
      <c r="AK306" s="265">
        <v>159657.21545990207</v>
      </c>
      <c r="AL306" s="265">
        <v>34940.52857324521</v>
      </c>
      <c r="AM306" s="265">
        <v>86530.234481287902</v>
      </c>
      <c r="AN306" s="265">
        <v>74648.27916008608</v>
      </c>
      <c r="AO306" s="266">
        <v>355776.25767452124</v>
      </c>
      <c r="AP306" s="203"/>
      <c r="AQ306" s="264">
        <v>178183.88989310997</v>
      </c>
      <c r="AR306" s="265">
        <v>37063.868864262957</v>
      </c>
      <c r="AS306" s="265">
        <v>94475.701793421933</v>
      </c>
      <c r="AT306" s="265">
        <v>91026.688349662625</v>
      </c>
      <c r="AU306" s="266">
        <v>400750.14890045748</v>
      </c>
      <c r="AV306" s="203"/>
      <c r="AW306" s="324">
        <v>394331.18613634497</v>
      </c>
      <c r="AX306" s="203"/>
      <c r="AY306" s="377">
        <v>0</v>
      </c>
      <c r="AZ306" s="265">
        <v>6418.9627641125116</v>
      </c>
      <c r="BA306" s="265">
        <v>394331.18613634497</v>
      </c>
      <c r="BB306" s="265">
        <v>3859.6657862186676</v>
      </c>
      <c r="BC306" s="266">
        <v>390471.52035012632</v>
      </c>
      <c r="BD306" s="264">
        <v>3904.7152035012632</v>
      </c>
      <c r="BE306" s="265">
        <v>386566.80514662503</v>
      </c>
      <c r="BF306" s="357">
        <v>0.98031000016560876</v>
      </c>
      <c r="BG306" s="203"/>
      <c r="BJ306" s="458">
        <v>0.98031000016560876</v>
      </c>
      <c r="BK306" s="210"/>
      <c r="BL306" s="458"/>
      <c r="BM306" s="458"/>
      <c r="BN306" s="458"/>
      <c r="BQ306" s="203">
        <v>385644.86527165963</v>
      </c>
      <c r="BR306" s="458">
        <v>0.97797201649254817</v>
      </c>
      <c r="BT306" s="459" t="s">
        <v>900</v>
      </c>
      <c r="BU306" s="460" t="s">
        <v>900</v>
      </c>
      <c r="BV306" s="461">
        <v>386566.80514662503</v>
      </c>
      <c r="BX306" s="462">
        <v>40640.99726110237</v>
      </c>
      <c r="BY306" s="463">
        <v>0.11572634437604595</v>
      </c>
      <c r="BZ306" s="461">
        <v>119.62033030824581</v>
      </c>
      <c r="CB306" s="203" t="s">
        <v>900</v>
      </c>
      <c r="CC306" s="203">
        <v>6086.2444092475071</v>
      </c>
      <c r="CD306" s="203" t="e">
        <v>#VALUE!</v>
      </c>
      <c r="CE306" s="203" t="s">
        <v>900</v>
      </c>
      <c r="CF306" s="203" t="e">
        <v>#VALUE!</v>
      </c>
      <c r="CH306" s="199"/>
      <c r="CJ306" s="464" t="s">
        <v>1448</v>
      </c>
      <c r="CK306" s="464" t="s">
        <v>1447</v>
      </c>
      <c r="CL306" s="464" t="s">
        <v>1448</v>
      </c>
      <c r="CN306" s="464" t="s">
        <v>1447</v>
      </c>
      <c r="CO306" s="464" t="s">
        <v>1447</v>
      </c>
      <c r="CP306" s="464" t="s">
        <v>1447</v>
      </c>
      <c r="CQ306" s="464" t="s">
        <v>1447</v>
      </c>
      <c r="CS306" s="465">
        <v>0</v>
      </c>
      <c r="CT306" s="466">
        <v>0</v>
      </c>
      <c r="CU306" s="466">
        <v>0.95</v>
      </c>
      <c r="CV306" s="467">
        <v>0.95</v>
      </c>
    </row>
    <row r="307" spans="1:100" s="48" customFormat="1" outlineLevel="1" x14ac:dyDescent="0.3">
      <c r="A307" s="202">
        <v>78912000</v>
      </c>
      <c r="B307" s="48">
        <v>400241</v>
      </c>
      <c r="C307" s="48">
        <v>5180</v>
      </c>
      <c r="D307" s="48" t="s">
        <v>322</v>
      </c>
      <c r="E307" s="48" t="s">
        <v>7</v>
      </c>
      <c r="F307" s="48" t="s">
        <v>1498</v>
      </c>
      <c r="G307" s="48" t="s">
        <v>1502</v>
      </c>
      <c r="H307" s="48" t="s">
        <v>1512</v>
      </c>
      <c r="O307" s="454" t="s">
        <v>900</v>
      </c>
      <c r="P307" s="455" t="s">
        <v>900</v>
      </c>
      <c r="Q307" s="347" t="s">
        <v>900</v>
      </c>
      <c r="R307" s="455">
        <v>1951</v>
      </c>
      <c r="S307" s="457">
        <v>464</v>
      </c>
      <c r="T307" s="455"/>
      <c r="U307" s="454">
        <v>1951</v>
      </c>
      <c r="V307" s="455">
        <v>237.77369737768342</v>
      </c>
      <c r="W307" s="230">
        <v>0.12187273058825393</v>
      </c>
      <c r="X307" s="264" t="s">
        <v>900</v>
      </c>
      <c r="Y307" s="265" t="s">
        <v>900</v>
      </c>
      <c r="Z307" s="265" t="s">
        <v>900</v>
      </c>
      <c r="AA307" s="265" t="s">
        <v>900</v>
      </c>
      <c r="AB307" s="266" t="s">
        <v>900</v>
      </c>
      <c r="AC307" s="265">
        <v>111729.31765549377</v>
      </c>
      <c r="AD307" s="265">
        <v>23071.18838039189</v>
      </c>
      <c r="AE307" s="265">
        <v>60554.507526108559</v>
      </c>
      <c r="AF307" s="266">
        <v>52239.426014591401</v>
      </c>
      <c r="AG307" s="265">
        <v>111729.31765549377</v>
      </c>
      <c r="AH307" s="265" t="s">
        <v>900</v>
      </c>
      <c r="AI307" s="265">
        <v>60554.507526108559</v>
      </c>
      <c r="AJ307" s="266">
        <v>52239.426014591401</v>
      </c>
      <c r="AK307" s="265">
        <v>111738.82275851576</v>
      </c>
      <c r="AL307" s="265" t="s">
        <v>900</v>
      </c>
      <c r="AM307" s="265">
        <v>60559.659055219789</v>
      </c>
      <c r="AN307" s="265">
        <v>52243.870158138474</v>
      </c>
      <c r="AO307" s="266">
        <v>224542.35197187404</v>
      </c>
      <c r="AP307" s="203"/>
      <c r="AQ307" s="264">
        <v>110041.61799635974</v>
      </c>
      <c r="AR307" s="265">
        <v>0</v>
      </c>
      <c r="AS307" s="265">
        <v>59720.878695825857</v>
      </c>
      <c r="AT307" s="265">
        <v>50145.135055332117</v>
      </c>
      <c r="AU307" s="266">
        <v>219907.63174751771</v>
      </c>
      <c r="AV307" s="203"/>
      <c r="AW307" s="324">
        <v>217364.90536611821</v>
      </c>
      <c r="AX307" s="203"/>
      <c r="AY307" s="377">
        <v>0</v>
      </c>
      <c r="AZ307" s="265">
        <v>2542.7263813994941</v>
      </c>
      <c r="BA307" s="265">
        <v>217364.90536611821</v>
      </c>
      <c r="BB307" s="265">
        <v>2127.5413101011627</v>
      </c>
      <c r="BC307" s="266">
        <v>215237.36405601705</v>
      </c>
      <c r="BD307" s="264">
        <v>2152.3736405601703</v>
      </c>
      <c r="BE307" s="265">
        <v>213084.99041545688</v>
      </c>
      <c r="BF307" s="357">
        <v>0.98031000016560876</v>
      </c>
      <c r="BG307" s="203"/>
      <c r="BJ307" s="458">
        <v>0.98031000016560876</v>
      </c>
      <c r="BK307" s="210"/>
      <c r="BL307" s="458"/>
      <c r="BM307" s="458"/>
      <c r="BN307" s="458"/>
      <c r="BQ307" s="203">
        <v>212576.79481561453</v>
      </c>
      <c r="BR307" s="458">
        <v>0.97797201649254817</v>
      </c>
      <c r="BT307" s="459" t="s">
        <v>900</v>
      </c>
      <c r="BU307" s="460" t="s">
        <v>900</v>
      </c>
      <c r="BV307" s="461">
        <v>213084.99041545688</v>
      </c>
      <c r="BX307" s="462">
        <v>-6224.7218345310539</v>
      </c>
      <c r="BY307" s="463">
        <v>-2.7953842618368113E-2</v>
      </c>
      <c r="BZ307" s="461">
        <v>-26.179185936801115</v>
      </c>
      <c r="CB307" s="203">
        <v>6602</v>
      </c>
      <c r="CC307" s="203">
        <v>12359.099159429799</v>
      </c>
      <c r="CD307" s="203" t="e">
        <v>#VALUE!</v>
      </c>
      <c r="CE307" s="203" t="s">
        <v>900</v>
      </c>
      <c r="CF307" s="203" t="e">
        <v>#VALUE!</v>
      </c>
      <c r="CH307" s="199"/>
      <c r="CJ307" s="464" t="s">
        <v>1448</v>
      </c>
      <c r="CK307" s="464" t="s">
        <v>1447</v>
      </c>
      <c r="CL307" s="464" t="s">
        <v>1448</v>
      </c>
      <c r="CN307" s="464" t="s">
        <v>1447</v>
      </c>
      <c r="CO307" s="464" t="s">
        <v>1448</v>
      </c>
      <c r="CP307" s="464" t="s">
        <v>1447</v>
      </c>
      <c r="CQ307" s="464" t="s">
        <v>1447</v>
      </c>
      <c r="CS307" s="465">
        <v>0.85</v>
      </c>
      <c r="CT307" s="466">
        <v>0</v>
      </c>
      <c r="CU307" s="466">
        <v>0</v>
      </c>
      <c r="CV307" s="467">
        <v>0.85</v>
      </c>
    </row>
    <row r="308" spans="1:100" s="48" customFormat="1" outlineLevel="1" x14ac:dyDescent="0.3">
      <c r="A308" s="202">
        <v>78905000</v>
      </c>
      <c r="B308" s="48">
        <v>400237</v>
      </c>
      <c r="C308" s="48">
        <v>79205</v>
      </c>
      <c r="D308" s="48" t="s">
        <v>323</v>
      </c>
      <c r="E308" s="48" t="s">
        <v>7</v>
      </c>
      <c r="F308" s="48" t="s">
        <v>1498</v>
      </c>
      <c r="G308" s="48" t="s">
        <v>1499</v>
      </c>
      <c r="H308" s="48" t="s">
        <v>1517</v>
      </c>
      <c r="O308" s="454" t="s">
        <v>900</v>
      </c>
      <c r="P308" s="455" t="s">
        <v>900</v>
      </c>
      <c r="Q308" s="347" t="s">
        <v>900</v>
      </c>
      <c r="R308" s="455">
        <v>338</v>
      </c>
      <c r="S308" s="457">
        <v>176</v>
      </c>
      <c r="T308" s="455"/>
      <c r="U308" s="454">
        <v>338</v>
      </c>
      <c r="V308" s="455">
        <v>90.190023143259225</v>
      </c>
      <c r="W308" s="230">
        <v>0.26683438799780834</v>
      </c>
      <c r="X308" s="264" t="s">
        <v>900</v>
      </c>
      <c r="Y308" s="265" t="s">
        <v>900</v>
      </c>
      <c r="Z308" s="265" t="s">
        <v>900</v>
      </c>
      <c r="AA308" s="265" t="s">
        <v>900</v>
      </c>
      <c r="AB308" s="266" t="s">
        <v>900</v>
      </c>
      <c r="AC308" s="265">
        <v>42380.086007256257</v>
      </c>
      <c r="AD308" s="265">
        <v>8751.1404201486475</v>
      </c>
      <c r="AE308" s="265">
        <v>22968.951130592901</v>
      </c>
      <c r="AF308" s="266">
        <v>19814.954695189841</v>
      </c>
      <c r="AG308" s="265">
        <v>42380.086007256257</v>
      </c>
      <c r="AH308" s="265">
        <v>8751.1404201486475</v>
      </c>
      <c r="AI308" s="265">
        <v>22968.951130592901</v>
      </c>
      <c r="AJ308" s="266">
        <v>19814.954695189841</v>
      </c>
      <c r="AK308" s="265">
        <v>42389.591110278248</v>
      </c>
      <c r="AL308" s="265">
        <v>10725.725251583899</v>
      </c>
      <c r="AM308" s="265">
        <v>22974.102659704131</v>
      </c>
      <c r="AN308" s="265">
        <v>19819.398838736914</v>
      </c>
      <c r="AO308" s="266">
        <v>95908.817860303199</v>
      </c>
      <c r="AP308" s="203"/>
      <c r="AQ308" s="264">
        <v>42984.993166612578</v>
      </c>
      <c r="AR308" s="265">
        <v>10385.154192068298</v>
      </c>
      <c r="AS308" s="265">
        <v>22655.900305425868</v>
      </c>
      <c r="AT308" s="265">
        <v>20236.916174855312</v>
      </c>
      <c r="AU308" s="266">
        <v>96262.963838962052</v>
      </c>
      <c r="AV308" s="203"/>
      <c r="AW308" s="324">
        <v>102325.36226331249</v>
      </c>
      <c r="AX308" s="203"/>
      <c r="AY308" s="377">
        <v>0</v>
      </c>
      <c r="AZ308" s="265">
        <v>0</v>
      </c>
      <c r="BA308" s="265">
        <v>96262.963838962052</v>
      </c>
      <c r="BB308" s="265">
        <v>942.21020571469842</v>
      </c>
      <c r="BC308" s="266">
        <v>95320.753633247354</v>
      </c>
      <c r="BD308" s="264">
        <v>953.20753633247352</v>
      </c>
      <c r="BE308" s="265">
        <v>94367.546096914884</v>
      </c>
      <c r="BF308" s="357">
        <v>0.9222302663740406</v>
      </c>
      <c r="BG308" s="203"/>
      <c r="BJ308" s="458">
        <v>0.9222302663740406</v>
      </c>
      <c r="BK308" s="210"/>
      <c r="BL308" s="458"/>
      <c r="BM308" s="458"/>
      <c r="BN308" s="458"/>
      <c r="BQ308" s="203">
        <v>94142.484859138975</v>
      </c>
      <c r="BR308" s="458">
        <v>0.92003079956739731</v>
      </c>
      <c r="BT308" s="459" t="s">
        <v>900</v>
      </c>
      <c r="BU308" s="460" t="s">
        <v>900</v>
      </c>
      <c r="BV308" s="461">
        <v>94367.546096914884</v>
      </c>
      <c r="BX308" s="462">
        <v>5938.8229107426741</v>
      </c>
      <c r="BY308" s="463">
        <v>6.6183469056659019E-2</v>
      </c>
      <c r="BZ308" s="461">
        <v>65.847892081248901</v>
      </c>
      <c r="CB308" s="203">
        <v>6942</v>
      </c>
      <c r="CC308" s="203">
        <v>8716.7725277324098</v>
      </c>
      <c r="CD308" s="203" t="e">
        <v>#VALUE!</v>
      </c>
      <c r="CE308" s="203" t="s">
        <v>900</v>
      </c>
      <c r="CF308" s="203" t="e">
        <v>#VALUE!</v>
      </c>
      <c r="CH308" s="199"/>
      <c r="CJ308" s="464" t="s">
        <v>1448</v>
      </c>
      <c r="CK308" s="464" t="s">
        <v>1447</v>
      </c>
      <c r="CL308" s="464" t="s">
        <v>1448</v>
      </c>
      <c r="CN308" s="464" t="s">
        <v>1447</v>
      </c>
      <c r="CO308" s="464" t="s">
        <v>1447</v>
      </c>
      <c r="CP308" s="464" t="s">
        <v>1447</v>
      </c>
      <c r="CQ308" s="464" t="s">
        <v>1447</v>
      </c>
      <c r="CS308" s="465">
        <v>0</v>
      </c>
      <c r="CT308" s="466">
        <v>0.9</v>
      </c>
      <c r="CU308" s="466">
        <v>0</v>
      </c>
      <c r="CV308" s="467">
        <v>0.9</v>
      </c>
    </row>
    <row r="309" spans="1:100" s="48" customFormat="1" outlineLevel="1" x14ac:dyDescent="0.3">
      <c r="A309" s="202">
        <v>78963000</v>
      </c>
      <c r="B309" s="48">
        <v>400364</v>
      </c>
      <c r="C309" s="48">
        <v>79953</v>
      </c>
      <c r="D309" s="48" t="s">
        <v>326</v>
      </c>
      <c r="E309" s="48" t="s">
        <v>7</v>
      </c>
      <c r="F309" s="48" t="s">
        <v>1503</v>
      </c>
      <c r="G309" s="48" t="s">
        <v>1502</v>
      </c>
      <c r="H309" s="48" t="s">
        <v>1506</v>
      </c>
      <c r="O309" s="454" t="s">
        <v>900</v>
      </c>
      <c r="P309" s="455" t="s">
        <v>900</v>
      </c>
      <c r="Q309" s="347" t="s">
        <v>900</v>
      </c>
      <c r="R309" s="455">
        <v>146</v>
      </c>
      <c r="S309" s="457">
        <v>124</v>
      </c>
      <c r="T309" s="455"/>
      <c r="U309" s="454">
        <v>146</v>
      </c>
      <c r="V309" s="455">
        <v>63.542970850932633</v>
      </c>
      <c r="W309" s="230">
        <v>0.4352258277461139</v>
      </c>
      <c r="X309" s="264" t="s">
        <v>900</v>
      </c>
      <c r="Y309" s="265" t="s">
        <v>900</v>
      </c>
      <c r="Z309" s="265" t="s">
        <v>900</v>
      </c>
      <c r="AA309" s="265" t="s">
        <v>900</v>
      </c>
      <c r="AB309" s="266" t="s">
        <v>900</v>
      </c>
      <c r="AC309" s="265">
        <v>29858.696959657813</v>
      </c>
      <c r="AD309" s="265">
        <v>6165.5762051047286</v>
      </c>
      <c r="AE309" s="265">
        <v>16182.670114735905</v>
      </c>
      <c r="AF309" s="266">
        <v>13960.536262520116</v>
      </c>
      <c r="AG309" s="265">
        <v>29858.696959657813</v>
      </c>
      <c r="AH309" s="265">
        <v>6165.5762051047286</v>
      </c>
      <c r="AI309" s="265">
        <v>16182.670114735905</v>
      </c>
      <c r="AJ309" s="266">
        <v>13960.536262520116</v>
      </c>
      <c r="AK309" s="265">
        <v>29868.202062679804</v>
      </c>
      <c r="AL309" s="265">
        <v>8140.1610365399802</v>
      </c>
      <c r="AM309" s="265">
        <v>16187.821643847135</v>
      </c>
      <c r="AN309" s="265">
        <v>13964.980406067189</v>
      </c>
      <c r="AO309" s="266">
        <v>68161.165149134118</v>
      </c>
      <c r="AP309" s="203"/>
      <c r="AQ309" s="264">
        <v>30528.169430995051</v>
      </c>
      <c r="AR309" s="265">
        <v>7881.688699815465</v>
      </c>
      <c r="AS309" s="265">
        <v>16186.481466938028</v>
      </c>
      <c r="AT309" s="265">
        <v>15595.563472926176</v>
      </c>
      <c r="AU309" s="266">
        <v>70191.903070674714</v>
      </c>
      <c r="AV309" s="203"/>
      <c r="AW309" s="324">
        <v>68144.252446438128</v>
      </c>
      <c r="AX309" s="203"/>
      <c r="AY309" s="377">
        <v>0</v>
      </c>
      <c r="AZ309" s="265">
        <v>2047.6506242365867</v>
      </c>
      <c r="BA309" s="265">
        <v>68144.252446438128</v>
      </c>
      <c r="BB309" s="265">
        <v>666.98767163707043</v>
      </c>
      <c r="BC309" s="266">
        <v>67477.264774801064</v>
      </c>
      <c r="BD309" s="264">
        <v>674.77264774801063</v>
      </c>
      <c r="BE309" s="265">
        <v>66802.492127053047</v>
      </c>
      <c r="BF309" s="357">
        <v>0.98031000016560876</v>
      </c>
      <c r="BG309" s="203"/>
      <c r="BJ309" s="458">
        <v>0.98031000016560876</v>
      </c>
      <c r="BK309" s="210"/>
      <c r="BL309" s="458"/>
      <c r="BM309" s="458"/>
      <c r="BN309" s="458"/>
      <c r="BQ309" s="203">
        <v>66643.171977420352</v>
      </c>
      <c r="BR309" s="458">
        <v>0.97797201649254817</v>
      </c>
      <c r="BT309" s="459">
        <v>-24.862108656055391</v>
      </c>
      <c r="BU309" s="460">
        <v>-16608.508177580774</v>
      </c>
      <c r="BV309" s="461">
        <v>50193.983949472269</v>
      </c>
      <c r="BX309" s="462">
        <v>1345.2492692568048</v>
      </c>
      <c r="BY309" s="463">
        <v>2.7145689928094165E-2</v>
      </c>
      <c r="BZ309" s="461">
        <v>21.17070151492705</v>
      </c>
      <c r="CB309" s="203" t="s">
        <v>900</v>
      </c>
      <c r="CC309" s="203">
        <v>1156.6856018479154</v>
      </c>
      <c r="CD309" s="203" t="e">
        <v>#VALUE!</v>
      </c>
      <c r="CE309" s="203" t="e">
        <v>#VALUE!</v>
      </c>
      <c r="CF309" s="203" t="e">
        <v>#VALUE!</v>
      </c>
      <c r="CH309" s="199"/>
      <c r="CJ309" s="464" t="s">
        <v>1448</v>
      </c>
      <c r="CK309" s="464" t="s">
        <v>1447</v>
      </c>
      <c r="CL309" s="464" t="s">
        <v>1448</v>
      </c>
      <c r="CN309" s="464" t="s">
        <v>1447</v>
      </c>
      <c r="CO309" s="464" t="s">
        <v>1447</v>
      </c>
      <c r="CP309" s="464" t="s">
        <v>1447</v>
      </c>
      <c r="CQ309" s="464" t="s">
        <v>1447</v>
      </c>
      <c r="CS309" s="465">
        <v>0</v>
      </c>
      <c r="CT309" s="466">
        <v>0</v>
      </c>
      <c r="CU309" s="466">
        <v>0.95</v>
      </c>
      <c r="CV309" s="467">
        <v>0.95</v>
      </c>
    </row>
    <row r="310" spans="1:100" s="48" customFormat="1" outlineLevel="1" x14ac:dyDescent="0.3">
      <c r="A310" s="202">
        <v>78792000</v>
      </c>
      <c r="B310" s="48">
        <v>400230</v>
      </c>
      <c r="C310" s="48">
        <v>79024</v>
      </c>
      <c r="D310" s="48" t="s">
        <v>329</v>
      </c>
      <c r="E310" s="48" t="s">
        <v>7</v>
      </c>
      <c r="F310" s="48" t="s">
        <v>1498</v>
      </c>
      <c r="G310" s="48" t="s">
        <v>1502</v>
      </c>
      <c r="H310" s="48" t="s">
        <v>1527</v>
      </c>
      <c r="O310" s="454" t="s">
        <v>900</v>
      </c>
      <c r="P310" s="455" t="s">
        <v>900</v>
      </c>
      <c r="Q310" s="347" t="s">
        <v>900</v>
      </c>
      <c r="R310" s="455">
        <v>595</v>
      </c>
      <c r="S310" s="457">
        <v>553</v>
      </c>
      <c r="T310" s="455"/>
      <c r="U310" s="454">
        <v>595</v>
      </c>
      <c r="V310" s="455">
        <v>283.38115226262698</v>
      </c>
      <c r="W310" s="230">
        <v>0.47627084413886889</v>
      </c>
      <c r="X310" s="264" t="s">
        <v>900</v>
      </c>
      <c r="Y310" s="265" t="s">
        <v>900</v>
      </c>
      <c r="Z310" s="265" t="s">
        <v>900</v>
      </c>
      <c r="AA310" s="265" t="s">
        <v>900</v>
      </c>
      <c r="AB310" s="266" t="s">
        <v>900</v>
      </c>
      <c r="AC310" s="265">
        <v>133160.15660234494</v>
      </c>
      <c r="AD310" s="265">
        <v>27496.480979217053</v>
      </c>
      <c r="AE310" s="265">
        <v>72169.488495556099</v>
      </c>
      <c r="AF310" s="266">
        <v>62259.488332045352</v>
      </c>
      <c r="AG310" s="265">
        <v>133160.15660234494</v>
      </c>
      <c r="AH310" s="265">
        <v>27496.480979217053</v>
      </c>
      <c r="AI310" s="265">
        <v>72169.488495556099</v>
      </c>
      <c r="AJ310" s="266">
        <v>62259.488332045352</v>
      </c>
      <c r="AK310" s="265">
        <v>133169.66170536692</v>
      </c>
      <c r="AL310" s="265">
        <v>29471.065810652304</v>
      </c>
      <c r="AM310" s="265">
        <v>72174.640024667329</v>
      </c>
      <c r="AN310" s="265">
        <v>62263.932475592424</v>
      </c>
      <c r="AO310" s="266">
        <v>297079.30001627898</v>
      </c>
      <c r="AP310" s="203"/>
      <c r="AQ310" s="264">
        <v>148652.745800687</v>
      </c>
      <c r="AR310" s="265">
        <v>31039.754507459136</v>
      </c>
      <c r="AS310" s="265">
        <v>78817.857728125164</v>
      </c>
      <c r="AT310" s="265">
        <v>75940.463374315354</v>
      </c>
      <c r="AU310" s="266">
        <v>334450.82141058665</v>
      </c>
      <c r="AV310" s="203"/>
      <c r="AW310" s="324">
        <v>329093.79939836374</v>
      </c>
      <c r="AX310" s="203"/>
      <c r="AY310" s="377">
        <v>0</v>
      </c>
      <c r="AZ310" s="265">
        <v>5357.0220122229075</v>
      </c>
      <c r="BA310" s="265">
        <v>329093.79939836374</v>
      </c>
      <c r="BB310" s="265">
        <v>3221.1301633023495</v>
      </c>
      <c r="BC310" s="266">
        <v>325872.66923506139</v>
      </c>
      <c r="BD310" s="264">
        <v>3258.726692350614</v>
      </c>
      <c r="BE310" s="265">
        <v>322613.94254271075</v>
      </c>
      <c r="BF310" s="357">
        <v>0.98031000016560865</v>
      </c>
      <c r="BG310" s="203"/>
      <c r="BJ310" s="458">
        <v>0.98031000016560865</v>
      </c>
      <c r="BK310" s="210"/>
      <c r="BL310" s="458"/>
      <c r="BM310" s="458"/>
      <c r="BN310" s="458"/>
      <c r="BQ310" s="203">
        <v>321844.5266128119</v>
      </c>
      <c r="BR310" s="458">
        <v>0.97797201649254806</v>
      </c>
      <c r="BT310" s="459" t="s">
        <v>900</v>
      </c>
      <c r="BU310" s="460" t="s">
        <v>900</v>
      </c>
      <c r="BV310" s="461">
        <v>322613.94254271075</v>
      </c>
      <c r="BX310" s="462">
        <v>34017.45909728104</v>
      </c>
      <c r="BY310" s="463">
        <v>0.11611156894759606</v>
      </c>
      <c r="BZ310" s="461">
        <v>120.04136063980339</v>
      </c>
      <c r="CB310" s="203" t="s">
        <v>900</v>
      </c>
      <c r="CC310" s="203">
        <v>5101.3658800151361</v>
      </c>
      <c r="CD310" s="203" t="e">
        <v>#VALUE!</v>
      </c>
      <c r="CE310" s="203" t="s">
        <v>900</v>
      </c>
      <c r="CF310" s="203" t="e">
        <v>#VALUE!</v>
      </c>
      <c r="CH310" s="199"/>
      <c r="CJ310" s="464" t="s">
        <v>1448</v>
      </c>
      <c r="CK310" s="464" t="s">
        <v>1447</v>
      </c>
      <c r="CL310" s="464" t="s">
        <v>1448</v>
      </c>
      <c r="CN310" s="464" t="s">
        <v>1447</v>
      </c>
      <c r="CO310" s="464" t="s">
        <v>1447</v>
      </c>
      <c r="CP310" s="464" t="s">
        <v>1447</v>
      </c>
      <c r="CQ310" s="464" t="s">
        <v>1447</v>
      </c>
      <c r="CS310" s="465">
        <v>0</v>
      </c>
      <c r="CT310" s="466">
        <v>0</v>
      </c>
      <c r="CU310" s="466">
        <v>0.95</v>
      </c>
      <c r="CV310" s="467">
        <v>0.95</v>
      </c>
    </row>
    <row r="311" spans="1:100" s="48" customFormat="1" outlineLevel="1" x14ac:dyDescent="0.3">
      <c r="A311" s="202">
        <v>78714000</v>
      </c>
      <c r="B311" s="48">
        <v>400109</v>
      </c>
      <c r="C311" s="48">
        <v>4338</v>
      </c>
      <c r="D311" s="48" t="s">
        <v>336</v>
      </c>
      <c r="E311" s="48" t="s">
        <v>7</v>
      </c>
      <c r="F311" s="48" t="s">
        <v>1498</v>
      </c>
      <c r="G311" s="48" t="s">
        <v>1499</v>
      </c>
      <c r="H311" s="48" t="s">
        <v>1527</v>
      </c>
      <c r="O311" s="454" t="s">
        <v>900</v>
      </c>
      <c r="P311" s="455" t="s">
        <v>900</v>
      </c>
      <c r="Q311" s="347" t="s">
        <v>900</v>
      </c>
      <c r="R311" s="455">
        <v>521</v>
      </c>
      <c r="S311" s="457">
        <v>495</v>
      </c>
      <c r="T311" s="455"/>
      <c r="U311" s="454">
        <v>521</v>
      </c>
      <c r="V311" s="455">
        <v>253.65944009041655</v>
      </c>
      <c r="W311" s="230">
        <v>0.48687032646912964</v>
      </c>
      <c r="X311" s="264" t="s">
        <v>900</v>
      </c>
      <c r="Y311" s="265" t="s">
        <v>900</v>
      </c>
      <c r="Z311" s="265" t="s">
        <v>900</v>
      </c>
      <c r="AA311" s="265" t="s">
        <v>900</v>
      </c>
      <c r="AB311" s="266" t="s">
        <v>900</v>
      </c>
      <c r="AC311" s="265">
        <v>119193.99189540821</v>
      </c>
      <c r="AD311" s="265">
        <v>24612.582431668066</v>
      </c>
      <c r="AE311" s="265">
        <v>64600.175054792526</v>
      </c>
      <c r="AF311" s="266">
        <v>55729.560080221425</v>
      </c>
      <c r="AG311" s="265">
        <v>119193.99189540821</v>
      </c>
      <c r="AH311" s="265">
        <v>24612.582431668066</v>
      </c>
      <c r="AI311" s="265">
        <v>64600.175054792526</v>
      </c>
      <c r="AJ311" s="266">
        <v>55729.560080221425</v>
      </c>
      <c r="AK311" s="265">
        <v>119203.4969984302</v>
      </c>
      <c r="AL311" s="265">
        <v>26587.167263103318</v>
      </c>
      <c r="AM311" s="265">
        <v>64605.326583903756</v>
      </c>
      <c r="AN311" s="265">
        <v>55734.004223768497</v>
      </c>
      <c r="AO311" s="266">
        <v>266129.99506920576</v>
      </c>
      <c r="AP311" s="203"/>
      <c r="AQ311" s="264">
        <v>117911.30891759093</v>
      </c>
      <c r="AR311" s="265">
        <v>25742.952115696251</v>
      </c>
      <c r="AS311" s="265">
        <v>63710.511786459174</v>
      </c>
      <c r="AT311" s="265">
        <v>60235.95049014235</v>
      </c>
      <c r="AU311" s="266">
        <v>267600.72330988868</v>
      </c>
      <c r="AV311" s="203"/>
      <c r="AW311" s="324">
        <v>261182.74926948137</v>
      </c>
      <c r="AX311" s="203"/>
      <c r="AY311" s="377">
        <v>0</v>
      </c>
      <c r="AZ311" s="265">
        <v>6417.9740404073091</v>
      </c>
      <c r="BA311" s="265">
        <v>261182.74926948137</v>
      </c>
      <c r="BB311" s="265">
        <v>2556.4250476435568</v>
      </c>
      <c r="BC311" s="266">
        <v>258626.3242218378</v>
      </c>
      <c r="BD311" s="264">
        <v>2586.2632422183779</v>
      </c>
      <c r="BE311" s="265">
        <v>256040.06097961942</v>
      </c>
      <c r="BF311" s="357">
        <v>0.98031000016560865</v>
      </c>
      <c r="BG311" s="203"/>
      <c r="BJ311" s="458">
        <v>0.98031000016560865</v>
      </c>
      <c r="BK311" s="210"/>
      <c r="BL311" s="458"/>
      <c r="BM311" s="458"/>
      <c r="BN311" s="458"/>
      <c r="BQ311" s="203">
        <v>255429.41997614229</v>
      </c>
      <c r="BR311" s="458">
        <v>0.97797201649254817</v>
      </c>
      <c r="BT311" s="459" t="s">
        <v>900</v>
      </c>
      <c r="BU311" s="460" t="s">
        <v>900</v>
      </c>
      <c r="BV311" s="461">
        <v>256040.06097961942</v>
      </c>
      <c r="BX311" s="462">
        <v>-2328.233215579472</v>
      </c>
      <c r="BY311" s="463">
        <v>-8.8769070610741126E-3</v>
      </c>
      <c r="BZ311" s="461">
        <v>-9.1785790221313128</v>
      </c>
      <c r="CB311" s="203">
        <v>47991</v>
      </c>
      <c r="CC311" s="203">
        <v>52545.527559233575</v>
      </c>
      <c r="CD311" s="203" t="e">
        <v>#VALUE!</v>
      </c>
      <c r="CE311" s="203" t="s">
        <v>900</v>
      </c>
      <c r="CF311" s="203" t="e">
        <v>#VALUE!</v>
      </c>
      <c r="CH311" s="199"/>
      <c r="CJ311" s="464" t="s">
        <v>1448</v>
      </c>
      <c r="CK311" s="464" t="s">
        <v>1447</v>
      </c>
      <c r="CL311" s="464" t="s">
        <v>1448</v>
      </c>
      <c r="CN311" s="464" t="s">
        <v>1447</v>
      </c>
      <c r="CO311" s="464" t="s">
        <v>1447</v>
      </c>
      <c r="CP311" s="464" t="s">
        <v>1447</v>
      </c>
      <c r="CQ311" s="464" t="s">
        <v>1447</v>
      </c>
      <c r="CS311" s="465">
        <v>0</v>
      </c>
      <c r="CT311" s="466">
        <v>0</v>
      </c>
      <c r="CU311" s="466">
        <v>0.95</v>
      </c>
      <c r="CV311" s="467">
        <v>0.95</v>
      </c>
    </row>
    <row r="312" spans="1:100" s="48" customFormat="1" outlineLevel="1" x14ac:dyDescent="0.3">
      <c r="A312" s="202">
        <v>78559000</v>
      </c>
      <c r="B312" s="48">
        <v>400788</v>
      </c>
      <c r="C312" s="48">
        <v>90273</v>
      </c>
      <c r="D312" s="48" t="s">
        <v>1535</v>
      </c>
      <c r="E312" s="48" t="s">
        <v>7</v>
      </c>
      <c r="F312" s="48" t="s">
        <v>1498</v>
      </c>
      <c r="G312" s="48" t="s">
        <v>1502</v>
      </c>
      <c r="H312" s="48" t="s">
        <v>1523</v>
      </c>
      <c r="O312" s="454" t="s">
        <v>900</v>
      </c>
      <c r="P312" s="455" t="s">
        <v>900</v>
      </c>
      <c r="Q312" s="347" t="s">
        <v>900</v>
      </c>
      <c r="R312" s="455">
        <v>530</v>
      </c>
      <c r="S312" s="457">
        <v>510</v>
      </c>
      <c r="T312" s="455"/>
      <c r="U312" s="454">
        <v>530</v>
      </c>
      <c r="V312" s="455">
        <v>261.34608979012614</v>
      </c>
      <c r="W312" s="230">
        <v>0.49310582979269085</v>
      </c>
      <c r="X312" s="264" t="s">
        <v>900</v>
      </c>
      <c r="Y312" s="265" t="s">
        <v>900</v>
      </c>
      <c r="Z312" s="265" t="s">
        <v>900</v>
      </c>
      <c r="AA312" s="265" t="s">
        <v>900</v>
      </c>
      <c r="AB312" s="266" t="s">
        <v>900</v>
      </c>
      <c r="AC312" s="265">
        <v>122805.93104375391</v>
      </c>
      <c r="AD312" s="265">
        <v>25358.418262930736</v>
      </c>
      <c r="AE312" s="265">
        <v>66557.756117058962</v>
      </c>
      <c r="AF312" s="266">
        <v>57418.334628106924</v>
      </c>
      <c r="AG312" s="265">
        <v>122805.93104375391</v>
      </c>
      <c r="AH312" s="265">
        <v>25358.418262930736</v>
      </c>
      <c r="AI312" s="265">
        <v>66557.756117058962</v>
      </c>
      <c r="AJ312" s="266">
        <v>57418.334628106924</v>
      </c>
      <c r="AK312" s="265">
        <v>122815.4361467759</v>
      </c>
      <c r="AL312" s="265">
        <v>27333.003094365988</v>
      </c>
      <c r="AM312" s="265">
        <v>66562.907646170192</v>
      </c>
      <c r="AN312" s="265">
        <v>57422.778771653997</v>
      </c>
      <c r="AO312" s="266">
        <v>274134.12565896608</v>
      </c>
      <c r="AP312" s="203"/>
      <c r="AQ312" s="264">
        <v>120949.98832883127</v>
      </c>
      <c r="AR312" s="265">
        <v>26465.105623076877</v>
      </c>
      <c r="AS312" s="265">
        <v>65640.979410959175</v>
      </c>
      <c r="AT312" s="265">
        <v>55115.997112026511</v>
      </c>
      <c r="AU312" s="266">
        <v>268172.07047489384</v>
      </c>
      <c r="AV312" s="203"/>
      <c r="AW312" s="324">
        <v>227494.59054413042</v>
      </c>
      <c r="AX312" s="203"/>
      <c r="AY312" s="377">
        <v>0</v>
      </c>
      <c r="AZ312" s="265">
        <v>25298.580449541856</v>
      </c>
      <c r="BA312" s="265">
        <v>242873.49002535199</v>
      </c>
      <c r="BB312" s="265">
        <v>2377.2162405289714</v>
      </c>
      <c r="BC312" s="266">
        <v>240496.27378482302</v>
      </c>
      <c r="BD312" s="264">
        <v>2404.9627378482301</v>
      </c>
      <c r="BE312" s="265">
        <v>238091.31104697479</v>
      </c>
      <c r="BF312" s="357">
        <v>1.0465800987948712</v>
      </c>
      <c r="BG312" s="203"/>
      <c r="BJ312" s="458">
        <v>1.0465800987948712</v>
      </c>
      <c r="BK312" s="210"/>
      <c r="BL312" s="458"/>
      <c r="BM312" s="458"/>
      <c r="BN312" s="458"/>
      <c r="BQ312" s="203">
        <v>237523.47679267629</v>
      </c>
      <c r="BR312" s="458">
        <v>1.0440840647004326</v>
      </c>
      <c r="BT312" s="459" t="s">
        <v>900</v>
      </c>
      <c r="BU312" s="460" t="s">
        <v>900</v>
      </c>
      <c r="BV312" s="461">
        <v>238091.31104697479</v>
      </c>
      <c r="BX312" s="462">
        <v>-17447.181125301024</v>
      </c>
      <c r="BY312" s="463">
        <v>-6.7257484028212508E-2</v>
      </c>
      <c r="BZ312" s="461">
        <v>-66.758913972319135</v>
      </c>
      <c r="CB312" s="203" t="s">
        <v>900</v>
      </c>
      <c r="CC312" s="203">
        <v>4685.6388267013344</v>
      </c>
      <c r="CD312" s="203" t="e">
        <v>#VALUE!</v>
      </c>
      <c r="CE312" s="203" t="s">
        <v>900</v>
      </c>
      <c r="CF312" s="203" t="e">
        <v>#VALUE!</v>
      </c>
      <c r="CH312" s="199"/>
      <c r="CJ312" s="464" t="s">
        <v>1448</v>
      </c>
      <c r="CK312" s="464" t="s">
        <v>1447</v>
      </c>
      <c r="CL312" s="464" t="s">
        <v>1448</v>
      </c>
      <c r="CN312" s="464" t="s">
        <v>1447</v>
      </c>
      <c r="CO312" s="464" t="s">
        <v>1447</v>
      </c>
      <c r="CP312" s="464" t="s">
        <v>1447</v>
      </c>
      <c r="CQ312" s="464" t="s">
        <v>1447</v>
      </c>
      <c r="CS312" s="465">
        <v>0</v>
      </c>
      <c r="CT312" s="466">
        <v>0</v>
      </c>
      <c r="CU312" s="466">
        <v>0.95</v>
      </c>
      <c r="CV312" s="467">
        <v>0.95</v>
      </c>
    </row>
    <row r="313" spans="1:100" s="48" customFormat="1" outlineLevel="1" x14ac:dyDescent="0.3">
      <c r="A313" s="202">
        <v>78776000</v>
      </c>
      <c r="B313" s="48">
        <v>400153</v>
      </c>
      <c r="C313" s="48">
        <v>6379</v>
      </c>
      <c r="D313" s="48" t="s">
        <v>338</v>
      </c>
      <c r="E313" s="48" t="s">
        <v>7</v>
      </c>
      <c r="F313" s="48" t="s">
        <v>1498</v>
      </c>
      <c r="G313" s="48" t="s">
        <v>1502</v>
      </c>
      <c r="H313" s="48" t="s">
        <v>1508</v>
      </c>
      <c r="O313" s="454" t="s">
        <v>900</v>
      </c>
      <c r="P313" s="455" t="s">
        <v>900</v>
      </c>
      <c r="Q313" s="347" t="s">
        <v>900</v>
      </c>
      <c r="R313" s="455">
        <v>79</v>
      </c>
      <c r="S313" s="457">
        <v>38</v>
      </c>
      <c r="T313" s="455"/>
      <c r="U313" s="454">
        <v>79</v>
      </c>
      <c r="V313" s="455">
        <v>19.472845905930967</v>
      </c>
      <c r="W313" s="230">
        <v>0.2464917203282401</v>
      </c>
      <c r="X313" s="264" t="s">
        <v>900</v>
      </c>
      <c r="Y313" s="265" t="s">
        <v>900</v>
      </c>
      <c r="Z313" s="265" t="s">
        <v>900</v>
      </c>
      <c r="AA313" s="265" t="s">
        <v>900</v>
      </c>
      <c r="AB313" s="266" t="s">
        <v>900</v>
      </c>
      <c r="AC313" s="265">
        <v>9150.2458424757806</v>
      </c>
      <c r="AD313" s="265">
        <v>1889.4507725320941</v>
      </c>
      <c r="AE313" s="265">
        <v>4959.2053577416482</v>
      </c>
      <c r="AF313" s="266">
        <v>4278.228854643261</v>
      </c>
      <c r="AG313" s="265">
        <v>9150.2458424757806</v>
      </c>
      <c r="AH313" s="265">
        <v>1889.4507725320941</v>
      </c>
      <c r="AI313" s="265">
        <v>4959.2053577416482</v>
      </c>
      <c r="AJ313" s="266">
        <v>4278.228854643261</v>
      </c>
      <c r="AK313" s="265">
        <v>9159.7509454977717</v>
      </c>
      <c r="AL313" s="265">
        <v>3864.0356039673452</v>
      </c>
      <c r="AM313" s="265">
        <v>4964.3568868528773</v>
      </c>
      <c r="AN313" s="265">
        <v>4282.6729981903327</v>
      </c>
      <c r="AO313" s="266">
        <v>22270.816434508328</v>
      </c>
      <c r="AP313" s="203"/>
      <c r="AQ313" s="264">
        <v>11722.526119799011</v>
      </c>
      <c r="AR313" s="265">
        <v>3741.3419241665479</v>
      </c>
      <c r="AS313" s="265">
        <v>6215.4546217624056</v>
      </c>
      <c r="AT313" s="265">
        <v>5988.5477436699884</v>
      </c>
      <c r="AU313" s="266">
        <v>27667.87040939795</v>
      </c>
      <c r="AV313" s="203"/>
      <c r="AW313" s="324">
        <v>28039.301582924971</v>
      </c>
      <c r="AX313" s="203"/>
      <c r="AY313" s="377">
        <v>0</v>
      </c>
      <c r="AZ313" s="265">
        <v>0</v>
      </c>
      <c r="BA313" s="265">
        <v>27667.87040939795</v>
      </c>
      <c r="BB313" s="265">
        <v>270.80975725760021</v>
      </c>
      <c r="BC313" s="266">
        <v>27397.06065214035</v>
      </c>
      <c r="BD313" s="264">
        <v>273.97060652140351</v>
      </c>
      <c r="BE313" s="265">
        <v>27123.090045618945</v>
      </c>
      <c r="BF313" s="357">
        <v>0.96732402429509978</v>
      </c>
      <c r="BG313" s="203"/>
      <c r="BJ313" s="458">
        <v>0.96732402429509978</v>
      </c>
      <c r="BK313" s="210"/>
      <c r="BL313" s="458"/>
      <c r="BM313" s="458"/>
      <c r="BN313" s="458"/>
      <c r="BQ313" s="203">
        <v>27058.403016333417</v>
      </c>
      <c r="BR313" s="458">
        <v>0.96501701143694363</v>
      </c>
      <c r="BT313" s="459" t="s">
        <v>900</v>
      </c>
      <c r="BU313" s="460" t="s">
        <v>900</v>
      </c>
      <c r="BV313" s="461">
        <v>27123.090045618945</v>
      </c>
      <c r="BX313" s="462">
        <v>6932.080115169807</v>
      </c>
      <c r="BY313" s="463">
        <v>0.33906248455661647</v>
      </c>
      <c r="BZ313" s="461">
        <v>355.98700614471869</v>
      </c>
      <c r="CB313" s="203">
        <v>4642</v>
      </c>
      <c r="CC313" s="203">
        <v>5031.3159200695909</v>
      </c>
      <c r="CD313" s="203" t="e">
        <v>#VALUE!</v>
      </c>
      <c r="CE313" s="203" t="s">
        <v>900</v>
      </c>
      <c r="CF313" s="203" t="e">
        <v>#VALUE!</v>
      </c>
      <c r="CH313" s="199"/>
      <c r="CJ313" s="464" t="s">
        <v>1448</v>
      </c>
      <c r="CK313" s="464" t="s">
        <v>1447</v>
      </c>
      <c r="CL313" s="464" t="s">
        <v>1448</v>
      </c>
      <c r="CN313" s="464" t="s">
        <v>1447</v>
      </c>
      <c r="CO313" s="464" t="s">
        <v>1447</v>
      </c>
      <c r="CP313" s="464" t="s">
        <v>1447</v>
      </c>
      <c r="CQ313" s="464" t="s">
        <v>1447</v>
      </c>
      <c r="CS313" s="465">
        <v>0</v>
      </c>
      <c r="CT313" s="466">
        <v>0.9</v>
      </c>
      <c r="CU313" s="466">
        <v>0</v>
      </c>
      <c r="CV313" s="467">
        <v>0.9</v>
      </c>
    </row>
    <row r="314" spans="1:100" s="48" customFormat="1" outlineLevel="1" x14ac:dyDescent="0.3">
      <c r="A314" s="202">
        <v>78939000</v>
      </c>
      <c r="B314" s="48">
        <v>400288</v>
      </c>
      <c r="C314" s="48">
        <v>79569</v>
      </c>
      <c r="D314" s="48" t="s">
        <v>351</v>
      </c>
      <c r="E314" s="48" t="s">
        <v>7</v>
      </c>
      <c r="F314" s="48" t="s">
        <v>1498</v>
      </c>
      <c r="G314" s="48" t="s">
        <v>1499</v>
      </c>
      <c r="H314" s="48" t="s">
        <v>1523</v>
      </c>
      <c r="O314" s="454" t="s">
        <v>900</v>
      </c>
      <c r="P314" s="455" t="s">
        <v>900</v>
      </c>
      <c r="Q314" s="347" t="s">
        <v>900</v>
      </c>
      <c r="R314" s="455">
        <v>130</v>
      </c>
      <c r="S314" s="457">
        <v>124</v>
      </c>
      <c r="T314" s="455"/>
      <c r="U314" s="454">
        <v>130</v>
      </c>
      <c r="V314" s="455">
        <v>63.542970850932633</v>
      </c>
      <c r="W314" s="230">
        <v>0.48879208346871256</v>
      </c>
      <c r="X314" s="264" t="s">
        <v>900</v>
      </c>
      <c r="Y314" s="265" t="s">
        <v>900</v>
      </c>
      <c r="Z314" s="265" t="s">
        <v>900</v>
      </c>
      <c r="AA314" s="265" t="s">
        <v>900</v>
      </c>
      <c r="AB314" s="266" t="s">
        <v>900</v>
      </c>
      <c r="AC314" s="265">
        <v>29858.696959657813</v>
      </c>
      <c r="AD314" s="265">
        <v>6165.5762051047286</v>
      </c>
      <c r="AE314" s="265">
        <v>16182.670114735905</v>
      </c>
      <c r="AF314" s="266">
        <v>13960.536262520116</v>
      </c>
      <c r="AG314" s="265">
        <v>29858.696959657813</v>
      </c>
      <c r="AH314" s="265">
        <v>6165.5762051047286</v>
      </c>
      <c r="AI314" s="265">
        <v>16182.670114735905</v>
      </c>
      <c r="AJ314" s="266">
        <v>13960.536262520116</v>
      </c>
      <c r="AK314" s="265">
        <v>29868.202062679804</v>
      </c>
      <c r="AL314" s="265">
        <v>8140.1610365399802</v>
      </c>
      <c r="AM314" s="265">
        <v>16187.821643847135</v>
      </c>
      <c r="AN314" s="265">
        <v>13964.980406067189</v>
      </c>
      <c r="AO314" s="266">
        <v>68161.165149134118</v>
      </c>
      <c r="AP314" s="203"/>
      <c r="AQ314" s="264">
        <v>37410.70879620195</v>
      </c>
      <c r="AR314" s="265">
        <v>7881.688699815465</v>
      </c>
      <c r="AS314" s="265">
        <v>19150.615178381679</v>
      </c>
      <c r="AT314" s="265">
        <v>19150.393742936831</v>
      </c>
      <c r="AU314" s="266">
        <v>83593.406417335937</v>
      </c>
      <c r="AV314" s="203"/>
      <c r="AW314" s="324">
        <v>81865.556869562526</v>
      </c>
      <c r="AX314" s="203"/>
      <c r="AY314" s="377">
        <v>0</v>
      </c>
      <c r="AZ314" s="265">
        <v>1727.8495477734104</v>
      </c>
      <c r="BA314" s="265">
        <v>81865.556869562526</v>
      </c>
      <c r="BB314" s="265">
        <v>801.29013384687551</v>
      </c>
      <c r="BC314" s="266">
        <v>81064.266735715646</v>
      </c>
      <c r="BD314" s="264">
        <v>810.64266735715648</v>
      </c>
      <c r="BE314" s="265">
        <v>80253.624068358491</v>
      </c>
      <c r="BF314" s="357">
        <v>0.98031000016560876</v>
      </c>
      <c r="BG314" s="203"/>
      <c r="BJ314" s="458">
        <v>0.98031000016560876</v>
      </c>
      <c r="BK314" s="210"/>
      <c r="BL314" s="458"/>
      <c r="BM314" s="458"/>
      <c r="BN314" s="458"/>
      <c r="BQ314" s="203">
        <v>80062.223733011444</v>
      </c>
      <c r="BR314" s="458">
        <v>0.97797201649254817</v>
      </c>
      <c r="BT314" s="459" t="s">
        <v>900</v>
      </c>
      <c r="BU314" s="460" t="s">
        <v>900</v>
      </c>
      <c r="BV314" s="461">
        <v>80253.624068358491</v>
      </c>
      <c r="BX314" s="462">
        <v>15241.505939291244</v>
      </c>
      <c r="BY314" s="463">
        <v>0.23109204821488255</v>
      </c>
      <c r="BZ314" s="461">
        <v>239.86139985564654</v>
      </c>
      <c r="CB314" s="203">
        <v>22001</v>
      </c>
      <c r="CC314" s="203">
        <v>23141.410192362386</v>
      </c>
      <c r="CD314" s="203" t="e">
        <v>#VALUE!</v>
      </c>
      <c r="CE314" s="203" t="s">
        <v>900</v>
      </c>
      <c r="CF314" s="203" t="e">
        <v>#VALUE!</v>
      </c>
      <c r="CH314" s="199"/>
      <c r="CJ314" s="464" t="s">
        <v>1448</v>
      </c>
      <c r="CK314" s="464" t="s">
        <v>1447</v>
      </c>
      <c r="CL314" s="464" t="s">
        <v>1448</v>
      </c>
      <c r="CN314" s="464" t="s">
        <v>1447</v>
      </c>
      <c r="CO314" s="464" t="s">
        <v>1447</v>
      </c>
      <c r="CP314" s="464" t="s">
        <v>1447</v>
      </c>
      <c r="CQ314" s="464" t="s">
        <v>1447</v>
      </c>
      <c r="CS314" s="465">
        <v>0</v>
      </c>
      <c r="CT314" s="466">
        <v>0</v>
      </c>
      <c r="CU314" s="466">
        <v>0.95</v>
      </c>
      <c r="CV314" s="467">
        <v>0.95</v>
      </c>
    </row>
    <row r="315" spans="1:100" s="48" customFormat="1" outlineLevel="1" x14ac:dyDescent="0.3">
      <c r="A315" s="202">
        <v>78560000</v>
      </c>
      <c r="B315" s="48">
        <v>400815</v>
      </c>
      <c r="C315" s="48">
        <v>90275</v>
      </c>
      <c r="D315" s="48" t="s">
        <v>359</v>
      </c>
      <c r="E315" s="48" t="s">
        <v>7</v>
      </c>
      <c r="F315" s="48" t="s">
        <v>1498</v>
      </c>
      <c r="G315" s="48" t="s">
        <v>1502</v>
      </c>
      <c r="H315" s="48" t="s">
        <v>1527</v>
      </c>
      <c r="O315" s="454" t="s">
        <v>900</v>
      </c>
      <c r="P315" s="455" t="s">
        <v>900</v>
      </c>
      <c r="Q315" s="347" t="s">
        <v>900</v>
      </c>
      <c r="R315" s="455">
        <v>161</v>
      </c>
      <c r="S315" s="457">
        <v>153</v>
      </c>
      <c r="T315" s="455"/>
      <c r="U315" s="454">
        <v>161</v>
      </c>
      <c r="V315" s="455">
        <v>78.403826937037849</v>
      </c>
      <c r="W315" s="230">
        <v>0.48698029153439659</v>
      </c>
      <c r="X315" s="264" t="s">
        <v>900</v>
      </c>
      <c r="Y315" s="265" t="s">
        <v>900</v>
      </c>
      <c r="Z315" s="265" t="s">
        <v>900</v>
      </c>
      <c r="AA315" s="265" t="s">
        <v>900</v>
      </c>
      <c r="AB315" s="266" t="s">
        <v>900</v>
      </c>
      <c r="AC315" s="265">
        <v>36841.779313126179</v>
      </c>
      <c r="AD315" s="265">
        <v>7607.5254788792217</v>
      </c>
      <c r="AE315" s="265">
        <v>19967.326835117692</v>
      </c>
      <c r="AF315" s="266">
        <v>17225.500388432079</v>
      </c>
      <c r="AG315" s="265">
        <v>36841.779313126179</v>
      </c>
      <c r="AH315" s="265">
        <v>7607.5254788792217</v>
      </c>
      <c r="AI315" s="265">
        <v>19967.326835117692</v>
      </c>
      <c r="AJ315" s="266">
        <v>17225.500388432079</v>
      </c>
      <c r="AK315" s="265">
        <v>36851.28441614817</v>
      </c>
      <c r="AL315" s="265">
        <v>9582.1103103144724</v>
      </c>
      <c r="AM315" s="265">
        <v>19972.478364228922</v>
      </c>
      <c r="AN315" s="265">
        <v>17229.944531979152</v>
      </c>
      <c r="AO315" s="266">
        <v>83635.817622670715</v>
      </c>
      <c r="AP315" s="203"/>
      <c r="AQ315" s="264">
        <v>36291.549009432638</v>
      </c>
      <c r="AR315" s="265">
        <v>9277.852147418007</v>
      </c>
      <c r="AS315" s="265">
        <v>19695.849947859202</v>
      </c>
      <c r="AT315" s="265">
        <v>17574.084781168443</v>
      </c>
      <c r="AU315" s="266">
        <v>82839.335885878303</v>
      </c>
      <c r="AV315" s="203"/>
      <c r="AW315" s="324">
        <v>76699.975297320925</v>
      </c>
      <c r="AX315" s="203"/>
      <c r="AY315" s="377">
        <v>0</v>
      </c>
      <c r="AZ315" s="265">
        <v>6139.3605885573779</v>
      </c>
      <c r="BA315" s="265">
        <v>76699.975297320925</v>
      </c>
      <c r="BB315" s="265">
        <v>750.73004841298132</v>
      </c>
      <c r="BC315" s="266">
        <v>75949.245248907944</v>
      </c>
      <c r="BD315" s="264">
        <v>759.49245248907948</v>
      </c>
      <c r="BE315" s="265">
        <v>75189.752796418863</v>
      </c>
      <c r="BF315" s="357">
        <v>0.98031000016560876</v>
      </c>
      <c r="BG315" s="203"/>
      <c r="BJ315" s="458">
        <v>0.98031000016560876</v>
      </c>
      <c r="BK315" s="210"/>
      <c r="BL315" s="458"/>
      <c r="BM315" s="458"/>
      <c r="BN315" s="458"/>
      <c r="BQ315" s="203">
        <v>75010.429506449582</v>
      </c>
      <c r="BR315" s="458">
        <v>0.97797201649254828</v>
      </c>
      <c r="BT315" s="459" t="s">
        <v>900</v>
      </c>
      <c r="BU315" s="460" t="s">
        <v>900</v>
      </c>
      <c r="BV315" s="461">
        <v>75189.752796418863</v>
      </c>
      <c r="BX315" s="462">
        <v>-2109.9521863426053</v>
      </c>
      <c r="BY315" s="463">
        <v>-2.703387871790813E-2</v>
      </c>
      <c r="BZ315" s="461">
        <v>-26.911341815457568</v>
      </c>
      <c r="CB315" s="203" t="s">
        <v>900</v>
      </c>
      <c r="CC315" s="203">
        <v>1407.7260741960922</v>
      </c>
      <c r="CD315" s="203" t="e">
        <v>#VALUE!</v>
      </c>
      <c r="CE315" s="203" t="s">
        <v>900</v>
      </c>
      <c r="CF315" s="203" t="e">
        <v>#VALUE!</v>
      </c>
      <c r="CH315" s="199"/>
      <c r="CJ315" s="464" t="s">
        <v>1448</v>
      </c>
      <c r="CK315" s="464" t="s">
        <v>1447</v>
      </c>
      <c r="CL315" s="464" t="s">
        <v>1448</v>
      </c>
      <c r="CN315" s="464" t="s">
        <v>1447</v>
      </c>
      <c r="CO315" s="464" t="s">
        <v>1447</v>
      </c>
      <c r="CP315" s="464" t="s">
        <v>1447</v>
      </c>
      <c r="CQ315" s="464" t="s">
        <v>1447</v>
      </c>
      <c r="CS315" s="465">
        <v>0</v>
      </c>
      <c r="CT315" s="466">
        <v>0</v>
      </c>
      <c r="CU315" s="466">
        <v>0.95</v>
      </c>
      <c r="CV315" s="467">
        <v>0.95</v>
      </c>
    </row>
    <row r="316" spans="1:100" s="48" customFormat="1" outlineLevel="1" x14ac:dyDescent="0.3">
      <c r="A316" s="202">
        <v>78508000</v>
      </c>
      <c r="B316" s="48">
        <v>400424</v>
      </c>
      <c r="C316" s="48">
        <v>87399</v>
      </c>
      <c r="D316" s="48" t="s">
        <v>1536</v>
      </c>
      <c r="E316" s="48" t="s">
        <v>7</v>
      </c>
      <c r="F316" s="48" t="s">
        <v>1498</v>
      </c>
      <c r="G316" s="48" t="s">
        <v>1502</v>
      </c>
      <c r="H316" s="48" t="s">
        <v>1527</v>
      </c>
      <c r="O316" s="454" t="s">
        <v>900</v>
      </c>
      <c r="P316" s="455" t="s">
        <v>900</v>
      </c>
      <c r="Q316" s="347" t="s">
        <v>900</v>
      </c>
      <c r="R316" s="455">
        <v>765</v>
      </c>
      <c r="S316" s="457">
        <v>214</v>
      </c>
      <c r="T316" s="455"/>
      <c r="U316" s="454">
        <v>765</v>
      </c>
      <c r="V316" s="455">
        <v>109.66286904919019</v>
      </c>
      <c r="W316" s="230">
        <v>0.14335015561985645</v>
      </c>
      <c r="X316" s="264" t="s">
        <v>900</v>
      </c>
      <c r="Y316" s="265" t="s">
        <v>900</v>
      </c>
      <c r="Z316" s="265" t="s">
        <v>900</v>
      </c>
      <c r="AA316" s="265" t="s">
        <v>900</v>
      </c>
      <c r="AB316" s="266" t="s">
        <v>900</v>
      </c>
      <c r="AC316" s="265">
        <v>51530.331849732036</v>
      </c>
      <c r="AD316" s="265">
        <v>10640.59119268074</v>
      </c>
      <c r="AE316" s="265">
        <v>27928.156488334549</v>
      </c>
      <c r="AF316" s="266">
        <v>24093.183549833102</v>
      </c>
      <c r="AG316" s="265">
        <v>51530.331849732036</v>
      </c>
      <c r="AH316" s="265" t="s">
        <v>900</v>
      </c>
      <c r="AI316" s="265">
        <v>27928.156488334549</v>
      </c>
      <c r="AJ316" s="266">
        <v>24093.183549833102</v>
      </c>
      <c r="AK316" s="265">
        <v>51539.836952754027</v>
      </c>
      <c r="AL316" s="265" t="s">
        <v>900</v>
      </c>
      <c r="AM316" s="265">
        <v>27933.308017445779</v>
      </c>
      <c r="AN316" s="265">
        <v>24097.627693380175</v>
      </c>
      <c r="AO316" s="266">
        <v>103570.77266357998</v>
      </c>
      <c r="AP316" s="203"/>
      <c r="AQ316" s="264">
        <v>50756.996624231841</v>
      </c>
      <c r="AR316" s="265">
        <v>10144.470736095745</v>
      </c>
      <c r="AS316" s="265">
        <v>27546.418287492532</v>
      </c>
      <c r="AT316" s="265">
        <v>23800.973697389705</v>
      </c>
      <c r="AU316" s="266">
        <v>112248.85934520983</v>
      </c>
      <c r="AV316" s="203"/>
      <c r="AW316" s="324">
        <v>115735.46080447373</v>
      </c>
      <c r="AX316" s="203"/>
      <c r="AY316" s="377">
        <v>0</v>
      </c>
      <c r="AZ316" s="265">
        <v>0</v>
      </c>
      <c r="BA316" s="265">
        <v>112248.85934520983</v>
      </c>
      <c r="BB316" s="265">
        <v>1098.6782105714021</v>
      </c>
      <c r="BC316" s="266">
        <v>111150.18113463842</v>
      </c>
      <c r="BD316" s="264">
        <v>1111.5018113463843</v>
      </c>
      <c r="BE316" s="265">
        <v>110038.67932329203</v>
      </c>
      <c r="BF316" s="357">
        <v>0.95077756254147572</v>
      </c>
      <c r="BG316" s="203"/>
      <c r="BJ316" s="458">
        <v>0.95077756254147572</v>
      </c>
      <c r="BK316" s="210"/>
      <c r="BL316" s="458"/>
      <c r="BM316" s="458"/>
      <c r="BN316" s="458"/>
      <c r="BQ316" s="203">
        <v>109776.24332282325</v>
      </c>
      <c r="BR316" s="458">
        <v>0.94851001205483498</v>
      </c>
      <c r="BT316" s="459" t="s">
        <v>900</v>
      </c>
      <c r="BU316" s="460" t="s">
        <v>900</v>
      </c>
      <c r="BV316" s="461">
        <v>110038.67932329203</v>
      </c>
      <c r="BX316" s="462">
        <v>8881.4760122490261</v>
      </c>
      <c r="BY316" s="463">
        <v>8.6470023686383651E-2</v>
      </c>
      <c r="BZ316" s="461">
        <v>80.988907998250227</v>
      </c>
      <c r="CB316" s="203" t="s">
        <v>900</v>
      </c>
      <c r="CC316" s="203">
        <v>2518.078604112301</v>
      </c>
      <c r="CD316" s="203" t="e">
        <v>#VALUE!</v>
      </c>
      <c r="CE316" s="203" t="s">
        <v>900</v>
      </c>
      <c r="CF316" s="203" t="e">
        <v>#VALUE!</v>
      </c>
      <c r="CH316" s="199"/>
      <c r="CJ316" s="464" t="s">
        <v>1448</v>
      </c>
      <c r="CK316" s="464" t="s">
        <v>1447</v>
      </c>
      <c r="CL316" s="464" t="s">
        <v>1448</v>
      </c>
      <c r="CN316" s="464" t="s">
        <v>1447</v>
      </c>
      <c r="CO316" s="464" t="s">
        <v>1448</v>
      </c>
      <c r="CP316" s="464" t="s">
        <v>1447</v>
      </c>
      <c r="CQ316" s="464" t="s">
        <v>1447</v>
      </c>
      <c r="CS316" s="465">
        <v>0.85</v>
      </c>
      <c r="CT316" s="466">
        <v>0</v>
      </c>
      <c r="CU316" s="466">
        <v>0</v>
      </c>
      <c r="CV316" s="467">
        <v>0.85</v>
      </c>
    </row>
    <row r="317" spans="1:100" s="48" customFormat="1" outlineLevel="1" x14ac:dyDescent="0.3">
      <c r="A317" s="202">
        <v>78735000</v>
      </c>
      <c r="B317" s="48">
        <v>400656</v>
      </c>
      <c r="C317" s="48">
        <v>81033</v>
      </c>
      <c r="D317" s="48" t="s">
        <v>363</v>
      </c>
      <c r="E317" s="48" t="s">
        <v>7</v>
      </c>
      <c r="F317" s="48" t="s">
        <v>1498</v>
      </c>
      <c r="G317" s="48" t="s">
        <v>1499</v>
      </c>
      <c r="H317" s="48" t="s">
        <v>1506</v>
      </c>
      <c r="O317" s="454" t="s">
        <v>900</v>
      </c>
      <c r="P317" s="455" t="s">
        <v>900</v>
      </c>
      <c r="Q317" s="347" t="s">
        <v>900</v>
      </c>
      <c r="R317" s="455">
        <v>107</v>
      </c>
      <c r="S317" s="457">
        <v>86</v>
      </c>
      <c r="T317" s="455"/>
      <c r="U317" s="454">
        <v>107</v>
      </c>
      <c r="V317" s="455">
        <v>44.070124945001666</v>
      </c>
      <c r="W317" s="230">
        <v>0.41187032658880063</v>
      </c>
      <c r="X317" s="264" t="s">
        <v>900</v>
      </c>
      <c r="Y317" s="265" t="s">
        <v>900</v>
      </c>
      <c r="Z317" s="265" t="s">
        <v>900</v>
      </c>
      <c r="AA317" s="265" t="s">
        <v>900</v>
      </c>
      <c r="AB317" s="266" t="s">
        <v>900</v>
      </c>
      <c r="AC317" s="265">
        <v>20708.451117182034</v>
      </c>
      <c r="AD317" s="265">
        <v>4276.1254325726341</v>
      </c>
      <c r="AE317" s="265">
        <v>11223.464756994257</v>
      </c>
      <c r="AF317" s="266">
        <v>9682.307407876855</v>
      </c>
      <c r="AG317" s="265">
        <v>20708.451117182034</v>
      </c>
      <c r="AH317" s="265">
        <v>4276.1254325726341</v>
      </c>
      <c r="AI317" s="265">
        <v>11223.464756994257</v>
      </c>
      <c r="AJ317" s="266">
        <v>9682.307407876855</v>
      </c>
      <c r="AK317" s="265">
        <v>20717.956220204025</v>
      </c>
      <c r="AL317" s="265">
        <v>6250.7102640078856</v>
      </c>
      <c r="AM317" s="265">
        <v>11228.616286105487</v>
      </c>
      <c r="AN317" s="265">
        <v>9686.7515514239276</v>
      </c>
      <c r="AO317" s="266">
        <v>47884.034321741325</v>
      </c>
      <c r="AP317" s="203"/>
      <c r="AQ317" s="264">
        <v>26413.173942706602</v>
      </c>
      <c r="AR317" s="265">
        <v>6103.8713092138123</v>
      </c>
      <c r="AS317" s="265">
        <v>14004.650736527821</v>
      </c>
      <c r="AT317" s="265">
        <v>13493.384582918765</v>
      </c>
      <c r="AU317" s="266">
        <v>60015.080571366998</v>
      </c>
      <c r="AV317" s="203"/>
      <c r="AW317" s="324">
        <v>59053.796917375148</v>
      </c>
      <c r="AX317" s="203"/>
      <c r="AY317" s="377">
        <v>0</v>
      </c>
      <c r="AZ317" s="265">
        <v>961.28365399184986</v>
      </c>
      <c r="BA317" s="265">
        <v>59053.796917375148</v>
      </c>
      <c r="BB317" s="265">
        <v>578.01139631266528</v>
      </c>
      <c r="BC317" s="266">
        <v>58475.785521062484</v>
      </c>
      <c r="BD317" s="264">
        <v>584.75785521062483</v>
      </c>
      <c r="BE317" s="265">
        <v>57891.027665851856</v>
      </c>
      <c r="BF317" s="357">
        <v>0.98031000016560876</v>
      </c>
      <c r="BG317" s="203"/>
      <c r="BJ317" s="458">
        <v>0.98031000016560876</v>
      </c>
      <c r="BK317" s="210"/>
      <c r="BL317" s="458"/>
      <c r="BM317" s="458"/>
      <c r="BN317" s="458"/>
      <c r="BQ317" s="203">
        <v>57752.9608528268</v>
      </c>
      <c r="BR317" s="458">
        <v>0.97797201649254817</v>
      </c>
      <c r="BT317" s="459" t="s">
        <v>900</v>
      </c>
      <c r="BU317" s="460" t="s">
        <v>900</v>
      </c>
      <c r="BV317" s="461">
        <v>57891.027665851856</v>
      </c>
      <c r="BX317" s="462">
        <v>12683.585252453071</v>
      </c>
      <c r="BY317" s="463">
        <v>0.27665962353070767</v>
      </c>
      <c r="BZ317" s="461">
        <v>287.8046129499711</v>
      </c>
      <c r="CB317" s="203" t="s">
        <v>900</v>
      </c>
      <c r="CC317" s="203">
        <v>808.05820549215218</v>
      </c>
      <c r="CD317" s="203" t="e">
        <v>#VALUE!</v>
      </c>
      <c r="CE317" s="203" t="s">
        <v>900</v>
      </c>
      <c r="CF317" s="203" t="e">
        <v>#VALUE!</v>
      </c>
      <c r="CH317" s="199"/>
      <c r="CJ317" s="464" t="s">
        <v>1448</v>
      </c>
      <c r="CK317" s="464" t="s">
        <v>1447</v>
      </c>
      <c r="CL317" s="464" t="s">
        <v>1448</v>
      </c>
      <c r="CN317" s="464" t="s">
        <v>1447</v>
      </c>
      <c r="CO317" s="464" t="s">
        <v>1447</v>
      </c>
      <c r="CP317" s="464" t="s">
        <v>1447</v>
      </c>
      <c r="CQ317" s="464" t="s">
        <v>1447</v>
      </c>
      <c r="CS317" s="465">
        <v>0</v>
      </c>
      <c r="CT317" s="466">
        <v>0</v>
      </c>
      <c r="CU317" s="466">
        <v>0.95</v>
      </c>
      <c r="CV317" s="467">
        <v>0.95</v>
      </c>
    </row>
    <row r="318" spans="1:100" s="48" customFormat="1" outlineLevel="1" x14ac:dyDescent="0.3">
      <c r="A318" s="202">
        <v>78656000</v>
      </c>
      <c r="B318" s="48">
        <v>400047</v>
      </c>
      <c r="C318" s="48">
        <v>4320</v>
      </c>
      <c r="D318" s="48" t="s">
        <v>369</v>
      </c>
      <c r="E318" s="48" t="s">
        <v>7</v>
      </c>
      <c r="F318" s="48" t="s">
        <v>1503</v>
      </c>
      <c r="G318" s="48" t="s">
        <v>1502</v>
      </c>
      <c r="H318" s="48" t="s">
        <v>1517</v>
      </c>
      <c r="O318" s="454" t="s">
        <v>900</v>
      </c>
      <c r="P318" s="455" t="s">
        <v>900</v>
      </c>
      <c r="Q318" s="347" t="s">
        <v>900</v>
      </c>
      <c r="R318" s="455">
        <v>189</v>
      </c>
      <c r="S318" s="457">
        <v>110</v>
      </c>
      <c r="T318" s="455"/>
      <c r="U318" s="454">
        <v>189</v>
      </c>
      <c r="V318" s="455">
        <v>56.368764464537016</v>
      </c>
      <c r="W318" s="230">
        <v>0.29824743102929641</v>
      </c>
      <c r="X318" s="264" t="s">
        <v>900</v>
      </c>
      <c r="Y318" s="265" t="s">
        <v>900</v>
      </c>
      <c r="Z318" s="265" t="s">
        <v>900</v>
      </c>
      <c r="AA318" s="265" t="s">
        <v>900</v>
      </c>
      <c r="AB318" s="266" t="s">
        <v>900</v>
      </c>
      <c r="AC318" s="265">
        <v>26487.553754535158</v>
      </c>
      <c r="AD318" s="265">
        <v>5469.4627625929043</v>
      </c>
      <c r="AE318" s="265">
        <v>14355.594456620562</v>
      </c>
      <c r="AF318" s="266">
        <v>12384.346684493652</v>
      </c>
      <c r="AG318" s="265">
        <v>26487.553754535158</v>
      </c>
      <c r="AH318" s="265">
        <v>5469.4627625929043</v>
      </c>
      <c r="AI318" s="265">
        <v>14355.594456620562</v>
      </c>
      <c r="AJ318" s="266">
        <v>12384.346684493652</v>
      </c>
      <c r="AK318" s="265">
        <v>26497.058857557149</v>
      </c>
      <c r="AL318" s="265">
        <v>7444.0475940281558</v>
      </c>
      <c r="AM318" s="265">
        <v>14360.745985731792</v>
      </c>
      <c r="AN318" s="265">
        <v>12388.790828040725</v>
      </c>
      <c r="AO318" s="266">
        <v>60690.643265357823</v>
      </c>
      <c r="AP318" s="203"/>
      <c r="AQ318" s="264">
        <v>27545.511867335401</v>
      </c>
      <c r="AR318" s="265">
        <v>7207.6787595935484</v>
      </c>
      <c r="AS318" s="265">
        <v>14605.032848293296</v>
      </c>
      <c r="AT318" s="265">
        <v>14071.848614843995</v>
      </c>
      <c r="AU318" s="266">
        <v>63430.072090066242</v>
      </c>
      <c r="AV318" s="203"/>
      <c r="AW318" s="324">
        <v>64935.856377357079</v>
      </c>
      <c r="AX318" s="203"/>
      <c r="AY318" s="377">
        <v>0</v>
      </c>
      <c r="AZ318" s="265">
        <v>0</v>
      </c>
      <c r="BA318" s="265">
        <v>63430.072090066242</v>
      </c>
      <c r="BB318" s="265">
        <v>620.84584651329885</v>
      </c>
      <c r="BC318" s="266">
        <v>62809.226243552941</v>
      </c>
      <c r="BD318" s="264">
        <v>628.09226243552939</v>
      </c>
      <c r="BE318" s="265">
        <v>62181.133981117411</v>
      </c>
      <c r="BF318" s="357">
        <v>0.95757779214874217</v>
      </c>
      <c r="BG318" s="203"/>
      <c r="BJ318" s="458">
        <v>0.95757779214874217</v>
      </c>
      <c r="BK318" s="210"/>
      <c r="BL318" s="458"/>
      <c r="BM318" s="458"/>
      <c r="BN318" s="458"/>
      <c r="BQ318" s="203">
        <v>62032.835508189783</v>
      </c>
      <c r="BR318" s="458">
        <v>0.95529402350071158</v>
      </c>
      <c r="BT318" s="459" t="s">
        <v>900</v>
      </c>
      <c r="BU318" s="460" t="s">
        <v>900</v>
      </c>
      <c r="BV318" s="461">
        <v>62181.133981117411</v>
      </c>
      <c r="BX318" s="462">
        <v>4465.4753262438026</v>
      </c>
      <c r="BY318" s="463">
        <v>7.6273256808968848E-2</v>
      </c>
      <c r="BZ318" s="461">
        <v>79.218967608437538</v>
      </c>
      <c r="CB318" s="203">
        <v>6052</v>
      </c>
      <c r="CC318" s="203">
        <v>7138.5998385169396</v>
      </c>
      <c r="CD318" s="203" t="e">
        <v>#VALUE!</v>
      </c>
      <c r="CE318" s="203" t="s">
        <v>900</v>
      </c>
      <c r="CF318" s="203" t="e">
        <v>#VALUE!</v>
      </c>
      <c r="CH318" s="199"/>
      <c r="CJ318" s="464" t="s">
        <v>1448</v>
      </c>
      <c r="CK318" s="464" t="s">
        <v>1447</v>
      </c>
      <c r="CL318" s="464" t="s">
        <v>1448</v>
      </c>
      <c r="CN318" s="464" t="s">
        <v>1447</v>
      </c>
      <c r="CO318" s="464" t="s">
        <v>1447</v>
      </c>
      <c r="CP318" s="464" t="s">
        <v>1447</v>
      </c>
      <c r="CQ318" s="464" t="s">
        <v>1447</v>
      </c>
      <c r="CS318" s="465">
        <v>0</v>
      </c>
      <c r="CT318" s="466">
        <v>0.9</v>
      </c>
      <c r="CU318" s="466">
        <v>0</v>
      </c>
      <c r="CV318" s="467">
        <v>0.9</v>
      </c>
    </row>
    <row r="319" spans="1:100" s="48" customFormat="1" outlineLevel="1" x14ac:dyDescent="0.3">
      <c r="A319" s="202">
        <v>78539000</v>
      </c>
      <c r="B319" s="48">
        <v>400775</v>
      </c>
      <c r="C319" s="48">
        <v>89798</v>
      </c>
      <c r="D319" s="48" t="s">
        <v>373</v>
      </c>
      <c r="E319" s="48" t="s">
        <v>7</v>
      </c>
      <c r="F319" s="48" t="s">
        <v>1498</v>
      </c>
      <c r="G319" s="48" t="s">
        <v>1499</v>
      </c>
      <c r="H319" s="48" t="s">
        <v>1506</v>
      </c>
      <c r="O319" s="454" t="s">
        <v>900</v>
      </c>
      <c r="P319" s="455" t="s">
        <v>900</v>
      </c>
      <c r="Q319" s="347" t="s">
        <v>900</v>
      </c>
      <c r="R319" s="455">
        <v>487</v>
      </c>
      <c r="S319" s="457">
        <v>113</v>
      </c>
      <c r="T319" s="455"/>
      <c r="U319" s="454">
        <v>487</v>
      </c>
      <c r="V319" s="455">
        <v>57.906094404478935</v>
      </c>
      <c r="W319" s="230">
        <v>0.11890368460878631</v>
      </c>
      <c r="X319" s="264" t="s">
        <v>900</v>
      </c>
      <c r="Y319" s="265" t="s">
        <v>900</v>
      </c>
      <c r="Z319" s="265" t="s">
        <v>900</v>
      </c>
      <c r="AA319" s="265" t="s">
        <v>900</v>
      </c>
      <c r="AB319" s="266" t="s">
        <v>900</v>
      </c>
      <c r="AC319" s="265">
        <v>27209.941584204302</v>
      </c>
      <c r="AD319" s="265">
        <v>5618.6299288454384</v>
      </c>
      <c r="AE319" s="265">
        <v>14747.110669073851</v>
      </c>
      <c r="AF319" s="266">
        <v>12722.101594070751</v>
      </c>
      <c r="AG319" s="265">
        <v>27209.941584204302</v>
      </c>
      <c r="AH319" s="265" t="s">
        <v>900</v>
      </c>
      <c r="AI319" s="265">
        <v>14747.110669073851</v>
      </c>
      <c r="AJ319" s="266">
        <v>12722.101594070751</v>
      </c>
      <c r="AK319" s="265">
        <v>27219.446687226293</v>
      </c>
      <c r="AL319" s="265" t="s">
        <v>900</v>
      </c>
      <c r="AM319" s="265">
        <v>14752.262198185081</v>
      </c>
      <c r="AN319" s="265">
        <v>12726.545737617824</v>
      </c>
      <c r="AO319" s="266">
        <v>54698.254623029199</v>
      </c>
      <c r="AP319" s="203"/>
      <c r="AQ319" s="264">
        <v>26806.009589892175</v>
      </c>
      <c r="AR319" s="265">
        <v>0</v>
      </c>
      <c r="AS319" s="265">
        <v>14547.936282525872</v>
      </c>
      <c r="AT319" s="265">
        <v>12215.296318381446</v>
      </c>
      <c r="AU319" s="266">
        <v>53569.242190799487</v>
      </c>
      <c r="AV319" s="203"/>
      <c r="AW319" s="324">
        <v>51643.140893205826</v>
      </c>
      <c r="AX319" s="203"/>
      <c r="AY319" s="377">
        <v>0</v>
      </c>
      <c r="AZ319" s="265">
        <v>1926.101297593661</v>
      </c>
      <c r="BA319" s="265">
        <v>51643.140893205826</v>
      </c>
      <c r="BB319" s="265">
        <v>505.47679464909851</v>
      </c>
      <c r="BC319" s="266">
        <v>51137.664098556728</v>
      </c>
      <c r="BD319" s="264">
        <v>511.37664098556729</v>
      </c>
      <c r="BE319" s="265">
        <v>50626.287457571161</v>
      </c>
      <c r="BF319" s="357">
        <v>0.98031000016560876</v>
      </c>
      <c r="BG319" s="203"/>
      <c r="BJ319" s="458">
        <v>0.98031000016560876</v>
      </c>
      <c r="BK319" s="210"/>
      <c r="BL319" s="458"/>
      <c r="BM319" s="458"/>
      <c r="BN319" s="458"/>
      <c r="BQ319" s="203">
        <v>50505.546637337276</v>
      </c>
      <c r="BR319" s="458">
        <v>0.97797201649254817</v>
      </c>
      <c r="BT319" s="459">
        <v>-3.9850547181350127</v>
      </c>
      <c r="BU319" s="460">
        <v>-2017.4852569445336</v>
      </c>
      <c r="BV319" s="461">
        <v>48608.802200626626</v>
      </c>
      <c r="BX319" s="462">
        <v>-2685.8282171572719</v>
      </c>
      <c r="BY319" s="463">
        <v>-5.1567959165714675E-2</v>
      </c>
      <c r="BZ319" s="461">
        <v>-46.382479163532182</v>
      </c>
      <c r="CB319" s="203" t="s">
        <v>900</v>
      </c>
      <c r="CC319" s="203">
        <v>1414.1206101113853</v>
      </c>
      <c r="CD319" s="203" t="e">
        <v>#VALUE!</v>
      </c>
      <c r="CE319" s="203" t="e">
        <v>#VALUE!</v>
      </c>
      <c r="CF319" s="203" t="e">
        <v>#VALUE!</v>
      </c>
      <c r="CH319" s="199"/>
      <c r="CJ319" s="464" t="s">
        <v>1448</v>
      </c>
      <c r="CK319" s="464" t="s">
        <v>1447</v>
      </c>
      <c r="CL319" s="464" t="s">
        <v>1448</v>
      </c>
      <c r="CN319" s="464" t="s">
        <v>1447</v>
      </c>
      <c r="CO319" s="464" t="s">
        <v>1448</v>
      </c>
      <c r="CP319" s="464" t="s">
        <v>1447</v>
      </c>
      <c r="CQ319" s="464" t="s">
        <v>1447</v>
      </c>
      <c r="CS319" s="465">
        <v>0.85</v>
      </c>
      <c r="CT319" s="466">
        <v>0</v>
      </c>
      <c r="CU319" s="466">
        <v>0</v>
      </c>
      <c r="CV319" s="467">
        <v>0.85</v>
      </c>
    </row>
    <row r="320" spans="1:100" s="48" customFormat="1" outlineLevel="1" x14ac:dyDescent="0.3">
      <c r="A320" s="202">
        <v>78962000</v>
      </c>
      <c r="B320" s="48">
        <v>400363</v>
      </c>
      <c r="C320" s="48">
        <v>79951</v>
      </c>
      <c r="D320" s="48" t="s">
        <v>378</v>
      </c>
      <c r="E320" s="48" t="s">
        <v>7</v>
      </c>
      <c r="F320" s="48" t="s">
        <v>1498</v>
      </c>
      <c r="G320" s="48" t="s">
        <v>1499</v>
      </c>
      <c r="H320" s="48" t="s">
        <v>1506</v>
      </c>
      <c r="O320" s="454" t="s">
        <v>900</v>
      </c>
      <c r="P320" s="455" t="s">
        <v>900</v>
      </c>
      <c r="Q320" s="347" t="s">
        <v>900</v>
      </c>
      <c r="R320" s="455">
        <v>41</v>
      </c>
      <c r="S320" s="457">
        <v>37</v>
      </c>
      <c r="T320" s="455"/>
      <c r="U320" s="454">
        <v>41</v>
      </c>
      <c r="V320" s="455">
        <v>18.960402592616997</v>
      </c>
      <c r="W320" s="230">
        <v>0.46244884372236578</v>
      </c>
      <c r="X320" s="264" t="s">
        <v>900</v>
      </c>
      <c r="Y320" s="265" t="s">
        <v>900</v>
      </c>
      <c r="Z320" s="265" t="s">
        <v>900</v>
      </c>
      <c r="AA320" s="265" t="s">
        <v>900</v>
      </c>
      <c r="AB320" s="266" t="s">
        <v>900</v>
      </c>
      <c r="AC320" s="265">
        <v>8909.4498992527351</v>
      </c>
      <c r="AD320" s="265">
        <v>1839.7283837812497</v>
      </c>
      <c r="AE320" s="265">
        <v>4828.6999535905534</v>
      </c>
      <c r="AF320" s="266">
        <v>4165.6438847842282</v>
      </c>
      <c r="AG320" s="265">
        <v>8909.4498992527351</v>
      </c>
      <c r="AH320" s="265">
        <v>1839.7283837812497</v>
      </c>
      <c r="AI320" s="265">
        <v>4828.6999535905534</v>
      </c>
      <c r="AJ320" s="266">
        <v>4165.6438847842282</v>
      </c>
      <c r="AK320" s="265">
        <v>8918.9550022747262</v>
      </c>
      <c r="AL320" s="265">
        <v>3814.3132152165008</v>
      </c>
      <c r="AM320" s="265">
        <v>4833.8514827017825</v>
      </c>
      <c r="AN320" s="265">
        <v>4170.0880283312999</v>
      </c>
      <c r="AO320" s="266">
        <v>21737.207728524307</v>
      </c>
      <c r="AP320" s="203"/>
      <c r="AQ320" s="264">
        <v>10437.309105822038</v>
      </c>
      <c r="AR320" s="265">
        <v>3693.1983570078391</v>
      </c>
      <c r="AS320" s="265">
        <v>5534.013783170547</v>
      </c>
      <c r="AT320" s="265">
        <v>5331.9841864194086</v>
      </c>
      <c r="AU320" s="266">
        <v>24996.505432419835</v>
      </c>
      <c r="AV320" s="203"/>
      <c r="AW320" s="324">
        <v>23761.440157483572</v>
      </c>
      <c r="AX320" s="203"/>
      <c r="AY320" s="377">
        <v>0</v>
      </c>
      <c r="AZ320" s="265">
        <v>1235.0652749362634</v>
      </c>
      <c r="BA320" s="265">
        <v>23761.440157483572</v>
      </c>
      <c r="BB320" s="265">
        <v>232.5740921120333</v>
      </c>
      <c r="BC320" s="266">
        <v>23528.866065371538</v>
      </c>
      <c r="BD320" s="264">
        <v>235.2886606537154</v>
      </c>
      <c r="BE320" s="265">
        <v>23293.577404717824</v>
      </c>
      <c r="BF320" s="357">
        <v>0.98031000016560876</v>
      </c>
      <c r="BG320" s="203"/>
      <c r="BJ320" s="458">
        <v>0.98031000016560876</v>
      </c>
      <c r="BK320" s="210"/>
      <c r="BL320" s="458"/>
      <c r="BM320" s="458"/>
      <c r="BN320" s="458"/>
      <c r="BQ320" s="203">
        <v>23238.023545581222</v>
      </c>
      <c r="BR320" s="458">
        <v>0.97797201649254828</v>
      </c>
      <c r="BT320" s="459" t="s">
        <v>900</v>
      </c>
      <c r="BU320" s="460" t="s">
        <v>900</v>
      </c>
      <c r="BV320" s="461">
        <v>23293.577404717824</v>
      </c>
      <c r="BX320" s="462">
        <v>3623.7431509968046</v>
      </c>
      <c r="BY320" s="463">
        <v>0.18195440261778925</v>
      </c>
      <c r="BZ320" s="461">
        <v>191.12163538172211</v>
      </c>
      <c r="CB320" s="203" t="s">
        <v>900</v>
      </c>
      <c r="CC320" s="203">
        <v>342.53139923264473</v>
      </c>
      <c r="CD320" s="203" t="e">
        <v>#VALUE!</v>
      </c>
      <c r="CE320" s="203" t="s">
        <v>900</v>
      </c>
      <c r="CF320" s="203" t="e">
        <v>#VALUE!</v>
      </c>
      <c r="CH320" s="199"/>
      <c r="CJ320" s="464" t="s">
        <v>1448</v>
      </c>
      <c r="CK320" s="464" t="s">
        <v>1447</v>
      </c>
      <c r="CL320" s="464" t="s">
        <v>1448</v>
      </c>
      <c r="CN320" s="464" t="s">
        <v>1447</v>
      </c>
      <c r="CO320" s="464" t="s">
        <v>1447</v>
      </c>
      <c r="CP320" s="464" t="s">
        <v>1447</v>
      </c>
      <c r="CQ320" s="464" t="s">
        <v>1447</v>
      </c>
      <c r="CS320" s="465">
        <v>0</v>
      </c>
      <c r="CT320" s="466">
        <v>0</v>
      </c>
      <c r="CU320" s="466">
        <v>0.95</v>
      </c>
      <c r="CV320" s="467">
        <v>0.95</v>
      </c>
    </row>
    <row r="321" spans="1:100" s="48" customFormat="1" outlineLevel="1" x14ac:dyDescent="0.3">
      <c r="A321" s="202">
        <v>78566000</v>
      </c>
      <c r="B321" s="48">
        <v>400801</v>
      </c>
      <c r="C321" s="48">
        <v>90329</v>
      </c>
      <c r="D321" s="48" t="s">
        <v>385</v>
      </c>
      <c r="E321" s="48" t="s">
        <v>7</v>
      </c>
      <c r="F321" s="48" t="s">
        <v>1498</v>
      </c>
      <c r="G321" s="48" t="s">
        <v>1499</v>
      </c>
      <c r="H321" s="48" t="s">
        <v>1515</v>
      </c>
      <c r="O321" s="454" t="s">
        <v>900</v>
      </c>
      <c r="P321" s="455" t="s">
        <v>900</v>
      </c>
      <c r="Q321" s="347" t="s">
        <v>900</v>
      </c>
      <c r="R321" s="455">
        <v>106</v>
      </c>
      <c r="S321" s="457">
        <v>88</v>
      </c>
      <c r="T321" s="455"/>
      <c r="U321" s="454">
        <v>106</v>
      </c>
      <c r="V321" s="455">
        <v>45.095011571629612</v>
      </c>
      <c r="W321" s="230">
        <v>0.42542463746820391</v>
      </c>
      <c r="X321" s="264" t="s">
        <v>900</v>
      </c>
      <c r="Y321" s="265" t="s">
        <v>900</v>
      </c>
      <c r="Z321" s="265" t="s">
        <v>900</v>
      </c>
      <c r="AA321" s="265" t="s">
        <v>900</v>
      </c>
      <c r="AB321" s="266" t="s">
        <v>900</v>
      </c>
      <c r="AC321" s="265">
        <v>21190.043003628129</v>
      </c>
      <c r="AD321" s="265">
        <v>4375.5702100743238</v>
      </c>
      <c r="AE321" s="265">
        <v>11484.47556529645</v>
      </c>
      <c r="AF321" s="266">
        <v>9907.4773475949205</v>
      </c>
      <c r="AG321" s="265">
        <v>21190.043003628129</v>
      </c>
      <c r="AH321" s="265">
        <v>4375.5702100743238</v>
      </c>
      <c r="AI321" s="265">
        <v>11484.47556529645</v>
      </c>
      <c r="AJ321" s="266">
        <v>9907.4773475949205</v>
      </c>
      <c r="AK321" s="265">
        <v>21199.54810665012</v>
      </c>
      <c r="AL321" s="265">
        <v>6350.1550415095753</v>
      </c>
      <c r="AM321" s="265">
        <v>11489.62709440768</v>
      </c>
      <c r="AN321" s="265">
        <v>9911.9214911419931</v>
      </c>
      <c r="AO321" s="266">
        <v>48951.251733709367</v>
      </c>
      <c r="AP321" s="203"/>
      <c r="AQ321" s="264">
        <v>26115.851606553577</v>
      </c>
      <c r="AR321" s="265">
        <v>6148.5202821019639</v>
      </c>
      <c r="AS321" s="265">
        <v>13491.278799960714</v>
      </c>
      <c r="AT321" s="265">
        <v>12998.754255858195</v>
      </c>
      <c r="AU321" s="266">
        <v>58754.404944474445</v>
      </c>
      <c r="AV321" s="203"/>
      <c r="AW321" s="324">
        <v>60524.869118163348</v>
      </c>
      <c r="AX321" s="203"/>
      <c r="AY321" s="377">
        <v>0</v>
      </c>
      <c r="AZ321" s="265">
        <v>0</v>
      </c>
      <c r="BA321" s="265">
        <v>58754.404944474445</v>
      </c>
      <c r="BB321" s="265">
        <v>575.08098402193207</v>
      </c>
      <c r="BC321" s="266">
        <v>58179.323960452515</v>
      </c>
      <c r="BD321" s="264">
        <v>581.79323960452518</v>
      </c>
      <c r="BE321" s="265">
        <v>57597.530720847994</v>
      </c>
      <c r="BF321" s="357">
        <v>0.95163412263477543</v>
      </c>
      <c r="BG321" s="203"/>
      <c r="BJ321" s="458">
        <v>0.95163412263477543</v>
      </c>
      <c r="BK321" s="210"/>
      <c r="BL321" s="458"/>
      <c r="BM321" s="458"/>
      <c r="BN321" s="458"/>
      <c r="BQ321" s="203">
        <v>57460.163881367422</v>
      </c>
      <c r="BR321" s="458">
        <v>0.94936452930096105</v>
      </c>
      <c r="BT321" s="459" t="s">
        <v>900</v>
      </c>
      <c r="BU321" s="460" t="s">
        <v>900</v>
      </c>
      <c r="BV321" s="461">
        <v>57597.530720847994</v>
      </c>
      <c r="BX321" s="462">
        <v>11347.736953992971</v>
      </c>
      <c r="BY321" s="463">
        <v>0.24193635922435389</v>
      </c>
      <c r="BZ321" s="461">
        <v>251.64062628009421</v>
      </c>
      <c r="CB321" s="203" t="s">
        <v>900</v>
      </c>
      <c r="CC321" s="203">
        <v>823.30183901692635</v>
      </c>
      <c r="CD321" s="203" t="e">
        <v>#VALUE!</v>
      </c>
      <c r="CE321" s="203" t="s">
        <v>900</v>
      </c>
      <c r="CF321" s="203" t="e">
        <v>#VALUE!</v>
      </c>
      <c r="CH321" s="199"/>
      <c r="CJ321" s="464" t="s">
        <v>1448</v>
      </c>
      <c r="CK321" s="464" t="s">
        <v>1447</v>
      </c>
      <c r="CL321" s="464" t="s">
        <v>1448</v>
      </c>
      <c r="CN321" s="464" t="s">
        <v>1447</v>
      </c>
      <c r="CO321" s="464" t="s">
        <v>1447</v>
      </c>
      <c r="CP321" s="464" t="s">
        <v>1447</v>
      </c>
      <c r="CQ321" s="464" t="s">
        <v>1447</v>
      </c>
      <c r="CS321" s="465">
        <v>0</v>
      </c>
      <c r="CT321" s="466">
        <v>0</v>
      </c>
      <c r="CU321" s="466">
        <v>0.95</v>
      </c>
      <c r="CV321" s="467">
        <v>0.95</v>
      </c>
    </row>
    <row r="322" spans="1:100" s="48" customFormat="1" outlineLevel="1" x14ac:dyDescent="0.3">
      <c r="A322" s="202">
        <v>78914000</v>
      </c>
      <c r="B322" s="48">
        <v>400243</v>
      </c>
      <c r="C322" s="48">
        <v>79084</v>
      </c>
      <c r="D322" s="48" t="s">
        <v>386</v>
      </c>
      <c r="E322" s="48" t="s">
        <v>7</v>
      </c>
      <c r="F322" s="48" t="s">
        <v>1498</v>
      </c>
      <c r="G322" s="48" t="s">
        <v>1499</v>
      </c>
      <c r="H322" s="48" t="s">
        <v>1515</v>
      </c>
      <c r="O322" s="454" t="s">
        <v>900</v>
      </c>
      <c r="P322" s="455" t="s">
        <v>900</v>
      </c>
      <c r="Q322" s="347" t="s">
        <v>900</v>
      </c>
      <c r="R322" s="455">
        <v>146</v>
      </c>
      <c r="S322" s="457">
        <v>115</v>
      </c>
      <c r="T322" s="455"/>
      <c r="U322" s="454">
        <v>146</v>
      </c>
      <c r="V322" s="455">
        <v>58.930981031106882</v>
      </c>
      <c r="W322" s="230">
        <v>0.4036368563774444</v>
      </c>
      <c r="X322" s="264" t="s">
        <v>900</v>
      </c>
      <c r="Y322" s="265" t="s">
        <v>900</v>
      </c>
      <c r="Z322" s="265" t="s">
        <v>900</v>
      </c>
      <c r="AA322" s="265" t="s">
        <v>900</v>
      </c>
      <c r="AB322" s="266" t="s">
        <v>900</v>
      </c>
      <c r="AC322" s="265">
        <v>27691.533470650393</v>
      </c>
      <c r="AD322" s="265">
        <v>5718.0747063471272</v>
      </c>
      <c r="AE322" s="265">
        <v>15008.121477376044</v>
      </c>
      <c r="AF322" s="266">
        <v>12947.271533788818</v>
      </c>
      <c r="AG322" s="265">
        <v>27691.533470650393</v>
      </c>
      <c r="AH322" s="265">
        <v>5718.0747063471272</v>
      </c>
      <c r="AI322" s="265">
        <v>15008.121477376044</v>
      </c>
      <c r="AJ322" s="266">
        <v>12947.271533788818</v>
      </c>
      <c r="AK322" s="265">
        <v>27701.038573672384</v>
      </c>
      <c r="AL322" s="265">
        <v>7692.6595377823787</v>
      </c>
      <c r="AM322" s="265">
        <v>15013.273006487274</v>
      </c>
      <c r="AN322" s="265">
        <v>12951.715677335891</v>
      </c>
      <c r="AO322" s="266">
        <v>63358.686795277928</v>
      </c>
      <c r="AP322" s="203"/>
      <c r="AQ322" s="264">
        <v>30528.169430995051</v>
      </c>
      <c r="AR322" s="265">
        <v>7448.3965953870893</v>
      </c>
      <c r="AS322" s="265">
        <v>16186.481466938028</v>
      </c>
      <c r="AT322" s="265">
        <v>15595.563472926176</v>
      </c>
      <c r="AU322" s="266">
        <v>69758.610966246342</v>
      </c>
      <c r="AV322" s="203"/>
      <c r="AW322" s="324">
        <v>68144.252446438128</v>
      </c>
      <c r="AX322" s="203"/>
      <c r="AY322" s="377">
        <v>0</v>
      </c>
      <c r="AZ322" s="265">
        <v>1614.3585198082146</v>
      </c>
      <c r="BA322" s="265">
        <v>68144.252446438128</v>
      </c>
      <c r="BB322" s="265">
        <v>666.98767163707043</v>
      </c>
      <c r="BC322" s="266">
        <v>67477.264774801064</v>
      </c>
      <c r="BD322" s="264">
        <v>674.77264774801063</v>
      </c>
      <c r="BE322" s="265">
        <v>66802.492127053047</v>
      </c>
      <c r="BF322" s="357">
        <v>0.98031000016560876</v>
      </c>
      <c r="BG322" s="203"/>
      <c r="BJ322" s="458">
        <v>0.98031000016560876</v>
      </c>
      <c r="BK322" s="210"/>
      <c r="BL322" s="458"/>
      <c r="BM322" s="458"/>
      <c r="BN322" s="458"/>
      <c r="BQ322" s="203">
        <v>66643.171977420352</v>
      </c>
      <c r="BR322" s="458">
        <v>0.97797201649254817</v>
      </c>
      <c r="BT322" s="459">
        <v>-4.1334018254248246</v>
      </c>
      <c r="BU322" s="460">
        <v>-2761.2154290088856</v>
      </c>
      <c r="BV322" s="461">
        <v>64041.276698044159</v>
      </c>
      <c r="BX322" s="462">
        <v>6213.0711726042209</v>
      </c>
      <c r="BY322" s="463">
        <v>0.10591240878787923</v>
      </c>
      <c r="BZ322" s="461">
        <v>105.42962400922248</v>
      </c>
      <c r="CB322" s="203">
        <v>3710</v>
      </c>
      <c r="CC322" s="203">
        <v>4793.5117920686253</v>
      </c>
      <c r="CD322" s="203" t="e">
        <v>#VALUE!</v>
      </c>
      <c r="CE322" s="203" t="e">
        <v>#VALUE!</v>
      </c>
      <c r="CF322" s="203" t="e">
        <v>#VALUE!</v>
      </c>
      <c r="CH322" s="199"/>
      <c r="CJ322" s="464" t="s">
        <v>1448</v>
      </c>
      <c r="CK322" s="464" t="s">
        <v>1447</v>
      </c>
      <c r="CL322" s="464" t="s">
        <v>1448</v>
      </c>
      <c r="CN322" s="464" t="s">
        <v>1447</v>
      </c>
      <c r="CO322" s="464" t="s">
        <v>1447</v>
      </c>
      <c r="CP322" s="464" t="s">
        <v>1447</v>
      </c>
      <c r="CQ322" s="464" t="s">
        <v>1447</v>
      </c>
      <c r="CS322" s="465">
        <v>0</v>
      </c>
      <c r="CT322" s="466">
        <v>0</v>
      </c>
      <c r="CU322" s="466">
        <v>0.95</v>
      </c>
      <c r="CV322" s="467">
        <v>0.95</v>
      </c>
    </row>
    <row r="323" spans="1:100" s="48" customFormat="1" outlineLevel="1" x14ac:dyDescent="0.3">
      <c r="A323" s="202">
        <v>78599000</v>
      </c>
      <c r="B323" s="48">
        <v>400853</v>
      </c>
      <c r="C323" s="48">
        <v>91108</v>
      </c>
      <c r="D323" s="48" t="s">
        <v>394</v>
      </c>
      <c r="E323" s="48" t="s">
        <v>7</v>
      </c>
      <c r="F323" s="48" t="s">
        <v>1498</v>
      </c>
      <c r="G323" s="48" t="s">
        <v>1499</v>
      </c>
      <c r="H323" s="48" t="s">
        <v>1515</v>
      </c>
      <c r="O323" s="454" t="s">
        <v>900</v>
      </c>
      <c r="P323" s="455" t="s">
        <v>900</v>
      </c>
      <c r="Q323" s="347" t="s">
        <v>900</v>
      </c>
      <c r="R323" s="455">
        <v>290</v>
      </c>
      <c r="S323" s="457">
        <v>226</v>
      </c>
      <c r="T323" s="455"/>
      <c r="U323" s="454">
        <v>290</v>
      </c>
      <c r="V323" s="455">
        <v>115.81218880895787</v>
      </c>
      <c r="W323" s="230">
        <v>0.39935237520330302</v>
      </c>
      <c r="X323" s="264" t="s">
        <v>900</v>
      </c>
      <c r="Y323" s="265" t="s">
        <v>900</v>
      </c>
      <c r="Z323" s="265" t="s">
        <v>900</v>
      </c>
      <c r="AA323" s="265" t="s">
        <v>900</v>
      </c>
      <c r="AB323" s="266" t="s">
        <v>900</v>
      </c>
      <c r="AC323" s="265">
        <v>54419.883168408604</v>
      </c>
      <c r="AD323" s="265">
        <v>11237.259857690877</v>
      </c>
      <c r="AE323" s="265">
        <v>29494.221338147701</v>
      </c>
      <c r="AF323" s="266">
        <v>25444.203188141502</v>
      </c>
      <c r="AG323" s="265">
        <v>54419.883168408604</v>
      </c>
      <c r="AH323" s="265">
        <v>11237.259857690877</v>
      </c>
      <c r="AI323" s="265">
        <v>29494.221338147701</v>
      </c>
      <c r="AJ323" s="266">
        <v>25444.203188141502</v>
      </c>
      <c r="AK323" s="265">
        <v>54429.388271430595</v>
      </c>
      <c r="AL323" s="265">
        <v>13211.844689126128</v>
      </c>
      <c r="AM323" s="265">
        <v>29499.372867258931</v>
      </c>
      <c r="AN323" s="265">
        <v>25448.647331688575</v>
      </c>
      <c r="AO323" s="266">
        <v>122589.25315950424</v>
      </c>
      <c r="AP323" s="203"/>
      <c r="AQ323" s="264">
        <v>68531.363058129529</v>
      </c>
      <c r="AR323" s="265">
        <v>14695.640965638933</v>
      </c>
      <c r="AS323" s="265">
        <v>36336.329977196998</v>
      </c>
      <c r="AT323" s="265">
        <v>35009.803810053418</v>
      </c>
      <c r="AU323" s="266">
        <v>154573.13781101888</v>
      </c>
      <c r="AV323" s="203"/>
      <c r="AW323" s="324">
        <v>152097.28292072559</v>
      </c>
      <c r="AX323" s="203"/>
      <c r="AY323" s="377">
        <v>0</v>
      </c>
      <c r="AZ323" s="265">
        <v>2475.8548902932962</v>
      </c>
      <c r="BA323" s="265">
        <v>152097.28292072559</v>
      </c>
      <c r="BB323" s="265">
        <v>1488.7097437506941</v>
      </c>
      <c r="BC323" s="266">
        <v>150608.5731769749</v>
      </c>
      <c r="BD323" s="264">
        <v>1506.0857317697489</v>
      </c>
      <c r="BE323" s="265">
        <v>149102.48744520516</v>
      </c>
      <c r="BF323" s="357">
        <v>0.98031000016560887</v>
      </c>
      <c r="BG323" s="203"/>
      <c r="BJ323" s="458">
        <v>0.98031000016560887</v>
      </c>
      <c r="BK323" s="210"/>
      <c r="BL323" s="458"/>
      <c r="BM323" s="458"/>
      <c r="BN323" s="458"/>
      <c r="BQ323" s="203">
        <v>148746.88648101964</v>
      </c>
      <c r="BR323" s="458">
        <v>0.97797201649254839</v>
      </c>
      <c r="BT323" s="459">
        <v>-22.853262479622579</v>
      </c>
      <c r="BU323" s="460">
        <v>-34074.782819499036</v>
      </c>
      <c r="BV323" s="461">
        <v>115027.70462570613</v>
      </c>
      <c r="BX323" s="462">
        <v>23861.83329899676</v>
      </c>
      <c r="BY323" s="463">
        <v>0.25790301188144343</v>
      </c>
      <c r="BZ323" s="461">
        <v>206.03904946791826</v>
      </c>
      <c r="CB323" s="203" t="s">
        <v>900</v>
      </c>
      <c r="CC323" s="203">
        <v>2132.4674647163188</v>
      </c>
      <c r="CD323" s="203" t="e">
        <v>#VALUE!</v>
      </c>
      <c r="CE323" s="203" t="e">
        <v>#VALUE!</v>
      </c>
      <c r="CF323" s="203" t="e">
        <v>#VALUE!</v>
      </c>
      <c r="CH323" s="199"/>
      <c r="CJ323" s="464" t="s">
        <v>1448</v>
      </c>
      <c r="CK323" s="464" t="s">
        <v>1447</v>
      </c>
      <c r="CL323" s="464" t="s">
        <v>1448</v>
      </c>
      <c r="CN323" s="464" t="s">
        <v>1447</v>
      </c>
      <c r="CO323" s="464" t="s">
        <v>1447</v>
      </c>
      <c r="CP323" s="464" t="s">
        <v>1447</v>
      </c>
      <c r="CQ323" s="464" t="s">
        <v>1447</v>
      </c>
      <c r="CS323" s="465">
        <v>0</v>
      </c>
      <c r="CT323" s="466">
        <v>0</v>
      </c>
      <c r="CU323" s="466">
        <v>0.95</v>
      </c>
      <c r="CV323" s="467">
        <v>0.95</v>
      </c>
    </row>
    <row r="324" spans="1:100" s="48" customFormat="1" outlineLevel="1" x14ac:dyDescent="0.3">
      <c r="A324" s="202">
        <v>78578000</v>
      </c>
      <c r="B324" s="48">
        <v>400846</v>
      </c>
      <c r="C324" s="48">
        <v>90540</v>
      </c>
      <c r="D324" s="48" t="s">
        <v>395</v>
      </c>
      <c r="E324" s="48" t="s">
        <v>7</v>
      </c>
      <c r="F324" s="48" t="s">
        <v>1498</v>
      </c>
      <c r="G324" s="48" t="s">
        <v>1499</v>
      </c>
      <c r="H324" s="48" t="s">
        <v>1515</v>
      </c>
      <c r="O324" s="454" t="s">
        <v>900</v>
      </c>
      <c r="P324" s="455" t="s">
        <v>900</v>
      </c>
      <c r="Q324" s="347" t="s">
        <v>900</v>
      </c>
      <c r="R324" s="455">
        <v>214</v>
      </c>
      <c r="S324" s="457">
        <v>165</v>
      </c>
      <c r="T324" s="455"/>
      <c r="U324" s="454">
        <v>214</v>
      </c>
      <c r="V324" s="455">
        <v>84.553146696805527</v>
      </c>
      <c r="W324" s="230">
        <v>0.39510816213460526</v>
      </c>
      <c r="X324" s="264" t="s">
        <v>900</v>
      </c>
      <c r="Y324" s="265" t="s">
        <v>900</v>
      </c>
      <c r="Z324" s="265" t="s">
        <v>900</v>
      </c>
      <c r="AA324" s="265" t="s">
        <v>900</v>
      </c>
      <c r="AB324" s="266" t="s">
        <v>900</v>
      </c>
      <c r="AC324" s="265">
        <v>39731.330631802739</v>
      </c>
      <c r="AD324" s="265">
        <v>8204.1941438893573</v>
      </c>
      <c r="AE324" s="265">
        <v>21533.391684930844</v>
      </c>
      <c r="AF324" s="266">
        <v>18576.520026740476</v>
      </c>
      <c r="AG324" s="265">
        <v>39731.330631802739</v>
      </c>
      <c r="AH324" s="265">
        <v>8204.1941438893573</v>
      </c>
      <c r="AI324" s="265">
        <v>21533.391684930844</v>
      </c>
      <c r="AJ324" s="266">
        <v>18576.520026740476</v>
      </c>
      <c r="AK324" s="265">
        <v>39740.83573482473</v>
      </c>
      <c r="AL324" s="265">
        <v>10178.778975324609</v>
      </c>
      <c r="AM324" s="265">
        <v>21538.543214042074</v>
      </c>
      <c r="AN324" s="265">
        <v>18580.964170287549</v>
      </c>
      <c r="AO324" s="266">
        <v>90039.122094478967</v>
      </c>
      <c r="AP324" s="203"/>
      <c r="AQ324" s="264">
        <v>48682.561291091144</v>
      </c>
      <c r="AR324" s="265">
        <v>10646.646070082268</v>
      </c>
      <c r="AS324" s="265">
        <v>25812.205277571298</v>
      </c>
      <c r="AT324" s="265">
        <v>24869.882105311804</v>
      </c>
      <c r="AU324" s="266">
        <v>110011.2947440565</v>
      </c>
      <c r="AV324" s="203"/>
      <c r="AW324" s="324">
        <v>108249.20330995128</v>
      </c>
      <c r="AX324" s="203"/>
      <c r="AY324" s="377">
        <v>0</v>
      </c>
      <c r="AZ324" s="265">
        <v>1762.0914341052267</v>
      </c>
      <c r="BA324" s="265">
        <v>108249.20330995128</v>
      </c>
      <c r="BB324" s="265">
        <v>1059.5300627741524</v>
      </c>
      <c r="BC324" s="266">
        <v>107189.67324717712</v>
      </c>
      <c r="BD324" s="264">
        <v>1071.8967324717712</v>
      </c>
      <c r="BE324" s="265">
        <v>106117.77651470536</v>
      </c>
      <c r="BF324" s="357">
        <v>0.98031000016560876</v>
      </c>
      <c r="BG324" s="203"/>
      <c r="BJ324" s="458">
        <v>0.98031000016560876</v>
      </c>
      <c r="BK324" s="210"/>
      <c r="BL324" s="458"/>
      <c r="BM324" s="458"/>
      <c r="BN324" s="458"/>
      <c r="BQ324" s="203">
        <v>105864.69164474487</v>
      </c>
      <c r="BR324" s="458">
        <v>0.97797201649254817</v>
      </c>
      <c r="BT324" s="459" t="s">
        <v>900</v>
      </c>
      <c r="BU324" s="460" t="s">
        <v>900</v>
      </c>
      <c r="BV324" s="461">
        <v>106117.77651470536</v>
      </c>
      <c r="BX324" s="462">
        <v>19737.455639785287</v>
      </c>
      <c r="BY324" s="463">
        <v>0.22518331146159143</v>
      </c>
      <c r="BZ324" s="461">
        <v>233.43253812375241</v>
      </c>
      <c r="CB324" s="203" t="s">
        <v>900</v>
      </c>
      <c r="CC324" s="203">
        <v>1559.203447822634</v>
      </c>
      <c r="CD324" s="203" t="e">
        <v>#VALUE!</v>
      </c>
      <c r="CE324" s="203" t="s">
        <v>900</v>
      </c>
      <c r="CF324" s="203" t="e">
        <v>#VALUE!</v>
      </c>
      <c r="CH324" s="199"/>
      <c r="CJ324" s="464" t="s">
        <v>1448</v>
      </c>
      <c r="CK324" s="464" t="s">
        <v>1447</v>
      </c>
      <c r="CL324" s="464" t="s">
        <v>1448</v>
      </c>
      <c r="CN324" s="464" t="s">
        <v>1447</v>
      </c>
      <c r="CO324" s="464" t="s">
        <v>1447</v>
      </c>
      <c r="CP324" s="464" t="s">
        <v>1447</v>
      </c>
      <c r="CQ324" s="464" t="s">
        <v>1447</v>
      </c>
      <c r="CS324" s="465">
        <v>0</v>
      </c>
      <c r="CT324" s="466">
        <v>0</v>
      </c>
      <c r="CU324" s="466">
        <v>0.95</v>
      </c>
      <c r="CV324" s="467">
        <v>0.95</v>
      </c>
    </row>
    <row r="325" spans="1:100" s="48" customFormat="1" outlineLevel="1" x14ac:dyDescent="0.3">
      <c r="A325" s="202">
        <v>78228000</v>
      </c>
      <c r="B325" s="48">
        <v>400880</v>
      </c>
      <c r="C325" s="48">
        <v>92043</v>
      </c>
      <c r="D325" s="48" t="s">
        <v>396</v>
      </c>
      <c r="E325" s="48" t="s">
        <v>7</v>
      </c>
      <c r="F325" s="48" t="s">
        <v>1501</v>
      </c>
      <c r="G325" s="48" t="s">
        <v>1502</v>
      </c>
      <c r="H325" s="48" t="s">
        <v>1510</v>
      </c>
      <c r="O325" s="454" t="s">
        <v>900</v>
      </c>
      <c r="P325" s="455" t="s">
        <v>900</v>
      </c>
      <c r="Q325" s="347" t="s">
        <v>900</v>
      </c>
      <c r="R325" s="455">
        <v>140</v>
      </c>
      <c r="S325" s="457">
        <v>119</v>
      </c>
      <c r="T325" s="455"/>
      <c r="U325" s="454">
        <v>140</v>
      </c>
      <c r="V325" s="455">
        <v>60.980754284362767</v>
      </c>
      <c r="W325" s="230">
        <v>0.43557681631687689</v>
      </c>
      <c r="X325" s="264" t="s">
        <v>900</v>
      </c>
      <c r="Y325" s="265" t="s">
        <v>900</v>
      </c>
      <c r="Z325" s="265" t="s">
        <v>900</v>
      </c>
      <c r="AA325" s="265" t="s">
        <v>900</v>
      </c>
      <c r="AB325" s="266" t="s">
        <v>900</v>
      </c>
      <c r="AC325" s="265">
        <v>28654.717243542578</v>
      </c>
      <c r="AD325" s="265">
        <v>5916.9642613505057</v>
      </c>
      <c r="AE325" s="265">
        <v>15530.143093980425</v>
      </c>
      <c r="AF325" s="266">
        <v>13397.61141322495</v>
      </c>
      <c r="AG325" s="265">
        <v>28654.717243542578</v>
      </c>
      <c r="AH325" s="265">
        <v>5916.9642613505057</v>
      </c>
      <c r="AI325" s="265">
        <v>15530.143093980425</v>
      </c>
      <c r="AJ325" s="266">
        <v>13397.61141322495</v>
      </c>
      <c r="AK325" s="265">
        <v>28664.222346564569</v>
      </c>
      <c r="AL325" s="265">
        <v>7891.5490927857572</v>
      </c>
      <c r="AM325" s="265">
        <v>15535.294623091655</v>
      </c>
      <c r="AN325" s="265">
        <v>13402.055556772022</v>
      </c>
      <c r="AO325" s="266">
        <v>65493.121619214005</v>
      </c>
      <c r="AP325" s="203"/>
      <c r="AQ325" s="264">
        <v>51672.249718510982</v>
      </c>
      <c r="AR325" s="265">
        <v>10646.646070082268</v>
      </c>
      <c r="AS325" s="265">
        <v>26451.12593699127</v>
      </c>
      <c r="AT325" s="265">
        <v>26450.820086929314</v>
      </c>
      <c r="AU325" s="266">
        <v>115220.84181251383</v>
      </c>
      <c r="AV325" s="203"/>
      <c r="AW325" s="324">
        <v>113375.30714390932</v>
      </c>
      <c r="AX325" s="203"/>
      <c r="AY325" s="377">
        <v>0</v>
      </c>
      <c r="AZ325" s="265">
        <v>1845.5346686045086</v>
      </c>
      <c r="BA325" s="265">
        <v>113375.30714390932</v>
      </c>
      <c r="BB325" s="265">
        <v>1109.7037448975113</v>
      </c>
      <c r="BC325" s="266">
        <v>112265.6033990118</v>
      </c>
      <c r="BD325" s="264">
        <v>1122.656033990118</v>
      </c>
      <c r="BE325" s="265">
        <v>111142.94736502168</v>
      </c>
      <c r="BF325" s="357">
        <v>0.98031000016560876</v>
      </c>
      <c r="BG325" s="203"/>
      <c r="BJ325" s="458">
        <v>0.98031000016560876</v>
      </c>
      <c r="BK325" s="210"/>
      <c r="BL325" s="458"/>
      <c r="BM325" s="458"/>
      <c r="BN325" s="458"/>
      <c r="BQ325" s="203">
        <v>110877.87774799099</v>
      </c>
      <c r="BR325" s="458">
        <v>0.97797201649254806</v>
      </c>
      <c r="BT325" s="459" t="s">
        <v>900</v>
      </c>
      <c r="BU325" s="460" t="s">
        <v>900</v>
      </c>
      <c r="BV325" s="461">
        <v>111142.94736502168</v>
      </c>
      <c r="BX325" s="462">
        <v>48736.707619595021</v>
      </c>
      <c r="BY325" s="463">
        <v>0.7698304274580573</v>
      </c>
      <c r="BZ325" s="461">
        <v>799.21457501703162</v>
      </c>
      <c r="CB325" s="203" t="s">
        <v>900</v>
      </c>
      <c r="CC325" s="203">
        <v>1109.9302067467913</v>
      </c>
      <c r="CD325" s="203" t="e">
        <v>#VALUE!</v>
      </c>
      <c r="CE325" s="203" t="s">
        <v>900</v>
      </c>
      <c r="CF325" s="203" t="e">
        <v>#VALUE!</v>
      </c>
      <c r="CH325" s="199"/>
      <c r="CJ325" s="464" t="s">
        <v>1448</v>
      </c>
      <c r="CK325" s="464" t="s">
        <v>1447</v>
      </c>
      <c r="CL325" s="464" t="s">
        <v>1448</v>
      </c>
      <c r="CN325" s="464" t="s">
        <v>1447</v>
      </c>
      <c r="CO325" s="464" t="s">
        <v>1447</v>
      </c>
      <c r="CP325" s="464" t="s">
        <v>1447</v>
      </c>
      <c r="CQ325" s="464" t="s">
        <v>1447</v>
      </c>
      <c r="CS325" s="465">
        <v>0</v>
      </c>
      <c r="CT325" s="466">
        <v>0</v>
      </c>
      <c r="CU325" s="466">
        <v>0.95</v>
      </c>
      <c r="CV325" s="467">
        <v>0.95</v>
      </c>
    </row>
    <row r="326" spans="1:100" s="48" customFormat="1" outlineLevel="1" x14ac:dyDescent="0.3">
      <c r="A326" s="202">
        <v>78992000</v>
      </c>
      <c r="B326" s="48">
        <v>400416</v>
      </c>
      <c r="C326" s="48">
        <v>85807</v>
      </c>
      <c r="D326" s="48" t="s">
        <v>400</v>
      </c>
      <c r="E326" s="48" t="s">
        <v>7</v>
      </c>
      <c r="F326" s="48" t="s">
        <v>1498</v>
      </c>
      <c r="G326" s="48" t="s">
        <v>1499</v>
      </c>
      <c r="H326" s="48" t="s">
        <v>1506</v>
      </c>
      <c r="O326" s="454" t="s">
        <v>900</v>
      </c>
      <c r="P326" s="455" t="s">
        <v>900</v>
      </c>
      <c r="Q326" s="347" t="s">
        <v>900</v>
      </c>
      <c r="R326" s="455">
        <v>293</v>
      </c>
      <c r="S326" s="457">
        <v>287</v>
      </c>
      <c r="T326" s="455"/>
      <c r="U326" s="454">
        <v>293</v>
      </c>
      <c r="V326" s="455">
        <v>147.07123092111021</v>
      </c>
      <c r="W326" s="230">
        <v>0.50194959358740687</v>
      </c>
      <c r="X326" s="264" t="s">
        <v>900</v>
      </c>
      <c r="Y326" s="265" t="s">
        <v>900</v>
      </c>
      <c r="Z326" s="265" t="s">
        <v>900</v>
      </c>
      <c r="AA326" s="265" t="s">
        <v>900</v>
      </c>
      <c r="AB326" s="266" t="s">
        <v>900</v>
      </c>
      <c r="AC326" s="265">
        <v>69108.435705014461</v>
      </c>
      <c r="AD326" s="265">
        <v>14270.325571492396</v>
      </c>
      <c r="AE326" s="265">
        <v>37455.050991364558</v>
      </c>
      <c r="AF326" s="266">
        <v>32311.886349542525</v>
      </c>
      <c r="AG326" s="265">
        <v>69108.435705014461</v>
      </c>
      <c r="AH326" s="265">
        <v>14270.325571492396</v>
      </c>
      <c r="AI326" s="265">
        <v>37455.050991364558</v>
      </c>
      <c r="AJ326" s="266">
        <v>32311.886349542525</v>
      </c>
      <c r="AK326" s="265">
        <v>69117.940808036452</v>
      </c>
      <c r="AL326" s="265">
        <v>16244.910402927648</v>
      </c>
      <c r="AM326" s="265">
        <v>37460.202520475788</v>
      </c>
      <c r="AN326" s="265">
        <v>32316.330493089597</v>
      </c>
      <c r="AO326" s="266">
        <v>155139.38422452949</v>
      </c>
      <c r="AP326" s="203"/>
      <c r="AQ326" s="264">
        <v>83538.993662475637</v>
      </c>
      <c r="AR326" s="265">
        <v>17757.076130572023</v>
      </c>
      <c r="AS326" s="265">
        <v>44293.594993987172</v>
      </c>
      <c r="AT326" s="265">
        <v>42676.573879492207</v>
      </c>
      <c r="AU326" s="266">
        <v>188266.23866652703</v>
      </c>
      <c r="AV326" s="203"/>
      <c r="AW326" s="324">
        <v>185250.70896789647</v>
      </c>
      <c r="AX326" s="203"/>
      <c r="AY326" s="377">
        <v>0</v>
      </c>
      <c r="AZ326" s="265">
        <v>3015.5296986305621</v>
      </c>
      <c r="BA326" s="265">
        <v>185250.70896789647</v>
      </c>
      <c r="BB326" s="265">
        <v>1813.2114537573486</v>
      </c>
      <c r="BC326" s="266">
        <v>183437.49751413913</v>
      </c>
      <c r="BD326" s="264">
        <v>1834.3749751413914</v>
      </c>
      <c r="BE326" s="265">
        <v>181603.12253899773</v>
      </c>
      <c r="BF326" s="357">
        <v>0.98031000016560876</v>
      </c>
      <c r="BG326" s="203"/>
      <c r="BJ326" s="458">
        <v>0.98031000016560876</v>
      </c>
      <c r="BK326" s="210"/>
      <c r="BL326" s="458"/>
      <c r="BM326" s="458"/>
      <c r="BN326" s="458"/>
      <c r="BQ326" s="203">
        <v>181170.00940600788</v>
      </c>
      <c r="BR326" s="458">
        <v>0.97797201649254817</v>
      </c>
      <c r="BT326" s="459" t="s">
        <v>900</v>
      </c>
      <c r="BU326" s="460" t="s">
        <v>900</v>
      </c>
      <c r="BV326" s="461">
        <v>181603.12253899773</v>
      </c>
      <c r="BX326" s="462">
        <v>31639.3691032473</v>
      </c>
      <c r="BY326" s="463">
        <v>0.20786589468670943</v>
      </c>
      <c r="BZ326" s="461">
        <v>215.12955936446079</v>
      </c>
      <c r="CB326" s="203" t="s">
        <v>900</v>
      </c>
      <c r="CC326" s="203">
        <v>2631.4749258322681</v>
      </c>
      <c r="CD326" s="203" t="e">
        <v>#VALUE!</v>
      </c>
      <c r="CE326" s="203" t="s">
        <v>900</v>
      </c>
      <c r="CF326" s="203" t="e">
        <v>#VALUE!</v>
      </c>
      <c r="CH326" s="199"/>
      <c r="CJ326" s="464" t="s">
        <v>1448</v>
      </c>
      <c r="CK326" s="464" t="s">
        <v>1447</v>
      </c>
      <c r="CL326" s="464" t="s">
        <v>1448</v>
      </c>
      <c r="CN326" s="464" t="s">
        <v>1447</v>
      </c>
      <c r="CO326" s="464" t="s">
        <v>1447</v>
      </c>
      <c r="CP326" s="464" t="s">
        <v>1447</v>
      </c>
      <c r="CQ326" s="464" t="s">
        <v>1447</v>
      </c>
      <c r="CS326" s="465">
        <v>0</v>
      </c>
      <c r="CT326" s="466">
        <v>0</v>
      </c>
      <c r="CU326" s="466">
        <v>0.95</v>
      </c>
      <c r="CV326" s="467">
        <v>0.95</v>
      </c>
    </row>
    <row r="327" spans="1:100" s="48" customFormat="1" outlineLevel="1" x14ac:dyDescent="0.3">
      <c r="A327" s="202">
        <v>78634000</v>
      </c>
      <c r="B327" s="48">
        <v>400040</v>
      </c>
      <c r="C327" s="48">
        <v>4313</v>
      </c>
      <c r="D327" s="48" t="s">
        <v>1537</v>
      </c>
      <c r="E327" s="48" t="s">
        <v>7</v>
      </c>
      <c r="F327" s="48" t="s">
        <v>1503</v>
      </c>
      <c r="G327" s="48" t="s">
        <v>1502</v>
      </c>
      <c r="H327" s="48" t="s">
        <v>1512</v>
      </c>
      <c r="O327" s="454" t="s">
        <v>900</v>
      </c>
      <c r="P327" s="455" t="s">
        <v>900</v>
      </c>
      <c r="Q327" s="347" t="s">
        <v>900</v>
      </c>
      <c r="R327" s="455">
        <v>95</v>
      </c>
      <c r="S327" s="457">
        <v>85</v>
      </c>
      <c r="T327" s="455"/>
      <c r="U327" s="454">
        <v>95</v>
      </c>
      <c r="V327" s="455">
        <v>43.557681631687693</v>
      </c>
      <c r="W327" s="230">
        <v>0.45850191191250206</v>
      </c>
      <c r="X327" s="264" t="s">
        <v>900</v>
      </c>
      <c r="Y327" s="265" t="s">
        <v>900</v>
      </c>
      <c r="Z327" s="265" t="s">
        <v>900</v>
      </c>
      <c r="AA327" s="265" t="s">
        <v>900</v>
      </c>
      <c r="AB327" s="266" t="s">
        <v>900</v>
      </c>
      <c r="AC327" s="265">
        <v>20467.655173958985</v>
      </c>
      <c r="AD327" s="265">
        <v>4226.4030438217897</v>
      </c>
      <c r="AE327" s="265">
        <v>11092.959352843161</v>
      </c>
      <c r="AF327" s="266">
        <v>9569.7224380178213</v>
      </c>
      <c r="AG327" s="265">
        <v>20467.655173958985</v>
      </c>
      <c r="AH327" s="265">
        <v>4226.4030438217897</v>
      </c>
      <c r="AI327" s="265">
        <v>11092.959352843161</v>
      </c>
      <c r="AJ327" s="266">
        <v>9569.7224380178213</v>
      </c>
      <c r="AK327" s="265">
        <v>20477.160276980976</v>
      </c>
      <c r="AL327" s="265">
        <v>6200.9878752570412</v>
      </c>
      <c r="AM327" s="265">
        <v>11098.110881954392</v>
      </c>
      <c r="AN327" s="265">
        <v>9574.1665815648939</v>
      </c>
      <c r="AO327" s="266">
        <v>47350.425615757304</v>
      </c>
      <c r="AP327" s="203"/>
      <c r="AQ327" s="264">
        <v>20166.131996213848</v>
      </c>
      <c r="AR327" s="265">
        <v>6004.0895806258404</v>
      </c>
      <c r="AS327" s="265">
        <v>10944.39671679254</v>
      </c>
      <c r="AT327" s="265">
        <v>9289.0268029039453</v>
      </c>
      <c r="AU327" s="266">
        <v>46403.645096536173</v>
      </c>
      <c r="AV327" s="203"/>
      <c r="AW327" s="324">
        <v>40872.885859249174</v>
      </c>
      <c r="AX327" s="203"/>
      <c r="AY327" s="377">
        <v>0</v>
      </c>
      <c r="AZ327" s="265">
        <v>4377.5861764717774</v>
      </c>
      <c r="BA327" s="265">
        <v>42026.058920064395</v>
      </c>
      <c r="BB327" s="265">
        <v>411.34596361165671</v>
      </c>
      <c r="BC327" s="266">
        <v>41614.712956452742</v>
      </c>
      <c r="BD327" s="264">
        <v>416.1471295645274</v>
      </c>
      <c r="BE327" s="265">
        <v>41198.565826888218</v>
      </c>
      <c r="BF327" s="357">
        <v>1.0079681177580797</v>
      </c>
      <c r="BG327" s="203"/>
      <c r="BJ327" s="458">
        <v>1.0079681177580797</v>
      </c>
      <c r="BK327" s="210"/>
      <c r="BL327" s="458"/>
      <c r="BM327" s="458"/>
      <c r="BN327" s="458"/>
      <c r="BQ327" s="203">
        <v>41100.309587290023</v>
      </c>
      <c r="BR327" s="458">
        <v>1.0055641710454215</v>
      </c>
      <c r="BT327" s="459">
        <v>-12.694713433701029</v>
      </c>
      <c r="BU327" s="460">
        <v>-5230.0398705181397</v>
      </c>
      <c r="BV327" s="461">
        <v>35968.525956370082</v>
      </c>
      <c r="BX327" s="462">
        <v>-1484.4083446517325</v>
      </c>
      <c r="BY327" s="463">
        <v>-3.9082959119599213E-2</v>
      </c>
      <c r="BZ327" s="461">
        <v>-34.079140327152835</v>
      </c>
      <c r="CB327" s="203">
        <v>7057</v>
      </c>
      <c r="CC327" s="203">
        <v>7844.7212250691937</v>
      </c>
      <c r="CD327" s="203" t="e">
        <v>#VALUE!</v>
      </c>
      <c r="CE327" s="203" t="e">
        <v>#VALUE!</v>
      </c>
      <c r="CF327" s="203" t="e">
        <v>#VALUE!</v>
      </c>
      <c r="CH327" s="199"/>
      <c r="CJ327" s="464" t="s">
        <v>1448</v>
      </c>
      <c r="CK327" s="464" t="s">
        <v>1447</v>
      </c>
      <c r="CL327" s="464" t="s">
        <v>1448</v>
      </c>
      <c r="CN327" s="464" t="s">
        <v>1447</v>
      </c>
      <c r="CO327" s="464" t="s">
        <v>1447</v>
      </c>
      <c r="CP327" s="464" t="s">
        <v>1447</v>
      </c>
      <c r="CQ327" s="464" t="s">
        <v>1447</v>
      </c>
      <c r="CS327" s="465">
        <v>0</v>
      </c>
      <c r="CT327" s="466">
        <v>0</v>
      </c>
      <c r="CU327" s="466">
        <v>0.95</v>
      </c>
      <c r="CV327" s="467">
        <v>0.95</v>
      </c>
    </row>
    <row r="328" spans="1:100" s="48" customFormat="1" outlineLevel="1" x14ac:dyDescent="0.3">
      <c r="A328" s="202">
        <v>78924000</v>
      </c>
      <c r="B328" s="48">
        <v>400326</v>
      </c>
      <c r="C328" s="48">
        <v>79453</v>
      </c>
      <c r="D328" s="48" t="s">
        <v>402</v>
      </c>
      <c r="E328" s="48" t="s">
        <v>7</v>
      </c>
      <c r="F328" s="48" t="s">
        <v>1498</v>
      </c>
      <c r="G328" s="48" t="s">
        <v>1502</v>
      </c>
      <c r="H328" s="48" t="s">
        <v>1512</v>
      </c>
      <c r="O328" s="454" t="s">
        <v>900</v>
      </c>
      <c r="P328" s="455" t="s">
        <v>900</v>
      </c>
      <c r="Q328" s="347" t="s">
        <v>900</v>
      </c>
      <c r="R328" s="455">
        <v>714</v>
      </c>
      <c r="S328" s="457">
        <v>557</v>
      </c>
      <c r="T328" s="455"/>
      <c r="U328" s="454">
        <v>714</v>
      </c>
      <c r="V328" s="455">
        <v>285.4309255158829</v>
      </c>
      <c r="W328" s="230">
        <v>0.39976320100263713</v>
      </c>
      <c r="X328" s="264" t="s">
        <v>900</v>
      </c>
      <c r="Y328" s="265" t="s">
        <v>900</v>
      </c>
      <c r="Z328" s="265" t="s">
        <v>900</v>
      </c>
      <c r="AA328" s="265" t="s">
        <v>900</v>
      </c>
      <c r="AB328" s="266" t="s">
        <v>900</v>
      </c>
      <c r="AC328" s="265">
        <v>134123.34037523714</v>
      </c>
      <c r="AD328" s="265">
        <v>27695.370534220434</v>
      </c>
      <c r="AE328" s="265">
        <v>72691.510112160482</v>
      </c>
      <c r="AF328" s="266">
        <v>62709.828211481494</v>
      </c>
      <c r="AG328" s="265">
        <v>134123.34037523714</v>
      </c>
      <c r="AH328" s="265">
        <v>27695.370534220434</v>
      </c>
      <c r="AI328" s="265">
        <v>72691.510112160482</v>
      </c>
      <c r="AJ328" s="266">
        <v>62709.828211481494</v>
      </c>
      <c r="AK328" s="265">
        <v>134132.84547825911</v>
      </c>
      <c r="AL328" s="265">
        <v>29669.955365655685</v>
      </c>
      <c r="AM328" s="265">
        <v>72696.661641271712</v>
      </c>
      <c r="AN328" s="265">
        <v>62714.272355028566</v>
      </c>
      <c r="AO328" s="266">
        <v>299213.73484021507</v>
      </c>
      <c r="AP328" s="203"/>
      <c r="AQ328" s="264">
        <v>134129.23231261011</v>
      </c>
      <c r="AR328" s="265">
        <v>28727.853279536172</v>
      </c>
      <c r="AS328" s="265">
        <v>71689.777967725851</v>
      </c>
      <c r="AT328" s="265">
        <v>68521.008468406828</v>
      </c>
      <c r="AU328" s="266">
        <v>303067.872028279</v>
      </c>
      <c r="AV328" s="203"/>
      <c r="AW328" s="324">
        <v>297009.83870755322</v>
      </c>
      <c r="AX328" s="203"/>
      <c r="AY328" s="377">
        <v>0</v>
      </c>
      <c r="AZ328" s="265">
        <v>6058.033320725779</v>
      </c>
      <c r="BA328" s="265">
        <v>297009.83870755322</v>
      </c>
      <c r="BB328" s="265">
        <v>2907.0962503926839</v>
      </c>
      <c r="BC328" s="266">
        <v>294102.74245716055</v>
      </c>
      <c r="BD328" s="264">
        <v>2941.0274245716055</v>
      </c>
      <c r="BE328" s="265">
        <v>291161.71503258892</v>
      </c>
      <c r="BF328" s="357">
        <v>0.98031000016560876</v>
      </c>
      <c r="BG328" s="203"/>
      <c r="BJ328" s="458">
        <v>0.98031000016560876</v>
      </c>
      <c r="BK328" s="210"/>
      <c r="BL328" s="458"/>
      <c r="BM328" s="458"/>
      <c r="BN328" s="458"/>
      <c r="BQ328" s="203">
        <v>290467.31087895232</v>
      </c>
      <c r="BR328" s="458">
        <v>0.97797201649254817</v>
      </c>
      <c r="BT328" s="459" t="s">
        <v>900</v>
      </c>
      <c r="BU328" s="460" t="s">
        <v>900</v>
      </c>
      <c r="BV328" s="461">
        <v>291161.71503258892</v>
      </c>
      <c r="BX328" s="462">
        <v>480.5288802467403</v>
      </c>
      <c r="BY328" s="463">
        <v>1.6284207581096399E-3</v>
      </c>
      <c r="BZ328" s="461">
        <v>1.6835207305523769</v>
      </c>
      <c r="CB328" s="203">
        <v>4431</v>
      </c>
      <c r="CC328" s="203">
        <v>9685.9359312990127</v>
      </c>
      <c r="CD328" s="203" t="e">
        <v>#VALUE!</v>
      </c>
      <c r="CE328" s="203" t="s">
        <v>900</v>
      </c>
      <c r="CF328" s="203" t="e">
        <v>#VALUE!</v>
      </c>
      <c r="CH328" s="199"/>
      <c r="CJ328" s="464" t="s">
        <v>1448</v>
      </c>
      <c r="CK328" s="464" t="s">
        <v>1447</v>
      </c>
      <c r="CL328" s="464" t="s">
        <v>1448</v>
      </c>
      <c r="CN328" s="464" t="s">
        <v>1447</v>
      </c>
      <c r="CO328" s="464" t="s">
        <v>1447</v>
      </c>
      <c r="CP328" s="464" t="s">
        <v>1447</v>
      </c>
      <c r="CQ328" s="464" t="s">
        <v>1447</v>
      </c>
      <c r="CS328" s="465">
        <v>0</v>
      </c>
      <c r="CT328" s="466">
        <v>0</v>
      </c>
      <c r="CU328" s="466">
        <v>0.95</v>
      </c>
      <c r="CV328" s="467">
        <v>0.95</v>
      </c>
    </row>
    <row r="329" spans="1:100" s="48" customFormat="1" outlineLevel="1" x14ac:dyDescent="0.3">
      <c r="A329" s="202">
        <v>78217000</v>
      </c>
      <c r="B329" s="48" t="e">
        <v>#N/A</v>
      </c>
      <c r="C329" s="48">
        <v>91933</v>
      </c>
      <c r="D329" s="48" t="s">
        <v>405</v>
      </c>
      <c r="E329" s="48" t="s">
        <v>7</v>
      </c>
      <c r="F329" s="48" t="s">
        <v>1498</v>
      </c>
      <c r="G329" s="48" t="s">
        <v>1499</v>
      </c>
      <c r="H329" s="48" t="s">
        <v>900</v>
      </c>
      <c r="O329" s="454" t="s">
        <v>900</v>
      </c>
      <c r="P329" s="455" t="s">
        <v>900</v>
      </c>
      <c r="Q329" s="347" t="s">
        <v>900</v>
      </c>
      <c r="R329" s="455">
        <v>152</v>
      </c>
      <c r="S329" s="457">
        <v>140</v>
      </c>
      <c r="T329" s="455"/>
      <c r="U329" s="454">
        <v>152</v>
      </c>
      <c r="V329" s="455">
        <v>71.742063863956204</v>
      </c>
      <c r="W329" s="230">
        <v>0.47198726226286974</v>
      </c>
      <c r="X329" s="264" t="s">
        <v>900</v>
      </c>
      <c r="Y329" s="265" t="s">
        <v>900</v>
      </c>
      <c r="Z329" s="265" t="s">
        <v>900</v>
      </c>
      <c r="AA329" s="265" t="s">
        <v>900</v>
      </c>
      <c r="AB329" s="266" t="s">
        <v>900</v>
      </c>
      <c r="AC329" s="265">
        <v>33711.432051226569</v>
      </c>
      <c r="AD329" s="265">
        <v>6961.1344251182418</v>
      </c>
      <c r="AE329" s="265">
        <v>18270.756581153444</v>
      </c>
      <c r="AF329" s="266">
        <v>15761.895780264647</v>
      </c>
      <c r="AG329" s="265">
        <v>33711.432051226569</v>
      </c>
      <c r="AH329" s="265">
        <v>6961.1344251182418</v>
      </c>
      <c r="AI329" s="265">
        <v>18270.756581153444</v>
      </c>
      <c r="AJ329" s="266">
        <v>15761.895780264647</v>
      </c>
      <c r="AK329" s="265">
        <v>33720.937154248561</v>
      </c>
      <c r="AL329" s="265">
        <v>8935.7192565534933</v>
      </c>
      <c r="AM329" s="265">
        <v>18275.908110264674</v>
      </c>
      <c r="AN329" s="265">
        <v>15766.33992381172</v>
      </c>
      <c r="AO329" s="266">
        <v>76698.904444878455</v>
      </c>
      <c r="AP329" s="203"/>
      <c r="AQ329" s="264">
        <v>33208.748698081989</v>
      </c>
      <c r="AR329" s="265">
        <v>8651.9857743547964</v>
      </c>
      <c r="AS329" s="265">
        <v>18022.778006625871</v>
      </c>
      <c r="AT329" s="265">
        <v>15132.976221223804</v>
      </c>
      <c r="AU329" s="266">
        <v>75016.488700286456</v>
      </c>
      <c r="AV329" s="203"/>
      <c r="AW329" s="324">
        <v>40338.153181068992</v>
      </c>
      <c r="AX329" s="203"/>
      <c r="AY329" s="377">
        <v>0</v>
      </c>
      <c r="AZ329" s="265">
        <v>7076.839400410332</v>
      </c>
      <c r="BA329" s="265">
        <v>67939.649299876124</v>
      </c>
      <c r="BB329" s="265">
        <v>664.98504087312938</v>
      </c>
      <c r="BC329" s="266">
        <v>67274.664259002995</v>
      </c>
      <c r="BD329" s="264">
        <v>672.74664259002998</v>
      </c>
      <c r="BE329" s="265">
        <v>66601.91761641296</v>
      </c>
      <c r="BF329" s="357">
        <v>1.6510899077965164</v>
      </c>
      <c r="BG329" s="203"/>
      <c r="BJ329" s="458">
        <v>1.6510899077965164</v>
      </c>
      <c r="BK329" s="210"/>
      <c r="BL329" s="458"/>
      <c r="BM329" s="458"/>
      <c r="BN329" s="458"/>
      <c r="BQ329" s="203">
        <v>66443.075825596388</v>
      </c>
      <c r="BR329" s="458">
        <v>1.6471521521411308</v>
      </c>
      <c r="BT329" s="459" t="s">
        <v>900</v>
      </c>
      <c r="BU329" s="460" t="s">
        <v>900</v>
      </c>
      <c r="BV329" s="461">
        <v>66601.91761641296</v>
      </c>
      <c r="BX329" s="462">
        <v>-3814.9741820354975</v>
      </c>
      <c r="BY329" s="463">
        <v>-9.6593118877483397E-2</v>
      </c>
      <c r="BZ329" s="461">
        <v>-53.176253603043769</v>
      </c>
      <c r="CB329" s="203" t="s">
        <v>900</v>
      </c>
      <c r="CC329" s="203">
        <v>1292.8756533459502</v>
      </c>
      <c r="CD329" s="203" t="e">
        <v>#VALUE!</v>
      </c>
      <c r="CE329" s="203" t="s">
        <v>900</v>
      </c>
      <c r="CF329" s="203" t="e">
        <v>#VALUE!</v>
      </c>
      <c r="CH329" s="199"/>
      <c r="CJ329" s="464" t="s">
        <v>1448</v>
      </c>
      <c r="CK329" s="464" t="s">
        <v>1447</v>
      </c>
      <c r="CL329" s="464" t="s">
        <v>1448</v>
      </c>
      <c r="CN329" s="464" t="s">
        <v>1447</v>
      </c>
      <c r="CO329" s="464" t="s">
        <v>1447</v>
      </c>
      <c r="CP329" s="464" t="s">
        <v>1447</v>
      </c>
      <c r="CQ329" s="464" t="s">
        <v>1447</v>
      </c>
      <c r="CS329" s="465">
        <v>0</v>
      </c>
      <c r="CT329" s="466">
        <v>0</v>
      </c>
      <c r="CU329" s="466">
        <v>0.95</v>
      </c>
      <c r="CV329" s="467">
        <v>0.95</v>
      </c>
    </row>
    <row r="330" spans="1:100" s="48" customFormat="1" outlineLevel="1" x14ac:dyDescent="0.3">
      <c r="A330" s="202">
        <v>78551000</v>
      </c>
      <c r="B330" s="48">
        <v>400791</v>
      </c>
      <c r="C330" s="48">
        <v>90142</v>
      </c>
      <c r="D330" s="48" t="s">
        <v>407</v>
      </c>
      <c r="E330" s="48" t="s">
        <v>7</v>
      </c>
      <c r="F330" s="48" t="s">
        <v>1498</v>
      </c>
      <c r="G330" s="48" t="s">
        <v>1499</v>
      </c>
      <c r="H330" s="48" t="s">
        <v>1506</v>
      </c>
      <c r="O330" s="454" t="s">
        <v>900</v>
      </c>
      <c r="P330" s="455" t="s">
        <v>900</v>
      </c>
      <c r="Q330" s="347" t="s">
        <v>900</v>
      </c>
      <c r="R330" s="455">
        <v>226</v>
      </c>
      <c r="S330" s="457">
        <v>176</v>
      </c>
      <c r="T330" s="455"/>
      <c r="U330" s="454">
        <v>226</v>
      </c>
      <c r="V330" s="455">
        <v>90.190023143259225</v>
      </c>
      <c r="W330" s="230">
        <v>0.3990708988639789</v>
      </c>
      <c r="X330" s="264" t="s">
        <v>900</v>
      </c>
      <c r="Y330" s="265" t="s">
        <v>900</v>
      </c>
      <c r="Z330" s="265" t="s">
        <v>900</v>
      </c>
      <c r="AA330" s="265" t="s">
        <v>900</v>
      </c>
      <c r="AB330" s="266" t="s">
        <v>900</v>
      </c>
      <c r="AC330" s="265">
        <v>42380.086007256257</v>
      </c>
      <c r="AD330" s="265">
        <v>8751.1404201486475</v>
      </c>
      <c r="AE330" s="265">
        <v>22968.951130592901</v>
      </c>
      <c r="AF330" s="266">
        <v>19814.954695189841</v>
      </c>
      <c r="AG330" s="265">
        <v>42380.086007256257</v>
      </c>
      <c r="AH330" s="265">
        <v>8751.1404201486475</v>
      </c>
      <c r="AI330" s="265">
        <v>22968.951130592901</v>
      </c>
      <c r="AJ330" s="266">
        <v>19814.954695189841</v>
      </c>
      <c r="AK330" s="265">
        <v>42389.591110278248</v>
      </c>
      <c r="AL330" s="265">
        <v>10725.725251583899</v>
      </c>
      <c r="AM330" s="265">
        <v>22974.102659704131</v>
      </c>
      <c r="AN330" s="265">
        <v>19819.398838736914</v>
      </c>
      <c r="AO330" s="266">
        <v>95908.817860303199</v>
      </c>
      <c r="AP330" s="203"/>
      <c r="AQ330" s="264">
        <v>41745.734175668411</v>
      </c>
      <c r="AR330" s="265">
        <v>10385.154192068298</v>
      </c>
      <c r="AS330" s="265">
        <v>22655.900305425868</v>
      </c>
      <c r="AT330" s="265">
        <v>19023.216091680282</v>
      </c>
      <c r="AU330" s="266">
        <v>93810.004764842859</v>
      </c>
      <c r="AV330" s="203"/>
      <c r="AW330" s="324">
        <v>82047.302079122688</v>
      </c>
      <c r="AX330" s="203"/>
      <c r="AY330" s="377">
        <v>0</v>
      </c>
      <c r="AZ330" s="265">
        <v>8849.7655565420573</v>
      </c>
      <c r="BA330" s="265">
        <v>84960.239208300802</v>
      </c>
      <c r="BB330" s="265">
        <v>831.58050894775181</v>
      </c>
      <c r="BC330" s="266">
        <v>84128.658699353051</v>
      </c>
      <c r="BD330" s="264">
        <v>841.28658699353048</v>
      </c>
      <c r="BE330" s="265">
        <v>83287.372112359517</v>
      </c>
      <c r="BF330" s="357">
        <v>1.0151140866526112</v>
      </c>
      <c r="BG330" s="203"/>
      <c r="BJ330" s="458">
        <v>1.0151140866526112</v>
      </c>
      <c r="BK330" s="210"/>
      <c r="BL330" s="458"/>
      <c r="BM330" s="458"/>
      <c r="BN330" s="458"/>
      <c r="BQ330" s="203">
        <v>83088.736460231186</v>
      </c>
      <c r="BR330" s="458">
        <v>1.0126930972099994</v>
      </c>
      <c r="BT330" s="459" t="s">
        <v>900</v>
      </c>
      <c r="BU330" s="460" t="s">
        <v>900</v>
      </c>
      <c r="BV330" s="461">
        <v>83287.372112359517</v>
      </c>
      <c r="BX330" s="462">
        <v>-5141.3510738126934</v>
      </c>
      <c r="BY330" s="463">
        <v>-5.7296278204825364E-2</v>
      </c>
      <c r="BZ330" s="461">
        <v>-57.00576288406193</v>
      </c>
      <c r="CB330" s="203" t="s">
        <v>900</v>
      </c>
      <c r="CC330" s="203">
        <v>1660.8446613336928</v>
      </c>
      <c r="CD330" s="203" t="e">
        <v>#VALUE!</v>
      </c>
      <c r="CE330" s="203" t="s">
        <v>900</v>
      </c>
      <c r="CF330" s="203" t="e">
        <v>#VALUE!</v>
      </c>
      <c r="CH330" s="199"/>
      <c r="CJ330" s="464" t="s">
        <v>1448</v>
      </c>
      <c r="CK330" s="464" t="s">
        <v>1447</v>
      </c>
      <c r="CL330" s="464" t="s">
        <v>1448</v>
      </c>
      <c r="CN330" s="464" t="s">
        <v>1447</v>
      </c>
      <c r="CO330" s="464" t="s">
        <v>1447</v>
      </c>
      <c r="CP330" s="464" t="s">
        <v>1447</v>
      </c>
      <c r="CQ330" s="464" t="s">
        <v>1447</v>
      </c>
      <c r="CS330" s="465">
        <v>0</v>
      </c>
      <c r="CT330" s="466">
        <v>0</v>
      </c>
      <c r="CU330" s="466">
        <v>0.95</v>
      </c>
      <c r="CV330" s="467">
        <v>0.95</v>
      </c>
    </row>
    <row r="331" spans="1:100" s="48" customFormat="1" outlineLevel="1" x14ac:dyDescent="0.3">
      <c r="A331" s="202">
        <v>78206000</v>
      </c>
      <c r="B331" s="48">
        <v>400863</v>
      </c>
      <c r="C331" s="48">
        <v>91250</v>
      </c>
      <c r="D331" s="48" t="s">
        <v>413</v>
      </c>
      <c r="E331" s="48" t="s">
        <v>7</v>
      </c>
      <c r="F331" s="48" t="s">
        <v>1498</v>
      </c>
      <c r="G331" s="48" t="s">
        <v>1499</v>
      </c>
      <c r="H331" s="48" t="s">
        <v>1523</v>
      </c>
      <c r="O331" s="454" t="s">
        <v>900</v>
      </c>
      <c r="P331" s="455" t="s">
        <v>900</v>
      </c>
      <c r="Q331" s="347" t="s">
        <v>900</v>
      </c>
      <c r="R331" s="455">
        <v>535</v>
      </c>
      <c r="S331" s="457">
        <v>423</v>
      </c>
      <c r="T331" s="455"/>
      <c r="U331" s="454">
        <v>535</v>
      </c>
      <c r="V331" s="455">
        <v>216.76352153181051</v>
      </c>
      <c r="W331" s="230">
        <v>0.40516546080712246</v>
      </c>
      <c r="X331" s="264" t="s">
        <v>900</v>
      </c>
      <c r="Y331" s="265" t="s">
        <v>900</v>
      </c>
      <c r="Z331" s="265" t="s">
        <v>900</v>
      </c>
      <c r="AA331" s="265" t="s">
        <v>900</v>
      </c>
      <c r="AB331" s="266" t="s">
        <v>900</v>
      </c>
      <c r="AC331" s="265">
        <v>101856.68398334883</v>
      </c>
      <c r="AD331" s="265">
        <v>21032.570441607259</v>
      </c>
      <c r="AE331" s="265">
        <v>55203.785955913612</v>
      </c>
      <c r="AF331" s="266">
        <v>47623.442250371038</v>
      </c>
      <c r="AG331" s="265">
        <v>101856.68398334883</v>
      </c>
      <c r="AH331" s="265">
        <v>21032.570441607259</v>
      </c>
      <c r="AI331" s="265">
        <v>55203.785955913612</v>
      </c>
      <c r="AJ331" s="266">
        <v>47623.442250371038</v>
      </c>
      <c r="AK331" s="265">
        <v>101866.18908637082</v>
      </c>
      <c r="AL331" s="265">
        <v>23007.15527304251</v>
      </c>
      <c r="AM331" s="265">
        <v>55208.937485024842</v>
      </c>
      <c r="AN331" s="265">
        <v>47627.88639391811</v>
      </c>
      <c r="AO331" s="266">
        <v>227710.16823835627</v>
      </c>
      <c r="AP331" s="203"/>
      <c r="AQ331" s="264">
        <v>100318.94009133076</v>
      </c>
      <c r="AR331" s="265">
        <v>22276.615280269256</v>
      </c>
      <c r="AS331" s="265">
        <v>54444.267188859179</v>
      </c>
      <c r="AT331" s="265">
        <v>47993.849895393309</v>
      </c>
      <c r="AU331" s="266">
        <v>225033.6724558525</v>
      </c>
      <c r="AV331" s="203"/>
      <c r="AW331" s="324">
        <v>208244.21412964398</v>
      </c>
      <c r="AX331" s="203"/>
      <c r="AY331" s="377">
        <v>0</v>
      </c>
      <c r="AZ331" s="265">
        <v>16789.458326208522</v>
      </c>
      <c r="BA331" s="265">
        <v>208244.21412964398</v>
      </c>
      <c r="BB331" s="265">
        <v>2038.2690913426086</v>
      </c>
      <c r="BC331" s="266">
        <v>206205.94503830138</v>
      </c>
      <c r="BD331" s="264">
        <v>2062.0594503830139</v>
      </c>
      <c r="BE331" s="265">
        <v>204143.88558791837</v>
      </c>
      <c r="BF331" s="357">
        <v>0.98031000016560876</v>
      </c>
      <c r="BG331" s="203"/>
      <c r="BJ331" s="458">
        <v>0.98031000016560876</v>
      </c>
      <c r="BK331" s="210"/>
      <c r="BL331" s="458"/>
      <c r="BM331" s="458"/>
      <c r="BN331" s="458"/>
      <c r="BQ331" s="203">
        <v>203657.01401527395</v>
      </c>
      <c r="BR331" s="458">
        <v>0.97797201649254828</v>
      </c>
      <c r="BT331" s="459" t="s">
        <v>900</v>
      </c>
      <c r="BU331" s="460" t="s">
        <v>900</v>
      </c>
      <c r="BV331" s="461">
        <v>204143.88558791837</v>
      </c>
      <c r="BX331" s="462">
        <v>-7866.0140640250756</v>
      </c>
      <c r="BY331" s="463">
        <v>-3.6550120253494862E-2</v>
      </c>
      <c r="BZ331" s="461">
        <v>-36.288458539693551</v>
      </c>
      <c r="CB331" s="203" t="s">
        <v>900</v>
      </c>
      <c r="CC331" s="203">
        <v>3983.3780642990896</v>
      </c>
      <c r="CD331" s="203" t="e">
        <v>#VALUE!</v>
      </c>
      <c r="CE331" s="203" t="s">
        <v>900</v>
      </c>
      <c r="CF331" s="203" t="e">
        <v>#VALUE!</v>
      </c>
      <c r="CH331" s="199"/>
      <c r="CJ331" s="464" t="s">
        <v>1448</v>
      </c>
      <c r="CK331" s="464" t="s">
        <v>1447</v>
      </c>
      <c r="CL331" s="464" t="s">
        <v>1448</v>
      </c>
      <c r="CN331" s="464" t="s">
        <v>1447</v>
      </c>
      <c r="CO331" s="464" t="s">
        <v>1447</v>
      </c>
      <c r="CP331" s="464" t="s">
        <v>1447</v>
      </c>
      <c r="CQ331" s="464" t="s">
        <v>1447</v>
      </c>
      <c r="CS331" s="465">
        <v>0</v>
      </c>
      <c r="CT331" s="466">
        <v>0</v>
      </c>
      <c r="CU331" s="466">
        <v>0.95</v>
      </c>
      <c r="CV331" s="467">
        <v>0.95</v>
      </c>
    </row>
    <row r="332" spans="1:100" s="48" customFormat="1" outlineLevel="1" x14ac:dyDescent="0.3">
      <c r="A332" s="202">
        <v>78562000</v>
      </c>
      <c r="B332" s="48">
        <v>400792</v>
      </c>
      <c r="C332" s="48">
        <v>90317</v>
      </c>
      <c r="D332" s="48" t="s">
        <v>429</v>
      </c>
      <c r="E332" s="48" t="s">
        <v>7</v>
      </c>
      <c r="F332" s="48" t="s">
        <v>1498</v>
      </c>
      <c r="G332" s="48" t="s">
        <v>1499</v>
      </c>
      <c r="H332" s="48" t="s">
        <v>1515</v>
      </c>
      <c r="O332" s="454" t="s">
        <v>900</v>
      </c>
      <c r="P332" s="455" t="s">
        <v>900</v>
      </c>
      <c r="Q332" s="347" t="s">
        <v>900</v>
      </c>
      <c r="R332" s="455">
        <v>196</v>
      </c>
      <c r="S332" s="457">
        <v>165</v>
      </c>
      <c r="T332" s="455"/>
      <c r="U332" s="454">
        <v>196</v>
      </c>
      <c r="V332" s="455">
        <v>84.553146696805527</v>
      </c>
      <c r="W332" s="230">
        <v>0.43139360559594658</v>
      </c>
      <c r="X332" s="264" t="s">
        <v>900</v>
      </c>
      <c r="Y332" s="265" t="s">
        <v>900</v>
      </c>
      <c r="Z332" s="265" t="s">
        <v>900</v>
      </c>
      <c r="AA332" s="265" t="s">
        <v>900</v>
      </c>
      <c r="AB332" s="266" t="s">
        <v>900</v>
      </c>
      <c r="AC332" s="265">
        <v>39731.330631802739</v>
      </c>
      <c r="AD332" s="265">
        <v>8204.1941438893573</v>
      </c>
      <c r="AE332" s="265">
        <v>21533.391684930844</v>
      </c>
      <c r="AF332" s="266">
        <v>18576.520026740476</v>
      </c>
      <c r="AG332" s="265">
        <v>39731.330631802739</v>
      </c>
      <c r="AH332" s="265">
        <v>8204.1941438893573</v>
      </c>
      <c r="AI332" s="265">
        <v>21533.391684930844</v>
      </c>
      <c r="AJ332" s="266">
        <v>18576.520026740476</v>
      </c>
      <c r="AK332" s="265">
        <v>39740.83573482473</v>
      </c>
      <c r="AL332" s="265">
        <v>10178.778975324609</v>
      </c>
      <c r="AM332" s="265">
        <v>21538.543214042074</v>
      </c>
      <c r="AN332" s="265">
        <v>18580.964170287549</v>
      </c>
      <c r="AO332" s="266">
        <v>90039.122094478967</v>
      </c>
      <c r="AP332" s="203"/>
      <c r="AQ332" s="264">
        <v>49408.736965494987</v>
      </c>
      <c r="AR332" s="265">
        <v>10794.780029675805</v>
      </c>
      <c r="AS332" s="265">
        <v>26197.234229996626</v>
      </c>
      <c r="AT332" s="265">
        <v>25240.854850607229</v>
      </c>
      <c r="AU332" s="266">
        <v>111641.60607577465</v>
      </c>
      <c r="AV332" s="203"/>
      <c r="AW332" s="324">
        <v>109853.40134449181</v>
      </c>
      <c r="AX332" s="203"/>
      <c r="AY332" s="377">
        <v>0</v>
      </c>
      <c r="AZ332" s="265">
        <v>1788.2047312828363</v>
      </c>
      <c r="BA332" s="265">
        <v>109853.40134449181</v>
      </c>
      <c r="BB332" s="265">
        <v>1075.2317584196355</v>
      </c>
      <c r="BC332" s="266">
        <v>108778.16958607217</v>
      </c>
      <c r="BD332" s="264">
        <v>1087.7816958607216</v>
      </c>
      <c r="BE332" s="265">
        <v>107690.38789021145</v>
      </c>
      <c r="BF332" s="357">
        <v>0.98031000016560876</v>
      </c>
      <c r="BG332" s="203"/>
      <c r="BJ332" s="458">
        <v>0.98031000016560876</v>
      </c>
      <c r="BK332" s="210"/>
      <c r="BL332" s="458"/>
      <c r="BM332" s="458"/>
      <c r="BN332" s="458"/>
      <c r="BQ332" s="203">
        <v>107433.55243143786</v>
      </c>
      <c r="BR332" s="458">
        <v>0.97797201649254817</v>
      </c>
      <c r="BT332" s="459" t="s">
        <v>900</v>
      </c>
      <c r="BU332" s="460" t="s">
        <v>900</v>
      </c>
      <c r="BV332" s="461">
        <v>107690.38789021145</v>
      </c>
      <c r="BX332" s="462">
        <v>21310.067015291381</v>
      </c>
      <c r="BY332" s="463">
        <v>0.24312512947712175</v>
      </c>
      <c r="BZ332" s="461">
        <v>252.031625643762</v>
      </c>
      <c r="CB332" s="203" t="s">
        <v>900</v>
      </c>
      <c r="CC332" s="203">
        <v>1540.8936121514116</v>
      </c>
      <c r="CD332" s="203" t="e">
        <v>#VALUE!</v>
      </c>
      <c r="CE332" s="203" t="s">
        <v>900</v>
      </c>
      <c r="CF332" s="203" t="e">
        <v>#VALUE!</v>
      </c>
      <c r="CH332" s="199"/>
      <c r="CJ332" s="464" t="s">
        <v>1448</v>
      </c>
      <c r="CK332" s="464" t="s">
        <v>1447</v>
      </c>
      <c r="CL332" s="464" t="s">
        <v>1448</v>
      </c>
      <c r="CN332" s="464" t="s">
        <v>1447</v>
      </c>
      <c r="CO332" s="464" t="s">
        <v>1447</v>
      </c>
      <c r="CP332" s="464" t="s">
        <v>1447</v>
      </c>
      <c r="CQ332" s="464" t="s">
        <v>1447</v>
      </c>
      <c r="CS332" s="465">
        <v>0</v>
      </c>
      <c r="CT332" s="466">
        <v>0</v>
      </c>
      <c r="CU332" s="466">
        <v>0.95</v>
      </c>
      <c r="CV332" s="467">
        <v>0.95</v>
      </c>
    </row>
    <row r="333" spans="1:100" s="48" customFormat="1" outlineLevel="1" x14ac:dyDescent="0.3">
      <c r="A333" s="202">
        <v>78224000</v>
      </c>
      <c r="B333" s="48">
        <v>400887</v>
      </c>
      <c r="C333" s="48">
        <v>91948</v>
      </c>
      <c r="D333" s="48" t="s">
        <v>432</v>
      </c>
      <c r="E333" s="48" t="s">
        <v>7</v>
      </c>
      <c r="F333" s="48" t="s">
        <v>1498</v>
      </c>
      <c r="G333" s="48" t="s">
        <v>1502</v>
      </c>
      <c r="H333" s="48" t="s">
        <v>1510</v>
      </c>
      <c r="O333" s="454" t="s">
        <v>900</v>
      </c>
      <c r="P333" s="455" t="s">
        <v>900</v>
      </c>
      <c r="Q333" s="347" t="s">
        <v>900</v>
      </c>
      <c r="R333" s="455">
        <v>177</v>
      </c>
      <c r="S333" s="457">
        <v>141</v>
      </c>
      <c r="T333" s="455"/>
      <c r="U333" s="454">
        <v>177</v>
      </c>
      <c r="V333" s="455">
        <v>72.25450717727017</v>
      </c>
      <c r="W333" s="230">
        <v>0.4082175546738428</v>
      </c>
      <c r="X333" s="264" t="s">
        <v>900</v>
      </c>
      <c r="Y333" s="265" t="s">
        <v>900</v>
      </c>
      <c r="Z333" s="265" t="s">
        <v>900</v>
      </c>
      <c r="AA333" s="265" t="s">
        <v>900</v>
      </c>
      <c r="AB333" s="266" t="s">
        <v>900</v>
      </c>
      <c r="AC333" s="265">
        <v>33952.227994449611</v>
      </c>
      <c r="AD333" s="265">
        <v>7010.8568138690862</v>
      </c>
      <c r="AE333" s="265">
        <v>18401.26198530454</v>
      </c>
      <c r="AF333" s="266">
        <v>15874.480750123679</v>
      </c>
      <c r="AG333" s="265">
        <v>33952.227994449611</v>
      </c>
      <c r="AH333" s="265">
        <v>7010.8568138690862</v>
      </c>
      <c r="AI333" s="265">
        <v>18401.26198530454</v>
      </c>
      <c r="AJ333" s="266">
        <v>15874.480750123679</v>
      </c>
      <c r="AK333" s="265">
        <v>33961.733097471602</v>
      </c>
      <c r="AL333" s="265">
        <v>8985.4416453043377</v>
      </c>
      <c r="AM333" s="265">
        <v>18406.41351441577</v>
      </c>
      <c r="AN333" s="265">
        <v>15878.924893670752</v>
      </c>
      <c r="AO333" s="266">
        <v>77232.513150862462</v>
      </c>
      <c r="AP333" s="203"/>
      <c r="AQ333" s="264">
        <v>33445.887183570499</v>
      </c>
      <c r="AR333" s="265">
        <v>8700.129341513506</v>
      </c>
      <c r="AS333" s="265">
        <v>18151.475848259204</v>
      </c>
      <c r="AT333" s="265">
        <v>15241.038439847594</v>
      </c>
      <c r="AU333" s="266">
        <v>75538.530813190795</v>
      </c>
      <c r="AV333" s="203"/>
      <c r="AW333" s="324">
        <v>52637.00477921305</v>
      </c>
      <c r="AX333" s="203"/>
      <c r="AY333" s="377">
        <v>0</v>
      </c>
      <c r="AZ333" s="265">
        <v>7126.0873491917882</v>
      </c>
      <c r="BA333" s="265">
        <v>68412.443463999007</v>
      </c>
      <c r="BB333" s="265">
        <v>669.61269276409075</v>
      </c>
      <c r="BC333" s="266">
        <v>67742.83077123492</v>
      </c>
      <c r="BD333" s="264">
        <v>677.42830771234924</v>
      </c>
      <c r="BE333" s="265">
        <v>67065.402463522565</v>
      </c>
      <c r="BF333" s="357">
        <v>1.2741112976475335</v>
      </c>
      <c r="BG333" s="203"/>
      <c r="BJ333" s="458">
        <v>1.2741112976475335</v>
      </c>
      <c r="BK333" s="210"/>
      <c r="BL333" s="458"/>
      <c r="BM333" s="458"/>
      <c r="BN333" s="458"/>
      <c r="BQ333" s="203">
        <v>66905.455287669552</v>
      </c>
      <c r="BR333" s="458">
        <v>1.2710726145666114</v>
      </c>
      <c r="BT333" s="459" t="s">
        <v>900</v>
      </c>
      <c r="BU333" s="460" t="s">
        <v>900</v>
      </c>
      <c r="BV333" s="461">
        <v>67065.402463522565</v>
      </c>
      <c r="BX333" s="462">
        <v>-3851.817984584879</v>
      </c>
      <c r="BY333" s="463">
        <v>-6.8532901701281831E-2</v>
      </c>
      <c r="BZ333" s="461">
        <v>-53.309034066688426</v>
      </c>
      <c r="CB333" s="203" t="s">
        <v>900</v>
      </c>
      <c r="CC333" s="203">
        <v>1326.4364039759023</v>
      </c>
      <c r="CD333" s="203" t="e">
        <v>#VALUE!</v>
      </c>
      <c r="CE333" s="203" t="s">
        <v>900</v>
      </c>
      <c r="CF333" s="203" t="e">
        <v>#VALUE!</v>
      </c>
      <c r="CH333" s="199"/>
      <c r="CJ333" s="464" t="s">
        <v>1448</v>
      </c>
      <c r="CK333" s="464" t="s">
        <v>1447</v>
      </c>
      <c r="CL333" s="464" t="s">
        <v>1448</v>
      </c>
      <c r="CN333" s="464" t="s">
        <v>1447</v>
      </c>
      <c r="CO333" s="464" t="s">
        <v>1447</v>
      </c>
      <c r="CP333" s="464" t="s">
        <v>1447</v>
      </c>
      <c r="CQ333" s="464" t="s">
        <v>1447</v>
      </c>
      <c r="CS333" s="465">
        <v>0</v>
      </c>
      <c r="CT333" s="466">
        <v>0</v>
      </c>
      <c r="CU333" s="466">
        <v>0.95</v>
      </c>
      <c r="CV333" s="467">
        <v>0.95</v>
      </c>
    </row>
    <row r="334" spans="1:100" s="48" customFormat="1" outlineLevel="1" x14ac:dyDescent="0.3">
      <c r="A334" s="202">
        <v>78935000</v>
      </c>
      <c r="B334" s="48">
        <v>400279</v>
      </c>
      <c r="C334" s="48">
        <v>79497</v>
      </c>
      <c r="D334" s="48" t="s">
        <v>436</v>
      </c>
      <c r="E334" s="48" t="s">
        <v>7</v>
      </c>
      <c r="F334" s="48" t="s">
        <v>1504</v>
      </c>
      <c r="G334" s="48" t="s">
        <v>1502</v>
      </c>
      <c r="H334" s="48" t="s">
        <v>1527</v>
      </c>
      <c r="O334" s="454" t="s">
        <v>900</v>
      </c>
      <c r="P334" s="455" t="s">
        <v>900</v>
      </c>
      <c r="Q334" s="347" t="s">
        <v>900</v>
      </c>
      <c r="R334" s="455">
        <v>334</v>
      </c>
      <c r="S334" s="457">
        <v>111</v>
      </c>
      <c r="T334" s="455"/>
      <c r="U334" s="454">
        <v>334</v>
      </c>
      <c r="V334" s="455">
        <v>56.881207777850989</v>
      </c>
      <c r="W334" s="230">
        <v>0.17030301729895506</v>
      </c>
      <c r="X334" s="264" t="s">
        <v>900</v>
      </c>
      <c r="Y334" s="265" t="s">
        <v>900</v>
      </c>
      <c r="Z334" s="265" t="s">
        <v>900</v>
      </c>
      <c r="AA334" s="265" t="s">
        <v>900</v>
      </c>
      <c r="AB334" s="266" t="s">
        <v>900</v>
      </c>
      <c r="AC334" s="265">
        <v>26728.349697758207</v>
      </c>
      <c r="AD334" s="265">
        <v>5519.1851513437487</v>
      </c>
      <c r="AE334" s="265">
        <v>14486.099860771659</v>
      </c>
      <c r="AF334" s="266">
        <v>12496.931654352684</v>
      </c>
      <c r="AG334" s="265">
        <v>26728.349697758207</v>
      </c>
      <c r="AH334" s="265">
        <v>5519.1851513437487</v>
      </c>
      <c r="AI334" s="265">
        <v>14486.099860771659</v>
      </c>
      <c r="AJ334" s="266">
        <v>12496.931654352684</v>
      </c>
      <c r="AK334" s="265">
        <v>26737.854800780198</v>
      </c>
      <c r="AL334" s="265">
        <v>7493.7699827790002</v>
      </c>
      <c r="AM334" s="265">
        <v>14491.251389882889</v>
      </c>
      <c r="AN334" s="265">
        <v>12501.375797899756</v>
      </c>
      <c r="AO334" s="266">
        <v>61224.251971341844</v>
      </c>
      <c r="AP334" s="203"/>
      <c r="AQ334" s="264">
        <v>30297.335475602591</v>
      </c>
      <c r="AR334" s="265">
        <v>7255.8223267522562</v>
      </c>
      <c r="AS334" s="265">
        <v>16064.089931168233</v>
      </c>
      <c r="AT334" s="265">
        <v>15477.640070700338</v>
      </c>
      <c r="AU334" s="266">
        <v>69094.887804223414</v>
      </c>
      <c r="AV334" s="203"/>
      <c r="AW334" s="324">
        <v>71352.648515519177</v>
      </c>
      <c r="AX334" s="203"/>
      <c r="AY334" s="377">
        <v>0</v>
      </c>
      <c r="AZ334" s="265">
        <v>0</v>
      </c>
      <c r="BA334" s="265">
        <v>69094.887804223414</v>
      </c>
      <c r="BB334" s="265">
        <v>676.29237513152088</v>
      </c>
      <c r="BC334" s="266">
        <v>68418.595429091889</v>
      </c>
      <c r="BD334" s="264">
        <v>684.18595429091886</v>
      </c>
      <c r="BE334" s="265">
        <v>67734.409474800967</v>
      </c>
      <c r="BF334" s="357">
        <v>0.94929075351798264</v>
      </c>
      <c r="BG334" s="203"/>
      <c r="BJ334" s="458">
        <v>0.94929075351798264</v>
      </c>
      <c r="BK334" s="210"/>
      <c r="BL334" s="458"/>
      <c r="BM334" s="458"/>
      <c r="BN334" s="458"/>
      <c r="BQ334" s="203">
        <v>67572.866755222742</v>
      </c>
      <c r="BR334" s="458">
        <v>0.9470267489864187</v>
      </c>
      <c r="BT334" s="459" t="s">
        <v>900</v>
      </c>
      <c r="BU334" s="460" t="s">
        <v>900</v>
      </c>
      <c r="BV334" s="461">
        <v>67734.409474800967</v>
      </c>
      <c r="BX334" s="462">
        <v>9497.5751431992321</v>
      </c>
      <c r="BY334" s="463">
        <v>0.16077166105794594</v>
      </c>
      <c r="BZ334" s="461">
        <v>166.97210755952864</v>
      </c>
      <c r="CB334" s="203">
        <v>34621</v>
      </c>
      <c r="CC334" s="203">
        <v>35863.226160288374</v>
      </c>
      <c r="CD334" s="203" t="e">
        <v>#VALUE!</v>
      </c>
      <c r="CE334" s="203" t="s">
        <v>900</v>
      </c>
      <c r="CF334" s="203" t="e">
        <v>#VALUE!</v>
      </c>
      <c r="CH334" s="199"/>
      <c r="CJ334" s="464" t="s">
        <v>1448</v>
      </c>
      <c r="CK334" s="464" t="s">
        <v>1447</v>
      </c>
      <c r="CL334" s="464" t="s">
        <v>1448</v>
      </c>
      <c r="CN334" s="464" t="s">
        <v>1447</v>
      </c>
      <c r="CO334" s="464" t="s">
        <v>1447</v>
      </c>
      <c r="CP334" s="464" t="s">
        <v>1447</v>
      </c>
      <c r="CQ334" s="464" t="s">
        <v>1447</v>
      </c>
      <c r="CS334" s="465">
        <v>0</v>
      </c>
      <c r="CT334" s="466">
        <v>0.9</v>
      </c>
      <c r="CU334" s="466">
        <v>0</v>
      </c>
      <c r="CV334" s="467">
        <v>0.9</v>
      </c>
    </row>
    <row r="335" spans="1:100" s="48" customFormat="1" outlineLevel="1" x14ac:dyDescent="0.3">
      <c r="A335" s="202">
        <v>78974000</v>
      </c>
      <c r="B335" s="48">
        <v>400377</v>
      </c>
      <c r="C335" s="48">
        <v>79990</v>
      </c>
      <c r="D335" s="48" t="s">
        <v>437</v>
      </c>
      <c r="E335" s="48" t="s">
        <v>7</v>
      </c>
      <c r="F335" s="48" t="s">
        <v>1504</v>
      </c>
      <c r="G335" s="48" t="s">
        <v>1502</v>
      </c>
      <c r="H335" s="48" t="s">
        <v>1527</v>
      </c>
      <c r="O335" s="454" t="s">
        <v>900</v>
      </c>
      <c r="P335" s="455" t="s">
        <v>900</v>
      </c>
      <c r="Q335" s="347" t="s">
        <v>900</v>
      </c>
      <c r="R335" s="455">
        <v>92</v>
      </c>
      <c r="S335" s="457">
        <v>24</v>
      </c>
      <c r="T335" s="455"/>
      <c r="U335" s="454">
        <v>92</v>
      </c>
      <c r="V335" s="455">
        <v>12.29863951953535</v>
      </c>
      <c r="W335" s="230">
        <v>0.13368086434277554</v>
      </c>
      <c r="X335" s="264" t="s">
        <v>900</v>
      </c>
      <c r="Y335" s="265" t="s">
        <v>900</v>
      </c>
      <c r="Z335" s="265" t="s">
        <v>900</v>
      </c>
      <c r="AA335" s="265" t="s">
        <v>900</v>
      </c>
      <c r="AB335" s="266" t="s">
        <v>900</v>
      </c>
      <c r="AC335" s="265">
        <v>5779.1026373531258</v>
      </c>
      <c r="AD335" s="265">
        <v>1193.3373300202702</v>
      </c>
      <c r="AE335" s="265">
        <v>3132.1296996263045</v>
      </c>
      <c r="AF335" s="266">
        <v>2702.039276616797</v>
      </c>
      <c r="AG335" s="265">
        <v>5779.1026373531258</v>
      </c>
      <c r="AH335" s="265" t="s">
        <v>900</v>
      </c>
      <c r="AI335" s="265">
        <v>3132.1296996263045</v>
      </c>
      <c r="AJ335" s="266">
        <v>2702.039276616797</v>
      </c>
      <c r="AK335" s="265">
        <v>5788.6077403751169</v>
      </c>
      <c r="AL335" s="265" t="s">
        <v>900</v>
      </c>
      <c r="AM335" s="265">
        <v>3137.2812287375341</v>
      </c>
      <c r="AN335" s="265">
        <v>2706.4834201638691</v>
      </c>
      <c r="AO335" s="266">
        <v>11632.372389276521</v>
      </c>
      <c r="AP335" s="203"/>
      <c r="AQ335" s="264">
        <v>7606.015310140373</v>
      </c>
      <c r="AR335" s="265">
        <v>2192.0160631795702</v>
      </c>
      <c r="AS335" s="265">
        <v>4032.8204458219816</v>
      </c>
      <c r="AT335" s="265">
        <v>3885.5947394247728</v>
      </c>
      <c r="AU335" s="266">
        <v>17716.446558566699</v>
      </c>
      <c r="AV335" s="203"/>
      <c r="AW335" s="324">
        <v>19917.367341833546</v>
      </c>
      <c r="AX335" s="203"/>
      <c r="AY335" s="377">
        <v>0</v>
      </c>
      <c r="AZ335" s="265">
        <v>0</v>
      </c>
      <c r="BA335" s="265">
        <v>17716.446558566699</v>
      </c>
      <c r="BB335" s="265">
        <v>173.40642850354791</v>
      </c>
      <c r="BC335" s="266">
        <v>17543.040130063149</v>
      </c>
      <c r="BD335" s="264">
        <v>175.4304013006315</v>
      </c>
      <c r="BE335" s="265">
        <v>17367.609728762516</v>
      </c>
      <c r="BF335" s="357">
        <v>0.87198320092657866</v>
      </c>
      <c r="BG335" s="203"/>
      <c r="BJ335" s="458">
        <v>0.87198320092657866</v>
      </c>
      <c r="BK335" s="210"/>
      <c r="BL335" s="458"/>
      <c r="BM335" s="458"/>
      <c r="BN335" s="458"/>
      <c r="BQ335" s="203">
        <v>17326.188965963938</v>
      </c>
      <c r="BR335" s="458">
        <v>0.86990357051721323</v>
      </c>
      <c r="BT335" s="459" t="s">
        <v>900</v>
      </c>
      <c r="BU335" s="460" t="s">
        <v>900</v>
      </c>
      <c r="BV335" s="461">
        <v>17367.609728762516</v>
      </c>
      <c r="BX335" s="462">
        <v>6006.3132113176671</v>
      </c>
      <c r="BY335" s="463">
        <v>0.52062526275223675</v>
      </c>
      <c r="BZ335" s="461">
        <v>488.37216521202578</v>
      </c>
      <c r="CB335" s="203" t="s">
        <v>900</v>
      </c>
      <c r="CC335" s="203">
        <v>288.71376395324444</v>
      </c>
      <c r="CD335" s="203" t="e">
        <v>#VALUE!</v>
      </c>
      <c r="CE335" s="203" t="s">
        <v>900</v>
      </c>
      <c r="CF335" s="203" t="e">
        <v>#VALUE!</v>
      </c>
      <c r="CH335" s="199"/>
      <c r="CJ335" s="464" t="s">
        <v>1448</v>
      </c>
      <c r="CK335" s="464" t="s">
        <v>1447</v>
      </c>
      <c r="CL335" s="464" t="s">
        <v>1448</v>
      </c>
      <c r="CN335" s="464" t="s">
        <v>1447</v>
      </c>
      <c r="CO335" s="464" t="s">
        <v>1448</v>
      </c>
      <c r="CP335" s="464" t="s">
        <v>1447</v>
      </c>
      <c r="CQ335" s="464" t="s">
        <v>1447</v>
      </c>
      <c r="CS335" s="465">
        <v>0.85</v>
      </c>
      <c r="CT335" s="466">
        <v>0</v>
      </c>
      <c r="CU335" s="466">
        <v>0</v>
      </c>
      <c r="CV335" s="467">
        <v>0.85</v>
      </c>
    </row>
    <row r="336" spans="1:100" s="48" customFormat="1" outlineLevel="1" x14ac:dyDescent="0.3">
      <c r="A336" s="202">
        <v>78548000</v>
      </c>
      <c r="B336" s="48">
        <v>400786</v>
      </c>
      <c r="C336" s="48">
        <v>90036</v>
      </c>
      <c r="D336" s="48" t="s">
        <v>438</v>
      </c>
      <c r="E336" s="48" t="s">
        <v>7</v>
      </c>
      <c r="F336" s="48" t="s">
        <v>1503</v>
      </c>
      <c r="G336" s="48" t="s">
        <v>1502</v>
      </c>
      <c r="H336" s="48" t="s">
        <v>1527</v>
      </c>
      <c r="O336" s="454" t="s">
        <v>900</v>
      </c>
      <c r="P336" s="455" t="s">
        <v>900</v>
      </c>
      <c r="Q336" s="347" t="s">
        <v>900</v>
      </c>
      <c r="R336" s="455">
        <v>396</v>
      </c>
      <c r="S336" s="457">
        <v>333</v>
      </c>
      <c r="T336" s="455"/>
      <c r="U336" s="454">
        <v>396</v>
      </c>
      <c r="V336" s="455">
        <v>170.64362333355297</v>
      </c>
      <c r="W336" s="230">
        <v>0.43091824074129537</v>
      </c>
      <c r="X336" s="264" t="s">
        <v>900</v>
      </c>
      <c r="Y336" s="265" t="s">
        <v>900</v>
      </c>
      <c r="Z336" s="265" t="s">
        <v>900</v>
      </c>
      <c r="AA336" s="265" t="s">
        <v>900</v>
      </c>
      <c r="AB336" s="266" t="s">
        <v>900</v>
      </c>
      <c r="AC336" s="265">
        <v>80185.049093274618</v>
      </c>
      <c r="AD336" s="265">
        <v>16557.555454031248</v>
      </c>
      <c r="AE336" s="265">
        <v>43458.299582314976</v>
      </c>
      <c r="AF336" s="266">
        <v>37490.794963058055</v>
      </c>
      <c r="AG336" s="265">
        <v>80185.049093274618</v>
      </c>
      <c r="AH336" s="265">
        <v>16557.555454031248</v>
      </c>
      <c r="AI336" s="265">
        <v>43458.299582314976</v>
      </c>
      <c r="AJ336" s="266">
        <v>37490.794963058055</v>
      </c>
      <c r="AK336" s="265">
        <v>80194.554196296609</v>
      </c>
      <c r="AL336" s="265">
        <v>18532.140285466499</v>
      </c>
      <c r="AM336" s="265">
        <v>43463.451111426206</v>
      </c>
      <c r="AN336" s="265">
        <v>37495.239106605128</v>
      </c>
      <c r="AO336" s="266">
        <v>179685.38469979443</v>
      </c>
      <c r="AP336" s="203"/>
      <c r="AQ336" s="264">
        <v>78976.47639736472</v>
      </c>
      <c r="AR336" s="265">
        <v>17943.694235985509</v>
      </c>
      <c r="AS336" s="265">
        <v>42861.461441859203</v>
      </c>
      <c r="AT336" s="265">
        <v>35988.984415615487</v>
      </c>
      <c r="AU336" s="266">
        <v>175770.6164908249</v>
      </c>
      <c r="AV336" s="203"/>
      <c r="AW336" s="324">
        <v>139798.43132258154</v>
      </c>
      <c r="AX336" s="203"/>
      <c r="AY336" s="377">
        <v>0</v>
      </c>
      <c r="AZ336" s="265">
        <v>16581.693515227584</v>
      </c>
      <c r="BA336" s="265">
        <v>159188.92297559732</v>
      </c>
      <c r="BB336" s="265">
        <v>1558.1218558287439</v>
      </c>
      <c r="BC336" s="266">
        <v>157630.80111976858</v>
      </c>
      <c r="BD336" s="264">
        <v>1576.3080111976858</v>
      </c>
      <c r="BE336" s="265">
        <v>156054.4931085709</v>
      </c>
      <c r="BF336" s="357">
        <v>1.1162821473187985</v>
      </c>
      <c r="BG336" s="203"/>
      <c r="BJ336" s="458">
        <v>1.1162821473187985</v>
      </c>
      <c r="BK336" s="210"/>
      <c r="BL336" s="458"/>
      <c r="BM336" s="458"/>
      <c r="BN336" s="458"/>
      <c r="BQ336" s="203">
        <v>155682.31200572185</v>
      </c>
      <c r="BR336" s="458">
        <v>1.1136198777974027</v>
      </c>
      <c r="BT336" s="459" t="s">
        <v>900</v>
      </c>
      <c r="BU336" s="460" t="s">
        <v>900</v>
      </c>
      <c r="BV336" s="461">
        <v>156054.4931085709</v>
      </c>
      <c r="BX336" s="462">
        <v>-10925.828074063174</v>
      </c>
      <c r="BY336" s="463">
        <v>-6.4462728136035069E-2</v>
      </c>
      <c r="BZ336" s="461">
        <v>-64.027168789698763</v>
      </c>
      <c r="CB336" s="203" t="s">
        <v>900</v>
      </c>
      <c r="CC336" s="203">
        <v>3110.2473466006359</v>
      </c>
      <c r="CD336" s="203" t="e">
        <v>#VALUE!</v>
      </c>
      <c r="CE336" s="203" t="s">
        <v>900</v>
      </c>
      <c r="CF336" s="203" t="e">
        <v>#VALUE!</v>
      </c>
      <c r="CH336" s="199"/>
      <c r="CJ336" s="464" t="s">
        <v>1448</v>
      </c>
      <c r="CK336" s="464" t="s">
        <v>1447</v>
      </c>
      <c r="CL336" s="464" t="s">
        <v>1448</v>
      </c>
      <c r="CN336" s="464" t="s">
        <v>1447</v>
      </c>
      <c r="CO336" s="464" t="s">
        <v>1447</v>
      </c>
      <c r="CP336" s="464" t="s">
        <v>1447</v>
      </c>
      <c r="CQ336" s="464" t="s">
        <v>1447</v>
      </c>
      <c r="CS336" s="465">
        <v>0</v>
      </c>
      <c r="CT336" s="466">
        <v>0</v>
      </c>
      <c r="CU336" s="466">
        <v>0.95</v>
      </c>
      <c r="CV336" s="467">
        <v>0.95</v>
      </c>
    </row>
    <row r="337" spans="1:100" s="48" customFormat="1" outlineLevel="1" x14ac:dyDescent="0.3">
      <c r="A337" s="202">
        <v>78221000</v>
      </c>
      <c r="B337" s="48" t="e">
        <v>#N/A</v>
      </c>
      <c r="C337" s="48">
        <v>91937</v>
      </c>
      <c r="D337" s="48" t="s">
        <v>439</v>
      </c>
      <c r="E337" s="48" t="s">
        <v>7</v>
      </c>
      <c r="F337" s="48" t="s">
        <v>1498</v>
      </c>
      <c r="G337" s="48" t="s">
        <v>1499</v>
      </c>
      <c r="H337" s="48" t="s">
        <v>1512</v>
      </c>
      <c r="O337" s="454" t="s">
        <v>900</v>
      </c>
      <c r="P337" s="455" t="s">
        <v>900</v>
      </c>
      <c r="Q337" s="347" t="s">
        <v>900</v>
      </c>
      <c r="R337" s="455">
        <v>244</v>
      </c>
      <c r="S337" s="457">
        <v>207</v>
      </c>
      <c r="T337" s="455"/>
      <c r="U337" s="454">
        <v>244</v>
      </c>
      <c r="V337" s="455">
        <v>106.07576585599239</v>
      </c>
      <c r="W337" s="230">
        <v>0.43473674531144418</v>
      </c>
      <c r="X337" s="264" t="s">
        <v>900</v>
      </c>
      <c r="Y337" s="265" t="s">
        <v>900</v>
      </c>
      <c r="Z337" s="265" t="s">
        <v>900</v>
      </c>
      <c r="AA337" s="265" t="s">
        <v>900</v>
      </c>
      <c r="AB337" s="266" t="s">
        <v>900</v>
      </c>
      <c r="AC337" s="265">
        <v>49844.760247170707</v>
      </c>
      <c r="AD337" s="265">
        <v>10292.534471424829</v>
      </c>
      <c r="AE337" s="265">
        <v>27014.618659276879</v>
      </c>
      <c r="AF337" s="266">
        <v>23305.088760819872</v>
      </c>
      <c r="AG337" s="265">
        <v>49844.760247170707</v>
      </c>
      <c r="AH337" s="265">
        <v>10292.534471424829</v>
      </c>
      <c r="AI337" s="265">
        <v>27014.618659276879</v>
      </c>
      <c r="AJ337" s="266">
        <v>23305.088760819872</v>
      </c>
      <c r="AK337" s="265">
        <v>49854.265350192698</v>
      </c>
      <c r="AL337" s="265">
        <v>12267.119302860081</v>
      </c>
      <c r="AM337" s="265">
        <v>27019.770188388109</v>
      </c>
      <c r="AN337" s="265">
        <v>23309.532904366944</v>
      </c>
      <c r="AO337" s="266">
        <v>112450.68774580784</v>
      </c>
      <c r="AP337" s="203"/>
      <c r="AQ337" s="264">
        <v>49097.027225812264</v>
      </c>
      <c r="AR337" s="265">
        <v>11877.604773988254</v>
      </c>
      <c r="AS337" s="265">
        <v>26645.5333960592</v>
      </c>
      <c r="AT337" s="265">
        <v>24004.279032955816</v>
      </c>
      <c r="AU337" s="266">
        <v>111624.44442881554</v>
      </c>
      <c r="AV337" s="203"/>
      <c r="AW337" s="324">
        <v>104506.07456269005</v>
      </c>
      <c r="AX337" s="203"/>
      <c r="AY337" s="377">
        <v>0</v>
      </c>
      <c r="AZ337" s="265">
        <v>7118.3698661254894</v>
      </c>
      <c r="BA337" s="265">
        <v>104506.07456269005</v>
      </c>
      <c r="BB337" s="265">
        <v>1022.8927729346912</v>
      </c>
      <c r="BC337" s="266">
        <v>103483.18178975536</v>
      </c>
      <c r="BD337" s="264">
        <v>1034.8318178975535</v>
      </c>
      <c r="BE337" s="265">
        <v>102448.3499718578</v>
      </c>
      <c r="BF337" s="357">
        <v>0.98031000016560865</v>
      </c>
      <c r="BG337" s="203"/>
      <c r="BJ337" s="458">
        <v>0.98031000016560865</v>
      </c>
      <c r="BK337" s="210"/>
      <c r="BL337" s="458"/>
      <c r="BM337" s="458"/>
      <c r="BN337" s="458"/>
      <c r="BQ337" s="203">
        <v>102204.01647579457</v>
      </c>
      <c r="BR337" s="458">
        <v>0.97797201649254817</v>
      </c>
      <c r="BT337" s="459" t="s">
        <v>900</v>
      </c>
      <c r="BU337" s="460" t="s">
        <v>900</v>
      </c>
      <c r="BV337" s="461">
        <v>102448.3499718578</v>
      </c>
      <c r="BX337" s="462">
        <v>-2001.4783275826339</v>
      </c>
      <c r="BY337" s="463">
        <v>-1.8974758056530538E-2</v>
      </c>
      <c r="BZ337" s="461">
        <v>-18.868384417792701</v>
      </c>
      <c r="CB337" s="203" t="s">
        <v>900</v>
      </c>
      <c r="CC337" s="203">
        <v>1931.1976195780264</v>
      </c>
      <c r="CD337" s="203" t="e">
        <v>#VALUE!</v>
      </c>
      <c r="CE337" s="203" t="s">
        <v>900</v>
      </c>
      <c r="CF337" s="203" t="e">
        <v>#VALUE!</v>
      </c>
      <c r="CH337" s="199"/>
      <c r="CJ337" s="464" t="s">
        <v>1448</v>
      </c>
      <c r="CK337" s="464" t="s">
        <v>1447</v>
      </c>
      <c r="CL337" s="464" t="s">
        <v>1448</v>
      </c>
      <c r="CN337" s="464" t="s">
        <v>1447</v>
      </c>
      <c r="CO337" s="464" t="s">
        <v>1447</v>
      </c>
      <c r="CP337" s="464" t="s">
        <v>1447</v>
      </c>
      <c r="CQ337" s="464" t="s">
        <v>1447</v>
      </c>
      <c r="CS337" s="465">
        <v>0</v>
      </c>
      <c r="CT337" s="466">
        <v>0</v>
      </c>
      <c r="CU337" s="466">
        <v>0.95</v>
      </c>
      <c r="CV337" s="467">
        <v>0.95</v>
      </c>
    </row>
    <row r="338" spans="1:100" s="48" customFormat="1" outlineLevel="1" x14ac:dyDescent="0.3">
      <c r="A338" s="202">
        <v>78773000</v>
      </c>
      <c r="B338" s="48">
        <v>400161</v>
      </c>
      <c r="C338" s="48">
        <v>6363</v>
      </c>
      <c r="D338" s="48" t="s">
        <v>1538</v>
      </c>
      <c r="E338" s="48" t="s">
        <v>7</v>
      </c>
      <c r="F338" s="48" t="s">
        <v>1498</v>
      </c>
      <c r="G338" s="48" t="s">
        <v>1499</v>
      </c>
      <c r="H338" s="48" t="s">
        <v>1508</v>
      </c>
      <c r="O338" s="454" t="s">
        <v>900</v>
      </c>
      <c r="P338" s="455" t="s">
        <v>900</v>
      </c>
      <c r="Q338" s="347" t="s">
        <v>900</v>
      </c>
      <c r="R338" s="455">
        <v>129</v>
      </c>
      <c r="S338" s="457">
        <v>92</v>
      </c>
      <c r="T338" s="455"/>
      <c r="U338" s="454">
        <v>129</v>
      </c>
      <c r="V338" s="455">
        <v>47.144784824885505</v>
      </c>
      <c r="W338" s="230">
        <v>0.36546344825492638</v>
      </c>
      <c r="X338" s="264" t="s">
        <v>900</v>
      </c>
      <c r="Y338" s="265" t="s">
        <v>900</v>
      </c>
      <c r="Z338" s="265" t="s">
        <v>900</v>
      </c>
      <c r="AA338" s="265" t="s">
        <v>900</v>
      </c>
      <c r="AB338" s="266" t="s">
        <v>900</v>
      </c>
      <c r="AC338" s="265">
        <v>22153.226776520314</v>
      </c>
      <c r="AD338" s="265">
        <v>4574.4597650777023</v>
      </c>
      <c r="AE338" s="265">
        <v>12006.497181900835</v>
      </c>
      <c r="AF338" s="266">
        <v>10357.817227031053</v>
      </c>
      <c r="AG338" s="265">
        <v>22153.226776520314</v>
      </c>
      <c r="AH338" s="265">
        <v>4574.4597650777023</v>
      </c>
      <c r="AI338" s="265">
        <v>12006.497181900835</v>
      </c>
      <c r="AJ338" s="266">
        <v>10357.817227031053</v>
      </c>
      <c r="AK338" s="265">
        <v>22162.731879542305</v>
      </c>
      <c r="AL338" s="265">
        <v>6549.0445965129538</v>
      </c>
      <c r="AM338" s="265">
        <v>12011.648711012065</v>
      </c>
      <c r="AN338" s="265">
        <v>10362.261370578126</v>
      </c>
      <c r="AO338" s="266">
        <v>51085.686557645451</v>
      </c>
      <c r="AP338" s="203"/>
      <c r="AQ338" s="264">
        <v>31626.535890505245</v>
      </c>
      <c r="AR338" s="265">
        <v>6341.0945507367978</v>
      </c>
      <c r="AS338" s="265">
        <v>15866.448615707579</v>
      </c>
      <c r="AT338" s="265">
        <v>14889.465103238135</v>
      </c>
      <c r="AU338" s="266">
        <v>68723.544160187754</v>
      </c>
      <c r="AV338" s="203"/>
      <c r="AW338" s="324">
        <v>71324.20810033592</v>
      </c>
      <c r="AX338" s="203"/>
      <c r="AY338" s="377">
        <v>0</v>
      </c>
      <c r="AZ338" s="265">
        <v>0</v>
      </c>
      <c r="BA338" s="265">
        <v>68723.544160187754</v>
      </c>
      <c r="BB338" s="265">
        <v>672.65770861716953</v>
      </c>
      <c r="BC338" s="266">
        <v>68050.886451570579</v>
      </c>
      <c r="BD338" s="264">
        <v>680.5088645157058</v>
      </c>
      <c r="BE338" s="265">
        <v>67370.377587054871</v>
      </c>
      <c r="BF338" s="357">
        <v>0.94456537803099105</v>
      </c>
      <c r="BG338" s="203"/>
      <c r="BJ338" s="458">
        <v>0.94456537803099105</v>
      </c>
      <c r="BK338" s="210"/>
      <c r="BL338" s="458"/>
      <c r="BM338" s="458"/>
      <c r="BN338" s="458"/>
      <c r="BQ338" s="203">
        <v>67209.703062853499</v>
      </c>
      <c r="BR338" s="458">
        <v>0.94231264325158293</v>
      </c>
      <c r="BT338" s="459" t="s">
        <v>900</v>
      </c>
      <c r="BU338" s="460" t="s">
        <v>900</v>
      </c>
      <c r="BV338" s="461">
        <v>67370.377587054871</v>
      </c>
      <c r="BX338" s="462">
        <v>19035.881113287382</v>
      </c>
      <c r="BY338" s="463">
        <v>0.38832469456789698</v>
      </c>
      <c r="BZ338" s="461">
        <v>403.77490710784281</v>
      </c>
      <c r="CB338" s="203">
        <v>7328</v>
      </c>
      <c r="CC338" s="203">
        <v>8207.2194333876178</v>
      </c>
      <c r="CD338" s="203" t="e">
        <v>#VALUE!</v>
      </c>
      <c r="CE338" s="203" t="s">
        <v>900</v>
      </c>
      <c r="CF338" s="203" t="e">
        <v>#VALUE!</v>
      </c>
      <c r="CH338" s="199"/>
      <c r="CJ338" s="464" t="s">
        <v>1448</v>
      </c>
      <c r="CK338" s="464" t="s">
        <v>1447</v>
      </c>
      <c r="CL338" s="464" t="s">
        <v>1448</v>
      </c>
      <c r="CN338" s="464" t="s">
        <v>1447</v>
      </c>
      <c r="CO338" s="464" t="s">
        <v>1447</v>
      </c>
      <c r="CP338" s="464" t="s">
        <v>1447</v>
      </c>
      <c r="CQ338" s="464" t="s">
        <v>1447</v>
      </c>
      <c r="CS338" s="465">
        <v>0</v>
      </c>
      <c r="CT338" s="466">
        <v>0</v>
      </c>
      <c r="CU338" s="466">
        <v>0.95</v>
      </c>
      <c r="CV338" s="467">
        <v>0.95</v>
      </c>
    </row>
    <row r="339" spans="1:100" s="48" customFormat="1" outlineLevel="1" x14ac:dyDescent="0.3">
      <c r="A339" s="202">
        <v>78931000</v>
      </c>
      <c r="B339" s="48">
        <v>400334</v>
      </c>
      <c r="C339" s="48">
        <v>79483</v>
      </c>
      <c r="D339" s="48" t="s">
        <v>440</v>
      </c>
      <c r="E339" s="48" t="s">
        <v>7</v>
      </c>
      <c r="F339" s="48" t="s">
        <v>1498</v>
      </c>
      <c r="G339" s="48" t="s">
        <v>1499</v>
      </c>
      <c r="H339" s="48" t="s">
        <v>1508</v>
      </c>
      <c r="O339" s="454" t="s">
        <v>900</v>
      </c>
      <c r="P339" s="455" t="s">
        <v>900</v>
      </c>
      <c r="Q339" s="347" t="s">
        <v>900</v>
      </c>
      <c r="R339" s="455">
        <v>27</v>
      </c>
      <c r="S339" s="457">
        <v>23</v>
      </c>
      <c r="T339" s="455"/>
      <c r="U339" s="454">
        <v>27</v>
      </c>
      <c r="V339" s="455">
        <v>11.786196206221376</v>
      </c>
      <c r="W339" s="230">
        <v>0.43652578541560655</v>
      </c>
      <c r="X339" s="264" t="s">
        <v>900</v>
      </c>
      <c r="Y339" s="265" t="s">
        <v>900</v>
      </c>
      <c r="Z339" s="265" t="s">
        <v>900</v>
      </c>
      <c r="AA339" s="265" t="s">
        <v>900</v>
      </c>
      <c r="AB339" s="266" t="s">
        <v>900</v>
      </c>
      <c r="AC339" s="265">
        <v>5538.3066941300785</v>
      </c>
      <c r="AD339" s="265">
        <v>1143.6149412694256</v>
      </c>
      <c r="AE339" s="265">
        <v>3001.6242954752088</v>
      </c>
      <c r="AF339" s="266">
        <v>2589.4543067577633</v>
      </c>
      <c r="AG339" s="265">
        <v>5538.3066941300785</v>
      </c>
      <c r="AH339" s="265">
        <v>1143.6149412694256</v>
      </c>
      <c r="AI339" s="265">
        <v>3001.6242954752088</v>
      </c>
      <c r="AJ339" s="266">
        <v>2589.4543067577633</v>
      </c>
      <c r="AK339" s="265">
        <v>5547.8117971520696</v>
      </c>
      <c r="AL339" s="265">
        <v>3118.1997727046769</v>
      </c>
      <c r="AM339" s="265">
        <v>3006.7758245864384</v>
      </c>
      <c r="AN339" s="265">
        <v>2593.8984503048355</v>
      </c>
      <c r="AO339" s="266">
        <v>14266.685844748021</v>
      </c>
      <c r="AP339" s="203"/>
      <c r="AQ339" s="264">
        <v>5463.5458959261314</v>
      </c>
      <c r="AR339" s="265">
        <v>3019.188416785923</v>
      </c>
      <c r="AS339" s="265">
        <v>2965.1305355258783</v>
      </c>
      <c r="AT339" s="265">
        <v>2489.6966422402443</v>
      </c>
      <c r="AU339" s="266">
        <v>13937.561490478176</v>
      </c>
      <c r="AV339" s="203"/>
      <c r="AW339" s="324">
        <v>1337.5216211252912</v>
      </c>
      <c r="AX339" s="203"/>
      <c r="AY339" s="377">
        <v>0</v>
      </c>
      <c r="AZ339" s="265">
        <v>1314.8293929822576</v>
      </c>
      <c r="BA339" s="265">
        <v>12622.732097495918</v>
      </c>
      <c r="BB339" s="265">
        <v>123.54976963060641</v>
      </c>
      <c r="BC339" s="266">
        <v>12499.182327865312</v>
      </c>
      <c r="BD339" s="264">
        <v>124.99182327865311</v>
      </c>
      <c r="BE339" s="265">
        <v>12374.190504586659</v>
      </c>
      <c r="BF339" s="357">
        <v>9.2515816635367258</v>
      </c>
      <c r="BG339" s="203"/>
      <c r="BJ339" s="458">
        <v>9.2515816635367258</v>
      </c>
      <c r="BK339" s="210"/>
      <c r="BL339" s="458"/>
      <c r="BM339" s="458"/>
      <c r="BN339" s="458"/>
      <c r="BQ339" s="203">
        <v>12344.678763033296</v>
      </c>
      <c r="BR339" s="458">
        <v>9.229517166718697</v>
      </c>
      <c r="BT339" s="459" t="s">
        <v>900</v>
      </c>
      <c r="BU339" s="460" t="s">
        <v>900</v>
      </c>
      <c r="BV339" s="461">
        <v>12374.190504586659</v>
      </c>
      <c r="BX339" s="462">
        <v>495.75071624037992</v>
      </c>
      <c r="BY339" s="463">
        <v>4.1288921772711429E-2</v>
      </c>
      <c r="BZ339" s="461">
        <v>42.061977211841807</v>
      </c>
      <c r="CB339" s="203">
        <v>2719</v>
      </c>
      <c r="CC339" s="203">
        <v>2933.4644896094646</v>
      </c>
      <c r="CD339" s="203" t="e">
        <v>#VALUE!</v>
      </c>
      <c r="CE339" s="203" t="s">
        <v>900</v>
      </c>
      <c r="CF339" s="203" t="e">
        <v>#VALUE!</v>
      </c>
      <c r="CH339" s="199"/>
      <c r="CJ339" s="464" t="s">
        <v>1448</v>
      </c>
      <c r="CK339" s="464" t="s">
        <v>1447</v>
      </c>
      <c r="CL339" s="464" t="s">
        <v>1448</v>
      </c>
      <c r="CN339" s="464" t="s">
        <v>1447</v>
      </c>
      <c r="CO339" s="464" t="s">
        <v>1447</v>
      </c>
      <c r="CP339" s="464" t="s">
        <v>1447</v>
      </c>
      <c r="CQ339" s="464" t="s">
        <v>1447</v>
      </c>
      <c r="CS339" s="465">
        <v>0</v>
      </c>
      <c r="CT339" s="466">
        <v>0</v>
      </c>
      <c r="CU339" s="466">
        <v>0.95</v>
      </c>
      <c r="CV339" s="467">
        <v>0.95</v>
      </c>
    </row>
    <row r="340" spans="1:100" s="192" customFormat="1" outlineLevel="1" x14ac:dyDescent="0.3">
      <c r="A340" s="561">
        <v>78725000</v>
      </c>
      <c r="D340" s="192" t="s">
        <v>742</v>
      </c>
      <c r="E340" s="192" t="s">
        <v>900</v>
      </c>
      <c r="F340" s="192" t="s">
        <v>900</v>
      </c>
      <c r="G340" s="192" t="s">
        <v>900</v>
      </c>
      <c r="H340" s="192" t="s">
        <v>900</v>
      </c>
      <c r="O340" s="540" t="s">
        <v>900</v>
      </c>
      <c r="P340" s="541" t="s">
        <v>900</v>
      </c>
      <c r="Q340" s="850" t="s">
        <v>900</v>
      </c>
      <c r="R340" s="541">
        <v>5514</v>
      </c>
      <c r="S340" s="542">
        <v>1964</v>
      </c>
      <c r="T340" s="541"/>
      <c r="U340" s="540">
        <v>5514</v>
      </c>
      <c r="V340" s="541">
        <v>1006.4386673486426</v>
      </c>
      <c r="W340" s="543">
        <v>0.18252424144879265</v>
      </c>
      <c r="X340" s="544"/>
      <c r="Y340" s="545"/>
      <c r="Z340" s="545"/>
      <c r="AA340" s="545"/>
      <c r="AB340" s="546"/>
      <c r="AC340" s="545">
        <v>472923.23249006405</v>
      </c>
      <c r="AD340" s="545">
        <v>97654.771506658755</v>
      </c>
      <c r="AE340" s="545">
        <v>256312.61375275257</v>
      </c>
      <c r="AF340" s="546">
        <v>221116.88080314116</v>
      </c>
      <c r="AG340" s="545">
        <v>472923.23249006405</v>
      </c>
      <c r="AH340" s="545">
        <v>97654.771506658755</v>
      </c>
      <c r="AI340" s="545">
        <v>256312.61375275257</v>
      </c>
      <c r="AJ340" s="546">
        <v>221116.88080314116</v>
      </c>
      <c r="AK340" s="545">
        <v>472932.73759308603</v>
      </c>
      <c r="AL340" s="545">
        <v>99629.356338094003</v>
      </c>
      <c r="AM340" s="545">
        <v>256317.7652818638</v>
      </c>
      <c r="AN340" s="545">
        <v>221121.32494668823</v>
      </c>
      <c r="AO340" s="546">
        <v>1050001.1841597322</v>
      </c>
      <c r="AP340" s="547"/>
      <c r="AQ340" s="544">
        <v>465749.34622912708</v>
      </c>
      <c r="AR340" s="545">
        <v>96465.852271838769</v>
      </c>
      <c r="AS340" s="545">
        <v>252767.64114582576</v>
      </c>
      <c r="AT340" s="545">
        <v>212238.46299101875</v>
      </c>
      <c r="AU340" s="546">
        <v>1027221.3026378104</v>
      </c>
      <c r="AV340" s="547"/>
      <c r="AW340" s="548">
        <v>0</v>
      </c>
      <c r="AX340" s="547"/>
      <c r="AY340" s="851">
        <v>0</v>
      </c>
      <c r="AZ340" s="545">
        <v>96905.097977750818</v>
      </c>
      <c r="BA340" s="545">
        <v>930316.20466005953</v>
      </c>
      <c r="BB340" s="545">
        <v>9105.8220899873304</v>
      </c>
      <c r="BC340" s="546">
        <v>921210.38257007219</v>
      </c>
      <c r="BD340" s="544">
        <v>9212.1038257007222</v>
      </c>
      <c r="BE340" s="545">
        <v>911998.27874437149</v>
      </c>
      <c r="BF340" s="549" t="s">
        <v>1450</v>
      </c>
      <c r="BG340" s="547"/>
      <c r="BJ340" s="550" t="s">
        <v>900</v>
      </c>
      <c r="BK340" s="551"/>
      <c r="BL340" s="550"/>
      <c r="BM340" s="550"/>
      <c r="BN340" s="550"/>
      <c r="BQ340" s="547">
        <v>909823.21464709262</v>
      </c>
      <c r="BR340" s="550" t="s">
        <v>900</v>
      </c>
      <c r="BT340" s="552">
        <v>0</v>
      </c>
      <c r="BU340" s="553" t="s">
        <v>900</v>
      </c>
      <c r="BV340" s="554">
        <v>911998.27874437149</v>
      </c>
      <c r="BX340" s="555">
        <v>-111977.08456443215</v>
      </c>
      <c r="BY340" s="556">
        <v>-0.23145444598592038</v>
      </c>
      <c r="BZ340" s="554">
        <v>-111.26071383904998</v>
      </c>
      <c r="CB340" s="547">
        <v>4218</v>
      </c>
      <c r="CC340" s="547">
        <v>25795.064372454046</v>
      </c>
      <c r="CD340" s="547" t="e">
        <v>#VALUE!</v>
      </c>
      <c r="CE340" s="547" t="s">
        <v>900</v>
      </c>
      <c r="CF340" s="547" t="e">
        <v>#VALUE!</v>
      </c>
      <c r="CJ340" s="557" t="s">
        <v>1448</v>
      </c>
      <c r="CK340" s="557" t="s">
        <v>1447</v>
      </c>
      <c r="CL340" s="557" t="s">
        <v>1448</v>
      </c>
      <c r="CN340" s="557" t="s">
        <v>1447</v>
      </c>
      <c r="CO340" s="557" t="s">
        <v>1447</v>
      </c>
      <c r="CP340" s="557" t="s">
        <v>1447</v>
      </c>
      <c r="CQ340" s="557" t="s">
        <v>1447</v>
      </c>
      <c r="CS340" s="558">
        <v>0</v>
      </c>
      <c r="CT340" s="559">
        <v>0.9</v>
      </c>
      <c r="CU340" s="559">
        <v>0</v>
      </c>
      <c r="CV340" s="560">
        <v>0.9</v>
      </c>
    </row>
    <row r="341" spans="1:100" s="192" customFormat="1" outlineLevel="1" x14ac:dyDescent="0.3">
      <c r="A341" s="561">
        <v>78274000</v>
      </c>
      <c r="D341" s="192" t="s">
        <v>1251</v>
      </c>
      <c r="E341" s="192" t="s">
        <v>900</v>
      </c>
      <c r="F341" s="192" t="s">
        <v>900</v>
      </c>
      <c r="G341" s="192" t="s">
        <v>900</v>
      </c>
      <c r="H341" s="192" t="s">
        <v>900</v>
      </c>
      <c r="O341" s="540" t="s">
        <v>900</v>
      </c>
      <c r="P341" s="541" t="s">
        <v>900</v>
      </c>
      <c r="Q341" s="850" t="s">
        <v>900</v>
      </c>
      <c r="R341" s="541">
        <v>1276</v>
      </c>
      <c r="S341" s="542">
        <v>310</v>
      </c>
      <c r="T341" s="541"/>
      <c r="U341" s="540">
        <v>1276</v>
      </c>
      <c r="V341" s="541">
        <v>158.85742712733159</v>
      </c>
      <c r="W341" s="543">
        <v>0.12449641624399027</v>
      </c>
      <c r="X341" s="544"/>
      <c r="Y341" s="545"/>
      <c r="Z341" s="545"/>
      <c r="AA341" s="545"/>
      <c r="AB341" s="546"/>
      <c r="AC341" s="545">
        <v>74646.742399144539</v>
      </c>
      <c r="AD341" s="545">
        <v>15413.940512761821</v>
      </c>
      <c r="AE341" s="545">
        <v>40456.675286839767</v>
      </c>
      <c r="AF341" s="546">
        <v>34901.340656300294</v>
      </c>
      <c r="AG341" s="545">
        <v>74646.742399144539</v>
      </c>
      <c r="AH341" s="545" t="s">
        <v>900</v>
      </c>
      <c r="AI341" s="545">
        <v>40456.675286839767</v>
      </c>
      <c r="AJ341" s="546">
        <v>34901.340656300294</v>
      </c>
      <c r="AK341" s="545">
        <v>74656.24750216653</v>
      </c>
      <c r="AL341" s="545" t="s">
        <v>900</v>
      </c>
      <c r="AM341" s="545">
        <v>40461.826815950997</v>
      </c>
      <c r="AN341" s="545">
        <v>34905.784799847366</v>
      </c>
      <c r="AO341" s="546">
        <v>150023.85911796489</v>
      </c>
      <c r="AP341" s="547"/>
      <c r="AQ341" s="544">
        <v>73522.291231128955</v>
      </c>
      <c r="AR341" s="545">
        <v>0</v>
      </c>
      <c r="AS341" s="545">
        <v>39901.411084292529</v>
      </c>
      <c r="AT341" s="545">
        <v>33503.553387268301</v>
      </c>
      <c r="AU341" s="546">
        <v>146927.25570268978</v>
      </c>
      <c r="AV341" s="547"/>
      <c r="AW341" s="548">
        <v>0</v>
      </c>
      <c r="AX341" s="547"/>
      <c r="AY341" s="851">
        <v>0</v>
      </c>
      <c r="AZ341" s="545">
        <v>13860.69396429896</v>
      </c>
      <c r="BA341" s="545">
        <v>133066.56173839082</v>
      </c>
      <c r="BB341" s="545">
        <v>1302.4393547555735</v>
      </c>
      <c r="BC341" s="546">
        <v>131764.12238363526</v>
      </c>
      <c r="BD341" s="544">
        <v>1317.6412238363525</v>
      </c>
      <c r="BE341" s="545">
        <v>130446.4811597989</v>
      </c>
      <c r="BF341" s="549" t="s">
        <v>1450</v>
      </c>
      <c r="BG341" s="547"/>
      <c r="BJ341" s="550" t="s">
        <v>900</v>
      </c>
      <c r="BK341" s="551"/>
      <c r="BL341" s="550"/>
      <c r="BM341" s="550"/>
      <c r="BN341" s="550"/>
      <c r="BQ341" s="547">
        <v>130135.37371102424</v>
      </c>
      <c r="BR341" s="550" t="s">
        <v>900</v>
      </c>
      <c r="BT341" s="552">
        <v>0</v>
      </c>
      <c r="BU341" s="553" t="s">
        <v>900</v>
      </c>
      <c r="BV341" s="554">
        <v>130446.4811597989</v>
      </c>
      <c r="BX341" s="555">
        <v>-16081.285583798934</v>
      </c>
      <c r="BY341" s="556">
        <v>-0.11526323433840456</v>
      </c>
      <c r="BZ341" s="554">
        <v>-101.23093313672415</v>
      </c>
      <c r="CB341" s="547" t="s">
        <v>900</v>
      </c>
      <c r="CC341" s="547">
        <v>3818.3951322022122</v>
      </c>
      <c r="CD341" s="547" t="e">
        <v>#VALUE!</v>
      </c>
      <c r="CE341" s="547" t="s">
        <v>900</v>
      </c>
      <c r="CF341" s="547" t="e">
        <v>#VALUE!</v>
      </c>
      <c r="CJ341" s="557" t="s">
        <v>1448</v>
      </c>
      <c r="CK341" s="557" t="s">
        <v>1447</v>
      </c>
      <c r="CL341" s="557" t="s">
        <v>1448</v>
      </c>
      <c r="CN341" s="557" t="s">
        <v>1447</v>
      </c>
      <c r="CO341" s="557" t="s">
        <v>1448</v>
      </c>
      <c r="CP341" s="557" t="s">
        <v>1447</v>
      </c>
      <c r="CQ341" s="557" t="s">
        <v>1447</v>
      </c>
      <c r="CS341" s="558">
        <v>0.85</v>
      </c>
      <c r="CT341" s="559">
        <v>0</v>
      </c>
      <c r="CU341" s="559">
        <v>0</v>
      </c>
      <c r="CV341" s="560">
        <v>0.85</v>
      </c>
    </row>
    <row r="342" spans="1:100" s="192" customFormat="1" outlineLevel="1" x14ac:dyDescent="0.3">
      <c r="A342" s="561">
        <v>78254000</v>
      </c>
      <c r="D342" s="192" t="s">
        <v>1252</v>
      </c>
      <c r="E342" s="192" t="s">
        <v>900</v>
      </c>
      <c r="F342" s="192" t="s">
        <v>900</v>
      </c>
      <c r="G342" s="192" t="s">
        <v>900</v>
      </c>
      <c r="H342" s="192" t="s">
        <v>900</v>
      </c>
      <c r="O342" s="540" t="s">
        <v>900</v>
      </c>
      <c r="P342" s="541" t="s">
        <v>900</v>
      </c>
      <c r="Q342" s="850" t="s">
        <v>900</v>
      </c>
      <c r="R342" s="541">
        <v>86</v>
      </c>
      <c r="S342" s="542">
        <v>62</v>
      </c>
      <c r="T342" s="541"/>
      <c r="U342" s="540">
        <v>86</v>
      </c>
      <c r="V342" s="541">
        <v>31.771485425466317</v>
      </c>
      <c r="W342" s="543">
        <v>0.369435877040306</v>
      </c>
      <c r="X342" s="544"/>
      <c r="Y342" s="545"/>
      <c r="Z342" s="545"/>
      <c r="AA342" s="545"/>
      <c r="AB342" s="546"/>
      <c r="AC342" s="545">
        <v>14929.348479828906</v>
      </c>
      <c r="AD342" s="545">
        <v>3082.7881025523643</v>
      </c>
      <c r="AE342" s="545">
        <v>8091.3350573679527</v>
      </c>
      <c r="AF342" s="546">
        <v>6980.268131260058</v>
      </c>
      <c r="AG342" s="545">
        <v>14929.348479828906</v>
      </c>
      <c r="AH342" s="545">
        <v>3082.7881025523643</v>
      </c>
      <c r="AI342" s="545">
        <v>8091.3350573679527</v>
      </c>
      <c r="AJ342" s="546">
        <v>6980.268131260058</v>
      </c>
      <c r="AK342" s="545">
        <v>14938.853582850898</v>
      </c>
      <c r="AL342" s="545">
        <v>5057.3729339876154</v>
      </c>
      <c r="AM342" s="545">
        <v>8096.4865864791818</v>
      </c>
      <c r="AN342" s="545">
        <v>6984.7122748071297</v>
      </c>
      <c r="AO342" s="546">
        <v>35077.425378124826</v>
      </c>
      <c r="AP342" s="547"/>
      <c r="AQ342" s="544">
        <v>14711.946829978082</v>
      </c>
      <c r="AR342" s="545">
        <v>4896.7875359755481</v>
      </c>
      <c r="AS342" s="545">
        <v>7984.3463592258749</v>
      </c>
      <c r="AT342" s="545">
        <v>6704.1231685680968</v>
      </c>
      <c r="AU342" s="546">
        <v>34297.203893747603</v>
      </c>
      <c r="AV342" s="547"/>
      <c r="AW342" s="548">
        <v>0</v>
      </c>
      <c r="AX342" s="547"/>
      <c r="AY342" s="851">
        <v>0</v>
      </c>
      <c r="AZ342" s="545">
        <v>3235.4993954582824</v>
      </c>
      <c r="BA342" s="545">
        <v>31061.70449828932</v>
      </c>
      <c r="BB342" s="545">
        <v>304.02819337811405</v>
      </c>
      <c r="BC342" s="546">
        <v>30757.676304911205</v>
      </c>
      <c r="BD342" s="544">
        <v>307.57676304911206</v>
      </c>
      <c r="BE342" s="545">
        <v>30450.099541862091</v>
      </c>
      <c r="BF342" s="549" t="s">
        <v>1450</v>
      </c>
      <c r="BG342" s="547"/>
      <c r="BJ342" s="550" t="s">
        <v>900</v>
      </c>
      <c r="BK342" s="551"/>
      <c r="BL342" s="550"/>
      <c r="BM342" s="550"/>
      <c r="BN342" s="550"/>
      <c r="BQ342" s="547">
        <v>30377.477783887658</v>
      </c>
      <c r="BR342" s="550" t="s">
        <v>900</v>
      </c>
      <c r="BT342" s="552">
        <v>0</v>
      </c>
      <c r="BU342" s="553" t="s">
        <v>900</v>
      </c>
      <c r="BV342" s="554">
        <v>30450.099541862091</v>
      </c>
      <c r="BX342" s="555">
        <v>-2249.1266300618663</v>
      </c>
      <c r="BY342" s="556" t="s">
        <v>900</v>
      </c>
      <c r="BZ342" s="554">
        <v>-70.790729484089127</v>
      </c>
      <c r="CB342" s="547" t="s">
        <v>900</v>
      </c>
      <c r="CC342" s="547">
        <v>591.56657113095173</v>
      </c>
      <c r="CD342" s="547" t="e">
        <v>#VALUE!</v>
      </c>
      <c r="CE342" s="547" t="s">
        <v>900</v>
      </c>
      <c r="CF342" s="547" t="e">
        <v>#VALUE!</v>
      </c>
      <c r="CJ342" s="557" t="s">
        <v>1448</v>
      </c>
      <c r="CK342" s="557" t="s">
        <v>1447</v>
      </c>
      <c r="CL342" s="557" t="s">
        <v>1448</v>
      </c>
      <c r="CN342" s="557" t="s">
        <v>1447</v>
      </c>
      <c r="CO342" s="557" t="s">
        <v>1447</v>
      </c>
      <c r="CP342" s="557" t="s">
        <v>1447</v>
      </c>
      <c r="CQ342" s="557" t="s">
        <v>1447</v>
      </c>
      <c r="CS342" s="558">
        <v>0</v>
      </c>
      <c r="CT342" s="559">
        <v>0</v>
      </c>
      <c r="CU342" s="559">
        <v>0.95</v>
      </c>
      <c r="CV342" s="560">
        <v>0.95</v>
      </c>
    </row>
    <row r="343" spans="1:100" s="192" customFormat="1" outlineLevel="1" x14ac:dyDescent="0.3">
      <c r="A343" s="561">
        <v>78688000</v>
      </c>
      <c r="D343" s="192" t="s">
        <v>732</v>
      </c>
      <c r="E343" s="192" t="s">
        <v>900</v>
      </c>
      <c r="F343" s="192" t="s">
        <v>900</v>
      </c>
      <c r="G343" s="192" t="s">
        <v>900</v>
      </c>
      <c r="H343" s="192" t="s">
        <v>900</v>
      </c>
      <c r="O343" s="540" t="s">
        <v>900</v>
      </c>
      <c r="P343" s="541" t="s">
        <v>900</v>
      </c>
      <c r="Q343" s="850" t="s">
        <v>900</v>
      </c>
      <c r="R343" s="541">
        <v>160</v>
      </c>
      <c r="S343" s="542">
        <v>55</v>
      </c>
      <c r="T343" s="541"/>
      <c r="U343" s="540">
        <v>160</v>
      </c>
      <c r="V343" s="541">
        <v>28.184382232268508</v>
      </c>
      <c r="W343" s="543">
        <v>0.17615238895167817</v>
      </c>
      <c r="X343" s="544"/>
      <c r="Y343" s="545"/>
      <c r="Z343" s="545"/>
      <c r="AA343" s="545"/>
      <c r="AB343" s="546"/>
      <c r="AC343" s="545">
        <v>13243.776877267579</v>
      </c>
      <c r="AD343" s="545">
        <v>2734.7313812964521</v>
      </c>
      <c r="AE343" s="545">
        <v>7177.7972283102808</v>
      </c>
      <c r="AF343" s="546">
        <v>6192.173342246826</v>
      </c>
      <c r="AG343" s="545">
        <v>13243.776877267579</v>
      </c>
      <c r="AH343" s="545">
        <v>2734.7313812964521</v>
      </c>
      <c r="AI343" s="545">
        <v>7177.7972283102808</v>
      </c>
      <c r="AJ343" s="546">
        <v>6192.173342246826</v>
      </c>
      <c r="AK343" s="545">
        <v>13253.28198028957</v>
      </c>
      <c r="AL343" s="545">
        <v>4709.3162127317037</v>
      </c>
      <c r="AM343" s="545">
        <v>7182.94875742151</v>
      </c>
      <c r="AN343" s="545">
        <v>6196.6174857938977</v>
      </c>
      <c r="AO343" s="546">
        <v>31342.164436236679</v>
      </c>
      <c r="AP343" s="547"/>
      <c r="AQ343" s="544">
        <v>13051.977431558504</v>
      </c>
      <c r="AR343" s="545">
        <v>4559.7825658645897</v>
      </c>
      <c r="AS343" s="545">
        <v>7083.461467792541</v>
      </c>
      <c r="AT343" s="545">
        <v>5947.6876382015598</v>
      </c>
      <c r="AU343" s="546">
        <v>30642.909103417194</v>
      </c>
      <c r="AV343" s="547"/>
      <c r="AW343" s="548">
        <v>0</v>
      </c>
      <c r="AX343" s="547"/>
      <c r="AY343" s="851">
        <v>0</v>
      </c>
      <c r="AZ343" s="545">
        <v>2890.7637539882271</v>
      </c>
      <c r="BA343" s="545">
        <v>27752.145349428967</v>
      </c>
      <c r="BB343" s="545">
        <v>271.63463014138193</v>
      </c>
      <c r="BC343" s="546">
        <v>27480.510719287584</v>
      </c>
      <c r="BD343" s="544">
        <v>274.80510719287582</v>
      </c>
      <c r="BE343" s="545">
        <v>27205.705612094709</v>
      </c>
      <c r="BF343" s="549" t="s">
        <v>1450</v>
      </c>
      <c r="BG343" s="547"/>
      <c r="BJ343" s="550" t="s">
        <v>900</v>
      </c>
      <c r="BK343" s="551"/>
      <c r="BL343" s="550"/>
      <c r="BM343" s="550"/>
      <c r="BN343" s="550"/>
      <c r="BQ343" s="547">
        <v>27140.821549375341</v>
      </c>
      <c r="BR343" s="550" t="s">
        <v>900</v>
      </c>
      <c r="BT343" s="552">
        <v>0</v>
      </c>
      <c r="BU343" s="553" t="s">
        <v>900</v>
      </c>
      <c r="BV343" s="554">
        <v>27205.705612094709</v>
      </c>
      <c r="BX343" s="555">
        <v>-1845.2908227324297</v>
      </c>
      <c r="BY343" s="556" t="s">
        <v>900</v>
      </c>
      <c r="BZ343" s="554">
        <v>-65.472104640269265</v>
      </c>
      <c r="CB343" s="547" t="s">
        <v>900</v>
      </c>
      <c r="CC343" s="547">
        <v>609.92737683986252</v>
      </c>
      <c r="CD343" s="547" t="e">
        <v>#VALUE!</v>
      </c>
      <c r="CE343" s="547" t="s">
        <v>900</v>
      </c>
      <c r="CF343" s="547" t="e">
        <v>#VALUE!</v>
      </c>
      <c r="CJ343" s="557" t="s">
        <v>1448</v>
      </c>
      <c r="CK343" s="557" t="s">
        <v>1447</v>
      </c>
      <c r="CL343" s="557" t="s">
        <v>1448</v>
      </c>
      <c r="CN343" s="557" t="s">
        <v>1447</v>
      </c>
      <c r="CO343" s="557" t="s">
        <v>1447</v>
      </c>
      <c r="CP343" s="557" t="s">
        <v>1447</v>
      </c>
      <c r="CQ343" s="557" t="s">
        <v>1447</v>
      </c>
      <c r="CS343" s="558">
        <v>0</v>
      </c>
      <c r="CT343" s="559">
        <v>0.9</v>
      </c>
      <c r="CU343" s="559">
        <v>0</v>
      </c>
      <c r="CV343" s="560">
        <v>0.9</v>
      </c>
    </row>
    <row r="344" spans="1:100" s="192" customFormat="1" outlineLevel="1" x14ac:dyDescent="0.3">
      <c r="A344" s="561">
        <v>78585000</v>
      </c>
      <c r="D344" s="192" t="s">
        <v>719</v>
      </c>
      <c r="E344" s="192" t="s">
        <v>900</v>
      </c>
      <c r="F344" s="192" t="s">
        <v>900</v>
      </c>
      <c r="G344" s="192" t="s">
        <v>900</v>
      </c>
      <c r="H344" s="192" t="s">
        <v>900</v>
      </c>
      <c r="O344" s="540" t="s">
        <v>900</v>
      </c>
      <c r="P344" s="541" t="s">
        <v>900</v>
      </c>
      <c r="Q344" s="850" t="s">
        <v>900</v>
      </c>
      <c r="R344" s="541">
        <v>272</v>
      </c>
      <c r="S344" s="542">
        <v>230</v>
      </c>
      <c r="T344" s="541"/>
      <c r="U344" s="540">
        <v>272</v>
      </c>
      <c r="V344" s="541">
        <v>117.86196206221376</v>
      </c>
      <c r="W344" s="543">
        <v>0.43331603699343296</v>
      </c>
      <c r="X344" s="544"/>
      <c r="Y344" s="545"/>
      <c r="Z344" s="545"/>
      <c r="AA344" s="545"/>
      <c r="AB344" s="546"/>
      <c r="AC344" s="545">
        <v>55383.066941300785</v>
      </c>
      <c r="AD344" s="545">
        <v>11436.149412694254</v>
      </c>
      <c r="AE344" s="545">
        <v>30016.242954752088</v>
      </c>
      <c r="AF344" s="546">
        <v>25894.543067577637</v>
      </c>
      <c r="AG344" s="545">
        <v>55383.066941300785</v>
      </c>
      <c r="AH344" s="545">
        <v>11436.149412694254</v>
      </c>
      <c r="AI344" s="545">
        <v>30016.242954752088</v>
      </c>
      <c r="AJ344" s="546">
        <v>25894.543067577637</v>
      </c>
      <c r="AK344" s="545">
        <v>55392.572044322776</v>
      </c>
      <c r="AL344" s="545">
        <v>13410.734244129506</v>
      </c>
      <c r="AM344" s="545">
        <v>30021.394483863318</v>
      </c>
      <c r="AN344" s="545">
        <v>25898.98721112471</v>
      </c>
      <c r="AO344" s="546">
        <v>124723.68798344031</v>
      </c>
      <c r="AP344" s="547"/>
      <c r="AQ344" s="544">
        <v>54551.21239204803</v>
      </c>
      <c r="AR344" s="545">
        <v>12984.906818638547</v>
      </c>
      <c r="AS344" s="545">
        <v>29605.583753625866</v>
      </c>
      <c r="AT344" s="545">
        <v>24858.575897365004</v>
      </c>
      <c r="AU344" s="546">
        <v>122000.27886167745</v>
      </c>
      <c r="AV344" s="547"/>
      <c r="AW344" s="548">
        <v>0</v>
      </c>
      <c r="AX344" s="547"/>
      <c r="AY344" s="851">
        <v>0</v>
      </c>
      <c r="AZ344" s="545">
        <v>11509.154790739631</v>
      </c>
      <c r="BA344" s="545">
        <v>110491.12407093782</v>
      </c>
      <c r="BB344" s="545">
        <v>1081.4737110596852</v>
      </c>
      <c r="BC344" s="546">
        <v>109409.65035987813</v>
      </c>
      <c r="BD344" s="544">
        <v>1094.0965035987813</v>
      </c>
      <c r="BE344" s="545">
        <v>108315.55385627935</v>
      </c>
      <c r="BF344" s="549" t="s">
        <v>1450</v>
      </c>
      <c r="BG344" s="547"/>
      <c r="BJ344" s="550" t="s">
        <v>900</v>
      </c>
      <c r="BK344" s="551"/>
      <c r="BL344" s="550"/>
      <c r="BM344" s="550"/>
      <c r="BN344" s="550"/>
      <c r="BQ344" s="547">
        <v>108057.22741218339</v>
      </c>
      <c r="BR344" s="550" t="s">
        <v>900</v>
      </c>
      <c r="BT344" s="552">
        <v>0</v>
      </c>
      <c r="BU344" s="553" t="s">
        <v>900</v>
      </c>
      <c r="BV344" s="554">
        <v>108315.55385627935</v>
      </c>
      <c r="BX344" s="555">
        <v>-11941.186005968382</v>
      </c>
      <c r="BY344" s="556" t="s">
        <v>900</v>
      </c>
      <c r="BZ344" s="554">
        <v>-101.31501119644686</v>
      </c>
      <c r="CB344" s="547" t="s">
        <v>900</v>
      </c>
      <c r="CC344" s="547">
        <v>2146.6793222803362</v>
      </c>
      <c r="CD344" s="547" t="e">
        <v>#VALUE!</v>
      </c>
      <c r="CE344" s="547" t="s">
        <v>900</v>
      </c>
      <c r="CF344" s="547" t="e">
        <v>#VALUE!</v>
      </c>
      <c r="CJ344" s="557" t="s">
        <v>1448</v>
      </c>
      <c r="CK344" s="557" t="s">
        <v>1447</v>
      </c>
      <c r="CL344" s="557" t="s">
        <v>1448</v>
      </c>
      <c r="CN344" s="557" t="s">
        <v>1447</v>
      </c>
      <c r="CO344" s="557" t="s">
        <v>1447</v>
      </c>
      <c r="CP344" s="557" t="s">
        <v>1447</v>
      </c>
      <c r="CQ344" s="557" t="s">
        <v>1447</v>
      </c>
      <c r="CS344" s="558">
        <v>0</v>
      </c>
      <c r="CT344" s="559">
        <v>0</v>
      </c>
      <c r="CU344" s="559">
        <v>0.95</v>
      </c>
      <c r="CV344" s="560">
        <v>0.95</v>
      </c>
    </row>
    <row r="345" spans="1:100" s="192" customFormat="1" outlineLevel="1" x14ac:dyDescent="0.3">
      <c r="A345" s="561">
        <v>78926000</v>
      </c>
      <c r="D345" s="192" t="s">
        <v>1253</v>
      </c>
      <c r="E345" s="192" t="s">
        <v>900</v>
      </c>
      <c r="F345" s="192" t="s">
        <v>900</v>
      </c>
      <c r="G345" s="192" t="s">
        <v>900</v>
      </c>
      <c r="H345" s="192" t="s">
        <v>900</v>
      </c>
      <c r="O345" s="540" t="s">
        <v>900</v>
      </c>
      <c r="P345" s="541" t="s">
        <v>900</v>
      </c>
      <c r="Q345" s="850" t="s">
        <v>900</v>
      </c>
      <c r="R345" s="541">
        <v>1798</v>
      </c>
      <c r="S345" s="542">
        <v>726</v>
      </c>
      <c r="T345" s="541"/>
      <c r="U345" s="540">
        <v>1798</v>
      </c>
      <c r="V345" s="541">
        <v>372.0338454659443</v>
      </c>
      <c r="W345" s="543">
        <v>0.20691537567627602</v>
      </c>
      <c r="X345" s="544"/>
      <c r="Y345" s="545"/>
      <c r="Z345" s="545"/>
      <c r="AA345" s="545"/>
      <c r="AB345" s="546"/>
      <c r="AC345" s="545">
        <v>174817.85477993204</v>
      </c>
      <c r="AD345" s="545">
        <v>36098.454233113167</v>
      </c>
      <c r="AE345" s="545">
        <v>94746.923413695709</v>
      </c>
      <c r="AF345" s="546">
        <v>81736.688117658094</v>
      </c>
      <c r="AG345" s="545">
        <v>174817.85477993204</v>
      </c>
      <c r="AH345" s="545">
        <v>36098.454233113167</v>
      </c>
      <c r="AI345" s="545">
        <v>94746.923413695709</v>
      </c>
      <c r="AJ345" s="546">
        <v>81736.688117658094</v>
      </c>
      <c r="AK345" s="545">
        <v>174827.35988295401</v>
      </c>
      <c r="AL345" s="545">
        <v>38073.039064548415</v>
      </c>
      <c r="AM345" s="545">
        <v>94752.074942806939</v>
      </c>
      <c r="AN345" s="545">
        <v>81741.132261205159</v>
      </c>
      <c r="AO345" s="546">
        <v>389393.60615151451</v>
      </c>
      <c r="AP345" s="547"/>
      <c r="AQ345" s="544">
        <v>269657.83232957119</v>
      </c>
      <c r="AR345" s="545">
        <v>53063.254979617122</v>
      </c>
      <c r="AS345" s="545">
        <v>136267.99438387505</v>
      </c>
      <c r="AT345" s="545">
        <v>136266.41873924568</v>
      </c>
      <c r="AU345" s="546">
        <v>595255.500432309</v>
      </c>
      <c r="AV345" s="547"/>
      <c r="AW345" s="548">
        <v>654878.44776799518</v>
      </c>
      <c r="AX345" s="547"/>
      <c r="AY345" s="851">
        <v>0</v>
      </c>
      <c r="AZ345" s="545">
        <v>0</v>
      </c>
      <c r="BA345" s="545">
        <v>595255.500432309</v>
      </c>
      <c r="BB345" s="545">
        <v>5826.2885864742866</v>
      </c>
      <c r="BC345" s="546">
        <v>589429.21184583474</v>
      </c>
      <c r="BD345" s="544">
        <v>5894.2921184583474</v>
      </c>
      <c r="BE345" s="545">
        <v>583534.91972737643</v>
      </c>
      <c r="BF345" s="549">
        <v>0.89105836619944201</v>
      </c>
      <c r="BG345" s="547"/>
      <c r="BJ345" s="550">
        <v>0.89105836619944201</v>
      </c>
      <c r="BK345" s="551"/>
      <c r="BL345" s="550"/>
      <c r="BM345" s="550"/>
      <c r="BN345" s="550"/>
      <c r="BQ345" s="547">
        <v>582143.22208606615</v>
      </c>
      <c r="BR345" s="550">
        <v>0.88893324260428697</v>
      </c>
      <c r="BT345" s="552">
        <v>0</v>
      </c>
      <c r="BU345" s="553" t="s">
        <v>900</v>
      </c>
      <c r="BV345" s="554">
        <v>583534.91972737643</v>
      </c>
      <c r="BX345" s="555">
        <v>219925.43922875816</v>
      </c>
      <c r="BY345" s="556" t="s">
        <v>900</v>
      </c>
      <c r="BZ345" s="554">
        <v>591.14363359419133</v>
      </c>
      <c r="CB345" s="547" t="s">
        <v>900</v>
      </c>
      <c r="CC345" s="547">
        <v>7731.6364631326387</v>
      </c>
      <c r="CD345" s="547" t="e">
        <v>#VALUE!</v>
      </c>
      <c r="CE345" s="547" t="s">
        <v>900</v>
      </c>
      <c r="CF345" s="547" t="e">
        <v>#VALUE!</v>
      </c>
      <c r="CJ345" s="557" t="s">
        <v>1448</v>
      </c>
      <c r="CK345" s="557" t="s">
        <v>1447</v>
      </c>
      <c r="CL345" s="557" t="s">
        <v>1448</v>
      </c>
      <c r="CN345" s="557" t="s">
        <v>1447</v>
      </c>
      <c r="CO345" s="557" t="s">
        <v>1447</v>
      </c>
      <c r="CP345" s="557" t="s">
        <v>1447</v>
      </c>
      <c r="CQ345" s="557" t="s">
        <v>1447</v>
      </c>
      <c r="CS345" s="558">
        <v>0</v>
      </c>
      <c r="CT345" s="559">
        <v>0.9</v>
      </c>
      <c r="CU345" s="559">
        <v>0</v>
      </c>
      <c r="CV345" s="560">
        <v>0.9</v>
      </c>
    </row>
    <row r="346" spans="1:100" s="192" customFormat="1" outlineLevel="1" x14ac:dyDescent="0.3">
      <c r="A346" s="561">
        <v>78204000</v>
      </c>
      <c r="D346" s="192" t="s">
        <v>513</v>
      </c>
      <c r="E346" s="192" t="s">
        <v>900</v>
      </c>
      <c r="F346" s="192" t="s">
        <v>900</v>
      </c>
      <c r="G346" s="192" t="s">
        <v>900</v>
      </c>
      <c r="H346" s="192" t="s">
        <v>900</v>
      </c>
      <c r="O346" s="540" t="s">
        <v>900</v>
      </c>
      <c r="P346" s="541" t="s">
        <v>900</v>
      </c>
      <c r="Q346" s="850" t="s">
        <v>900</v>
      </c>
      <c r="R346" s="541">
        <v>180</v>
      </c>
      <c r="S346" s="542">
        <v>160</v>
      </c>
      <c r="T346" s="541"/>
      <c r="U346" s="540">
        <v>180</v>
      </c>
      <c r="V346" s="541">
        <v>81.990930130235654</v>
      </c>
      <c r="W346" s="543">
        <v>0.45550516739019808</v>
      </c>
      <c r="X346" s="544"/>
      <c r="Y346" s="545"/>
      <c r="Z346" s="545"/>
      <c r="AA346" s="545"/>
      <c r="AB346" s="546"/>
      <c r="AC346" s="545">
        <v>38527.350915687501</v>
      </c>
      <c r="AD346" s="545">
        <v>7955.5822001351335</v>
      </c>
      <c r="AE346" s="545">
        <v>20880.864664175362</v>
      </c>
      <c r="AF346" s="546">
        <v>18013.59517744531</v>
      </c>
      <c r="AG346" s="545">
        <v>38527.350915687501</v>
      </c>
      <c r="AH346" s="545">
        <v>7955.5822001351335</v>
      </c>
      <c r="AI346" s="545">
        <v>20880.864664175362</v>
      </c>
      <c r="AJ346" s="546">
        <v>18013.59517744531</v>
      </c>
      <c r="AK346" s="545">
        <v>38536.856018709492</v>
      </c>
      <c r="AL346" s="545">
        <v>9930.167031570385</v>
      </c>
      <c r="AM346" s="545">
        <v>20886.016193286592</v>
      </c>
      <c r="AN346" s="545">
        <v>18018.039320992382</v>
      </c>
      <c r="AO346" s="546">
        <v>87371.078564558848</v>
      </c>
      <c r="AP346" s="547"/>
      <c r="AQ346" s="544">
        <v>37951.518407852222</v>
      </c>
      <c r="AR346" s="545">
        <v>9614.8571175289635</v>
      </c>
      <c r="AS346" s="545">
        <v>20596.734839292534</v>
      </c>
      <c r="AT346" s="545">
        <v>17294.220593699625</v>
      </c>
      <c r="AU346" s="546">
        <v>85457.33095837335</v>
      </c>
      <c r="AV346" s="547"/>
      <c r="AW346" s="548">
        <v>0</v>
      </c>
      <c r="AX346" s="547"/>
      <c r="AY346" s="851">
        <v>0</v>
      </c>
      <c r="AZ346" s="545">
        <v>8061.7983760390489</v>
      </c>
      <c r="BA346" s="545">
        <v>77395.532582334301</v>
      </c>
      <c r="BB346" s="545">
        <v>757.53807869236425</v>
      </c>
      <c r="BC346" s="546">
        <v>76637.994503641938</v>
      </c>
      <c r="BD346" s="544">
        <v>766.37994503641937</v>
      </c>
      <c r="BE346" s="545">
        <v>75871.614558605521</v>
      </c>
      <c r="BF346" s="549" t="s">
        <v>1450</v>
      </c>
      <c r="BG346" s="547"/>
      <c r="BJ346" s="550" t="s">
        <v>900</v>
      </c>
      <c r="BK346" s="551"/>
      <c r="BL346" s="550"/>
      <c r="BM346" s="550"/>
      <c r="BN346" s="550"/>
      <c r="BQ346" s="547">
        <v>75690.665067060196</v>
      </c>
      <c r="BR346" s="550" t="s">
        <v>900</v>
      </c>
      <c r="BT346" s="552">
        <v>0</v>
      </c>
      <c r="BU346" s="553" t="s">
        <v>900</v>
      </c>
      <c r="BV346" s="554">
        <v>75871.614558605521</v>
      </c>
      <c r="BX346" s="555">
        <v>-7902.8279326739575</v>
      </c>
      <c r="BY346" s="556">
        <v>-0.3572431983502336</v>
      </c>
      <c r="BZ346" s="554">
        <v>-96.386611544971913</v>
      </c>
      <c r="CB346" s="547" t="s">
        <v>900</v>
      </c>
      <c r="CC346" s="547">
        <v>1483.9660861218301</v>
      </c>
      <c r="CD346" s="547" t="e">
        <v>#VALUE!</v>
      </c>
      <c r="CE346" s="547" t="s">
        <v>900</v>
      </c>
      <c r="CF346" s="547" t="e">
        <v>#VALUE!</v>
      </c>
      <c r="CJ346" s="557" t="s">
        <v>1448</v>
      </c>
      <c r="CK346" s="557" t="s">
        <v>1447</v>
      </c>
      <c r="CL346" s="557" t="s">
        <v>1448</v>
      </c>
      <c r="CN346" s="557" t="s">
        <v>1447</v>
      </c>
      <c r="CO346" s="557" t="s">
        <v>1447</v>
      </c>
      <c r="CP346" s="557" t="s">
        <v>1447</v>
      </c>
      <c r="CQ346" s="557" t="s">
        <v>1447</v>
      </c>
      <c r="CS346" s="558">
        <v>0</v>
      </c>
      <c r="CT346" s="559">
        <v>0</v>
      </c>
      <c r="CU346" s="559">
        <v>0.95</v>
      </c>
      <c r="CV346" s="560">
        <v>0.95</v>
      </c>
    </row>
    <row r="347" spans="1:100" s="192" customFormat="1" outlineLevel="1" x14ac:dyDescent="0.3">
      <c r="A347" s="561">
        <v>78263000</v>
      </c>
      <c r="D347" s="192" t="s">
        <v>679</v>
      </c>
      <c r="E347" s="192" t="s">
        <v>900</v>
      </c>
      <c r="F347" s="192" t="s">
        <v>900</v>
      </c>
      <c r="G347" s="192" t="s">
        <v>900</v>
      </c>
      <c r="H347" s="192" t="s">
        <v>900</v>
      </c>
      <c r="O347" s="540" t="s">
        <v>900</v>
      </c>
      <c r="P347" s="541" t="s">
        <v>900</v>
      </c>
      <c r="Q347" s="850" t="s">
        <v>900</v>
      </c>
      <c r="R347" s="541">
        <v>36</v>
      </c>
      <c r="S347" s="542">
        <v>32</v>
      </c>
      <c r="T347" s="541"/>
      <c r="U347" s="540">
        <v>36</v>
      </c>
      <c r="V347" s="541">
        <v>16.398186026047131</v>
      </c>
      <c r="W347" s="543">
        <v>0.45550516739019808</v>
      </c>
      <c r="X347" s="544"/>
      <c r="Y347" s="545"/>
      <c r="Z347" s="545"/>
      <c r="AA347" s="545"/>
      <c r="AB347" s="546"/>
      <c r="AC347" s="545">
        <v>7705.4701831375005</v>
      </c>
      <c r="AD347" s="545">
        <v>1591.1164400270268</v>
      </c>
      <c r="AE347" s="545">
        <v>4176.172932835073</v>
      </c>
      <c r="AF347" s="546">
        <v>3602.7190354890622</v>
      </c>
      <c r="AG347" s="545">
        <v>7705.4701831375005</v>
      </c>
      <c r="AH347" s="545">
        <v>1591.1164400270268</v>
      </c>
      <c r="AI347" s="545">
        <v>4176.172932835073</v>
      </c>
      <c r="AJ347" s="546">
        <v>3602.7190354890622</v>
      </c>
      <c r="AK347" s="545">
        <v>7714.9752861594916</v>
      </c>
      <c r="AL347" s="545">
        <v>3565.7012714622779</v>
      </c>
      <c r="AM347" s="545">
        <v>4181.3244619463021</v>
      </c>
      <c r="AN347" s="545">
        <v>3607.1631790361344</v>
      </c>
      <c r="AO347" s="546">
        <v>19069.164198604205</v>
      </c>
      <c r="AP347" s="547"/>
      <c r="AQ347" s="544">
        <v>7597.7922653227351</v>
      </c>
      <c r="AR347" s="545">
        <v>3452.4805212142978</v>
      </c>
      <c r="AS347" s="545">
        <v>4123.4111102258776</v>
      </c>
      <c r="AT347" s="545">
        <v>3462.2566098543643</v>
      </c>
      <c r="AU347" s="546">
        <v>18635.940506617273</v>
      </c>
      <c r="AV347" s="547"/>
      <c r="AW347" s="548">
        <v>0</v>
      </c>
      <c r="AX347" s="547"/>
      <c r="AY347" s="851">
        <v>0</v>
      </c>
      <c r="AZ347" s="545">
        <v>1758.060932015178</v>
      </c>
      <c r="BA347" s="545">
        <v>16877.879574602095</v>
      </c>
      <c r="BB347" s="545">
        <v>165.19863664926208</v>
      </c>
      <c r="BC347" s="546">
        <v>16712.680937952831</v>
      </c>
      <c r="BD347" s="544">
        <v>167.12680937952831</v>
      </c>
      <c r="BE347" s="545">
        <v>16545.554128573302</v>
      </c>
      <c r="BF347" s="549" t="s">
        <v>1450</v>
      </c>
      <c r="BG347" s="547"/>
      <c r="BJ347" s="550" t="s">
        <v>900</v>
      </c>
      <c r="BK347" s="551"/>
      <c r="BL347" s="550"/>
      <c r="BM347" s="550"/>
      <c r="BN347" s="550"/>
      <c r="BQ347" s="547">
        <v>16506.093921691998</v>
      </c>
      <c r="BR347" s="550" t="s">
        <v>900</v>
      </c>
      <c r="BT347" s="552">
        <v>0</v>
      </c>
      <c r="BU347" s="553" t="s">
        <v>900</v>
      </c>
      <c r="BV347" s="554">
        <v>16545.554128573302</v>
      </c>
      <c r="BX347" s="555">
        <v>-518.40174150712846</v>
      </c>
      <c r="BY347" s="556">
        <v>-2.6922520192192521E-2</v>
      </c>
      <c r="BZ347" s="554">
        <v>-31.613358982736941</v>
      </c>
      <c r="CB347" s="547" t="s">
        <v>900</v>
      </c>
      <c r="CC347" s="547">
        <v>296.79321722436612</v>
      </c>
      <c r="CD347" s="547" t="e">
        <v>#VALUE!</v>
      </c>
      <c r="CE347" s="547" t="s">
        <v>900</v>
      </c>
      <c r="CF347" s="547" t="e">
        <v>#VALUE!</v>
      </c>
      <c r="CJ347" s="557" t="s">
        <v>1448</v>
      </c>
      <c r="CK347" s="557" t="s">
        <v>1447</v>
      </c>
      <c r="CL347" s="557" t="s">
        <v>1448</v>
      </c>
      <c r="CN347" s="557" t="s">
        <v>1447</v>
      </c>
      <c r="CO347" s="557" t="s">
        <v>1447</v>
      </c>
      <c r="CP347" s="557" t="s">
        <v>1447</v>
      </c>
      <c r="CQ347" s="557" t="s">
        <v>1447</v>
      </c>
      <c r="CS347" s="558">
        <v>0</v>
      </c>
      <c r="CT347" s="559">
        <v>0</v>
      </c>
      <c r="CU347" s="559">
        <v>0.95</v>
      </c>
      <c r="CV347" s="560">
        <v>0.95</v>
      </c>
    </row>
    <row r="348" spans="1:100" s="192" customFormat="1" outlineLevel="1" x14ac:dyDescent="0.3">
      <c r="A348" s="561">
        <v>78256000</v>
      </c>
      <c r="D348" s="192" t="s">
        <v>1254</v>
      </c>
      <c r="E348" s="192" t="s">
        <v>900</v>
      </c>
      <c r="F348" s="192" t="s">
        <v>900</v>
      </c>
      <c r="G348" s="192" t="s">
        <v>900</v>
      </c>
      <c r="H348" s="192" t="s">
        <v>900</v>
      </c>
      <c r="O348" s="540" t="s">
        <v>900</v>
      </c>
      <c r="P348" s="541" t="s">
        <v>900</v>
      </c>
      <c r="Q348" s="850" t="s">
        <v>900</v>
      </c>
      <c r="R348" s="541">
        <v>184</v>
      </c>
      <c r="S348" s="542">
        <v>159</v>
      </c>
      <c r="T348" s="541"/>
      <c r="U348" s="540">
        <v>184</v>
      </c>
      <c r="V348" s="541">
        <v>81.478486816921688</v>
      </c>
      <c r="W348" s="543">
        <v>0.44281786313544397</v>
      </c>
      <c r="X348" s="544"/>
      <c r="Y348" s="545"/>
      <c r="Z348" s="545"/>
      <c r="AA348" s="545"/>
      <c r="AB348" s="546"/>
      <c r="AC348" s="545">
        <v>38286.554972464459</v>
      </c>
      <c r="AD348" s="545">
        <v>7905.8598113842891</v>
      </c>
      <c r="AE348" s="545">
        <v>20750.359260024266</v>
      </c>
      <c r="AF348" s="546">
        <v>17901.010207586278</v>
      </c>
      <c r="AG348" s="545">
        <v>38286.554972464459</v>
      </c>
      <c r="AH348" s="545">
        <v>7905.8598113842891</v>
      </c>
      <c r="AI348" s="545">
        <v>20750.359260024266</v>
      </c>
      <c r="AJ348" s="546">
        <v>17901.010207586278</v>
      </c>
      <c r="AK348" s="545">
        <v>38296.06007548645</v>
      </c>
      <c r="AL348" s="545">
        <v>9880.4446428195406</v>
      </c>
      <c r="AM348" s="545">
        <v>20755.510789135496</v>
      </c>
      <c r="AN348" s="545">
        <v>17905.45435113335</v>
      </c>
      <c r="AO348" s="546">
        <v>86837.469858574841</v>
      </c>
      <c r="AP348" s="547"/>
      <c r="AQ348" s="544">
        <v>37714.379922363711</v>
      </c>
      <c r="AR348" s="545">
        <v>9566.7135503702539</v>
      </c>
      <c r="AS348" s="545">
        <v>20468.036997659205</v>
      </c>
      <c r="AT348" s="545">
        <v>17186.158375075836</v>
      </c>
      <c r="AU348" s="546">
        <v>84935.288845469011</v>
      </c>
      <c r="AV348" s="547"/>
      <c r="AW348" s="548">
        <v>0</v>
      </c>
      <c r="AX348" s="547"/>
      <c r="AY348" s="851">
        <v>0</v>
      </c>
      <c r="AZ348" s="545">
        <v>8012.5504272576509</v>
      </c>
      <c r="BA348" s="545">
        <v>76922.73841821136</v>
      </c>
      <c r="BB348" s="545">
        <v>752.9104268014022</v>
      </c>
      <c r="BC348" s="546">
        <v>76169.827991409955</v>
      </c>
      <c r="BD348" s="544">
        <v>761.69827991409954</v>
      </c>
      <c r="BE348" s="545">
        <v>75408.129711495858</v>
      </c>
      <c r="BF348" s="549" t="s">
        <v>1450</v>
      </c>
      <c r="BG348" s="547"/>
      <c r="BJ348" s="550" t="s">
        <v>900</v>
      </c>
      <c r="BK348" s="551"/>
      <c r="BL348" s="550"/>
      <c r="BM348" s="550"/>
      <c r="BN348" s="550"/>
      <c r="BQ348" s="547">
        <v>75228.285604986973</v>
      </c>
      <c r="BR348" s="550" t="s">
        <v>900</v>
      </c>
      <c r="BT348" s="552">
        <v>0</v>
      </c>
      <c r="BU348" s="553" t="s">
        <v>900</v>
      </c>
      <c r="BV348" s="554">
        <v>75408.129711495858</v>
      </c>
      <c r="BX348" s="555">
        <v>-7845.1371030555165</v>
      </c>
      <c r="BY348" s="556">
        <v>-0.17518043639297831</v>
      </c>
      <c r="BZ348" s="554">
        <v>-96.284766808239439</v>
      </c>
      <c r="CB348" s="547" t="s">
        <v>900</v>
      </c>
      <c r="CC348" s="547">
        <v>1479.904515184403</v>
      </c>
      <c r="CD348" s="547" t="e">
        <v>#VALUE!</v>
      </c>
      <c r="CE348" s="547" t="s">
        <v>900</v>
      </c>
      <c r="CF348" s="547" t="e">
        <v>#VALUE!</v>
      </c>
      <c r="CJ348" s="557" t="s">
        <v>1448</v>
      </c>
      <c r="CK348" s="557" t="s">
        <v>1447</v>
      </c>
      <c r="CL348" s="557" t="s">
        <v>1448</v>
      </c>
      <c r="CN348" s="557" t="s">
        <v>1447</v>
      </c>
      <c r="CO348" s="557" t="s">
        <v>1447</v>
      </c>
      <c r="CP348" s="557" t="s">
        <v>1447</v>
      </c>
      <c r="CQ348" s="557" t="s">
        <v>1447</v>
      </c>
      <c r="CS348" s="558">
        <v>0</v>
      </c>
      <c r="CT348" s="559">
        <v>0</v>
      </c>
      <c r="CU348" s="559">
        <v>0.95</v>
      </c>
      <c r="CV348" s="560">
        <v>0.95</v>
      </c>
    </row>
    <row r="349" spans="1:100" s="192" customFormat="1" outlineLevel="1" x14ac:dyDescent="0.3">
      <c r="A349" s="561">
        <v>78270000</v>
      </c>
      <c r="D349" s="192" t="s">
        <v>827</v>
      </c>
      <c r="E349" s="192" t="s">
        <v>900</v>
      </c>
      <c r="F349" s="192" t="s">
        <v>900</v>
      </c>
      <c r="G349" s="192" t="s">
        <v>900</v>
      </c>
      <c r="H349" s="192" t="s">
        <v>900</v>
      </c>
      <c r="O349" s="540" t="s">
        <v>900</v>
      </c>
      <c r="P349" s="541" t="s">
        <v>900</v>
      </c>
      <c r="Q349" s="850" t="s">
        <v>900</v>
      </c>
      <c r="R349" s="541">
        <v>386</v>
      </c>
      <c r="S349" s="542">
        <v>187</v>
      </c>
      <c r="T349" s="541"/>
      <c r="U349" s="540">
        <v>386</v>
      </c>
      <c r="V349" s="541">
        <v>95.826899589712923</v>
      </c>
      <c r="W349" s="543">
        <v>0.24825621655366042</v>
      </c>
      <c r="X349" s="544"/>
      <c r="Y349" s="545"/>
      <c r="Z349" s="545"/>
      <c r="AA349" s="545"/>
      <c r="AB349" s="546"/>
      <c r="AC349" s="545">
        <v>45028.841382709768</v>
      </c>
      <c r="AD349" s="545">
        <v>9298.0866964079378</v>
      </c>
      <c r="AE349" s="545">
        <v>24404.510576254954</v>
      </c>
      <c r="AF349" s="546">
        <v>21053.389363639206</v>
      </c>
      <c r="AG349" s="545">
        <v>45028.841382709768</v>
      </c>
      <c r="AH349" s="545">
        <v>9298.0866964079378</v>
      </c>
      <c r="AI349" s="545">
        <v>24404.510576254954</v>
      </c>
      <c r="AJ349" s="546">
        <v>21053.389363639206</v>
      </c>
      <c r="AK349" s="545">
        <v>45038.346485731759</v>
      </c>
      <c r="AL349" s="545">
        <v>11272.671527843189</v>
      </c>
      <c r="AM349" s="545">
        <v>24409.662105366184</v>
      </c>
      <c r="AN349" s="545">
        <v>21057.833507186278</v>
      </c>
      <c r="AO349" s="546">
        <v>101778.51362612742</v>
      </c>
      <c r="AP349" s="547"/>
      <c r="AQ349" s="544">
        <v>44354.257516042024</v>
      </c>
      <c r="AR349" s="545">
        <v>10914.733430814089</v>
      </c>
      <c r="AS349" s="545">
        <v>24071.576563392533</v>
      </c>
      <c r="AT349" s="545">
        <v>20211.900496541984</v>
      </c>
      <c r="AU349" s="546">
        <v>99552.46800679063</v>
      </c>
      <c r="AV349" s="547"/>
      <c r="AW349" s="548">
        <v>0</v>
      </c>
      <c r="AX349" s="547"/>
      <c r="AY349" s="851">
        <v>0</v>
      </c>
      <c r="AZ349" s="545">
        <v>9391.4929931378138</v>
      </c>
      <c r="BA349" s="545">
        <v>90160.975013652816</v>
      </c>
      <c r="BB349" s="545">
        <v>882.48467974833113</v>
      </c>
      <c r="BC349" s="546">
        <v>89278.490333904483</v>
      </c>
      <c r="BD349" s="544">
        <v>892.78490333904483</v>
      </c>
      <c r="BE349" s="545">
        <v>88385.705430565431</v>
      </c>
      <c r="BF349" s="549" t="s">
        <v>1450</v>
      </c>
      <c r="BG349" s="547"/>
      <c r="BJ349" s="550" t="s">
        <v>900</v>
      </c>
      <c r="BK349" s="551"/>
      <c r="BL349" s="550"/>
      <c r="BM349" s="550"/>
      <c r="BN349" s="550"/>
      <c r="BQ349" s="547">
        <v>88174.910543036283</v>
      </c>
      <c r="BR349" s="550" t="s">
        <v>900</v>
      </c>
      <c r="BT349" s="552">
        <v>0</v>
      </c>
      <c r="BU349" s="553" t="s">
        <v>900</v>
      </c>
      <c r="BV349" s="554">
        <v>88385.705430565431</v>
      </c>
      <c r="BX349" s="555">
        <v>-9460.480332373234</v>
      </c>
      <c r="BY349" s="556">
        <v>-0.12534425299775154</v>
      </c>
      <c r="BZ349" s="554">
        <v>-98.724683495748025</v>
      </c>
      <c r="CB349" s="547" t="s">
        <v>900</v>
      </c>
      <c r="CC349" s="547">
        <v>1913.0334125859133</v>
      </c>
      <c r="CD349" s="547" t="e">
        <v>#VALUE!</v>
      </c>
      <c r="CE349" s="547" t="s">
        <v>900</v>
      </c>
      <c r="CF349" s="547" t="e">
        <v>#VALUE!</v>
      </c>
      <c r="CJ349" s="557" t="s">
        <v>1448</v>
      </c>
      <c r="CK349" s="557" t="s">
        <v>1447</v>
      </c>
      <c r="CL349" s="557" t="s">
        <v>1448</v>
      </c>
      <c r="CN349" s="557" t="s">
        <v>1447</v>
      </c>
      <c r="CO349" s="557" t="s">
        <v>1447</v>
      </c>
      <c r="CP349" s="557" t="s">
        <v>1447</v>
      </c>
      <c r="CQ349" s="557" t="s">
        <v>1447</v>
      </c>
      <c r="CS349" s="558">
        <v>0</v>
      </c>
      <c r="CT349" s="559">
        <v>0.9</v>
      </c>
      <c r="CU349" s="559">
        <v>0</v>
      </c>
      <c r="CV349" s="560">
        <v>0.9</v>
      </c>
    </row>
    <row r="350" spans="1:100" s="48" customFormat="1" outlineLevel="1" x14ac:dyDescent="0.3">
      <c r="A350" s="202">
        <v>108796000</v>
      </c>
      <c r="D350" s="48" t="s">
        <v>1539</v>
      </c>
      <c r="E350" s="48" t="s">
        <v>7</v>
      </c>
      <c r="F350" s="48" t="s">
        <v>900</v>
      </c>
      <c r="G350" s="48" t="s">
        <v>900</v>
      </c>
      <c r="H350" s="48" t="s">
        <v>900</v>
      </c>
      <c r="O350" s="454" t="s">
        <v>900</v>
      </c>
      <c r="P350" s="455" t="s">
        <v>900</v>
      </c>
      <c r="Q350" s="347" t="s">
        <v>900</v>
      </c>
      <c r="R350" s="455">
        <v>2282.5161568289532</v>
      </c>
      <c r="S350" s="457">
        <v>913.60620422231796</v>
      </c>
      <c r="T350" s="455"/>
      <c r="U350" s="454">
        <v>2282.5161568289532</v>
      </c>
      <c r="V350" s="455">
        <v>468.17139035588673</v>
      </c>
      <c r="W350" s="230">
        <v>0.20511197213443011</v>
      </c>
      <c r="X350" s="264"/>
      <c r="Y350" s="265"/>
      <c r="Z350" s="265"/>
      <c r="AA350" s="265"/>
      <c r="AB350" s="266"/>
      <c r="AC350" s="265">
        <v>219992.66768014064</v>
      </c>
      <c r="AD350" s="265">
        <v>45426.682851525598</v>
      </c>
      <c r="AE350" s="265">
        <v>119230.54691698236</v>
      </c>
      <c r="AF350" s="266">
        <v>102858.32696539539</v>
      </c>
      <c r="AG350" s="265">
        <v>219992.66768014064</v>
      </c>
      <c r="AH350" s="265">
        <v>45426.682851525598</v>
      </c>
      <c r="AI350" s="265">
        <v>119230.54691698236</v>
      </c>
      <c r="AJ350" s="266">
        <v>102858.32696539539</v>
      </c>
      <c r="AK350" s="265">
        <v>220002.17278316262</v>
      </c>
      <c r="AL350" s="265">
        <v>47401.267682960846</v>
      </c>
      <c r="AM350" s="265">
        <v>119235.69844609359</v>
      </c>
      <c r="AN350" s="265">
        <v>102862.77110894246</v>
      </c>
      <c r="AO350" s="266">
        <v>489501.91002115951</v>
      </c>
      <c r="AP350" s="203"/>
      <c r="AQ350" s="264">
        <v>0</v>
      </c>
      <c r="AR350" s="265">
        <v>0</v>
      </c>
      <c r="AS350" s="265">
        <v>0</v>
      </c>
      <c r="AT350" s="265">
        <v>0</v>
      </c>
      <c r="AU350" s="266">
        <v>0</v>
      </c>
      <c r="AV350" s="203"/>
      <c r="AW350" s="324">
        <v>0</v>
      </c>
      <c r="AX350" s="203"/>
      <c r="AY350" s="377">
        <v>0</v>
      </c>
      <c r="AZ350" s="265">
        <v>0</v>
      </c>
      <c r="BA350" s="265">
        <v>0</v>
      </c>
      <c r="BB350" s="265">
        <v>0</v>
      </c>
      <c r="BC350" s="266">
        <v>0</v>
      </c>
      <c r="BD350" s="264">
        <v>0</v>
      </c>
      <c r="BE350" s="265">
        <v>0</v>
      </c>
      <c r="BF350" s="357" t="s">
        <v>1450</v>
      </c>
      <c r="BG350" s="203"/>
      <c r="BJ350" s="458" t="s">
        <v>900</v>
      </c>
      <c r="BK350" s="210"/>
      <c r="BL350" s="458"/>
      <c r="BM350" s="458"/>
      <c r="BN350" s="458"/>
      <c r="BQ350" s="203">
        <v>0</v>
      </c>
      <c r="BR350" s="458" t="s">
        <v>900</v>
      </c>
      <c r="BT350" s="459">
        <v>0</v>
      </c>
      <c r="BU350" s="460" t="s">
        <v>900</v>
      </c>
      <c r="BV350" s="461">
        <v>0</v>
      </c>
      <c r="BX350" s="462">
        <v>-476535.665963354</v>
      </c>
      <c r="BY350" s="463">
        <v>-3.4499438645167197</v>
      </c>
      <c r="BZ350" s="461">
        <v>-1017.8658409714209</v>
      </c>
      <c r="CB350" s="203" t="s">
        <v>900</v>
      </c>
      <c r="CC350" s="203">
        <v>9749.8104972408346</v>
      </c>
      <c r="CD350" s="203" t="e">
        <v>#VALUE!</v>
      </c>
      <c r="CE350" s="203" t="s">
        <v>900</v>
      </c>
      <c r="CF350" s="203" t="e">
        <v>#VALUE!</v>
      </c>
      <c r="CH350" s="199"/>
      <c r="CJ350" s="464" t="s">
        <v>1448</v>
      </c>
      <c r="CK350" s="464" t="s">
        <v>1447</v>
      </c>
      <c r="CL350" s="464" t="s">
        <v>1448</v>
      </c>
      <c r="CN350" s="464" t="s">
        <v>1447</v>
      </c>
      <c r="CO350" s="464" t="s">
        <v>1447</v>
      </c>
      <c r="CP350" s="464" t="s">
        <v>1447</v>
      </c>
      <c r="CQ350" s="464" t="s">
        <v>1447</v>
      </c>
      <c r="CS350" s="465">
        <v>0</v>
      </c>
      <c r="CT350" s="466">
        <v>0.9</v>
      </c>
      <c r="CU350" s="466">
        <v>0</v>
      </c>
      <c r="CV350" s="467">
        <v>0.9</v>
      </c>
    </row>
    <row r="351" spans="1:100" s="48" customFormat="1" outlineLevel="1" x14ac:dyDescent="0.3">
      <c r="A351" s="48">
        <v>1202000</v>
      </c>
      <c r="D351" s="48" t="s">
        <v>50</v>
      </c>
      <c r="E351" s="48" t="s">
        <v>900</v>
      </c>
      <c r="F351" s="48" t="s">
        <v>900</v>
      </c>
      <c r="G351" s="48" t="s">
        <v>900</v>
      </c>
      <c r="H351" s="48" t="s">
        <v>900</v>
      </c>
      <c r="O351" s="454" t="s">
        <v>900</v>
      </c>
      <c r="P351" s="455" t="s">
        <v>900</v>
      </c>
      <c r="Q351" s="347" t="s">
        <v>900</v>
      </c>
      <c r="R351" s="455">
        <v>1021</v>
      </c>
      <c r="S351" s="457">
        <v>274</v>
      </c>
      <c r="T351" s="455"/>
      <c r="U351" s="454">
        <v>1021</v>
      </c>
      <c r="V351" s="455">
        <v>140.40946784802856</v>
      </c>
      <c r="W351" s="230">
        <v>0.13752151601178114</v>
      </c>
      <c r="X351" s="264"/>
      <c r="Y351" s="265"/>
      <c r="Z351" s="265"/>
      <c r="AA351" s="265"/>
      <c r="AB351" s="266"/>
      <c r="AC351" s="265">
        <v>65978.088443114844</v>
      </c>
      <c r="AD351" s="265">
        <v>13623.934517731415</v>
      </c>
      <c r="AE351" s="265">
        <v>35758.480737400307</v>
      </c>
      <c r="AF351" s="266">
        <v>30848.281741375093</v>
      </c>
      <c r="AG351" s="265">
        <v>65978.088443114844</v>
      </c>
      <c r="AH351" s="265" t="s">
        <v>900</v>
      </c>
      <c r="AI351" s="265">
        <v>35758.480737400307</v>
      </c>
      <c r="AJ351" s="266">
        <v>30848.281741375093</v>
      </c>
      <c r="AK351" s="265">
        <v>65987.593546136835</v>
      </c>
      <c r="AL351" s="265" t="s">
        <v>900</v>
      </c>
      <c r="AM351" s="265">
        <v>35763.632266511537</v>
      </c>
      <c r="AN351" s="265">
        <v>30852.725884922165</v>
      </c>
      <c r="AO351" s="266">
        <v>132603.95169757053</v>
      </c>
      <c r="AP351" s="203"/>
      <c r="AQ351" s="264">
        <v>64985.30575354254</v>
      </c>
      <c r="AR351" s="265">
        <v>11160.617722079478</v>
      </c>
      <c r="AS351" s="265">
        <v>35268.288785492528</v>
      </c>
      <c r="AT351" s="265">
        <v>29613.31351681181</v>
      </c>
      <c r="AU351" s="266">
        <v>141027.52577792638</v>
      </c>
      <c r="AV351" s="203"/>
      <c r="AW351" s="324">
        <v>128034.31240261777</v>
      </c>
      <c r="AX351" s="203"/>
      <c r="AY351" s="377">
        <v>0</v>
      </c>
      <c r="AZ351" s="265">
        <v>12993.213375308609</v>
      </c>
      <c r="BA351" s="265">
        <v>128034.31240261777</v>
      </c>
      <c r="BB351" s="265">
        <v>1253.1843090684461</v>
      </c>
      <c r="BC351" s="266">
        <v>126781.12809354933</v>
      </c>
      <c r="BD351" s="264">
        <v>1267.8112809354932</v>
      </c>
      <c r="BE351" s="265">
        <v>125513.31681261383</v>
      </c>
      <c r="BF351" s="357">
        <v>0.98031000016560876</v>
      </c>
      <c r="BG351" s="203"/>
      <c r="BJ351" s="458">
        <v>0.98031000016560876</v>
      </c>
      <c r="BK351" s="210"/>
      <c r="BL351" s="458"/>
      <c r="BM351" s="458"/>
      <c r="BN351" s="458"/>
      <c r="BQ351" s="203">
        <v>125213.97468062498</v>
      </c>
      <c r="BR351" s="458">
        <v>0.97797201649254817</v>
      </c>
      <c r="BT351" s="459">
        <v>0</v>
      </c>
      <c r="BU351" s="460"/>
      <c r="BV351" s="461">
        <v>125513.31681261383</v>
      </c>
      <c r="BX351" s="462">
        <v>-11947.614040139655</v>
      </c>
      <c r="BY351" s="463">
        <v>-8.5634984200567116E-2</v>
      </c>
      <c r="BZ351" s="461">
        <v>-85.09122798664184</v>
      </c>
      <c r="CB351" s="203">
        <v>19025</v>
      </c>
      <c r="CC351" s="203">
        <v>22291.3105544094</v>
      </c>
      <c r="CD351" s="203" t="e">
        <v>#VALUE!</v>
      </c>
      <c r="CE351" s="203" t="s">
        <v>900</v>
      </c>
      <c r="CF351" s="203" t="e">
        <v>#VALUE!</v>
      </c>
      <c r="CH351" s="199"/>
      <c r="CJ351" s="464" t="s">
        <v>1448</v>
      </c>
      <c r="CK351" s="464" t="s">
        <v>1447</v>
      </c>
      <c r="CL351" s="464" t="s">
        <v>1448</v>
      </c>
      <c r="CN351" s="464" t="s">
        <v>1447</v>
      </c>
      <c r="CO351" s="464" t="s">
        <v>1448</v>
      </c>
      <c r="CP351" s="464" t="s">
        <v>1447</v>
      </c>
      <c r="CQ351" s="464" t="s">
        <v>1447</v>
      </c>
      <c r="CS351" s="465">
        <v>0.85</v>
      </c>
      <c r="CT351" s="466">
        <v>0</v>
      </c>
      <c r="CU351" s="466">
        <v>0</v>
      </c>
      <c r="CV351" s="467">
        <v>0.85</v>
      </c>
    </row>
    <row r="352" spans="1:100" s="469" customFormat="1" outlineLevel="1" x14ac:dyDescent="0.3">
      <c r="A352" s="468"/>
      <c r="D352" s="469" t="s">
        <v>878</v>
      </c>
      <c r="E352" s="469" t="s">
        <v>900</v>
      </c>
      <c r="F352" s="469" t="s">
        <v>900</v>
      </c>
      <c r="G352" s="469" t="s">
        <v>900</v>
      </c>
      <c r="H352" s="469" t="s">
        <v>900</v>
      </c>
      <c r="I352" s="469">
        <v>0</v>
      </c>
      <c r="J352" s="469">
        <v>0</v>
      </c>
      <c r="K352" s="469">
        <v>0</v>
      </c>
      <c r="L352" s="469">
        <v>0</v>
      </c>
      <c r="M352" s="469">
        <v>0</v>
      </c>
      <c r="N352" s="469">
        <v>0</v>
      </c>
      <c r="O352" s="470">
        <v>0</v>
      </c>
      <c r="P352" s="471">
        <v>0</v>
      </c>
      <c r="Q352" s="846">
        <v>0</v>
      </c>
      <c r="R352" s="471">
        <v>69573.516156828948</v>
      </c>
      <c r="S352" s="472">
        <v>42098.60620422232</v>
      </c>
      <c r="T352" s="471">
        <v>0</v>
      </c>
      <c r="U352" s="470">
        <v>69573.516156828948</v>
      </c>
      <c r="V352" s="471">
        <v>21573.149249191858</v>
      </c>
      <c r="W352" s="473"/>
      <c r="X352" s="474"/>
      <c r="Y352" s="475"/>
      <c r="Z352" s="475"/>
      <c r="AA352" s="475"/>
      <c r="AB352" s="476"/>
      <c r="AC352" s="475">
        <v>10137173.589321325</v>
      </c>
      <c r="AD352" s="475">
        <v>2093243.263555059</v>
      </c>
      <c r="AE352" s="475">
        <v>5494095.616879873</v>
      </c>
      <c r="AF352" s="476">
        <v>4739670.3106096759</v>
      </c>
      <c r="AG352" s="475"/>
      <c r="AH352" s="475"/>
      <c r="AI352" s="475"/>
      <c r="AJ352" s="476"/>
      <c r="AK352" s="475"/>
      <c r="AL352" s="475"/>
      <c r="AM352" s="475"/>
      <c r="AN352" s="475"/>
      <c r="AO352" s="476"/>
      <c r="AQ352" s="474"/>
      <c r="AR352" s="475"/>
      <c r="AS352" s="475"/>
      <c r="AT352" s="475"/>
      <c r="AU352" s="476"/>
      <c r="AW352" s="477"/>
      <c r="AY352" s="847"/>
      <c r="AZ352" s="475"/>
      <c r="BA352" s="475"/>
      <c r="BB352" s="475"/>
      <c r="BC352" s="476"/>
      <c r="BD352" s="474"/>
      <c r="BE352" s="475"/>
      <c r="BF352" s="478" t="s">
        <v>1450</v>
      </c>
      <c r="BJ352" s="479"/>
      <c r="BK352" s="480"/>
      <c r="BL352" s="479"/>
      <c r="BM352" s="479"/>
      <c r="BN352" s="479"/>
      <c r="BQ352" s="481"/>
      <c r="BR352" s="479"/>
      <c r="BT352" s="482">
        <v>0</v>
      </c>
      <c r="BU352" s="483"/>
      <c r="BV352" s="484"/>
      <c r="BX352" s="485"/>
      <c r="BY352" s="486" t="s">
        <v>900</v>
      </c>
      <c r="BZ352" s="484">
        <v>0</v>
      </c>
      <c r="CB352" s="481"/>
      <c r="CC352" s="481"/>
      <c r="CE352" s="481"/>
      <c r="CH352" s="199"/>
      <c r="CJ352" s="487" t="s">
        <v>1450</v>
      </c>
      <c r="CK352" s="487" t="s">
        <v>1448</v>
      </c>
      <c r="CL352" s="487" t="s">
        <v>1448</v>
      </c>
      <c r="CN352" s="487" t="s">
        <v>1448</v>
      </c>
      <c r="CO352" s="487" t="s">
        <v>1450</v>
      </c>
      <c r="CP352" s="487" t="s">
        <v>1450</v>
      </c>
      <c r="CQ352" s="487" t="s">
        <v>1450</v>
      </c>
      <c r="CS352" s="488">
        <v>0.85</v>
      </c>
      <c r="CT352" s="489">
        <v>0</v>
      </c>
      <c r="CU352" s="489">
        <v>0</v>
      </c>
      <c r="CV352" s="490">
        <v>0.85</v>
      </c>
    </row>
    <row r="353" spans="1:100" s="492" customFormat="1" outlineLevel="1" x14ac:dyDescent="0.3">
      <c r="A353" s="491" t="s">
        <v>880</v>
      </c>
      <c r="B353" s="492">
        <v>0.51244331331397286</v>
      </c>
      <c r="D353" s="492" t="s">
        <v>879</v>
      </c>
      <c r="E353" s="492" t="s">
        <v>900</v>
      </c>
      <c r="F353" s="492" t="s">
        <v>900</v>
      </c>
      <c r="G353" s="492" t="s">
        <v>900</v>
      </c>
      <c r="H353" s="492" t="s">
        <v>900</v>
      </c>
      <c r="I353" s="492">
        <v>174626</v>
      </c>
      <c r="J353" s="492">
        <v>1422</v>
      </c>
      <c r="K353" s="492">
        <v>0</v>
      </c>
      <c r="L353" s="492">
        <v>6768</v>
      </c>
      <c r="M353" s="492">
        <v>0</v>
      </c>
      <c r="N353" s="492">
        <v>176048</v>
      </c>
      <c r="O353" s="493">
        <v>744125</v>
      </c>
      <c r="P353" s="494">
        <v>182816</v>
      </c>
      <c r="Q353" s="848">
        <v>16.176585890142995</v>
      </c>
      <c r="R353" s="494">
        <v>652144.51615682896</v>
      </c>
      <c r="S353" s="495">
        <v>356753.60620422231</v>
      </c>
      <c r="T353" s="494"/>
      <c r="U353" s="493">
        <v>744125.00000000012</v>
      </c>
      <c r="V353" s="494">
        <v>182815.99999999988</v>
      </c>
      <c r="W353" s="496"/>
      <c r="X353" s="497">
        <v>85904821.104169101</v>
      </c>
      <c r="Y353" s="498">
        <v>17738641.495952051</v>
      </c>
      <c r="Z353" s="498">
        <v>46558273.560042962</v>
      </c>
      <c r="AA353" s="498">
        <v>40165094.001603745</v>
      </c>
      <c r="AB353" s="499">
        <v>190366830.16176793</v>
      </c>
      <c r="AC353" s="498">
        <v>85904821.104169101</v>
      </c>
      <c r="AD353" s="498">
        <v>17738641.495952044</v>
      </c>
      <c r="AE353" s="498">
        <v>46558273.560042977</v>
      </c>
      <c r="AF353" s="499">
        <v>40165094.001603767</v>
      </c>
      <c r="AG353" s="498">
        <v>85902653.940680087</v>
      </c>
      <c r="AH353" s="498">
        <v>17329902.435844947</v>
      </c>
      <c r="AI353" s="498">
        <v>46557099.011405617</v>
      </c>
      <c r="AJ353" s="499">
        <v>40164080.736875035</v>
      </c>
      <c r="AK353" s="498">
        <v>85904821.104169115</v>
      </c>
      <c r="AL353" s="498">
        <v>17738641.495952044</v>
      </c>
      <c r="AM353" s="498">
        <v>46558273.560042948</v>
      </c>
      <c r="AN353" s="498">
        <v>40165094.001603737</v>
      </c>
      <c r="AO353" s="499">
        <v>190366830.16176787</v>
      </c>
      <c r="AP353" s="500"/>
      <c r="AQ353" s="497">
        <v>85457814.07470271</v>
      </c>
      <c r="AR353" s="498">
        <v>17609863.456342492</v>
      </c>
      <c r="AS353" s="498">
        <v>46264113.457422204</v>
      </c>
      <c r="AT353" s="498">
        <v>39906627.37104129</v>
      </c>
      <c r="AU353" s="499">
        <v>189238418.35950842</v>
      </c>
      <c r="AV353" s="500"/>
      <c r="AW353" s="501">
        <v>175217091.65090474</v>
      </c>
      <c r="AX353" s="500"/>
      <c r="AY353" s="849">
        <v>0</v>
      </c>
      <c r="AZ353" s="498">
        <v>11050051.694970256</v>
      </c>
      <c r="BA353" s="498">
        <v>178188366.66453844</v>
      </c>
      <c r="BB353" s="498">
        <v>1744086.1045149686</v>
      </c>
      <c r="BC353" s="499">
        <v>176444280.5600234</v>
      </c>
      <c r="BD353" s="497">
        <v>1764442.8056002343</v>
      </c>
      <c r="BE353" s="498">
        <v>174679837.75442323</v>
      </c>
      <c r="BF353" s="502">
        <v>0.99693378145123013</v>
      </c>
      <c r="BG353" s="500"/>
      <c r="BJ353" s="503"/>
      <c r="BK353" s="504"/>
      <c r="BL353" s="503"/>
      <c r="BM353" s="503"/>
      <c r="BN353" s="503"/>
      <c r="BO353" s="500">
        <v>392909.36084044882</v>
      </c>
      <c r="BP353" s="500">
        <v>10326953.53734911</v>
      </c>
      <c r="BQ353" s="500">
        <v>174679837.75442314</v>
      </c>
      <c r="BR353" s="503"/>
      <c r="BT353" s="497">
        <v>-146.74191647439633</v>
      </c>
      <c r="BU353" s="498">
        <v>-146632.94569017729</v>
      </c>
      <c r="BV353" s="499">
        <v>174533204.80873299</v>
      </c>
      <c r="BX353" s="506"/>
      <c r="BY353" s="507" t="s">
        <v>900</v>
      </c>
      <c r="BZ353" s="505">
        <v>0</v>
      </c>
      <c r="CB353" s="500"/>
      <c r="CE353" s="500"/>
      <c r="CH353" s="395"/>
      <c r="CJ353" s="487" t="s">
        <v>1450</v>
      </c>
      <c r="CK353" s="487" t="s">
        <v>1448</v>
      </c>
      <c r="CL353" s="508" t="s">
        <v>1448</v>
      </c>
      <c r="CN353" s="487" t="s">
        <v>1448</v>
      </c>
      <c r="CO353" s="487" t="s">
        <v>1450</v>
      </c>
      <c r="CP353" s="487" t="s">
        <v>1450</v>
      </c>
      <c r="CQ353" s="487" t="s">
        <v>1450</v>
      </c>
      <c r="CS353" s="488">
        <v>0.85</v>
      </c>
      <c r="CT353" s="489">
        <v>0</v>
      </c>
      <c r="CU353" s="489">
        <v>0</v>
      </c>
      <c r="CV353" s="490">
        <v>0.85</v>
      </c>
    </row>
    <row r="354" spans="1:100" s="469" customFormat="1" outlineLevel="1" x14ac:dyDescent="0.3">
      <c r="A354" s="468"/>
      <c r="E354" s="469" t="s">
        <v>900</v>
      </c>
      <c r="F354" s="469" t="s">
        <v>900</v>
      </c>
      <c r="G354" s="469" t="s">
        <v>900</v>
      </c>
      <c r="H354" s="469" t="s">
        <v>900</v>
      </c>
      <c r="O354" s="470"/>
      <c r="P354" s="471"/>
      <c r="Q354" s="846"/>
      <c r="R354" s="471"/>
      <c r="S354" s="472"/>
      <c r="T354" s="471"/>
      <c r="U354" s="471"/>
      <c r="V354" s="471"/>
      <c r="W354" s="473"/>
      <c r="X354" s="474">
        <v>469.89771739984002</v>
      </c>
      <c r="Y354" s="475">
        <v>97.030027437161209</v>
      </c>
      <c r="Z354" s="475">
        <v>254.67285992496824</v>
      </c>
      <c r="AA354" s="475">
        <v>219.70229083670887</v>
      </c>
      <c r="AB354" s="476" t="s">
        <v>900</v>
      </c>
      <c r="AC354" s="475"/>
      <c r="AD354" s="475"/>
      <c r="AE354" s="475"/>
      <c r="AF354" s="476"/>
      <c r="AG354" s="475">
        <v>9.5051030219908341</v>
      </c>
      <c r="AH354" s="475">
        <v>1974.5848314352513</v>
      </c>
      <c r="AI354" s="475">
        <v>5.1515291112295367</v>
      </c>
      <c r="AJ354" s="476">
        <v>4.4441435470719606</v>
      </c>
      <c r="AK354" s="475"/>
      <c r="AL354" s="475"/>
      <c r="AM354" s="475"/>
      <c r="AN354" s="475"/>
      <c r="AO354" s="476"/>
      <c r="AQ354" s="474"/>
      <c r="AR354" s="475"/>
      <c r="AS354" s="475"/>
      <c r="AT354" s="475"/>
      <c r="AU354" s="476"/>
      <c r="AW354" s="477"/>
      <c r="AY354" s="847"/>
      <c r="AZ354" s="475"/>
      <c r="BA354" s="475"/>
      <c r="BB354" s="475"/>
      <c r="BC354" s="476"/>
      <c r="BD354" s="474"/>
      <c r="BE354" s="475"/>
      <c r="BF354" s="478" t="s">
        <v>1450</v>
      </c>
      <c r="BJ354" s="479"/>
      <c r="BK354" s="480"/>
      <c r="BL354" s="479"/>
      <c r="BM354" s="479"/>
      <c r="BN354" s="479"/>
      <c r="BQ354" s="481"/>
      <c r="BR354" s="479"/>
      <c r="BT354" s="482">
        <v>0</v>
      </c>
      <c r="BU354" s="483"/>
      <c r="BV354" s="484"/>
      <c r="BX354" s="485"/>
      <c r="BY354" s="486" t="s">
        <v>900</v>
      </c>
      <c r="BZ354" s="484" t="s">
        <v>900</v>
      </c>
      <c r="CB354" s="481"/>
      <c r="CE354" s="481"/>
      <c r="CH354" s="199"/>
      <c r="CJ354" s="487" t="s">
        <v>1450</v>
      </c>
      <c r="CK354" s="487" t="s">
        <v>1448</v>
      </c>
      <c r="CL354" s="487" t="s">
        <v>1448</v>
      </c>
      <c r="CN354" s="487" t="s">
        <v>1448</v>
      </c>
      <c r="CO354" s="487" t="s">
        <v>1450</v>
      </c>
      <c r="CP354" s="487" t="s">
        <v>1450</v>
      </c>
      <c r="CQ354" s="487" t="s">
        <v>1450</v>
      </c>
      <c r="CS354" s="488">
        <v>0.85</v>
      </c>
      <c r="CT354" s="489">
        <v>0</v>
      </c>
      <c r="CU354" s="489">
        <v>0</v>
      </c>
      <c r="CV354" s="490">
        <v>0.85</v>
      </c>
    </row>
    <row r="355" spans="1:100" s="199" customFormat="1" outlineLevel="1" x14ac:dyDescent="0.3">
      <c r="A355" s="201"/>
      <c r="E355" s="199" t="s">
        <v>900</v>
      </c>
      <c r="F355" s="199" t="s">
        <v>900</v>
      </c>
      <c r="G355" s="199" t="s">
        <v>900</v>
      </c>
      <c r="H355" s="199" t="s">
        <v>900</v>
      </c>
      <c r="O355" s="509" t="s">
        <v>900</v>
      </c>
      <c r="P355" s="510" t="s">
        <v>900</v>
      </c>
      <c r="Q355" s="349" t="s">
        <v>900</v>
      </c>
      <c r="R355" s="510" t="s">
        <v>900</v>
      </c>
      <c r="S355" s="512" t="s">
        <v>900</v>
      </c>
      <c r="T355" s="510"/>
      <c r="U355" s="509"/>
      <c r="V355" s="510"/>
      <c r="W355" s="232"/>
      <c r="X355" s="270" t="s">
        <v>900</v>
      </c>
      <c r="Y355" s="271" t="s">
        <v>900</v>
      </c>
      <c r="Z355" s="271" t="s">
        <v>900</v>
      </c>
      <c r="AA355" s="271" t="s">
        <v>900</v>
      </c>
      <c r="AB355" s="272" t="s">
        <v>900</v>
      </c>
      <c r="AC355" s="271"/>
      <c r="AD355" s="271"/>
      <c r="AE355" s="271"/>
      <c r="AF355" s="272"/>
      <c r="AG355" s="271"/>
      <c r="AH355" s="271"/>
      <c r="AI355" s="271"/>
      <c r="AJ355" s="272"/>
      <c r="AK355" s="271"/>
      <c r="AL355" s="271"/>
      <c r="AM355" s="271"/>
      <c r="AN355" s="271"/>
      <c r="AO355" s="272"/>
      <c r="AQ355" s="270"/>
      <c r="AR355" s="271"/>
      <c r="AS355" s="271"/>
      <c r="AT355" s="271"/>
      <c r="AU355" s="272"/>
      <c r="AW355" s="326"/>
      <c r="AY355" s="378"/>
      <c r="AZ355" s="271"/>
      <c r="BA355" s="271"/>
      <c r="BB355" s="271"/>
      <c r="BC355" s="272"/>
      <c r="BD355" s="270"/>
      <c r="BE355" s="271"/>
      <c r="BF355" s="363" t="s">
        <v>1450</v>
      </c>
      <c r="BJ355" s="513"/>
      <c r="BK355" s="221"/>
      <c r="BL355" s="513"/>
      <c r="BM355" s="513"/>
      <c r="BN355" s="513"/>
      <c r="BQ355" s="200"/>
      <c r="BR355" s="513"/>
      <c r="BT355" s="514">
        <v>0</v>
      </c>
      <c r="BU355" s="515"/>
      <c r="BV355" s="516"/>
      <c r="BX355" s="517"/>
      <c r="BY355" s="518" t="s">
        <v>900</v>
      </c>
      <c r="BZ355" s="516" t="s">
        <v>900</v>
      </c>
      <c r="CB355" s="200"/>
      <c r="CE355" s="200"/>
      <c r="CJ355" s="519" t="s">
        <v>1450</v>
      </c>
      <c r="CK355" s="519" t="s">
        <v>1448</v>
      </c>
      <c r="CL355" s="519" t="s">
        <v>1448</v>
      </c>
      <c r="CN355" s="519" t="s">
        <v>1448</v>
      </c>
      <c r="CO355" s="519" t="s">
        <v>1450</v>
      </c>
      <c r="CP355" s="519" t="s">
        <v>1450</v>
      </c>
      <c r="CQ355" s="519" t="s">
        <v>1450</v>
      </c>
      <c r="CS355" s="520">
        <v>0.85</v>
      </c>
      <c r="CT355" s="521">
        <v>0</v>
      </c>
      <c r="CU355" s="521">
        <v>0</v>
      </c>
      <c r="CV355" s="522">
        <v>0.85</v>
      </c>
    </row>
    <row r="356" spans="1:100" outlineLevel="1" x14ac:dyDescent="0.3">
      <c r="A356" s="1">
        <v>80313000</v>
      </c>
      <c r="B356" s="47">
        <v>409570</v>
      </c>
      <c r="C356" s="47">
        <v>4377</v>
      </c>
      <c r="D356" s="47" t="s">
        <v>451</v>
      </c>
      <c r="E356" s="47" t="s">
        <v>5</v>
      </c>
      <c r="F356" s="47" t="s">
        <v>1498</v>
      </c>
      <c r="G356" s="47" t="s">
        <v>1499</v>
      </c>
      <c r="H356" s="47" t="s">
        <v>1515</v>
      </c>
      <c r="I356" s="382">
        <v>10</v>
      </c>
      <c r="J356" s="382">
        <v>0</v>
      </c>
      <c r="K356" s="382">
        <v>0</v>
      </c>
      <c r="L356" s="382">
        <v>0</v>
      </c>
      <c r="M356" s="382">
        <v>0</v>
      </c>
      <c r="N356" s="382">
        <v>10</v>
      </c>
      <c r="O356" s="444">
        <v>50</v>
      </c>
      <c r="P356" s="445">
        <v>10</v>
      </c>
      <c r="Q356" s="346">
        <v>0.2</v>
      </c>
      <c r="R356" s="445">
        <v>21</v>
      </c>
      <c r="S356" s="447">
        <v>15</v>
      </c>
      <c r="T356" s="445">
        <v>-1.4131259139568073</v>
      </c>
      <c r="U356" s="444">
        <v>43.000400999469058</v>
      </c>
      <c r="V356" s="445">
        <v>8.586874086043192</v>
      </c>
      <c r="W356" s="229">
        <v>0.19969288393727347</v>
      </c>
      <c r="X356" s="261">
        <v>8159.5774515558651</v>
      </c>
      <c r="Y356" s="262">
        <v>1990.0863939353876</v>
      </c>
      <c r="Z356" s="262">
        <v>4942.4015936808091</v>
      </c>
      <c r="AA356" s="262">
        <v>5379.7205364133579</v>
      </c>
      <c r="AB356" s="263">
        <v>20471.785975585422</v>
      </c>
      <c r="AC356" s="262">
        <v>7045.3635195015504</v>
      </c>
      <c r="AD356" s="262">
        <v>1718.3343333318414</v>
      </c>
      <c r="AE356" s="262">
        <v>4267.5023423186503</v>
      </c>
      <c r="AF356" s="263">
        <v>4645.1041168967431</v>
      </c>
      <c r="AG356" s="262" t="s">
        <v>900</v>
      </c>
      <c r="AH356" s="262" t="s">
        <v>900</v>
      </c>
      <c r="AI356" s="262" t="s">
        <v>900</v>
      </c>
      <c r="AJ356" s="263" t="s">
        <v>900</v>
      </c>
      <c r="AK356" s="262" t="s">
        <v>900</v>
      </c>
      <c r="AL356" s="262" t="s">
        <v>900</v>
      </c>
      <c r="AM356" s="262" t="s">
        <v>900</v>
      </c>
      <c r="AN356" s="262" t="s">
        <v>900</v>
      </c>
      <c r="AO356" s="263">
        <v>0</v>
      </c>
      <c r="AP356" s="31"/>
      <c r="AQ356" s="261">
        <v>0</v>
      </c>
      <c r="AR356" s="262">
        <v>1711.5830854074752</v>
      </c>
      <c r="AS356" s="262">
        <v>0</v>
      </c>
      <c r="AT356" s="262">
        <v>0</v>
      </c>
      <c r="AU356" s="263">
        <v>1711.5830854074752</v>
      </c>
      <c r="AV356" s="31"/>
      <c r="AW356" s="323">
        <v>24674.969509741877</v>
      </c>
      <c r="AX356" s="31"/>
      <c r="AY356" s="747">
        <v>0</v>
      </c>
      <c r="AZ356" s="262">
        <v>0</v>
      </c>
      <c r="BA356" s="262">
        <v>1711.5830854074752</v>
      </c>
      <c r="BB356" s="262">
        <v>16.752767489035627</v>
      </c>
      <c r="BC356" s="263">
        <v>1694.8303179184395</v>
      </c>
      <c r="BD356" s="261">
        <v>16.948303179184396</v>
      </c>
      <c r="BE356" s="262">
        <v>1677.8820147392551</v>
      </c>
      <c r="BF356" s="354">
        <v>6.7999355139094039E-2</v>
      </c>
      <c r="BG356" s="31"/>
      <c r="BJ356" s="4">
        <v>6.7999355139094039E-2</v>
      </c>
      <c r="BL356" s="4">
        <v>0.9</v>
      </c>
      <c r="BM356" s="4">
        <v>0.9</v>
      </c>
      <c r="BN356" s="4" t="s">
        <v>1003</v>
      </c>
      <c r="BO356" s="31">
        <v>20529.590544028437</v>
      </c>
      <c r="BP356" s="31">
        <v>22207.472558767691</v>
      </c>
      <c r="BQ356" s="31">
        <v>22207.472558767691</v>
      </c>
      <c r="BR356" s="4">
        <v>0.9</v>
      </c>
      <c r="BS356" s="4" t="s">
        <v>900</v>
      </c>
      <c r="BT356" s="448" t="s">
        <v>900</v>
      </c>
      <c r="BU356" s="367" t="s">
        <v>900</v>
      </c>
      <c r="BV356" s="368">
        <v>1677.8820147392551</v>
      </c>
      <c r="BX356" s="449">
        <v>-20443.820985260747</v>
      </c>
      <c r="BY356" s="450">
        <v>-0.92415222215309323</v>
      </c>
      <c r="BZ356" s="368">
        <v>-2380.8222620254123</v>
      </c>
      <c r="CB356" s="31">
        <v>1625</v>
      </c>
      <c r="CC356" s="31">
        <v>1804.9798765991129</v>
      </c>
      <c r="CD356" s="31" t="e">
        <v>#VALUE!</v>
      </c>
      <c r="CE356" s="31" t="s">
        <v>900</v>
      </c>
      <c r="CF356" s="31" t="e">
        <v>#VALUE!</v>
      </c>
      <c r="CJ356" s="702" t="s">
        <v>1447</v>
      </c>
      <c r="CK356" s="702" t="s">
        <v>1447</v>
      </c>
      <c r="CL356" s="702" t="s">
        <v>1448</v>
      </c>
      <c r="CN356" s="702" t="s">
        <v>1448</v>
      </c>
      <c r="CO356" s="702" t="s">
        <v>1448</v>
      </c>
      <c r="CP356" s="702" t="s">
        <v>1448</v>
      </c>
      <c r="CQ356" s="702" t="s">
        <v>1448</v>
      </c>
      <c r="CS356" s="451">
        <v>0</v>
      </c>
      <c r="CT356" s="452">
        <v>0.9</v>
      </c>
      <c r="CU356" s="452">
        <v>0</v>
      </c>
      <c r="CV356" s="453">
        <v>0.9</v>
      </c>
    </row>
    <row r="357" spans="1:100" outlineLevel="1" x14ac:dyDescent="0.3">
      <c r="A357" s="1">
        <v>80306000</v>
      </c>
      <c r="B357" s="47">
        <v>405730</v>
      </c>
      <c r="C357" s="47">
        <v>4373</v>
      </c>
      <c r="D357" s="47" t="s">
        <v>313</v>
      </c>
      <c r="E357" s="47" t="s">
        <v>5</v>
      </c>
      <c r="F357" s="47" t="s">
        <v>1498</v>
      </c>
      <c r="G357" s="47" t="s">
        <v>1499</v>
      </c>
      <c r="H357" s="47" t="s">
        <v>1515</v>
      </c>
      <c r="I357" s="382">
        <v>11</v>
      </c>
      <c r="J357" s="382">
        <v>0</v>
      </c>
      <c r="K357" s="382">
        <v>0</v>
      </c>
      <c r="L357" s="382">
        <v>0</v>
      </c>
      <c r="M357" s="382">
        <v>0</v>
      </c>
      <c r="N357" s="382">
        <v>11</v>
      </c>
      <c r="O357" s="444">
        <v>61</v>
      </c>
      <c r="P357" s="445">
        <v>11</v>
      </c>
      <c r="Q357" s="346">
        <v>0.18032786885245902</v>
      </c>
      <c r="R357" s="445">
        <v>23</v>
      </c>
      <c r="S357" s="447">
        <v>14</v>
      </c>
      <c r="T357" s="445">
        <v>-1.5544385053524883</v>
      </c>
      <c r="U357" s="444">
        <v>52.460489219352255</v>
      </c>
      <c r="V357" s="445">
        <v>9.4455614946475119</v>
      </c>
      <c r="W357" s="229">
        <v>0.18005096092704984</v>
      </c>
      <c r="X357" s="261">
        <v>10984.915904310668</v>
      </c>
      <c r="Y357" s="262">
        <v>2679.1744804781133</v>
      </c>
      <c r="Z357" s="262">
        <v>4491.961861136333</v>
      </c>
      <c r="AA357" s="262">
        <v>4024.5963554945497</v>
      </c>
      <c r="AB357" s="263">
        <v>22180.648601419663</v>
      </c>
      <c r="AC357" s="262">
        <v>9484.8938240381012</v>
      </c>
      <c r="AD357" s="262">
        <v>2313.325445981372</v>
      </c>
      <c r="AE357" s="262">
        <v>3878.5714597767164</v>
      </c>
      <c r="AF357" s="263">
        <v>3475.0260674728352</v>
      </c>
      <c r="AG357" s="262" t="s">
        <v>900</v>
      </c>
      <c r="AH357" s="262" t="s">
        <v>900</v>
      </c>
      <c r="AI357" s="262" t="s">
        <v>900</v>
      </c>
      <c r="AJ357" s="263" t="s">
        <v>900</v>
      </c>
      <c r="AK357" s="262" t="s">
        <v>900</v>
      </c>
      <c r="AL357" s="262" t="s">
        <v>900</v>
      </c>
      <c r="AM357" s="262" t="s">
        <v>900</v>
      </c>
      <c r="AN357" s="262" t="s">
        <v>900</v>
      </c>
      <c r="AO357" s="263">
        <v>0</v>
      </c>
      <c r="AP357" s="31"/>
      <c r="AQ357" s="261">
        <v>0</v>
      </c>
      <c r="AR357" s="262">
        <v>2292.6626567425487</v>
      </c>
      <c r="AS357" s="262">
        <v>0</v>
      </c>
      <c r="AT357" s="262">
        <v>0</v>
      </c>
      <c r="AU357" s="263">
        <v>2292.6626567425487</v>
      </c>
      <c r="AV357" s="31"/>
      <c r="AW357" s="323">
        <v>21004.35674125595</v>
      </c>
      <c r="AX357" s="31"/>
      <c r="AY357" s="747">
        <v>0</v>
      </c>
      <c r="AZ357" s="262">
        <v>0</v>
      </c>
      <c r="BA357" s="262">
        <v>2292.6626567425487</v>
      </c>
      <c r="BB357" s="262">
        <v>22.440303802171979</v>
      </c>
      <c r="BC357" s="263">
        <v>2270.2223529403768</v>
      </c>
      <c r="BD357" s="261">
        <v>22.702223529403767</v>
      </c>
      <c r="BE357" s="262">
        <v>2247.5201294109729</v>
      </c>
      <c r="BF357" s="354">
        <v>0.1070025689002168</v>
      </c>
      <c r="BG357" s="31"/>
      <c r="BJ357" s="4">
        <v>0.1070025689002168</v>
      </c>
      <c r="BL357" s="4">
        <v>0.9</v>
      </c>
      <c r="BM357" s="4">
        <v>0.9</v>
      </c>
      <c r="BN357" s="4" t="s">
        <v>1003</v>
      </c>
      <c r="BO357" s="31">
        <v>16656.400937719383</v>
      </c>
      <c r="BP357" s="31">
        <v>18903.921067130355</v>
      </c>
      <c r="BQ357" s="31">
        <v>18903.921067130355</v>
      </c>
      <c r="BR357" s="4">
        <v>0.9</v>
      </c>
      <c r="BS357" s="4" t="s">
        <v>900</v>
      </c>
      <c r="BT357" s="448" t="s">
        <v>900</v>
      </c>
      <c r="BU357" s="367" t="s">
        <v>900</v>
      </c>
      <c r="BV357" s="368">
        <v>2247.5201294109729</v>
      </c>
      <c r="BX357" s="449">
        <v>-17007.799870589028</v>
      </c>
      <c r="BY357" s="450">
        <v>-0.88327796528902291</v>
      </c>
      <c r="BZ357" s="368">
        <v>-1800.6128995324193</v>
      </c>
      <c r="CB357" s="31">
        <v>1461</v>
      </c>
      <c r="CC357" s="31">
        <v>1664.2267327663371</v>
      </c>
      <c r="CD357" s="31" t="e">
        <v>#VALUE!</v>
      </c>
      <c r="CE357" s="31" t="s">
        <v>900</v>
      </c>
      <c r="CF357" s="31" t="e">
        <v>#VALUE!</v>
      </c>
      <c r="CJ357" s="702" t="s">
        <v>1447</v>
      </c>
      <c r="CK357" s="702" t="s">
        <v>1447</v>
      </c>
      <c r="CL357" s="702" t="s">
        <v>1448</v>
      </c>
      <c r="CN357" s="702" t="s">
        <v>1448</v>
      </c>
      <c r="CO357" s="702" t="s">
        <v>1448</v>
      </c>
      <c r="CP357" s="702" t="s">
        <v>1448</v>
      </c>
      <c r="CQ357" s="702" t="s">
        <v>1448</v>
      </c>
      <c r="CS357" s="451">
        <v>0</v>
      </c>
      <c r="CT357" s="452">
        <v>0.9</v>
      </c>
      <c r="CU357" s="452">
        <v>0</v>
      </c>
      <c r="CV357" s="453">
        <v>0.9</v>
      </c>
    </row>
    <row r="358" spans="1:100" outlineLevel="1" x14ac:dyDescent="0.3">
      <c r="A358" s="1">
        <v>80303000</v>
      </c>
      <c r="B358" s="47">
        <v>403660</v>
      </c>
      <c r="C358" s="47">
        <v>4371</v>
      </c>
      <c r="D358" s="47" t="s">
        <v>191</v>
      </c>
      <c r="E358" s="47" t="s">
        <v>5</v>
      </c>
      <c r="F358" s="47" t="s">
        <v>1498</v>
      </c>
      <c r="G358" s="47" t="s">
        <v>1499</v>
      </c>
      <c r="H358" s="47" t="s">
        <v>1515</v>
      </c>
      <c r="I358" s="382">
        <v>34</v>
      </c>
      <c r="J358" s="382">
        <v>0</v>
      </c>
      <c r="K358" s="382">
        <v>0</v>
      </c>
      <c r="L358" s="382">
        <v>1</v>
      </c>
      <c r="M358" s="382">
        <v>0</v>
      </c>
      <c r="N358" s="382">
        <v>34</v>
      </c>
      <c r="O358" s="444">
        <v>107</v>
      </c>
      <c r="P358" s="445">
        <v>35</v>
      </c>
      <c r="Q358" s="346">
        <v>0.32710280373831774</v>
      </c>
      <c r="R358" s="445">
        <v>32</v>
      </c>
      <c r="S358" s="447">
        <v>31</v>
      </c>
      <c r="T358" s="445">
        <v>-4.8046281074531452</v>
      </c>
      <c r="U358" s="444">
        <v>92.020858138863787</v>
      </c>
      <c r="V358" s="445">
        <v>30.195371892546856</v>
      </c>
      <c r="W358" s="229">
        <v>0.32813616937782331</v>
      </c>
      <c r="X358" s="261">
        <v>23685.440102433</v>
      </c>
      <c r="Y358" s="262">
        <v>5776.7785601735568</v>
      </c>
      <c r="Z358" s="262">
        <v>8795.5349397023383</v>
      </c>
      <c r="AA358" s="262">
        <v>8080.4738572267242</v>
      </c>
      <c r="AB358" s="263">
        <v>46338.227459535614</v>
      </c>
      <c r="AC358" s="262">
        <v>20451.124660775338</v>
      </c>
      <c r="AD358" s="262">
        <v>4987.9427175882629</v>
      </c>
      <c r="AE358" s="262">
        <v>7594.4791708379635</v>
      </c>
      <c r="AF358" s="263">
        <v>6977.0617500708668</v>
      </c>
      <c r="AG358" s="262">
        <v>20451.124660775338</v>
      </c>
      <c r="AH358" s="262">
        <v>4987.9427175882629</v>
      </c>
      <c r="AI358" s="262">
        <v>7594.4791708379635</v>
      </c>
      <c r="AJ358" s="263">
        <v>6977.0617500708668</v>
      </c>
      <c r="AK358" s="262">
        <v>21369.472290971979</v>
      </c>
      <c r="AL358" s="262">
        <v>5250.6084928865139</v>
      </c>
      <c r="AM358" s="262">
        <v>8047.0388265099282</v>
      </c>
      <c r="AN358" s="262">
        <v>7428.1800936469317</v>
      </c>
      <c r="AO358" s="263">
        <v>42095.29970401535</v>
      </c>
      <c r="AP358" s="31"/>
      <c r="AQ358" s="261">
        <v>21044.89065281225</v>
      </c>
      <c r="AR358" s="262">
        <v>5083.8873383184437</v>
      </c>
      <c r="AS358" s="262">
        <v>7935.5834744776057</v>
      </c>
      <c r="AT358" s="262">
        <v>7129.776046142124</v>
      </c>
      <c r="AU358" s="263">
        <v>41194.137511750421</v>
      </c>
      <c r="AV358" s="31"/>
      <c r="AW358" s="323">
        <v>46672.927661798763</v>
      </c>
      <c r="AX358" s="31"/>
      <c r="AY358" s="747">
        <v>0</v>
      </c>
      <c r="AZ358" s="262">
        <v>0</v>
      </c>
      <c r="BA358" s="262">
        <v>41194.137511750421</v>
      </c>
      <c r="BB358" s="262">
        <v>403.20321784520326</v>
      </c>
      <c r="BC358" s="263">
        <v>40790.934293905215</v>
      </c>
      <c r="BD358" s="261">
        <v>407.90934293905218</v>
      </c>
      <c r="BE358" s="262">
        <v>40383.024950966166</v>
      </c>
      <c r="BF358" s="354">
        <v>0.86523445119169573</v>
      </c>
      <c r="BG358" s="31"/>
      <c r="BJ358" s="4">
        <v>0.86523445119169573</v>
      </c>
      <c r="BL358" s="4">
        <v>0.95</v>
      </c>
      <c r="BM358" s="4">
        <v>0.95</v>
      </c>
      <c r="BN358" s="4" t="s">
        <v>1003</v>
      </c>
      <c r="BO358" s="31">
        <v>3956.2563277426525</v>
      </c>
      <c r="BP358" s="31">
        <v>44339.281278708819</v>
      </c>
      <c r="BQ358" s="31">
        <v>44339.281278708819</v>
      </c>
      <c r="BR358" s="4">
        <v>0.94999999999999984</v>
      </c>
      <c r="BS358" s="4" t="s">
        <v>900</v>
      </c>
      <c r="BT358" s="448" t="s">
        <v>900</v>
      </c>
      <c r="BU358" s="367" t="s">
        <v>900</v>
      </c>
      <c r="BV358" s="368">
        <v>40383.024950966166</v>
      </c>
      <c r="BX358" s="449">
        <v>-4400.155549033836</v>
      </c>
      <c r="BY358" s="450">
        <v>-9.8254646050291938E-2</v>
      </c>
      <c r="BZ358" s="368">
        <v>-145.72284668962561</v>
      </c>
      <c r="CB358" s="31">
        <v>2584</v>
      </c>
      <c r="CC358" s="31">
        <v>3156.6844566214486</v>
      </c>
      <c r="CD358" s="31" t="e">
        <v>#VALUE!</v>
      </c>
      <c r="CE358" s="31" t="s">
        <v>900</v>
      </c>
      <c r="CF358" s="31" t="e">
        <v>#VALUE!</v>
      </c>
      <c r="CJ358" s="702" t="s">
        <v>1447</v>
      </c>
      <c r="CK358" s="702" t="s">
        <v>1447</v>
      </c>
      <c r="CL358" s="702" t="s">
        <v>1448</v>
      </c>
      <c r="CN358" s="702" t="s">
        <v>1447</v>
      </c>
      <c r="CO358" s="702" t="s">
        <v>1447</v>
      </c>
      <c r="CP358" s="702" t="s">
        <v>1447</v>
      </c>
      <c r="CQ358" s="702" t="s">
        <v>1447</v>
      </c>
      <c r="CS358" s="451">
        <v>0</v>
      </c>
      <c r="CT358" s="452">
        <v>0</v>
      </c>
      <c r="CU358" s="452">
        <v>0.95</v>
      </c>
      <c r="CV358" s="453">
        <v>0.95</v>
      </c>
    </row>
    <row r="359" spans="1:100" outlineLevel="1" x14ac:dyDescent="0.3">
      <c r="A359" s="1">
        <v>80412000</v>
      </c>
      <c r="B359" s="47">
        <v>408640</v>
      </c>
      <c r="C359" s="47">
        <v>4376</v>
      </c>
      <c r="D359" s="47" t="s">
        <v>419</v>
      </c>
      <c r="E359" s="47" t="s">
        <v>5</v>
      </c>
      <c r="F359" s="47" t="s">
        <v>1498</v>
      </c>
      <c r="G359" s="47" t="s">
        <v>1499</v>
      </c>
      <c r="H359" s="47" t="s">
        <v>1508</v>
      </c>
      <c r="I359" s="382">
        <v>46</v>
      </c>
      <c r="J359" s="382">
        <v>0</v>
      </c>
      <c r="K359" s="382">
        <v>0</v>
      </c>
      <c r="L359" s="382">
        <v>2</v>
      </c>
      <c r="M359" s="382">
        <v>0</v>
      </c>
      <c r="N359" s="382">
        <v>46</v>
      </c>
      <c r="O359" s="444">
        <v>164</v>
      </c>
      <c r="P359" s="445">
        <v>48</v>
      </c>
      <c r="Q359" s="346">
        <v>0.29268292682926828</v>
      </c>
      <c r="R359" s="445">
        <v>102</v>
      </c>
      <c r="S359" s="447">
        <v>93</v>
      </c>
      <c r="T359" s="445">
        <v>-6.5003792042013133</v>
      </c>
      <c r="U359" s="444">
        <v>141.04131527825851</v>
      </c>
      <c r="V359" s="445">
        <v>41.499620795798684</v>
      </c>
      <c r="W359" s="229">
        <v>0.29423733544972014</v>
      </c>
      <c r="X359" s="261">
        <v>35494.161914268014</v>
      </c>
      <c r="Y359" s="262">
        <v>8656.8758136189354</v>
      </c>
      <c r="Z359" s="262">
        <v>20676.359400046189</v>
      </c>
      <c r="AA359" s="262">
        <v>22112.323820161339</v>
      </c>
      <c r="AB359" s="263">
        <v>86939.720948094473</v>
      </c>
      <c r="AC359" s="262">
        <v>30647.331309831745</v>
      </c>
      <c r="AD359" s="262">
        <v>7474.7543499935091</v>
      </c>
      <c r="AE359" s="262">
        <v>17852.942642932034</v>
      </c>
      <c r="AF359" s="263">
        <v>19092.821962767695</v>
      </c>
      <c r="AG359" s="262">
        <v>30647.331309831745</v>
      </c>
      <c r="AH359" s="262">
        <v>7474.7543499935091</v>
      </c>
      <c r="AI359" s="262">
        <v>17852.942642932034</v>
      </c>
      <c r="AJ359" s="263">
        <v>19092.821962767695</v>
      </c>
      <c r="AK359" s="262">
        <v>31565.678940028385</v>
      </c>
      <c r="AL359" s="262">
        <v>7737.4201252917601</v>
      </c>
      <c r="AM359" s="262">
        <v>18305.502298603998</v>
      </c>
      <c r="AN359" s="262">
        <v>19543.94030634376</v>
      </c>
      <c r="AO359" s="263">
        <v>77152.541670267907</v>
      </c>
      <c r="AP359" s="31"/>
      <c r="AQ359" s="261">
        <v>31086.226773850798</v>
      </c>
      <c r="AR359" s="262">
        <v>7491.7359120401834</v>
      </c>
      <c r="AS359" s="262">
        <v>18051.96230124521</v>
      </c>
      <c r="AT359" s="262">
        <v>18956.080267534773</v>
      </c>
      <c r="AU359" s="263">
        <v>75586.005254670978</v>
      </c>
      <c r="AV359" s="31"/>
      <c r="AW359" s="323">
        <v>81982.4019176047</v>
      </c>
      <c r="AX359" s="31"/>
      <c r="AY359" s="747">
        <v>0</v>
      </c>
      <c r="AZ359" s="262">
        <v>0</v>
      </c>
      <c r="BA359" s="262">
        <v>75586.005254670978</v>
      </c>
      <c r="BB359" s="262">
        <v>739.82664484854195</v>
      </c>
      <c r="BC359" s="263">
        <v>74846.17860982244</v>
      </c>
      <c r="BD359" s="261">
        <v>748.46178609822437</v>
      </c>
      <c r="BE359" s="262">
        <v>74097.716823724215</v>
      </c>
      <c r="BF359" s="354">
        <v>0.90382466347101076</v>
      </c>
      <c r="BG359" s="31"/>
      <c r="BJ359" s="4">
        <v>0.90382466347101076</v>
      </c>
      <c r="BL359" s="4">
        <v>0.89999999999999991</v>
      </c>
      <c r="BM359" s="4">
        <v>0.9</v>
      </c>
      <c r="BN359" s="4" t="s">
        <v>900</v>
      </c>
      <c r="BO359" s="31" t="s">
        <v>900</v>
      </c>
      <c r="BP359" s="31" t="s">
        <v>900</v>
      </c>
      <c r="BQ359" s="31">
        <v>73726.5178693817</v>
      </c>
      <c r="BR359" s="4">
        <v>0.89929687524256163</v>
      </c>
      <c r="BS359" s="4" t="s">
        <v>1509</v>
      </c>
      <c r="BT359" s="448" t="s">
        <v>900</v>
      </c>
      <c r="BU359" s="367" t="s">
        <v>900</v>
      </c>
      <c r="BV359" s="368">
        <v>74097.716823724215</v>
      </c>
      <c r="BX359" s="449">
        <v>-1378.2631762757956</v>
      </c>
      <c r="BY359" s="450">
        <v>-1.8260951050596438E-2</v>
      </c>
      <c r="BZ359" s="368">
        <v>-33.211464342231473</v>
      </c>
      <c r="CB359" s="31" t="s">
        <v>900</v>
      </c>
      <c r="CC359" s="31">
        <v>801.90186979797841</v>
      </c>
      <c r="CD359" s="31" t="e">
        <v>#VALUE!</v>
      </c>
      <c r="CE359" s="31" t="s">
        <v>900</v>
      </c>
      <c r="CF359" s="31" t="e">
        <v>#VALUE!</v>
      </c>
      <c r="CJ359" s="702" t="s">
        <v>1447</v>
      </c>
      <c r="CK359" s="702" t="s">
        <v>1447</v>
      </c>
      <c r="CL359" s="702" t="s">
        <v>1448</v>
      </c>
      <c r="CN359" s="702" t="s">
        <v>1447</v>
      </c>
      <c r="CO359" s="702" t="s">
        <v>1447</v>
      </c>
      <c r="CP359" s="702" t="s">
        <v>1447</v>
      </c>
      <c r="CQ359" s="702" t="s">
        <v>1447</v>
      </c>
      <c r="CS359" s="451">
        <v>0</v>
      </c>
      <c r="CT359" s="452">
        <v>0.9</v>
      </c>
      <c r="CU359" s="452">
        <v>0</v>
      </c>
      <c r="CV359" s="453">
        <v>0.9</v>
      </c>
    </row>
    <row r="360" spans="1:100" outlineLevel="1" x14ac:dyDescent="0.3">
      <c r="A360" s="1">
        <v>80208000</v>
      </c>
      <c r="B360" s="47">
        <v>406120</v>
      </c>
      <c r="C360" s="47">
        <v>4369</v>
      </c>
      <c r="D360" s="47" t="s">
        <v>331</v>
      </c>
      <c r="E360" s="47" t="s">
        <v>5</v>
      </c>
      <c r="F360" s="47" t="s">
        <v>1530</v>
      </c>
      <c r="G360" s="47" t="s">
        <v>1502</v>
      </c>
      <c r="H360" s="47" t="s">
        <v>1515</v>
      </c>
      <c r="I360" s="382">
        <v>102</v>
      </c>
      <c r="J360" s="382">
        <v>0</v>
      </c>
      <c r="K360" s="382">
        <v>0</v>
      </c>
      <c r="L360" s="382">
        <v>4</v>
      </c>
      <c r="M360" s="382">
        <v>0</v>
      </c>
      <c r="N360" s="382">
        <v>102</v>
      </c>
      <c r="O360" s="444">
        <v>298</v>
      </c>
      <c r="P360" s="445">
        <v>106</v>
      </c>
      <c r="Q360" s="346">
        <v>0.35570469798657717</v>
      </c>
      <c r="R360" s="445">
        <v>216</v>
      </c>
      <c r="S360" s="447">
        <v>216</v>
      </c>
      <c r="T360" s="445">
        <v>-14.413884322359436</v>
      </c>
      <c r="U360" s="444">
        <v>256.28238995683557</v>
      </c>
      <c r="V360" s="445">
        <v>91.586115677640564</v>
      </c>
      <c r="W360" s="229">
        <v>0.35736406115561031</v>
      </c>
      <c r="X360" s="261">
        <v>62806.812904691054</v>
      </c>
      <c r="Y360" s="262">
        <v>14494.462569162739</v>
      </c>
      <c r="Z360" s="262">
        <v>38580.120650630721</v>
      </c>
      <c r="AA360" s="262">
        <v>43228.803121088808</v>
      </c>
      <c r="AB360" s="263">
        <v>159110.19924557331</v>
      </c>
      <c r="AC360" s="262">
        <v>54230.360707035688</v>
      </c>
      <c r="AD360" s="262">
        <v>12515.201727766911</v>
      </c>
      <c r="AE360" s="262">
        <v>33311.8934434642</v>
      </c>
      <c r="AF360" s="263">
        <v>37325.784859479456</v>
      </c>
      <c r="AG360" s="262">
        <v>54230.360707035688</v>
      </c>
      <c r="AH360" s="262">
        <v>12515.201727766911</v>
      </c>
      <c r="AI360" s="262">
        <v>33311.8934434642</v>
      </c>
      <c r="AJ360" s="263">
        <v>37325.784859479456</v>
      </c>
      <c r="AK360" s="262">
        <v>55148.708337232325</v>
      </c>
      <c r="AL360" s="262">
        <v>12777.867503065161</v>
      </c>
      <c r="AM360" s="262">
        <v>33764.453099136168</v>
      </c>
      <c r="AN360" s="262">
        <v>37776.903203055517</v>
      </c>
      <c r="AO360" s="263">
        <v>139467.93214248918</v>
      </c>
      <c r="AP360" s="31"/>
      <c r="AQ360" s="261">
        <v>54311.052739061357</v>
      </c>
      <c r="AR360" s="262">
        <v>12403.415045944243</v>
      </c>
      <c r="AS360" s="262">
        <v>33296.799209615274</v>
      </c>
      <c r="AT360" s="262">
        <v>37053.939998744245</v>
      </c>
      <c r="AU360" s="263">
        <v>137065.20699336514</v>
      </c>
      <c r="AV360" s="31"/>
      <c r="AW360" s="323">
        <v>142228.75983684629</v>
      </c>
      <c r="AX360" s="31"/>
      <c r="AY360" s="747">
        <v>0</v>
      </c>
      <c r="AZ360" s="262">
        <v>0</v>
      </c>
      <c r="BA360" s="262">
        <v>137065.20699336514</v>
      </c>
      <c r="BB360" s="262">
        <v>1341.577609158089</v>
      </c>
      <c r="BC360" s="263">
        <v>135723.62938420704</v>
      </c>
      <c r="BD360" s="261">
        <v>1357.2362938420704</v>
      </c>
      <c r="BE360" s="262">
        <v>134366.39309036496</v>
      </c>
      <c r="BF360" s="354">
        <v>0.94472027489025123</v>
      </c>
      <c r="BG360" s="31"/>
      <c r="BJ360" s="4">
        <v>0.94472027489025123</v>
      </c>
      <c r="BL360" s="4">
        <v>0.94999999999999984</v>
      </c>
      <c r="BM360" s="4">
        <v>0.95</v>
      </c>
      <c r="BN360" s="4" t="s">
        <v>1003</v>
      </c>
      <c r="BO360" s="31">
        <v>750.92875463902601</v>
      </c>
      <c r="BP360" s="31">
        <v>135117.32184500399</v>
      </c>
      <c r="BQ360" s="31">
        <v>135117.32184500399</v>
      </c>
      <c r="BR360" s="4">
        <v>0.95000000000000007</v>
      </c>
      <c r="BS360" s="4" t="s">
        <v>900</v>
      </c>
      <c r="BT360" s="448" t="s">
        <v>900</v>
      </c>
      <c r="BU360" s="367" t="s">
        <v>900</v>
      </c>
      <c r="BV360" s="368">
        <v>134366.39309036496</v>
      </c>
      <c r="BX360" s="449">
        <v>-3762.1344096350658</v>
      </c>
      <c r="BY360" s="450">
        <v>-2.7236476618742397E-2</v>
      </c>
      <c r="BZ360" s="368">
        <v>-41.077562704775097</v>
      </c>
      <c r="CB360" s="31">
        <v>16341</v>
      </c>
      <c r="CC360" s="31">
        <v>18054.79870276423</v>
      </c>
      <c r="CD360" s="31" t="e">
        <v>#VALUE!</v>
      </c>
      <c r="CE360" s="31" t="s">
        <v>900</v>
      </c>
      <c r="CF360" s="31" t="e">
        <v>#VALUE!</v>
      </c>
      <c r="CJ360" s="702" t="s">
        <v>1447</v>
      </c>
      <c r="CK360" s="702" t="s">
        <v>1447</v>
      </c>
      <c r="CL360" s="702" t="s">
        <v>1448</v>
      </c>
      <c r="CN360" s="702" t="s">
        <v>1447</v>
      </c>
      <c r="CO360" s="702" t="s">
        <v>1447</v>
      </c>
      <c r="CP360" s="702" t="s">
        <v>1447</v>
      </c>
      <c r="CQ360" s="702" t="s">
        <v>1447</v>
      </c>
      <c r="CS360" s="451">
        <v>0</v>
      </c>
      <c r="CT360" s="452">
        <v>0</v>
      </c>
      <c r="CU360" s="452">
        <v>0.95</v>
      </c>
      <c r="CV360" s="453">
        <v>0.95</v>
      </c>
    </row>
    <row r="361" spans="1:100" outlineLevel="1" x14ac:dyDescent="0.3">
      <c r="A361" s="1">
        <v>80209000</v>
      </c>
      <c r="B361" s="47">
        <v>404410</v>
      </c>
      <c r="C361" s="47">
        <v>4374</v>
      </c>
      <c r="D361" s="47" t="s">
        <v>263</v>
      </c>
      <c r="E361" s="47" t="s">
        <v>5</v>
      </c>
      <c r="F361" s="47" t="s">
        <v>1498</v>
      </c>
      <c r="G361" s="47" t="s">
        <v>1499</v>
      </c>
      <c r="H361" s="47" t="s">
        <v>1515</v>
      </c>
      <c r="I361" s="382">
        <v>174</v>
      </c>
      <c r="J361" s="382">
        <v>0</v>
      </c>
      <c r="K361" s="382">
        <v>0</v>
      </c>
      <c r="L361" s="382">
        <v>6</v>
      </c>
      <c r="M361" s="382">
        <v>0</v>
      </c>
      <c r="N361" s="382">
        <v>174</v>
      </c>
      <c r="O361" s="444">
        <v>622</v>
      </c>
      <c r="P361" s="445">
        <v>180</v>
      </c>
      <c r="Q361" s="346">
        <v>0.28938906752411575</v>
      </c>
      <c r="R361" s="445">
        <v>416</v>
      </c>
      <c r="S361" s="447">
        <v>370</v>
      </c>
      <c r="T361" s="445">
        <v>-24.588390902848449</v>
      </c>
      <c r="U361" s="444">
        <v>534.92498843339513</v>
      </c>
      <c r="V361" s="445">
        <v>155.41160909715154</v>
      </c>
      <c r="W361" s="229">
        <v>0.29052972371378055</v>
      </c>
      <c r="X361" s="261">
        <v>109467.58618075159</v>
      </c>
      <c r="Y361" s="262">
        <v>23757.597646804395</v>
      </c>
      <c r="Z361" s="262">
        <v>66995.123208870253</v>
      </c>
      <c r="AA361" s="262">
        <v>70393.559146888132</v>
      </c>
      <c r="AB361" s="263">
        <v>270613.86618331436</v>
      </c>
      <c r="AC361" s="262">
        <v>94519.470257457971</v>
      </c>
      <c r="AD361" s="262">
        <v>20513.42888348654</v>
      </c>
      <c r="AE361" s="262">
        <v>57846.745109366471</v>
      </c>
      <c r="AF361" s="263">
        <v>60781.114777799325</v>
      </c>
      <c r="AG361" s="262">
        <v>94519.470257457971</v>
      </c>
      <c r="AH361" s="262">
        <v>20513.42888348654</v>
      </c>
      <c r="AI361" s="262">
        <v>57846.745109366471</v>
      </c>
      <c r="AJ361" s="263">
        <v>60781.114777799325</v>
      </c>
      <c r="AK361" s="262">
        <v>95437.817887654615</v>
      </c>
      <c r="AL361" s="262">
        <v>20776.09465878479</v>
      </c>
      <c r="AM361" s="262">
        <v>58299.30476503844</v>
      </c>
      <c r="AN361" s="262">
        <v>61232.233121375386</v>
      </c>
      <c r="AO361" s="263">
        <v>235745.45043285322</v>
      </c>
      <c r="AP361" s="31"/>
      <c r="AQ361" s="261">
        <v>93988.20964040501</v>
      </c>
      <c r="AR361" s="262">
        <v>20116.396931631665</v>
      </c>
      <c r="AS361" s="262">
        <v>57491.831398012924</v>
      </c>
      <c r="AT361" s="262">
        <v>60231.679899223185</v>
      </c>
      <c r="AU361" s="263">
        <v>231828.11786927277</v>
      </c>
      <c r="AV361" s="31"/>
      <c r="AW361" s="323">
        <v>239419.53018882367</v>
      </c>
      <c r="AX361" s="31"/>
      <c r="AY361" s="747">
        <v>0</v>
      </c>
      <c r="AZ361" s="262">
        <v>0</v>
      </c>
      <c r="BA361" s="262">
        <v>231828.11786927277</v>
      </c>
      <c r="BB361" s="262">
        <v>2269.1054785459437</v>
      </c>
      <c r="BC361" s="263">
        <v>229559.01239072683</v>
      </c>
      <c r="BD361" s="261">
        <v>2295.5901239072682</v>
      </c>
      <c r="BE361" s="262">
        <v>227263.42226681957</v>
      </c>
      <c r="BF361" s="354">
        <v>0.94922674891051328</v>
      </c>
      <c r="BG361" s="31"/>
      <c r="BJ361" s="4">
        <v>0.94922674891051328</v>
      </c>
      <c r="BL361" s="4">
        <v>0.9</v>
      </c>
      <c r="BM361" s="4">
        <v>0.9</v>
      </c>
      <c r="BN361" s="4" t="s">
        <v>900</v>
      </c>
      <c r="BO361" s="31" t="s">
        <v>900</v>
      </c>
      <c r="BP361" s="31" t="s">
        <v>900</v>
      </c>
      <c r="BQ361" s="31">
        <v>226124.92639512577</v>
      </c>
      <c r="BR361" s="4">
        <v>0.94447151498788418</v>
      </c>
      <c r="BS361" s="4" t="s">
        <v>900</v>
      </c>
      <c r="BT361" s="448" t="s">
        <v>900</v>
      </c>
      <c r="BU361" s="367" t="s">
        <v>900</v>
      </c>
      <c r="BV361" s="368">
        <v>227263.42226681957</v>
      </c>
      <c r="BX361" s="449">
        <v>-2718.4917331804172</v>
      </c>
      <c r="BY361" s="450">
        <v>-1.1820458773903487E-2</v>
      </c>
      <c r="BZ361" s="368">
        <v>-17.492205048086355</v>
      </c>
      <c r="CB361" s="31">
        <v>11874</v>
      </c>
      <c r="CC361" s="31">
        <v>14883.892594256467</v>
      </c>
      <c r="CD361" s="31" t="e">
        <v>#VALUE!</v>
      </c>
      <c r="CE361" s="31" t="s">
        <v>900</v>
      </c>
      <c r="CF361" s="31" t="e">
        <v>#VALUE!</v>
      </c>
      <c r="CJ361" s="702" t="s">
        <v>1447</v>
      </c>
      <c r="CK361" s="702" t="s">
        <v>1447</v>
      </c>
      <c r="CL361" s="702" t="s">
        <v>1448</v>
      </c>
      <c r="CN361" s="702" t="s">
        <v>1447</v>
      </c>
      <c r="CO361" s="702" t="s">
        <v>1447</v>
      </c>
      <c r="CP361" s="702" t="s">
        <v>1447</v>
      </c>
      <c r="CQ361" s="702" t="s">
        <v>1447</v>
      </c>
      <c r="CS361" s="451">
        <v>0</v>
      </c>
      <c r="CT361" s="452">
        <v>0.9</v>
      </c>
      <c r="CU361" s="452">
        <v>0</v>
      </c>
      <c r="CV361" s="453">
        <v>0.9</v>
      </c>
    </row>
    <row r="362" spans="1:100" outlineLevel="1" x14ac:dyDescent="0.3">
      <c r="A362" s="1">
        <v>80416000</v>
      </c>
      <c r="B362" s="47">
        <v>405190</v>
      </c>
      <c r="C362" s="47">
        <v>4379</v>
      </c>
      <c r="D362" s="47" t="s">
        <v>291</v>
      </c>
      <c r="E362" s="47" t="s">
        <v>5</v>
      </c>
      <c r="F362" s="47" t="s">
        <v>1533</v>
      </c>
      <c r="G362" s="47" t="s">
        <v>1502</v>
      </c>
      <c r="H362" s="47" t="s">
        <v>1515</v>
      </c>
      <c r="I362" s="382">
        <v>604</v>
      </c>
      <c r="J362" s="382">
        <v>0</v>
      </c>
      <c r="K362" s="382">
        <v>0</v>
      </c>
      <c r="L362" s="382">
        <v>21</v>
      </c>
      <c r="M362" s="382">
        <v>0</v>
      </c>
      <c r="N362" s="382">
        <v>604</v>
      </c>
      <c r="O362" s="444">
        <v>2083</v>
      </c>
      <c r="P362" s="445">
        <v>625</v>
      </c>
      <c r="Q362" s="346">
        <v>0.30004800768122902</v>
      </c>
      <c r="R362" s="445">
        <v>1372</v>
      </c>
      <c r="S362" s="447">
        <v>1029</v>
      </c>
      <c r="T362" s="445">
        <v>-85.352805202991163</v>
      </c>
      <c r="U362" s="444">
        <v>1791.396705637881</v>
      </c>
      <c r="V362" s="445">
        <v>539.64719479700886</v>
      </c>
      <c r="W362" s="229">
        <v>0.30124382449662435</v>
      </c>
      <c r="X362" s="261">
        <v>288257.05120774999</v>
      </c>
      <c r="Y362" s="262">
        <v>68305.185987091449</v>
      </c>
      <c r="Z362" s="262">
        <v>123253.70860779907</v>
      </c>
      <c r="AA362" s="262">
        <v>89706.479522019567</v>
      </c>
      <c r="AB362" s="263">
        <v>569522.42532466003</v>
      </c>
      <c r="AC362" s="262">
        <v>248894.71604083193</v>
      </c>
      <c r="AD362" s="262">
        <v>58977.915021133958</v>
      </c>
      <c r="AE362" s="262">
        <v>106423.05774094735</v>
      </c>
      <c r="AF362" s="263">
        <v>77456.799943339865</v>
      </c>
      <c r="AG362" s="262">
        <v>248894.71604083193</v>
      </c>
      <c r="AH362" s="262">
        <v>58977.915021133958</v>
      </c>
      <c r="AI362" s="262">
        <v>106423.05774094735</v>
      </c>
      <c r="AJ362" s="263">
        <v>77456.799943339865</v>
      </c>
      <c r="AK362" s="262">
        <v>249813.06367102856</v>
      </c>
      <c r="AL362" s="262">
        <v>59240.580796432208</v>
      </c>
      <c r="AM362" s="262">
        <v>106875.61739661932</v>
      </c>
      <c r="AN362" s="262">
        <v>77907.918286915927</v>
      </c>
      <c r="AO362" s="263">
        <v>493837.18015099602</v>
      </c>
      <c r="AP362" s="31"/>
      <c r="AQ362" s="261">
        <v>246018.64458870527</v>
      </c>
      <c r="AR362" s="262">
        <v>57359.530620810641</v>
      </c>
      <c r="AS362" s="262">
        <v>105395.33877271484</v>
      </c>
      <c r="AT362" s="262">
        <v>75661.15463190744</v>
      </c>
      <c r="AU362" s="263">
        <v>484434.66861413815</v>
      </c>
      <c r="AV362" s="31"/>
      <c r="AW362" s="323">
        <v>432605.21581595106</v>
      </c>
      <c r="AX362" s="31"/>
      <c r="AY362" s="747">
        <v>0</v>
      </c>
      <c r="AZ362" s="262">
        <v>45700.170844708802</v>
      </c>
      <c r="BA362" s="262">
        <v>438734.49776942935</v>
      </c>
      <c r="BB362" s="262">
        <v>4294.2800108358488</v>
      </c>
      <c r="BC362" s="263">
        <v>434440.2177585935</v>
      </c>
      <c r="BD362" s="261">
        <v>4344.4021775859346</v>
      </c>
      <c r="BE362" s="262">
        <v>430095.81558100757</v>
      </c>
      <c r="BF362" s="354">
        <v>0.99419932968165803</v>
      </c>
      <c r="BG362" s="31"/>
      <c r="BJ362" s="4">
        <v>0.99419932968165803</v>
      </c>
      <c r="BL362" s="4">
        <v>1.0459116792690843</v>
      </c>
      <c r="BM362" s="4">
        <v>0.95</v>
      </c>
      <c r="BN362" s="4" t="s">
        <v>900</v>
      </c>
      <c r="BO362" s="31" t="s">
        <v>900</v>
      </c>
      <c r="BP362" s="31" t="s">
        <v>900</v>
      </c>
      <c r="BQ362" s="31">
        <v>427941.21320114518</v>
      </c>
      <c r="BR362" s="4">
        <v>0.98921880170582555</v>
      </c>
      <c r="BS362" s="4" t="s">
        <v>900</v>
      </c>
      <c r="BT362" s="448" t="s">
        <v>900</v>
      </c>
      <c r="BU362" s="367" t="s">
        <v>900</v>
      </c>
      <c r="BV362" s="368">
        <v>430095.81558100757</v>
      </c>
      <c r="BX362" s="449">
        <v>-30944.642088832043</v>
      </c>
      <c r="BY362" s="450">
        <v>-6.7121063870970624E-2</v>
      </c>
      <c r="BZ362" s="368">
        <v>-57.342356982828441</v>
      </c>
      <c r="CB362" s="31">
        <v>60593</v>
      </c>
      <c r="CC362" s="31">
        <v>70977.272153763974</v>
      </c>
      <c r="CD362" s="31" t="e">
        <v>#VALUE!</v>
      </c>
      <c r="CE362" s="31" t="s">
        <v>900</v>
      </c>
      <c r="CF362" s="31" t="e">
        <v>#VALUE!</v>
      </c>
      <c r="CJ362" s="702" t="s">
        <v>1447</v>
      </c>
      <c r="CK362" s="702" t="s">
        <v>1447</v>
      </c>
      <c r="CL362" s="702" t="s">
        <v>1448</v>
      </c>
      <c r="CN362" s="702" t="s">
        <v>1447</v>
      </c>
      <c r="CO362" s="702" t="s">
        <v>1447</v>
      </c>
      <c r="CP362" s="702" t="s">
        <v>1447</v>
      </c>
      <c r="CQ362" s="702" t="s">
        <v>1447</v>
      </c>
      <c r="CS362" s="451">
        <v>0</v>
      </c>
      <c r="CT362" s="452">
        <v>0</v>
      </c>
      <c r="CU362" s="452">
        <v>0.95</v>
      </c>
      <c r="CV362" s="453">
        <v>0.95</v>
      </c>
    </row>
    <row r="363" spans="1:100" outlineLevel="1" x14ac:dyDescent="0.3">
      <c r="A363" s="1">
        <v>80214000</v>
      </c>
      <c r="B363" s="47">
        <v>400021</v>
      </c>
      <c r="C363" s="47">
        <v>4370</v>
      </c>
      <c r="D363" s="47" t="s">
        <v>110</v>
      </c>
      <c r="E363" s="47" t="s">
        <v>5</v>
      </c>
      <c r="F363" s="47" t="s">
        <v>1501</v>
      </c>
      <c r="G363" s="47" t="s">
        <v>1502</v>
      </c>
      <c r="H363" s="47" t="s">
        <v>1515</v>
      </c>
      <c r="I363" s="382">
        <v>1025</v>
      </c>
      <c r="J363" s="382">
        <v>0</v>
      </c>
      <c r="K363" s="382">
        <v>0</v>
      </c>
      <c r="L363" s="382">
        <v>36</v>
      </c>
      <c r="M363" s="382">
        <v>0</v>
      </c>
      <c r="N363" s="382">
        <v>1025</v>
      </c>
      <c r="O363" s="444">
        <v>2524</v>
      </c>
      <c r="P363" s="445">
        <v>1061</v>
      </c>
      <c r="Q363" s="346">
        <v>0.42036450079239301</v>
      </c>
      <c r="R363" s="445">
        <v>523</v>
      </c>
      <c r="S363" s="447">
        <v>448</v>
      </c>
      <c r="T363" s="445">
        <v>-144.84540618057275</v>
      </c>
      <c r="U363" s="444">
        <v>2170.660242453198</v>
      </c>
      <c r="V363" s="445">
        <v>916.15459381942719</v>
      </c>
      <c r="W363" s="229">
        <v>0.42206264062035981</v>
      </c>
      <c r="X363" s="261">
        <v>489345.17013027635</v>
      </c>
      <c r="Y363" s="262">
        <v>115954.88373168638</v>
      </c>
      <c r="Z363" s="262">
        <v>283006.80756574689</v>
      </c>
      <c r="AA363" s="262">
        <v>297088.81344133685</v>
      </c>
      <c r="AB363" s="263">
        <v>1185395.6748690465</v>
      </c>
      <c r="AC363" s="262">
        <v>422523.66995091632</v>
      </c>
      <c r="AD363" s="262">
        <v>100120.90853987695</v>
      </c>
      <c r="AE363" s="262">
        <v>244361.40837343424</v>
      </c>
      <c r="AF363" s="263">
        <v>256520.47556365622</v>
      </c>
      <c r="AG363" s="262">
        <v>422523.66995091632</v>
      </c>
      <c r="AH363" s="262">
        <v>100120.90853987695</v>
      </c>
      <c r="AI363" s="262">
        <v>244361.40837343424</v>
      </c>
      <c r="AJ363" s="263">
        <v>256520.47556365622</v>
      </c>
      <c r="AK363" s="262">
        <v>423442.01758111297</v>
      </c>
      <c r="AL363" s="262">
        <v>100383.57431517521</v>
      </c>
      <c r="AM363" s="262">
        <v>244813.96802910621</v>
      </c>
      <c r="AN363" s="262">
        <v>256971.59390723228</v>
      </c>
      <c r="AO363" s="263">
        <v>1025611.1538326266</v>
      </c>
      <c r="AP363" s="31"/>
      <c r="AQ363" s="261">
        <v>417010.34243908321</v>
      </c>
      <c r="AR363" s="262">
        <v>97196.121769023724</v>
      </c>
      <c r="AS363" s="262">
        <v>241423.17700928112</v>
      </c>
      <c r="AT363" s="262">
        <v>254652.22890205585</v>
      </c>
      <c r="AU363" s="263">
        <v>1010281.8701194439</v>
      </c>
      <c r="AV363" s="31"/>
      <c r="AW363" s="323">
        <v>1003972.6128096685</v>
      </c>
      <c r="AX363" s="31"/>
      <c r="AY363" s="747">
        <v>0</v>
      </c>
      <c r="AZ363" s="262">
        <v>6309.2573097753339</v>
      </c>
      <c r="BA363" s="262">
        <v>1003972.6128096685</v>
      </c>
      <c r="BB363" s="262">
        <v>9826.7620725848701</v>
      </c>
      <c r="BC363" s="263">
        <v>994145.8507370837</v>
      </c>
      <c r="BD363" s="261">
        <v>9941.4585073708367</v>
      </c>
      <c r="BE363" s="262">
        <v>984204.39222971292</v>
      </c>
      <c r="BF363" s="354">
        <v>0.98031000016560887</v>
      </c>
      <c r="BG363" s="31"/>
      <c r="BJ363" s="4">
        <v>0.98031000016560887</v>
      </c>
      <c r="BL363" s="4">
        <v>1.0011230929770989</v>
      </c>
      <c r="BM363" s="4">
        <v>0.95</v>
      </c>
      <c r="BN363" s="4" t="s">
        <v>900</v>
      </c>
      <c r="BO363" s="31" t="s">
        <v>900</v>
      </c>
      <c r="BP363" s="31" t="s">
        <v>900</v>
      </c>
      <c r="BQ363" s="31">
        <v>979273.93476198683</v>
      </c>
      <c r="BR363" s="4">
        <v>0.97539905199349897</v>
      </c>
      <c r="BS363" s="4" t="s">
        <v>900</v>
      </c>
      <c r="BT363" s="448" t="s">
        <v>900</v>
      </c>
      <c r="BU363" s="367" t="s">
        <v>900</v>
      </c>
      <c r="BV363" s="368">
        <v>984204.39222971292</v>
      </c>
      <c r="BX363" s="449">
        <v>-15555.624954322702</v>
      </c>
      <c r="BY363" s="450">
        <v>-1.5559803378049257E-2</v>
      </c>
      <c r="BZ363" s="368">
        <v>-16.979257713997441</v>
      </c>
      <c r="CB363" s="31">
        <v>38690</v>
      </c>
      <c r="CC363" s="31">
        <v>55433.728691893921</v>
      </c>
      <c r="CD363" s="31" t="e">
        <v>#VALUE!</v>
      </c>
      <c r="CE363" s="31" t="s">
        <v>900</v>
      </c>
      <c r="CF363" s="31" t="e">
        <v>#VALUE!</v>
      </c>
      <c r="CJ363" s="702" t="s">
        <v>1447</v>
      </c>
      <c r="CK363" s="702" t="s">
        <v>1447</v>
      </c>
      <c r="CL363" s="702" t="s">
        <v>1448</v>
      </c>
      <c r="CN363" s="702" t="s">
        <v>1447</v>
      </c>
      <c r="CO363" s="702" t="s">
        <v>1447</v>
      </c>
      <c r="CP363" s="702" t="s">
        <v>1447</v>
      </c>
      <c r="CQ363" s="702" t="s">
        <v>1447</v>
      </c>
      <c r="CS363" s="451">
        <v>0</v>
      </c>
      <c r="CT363" s="452">
        <v>0</v>
      </c>
      <c r="CU363" s="452">
        <v>0.95</v>
      </c>
      <c r="CV363" s="453">
        <v>0.95</v>
      </c>
    </row>
    <row r="364" spans="1:100" outlineLevel="1" x14ac:dyDescent="0.3">
      <c r="A364" s="1">
        <v>80502000</v>
      </c>
      <c r="B364" s="47">
        <v>400082</v>
      </c>
      <c r="C364" s="47">
        <v>4381</v>
      </c>
      <c r="D364" s="47" t="s">
        <v>111</v>
      </c>
      <c r="E364" s="47" t="s">
        <v>5</v>
      </c>
      <c r="F364" s="47" t="s">
        <v>1501</v>
      </c>
      <c r="G364" s="47" t="s">
        <v>1502</v>
      </c>
      <c r="H364" s="47" t="s">
        <v>1515</v>
      </c>
      <c r="I364" s="382">
        <v>721</v>
      </c>
      <c r="J364" s="382">
        <v>0</v>
      </c>
      <c r="K364" s="382">
        <v>0</v>
      </c>
      <c r="L364" s="382">
        <v>25</v>
      </c>
      <c r="M364" s="382">
        <v>0</v>
      </c>
      <c r="N364" s="382">
        <v>721</v>
      </c>
      <c r="O364" s="444">
        <v>2916</v>
      </c>
      <c r="P364" s="445">
        <v>746</v>
      </c>
      <c r="Q364" s="346">
        <v>0.25582990397805211</v>
      </c>
      <c r="R364" s="445">
        <v>1768</v>
      </c>
      <c r="S364" s="447">
        <v>1011</v>
      </c>
      <c r="T364" s="445">
        <v>-101.88637839628582</v>
      </c>
      <c r="U364" s="444">
        <v>2507.7833862890357</v>
      </c>
      <c r="V364" s="445">
        <v>644.11362160371414</v>
      </c>
      <c r="W364" s="229">
        <v>0.25684579662075985</v>
      </c>
      <c r="X364" s="261">
        <v>383423.113136951</v>
      </c>
      <c r="Y364" s="262">
        <v>90789.953912300247</v>
      </c>
      <c r="Z364" s="262">
        <v>171290.64072567975</v>
      </c>
      <c r="AA364" s="262">
        <v>148683.42264374782</v>
      </c>
      <c r="AB364" s="263">
        <v>794187.13041867875</v>
      </c>
      <c r="AC364" s="262">
        <v>331065.5766020944</v>
      </c>
      <c r="AD364" s="262">
        <v>78392.322767765305</v>
      </c>
      <c r="AE364" s="262">
        <v>147900.4076578301</v>
      </c>
      <c r="AF364" s="263">
        <v>128380.27067800543</v>
      </c>
      <c r="AG364" s="262">
        <v>331065.5766020944</v>
      </c>
      <c r="AH364" s="262">
        <v>78392.322767765305</v>
      </c>
      <c r="AI364" s="262">
        <v>147900.4076578301</v>
      </c>
      <c r="AJ364" s="263">
        <v>128380.27067800543</v>
      </c>
      <c r="AK364" s="262">
        <v>331983.92423229106</v>
      </c>
      <c r="AL364" s="262">
        <v>78654.988543063562</v>
      </c>
      <c r="AM364" s="262">
        <v>148352.96731350207</v>
      </c>
      <c r="AN364" s="262">
        <v>128831.38902158149</v>
      </c>
      <c r="AO364" s="263">
        <v>687823.26911043818</v>
      </c>
      <c r="AP364" s="31"/>
      <c r="AQ364" s="261">
        <v>326941.40916674415</v>
      </c>
      <c r="AR364" s="262">
        <v>76567.619997854665</v>
      </c>
      <c r="AS364" s="262">
        <v>146298.20747532477</v>
      </c>
      <c r="AT364" s="262">
        <v>126565.79808191021</v>
      </c>
      <c r="AU364" s="263">
        <v>676373.03472183377</v>
      </c>
      <c r="AV364" s="31"/>
      <c r="AW364" s="323">
        <v>725139.00162198604</v>
      </c>
      <c r="AX364" s="31"/>
      <c r="AY364" s="747">
        <v>0</v>
      </c>
      <c r="AZ364" s="262">
        <v>0</v>
      </c>
      <c r="BA364" s="262">
        <v>676373.03472183377</v>
      </c>
      <c r="BB364" s="262">
        <v>6620.2571661022876</v>
      </c>
      <c r="BC364" s="263">
        <v>669752.77755573147</v>
      </c>
      <c r="BD364" s="261">
        <v>6697.5277755573152</v>
      </c>
      <c r="BE364" s="262">
        <v>663055.24978017411</v>
      </c>
      <c r="BF364" s="354">
        <v>0.91438365375060038</v>
      </c>
      <c r="BG364" s="31"/>
      <c r="BJ364" s="4">
        <v>0.91438365375060038</v>
      </c>
      <c r="BL364" s="4">
        <v>0.90000000000000013</v>
      </c>
      <c r="BM364" s="4">
        <v>0.9</v>
      </c>
      <c r="BN364" s="4" t="s">
        <v>900</v>
      </c>
      <c r="BO364" s="31" t="s">
        <v>900</v>
      </c>
      <c r="BP364" s="31" t="s">
        <v>900</v>
      </c>
      <c r="BQ364" s="31">
        <v>659733.61686164245</v>
      </c>
      <c r="BR364" s="4">
        <v>0.90980296934236715</v>
      </c>
      <c r="BS364" s="4" t="s">
        <v>900</v>
      </c>
      <c r="BT364" s="448" t="s">
        <v>900</v>
      </c>
      <c r="BU364" s="367" t="s">
        <v>900</v>
      </c>
      <c r="BV364" s="368">
        <v>663055.24978017411</v>
      </c>
      <c r="BX364" s="449">
        <v>-6928.8689869808732</v>
      </c>
      <c r="BY364" s="450">
        <v>-1.0342136048317208E-2</v>
      </c>
      <c r="BZ364" s="368">
        <v>-10.757215426882876</v>
      </c>
      <c r="CB364" s="31">
        <v>76494</v>
      </c>
      <c r="CC364" s="31">
        <v>89264.453923654204</v>
      </c>
      <c r="CD364" s="31" t="e">
        <v>#VALUE!</v>
      </c>
      <c r="CE364" s="31" t="s">
        <v>900</v>
      </c>
      <c r="CF364" s="31" t="e">
        <v>#VALUE!</v>
      </c>
      <c r="CJ364" s="702" t="s">
        <v>1447</v>
      </c>
      <c r="CK364" s="702" t="s">
        <v>1447</v>
      </c>
      <c r="CL364" s="702" t="s">
        <v>1448</v>
      </c>
      <c r="CN364" s="702" t="s">
        <v>1447</v>
      </c>
      <c r="CO364" s="702" t="s">
        <v>1447</v>
      </c>
      <c r="CP364" s="702" t="s">
        <v>1447</v>
      </c>
      <c r="CQ364" s="702" t="s">
        <v>1447</v>
      </c>
      <c r="CS364" s="451">
        <v>0</v>
      </c>
      <c r="CT364" s="452">
        <v>0.9</v>
      </c>
      <c r="CU364" s="452">
        <v>0</v>
      </c>
      <c r="CV364" s="453">
        <v>0.9</v>
      </c>
    </row>
    <row r="365" spans="1:100" outlineLevel="1" x14ac:dyDescent="0.3">
      <c r="A365" s="1">
        <v>80415000</v>
      </c>
      <c r="B365" s="47">
        <v>401500</v>
      </c>
      <c r="C365" s="47">
        <v>4378</v>
      </c>
      <c r="D365" s="47" t="s">
        <v>81</v>
      </c>
      <c r="E365" s="47" t="s">
        <v>5</v>
      </c>
      <c r="F365" s="47" t="s">
        <v>1501</v>
      </c>
      <c r="G365" s="47" t="s">
        <v>1502</v>
      </c>
      <c r="H365" s="47" t="s">
        <v>1515</v>
      </c>
      <c r="I365" s="382">
        <v>1650</v>
      </c>
      <c r="J365" s="382">
        <v>0</v>
      </c>
      <c r="K365" s="382">
        <v>0</v>
      </c>
      <c r="L365" s="382">
        <v>58</v>
      </c>
      <c r="M365" s="382">
        <v>0</v>
      </c>
      <c r="N365" s="382">
        <v>1650</v>
      </c>
      <c r="O365" s="444">
        <v>3732</v>
      </c>
      <c r="P365" s="445">
        <v>1708</v>
      </c>
      <c r="Q365" s="346">
        <v>0.45766345123258306</v>
      </c>
      <c r="R365" s="445">
        <v>2881</v>
      </c>
      <c r="S365" s="447">
        <v>2267</v>
      </c>
      <c r="T365" s="445">
        <v>-233.16577580287321</v>
      </c>
      <c r="U365" s="444">
        <v>3209.5499306003703</v>
      </c>
      <c r="V365" s="445">
        <v>1474.8342241971268</v>
      </c>
      <c r="W365" s="229">
        <v>0.4595143419131193</v>
      </c>
      <c r="X365" s="261">
        <v>797176.00490152091</v>
      </c>
      <c r="Y365" s="262">
        <v>187483.24230274613</v>
      </c>
      <c r="Z365" s="262">
        <v>532769.88134451059</v>
      </c>
      <c r="AA365" s="262">
        <v>578939.38886507566</v>
      </c>
      <c r="AB365" s="263">
        <v>2096368.5174138532</v>
      </c>
      <c r="AC365" s="262">
        <v>688319.31272179214</v>
      </c>
      <c r="AD365" s="262">
        <v>161881.86259397186</v>
      </c>
      <c r="AE365" s="262">
        <v>460018.61108605051</v>
      </c>
      <c r="AF365" s="263">
        <v>499883.53864265053</v>
      </c>
      <c r="AG365" s="262">
        <v>688319.31272179214</v>
      </c>
      <c r="AH365" s="262">
        <v>161881.86259397186</v>
      </c>
      <c r="AI365" s="262">
        <v>460018.61108605051</v>
      </c>
      <c r="AJ365" s="263">
        <v>499883.53864265053</v>
      </c>
      <c r="AK365" s="262">
        <v>689237.66035198874</v>
      </c>
      <c r="AL365" s="262">
        <v>162144.52836927012</v>
      </c>
      <c r="AM365" s="262">
        <v>460471.17074172245</v>
      </c>
      <c r="AN365" s="262">
        <v>500334.65698622662</v>
      </c>
      <c r="AO365" s="263">
        <v>1812188.0164492079</v>
      </c>
      <c r="AP365" s="31"/>
      <c r="AQ365" s="261">
        <v>678768.80619254662</v>
      </c>
      <c r="AR365" s="262">
        <v>158079.49895086625</v>
      </c>
      <c r="AS365" s="262">
        <v>454093.42390313628</v>
      </c>
      <c r="AT365" s="262">
        <v>494984.94029295241</v>
      </c>
      <c r="AU365" s="263">
        <v>1785926.6693395015</v>
      </c>
      <c r="AV365" s="31"/>
      <c r="AW365" s="323">
        <v>1756650.7313664758</v>
      </c>
      <c r="AX365" s="31"/>
      <c r="AY365" s="747">
        <v>0</v>
      </c>
      <c r="AZ365" s="262">
        <v>29275.937973025721</v>
      </c>
      <c r="BA365" s="262">
        <v>1756650.7313664758</v>
      </c>
      <c r="BB365" s="262">
        <v>17193.884137398374</v>
      </c>
      <c r="BC365" s="263">
        <v>1739456.8472290775</v>
      </c>
      <c r="BD365" s="261">
        <v>17394.568472290775</v>
      </c>
      <c r="BE365" s="262">
        <v>1722062.2787567866</v>
      </c>
      <c r="BF365" s="354">
        <v>0.98031000016560876</v>
      </c>
      <c r="BG365" s="31"/>
      <c r="BJ365" s="4">
        <v>0.98031000016560876</v>
      </c>
      <c r="BL365" s="4">
        <v>0.95</v>
      </c>
      <c r="BM365" s="4">
        <v>0.95</v>
      </c>
      <c r="BN365" s="4" t="s">
        <v>900</v>
      </c>
      <c r="BO365" s="31" t="s">
        <v>900</v>
      </c>
      <c r="BP365" s="31" t="s">
        <v>900</v>
      </c>
      <c r="BQ365" s="31">
        <v>1713435.4580585468</v>
      </c>
      <c r="BR365" s="4">
        <v>0.97539905199349874</v>
      </c>
      <c r="BS365" s="4" t="s">
        <v>900</v>
      </c>
      <c r="BT365" s="448" t="s">
        <v>900</v>
      </c>
      <c r="BU365" s="367" t="s">
        <v>900</v>
      </c>
      <c r="BV365" s="368">
        <v>1722062.2787567866</v>
      </c>
      <c r="BX365" s="449">
        <v>-59321.281743213302</v>
      </c>
      <c r="BY365" s="450">
        <v>-3.3300678786191876E-2</v>
      </c>
      <c r="BZ365" s="368">
        <v>-40.222338734718974</v>
      </c>
      <c r="CB365" s="31">
        <v>150578</v>
      </c>
      <c r="CC365" s="31">
        <v>177242.50939249952</v>
      </c>
      <c r="CD365" s="31" t="e">
        <v>#VALUE!</v>
      </c>
      <c r="CE365" s="31" t="s">
        <v>900</v>
      </c>
      <c r="CF365" s="31" t="e">
        <v>#VALUE!</v>
      </c>
      <c r="CJ365" s="702" t="s">
        <v>1447</v>
      </c>
      <c r="CK365" s="702" t="s">
        <v>1447</v>
      </c>
      <c r="CL365" s="702" t="s">
        <v>1448</v>
      </c>
      <c r="CN365" s="702" t="s">
        <v>1447</v>
      </c>
      <c r="CO365" s="702" t="s">
        <v>1447</v>
      </c>
      <c r="CP365" s="702" t="s">
        <v>1447</v>
      </c>
      <c r="CQ365" s="702" t="s">
        <v>1447</v>
      </c>
      <c r="CS365" s="451">
        <v>0</v>
      </c>
      <c r="CT365" s="452">
        <v>0</v>
      </c>
      <c r="CU365" s="452">
        <v>0.95</v>
      </c>
      <c r="CV365" s="453">
        <v>0.95</v>
      </c>
    </row>
    <row r="366" spans="1:100" outlineLevel="1" x14ac:dyDescent="0.3">
      <c r="A366" s="1">
        <v>80201000</v>
      </c>
      <c r="B366" s="47">
        <v>404280</v>
      </c>
      <c r="C366" s="47">
        <v>4368</v>
      </c>
      <c r="D366" s="47" t="s">
        <v>246</v>
      </c>
      <c r="E366" s="47" t="s">
        <v>5</v>
      </c>
      <c r="F366" s="47" t="s">
        <v>1498</v>
      </c>
      <c r="G366" s="47" t="s">
        <v>1502</v>
      </c>
      <c r="H366" s="47" t="s">
        <v>1515</v>
      </c>
      <c r="I366" s="382">
        <v>1671</v>
      </c>
      <c r="J366" s="382">
        <v>0</v>
      </c>
      <c r="K366" s="382">
        <v>0</v>
      </c>
      <c r="L366" s="382">
        <v>58</v>
      </c>
      <c r="M366" s="382">
        <v>0</v>
      </c>
      <c r="N366" s="382">
        <v>1671</v>
      </c>
      <c r="O366" s="444">
        <v>7060</v>
      </c>
      <c r="P366" s="445">
        <v>1729</v>
      </c>
      <c r="Q366" s="346">
        <v>0.24490084985835694</v>
      </c>
      <c r="R366" s="445">
        <v>5343</v>
      </c>
      <c r="S366" s="447">
        <v>2942</v>
      </c>
      <c r="T366" s="445">
        <v>-236.13334022218254</v>
      </c>
      <c r="U366" s="444">
        <v>6071.6566211250311</v>
      </c>
      <c r="V366" s="445">
        <v>1492.8666597778174</v>
      </c>
      <c r="W366" s="229">
        <v>0.24587468510384911</v>
      </c>
      <c r="X366" s="261">
        <v>797434.30646111968</v>
      </c>
      <c r="Y366" s="262">
        <v>188959.46651468976</v>
      </c>
      <c r="Z366" s="262">
        <v>295393.68560821115</v>
      </c>
      <c r="AA366" s="262">
        <v>239679.78482687991</v>
      </c>
      <c r="AB366" s="263">
        <v>1521467.2434109005</v>
      </c>
      <c r="AC366" s="262">
        <v>688542.34245535755</v>
      </c>
      <c r="AD366" s="262">
        <v>163156.50411446497</v>
      </c>
      <c r="AE366" s="262">
        <v>255056.8223454227</v>
      </c>
      <c r="AF366" s="263">
        <v>206950.81606943917</v>
      </c>
      <c r="AG366" s="262">
        <v>688542.34245535755</v>
      </c>
      <c r="AH366" s="262">
        <v>163156.50411446497</v>
      </c>
      <c r="AI366" s="262">
        <v>255056.8223454227</v>
      </c>
      <c r="AJ366" s="263">
        <v>206950.81606943917</v>
      </c>
      <c r="AK366" s="262">
        <v>689460.69008555415</v>
      </c>
      <c r="AL366" s="262">
        <v>163419.16988976323</v>
      </c>
      <c r="AM366" s="262">
        <v>255509.38200109467</v>
      </c>
      <c r="AN366" s="262">
        <v>207401.93441301523</v>
      </c>
      <c r="AO366" s="263">
        <v>1315791.1763894272</v>
      </c>
      <c r="AP366" s="31"/>
      <c r="AQ366" s="261">
        <v>678988.44831993745</v>
      </c>
      <c r="AR366" s="262">
        <v>158230.16508784573</v>
      </c>
      <c r="AS366" s="262">
        <v>251970.45436169064</v>
      </c>
      <c r="AT366" s="262">
        <v>204025.8605251456</v>
      </c>
      <c r="AU366" s="263">
        <v>1293214.9282946195</v>
      </c>
      <c r="AV366" s="31"/>
      <c r="AW366" s="323">
        <v>1308214.5054029035</v>
      </c>
      <c r="AX366" s="31"/>
      <c r="AY366" s="747">
        <v>0</v>
      </c>
      <c r="AZ366" s="262">
        <v>0</v>
      </c>
      <c r="BA366" s="262">
        <v>1293214.9282946195</v>
      </c>
      <c r="BB366" s="262">
        <v>12657.830748492053</v>
      </c>
      <c r="BC366" s="263">
        <v>1280557.0975461274</v>
      </c>
      <c r="BD366" s="261">
        <v>12805.570975461274</v>
      </c>
      <c r="BE366" s="262">
        <v>1267751.5265706661</v>
      </c>
      <c r="BF366" s="354">
        <v>0.9690700732447729</v>
      </c>
      <c r="BG366" s="31"/>
      <c r="BJ366" s="4">
        <v>0.9690700732447729</v>
      </c>
      <c r="BL366" s="4">
        <v>0.92410191901856797</v>
      </c>
      <c r="BM366" s="4">
        <v>0.9</v>
      </c>
      <c r="BN366" s="4" t="s">
        <v>900</v>
      </c>
      <c r="BO366" s="31" t="s">
        <v>900</v>
      </c>
      <c r="BP366" s="31" t="s">
        <v>900</v>
      </c>
      <c r="BQ366" s="31">
        <v>1261400.6150824123</v>
      </c>
      <c r="BR366" s="4">
        <v>0.96421543246375063</v>
      </c>
      <c r="BS366" s="4" t="s">
        <v>900</v>
      </c>
      <c r="BT366" s="448" t="s">
        <v>900</v>
      </c>
      <c r="BU366" s="367" t="s">
        <v>900</v>
      </c>
      <c r="BV366" s="368">
        <v>1267751.5265706661</v>
      </c>
      <c r="BX366" s="449">
        <v>-15477.405803841772</v>
      </c>
      <c r="BY366" s="450">
        <v>-1.2061641938830199E-2</v>
      </c>
      <c r="BZ366" s="368">
        <v>-10.367574158394874</v>
      </c>
      <c r="CB366" s="31">
        <v>172368</v>
      </c>
      <c r="CC366" s="31">
        <v>202229.98433320259</v>
      </c>
      <c r="CD366" s="31" t="e">
        <v>#VALUE!</v>
      </c>
      <c r="CE366" s="31" t="s">
        <v>900</v>
      </c>
      <c r="CF366" s="31" t="e">
        <v>#VALUE!</v>
      </c>
      <c r="CJ366" s="702" t="s">
        <v>1447</v>
      </c>
      <c r="CK366" s="702" t="s">
        <v>1447</v>
      </c>
      <c r="CL366" s="702" t="s">
        <v>1448</v>
      </c>
      <c r="CN366" s="702" t="s">
        <v>1447</v>
      </c>
      <c r="CO366" s="702" t="s">
        <v>1447</v>
      </c>
      <c r="CP366" s="702" t="s">
        <v>1447</v>
      </c>
      <c r="CQ366" s="702" t="s">
        <v>1447</v>
      </c>
      <c r="CS366" s="451">
        <v>0</v>
      </c>
      <c r="CT366" s="452">
        <v>0.9</v>
      </c>
      <c r="CU366" s="452">
        <v>0</v>
      </c>
      <c r="CV366" s="453">
        <v>0.9</v>
      </c>
    </row>
    <row r="367" spans="1:100" outlineLevel="1" x14ac:dyDescent="0.3">
      <c r="A367" s="1">
        <v>80220000</v>
      </c>
      <c r="B367" s="47">
        <v>400295</v>
      </c>
      <c r="C367" s="47">
        <v>79598</v>
      </c>
      <c r="D367" s="47" t="s">
        <v>242</v>
      </c>
      <c r="E367" s="47" t="s">
        <v>5</v>
      </c>
      <c r="F367" s="47" t="s">
        <v>1498</v>
      </c>
      <c r="G367" s="47" t="s">
        <v>1502</v>
      </c>
      <c r="H367" s="47" t="s">
        <v>1515</v>
      </c>
      <c r="I367" s="382">
        <v>2350</v>
      </c>
      <c r="J367" s="382">
        <v>0</v>
      </c>
      <c r="K367" s="382">
        <v>0</v>
      </c>
      <c r="L367" s="382">
        <v>82</v>
      </c>
      <c r="M367" s="382">
        <v>0</v>
      </c>
      <c r="N367" s="382">
        <v>2350</v>
      </c>
      <c r="O367" s="444">
        <v>9270</v>
      </c>
      <c r="P367" s="445">
        <v>2432</v>
      </c>
      <c r="Q367" s="346">
        <v>0.26235167206040994</v>
      </c>
      <c r="R367" s="445">
        <v>6448</v>
      </c>
      <c r="S367" s="447">
        <v>4330</v>
      </c>
      <c r="T367" s="445">
        <v>-332.08458977984975</v>
      </c>
      <c r="U367" s="444">
        <v>7972.2743453015628</v>
      </c>
      <c r="V367" s="445">
        <v>2099.9154102201501</v>
      </c>
      <c r="W367" s="229">
        <v>0.26340230143456228</v>
      </c>
      <c r="X367" s="261">
        <v>1121665.8376595967</v>
      </c>
      <c r="Y367" s="262">
        <v>265789.13971297012</v>
      </c>
      <c r="Z367" s="262">
        <v>446582.03811783786</v>
      </c>
      <c r="AA367" s="262">
        <v>397018.5593299006</v>
      </c>
      <c r="AB367" s="263">
        <v>2231055.5748203052</v>
      </c>
      <c r="AC367" s="262">
        <v>968499.11905808526</v>
      </c>
      <c r="AD367" s="262">
        <v>229494.86293023636</v>
      </c>
      <c r="AE367" s="262">
        <v>385599.96746156557</v>
      </c>
      <c r="AF367" s="263">
        <v>342804.52524347155</v>
      </c>
      <c r="AG367" s="262">
        <v>968499.11905808526</v>
      </c>
      <c r="AH367" s="262">
        <v>229494.86293023636</v>
      </c>
      <c r="AI367" s="262">
        <v>385599.96746156557</v>
      </c>
      <c r="AJ367" s="263">
        <v>342804.52524347155</v>
      </c>
      <c r="AK367" s="262">
        <v>969417.46668828186</v>
      </c>
      <c r="AL367" s="262">
        <v>229757.52870553461</v>
      </c>
      <c r="AM367" s="262">
        <v>386052.52711723751</v>
      </c>
      <c r="AN367" s="262">
        <v>343255.64358704764</v>
      </c>
      <c r="AO367" s="263">
        <v>1928483.1660981015</v>
      </c>
      <c r="AP367" s="31"/>
      <c r="AQ367" s="261">
        <v>954692.9519640099</v>
      </c>
      <c r="AR367" s="262">
        <v>222462.09989792324</v>
      </c>
      <c r="AS367" s="262">
        <v>380705.51422958117</v>
      </c>
      <c r="AT367" s="262">
        <v>339457.0626119622</v>
      </c>
      <c r="AU367" s="263">
        <v>1897317.6287034766</v>
      </c>
      <c r="AV367" s="31"/>
      <c r="AW367" s="323">
        <v>1972940.5017153744</v>
      </c>
      <c r="AX367" s="31"/>
      <c r="AY367" s="747">
        <v>0</v>
      </c>
      <c r="AZ367" s="262">
        <v>0</v>
      </c>
      <c r="BA367" s="262">
        <v>1897317.6287034766</v>
      </c>
      <c r="BB367" s="262">
        <v>18570.714654468942</v>
      </c>
      <c r="BC367" s="263">
        <v>1878746.9140490077</v>
      </c>
      <c r="BD367" s="261">
        <v>18787.469140490077</v>
      </c>
      <c r="BE367" s="262">
        <v>1859959.4449085176</v>
      </c>
      <c r="BF367" s="354">
        <v>0.94273468626721113</v>
      </c>
      <c r="BG367" s="31"/>
      <c r="BJ367" s="4">
        <v>0.94273468626721113</v>
      </c>
      <c r="BL367" s="4">
        <v>0.94390694978491541</v>
      </c>
      <c r="BM367" s="4">
        <v>0.9</v>
      </c>
      <c r="BN367" s="4" t="s">
        <v>900</v>
      </c>
      <c r="BO367" s="31" t="s">
        <v>900</v>
      </c>
      <c r="BP367" s="31" t="s">
        <v>900</v>
      </c>
      <c r="BQ367" s="31">
        <v>1850641.8163679242</v>
      </c>
      <c r="BR367" s="4">
        <v>0.93801197489680121</v>
      </c>
      <c r="BS367" s="4" t="s">
        <v>900</v>
      </c>
      <c r="BT367" s="448" t="s">
        <v>900</v>
      </c>
      <c r="BU367" s="367" t="s">
        <v>900</v>
      </c>
      <c r="BV367" s="368">
        <v>1859959.4449085176</v>
      </c>
      <c r="BX367" s="449">
        <v>-21747.192034566775</v>
      </c>
      <c r="BY367" s="450">
        <v>-1.1557494034814304E-2</v>
      </c>
      <c r="BZ367" s="368">
        <v>-10.356222888181412</v>
      </c>
      <c r="CB367" s="31">
        <v>228871</v>
      </c>
      <c r="CC367" s="31">
        <v>270297.75031635805</v>
      </c>
      <c r="CD367" s="31" t="e">
        <v>#VALUE!</v>
      </c>
      <c r="CE367" s="31" t="s">
        <v>900</v>
      </c>
      <c r="CF367" s="31" t="e">
        <v>#VALUE!</v>
      </c>
      <c r="CJ367" s="702" t="s">
        <v>1447</v>
      </c>
      <c r="CK367" s="702" t="s">
        <v>1447</v>
      </c>
      <c r="CL367" s="702" t="s">
        <v>1448</v>
      </c>
      <c r="CN367" s="702" t="s">
        <v>1447</v>
      </c>
      <c r="CO367" s="702" t="s">
        <v>1447</v>
      </c>
      <c r="CP367" s="702" t="s">
        <v>1447</v>
      </c>
      <c r="CQ367" s="702" t="s">
        <v>1447</v>
      </c>
      <c r="CS367" s="451">
        <v>0</v>
      </c>
      <c r="CT367" s="452">
        <v>0.9</v>
      </c>
      <c r="CU367" s="452">
        <v>0</v>
      </c>
      <c r="CV367" s="453">
        <v>0.9</v>
      </c>
    </row>
    <row r="368" spans="1:100" outlineLevel="1" x14ac:dyDescent="0.3">
      <c r="A368" s="1">
        <v>80322000</v>
      </c>
      <c r="B368" s="47">
        <v>408880</v>
      </c>
      <c r="C368" s="47">
        <v>4380</v>
      </c>
      <c r="D368" s="47" t="s">
        <v>464</v>
      </c>
      <c r="E368" s="47" t="s">
        <v>5</v>
      </c>
      <c r="F368" s="47" t="s">
        <v>900</v>
      </c>
      <c r="G368" s="47" t="s">
        <v>900</v>
      </c>
      <c r="H368" s="47" t="s">
        <v>900</v>
      </c>
      <c r="I368" s="382">
        <v>8</v>
      </c>
      <c r="J368" s="382">
        <v>0</v>
      </c>
      <c r="K368" s="382">
        <v>0</v>
      </c>
      <c r="L368" s="382">
        <v>0</v>
      </c>
      <c r="M368" s="382">
        <v>0</v>
      </c>
      <c r="N368" s="382">
        <v>8</v>
      </c>
      <c r="O368" s="444">
        <v>39</v>
      </c>
      <c r="P368" s="445">
        <v>8</v>
      </c>
      <c r="Q368" s="346">
        <v>0.20512820512820512</v>
      </c>
      <c r="R368" s="445">
        <v>72</v>
      </c>
      <c r="S368" s="447">
        <v>30</v>
      </c>
      <c r="T368" s="445">
        <v>-1.130500731165446</v>
      </c>
      <c r="U368" s="444">
        <v>33.540312779585868</v>
      </c>
      <c r="V368" s="445">
        <v>6.869499268834554</v>
      </c>
      <c r="W368" s="229">
        <v>0.20481321429463945</v>
      </c>
      <c r="X368" s="261">
        <v>0</v>
      </c>
      <c r="Y368" s="262">
        <v>806.44682565871256</v>
      </c>
      <c r="Z368" s="262">
        <v>0</v>
      </c>
      <c r="AA368" s="262">
        <v>0</v>
      </c>
      <c r="AB368" s="263">
        <v>806.44682565871256</v>
      </c>
      <c r="AC368" s="262" t="s">
        <v>900</v>
      </c>
      <c r="AD368" s="262">
        <v>696.32417605526052</v>
      </c>
      <c r="AE368" s="262" t="s">
        <v>900</v>
      </c>
      <c r="AF368" s="263" t="s">
        <v>900</v>
      </c>
      <c r="AG368" s="262" t="s">
        <v>900</v>
      </c>
      <c r="AH368" s="262" t="s">
        <v>900</v>
      </c>
      <c r="AI368" s="262" t="s">
        <v>900</v>
      </c>
      <c r="AJ368" s="263" t="s">
        <v>900</v>
      </c>
      <c r="AK368" s="262" t="s">
        <v>900</v>
      </c>
      <c r="AL368" s="262" t="s">
        <v>900</v>
      </c>
      <c r="AM368" s="262" t="s">
        <v>900</v>
      </c>
      <c r="AN368" s="262" t="s">
        <v>900</v>
      </c>
      <c r="AO368" s="263">
        <v>0</v>
      </c>
      <c r="AP368" s="31"/>
      <c r="AQ368" s="261">
        <v>0</v>
      </c>
      <c r="AR368" s="262">
        <v>0</v>
      </c>
      <c r="AS368" s="262">
        <v>0</v>
      </c>
      <c r="AT368" s="262">
        <v>0</v>
      </c>
      <c r="AU368" s="263">
        <v>0</v>
      </c>
      <c r="AV368" s="31"/>
      <c r="AW368" s="323">
        <v>0</v>
      </c>
      <c r="AX368" s="31"/>
      <c r="AY368" s="747">
        <v>0</v>
      </c>
      <c r="AZ368" s="262">
        <v>0</v>
      </c>
      <c r="BA368" s="262">
        <v>0</v>
      </c>
      <c r="BB368" s="262">
        <v>0</v>
      </c>
      <c r="BC368" s="263">
        <v>0</v>
      </c>
      <c r="BD368" s="261">
        <v>0</v>
      </c>
      <c r="BE368" s="262">
        <v>0</v>
      </c>
      <c r="BF368" s="354" t="s">
        <v>1450</v>
      </c>
      <c r="BG368" s="31"/>
      <c r="BJ368" s="4" t="s">
        <v>900</v>
      </c>
      <c r="BL368" s="4">
        <v>0.9</v>
      </c>
      <c r="BM368" s="4">
        <v>0.9</v>
      </c>
      <c r="BN368" s="4" t="s">
        <v>900</v>
      </c>
      <c r="BO368" s="31" t="s">
        <v>900</v>
      </c>
      <c r="BP368" s="31" t="s">
        <v>900</v>
      </c>
      <c r="BQ368" s="31">
        <v>0</v>
      </c>
      <c r="BR368" s="4" t="s">
        <v>900</v>
      </c>
      <c r="BS368" s="4" t="s">
        <v>900</v>
      </c>
      <c r="BT368" s="448" t="s">
        <v>900</v>
      </c>
      <c r="BU368" s="367" t="s">
        <v>900</v>
      </c>
      <c r="BV368" s="368">
        <v>0</v>
      </c>
      <c r="BX368" s="449">
        <v>0</v>
      </c>
      <c r="BY368" s="450" t="s">
        <v>900</v>
      </c>
      <c r="BZ368" s="368">
        <v>0</v>
      </c>
      <c r="CB368" s="31" t="s">
        <v>900</v>
      </c>
      <c r="CC368" s="31"/>
      <c r="CD368" s="31" t="e">
        <v>#VALUE!</v>
      </c>
      <c r="CE368" s="31" t="s">
        <v>900</v>
      </c>
      <c r="CF368" s="31" t="e">
        <v>#VALUE!</v>
      </c>
      <c r="CJ368" s="702" t="s">
        <v>1447</v>
      </c>
      <c r="CK368" s="702" t="s">
        <v>1447</v>
      </c>
      <c r="CL368" s="702" t="s">
        <v>1448</v>
      </c>
      <c r="CN368" s="702" t="s">
        <v>1448</v>
      </c>
      <c r="CO368" s="702" t="s">
        <v>1448</v>
      </c>
      <c r="CP368" s="702" t="s">
        <v>1448</v>
      </c>
      <c r="CQ368" s="702" t="s">
        <v>1448</v>
      </c>
      <c r="CS368" s="451">
        <v>0</v>
      </c>
      <c r="CT368" s="452">
        <v>0.9</v>
      </c>
      <c r="CU368" s="452">
        <v>0</v>
      </c>
      <c r="CV368" s="453">
        <v>0.9</v>
      </c>
    </row>
    <row r="369" spans="1:100" s="48" customFormat="1" outlineLevel="1" x14ac:dyDescent="0.3">
      <c r="A369" s="202">
        <v>88704000</v>
      </c>
      <c r="B369" s="48">
        <v>400414</v>
      </c>
      <c r="C369" s="48">
        <v>85540</v>
      </c>
      <c r="D369" s="48" t="s">
        <v>4</v>
      </c>
      <c r="E369" s="48" t="s">
        <v>5</v>
      </c>
      <c r="F369" s="48" t="s">
        <v>1498</v>
      </c>
      <c r="G369" s="48" t="s">
        <v>1499</v>
      </c>
      <c r="H369" s="48" t="s">
        <v>1515</v>
      </c>
      <c r="O369" s="454" t="s">
        <v>900</v>
      </c>
      <c r="P369" s="455" t="s">
        <v>900</v>
      </c>
      <c r="Q369" s="347" t="s">
        <v>900</v>
      </c>
      <c r="R369" s="455">
        <v>75</v>
      </c>
      <c r="S369" s="457">
        <v>37</v>
      </c>
      <c r="T369" s="455"/>
      <c r="U369" s="454">
        <v>75</v>
      </c>
      <c r="V369" s="455">
        <v>21.71863669888501</v>
      </c>
      <c r="W369" s="230">
        <v>0.28958182265180016</v>
      </c>
      <c r="X369" s="264" t="s">
        <v>900</v>
      </c>
      <c r="Y369" s="265" t="s">
        <v>900</v>
      </c>
      <c r="Z369" s="265" t="s">
        <v>900</v>
      </c>
      <c r="AA369" s="265" t="s">
        <v>900</v>
      </c>
      <c r="AB369" s="266" t="s">
        <v>900</v>
      </c>
      <c r="AC369" s="265">
        <v>10306.053563690652</v>
      </c>
      <c r="AD369" s="265">
        <v>2435.3717131338831</v>
      </c>
      <c r="AE369" s="265">
        <v>4985.3203443932498</v>
      </c>
      <c r="AF369" s="266">
        <v>4754.5212228803402</v>
      </c>
      <c r="AG369" s="265">
        <v>10306.053563690652</v>
      </c>
      <c r="AH369" s="265">
        <v>2435.3717131338831</v>
      </c>
      <c r="AI369" s="265">
        <v>4985.3203443932498</v>
      </c>
      <c r="AJ369" s="266">
        <v>4754.5212228803402</v>
      </c>
      <c r="AK369" s="265">
        <v>11224.40119388729</v>
      </c>
      <c r="AL369" s="265">
        <v>2698.0374884321341</v>
      </c>
      <c r="AM369" s="265">
        <v>5437.8800000652145</v>
      </c>
      <c r="AN369" s="265">
        <v>5205.6395664564052</v>
      </c>
      <c r="AO369" s="266">
        <v>24565.958248841041</v>
      </c>
      <c r="AP369" s="203"/>
      <c r="AQ369" s="264">
        <v>16853.992812659337</v>
      </c>
      <c r="AR369" s="265">
        <v>3959.3825838841444</v>
      </c>
      <c r="AS369" s="265">
        <v>8336.0996395893326</v>
      </c>
      <c r="AT369" s="265">
        <v>8063.062680707566</v>
      </c>
      <c r="AU369" s="266">
        <v>37212.537716840379</v>
      </c>
      <c r="AV369" s="203"/>
      <c r="AW369" s="324">
        <v>40230.77777710418</v>
      </c>
      <c r="AX369" s="203"/>
      <c r="AY369" s="377">
        <v>0</v>
      </c>
      <c r="AZ369" s="265">
        <v>0</v>
      </c>
      <c r="BA369" s="265">
        <v>37212.537716840379</v>
      </c>
      <c r="BB369" s="265">
        <v>364.23180233682905</v>
      </c>
      <c r="BC369" s="266">
        <v>36848.305914503551</v>
      </c>
      <c r="BD369" s="264">
        <v>368.4830591450355</v>
      </c>
      <c r="BE369" s="265">
        <v>36479.822855358514</v>
      </c>
      <c r="BF369" s="357">
        <v>0.90676404660810761</v>
      </c>
      <c r="BG369" s="203"/>
      <c r="BJ369" s="458">
        <v>0.90676404660810761</v>
      </c>
      <c r="BK369" s="210"/>
      <c r="BL369" s="458"/>
      <c r="BM369" s="458"/>
      <c r="BN369" s="458"/>
      <c r="BQ369" s="203">
        <v>36297.074011278426</v>
      </c>
      <c r="BR369" s="458">
        <v>0.90222153328428878</v>
      </c>
      <c r="BT369" s="459" t="s">
        <v>900</v>
      </c>
      <c r="BU369" s="460" t="s">
        <v>900</v>
      </c>
      <c r="BV369" s="461">
        <v>36479.822855358514</v>
      </c>
      <c r="BX369" s="462">
        <v>14485.290509652437</v>
      </c>
      <c r="BY369" s="463">
        <v>0.65860478625873198</v>
      </c>
      <c r="BZ369" s="461">
        <v>666.95210709961748</v>
      </c>
      <c r="CB369" s="203" t="s">
        <v>900</v>
      </c>
      <c r="CC369" s="203">
        <v>420.87877433842561</v>
      </c>
      <c r="CD369" s="203" t="e">
        <v>#VALUE!</v>
      </c>
      <c r="CE369" s="203" t="s">
        <v>900</v>
      </c>
      <c r="CF369" s="203" t="e">
        <v>#VALUE!</v>
      </c>
      <c r="CH369" s="199"/>
      <c r="CJ369" s="464" t="s">
        <v>1448</v>
      </c>
      <c r="CK369" s="464" t="s">
        <v>1447</v>
      </c>
      <c r="CL369" s="464" t="s">
        <v>1448</v>
      </c>
      <c r="CN369" s="464" t="s">
        <v>1447</v>
      </c>
      <c r="CO369" s="464" t="s">
        <v>1447</v>
      </c>
      <c r="CP369" s="464" t="s">
        <v>1447</v>
      </c>
      <c r="CQ369" s="464" t="s">
        <v>1447</v>
      </c>
      <c r="CS369" s="465">
        <v>0</v>
      </c>
      <c r="CT369" s="466">
        <v>0.9</v>
      </c>
      <c r="CU369" s="466">
        <v>0</v>
      </c>
      <c r="CV369" s="467">
        <v>0.9</v>
      </c>
    </row>
    <row r="370" spans="1:100" s="48" customFormat="1" outlineLevel="1" x14ac:dyDescent="0.3">
      <c r="A370" s="202">
        <v>88620000</v>
      </c>
      <c r="B370" s="48">
        <v>400074</v>
      </c>
      <c r="C370" s="48">
        <v>4383</v>
      </c>
      <c r="D370" s="48" t="s">
        <v>241</v>
      </c>
      <c r="E370" s="48" t="s">
        <v>5</v>
      </c>
      <c r="F370" s="48" t="s">
        <v>1503</v>
      </c>
      <c r="G370" s="48" t="s">
        <v>1502</v>
      </c>
      <c r="H370" s="48" t="s">
        <v>1515</v>
      </c>
      <c r="O370" s="454" t="s">
        <v>900</v>
      </c>
      <c r="P370" s="455" t="s">
        <v>900</v>
      </c>
      <c r="Q370" s="347" t="s">
        <v>900</v>
      </c>
      <c r="R370" s="455">
        <v>1333</v>
      </c>
      <c r="S370" s="457">
        <v>357</v>
      </c>
      <c r="T370" s="455"/>
      <c r="U370" s="454">
        <v>1333</v>
      </c>
      <c r="V370" s="455">
        <v>209.55549463518781</v>
      </c>
      <c r="W370" s="230">
        <v>0.1572059224570051</v>
      </c>
      <c r="X370" s="264" t="s">
        <v>900</v>
      </c>
      <c r="Y370" s="265" t="s">
        <v>900</v>
      </c>
      <c r="Z370" s="265" t="s">
        <v>900</v>
      </c>
      <c r="AA370" s="265" t="s">
        <v>900</v>
      </c>
      <c r="AB370" s="266" t="s">
        <v>900</v>
      </c>
      <c r="AC370" s="265">
        <v>99439.489790204389</v>
      </c>
      <c r="AD370" s="265">
        <v>23498.045988886384</v>
      </c>
      <c r="AE370" s="265">
        <v>48101.604404010541</v>
      </c>
      <c r="AF370" s="266">
        <v>45874.704772115721</v>
      </c>
      <c r="AG370" s="265">
        <v>99439.489790204389</v>
      </c>
      <c r="AH370" s="265">
        <v>23498.045988886384</v>
      </c>
      <c r="AI370" s="265">
        <v>48101.604404010541</v>
      </c>
      <c r="AJ370" s="266">
        <v>45874.704772115721</v>
      </c>
      <c r="AK370" s="265">
        <v>100357.83742040103</v>
      </c>
      <c r="AL370" s="265">
        <v>23760.711764184634</v>
      </c>
      <c r="AM370" s="265">
        <v>48554.164059682509</v>
      </c>
      <c r="AN370" s="265">
        <v>46325.823115691783</v>
      </c>
      <c r="AO370" s="266">
        <v>218998.53635995995</v>
      </c>
      <c r="AP370" s="203"/>
      <c r="AQ370" s="264">
        <v>98833.498829885473</v>
      </c>
      <c r="AR370" s="265">
        <v>23006.244295499644</v>
      </c>
      <c r="AS370" s="265">
        <v>48035.436899217988</v>
      </c>
      <c r="AT370" s="265">
        <v>46509.96087087629</v>
      </c>
      <c r="AU370" s="266">
        <v>216385.14089547939</v>
      </c>
      <c r="AV370" s="203"/>
      <c r="AW370" s="324">
        <v>234317.63535044837</v>
      </c>
      <c r="AX370" s="203"/>
      <c r="AY370" s="377">
        <v>0</v>
      </c>
      <c r="AZ370" s="265">
        <v>0</v>
      </c>
      <c r="BA370" s="265">
        <v>216385.14089547939</v>
      </c>
      <c r="BB370" s="265">
        <v>2117.9514943857766</v>
      </c>
      <c r="BC370" s="266">
        <v>214267.18940109361</v>
      </c>
      <c r="BD370" s="264">
        <v>2142.6718940109363</v>
      </c>
      <c r="BE370" s="265">
        <v>212124.51750708267</v>
      </c>
      <c r="BF370" s="357">
        <v>0.90528618210842982</v>
      </c>
      <c r="BG370" s="203"/>
      <c r="BJ370" s="458">
        <v>0.90528618210842982</v>
      </c>
      <c r="BK370" s="210"/>
      <c r="BL370" s="458"/>
      <c r="BM370" s="458"/>
      <c r="BN370" s="458"/>
      <c r="BQ370" s="203">
        <v>211061.86129493025</v>
      </c>
      <c r="BR370" s="458">
        <v>0.90075107227530482</v>
      </c>
      <c r="BT370" s="459" t="s">
        <v>900</v>
      </c>
      <c r="BU370" s="460" t="s">
        <v>900</v>
      </c>
      <c r="BV370" s="461">
        <v>212124.51750708267</v>
      </c>
      <c r="BX370" s="462">
        <v>201.18302738282364</v>
      </c>
      <c r="BY370" s="463">
        <v>9.4934696344217934E-4</v>
      </c>
      <c r="BZ370" s="461">
        <v>0.96004653914258042</v>
      </c>
      <c r="CB370" s="203">
        <v>15846</v>
      </c>
      <c r="CC370" s="203">
        <v>20526.751590003158</v>
      </c>
      <c r="CD370" s="203" t="e">
        <v>#VALUE!</v>
      </c>
      <c r="CE370" s="203" t="s">
        <v>900</v>
      </c>
      <c r="CF370" s="203" t="e">
        <v>#VALUE!</v>
      </c>
      <c r="CH370" s="199"/>
      <c r="CJ370" s="464" t="s">
        <v>1448</v>
      </c>
      <c r="CK370" s="464" t="s">
        <v>1447</v>
      </c>
      <c r="CL370" s="464" t="s">
        <v>1448</v>
      </c>
      <c r="CN370" s="464" t="s">
        <v>1447</v>
      </c>
      <c r="CO370" s="464" t="s">
        <v>1447</v>
      </c>
      <c r="CP370" s="464" t="s">
        <v>1447</v>
      </c>
      <c r="CQ370" s="464" t="s">
        <v>1447</v>
      </c>
      <c r="CS370" s="465">
        <v>0</v>
      </c>
      <c r="CT370" s="466">
        <v>0.9</v>
      </c>
      <c r="CU370" s="466">
        <v>0</v>
      </c>
      <c r="CV370" s="467">
        <v>0.9</v>
      </c>
    </row>
    <row r="371" spans="1:100" s="48" customFormat="1" outlineLevel="1" x14ac:dyDescent="0.3">
      <c r="A371" s="202">
        <v>88759000</v>
      </c>
      <c r="B371" s="48">
        <v>400281</v>
      </c>
      <c r="C371" s="48">
        <v>79499</v>
      </c>
      <c r="D371" s="48" t="s">
        <v>276</v>
      </c>
      <c r="E371" s="48" t="s">
        <v>5</v>
      </c>
      <c r="F371" s="48" t="s">
        <v>1498</v>
      </c>
      <c r="G371" s="48" t="s">
        <v>1502</v>
      </c>
      <c r="H371" s="48" t="s">
        <v>1515</v>
      </c>
      <c r="O371" s="454" t="s">
        <v>900</v>
      </c>
      <c r="P371" s="455" t="s">
        <v>900</v>
      </c>
      <c r="Q371" s="347" t="s">
        <v>900</v>
      </c>
      <c r="R371" s="455">
        <v>525</v>
      </c>
      <c r="S371" s="457">
        <v>406</v>
      </c>
      <c r="T371" s="455"/>
      <c r="U371" s="454">
        <v>525</v>
      </c>
      <c r="V371" s="455">
        <v>238.31801350668417</v>
      </c>
      <c r="W371" s="230">
        <v>0.45393907334606509</v>
      </c>
      <c r="X371" s="264" t="s">
        <v>900</v>
      </c>
      <c r="Y371" s="265" t="s">
        <v>900</v>
      </c>
      <c r="Z371" s="265" t="s">
        <v>900</v>
      </c>
      <c r="AA371" s="265" t="s">
        <v>900</v>
      </c>
      <c r="AB371" s="266" t="s">
        <v>900</v>
      </c>
      <c r="AC371" s="265">
        <v>113088.04721238931</v>
      </c>
      <c r="AD371" s="265">
        <v>26723.267987360985</v>
      </c>
      <c r="AE371" s="265">
        <v>54703.785400639441</v>
      </c>
      <c r="AF371" s="266">
        <v>52171.232878092385</v>
      </c>
      <c r="AG371" s="265">
        <v>113088.04721238931</v>
      </c>
      <c r="AH371" s="265">
        <v>26723.267987360985</v>
      </c>
      <c r="AI371" s="265">
        <v>54703.785400639441</v>
      </c>
      <c r="AJ371" s="266">
        <v>52171.232878092385</v>
      </c>
      <c r="AK371" s="265">
        <v>114006.39484258596</v>
      </c>
      <c r="AL371" s="265">
        <v>26985.933762659235</v>
      </c>
      <c r="AM371" s="265">
        <v>55156.345056311409</v>
      </c>
      <c r="AN371" s="265">
        <v>52622.351221668447</v>
      </c>
      <c r="AO371" s="266">
        <v>248771.02488322504</v>
      </c>
      <c r="AP371" s="203"/>
      <c r="AQ371" s="264">
        <v>118694.82959123714</v>
      </c>
      <c r="AR371" s="265">
        <v>27680.587644668896</v>
      </c>
      <c r="AS371" s="265">
        <v>58707.271159712029</v>
      </c>
      <c r="AT371" s="265">
        <v>56784.398896337225</v>
      </c>
      <c r="AU371" s="266">
        <v>261867.08729195528</v>
      </c>
      <c r="AV371" s="203"/>
      <c r="AW371" s="324">
        <v>257672.66568765743</v>
      </c>
      <c r="AX371" s="203"/>
      <c r="AY371" s="377">
        <v>0</v>
      </c>
      <c r="AZ371" s="265">
        <v>4194.4216042978514</v>
      </c>
      <c r="BA371" s="265">
        <v>257672.66568765743</v>
      </c>
      <c r="BB371" s="265">
        <v>2522.0687755965132</v>
      </c>
      <c r="BC371" s="266">
        <v>255150.59691206092</v>
      </c>
      <c r="BD371" s="264">
        <v>2551.5059691206093</v>
      </c>
      <c r="BE371" s="265">
        <v>252599.09094294033</v>
      </c>
      <c r="BF371" s="357">
        <v>0.98031000016560887</v>
      </c>
      <c r="BG371" s="203"/>
      <c r="BJ371" s="458">
        <v>0.98031000016560887</v>
      </c>
      <c r="BK371" s="210"/>
      <c r="BL371" s="458"/>
      <c r="BM371" s="458"/>
      <c r="BN371" s="458"/>
      <c r="BQ371" s="203">
        <v>251333.67383637882</v>
      </c>
      <c r="BR371" s="458">
        <v>0.97539905199349886</v>
      </c>
      <c r="BT371" s="459" t="s">
        <v>900</v>
      </c>
      <c r="BU371" s="460" t="s">
        <v>900</v>
      </c>
      <c r="BV371" s="461">
        <v>252599.09094294033</v>
      </c>
      <c r="BX371" s="462">
        <v>11592.908636472712</v>
      </c>
      <c r="BY371" s="463">
        <v>4.8103495399575445E-2</v>
      </c>
      <c r="BZ371" s="461">
        <v>48.644701530912862</v>
      </c>
      <c r="CB371" s="203">
        <v>6962</v>
      </c>
      <c r="CC371" s="203">
        <v>11277.189406291272</v>
      </c>
      <c r="CD371" s="203" t="e">
        <v>#VALUE!</v>
      </c>
      <c r="CE371" s="203" t="s">
        <v>900</v>
      </c>
      <c r="CF371" s="203" t="e">
        <v>#VALUE!</v>
      </c>
      <c r="CH371" s="199"/>
      <c r="CJ371" s="464" t="s">
        <v>1448</v>
      </c>
      <c r="CK371" s="464" t="s">
        <v>1447</v>
      </c>
      <c r="CL371" s="464" t="s">
        <v>1448</v>
      </c>
      <c r="CN371" s="464" t="s">
        <v>1447</v>
      </c>
      <c r="CO371" s="464" t="s">
        <v>1447</v>
      </c>
      <c r="CP371" s="464" t="s">
        <v>1447</v>
      </c>
      <c r="CQ371" s="464" t="s">
        <v>1447</v>
      </c>
      <c r="CS371" s="465">
        <v>0</v>
      </c>
      <c r="CT371" s="466">
        <v>0</v>
      </c>
      <c r="CU371" s="466">
        <v>0.95</v>
      </c>
      <c r="CV371" s="467">
        <v>0.95</v>
      </c>
    </row>
    <row r="372" spans="1:100" s="48" customFormat="1" outlineLevel="1" x14ac:dyDescent="0.3">
      <c r="A372" s="202">
        <v>88703000</v>
      </c>
      <c r="B372" s="48">
        <v>400413</v>
      </c>
      <c r="C372" s="48">
        <v>85516</v>
      </c>
      <c r="D372" s="48" t="s">
        <v>289</v>
      </c>
      <c r="E372" s="48" t="s">
        <v>5</v>
      </c>
      <c r="F372" s="48" t="s">
        <v>1498</v>
      </c>
      <c r="G372" s="48" t="s">
        <v>1499</v>
      </c>
      <c r="H372" s="48" t="s">
        <v>1515</v>
      </c>
      <c r="O372" s="454" t="s">
        <v>900</v>
      </c>
      <c r="P372" s="455" t="s">
        <v>900</v>
      </c>
      <c r="Q372" s="347" t="s">
        <v>900</v>
      </c>
      <c r="R372" s="455">
        <v>442</v>
      </c>
      <c r="S372" s="457">
        <v>315</v>
      </c>
      <c r="T372" s="455"/>
      <c r="U372" s="454">
        <v>442</v>
      </c>
      <c r="V372" s="455">
        <v>184.90190703104807</v>
      </c>
      <c r="W372" s="230">
        <v>0.41833010640508611</v>
      </c>
      <c r="X372" s="264" t="s">
        <v>900</v>
      </c>
      <c r="Y372" s="265" t="s">
        <v>900</v>
      </c>
      <c r="Z372" s="265" t="s">
        <v>900</v>
      </c>
      <c r="AA372" s="265" t="s">
        <v>900</v>
      </c>
      <c r="AB372" s="266" t="s">
        <v>900</v>
      </c>
      <c r="AC372" s="265">
        <v>87740.726285474462</v>
      </c>
      <c r="AD372" s="265">
        <v>20733.569990193868</v>
      </c>
      <c r="AE372" s="265">
        <v>42442.592121185771</v>
      </c>
      <c r="AF372" s="266">
        <v>40477.68068127858</v>
      </c>
      <c r="AG372" s="265">
        <v>87740.726285474462</v>
      </c>
      <c r="AH372" s="265">
        <v>20733.569990193868</v>
      </c>
      <c r="AI372" s="265">
        <v>42442.592121185771</v>
      </c>
      <c r="AJ372" s="266">
        <v>40477.68068127858</v>
      </c>
      <c r="AK372" s="265">
        <v>88659.073915671106</v>
      </c>
      <c r="AL372" s="265">
        <v>20996.235765492118</v>
      </c>
      <c r="AM372" s="265">
        <v>42895.15177685774</v>
      </c>
      <c r="AN372" s="265">
        <v>40928.799024854641</v>
      </c>
      <c r="AO372" s="266">
        <v>193479.2604828756</v>
      </c>
      <c r="AP372" s="203"/>
      <c r="AQ372" s="264">
        <v>87312.428240128138</v>
      </c>
      <c r="AR372" s="265">
        <v>20329.547957184051</v>
      </c>
      <c r="AS372" s="265">
        <v>42301.0333259787</v>
      </c>
      <c r="AT372" s="265">
        <v>39496.408600028466</v>
      </c>
      <c r="AU372" s="266">
        <v>189439.41812331937</v>
      </c>
      <c r="AV372" s="203"/>
      <c r="AW372" s="324">
        <v>179235.06154725677</v>
      </c>
      <c r="AX372" s="203"/>
      <c r="AY372" s="377">
        <v>0</v>
      </c>
      <c r="AZ372" s="265">
        <v>10204.356576062593</v>
      </c>
      <c r="BA372" s="265">
        <v>179235.06154725677</v>
      </c>
      <c r="BB372" s="265">
        <v>1754.3310269798187</v>
      </c>
      <c r="BC372" s="266">
        <v>177480.73052027696</v>
      </c>
      <c r="BD372" s="264">
        <v>1774.8073052027696</v>
      </c>
      <c r="BE372" s="265">
        <v>175705.9232150742</v>
      </c>
      <c r="BF372" s="357">
        <v>0.98031000016560887</v>
      </c>
      <c r="BG372" s="203"/>
      <c r="BJ372" s="458">
        <v>0.98031000016560887</v>
      </c>
      <c r="BK372" s="210"/>
      <c r="BL372" s="458"/>
      <c r="BM372" s="458"/>
      <c r="BN372" s="458"/>
      <c r="BQ372" s="203">
        <v>174825.70911719068</v>
      </c>
      <c r="BR372" s="458">
        <v>0.97539905199349886</v>
      </c>
      <c r="BT372" s="459" t="s">
        <v>900</v>
      </c>
      <c r="BU372" s="460" t="s">
        <v>900</v>
      </c>
      <c r="BV372" s="461">
        <v>175705.9232150742</v>
      </c>
      <c r="BX372" s="462">
        <v>-4000.8712884452252</v>
      </c>
      <c r="BY372" s="463">
        <v>-2.2263963821156502E-2</v>
      </c>
      <c r="BZ372" s="461">
        <v>-21.637804350895166</v>
      </c>
      <c r="CB372" s="203" t="s">
        <v>900</v>
      </c>
      <c r="CC372" s="203">
        <v>3383.2610140141373</v>
      </c>
      <c r="CD372" s="203" t="e">
        <v>#VALUE!</v>
      </c>
      <c r="CE372" s="203" t="s">
        <v>900</v>
      </c>
      <c r="CF372" s="203" t="e">
        <v>#VALUE!</v>
      </c>
      <c r="CH372" s="199"/>
      <c r="CJ372" s="464" t="s">
        <v>1448</v>
      </c>
      <c r="CK372" s="464" t="s">
        <v>1447</v>
      </c>
      <c r="CL372" s="464" t="s">
        <v>1448</v>
      </c>
      <c r="CN372" s="464" t="s">
        <v>1447</v>
      </c>
      <c r="CO372" s="464" t="s">
        <v>1447</v>
      </c>
      <c r="CP372" s="464" t="s">
        <v>1447</v>
      </c>
      <c r="CQ372" s="464" t="s">
        <v>1447</v>
      </c>
      <c r="CS372" s="465">
        <v>0</v>
      </c>
      <c r="CT372" s="466">
        <v>0</v>
      </c>
      <c r="CU372" s="466">
        <v>0.95</v>
      </c>
      <c r="CV372" s="467">
        <v>0.95</v>
      </c>
    </row>
    <row r="373" spans="1:100" s="48" customFormat="1" outlineLevel="1" x14ac:dyDescent="0.3">
      <c r="A373" s="202">
        <v>88758000</v>
      </c>
      <c r="B373" s="48">
        <v>400280</v>
      </c>
      <c r="C373" s="48">
        <v>79498</v>
      </c>
      <c r="D373" s="48" t="s">
        <v>290</v>
      </c>
      <c r="E373" s="48" t="s">
        <v>5</v>
      </c>
      <c r="F373" s="48" t="s">
        <v>1501</v>
      </c>
      <c r="G373" s="48" t="s">
        <v>1502</v>
      </c>
      <c r="H373" s="48" t="s">
        <v>1515</v>
      </c>
      <c r="O373" s="454" t="s">
        <v>900</v>
      </c>
      <c r="P373" s="455" t="s">
        <v>900</v>
      </c>
      <c r="Q373" s="347" t="s">
        <v>900</v>
      </c>
      <c r="R373" s="455">
        <v>421</v>
      </c>
      <c r="S373" s="457">
        <v>307</v>
      </c>
      <c r="T373" s="455"/>
      <c r="U373" s="454">
        <v>421</v>
      </c>
      <c r="V373" s="455">
        <v>180.20598558264049</v>
      </c>
      <c r="W373" s="230">
        <v>0.42804272109890856</v>
      </c>
      <c r="X373" s="264" t="s">
        <v>900</v>
      </c>
      <c r="Y373" s="265" t="s">
        <v>900</v>
      </c>
      <c r="Z373" s="265" t="s">
        <v>900</v>
      </c>
      <c r="AA373" s="265" t="s">
        <v>900</v>
      </c>
      <c r="AB373" s="266" t="s">
        <v>900</v>
      </c>
      <c r="AC373" s="265">
        <v>85512.390379811623</v>
      </c>
      <c r="AD373" s="265">
        <v>20207.003133300055</v>
      </c>
      <c r="AE373" s="265">
        <v>41364.685019695338</v>
      </c>
      <c r="AF373" s="266">
        <v>39449.676092547692</v>
      </c>
      <c r="AG373" s="265">
        <v>85512.390379811623</v>
      </c>
      <c r="AH373" s="265">
        <v>20207.003133300055</v>
      </c>
      <c r="AI373" s="265">
        <v>41364.685019695338</v>
      </c>
      <c r="AJ373" s="266">
        <v>39449.676092547692</v>
      </c>
      <c r="AK373" s="265">
        <v>86430.738010008266</v>
      </c>
      <c r="AL373" s="265">
        <v>20469.668908598305</v>
      </c>
      <c r="AM373" s="265">
        <v>41817.244675367307</v>
      </c>
      <c r="AN373" s="265">
        <v>39900.794436123753</v>
      </c>
      <c r="AO373" s="266">
        <v>188618.44603009764</v>
      </c>
      <c r="AP373" s="203"/>
      <c r="AQ373" s="264">
        <v>85688.337842933572</v>
      </c>
      <c r="AR373" s="265">
        <v>19819.701035600123</v>
      </c>
      <c r="AS373" s="265">
        <v>41238.055755467911</v>
      </c>
      <c r="AT373" s="265">
        <v>38297.904036551998</v>
      </c>
      <c r="AU373" s="266">
        <v>185043.99867055361</v>
      </c>
      <c r="AV373" s="203"/>
      <c r="AW373" s="324">
        <v>190243.99805852267</v>
      </c>
      <c r="AX373" s="203"/>
      <c r="AY373" s="377">
        <v>0</v>
      </c>
      <c r="AZ373" s="265">
        <v>0</v>
      </c>
      <c r="BA373" s="265">
        <v>185043.99867055361</v>
      </c>
      <c r="BB373" s="265">
        <v>1811.1881984573292</v>
      </c>
      <c r="BC373" s="266">
        <v>183232.81047209629</v>
      </c>
      <c r="BD373" s="264">
        <v>1832.328104720963</v>
      </c>
      <c r="BE373" s="265">
        <v>181400.48236737531</v>
      </c>
      <c r="BF373" s="357">
        <v>0.95351487678246272</v>
      </c>
      <c r="BG373" s="203"/>
      <c r="BJ373" s="458">
        <v>0.95351487678246272</v>
      </c>
      <c r="BK373" s="210"/>
      <c r="BL373" s="458"/>
      <c r="BM373" s="458"/>
      <c r="BN373" s="458"/>
      <c r="BQ373" s="203">
        <v>180491.74088034424</v>
      </c>
      <c r="BR373" s="458">
        <v>0.9487381611104575</v>
      </c>
      <c r="BT373" s="459" t="s">
        <v>900</v>
      </c>
      <c r="BU373" s="460" t="s">
        <v>900</v>
      </c>
      <c r="BV373" s="461">
        <v>181400.48236737531</v>
      </c>
      <c r="BX373" s="462">
        <v>6443.4015869625437</v>
      </c>
      <c r="BY373" s="463">
        <v>3.6829521906851327E-2</v>
      </c>
      <c r="BZ373" s="461">
        <v>35.755757868584617</v>
      </c>
      <c r="CB373" s="203">
        <v>6332</v>
      </c>
      <c r="CC373" s="203">
        <v>9619.394070442755</v>
      </c>
      <c r="CD373" s="203" t="e">
        <v>#VALUE!</v>
      </c>
      <c r="CE373" s="203" t="s">
        <v>900</v>
      </c>
      <c r="CF373" s="203" t="e">
        <v>#VALUE!</v>
      </c>
      <c r="CH373" s="199"/>
      <c r="CJ373" s="464" t="s">
        <v>1448</v>
      </c>
      <c r="CK373" s="464" t="s">
        <v>1447</v>
      </c>
      <c r="CL373" s="464" t="s">
        <v>1448</v>
      </c>
      <c r="CN373" s="464" t="s">
        <v>1447</v>
      </c>
      <c r="CO373" s="464" t="s">
        <v>1447</v>
      </c>
      <c r="CP373" s="464" t="s">
        <v>1447</v>
      </c>
      <c r="CQ373" s="464" t="s">
        <v>1447</v>
      </c>
      <c r="CS373" s="465">
        <v>0</v>
      </c>
      <c r="CT373" s="466">
        <v>0</v>
      </c>
      <c r="CU373" s="466">
        <v>0.95</v>
      </c>
      <c r="CV373" s="467">
        <v>0.95</v>
      </c>
    </row>
    <row r="374" spans="1:100" s="48" customFormat="1" outlineLevel="1" x14ac:dyDescent="0.3">
      <c r="A374" s="202">
        <v>88702000</v>
      </c>
      <c r="B374" s="48">
        <v>400248</v>
      </c>
      <c r="C374" s="48">
        <v>79218</v>
      </c>
      <c r="D374" s="48" t="s">
        <v>408</v>
      </c>
      <c r="E374" s="48" t="s">
        <v>5</v>
      </c>
      <c r="F374" s="48" t="s">
        <v>1511</v>
      </c>
      <c r="G374" s="48" t="s">
        <v>1502</v>
      </c>
      <c r="H374" s="48" t="s">
        <v>1515</v>
      </c>
      <c r="O374" s="454" t="s">
        <v>900</v>
      </c>
      <c r="P374" s="455" t="s">
        <v>900</v>
      </c>
      <c r="Q374" s="347" t="s">
        <v>900</v>
      </c>
      <c r="R374" s="455">
        <v>468</v>
      </c>
      <c r="S374" s="457">
        <v>238</v>
      </c>
      <c r="T374" s="455"/>
      <c r="U374" s="454">
        <v>468</v>
      </c>
      <c r="V374" s="455">
        <v>139.70366309012522</v>
      </c>
      <c r="W374" s="230">
        <v>0.29851210061992567</v>
      </c>
      <c r="X374" s="264" t="s">
        <v>900</v>
      </c>
      <c r="Y374" s="265" t="s">
        <v>900</v>
      </c>
      <c r="Z374" s="265" t="s">
        <v>900</v>
      </c>
      <c r="AA374" s="265" t="s">
        <v>900</v>
      </c>
      <c r="AB374" s="266" t="s">
        <v>900</v>
      </c>
      <c r="AC374" s="265">
        <v>66292.993193469607</v>
      </c>
      <c r="AD374" s="265">
        <v>15665.363992590925</v>
      </c>
      <c r="AE374" s="265">
        <v>32067.736269340367</v>
      </c>
      <c r="AF374" s="266">
        <v>30583.136514743815</v>
      </c>
      <c r="AG374" s="265">
        <v>66292.993193469607</v>
      </c>
      <c r="AH374" s="265">
        <v>15665.363992590925</v>
      </c>
      <c r="AI374" s="265">
        <v>32067.736269340367</v>
      </c>
      <c r="AJ374" s="266">
        <v>30583.136514743815</v>
      </c>
      <c r="AK374" s="265">
        <v>67211.340823666251</v>
      </c>
      <c r="AL374" s="265">
        <v>15928.029767889175</v>
      </c>
      <c r="AM374" s="265">
        <v>32520.295925012331</v>
      </c>
      <c r="AN374" s="265">
        <v>31034.25485831988</v>
      </c>
      <c r="AO374" s="266">
        <v>146693.92137488764</v>
      </c>
      <c r="AP374" s="203"/>
      <c r="AQ374" s="264">
        <v>77159.685845456013</v>
      </c>
      <c r="AR374" s="265">
        <v>18004.925377685115</v>
      </c>
      <c r="AS374" s="265">
        <v>38163.706162494913</v>
      </c>
      <c r="AT374" s="265">
        <v>36913.708835114317</v>
      </c>
      <c r="AU374" s="266">
        <v>170242.02622075035</v>
      </c>
      <c r="AV374" s="203"/>
      <c r="AW374" s="324">
        <v>176821.59680447518</v>
      </c>
      <c r="AX374" s="203"/>
      <c r="AY374" s="377">
        <v>0</v>
      </c>
      <c r="AZ374" s="265">
        <v>0</v>
      </c>
      <c r="BA374" s="265">
        <v>170242.02622075035</v>
      </c>
      <c r="BB374" s="265">
        <v>1666.308288773231</v>
      </c>
      <c r="BC374" s="266">
        <v>168575.71793197712</v>
      </c>
      <c r="BD374" s="264">
        <v>1685.7571793197712</v>
      </c>
      <c r="BE374" s="265">
        <v>166889.96075265735</v>
      </c>
      <c r="BF374" s="357">
        <v>0.94383244902600905</v>
      </c>
      <c r="BG374" s="203"/>
      <c r="BJ374" s="458">
        <v>0.94383244902600905</v>
      </c>
      <c r="BK374" s="210"/>
      <c r="BL374" s="458"/>
      <c r="BM374" s="458"/>
      <c r="BN374" s="458"/>
      <c r="BQ374" s="203">
        <v>166053.91098517226</v>
      </c>
      <c r="BR374" s="458">
        <v>0.93910423831762158</v>
      </c>
      <c r="BT374" s="459" t="s">
        <v>900</v>
      </c>
      <c r="BU374" s="460" t="s">
        <v>900</v>
      </c>
      <c r="BV374" s="461">
        <v>166889.96075265735</v>
      </c>
      <c r="BX374" s="462">
        <v>25596.39956653642</v>
      </c>
      <c r="BY374" s="463">
        <v>0.18116275433523019</v>
      </c>
      <c r="BZ374" s="461">
        <v>183.21924422285008</v>
      </c>
      <c r="CB374" s="203" t="s">
        <v>900</v>
      </c>
      <c r="CC374" s="203">
        <v>2692.5934189450195</v>
      </c>
      <c r="CD374" s="203" t="e">
        <v>#VALUE!</v>
      </c>
      <c r="CE374" s="203" t="s">
        <v>900</v>
      </c>
      <c r="CF374" s="203" t="e">
        <v>#VALUE!</v>
      </c>
      <c r="CH374" s="199"/>
      <c r="CJ374" s="464" t="s">
        <v>1448</v>
      </c>
      <c r="CK374" s="464" t="s">
        <v>1447</v>
      </c>
      <c r="CL374" s="464" t="s">
        <v>1448</v>
      </c>
      <c r="CN374" s="464" t="s">
        <v>1447</v>
      </c>
      <c r="CO374" s="464" t="s">
        <v>1447</v>
      </c>
      <c r="CP374" s="464" t="s">
        <v>1447</v>
      </c>
      <c r="CQ374" s="464" t="s">
        <v>1447</v>
      </c>
      <c r="CS374" s="465">
        <v>0</v>
      </c>
      <c r="CT374" s="466">
        <v>0.9</v>
      </c>
      <c r="CU374" s="466">
        <v>0</v>
      </c>
      <c r="CV374" s="467">
        <v>0.9</v>
      </c>
    </row>
    <row r="375" spans="1:100" s="48" customFormat="1" outlineLevel="1" x14ac:dyDescent="0.3">
      <c r="A375" s="202">
        <v>88755000</v>
      </c>
      <c r="B375" s="48">
        <v>400075</v>
      </c>
      <c r="C375" s="48">
        <v>4385</v>
      </c>
      <c r="D375" s="48" t="s">
        <v>450</v>
      </c>
      <c r="E375" s="48" t="s">
        <v>5</v>
      </c>
      <c r="F375" s="48" t="s">
        <v>1498</v>
      </c>
      <c r="G375" s="48" t="s">
        <v>1499</v>
      </c>
      <c r="H375" s="48" t="s">
        <v>1515</v>
      </c>
      <c r="O375" s="454" t="s">
        <v>900</v>
      </c>
      <c r="P375" s="455" t="s">
        <v>900</v>
      </c>
      <c r="Q375" s="347" t="s">
        <v>900</v>
      </c>
      <c r="R375" s="455">
        <v>384</v>
      </c>
      <c r="S375" s="457">
        <v>203</v>
      </c>
      <c r="T375" s="455"/>
      <c r="U375" s="454">
        <v>384</v>
      </c>
      <c r="V375" s="455">
        <v>119.15900675334208</v>
      </c>
      <c r="W375" s="230">
        <v>0.31030991342016168</v>
      </c>
      <c r="X375" s="264" t="s">
        <v>900</v>
      </c>
      <c r="Y375" s="265" t="s">
        <v>900</v>
      </c>
      <c r="Z375" s="265" t="s">
        <v>900</v>
      </c>
      <c r="AA375" s="265" t="s">
        <v>900</v>
      </c>
      <c r="AB375" s="266" t="s">
        <v>900</v>
      </c>
      <c r="AC375" s="265">
        <v>56544.023606194656</v>
      </c>
      <c r="AD375" s="265">
        <v>13361.633993680492</v>
      </c>
      <c r="AE375" s="265">
        <v>27351.89270031972</v>
      </c>
      <c r="AF375" s="266">
        <v>26085.616439046193</v>
      </c>
      <c r="AG375" s="265">
        <v>56544.023606194656</v>
      </c>
      <c r="AH375" s="265">
        <v>13361.633993680492</v>
      </c>
      <c r="AI375" s="265">
        <v>27351.89270031972</v>
      </c>
      <c r="AJ375" s="266">
        <v>26085.616439046193</v>
      </c>
      <c r="AK375" s="265">
        <v>57462.371236391293</v>
      </c>
      <c r="AL375" s="265">
        <v>13624.299768978743</v>
      </c>
      <c r="AM375" s="265">
        <v>27804.452355991685</v>
      </c>
      <c r="AN375" s="265">
        <v>26536.734782622258</v>
      </c>
      <c r="AO375" s="266">
        <v>125427.85814398398</v>
      </c>
      <c r="AP375" s="203"/>
      <c r="AQ375" s="264">
        <v>56589.573334108514</v>
      </c>
      <c r="AR375" s="265">
        <v>13191.691055009116</v>
      </c>
      <c r="AS375" s="265">
        <v>27419.347338827622</v>
      </c>
      <c r="AT375" s="265">
        <v>25470.703942380689</v>
      </c>
      <c r="AU375" s="266">
        <v>122671.31567032593</v>
      </c>
      <c r="AV375" s="203"/>
      <c r="AW375" s="324">
        <v>109858.74572688247</v>
      </c>
      <c r="AX375" s="203"/>
      <c r="AY375" s="377">
        <v>0</v>
      </c>
      <c r="AZ375" s="265">
        <v>11572.458469821999</v>
      </c>
      <c r="BA375" s="265">
        <v>111098.85720050393</v>
      </c>
      <c r="BB375" s="265">
        <v>1087.4221291655942</v>
      </c>
      <c r="BC375" s="266">
        <v>110011.43507133833</v>
      </c>
      <c r="BD375" s="264">
        <v>1100.1143507133834</v>
      </c>
      <c r="BE375" s="265">
        <v>108911.32072062495</v>
      </c>
      <c r="BF375" s="357">
        <v>0.9913759710254394</v>
      </c>
      <c r="BG375" s="203"/>
      <c r="BJ375" s="458">
        <v>0.9913759710254394</v>
      </c>
      <c r="BK375" s="210"/>
      <c r="BL375" s="458"/>
      <c r="BM375" s="458"/>
      <c r="BN375" s="458"/>
      <c r="BQ375" s="203">
        <v>108365.71999093263</v>
      </c>
      <c r="BR375" s="458">
        <v>0.98640958691025282</v>
      </c>
      <c r="BT375" s="459" t="s">
        <v>900</v>
      </c>
      <c r="BU375" s="460" t="s">
        <v>900</v>
      </c>
      <c r="BV375" s="461">
        <v>108911.32072062495</v>
      </c>
      <c r="BX375" s="462">
        <v>-6787.9737939817715</v>
      </c>
      <c r="BY375" s="463">
        <v>-5.8670778567696438E-2</v>
      </c>
      <c r="BZ375" s="461">
        <v>-56.965679548108412</v>
      </c>
      <c r="CB375" s="203">
        <v>3695</v>
      </c>
      <c r="CC375" s="203">
        <v>5976.1860939263879</v>
      </c>
      <c r="CD375" s="203" t="e">
        <v>#VALUE!</v>
      </c>
      <c r="CE375" s="203" t="s">
        <v>900</v>
      </c>
      <c r="CF375" s="203" t="e">
        <v>#VALUE!</v>
      </c>
      <c r="CH375" s="199"/>
      <c r="CJ375" s="464" t="s">
        <v>1448</v>
      </c>
      <c r="CK375" s="464" t="s">
        <v>1447</v>
      </c>
      <c r="CL375" s="464" t="s">
        <v>1448</v>
      </c>
      <c r="CN375" s="464" t="s">
        <v>1447</v>
      </c>
      <c r="CO375" s="464" t="s">
        <v>1447</v>
      </c>
      <c r="CP375" s="464" t="s">
        <v>1447</v>
      </c>
      <c r="CQ375" s="464" t="s">
        <v>1447</v>
      </c>
      <c r="CS375" s="465">
        <v>0</v>
      </c>
      <c r="CT375" s="466">
        <v>0</v>
      </c>
      <c r="CU375" s="466">
        <v>0.95</v>
      </c>
      <c r="CV375" s="467">
        <v>0.95</v>
      </c>
    </row>
    <row r="376" spans="1:100" s="48" customFormat="1" outlineLevel="1" x14ac:dyDescent="0.3">
      <c r="A376" s="202">
        <v>108796000</v>
      </c>
      <c r="D376" s="48" t="s">
        <v>1540</v>
      </c>
      <c r="E376" s="48" t="s">
        <v>5</v>
      </c>
      <c r="F376" s="48" t="s">
        <v>900</v>
      </c>
      <c r="G376" s="48" t="s">
        <v>900</v>
      </c>
      <c r="H376" s="48" t="s">
        <v>900</v>
      </c>
      <c r="O376" s="454" t="s">
        <v>900</v>
      </c>
      <c r="P376" s="455" t="s">
        <v>900</v>
      </c>
      <c r="Q376" s="347" t="s">
        <v>900</v>
      </c>
      <c r="R376" s="455">
        <v>401.40801378716071</v>
      </c>
      <c r="S376" s="457">
        <v>160.66867729426971</v>
      </c>
      <c r="T376" s="455"/>
      <c r="U376" s="454">
        <v>401.40801378716071</v>
      </c>
      <c r="V376" s="455">
        <v>94.310935974179429</v>
      </c>
      <c r="W376" s="230">
        <v>0.23495030675741838</v>
      </c>
      <c r="X376" s="264"/>
      <c r="Y376" s="265"/>
      <c r="Z376" s="265"/>
      <c r="AA376" s="265"/>
      <c r="AB376" s="266"/>
      <c r="AC376" s="265">
        <v>44752.972816272202</v>
      </c>
      <c r="AD376" s="265">
        <v>10575.350050516232</v>
      </c>
      <c r="AE376" s="265">
        <v>21648.238530320989</v>
      </c>
      <c r="AF376" s="266">
        <v>20646.017190478866</v>
      </c>
      <c r="AG376" s="265">
        <v>44752.972816272202</v>
      </c>
      <c r="AH376" s="265">
        <v>10575.350050516232</v>
      </c>
      <c r="AI376" s="265">
        <v>21648.238530320989</v>
      </c>
      <c r="AJ376" s="266">
        <v>20646.017190478866</v>
      </c>
      <c r="AK376" s="265">
        <v>45671.320446468839</v>
      </c>
      <c r="AL376" s="265">
        <v>10838.015825814482</v>
      </c>
      <c r="AM376" s="265">
        <v>22100.798185992953</v>
      </c>
      <c r="AN376" s="265">
        <v>21097.135534054931</v>
      </c>
      <c r="AO376" s="266">
        <v>99707.269992331203</v>
      </c>
      <c r="AP376" s="203"/>
      <c r="AQ376" s="264">
        <v>0</v>
      </c>
      <c r="AR376" s="265">
        <v>0</v>
      </c>
      <c r="AS376" s="265">
        <v>0</v>
      </c>
      <c r="AT376" s="265">
        <v>0</v>
      </c>
      <c r="AU376" s="266">
        <v>0</v>
      </c>
      <c r="AV376" s="203"/>
      <c r="AW376" s="324">
        <v>0</v>
      </c>
      <c r="AX376" s="203"/>
      <c r="AY376" s="377">
        <v>0</v>
      </c>
      <c r="AZ376" s="265">
        <v>0</v>
      </c>
      <c r="BA376" s="265">
        <v>0</v>
      </c>
      <c r="BB376" s="265">
        <v>0</v>
      </c>
      <c r="BC376" s="266">
        <v>0</v>
      </c>
      <c r="BD376" s="264">
        <v>0</v>
      </c>
      <c r="BE376" s="265">
        <v>0</v>
      </c>
      <c r="BF376" s="357" t="s">
        <v>1450</v>
      </c>
      <c r="BG376" s="203"/>
      <c r="BJ376" s="458"/>
      <c r="BK376" s="210"/>
      <c r="BL376" s="458"/>
      <c r="BM376" s="458"/>
      <c r="BN376" s="458"/>
      <c r="BQ376" s="203">
        <v>0</v>
      </c>
      <c r="BR376" s="458"/>
      <c r="BT376" s="459">
        <v>0</v>
      </c>
      <c r="BU376" s="460"/>
      <c r="BV376" s="461">
        <v>0</v>
      </c>
      <c r="BX376" s="462">
        <v>-95395.294033193815</v>
      </c>
      <c r="BY376" s="463">
        <v>-1.0000285644773093</v>
      </c>
      <c r="BZ376" s="461">
        <v>-1011.4976916283734</v>
      </c>
      <c r="CB376" s="203" t="s">
        <v>900</v>
      </c>
      <c r="CC376" s="203">
        <v>1904.6543740256859</v>
      </c>
      <c r="CD376" s="203" t="e">
        <v>#VALUE!</v>
      </c>
      <c r="CE376" s="203" t="s">
        <v>900</v>
      </c>
      <c r="CF376" s="203" t="e">
        <v>#VALUE!</v>
      </c>
      <c r="CH376" s="199"/>
      <c r="CJ376" s="464" t="s">
        <v>1448</v>
      </c>
      <c r="CK376" s="464" t="s">
        <v>1447</v>
      </c>
      <c r="CL376" s="464" t="s">
        <v>1448</v>
      </c>
      <c r="CN376" s="464" t="s">
        <v>1447</v>
      </c>
      <c r="CO376" s="464" t="s">
        <v>1447</v>
      </c>
      <c r="CP376" s="464" t="s">
        <v>1447</v>
      </c>
      <c r="CQ376" s="464" t="s">
        <v>1447</v>
      </c>
      <c r="CS376" s="465">
        <v>0</v>
      </c>
      <c r="CT376" s="466">
        <v>0.9</v>
      </c>
      <c r="CU376" s="466">
        <v>0</v>
      </c>
      <c r="CV376" s="467">
        <v>0.9</v>
      </c>
    </row>
    <row r="377" spans="1:100" s="469" customFormat="1" outlineLevel="1" x14ac:dyDescent="0.3">
      <c r="A377" s="468"/>
      <c r="D377" s="469" t="s">
        <v>878</v>
      </c>
      <c r="E377" s="469" t="s">
        <v>900</v>
      </c>
      <c r="F377" s="469" t="s">
        <v>900</v>
      </c>
      <c r="G377" s="469" t="s">
        <v>900</v>
      </c>
      <c r="H377" s="469" t="s">
        <v>900</v>
      </c>
      <c r="I377" s="469">
        <v>0</v>
      </c>
      <c r="J377" s="469">
        <v>0</v>
      </c>
      <c r="K377" s="469">
        <v>0</v>
      </c>
      <c r="L377" s="469">
        <v>0</v>
      </c>
      <c r="M377" s="469">
        <v>0</v>
      </c>
      <c r="N377" s="469">
        <v>0</v>
      </c>
      <c r="O377" s="470">
        <v>0</v>
      </c>
      <c r="P377" s="471">
        <v>0</v>
      </c>
      <c r="Q377" s="846"/>
      <c r="R377" s="471">
        <v>4049.4080137871606</v>
      </c>
      <c r="S377" s="472">
        <v>2023.6686772942696</v>
      </c>
      <c r="T377" s="471"/>
      <c r="U377" s="470">
        <v>4049.4080137871606</v>
      </c>
      <c r="V377" s="471">
        <v>1187.8736432720923</v>
      </c>
      <c r="W377" s="473"/>
      <c r="X377" s="474"/>
      <c r="Y377" s="475"/>
      <c r="Z377" s="475"/>
      <c r="AA377" s="475"/>
      <c r="AB377" s="476"/>
      <c r="AC377" s="475">
        <v>563676.69684750692</v>
      </c>
      <c r="AD377" s="475">
        <v>133199.60684966281</v>
      </c>
      <c r="AE377" s="475">
        <v>272665.85478990542</v>
      </c>
      <c r="AF377" s="476">
        <v>260042.58579118358</v>
      </c>
      <c r="AG377" s="475"/>
      <c r="AH377" s="475"/>
      <c r="AI377" s="475"/>
      <c r="AJ377" s="476"/>
      <c r="AK377" s="475"/>
      <c r="AL377" s="475"/>
      <c r="AM377" s="475"/>
      <c r="AN377" s="475"/>
      <c r="AO377" s="476"/>
      <c r="AQ377" s="474"/>
      <c r="AR377" s="475"/>
      <c r="AS377" s="475"/>
      <c r="AT377" s="475"/>
      <c r="AU377" s="476"/>
      <c r="AW377" s="477"/>
      <c r="AY377" s="847"/>
      <c r="AZ377" s="475"/>
      <c r="BA377" s="475"/>
      <c r="BB377" s="475"/>
      <c r="BC377" s="476"/>
      <c r="BD377" s="474"/>
      <c r="BE377" s="475"/>
      <c r="BF377" s="478" t="s">
        <v>1450</v>
      </c>
      <c r="BJ377" s="479"/>
      <c r="BK377" s="480"/>
      <c r="BL377" s="479"/>
      <c r="BM377" s="479"/>
      <c r="BN377" s="479"/>
      <c r="BQ377" s="481"/>
      <c r="BR377" s="479"/>
      <c r="BT377" s="482">
        <v>0</v>
      </c>
      <c r="BU377" s="483"/>
      <c r="BV377" s="484"/>
      <c r="BX377" s="485"/>
      <c r="BY377" s="486" t="s">
        <v>900</v>
      </c>
      <c r="BZ377" s="484">
        <v>0</v>
      </c>
      <c r="CB377" s="481"/>
      <c r="CE377" s="481"/>
      <c r="CH377" s="199"/>
      <c r="CJ377" s="487" t="s">
        <v>1450</v>
      </c>
      <c r="CK377" s="487" t="s">
        <v>1448</v>
      </c>
      <c r="CL377" s="487" t="s">
        <v>1448</v>
      </c>
      <c r="CN377" s="487" t="s">
        <v>1448</v>
      </c>
      <c r="CO377" s="487" t="s">
        <v>1450</v>
      </c>
      <c r="CP377" s="487" t="s">
        <v>1450</v>
      </c>
      <c r="CQ377" s="487" t="s">
        <v>1450</v>
      </c>
      <c r="CS377" s="488">
        <v>0.85</v>
      </c>
      <c r="CT377" s="489">
        <v>0</v>
      </c>
      <c r="CU377" s="489">
        <v>0</v>
      </c>
      <c r="CV377" s="490">
        <v>0.85</v>
      </c>
    </row>
    <row r="378" spans="1:100" s="492" customFormat="1" outlineLevel="1" x14ac:dyDescent="0.3">
      <c r="A378" s="491" t="s">
        <v>880</v>
      </c>
      <c r="B378" s="492">
        <v>0.58699018105094625</v>
      </c>
      <c r="D378" s="492" t="s">
        <v>879</v>
      </c>
      <c r="E378" s="492" t="s">
        <v>900</v>
      </c>
      <c r="F378" s="492" t="s">
        <v>900</v>
      </c>
      <c r="G378" s="492" t="s">
        <v>900</v>
      </c>
      <c r="H378" s="492" t="s">
        <v>900</v>
      </c>
      <c r="I378" s="492">
        <v>8406</v>
      </c>
      <c r="J378" s="492">
        <v>0</v>
      </c>
      <c r="K378" s="492">
        <v>0</v>
      </c>
      <c r="L378" s="492">
        <v>293</v>
      </c>
      <c r="M378" s="492">
        <v>0</v>
      </c>
      <c r="N378" s="492">
        <v>8406</v>
      </c>
      <c r="O378" s="493">
        <v>28926</v>
      </c>
      <c r="P378" s="494">
        <v>8699</v>
      </c>
      <c r="Q378" s="848"/>
      <c r="R378" s="494">
        <v>23266.408013787161</v>
      </c>
      <c r="S378" s="495">
        <v>14819.66867729427</v>
      </c>
      <c r="T378" s="494"/>
      <c r="U378" s="493">
        <v>28926.000000000004</v>
      </c>
      <c r="V378" s="494">
        <v>8699</v>
      </c>
      <c r="W378" s="496"/>
      <c r="X378" s="497">
        <v>4127899.9779552249</v>
      </c>
      <c r="Y378" s="498">
        <v>975443.29445131589</v>
      </c>
      <c r="Z378" s="498">
        <v>1996778.2636238518</v>
      </c>
      <c r="AA378" s="498">
        <v>1904335.9254662332</v>
      </c>
      <c r="AB378" s="499">
        <v>9004457.461496627</v>
      </c>
      <c r="AC378" s="498">
        <v>4127899.9779552245</v>
      </c>
      <c r="AD378" s="498">
        <v>975443.29445131589</v>
      </c>
      <c r="AE378" s="498">
        <v>1996778.263623852</v>
      </c>
      <c r="AF378" s="499">
        <v>1904335.9254662332</v>
      </c>
      <c r="AG378" s="498">
        <v>4111369.720611685</v>
      </c>
      <c r="AH378" s="498">
        <v>970715.31049594737</v>
      </c>
      <c r="AI378" s="498">
        <v>1988632.1898217567</v>
      </c>
      <c r="AJ378" s="499">
        <v>1896215.795281864</v>
      </c>
      <c r="AK378" s="498">
        <v>4127899.9779552249</v>
      </c>
      <c r="AL378" s="498">
        <v>975443.29445131589</v>
      </c>
      <c r="AM378" s="498">
        <v>1996778.263623852</v>
      </c>
      <c r="AN378" s="498">
        <v>1904335.9254662327</v>
      </c>
      <c r="AO378" s="499">
        <v>9004457.4614966214</v>
      </c>
      <c r="AP378" s="500"/>
      <c r="AQ378" s="497">
        <v>4043983.3289735639</v>
      </c>
      <c r="AR378" s="498">
        <v>944986.79724394006</v>
      </c>
      <c r="AS378" s="498">
        <v>1960863.2424163683</v>
      </c>
      <c r="AT378" s="498">
        <v>1870254.6691195744</v>
      </c>
      <c r="AU378" s="499">
        <v>8820088.0377534479</v>
      </c>
      <c r="AV378" s="500"/>
      <c r="AW378" s="501">
        <v>8943885.9955407772</v>
      </c>
      <c r="AX378" s="500"/>
      <c r="AY378" s="849">
        <v>0</v>
      </c>
      <c r="AZ378" s="498">
        <v>107256.6027776923</v>
      </c>
      <c r="BA378" s="498">
        <v>8712831.4349757545</v>
      </c>
      <c r="BB378" s="498">
        <v>85280.13652726647</v>
      </c>
      <c r="BC378" s="499">
        <v>8627551.2984484881</v>
      </c>
      <c r="BD378" s="497">
        <v>86275.5129844849</v>
      </c>
      <c r="BE378" s="498">
        <v>8541275.7854640037</v>
      </c>
      <c r="BF378" s="502">
        <v>0.95498486784407743</v>
      </c>
      <c r="BG378" s="500"/>
      <c r="BJ378" s="503"/>
      <c r="BK378" s="504"/>
      <c r="BL378" s="503"/>
      <c r="BM378" s="503"/>
      <c r="BN378" s="503"/>
      <c r="BO378" s="500">
        <v>41893.176564129499</v>
      </c>
      <c r="BP378" s="500">
        <v>220567.99674961084</v>
      </c>
      <c r="BQ378" s="500">
        <v>8541275.7854640037</v>
      </c>
      <c r="BR378" s="503"/>
      <c r="BT378" s="497">
        <v>0</v>
      </c>
      <c r="BU378" s="498">
        <v>0</v>
      </c>
      <c r="BV378" s="499">
        <v>8541275.7854640037</v>
      </c>
      <c r="BX378" s="506"/>
      <c r="BY378" s="507" t="s">
        <v>900</v>
      </c>
      <c r="BZ378" s="505">
        <v>0</v>
      </c>
      <c r="CB378" s="500"/>
      <c r="CE378" s="500"/>
      <c r="CH378" s="395"/>
      <c r="CJ378" s="487" t="s">
        <v>1450</v>
      </c>
      <c r="CK378" s="487" t="s">
        <v>1448</v>
      </c>
      <c r="CL378" s="508" t="s">
        <v>1448</v>
      </c>
      <c r="CN378" s="487" t="s">
        <v>1448</v>
      </c>
      <c r="CO378" s="487" t="s">
        <v>1450</v>
      </c>
      <c r="CP378" s="487" t="s">
        <v>1450</v>
      </c>
      <c r="CQ378" s="487" t="s">
        <v>1450</v>
      </c>
      <c r="CS378" s="488">
        <v>0.85</v>
      </c>
      <c r="CT378" s="489">
        <v>0</v>
      </c>
      <c r="CU378" s="489">
        <v>0</v>
      </c>
      <c r="CV378" s="490">
        <v>0.85</v>
      </c>
    </row>
    <row r="379" spans="1:100" s="469" customFormat="1" outlineLevel="1" x14ac:dyDescent="0.3">
      <c r="A379" s="468"/>
      <c r="E379" s="469" t="s">
        <v>900</v>
      </c>
      <c r="F379" s="469" t="s">
        <v>900</v>
      </c>
      <c r="G379" s="469" t="s">
        <v>900</v>
      </c>
      <c r="H379" s="469" t="s">
        <v>900</v>
      </c>
      <c r="O379" s="470"/>
      <c r="P379" s="471"/>
      <c r="Q379" s="846"/>
      <c r="R379" s="471"/>
      <c r="S379" s="472"/>
      <c r="T379" s="471"/>
      <c r="U379" s="470"/>
      <c r="V379" s="471"/>
      <c r="W379" s="473"/>
      <c r="X379" s="474">
        <v>474.52580502991435</v>
      </c>
      <c r="Y379" s="475">
        <v>112.13280773092492</v>
      </c>
      <c r="Z379" s="475">
        <v>229.54112698285456</v>
      </c>
      <c r="AA379" s="475">
        <v>218.91434940409624</v>
      </c>
      <c r="AB379" s="476" t="s">
        <v>900</v>
      </c>
      <c r="AC379" s="475"/>
      <c r="AD379" s="475"/>
      <c r="AE379" s="475"/>
      <c r="AF379" s="476"/>
      <c r="AG379" s="475">
        <v>918.34763019663899</v>
      </c>
      <c r="AH379" s="475">
        <v>262.66577529825088</v>
      </c>
      <c r="AI379" s="475">
        <v>452.55965567196512</v>
      </c>
      <c r="AJ379" s="476">
        <v>451.11834357606455</v>
      </c>
      <c r="AK379" s="475"/>
      <c r="AL379" s="475"/>
      <c r="AM379" s="475"/>
      <c r="AN379" s="475"/>
      <c r="AO379" s="476"/>
      <c r="AQ379" s="474"/>
      <c r="AR379" s="475"/>
      <c r="AS379" s="475"/>
      <c r="AT379" s="475"/>
      <c r="AU379" s="476"/>
      <c r="AW379" s="477"/>
      <c r="AY379" s="847"/>
      <c r="AZ379" s="475"/>
      <c r="BA379" s="475"/>
      <c r="BB379" s="475"/>
      <c r="BC379" s="476"/>
      <c r="BD379" s="474"/>
      <c r="BE379" s="475"/>
      <c r="BF379" s="478" t="s">
        <v>1450</v>
      </c>
      <c r="BJ379" s="479"/>
      <c r="BK379" s="480"/>
      <c r="BL379" s="479"/>
      <c r="BM379" s="479"/>
      <c r="BN379" s="479"/>
      <c r="BQ379" s="481"/>
      <c r="BR379" s="479"/>
      <c r="BT379" s="482">
        <v>0</v>
      </c>
      <c r="BU379" s="483"/>
      <c r="BV379" s="484"/>
      <c r="BX379" s="485"/>
      <c r="BY379" s="486" t="s">
        <v>900</v>
      </c>
      <c r="BZ379" s="484" t="s">
        <v>900</v>
      </c>
      <c r="CB379" s="481"/>
      <c r="CE379" s="481"/>
      <c r="CH379" s="199"/>
      <c r="CJ379" s="487" t="s">
        <v>1450</v>
      </c>
      <c r="CK379" s="487" t="s">
        <v>1448</v>
      </c>
      <c r="CL379" s="487" t="s">
        <v>1448</v>
      </c>
      <c r="CN379" s="487" t="s">
        <v>1448</v>
      </c>
      <c r="CO379" s="487" t="s">
        <v>1450</v>
      </c>
      <c r="CP379" s="487" t="s">
        <v>1450</v>
      </c>
      <c r="CQ379" s="487" t="s">
        <v>1450</v>
      </c>
      <c r="CS379" s="488">
        <v>0.85</v>
      </c>
      <c r="CT379" s="489">
        <v>0</v>
      </c>
      <c r="CU379" s="489">
        <v>0</v>
      </c>
      <c r="CV379" s="490">
        <v>0.85</v>
      </c>
    </row>
    <row r="380" spans="1:100" s="199" customFormat="1" outlineLevel="1" x14ac:dyDescent="0.3">
      <c r="A380" s="201"/>
      <c r="E380" s="199" t="s">
        <v>900</v>
      </c>
      <c r="F380" s="199" t="s">
        <v>900</v>
      </c>
      <c r="G380" s="199" t="s">
        <v>900</v>
      </c>
      <c r="H380" s="199" t="s">
        <v>900</v>
      </c>
      <c r="O380" s="509" t="s">
        <v>900</v>
      </c>
      <c r="P380" s="510" t="s">
        <v>900</v>
      </c>
      <c r="Q380" s="349" t="s">
        <v>900</v>
      </c>
      <c r="R380" s="510" t="s">
        <v>900</v>
      </c>
      <c r="S380" s="512" t="s">
        <v>900</v>
      </c>
      <c r="T380" s="510"/>
      <c r="U380" s="509"/>
      <c r="V380" s="510"/>
      <c r="W380" s="232"/>
      <c r="X380" s="270" t="s">
        <v>900</v>
      </c>
      <c r="Y380" s="271" t="s">
        <v>900</v>
      </c>
      <c r="Z380" s="271" t="s">
        <v>900</v>
      </c>
      <c r="AA380" s="271" t="s">
        <v>900</v>
      </c>
      <c r="AB380" s="272" t="s">
        <v>900</v>
      </c>
      <c r="AC380" s="271"/>
      <c r="AD380" s="271"/>
      <c r="AE380" s="271"/>
      <c r="AF380" s="272"/>
      <c r="AG380" s="271"/>
      <c r="AH380" s="271"/>
      <c r="AI380" s="271"/>
      <c r="AJ380" s="272"/>
      <c r="AK380" s="271"/>
      <c r="AL380" s="271"/>
      <c r="AM380" s="271"/>
      <c r="AN380" s="271"/>
      <c r="AO380" s="272"/>
      <c r="AQ380" s="270"/>
      <c r="AR380" s="271"/>
      <c r="AS380" s="271"/>
      <c r="AT380" s="271"/>
      <c r="AU380" s="272"/>
      <c r="AW380" s="326"/>
      <c r="AY380" s="378"/>
      <c r="AZ380" s="271"/>
      <c r="BA380" s="271"/>
      <c r="BB380" s="271"/>
      <c r="BC380" s="272"/>
      <c r="BD380" s="270"/>
      <c r="BE380" s="271"/>
      <c r="BF380" s="363" t="s">
        <v>1450</v>
      </c>
      <c r="BJ380" s="513"/>
      <c r="BK380" s="221"/>
      <c r="BL380" s="513"/>
      <c r="BM380" s="513"/>
      <c r="BN380" s="513"/>
      <c r="BQ380" s="200"/>
      <c r="BR380" s="513"/>
      <c r="BT380" s="514">
        <v>0</v>
      </c>
      <c r="BU380" s="515"/>
      <c r="BV380" s="516"/>
      <c r="BX380" s="517"/>
      <c r="BY380" s="518" t="s">
        <v>900</v>
      </c>
      <c r="BZ380" s="516" t="s">
        <v>900</v>
      </c>
      <c r="CB380" s="200"/>
      <c r="CE380" s="200"/>
      <c r="CJ380" s="519" t="s">
        <v>1450</v>
      </c>
      <c r="CK380" s="519" t="s">
        <v>1448</v>
      </c>
      <c r="CL380" s="519" t="s">
        <v>1448</v>
      </c>
      <c r="CN380" s="519" t="s">
        <v>1448</v>
      </c>
      <c r="CO380" s="519" t="s">
        <v>1450</v>
      </c>
      <c r="CP380" s="519" t="s">
        <v>1450</v>
      </c>
      <c r="CQ380" s="519" t="s">
        <v>1450</v>
      </c>
      <c r="CS380" s="520">
        <v>0.85</v>
      </c>
      <c r="CT380" s="521">
        <v>0</v>
      </c>
      <c r="CU380" s="521">
        <v>0</v>
      </c>
      <c r="CV380" s="522">
        <v>0.85</v>
      </c>
    </row>
    <row r="381" spans="1:100" outlineLevel="1" x14ac:dyDescent="0.3">
      <c r="A381" s="1">
        <v>90202000</v>
      </c>
      <c r="B381" s="47">
        <v>404010</v>
      </c>
      <c r="C381" s="47">
        <v>4388</v>
      </c>
      <c r="D381" s="47" t="s">
        <v>223</v>
      </c>
      <c r="E381" s="47" t="s">
        <v>73</v>
      </c>
      <c r="F381" s="47" t="s">
        <v>1501</v>
      </c>
      <c r="G381" s="47" t="s">
        <v>1502</v>
      </c>
      <c r="H381" s="47" t="s">
        <v>1500</v>
      </c>
      <c r="I381" s="382">
        <v>208</v>
      </c>
      <c r="J381" s="382">
        <v>0</v>
      </c>
      <c r="K381" s="382">
        <v>0</v>
      </c>
      <c r="L381" s="382">
        <v>2</v>
      </c>
      <c r="M381" s="382">
        <v>0</v>
      </c>
      <c r="N381" s="382">
        <v>208</v>
      </c>
      <c r="O381" s="444">
        <v>430</v>
      </c>
      <c r="P381" s="445">
        <v>210</v>
      </c>
      <c r="Q381" s="346">
        <v>0.48837209302325579</v>
      </c>
      <c r="R381" s="445">
        <v>380</v>
      </c>
      <c r="S381" s="447">
        <v>204</v>
      </c>
      <c r="T381" s="445">
        <v>-2.2835264201035947</v>
      </c>
      <c r="U381" s="444">
        <v>426.64362056655926</v>
      </c>
      <c r="V381" s="445">
        <v>207.71647357989642</v>
      </c>
      <c r="W381" s="229">
        <v>0.48686178244985912</v>
      </c>
      <c r="X381" s="261">
        <v>96854.369205804003</v>
      </c>
      <c r="Y381" s="262">
        <v>22950.542491662723</v>
      </c>
      <c r="Z381" s="262">
        <v>63021.277996220146</v>
      </c>
      <c r="AA381" s="262">
        <v>56419.562327519721</v>
      </c>
      <c r="AB381" s="263">
        <v>239245.7520212066</v>
      </c>
      <c r="AC381" s="262">
        <v>95780.921543467921</v>
      </c>
      <c r="AD381" s="262">
        <v>22694.420471612193</v>
      </c>
      <c r="AE381" s="262">
        <v>62269.844764261536</v>
      </c>
      <c r="AF381" s="263">
        <v>55723.228088142067</v>
      </c>
      <c r="AG381" s="262">
        <v>95780.921543467921</v>
      </c>
      <c r="AH381" s="262">
        <v>22694.420471612193</v>
      </c>
      <c r="AI381" s="262">
        <v>62269.844764261536</v>
      </c>
      <c r="AJ381" s="263">
        <v>55723.228088142067</v>
      </c>
      <c r="AK381" s="262">
        <v>95780.921543467921</v>
      </c>
      <c r="AL381" s="262">
        <v>22694.420471612193</v>
      </c>
      <c r="AM381" s="262">
        <v>62269.844764261536</v>
      </c>
      <c r="AN381" s="262">
        <v>55723.228088142067</v>
      </c>
      <c r="AO381" s="263">
        <v>236468.41486748372</v>
      </c>
      <c r="AP381" s="31"/>
      <c r="AQ381" s="261">
        <v>94326.101883173294</v>
      </c>
      <c r="AR381" s="262">
        <v>21973.81066259549</v>
      </c>
      <c r="AS381" s="262">
        <v>61407.377511545557</v>
      </c>
      <c r="AT381" s="262">
        <v>53484.72059479836</v>
      </c>
      <c r="AU381" s="263">
        <v>231192.01065211269</v>
      </c>
      <c r="AV381" s="31"/>
      <c r="AW381" s="323">
        <v>141349.76101218312</v>
      </c>
      <c r="AX381" s="31"/>
      <c r="AY381" s="747">
        <v>0</v>
      </c>
      <c r="AZ381" s="262">
        <v>21809.988155800092</v>
      </c>
      <c r="BA381" s="262">
        <v>209382.02249631259</v>
      </c>
      <c r="BB381" s="262">
        <v>2049.4058215290606</v>
      </c>
      <c r="BC381" s="263">
        <v>207332.61667478352</v>
      </c>
      <c r="BD381" s="261">
        <v>2073.3261667478355</v>
      </c>
      <c r="BE381" s="262">
        <v>205259.29050803569</v>
      </c>
      <c r="BF381" s="354">
        <v>1.4521375136272365</v>
      </c>
      <c r="BG381" s="31"/>
      <c r="BJ381" s="4">
        <v>1.4521375136272365</v>
      </c>
      <c r="BL381" s="4">
        <v>1.5451149707823277</v>
      </c>
      <c r="BM381" s="4">
        <v>0.95</v>
      </c>
      <c r="BN381" s="4" t="s">
        <v>900</v>
      </c>
      <c r="BO381" s="31" t="s">
        <v>900</v>
      </c>
      <c r="BP381" s="31" t="s">
        <v>900</v>
      </c>
      <c r="BQ381" s="31">
        <v>204985.36517801584</v>
      </c>
      <c r="BR381" s="4">
        <v>1.4501995879593166</v>
      </c>
      <c r="BS381" s="4" t="s">
        <v>900</v>
      </c>
      <c r="BT381" s="448" t="s">
        <v>900</v>
      </c>
      <c r="BU381" s="367" t="s">
        <v>900</v>
      </c>
      <c r="BV381" s="368">
        <v>205259.29050803569</v>
      </c>
      <c r="BX381" s="449">
        <v>-15377.66606980603</v>
      </c>
      <c r="BY381" s="450">
        <v>-6.969958144545417E-2</v>
      </c>
      <c r="BZ381" s="368">
        <v>-74.032000470541107</v>
      </c>
      <c r="CB381" s="31">
        <v>12118</v>
      </c>
      <c r="CC381" s="31">
        <v>15847.616114250897</v>
      </c>
      <c r="CD381" s="31" t="e">
        <v>#VALUE!</v>
      </c>
      <c r="CE381" s="31" t="s">
        <v>900</v>
      </c>
      <c r="CF381" s="31" t="e">
        <v>#VALUE!</v>
      </c>
      <c r="CJ381" s="702" t="s">
        <v>1447</v>
      </c>
      <c r="CK381" s="702" t="s">
        <v>1447</v>
      </c>
      <c r="CL381" s="702" t="s">
        <v>1448</v>
      </c>
      <c r="CN381" s="702" t="s">
        <v>1447</v>
      </c>
      <c r="CO381" s="702" t="s">
        <v>1447</v>
      </c>
      <c r="CP381" s="702" t="s">
        <v>1447</v>
      </c>
      <c r="CQ381" s="702" t="s">
        <v>1447</v>
      </c>
      <c r="CS381" s="451">
        <v>0</v>
      </c>
      <c r="CT381" s="452">
        <v>0</v>
      </c>
      <c r="CU381" s="452">
        <v>0.95</v>
      </c>
      <c r="CV381" s="453">
        <v>0.95</v>
      </c>
    </row>
    <row r="382" spans="1:100" outlineLevel="1" x14ac:dyDescent="0.3">
      <c r="A382" s="1">
        <v>90206000</v>
      </c>
      <c r="B382" s="47">
        <v>400026</v>
      </c>
      <c r="C382" s="47">
        <v>4392</v>
      </c>
      <c r="D382" s="47" t="s">
        <v>194</v>
      </c>
      <c r="E382" s="47" t="s">
        <v>73</v>
      </c>
      <c r="F382" s="47" t="s">
        <v>1498</v>
      </c>
      <c r="G382" s="47" t="s">
        <v>1499</v>
      </c>
      <c r="H382" s="47" t="s">
        <v>1500</v>
      </c>
      <c r="I382" s="382">
        <v>209</v>
      </c>
      <c r="J382" s="382">
        <v>0</v>
      </c>
      <c r="K382" s="382">
        <v>0</v>
      </c>
      <c r="L382" s="382">
        <v>2</v>
      </c>
      <c r="M382" s="382">
        <v>0</v>
      </c>
      <c r="N382" s="382">
        <v>209</v>
      </c>
      <c r="O382" s="444">
        <v>493</v>
      </c>
      <c r="P382" s="445">
        <v>211</v>
      </c>
      <c r="Q382" s="346">
        <v>0.42799188640973629</v>
      </c>
      <c r="R382" s="445">
        <v>420</v>
      </c>
      <c r="S382" s="447">
        <v>252</v>
      </c>
      <c r="T382" s="445">
        <v>-2.2945584686347602</v>
      </c>
      <c r="U382" s="444">
        <v>489.15187195189236</v>
      </c>
      <c r="V382" s="445">
        <v>208.70544153136524</v>
      </c>
      <c r="W382" s="229">
        <v>0.42666798084315871</v>
      </c>
      <c r="X382" s="261">
        <v>97315.580487736413</v>
      </c>
      <c r="Y382" s="262">
        <v>23059.830789242071</v>
      </c>
      <c r="Z382" s="262">
        <v>57182.252896676378</v>
      </c>
      <c r="AA382" s="262">
        <v>49007.164585619241</v>
      </c>
      <c r="AB382" s="263">
        <v>226564.8287592741</v>
      </c>
      <c r="AC382" s="262">
        <v>96237.021169865387</v>
      </c>
      <c r="AD382" s="262">
        <v>22802.489140524634</v>
      </c>
      <c r="AE382" s="262">
        <v>56500.441190042926</v>
      </c>
      <c r="AF382" s="263">
        <v>48402.314684840458</v>
      </c>
      <c r="AG382" s="262">
        <v>96237.021169865387</v>
      </c>
      <c r="AH382" s="262">
        <v>22802.489140524634</v>
      </c>
      <c r="AI382" s="262">
        <v>56500.441190042926</v>
      </c>
      <c r="AJ382" s="263">
        <v>48402.314684840458</v>
      </c>
      <c r="AK382" s="262">
        <v>96237.021169865387</v>
      </c>
      <c r="AL382" s="262">
        <v>22802.489140524634</v>
      </c>
      <c r="AM382" s="262">
        <v>56500.441190042926</v>
      </c>
      <c r="AN382" s="262">
        <v>48402.314684840458</v>
      </c>
      <c r="AO382" s="263">
        <v>223942.26618527342</v>
      </c>
      <c r="AP382" s="31"/>
      <c r="AQ382" s="261">
        <v>94775.273796902693</v>
      </c>
      <c r="AR382" s="262">
        <v>22078.4478562269</v>
      </c>
      <c r="AS382" s="262">
        <v>55717.882947367092</v>
      </c>
      <c r="AT382" s="262">
        <v>46457.902133115866</v>
      </c>
      <c r="AU382" s="263">
        <v>219029.50673361254</v>
      </c>
      <c r="AV382" s="31"/>
      <c r="AW382" s="323">
        <v>173188.79567085419</v>
      </c>
      <c r="AX382" s="31"/>
      <c r="AY382" s="747">
        <v>0</v>
      </c>
      <c r="AZ382" s="262">
        <v>20662.612579718785</v>
      </c>
      <c r="BA382" s="262">
        <v>198366.89415389375</v>
      </c>
      <c r="BB382" s="262">
        <v>1941.5910823231654</v>
      </c>
      <c r="BC382" s="263">
        <v>196425.30307157058</v>
      </c>
      <c r="BD382" s="261">
        <v>1964.2530307157058</v>
      </c>
      <c r="BE382" s="262">
        <v>194461.05004085487</v>
      </c>
      <c r="BF382" s="354">
        <v>1.1228269663034591</v>
      </c>
      <c r="BG382" s="31"/>
      <c r="BJ382" s="4">
        <v>1.1228269663034591</v>
      </c>
      <c r="BL382" s="4">
        <v>1.1943029181702673</v>
      </c>
      <c r="BM382" s="4">
        <v>0.95</v>
      </c>
      <c r="BN382" s="4" t="s">
        <v>900</v>
      </c>
      <c r="BO382" s="31" t="s">
        <v>900</v>
      </c>
      <c r="BP382" s="31" t="s">
        <v>900</v>
      </c>
      <c r="BQ382" s="31">
        <v>194201.5353208312</v>
      </c>
      <c r="BR382" s="4">
        <v>1.1213285164815845</v>
      </c>
      <c r="BS382" s="4" t="s">
        <v>900</v>
      </c>
      <c r="BT382" s="448" t="s">
        <v>900</v>
      </c>
      <c r="BU382" s="367" t="s">
        <v>900</v>
      </c>
      <c r="BV382" s="368">
        <v>194461.05004085487</v>
      </c>
      <c r="BX382" s="449">
        <v>-14491.712963555969</v>
      </c>
      <c r="BY382" s="450">
        <v>-6.9356889492937085E-2</v>
      </c>
      <c r="BZ382" s="368">
        <v>-69.436200883042545</v>
      </c>
      <c r="CB382" s="31">
        <v>25850</v>
      </c>
      <c r="CC382" s="31">
        <v>29658.891287049722</v>
      </c>
      <c r="CD382" s="31" t="e">
        <v>#VALUE!</v>
      </c>
      <c r="CE382" s="31" t="s">
        <v>900</v>
      </c>
      <c r="CF382" s="31" t="e">
        <v>#VALUE!</v>
      </c>
      <c r="CJ382" s="702" t="s">
        <v>1447</v>
      </c>
      <c r="CK382" s="702" t="s">
        <v>1447</v>
      </c>
      <c r="CL382" s="702" t="s">
        <v>1448</v>
      </c>
      <c r="CN382" s="702" t="s">
        <v>1447</v>
      </c>
      <c r="CO382" s="702" t="s">
        <v>1447</v>
      </c>
      <c r="CP382" s="702" t="s">
        <v>1447</v>
      </c>
      <c r="CQ382" s="702" t="s">
        <v>1447</v>
      </c>
      <c r="CS382" s="451">
        <v>0</v>
      </c>
      <c r="CT382" s="452">
        <v>0</v>
      </c>
      <c r="CU382" s="452">
        <v>0.95</v>
      </c>
      <c r="CV382" s="453">
        <v>0.95</v>
      </c>
    </row>
    <row r="383" spans="1:100" outlineLevel="1" x14ac:dyDescent="0.3">
      <c r="A383" s="1">
        <v>90225000</v>
      </c>
      <c r="B383" s="47">
        <v>401810</v>
      </c>
      <c r="C383" s="47">
        <v>4395</v>
      </c>
      <c r="D383" s="47" t="s">
        <v>97</v>
      </c>
      <c r="E383" s="47" t="s">
        <v>73</v>
      </c>
      <c r="F383" s="47" t="s">
        <v>1504</v>
      </c>
      <c r="G383" s="47" t="s">
        <v>1502</v>
      </c>
      <c r="H383" s="47" t="s">
        <v>1500</v>
      </c>
      <c r="I383" s="382">
        <v>713</v>
      </c>
      <c r="J383" s="382">
        <v>0</v>
      </c>
      <c r="K383" s="382">
        <v>0</v>
      </c>
      <c r="L383" s="382">
        <v>7</v>
      </c>
      <c r="M383" s="382">
        <v>0</v>
      </c>
      <c r="N383" s="382">
        <v>713</v>
      </c>
      <c r="O383" s="444">
        <v>1631</v>
      </c>
      <c r="P383" s="445">
        <v>720</v>
      </c>
      <c r="Q383" s="346">
        <v>0.44144696505211528</v>
      </c>
      <c r="R383" s="445">
        <v>149</v>
      </c>
      <c r="S383" s="447">
        <v>145</v>
      </c>
      <c r="T383" s="445">
        <v>-7.8268617423951046</v>
      </c>
      <c r="U383" s="444">
        <v>1618.2691747536237</v>
      </c>
      <c r="V383" s="445">
        <v>712.17313825760493</v>
      </c>
      <c r="W383" s="229">
        <v>0.44008323792364828</v>
      </c>
      <c r="X383" s="261">
        <v>360526.4407747566</v>
      </c>
      <c r="Y383" s="262">
        <v>92059.555586732036</v>
      </c>
      <c r="Z383" s="262">
        <v>223885.12126371881</v>
      </c>
      <c r="AA383" s="262">
        <v>249897.66586799835</v>
      </c>
      <c r="AB383" s="263">
        <v>926368.78349320579</v>
      </c>
      <c r="AC383" s="262">
        <v>356530.68644551543</v>
      </c>
      <c r="AD383" s="262">
        <v>91032.19515068164</v>
      </c>
      <c r="AE383" s="262">
        <v>221215.63048841699</v>
      </c>
      <c r="AF383" s="263">
        <v>246813.41115375064</v>
      </c>
      <c r="AG383" s="262">
        <v>356530.68644551543</v>
      </c>
      <c r="AH383" s="262">
        <v>91032.19515068164</v>
      </c>
      <c r="AI383" s="262">
        <v>221215.63048841699</v>
      </c>
      <c r="AJ383" s="263">
        <v>246813.41115375064</v>
      </c>
      <c r="AK383" s="262">
        <v>356530.68644551543</v>
      </c>
      <c r="AL383" s="262">
        <v>91032.19515068164</v>
      </c>
      <c r="AM383" s="262">
        <v>221215.63048841699</v>
      </c>
      <c r="AN383" s="262">
        <v>246813.41115375064</v>
      </c>
      <c r="AO383" s="263">
        <v>915591.92323836463</v>
      </c>
      <c r="AP383" s="31"/>
      <c r="AQ383" s="261">
        <v>352602.98672160011</v>
      </c>
      <c r="AR383" s="262">
        <v>89226.623548373333</v>
      </c>
      <c r="AS383" s="262">
        <v>219091.44127017233</v>
      </c>
      <c r="AT383" s="262">
        <v>244234.54890134459</v>
      </c>
      <c r="AU383" s="263">
        <v>905155.6004414903</v>
      </c>
      <c r="AV383" s="31"/>
      <c r="AW383" s="323">
        <v>934071.69023635297</v>
      </c>
      <c r="AX383" s="31"/>
      <c r="AY383" s="747">
        <v>0</v>
      </c>
      <c r="AZ383" s="262">
        <v>0</v>
      </c>
      <c r="BA383" s="262">
        <v>905155.6004414903</v>
      </c>
      <c r="BB383" s="262">
        <v>8859.5531498750879</v>
      </c>
      <c r="BC383" s="263">
        <v>896296.04729161516</v>
      </c>
      <c r="BD383" s="261">
        <v>8962.960472916151</v>
      </c>
      <c r="BE383" s="262">
        <v>887333.08681869903</v>
      </c>
      <c r="BF383" s="354">
        <v>0.94996250940243421</v>
      </c>
      <c r="BG383" s="31"/>
      <c r="BJ383" s="4">
        <v>0.94996250940243421</v>
      </c>
      <c r="BL383" s="4">
        <v>0.95</v>
      </c>
      <c r="BM383" s="4">
        <v>0.95</v>
      </c>
      <c r="BN383" s="4" t="s">
        <v>1003</v>
      </c>
      <c r="BO383" s="31">
        <v>35.018905836273916</v>
      </c>
      <c r="BP383" s="31">
        <v>887368.1057245353</v>
      </c>
      <c r="BQ383" s="31">
        <v>887368.1057245353</v>
      </c>
      <c r="BR383" s="4">
        <v>0.95</v>
      </c>
      <c r="BS383" s="4" t="s">
        <v>900</v>
      </c>
      <c r="BT383" s="448" t="s">
        <v>900</v>
      </c>
      <c r="BU383" s="367" t="s">
        <v>900</v>
      </c>
      <c r="BV383" s="368">
        <v>887333.08681869903</v>
      </c>
      <c r="BX383" s="449">
        <v>-16839.948681300972</v>
      </c>
      <c r="BY383" s="450">
        <v>-1.8624696844657201E-2</v>
      </c>
      <c r="BZ383" s="368">
        <v>-23.645863311415265</v>
      </c>
      <c r="CB383" s="31">
        <v>30181</v>
      </c>
      <c r="CC383" s="31">
        <v>43126.460407136612</v>
      </c>
      <c r="CD383" s="31" t="e">
        <v>#VALUE!</v>
      </c>
      <c r="CE383" s="31" t="s">
        <v>900</v>
      </c>
      <c r="CF383" s="31" t="e">
        <v>#VALUE!</v>
      </c>
      <c r="CJ383" s="702" t="s">
        <v>1447</v>
      </c>
      <c r="CK383" s="702" t="s">
        <v>1447</v>
      </c>
      <c r="CL383" s="702" t="s">
        <v>1448</v>
      </c>
      <c r="CN383" s="702" t="s">
        <v>1447</v>
      </c>
      <c r="CO383" s="702" t="s">
        <v>1447</v>
      </c>
      <c r="CP383" s="702" t="s">
        <v>1447</v>
      </c>
      <c r="CQ383" s="702" t="s">
        <v>1447</v>
      </c>
      <c r="CS383" s="451">
        <v>0</v>
      </c>
      <c r="CT383" s="452">
        <v>0</v>
      </c>
      <c r="CU383" s="452">
        <v>0.95</v>
      </c>
      <c r="CV383" s="453">
        <v>0.95</v>
      </c>
    </row>
    <row r="384" spans="1:100" outlineLevel="1" x14ac:dyDescent="0.3">
      <c r="A384" s="1">
        <v>90204000</v>
      </c>
      <c r="B384" s="47">
        <v>400023</v>
      </c>
      <c r="C384" s="47">
        <v>4390</v>
      </c>
      <c r="D384" s="47" t="s">
        <v>348</v>
      </c>
      <c r="E384" s="47" t="s">
        <v>73</v>
      </c>
      <c r="F384" s="47" t="s">
        <v>1503</v>
      </c>
      <c r="G384" s="47" t="s">
        <v>1502</v>
      </c>
      <c r="H384" s="47" t="s">
        <v>1500</v>
      </c>
      <c r="I384" s="382">
        <v>964</v>
      </c>
      <c r="J384" s="382">
        <v>0</v>
      </c>
      <c r="K384" s="382">
        <v>0</v>
      </c>
      <c r="L384" s="382">
        <v>10</v>
      </c>
      <c r="M384" s="382">
        <v>0</v>
      </c>
      <c r="N384" s="382">
        <v>964</v>
      </c>
      <c r="O384" s="444">
        <v>1805</v>
      </c>
      <c r="P384" s="445">
        <v>974</v>
      </c>
      <c r="Q384" s="346">
        <v>0.53961218836565095</v>
      </c>
      <c r="R384" s="445">
        <v>1199</v>
      </c>
      <c r="S384" s="447">
        <v>1049</v>
      </c>
      <c r="T384" s="445">
        <v>-10.579196412149425</v>
      </c>
      <c r="U384" s="444">
        <v>1790.9110119131151</v>
      </c>
      <c r="V384" s="445">
        <v>963.42080358785063</v>
      </c>
      <c r="W384" s="229">
        <v>0.53795012548316967</v>
      </c>
      <c r="X384" s="261">
        <v>474260.41463663883</v>
      </c>
      <c r="Y384" s="262">
        <v>122351.4932622785</v>
      </c>
      <c r="Z384" s="262">
        <v>312676.5088771864</v>
      </c>
      <c r="AA384" s="262">
        <v>355909.92754029256</v>
      </c>
      <c r="AB384" s="263">
        <v>1265198.3443163962</v>
      </c>
      <c r="AC384" s="262">
        <v>469004.13412389829</v>
      </c>
      <c r="AD384" s="262">
        <v>120986.08276612498</v>
      </c>
      <c r="AE384" s="262">
        <v>308948.31536709587</v>
      </c>
      <c r="AF384" s="263">
        <v>351517.26197436627</v>
      </c>
      <c r="AG384" s="262">
        <v>469004.13412389829</v>
      </c>
      <c r="AH384" s="262">
        <v>120986.08276612498</v>
      </c>
      <c r="AI384" s="262">
        <v>308948.31536709587</v>
      </c>
      <c r="AJ384" s="263">
        <v>351517.26197436627</v>
      </c>
      <c r="AK384" s="262">
        <v>469004.13412389829</v>
      </c>
      <c r="AL384" s="262">
        <v>120986.08276612498</v>
      </c>
      <c r="AM384" s="262">
        <v>308948.31536709587</v>
      </c>
      <c r="AN384" s="262">
        <v>351517.26197436627</v>
      </c>
      <c r="AO384" s="263">
        <v>1250455.7942314856</v>
      </c>
      <c r="AP384" s="31"/>
      <c r="AQ384" s="261">
        <v>463837.37715697702</v>
      </c>
      <c r="AR384" s="262">
        <v>118586.39290963576</v>
      </c>
      <c r="AS384" s="262">
        <v>305981.68647632224</v>
      </c>
      <c r="AT384" s="262">
        <v>347844.38782325259</v>
      </c>
      <c r="AU384" s="263">
        <v>1236249.8443661877</v>
      </c>
      <c r="AV384" s="31"/>
      <c r="AW384" s="323">
        <v>1277740.6659095681</v>
      </c>
      <c r="AX384" s="31"/>
      <c r="AY384" s="747">
        <v>0</v>
      </c>
      <c r="AZ384" s="262">
        <v>0</v>
      </c>
      <c r="BA384" s="262">
        <v>1236249.8443661877</v>
      </c>
      <c r="BB384" s="262">
        <v>12100.263421388432</v>
      </c>
      <c r="BC384" s="263">
        <v>1224149.5809447994</v>
      </c>
      <c r="BD384" s="261">
        <v>12241.495809447993</v>
      </c>
      <c r="BE384" s="262">
        <v>1211908.0851353514</v>
      </c>
      <c r="BF384" s="354">
        <v>0.94847735340147965</v>
      </c>
      <c r="BG384" s="31"/>
      <c r="BJ384" s="4">
        <v>0.94847735340147965</v>
      </c>
      <c r="BL384" s="4">
        <v>0.95</v>
      </c>
      <c r="BM384" s="4">
        <v>0.95</v>
      </c>
      <c r="BN384" s="4" t="s">
        <v>1003</v>
      </c>
      <c r="BO384" s="31">
        <v>1945.5474787382409</v>
      </c>
      <c r="BP384" s="31">
        <v>1213853.6326140896</v>
      </c>
      <c r="BQ384" s="31">
        <v>1213853.6326140896</v>
      </c>
      <c r="BR384" s="4">
        <v>0.95</v>
      </c>
      <c r="BS384" s="4" t="s">
        <v>900</v>
      </c>
      <c r="BT384" s="448" t="s">
        <v>900</v>
      </c>
      <c r="BU384" s="367" t="s">
        <v>900</v>
      </c>
      <c r="BV384" s="368">
        <v>1211908.0851353514</v>
      </c>
      <c r="BX384" s="449">
        <v>-25134.462364648469</v>
      </c>
      <c r="BY384" s="450">
        <v>-2.0318187450742046E-2</v>
      </c>
      <c r="BZ384" s="368">
        <v>-26.088768553726329</v>
      </c>
      <c r="CB384" s="31">
        <v>97468</v>
      </c>
      <c r="CC384" s="31">
        <v>114575.36827461013</v>
      </c>
      <c r="CD384" s="31" t="e">
        <v>#VALUE!</v>
      </c>
      <c r="CE384" s="31" t="s">
        <v>900</v>
      </c>
      <c r="CF384" s="31" t="e">
        <v>#VALUE!</v>
      </c>
      <c r="CJ384" s="702" t="s">
        <v>1447</v>
      </c>
      <c r="CK384" s="702" t="s">
        <v>1447</v>
      </c>
      <c r="CL384" s="702" t="s">
        <v>1448</v>
      </c>
      <c r="CN384" s="702" t="s">
        <v>1447</v>
      </c>
      <c r="CO384" s="702" t="s">
        <v>1447</v>
      </c>
      <c r="CP384" s="702" t="s">
        <v>1447</v>
      </c>
      <c r="CQ384" s="702" t="s">
        <v>1447</v>
      </c>
      <c r="CS384" s="451">
        <v>0</v>
      </c>
      <c r="CT384" s="452">
        <v>0</v>
      </c>
      <c r="CU384" s="452">
        <v>0.95</v>
      </c>
      <c r="CV384" s="453">
        <v>0.95</v>
      </c>
    </row>
    <row r="385" spans="1:100" outlineLevel="1" x14ac:dyDescent="0.3">
      <c r="A385" s="1">
        <v>90201000</v>
      </c>
      <c r="B385" s="47">
        <v>409460</v>
      </c>
      <c r="C385" s="47">
        <v>4387</v>
      </c>
      <c r="D385" s="47" t="s">
        <v>447</v>
      </c>
      <c r="E385" s="47" t="s">
        <v>73</v>
      </c>
      <c r="F385" s="47" t="s">
        <v>1503</v>
      </c>
      <c r="G385" s="47" t="s">
        <v>1502</v>
      </c>
      <c r="H385" s="47" t="s">
        <v>1500</v>
      </c>
      <c r="I385" s="382">
        <v>769</v>
      </c>
      <c r="J385" s="382">
        <v>0</v>
      </c>
      <c r="K385" s="382">
        <v>0</v>
      </c>
      <c r="L385" s="382">
        <v>8</v>
      </c>
      <c r="M385" s="382">
        <v>0</v>
      </c>
      <c r="N385" s="382">
        <v>769</v>
      </c>
      <c r="O385" s="444">
        <v>2201</v>
      </c>
      <c r="P385" s="445">
        <v>777</v>
      </c>
      <c r="Q385" s="346">
        <v>0.35302135393003181</v>
      </c>
      <c r="R385" s="445">
        <v>1983</v>
      </c>
      <c r="S385" s="447">
        <v>1277</v>
      </c>
      <c r="T385" s="445">
        <v>-8.4390866229509793</v>
      </c>
      <c r="U385" s="444">
        <v>2183.8200206209231</v>
      </c>
      <c r="V385" s="445">
        <v>768.56091337704902</v>
      </c>
      <c r="W385" s="229">
        <v>0.35193418235927931</v>
      </c>
      <c r="X385" s="261">
        <v>358361.16606147494</v>
      </c>
      <c r="Y385" s="262">
        <v>84917.007219152089</v>
      </c>
      <c r="Z385" s="262">
        <v>177878.44078256233</v>
      </c>
      <c r="AA385" s="262">
        <v>140396.17495256005</v>
      </c>
      <c r="AB385" s="263">
        <v>761552.78901574947</v>
      </c>
      <c r="AC385" s="262">
        <v>354389.40971083142</v>
      </c>
      <c r="AD385" s="262">
        <v>83969.355744965127</v>
      </c>
      <c r="AE385" s="262">
        <v>175757.5099493124</v>
      </c>
      <c r="AF385" s="263">
        <v>138663.39540475703</v>
      </c>
      <c r="AG385" s="262">
        <v>354389.40971083142</v>
      </c>
      <c r="AH385" s="262">
        <v>83969.355744965127</v>
      </c>
      <c r="AI385" s="262">
        <v>175757.5099493124</v>
      </c>
      <c r="AJ385" s="263">
        <v>138663.39540475703</v>
      </c>
      <c r="AK385" s="262">
        <v>354389.40971083142</v>
      </c>
      <c r="AL385" s="262">
        <v>83969.355744965127</v>
      </c>
      <c r="AM385" s="262">
        <v>175757.5099493124</v>
      </c>
      <c r="AN385" s="262">
        <v>138663.39540475703</v>
      </c>
      <c r="AO385" s="263">
        <v>752779.67080986593</v>
      </c>
      <c r="AP385" s="31"/>
      <c r="AQ385" s="261">
        <v>349006.5769677413</v>
      </c>
      <c r="AR385" s="262">
        <v>81303.099451603324</v>
      </c>
      <c r="AS385" s="262">
        <v>173323.18403563701</v>
      </c>
      <c r="AT385" s="262">
        <v>133093.0244783806</v>
      </c>
      <c r="AU385" s="263">
        <v>736725.88493336225</v>
      </c>
      <c r="AV385" s="31"/>
      <c r="AW385" s="323">
        <v>591122.86942529667</v>
      </c>
      <c r="AX385" s="31"/>
      <c r="AY385" s="747">
        <v>0</v>
      </c>
      <c r="AZ385" s="262">
        <v>69500.597270406201</v>
      </c>
      <c r="BA385" s="262">
        <v>667225.28766295605</v>
      </c>
      <c r="BB385" s="262">
        <v>6530.7201282380674</v>
      </c>
      <c r="BC385" s="263">
        <v>660694.56753471796</v>
      </c>
      <c r="BD385" s="261">
        <v>6606.9456753471795</v>
      </c>
      <c r="BE385" s="262">
        <v>654087.62185937073</v>
      </c>
      <c r="BF385" s="354">
        <v>1.1065171991997025</v>
      </c>
      <c r="BG385" s="31"/>
      <c r="BJ385" s="4">
        <v>1.1065171991997025</v>
      </c>
      <c r="BL385" s="4">
        <v>1.2457033870869505</v>
      </c>
      <c r="BM385" s="4">
        <v>0.95</v>
      </c>
      <c r="BN385" s="4" t="s">
        <v>900</v>
      </c>
      <c r="BO385" s="31" t="s">
        <v>900</v>
      </c>
      <c r="BP385" s="31" t="s">
        <v>900</v>
      </c>
      <c r="BQ385" s="31">
        <v>653214.72023705556</v>
      </c>
      <c r="BR385" s="4">
        <v>1.1050405153028946</v>
      </c>
      <c r="BS385" s="4" t="s">
        <v>900</v>
      </c>
      <c r="BT385" s="448" t="s">
        <v>900</v>
      </c>
      <c r="BU385" s="367" t="s">
        <v>900</v>
      </c>
      <c r="BV385" s="368">
        <v>654087.62185937073</v>
      </c>
      <c r="BX385" s="449">
        <v>-48323.326482692501</v>
      </c>
      <c r="BY385" s="450">
        <v>-6.8799226091658242E-2</v>
      </c>
      <c r="BZ385" s="368">
        <v>-62.875076837254554</v>
      </c>
      <c r="CB385" s="31">
        <v>103871</v>
      </c>
      <c r="CC385" s="31">
        <v>118286.39431915731</v>
      </c>
      <c r="CD385" s="31" t="e">
        <v>#VALUE!</v>
      </c>
      <c r="CE385" s="31" t="s">
        <v>900</v>
      </c>
      <c r="CF385" s="31" t="e">
        <v>#VALUE!</v>
      </c>
      <c r="CJ385" s="702" t="s">
        <v>1447</v>
      </c>
      <c r="CK385" s="702" t="s">
        <v>1447</v>
      </c>
      <c r="CL385" s="702" t="s">
        <v>1448</v>
      </c>
      <c r="CN385" s="702" t="s">
        <v>1447</v>
      </c>
      <c r="CO385" s="702" t="s">
        <v>1447</v>
      </c>
      <c r="CP385" s="702" t="s">
        <v>1447</v>
      </c>
      <c r="CQ385" s="702" t="s">
        <v>1447</v>
      </c>
      <c r="CS385" s="451">
        <v>0</v>
      </c>
      <c r="CT385" s="452">
        <v>0</v>
      </c>
      <c r="CU385" s="452">
        <v>0.95</v>
      </c>
      <c r="CV385" s="453">
        <v>0.95</v>
      </c>
    </row>
    <row r="386" spans="1:100" outlineLevel="1" x14ac:dyDescent="0.3">
      <c r="A386" s="1">
        <v>90203000</v>
      </c>
      <c r="B386" s="47">
        <v>403820</v>
      </c>
      <c r="C386" s="47">
        <v>4389</v>
      </c>
      <c r="D386" s="47" t="s">
        <v>199</v>
      </c>
      <c r="E386" s="47" t="s">
        <v>73</v>
      </c>
      <c r="F386" s="47" t="s">
        <v>1511</v>
      </c>
      <c r="G386" s="47" t="s">
        <v>1502</v>
      </c>
      <c r="H386" s="47" t="s">
        <v>1500</v>
      </c>
      <c r="I386" s="382">
        <v>986</v>
      </c>
      <c r="J386" s="382">
        <v>0</v>
      </c>
      <c r="K386" s="382">
        <v>0</v>
      </c>
      <c r="L386" s="382">
        <v>10</v>
      </c>
      <c r="M386" s="382">
        <v>0</v>
      </c>
      <c r="N386" s="382">
        <v>986</v>
      </c>
      <c r="O386" s="444">
        <v>2289</v>
      </c>
      <c r="P386" s="445">
        <v>996</v>
      </c>
      <c r="Q386" s="346">
        <v>0.43512450851900392</v>
      </c>
      <c r="R386" s="445">
        <v>1952</v>
      </c>
      <c r="S386" s="447">
        <v>1937</v>
      </c>
      <c r="T386" s="445">
        <v>-10.821901479835059</v>
      </c>
      <c r="U386" s="444">
        <v>2271.1331336671028</v>
      </c>
      <c r="V386" s="445">
        <v>985.17809852016489</v>
      </c>
      <c r="W386" s="229">
        <v>0.43378262767424797</v>
      </c>
      <c r="X386" s="261">
        <v>494813.32425068005</v>
      </c>
      <c r="Y386" s="262">
        <v>127653.33412233111</v>
      </c>
      <c r="Z386" s="262">
        <v>280910.09742341167</v>
      </c>
      <c r="AA386" s="262">
        <v>300062.32625072217</v>
      </c>
      <c r="AB386" s="263">
        <v>1203439.0820471449</v>
      </c>
      <c r="AC386" s="262">
        <v>489329.25357255712</v>
      </c>
      <c r="AD386" s="262">
        <v>126228.75647613936</v>
      </c>
      <c r="AE386" s="262">
        <v>277560.67022821354</v>
      </c>
      <c r="AF386" s="263">
        <v>296358.93574048119</v>
      </c>
      <c r="AG386" s="262">
        <v>489329.25357255712</v>
      </c>
      <c r="AH386" s="262">
        <v>126228.75647613936</v>
      </c>
      <c r="AI386" s="262">
        <v>277560.67022821354</v>
      </c>
      <c r="AJ386" s="263">
        <v>296358.93574048119</v>
      </c>
      <c r="AK386" s="262">
        <v>489329.25357255712</v>
      </c>
      <c r="AL386" s="262">
        <v>126228.75647613936</v>
      </c>
      <c r="AM386" s="262">
        <v>277560.67022821354</v>
      </c>
      <c r="AN386" s="262">
        <v>296358.93574048119</v>
      </c>
      <c r="AO386" s="263">
        <v>1189477.6160173912</v>
      </c>
      <c r="AP386" s="31"/>
      <c r="AQ386" s="261">
        <v>483938.5861006442</v>
      </c>
      <c r="AR386" s="262">
        <v>123725.08118070406</v>
      </c>
      <c r="AS386" s="262">
        <v>274895.43639367027</v>
      </c>
      <c r="AT386" s="262">
        <v>293262.39058528998</v>
      </c>
      <c r="AU386" s="263">
        <v>1175821.4942603086</v>
      </c>
      <c r="AV386" s="31"/>
      <c r="AW386" s="323">
        <v>1215426.6778197838</v>
      </c>
      <c r="AX386" s="31"/>
      <c r="AY386" s="747">
        <v>0</v>
      </c>
      <c r="AZ386" s="262">
        <v>0</v>
      </c>
      <c r="BA386" s="262">
        <v>1175821.4942603086</v>
      </c>
      <c r="BB386" s="262">
        <v>11508.798065309134</v>
      </c>
      <c r="BC386" s="263">
        <v>1164312.6961949994</v>
      </c>
      <c r="BD386" s="261">
        <v>11643.126961949994</v>
      </c>
      <c r="BE386" s="262">
        <v>1152669.5692330494</v>
      </c>
      <c r="BF386" s="354">
        <v>0.94836619128740263</v>
      </c>
      <c r="BG386" s="31"/>
      <c r="BJ386" s="4">
        <v>0.94836619128740263</v>
      </c>
      <c r="BL386" s="4">
        <v>0.94999999999999984</v>
      </c>
      <c r="BM386" s="4">
        <v>0.95</v>
      </c>
      <c r="BN386" s="4" t="s">
        <v>1003</v>
      </c>
      <c r="BO386" s="31">
        <v>1985.7746957452036</v>
      </c>
      <c r="BP386" s="31">
        <v>1154655.3439287946</v>
      </c>
      <c r="BQ386" s="31">
        <v>1154655.3439287946</v>
      </c>
      <c r="BR386" s="4">
        <v>0.95</v>
      </c>
      <c r="BS386" s="4" t="s">
        <v>900</v>
      </c>
      <c r="BT386" s="448" t="s">
        <v>900</v>
      </c>
      <c r="BU386" s="367" t="s">
        <v>900</v>
      </c>
      <c r="BV386" s="368">
        <v>1152669.5692330494</v>
      </c>
      <c r="BX386" s="449">
        <v>-24049.935266950633</v>
      </c>
      <c r="BY386" s="450">
        <v>-2.0438120703344415E-2</v>
      </c>
      <c r="BZ386" s="368">
        <v>-24.411764028327486</v>
      </c>
      <c r="CB386" s="31">
        <v>89683</v>
      </c>
      <c r="CC386" s="31">
        <v>107624.05764806549</v>
      </c>
      <c r="CD386" s="31" t="e">
        <v>#VALUE!</v>
      </c>
      <c r="CE386" s="31" t="s">
        <v>900</v>
      </c>
      <c r="CF386" s="31" t="e">
        <v>#VALUE!</v>
      </c>
      <c r="CJ386" s="702" t="s">
        <v>1447</v>
      </c>
      <c r="CK386" s="702" t="s">
        <v>1447</v>
      </c>
      <c r="CL386" s="702" t="s">
        <v>1448</v>
      </c>
      <c r="CN386" s="702" t="s">
        <v>1447</v>
      </c>
      <c r="CO386" s="702" t="s">
        <v>1447</v>
      </c>
      <c r="CP386" s="702" t="s">
        <v>1447</v>
      </c>
      <c r="CQ386" s="702" t="s">
        <v>1447</v>
      </c>
      <c r="CS386" s="451">
        <v>0</v>
      </c>
      <c r="CT386" s="452">
        <v>0</v>
      </c>
      <c r="CU386" s="452">
        <v>0.95</v>
      </c>
      <c r="CV386" s="453">
        <v>0.95</v>
      </c>
    </row>
    <row r="387" spans="1:100" outlineLevel="1" x14ac:dyDescent="0.3">
      <c r="A387" s="1">
        <v>90232000</v>
      </c>
      <c r="B387" s="47">
        <v>406580</v>
      </c>
      <c r="C387" s="47">
        <v>4397</v>
      </c>
      <c r="D387" s="47" t="s">
        <v>72</v>
      </c>
      <c r="E387" s="47" t="s">
        <v>73</v>
      </c>
      <c r="F387" s="47" t="s">
        <v>1503</v>
      </c>
      <c r="G387" s="47" t="s">
        <v>1502</v>
      </c>
      <c r="H387" s="47" t="s">
        <v>1500</v>
      </c>
      <c r="I387" s="382">
        <v>923</v>
      </c>
      <c r="J387" s="382">
        <v>0</v>
      </c>
      <c r="K387" s="382">
        <v>0</v>
      </c>
      <c r="L387" s="382">
        <v>9</v>
      </c>
      <c r="M387" s="382">
        <v>0</v>
      </c>
      <c r="N387" s="382">
        <v>923</v>
      </c>
      <c r="O387" s="444">
        <v>2536</v>
      </c>
      <c r="P387" s="445">
        <v>932</v>
      </c>
      <c r="Q387" s="346">
        <v>0.36750788643533122</v>
      </c>
      <c r="R387" s="445">
        <v>1980</v>
      </c>
      <c r="S387" s="447">
        <v>1046</v>
      </c>
      <c r="T387" s="445">
        <v>-10.132452259561031</v>
      </c>
      <c r="U387" s="444">
        <v>2516.2051668762656</v>
      </c>
      <c r="V387" s="445">
        <v>921.86754774043902</v>
      </c>
      <c r="W387" s="229">
        <v>0.36637217023319618</v>
      </c>
      <c r="X387" s="261">
        <v>429848.91476099688</v>
      </c>
      <c r="Y387" s="262">
        <v>101856.69334395073</v>
      </c>
      <c r="Z387" s="262">
        <v>220066.09421123686</v>
      </c>
      <c r="AA387" s="262">
        <v>176277.3455484726</v>
      </c>
      <c r="AB387" s="263">
        <v>928049.04786465713</v>
      </c>
      <c r="AC387" s="262">
        <v>425084.85180243861</v>
      </c>
      <c r="AD387" s="262">
        <v>100719.99942639314</v>
      </c>
      <c r="AE387" s="262">
        <v>217442.13954583678</v>
      </c>
      <c r="AF387" s="263">
        <v>174101.71804857376</v>
      </c>
      <c r="AG387" s="262">
        <v>425084.85180243861</v>
      </c>
      <c r="AH387" s="262">
        <v>100719.99942639314</v>
      </c>
      <c r="AI387" s="262">
        <v>217442.13954583678</v>
      </c>
      <c r="AJ387" s="263">
        <v>174101.71804857376</v>
      </c>
      <c r="AK387" s="262">
        <v>425084.85180243861</v>
      </c>
      <c r="AL387" s="262">
        <v>100719.99942639314</v>
      </c>
      <c r="AM387" s="262">
        <v>217442.13954583678</v>
      </c>
      <c r="AN387" s="262">
        <v>174101.71804857376</v>
      </c>
      <c r="AO387" s="263">
        <v>917348.70882324222</v>
      </c>
      <c r="AP387" s="31"/>
      <c r="AQ387" s="261">
        <v>418628.22359579772</v>
      </c>
      <c r="AR387" s="262">
        <v>97521.864464471393</v>
      </c>
      <c r="AS387" s="262">
        <v>214430.46149478733</v>
      </c>
      <c r="AT387" s="262">
        <v>167107.7226569342</v>
      </c>
      <c r="AU387" s="263">
        <v>897688.27221199067</v>
      </c>
      <c r="AV387" s="31"/>
      <c r="AW387" s="323">
        <v>505403.26562885178</v>
      </c>
      <c r="AX387" s="31"/>
      <c r="AY387" s="747">
        <v>0</v>
      </c>
      <c r="AZ387" s="262">
        <v>84685.325108422898</v>
      </c>
      <c r="BA387" s="262">
        <v>813002.94710356777</v>
      </c>
      <c r="BB387" s="262">
        <v>7957.5741644375312</v>
      </c>
      <c r="BC387" s="263">
        <v>805045.37293913029</v>
      </c>
      <c r="BD387" s="261">
        <v>8050.4537293913027</v>
      </c>
      <c r="BE387" s="262">
        <v>796994.91920973896</v>
      </c>
      <c r="BF387" s="354">
        <v>1.5769484952141575</v>
      </c>
      <c r="BG387" s="31"/>
      <c r="BJ387" s="4">
        <v>1.5769484952141575</v>
      </c>
      <c r="BL387" s="4">
        <v>1.6761240553178502</v>
      </c>
      <c r="BM387" s="4">
        <v>0.95</v>
      </c>
      <c r="BN387" s="4" t="s">
        <v>900</v>
      </c>
      <c r="BO387" s="31" t="s">
        <v>900</v>
      </c>
      <c r="BP387" s="31" t="s">
        <v>900</v>
      </c>
      <c r="BQ387" s="31">
        <v>795931.3030599982</v>
      </c>
      <c r="BR387" s="4">
        <v>1.5748440051523109</v>
      </c>
      <c r="BS387" s="4" t="s">
        <v>900</v>
      </c>
      <c r="BT387" s="448" t="s">
        <v>900</v>
      </c>
      <c r="BU387" s="367" t="s">
        <v>900</v>
      </c>
      <c r="BV387" s="368">
        <v>796994.91920973896</v>
      </c>
      <c r="BX387" s="449">
        <v>-58969.795306508779</v>
      </c>
      <c r="BY387" s="450">
        <v>-6.8895643476023949E-2</v>
      </c>
      <c r="BZ387" s="368">
        <v>-63.967752689687167</v>
      </c>
      <c r="CB387" s="31">
        <v>48153</v>
      </c>
      <c r="CC387" s="31">
        <v>65338.863214450204</v>
      </c>
      <c r="CD387" s="31" t="e">
        <v>#VALUE!</v>
      </c>
      <c r="CE387" s="31" t="s">
        <v>900</v>
      </c>
      <c r="CF387" s="31" t="e">
        <v>#VALUE!</v>
      </c>
      <c r="CJ387" s="702" t="s">
        <v>1447</v>
      </c>
      <c r="CK387" s="702" t="s">
        <v>1447</v>
      </c>
      <c r="CL387" s="702" t="s">
        <v>1448</v>
      </c>
      <c r="CN387" s="702" t="s">
        <v>1447</v>
      </c>
      <c r="CO387" s="702" t="s">
        <v>1447</v>
      </c>
      <c r="CP387" s="702" t="s">
        <v>1447</v>
      </c>
      <c r="CQ387" s="702" t="s">
        <v>1447</v>
      </c>
      <c r="CS387" s="451">
        <v>0</v>
      </c>
      <c r="CT387" s="452">
        <v>0</v>
      </c>
      <c r="CU387" s="452">
        <v>0.95</v>
      </c>
      <c r="CV387" s="453">
        <v>0.95</v>
      </c>
    </row>
    <row r="388" spans="1:100" outlineLevel="1" x14ac:dyDescent="0.3">
      <c r="A388" s="1">
        <v>90227000</v>
      </c>
      <c r="B388" s="47">
        <v>404060</v>
      </c>
      <c r="C388" s="47">
        <v>4396</v>
      </c>
      <c r="D388" s="47" t="s">
        <v>239</v>
      </c>
      <c r="E388" s="47" t="s">
        <v>73</v>
      </c>
      <c r="F388" s="47" t="s">
        <v>1503</v>
      </c>
      <c r="G388" s="47" t="s">
        <v>1502</v>
      </c>
      <c r="H388" s="47" t="s">
        <v>1500</v>
      </c>
      <c r="I388" s="382">
        <v>1377</v>
      </c>
      <c r="J388" s="382">
        <v>0</v>
      </c>
      <c r="K388" s="382">
        <v>0</v>
      </c>
      <c r="L388" s="382">
        <v>13</v>
      </c>
      <c r="M388" s="382">
        <v>0</v>
      </c>
      <c r="N388" s="382">
        <v>1377</v>
      </c>
      <c r="O388" s="444">
        <v>2643</v>
      </c>
      <c r="P388" s="445">
        <v>1390</v>
      </c>
      <c r="Q388" s="346">
        <v>0.52591751797200148</v>
      </c>
      <c r="R388" s="445">
        <v>1703</v>
      </c>
      <c r="S388" s="447">
        <v>1584</v>
      </c>
      <c r="T388" s="445">
        <v>-15.118722943952495</v>
      </c>
      <c r="U388" s="444">
        <v>2622.3699747846886</v>
      </c>
      <c r="V388" s="445">
        <v>1374.8812770560476</v>
      </c>
      <c r="W388" s="229">
        <v>0.52428958929372016</v>
      </c>
      <c r="X388" s="261">
        <v>641083.68188603607</v>
      </c>
      <c r="Y388" s="262">
        <v>159737.41505464757</v>
      </c>
      <c r="Z388" s="262">
        <v>437606.19354550989</v>
      </c>
      <c r="AA388" s="262">
        <v>422773.20055062359</v>
      </c>
      <c r="AB388" s="263">
        <v>1661200.491036817</v>
      </c>
      <c r="AC388" s="262">
        <v>633978.48069247813</v>
      </c>
      <c r="AD388" s="262">
        <v>157954.78750079745</v>
      </c>
      <c r="AE388" s="262">
        <v>432388.40287549637</v>
      </c>
      <c r="AF388" s="263">
        <v>417555.30372743111</v>
      </c>
      <c r="AG388" s="262">
        <v>633978.48069247813</v>
      </c>
      <c r="AH388" s="262">
        <v>157954.78750079745</v>
      </c>
      <c r="AI388" s="262">
        <v>432388.40287549637</v>
      </c>
      <c r="AJ388" s="263">
        <v>417555.30372743111</v>
      </c>
      <c r="AK388" s="262">
        <v>633978.48069247813</v>
      </c>
      <c r="AL388" s="262">
        <v>157954.78750079745</v>
      </c>
      <c r="AM388" s="262">
        <v>432388.40287549637</v>
      </c>
      <c r="AN388" s="262">
        <v>417555.30372743111</v>
      </c>
      <c r="AO388" s="263">
        <v>1641876.974796203</v>
      </c>
      <c r="AP388" s="31"/>
      <c r="AQ388" s="261">
        <v>624348.96008386125</v>
      </c>
      <c r="AR388" s="262">
        <v>154821.8444987309</v>
      </c>
      <c r="AS388" s="262">
        <v>426399.61585754144</v>
      </c>
      <c r="AT388" s="262">
        <v>413192.42244784033</v>
      </c>
      <c r="AU388" s="263">
        <v>1618762.8428879739</v>
      </c>
      <c r="AV388" s="31"/>
      <c r="AW388" s="323">
        <v>1599001.2677924666</v>
      </c>
      <c r="AX388" s="31"/>
      <c r="AY388" s="747">
        <v>0</v>
      </c>
      <c r="AZ388" s="262">
        <v>19761.575095507316</v>
      </c>
      <c r="BA388" s="262">
        <v>1599001.2677924666</v>
      </c>
      <c r="BB388" s="262">
        <v>15650.830323333708</v>
      </c>
      <c r="BC388" s="263">
        <v>1583350.4374691329</v>
      </c>
      <c r="BD388" s="261">
        <v>15833.504374691331</v>
      </c>
      <c r="BE388" s="262">
        <v>1567516.9330944417</v>
      </c>
      <c r="BF388" s="354">
        <v>0.98031000016560887</v>
      </c>
      <c r="BG388" s="31"/>
      <c r="BJ388" s="4">
        <v>0.98031000016560887</v>
      </c>
      <c r="BL388" s="4">
        <v>0.99655924294205556</v>
      </c>
      <c r="BM388" s="4">
        <v>0.95</v>
      </c>
      <c r="BN388" s="4" t="s">
        <v>900</v>
      </c>
      <c r="BO388" s="31" t="s">
        <v>900</v>
      </c>
      <c r="BP388" s="31" t="s">
        <v>900</v>
      </c>
      <c r="BQ388" s="31">
        <v>1565425.0297650145</v>
      </c>
      <c r="BR388" s="4">
        <v>0.97900174396121253</v>
      </c>
      <c r="BS388" s="4" t="s">
        <v>900</v>
      </c>
      <c r="BT388" s="448" t="s">
        <v>900</v>
      </c>
      <c r="BU388" s="367" t="s">
        <v>900</v>
      </c>
      <c r="BV388" s="368">
        <v>1567516.9330944417</v>
      </c>
      <c r="BX388" s="449">
        <v>-17095.329973208951</v>
      </c>
      <c r="BY388" s="450">
        <v>-1.0788783495859921E-2</v>
      </c>
      <c r="BZ388" s="368">
        <v>-12.434040857559843</v>
      </c>
      <c r="CB388" s="31">
        <v>104198</v>
      </c>
      <c r="CC388" s="31">
        <v>128679.36924291059</v>
      </c>
      <c r="CD388" s="31" t="e">
        <v>#VALUE!</v>
      </c>
      <c r="CE388" s="31" t="s">
        <v>900</v>
      </c>
      <c r="CF388" s="31" t="e">
        <v>#VALUE!</v>
      </c>
      <c r="CJ388" s="702" t="s">
        <v>1447</v>
      </c>
      <c r="CK388" s="702" t="s">
        <v>1447</v>
      </c>
      <c r="CL388" s="702" t="s">
        <v>1448</v>
      </c>
      <c r="CN388" s="702" t="s">
        <v>1447</v>
      </c>
      <c r="CO388" s="702" t="s">
        <v>1447</v>
      </c>
      <c r="CP388" s="702" t="s">
        <v>1447</v>
      </c>
      <c r="CQ388" s="702" t="s">
        <v>1447</v>
      </c>
      <c r="CS388" s="451">
        <v>0</v>
      </c>
      <c r="CT388" s="452">
        <v>0</v>
      </c>
      <c r="CU388" s="452">
        <v>0.95</v>
      </c>
      <c r="CV388" s="453">
        <v>0.95</v>
      </c>
    </row>
    <row r="389" spans="1:100" outlineLevel="1" x14ac:dyDescent="0.3">
      <c r="A389" s="1">
        <v>90220000</v>
      </c>
      <c r="B389" s="47">
        <v>409160</v>
      </c>
      <c r="C389" s="47">
        <v>4394</v>
      </c>
      <c r="D389" s="47" t="s">
        <v>441</v>
      </c>
      <c r="E389" s="47" t="s">
        <v>73</v>
      </c>
      <c r="F389" s="47" t="s">
        <v>1498</v>
      </c>
      <c r="G389" s="47" t="s">
        <v>1502</v>
      </c>
      <c r="H389" s="47" t="s">
        <v>1516</v>
      </c>
      <c r="I389" s="382">
        <v>1343</v>
      </c>
      <c r="J389" s="382">
        <v>0</v>
      </c>
      <c r="K389" s="382">
        <v>0</v>
      </c>
      <c r="L389" s="382">
        <v>13</v>
      </c>
      <c r="M389" s="382">
        <v>0</v>
      </c>
      <c r="N389" s="382">
        <v>1343</v>
      </c>
      <c r="O389" s="444">
        <v>2718</v>
      </c>
      <c r="P389" s="445">
        <v>1356</v>
      </c>
      <c r="Q389" s="346">
        <v>0.4988962472406181</v>
      </c>
      <c r="R389" s="445">
        <v>2217</v>
      </c>
      <c r="S389" s="447">
        <v>1919</v>
      </c>
      <c r="T389" s="445">
        <v>-14.743633293892881</v>
      </c>
      <c r="U389" s="444">
        <v>2696.7845597672281</v>
      </c>
      <c r="V389" s="445">
        <v>1341.2563667061072</v>
      </c>
      <c r="W389" s="229">
        <v>0.49735391796439138</v>
      </c>
      <c r="X389" s="261">
        <v>710533.81957278622</v>
      </c>
      <c r="Y389" s="262">
        <v>183306.19877833809</v>
      </c>
      <c r="Z389" s="262">
        <v>481989.06301520282</v>
      </c>
      <c r="AA389" s="262">
        <v>554515.68801792141</v>
      </c>
      <c r="AB389" s="263">
        <v>1930344.7693842486</v>
      </c>
      <c r="AC389" s="262">
        <v>702658.89483902999</v>
      </c>
      <c r="AD389" s="262">
        <v>181260.54979483597</v>
      </c>
      <c r="AE389" s="262">
        <v>476242.07388857898</v>
      </c>
      <c r="AF389" s="263">
        <v>547671.81607156643</v>
      </c>
      <c r="AG389" s="262">
        <v>702658.89483902999</v>
      </c>
      <c r="AH389" s="262">
        <v>181260.54979483597</v>
      </c>
      <c r="AI389" s="262">
        <v>476242.07388857898</v>
      </c>
      <c r="AJ389" s="263">
        <v>547671.81607156643</v>
      </c>
      <c r="AK389" s="262">
        <v>702658.89483902999</v>
      </c>
      <c r="AL389" s="262">
        <v>181260.54979483597</v>
      </c>
      <c r="AM389" s="262">
        <v>476242.07388857898</v>
      </c>
      <c r="AN389" s="262">
        <v>547671.81607156643</v>
      </c>
      <c r="AO389" s="263">
        <v>1907833.3345940113</v>
      </c>
      <c r="AP389" s="31"/>
      <c r="AQ389" s="261">
        <v>694918.09369010106</v>
      </c>
      <c r="AR389" s="262">
        <v>177665.35030759289</v>
      </c>
      <c r="AS389" s="262">
        <v>471669.0322983666</v>
      </c>
      <c r="AT389" s="262">
        <v>541949.39537095954</v>
      </c>
      <c r="AU389" s="263">
        <v>1886201.87166702</v>
      </c>
      <c r="AV389" s="31"/>
      <c r="AW389" s="323">
        <v>1949464.2551138673</v>
      </c>
      <c r="AX389" s="31"/>
      <c r="AY389" s="747">
        <v>0</v>
      </c>
      <c r="AZ389" s="262">
        <v>0</v>
      </c>
      <c r="BA389" s="262">
        <v>1886201.87166702</v>
      </c>
      <c r="BB389" s="262">
        <v>18461.914973820058</v>
      </c>
      <c r="BC389" s="263">
        <v>1867739.9566931999</v>
      </c>
      <c r="BD389" s="261">
        <v>18677.399566931999</v>
      </c>
      <c r="BE389" s="262">
        <v>1849062.5571262678</v>
      </c>
      <c r="BF389" s="354">
        <v>0.94849779998570161</v>
      </c>
      <c r="BG389" s="31"/>
      <c r="BJ389" s="4">
        <v>0.94849779998570161</v>
      </c>
      <c r="BL389" s="4">
        <v>0.95000000000000007</v>
      </c>
      <c r="BM389" s="4">
        <v>0.95</v>
      </c>
      <c r="BN389" s="4" t="s">
        <v>1003</v>
      </c>
      <c r="BO389" s="31">
        <v>2928.4852319061756</v>
      </c>
      <c r="BP389" s="31">
        <v>1851991.042358174</v>
      </c>
      <c r="BQ389" s="31">
        <v>1851991.042358174</v>
      </c>
      <c r="BR389" s="4">
        <v>0.95</v>
      </c>
      <c r="BS389" s="4" t="s">
        <v>900</v>
      </c>
      <c r="BT389" s="448" t="s">
        <v>900</v>
      </c>
      <c r="BU389" s="367" t="s">
        <v>900</v>
      </c>
      <c r="BV389" s="368">
        <v>1849062.5571262678</v>
      </c>
      <c r="BX389" s="449">
        <v>-38305.739373732125</v>
      </c>
      <c r="BY389" s="450">
        <v>-2.0295847633324982E-2</v>
      </c>
      <c r="BZ389" s="368">
        <v>-28.559595558755387</v>
      </c>
      <c r="CB389" s="31">
        <v>140019</v>
      </c>
      <c r="CC389" s="31">
        <v>164042.57205637512</v>
      </c>
      <c r="CD389" s="31" t="e">
        <v>#VALUE!</v>
      </c>
      <c r="CE389" s="31" t="s">
        <v>900</v>
      </c>
      <c r="CF389" s="31" t="e">
        <v>#VALUE!</v>
      </c>
      <c r="CJ389" s="702" t="s">
        <v>1447</v>
      </c>
      <c r="CK389" s="702" t="s">
        <v>1447</v>
      </c>
      <c r="CL389" s="702" t="s">
        <v>1448</v>
      </c>
      <c r="CN389" s="702" t="s">
        <v>1447</v>
      </c>
      <c r="CO389" s="702" t="s">
        <v>1447</v>
      </c>
      <c r="CP389" s="702" t="s">
        <v>1447</v>
      </c>
      <c r="CQ389" s="702" t="s">
        <v>1447</v>
      </c>
      <c r="CS389" s="451">
        <v>0</v>
      </c>
      <c r="CT389" s="452">
        <v>0</v>
      </c>
      <c r="CU389" s="452">
        <v>0.95</v>
      </c>
      <c r="CV389" s="453">
        <v>0.95</v>
      </c>
    </row>
    <row r="390" spans="1:100" outlineLevel="1" x14ac:dyDescent="0.3">
      <c r="A390" s="1">
        <v>90210000</v>
      </c>
      <c r="B390" s="47">
        <v>407700</v>
      </c>
      <c r="C390" s="47">
        <v>4393</v>
      </c>
      <c r="D390" s="47" t="s">
        <v>383</v>
      </c>
      <c r="E390" s="47" t="s">
        <v>73</v>
      </c>
      <c r="F390" s="47" t="s">
        <v>1498</v>
      </c>
      <c r="G390" s="47" t="s">
        <v>1502</v>
      </c>
      <c r="H390" s="47" t="s">
        <v>1500</v>
      </c>
      <c r="I390" s="382">
        <v>1057</v>
      </c>
      <c r="J390" s="382">
        <v>0</v>
      </c>
      <c r="K390" s="382">
        <v>0</v>
      </c>
      <c r="L390" s="382">
        <v>10</v>
      </c>
      <c r="M390" s="382">
        <v>0</v>
      </c>
      <c r="N390" s="382">
        <v>1057</v>
      </c>
      <c r="O390" s="444">
        <v>2722</v>
      </c>
      <c r="P390" s="445">
        <v>1067</v>
      </c>
      <c r="Q390" s="346">
        <v>0.39199118295371049</v>
      </c>
      <c r="R390" s="445">
        <v>2366</v>
      </c>
      <c r="S390" s="447">
        <v>1409</v>
      </c>
      <c r="T390" s="445">
        <v>-11.605176925547781</v>
      </c>
      <c r="U390" s="444">
        <v>2700.7533376329634</v>
      </c>
      <c r="V390" s="445">
        <v>1055.3948230744522</v>
      </c>
      <c r="W390" s="229">
        <v>0.39077793901735502</v>
      </c>
      <c r="X390" s="261">
        <v>492112.43782187096</v>
      </c>
      <c r="Y390" s="262">
        <v>116610.61351716246</v>
      </c>
      <c r="Z390" s="262">
        <v>266102.26468739618</v>
      </c>
      <c r="AA390" s="262">
        <v>218969.74697647674</v>
      </c>
      <c r="AB390" s="263">
        <v>1093795.0630029063</v>
      </c>
      <c r="AC390" s="262">
        <v>486658.30136609665</v>
      </c>
      <c r="AD390" s="262">
        <v>115309.26972957239</v>
      </c>
      <c r="AE390" s="262">
        <v>262929.3984564456</v>
      </c>
      <c r="AF390" s="263">
        <v>216267.2068305173</v>
      </c>
      <c r="AG390" s="262">
        <v>486658.30136609665</v>
      </c>
      <c r="AH390" s="262">
        <v>115309.26972957239</v>
      </c>
      <c r="AI390" s="262">
        <v>262929.3984564456</v>
      </c>
      <c r="AJ390" s="263">
        <v>216267.2068305173</v>
      </c>
      <c r="AK390" s="262">
        <v>486658.30136609665</v>
      </c>
      <c r="AL390" s="262">
        <v>115309.26972957239</v>
      </c>
      <c r="AM390" s="262">
        <v>262929.3984564456</v>
      </c>
      <c r="AN390" s="262">
        <v>216267.2068305173</v>
      </c>
      <c r="AO390" s="263">
        <v>1081164.176382632</v>
      </c>
      <c r="AP390" s="31"/>
      <c r="AQ390" s="261">
        <v>479266.43194926635</v>
      </c>
      <c r="AR390" s="262">
        <v>111647.88560471131</v>
      </c>
      <c r="AS390" s="262">
        <v>259287.70002595356</v>
      </c>
      <c r="AT390" s="262">
        <v>207579.34398292957</v>
      </c>
      <c r="AU390" s="263">
        <v>1057781.3615628609</v>
      </c>
      <c r="AV390" s="31"/>
      <c r="AW390" s="323">
        <v>836317.26017630193</v>
      </c>
      <c r="AX390" s="31"/>
      <c r="AY390" s="747">
        <v>0</v>
      </c>
      <c r="AZ390" s="262">
        <v>99788.045884626452</v>
      </c>
      <c r="BA390" s="262">
        <v>957993.31567823444</v>
      </c>
      <c r="BB390" s="262">
        <v>9376.7222932020195</v>
      </c>
      <c r="BC390" s="263">
        <v>948616.59338503238</v>
      </c>
      <c r="BD390" s="261">
        <v>9486.1659338503232</v>
      </c>
      <c r="BE390" s="262">
        <v>939130.42745118204</v>
      </c>
      <c r="BF390" s="354">
        <v>1.1229356037124074</v>
      </c>
      <c r="BG390" s="31"/>
      <c r="BJ390" s="4">
        <v>1.1229356037124074</v>
      </c>
      <c r="BL390" s="4">
        <v>1.1939779238191766</v>
      </c>
      <c r="BM390" s="4">
        <v>0.95</v>
      </c>
      <c r="BN390" s="4" t="s">
        <v>900</v>
      </c>
      <c r="BO390" s="31" t="s">
        <v>900</v>
      </c>
      <c r="BP390" s="31" t="s">
        <v>900</v>
      </c>
      <c r="BQ390" s="31">
        <v>937877.12675217574</v>
      </c>
      <c r="BR390" s="4">
        <v>1.1214370089103078</v>
      </c>
      <c r="BS390" s="4" t="s">
        <v>900</v>
      </c>
      <c r="BT390" s="448" t="s">
        <v>900</v>
      </c>
      <c r="BU390" s="367" t="s">
        <v>900</v>
      </c>
      <c r="BV390" s="368">
        <v>939130.42745118204</v>
      </c>
      <c r="BX390" s="449">
        <v>-69679.665150026558</v>
      </c>
      <c r="BY390" s="450">
        <v>-6.9074005220052581E-2</v>
      </c>
      <c r="BZ390" s="368">
        <v>-66.022367768532291</v>
      </c>
      <c r="CB390" s="31">
        <v>77274</v>
      </c>
      <c r="CC390" s="31">
        <v>96766.131181083649</v>
      </c>
      <c r="CD390" s="31" t="e">
        <v>#VALUE!</v>
      </c>
      <c r="CE390" s="31" t="s">
        <v>900</v>
      </c>
      <c r="CF390" s="31" t="e">
        <v>#VALUE!</v>
      </c>
      <c r="CJ390" s="702" t="s">
        <v>1447</v>
      </c>
      <c r="CK390" s="702" t="s">
        <v>1447</v>
      </c>
      <c r="CL390" s="702" t="s">
        <v>1448</v>
      </c>
      <c r="CN390" s="702" t="s">
        <v>1447</v>
      </c>
      <c r="CO390" s="702" t="s">
        <v>1447</v>
      </c>
      <c r="CP390" s="702" t="s">
        <v>1447</v>
      </c>
      <c r="CQ390" s="702" t="s">
        <v>1447</v>
      </c>
      <c r="CS390" s="451">
        <v>0</v>
      </c>
      <c r="CT390" s="452">
        <v>0</v>
      </c>
      <c r="CU390" s="452">
        <v>0.95</v>
      </c>
      <c r="CV390" s="453">
        <v>0.95</v>
      </c>
    </row>
    <row r="391" spans="1:100" outlineLevel="1" x14ac:dyDescent="0.3">
      <c r="A391" s="1">
        <v>90205000</v>
      </c>
      <c r="B391" s="47">
        <v>407820</v>
      </c>
      <c r="C391" s="47">
        <v>4391</v>
      </c>
      <c r="D391" s="47" t="s">
        <v>388</v>
      </c>
      <c r="E391" s="47" t="s">
        <v>73</v>
      </c>
      <c r="F391" s="47" t="s">
        <v>1504</v>
      </c>
      <c r="G391" s="47" t="s">
        <v>1502</v>
      </c>
      <c r="H391" s="47" t="s">
        <v>1500</v>
      </c>
      <c r="I391" s="382">
        <v>696</v>
      </c>
      <c r="J391" s="382">
        <v>0</v>
      </c>
      <c r="K391" s="382">
        <v>0</v>
      </c>
      <c r="L391" s="382">
        <v>7</v>
      </c>
      <c r="M391" s="382">
        <v>0</v>
      </c>
      <c r="N391" s="382">
        <v>696</v>
      </c>
      <c r="O391" s="444">
        <v>2745</v>
      </c>
      <c r="P391" s="445">
        <v>703</v>
      </c>
      <c r="Q391" s="346">
        <v>0.25610200364298724</v>
      </c>
      <c r="R391" s="445">
        <v>2291</v>
      </c>
      <c r="S391" s="447">
        <v>1234</v>
      </c>
      <c r="T391" s="445">
        <v>-7.6393169173652993</v>
      </c>
      <c r="U391" s="444">
        <v>2723.5738103609419</v>
      </c>
      <c r="V391" s="445">
        <v>695.36068308263475</v>
      </c>
      <c r="W391" s="229">
        <v>0.25531185548831592</v>
      </c>
      <c r="X391" s="261">
        <v>324231.53119847726</v>
      </c>
      <c r="Y391" s="262">
        <v>76829.673198280434</v>
      </c>
      <c r="Z391" s="262">
        <v>128931.90666573092</v>
      </c>
      <c r="AA391" s="262">
        <v>114216.6529907337</v>
      </c>
      <c r="AB391" s="263">
        <v>644209.76405322237</v>
      </c>
      <c r="AC391" s="262">
        <v>320638.03735741886</v>
      </c>
      <c r="AD391" s="262">
        <v>75972.274245444612</v>
      </c>
      <c r="AE391" s="262">
        <v>127394.58907381812</v>
      </c>
      <c r="AF391" s="263">
        <v>112806.98295956844</v>
      </c>
      <c r="AG391" s="262">
        <v>320638.03735741886</v>
      </c>
      <c r="AH391" s="262">
        <v>75972.274245444612</v>
      </c>
      <c r="AI391" s="262">
        <v>127394.58907381812</v>
      </c>
      <c r="AJ391" s="263">
        <v>112806.98295956844</v>
      </c>
      <c r="AK391" s="262">
        <v>320638.03735741886</v>
      </c>
      <c r="AL391" s="262">
        <v>75972.274245444612</v>
      </c>
      <c r="AM391" s="262">
        <v>127394.58907381812</v>
      </c>
      <c r="AN391" s="262">
        <v>112806.98295956844</v>
      </c>
      <c r="AO391" s="263">
        <v>636811.88363625004</v>
      </c>
      <c r="AP391" s="31"/>
      <c r="AQ391" s="261">
        <v>315767.85535176593</v>
      </c>
      <c r="AR391" s="262">
        <v>73559.947122879166</v>
      </c>
      <c r="AS391" s="262">
        <v>126171.30203946237</v>
      </c>
      <c r="AT391" s="262">
        <v>111628.30442341296</v>
      </c>
      <c r="AU391" s="263">
        <v>627127.40893752046</v>
      </c>
      <c r="AV391" s="31"/>
      <c r="AW391" s="323">
        <v>616827.57315592642</v>
      </c>
      <c r="AX391" s="31"/>
      <c r="AY391" s="747">
        <v>0</v>
      </c>
      <c r="AZ391" s="262">
        <v>10299.83578159404</v>
      </c>
      <c r="BA391" s="262">
        <v>616827.57315592642</v>
      </c>
      <c r="BB391" s="262">
        <v>6037.4334158877509</v>
      </c>
      <c r="BC391" s="263">
        <v>610790.13974003866</v>
      </c>
      <c r="BD391" s="261">
        <v>6107.9013974003865</v>
      </c>
      <c r="BE391" s="262">
        <v>604682.23834263824</v>
      </c>
      <c r="BF391" s="354">
        <v>0.98031000016560865</v>
      </c>
      <c r="BG391" s="31"/>
      <c r="BJ391" s="4">
        <v>0.98031000016560865</v>
      </c>
      <c r="BL391" s="4">
        <v>0.95370829714842087</v>
      </c>
      <c r="BM391" s="4">
        <v>0.9</v>
      </c>
      <c r="BN391" s="4" t="s">
        <v>900</v>
      </c>
      <c r="BO391" s="31" t="s">
        <v>900</v>
      </c>
      <c r="BP391" s="31" t="s">
        <v>900</v>
      </c>
      <c r="BQ391" s="31">
        <v>603875.26984301431</v>
      </c>
      <c r="BR391" s="4">
        <v>0.97900174396121242</v>
      </c>
      <c r="BS391" s="4" t="s">
        <v>900</v>
      </c>
      <c r="BT391" s="448" t="s">
        <v>900</v>
      </c>
      <c r="BU391" s="367" t="s">
        <v>900</v>
      </c>
      <c r="BV391" s="368">
        <v>604682.23834263824</v>
      </c>
      <c r="BX391" s="449">
        <v>-14445.320690635592</v>
      </c>
      <c r="BY391" s="450">
        <v>-2.3332703069241095E-2</v>
      </c>
      <c r="BZ391" s="368">
        <v>-20.773853112599621</v>
      </c>
      <c r="CB391" s="31">
        <v>76412</v>
      </c>
      <c r="CC391" s="31">
        <v>90215.044415720229</v>
      </c>
      <c r="CD391" s="31" t="e">
        <v>#VALUE!</v>
      </c>
      <c r="CE391" s="31" t="s">
        <v>900</v>
      </c>
      <c r="CF391" s="31" t="e">
        <v>#VALUE!</v>
      </c>
      <c r="CJ391" s="702" t="s">
        <v>1447</v>
      </c>
      <c r="CK391" s="702" t="s">
        <v>1447</v>
      </c>
      <c r="CL391" s="702" t="s">
        <v>1448</v>
      </c>
      <c r="CN391" s="702" t="s">
        <v>1447</v>
      </c>
      <c r="CO391" s="702" t="s">
        <v>1447</v>
      </c>
      <c r="CP391" s="702" t="s">
        <v>1447</v>
      </c>
      <c r="CQ391" s="702" t="s">
        <v>1447</v>
      </c>
      <c r="CS391" s="451">
        <v>0</v>
      </c>
      <c r="CT391" s="452">
        <v>0.9</v>
      </c>
      <c r="CU391" s="452">
        <v>0</v>
      </c>
      <c r="CV391" s="453">
        <v>0.9</v>
      </c>
    </row>
    <row r="392" spans="1:100" s="237" customFormat="1" outlineLevel="1" x14ac:dyDescent="0.3">
      <c r="A392" s="236"/>
      <c r="B392" s="237">
        <v>481017</v>
      </c>
      <c r="D392" s="237" t="s">
        <v>884</v>
      </c>
      <c r="E392" s="237" t="s">
        <v>73</v>
      </c>
      <c r="F392" s="237" t="s">
        <v>900</v>
      </c>
      <c r="G392" s="237" t="s">
        <v>900</v>
      </c>
      <c r="H392" s="237" t="s">
        <v>900</v>
      </c>
      <c r="I392" s="760">
        <v>51</v>
      </c>
      <c r="J392" s="760">
        <v>0</v>
      </c>
      <c r="K392" s="760">
        <v>0</v>
      </c>
      <c r="L392" s="760">
        <v>1</v>
      </c>
      <c r="M392" s="760">
        <v>0</v>
      </c>
      <c r="N392" s="760">
        <v>51</v>
      </c>
      <c r="O392" s="525">
        <v>147</v>
      </c>
      <c r="P392" s="526">
        <v>52</v>
      </c>
      <c r="Q392" s="350">
        <v>0.35374149659863946</v>
      </c>
      <c r="R392" s="526" t="s">
        <v>900</v>
      </c>
      <c r="S392" s="528" t="s">
        <v>900</v>
      </c>
      <c r="T392" s="526"/>
      <c r="U392" s="525"/>
      <c r="V392" s="526"/>
      <c r="W392" s="241">
        <v>0</v>
      </c>
      <c r="X392" s="273">
        <v>23982.986660484799</v>
      </c>
      <c r="Y392" s="274">
        <v>5862.8500868574565</v>
      </c>
      <c r="Z392" s="274">
        <v>11923.665076024341</v>
      </c>
      <c r="AA392" s="274">
        <v>10747.785436129527</v>
      </c>
      <c r="AB392" s="275">
        <v>52517.287259496123</v>
      </c>
      <c r="AC392" s="274"/>
      <c r="AD392" s="274"/>
      <c r="AE392" s="274"/>
      <c r="AF392" s="275"/>
      <c r="AG392" s="274" t="s">
        <v>900</v>
      </c>
      <c r="AH392" s="274" t="s">
        <v>900</v>
      </c>
      <c r="AI392" s="274" t="s">
        <v>900</v>
      </c>
      <c r="AJ392" s="275" t="s">
        <v>900</v>
      </c>
      <c r="AK392" s="274"/>
      <c r="AL392" s="274"/>
      <c r="AM392" s="274"/>
      <c r="AN392" s="274"/>
      <c r="AO392" s="275"/>
      <c r="AQ392" s="273">
        <v>0</v>
      </c>
      <c r="AR392" s="274">
        <v>0</v>
      </c>
      <c r="AS392" s="274">
        <v>0</v>
      </c>
      <c r="AT392" s="274">
        <v>0</v>
      </c>
      <c r="AU392" s="275">
        <v>0</v>
      </c>
      <c r="AW392" s="327">
        <v>0</v>
      </c>
      <c r="AY392" s="379">
        <v>0</v>
      </c>
      <c r="AZ392" s="274">
        <v>0</v>
      </c>
      <c r="BA392" s="274">
        <v>0</v>
      </c>
      <c r="BB392" s="274"/>
      <c r="BC392" s="275"/>
      <c r="BD392" s="273"/>
      <c r="BE392" s="274"/>
      <c r="BF392" s="366" t="s">
        <v>1450</v>
      </c>
      <c r="BJ392" s="529"/>
      <c r="BK392" s="239"/>
      <c r="BL392" s="529"/>
      <c r="BM392" s="529"/>
      <c r="BN392" s="529"/>
      <c r="BQ392" s="242"/>
      <c r="BR392" s="529"/>
      <c r="BT392" s="530" t="s">
        <v>900</v>
      </c>
      <c r="BU392" s="531" t="s">
        <v>900</v>
      </c>
      <c r="BV392" s="532">
        <v>0</v>
      </c>
      <c r="BX392" s="533">
        <v>0</v>
      </c>
      <c r="BY392" s="534" t="s">
        <v>900</v>
      </c>
      <c r="BZ392" s="532" t="s">
        <v>900</v>
      </c>
      <c r="CB392" s="242" t="s">
        <v>900</v>
      </c>
      <c r="CC392" s="242">
        <v>0</v>
      </c>
      <c r="CD392" s="242" t="e">
        <v>#VALUE!</v>
      </c>
      <c r="CE392" s="242" t="s">
        <v>900</v>
      </c>
      <c r="CF392" s="242" t="e">
        <v>#VALUE!</v>
      </c>
      <c r="CJ392" s="535" t="s">
        <v>1447</v>
      </c>
      <c r="CK392" s="535" t="s">
        <v>1447</v>
      </c>
      <c r="CL392" s="535" t="s">
        <v>1447</v>
      </c>
      <c r="CN392" s="535" t="s">
        <v>1448</v>
      </c>
      <c r="CO392" s="535" t="s">
        <v>1448</v>
      </c>
      <c r="CP392" s="535" t="s">
        <v>1448</v>
      </c>
      <c r="CQ392" s="535" t="s">
        <v>1448</v>
      </c>
      <c r="CS392" s="536">
        <v>0.85</v>
      </c>
      <c r="CT392" s="537">
        <v>0</v>
      </c>
      <c r="CU392" s="537">
        <v>0</v>
      </c>
      <c r="CV392" s="538">
        <v>0.85</v>
      </c>
    </row>
    <row r="393" spans="1:100" s="48" customFormat="1" outlineLevel="1" x14ac:dyDescent="0.3">
      <c r="A393" s="202">
        <v>98745000</v>
      </c>
      <c r="B393" s="48">
        <v>400077</v>
      </c>
      <c r="C393" s="48">
        <v>4400</v>
      </c>
      <c r="D393" s="48" t="s">
        <v>88</v>
      </c>
      <c r="E393" s="48" t="s">
        <v>73</v>
      </c>
      <c r="F393" s="48" t="s">
        <v>1503</v>
      </c>
      <c r="G393" s="48" t="s">
        <v>1502</v>
      </c>
      <c r="H393" s="48" t="s">
        <v>1500</v>
      </c>
      <c r="O393" s="454" t="s">
        <v>900</v>
      </c>
      <c r="P393" s="455" t="s">
        <v>900</v>
      </c>
      <c r="Q393" s="347" t="s">
        <v>900</v>
      </c>
      <c r="R393" s="455">
        <v>65</v>
      </c>
      <c r="S393" s="457">
        <v>65</v>
      </c>
      <c r="T393" s="455"/>
      <c r="U393" s="454">
        <v>65</v>
      </c>
      <c r="V393" s="455">
        <v>49.787948890459916</v>
      </c>
      <c r="W393" s="230">
        <v>0.76596844446861412</v>
      </c>
      <c r="X393" s="264" t="s">
        <v>900</v>
      </c>
      <c r="Y393" s="265" t="s">
        <v>900</v>
      </c>
      <c r="Z393" s="265" t="s">
        <v>900</v>
      </c>
      <c r="AA393" s="265" t="s">
        <v>900</v>
      </c>
      <c r="AB393" s="266" t="s">
        <v>900</v>
      </c>
      <c r="AC393" s="265">
        <v>23885.936423401941</v>
      </c>
      <c r="AD393" s="265">
        <v>5924.8889954430115</v>
      </c>
      <c r="AE393" s="265">
        <v>14118.46267657504</v>
      </c>
      <c r="AF393" s="266">
        <v>14049.626937164867</v>
      </c>
      <c r="AG393" s="265">
        <v>23885.936423401941</v>
      </c>
      <c r="AH393" s="265">
        <v>5924.8889954430115</v>
      </c>
      <c r="AI393" s="265">
        <v>14118.46267657504</v>
      </c>
      <c r="AJ393" s="266">
        <v>14049.626937164867</v>
      </c>
      <c r="AK393" s="265">
        <v>23885.936423401941</v>
      </c>
      <c r="AL393" s="265">
        <v>5924.8889954430115</v>
      </c>
      <c r="AM393" s="265">
        <v>14118.46267657504</v>
      </c>
      <c r="AN393" s="265">
        <v>14049.626937164867</v>
      </c>
      <c r="AO393" s="266">
        <v>57978.91503258486</v>
      </c>
      <c r="AP393" s="203"/>
      <c r="AQ393" s="264">
        <v>23523.132126331755</v>
      </c>
      <c r="AR393" s="265">
        <v>5736.7575940356919</v>
      </c>
      <c r="AS393" s="265">
        <v>13922.915188648311</v>
      </c>
      <c r="AT393" s="265">
        <v>13485.22684304649</v>
      </c>
      <c r="AU393" s="266">
        <v>56668.031752062248</v>
      </c>
      <c r="AV393" s="203"/>
      <c r="AW393" s="324">
        <v>47763.371887200046</v>
      </c>
      <c r="AX393" s="203"/>
      <c r="AY393" s="377">
        <v>0</v>
      </c>
      <c r="AZ393" s="265">
        <v>5345.898838973073</v>
      </c>
      <c r="BA393" s="265">
        <v>51322.132913089175</v>
      </c>
      <c r="BB393" s="265">
        <v>502.33480750347366</v>
      </c>
      <c r="BC393" s="266">
        <v>50819.798105585702</v>
      </c>
      <c r="BD393" s="264">
        <v>508.19798105585704</v>
      </c>
      <c r="BE393" s="265">
        <v>50311.600124529847</v>
      </c>
      <c r="BF393" s="357">
        <v>1.0533510959684296</v>
      </c>
      <c r="BG393" s="203"/>
      <c r="BJ393" s="458">
        <v>1.0533510959684296</v>
      </c>
      <c r="BK393" s="210"/>
      <c r="BL393" s="458"/>
      <c r="BM393" s="458"/>
      <c r="BN393" s="458"/>
      <c r="BQ393" s="203">
        <v>50244.457625723444</v>
      </c>
      <c r="BR393" s="458">
        <v>1.0519453639994856</v>
      </c>
      <c r="BT393" s="459" t="s">
        <v>900</v>
      </c>
      <c r="BU393" s="460" t="s">
        <v>900</v>
      </c>
      <c r="BV393" s="461">
        <v>50311.600124529847</v>
      </c>
      <c r="BX393" s="462">
        <v>-3803.1947939079619</v>
      </c>
      <c r="BY393" s="463">
        <v>-7.0283042828321762E-2</v>
      </c>
      <c r="BZ393" s="461">
        <v>-76.387858481085345</v>
      </c>
      <c r="CB393" s="203">
        <v>14173</v>
      </c>
      <c r="CC393" s="203">
        <v>15029.054224645397</v>
      </c>
      <c r="CD393" s="203" t="e">
        <v>#VALUE!</v>
      </c>
      <c r="CE393" s="203" t="s">
        <v>900</v>
      </c>
      <c r="CF393" s="203" t="e">
        <v>#VALUE!</v>
      </c>
      <c r="CH393" s="199"/>
      <c r="CJ393" s="464" t="s">
        <v>1448</v>
      </c>
      <c r="CK393" s="464" t="s">
        <v>1447</v>
      </c>
      <c r="CL393" s="464" t="s">
        <v>1448</v>
      </c>
      <c r="CN393" s="464" t="s">
        <v>1447</v>
      </c>
      <c r="CO393" s="464" t="s">
        <v>1447</v>
      </c>
      <c r="CP393" s="464" t="s">
        <v>1447</v>
      </c>
      <c r="CQ393" s="464" t="s">
        <v>1447</v>
      </c>
      <c r="CS393" s="465">
        <v>0</v>
      </c>
      <c r="CT393" s="466">
        <v>0</v>
      </c>
      <c r="CU393" s="466">
        <v>0.95</v>
      </c>
      <c r="CV393" s="467">
        <v>0.95</v>
      </c>
    </row>
    <row r="394" spans="1:100" s="48" customFormat="1" outlineLevel="1" x14ac:dyDescent="0.3">
      <c r="A394" s="202">
        <v>98750000</v>
      </c>
      <c r="B394" s="48">
        <v>400398</v>
      </c>
      <c r="C394" s="48">
        <v>79973</v>
      </c>
      <c r="D394" s="48" t="s">
        <v>170</v>
      </c>
      <c r="E394" s="48" t="s">
        <v>73</v>
      </c>
      <c r="F394" s="48" t="s">
        <v>1498</v>
      </c>
      <c r="G394" s="48" t="s">
        <v>1499</v>
      </c>
      <c r="H394" s="48" t="s">
        <v>1500</v>
      </c>
      <c r="O394" s="454" t="s">
        <v>900</v>
      </c>
      <c r="P394" s="455" t="s">
        <v>900</v>
      </c>
      <c r="Q394" s="347" t="s">
        <v>900</v>
      </c>
      <c r="R394" s="455">
        <v>95</v>
      </c>
      <c r="S394" s="457">
        <v>64</v>
      </c>
      <c r="T394" s="455"/>
      <c r="U394" s="454">
        <v>95</v>
      </c>
      <c r="V394" s="455">
        <v>49.021980445991304</v>
      </c>
      <c r="W394" s="230">
        <v>0.51602084679990845</v>
      </c>
      <c r="X394" s="264" t="s">
        <v>900</v>
      </c>
      <c r="Y394" s="265" t="s">
        <v>900</v>
      </c>
      <c r="Z394" s="265" t="s">
        <v>900</v>
      </c>
      <c r="AA394" s="265" t="s">
        <v>900</v>
      </c>
      <c r="AB394" s="266" t="s">
        <v>900</v>
      </c>
      <c r="AC394" s="265">
        <v>23518.460478426528</v>
      </c>
      <c r="AD394" s="265">
        <v>5833.736857051581</v>
      </c>
      <c r="AE394" s="265">
        <v>13901.255558473886</v>
      </c>
      <c r="AF394" s="266">
        <v>13833.478830439253</v>
      </c>
      <c r="AG394" s="265">
        <v>23518.460478426528</v>
      </c>
      <c r="AH394" s="265">
        <v>5833.736857051581</v>
      </c>
      <c r="AI394" s="265">
        <v>13901.255558473886</v>
      </c>
      <c r="AJ394" s="266">
        <v>13833.478830439253</v>
      </c>
      <c r="AK394" s="265">
        <v>23518.460478426528</v>
      </c>
      <c r="AL394" s="265">
        <v>5833.736857051581</v>
      </c>
      <c r="AM394" s="265">
        <v>13901.255558473886</v>
      </c>
      <c r="AN394" s="265">
        <v>13833.478830439253</v>
      </c>
      <c r="AO394" s="266">
        <v>57086.931724391252</v>
      </c>
      <c r="AP394" s="203"/>
      <c r="AQ394" s="264">
        <v>39177.397927593614</v>
      </c>
      <c r="AR394" s="265">
        <v>9816.6531626192482</v>
      </c>
      <c r="AS394" s="265">
        <v>21654.949867224379</v>
      </c>
      <c r="AT394" s="265">
        <v>22641.111791135583</v>
      </c>
      <c r="AU394" s="266">
        <v>93290.112748572821</v>
      </c>
      <c r="AV394" s="203"/>
      <c r="AW394" s="324">
        <v>97232.578484657221</v>
      </c>
      <c r="AX394" s="203"/>
      <c r="AY394" s="377">
        <v>0</v>
      </c>
      <c r="AZ394" s="265">
        <v>0</v>
      </c>
      <c r="BA394" s="265">
        <v>93290.112748572821</v>
      </c>
      <c r="BB394" s="265">
        <v>913.11230008485859</v>
      </c>
      <c r="BC394" s="266">
        <v>92377.000448487961</v>
      </c>
      <c r="BD394" s="264">
        <v>923.77000448487968</v>
      </c>
      <c r="BE394" s="265">
        <v>91453.230444003086</v>
      </c>
      <c r="BF394" s="357">
        <v>0.94056160876607742</v>
      </c>
      <c r="BG394" s="203"/>
      <c r="BJ394" s="458">
        <v>0.94056160876607742</v>
      </c>
      <c r="BK394" s="210"/>
      <c r="BL394" s="458"/>
      <c r="BM394" s="458"/>
      <c r="BN394" s="458"/>
      <c r="BQ394" s="203">
        <v>91331.183075190929</v>
      </c>
      <c r="BR394" s="458">
        <v>0.93930639810814542</v>
      </c>
      <c r="BT394" s="459" t="s">
        <v>900</v>
      </c>
      <c r="BU394" s="460" t="s">
        <v>900</v>
      </c>
      <c r="BV394" s="461">
        <v>91453.230444003086</v>
      </c>
      <c r="BX394" s="462">
        <v>35950.87668150277</v>
      </c>
      <c r="BY394" s="463">
        <v>0.64776292403689817</v>
      </c>
      <c r="BZ394" s="461">
        <v>733.36238875764548</v>
      </c>
      <c r="CB394" s="203" t="s">
        <v>900</v>
      </c>
      <c r="CC394" s="203">
        <v>874.41776552906845</v>
      </c>
      <c r="CD394" s="203" t="e">
        <v>#VALUE!</v>
      </c>
      <c r="CE394" s="203" t="s">
        <v>900</v>
      </c>
      <c r="CF394" s="203" t="e">
        <v>#VALUE!</v>
      </c>
      <c r="CH394" s="199"/>
      <c r="CJ394" s="464" t="s">
        <v>1448</v>
      </c>
      <c r="CK394" s="464" t="s">
        <v>1447</v>
      </c>
      <c r="CL394" s="464" t="s">
        <v>1448</v>
      </c>
      <c r="CN394" s="464" t="s">
        <v>1447</v>
      </c>
      <c r="CO394" s="464" t="s">
        <v>1447</v>
      </c>
      <c r="CP394" s="464" t="s">
        <v>1447</v>
      </c>
      <c r="CQ394" s="464" t="s">
        <v>1447</v>
      </c>
      <c r="CS394" s="465">
        <v>0</v>
      </c>
      <c r="CT394" s="466">
        <v>0</v>
      </c>
      <c r="CU394" s="466">
        <v>0.95</v>
      </c>
      <c r="CV394" s="467">
        <v>0.95</v>
      </c>
    </row>
    <row r="395" spans="1:100" s="48" customFormat="1" outlineLevel="1" x14ac:dyDescent="0.3">
      <c r="A395" s="202">
        <v>98746000</v>
      </c>
      <c r="B395" s="48">
        <v>400154</v>
      </c>
      <c r="C395" s="48">
        <v>6353</v>
      </c>
      <c r="D395" s="48" t="s">
        <v>1541</v>
      </c>
      <c r="E395" s="48" t="s">
        <v>73</v>
      </c>
      <c r="F395" s="48" t="s">
        <v>1501</v>
      </c>
      <c r="G395" s="48" t="s">
        <v>1502</v>
      </c>
      <c r="H395" s="48" t="s">
        <v>1500</v>
      </c>
      <c r="O395" s="454" t="s">
        <v>900</v>
      </c>
      <c r="P395" s="455" t="s">
        <v>900</v>
      </c>
      <c r="Q395" s="347" t="s">
        <v>900</v>
      </c>
      <c r="R395" s="455">
        <v>62</v>
      </c>
      <c r="S395" s="457">
        <v>32</v>
      </c>
      <c r="T395" s="455"/>
      <c r="U395" s="454">
        <v>62</v>
      </c>
      <c r="V395" s="455">
        <v>24.510990222995652</v>
      </c>
      <c r="W395" s="230">
        <v>0.39533855198380086</v>
      </c>
      <c r="X395" s="264" t="s">
        <v>900</v>
      </c>
      <c r="Y395" s="265" t="s">
        <v>900</v>
      </c>
      <c r="Z395" s="265" t="s">
        <v>900</v>
      </c>
      <c r="AA395" s="265" t="s">
        <v>900</v>
      </c>
      <c r="AB395" s="266" t="s">
        <v>900</v>
      </c>
      <c r="AC395" s="265">
        <v>11759.230239213264</v>
      </c>
      <c r="AD395" s="265">
        <v>2916.8684285257905</v>
      </c>
      <c r="AE395" s="265">
        <v>6950.6277792369428</v>
      </c>
      <c r="AF395" s="266">
        <v>6916.7394152196266</v>
      </c>
      <c r="AG395" s="265">
        <v>11759.230239213264</v>
      </c>
      <c r="AH395" s="265">
        <v>2916.8684285257905</v>
      </c>
      <c r="AI395" s="265">
        <v>6950.6277792369428</v>
      </c>
      <c r="AJ395" s="266">
        <v>6916.7394152196266</v>
      </c>
      <c r="AK395" s="265">
        <v>11759.230239213264</v>
      </c>
      <c r="AL395" s="265">
        <v>2916.8684285257905</v>
      </c>
      <c r="AM395" s="265">
        <v>6950.6277792369428</v>
      </c>
      <c r="AN395" s="265">
        <v>6916.7394152196266</v>
      </c>
      <c r="AO395" s="266">
        <v>28543.465862195626</v>
      </c>
      <c r="AP395" s="203"/>
      <c r="AQ395" s="264">
        <v>26805.588055721953</v>
      </c>
      <c r="AR395" s="265">
        <v>6716.6574270552765</v>
      </c>
      <c r="AS395" s="265">
        <v>14816.544645995627</v>
      </c>
      <c r="AT395" s="265">
        <v>15491.287014987505</v>
      </c>
      <c r="AU395" s="266">
        <v>63830.077143760369</v>
      </c>
      <c r="AV395" s="203"/>
      <c r="AW395" s="324">
        <v>66527.553700028628</v>
      </c>
      <c r="AX395" s="203"/>
      <c r="AY395" s="377">
        <v>0</v>
      </c>
      <c r="AZ395" s="265">
        <v>0</v>
      </c>
      <c r="BA395" s="265">
        <v>63830.077143760369</v>
      </c>
      <c r="BB395" s="265">
        <v>624.76104742648238</v>
      </c>
      <c r="BC395" s="266">
        <v>63205.316096333889</v>
      </c>
      <c r="BD395" s="264">
        <v>632.05316096333888</v>
      </c>
      <c r="BE395" s="265">
        <v>62573.262935370549</v>
      </c>
      <c r="BF395" s="357">
        <v>0.94056160876607764</v>
      </c>
      <c r="BG395" s="203"/>
      <c r="BJ395" s="458">
        <v>0.94056160876607764</v>
      </c>
      <c r="BK395" s="210"/>
      <c r="BL395" s="458"/>
      <c r="BM395" s="458"/>
      <c r="BN395" s="458"/>
      <c r="BQ395" s="203">
        <v>62489.756840920127</v>
      </c>
      <c r="BR395" s="458">
        <v>0.93930639810814565</v>
      </c>
      <c r="BT395" s="459" t="s">
        <v>900</v>
      </c>
      <c r="BU395" s="460" t="s">
        <v>900</v>
      </c>
      <c r="BV395" s="461">
        <v>62573.262935370549</v>
      </c>
      <c r="BX395" s="462">
        <v>34822.086054120387</v>
      </c>
      <c r="BY395" s="463">
        <v>1.2548487472678032</v>
      </c>
      <c r="BZ395" s="461">
        <v>1420.6723489062103</v>
      </c>
      <c r="CB395" s="203">
        <v>27380</v>
      </c>
      <c r="CC395" s="203">
        <v>27831.958472610797</v>
      </c>
      <c r="CD395" s="203" t="e">
        <v>#VALUE!</v>
      </c>
      <c r="CE395" s="203" t="s">
        <v>900</v>
      </c>
      <c r="CF395" s="203" t="e">
        <v>#VALUE!</v>
      </c>
      <c r="CH395" s="199"/>
      <c r="CJ395" s="464" t="s">
        <v>1448</v>
      </c>
      <c r="CK395" s="464" t="s">
        <v>1447</v>
      </c>
      <c r="CL395" s="464" t="s">
        <v>1448</v>
      </c>
      <c r="CN395" s="464" t="s">
        <v>1447</v>
      </c>
      <c r="CO395" s="464" t="s">
        <v>1447</v>
      </c>
      <c r="CP395" s="464" t="s">
        <v>1447</v>
      </c>
      <c r="CQ395" s="464" t="s">
        <v>1447</v>
      </c>
      <c r="CS395" s="465">
        <v>0</v>
      </c>
      <c r="CT395" s="466">
        <v>0</v>
      </c>
      <c r="CU395" s="466">
        <v>0.95</v>
      </c>
      <c r="CV395" s="467">
        <v>0.95</v>
      </c>
    </row>
    <row r="396" spans="1:100" s="48" customFormat="1" outlineLevel="1" x14ac:dyDescent="0.3">
      <c r="A396" s="202">
        <v>108796000</v>
      </c>
      <c r="D396" s="48" t="s">
        <v>1542</v>
      </c>
      <c r="E396" s="48" t="s">
        <v>73</v>
      </c>
      <c r="F396" s="48" t="s">
        <v>900</v>
      </c>
      <c r="G396" s="48" t="s">
        <v>900</v>
      </c>
      <c r="H396" s="48" t="s">
        <v>900</v>
      </c>
      <c r="O396" s="454" t="s">
        <v>900</v>
      </c>
      <c r="P396" s="455" t="s">
        <v>900</v>
      </c>
      <c r="Q396" s="347" t="s">
        <v>900</v>
      </c>
      <c r="R396" s="455">
        <v>98.384317104696251</v>
      </c>
      <c r="S396" s="457">
        <v>39.379577768203362</v>
      </c>
      <c r="T396" s="455"/>
      <c r="U396" s="454">
        <v>98.384317104696251</v>
      </c>
      <c r="V396" s="455">
        <v>30.163513926941548</v>
      </c>
      <c r="W396" s="230">
        <v>0.30658863947637982</v>
      </c>
      <c r="X396" s="264"/>
      <c r="Y396" s="265"/>
      <c r="Z396" s="265"/>
      <c r="AA396" s="265"/>
      <c r="AB396" s="266"/>
      <c r="AC396" s="265">
        <v>14471.047553103355</v>
      </c>
      <c r="AD396" s="265">
        <v>3589.5327225233905</v>
      </c>
      <c r="AE396" s="265">
        <v>8553.5245990717449</v>
      </c>
      <c r="AF396" s="266">
        <v>8511.8211782512099</v>
      </c>
      <c r="AG396" s="265">
        <v>14471.047553103355</v>
      </c>
      <c r="AH396" s="265">
        <v>3589.5327225233905</v>
      </c>
      <c r="AI396" s="265">
        <v>8553.5245990717449</v>
      </c>
      <c r="AJ396" s="266">
        <v>8511.8211782512099</v>
      </c>
      <c r="AK396" s="265">
        <v>14471.047553103355</v>
      </c>
      <c r="AL396" s="265">
        <v>3589.5327225233905</v>
      </c>
      <c r="AM396" s="265">
        <v>8553.5245990717449</v>
      </c>
      <c r="AN396" s="265">
        <v>8511.8211782512099</v>
      </c>
      <c r="AO396" s="266">
        <v>35125.926052949697</v>
      </c>
      <c r="AP396" s="203"/>
      <c r="AQ396" s="264">
        <v>0</v>
      </c>
      <c r="AR396" s="265">
        <v>0</v>
      </c>
      <c r="AS396" s="265">
        <v>0</v>
      </c>
      <c r="AT396" s="265">
        <v>0</v>
      </c>
      <c r="AU396" s="266">
        <v>0</v>
      </c>
      <c r="AV396" s="203"/>
      <c r="AW396" s="324">
        <v>0</v>
      </c>
      <c r="AX396" s="203"/>
      <c r="AY396" s="377">
        <v>0</v>
      </c>
      <c r="AZ396" s="265">
        <v>0</v>
      </c>
      <c r="BA396" s="265">
        <v>0</v>
      </c>
      <c r="BB396" s="265">
        <v>0</v>
      </c>
      <c r="BC396" s="266">
        <v>0</v>
      </c>
      <c r="BD396" s="264">
        <v>0</v>
      </c>
      <c r="BE396" s="265">
        <v>0</v>
      </c>
      <c r="BF396" s="357" t="s">
        <v>1450</v>
      </c>
      <c r="BG396" s="203"/>
      <c r="BJ396" s="458"/>
      <c r="BK396" s="210"/>
      <c r="BL396" s="458"/>
      <c r="BM396" s="458"/>
      <c r="BN396" s="458"/>
      <c r="BQ396" s="203">
        <v>0</v>
      </c>
      <c r="BR396" s="458"/>
      <c r="BT396" s="459">
        <v>0</v>
      </c>
      <c r="BU396" s="460"/>
      <c r="BV396" s="461">
        <v>0</v>
      </c>
      <c r="BX396" s="462">
        <v>-34150.925879823677</v>
      </c>
      <c r="BY396" s="463">
        <v>-1.0000414533041286</v>
      </c>
      <c r="BZ396" s="461">
        <v>-1132.1932173598859</v>
      </c>
      <c r="CB396" s="203" t="s">
        <v>900</v>
      </c>
      <c r="CC396" s="203">
        <v>578.65199205798808</v>
      </c>
      <c r="CD396" s="203" t="e">
        <v>#VALUE!</v>
      </c>
      <c r="CE396" s="203" t="s">
        <v>900</v>
      </c>
      <c r="CF396" s="203" t="e">
        <v>#VALUE!</v>
      </c>
      <c r="CH396" s="199"/>
      <c r="CJ396" s="464" t="s">
        <v>1448</v>
      </c>
      <c r="CK396" s="464" t="s">
        <v>1447</v>
      </c>
      <c r="CL396" s="464" t="s">
        <v>1448</v>
      </c>
      <c r="CN396" s="464" t="s">
        <v>1447</v>
      </c>
      <c r="CO396" s="464" t="s">
        <v>1447</v>
      </c>
      <c r="CP396" s="464" t="s">
        <v>1447</v>
      </c>
      <c r="CQ396" s="464" t="s">
        <v>1447</v>
      </c>
      <c r="CS396" s="465">
        <v>0</v>
      </c>
      <c r="CT396" s="466">
        <v>0</v>
      </c>
      <c r="CU396" s="466">
        <v>0.95</v>
      </c>
      <c r="CV396" s="467">
        <v>0.95</v>
      </c>
    </row>
    <row r="397" spans="1:100" s="469" customFormat="1" outlineLevel="1" x14ac:dyDescent="0.3">
      <c r="A397" s="468"/>
      <c r="D397" s="469" t="s">
        <v>878</v>
      </c>
      <c r="E397" s="469" t="s">
        <v>900</v>
      </c>
      <c r="F397" s="469" t="s">
        <v>900</v>
      </c>
      <c r="G397" s="469" t="s">
        <v>900</v>
      </c>
      <c r="H397" s="469" t="s">
        <v>900</v>
      </c>
      <c r="I397" s="469">
        <v>0</v>
      </c>
      <c r="J397" s="469">
        <v>0</v>
      </c>
      <c r="K397" s="469">
        <v>0</v>
      </c>
      <c r="L397" s="469">
        <v>0</v>
      </c>
      <c r="M397" s="469">
        <v>0</v>
      </c>
      <c r="N397" s="469">
        <v>0</v>
      </c>
      <c r="O397" s="470">
        <v>0</v>
      </c>
      <c r="P397" s="471">
        <v>0</v>
      </c>
      <c r="Q397" s="846"/>
      <c r="R397" s="471">
        <v>320.38431710469627</v>
      </c>
      <c r="S397" s="472">
        <v>200.37957776820338</v>
      </c>
      <c r="T397" s="471"/>
      <c r="U397" s="470">
        <v>320.38431710469627</v>
      </c>
      <c r="V397" s="471">
        <v>153.48443348638841</v>
      </c>
      <c r="W397" s="473"/>
      <c r="X397" s="474"/>
      <c r="Y397" s="475"/>
      <c r="Z397" s="475"/>
      <c r="AA397" s="475"/>
      <c r="AB397" s="476"/>
      <c r="AC397" s="475">
        <v>73634.674694145084</v>
      </c>
      <c r="AD397" s="475">
        <v>18265.027003543772</v>
      </c>
      <c r="AE397" s="475">
        <v>43523.870613357612</v>
      </c>
      <c r="AF397" s="476">
        <v>43311.666361074953</v>
      </c>
      <c r="AG397" s="475"/>
      <c r="AH397" s="475"/>
      <c r="AI397" s="475"/>
      <c r="AJ397" s="476"/>
      <c r="AK397" s="475"/>
      <c r="AL397" s="475"/>
      <c r="AM397" s="475"/>
      <c r="AN397" s="475"/>
      <c r="AO397" s="476"/>
      <c r="AQ397" s="474"/>
      <c r="AR397" s="475"/>
      <c r="AS397" s="475"/>
      <c r="AT397" s="475"/>
      <c r="AU397" s="476"/>
      <c r="AW397" s="477"/>
      <c r="AY397" s="847"/>
      <c r="AZ397" s="475"/>
      <c r="BA397" s="475"/>
      <c r="BB397" s="475"/>
      <c r="BC397" s="476"/>
      <c r="BD397" s="474"/>
      <c r="BE397" s="475"/>
      <c r="BF397" s="478" t="s">
        <v>1450</v>
      </c>
      <c r="BJ397" s="479"/>
      <c r="BK397" s="480"/>
      <c r="BL397" s="479"/>
      <c r="BM397" s="479"/>
      <c r="BN397" s="479"/>
      <c r="BQ397" s="481"/>
      <c r="BR397" s="479"/>
      <c r="BT397" s="482">
        <v>0</v>
      </c>
      <c r="BU397" s="483"/>
      <c r="BV397" s="484"/>
      <c r="BX397" s="485"/>
      <c r="BY397" s="486" t="s">
        <v>900</v>
      </c>
      <c r="BZ397" s="484">
        <v>0</v>
      </c>
      <c r="CB397" s="481"/>
      <c r="CE397" s="481"/>
      <c r="CH397" s="199"/>
      <c r="CJ397" s="487" t="s">
        <v>1450</v>
      </c>
      <c r="CK397" s="487" t="s">
        <v>1448</v>
      </c>
      <c r="CL397" s="487" t="s">
        <v>1448</v>
      </c>
      <c r="CN397" s="487" t="s">
        <v>1448</v>
      </c>
      <c r="CO397" s="487" t="s">
        <v>1450</v>
      </c>
      <c r="CP397" s="487" t="s">
        <v>1450</v>
      </c>
      <c r="CQ397" s="487" t="s">
        <v>1450</v>
      </c>
      <c r="CS397" s="488">
        <v>0.85</v>
      </c>
      <c r="CT397" s="489">
        <v>0</v>
      </c>
      <c r="CU397" s="489">
        <v>0</v>
      </c>
      <c r="CV397" s="490">
        <v>0.85</v>
      </c>
    </row>
    <row r="398" spans="1:100" s="492" customFormat="1" outlineLevel="1" x14ac:dyDescent="0.3">
      <c r="A398" s="491" t="s">
        <v>880</v>
      </c>
      <c r="B398" s="492">
        <v>0.76596844446861412</v>
      </c>
      <c r="D398" s="492" t="s">
        <v>879</v>
      </c>
      <c r="E398" s="492" t="s">
        <v>900</v>
      </c>
      <c r="F398" s="492" t="s">
        <v>900</v>
      </c>
      <c r="G398" s="492" t="s">
        <v>900</v>
      </c>
      <c r="H398" s="492" t="s">
        <v>900</v>
      </c>
      <c r="I398" s="492">
        <v>9296</v>
      </c>
      <c r="J398" s="492">
        <v>0</v>
      </c>
      <c r="K398" s="492">
        <v>0</v>
      </c>
      <c r="L398" s="492">
        <v>92</v>
      </c>
      <c r="M398" s="492">
        <v>0</v>
      </c>
      <c r="N398" s="492">
        <v>9296</v>
      </c>
      <c r="O398" s="493">
        <v>22360</v>
      </c>
      <c r="P398" s="494">
        <v>9388</v>
      </c>
      <c r="Q398" s="848"/>
      <c r="R398" s="494">
        <v>16960.384317104697</v>
      </c>
      <c r="S398" s="495">
        <v>12256.379577768203</v>
      </c>
      <c r="T398" s="494"/>
      <c r="U398" s="493">
        <v>22360</v>
      </c>
      <c r="V398" s="494">
        <v>9388.0000000000018</v>
      </c>
      <c r="W398" s="496"/>
      <c r="X398" s="497">
        <v>4503924.6673177434</v>
      </c>
      <c r="Y398" s="498">
        <v>1117195.2074506355</v>
      </c>
      <c r="Z398" s="498">
        <v>2662172.8864408764</v>
      </c>
      <c r="AA398" s="498">
        <v>2649193.2410450699</v>
      </c>
      <c r="AB398" s="499">
        <v>10932486.002254324</v>
      </c>
      <c r="AC398" s="498">
        <v>4503924.6673177443</v>
      </c>
      <c r="AD398" s="498">
        <v>1117195.207450635</v>
      </c>
      <c r="AE398" s="498">
        <v>2662172.8864408764</v>
      </c>
      <c r="AF398" s="499">
        <v>2649193.2410450699</v>
      </c>
      <c r="AG398" s="498">
        <v>4503924.6673177443</v>
      </c>
      <c r="AH398" s="498">
        <v>1117195.207450635</v>
      </c>
      <c r="AI398" s="498">
        <v>2662172.8864408764</v>
      </c>
      <c r="AJ398" s="499">
        <v>2649193.2410450699</v>
      </c>
      <c r="AK398" s="498">
        <v>4503924.6673177443</v>
      </c>
      <c r="AL398" s="498">
        <v>1117195.207450635</v>
      </c>
      <c r="AM398" s="498">
        <v>2662172.8864408764</v>
      </c>
      <c r="AN398" s="498">
        <v>2649193.2410450699</v>
      </c>
      <c r="AO398" s="499">
        <v>10932486.002254324</v>
      </c>
      <c r="AP398" s="500"/>
      <c r="AQ398" s="497">
        <v>4460922.5854074778</v>
      </c>
      <c r="AR398" s="498">
        <v>1094380.4157912347</v>
      </c>
      <c r="AS398" s="498">
        <v>2638769.530052694</v>
      </c>
      <c r="AT398" s="498">
        <v>2611451.7890474275</v>
      </c>
      <c r="AU398" s="499">
        <v>10805524.320298837</v>
      </c>
      <c r="AV398" s="500"/>
      <c r="AW398" s="501">
        <v>10051437.586013338</v>
      </c>
      <c r="AX398" s="500"/>
      <c r="AY398" s="849">
        <v>0</v>
      </c>
      <c r="AZ398" s="498">
        <v>331853.87871504884</v>
      </c>
      <c r="BA398" s="498">
        <v>10473670.441583786</v>
      </c>
      <c r="BB398" s="498">
        <v>102515.01499435882</v>
      </c>
      <c r="BC398" s="499">
        <v>10371155.426589428</v>
      </c>
      <c r="BD398" s="497">
        <v>103711.55426589427</v>
      </c>
      <c r="BE398" s="498">
        <v>10267443.872323535</v>
      </c>
      <c r="BF398" s="502">
        <v>1.0214900888019016</v>
      </c>
      <c r="BG398" s="500"/>
      <c r="BJ398" s="503"/>
      <c r="BK398" s="504"/>
      <c r="BL398" s="503"/>
      <c r="BM398" s="503"/>
      <c r="BN398" s="503"/>
      <c r="BO398" s="500">
        <v>6894.8263122258941</v>
      </c>
      <c r="BP398" s="500">
        <v>5107868.1246255934</v>
      </c>
      <c r="BQ398" s="500">
        <v>10267443.872323532</v>
      </c>
      <c r="BR398" s="503"/>
      <c r="BT398" s="497">
        <v>0</v>
      </c>
      <c r="BU398" s="498">
        <v>0</v>
      </c>
      <c r="BV398" s="499">
        <v>10267443.872323535</v>
      </c>
      <c r="BX398" s="506"/>
      <c r="BY398" s="507" t="s">
        <v>900</v>
      </c>
      <c r="BZ398" s="505">
        <v>0</v>
      </c>
      <c r="CB398" s="500"/>
      <c r="CE398" s="500"/>
      <c r="CH398" s="395"/>
      <c r="CJ398" s="487" t="s">
        <v>1450</v>
      </c>
      <c r="CK398" s="487" t="s">
        <v>1448</v>
      </c>
      <c r="CL398" s="508" t="s">
        <v>1448</v>
      </c>
      <c r="CN398" s="487" t="s">
        <v>1448</v>
      </c>
      <c r="CO398" s="487" t="s">
        <v>1450</v>
      </c>
      <c r="CP398" s="487" t="s">
        <v>1450</v>
      </c>
      <c r="CQ398" s="487" t="s">
        <v>1450</v>
      </c>
      <c r="CS398" s="488">
        <v>0.85</v>
      </c>
      <c r="CT398" s="489">
        <v>0</v>
      </c>
      <c r="CU398" s="489">
        <v>0</v>
      </c>
      <c r="CV398" s="490">
        <v>0.85</v>
      </c>
    </row>
    <row r="399" spans="1:100" s="469" customFormat="1" outlineLevel="1" x14ac:dyDescent="0.3">
      <c r="A399" s="468"/>
      <c r="E399" s="469" t="s">
        <v>900</v>
      </c>
      <c r="F399" s="469" t="s">
        <v>900</v>
      </c>
      <c r="G399" s="469" t="s">
        <v>900</v>
      </c>
      <c r="H399" s="469" t="s">
        <v>900</v>
      </c>
      <c r="O399" s="470"/>
      <c r="P399" s="471"/>
      <c r="Q399" s="846"/>
      <c r="R399" s="471"/>
      <c r="S399" s="472"/>
      <c r="T399" s="471"/>
      <c r="U399" s="470"/>
      <c r="V399" s="471"/>
      <c r="W399" s="473"/>
      <c r="X399" s="474">
        <v>479.75337316976379</v>
      </c>
      <c r="Y399" s="475">
        <v>119.00247203351462</v>
      </c>
      <c r="Z399" s="475">
        <v>283.57188820205323</v>
      </c>
      <c r="AA399" s="475">
        <v>282.18930986845646</v>
      </c>
      <c r="AB399" s="476" t="s">
        <v>900</v>
      </c>
      <c r="AC399" s="475"/>
      <c r="AD399" s="475"/>
      <c r="AE399" s="475"/>
      <c r="AF399" s="476"/>
      <c r="AG399" s="475">
        <v>0</v>
      </c>
      <c r="AH399" s="475">
        <v>0</v>
      </c>
      <c r="AI399" s="475">
        <v>0</v>
      </c>
      <c r="AJ399" s="476">
        <v>0</v>
      </c>
      <c r="AK399" s="475"/>
      <c r="AL399" s="475"/>
      <c r="AM399" s="475"/>
      <c r="AN399" s="475"/>
      <c r="AO399" s="476"/>
      <c r="AQ399" s="474"/>
      <c r="AR399" s="475"/>
      <c r="AS399" s="475"/>
      <c r="AT399" s="475"/>
      <c r="AU399" s="476"/>
      <c r="AW399" s="477"/>
      <c r="AY399" s="847"/>
      <c r="AZ399" s="475"/>
      <c r="BA399" s="475"/>
      <c r="BB399" s="475"/>
      <c r="BC399" s="476"/>
      <c r="BD399" s="474"/>
      <c r="BE399" s="475"/>
      <c r="BF399" s="478" t="s">
        <v>1450</v>
      </c>
      <c r="BJ399" s="479"/>
      <c r="BK399" s="480"/>
      <c r="BL399" s="479"/>
      <c r="BM399" s="479"/>
      <c r="BN399" s="479"/>
      <c r="BQ399" s="481"/>
      <c r="BR399" s="479"/>
      <c r="BT399" s="482">
        <v>0</v>
      </c>
      <c r="BU399" s="483"/>
      <c r="BV399" s="484"/>
      <c r="BX399" s="485"/>
      <c r="BY399" s="486" t="s">
        <v>900</v>
      </c>
      <c r="BZ399" s="484" t="s">
        <v>900</v>
      </c>
      <c r="CB399" s="481"/>
      <c r="CE399" s="481"/>
      <c r="CH399" s="199"/>
      <c r="CJ399" s="487" t="s">
        <v>1450</v>
      </c>
      <c r="CK399" s="487" t="s">
        <v>1448</v>
      </c>
      <c r="CL399" s="487" t="s">
        <v>1448</v>
      </c>
      <c r="CN399" s="487" t="s">
        <v>1448</v>
      </c>
      <c r="CO399" s="487" t="s">
        <v>1450</v>
      </c>
      <c r="CP399" s="487" t="s">
        <v>1450</v>
      </c>
      <c r="CQ399" s="487" t="s">
        <v>1450</v>
      </c>
      <c r="CS399" s="488">
        <v>0.85</v>
      </c>
      <c r="CT399" s="489">
        <v>0</v>
      </c>
      <c r="CU399" s="489">
        <v>0</v>
      </c>
      <c r="CV399" s="490">
        <v>0.85</v>
      </c>
    </row>
    <row r="400" spans="1:100" s="199" customFormat="1" outlineLevel="1" x14ac:dyDescent="0.3">
      <c r="A400" s="201"/>
      <c r="E400" s="199" t="s">
        <v>900</v>
      </c>
      <c r="F400" s="199" t="s">
        <v>900</v>
      </c>
      <c r="G400" s="199" t="s">
        <v>900</v>
      </c>
      <c r="H400" s="199" t="s">
        <v>900</v>
      </c>
      <c r="O400" s="509" t="s">
        <v>900</v>
      </c>
      <c r="P400" s="510" t="s">
        <v>900</v>
      </c>
      <c r="Q400" s="349" t="s">
        <v>900</v>
      </c>
      <c r="R400" s="510" t="s">
        <v>900</v>
      </c>
      <c r="S400" s="512" t="s">
        <v>900</v>
      </c>
      <c r="T400" s="510"/>
      <c r="U400" s="509"/>
      <c r="V400" s="510"/>
      <c r="W400" s="232"/>
      <c r="X400" s="270" t="s">
        <v>900</v>
      </c>
      <c r="Y400" s="271" t="s">
        <v>900</v>
      </c>
      <c r="Z400" s="271" t="s">
        <v>900</v>
      </c>
      <c r="AA400" s="271" t="s">
        <v>900</v>
      </c>
      <c r="AB400" s="272" t="s">
        <v>900</v>
      </c>
      <c r="AC400" s="271"/>
      <c r="AD400" s="271"/>
      <c r="AE400" s="271"/>
      <c r="AF400" s="272"/>
      <c r="AG400" s="271"/>
      <c r="AH400" s="271"/>
      <c r="AI400" s="271"/>
      <c r="AJ400" s="272"/>
      <c r="AK400" s="271"/>
      <c r="AL400" s="271"/>
      <c r="AM400" s="271"/>
      <c r="AN400" s="271"/>
      <c r="AO400" s="272"/>
      <c r="AQ400" s="270"/>
      <c r="AR400" s="271"/>
      <c r="AS400" s="271"/>
      <c r="AT400" s="271"/>
      <c r="AU400" s="272"/>
      <c r="AW400" s="326"/>
      <c r="AY400" s="378"/>
      <c r="AZ400" s="271"/>
      <c r="BA400" s="271"/>
      <c r="BB400" s="271"/>
      <c r="BC400" s="272"/>
      <c r="BD400" s="270"/>
      <c r="BE400" s="271"/>
      <c r="BF400" s="363" t="s">
        <v>1450</v>
      </c>
      <c r="BJ400" s="513"/>
      <c r="BK400" s="221"/>
      <c r="BL400" s="513"/>
      <c r="BM400" s="513"/>
      <c r="BN400" s="513"/>
      <c r="BQ400" s="200"/>
      <c r="BR400" s="513"/>
      <c r="BT400" s="514">
        <v>0</v>
      </c>
      <c r="BU400" s="515"/>
      <c r="BV400" s="516"/>
      <c r="BX400" s="517"/>
      <c r="BY400" s="518" t="s">
        <v>900</v>
      </c>
      <c r="BZ400" s="516" t="s">
        <v>900</v>
      </c>
      <c r="CB400" s="200"/>
      <c r="CE400" s="200"/>
      <c r="CJ400" s="519" t="s">
        <v>1450</v>
      </c>
      <c r="CK400" s="519" t="s">
        <v>1448</v>
      </c>
      <c r="CL400" s="519" t="s">
        <v>1448</v>
      </c>
      <c r="CN400" s="519" t="s">
        <v>1448</v>
      </c>
      <c r="CO400" s="519" t="s">
        <v>1450</v>
      </c>
      <c r="CP400" s="519" t="s">
        <v>1450</v>
      </c>
      <c r="CQ400" s="519" t="s">
        <v>1450</v>
      </c>
      <c r="CS400" s="520">
        <v>0.85</v>
      </c>
      <c r="CT400" s="521">
        <v>0</v>
      </c>
      <c r="CU400" s="521">
        <v>0</v>
      </c>
      <c r="CV400" s="522">
        <v>0.85</v>
      </c>
    </row>
    <row r="401" spans="1:100" outlineLevel="1" x14ac:dyDescent="0.3">
      <c r="A401" s="1">
        <v>100335000</v>
      </c>
      <c r="B401" s="47">
        <v>407380</v>
      </c>
      <c r="C401" s="47">
        <v>4414</v>
      </c>
      <c r="D401" s="47" t="s">
        <v>371</v>
      </c>
      <c r="E401" s="47" t="s">
        <v>9</v>
      </c>
      <c r="F401" s="47" t="s">
        <v>1498</v>
      </c>
      <c r="G401" s="47" t="s">
        <v>1499</v>
      </c>
      <c r="H401" s="47" t="s">
        <v>1512</v>
      </c>
      <c r="I401" s="382">
        <v>0</v>
      </c>
      <c r="J401" s="382">
        <v>0</v>
      </c>
      <c r="K401" s="382">
        <v>0</v>
      </c>
      <c r="L401" s="382">
        <v>0</v>
      </c>
      <c r="M401" s="382">
        <v>0</v>
      </c>
      <c r="N401" s="382">
        <v>0</v>
      </c>
      <c r="O401" s="444">
        <v>6</v>
      </c>
      <c r="P401" s="445">
        <v>0</v>
      </c>
      <c r="Q401" s="346">
        <v>0</v>
      </c>
      <c r="R401" s="445">
        <v>26</v>
      </c>
      <c r="S401" s="447">
        <v>25</v>
      </c>
      <c r="T401" s="445">
        <v>0</v>
      </c>
      <c r="U401" s="444">
        <v>5.5753951003824707</v>
      </c>
      <c r="V401" s="445">
        <v>0</v>
      </c>
      <c r="W401" s="229">
        <v>0</v>
      </c>
      <c r="X401" s="261">
        <v>0</v>
      </c>
      <c r="Y401" s="262">
        <v>0</v>
      </c>
      <c r="Z401" s="262">
        <v>0</v>
      </c>
      <c r="AA401" s="262">
        <v>0</v>
      </c>
      <c r="AB401" s="263">
        <v>0</v>
      </c>
      <c r="AC401" s="262" t="s">
        <v>900</v>
      </c>
      <c r="AD401" s="262" t="s">
        <v>900</v>
      </c>
      <c r="AE401" s="262" t="s">
        <v>900</v>
      </c>
      <c r="AF401" s="263" t="s">
        <v>900</v>
      </c>
      <c r="AG401" s="262"/>
      <c r="AH401" s="262"/>
      <c r="AI401" s="262"/>
      <c r="AJ401" s="263"/>
      <c r="AK401" s="262"/>
      <c r="AL401" s="262"/>
      <c r="AM401" s="262"/>
      <c r="AN401" s="262"/>
      <c r="AO401" s="263"/>
      <c r="AP401" s="31"/>
      <c r="AQ401" s="261"/>
      <c r="AR401" s="262"/>
      <c r="AS401" s="262"/>
      <c r="AT401" s="262"/>
      <c r="AU401" s="263"/>
      <c r="AV401" s="31"/>
      <c r="AW401" s="323"/>
      <c r="AX401" s="31"/>
      <c r="AY401" s="747">
        <v>0</v>
      </c>
      <c r="AZ401" s="262">
        <v>0</v>
      </c>
      <c r="BA401" s="262">
        <v>0</v>
      </c>
      <c r="BB401" s="262">
        <v>0</v>
      </c>
      <c r="BC401" s="263">
        <v>0</v>
      </c>
      <c r="BD401" s="261">
        <v>0</v>
      </c>
      <c r="BE401" s="262">
        <v>0</v>
      </c>
      <c r="BF401" s="354" t="s">
        <v>1450</v>
      </c>
      <c r="BG401" s="31"/>
      <c r="BJ401" s="4" t="s">
        <v>900</v>
      </c>
      <c r="BL401" s="4">
        <v>0</v>
      </c>
      <c r="BM401" s="4">
        <v>0.85</v>
      </c>
      <c r="BN401" s="4" t="s">
        <v>900</v>
      </c>
      <c r="BO401" s="31" t="s">
        <v>900</v>
      </c>
      <c r="BP401" s="31" t="s">
        <v>900</v>
      </c>
      <c r="BQ401" s="31">
        <v>0</v>
      </c>
      <c r="BR401" s="4" t="s">
        <v>900</v>
      </c>
      <c r="BS401" s="4" t="s">
        <v>900</v>
      </c>
      <c r="BT401" s="448" t="s">
        <v>900</v>
      </c>
      <c r="BU401" s="367" t="s">
        <v>900</v>
      </c>
      <c r="BV401" s="368"/>
      <c r="BX401" s="449">
        <v>0</v>
      </c>
      <c r="BY401" s="450" t="s">
        <v>900</v>
      </c>
      <c r="BZ401" s="368" t="s">
        <v>900</v>
      </c>
      <c r="CB401" s="31">
        <v>1625</v>
      </c>
      <c r="CC401" s="31">
        <v>1630.6713648938967</v>
      </c>
      <c r="CD401" s="31" t="e">
        <v>#VALUE!</v>
      </c>
      <c r="CE401" s="31" t="s">
        <v>900</v>
      </c>
      <c r="CF401" s="31" t="e">
        <v>#VALUE!</v>
      </c>
      <c r="CJ401" s="702" t="s">
        <v>1447</v>
      </c>
      <c r="CK401" s="702" t="s">
        <v>1447</v>
      </c>
      <c r="CL401" s="702" t="s">
        <v>1448</v>
      </c>
      <c r="CN401" s="702" t="s">
        <v>1448</v>
      </c>
      <c r="CO401" s="702" t="s">
        <v>1448</v>
      </c>
      <c r="CP401" s="702" t="s">
        <v>1448</v>
      </c>
      <c r="CQ401" s="702" t="s">
        <v>1448</v>
      </c>
      <c r="CS401" s="451">
        <v>0.85</v>
      </c>
      <c r="CT401" s="452">
        <v>0</v>
      </c>
      <c r="CU401" s="452">
        <v>0</v>
      </c>
      <c r="CV401" s="453">
        <v>0.85</v>
      </c>
    </row>
    <row r="402" spans="1:100" outlineLevel="1" x14ac:dyDescent="0.3">
      <c r="A402" s="1">
        <v>100215000</v>
      </c>
      <c r="B402" s="47">
        <v>400520</v>
      </c>
      <c r="C402" s="47">
        <v>4409</v>
      </c>
      <c r="D402" s="47" t="s">
        <v>18</v>
      </c>
      <c r="E402" s="47" t="s">
        <v>9</v>
      </c>
      <c r="F402" s="47" t="s">
        <v>1498</v>
      </c>
      <c r="G402" s="47" t="s">
        <v>1499</v>
      </c>
      <c r="H402" s="47" t="s">
        <v>1510</v>
      </c>
      <c r="I402" s="382">
        <v>108</v>
      </c>
      <c r="J402" s="382">
        <v>0</v>
      </c>
      <c r="K402" s="382">
        <v>0</v>
      </c>
      <c r="L402" s="382">
        <v>6</v>
      </c>
      <c r="M402" s="382">
        <v>0</v>
      </c>
      <c r="N402" s="382">
        <v>108</v>
      </c>
      <c r="O402" s="444">
        <v>425</v>
      </c>
      <c r="P402" s="445">
        <v>114</v>
      </c>
      <c r="Q402" s="346">
        <v>0.26823529411764707</v>
      </c>
      <c r="R402" s="445">
        <v>391</v>
      </c>
      <c r="S402" s="447">
        <v>30</v>
      </c>
      <c r="T402" s="445">
        <v>-11.866830311299136</v>
      </c>
      <c r="U402" s="444">
        <v>394.92381961042497</v>
      </c>
      <c r="V402" s="445">
        <v>102.13316968870086</v>
      </c>
      <c r="W402" s="229">
        <v>0.25861486346772083</v>
      </c>
      <c r="X402" s="261">
        <v>97506.950546092572</v>
      </c>
      <c r="Y402" s="262">
        <v>23781.532407527888</v>
      </c>
      <c r="Z402" s="262">
        <v>50330.531317770728</v>
      </c>
      <c r="AA402" s="262">
        <v>52020.115215706515</v>
      </c>
      <c r="AB402" s="263">
        <v>223639.12948709773</v>
      </c>
      <c r="AC402" s="262">
        <v>87425.296895680542</v>
      </c>
      <c r="AD402" s="262">
        <v>21331.098729148751</v>
      </c>
      <c r="AE402" s="262">
        <v>45126.646036309488</v>
      </c>
      <c r="AF402" s="263">
        <v>46641.536750047606</v>
      </c>
      <c r="AG402" s="262">
        <v>87425.296895680542</v>
      </c>
      <c r="AH402" s="262">
        <v>21331.098729148751</v>
      </c>
      <c r="AI402" s="262">
        <v>45126.646036309488</v>
      </c>
      <c r="AJ402" s="263">
        <v>46641.536750047606</v>
      </c>
      <c r="AK402" s="262">
        <v>87605.588484631007</v>
      </c>
      <c r="AL402" s="262">
        <v>24792.148278249722</v>
      </c>
      <c r="AM402" s="262">
        <v>45207.054955139371</v>
      </c>
      <c r="AN402" s="262">
        <v>46718.044965963054</v>
      </c>
      <c r="AO402" s="263">
        <v>204322.83668398316</v>
      </c>
      <c r="AP402" s="31"/>
      <c r="AQ402" s="261">
        <v>86419.411063959764</v>
      </c>
      <c r="AR402" s="262">
        <v>24004.929884272631</v>
      </c>
      <c r="AS402" s="262">
        <v>44669.436757264353</v>
      </c>
      <c r="AT402" s="262">
        <v>46124.960836087725</v>
      </c>
      <c r="AU402" s="263">
        <v>201218.73854158449</v>
      </c>
      <c r="AV402" s="31"/>
      <c r="AW402" s="323">
        <v>221131.4050138114</v>
      </c>
      <c r="AX402" s="31"/>
      <c r="AY402" s="747">
        <v>0</v>
      </c>
      <c r="AZ402" s="262">
        <v>0</v>
      </c>
      <c r="BA402" s="262">
        <v>201218.73854158449</v>
      </c>
      <c r="BB402" s="262">
        <v>1969.5045890347137</v>
      </c>
      <c r="BC402" s="263">
        <v>199249.23395254978</v>
      </c>
      <c r="BD402" s="261">
        <v>1992.4923395254978</v>
      </c>
      <c r="BE402" s="262">
        <v>197256.74161302429</v>
      </c>
      <c r="BF402" s="354">
        <v>0.8920340446473628</v>
      </c>
      <c r="BG402" s="31"/>
      <c r="BJ402" s="4">
        <v>0.8920340446473628</v>
      </c>
      <c r="BL402" s="4">
        <v>0.9</v>
      </c>
      <c r="BM402" s="4">
        <v>0.9</v>
      </c>
      <c r="BN402" s="4" t="s">
        <v>1003</v>
      </c>
      <c r="BO402" s="31">
        <v>1761.5228994059726</v>
      </c>
      <c r="BP402" s="31">
        <v>199018.26451243027</v>
      </c>
      <c r="BQ402" s="31">
        <v>199018.26451243027</v>
      </c>
      <c r="BR402" s="4">
        <v>0.9</v>
      </c>
      <c r="BS402" s="4" t="s">
        <v>900</v>
      </c>
      <c r="BT402" s="448" t="s">
        <v>900</v>
      </c>
      <c r="BU402" s="367" t="s">
        <v>900</v>
      </c>
      <c r="BV402" s="368">
        <v>197256.74161302429</v>
      </c>
      <c r="BX402" s="449">
        <v>-3215.9633869756944</v>
      </c>
      <c r="BY402" s="450">
        <v>-1.6041901499636541E-2</v>
      </c>
      <c r="BZ402" s="368">
        <v>-31.487942622145813</v>
      </c>
      <c r="CB402" s="31">
        <v>22284</v>
      </c>
      <c r="CC402" s="31">
        <v>24306.16609181511</v>
      </c>
      <c r="CD402" s="31" t="e">
        <v>#VALUE!</v>
      </c>
      <c r="CE402" s="31" t="s">
        <v>900</v>
      </c>
      <c r="CF402" s="31" t="e">
        <v>#VALUE!</v>
      </c>
      <c r="CJ402" s="702" t="s">
        <v>1447</v>
      </c>
      <c r="CK402" s="702" t="s">
        <v>1447</v>
      </c>
      <c r="CL402" s="702" t="s">
        <v>1448</v>
      </c>
      <c r="CN402" s="702" t="s">
        <v>1447</v>
      </c>
      <c r="CO402" s="702" t="s">
        <v>1447</v>
      </c>
      <c r="CP402" s="702" t="s">
        <v>1447</v>
      </c>
      <c r="CQ402" s="702" t="s">
        <v>1447</v>
      </c>
      <c r="CS402" s="451">
        <v>0</v>
      </c>
      <c r="CT402" s="452">
        <v>0.9</v>
      </c>
      <c r="CU402" s="452">
        <v>0</v>
      </c>
      <c r="CV402" s="453">
        <v>0.9</v>
      </c>
    </row>
    <row r="403" spans="1:100" outlineLevel="1" x14ac:dyDescent="0.3">
      <c r="A403" s="1">
        <v>100339000</v>
      </c>
      <c r="B403" s="47">
        <v>402250</v>
      </c>
      <c r="C403" s="47">
        <v>4416</v>
      </c>
      <c r="D403" s="47" t="s">
        <v>114</v>
      </c>
      <c r="E403" s="47" t="s">
        <v>9</v>
      </c>
      <c r="F403" s="47" t="s">
        <v>1503</v>
      </c>
      <c r="G403" s="47" t="s">
        <v>1502</v>
      </c>
      <c r="H403" s="47" t="s">
        <v>1506</v>
      </c>
      <c r="I403" s="382">
        <v>94</v>
      </c>
      <c r="J403" s="382">
        <v>0</v>
      </c>
      <c r="K403" s="382">
        <v>0</v>
      </c>
      <c r="L403" s="382">
        <v>5</v>
      </c>
      <c r="M403" s="382">
        <v>0</v>
      </c>
      <c r="N403" s="382">
        <v>94</v>
      </c>
      <c r="O403" s="444">
        <v>688</v>
      </c>
      <c r="P403" s="445">
        <v>99</v>
      </c>
      <c r="Q403" s="346">
        <v>0.14389534883720931</v>
      </c>
      <c r="R403" s="445">
        <v>567</v>
      </c>
      <c r="S403" s="447">
        <v>227</v>
      </c>
      <c r="T403" s="445">
        <v>-10.328582568669233</v>
      </c>
      <c r="U403" s="444">
        <v>639.31197151052322</v>
      </c>
      <c r="V403" s="445">
        <v>88.671417431330767</v>
      </c>
      <c r="W403" s="229">
        <v>0.138698196471785</v>
      </c>
      <c r="X403" s="261">
        <v>53990.475048274951</v>
      </c>
      <c r="Y403" s="262">
        <v>12784.291226557481</v>
      </c>
      <c r="Z403" s="262">
        <v>17329.839184669341</v>
      </c>
      <c r="AA403" s="262">
        <v>13270.498356335485</v>
      </c>
      <c r="AB403" s="263">
        <v>97375.103815837268</v>
      </c>
      <c r="AC403" s="262">
        <v>48408.172793825732</v>
      </c>
      <c r="AD403" s="262">
        <v>11467.006148416471</v>
      </c>
      <c r="AE403" s="262">
        <v>15538.034236420177</v>
      </c>
      <c r="AF403" s="263">
        <v>11898.405726552204</v>
      </c>
      <c r="AG403" s="262">
        <v>48408.172793825732</v>
      </c>
      <c r="AH403" s="262" t="s">
        <v>900</v>
      </c>
      <c r="AI403" s="262">
        <v>15538.034236420177</v>
      </c>
      <c r="AJ403" s="263">
        <v>11898.405726552204</v>
      </c>
      <c r="AK403" s="262">
        <v>48588.464382776205</v>
      </c>
      <c r="AL403" s="262" t="s">
        <v>900</v>
      </c>
      <c r="AM403" s="262">
        <v>15618.443155250063</v>
      </c>
      <c r="AN403" s="262">
        <v>11974.913942467652</v>
      </c>
      <c r="AO403" s="263">
        <v>76181.82148049392</v>
      </c>
      <c r="AP403" s="31"/>
      <c r="AQ403" s="261">
        <v>47851.204766472008</v>
      </c>
      <c r="AR403" s="262">
        <v>13966.158246489025</v>
      </c>
      <c r="AS403" s="262">
        <v>15402.120217384956</v>
      </c>
      <c r="AT403" s="262">
        <v>11766.625552888592</v>
      </c>
      <c r="AU403" s="263">
        <v>88986.10878323458</v>
      </c>
      <c r="AV403" s="31"/>
      <c r="AW403" s="323">
        <v>97838.396045350222</v>
      </c>
      <c r="AX403" s="31"/>
      <c r="AY403" s="747">
        <v>0</v>
      </c>
      <c r="AZ403" s="262">
        <v>0</v>
      </c>
      <c r="BA403" s="262">
        <v>88986.10878323458</v>
      </c>
      <c r="BB403" s="262">
        <v>870.98523168955887</v>
      </c>
      <c r="BC403" s="263">
        <v>88115.123551545024</v>
      </c>
      <c r="BD403" s="261">
        <v>881.15123551545025</v>
      </c>
      <c r="BE403" s="262">
        <v>87233.972316029569</v>
      </c>
      <c r="BF403" s="354">
        <v>0.89161286204645795</v>
      </c>
      <c r="BG403" s="31"/>
      <c r="BJ403" s="4">
        <v>0.89161286204645795</v>
      </c>
      <c r="BL403" s="4">
        <v>0.84999999999999987</v>
      </c>
      <c r="BM403" s="4">
        <v>0.85</v>
      </c>
      <c r="BN403" s="4" t="s">
        <v>900</v>
      </c>
      <c r="BO403" s="31" t="s">
        <v>900</v>
      </c>
      <c r="BP403" s="31" t="s">
        <v>900</v>
      </c>
      <c r="BQ403" s="31">
        <v>87174.425714908604</v>
      </c>
      <c r="BR403" s="4">
        <v>0.89100424003784118</v>
      </c>
      <c r="BS403" s="4" t="s">
        <v>900</v>
      </c>
      <c r="BT403" s="448" t="s">
        <v>900</v>
      </c>
      <c r="BU403" s="367" t="s">
        <v>900</v>
      </c>
      <c r="BV403" s="368">
        <v>87233.972316029569</v>
      </c>
      <c r="BX403" s="449">
        <v>1512.8928938567988</v>
      </c>
      <c r="BY403" s="450">
        <v>1.7587798292027015E-2</v>
      </c>
      <c r="BZ403" s="368">
        <v>17.061787638935833</v>
      </c>
      <c r="CB403" s="31">
        <v>3882</v>
      </c>
      <c r="CC403" s="31">
        <v>5939.176818775245</v>
      </c>
      <c r="CD403" s="31" t="e">
        <v>#VALUE!</v>
      </c>
      <c r="CE403" s="31" t="s">
        <v>900</v>
      </c>
      <c r="CF403" s="31" t="e">
        <v>#VALUE!</v>
      </c>
      <c r="CJ403" s="702" t="s">
        <v>1447</v>
      </c>
      <c r="CK403" s="702" t="s">
        <v>1447</v>
      </c>
      <c r="CL403" s="702" t="s">
        <v>1448</v>
      </c>
      <c r="CN403" s="702" t="s">
        <v>1447</v>
      </c>
      <c r="CO403" s="702" t="s">
        <v>1448</v>
      </c>
      <c r="CP403" s="702" t="s">
        <v>1447</v>
      </c>
      <c r="CQ403" s="702" t="s">
        <v>1447</v>
      </c>
      <c r="CS403" s="451">
        <v>0.85</v>
      </c>
      <c r="CT403" s="452">
        <v>0</v>
      </c>
      <c r="CU403" s="452">
        <v>0</v>
      </c>
      <c r="CV403" s="453">
        <v>0.85</v>
      </c>
    </row>
    <row r="404" spans="1:100" outlineLevel="1" x14ac:dyDescent="0.3">
      <c r="A404" s="1">
        <v>100351000</v>
      </c>
      <c r="B404" s="47">
        <v>404770</v>
      </c>
      <c r="C404" s="47">
        <v>4418</v>
      </c>
      <c r="D404" s="47" t="s">
        <v>24</v>
      </c>
      <c r="E404" s="47" t="s">
        <v>9</v>
      </c>
      <c r="F404" s="47" t="s">
        <v>1501</v>
      </c>
      <c r="G404" s="47" t="s">
        <v>1502</v>
      </c>
      <c r="H404" s="47" t="s">
        <v>1506</v>
      </c>
      <c r="I404" s="382">
        <v>420</v>
      </c>
      <c r="J404" s="382">
        <v>0</v>
      </c>
      <c r="K404" s="382">
        <v>0</v>
      </c>
      <c r="L404" s="382">
        <v>23</v>
      </c>
      <c r="M404" s="382">
        <v>0</v>
      </c>
      <c r="N404" s="382">
        <v>420</v>
      </c>
      <c r="O404" s="444">
        <v>1348</v>
      </c>
      <c r="P404" s="445">
        <v>443</v>
      </c>
      <c r="Q404" s="346">
        <v>0.32863501483679525</v>
      </c>
      <c r="R404" s="445">
        <v>667</v>
      </c>
      <c r="S404" s="447">
        <v>499</v>
      </c>
      <c r="T404" s="445">
        <v>-46.148852157193275</v>
      </c>
      <c r="U404" s="444">
        <v>1252.6054325525949</v>
      </c>
      <c r="V404" s="445">
        <v>396.85114784280671</v>
      </c>
      <c r="W404" s="229">
        <v>0.3168205546052057</v>
      </c>
      <c r="X404" s="261">
        <v>263554.35168525443</v>
      </c>
      <c r="Y404" s="262">
        <v>64279.790524112999</v>
      </c>
      <c r="Z404" s="262">
        <v>126846.05325490976</v>
      </c>
      <c r="AA404" s="262">
        <v>123521.75974480153</v>
      </c>
      <c r="AB404" s="263">
        <v>578201.95520907873</v>
      </c>
      <c r="AC404" s="262">
        <v>236304.35897326207</v>
      </c>
      <c r="AD404" s="262">
        <v>57656.442590084043</v>
      </c>
      <c r="AE404" s="262">
        <v>113730.90639947396</v>
      </c>
      <c r="AF404" s="263">
        <v>110750.32557460023</v>
      </c>
      <c r="AG404" s="262">
        <v>236304.35897326207</v>
      </c>
      <c r="AH404" s="262">
        <v>57656.442590084043</v>
      </c>
      <c r="AI404" s="262">
        <v>113730.90639947396</v>
      </c>
      <c r="AJ404" s="263">
        <v>110750.32557460023</v>
      </c>
      <c r="AK404" s="262">
        <v>236484.65056221254</v>
      </c>
      <c r="AL404" s="262">
        <v>61117.492139185015</v>
      </c>
      <c r="AM404" s="262">
        <v>113811.31531830384</v>
      </c>
      <c r="AN404" s="262">
        <v>110826.83379051567</v>
      </c>
      <c r="AO404" s="263">
        <v>522240.29181021702</v>
      </c>
      <c r="AP404" s="31"/>
      <c r="AQ404" s="261">
        <v>233585.52111848534</v>
      </c>
      <c r="AR404" s="262">
        <v>59510.718050488867</v>
      </c>
      <c r="AS404" s="262">
        <v>112578.61988391475</v>
      </c>
      <c r="AT404" s="262">
        <v>109523.71610498415</v>
      </c>
      <c r="AU404" s="263">
        <v>515198.57515787316</v>
      </c>
      <c r="AV404" s="31"/>
      <c r="AW404" s="323">
        <v>536971.00816278963</v>
      </c>
      <c r="AX404" s="31"/>
      <c r="AY404" s="747">
        <v>0</v>
      </c>
      <c r="AZ404" s="262">
        <v>0</v>
      </c>
      <c r="BA404" s="262">
        <v>515198.57515787316</v>
      </c>
      <c r="BB404" s="262">
        <v>5042.7011191498887</v>
      </c>
      <c r="BC404" s="263">
        <v>510155.8740387233</v>
      </c>
      <c r="BD404" s="261">
        <v>5101.5587403872332</v>
      </c>
      <c r="BE404" s="262">
        <v>505054.31529833609</v>
      </c>
      <c r="BF404" s="354">
        <v>0.94056160876607775</v>
      </c>
      <c r="BG404" s="31"/>
      <c r="BJ404" s="4">
        <v>0.94056160876607775</v>
      </c>
      <c r="BL404" s="4">
        <v>0.95000000000000007</v>
      </c>
      <c r="BM404" s="4">
        <v>0.95</v>
      </c>
      <c r="BN404" s="4" t="s">
        <v>1003</v>
      </c>
      <c r="BO404" s="31">
        <v>5068.1424563140026</v>
      </c>
      <c r="BP404" s="31">
        <v>510122.4577546501</v>
      </c>
      <c r="BQ404" s="31">
        <v>510122.4577546501</v>
      </c>
      <c r="BR404" s="4">
        <v>0.95</v>
      </c>
      <c r="BS404" s="4" t="s">
        <v>900</v>
      </c>
      <c r="BT404" s="448" t="s">
        <v>900</v>
      </c>
      <c r="BU404" s="367" t="s">
        <v>900</v>
      </c>
      <c r="BV404" s="368">
        <v>505054.31529833609</v>
      </c>
      <c r="BX404" s="449">
        <v>-11220.325201663829</v>
      </c>
      <c r="BY404" s="450">
        <v>-2.173324878168954E-2</v>
      </c>
      <c r="BZ404" s="368">
        <v>-28.273384775765383</v>
      </c>
      <c r="CB404" s="31">
        <v>41111</v>
      </c>
      <c r="CC404" s="31">
        <v>48681.605176470883</v>
      </c>
      <c r="CD404" s="31" t="e">
        <v>#VALUE!</v>
      </c>
      <c r="CE404" s="31" t="s">
        <v>900</v>
      </c>
      <c r="CF404" s="31" t="e">
        <v>#VALUE!</v>
      </c>
      <c r="CJ404" s="702" t="s">
        <v>1447</v>
      </c>
      <c r="CK404" s="702" t="s">
        <v>1447</v>
      </c>
      <c r="CL404" s="702" t="s">
        <v>1448</v>
      </c>
      <c r="CN404" s="702" t="s">
        <v>1447</v>
      </c>
      <c r="CO404" s="702" t="s">
        <v>1447</v>
      </c>
      <c r="CP404" s="702" t="s">
        <v>1447</v>
      </c>
      <c r="CQ404" s="702" t="s">
        <v>1447</v>
      </c>
      <c r="CS404" s="451">
        <v>0</v>
      </c>
      <c r="CT404" s="452">
        <v>0</v>
      </c>
      <c r="CU404" s="452">
        <v>0.95</v>
      </c>
      <c r="CV404" s="453">
        <v>0.95</v>
      </c>
    </row>
    <row r="405" spans="1:100" outlineLevel="1" x14ac:dyDescent="0.3">
      <c r="A405" s="1">
        <v>100240000</v>
      </c>
      <c r="B405" s="47">
        <v>403950</v>
      </c>
      <c r="C405" s="47">
        <v>4412</v>
      </c>
      <c r="D405" s="47" t="s">
        <v>61</v>
      </c>
      <c r="E405" s="47" t="s">
        <v>9</v>
      </c>
      <c r="F405" s="47" t="s">
        <v>1504</v>
      </c>
      <c r="G405" s="47" t="s">
        <v>1502</v>
      </c>
      <c r="H405" s="47" t="s">
        <v>1500</v>
      </c>
      <c r="I405" s="382">
        <v>634</v>
      </c>
      <c r="J405" s="382">
        <v>12</v>
      </c>
      <c r="K405" s="382">
        <v>0</v>
      </c>
      <c r="L405" s="382">
        <v>35</v>
      </c>
      <c r="M405" s="382">
        <v>0</v>
      </c>
      <c r="N405" s="382">
        <v>646</v>
      </c>
      <c r="O405" s="444">
        <v>1622</v>
      </c>
      <c r="P405" s="445">
        <v>681</v>
      </c>
      <c r="Q405" s="346">
        <v>0.41985203452527742</v>
      </c>
      <c r="R405" s="445">
        <v>945</v>
      </c>
      <c r="S405" s="447">
        <v>774</v>
      </c>
      <c r="T405" s="445">
        <v>-69.660300048085801</v>
      </c>
      <c r="U405" s="444">
        <v>1507.2151421367278</v>
      </c>
      <c r="V405" s="445">
        <v>611.33969995191421</v>
      </c>
      <c r="W405" s="229">
        <v>0.40560878328573496</v>
      </c>
      <c r="X405" s="261">
        <v>612376.28773926757</v>
      </c>
      <c r="Y405" s="262">
        <v>149355.98386485083</v>
      </c>
      <c r="Z405" s="262">
        <v>448181.29614389525</v>
      </c>
      <c r="AA405" s="262">
        <v>524775.3185737849</v>
      </c>
      <c r="AB405" s="263">
        <v>1734688.8863217984</v>
      </c>
      <c r="AC405" s="262">
        <v>549060.12820257945</v>
      </c>
      <c r="AD405" s="262">
        <v>133966.44013578354</v>
      </c>
      <c r="AE405" s="262">
        <v>401841.9472563552</v>
      </c>
      <c r="AF405" s="263">
        <v>470516.59161621676</v>
      </c>
      <c r="AG405" s="262">
        <v>549060.12820257945</v>
      </c>
      <c r="AH405" s="262">
        <v>133966.44013578354</v>
      </c>
      <c r="AI405" s="262">
        <v>401841.9472563552</v>
      </c>
      <c r="AJ405" s="263">
        <v>470516.59161621676</v>
      </c>
      <c r="AK405" s="262">
        <v>549240.41979152989</v>
      </c>
      <c r="AL405" s="262">
        <v>137427.48968488452</v>
      </c>
      <c r="AM405" s="262">
        <v>401922.35617518506</v>
      </c>
      <c r="AN405" s="262">
        <v>470593.09983213223</v>
      </c>
      <c r="AO405" s="263">
        <v>1559183.3654837317</v>
      </c>
      <c r="AP405" s="31"/>
      <c r="AQ405" s="261">
        <v>542742.82848118665</v>
      </c>
      <c r="AR405" s="262">
        <v>134222.89139486622</v>
      </c>
      <c r="AS405" s="262">
        <v>397770.60841040284</v>
      </c>
      <c r="AT405" s="262">
        <v>465305.40958227176</v>
      </c>
      <c r="AU405" s="263">
        <v>1540041.7378687274</v>
      </c>
      <c r="AV405" s="31"/>
      <c r="AW405" s="323">
        <v>1605124.323844916</v>
      </c>
      <c r="AX405" s="31"/>
      <c r="AY405" s="747">
        <v>0</v>
      </c>
      <c r="AZ405" s="262">
        <v>0</v>
      </c>
      <c r="BA405" s="262">
        <v>1540041.7378687274</v>
      </c>
      <c r="BB405" s="262">
        <v>15073.741600912679</v>
      </c>
      <c r="BC405" s="263">
        <v>1524967.9962678147</v>
      </c>
      <c r="BD405" s="261">
        <v>15249.679962678147</v>
      </c>
      <c r="BE405" s="262">
        <v>1509718.3163051365</v>
      </c>
      <c r="BF405" s="354">
        <v>0.94056160876607753</v>
      </c>
      <c r="BG405" s="31"/>
      <c r="BJ405" s="4">
        <v>0.94056160876607753</v>
      </c>
      <c r="BL405" s="4">
        <v>0.95</v>
      </c>
      <c r="BM405" s="4">
        <v>0.95</v>
      </c>
      <c r="BN405" s="4" t="s">
        <v>1003</v>
      </c>
      <c r="BO405" s="31">
        <v>15149.791347533464</v>
      </c>
      <c r="BP405" s="31">
        <v>1524868.10765267</v>
      </c>
      <c r="BQ405" s="31">
        <v>1524868.10765267</v>
      </c>
      <c r="BR405" s="4">
        <v>0.95</v>
      </c>
      <c r="BS405" s="4" t="s">
        <v>900</v>
      </c>
      <c r="BT405" s="448" t="s">
        <v>900</v>
      </c>
      <c r="BU405" s="367" t="s">
        <v>900</v>
      </c>
      <c r="BV405" s="368">
        <v>1509718.3163051365</v>
      </c>
      <c r="BX405" s="449">
        <v>-38759.045194863342</v>
      </c>
      <c r="BY405" s="450">
        <v>-2.5030424182189984E-2</v>
      </c>
      <c r="BZ405" s="368">
        <v>-63.400177017641731</v>
      </c>
      <c r="CB405" s="31">
        <v>74451</v>
      </c>
      <c r="CC405" s="31">
        <v>85683.671911603305</v>
      </c>
      <c r="CD405" s="31" t="e">
        <v>#VALUE!</v>
      </c>
      <c r="CE405" s="31" t="s">
        <v>900</v>
      </c>
      <c r="CF405" s="31" t="e">
        <v>#VALUE!</v>
      </c>
      <c r="CJ405" s="702" t="s">
        <v>1447</v>
      </c>
      <c r="CK405" s="702" t="s">
        <v>1447</v>
      </c>
      <c r="CL405" s="702" t="s">
        <v>1448</v>
      </c>
      <c r="CN405" s="702" t="s">
        <v>1447</v>
      </c>
      <c r="CO405" s="702" t="s">
        <v>1447</v>
      </c>
      <c r="CP405" s="702" t="s">
        <v>1447</v>
      </c>
      <c r="CQ405" s="702" t="s">
        <v>1447</v>
      </c>
      <c r="CS405" s="451">
        <v>0</v>
      </c>
      <c r="CT405" s="452">
        <v>0</v>
      </c>
      <c r="CU405" s="452">
        <v>0.95</v>
      </c>
      <c r="CV405" s="453">
        <v>0.95</v>
      </c>
    </row>
    <row r="406" spans="1:100" outlineLevel="1" x14ac:dyDescent="0.3">
      <c r="A406" s="1">
        <v>100213000</v>
      </c>
      <c r="B406" s="47">
        <v>408280</v>
      </c>
      <c r="C406" s="47">
        <v>4408</v>
      </c>
      <c r="D406" s="47" t="s">
        <v>406</v>
      </c>
      <c r="E406" s="47" t="s">
        <v>9</v>
      </c>
      <c r="F406" s="47" t="s">
        <v>1498</v>
      </c>
      <c r="G406" s="47" t="s">
        <v>1502</v>
      </c>
      <c r="H406" s="47" t="s">
        <v>1508</v>
      </c>
      <c r="I406" s="382">
        <v>123</v>
      </c>
      <c r="J406" s="382">
        <v>23</v>
      </c>
      <c r="K406" s="382">
        <v>0</v>
      </c>
      <c r="L406" s="382">
        <v>7</v>
      </c>
      <c r="M406" s="382">
        <v>0</v>
      </c>
      <c r="N406" s="382">
        <v>146</v>
      </c>
      <c r="O406" s="444">
        <v>1926</v>
      </c>
      <c r="P406" s="445">
        <v>153</v>
      </c>
      <c r="Q406" s="346">
        <v>7.9439252336448593E-2</v>
      </c>
      <c r="R406" s="445">
        <v>2027</v>
      </c>
      <c r="S406" s="447">
        <v>325</v>
      </c>
      <c r="T406" s="445">
        <v>-13.51030206684074</v>
      </c>
      <c r="U406" s="444">
        <v>1789.7018272227729</v>
      </c>
      <c r="V406" s="445">
        <v>139.48969793315925</v>
      </c>
      <c r="W406" s="229">
        <v>7.7940188589747855E-2</v>
      </c>
      <c r="X406" s="261">
        <v>70565.326135657189</v>
      </c>
      <c r="Y406" s="262">
        <v>0</v>
      </c>
      <c r="Z406" s="262">
        <v>19367.413279385779</v>
      </c>
      <c r="AA406" s="262">
        <v>14707.855407192876</v>
      </c>
      <c r="AB406" s="263">
        <v>104640.59482223586</v>
      </c>
      <c r="AC406" s="262">
        <v>63269.280327191766</v>
      </c>
      <c r="AD406" s="262" t="s">
        <v>900</v>
      </c>
      <c r="AE406" s="262">
        <v>17364.93497713533</v>
      </c>
      <c r="AF406" s="263">
        <v>13187.148387588513</v>
      </c>
      <c r="AG406" s="262">
        <v>63269.280327191766</v>
      </c>
      <c r="AH406" s="262" t="s">
        <v>900</v>
      </c>
      <c r="AI406" s="262">
        <v>17364.93497713533</v>
      </c>
      <c r="AJ406" s="263">
        <v>13187.148387588513</v>
      </c>
      <c r="AK406" s="262">
        <v>63449.571916142238</v>
      </c>
      <c r="AL406" s="262" t="s">
        <v>900</v>
      </c>
      <c r="AM406" s="262">
        <v>17445.343895965216</v>
      </c>
      <c r="AN406" s="262">
        <v>13263.656603503961</v>
      </c>
      <c r="AO406" s="263">
        <v>94158.572415611416</v>
      </c>
      <c r="AP406" s="31"/>
      <c r="AQ406" s="261">
        <v>62485.834220018798</v>
      </c>
      <c r="AR406" s="262">
        <v>0</v>
      </c>
      <c r="AS406" s="262">
        <v>17203.717505541419</v>
      </c>
      <c r="AT406" s="262">
        <v>13041.094811623609</v>
      </c>
      <c r="AU406" s="263">
        <v>92730.646537183828</v>
      </c>
      <c r="AV406" s="31"/>
      <c r="AW406" s="323">
        <v>97198.08314241434</v>
      </c>
      <c r="AX406" s="31"/>
      <c r="AY406" s="747">
        <v>0</v>
      </c>
      <c r="AZ406" s="262">
        <v>0</v>
      </c>
      <c r="BA406" s="262">
        <v>92730.646537183828</v>
      </c>
      <c r="BB406" s="262">
        <v>907.63631271545773</v>
      </c>
      <c r="BC406" s="263">
        <v>91823.010224468366</v>
      </c>
      <c r="BD406" s="261">
        <v>918.23010224468362</v>
      </c>
      <c r="BE406" s="262">
        <v>90904.780122223689</v>
      </c>
      <c r="BF406" s="354">
        <v>0.93525280729075977</v>
      </c>
      <c r="BG406" s="31"/>
      <c r="BJ406" s="4">
        <v>0.93525280729075977</v>
      </c>
      <c r="BL406" s="4">
        <v>0.8919723799844459</v>
      </c>
      <c r="BM406" s="4">
        <v>0.85</v>
      </c>
      <c r="BN406" s="4" t="s">
        <v>900</v>
      </c>
      <c r="BO406" s="31" t="s">
        <v>900</v>
      </c>
      <c r="BP406" s="31" t="s">
        <v>900</v>
      </c>
      <c r="BQ406" s="31">
        <v>90842.727798590917</v>
      </c>
      <c r="BR406" s="4">
        <v>0.93461439630952825</v>
      </c>
      <c r="BS406" s="4" t="s">
        <v>900</v>
      </c>
      <c r="BT406" s="448" t="s">
        <v>900</v>
      </c>
      <c r="BU406" s="367" t="s">
        <v>900</v>
      </c>
      <c r="BV406" s="368">
        <v>90904.780122223689</v>
      </c>
      <c r="BX406" s="449">
        <v>-1127.8546479440702</v>
      </c>
      <c r="BY406" s="450">
        <v>-1.2205148040757955E-2</v>
      </c>
      <c r="BZ406" s="368">
        <v>-8.0855766745191193</v>
      </c>
      <c r="CB406" s="31">
        <v>24551</v>
      </c>
      <c r="CC406" s="31">
        <v>28584.651052214111</v>
      </c>
      <c r="CD406" s="31" t="e">
        <v>#VALUE!</v>
      </c>
      <c r="CE406" s="31" t="s">
        <v>900</v>
      </c>
      <c r="CF406" s="31" t="e">
        <v>#VALUE!</v>
      </c>
      <c r="CJ406" s="702" t="s">
        <v>1447</v>
      </c>
      <c r="CK406" s="702" t="s">
        <v>1447</v>
      </c>
      <c r="CL406" s="702" t="s">
        <v>1448</v>
      </c>
      <c r="CN406" s="702" t="s">
        <v>1447</v>
      </c>
      <c r="CO406" s="702" t="s">
        <v>1448</v>
      </c>
      <c r="CP406" s="702" t="s">
        <v>1447</v>
      </c>
      <c r="CQ406" s="702" t="s">
        <v>1447</v>
      </c>
      <c r="CS406" s="451">
        <v>0.85</v>
      </c>
      <c r="CT406" s="452">
        <v>0</v>
      </c>
      <c r="CU406" s="452">
        <v>0</v>
      </c>
      <c r="CV406" s="453">
        <v>0.85</v>
      </c>
    </row>
    <row r="407" spans="1:100" outlineLevel="1" x14ac:dyDescent="0.3">
      <c r="A407" s="1">
        <v>100216000</v>
      </c>
      <c r="B407" s="47">
        <v>401760</v>
      </c>
      <c r="C407" s="47">
        <v>4410</v>
      </c>
      <c r="D407" s="47" t="s">
        <v>95</v>
      </c>
      <c r="E407" s="47" t="s">
        <v>9</v>
      </c>
      <c r="F407" s="47" t="s">
        <v>1503</v>
      </c>
      <c r="G407" s="47" t="s">
        <v>1502</v>
      </c>
      <c r="H407" s="47" t="s">
        <v>1512</v>
      </c>
      <c r="I407" s="382">
        <v>402</v>
      </c>
      <c r="J407" s="382">
        <v>0</v>
      </c>
      <c r="K407" s="382">
        <v>0</v>
      </c>
      <c r="L407" s="382">
        <v>22</v>
      </c>
      <c r="M407" s="382">
        <v>0</v>
      </c>
      <c r="N407" s="382">
        <v>402</v>
      </c>
      <c r="O407" s="444">
        <v>4666</v>
      </c>
      <c r="P407" s="445">
        <v>424</v>
      </c>
      <c r="Q407" s="346">
        <v>9.0870124303471925E-2</v>
      </c>
      <c r="R407" s="445">
        <v>4797</v>
      </c>
      <c r="S407" s="447">
        <v>617</v>
      </c>
      <c r="T407" s="445">
        <v>-44.171047105310087</v>
      </c>
      <c r="U407" s="444">
        <v>4335.7989230641015</v>
      </c>
      <c r="V407" s="445">
        <v>379.82895289468991</v>
      </c>
      <c r="W407" s="229">
        <v>8.7602990737002506E-2</v>
      </c>
      <c r="X407" s="261">
        <v>195553.58353933756</v>
      </c>
      <c r="Y407" s="262">
        <v>0</v>
      </c>
      <c r="Z407" s="262">
        <v>53671.785819997218</v>
      </c>
      <c r="AA407" s="262">
        <v>39192.608917433048</v>
      </c>
      <c r="AB407" s="263">
        <v>288417.97827676783</v>
      </c>
      <c r="AC407" s="262">
        <v>175334.47620084515</v>
      </c>
      <c r="AD407" s="262" t="s">
        <v>900</v>
      </c>
      <c r="AE407" s="262">
        <v>48122.434185002501</v>
      </c>
      <c r="AF407" s="263">
        <v>35140.320269816802</v>
      </c>
      <c r="AG407" s="262">
        <v>175334.47620084515</v>
      </c>
      <c r="AH407" s="262" t="s">
        <v>900</v>
      </c>
      <c r="AI407" s="262">
        <v>48122.434185002501</v>
      </c>
      <c r="AJ407" s="263">
        <v>35140.320269816802</v>
      </c>
      <c r="AK407" s="262">
        <v>175514.76778979562</v>
      </c>
      <c r="AL407" s="262" t="s">
        <v>900</v>
      </c>
      <c r="AM407" s="262">
        <v>48202.843103832383</v>
      </c>
      <c r="AN407" s="262">
        <v>35216.828485732251</v>
      </c>
      <c r="AO407" s="263">
        <v>258934.43937936026</v>
      </c>
      <c r="AP407" s="31"/>
      <c r="AQ407" s="261">
        <v>172848.86803921993</v>
      </c>
      <c r="AR407" s="262">
        <v>0</v>
      </c>
      <c r="AS407" s="262">
        <v>47535.210579257313</v>
      </c>
      <c r="AT407" s="262">
        <v>34751.125480684874</v>
      </c>
      <c r="AU407" s="263">
        <v>255135.20409916213</v>
      </c>
      <c r="AV407" s="31"/>
      <c r="AW407" s="323">
        <v>259007.60883614456</v>
      </c>
      <c r="AX407" s="31"/>
      <c r="AY407" s="747">
        <v>0</v>
      </c>
      <c r="AZ407" s="262">
        <v>0</v>
      </c>
      <c r="BA407" s="262">
        <v>255135.20409916213</v>
      </c>
      <c r="BB407" s="262">
        <v>2497.2324095638937</v>
      </c>
      <c r="BC407" s="263">
        <v>252637.97168959823</v>
      </c>
      <c r="BD407" s="261">
        <v>2526.3797168959823</v>
      </c>
      <c r="BE407" s="262">
        <v>250111.59197270224</v>
      </c>
      <c r="BF407" s="354">
        <v>0.96565345356680166</v>
      </c>
      <c r="BG407" s="31"/>
      <c r="BJ407" s="4">
        <v>0.96565345356680166</v>
      </c>
      <c r="BL407" s="4">
        <v>0.9226098375002092</v>
      </c>
      <c r="BM407" s="4">
        <v>0.85</v>
      </c>
      <c r="BN407" s="4" t="s">
        <v>900</v>
      </c>
      <c r="BO407" s="31" t="s">
        <v>900</v>
      </c>
      <c r="BP407" s="31" t="s">
        <v>900</v>
      </c>
      <c r="BQ407" s="31">
        <v>249940.86381705923</v>
      </c>
      <c r="BR407" s="4">
        <v>0.96499429086339616</v>
      </c>
      <c r="BS407" s="4" t="s">
        <v>900</v>
      </c>
      <c r="BT407" s="448" t="s">
        <v>900</v>
      </c>
      <c r="BU407" s="367" t="s">
        <v>900</v>
      </c>
      <c r="BV407" s="368">
        <v>250111.59197270224</v>
      </c>
      <c r="BX407" s="449">
        <v>-3307.1480950968398</v>
      </c>
      <c r="BY407" s="450">
        <v>-1.2984405333127592E-2</v>
      </c>
      <c r="BZ407" s="368">
        <v>-8.7069405054379008</v>
      </c>
      <c r="CB407" s="31">
        <v>61818</v>
      </c>
      <c r="CC407" s="31">
        <v>72254.795894157331</v>
      </c>
      <c r="CD407" s="31" t="e">
        <v>#VALUE!</v>
      </c>
      <c r="CE407" s="31" t="s">
        <v>900</v>
      </c>
      <c r="CF407" s="31" t="e">
        <v>#VALUE!</v>
      </c>
      <c r="CJ407" s="702" t="s">
        <v>1447</v>
      </c>
      <c r="CK407" s="702" t="s">
        <v>1447</v>
      </c>
      <c r="CL407" s="702" t="s">
        <v>1448</v>
      </c>
      <c r="CN407" s="702" t="s">
        <v>1447</v>
      </c>
      <c r="CO407" s="702" t="s">
        <v>1448</v>
      </c>
      <c r="CP407" s="702" t="s">
        <v>1447</v>
      </c>
      <c r="CQ407" s="702" t="s">
        <v>1447</v>
      </c>
      <c r="CS407" s="451">
        <v>0.85</v>
      </c>
      <c r="CT407" s="452">
        <v>0</v>
      </c>
      <c r="CU407" s="452">
        <v>0</v>
      </c>
      <c r="CV407" s="453">
        <v>0.85</v>
      </c>
    </row>
    <row r="408" spans="1:100" outlineLevel="1" x14ac:dyDescent="0.3">
      <c r="A408" s="1">
        <v>100208000</v>
      </c>
      <c r="B408" s="47">
        <v>403010</v>
      </c>
      <c r="C408" s="47">
        <v>4405</v>
      </c>
      <c r="D408" s="47" t="s">
        <v>167</v>
      </c>
      <c r="E408" s="47" t="s">
        <v>9</v>
      </c>
      <c r="F408" s="47" t="s">
        <v>1498</v>
      </c>
      <c r="G408" s="47" t="s">
        <v>1502</v>
      </c>
      <c r="H408" s="47" t="s">
        <v>1508</v>
      </c>
      <c r="I408" s="382">
        <v>1650</v>
      </c>
      <c r="J408" s="382">
        <v>0</v>
      </c>
      <c r="K408" s="382">
        <v>0</v>
      </c>
      <c r="L408" s="382">
        <v>90</v>
      </c>
      <c r="M408" s="382">
        <v>0</v>
      </c>
      <c r="N408" s="382">
        <v>1650</v>
      </c>
      <c r="O408" s="444">
        <v>5182</v>
      </c>
      <c r="P408" s="445">
        <v>1740</v>
      </c>
      <c r="Q408" s="346">
        <v>0.33577769201080665</v>
      </c>
      <c r="R408" s="445">
        <v>5481</v>
      </c>
      <c r="S408" s="447">
        <v>4105</v>
      </c>
      <c r="T408" s="445">
        <v>-181.29913448888669</v>
      </c>
      <c r="U408" s="444">
        <v>4815.2829016969936</v>
      </c>
      <c r="V408" s="445">
        <v>1558.7008655111133</v>
      </c>
      <c r="W408" s="229">
        <v>0.32369871040428355</v>
      </c>
      <c r="X408" s="261">
        <v>824965.38470822142</v>
      </c>
      <c r="Y408" s="262">
        <v>195341.82132142413</v>
      </c>
      <c r="Z408" s="262">
        <v>421055.93721940339</v>
      </c>
      <c r="AA408" s="262">
        <v>391525.08832336689</v>
      </c>
      <c r="AB408" s="263">
        <v>1832888.2315724157</v>
      </c>
      <c r="AC408" s="262">
        <v>739668.74446229695</v>
      </c>
      <c r="AD408" s="262">
        <v>175213.92671987959</v>
      </c>
      <c r="AE408" s="262">
        <v>377521.19325785339</v>
      </c>
      <c r="AF408" s="263">
        <v>351043.66301146289</v>
      </c>
      <c r="AG408" s="262">
        <v>739668.74446229695</v>
      </c>
      <c r="AH408" s="262">
        <v>175213.92671987959</v>
      </c>
      <c r="AI408" s="262">
        <v>377521.19325785339</v>
      </c>
      <c r="AJ408" s="263">
        <v>351043.66301146289</v>
      </c>
      <c r="AK408" s="262">
        <v>739849.03605124739</v>
      </c>
      <c r="AL408" s="262">
        <v>178674.97626898056</v>
      </c>
      <c r="AM408" s="262">
        <v>377601.60217668326</v>
      </c>
      <c r="AN408" s="262">
        <v>351120.17122737836</v>
      </c>
      <c r="AO408" s="263">
        <v>1647245.7857242895</v>
      </c>
      <c r="AP408" s="31"/>
      <c r="AQ408" s="261">
        <v>731158.36661240377</v>
      </c>
      <c r="AR408" s="262">
        <v>174606.71352571275</v>
      </c>
      <c r="AS408" s="262">
        <v>373696.26480084378</v>
      </c>
      <c r="AT408" s="262">
        <v>347155.69718324044</v>
      </c>
      <c r="AU408" s="263">
        <v>1626617.0421222008</v>
      </c>
      <c r="AV408" s="31"/>
      <c r="AW408" s="323">
        <v>1600562.9177419585</v>
      </c>
      <c r="AX408" s="31"/>
      <c r="AY408" s="747">
        <v>0</v>
      </c>
      <c r="AZ408" s="262">
        <v>26054.124380242312</v>
      </c>
      <c r="BA408" s="262">
        <v>1600562.9177419585</v>
      </c>
      <c r="BB408" s="262">
        <v>15666.115563487199</v>
      </c>
      <c r="BC408" s="263">
        <v>1584896.8021784713</v>
      </c>
      <c r="BD408" s="261">
        <v>15848.968021784714</v>
      </c>
      <c r="BE408" s="262">
        <v>1569047.8341566867</v>
      </c>
      <c r="BF408" s="354">
        <v>0.98031000016560876</v>
      </c>
      <c r="BG408" s="31"/>
      <c r="BJ408" s="4">
        <v>0.98031000016560876</v>
      </c>
      <c r="BL408" s="4">
        <v>0.95000000000000007</v>
      </c>
      <c r="BM408" s="4">
        <v>0.95</v>
      </c>
      <c r="BN408" s="4" t="s">
        <v>900</v>
      </c>
      <c r="BO408" s="31" t="s">
        <v>900</v>
      </c>
      <c r="BP408" s="31" t="s">
        <v>900</v>
      </c>
      <c r="BQ408" s="31">
        <v>1567976.7896651924</v>
      </c>
      <c r="BR408" s="4">
        <v>0.97964083278729341</v>
      </c>
      <c r="BS408" s="4" t="s">
        <v>900</v>
      </c>
      <c r="BT408" s="448" t="s">
        <v>900</v>
      </c>
      <c r="BU408" s="367" t="s">
        <v>900</v>
      </c>
      <c r="BV408" s="368">
        <v>1569047.8341566867</v>
      </c>
      <c r="BX408" s="449">
        <v>-41208.165400644299</v>
      </c>
      <c r="BY408" s="450">
        <v>-2.5450878154662002E-2</v>
      </c>
      <c r="BZ408" s="368">
        <v>-26.437507229542557</v>
      </c>
      <c r="CB408" s="31">
        <v>186583</v>
      </c>
      <c r="CC408" s="31">
        <v>216211.5097489444</v>
      </c>
      <c r="CD408" s="31" t="e">
        <v>#VALUE!</v>
      </c>
      <c r="CE408" s="31" t="s">
        <v>900</v>
      </c>
      <c r="CF408" s="31" t="e">
        <v>#VALUE!</v>
      </c>
      <c r="CJ408" s="702" t="s">
        <v>1447</v>
      </c>
      <c r="CK408" s="702" t="s">
        <v>1447</v>
      </c>
      <c r="CL408" s="702" t="s">
        <v>1448</v>
      </c>
      <c r="CN408" s="702" t="s">
        <v>1447</v>
      </c>
      <c r="CO408" s="702" t="s">
        <v>1447</v>
      </c>
      <c r="CP408" s="702" t="s">
        <v>1447</v>
      </c>
      <c r="CQ408" s="702" t="s">
        <v>1447</v>
      </c>
      <c r="CS408" s="451">
        <v>0</v>
      </c>
      <c r="CT408" s="452">
        <v>0</v>
      </c>
      <c r="CU408" s="452">
        <v>0.95</v>
      </c>
      <c r="CV408" s="453">
        <v>0.95</v>
      </c>
    </row>
    <row r="409" spans="1:100" outlineLevel="1" x14ac:dyDescent="0.3">
      <c r="A409" s="1">
        <v>100230000</v>
      </c>
      <c r="B409" s="47">
        <v>407300</v>
      </c>
      <c r="C409" s="47">
        <v>4411</v>
      </c>
      <c r="D409" s="47" t="s">
        <v>367</v>
      </c>
      <c r="E409" s="47" t="s">
        <v>9</v>
      </c>
      <c r="F409" s="47" t="s">
        <v>1498</v>
      </c>
      <c r="G409" s="47" t="s">
        <v>1502</v>
      </c>
      <c r="H409" s="47" t="s">
        <v>1507</v>
      </c>
      <c r="I409" s="382">
        <v>674</v>
      </c>
      <c r="J409" s="382">
        <v>0</v>
      </c>
      <c r="K409" s="382">
        <v>0</v>
      </c>
      <c r="L409" s="382">
        <v>37</v>
      </c>
      <c r="M409" s="382">
        <v>0</v>
      </c>
      <c r="N409" s="382">
        <v>674</v>
      </c>
      <c r="O409" s="444">
        <v>5812</v>
      </c>
      <c r="P409" s="445">
        <v>711</v>
      </c>
      <c r="Q409" s="346">
        <v>0.1223331039229181</v>
      </c>
      <c r="R409" s="445">
        <v>5658</v>
      </c>
      <c r="S409" s="447">
        <v>1997</v>
      </c>
      <c r="T409" s="445">
        <v>-74.057901538184566</v>
      </c>
      <c r="U409" s="444">
        <v>5400.6993872371531</v>
      </c>
      <c r="V409" s="445">
        <v>636.94209846181548</v>
      </c>
      <c r="W409" s="229">
        <v>0.11793696571355683</v>
      </c>
      <c r="X409" s="261">
        <v>327921.22145393642</v>
      </c>
      <c r="Y409" s="262">
        <v>0</v>
      </c>
      <c r="Z409" s="262">
        <v>91959.962969657572</v>
      </c>
      <c r="AA409" s="262">
        <v>74049.3760674277</v>
      </c>
      <c r="AB409" s="263">
        <v>493930.56049102166</v>
      </c>
      <c r="AC409" s="262">
        <v>294016.06740283238</v>
      </c>
      <c r="AD409" s="262" t="s">
        <v>900</v>
      </c>
      <c r="AE409" s="262">
        <v>82451.835690807333</v>
      </c>
      <c r="AF409" s="263">
        <v>66393.099685488982</v>
      </c>
      <c r="AG409" s="262">
        <v>294016.06740283238</v>
      </c>
      <c r="AH409" s="262" t="s">
        <v>900</v>
      </c>
      <c r="AI409" s="262">
        <v>82451.835690807333</v>
      </c>
      <c r="AJ409" s="263">
        <v>66393.099685488982</v>
      </c>
      <c r="AK409" s="262">
        <v>294196.35899178288</v>
      </c>
      <c r="AL409" s="262" t="s">
        <v>900</v>
      </c>
      <c r="AM409" s="262">
        <v>82532.244609637215</v>
      </c>
      <c r="AN409" s="262">
        <v>66469.607901404423</v>
      </c>
      <c r="AO409" s="263">
        <v>443198.2115028245</v>
      </c>
      <c r="AP409" s="31"/>
      <c r="AQ409" s="261">
        <v>289727.80053409358</v>
      </c>
      <c r="AR409" s="262">
        <v>0</v>
      </c>
      <c r="AS409" s="262">
        <v>81616.459086000294</v>
      </c>
      <c r="AT409" s="262">
        <v>65657.76636372348</v>
      </c>
      <c r="AU409" s="263">
        <v>437002.02598381735</v>
      </c>
      <c r="AV409" s="31"/>
      <c r="AW409" s="323">
        <v>466808.24581369822</v>
      </c>
      <c r="AX409" s="31"/>
      <c r="AY409" s="747">
        <v>0</v>
      </c>
      <c r="AZ409" s="262">
        <v>0</v>
      </c>
      <c r="BA409" s="262">
        <v>437002.02598381735</v>
      </c>
      <c r="BB409" s="262">
        <v>4277.3227872846692</v>
      </c>
      <c r="BC409" s="263">
        <v>432724.70319653268</v>
      </c>
      <c r="BD409" s="261">
        <v>4327.2470319653266</v>
      </c>
      <c r="BE409" s="262">
        <v>428397.45616456732</v>
      </c>
      <c r="BF409" s="354">
        <v>0.91771612863826635</v>
      </c>
      <c r="BG409" s="31"/>
      <c r="BJ409" s="4">
        <v>0.91771612863826635</v>
      </c>
      <c r="BL409" s="4">
        <v>0.87673581682194035</v>
      </c>
      <c r="BM409" s="4">
        <v>0.85</v>
      </c>
      <c r="BN409" s="4" t="s">
        <v>900</v>
      </c>
      <c r="BO409" s="31" t="s">
        <v>900</v>
      </c>
      <c r="BP409" s="31" t="s">
        <v>900</v>
      </c>
      <c r="BQ409" s="31">
        <v>428105.02866452123</v>
      </c>
      <c r="BR409" s="4">
        <v>0.91708968833291915</v>
      </c>
      <c r="BS409" s="4" t="s">
        <v>900</v>
      </c>
      <c r="BT409" s="448" t="s">
        <v>900</v>
      </c>
      <c r="BU409" s="367" t="s">
        <v>900</v>
      </c>
      <c r="BV409" s="368">
        <v>428397.45616456732</v>
      </c>
      <c r="BX409" s="449">
        <v>-5520.9112766953767</v>
      </c>
      <c r="BY409" s="450">
        <v>-1.2656371546312217E-2</v>
      </c>
      <c r="BZ409" s="368">
        <v>-8.6678385524023476</v>
      </c>
      <c r="CB409" s="31">
        <v>82763</v>
      </c>
      <c r="CC409" s="31">
        <v>98362.382602343219</v>
      </c>
      <c r="CD409" s="31" t="e">
        <v>#VALUE!</v>
      </c>
      <c r="CE409" s="31" t="s">
        <v>900</v>
      </c>
      <c r="CF409" s="31" t="e">
        <v>#VALUE!</v>
      </c>
      <c r="CJ409" s="702" t="s">
        <v>1447</v>
      </c>
      <c r="CK409" s="702" t="s">
        <v>1447</v>
      </c>
      <c r="CL409" s="702" t="s">
        <v>1448</v>
      </c>
      <c r="CN409" s="702" t="s">
        <v>1447</v>
      </c>
      <c r="CO409" s="702" t="s">
        <v>1448</v>
      </c>
      <c r="CP409" s="702" t="s">
        <v>1447</v>
      </c>
      <c r="CQ409" s="702" t="s">
        <v>1447</v>
      </c>
      <c r="CS409" s="451">
        <v>0.85</v>
      </c>
      <c r="CT409" s="452">
        <v>0</v>
      </c>
      <c r="CU409" s="452">
        <v>0</v>
      </c>
      <c r="CV409" s="453">
        <v>0.85</v>
      </c>
    </row>
    <row r="410" spans="1:100" outlineLevel="1" x14ac:dyDescent="0.3">
      <c r="A410" s="1">
        <v>100220000</v>
      </c>
      <c r="B410" s="47">
        <v>408850</v>
      </c>
      <c r="C410" s="47">
        <v>4413</v>
      </c>
      <c r="D410" s="47" t="s">
        <v>427</v>
      </c>
      <c r="E410" s="47" t="s">
        <v>9</v>
      </c>
      <c r="F410" s="47" t="s">
        <v>1503</v>
      </c>
      <c r="G410" s="47" t="s">
        <v>1502</v>
      </c>
      <c r="H410" s="47" t="s">
        <v>1512</v>
      </c>
      <c r="I410" s="382">
        <v>752</v>
      </c>
      <c r="J410" s="382">
        <v>0</v>
      </c>
      <c r="K410" s="382">
        <v>0</v>
      </c>
      <c r="L410" s="382">
        <v>41</v>
      </c>
      <c r="M410" s="382">
        <v>0</v>
      </c>
      <c r="N410" s="382">
        <v>752</v>
      </c>
      <c r="O410" s="444">
        <v>11034</v>
      </c>
      <c r="P410" s="445">
        <v>793</v>
      </c>
      <c r="Q410" s="346">
        <v>7.1868769258655069E-2</v>
      </c>
      <c r="R410" s="445">
        <v>11706</v>
      </c>
      <c r="S410" s="447">
        <v>3329</v>
      </c>
      <c r="T410" s="445">
        <v>-82.628457709597271</v>
      </c>
      <c r="U410" s="444">
        <v>10253.151589603363</v>
      </c>
      <c r="V410" s="445">
        <v>710.37154229040277</v>
      </c>
      <c r="W410" s="229">
        <v>6.9283238044653056E-2</v>
      </c>
      <c r="X410" s="261">
        <v>367906.52282895934</v>
      </c>
      <c r="Y410" s="262">
        <v>0</v>
      </c>
      <c r="Z410" s="262">
        <v>114606.81952188669</v>
      </c>
      <c r="AA410" s="262">
        <v>92285.416442241985</v>
      </c>
      <c r="AB410" s="263">
        <v>574798.75879308803</v>
      </c>
      <c r="AC410" s="262">
        <v>329867.12032364111</v>
      </c>
      <c r="AD410" s="262" t="s">
        <v>900</v>
      </c>
      <c r="AE410" s="262">
        <v>102757.13851018528</v>
      </c>
      <c r="AF410" s="263">
        <v>82743.639160273582</v>
      </c>
      <c r="AG410" s="262">
        <v>329867.12032364111</v>
      </c>
      <c r="AH410" s="262" t="s">
        <v>900</v>
      </c>
      <c r="AI410" s="262">
        <v>102757.13851018528</v>
      </c>
      <c r="AJ410" s="263">
        <v>82743.639160273582</v>
      </c>
      <c r="AK410" s="262">
        <v>330047.4119125916</v>
      </c>
      <c r="AL410" s="262" t="s">
        <v>900</v>
      </c>
      <c r="AM410" s="262">
        <v>102837.54742901516</v>
      </c>
      <c r="AN410" s="262">
        <v>82820.147376189023</v>
      </c>
      <c r="AO410" s="263">
        <v>515705.10671779577</v>
      </c>
      <c r="AP410" s="31"/>
      <c r="AQ410" s="261">
        <v>326071.78105153074</v>
      </c>
      <c r="AR410" s="262">
        <v>0</v>
      </c>
      <c r="AS410" s="262">
        <v>101716.03483106008</v>
      </c>
      <c r="AT410" s="262">
        <v>81827.216289118063</v>
      </c>
      <c r="AU410" s="263">
        <v>509615.03217170888</v>
      </c>
      <c r="AV410" s="31"/>
      <c r="AW410" s="323">
        <v>560446.73346464743</v>
      </c>
      <c r="AX410" s="31"/>
      <c r="AY410" s="747">
        <v>0</v>
      </c>
      <c r="AZ410" s="262">
        <v>0</v>
      </c>
      <c r="BA410" s="262">
        <v>509615.03217170888</v>
      </c>
      <c r="BB410" s="262">
        <v>4988.0500781284263</v>
      </c>
      <c r="BC410" s="263">
        <v>504626.98209358047</v>
      </c>
      <c r="BD410" s="261">
        <v>5046.269820935805</v>
      </c>
      <c r="BE410" s="262">
        <v>499580.71227264468</v>
      </c>
      <c r="BF410" s="354">
        <v>0.89139731296900826</v>
      </c>
      <c r="BG410" s="31"/>
      <c r="BJ410" s="4">
        <v>0.89139731296900826</v>
      </c>
      <c r="BL410" s="4">
        <v>0.85</v>
      </c>
      <c r="BM410" s="4">
        <v>0.85</v>
      </c>
      <c r="BN410" s="4" t="s">
        <v>900</v>
      </c>
      <c r="BO410" s="31" t="s">
        <v>900</v>
      </c>
      <c r="BP410" s="31" t="s">
        <v>900</v>
      </c>
      <c r="BQ410" s="31">
        <v>499239.69451761624</v>
      </c>
      <c r="BR410" s="4">
        <v>0.8907888380959007</v>
      </c>
      <c r="BS410" s="4" t="s">
        <v>900</v>
      </c>
      <c r="BT410" s="448" t="s">
        <v>900</v>
      </c>
      <c r="BU410" s="367" t="s">
        <v>900</v>
      </c>
      <c r="BV410" s="368">
        <v>499580.71227264468</v>
      </c>
      <c r="BX410" s="449">
        <v>-5462.5822353533003</v>
      </c>
      <c r="BY410" s="450">
        <v>-1.0758604907479218E-2</v>
      </c>
      <c r="BZ410" s="368">
        <v>-7.6897537558172262</v>
      </c>
      <c r="CB410" s="31">
        <v>46854</v>
      </c>
      <c r="CC410" s="31">
        <v>68554.391741176063</v>
      </c>
      <c r="CD410" s="31" t="e">
        <v>#VALUE!</v>
      </c>
      <c r="CE410" s="31" t="s">
        <v>900</v>
      </c>
      <c r="CF410" s="31" t="e">
        <v>#VALUE!</v>
      </c>
      <c r="CJ410" s="702" t="s">
        <v>1447</v>
      </c>
      <c r="CK410" s="702" t="s">
        <v>1447</v>
      </c>
      <c r="CL410" s="702" t="s">
        <v>1448</v>
      </c>
      <c r="CN410" s="702" t="s">
        <v>1447</v>
      </c>
      <c r="CO410" s="702" t="s">
        <v>1448</v>
      </c>
      <c r="CP410" s="702" t="s">
        <v>1447</v>
      </c>
      <c r="CQ410" s="702" t="s">
        <v>1447</v>
      </c>
      <c r="CS410" s="451">
        <v>0.85</v>
      </c>
      <c r="CT410" s="452">
        <v>0</v>
      </c>
      <c r="CU410" s="452">
        <v>0</v>
      </c>
      <c r="CV410" s="453">
        <v>0.85</v>
      </c>
    </row>
    <row r="411" spans="1:100" outlineLevel="1" x14ac:dyDescent="0.3">
      <c r="A411" s="1">
        <v>100206000</v>
      </c>
      <c r="B411" s="47">
        <v>404630</v>
      </c>
      <c r="C411" s="47">
        <v>4404</v>
      </c>
      <c r="D411" s="47" t="s">
        <v>269</v>
      </c>
      <c r="E411" s="47" t="s">
        <v>9</v>
      </c>
      <c r="F411" s="47" t="s">
        <v>1503</v>
      </c>
      <c r="G411" s="47" t="s">
        <v>1502</v>
      </c>
      <c r="H411" s="47" t="s">
        <v>1507</v>
      </c>
      <c r="I411" s="382">
        <v>1858</v>
      </c>
      <c r="J411" s="382">
        <v>31</v>
      </c>
      <c r="K411" s="382">
        <v>0</v>
      </c>
      <c r="L411" s="382">
        <v>102</v>
      </c>
      <c r="M411" s="382">
        <v>0</v>
      </c>
      <c r="N411" s="382">
        <v>1889</v>
      </c>
      <c r="O411" s="444">
        <v>15544</v>
      </c>
      <c r="P411" s="445">
        <v>1991</v>
      </c>
      <c r="Q411" s="346">
        <v>0.12808800823468863</v>
      </c>
      <c r="R411" s="445">
        <v>11947</v>
      </c>
      <c r="S411" s="447">
        <v>5324</v>
      </c>
      <c r="T411" s="445">
        <v>-204.14739246052403</v>
      </c>
      <c r="U411" s="444">
        <v>14443.990240057519</v>
      </c>
      <c r="V411" s="445">
        <v>1786.8526075394759</v>
      </c>
      <c r="W411" s="229">
        <v>0.12370907054367826</v>
      </c>
      <c r="X411" s="261">
        <v>918271.66232740832</v>
      </c>
      <c r="Y411" s="262">
        <v>161260.85438538081</v>
      </c>
      <c r="Z411" s="262">
        <v>334309.40177031269</v>
      </c>
      <c r="AA411" s="262">
        <v>261574.53250913683</v>
      </c>
      <c r="AB411" s="263">
        <v>1675416.4509922387</v>
      </c>
      <c r="AC411" s="262">
        <v>823327.69366953475</v>
      </c>
      <c r="AD411" s="262">
        <v>144644.64051747016</v>
      </c>
      <c r="AE411" s="262">
        <v>299743.74689290457</v>
      </c>
      <c r="AF411" s="263">
        <v>234529.24162724247</v>
      </c>
      <c r="AG411" s="262">
        <v>823327.69366953475</v>
      </c>
      <c r="AH411" s="262" t="s">
        <v>900</v>
      </c>
      <c r="AI411" s="262">
        <v>299743.74689290457</v>
      </c>
      <c r="AJ411" s="263">
        <v>234529.24162724247</v>
      </c>
      <c r="AK411" s="262">
        <v>823507.98525848519</v>
      </c>
      <c r="AL411" s="262" t="s">
        <v>900</v>
      </c>
      <c r="AM411" s="262">
        <v>299824.15581173444</v>
      </c>
      <c r="AN411" s="262">
        <v>234605.74984315792</v>
      </c>
      <c r="AO411" s="263">
        <v>1357937.8909133775</v>
      </c>
      <c r="AP411" s="31"/>
      <c r="AQ411" s="261">
        <v>810999.69458788494</v>
      </c>
      <c r="AR411" s="262">
        <v>140284.93374477225</v>
      </c>
      <c r="AS411" s="262">
        <v>295671.44727456389</v>
      </c>
      <c r="AT411" s="262">
        <v>231931.72521192444</v>
      </c>
      <c r="AU411" s="263">
        <v>1478887.8008191455</v>
      </c>
      <c r="AV411" s="31"/>
      <c r="AW411" s="323">
        <v>1581212.6304315557</v>
      </c>
      <c r="AX411" s="31"/>
      <c r="AY411" s="747">
        <v>0</v>
      </c>
      <c r="AZ411" s="262">
        <v>0</v>
      </c>
      <c r="BA411" s="262">
        <v>1478887.8008191455</v>
      </c>
      <c r="BB411" s="262">
        <v>14475.17428789973</v>
      </c>
      <c r="BC411" s="263">
        <v>1464412.6265312459</v>
      </c>
      <c r="BD411" s="261">
        <v>14644.12626531246</v>
      </c>
      <c r="BE411" s="262">
        <v>1449768.5002659333</v>
      </c>
      <c r="BF411" s="354">
        <v>0.91687131279127987</v>
      </c>
      <c r="BG411" s="31"/>
      <c r="BJ411" s="4">
        <v>0.91687131279127987</v>
      </c>
      <c r="BL411" s="4">
        <v>0.87634048236444007</v>
      </c>
      <c r="BM411" s="4">
        <v>0.85</v>
      </c>
      <c r="BN411" s="4" t="s">
        <v>900</v>
      </c>
      <c r="BO411" s="31" t="s">
        <v>900</v>
      </c>
      <c r="BP411" s="31" t="s">
        <v>900</v>
      </c>
      <c r="BQ411" s="31">
        <v>1448778.8767934365</v>
      </c>
      <c r="BR411" s="4">
        <v>0.91624544916392781</v>
      </c>
      <c r="BS411" s="4" t="s">
        <v>900</v>
      </c>
      <c r="BT411" s="448" t="s">
        <v>900</v>
      </c>
      <c r="BU411" s="367" t="s">
        <v>900</v>
      </c>
      <c r="BV411" s="368">
        <v>1449768.5002659333</v>
      </c>
      <c r="BX411" s="449">
        <v>-21810.518464594847</v>
      </c>
      <c r="BY411" s="450">
        <v>-1.4740134951258163E-2</v>
      </c>
      <c r="BZ411" s="368">
        <v>-12.206109430944208</v>
      </c>
      <c r="CB411" s="31">
        <v>241940</v>
      </c>
      <c r="CC411" s="31">
        <v>284982.81143561017</v>
      </c>
      <c r="CD411" s="31" t="e">
        <v>#VALUE!</v>
      </c>
      <c r="CE411" s="31" t="s">
        <v>900</v>
      </c>
      <c r="CF411" s="31" t="e">
        <v>#VALUE!</v>
      </c>
      <c r="CJ411" s="702" t="s">
        <v>1447</v>
      </c>
      <c r="CK411" s="702" t="s">
        <v>1447</v>
      </c>
      <c r="CL411" s="702" t="s">
        <v>1448</v>
      </c>
      <c r="CN411" s="702" t="s">
        <v>1447</v>
      </c>
      <c r="CO411" s="702" t="s">
        <v>1448</v>
      </c>
      <c r="CP411" s="702" t="s">
        <v>1447</v>
      </c>
      <c r="CQ411" s="702" t="s">
        <v>1447</v>
      </c>
      <c r="CS411" s="451">
        <v>0.85</v>
      </c>
      <c r="CT411" s="452">
        <v>0</v>
      </c>
      <c r="CU411" s="452">
        <v>0</v>
      </c>
      <c r="CV411" s="453">
        <v>0.85</v>
      </c>
    </row>
    <row r="412" spans="1:100" outlineLevel="1" x14ac:dyDescent="0.3">
      <c r="A412" s="1">
        <v>100210000</v>
      </c>
      <c r="B412" s="47">
        <v>400680</v>
      </c>
      <c r="C412" s="47">
        <v>4406</v>
      </c>
      <c r="D412" s="47" t="s">
        <v>36</v>
      </c>
      <c r="E412" s="47" t="s">
        <v>9</v>
      </c>
      <c r="F412" s="47" t="s">
        <v>1498</v>
      </c>
      <c r="G412" s="47" t="s">
        <v>1499</v>
      </c>
      <c r="H412" s="47" t="s">
        <v>1508</v>
      </c>
      <c r="I412" s="382">
        <v>3783</v>
      </c>
      <c r="J412" s="382">
        <v>138</v>
      </c>
      <c r="K412" s="382">
        <v>0</v>
      </c>
      <c r="L412" s="382">
        <v>207</v>
      </c>
      <c r="M412" s="382">
        <v>0</v>
      </c>
      <c r="N412" s="382">
        <v>3921</v>
      </c>
      <c r="O412" s="444">
        <v>19096</v>
      </c>
      <c r="P412" s="445">
        <v>4128</v>
      </c>
      <c r="Q412" s="346">
        <v>0.21617092584834521</v>
      </c>
      <c r="R412" s="445">
        <v>13303</v>
      </c>
      <c r="S412" s="447">
        <v>6477</v>
      </c>
      <c r="T412" s="445">
        <v>-415.64134551026979</v>
      </c>
      <c r="U412" s="444">
        <v>17744.624139483945</v>
      </c>
      <c r="V412" s="445">
        <v>3712.3586544897303</v>
      </c>
      <c r="W412" s="229">
        <v>0.20921032901617123</v>
      </c>
      <c r="X412" s="261">
        <v>1994698.5172247125</v>
      </c>
      <c r="Y412" s="262">
        <v>472320.473761008</v>
      </c>
      <c r="Z412" s="262">
        <v>927133.05544670695</v>
      </c>
      <c r="AA412" s="262">
        <v>805588.89835116465</v>
      </c>
      <c r="AB412" s="263">
        <v>4199740.9447835917</v>
      </c>
      <c r="AC412" s="262">
        <v>1788458.2494794521</v>
      </c>
      <c r="AD412" s="262">
        <v>423652.8784160756</v>
      </c>
      <c r="AE412" s="262">
        <v>831272.87009055109</v>
      </c>
      <c r="AF412" s="263">
        <v>722295.67451114487</v>
      </c>
      <c r="AG412" s="262">
        <v>1788458.2494794521</v>
      </c>
      <c r="AH412" s="262">
        <v>423652.8784160756</v>
      </c>
      <c r="AI412" s="262">
        <v>831272.87009055109</v>
      </c>
      <c r="AJ412" s="263">
        <v>722295.67451114487</v>
      </c>
      <c r="AK412" s="262">
        <v>1788638.5410684026</v>
      </c>
      <c r="AL412" s="262">
        <v>427113.92796517658</v>
      </c>
      <c r="AM412" s="262">
        <v>831353.27900938096</v>
      </c>
      <c r="AN412" s="262">
        <v>722372.18272706028</v>
      </c>
      <c r="AO412" s="263">
        <v>3769477.9307700205</v>
      </c>
      <c r="AP412" s="31"/>
      <c r="AQ412" s="261">
        <v>1767880.8550907071</v>
      </c>
      <c r="AR412" s="262">
        <v>417682.56975459069</v>
      </c>
      <c r="AS412" s="262">
        <v>822850.66939524421</v>
      </c>
      <c r="AT412" s="262">
        <v>714295.92634226661</v>
      </c>
      <c r="AU412" s="263">
        <v>3722710.0205828086</v>
      </c>
      <c r="AV412" s="31"/>
      <c r="AW412" s="323">
        <v>3866586.558514772</v>
      </c>
      <c r="AX412" s="31"/>
      <c r="AY412" s="747">
        <v>0</v>
      </c>
      <c r="AZ412" s="262">
        <v>0</v>
      </c>
      <c r="BA412" s="262">
        <v>3722710.0205828086</v>
      </c>
      <c r="BB412" s="262">
        <v>36437.433821145452</v>
      </c>
      <c r="BC412" s="263">
        <v>3686272.5867616632</v>
      </c>
      <c r="BD412" s="261">
        <v>36862.725867616631</v>
      </c>
      <c r="BE412" s="262">
        <v>3649409.8608940467</v>
      </c>
      <c r="BF412" s="354">
        <v>0.94383244902600938</v>
      </c>
      <c r="BG412" s="31"/>
      <c r="BJ412" s="4">
        <v>0.94383244902600938</v>
      </c>
      <c r="BL412" s="4">
        <v>0.90000000000000013</v>
      </c>
      <c r="BM412" s="4">
        <v>0.9</v>
      </c>
      <c r="BN412" s="4" t="s">
        <v>900</v>
      </c>
      <c r="BO412" s="31" t="s">
        <v>900</v>
      </c>
      <c r="BP412" s="31" t="s">
        <v>900</v>
      </c>
      <c r="BQ412" s="31">
        <v>3646918.7447893447</v>
      </c>
      <c r="BR412" s="4">
        <v>0.94318818151330719</v>
      </c>
      <c r="BS412" s="4" t="s">
        <v>900</v>
      </c>
      <c r="BT412" s="448" t="s">
        <v>900</v>
      </c>
      <c r="BU412" s="367" t="s">
        <v>900</v>
      </c>
      <c r="BV412" s="368">
        <v>3649409.8608940467</v>
      </c>
      <c r="BX412" s="449">
        <v>-39981.383847647812</v>
      </c>
      <c r="BY412" s="450">
        <v>-1.0776798980956159E-2</v>
      </c>
      <c r="BZ412" s="368">
        <v>-10.769806359979333</v>
      </c>
      <c r="CB412" s="31">
        <v>439484</v>
      </c>
      <c r="CC412" s="31">
        <v>516434.32975059631</v>
      </c>
      <c r="CD412" s="31" t="e">
        <v>#VALUE!</v>
      </c>
      <c r="CE412" s="31" t="s">
        <v>900</v>
      </c>
      <c r="CF412" s="31" t="e">
        <v>#VALUE!</v>
      </c>
      <c r="CJ412" s="702" t="s">
        <v>1447</v>
      </c>
      <c r="CK412" s="702" t="s">
        <v>1447</v>
      </c>
      <c r="CL412" s="702" t="s">
        <v>1448</v>
      </c>
      <c r="CN412" s="702" t="s">
        <v>1447</v>
      </c>
      <c r="CO412" s="702" t="s">
        <v>1447</v>
      </c>
      <c r="CP412" s="702" t="s">
        <v>1447</v>
      </c>
      <c r="CQ412" s="702" t="s">
        <v>1447</v>
      </c>
      <c r="CS412" s="451">
        <v>0</v>
      </c>
      <c r="CT412" s="452">
        <v>0.9</v>
      </c>
      <c r="CU412" s="452">
        <v>0</v>
      </c>
      <c r="CV412" s="453">
        <v>0.9</v>
      </c>
    </row>
    <row r="413" spans="1:100" outlineLevel="1" x14ac:dyDescent="0.3">
      <c r="A413" s="1">
        <v>100212000</v>
      </c>
      <c r="B413" s="47">
        <v>408170</v>
      </c>
      <c r="C413" s="47">
        <v>4407</v>
      </c>
      <c r="D413" s="47" t="s">
        <v>403</v>
      </c>
      <c r="E413" s="47" t="s">
        <v>9</v>
      </c>
      <c r="F413" s="47" t="s">
        <v>1503</v>
      </c>
      <c r="G413" s="47" t="s">
        <v>1502</v>
      </c>
      <c r="H413" s="47" t="s">
        <v>1527</v>
      </c>
      <c r="I413" s="382">
        <v>7218</v>
      </c>
      <c r="J413" s="382">
        <v>0</v>
      </c>
      <c r="K413" s="382">
        <v>0</v>
      </c>
      <c r="L413" s="382">
        <v>396</v>
      </c>
      <c r="M413" s="382">
        <v>0</v>
      </c>
      <c r="N413" s="382">
        <v>7218</v>
      </c>
      <c r="O413" s="444">
        <v>19791</v>
      </c>
      <c r="P413" s="445">
        <v>7614</v>
      </c>
      <c r="Q413" s="346">
        <v>0.38472032742155526</v>
      </c>
      <c r="R413" s="445">
        <v>16304</v>
      </c>
      <c r="S413" s="447">
        <v>13756</v>
      </c>
      <c r="T413" s="445">
        <v>-793.10084000394181</v>
      </c>
      <c r="U413" s="444">
        <v>18390.440738611574</v>
      </c>
      <c r="V413" s="445">
        <v>6820.8991599960582</v>
      </c>
      <c r="W413" s="229">
        <v>0.37089372989714525</v>
      </c>
      <c r="X413" s="261">
        <v>3938196.8234477625</v>
      </c>
      <c r="Y413" s="262">
        <v>932517.35706052871</v>
      </c>
      <c r="Z413" s="262">
        <v>2443903.0044073761</v>
      </c>
      <c r="AA413" s="262">
        <v>2494121.4288284928</v>
      </c>
      <c r="AB413" s="263">
        <v>9808738.6137441602</v>
      </c>
      <c r="AC413" s="262">
        <v>3531010.093078373</v>
      </c>
      <c r="AD413" s="262">
        <v>836431.37327039684</v>
      </c>
      <c r="AE413" s="262">
        <v>2191217.5957503836</v>
      </c>
      <c r="AF413" s="263">
        <v>2236243.726093513</v>
      </c>
      <c r="AG413" s="262">
        <v>3531010.093078373</v>
      </c>
      <c r="AH413" s="262">
        <v>836431.37327039684</v>
      </c>
      <c r="AI413" s="262">
        <v>2191217.5957503836</v>
      </c>
      <c r="AJ413" s="263">
        <v>2236243.726093513</v>
      </c>
      <c r="AK413" s="262">
        <v>3531190.3846673234</v>
      </c>
      <c r="AL413" s="262">
        <v>839892.42281949776</v>
      </c>
      <c r="AM413" s="262">
        <v>2191298.0046692137</v>
      </c>
      <c r="AN413" s="262">
        <v>2236320.2343094284</v>
      </c>
      <c r="AO413" s="263">
        <v>8798701.0464654639</v>
      </c>
      <c r="AP413" s="31"/>
      <c r="AQ413" s="261">
        <v>3490383.4878461501</v>
      </c>
      <c r="AR413" s="262">
        <v>821979.19516449433</v>
      </c>
      <c r="AS413" s="262">
        <v>2169016.8539452441</v>
      </c>
      <c r="AT413" s="262">
        <v>2211476.3250356433</v>
      </c>
      <c r="AU413" s="263">
        <v>8692855.8619915321</v>
      </c>
      <c r="AV413" s="31"/>
      <c r="AW413" s="323">
        <v>8737634.187357679</v>
      </c>
      <c r="AX413" s="31"/>
      <c r="AY413" s="747">
        <v>0</v>
      </c>
      <c r="AZ413" s="262">
        <v>0</v>
      </c>
      <c r="BA413" s="262">
        <v>8692855.8619915321</v>
      </c>
      <c r="BB413" s="262">
        <v>85084.618043520008</v>
      </c>
      <c r="BC413" s="263">
        <v>8607771.2439480126</v>
      </c>
      <c r="BD413" s="261">
        <v>86077.712439480121</v>
      </c>
      <c r="BE413" s="262">
        <v>8521693.5315085333</v>
      </c>
      <c r="BF413" s="354">
        <v>0.9752861413949343</v>
      </c>
      <c r="BG413" s="31"/>
      <c r="BJ413" s="4">
        <v>0.9752861413949343</v>
      </c>
      <c r="BL413" s="4">
        <v>0.95</v>
      </c>
      <c r="BM413" s="4">
        <v>0.95</v>
      </c>
      <c r="BN413" s="4" t="s">
        <v>900</v>
      </c>
      <c r="BO413" s="31" t="s">
        <v>900</v>
      </c>
      <c r="BP413" s="31" t="s">
        <v>900</v>
      </c>
      <c r="BQ413" s="31">
        <v>8515876.5559412912</v>
      </c>
      <c r="BR413" s="4">
        <v>0.97462040334244648</v>
      </c>
      <c r="BS413" s="4" t="s">
        <v>900</v>
      </c>
      <c r="BT413" s="448" t="s">
        <v>900</v>
      </c>
      <c r="BU413" s="367" t="s">
        <v>900</v>
      </c>
      <c r="BV413" s="368">
        <v>8521693.5315085333</v>
      </c>
      <c r="BX413" s="449">
        <v>-94790.661169348285</v>
      </c>
      <c r="BY413" s="450">
        <v>-1.0939811606352604E-2</v>
      </c>
      <c r="BZ413" s="368">
        <v>-13.897091709739199</v>
      </c>
      <c r="CB413" s="31">
        <v>630505</v>
      </c>
      <c r="CC413" s="31">
        <v>757432.35255771107</v>
      </c>
      <c r="CD413" s="31" t="e">
        <v>#VALUE!</v>
      </c>
      <c r="CE413" s="31" t="s">
        <v>900</v>
      </c>
      <c r="CF413" s="31" t="e">
        <v>#VALUE!</v>
      </c>
      <c r="CJ413" s="702" t="s">
        <v>1447</v>
      </c>
      <c r="CK413" s="702" t="s">
        <v>1447</v>
      </c>
      <c r="CL413" s="702" t="s">
        <v>1448</v>
      </c>
      <c r="CN413" s="702" t="s">
        <v>1447</v>
      </c>
      <c r="CO413" s="702" t="s">
        <v>1447</v>
      </c>
      <c r="CP413" s="702" t="s">
        <v>1447</v>
      </c>
      <c r="CQ413" s="702" t="s">
        <v>1447</v>
      </c>
      <c r="CS413" s="451">
        <v>0</v>
      </c>
      <c r="CT413" s="452">
        <v>0</v>
      </c>
      <c r="CU413" s="452">
        <v>0.95</v>
      </c>
      <c r="CV413" s="453">
        <v>0.95</v>
      </c>
    </row>
    <row r="414" spans="1:100" outlineLevel="1" x14ac:dyDescent="0.3">
      <c r="A414" s="1">
        <v>100201000</v>
      </c>
      <c r="B414" s="47">
        <v>408800</v>
      </c>
      <c r="C414" s="47">
        <v>4403</v>
      </c>
      <c r="D414" s="47" t="s">
        <v>424</v>
      </c>
      <c r="E414" s="47" t="s">
        <v>9</v>
      </c>
      <c r="F414" s="47" t="s">
        <v>1498</v>
      </c>
      <c r="G414" s="47" t="s">
        <v>1499</v>
      </c>
      <c r="H414" s="47" t="s">
        <v>1526</v>
      </c>
      <c r="I414" s="382">
        <v>19315</v>
      </c>
      <c r="J414" s="382">
        <v>156</v>
      </c>
      <c r="K414" s="382">
        <v>0</v>
      </c>
      <c r="L414" s="382">
        <v>1060</v>
      </c>
      <c r="M414" s="382">
        <v>0</v>
      </c>
      <c r="N414" s="382">
        <v>19471</v>
      </c>
      <c r="O414" s="444">
        <v>73274</v>
      </c>
      <c r="P414" s="445">
        <v>20531</v>
      </c>
      <c r="Q414" s="346">
        <v>0.28019488495237055</v>
      </c>
      <c r="R414" s="445">
        <v>46383</v>
      </c>
      <c r="S414" s="447">
        <v>33488</v>
      </c>
      <c r="T414" s="445">
        <v>-2122.265703912783</v>
      </c>
      <c r="U414" s="444">
        <v>68088.583430904182</v>
      </c>
      <c r="V414" s="445">
        <v>18408.734296087216</v>
      </c>
      <c r="W414" s="229">
        <v>0.27036447769203881</v>
      </c>
      <c r="X414" s="261">
        <v>9559036.2923706304</v>
      </c>
      <c r="Y414" s="262">
        <v>2263464.1332129366</v>
      </c>
      <c r="Z414" s="262">
        <v>5938637.403327357</v>
      </c>
      <c r="AA414" s="262">
        <v>6133284.4759164304</v>
      </c>
      <c r="AB414" s="263">
        <v>23894422.304827355</v>
      </c>
      <c r="AC414" s="262">
        <v>8570687.3327152468</v>
      </c>
      <c r="AD414" s="262">
        <v>2030238.2566469454</v>
      </c>
      <c r="AE414" s="262">
        <v>5324616.7092084605</v>
      </c>
      <c r="AF414" s="263">
        <v>5499138.4024382234</v>
      </c>
      <c r="AG414" s="262">
        <v>8570687.3327152468</v>
      </c>
      <c r="AH414" s="262">
        <v>2030238.2566469454</v>
      </c>
      <c r="AI414" s="262">
        <v>5324616.7092084605</v>
      </c>
      <c r="AJ414" s="263">
        <v>5499138.4024382234</v>
      </c>
      <c r="AK414" s="262">
        <v>8570867.6243041977</v>
      </c>
      <c r="AL414" s="262">
        <v>2033699.3061960463</v>
      </c>
      <c r="AM414" s="262">
        <v>5324697.1181272902</v>
      </c>
      <c r="AN414" s="262">
        <v>5499214.9106541388</v>
      </c>
      <c r="AO414" s="263">
        <v>21428478.959281676</v>
      </c>
      <c r="AP414" s="31"/>
      <c r="AQ414" s="261">
        <v>8472075.90945209</v>
      </c>
      <c r="AR414" s="262">
        <v>1990628.3059806197</v>
      </c>
      <c r="AS414" s="262">
        <v>5270669.3326440677</v>
      </c>
      <c r="AT414" s="262">
        <v>5438232.9811298558</v>
      </c>
      <c r="AU414" s="263">
        <v>21171606.529206634</v>
      </c>
      <c r="AV414" s="31"/>
      <c r="AW414" s="323">
        <v>21989853.836420514</v>
      </c>
      <c r="AX414" s="31"/>
      <c r="AY414" s="747">
        <v>0</v>
      </c>
      <c r="AZ414" s="262">
        <v>0</v>
      </c>
      <c r="BA414" s="262">
        <v>21171606.529206634</v>
      </c>
      <c r="BB414" s="262">
        <v>207225.11491091776</v>
      </c>
      <c r="BC414" s="263">
        <v>20964381.414295714</v>
      </c>
      <c r="BD414" s="261">
        <v>209643.81414295716</v>
      </c>
      <c r="BE414" s="262">
        <v>20754737.600152757</v>
      </c>
      <c r="BF414" s="354">
        <v>0.94383244902600916</v>
      </c>
      <c r="BG414" s="31"/>
      <c r="BJ414" s="4">
        <v>0.94383244902600916</v>
      </c>
      <c r="BL414" s="4">
        <v>0.9</v>
      </c>
      <c r="BM414" s="4">
        <v>0.9</v>
      </c>
      <c r="BN414" s="4" t="s">
        <v>900</v>
      </c>
      <c r="BO414" s="31" t="s">
        <v>900</v>
      </c>
      <c r="BP414" s="31" t="s">
        <v>900</v>
      </c>
      <c r="BQ414" s="31">
        <v>20740570.251716882</v>
      </c>
      <c r="BR414" s="4">
        <v>0.94318818151330697</v>
      </c>
      <c r="BS414" s="4" t="s">
        <v>900</v>
      </c>
      <c r="BT414" s="448" t="s">
        <v>900</v>
      </c>
      <c r="BU414" s="367" t="s">
        <v>900</v>
      </c>
      <c r="BV414" s="368">
        <v>20754737.600152757</v>
      </c>
      <c r="BX414" s="449">
        <v>-235047.25083804876</v>
      </c>
      <c r="BY414" s="450">
        <v>-1.1135664858241015E-2</v>
      </c>
      <c r="BZ414" s="368">
        <v>-12.768246151937134</v>
      </c>
      <c r="CB414" s="31">
        <v>2477452</v>
      </c>
      <c r="CC414" s="31">
        <v>2838785.4942487623</v>
      </c>
      <c r="CD414" s="31" t="e">
        <v>#VALUE!</v>
      </c>
      <c r="CE414" s="31" t="s">
        <v>900</v>
      </c>
      <c r="CF414" s="31" t="e">
        <v>#VALUE!</v>
      </c>
      <c r="CJ414" s="702" t="s">
        <v>1447</v>
      </c>
      <c r="CK414" s="702" t="s">
        <v>1447</v>
      </c>
      <c r="CL414" s="702" t="s">
        <v>1448</v>
      </c>
      <c r="CN414" s="702" t="s">
        <v>1447</v>
      </c>
      <c r="CO414" s="702" t="s">
        <v>1447</v>
      </c>
      <c r="CP414" s="702" t="s">
        <v>1447</v>
      </c>
      <c r="CQ414" s="702" t="s">
        <v>1447</v>
      </c>
      <c r="CS414" s="451">
        <v>0</v>
      </c>
      <c r="CT414" s="452">
        <v>0.9</v>
      </c>
      <c r="CU414" s="452">
        <v>0</v>
      </c>
      <c r="CV414" s="453">
        <v>0.9</v>
      </c>
    </row>
    <row r="415" spans="1:100" outlineLevel="1" x14ac:dyDescent="0.3">
      <c r="A415" s="1">
        <v>100337000</v>
      </c>
      <c r="B415" s="47">
        <v>402820</v>
      </c>
      <c r="C415" s="47">
        <v>4415</v>
      </c>
      <c r="D415" s="47" t="s">
        <v>523</v>
      </c>
      <c r="E415" s="47" t="s">
        <v>9</v>
      </c>
      <c r="F415" s="47" t="s">
        <v>900</v>
      </c>
      <c r="G415" s="47" t="s">
        <v>900</v>
      </c>
      <c r="H415" s="47" t="s">
        <v>900</v>
      </c>
      <c r="I415" s="382">
        <v>10</v>
      </c>
      <c r="J415" s="382">
        <v>0</v>
      </c>
      <c r="K415" s="382">
        <v>0</v>
      </c>
      <c r="L415" s="382">
        <v>1</v>
      </c>
      <c r="M415" s="382">
        <v>0</v>
      </c>
      <c r="N415" s="382">
        <v>10</v>
      </c>
      <c r="O415" s="444">
        <v>70</v>
      </c>
      <c r="P415" s="445">
        <v>11</v>
      </c>
      <c r="Q415" s="346">
        <v>0.15714285714285714</v>
      </c>
      <c r="R415" s="445" t="s">
        <v>900</v>
      </c>
      <c r="S415" s="447" t="s">
        <v>900</v>
      </c>
      <c r="T415" s="445">
        <v>-1.0986904333766196</v>
      </c>
      <c r="U415" s="444">
        <v>65.04627617112881</v>
      </c>
      <c r="V415" s="445">
        <v>9.9013095666233806</v>
      </c>
      <c r="W415" s="229">
        <v>0.15221946819175697</v>
      </c>
      <c r="X415" s="261">
        <v>5308.3072106287145</v>
      </c>
      <c r="Y415" s="262">
        <v>1256.9429189136347</v>
      </c>
      <c r="Z415" s="262">
        <v>1721.5845256641519</v>
      </c>
      <c r="AA415" s="262">
        <v>1486.6970696213525</v>
      </c>
      <c r="AB415" s="263">
        <v>9773.5317248278534</v>
      </c>
      <c r="AC415" s="262">
        <v>4759.4590057795058</v>
      </c>
      <c r="AD415" s="262">
        <v>1127.4283356006108</v>
      </c>
      <c r="AE415" s="262">
        <v>1543.5826619975171</v>
      </c>
      <c r="AF415" s="263">
        <v>1332.9812077770237</v>
      </c>
      <c r="AG415" s="262" t="s">
        <v>900</v>
      </c>
      <c r="AH415" s="262" t="s">
        <v>900</v>
      </c>
      <c r="AI415" s="262" t="s">
        <v>900</v>
      </c>
      <c r="AJ415" s="263" t="s">
        <v>900</v>
      </c>
      <c r="AK415" s="262" t="s">
        <v>900</v>
      </c>
      <c r="AL415" s="262" t="s">
        <v>900</v>
      </c>
      <c r="AM415" s="262" t="s">
        <v>900</v>
      </c>
      <c r="AN415" s="262" t="s">
        <v>900</v>
      </c>
      <c r="AO415" s="263">
        <v>0</v>
      </c>
      <c r="AP415" s="31"/>
      <c r="AQ415" s="261">
        <v>0</v>
      </c>
      <c r="AR415" s="262">
        <v>4004.2093285060487</v>
      </c>
      <c r="AS415" s="262">
        <v>0</v>
      </c>
      <c r="AT415" s="262">
        <v>0</v>
      </c>
      <c r="AU415" s="263">
        <v>4004.2093285060487</v>
      </c>
      <c r="AV415" s="31"/>
      <c r="AW415" s="323">
        <v>12001.653173310639</v>
      </c>
      <c r="AX415" s="31"/>
      <c r="AY415" s="747">
        <v>0</v>
      </c>
      <c r="AZ415" s="262">
        <v>0</v>
      </c>
      <c r="BA415" s="262">
        <v>4004.2093285060487</v>
      </c>
      <c r="BB415" s="262">
        <v>39.192714878880246</v>
      </c>
      <c r="BC415" s="263">
        <v>3965.0166136271682</v>
      </c>
      <c r="BD415" s="261">
        <v>39.650166136271686</v>
      </c>
      <c r="BE415" s="262">
        <v>3925.3664474908965</v>
      </c>
      <c r="BF415" s="354">
        <v>0.32706881217165601</v>
      </c>
      <c r="BG415" s="31"/>
      <c r="BJ415" s="4">
        <v>0.32706881217165601</v>
      </c>
      <c r="BL415" s="4">
        <v>0.9</v>
      </c>
      <c r="BM415" s="4">
        <v>0.9</v>
      </c>
      <c r="BN415" s="4" t="s">
        <v>1003</v>
      </c>
      <c r="BO415" s="31">
        <v>6876.1214084886778</v>
      </c>
      <c r="BP415" s="31">
        <v>10801.487855979574</v>
      </c>
      <c r="BQ415" s="31">
        <v>10801.487855979574</v>
      </c>
      <c r="BR415" s="4">
        <v>0.9</v>
      </c>
      <c r="BS415" s="4" t="s">
        <v>900</v>
      </c>
      <c r="BT415" s="448" t="s">
        <v>900</v>
      </c>
      <c r="BU415" s="367" t="s">
        <v>900</v>
      </c>
      <c r="BV415" s="368">
        <v>3925.3664474908965</v>
      </c>
      <c r="BX415" s="449">
        <v>3925.3664474908965</v>
      </c>
      <c r="BY415" s="450">
        <v>0.4546533201404015</v>
      </c>
      <c r="BZ415" s="368">
        <v>396.44921927529981</v>
      </c>
      <c r="CB415" s="31" t="s">
        <v>900</v>
      </c>
      <c r="CC415" s="31">
        <v>223.26005690168111</v>
      </c>
      <c r="CD415" s="31" t="e">
        <v>#VALUE!</v>
      </c>
      <c r="CE415" s="31" t="s">
        <v>900</v>
      </c>
      <c r="CF415" s="31" t="e">
        <v>#VALUE!</v>
      </c>
      <c r="CJ415" s="702" t="s">
        <v>1447</v>
      </c>
      <c r="CK415" s="702" t="s">
        <v>1447</v>
      </c>
      <c r="CL415" s="702" t="s">
        <v>1448</v>
      </c>
      <c r="CN415" s="702" t="s">
        <v>1448</v>
      </c>
      <c r="CO415" s="702" t="s">
        <v>1448</v>
      </c>
      <c r="CP415" s="702" t="s">
        <v>1448</v>
      </c>
      <c r="CQ415" s="702" t="s">
        <v>1448</v>
      </c>
      <c r="CS415" s="451">
        <v>0</v>
      </c>
      <c r="CT415" s="452">
        <v>0.9</v>
      </c>
      <c r="CU415" s="452">
        <v>0</v>
      </c>
      <c r="CV415" s="453">
        <v>0.9</v>
      </c>
    </row>
    <row r="416" spans="1:100" outlineLevel="1" x14ac:dyDescent="0.3">
      <c r="A416" s="1">
        <v>100344000</v>
      </c>
      <c r="B416" s="47">
        <v>406930</v>
      </c>
      <c r="C416" s="47">
        <v>4417</v>
      </c>
      <c r="D416" s="47" t="s">
        <v>481</v>
      </c>
      <c r="E416" s="47" t="s">
        <v>9</v>
      </c>
      <c r="F416" s="47" t="s">
        <v>900</v>
      </c>
      <c r="G416" s="47" t="s">
        <v>900</v>
      </c>
      <c r="H416" s="47" t="s">
        <v>900</v>
      </c>
      <c r="I416" s="382">
        <v>7</v>
      </c>
      <c r="J416" s="382">
        <v>0</v>
      </c>
      <c r="K416" s="382">
        <v>0</v>
      </c>
      <c r="L416" s="382">
        <v>0</v>
      </c>
      <c r="M416" s="382">
        <v>0</v>
      </c>
      <c r="N416" s="382">
        <v>7</v>
      </c>
      <c r="O416" s="444">
        <v>15</v>
      </c>
      <c r="P416" s="445">
        <v>7</v>
      </c>
      <c r="Q416" s="346">
        <v>0.46666666666666667</v>
      </c>
      <c r="R416" s="445" t="s">
        <v>900</v>
      </c>
      <c r="S416" s="447" t="s">
        <v>900</v>
      </c>
      <c r="T416" s="445">
        <v>-0.76922529119324834</v>
      </c>
      <c r="U416" s="444">
        <v>13.938487750956176</v>
      </c>
      <c r="V416" s="445">
        <v>6.2307747088067513</v>
      </c>
      <c r="W416" s="229">
        <v>0.44701941990653343</v>
      </c>
      <c r="X416" s="261">
        <v>0</v>
      </c>
      <c r="Y416" s="262">
        <v>1050.3233745770101</v>
      </c>
      <c r="Z416" s="262">
        <v>0</v>
      </c>
      <c r="AA416" s="262">
        <v>0</v>
      </c>
      <c r="AB416" s="263">
        <v>1050.3233745770101</v>
      </c>
      <c r="AC416" s="262" t="s">
        <v>900</v>
      </c>
      <c r="AD416" s="262">
        <v>942.09873513209243</v>
      </c>
      <c r="AE416" s="262" t="s">
        <v>900</v>
      </c>
      <c r="AF416" s="263" t="s">
        <v>900</v>
      </c>
      <c r="AG416" s="262" t="s">
        <v>900</v>
      </c>
      <c r="AH416" s="262" t="s">
        <v>900</v>
      </c>
      <c r="AI416" s="262" t="s">
        <v>900</v>
      </c>
      <c r="AJ416" s="263" t="s">
        <v>900</v>
      </c>
      <c r="AK416" s="262" t="s">
        <v>900</v>
      </c>
      <c r="AL416" s="262" t="s">
        <v>900</v>
      </c>
      <c r="AM416" s="262" t="s">
        <v>900</v>
      </c>
      <c r="AN416" s="262" t="s">
        <v>900</v>
      </c>
      <c r="AO416" s="263">
        <v>0</v>
      </c>
      <c r="AP416" s="31"/>
      <c r="AQ416" s="261">
        <v>0</v>
      </c>
      <c r="AR416" s="262">
        <v>0</v>
      </c>
      <c r="AS416" s="262">
        <v>0</v>
      </c>
      <c r="AT416" s="262">
        <v>0</v>
      </c>
      <c r="AU416" s="263">
        <v>0</v>
      </c>
      <c r="AV416" s="31"/>
      <c r="AW416" s="323">
        <v>0</v>
      </c>
      <c r="AX416" s="31"/>
      <c r="AY416" s="747">
        <v>0</v>
      </c>
      <c r="AZ416" s="262">
        <v>0</v>
      </c>
      <c r="BA416" s="262">
        <v>0</v>
      </c>
      <c r="BB416" s="262">
        <v>0</v>
      </c>
      <c r="BC416" s="263">
        <v>0</v>
      </c>
      <c r="BD416" s="261">
        <v>0</v>
      </c>
      <c r="BE416" s="262">
        <v>0</v>
      </c>
      <c r="BF416" s="354" t="s">
        <v>1450</v>
      </c>
      <c r="BG416" s="31"/>
      <c r="BJ416" s="4" t="s">
        <v>900</v>
      </c>
      <c r="BL416" s="4">
        <v>0.95000000000000007</v>
      </c>
      <c r="BM416" s="4">
        <v>0.95</v>
      </c>
      <c r="BN416" s="4" t="s">
        <v>900</v>
      </c>
      <c r="BO416" s="31" t="s">
        <v>900</v>
      </c>
      <c r="BP416" s="31" t="s">
        <v>900</v>
      </c>
      <c r="BQ416" s="31">
        <v>0</v>
      </c>
      <c r="BR416" s="4" t="s">
        <v>900</v>
      </c>
      <c r="BS416" s="4" t="s">
        <v>900</v>
      </c>
      <c r="BT416" s="448" t="s">
        <v>900</v>
      </c>
      <c r="BU416" s="367" t="s">
        <v>900</v>
      </c>
      <c r="BV416" s="368">
        <v>0</v>
      </c>
      <c r="BX416" s="449">
        <v>0</v>
      </c>
      <c r="BY416" s="450">
        <v>0</v>
      </c>
      <c r="BZ416" s="368">
        <v>0</v>
      </c>
      <c r="CB416" s="31" t="s">
        <v>900</v>
      </c>
      <c r="CC416" s="31">
        <v>113.0358557962855</v>
      </c>
      <c r="CD416" s="31" t="e">
        <v>#VALUE!</v>
      </c>
      <c r="CE416" s="31" t="s">
        <v>900</v>
      </c>
      <c r="CF416" s="31" t="e">
        <v>#VALUE!</v>
      </c>
      <c r="CJ416" s="702" t="s">
        <v>1447</v>
      </c>
      <c r="CK416" s="702" t="s">
        <v>1447</v>
      </c>
      <c r="CL416" s="702" t="s">
        <v>1448</v>
      </c>
      <c r="CN416" s="702" t="s">
        <v>1448</v>
      </c>
      <c r="CO416" s="702" t="s">
        <v>1448</v>
      </c>
      <c r="CP416" s="702" t="s">
        <v>1448</v>
      </c>
      <c r="CQ416" s="702" t="s">
        <v>1448</v>
      </c>
      <c r="CS416" s="451">
        <v>0</v>
      </c>
      <c r="CT416" s="452">
        <v>0</v>
      </c>
      <c r="CU416" s="452">
        <v>0.95</v>
      </c>
      <c r="CV416" s="453">
        <v>0.95</v>
      </c>
    </row>
    <row r="417" spans="1:100" s="237" customFormat="1" outlineLevel="1" x14ac:dyDescent="0.3">
      <c r="A417" s="236"/>
      <c r="B417" s="237">
        <v>481019</v>
      </c>
      <c r="D417" s="237" t="s">
        <v>885</v>
      </c>
      <c r="E417" s="237" t="s">
        <v>9</v>
      </c>
      <c r="F417" s="237" t="s">
        <v>900</v>
      </c>
      <c r="G417" s="237" t="s">
        <v>900</v>
      </c>
      <c r="H417" s="237" t="s">
        <v>900</v>
      </c>
      <c r="I417" s="760">
        <v>8</v>
      </c>
      <c r="J417" s="760">
        <v>0</v>
      </c>
      <c r="K417" s="760">
        <v>0</v>
      </c>
      <c r="L417" s="760">
        <v>0</v>
      </c>
      <c r="M417" s="760">
        <v>0</v>
      </c>
      <c r="N417" s="760">
        <v>8</v>
      </c>
      <c r="O417" s="525">
        <v>45</v>
      </c>
      <c r="P417" s="526">
        <v>8</v>
      </c>
      <c r="Q417" s="350">
        <v>0.17777777777777778</v>
      </c>
      <c r="R417" s="526" t="s">
        <v>900</v>
      </c>
      <c r="S417" s="528" t="s">
        <v>900</v>
      </c>
      <c r="T417" s="526"/>
      <c r="U417" s="525"/>
      <c r="V417" s="526"/>
      <c r="W417" s="241">
        <v>0</v>
      </c>
      <c r="X417" s="273">
        <v>0</v>
      </c>
      <c r="Y417" s="274">
        <v>1692.8907194862404</v>
      </c>
      <c r="Z417" s="274">
        <v>0</v>
      </c>
      <c r="AA417" s="274">
        <v>0</v>
      </c>
      <c r="AB417" s="275">
        <v>1692.8907194862404</v>
      </c>
      <c r="AC417" s="274"/>
      <c r="AD417" s="274"/>
      <c r="AE417" s="274"/>
      <c r="AF417" s="275"/>
      <c r="AG417" s="274" t="s">
        <v>900</v>
      </c>
      <c r="AH417" s="274" t="s">
        <v>900</v>
      </c>
      <c r="AI417" s="274" t="s">
        <v>900</v>
      </c>
      <c r="AJ417" s="275" t="s">
        <v>900</v>
      </c>
      <c r="AK417" s="274"/>
      <c r="AL417" s="274"/>
      <c r="AM417" s="274"/>
      <c r="AN417" s="274"/>
      <c r="AO417" s="275"/>
      <c r="AQ417" s="273">
        <v>0</v>
      </c>
      <c r="AR417" s="274">
        <v>0</v>
      </c>
      <c r="AS417" s="274">
        <v>0</v>
      </c>
      <c r="AT417" s="274">
        <v>0</v>
      </c>
      <c r="AU417" s="275">
        <v>0</v>
      </c>
      <c r="AW417" s="327">
        <v>0</v>
      </c>
      <c r="AY417" s="379">
        <v>0</v>
      </c>
      <c r="AZ417" s="274">
        <v>0</v>
      </c>
      <c r="BA417" s="274">
        <v>0</v>
      </c>
      <c r="BB417" s="274"/>
      <c r="BC417" s="275"/>
      <c r="BD417" s="273"/>
      <c r="BE417" s="274"/>
      <c r="BF417" s="366" t="s">
        <v>1450</v>
      </c>
      <c r="BJ417" s="529"/>
      <c r="BK417" s="239"/>
      <c r="BL417" s="529"/>
      <c r="BM417" s="529"/>
      <c r="BN417" s="529"/>
      <c r="BQ417" s="242"/>
      <c r="BR417" s="529"/>
      <c r="BT417" s="530" t="s">
        <v>900</v>
      </c>
      <c r="BU417" s="531" t="s">
        <v>900</v>
      </c>
      <c r="BV417" s="532">
        <v>0</v>
      </c>
      <c r="BX417" s="533">
        <v>0</v>
      </c>
      <c r="BY417" s="534" t="s">
        <v>900</v>
      </c>
      <c r="BZ417" s="532" t="s">
        <v>900</v>
      </c>
      <c r="CB417" s="242" t="s">
        <v>900</v>
      </c>
      <c r="CC417" s="242">
        <v>0</v>
      </c>
      <c r="CD417" s="242" t="e">
        <v>#VALUE!</v>
      </c>
      <c r="CE417" s="242" t="s">
        <v>900</v>
      </c>
      <c r="CF417" s="242" t="e">
        <v>#VALUE!</v>
      </c>
      <c r="CJ417" s="535" t="s">
        <v>1447</v>
      </c>
      <c r="CK417" s="535" t="s">
        <v>1447</v>
      </c>
      <c r="CL417" s="535" t="s">
        <v>1447</v>
      </c>
      <c r="CN417" s="535" t="s">
        <v>1448</v>
      </c>
      <c r="CO417" s="535" t="s">
        <v>1448</v>
      </c>
      <c r="CP417" s="535" t="s">
        <v>1448</v>
      </c>
      <c r="CQ417" s="535" t="s">
        <v>1448</v>
      </c>
      <c r="CS417" s="536">
        <v>0.85</v>
      </c>
      <c r="CT417" s="537">
        <v>0</v>
      </c>
      <c r="CU417" s="537">
        <v>0</v>
      </c>
      <c r="CV417" s="538">
        <v>0.85</v>
      </c>
    </row>
    <row r="418" spans="1:100" s="48" customFormat="1" outlineLevel="1" x14ac:dyDescent="0.3">
      <c r="A418" s="202">
        <v>108713000</v>
      </c>
      <c r="B418" s="48">
        <v>400368</v>
      </c>
      <c r="C418" s="48">
        <v>79961</v>
      </c>
      <c r="D418" s="48" t="s">
        <v>8</v>
      </c>
      <c r="E418" s="48" t="s">
        <v>9</v>
      </c>
      <c r="F418" s="48" t="s">
        <v>1498</v>
      </c>
      <c r="G418" s="48" t="s">
        <v>1499</v>
      </c>
      <c r="H418" s="48" t="s">
        <v>1508</v>
      </c>
      <c r="O418" s="454" t="s">
        <v>900</v>
      </c>
      <c r="P418" s="455" t="s">
        <v>900</v>
      </c>
      <c r="Q418" s="347" t="s">
        <v>900</v>
      </c>
      <c r="R418" s="455">
        <v>412</v>
      </c>
      <c r="S418" s="457">
        <v>305</v>
      </c>
      <c r="T418" s="455"/>
      <c r="U418" s="454">
        <v>412</v>
      </c>
      <c r="V418" s="455">
        <v>151.99636686190698</v>
      </c>
      <c r="W418" s="230">
        <v>0.36892322053860915</v>
      </c>
      <c r="X418" s="264" t="s">
        <v>900</v>
      </c>
      <c r="Y418" s="265" t="s">
        <v>900</v>
      </c>
      <c r="Z418" s="265" t="s">
        <v>900</v>
      </c>
      <c r="AA418" s="265" t="s">
        <v>900</v>
      </c>
      <c r="AB418" s="266" t="s">
        <v>900</v>
      </c>
      <c r="AC418" s="265">
        <v>74094.189683778546</v>
      </c>
      <c r="AD418" s="265">
        <v>16487.746537763716</v>
      </c>
      <c r="AE418" s="265">
        <v>42341.723196453873</v>
      </c>
      <c r="AF418" s="266">
        <v>42466.370318265872</v>
      </c>
      <c r="AG418" s="265">
        <v>74094.189683778546</v>
      </c>
      <c r="AH418" s="265">
        <v>16487.746537763716</v>
      </c>
      <c r="AI418" s="265">
        <v>42341.723196453873</v>
      </c>
      <c r="AJ418" s="266">
        <v>42466.370318265872</v>
      </c>
      <c r="AK418" s="265">
        <v>74274.481272729012</v>
      </c>
      <c r="AL418" s="265">
        <v>19948.796086864688</v>
      </c>
      <c r="AM418" s="265">
        <v>42422.132115283755</v>
      </c>
      <c r="AN418" s="265">
        <v>42542.87853418132</v>
      </c>
      <c r="AO418" s="266">
        <v>179188.2880090588</v>
      </c>
      <c r="AP418" s="203"/>
      <c r="AQ418" s="264">
        <v>79672.389910067344</v>
      </c>
      <c r="AR418" s="265">
        <v>20615.49480870847</v>
      </c>
      <c r="AS418" s="265">
        <v>45554.171342744754</v>
      </c>
      <c r="AT418" s="265">
        <v>45663.065989003226</v>
      </c>
      <c r="AU418" s="266">
        <v>191505.12205052379</v>
      </c>
      <c r="AV418" s="203"/>
      <c r="AW418" s="324">
        <v>188437.71396358515</v>
      </c>
      <c r="AX418" s="203"/>
      <c r="AY418" s="377">
        <v>0</v>
      </c>
      <c r="AZ418" s="265">
        <v>3067.408086938638</v>
      </c>
      <c r="BA418" s="265">
        <v>188437.71396358515</v>
      </c>
      <c r="BB418" s="265">
        <v>1844.4054718183863</v>
      </c>
      <c r="BC418" s="266">
        <v>186593.30849176677</v>
      </c>
      <c r="BD418" s="264">
        <v>1865.9330849176677</v>
      </c>
      <c r="BE418" s="265">
        <v>184727.37540684911</v>
      </c>
      <c r="BF418" s="357">
        <v>0.98031000016560887</v>
      </c>
      <c r="BG418" s="203"/>
      <c r="BJ418" s="458">
        <v>0.98031000016560887</v>
      </c>
      <c r="BK418" s="210"/>
      <c r="BL418" s="458"/>
      <c r="BM418" s="458"/>
      <c r="BN418" s="458"/>
      <c r="BQ418" s="203">
        <v>184601.27903582036</v>
      </c>
      <c r="BR418" s="458">
        <v>0.97964083278729353</v>
      </c>
      <c r="BT418" s="459" t="s">
        <v>900</v>
      </c>
      <c r="BU418" s="460" t="s">
        <v>900</v>
      </c>
      <c r="BV418" s="461">
        <v>184727.37540684911</v>
      </c>
      <c r="BX418" s="462">
        <v>12718.782124272111</v>
      </c>
      <c r="BY418" s="463">
        <v>7.3607432281751803E-2</v>
      </c>
      <c r="BZ418" s="461">
        <v>83.678198281064752</v>
      </c>
      <c r="CB418" s="203" t="s">
        <v>900</v>
      </c>
      <c r="CC418" s="203">
        <v>2830.6654686098873</v>
      </c>
      <c r="CD418" s="203" t="e">
        <v>#VALUE!</v>
      </c>
      <c r="CE418" s="203" t="s">
        <v>900</v>
      </c>
      <c r="CF418" s="203" t="e">
        <v>#VALUE!</v>
      </c>
      <c r="CH418" s="199"/>
      <c r="CJ418" s="464" t="s">
        <v>1448</v>
      </c>
      <c r="CK418" s="464" t="s">
        <v>1447</v>
      </c>
      <c r="CL418" s="464" t="s">
        <v>1448</v>
      </c>
      <c r="CN418" s="464" t="s">
        <v>1447</v>
      </c>
      <c r="CO418" s="464" t="s">
        <v>1447</v>
      </c>
      <c r="CP418" s="464" t="s">
        <v>1447</v>
      </c>
      <c r="CQ418" s="464" t="s">
        <v>1447</v>
      </c>
      <c r="CS418" s="465">
        <v>0</v>
      </c>
      <c r="CT418" s="466">
        <v>0</v>
      </c>
      <c r="CU418" s="466">
        <v>0.95</v>
      </c>
      <c r="CV418" s="467">
        <v>0.95</v>
      </c>
    </row>
    <row r="419" spans="1:100" s="48" customFormat="1" outlineLevel="1" x14ac:dyDescent="0.3">
      <c r="A419" s="202">
        <v>78242000</v>
      </c>
      <c r="B419" s="48">
        <v>400891</v>
      </c>
      <c r="C419" s="48">
        <v>90878</v>
      </c>
      <c r="D419" s="48" t="s">
        <v>10</v>
      </c>
      <c r="E419" s="48" t="s">
        <v>9</v>
      </c>
      <c r="F419" s="48" t="s">
        <v>1498</v>
      </c>
      <c r="G419" s="48" t="s">
        <v>1502</v>
      </c>
      <c r="H419" s="48" t="s">
        <v>1508</v>
      </c>
      <c r="O419" s="454" t="s">
        <v>900</v>
      </c>
      <c r="P419" s="455" t="s">
        <v>900</v>
      </c>
      <c r="Q419" s="347" t="s">
        <v>900</v>
      </c>
      <c r="R419" s="455">
        <v>313</v>
      </c>
      <c r="S419" s="457">
        <v>241</v>
      </c>
      <c r="T419" s="455"/>
      <c r="U419" s="454">
        <v>313</v>
      </c>
      <c r="V419" s="455">
        <v>120.10204725809697</v>
      </c>
      <c r="W419" s="230">
        <v>0.38371261104823312</v>
      </c>
      <c r="X419" s="264" t="s">
        <v>900</v>
      </c>
      <c r="Y419" s="265" t="s">
        <v>900</v>
      </c>
      <c r="Z419" s="265" t="s">
        <v>900</v>
      </c>
      <c r="AA419" s="265" t="s">
        <v>900</v>
      </c>
      <c r="AB419" s="266" t="s">
        <v>900</v>
      </c>
      <c r="AC419" s="265">
        <v>58546.55643865779</v>
      </c>
      <c r="AD419" s="265">
        <v>13028.02267410182</v>
      </c>
      <c r="AE419" s="265">
        <v>33456.902591296333</v>
      </c>
      <c r="AF419" s="266">
        <v>33555.394251482212</v>
      </c>
      <c r="AG419" s="265">
        <v>58546.55643865779</v>
      </c>
      <c r="AH419" s="265">
        <v>13028.02267410182</v>
      </c>
      <c r="AI419" s="265">
        <v>33456.902591296333</v>
      </c>
      <c r="AJ419" s="266">
        <v>33555.394251482212</v>
      </c>
      <c r="AK419" s="265">
        <v>58726.848027608263</v>
      </c>
      <c r="AL419" s="265">
        <v>16489.072223202791</v>
      </c>
      <c r="AM419" s="265">
        <v>33537.311510126216</v>
      </c>
      <c r="AN419" s="265">
        <v>33631.90246739766</v>
      </c>
      <c r="AO419" s="266">
        <v>142385.13422833494</v>
      </c>
      <c r="AP419" s="203"/>
      <c r="AQ419" s="264">
        <v>57834.843944530759</v>
      </c>
      <c r="AR419" s="265">
        <v>15965.499162569324</v>
      </c>
      <c r="AS419" s="265">
        <v>33072.803640689235</v>
      </c>
      <c r="AT419" s="265">
        <v>32280.84531813148</v>
      </c>
      <c r="AU419" s="266">
        <v>139153.99206592079</v>
      </c>
      <c r="AV419" s="203"/>
      <c r="AW419" s="324">
        <v>117558.44475625202</v>
      </c>
      <c r="AX419" s="203"/>
      <c r="AY419" s="377">
        <v>0</v>
      </c>
      <c r="AZ419" s="265">
        <v>13127.38666976204</v>
      </c>
      <c r="BA419" s="265">
        <v>126026.60539615875</v>
      </c>
      <c r="BB419" s="265">
        <v>1233.5331165835025</v>
      </c>
      <c r="BC419" s="266">
        <v>124793.07227957524</v>
      </c>
      <c r="BD419" s="264">
        <v>1247.9307227957524</v>
      </c>
      <c r="BE419" s="265">
        <v>123545.14155677949</v>
      </c>
      <c r="BF419" s="357">
        <v>1.0509252807226261</v>
      </c>
      <c r="BG419" s="203"/>
      <c r="BJ419" s="458">
        <v>1.0509252807226261</v>
      </c>
      <c r="BK419" s="210"/>
      <c r="BL419" s="458"/>
      <c r="BM419" s="458"/>
      <c r="BN419" s="458"/>
      <c r="BQ419" s="203">
        <v>123460.80866364855</v>
      </c>
      <c r="BR419" s="458">
        <v>1.0502079107939426</v>
      </c>
      <c r="BT419" s="459" t="s">
        <v>900</v>
      </c>
      <c r="BU419" s="460" t="s">
        <v>900</v>
      </c>
      <c r="BV419" s="461">
        <v>123545.14155677949</v>
      </c>
      <c r="BX419" s="462">
        <v>-6970.0146451504261</v>
      </c>
      <c r="BY419" s="463">
        <v>-6.4077925257989096E-2</v>
      </c>
      <c r="BZ419" s="461">
        <v>-58.034103533406054</v>
      </c>
      <c r="CB419" s="203" t="s">
        <v>900</v>
      </c>
      <c r="CC419" s="203">
        <v>2223.9262407497126</v>
      </c>
      <c r="CD419" s="203" t="e">
        <v>#VALUE!</v>
      </c>
      <c r="CE419" s="203" t="s">
        <v>900</v>
      </c>
      <c r="CF419" s="203" t="e">
        <v>#VALUE!</v>
      </c>
      <c r="CH419" s="199"/>
      <c r="CJ419" s="464" t="s">
        <v>1448</v>
      </c>
      <c r="CK419" s="464" t="s">
        <v>1447</v>
      </c>
      <c r="CL419" s="464" t="s">
        <v>1448</v>
      </c>
      <c r="CN419" s="464" t="s">
        <v>1447</v>
      </c>
      <c r="CO419" s="464" t="s">
        <v>1447</v>
      </c>
      <c r="CP419" s="464" t="s">
        <v>1447</v>
      </c>
      <c r="CQ419" s="464" t="s">
        <v>1447</v>
      </c>
      <c r="CS419" s="465">
        <v>0</v>
      </c>
      <c r="CT419" s="466">
        <v>0</v>
      </c>
      <c r="CU419" s="466">
        <v>0.95</v>
      </c>
      <c r="CV419" s="467">
        <v>0.95</v>
      </c>
    </row>
    <row r="420" spans="1:100" s="48" customFormat="1" outlineLevel="1" x14ac:dyDescent="0.3">
      <c r="A420" s="202">
        <v>108767000</v>
      </c>
      <c r="B420" s="48">
        <v>400129</v>
      </c>
      <c r="C420" s="48">
        <v>6364</v>
      </c>
      <c r="D420" s="48" t="s">
        <v>12</v>
      </c>
      <c r="E420" s="48" t="s">
        <v>9</v>
      </c>
      <c r="F420" s="48" t="s">
        <v>1498</v>
      </c>
      <c r="G420" s="48" t="s">
        <v>1502</v>
      </c>
      <c r="H420" s="48" t="s">
        <v>1508</v>
      </c>
      <c r="O420" s="454" t="s">
        <v>900</v>
      </c>
      <c r="P420" s="455" t="s">
        <v>900</v>
      </c>
      <c r="Q420" s="347" t="s">
        <v>900</v>
      </c>
      <c r="R420" s="455">
        <v>220</v>
      </c>
      <c r="S420" s="457">
        <v>96</v>
      </c>
      <c r="T420" s="455"/>
      <c r="U420" s="454">
        <v>220</v>
      </c>
      <c r="V420" s="455">
        <v>47.841479405714978</v>
      </c>
      <c r="W420" s="230">
        <v>0.21746127002597718</v>
      </c>
      <c r="X420" s="264" t="s">
        <v>900</v>
      </c>
      <c r="Y420" s="265" t="s">
        <v>900</v>
      </c>
      <c r="Z420" s="265" t="s">
        <v>900</v>
      </c>
      <c r="AA420" s="265" t="s">
        <v>900</v>
      </c>
      <c r="AB420" s="266" t="s">
        <v>900</v>
      </c>
      <c r="AC420" s="265">
        <v>23321.449867681113</v>
      </c>
      <c r="AD420" s="265">
        <v>5189.5857954928406</v>
      </c>
      <c r="AE420" s="265">
        <v>13327.230907736299</v>
      </c>
      <c r="AF420" s="266">
        <v>13366.464100175486</v>
      </c>
      <c r="AG420" s="265">
        <v>23321.449867681113</v>
      </c>
      <c r="AH420" s="265">
        <v>5189.5857954928406</v>
      </c>
      <c r="AI420" s="265">
        <v>13327.230907736299</v>
      </c>
      <c r="AJ420" s="266">
        <v>13366.464100175486</v>
      </c>
      <c r="AK420" s="265">
        <v>23501.741456631586</v>
      </c>
      <c r="AL420" s="265">
        <v>8650.6353445938112</v>
      </c>
      <c r="AM420" s="265">
        <v>13407.639826566185</v>
      </c>
      <c r="AN420" s="265">
        <v>13442.972316090934</v>
      </c>
      <c r="AO420" s="266">
        <v>59002.988943882519</v>
      </c>
      <c r="AP420" s="203"/>
      <c r="AQ420" s="264">
        <v>23144.772709919831</v>
      </c>
      <c r="AR420" s="265">
        <v>8375.9540549200574</v>
      </c>
      <c r="AS420" s="265">
        <v>13221.937576457789</v>
      </c>
      <c r="AT420" s="265">
        <v>12902.942685812117</v>
      </c>
      <c r="AU420" s="266">
        <v>57645.607027109792</v>
      </c>
      <c r="AV420" s="203"/>
      <c r="AW420" s="324">
        <v>60484.776967043465</v>
      </c>
      <c r="AX420" s="203"/>
      <c r="AY420" s="377">
        <v>0</v>
      </c>
      <c r="AZ420" s="265">
        <v>0</v>
      </c>
      <c r="BA420" s="265">
        <v>57645.607027109792</v>
      </c>
      <c r="BB420" s="265">
        <v>564.22820459199602</v>
      </c>
      <c r="BC420" s="266">
        <v>57081.3788225178</v>
      </c>
      <c r="BD420" s="264">
        <v>570.81378822517797</v>
      </c>
      <c r="BE420" s="265">
        <v>56510.565034292624</v>
      </c>
      <c r="BF420" s="357">
        <v>0.93429401360087216</v>
      </c>
      <c r="BG420" s="203"/>
      <c r="BJ420" s="458">
        <v>0.93429401360087216</v>
      </c>
      <c r="BK420" s="210"/>
      <c r="BL420" s="458"/>
      <c r="BM420" s="458"/>
      <c r="BN420" s="458"/>
      <c r="BQ420" s="203">
        <v>56471.99047456689</v>
      </c>
      <c r="BR420" s="458">
        <v>0.93365625709981481</v>
      </c>
      <c r="BT420" s="459" t="s">
        <v>900</v>
      </c>
      <c r="BU420" s="460" t="s">
        <v>900</v>
      </c>
      <c r="BV420" s="461">
        <v>56510.565034292624</v>
      </c>
      <c r="BX420" s="462">
        <v>4415.6984519702455</v>
      </c>
      <c r="BY420" s="463">
        <v>8.4573230764310725E-2</v>
      </c>
      <c r="BZ420" s="461">
        <v>92.298534803310488</v>
      </c>
      <c r="CB420" s="203">
        <v>2592</v>
      </c>
      <c r="CC420" s="203">
        <v>3574.8395779287284</v>
      </c>
      <c r="CD420" s="203" t="e">
        <v>#VALUE!</v>
      </c>
      <c r="CE420" s="203" t="s">
        <v>900</v>
      </c>
      <c r="CF420" s="203" t="e">
        <v>#VALUE!</v>
      </c>
      <c r="CH420" s="199"/>
      <c r="CJ420" s="464" t="s">
        <v>1448</v>
      </c>
      <c r="CK420" s="464" t="s">
        <v>1447</v>
      </c>
      <c r="CL420" s="464" t="s">
        <v>1448</v>
      </c>
      <c r="CN420" s="464" t="s">
        <v>1447</v>
      </c>
      <c r="CO420" s="464" t="s">
        <v>1447</v>
      </c>
      <c r="CP420" s="464" t="s">
        <v>1447</v>
      </c>
      <c r="CQ420" s="464" t="s">
        <v>1447</v>
      </c>
      <c r="CS420" s="465">
        <v>0</v>
      </c>
      <c r="CT420" s="466">
        <v>0.9</v>
      </c>
      <c r="CU420" s="466">
        <v>0</v>
      </c>
      <c r="CV420" s="467">
        <v>0.9</v>
      </c>
    </row>
    <row r="421" spans="1:100" s="48" customFormat="1" outlineLevel="1" x14ac:dyDescent="0.3">
      <c r="A421" s="202">
        <v>108794000</v>
      </c>
      <c r="B421" s="48">
        <v>400619</v>
      </c>
      <c r="C421" s="48">
        <v>80995</v>
      </c>
      <c r="D421" s="48" t="s">
        <v>25</v>
      </c>
      <c r="E421" s="48" t="s">
        <v>9</v>
      </c>
      <c r="F421" s="48" t="s">
        <v>1501</v>
      </c>
      <c r="G421" s="48" t="s">
        <v>1502</v>
      </c>
      <c r="H421" s="48" t="s">
        <v>1529</v>
      </c>
      <c r="O421" s="454" t="s">
        <v>900</v>
      </c>
      <c r="P421" s="455" t="s">
        <v>900</v>
      </c>
      <c r="Q421" s="347" t="s">
        <v>900</v>
      </c>
      <c r="R421" s="455">
        <v>365</v>
      </c>
      <c r="S421" s="457">
        <v>307</v>
      </c>
      <c r="T421" s="455"/>
      <c r="U421" s="454">
        <v>365</v>
      </c>
      <c r="V421" s="455">
        <v>152.99306434952604</v>
      </c>
      <c r="W421" s="230">
        <v>0.41915908040966038</v>
      </c>
      <c r="X421" s="264" t="s">
        <v>900</v>
      </c>
      <c r="Y421" s="265" t="s">
        <v>900</v>
      </c>
      <c r="Z421" s="265" t="s">
        <v>900</v>
      </c>
      <c r="AA421" s="265" t="s">
        <v>900</v>
      </c>
      <c r="AB421" s="266" t="s">
        <v>900</v>
      </c>
      <c r="AC421" s="265">
        <v>74580.05322268857</v>
      </c>
      <c r="AD421" s="265">
        <v>16595.86290850315</v>
      </c>
      <c r="AE421" s="265">
        <v>42619.373840365042</v>
      </c>
      <c r="AF421" s="266">
        <v>42744.838320352865</v>
      </c>
      <c r="AG421" s="265">
        <v>74580.05322268857</v>
      </c>
      <c r="AH421" s="265">
        <v>16595.86290850315</v>
      </c>
      <c r="AI421" s="265">
        <v>42619.373840365042</v>
      </c>
      <c r="AJ421" s="266">
        <v>42744.838320352865</v>
      </c>
      <c r="AK421" s="265">
        <v>74760.344811639035</v>
      </c>
      <c r="AL421" s="265">
        <v>20056.912457604121</v>
      </c>
      <c r="AM421" s="265">
        <v>42699.782759194924</v>
      </c>
      <c r="AN421" s="265">
        <v>42821.346536268313</v>
      </c>
      <c r="AO421" s="266">
        <v>180338.38656470639</v>
      </c>
      <c r="AP421" s="203"/>
      <c r="AQ421" s="264">
        <v>118547.91151556355</v>
      </c>
      <c r="AR421" s="265">
        <v>27205.724104207769</v>
      </c>
      <c r="AS421" s="265">
        <v>64478.4267037873</v>
      </c>
      <c r="AT421" s="265">
        <v>66851.555036838428</v>
      </c>
      <c r="AU421" s="266">
        <v>277083.61736039701</v>
      </c>
      <c r="AV421" s="203"/>
      <c r="AW421" s="324">
        <v>288793.24698018108</v>
      </c>
      <c r="AX421" s="203"/>
      <c r="AY421" s="377">
        <v>0</v>
      </c>
      <c r="AZ421" s="265">
        <v>0</v>
      </c>
      <c r="BA421" s="265">
        <v>277083.61736039701</v>
      </c>
      <c r="BB421" s="265">
        <v>2712.060814479566</v>
      </c>
      <c r="BC421" s="266">
        <v>274371.55654591747</v>
      </c>
      <c r="BD421" s="264">
        <v>2743.7155654591747</v>
      </c>
      <c r="BE421" s="265">
        <v>271627.84098045831</v>
      </c>
      <c r="BF421" s="357">
        <v>0.94056160876607764</v>
      </c>
      <c r="BG421" s="203"/>
      <c r="BJ421" s="458">
        <v>0.94056160876607764</v>
      </c>
      <c r="BK421" s="210"/>
      <c r="BL421" s="458"/>
      <c r="BM421" s="458"/>
      <c r="BN421" s="458"/>
      <c r="BQ421" s="203">
        <v>271442.42566265509</v>
      </c>
      <c r="BR421" s="458">
        <v>0.93991957395486914</v>
      </c>
      <c r="BT421" s="459" t="s">
        <v>900</v>
      </c>
      <c r="BU421" s="460" t="s">
        <v>900</v>
      </c>
      <c r="BV421" s="461">
        <v>271627.84098045831</v>
      </c>
      <c r="BX421" s="462">
        <v>98492.519398748991</v>
      </c>
      <c r="BY421" s="463">
        <v>0.56629255340141615</v>
      </c>
      <c r="BZ421" s="461">
        <v>643.77113967554908</v>
      </c>
      <c r="CB421" s="203" t="s">
        <v>900</v>
      </c>
      <c r="CC421" s="203">
        <v>2798.6700511107788</v>
      </c>
      <c r="CD421" s="203" t="e">
        <v>#VALUE!</v>
      </c>
      <c r="CE421" s="203" t="s">
        <v>900</v>
      </c>
      <c r="CF421" s="203" t="e">
        <v>#VALUE!</v>
      </c>
      <c r="CH421" s="199"/>
      <c r="CJ421" s="464" t="s">
        <v>1448</v>
      </c>
      <c r="CK421" s="464" t="s">
        <v>1447</v>
      </c>
      <c r="CL421" s="464" t="s">
        <v>1448</v>
      </c>
      <c r="CN421" s="464" t="s">
        <v>1447</v>
      </c>
      <c r="CO421" s="464" t="s">
        <v>1447</v>
      </c>
      <c r="CP421" s="464" t="s">
        <v>1447</v>
      </c>
      <c r="CQ421" s="464" t="s">
        <v>1447</v>
      </c>
      <c r="CS421" s="465">
        <v>0</v>
      </c>
      <c r="CT421" s="466">
        <v>0</v>
      </c>
      <c r="CU421" s="466">
        <v>0.95</v>
      </c>
      <c r="CV421" s="467">
        <v>0.95</v>
      </c>
    </row>
    <row r="422" spans="1:100" s="48" customFormat="1" outlineLevel="1" x14ac:dyDescent="0.3">
      <c r="A422" s="202">
        <v>108785000</v>
      </c>
      <c r="B422" s="48">
        <v>400318</v>
      </c>
      <c r="C422" s="48">
        <v>79426</v>
      </c>
      <c r="D422" s="48" t="s">
        <v>40</v>
      </c>
      <c r="E422" s="48" t="s">
        <v>9</v>
      </c>
      <c r="F422" s="48" t="s">
        <v>1498</v>
      </c>
      <c r="G422" s="48" t="s">
        <v>1499</v>
      </c>
      <c r="H422" s="48" t="s">
        <v>1512</v>
      </c>
      <c r="O422" s="454" t="s">
        <v>900</v>
      </c>
      <c r="P422" s="455" t="s">
        <v>900</v>
      </c>
      <c r="Q422" s="347" t="s">
        <v>900</v>
      </c>
      <c r="R422" s="455">
        <v>218</v>
      </c>
      <c r="S422" s="457">
        <v>216</v>
      </c>
      <c r="T422" s="455"/>
      <c r="U422" s="454">
        <v>218</v>
      </c>
      <c r="V422" s="455">
        <v>107.64332866285871</v>
      </c>
      <c r="W422" s="230">
        <v>0.49377673698559038</v>
      </c>
      <c r="X422" s="264" t="s">
        <v>900</v>
      </c>
      <c r="Y422" s="265" t="s">
        <v>900</v>
      </c>
      <c r="Z422" s="265" t="s">
        <v>900</v>
      </c>
      <c r="AA422" s="265" t="s">
        <v>900</v>
      </c>
      <c r="AB422" s="266" t="s">
        <v>900</v>
      </c>
      <c r="AC422" s="265">
        <v>52473.262202282509</v>
      </c>
      <c r="AD422" s="265">
        <v>11676.568039858892</v>
      </c>
      <c r="AE422" s="265">
        <v>29986.269542406677</v>
      </c>
      <c r="AF422" s="266">
        <v>30074.544225394846</v>
      </c>
      <c r="AG422" s="265">
        <v>52473.262202282509</v>
      </c>
      <c r="AH422" s="265">
        <v>11676.568039858892</v>
      </c>
      <c r="AI422" s="265">
        <v>29986.269542406677</v>
      </c>
      <c r="AJ422" s="266">
        <v>30074.544225394846</v>
      </c>
      <c r="AK422" s="265">
        <v>52653.553791232982</v>
      </c>
      <c r="AL422" s="265">
        <v>15137.617588959863</v>
      </c>
      <c r="AM422" s="265">
        <v>30066.678461236563</v>
      </c>
      <c r="AN422" s="265">
        <v>30151.052441310294</v>
      </c>
      <c r="AO422" s="266">
        <v>128008.9022827397</v>
      </c>
      <c r="AP422" s="203"/>
      <c r="AQ422" s="264">
        <v>76143.04499433063</v>
      </c>
      <c r="AR422" s="265">
        <v>16820.411038266204</v>
      </c>
      <c r="AS422" s="265">
        <v>41414.341955957389</v>
      </c>
      <c r="AT422" s="265">
        <v>42938.596707734345</v>
      </c>
      <c r="AU422" s="266">
        <v>177316.39469628857</v>
      </c>
      <c r="AV422" s="203"/>
      <c r="AW422" s="324">
        <v>184809.83413954644</v>
      </c>
      <c r="AX422" s="203"/>
      <c r="AY422" s="377">
        <v>0</v>
      </c>
      <c r="AZ422" s="265">
        <v>0</v>
      </c>
      <c r="BA422" s="265">
        <v>177316.39469628857</v>
      </c>
      <c r="BB422" s="265">
        <v>1735.5513487291785</v>
      </c>
      <c r="BC422" s="266">
        <v>175580.84334755939</v>
      </c>
      <c r="BD422" s="264">
        <v>1755.808433475594</v>
      </c>
      <c r="BE422" s="265">
        <v>173825.03491408381</v>
      </c>
      <c r="BF422" s="357">
        <v>0.94056160876607786</v>
      </c>
      <c r="BG422" s="203"/>
      <c r="BJ422" s="458">
        <v>0.94056160876607786</v>
      </c>
      <c r="BK422" s="210"/>
      <c r="BL422" s="458"/>
      <c r="BM422" s="458"/>
      <c r="BN422" s="458"/>
      <c r="BQ422" s="203">
        <v>173706.38056711256</v>
      </c>
      <c r="BR422" s="458">
        <v>0.93991957395486936</v>
      </c>
      <c r="BT422" s="459" t="s">
        <v>900</v>
      </c>
      <c r="BU422" s="460" t="s">
        <v>900</v>
      </c>
      <c r="BV422" s="461">
        <v>173825.03491408381</v>
      </c>
      <c r="BX422" s="462">
        <v>51955.850942893798</v>
      </c>
      <c r="BY422" s="463">
        <v>0.42457722151277333</v>
      </c>
      <c r="BZ422" s="461">
        <v>482.66670669039485</v>
      </c>
      <c r="CB422" s="203">
        <v>10135</v>
      </c>
      <c r="CC422" s="203">
        <v>12064.621023621383</v>
      </c>
      <c r="CD422" s="203" t="e">
        <v>#VALUE!</v>
      </c>
      <c r="CE422" s="203" t="s">
        <v>900</v>
      </c>
      <c r="CF422" s="203" t="e">
        <v>#VALUE!</v>
      </c>
      <c r="CH422" s="199"/>
      <c r="CJ422" s="464" t="s">
        <v>1448</v>
      </c>
      <c r="CK422" s="464" t="s">
        <v>1447</v>
      </c>
      <c r="CL422" s="464" t="s">
        <v>1448</v>
      </c>
      <c r="CN422" s="464" t="s">
        <v>1447</v>
      </c>
      <c r="CO422" s="464" t="s">
        <v>1447</v>
      </c>
      <c r="CP422" s="464" t="s">
        <v>1447</v>
      </c>
      <c r="CQ422" s="464" t="s">
        <v>1447</v>
      </c>
      <c r="CS422" s="465">
        <v>0</v>
      </c>
      <c r="CT422" s="466">
        <v>0</v>
      </c>
      <c r="CU422" s="466">
        <v>0.95</v>
      </c>
      <c r="CV422" s="467">
        <v>0.95</v>
      </c>
    </row>
    <row r="423" spans="1:100" s="48" customFormat="1" outlineLevel="1" x14ac:dyDescent="0.3">
      <c r="A423" s="202">
        <v>108709000</v>
      </c>
      <c r="B423" s="48">
        <v>400361</v>
      </c>
      <c r="C423" s="48">
        <v>79947</v>
      </c>
      <c r="D423" s="48" t="s">
        <v>46</v>
      </c>
      <c r="E423" s="48" t="s">
        <v>9</v>
      </c>
      <c r="F423" s="48" t="s">
        <v>1498</v>
      </c>
      <c r="G423" s="48" t="s">
        <v>1499</v>
      </c>
      <c r="H423" s="48" t="s">
        <v>1507</v>
      </c>
      <c r="O423" s="454" t="s">
        <v>900</v>
      </c>
      <c r="P423" s="455" t="s">
        <v>900</v>
      </c>
      <c r="Q423" s="347" t="s">
        <v>900</v>
      </c>
      <c r="R423" s="455">
        <v>1951</v>
      </c>
      <c r="S423" s="457">
        <v>1464</v>
      </c>
      <c r="T423" s="455"/>
      <c r="U423" s="454">
        <v>1951</v>
      </c>
      <c r="V423" s="455">
        <v>729.5825609371534</v>
      </c>
      <c r="W423" s="230">
        <v>0.37395313220766446</v>
      </c>
      <c r="X423" s="264" t="s">
        <v>900</v>
      </c>
      <c r="Y423" s="265" t="s">
        <v>900</v>
      </c>
      <c r="Z423" s="265" t="s">
        <v>900</v>
      </c>
      <c r="AA423" s="265" t="s">
        <v>900</v>
      </c>
      <c r="AB423" s="266" t="s">
        <v>900</v>
      </c>
      <c r="AC423" s="265">
        <v>355652.11048213695</v>
      </c>
      <c r="AD423" s="265">
        <v>79141.18338126583</v>
      </c>
      <c r="AE423" s="265">
        <v>203240.27134297855</v>
      </c>
      <c r="AF423" s="266">
        <v>203838.57752767616</v>
      </c>
      <c r="AG423" s="265">
        <v>355652.11048213695</v>
      </c>
      <c r="AH423" s="265">
        <v>79141.18338126583</v>
      </c>
      <c r="AI423" s="265">
        <v>203240.27134297855</v>
      </c>
      <c r="AJ423" s="266">
        <v>203838.57752767616</v>
      </c>
      <c r="AK423" s="265">
        <v>355832.40207108745</v>
      </c>
      <c r="AL423" s="265">
        <v>82602.232930366794</v>
      </c>
      <c r="AM423" s="265">
        <v>203320.68026180845</v>
      </c>
      <c r="AN423" s="265">
        <v>203915.0857435916</v>
      </c>
      <c r="AO423" s="266">
        <v>845670.40100685437</v>
      </c>
      <c r="AP423" s="203"/>
      <c r="AQ423" s="264">
        <v>350427.6516681803</v>
      </c>
      <c r="AR423" s="265">
        <v>79979.386518811065</v>
      </c>
      <c r="AS423" s="265">
        <v>200504.59120313797</v>
      </c>
      <c r="AT423" s="265">
        <v>195723.43096865958</v>
      </c>
      <c r="AU423" s="266">
        <v>826635.06035878893</v>
      </c>
      <c r="AV423" s="203"/>
      <c r="AW423" s="324">
        <v>785066.16534888651</v>
      </c>
      <c r="AX423" s="203"/>
      <c r="AY423" s="377">
        <v>0</v>
      </c>
      <c r="AZ423" s="265">
        <v>41568.895009902422</v>
      </c>
      <c r="BA423" s="265">
        <v>785066.16534888651</v>
      </c>
      <c r="BB423" s="265">
        <v>7684.1323355725954</v>
      </c>
      <c r="BC423" s="266">
        <v>777382.03301331389</v>
      </c>
      <c r="BD423" s="264">
        <v>7773.8203301331387</v>
      </c>
      <c r="BE423" s="265">
        <v>769608.2126831807</v>
      </c>
      <c r="BF423" s="357">
        <v>0.98031000016560865</v>
      </c>
      <c r="BG423" s="203"/>
      <c r="BJ423" s="458">
        <v>0.98031000016560865</v>
      </c>
      <c r="BK423" s="210"/>
      <c r="BL423" s="458"/>
      <c r="BM423" s="458"/>
      <c r="BN423" s="458"/>
      <c r="BQ423" s="203">
        <v>769082.8720155101</v>
      </c>
      <c r="BR423" s="458">
        <v>0.9796408327872933</v>
      </c>
      <c r="BT423" s="459" t="s">
        <v>900</v>
      </c>
      <c r="BU423" s="460" t="s">
        <v>900</v>
      </c>
      <c r="BV423" s="461">
        <v>769608.2126831807</v>
      </c>
      <c r="BX423" s="462">
        <v>-22341.524241369916</v>
      </c>
      <c r="BY423" s="463">
        <v>-2.8059276533767451E-2</v>
      </c>
      <c r="BZ423" s="461">
        <v>-30.622338632480588</v>
      </c>
      <c r="CB423" s="203" t="s">
        <v>900</v>
      </c>
      <c r="CC423" s="203">
        <v>13560.136381057762</v>
      </c>
      <c r="CD423" s="203" t="e">
        <v>#VALUE!</v>
      </c>
      <c r="CE423" s="203" t="s">
        <v>900</v>
      </c>
      <c r="CF423" s="203" t="e">
        <v>#VALUE!</v>
      </c>
      <c r="CH423" s="199"/>
      <c r="CJ423" s="464" t="s">
        <v>1448</v>
      </c>
      <c r="CK423" s="464" t="s">
        <v>1447</v>
      </c>
      <c r="CL423" s="464" t="s">
        <v>1448</v>
      </c>
      <c r="CN423" s="464" t="s">
        <v>1447</v>
      </c>
      <c r="CO423" s="464" t="s">
        <v>1447</v>
      </c>
      <c r="CP423" s="464" t="s">
        <v>1447</v>
      </c>
      <c r="CQ423" s="464" t="s">
        <v>1447</v>
      </c>
      <c r="CS423" s="465">
        <v>0</v>
      </c>
      <c r="CT423" s="466">
        <v>0</v>
      </c>
      <c r="CU423" s="466">
        <v>0.95</v>
      </c>
      <c r="CV423" s="467">
        <v>0.95</v>
      </c>
    </row>
    <row r="424" spans="1:100" s="48" customFormat="1" outlineLevel="1" x14ac:dyDescent="0.3">
      <c r="A424" s="202">
        <v>108909000</v>
      </c>
      <c r="B424" s="48">
        <v>400862</v>
      </c>
      <c r="C424" s="48">
        <v>91773</v>
      </c>
      <c r="D424" s="48" t="s">
        <v>109</v>
      </c>
      <c r="E424" s="48" t="s">
        <v>9</v>
      </c>
      <c r="F424" s="48" t="s">
        <v>1498</v>
      </c>
      <c r="G424" s="48" t="s">
        <v>1499</v>
      </c>
      <c r="H424" s="48" t="s">
        <v>1507</v>
      </c>
      <c r="O424" s="454" t="s">
        <v>900</v>
      </c>
      <c r="P424" s="455" t="s">
        <v>900</v>
      </c>
      <c r="Q424" s="347" t="s">
        <v>900</v>
      </c>
      <c r="R424" s="455">
        <v>105</v>
      </c>
      <c r="S424" s="457">
        <v>70</v>
      </c>
      <c r="T424" s="455"/>
      <c r="U424" s="454">
        <v>105</v>
      </c>
      <c r="V424" s="455">
        <v>34.884412066667174</v>
      </c>
      <c r="W424" s="230">
        <v>0.33223249587302073</v>
      </c>
      <c r="X424" s="264" t="s">
        <v>900</v>
      </c>
      <c r="Y424" s="265" t="s">
        <v>900</v>
      </c>
      <c r="Z424" s="265" t="s">
        <v>900</v>
      </c>
      <c r="AA424" s="265" t="s">
        <v>900</v>
      </c>
      <c r="AB424" s="266" t="s">
        <v>900</v>
      </c>
      <c r="AC424" s="265">
        <v>17005.223861850813</v>
      </c>
      <c r="AD424" s="265">
        <v>3784.0729758801967</v>
      </c>
      <c r="AE424" s="265">
        <v>9717.7725368910524</v>
      </c>
      <c r="AF424" s="266">
        <v>9746.3800730446255</v>
      </c>
      <c r="AG424" s="265">
        <v>17005.223861850813</v>
      </c>
      <c r="AH424" s="265">
        <v>3784.0729758801967</v>
      </c>
      <c r="AI424" s="265">
        <v>9717.7725368910524</v>
      </c>
      <c r="AJ424" s="266">
        <v>9746.3800730446255</v>
      </c>
      <c r="AK424" s="265">
        <v>17185.515450801286</v>
      </c>
      <c r="AL424" s="265">
        <v>7245.1225249811678</v>
      </c>
      <c r="AM424" s="265">
        <v>9798.1814557209382</v>
      </c>
      <c r="AN424" s="265">
        <v>9822.8882889600736</v>
      </c>
      <c r="AO424" s="266">
        <v>44051.707720463462</v>
      </c>
      <c r="AP424" s="203"/>
      <c r="AQ424" s="264">
        <v>22595.293839781039</v>
      </c>
      <c r="AR424" s="265">
        <v>7135.4803406417195</v>
      </c>
      <c r="AS424" s="265">
        <v>12289.621799938572</v>
      </c>
      <c r="AT424" s="265">
        <v>12741.941299449623</v>
      </c>
      <c r="AU424" s="266">
        <v>54762.337279810956</v>
      </c>
      <c r="AV424" s="203"/>
      <c r="AW424" s="324">
        <v>57076.608663911669</v>
      </c>
      <c r="AX424" s="203"/>
      <c r="AY424" s="377">
        <v>0</v>
      </c>
      <c r="AZ424" s="265">
        <v>0</v>
      </c>
      <c r="BA424" s="265">
        <v>54762.337279810956</v>
      </c>
      <c r="BB424" s="265">
        <v>536.00711027499494</v>
      </c>
      <c r="BC424" s="266">
        <v>54226.330169535962</v>
      </c>
      <c r="BD424" s="264">
        <v>542.26330169535959</v>
      </c>
      <c r="BE424" s="265">
        <v>53684.0668678406</v>
      </c>
      <c r="BF424" s="357">
        <v>0.94056160876607753</v>
      </c>
      <c r="BG424" s="203"/>
      <c r="BJ424" s="458">
        <v>0.94056160876607753</v>
      </c>
      <c r="BK424" s="210"/>
      <c r="BL424" s="458"/>
      <c r="BM424" s="458"/>
      <c r="BN424" s="458"/>
      <c r="BQ424" s="203">
        <v>53647.421698172642</v>
      </c>
      <c r="BR424" s="458">
        <v>0.93991957395486903</v>
      </c>
      <c r="BT424" s="459" t="s">
        <v>900</v>
      </c>
      <c r="BU424" s="460" t="s">
        <v>900</v>
      </c>
      <c r="BV424" s="461">
        <v>53684.0668678406</v>
      </c>
      <c r="BX424" s="462">
        <v>14066.048733307922</v>
      </c>
      <c r="BY424" s="463">
        <v>0.3546909090207872</v>
      </c>
      <c r="BZ424" s="461">
        <v>403.21874155214277</v>
      </c>
      <c r="CB424" s="203" t="s">
        <v>900</v>
      </c>
      <c r="CC424" s="203">
        <v>660.28330001116603</v>
      </c>
      <c r="CD424" s="203" t="e">
        <v>#VALUE!</v>
      </c>
      <c r="CE424" s="203" t="s">
        <v>900</v>
      </c>
      <c r="CF424" s="203" t="e">
        <v>#VALUE!</v>
      </c>
      <c r="CH424" s="199"/>
      <c r="CJ424" s="464" t="s">
        <v>1448</v>
      </c>
      <c r="CK424" s="464" t="s">
        <v>1447</v>
      </c>
      <c r="CL424" s="464" t="s">
        <v>1448</v>
      </c>
      <c r="CN424" s="464" t="s">
        <v>1447</v>
      </c>
      <c r="CO424" s="464" t="s">
        <v>1447</v>
      </c>
      <c r="CP424" s="464" t="s">
        <v>1447</v>
      </c>
      <c r="CQ424" s="464" t="s">
        <v>1447</v>
      </c>
      <c r="CS424" s="465">
        <v>0</v>
      </c>
      <c r="CT424" s="466">
        <v>0</v>
      </c>
      <c r="CU424" s="466">
        <v>0.95</v>
      </c>
      <c r="CV424" s="467">
        <v>0.95</v>
      </c>
    </row>
    <row r="425" spans="1:100" s="48" customFormat="1" outlineLevel="1" x14ac:dyDescent="0.3">
      <c r="A425" s="202">
        <v>108505000</v>
      </c>
      <c r="B425" s="48">
        <v>400814</v>
      </c>
      <c r="C425" s="48">
        <v>90331</v>
      </c>
      <c r="D425" s="48" t="s">
        <v>119</v>
      </c>
      <c r="E425" s="48" t="s">
        <v>9</v>
      </c>
      <c r="F425" s="48" t="s">
        <v>1498</v>
      </c>
      <c r="G425" s="48" t="s">
        <v>1502</v>
      </c>
      <c r="H425" s="48" t="s">
        <v>1527</v>
      </c>
      <c r="O425" s="454" t="s">
        <v>900</v>
      </c>
      <c r="P425" s="455" t="s">
        <v>900</v>
      </c>
      <c r="Q425" s="347" t="s">
        <v>900</v>
      </c>
      <c r="R425" s="455">
        <v>61</v>
      </c>
      <c r="S425" s="457">
        <v>56</v>
      </c>
      <c r="T425" s="455"/>
      <c r="U425" s="454">
        <v>61</v>
      </c>
      <c r="V425" s="455">
        <v>27.907529653333739</v>
      </c>
      <c r="W425" s="230">
        <v>0.45750048612022526</v>
      </c>
      <c r="X425" s="264" t="s">
        <v>900</v>
      </c>
      <c r="Y425" s="265" t="s">
        <v>900</v>
      </c>
      <c r="Z425" s="265" t="s">
        <v>900</v>
      </c>
      <c r="AA425" s="265" t="s">
        <v>900</v>
      </c>
      <c r="AB425" s="266" t="s">
        <v>900</v>
      </c>
      <c r="AC425" s="265">
        <v>13604.179089480651</v>
      </c>
      <c r="AD425" s="265">
        <v>3027.2583807041574</v>
      </c>
      <c r="AE425" s="265">
        <v>7774.2180295128419</v>
      </c>
      <c r="AF425" s="266">
        <v>7797.1040584357006</v>
      </c>
      <c r="AG425" s="265">
        <v>13604.179089480651</v>
      </c>
      <c r="AH425" s="265">
        <v>3027.2583807041574</v>
      </c>
      <c r="AI425" s="265">
        <v>7774.2180295128419</v>
      </c>
      <c r="AJ425" s="266">
        <v>7797.1040584357006</v>
      </c>
      <c r="AK425" s="265">
        <v>13784.470678431124</v>
      </c>
      <c r="AL425" s="265">
        <v>6488.3079298051289</v>
      </c>
      <c r="AM425" s="265">
        <v>7854.6269483427277</v>
      </c>
      <c r="AN425" s="265">
        <v>7873.6122743511478</v>
      </c>
      <c r="AO425" s="266">
        <v>36001.017830930126</v>
      </c>
      <c r="AP425" s="203"/>
      <c r="AQ425" s="264">
        <v>13575.097886578884</v>
      </c>
      <c r="AR425" s="265">
        <v>6282.2864390168124</v>
      </c>
      <c r="AS425" s="265">
        <v>7745.8365932215274</v>
      </c>
      <c r="AT425" s="265">
        <v>7557.3143734481555</v>
      </c>
      <c r="AU425" s="266">
        <v>35160.535292265376</v>
      </c>
      <c r="AV425" s="203"/>
      <c r="AW425" s="324">
        <v>32873.626348554339</v>
      </c>
      <c r="AX425" s="203"/>
      <c r="AY425" s="377">
        <v>0</v>
      </c>
      <c r="AZ425" s="265">
        <v>2286.9089437110379</v>
      </c>
      <c r="BA425" s="265">
        <v>32873.626348554339</v>
      </c>
      <c r="BB425" s="265">
        <v>321.76306451851593</v>
      </c>
      <c r="BC425" s="266">
        <v>32551.863284035822</v>
      </c>
      <c r="BD425" s="264">
        <v>325.51863284035824</v>
      </c>
      <c r="BE425" s="265">
        <v>32226.344651195464</v>
      </c>
      <c r="BF425" s="357">
        <v>0.98031000016560876</v>
      </c>
      <c r="BG425" s="203"/>
      <c r="BJ425" s="458">
        <v>0.98031000016560876</v>
      </c>
      <c r="BK425" s="210"/>
      <c r="BL425" s="458"/>
      <c r="BM425" s="458"/>
      <c r="BN425" s="458"/>
      <c r="BQ425" s="203">
        <v>32204.346692836083</v>
      </c>
      <c r="BR425" s="458">
        <v>0.97964083278729341</v>
      </c>
      <c r="BT425" s="459" t="s">
        <v>900</v>
      </c>
      <c r="BU425" s="460" t="s">
        <v>900</v>
      </c>
      <c r="BV425" s="461">
        <v>32226.344651195464</v>
      </c>
      <c r="BX425" s="462">
        <v>1764.6614122130886</v>
      </c>
      <c r="BY425" s="463">
        <v>5.7939949009250084E-2</v>
      </c>
      <c r="BZ425" s="461">
        <v>63.232447806511175</v>
      </c>
      <c r="CB425" s="203" t="s">
        <v>900</v>
      </c>
      <c r="CC425" s="203">
        <v>504.83073887348189</v>
      </c>
      <c r="CD425" s="203" t="e">
        <v>#VALUE!</v>
      </c>
      <c r="CE425" s="203" t="s">
        <v>900</v>
      </c>
      <c r="CF425" s="203" t="e">
        <v>#VALUE!</v>
      </c>
      <c r="CH425" s="199"/>
      <c r="CJ425" s="464" t="s">
        <v>1448</v>
      </c>
      <c r="CK425" s="464" t="s">
        <v>1447</v>
      </c>
      <c r="CL425" s="464" t="s">
        <v>1448</v>
      </c>
      <c r="CN425" s="464" t="s">
        <v>1447</v>
      </c>
      <c r="CO425" s="464" t="s">
        <v>1447</v>
      </c>
      <c r="CP425" s="464" t="s">
        <v>1447</v>
      </c>
      <c r="CQ425" s="464" t="s">
        <v>1447</v>
      </c>
      <c r="CS425" s="465">
        <v>0</v>
      </c>
      <c r="CT425" s="466">
        <v>0</v>
      </c>
      <c r="CU425" s="466">
        <v>0.95</v>
      </c>
      <c r="CV425" s="467">
        <v>0.95</v>
      </c>
    </row>
    <row r="426" spans="1:100" s="48" customFormat="1" outlineLevel="1" x14ac:dyDescent="0.3">
      <c r="A426" s="202">
        <v>108793000</v>
      </c>
      <c r="B426" s="48">
        <v>400382</v>
      </c>
      <c r="C426" s="48">
        <v>80032</v>
      </c>
      <c r="D426" s="48" t="s">
        <v>120</v>
      </c>
      <c r="E426" s="48" t="s">
        <v>9</v>
      </c>
      <c r="F426" s="48" t="s">
        <v>1498</v>
      </c>
      <c r="G426" s="48" t="s">
        <v>1499</v>
      </c>
      <c r="H426" s="48" t="s">
        <v>1527</v>
      </c>
      <c r="O426" s="454" t="s">
        <v>900</v>
      </c>
      <c r="P426" s="455" t="s">
        <v>900</v>
      </c>
      <c r="Q426" s="347" t="s">
        <v>900</v>
      </c>
      <c r="R426" s="455">
        <v>73</v>
      </c>
      <c r="S426" s="457">
        <v>73</v>
      </c>
      <c r="T426" s="455"/>
      <c r="U426" s="454">
        <v>73</v>
      </c>
      <c r="V426" s="455">
        <v>36.379458298095763</v>
      </c>
      <c r="W426" s="230">
        <v>0.49834874380953098</v>
      </c>
      <c r="X426" s="264" t="s">
        <v>900</v>
      </c>
      <c r="Y426" s="265" t="s">
        <v>900</v>
      </c>
      <c r="Z426" s="265" t="s">
        <v>900</v>
      </c>
      <c r="AA426" s="265" t="s">
        <v>900</v>
      </c>
      <c r="AB426" s="266" t="s">
        <v>900</v>
      </c>
      <c r="AC426" s="265">
        <v>17734.019170215844</v>
      </c>
      <c r="AD426" s="265">
        <v>3946.2475319893479</v>
      </c>
      <c r="AE426" s="265">
        <v>10134.24850275781</v>
      </c>
      <c r="AF426" s="266">
        <v>10164.082076175109</v>
      </c>
      <c r="AG426" s="265">
        <v>17734.019170215844</v>
      </c>
      <c r="AH426" s="265">
        <v>3946.2475319893479</v>
      </c>
      <c r="AI426" s="265">
        <v>10134.24850275781</v>
      </c>
      <c r="AJ426" s="266">
        <v>10164.082076175109</v>
      </c>
      <c r="AK426" s="265">
        <v>17914.310759166317</v>
      </c>
      <c r="AL426" s="265">
        <v>7407.2970810903189</v>
      </c>
      <c r="AM426" s="265">
        <v>10214.657421587695</v>
      </c>
      <c r="AN426" s="265">
        <v>10240.590292090557</v>
      </c>
      <c r="AO426" s="266">
        <v>45776.855553934889</v>
      </c>
      <c r="AP426" s="203"/>
      <c r="AQ426" s="264">
        <v>25690.539571257894</v>
      </c>
      <c r="AR426" s="265">
        <v>7794.5032701916507</v>
      </c>
      <c r="AS426" s="265">
        <v>13973.131635546597</v>
      </c>
      <c r="AT426" s="265">
        <v>14487.412710333134</v>
      </c>
      <c r="AU426" s="266">
        <v>61945.587187329278</v>
      </c>
      <c r="AV426" s="203"/>
      <c r="AW426" s="324">
        <v>64563.424681489771</v>
      </c>
      <c r="AX426" s="203"/>
      <c r="AY426" s="377">
        <v>0</v>
      </c>
      <c r="AZ426" s="265">
        <v>0</v>
      </c>
      <c r="BA426" s="265">
        <v>61945.587187329278</v>
      </c>
      <c r="BB426" s="265">
        <v>606.31588847120031</v>
      </c>
      <c r="BC426" s="266">
        <v>61339.271298858075</v>
      </c>
      <c r="BD426" s="264">
        <v>613.3927129885808</v>
      </c>
      <c r="BE426" s="265">
        <v>60725.878585869497</v>
      </c>
      <c r="BF426" s="357">
        <v>0.94056160876607753</v>
      </c>
      <c r="BG426" s="203"/>
      <c r="BJ426" s="458">
        <v>0.94056160876607753</v>
      </c>
      <c r="BK426" s="210"/>
      <c r="BL426" s="458"/>
      <c r="BM426" s="458"/>
      <c r="BN426" s="458"/>
      <c r="BQ426" s="203">
        <v>60684.426619693142</v>
      </c>
      <c r="BR426" s="458">
        <v>0.93991957395486903</v>
      </c>
      <c r="BT426" s="459" t="s">
        <v>900</v>
      </c>
      <c r="BU426" s="460" t="s">
        <v>900</v>
      </c>
      <c r="BV426" s="461">
        <v>60725.878585869497</v>
      </c>
      <c r="BX426" s="462">
        <v>19417.76800263839</v>
      </c>
      <c r="BY426" s="463">
        <v>0.46951819558576036</v>
      </c>
      <c r="BZ426" s="461">
        <v>533.75638096444084</v>
      </c>
      <c r="CB426" s="203" t="s">
        <v>900</v>
      </c>
      <c r="CC426" s="203">
        <v>651.45287783706249</v>
      </c>
      <c r="CD426" s="203" t="e">
        <v>#VALUE!</v>
      </c>
      <c r="CE426" s="203" t="s">
        <v>900</v>
      </c>
      <c r="CF426" s="203" t="e">
        <v>#VALUE!</v>
      </c>
      <c r="CH426" s="199"/>
      <c r="CJ426" s="464" t="s">
        <v>1448</v>
      </c>
      <c r="CK426" s="464" t="s">
        <v>1447</v>
      </c>
      <c r="CL426" s="464" t="s">
        <v>1448</v>
      </c>
      <c r="CN426" s="464" t="s">
        <v>1447</v>
      </c>
      <c r="CO426" s="464" t="s">
        <v>1447</v>
      </c>
      <c r="CP426" s="464" t="s">
        <v>1447</v>
      </c>
      <c r="CQ426" s="464" t="s">
        <v>1447</v>
      </c>
      <c r="CS426" s="465">
        <v>0</v>
      </c>
      <c r="CT426" s="466">
        <v>0</v>
      </c>
      <c r="CU426" s="466">
        <v>0.95</v>
      </c>
      <c r="CV426" s="467">
        <v>0.95</v>
      </c>
    </row>
    <row r="427" spans="1:100" s="48" customFormat="1" outlineLevel="1" x14ac:dyDescent="0.3">
      <c r="A427" s="202">
        <v>108502000</v>
      </c>
      <c r="B427" s="48">
        <v>400776</v>
      </c>
      <c r="C427" s="48">
        <v>89914</v>
      </c>
      <c r="D427" s="48" t="s">
        <v>124</v>
      </c>
      <c r="E427" s="48" t="s">
        <v>9</v>
      </c>
      <c r="F427" s="48" t="s">
        <v>1501</v>
      </c>
      <c r="G427" s="48" t="s">
        <v>1502</v>
      </c>
      <c r="H427" s="48" t="s">
        <v>1510</v>
      </c>
      <c r="O427" s="454" t="s">
        <v>900</v>
      </c>
      <c r="P427" s="455" t="s">
        <v>900</v>
      </c>
      <c r="Q427" s="347" t="s">
        <v>900</v>
      </c>
      <c r="R427" s="455">
        <v>298</v>
      </c>
      <c r="S427" s="457">
        <v>295</v>
      </c>
      <c r="T427" s="455"/>
      <c r="U427" s="454">
        <v>298</v>
      </c>
      <c r="V427" s="455">
        <v>147.01287942381165</v>
      </c>
      <c r="W427" s="230">
        <v>0.49333181014701899</v>
      </c>
      <c r="X427" s="264" t="s">
        <v>900</v>
      </c>
      <c r="Y427" s="265" t="s">
        <v>900</v>
      </c>
      <c r="Z427" s="265" t="s">
        <v>900</v>
      </c>
      <c r="AA427" s="265" t="s">
        <v>900</v>
      </c>
      <c r="AB427" s="266" t="s">
        <v>900</v>
      </c>
      <c r="AC427" s="265">
        <v>71664.871989228428</v>
      </c>
      <c r="AD427" s="265">
        <v>15947.164684066543</v>
      </c>
      <c r="AE427" s="265">
        <v>40953.469976898006</v>
      </c>
      <c r="AF427" s="266">
        <v>41074.030307830923</v>
      </c>
      <c r="AG427" s="265">
        <v>71664.871989228428</v>
      </c>
      <c r="AH427" s="265">
        <v>15947.164684066543</v>
      </c>
      <c r="AI427" s="265">
        <v>40953.469976898006</v>
      </c>
      <c r="AJ427" s="266">
        <v>41074.030307830923</v>
      </c>
      <c r="AK427" s="265">
        <v>71845.163578178894</v>
      </c>
      <c r="AL427" s="265">
        <v>19408.214233167513</v>
      </c>
      <c r="AM427" s="265">
        <v>41033.878895727888</v>
      </c>
      <c r="AN427" s="265">
        <v>41150.538523746371</v>
      </c>
      <c r="AO427" s="266">
        <v>173437.79523082066</v>
      </c>
      <c r="AP427" s="203"/>
      <c r="AQ427" s="264">
        <v>74595.42212859221</v>
      </c>
      <c r="AR427" s="265">
        <v>18791.950444038706</v>
      </c>
      <c r="AS427" s="265">
        <v>40572.587038153375</v>
      </c>
      <c r="AT427" s="265">
        <v>42065.861002292593</v>
      </c>
      <c r="AU427" s="266">
        <v>176025.82061307691</v>
      </c>
      <c r="AV427" s="203"/>
      <c r="AW427" s="324">
        <v>181053.53669768581</v>
      </c>
      <c r="AX427" s="203"/>
      <c r="AY427" s="377">
        <v>0</v>
      </c>
      <c r="AZ427" s="265">
        <v>0</v>
      </c>
      <c r="BA427" s="265">
        <v>176025.82061307691</v>
      </c>
      <c r="BB427" s="265">
        <v>1722.9193662518144</v>
      </c>
      <c r="BC427" s="266">
        <v>174302.90124682509</v>
      </c>
      <c r="BD427" s="264">
        <v>1743.0290124682508</v>
      </c>
      <c r="BE427" s="265">
        <v>172559.87223435682</v>
      </c>
      <c r="BF427" s="357">
        <v>0.95308755289596314</v>
      </c>
      <c r="BG427" s="203"/>
      <c r="BJ427" s="458">
        <v>0.95308755289596314</v>
      </c>
      <c r="BK427" s="210"/>
      <c r="BL427" s="458"/>
      <c r="BM427" s="458"/>
      <c r="BN427" s="458"/>
      <c r="BQ427" s="203">
        <v>172442.08149746136</v>
      </c>
      <c r="BR427" s="458">
        <v>0.95243696777598208</v>
      </c>
      <c r="BT427" s="459" t="s">
        <v>900</v>
      </c>
      <c r="BU427" s="460" t="s">
        <v>900</v>
      </c>
      <c r="BV427" s="461">
        <v>172559.87223435682</v>
      </c>
      <c r="BX427" s="462">
        <v>12839.918518917926</v>
      </c>
      <c r="BY427" s="463">
        <v>8.0028559242197039E-2</v>
      </c>
      <c r="BZ427" s="461">
        <v>87.33873228822867</v>
      </c>
      <c r="CB427" s="203" t="s">
        <v>900</v>
      </c>
      <c r="CC427" s="203">
        <v>2635.6351867022827</v>
      </c>
      <c r="CD427" s="203" t="e">
        <v>#VALUE!</v>
      </c>
      <c r="CE427" s="203" t="s">
        <v>900</v>
      </c>
      <c r="CF427" s="203" t="e">
        <v>#VALUE!</v>
      </c>
      <c r="CH427" s="199"/>
      <c r="CJ427" s="464" t="s">
        <v>1448</v>
      </c>
      <c r="CK427" s="464" t="s">
        <v>1447</v>
      </c>
      <c r="CL427" s="464" t="s">
        <v>1448</v>
      </c>
      <c r="CN427" s="464" t="s">
        <v>1447</v>
      </c>
      <c r="CO427" s="464" t="s">
        <v>1447</v>
      </c>
      <c r="CP427" s="464" t="s">
        <v>1447</v>
      </c>
      <c r="CQ427" s="464" t="s">
        <v>1447</v>
      </c>
      <c r="CS427" s="465">
        <v>0</v>
      </c>
      <c r="CT427" s="466">
        <v>0</v>
      </c>
      <c r="CU427" s="466">
        <v>0.95</v>
      </c>
      <c r="CV427" s="467">
        <v>0.95</v>
      </c>
    </row>
    <row r="428" spans="1:100" s="48" customFormat="1" outlineLevel="1" x14ac:dyDescent="0.3">
      <c r="A428" s="202">
        <v>108666000</v>
      </c>
      <c r="B428" s="48">
        <v>400223</v>
      </c>
      <c r="C428" s="48">
        <v>79049</v>
      </c>
      <c r="D428" s="48" t="s">
        <v>125</v>
      </c>
      <c r="E428" s="48" t="s">
        <v>9</v>
      </c>
      <c r="F428" s="48" t="s">
        <v>1498</v>
      </c>
      <c r="G428" s="48" t="s">
        <v>1499</v>
      </c>
      <c r="H428" s="48" t="s">
        <v>1510</v>
      </c>
      <c r="O428" s="454" t="s">
        <v>900</v>
      </c>
      <c r="P428" s="455" t="s">
        <v>900</v>
      </c>
      <c r="Q428" s="347" t="s">
        <v>900</v>
      </c>
      <c r="R428" s="455">
        <v>680</v>
      </c>
      <c r="S428" s="457">
        <v>231</v>
      </c>
      <c r="T428" s="455"/>
      <c r="U428" s="454">
        <v>680</v>
      </c>
      <c r="V428" s="455">
        <v>115.11855982000166</v>
      </c>
      <c r="W428" s="230">
        <v>0.16929199973529657</v>
      </c>
      <c r="X428" s="264" t="s">
        <v>900</v>
      </c>
      <c r="Y428" s="265" t="s">
        <v>900</v>
      </c>
      <c r="Z428" s="265" t="s">
        <v>900</v>
      </c>
      <c r="AA428" s="265" t="s">
        <v>900</v>
      </c>
      <c r="AB428" s="266" t="s">
        <v>900</v>
      </c>
      <c r="AC428" s="265">
        <v>56117.238744107679</v>
      </c>
      <c r="AD428" s="265">
        <v>12487.440820404649</v>
      </c>
      <c r="AE428" s="265">
        <v>32068.64937174047</v>
      </c>
      <c r="AF428" s="266">
        <v>32163.054241047263</v>
      </c>
      <c r="AG428" s="265">
        <v>56117.238744107679</v>
      </c>
      <c r="AH428" s="265">
        <v>12487.440820404649</v>
      </c>
      <c r="AI428" s="265">
        <v>32068.64937174047</v>
      </c>
      <c r="AJ428" s="266">
        <v>32163.054241047263</v>
      </c>
      <c r="AK428" s="265">
        <v>56297.530333058152</v>
      </c>
      <c r="AL428" s="265">
        <v>15948.49036950562</v>
      </c>
      <c r="AM428" s="265">
        <v>32149.058290570356</v>
      </c>
      <c r="AN428" s="265">
        <v>32239.562456962711</v>
      </c>
      <c r="AO428" s="266">
        <v>136634.64145009685</v>
      </c>
      <c r="AP428" s="203"/>
      <c r="AQ428" s="264">
        <v>57961.770996186948</v>
      </c>
      <c r="AR428" s="265">
        <v>15670.927781603652</v>
      </c>
      <c r="AS428" s="265">
        <v>33140.721023552403</v>
      </c>
      <c r="AT428" s="265">
        <v>33219.942025411008</v>
      </c>
      <c r="AU428" s="266">
        <v>139993.361826754</v>
      </c>
      <c r="AV428" s="203"/>
      <c r="AW428" s="324">
        <v>143650.35394093324</v>
      </c>
      <c r="AX428" s="203"/>
      <c r="AY428" s="377">
        <v>0</v>
      </c>
      <c r="AZ428" s="265">
        <v>0</v>
      </c>
      <c r="BA428" s="265">
        <v>139993.361826754</v>
      </c>
      <c r="BB428" s="265">
        <v>1370.2380332496143</v>
      </c>
      <c r="BC428" s="266">
        <v>138623.12379350438</v>
      </c>
      <c r="BD428" s="264">
        <v>1386.2312379350437</v>
      </c>
      <c r="BE428" s="265">
        <v>137236.89255556933</v>
      </c>
      <c r="BF428" s="357">
        <v>0.9553536680598711</v>
      </c>
      <c r="BG428" s="203"/>
      <c r="BJ428" s="458">
        <v>0.9553536680598711</v>
      </c>
      <c r="BK428" s="210"/>
      <c r="BL428" s="458"/>
      <c r="BM428" s="458"/>
      <c r="BN428" s="458"/>
      <c r="BQ428" s="203">
        <v>137143.21356465417</v>
      </c>
      <c r="BR428" s="458">
        <v>0.95470153607171271</v>
      </c>
      <c r="BT428" s="459" t="s">
        <v>900</v>
      </c>
      <c r="BU428" s="460" t="s">
        <v>900</v>
      </c>
      <c r="BV428" s="461">
        <v>137236.89255556933</v>
      </c>
      <c r="BX428" s="462">
        <v>6917.2463408871554</v>
      </c>
      <c r="BY428" s="463">
        <v>5.2856358815255952E-2</v>
      </c>
      <c r="BZ428" s="461">
        <v>60.088020139436239</v>
      </c>
      <c r="CB428" s="203" t="s">
        <v>900</v>
      </c>
      <c r="CC428" s="203">
        <v>2518.175456500885</v>
      </c>
      <c r="CD428" s="203" t="e">
        <v>#VALUE!</v>
      </c>
      <c r="CE428" s="203" t="s">
        <v>900</v>
      </c>
      <c r="CF428" s="203" t="e">
        <v>#VALUE!</v>
      </c>
      <c r="CH428" s="199"/>
      <c r="CJ428" s="464" t="s">
        <v>1448</v>
      </c>
      <c r="CK428" s="464" t="s">
        <v>1447</v>
      </c>
      <c r="CL428" s="464" t="s">
        <v>1448</v>
      </c>
      <c r="CN428" s="464" t="s">
        <v>1447</v>
      </c>
      <c r="CO428" s="464" t="s">
        <v>1447</v>
      </c>
      <c r="CP428" s="464" t="s">
        <v>1447</v>
      </c>
      <c r="CQ428" s="464" t="s">
        <v>1447</v>
      </c>
      <c r="CS428" s="465">
        <v>0</v>
      </c>
      <c r="CT428" s="466">
        <v>0.9</v>
      </c>
      <c r="CU428" s="466">
        <v>0</v>
      </c>
      <c r="CV428" s="467">
        <v>0.9</v>
      </c>
    </row>
    <row r="429" spans="1:100" s="48" customFormat="1" outlineLevel="1" x14ac:dyDescent="0.3">
      <c r="A429" s="202">
        <v>108506000</v>
      </c>
      <c r="B429" s="48">
        <v>400817</v>
      </c>
      <c r="C429" s="48">
        <v>90506</v>
      </c>
      <c r="D429" s="48" t="s">
        <v>142</v>
      </c>
      <c r="E429" s="48" t="s">
        <v>9</v>
      </c>
      <c r="F429" s="48" t="s">
        <v>1498</v>
      </c>
      <c r="G429" s="48" t="s">
        <v>1499</v>
      </c>
      <c r="H429" s="48" t="s">
        <v>1512</v>
      </c>
      <c r="O429" s="454" t="s">
        <v>900</v>
      </c>
      <c r="P429" s="455" t="s">
        <v>900</v>
      </c>
      <c r="Q429" s="347" t="s">
        <v>900</v>
      </c>
      <c r="R429" s="455">
        <v>82</v>
      </c>
      <c r="S429" s="457">
        <v>82</v>
      </c>
      <c r="T429" s="455"/>
      <c r="U429" s="454">
        <v>82</v>
      </c>
      <c r="V429" s="455">
        <v>40.864596992381543</v>
      </c>
      <c r="W429" s="230">
        <v>0.49834874380953104</v>
      </c>
      <c r="X429" s="264" t="s">
        <v>900</v>
      </c>
      <c r="Y429" s="265" t="s">
        <v>900</v>
      </c>
      <c r="Z429" s="265" t="s">
        <v>900</v>
      </c>
      <c r="AA429" s="265" t="s">
        <v>900</v>
      </c>
      <c r="AB429" s="266" t="s">
        <v>900</v>
      </c>
      <c r="AC429" s="265">
        <v>19920.405095310951</v>
      </c>
      <c r="AD429" s="265">
        <v>4432.7712003168017</v>
      </c>
      <c r="AE429" s="265">
        <v>11383.676400358088</v>
      </c>
      <c r="AF429" s="266">
        <v>11417.18808556656</v>
      </c>
      <c r="AG429" s="265">
        <v>19920.405095310951</v>
      </c>
      <c r="AH429" s="265">
        <v>4432.7712003168017</v>
      </c>
      <c r="AI429" s="265">
        <v>11383.676400358088</v>
      </c>
      <c r="AJ429" s="266">
        <v>11417.18808556656</v>
      </c>
      <c r="AK429" s="265">
        <v>20100.696684261424</v>
      </c>
      <c r="AL429" s="265">
        <v>7893.8207494177732</v>
      </c>
      <c r="AM429" s="265">
        <v>11464.085319187974</v>
      </c>
      <c r="AN429" s="265">
        <v>11493.696301482008</v>
      </c>
      <c r="AO429" s="266">
        <v>50952.299054349176</v>
      </c>
      <c r="AP429" s="203"/>
      <c r="AQ429" s="264">
        <v>26104.264270875297</v>
      </c>
      <c r="AR429" s="265">
        <v>8812.9932522233594</v>
      </c>
      <c r="AS429" s="265">
        <v>14925.598801718414</v>
      </c>
      <c r="AT429" s="265">
        <v>14961.277593666582</v>
      </c>
      <c r="AU429" s="266">
        <v>64804.133918483654</v>
      </c>
      <c r="AV429" s="203"/>
      <c r="AW429" s="324">
        <v>63766.142232829596</v>
      </c>
      <c r="AX429" s="203"/>
      <c r="AY429" s="377">
        <v>0</v>
      </c>
      <c r="AZ429" s="265">
        <v>1037.9916856540585</v>
      </c>
      <c r="BA429" s="265">
        <v>63766.142232829596</v>
      </c>
      <c r="BB429" s="265">
        <v>624.13526027867329</v>
      </c>
      <c r="BC429" s="266">
        <v>63142.006972550924</v>
      </c>
      <c r="BD429" s="264">
        <v>631.42006972550928</v>
      </c>
      <c r="BE429" s="265">
        <v>62510.586902825416</v>
      </c>
      <c r="BF429" s="357">
        <v>0.98031000016560876</v>
      </c>
      <c r="BG429" s="203"/>
      <c r="BJ429" s="458">
        <v>0.98031000016560876</v>
      </c>
      <c r="BK429" s="210"/>
      <c r="BL429" s="458"/>
      <c r="BM429" s="458"/>
      <c r="BN429" s="458"/>
      <c r="BQ429" s="203">
        <v>62467.916680602189</v>
      </c>
      <c r="BR429" s="458">
        <v>0.97964083278729341</v>
      </c>
      <c r="BT429" s="459" t="s">
        <v>900</v>
      </c>
      <c r="BU429" s="460" t="s">
        <v>900</v>
      </c>
      <c r="BV429" s="461">
        <v>62510.586902825416</v>
      </c>
      <c r="BX429" s="462">
        <v>16132.198973498991</v>
      </c>
      <c r="BY429" s="463">
        <v>0.34726074862190659</v>
      </c>
      <c r="BZ429" s="461">
        <v>394.77200708737064</v>
      </c>
      <c r="CB429" s="203" t="s">
        <v>900</v>
      </c>
      <c r="CC429" s="203">
        <v>731.76898606354962</v>
      </c>
      <c r="CD429" s="203" t="e">
        <v>#VALUE!</v>
      </c>
      <c r="CE429" s="203" t="s">
        <v>900</v>
      </c>
      <c r="CF429" s="203" t="e">
        <v>#VALUE!</v>
      </c>
      <c r="CH429" s="199"/>
      <c r="CJ429" s="464" t="s">
        <v>1448</v>
      </c>
      <c r="CK429" s="464" t="s">
        <v>1447</v>
      </c>
      <c r="CL429" s="464" t="s">
        <v>1448</v>
      </c>
      <c r="CN429" s="464" t="s">
        <v>1447</v>
      </c>
      <c r="CO429" s="464" t="s">
        <v>1447</v>
      </c>
      <c r="CP429" s="464" t="s">
        <v>1447</v>
      </c>
      <c r="CQ429" s="464" t="s">
        <v>1447</v>
      </c>
      <c r="CS429" s="465">
        <v>0</v>
      </c>
      <c r="CT429" s="466">
        <v>0</v>
      </c>
      <c r="CU429" s="466">
        <v>0.95</v>
      </c>
      <c r="CV429" s="467">
        <v>0.95</v>
      </c>
    </row>
    <row r="430" spans="1:100" s="48" customFormat="1" outlineLevel="1" x14ac:dyDescent="0.3">
      <c r="A430" s="202">
        <v>108653000</v>
      </c>
      <c r="B430" s="48">
        <v>400078</v>
      </c>
      <c r="C430" s="48">
        <v>4421</v>
      </c>
      <c r="D430" s="48" t="s">
        <v>143</v>
      </c>
      <c r="E430" s="48" t="s">
        <v>9</v>
      </c>
      <c r="F430" s="48" t="s">
        <v>1498</v>
      </c>
      <c r="G430" s="48" t="s">
        <v>1502</v>
      </c>
      <c r="H430" s="48" t="s">
        <v>1512</v>
      </c>
      <c r="O430" s="454" t="s">
        <v>900</v>
      </c>
      <c r="P430" s="455" t="s">
        <v>900</v>
      </c>
      <c r="Q430" s="347" t="s">
        <v>900</v>
      </c>
      <c r="R430" s="455">
        <v>168</v>
      </c>
      <c r="S430" s="457">
        <v>127</v>
      </c>
      <c r="T430" s="455"/>
      <c r="U430" s="454">
        <v>168</v>
      </c>
      <c r="V430" s="455">
        <v>63.290290463810443</v>
      </c>
      <c r="W430" s="230">
        <v>0.3767279194274431</v>
      </c>
      <c r="X430" s="264" t="s">
        <v>900</v>
      </c>
      <c r="Y430" s="265" t="s">
        <v>900</v>
      </c>
      <c r="Z430" s="265" t="s">
        <v>900</v>
      </c>
      <c r="AA430" s="265" t="s">
        <v>900</v>
      </c>
      <c r="AB430" s="266" t="s">
        <v>900</v>
      </c>
      <c r="AC430" s="265">
        <v>30852.334720786475</v>
      </c>
      <c r="AD430" s="265">
        <v>6865.3895419540713</v>
      </c>
      <c r="AE430" s="265">
        <v>17630.815888359481</v>
      </c>
      <c r="AF430" s="266">
        <v>17682.71813252382</v>
      </c>
      <c r="AG430" s="265">
        <v>30852.334720786475</v>
      </c>
      <c r="AH430" s="265">
        <v>6865.3895419540713</v>
      </c>
      <c r="AI430" s="265">
        <v>17630.815888359481</v>
      </c>
      <c r="AJ430" s="266">
        <v>17682.71813252382</v>
      </c>
      <c r="AK430" s="265">
        <v>31032.626309736948</v>
      </c>
      <c r="AL430" s="265">
        <v>10326.439091055043</v>
      </c>
      <c r="AM430" s="265">
        <v>17711.224807189366</v>
      </c>
      <c r="AN430" s="265">
        <v>17759.226348439268</v>
      </c>
      <c r="AO430" s="266">
        <v>76829.516556420625</v>
      </c>
      <c r="AP430" s="203"/>
      <c r="AQ430" s="264">
        <v>38071.522497165315</v>
      </c>
      <c r="AR430" s="265">
        <v>10969.795567114041</v>
      </c>
      <c r="AS430" s="265">
        <v>20707.170977978694</v>
      </c>
      <c r="AT430" s="265">
        <v>21469.298353867172</v>
      </c>
      <c r="AU430" s="266">
        <v>91217.787396125219</v>
      </c>
      <c r="AV430" s="203"/>
      <c r="AW430" s="324">
        <v>95072.676094779483</v>
      </c>
      <c r="AX430" s="203"/>
      <c r="AY430" s="377">
        <v>0</v>
      </c>
      <c r="AZ430" s="265">
        <v>0</v>
      </c>
      <c r="BA430" s="265">
        <v>91217.787396125219</v>
      </c>
      <c r="BB430" s="265">
        <v>892.8286310727151</v>
      </c>
      <c r="BC430" s="266">
        <v>90324.958765052506</v>
      </c>
      <c r="BD430" s="264">
        <v>903.24958765052509</v>
      </c>
      <c r="BE430" s="265">
        <v>89421.709177401979</v>
      </c>
      <c r="BF430" s="357">
        <v>0.94056160876607742</v>
      </c>
      <c r="BG430" s="203"/>
      <c r="BJ430" s="458">
        <v>0.94056160876607742</v>
      </c>
      <c r="BK430" s="210"/>
      <c r="BL430" s="458"/>
      <c r="BM430" s="458"/>
      <c r="BN430" s="458"/>
      <c r="BQ430" s="203">
        <v>89360.669209754386</v>
      </c>
      <c r="BR430" s="458">
        <v>0.93991957395486891</v>
      </c>
      <c r="BT430" s="459" t="s">
        <v>900</v>
      </c>
      <c r="BU430" s="460" t="s">
        <v>900</v>
      </c>
      <c r="BV430" s="461">
        <v>89421.709177401979</v>
      </c>
      <c r="BX430" s="462">
        <v>17691.934517598987</v>
      </c>
      <c r="BY430" s="463">
        <v>0.24589380192932278</v>
      </c>
      <c r="BZ430" s="461">
        <v>279.5363141478278</v>
      </c>
      <c r="CB430" s="203">
        <v>5669</v>
      </c>
      <c r="CC430" s="203">
        <v>6844.055264002659</v>
      </c>
      <c r="CD430" s="203" t="e">
        <v>#VALUE!</v>
      </c>
      <c r="CE430" s="203" t="s">
        <v>900</v>
      </c>
      <c r="CF430" s="203" t="e">
        <v>#VALUE!</v>
      </c>
      <c r="CH430" s="199"/>
      <c r="CJ430" s="464" t="s">
        <v>1448</v>
      </c>
      <c r="CK430" s="464" t="s">
        <v>1447</v>
      </c>
      <c r="CL430" s="464" t="s">
        <v>1448</v>
      </c>
      <c r="CN430" s="464" t="s">
        <v>1447</v>
      </c>
      <c r="CO430" s="464" t="s">
        <v>1447</v>
      </c>
      <c r="CP430" s="464" t="s">
        <v>1447</v>
      </c>
      <c r="CQ430" s="464" t="s">
        <v>1447</v>
      </c>
      <c r="CS430" s="465">
        <v>0</v>
      </c>
      <c r="CT430" s="466">
        <v>0</v>
      </c>
      <c r="CU430" s="466">
        <v>0.95</v>
      </c>
      <c r="CV430" s="467">
        <v>0.95</v>
      </c>
    </row>
    <row r="431" spans="1:100" s="48" customFormat="1" outlineLevel="1" x14ac:dyDescent="0.3">
      <c r="A431" s="202">
        <v>108770000</v>
      </c>
      <c r="B431" s="48">
        <v>400205</v>
      </c>
      <c r="C431" s="48">
        <v>10974</v>
      </c>
      <c r="D431" s="48" t="s">
        <v>188</v>
      </c>
      <c r="E431" s="48" t="s">
        <v>9</v>
      </c>
      <c r="F431" s="48" t="s">
        <v>1498</v>
      </c>
      <c r="G431" s="48" t="s">
        <v>1499</v>
      </c>
      <c r="H431" s="48" t="s">
        <v>1512</v>
      </c>
      <c r="O431" s="454" t="s">
        <v>900</v>
      </c>
      <c r="P431" s="455" t="s">
        <v>900</v>
      </c>
      <c r="Q431" s="347" t="s">
        <v>900</v>
      </c>
      <c r="R431" s="455">
        <v>295</v>
      </c>
      <c r="S431" s="457">
        <v>104</v>
      </c>
      <c r="T431" s="455"/>
      <c r="U431" s="454">
        <v>295</v>
      </c>
      <c r="V431" s="455">
        <v>51.828269356191228</v>
      </c>
      <c r="W431" s="230">
        <v>0.175689048665055</v>
      </c>
      <c r="X431" s="264" t="s">
        <v>900</v>
      </c>
      <c r="Y431" s="265" t="s">
        <v>900</v>
      </c>
      <c r="Z431" s="265" t="s">
        <v>900</v>
      </c>
      <c r="AA431" s="265" t="s">
        <v>900</v>
      </c>
      <c r="AB431" s="266" t="s">
        <v>900</v>
      </c>
      <c r="AC431" s="265">
        <v>25264.904023321207</v>
      </c>
      <c r="AD431" s="265">
        <v>5622.0512784505781</v>
      </c>
      <c r="AE431" s="265">
        <v>14437.833483380991</v>
      </c>
      <c r="AF431" s="266">
        <v>14480.336108523445</v>
      </c>
      <c r="AG431" s="265">
        <v>25264.904023321207</v>
      </c>
      <c r="AH431" s="265">
        <v>5622.0512784505781</v>
      </c>
      <c r="AI431" s="265">
        <v>14437.833483380991</v>
      </c>
      <c r="AJ431" s="266">
        <v>14480.336108523445</v>
      </c>
      <c r="AK431" s="265">
        <v>25445.19561227168</v>
      </c>
      <c r="AL431" s="265">
        <v>9083.1008275515487</v>
      </c>
      <c r="AM431" s="265">
        <v>14518.242402210877</v>
      </c>
      <c r="AN431" s="265">
        <v>14556.844324438893</v>
      </c>
      <c r="AO431" s="266">
        <v>63603.383166472995</v>
      </c>
      <c r="AP431" s="203"/>
      <c r="AQ431" s="264">
        <v>25058.707674588022</v>
      </c>
      <c r="AR431" s="265">
        <v>8794.6875781007057</v>
      </c>
      <c r="AS431" s="265">
        <v>14317.157773105042</v>
      </c>
      <c r="AT431" s="265">
        <v>13972.068348284911</v>
      </c>
      <c r="AU431" s="266">
        <v>62142.621374078684</v>
      </c>
      <c r="AV431" s="203"/>
      <c r="AW431" s="324">
        <v>54906.233581912922</v>
      </c>
      <c r="AX431" s="203"/>
      <c r="AY431" s="377">
        <v>0</v>
      </c>
      <c r="AZ431" s="265">
        <v>5862.3558500836953</v>
      </c>
      <c r="BA431" s="265">
        <v>56280.265523994989</v>
      </c>
      <c r="BB431" s="265">
        <v>550.86440768384443</v>
      </c>
      <c r="BC431" s="266">
        <v>55729.401116311143</v>
      </c>
      <c r="BD431" s="264">
        <v>557.29401116311146</v>
      </c>
      <c r="BE431" s="265">
        <v>55172.107105148032</v>
      </c>
      <c r="BF431" s="357">
        <v>1.0048423194579257</v>
      </c>
      <c r="BG431" s="203"/>
      <c r="BJ431" s="458">
        <v>1.0048423194579257</v>
      </c>
      <c r="BK431" s="210"/>
      <c r="BL431" s="458"/>
      <c r="BM431" s="458"/>
      <c r="BN431" s="458"/>
      <c r="BQ431" s="203">
        <v>55134.446187416448</v>
      </c>
      <c r="BR431" s="458">
        <v>1.0041564061239616</v>
      </c>
      <c r="BT431" s="459" t="s">
        <v>900</v>
      </c>
      <c r="BU431" s="460" t="s">
        <v>900</v>
      </c>
      <c r="BV431" s="461">
        <v>55172.107105148032</v>
      </c>
      <c r="BX431" s="462">
        <v>-1249.3961458423582</v>
      </c>
      <c r="BY431" s="463" t="s">
        <v>900</v>
      </c>
      <c r="BZ431" s="461">
        <v>-24.106460843904479</v>
      </c>
      <c r="CB431" s="203">
        <v>2147</v>
      </c>
      <c r="CC431" s="203">
        <v>3269.3849513507121</v>
      </c>
      <c r="CD431" s="203" t="e">
        <v>#VALUE!</v>
      </c>
      <c r="CE431" s="203" t="s">
        <v>900</v>
      </c>
      <c r="CF431" s="203" t="e">
        <v>#VALUE!</v>
      </c>
      <c r="CH431" s="199"/>
      <c r="CJ431" s="464" t="s">
        <v>1448</v>
      </c>
      <c r="CK431" s="464" t="s">
        <v>1447</v>
      </c>
      <c r="CL431" s="464" t="s">
        <v>1448</v>
      </c>
      <c r="CN431" s="464" t="s">
        <v>1447</v>
      </c>
      <c r="CO431" s="464" t="s">
        <v>1447</v>
      </c>
      <c r="CP431" s="464" t="s">
        <v>1447</v>
      </c>
      <c r="CQ431" s="464" t="s">
        <v>1447</v>
      </c>
      <c r="CS431" s="465">
        <v>0</v>
      </c>
      <c r="CT431" s="466">
        <v>0.9</v>
      </c>
      <c r="CU431" s="466">
        <v>0</v>
      </c>
      <c r="CV431" s="467">
        <v>0.9</v>
      </c>
    </row>
    <row r="432" spans="1:100" s="48" customFormat="1" outlineLevel="1" x14ac:dyDescent="0.3">
      <c r="A432" s="202">
        <v>108789000</v>
      </c>
      <c r="B432" s="48">
        <v>400343</v>
      </c>
      <c r="C432" s="48">
        <v>79500</v>
      </c>
      <c r="D432" s="48" t="s">
        <v>189</v>
      </c>
      <c r="E432" s="48" t="s">
        <v>9</v>
      </c>
      <c r="F432" s="48" t="s">
        <v>1503</v>
      </c>
      <c r="G432" s="48" t="s">
        <v>1502</v>
      </c>
      <c r="H432" s="48" t="s">
        <v>1512</v>
      </c>
      <c r="O432" s="454" t="s">
        <v>900</v>
      </c>
      <c r="P432" s="455" t="s">
        <v>900</v>
      </c>
      <c r="Q432" s="347" t="s">
        <v>900</v>
      </c>
      <c r="R432" s="455">
        <v>323</v>
      </c>
      <c r="S432" s="457">
        <v>284</v>
      </c>
      <c r="T432" s="455"/>
      <c r="U432" s="454">
        <v>323</v>
      </c>
      <c r="V432" s="455">
        <v>141.53104324190681</v>
      </c>
      <c r="W432" s="230">
        <v>0.43817660446410778</v>
      </c>
      <c r="X432" s="264" t="s">
        <v>900</v>
      </c>
      <c r="Y432" s="265" t="s">
        <v>900</v>
      </c>
      <c r="Z432" s="265" t="s">
        <v>900</v>
      </c>
      <c r="AA432" s="265" t="s">
        <v>900</v>
      </c>
      <c r="AB432" s="266" t="s">
        <v>900</v>
      </c>
      <c r="AC432" s="265">
        <v>68992.622525223298</v>
      </c>
      <c r="AD432" s="265">
        <v>15352.524644999656</v>
      </c>
      <c r="AE432" s="265">
        <v>39426.391435386555</v>
      </c>
      <c r="AF432" s="266">
        <v>39542.45629635248</v>
      </c>
      <c r="AG432" s="265">
        <v>68992.622525223298</v>
      </c>
      <c r="AH432" s="265">
        <v>15352.524644999656</v>
      </c>
      <c r="AI432" s="265">
        <v>39426.391435386555</v>
      </c>
      <c r="AJ432" s="266">
        <v>39542.45629635248</v>
      </c>
      <c r="AK432" s="265">
        <v>69172.914114173764</v>
      </c>
      <c r="AL432" s="265">
        <v>18813.574194100627</v>
      </c>
      <c r="AM432" s="265">
        <v>39506.800354216437</v>
      </c>
      <c r="AN432" s="265">
        <v>39618.964512267929</v>
      </c>
      <c r="AO432" s="266">
        <v>167112.25317475875</v>
      </c>
      <c r="AP432" s="203"/>
      <c r="AQ432" s="264">
        <v>87285.929627647303</v>
      </c>
      <c r="AR432" s="265">
        <v>21094.784212017508</v>
      </c>
      <c r="AS432" s="265">
        <v>47474.97736414626</v>
      </c>
      <c r="AT432" s="265">
        <v>49222.293786914975</v>
      </c>
      <c r="AU432" s="266">
        <v>205077.98499072605</v>
      </c>
      <c r="AV432" s="203"/>
      <c r="AW432" s="324">
        <v>213744.63684943051</v>
      </c>
      <c r="AX432" s="203"/>
      <c r="AY432" s="377">
        <v>0</v>
      </c>
      <c r="AZ432" s="265">
        <v>0</v>
      </c>
      <c r="BA432" s="265">
        <v>205077.98499072605</v>
      </c>
      <c r="BB432" s="265">
        <v>2007.2784248458818</v>
      </c>
      <c r="BC432" s="266">
        <v>203070.70656588016</v>
      </c>
      <c r="BD432" s="264">
        <v>2030.7070656588016</v>
      </c>
      <c r="BE432" s="265">
        <v>201039.99950022137</v>
      </c>
      <c r="BF432" s="357">
        <v>0.94056160876607753</v>
      </c>
      <c r="BG432" s="203"/>
      <c r="BJ432" s="458">
        <v>0.94056160876607753</v>
      </c>
      <c r="BK432" s="210"/>
      <c r="BL432" s="458"/>
      <c r="BM432" s="458"/>
      <c r="BN432" s="458"/>
      <c r="BQ432" s="203">
        <v>200902.76800265492</v>
      </c>
      <c r="BR432" s="458">
        <v>0.93991957395486903</v>
      </c>
      <c r="BT432" s="459">
        <v>-5.7109654488728854</v>
      </c>
      <c r="BU432" s="460">
        <v>-11481.324909871862</v>
      </c>
      <c r="BV432" s="461">
        <v>189558.67459034952</v>
      </c>
      <c r="BX432" s="462">
        <v>38528.435609527573</v>
      </c>
      <c r="BY432" s="463">
        <v>0.25396731418585744</v>
      </c>
      <c r="BZ432" s="461">
        <v>272.22604120619837</v>
      </c>
      <c r="CB432" s="203">
        <v>4095</v>
      </c>
      <c r="CC432" s="203">
        <v>6669.09072576791</v>
      </c>
      <c r="CD432" s="203" t="e">
        <v>#VALUE!</v>
      </c>
      <c r="CE432" s="203" t="e">
        <v>#VALUE!</v>
      </c>
      <c r="CF432" s="203" t="e">
        <v>#VALUE!</v>
      </c>
      <c r="CH432" s="199"/>
      <c r="CJ432" s="464" t="s">
        <v>1448</v>
      </c>
      <c r="CK432" s="464" t="s">
        <v>1447</v>
      </c>
      <c r="CL432" s="464" t="s">
        <v>1448</v>
      </c>
      <c r="CN432" s="464" t="s">
        <v>1447</v>
      </c>
      <c r="CO432" s="464" t="s">
        <v>1447</v>
      </c>
      <c r="CP432" s="464" t="s">
        <v>1447</v>
      </c>
      <c r="CQ432" s="464" t="s">
        <v>1447</v>
      </c>
      <c r="CS432" s="465">
        <v>0</v>
      </c>
      <c r="CT432" s="466">
        <v>0</v>
      </c>
      <c r="CU432" s="466">
        <v>0.95</v>
      </c>
      <c r="CV432" s="467">
        <v>0.95</v>
      </c>
    </row>
    <row r="433" spans="1:100" s="48" customFormat="1" outlineLevel="1" x14ac:dyDescent="0.3">
      <c r="A433" s="202">
        <v>108726000</v>
      </c>
      <c r="B433" s="48">
        <v>400147</v>
      </c>
      <c r="C433" s="48">
        <v>6369</v>
      </c>
      <c r="D433" s="48" t="s">
        <v>190</v>
      </c>
      <c r="E433" s="48" t="s">
        <v>9</v>
      </c>
      <c r="F433" s="48" t="s">
        <v>1498</v>
      </c>
      <c r="G433" s="48" t="s">
        <v>1499</v>
      </c>
      <c r="H433" s="48" t="s">
        <v>1500</v>
      </c>
      <c r="O433" s="454" t="s">
        <v>900</v>
      </c>
      <c r="P433" s="455" t="s">
        <v>900</v>
      </c>
      <c r="Q433" s="347" t="s">
        <v>900</v>
      </c>
      <c r="R433" s="455">
        <v>111</v>
      </c>
      <c r="S433" s="457">
        <v>96</v>
      </c>
      <c r="T433" s="455"/>
      <c r="U433" s="454">
        <v>111</v>
      </c>
      <c r="V433" s="455">
        <v>47.841479405714978</v>
      </c>
      <c r="W433" s="230">
        <v>0.4310043189704052</v>
      </c>
      <c r="X433" s="264" t="s">
        <v>900</v>
      </c>
      <c r="Y433" s="265" t="s">
        <v>900</v>
      </c>
      <c r="Z433" s="265" t="s">
        <v>900</v>
      </c>
      <c r="AA433" s="265" t="s">
        <v>900</v>
      </c>
      <c r="AB433" s="266" t="s">
        <v>900</v>
      </c>
      <c r="AC433" s="265">
        <v>23321.449867681113</v>
      </c>
      <c r="AD433" s="265">
        <v>5189.5857954928406</v>
      </c>
      <c r="AE433" s="265">
        <v>13327.230907736299</v>
      </c>
      <c r="AF433" s="266">
        <v>13366.464100175486</v>
      </c>
      <c r="AG433" s="265">
        <v>23321.449867681113</v>
      </c>
      <c r="AH433" s="265">
        <v>5189.5857954928406</v>
      </c>
      <c r="AI433" s="265">
        <v>13327.230907736299</v>
      </c>
      <c r="AJ433" s="266">
        <v>13366.464100175486</v>
      </c>
      <c r="AK433" s="265">
        <v>23501.741456631586</v>
      </c>
      <c r="AL433" s="265">
        <v>8650.6353445938112</v>
      </c>
      <c r="AM433" s="265">
        <v>13407.639826566185</v>
      </c>
      <c r="AN433" s="265">
        <v>13442.972316090934</v>
      </c>
      <c r="AO433" s="266">
        <v>59002.988943882519</v>
      </c>
      <c r="AP433" s="203"/>
      <c r="AQ433" s="264">
        <v>29911.136143711286</v>
      </c>
      <c r="AR433" s="265">
        <v>9651.7497080141802</v>
      </c>
      <c r="AS433" s="265">
        <v>17102.248626969013</v>
      </c>
      <c r="AT433" s="265">
        <v>17143.130576076292</v>
      </c>
      <c r="AU433" s="266">
        <v>73808.265054770774</v>
      </c>
      <c r="AV433" s="203"/>
      <c r="AW433" s="324">
        <v>72626.05088374624</v>
      </c>
      <c r="AX433" s="203"/>
      <c r="AY433" s="377">
        <v>0</v>
      </c>
      <c r="AZ433" s="265">
        <v>1182.2141710245342</v>
      </c>
      <c r="BA433" s="265">
        <v>72626.05088374624</v>
      </c>
      <c r="BB433" s="265">
        <v>710.85497074342447</v>
      </c>
      <c r="BC433" s="266">
        <v>71915.195913002812</v>
      </c>
      <c r="BD433" s="264">
        <v>719.1519591300281</v>
      </c>
      <c r="BE433" s="265">
        <v>71196.043953872781</v>
      </c>
      <c r="BF433" s="357">
        <v>0.98031000016560865</v>
      </c>
      <c r="BG433" s="203"/>
      <c r="BJ433" s="458">
        <v>0.98031000016560865</v>
      </c>
      <c r="BK433" s="210"/>
      <c r="BL433" s="458"/>
      <c r="BM433" s="458"/>
      <c r="BN433" s="458"/>
      <c r="BQ433" s="203">
        <v>71147.44496980551</v>
      </c>
      <c r="BR433" s="458">
        <v>0.97964083278729341</v>
      </c>
      <c r="BT433" s="459">
        <v>-5.5289304323950859</v>
      </c>
      <c r="BU433" s="460">
        <v>-3936.3797408270539</v>
      </c>
      <c r="BV433" s="461">
        <v>67259.664213045733</v>
      </c>
      <c r="BX433" s="462">
        <v>15994.479160819959</v>
      </c>
      <c r="BY433" s="463">
        <v>0.31129777507976203</v>
      </c>
      <c r="BZ433" s="461">
        <v>334.32241978096761</v>
      </c>
      <c r="CB433" s="203">
        <v>4036</v>
      </c>
      <c r="CC433" s="203">
        <v>4907.9633508085481</v>
      </c>
      <c r="CD433" s="203" t="e">
        <v>#VALUE!</v>
      </c>
      <c r="CE433" s="203" t="e">
        <v>#VALUE!</v>
      </c>
      <c r="CF433" s="203" t="e">
        <v>#VALUE!</v>
      </c>
      <c r="CH433" s="199"/>
      <c r="CJ433" s="464" t="s">
        <v>1448</v>
      </c>
      <c r="CK433" s="464" t="s">
        <v>1447</v>
      </c>
      <c r="CL433" s="464" t="s">
        <v>1448</v>
      </c>
      <c r="CN433" s="464" t="s">
        <v>1447</v>
      </c>
      <c r="CO433" s="464" t="s">
        <v>1447</v>
      </c>
      <c r="CP433" s="464" t="s">
        <v>1447</v>
      </c>
      <c r="CQ433" s="464" t="s">
        <v>1447</v>
      </c>
      <c r="CS433" s="465">
        <v>0</v>
      </c>
      <c r="CT433" s="466">
        <v>0</v>
      </c>
      <c r="CU433" s="466">
        <v>0.95</v>
      </c>
      <c r="CV433" s="467">
        <v>0.95</v>
      </c>
    </row>
    <row r="434" spans="1:100" s="48" customFormat="1" outlineLevel="1" x14ac:dyDescent="0.3">
      <c r="A434" s="202">
        <v>108775000</v>
      </c>
      <c r="B434" s="48">
        <v>400275</v>
      </c>
      <c r="C434" s="48">
        <v>79061</v>
      </c>
      <c r="D434" s="48" t="s">
        <v>196</v>
      </c>
      <c r="E434" s="48" t="s">
        <v>9</v>
      </c>
      <c r="F434" s="48" t="s">
        <v>1498</v>
      </c>
      <c r="G434" s="48" t="s">
        <v>1502</v>
      </c>
      <c r="H434" s="48" t="s">
        <v>1512</v>
      </c>
      <c r="O434" s="454" t="s">
        <v>900</v>
      </c>
      <c r="P434" s="455" t="s">
        <v>900</v>
      </c>
      <c r="Q434" s="347" t="s">
        <v>900</v>
      </c>
      <c r="R434" s="455">
        <v>41</v>
      </c>
      <c r="S434" s="457">
        <v>19</v>
      </c>
      <c r="T434" s="455"/>
      <c r="U434" s="454">
        <v>41</v>
      </c>
      <c r="V434" s="455">
        <v>9.4686261323810896</v>
      </c>
      <c r="W434" s="230">
        <v>0.23094210078978267</v>
      </c>
      <c r="X434" s="264" t="s">
        <v>900</v>
      </c>
      <c r="Y434" s="265" t="s">
        <v>900</v>
      </c>
      <c r="Z434" s="265" t="s">
        <v>900</v>
      </c>
      <c r="AA434" s="265" t="s">
        <v>900</v>
      </c>
      <c r="AB434" s="266" t="s">
        <v>900</v>
      </c>
      <c r="AC434" s="265">
        <v>4615.70361964522</v>
      </c>
      <c r="AD434" s="265">
        <v>1027.1055220246249</v>
      </c>
      <c r="AE434" s="265">
        <v>2637.6811171561426</v>
      </c>
      <c r="AF434" s="266">
        <v>2645.4460198263982</v>
      </c>
      <c r="AG434" s="265" t="s">
        <v>900</v>
      </c>
      <c r="AH434" s="265" t="s">
        <v>900</v>
      </c>
      <c r="AI434" s="265" t="s">
        <v>900</v>
      </c>
      <c r="AJ434" s="266" t="s">
        <v>900</v>
      </c>
      <c r="AK434" s="265" t="s">
        <v>900</v>
      </c>
      <c r="AL434" s="265" t="s">
        <v>900</v>
      </c>
      <c r="AM434" s="265" t="s">
        <v>900</v>
      </c>
      <c r="AN434" s="265" t="s">
        <v>900</v>
      </c>
      <c r="AO434" s="266">
        <v>0</v>
      </c>
      <c r="AP434" s="203"/>
      <c r="AQ434" s="264">
        <v>0</v>
      </c>
      <c r="AR434" s="265">
        <v>4262.5786949450539</v>
      </c>
      <c r="AS434" s="265">
        <v>0</v>
      </c>
      <c r="AT434" s="265">
        <v>0</v>
      </c>
      <c r="AU434" s="266">
        <v>4262.5786949450539</v>
      </c>
      <c r="AV434" s="203"/>
      <c r="AW434" s="324">
        <v>20476.635335017101</v>
      </c>
      <c r="AX434" s="203"/>
      <c r="AY434" s="377">
        <v>0</v>
      </c>
      <c r="AZ434" s="265">
        <v>0</v>
      </c>
      <c r="BA434" s="265">
        <v>4262.5786949450539</v>
      </c>
      <c r="BB434" s="265">
        <v>41.72160287686583</v>
      </c>
      <c r="BC434" s="266">
        <v>4220.8570920681877</v>
      </c>
      <c r="BD434" s="264">
        <v>42.208570920681879</v>
      </c>
      <c r="BE434" s="265">
        <v>4178.6485211475056</v>
      </c>
      <c r="BF434" s="357">
        <v>0.20406909889153504</v>
      </c>
      <c r="BG434" s="203"/>
      <c r="BJ434" s="458">
        <v>0.20406909889153504</v>
      </c>
      <c r="BK434" s="210"/>
      <c r="BL434" s="458"/>
      <c r="BM434" s="458"/>
      <c r="BN434" s="458"/>
      <c r="BQ434" s="203">
        <v>4175.796142537346</v>
      </c>
      <c r="BR434" s="458">
        <v>0.20392979970670844</v>
      </c>
      <c r="BT434" s="459" t="s">
        <v>900</v>
      </c>
      <c r="BU434" s="460" t="s">
        <v>900</v>
      </c>
      <c r="BV434" s="461">
        <v>4178.6485211475056</v>
      </c>
      <c r="BX434" s="462">
        <v>-6707.7979855117219</v>
      </c>
      <c r="BY434" s="463">
        <v>-0.62316399583397086</v>
      </c>
      <c r="BZ434" s="461">
        <v>-708.42357610595639</v>
      </c>
      <c r="CB434" s="203">
        <v>1428</v>
      </c>
      <c r="CC434" s="203">
        <v>1619.9349165207448</v>
      </c>
      <c r="CD434" s="203" t="e">
        <v>#VALUE!</v>
      </c>
      <c r="CE434" s="203" t="s">
        <v>900</v>
      </c>
      <c r="CF434" s="203" t="e">
        <v>#VALUE!</v>
      </c>
      <c r="CH434" s="199"/>
      <c r="CJ434" s="464" t="s">
        <v>1448</v>
      </c>
      <c r="CK434" s="464" t="s">
        <v>1447</v>
      </c>
      <c r="CL434" s="464" t="s">
        <v>1448</v>
      </c>
      <c r="CN434" s="464" t="s">
        <v>1448</v>
      </c>
      <c r="CO434" s="464" t="s">
        <v>1448</v>
      </c>
      <c r="CP434" s="464" t="s">
        <v>1448</v>
      </c>
      <c r="CQ434" s="464" t="s">
        <v>1448</v>
      </c>
      <c r="CS434" s="465">
        <v>0</v>
      </c>
      <c r="CT434" s="466">
        <v>0.9</v>
      </c>
      <c r="CU434" s="466">
        <v>0</v>
      </c>
      <c r="CV434" s="467">
        <v>0.9</v>
      </c>
    </row>
    <row r="435" spans="1:100" s="48" customFormat="1" outlineLevel="1" x14ac:dyDescent="0.3">
      <c r="A435" s="202">
        <v>108513000</v>
      </c>
      <c r="B435" s="48" t="e">
        <v>#N/A</v>
      </c>
      <c r="C435" s="48">
        <v>92499</v>
      </c>
      <c r="D435" s="48" t="s">
        <v>216</v>
      </c>
      <c r="E435" s="48" t="s">
        <v>9</v>
      </c>
      <c r="F435" s="48" t="s">
        <v>1498</v>
      </c>
      <c r="G435" s="48" t="s">
        <v>1499</v>
      </c>
      <c r="H435" s="48" t="s">
        <v>900</v>
      </c>
      <c r="O435" s="454" t="s">
        <v>900</v>
      </c>
      <c r="P435" s="455" t="s">
        <v>900</v>
      </c>
      <c r="Q435" s="347" t="s">
        <v>900</v>
      </c>
      <c r="R435" s="455">
        <v>118</v>
      </c>
      <c r="S435" s="457">
        <v>107</v>
      </c>
      <c r="T435" s="455"/>
      <c r="U435" s="454">
        <v>118</v>
      </c>
      <c r="V435" s="455">
        <v>53.323315587619824</v>
      </c>
      <c r="W435" s="230">
        <v>0.45189250497982902</v>
      </c>
      <c r="X435" s="264" t="s">
        <v>900</v>
      </c>
      <c r="Y435" s="265" t="s">
        <v>900</v>
      </c>
      <c r="Z435" s="265" t="s">
        <v>900</v>
      </c>
      <c r="AA435" s="265" t="s">
        <v>900</v>
      </c>
      <c r="AB435" s="266" t="s">
        <v>900</v>
      </c>
      <c r="AC435" s="265">
        <v>25993.699331686243</v>
      </c>
      <c r="AD435" s="265">
        <v>5784.2258345597293</v>
      </c>
      <c r="AE435" s="265">
        <v>14854.309449247752</v>
      </c>
      <c r="AF435" s="266">
        <v>14898.038111653928</v>
      </c>
      <c r="AG435" s="265">
        <v>25993.699331686243</v>
      </c>
      <c r="AH435" s="265">
        <v>5784.2258345597293</v>
      </c>
      <c r="AI435" s="265">
        <v>14854.309449247752</v>
      </c>
      <c r="AJ435" s="266">
        <v>14898.038111653928</v>
      </c>
      <c r="AK435" s="265">
        <v>26173.990920636716</v>
      </c>
      <c r="AL435" s="265">
        <v>9245.2753836607008</v>
      </c>
      <c r="AM435" s="265">
        <v>14934.718368077638</v>
      </c>
      <c r="AN435" s="265">
        <v>14974.546327569376</v>
      </c>
      <c r="AO435" s="266">
        <v>65328.530999944429</v>
      </c>
      <c r="AP435" s="203"/>
      <c r="AQ435" s="264">
        <v>28551.539046269867</v>
      </c>
      <c r="AR435" s="265">
        <v>9352.1938309460293</v>
      </c>
      <c r="AS435" s="265">
        <v>16324.873689379516</v>
      </c>
      <c r="AT435" s="265">
        <v>16363.897368072827</v>
      </c>
      <c r="AU435" s="266">
        <v>70592.503934668232</v>
      </c>
      <c r="AV435" s="203"/>
      <c r="AW435" s="324">
        <v>69461.797794133148</v>
      </c>
      <c r="AX435" s="203"/>
      <c r="AY435" s="377">
        <v>0</v>
      </c>
      <c r="AZ435" s="265">
        <v>1130.7061405350833</v>
      </c>
      <c r="BA435" s="265">
        <v>69461.797794133148</v>
      </c>
      <c r="BB435" s="265">
        <v>679.88364557744194</v>
      </c>
      <c r="BC435" s="266">
        <v>68781.914148555705</v>
      </c>
      <c r="BD435" s="264">
        <v>687.81914148555711</v>
      </c>
      <c r="BE435" s="265">
        <v>68094.095007070151</v>
      </c>
      <c r="BF435" s="357">
        <v>0.98031000016560876</v>
      </c>
      <c r="BG435" s="203"/>
      <c r="BJ435" s="458">
        <v>0.98031000016560876</v>
      </c>
      <c r="BK435" s="210"/>
      <c r="BL435" s="458"/>
      <c r="BM435" s="458"/>
      <c r="BN435" s="458"/>
      <c r="BQ435" s="203">
        <v>68047.613437947177</v>
      </c>
      <c r="BR435" s="458">
        <v>0.97964083278729341</v>
      </c>
      <c r="BT435" s="459" t="s">
        <v>900</v>
      </c>
      <c r="BU435" s="460" t="s">
        <v>900</v>
      </c>
      <c r="BV435" s="461">
        <v>68094.095007070151</v>
      </c>
      <c r="BX435" s="462">
        <v>7631.6033385900664</v>
      </c>
      <c r="BY435" s="463">
        <v>0.12589485769180564</v>
      </c>
      <c r="BZ435" s="461">
        <v>143.11944511496037</v>
      </c>
      <c r="CB435" s="203" t="s">
        <v>900</v>
      </c>
      <c r="CC435" s="203">
        <v>966.05863071398335</v>
      </c>
      <c r="CD435" s="203" t="e">
        <v>#VALUE!</v>
      </c>
      <c r="CE435" s="203" t="s">
        <v>900</v>
      </c>
      <c r="CF435" s="203" t="e">
        <v>#VALUE!</v>
      </c>
      <c r="CH435" s="199"/>
      <c r="CJ435" s="464" t="s">
        <v>1448</v>
      </c>
      <c r="CK435" s="464" t="s">
        <v>1447</v>
      </c>
      <c r="CL435" s="464" t="s">
        <v>1448</v>
      </c>
      <c r="CN435" s="464" t="s">
        <v>1447</v>
      </c>
      <c r="CO435" s="464" t="s">
        <v>1447</v>
      </c>
      <c r="CP435" s="464" t="s">
        <v>1447</v>
      </c>
      <c r="CQ435" s="464" t="s">
        <v>1447</v>
      </c>
      <c r="CS435" s="465">
        <v>0</v>
      </c>
      <c r="CT435" s="466">
        <v>0</v>
      </c>
      <c r="CU435" s="466">
        <v>0.95</v>
      </c>
      <c r="CV435" s="467">
        <v>0.95</v>
      </c>
    </row>
    <row r="436" spans="1:100" s="48" customFormat="1" outlineLevel="1" x14ac:dyDescent="0.3">
      <c r="A436" s="202">
        <v>108735000</v>
      </c>
      <c r="B436" s="48">
        <v>400872</v>
      </c>
      <c r="C436" s="48">
        <v>90876</v>
      </c>
      <c r="D436" s="48" t="s">
        <v>217</v>
      </c>
      <c r="E436" s="48" t="s">
        <v>9</v>
      </c>
      <c r="F436" s="48" t="s">
        <v>1533</v>
      </c>
      <c r="G436" s="48" t="s">
        <v>1502</v>
      </c>
      <c r="H436" s="48" t="s">
        <v>1506</v>
      </c>
      <c r="O436" s="454" t="s">
        <v>900</v>
      </c>
      <c r="P436" s="455" t="s">
        <v>900</v>
      </c>
      <c r="Q436" s="347" t="s">
        <v>900</v>
      </c>
      <c r="R436" s="455">
        <v>57</v>
      </c>
      <c r="S436" s="457">
        <v>26</v>
      </c>
      <c r="T436" s="455"/>
      <c r="U436" s="454">
        <v>57</v>
      </c>
      <c r="V436" s="455">
        <v>12.957067339047807</v>
      </c>
      <c r="W436" s="230">
        <v>0.22731697086048785</v>
      </c>
      <c r="X436" s="264" t="s">
        <v>900</v>
      </c>
      <c r="Y436" s="265" t="s">
        <v>900</v>
      </c>
      <c r="Z436" s="265" t="s">
        <v>900</v>
      </c>
      <c r="AA436" s="265" t="s">
        <v>900</v>
      </c>
      <c r="AB436" s="266" t="s">
        <v>900</v>
      </c>
      <c r="AC436" s="265">
        <v>6316.2260058303018</v>
      </c>
      <c r="AD436" s="265">
        <v>1405.5128196126445</v>
      </c>
      <c r="AE436" s="265">
        <v>3609.4583708452478</v>
      </c>
      <c r="AF436" s="266">
        <v>3620.0840271308612</v>
      </c>
      <c r="AG436" s="265">
        <v>6316.2260058303018</v>
      </c>
      <c r="AH436" s="265">
        <v>1405.5128196126445</v>
      </c>
      <c r="AI436" s="265">
        <v>3609.4583708452478</v>
      </c>
      <c r="AJ436" s="266">
        <v>3620.0840271308612</v>
      </c>
      <c r="AK436" s="265">
        <v>6496.5175947807738</v>
      </c>
      <c r="AL436" s="265">
        <v>4866.5623687136158</v>
      </c>
      <c r="AM436" s="265">
        <v>3689.8672896751332</v>
      </c>
      <c r="AN436" s="265">
        <v>3696.5922430463088</v>
      </c>
      <c r="AO436" s="266">
        <v>18749.539496215832</v>
      </c>
      <c r="AP436" s="203"/>
      <c r="AQ436" s="264">
        <v>8758.6676172015814</v>
      </c>
      <c r="AR436" s="265">
        <v>4830.1582514952324</v>
      </c>
      <c r="AS436" s="265">
        <v>5007.9311768923626</v>
      </c>
      <c r="AT436" s="265">
        <v>5019.9023505065516</v>
      </c>
      <c r="AU436" s="266">
        <v>23616.659396095729</v>
      </c>
      <c r="AV436" s="203"/>
      <c r="AW436" s="324">
        <v>24529.403921627341</v>
      </c>
      <c r="AX436" s="203"/>
      <c r="AY436" s="377">
        <v>0</v>
      </c>
      <c r="AZ436" s="265">
        <v>0</v>
      </c>
      <c r="BA436" s="265">
        <v>23616.659396095729</v>
      </c>
      <c r="BB436" s="265">
        <v>231.15699559297147</v>
      </c>
      <c r="BC436" s="266">
        <v>23385.502400502759</v>
      </c>
      <c r="BD436" s="264">
        <v>233.85502400502759</v>
      </c>
      <c r="BE436" s="265">
        <v>23151.647376497731</v>
      </c>
      <c r="BF436" s="357">
        <v>0.94383244902600938</v>
      </c>
      <c r="BG436" s="203"/>
      <c r="BJ436" s="458">
        <v>0.94383244902600938</v>
      </c>
      <c r="BK436" s="210"/>
      <c r="BL436" s="458"/>
      <c r="BM436" s="458"/>
      <c r="BN436" s="458"/>
      <c r="BQ436" s="203">
        <v>23135.843878445077</v>
      </c>
      <c r="BR436" s="458">
        <v>0.94318818151330719</v>
      </c>
      <c r="BT436" s="459">
        <v>-7.8955508484752421</v>
      </c>
      <c r="BU436" s="460">
        <v>-1827.9500908710627</v>
      </c>
      <c r="BV436" s="461">
        <v>21323.697285626669</v>
      </c>
      <c r="BX436" s="462">
        <v>7664.6115717672801</v>
      </c>
      <c r="BY436" s="463">
        <v>0.56495280939366599</v>
      </c>
      <c r="BZ436" s="461">
        <v>591.53907062510791</v>
      </c>
      <c r="CB436" s="203" t="s">
        <v>900</v>
      </c>
      <c r="CC436" s="203">
        <v>263.55791853251259</v>
      </c>
      <c r="CD436" s="203" t="e">
        <v>#VALUE!</v>
      </c>
      <c r="CE436" s="203" t="e">
        <v>#VALUE!</v>
      </c>
      <c r="CF436" s="203" t="e">
        <v>#VALUE!</v>
      </c>
      <c r="CH436" s="199"/>
      <c r="CJ436" s="464" t="s">
        <v>1448</v>
      </c>
      <c r="CK436" s="464" t="s">
        <v>1447</v>
      </c>
      <c r="CL436" s="464" t="s">
        <v>1448</v>
      </c>
      <c r="CN436" s="464" t="s">
        <v>1447</v>
      </c>
      <c r="CO436" s="464" t="s">
        <v>1447</v>
      </c>
      <c r="CP436" s="464" t="s">
        <v>1447</v>
      </c>
      <c r="CQ436" s="464" t="s">
        <v>1447</v>
      </c>
      <c r="CS436" s="465">
        <v>0</v>
      </c>
      <c r="CT436" s="466">
        <v>0.9</v>
      </c>
      <c r="CU436" s="466">
        <v>0</v>
      </c>
      <c r="CV436" s="467">
        <v>0.9</v>
      </c>
    </row>
    <row r="437" spans="1:100" s="48" customFormat="1" outlineLevel="1" x14ac:dyDescent="0.3">
      <c r="A437" s="202">
        <v>108706000</v>
      </c>
      <c r="B437" s="48">
        <v>400388</v>
      </c>
      <c r="C437" s="48">
        <v>79880</v>
      </c>
      <c r="D437" s="48" t="s">
        <v>233</v>
      </c>
      <c r="E437" s="48" t="s">
        <v>9</v>
      </c>
      <c r="F437" s="48" t="s">
        <v>1498</v>
      </c>
      <c r="G437" s="48" t="s">
        <v>1502</v>
      </c>
      <c r="H437" s="48" t="s">
        <v>1529</v>
      </c>
      <c r="O437" s="454" t="s">
        <v>900</v>
      </c>
      <c r="P437" s="455" t="s">
        <v>900</v>
      </c>
      <c r="Q437" s="347" t="s">
        <v>900</v>
      </c>
      <c r="R437" s="455">
        <v>29</v>
      </c>
      <c r="S437" s="457">
        <v>26</v>
      </c>
      <c r="T437" s="455"/>
      <c r="U437" s="454">
        <v>29</v>
      </c>
      <c r="V437" s="455">
        <v>12.957067339047807</v>
      </c>
      <c r="W437" s="230">
        <v>0.44679542548440715</v>
      </c>
      <c r="X437" s="264" t="s">
        <v>900</v>
      </c>
      <c r="Y437" s="265" t="s">
        <v>900</v>
      </c>
      <c r="Z437" s="265" t="s">
        <v>900</v>
      </c>
      <c r="AA437" s="265" t="s">
        <v>900</v>
      </c>
      <c r="AB437" s="266" t="s">
        <v>900</v>
      </c>
      <c r="AC437" s="265">
        <v>6316.2260058303018</v>
      </c>
      <c r="AD437" s="265">
        <v>1405.5128196126445</v>
      </c>
      <c r="AE437" s="265">
        <v>3609.4583708452478</v>
      </c>
      <c r="AF437" s="266">
        <v>3620.0840271308612</v>
      </c>
      <c r="AG437" s="265">
        <v>6316.2260058303018</v>
      </c>
      <c r="AH437" s="265">
        <v>1405.5128196126445</v>
      </c>
      <c r="AI437" s="265">
        <v>3609.4583708452478</v>
      </c>
      <c r="AJ437" s="266">
        <v>3620.0840271308612</v>
      </c>
      <c r="AK437" s="265">
        <v>6496.5175947807738</v>
      </c>
      <c r="AL437" s="265">
        <v>4866.5623687136158</v>
      </c>
      <c r="AM437" s="265">
        <v>3689.8672896751332</v>
      </c>
      <c r="AN437" s="265">
        <v>3696.5922430463088</v>
      </c>
      <c r="AO437" s="266">
        <v>18749.539496215832</v>
      </c>
      <c r="AP437" s="203"/>
      <c r="AQ437" s="264">
        <v>23214.342986076412</v>
      </c>
      <c r="AR437" s="265">
        <v>5877.3456569554901</v>
      </c>
      <c r="AS437" s="265">
        <v>12626.323767060181</v>
      </c>
      <c r="AT437" s="265">
        <v>13091.035581626325</v>
      </c>
      <c r="AU437" s="266">
        <v>54809.047991718406</v>
      </c>
      <c r="AV437" s="203"/>
      <c r="AW437" s="324">
        <v>57125.293383308002</v>
      </c>
      <c r="AX437" s="203"/>
      <c r="AY437" s="377">
        <v>0</v>
      </c>
      <c r="AZ437" s="265">
        <v>0</v>
      </c>
      <c r="BA437" s="265">
        <v>54809.047991718406</v>
      </c>
      <c r="BB437" s="265">
        <v>536.46430905342675</v>
      </c>
      <c r="BC437" s="266">
        <v>54272.583682664976</v>
      </c>
      <c r="BD437" s="264">
        <v>542.72583682664981</v>
      </c>
      <c r="BE437" s="265">
        <v>53729.857845838327</v>
      </c>
      <c r="BF437" s="357">
        <v>0.94056160876607731</v>
      </c>
      <c r="BG437" s="203"/>
      <c r="BJ437" s="458">
        <v>0.94056160876607731</v>
      </c>
      <c r="BK437" s="210"/>
      <c r="BL437" s="458"/>
      <c r="BM437" s="458"/>
      <c r="BN437" s="458"/>
      <c r="BQ437" s="203">
        <v>53693.181418885746</v>
      </c>
      <c r="BR437" s="458">
        <v>0.9399195739548688</v>
      </c>
      <c r="BT437" s="459">
        <v>0</v>
      </c>
      <c r="BU437" s="460" t="s">
        <v>900</v>
      </c>
      <c r="BV437" s="461">
        <v>53729.857845838327</v>
      </c>
      <c r="BX437" s="462">
        <v>38899.862292216072</v>
      </c>
      <c r="BY437" s="463">
        <v>2.6995369019448083</v>
      </c>
      <c r="BZ437" s="461">
        <v>3002.211941508267</v>
      </c>
      <c r="CB437" s="203" t="s">
        <v>900</v>
      </c>
      <c r="CC437" s="203">
        <v>235.07595193283328</v>
      </c>
      <c r="CD437" s="203" t="e">
        <v>#VALUE!</v>
      </c>
      <c r="CE437" s="203" t="s">
        <v>900</v>
      </c>
      <c r="CF437" s="203" t="e">
        <v>#VALUE!</v>
      </c>
      <c r="CH437" s="199"/>
      <c r="CJ437" s="464" t="s">
        <v>1448</v>
      </c>
      <c r="CK437" s="464" t="s">
        <v>1447</v>
      </c>
      <c r="CL437" s="464" t="s">
        <v>1448</v>
      </c>
      <c r="CN437" s="464" t="s">
        <v>1447</v>
      </c>
      <c r="CO437" s="464" t="s">
        <v>1447</v>
      </c>
      <c r="CP437" s="464" t="s">
        <v>1447</v>
      </c>
      <c r="CQ437" s="464" t="s">
        <v>1447</v>
      </c>
      <c r="CS437" s="465">
        <v>0</v>
      </c>
      <c r="CT437" s="466">
        <v>0</v>
      </c>
      <c r="CU437" s="466">
        <v>0.95</v>
      </c>
      <c r="CV437" s="467">
        <v>0.95</v>
      </c>
    </row>
    <row r="438" spans="1:100" s="48" customFormat="1" outlineLevel="1" x14ac:dyDescent="0.3">
      <c r="A438" s="202">
        <v>108908000</v>
      </c>
      <c r="B438" s="48">
        <v>400826</v>
      </c>
      <c r="C438" s="48">
        <v>90754</v>
      </c>
      <c r="D438" s="48" t="s">
        <v>1543</v>
      </c>
      <c r="E438" s="48" t="s">
        <v>9</v>
      </c>
      <c r="F438" s="48" t="s">
        <v>1498</v>
      </c>
      <c r="G438" s="48" t="s">
        <v>1499</v>
      </c>
      <c r="H438" s="48" t="s">
        <v>1512</v>
      </c>
      <c r="O438" s="454" t="s">
        <v>900</v>
      </c>
      <c r="P438" s="455" t="s">
        <v>900</v>
      </c>
      <c r="Q438" s="347" t="s">
        <v>900</v>
      </c>
      <c r="R438" s="455">
        <v>82</v>
      </c>
      <c r="S438" s="457">
        <v>47</v>
      </c>
      <c r="T438" s="455"/>
      <c r="U438" s="454">
        <v>82</v>
      </c>
      <c r="V438" s="455">
        <v>23.422390959047959</v>
      </c>
      <c r="W438" s="230">
        <v>0.28563891413473119</v>
      </c>
      <c r="X438" s="264" t="s">
        <v>900</v>
      </c>
      <c r="Y438" s="265" t="s">
        <v>900</v>
      </c>
      <c r="Z438" s="265" t="s">
        <v>900</v>
      </c>
      <c r="AA438" s="265" t="s">
        <v>900</v>
      </c>
      <c r="AB438" s="266" t="s">
        <v>900</v>
      </c>
      <c r="AC438" s="265">
        <v>11417.793164385546</v>
      </c>
      <c r="AD438" s="265">
        <v>2540.7347123767036</v>
      </c>
      <c r="AE438" s="265">
        <v>6524.790131912564</v>
      </c>
      <c r="AF438" s="266">
        <v>6543.9980490442485</v>
      </c>
      <c r="AG438" s="265">
        <v>11417.793164385546</v>
      </c>
      <c r="AH438" s="265">
        <v>2540.7347123767036</v>
      </c>
      <c r="AI438" s="265">
        <v>6524.790131912564</v>
      </c>
      <c r="AJ438" s="266">
        <v>6543.9980490442485</v>
      </c>
      <c r="AK438" s="265">
        <v>11598.084753336019</v>
      </c>
      <c r="AL438" s="265">
        <v>6001.7842614776746</v>
      </c>
      <c r="AM438" s="265">
        <v>6605.1990507424498</v>
      </c>
      <c r="AN438" s="265">
        <v>6620.5062649596957</v>
      </c>
      <c r="AO438" s="266">
        <v>30825.574330515839</v>
      </c>
      <c r="AP438" s="203"/>
      <c r="AQ438" s="264">
        <v>11421.921051327168</v>
      </c>
      <c r="AR438" s="265">
        <v>5811.2112254385802</v>
      </c>
      <c r="AS438" s="265">
        <v>6513.7138719933673</v>
      </c>
      <c r="AT438" s="265">
        <v>6354.5480031662637</v>
      </c>
      <c r="AU438" s="266">
        <v>30101.394151925379</v>
      </c>
      <c r="AV438" s="203"/>
      <c r="AW438" s="324">
        <v>21998.001449936877</v>
      </c>
      <c r="AX438" s="203"/>
      <c r="AY438" s="377">
        <v>0</v>
      </c>
      <c r="AZ438" s="265">
        <v>2839.6787937211629</v>
      </c>
      <c r="BA438" s="265">
        <v>27261.715358204216</v>
      </c>
      <c r="BB438" s="265">
        <v>266.83436091537345</v>
      </c>
      <c r="BC438" s="266">
        <v>26994.880997288841</v>
      </c>
      <c r="BD438" s="264">
        <v>269.9488099728884</v>
      </c>
      <c r="BE438" s="265">
        <v>26724.932187315953</v>
      </c>
      <c r="BF438" s="357">
        <v>1.2148800084469782</v>
      </c>
      <c r="BG438" s="203"/>
      <c r="BJ438" s="458">
        <v>1.2148800084469782</v>
      </c>
      <c r="BK438" s="210"/>
      <c r="BL438" s="458"/>
      <c r="BM438" s="458"/>
      <c r="BN438" s="458"/>
      <c r="BQ438" s="203">
        <v>26706.689536721322</v>
      </c>
      <c r="BR438" s="458">
        <v>1.2140507217212659</v>
      </c>
      <c r="BT438" s="459" t="s">
        <v>900</v>
      </c>
      <c r="BU438" s="460" t="s">
        <v>900</v>
      </c>
      <c r="BV438" s="461">
        <v>26724.932187315953</v>
      </c>
      <c r="BX438" s="462">
        <v>1130.7152005850876</v>
      </c>
      <c r="BY438" s="463">
        <v>4.4234397798224655E-2</v>
      </c>
      <c r="BZ438" s="461">
        <v>48.274969133682639</v>
      </c>
      <c r="CB438" s="203" t="s">
        <v>900</v>
      </c>
      <c r="CC438" s="203">
        <v>455.03102343236554</v>
      </c>
      <c r="CD438" s="203" t="e">
        <v>#VALUE!</v>
      </c>
      <c r="CE438" s="203" t="s">
        <v>900</v>
      </c>
      <c r="CF438" s="203" t="e">
        <v>#VALUE!</v>
      </c>
      <c r="CH438" s="199"/>
      <c r="CJ438" s="464" t="s">
        <v>1448</v>
      </c>
      <c r="CK438" s="464" t="s">
        <v>1447</v>
      </c>
      <c r="CL438" s="464" t="s">
        <v>1448</v>
      </c>
      <c r="CN438" s="464" t="s">
        <v>1447</v>
      </c>
      <c r="CO438" s="464" t="s">
        <v>1447</v>
      </c>
      <c r="CP438" s="464" t="s">
        <v>1447</v>
      </c>
      <c r="CQ438" s="464" t="s">
        <v>1447</v>
      </c>
      <c r="CS438" s="465">
        <v>0</v>
      </c>
      <c r="CT438" s="466">
        <v>0.9</v>
      </c>
      <c r="CU438" s="466">
        <v>0</v>
      </c>
      <c r="CV438" s="467">
        <v>0.9</v>
      </c>
    </row>
    <row r="439" spans="1:100" s="48" customFormat="1" outlineLevel="1" x14ac:dyDescent="0.3">
      <c r="A439" s="202">
        <v>108798000</v>
      </c>
      <c r="B439" s="48">
        <v>400781</v>
      </c>
      <c r="C439" s="48">
        <v>89852</v>
      </c>
      <c r="D439" s="48" t="s">
        <v>277</v>
      </c>
      <c r="E439" s="48" t="s">
        <v>9</v>
      </c>
      <c r="F439" s="48" t="s">
        <v>1498</v>
      </c>
      <c r="G439" s="48" t="s">
        <v>1499</v>
      </c>
      <c r="H439" s="48" t="s">
        <v>1508</v>
      </c>
      <c r="O439" s="454" t="s">
        <v>900</v>
      </c>
      <c r="P439" s="455" t="s">
        <v>900</v>
      </c>
      <c r="Q439" s="347" t="s">
        <v>900</v>
      </c>
      <c r="R439" s="455">
        <v>423</v>
      </c>
      <c r="S439" s="457">
        <v>337</v>
      </c>
      <c r="T439" s="455"/>
      <c r="U439" s="454">
        <v>423</v>
      </c>
      <c r="V439" s="455">
        <v>167.94352666381195</v>
      </c>
      <c r="W439" s="230">
        <v>0.39702961386243962</v>
      </c>
      <c r="X439" s="264" t="s">
        <v>900</v>
      </c>
      <c r="Y439" s="265" t="s">
        <v>900</v>
      </c>
      <c r="Z439" s="265" t="s">
        <v>900</v>
      </c>
      <c r="AA439" s="265" t="s">
        <v>900</v>
      </c>
      <c r="AB439" s="266" t="s">
        <v>900</v>
      </c>
      <c r="AC439" s="265">
        <v>81868.00630633891</v>
      </c>
      <c r="AD439" s="265">
        <v>18217.608469594659</v>
      </c>
      <c r="AE439" s="265">
        <v>46784.133499032636</v>
      </c>
      <c r="AF439" s="266">
        <v>46921.858351657698</v>
      </c>
      <c r="AG439" s="265">
        <v>81868.00630633891</v>
      </c>
      <c r="AH439" s="265">
        <v>18217.608469594659</v>
      </c>
      <c r="AI439" s="265">
        <v>46784.133499032636</v>
      </c>
      <c r="AJ439" s="266">
        <v>46921.858351657698</v>
      </c>
      <c r="AK439" s="265">
        <v>82048.297895289375</v>
      </c>
      <c r="AL439" s="265">
        <v>21678.658018695631</v>
      </c>
      <c r="AM439" s="265">
        <v>46864.542417862518</v>
      </c>
      <c r="AN439" s="265">
        <v>46998.366567573146</v>
      </c>
      <c r="AO439" s="266">
        <v>197589.86489942065</v>
      </c>
      <c r="AP439" s="203"/>
      <c r="AQ439" s="264">
        <v>80802.06352054904</v>
      </c>
      <c r="AR439" s="265">
        <v>20990.301440737112</v>
      </c>
      <c r="AS439" s="265">
        <v>46215.446000456272</v>
      </c>
      <c r="AT439" s="265">
        <v>45110.353267804981</v>
      </c>
      <c r="AU439" s="266">
        <v>193118.1642295474</v>
      </c>
      <c r="AV439" s="203"/>
      <c r="AW439" s="324">
        <v>170717.89666175182</v>
      </c>
      <c r="AX439" s="203"/>
      <c r="AY439" s="377">
        <v>0</v>
      </c>
      <c r="AZ439" s="265">
        <v>18218.211185741064</v>
      </c>
      <c r="BA439" s="265">
        <v>174899.95304380634</v>
      </c>
      <c r="BB439" s="265">
        <v>1711.899511140927</v>
      </c>
      <c r="BC439" s="266">
        <v>173188.05353266542</v>
      </c>
      <c r="BD439" s="264">
        <v>1731.8805353266544</v>
      </c>
      <c r="BE439" s="265">
        <v>171456.17299733876</v>
      </c>
      <c r="BF439" s="357">
        <v>1.0043245397818468</v>
      </c>
      <c r="BG439" s="203"/>
      <c r="BJ439" s="458">
        <v>1.0043245397818468</v>
      </c>
      <c r="BK439" s="210"/>
      <c r="BL439" s="458"/>
      <c r="BM439" s="458"/>
      <c r="BN439" s="458"/>
      <c r="BQ439" s="203">
        <v>171339.13565429294</v>
      </c>
      <c r="BR439" s="458">
        <v>1.0036389798883945</v>
      </c>
      <c r="BT439" s="459" t="s">
        <v>900</v>
      </c>
      <c r="BU439" s="460" t="s">
        <v>900</v>
      </c>
      <c r="BV439" s="461">
        <v>171456.17299733876</v>
      </c>
      <c r="BX439" s="462">
        <v>-10978.623228607175</v>
      </c>
      <c r="BY439" s="463">
        <v>-5.9899435097876284E-2</v>
      </c>
      <c r="BZ439" s="461">
        <v>-65.370922277844613</v>
      </c>
      <c r="CB439" s="203" t="s">
        <v>900</v>
      </c>
      <c r="CC439" s="203">
        <v>3094.8723784654153</v>
      </c>
      <c r="CD439" s="203" t="e">
        <v>#VALUE!</v>
      </c>
      <c r="CE439" s="203" t="s">
        <v>900</v>
      </c>
      <c r="CF439" s="203" t="e">
        <v>#VALUE!</v>
      </c>
      <c r="CH439" s="199"/>
      <c r="CJ439" s="464" t="s">
        <v>1448</v>
      </c>
      <c r="CK439" s="464" t="s">
        <v>1447</v>
      </c>
      <c r="CL439" s="464" t="s">
        <v>1448</v>
      </c>
      <c r="CN439" s="464" t="s">
        <v>1447</v>
      </c>
      <c r="CO439" s="464" t="s">
        <v>1447</v>
      </c>
      <c r="CP439" s="464" t="s">
        <v>1447</v>
      </c>
      <c r="CQ439" s="464" t="s">
        <v>1447</v>
      </c>
      <c r="CS439" s="465">
        <v>0</v>
      </c>
      <c r="CT439" s="466">
        <v>0</v>
      </c>
      <c r="CU439" s="466">
        <v>0.95</v>
      </c>
      <c r="CV439" s="467">
        <v>0.95</v>
      </c>
    </row>
    <row r="440" spans="1:100" s="48" customFormat="1" outlineLevel="1" x14ac:dyDescent="0.3">
      <c r="A440" s="202">
        <v>108707000</v>
      </c>
      <c r="B440" s="48">
        <v>400356</v>
      </c>
      <c r="C440" s="48">
        <v>79881</v>
      </c>
      <c r="D440" s="48" t="s">
        <v>308</v>
      </c>
      <c r="E440" s="48" t="s">
        <v>9</v>
      </c>
      <c r="F440" s="48" t="s">
        <v>1498</v>
      </c>
      <c r="G440" s="48" t="s">
        <v>1499</v>
      </c>
      <c r="H440" s="48" t="s">
        <v>1507</v>
      </c>
      <c r="O440" s="454" t="s">
        <v>900</v>
      </c>
      <c r="P440" s="455" t="s">
        <v>900</v>
      </c>
      <c r="Q440" s="347" t="s">
        <v>900</v>
      </c>
      <c r="R440" s="455">
        <v>159</v>
      </c>
      <c r="S440" s="457">
        <v>154</v>
      </c>
      <c r="T440" s="455"/>
      <c r="U440" s="454">
        <v>159</v>
      </c>
      <c r="V440" s="455">
        <v>76.745706546667776</v>
      </c>
      <c r="W440" s="230">
        <v>0.48267739966457723</v>
      </c>
      <c r="X440" s="264" t="s">
        <v>900</v>
      </c>
      <c r="Y440" s="265" t="s">
        <v>900</v>
      </c>
      <c r="Z440" s="265" t="s">
        <v>900</v>
      </c>
      <c r="AA440" s="265" t="s">
        <v>900</v>
      </c>
      <c r="AB440" s="266" t="s">
        <v>900</v>
      </c>
      <c r="AC440" s="265">
        <v>37411.492496071784</v>
      </c>
      <c r="AD440" s="265">
        <v>8324.9605469364324</v>
      </c>
      <c r="AE440" s="265">
        <v>21379.099581160313</v>
      </c>
      <c r="AF440" s="266">
        <v>21442.036160698175</v>
      </c>
      <c r="AG440" s="265">
        <v>37411.492496071784</v>
      </c>
      <c r="AH440" s="265">
        <v>8324.9605469364324</v>
      </c>
      <c r="AI440" s="265">
        <v>21379.099581160313</v>
      </c>
      <c r="AJ440" s="266">
        <v>21442.036160698175</v>
      </c>
      <c r="AK440" s="265">
        <v>37591.784085022256</v>
      </c>
      <c r="AL440" s="265">
        <v>11786.010096037404</v>
      </c>
      <c r="AM440" s="265">
        <v>21459.508499990199</v>
      </c>
      <c r="AN440" s="265">
        <v>21518.544376613623</v>
      </c>
      <c r="AO440" s="266">
        <v>92355.847057663486</v>
      </c>
      <c r="AP440" s="203"/>
      <c r="AQ440" s="264">
        <v>38884.476986824673</v>
      </c>
      <c r="AR440" s="265">
        <v>11628.818496663967</v>
      </c>
      <c r="AS440" s="265">
        <v>22232.923215059724</v>
      </c>
      <c r="AT440" s="265">
        <v>22286.069748899183</v>
      </c>
      <c r="AU440" s="266">
        <v>95032.288447447543</v>
      </c>
      <c r="AV440" s="203"/>
      <c r="AW440" s="324">
        <v>93510.121275192592</v>
      </c>
      <c r="AX440" s="203"/>
      <c r="AY440" s="377">
        <v>0</v>
      </c>
      <c r="AZ440" s="265">
        <v>1522.1671722549509</v>
      </c>
      <c r="BA440" s="265">
        <v>93510.121275192592</v>
      </c>
      <c r="BB440" s="265">
        <v>915.26571683890927</v>
      </c>
      <c r="BC440" s="266">
        <v>92594.85555835368</v>
      </c>
      <c r="BD440" s="264">
        <v>925.94855558353686</v>
      </c>
      <c r="BE440" s="265">
        <v>91668.907002770138</v>
      </c>
      <c r="BF440" s="357">
        <v>0.98031000016560865</v>
      </c>
      <c r="BG440" s="203"/>
      <c r="BJ440" s="458">
        <v>0.98031000016560865</v>
      </c>
      <c r="BK440" s="210"/>
      <c r="BL440" s="458"/>
      <c r="BM440" s="458"/>
      <c r="BN440" s="458"/>
      <c r="BQ440" s="203">
        <v>91606.333080070457</v>
      </c>
      <c r="BR440" s="458">
        <v>0.97964083278729319</v>
      </c>
      <c r="BT440" s="459" t="s">
        <v>900</v>
      </c>
      <c r="BU440" s="460" t="s">
        <v>900</v>
      </c>
      <c r="BV440" s="461">
        <v>91668.907002770138</v>
      </c>
      <c r="BX440" s="462">
        <v>4728.3003046811791</v>
      </c>
      <c r="BY440" s="463">
        <v>5.4195136006633685E-2</v>
      </c>
      <c r="BZ440" s="461">
        <v>61.609965136042874</v>
      </c>
      <c r="CB440" s="203" t="s">
        <v>900</v>
      </c>
      <c r="CC440" s="203">
        <v>1379.3839173396752</v>
      </c>
      <c r="CD440" s="203" t="e">
        <v>#VALUE!</v>
      </c>
      <c r="CE440" s="203" t="s">
        <v>900</v>
      </c>
      <c r="CF440" s="203" t="e">
        <v>#VALUE!</v>
      </c>
      <c r="CH440" s="199"/>
      <c r="CJ440" s="464" t="s">
        <v>1448</v>
      </c>
      <c r="CK440" s="464" t="s">
        <v>1447</v>
      </c>
      <c r="CL440" s="464" t="s">
        <v>1448</v>
      </c>
      <c r="CN440" s="464" t="s">
        <v>1447</v>
      </c>
      <c r="CO440" s="464" t="s">
        <v>1447</v>
      </c>
      <c r="CP440" s="464" t="s">
        <v>1447</v>
      </c>
      <c r="CQ440" s="464" t="s">
        <v>1447</v>
      </c>
      <c r="CS440" s="465">
        <v>0</v>
      </c>
      <c r="CT440" s="466">
        <v>0</v>
      </c>
      <c r="CU440" s="466">
        <v>0.95</v>
      </c>
      <c r="CV440" s="467">
        <v>0.95</v>
      </c>
    </row>
    <row r="441" spans="1:100" s="48" customFormat="1" outlineLevel="1" x14ac:dyDescent="0.3">
      <c r="A441" s="202">
        <v>108512000</v>
      </c>
      <c r="B441" s="48">
        <v>400868</v>
      </c>
      <c r="C441" s="48">
        <v>91238</v>
      </c>
      <c r="D441" s="48" t="s">
        <v>310</v>
      </c>
      <c r="E441" s="48" t="s">
        <v>9</v>
      </c>
      <c r="F441" s="48" t="s">
        <v>1498</v>
      </c>
      <c r="G441" s="48" t="s">
        <v>1499</v>
      </c>
      <c r="H441" s="48" t="s">
        <v>1512</v>
      </c>
      <c r="O441" s="454" t="s">
        <v>900</v>
      </c>
      <c r="P441" s="455" t="s">
        <v>900</v>
      </c>
      <c r="Q441" s="347" t="s">
        <v>900</v>
      </c>
      <c r="R441" s="455">
        <v>106</v>
      </c>
      <c r="S441" s="457">
        <v>70</v>
      </c>
      <c r="T441" s="455"/>
      <c r="U441" s="454">
        <v>106</v>
      </c>
      <c r="V441" s="455">
        <v>34.884412066667174</v>
      </c>
      <c r="W441" s="230">
        <v>0.32909822704402997</v>
      </c>
      <c r="X441" s="264" t="s">
        <v>900</v>
      </c>
      <c r="Y441" s="265" t="s">
        <v>900</v>
      </c>
      <c r="Z441" s="265" t="s">
        <v>900</v>
      </c>
      <c r="AA441" s="265" t="s">
        <v>900</v>
      </c>
      <c r="AB441" s="266" t="s">
        <v>900</v>
      </c>
      <c r="AC441" s="265">
        <v>17005.223861850813</v>
      </c>
      <c r="AD441" s="265">
        <v>3784.0729758801967</v>
      </c>
      <c r="AE441" s="265">
        <v>9717.7725368910524</v>
      </c>
      <c r="AF441" s="266">
        <v>9746.3800730446255</v>
      </c>
      <c r="AG441" s="265">
        <v>17005.223861850813</v>
      </c>
      <c r="AH441" s="265">
        <v>3784.0729758801967</v>
      </c>
      <c r="AI441" s="265">
        <v>9717.7725368910524</v>
      </c>
      <c r="AJ441" s="266">
        <v>9746.3800730446255</v>
      </c>
      <c r="AK441" s="265">
        <v>17185.515450801286</v>
      </c>
      <c r="AL441" s="265">
        <v>7245.1225249811678</v>
      </c>
      <c r="AM441" s="265">
        <v>9798.1814557209382</v>
      </c>
      <c r="AN441" s="265">
        <v>9822.8882889600736</v>
      </c>
      <c r="AO441" s="266">
        <v>44051.707720463462</v>
      </c>
      <c r="AP441" s="203"/>
      <c r="AQ441" s="264">
        <v>16924.484074748216</v>
      </c>
      <c r="AR441" s="265">
        <v>7015.0701045829483</v>
      </c>
      <c r="AS441" s="265">
        <v>9662.4719373542193</v>
      </c>
      <c r="AT441" s="265">
        <v>9428.284282775543</v>
      </c>
      <c r="AU441" s="266">
        <v>43030.310399460926</v>
      </c>
      <c r="AV441" s="203"/>
      <c r="AW441" s="324">
        <v>25162.254539549955</v>
      </c>
      <c r="AX441" s="203"/>
      <c r="AY441" s="377">
        <v>0</v>
      </c>
      <c r="AZ441" s="265">
        <v>4059.3555006744646</v>
      </c>
      <c r="BA441" s="265">
        <v>38970.954898786462</v>
      </c>
      <c r="BB441" s="265">
        <v>381.44297627808987</v>
      </c>
      <c r="BC441" s="266">
        <v>38589.511922508369</v>
      </c>
      <c r="BD441" s="264">
        <v>385.8951192250837</v>
      </c>
      <c r="BE441" s="265">
        <v>38203.616803283287</v>
      </c>
      <c r="BF441" s="357">
        <v>1.5182906898598836</v>
      </c>
      <c r="BG441" s="203"/>
      <c r="BJ441" s="458">
        <v>1.5182906898598836</v>
      </c>
      <c r="BK441" s="210"/>
      <c r="BL441" s="458"/>
      <c r="BM441" s="458"/>
      <c r="BN441" s="458"/>
      <c r="BQ441" s="203">
        <v>38177.538711563218</v>
      </c>
      <c r="BR441" s="458">
        <v>1.5172542925975048</v>
      </c>
      <c r="BT441" s="459" t="s">
        <v>900</v>
      </c>
      <c r="BU441" s="460" t="s">
        <v>900</v>
      </c>
      <c r="BV441" s="461">
        <v>38203.616803283287</v>
      </c>
      <c r="BX441" s="462">
        <v>170.31939413192595</v>
      </c>
      <c r="BY441" s="463">
        <v>4.4737407155808649E-3</v>
      </c>
      <c r="BZ441" s="461">
        <v>4.8823925656660236</v>
      </c>
      <c r="CB441" s="203" t="s">
        <v>900</v>
      </c>
      <c r="CC441" s="203">
        <v>661.30051310401177</v>
      </c>
      <c r="CD441" s="203" t="e">
        <v>#VALUE!</v>
      </c>
      <c r="CE441" s="203" t="s">
        <v>900</v>
      </c>
      <c r="CF441" s="203" t="e">
        <v>#VALUE!</v>
      </c>
      <c r="CH441" s="199"/>
      <c r="CJ441" s="464" t="s">
        <v>1448</v>
      </c>
      <c r="CK441" s="464" t="s">
        <v>1447</v>
      </c>
      <c r="CL441" s="464" t="s">
        <v>1448</v>
      </c>
      <c r="CN441" s="464" t="s">
        <v>1447</v>
      </c>
      <c r="CO441" s="464" t="s">
        <v>1447</v>
      </c>
      <c r="CP441" s="464" t="s">
        <v>1447</v>
      </c>
      <c r="CQ441" s="464" t="s">
        <v>1447</v>
      </c>
      <c r="CS441" s="465">
        <v>0</v>
      </c>
      <c r="CT441" s="466">
        <v>0</v>
      </c>
      <c r="CU441" s="466">
        <v>0.95</v>
      </c>
      <c r="CV441" s="467">
        <v>0.95</v>
      </c>
    </row>
    <row r="442" spans="1:100" s="48" customFormat="1" outlineLevel="1" x14ac:dyDescent="0.3">
      <c r="A442" s="202">
        <v>108601000</v>
      </c>
      <c r="B442" s="48">
        <v>400201</v>
      </c>
      <c r="C442" s="48">
        <v>4420</v>
      </c>
      <c r="D442" s="48" t="s">
        <v>341</v>
      </c>
      <c r="E442" s="48" t="s">
        <v>9</v>
      </c>
      <c r="F442" s="48" t="s">
        <v>1503</v>
      </c>
      <c r="G442" s="48" t="s">
        <v>1502</v>
      </c>
      <c r="H442" s="48" t="s">
        <v>1507</v>
      </c>
      <c r="O442" s="454" t="s">
        <v>900</v>
      </c>
      <c r="P442" s="455" t="s">
        <v>900</v>
      </c>
      <c r="Q442" s="347" t="s">
        <v>900</v>
      </c>
      <c r="R442" s="455">
        <v>24</v>
      </c>
      <c r="S442" s="457">
        <v>24</v>
      </c>
      <c r="T442" s="455"/>
      <c r="U442" s="454">
        <v>24</v>
      </c>
      <c r="V442" s="455">
        <v>11.960369851428744</v>
      </c>
      <c r="W442" s="230">
        <v>0.49834874380953104</v>
      </c>
      <c r="X442" s="264" t="s">
        <v>900</v>
      </c>
      <c r="Y442" s="265" t="s">
        <v>900</v>
      </c>
      <c r="Z442" s="265" t="s">
        <v>900</v>
      </c>
      <c r="AA442" s="265" t="s">
        <v>900</v>
      </c>
      <c r="AB442" s="266" t="s">
        <v>900</v>
      </c>
      <c r="AC442" s="265">
        <v>5830.3624669202782</v>
      </c>
      <c r="AD442" s="265">
        <v>1297.3964488732101</v>
      </c>
      <c r="AE442" s="265">
        <v>3331.8077269340747</v>
      </c>
      <c r="AF442" s="266">
        <v>3341.6160250438716</v>
      </c>
      <c r="AG442" s="265">
        <v>5830.3624669202782</v>
      </c>
      <c r="AH442" s="265">
        <v>1297.3964488732101</v>
      </c>
      <c r="AI442" s="265">
        <v>3331.8077269340747</v>
      </c>
      <c r="AJ442" s="266">
        <v>3341.6160250438716</v>
      </c>
      <c r="AK442" s="265">
        <v>6010.6540558707502</v>
      </c>
      <c r="AL442" s="265">
        <v>4758.4459979741814</v>
      </c>
      <c r="AM442" s="265">
        <v>3412.2166457639601</v>
      </c>
      <c r="AN442" s="265">
        <v>3418.1242409593192</v>
      </c>
      <c r="AO442" s="266">
        <v>17599.440940568209</v>
      </c>
      <c r="AP442" s="203"/>
      <c r="AQ442" s="264">
        <v>14238.130364793531</v>
      </c>
      <c r="AR442" s="265">
        <v>5338.1450782328193</v>
      </c>
      <c r="AS442" s="265">
        <v>7900.6336728773495</v>
      </c>
      <c r="AT442" s="265">
        <v>8139.8873256226889</v>
      </c>
      <c r="AU442" s="266">
        <v>35616.796441526392</v>
      </c>
      <c r="AV442" s="203"/>
      <c r="AW442" s="324">
        <v>36238.336055834014</v>
      </c>
      <c r="AX442" s="203"/>
      <c r="AY442" s="377">
        <v>0</v>
      </c>
      <c r="AZ442" s="265">
        <v>0</v>
      </c>
      <c r="BA442" s="265">
        <v>35616.796441526392</v>
      </c>
      <c r="BB442" s="265">
        <v>348.61288042417874</v>
      </c>
      <c r="BC442" s="266">
        <v>35268.183561102211</v>
      </c>
      <c r="BD442" s="264">
        <v>352.68183561102211</v>
      </c>
      <c r="BE442" s="265">
        <v>34915.501725491187</v>
      </c>
      <c r="BF442" s="357">
        <v>0.96349627288889106</v>
      </c>
      <c r="BG442" s="203"/>
      <c r="BJ442" s="458">
        <v>0.96349627288889106</v>
      </c>
      <c r="BK442" s="210"/>
      <c r="BL442" s="458"/>
      <c r="BM442" s="458"/>
      <c r="BN442" s="458"/>
      <c r="BQ442" s="203">
        <v>34891.668127192417</v>
      </c>
      <c r="BR442" s="458">
        <v>0.96283858269411915</v>
      </c>
      <c r="BT442" s="459" t="s">
        <v>900</v>
      </c>
      <c r="BU442" s="460" t="s">
        <v>900</v>
      </c>
      <c r="BV442" s="461">
        <v>34915.501725491187</v>
      </c>
      <c r="BX442" s="462">
        <v>21212.234471001229</v>
      </c>
      <c r="BY442" s="463">
        <v>1.5600954020186817</v>
      </c>
      <c r="BZ442" s="461">
        <v>1773.5433548041401</v>
      </c>
      <c r="CB442" s="203">
        <v>3615</v>
      </c>
      <c r="CC442" s="203">
        <v>3829.176288603966</v>
      </c>
      <c r="CD442" s="203" t="e">
        <v>#VALUE!</v>
      </c>
      <c r="CE442" s="203" t="s">
        <v>900</v>
      </c>
      <c r="CF442" s="203" t="e">
        <v>#VALUE!</v>
      </c>
      <c r="CH442" s="199"/>
      <c r="CJ442" s="464" t="s">
        <v>1448</v>
      </c>
      <c r="CK442" s="464" t="s">
        <v>1447</v>
      </c>
      <c r="CL442" s="464" t="s">
        <v>1448</v>
      </c>
      <c r="CN442" s="464" t="s">
        <v>1447</v>
      </c>
      <c r="CO442" s="464" t="s">
        <v>1447</v>
      </c>
      <c r="CP442" s="464" t="s">
        <v>1447</v>
      </c>
      <c r="CQ442" s="464" t="s">
        <v>1447</v>
      </c>
      <c r="CS442" s="465">
        <v>0</v>
      </c>
      <c r="CT442" s="466">
        <v>0</v>
      </c>
      <c r="CU442" s="466">
        <v>0.95</v>
      </c>
      <c r="CV442" s="467">
        <v>0.95</v>
      </c>
    </row>
    <row r="443" spans="1:100" s="48" customFormat="1" outlineLevel="1" x14ac:dyDescent="0.3">
      <c r="A443" s="202">
        <v>108799000</v>
      </c>
      <c r="B443" s="48">
        <v>400768</v>
      </c>
      <c r="C443" s="48">
        <v>89864</v>
      </c>
      <c r="D443" s="48" t="s">
        <v>342</v>
      </c>
      <c r="E443" s="48" t="s">
        <v>9</v>
      </c>
      <c r="F443" s="48" t="s">
        <v>1498</v>
      </c>
      <c r="G443" s="48" t="s">
        <v>1502</v>
      </c>
      <c r="H443" s="48" t="s">
        <v>1508</v>
      </c>
      <c r="O443" s="454" t="s">
        <v>900</v>
      </c>
      <c r="P443" s="455" t="s">
        <v>900</v>
      </c>
      <c r="Q443" s="347" t="s">
        <v>900</v>
      </c>
      <c r="R443" s="455">
        <v>102</v>
      </c>
      <c r="S443" s="457">
        <v>92</v>
      </c>
      <c r="T443" s="455"/>
      <c r="U443" s="454">
        <v>102</v>
      </c>
      <c r="V443" s="455">
        <v>45.848084430476852</v>
      </c>
      <c r="W443" s="230">
        <v>0.44949102382820444</v>
      </c>
      <c r="X443" s="264" t="s">
        <v>900</v>
      </c>
      <c r="Y443" s="265" t="s">
        <v>900</v>
      </c>
      <c r="Z443" s="265" t="s">
        <v>900</v>
      </c>
      <c r="AA443" s="265" t="s">
        <v>900</v>
      </c>
      <c r="AB443" s="266" t="s">
        <v>900</v>
      </c>
      <c r="AC443" s="265">
        <v>22349.722789861065</v>
      </c>
      <c r="AD443" s="265">
        <v>4973.3530540139727</v>
      </c>
      <c r="AE443" s="265">
        <v>12771.929619913954</v>
      </c>
      <c r="AF443" s="266">
        <v>12809.528096001508</v>
      </c>
      <c r="AG443" s="265">
        <v>22349.722789861065</v>
      </c>
      <c r="AH443" s="265">
        <v>4973.3530540139727</v>
      </c>
      <c r="AI443" s="265">
        <v>12771.929619913954</v>
      </c>
      <c r="AJ443" s="266">
        <v>12809.528096001508</v>
      </c>
      <c r="AK443" s="265">
        <v>22530.014378811538</v>
      </c>
      <c r="AL443" s="265">
        <v>8434.4026031149442</v>
      </c>
      <c r="AM443" s="265">
        <v>12852.338538743839</v>
      </c>
      <c r="AN443" s="265">
        <v>12886.036311916956</v>
      </c>
      <c r="AO443" s="266">
        <v>56702.791832587282</v>
      </c>
      <c r="AP443" s="203"/>
      <c r="AQ443" s="264">
        <v>30183.055563199567</v>
      </c>
      <c r="AR443" s="265">
        <v>9711.6608834278122</v>
      </c>
      <c r="AS443" s="265">
        <v>17257.72361448692</v>
      </c>
      <c r="AT443" s="265">
        <v>17298.977217676987</v>
      </c>
      <c r="AU443" s="266">
        <v>74451.417278791298</v>
      </c>
      <c r="AV443" s="203"/>
      <c r="AW443" s="324">
        <v>73258.901501668865</v>
      </c>
      <c r="AX443" s="203"/>
      <c r="AY443" s="377">
        <v>0</v>
      </c>
      <c r="AZ443" s="265">
        <v>1192.5157771224331</v>
      </c>
      <c r="BA443" s="265">
        <v>73258.901501668865</v>
      </c>
      <c r="BB443" s="265">
        <v>717.04923577662112</v>
      </c>
      <c r="BC443" s="266">
        <v>72541.852265892245</v>
      </c>
      <c r="BD443" s="264">
        <v>725.41852265892248</v>
      </c>
      <c r="BE443" s="265">
        <v>71816.433743233327</v>
      </c>
      <c r="BF443" s="357">
        <v>0.98031000016560887</v>
      </c>
      <c r="BG443" s="203"/>
      <c r="BJ443" s="458">
        <v>0.98031000016560887</v>
      </c>
      <c r="BK443" s="210"/>
      <c r="BL443" s="458"/>
      <c r="BM443" s="458"/>
      <c r="BN443" s="458"/>
      <c r="BQ443" s="203">
        <v>71767.411276177183</v>
      </c>
      <c r="BR443" s="458">
        <v>0.97964083278729341</v>
      </c>
      <c r="BT443" s="459" t="s">
        <v>900</v>
      </c>
      <c r="BU443" s="460" t="s">
        <v>900</v>
      </c>
      <c r="BV443" s="461">
        <v>71816.433743233327</v>
      </c>
      <c r="BX443" s="462">
        <v>19804.404318245441</v>
      </c>
      <c r="BY443" s="463">
        <v>0.37997054903695848</v>
      </c>
      <c r="BZ443" s="461">
        <v>431.95707223660469</v>
      </c>
      <c r="CB443" s="203" t="s">
        <v>900</v>
      </c>
      <c r="CC443" s="203">
        <v>831.18123724365898</v>
      </c>
      <c r="CD443" s="203" t="e">
        <v>#VALUE!</v>
      </c>
      <c r="CE443" s="203" t="s">
        <v>900</v>
      </c>
      <c r="CF443" s="203" t="e">
        <v>#VALUE!</v>
      </c>
      <c r="CH443" s="199"/>
      <c r="CJ443" s="464" t="s">
        <v>1448</v>
      </c>
      <c r="CK443" s="464" t="s">
        <v>1447</v>
      </c>
      <c r="CL443" s="464" t="s">
        <v>1448</v>
      </c>
      <c r="CN443" s="464" t="s">
        <v>1447</v>
      </c>
      <c r="CO443" s="464" t="s">
        <v>1447</v>
      </c>
      <c r="CP443" s="464" t="s">
        <v>1447</v>
      </c>
      <c r="CQ443" s="464" t="s">
        <v>1447</v>
      </c>
      <c r="CS443" s="465">
        <v>0</v>
      </c>
      <c r="CT443" s="466">
        <v>0</v>
      </c>
      <c r="CU443" s="466">
        <v>0.95</v>
      </c>
      <c r="CV443" s="467">
        <v>0.95</v>
      </c>
    </row>
    <row r="444" spans="1:100" s="48" customFormat="1" outlineLevel="1" x14ac:dyDescent="0.3">
      <c r="A444" s="202">
        <v>108711000</v>
      </c>
      <c r="B444" s="48">
        <v>400367</v>
      </c>
      <c r="C444" s="48">
        <v>79959</v>
      </c>
      <c r="D444" s="48" t="s">
        <v>343</v>
      </c>
      <c r="E444" s="48" t="s">
        <v>9</v>
      </c>
      <c r="F444" s="48" t="s">
        <v>1498</v>
      </c>
      <c r="G444" s="48" t="s">
        <v>1502</v>
      </c>
      <c r="H444" s="48" t="s">
        <v>1508</v>
      </c>
      <c r="O444" s="454" t="s">
        <v>900</v>
      </c>
      <c r="P444" s="455" t="s">
        <v>900</v>
      </c>
      <c r="Q444" s="347" t="s">
        <v>900</v>
      </c>
      <c r="R444" s="455">
        <v>176</v>
      </c>
      <c r="S444" s="457">
        <v>148</v>
      </c>
      <c r="T444" s="455"/>
      <c r="U444" s="454">
        <v>176</v>
      </c>
      <c r="V444" s="455">
        <v>73.755614083810599</v>
      </c>
      <c r="W444" s="230">
        <v>0.41906598911256021</v>
      </c>
      <c r="X444" s="264" t="s">
        <v>900</v>
      </c>
      <c r="Y444" s="265" t="s">
        <v>900</v>
      </c>
      <c r="Z444" s="265" t="s">
        <v>900</v>
      </c>
      <c r="AA444" s="265" t="s">
        <v>900</v>
      </c>
      <c r="AB444" s="266" t="s">
        <v>900</v>
      </c>
      <c r="AC444" s="265">
        <v>35953.90187934172</v>
      </c>
      <c r="AD444" s="265">
        <v>8000.611434718131</v>
      </c>
      <c r="AE444" s="265">
        <v>20546.147649426795</v>
      </c>
      <c r="AF444" s="266">
        <v>20606.632154437211</v>
      </c>
      <c r="AG444" s="265">
        <v>35953.90187934172</v>
      </c>
      <c r="AH444" s="265">
        <v>8000.611434718131</v>
      </c>
      <c r="AI444" s="265">
        <v>20546.147649426795</v>
      </c>
      <c r="AJ444" s="266">
        <v>20606.632154437211</v>
      </c>
      <c r="AK444" s="265">
        <v>36134.193468292193</v>
      </c>
      <c r="AL444" s="265">
        <v>11461.660983819102</v>
      </c>
      <c r="AM444" s="265">
        <v>20626.556568256681</v>
      </c>
      <c r="AN444" s="265">
        <v>20683.140370352659</v>
      </c>
      <c r="AO444" s="266">
        <v>88905.551390720633</v>
      </c>
      <c r="AP444" s="203"/>
      <c r="AQ444" s="264">
        <v>53316.384626839434</v>
      </c>
      <c r="AR444" s="265">
        <v>14564.466091931839</v>
      </c>
      <c r="AS444" s="265">
        <v>29851.197603436827</v>
      </c>
      <c r="AT444" s="265">
        <v>30562.973166017251</v>
      </c>
      <c r="AU444" s="266">
        <v>128295.02148822535</v>
      </c>
      <c r="AV444" s="203"/>
      <c r="AW444" s="324">
        <v>130774.67548062259</v>
      </c>
      <c r="AX444" s="203"/>
      <c r="AY444" s="377">
        <v>0</v>
      </c>
      <c r="AZ444" s="265">
        <v>0</v>
      </c>
      <c r="BA444" s="265">
        <v>128295.02148822535</v>
      </c>
      <c r="BB444" s="265">
        <v>1255.73609795366</v>
      </c>
      <c r="BC444" s="266">
        <v>127039.28539027169</v>
      </c>
      <c r="BD444" s="264">
        <v>1270.392853902717</v>
      </c>
      <c r="BE444" s="265">
        <v>125768.89253636898</v>
      </c>
      <c r="BF444" s="357">
        <v>0.96172207710815272</v>
      </c>
      <c r="BG444" s="203"/>
      <c r="BJ444" s="458">
        <v>0.96172207710815272</v>
      </c>
      <c r="BK444" s="210"/>
      <c r="BL444" s="458"/>
      <c r="BM444" s="458"/>
      <c r="BN444" s="458"/>
      <c r="BQ444" s="203">
        <v>125683.04169318879</v>
      </c>
      <c r="BR444" s="458">
        <v>0.96106559799348723</v>
      </c>
      <c r="BT444" s="459" t="s">
        <v>900</v>
      </c>
      <c r="BU444" s="460" t="s">
        <v>900</v>
      </c>
      <c r="BV444" s="461">
        <v>125768.89253636898</v>
      </c>
      <c r="BX444" s="462">
        <v>42208.470735676907</v>
      </c>
      <c r="BY444" s="463">
        <v>0.5034007771087009</v>
      </c>
      <c r="BZ444" s="461">
        <v>572.27468390018726</v>
      </c>
      <c r="CB444" s="203" t="s">
        <v>900</v>
      </c>
      <c r="CC444" s="203">
        <v>1349.2357463241349</v>
      </c>
      <c r="CD444" s="203" t="e">
        <v>#VALUE!</v>
      </c>
      <c r="CE444" s="203" t="s">
        <v>900</v>
      </c>
      <c r="CF444" s="203" t="e">
        <v>#VALUE!</v>
      </c>
      <c r="CH444" s="199"/>
      <c r="CJ444" s="464" t="s">
        <v>1448</v>
      </c>
      <c r="CK444" s="464" t="s">
        <v>1447</v>
      </c>
      <c r="CL444" s="464" t="s">
        <v>1448</v>
      </c>
      <c r="CN444" s="464" t="s">
        <v>1447</v>
      </c>
      <c r="CO444" s="464" t="s">
        <v>1447</v>
      </c>
      <c r="CP444" s="464" t="s">
        <v>1447</v>
      </c>
      <c r="CQ444" s="464" t="s">
        <v>1447</v>
      </c>
      <c r="CS444" s="465">
        <v>0</v>
      </c>
      <c r="CT444" s="466">
        <v>0</v>
      </c>
      <c r="CU444" s="466">
        <v>0.95</v>
      </c>
      <c r="CV444" s="467">
        <v>0.95</v>
      </c>
    </row>
    <row r="445" spans="1:100" s="48" customFormat="1" outlineLevel="1" x14ac:dyDescent="0.3">
      <c r="A445" s="202">
        <v>108507000</v>
      </c>
      <c r="B445" s="48">
        <v>400821</v>
      </c>
      <c r="C445" s="48">
        <v>90536</v>
      </c>
      <c r="D445" s="48" t="s">
        <v>344</v>
      </c>
      <c r="E445" s="48" t="s">
        <v>9</v>
      </c>
      <c r="F445" s="48" t="s">
        <v>1498</v>
      </c>
      <c r="G445" s="48" t="s">
        <v>1502</v>
      </c>
      <c r="H445" s="48" t="s">
        <v>1508</v>
      </c>
      <c r="O445" s="454" t="s">
        <v>900</v>
      </c>
      <c r="P445" s="455" t="s">
        <v>900</v>
      </c>
      <c r="Q445" s="347" t="s">
        <v>900</v>
      </c>
      <c r="R445" s="455">
        <v>124</v>
      </c>
      <c r="S445" s="457">
        <v>120</v>
      </c>
      <c r="T445" s="455"/>
      <c r="U445" s="454">
        <v>124</v>
      </c>
      <c r="V445" s="455">
        <v>59.801849257143722</v>
      </c>
      <c r="W445" s="230">
        <v>0.4822729778801913</v>
      </c>
      <c r="X445" s="264" t="s">
        <v>900</v>
      </c>
      <c r="Y445" s="265" t="s">
        <v>900</v>
      </c>
      <c r="Z445" s="265" t="s">
        <v>900</v>
      </c>
      <c r="AA445" s="265" t="s">
        <v>900</v>
      </c>
      <c r="AB445" s="266" t="s">
        <v>900</v>
      </c>
      <c r="AC445" s="265">
        <v>29151.812334601389</v>
      </c>
      <c r="AD445" s="265">
        <v>6486.9822443660514</v>
      </c>
      <c r="AE445" s="265">
        <v>16659.038634670374</v>
      </c>
      <c r="AF445" s="266">
        <v>16708.08012521936</v>
      </c>
      <c r="AG445" s="265">
        <v>29151.812334601389</v>
      </c>
      <c r="AH445" s="265">
        <v>6486.9822443660514</v>
      </c>
      <c r="AI445" s="265">
        <v>16659.038634670374</v>
      </c>
      <c r="AJ445" s="266">
        <v>16708.08012521936</v>
      </c>
      <c r="AK445" s="265">
        <v>29332.103923551862</v>
      </c>
      <c r="AL445" s="265">
        <v>9948.031793467022</v>
      </c>
      <c r="AM445" s="265">
        <v>16739.44755350026</v>
      </c>
      <c r="AN445" s="265">
        <v>16784.588341134808</v>
      </c>
      <c r="AO445" s="266">
        <v>72804.171611653946</v>
      </c>
      <c r="AP445" s="203"/>
      <c r="AQ445" s="264">
        <v>41785.817374937542</v>
      </c>
      <c r="AR445" s="265">
        <v>10131.039111323218</v>
      </c>
      <c r="AS445" s="265">
        <v>22727.382780708322</v>
      </c>
      <c r="AT445" s="265">
        <v>23563.864046927385</v>
      </c>
      <c r="AU445" s="266">
        <v>98208.10331389647</v>
      </c>
      <c r="AV445" s="203"/>
      <c r="AW445" s="324">
        <v>102358.40467931952</v>
      </c>
      <c r="AX445" s="203"/>
      <c r="AY445" s="377">
        <v>0</v>
      </c>
      <c r="AZ445" s="265">
        <v>0</v>
      </c>
      <c r="BA445" s="265">
        <v>98208.10331389647</v>
      </c>
      <c r="BB445" s="265">
        <v>961.24899479548867</v>
      </c>
      <c r="BC445" s="266">
        <v>97246.854319100981</v>
      </c>
      <c r="BD445" s="264">
        <v>972.46854319100987</v>
      </c>
      <c r="BE445" s="265">
        <v>96274.385775909977</v>
      </c>
      <c r="BF445" s="357">
        <v>0.94056160876607764</v>
      </c>
      <c r="BG445" s="203"/>
      <c r="BJ445" s="458">
        <v>0.94056160876607764</v>
      </c>
      <c r="BK445" s="210"/>
      <c r="BL445" s="458"/>
      <c r="BM445" s="458"/>
      <c r="BN445" s="458"/>
      <c r="BQ445" s="203">
        <v>96208.668116886096</v>
      </c>
      <c r="BR445" s="458">
        <v>0.93991957395486925</v>
      </c>
      <c r="BT445" s="459" t="s">
        <v>900</v>
      </c>
      <c r="BU445" s="460" t="s">
        <v>900</v>
      </c>
      <c r="BV445" s="461">
        <v>96274.385775909977</v>
      </c>
      <c r="BX445" s="462">
        <v>28488.160163070002</v>
      </c>
      <c r="BY445" s="463">
        <v>0.41904352644353432</v>
      </c>
      <c r="BZ445" s="461">
        <v>476.37590671440489</v>
      </c>
      <c r="CB445" s="203" t="s">
        <v>900</v>
      </c>
      <c r="CC445" s="203">
        <v>1074.9502953912115</v>
      </c>
      <c r="CD445" s="203" t="e">
        <v>#VALUE!</v>
      </c>
      <c r="CE445" s="203" t="s">
        <v>900</v>
      </c>
      <c r="CF445" s="203" t="e">
        <v>#VALUE!</v>
      </c>
      <c r="CH445" s="199"/>
      <c r="CJ445" s="464" t="s">
        <v>1448</v>
      </c>
      <c r="CK445" s="464" t="s">
        <v>1447</v>
      </c>
      <c r="CL445" s="464" t="s">
        <v>1448</v>
      </c>
      <c r="CN445" s="464" t="s">
        <v>1447</v>
      </c>
      <c r="CO445" s="464" t="s">
        <v>1447</v>
      </c>
      <c r="CP445" s="464" t="s">
        <v>1447</v>
      </c>
      <c r="CQ445" s="464" t="s">
        <v>1447</v>
      </c>
      <c r="CS445" s="465">
        <v>0</v>
      </c>
      <c r="CT445" s="466">
        <v>0</v>
      </c>
      <c r="CU445" s="466">
        <v>0.95</v>
      </c>
      <c r="CV445" s="467">
        <v>0.95</v>
      </c>
    </row>
    <row r="446" spans="1:100" s="48" customFormat="1" outlineLevel="1" x14ac:dyDescent="0.3">
      <c r="A446" s="202">
        <v>108744000</v>
      </c>
      <c r="B446" s="48">
        <v>400083</v>
      </c>
      <c r="C446" s="48">
        <v>4431</v>
      </c>
      <c r="D446" s="48" t="s">
        <v>350</v>
      </c>
      <c r="E446" s="48" t="s">
        <v>9</v>
      </c>
      <c r="F446" s="48" t="s">
        <v>1503</v>
      </c>
      <c r="G446" s="48" t="s">
        <v>1502</v>
      </c>
      <c r="H446" s="48" t="s">
        <v>1522</v>
      </c>
      <c r="O446" s="454" t="s">
        <v>900</v>
      </c>
      <c r="P446" s="455" t="s">
        <v>900</v>
      </c>
      <c r="Q446" s="347" t="s">
        <v>900</v>
      </c>
      <c r="R446" s="455">
        <v>427</v>
      </c>
      <c r="S446" s="457">
        <v>423</v>
      </c>
      <c r="T446" s="455"/>
      <c r="U446" s="454">
        <v>427</v>
      </c>
      <c r="V446" s="455">
        <v>210.80151863143163</v>
      </c>
      <c r="W446" s="230">
        <v>0.4936803715021818</v>
      </c>
      <c r="X446" s="264" t="s">
        <v>900</v>
      </c>
      <c r="Y446" s="265" t="s">
        <v>900</v>
      </c>
      <c r="Z446" s="265" t="s">
        <v>900</v>
      </c>
      <c r="AA446" s="265" t="s">
        <v>900</v>
      </c>
      <c r="AB446" s="266" t="s">
        <v>900</v>
      </c>
      <c r="AC446" s="265">
        <v>102760.13847946991</v>
      </c>
      <c r="AD446" s="265">
        <v>22866.612411390332</v>
      </c>
      <c r="AE446" s="265">
        <v>58723.111187213071</v>
      </c>
      <c r="AF446" s="266">
        <v>58895.982441398242</v>
      </c>
      <c r="AG446" s="265">
        <v>102760.13847946991</v>
      </c>
      <c r="AH446" s="265">
        <v>22866.612411390332</v>
      </c>
      <c r="AI446" s="265">
        <v>58723.111187213071</v>
      </c>
      <c r="AJ446" s="266">
        <v>58895.982441398242</v>
      </c>
      <c r="AK446" s="265">
        <v>102940.43006842038</v>
      </c>
      <c r="AL446" s="265">
        <v>26327.661960491303</v>
      </c>
      <c r="AM446" s="265">
        <v>58803.520106042954</v>
      </c>
      <c r="AN446" s="265">
        <v>58972.49065731369</v>
      </c>
      <c r="AO446" s="266">
        <v>247044.10279226833</v>
      </c>
      <c r="AP446" s="203"/>
      <c r="AQ446" s="264">
        <v>121276.06109177487</v>
      </c>
      <c r="AR446" s="265">
        <v>29781.904646993862</v>
      </c>
      <c r="AS446" s="265">
        <v>69341.844432983475</v>
      </c>
      <c r="AT446" s="265">
        <v>69507.602153909349</v>
      </c>
      <c r="AU446" s="266">
        <v>289907.41232566157</v>
      </c>
      <c r="AV446" s="203"/>
      <c r="AW446" s="324">
        <v>285263.85850574553</v>
      </c>
      <c r="AX446" s="203"/>
      <c r="AY446" s="377">
        <v>0</v>
      </c>
      <c r="AZ446" s="265">
        <v>4643.5538199160364</v>
      </c>
      <c r="BA446" s="265">
        <v>285263.85850574553</v>
      </c>
      <c r="BB446" s="265">
        <v>2792.1280218974525</v>
      </c>
      <c r="BC446" s="266">
        <v>282471.73048384808</v>
      </c>
      <c r="BD446" s="264">
        <v>2824.7173048384807</v>
      </c>
      <c r="BE446" s="265">
        <v>279647.01317900961</v>
      </c>
      <c r="BF446" s="357">
        <v>0.98031000016560876</v>
      </c>
      <c r="BG446" s="203"/>
      <c r="BJ446" s="458">
        <v>0.98031000016560876</v>
      </c>
      <c r="BK446" s="210"/>
      <c r="BL446" s="458"/>
      <c r="BM446" s="458"/>
      <c r="BN446" s="458"/>
      <c r="BQ446" s="203">
        <v>279456.12391068519</v>
      </c>
      <c r="BR446" s="458">
        <v>0.97964083278729341</v>
      </c>
      <c r="BT446" s="459" t="s">
        <v>900</v>
      </c>
      <c r="BU446" s="460" t="s">
        <v>900</v>
      </c>
      <c r="BV446" s="461">
        <v>279647.01317900961</v>
      </c>
      <c r="BX446" s="462">
        <v>41161.450247627363</v>
      </c>
      <c r="BY446" s="463">
        <v>0.17176168034893174</v>
      </c>
      <c r="BZ446" s="461">
        <v>195.26164002449445</v>
      </c>
      <c r="CB446" s="203">
        <v>18840</v>
      </c>
      <c r="CC446" s="203">
        <v>22618.925939016281</v>
      </c>
      <c r="CD446" s="203" t="e">
        <v>#VALUE!</v>
      </c>
      <c r="CE446" s="203" t="s">
        <v>900</v>
      </c>
      <c r="CF446" s="203" t="e">
        <v>#VALUE!</v>
      </c>
      <c r="CH446" s="199"/>
      <c r="CJ446" s="464" t="s">
        <v>1448</v>
      </c>
      <c r="CK446" s="464" t="s">
        <v>1447</v>
      </c>
      <c r="CL446" s="464" t="s">
        <v>1448</v>
      </c>
      <c r="CN446" s="464" t="s">
        <v>1447</v>
      </c>
      <c r="CO446" s="464" t="s">
        <v>1447</v>
      </c>
      <c r="CP446" s="464" t="s">
        <v>1447</v>
      </c>
      <c r="CQ446" s="464" t="s">
        <v>1447</v>
      </c>
      <c r="CS446" s="465">
        <v>0</v>
      </c>
      <c r="CT446" s="466">
        <v>0</v>
      </c>
      <c r="CU446" s="466">
        <v>0.95</v>
      </c>
      <c r="CV446" s="467">
        <v>0.95</v>
      </c>
    </row>
    <row r="447" spans="1:100" s="48" customFormat="1" outlineLevel="1" x14ac:dyDescent="0.3">
      <c r="A447" s="202">
        <v>108778000</v>
      </c>
      <c r="B447" s="48">
        <v>400081</v>
      </c>
      <c r="C447" s="48">
        <v>4425</v>
      </c>
      <c r="D447" s="48" t="s">
        <v>354</v>
      </c>
      <c r="E447" s="48" t="s">
        <v>9</v>
      </c>
      <c r="F447" s="48" t="s">
        <v>1498</v>
      </c>
      <c r="G447" s="48" t="s">
        <v>1499</v>
      </c>
      <c r="H447" s="48" t="s">
        <v>1512</v>
      </c>
      <c r="O447" s="454" t="s">
        <v>900</v>
      </c>
      <c r="P447" s="455" t="s">
        <v>900</v>
      </c>
      <c r="Q447" s="347" t="s">
        <v>900</v>
      </c>
      <c r="R447" s="455">
        <v>407</v>
      </c>
      <c r="S447" s="457">
        <v>320</v>
      </c>
      <c r="T447" s="455"/>
      <c r="U447" s="454">
        <v>407</v>
      </c>
      <c r="V447" s="455">
        <v>159.47159801904994</v>
      </c>
      <c r="W447" s="230">
        <v>0.39182210815491386</v>
      </c>
      <c r="X447" s="264" t="s">
        <v>900</v>
      </c>
      <c r="Y447" s="265" t="s">
        <v>900</v>
      </c>
      <c r="Z447" s="265" t="s">
        <v>900</v>
      </c>
      <c r="AA447" s="265" t="s">
        <v>900</v>
      </c>
      <c r="AB447" s="266" t="s">
        <v>900</v>
      </c>
      <c r="AC447" s="265">
        <v>77738.166225603709</v>
      </c>
      <c r="AD447" s="265">
        <v>17298.619318309469</v>
      </c>
      <c r="AE447" s="265">
        <v>44424.10302578767</v>
      </c>
      <c r="AF447" s="266">
        <v>44554.880333918292</v>
      </c>
      <c r="AG447" s="265">
        <v>77738.166225603709</v>
      </c>
      <c r="AH447" s="265">
        <v>17298.619318309469</v>
      </c>
      <c r="AI447" s="265">
        <v>44424.10302578767</v>
      </c>
      <c r="AJ447" s="266">
        <v>44554.880333918292</v>
      </c>
      <c r="AK447" s="265">
        <v>77918.457814554175</v>
      </c>
      <c r="AL447" s="265">
        <v>20759.668867410441</v>
      </c>
      <c r="AM447" s="265">
        <v>44504.511944617552</v>
      </c>
      <c r="AN447" s="265">
        <v>44631.38854983374</v>
      </c>
      <c r="AO447" s="266">
        <v>187814.0271764159</v>
      </c>
      <c r="AP447" s="203"/>
      <c r="AQ447" s="264">
        <v>87286.133655739279</v>
      </c>
      <c r="AR447" s="265">
        <v>22293.007720290108</v>
      </c>
      <c r="AS447" s="265">
        <v>49907.470993245952</v>
      </c>
      <c r="AT447" s="265">
        <v>50026.77195382263</v>
      </c>
      <c r="AU447" s="266">
        <v>209513.38432309797</v>
      </c>
      <c r="AV447" s="203"/>
      <c r="AW447" s="324">
        <v>206998.18747546853</v>
      </c>
      <c r="AX447" s="203"/>
      <c r="AY447" s="377">
        <v>0</v>
      </c>
      <c r="AZ447" s="265">
        <v>2515.1968476294423</v>
      </c>
      <c r="BA447" s="265">
        <v>206998.18747546853</v>
      </c>
      <c r="BB447" s="265">
        <v>2026.0731336935103</v>
      </c>
      <c r="BC447" s="266">
        <v>204972.11434177501</v>
      </c>
      <c r="BD447" s="264">
        <v>2049.7211434177502</v>
      </c>
      <c r="BE447" s="265">
        <v>202922.39319835725</v>
      </c>
      <c r="BF447" s="357">
        <v>0.98031000016560876</v>
      </c>
      <c r="BG447" s="203"/>
      <c r="BJ447" s="458">
        <v>0.98031000016560876</v>
      </c>
      <c r="BK447" s="210"/>
      <c r="BL447" s="458"/>
      <c r="BM447" s="458"/>
      <c r="BN447" s="458"/>
      <c r="BQ447" s="203">
        <v>202783.87676392825</v>
      </c>
      <c r="BR447" s="458">
        <v>0.9796408327872933</v>
      </c>
      <c r="BT447" s="459" t="s">
        <v>900</v>
      </c>
      <c r="BU447" s="460" t="s">
        <v>900</v>
      </c>
      <c r="BV447" s="461">
        <v>202922.39319835725</v>
      </c>
      <c r="BX447" s="462">
        <v>22463.337672288064</v>
      </c>
      <c r="BY447" s="463">
        <v>0.12390826811917952</v>
      </c>
      <c r="BZ447" s="461">
        <v>140.86105583267982</v>
      </c>
      <c r="CB447" s="203">
        <v>18793</v>
      </c>
      <c r="CC447" s="203">
        <v>21737.181387130451</v>
      </c>
      <c r="CD447" s="203" t="e">
        <v>#VALUE!</v>
      </c>
      <c r="CE447" s="203" t="s">
        <v>900</v>
      </c>
      <c r="CF447" s="203" t="e">
        <v>#VALUE!</v>
      </c>
      <c r="CH447" s="199"/>
      <c r="CJ447" s="464" t="s">
        <v>1448</v>
      </c>
      <c r="CK447" s="464" t="s">
        <v>1447</v>
      </c>
      <c r="CL447" s="464" t="s">
        <v>1448</v>
      </c>
      <c r="CN447" s="464" t="s">
        <v>1447</v>
      </c>
      <c r="CO447" s="464" t="s">
        <v>1447</v>
      </c>
      <c r="CP447" s="464" t="s">
        <v>1447</v>
      </c>
      <c r="CQ447" s="464" t="s">
        <v>1447</v>
      </c>
      <c r="CS447" s="465">
        <v>0</v>
      </c>
      <c r="CT447" s="466">
        <v>0</v>
      </c>
      <c r="CU447" s="466">
        <v>0.95</v>
      </c>
      <c r="CV447" s="467">
        <v>0.95</v>
      </c>
    </row>
    <row r="448" spans="1:100" s="48" customFormat="1" outlineLevel="1" x14ac:dyDescent="0.3">
      <c r="A448" s="202">
        <v>108503000</v>
      </c>
      <c r="B448" s="48">
        <v>400774</v>
      </c>
      <c r="C448" s="48">
        <v>89915</v>
      </c>
      <c r="D448" s="48" t="s">
        <v>392</v>
      </c>
      <c r="E448" s="48" t="s">
        <v>9</v>
      </c>
      <c r="F448" s="48" t="s">
        <v>1498</v>
      </c>
      <c r="G448" s="48" t="s">
        <v>1499</v>
      </c>
      <c r="H448" s="48" t="s">
        <v>1510</v>
      </c>
      <c r="O448" s="454" t="s">
        <v>900</v>
      </c>
      <c r="P448" s="455" t="s">
        <v>900</v>
      </c>
      <c r="Q448" s="347" t="s">
        <v>900</v>
      </c>
      <c r="R448" s="455">
        <v>279</v>
      </c>
      <c r="S448" s="457">
        <v>220</v>
      </c>
      <c r="T448" s="455"/>
      <c r="U448" s="454">
        <v>279</v>
      </c>
      <c r="V448" s="455">
        <v>109.63672363809683</v>
      </c>
      <c r="W448" s="230">
        <v>0.39296316716163737</v>
      </c>
      <c r="X448" s="264" t="s">
        <v>900</v>
      </c>
      <c r="Y448" s="265" t="s">
        <v>900</v>
      </c>
      <c r="Z448" s="265" t="s">
        <v>900</v>
      </c>
      <c r="AA448" s="265" t="s">
        <v>900</v>
      </c>
      <c r="AB448" s="266" t="s">
        <v>900</v>
      </c>
      <c r="AC448" s="265">
        <v>53444.989280102549</v>
      </c>
      <c r="AD448" s="265">
        <v>11892.800781337761</v>
      </c>
      <c r="AE448" s="265">
        <v>30541.570830229019</v>
      </c>
      <c r="AF448" s="266">
        <v>30631.480229568824</v>
      </c>
      <c r="AG448" s="265">
        <v>53444.989280102549</v>
      </c>
      <c r="AH448" s="265">
        <v>11892.800781337761</v>
      </c>
      <c r="AI448" s="265">
        <v>30541.570830229019</v>
      </c>
      <c r="AJ448" s="266">
        <v>30631.480229568824</v>
      </c>
      <c r="AK448" s="265">
        <v>53625.280869053022</v>
      </c>
      <c r="AL448" s="265">
        <v>15353.850330438732</v>
      </c>
      <c r="AM448" s="265">
        <v>30621.979749058904</v>
      </c>
      <c r="AN448" s="265">
        <v>30707.988445484272</v>
      </c>
      <c r="AO448" s="266">
        <v>130309.09939403493</v>
      </c>
      <c r="AP448" s="203"/>
      <c r="AQ448" s="264">
        <v>52810.764662276764</v>
      </c>
      <c r="AR448" s="265">
        <v>14866.323664220121</v>
      </c>
      <c r="AS448" s="265">
        <v>30197.850624490202</v>
      </c>
      <c r="AT448" s="265">
        <v>29474.390454140397</v>
      </c>
      <c r="AU448" s="266">
        <v>127349.3294051275</v>
      </c>
      <c r="AV448" s="203"/>
      <c r="AW448" s="324">
        <v>123744.0181950379</v>
      </c>
      <c r="AX448" s="203"/>
      <c r="AY448" s="377">
        <v>0</v>
      </c>
      <c r="AZ448" s="265">
        <v>3605.311210089596</v>
      </c>
      <c r="BA448" s="265">
        <v>123744.0181950379</v>
      </c>
      <c r="BB448" s="265">
        <v>1211.1914301180029</v>
      </c>
      <c r="BC448" s="266">
        <v>122532.8267649199</v>
      </c>
      <c r="BD448" s="264">
        <v>1225.328267649199</v>
      </c>
      <c r="BE448" s="265">
        <v>121307.4984972707</v>
      </c>
      <c r="BF448" s="357">
        <v>0.98031000016560876</v>
      </c>
      <c r="BG448" s="203"/>
      <c r="BJ448" s="458">
        <v>0.98031000016560876</v>
      </c>
      <c r="BK448" s="210"/>
      <c r="BL448" s="458"/>
      <c r="BM448" s="458"/>
      <c r="BN448" s="458"/>
      <c r="BQ448" s="203">
        <v>121224.69303703292</v>
      </c>
      <c r="BR448" s="458">
        <v>0.97964083278729341</v>
      </c>
      <c r="BT448" s="459" t="s">
        <v>900</v>
      </c>
      <c r="BU448" s="460" t="s">
        <v>900</v>
      </c>
      <c r="BV448" s="461">
        <v>121307.4984972707</v>
      </c>
      <c r="BX448" s="462">
        <v>2149.7635505943035</v>
      </c>
      <c r="BY448" s="463">
        <v>1.796688387594134E-2</v>
      </c>
      <c r="BZ448" s="461">
        <v>19.608060869189444</v>
      </c>
      <c r="CB448" s="203" t="s">
        <v>900</v>
      </c>
      <c r="CC448" s="203">
        <v>2023.2982180142483</v>
      </c>
      <c r="CD448" s="203" t="e">
        <v>#VALUE!</v>
      </c>
      <c r="CE448" s="203" t="s">
        <v>900</v>
      </c>
      <c r="CF448" s="203" t="e">
        <v>#VALUE!</v>
      </c>
      <c r="CH448" s="199"/>
      <c r="CJ448" s="464" t="s">
        <v>1448</v>
      </c>
      <c r="CK448" s="464" t="s">
        <v>1447</v>
      </c>
      <c r="CL448" s="464" t="s">
        <v>1448</v>
      </c>
      <c r="CN448" s="464" t="s">
        <v>1447</v>
      </c>
      <c r="CO448" s="464" t="s">
        <v>1447</v>
      </c>
      <c r="CP448" s="464" t="s">
        <v>1447</v>
      </c>
      <c r="CQ448" s="464" t="s">
        <v>1447</v>
      </c>
      <c r="CS448" s="465">
        <v>0</v>
      </c>
      <c r="CT448" s="466">
        <v>0</v>
      </c>
      <c r="CU448" s="466">
        <v>0.95</v>
      </c>
      <c r="CV448" s="467">
        <v>0.95</v>
      </c>
    </row>
    <row r="449" spans="1:100" s="48" customFormat="1" outlineLevel="1" x14ac:dyDescent="0.3">
      <c r="A449" s="202">
        <v>108504000</v>
      </c>
      <c r="B449" s="48">
        <v>400807</v>
      </c>
      <c r="C449" s="48">
        <v>90284</v>
      </c>
      <c r="D449" s="48" t="s">
        <v>393</v>
      </c>
      <c r="E449" s="48" t="s">
        <v>9</v>
      </c>
      <c r="F449" s="48" t="s">
        <v>1498</v>
      </c>
      <c r="G449" s="48" t="s">
        <v>1499</v>
      </c>
      <c r="H449" s="48" t="s">
        <v>1510</v>
      </c>
      <c r="O449" s="454" t="s">
        <v>900</v>
      </c>
      <c r="P449" s="455" t="s">
        <v>900</v>
      </c>
      <c r="Q449" s="347" t="s">
        <v>900</v>
      </c>
      <c r="R449" s="455">
        <v>189</v>
      </c>
      <c r="S449" s="457">
        <v>64</v>
      </c>
      <c r="T449" s="455"/>
      <c r="U449" s="454">
        <v>189</v>
      </c>
      <c r="V449" s="455">
        <v>31.894319603809986</v>
      </c>
      <c r="W449" s="230">
        <v>0.1687530137767724</v>
      </c>
      <c r="X449" s="264" t="s">
        <v>900</v>
      </c>
      <c r="Y449" s="265" t="s">
        <v>900</v>
      </c>
      <c r="Z449" s="265" t="s">
        <v>900</v>
      </c>
      <c r="AA449" s="265" t="s">
        <v>900</v>
      </c>
      <c r="AB449" s="266" t="s">
        <v>900</v>
      </c>
      <c r="AC449" s="265">
        <v>15547.633245120742</v>
      </c>
      <c r="AD449" s="265">
        <v>3459.723863661894</v>
      </c>
      <c r="AE449" s="265">
        <v>8884.8206051575326</v>
      </c>
      <c r="AF449" s="266">
        <v>8910.9760667836581</v>
      </c>
      <c r="AG449" s="265">
        <v>15547.633245120742</v>
      </c>
      <c r="AH449" s="265">
        <v>3459.723863661894</v>
      </c>
      <c r="AI449" s="265">
        <v>8884.8206051575326</v>
      </c>
      <c r="AJ449" s="266">
        <v>8910.9760667836581</v>
      </c>
      <c r="AK449" s="265">
        <v>15727.924834071215</v>
      </c>
      <c r="AL449" s="265">
        <v>6920.7734127628646</v>
      </c>
      <c r="AM449" s="265">
        <v>8965.2295239874184</v>
      </c>
      <c r="AN449" s="265">
        <v>8987.4842826991062</v>
      </c>
      <c r="AO449" s="266">
        <v>40601.412053520602</v>
      </c>
      <c r="AP449" s="203"/>
      <c r="AQ449" s="264">
        <v>15489.032851247071</v>
      </c>
      <c r="AR449" s="265">
        <v>6701.0199621974607</v>
      </c>
      <c r="AS449" s="265">
        <v>8841.0567898687787</v>
      </c>
      <c r="AT449" s="265">
        <v>8626.4400359209485</v>
      </c>
      <c r="AU449" s="266">
        <v>39657.549639234261</v>
      </c>
      <c r="AV449" s="203"/>
      <c r="AW449" s="324">
        <v>38405.024208944815</v>
      </c>
      <c r="AX449" s="203"/>
      <c r="AY449" s="377">
        <v>0</v>
      </c>
      <c r="AZ449" s="265">
        <v>1252.5254302894464</v>
      </c>
      <c r="BA449" s="265">
        <v>38405.024208944815</v>
      </c>
      <c r="BB449" s="265">
        <v>375.90371537824905</v>
      </c>
      <c r="BC449" s="266">
        <v>38029.120493566566</v>
      </c>
      <c r="BD449" s="264">
        <v>380.29120493566569</v>
      </c>
      <c r="BE449" s="265">
        <v>37648.829288630899</v>
      </c>
      <c r="BF449" s="357">
        <v>0.98031000016560876</v>
      </c>
      <c r="BG449" s="203"/>
      <c r="BJ449" s="458">
        <v>0.98031000016560876</v>
      </c>
      <c r="BK449" s="210"/>
      <c r="BL449" s="458"/>
      <c r="BM449" s="458"/>
      <c r="BN449" s="458"/>
      <c r="BQ449" s="203">
        <v>37623.12989926686</v>
      </c>
      <c r="BR449" s="458">
        <v>0.9796408327872933</v>
      </c>
      <c r="BT449" s="459" t="s">
        <v>900</v>
      </c>
      <c r="BU449" s="460" t="s">
        <v>900</v>
      </c>
      <c r="BV449" s="461">
        <v>37648.829288630899</v>
      </c>
      <c r="BX449" s="462">
        <v>2860.5093809805257</v>
      </c>
      <c r="BY449" s="463">
        <v>8.2180380729983252E-2</v>
      </c>
      <c r="BZ449" s="461">
        <v>89.687110949964236</v>
      </c>
      <c r="CB449" s="203" t="s">
        <v>900</v>
      </c>
      <c r="CC449" s="203">
        <v>698.2884062162866</v>
      </c>
      <c r="CD449" s="203" t="e">
        <v>#VALUE!</v>
      </c>
      <c r="CE449" s="203" t="s">
        <v>900</v>
      </c>
      <c r="CF449" s="203" t="e">
        <v>#VALUE!</v>
      </c>
      <c r="CH449" s="199"/>
      <c r="CJ449" s="464" t="s">
        <v>1448</v>
      </c>
      <c r="CK449" s="464" t="s">
        <v>1447</v>
      </c>
      <c r="CL449" s="464" t="s">
        <v>1448</v>
      </c>
      <c r="CN449" s="464" t="s">
        <v>1447</v>
      </c>
      <c r="CO449" s="464" t="s">
        <v>1447</v>
      </c>
      <c r="CP449" s="464" t="s">
        <v>1447</v>
      </c>
      <c r="CQ449" s="464" t="s">
        <v>1447</v>
      </c>
      <c r="CS449" s="465">
        <v>0</v>
      </c>
      <c r="CT449" s="466">
        <v>0.9</v>
      </c>
      <c r="CU449" s="466">
        <v>0</v>
      </c>
      <c r="CV449" s="467">
        <v>0.9</v>
      </c>
    </row>
    <row r="450" spans="1:100" s="48" customFormat="1" outlineLevel="1" x14ac:dyDescent="0.3">
      <c r="A450" s="202">
        <v>108779000</v>
      </c>
      <c r="B450" s="48">
        <v>400259</v>
      </c>
      <c r="C450" s="48">
        <v>79085</v>
      </c>
      <c r="D450" s="48" t="s">
        <v>841</v>
      </c>
      <c r="E450" s="48" t="s">
        <v>9</v>
      </c>
      <c r="F450" s="48" t="s">
        <v>1544</v>
      </c>
      <c r="G450" s="48" t="s">
        <v>900</v>
      </c>
      <c r="H450" s="48" t="s">
        <v>900</v>
      </c>
      <c r="O450" s="454" t="s">
        <v>900</v>
      </c>
      <c r="P450" s="455" t="s">
        <v>900</v>
      </c>
      <c r="Q450" s="347" t="s">
        <v>900</v>
      </c>
      <c r="R450" s="455">
        <v>658</v>
      </c>
      <c r="S450" s="457">
        <v>513</v>
      </c>
      <c r="T450" s="455"/>
      <c r="U450" s="454">
        <v>658</v>
      </c>
      <c r="V450" s="455">
        <v>255.65290557428943</v>
      </c>
      <c r="W450" s="230">
        <v>0.3885302516326587</v>
      </c>
      <c r="X450" s="264"/>
      <c r="Y450" s="265"/>
      <c r="Z450" s="265"/>
      <c r="AA450" s="265"/>
      <c r="AB450" s="266"/>
      <c r="AC450" s="265">
        <v>124623.99773042096</v>
      </c>
      <c r="AD450" s="265">
        <v>27731.849094664871</v>
      </c>
      <c r="AE450" s="265">
        <v>71217.390163215852</v>
      </c>
      <c r="AF450" s="266">
        <v>71427.042535312765</v>
      </c>
      <c r="AG450" s="265">
        <v>124623.99773042096</v>
      </c>
      <c r="AH450" s="265">
        <v>27731.849094664871</v>
      </c>
      <c r="AI450" s="265">
        <v>71217.390163215852</v>
      </c>
      <c r="AJ450" s="266">
        <v>71427.042535312765</v>
      </c>
      <c r="AK450" s="265">
        <v>124804.28931937143</v>
      </c>
      <c r="AL450" s="265">
        <v>31192.898643765842</v>
      </c>
      <c r="AM450" s="265">
        <v>71297.799082045734</v>
      </c>
      <c r="AN450" s="265">
        <v>71503.550751228206</v>
      </c>
      <c r="AO450" s="266">
        <v>298798.5377964112</v>
      </c>
      <c r="AP450" s="203"/>
      <c r="AQ450" s="264">
        <v>122908.63274324923</v>
      </c>
      <c r="AR450" s="265">
        <v>30202.438950711399</v>
      </c>
      <c r="AS450" s="265">
        <v>70310.290326695816</v>
      </c>
      <c r="AT450" s="265">
        <v>68631.117842206426</v>
      </c>
      <c r="AU450" s="266">
        <v>292052.47986286291</v>
      </c>
      <c r="AV450" s="203"/>
      <c r="AW450" s="324">
        <v>207001.96824858751</v>
      </c>
      <c r="AX450" s="203"/>
      <c r="AY450" s="377">
        <v>0</v>
      </c>
      <c r="AZ450" s="265">
        <v>27551.389465035871</v>
      </c>
      <c r="BA450" s="265">
        <v>264501.09039782704</v>
      </c>
      <c r="BB450" s="265">
        <v>2588.9045678295397</v>
      </c>
      <c r="BC450" s="266">
        <v>261912.1858299975</v>
      </c>
      <c r="BD450" s="264">
        <v>2619.121858299975</v>
      </c>
      <c r="BE450" s="265">
        <v>259293.06397169753</v>
      </c>
      <c r="BF450" s="357">
        <v>1.2526115870565731</v>
      </c>
      <c r="BG450" s="203"/>
      <c r="BJ450" s="458">
        <v>1.2526115870565731</v>
      </c>
      <c r="BK450" s="210"/>
      <c r="BL450" s="458"/>
      <c r="BM450" s="458"/>
      <c r="BN450" s="458"/>
      <c r="BQ450" s="203">
        <v>259116.06847047445</v>
      </c>
      <c r="BR450" s="458">
        <v>1.2517565444561543</v>
      </c>
      <c r="BT450" s="459" t="s">
        <v>900</v>
      </c>
      <c r="BU450" s="460" t="s">
        <v>900</v>
      </c>
      <c r="BV450" s="461">
        <v>259293.06397169753</v>
      </c>
      <c r="BX450" s="462">
        <v>-18327.738964944438</v>
      </c>
      <c r="BY450" s="463">
        <v>-0.13313081686133735</v>
      </c>
      <c r="BZ450" s="461">
        <v>-71.689930234798894</v>
      </c>
      <c r="CB450" s="203">
        <v>14138</v>
      </c>
      <c r="CC450" s="203">
        <v>18863.514067372394</v>
      </c>
      <c r="CD450" s="203" t="e">
        <v>#VALUE!</v>
      </c>
      <c r="CE450" s="203" t="s">
        <v>900</v>
      </c>
      <c r="CF450" s="203" t="e">
        <v>#VALUE!</v>
      </c>
      <c r="CH450" s="199"/>
      <c r="CJ450" s="464" t="s">
        <v>1448</v>
      </c>
      <c r="CK450" s="464" t="s">
        <v>1447</v>
      </c>
      <c r="CL450" s="464" t="s">
        <v>1448</v>
      </c>
      <c r="CN450" s="464" t="s">
        <v>1447</v>
      </c>
      <c r="CO450" s="464" t="s">
        <v>1447</v>
      </c>
      <c r="CP450" s="464" t="s">
        <v>1447</v>
      </c>
      <c r="CQ450" s="464" t="s">
        <v>1447</v>
      </c>
      <c r="CS450" s="465">
        <v>0</v>
      </c>
      <c r="CT450" s="466">
        <v>0</v>
      </c>
      <c r="CU450" s="466">
        <v>0.95</v>
      </c>
      <c r="CV450" s="467">
        <v>0.95</v>
      </c>
    </row>
    <row r="451" spans="1:100" s="48" customFormat="1" outlineLevel="1" x14ac:dyDescent="0.3">
      <c r="A451" s="202">
        <v>108227000</v>
      </c>
      <c r="B451" s="48" t="e">
        <v>#N/A</v>
      </c>
      <c r="C451" s="48">
        <v>91992</v>
      </c>
      <c r="D451" s="48" t="s">
        <v>401</v>
      </c>
      <c r="E451" s="48" t="s">
        <v>9</v>
      </c>
      <c r="F451" s="48" t="s">
        <v>1498</v>
      </c>
      <c r="G451" s="48" t="s">
        <v>1499</v>
      </c>
      <c r="H451" s="48" t="s">
        <v>1512</v>
      </c>
      <c r="O451" s="454" t="s">
        <v>900</v>
      </c>
      <c r="P451" s="455" t="s">
        <v>900</v>
      </c>
      <c r="Q451" s="347" t="s">
        <v>900</v>
      </c>
      <c r="R451" s="455">
        <v>42</v>
      </c>
      <c r="S451" s="457">
        <v>38</v>
      </c>
      <c r="T451" s="455"/>
      <c r="U451" s="454">
        <v>42</v>
      </c>
      <c r="V451" s="455">
        <v>18.937252264762179</v>
      </c>
      <c r="W451" s="230">
        <v>0.45088695868481377</v>
      </c>
      <c r="X451" s="264" t="s">
        <v>900</v>
      </c>
      <c r="Y451" s="265" t="s">
        <v>900</v>
      </c>
      <c r="Z451" s="265" t="s">
        <v>900</v>
      </c>
      <c r="AA451" s="265" t="s">
        <v>900</v>
      </c>
      <c r="AB451" s="266" t="s">
        <v>900</v>
      </c>
      <c r="AC451" s="265">
        <v>9231.40723929044</v>
      </c>
      <c r="AD451" s="265">
        <v>2054.2110440492497</v>
      </c>
      <c r="AE451" s="265">
        <v>5275.3622343122852</v>
      </c>
      <c r="AF451" s="266">
        <v>5290.8920396527965</v>
      </c>
      <c r="AG451" s="265">
        <v>9231.40723929044</v>
      </c>
      <c r="AH451" s="265">
        <v>2054.2110440492497</v>
      </c>
      <c r="AI451" s="265">
        <v>5275.3622343122852</v>
      </c>
      <c r="AJ451" s="266">
        <v>5290.8920396527965</v>
      </c>
      <c r="AK451" s="265">
        <v>9411.6988282409129</v>
      </c>
      <c r="AL451" s="265">
        <v>5515.2605931502203</v>
      </c>
      <c r="AM451" s="265">
        <v>5355.771153142171</v>
      </c>
      <c r="AN451" s="265">
        <v>5367.4002555682437</v>
      </c>
      <c r="AO451" s="266">
        <v>25650.130830101545</v>
      </c>
      <c r="AP451" s="203"/>
      <c r="AQ451" s="264">
        <v>10604.857360043094</v>
      </c>
      <c r="AR451" s="265">
        <v>5398.0562536464486</v>
      </c>
      <c r="AS451" s="265">
        <v>6063.5245131981046</v>
      </c>
      <c r="AT451" s="265">
        <v>6078.01902242705</v>
      </c>
      <c r="AU451" s="266">
        <v>28144.457149314694</v>
      </c>
      <c r="AV451" s="203"/>
      <c r="AW451" s="324">
        <v>27693.657011240433</v>
      </c>
      <c r="AX451" s="203"/>
      <c r="AY451" s="377">
        <v>0</v>
      </c>
      <c r="AZ451" s="265">
        <v>450.80013807426076</v>
      </c>
      <c r="BA451" s="265">
        <v>27693.657011240433</v>
      </c>
      <c r="BB451" s="265">
        <v>271.06215338647212</v>
      </c>
      <c r="BC451" s="266">
        <v>27422.594857853961</v>
      </c>
      <c r="BD451" s="264">
        <v>274.2259485785396</v>
      </c>
      <c r="BE451" s="265">
        <v>27148.368909275421</v>
      </c>
      <c r="BF451" s="357">
        <v>0.98031000016560876</v>
      </c>
      <c r="BG451" s="203"/>
      <c r="BJ451" s="458">
        <v>0.98031000016560876</v>
      </c>
      <c r="BK451" s="210"/>
      <c r="BL451" s="458"/>
      <c r="BM451" s="458"/>
      <c r="BN451" s="458"/>
      <c r="BQ451" s="203">
        <v>27129.837217417244</v>
      </c>
      <c r="BR451" s="458">
        <v>0.9796408327872933</v>
      </c>
      <c r="BT451" s="459" t="s">
        <v>900</v>
      </c>
      <c r="BU451" s="460" t="s">
        <v>900</v>
      </c>
      <c r="BV451" s="461">
        <v>27148.368909275421</v>
      </c>
      <c r="BX451" s="462">
        <v>5558.0035608594153</v>
      </c>
      <c r="BY451" s="463">
        <v>0.25817322728901221</v>
      </c>
      <c r="BZ451" s="461">
        <v>293.49577663923117</v>
      </c>
      <c r="CB451" s="203" t="s">
        <v>900</v>
      </c>
      <c r="CC451" s="203">
        <v>343.18130932766189</v>
      </c>
      <c r="CD451" s="203" t="e">
        <v>#VALUE!</v>
      </c>
      <c r="CE451" s="203" t="s">
        <v>900</v>
      </c>
      <c r="CF451" s="203" t="e">
        <v>#VALUE!</v>
      </c>
      <c r="CH451" s="199"/>
      <c r="CJ451" s="464" t="s">
        <v>1448</v>
      </c>
      <c r="CK451" s="464" t="s">
        <v>1447</v>
      </c>
      <c r="CL451" s="464" t="s">
        <v>1448</v>
      </c>
      <c r="CN451" s="464" t="s">
        <v>1447</v>
      </c>
      <c r="CO451" s="464" t="s">
        <v>1447</v>
      </c>
      <c r="CP451" s="464" t="s">
        <v>1447</v>
      </c>
      <c r="CQ451" s="464" t="s">
        <v>1447</v>
      </c>
      <c r="CS451" s="465">
        <v>0</v>
      </c>
      <c r="CT451" s="466">
        <v>0</v>
      </c>
      <c r="CU451" s="466">
        <v>0.95</v>
      </c>
      <c r="CV451" s="467">
        <v>0.95</v>
      </c>
    </row>
    <row r="452" spans="1:100" s="48" customFormat="1" outlineLevel="1" x14ac:dyDescent="0.3">
      <c r="A452" s="202">
        <v>108722000</v>
      </c>
      <c r="B452" s="48">
        <v>400131</v>
      </c>
      <c r="C452" s="48">
        <v>6355</v>
      </c>
      <c r="D452" s="48" t="s">
        <v>412</v>
      </c>
      <c r="E452" s="48" t="s">
        <v>9</v>
      </c>
      <c r="F452" s="48" t="s">
        <v>1498</v>
      </c>
      <c r="G452" s="48" t="s">
        <v>1502</v>
      </c>
      <c r="H452" s="48" t="s">
        <v>1506</v>
      </c>
      <c r="O452" s="454" t="s">
        <v>900</v>
      </c>
      <c r="P452" s="455" t="s">
        <v>900</v>
      </c>
      <c r="Q452" s="347" t="s">
        <v>900</v>
      </c>
      <c r="R452" s="455">
        <v>793</v>
      </c>
      <c r="S452" s="457">
        <v>488</v>
      </c>
      <c r="T452" s="455"/>
      <c r="U452" s="454">
        <v>793</v>
      </c>
      <c r="V452" s="455">
        <v>243.19418697905115</v>
      </c>
      <c r="W452" s="230">
        <v>0.30667615003663451</v>
      </c>
      <c r="X452" s="264" t="s">
        <v>900</v>
      </c>
      <c r="Y452" s="265" t="s">
        <v>900</v>
      </c>
      <c r="Z452" s="265" t="s">
        <v>900</v>
      </c>
      <c r="AA452" s="265" t="s">
        <v>900</v>
      </c>
      <c r="AB452" s="266" t="s">
        <v>900</v>
      </c>
      <c r="AC452" s="265">
        <v>118550.70349404567</v>
      </c>
      <c r="AD452" s="265">
        <v>26380.394460421943</v>
      </c>
      <c r="AE452" s="265">
        <v>67746.757114326188</v>
      </c>
      <c r="AF452" s="266">
        <v>67946.192509225395</v>
      </c>
      <c r="AG452" s="265">
        <v>118550.70349404567</v>
      </c>
      <c r="AH452" s="265">
        <v>26380.394460421943</v>
      </c>
      <c r="AI452" s="265">
        <v>67746.757114326188</v>
      </c>
      <c r="AJ452" s="266">
        <v>67946.192509225395</v>
      </c>
      <c r="AK452" s="265">
        <v>118730.99508299613</v>
      </c>
      <c r="AL452" s="265">
        <v>29841.444009522915</v>
      </c>
      <c r="AM452" s="265">
        <v>67827.166033156071</v>
      </c>
      <c r="AN452" s="265">
        <v>68022.700725140836</v>
      </c>
      <c r="AO452" s="266">
        <v>284422.30585081596</v>
      </c>
      <c r="AP452" s="203"/>
      <c r="AQ452" s="264">
        <v>134600.11264670079</v>
      </c>
      <c r="AR452" s="265">
        <v>32717.552242261725</v>
      </c>
      <c r="AS452" s="265">
        <v>76960.118821360578</v>
      </c>
      <c r="AT452" s="265">
        <v>77144.087592343305</v>
      </c>
      <c r="AU452" s="266">
        <v>321421.87130266638</v>
      </c>
      <c r="AV452" s="203"/>
      <c r="AW452" s="324">
        <v>316273.53878395376</v>
      </c>
      <c r="AX452" s="203"/>
      <c r="AY452" s="377">
        <v>0</v>
      </c>
      <c r="AZ452" s="265">
        <v>5148.3325187126175</v>
      </c>
      <c r="BA452" s="265">
        <v>316273.53878395376</v>
      </c>
      <c r="BB452" s="265">
        <v>3095.6470085240821</v>
      </c>
      <c r="BC452" s="266">
        <v>313177.89177542966</v>
      </c>
      <c r="BD452" s="264">
        <v>3131.7789177542968</v>
      </c>
      <c r="BE452" s="265">
        <v>310046.11285767535</v>
      </c>
      <c r="BF452" s="357">
        <v>0.98031000016560865</v>
      </c>
      <c r="BG452" s="203"/>
      <c r="BJ452" s="458">
        <v>0.98031000016560865</v>
      </c>
      <c r="BK452" s="210"/>
      <c r="BL452" s="458"/>
      <c r="BM452" s="458"/>
      <c r="BN452" s="458"/>
      <c r="BQ452" s="203">
        <v>309834.47292289679</v>
      </c>
      <c r="BR452" s="458">
        <v>0.97964083278729341</v>
      </c>
      <c r="BT452" s="459" t="s">
        <v>900</v>
      </c>
      <c r="BU452" s="460" t="s">
        <v>900</v>
      </c>
      <c r="BV452" s="461">
        <v>310046.11285767535</v>
      </c>
      <c r="BX452" s="462">
        <v>34941.880204493704</v>
      </c>
      <c r="BY452" s="463">
        <v>0.1263870066242952</v>
      </c>
      <c r="BZ452" s="461">
        <v>143.6789285078743</v>
      </c>
      <c r="CB452" s="203">
        <v>13356</v>
      </c>
      <c r="CC452" s="203">
        <v>18021.167861598573</v>
      </c>
      <c r="CD452" s="203" t="e">
        <v>#VALUE!</v>
      </c>
      <c r="CE452" s="203" t="s">
        <v>900</v>
      </c>
      <c r="CF452" s="203" t="e">
        <v>#VALUE!</v>
      </c>
      <c r="CH452" s="199"/>
      <c r="CJ452" s="464" t="s">
        <v>1448</v>
      </c>
      <c r="CK452" s="464" t="s">
        <v>1447</v>
      </c>
      <c r="CL452" s="464" t="s">
        <v>1448</v>
      </c>
      <c r="CN452" s="464" t="s">
        <v>1447</v>
      </c>
      <c r="CO452" s="464" t="s">
        <v>1447</v>
      </c>
      <c r="CP452" s="464" t="s">
        <v>1447</v>
      </c>
      <c r="CQ452" s="464" t="s">
        <v>1447</v>
      </c>
      <c r="CS452" s="465">
        <v>0</v>
      </c>
      <c r="CT452" s="466">
        <v>0</v>
      </c>
      <c r="CU452" s="466">
        <v>0.95</v>
      </c>
      <c r="CV452" s="467">
        <v>0.95</v>
      </c>
    </row>
    <row r="453" spans="1:100" s="48" customFormat="1" outlineLevel="1" x14ac:dyDescent="0.3">
      <c r="A453" s="202">
        <v>108714000</v>
      </c>
      <c r="B453" s="48">
        <v>400373</v>
      </c>
      <c r="C453" s="48">
        <v>79979</v>
      </c>
      <c r="D453" s="48" t="s">
        <v>421</v>
      </c>
      <c r="E453" s="48" t="s">
        <v>9</v>
      </c>
      <c r="F453" s="48" t="s">
        <v>1503</v>
      </c>
      <c r="G453" s="48" t="s">
        <v>1502</v>
      </c>
      <c r="H453" s="48" t="s">
        <v>1512</v>
      </c>
      <c r="O453" s="454" t="s">
        <v>900</v>
      </c>
      <c r="P453" s="455" t="s">
        <v>900</v>
      </c>
      <c r="Q453" s="347" t="s">
        <v>900</v>
      </c>
      <c r="R453" s="455">
        <v>520</v>
      </c>
      <c r="S453" s="457">
        <v>403</v>
      </c>
      <c r="T453" s="455"/>
      <c r="U453" s="454">
        <v>520</v>
      </c>
      <c r="V453" s="455">
        <v>200.83454375524101</v>
      </c>
      <c r="W453" s="230">
        <v>0.38622027645238655</v>
      </c>
      <c r="X453" s="264" t="s">
        <v>900</v>
      </c>
      <c r="Y453" s="265" t="s">
        <v>900</v>
      </c>
      <c r="Z453" s="265" t="s">
        <v>900</v>
      </c>
      <c r="AA453" s="265" t="s">
        <v>900</v>
      </c>
      <c r="AB453" s="266" t="s">
        <v>900</v>
      </c>
      <c r="AC453" s="265">
        <v>97901.503090369675</v>
      </c>
      <c r="AD453" s="265">
        <v>21785.448703995989</v>
      </c>
      <c r="AE453" s="265">
        <v>55946.604748101345</v>
      </c>
      <c r="AF453" s="266">
        <v>56111.302420528351</v>
      </c>
      <c r="AG453" s="265">
        <v>97901.503090369675</v>
      </c>
      <c r="AH453" s="265">
        <v>21785.448703995989</v>
      </c>
      <c r="AI453" s="265">
        <v>55946.604748101345</v>
      </c>
      <c r="AJ453" s="266">
        <v>56111.302420528351</v>
      </c>
      <c r="AK453" s="265">
        <v>98081.794679320141</v>
      </c>
      <c r="AL453" s="265">
        <v>25246.498253096961</v>
      </c>
      <c r="AM453" s="265">
        <v>56027.013666931227</v>
      </c>
      <c r="AN453" s="265">
        <v>56187.810636443799</v>
      </c>
      <c r="AO453" s="266">
        <v>235543.1172357921</v>
      </c>
      <c r="AP453" s="203"/>
      <c r="AQ453" s="264">
        <v>101425.94346913008</v>
      </c>
      <c r="AR453" s="265">
        <v>25408.388841798871</v>
      </c>
      <c r="AS453" s="265">
        <v>57992.17034417676</v>
      </c>
      <c r="AT453" s="265">
        <v>58130.797317058707</v>
      </c>
      <c r="AU453" s="266">
        <v>242957.29997216444</v>
      </c>
      <c r="AV453" s="203"/>
      <c r="AW453" s="324">
        <v>239065.76339739445</v>
      </c>
      <c r="AX453" s="203"/>
      <c r="AY453" s="377">
        <v>0</v>
      </c>
      <c r="AZ453" s="265">
        <v>3891.536574769998</v>
      </c>
      <c r="BA453" s="265">
        <v>239065.76339739445</v>
      </c>
      <c r="BB453" s="265">
        <v>2339.9466744741067</v>
      </c>
      <c r="BC453" s="266">
        <v>236725.81672292034</v>
      </c>
      <c r="BD453" s="264">
        <v>2367.2581672292035</v>
      </c>
      <c r="BE453" s="265">
        <v>234358.55855569112</v>
      </c>
      <c r="BF453" s="357">
        <v>0.98031000016560876</v>
      </c>
      <c r="BG453" s="203"/>
      <c r="BJ453" s="458">
        <v>0.98031000016560876</v>
      </c>
      <c r="BK453" s="210"/>
      <c r="BL453" s="458"/>
      <c r="BM453" s="458"/>
      <c r="BN453" s="458"/>
      <c r="BQ453" s="203">
        <v>234198.58354555353</v>
      </c>
      <c r="BR453" s="458">
        <v>0.9796408327872933</v>
      </c>
      <c r="BT453" s="459" t="s">
        <v>900</v>
      </c>
      <c r="BU453" s="460" t="s">
        <v>900</v>
      </c>
      <c r="BV453" s="461">
        <v>234358.55855569112</v>
      </c>
      <c r="BX453" s="462">
        <v>7140.2786156318034</v>
      </c>
      <c r="BY453" s="463">
        <v>3.1274191552938146E-2</v>
      </c>
      <c r="BZ453" s="461">
        <v>35.553040239600065</v>
      </c>
      <c r="CB453" s="203" t="s">
        <v>900</v>
      </c>
      <c r="CC453" s="203">
        <v>3715.390778004537</v>
      </c>
      <c r="CD453" s="203" t="e">
        <v>#VALUE!</v>
      </c>
      <c r="CE453" s="203" t="s">
        <v>900</v>
      </c>
      <c r="CF453" s="203" t="e">
        <v>#VALUE!</v>
      </c>
      <c r="CH453" s="199"/>
      <c r="CJ453" s="464" t="s">
        <v>1448</v>
      </c>
      <c r="CK453" s="464" t="s">
        <v>1447</v>
      </c>
      <c r="CL453" s="464" t="s">
        <v>1448</v>
      </c>
      <c r="CN453" s="464" t="s">
        <v>1447</v>
      </c>
      <c r="CO453" s="464" t="s">
        <v>1447</v>
      </c>
      <c r="CP453" s="464" t="s">
        <v>1447</v>
      </c>
      <c r="CQ453" s="464" t="s">
        <v>1447</v>
      </c>
      <c r="CS453" s="465">
        <v>0</v>
      </c>
      <c r="CT453" s="466">
        <v>0</v>
      </c>
      <c r="CU453" s="466">
        <v>0.95</v>
      </c>
      <c r="CV453" s="467">
        <v>0.95</v>
      </c>
    </row>
    <row r="454" spans="1:100" s="48" customFormat="1" outlineLevel="1" x14ac:dyDescent="0.3">
      <c r="A454" s="202">
        <v>108768000</v>
      </c>
      <c r="B454" s="48">
        <v>400159</v>
      </c>
      <c r="C454" s="48">
        <v>6374</v>
      </c>
      <c r="D454" s="48" t="s">
        <v>422</v>
      </c>
      <c r="E454" s="48" t="s">
        <v>9</v>
      </c>
      <c r="F454" s="48" t="s">
        <v>1503</v>
      </c>
      <c r="G454" s="48" t="s">
        <v>1502</v>
      </c>
      <c r="H454" s="48" t="s">
        <v>1512</v>
      </c>
      <c r="O454" s="454" t="s">
        <v>900</v>
      </c>
      <c r="P454" s="455" t="s">
        <v>900</v>
      </c>
      <c r="Q454" s="347" t="s">
        <v>900</v>
      </c>
      <c r="R454" s="455">
        <v>65</v>
      </c>
      <c r="S454" s="457">
        <v>65</v>
      </c>
      <c r="T454" s="455"/>
      <c r="U454" s="454">
        <v>65</v>
      </c>
      <c r="V454" s="455">
        <v>32.392668347619519</v>
      </c>
      <c r="W454" s="230">
        <v>0.49834874380953109</v>
      </c>
      <c r="X454" s="264" t="s">
        <v>900</v>
      </c>
      <c r="Y454" s="265" t="s">
        <v>900</v>
      </c>
      <c r="Z454" s="265" t="s">
        <v>900</v>
      </c>
      <c r="AA454" s="265" t="s">
        <v>900</v>
      </c>
      <c r="AB454" s="266" t="s">
        <v>900</v>
      </c>
      <c r="AC454" s="265">
        <v>15790.565014575755</v>
      </c>
      <c r="AD454" s="265">
        <v>3513.7820490316112</v>
      </c>
      <c r="AE454" s="265">
        <v>9023.6459271131207</v>
      </c>
      <c r="AF454" s="266">
        <v>9050.2100678271527</v>
      </c>
      <c r="AG454" s="265">
        <v>15790.565014575755</v>
      </c>
      <c r="AH454" s="265">
        <v>3513.7820490316112</v>
      </c>
      <c r="AI454" s="265">
        <v>9023.6459271131207</v>
      </c>
      <c r="AJ454" s="266">
        <v>9050.2100678271527</v>
      </c>
      <c r="AK454" s="265">
        <v>15970.856603526228</v>
      </c>
      <c r="AL454" s="265">
        <v>6974.8315981325823</v>
      </c>
      <c r="AM454" s="265">
        <v>9104.0548459430065</v>
      </c>
      <c r="AN454" s="265">
        <v>9126.7182837426008</v>
      </c>
      <c r="AO454" s="266">
        <v>41176.461331344413</v>
      </c>
      <c r="AP454" s="203"/>
      <c r="AQ454" s="264">
        <v>20428.62182774724</v>
      </c>
      <c r="AR454" s="265">
        <v>7375.1250422962394</v>
      </c>
      <c r="AS454" s="265">
        <v>11194.19910128881</v>
      </c>
      <c r="AT454" s="265">
        <v>11520.111311831166</v>
      </c>
      <c r="AU454" s="266">
        <v>50518.057283163449</v>
      </c>
      <c r="AV454" s="203"/>
      <c r="AW454" s="324">
        <v>51658.067746015469</v>
      </c>
      <c r="AX454" s="203"/>
      <c r="AY454" s="377">
        <v>0</v>
      </c>
      <c r="AZ454" s="265">
        <v>0</v>
      </c>
      <c r="BA454" s="265">
        <v>50518.057283163449</v>
      </c>
      <c r="BB454" s="265">
        <v>494.4646128359804</v>
      </c>
      <c r="BC454" s="266">
        <v>50023.592670327467</v>
      </c>
      <c r="BD454" s="264">
        <v>500.23592670327469</v>
      </c>
      <c r="BE454" s="265">
        <v>49523.356743624194</v>
      </c>
      <c r="BF454" s="357">
        <v>0.95867613529629292</v>
      </c>
      <c r="BG454" s="203"/>
      <c r="BJ454" s="458">
        <v>0.95867613529629292</v>
      </c>
      <c r="BK454" s="210"/>
      <c r="BL454" s="458"/>
      <c r="BM454" s="458"/>
      <c r="BN454" s="458"/>
      <c r="BQ454" s="203">
        <v>49489.551707674429</v>
      </c>
      <c r="BR454" s="458">
        <v>0.95802173536565727</v>
      </c>
      <c r="BT454" s="459" t="s">
        <v>900</v>
      </c>
      <c r="BU454" s="460" t="s">
        <v>900</v>
      </c>
      <c r="BV454" s="461">
        <v>49523.356743624194</v>
      </c>
      <c r="BX454" s="462">
        <v>12722.159356922231</v>
      </c>
      <c r="BY454" s="463">
        <v>0.34548043216562141</v>
      </c>
      <c r="BZ454" s="461">
        <v>392.74811264065443</v>
      </c>
      <c r="CB454" s="203">
        <v>4385</v>
      </c>
      <c r="CC454" s="203">
        <v>4965.0607816357406</v>
      </c>
      <c r="CD454" s="203" t="e">
        <v>#VALUE!</v>
      </c>
      <c r="CE454" s="203" t="s">
        <v>900</v>
      </c>
      <c r="CF454" s="203" t="e">
        <v>#VALUE!</v>
      </c>
      <c r="CH454" s="199"/>
      <c r="CJ454" s="464" t="s">
        <v>1448</v>
      </c>
      <c r="CK454" s="464" t="s">
        <v>1447</v>
      </c>
      <c r="CL454" s="464" t="s">
        <v>1448</v>
      </c>
      <c r="CN454" s="464" t="s">
        <v>1447</v>
      </c>
      <c r="CO454" s="464" t="s">
        <v>1447</v>
      </c>
      <c r="CP454" s="464" t="s">
        <v>1447</v>
      </c>
      <c r="CQ454" s="464" t="s">
        <v>1447</v>
      </c>
      <c r="CS454" s="465">
        <v>0</v>
      </c>
      <c r="CT454" s="466">
        <v>0</v>
      </c>
      <c r="CU454" s="466">
        <v>0.95</v>
      </c>
      <c r="CV454" s="467">
        <v>0.95</v>
      </c>
    </row>
    <row r="455" spans="1:100" s="48" customFormat="1" outlineLevel="1" x14ac:dyDescent="0.3">
      <c r="A455" s="202">
        <v>108720000</v>
      </c>
      <c r="B455" s="48">
        <v>400407</v>
      </c>
      <c r="C455" s="48">
        <v>85448</v>
      </c>
      <c r="D455" s="48" t="s">
        <v>423</v>
      </c>
      <c r="E455" s="48" t="s">
        <v>9</v>
      </c>
      <c r="F455" s="48" t="s">
        <v>1498</v>
      </c>
      <c r="G455" s="48" t="s">
        <v>1499</v>
      </c>
      <c r="H455" s="48" t="s">
        <v>1512</v>
      </c>
      <c r="O455" s="454" t="s">
        <v>900</v>
      </c>
      <c r="P455" s="455" t="s">
        <v>900</v>
      </c>
      <c r="Q455" s="347" t="s">
        <v>900</v>
      </c>
      <c r="R455" s="455">
        <v>159</v>
      </c>
      <c r="S455" s="457">
        <v>83</v>
      </c>
      <c r="T455" s="455"/>
      <c r="U455" s="454">
        <v>159</v>
      </c>
      <c r="V455" s="455">
        <v>41.36294573619108</v>
      </c>
      <c r="W455" s="230">
        <v>0.26014431280623318</v>
      </c>
      <c r="X455" s="264" t="s">
        <v>900</v>
      </c>
      <c r="Y455" s="265" t="s">
        <v>900</v>
      </c>
      <c r="Z455" s="265" t="s">
        <v>900</v>
      </c>
      <c r="AA455" s="265" t="s">
        <v>900</v>
      </c>
      <c r="AB455" s="266" t="s">
        <v>900</v>
      </c>
      <c r="AC455" s="265">
        <v>20163.336864765963</v>
      </c>
      <c r="AD455" s="265">
        <v>4486.8293856865193</v>
      </c>
      <c r="AE455" s="265">
        <v>11522.501722313677</v>
      </c>
      <c r="AF455" s="266">
        <v>11556.422086610057</v>
      </c>
      <c r="AG455" s="265">
        <v>20163.336864765963</v>
      </c>
      <c r="AH455" s="265">
        <v>4486.8293856865193</v>
      </c>
      <c r="AI455" s="265">
        <v>11522.501722313677</v>
      </c>
      <c r="AJ455" s="266">
        <v>11556.422086610057</v>
      </c>
      <c r="AK455" s="265">
        <v>20343.628453716436</v>
      </c>
      <c r="AL455" s="265">
        <v>7947.8789347874899</v>
      </c>
      <c r="AM455" s="265">
        <v>11602.910641143562</v>
      </c>
      <c r="AN455" s="265">
        <v>11632.930302525505</v>
      </c>
      <c r="AO455" s="266">
        <v>51527.348332172995</v>
      </c>
      <c r="AP455" s="203"/>
      <c r="AQ455" s="264">
        <v>22224.035833761798</v>
      </c>
      <c r="AR455" s="265">
        <v>7695.5120797515019</v>
      </c>
      <c r="AS455" s="265">
        <v>12087.693888908581</v>
      </c>
      <c r="AT455" s="265">
        <v>12532.581432160827</v>
      </c>
      <c r="AU455" s="266">
        <v>54539.823234582705</v>
      </c>
      <c r="AV455" s="203"/>
      <c r="AW455" s="324">
        <v>58786.105642819224</v>
      </c>
      <c r="AX455" s="203"/>
      <c r="AY455" s="377">
        <v>0</v>
      </c>
      <c r="AZ455" s="265">
        <v>0</v>
      </c>
      <c r="BA455" s="265">
        <v>54539.823234582705</v>
      </c>
      <c r="BB455" s="265">
        <v>533.82916980892276</v>
      </c>
      <c r="BC455" s="266">
        <v>54005.994064773782</v>
      </c>
      <c r="BD455" s="264">
        <v>540.05994064773779</v>
      </c>
      <c r="BE455" s="265">
        <v>53465.934124126041</v>
      </c>
      <c r="BF455" s="357">
        <v>0.90949950740029928</v>
      </c>
      <c r="BG455" s="203"/>
      <c r="BJ455" s="458">
        <v>0.90949950740029928</v>
      </c>
      <c r="BK455" s="210"/>
      <c r="BL455" s="458"/>
      <c r="BM455" s="458"/>
      <c r="BN455" s="458"/>
      <c r="BQ455" s="203">
        <v>53429.437853598371</v>
      </c>
      <c r="BR455" s="458">
        <v>0.9088786758257531</v>
      </c>
      <c r="BT455" s="459" t="s">
        <v>900</v>
      </c>
      <c r="BU455" s="460" t="s">
        <v>900</v>
      </c>
      <c r="BV455" s="461">
        <v>53465.934124126041</v>
      </c>
      <c r="BX455" s="462">
        <v>8401.8521283891605</v>
      </c>
      <c r="BY455" s="463">
        <v>0.18612370451698057</v>
      </c>
      <c r="BZ455" s="461">
        <v>203.12509128279623</v>
      </c>
      <c r="CB455" s="203" t="s">
        <v>900</v>
      </c>
      <c r="CC455" s="203">
        <v>818.00119314498738</v>
      </c>
      <c r="CD455" s="203" t="e">
        <v>#VALUE!</v>
      </c>
      <c r="CE455" s="203" t="s">
        <v>900</v>
      </c>
      <c r="CF455" s="203" t="e">
        <v>#VALUE!</v>
      </c>
      <c r="CH455" s="199"/>
      <c r="CJ455" s="464" t="s">
        <v>1448</v>
      </c>
      <c r="CK455" s="464" t="s">
        <v>1447</v>
      </c>
      <c r="CL455" s="464" t="s">
        <v>1448</v>
      </c>
      <c r="CN455" s="464" t="s">
        <v>1447</v>
      </c>
      <c r="CO455" s="464" t="s">
        <v>1447</v>
      </c>
      <c r="CP455" s="464" t="s">
        <v>1447</v>
      </c>
      <c r="CQ455" s="464" t="s">
        <v>1447</v>
      </c>
      <c r="CS455" s="465">
        <v>0</v>
      </c>
      <c r="CT455" s="466">
        <v>0.9</v>
      </c>
      <c r="CU455" s="466">
        <v>0</v>
      </c>
      <c r="CV455" s="467">
        <v>0.9</v>
      </c>
    </row>
    <row r="456" spans="1:100" s="48" customFormat="1" outlineLevel="1" x14ac:dyDescent="0.3">
      <c r="A456" s="202">
        <v>108660000</v>
      </c>
      <c r="B456" s="48">
        <v>400079</v>
      </c>
      <c r="C456" s="48">
        <v>4422</v>
      </c>
      <c r="D456" s="48" t="s">
        <v>425</v>
      </c>
      <c r="E456" s="48" t="s">
        <v>9</v>
      </c>
      <c r="F456" s="48" t="s">
        <v>1498</v>
      </c>
      <c r="G456" s="48" t="s">
        <v>1499</v>
      </c>
      <c r="H456" s="48" t="s">
        <v>1506</v>
      </c>
      <c r="O456" s="454" t="s">
        <v>900</v>
      </c>
      <c r="P456" s="455" t="s">
        <v>900</v>
      </c>
      <c r="Q456" s="347" t="s">
        <v>900</v>
      </c>
      <c r="R456" s="455">
        <v>85</v>
      </c>
      <c r="S456" s="457">
        <v>85</v>
      </c>
      <c r="T456" s="455"/>
      <c r="U456" s="454">
        <v>85</v>
      </c>
      <c r="V456" s="455">
        <v>42.359643223810139</v>
      </c>
      <c r="W456" s="230">
        <v>0.49834874380953104</v>
      </c>
      <c r="X456" s="264" t="s">
        <v>900</v>
      </c>
      <c r="Y456" s="265" t="s">
        <v>900</v>
      </c>
      <c r="Z456" s="265" t="s">
        <v>900</v>
      </c>
      <c r="AA456" s="265" t="s">
        <v>900</v>
      </c>
      <c r="AB456" s="266" t="s">
        <v>900</v>
      </c>
      <c r="AC456" s="265">
        <v>20649.200403675986</v>
      </c>
      <c r="AD456" s="265">
        <v>4594.9457564259528</v>
      </c>
      <c r="AE456" s="265">
        <v>11800.152366224849</v>
      </c>
      <c r="AF456" s="266">
        <v>11834.890088697046</v>
      </c>
      <c r="AG456" s="265">
        <v>20649.200403675986</v>
      </c>
      <c r="AH456" s="265">
        <v>4594.9457564259528</v>
      </c>
      <c r="AI456" s="265">
        <v>11800.152366224849</v>
      </c>
      <c r="AJ456" s="266">
        <v>11834.890088697046</v>
      </c>
      <c r="AK456" s="265">
        <v>20829.491992626459</v>
      </c>
      <c r="AL456" s="265">
        <v>8055.9953055269234</v>
      </c>
      <c r="AM456" s="265">
        <v>11880.561285054735</v>
      </c>
      <c r="AN456" s="265">
        <v>11911.398304612494</v>
      </c>
      <c r="AO456" s="266">
        <v>52677.44688782061</v>
      </c>
      <c r="AP456" s="203"/>
      <c r="AQ456" s="264">
        <v>32255.718675390384</v>
      </c>
      <c r="AR456" s="265">
        <v>8213.8814980870593</v>
      </c>
      <c r="AS456" s="265">
        <v>17543.944602652038</v>
      </c>
      <c r="AT456" s="265">
        <v>18189.649439733421</v>
      </c>
      <c r="AU456" s="266">
        <v>76203.19421586291</v>
      </c>
      <c r="AV456" s="203"/>
      <c r="AW456" s="324">
        <v>79423.562091137224</v>
      </c>
      <c r="AX456" s="203"/>
      <c r="AY456" s="377">
        <v>0</v>
      </c>
      <c r="AZ456" s="265">
        <v>0</v>
      </c>
      <c r="BA456" s="265">
        <v>76203.19421586291</v>
      </c>
      <c r="BB456" s="265">
        <v>745.86761548666107</v>
      </c>
      <c r="BC456" s="266">
        <v>75457.326600376255</v>
      </c>
      <c r="BD456" s="264">
        <v>754.57326600376257</v>
      </c>
      <c r="BE456" s="265">
        <v>74702.753334372494</v>
      </c>
      <c r="BF456" s="357">
        <v>0.94056160876607775</v>
      </c>
      <c r="BG456" s="203"/>
      <c r="BJ456" s="458">
        <v>0.94056160876607775</v>
      </c>
      <c r="BK456" s="210"/>
      <c r="BL456" s="458"/>
      <c r="BM456" s="458"/>
      <c r="BN456" s="458"/>
      <c r="BQ456" s="203">
        <v>74651.760642679801</v>
      </c>
      <c r="BR456" s="458">
        <v>0.93991957395486925</v>
      </c>
      <c r="BT456" s="459" t="s">
        <v>900</v>
      </c>
      <c r="BU456" s="460" t="s">
        <v>900</v>
      </c>
      <c r="BV456" s="461">
        <v>74702.753334372494</v>
      </c>
      <c r="BX456" s="462">
        <v>26634.272956347631</v>
      </c>
      <c r="BY456" s="463">
        <v>0.55309266644360278</v>
      </c>
      <c r="BZ456" s="461">
        <v>628.7652805672509</v>
      </c>
      <c r="CB456" s="203">
        <v>5550</v>
      </c>
      <c r="CC456" s="203">
        <v>6308.5410221390457</v>
      </c>
      <c r="CD456" s="203" t="e">
        <v>#VALUE!</v>
      </c>
      <c r="CE456" s="203" t="s">
        <v>900</v>
      </c>
      <c r="CF456" s="203" t="e">
        <v>#VALUE!</v>
      </c>
      <c r="CH456" s="199"/>
      <c r="CJ456" s="464" t="s">
        <v>1448</v>
      </c>
      <c r="CK456" s="464" t="s">
        <v>1447</v>
      </c>
      <c r="CL456" s="464" t="s">
        <v>1448</v>
      </c>
      <c r="CN456" s="464" t="s">
        <v>1447</v>
      </c>
      <c r="CO456" s="464" t="s">
        <v>1447</v>
      </c>
      <c r="CP456" s="464" t="s">
        <v>1447</v>
      </c>
      <c r="CQ456" s="464" t="s">
        <v>1447</v>
      </c>
      <c r="CS456" s="465">
        <v>0</v>
      </c>
      <c r="CT456" s="466">
        <v>0</v>
      </c>
      <c r="CU456" s="466">
        <v>0.95</v>
      </c>
      <c r="CV456" s="467">
        <v>0.95</v>
      </c>
    </row>
    <row r="457" spans="1:100" s="48" customFormat="1" outlineLevel="1" x14ac:dyDescent="0.3">
      <c r="A457" s="202">
        <v>108796000</v>
      </c>
      <c r="D457" s="48" t="s">
        <v>1545</v>
      </c>
      <c r="E457" s="48" t="s">
        <v>9</v>
      </c>
      <c r="F457" s="48" t="s">
        <v>900</v>
      </c>
      <c r="G457" s="48" t="s">
        <v>900</v>
      </c>
      <c r="H457" s="48" t="s">
        <v>900</v>
      </c>
      <c r="O457" s="454" t="s">
        <v>900</v>
      </c>
      <c r="P457" s="455" t="s">
        <v>900</v>
      </c>
      <c r="Q457" s="347" t="s">
        <v>900</v>
      </c>
      <c r="R457" s="455">
        <v>663.11029728565279</v>
      </c>
      <c r="S457" s="457">
        <v>265.41835415769066</v>
      </c>
      <c r="T457" s="455"/>
      <c r="U457" s="454">
        <v>663.11029728565279</v>
      </c>
      <c r="V457" s="455">
        <v>132.27090337847835</v>
      </c>
      <c r="W457" s="230">
        <v>0.19947044092047791</v>
      </c>
      <c r="X457" s="264"/>
      <c r="Y457" s="265"/>
      <c r="Z457" s="265"/>
      <c r="AA457" s="265"/>
      <c r="AB457" s="266"/>
      <c r="AC457" s="265">
        <v>64478.550421364722</v>
      </c>
      <c r="AD457" s="265">
        <v>14348.034589581663</v>
      </c>
      <c r="AE457" s="265">
        <v>36846.788468863269</v>
      </c>
      <c r="AF457" s="266">
        <v>36955.259399754534</v>
      </c>
      <c r="AG457" s="265">
        <v>64478.550421364722</v>
      </c>
      <c r="AH457" s="265">
        <v>14348.034589581663</v>
      </c>
      <c r="AI457" s="265">
        <v>36846.788468863269</v>
      </c>
      <c r="AJ457" s="266">
        <v>36955.259399754534</v>
      </c>
      <c r="AK457" s="265">
        <v>64658.842010315195</v>
      </c>
      <c r="AL457" s="265">
        <v>17809.084138682632</v>
      </c>
      <c r="AM457" s="265">
        <v>36927.197387693152</v>
      </c>
      <c r="AN457" s="265">
        <v>37031.767615669982</v>
      </c>
      <c r="AO457" s="266">
        <v>156426.89115236097</v>
      </c>
      <c r="AP457" s="203"/>
      <c r="AQ457" s="264">
        <v>0</v>
      </c>
      <c r="AR457" s="265">
        <v>0</v>
      </c>
      <c r="AS457" s="265">
        <v>0</v>
      </c>
      <c r="AT457" s="265">
        <v>0</v>
      </c>
      <c r="AU457" s="266">
        <v>0</v>
      </c>
      <c r="AV457" s="203"/>
      <c r="AW457" s="324">
        <v>0</v>
      </c>
      <c r="AX457" s="203"/>
      <c r="AY457" s="377">
        <v>0</v>
      </c>
      <c r="AZ457" s="265">
        <v>0</v>
      </c>
      <c r="BA457" s="265">
        <v>0</v>
      </c>
      <c r="BB457" s="265">
        <v>0</v>
      </c>
      <c r="BC457" s="266">
        <v>0</v>
      </c>
      <c r="BD457" s="264">
        <v>0</v>
      </c>
      <c r="BE457" s="265">
        <v>0</v>
      </c>
      <c r="BF457" s="357" t="s">
        <v>1450</v>
      </c>
      <c r="BG457" s="203"/>
      <c r="BJ457" s="458"/>
      <c r="BK457" s="210"/>
      <c r="BL457" s="458"/>
      <c r="BM457" s="458"/>
      <c r="BN457" s="458"/>
      <c r="BQ457" s="203">
        <v>0</v>
      </c>
      <c r="BR457" s="458"/>
      <c r="BT457" s="459">
        <v>0</v>
      </c>
      <c r="BU457" s="460"/>
      <c r="BV457" s="461">
        <v>0</v>
      </c>
      <c r="BX457" s="462">
        <v>-149709.713034196</v>
      </c>
      <c r="BY457" s="463">
        <v>-0.99562319477851102</v>
      </c>
      <c r="BZ457" s="461">
        <v>-1131.8416160341662</v>
      </c>
      <c r="CB457" s="203" t="s">
        <v>900</v>
      </c>
      <c r="CC457" s="203">
        <v>2773.1340356718042</v>
      </c>
      <c r="CD457" s="203" t="e">
        <v>#VALUE!</v>
      </c>
      <c r="CE457" s="203" t="s">
        <v>900</v>
      </c>
      <c r="CF457" s="203" t="e">
        <v>#VALUE!</v>
      </c>
      <c r="CH457" s="199"/>
      <c r="CJ457" s="464" t="s">
        <v>1448</v>
      </c>
      <c r="CK457" s="464" t="s">
        <v>1447</v>
      </c>
      <c r="CL457" s="464" t="s">
        <v>1448</v>
      </c>
      <c r="CN457" s="464" t="s">
        <v>1447</v>
      </c>
      <c r="CO457" s="464" t="s">
        <v>1447</v>
      </c>
      <c r="CP457" s="464" t="s">
        <v>1447</v>
      </c>
      <c r="CQ457" s="464" t="s">
        <v>1447</v>
      </c>
      <c r="CS457" s="465">
        <v>0</v>
      </c>
      <c r="CT457" s="466">
        <v>0.9</v>
      </c>
      <c r="CU457" s="466">
        <v>0</v>
      </c>
      <c r="CV457" s="467">
        <v>0.9</v>
      </c>
    </row>
    <row r="458" spans="1:100" s="469" customFormat="1" outlineLevel="1" x14ac:dyDescent="0.3">
      <c r="A458" s="468"/>
      <c r="D458" s="469" t="s">
        <v>878</v>
      </c>
      <c r="E458" s="469" t="s">
        <v>900</v>
      </c>
      <c r="F458" s="469" t="s">
        <v>900</v>
      </c>
      <c r="G458" s="469" t="s">
        <v>900</v>
      </c>
      <c r="H458" s="469" t="s">
        <v>900</v>
      </c>
      <c r="I458" s="469">
        <v>0</v>
      </c>
      <c r="J458" s="469">
        <v>0</v>
      </c>
      <c r="K458" s="469">
        <v>0</v>
      </c>
      <c r="L458" s="469">
        <v>0</v>
      </c>
      <c r="M458" s="469">
        <v>0</v>
      </c>
      <c r="N458" s="469">
        <v>0</v>
      </c>
      <c r="O458" s="470">
        <v>0</v>
      </c>
      <c r="P458" s="471">
        <v>0</v>
      </c>
      <c r="Q458" s="846"/>
      <c r="R458" s="471">
        <v>11403.110297285653</v>
      </c>
      <c r="S458" s="472">
        <v>8184.4183541576904</v>
      </c>
      <c r="T458" s="471"/>
      <c r="U458" s="470">
        <v>11403.110297285653</v>
      </c>
      <c r="V458" s="471">
        <v>4078.6946056061552</v>
      </c>
      <c r="W458" s="473"/>
      <c r="X458" s="474"/>
      <c r="Y458" s="475"/>
      <c r="Z458" s="475"/>
      <c r="AA458" s="475"/>
      <c r="AB458" s="476"/>
      <c r="AC458" s="475">
        <v>1988255.2327356017</v>
      </c>
      <c r="AD458" s="475">
        <v>442434.80453237123</v>
      </c>
      <c r="AE458" s="475">
        <v>1136204.5130351526</v>
      </c>
      <c r="AF458" s="476">
        <v>1139549.3136631886</v>
      </c>
      <c r="AG458" s="475"/>
      <c r="AH458" s="475"/>
      <c r="AI458" s="475"/>
      <c r="AJ458" s="476"/>
      <c r="AK458" s="475"/>
      <c r="AL458" s="475"/>
      <c r="AM458" s="475"/>
      <c r="AN458" s="475"/>
      <c r="AO458" s="476"/>
      <c r="AQ458" s="474"/>
      <c r="AR458" s="475"/>
      <c r="AS458" s="475"/>
      <c r="AT458" s="475"/>
      <c r="AU458" s="476"/>
      <c r="AW458" s="477"/>
      <c r="AY458" s="847"/>
      <c r="AZ458" s="475"/>
      <c r="BA458" s="475"/>
      <c r="BB458" s="475"/>
      <c r="BC458" s="476"/>
      <c r="BD458" s="474"/>
      <c r="BE458" s="475"/>
      <c r="BF458" s="478" t="s">
        <v>1450</v>
      </c>
      <c r="BJ458" s="479"/>
      <c r="BK458" s="480"/>
      <c r="BL458" s="479"/>
      <c r="BM458" s="479"/>
      <c r="BN458" s="479"/>
      <c r="BQ458" s="481"/>
      <c r="BR458" s="479"/>
      <c r="BT458" s="482">
        <v>0</v>
      </c>
      <c r="BU458" s="483"/>
      <c r="BV458" s="484"/>
      <c r="BX458" s="485"/>
      <c r="BY458" s="486" t="s">
        <v>900</v>
      </c>
      <c r="BZ458" s="484">
        <v>0</v>
      </c>
      <c r="CB458" s="481"/>
      <c r="CE458" s="481"/>
      <c r="CH458" s="199"/>
      <c r="CJ458" s="487" t="s">
        <v>1450</v>
      </c>
      <c r="CK458" s="487" t="s">
        <v>1448</v>
      </c>
      <c r="CL458" s="487" t="s">
        <v>1448</v>
      </c>
      <c r="CN458" s="487" t="s">
        <v>1448</v>
      </c>
      <c r="CO458" s="487" t="s">
        <v>1450</v>
      </c>
      <c r="CP458" s="487" t="s">
        <v>1450</v>
      </c>
      <c r="CQ458" s="487" t="s">
        <v>1450</v>
      </c>
      <c r="CS458" s="488">
        <v>0.85</v>
      </c>
      <c r="CT458" s="489">
        <v>0</v>
      </c>
      <c r="CU458" s="489">
        <v>0</v>
      </c>
      <c r="CV458" s="490">
        <v>0.85</v>
      </c>
    </row>
    <row r="459" spans="1:100" s="492" customFormat="1" outlineLevel="1" x14ac:dyDescent="0.3">
      <c r="A459" s="491" t="s">
        <v>880</v>
      </c>
      <c r="B459" s="492">
        <v>0.49834874380953104</v>
      </c>
      <c r="D459" s="492" t="s">
        <v>879</v>
      </c>
      <c r="E459" s="492" t="s">
        <v>900</v>
      </c>
      <c r="F459" s="492" t="s">
        <v>900</v>
      </c>
      <c r="G459" s="492" t="s">
        <v>900</v>
      </c>
      <c r="H459" s="492" t="s">
        <v>900</v>
      </c>
      <c r="I459" s="492">
        <v>37056</v>
      </c>
      <c r="J459" s="492">
        <v>360</v>
      </c>
      <c r="K459" s="492">
        <v>0</v>
      </c>
      <c r="L459" s="492">
        <v>2032</v>
      </c>
      <c r="M459" s="492">
        <v>0</v>
      </c>
      <c r="N459" s="492">
        <v>37416</v>
      </c>
      <c r="O459" s="493">
        <v>160544</v>
      </c>
      <c r="P459" s="494">
        <v>39448</v>
      </c>
      <c r="Q459" s="848"/>
      <c r="R459" s="494">
        <v>131605.11029728566</v>
      </c>
      <c r="S459" s="495">
        <v>79157.418354157693</v>
      </c>
      <c r="T459" s="494"/>
      <c r="U459" s="493">
        <v>160544</v>
      </c>
      <c r="V459" s="494">
        <v>39448.000000000007</v>
      </c>
      <c r="W459" s="496"/>
      <c r="X459" s="497">
        <v>19229851.706266142</v>
      </c>
      <c r="Y459" s="498">
        <v>4279106.3947773036</v>
      </c>
      <c r="Z459" s="498">
        <v>10989054.088188991</v>
      </c>
      <c r="AA459" s="498">
        <v>11021404.069723137</v>
      </c>
      <c r="AB459" s="499">
        <v>45519416.258955576</v>
      </c>
      <c r="AC459" s="498">
        <v>19229851.706266146</v>
      </c>
      <c r="AD459" s="498">
        <v>4279106.3947773045</v>
      </c>
      <c r="AE459" s="498">
        <v>10989054.088188993</v>
      </c>
      <c r="AF459" s="499">
        <v>11021404.069723135</v>
      </c>
      <c r="AG459" s="498">
        <v>19220476.543640722</v>
      </c>
      <c r="AH459" s="498">
        <v>4119898.1155186598</v>
      </c>
      <c r="AI459" s="498">
        <v>10984872.824409839</v>
      </c>
      <c r="AJ459" s="499">
        <v>11017425.642495532</v>
      </c>
      <c r="AK459" s="498">
        <v>19229851.706266142</v>
      </c>
      <c r="AL459" s="498">
        <v>4279106.3947773073</v>
      </c>
      <c r="AM459" s="498">
        <v>10989054.088188997</v>
      </c>
      <c r="AN459" s="498">
        <v>11021404.069723133</v>
      </c>
      <c r="AO459" s="499">
        <v>45519416.258955583</v>
      </c>
      <c r="AP459" s="500"/>
      <c r="AQ459" s="497">
        <v>19210242.660273008</v>
      </c>
      <c r="AR459" s="498">
        <v>4365018.4531241907</v>
      </c>
      <c r="AS459" s="498">
        <v>10977652.885156473</v>
      </c>
      <c r="AT459" s="498">
        <v>11001372.907614885</v>
      </c>
      <c r="AU459" s="499">
        <v>45554286.906168535</v>
      </c>
      <c r="AV459" s="500"/>
      <c r="AW459" s="501">
        <v>46696786.533478655</v>
      </c>
      <c r="AX459" s="500"/>
      <c r="AY459" s="849">
        <v>0</v>
      </c>
      <c r="AZ459" s="498">
        <v>172208.56537188517</v>
      </c>
      <c r="BA459" s="498">
        <v>45382078.340796672</v>
      </c>
      <c r="BB459" s="498">
        <v>444194.27435015107</v>
      </c>
      <c r="BC459" s="499">
        <v>44937884.066446505</v>
      </c>
      <c r="BD459" s="497">
        <v>449378.84066446527</v>
      </c>
      <c r="BE459" s="498">
        <v>44488505.225782067</v>
      </c>
      <c r="BF459" s="502">
        <v>0.95271020831137088</v>
      </c>
      <c r="BG459" s="500"/>
      <c r="BJ459" s="503"/>
      <c r="BK459" s="504"/>
      <c r="BL459" s="503"/>
      <c r="BM459" s="503"/>
      <c r="BN459" s="503"/>
      <c r="BO459" s="500">
        <v>28855.578111742117</v>
      </c>
      <c r="BP459" s="500">
        <v>2244810.31777573</v>
      </c>
      <c r="BQ459" s="500">
        <v>44488505.225782059</v>
      </c>
      <c r="BR459" s="503"/>
      <c r="BT459" s="497">
        <v>-19.135446729743215</v>
      </c>
      <c r="BU459" s="498">
        <v>-17245.654741569979</v>
      </c>
      <c r="BV459" s="499">
        <v>44471259.571040496</v>
      </c>
      <c r="BX459" s="506"/>
      <c r="BY459" s="507" t="s">
        <v>900</v>
      </c>
      <c r="BZ459" s="505">
        <v>0</v>
      </c>
      <c r="CB459" s="500"/>
      <c r="CE459" s="500"/>
      <c r="CH459" s="395"/>
      <c r="CJ459" s="487" t="s">
        <v>1450</v>
      </c>
      <c r="CK459" s="487" t="s">
        <v>1448</v>
      </c>
      <c r="CL459" s="508" t="s">
        <v>1448</v>
      </c>
      <c r="CN459" s="487" t="s">
        <v>1448</v>
      </c>
      <c r="CO459" s="487" t="s">
        <v>1450</v>
      </c>
      <c r="CP459" s="487" t="s">
        <v>1450</v>
      </c>
      <c r="CQ459" s="487" t="s">
        <v>1450</v>
      </c>
      <c r="CS459" s="488">
        <v>0.85</v>
      </c>
      <c r="CT459" s="489">
        <v>0</v>
      </c>
      <c r="CU459" s="489">
        <v>0</v>
      </c>
      <c r="CV459" s="490">
        <v>0.85</v>
      </c>
    </row>
    <row r="460" spans="1:100" s="469" customFormat="1" outlineLevel="1" x14ac:dyDescent="0.3">
      <c r="A460" s="468"/>
      <c r="E460" s="469" t="s">
        <v>900</v>
      </c>
      <c r="F460" s="469" t="s">
        <v>900</v>
      </c>
      <c r="G460" s="469" t="s">
        <v>900</v>
      </c>
      <c r="H460" s="469" t="s">
        <v>900</v>
      </c>
      <c r="O460" s="470"/>
      <c r="P460" s="471"/>
      <c r="Q460" s="846"/>
      <c r="R460" s="471"/>
      <c r="S460" s="472"/>
      <c r="T460" s="471"/>
      <c r="U460" s="470"/>
      <c r="V460" s="471"/>
      <c r="W460" s="473"/>
      <c r="X460" s="474">
        <v>487.47342593455028</v>
      </c>
      <c r="Y460" s="475">
        <v>108.47460948026016</v>
      </c>
      <c r="Z460" s="475">
        <v>278.57062685532827</v>
      </c>
      <c r="AA460" s="475">
        <v>279.39069331076695</v>
      </c>
      <c r="AB460" s="476" t="s">
        <v>900</v>
      </c>
      <c r="AC460" s="475"/>
      <c r="AD460" s="475"/>
      <c r="AE460" s="475"/>
      <c r="AF460" s="476"/>
      <c r="AG460" s="475">
        <v>180.29158895047237</v>
      </c>
      <c r="AH460" s="475">
        <v>3461.049549100971</v>
      </c>
      <c r="AI460" s="475">
        <v>80.408918829885522</v>
      </c>
      <c r="AJ460" s="476">
        <v>76.508215915447536</v>
      </c>
      <c r="AK460" s="475"/>
      <c r="AL460" s="475"/>
      <c r="AM460" s="475"/>
      <c r="AN460" s="475"/>
      <c r="AO460" s="476"/>
      <c r="AQ460" s="474"/>
      <c r="AR460" s="475"/>
      <c r="AS460" s="475"/>
      <c r="AT460" s="475"/>
      <c r="AU460" s="476"/>
      <c r="AW460" s="477"/>
      <c r="AY460" s="847"/>
      <c r="AZ460" s="475"/>
      <c r="BA460" s="475"/>
      <c r="BB460" s="475"/>
      <c r="BC460" s="476"/>
      <c r="BD460" s="474"/>
      <c r="BE460" s="475"/>
      <c r="BF460" s="478" t="s">
        <v>1450</v>
      </c>
      <c r="BJ460" s="479"/>
      <c r="BK460" s="480"/>
      <c r="BL460" s="479"/>
      <c r="BM460" s="479"/>
      <c r="BN460" s="479"/>
      <c r="BQ460" s="481"/>
      <c r="BR460" s="479"/>
      <c r="BT460" s="482">
        <v>0</v>
      </c>
      <c r="BU460" s="483"/>
      <c r="BV460" s="484"/>
      <c r="BX460" s="485"/>
      <c r="BY460" s="486" t="s">
        <v>900</v>
      </c>
      <c r="BZ460" s="484" t="s">
        <v>900</v>
      </c>
      <c r="CB460" s="481"/>
      <c r="CE460" s="481"/>
      <c r="CH460" s="199"/>
      <c r="CJ460" s="487" t="s">
        <v>1450</v>
      </c>
      <c r="CK460" s="487" t="s">
        <v>1448</v>
      </c>
      <c r="CL460" s="487" t="s">
        <v>1448</v>
      </c>
      <c r="CN460" s="487" t="s">
        <v>1448</v>
      </c>
      <c r="CO460" s="487" t="s">
        <v>1450</v>
      </c>
      <c r="CP460" s="487" t="s">
        <v>1450</v>
      </c>
      <c r="CQ460" s="487" t="s">
        <v>1450</v>
      </c>
      <c r="CS460" s="488">
        <v>0.85</v>
      </c>
      <c r="CT460" s="489">
        <v>0</v>
      </c>
      <c r="CU460" s="489">
        <v>0</v>
      </c>
      <c r="CV460" s="490">
        <v>0.85</v>
      </c>
    </row>
    <row r="461" spans="1:100" s="199" customFormat="1" outlineLevel="1" x14ac:dyDescent="0.3">
      <c r="A461" s="201"/>
      <c r="E461" s="199" t="s">
        <v>900</v>
      </c>
      <c r="F461" s="199" t="s">
        <v>900</v>
      </c>
      <c r="G461" s="199" t="s">
        <v>900</v>
      </c>
      <c r="H461" s="199" t="s">
        <v>900</v>
      </c>
      <c r="O461" s="509" t="s">
        <v>900</v>
      </c>
      <c r="P461" s="510" t="s">
        <v>900</v>
      </c>
      <c r="Q461" s="349" t="s">
        <v>900</v>
      </c>
      <c r="R461" s="510" t="s">
        <v>900</v>
      </c>
      <c r="S461" s="512" t="s">
        <v>900</v>
      </c>
      <c r="T461" s="510"/>
      <c r="U461" s="509"/>
      <c r="V461" s="510"/>
      <c r="W461" s="232"/>
      <c r="X461" s="270" t="s">
        <v>900</v>
      </c>
      <c r="Y461" s="271" t="s">
        <v>900</v>
      </c>
      <c r="Z461" s="271" t="s">
        <v>900</v>
      </c>
      <c r="AA461" s="271" t="s">
        <v>900</v>
      </c>
      <c r="AB461" s="272" t="s">
        <v>900</v>
      </c>
      <c r="AC461" s="271"/>
      <c r="AD461" s="271"/>
      <c r="AE461" s="271"/>
      <c r="AF461" s="272"/>
      <c r="AG461" s="271"/>
      <c r="AH461" s="271"/>
      <c r="AI461" s="271"/>
      <c r="AJ461" s="272"/>
      <c r="AK461" s="271"/>
      <c r="AL461" s="271"/>
      <c r="AM461" s="271"/>
      <c r="AN461" s="271"/>
      <c r="AO461" s="272"/>
      <c r="AQ461" s="270"/>
      <c r="AR461" s="271"/>
      <c r="AS461" s="271"/>
      <c r="AT461" s="271"/>
      <c r="AU461" s="272"/>
      <c r="AW461" s="326"/>
      <c r="AY461" s="378"/>
      <c r="AZ461" s="271"/>
      <c r="BA461" s="271"/>
      <c r="BB461" s="271"/>
      <c r="BC461" s="272"/>
      <c r="BD461" s="270"/>
      <c r="BE461" s="271"/>
      <c r="BF461" s="363" t="s">
        <v>1450</v>
      </c>
      <c r="BJ461" s="513"/>
      <c r="BK461" s="221"/>
      <c r="BL461" s="513"/>
      <c r="BM461" s="513"/>
      <c r="BN461" s="513"/>
      <c r="BQ461" s="200"/>
      <c r="BR461" s="513"/>
      <c r="BT461" s="514">
        <v>0</v>
      </c>
      <c r="BU461" s="515"/>
      <c r="BV461" s="516"/>
      <c r="BX461" s="517"/>
      <c r="BY461" s="518" t="s">
        <v>900</v>
      </c>
      <c r="BZ461" s="516" t="s">
        <v>900</v>
      </c>
      <c r="CB461" s="200"/>
      <c r="CE461" s="200"/>
      <c r="CJ461" s="519" t="s">
        <v>1450</v>
      </c>
      <c r="CK461" s="519" t="s">
        <v>1448</v>
      </c>
      <c r="CL461" s="519" t="s">
        <v>1448</v>
      </c>
      <c r="CN461" s="519" t="s">
        <v>1448</v>
      </c>
      <c r="CO461" s="519" t="s">
        <v>1450</v>
      </c>
      <c r="CP461" s="519" t="s">
        <v>1450</v>
      </c>
      <c r="CQ461" s="519" t="s">
        <v>1450</v>
      </c>
      <c r="CS461" s="520">
        <v>0.85</v>
      </c>
      <c r="CT461" s="521">
        <v>0</v>
      </c>
      <c r="CU461" s="521">
        <v>0</v>
      </c>
      <c r="CV461" s="522">
        <v>0.85</v>
      </c>
    </row>
    <row r="462" spans="1:100" outlineLevel="1" x14ac:dyDescent="0.3">
      <c r="A462" s="1">
        <v>110433000</v>
      </c>
      <c r="B462" s="47">
        <v>406360</v>
      </c>
      <c r="C462" s="47">
        <v>4452</v>
      </c>
      <c r="D462" s="47" t="s">
        <v>340</v>
      </c>
      <c r="E462" s="47" t="s">
        <v>20</v>
      </c>
      <c r="F462" s="47" t="s">
        <v>1498</v>
      </c>
      <c r="G462" s="47" t="s">
        <v>1499</v>
      </c>
      <c r="H462" s="47" t="s">
        <v>1507</v>
      </c>
      <c r="I462" s="382">
        <v>31</v>
      </c>
      <c r="J462" s="382">
        <v>0</v>
      </c>
      <c r="K462" s="382">
        <v>0</v>
      </c>
      <c r="L462" s="382">
        <v>1</v>
      </c>
      <c r="M462" s="382">
        <v>0</v>
      </c>
      <c r="N462" s="382">
        <v>31</v>
      </c>
      <c r="O462" s="444">
        <v>131</v>
      </c>
      <c r="P462" s="445">
        <v>32</v>
      </c>
      <c r="Q462" s="346">
        <v>0.24427480916030533</v>
      </c>
      <c r="R462" s="445">
        <v>194</v>
      </c>
      <c r="S462" s="447">
        <v>167</v>
      </c>
      <c r="T462" s="445">
        <v>0</v>
      </c>
      <c r="U462" s="444">
        <v>117.10727370295244</v>
      </c>
      <c r="V462" s="445">
        <v>32</v>
      </c>
      <c r="W462" s="229">
        <v>0.27325373555505489</v>
      </c>
      <c r="X462" s="261">
        <v>17691.496140626656</v>
      </c>
      <c r="Y462" s="262">
        <v>4314.8810054015921</v>
      </c>
      <c r="Z462" s="262">
        <v>5708.8402443010727</v>
      </c>
      <c r="AA462" s="262">
        <v>4708.3636434996342</v>
      </c>
      <c r="AB462" s="263">
        <v>32423.581033828956</v>
      </c>
      <c r="AC462" s="262">
        <v>16327.157393859728</v>
      </c>
      <c r="AD462" s="262">
        <v>3982.1245614827963</v>
      </c>
      <c r="AE462" s="262">
        <v>5268.5839831860967</v>
      </c>
      <c r="AF462" s="263">
        <v>4345.2624732179602</v>
      </c>
      <c r="AG462" s="262">
        <v>16327.157393859728</v>
      </c>
      <c r="AH462" s="262">
        <v>3982.1245614827963</v>
      </c>
      <c r="AI462" s="262">
        <v>5268.5839831860967</v>
      </c>
      <c r="AJ462" s="263">
        <v>4345.2624732179602</v>
      </c>
      <c r="AK462" s="262">
        <v>16451.021395969139</v>
      </c>
      <c r="AL462" s="262">
        <v>4935.1288290065149</v>
      </c>
      <c r="AM462" s="262">
        <v>5318.4134625101342</v>
      </c>
      <c r="AN462" s="262">
        <v>4385.5569274239342</v>
      </c>
      <c r="AO462" s="263">
        <v>31090.120614909723</v>
      </c>
      <c r="AP462" s="31"/>
      <c r="AQ462" s="261">
        <v>16965.976322234241</v>
      </c>
      <c r="AR462" s="262">
        <v>5254.1935990121156</v>
      </c>
      <c r="AS462" s="262">
        <v>5462.5514556419303</v>
      </c>
      <c r="AT462" s="262">
        <v>4510.8627938093423</v>
      </c>
      <c r="AU462" s="263">
        <v>32193.584170697628</v>
      </c>
      <c r="AV462" s="31"/>
      <c r="AW462" s="323">
        <v>35418.2101878658</v>
      </c>
      <c r="AX462" s="31"/>
      <c r="AY462" s="747">
        <v>0</v>
      </c>
      <c r="AZ462" s="262">
        <v>0</v>
      </c>
      <c r="BA462" s="262">
        <v>32193.584170697628</v>
      </c>
      <c r="BB462" s="262">
        <v>315.10689422476793</v>
      </c>
      <c r="BC462" s="263">
        <v>31878.477276472859</v>
      </c>
      <c r="BD462" s="261">
        <v>318.78477276472859</v>
      </c>
      <c r="BE462" s="262">
        <v>31559.692503708131</v>
      </c>
      <c r="BF462" s="354">
        <v>0.89105836619944201</v>
      </c>
      <c r="BG462" s="31"/>
      <c r="BJ462" s="4">
        <v>0.89105836619944201</v>
      </c>
      <c r="BL462" s="4">
        <v>0.90000000000000013</v>
      </c>
      <c r="BM462" s="4">
        <v>0.9</v>
      </c>
      <c r="BN462" s="4" t="s">
        <v>1003</v>
      </c>
      <c r="BO462" s="31">
        <v>316.69666537108787</v>
      </c>
      <c r="BP462" s="31">
        <v>31876.389169079219</v>
      </c>
      <c r="BQ462" s="31">
        <v>31876.389169079219</v>
      </c>
      <c r="BR462" s="4">
        <v>0.9</v>
      </c>
      <c r="BS462" s="4" t="s">
        <v>900</v>
      </c>
      <c r="BT462" s="448" t="s">
        <v>900</v>
      </c>
      <c r="BU462" s="367" t="s">
        <v>900</v>
      </c>
      <c r="BV462" s="368">
        <v>31559.692503708131</v>
      </c>
      <c r="BX462" s="449">
        <v>-523.2014962918729</v>
      </c>
      <c r="BY462" s="450">
        <v>-1.6307802416199512E-2</v>
      </c>
      <c r="BZ462" s="368">
        <v>-16.350046759121028</v>
      </c>
      <c r="CB462" s="31">
        <v>7612</v>
      </c>
      <c r="CC462" s="31">
        <v>8238.8349084381371</v>
      </c>
      <c r="CD462" s="31" t="e">
        <v>#VALUE!</v>
      </c>
      <c r="CE462" s="31" t="s">
        <v>900</v>
      </c>
      <c r="CF462" s="31" t="e">
        <v>#VALUE!</v>
      </c>
      <c r="CJ462" s="702" t="s">
        <v>1447</v>
      </c>
      <c r="CK462" s="702" t="s">
        <v>1447</v>
      </c>
      <c r="CL462" s="702" t="s">
        <v>1448</v>
      </c>
      <c r="CN462" s="702" t="s">
        <v>1447</v>
      </c>
      <c r="CO462" s="702" t="s">
        <v>1447</v>
      </c>
      <c r="CP462" s="702" t="s">
        <v>1447</v>
      </c>
      <c r="CQ462" s="702" t="s">
        <v>1447</v>
      </c>
      <c r="CS462" s="451">
        <v>0</v>
      </c>
      <c r="CT462" s="452">
        <v>0.9</v>
      </c>
      <c r="CU462" s="452">
        <v>0</v>
      </c>
      <c r="CV462" s="453">
        <v>0.9</v>
      </c>
    </row>
    <row r="463" spans="1:100" outlineLevel="1" x14ac:dyDescent="0.3">
      <c r="A463" s="1">
        <v>110215000</v>
      </c>
      <c r="B463" s="47">
        <v>408230</v>
      </c>
      <c r="C463" s="47">
        <v>4440</v>
      </c>
      <c r="D463" s="47" t="s">
        <v>404</v>
      </c>
      <c r="E463" s="47" t="s">
        <v>20</v>
      </c>
      <c r="F463" s="47" t="s">
        <v>1498</v>
      </c>
      <c r="G463" s="47" t="s">
        <v>1502</v>
      </c>
      <c r="H463" s="47" t="s">
        <v>1516</v>
      </c>
      <c r="I463" s="382">
        <v>126</v>
      </c>
      <c r="J463" s="382">
        <v>0</v>
      </c>
      <c r="K463" s="382">
        <v>0</v>
      </c>
      <c r="L463" s="382">
        <v>6</v>
      </c>
      <c r="M463" s="382">
        <v>0</v>
      </c>
      <c r="N463" s="382">
        <v>126</v>
      </c>
      <c r="O463" s="444">
        <v>576</v>
      </c>
      <c r="P463" s="445">
        <v>132</v>
      </c>
      <c r="Q463" s="346">
        <v>0.22916666666666666</v>
      </c>
      <c r="R463" s="445">
        <v>372</v>
      </c>
      <c r="S463" s="447">
        <v>339</v>
      </c>
      <c r="T463" s="445">
        <v>0</v>
      </c>
      <c r="U463" s="444">
        <v>514.91442483130231</v>
      </c>
      <c r="V463" s="445">
        <v>132</v>
      </c>
      <c r="W463" s="229">
        <v>0.25635327665028262</v>
      </c>
      <c r="X463" s="261">
        <v>135981.69582599314</v>
      </c>
      <c r="Y463" s="262">
        <v>33165.359884655372</v>
      </c>
      <c r="Z463" s="262">
        <v>53539.66230655487</v>
      </c>
      <c r="AA463" s="262">
        <v>47221.006711399205</v>
      </c>
      <c r="AB463" s="263">
        <v>269907.72472860257</v>
      </c>
      <c r="AC463" s="262">
        <v>125495.01369398068</v>
      </c>
      <c r="AD463" s="262">
        <v>30607.702511789335</v>
      </c>
      <c r="AE463" s="262">
        <v>49410.772630237072</v>
      </c>
      <c r="AF463" s="263">
        <v>43579.401241426727</v>
      </c>
      <c r="AG463" s="262">
        <v>125495.01369398068</v>
      </c>
      <c r="AH463" s="262">
        <v>30607.702511789335</v>
      </c>
      <c r="AI463" s="262">
        <v>49410.772630237072</v>
      </c>
      <c r="AJ463" s="263">
        <v>43579.401241426727</v>
      </c>
      <c r="AK463" s="262">
        <v>125618.87769609009</v>
      </c>
      <c r="AL463" s="262">
        <v>31560.706779313055</v>
      </c>
      <c r="AM463" s="262">
        <v>49460.602109561107</v>
      </c>
      <c r="AN463" s="262">
        <v>43619.695695632698</v>
      </c>
      <c r="AO463" s="263">
        <v>250259.88228059691</v>
      </c>
      <c r="AP463" s="31"/>
      <c r="AQ463" s="261">
        <v>130405.15133952595</v>
      </c>
      <c r="AR463" s="262">
        <v>31926.645185959631</v>
      </c>
      <c r="AS463" s="262">
        <v>51229.872925451717</v>
      </c>
      <c r="AT463" s="262">
        <v>45240.235969188579</v>
      </c>
      <c r="AU463" s="263">
        <v>258801.90542012587</v>
      </c>
      <c r="AV463" s="31"/>
      <c r="AW463" s="323">
        <v>284724.44182009675</v>
      </c>
      <c r="AX463" s="31"/>
      <c r="AY463" s="747">
        <v>0</v>
      </c>
      <c r="AZ463" s="262">
        <v>0</v>
      </c>
      <c r="BA463" s="262">
        <v>258801.90542012587</v>
      </c>
      <c r="BB463" s="262">
        <v>2533.1216370314696</v>
      </c>
      <c r="BC463" s="263">
        <v>256268.7837830944</v>
      </c>
      <c r="BD463" s="261">
        <v>2562.6878378309443</v>
      </c>
      <c r="BE463" s="262">
        <v>253706.09594526346</v>
      </c>
      <c r="BF463" s="354">
        <v>0.8910583661994419</v>
      </c>
      <c r="BG463" s="31"/>
      <c r="BJ463" s="4">
        <v>0.8910583661994419</v>
      </c>
      <c r="BL463" s="4">
        <v>0.89999999999999991</v>
      </c>
      <c r="BM463" s="4">
        <v>0.9</v>
      </c>
      <c r="BN463" s="4" t="s">
        <v>1003</v>
      </c>
      <c r="BO463" s="31">
        <v>2545.9016928236233</v>
      </c>
      <c r="BP463" s="31">
        <v>256251.99763808708</v>
      </c>
      <c r="BQ463" s="31">
        <v>256251.99763808708</v>
      </c>
      <c r="BR463" s="4">
        <v>0.9</v>
      </c>
      <c r="BS463" s="4" t="s">
        <v>900</v>
      </c>
      <c r="BT463" s="448" t="s">
        <v>900</v>
      </c>
      <c r="BU463" s="367" t="s">
        <v>900</v>
      </c>
      <c r="BV463" s="368">
        <v>253706.09594526346</v>
      </c>
      <c r="BX463" s="449">
        <v>-8111.0140547365882</v>
      </c>
      <c r="BY463" s="450">
        <v>-3.0979694393298389E-2</v>
      </c>
      <c r="BZ463" s="368">
        <v>-61.447076172246881</v>
      </c>
      <c r="CB463" s="31">
        <v>25855</v>
      </c>
      <c r="CC463" s="31">
        <v>28473.089102118629</v>
      </c>
      <c r="CD463" s="31" t="e">
        <v>#VALUE!</v>
      </c>
      <c r="CE463" s="31" t="s">
        <v>900</v>
      </c>
      <c r="CF463" s="31" t="e">
        <v>#VALUE!</v>
      </c>
      <c r="CJ463" s="702" t="s">
        <v>1447</v>
      </c>
      <c r="CK463" s="702" t="s">
        <v>1447</v>
      </c>
      <c r="CL463" s="702" t="s">
        <v>1448</v>
      </c>
      <c r="CN463" s="702" t="s">
        <v>1447</v>
      </c>
      <c r="CO463" s="702" t="s">
        <v>1447</v>
      </c>
      <c r="CP463" s="702" t="s">
        <v>1447</v>
      </c>
      <c r="CQ463" s="702" t="s">
        <v>1447</v>
      </c>
      <c r="CS463" s="451">
        <v>0</v>
      </c>
      <c r="CT463" s="452">
        <v>0.9</v>
      </c>
      <c r="CU463" s="452">
        <v>0</v>
      </c>
      <c r="CV463" s="453">
        <v>0.9</v>
      </c>
    </row>
    <row r="464" spans="1:100" outlineLevel="1" x14ac:dyDescent="0.3">
      <c r="A464" s="1">
        <v>110540000</v>
      </c>
      <c r="B464" s="47">
        <v>407530</v>
      </c>
      <c r="C464" s="47">
        <v>4454</v>
      </c>
      <c r="D464" s="47" t="s">
        <v>377</v>
      </c>
      <c r="E464" s="47" t="s">
        <v>20</v>
      </c>
      <c r="F464" s="47" t="s">
        <v>1498</v>
      </c>
      <c r="G464" s="47" t="s">
        <v>1502</v>
      </c>
      <c r="H464" s="47" t="s">
        <v>1507</v>
      </c>
      <c r="I464" s="382">
        <v>216</v>
      </c>
      <c r="J464" s="382">
        <v>0</v>
      </c>
      <c r="K464" s="382">
        <v>0</v>
      </c>
      <c r="L464" s="382">
        <v>9</v>
      </c>
      <c r="M464" s="382">
        <v>0</v>
      </c>
      <c r="N464" s="382">
        <v>216</v>
      </c>
      <c r="O464" s="444">
        <v>716</v>
      </c>
      <c r="P464" s="445">
        <v>225</v>
      </c>
      <c r="Q464" s="346">
        <v>0.31424581005586594</v>
      </c>
      <c r="R464" s="445">
        <v>380</v>
      </c>
      <c r="S464" s="447">
        <v>326</v>
      </c>
      <c r="T464" s="445">
        <v>0</v>
      </c>
      <c r="U464" s="444">
        <v>640.06723642224381</v>
      </c>
      <c r="V464" s="445">
        <v>225</v>
      </c>
      <c r="W464" s="229">
        <v>0.35152556980993555</v>
      </c>
      <c r="X464" s="261">
        <v>103772.53843479001</v>
      </c>
      <c r="Y464" s="262">
        <v>24876.079924192349</v>
      </c>
      <c r="Z464" s="262">
        <v>46443.246920567901</v>
      </c>
      <c r="AA464" s="262">
        <v>34704.614365340858</v>
      </c>
      <c r="AB464" s="263">
        <v>209796.47964489111</v>
      </c>
      <c r="AC464" s="262">
        <v>95769.772930304578</v>
      </c>
      <c r="AD464" s="262">
        <v>22957.678029945077</v>
      </c>
      <c r="AE464" s="262">
        <v>42861.620991606185</v>
      </c>
      <c r="AF464" s="263">
        <v>32028.252247978326</v>
      </c>
      <c r="AG464" s="262">
        <v>95769.772930304578</v>
      </c>
      <c r="AH464" s="262">
        <v>22957.678029945077</v>
      </c>
      <c r="AI464" s="262">
        <v>42861.620991606185</v>
      </c>
      <c r="AJ464" s="263">
        <v>32028.252247978326</v>
      </c>
      <c r="AK464" s="262">
        <v>95893.636932413981</v>
      </c>
      <c r="AL464" s="262">
        <v>23910.682297468797</v>
      </c>
      <c r="AM464" s="262">
        <v>42911.45047093022</v>
      </c>
      <c r="AN464" s="262">
        <v>32068.5467021843</v>
      </c>
      <c r="AO464" s="263">
        <v>194784.3164029973</v>
      </c>
      <c r="AP464" s="31"/>
      <c r="AQ464" s="261">
        <v>97820.937843257459</v>
      </c>
      <c r="AR464" s="262">
        <v>23983.955348462292</v>
      </c>
      <c r="AS464" s="262">
        <v>42317.106275311446</v>
      </c>
      <c r="AT464" s="262">
        <v>32781.898836670931</v>
      </c>
      <c r="AU464" s="263">
        <v>196903.89830370212</v>
      </c>
      <c r="AV464" s="31"/>
      <c r="AW464" s="323">
        <v>198627.55456318473</v>
      </c>
      <c r="AX464" s="31"/>
      <c r="AY464" s="747">
        <v>0</v>
      </c>
      <c r="AZ464" s="262">
        <v>0</v>
      </c>
      <c r="BA464" s="262">
        <v>196903.89830370212</v>
      </c>
      <c r="BB464" s="262">
        <v>1927.2714565190522</v>
      </c>
      <c r="BC464" s="263">
        <v>194976.62684718307</v>
      </c>
      <c r="BD464" s="261">
        <v>1949.7662684718307</v>
      </c>
      <c r="BE464" s="262">
        <v>193026.86057871123</v>
      </c>
      <c r="BF464" s="354">
        <v>0.97180303610548713</v>
      </c>
      <c r="BG464" s="31"/>
      <c r="BJ464" s="4">
        <v>0.97180303610548713</v>
      </c>
      <c r="BL464" s="4">
        <v>0.98237509538445711</v>
      </c>
      <c r="BM464" s="4">
        <v>0.95</v>
      </c>
      <c r="BN464" s="4" t="s">
        <v>1003</v>
      </c>
      <c r="BO464" s="31">
        <v>-4330.6837436857459</v>
      </c>
      <c r="BP464" s="31">
        <v>188696.17683502549</v>
      </c>
      <c r="BQ464" s="31">
        <v>188696.17683502549</v>
      </c>
      <c r="BR464" s="4">
        <v>0.95</v>
      </c>
      <c r="BS464" s="4" t="s">
        <v>900</v>
      </c>
      <c r="BT464" s="448" t="s">
        <v>900</v>
      </c>
      <c r="BU464" s="367" t="s">
        <v>900</v>
      </c>
      <c r="BV464" s="368">
        <v>193026.86057871123</v>
      </c>
      <c r="BX464" s="449">
        <v>3892.671578711248</v>
      </c>
      <c r="BY464" s="450">
        <v>2.0581533139475108E-2</v>
      </c>
      <c r="BZ464" s="368">
        <v>17.30076257204999</v>
      </c>
      <c r="CB464" s="31">
        <v>20535</v>
      </c>
      <c r="CC464" s="31">
        <v>24755.933763221721</v>
      </c>
      <c r="CD464" s="31" t="e">
        <v>#VALUE!</v>
      </c>
      <c r="CE464" s="31" t="s">
        <v>900</v>
      </c>
      <c r="CF464" s="31" t="e">
        <v>#VALUE!</v>
      </c>
      <c r="CJ464" s="702" t="s">
        <v>1447</v>
      </c>
      <c r="CK464" s="702" t="s">
        <v>1447</v>
      </c>
      <c r="CL464" s="702" t="s">
        <v>1448</v>
      </c>
      <c r="CN464" s="702" t="s">
        <v>1447</v>
      </c>
      <c r="CO464" s="702" t="s">
        <v>1447</v>
      </c>
      <c r="CP464" s="702" t="s">
        <v>1447</v>
      </c>
      <c r="CQ464" s="702" t="s">
        <v>1447</v>
      </c>
      <c r="CS464" s="451">
        <v>0</v>
      </c>
      <c r="CT464" s="452">
        <v>0</v>
      </c>
      <c r="CU464" s="452">
        <v>0.95</v>
      </c>
      <c r="CV464" s="453">
        <v>0.95</v>
      </c>
    </row>
    <row r="465" spans="1:100" outlineLevel="1" x14ac:dyDescent="0.3">
      <c r="A465" s="1">
        <v>110203000</v>
      </c>
      <c r="B465" s="47">
        <v>406850</v>
      </c>
      <c r="C465" s="47">
        <v>4438</v>
      </c>
      <c r="D465" s="47" t="s">
        <v>357</v>
      </c>
      <c r="E465" s="47" t="s">
        <v>20</v>
      </c>
      <c r="F465" s="47" t="s">
        <v>1501</v>
      </c>
      <c r="G465" s="47" t="s">
        <v>1502</v>
      </c>
      <c r="H465" s="47" t="s">
        <v>1516</v>
      </c>
      <c r="I465" s="382">
        <v>210</v>
      </c>
      <c r="J465" s="382">
        <v>0</v>
      </c>
      <c r="K465" s="382">
        <v>0</v>
      </c>
      <c r="L465" s="382">
        <v>9</v>
      </c>
      <c r="M465" s="382">
        <v>0</v>
      </c>
      <c r="N465" s="382">
        <v>210</v>
      </c>
      <c r="O465" s="444">
        <v>755</v>
      </c>
      <c r="P465" s="445">
        <v>219</v>
      </c>
      <c r="Q465" s="346">
        <v>0.29006622516556291</v>
      </c>
      <c r="R465" s="445">
        <v>437</v>
      </c>
      <c r="S465" s="447">
        <v>264</v>
      </c>
      <c r="T465" s="445">
        <v>0</v>
      </c>
      <c r="U465" s="444">
        <v>674.93123393686324</v>
      </c>
      <c r="V465" s="445">
        <v>219</v>
      </c>
      <c r="W465" s="229">
        <v>0.32447750080045407</v>
      </c>
      <c r="X465" s="261">
        <v>147258.90042834249</v>
      </c>
      <c r="Y465" s="262">
        <v>35915.822341076018</v>
      </c>
      <c r="Z465" s="262">
        <v>46944.892606729059</v>
      </c>
      <c r="AA465" s="262">
        <v>38858.871842898538</v>
      </c>
      <c r="AB465" s="263">
        <v>268978.4872190461</v>
      </c>
      <c r="AC465" s="262">
        <v>135902.53904072024</v>
      </c>
      <c r="AD465" s="262">
        <v>33146.053879865955</v>
      </c>
      <c r="AE465" s="262">
        <v>43324.580597102497</v>
      </c>
      <c r="AF465" s="263">
        <v>35862.140300834682</v>
      </c>
      <c r="AG465" s="262">
        <v>135902.53904072024</v>
      </c>
      <c r="AH465" s="262">
        <v>33146.053879865955</v>
      </c>
      <c r="AI465" s="262">
        <v>43324.580597102497</v>
      </c>
      <c r="AJ465" s="263">
        <v>35862.140300834682</v>
      </c>
      <c r="AK465" s="262">
        <v>136026.40304282965</v>
      </c>
      <c r="AL465" s="262">
        <v>34099.058147389675</v>
      </c>
      <c r="AM465" s="262">
        <v>43374.410076426531</v>
      </c>
      <c r="AN465" s="262">
        <v>35902.434755040653</v>
      </c>
      <c r="AO465" s="263">
        <v>249402.3060216865</v>
      </c>
      <c r="AP465" s="31"/>
      <c r="AQ465" s="261">
        <v>149079.10927312443</v>
      </c>
      <c r="AR465" s="262">
        <v>36503.792162807258</v>
      </c>
      <c r="AS465" s="262">
        <v>47425.067319985312</v>
      </c>
      <c r="AT465" s="262">
        <v>39302.768906725432</v>
      </c>
      <c r="AU465" s="263">
        <v>272310.73766264244</v>
      </c>
      <c r="AV465" s="31"/>
      <c r="AW465" s="323">
        <v>283818.66407812701</v>
      </c>
      <c r="AX465" s="31"/>
      <c r="AY465" s="747">
        <v>0</v>
      </c>
      <c r="AZ465" s="262">
        <v>0</v>
      </c>
      <c r="BA465" s="262">
        <v>272310.73766264244</v>
      </c>
      <c r="BB465" s="262">
        <v>2665.3444473272316</v>
      </c>
      <c r="BC465" s="263">
        <v>269645.39321531518</v>
      </c>
      <c r="BD465" s="261">
        <v>2696.453932153152</v>
      </c>
      <c r="BE465" s="262">
        <v>266948.93928316201</v>
      </c>
      <c r="BF465" s="354">
        <v>0.94056160876607731</v>
      </c>
      <c r="BG465" s="31"/>
      <c r="BJ465" s="4">
        <v>0.94056160876607731</v>
      </c>
      <c r="BL465" s="4">
        <v>0.9</v>
      </c>
      <c r="BM465" s="4">
        <v>0.95</v>
      </c>
      <c r="BN465" s="4" t="s">
        <v>1003</v>
      </c>
      <c r="BO465" s="31">
        <v>2678.7915910586016</v>
      </c>
      <c r="BP465" s="31">
        <v>269627.73087422061</v>
      </c>
      <c r="BQ465" s="31">
        <v>269627.73087422061</v>
      </c>
      <c r="BR465" s="4">
        <v>0.94999999999999984</v>
      </c>
      <c r="BS465" s="4" t="s">
        <v>900</v>
      </c>
      <c r="BT465" s="448" t="s">
        <v>900</v>
      </c>
      <c r="BU465" s="367" t="s">
        <v>900</v>
      </c>
      <c r="BV465" s="368">
        <v>266948.93928316201</v>
      </c>
      <c r="BX465" s="449">
        <v>6943.7992831619922</v>
      </c>
      <c r="BY465" s="450">
        <v>2.6706392355020338E-2</v>
      </c>
      <c r="BZ465" s="368">
        <v>31.706846041835579</v>
      </c>
      <c r="CB465" s="31">
        <v>17834</v>
      </c>
      <c r="CC465" s="31">
        <v>21995.201904895024</v>
      </c>
      <c r="CD465" s="31" t="e">
        <v>#VALUE!</v>
      </c>
      <c r="CE465" s="31" t="s">
        <v>900</v>
      </c>
      <c r="CF465" s="31" t="e">
        <v>#VALUE!</v>
      </c>
      <c r="CJ465" s="702" t="s">
        <v>1447</v>
      </c>
      <c r="CK465" s="702" t="s">
        <v>1447</v>
      </c>
      <c r="CL465" s="702" t="s">
        <v>1448</v>
      </c>
      <c r="CN465" s="702" t="s">
        <v>1447</v>
      </c>
      <c r="CO465" s="702" t="s">
        <v>1447</v>
      </c>
      <c r="CP465" s="702" t="s">
        <v>1447</v>
      </c>
      <c r="CQ465" s="702" t="s">
        <v>1447</v>
      </c>
      <c r="CS465" s="451">
        <v>0</v>
      </c>
      <c r="CT465" s="452">
        <v>0</v>
      </c>
      <c r="CU465" s="452">
        <v>0.95</v>
      </c>
      <c r="CV465" s="453">
        <v>0.95</v>
      </c>
    </row>
    <row r="466" spans="1:100" outlineLevel="1" x14ac:dyDescent="0.3">
      <c r="A466" s="1">
        <v>110424000</v>
      </c>
      <c r="B466" s="47">
        <v>408130</v>
      </c>
      <c r="C466" s="47">
        <v>4451</v>
      </c>
      <c r="D466" s="47" t="s">
        <v>399</v>
      </c>
      <c r="E466" s="47" t="s">
        <v>20</v>
      </c>
      <c r="F466" s="47" t="s">
        <v>1498</v>
      </c>
      <c r="G466" s="47" t="s">
        <v>1499</v>
      </c>
      <c r="H466" s="47" t="s">
        <v>1522</v>
      </c>
      <c r="I466" s="382">
        <v>286</v>
      </c>
      <c r="J466" s="382">
        <v>0</v>
      </c>
      <c r="K466" s="382">
        <v>0</v>
      </c>
      <c r="L466" s="382">
        <v>13</v>
      </c>
      <c r="M466" s="382">
        <v>0</v>
      </c>
      <c r="N466" s="382">
        <v>286</v>
      </c>
      <c r="O466" s="444">
        <v>803</v>
      </c>
      <c r="P466" s="445">
        <v>299</v>
      </c>
      <c r="Q466" s="346">
        <v>0.37235367372353673</v>
      </c>
      <c r="R466" s="445">
        <v>524</v>
      </c>
      <c r="S466" s="447">
        <v>445</v>
      </c>
      <c r="T466" s="445">
        <v>0</v>
      </c>
      <c r="U466" s="444">
        <v>717.84076933947176</v>
      </c>
      <c r="V466" s="445">
        <v>299</v>
      </c>
      <c r="W466" s="229">
        <v>0.4165269134478497</v>
      </c>
      <c r="X466" s="261">
        <v>137902.17329778764</v>
      </c>
      <c r="Y466" s="262">
        <v>32710.735832948511</v>
      </c>
      <c r="Z466" s="262">
        <v>71282.634842532992</v>
      </c>
      <c r="AA466" s="262">
        <v>57353.634532133954</v>
      </c>
      <c r="AB466" s="263">
        <v>299249.17850540305</v>
      </c>
      <c r="AC466" s="262">
        <v>127267.38713849366</v>
      </c>
      <c r="AD466" s="262">
        <v>30188.138310534097</v>
      </c>
      <c r="AE466" s="262">
        <v>65785.43664548661</v>
      </c>
      <c r="AF466" s="263">
        <v>52930.617663571458</v>
      </c>
      <c r="AG466" s="262">
        <v>127267.38713849366</v>
      </c>
      <c r="AH466" s="262">
        <v>30188.138310534097</v>
      </c>
      <c r="AI466" s="262">
        <v>65785.43664548661</v>
      </c>
      <c r="AJ466" s="263">
        <v>52930.617663571458</v>
      </c>
      <c r="AK466" s="262">
        <v>127391.25114060307</v>
      </c>
      <c r="AL466" s="262">
        <v>31141.142578057817</v>
      </c>
      <c r="AM466" s="262">
        <v>65835.266124810645</v>
      </c>
      <c r="AN466" s="262">
        <v>52970.912117777429</v>
      </c>
      <c r="AO466" s="263">
        <v>277338.57196124899</v>
      </c>
      <c r="AP466" s="31"/>
      <c r="AQ466" s="261">
        <v>128617.5838754126</v>
      </c>
      <c r="AR466" s="262">
        <v>31489.001185040346</v>
      </c>
      <c r="AS466" s="262">
        <v>64923.416074092704</v>
      </c>
      <c r="AT466" s="262">
        <v>50842.970363984299</v>
      </c>
      <c r="AU466" s="263">
        <v>275872.97149852995</v>
      </c>
      <c r="AV466" s="31"/>
      <c r="AW466" s="323">
        <v>267640.63494267897</v>
      </c>
      <c r="AX466" s="31"/>
      <c r="AY466" s="747">
        <v>0</v>
      </c>
      <c r="AZ466" s="262">
        <v>8232.3365558509831</v>
      </c>
      <c r="BA466" s="262">
        <v>267640.63494267897</v>
      </c>
      <c r="BB466" s="262">
        <v>2619.6340487585085</v>
      </c>
      <c r="BC466" s="263">
        <v>265021.00089392049</v>
      </c>
      <c r="BD466" s="261">
        <v>2650.2100089392047</v>
      </c>
      <c r="BE466" s="262">
        <v>262370.79088498128</v>
      </c>
      <c r="BF466" s="354">
        <v>0.98031000016560887</v>
      </c>
      <c r="BG466" s="31"/>
      <c r="BJ466" s="4">
        <v>0.98031000016560887</v>
      </c>
      <c r="BL466" s="4">
        <v>1.0409944740621788</v>
      </c>
      <c r="BM466" s="4">
        <v>0.95</v>
      </c>
      <c r="BN466" s="4" t="s">
        <v>900</v>
      </c>
      <c r="BO466" s="31" t="s">
        <v>900</v>
      </c>
      <c r="BP466" s="31" t="s">
        <v>900</v>
      </c>
      <c r="BQ466" s="31">
        <v>261673.20345683343</v>
      </c>
      <c r="BR466" s="4">
        <v>0.97770356699712813</v>
      </c>
      <c r="BS466" s="4" t="s">
        <v>900</v>
      </c>
      <c r="BT466" s="448" t="s">
        <v>900</v>
      </c>
      <c r="BU466" s="367" t="s">
        <v>900</v>
      </c>
      <c r="BV466" s="368">
        <v>262370.79088498128</v>
      </c>
      <c r="BX466" s="449">
        <v>3447.0482549773587</v>
      </c>
      <c r="BY466" s="450">
        <v>1.3313347703418363E-2</v>
      </c>
      <c r="BZ466" s="368">
        <v>11.528589481529627</v>
      </c>
      <c r="CB466" s="31">
        <v>46900</v>
      </c>
      <c r="CC466" s="31">
        <v>52374.12968701456</v>
      </c>
      <c r="CD466" s="31" t="e">
        <v>#VALUE!</v>
      </c>
      <c r="CE466" s="31" t="s">
        <v>900</v>
      </c>
      <c r="CF466" s="31" t="e">
        <v>#VALUE!</v>
      </c>
      <c r="CJ466" s="702" t="s">
        <v>1447</v>
      </c>
      <c r="CK466" s="702" t="s">
        <v>1447</v>
      </c>
      <c r="CL466" s="702" t="s">
        <v>1448</v>
      </c>
      <c r="CN466" s="702" t="s">
        <v>1447</v>
      </c>
      <c r="CO466" s="702" t="s">
        <v>1447</v>
      </c>
      <c r="CP466" s="702" t="s">
        <v>1447</v>
      </c>
      <c r="CQ466" s="702" t="s">
        <v>1447</v>
      </c>
      <c r="CS466" s="451">
        <v>0</v>
      </c>
      <c r="CT466" s="452">
        <v>0</v>
      </c>
      <c r="CU466" s="452">
        <v>0.95</v>
      </c>
      <c r="CV466" s="453">
        <v>0.95</v>
      </c>
    </row>
    <row r="467" spans="1:100" outlineLevel="1" x14ac:dyDescent="0.3">
      <c r="A467" s="1">
        <v>110302000</v>
      </c>
      <c r="B467" s="47">
        <v>405640</v>
      </c>
      <c r="C467" s="47">
        <v>4444</v>
      </c>
      <c r="D467" s="47" t="s">
        <v>311</v>
      </c>
      <c r="E467" s="47" t="s">
        <v>20</v>
      </c>
      <c r="F467" s="47" t="s">
        <v>1498</v>
      </c>
      <c r="G467" s="47" t="s">
        <v>1502</v>
      </c>
      <c r="H467" s="47" t="s">
        <v>1508</v>
      </c>
      <c r="I467" s="382">
        <v>138</v>
      </c>
      <c r="J467" s="382">
        <v>0</v>
      </c>
      <c r="K467" s="382">
        <v>0</v>
      </c>
      <c r="L467" s="382">
        <v>6</v>
      </c>
      <c r="M467" s="382">
        <v>0</v>
      </c>
      <c r="N467" s="382">
        <v>138</v>
      </c>
      <c r="O467" s="444">
        <v>1031</v>
      </c>
      <c r="P467" s="445">
        <v>144</v>
      </c>
      <c r="Q467" s="346">
        <v>0.13967022308438409</v>
      </c>
      <c r="R467" s="445">
        <v>429</v>
      </c>
      <c r="S467" s="447">
        <v>270</v>
      </c>
      <c r="T467" s="445">
        <v>0</v>
      </c>
      <c r="U467" s="444">
        <v>921.66106250186226</v>
      </c>
      <c r="V467" s="445">
        <v>144</v>
      </c>
      <c r="W467" s="229">
        <v>0.15623964802105225</v>
      </c>
      <c r="X467" s="261">
        <v>66414.424598265614</v>
      </c>
      <c r="Y467" s="262">
        <v>13731.024616586066</v>
      </c>
      <c r="Z467" s="262">
        <v>19064.604242924452</v>
      </c>
      <c r="AA467" s="262">
        <v>12640.806479345527</v>
      </c>
      <c r="AB467" s="263">
        <v>111850.85993712167</v>
      </c>
      <c r="AC467" s="262">
        <v>61292.654675394937</v>
      </c>
      <c r="AD467" s="262">
        <v>12672.110844211624</v>
      </c>
      <c r="AE467" s="262">
        <v>17594.373683923372</v>
      </c>
      <c r="AF467" s="263">
        <v>11665.968515780132</v>
      </c>
      <c r="AG467" s="262">
        <v>61292.654675394937</v>
      </c>
      <c r="AH467" s="262">
        <v>12672.110844211624</v>
      </c>
      <c r="AI467" s="262">
        <v>17594.373683923372</v>
      </c>
      <c r="AJ467" s="263">
        <v>11665.968515780132</v>
      </c>
      <c r="AK467" s="262">
        <v>61416.518677504348</v>
      </c>
      <c r="AL467" s="262">
        <v>13625.115111735342</v>
      </c>
      <c r="AM467" s="262">
        <v>17644.20316324741</v>
      </c>
      <c r="AN467" s="262">
        <v>11706.262969986106</v>
      </c>
      <c r="AO467" s="263">
        <v>104392.09992247319</v>
      </c>
      <c r="AP467" s="31"/>
      <c r="AQ467" s="261">
        <v>60483.661095858137</v>
      </c>
      <c r="AR467" s="262">
        <v>14054.48795122095</v>
      </c>
      <c r="AS467" s="262">
        <v>19339.779475450505</v>
      </c>
      <c r="AT467" s="262">
        <v>11698.155649957951</v>
      </c>
      <c r="AU467" s="263">
        <v>105576.08417248754</v>
      </c>
      <c r="AV467" s="31"/>
      <c r="AW467" s="323">
        <v>116046.51290558399</v>
      </c>
      <c r="AX467" s="31"/>
      <c r="AY467" s="747">
        <v>0</v>
      </c>
      <c r="AZ467" s="262">
        <v>0</v>
      </c>
      <c r="BA467" s="262">
        <v>105576.08417248754</v>
      </c>
      <c r="BB467" s="262">
        <v>1033.3658971182617</v>
      </c>
      <c r="BC467" s="263">
        <v>104542.71827536928</v>
      </c>
      <c r="BD467" s="261">
        <v>1045.4271827536927</v>
      </c>
      <c r="BE467" s="262">
        <v>103497.29109261559</v>
      </c>
      <c r="BF467" s="354">
        <v>0.89186041442556308</v>
      </c>
      <c r="BG467" s="31"/>
      <c r="BJ467" s="4">
        <v>0.89186041442556308</v>
      </c>
      <c r="BL467" s="4">
        <v>0.91178706743193971</v>
      </c>
      <c r="BM467" s="4">
        <v>0.9</v>
      </c>
      <c r="BN467" s="4" t="s">
        <v>1003</v>
      </c>
      <c r="BO467" s="31">
        <v>944.57052240999474</v>
      </c>
      <c r="BP467" s="31">
        <v>104441.86161502558</v>
      </c>
      <c r="BQ467" s="31">
        <v>104441.86161502558</v>
      </c>
      <c r="BR467" s="4">
        <v>0.89999999999999991</v>
      </c>
      <c r="BS467" s="4" t="s">
        <v>900</v>
      </c>
      <c r="BT467" s="448" t="s">
        <v>900</v>
      </c>
      <c r="BU467" s="367" t="s">
        <v>900</v>
      </c>
      <c r="BV467" s="368">
        <v>103497.29109261559</v>
      </c>
      <c r="BX467" s="449">
        <v>3170.9410926155833</v>
      </c>
      <c r="BY467" s="450">
        <v>3.1606263883970497E-2</v>
      </c>
      <c r="BZ467" s="368">
        <v>22.020424254274886</v>
      </c>
      <c r="CB467" s="31">
        <v>16494</v>
      </c>
      <c r="CC467" s="31">
        <v>19716.229053563096</v>
      </c>
      <c r="CD467" s="31" t="e">
        <v>#VALUE!</v>
      </c>
      <c r="CE467" s="31" t="s">
        <v>900</v>
      </c>
      <c r="CF467" s="31" t="e">
        <v>#VALUE!</v>
      </c>
      <c r="CJ467" s="702" t="s">
        <v>1447</v>
      </c>
      <c r="CK467" s="702" t="s">
        <v>1447</v>
      </c>
      <c r="CL467" s="702" t="s">
        <v>1448</v>
      </c>
      <c r="CN467" s="702" t="s">
        <v>1447</v>
      </c>
      <c r="CO467" s="702" t="s">
        <v>1447</v>
      </c>
      <c r="CP467" s="702" t="s">
        <v>1447</v>
      </c>
      <c r="CQ467" s="702" t="s">
        <v>1447</v>
      </c>
      <c r="CS467" s="451">
        <v>0</v>
      </c>
      <c r="CT467" s="452">
        <v>0.9</v>
      </c>
      <c r="CU467" s="452">
        <v>0</v>
      </c>
      <c r="CV467" s="453">
        <v>0.9</v>
      </c>
    </row>
    <row r="468" spans="1:100" outlineLevel="1" x14ac:dyDescent="0.3">
      <c r="A468" s="1">
        <v>110411000</v>
      </c>
      <c r="B468" s="47">
        <v>402790</v>
      </c>
      <c r="C468" s="47">
        <v>4448</v>
      </c>
      <c r="D468" s="47" t="s">
        <v>156</v>
      </c>
      <c r="E468" s="47" t="s">
        <v>20</v>
      </c>
      <c r="F468" s="47" t="s">
        <v>1498</v>
      </c>
      <c r="G468" s="47" t="s">
        <v>1502</v>
      </c>
      <c r="H468" s="47" t="s">
        <v>1522</v>
      </c>
      <c r="I468" s="382">
        <v>494</v>
      </c>
      <c r="J468" s="382">
        <v>0</v>
      </c>
      <c r="K468" s="382">
        <v>0</v>
      </c>
      <c r="L468" s="382">
        <v>22</v>
      </c>
      <c r="M468" s="382">
        <v>0</v>
      </c>
      <c r="N468" s="382">
        <v>494</v>
      </c>
      <c r="O468" s="444">
        <v>1069</v>
      </c>
      <c r="P468" s="445">
        <v>516</v>
      </c>
      <c r="Q468" s="346">
        <v>0.48269410664172124</v>
      </c>
      <c r="R468" s="445">
        <v>952</v>
      </c>
      <c r="S468" s="447">
        <v>878</v>
      </c>
      <c r="T468" s="445">
        <v>0</v>
      </c>
      <c r="U468" s="444">
        <v>955.63111136226075</v>
      </c>
      <c r="V468" s="445">
        <v>516</v>
      </c>
      <c r="W468" s="229">
        <v>0.53995730555950339</v>
      </c>
      <c r="X468" s="261">
        <v>352267.09097800357</v>
      </c>
      <c r="Y468" s="262">
        <v>85916.452040399425</v>
      </c>
      <c r="Z468" s="262">
        <v>153600.47682916859</v>
      </c>
      <c r="AA468" s="262">
        <v>137064.70796160414</v>
      </c>
      <c r="AB468" s="263">
        <v>728848.72780917573</v>
      </c>
      <c r="AC468" s="262">
        <v>325100.83903346135</v>
      </c>
      <c r="AD468" s="262">
        <v>79290.718209201397</v>
      </c>
      <c r="AE468" s="262">
        <v>141755.06362080399</v>
      </c>
      <c r="AF468" s="263">
        <v>126494.50573563877</v>
      </c>
      <c r="AG468" s="262">
        <v>325100.83903346135</v>
      </c>
      <c r="AH468" s="262">
        <v>79290.718209201397</v>
      </c>
      <c r="AI468" s="262">
        <v>141755.06362080399</v>
      </c>
      <c r="AJ468" s="263">
        <v>126494.50573563877</v>
      </c>
      <c r="AK468" s="262">
        <v>325224.70303557074</v>
      </c>
      <c r="AL468" s="262">
        <v>80243.722476725117</v>
      </c>
      <c r="AM468" s="262">
        <v>141804.89310012804</v>
      </c>
      <c r="AN468" s="262">
        <v>126534.80018984474</v>
      </c>
      <c r="AO468" s="263">
        <v>673808.11880226876</v>
      </c>
      <c r="AP468" s="31"/>
      <c r="AQ468" s="261">
        <v>337851.78132442391</v>
      </c>
      <c r="AR468" s="262">
        <v>82727.025050211509</v>
      </c>
      <c r="AS468" s="262">
        <v>142287.8429917052</v>
      </c>
      <c r="AT468" s="262">
        <v>129238.17535573182</v>
      </c>
      <c r="AU468" s="263">
        <v>692104.82472207246</v>
      </c>
      <c r="AV468" s="31"/>
      <c r="AW468" s="323">
        <v>721353.36432454176</v>
      </c>
      <c r="AX468" s="31"/>
      <c r="AY468" s="747">
        <v>0</v>
      </c>
      <c r="AZ468" s="262">
        <v>0</v>
      </c>
      <c r="BA468" s="262">
        <v>692104.82472207246</v>
      </c>
      <c r="BB468" s="262">
        <v>6774.2380171093482</v>
      </c>
      <c r="BC468" s="263">
        <v>685330.58670496312</v>
      </c>
      <c r="BD468" s="261">
        <v>6853.3058670496312</v>
      </c>
      <c r="BE468" s="262">
        <v>678477.28083791351</v>
      </c>
      <c r="BF468" s="354">
        <v>0.94056160876607764</v>
      </c>
      <c r="BG468" s="31"/>
      <c r="BJ468" s="4">
        <v>0.94056160876607764</v>
      </c>
      <c r="BL468" s="4">
        <v>0.95909842290529601</v>
      </c>
      <c r="BM468" s="4">
        <v>0.95</v>
      </c>
      <c r="BN468" s="4" t="s">
        <v>1003</v>
      </c>
      <c r="BO468" s="31">
        <v>6808.4152704011649</v>
      </c>
      <c r="BP468" s="31">
        <v>685285.69610831467</v>
      </c>
      <c r="BQ468" s="31">
        <v>685285.69610831467</v>
      </c>
      <c r="BR468" s="4">
        <v>0.95</v>
      </c>
      <c r="BS468" s="4" t="s">
        <v>900</v>
      </c>
      <c r="BT468" s="448" t="s">
        <v>900</v>
      </c>
      <c r="BU468" s="367" t="s">
        <v>900</v>
      </c>
      <c r="BV468" s="368">
        <v>678477.28083791351</v>
      </c>
      <c r="BX468" s="449">
        <v>-21903.331662086537</v>
      </c>
      <c r="BY468" s="450">
        <v>-3.1273469412442557E-2</v>
      </c>
      <c r="BZ468" s="368">
        <v>-42.448317174586315</v>
      </c>
      <c r="CB468" s="31">
        <v>79363</v>
      </c>
      <c r="CC468" s="31">
        <v>88521.934162213845</v>
      </c>
      <c r="CD468" s="31" t="e">
        <v>#VALUE!</v>
      </c>
      <c r="CE468" s="31" t="s">
        <v>900</v>
      </c>
      <c r="CF468" s="31" t="e">
        <v>#VALUE!</v>
      </c>
      <c r="CJ468" s="702" t="s">
        <v>1447</v>
      </c>
      <c r="CK468" s="702" t="s">
        <v>1447</v>
      </c>
      <c r="CL468" s="702" t="s">
        <v>1448</v>
      </c>
      <c r="CN468" s="702" t="s">
        <v>1447</v>
      </c>
      <c r="CO468" s="702" t="s">
        <v>1447</v>
      </c>
      <c r="CP468" s="702" t="s">
        <v>1447</v>
      </c>
      <c r="CQ468" s="702" t="s">
        <v>1447</v>
      </c>
      <c r="CS468" s="451">
        <v>0</v>
      </c>
      <c r="CT468" s="452">
        <v>0</v>
      </c>
      <c r="CU468" s="452">
        <v>0.95</v>
      </c>
      <c r="CV468" s="453">
        <v>0.95</v>
      </c>
    </row>
    <row r="469" spans="1:100" outlineLevel="1" x14ac:dyDescent="0.3">
      <c r="A469" s="1">
        <v>110208000</v>
      </c>
      <c r="B469" s="47">
        <v>404570</v>
      </c>
      <c r="C469" s="47">
        <v>4439</v>
      </c>
      <c r="D469" s="47" t="s">
        <v>268</v>
      </c>
      <c r="E469" s="47" t="s">
        <v>20</v>
      </c>
      <c r="F469" s="47" t="s">
        <v>1503</v>
      </c>
      <c r="G469" s="47" t="s">
        <v>1502</v>
      </c>
      <c r="H469" s="47" t="s">
        <v>1516</v>
      </c>
      <c r="I469" s="382">
        <v>167</v>
      </c>
      <c r="J469" s="382">
        <v>0</v>
      </c>
      <c r="K469" s="382">
        <v>0</v>
      </c>
      <c r="L469" s="382">
        <v>7</v>
      </c>
      <c r="M469" s="382">
        <v>0</v>
      </c>
      <c r="N469" s="382">
        <v>167</v>
      </c>
      <c r="O469" s="444">
        <v>1124</v>
      </c>
      <c r="P469" s="445">
        <v>174</v>
      </c>
      <c r="Q469" s="346">
        <v>0.15480427046263345</v>
      </c>
      <c r="R469" s="445">
        <v>783</v>
      </c>
      <c r="S469" s="447">
        <v>638</v>
      </c>
      <c r="T469" s="445">
        <v>0</v>
      </c>
      <c r="U469" s="444">
        <v>1004.7982873444163</v>
      </c>
      <c r="V469" s="445">
        <v>174</v>
      </c>
      <c r="W469" s="229">
        <v>0.17316908497113884</v>
      </c>
      <c r="X469" s="261">
        <v>247526.77171046709</v>
      </c>
      <c r="Y469" s="262">
        <v>60370.731626773464</v>
      </c>
      <c r="Z469" s="262">
        <v>82322.008550970189</v>
      </c>
      <c r="AA469" s="262">
        <v>67293.153803316731</v>
      </c>
      <c r="AB469" s="263">
        <v>457512.66569152742</v>
      </c>
      <c r="AC469" s="262">
        <v>228437.9189180113</v>
      </c>
      <c r="AD469" s="262">
        <v>55715.041250201553</v>
      </c>
      <c r="AE469" s="262">
        <v>75973.472221142947</v>
      </c>
      <c r="AF469" s="263">
        <v>62103.61774620635</v>
      </c>
      <c r="AG469" s="262">
        <v>228437.9189180113</v>
      </c>
      <c r="AH469" s="262">
        <v>55715.041250201553</v>
      </c>
      <c r="AI469" s="262">
        <v>75973.472221142947</v>
      </c>
      <c r="AJ469" s="263">
        <v>62103.61774620635</v>
      </c>
      <c r="AK469" s="262">
        <v>228561.78292012072</v>
      </c>
      <c r="AL469" s="262">
        <v>56668.045517725273</v>
      </c>
      <c r="AM469" s="262">
        <v>76023.301700466982</v>
      </c>
      <c r="AN469" s="262">
        <v>62143.91220041232</v>
      </c>
      <c r="AO469" s="263">
        <v>423397.04233872524</v>
      </c>
      <c r="AP469" s="31"/>
      <c r="AQ469" s="261">
        <v>237397.59656710937</v>
      </c>
      <c r="AR469" s="262">
        <v>58129.623709778898</v>
      </c>
      <c r="AS469" s="262">
        <v>78786.982657953267</v>
      </c>
      <c r="AT469" s="262">
        <v>64479.661176994705</v>
      </c>
      <c r="AU469" s="263">
        <v>438793.8641118363</v>
      </c>
      <c r="AV469" s="31"/>
      <c r="AW469" s="323">
        <v>482745.0471452761</v>
      </c>
      <c r="AX469" s="31"/>
      <c r="AY469" s="747">
        <v>0</v>
      </c>
      <c r="AZ469" s="262">
        <v>0</v>
      </c>
      <c r="BA469" s="262">
        <v>438793.8641118363</v>
      </c>
      <c r="BB469" s="262">
        <v>4294.8610813894775</v>
      </c>
      <c r="BC469" s="263">
        <v>434499.00303044682</v>
      </c>
      <c r="BD469" s="261">
        <v>4344.9900303044687</v>
      </c>
      <c r="BE469" s="262">
        <v>430154.01300014235</v>
      </c>
      <c r="BF469" s="354">
        <v>0.89105836619944212</v>
      </c>
      <c r="BG469" s="31"/>
      <c r="BJ469" s="4">
        <v>0.89105836619944212</v>
      </c>
      <c r="BL469" s="4">
        <v>0.9</v>
      </c>
      <c r="BM469" s="4">
        <v>0.9</v>
      </c>
      <c r="BN469" s="4" t="s">
        <v>1003</v>
      </c>
      <c r="BO469" s="31">
        <v>4316.5294306061114</v>
      </c>
      <c r="BP469" s="31">
        <v>434470.54243074846</v>
      </c>
      <c r="BQ469" s="31">
        <v>434470.54243074846</v>
      </c>
      <c r="BR469" s="4">
        <v>0.89999999999999991</v>
      </c>
      <c r="BS469" s="4" t="s">
        <v>900</v>
      </c>
      <c r="BT469" s="448" t="s">
        <v>900</v>
      </c>
      <c r="BU469" s="367" t="s">
        <v>900</v>
      </c>
      <c r="BV469" s="368">
        <v>430154.01300014235</v>
      </c>
      <c r="BX469" s="449">
        <v>-12562.826999857614</v>
      </c>
      <c r="BY469" s="450">
        <v>-2.8376663963940507E-2</v>
      </c>
      <c r="BZ469" s="368">
        <v>-72.200155171595483</v>
      </c>
      <c r="CB469" s="31">
        <v>61169</v>
      </c>
      <c r="CC469" s="31">
        <v>64951.777192513327</v>
      </c>
      <c r="CD469" s="31" t="e">
        <v>#VALUE!</v>
      </c>
      <c r="CE469" s="31" t="s">
        <v>900</v>
      </c>
      <c r="CF469" s="31" t="e">
        <v>#VALUE!</v>
      </c>
      <c r="CJ469" s="702" t="s">
        <v>1447</v>
      </c>
      <c r="CK469" s="702" t="s">
        <v>1447</v>
      </c>
      <c r="CL469" s="702" t="s">
        <v>1448</v>
      </c>
      <c r="CN469" s="702" t="s">
        <v>1447</v>
      </c>
      <c r="CO469" s="702" t="s">
        <v>1447</v>
      </c>
      <c r="CP469" s="702" t="s">
        <v>1447</v>
      </c>
      <c r="CQ469" s="702" t="s">
        <v>1447</v>
      </c>
      <c r="CS469" s="451">
        <v>0</v>
      </c>
      <c r="CT469" s="452">
        <v>0.9</v>
      </c>
      <c r="CU469" s="452">
        <v>0</v>
      </c>
      <c r="CV469" s="453">
        <v>0.9</v>
      </c>
    </row>
    <row r="470" spans="1:100" outlineLevel="1" x14ac:dyDescent="0.3">
      <c r="A470" s="1">
        <v>110418000</v>
      </c>
      <c r="B470" s="47">
        <v>407200</v>
      </c>
      <c r="C470" s="47">
        <v>4449</v>
      </c>
      <c r="D470" s="47" t="s">
        <v>364</v>
      </c>
      <c r="E470" s="47" t="s">
        <v>20</v>
      </c>
      <c r="F470" s="47" t="s">
        <v>1498</v>
      </c>
      <c r="G470" s="47" t="s">
        <v>1499</v>
      </c>
      <c r="H470" s="47" t="s">
        <v>1510</v>
      </c>
      <c r="I470" s="382">
        <v>572</v>
      </c>
      <c r="J470" s="382">
        <v>1</v>
      </c>
      <c r="K470" s="382">
        <v>0</v>
      </c>
      <c r="L470" s="382">
        <v>25</v>
      </c>
      <c r="M470" s="382">
        <v>0</v>
      </c>
      <c r="N470" s="382">
        <v>573</v>
      </c>
      <c r="O470" s="444">
        <v>1197</v>
      </c>
      <c r="P470" s="445">
        <v>598</v>
      </c>
      <c r="Q470" s="346">
        <v>0.49958228905597324</v>
      </c>
      <c r="R470" s="445">
        <v>486</v>
      </c>
      <c r="S470" s="447">
        <v>408</v>
      </c>
      <c r="T470" s="445">
        <v>0</v>
      </c>
      <c r="U470" s="444">
        <v>1070.0565391025502</v>
      </c>
      <c r="V470" s="445">
        <v>598</v>
      </c>
      <c r="W470" s="229">
        <v>0.55884897493504304</v>
      </c>
      <c r="X470" s="261">
        <v>620989.17504924326</v>
      </c>
      <c r="Y470" s="262">
        <v>151456.63061400483</v>
      </c>
      <c r="Z470" s="262">
        <v>385395.9206693981</v>
      </c>
      <c r="AA470" s="262">
        <v>423920.4661064549</v>
      </c>
      <c r="AB470" s="263">
        <v>1581762.1924391009</v>
      </c>
      <c r="AC470" s="262">
        <v>573099.52308832656</v>
      </c>
      <c r="AD470" s="262">
        <v>139776.54725876331</v>
      </c>
      <c r="AE470" s="262">
        <v>355674.82849971415</v>
      </c>
      <c r="AF470" s="263">
        <v>391228.42509086413</v>
      </c>
      <c r="AG470" s="262">
        <v>573099.52308832656</v>
      </c>
      <c r="AH470" s="262">
        <v>139776.54725876331</v>
      </c>
      <c r="AI470" s="262">
        <v>355674.82849971415</v>
      </c>
      <c r="AJ470" s="263">
        <v>391228.42509086413</v>
      </c>
      <c r="AK470" s="262">
        <v>573223.38709043595</v>
      </c>
      <c r="AL470" s="262">
        <v>140729.55152628702</v>
      </c>
      <c r="AM470" s="262">
        <v>355724.65797903819</v>
      </c>
      <c r="AN470" s="262">
        <v>391268.71954507008</v>
      </c>
      <c r="AO470" s="263">
        <v>1460946.3161408312</v>
      </c>
      <c r="AP470" s="31"/>
      <c r="AQ470" s="261">
        <v>595577.34556212579</v>
      </c>
      <c r="AR470" s="262">
        <v>145834.1933036735</v>
      </c>
      <c r="AS470" s="262">
        <v>368846.46345121198</v>
      </c>
      <c r="AT470" s="262">
        <v>406196.56645057758</v>
      </c>
      <c r="AU470" s="263">
        <v>1516454.5687675891</v>
      </c>
      <c r="AV470" s="31"/>
      <c r="AW470" s="323">
        <v>1580540.3545121914</v>
      </c>
      <c r="AX470" s="31"/>
      <c r="AY470" s="747">
        <v>0</v>
      </c>
      <c r="AZ470" s="262">
        <v>0</v>
      </c>
      <c r="BA470" s="262">
        <v>1516454.5687675891</v>
      </c>
      <c r="BB470" s="262">
        <v>14842.873252747238</v>
      </c>
      <c r="BC470" s="263">
        <v>1501611.6955148417</v>
      </c>
      <c r="BD470" s="261">
        <v>15016.116955148418</v>
      </c>
      <c r="BE470" s="262">
        <v>1486595.5785596932</v>
      </c>
      <c r="BF470" s="354">
        <v>0.94056160876607753</v>
      </c>
      <c r="BG470" s="31"/>
      <c r="BJ470" s="4">
        <v>0.94056160876607753</v>
      </c>
      <c r="BL470" s="4">
        <v>0.95</v>
      </c>
      <c r="BM470" s="4">
        <v>0.95</v>
      </c>
      <c r="BN470" s="4" t="s">
        <v>1003</v>
      </c>
      <c r="BO470" s="31">
        <v>14917.758226888487</v>
      </c>
      <c r="BP470" s="31">
        <v>1501513.3367865817</v>
      </c>
      <c r="BQ470" s="31">
        <v>1501513.3367865817</v>
      </c>
      <c r="BR470" s="4">
        <v>0.95</v>
      </c>
      <c r="BS470" s="4" t="s">
        <v>900</v>
      </c>
      <c r="BT470" s="448" t="s">
        <v>900</v>
      </c>
      <c r="BU470" s="367" t="s">
        <v>900</v>
      </c>
      <c r="BV470" s="368">
        <v>1486595.5785596932</v>
      </c>
      <c r="BX470" s="449">
        <v>-57975.411440306809</v>
      </c>
      <c r="BY470" s="450">
        <v>-3.7534960720909838E-2</v>
      </c>
      <c r="BZ470" s="368">
        <v>-96.948848562385962</v>
      </c>
      <c r="CB470" s="31">
        <v>47854</v>
      </c>
      <c r="CC470" s="31">
        <v>58430.340837388307</v>
      </c>
      <c r="CD470" s="31" t="e">
        <v>#VALUE!</v>
      </c>
      <c r="CE470" s="31" t="s">
        <v>900</v>
      </c>
      <c r="CF470" s="31" t="e">
        <v>#VALUE!</v>
      </c>
      <c r="CJ470" s="702" t="s">
        <v>1447</v>
      </c>
      <c r="CK470" s="702" t="s">
        <v>1447</v>
      </c>
      <c r="CL470" s="702" t="s">
        <v>1448</v>
      </c>
      <c r="CN470" s="702" t="s">
        <v>1447</v>
      </c>
      <c r="CO470" s="702" t="s">
        <v>1447</v>
      </c>
      <c r="CP470" s="702" t="s">
        <v>1447</v>
      </c>
      <c r="CQ470" s="702" t="s">
        <v>1447</v>
      </c>
      <c r="CS470" s="451">
        <v>0</v>
      </c>
      <c r="CT470" s="452">
        <v>0</v>
      </c>
      <c r="CU470" s="452">
        <v>0.95</v>
      </c>
      <c r="CV470" s="453">
        <v>0.95</v>
      </c>
    </row>
    <row r="471" spans="1:100" outlineLevel="1" x14ac:dyDescent="0.3">
      <c r="A471" s="1">
        <v>110422000</v>
      </c>
      <c r="B471" s="47">
        <v>408550</v>
      </c>
      <c r="C471" s="47">
        <v>4450</v>
      </c>
      <c r="D471" s="47" t="s">
        <v>416</v>
      </c>
      <c r="E471" s="47" t="s">
        <v>20</v>
      </c>
      <c r="F471" s="47" t="s">
        <v>1498</v>
      </c>
      <c r="G471" s="47" t="s">
        <v>1502</v>
      </c>
      <c r="H471" s="47" t="s">
        <v>1507</v>
      </c>
      <c r="I471" s="382">
        <v>354</v>
      </c>
      <c r="J471" s="382">
        <v>0</v>
      </c>
      <c r="K471" s="382">
        <v>0</v>
      </c>
      <c r="L471" s="382">
        <v>16</v>
      </c>
      <c r="M471" s="382">
        <v>0</v>
      </c>
      <c r="N471" s="382">
        <v>354</v>
      </c>
      <c r="O471" s="444">
        <v>1926</v>
      </c>
      <c r="P471" s="445">
        <v>370</v>
      </c>
      <c r="Q471" s="346">
        <v>0.19210799584631361</v>
      </c>
      <c r="R471" s="445">
        <v>1174</v>
      </c>
      <c r="S471" s="447">
        <v>1104</v>
      </c>
      <c r="T471" s="445">
        <v>0</v>
      </c>
      <c r="U471" s="444">
        <v>1721.7451080296671</v>
      </c>
      <c r="V471" s="445">
        <v>370</v>
      </c>
      <c r="W471" s="229">
        <v>0.21489824380765693</v>
      </c>
      <c r="X471" s="261">
        <v>173132.48133127505</v>
      </c>
      <c r="Y471" s="262">
        <v>40995.676739952396</v>
      </c>
      <c r="Z471" s="262">
        <v>58235.914652006359</v>
      </c>
      <c r="AA471" s="262">
        <v>44197.514077936859</v>
      </c>
      <c r="AB471" s="263">
        <v>316561.58680117066</v>
      </c>
      <c r="AC471" s="262">
        <v>159780.79243359467</v>
      </c>
      <c r="AD471" s="262">
        <v>37834.158359502551</v>
      </c>
      <c r="AE471" s="262">
        <v>53744.857808561253</v>
      </c>
      <c r="AF471" s="263">
        <v>40789.075329286738</v>
      </c>
      <c r="AG471" s="262">
        <v>159780.79243359467</v>
      </c>
      <c r="AH471" s="262">
        <v>37834.158359502551</v>
      </c>
      <c r="AI471" s="262">
        <v>53744.857808561253</v>
      </c>
      <c r="AJ471" s="263">
        <v>40789.075329286738</v>
      </c>
      <c r="AK471" s="262">
        <v>159904.65643570409</v>
      </c>
      <c r="AL471" s="262">
        <v>38787.162627026271</v>
      </c>
      <c r="AM471" s="262">
        <v>53794.687287885288</v>
      </c>
      <c r="AN471" s="262">
        <v>40829.369783492708</v>
      </c>
      <c r="AO471" s="263">
        <v>293315.87613410834</v>
      </c>
      <c r="AP471" s="31"/>
      <c r="AQ471" s="261">
        <v>157507.4565273792</v>
      </c>
      <c r="AR471" s="262">
        <v>38291.541604080463</v>
      </c>
      <c r="AS471" s="262">
        <v>53064.240280692611</v>
      </c>
      <c r="AT471" s="262">
        <v>40240.157165074379</v>
      </c>
      <c r="AU471" s="263">
        <v>289103.39557722665</v>
      </c>
      <c r="AV471" s="31"/>
      <c r="AW471" s="323">
        <v>300276.75998918648</v>
      </c>
      <c r="AX471" s="31"/>
      <c r="AY471" s="747">
        <v>0</v>
      </c>
      <c r="AZ471" s="262">
        <v>0</v>
      </c>
      <c r="BA471" s="262">
        <v>289103.39557722665</v>
      </c>
      <c r="BB471" s="262">
        <v>2829.7089447123931</v>
      </c>
      <c r="BC471" s="263">
        <v>286273.68663251423</v>
      </c>
      <c r="BD471" s="261">
        <v>2862.7368663251423</v>
      </c>
      <c r="BE471" s="262">
        <v>283410.94976618909</v>
      </c>
      <c r="BF471" s="354">
        <v>0.94383244902600938</v>
      </c>
      <c r="BG471" s="31"/>
      <c r="BJ471" s="4">
        <v>0.94383244902600938</v>
      </c>
      <c r="BL471" s="4">
        <v>0.89999999999999991</v>
      </c>
      <c r="BM471" s="4">
        <v>0.9</v>
      </c>
      <c r="BN471" s="4" t="s">
        <v>900</v>
      </c>
      <c r="BO471" s="31" t="s">
        <v>900</v>
      </c>
      <c r="BP471" s="31" t="s">
        <v>900</v>
      </c>
      <c r="BQ471" s="31">
        <v>282657.4210868362</v>
      </c>
      <c r="BR471" s="4">
        <v>0.94132300181011419</v>
      </c>
      <c r="BS471" s="4" t="s">
        <v>900</v>
      </c>
      <c r="BT471" s="448" t="s">
        <v>900</v>
      </c>
      <c r="BU471" s="367" t="s">
        <v>900</v>
      </c>
      <c r="BV471" s="368">
        <v>283410.94976618909</v>
      </c>
      <c r="BX471" s="449">
        <v>3041.3930124824401</v>
      </c>
      <c r="BY471" s="450">
        <v>1.0848094910103901E-2</v>
      </c>
      <c r="BZ471" s="368">
        <v>8.219981114817406</v>
      </c>
      <c r="CB471" s="31">
        <v>26977</v>
      </c>
      <c r="CC471" s="31">
        <v>34598.800005593628</v>
      </c>
      <c r="CD471" s="31" t="e">
        <v>#VALUE!</v>
      </c>
      <c r="CE471" s="31" t="s">
        <v>900</v>
      </c>
      <c r="CF471" s="31" t="e">
        <v>#VALUE!</v>
      </c>
      <c r="CJ471" s="702" t="s">
        <v>1447</v>
      </c>
      <c r="CK471" s="702" t="s">
        <v>1447</v>
      </c>
      <c r="CL471" s="702" t="s">
        <v>1448</v>
      </c>
      <c r="CN471" s="702" t="s">
        <v>1447</v>
      </c>
      <c r="CO471" s="702" t="s">
        <v>1447</v>
      </c>
      <c r="CP471" s="702" t="s">
        <v>1447</v>
      </c>
      <c r="CQ471" s="702" t="s">
        <v>1447</v>
      </c>
      <c r="CS471" s="451">
        <v>0</v>
      </c>
      <c r="CT471" s="452">
        <v>0.9</v>
      </c>
      <c r="CU471" s="452">
        <v>0</v>
      </c>
      <c r="CV471" s="453">
        <v>0.9</v>
      </c>
    </row>
    <row r="472" spans="1:100" outlineLevel="1" x14ac:dyDescent="0.3">
      <c r="A472" s="1">
        <v>110502000</v>
      </c>
      <c r="B472" s="47">
        <v>401740</v>
      </c>
      <c r="C472" s="47">
        <v>4453</v>
      </c>
      <c r="D472" s="47" t="s">
        <v>94</v>
      </c>
      <c r="E472" s="47" t="s">
        <v>20</v>
      </c>
      <c r="F472" s="47" t="s">
        <v>1501</v>
      </c>
      <c r="G472" s="47" t="s">
        <v>1502</v>
      </c>
      <c r="H472" s="47" t="s">
        <v>1510</v>
      </c>
      <c r="I472" s="382">
        <v>1273</v>
      </c>
      <c r="J472" s="382">
        <v>0</v>
      </c>
      <c r="K472" s="382">
        <v>0</v>
      </c>
      <c r="L472" s="382">
        <v>56</v>
      </c>
      <c r="M472" s="382">
        <v>0</v>
      </c>
      <c r="N472" s="382">
        <v>1273</v>
      </c>
      <c r="O472" s="444">
        <v>5352</v>
      </c>
      <c r="P472" s="445">
        <v>1329</v>
      </c>
      <c r="Q472" s="346">
        <v>0.24831838565022421</v>
      </c>
      <c r="R472" s="445">
        <v>3276</v>
      </c>
      <c r="S472" s="447">
        <v>2231</v>
      </c>
      <c r="T472" s="445">
        <v>0</v>
      </c>
      <c r="U472" s="444">
        <v>4784.4131973908507</v>
      </c>
      <c r="V472" s="445">
        <v>1329</v>
      </c>
      <c r="W472" s="229">
        <v>0.27777701155175344</v>
      </c>
      <c r="X472" s="261">
        <v>612949.79368815967</v>
      </c>
      <c r="Y472" s="262">
        <v>145244.1474829512</v>
      </c>
      <c r="Z472" s="262">
        <v>246315.23468099179</v>
      </c>
      <c r="AA472" s="262">
        <v>211894.51155063065</v>
      </c>
      <c r="AB472" s="263">
        <v>1216403.6874027334</v>
      </c>
      <c r="AC472" s="262">
        <v>565680.12544166576</v>
      </c>
      <c r="AD472" s="262">
        <v>134043.16049027615</v>
      </c>
      <c r="AE472" s="262">
        <v>227319.81360846048</v>
      </c>
      <c r="AF472" s="263">
        <v>195553.55937576629</v>
      </c>
      <c r="AG472" s="262">
        <v>565680.12544166576</v>
      </c>
      <c r="AH472" s="262">
        <v>134043.16049027615</v>
      </c>
      <c r="AI472" s="262">
        <v>227319.81360846048</v>
      </c>
      <c r="AJ472" s="263">
        <v>195553.55937576629</v>
      </c>
      <c r="AK472" s="262">
        <v>565803.98944377515</v>
      </c>
      <c r="AL472" s="262">
        <v>134996.16475779985</v>
      </c>
      <c r="AM472" s="262">
        <v>227369.64308778453</v>
      </c>
      <c r="AN472" s="262">
        <v>195593.85382997227</v>
      </c>
      <c r="AO472" s="263">
        <v>1123763.6511193318</v>
      </c>
      <c r="AP472" s="31"/>
      <c r="AQ472" s="261">
        <v>557209.97349100129</v>
      </c>
      <c r="AR472" s="262">
        <v>130709.66796772802</v>
      </c>
      <c r="AS472" s="262">
        <v>231338.5564439829</v>
      </c>
      <c r="AT472" s="262">
        <v>202376.38368742549</v>
      </c>
      <c r="AU472" s="263">
        <v>1121634.5815901377</v>
      </c>
      <c r="AV472" s="31"/>
      <c r="AW472" s="323">
        <v>1223466.116271426</v>
      </c>
      <c r="AX472" s="31"/>
      <c r="AY472" s="747">
        <v>0</v>
      </c>
      <c r="AZ472" s="262">
        <v>0</v>
      </c>
      <c r="BA472" s="262">
        <v>1121634.5815901377</v>
      </c>
      <c r="BB472" s="262">
        <v>10978.423141268599</v>
      </c>
      <c r="BC472" s="263">
        <v>1110656.1584488691</v>
      </c>
      <c r="BD472" s="261">
        <v>11106.561584488691</v>
      </c>
      <c r="BE472" s="262">
        <v>1099549.5968643804</v>
      </c>
      <c r="BF472" s="354">
        <v>0.8987168359147637</v>
      </c>
      <c r="BG472" s="31"/>
      <c r="BJ472" s="4">
        <v>0.8987168359147637</v>
      </c>
      <c r="BL472" s="4">
        <v>0.90899855504902827</v>
      </c>
      <c r="BM472" s="4">
        <v>0.9</v>
      </c>
      <c r="BN472" s="4" t="s">
        <v>1003</v>
      </c>
      <c r="BO472" s="31">
        <v>1569.9077799031511</v>
      </c>
      <c r="BP472" s="31">
        <v>1101119.5046442836</v>
      </c>
      <c r="BQ472" s="31">
        <v>1101119.5046442836</v>
      </c>
      <c r="BR472" s="4">
        <v>0.90000000000000013</v>
      </c>
      <c r="BS472" s="4" t="s">
        <v>900</v>
      </c>
      <c r="BT472" s="448" t="s">
        <v>900</v>
      </c>
      <c r="BU472" s="367" t="s">
        <v>900</v>
      </c>
      <c r="BV472" s="368">
        <v>1099549.5968643804</v>
      </c>
      <c r="BX472" s="449">
        <v>25886.128184027737</v>
      </c>
      <c r="BY472" s="450">
        <v>2.4110749352123657E-2</v>
      </c>
      <c r="BZ472" s="368">
        <v>19.477899310780842</v>
      </c>
      <c r="CB472" s="31">
        <v>108766</v>
      </c>
      <c r="CC472" s="31">
        <v>134718.67578042214</v>
      </c>
      <c r="CD472" s="31" t="e">
        <v>#VALUE!</v>
      </c>
      <c r="CE472" s="31" t="s">
        <v>900</v>
      </c>
      <c r="CF472" s="31" t="e">
        <v>#VALUE!</v>
      </c>
      <c r="CJ472" s="702" t="s">
        <v>1447</v>
      </c>
      <c r="CK472" s="702" t="s">
        <v>1447</v>
      </c>
      <c r="CL472" s="702" t="s">
        <v>1448</v>
      </c>
      <c r="CN472" s="702" t="s">
        <v>1447</v>
      </c>
      <c r="CO472" s="702" t="s">
        <v>1447</v>
      </c>
      <c r="CP472" s="702" t="s">
        <v>1447</v>
      </c>
      <c r="CQ472" s="702" t="s">
        <v>1447</v>
      </c>
      <c r="CS472" s="451">
        <v>0</v>
      </c>
      <c r="CT472" s="452">
        <v>0.9</v>
      </c>
      <c r="CU472" s="452">
        <v>0</v>
      </c>
      <c r="CV472" s="453">
        <v>0.9</v>
      </c>
    </row>
    <row r="473" spans="1:100" outlineLevel="1" x14ac:dyDescent="0.3">
      <c r="A473" s="1">
        <v>110243000</v>
      </c>
      <c r="B473" s="47">
        <v>400790</v>
      </c>
      <c r="C473" s="47">
        <v>4443</v>
      </c>
      <c r="D473" s="47" t="s">
        <v>39</v>
      </c>
      <c r="E473" s="47" t="s">
        <v>20</v>
      </c>
      <c r="F473" s="47" t="s">
        <v>1503</v>
      </c>
      <c r="G473" s="47" t="s">
        <v>1502</v>
      </c>
      <c r="H473" s="47" t="s">
        <v>1510</v>
      </c>
      <c r="I473" s="382">
        <v>2090</v>
      </c>
      <c r="J473" s="382">
        <v>0</v>
      </c>
      <c r="K473" s="382">
        <v>0</v>
      </c>
      <c r="L473" s="382">
        <v>92</v>
      </c>
      <c r="M473" s="382">
        <v>0</v>
      </c>
      <c r="N473" s="382">
        <v>2090</v>
      </c>
      <c r="O473" s="444">
        <v>7422</v>
      </c>
      <c r="P473" s="445">
        <v>2182</v>
      </c>
      <c r="Q473" s="346">
        <v>0.29399083804904336</v>
      </c>
      <c r="R473" s="445">
        <v>4380</v>
      </c>
      <c r="S473" s="447">
        <v>2905</v>
      </c>
      <c r="T473" s="445">
        <v>0</v>
      </c>
      <c r="U473" s="444">
        <v>6634.8869116283431</v>
      </c>
      <c r="V473" s="445">
        <v>2182</v>
      </c>
      <c r="W473" s="229">
        <v>0.32886770024306122</v>
      </c>
      <c r="X473" s="261">
        <v>1006363.0171764968</v>
      </c>
      <c r="Y473" s="262">
        <v>238467.06531813359</v>
      </c>
      <c r="Z473" s="262">
        <v>424942.07934787049</v>
      </c>
      <c r="AA473" s="262">
        <v>307796.60632345942</v>
      </c>
      <c r="AB473" s="263">
        <v>1977568.7681659604</v>
      </c>
      <c r="AC473" s="262">
        <v>928753.97570633143</v>
      </c>
      <c r="AD473" s="262">
        <v>220076.88200886574</v>
      </c>
      <c r="AE473" s="262">
        <v>392171.25321888999</v>
      </c>
      <c r="AF473" s="263">
        <v>284059.84416425932</v>
      </c>
      <c r="AG473" s="262">
        <v>928753.97570633143</v>
      </c>
      <c r="AH473" s="262">
        <v>220076.88200886574</v>
      </c>
      <c r="AI473" s="262">
        <v>392171.25321888999</v>
      </c>
      <c r="AJ473" s="263">
        <v>284059.84416425932</v>
      </c>
      <c r="AK473" s="262">
        <v>928877.83970844082</v>
      </c>
      <c r="AL473" s="262">
        <v>221029.88627638944</v>
      </c>
      <c r="AM473" s="262">
        <v>392221.08269821404</v>
      </c>
      <c r="AN473" s="262">
        <v>284100.13861846528</v>
      </c>
      <c r="AO473" s="263">
        <v>1826228.9473015096</v>
      </c>
      <c r="AP473" s="31"/>
      <c r="AQ473" s="261">
        <v>914769.08275096514</v>
      </c>
      <c r="AR473" s="262">
        <v>214011.58394362679</v>
      </c>
      <c r="AS473" s="262">
        <v>386788.63235354639</v>
      </c>
      <c r="AT473" s="262">
        <v>272687.29856994067</v>
      </c>
      <c r="AU473" s="263">
        <v>1788256.597618079</v>
      </c>
      <c r="AV473" s="31"/>
      <c r="AW473" s="323">
        <v>1487388.4519219706</v>
      </c>
      <c r="AX473" s="31"/>
      <c r="AY473" s="747">
        <v>0</v>
      </c>
      <c r="AZ473" s="262">
        <v>168698.9749497436</v>
      </c>
      <c r="BA473" s="262">
        <v>1619557.6226683354</v>
      </c>
      <c r="BB473" s="262">
        <v>15852.033429740635</v>
      </c>
      <c r="BC473" s="263">
        <v>1603705.5892385948</v>
      </c>
      <c r="BD473" s="261">
        <v>16037.055892385948</v>
      </c>
      <c r="BE473" s="262">
        <v>1587668.5333462087</v>
      </c>
      <c r="BF473" s="354">
        <v>1.0674202366534837</v>
      </c>
      <c r="BG473" s="31"/>
      <c r="BJ473" s="4">
        <v>1.0674202366534837</v>
      </c>
      <c r="BL473" s="4">
        <v>1.2076506180260007</v>
      </c>
      <c r="BM473" s="4">
        <v>0.95</v>
      </c>
      <c r="BN473" s="4" t="s">
        <v>900</v>
      </c>
      <c r="BO473" s="31" t="s">
        <v>900</v>
      </c>
      <c r="BP473" s="31" t="s">
        <v>900</v>
      </c>
      <c r="BQ473" s="31">
        <v>1583447.2646402202</v>
      </c>
      <c r="BR473" s="4">
        <v>1.0645821961264554</v>
      </c>
      <c r="BS473" s="4" t="s">
        <v>900</v>
      </c>
      <c r="BT473" s="448" t="s">
        <v>900</v>
      </c>
      <c r="BU473" s="367" t="s">
        <v>900</v>
      </c>
      <c r="BV473" s="368">
        <v>1587668.5333462087</v>
      </c>
      <c r="BX473" s="449">
        <v>-86878.361981920665</v>
      </c>
      <c r="BY473" s="450">
        <v>-5.1883121497094828E-2</v>
      </c>
      <c r="BZ473" s="368">
        <v>-39.815931247443018</v>
      </c>
      <c r="CB473" s="31">
        <v>132776</v>
      </c>
      <c r="CC473" s="31">
        <v>174144.69604160835</v>
      </c>
      <c r="CD473" s="31" t="e">
        <v>#VALUE!</v>
      </c>
      <c r="CE473" s="31" t="s">
        <v>900</v>
      </c>
      <c r="CF473" s="31" t="e">
        <v>#VALUE!</v>
      </c>
      <c r="CJ473" s="702" t="s">
        <v>1447</v>
      </c>
      <c r="CK473" s="702" t="s">
        <v>1447</v>
      </c>
      <c r="CL473" s="702" t="s">
        <v>1448</v>
      </c>
      <c r="CN473" s="702" t="s">
        <v>1447</v>
      </c>
      <c r="CO473" s="702" t="s">
        <v>1447</v>
      </c>
      <c r="CP473" s="702" t="s">
        <v>1447</v>
      </c>
      <c r="CQ473" s="702" t="s">
        <v>1447</v>
      </c>
      <c r="CS473" s="451">
        <v>0</v>
      </c>
      <c r="CT473" s="452">
        <v>0</v>
      </c>
      <c r="CU473" s="452">
        <v>0.95</v>
      </c>
      <c r="CV473" s="453">
        <v>0.95</v>
      </c>
    </row>
    <row r="474" spans="1:100" outlineLevel="1" x14ac:dyDescent="0.3">
      <c r="A474" s="1">
        <v>110221000</v>
      </c>
      <c r="B474" s="47">
        <v>402320</v>
      </c>
      <c r="C474" s="47">
        <v>4442</v>
      </c>
      <c r="D474" s="47" t="s">
        <v>115</v>
      </c>
      <c r="E474" s="47" t="s">
        <v>20</v>
      </c>
      <c r="F474" s="47" t="s">
        <v>1498</v>
      </c>
      <c r="G474" s="47" t="s">
        <v>1499</v>
      </c>
      <c r="H474" s="47" t="s">
        <v>1522</v>
      </c>
      <c r="I474" s="382">
        <v>1903</v>
      </c>
      <c r="J474" s="382">
        <v>0</v>
      </c>
      <c r="K474" s="382">
        <v>0</v>
      </c>
      <c r="L474" s="382">
        <v>83</v>
      </c>
      <c r="M474" s="382">
        <v>0</v>
      </c>
      <c r="N474" s="382">
        <v>1903</v>
      </c>
      <c r="O474" s="444">
        <v>7989</v>
      </c>
      <c r="P474" s="445">
        <v>1986</v>
      </c>
      <c r="Q474" s="346">
        <v>0.24859181374389785</v>
      </c>
      <c r="R474" s="445">
        <v>3336</v>
      </c>
      <c r="S474" s="447">
        <v>2463</v>
      </c>
      <c r="T474" s="445">
        <v>0</v>
      </c>
      <c r="U474" s="444">
        <v>7141.7557985716567</v>
      </c>
      <c r="V474" s="445">
        <v>1986</v>
      </c>
      <c r="W474" s="229">
        <v>0.27808287709826174</v>
      </c>
      <c r="X474" s="261">
        <v>915965.60591774632</v>
      </c>
      <c r="Y474" s="262">
        <v>217046.55899258165</v>
      </c>
      <c r="Z474" s="262">
        <v>342627.1899423768</v>
      </c>
      <c r="AA474" s="262">
        <v>265269.71439781471</v>
      </c>
      <c r="AB474" s="263">
        <v>1740909.0692505194</v>
      </c>
      <c r="AC474" s="262">
        <v>845327.86239815492</v>
      </c>
      <c r="AD474" s="262">
        <v>200308.28949111237</v>
      </c>
      <c r="AE474" s="262">
        <v>316204.35112656944</v>
      </c>
      <c r="AF474" s="263">
        <v>244812.55538650707</v>
      </c>
      <c r="AG474" s="262">
        <v>845327.86239815492</v>
      </c>
      <c r="AH474" s="262">
        <v>200308.28949111237</v>
      </c>
      <c r="AI474" s="262">
        <v>316204.35112656944</v>
      </c>
      <c r="AJ474" s="263">
        <v>244812.55538650707</v>
      </c>
      <c r="AK474" s="262">
        <v>845451.72640026431</v>
      </c>
      <c r="AL474" s="262">
        <v>201261.29375863608</v>
      </c>
      <c r="AM474" s="262">
        <v>316254.18060589349</v>
      </c>
      <c r="AN474" s="262">
        <v>244852.84984071305</v>
      </c>
      <c r="AO474" s="263">
        <v>1607820.0506055069</v>
      </c>
      <c r="AP474" s="31"/>
      <c r="AQ474" s="261">
        <v>832610.1315024856</v>
      </c>
      <c r="AR474" s="262">
        <v>194870.69820942255</v>
      </c>
      <c r="AS474" s="262">
        <v>311873.90833542764</v>
      </c>
      <c r="AT474" s="262">
        <v>241306.72411412184</v>
      </c>
      <c r="AU474" s="263">
        <v>1580661.4621614576</v>
      </c>
      <c r="AV474" s="31"/>
      <c r="AW474" s="323">
        <v>1542291.3171184114</v>
      </c>
      <c r="AX474" s="31"/>
      <c r="AY474" s="747">
        <v>0</v>
      </c>
      <c r="AZ474" s="262">
        <v>38370.145043046214</v>
      </c>
      <c r="BA474" s="262">
        <v>1542291.3171184114</v>
      </c>
      <c r="BB474" s="262">
        <v>15095.760209556001</v>
      </c>
      <c r="BC474" s="263">
        <v>1527195.5569088554</v>
      </c>
      <c r="BD474" s="261">
        <v>15271.955569088555</v>
      </c>
      <c r="BE474" s="262">
        <v>1511923.601339767</v>
      </c>
      <c r="BF474" s="354">
        <v>0.98031000016560887</v>
      </c>
      <c r="BG474" s="31"/>
      <c r="BJ474" s="4">
        <v>0.98031000016560887</v>
      </c>
      <c r="BL474" s="4">
        <v>0.95923312783420289</v>
      </c>
      <c r="BM474" s="4">
        <v>0.9</v>
      </c>
      <c r="BN474" s="4" t="s">
        <v>900</v>
      </c>
      <c r="BO474" s="31" t="s">
        <v>900</v>
      </c>
      <c r="BP474" s="31" t="s">
        <v>900</v>
      </c>
      <c r="BQ474" s="31">
        <v>1507903.7220953696</v>
      </c>
      <c r="BR474" s="4">
        <v>0.97770356699712802</v>
      </c>
      <c r="BS474" s="4" t="s">
        <v>900</v>
      </c>
      <c r="BT474" s="448" t="s">
        <v>900</v>
      </c>
      <c r="BU474" s="367" t="s">
        <v>900</v>
      </c>
      <c r="BV474" s="368">
        <v>1511923.601339767</v>
      </c>
      <c r="BX474" s="449">
        <v>19752.426012245938</v>
      </c>
      <c r="BY474" s="450">
        <v>1.3237732008618821E-2</v>
      </c>
      <c r="BZ474" s="368">
        <v>9.945833843024138</v>
      </c>
      <c r="CB474" s="31">
        <v>144576</v>
      </c>
      <c r="CC474" s="31">
        <v>183350.55458955801</v>
      </c>
      <c r="CD474" s="31" t="e">
        <v>#VALUE!</v>
      </c>
      <c r="CE474" s="31" t="s">
        <v>900</v>
      </c>
      <c r="CF474" s="31" t="e">
        <v>#VALUE!</v>
      </c>
      <c r="CJ474" s="702" t="s">
        <v>1447</v>
      </c>
      <c r="CK474" s="702" t="s">
        <v>1447</v>
      </c>
      <c r="CL474" s="702" t="s">
        <v>1448</v>
      </c>
      <c r="CN474" s="702" t="s">
        <v>1447</v>
      </c>
      <c r="CO474" s="702" t="s">
        <v>1447</v>
      </c>
      <c r="CP474" s="702" t="s">
        <v>1447</v>
      </c>
      <c r="CQ474" s="702" t="s">
        <v>1447</v>
      </c>
      <c r="CS474" s="451">
        <v>0</v>
      </c>
      <c r="CT474" s="452">
        <v>0.9</v>
      </c>
      <c r="CU474" s="452">
        <v>0</v>
      </c>
      <c r="CV474" s="453">
        <v>0.9</v>
      </c>
    </row>
    <row r="475" spans="1:100" outlineLevel="1" x14ac:dyDescent="0.3">
      <c r="A475" s="1">
        <v>110244000</v>
      </c>
      <c r="B475" s="47">
        <v>403990</v>
      </c>
      <c r="C475" s="47">
        <v>4445</v>
      </c>
      <c r="D475" s="47" t="s">
        <v>221</v>
      </c>
      <c r="E475" s="47" t="s">
        <v>20</v>
      </c>
      <c r="F475" s="47" t="s">
        <v>1498</v>
      </c>
      <c r="G475" s="47" t="s">
        <v>1502</v>
      </c>
      <c r="H475" s="47" t="s">
        <v>1522</v>
      </c>
      <c r="I475" s="382">
        <v>1734</v>
      </c>
      <c r="J475" s="382">
        <v>0</v>
      </c>
      <c r="K475" s="382">
        <v>0</v>
      </c>
      <c r="L475" s="382">
        <v>76</v>
      </c>
      <c r="M475" s="382">
        <v>0</v>
      </c>
      <c r="N475" s="382">
        <v>1734</v>
      </c>
      <c r="O475" s="444">
        <v>8845</v>
      </c>
      <c r="P475" s="445">
        <v>1810</v>
      </c>
      <c r="Q475" s="346">
        <v>0.20463538722442057</v>
      </c>
      <c r="R475" s="445">
        <v>4306</v>
      </c>
      <c r="S475" s="447">
        <v>1892</v>
      </c>
      <c r="T475" s="445">
        <v>0</v>
      </c>
      <c r="U475" s="444">
        <v>7906.9758465848417</v>
      </c>
      <c r="V475" s="445">
        <v>1810</v>
      </c>
      <c r="W475" s="229">
        <v>0.22891179069198372</v>
      </c>
      <c r="X475" s="261">
        <v>834792.4202976441</v>
      </c>
      <c r="Y475" s="262">
        <v>197811.81861861673</v>
      </c>
      <c r="Z475" s="262">
        <v>299941.73702944198</v>
      </c>
      <c r="AA475" s="262">
        <v>208002.71495006408</v>
      </c>
      <c r="AB475" s="263">
        <v>1540548.690895767</v>
      </c>
      <c r="AC475" s="262">
        <v>770414.61779489461</v>
      </c>
      <c r="AD475" s="262">
        <v>182556.90029149718</v>
      </c>
      <c r="AE475" s="262">
        <v>276810.72932104877</v>
      </c>
      <c r="AF475" s="263">
        <v>191961.89165375713</v>
      </c>
      <c r="AG475" s="262">
        <v>770414.61779489461</v>
      </c>
      <c r="AH475" s="262">
        <v>182556.90029149718</v>
      </c>
      <c r="AI475" s="262">
        <v>276810.72932104877</v>
      </c>
      <c r="AJ475" s="263">
        <v>191961.89165375713</v>
      </c>
      <c r="AK475" s="262">
        <v>770538.481797004</v>
      </c>
      <c r="AL475" s="262">
        <v>183509.90455902088</v>
      </c>
      <c r="AM475" s="262">
        <v>276860.55880037282</v>
      </c>
      <c r="AN475" s="262">
        <v>192002.18610796312</v>
      </c>
      <c r="AO475" s="263">
        <v>1422911.1312643609</v>
      </c>
      <c r="AP475" s="31"/>
      <c r="AQ475" s="261">
        <v>758834.74670793291</v>
      </c>
      <c r="AR475" s="262">
        <v>177682.96408074943</v>
      </c>
      <c r="AS475" s="262">
        <v>273025.90710920608</v>
      </c>
      <c r="AT475" s="262">
        <v>184289.09504903882</v>
      </c>
      <c r="AU475" s="263">
        <v>1393832.7129469272</v>
      </c>
      <c r="AV475" s="31"/>
      <c r="AW475" s="323">
        <v>918718.01127667842</v>
      </c>
      <c r="AX475" s="31"/>
      <c r="AY475" s="747">
        <v>0</v>
      </c>
      <c r="AZ475" s="262">
        <v>131490.16211586539</v>
      </c>
      <c r="BA475" s="262">
        <v>1262342.5508310618</v>
      </c>
      <c r="BB475" s="262">
        <v>12355.65566514949</v>
      </c>
      <c r="BC475" s="263">
        <v>1249986.8951659123</v>
      </c>
      <c r="BD475" s="261">
        <v>12499.868951659124</v>
      </c>
      <c r="BE475" s="262">
        <v>1237487.0262142532</v>
      </c>
      <c r="BF475" s="354">
        <v>1.3469715527777708</v>
      </c>
      <c r="BG475" s="31"/>
      <c r="BJ475" s="4">
        <v>1.3469715527777708</v>
      </c>
      <c r="BL475" s="4">
        <v>1.4404721993984262</v>
      </c>
      <c r="BM475" s="4">
        <v>0.9</v>
      </c>
      <c r="BN475" s="4" t="s">
        <v>900</v>
      </c>
      <c r="BO475" s="31" t="s">
        <v>900</v>
      </c>
      <c r="BP475" s="31" t="s">
        <v>900</v>
      </c>
      <c r="BQ475" s="31">
        <v>1234196.8147197824</v>
      </c>
      <c r="BR475" s="4">
        <v>1.3433902455060232</v>
      </c>
      <c r="BS475" s="4" t="s">
        <v>900</v>
      </c>
      <c r="BT475" s="448" t="s">
        <v>900</v>
      </c>
      <c r="BU475" s="367" t="s">
        <v>900</v>
      </c>
      <c r="BV475" s="368">
        <v>1237487.0262142532</v>
      </c>
      <c r="BX475" s="449">
        <v>-67284.090496051591</v>
      </c>
      <c r="BY475" s="450">
        <v>-5.1569134118751456E-2</v>
      </c>
      <c r="BZ475" s="368">
        <v>-37.173530660801987</v>
      </c>
      <c r="CB475" s="31" t="s">
        <v>900</v>
      </c>
      <c r="CC475" s="31">
        <v>36760.53123132488</v>
      </c>
      <c r="CD475" s="31" t="e">
        <v>#VALUE!</v>
      </c>
      <c r="CE475" s="31" t="s">
        <v>900</v>
      </c>
      <c r="CF475" s="31" t="e">
        <v>#VALUE!</v>
      </c>
      <c r="CJ475" s="702" t="s">
        <v>1447</v>
      </c>
      <c r="CK475" s="702" t="s">
        <v>1447</v>
      </c>
      <c r="CL475" s="702" t="s">
        <v>1448</v>
      </c>
      <c r="CN475" s="702" t="s">
        <v>1447</v>
      </c>
      <c r="CO475" s="702" t="s">
        <v>1447</v>
      </c>
      <c r="CP475" s="702" t="s">
        <v>1447</v>
      </c>
      <c r="CQ475" s="702" t="s">
        <v>1447</v>
      </c>
      <c r="CS475" s="451">
        <v>0</v>
      </c>
      <c r="CT475" s="452">
        <v>0.9</v>
      </c>
      <c r="CU475" s="452">
        <v>0</v>
      </c>
      <c r="CV475" s="453">
        <v>0.9</v>
      </c>
    </row>
    <row r="476" spans="1:100" outlineLevel="1" x14ac:dyDescent="0.3">
      <c r="A476" s="1">
        <v>110404000</v>
      </c>
      <c r="B476" s="47">
        <v>401710</v>
      </c>
      <c r="C476" s="47">
        <v>4446</v>
      </c>
      <c r="D476" s="47" t="s">
        <v>93</v>
      </c>
      <c r="E476" s="47" t="s">
        <v>20</v>
      </c>
      <c r="F476" s="47" t="s">
        <v>1498</v>
      </c>
      <c r="G476" s="47" t="s">
        <v>1502</v>
      </c>
      <c r="H476" s="47" t="s">
        <v>1510</v>
      </c>
      <c r="I476" s="382">
        <v>2296</v>
      </c>
      <c r="J476" s="382">
        <v>0</v>
      </c>
      <c r="K476" s="382">
        <v>0</v>
      </c>
      <c r="L476" s="382">
        <v>101</v>
      </c>
      <c r="M476" s="382">
        <v>0</v>
      </c>
      <c r="N476" s="382">
        <v>2296</v>
      </c>
      <c r="O476" s="444">
        <v>9070</v>
      </c>
      <c r="P476" s="445">
        <v>2397</v>
      </c>
      <c r="Q476" s="346">
        <v>0.26427783902976848</v>
      </c>
      <c r="R476" s="445">
        <v>6958</v>
      </c>
      <c r="S476" s="447">
        <v>5236</v>
      </c>
      <c r="T476" s="445">
        <v>0</v>
      </c>
      <c r="U476" s="444">
        <v>8108.1142937845689</v>
      </c>
      <c r="V476" s="445">
        <v>2397</v>
      </c>
      <c r="W476" s="229">
        <v>0.29562977446401645</v>
      </c>
      <c r="X476" s="261">
        <v>1105523.4427919628</v>
      </c>
      <c r="Y476" s="262">
        <v>261964.04929769304</v>
      </c>
      <c r="Z476" s="262">
        <v>434012.0541800877</v>
      </c>
      <c r="AA476" s="262">
        <v>332456.23359894444</v>
      </c>
      <c r="AB476" s="263">
        <v>2133955.779868688</v>
      </c>
      <c r="AC476" s="262">
        <v>1020267.314284178</v>
      </c>
      <c r="AD476" s="262">
        <v>241761.8176788502</v>
      </c>
      <c r="AE476" s="262">
        <v>400541.7666829204</v>
      </c>
      <c r="AF476" s="263">
        <v>306817.76201362547</v>
      </c>
      <c r="AG476" s="262">
        <v>1020267.314284178</v>
      </c>
      <c r="AH476" s="262">
        <v>241761.8176788502</v>
      </c>
      <c r="AI476" s="262">
        <v>400541.7666829204</v>
      </c>
      <c r="AJ476" s="263">
        <v>306817.76201362547</v>
      </c>
      <c r="AK476" s="262">
        <v>1020391.1782862874</v>
      </c>
      <c r="AL476" s="262">
        <v>242714.82194637391</v>
      </c>
      <c r="AM476" s="262">
        <v>400591.59616224444</v>
      </c>
      <c r="AN476" s="262">
        <v>306858.05646783143</v>
      </c>
      <c r="AO476" s="263">
        <v>1970555.652862737</v>
      </c>
      <c r="AP476" s="31"/>
      <c r="AQ476" s="261">
        <v>1004892.4221306746</v>
      </c>
      <c r="AR476" s="262">
        <v>235007.96370308541</v>
      </c>
      <c r="AS476" s="262">
        <v>395043.21018647833</v>
      </c>
      <c r="AT476" s="262">
        <v>302413.28903490695</v>
      </c>
      <c r="AU476" s="263">
        <v>1937356.8850551455</v>
      </c>
      <c r="AV476" s="31"/>
      <c r="AW476" s="323">
        <v>1928771.868416674</v>
      </c>
      <c r="AX476" s="31"/>
      <c r="AY476" s="747">
        <v>0</v>
      </c>
      <c r="AZ476" s="262">
        <v>8585.0166384715121</v>
      </c>
      <c r="BA476" s="262">
        <v>1928771.868416674</v>
      </c>
      <c r="BB476" s="262">
        <v>18878.584934884886</v>
      </c>
      <c r="BC476" s="263">
        <v>1909893.2834817891</v>
      </c>
      <c r="BD476" s="261">
        <v>19098.93283481789</v>
      </c>
      <c r="BE476" s="262">
        <v>1890794.3506469713</v>
      </c>
      <c r="BF476" s="354">
        <v>0.98031000016560876</v>
      </c>
      <c r="BG476" s="31"/>
      <c r="BJ476" s="4">
        <v>0.98031000016560876</v>
      </c>
      <c r="BL476" s="4">
        <v>0.97159217106544016</v>
      </c>
      <c r="BM476" s="4">
        <v>0.9</v>
      </c>
      <c r="BN476" s="4" t="s">
        <v>900</v>
      </c>
      <c r="BO476" s="31" t="s">
        <v>900</v>
      </c>
      <c r="BP476" s="31" t="s">
        <v>900</v>
      </c>
      <c r="BQ476" s="31">
        <v>1885767.1356746973</v>
      </c>
      <c r="BR476" s="4">
        <v>0.97770356699712802</v>
      </c>
      <c r="BS476" s="4" t="s">
        <v>900</v>
      </c>
      <c r="BT476" s="448" t="s">
        <v>900</v>
      </c>
      <c r="BU476" s="367" t="s">
        <v>900</v>
      </c>
      <c r="BV476" s="368">
        <v>1890794.3506469713</v>
      </c>
      <c r="BX476" s="449">
        <v>25567.552481489489</v>
      </c>
      <c r="BY476" s="450">
        <v>1.3707848534962753E-2</v>
      </c>
      <c r="BZ476" s="368">
        <v>10.666479967246344</v>
      </c>
      <c r="CB476" s="31">
        <v>217805</v>
      </c>
      <c r="CC476" s="31">
        <v>264083.47125839541</v>
      </c>
      <c r="CD476" s="31" t="e">
        <v>#VALUE!</v>
      </c>
      <c r="CE476" s="31" t="s">
        <v>900</v>
      </c>
      <c r="CF476" s="31" t="e">
        <v>#VALUE!</v>
      </c>
      <c r="CJ476" s="702" t="s">
        <v>1447</v>
      </c>
      <c r="CK476" s="702" t="s">
        <v>1447</v>
      </c>
      <c r="CL476" s="702" t="s">
        <v>1448</v>
      </c>
      <c r="CN476" s="702" t="s">
        <v>1447</v>
      </c>
      <c r="CO476" s="702" t="s">
        <v>1447</v>
      </c>
      <c r="CP476" s="702" t="s">
        <v>1447</v>
      </c>
      <c r="CQ476" s="702" t="s">
        <v>1447</v>
      </c>
      <c r="CS476" s="451">
        <v>0</v>
      </c>
      <c r="CT476" s="452">
        <v>0.9</v>
      </c>
      <c r="CU476" s="452">
        <v>0</v>
      </c>
      <c r="CV476" s="453">
        <v>0.9</v>
      </c>
    </row>
    <row r="477" spans="1:100" outlineLevel="1" x14ac:dyDescent="0.3">
      <c r="A477" s="1">
        <v>110220000</v>
      </c>
      <c r="B477" s="47">
        <v>404720</v>
      </c>
      <c r="C477" s="47">
        <v>4441</v>
      </c>
      <c r="D477" s="47" t="s">
        <v>273</v>
      </c>
      <c r="E477" s="47" t="s">
        <v>20</v>
      </c>
      <c r="F477" s="47" t="s">
        <v>1498</v>
      </c>
      <c r="G477" s="47" t="s">
        <v>1502</v>
      </c>
      <c r="H477" s="47" t="s">
        <v>1523</v>
      </c>
      <c r="I477" s="382">
        <v>1545</v>
      </c>
      <c r="J477" s="382">
        <v>0</v>
      </c>
      <c r="K477" s="382">
        <v>0</v>
      </c>
      <c r="L477" s="382">
        <v>68</v>
      </c>
      <c r="M477" s="382">
        <v>0</v>
      </c>
      <c r="N477" s="382">
        <v>1545</v>
      </c>
      <c r="O477" s="444">
        <v>10768</v>
      </c>
      <c r="P477" s="445">
        <v>1613</v>
      </c>
      <c r="Q477" s="346">
        <v>0.14979569093610698</v>
      </c>
      <c r="R477" s="445">
        <v>5664</v>
      </c>
      <c r="S477" s="447">
        <v>3322</v>
      </c>
      <c r="T477" s="445">
        <v>0</v>
      </c>
      <c r="U477" s="444">
        <v>9626.0391086518466</v>
      </c>
      <c r="V477" s="445">
        <v>1613</v>
      </c>
      <c r="W477" s="229">
        <v>0.16756632523446138</v>
      </c>
      <c r="X477" s="261">
        <v>743933.79775696143</v>
      </c>
      <c r="Y477" s="262">
        <v>0</v>
      </c>
      <c r="Z477" s="262">
        <v>262536.04667611839</v>
      </c>
      <c r="AA477" s="262">
        <v>182062.72665390713</v>
      </c>
      <c r="AB477" s="263">
        <v>1188532.5710869869</v>
      </c>
      <c r="AC477" s="262">
        <v>686562.86105147249</v>
      </c>
      <c r="AD477" s="262" t="s">
        <v>900</v>
      </c>
      <c r="AE477" s="262">
        <v>242289.70357115637</v>
      </c>
      <c r="AF477" s="263">
        <v>168022.35209533334</v>
      </c>
      <c r="AG477" s="262">
        <v>686562.86105147249</v>
      </c>
      <c r="AH477" s="262" t="s">
        <v>900</v>
      </c>
      <c r="AI477" s="262">
        <v>242289.70357115637</v>
      </c>
      <c r="AJ477" s="263">
        <v>168022.35209533334</v>
      </c>
      <c r="AK477" s="262">
        <v>686686.72505358187</v>
      </c>
      <c r="AL477" s="262" t="s">
        <v>900</v>
      </c>
      <c r="AM477" s="262">
        <v>242339.53305048042</v>
      </c>
      <c r="AN477" s="262">
        <v>168062.64654953932</v>
      </c>
      <c r="AO477" s="263">
        <v>1097088.9046536016</v>
      </c>
      <c r="AP477" s="31"/>
      <c r="AQ477" s="261">
        <v>676256.61713675736</v>
      </c>
      <c r="AR477" s="262">
        <v>0</v>
      </c>
      <c r="AS477" s="262">
        <v>238983.01414336282</v>
      </c>
      <c r="AT477" s="262">
        <v>161311.25208514763</v>
      </c>
      <c r="AU477" s="263">
        <v>1076550.8833652679</v>
      </c>
      <c r="AV477" s="31"/>
      <c r="AW477" s="323">
        <v>922307.64262081601</v>
      </c>
      <c r="AX477" s="31"/>
      <c r="AY477" s="747">
        <v>0</v>
      </c>
      <c r="AZ477" s="262">
        <v>101558.70849120105</v>
      </c>
      <c r="BA477" s="262">
        <v>974992.17487406684</v>
      </c>
      <c r="BB477" s="262">
        <v>9543.1050636994496</v>
      </c>
      <c r="BC477" s="263">
        <v>965449.06981036742</v>
      </c>
      <c r="BD477" s="261">
        <v>9654.4906981036747</v>
      </c>
      <c r="BE477" s="262">
        <v>955794.57911226375</v>
      </c>
      <c r="BF477" s="354">
        <v>1.0363077729642267</v>
      </c>
      <c r="BG477" s="31"/>
      <c r="BJ477" s="4">
        <v>1.0363077729642267</v>
      </c>
      <c r="BL477" s="4">
        <v>1.0952552473590207</v>
      </c>
      <c r="BM477" s="4">
        <v>0.9</v>
      </c>
      <c r="BN477" s="4" t="s">
        <v>900</v>
      </c>
      <c r="BO477" s="31" t="s">
        <v>900</v>
      </c>
      <c r="BP477" s="31" t="s">
        <v>900</v>
      </c>
      <c r="BQ477" s="31">
        <v>953253.3271686628</v>
      </c>
      <c r="BR477" s="4">
        <v>1.0335524537776917</v>
      </c>
      <c r="BS477" s="4" t="s">
        <v>900</v>
      </c>
      <c r="BT477" s="448" t="s">
        <v>900</v>
      </c>
      <c r="BU477" s="367" t="s">
        <v>900</v>
      </c>
      <c r="BV477" s="368">
        <v>955794.57911226375</v>
      </c>
      <c r="BX477" s="449">
        <v>-50136.762352503021</v>
      </c>
      <c r="BY477" s="450">
        <v>-4.9842490328262073E-2</v>
      </c>
      <c r="BZ477" s="368">
        <v>-31.082927682890901</v>
      </c>
      <c r="CB477" s="31">
        <v>50131</v>
      </c>
      <c r="CC477" s="31">
        <v>85514.583773213031</v>
      </c>
      <c r="CD477" s="31" t="e">
        <v>#VALUE!</v>
      </c>
      <c r="CE477" s="31" t="s">
        <v>900</v>
      </c>
      <c r="CF477" s="31" t="e">
        <v>#VALUE!</v>
      </c>
      <c r="CJ477" s="702" t="s">
        <v>1447</v>
      </c>
      <c r="CK477" s="702" t="s">
        <v>1447</v>
      </c>
      <c r="CL477" s="702" t="s">
        <v>1448</v>
      </c>
      <c r="CN477" s="702" t="s">
        <v>1447</v>
      </c>
      <c r="CO477" s="702" t="s">
        <v>1447</v>
      </c>
      <c r="CP477" s="702" t="s">
        <v>1447</v>
      </c>
      <c r="CQ477" s="702" t="s">
        <v>1447</v>
      </c>
      <c r="CS477" s="451">
        <v>0</v>
      </c>
      <c r="CT477" s="452">
        <v>0.9</v>
      </c>
      <c r="CU477" s="452">
        <v>0</v>
      </c>
      <c r="CV477" s="453">
        <v>0.9</v>
      </c>
    </row>
    <row r="478" spans="1:100" outlineLevel="1" x14ac:dyDescent="0.3">
      <c r="A478" s="1">
        <v>110201000</v>
      </c>
      <c r="B478" s="47">
        <v>402920</v>
      </c>
      <c r="C478" s="47">
        <v>4437</v>
      </c>
      <c r="D478" s="47" t="s">
        <v>166</v>
      </c>
      <c r="E478" s="47" t="s">
        <v>20</v>
      </c>
      <c r="F478" s="47" t="s">
        <v>1498</v>
      </c>
      <c r="G478" s="47" t="s">
        <v>1502</v>
      </c>
      <c r="H478" s="47" t="s">
        <v>1516</v>
      </c>
      <c r="I478" s="382">
        <v>2317</v>
      </c>
      <c r="J478" s="382">
        <v>0</v>
      </c>
      <c r="K478" s="382">
        <v>0</v>
      </c>
      <c r="L478" s="382">
        <v>101</v>
      </c>
      <c r="M478" s="382">
        <v>0</v>
      </c>
      <c r="N478" s="382">
        <v>2317</v>
      </c>
      <c r="O478" s="444">
        <v>12988</v>
      </c>
      <c r="P478" s="445">
        <v>2418</v>
      </c>
      <c r="Q478" s="346">
        <v>0.18617185093932861</v>
      </c>
      <c r="R478" s="445">
        <v>7996</v>
      </c>
      <c r="S478" s="447">
        <v>4632</v>
      </c>
      <c r="T478" s="445">
        <v>0</v>
      </c>
      <c r="U478" s="444">
        <v>11610.60512102249</v>
      </c>
      <c r="V478" s="445">
        <v>2418</v>
      </c>
      <c r="W478" s="229">
        <v>0.20825787930914133</v>
      </c>
      <c r="X478" s="261">
        <v>1115208.8797125432</v>
      </c>
      <c r="Y478" s="262">
        <v>264259.10354685911</v>
      </c>
      <c r="Z478" s="262">
        <v>425260.29354311473</v>
      </c>
      <c r="AA478" s="262">
        <v>343191.6277859949</v>
      </c>
      <c r="AB478" s="263">
        <v>2147919.9045885121</v>
      </c>
      <c r="AC478" s="262">
        <v>1029205.8264243398</v>
      </c>
      <c r="AD478" s="262">
        <v>243879.88116289501</v>
      </c>
      <c r="AE478" s="262">
        <v>392464.92726485053</v>
      </c>
      <c r="AF478" s="263">
        <v>316725.26046281494</v>
      </c>
      <c r="AG478" s="262">
        <v>1029205.8264243398</v>
      </c>
      <c r="AH478" s="262">
        <v>243879.88116289501</v>
      </c>
      <c r="AI478" s="262">
        <v>392464.92726485053</v>
      </c>
      <c r="AJ478" s="263">
        <v>316725.26046281494</v>
      </c>
      <c r="AK478" s="262">
        <v>1029329.6904264492</v>
      </c>
      <c r="AL478" s="262">
        <v>244832.88543041871</v>
      </c>
      <c r="AM478" s="262">
        <v>392514.75674417458</v>
      </c>
      <c r="AN478" s="262">
        <v>316765.5549170209</v>
      </c>
      <c r="AO478" s="263">
        <v>1983442.8875180634</v>
      </c>
      <c r="AP478" s="31"/>
      <c r="AQ478" s="261">
        <v>1013695.1669072974</v>
      </c>
      <c r="AR478" s="262">
        <v>237058.77288889282</v>
      </c>
      <c r="AS478" s="262">
        <v>387078.23887294455</v>
      </c>
      <c r="AT478" s="262">
        <v>312177.19806965545</v>
      </c>
      <c r="AU478" s="263">
        <v>1950009.3767387904</v>
      </c>
      <c r="AV478" s="31"/>
      <c r="AW478" s="323">
        <v>1958358.4616365929</v>
      </c>
      <c r="AX478" s="31"/>
      <c r="AY478" s="747">
        <v>0</v>
      </c>
      <c r="AZ478" s="262">
        <v>0</v>
      </c>
      <c r="BA478" s="262">
        <v>1950009.3767387904</v>
      </c>
      <c r="BB478" s="262">
        <v>19086.455088545688</v>
      </c>
      <c r="BC478" s="263">
        <v>1930922.9216502446</v>
      </c>
      <c r="BD478" s="261">
        <v>19309.229216502448</v>
      </c>
      <c r="BE478" s="262">
        <v>1911613.6924337421</v>
      </c>
      <c r="BF478" s="354">
        <v>0.97613063689893298</v>
      </c>
      <c r="BG478" s="31"/>
      <c r="BJ478" s="4">
        <v>0.97613063689893298</v>
      </c>
      <c r="BL478" s="4">
        <v>0.93185318129012196</v>
      </c>
      <c r="BM478" s="4">
        <v>0.9</v>
      </c>
      <c r="BN478" s="4" t="s">
        <v>900</v>
      </c>
      <c r="BO478" s="31" t="s">
        <v>900</v>
      </c>
      <c r="BP478" s="31" t="s">
        <v>900</v>
      </c>
      <c r="BQ478" s="31">
        <v>1906531.1233153616</v>
      </c>
      <c r="BR478" s="4">
        <v>0.97353531575730046</v>
      </c>
      <c r="BS478" s="4" t="s">
        <v>900</v>
      </c>
      <c r="BT478" s="448" t="s">
        <v>900</v>
      </c>
      <c r="BU478" s="367" t="s">
        <v>900</v>
      </c>
      <c r="BV478" s="368">
        <v>1911613.6924337421</v>
      </c>
      <c r="BX478" s="449">
        <v>17396.294589277124</v>
      </c>
      <c r="BY478" s="450">
        <v>9.1841447433610376E-3</v>
      </c>
      <c r="BZ478" s="368">
        <v>7.1944973487498443</v>
      </c>
      <c r="CB478" s="31">
        <v>37550</v>
      </c>
      <c r="CC478" s="31">
        <v>87724.436691170005</v>
      </c>
      <c r="CD478" s="31" t="e">
        <v>#VALUE!</v>
      </c>
      <c r="CE478" s="31" t="s">
        <v>900</v>
      </c>
      <c r="CF478" s="31" t="e">
        <v>#VALUE!</v>
      </c>
      <c r="CJ478" s="702" t="s">
        <v>1447</v>
      </c>
      <c r="CK478" s="702" t="s">
        <v>1447</v>
      </c>
      <c r="CL478" s="702" t="s">
        <v>1448</v>
      </c>
      <c r="CN478" s="702" t="s">
        <v>1447</v>
      </c>
      <c r="CO478" s="702" t="s">
        <v>1447</v>
      </c>
      <c r="CP478" s="702" t="s">
        <v>1447</v>
      </c>
      <c r="CQ478" s="702" t="s">
        <v>1447</v>
      </c>
      <c r="CS478" s="451">
        <v>0</v>
      </c>
      <c r="CT478" s="452">
        <v>0.9</v>
      </c>
      <c r="CU478" s="452">
        <v>0</v>
      </c>
      <c r="CV478" s="453">
        <v>0.9</v>
      </c>
    </row>
    <row r="479" spans="1:100" outlineLevel="1" x14ac:dyDescent="0.3">
      <c r="A479" s="1">
        <v>110405000</v>
      </c>
      <c r="B479" s="47">
        <v>406900</v>
      </c>
      <c r="C479" s="47">
        <v>4447</v>
      </c>
      <c r="D479" s="47" t="s">
        <v>482</v>
      </c>
      <c r="E479" s="47" t="s">
        <v>20</v>
      </c>
      <c r="F479" s="47" t="s">
        <v>900</v>
      </c>
      <c r="G479" s="47" t="s">
        <v>900</v>
      </c>
      <c r="H479" s="47" t="s">
        <v>900</v>
      </c>
      <c r="I479" s="382">
        <v>122</v>
      </c>
      <c r="J479" s="382">
        <v>0</v>
      </c>
      <c r="K479" s="382">
        <v>0</v>
      </c>
      <c r="L479" s="382">
        <v>5</v>
      </c>
      <c r="M479" s="382">
        <v>0</v>
      </c>
      <c r="N479" s="382">
        <v>122</v>
      </c>
      <c r="O479" s="444">
        <v>579</v>
      </c>
      <c r="P479" s="445">
        <v>127</v>
      </c>
      <c r="Q479" s="346">
        <v>0.21934369602763384</v>
      </c>
      <c r="R479" s="445">
        <v>302</v>
      </c>
      <c r="S479" s="447">
        <v>157</v>
      </c>
      <c r="T479" s="445">
        <v>0</v>
      </c>
      <c r="U479" s="444">
        <v>517.59627079396535</v>
      </c>
      <c r="V479" s="445">
        <v>127</v>
      </c>
      <c r="W479" s="229">
        <v>0.24536498264407644</v>
      </c>
      <c r="X479" s="261">
        <v>58573.832805414815</v>
      </c>
      <c r="Y479" s="262">
        <v>13879.613792576976</v>
      </c>
      <c r="Z479" s="262">
        <v>19569.169826152782</v>
      </c>
      <c r="AA479" s="262">
        <v>12763.343297154683</v>
      </c>
      <c r="AB479" s="263">
        <v>104785.95972129925</v>
      </c>
      <c r="AC479" s="262">
        <v>54056.716276216372</v>
      </c>
      <c r="AD479" s="262">
        <v>12809.241070176877</v>
      </c>
      <c r="AE479" s="262">
        <v>18060.028008883237</v>
      </c>
      <c r="AF479" s="263">
        <v>11779.055498079975</v>
      </c>
      <c r="AG479" s="262">
        <v>54056.716276216372</v>
      </c>
      <c r="AH479" s="262">
        <v>12809.241070176877</v>
      </c>
      <c r="AI479" s="262">
        <v>18060.028008883237</v>
      </c>
      <c r="AJ479" s="263">
        <v>11779.055498079975</v>
      </c>
      <c r="AK479" s="262">
        <v>54180.580278325782</v>
      </c>
      <c r="AL479" s="262">
        <v>13762.245337700595</v>
      </c>
      <c r="AM479" s="262">
        <v>18109.857488207275</v>
      </c>
      <c r="AN479" s="262">
        <v>11819.349952285949</v>
      </c>
      <c r="AO479" s="263">
        <v>97872.033056519605</v>
      </c>
      <c r="AP479" s="31"/>
      <c r="AQ479" s="261">
        <v>53357.629610020638</v>
      </c>
      <c r="AR479" s="262">
        <v>13325.256475312741</v>
      </c>
      <c r="AS479" s="262">
        <v>17859.027265423483</v>
      </c>
      <c r="AT479" s="262">
        <v>11344.544304041856</v>
      </c>
      <c r="AU479" s="263">
        <v>95886.457654798724</v>
      </c>
      <c r="AV479" s="31"/>
      <c r="AW479" s="323">
        <v>76730.562982974981</v>
      </c>
      <c r="AX479" s="31"/>
      <c r="AY479" s="747">
        <v>0</v>
      </c>
      <c r="AZ479" s="262">
        <v>9045.6521393364819</v>
      </c>
      <c r="BA479" s="262">
        <v>86840.805515462242</v>
      </c>
      <c r="BB479" s="262">
        <v>849.98726370023269</v>
      </c>
      <c r="BC479" s="263">
        <v>85990.818251762015</v>
      </c>
      <c r="BD479" s="261">
        <v>859.90818251762016</v>
      </c>
      <c r="BE479" s="262">
        <v>85130.91006924439</v>
      </c>
      <c r="BF479" s="354">
        <v>1.1094785019123772</v>
      </c>
      <c r="BG479" s="31"/>
      <c r="BJ479" s="4">
        <v>1.1094785019123772</v>
      </c>
      <c r="BL479" s="4">
        <v>1.2231280145932371</v>
      </c>
      <c r="BM479" s="4">
        <v>0.9</v>
      </c>
      <c r="BN479" s="4" t="s">
        <v>900</v>
      </c>
      <c r="BO479" s="31" t="s">
        <v>900</v>
      </c>
      <c r="BP479" s="31" t="s">
        <v>900</v>
      </c>
      <c r="BQ479" s="31">
        <v>84904.565313371306</v>
      </c>
      <c r="BR479" s="4">
        <v>1.1065286375157963</v>
      </c>
      <c r="BS479" s="4" t="s">
        <v>900</v>
      </c>
      <c r="BT479" s="448" t="s">
        <v>900</v>
      </c>
      <c r="BU479" s="367" t="s">
        <v>900</v>
      </c>
      <c r="BV479" s="368">
        <v>85130.91006924439</v>
      </c>
      <c r="BX479" s="449">
        <v>-8450.3607076284243</v>
      </c>
      <c r="BY479" s="450">
        <v>-9.0302151232228955E-2</v>
      </c>
      <c r="BZ479" s="368">
        <v>-66.538273288412796</v>
      </c>
      <c r="CB479" s="31">
        <v>4073</v>
      </c>
      <c r="CC479" s="31">
        <v>6614.4871333885912</v>
      </c>
      <c r="CD479" s="31" t="e">
        <v>#VALUE!</v>
      </c>
      <c r="CE479" s="31" t="s">
        <v>900</v>
      </c>
      <c r="CF479" s="31" t="e">
        <v>#VALUE!</v>
      </c>
      <c r="CJ479" s="702" t="s">
        <v>1447</v>
      </c>
      <c r="CK479" s="702" t="s">
        <v>1447</v>
      </c>
      <c r="CL479" s="702" t="s">
        <v>1448</v>
      </c>
      <c r="CN479" s="702" t="s">
        <v>1447</v>
      </c>
      <c r="CO479" s="702" t="s">
        <v>1447</v>
      </c>
      <c r="CP479" s="702" t="s">
        <v>1447</v>
      </c>
      <c r="CQ479" s="702" t="s">
        <v>1447</v>
      </c>
      <c r="CS479" s="451">
        <v>0</v>
      </c>
      <c r="CT479" s="452">
        <v>0.9</v>
      </c>
      <c r="CU479" s="452">
        <v>0</v>
      </c>
      <c r="CV479" s="453">
        <v>0.9</v>
      </c>
    </row>
    <row r="480" spans="1:100" s="48" customFormat="1" outlineLevel="1" x14ac:dyDescent="0.3">
      <c r="A480" s="202">
        <v>118705000</v>
      </c>
      <c r="B480" s="48">
        <v>400403</v>
      </c>
      <c r="C480" s="48">
        <v>5978</v>
      </c>
      <c r="D480" s="48" t="s">
        <v>19</v>
      </c>
      <c r="E480" s="48" t="s">
        <v>20</v>
      </c>
      <c r="F480" s="48" t="s">
        <v>1504</v>
      </c>
      <c r="G480" s="48" t="s">
        <v>1502</v>
      </c>
      <c r="H480" s="48" t="s">
        <v>1500</v>
      </c>
      <c r="O480" s="454" t="s">
        <v>900</v>
      </c>
      <c r="P480" s="455" t="s">
        <v>900</v>
      </c>
      <c r="Q480" s="347" t="s">
        <v>900</v>
      </c>
      <c r="R480" s="455">
        <v>15</v>
      </c>
      <c r="S480" s="457">
        <v>14</v>
      </c>
      <c r="T480" s="455"/>
      <c r="U480" s="454">
        <v>15</v>
      </c>
      <c r="V480" s="455">
        <v>7.6817571282662724</v>
      </c>
      <c r="W480" s="230">
        <v>0.51211714188441815</v>
      </c>
      <c r="X480" s="264" t="s">
        <v>900</v>
      </c>
      <c r="Y480" s="265" t="s">
        <v>900</v>
      </c>
      <c r="Z480" s="265" t="s">
        <v>900</v>
      </c>
      <c r="AA480" s="265" t="s">
        <v>900</v>
      </c>
      <c r="AB480" s="266" t="s">
        <v>900</v>
      </c>
      <c r="AC480" s="265">
        <v>3592.0560611724936</v>
      </c>
      <c r="AD480" s="265">
        <v>779.53607500817157</v>
      </c>
      <c r="AE480" s="265">
        <v>1445.0549003970407</v>
      </c>
      <c r="AF480" s="266">
        <v>1168.5391719735508</v>
      </c>
      <c r="AG480" s="265" t="s">
        <v>900</v>
      </c>
      <c r="AH480" s="265" t="s">
        <v>900</v>
      </c>
      <c r="AI480" s="265" t="s">
        <v>900</v>
      </c>
      <c r="AJ480" s="266" t="s">
        <v>900</v>
      </c>
      <c r="AK480" s="265" t="s">
        <v>900</v>
      </c>
      <c r="AL480" s="265" t="s">
        <v>900</v>
      </c>
      <c r="AM480" s="265" t="s">
        <v>900</v>
      </c>
      <c r="AN480" s="265" t="s">
        <v>900</v>
      </c>
      <c r="AO480" s="266">
        <v>0</v>
      </c>
      <c r="AP480" s="203"/>
      <c r="AQ480" s="264">
        <v>0</v>
      </c>
      <c r="AR480" s="265">
        <v>3090.2342311753459</v>
      </c>
      <c r="AS480" s="265">
        <v>0</v>
      </c>
      <c r="AT480" s="265">
        <v>0</v>
      </c>
      <c r="AU480" s="266">
        <v>3090.2342311753459</v>
      </c>
      <c r="AV480" s="203"/>
      <c r="AW480" s="324">
        <v>3220.8283768349061</v>
      </c>
      <c r="AX480" s="203"/>
      <c r="AY480" s="377">
        <v>0</v>
      </c>
      <c r="AZ480" s="265">
        <v>0</v>
      </c>
      <c r="BA480" s="265">
        <v>3090.2342311753459</v>
      </c>
      <c r="BB480" s="265">
        <v>30.246837563958806</v>
      </c>
      <c r="BC480" s="266">
        <v>3059.9873936113872</v>
      </c>
      <c r="BD480" s="264">
        <v>30.599873936113873</v>
      </c>
      <c r="BE480" s="265">
        <v>3029.3875196752733</v>
      </c>
      <c r="BF480" s="357">
        <v>0.94056160876607753</v>
      </c>
      <c r="BG480" s="203"/>
      <c r="BJ480" s="458">
        <v>0.94056160876607753</v>
      </c>
      <c r="BK480" s="210"/>
      <c r="BL480" s="458"/>
      <c r="BM480" s="458"/>
      <c r="BN480" s="458"/>
      <c r="BQ480" s="203">
        <v>3021.3330306767634</v>
      </c>
      <c r="BR480" s="458"/>
      <c r="BT480" s="459" t="s">
        <v>900</v>
      </c>
      <c r="BU480" s="460" t="s">
        <v>900</v>
      </c>
      <c r="BV480" s="461">
        <v>3029.3875196752733</v>
      </c>
      <c r="BX480" s="462">
        <v>3029.3875196752733</v>
      </c>
      <c r="BY480" s="463" t="s">
        <v>900</v>
      </c>
      <c r="BZ480" s="461">
        <v>394.36127296034266</v>
      </c>
      <c r="CB480" s="203" t="s">
        <v>900</v>
      </c>
      <c r="CC480" s="203">
        <v>137.13692050827771</v>
      </c>
      <c r="CD480" s="203" t="e">
        <v>#VALUE!</v>
      </c>
      <c r="CE480" s="203" t="s">
        <v>900</v>
      </c>
      <c r="CF480" s="203" t="e">
        <v>#VALUE!</v>
      </c>
      <c r="CH480" s="199"/>
      <c r="CJ480" s="464" t="s">
        <v>1448</v>
      </c>
      <c r="CK480" s="464" t="s">
        <v>1447</v>
      </c>
      <c r="CL480" s="464" t="s">
        <v>1448</v>
      </c>
      <c r="CN480" s="464" t="s">
        <v>1448</v>
      </c>
      <c r="CO480" s="464" t="s">
        <v>1448</v>
      </c>
      <c r="CP480" s="464" t="s">
        <v>1448</v>
      </c>
      <c r="CQ480" s="464" t="s">
        <v>1448</v>
      </c>
      <c r="CS480" s="465">
        <v>0</v>
      </c>
      <c r="CT480" s="466">
        <v>0</v>
      </c>
      <c r="CU480" s="466">
        <v>0.95</v>
      </c>
      <c r="CV480" s="467">
        <v>0.95</v>
      </c>
    </row>
    <row r="481" spans="1:100" s="48" customFormat="1" outlineLevel="1" x14ac:dyDescent="0.3">
      <c r="A481" s="202">
        <v>118706000</v>
      </c>
      <c r="B481" s="48">
        <v>400404</v>
      </c>
      <c r="C481" s="48">
        <v>78966</v>
      </c>
      <c r="D481" s="48" t="s">
        <v>21</v>
      </c>
      <c r="E481" s="48" t="s">
        <v>20</v>
      </c>
      <c r="F481" s="48" t="s">
        <v>1504</v>
      </c>
      <c r="G481" s="48" t="s">
        <v>1502</v>
      </c>
      <c r="H481" s="48" t="s">
        <v>1500</v>
      </c>
      <c r="O481" s="454" t="s">
        <v>900</v>
      </c>
      <c r="P481" s="455" t="s">
        <v>900</v>
      </c>
      <c r="Q481" s="347" t="s">
        <v>900</v>
      </c>
      <c r="R481" s="455">
        <v>165</v>
      </c>
      <c r="S481" s="457">
        <v>136</v>
      </c>
      <c r="T481" s="455"/>
      <c r="U481" s="454">
        <v>165</v>
      </c>
      <c r="V481" s="455">
        <v>74.62278353172951</v>
      </c>
      <c r="W481" s="230">
        <v>0.45225929413169402</v>
      </c>
      <c r="X481" s="264" t="s">
        <v>900</v>
      </c>
      <c r="Y481" s="265" t="s">
        <v>900</v>
      </c>
      <c r="Z481" s="265" t="s">
        <v>900</v>
      </c>
      <c r="AA481" s="265" t="s">
        <v>900</v>
      </c>
      <c r="AB481" s="266" t="s">
        <v>900</v>
      </c>
      <c r="AC481" s="265">
        <v>34894.258879961373</v>
      </c>
      <c r="AD481" s="265">
        <v>7572.6361572222386</v>
      </c>
      <c r="AE481" s="265">
        <v>14037.67617528554</v>
      </c>
      <c r="AF481" s="266">
        <v>11351.523384885922</v>
      </c>
      <c r="AG481" s="265">
        <v>34894.258879961373</v>
      </c>
      <c r="AH481" s="265">
        <v>7572.6361572222386</v>
      </c>
      <c r="AI481" s="265">
        <v>14037.67617528554</v>
      </c>
      <c r="AJ481" s="266">
        <v>11351.523384885922</v>
      </c>
      <c r="AK481" s="265">
        <v>35018.122882070784</v>
      </c>
      <c r="AL481" s="265">
        <v>8525.6404247459577</v>
      </c>
      <c r="AM481" s="265">
        <v>14087.505654609577</v>
      </c>
      <c r="AN481" s="265">
        <v>11391.817839091897</v>
      </c>
      <c r="AO481" s="266">
        <v>69023.086800518213</v>
      </c>
      <c r="AP481" s="203"/>
      <c r="AQ481" s="264">
        <v>43394.295768057476</v>
      </c>
      <c r="AR481" s="265">
        <v>10702.926322437594</v>
      </c>
      <c r="AS481" s="265">
        <v>17371.249283345009</v>
      </c>
      <c r="AT481" s="265">
        <v>14913.55742408181</v>
      </c>
      <c r="AU481" s="266">
        <v>86382.028797921885</v>
      </c>
      <c r="AV481" s="203"/>
      <c r="AW481" s="324">
        <v>84998.416021074052</v>
      </c>
      <c r="AX481" s="203"/>
      <c r="AY481" s="377">
        <v>0</v>
      </c>
      <c r="AZ481" s="265">
        <v>1383.6127768478327</v>
      </c>
      <c r="BA481" s="265">
        <v>84998.416021074052</v>
      </c>
      <c r="BB481" s="265">
        <v>831.95417895729759</v>
      </c>
      <c r="BC481" s="266">
        <v>84166.461842116754</v>
      </c>
      <c r="BD481" s="264">
        <v>841.66461842116757</v>
      </c>
      <c r="BE481" s="265">
        <v>83324.797223695583</v>
      </c>
      <c r="BF481" s="357">
        <v>0.98031000016560876</v>
      </c>
      <c r="BG481" s="203"/>
      <c r="BJ481" s="458">
        <v>0.98031000016560876</v>
      </c>
      <c r="BK481" s="210"/>
      <c r="BL481" s="458"/>
      <c r="BM481" s="458"/>
      <c r="BN481" s="458"/>
      <c r="BQ481" s="203">
        <v>83103.254532909923</v>
      </c>
      <c r="BR481" s="458">
        <v>0.9777035669971279</v>
      </c>
      <c r="BT481" s="459" t="s">
        <v>900</v>
      </c>
      <c r="BU481" s="460" t="s">
        <v>900</v>
      </c>
      <c r="BV481" s="461">
        <v>83324.797223695583</v>
      </c>
      <c r="BX481" s="462">
        <v>11377.751602551929</v>
      </c>
      <c r="BY481" s="463">
        <v>0.15814492892300586</v>
      </c>
      <c r="BZ481" s="461">
        <v>152.47021169766634</v>
      </c>
      <c r="CB481" s="203" t="s">
        <v>900</v>
      </c>
      <c r="CC481" s="203">
        <v>1351.8049088710077</v>
      </c>
      <c r="CD481" s="203" t="e">
        <v>#VALUE!</v>
      </c>
      <c r="CE481" s="203" t="s">
        <v>900</v>
      </c>
      <c r="CF481" s="203" t="e">
        <v>#VALUE!</v>
      </c>
      <c r="CH481" s="199"/>
      <c r="CJ481" s="464" t="s">
        <v>1448</v>
      </c>
      <c r="CK481" s="464" t="s">
        <v>1447</v>
      </c>
      <c r="CL481" s="464" t="s">
        <v>1448</v>
      </c>
      <c r="CN481" s="464" t="s">
        <v>1447</v>
      </c>
      <c r="CO481" s="464" t="s">
        <v>1447</v>
      </c>
      <c r="CP481" s="464" t="s">
        <v>1447</v>
      </c>
      <c r="CQ481" s="464" t="s">
        <v>1447</v>
      </c>
      <c r="CS481" s="465">
        <v>0</v>
      </c>
      <c r="CT481" s="466">
        <v>0</v>
      </c>
      <c r="CU481" s="466">
        <v>0.95</v>
      </c>
      <c r="CV481" s="467">
        <v>0.95</v>
      </c>
    </row>
    <row r="482" spans="1:100" s="48" customFormat="1" outlineLevel="1" x14ac:dyDescent="0.3">
      <c r="A482" s="202">
        <v>118703000</v>
      </c>
      <c r="B482" s="48">
        <v>400357</v>
      </c>
      <c r="C482" s="48">
        <v>79883</v>
      </c>
      <c r="D482" s="48" t="s">
        <v>26</v>
      </c>
      <c r="E482" s="48" t="s">
        <v>20</v>
      </c>
      <c r="F482" s="48" t="s">
        <v>1498</v>
      </c>
      <c r="G482" s="48" t="s">
        <v>1502</v>
      </c>
      <c r="H482" s="48" t="s">
        <v>1529</v>
      </c>
      <c r="O482" s="454" t="s">
        <v>900</v>
      </c>
      <c r="P482" s="455" t="s">
        <v>900</v>
      </c>
      <c r="Q482" s="347" t="s">
        <v>900</v>
      </c>
      <c r="R482" s="455">
        <v>117</v>
      </c>
      <c r="S482" s="457">
        <v>90</v>
      </c>
      <c r="T482" s="455"/>
      <c r="U482" s="454">
        <v>117</v>
      </c>
      <c r="V482" s="455">
        <v>49.382724395997464</v>
      </c>
      <c r="W482" s="230">
        <v>0.42207456748715783</v>
      </c>
      <c r="X482" s="264" t="s">
        <v>900</v>
      </c>
      <c r="Y482" s="265" t="s">
        <v>900</v>
      </c>
      <c r="Z482" s="265" t="s">
        <v>900</v>
      </c>
      <c r="AA482" s="265" t="s">
        <v>900</v>
      </c>
      <c r="AB482" s="266" t="s">
        <v>900</v>
      </c>
      <c r="AC482" s="265">
        <v>23091.788964680316</v>
      </c>
      <c r="AD482" s="265">
        <v>5011.3033393382457</v>
      </c>
      <c r="AE482" s="265">
        <v>9289.6386454095482</v>
      </c>
      <c r="AF482" s="266">
        <v>7512.0375341156832</v>
      </c>
      <c r="AG482" s="265">
        <v>23091.788964680316</v>
      </c>
      <c r="AH482" s="265">
        <v>5011.3033393382457</v>
      </c>
      <c r="AI482" s="265">
        <v>9289.6386454095482</v>
      </c>
      <c r="AJ482" s="266">
        <v>7512.0375341156832</v>
      </c>
      <c r="AK482" s="265">
        <v>23215.652966789727</v>
      </c>
      <c r="AL482" s="265">
        <v>5964.3076068619648</v>
      </c>
      <c r="AM482" s="265">
        <v>9339.4681247335848</v>
      </c>
      <c r="AN482" s="265">
        <v>7552.3319883216573</v>
      </c>
      <c r="AO482" s="266">
        <v>46071.760686706926</v>
      </c>
      <c r="AP482" s="203"/>
      <c r="AQ482" s="264">
        <v>31183.239082210326</v>
      </c>
      <c r="AR482" s="265">
        <v>7549.489068980658</v>
      </c>
      <c r="AS482" s="265">
        <v>12376.082107548486</v>
      </c>
      <c r="AT482" s="265">
        <v>10903.179374132944</v>
      </c>
      <c r="AU482" s="266">
        <v>62011.989632872413</v>
      </c>
      <c r="AV482" s="203"/>
      <c r="AW482" s="324">
        <v>71518.720750816894</v>
      </c>
      <c r="AX482" s="203"/>
      <c r="AY482" s="377">
        <v>0</v>
      </c>
      <c r="AZ482" s="265">
        <v>0</v>
      </c>
      <c r="BA482" s="265">
        <v>62011.989632872413</v>
      </c>
      <c r="BB482" s="265">
        <v>606.96582754828739</v>
      </c>
      <c r="BC482" s="266">
        <v>61405.023805324126</v>
      </c>
      <c r="BD482" s="264">
        <v>614.05023805324129</v>
      </c>
      <c r="BE482" s="265">
        <v>60790.973567270885</v>
      </c>
      <c r="BF482" s="357">
        <v>0.85000085193185626</v>
      </c>
      <c r="BG482" s="203"/>
      <c r="BJ482" s="458">
        <v>0.85000085193185626</v>
      </c>
      <c r="BK482" s="210"/>
      <c r="BL482" s="458"/>
      <c r="BM482" s="458"/>
      <c r="BN482" s="458"/>
      <c r="BQ482" s="203">
        <v>60629.343460648284</v>
      </c>
      <c r="BR482" s="458">
        <v>0.84774088272483217</v>
      </c>
      <c r="BT482" s="459" t="s">
        <v>900</v>
      </c>
      <c r="BU482" s="460" t="s">
        <v>900</v>
      </c>
      <c r="BV482" s="461">
        <v>60790.973567270885</v>
      </c>
      <c r="BX482" s="462">
        <v>12767.511784645598</v>
      </c>
      <c r="BY482" s="463">
        <v>0.26586709589052349</v>
      </c>
      <c r="BZ482" s="461">
        <v>258.54206994056449</v>
      </c>
      <c r="CB482" s="203" t="s">
        <v>900</v>
      </c>
      <c r="CC482" s="203">
        <v>902.52001546318252</v>
      </c>
      <c r="CD482" s="203" t="e">
        <v>#VALUE!</v>
      </c>
      <c r="CE482" s="203" t="s">
        <v>900</v>
      </c>
      <c r="CF482" s="203" t="e">
        <v>#VALUE!</v>
      </c>
      <c r="CH482" s="199"/>
      <c r="CJ482" s="464" t="s">
        <v>1448</v>
      </c>
      <c r="CK482" s="464" t="s">
        <v>1447</v>
      </c>
      <c r="CL482" s="464" t="s">
        <v>1448</v>
      </c>
      <c r="CN482" s="464" t="s">
        <v>1447</v>
      </c>
      <c r="CO482" s="464" t="s">
        <v>1447</v>
      </c>
      <c r="CP482" s="464" t="s">
        <v>1447</v>
      </c>
      <c r="CQ482" s="464" t="s">
        <v>1447</v>
      </c>
      <c r="CS482" s="465">
        <v>0</v>
      </c>
      <c r="CT482" s="466">
        <v>0</v>
      </c>
      <c r="CU482" s="466">
        <v>0.95</v>
      </c>
      <c r="CV482" s="467">
        <v>0.95</v>
      </c>
    </row>
    <row r="483" spans="1:100" s="48" customFormat="1" outlineLevel="1" x14ac:dyDescent="0.3">
      <c r="A483" s="202">
        <v>118711000</v>
      </c>
      <c r="B483" s="48">
        <v>400855</v>
      </c>
      <c r="C483" s="48">
        <v>91133</v>
      </c>
      <c r="D483" s="48" t="s">
        <v>57</v>
      </c>
      <c r="E483" s="48" t="s">
        <v>20</v>
      </c>
      <c r="F483" s="48" t="s">
        <v>1498</v>
      </c>
      <c r="G483" s="48" t="s">
        <v>1499</v>
      </c>
      <c r="H483" s="48" t="s">
        <v>1523</v>
      </c>
      <c r="O483" s="454" t="s">
        <v>900</v>
      </c>
      <c r="P483" s="455" t="s">
        <v>900</v>
      </c>
      <c r="Q483" s="347" t="s">
        <v>900</v>
      </c>
      <c r="R483" s="455">
        <v>1159</v>
      </c>
      <c r="S483" s="457">
        <v>159</v>
      </c>
      <c r="T483" s="455"/>
      <c r="U483" s="454">
        <v>1159</v>
      </c>
      <c r="V483" s="455">
        <v>87.242813099595523</v>
      </c>
      <c r="W483" s="230">
        <v>7.5274213200686391E-2</v>
      </c>
      <c r="X483" s="264" t="s">
        <v>900</v>
      </c>
      <c r="Y483" s="265" t="s">
        <v>900</v>
      </c>
      <c r="Z483" s="265" t="s">
        <v>900</v>
      </c>
      <c r="AA483" s="265" t="s">
        <v>900</v>
      </c>
      <c r="AB483" s="266" t="s">
        <v>900</v>
      </c>
      <c r="AC483" s="265">
        <v>40795.493837601891</v>
      </c>
      <c r="AD483" s="265">
        <v>8853.3025661642332</v>
      </c>
      <c r="AE483" s="265">
        <v>16411.694940223533</v>
      </c>
      <c r="AF483" s="266">
        <v>13271.266310271041</v>
      </c>
      <c r="AG483" s="265">
        <v>40795.493837601891</v>
      </c>
      <c r="AH483" s="265" t="s">
        <v>900</v>
      </c>
      <c r="AI483" s="265">
        <v>16411.694940223533</v>
      </c>
      <c r="AJ483" s="266">
        <v>13271.266310271041</v>
      </c>
      <c r="AK483" s="265">
        <v>40919.357839711301</v>
      </c>
      <c r="AL483" s="265" t="s">
        <v>900</v>
      </c>
      <c r="AM483" s="265">
        <v>16461.524419547572</v>
      </c>
      <c r="AN483" s="265">
        <v>13311.560764477015</v>
      </c>
      <c r="AO483" s="266">
        <v>70692.44302373589</v>
      </c>
      <c r="AP483" s="203"/>
      <c r="AQ483" s="264">
        <v>44156.168188709256</v>
      </c>
      <c r="AR483" s="265">
        <v>0</v>
      </c>
      <c r="AS483" s="265">
        <v>17676.235814569922</v>
      </c>
      <c r="AT483" s="265">
        <v>15175.394329004655</v>
      </c>
      <c r="AU483" s="266">
        <v>77007.798332283841</v>
      </c>
      <c r="AV483" s="203"/>
      <c r="AW483" s="324">
        <v>84688.963829644126</v>
      </c>
      <c r="AX483" s="203"/>
      <c r="AY483" s="377">
        <v>0</v>
      </c>
      <c r="AZ483" s="265">
        <v>0</v>
      </c>
      <c r="BA483" s="265">
        <v>77007.798332283841</v>
      </c>
      <c r="BB483" s="265">
        <v>753.74298291582204</v>
      </c>
      <c r="BC483" s="266">
        <v>76254.05534936802</v>
      </c>
      <c r="BD483" s="264">
        <v>762.54055349368025</v>
      </c>
      <c r="BE483" s="265">
        <v>75491.514795874333</v>
      </c>
      <c r="BF483" s="357">
        <v>0.89139731296900859</v>
      </c>
      <c r="BG483" s="203"/>
      <c r="BJ483" s="458">
        <v>0.89139731296900859</v>
      </c>
      <c r="BK483" s="210"/>
      <c r="BL483" s="458"/>
      <c r="BM483" s="458"/>
      <c r="BN483" s="458"/>
      <c r="BQ483" s="203">
        <v>75290.799116069393</v>
      </c>
      <c r="BR483" s="458">
        <v>0.88902727948732985</v>
      </c>
      <c r="BT483" s="459" t="s">
        <v>900</v>
      </c>
      <c r="BU483" s="460" t="s">
        <v>900</v>
      </c>
      <c r="BV483" s="461">
        <v>75491.514795874333</v>
      </c>
      <c r="BX483" s="462">
        <v>1804.6282542978588</v>
      </c>
      <c r="BY483" s="463">
        <v>2.4491158739081691E-2</v>
      </c>
      <c r="BZ483" s="461">
        <v>20.685122248840294</v>
      </c>
      <c r="CB483" s="203" t="s">
        <v>900</v>
      </c>
      <c r="CC483" s="203">
        <v>2563.14405563524</v>
      </c>
      <c r="CD483" s="203" t="e">
        <v>#VALUE!</v>
      </c>
      <c r="CE483" s="203" t="s">
        <v>900</v>
      </c>
      <c r="CF483" s="203" t="e">
        <v>#VALUE!</v>
      </c>
      <c r="CH483" s="199"/>
      <c r="CJ483" s="464" t="s">
        <v>1448</v>
      </c>
      <c r="CK483" s="464" t="s">
        <v>1447</v>
      </c>
      <c r="CL483" s="464" t="s">
        <v>1448</v>
      </c>
      <c r="CN483" s="464" t="s">
        <v>1447</v>
      </c>
      <c r="CO483" s="464" t="s">
        <v>1448</v>
      </c>
      <c r="CP483" s="464" t="s">
        <v>1447</v>
      </c>
      <c r="CQ483" s="464" t="s">
        <v>1447</v>
      </c>
      <c r="CS483" s="465">
        <v>0.85</v>
      </c>
      <c r="CT483" s="466">
        <v>0</v>
      </c>
      <c r="CU483" s="466">
        <v>0</v>
      </c>
      <c r="CV483" s="467">
        <v>0.85</v>
      </c>
    </row>
    <row r="484" spans="1:100" s="48" customFormat="1" outlineLevel="1" x14ac:dyDescent="0.3">
      <c r="A484" s="202">
        <v>118708000</v>
      </c>
      <c r="B484" s="48">
        <v>400824</v>
      </c>
      <c r="C484" s="48">
        <v>90637</v>
      </c>
      <c r="D484" s="48" t="s">
        <v>250</v>
      </c>
      <c r="E484" s="48" t="s">
        <v>20</v>
      </c>
      <c r="F484" s="48" t="s">
        <v>1498</v>
      </c>
      <c r="G484" s="48" t="s">
        <v>1499</v>
      </c>
      <c r="H484" s="48" t="s">
        <v>1510</v>
      </c>
      <c r="O484" s="454" t="s">
        <v>900</v>
      </c>
      <c r="P484" s="455" t="s">
        <v>900</v>
      </c>
      <c r="Q484" s="347" t="s">
        <v>900</v>
      </c>
      <c r="R484" s="455">
        <v>342</v>
      </c>
      <c r="S484" s="457">
        <v>193</v>
      </c>
      <c r="T484" s="455"/>
      <c r="U484" s="454">
        <v>342</v>
      </c>
      <c r="V484" s="455">
        <v>105.8985089825279</v>
      </c>
      <c r="W484" s="230">
        <v>0.30964476310680672</v>
      </c>
      <c r="X484" s="264" t="s">
        <v>900</v>
      </c>
      <c r="Y484" s="265" t="s">
        <v>900</v>
      </c>
      <c r="Z484" s="265" t="s">
        <v>900</v>
      </c>
      <c r="AA484" s="265" t="s">
        <v>900</v>
      </c>
      <c r="AB484" s="266" t="s">
        <v>900</v>
      </c>
      <c r="AC484" s="265">
        <v>49519.058557592238</v>
      </c>
      <c r="AD484" s="265">
        <v>10746.461605469793</v>
      </c>
      <c r="AE484" s="265">
        <v>19921.113984044918</v>
      </c>
      <c r="AF484" s="266">
        <v>16109.147156492521</v>
      </c>
      <c r="AG484" s="265">
        <v>49519.058557592238</v>
      </c>
      <c r="AH484" s="265">
        <v>10746.461605469793</v>
      </c>
      <c r="AI484" s="265">
        <v>19921.113984044918</v>
      </c>
      <c r="AJ484" s="266">
        <v>16109.147156492521</v>
      </c>
      <c r="AK484" s="265">
        <v>49642.922559701648</v>
      </c>
      <c r="AL484" s="265">
        <v>11699.465872993511</v>
      </c>
      <c r="AM484" s="265">
        <v>19970.943463368956</v>
      </c>
      <c r="AN484" s="265">
        <v>16149.441610698495</v>
      </c>
      <c r="AO484" s="266">
        <v>97462.77350676262</v>
      </c>
      <c r="AP484" s="203"/>
      <c r="AQ484" s="264">
        <v>48888.894528121666</v>
      </c>
      <c r="AR484" s="265">
        <v>11508.059238213827</v>
      </c>
      <c r="AS484" s="265">
        <v>19694.33630611323</v>
      </c>
      <c r="AT484" s="265">
        <v>16206.511580429707</v>
      </c>
      <c r="AU484" s="266">
        <v>96297.801652878436</v>
      </c>
      <c r="AV484" s="203"/>
      <c r="AW484" s="324">
        <v>92246.678984658502</v>
      </c>
      <c r="AX484" s="203"/>
      <c r="AY484" s="377">
        <v>0</v>
      </c>
      <c r="AZ484" s="265">
        <v>4051.122668219934</v>
      </c>
      <c r="BA484" s="265">
        <v>92246.678984658502</v>
      </c>
      <c r="BB484" s="265">
        <v>902.89929705503255</v>
      </c>
      <c r="BC484" s="266">
        <v>91343.77968760347</v>
      </c>
      <c r="BD484" s="264">
        <v>913.43779687603467</v>
      </c>
      <c r="BE484" s="265">
        <v>90430.341890727432</v>
      </c>
      <c r="BF484" s="357">
        <v>0.98031000016560876</v>
      </c>
      <c r="BG484" s="203"/>
      <c r="BJ484" s="458">
        <v>0.98031000016560876</v>
      </c>
      <c r="BK484" s="210"/>
      <c r="BL484" s="458"/>
      <c r="BM484" s="458"/>
      <c r="BN484" s="458"/>
      <c r="BQ484" s="203">
        <v>90189.907086939624</v>
      </c>
      <c r="BR484" s="458">
        <v>0.97770356699712802</v>
      </c>
      <c r="BT484" s="459" t="s">
        <v>900</v>
      </c>
      <c r="BU484" s="460" t="s">
        <v>900</v>
      </c>
      <c r="BV484" s="461">
        <v>90430.341890727432</v>
      </c>
      <c r="BX484" s="462">
        <v>-7097.4851152166957</v>
      </c>
      <c r="BY484" s="463">
        <v>-7.277592428859532E-2</v>
      </c>
      <c r="BZ484" s="461">
        <v>-67.021577389608979</v>
      </c>
      <c r="CB484" s="203" t="s">
        <v>900</v>
      </c>
      <c r="CC484" s="203">
        <v>2028.0721459181782</v>
      </c>
      <c r="CD484" s="203" t="e">
        <v>#VALUE!</v>
      </c>
      <c r="CE484" s="203" t="s">
        <v>900</v>
      </c>
      <c r="CF484" s="203" t="e">
        <v>#VALUE!</v>
      </c>
      <c r="CH484" s="199"/>
      <c r="CJ484" s="464" t="s">
        <v>1448</v>
      </c>
      <c r="CK484" s="464" t="s">
        <v>1447</v>
      </c>
      <c r="CL484" s="464" t="s">
        <v>1448</v>
      </c>
      <c r="CN484" s="464" t="s">
        <v>1447</v>
      </c>
      <c r="CO484" s="464" t="s">
        <v>1447</v>
      </c>
      <c r="CP484" s="464" t="s">
        <v>1447</v>
      </c>
      <c r="CQ484" s="464" t="s">
        <v>1447</v>
      </c>
      <c r="CS484" s="465">
        <v>0</v>
      </c>
      <c r="CT484" s="466">
        <v>0</v>
      </c>
      <c r="CU484" s="466">
        <v>0.95</v>
      </c>
      <c r="CV484" s="467">
        <v>0.95</v>
      </c>
    </row>
    <row r="485" spans="1:100" s="48" customFormat="1" outlineLevel="1" x14ac:dyDescent="0.3">
      <c r="A485" s="202">
        <v>78245000</v>
      </c>
      <c r="B485" s="48">
        <v>400892</v>
      </c>
      <c r="C485" s="48">
        <v>92199</v>
      </c>
      <c r="D485" s="48" t="s">
        <v>253</v>
      </c>
      <c r="E485" s="48" t="s">
        <v>20</v>
      </c>
      <c r="F485" s="48" t="s">
        <v>1501</v>
      </c>
      <c r="G485" s="48" t="s">
        <v>1502</v>
      </c>
      <c r="H485" s="48" t="s">
        <v>1523</v>
      </c>
      <c r="O485" s="454" t="s">
        <v>900</v>
      </c>
      <c r="P485" s="455" t="s">
        <v>900</v>
      </c>
      <c r="Q485" s="347" t="s">
        <v>900</v>
      </c>
      <c r="R485" s="455">
        <v>1025</v>
      </c>
      <c r="S485" s="457">
        <v>429</v>
      </c>
      <c r="T485" s="455"/>
      <c r="U485" s="454">
        <v>1025</v>
      </c>
      <c r="V485" s="455">
        <v>235.39098628758794</v>
      </c>
      <c r="W485" s="230">
        <v>0.22964974271959798</v>
      </c>
      <c r="X485" s="264" t="s">
        <v>900</v>
      </c>
      <c r="Y485" s="265" t="s">
        <v>900</v>
      </c>
      <c r="Z485" s="265" t="s">
        <v>900</v>
      </c>
      <c r="AA485" s="265" t="s">
        <v>900</v>
      </c>
      <c r="AB485" s="266" t="s">
        <v>900</v>
      </c>
      <c r="AC485" s="265">
        <v>110070.86073164285</v>
      </c>
      <c r="AD485" s="265">
        <v>23887.212584178971</v>
      </c>
      <c r="AE485" s="265">
        <v>44280.610876452178</v>
      </c>
      <c r="AF485" s="266">
        <v>35807.378912618093</v>
      </c>
      <c r="AG485" s="265">
        <v>110070.86073164285</v>
      </c>
      <c r="AH485" s="265">
        <v>23887.212584178971</v>
      </c>
      <c r="AI485" s="265">
        <v>44280.610876452178</v>
      </c>
      <c r="AJ485" s="266">
        <v>35807.378912618093</v>
      </c>
      <c r="AK485" s="265">
        <v>110194.72473375226</v>
      </c>
      <c r="AL485" s="265">
        <v>24840.216851702691</v>
      </c>
      <c r="AM485" s="265">
        <v>44330.440355776213</v>
      </c>
      <c r="AN485" s="265">
        <v>35847.673366824063</v>
      </c>
      <c r="AO485" s="266">
        <v>215213.05530805519</v>
      </c>
      <c r="AP485" s="203"/>
      <c r="AQ485" s="264">
        <v>108520.97332877478</v>
      </c>
      <c r="AR485" s="265">
        <v>24051.472149284327</v>
      </c>
      <c r="AS485" s="265">
        <v>46217.936310583609</v>
      </c>
      <c r="AT485" s="265">
        <v>44530.663491731531</v>
      </c>
      <c r="AU485" s="266">
        <v>223321.04528037427</v>
      </c>
      <c r="AV485" s="203"/>
      <c r="AW485" s="324">
        <v>203966.35270420264</v>
      </c>
      <c r="AX485" s="203"/>
      <c r="AY485" s="377">
        <v>0</v>
      </c>
      <c r="AZ485" s="265">
        <v>19354.692576171627</v>
      </c>
      <c r="BA485" s="265">
        <v>203966.35270420264</v>
      </c>
      <c r="BB485" s="265">
        <v>1996.3979029546538</v>
      </c>
      <c r="BC485" s="266">
        <v>201969.95480124798</v>
      </c>
      <c r="BD485" s="264">
        <v>2019.6995480124799</v>
      </c>
      <c r="BE485" s="265">
        <v>199950.25525323549</v>
      </c>
      <c r="BF485" s="357">
        <v>0.98031000016560865</v>
      </c>
      <c r="BG485" s="203"/>
      <c r="BJ485" s="458">
        <v>0.98031000016560865</v>
      </c>
      <c r="BK485" s="210"/>
      <c r="BL485" s="458"/>
      <c r="BM485" s="458"/>
      <c r="BN485" s="458"/>
      <c r="BQ485" s="203">
        <v>199418.63058629321</v>
      </c>
      <c r="BR485" s="458">
        <v>0.9777035669971279</v>
      </c>
      <c r="BT485" s="459" t="s">
        <v>900</v>
      </c>
      <c r="BU485" s="460" t="s">
        <v>900</v>
      </c>
      <c r="BV485" s="461">
        <v>199950.25525323549</v>
      </c>
      <c r="BX485" s="462">
        <v>-15406.422936506977</v>
      </c>
      <c r="BY485" s="463">
        <v>-7.1541041703937394E-2</v>
      </c>
      <c r="BZ485" s="461">
        <v>-65.450352111971895</v>
      </c>
      <c r="CB485" s="203" t="s">
        <v>900</v>
      </c>
      <c r="CC485" s="203">
        <v>4777.355751994628</v>
      </c>
      <c r="CD485" s="203" t="e">
        <v>#VALUE!</v>
      </c>
      <c r="CE485" s="203" t="s">
        <v>900</v>
      </c>
      <c r="CF485" s="203" t="e">
        <v>#VALUE!</v>
      </c>
      <c r="CH485" s="199"/>
      <c r="CJ485" s="464" t="s">
        <v>1448</v>
      </c>
      <c r="CK485" s="464" t="s">
        <v>1447</v>
      </c>
      <c r="CL485" s="464" t="s">
        <v>1448</v>
      </c>
      <c r="CN485" s="464" t="s">
        <v>1447</v>
      </c>
      <c r="CO485" s="464" t="s">
        <v>1447</v>
      </c>
      <c r="CP485" s="464" t="s">
        <v>1447</v>
      </c>
      <c r="CQ485" s="464" t="s">
        <v>1447</v>
      </c>
      <c r="CS485" s="465">
        <v>0</v>
      </c>
      <c r="CT485" s="466">
        <v>0.9</v>
      </c>
      <c r="CU485" s="466">
        <v>0</v>
      </c>
      <c r="CV485" s="467">
        <v>0.9</v>
      </c>
    </row>
    <row r="486" spans="1:100" s="48" customFormat="1" outlineLevel="1" x14ac:dyDescent="0.3">
      <c r="A486" s="202">
        <v>78518000</v>
      </c>
      <c r="B486" s="48">
        <v>400745</v>
      </c>
      <c r="C486" s="48">
        <v>88360</v>
      </c>
      <c r="D486" s="48" t="s">
        <v>255</v>
      </c>
      <c r="E486" s="48" t="s">
        <v>20</v>
      </c>
      <c r="F486" s="48" t="s">
        <v>1501</v>
      </c>
      <c r="G486" s="48" t="s">
        <v>1502</v>
      </c>
      <c r="H486" s="48" t="s">
        <v>1523</v>
      </c>
      <c r="O486" s="454" t="s">
        <v>900</v>
      </c>
      <c r="P486" s="455" t="s">
        <v>900</v>
      </c>
      <c r="Q486" s="347" t="s">
        <v>900</v>
      </c>
      <c r="R486" s="455">
        <v>1154</v>
      </c>
      <c r="S486" s="457">
        <v>335</v>
      </c>
      <c r="T486" s="455"/>
      <c r="U486" s="454">
        <v>1154</v>
      </c>
      <c r="V486" s="455">
        <v>183.81347414065723</v>
      </c>
      <c r="W486" s="230">
        <v>0.15928377308549155</v>
      </c>
      <c r="X486" s="264" t="s">
        <v>900</v>
      </c>
      <c r="Y486" s="265" t="s">
        <v>900</v>
      </c>
      <c r="Z486" s="265" t="s">
        <v>900</v>
      </c>
      <c r="AA486" s="265" t="s">
        <v>900</v>
      </c>
      <c r="AB486" s="266" t="s">
        <v>900</v>
      </c>
      <c r="AC486" s="265">
        <v>85952.770035198962</v>
      </c>
      <c r="AD486" s="265">
        <v>18653.184651981246</v>
      </c>
      <c r="AE486" s="265">
        <v>34578.099402357759</v>
      </c>
      <c r="AF486" s="266">
        <v>27961.473043652823</v>
      </c>
      <c r="AG486" s="265">
        <v>85952.770035198962</v>
      </c>
      <c r="AH486" s="265">
        <v>18653.184651981246</v>
      </c>
      <c r="AI486" s="265">
        <v>34578.099402357759</v>
      </c>
      <c r="AJ486" s="266">
        <v>27961.473043652823</v>
      </c>
      <c r="AK486" s="265">
        <v>86076.634037308366</v>
      </c>
      <c r="AL486" s="265">
        <v>19606.188919504966</v>
      </c>
      <c r="AM486" s="265">
        <v>34627.928881681793</v>
      </c>
      <c r="AN486" s="265">
        <v>28001.767497858797</v>
      </c>
      <c r="AO486" s="266">
        <v>168312.5193363539</v>
      </c>
      <c r="AP486" s="203"/>
      <c r="AQ486" s="264">
        <v>193738.04976989841</v>
      </c>
      <c r="AR486" s="265">
        <v>37059.86426190858</v>
      </c>
      <c r="AS486" s="265">
        <v>97194.799399586816</v>
      </c>
      <c r="AT486" s="265">
        <v>91209.987119845522</v>
      </c>
      <c r="AU486" s="266">
        <v>419202.70055123931</v>
      </c>
      <c r="AV486" s="203"/>
      <c r="AW486" s="324">
        <v>461191.56167019042</v>
      </c>
      <c r="AX486" s="203"/>
      <c r="AY486" s="377">
        <v>0</v>
      </c>
      <c r="AZ486" s="265">
        <v>0</v>
      </c>
      <c r="BA486" s="265">
        <v>419202.70055123931</v>
      </c>
      <c r="BB486" s="265">
        <v>4103.1051504220868</v>
      </c>
      <c r="BC486" s="266">
        <v>415099.59540081723</v>
      </c>
      <c r="BD486" s="264">
        <v>4150.9959540081727</v>
      </c>
      <c r="BE486" s="265">
        <v>410948.59944680904</v>
      </c>
      <c r="BF486" s="357">
        <v>0.8910583661994419</v>
      </c>
      <c r="BG486" s="203"/>
      <c r="BJ486" s="458">
        <v>0.8910583661994419</v>
      </c>
      <c r="BK486" s="210"/>
      <c r="BL486" s="458"/>
      <c r="BM486" s="458"/>
      <c r="BN486" s="458"/>
      <c r="BQ486" s="203">
        <v>409855.97562377556</v>
      </c>
      <c r="BR486" s="458">
        <v>0.88868923390422694</v>
      </c>
      <c r="BT486" s="459" t="s">
        <v>900</v>
      </c>
      <c r="BU486" s="460" t="s">
        <v>900</v>
      </c>
      <c r="BV486" s="461">
        <v>410948.59944680904</v>
      </c>
      <c r="BX486" s="462">
        <v>235506.04982859679</v>
      </c>
      <c r="BY486" s="463">
        <v>1.3423906709920508</v>
      </c>
      <c r="BZ486" s="461">
        <v>1281.2229948299846</v>
      </c>
      <c r="CB486" s="203" t="s">
        <v>900</v>
      </c>
      <c r="CC486" s="203">
        <v>4090.2476647670296</v>
      </c>
      <c r="CD486" s="203" t="e">
        <v>#VALUE!</v>
      </c>
      <c r="CE486" s="203" t="s">
        <v>900</v>
      </c>
      <c r="CF486" s="203" t="e">
        <v>#VALUE!</v>
      </c>
      <c r="CH486" s="199"/>
      <c r="CJ486" s="464" t="s">
        <v>1448</v>
      </c>
      <c r="CK486" s="464" t="s">
        <v>1447</v>
      </c>
      <c r="CL486" s="464" t="s">
        <v>1448</v>
      </c>
      <c r="CN486" s="464" t="s">
        <v>1447</v>
      </c>
      <c r="CO486" s="464" t="s">
        <v>1447</v>
      </c>
      <c r="CP486" s="464" t="s">
        <v>1447</v>
      </c>
      <c r="CQ486" s="464" t="s">
        <v>1447</v>
      </c>
      <c r="CS486" s="465">
        <v>0</v>
      </c>
      <c r="CT486" s="466">
        <v>0.9</v>
      </c>
      <c r="CU486" s="466">
        <v>0</v>
      </c>
      <c r="CV486" s="467">
        <v>0.9</v>
      </c>
    </row>
    <row r="487" spans="1:100" s="48" customFormat="1" outlineLevel="1" x14ac:dyDescent="0.3">
      <c r="A487" s="202">
        <v>118715000</v>
      </c>
      <c r="B487" s="48" t="e">
        <v>#N/A</v>
      </c>
      <c r="C487" s="48">
        <v>92610</v>
      </c>
      <c r="D487" s="48" t="s">
        <v>257</v>
      </c>
      <c r="E487" s="48" t="s">
        <v>20</v>
      </c>
      <c r="F487" s="48" t="s">
        <v>1498</v>
      </c>
      <c r="G487" s="48" t="s">
        <v>1502</v>
      </c>
      <c r="H487" s="48" t="s">
        <v>1523</v>
      </c>
      <c r="O487" s="454" t="s">
        <v>900</v>
      </c>
      <c r="P487" s="455" t="s">
        <v>900</v>
      </c>
      <c r="Q487" s="347" t="s">
        <v>900</v>
      </c>
      <c r="R487" s="455">
        <v>950</v>
      </c>
      <c r="S487" s="457">
        <v>261</v>
      </c>
      <c r="T487" s="455"/>
      <c r="U487" s="454">
        <v>950</v>
      </c>
      <c r="V487" s="455">
        <v>143.20990074839264</v>
      </c>
      <c r="W487" s="230">
        <v>0.15074726394567647</v>
      </c>
      <c r="X487" s="264" t="s">
        <v>900</v>
      </c>
      <c r="Y487" s="265" t="s">
        <v>900</v>
      </c>
      <c r="Z487" s="265" t="s">
        <v>900</v>
      </c>
      <c r="AA487" s="265" t="s">
        <v>900</v>
      </c>
      <c r="AB487" s="266" t="s">
        <v>900</v>
      </c>
      <c r="AC487" s="265">
        <v>66966.18799757291</v>
      </c>
      <c r="AD487" s="265">
        <v>14532.779684080911</v>
      </c>
      <c r="AE487" s="265">
        <v>26939.952071687687</v>
      </c>
      <c r="AF487" s="266">
        <v>21784.90884893548</v>
      </c>
      <c r="AG487" s="265">
        <v>66966.18799757291</v>
      </c>
      <c r="AH487" s="265">
        <v>14532.779684080911</v>
      </c>
      <c r="AI487" s="265">
        <v>26939.952071687687</v>
      </c>
      <c r="AJ487" s="266">
        <v>21784.90884893548</v>
      </c>
      <c r="AK487" s="265">
        <v>67090.051999682313</v>
      </c>
      <c r="AL487" s="265">
        <v>15485.78395160463</v>
      </c>
      <c r="AM487" s="265">
        <v>26989.781551011725</v>
      </c>
      <c r="AN487" s="265">
        <v>21825.203303141454</v>
      </c>
      <c r="AO487" s="266">
        <v>131390.82080544013</v>
      </c>
      <c r="AP487" s="203"/>
      <c r="AQ487" s="264">
        <v>77048.687057610674</v>
      </c>
      <c r="AR487" s="265">
        <v>17830.752527224413</v>
      </c>
      <c r="AS487" s="265">
        <v>30843.499730612351</v>
      </c>
      <c r="AT487" s="265">
        <v>26479.748053190338</v>
      </c>
      <c r="AU487" s="266">
        <v>152202.68736863777</v>
      </c>
      <c r="AV487" s="203"/>
      <c r="AW487" s="324">
        <v>158085.06757055115</v>
      </c>
      <c r="AX487" s="203"/>
      <c r="AY487" s="377">
        <v>0</v>
      </c>
      <c r="AZ487" s="265">
        <v>0</v>
      </c>
      <c r="BA487" s="265">
        <v>152202.68736863777</v>
      </c>
      <c r="BB487" s="265">
        <v>1489.7414296929296</v>
      </c>
      <c r="BC487" s="266">
        <v>150712.94593894485</v>
      </c>
      <c r="BD487" s="264">
        <v>1507.1294593894486</v>
      </c>
      <c r="BE487" s="265">
        <v>149205.81647955539</v>
      </c>
      <c r="BF487" s="357">
        <v>0.94383244902600882</v>
      </c>
      <c r="BG487" s="203"/>
      <c r="BJ487" s="458">
        <v>0.94383244902600882</v>
      </c>
      <c r="BK487" s="210"/>
      <c r="BL487" s="458"/>
      <c r="BM487" s="458"/>
      <c r="BN487" s="458"/>
      <c r="BQ487" s="203">
        <v>148809.11034686587</v>
      </c>
      <c r="BR487" s="458">
        <v>0.94132300181011375</v>
      </c>
      <c r="BT487" s="459" t="s">
        <v>900</v>
      </c>
      <c r="BU487" s="460" t="s">
        <v>900</v>
      </c>
      <c r="BV487" s="461">
        <v>149205.81647955539</v>
      </c>
      <c r="BX487" s="462">
        <v>12249.032166785735</v>
      </c>
      <c r="BY487" s="463">
        <v>8.9439633749119576E-2</v>
      </c>
      <c r="BZ487" s="461">
        <v>85.532020501195802</v>
      </c>
      <c r="CB487" s="203" t="s">
        <v>900</v>
      </c>
      <c r="CC487" s="203">
        <v>3238.5200806440921</v>
      </c>
      <c r="CD487" s="203" t="e">
        <v>#VALUE!</v>
      </c>
      <c r="CE487" s="203" t="s">
        <v>900</v>
      </c>
      <c r="CF487" s="203" t="e">
        <v>#VALUE!</v>
      </c>
      <c r="CH487" s="199"/>
      <c r="CJ487" s="464" t="s">
        <v>1448</v>
      </c>
      <c r="CK487" s="464" t="s">
        <v>1447</v>
      </c>
      <c r="CL487" s="464" t="s">
        <v>1448</v>
      </c>
      <c r="CN487" s="464" t="s">
        <v>1447</v>
      </c>
      <c r="CO487" s="464" t="s">
        <v>1447</v>
      </c>
      <c r="CP487" s="464" t="s">
        <v>1447</v>
      </c>
      <c r="CQ487" s="464" t="s">
        <v>1447</v>
      </c>
      <c r="CS487" s="465">
        <v>0</v>
      </c>
      <c r="CT487" s="466">
        <v>0.9</v>
      </c>
      <c r="CU487" s="466">
        <v>0</v>
      </c>
      <c r="CV487" s="467">
        <v>0.9</v>
      </c>
    </row>
    <row r="488" spans="1:100" s="48" customFormat="1" outlineLevel="1" x14ac:dyDescent="0.3">
      <c r="A488" s="202">
        <v>118713000</v>
      </c>
      <c r="B488" s="48">
        <v>400842</v>
      </c>
      <c r="C488" s="48">
        <v>91137</v>
      </c>
      <c r="D488" s="48" t="s">
        <v>258</v>
      </c>
      <c r="E488" s="48" t="s">
        <v>20</v>
      </c>
      <c r="F488" s="48" t="s">
        <v>1501</v>
      </c>
      <c r="G488" s="48" t="s">
        <v>1502</v>
      </c>
      <c r="H488" s="48" t="s">
        <v>1523</v>
      </c>
      <c r="O488" s="454" t="s">
        <v>900</v>
      </c>
      <c r="P488" s="455" t="s">
        <v>900</v>
      </c>
      <c r="Q488" s="347" t="s">
        <v>900</v>
      </c>
      <c r="R488" s="455">
        <v>1157</v>
      </c>
      <c r="S488" s="457">
        <v>272</v>
      </c>
      <c r="T488" s="455"/>
      <c r="U488" s="454">
        <v>1157</v>
      </c>
      <c r="V488" s="455">
        <v>149.24556706345902</v>
      </c>
      <c r="W488" s="230">
        <v>0.12899357568146846</v>
      </c>
      <c r="X488" s="264" t="s">
        <v>900</v>
      </c>
      <c r="Y488" s="265" t="s">
        <v>900</v>
      </c>
      <c r="Z488" s="265" t="s">
        <v>900</v>
      </c>
      <c r="AA488" s="265" t="s">
        <v>900</v>
      </c>
      <c r="AB488" s="266" t="s">
        <v>900</v>
      </c>
      <c r="AC488" s="265">
        <v>69788.517759922746</v>
      </c>
      <c r="AD488" s="265">
        <v>15145.272314444477</v>
      </c>
      <c r="AE488" s="265">
        <v>28075.35235057108</v>
      </c>
      <c r="AF488" s="266">
        <v>22703.046769771845</v>
      </c>
      <c r="AG488" s="265">
        <v>69788.517759922746</v>
      </c>
      <c r="AH488" s="265" t="s">
        <v>900</v>
      </c>
      <c r="AI488" s="265">
        <v>28075.35235057108</v>
      </c>
      <c r="AJ488" s="266">
        <v>22703.046769771845</v>
      </c>
      <c r="AK488" s="265">
        <v>69912.38176203215</v>
      </c>
      <c r="AL488" s="265" t="s">
        <v>900</v>
      </c>
      <c r="AM488" s="265">
        <v>28125.181829895118</v>
      </c>
      <c r="AN488" s="265">
        <v>22743.341223977819</v>
      </c>
      <c r="AO488" s="266">
        <v>120780.90481590509</v>
      </c>
      <c r="AP488" s="203"/>
      <c r="AQ488" s="264">
        <v>68850.480228340297</v>
      </c>
      <c r="AR488" s="265">
        <v>0</v>
      </c>
      <c r="AS488" s="265">
        <v>27735.634555499328</v>
      </c>
      <c r="AT488" s="265">
        <v>25205.018795093089</v>
      </c>
      <c r="AU488" s="266">
        <v>121791.13357893271</v>
      </c>
      <c r="AV488" s="203"/>
      <c r="AW488" s="324">
        <v>105034.93762764892</v>
      </c>
      <c r="AX488" s="203"/>
      <c r="AY488" s="377">
        <v>0</v>
      </c>
      <c r="AZ488" s="265">
        <v>11489.424627371773</v>
      </c>
      <c r="BA488" s="265">
        <v>110301.70895156094</v>
      </c>
      <c r="BB488" s="265">
        <v>1079.6197388623186</v>
      </c>
      <c r="BC488" s="266">
        <v>109222.08921269863</v>
      </c>
      <c r="BD488" s="264">
        <v>1092.2208921269862</v>
      </c>
      <c r="BE488" s="265">
        <v>108129.86832057164</v>
      </c>
      <c r="BF488" s="357">
        <v>1.029465726003421</v>
      </c>
      <c r="BG488" s="203"/>
      <c r="BJ488" s="458">
        <v>1.029465726003421</v>
      </c>
      <c r="BK488" s="210"/>
      <c r="BL488" s="458"/>
      <c r="BM488" s="458"/>
      <c r="BN488" s="458"/>
      <c r="BQ488" s="203">
        <v>107842.37428782017</v>
      </c>
      <c r="BR488" s="458">
        <v>1.0267285983462349</v>
      </c>
      <c r="BT488" s="459" t="s">
        <v>900</v>
      </c>
      <c r="BU488" s="460" t="s">
        <v>900</v>
      </c>
      <c r="BV488" s="461">
        <v>108129.86832057164</v>
      </c>
      <c r="BX488" s="462">
        <v>-12731.283323423108</v>
      </c>
      <c r="BY488" s="463">
        <v>-0.10534095282930515</v>
      </c>
      <c r="BZ488" s="461">
        <v>-85.304264467766615</v>
      </c>
      <c r="CB488" s="203" t="s">
        <v>900</v>
      </c>
      <c r="CC488" s="203">
        <v>3544.845045525401</v>
      </c>
      <c r="CD488" s="203" t="e">
        <v>#VALUE!</v>
      </c>
      <c r="CE488" s="203" t="s">
        <v>900</v>
      </c>
      <c r="CF488" s="203" t="e">
        <v>#VALUE!</v>
      </c>
      <c r="CH488" s="199"/>
      <c r="CJ488" s="464" t="s">
        <v>1448</v>
      </c>
      <c r="CK488" s="464" t="s">
        <v>1447</v>
      </c>
      <c r="CL488" s="464" t="s">
        <v>1448</v>
      </c>
      <c r="CN488" s="464" t="s">
        <v>1447</v>
      </c>
      <c r="CO488" s="464" t="s">
        <v>1448</v>
      </c>
      <c r="CP488" s="464" t="s">
        <v>1447</v>
      </c>
      <c r="CQ488" s="464" t="s">
        <v>1447</v>
      </c>
      <c r="CS488" s="465">
        <v>0.85</v>
      </c>
      <c r="CT488" s="466">
        <v>0</v>
      </c>
      <c r="CU488" s="466">
        <v>0</v>
      </c>
      <c r="CV488" s="467">
        <v>0.85</v>
      </c>
    </row>
    <row r="489" spans="1:100" s="48" customFormat="1" outlineLevel="1" x14ac:dyDescent="0.3">
      <c r="A489" s="202">
        <v>118712000</v>
      </c>
      <c r="B489" s="48">
        <v>400847</v>
      </c>
      <c r="C489" s="48">
        <v>91135</v>
      </c>
      <c r="D489" s="48" t="s">
        <v>259</v>
      </c>
      <c r="E489" s="48" t="s">
        <v>20</v>
      </c>
      <c r="F489" s="48" t="s">
        <v>1498</v>
      </c>
      <c r="G489" s="48" t="s">
        <v>1502</v>
      </c>
      <c r="H489" s="48" t="s">
        <v>1523</v>
      </c>
      <c r="O489" s="454" t="s">
        <v>900</v>
      </c>
      <c r="P489" s="455" t="s">
        <v>900</v>
      </c>
      <c r="Q489" s="347" t="s">
        <v>900</v>
      </c>
      <c r="R489" s="455">
        <v>1040</v>
      </c>
      <c r="S489" s="457">
        <v>371</v>
      </c>
      <c r="T489" s="455"/>
      <c r="U489" s="454">
        <v>1040</v>
      </c>
      <c r="V489" s="455">
        <v>203.56656389905623</v>
      </c>
      <c r="W489" s="230">
        <v>0.19573708067216947</v>
      </c>
      <c r="X489" s="264" t="s">
        <v>900</v>
      </c>
      <c r="Y489" s="265" t="s">
        <v>900</v>
      </c>
      <c r="Z489" s="265" t="s">
        <v>900</v>
      </c>
      <c r="AA489" s="265" t="s">
        <v>900</v>
      </c>
      <c r="AB489" s="266" t="s">
        <v>900</v>
      </c>
      <c r="AC489" s="265">
        <v>95189.485621071086</v>
      </c>
      <c r="AD489" s="265">
        <v>20657.705987716548</v>
      </c>
      <c r="AE489" s="265">
        <v>38293.954860521582</v>
      </c>
      <c r="AF489" s="266">
        <v>30966.288057299098</v>
      </c>
      <c r="AG489" s="265">
        <v>95189.485621071086</v>
      </c>
      <c r="AH489" s="265">
        <v>20657.705987716548</v>
      </c>
      <c r="AI489" s="265">
        <v>38293.954860521582</v>
      </c>
      <c r="AJ489" s="266">
        <v>30966.288057299098</v>
      </c>
      <c r="AK489" s="265">
        <v>95313.349623180489</v>
      </c>
      <c r="AL489" s="265">
        <v>21610.710255240268</v>
      </c>
      <c r="AM489" s="265">
        <v>38343.784339845617</v>
      </c>
      <c r="AN489" s="265">
        <v>31006.582511505072</v>
      </c>
      <c r="AO489" s="266">
        <v>186274.42672977145</v>
      </c>
      <c r="AP489" s="203"/>
      <c r="AQ489" s="264">
        <v>93865.631928614268</v>
      </c>
      <c r="AR489" s="265">
        <v>20924.511204278653</v>
      </c>
      <c r="AS489" s="265">
        <v>37812.704513590768</v>
      </c>
      <c r="AT489" s="265">
        <v>33796.312116100424</v>
      </c>
      <c r="AU489" s="266">
        <v>186399.15976258411</v>
      </c>
      <c r="AV489" s="203"/>
      <c r="AW489" s="324">
        <v>186784.01167002268</v>
      </c>
      <c r="AX489" s="203"/>
      <c r="AY489" s="377">
        <v>0</v>
      </c>
      <c r="AZ489" s="265">
        <v>0</v>
      </c>
      <c r="BA489" s="265">
        <v>186399.15976258411</v>
      </c>
      <c r="BB489" s="265">
        <v>1824.4523507374797</v>
      </c>
      <c r="BC489" s="266">
        <v>184574.70741184664</v>
      </c>
      <c r="BD489" s="264">
        <v>1845.7470741184663</v>
      </c>
      <c r="BE489" s="265">
        <v>182728.96033772817</v>
      </c>
      <c r="BF489" s="357">
        <v>0.97829015826334076</v>
      </c>
      <c r="BG489" s="203"/>
      <c r="BJ489" s="458">
        <v>0.97829015826334076</v>
      </c>
      <c r="BK489" s="210"/>
      <c r="BL489" s="458"/>
      <c r="BM489" s="458"/>
      <c r="BN489" s="458"/>
      <c r="BQ489" s="203">
        <v>182243.12338514603</v>
      </c>
      <c r="BR489" s="458">
        <v>0.97568909541948001</v>
      </c>
      <c r="BT489" s="459" t="s">
        <v>900</v>
      </c>
      <c r="BU489" s="460" t="s">
        <v>900</v>
      </c>
      <c r="BV489" s="461">
        <v>182728.96033772817</v>
      </c>
      <c r="BX489" s="462">
        <v>-3669.7798492163711</v>
      </c>
      <c r="BY489" s="463">
        <v>-1.9688327561728208E-2</v>
      </c>
      <c r="BZ489" s="461">
        <v>-18.027419527679047</v>
      </c>
      <c r="CB489" s="203" t="s">
        <v>900</v>
      </c>
      <c r="CC489" s="203">
        <v>4287.687805622716</v>
      </c>
      <c r="CD489" s="203" t="e">
        <v>#VALUE!</v>
      </c>
      <c r="CE489" s="203" t="s">
        <v>900</v>
      </c>
      <c r="CF489" s="203" t="e">
        <v>#VALUE!</v>
      </c>
      <c r="CH489" s="199"/>
      <c r="CJ489" s="464" t="s">
        <v>1448</v>
      </c>
      <c r="CK489" s="464" t="s">
        <v>1447</v>
      </c>
      <c r="CL489" s="464" t="s">
        <v>1448</v>
      </c>
      <c r="CN489" s="464" t="s">
        <v>1447</v>
      </c>
      <c r="CO489" s="464" t="s">
        <v>1447</v>
      </c>
      <c r="CP489" s="464" t="s">
        <v>1447</v>
      </c>
      <c r="CQ489" s="464" t="s">
        <v>1447</v>
      </c>
      <c r="CS489" s="465">
        <v>0</v>
      </c>
      <c r="CT489" s="466">
        <v>0.9</v>
      </c>
      <c r="CU489" s="466">
        <v>0</v>
      </c>
      <c r="CV489" s="467">
        <v>0.9</v>
      </c>
    </row>
    <row r="490" spans="1:100" s="48" customFormat="1" outlineLevel="1" x14ac:dyDescent="0.3">
      <c r="A490" s="202">
        <v>110100000</v>
      </c>
      <c r="B490" s="48">
        <v>402740</v>
      </c>
      <c r="C490" s="48">
        <v>4435</v>
      </c>
      <c r="D490" s="48" t="s">
        <v>274</v>
      </c>
      <c r="E490" s="48" t="s">
        <v>20</v>
      </c>
      <c r="F490" s="48" t="s">
        <v>1498</v>
      </c>
      <c r="G490" s="48" t="s">
        <v>1502</v>
      </c>
      <c r="H490" s="48" t="s">
        <v>1516</v>
      </c>
      <c r="O490" s="454" t="s">
        <v>900</v>
      </c>
      <c r="P490" s="455" t="s">
        <v>900</v>
      </c>
      <c r="Q490" s="347" t="s">
        <v>900</v>
      </c>
      <c r="R490" s="455">
        <v>174</v>
      </c>
      <c r="S490" s="457">
        <v>114</v>
      </c>
      <c r="T490" s="455"/>
      <c r="U490" s="454">
        <v>174</v>
      </c>
      <c r="V490" s="455">
        <v>62.551450901596795</v>
      </c>
      <c r="W490" s="230">
        <v>0.35949109713561378</v>
      </c>
      <c r="X490" s="264" t="s">
        <v>900</v>
      </c>
      <c r="Y490" s="265" t="s">
        <v>900</v>
      </c>
      <c r="Z490" s="265" t="s">
        <v>900</v>
      </c>
      <c r="AA490" s="265" t="s">
        <v>900</v>
      </c>
      <c r="AB490" s="266" t="s">
        <v>900</v>
      </c>
      <c r="AC490" s="265">
        <v>29249.599355261736</v>
      </c>
      <c r="AD490" s="265">
        <v>6347.6508964951117</v>
      </c>
      <c r="AE490" s="265">
        <v>11766.875617518761</v>
      </c>
      <c r="AF490" s="266">
        <v>9515.2475432131996</v>
      </c>
      <c r="AG490" s="265">
        <v>29249.599355261736</v>
      </c>
      <c r="AH490" s="265">
        <v>6347.6508964951117</v>
      </c>
      <c r="AI490" s="265">
        <v>11766.875617518761</v>
      </c>
      <c r="AJ490" s="266">
        <v>9515.2475432131996</v>
      </c>
      <c r="AK490" s="265">
        <v>29373.463357371147</v>
      </c>
      <c r="AL490" s="265">
        <v>7300.6551640188309</v>
      </c>
      <c r="AM490" s="265">
        <v>11816.705096842798</v>
      </c>
      <c r="AN490" s="265">
        <v>9555.5419974191736</v>
      </c>
      <c r="AO490" s="266">
        <v>58046.365615651957</v>
      </c>
      <c r="AP490" s="203"/>
      <c r="AQ490" s="264">
        <v>55307.727241998509</v>
      </c>
      <c r="AR490" s="265">
        <v>13252.513889062346</v>
      </c>
      <c r="AS490" s="265">
        <v>22140.336655105395</v>
      </c>
      <c r="AT490" s="265">
        <v>19007.912252516824</v>
      </c>
      <c r="AU490" s="266">
        <v>109708.49003868307</v>
      </c>
      <c r="AV490" s="203"/>
      <c r="AW490" s="324">
        <v>107951.24873909165</v>
      </c>
      <c r="AX490" s="203"/>
      <c r="AY490" s="377">
        <v>0</v>
      </c>
      <c r="AZ490" s="265">
        <v>1757.2412995914201</v>
      </c>
      <c r="BA490" s="265">
        <v>107951.24873909165</v>
      </c>
      <c r="BB490" s="265">
        <v>1056.6137196001262</v>
      </c>
      <c r="BC490" s="266">
        <v>106894.63501949153</v>
      </c>
      <c r="BD490" s="264">
        <v>1068.9463501949153</v>
      </c>
      <c r="BE490" s="265">
        <v>105825.68866929661</v>
      </c>
      <c r="BF490" s="357">
        <v>0.98031000016560876</v>
      </c>
      <c r="BG490" s="203"/>
      <c r="BJ490" s="458">
        <v>0.98031000016560876</v>
      </c>
      <c r="BK490" s="210"/>
      <c r="BL490" s="458"/>
      <c r="BM490" s="458"/>
      <c r="BN490" s="458"/>
      <c r="BQ490" s="203">
        <v>105544.32095400413</v>
      </c>
      <c r="BR490" s="458">
        <v>0.97770356699712802</v>
      </c>
      <c r="BT490" s="459" t="s">
        <v>900</v>
      </c>
      <c r="BU490" s="460" t="s">
        <v>900</v>
      </c>
      <c r="BV490" s="461">
        <v>105825.68866929661</v>
      </c>
      <c r="BX490" s="462">
        <v>45320.357057879111</v>
      </c>
      <c r="BY490" s="463">
        <v>0.74905113202360818</v>
      </c>
      <c r="BZ490" s="461">
        <v>724.5292699792866</v>
      </c>
      <c r="CB490" s="203">
        <v>9476</v>
      </c>
      <c r="CC490" s="203">
        <v>10645.436117382116</v>
      </c>
      <c r="CD490" s="203" t="e">
        <v>#VALUE!</v>
      </c>
      <c r="CE490" s="203" t="s">
        <v>900</v>
      </c>
      <c r="CF490" s="203" t="e">
        <v>#VALUE!</v>
      </c>
      <c r="CH490" s="199"/>
      <c r="CJ490" s="464" t="s">
        <v>1448</v>
      </c>
      <c r="CK490" s="464" t="s">
        <v>1447</v>
      </c>
      <c r="CL490" s="464" t="s">
        <v>1448</v>
      </c>
      <c r="CN490" s="464" t="s">
        <v>1447</v>
      </c>
      <c r="CO490" s="464" t="s">
        <v>1447</v>
      </c>
      <c r="CP490" s="464" t="s">
        <v>1447</v>
      </c>
      <c r="CQ490" s="464" t="s">
        <v>1447</v>
      </c>
      <c r="CS490" s="465">
        <v>0</v>
      </c>
      <c r="CT490" s="466">
        <v>0</v>
      </c>
      <c r="CU490" s="466">
        <v>0.95</v>
      </c>
      <c r="CV490" s="467">
        <v>0.95</v>
      </c>
    </row>
    <row r="491" spans="1:100" s="48" customFormat="1" outlineLevel="1" x14ac:dyDescent="0.3">
      <c r="A491" s="202">
        <v>108796000</v>
      </c>
      <c r="D491" s="48" t="s">
        <v>1546</v>
      </c>
      <c r="E491" s="48" t="s">
        <v>20</v>
      </c>
      <c r="F491" s="48" t="s">
        <v>900</v>
      </c>
      <c r="G491" s="48" t="s">
        <v>900</v>
      </c>
      <c r="H491" s="48" t="s">
        <v>900</v>
      </c>
      <c r="O491" s="454" t="s">
        <v>900</v>
      </c>
      <c r="P491" s="455" t="s">
        <v>900</v>
      </c>
      <c r="Q491" s="347" t="s">
        <v>900</v>
      </c>
      <c r="R491" s="455">
        <v>373.86040499784576</v>
      </c>
      <c r="S491" s="457">
        <v>149.64239551917277</v>
      </c>
      <c r="T491" s="455"/>
      <c r="U491" s="454">
        <v>373.86040499784576</v>
      </c>
      <c r="V491" s="455">
        <v>82.10832417644616</v>
      </c>
      <c r="W491" s="230">
        <v>0.21962294770669624</v>
      </c>
      <c r="X491" s="264"/>
      <c r="Y491" s="265"/>
      <c r="Z491" s="265"/>
      <c r="AA491" s="265"/>
      <c r="AB491" s="266"/>
      <c r="AC491" s="265">
        <v>38394.56241664401</v>
      </c>
      <c r="AD491" s="265">
        <v>8332.2604041311661</v>
      </c>
      <c r="AE491" s="265">
        <v>15445.819782295197</v>
      </c>
      <c r="AF491" s="266">
        <v>12490.214353722336</v>
      </c>
      <c r="AG491" s="265">
        <v>38394.56241664401</v>
      </c>
      <c r="AH491" s="265">
        <v>8332.2604041311661</v>
      </c>
      <c r="AI491" s="265">
        <v>15445.819782295197</v>
      </c>
      <c r="AJ491" s="266">
        <v>12490.214353722336</v>
      </c>
      <c r="AK491" s="265">
        <v>38518.426418753421</v>
      </c>
      <c r="AL491" s="265">
        <v>9285.2646716548843</v>
      </c>
      <c r="AM491" s="265">
        <v>15495.649261619234</v>
      </c>
      <c r="AN491" s="265">
        <v>12530.50880792831</v>
      </c>
      <c r="AO491" s="266">
        <v>75829.849159955847</v>
      </c>
      <c r="AP491" s="203"/>
      <c r="AQ491" s="264">
        <v>0</v>
      </c>
      <c r="AR491" s="265">
        <v>0</v>
      </c>
      <c r="AS491" s="265">
        <v>0</v>
      </c>
      <c r="AT491" s="265">
        <v>0</v>
      </c>
      <c r="AU491" s="266">
        <v>0</v>
      </c>
      <c r="AV491" s="203"/>
      <c r="AW491" s="324">
        <v>0</v>
      </c>
      <c r="AX491" s="203"/>
      <c r="AY491" s="377">
        <v>0</v>
      </c>
      <c r="AZ491" s="265">
        <v>0</v>
      </c>
      <c r="BA491" s="265">
        <v>0</v>
      </c>
      <c r="BB491" s="265">
        <v>0</v>
      </c>
      <c r="BC491" s="266">
        <v>0</v>
      </c>
      <c r="BD491" s="264">
        <v>0</v>
      </c>
      <c r="BE491" s="265">
        <v>0</v>
      </c>
      <c r="BF491" s="357" t="s">
        <v>1450</v>
      </c>
      <c r="BG491" s="203"/>
      <c r="BJ491" s="458" t="s">
        <v>900</v>
      </c>
      <c r="BK491" s="210"/>
      <c r="BL491" s="458"/>
      <c r="BM491" s="458"/>
      <c r="BN491" s="458"/>
      <c r="BQ491" s="203">
        <v>0</v>
      </c>
      <c r="BR491" s="458"/>
      <c r="BT491" s="459">
        <v>0</v>
      </c>
      <c r="BU491" s="460"/>
      <c r="BV491" s="461">
        <v>0</v>
      </c>
      <c r="BX491" s="462">
        <v>-79042.154163777523</v>
      </c>
      <c r="BY491" s="463">
        <v>-1.0000271418672937</v>
      </c>
      <c r="BZ491" s="461">
        <v>-962.65701384819874</v>
      </c>
      <c r="CB491" s="203" t="s">
        <v>900</v>
      </c>
      <c r="CC491" s="203">
        <v>1683.0260016802304</v>
      </c>
      <c r="CD491" s="203" t="e">
        <v>#VALUE!</v>
      </c>
      <c r="CE491" s="203" t="s">
        <v>900</v>
      </c>
      <c r="CF491" s="203" t="e">
        <v>#VALUE!</v>
      </c>
      <c r="CH491" s="199"/>
      <c r="CJ491" s="464" t="s">
        <v>1448</v>
      </c>
      <c r="CK491" s="464" t="s">
        <v>1447</v>
      </c>
      <c r="CL491" s="464" t="s">
        <v>1448</v>
      </c>
      <c r="CN491" s="464" t="s">
        <v>1447</v>
      </c>
      <c r="CO491" s="464" t="s">
        <v>1447</v>
      </c>
      <c r="CP491" s="464" t="s">
        <v>1447</v>
      </c>
      <c r="CQ491" s="464" t="s">
        <v>1447</v>
      </c>
      <c r="CS491" s="465">
        <v>0</v>
      </c>
      <c r="CT491" s="466">
        <v>0.9</v>
      </c>
      <c r="CU491" s="466">
        <v>0</v>
      </c>
      <c r="CV491" s="467">
        <v>0.9</v>
      </c>
    </row>
    <row r="492" spans="1:100" s="469" customFormat="1" outlineLevel="1" x14ac:dyDescent="0.3">
      <c r="A492" s="468"/>
      <c r="D492" s="469" t="s">
        <v>878</v>
      </c>
      <c r="E492" s="469" t="s">
        <v>900</v>
      </c>
      <c r="F492" s="469" t="s">
        <v>900</v>
      </c>
      <c r="G492" s="469" t="s">
        <v>900</v>
      </c>
      <c r="H492" s="469" t="s">
        <v>900</v>
      </c>
      <c r="I492" s="469">
        <v>0</v>
      </c>
      <c r="J492" s="469">
        <v>0</v>
      </c>
      <c r="K492" s="469">
        <v>0</v>
      </c>
      <c r="L492" s="469">
        <v>0</v>
      </c>
      <c r="M492" s="469">
        <v>0</v>
      </c>
      <c r="N492" s="469">
        <v>0</v>
      </c>
      <c r="O492" s="470">
        <v>0</v>
      </c>
      <c r="P492" s="471">
        <v>0</v>
      </c>
      <c r="Q492" s="846"/>
      <c r="R492" s="471">
        <v>7671.8604049978458</v>
      </c>
      <c r="S492" s="472">
        <v>2523.6423955191726</v>
      </c>
      <c r="T492" s="471"/>
      <c r="U492" s="470">
        <v>7671.8604049978458</v>
      </c>
      <c r="V492" s="471">
        <v>1384.7148543553128</v>
      </c>
      <c r="W492" s="473"/>
      <c r="X492" s="474"/>
      <c r="Y492" s="475"/>
      <c r="Z492" s="475"/>
      <c r="AA492" s="475"/>
      <c r="AB492" s="476"/>
      <c r="AC492" s="475">
        <v>647504.64021832263</v>
      </c>
      <c r="AD492" s="475">
        <v>140519.30626623111</v>
      </c>
      <c r="AE492" s="475">
        <v>260485.84360676483</v>
      </c>
      <c r="AF492" s="476">
        <v>210641.07108695159</v>
      </c>
      <c r="AG492" s="475"/>
      <c r="AH492" s="475"/>
      <c r="AI492" s="475"/>
      <c r="AJ492" s="476"/>
      <c r="AK492" s="475"/>
      <c r="AL492" s="475"/>
      <c r="AM492" s="475"/>
      <c r="AN492" s="475"/>
      <c r="AO492" s="476"/>
      <c r="AQ492" s="474"/>
      <c r="AR492" s="475"/>
      <c r="AS492" s="475"/>
      <c r="AT492" s="475"/>
      <c r="AU492" s="476"/>
      <c r="AW492" s="477"/>
      <c r="AY492" s="847"/>
      <c r="AZ492" s="475"/>
      <c r="BA492" s="475"/>
      <c r="BB492" s="475"/>
      <c r="BC492" s="476"/>
      <c r="BD492" s="474"/>
      <c r="BE492" s="475"/>
      <c r="BF492" s="478" t="s">
        <v>1450</v>
      </c>
      <c r="BJ492" s="479" t="s">
        <v>900</v>
      </c>
      <c r="BK492" s="480"/>
      <c r="BL492" s="479"/>
      <c r="BM492" s="479"/>
      <c r="BN492" s="479"/>
      <c r="BQ492" s="481"/>
      <c r="BR492" s="479"/>
      <c r="BT492" s="482">
        <v>0</v>
      </c>
      <c r="BU492" s="483"/>
      <c r="BV492" s="484"/>
      <c r="BX492" s="485"/>
      <c r="BY492" s="486" t="s">
        <v>900</v>
      </c>
      <c r="BZ492" s="484">
        <v>0</v>
      </c>
      <c r="CB492" s="481"/>
      <c r="CE492" s="481"/>
      <c r="CH492" s="199"/>
      <c r="CJ492" s="487" t="s">
        <v>1450</v>
      </c>
      <c r="CK492" s="487" t="s">
        <v>1448</v>
      </c>
      <c r="CL492" s="487" t="s">
        <v>1448</v>
      </c>
      <c r="CN492" s="487" t="s">
        <v>1448</v>
      </c>
      <c r="CO492" s="487" t="s">
        <v>1450</v>
      </c>
      <c r="CP492" s="487" t="s">
        <v>1450</v>
      </c>
      <c r="CQ492" s="487" t="s">
        <v>1450</v>
      </c>
      <c r="CS492" s="488">
        <v>0.85</v>
      </c>
      <c r="CT492" s="489">
        <v>0</v>
      </c>
      <c r="CU492" s="489">
        <v>0</v>
      </c>
      <c r="CV492" s="490">
        <v>0.85</v>
      </c>
    </row>
    <row r="493" spans="1:100" s="492" customFormat="1" outlineLevel="1" x14ac:dyDescent="0.3">
      <c r="A493" s="491" t="s">
        <v>880</v>
      </c>
      <c r="B493" s="492">
        <v>0.54869693773330519</v>
      </c>
      <c r="D493" s="492" t="s">
        <v>879</v>
      </c>
      <c r="E493" s="492" t="s">
        <v>900</v>
      </c>
      <c r="F493" s="492" t="s">
        <v>900</v>
      </c>
      <c r="G493" s="492" t="s">
        <v>900</v>
      </c>
      <c r="H493" s="492" t="s">
        <v>900</v>
      </c>
      <c r="I493" s="492">
        <v>15874</v>
      </c>
      <c r="J493" s="492">
        <v>1</v>
      </c>
      <c r="K493" s="492">
        <v>0</v>
      </c>
      <c r="L493" s="492">
        <v>696</v>
      </c>
      <c r="M493" s="492">
        <v>0</v>
      </c>
      <c r="N493" s="492">
        <v>15875</v>
      </c>
      <c r="O493" s="493">
        <v>72341</v>
      </c>
      <c r="P493" s="494">
        <v>16571</v>
      </c>
      <c r="Q493" s="848"/>
      <c r="R493" s="494">
        <v>49620.860404997846</v>
      </c>
      <c r="S493" s="495">
        <v>30200.642395519171</v>
      </c>
      <c r="T493" s="494"/>
      <c r="U493" s="493">
        <v>72341</v>
      </c>
      <c r="V493" s="494">
        <v>17955.714854355312</v>
      </c>
      <c r="W493" s="496"/>
      <c r="X493" s="497">
        <v>8396247.5379417241</v>
      </c>
      <c r="Y493" s="498">
        <v>1822125.7516754025</v>
      </c>
      <c r="Z493" s="498">
        <v>3377742.007091308</v>
      </c>
      <c r="AA493" s="498">
        <v>2731400.6180819003</v>
      </c>
      <c r="AB493" s="499">
        <v>16327515.914790334</v>
      </c>
      <c r="AC493" s="498">
        <v>8396247.5379417241</v>
      </c>
      <c r="AD493" s="498">
        <v>1822125.7516754023</v>
      </c>
      <c r="AE493" s="498">
        <v>3377742.007091308</v>
      </c>
      <c r="AF493" s="499">
        <v>2731400.6180818998</v>
      </c>
      <c r="AG493" s="498">
        <v>8392655.4818805512</v>
      </c>
      <c r="AH493" s="498">
        <v>1797347.6407197856</v>
      </c>
      <c r="AI493" s="498">
        <v>3376296.9521909109</v>
      </c>
      <c r="AJ493" s="499">
        <v>2730232.0789099266</v>
      </c>
      <c r="AK493" s="498">
        <v>8396247.5379417259</v>
      </c>
      <c r="AL493" s="498">
        <v>1822125.7516754018</v>
      </c>
      <c r="AM493" s="498">
        <v>3377742.0070913085</v>
      </c>
      <c r="AN493" s="498">
        <v>2731400.6180819008</v>
      </c>
      <c r="AO493" s="499">
        <v>16327515.914790334</v>
      </c>
      <c r="AP493" s="500"/>
      <c r="AQ493" s="497">
        <v>8488286.517089922</v>
      </c>
      <c r="AR493" s="498">
        <v>1816831.1892616302</v>
      </c>
      <c r="AS493" s="498">
        <v>3444736.6322944234</v>
      </c>
      <c r="AT493" s="498">
        <v>2809865.5221191198</v>
      </c>
      <c r="AU493" s="499">
        <v>16559719.860765098</v>
      </c>
      <c r="AV493" s="500"/>
      <c r="AW493" s="501">
        <v>15888910.764659014</v>
      </c>
      <c r="AX493" s="500"/>
      <c r="AY493" s="849">
        <v>0</v>
      </c>
      <c r="AZ493" s="498">
        <v>504017.08988171781</v>
      </c>
      <c r="BA493" s="498">
        <v>16055702.77088338</v>
      </c>
      <c r="BB493" s="498">
        <v>157151.26988979275</v>
      </c>
      <c r="BC493" s="499">
        <v>15898551.500993591</v>
      </c>
      <c r="BD493" s="497">
        <v>158985.51500993592</v>
      </c>
      <c r="BE493" s="498">
        <v>15739565.985983649</v>
      </c>
      <c r="BF493" s="502">
        <v>0.99060069120612437</v>
      </c>
      <c r="BG493" s="500"/>
      <c r="BJ493" s="503">
        <v>0.99060069120612437</v>
      </c>
      <c r="BK493" s="504"/>
      <c r="BL493" s="503"/>
      <c r="BM493" s="503"/>
      <c r="BN493" s="503"/>
      <c r="BO493" s="500">
        <v>29767.887435776476</v>
      </c>
      <c r="BP493" s="500">
        <v>4573283.2361013666</v>
      </c>
      <c r="BQ493" s="500">
        <v>15739565.985983647</v>
      </c>
      <c r="BR493" s="503"/>
      <c r="BT493" s="497">
        <v>0</v>
      </c>
      <c r="BU493" s="498">
        <v>0</v>
      </c>
      <c r="BV493" s="499">
        <v>15739565.985983649</v>
      </c>
      <c r="BX493" s="506"/>
      <c r="BY493" s="507" t="s">
        <v>900</v>
      </c>
      <c r="BZ493" s="505">
        <v>0</v>
      </c>
      <c r="CB493" s="500"/>
      <c r="CE493" s="500"/>
      <c r="CH493" s="395"/>
      <c r="CJ493" s="487" t="s">
        <v>1450</v>
      </c>
      <c r="CK493" s="487" t="s">
        <v>1448</v>
      </c>
      <c r="CL493" s="508" t="s">
        <v>1448</v>
      </c>
      <c r="CN493" s="487" t="s">
        <v>1448</v>
      </c>
      <c r="CO493" s="487" t="s">
        <v>1450</v>
      </c>
      <c r="CP493" s="487" t="s">
        <v>1450</v>
      </c>
      <c r="CQ493" s="487" t="s">
        <v>1450</v>
      </c>
      <c r="CS493" s="488">
        <v>0.85</v>
      </c>
      <c r="CT493" s="489">
        <v>0</v>
      </c>
      <c r="CU493" s="489">
        <v>0</v>
      </c>
      <c r="CV493" s="490">
        <v>0.85</v>
      </c>
    </row>
    <row r="494" spans="1:100" s="469" customFormat="1" outlineLevel="1" x14ac:dyDescent="0.3">
      <c r="A494" s="468"/>
      <c r="E494" s="469" t="s">
        <v>900</v>
      </c>
      <c r="F494" s="469" t="s">
        <v>900</v>
      </c>
      <c r="G494" s="469" t="s">
        <v>900</v>
      </c>
      <c r="H494" s="469" t="s">
        <v>900</v>
      </c>
      <c r="O494" s="470"/>
      <c r="P494" s="471"/>
      <c r="Q494" s="846"/>
      <c r="R494" s="471"/>
      <c r="S494" s="472"/>
      <c r="T494" s="471"/>
      <c r="U494" s="470"/>
      <c r="V494" s="471"/>
      <c r="W494" s="473"/>
      <c r="X494" s="474">
        <v>467.60864750005442</v>
      </c>
      <c r="Y494" s="475">
        <v>101.47887546974663</v>
      </c>
      <c r="Z494" s="475">
        <v>188.11515077451833</v>
      </c>
      <c r="AA494" s="475">
        <v>152.11873435489403</v>
      </c>
      <c r="AB494" s="476" t="s">
        <v>900</v>
      </c>
      <c r="AC494" s="475"/>
      <c r="AD494" s="475"/>
      <c r="AE494" s="475"/>
      <c r="AF494" s="476"/>
      <c r="AG494" s="475">
        <v>123.86400210940889</v>
      </c>
      <c r="AH494" s="475">
        <v>953.00426752371891</v>
      </c>
      <c r="AI494" s="475">
        <v>49.829479324037273</v>
      </c>
      <c r="AJ494" s="476">
        <v>40.294454205973906</v>
      </c>
      <c r="AK494" s="475"/>
      <c r="AL494" s="475"/>
      <c r="AM494" s="475"/>
      <c r="AN494" s="475"/>
      <c r="AO494" s="476"/>
      <c r="AQ494" s="474"/>
      <c r="AR494" s="475"/>
      <c r="AS494" s="475"/>
      <c r="AT494" s="475"/>
      <c r="AU494" s="476"/>
      <c r="AW494" s="477"/>
      <c r="AY494" s="847"/>
      <c r="AZ494" s="475"/>
      <c r="BA494" s="475"/>
      <c r="BB494" s="475"/>
      <c r="BC494" s="476"/>
      <c r="BD494" s="474"/>
      <c r="BE494" s="475"/>
      <c r="BF494" s="478" t="s">
        <v>1450</v>
      </c>
      <c r="BJ494" s="479" t="s">
        <v>900</v>
      </c>
      <c r="BK494" s="480"/>
      <c r="BL494" s="479"/>
      <c r="BM494" s="479"/>
      <c r="BN494" s="479"/>
      <c r="BQ494" s="481"/>
      <c r="BR494" s="479"/>
      <c r="BT494" s="482">
        <v>0</v>
      </c>
      <c r="BU494" s="483"/>
      <c r="BV494" s="484"/>
      <c r="BX494" s="485"/>
      <c r="BY494" s="486" t="s">
        <v>900</v>
      </c>
      <c r="BZ494" s="484" t="s">
        <v>900</v>
      </c>
      <c r="CB494" s="481"/>
      <c r="CE494" s="481"/>
      <c r="CH494" s="199"/>
      <c r="CJ494" s="487" t="s">
        <v>1450</v>
      </c>
      <c r="CK494" s="487" t="s">
        <v>1448</v>
      </c>
      <c r="CL494" s="487" t="s">
        <v>1448</v>
      </c>
      <c r="CN494" s="487" t="s">
        <v>1448</v>
      </c>
      <c r="CO494" s="487" t="s">
        <v>1450</v>
      </c>
      <c r="CP494" s="487" t="s">
        <v>1450</v>
      </c>
      <c r="CQ494" s="487" t="s">
        <v>1450</v>
      </c>
      <c r="CS494" s="488">
        <v>0.85</v>
      </c>
      <c r="CT494" s="489">
        <v>0</v>
      </c>
      <c r="CU494" s="489">
        <v>0</v>
      </c>
      <c r="CV494" s="490">
        <v>0.85</v>
      </c>
    </row>
    <row r="495" spans="1:100" s="199" customFormat="1" outlineLevel="1" x14ac:dyDescent="0.3">
      <c r="A495" s="201"/>
      <c r="E495" s="199" t="s">
        <v>900</v>
      </c>
      <c r="F495" s="199" t="s">
        <v>900</v>
      </c>
      <c r="G495" s="199" t="s">
        <v>900</v>
      </c>
      <c r="H495" s="199" t="s">
        <v>900</v>
      </c>
      <c r="O495" s="509" t="s">
        <v>900</v>
      </c>
      <c r="P495" s="510" t="s">
        <v>900</v>
      </c>
      <c r="Q495" s="349" t="s">
        <v>900</v>
      </c>
      <c r="R495" s="510" t="s">
        <v>900</v>
      </c>
      <c r="S495" s="512" t="s">
        <v>900</v>
      </c>
      <c r="T495" s="510"/>
      <c r="U495" s="509"/>
      <c r="V495" s="510"/>
      <c r="W495" s="232"/>
      <c r="X495" s="270" t="s">
        <v>900</v>
      </c>
      <c r="Y495" s="271" t="s">
        <v>900</v>
      </c>
      <c r="Z495" s="271" t="s">
        <v>900</v>
      </c>
      <c r="AA495" s="271" t="s">
        <v>900</v>
      </c>
      <c r="AB495" s="272" t="s">
        <v>900</v>
      </c>
      <c r="AC495" s="271"/>
      <c r="AD495" s="271"/>
      <c r="AE495" s="271"/>
      <c r="AF495" s="272"/>
      <c r="AG495" s="271"/>
      <c r="AH495" s="271"/>
      <c r="AI495" s="271"/>
      <c r="AJ495" s="272"/>
      <c r="AK495" s="271"/>
      <c r="AL495" s="271"/>
      <c r="AM495" s="271"/>
      <c r="AN495" s="271"/>
      <c r="AO495" s="272"/>
      <c r="AQ495" s="270"/>
      <c r="AR495" s="271"/>
      <c r="AS495" s="271"/>
      <c r="AT495" s="271"/>
      <c r="AU495" s="272"/>
      <c r="AW495" s="326"/>
      <c r="AY495" s="378"/>
      <c r="AZ495" s="271"/>
      <c r="BA495" s="271"/>
      <c r="BB495" s="271"/>
      <c r="BC495" s="272"/>
      <c r="BD495" s="270"/>
      <c r="BE495" s="271"/>
      <c r="BF495" s="363" t="s">
        <v>1450</v>
      </c>
      <c r="BJ495" s="513" t="s">
        <v>900</v>
      </c>
      <c r="BK495" s="221"/>
      <c r="BL495" s="513"/>
      <c r="BM495" s="513"/>
      <c r="BN495" s="513"/>
      <c r="BQ495" s="200"/>
      <c r="BR495" s="513"/>
      <c r="BT495" s="514">
        <v>0</v>
      </c>
      <c r="BU495" s="515"/>
      <c r="BV495" s="516"/>
      <c r="BX495" s="517"/>
      <c r="BY495" s="518" t="s">
        <v>900</v>
      </c>
      <c r="BZ495" s="516" t="s">
        <v>900</v>
      </c>
      <c r="CB495" s="200"/>
      <c r="CE495" s="200"/>
      <c r="CJ495" s="519" t="s">
        <v>1450</v>
      </c>
      <c r="CK495" s="519" t="s">
        <v>1448</v>
      </c>
      <c r="CL495" s="519" t="s">
        <v>1448</v>
      </c>
      <c r="CN495" s="519" t="s">
        <v>1448</v>
      </c>
      <c r="CO495" s="519" t="s">
        <v>1450</v>
      </c>
      <c r="CP495" s="519" t="s">
        <v>1450</v>
      </c>
      <c r="CQ495" s="519" t="s">
        <v>1450</v>
      </c>
      <c r="CS495" s="520">
        <v>0.85</v>
      </c>
      <c r="CT495" s="521">
        <v>0</v>
      </c>
      <c r="CU495" s="521">
        <v>0</v>
      </c>
      <c r="CV495" s="522">
        <v>0.85</v>
      </c>
    </row>
    <row r="496" spans="1:100" outlineLevel="1" x14ac:dyDescent="0.3">
      <c r="A496" s="1">
        <v>120425000</v>
      </c>
      <c r="B496" s="47">
        <v>407920</v>
      </c>
      <c r="C496" s="47">
        <v>4461</v>
      </c>
      <c r="D496" s="47" t="s">
        <v>391</v>
      </c>
      <c r="E496" s="47" t="s">
        <v>284</v>
      </c>
      <c r="F496" s="47" t="s">
        <v>1498</v>
      </c>
      <c r="G496" s="47" t="s">
        <v>1502</v>
      </c>
      <c r="H496" s="47" t="s">
        <v>1507</v>
      </c>
      <c r="I496" s="382">
        <v>25</v>
      </c>
      <c r="J496" s="382">
        <v>0</v>
      </c>
      <c r="K496" s="382">
        <v>0</v>
      </c>
      <c r="L496" s="382">
        <v>0</v>
      </c>
      <c r="M496" s="382">
        <v>0</v>
      </c>
      <c r="N496" s="382">
        <v>25</v>
      </c>
      <c r="O496" s="444">
        <v>123</v>
      </c>
      <c r="P496" s="445">
        <v>25</v>
      </c>
      <c r="Q496" s="346">
        <v>0.2032520325203252</v>
      </c>
      <c r="R496" s="445">
        <v>112</v>
      </c>
      <c r="S496" s="447">
        <v>43</v>
      </c>
      <c r="T496" s="445">
        <v>-0.76545363735495664</v>
      </c>
      <c r="U496" s="444">
        <v>120.00926756352766</v>
      </c>
      <c r="V496" s="445">
        <v>24.234546362645045</v>
      </c>
      <c r="W496" s="229">
        <v>0.20193895733774339</v>
      </c>
      <c r="X496" s="261">
        <v>12249.939716835494</v>
      </c>
      <c r="Y496" s="262">
        <v>2900.637505185312</v>
      </c>
      <c r="Z496" s="262">
        <v>4491.4984447616425</v>
      </c>
      <c r="AA496" s="262">
        <v>3750.3154562849982</v>
      </c>
      <c r="AB496" s="263">
        <v>23392.391123067446</v>
      </c>
      <c r="AC496" s="262">
        <v>11879.825650533488</v>
      </c>
      <c r="AD496" s="262">
        <v>2812.9989725289593</v>
      </c>
      <c r="AE496" s="262">
        <v>4355.7943685289065</v>
      </c>
      <c r="AF496" s="263">
        <v>3637.0051432935584</v>
      </c>
      <c r="AG496" s="262">
        <v>11879.825650533488</v>
      </c>
      <c r="AH496" s="262">
        <v>2812.9989725289593</v>
      </c>
      <c r="AI496" s="262">
        <v>4355.7943685289065</v>
      </c>
      <c r="AJ496" s="263">
        <v>3637.0051432935584</v>
      </c>
      <c r="AK496" s="262">
        <v>12225.96329444736</v>
      </c>
      <c r="AL496" s="262">
        <v>2895.6664212991145</v>
      </c>
      <c r="AM496" s="262">
        <v>4538.2513387638237</v>
      </c>
      <c r="AN496" s="262">
        <v>3809.326531080093</v>
      </c>
      <c r="AO496" s="263">
        <v>23469.207585590389</v>
      </c>
      <c r="AP496" s="31"/>
      <c r="AQ496" s="261">
        <v>12111.495760015812</v>
      </c>
      <c r="AR496" s="262">
        <v>2841.9552497373284</v>
      </c>
      <c r="AS496" s="262">
        <v>4490.2556408856753</v>
      </c>
      <c r="AT496" s="262">
        <v>3760.7779398279604</v>
      </c>
      <c r="AU496" s="263">
        <v>23204.484590466775</v>
      </c>
      <c r="AV496" s="31"/>
      <c r="AW496" s="323">
        <v>24663.862533679938</v>
      </c>
      <c r="AX496" s="31"/>
      <c r="AY496" s="747">
        <v>0</v>
      </c>
      <c r="AZ496" s="262">
        <v>0</v>
      </c>
      <c r="BA496" s="262">
        <v>23204.484590466775</v>
      </c>
      <c r="BB496" s="262">
        <v>227.12267862500698</v>
      </c>
      <c r="BC496" s="263">
        <v>22977.361911841766</v>
      </c>
      <c r="BD496" s="261">
        <v>229.77361911841766</v>
      </c>
      <c r="BE496" s="262">
        <v>22747.588292723347</v>
      </c>
      <c r="BF496" s="354">
        <v>0.92230437392603015</v>
      </c>
      <c r="BG496" s="31"/>
      <c r="BJ496" s="4">
        <v>0.86899999999999999</v>
      </c>
      <c r="BL496" s="46">
        <v>0.9</v>
      </c>
      <c r="BM496" s="4">
        <v>0.87</v>
      </c>
      <c r="BN496" s="4" t="s">
        <v>1003</v>
      </c>
      <c r="BO496" s="31">
        <v>26.176741418556048</v>
      </c>
      <c r="BP496" s="31">
        <v>22773.765034141903</v>
      </c>
      <c r="BQ496" s="31">
        <v>22773.765034141903</v>
      </c>
      <c r="BR496" s="4">
        <v>0.92336571382698085</v>
      </c>
      <c r="BS496" s="4" t="s">
        <v>900</v>
      </c>
      <c r="BT496" s="448" t="s">
        <v>900</v>
      </c>
      <c r="BU496" s="367" t="s">
        <v>900</v>
      </c>
      <c r="BV496" s="368">
        <v>22747.588292723347</v>
      </c>
      <c r="BX496" s="449">
        <v>477.82337736902628</v>
      </c>
      <c r="BY496" s="450">
        <v>2.145659995833591E-2</v>
      </c>
      <c r="BZ496" s="368">
        <v>19.716621479886243</v>
      </c>
      <c r="CB496" s="31">
        <v>3926</v>
      </c>
      <c r="CC496" s="31">
        <v>4432.5802020353703</v>
      </c>
      <c r="CD496" s="31" t="e">
        <v>#VALUE!</v>
      </c>
      <c r="CE496" s="31" t="s">
        <v>900</v>
      </c>
      <c r="CF496" s="31" t="e">
        <v>#VALUE!</v>
      </c>
      <c r="CJ496" s="702" t="s">
        <v>1447</v>
      </c>
      <c r="CK496" s="702" t="s">
        <v>1447</v>
      </c>
      <c r="CL496" s="702" t="s">
        <v>1448</v>
      </c>
      <c r="CN496" s="702" t="s">
        <v>1447</v>
      </c>
      <c r="CO496" s="702" t="s">
        <v>1447</v>
      </c>
      <c r="CP496" s="702" t="s">
        <v>1447</v>
      </c>
      <c r="CQ496" s="702" t="s">
        <v>1447</v>
      </c>
      <c r="CS496" s="451">
        <v>0</v>
      </c>
      <c r="CT496" s="452">
        <v>0.9</v>
      </c>
      <c r="CU496" s="452">
        <v>0</v>
      </c>
      <c r="CV496" s="453">
        <v>0.9</v>
      </c>
    </row>
    <row r="497" spans="1:100" outlineLevel="1" x14ac:dyDescent="0.3">
      <c r="A497" s="1">
        <v>120406000</v>
      </c>
      <c r="B497" s="47">
        <v>406000</v>
      </c>
      <c r="C497" s="47">
        <v>4460</v>
      </c>
      <c r="D497" s="47" t="s">
        <v>327</v>
      </c>
      <c r="E497" s="47" t="s">
        <v>284</v>
      </c>
      <c r="F497" s="47" t="s">
        <v>1498</v>
      </c>
      <c r="G497" s="47" t="s">
        <v>1502</v>
      </c>
      <c r="H497" s="47" t="s">
        <v>1507</v>
      </c>
      <c r="I497" s="382">
        <v>41</v>
      </c>
      <c r="J497" s="382">
        <v>0</v>
      </c>
      <c r="K497" s="382">
        <v>0</v>
      </c>
      <c r="L497" s="382">
        <v>1</v>
      </c>
      <c r="M497" s="382">
        <v>0</v>
      </c>
      <c r="N497" s="382">
        <v>41</v>
      </c>
      <c r="O497" s="444">
        <v>128</v>
      </c>
      <c r="P497" s="445">
        <v>42</v>
      </c>
      <c r="Q497" s="346">
        <v>0.328125</v>
      </c>
      <c r="R497" s="445">
        <v>84</v>
      </c>
      <c r="S497" s="447">
        <v>71</v>
      </c>
      <c r="T497" s="445">
        <v>-1.2553439652621288</v>
      </c>
      <c r="U497" s="444">
        <v>124.88769307424016</v>
      </c>
      <c r="V497" s="445">
        <v>40.744656034737872</v>
      </c>
      <c r="W497" s="229">
        <v>0.32625036968628279</v>
      </c>
      <c r="X497" s="261">
        <v>28981.375060159164</v>
      </c>
      <c r="Y497" s="262">
        <v>6633.8654053775163</v>
      </c>
      <c r="Z497" s="262">
        <v>19700.079503803772</v>
      </c>
      <c r="AA497" s="262">
        <v>21536.61697398686</v>
      </c>
      <c r="AB497" s="263">
        <v>76851.93694332731</v>
      </c>
      <c r="AC497" s="262">
        <v>28105.745071890946</v>
      </c>
      <c r="AD497" s="262">
        <v>6433.4328353208584</v>
      </c>
      <c r="AE497" s="262">
        <v>19104.870327255339</v>
      </c>
      <c r="AF497" s="263">
        <v>20885.919495722846</v>
      </c>
      <c r="AG497" s="262">
        <v>28105.745071890946</v>
      </c>
      <c r="AH497" s="262">
        <v>6433.4328353208584</v>
      </c>
      <c r="AI497" s="262">
        <v>19104.870327255339</v>
      </c>
      <c r="AJ497" s="263">
        <v>20885.919495722846</v>
      </c>
      <c r="AK497" s="262">
        <v>28451.882715804819</v>
      </c>
      <c r="AL497" s="262">
        <v>6516.1002840910132</v>
      </c>
      <c r="AM497" s="262">
        <v>19287.327297490257</v>
      </c>
      <c r="AN497" s="262">
        <v>21058.240883509381</v>
      </c>
      <c r="AO497" s="263">
        <v>75313.551180895476</v>
      </c>
      <c r="AP497" s="31"/>
      <c r="AQ497" s="261">
        <v>28299.642051063904</v>
      </c>
      <c r="AR497" s="262">
        <v>6420.9359976909063</v>
      </c>
      <c r="AS497" s="262">
        <v>19220.415571791571</v>
      </c>
      <c r="AT497" s="262">
        <v>20969.801119927401</v>
      </c>
      <c r="AU497" s="263">
        <v>74910.794740473779</v>
      </c>
      <c r="AV497" s="31"/>
      <c r="AW497" s="323">
        <v>73710.920945321137</v>
      </c>
      <c r="AX497" s="31"/>
      <c r="AY497" s="747">
        <v>0</v>
      </c>
      <c r="AZ497" s="262">
        <v>1199.8737951526418</v>
      </c>
      <c r="BA497" s="262">
        <v>73710.920945321137</v>
      </c>
      <c r="BB497" s="262">
        <v>721.47354722523949</v>
      </c>
      <c r="BC497" s="263">
        <v>72989.447398095901</v>
      </c>
      <c r="BD497" s="261">
        <v>729.89447398095899</v>
      </c>
      <c r="BE497" s="262">
        <v>72259.552924114949</v>
      </c>
      <c r="BF497" s="354">
        <v>0.98031000016560887</v>
      </c>
      <c r="BG497" s="31"/>
      <c r="BJ497" s="4">
        <v>0.91900000000000004</v>
      </c>
      <c r="BL497" s="46">
        <v>0.95</v>
      </c>
      <c r="BM497" s="4">
        <v>0.92</v>
      </c>
      <c r="BN497" s="4" t="s">
        <v>1003</v>
      </c>
      <c r="BO497" s="31">
        <v>78.628458024060819</v>
      </c>
      <c r="BP497" s="31">
        <v>72338.18138213901</v>
      </c>
      <c r="BQ497" s="31">
        <v>72338.18138213901</v>
      </c>
      <c r="BR497" s="4">
        <v>0.98137671398515791</v>
      </c>
      <c r="BS497" s="4" t="s">
        <v>900</v>
      </c>
      <c r="BT497" s="448" t="s">
        <v>900</v>
      </c>
      <c r="BU497" s="367" t="s">
        <v>900</v>
      </c>
      <c r="BV497" s="368">
        <v>72259.552924114949</v>
      </c>
      <c r="BX497" s="449">
        <v>-899.60083546912938</v>
      </c>
      <c r="BY497" s="450">
        <v>-1.2296749326352715E-2</v>
      </c>
      <c r="BZ497" s="368">
        <v>-22.078989566193719</v>
      </c>
      <c r="CB497" s="31">
        <v>5745</v>
      </c>
      <c r="CC497" s="31">
        <v>6518.4919262850244</v>
      </c>
      <c r="CD497" s="31" t="e">
        <v>#VALUE!</v>
      </c>
      <c r="CE497" s="31" t="s">
        <v>900</v>
      </c>
      <c r="CF497" s="31" t="e">
        <v>#VALUE!</v>
      </c>
      <c r="CJ497" s="702" t="s">
        <v>1447</v>
      </c>
      <c r="CK497" s="702" t="s">
        <v>1447</v>
      </c>
      <c r="CL497" s="702" t="s">
        <v>1448</v>
      </c>
      <c r="CN497" s="702" t="s">
        <v>1447</v>
      </c>
      <c r="CO497" s="702" t="s">
        <v>1447</v>
      </c>
      <c r="CP497" s="702" t="s">
        <v>1447</v>
      </c>
      <c r="CQ497" s="702" t="s">
        <v>1447</v>
      </c>
      <c r="CS497" s="451">
        <v>0</v>
      </c>
      <c r="CT497" s="452">
        <v>0</v>
      </c>
      <c r="CU497" s="452">
        <v>0.95</v>
      </c>
      <c r="CV497" s="453">
        <v>0.95</v>
      </c>
    </row>
    <row r="498" spans="1:100" outlineLevel="1" x14ac:dyDescent="0.3">
      <c r="A498" s="1">
        <v>120520000</v>
      </c>
      <c r="B498" s="47">
        <v>406030</v>
      </c>
      <c r="C498" s="47">
        <v>4462</v>
      </c>
      <c r="D498" s="47" t="s">
        <v>328</v>
      </c>
      <c r="E498" s="47" t="s">
        <v>284</v>
      </c>
      <c r="F498" s="47" t="s">
        <v>1498</v>
      </c>
      <c r="G498" s="47" t="s">
        <v>1502</v>
      </c>
      <c r="H498" s="47" t="s">
        <v>1507</v>
      </c>
      <c r="I498" s="382">
        <v>22</v>
      </c>
      <c r="J498" s="382">
        <v>0</v>
      </c>
      <c r="K498" s="382">
        <v>0</v>
      </c>
      <c r="L498" s="382">
        <v>0</v>
      </c>
      <c r="M498" s="382">
        <v>0</v>
      </c>
      <c r="N498" s="382">
        <v>22</v>
      </c>
      <c r="O498" s="444">
        <v>132</v>
      </c>
      <c r="P498" s="445">
        <v>22</v>
      </c>
      <c r="Q498" s="346">
        <v>0.16666666666666666</v>
      </c>
      <c r="R498" s="445">
        <v>69</v>
      </c>
      <c r="S498" s="447">
        <v>45</v>
      </c>
      <c r="T498" s="445">
        <v>-0.6735992008723618</v>
      </c>
      <c r="U498" s="444">
        <v>128.79043348281016</v>
      </c>
      <c r="V498" s="445">
        <v>21.326400799127637</v>
      </c>
      <c r="W498" s="229">
        <v>0.16558994501694957</v>
      </c>
      <c r="X498" s="261">
        <v>13474.933688519044</v>
      </c>
      <c r="Y498" s="262">
        <v>3190.7012557038415</v>
      </c>
      <c r="Z498" s="262">
        <v>4925.0568900188346</v>
      </c>
      <c r="AA498" s="262">
        <v>3897.8647378588644</v>
      </c>
      <c r="AB498" s="263">
        <v>25488.556572100584</v>
      </c>
      <c r="AC498" s="262">
        <v>13067.808215586838</v>
      </c>
      <c r="AD498" s="262">
        <v>3094.2988697818537</v>
      </c>
      <c r="AE498" s="262">
        <v>4776.2534775556369</v>
      </c>
      <c r="AF498" s="263">
        <v>3780.0964384735657</v>
      </c>
      <c r="AG498" s="262">
        <v>13067.808215586838</v>
      </c>
      <c r="AH498" s="262">
        <v>3094.2988697818537</v>
      </c>
      <c r="AI498" s="262">
        <v>4776.2534775556369</v>
      </c>
      <c r="AJ498" s="263">
        <v>3780.0964384735657</v>
      </c>
      <c r="AK498" s="262">
        <v>13413.945859500709</v>
      </c>
      <c r="AL498" s="262">
        <v>3176.9663185520089</v>
      </c>
      <c r="AM498" s="262">
        <v>4958.7104477905541</v>
      </c>
      <c r="AN498" s="262">
        <v>3952.4178262601004</v>
      </c>
      <c r="AO498" s="263">
        <v>25502.040452103374</v>
      </c>
      <c r="AP498" s="31"/>
      <c r="AQ498" s="261">
        <v>13295.613228251103</v>
      </c>
      <c r="AR498" s="262">
        <v>3119.7583995723367</v>
      </c>
      <c r="AS498" s="262">
        <v>4909.9500012639492</v>
      </c>
      <c r="AT498" s="262">
        <v>3903.4766692231151</v>
      </c>
      <c r="AU498" s="263">
        <v>25228.798298310503</v>
      </c>
      <c r="AV498" s="31"/>
      <c r="AW498" s="323">
        <v>26203.849305580872</v>
      </c>
      <c r="AX498" s="31"/>
      <c r="AY498" s="747">
        <v>0</v>
      </c>
      <c r="AZ498" s="262">
        <v>0</v>
      </c>
      <c r="BA498" s="262">
        <v>25228.798298310503</v>
      </c>
      <c r="BB498" s="262">
        <v>246.93641548739251</v>
      </c>
      <c r="BC498" s="263">
        <v>24981.861882823112</v>
      </c>
      <c r="BD498" s="261">
        <v>249.81861882823114</v>
      </c>
      <c r="BE498" s="262">
        <v>24732.043263994881</v>
      </c>
      <c r="BF498" s="354">
        <v>0.94383244902600905</v>
      </c>
      <c r="BG498" s="31"/>
      <c r="BJ498" s="4">
        <v>0.86899999999999999</v>
      </c>
      <c r="BL498" s="46">
        <v>0.9</v>
      </c>
      <c r="BM498" s="4">
        <v>0.87</v>
      </c>
      <c r="BN498" s="4" t="s">
        <v>1003</v>
      </c>
      <c r="BO498" s="31">
        <v>28.460348980428535</v>
      </c>
      <c r="BP498" s="31">
        <v>24760.50361297531</v>
      </c>
      <c r="BQ498" s="31">
        <v>24760.50361297531</v>
      </c>
      <c r="BR498" s="4">
        <v>0.94491856231602733</v>
      </c>
      <c r="BS498" s="4" t="s">
        <v>900</v>
      </c>
      <c r="BT498" s="448" t="s">
        <v>900</v>
      </c>
      <c r="BU498" s="367" t="s">
        <v>900</v>
      </c>
      <c r="BV498" s="368">
        <v>24732.043263994881</v>
      </c>
      <c r="BX498" s="449">
        <v>466.71015178258313</v>
      </c>
      <c r="BY498" s="450">
        <v>1.9234023091467826E-2</v>
      </c>
      <c r="BZ498" s="368">
        <v>21.884149893763322</v>
      </c>
      <c r="CB498" s="31">
        <v>2942</v>
      </c>
      <c r="CC498" s="31">
        <v>3411.3718945220835</v>
      </c>
      <c r="CD498" s="31" t="e">
        <v>#VALUE!</v>
      </c>
      <c r="CE498" s="31" t="s">
        <v>900</v>
      </c>
      <c r="CF498" s="31" t="e">
        <v>#VALUE!</v>
      </c>
      <c r="CJ498" s="702" t="s">
        <v>1447</v>
      </c>
      <c r="CK498" s="702" t="s">
        <v>1447</v>
      </c>
      <c r="CL498" s="702" t="s">
        <v>1448</v>
      </c>
      <c r="CN498" s="702" t="s">
        <v>1447</v>
      </c>
      <c r="CO498" s="702" t="s">
        <v>1447</v>
      </c>
      <c r="CP498" s="702" t="s">
        <v>1447</v>
      </c>
      <c r="CQ498" s="702" t="s">
        <v>1447</v>
      </c>
      <c r="CS498" s="451">
        <v>0</v>
      </c>
      <c r="CT498" s="452">
        <v>0.9</v>
      </c>
      <c r="CU498" s="452">
        <v>0</v>
      </c>
      <c r="CV498" s="453">
        <v>0.9</v>
      </c>
    </row>
    <row r="499" spans="1:100" outlineLevel="1" x14ac:dyDescent="0.3">
      <c r="A499" s="1">
        <v>120328000</v>
      </c>
      <c r="B499" s="47">
        <v>407500</v>
      </c>
      <c r="C499" s="47">
        <v>4459</v>
      </c>
      <c r="D499" s="47" t="s">
        <v>375</v>
      </c>
      <c r="E499" s="47" t="s">
        <v>284</v>
      </c>
      <c r="F499" s="47" t="s">
        <v>1498</v>
      </c>
      <c r="G499" s="47" t="s">
        <v>1499</v>
      </c>
      <c r="H499" s="47" t="s">
        <v>1507</v>
      </c>
      <c r="I499" s="382">
        <v>126</v>
      </c>
      <c r="J499" s="382">
        <v>0</v>
      </c>
      <c r="K499" s="382">
        <v>0</v>
      </c>
      <c r="L499" s="382">
        <v>2</v>
      </c>
      <c r="M499" s="382">
        <v>0</v>
      </c>
      <c r="N499" s="382">
        <v>126</v>
      </c>
      <c r="O499" s="444">
        <v>429</v>
      </c>
      <c r="P499" s="445">
        <v>128</v>
      </c>
      <c r="Q499" s="346">
        <v>0.29836829836829837</v>
      </c>
      <c r="R499" s="445">
        <v>197</v>
      </c>
      <c r="S499" s="447">
        <v>148</v>
      </c>
      <c r="T499" s="445">
        <v>-3.8578863322689814</v>
      </c>
      <c r="U499" s="444">
        <v>418.56890881913301</v>
      </c>
      <c r="V499" s="445">
        <v>124.14211366773102</v>
      </c>
      <c r="W499" s="229">
        <v>0.29658703991646412</v>
      </c>
      <c r="X499" s="261">
        <v>66421.139300805982</v>
      </c>
      <c r="Y499" s="262">
        <v>15339.737100097291</v>
      </c>
      <c r="Z499" s="262">
        <v>34195.290634749414</v>
      </c>
      <c r="AA499" s="262">
        <v>25342.197916352823</v>
      </c>
      <c r="AB499" s="263">
        <v>141298.3649520055</v>
      </c>
      <c r="AC499" s="262">
        <v>64414.321428776173</v>
      </c>
      <c r="AD499" s="262">
        <v>14876.269311246213</v>
      </c>
      <c r="AE499" s="262">
        <v>33162.129790062791</v>
      </c>
      <c r="AF499" s="263">
        <v>24576.520359020768</v>
      </c>
      <c r="AG499" s="262">
        <v>64414.321428776173</v>
      </c>
      <c r="AH499" s="262">
        <v>14876.269311246213</v>
      </c>
      <c r="AI499" s="262">
        <v>33162.129790062791</v>
      </c>
      <c r="AJ499" s="263">
        <v>24576.520359020768</v>
      </c>
      <c r="AK499" s="262">
        <v>64760.459072690042</v>
      </c>
      <c r="AL499" s="262">
        <v>14958.936760016368</v>
      </c>
      <c r="AM499" s="262">
        <v>33344.586760297709</v>
      </c>
      <c r="AN499" s="262">
        <v>24748.841746807302</v>
      </c>
      <c r="AO499" s="263">
        <v>137812.82433981143</v>
      </c>
      <c r="AP499" s="31"/>
      <c r="AQ499" s="261">
        <v>64475.070753354805</v>
      </c>
      <c r="AR499" s="262">
        <v>14848.567988023673</v>
      </c>
      <c r="AS499" s="262">
        <v>33244.196892314445</v>
      </c>
      <c r="AT499" s="262">
        <v>24642.846354093366</v>
      </c>
      <c r="AU499" s="263">
        <v>137210.68198778629</v>
      </c>
      <c r="AV499" s="31"/>
      <c r="AW499" s="323">
        <v>150954.2009642761</v>
      </c>
      <c r="AX499" s="31"/>
      <c r="AY499" s="747">
        <v>0</v>
      </c>
      <c r="AZ499" s="262">
        <v>0</v>
      </c>
      <c r="BA499" s="262">
        <v>137210.68198778629</v>
      </c>
      <c r="BB499" s="262">
        <v>1343.0015007458153</v>
      </c>
      <c r="BC499" s="263">
        <v>135867.68048704046</v>
      </c>
      <c r="BD499" s="261">
        <v>1358.6768048704046</v>
      </c>
      <c r="BE499" s="262">
        <v>134509.00368217006</v>
      </c>
      <c r="BF499" s="354">
        <v>0.89105836619944179</v>
      </c>
      <c r="BG499" s="31"/>
      <c r="BJ499" s="4">
        <v>0.86899999999999999</v>
      </c>
      <c r="BL499" s="46">
        <v>0.9</v>
      </c>
      <c r="BM499" s="4">
        <v>0.87</v>
      </c>
      <c r="BN499" s="4" t="s">
        <v>1003</v>
      </c>
      <c r="BO499" s="31">
        <v>154.78596511183423</v>
      </c>
      <c r="BP499" s="31">
        <v>134663.7896472819</v>
      </c>
      <c r="BQ499" s="31">
        <v>134663.7896472819</v>
      </c>
      <c r="BR499" s="4">
        <v>0.89208374981992455</v>
      </c>
      <c r="BS499" s="4" t="s">
        <v>900</v>
      </c>
      <c r="BT499" s="448" t="s">
        <v>900</v>
      </c>
      <c r="BU499" s="367" t="s">
        <v>900</v>
      </c>
      <c r="BV499" s="368">
        <v>134509.00368217006</v>
      </c>
      <c r="BX499" s="449">
        <v>-8.299566155532375</v>
      </c>
      <c r="BY499" s="450">
        <v>-6.1700173028758566E-5</v>
      </c>
      <c r="BZ499" s="368">
        <v>-6.6855363666083037E-2</v>
      </c>
      <c r="CB499" s="31">
        <v>3955</v>
      </c>
      <c r="CC499" s="31">
        <v>6350.4119925183768</v>
      </c>
      <c r="CD499" s="31" t="e">
        <v>#VALUE!</v>
      </c>
      <c r="CE499" s="31" t="s">
        <v>900</v>
      </c>
      <c r="CF499" s="31" t="e">
        <v>#VALUE!</v>
      </c>
      <c r="CJ499" s="702" t="s">
        <v>1447</v>
      </c>
      <c r="CK499" s="702" t="s">
        <v>1447</v>
      </c>
      <c r="CL499" s="702" t="s">
        <v>1448</v>
      </c>
      <c r="CN499" s="702" t="s">
        <v>1447</v>
      </c>
      <c r="CO499" s="702" t="s">
        <v>1447</v>
      </c>
      <c r="CP499" s="702" t="s">
        <v>1447</v>
      </c>
      <c r="CQ499" s="702" t="s">
        <v>1447</v>
      </c>
      <c r="CS499" s="451">
        <v>0</v>
      </c>
      <c r="CT499" s="452">
        <v>0.9</v>
      </c>
      <c r="CU499" s="452">
        <v>0</v>
      </c>
      <c r="CV499" s="453">
        <v>0.9</v>
      </c>
    </row>
    <row r="500" spans="1:100" outlineLevel="1" x14ac:dyDescent="0.3">
      <c r="A500" s="1">
        <v>120235000</v>
      </c>
      <c r="B500" s="47">
        <v>407520</v>
      </c>
      <c r="C500" s="47">
        <v>4458</v>
      </c>
      <c r="D500" s="47" t="s">
        <v>376</v>
      </c>
      <c r="E500" s="47" t="s">
        <v>284</v>
      </c>
      <c r="F500" s="47" t="s">
        <v>1498</v>
      </c>
      <c r="G500" s="47" t="s">
        <v>1502</v>
      </c>
      <c r="H500" s="47" t="s">
        <v>1507</v>
      </c>
      <c r="I500" s="382">
        <v>1081</v>
      </c>
      <c r="J500" s="382">
        <v>0</v>
      </c>
      <c r="K500" s="382">
        <v>0</v>
      </c>
      <c r="L500" s="382">
        <v>14</v>
      </c>
      <c r="M500" s="382">
        <v>0</v>
      </c>
      <c r="N500" s="382">
        <v>1081</v>
      </c>
      <c r="O500" s="444">
        <v>4375</v>
      </c>
      <c r="P500" s="445">
        <v>1095</v>
      </c>
      <c r="Q500" s="346">
        <v>0.25028571428571428</v>
      </c>
      <c r="R500" s="445">
        <v>3176</v>
      </c>
      <c r="S500" s="447">
        <v>2369</v>
      </c>
      <c r="T500" s="445">
        <v>-33.098215279228327</v>
      </c>
      <c r="U500" s="444">
        <v>4268.6223218734431</v>
      </c>
      <c r="V500" s="445">
        <v>1061.9017847207717</v>
      </c>
      <c r="W500" s="229">
        <v>0.2487692057644296</v>
      </c>
      <c r="X500" s="261">
        <v>543030.40526850568</v>
      </c>
      <c r="Y500" s="262">
        <v>125411.03241926897</v>
      </c>
      <c r="Z500" s="262">
        <v>255446.49495231098</v>
      </c>
      <c r="AA500" s="262">
        <v>181115.18475072214</v>
      </c>
      <c r="AB500" s="263">
        <v>1105003.1173908077</v>
      </c>
      <c r="AC500" s="262">
        <v>526623.53339277441</v>
      </c>
      <c r="AD500" s="262">
        <v>121621.92094274174</v>
      </c>
      <c r="AE500" s="262">
        <v>247728.55158647883</v>
      </c>
      <c r="AF500" s="263">
        <v>175643.05353647604</v>
      </c>
      <c r="AG500" s="262">
        <v>526623.53339277441</v>
      </c>
      <c r="AH500" s="262">
        <v>121621.92094274174</v>
      </c>
      <c r="AI500" s="262">
        <v>247728.55158647883</v>
      </c>
      <c r="AJ500" s="263">
        <v>175643.05353647604</v>
      </c>
      <c r="AK500" s="262">
        <v>526969.67103668826</v>
      </c>
      <c r="AL500" s="262">
        <v>121704.58839151189</v>
      </c>
      <c r="AM500" s="262">
        <v>247911.00855671376</v>
      </c>
      <c r="AN500" s="262">
        <v>175815.37492426258</v>
      </c>
      <c r="AO500" s="263">
        <v>1072400.6429091764</v>
      </c>
      <c r="AP500" s="31"/>
      <c r="AQ500" s="261">
        <v>525938.97163666366</v>
      </c>
      <c r="AR500" s="262">
        <v>121253.61432759101</v>
      </c>
      <c r="AS500" s="262">
        <v>247420.35628853479</v>
      </c>
      <c r="AT500" s="262">
        <v>175686.80901967804</v>
      </c>
      <c r="AU500" s="263">
        <v>1070299.7512724674</v>
      </c>
      <c r="AV500" s="31"/>
      <c r="AW500" s="323">
        <v>1177504.8516993776</v>
      </c>
      <c r="AX500" s="31"/>
      <c r="AY500" s="747">
        <v>0</v>
      </c>
      <c r="AZ500" s="262">
        <v>0</v>
      </c>
      <c r="BA500" s="262">
        <v>1070299.7512724674</v>
      </c>
      <c r="BB500" s="262">
        <v>10475.96405311029</v>
      </c>
      <c r="BC500" s="263">
        <v>1059823.7872193572</v>
      </c>
      <c r="BD500" s="261">
        <v>10598.237872193573</v>
      </c>
      <c r="BE500" s="262">
        <v>1049225.5493471636</v>
      </c>
      <c r="BF500" s="354">
        <v>0.89105836619944201</v>
      </c>
      <c r="BG500" s="31"/>
      <c r="BJ500" s="4">
        <v>0.86899999999999999</v>
      </c>
      <c r="BL500" s="46">
        <v>0.9</v>
      </c>
      <c r="BM500" s="4">
        <v>0.87</v>
      </c>
      <c r="BN500" s="4" t="s">
        <v>1003</v>
      </c>
      <c r="BO500" s="31">
        <v>1207.3941879712511</v>
      </c>
      <c r="BP500" s="31">
        <v>1050432.9435351349</v>
      </c>
      <c r="BQ500" s="31">
        <v>1050432.9435351349</v>
      </c>
      <c r="BR500" s="4">
        <v>0.89208374981992444</v>
      </c>
      <c r="BS500" s="4" t="s">
        <v>900</v>
      </c>
      <c r="BT500" s="448" t="s">
        <v>900</v>
      </c>
      <c r="BU500" s="367" t="s">
        <v>900</v>
      </c>
      <c r="BV500" s="368">
        <v>1049225.5493471636</v>
      </c>
      <c r="BX500" s="449">
        <v>-2747.2705994318239</v>
      </c>
      <c r="BY500" s="450">
        <v>-2.6115964076797744E-3</v>
      </c>
      <c r="BZ500" s="368">
        <v>-2.5871230644500911</v>
      </c>
      <c r="CB500" s="31">
        <v>106554</v>
      </c>
      <c r="CC500" s="31">
        <v>127744.22746399214</v>
      </c>
      <c r="CD500" s="31" t="e">
        <v>#VALUE!</v>
      </c>
      <c r="CE500" s="31" t="s">
        <v>900</v>
      </c>
      <c r="CF500" s="31" t="e">
        <v>#VALUE!</v>
      </c>
      <c r="CJ500" s="702" t="s">
        <v>1447</v>
      </c>
      <c r="CK500" s="702" t="s">
        <v>1447</v>
      </c>
      <c r="CL500" s="702" t="s">
        <v>1448</v>
      </c>
      <c r="CN500" s="702" t="s">
        <v>1447</v>
      </c>
      <c r="CO500" s="702" t="s">
        <v>1447</v>
      </c>
      <c r="CP500" s="702" t="s">
        <v>1447</v>
      </c>
      <c r="CQ500" s="702" t="s">
        <v>1447</v>
      </c>
      <c r="CS500" s="451">
        <v>0</v>
      </c>
      <c r="CT500" s="452">
        <v>0.9</v>
      </c>
      <c r="CU500" s="452">
        <v>0</v>
      </c>
      <c r="CV500" s="453">
        <v>0.9</v>
      </c>
    </row>
    <row r="501" spans="1:100" outlineLevel="1" x14ac:dyDescent="0.3">
      <c r="A501" s="1">
        <v>120201000</v>
      </c>
      <c r="B501" s="47">
        <v>405530</v>
      </c>
      <c r="C501" s="47">
        <v>4457</v>
      </c>
      <c r="D501" s="47" t="s">
        <v>306</v>
      </c>
      <c r="E501" s="47" t="s">
        <v>284</v>
      </c>
      <c r="F501" s="47" t="s">
        <v>1498</v>
      </c>
      <c r="G501" s="47" t="s">
        <v>1502</v>
      </c>
      <c r="H501" s="47" t="s">
        <v>1507</v>
      </c>
      <c r="I501" s="382">
        <v>1916</v>
      </c>
      <c r="J501" s="382">
        <v>0</v>
      </c>
      <c r="K501" s="382">
        <v>0</v>
      </c>
      <c r="L501" s="382">
        <v>26</v>
      </c>
      <c r="M501" s="382">
        <v>0</v>
      </c>
      <c r="N501" s="382">
        <v>1916</v>
      </c>
      <c r="O501" s="444">
        <v>4848</v>
      </c>
      <c r="P501" s="445">
        <v>1942</v>
      </c>
      <c r="Q501" s="346">
        <v>0.40057755775577558</v>
      </c>
      <c r="R501" s="445">
        <v>5620</v>
      </c>
      <c r="S501" s="447">
        <v>4470</v>
      </c>
      <c r="T501" s="445">
        <v>-58.664366766883873</v>
      </c>
      <c r="U501" s="444">
        <v>4730.1213751868463</v>
      </c>
      <c r="V501" s="445">
        <v>1883.3356332331161</v>
      </c>
      <c r="W501" s="229">
        <v>0.39815799296666499</v>
      </c>
      <c r="X501" s="261">
        <v>1015028.7694806287</v>
      </c>
      <c r="Y501" s="262">
        <v>247561.21938780131</v>
      </c>
      <c r="Z501" s="262">
        <v>566378.74406021112</v>
      </c>
      <c r="AA501" s="262">
        <v>600325.14094880142</v>
      </c>
      <c r="AB501" s="263">
        <v>2429293.8738774424</v>
      </c>
      <c r="AC501" s="262">
        <v>984361.15527435695</v>
      </c>
      <c r="AD501" s="262">
        <v>240081.51812524101</v>
      </c>
      <c r="AE501" s="262">
        <v>549266.43617325451</v>
      </c>
      <c r="AF501" s="263">
        <v>582187.19217877404</v>
      </c>
      <c r="AG501" s="262">
        <v>984361.15527435695</v>
      </c>
      <c r="AH501" s="262">
        <v>240081.51812524101</v>
      </c>
      <c r="AI501" s="262">
        <v>549266.43617325451</v>
      </c>
      <c r="AJ501" s="263">
        <v>582187.19217877404</v>
      </c>
      <c r="AK501" s="262">
        <v>984707.2929182708</v>
      </c>
      <c r="AL501" s="262">
        <v>240164.18557401118</v>
      </c>
      <c r="AM501" s="262">
        <v>549448.89314348937</v>
      </c>
      <c r="AN501" s="262">
        <v>582359.51356656058</v>
      </c>
      <c r="AO501" s="263">
        <v>2356679.8852023319</v>
      </c>
      <c r="AP501" s="31"/>
      <c r="AQ501" s="261">
        <v>982616.54399766028</v>
      </c>
      <c r="AR501" s="262">
        <v>239036.39694851293</v>
      </c>
      <c r="AS501" s="262">
        <v>548417.70134336757</v>
      </c>
      <c r="AT501" s="262">
        <v>582332.22428448463</v>
      </c>
      <c r="AU501" s="263">
        <v>2352402.8665740252</v>
      </c>
      <c r="AV501" s="31"/>
      <c r="AW501" s="323">
        <v>2501815.4965219256</v>
      </c>
      <c r="AX501" s="31"/>
      <c r="AY501" s="747">
        <v>0</v>
      </c>
      <c r="AZ501" s="262">
        <v>0</v>
      </c>
      <c r="BA501" s="262">
        <v>2352402.8665740252</v>
      </c>
      <c r="BB501" s="262">
        <v>23025.033724771478</v>
      </c>
      <c r="BC501" s="263">
        <v>2329377.8328492539</v>
      </c>
      <c r="BD501" s="261">
        <v>23293.778328492539</v>
      </c>
      <c r="BE501" s="262">
        <v>2306084.0545207616</v>
      </c>
      <c r="BF501" s="354">
        <v>0.92176423790112672</v>
      </c>
      <c r="BG501" s="31"/>
      <c r="BJ501" s="4">
        <v>0.92176423790112672</v>
      </c>
      <c r="BL501" s="46">
        <v>0.94999999999999984</v>
      </c>
      <c r="BM501" s="4">
        <v>0.92</v>
      </c>
      <c r="BN501" s="4" t="s">
        <v>900</v>
      </c>
      <c r="BO501" s="31" t="s">
        <v>900</v>
      </c>
      <c r="BP501" s="31" t="s">
        <v>900</v>
      </c>
      <c r="BQ501" s="31">
        <v>2304648.1544618034</v>
      </c>
      <c r="BR501" s="4">
        <v>0.92119029467431623</v>
      </c>
      <c r="BS501" s="4" t="s">
        <v>900</v>
      </c>
      <c r="BT501" s="448" t="s">
        <v>900</v>
      </c>
      <c r="BU501" s="367" t="s">
        <v>900</v>
      </c>
      <c r="BV501" s="368">
        <v>2306084.0545207616</v>
      </c>
      <c r="BX501" s="449">
        <v>-28836.82707923837</v>
      </c>
      <c r="BY501" s="450">
        <v>-1.2350237349146491E-2</v>
      </c>
      <c r="BZ501" s="368">
        <v>-15.311570901323776</v>
      </c>
      <c r="CB501" s="31">
        <v>291641</v>
      </c>
      <c r="CC501" s="31">
        <v>326333.53609664482</v>
      </c>
      <c r="CD501" s="31" t="e">
        <v>#VALUE!</v>
      </c>
      <c r="CE501" s="31" t="s">
        <v>900</v>
      </c>
      <c r="CF501" s="31" t="e">
        <v>#VALUE!</v>
      </c>
      <c r="CJ501" s="702" t="s">
        <v>1447</v>
      </c>
      <c r="CK501" s="702" t="s">
        <v>1447</v>
      </c>
      <c r="CL501" s="702" t="s">
        <v>1448</v>
      </c>
      <c r="CN501" s="702" t="s">
        <v>1447</v>
      </c>
      <c r="CO501" s="702" t="s">
        <v>1447</v>
      </c>
      <c r="CP501" s="702" t="s">
        <v>1447</v>
      </c>
      <c r="CQ501" s="702" t="s">
        <v>1447</v>
      </c>
      <c r="CS501" s="451">
        <v>0</v>
      </c>
      <c r="CT501" s="452">
        <v>0</v>
      </c>
      <c r="CU501" s="452">
        <v>0.95</v>
      </c>
      <c r="CV501" s="453">
        <v>0.95</v>
      </c>
    </row>
    <row r="502" spans="1:100" s="237" customFormat="1" outlineLevel="1" x14ac:dyDescent="0.3">
      <c r="A502" s="236"/>
      <c r="B502" s="237">
        <v>481023</v>
      </c>
      <c r="D502" s="237" t="s">
        <v>886</v>
      </c>
      <c r="E502" s="237" t="s">
        <v>284</v>
      </c>
      <c r="F502" s="237" t="s">
        <v>900</v>
      </c>
      <c r="G502" s="237" t="s">
        <v>900</v>
      </c>
      <c r="H502" s="237" t="s">
        <v>900</v>
      </c>
      <c r="I502" s="760">
        <v>0</v>
      </c>
      <c r="J502" s="760">
        <v>0</v>
      </c>
      <c r="K502" s="760">
        <v>0</v>
      </c>
      <c r="L502" s="760">
        <v>0</v>
      </c>
      <c r="M502" s="760">
        <v>0</v>
      </c>
      <c r="N502" s="760">
        <v>0</v>
      </c>
      <c r="O502" s="525">
        <v>0</v>
      </c>
      <c r="P502" s="526">
        <v>0</v>
      </c>
      <c r="Q502" s="350">
        <v>0</v>
      </c>
      <c r="R502" s="526" t="s">
        <v>900</v>
      </c>
      <c r="S502" s="528" t="s">
        <v>900</v>
      </c>
      <c r="T502" s="526"/>
      <c r="U502" s="525"/>
      <c r="V502" s="526"/>
      <c r="W502" s="241">
        <v>0</v>
      </c>
      <c r="X502" s="273">
        <v>0</v>
      </c>
      <c r="Y502" s="274">
        <v>0</v>
      </c>
      <c r="Z502" s="274">
        <v>0</v>
      </c>
      <c r="AA502" s="274">
        <v>0</v>
      </c>
      <c r="AB502" s="275">
        <v>0</v>
      </c>
      <c r="AC502" s="274"/>
      <c r="AD502" s="274"/>
      <c r="AE502" s="274"/>
      <c r="AF502" s="275"/>
      <c r="AG502" s="274" t="s">
        <v>900</v>
      </c>
      <c r="AH502" s="274" t="s">
        <v>900</v>
      </c>
      <c r="AI502" s="274" t="s">
        <v>900</v>
      </c>
      <c r="AJ502" s="275" t="s">
        <v>900</v>
      </c>
      <c r="AK502" s="274"/>
      <c r="AL502" s="274"/>
      <c r="AM502" s="274"/>
      <c r="AN502" s="274"/>
      <c r="AO502" s="275"/>
      <c r="AQ502" s="273">
        <v>0</v>
      </c>
      <c r="AR502" s="274">
        <v>0</v>
      </c>
      <c r="AS502" s="274">
        <v>0</v>
      </c>
      <c r="AT502" s="274">
        <v>0</v>
      </c>
      <c r="AU502" s="275">
        <v>0</v>
      </c>
      <c r="AW502" s="327">
        <v>0</v>
      </c>
      <c r="AY502" s="379">
        <v>0</v>
      </c>
      <c r="AZ502" s="274">
        <v>0</v>
      </c>
      <c r="BA502" s="274">
        <v>0</v>
      </c>
      <c r="BB502" s="274"/>
      <c r="BC502" s="275"/>
      <c r="BD502" s="273"/>
      <c r="BE502" s="274"/>
      <c r="BF502" s="366" t="s">
        <v>1450</v>
      </c>
      <c r="BJ502" s="529"/>
      <c r="BK502" s="239"/>
      <c r="BL502" s="529"/>
      <c r="BM502" s="529"/>
      <c r="BN502" s="529"/>
      <c r="BQ502" s="242"/>
      <c r="BR502" s="529"/>
      <c r="BT502" s="530" t="s">
        <v>900</v>
      </c>
      <c r="BU502" s="531" t="s">
        <v>900</v>
      </c>
      <c r="BV502" s="532">
        <v>0</v>
      </c>
      <c r="BX502" s="533">
        <v>0</v>
      </c>
      <c r="BY502" s="534" t="s">
        <v>900</v>
      </c>
      <c r="BZ502" s="532" t="s">
        <v>900</v>
      </c>
      <c r="CB502" s="242" t="s">
        <v>900</v>
      </c>
      <c r="CC502" s="242">
        <v>0</v>
      </c>
      <c r="CD502" s="242" t="e">
        <v>#VALUE!</v>
      </c>
      <c r="CE502" s="242" t="s">
        <v>900</v>
      </c>
      <c r="CF502" s="242" t="e">
        <v>#VALUE!</v>
      </c>
      <c r="CJ502" s="535" t="s">
        <v>1447</v>
      </c>
      <c r="CK502" s="535" t="s">
        <v>1447</v>
      </c>
      <c r="CL502" s="535" t="s">
        <v>1447</v>
      </c>
      <c r="CN502" s="535" t="s">
        <v>1448</v>
      </c>
      <c r="CO502" s="535" t="s">
        <v>1448</v>
      </c>
      <c r="CP502" s="535" t="s">
        <v>1448</v>
      </c>
      <c r="CQ502" s="535" t="s">
        <v>1448</v>
      </c>
      <c r="CS502" s="536">
        <v>0.85</v>
      </c>
      <c r="CT502" s="537">
        <v>0</v>
      </c>
      <c r="CU502" s="537">
        <v>0</v>
      </c>
      <c r="CV502" s="538">
        <v>0.85</v>
      </c>
    </row>
    <row r="503" spans="1:100" s="48" customFormat="1" outlineLevel="1" x14ac:dyDescent="0.3">
      <c r="A503" s="202">
        <v>128703000</v>
      </c>
      <c r="B503" s="48">
        <v>400150</v>
      </c>
      <c r="C503" s="48">
        <v>4463</v>
      </c>
      <c r="D503" s="48" t="s">
        <v>283</v>
      </c>
      <c r="E503" s="48" t="s">
        <v>284</v>
      </c>
      <c r="F503" s="48" t="s">
        <v>1498</v>
      </c>
      <c r="G503" s="48" t="s">
        <v>1502</v>
      </c>
      <c r="H503" s="48" t="s">
        <v>1507</v>
      </c>
      <c r="O503" s="454" t="s">
        <v>900</v>
      </c>
      <c r="P503" s="455" t="s">
        <v>900</v>
      </c>
      <c r="Q503" s="347" t="s">
        <v>900</v>
      </c>
      <c r="R503" s="455">
        <v>244</v>
      </c>
      <c r="S503" s="457">
        <v>212</v>
      </c>
      <c r="T503" s="455"/>
      <c r="U503" s="454">
        <v>244</v>
      </c>
      <c r="V503" s="455">
        <v>93.619542202832832</v>
      </c>
      <c r="W503" s="230">
        <v>0.38368664837226568</v>
      </c>
      <c r="X503" s="264" t="s">
        <v>900</v>
      </c>
      <c r="Y503" s="265" t="s">
        <v>900</v>
      </c>
      <c r="Z503" s="265" t="s">
        <v>900</v>
      </c>
      <c r="AA503" s="265" t="s">
        <v>900</v>
      </c>
      <c r="AB503" s="266" t="s">
        <v>900</v>
      </c>
      <c r="AC503" s="265">
        <v>48311.209974138081</v>
      </c>
      <c r="AD503" s="265">
        <v>11538.081875182543</v>
      </c>
      <c r="AE503" s="265">
        <v>25465.929971075402</v>
      </c>
      <c r="AF503" s="266">
        <v>24051.283917740457</v>
      </c>
      <c r="AG503" s="265">
        <v>48311.209974138081</v>
      </c>
      <c r="AH503" s="265">
        <v>11538.081875182543</v>
      </c>
      <c r="AI503" s="265">
        <v>25465.929971075402</v>
      </c>
      <c r="AJ503" s="266">
        <v>24051.283917740457</v>
      </c>
      <c r="AK503" s="265">
        <v>48657.34761805195</v>
      </c>
      <c r="AL503" s="265">
        <v>11620.749323952698</v>
      </c>
      <c r="AM503" s="265">
        <v>25648.38694131032</v>
      </c>
      <c r="AN503" s="265">
        <v>24223.605305526991</v>
      </c>
      <c r="AO503" s="266">
        <v>110150.08918884196</v>
      </c>
      <c r="AP503" s="203"/>
      <c r="AQ503" s="264">
        <v>47918.289517630496</v>
      </c>
      <c r="AR503" s="265">
        <v>11251.758806594506</v>
      </c>
      <c r="AS503" s="265">
        <v>25293.144465508227</v>
      </c>
      <c r="AT503" s="265">
        <v>23250.497252518097</v>
      </c>
      <c r="AU503" s="266">
        <v>107713.69004225133</v>
      </c>
      <c r="AV503" s="203"/>
      <c r="AW503" s="324">
        <v>89920.081873871008</v>
      </c>
      <c r="AX503" s="203"/>
      <c r="AY503" s="377">
        <v>0</v>
      </c>
      <c r="AZ503" s="265">
        <v>10161.399165190203</v>
      </c>
      <c r="BA503" s="265">
        <v>97552.290877061125</v>
      </c>
      <c r="BB503" s="265">
        <v>954.82998226586631</v>
      </c>
      <c r="BC503" s="266">
        <v>96597.460894795266</v>
      </c>
      <c r="BD503" s="264">
        <v>965.97460894795267</v>
      </c>
      <c r="BE503" s="265">
        <v>95631.486285847306</v>
      </c>
      <c r="BF503" s="357">
        <v>1.0635164503073693</v>
      </c>
      <c r="BG503" s="203"/>
      <c r="BJ503" s="458">
        <v>1.0635164503073693</v>
      </c>
      <c r="BK503" s="210"/>
      <c r="BL503" s="458"/>
      <c r="BM503" s="458"/>
      <c r="BN503" s="458" t="s">
        <v>900</v>
      </c>
      <c r="BO503" s="203"/>
      <c r="BP503" s="203"/>
      <c r="BQ503" s="203">
        <v>95571.940643299327</v>
      </c>
      <c r="BR503" s="458">
        <v>1.0628542440314508</v>
      </c>
      <c r="BT503" s="459" t="s">
        <v>900</v>
      </c>
      <c r="BU503" s="460" t="s">
        <v>900</v>
      </c>
      <c r="BV503" s="461">
        <v>95631.486285847306</v>
      </c>
      <c r="BX503" s="462">
        <v>17893.161820004752</v>
      </c>
      <c r="BY503" s="463">
        <v>0.23031494592963805</v>
      </c>
      <c r="BZ503" s="461">
        <v>191.12635459419414</v>
      </c>
      <c r="CB503" s="203" t="s">
        <v>900</v>
      </c>
      <c r="CC503" s="203">
        <v>1733.5672310098594</v>
      </c>
      <c r="CD503" s="203" t="e">
        <v>#VALUE!</v>
      </c>
      <c r="CE503" s="203" t="s">
        <v>900</v>
      </c>
      <c r="CF503" s="203" t="e">
        <v>#VALUE!</v>
      </c>
      <c r="CH503" s="199"/>
      <c r="CJ503" s="464" t="s">
        <v>1448</v>
      </c>
      <c r="CK503" s="464" t="s">
        <v>1447</v>
      </c>
      <c r="CL503" s="464" t="s">
        <v>1448</v>
      </c>
      <c r="CN503" s="464" t="s">
        <v>1447</v>
      </c>
      <c r="CO503" s="464" t="s">
        <v>1447</v>
      </c>
      <c r="CP503" s="464" t="s">
        <v>1447</v>
      </c>
      <c r="CQ503" s="464" t="s">
        <v>1447</v>
      </c>
      <c r="CS503" s="465">
        <v>0</v>
      </c>
      <c r="CT503" s="466">
        <v>0</v>
      </c>
      <c r="CU503" s="466">
        <v>0.95</v>
      </c>
      <c r="CV503" s="467">
        <v>0.95</v>
      </c>
    </row>
    <row r="504" spans="1:100" s="48" customFormat="1" outlineLevel="1" x14ac:dyDescent="0.3">
      <c r="A504" s="202">
        <v>108796000</v>
      </c>
      <c r="D504" s="48" t="s">
        <v>1547</v>
      </c>
      <c r="E504" s="48" t="s">
        <v>284</v>
      </c>
      <c r="F504" s="48" t="s">
        <v>900</v>
      </c>
      <c r="G504" s="48" t="s">
        <v>900</v>
      </c>
      <c r="H504" s="48" t="s">
        <v>900</v>
      </c>
      <c r="O504" s="454" t="s">
        <v>900</v>
      </c>
      <c r="P504" s="455" t="s">
        <v>900</v>
      </c>
      <c r="Q504" s="347" t="s">
        <v>900</v>
      </c>
      <c r="R504" s="455">
        <v>26.56376561826799</v>
      </c>
      <c r="S504" s="457">
        <v>10.632485997414907</v>
      </c>
      <c r="T504" s="455"/>
      <c r="U504" s="454">
        <v>26.56376561826799</v>
      </c>
      <c r="V504" s="455">
        <v>4.6953229790378019</v>
      </c>
      <c r="W504" s="230">
        <v>0.17675667849624499</v>
      </c>
      <c r="X504" s="264"/>
      <c r="Y504" s="265"/>
      <c r="Z504" s="265"/>
      <c r="AA504" s="265"/>
      <c r="AB504" s="266"/>
      <c r="AC504" s="265">
        <v>2422.963507397144</v>
      </c>
      <c r="AD504" s="265">
        <v>578.67214139106181</v>
      </c>
      <c r="AE504" s="265">
        <v>1277.1987916443766</v>
      </c>
      <c r="AF504" s="266">
        <v>1206.2497145057819</v>
      </c>
      <c r="AG504" s="265" t="s">
        <v>900</v>
      </c>
      <c r="AH504" s="265" t="s">
        <v>900</v>
      </c>
      <c r="AI504" s="265" t="s">
        <v>900</v>
      </c>
      <c r="AJ504" s="266" t="s">
        <v>900</v>
      </c>
      <c r="AK504" s="265" t="s">
        <v>900</v>
      </c>
      <c r="AL504" s="265" t="s">
        <v>900</v>
      </c>
      <c r="AM504" s="265" t="s">
        <v>900</v>
      </c>
      <c r="AN504" s="265" t="s">
        <v>900</v>
      </c>
      <c r="AO504" s="266">
        <v>0</v>
      </c>
      <c r="AP504" s="203"/>
      <c r="AQ504" s="264">
        <v>0</v>
      </c>
      <c r="AR504" s="265">
        <v>0</v>
      </c>
      <c r="AS504" s="265">
        <v>0</v>
      </c>
      <c r="AT504" s="265">
        <v>0</v>
      </c>
      <c r="AU504" s="266">
        <v>0</v>
      </c>
      <c r="AV504" s="203"/>
      <c r="AW504" s="324">
        <v>0</v>
      </c>
      <c r="AX504" s="203"/>
      <c r="AY504" s="377">
        <v>0</v>
      </c>
      <c r="AZ504" s="265">
        <v>0</v>
      </c>
      <c r="BA504" s="265">
        <v>0</v>
      </c>
      <c r="BB504" s="265">
        <v>0</v>
      </c>
      <c r="BC504" s="266">
        <v>0</v>
      </c>
      <c r="BD504" s="264">
        <v>0</v>
      </c>
      <c r="BE504" s="265">
        <v>0</v>
      </c>
      <c r="BF504" s="357" t="s">
        <v>1450</v>
      </c>
      <c r="BG504" s="203"/>
      <c r="BJ504" s="458"/>
      <c r="BK504" s="210"/>
      <c r="BL504" s="458"/>
      <c r="BM504" s="458"/>
      <c r="BN504" s="458"/>
      <c r="BQ504" s="203">
        <v>0</v>
      </c>
      <c r="BR504" s="458"/>
      <c r="BT504" s="459">
        <v>0</v>
      </c>
      <c r="BU504" s="460"/>
      <c r="BV504" s="461">
        <v>0</v>
      </c>
      <c r="BX504" s="462">
        <v>-4061.2797088520438</v>
      </c>
      <c r="BY504" s="463">
        <v>-1.0006223704965316</v>
      </c>
      <c r="BZ504" s="461">
        <v>-864.96279957386639</v>
      </c>
      <c r="CB504" s="203" t="s">
        <v>900</v>
      </c>
      <c r="CC504" s="203">
        <v>101.51698349147343</v>
      </c>
      <c r="CD504" s="203" t="e">
        <v>#VALUE!</v>
      </c>
      <c r="CE504" s="203" t="s">
        <v>900</v>
      </c>
      <c r="CF504" s="203" t="e">
        <v>#VALUE!</v>
      </c>
      <c r="CH504" s="199"/>
      <c r="CJ504" s="464" t="s">
        <v>1448</v>
      </c>
      <c r="CK504" s="464" t="s">
        <v>1447</v>
      </c>
      <c r="CL504" s="464" t="s">
        <v>1448</v>
      </c>
      <c r="CN504" s="464" t="s">
        <v>1448</v>
      </c>
      <c r="CO504" s="464" t="s">
        <v>1448</v>
      </c>
      <c r="CP504" s="464" t="s">
        <v>1448</v>
      </c>
      <c r="CQ504" s="464" t="s">
        <v>1448</v>
      </c>
      <c r="CS504" s="465">
        <v>0</v>
      </c>
      <c r="CT504" s="466">
        <v>0.9</v>
      </c>
      <c r="CU504" s="466">
        <v>0</v>
      </c>
      <c r="CV504" s="467">
        <v>0.9</v>
      </c>
    </row>
    <row r="505" spans="1:100" s="469" customFormat="1" outlineLevel="1" x14ac:dyDescent="0.3">
      <c r="A505" s="468"/>
      <c r="D505" s="469" t="s">
        <v>878</v>
      </c>
      <c r="E505" s="469" t="s">
        <v>900</v>
      </c>
      <c r="F505" s="469" t="s">
        <v>900</v>
      </c>
      <c r="G505" s="469" t="s">
        <v>900</v>
      </c>
      <c r="H505" s="469" t="s">
        <v>900</v>
      </c>
      <c r="I505" s="469">
        <v>0</v>
      </c>
      <c r="J505" s="469">
        <v>0</v>
      </c>
      <c r="K505" s="469">
        <v>0</v>
      </c>
      <c r="L505" s="469">
        <v>0</v>
      </c>
      <c r="M505" s="469">
        <v>0</v>
      </c>
      <c r="N505" s="469">
        <v>0</v>
      </c>
      <c r="O505" s="470">
        <v>0</v>
      </c>
      <c r="P505" s="471">
        <v>0</v>
      </c>
      <c r="Q505" s="846"/>
      <c r="R505" s="471">
        <v>270.56376561826801</v>
      </c>
      <c r="S505" s="472">
        <v>222.6324859974149</v>
      </c>
      <c r="T505" s="471"/>
      <c r="U505" s="470">
        <v>270.56376561826801</v>
      </c>
      <c r="V505" s="471">
        <v>98.31486518187063</v>
      </c>
      <c r="W505" s="473"/>
      <c r="X505" s="474"/>
      <c r="Y505" s="475"/>
      <c r="Z505" s="475"/>
      <c r="AA505" s="475"/>
      <c r="AB505" s="476"/>
      <c r="AC505" s="475">
        <v>50734.173481535225</v>
      </c>
      <c r="AD505" s="475">
        <v>12116.754016573605</v>
      </c>
      <c r="AE505" s="475">
        <v>26743.128762719778</v>
      </c>
      <c r="AF505" s="476">
        <v>25257.533632246239</v>
      </c>
      <c r="AG505" s="475"/>
      <c r="AH505" s="475"/>
      <c r="AI505" s="475"/>
      <c r="AJ505" s="476"/>
      <c r="AK505" s="475"/>
      <c r="AL505" s="475"/>
      <c r="AM505" s="475"/>
      <c r="AN505" s="475"/>
      <c r="AO505" s="476"/>
      <c r="AQ505" s="474"/>
      <c r="AR505" s="475"/>
      <c r="AS505" s="475"/>
      <c r="AT505" s="475"/>
      <c r="AU505" s="476"/>
      <c r="AW505" s="477"/>
      <c r="AY505" s="847"/>
      <c r="AZ505" s="475"/>
      <c r="BA505" s="475"/>
      <c r="BB505" s="475"/>
      <c r="BC505" s="476"/>
      <c r="BD505" s="474"/>
      <c r="BE505" s="475"/>
      <c r="BF505" s="478" t="s">
        <v>1450</v>
      </c>
      <c r="BJ505" s="479"/>
      <c r="BK505" s="480"/>
      <c r="BL505" s="479"/>
      <c r="BM505" s="479"/>
      <c r="BN505" s="479"/>
      <c r="BQ505" s="481"/>
      <c r="BR505" s="479"/>
      <c r="BT505" s="482">
        <v>0</v>
      </c>
      <c r="BU505" s="483"/>
      <c r="BV505" s="484"/>
      <c r="BX505" s="485"/>
      <c r="BY505" s="486" t="s">
        <v>900</v>
      </c>
      <c r="BZ505" s="484">
        <v>0</v>
      </c>
      <c r="CB505" s="481"/>
      <c r="CC505" s="481"/>
      <c r="CD505" s="481"/>
      <c r="CE505" s="481"/>
      <c r="CH505" s="199"/>
      <c r="CJ505" s="487" t="s">
        <v>1450</v>
      </c>
      <c r="CK505" s="487" t="s">
        <v>1448</v>
      </c>
      <c r="CL505" s="487" t="s">
        <v>1448</v>
      </c>
      <c r="CN505" s="487" t="s">
        <v>1448</v>
      </c>
      <c r="CO505" s="487" t="s">
        <v>1450</v>
      </c>
      <c r="CP505" s="487" t="s">
        <v>1450</v>
      </c>
      <c r="CQ505" s="487" t="s">
        <v>1450</v>
      </c>
      <c r="CS505" s="488">
        <v>0.85</v>
      </c>
      <c r="CT505" s="489">
        <v>0</v>
      </c>
      <c r="CU505" s="489">
        <v>0</v>
      </c>
      <c r="CV505" s="490">
        <v>0.85</v>
      </c>
    </row>
    <row r="506" spans="1:100" s="492" customFormat="1" outlineLevel="1" x14ac:dyDescent="0.3">
      <c r="A506" s="491" t="s">
        <v>880</v>
      </c>
      <c r="B506" s="492">
        <v>0.44160161416430582</v>
      </c>
      <c r="D506" s="492" t="s">
        <v>879</v>
      </c>
      <c r="E506" s="492" t="s">
        <v>900</v>
      </c>
      <c r="F506" s="492" t="s">
        <v>900</v>
      </c>
      <c r="G506" s="492" t="s">
        <v>900</v>
      </c>
      <c r="H506" s="492" t="s">
        <v>900</v>
      </c>
      <c r="I506" s="492">
        <v>3211</v>
      </c>
      <c r="J506" s="492">
        <v>0</v>
      </c>
      <c r="K506" s="492">
        <v>0</v>
      </c>
      <c r="L506" s="492">
        <v>43</v>
      </c>
      <c r="M506" s="492">
        <v>0</v>
      </c>
      <c r="N506" s="492">
        <v>3211</v>
      </c>
      <c r="O506" s="493">
        <v>10035</v>
      </c>
      <c r="P506" s="494">
        <v>3254</v>
      </c>
      <c r="Q506" s="848"/>
      <c r="R506" s="494">
        <v>9528.563765618268</v>
      </c>
      <c r="S506" s="495">
        <v>7368.6324859974147</v>
      </c>
      <c r="T506" s="494"/>
      <c r="U506" s="493">
        <v>10061.563765618268</v>
      </c>
      <c r="V506" s="494">
        <v>3254</v>
      </c>
      <c r="W506" s="496"/>
      <c r="X506" s="497">
        <v>1679186.5625154539</v>
      </c>
      <c r="Y506" s="498">
        <v>401037.19307343423</v>
      </c>
      <c r="Z506" s="498">
        <v>885137.16448585573</v>
      </c>
      <c r="AA506" s="498">
        <v>835967.32078400708</v>
      </c>
      <c r="AB506" s="499">
        <v>3801328.2408587509</v>
      </c>
      <c r="AC506" s="498">
        <v>1679186.5625154539</v>
      </c>
      <c r="AD506" s="498">
        <v>401037.19307343429</v>
      </c>
      <c r="AE506" s="498">
        <v>885137.16448585584</v>
      </c>
      <c r="AF506" s="499">
        <v>835967.32078400708</v>
      </c>
      <c r="AG506" s="498">
        <v>1676763.5990080568</v>
      </c>
      <c r="AH506" s="498">
        <v>400458.5209320432</v>
      </c>
      <c r="AI506" s="498">
        <v>883859.96569421142</v>
      </c>
      <c r="AJ506" s="499">
        <v>834761.07106950134</v>
      </c>
      <c r="AK506" s="498">
        <v>1679186.5625154541</v>
      </c>
      <c r="AL506" s="498">
        <v>401037.19307343429</v>
      </c>
      <c r="AM506" s="498">
        <v>885137.16448585584</v>
      </c>
      <c r="AN506" s="498">
        <v>835967.32078400708</v>
      </c>
      <c r="AO506" s="499">
        <v>3801328.2408587513</v>
      </c>
      <c r="AP506" s="500"/>
      <c r="AQ506" s="497">
        <v>1674655.6269446402</v>
      </c>
      <c r="AR506" s="498">
        <v>398772.98771772272</v>
      </c>
      <c r="AS506" s="498">
        <v>882996.02020366618</v>
      </c>
      <c r="AT506" s="498">
        <v>834546.43263975263</v>
      </c>
      <c r="AU506" s="499">
        <v>3790971.0675057811</v>
      </c>
      <c r="AV506" s="500"/>
      <c r="AW506" s="501">
        <v>4044773.2638440323</v>
      </c>
      <c r="AX506" s="500"/>
      <c r="AY506" s="849">
        <v>0</v>
      </c>
      <c r="AZ506" s="498">
        <v>11361.272960342845</v>
      </c>
      <c r="BA506" s="498">
        <v>3779609.7945454381</v>
      </c>
      <c r="BB506" s="498">
        <v>36994.361902231089</v>
      </c>
      <c r="BC506" s="499">
        <v>3742615.4326432077</v>
      </c>
      <c r="BD506" s="497">
        <v>37426.154326432072</v>
      </c>
      <c r="BE506" s="498">
        <v>3705189.2783167758</v>
      </c>
      <c r="BF506" s="502">
        <v>0.91604375242420244</v>
      </c>
      <c r="BG506" s="500"/>
      <c r="BJ506" s="503"/>
      <c r="BK506" s="504"/>
      <c r="BL506" s="503"/>
      <c r="BM506" s="503"/>
      <c r="BN506" s="503"/>
      <c r="BO506" s="500">
        <v>1495.4457015061307</v>
      </c>
      <c r="BP506" s="500">
        <v>1304969.1832116731</v>
      </c>
      <c r="BQ506" s="500">
        <v>3705189.2783167758</v>
      </c>
      <c r="BR506" s="503"/>
      <c r="BT506" s="497">
        <v>0</v>
      </c>
      <c r="BU506" s="498">
        <v>0</v>
      </c>
      <c r="BV506" s="499">
        <v>3705189.2783167758</v>
      </c>
      <c r="BX506" s="506"/>
      <c r="BY506" s="507" t="s">
        <v>900</v>
      </c>
      <c r="BZ506" s="505">
        <v>0</v>
      </c>
      <c r="CB506" s="500"/>
      <c r="CE506" s="500"/>
      <c r="CH506" s="395"/>
      <c r="CJ506" s="487" t="s">
        <v>1450</v>
      </c>
      <c r="CK506" s="487" t="s">
        <v>1448</v>
      </c>
      <c r="CL506" s="508" t="s">
        <v>1448</v>
      </c>
      <c r="CN506" s="487" t="s">
        <v>1448</v>
      </c>
      <c r="CO506" s="487" t="s">
        <v>1450</v>
      </c>
      <c r="CP506" s="487" t="s">
        <v>1450</v>
      </c>
      <c r="CQ506" s="487" t="s">
        <v>1450</v>
      </c>
      <c r="CS506" s="488">
        <v>0.85</v>
      </c>
      <c r="CT506" s="489">
        <v>0</v>
      </c>
      <c r="CU506" s="489">
        <v>0</v>
      </c>
      <c r="CV506" s="490">
        <v>0.85</v>
      </c>
    </row>
    <row r="507" spans="1:100" s="469" customFormat="1" outlineLevel="1" x14ac:dyDescent="0.3">
      <c r="A507" s="468"/>
      <c r="E507" s="469" t="s">
        <v>900</v>
      </c>
      <c r="F507" s="469" t="s">
        <v>900</v>
      </c>
      <c r="G507" s="469" t="s">
        <v>900</v>
      </c>
      <c r="H507" s="469" t="s">
        <v>900</v>
      </c>
      <c r="O507" s="470"/>
      <c r="P507" s="471"/>
      <c r="Q507" s="846"/>
      <c r="R507" s="471"/>
      <c r="S507" s="472"/>
      <c r="T507" s="471"/>
      <c r="U507" s="470"/>
      <c r="V507" s="471"/>
      <c r="W507" s="473"/>
      <c r="X507" s="474">
        <v>516.03766518606449</v>
      </c>
      <c r="Y507" s="475">
        <v>123.24437402379662</v>
      </c>
      <c r="Z507" s="475">
        <v>272.01510893849286</v>
      </c>
      <c r="AA507" s="475">
        <v>256.9045239041202</v>
      </c>
      <c r="AB507" s="476" t="s">
        <v>900</v>
      </c>
      <c r="AC507" s="475"/>
      <c r="AD507" s="475"/>
      <c r="AE507" s="475"/>
      <c r="AF507" s="476"/>
      <c r="AG507" s="475">
        <v>346.1376439138715</v>
      </c>
      <c r="AH507" s="475">
        <v>82.667448770155062</v>
      </c>
      <c r="AI507" s="475">
        <v>182.45697023491707</v>
      </c>
      <c r="AJ507" s="476">
        <v>172.32138778653461</v>
      </c>
      <c r="AK507" s="475"/>
      <c r="AL507" s="475"/>
      <c r="AM507" s="475"/>
      <c r="AN507" s="475"/>
      <c r="AO507" s="476"/>
      <c r="AQ507" s="474"/>
      <c r="AR507" s="475"/>
      <c r="AS507" s="475"/>
      <c r="AT507" s="475"/>
      <c r="AU507" s="476"/>
      <c r="AW507" s="477"/>
      <c r="AY507" s="847"/>
      <c r="AZ507" s="475"/>
      <c r="BA507" s="475"/>
      <c r="BB507" s="475"/>
      <c r="BC507" s="476"/>
      <c r="BD507" s="474"/>
      <c r="BE507" s="475"/>
      <c r="BF507" s="478" t="s">
        <v>1450</v>
      </c>
      <c r="BJ507" s="479"/>
      <c r="BK507" s="480"/>
      <c r="BL507" s="479"/>
      <c r="BM507" s="479"/>
      <c r="BN507" s="479"/>
      <c r="BQ507" s="481"/>
      <c r="BR507" s="479"/>
      <c r="BT507" s="482">
        <v>0</v>
      </c>
      <c r="BU507" s="483"/>
      <c r="BV507" s="484"/>
      <c r="BX507" s="485"/>
      <c r="BY507" s="486" t="s">
        <v>900</v>
      </c>
      <c r="BZ507" s="484" t="s">
        <v>900</v>
      </c>
      <c r="CB507" s="481"/>
      <c r="CE507" s="481"/>
      <c r="CH507" s="199"/>
      <c r="CJ507" s="487" t="s">
        <v>1450</v>
      </c>
      <c r="CK507" s="487" t="s">
        <v>1448</v>
      </c>
      <c r="CL507" s="487" t="s">
        <v>1448</v>
      </c>
      <c r="CN507" s="487" t="s">
        <v>1448</v>
      </c>
      <c r="CO507" s="487" t="s">
        <v>1450</v>
      </c>
      <c r="CP507" s="487" t="s">
        <v>1450</v>
      </c>
      <c r="CQ507" s="487" t="s">
        <v>1450</v>
      </c>
      <c r="CS507" s="488">
        <v>0.85</v>
      </c>
      <c r="CT507" s="489">
        <v>0</v>
      </c>
      <c r="CU507" s="489">
        <v>0</v>
      </c>
      <c r="CV507" s="490">
        <v>0.85</v>
      </c>
    </row>
    <row r="508" spans="1:100" s="199" customFormat="1" outlineLevel="1" x14ac:dyDescent="0.3">
      <c r="A508" s="201"/>
      <c r="E508" s="199" t="s">
        <v>900</v>
      </c>
      <c r="F508" s="199" t="s">
        <v>900</v>
      </c>
      <c r="G508" s="199" t="s">
        <v>900</v>
      </c>
      <c r="H508" s="199" t="s">
        <v>900</v>
      </c>
      <c r="O508" s="509" t="s">
        <v>900</v>
      </c>
      <c r="P508" s="510" t="s">
        <v>900</v>
      </c>
      <c r="Q508" s="349" t="s">
        <v>900</v>
      </c>
      <c r="R508" s="510" t="s">
        <v>900</v>
      </c>
      <c r="S508" s="512" t="s">
        <v>900</v>
      </c>
      <c r="T508" s="510"/>
      <c r="U508" s="509"/>
      <c r="V508" s="510"/>
      <c r="W508" s="232"/>
      <c r="X508" s="270" t="s">
        <v>900</v>
      </c>
      <c r="Y508" s="271" t="s">
        <v>900</v>
      </c>
      <c r="Z508" s="271" t="s">
        <v>900</v>
      </c>
      <c r="AA508" s="271" t="s">
        <v>900</v>
      </c>
      <c r="AB508" s="272" t="s">
        <v>900</v>
      </c>
      <c r="AC508" s="271"/>
      <c r="AD508" s="271"/>
      <c r="AE508" s="271"/>
      <c r="AF508" s="272"/>
      <c r="AG508" s="271"/>
      <c r="AH508" s="271"/>
      <c r="AI508" s="271"/>
      <c r="AJ508" s="272"/>
      <c r="AK508" s="271"/>
      <c r="AL508" s="271"/>
      <c r="AM508" s="271"/>
      <c r="AN508" s="271"/>
      <c r="AO508" s="272"/>
      <c r="AQ508" s="270"/>
      <c r="AR508" s="271"/>
      <c r="AS508" s="271"/>
      <c r="AT508" s="271"/>
      <c r="AU508" s="272"/>
      <c r="AW508" s="326"/>
      <c r="AY508" s="378"/>
      <c r="AZ508" s="271"/>
      <c r="BA508" s="271"/>
      <c r="BB508" s="271"/>
      <c r="BC508" s="272"/>
      <c r="BD508" s="270"/>
      <c r="BE508" s="271"/>
      <c r="BF508" s="363" t="s">
        <v>1450</v>
      </c>
      <c r="BJ508" s="513"/>
      <c r="BK508" s="221"/>
      <c r="BL508" s="513"/>
      <c r="BM508" s="513"/>
      <c r="BN508" s="513"/>
      <c r="BQ508" s="200"/>
      <c r="BR508" s="513"/>
      <c r="BT508" s="514">
        <v>0</v>
      </c>
      <c r="BU508" s="515"/>
      <c r="BV508" s="516"/>
      <c r="BX508" s="517"/>
      <c r="BY508" s="518" t="s">
        <v>900</v>
      </c>
      <c r="BZ508" s="516" t="s">
        <v>900</v>
      </c>
      <c r="CB508" s="200"/>
      <c r="CE508" s="200"/>
      <c r="CJ508" s="519" t="s">
        <v>1450</v>
      </c>
      <c r="CK508" s="519" t="s">
        <v>1448</v>
      </c>
      <c r="CL508" s="519" t="s">
        <v>1448</v>
      </c>
      <c r="CN508" s="519" t="s">
        <v>1448</v>
      </c>
      <c r="CO508" s="519" t="s">
        <v>1450</v>
      </c>
      <c r="CP508" s="519" t="s">
        <v>1450</v>
      </c>
      <c r="CQ508" s="519" t="s">
        <v>1450</v>
      </c>
      <c r="CS508" s="520">
        <v>0.85</v>
      </c>
      <c r="CT508" s="521">
        <v>0</v>
      </c>
      <c r="CU508" s="521">
        <v>0</v>
      </c>
      <c r="CV508" s="522">
        <v>0.85</v>
      </c>
    </row>
    <row r="509" spans="1:100" outlineLevel="1" x14ac:dyDescent="0.3">
      <c r="A509" s="1">
        <v>130352000</v>
      </c>
      <c r="B509" s="47">
        <v>409510</v>
      </c>
      <c r="C509" s="47">
        <v>4485</v>
      </c>
      <c r="D509" s="47" t="s">
        <v>448</v>
      </c>
      <c r="E509" s="47" t="s">
        <v>3</v>
      </c>
      <c r="F509" s="47" t="s">
        <v>1503</v>
      </c>
      <c r="G509" s="47" t="s">
        <v>1502</v>
      </c>
      <c r="H509" s="47" t="s">
        <v>1517</v>
      </c>
      <c r="I509" s="382">
        <v>7</v>
      </c>
      <c r="J509" s="382">
        <v>0</v>
      </c>
      <c r="K509" s="382">
        <v>0</v>
      </c>
      <c r="L509" s="382">
        <v>0</v>
      </c>
      <c r="M509" s="382">
        <v>0</v>
      </c>
      <c r="N509" s="382">
        <v>7</v>
      </c>
      <c r="O509" s="444">
        <v>67</v>
      </c>
      <c r="P509" s="445">
        <v>7</v>
      </c>
      <c r="Q509" s="346">
        <v>0.1044776119402985</v>
      </c>
      <c r="R509" s="445">
        <v>31</v>
      </c>
      <c r="S509" s="447">
        <v>25</v>
      </c>
      <c r="T509" s="445">
        <v>-1.1364072195444783</v>
      </c>
      <c r="U509" s="444">
        <v>58.094116744567401</v>
      </c>
      <c r="V509" s="445">
        <v>5.8635927804555212</v>
      </c>
      <c r="W509" s="229">
        <v>0.10093264359688967</v>
      </c>
      <c r="X509" s="261">
        <v>0</v>
      </c>
      <c r="Y509" s="262">
        <v>1997.6300950933289</v>
      </c>
      <c r="Z509" s="262">
        <v>0</v>
      </c>
      <c r="AA509" s="262">
        <v>0</v>
      </c>
      <c r="AB509" s="263">
        <v>1997.6300950933289</v>
      </c>
      <c r="AC509" s="262" t="s">
        <v>900</v>
      </c>
      <c r="AD509" s="262">
        <v>1687.2510756592724</v>
      </c>
      <c r="AE509" s="262" t="s">
        <v>900</v>
      </c>
      <c r="AF509" s="263" t="s">
        <v>900</v>
      </c>
      <c r="AG509" s="262" t="s">
        <v>900</v>
      </c>
      <c r="AH509" s="262" t="s">
        <v>900</v>
      </c>
      <c r="AI509" s="262" t="s">
        <v>900</v>
      </c>
      <c r="AJ509" s="263" t="s">
        <v>900</v>
      </c>
      <c r="AK509" s="262" t="s">
        <v>900</v>
      </c>
      <c r="AL509" s="262" t="s">
        <v>900</v>
      </c>
      <c r="AM509" s="262" t="s">
        <v>900</v>
      </c>
      <c r="AN509" s="262" t="s">
        <v>900</v>
      </c>
      <c r="AO509" s="263">
        <v>0</v>
      </c>
      <c r="AP509" s="31"/>
      <c r="AQ509" s="261">
        <v>0</v>
      </c>
      <c r="AR509" s="262">
        <v>1742.0835287177597</v>
      </c>
      <c r="AS509" s="262">
        <v>0</v>
      </c>
      <c r="AT509" s="262">
        <v>0</v>
      </c>
      <c r="AU509" s="263">
        <v>1742.0835287177597</v>
      </c>
      <c r="AV509" s="31"/>
      <c r="AW509" s="323">
        <v>2029.3167451155152</v>
      </c>
      <c r="AX509" s="31"/>
      <c r="AY509" s="747">
        <v>0</v>
      </c>
      <c r="AZ509" s="262">
        <v>0</v>
      </c>
      <c r="BA509" s="262">
        <v>1742.0835287177597</v>
      </c>
      <c r="BB509" s="262">
        <v>17.051302126031093</v>
      </c>
      <c r="BC509" s="263">
        <v>1725.0322265917287</v>
      </c>
      <c r="BD509" s="261">
        <v>17.250322265917287</v>
      </c>
      <c r="BE509" s="262">
        <v>1707.7819043258114</v>
      </c>
      <c r="BF509" s="354">
        <v>0.84155512363280627</v>
      </c>
      <c r="BG509" s="31"/>
      <c r="BJ509" s="4">
        <v>0.84155512363280627</v>
      </c>
      <c r="BL509" s="4">
        <v>0.1136916864755599</v>
      </c>
      <c r="BM509" s="4">
        <v>0.85</v>
      </c>
      <c r="BN509" s="4" t="s">
        <v>1003</v>
      </c>
      <c r="BO509" s="31">
        <v>17.137329022376434</v>
      </c>
      <c r="BP509" s="31">
        <v>1724.9192333481878</v>
      </c>
      <c r="BQ509" s="31">
        <v>1724.9192333481878</v>
      </c>
      <c r="BR509" s="4">
        <v>0.85</v>
      </c>
      <c r="BS509" s="4" t="s">
        <v>900</v>
      </c>
      <c r="BT509" s="448" t="s">
        <v>900</v>
      </c>
      <c r="BU509" s="367" t="s">
        <v>900</v>
      </c>
      <c r="BV509" s="368">
        <v>1707.7819043258114</v>
      </c>
      <c r="BX509" s="449">
        <v>-10451.89309567419</v>
      </c>
      <c r="BY509" s="450">
        <v>-0.85955365547797868</v>
      </c>
      <c r="BZ509" s="368">
        <v>-1782.5066451600037</v>
      </c>
      <c r="CB509" s="31" t="s">
        <v>900</v>
      </c>
      <c r="CC509" s="31">
        <v>152.12583290439053</v>
      </c>
      <c r="CD509" s="31" t="e">
        <v>#VALUE!</v>
      </c>
      <c r="CE509" s="31" t="s">
        <v>900</v>
      </c>
      <c r="CF509" s="31" t="e">
        <v>#VALUE!</v>
      </c>
      <c r="CJ509" s="702" t="s">
        <v>1447</v>
      </c>
      <c r="CK509" s="702" t="s">
        <v>1447</v>
      </c>
      <c r="CL509" s="702" t="s">
        <v>1448</v>
      </c>
      <c r="CN509" s="702" t="s">
        <v>1448</v>
      </c>
      <c r="CO509" s="702" t="s">
        <v>1448</v>
      </c>
      <c r="CP509" s="702" t="s">
        <v>1448</v>
      </c>
      <c r="CQ509" s="702" t="s">
        <v>1448</v>
      </c>
      <c r="CS509" s="451">
        <v>0.85</v>
      </c>
      <c r="CT509" s="452">
        <v>0</v>
      </c>
      <c r="CU509" s="452">
        <v>0</v>
      </c>
      <c r="CV509" s="453">
        <v>0.85</v>
      </c>
    </row>
    <row r="510" spans="1:100" outlineLevel="1" x14ac:dyDescent="0.3">
      <c r="A510" s="1">
        <v>130323000</v>
      </c>
      <c r="B510" s="47">
        <v>404170</v>
      </c>
      <c r="C510" s="47">
        <v>4480</v>
      </c>
      <c r="D510" s="47" t="s">
        <v>243</v>
      </c>
      <c r="E510" s="47" t="s">
        <v>3</v>
      </c>
      <c r="F510" s="47" t="s">
        <v>1503</v>
      </c>
      <c r="G510" s="47" t="s">
        <v>1502</v>
      </c>
      <c r="H510" s="47" t="s">
        <v>1517</v>
      </c>
      <c r="I510" s="382">
        <v>38</v>
      </c>
      <c r="J510" s="382">
        <v>0</v>
      </c>
      <c r="K510" s="382">
        <v>0</v>
      </c>
      <c r="L510" s="382">
        <v>2</v>
      </c>
      <c r="M510" s="382">
        <v>0</v>
      </c>
      <c r="N510" s="382">
        <v>38</v>
      </c>
      <c r="O510" s="444">
        <v>145</v>
      </c>
      <c r="P510" s="445">
        <v>40</v>
      </c>
      <c r="Q510" s="346">
        <v>0.27586206896551724</v>
      </c>
      <c r="R510" s="445">
        <v>72</v>
      </c>
      <c r="S510" s="447">
        <v>55</v>
      </c>
      <c r="T510" s="445">
        <v>-6.1690677632414541</v>
      </c>
      <c r="U510" s="444">
        <v>125.72607355167573</v>
      </c>
      <c r="V510" s="445">
        <v>33.830932236758542</v>
      </c>
      <c r="W510" s="229">
        <v>0.26908445703470896</v>
      </c>
      <c r="X510" s="261">
        <v>21336.736218226244</v>
      </c>
      <c r="Y510" s="262">
        <v>4927.6469450403292</v>
      </c>
      <c r="Z510" s="262">
        <v>11665.251961290429</v>
      </c>
      <c r="AA510" s="262">
        <v>10898.380414524952</v>
      </c>
      <c r="AB510" s="263">
        <v>48828.015539081956</v>
      </c>
      <c r="AC510" s="262">
        <v>18021.570271536406</v>
      </c>
      <c r="AD510" s="262">
        <v>4162.0206007659217</v>
      </c>
      <c r="AE510" s="262">
        <v>9852.7795350440792</v>
      </c>
      <c r="AF510" s="263">
        <v>9205.0595966277087</v>
      </c>
      <c r="AG510" s="262">
        <v>18021.570271536406</v>
      </c>
      <c r="AH510" s="262">
        <v>4162.0206007659217</v>
      </c>
      <c r="AI510" s="262">
        <v>9852.7795350440792</v>
      </c>
      <c r="AJ510" s="263">
        <v>9205.0595966277087</v>
      </c>
      <c r="AK510" s="262">
        <v>18091.63781785324</v>
      </c>
      <c r="AL510" s="262">
        <v>4596.6333006934474</v>
      </c>
      <c r="AM510" s="262">
        <v>9882.1932845192514</v>
      </c>
      <c r="AN510" s="262">
        <v>9229.0538651186616</v>
      </c>
      <c r="AO510" s="263">
        <v>41799.518268184605</v>
      </c>
      <c r="AP510" s="31"/>
      <c r="AQ510" s="261">
        <v>18498.31844376367</v>
      </c>
      <c r="AR510" s="262">
        <v>4450.6776439241594</v>
      </c>
      <c r="AS510" s="262">
        <v>10101.730922291525</v>
      </c>
      <c r="AT510" s="262">
        <v>9231.9910689286517</v>
      </c>
      <c r="AU510" s="263">
        <v>42282.718078908001</v>
      </c>
      <c r="AV510" s="31"/>
      <c r="AW510" s="323">
        <v>46333.194328388046</v>
      </c>
      <c r="AX510" s="31"/>
      <c r="AY510" s="747">
        <v>0</v>
      </c>
      <c r="AZ510" s="262">
        <v>0</v>
      </c>
      <c r="BA510" s="262">
        <v>42282.718078908001</v>
      </c>
      <c r="BB510" s="262">
        <v>413.85811230528248</v>
      </c>
      <c r="BC510" s="263">
        <v>41868.859966602722</v>
      </c>
      <c r="BD510" s="261">
        <v>418.68859966602724</v>
      </c>
      <c r="BE510" s="262">
        <v>41450.171366936695</v>
      </c>
      <c r="BF510" s="354">
        <v>0.89461069904132307</v>
      </c>
      <c r="BG510" s="31"/>
      <c r="BJ510" s="4">
        <v>0.89461069904132307</v>
      </c>
      <c r="BL510" s="4">
        <v>0.90000000000000013</v>
      </c>
      <c r="BM510" s="4">
        <v>0.9</v>
      </c>
      <c r="BN510" s="4" t="s">
        <v>1003</v>
      </c>
      <c r="BO510" s="31">
        <v>249.70352861254651</v>
      </c>
      <c r="BP510" s="31">
        <v>41699.874895549241</v>
      </c>
      <c r="BQ510" s="31">
        <v>41699.874895549241</v>
      </c>
      <c r="BR510" s="4">
        <v>0.9</v>
      </c>
      <c r="BS510" s="4" t="s">
        <v>900</v>
      </c>
      <c r="BT510" s="448" t="s">
        <v>900</v>
      </c>
      <c r="BU510" s="367" t="s">
        <v>900</v>
      </c>
      <c r="BV510" s="368">
        <v>41450.171366936695</v>
      </c>
      <c r="BX510" s="449">
        <v>-155.8564552216485</v>
      </c>
      <c r="BY510" s="450">
        <v>-3.8139812225248698E-3</v>
      </c>
      <c r="BZ510" s="368">
        <v>-4.6069216813453568</v>
      </c>
      <c r="CB510" s="31">
        <v>2883</v>
      </c>
      <c r="CC510" s="31">
        <v>3547.6516271386895</v>
      </c>
      <c r="CD510" s="31" t="e">
        <v>#VALUE!</v>
      </c>
      <c r="CE510" s="31" t="s">
        <v>900</v>
      </c>
      <c r="CF510" s="31" t="e">
        <v>#VALUE!</v>
      </c>
      <c r="CJ510" s="702" t="s">
        <v>1447</v>
      </c>
      <c r="CK510" s="702" t="s">
        <v>1447</v>
      </c>
      <c r="CL510" s="702" t="s">
        <v>1448</v>
      </c>
      <c r="CN510" s="702" t="s">
        <v>1447</v>
      </c>
      <c r="CO510" s="702" t="s">
        <v>1447</v>
      </c>
      <c r="CP510" s="702" t="s">
        <v>1447</v>
      </c>
      <c r="CQ510" s="702" t="s">
        <v>1447</v>
      </c>
      <c r="CS510" s="451">
        <v>0</v>
      </c>
      <c r="CT510" s="452">
        <v>0.9</v>
      </c>
      <c r="CU510" s="452">
        <v>0</v>
      </c>
      <c r="CV510" s="453">
        <v>0.9</v>
      </c>
    </row>
    <row r="511" spans="1:100" outlineLevel="1" x14ac:dyDescent="0.3">
      <c r="A511" s="1">
        <v>130240000</v>
      </c>
      <c r="B511" s="47">
        <v>407630</v>
      </c>
      <c r="C511" s="47">
        <v>4472</v>
      </c>
      <c r="D511" s="47" t="s">
        <v>382</v>
      </c>
      <c r="E511" s="47" t="s">
        <v>3</v>
      </c>
      <c r="F511" s="47" t="s">
        <v>1503</v>
      </c>
      <c r="G511" s="47" t="s">
        <v>1502</v>
      </c>
      <c r="H511" s="47" t="s">
        <v>1515</v>
      </c>
      <c r="I511" s="382">
        <v>17</v>
      </c>
      <c r="J511" s="382">
        <v>0</v>
      </c>
      <c r="K511" s="382">
        <v>0</v>
      </c>
      <c r="L511" s="382">
        <v>1</v>
      </c>
      <c r="M511" s="382">
        <v>0</v>
      </c>
      <c r="N511" s="382">
        <v>17</v>
      </c>
      <c r="O511" s="444">
        <v>145</v>
      </c>
      <c r="P511" s="445">
        <v>18</v>
      </c>
      <c r="Q511" s="346">
        <v>0.12413793103448276</v>
      </c>
      <c r="R511" s="445">
        <v>132</v>
      </c>
      <c r="S511" s="447">
        <v>91</v>
      </c>
      <c r="T511" s="445">
        <v>-2.7598461046080187</v>
      </c>
      <c r="U511" s="444">
        <v>125.72607355167573</v>
      </c>
      <c r="V511" s="445">
        <v>15.24015389539198</v>
      </c>
      <c r="W511" s="229">
        <v>0.12121713074200156</v>
      </c>
      <c r="X511" s="261">
        <v>13247.724514387859</v>
      </c>
      <c r="Y511" s="262">
        <v>3231.0639200637115</v>
      </c>
      <c r="Z511" s="262">
        <v>4908.2979615216946</v>
      </c>
      <c r="AA511" s="262">
        <v>4213.3165493697925</v>
      </c>
      <c r="AB511" s="263">
        <v>25600.402945343056</v>
      </c>
      <c r="AC511" s="262">
        <v>11189.377598906434</v>
      </c>
      <c r="AD511" s="262">
        <v>2729.041822128067</v>
      </c>
      <c r="AE511" s="262">
        <v>4145.6779388612385</v>
      </c>
      <c r="AF511" s="263">
        <v>3558.6783045962611</v>
      </c>
      <c r="AG511" s="262">
        <v>11189.377598906434</v>
      </c>
      <c r="AH511" s="262" t="s">
        <v>900</v>
      </c>
      <c r="AI511" s="262">
        <v>4145.6779388612385</v>
      </c>
      <c r="AJ511" s="263">
        <v>3558.6783045962611</v>
      </c>
      <c r="AK511" s="262">
        <v>11259.44514522327</v>
      </c>
      <c r="AL511" s="262" t="s">
        <v>900</v>
      </c>
      <c r="AM511" s="262">
        <v>4175.0916883364107</v>
      </c>
      <c r="AN511" s="262">
        <v>3582.672573087214</v>
      </c>
      <c r="AO511" s="263">
        <v>19017.209406646893</v>
      </c>
      <c r="AP511" s="31"/>
      <c r="AQ511" s="261">
        <v>11481.365611463039</v>
      </c>
      <c r="AR511" s="262">
        <v>2805.5078302891898</v>
      </c>
      <c r="AS511" s="262">
        <v>4243.8448704525872</v>
      </c>
      <c r="AT511" s="262">
        <v>3647.7631604232974</v>
      </c>
      <c r="AU511" s="263">
        <v>22178.481472628111</v>
      </c>
      <c r="AV511" s="31"/>
      <c r="AW511" s="323">
        <v>25835.250199951915</v>
      </c>
      <c r="AX511" s="31"/>
      <c r="AY511" s="747">
        <v>0</v>
      </c>
      <c r="AZ511" s="262">
        <v>0</v>
      </c>
      <c r="BA511" s="262">
        <v>22178.481472628111</v>
      </c>
      <c r="BB511" s="262">
        <v>217.08028464324786</v>
      </c>
      <c r="BC511" s="263">
        <v>21961.401187984862</v>
      </c>
      <c r="BD511" s="261">
        <v>219.61401187984862</v>
      </c>
      <c r="BE511" s="262">
        <v>21741.787176105012</v>
      </c>
      <c r="BF511" s="354">
        <v>0.84155512363280605</v>
      </c>
      <c r="BG511" s="31"/>
      <c r="BJ511" s="4">
        <v>0.84155512363280605</v>
      </c>
      <c r="BL511" s="4">
        <v>0.84999999999999987</v>
      </c>
      <c r="BM511" s="4">
        <v>0.85</v>
      </c>
      <c r="BN511" s="4" t="s">
        <v>1003</v>
      </c>
      <c r="BO511" s="31">
        <v>218.17549385411621</v>
      </c>
      <c r="BP511" s="31">
        <v>21959.962669959128</v>
      </c>
      <c r="BQ511" s="31">
        <v>21959.962669959128</v>
      </c>
      <c r="BR511" s="4">
        <v>0.85</v>
      </c>
      <c r="BS511" s="4" t="s">
        <v>900</v>
      </c>
      <c r="BT511" s="448" t="s">
        <v>900</v>
      </c>
      <c r="BU511" s="367" t="s">
        <v>900</v>
      </c>
      <c r="BV511" s="368">
        <v>21741.787176105012</v>
      </c>
      <c r="BX511" s="449">
        <v>-660.73168733659986</v>
      </c>
      <c r="BY511" s="450">
        <v>-3.0659065304202787E-2</v>
      </c>
      <c r="BZ511" s="368">
        <v>-43.354659793585085</v>
      </c>
      <c r="CB511" s="31">
        <v>6892</v>
      </c>
      <c r="CC511" s="31">
        <v>7261.6904214239066</v>
      </c>
      <c r="CD511" s="31" t="e">
        <v>#VALUE!</v>
      </c>
      <c r="CE511" s="31" t="s">
        <v>900</v>
      </c>
      <c r="CF511" s="31" t="e">
        <v>#VALUE!</v>
      </c>
      <c r="CJ511" s="702" t="s">
        <v>1447</v>
      </c>
      <c r="CK511" s="702" t="s">
        <v>1447</v>
      </c>
      <c r="CL511" s="702" t="s">
        <v>1448</v>
      </c>
      <c r="CN511" s="702" t="s">
        <v>1447</v>
      </c>
      <c r="CO511" s="702" t="s">
        <v>1448</v>
      </c>
      <c r="CP511" s="702" t="s">
        <v>1447</v>
      </c>
      <c r="CQ511" s="702" t="s">
        <v>1447</v>
      </c>
      <c r="CS511" s="451">
        <v>0.85</v>
      </c>
      <c r="CT511" s="452">
        <v>0</v>
      </c>
      <c r="CU511" s="452">
        <v>0</v>
      </c>
      <c r="CV511" s="453">
        <v>0.85</v>
      </c>
    </row>
    <row r="512" spans="1:100" outlineLevel="1" x14ac:dyDescent="0.3">
      <c r="A512" s="1">
        <v>130317000</v>
      </c>
      <c r="B512" s="47">
        <v>402220</v>
      </c>
      <c r="C512" s="47">
        <v>4479</v>
      </c>
      <c r="D512" s="47" t="s">
        <v>113</v>
      </c>
      <c r="E512" s="47" t="s">
        <v>3</v>
      </c>
      <c r="F512" s="47" t="s">
        <v>1503</v>
      </c>
      <c r="G512" s="47" t="s">
        <v>1502</v>
      </c>
      <c r="H512" s="47" t="s">
        <v>1517</v>
      </c>
      <c r="I512" s="382">
        <v>54</v>
      </c>
      <c r="J512" s="382">
        <v>0</v>
      </c>
      <c r="K512" s="382">
        <v>0</v>
      </c>
      <c r="L512" s="382">
        <v>2</v>
      </c>
      <c r="M512" s="382">
        <v>0</v>
      </c>
      <c r="N512" s="382">
        <v>54</v>
      </c>
      <c r="O512" s="444">
        <v>212</v>
      </c>
      <c r="P512" s="445">
        <v>56</v>
      </c>
      <c r="Q512" s="346">
        <v>0.26415094339622641</v>
      </c>
      <c r="R512" s="445">
        <v>114</v>
      </c>
      <c r="S512" s="447">
        <v>86</v>
      </c>
      <c r="T512" s="445">
        <v>-8.7665699793431191</v>
      </c>
      <c r="U512" s="444">
        <v>183.82019029624314</v>
      </c>
      <c r="V512" s="445">
        <v>47.233430020656883</v>
      </c>
      <c r="W512" s="229">
        <v>0.25695452683699144</v>
      </c>
      <c r="X512" s="261">
        <v>25827.8317882144</v>
      </c>
      <c r="Y512" s="262">
        <v>6120.1446644433927</v>
      </c>
      <c r="Z512" s="262">
        <v>10135.980044306734</v>
      </c>
      <c r="AA512" s="262">
        <v>8217.0698862909576</v>
      </c>
      <c r="AB512" s="263">
        <v>50301.026383255485</v>
      </c>
      <c r="AC512" s="262">
        <v>21814.86806473825</v>
      </c>
      <c r="AD512" s="262">
        <v>5169.2356325809315</v>
      </c>
      <c r="AE512" s="262">
        <v>8561.1161318724808</v>
      </c>
      <c r="AF512" s="263">
        <v>6940.3539916953923</v>
      </c>
      <c r="AG512" s="262">
        <v>21814.86806473825</v>
      </c>
      <c r="AH512" s="262">
        <v>5169.2356325809315</v>
      </c>
      <c r="AI512" s="262">
        <v>8561.1161318724808</v>
      </c>
      <c r="AJ512" s="263">
        <v>6940.3539916953923</v>
      </c>
      <c r="AK512" s="262">
        <v>21884.935611055083</v>
      </c>
      <c r="AL512" s="262">
        <v>5603.8483325084571</v>
      </c>
      <c r="AM512" s="262">
        <v>8590.5298813476529</v>
      </c>
      <c r="AN512" s="262">
        <v>6964.3482601863452</v>
      </c>
      <c r="AO512" s="263">
        <v>43043.662085097538</v>
      </c>
      <c r="AP512" s="31"/>
      <c r="AQ512" s="261">
        <v>21552.524583073948</v>
      </c>
      <c r="AR512" s="262">
        <v>5425.9108486366504</v>
      </c>
      <c r="AS512" s="262">
        <v>8471.5469172148623</v>
      </c>
      <c r="AT512" s="262">
        <v>6960.6595583594644</v>
      </c>
      <c r="AU512" s="263">
        <v>42410.641907284924</v>
      </c>
      <c r="AV512" s="31"/>
      <c r="AW512" s="323">
        <v>40339.577998092333</v>
      </c>
      <c r="AX512" s="31"/>
      <c r="AY512" s="747">
        <v>0</v>
      </c>
      <c r="AZ512" s="262">
        <v>2071.0639091925914</v>
      </c>
      <c r="BA512" s="262">
        <v>40339.577998092333</v>
      </c>
      <c r="BB512" s="262">
        <v>394.83889305144135</v>
      </c>
      <c r="BC512" s="263">
        <v>39944.739105040891</v>
      </c>
      <c r="BD512" s="261">
        <v>399.4473910504089</v>
      </c>
      <c r="BE512" s="262">
        <v>39545.291713990482</v>
      </c>
      <c r="BF512" s="354">
        <v>0.98031000016560876</v>
      </c>
      <c r="BG512" s="31"/>
      <c r="BJ512" s="4">
        <v>0.98031000016560876</v>
      </c>
      <c r="BL512" s="4">
        <v>0.94615624632096829</v>
      </c>
      <c r="BM512" s="4">
        <v>0.9</v>
      </c>
      <c r="BN512" s="4" t="s">
        <v>900</v>
      </c>
      <c r="BO512" s="31" t="s">
        <v>900</v>
      </c>
      <c r="BP512" s="31" t="s">
        <v>900</v>
      </c>
      <c r="BQ512" s="31">
        <v>39484.038397179669</v>
      </c>
      <c r="BR512" s="4">
        <v>0.97879155798424267</v>
      </c>
      <c r="BS512" s="4" t="s">
        <v>900</v>
      </c>
      <c r="BT512" s="448" t="s">
        <v>900</v>
      </c>
      <c r="BU512" s="367" t="s">
        <v>900</v>
      </c>
      <c r="BV512" s="368">
        <v>39545.291713990482</v>
      </c>
      <c r="BX512" s="449">
        <v>-1555.0957931673911</v>
      </c>
      <c r="BY512" s="450">
        <v>-3.8497076730077469E-2</v>
      </c>
      <c r="BZ512" s="368">
        <v>-32.923626179324508</v>
      </c>
      <c r="CB512" s="31">
        <v>5038</v>
      </c>
      <c r="CC512" s="31">
        <v>5974.3896929874509</v>
      </c>
      <c r="CD512" s="31" t="e">
        <v>#VALUE!</v>
      </c>
      <c r="CE512" s="31" t="s">
        <v>900</v>
      </c>
      <c r="CF512" s="31" t="e">
        <v>#VALUE!</v>
      </c>
      <c r="CJ512" s="702" t="s">
        <v>1447</v>
      </c>
      <c r="CK512" s="702" t="s">
        <v>1447</v>
      </c>
      <c r="CL512" s="702" t="s">
        <v>1448</v>
      </c>
      <c r="CN512" s="702" t="s">
        <v>1447</v>
      </c>
      <c r="CO512" s="702" t="s">
        <v>1447</v>
      </c>
      <c r="CP512" s="702" t="s">
        <v>1447</v>
      </c>
      <c r="CQ512" s="702" t="s">
        <v>1447</v>
      </c>
      <c r="CS512" s="451">
        <v>0</v>
      </c>
      <c r="CT512" s="452">
        <v>0.9</v>
      </c>
      <c r="CU512" s="452">
        <v>0</v>
      </c>
      <c r="CV512" s="453">
        <v>0.9</v>
      </c>
    </row>
    <row r="513" spans="1:100" outlineLevel="1" x14ac:dyDescent="0.3">
      <c r="A513" s="1">
        <v>130231000</v>
      </c>
      <c r="B513" s="47">
        <v>400910</v>
      </c>
      <c r="C513" s="47">
        <v>4471</v>
      </c>
      <c r="D513" s="47" t="s">
        <v>55</v>
      </c>
      <c r="E513" s="47" t="s">
        <v>3</v>
      </c>
      <c r="F513" s="47" t="s">
        <v>1498</v>
      </c>
      <c r="G513" s="47" t="s">
        <v>1502</v>
      </c>
      <c r="H513" s="47" t="s">
        <v>1515</v>
      </c>
      <c r="I513" s="382">
        <v>83</v>
      </c>
      <c r="J513" s="382">
        <v>0</v>
      </c>
      <c r="K513" s="382">
        <v>0</v>
      </c>
      <c r="L513" s="382">
        <v>2</v>
      </c>
      <c r="M513" s="382">
        <v>0</v>
      </c>
      <c r="N513" s="382">
        <v>83</v>
      </c>
      <c r="O513" s="444">
        <v>270</v>
      </c>
      <c r="P513" s="445">
        <v>85</v>
      </c>
      <c r="Q513" s="346">
        <v>0.31481481481481483</v>
      </c>
      <c r="R513" s="445">
        <v>221</v>
      </c>
      <c r="S513" s="447">
        <v>173</v>
      </c>
      <c r="T513" s="445">
        <v>-13.474542746027387</v>
      </c>
      <c r="U513" s="444">
        <v>234.11061971691342</v>
      </c>
      <c r="V513" s="445">
        <v>71.525457253972618</v>
      </c>
      <c r="W513" s="229">
        <v>0.30551991763748781</v>
      </c>
      <c r="X513" s="261">
        <v>41377.574154644324</v>
      </c>
      <c r="Y513" s="262">
        <v>9797.7089064037173</v>
      </c>
      <c r="Z513" s="262">
        <v>20663.446998032763</v>
      </c>
      <c r="AA513" s="262">
        <v>19016.55965610885</v>
      </c>
      <c r="AB513" s="263">
        <v>90855.289715189661</v>
      </c>
      <c r="AC513" s="262">
        <v>34948.590668550787</v>
      </c>
      <c r="AD513" s="262">
        <v>8275.4034052304214</v>
      </c>
      <c r="AE513" s="262">
        <v>17452.892434838031</v>
      </c>
      <c r="AF513" s="263">
        <v>16061.887941075165</v>
      </c>
      <c r="AG513" s="262">
        <v>34948.590668550787</v>
      </c>
      <c r="AH513" s="262">
        <v>8275.4034052304214</v>
      </c>
      <c r="AI513" s="262">
        <v>17452.892434838031</v>
      </c>
      <c r="AJ513" s="263">
        <v>16061.887941075165</v>
      </c>
      <c r="AK513" s="262">
        <v>35018.658214867624</v>
      </c>
      <c r="AL513" s="262">
        <v>8710.0161051579471</v>
      </c>
      <c r="AM513" s="262">
        <v>17482.306184313202</v>
      </c>
      <c r="AN513" s="262">
        <v>16085.882209566118</v>
      </c>
      <c r="AO513" s="263">
        <v>77296.862713904891</v>
      </c>
      <c r="AP513" s="31"/>
      <c r="AQ513" s="261">
        <v>34486.758629572803</v>
      </c>
      <c r="AR513" s="262">
        <v>8433.4493142182364</v>
      </c>
      <c r="AS513" s="262">
        <v>17240.167848446046</v>
      </c>
      <c r="AT513" s="262">
        <v>15439.68188882733</v>
      </c>
      <c r="AU513" s="263">
        <v>75600.057681064412</v>
      </c>
      <c r="AV513" s="31"/>
      <c r="AW513" s="323">
        <v>76100.993810812055</v>
      </c>
      <c r="AX513" s="31"/>
      <c r="AY513" s="747">
        <v>0</v>
      </c>
      <c r="AZ513" s="262">
        <v>0</v>
      </c>
      <c r="BA513" s="262">
        <v>75600.057681064412</v>
      </c>
      <c r="BB513" s="262">
        <v>739.96418829240588</v>
      </c>
      <c r="BC513" s="263">
        <v>74860.093492772008</v>
      </c>
      <c r="BD513" s="261">
        <v>748.60093492772012</v>
      </c>
      <c r="BE513" s="262">
        <v>74111.492557844293</v>
      </c>
      <c r="BF513" s="354">
        <v>0.97385709235396212</v>
      </c>
      <c r="BG513" s="31"/>
      <c r="BJ513" s="4">
        <v>0.97385709235396212</v>
      </c>
      <c r="BL513" s="4">
        <v>0.95000000000000007</v>
      </c>
      <c r="BM513" s="4">
        <v>0.95</v>
      </c>
      <c r="BN513" s="4" t="s">
        <v>900</v>
      </c>
      <c r="BO513" s="31" t="s">
        <v>900</v>
      </c>
      <c r="BP513" s="31" t="s">
        <v>900</v>
      </c>
      <c r="BQ513" s="31">
        <v>73996.698241347651</v>
      </c>
      <c r="BR513" s="4">
        <v>0.97234864534495169</v>
      </c>
      <c r="BS513" s="4" t="s">
        <v>900</v>
      </c>
      <c r="BT513" s="448" t="s">
        <v>900</v>
      </c>
      <c r="BU513" s="367" t="s">
        <v>900</v>
      </c>
      <c r="BV513" s="368">
        <v>74111.492557844293</v>
      </c>
      <c r="BX513" s="449">
        <v>813.35949233405699</v>
      </c>
      <c r="BY513" s="450">
        <v>1.1175984226068143E-2</v>
      </c>
      <c r="BZ513" s="368">
        <v>11.371608425318833</v>
      </c>
      <c r="CB513" s="31">
        <v>11263</v>
      </c>
      <c r="CC513" s="31">
        <v>12635.962971281961</v>
      </c>
      <c r="CD513" s="31" t="e">
        <v>#VALUE!</v>
      </c>
      <c r="CE513" s="31" t="s">
        <v>900</v>
      </c>
      <c r="CF513" s="31" t="e">
        <v>#VALUE!</v>
      </c>
      <c r="CJ513" s="702" t="s">
        <v>1447</v>
      </c>
      <c r="CK513" s="702" t="s">
        <v>1447</v>
      </c>
      <c r="CL513" s="702" t="s">
        <v>1448</v>
      </c>
      <c r="CN513" s="702" t="s">
        <v>1447</v>
      </c>
      <c r="CO513" s="702" t="s">
        <v>1447</v>
      </c>
      <c r="CP513" s="702" t="s">
        <v>1447</v>
      </c>
      <c r="CQ513" s="702" t="s">
        <v>1447</v>
      </c>
      <c r="CS513" s="451">
        <v>0</v>
      </c>
      <c r="CT513" s="452">
        <v>0</v>
      </c>
      <c r="CU513" s="452">
        <v>0.95</v>
      </c>
      <c r="CV513" s="453">
        <v>0.95</v>
      </c>
    </row>
    <row r="514" spans="1:100" outlineLevel="1" x14ac:dyDescent="0.3">
      <c r="A514" s="1">
        <v>130403000</v>
      </c>
      <c r="B514" s="47">
        <v>400004</v>
      </c>
      <c r="C514" s="47">
        <v>4486</v>
      </c>
      <c r="D514" s="47" t="s">
        <v>106</v>
      </c>
      <c r="E514" s="47" t="s">
        <v>3</v>
      </c>
      <c r="F514" s="47" t="s">
        <v>1498</v>
      </c>
      <c r="G514" s="47" t="s">
        <v>1502</v>
      </c>
      <c r="H514" s="47" t="s">
        <v>1517</v>
      </c>
      <c r="I514" s="382">
        <v>79</v>
      </c>
      <c r="J514" s="382">
        <v>0</v>
      </c>
      <c r="K514" s="382">
        <v>0</v>
      </c>
      <c r="L514" s="382">
        <v>4</v>
      </c>
      <c r="M514" s="382">
        <v>0</v>
      </c>
      <c r="N514" s="382">
        <v>79</v>
      </c>
      <c r="O514" s="444">
        <v>343</v>
      </c>
      <c r="P514" s="445">
        <v>83</v>
      </c>
      <c r="Q514" s="346">
        <v>0.24198250728862974</v>
      </c>
      <c r="R514" s="445">
        <v>467</v>
      </c>
      <c r="S514" s="447">
        <v>263</v>
      </c>
      <c r="T514" s="445">
        <v>-12.82516719200197</v>
      </c>
      <c r="U514" s="444">
        <v>297.40719467741224</v>
      </c>
      <c r="V514" s="445">
        <v>70.17483280799803</v>
      </c>
      <c r="W514" s="229">
        <v>0.23595539739418325</v>
      </c>
      <c r="X514" s="261">
        <v>38280.536400389203</v>
      </c>
      <c r="Y514" s="262">
        <v>9070.9286990857363</v>
      </c>
      <c r="Z514" s="262">
        <v>13992.952929746223</v>
      </c>
      <c r="AA514" s="262">
        <v>9526.6340739358475</v>
      </c>
      <c r="AB514" s="263">
        <v>70871.05210315701</v>
      </c>
      <c r="AC514" s="262">
        <v>32332.750881665619</v>
      </c>
      <c r="AD514" s="262">
        <v>7661.5456697181608</v>
      </c>
      <c r="AE514" s="262">
        <v>11818.817177592051</v>
      </c>
      <c r="AF514" s="263">
        <v>8046.446450792766</v>
      </c>
      <c r="AG514" s="262">
        <v>32332.750881665619</v>
      </c>
      <c r="AH514" s="262">
        <v>7661.5456697181608</v>
      </c>
      <c r="AI514" s="262">
        <v>11818.817177592051</v>
      </c>
      <c r="AJ514" s="263">
        <v>8046.446450792766</v>
      </c>
      <c r="AK514" s="262">
        <v>32402.818427982453</v>
      </c>
      <c r="AL514" s="262">
        <v>8096.1583696456864</v>
      </c>
      <c r="AM514" s="262">
        <v>11848.230927067223</v>
      </c>
      <c r="AN514" s="262">
        <v>8070.4407192837189</v>
      </c>
      <c r="AO514" s="263">
        <v>60417.648443979073</v>
      </c>
      <c r="AP514" s="31"/>
      <c r="AQ514" s="261">
        <v>31910.650921778288</v>
      </c>
      <c r="AR514" s="262">
        <v>7839.0832377286952</v>
      </c>
      <c r="AS514" s="262">
        <v>11684.127239063861</v>
      </c>
      <c r="AT514" s="262">
        <v>7746.2358473741679</v>
      </c>
      <c r="AU514" s="263">
        <v>59180.097245945013</v>
      </c>
      <c r="AV514" s="31"/>
      <c r="AW514" s="323">
        <v>52590.091920296451</v>
      </c>
      <c r="AX514" s="31"/>
      <c r="AY514" s="747">
        <v>0</v>
      </c>
      <c r="AZ514" s="262">
        <v>5582.8798596997003</v>
      </c>
      <c r="BA514" s="262">
        <v>53597.217386245313</v>
      </c>
      <c r="BB514" s="262">
        <v>524.60305817833125</v>
      </c>
      <c r="BC514" s="263">
        <v>53072.614328066978</v>
      </c>
      <c r="BD514" s="261">
        <v>530.72614328066982</v>
      </c>
      <c r="BE514" s="262">
        <v>52541.888184786309</v>
      </c>
      <c r="BF514" s="354">
        <v>0.99908340651727334</v>
      </c>
      <c r="BG514" s="31"/>
      <c r="BJ514" s="4">
        <v>0.99908340651727334</v>
      </c>
      <c r="BL514" s="4">
        <v>1.0645012505879206</v>
      </c>
      <c r="BM514" s="4">
        <v>0.9</v>
      </c>
      <c r="BN514" s="4" t="s">
        <v>900</v>
      </c>
      <c r="BO514" s="31" t="s">
        <v>900</v>
      </c>
      <c r="BP514" s="31" t="s">
        <v>900</v>
      </c>
      <c r="BQ514" s="31">
        <v>52460.503909103179</v>
      </c>
      <c r="BR514" s="4">
        <v>0.99753588544036642</v>
      </c>
      <c r="BS514" s="4" t="s">
        <v>900</v>
      </c>
      <c r="BT514" s="448" t="s">
        <v>900</v>
      </c>
      <c r="BU514" s="367" t="s">
        <v>900</v>
      </c>
      <c r="BV514" s="368">
        <v>52541.888184786309</v>
      </c>
      <c r="BX514" s="449">
        <v>-4871.1043973340566</v>
      </c>
      <c r="BY514" s="450">
        <v>-8.5756979774756534E-2</v>
      </c>
      <c r="BZ514" s="368">
        <v>-69.413836875987286</v>
      </c>
      <c r="CB514" s="31">
        <v>12422</v>
      </c>
      <c r="CC514" s="31">
        <v>13837.92007466685</v>
      </c>
      <c r="CD514" s="31" t="e">
        <v>#VALUE!</v>
      </c>
      <c r="CE514" s="31" t="s">
        <v>900</v>
      </c>
      <c r="CF514" s="31" t="e">
        <v>#VALUE!</v>
      </c>
      <c r="CJ514" s="702" t="s">
        <v>1447</v>
      </c>
      <c r="CK514" s="702" t="s">
        <v>1447</v>
      </c>
      <c r="CL514" s="702" t="s">
        <v>1448</v>
      </c>
      <c r="CN514" s="702" t="s">
        <v>1447</v>
      </c>
      <c r="CO514" s="702" t="s">
        <v>1447</v>
      </c>
      <c r="CP514" s="702" t="s">
        <v>1447</v>
      </c>
      <c r="CQ514" s="702" t="s">
        <v>1447</v>
      </c>
      <c r="CS514" s="451">
        <v>0</v>
      </c>
      <c r="CT514" s="452">
        <v>0.9</v>
      </c>
      <c r="CU514" s="452">
        <v>0</v>
      </c>
      <c r="CV514" s="453">
        <v>0.9</v>
      </c>
    </row>
    <row r="515" spans="1:100" outlineLevel="1" x14ac:dyDescent="0.3">
      <c r="A515" s="1">
        <v>130350000</v>
      </c>
      <c r="B515" s="47">
        <v>401650</v>
      </c>
      <c r="C515" s="47">
        <v>4484</v>
      </c>
      <c r="D515" s="47" t="s">
        <v>87</v>
      </c>
      <c r="E515" s="47" t="s">
        <v>3</v>
      </c>
      <c r="F515" s="47" t="s">
        <v>1503</v>
      </c>
      <c r="G515" s="47" t="s">
        <v>1502</v>
      </c>
      <c r="H515" s="47" t="s">
        <v>1517</v>
      </c>
      <c r="I515" s="382">
        <v>54</v>
      </c>
      <c r="J515" s="382">
        <v>0</v>
      </c>
      <c r="K515" s="382">
        <v>0</v>
      </c>
      <c r="L515" s="382">
        <v>2</v>
      </c>
      <c r="M515" s="382">
        <v>0</v>
      </c>
      <c r="N515" s="382">
        <v>54</v>
      </c>
      <c r="O515" s="444">
        <v>345</v>
      </c>
      <c r="P515" s="445">
        <v>56</v>
      </c>
      <c r="Q515" s="346">
        <v>0.16231884057971013</v>
      </c>
      <c r="R515" s="445">
        <v>112</v>
      </c>
      <c r="S515" s="447">
        <v>92</v>
      </c>
      <c r="T515" s="445">
        <v>-8.7665699793431191</v>
      </c>
      <c r="U515" s="444">
        <v>299.14134741605602</v>
      </c>
      <c r="V515" s="445">
        <v>47.233430020656883</v>
      </c>
      <c r="W515" s="229">
        <v>0.15789669475200635</v>
      </c>
      <c r="X515" s="261">
        <v>70238.446157174127</v>
      </c>
      <c r="Y515" s="262">
        <v>16221.331186309782</v>
      </c>
      <c r="Z515" s="262">
        <v>47478.977918249257</v>
      </c>
      <c r="AA515" s="262">
        <v>39787.002112411901</v>
      </c>
      <c r="AB515" s="263">
        <v>173725.75737414506</v>
      </c>
      <c r="AC515" s="262">
        <v>59325.244509690448</v>
      </c>
      <c r="AD515" s="262">
        <v>13700.964237549586</v>
      </c>
      <c r="AE515" s="262">
        <v>40101.997241899888</v>
      </c>
      <c r="AF515" s="263">
        <v>33605.151562501058</v>
      </c>
      <c r="AG515" s="262">
        <v>59325.244509690448</v>
      </c>
      <c r="AH515" s="262">
        <v>13700.964237549586</v>
      </c>
      <c r="AI515" s="262">
        <v>40101.997241899888</v>
      </c>
      <c r="AJ515" s="263">
        <v>33605.151562501058</v>
      </c>
      <c r="AK515" s="262">
        <v>59395.312056007286</v>
      </c>
      <c r="AL515" s="262">
        <v>14135.576937477112</v>
      </c>
      <c r="AM515" s="262">
        <v>40131.410991375058</v>
      </c>
      <c r="AN515" s="262">
        <v>33629.145830992013</v>
      </c>
      <c r="AO515" s="263">
        <v>147291.44581585148</v>
      </c>
      <c r="AP515" s="31"/>
      <c r="AQ515" s="261">
        <v>60921.576788899722</v>
      </c>
      <c r="AR515" s="262">
        <v>14115.42314263926</v>
      </c>
      <c r="AS515" s="262">
        <v>41212.908912239232</v>
      </c>
      <c r="AT515" s="262">
        <v>34446.821373942264</v>
      </c>
      <c r="AU515" s="263">
        <v>150696.7302177205</v>
      </c>
      <c r="AV515" s="31"/>
      <c r="AW515" s="323">
        <v>165791.06064038075</v>
      </c>
      <c r="AX515" s="31"/>
      <c r="AY515" s="747">
        <v>0</v>
      </c>
      <c r="AZ515" s="262">
        <v>0</v>
      </c>
      <c r="BA515" s="262">
        <v>150696.7302177205</v>
      </c>
      <c r="BB515" s="262">
        <v>1475.001303891931</v>
      </c>
      <c r="BC515" s="263">
        <v>149221.72891382856</v>
      </c>
      <c r="BD515" s="261">
        <v>1492.2172891382857</v>
      </c>
      <c r="BE515" s="262">
        <v>147729.51162469026</v>
      </c>
      <c r="BF515" s="354">
        <v>0.8910583661994419</v>
      </c>
      <c r="BG515" s="31"/>
      <c r="BJ515" s="4">
        <v>0.8910583661994419</v>
      </c>
      <c r="BL515" s="4">
        <v>0.89999999999999991</v>
      </c>
      <c r="BM515" s="4">
        <v>0.9</v>
      </c>
      <c r="BN515" s="4" t="s">
        <v>1003</v>
      </c>
      <c r="BO515" s="31">
        <v>1482.4429516524251</v>
      </c>
      <c r="BP515" s="31">
        <v>149211.95457634269</v>
      </c>
      <c r="BQ515" s="31">
        <v>149211.95457634269</v>
      </c>
      <c r="BR515" s="4">
        <v>0.90000000000000013</v>
      </c>
      <c r="BS515" s="4" t="s">
        <v>900</v>
      </c>
      <c r="BT515" s="448" t="s">
        <v>900</v>
      </c>
      <c r="BU515" s="367" t="s">
        <v>900</v>
      </c>
      <c r="BV515" s="368">
        <v>147729.51162469026</v>
      </c>
      <c r="BX515" s="449">
        <v>2863.8442432066076</v>
      </c>
      <c r="BY515" s="450">
        <v>1.9789419684691247E-2</v>
      </c>
      <c r="BZ515" s="368">
        <v>60.63172295457148</v>
      </c>
      <c r="CB515" s="31">
        <v>6198</v>
      </c>
      <c r="CC515" s="31">
        <v>7251.6958838918399</v>
      </c>
      <c r="CD515" s="31" t="e">
        <v>#VALUE!</v>
      </c>
      <c r="CE515" s="31" t="s">
        <v>900</v>
      </c>
      <c r="CF515" s="31" t="e">
        <v>#VALUE!</v>
      </c>
      <c r="CJ515" s="702" t="s">
        <v>1447</v>
      </c>
      <c r="CK515" s="702" t="s">
        <v>1447</v>
      </c>
      <c r="CL515" s="702" t="s">
        <v>1448</v>
      </c>
      <c r="CN515" s="702" t="s">
        <v>1447</v>
      </c>
      <c r="CO515" s="702" t="s">
        <v>1447</v>
      </c>
      <c r="CP515" s="702" t="s">
        <v>1447</v>
      </c>
      <c r="CQ515" s="702" t="s">
        <v>1447</v>
      </c>
      <c r="CS515" s="451">
        <v>0</v>
      </c>
      <c r="CT515" s="452">
        <v>0.9</v>
      </c>
      <c r="CU515" s="452">
        <v>0</v>
      </c>
      <c r="CV515" s="453">
        <v>0.9</v>
      </c>
    </row>
    <row r="516" spans="1:100" outlineLevel="1" x14ac:dyDescent="0.3">
      <c r="A516" s="1">
        <v>130220000</v>
      </c>
      <c r="B516" s="47">
        <v>401000</v>
      </c>
      <c r="C516" s="47">
        <v>4468</v>
      </c>
      <c r="D516" s="47" t="s">
        <v>62</v>
      </c>
      <c r="E516" s="47" t="s">
        <v>3</v>
      </c>
      <c r="F516" s="47" t="s">
        <v>1498</v>
      </c>
      <c r="G516" s="47" t="s">
        <v>1499</v>
      </c>
      <c r="H516" s="47" t="s">
        <v>1517</v>
      </c>
      <c r="I516" s="382">
        <v>50</v>
      </c>
      <c r="J516" s="382">
        <v>0</v>
      </c>
      <c r="K516" s="382">
        <v>0</v>
      </c>
      <c r="L516" s="382">
        <v>2</v>
      </c>
      <c r="M516" s="382">
        <v>0</v>
      </c>
      <c r="N516" s="382">
        <v>50</v>
      </c>
      <c r="O516" s="444">
        <v>469</v>
      </c>
      <c r="P516" s="445">
        <v>52</v>
      </c>
      <c r="Q516" s="346">
        <v>0.11087420042643924</v>
      </c>
      <c r="R516" s="445">
        <v>443</v>
      </c>
      <c r="S516" s="447">
        <v>224</v>
      </c>
      <c r="T516" s="445">
        <v>-8.1171944253177024</v>
      </c>
      <c r="U516" s="444">
        <v>406.65881721197184</v>
      </c>
      <c r="V516" s="445">
        <v>43.882805574682294</v>
      </c>
      <c r="W516" s="229">
        <v>0.10791062118249432</v>
      </c>
      <c r="X516" s="261">
        <v>25364.470793269542</v>
      </c>
      <c r="Y516" s="262">
        <v>5857.8385999941693</v>
      </c>
      <c r="Z516" s="262">
        <v>7443.0281157514828</v>
      </c>
      <c r="AA516" s="262">
        <v>5526.0728408528148</v>
      </c>
      <c r="AB516" s="263">
        <v>44191.410349868012</v>
      </c>
      <c r="AC516" s="262">
        <v>21423.50114497689</v>
      </c>
      <c r="AD516" s="262">
        <v>4947.6850109313182</v>
      </c>
      <c r="AE516" s="262">
        <v>6286.5778931294963</v>
      </c>
      <c r="AF516" s="263">
        <v>4667.4668988027997</v>
      </c>
      <c r="AG516" s="262">
        <v>21423.50114497689</v>
      </c>
      <c r="AH516" s="262" t="s">
        <v>900</v>
      </c>
      <c r="AI516" s="262">
        <v>6286.5778931294963</v>
      </c>
      <c r="AJ516" s="263">
        <v>4667.4668988027997</v>
      </c>
      <c r="AK516" s="262">
        <v>21493.568691293724</v>
      </c>
      <c r="AL516" s="262" t="s">
        <v>900</v>
      </c>
      <c r="AM516" s="262">
        <v>6315.9916426046684</v>
      </c>
      <c r="AN516" s="262">
        <v>4691.4611672937526</v>
      </c>
      <c r="AO516" s="263">
        <v>32501.021501192146</v>
      </c>
      <c r="AP516" s="31"/>
      <c r="AQ516" s="261">
        <v>22008.241135847555</v>
      </c>
      <c r="AR516" s="262">
        <v>5109.0229333990228</v>
      </c>
      <c r="AS516" s="262">
        <v>6460.729636890479</v>
      </c>
      <c r="AT516" s="262">
        <v>4502.996296574016</v>
      </c>
      <c r="AU516" s="263">
        <v>38080.990002711071</v>
      </c>
      <c r="AV516" s="31"/>
      <c r="AW516" s="323">
        <v>44249.403710681734</v>
      </c>
      <c r="AX516" s="31"/>
      <c r="AY516" s="747">
        <v>0</v>
      </c>
      <c r="AZ516" s="262">
        <v>0</v>
      </c>
      <c r="BA516" s="262">
        <v>38080.990002711071</v>
      </c>
      <c r="BB516" s="262">
        <v>372.73210789871155</v>
      </c>
      <c r="BC516" s="263">
        <v>37708.257894812356</v>
      </c>
      <c r="BD516" s="261">
        <v>377.08257894812357</v>
      </c>
      <c r="BE516" s="262">
        <v>37331.175315864231</v>
      </c>
      <c r="BF516" s="354">
        <v>0.84365374864594045</v>
      </c>
      <c r="BG516" s="31"/>
      <c r="BJ516" s="4">
        <v>0.84365374864594045</v>
      </c>
      <c r="BL516" s="4">
        <v>0.84999999999999987</v>
      </c>
      <c r="BM516" s="4">
        <v>0.85</v>
      </c>
      <c r="BN516" s="4" t="s">
        <v>1003</v>
      </c>
      <c r="BO516" s="31">
        <v>280.81783821524004</v>
      </c>
      <c r="BP516" s="31">
        <v>37611.993154079471</v>
      </c>
      <c r="BQ516" s="31">
        <v>37611.993154079471</v>
      </c>
      <c r="BR516" s="4">
        <v>0.85</v>
      </c>
      <c r="BS516" s="4" t="s">
        <v>900</v>
      </c>
      <c r="BT516" s="448" t="s">
        <v>900</v>
      </c>
      <c r="BU516" s="367" t="s">
        <v>900</v>
      </c>
      <c r="BV516" s="368">
        <v>37331.175315864231</v>
      </c>
      <c r="BX516" s="449">
        <v>-441.52314755049156</v>
      </c>
      <c r="BY516" s="450">
        <v>-1.1930089431107235E-2</v>
      </c>
      <c r="BZ516" s="368">
        <v>-10.06141566767152</v>
      </c>
      <c r="CB516" s="31">
        <v>5407</v>
      </c>
      <c r="CC516" s="31">
        <v>6516.9030694581652</v>
      </c>
      <c r="CD516" s="31" t="e">
        <v>#VALUE!</v>
      </c>
      <c r="CE516" s="31" t="s">
        <v>900</v>
      </c>
      <c r="CF516" s="31" t="e">
        <v>#VALUE!</v>
      </c>
      <c r="CJ516" s="702" t="s">
        <v>1447</v>
      </c>
      <c r="CK516" s="702" t="s">
        <v>1447</v>
      </c>
      <c r="CL516" s="702" t="s">
        <v>1448</v>
      </c>
      <c r="CN516" s="702" t="s">
        <v>1447</v>
      </c>
      <c r="CO516" s="702" t="s">
        <v>1448</v>
      </c>
      <c r="CP516" s="702" t="s">
        <v>1447</v>
      </c>
      <c r="CQ516" s="702" t="s">
        <v>1447</v>
      </c>
      <c r="CS516" s="451">
        <v>0.85</v>
      </c>
      <c r="CT516" s="452">
        <v>0</v>
      </c>
      <c r="CU516" s="452">
        <v>0</v>
      </c>
      <c r="CV516" s="453">
        <v>0.85</v>
      </c>
    </row>
    <row r="517" spans="1:100" outlineLevel="1" x14ac:dyDescent="0.3">
      <c r="A517" s="1">
        <v>130326000</v>
      </c>
      <c r="B517" s="47">
        <v>401080</v>
      </c>
      <c r="C517" s="47">
        <v>4481</v>
      </c>
      <c r="D517" s="47" t="s">
        <v>66</v>
      </c>
      <c r="E517" s="47" t="s">
        <v>3</v>
      </c>
      <c r="F517" s="47" t="s">
        <v>1498</v>
      </c>
      <c r="G517" s="47" t="s">
        <v>1502</v>
      </c>
      <c r="H517" s="47" t="s">
        <v>1517</v>
      </c>
      <c r="I517" s="382">
        <v>153</v>
      </c>
      <c r="J517" s="382">
        <v>0</v>
      </c>
      <c r="K517" s="382">
        <v>0</v>
      </c>
      <c r="L517" s="382">
        <v>7</v>
      </c>
      <c r="M517" s="382">
        <v>0</v>
      </c>
      <c r="N517" s="382">
        <v>153</v>
      </c>
      <c r="O517" s="444">
        <v>722</v>
      </c>
      <c r="P517" s="445">
        <v>160</v>
      </c>
      <c r="Q517" s="346">
        <v>0.22160664819944598</v>
      </c>
      <c r="R517" s="445">
        <v>314</v>
      </c>
      <c r="S517" s="447">
        <v>256</v>
      </c>
      <c r="T517" s="445">
        <v>-24.838614941472173</v>
      </c>
      <c r="U517" s="444">
        <v>626.02913865041296</v>
      </c>
      <c r="V517" s="445">
        <v>135.16138505852783</v>
      </c>
      <c r="W517" s="229">
        <v>0.21590270598251596</v>
      </c>
      <c r="X517" s="261">
        <v>73793.805109184003</v>
      </c>
      <c r="Y517" s="262">
        <v>17486.127612695404</v>
      </c>
      <c r="Z517" s="262">
        <v>25918.008198198233</v>
      </c>
      <c r="AA517" s="262">
        <v>20605.490883825743</v>
      </c>
      <c r="AB517" s="263">
        <v>137803.4318039034</v>
      </c>
      <c r="AC517" s="262">
        <v>62328.194470680712</v>
      </c>
      <c r="AD517" s="262">
        <v>14769.244664516944</v>
      </c>
      <c r="AE517" s="262">
        <v>21891.033439458039</v>
      </c>
      <c r="AF517" s="263">
        <v>17403.941171900507</v>
      </c>
      <c r="AG517" s="262">
        <v>62328.194470680712</v>
      </c>
      <c r="AH517" s="262">
        <v>14769.244664516944</v>
      </c>
      <c r="AI517" s="262">
        <v>21891.033439458039</v>
      </c>
      <c r="AJ517" s="263">
        <v>17403.941171900507</v>
      </c>
      <c r="AK517" s="262">
        <v>62398.262016997549</v>
      </c>
      <c r="AL517" s="262">
        <v>15203.85736444447</v>
      </c>
      <c r="AM517" s="262">
        <v>21920.447188933209</v>
      </c>
      <c r="AN517" s="262">
        <v>17427.935440391459</v>
      </c>
      <c r="AO517" s="263">
        <v>116950.50201076669</v>
      </c>
      <c r="AP517" s="31"/>
      <c r="AQ517" s="261">
        <v>61450.492702527699</v>
      </c>
      <c r="AR517" s="262">
        <v>14721.09338439862</v>
      </c>
      <c r="AS517" s="262">
        <v>21616.838468903195</v>
      </c>
      <c r="AT517" s="262">
        <v>16727.822302381628</v>
      </c>
      <c r="AU517" s="263">
        <v>114516.24685821113</v>
      </c>
      <c r="AV517" s="31"/>
      <c r="AW517" s="323">
        <v>109394.96115115966</v>
      </c>
      <c r="AX517" s="31"/>
      <c r="AY517" s="747">
        <v>0</v>
      </c>
      <c r="AZ517" s="262">
        <v>5121.2857070514729</v>
      </c>
      <c r="BA517" s="262">
        <v>109394.96115115966</v>
      </c>
      <c r="BB517" s="262">
        <v>1070.7446014524974</v>
      </c>
      <c r="BC517" s="263">
        <v>108324.21654970717</v>
      </c>
      <c r="BD517" s="261">
        <v>1083.2421654970717</v>
      </c>
      <c r="BE517" s="262">
        <v>107240.9743842101</v>
      </c>
      <c r="BF517" s="354">
        <v>0.98031000016560887</v>
      </c>
      <c r="BG517" s="31"/>
      <c r="BJ517" s="4">
        <v>0.98031000016560887</v>
      </c>
      <c r="BL517" s="4">
        <v>0.92960430549027162</v>
      </c>
      <c r="BM517" s="4">
        <v>0.9</v>
      </c>
      <c r="BN517" s="4" t="s">
        <v>900</v>
      </c>
      <c r="BO517" s="31" t="s">
        <v>900</v>
      </c>
      <c r="BP517" s="31" t="s">
        <v>900</v>
      </c>
      <c r="BQ517" s="31">
        <v>107074.86446076927</v>
      </c>
      <c r="BR517" s="4">
        <v>0.97879155798424267</v>
      </c>
      <c r="BS517" s="4" t="s">
        <v>900</v>
      </c>
      <c r="BT517" s="448" t="s">
        <v>900</v>
      </c>
      <c r="BU517" s="367" t="s">
        <v>900</v>
      </c>
      <c r="BV517" s="368">
        <v>107240.9743842101</v>
      </c>
      <c r="BX517" s="449">
        <v>-3296.0662190041039</v>
      </c>
      <c r="BY517" s="450">
        <v>-2.9901781115040185E-2</v>
      </c>
      <c r="BZ517" s="368">
        <v>-24.386153024229777</v>
      </c>
      <c r="CB517" s="31">
        <v>10051</v>
      </c>
      <c r="CC517" s="31">
        <v>12832.27496497117</v>
      </c>
      <c r="CD517" s="31" t="e">
        <v>#VALUE!</v>
      </c>
      <c r="CE517" s="31" t="s">
        <v>900</v>
      </c>
      <c r="CF517" s="31" t="e">
        <v>#VALUE!</v>
      </c>
      <c r="CJ517" s="702" t="s">
        <v>1447</v>
      </c>
      <c r="CK517" s="702" t="s">
        <v>1447</v>
      </c>
      <c r="CL517" s="702" t="s">
        <v>1448</v>
      </c>
      <c r="CN517" s="702" t="s">
        <v>1447</v>
      </c>
      <c r="CO517" s="702" t="s">
        <v>1447</v>
      </c>
      <c r="CP517" s="702" t="s">
        <v>1447</v>
      </c>
      <c r="CQ517" s="702" t="s">
        <v>1447</v>
      </c>
      <c r="CS517" s="451">
        <v>0</v>
      </c>
      <c r="CT517" s="452">
        <v>0.9</v>
      </c>
      <c r="CU517" s="452">
        <v>0</v>
      </c>
      <c r="CV517" s="453">
        <v>0.9</v>
      </c>
    </row>
    <row r="518" spans="1:100" outlineLevel="1" x14ac:dyDescent="0.3">
      <c r="A518" s="1">
        <v>130243000</v>
      </c>
      <c r="B518" s="47">
        <v>404820</v>
      </c>
      <c r="C518" s="47">
        <v>4473</v>
      </c>
      <c r="D518" s="47" t="s">
        <v>278</v>
      </c>
      <c r="E518" s="47" t="s">
        <v>3</v>
      </c>
      <c r="F518" s="47" t="s">
        <v>1498</v>
      </c>
      <c r="G518" s="47" t="s">
        <v>1502</v>
      </c>
      <c r="H518" s="47" t="s">
        <v>1516</v>
      </c>
      <c r="I518" s="382">
        <v>241</v>
      </c>
      <c r="J518" s="382">
        <v>0</v>
      </c>
      <c r="K518" s="382">
        <v>0</v>
      </c>
      <c r="L518" s="382">
        <v>11</v>
      </c>
      <c r="M518" s="382">
        <v>0</v>
      </c>
      <c r="N518" s="382">
        <v>241</v>
      </c>
      <c r="O518" s="444">
        <v>723</v>
      </c>
      <c r="P518" s="445">
        <v>252</v>
      </c>
      <c r="Q518" s="346">
        <v>0.34854771784232363</v>
      </c>
      <c r="R518" s="445">
        <v>551</v>
      </c>
      <c r="S518" s="447">
        <v>486</v>
      </c>
      <c r="T518" s="445">
        <v>-39.124877130031329</v>
      </c>
      <c r="U518" s="444">
        <v>626.89621501973488</v>
      </c>
      <c r="V518" s="445">
        <v>212.87512286996866</v>
      </c>
      <c r="W518" s="229">
        <v>0.33956996033748155</v>
      </c>
      <c r="X518" s="261">
        <v>116225.24304696481</v>
      </c>
      <c r="Y518" s="262">
        <v>27540.650989995258</v>
      </c>
      <c r="Z518" s="262">
        <v>57100.118608399716</v>
      </c>
      <c r="AA518" s="262">
        <v>44840.640651635149</v>
      </c>
      <c r="AB518" s="263">
        <v>245706.65329699495</v>
      </c>
      <c r="AC518" s="262">
        <v>98166.906291322128</v>
      </c>
      <c r="AD518" s="262">
        <v>23261.560346614184</v>
      </c>
      <c r="AE518" s="262">
        <v>48228.266473825504</v>
      </c>
      <c r="AF518" s="263">
        <v>37873.587987363389</v>
      </c>
      <c r="AG518" s="262">
        <v>98166.906291322128</v>
      </c>
      <c r="AH518" s="262">
        <v>23261.560346614184</v>
      </c>
      <c r="AI518" s="262">
        <v>48228.266473825504</v>
      </c>
      <c r="AJ518" s="263">
        <v>37873.587987363389</v>
      </c>
      <c r="AK518" s="262">
        <v>98236.973837638958</v>
      </c>
      <c r="AL518" s="262">
        <v>23696.173046541709</v>
      </c>
      <c r="AM518" s="262">
        <v>48257.680223300675</v>
      </c>
      <c r="AN518" s="262">
        <v>37897.582255854344</v>
      </c>
      <c r="AO518" s="263">
        <v>208088.4093633357</v>
      </c>
      <c r="AP518" s="31"/>
      <c r="AQ518" s="261">
        <v>96744.849115890625</v>
      </c>
      <c r="AR518" s="262">
        <v>22943.754858341894</v>
      </c>
      <c r="AS518" s="262">
        <v>47589.288178287519</v>
      </c>
      <c r="AT518" s="262">
        <v>36375.16467937886</v>
      </c>
      <c r="AU518" s="263">
        <v>203653.0568318989</v>
      </c>
      <c r="AV518" s="31"/>
      <c r="AW518" s="323">
        <v>151214.55131856076</v>
      </c>
      <c r="AX518" s="31"/>
      <c r="AY518" s="747">
        <v>0</v>
      </c>
      <c r="AZ518" s="262">
        <v>19212.042599862267</v>
      </c>
      <c r="BA518" s="262">
        <v>184441.01423203663</v>
      </c>
      <c r="BB518" s="262">
        <v>1805.2862599630162</v>
      </c>
      <c r="BC518" s="263">
        <v>182635.72797207363</v>
      </c>
      <c r="BD518" s="261">
        <v>1826.3572797207362</v>
      </c>
      <c r="BE518" s="262">
        <v>180809.37069235288</v>
      </c>
      <c r="BF518" s="354">
        <v>1.1957140970609719</v>
      </c>
      <c r="BG518" s="31"/>
      <c r="BJ518" s="4">
        <v>1.1957140970609719</v>
      </c>
      <c r="BL518" s="4">
        <v>1.2531855202617708</v>
      </c>
      <c r="BM518" s="4">
        <v>0.95</v>
      </c>
      <c r="BN518" s="4" t="s">
        <v>900</v>
      </c>
      <c r="BO518" s="31" t="s">
        <v>900</v>
      </c>
      <c r="BP518" s="31" t="s">
        <v>900</v>
      </c>
      <c r="BQ518" s="31">
        <v>180529.307676369</v>
      </c>
      <c r="BR518" s="4">
        <v>1.1938620066798427</v>
      </c>
      <c r="BS518" s="4" t="s">
        <v>900</v>
      </c>
      <c r="BT518" s="448" t="s">
        <v>900</v>
      </c>
      <c r="BU518" s="367" t="s">
        <v>900</v>
      </c>
      <c r="BV518" s="368">
        <v>180809.37069235288</v>
      </c>
      <c r="BX518" s="449">
        <v>-15300.897091012856</v>
      </c>
      <c r="BY518" s="450">
        <v>-7.794911176257481E-2</v>
      </c>
      <c r="BZ518" s="368">
        <v>-71.877337683836174</v>
      </c>
      <c r="CB518" s="31">
        <v>23118</v>
      </c>
      <c r="CC518" s="31">
        <v>27133.162781685391</v>
      </c>
      <c r="CD518" s="31" t="e">
        <v>#VALUE!</v>
      </c>
      <c r="CE518" s="31" t="s">
        <v>900</v>
      </c>
      <c r="CF518" s="31" t="e">
        <v>#VALUE!</v>
      </c>
      <c r="CJ518" s="702" t="s">
        <v>1447</v>
      </c>
      <c r="CK518" s="702" t="s">
        <v>1447</v>
      </c>
      <c r="CL518" s="702" t="s">
        <v>1448</v>
      </c>
      <c r="CN518" s="702" t="s">
        <v>1447</v>
      </c>
      <c r="CO518" s="702" t="s">
        <v>1447</v>
      </c>
      <c r="CP518" s="702" t="s">
        <v>1447</v>
      </c>
      <c r="CQ518" s="702" t="s">
        <v>1447</v>
      </c>
      <c r="CS518" s="451">
        <v>0</v>
      </c>
      <c r="CT518" s="452">
        <v>0</v>
      </c>
      <c r="CU518" s="452">
        <v>0.95</v>
      </c>
      <c r="CV518" s="453">
        <v>0.95</v>
      </c>
    </row>
    <row r="519" spans="1:100" outlineLevel="1" x14ac:dyDescent="0.3">
      <c r="A519" s="1">
        <v>130209000</v>
      </c>
      <c r="B519" s="47">
        <v>409733</v>
      </c>
      <c r="C519" s="47">
        <v>4467</v>
      </c>
      <c r="D519" s="47" t="s">
        <v>381</v>
      </c>
      <c r="E519" s="47" t="s">
        <v>3</v>
      </c>
      <c r="F519" s="47" t="s">
        <v>1503</v>
      </c>
      <c r="G519" s="47" t="s">
        <v>1502</v>
      </c>
      <c r="H519" s="47" t="s">
        <v>1508</v>
      </c>
      <c r="I519" s="382">
        <v>355</v>
      </c>
      <c r="J519" s="382">
        <v>0</v>
      </c>
      <c r="K519" s="382">
        <v>0</v>
      </c>
      <c r="L519" s="382">
        <v>16</v>
      </c>
      <c r="M519" s="382">
        <v>0</v>
      </c>
      <c r="N519" s="382">
        <v>355</v>
      </c>
      <c r="O519" s="444">
        <v>1296</v>
      </c>
      <c r="P519" s="445">
        <v>371</v>
      </c>
      <c r="Q519" s="346">
        <v>0.28626543209876543</v>
      </c>
      <c r="R519" s="445">
        <v>1146</v>
      </c>
      <c r="S519" s="447">
        <v>522</v>
      </c>
      <c r="T519" s="445">
        <v>-57.632080419755695</v>
      </c>
      <c r="U519" s="444">
        <v>1123.7309746411845</v>
      </c>
      <c r="V519" s="445">
        <v>313.36791958024429</v>
      </c>
      <c r="W519" s="229">
        <v>0.27886382653135011</v>
      </c>
      <c r="X519" s="261">
        <v>171109.38559692045</v>
      </c>
      <c r="Y519" s="262">
        <v>40545.95840193746</v>
      </c>
      <c r="Z519" s="262">
        <v>71033.241421240702</v>
      </c>
      <c r="AA519" s="262">
        <v>51109.519437397816</v>
      </c>
      <c r="AB519" s="263">
        <v>333798.10485749645</v>
      </c>
      <c r="AC519" s="262">
        <v>144523.50092889092</v>
      </c>
      <c r="AD519" s="262">
        <v>34246.186065848655</v>
      </c>
      <c r="AE519" s="262">
        <v>59996.549556365055</v>
      </c>
      <c r="AF519" s="263">
        <v>43168.448382406394</v>
      </c>
      <c r="AG519" s="262">
        <v>144523.50092889092</v>
      </c>
      <c r="AH519" s="262">
        <v>34246.186065848655</v>
      </c>
      <c r="AI519" s="262">
        <v>59996.549556365055</v>
      </c>
      <c r="AJ519" s="263">
        <v>43168.448382406394</v>
      </c>
      <c r="AK519" s="262">
        <v>144593.56847520775</v>
      </c>
      <c r="AL519" s="262">
        <v>34680.798765776184</v>
      </c>
      <c r="AM519" s="262">
        <v>60025.963305840225</v>
      </c>
      <c r="AN519" s="262">
        <v>43192.442650897348</v>
      </c>
      <c r="AO519" s="263">
        <v>282492.77319772152</v>
      </c>
      <c r="AP519" s="31"/>
      <c r="AQ519" s="261">
        <v>142397.33186795792</v>
      </c>
      <c r="AR519" s="262">
        <v>33579.588721377222</v>
      </c>
      <c r="AS519" s="262">
        <v>59194.574888862335</v>
      </c>
      <c r="AT519" s="262">
        <v>41457.32051517121</v>
      </c>
      <c r="AU519" s="263">
        <v>276628.81599336868</v>
      </c>
      <c r="AV519" s="31"/>
      <c r="AW519" s="323">
        <v>229040.84964335148</v>
      </c>
      <c r="AX519" s="31"/>
      <c r="AY519" s="747">
        <v>0</v>
      </c>
      <c r="AZ519" s="262">
        <v>26096.365455495572</v>
      </c>
      <c r="BA519" s="262">
        <v>250532.45053787311</v>
      </c>
      <c r="BB519" s="262">
        <v>2452.1812163854747</v>
      </c>
      <c r="BC519" s="263">
        <v>248080.26932148763</v>
      </c>
      <c r="BD519" s="261">
        <v>2480.8026932148764</v>
      </c>
      <c r="BE519" s="262">
        <v>245599.46662827276</v>
      </c>
      <c r="BF519" s="354">
        <v>1.0722954748495972</v>
      </c>
      <c r="BG519" s="31"/>
      <c r="BJ519" s="4">
        <v>1.0722954748495972</v>
      </c>
      <c r="BL519" s="4">
        <v>1.1362455220112975</v>
      </c>
      <c r="BM519" s="4">
        <v>0.9</v>
      </c>
      <c r="BN519" s="4" t="s">
        <v>900</v>
      </c>
      <c r="BO519" s="31" t="s">
        <v>900</v>
      </c>
      <c r="BP519" s="31" t="s">
        <v>900</v>
      </c>
      <c r="BQ519" s="31">
        <v>245219.04758757501</v>
      </c>
      <c r="BR519" s="4">
        <v>1.0706345526110963</v>
      </c>
      <c r="BS519" s="4" t="s">
        <v>900</v>
      </c>
      <c r="BT519" s="448" t="s">
        <v>900</v>
      </c>
      <c r="BU519" s="367" t="s">
        <v>900</v>
      </c>
      <c r="BV519" s="368">
        <v>245599.46662827276</v>
      </c>
      <c r="BX519" s="449">
        <v>-20401.323292639485</v>
      </c>
      <c r="BY519" s="450">
        <v>-7.6528548919867379E-2</v>
      </c>
      <c r="BZ519" s="368">
        <v>-65.103420030892181</v>
      </c>
      <c r="CB519" s="31">
        <v>29389</v>
      </c>
      <c r="CC519" s="31">
        <v>35503.967865671453</v>
      </c>
      <c r="CD519" s="31" t="e">
        <v>#VALUE!</v>
      </c>
      <c r="CE519" s="31" t="s">
        <v>900</v>
      </c>
      <c r="CF519" s="31" t="e">
        <v>#VALUE!</v>
      </c>
      <c r="CJ519" s="702" t="s">
        <v>1447</v>
      </c>
      <c r="CK519" s="702" t="s">
        <v>1447</v>
      </c>
      <c r="CL519" s="702" t="s">
        <v>1448</v>
      </c>
      <c r="CN519" s="702" t="s">
        <v>1447</v>
      </c>
      <c r="CO519" s="702" t="s">
        <v>1447</v>
      </c>
      <c r="CP519" s="702" t="s">
        <v>1447</v>
      </c>
      <c r="CQ519" s="702" t="s">
        <v>1447</v>
      </c>
      <c r="CS519" s="451">
        <v>0</v>
      </c>
      <c r="CT519" s="452">
        <v>0.9</v>
      </c>
      <c r="CU519" s="452">
        <v>0</v>
      </c>
      <c r="CV519" s="453">
        <v>0.9</v>
      </c>
    </row>
    <row r="520" spans="1:100" outlineLevel="1" x14ac:dyDescent="0.3">
      <c r="A520" s="1">
        <v>130504000</v>
      </c>
      <c r="B520" s="47">
        <v>405070</v>
      </c>
      <c r="C520" s="47">
        <v>4488</v>
      </c>
      <c r="D520" s="47" t="s">
        <v>288</v>
      </c>
      <c r="E520" s="47" t="s">
        <v>3</v>
      </c>
      <c r="F520" s="47" t="s">
        <v>1498</v>
      </c>
      <c r="G520" s="47" t="s">
        <v>1502</v>
      </c>
      <c r="H520" s="47" t="s">
        <v>1517</v>
      </c>
      <c r="I520" s="382">
        <v>254</v>
      </c>
      <c r="J520" s="382">
        <v>0</v>
      </c>
      <c r="K520" s="382">
        <v>0</v>
      </c>
      <c r="L520" s="382">
        <v>11</v>
      </c>
      <c r="M520" s="382">
        <v>0</v>
      </c>
      <c r="N520" s="382">
        <v>254</v>
      </c>
      <c r="O520" s="444">
        <v>1509</v>
      </c>
      <c r="P520" s="445">
        <v>265</v>
      </c>
      <c r="Q520" s="346">
        <v>0.17561298873426109</v>
      </c>
      <c r="R520" s="445">
        <v>1081</v>
      </c>
      <c r="S520" s="447">
        <v>462</v>
      </c>
      <c r="T520" s="445">
        <v>-41.235347680613934</v>
      </c>
      <c r="U520" s="444">
        <v>1308.4182413067495</v>
      </c>
      <c r="V520" s="445">
        <v>223.76465231938607</v>
      </c>
      <c r="W520" s="229">
        <v>0.17101920873245149</v>
      </c>
      <c r="X520" s="261">
        <v>122220.98971208603</v>
      </c>
      <c r="Y520" s="262">
        <v>28961.398858526754</v>
      </c>
      <c r="Z520" s="262">
        <v>37046.481712901041</v>
      </c>
      <c r="AA520" s="262">
        <v>30555.302574865698</v>
      </c>
      <c r="AB520" s="263">
        <v>218784.17285837952</v>
      </c>
      <c r="AC520" s="262">
        <v>103231.07209206495</v>
      </c>
      <c r="AD520" s="262">
        <v>24461.56147560618</v>
      </c>
      <c r="AE520" s="262">
        <v>31290.435738335997</v>
      </c>
      <c r="AF520" s="263">
        <v>25807.814601495611</v>
      </c>
      <c r="AG520" s="262">
        <v>103231.07209206495</v>
      </c>
      <c r="AH520" s="262">
        <v>24461.56147560618</v>
      </c>
      <c r="AI520" s="262">
        <v>31290.435738335997</v>
      </c>
      <c r="AJ520" s="263">
        <v>25807.814601495611</v>
      </c>
      <c r="AK520" s="262">
        <v>103301.13963838178</v>
      </c>
      <c r="AL520" s="262">
        <v>24896.174175533706</v>
      </c>
      <c r="AM520" s="262">
        <v>31319.849487811167</v>
      </c>
      <c r="AN520" s="262">
        <v>25831.808869986562</v>
      </c>
      <c r="AO520" s="263">
        <v>185348.97217171319</v>
      </c>
      <c r="AP520" s="31"/>
      <c r="AQ520" s="261">
        <v>101732.09513082236</v>
      </c>
      <c r="AR520" s="262">
        <v>24322.441368237844</v>
      </c>
      <c r="AS520" s="262">
        <v>32038.864962549527</v>
      </c>
      <c r="AT520" s="262">
        <v>26458.103438733218</v>
      </c>
      <c r="AU520" s="263">
        <v>184551.50490034296</v>
      </c>
      <c r="AV520" s="31"/>
      <c r="AW520" s="323">
        <v>200605.40626502832</v>
      </c>
      <c r="AX520" s="31"/>
      <c r="AY520" s="747">
        <v>0</v>
      </c>
      <c r="AZ520" s="262">
        <v>0</v>
      </c>
      <c r="BA520" s="262">
        <v>184551.50490034296</v>
      </c>
      <c r="BB520" s="262">
        <v>1806.3677292131069</v>
      </c>
      <c r="BC520" s="263">
        <v>182745.13717112984</v>
      </c>
      <c r="BD520" s="261">
        <v>1827.4513717112984</v>
      </c>
      <c r="BE520" s="262">
        <v>180917.68579941854</v>
      </c>
      <c r="BF520" s="354">
        <v>0.90185847514199347</v>
      </c>
      <c r="BG520" s="31"/>
      <c r="BJ520" s="4">
        <v>0.90185847514199347</v>
      </c>
      <c r="BL520" s="4">
        <v>0.9355358882404109</v>
      </c>
      <c r="BM520" s="4">
        <v>0.9</v>
      </c>
      <c r="BN520" s="4" t="s">
        <v>900</v>
      </c>
      <c r="BO520" s="31" t="s">
        <v>900</v>
      </c>
      <c r="BP520" s="31" t="s">
        <v>900</v>
      </c>
      <c r="BQ520" s="31">
        <v>180637.45500974325</v>
      </c>
      <c r="BR520" s="4">
        <v>0.90046154973059622</v>
      </c>
      <c r="BS520" s="4" t="s">
        <v>900</v>
      </c>
      <c r="BT520" s="448" t="s">
        <v>900</v>
      </c>
      <c r="BU520" s="367" t="s">
        <v>900</v>
      </c>
      <c r="BV520" s="368">
        <v>180917.68579941854</v>
      </c>
      <c r="BX520" s="449">
        <v>-1160.4157167101512</v>
      </c>
      <c r="BY520" s="450">
        <v>-6.370952808306349E-3</v>
      </c>
      <c r="BZ520" s="368">
        <v>-5.1858758954200441</v>
      </c>
      <c r="CB520" s="31">
        <v>39440</v>
      </c>
      <c r="CC520" s="31">
        <v>44321.189135251356</v>
      </c>
      <c r="CD520" s="31" t="e">
        <v>#VALUE!</v>
      </c>
      <c r="CE520" s="31" t="s">
        <v>900</v>
      </c>
      <c r="CF520" s="31" t="e">
        <v>#VALUE!</v>
      </c>
      <c r="CJ520" s="702" t="s">
        <v>1447</v>
      </c>
      <c r="CK520" s="702" t="s">
        <v>1447</v>
      </c>
      <c r="CL520" s="702" t="s">
        <v>1448</v>
      </c>
      <c r="CN520" s="702" t="s">
        <v>1447</v>
      </c>
      <c r="CO520" s="702" t="s">
        <v>1447</v>
      </c>
      <c r="CP520" s="702" t="s">
        <v>1447</v>
      </c>
      <c r="CQ520" s="702" t="s">
        <v>1447</v>
      </c>
      <c r="CS520" s="451">
        <v>0</v>
      </c>
      <c r="CT520" s="452">
        <v>0.9</v>
      </c>
      <c r="CU520" s="452">
        <v>0</v>
      </c>
      <c r="CV520" s="453">
        <v>0.9</v>
      </c>
    </row>
    <row r="521" spans="1:100" outlineLevel="1" x14ac:dyDescent="0.3">
      <c r="A521" s="1">
        <v>130228000</v>
      </c>
      <c r="B521" s="47">
        <v>401600</v>
      </c>
      <c r="C521" s="47">
        <v>4470</v>
      </c>
      <c r="D521" s="47" t="s">
        <v>86</v>
      </c>
      <c r="E521" s="47" t="s">
        <v>3</v>
      </c>
      <c r="F521" s="47" t="s">
        <v>1498</v>
      </c>
      <c r="G521" s="47" t="s">
        <v>1502</v>
      </c>
      <c r="H521" s="47" t="s">
        <v>1517</v>
      </c>
      <c r="I521" s="382">
        <v>545</v>
      </c>
      <c r="J521" s="382">
        <v>0</v>
      </c>
      <c r="K521" s="382">
        <v>0</v>
      </c>
      <c r="L521" s="382">
        <v>24</v>
      </c>
      <c r="M521" s="382">
        <v>0</v>
      </c>
      <c r="N521" s="382">
        <v>545</v>
      </c>
      <c r="O521" s="444">
        <v>1839</v>
      </c>
      <c r="P521" s="445">
        <v>569</v>
      </c>
      <c r="Q521" s="346">
        <v>0.30940728656878741</v>
      </c>
      <c r="R521" s="445">
        <v>1447</v>
      </c>
      <c r="S521" s="447">
        <v>1017</v>
      </c>
      <c r="T521" s="445">
        <v>-88.477419235962955</v>
      </c>
      <c r="U521" s="444">
        <v>1594.5534431829769</v>
      </c>
      <c r="V521" s="445">
        <v>480.52258076403706</v>
      </c>
      <c r="W521" s="229">
        <v>0.30135244624027097</v>
      </c>
      <c r="X521" s="261">
        <v>362484.7902505821</v>
      </c>
      <c r="Y521" s="262">
        <v>85832.01239880755</v>
      </c>
      <c r="Z521" s="262">
        <v>224853.98268011483</v>
      </c>
      <c r="AA521" s="262">
        <v>229435.04364600944</v>
      </c>
      <c r="AB521" s="263">
        <v>902605.82897551393</v>
      </c>
      <c r="AC521" s="262">
        <v>306164.21616928349</v>
      </c>
      <c r="AD521" s="262">
        <v>72495.981914570657</v>
      </c>
      <c r="AE521" s="262">
        <v>189917.60540410277</v>
      </c>
      <c r="AF521" s="263">
        <v>193786.89034396809</v>
      </c>
      <c r="AG521" s="262">
        <v>306164.21616928349</v>
      </c>
      <c r="AH521" s="262">
        <v>72495.981914570657</v>
      </c>
      <c r="AI521" s="262">
        <v>189917.60540410277</v>
      </c>
      <c r="AJ521" s="263">
        <v>193786.89034396809</v>
      </c>
      <c r="AK521" s="262">
        <v>306234.28371560032</v>
      </c>
      <c r="AL521" s="262">
        <v>72930.594614498186</v>
      </c>
      <c r="AM521" s="262">
        <v>189947.01915357794</v>
      </c>
      <c r="AN521" s="262">
        <v>193810.88461245905</v>
      </c>
      <c r="AO521" s="263">
        <v>762922.78209613543</v>
      </c>
      <c r="AP521" s="31"/>
      <c r="AQ521" s="261">
        <v>301582.88081169833</v>
      </c>
      <c r="AR521" s="262">
        <v>70614.849124439628</v>
      </c>
      <c r="AS521" s="262">
        <v>187316.16172344994</v>
      </c>
      <c r="AT521" s="262">
        <v>190349.31681888975</v>
      </c>
      <c r="AU521" s="263">
        <v>749863.20847847755</v>
      </c>
      <c r="AV521" s="31"/>
      <c r="AW521" s="323">
        <v>710348.41497772245</v>
      </c>
      <c r="AX521" s="31"/>
      <c r="AY521" s="747">
        <v>0</v>
      </c>
      <c r="AZ521" s="262">
        <v>39514.793500755099</v>
      </c>
      <c r="BA521" s="262">
        <v>710348.41497772245</v>
      </c>
      <c r="BB521" s="262">
        <v>6952.804064135561</v>
      </c>
      <c r="BC521" s="263">
        <v>703395.61091358692</v>
      </c>
      <c r="BD521" s="261">
        <v>7033.9561091358692</v>
      </c>
      <c r="BE521" s="262">
        <v>696361.65480445104</v>
      </c>
      <c r="BF521" s="354">
        <v>0.98031000016560876</v>
      </c>
      <c r="BG521" s="31"/>
      <c r="BJ521" s="4">
        <v>0.98031000016560876</v>
      </c>
      <c r="BL521" s="4">
        <v>0.95</v>
      </c>
      <c r="BM521" s="4">
        <v>0.95</v>
      </c>
      <c r="BN521" s="4" t="s">
        <v>900</v>
      </c>
      <c r="BO521" s="31" t="s">
        <v>900</v>
      </c>
      <c r="BP521" s="31" t="s">
        <v>900</v>
      </c>
      <c r="BQ521" s="31">
        <v>695283.03180768224</v>
      </c>
      <c r="BR521" s="4">
        <v>0.97879155798424256</v>
      </c>
      <c r="BS521" s="4" t="s">
        <v>900</v>
      </c>
      <c r="BT521" s="448" t="s">
        <v>900</v>
      </c>
      <c r="BU521" s="367" t="s">
        <v>900</v>
      </c>
      <c r="BV521" s="368">
        <v>696361.65480445104</v>
      </c>
      <c r="BX521" s="449">
        <v>-21209.338522448437</v>
      </c>
      <c r="BY521" s="450">
        <v>-2.9427062123863486E-2</v>
      </c>
      <c r="BZ521" s="368">
        <v>-44.138068368660882</v>
      </c>
      <c r="CB521" s="31">
        <v>45751</v>
      </c>
      <c r="CC521" s="31">
        <v>54996.969749104814</v>
      </c>
      <c r="CD521" s="31" t="e">
        <v>#VALUE!</v>
      </c>
      <c r="CE521" s="31" t="s">
        <v>900</v>
      </c>
      <c r="CF521" s="31" t="e">
        <v>#VALUE!</v>
      </c>
      <c r="CJ521" s="702" t="s">
        <v>1447</v>
      </c>
      <c r="CK521" s="702" t="s">
        <v>1447</v>
      </c>
      <c r="CL521" s="702" t="s">
        <v>1448</v>
      </c>
      <c r="CN521" s="702" t="s">
        <v>1447</v>
      </c>
      <c r="CO521" s="702" t="s">
        <v>1447</v>
      </c>
      <c r="CP521" s="702" t="s">
        <v>1447</v>
      </c>
      <c r="CQ521" s="702" t="s">
        <v>1447</v>
      </c>
      <c r="CS521" s="451">
        <v>0</v>
      </c>
      <c r="CT521" s="452">
        <v>0</v>
      </c>
      <c r="CU521" s="452">
        <v>0.95</v>
      </c>
      <c r="CV521" s="453">
        <v>0.95</v>
      </c>
    </row>
    <row r="522" spans="1:100" outlineLevel="1" x14ac:dyDescent="0.3">
      <c r="A522" s="1">
        <v>130406000</v>
      </c>
      <c r="B522" s="47">
        <v>402370</v>
      </c>
      <c r="C522" s="47">
        <v>4487</v>
      </c>
      <c r="D522" s="47" t="s">
        <v>117</v>
      </c>
      <c r="E522" s="47" t="s">
        <v>3</v>
      </c>
      <c r="F522" s="47" t="s">
        <v>1501</v>
      </c>
      <c r="G522" s="47" t="s">
        <v>1502</v>
      </c>
      <c r="H522" s="47" t="s">
        <v>1517</v>
      </c>
      <c r="I522" s="382">
        <v>739</v>
      </c>
      <c r="J522" s="382">
        <v>0</v>
      </c>
      <c r="K522" s="382">
        <v>0</v>
      </c>
      <c r="L522" s="382">
        <v>33</v>
      </c>
      <c r="M522" s="382">
        <v>0</v>
      </c>
      <c r="N522" s="382">
        <v>739</v>
      </c>
      <c r="O522" s="444">
        <v>3008</v>
      </c>
      <c r="P522" s="445">
        <v>772</v>
      </c>
      <c r="Q522" s="346">
        <v>0.25664893617021278</v>
      </c>
      <c r="R522" s="445">
        <v>2117</v>
      </c>
      <c r="S522" s="447">
        <v>1438</v>
      </c>
      <c r="T522" s="445">
        <v>-119.97213360619565</v>
      </c>
      <c r="U522" s="444">
        <v>2608.1657189202797</v>
      </c>
      <c r="V522" s="445">
        <v>652.02786639380429</v>
      </c>
      <c r="W522" s="229">
        <v>0.24999479966469645</v>
      </c>
      <c r="X522" s="261">
        <v>360764.04842128488</v>
      </c>
      <c r="Y522" s="262">
        <v>84370.565731255338</v>
      </c>
      <c r="Z522" s="262">
        <v>173559.57043453646</v>
      </c>
      <c r="AA522" s="262">
        <v>124489.17492348945</v>
      </c>
      <c r="AB522" s="263">
        <v>743183.35951056611</v>
      </c>
      <c r="AC522" s="262">
        <v>304710.83222720888</v>
      </c>
      <c r="AD522" s="262">
        <v>71261.605506294261</v>
      </c>
      <c r="AE522" s="262">
        <v>146592.99167844761</v>
      </c>
      <c r="AF522" s="263">
        <v>105146.84115618494</v>
      </c>
      <c r="AG522" s="262">
        <v>304710.83222720888</v>
      </c>
      <c r="AH522" s="262">
        <v>71261.605506294261</v>
      </c>
      <c r="AI522" s="262">
        <v>146592.99167844761</v>
      </c>
      <c r="AJ522" s="263">
        <v>105146.84115618494</v>
      </c>
      <c r="AK522" s="262">
        <v>304780.89977352571</v>
      </c>
      <c r="AL522" s="262">
        <v>71696.218206221791</v>
      </c>
      <c r="AM522" s="262">
        <v>146622.40542792279</v>
      </c>
      <c r="AN522" s="262">
        <v>105170.83542467588</v>
      </c>
      <c r="AO522" s="263">
        <v>628270.35883234616</v>
      </c>
      <c r="AP522" s="31"/>
      <c r="AQ522" s="261">
        <v>312778.791467915</v>
      </c>
      <c r="AR522" s="262">
        <v>72418.191987435639</v>
      </c>
      <c r="AS522" s="262">
        <v>150356.68588939917</v>
      </c>
      <c r="AT522" s="262">
        <v>107613.37624115607</v>
      </c>
      <c r="AU522" s="263">
        <v>643167.0455859059</v>
      </c>
      <c r="AV522" s="31"/>
      <c r="AW522" s="323">
        <v>707588.98685174412</v>
      </c>
      <c r="AX522" s="31"/>
      <c r="AY522" s="747">
        <v>0</v>
      </c>
      <c r="AZ522" s="262">
        <v>0</v>
      </c>
      <c r="BA522" s="262">
        <v>643167.0455859059</v>
      </c>
      <c r="BB522" s="262">
        <v>6295.2409749629551</v>
      </c>
      <c r="BC522" s="263">
        <v>636871.80461094296</v>
      </c>
      <c r="BD522" s="261">
        <v>6368.7180461094295</v>
      </c>
      <c r="BE522" s="262">
        <v>630503.08656483353</v>
      </c>
      <c r="BF522" s="354">
        <v>0.89105836619944201</v>
      </c>
      <c r="BG522" s="31"/>
      <c r="BJ522" s="4">
        <v>0.89105836619944201</v>
      </c>
      <c r="BL522" s="4">
        <v>0.90124306555449551</v>
      </c>
      <c r="BM522" s="4">
        <v>0.9</v>
      </c>
      <c r="BN522" s="4" t="s">
        <v>1003</v>
      </c>
      <c r="BO522" s="31">
        <v>6327.0016017361777</v>
      </c>
      <c r="BP522" s="31">
        <v>636830.08816656971</v>
      </c>
      <c r="BQ522" s="31">
        <v>636830.08816656971</v>
      </c>
      <c r="BR522" s="4">
        <v>0.9</v>
      </c>
      <c r="BS522" s="4" t="s">
        <v>900</v>
      </c>
      <c r="BT522" s="448" t="s">
        <v>900</v>
      </c>
      <c r="BU522" s="367" t="s">
        <v>900</v>
      </c>
      <c r="BV522" s="368">
        <v>630503.08656483353</v>
      </c>
      <c r="BX522" s="449">
        <v>14859.787007907638</v>
      </c>
      <c r="BY522" s="450">
        <v>2.4037510394654914E-2</v>
      </c>
      <c r="BZ522" s="368">
        <v>22.79011032165425</v>
      </c>
      <c r="CB522" s="31">
        <v>45215</v>
      </c>
      <c r="CC522" s="31">
        <v>58213.131519011607</v>
      </c>
      <c r="CD522" s="31" t="e">
        <v>#VALUE!</v>
      </c>
      <c r="CE522" s="31" t="s">
        <v>900</v>
      </c>
      <c r="CF522" s="31" t="e">
        <v>#VALUE!</v>
      </c>
      <c r="CJ522" s="702" t="s">
        <v>1447</v>
      </c>
      <c r="CK522" s="702" t="s">
        <v>1447</v>
      </c>
      <c r="CL522" s="702" t="s">
        <v>1448</v>
      </c>
      <c r="CN522" s="702" t="s">
        <v>1447</v>
      </c>
      <c r="CO522" s="702" t="s">
        <v>1447</v>
      </c>
      <c r="CP522" s="702" t="s">
        <v>1447</v>
      </c>
      <c r="CQ522" s="702" t="s">
        <v>1447</v>
      </c>
      <c r="CS522" s="451">
        <v>0</v>
      </c>
      <c r="CT522" s="452">
        <v>0.9</v>
      </c>
      <c r="CU522" s="452">
        <v>0</v>
      </c>
      <c r="CV522" s="453">
        <v>0.9</v>
      </c>
    </row>
    <row r="523" spans="1:100" outlineLevel="1" x14ac:dyDescent="0.3">
      <c r="A523" s="1">
        <v>130251000</v>
      </c>
      <c r="B523" s="47">
        <v>400003</v>
      </c>
      <c r="C523" s="47">
        <v>4474</v>
      </c>
      <c r="D523" s="47" t="s">
        <v>104</v>
      </c>
      <c r="E523" s="47" t="s">
        <v>3</v>
      </c>
      <c r="F523" s="47" t="s">
        <v>1498</v>
      </c>
      <c r="G523" s="47" t="s">
        <v>1502</v>
      </c>
      <c r="H523" s="47" t="s">
        <v>1517</v>
      </c>
      <c r="I523" s="382">
        <v>934</v>
      </c>
      <c r="J523" s="382">
        <v>0</v>
      </c>
      <c r="K523" s="382">
        <v>0</v>
      </c>
      <c r="L523" s="382">
        <v>43</v>
      </c>
      <c r="M523" s="382">
        <v>0</v>
      </c>
      <c r="N523" s="382">
        <v>934</v>
      </c>
      <c r="O523" s="444">
        <v>3552</v>
      </c>
      <c r="P523" s="445">
        <v>977</v>
      </c>
      <c r="Q523" s="346">
        <v>0.27505630630630629</v>
      </c>
      <c r="R523" s="445">
        <v>2219</v>
      </c>
      <c r="S523" s="447">
        <v>1478</v>
      </c>
      <c r="T523" s="445">
        <v>-151.62919186493471</v>
      </c>
      <c r="U523" s="444">
        <v>3079.855263831394</v>
      </c>
      <c r="V523" s="445">
        <v>825.37080813506532</v>
      </c>
      <c r="W523" s="229">
        <v>0.26799012857126592</v>
      </c>
      <c r="X523" s="261">
        <v>450603.42244795483</v>
      </c>
      <c r="Y523" s="262">
        <v>106774.66673502131</v>
      </c>
      <c r="Z523" s="262">
        <v>182083.86254730998</v>
      </c>
      <c r="AA523" s="262">
        <v>129592.70530581834</v>
      </c>
      <c r="AB523" s="263">
        <v>869054.65703610447</v>
      </c>
      <c r="AC523" s="262">
        <v>380591.53748659411</v>
      </c>
      <c r="AD523" s="262">
        <v>90184.700232706586</v>
      </c>
      <c r="AE523" s="262">
        <v>153792.8336671312</v>
      </c>
      <c r="AF523" s="263">
        <v>109457.41754787766</v>
      </c>
      <c r="AG523" s="262">
        <v>380591.53748659411</v>
      </c>
      <c r="AH523" s="262">
        <v>90184.700232706586</v>
      </c>
      <c r="AI523" s="262">
        <v>153792.8336671312</v>
      </c>
      <c r="AJ523" s="263">
        <v>109457.41754787766</v>
      </c>
      <c r="AK523" s="262">
        <v>380661.60503291094</v>
      </c>
      <c r="AL523" s="262">
        <v>90619.312932634115</v>
      </c>
      <c r="AM523" s="262">
        <v>153822.24741660638</v>
      </c>
      <c r="AN523" s="262">
        <v>109481.41181636861</v>
      </c>
      <c r="AO523" s="263">
        <v>734584.57719852007</v>
      </c>
      <c r="AP523" s="31"/>
      <c r="AQ523" s="261">
        <v>374879.72302554414</v>
      </c>
      <c r="AR523" s="262">
        <v>87741.902343221009</v>
      </c>
      <c r="AS523" s="262">
        <v>151691.73542258676</v>
      </c>
      <c r="AT523" s="262">
        <v>105083.33637922534</v>
      </c>
      <c r="AU523" s="263">
        <v>719396.69717057724</v>
      </c>
      <c r="AV523" s="31"/>
      <c r="AW523" s="323">
        <v>549764.83901184204</v>
      </c>
      <c r="AX523" s="31"/>
      <c r="AY523" s="747">
        <v>0</v>
      </c>
      <c r="AZ523" s="262">
        <v>67865.811627122341</v>
      </c>
      <c r="BA523" s="262">
        <v>651530.8855434549</v>
      </c>
      <c r="BB523" s="262">
        <v>6377.1052252695454</v>
      </c>
      <c r="BC523" s="263">
        <v>645153.78031818534</v>
      </c>
      <c r="BD523" s="261">
        <v>6451.5378031818536</v>
      </c>
      <c r="BE523" s="262">
        <v>638702.24251500354</v>
      </c>
      <c r="BF523" s="354">
        <v>1.1617735387789065</v>
      </c>
      <c r="BG523" s="31"/>
      <c r="BJ523" s="4">
        <v>1.1617735387789065</v>
      </c>
      <c r="BL523" s="4">
        <v>1.355633929387476</v>
      </c>
      <c r="BM523" s="4">
        <v>0.9</v>
      </c>
      <c r="BN523" s="4" t="s">
        <v>900</v>
      </c>
      <c r="BO523" s="31" t="s">
        <v>900</v>
      </c>
      <c r="BP523" s="31" t="s">
        <v>900</v>
      </c>
      <c r="BQ523" s="31">
        <v>637712.93053593149</v>
      </c>
      <c r="BR523" s="4">
        <v>1.1599740203141566</v>
      </c>
      <c r="BS523" s="4" t="s">
        <v>900</v>
      </c>
      <c r="BT523" s="448" t="s">
        <v>900</v>
      </c>
      <c r="BU523" s="367" t="s">
        <v>900</v>
      </c>
      <c r="BV523" s="368">
        <v>638702.24251500354</v>
      </c>
      <c r="BX523" s="449">
        <v>-51937.372404847061</v>
      </c>
      <c r="BY523" s="450">
        <v>-7.4874726854580922E-2</v>
      </c>
      <c r="BZ523" s="368">
        <v>-62.926107748104322</v>
      </c>
      <c r="CB523" s="31">
        <v>84625</v>
      </c>
      <c r="CC523" s="31">
        <v>100853.19863542748</v>
      </c>
      <c r="CD523" s="31" t="e">
        <v>#VALUE!</v>
      </c>
      <c r="CE523" s="31" t="s">
        <v>900</v>
      </c>
      <c r="CF523" s="31" t="e">
        <v>#VALUE!</v>
      </c>
      <c r="CJ523" s="702" t="s">
        <v>1447</v>
      </c>
      <c r="CK523" s="702" t="s">
        <v>1447</v>
      </c>
      <c r="CL523" s="702" t="s">
        <v>1448</v>
      </c>
      <c r="CN523" s="702" t="s">
        <v>1447</v>
      </c>
      <c r="CO523" s="702" t="s">
        <v>1447</v>
      </c>
      <c r="CP523" s="702" t="s">
        <v>1447</v>
      </c>
      <c r="CQ523" s="702" t="s">
        <v>1447</v>
      </c>
      <c r="CS523" s="451">
        <v>0</v>
      </c>
      <c r="CT523" s="452">
        <v>0.9</v>
      </c>
      <c r="CU523" s="452">
        <v>0</v>
      </c>
      <c r="CV523" s="453">
        <v>0.9</v>
      </c>
    </row>
    <row r="524" spans="1:100" outlineLevel="1" x14ac:dyDescent="0.3">
      <c r="A524" s="1">
        <v>130201000</v>
      </c>
      <c r="B524" s="47">
        <v>406730</v>
      </c>
      <c r="C524" s="47">
        <v>4466</v>
      </c>
      <c r="D524" s="47" t="s">
        <v>352</v>
      </c>
      <c r="E524" s="47" t="s">
        <v>3</v>
      </c>
      <c r="F524" s="47" t="s">
        <v>1498</v>
      </c>
      <c r="G524" s="47" t="s">
        <v>1502</v>
      </c>
      <c r="H524" s="47" t="s">
        <v>1516</v>
      </c>
      <c r="I524" s="382">
        <v>930</v>
      </c>
      <c r="J524" s="382">
        <v>0</v>
      </c>
      <c r="K524" s="382">
        <v>0</v>
      </c>
      <c r="L524" s="382">
        <v>42</v>
      </c>
      <c r="M524" s="382">
        <v>0</v>
      </c>
      <c r="N524" s="382">
        <v>930</v>
      </c>
      <c r="O524" s="444">
        <v>5711</v>
      </c>
      <c r="P524" s="445">
        <v>972</v>
      </c>
      <c r="Q524" s="346">
        <v>0.17019786377166871</v>
      </c>
      <c r="R524" s="445">
        <v>4223</v>
      </c>
      <c r="S524" s="447">
        <v>1592</v>
      </c>
      <c r="T524" s="445">
        <v>-150.97981631090926</v>
      </c>
      <c r="U524" s="444">
        <v>4951.8731451973799</v>
      </c>
      <c r="V524" s="445">
        <v>821.0201836890908</v>
      </c>
      <c r="W524" s="229">
        <v>0.16579992249707867</v>
      </c>
      <c r="X524" s="261">
        <v>448297.36603829276</v>
      </c>
      <c r="Y524" s="262">
        <v>106228.22524712459</v>
      </c>
      <c r="Z524" s="262">
        <v>140825.14557723326</v>
      </c>
      <c r="AA524" s="262">
        <v>106895.75291694926</v>
      </c>
      <c r="AB524" s="263">
        <v>802246.48977959983</v>
      </c>
      <c r="AC524" s="262">
        <v>378643.78140938526</v>
      </c>
      <c r="AD524" s="262">
        <v>89723.161336940437</v>
      </c>
      <c r="AE524" s="262">
        <v>118944.63291211051</v>
      </c>
      <c r="AF524" s="263">
        <v>90286.972816208014</v>
      </c>
      <c r="AG524" s="262">
        <v>378643.78140938526</v>
      </c>
      <c r="AH524" s="262">
        <v>89723.161336940437</v>
      </c>
      <c r="AI524" s="262">
        <v>118944.63291211051</v>
      </c>
      <c r="AJ524" s="263">
        <v>90286.972816208014</v>
      </c>
      <c r="AK524" s="262">
        <v>378713.84895570209</v>
      </c>
      <c r="AL524" s="262">
        <v>90157.774036867966</v>
      </c>
      <c r="AM524" s="262">
        <v>118974.04666158569</v>
      </c>
      <c r="AN524" s="262">
        <v>90310.967084698961</v>
      </c>
      <c r="AO524" s="263">
        <v>678156.63673885469</v>
      </c>
      <c r="AP524" s="31"/>
      <c r="AQ524" s="261">
        <v>372961.55148133961</v>
      </c>
      <c r="AR524" s="262">
        <v>87295.018567463238</v>
      </c>
      <c r="AS524" s="262">
        <v>117326.19898254969</v>
      </c>
      <c r="AT524" s="262">
        <v>86683.00468039533</v>
      </c>
      <c r="AU524" s="263">
        <v>664265.77371174796</v>
      </c>
      <c r="AV524" s="31"/>
      <c r="AW524" s="323">
        <v>666512.15087952488</v>
      </c>
      <c r="AX524" s="31"/>
      <c r="AY524" s="747">
        <v>0</v>
      </c>
      <c r="AZ524" s="262">
        <v>0</v>
      </c>
      <c r="BA524" s="262">
        <v>664265.77371174796</v>
      </c>
      <c r="BB524" s="262">
        <v>6501.7527649076783</v>
      </c>
      <c r="BC524" s="263">
        <v>657764.02094684029</v>
      </c>
      <c r="BD524" s="261">
        <v>6577.6402094684026</v>
      </c>
      <c r="BE524" s="262">
        <v>651186.38073737186</v>
      </c>
      <c r="BF524" s="354">
        <v>0.97700601538632226</v>
      </c>
      <c r="BG524" s="31"/>
      <c r="BJ524" s="4">
        <v>0.97700601538632226</v>
      </c>
      <c r="BL524" s="4">
        <v>0.95507699568213078</v>
      </c>
      <c r="BM524" s="4">
        <v>0.9</v>
      </c>
      <c r="BN524" s="4" t="s">
        <v>900</v>
      </c>
      <c r="BO524" s="31" t="s">
        <v>900</v>
      </c>
      <c r="BP524" s="31" t="s">
        <v>900</v>
      </c>
      <c r="BQ524" s="31">
        <v>650177.73156693007</v>
      </c>
      <c r="BR524" s="4">
        <v>0.97549269088186907</v>
      </c>
      <c r="BS524" s="4" t="s">
        <v>900</v>
      </c>
      <c r="BT524" s="448" t="s">
        <v>900</v>
      </c>
      <c r="BU524" s="367" t="s">
        <v>900</v>
      </c>
      <c r="BV524" s="368">
        <v>651186.38073737186</v>
      </c>
      <c r="BX524" s="449">
        <v>-12144.69257297786</v>
      </c>
      <c r="BY524" s="450">
        <v>-1.8309365925815817E-2</v>
      </c>
      <c r="BZ524" s="368">
        <v>-14.792197334794013</v>
      </c>
      <c r="CB524" s="31">
        <v>109275</v>
      </c>
      <c r="CC524" s="31">
        <v>127338.41274646325</v>
      </c>
      <c r="CD524" s="31" t="e">
        <v>#VALUE!</v>
      </c>
      <c r="CE524" s="31" t="s">
        <v>900</v>
      </c>
      <c r="CF524" s="31" t="e">
        <v>#VALUE!</v>
      </c>
      <c r="CJ524" s="702" t="s">
        <v>1447</v>
      </c>
      <c r="CK524" s="702" t="s">
        <v>1447</v>
      </c>
      <c r="CL524" s="702" t="s">
        <v>1448</v>
      </c>
      <c r="CN524" s="702" t="s">
        <v>1447</v>
      </c>
      <c r="CO524" s="702" t="s">
        <v>1447</v>
      </c>
      <c r="CP524" s="702" t="s">
        <v>1447</v>
      </c>
      <c r="CQ524" s="702" t="s">
        <v>1447</v>
      </c>
      <c r="CS524" s="451">
        <v>0</v>
      </c>
      <c r="CT524" s="452">
        <v>0.9</v>
      </c>
      <c r="CU524" s="452">
        <v>0</v>
      </c>
      <c r="CV524" s="453">
        <v>0.9</v>
      </c>
    </row>
    <row r="525" spans="1:100" outlineLevel="1" x14ac:dyDescent="0.3">
      <c r="A525" s="1">
        <v>130222000</v>
      </c>
      <c r="B525" s="47">
        <v>403870</v>
      </c>
      <c r="C525" s="47">
        <v>4469</v>
      </c>
      <c r="D525" s="47" t="s">
        <v>200</v>
      </c>
      <c r="E525" s="47" t="s">
        <v>3</v>
      </c>
      <c r="F525" s="47" t="s">
        <v>1503</v>
      </c>
      <c r="G525" s="47" t="s">
        <v>1502</v>
      </c>
      <c r="H525" s="47" t="s">
        <v>1516</v>
      </c>
      <c r="I525" s="382">
        <v>1565</v>
      </c>
      <c r="J525" s="382">
        <v>0</v>
      </c>
      <c r="K525" s="382">
        <v>0</v>
      </c>
      <c r="L525" s="382">
        <v>71</v>
      </c>
      <c r="M525" s="382">
        <v>0</v>
      </c>
      <c r="N525" s="382">
        <v>1565</v>
      </c>
      <c r="O525" s="444">
        <v>8337</v>
      </c>
      <c r="P525" s="445">
        <v>1636</v>
      </c>
      <c r="Q525" s="346">
        <v>0.19623365719083602</v>
      </c>
      <c r="R525" s="445">
        <v>5578</v>
      </c>
      <c r="S525" s="447">
        <v>3657</v>
      </c>
      <c r="T525" s="445">
        <v>-254.06818551244407</v>
      </c>
      <c r="U525" s="444">
        <v>7228.8156910366934</v>
      </c>
      <c r="V525" s="445">
        <v>1381.931814487556</v>
      </c>
      <c r="W525" s="229">
        <v>0.19116987810341746</v>
      </c>
      <c r="X525" s="261">
        <v>790529.44305978378</v>
      </c>
      <c r="Y525" s="262">
        <v>187187.80700129209</v>
      </c>
      <c r="Z525" s="262">
        <v>287258.99570752401</v>
      </c>
      <c r="AA525" s="262">
        <v>239245.70777759296</v>
      </c>
      <c r="AB525" s="263">
        <v>1504221.953546193</v>
      </c>
      <c r="AC525" s="262">
        <v>667702.0217202073</v>
      </c>
      <c r="AD525" s="262">
        <v>158103.75979466544</v>
      </c>
      <c r="AE525" s="262">
        <v>242626.52564697072</v>
      </c>
      <c r="AF525" s="263">
        <v>202073.23607414332</v>
      </c>
      <c r="AG525" s="262">
        <v>667702.0217202073</v>
      </c>
      <c r="AH525" s="262">
        <v>158103.75979466544</v>
      </c>
      <c r="AI525" s="262">
        <v>242626.52564697072</v>
      </c>
      <c r="AJ525" s="263">
        <v>202073.23607414332</v>
      </c>
      <c r="AK525" s="262">
        <v>667772.08926652418</v>
      </c>
      <c r="AL525" s="262">
        <v>158538.37249459297</v>
      </c>
      <c r="AM525" s="262">
        <v>242655.9393964459</v>
      </c>
      <c r="AN525" s="262">
        <v>202097.23034263428</v>
      </c>
      <c r="AO525" s="263">
        <v>1271063.6315001973</v>
      </c>
      <c r="AP525" s="31"/>
      <c r="AQ525" s="261">
        <v>657629.27639308514</v>
      </c>
      <c r="AR525" s="262">
        <v>153504.34633525339</v>
      </c>
      <c r="AS525" s="262">
        <v>241908.79328758133</v>
      </c>
      <c r="AT525" s="262">
        <v>202664.44677766625</v>
      </c>
      <c r="AU525" s="263">
        <v>1255706.862793586</v>
      </c>
      <c r="AV525" s="31"/>
      <c r="AW525" s="323">
        <v>1349663.1541482667</v>
      </c>
      <c r="AX525" s="31"/>
      <c r="AY525" s="747">
        <v>0</v>
      </c>
      <c r="AZ525" s="262">
        <v>0</v>
      </c>
      <c r="BA525" s="262">
        <v>1255706.862793586</v>
      </c>
      <c r="BB525" s="262">
        <v>12290.706356074526</v>
      </c>
      <c r="BC525" s="263">
        <v>1243416.1564375116</v>
      </c>
      <c r="BD525" s="261">
        <v>12434.161564375116</v>
      </c>
      <c r="BE525" s="262">
        <v>1230981.9948731365</v>
      </c>
      <c r="BF525" s="354">
        <v>0.91206608929764676</v>
      </c>
      <c r="BG525" s="31"/>
      <c r="BJ525" s="4">
        <v>0.91206608929764676</v>
      </c>
      <c r="BL525" s="4">
        <v>0.90000000000000013</v>
      </c>
      <c r="BM525" s="4">
        <v>0.9</v>
      </c>
      <c r="BN525" s="4" t="s">
        <v>900</v>
      </c>
      <c r="BO525" s="31" t="s">
        <v>900</v>
      </c>
      <c r="BP525" s="31" t="s">
        <v>900</v>
      </c>
      <c r="BQ525" s="31">
        <v>1229075.2766052398</v>
      </c>
      <c r="BR525" s="4">
        <v>0.91065335289594807</v>
      </c>
      <c r="BS525" s="4" t="s">
        <v>900</v>
      </c>
      <c r="BT525" s="448" t="s">
        <v>900</v>
      </c>
      <c r="BU525" s="367" t="s">
        <v>900</v>
      </c>
      <c r="BV525" s="368">
        <v>1230981.9948731365</v>
      </c>
      <c r="BX525" s="449">
        <v>-13875.999296835857</v>
      </c>
      <c r="BY525" s="450">
        <v>-1.1091816478817539E-2</v>
      </c>
      <c r="BZ525" s="368">
        <v>-10.041015881801169</v>
      </c>
      <c r="CB525" s="31">
        <v>146191</v>
      </c>
      <c r="CC525" s="31">
        <v>175469.96993220528</v>
      </c>
      <c r="CD525" s="31" t="e">
        <v>#VALUE!</v>
      </c>
      <c r="CE525" s="31" t="s">
        <v>900</v>
      </c>
      <c r="CF525" s="31" t="e">
        <v>#VALUE!</v>
      </c>
      <c r="CJ525" s="702" t="s">
        <v>1447</v>
      </c>
      <c r="CK525" s="702" t="s">
        <v>1447</v>
      </c>
      <c r="CL525" s="702" t="s">
        <v>1448</v>
      </c>
      <c r="CN525" s="702" t="s">
        <v>1447</v>
      </c>
      <c r="CO525" s="702" t="s">
        <v>1447</v>
      </c>
      <c r="CP525" s="702" t="s">
        <v>1447</v>
      </c>
      <c r="CQ525" s="702" t="s">
        <v>1447</v>
      </c>
      <c r="CS525" s="451">
        <v>0</v>
      </c>
      <c r="CT525" s="452">
        <v>0.9</v>
      </c>
      <c r="CU525" s="452">
        <v>0</v>
      </c>
      <c r="CV525" s="453">
        <v>0.9</v>
      </c>
    </row>
    <row r="526" spans="1:100" outlineLevel="1" x14ac:dyDescent="0.3">
      <c r="A526" s="1">
        <v>130315000</v>
      </c>
      <c r="B526" s="47">
        <v>407770</v>
      </c>
      <c r="C526" s="47">
        <v>4478</v>
      </c>
      <c r="D526" s="47" t="s">
        <v>475</v>
      </c>
      <c r="E526" s="47" t="s">
        <v>3</v>
      </c>
      <c r="F526" s="47" t="s">
        <v>900</v>
      </c>
      <c r="G526" s="47" t="s">
        <v>900</v>
      </c>
      <c r="H526" s="47" t="s">
        <v>900</v>
      </c>
      <c r="I526" s="382">
        <v>17</v>
      </c>
      <c r="J526" s="382">
        <v>0</v>
      </c>
      <c r="K526" s="382">
        <v>0</v>
      </c>
      <c r="L526" s="382">
        <v>1</v>
      </c>
      <c r="M526" s="382">
        <v>0</v>
      </c>
      <c r="N526" s="382">
        <v>17</v>
      </c>
      <c r="O526" s="444">
        <v>110</v>
      </c>
      <c r="P526" s="445">
        <v>18</v>
      </c>
      <c r="Q526" s="346">
        <v>0.16363636363636364</v>
      </c>
      <c r="R526" s="445">
        <v>24</v>
      </c>
      <c r="S526" s="447">
        <v>7</v>
      </c>
      <c r="T526" s="445">
        <v>-2.7598461046080187</v>
      </c>
      <c r="U526" s="444">
        <v>95.378400625409171</v>
      </c>
      <c r="V526" s="445">
        <v>15.24015389539198</v>
      </c>
      <c r="W526" s="229">
        <v>0.15978621779627478</v>
      </c>
      <c r="X526" s="261">
        <v>8301.8030747832017</v>
      </c>
      <c r="Y526" s="262">
        <v>1967.1893564282329</v>
      </c>
      <c r="Z526" s="262">
        <v>2360.3560242749481</v>
      </c>
      <c r="AA526" s="262">
        <v>1794.1383169580763</v>
      </c>
      <c r="AB526" s="263">
        <v>14423.486772444459</v>
      </c>
      <c r="AC526" s="262">
        <v>7011.9218779515813</v>
      </c>
      <c r="AD526" s="262">
        <v>1661.5400247581563</v>
      </c>
      <c r="AE526" s="262">
        <v>1993.6189641309379</v>
      </c>
      <c r="AF526" s="263">
        <v>1515.3765517472352</v>
      </c>
      <c r="AG526" s="262">
        <v>7011.9218779515813</v>
      </c>
      <c r="AH526" s="262">
        <v>1661.5400247581563</v>
      </c>
      <c r="AI526" s="262">
        <v>1993.6189641309379</v>
      </c>
      <c r="AJ526" s="263">
        <v>1515.3765517472352</v>
      </c>
      <c r="AK526" s="262">
        <v>7081.9894242684159</v>
      </c>
      <c r="AL526" s="262">
        <v>2096.1527246856822</v>
      </c>
      <c r="AM526" s="262">
        <v>2023.0327136061096</v>
      </c>
      <c r="AN526" s="262">
        <v>1539.3708202381881</v>
      </c>
      <c r="AO526" s="263">
        <v>12740.545682798396</v>
      </c>
      <c r="AP526" s="31"/>
      <c r="AQ526" s="261">
        <v>6974.4208471196935</v>
      </c>
      <c r="AR526" s="262">
        <v>2029.5941528774686</v>
      </c>
      <c r="AS526" s="262">
        <v>1995.0127390379409</v>
      </c>
      <c r="AT526" s="262">
        <v>1485.0588662123428</v>
      </c>
      <c r="AU526" s="263">
        <v>12484.086605247445</v>
      </c>
      <c r="AV526" s="31"/>
      <c r="AW526" s="323">
        <v>12687.738793437598</v>
      </c>
      <c r="AX526" s="31"/>
      <c r="AY526" s="747">
        <v>0</v>
      </c>
      <c r="AZ526" s="262">
        <v>0</v>
      </c>
      <c r="BA526" s="262">
        <v>12484.086605247445</v>
      </c>
      <c r="BB526" s="262">
        <v>122.1927243811854</v>
      </c>
      <c r="BC526" s="263">
        <v>12361.893880866259</v>
      </c>
      <c r="BD526" s="261">
        <v>123.61893880866259</v>
      </c>
      <c r="BE526" s="262">
        <v>12238.274942057596</v>
      </c>
      <c r="BF526" s="354">
        <v>0.96457494446429848</v>
      </c>
      <c r="BG526" s="31"/>
      <c r="BJ526" s="4">
        <v>0.96457494446429848</v>
      </c>
      <c r="BL526" s="4">
        <v>0.94937093662691185</v>
      </c>
      <c r="BM526" s="4">
        <v>0.9</v>
      </c>
      <c r="BN526" s="4" t="s">
        <v>900</v>
      </c>
      <c r="BO526" s="31" t="s">
        <v>900</v>
      </c>
      <c r="BP526" s="31" t="s">
        <v>900</v>
      </c>
      <c r="BQ526" s="31">
        <v>12219.31857836036</v>
      </c>
      <c r="BR526" s="4">
        <v>0.96308087495310701</v>
      </c>
      <c r="BS526" s="4" t="s">
        <v>900</v>
      </c>
      <c r="BT526" s="448" t="s">
        <v>900</v>
      </c>
      <c r="BU526" s="367" t="s">
        <v>900</v>
      </c>
      <c r="BV526" s="368">
        <v>12238.274942057596</v>
      </c>
      <c r="BX526" s="449">
        <v>-920.39783792327762</v>
      </c>
      <c r="BY526" s="450">
        <v>-7.5109271289793236E-2</v>
      </c>
      <c r="BZ526" s="368">
        <v>-60.392949063432326</v>
      </c>
      <c r="CB526" s="31">
        <v>376</v>
      </c>
      <c r="CC526" s="31">
        <v>714.82037118591006</v>
      </c>
      <c r="CD526" s="31" t="e">
        <v>#VALUE!</v>
      </c>
      <c r="CE526" s="31" t="s">
        <v>900</v>
      </c>
      <c r="CF526" s="31" t="e">
        <v>#VALUE!</v>
      </c>
      <c r="CJ526" s="702" t="s">
        <v>1447</v>
      </c>
      <c r="CK526" s="702" t="s">
        <v>1447</v>
      </c>
      <c r="CL526" s="702" t="s">
        <v>1448</v>
      </c>
      <c r="CN526" s="702" t="s">
        <v>1447</v>
      </c>
      <c r="CO526" s="702" t="s">
        <v>1447</v>
      </c>
      <c r="CP526" s="702" t="s">
        <v>1447</v>
      </c>
      <c r="CQ526" s="702" t="s">
        <v>1447</v>
      </c>
      <c r="CS526" s="451">
        <v>0</v>
      </c>
      <c r="CT526" s="452">
        <v>0.9</v>
      </c>
      <c r="CU526" s="452">
        <v>0</v>
      </c>
      <c r="CV526" s="453">
        <v>0.9</v>
      </c>
    </row>
    <row r="527" spans="1:100" outlineLevel="1" x14ac:dyDescent="0.3">
      <c r="A527" s="1">
        <v>130302000</v>
      </c>
      <c r="B527" s="47">
        <v>409360</v>
      </c>
      <c r="C527" s="47">
        <v>4475</v>
      </c>
      <c r="D527" s="47" t="s">
        <v>456</v>
      </c>
      <c r="E527" s="47" t="s">
        <v>3</v>
      </c>
      <c r="F527" s="47" t="s">
        <v>900</v>
      </c>
      <c r="G527" s="47" t="s">
        <v>900</v>
      </c>
      <c r="H527" s="47" t="s">
        <v>900</v>
      </c>
      <c r="I527" s="382">
        <v>15</v>
      </c>
      <c r="J527" s="382">
        <v>0</v>
      </c>
      <c r="K527" s="382">
        <v>0</v>
      </c>
      <c r="L527" s="382">
        <v>1</v>
      </c>
      <c r="M527" s="382">
        <v>0</v>
      </c>
      <c r="N527" s="382">
        <v>15</v>
      </c>
      <c r="O527" s="444">
        <v>60</v>
      </c>
      <c r="P527" s="445">
        <v>16</v>
      </c>
      <c r="Q527" s="346">
        <v>0.26666666666666666</v>
      </c>
      <c r="R527" s="445" t="s">
        <v>900</v>
      </c>
      <c r="S527" s="447" t="s">
        <v>900</v>
      </c>
      <c r="T527" s="445">
        <v>-2.4351583275953108</v>
      </c>
      <c r="U527" s="444">
        <v>52.024582159314093</v>
      </c>
      <c r="V527" s="445">
        <v>13.56484167240469</v>
      </c>
      <c r="W527" s="229">
        <v>0.26073907966940091</v>
      </c>
      <c r="X527" s="261">
        <v>7379.3805109184013</v>
      </c>
      <c r="Y527" s="262">
        <v>1748.61276126954</v>
      </c>
      <c r="Z527" s="262">
        <v>2916.4412957543068</v>
      </c>
      <c r="AA527" s="262">
        <v>2056.5012041085261</v>
      </c>
      <c r="AB527" s="263">
        <v>14100.935772050774</v>
      </c>
      <c r="AC527" s="262">
        <v>6232.8194470680719</v>
      </c>
      <c r="AD527" s="262">
        <v>1476.9244664516941</v>
      </c>
      <c r="AE527" s="262">
        <v>2463.3032539133219</v>
      </c>
      <c r="AF527" s="263">
        <v>1736.9751673492829</v>
      </c>
      <c r="AG527" s="262">
        <v>6232.8194470680719</v>
      </c>
      <c r="AH527" s="262">
        <v>1476.9244664516941</v>
      </c>
      <c r="AI527" s="262">
        <v>2463.3032539133219</v>
      </c>
      <c r="AJ527" s="263">
        <v>1736.9751673492829</v>
      </c>
      <c r="AK527" s="262">
        <v>6302.8869933849064</v>
      </c>
      <c r="AL527" s="262">
        <v>1911.5371663792198</v>
      </c>
      <c r="AM527" s="262">
        <v>2492.7170033884936</v>
      </c>
      <c r="AN527" s="262">
        <v>1760.9694358402357</v>
      </c>
      <c r="AO527" s="263">
        <v>12468.110598992856</v>
      </c>
      <c r="AP527" s="31"/>
      <c r="AQ527" s="261">
        <v>6207.1522294378901</v>
      </c>
      <c r="AR527" s="262">
        <v>1850.8406425743531</v>
      </c>
      <c r="AS527" s="262">
        <v>2458.1916758587745</v>
      </c>
      <c r="AT527" s="262">
        <v>1690.2279620791983</v>
      </c>
      <c r="AU527" s="263">
        <v>12206.412509950216</v>
      </c>
      <c r="AV527" s="31"/>
      <c r="AW527" s="323">
        <v>1111.5784779468142</v>
      </c>
      <c r="AX527" s="31"/>
      <c r="AY527" s="747">
        <v>0</v>
      </c>
      <c r="AZ527" s="262">
        <v>1151.5177860857057</v>
      </c>
      <c r="BA527" s="262">
        <v>11054.894723864511</v>
      </c>
      <c r="BB527" s="262">
        <v>108.20396772066628</v>
      </c>
      <c r="BC527" s="263">
        <v>10946.690756143844</v>
      </c>
      <c r="BD527" s="261">
        <v>109.46690756143845</v>
      </c>
      <c r="BE527" s="262">
        <v>10837.223848582405</v>
      </c>
      <c r="BF527" s="354">
        <v>9.7494005718784127</v>
      </c>
      <c r="BG527" s="31"/>
      <c r="BJ527" s="4">
        <v>9.7494005718784127</v>
      </c>
      <c r="BL527" s="4">
        <v>10.709630691535233</v>
      </c>
      <c r="BM527" s="4">
        <v>0.9</v>
      </c>
      <c r="BN527" s="4" t="s">
        <v>900</v>
      </c>
      <c r="BO527" s="31" t="s">
        <v>900</v>
      </c>
      <c r="BP527" s="31" t="s">
        <v>900</v>
      </c>
      <c r="BQ527" s="31">
        <v>10820.437630123128</v>
      </c>
      <c r="BR527" s="4">
        <v>9.734299327303864</v>
      </c>
      <c r="BS527" s="4" t="s">
        <v>900</v>
      </c>
      <c r="BT527" s="448" t="s">
        <v>900</v>
      </c>
      <c r="BU527" s="367" t="s">
        <v>900</v>
      </c>
      <c r="BV527" s="368">
        <v>10837.223848582405</v>
      </c>
      <c r="BX527" s="449">
        <v>10837.223848582405</v>
      </c>
      <c r="BY527" s="450">
        <v>0.90429857021059457</v>
      </c>
      <c r="BZ527" s="368">
        <v>798.92003978408775</v>
      </c>
      <c r="CB527" s="31" t="s">
        <v>900</v>
      </c>
      <c r="CC527" s="31">
        <v>268.13980320748271</v>
      </c>
      <c r="CD527" s="31" t="e">
        <v>#VALUE!</v>
      </c>
      <c r="CE527" s="31" t="s">
        <v>900</v>
      </c>
      <c r="CF527" s="31" t="e">
        <v>#VALUE!</v>
      </c>
      <c r="CJ527" s="702" t="s">
        <v>1447</v>
      </c>
      <c r="CK527" s="702" t="s">
        <v>1447</v>
      </c>
      <c r="CL527" s="702" t="s">
        <v>1448</v>
      </c>
      <c r="CN527" s="702" t="s">
        <v>1447</v>
      </c>
      <c r="CO527" s="702" t="s">
        <v>1447</v>
      </c>
      <c r="CP527" s="702" t="s">
        <v>1447</v>
      </c>
      <c r="CQ527" s="702" t="s">
        <v>1447</v>
      </c>
      <c r="CS527" s="451">
        <v>0</v>
      </c>
      <c r="CT527" s="452">
        <v>0.9</v>
      </c>
      <c r="CU527" s="452">
        <v>0</v>
      </c>
      <c r="CV527" s="453">
        <v>0.9</v>
      </c>
    </row>
    <row r="528" spans="1:100" s="48" customFormat="1" outlineLevel="1" x14ac:dyDescent="0.3">
      <c r="A528" s="202">
        <v>138760000</v>
      </c>
      <c r="B528" s="48">
        <v>400320</v>
      </c>
      <c r="C528" s="48">
        <v>79437</v>
      </c>
      <c r="D528" s="48" t="s">
        <v>14</v>
      </c>
      <c r="E528" s="48" t="s">
        <v>3</v>
      </c>
      <c r="F528" s="48" t="s">
        <v>1498</v>
      </c>
      <c r="G528" s="48" t="s">
        <v>1499</v>
      </c>
      <c r="H528" s="48" t="s">
        <v>1517</v>
      </c>
      <c r="O528" s="454" t="s">
        <v>900</v>
      </c>
      <c r="P528" s="455" t="s">
        <v>900</v>
      </c>
      <c r="Q528" s="347" t="s">
        <v>900</v>
      </c>
      <c r="R528" s="455">
        <v>407</v>
      </c>
      <c r="S528" s="457">
        <v>297</v>
      </c>
      <c r="T528" s="455"/>
      <c r="U528" s="454">
        <v>407</v>
      </c>
      <c r="V528" s="455">
        <v>134.74673709715253</v>
      </c>
      <c r="W528" s="230">
        <v>0.33107306412076787</v>
      </c>
      <c r="X528" s="264" t="s">
        <v>900</v>
      </c>
      <c r="Y528" s="265" t="s">
        <v>900</v>
      </c>
      <c r="Z528" s="265" t="s">
        <v>900</v>
      </c>
      <c r="AA528" s="265" t="s">
        <v>900</v>
      </c>
      <c r="AB528" s="266" t="s">
        <v>900</v>
      </c>
      <c r="AC528" s="265">
        <v>66213.831269409144</v>
      </c>
      <c r="AD528" s="265">
        <v>15691.368153741232</v>
      </c>
      <c r="AE528" s="265">
        <v>27795.993254037618</v>
      </c>
      <c r="AF528" s="266">
        <v>22674.583723950058</v>
      </c>
      <c r="AG528" s="265">
        <v>66213.831269409144</v>
      </c>
      <c r="AH528" s="265">
        <v>15691.368153741232</v>
      </c>
      <c r="AI528" s="265">
        <v>27795.993254037618</v>
      </c>
      <c r="AJ528" s="266">
        <v>22674.583723950058</v>
      </c>
      <c r="AK528" s="265">
        <v>66283.898815725974</v>
      </c>
      <c r="AL528" s="265">
        <v>16125.980853668758</v>
      </c>
      <c r="AM528" s="265">
        <v>27825.407003512788</v>
      </c>
      <c r="AN528" s="265">
        <v>22698.577992441009</v>
      </c>
      <c r="AO528" s="266">
        <v>132933.86466534855</v>
      </c>
      <c r="AP528" s="203"/>
      <c r="AQ528" s="264">
        <v>78556.909887708709</v>
      </c>
      <c r="AR528" s="265">
        <v>18797.921136524892</v>
      </c>
      <c r="AS528" s="265">
        <v>32478.40477248768</v>
      </c>
      <c r="AT528" s="265">
        <v>27476.314821737848</v>
      </c>
      <c r="AU528" s="266">
        <v>157309.55061845912</v>
      </c>
      <c r="AV528" s="203"/>
      <c r="AW528" s="324">
        <v>154789.86559618366</v>
      </c>
      <c r="AX528" s="203"/>
      <c r="AY528" s="377">
        <v>0</v>
      </c>
      <c r="AZ528" s="265">
        <v>2519.6850222754583</v>
      </c>
      <c r="BA528" s="265">
        <v>154789.86559618366</v>
      </c>
      <c r="BB528" s="265">
        <v>1515.0644161540008</v>
      </c>
      <c r="BC528" s="266">
        <v>153274.80118002967</v>
      </c>
      <c r="BD528" s="264">
        <v>1532.7480118002968</v>
      </c>
      <c r="BE528" s="265">
        <v>151742.05316822938</v>
      </c>
      <c r="BF528" s="357">
        <v>0.98031000016560887</v>
      </c>
      <c r="BG528" s="203"/>
      <c r="BJ528" s="458">
        <v>0.98031000016560887</v>
      </c>
      <c r="BK528" s="210"/>
      <c r="BL528" s="458"/>
      <c r="BM528" s="458"/>
      <c r="BN528" s="458"/>
      <c r="BQ528" s="203">
        <v>151507.01370706013</v>
      </c>
      <c r="BR528" s="458">
        <v>0.97879155798424267</v>
      </c>
      <c r="BT528" s="459" t="s">
        <v>900</v>
      </c>
      <c r="BU528" s="460" t="s">
        <v>900</v>
      </c>
      <c r="BV528" s="461">
        <v>151742.05316822938</v>
      </c>
      <c r="BX528" s="462">
        <v>20951.172884836458</v>
      </c>
      <c r="BY528" s="463">
        <v>0.16047101807627231</v>
      </c>
      <c r="BZ528" s="461">
        <v>155.48556748895999</v>
      </c>
      <c r="CB528" s="203" t="s">
        <v>900</v>
      </c>
      <c r="CC528" s="203">
        <v>2551.8968547273244</v>
      </c>
      <c r="CD528" s="203" t="e">
        <v>#VALUE!</v>
      </c>
      <c r="CE528" s="203" t="s">
        <v>900</v>
      </c>
      <c r="CF528" s="203" t="e">
        <v>#VALUE!</v>
      </c>
      <c r="CH528" s="199"/>
      <c r="CJ528" s="464" t="s">
        <v>1448</v>
      </c>
      <c r="CK528" s="464" t="s">
        <v>1447</v>
      </c>
      <c r="CL528" s="464" t="s">
        <v>1448</v>
      </c>
      <c r="CN528" s="464" t="s">
        <v>1447</v>
      </c>
      <c r="CO528" s="464" t="s">
        <v>1447</v>
      </c>
      <c r="CP528" s="464" t="s">
        <v>1447</v>
      </c>
      <c r="CQ528" s="464" t="s">
        <v>1447</v>
      </c>
      <c r="CS528" s="465">
        <v>0</v>
      </c>
      <c r="CT528" s="466">
        <v>0</v>
      </c>
      <c r="CU528" s="466">
        <v>0.95</v>
      </c>
      <c r="CV528" s="467">
        <v>0.95</v>
      </c>
    </row>
    <row r="529" spans="1:100" s="48" customFormat="1" outlineLevel="1" x14ac:dyDescent="0.3">
      <c r="A529" s="202">
        <v>138754000</v>
      </c>
      <c r="B529" s="48">
        <v>400130</v>
      </c>
      <c r="C529" s="48">
        <v>6365</v>
      </c>
      <c r="D529" s="48" t="s">
        <v>35</v>
      </c>
      <c r="E529" s="48" t="s">
        <v>3</v>
      </c>
      <c r="F529" s="48" t="s">
        <v>1498</v>
      </c>
      <c r="G529" s="48" t="s">
        <v>1502</v>
      </c>
      <c r="H529" s="48" t="s">
        <v>1517</v>
      </c>
      <c r="O529" s="454" t="s">
        <v>900</v>
      </c>
      <c r="P529" s="455" t="s">
        <v>900</v>
      </c>
      <c r="Q529" s="347" t="s">
        <v>900</v>
      </c>
      <c r="R529" s="455">
        <v>450</v>
      </c>
      <c r="S529" s="457">
        <v>75</v>
      </c>
      <c r="T529" s="455"/>
      <c r="U529" s="454">
        <v>450</v>
      </c>
      <c r="V529" s="455">
        <v>34.026953812412252</v>
      </c>
      <c r="W529" s="230">
        <v>7.5615452916471676E-2</v>
      </c>
      <c r="X529" s="264" t="s">
        <v>900</v>
      </c>
      <c r="Y529" s="265" t="s">
        <v>900</v>
      </c>
      <c r="Z529" s="265" t="s">
        <v>900</v>
      </c>
      <c r="AA529" s="265" t="s">
        <v>900</v>
      </c>
      <c r="AB529" s="266" t="s">
        <v>900</v>
      </c>
      <c r="AC529" s="265">
        <v>16720.664461972003</v>
      </c>
      <c r="AD529" s="265">
        <v>3962.4667054902097</v>
      </c>
      <c r="AE529" s="265">
        <v>7019.1902156660644</v>
      </c>
      <c r="AF529" s="266">
        <v>5725.9049807954689</v>
      </c>
      <c r="AG529" s="265">
        <v>16720.664461972003</v>
      </c>
      <c r="AH529" s="265" t="s">
        <v>900</v>
      </c>
      <c r="AI529" s="265">
        <v>7019.1902156660644</v>
      </c>
      <c r="AJ529" s="266">
        <v>5725.9049807954689</v>
      </c>
      <c r="AK529" s="265">
        <v>16790.732008288836</v>
      </c>
      <c r="AL529" s="265" t="s">
        <v>900</v>
      </c>
      <c r="AM529" s="265">
        <v>7048.6039651412366</v>
      </c>
      <c r="AN529" s="265">
        <v>5749.8992492864218</v>
      </c>
      <c r="AO529" s="266">
        <v>29589.235222716496</v>
      </c>
      <c r="AP529" s="203"/>
      <c r="AQ529" s="264">
        <v>49562.699017578256</v>
      </c>
      <c r="AR529" s="265">
        <v>11666.96393946408</v>
      </c>
      <c r="AS529" s="265">
        <v>20645.513580516697</v>
      </c>
      <c r="AT529" s="265">
        <v>17607.243591477381</v>
      </c>
      <c r="AU529" s="266">
        <v>99482.420129036414</v>
      </c>
      <c r="AV529" s="203"/>
      <c r="AW529" s="324">
        <v>109405.32338867559</v>
      </c>
      <c r="AX529" s="203"/>
      <c r="AY529" s="377">
        <v>0</v>
      </c>
      <c r="AZ529" s="265">
        <v>0</v>
      </c>
      <c r="BA529" s="265">
        <v>99482.420129036414</v>
      </c>
      <c r="BB529" s="265">
        <v>973.72185310626446</v>
      </c>
      <c r="BC529" s="266">
        <v>98508.698275930146</v>
      </c>
      <c r="BD529" s="264">
        <v>985.08698275930146</v>
      </c>
      <c r="BE529" s="265">
        <v>97523.611293170849</v>
      </c>
      <c r="BF529" s="357">
        <v>0.89139731296900859</v>
      </c>
      <c r="BG529" s="203"/>
      <c r="BJ529" s="458">
        <v>0.89139731296900859</v>
      </c>
      <c r="BK529" s="210"/>
      <c r="BL529" s="458"/>
      <c r="BM529" s="458"/>
      <c r="BN529" s="458"/>
      <c r="BQ529" s="203">
        <v>97372.552990142533</v>
      </c>
      <c r="BR529" s="458">
        <v>0.89001659127878818</v>
      </c>
      <c r="BT529" s="459" t="s">
        <v>900</v>
      </c>
      <c r="BU529" s="460" t="s">
        <v>900</v>
      </c>
      <c r="BV529" s="461">
        <v>97523.611293170849</v>
      </c>
      <c r="BX529" s="462">
        <v>67700.808777071492</v>
      </c>
      <c r="BY529" s="463">
        <v>2.3239441802588643</v>
      </c>
      <c r="BZ529" s="461">
        <v>1989.6229662608173</v>
      </c>
      <c r="CB529" s="203" t="s">
        <v>900</v>
      </c>
      <c r="CC529" s="203">
        <v>997.61738822983557</v>
      </c>
      <c r="CD529" s="203" t="e">
        <v>#VALUE!</v>
      </c>
      <c r="CE529" s="203" t="s">
        <v>900</v>
      </c>
      <c r="CF529" s="203" t="e">
        <v>#VALUE!</v>
      </c>
      <c r="CH529" s="199"/>
      <c r="CJ529" s="464" t="s">
        <v>1448</v>
      </c>
      <c r="CK529" s="464" t="s">
        <v>1447</v>
      </c>
      <c r="CL529" s="464" t="s">
        <v>1448</v>
      </c>
      <c r="CN529" s="464" t="s">
        <v>1447</v>
      </c>
      <c r="CO529" s="464" t="s">
        <v>1448</v>
      </c>
      <c r="CP529" s="464" t="s">
        <v>1447</v>
      </c>
      <c r="CQ529" s="464" t="s">
        <v>1447</v>
      </c>
      <c r="CS529" s="465">
        <v>0.85</v>
      </c>
      <c r="CT529" s="466">
        <v>0</v>
      </c>
      <c r="CU529" s="466">
        <v>0</v>
      </c>
      <c r="CV529" s="467">
        <v>0.85</v>
      </c>
    </row>
    <row r="530" spans="1:100" s="192" customFormat="1" outlineLevel="1" x14ac:dyDescent="0.3">
      <c r="A530" s="561">
        <v>138758000</v>
      </c>
      <c r="D530" s="192" t="s">
        <v>871</v>
      </c>
      <c r="E530" s="192" t="s">
        <v>900</v>
      </c>
      <c r="F530" s="192" t="s">
        <v>900</v>
      </c>
      <c r="G530" s="192" t="s">
        <v>900</v>
      </c>
      <c r="H530" s="192" t="s">
        <v>900</v>
      </c>
      <c r="O530" s="540" t="s">
        <v>900</v>
      </c>
      <c r="P530" s="541" t="s">
        <v>900</v>
      </c>
      <c r="Q530" s="850" t="s">
        <v>900</v>
      </c>
      <c r="R530" s="541">
        <v>63</v>
      </c>
      <c r="S530" s="542">
        <v>46</v>
      </c>
      <c r="T530" s="541"/>
      <c r="U530" s="540">
        <v>63</v>
      </c>
      <c r="V530" s="541">
        <v>20.869865004946181</v>
      </c>
      <c r="W530" s="543">
        <v>0.33126769849120924</v>
      </c>
      <c r="X530" s="544"/>
      <c r="Y530" s="545"/>
      <c r="Z530" s="545"/>
      <c r="AA530" s="545"/>
      <c r="AB530" s="546"/>
      <c r="AC530" s="545">
        <v>10255.340870009495</v>
      </c>
      <c r="AD530" s="545">
        <v>2430.3129127006619</v>
      </c>
      <c r="AE530" s="545">
        <v>4305.1033322751864</v>
      </c>
      <c r="AF530" s="546">
        <v>3511.8883882212208</v>
      </c>
      <c r="AG530" s="545">
        <v>10255.340870009495</v>
      </c>
      <c r="AH530" s="545">
        <v>2430.3129127006619</v>
      </c>
      <c r="AI530" s="545">
        <v>4305.1033322751864</v>
      </c>
      <c r="AJ530" s="546">
        <v>3511.8883882212208</v>
      </c>
      <c r="AK530" s="545">
        <v>10325.408416326331</v>
      </c>
      <c r="AL530" s="545">
        <v>2864.9256126281875</v>
      </c>
      <c r="AM530" s="545">
        <v>4334.5170817503586</v>
      </c>
      <c r="AN530" s="545">
        <v>3535.8826567121737</v>
      </c>
      <c r="AO530" s="546">
        <v>21060.733767417049</v>
      </c>
      <c r="AP530" s="547"/>
      <c r="AQ530" s="544">
        <v>14933.924732349446</v>
      </c>
      <c r="AR530" s="545">
        <v>3838.0237400915116</v>
      </c>
      <c r="AS530" s="545">
        <v>6160.603680289365</v>
      </c>
      <c r="AT530" s="545">
        <v>5207.3532404549687</v>
      </c>
      <c r="AU530" s="546">
        <v>30139.90539318529</v>
      </c>
      <c r="AV530" s="547"/>
      <c r="AW530" s="548">
        <v>29657.143425501581</v>
      </c>
      <c r="AX530" s="547"/>
      <c r="AY530" s="851">
        <v>0</v>
      </c>
      <c r="AZ530" s="545">
        <v>482.76196768370937</v>
      </c>
      <c r="BA530" s="545">
        <v>29657.143425501581</v>
      </c>
      <c r="BB530" s="545">
        <v>290.28052008245186</v>
      </c>
      <c r="BC530" s="546">
        <v>29366.86290541913</v>
      </c>
      <c r="BD530" s="544">
        <v>293.66862905419129</v>
      </c>
      <c r="BE530" s="545">
        <v>29073.194276364939</v>
      </c>
      <c r="BF530" s="549">
        <v>0.98031000016560876</v>
      </c>
      <c r="BG530" s="547"/>
      <c r="BJ530" s="550">
        <v>0.98031000016560876</v>
      </c>
      <c r="BK530" s="551"/>
      <c r="BL530" s="550"/>
      <c r="BM530" s="550"/>
      <c r="BN530" s="550"/>
      <c r="BQ530" s="547">
        <v>29028.16161880883</v>
      </c>
      <c r="BR530" s="550">
        <v>0.97879155798424256</v>
      </c>
      <c r="BT530" s="552" t="s">
        <v>900</v>
      </c>
      <c r="BU530" s="553" t="s">
        <v>900</v>
      </c>
      <c r="BV530" s="554">
        <v>29073.194276364939</v>
      </c>
      <c r="BX530" s="555">
        <v>7770.3588847054525</v>
      </c>
      <c r="BY530" s="556">
        <v>0.28559077341741806</v>
      </c>
      <c r="BZ530" s="554">
        <v>372.32434818643384</v>
      </c>
      <c r="CB530" s="547">
        <v>3546</v>
      </c>
      <c r="CC530" s="547">
        <v>3941.2056093381671</v>
      </c>
      <c r="CD530" s="547" t="e">
        <v>#VALUE!</v>
      </c>
      <c r="CE530" s="547" t="s">
        <v>900</v>
      </c>
      <c r="CF530" s="547" t="e">
        <v>#VALUE!</v>
      </c>
      <c r="CJ530" s="557" t="s">
        <v>1448</v>
      </c>
      <c r="CK530" s="557" t="s">
        <v>1447</v>
      </c>
      <c r="CL530" s="557" t="s">
        <v>1448</v>
      </c>
      <c r="CN530" s="557" t="s">
        <v>1447</v>
      </c>
      <c r="CO530" s="557" t="s">
        <v>1447</v>
      </c>
      <c r="CP530" s="557" t="s">
        <v>1447</v>
      </c>
      <c r="CQ530" s="557" t="s">
        <v>1447</v>
      </c>
      <c r="CS530" s="558">
        <v>0</v>
      </c>
      <c r="CT530" s="559">
        <v>0</v>
      </c>
      <c r="CU530" s="559">
        <v>0.95</v>
      </c>
      <c r="CV530" s="560">
        <v>0.95</v>
      </c>
    </row>
    <row r="531" spans="1:100" s="48" customFormat="1" outlineLevel="1" x14ac:dyDescent="0.3">
      <c r="A531" s="202">
        <v>138785000</v>
      </c>
      <c r="B531" s="48">
        <v>400838</v>
      </c>
      <c r="C531" s="48">
        <v>91131</v>
      </c>
      <c r="D531" s="48" t="s">
        <v>1548</v>
      </c>
      <c r="E531" s="48" t="s">
        <v>3</v>
      </c>
      <c r="F531" s="48" t="s">
        <v>1498</v>
      </c>
      <c r="G531" s="48" t="s">
        <v>1502</v>
      </c>
      <c r="H531" s="48" t="s">
        <v>1516</v>
      </c>
      <c r="O531" s="454" t="s">
        <v>900</v>
      </c>
      <c r="P531" s="455" t="s">
        <v>900</v>
      </c>
      <c r="Q531" s="347" t="s">
        <v>900</v>
      </c>
      <c r="R531" s="455">
        <v>179</v>
      </c>
      <c r="S531" s="457">
        <v>64</v>
      </c>
      <c r="T531" s="455"/>
      <c r="U531" s="454">
        <v>179</v>
      </c>
      <c r="V531" s="455">
        <v>29.036333919925124</v>
      </c>
      <c r="W531" s="230">
        <v>0.16221415597723532</v>
      </c>
      <c r="X531" s="264" t="s">
        <v>900</v>
      </c>
      <c r="Y531" s="265" t="s">
        <v>900</v>
      </c>
      <c r="Z531" s="265" t="s">
        <v>900</v>
      </c>
      <c r="AA531" s="265" t="s">
        <v>900</v>
      </c>
      <c r="AB531" s="266" t="s">
        <v>900</v>
      </c>
      <c r="AC531" s="265">
        <v>14268.300340882777</v>
      </c>
      <c r="AD531" s="265">
        <v>3381.3049220183125</v>
      </c>
      <c r="AE531" s="265">
        <v>5989.7089840350418</v>
      </c>
      <c r="AF531" s="266">
        <v>4886.1055836121332</v>
      </c>
      <c r="AG531" s="265">
        <v>14268.300340882777</v>
      </c>
      <c r="AH531" s="265">
        <v>3381.3049220183125</v>
      </c>
      <c r="AI531" s="265">
        <v>5989.7089840350418</v>
      </c>
      <c r="AJ531" s="266">
        <v>4886.1055836121332</v>
      </c>
      <c r="AK531" s="265">
        <v>14338.367887199613</v>
      </c>
      <c r="AL531" s="265">
        <v>3815.9176219458382</v>
      </c>
      <c r="AM531" s="265">
        <v>6019.1227335102139</v>
      </c>
      <c r="AN531" s="265">
        <v>4910.0998521030861</v>
      </c>
      <c r="AO531" s="266">
        <v>29083.508094758748</v>
      </c>
      <c r="AP531" s="203"/>
      <c r="AQ531" s="264">
        <v>14120.581931889417</v>
      </c>
      <c r="AR531" s="265">
        <v>3694.7518194432582</v>
      </c>
      <c r="AS531" s="265">
        <v>5935.7549931957192</v>
      </c>
      <c r="AT531" s="265">
        <v>4712.8518517788279</v>
      </c>
      <c r="AU531" s="266">
        <v>28463.940596307224</v>
      </c>
      <c r="AV531" s="203"/>
      <c r="AW531" s="324">
        <v>20190.336784507563</v>
      </c>
      <c r="AX531" s="203"/>
      <c r="AY531" s="377">
        <v>0</v>
      </c>
      <c r="AZ531" s="265">
        <v>2685.2061432477749</v>
      </c>
      <c r="BA531" s="265">
        <v>25778.734453059449</v>
      </c>
      <c r="BB531" s="265">
        <v>252.31912381915313</v>
      </c>
      <c r="BC531" s="266">
        <v>25526.415329240295</v>
      </c>
      <c r="BD531" s="264">
        <v>255.26415329240297</v>
      </c>
      <c r="BE531" s="265">
        <v>25271.151175947893</v>
      </c>
      <c r="BF531" s="357">
        <v>1.2516458465090556</v>
      </c>
      <c r="BG531" s="203"/>
      <c r="BJ531" s="458">
        <v>1.2516458465090556</v>
      </c>
      <c r="BK531" s="210"/>
      <c r="BL531" s="458"/>
      <c r="BM531" s="458"/>
      <c r="BN531" s="458"/>
      <c r="BQ531" s="203">
        <v>25232.00765817213</v>
      </c>
      <c r="BR531" s="458">
        <v>1.2497071211577382</v>
      </c>
      <c r="BT531" s="459" t="s">
        <v>900</v>
      </c>
      <c r="BU531" s="460" t="s">
        <v>900</v>
      </c>
      <c r="BV531" s="461">
        <v>25271.151175947893</v>
      </c>
      <c r="BX531" s="462">
        <v>-2717.2338109183365</v>
      </c>
      <c r="BY531" s="463">
        <v>-9.9868862832523109E-2</v>
      </c>
      <c r="BZ531" s="461">
        <v>-93.580471226559837</v>
      </c>
      <c r="CB531" s="203" t="s">
        <v>900</v>
      </c>
      <c r="CC531" s="203">
        <v>642.77148725609311</v>
      </c>
      <c r="CD531" s="203" t="e">
        <v>#VALUE!</v>
      </c>
      <c r="CE531" s="203" t="s">
        <v>900</v>
      </c>
      <c r="CF531" s="203" t="e">
        <v>#VALUE!</v>
      </c>
      <c r="CH531" s="199"/>
      <c r="CJ531" s="464" t="s">
        <v>1448</v>
      </c>
      <c r="CK531" s="464" t="s">
        <v>1447</v>
      </c>
      <c r="CL531" s="464" t="s">
        <v>1448</v>
      </c>
      <c r="CN531" s="464" t="s">
        <v>1447</v>
      </c>
      <c r="CO531" s="464" t="s">
        <v>1447</v>
      </c>
      <c r="CP531" s="464" t="s">
        <v>1447</v>
      </c>
      <c r="CQ531" s="464" t="s">
        <v>1447</v>
      </c>
      <c r="CS531" s="465">
        <v>0</v>
      </c>
      <c r="CT531" s="466">
        <v>0.9</v>
      </c>
      <c r="CU531" s="466">
        <v>0</v>
      </c>
      <c r="CV531" s="467">
        <v>0.9</v>
      </c>
    </row>
    <row r="532" spans="1:100" s="48" customFormat="1" outlineLevel="1" x14ac:dyDescent="0.3">
      <c r="A532" s="202">
        <v>138714000</v>
      </c>
      <c r="B532" s="48">
        <v>400439</v>
      </c>
      <c r="C532" s="48">
        <v>88321</v>
      </c>
      <c r="D532" s="48" t="s">
        <v>129</v>
      </c>
      <c r="E532" s="48" t="s">
        <v>3</v>
      </c>
      <c r="F532" s="48" t="s">
        <v>1498</v>
      </c>
      <c r="G532" s="48" t="s">
        <v>1499</v>
      </c>
      <c r="H532" s="48" t="s">
        <v>1517</v>
      </c>
      <c r="O532" s="454" t="s">
        <v>900</v>
      </c>
      <c r="P532" s="455" t="s">
        <v>900</v>
      </c>
      <c r="Q532" s="347" t="s">
        <v>900</v>
      </c>
      <c r="R532" s="455">
        <v>176</v>
      </c>
      <c r="S532" s="457">
        <v>148</v>
      </c>
      <c r="T532" s="455"/>
      <c r="U532" s="454">
        <v>176</v>
      </c>
      <c r="V532" s="455">
        <v>67.146522189826854</v>
      </c>
      <c r="W532" s="230">
        <v>0.38151433062401624</v>
      </c>
      <c r="X532" s="264" t="s">
        <v>900</v>
      </c>
      <c r="Y532" s="265" t="s">
        <v>900</v>
      </c>
      <c r="Z532" s="265" t="s">
        <v>900</v>
      </c>
      <c r="AA532" s="265" t="s">
        <v>900</v>
      </c>
      <c r="AB532" s="266" t="s">
        <v>900</v>
      </c>
      <c r="AC532" s="265">
        <v>32995.44453829142</v>
      </c>
      <c r="AD532" s="265">
        <v>7819.267632167348</v>
      </c>
      <c r="AE532" s="265">
        <v>13851.202025581035</v>
      </c>
      <c r="AF532" s="266">
        <v>11299.119162103059</v>
      </c>
      <c r="AG532" s="265">
        <v>32995.44453829142</v>
      </c>
      <c r="AH532" s="265">
        <v>7819.267632167348</v>
      </c>
      <c r="AI532" s="265">
        <v>13851.202025581035</v>
      </c>
      <c r="AJ532" s="266">
        <v>11299.119162103059</v>
      </c>
      <c r="AK532" s="265">
        <v>33065.512084608257</v>
      </c>
      <c r="AL532" s="265">
        <v>8253.8803320948737</v>
      </c>
      <c r="AM532" s="265">
        <v>13880.615775056207</v>
      </c>
      <c r="AN532" s="265">
        <v>11323.113430594012</v>
      </c>
      <c r="AO532" s="266">
        <v>66523.121622353341</v>
      </c>
      <c r="AP532" s="203"/>
      <c r="AQ532" s="264">
        <v>32563.278902015973</v>
      </c>
      <c r="AR532" s="265">
        <v>7991.7970972664016</v>
      </c>
      <c r="AS532" s="265">
        <v>13688.362580932466</v>
      </c>
      <c r="AT532" s="265">
        <v>10868.242542240734</v>
      </c>
      <c r="AU532" s="266">
        <v>65111.681122455571</v>
      </c>
      <c r="AV532" s="203"/>
      <c r="AW532" s="324">
        <v>50512.597120615239</v>
      </c>
      <c r="AX532" s="203"/>
      <c r="AY532" s="377">
        <v>0</v>
      </c>
      <c r="AZ532" s="265">
        <v>6142.4483920504936</v>
      </c>
      <c r="BA532" s="265">
        <v>58969.232730405078</v>
      </c>
      <c r="BB532" s="265">
        <v>577.18369231495285</v>
      </c>
      <c r="BC532" s="266">
        <v>58392.049038090125</v>
      </c>
      <c r="BD532" s="264">
        <v>583.92049038090124</v>
      </c>
      <c r="BE532" s="265">
        <v>57808.128547709224</v>
      </c>
      <c r="BF532" s="357">
        <v>1.1444299411030783</v>
      </c>
      <c r="BG532" s="203"/>
      <c r="BJ532" s="458">
        <v>1.1444299411030783</v>
      </c>
      <c r="BK532" s="210"/>
      <c r="BL532" s="458"/>
      <c r="BM532" s="458"/>
      <c r="BN532" s="458"/>
      <c r="BQ532" s="203">
        <v>57718.587177328576</v>
      </c>
      <c r="BR532" s="458">
        <v>1.1426572868448379</v>
      </c>
      <c r="BT532" s="459" t="s">
        <v>900</v>
      </c>
      <c r="BU532" s="460" t="s">
        <v>900</v>
      </c>
      <c r="BV532" s="461">
        <v>57808.128547709224</v>
      </c>
      <c r="BX532" s="462">
        <v>-5356.0171565649143</v>
      </c>
      <c r="BY532" s="463">
        <v>-8.5579377348249247E-2</v>
      </c>
      <c r="BZ532" s="461">
        <v>-79.766114191635481</v>
      </c>
      <c r="CB532" s="203" t="s">
        <v>900</v>
      </c>
      <c r="CC532" s="203">
        <v>1244.3759240007441</v>
      </c>
      <c r="CD532" s="203" t="e">
        <v>#VALUE!</v>
      </c>
      <c r="CE532" s="203" t="s">
        <v>900</v>
      </c>
      <c r="CF532" s="203" t="e">
        <v>#VALUE!</v>
      </c>
      <c r="CH532" s="199"/>
      <c r="CJ532" s="464" t="s">
        <v>1448</v>
      </c>
      <c r="CK532" s="464" t="s">
        <v>1447</v>
      </c>
      <c r="CL532" s="464" t="s">
        <v>1448</v>
      </c>
      <c r="CN532" s="464" t="s">
        <v>1447</v>
      </c>
      <c r="CO532" s="464" t="s">
        <v>1447</v>
      </c>
      <c r="CP532" s="464" t="s">
        <v>1447</v>
      </c>
      <c r="CQ532" s="464" t="s">
        <v>1447</v>
      </c>
      <c r="CS532" s="465">
        <v>0</v>
      </c>
      <c r="CT532" s="466">
        <v>0</v>
      </c>
      <c r="CU532" s="466">
        <v>0.95</v>
      </c>
      <c r="CV532" s="467">
        <v>0.95</v>
      </c>
    </row>
    <row r="533" spans="1:100" s="48" customFormat="1" outlineLevel="1" x14ac:dyDescent="0.3">
      <c r="A533" s="202">
        <v>138705000</v>
      </c>
      <c r="B533" s="48">
        <v>400641</v>
      </c>
      <c r="C533" s="48">
        <v>81052</v>
      </c>
      <c r="D533" s="48" t="s">
        <v>148</v>
      </c>
      <c r="E533" s="48" t="s">
        <v>3</v>
      </c>
      <c r="F533" s="48" t="s">
        <v>1498</v>
      </c>
      <c r="G533" s="48" t="s">
        <v>1499</v>
      </c>
      <c r="H533" s="48" t="s">
        <v>1526</v>
      </c>
      <c r="O533" s="454" t="s">
        <v>900</v>
      </c>
      <c r="P533" s="455" t="s">
        <v>900</v>
      </c>
      <c r="Q533" s="347" t="s">
        <v>900</v>
      </c>
      <c r="R533" s="455">
        <v>514</v>
      </c>
      <c r="S533" s="457">
        <v>427</v>
      </c>
      <c r="T533" s="455"/>
      <c r="U533" s="454">
        <v>514</v>
      </c>
      <c r="V533" s="455">
        <v>193.72679037200044</v>
      </c>
      <c r="W533" s="230">
        <v>0.37690037037354168</v>
      </c>
      <c r="X533" s="264" t="s">
        <v>900</v>
      </c>
      <c r="Y533" s="265" t="s">
        <v>900</v>
      </c>
      <c r="Z533" s="265" t="s">
        <v>900</v>
      </c>
      <c r="AA533" s="265" t="s">
        <v>900</v>
      </c>
      <c r="AB533" s="266" t="s">
        <v>900</v>
      </c>
      <c r="AC533" s="265">
        <v>95196.31633682728</v>
      </c>
      <c r="AD533" s="265">
        <v>22559.643776590929</v>
      </c>
      <c r="AE533" s="265">
        <v>39962.589627858797</v>
      </c>
      <c r="AF533" s="266">
        <v>32599.485690662204</v>
      </c>
      <c r="AG533" s="265">
        <v>95196.31633682728</v>
      </c>
      <c r="AH533" s="265">
        <v>22559.643776590929</v>
      </c>
      <c r="AI533" s="265">
        <v>39962.589627858797</v>
      </c>
      <c r="AJ533" s="266">
        <v>32599.485690662204</v>
      </c>
      <c r="AK533" s="265">
        <v>95266.38388314411</v>
      </c>
      <c r="AL533" s="265">
        <v>22994.256476518454</v>
      </c>
      <c r="AM533" s="265">
        <v>39992.003377333967</v>
      </c>
      <c r="AN533" s="265">
        <v>32623.479959153156</v>
      </c>
      <c r="AO533" s="266">
        <v>190876.12369614968</v>
      </c>
      <c r="AP533" s="203"/>
      <c r="AQ533" s="264">
        <v>243188.89340047602</v>
      </c>
      <c r="AR533" s="265">
        <v>46519.242813322155</v>
      </c>
      <c r="AS533" s="265">
        <v>122003.37382532722</v>
      </c>
      <c r="AT533" s="265">
        <v>114490.96272565695</v>
      </c>
      <c r="AU533" s="266">
        <v>526202.47276478237</v>
      </c>
      <c r="AV533" s="203"/>
      <c r="AW533" s="324">
        <v>565334.93349879538</v>
      </c>
      <c r="AX533" s="203"/>
      <c r="AY533" s="377">
        <v>0</v>
      </c>
      <c r="AZ533" s="265">
        <v>0</v>
      </c>
      <c r="BA533" s="265">
        <v>526202.47276478237</v>
      </c>
      <c r="BB533" s="265">
        <v>5150.405933279796</v>
      </c>
      <c r="BC533" s="266">
        <v>521052.0668315026</v>
      </c>
      <c r="BD533" s="264">
        <v>5210.5206683150263</v>
      </c>
      <c r="BE533" s="265">
        <v>515841.5461631876</v>
      </c>
      <c r="BF533" s="357">
        <v>0.91245298246598938</v>
      </c>
      <c r="BG533" s="203"/>
      <c r="BJ533" s="458">
        <v>0.91245298246598938</v>
      </c>
      <c r="BK533" s="210"/>
      <c r="BL533" s="458"/>
      <c r="BM533" s="458"/>
      <c r="BN533" s="458"/>
      <c r="BQ533" s="203">
        <v>515042.53813260235</v>
      </c>
      <c r="BR533" s="458">
        <v>0.91103964678966687</v>
      </c>
      <c r="BT533" s="459" t="s">
        <v>900</v>
      </c>
      <c r="BU533" s="460" t="s">
        <v>900</v>
      </c>
      <c r="BV533" s="461">
        <v>515841.5461631876</v>
      </c>
      <c r="BX533" s="462">
        <v>328343.71035817976</v>
      </c>
      <c r="BY533" s="463">
        <v>1.750303691088551</v>
      </c>
      <c r="BZ533" s="461">
        <v>1694.8802472166269</v>
      </c>
      <c r="CB533" s="203" t="s">
        <v>900</v>
      </c>
      <c r="CC533" s="203">
        <v>3596.5159161738893</v>
      </c>
      <c r="CD533" s="203" t="e">
        <v>#VALUE!</v>
      </c>
      <c r="CE533" s="203" t="s">
        <v>900</v>
      </c>
      <c r="CF533" s="203" t="e">
        <v>#VALUE!</v>
      </c>
      <c r="CH533" s="199"/>
      <c r="CJ533" s="464" t="s">
        <v>1448</v>
      </c>
      <c r="CK533" s="464" t="s">
        <v>1447</v>
      </c>
      <c r="CL533" s="464" t="s">
        <v>1448</v>
      </c>
      <c r="CN533" s="464" t="s">
        <v>1447</v>
      </c>
      <c r="CO533" s="464" t="s">
        <v>1447</v>
      </c>
      <c r="CP533" s="464" t="s">
        <v>1447</v>
      </c>
      <c r="CQ533" s="464" t="s">
        <v>1447</v>
      </c>
      <c r="CS533" s="465">
        <v>0</v>
      </c>
      <c r="CT533" s="466">
        <v>0</v>
      </c>
      <c r="CU533" s="466">
        <v>0.95</v>
      </c>
      <c r="CV533" s="467">
        <v>0.95</v>
      </c>
    </row>
    <row r="534" spans="1:100" s="48" customFormat="1" outlineLevel="1" x14ac:dyDescent="0.3">
      <c r="A534" s="202">
        <v>138751000</v>
      </c>
      <c r="B534" s="48">
        <v>400092</v>
      </c>
      <c r="C534" s="48">
        <v>4495</v>
      </c>
      <c r="D534" s="48" t="s">
        <v>173</v>
      </c>
      <c r="E534" s="48" t="s">
        <v>3</v>
      </c>
      <c r="F534" s="48" t="s">
        <v>1498</v>
      </c>
      <c r="G534" s="48" t="s">
        <v>1502</v>
      </c>
      <c r="H534" s="48" t="s">
        <v>1517</v>
      </c>
      <c r="O534" s="454" t="s">
        <v>900</v>
      </c>
      <c r="P534" s="455" t="s">
        <v>900</v>
      </c>
      <c r="Q534" s="347" t="s">
        <v>900</v>
      </c>
      <c r="R534" s="455">
        <v>474</v>
      </c>
      <c r="S534" s="457">
        <v>242</v>
      </c>
      <c r="T534" s="455"/>
      <c r="U534" s="454">
        <v>474</v>
      </c>
      <c r="V534" s="455">
        <v>109.79363763471687</v>
      </c>
      <c r="W534" s="230">
        <v>0.23163214690868539</v>
      </c>
      <c r="X534" s="264" t="s">
        <v>900</v>
      </c>
      <c r="Y534" s="265" t="s">
        <v>900</v>
      </c>
      <c r="Z534" s="265" t="s">
        <v>900</v>
      </c>
      <c r="AA534" s="265" t="s">
        <v>900</v>
      </c>
      <c r="AB534" s="266" t="s">
        <v>900</v>
      </c>
      <c r="AC534" s="265">
        <v>53952.010663962996</v>
      </c>
      <c r="AD534" s="265">
        <v>12785.559236381745</v>
      </c>
      <c r="AE534" s="265">
        <v>22648.587095882503</v>
      </c>
      <c r="AF534" s="266">
        <v>18475.58673803338</v>
      </c>
      <c r="AG534" s="265">
        <v>53952.010663962996</v>
      </c>
      <c r="AH534" s="265">
        <v>12785.559236381745</v>
      </c>
      <c r="AI534" s="265">
        <v>22648.587095882503</v>
      </c>
      <c r="AJ534" s="266">
        <v>18475.58673803338</v>
      </c>
      <c r="AK534" s="265">
        <v>54022.078210279833</v>
      </c>
      <c r="AL534" s="265">
        <v>13220.171936309271</v>
      </c>
      <c r="AM534" s="265">
        <v>22678.000845357674</v>
      </c>
      <c r="AN534" s="265">
        <v>18499.581006524331</v>
      </c>
      <c r="AO534" s="266">
        <v>108419.8319984711</v>
      </c>
      <c r="AP534" s="203"/>
      <c r="AQ534" s="264">
        <v>71888.589320137049</v>
      </c>
      <c r="AR534" s="265">
        <v>16310.670914016157</v>
      </c>
      <c r="AS534" s="265">
        <v>29945.440351557292</v>
      </c>
      <c r="AT534" s="265">
        <v>25538.558809285358</v>
      </c>
      <c r="AU534" s="266">
        <v>143683.25939499587</v>
      </c>
      <c r="AV534" s="203"/>
      <c r="AW534" s="324">
        <v>149236.37790442409</v>
      </c>
      <c r="AX534" s="203"/>
      <c r="AY534" s="377">
        <v>0</v>
      </c>
      <c r="AZ534" s="265">
        <v>0</v>
      </c>
      <c r="BA534" s="265">
        <v>143683.25939499587</v>
      </c>
      <c r="BB534" s="265">
        <v>1406.3543027700025</v>
      </c>
      <c r="BC534" s="266">
        <v>142276.90509222588</v>
      </c>
      <c r="BD534" s="264">
        <v>1422.7690509222589</v>
      </c>
      <c r="BE534" s="265">
        <v>140854.13604130363</v>
      </c>
      <c r="BF534" s="357">
        <v>0.94383244902600938</v>
      </c>
      <c r="BG534" s="203"/>
      <c r="BJ534" s="458">
        <v>0.94383244902600938</v>
      </c>
      <c r="BK534" s="210"/>
      <c r="BL534" s="458"/>
      <c r="BM534" s="458"/>
      <c r="BN534" s="458"/>
      <c r="BQ534" s="203">
        <v>140635.9613194821</v>
      </c>
      <c r="BR534" s="458">
        <v>0.94237050841283498</v>
      </c>
      <c r="BT534" s="459" t="s">
        <v>900</v>
      </c>
      <c r="BU534" s="460" t="s">
        <v>900</v>
      </c>
      <c r="BV534" s="461">
        <v>140854.13604130363</v>
      </c>
      <c r="BX534" s="462">
        <v>34054.660017055488</v>
      </c>
      <c r="BY534" s="463">
        <v>0.31996763012615659</v>
      </c>
      <c r="BZ534" s="461">
        <v>310.16970336983684</v>
      </c>
      <c r="CB534" s="203">
        <v>3947</v>
      </c>
      <c r="CC534" s="203">
        <v>6171.1443678851847</v>
      </c>
      <c r="CD534" s="203" t="e">
        <v>#VALUE!</v>
      </c>
      <c r="CE534" s="203" t="s">
        <v>900</v>
      </c>
      <c r="CF534" s="203" t="e">
        <v>#VALUE!</v>
      </c>
      <c r="CH534" s="199"/>
      <c r="CJ534" s="464" t="s">
        <v>1448</v>
      </c>
      <c r="CK534" s="464" t="s">
        <v>1447</v>
      </c>
      <c r="CL534" s="464" t="s">
        <v>1448</v>
      </c>
      <c r="CN534" s="464" t="s">
        <v>1447</v>
      </c>
      <c r="CO534" s="464" t="s">
        <v>1447</v>
      </c>
      <c r="CP534" s="464" t="s">
        <v>1447</v>
      </c>
      <c r="CQ534" s="464" t="s">
        <v>1447</v>
      </c>
      <c r="CS534" s="465">
        <v>0</v>
      </c>
      <c r="CT534" s="466">
        <v>0.9</v>
      </c>
      <c r="CU534" s="466">
        <v>0</v>
      </c>
      <c r="CV534" s="467">
        <v>0.9</v>
      </c>
    </row>
    <row r="535" spans="1:100" s="48" customFormat="1" outlineLevel="1" x14ac:dyDescent="0.3">
      <c r="A535" s="202">
        <v>138759000</v>
      </c>
      <c r="B535" s="48">
        <v>400267</v>
      </c>
      <c r="C535" s="48">
        <v>79065</v>
      </c>
      <c r="D535" s="48" t="s">
        <v>1549</v>
      </c>
      <c r="E535" s="48" t="s">
        <v>3</v>
      </c>
      <c r="F535" s="48" t="s">
        <v>1503</v>
      </c>
      <c r="G535" s="48" t="s">
        <v>1502</v>
      </c>
      <c r="H535" s="48" t="s">
        <v>1517</v>
      </c>
      <c r="O535" s="454" t="s">
        <v>900</v>
      </c>
      <c r="P535" s="455" t="s">
        <v>900</v>
      </c>
      <c r="Q535" s="347" t="s">
        <v>900</v>
      </c>
      <c r="R535" s="455">
        <v>24</v>
      </c>
      <c r="S535" s="457">
        <v>11</v>
      </c>
      <c r="T535" s="455"/>
      <c r="U535" s="454">
        <v>24</v>
      </c>
      <c r="V535" s="455">
        <v>4.990619892487131</v>
      </c>
      <c r="W535" s="230">
        <v>0.20794249552029712</v>
      </c>
      <c r="X535" s="264" t="s">
        <v>900</v>
      </c>
      <c r="Y535" s="265" t="s">
        <v>900</v>
      </c>
      <c r="Z535" s="265" t="s">
        <v>900</v>
      </c>
      <c r="AA535" s="265" t="s">
        <v>900</v>
      </c>
      <c r="AB535" s="266" t="s">
        <v>900</v>
      </c>
      <c r="AC535" s="265">
        <v>2452.3641210892274</v>
      </c>
      <c r="AD535" s="265">
        <v>581.16178347189748</v>
      </c>
      <c r="AE535" s="265">
        <v>1029.4812316310229</v>
      </c>
      <c r="AF535" s="266">
        <v>839.79939718333549</v>
      </c>
      <c r="AG535" s="265" t="s">
        <v>900</v>
      </c>
      <c r="AH535" s="265" t="s">
        <v>900</v>
      </c>
      <c r="AI535" s="265" t="s">
        <v>900</v>
      </c>
      <c r="AJ535" s="266" t="s">
        <v>900</v>
      </c>
      <c r="AK535" s="265" t="s">
        <v>900</v>
      </c>
      <c r="AL535" s="265" t="s">
        <v>900</v>
      </c>
      <c r="AM535" s="265" t="s">
        <v>900</v>
      </c>
      <c r="AN535" s="265" t="s">
        <v>900</v>
      </c>
      <c r="AO535" s="266">
        <v>0</v>
      </c>
      <c r="AP535" s="203"/>
      <c r="AQ535" s="264">
        <v>0</v>
      </c>
      <c r="AR535" s="265">
        <v>2083.7683121619589</v>
      </c>
      <c r="AS535" s="265">
        <v>0</v>
      </c>
      <c r="AT535" s="265">
        <v>0</v>
      </c>
      <c r="AU535" s="266">
        <v>2083.7683121619589</v>
      </c>
      <c r="AV535" s="203"/>
      <c r="AW535" s="324">
        <v>2292.4860951065489</v>
      </c>
      <c r="AX535" s="203"/>
      <c r="AY535" s="377">
        <v>0</v>
      </c>
      <c r="AZ535" s="265">
        <v>0</v>
      </c>
      <c r="BA535" s="265">
        <v>2083.7683121619589</v>
      </c>
      <c r="BB535" s="265">
        <v>20.395671312887959</v>
      </c>
      <c r="BC535" s="266">
        <v>2063.3726408490711</v>
      </c>
      <c r="BD535" s="264">
        <v>20.633726408490713</v>
      </c>
      <c r="BE535" s="265">
        <v>2042.7389144405804</v>
      </c>
      <c r="BF535" s="357">
        <v>0.89105836619944212</v>
      </c>
      <c r="BG535" s="203"/>
      <c r="BJ535" s="458">
        <v>0.89105836619944212</v>
      </c>
      <c r="BK535" s="210"/>
      <c r="BL535" s="458"/>
      <c r="BM535" s="458"/>
      <c r="BN535" s="458"/>
      <c r="BQ535" s="203">
        <v>2039.5748327391996</v>
      </c>
      <c r="BR535" s="458">
        <v>0.88967816951771106</v>
      </c>
      <c r="BT535" s="459">
        <v>-5.0327292306876767</v>
      </c>
      <c r="BU535" s="460">
        <v>-102.80551845368322</v>
      </c>
      <c r="BV535" s="461">
        <v>1939.9333959868973</v>
      </c>
      <c r="BX535" s="462">
        <v>1939.9333959868973</v>
      </c>
      <c r="BY535" s="463" t="s">
        <v>900</v>
      </c>
      <c r="BZ535" s="461">
        <v>388.71591861910161</v>
      </c>
      <c r="CB535" s="203">
        <v>1859</v>
      </c>
      <c r="CC535" s="203">
        <v>1962.5942670408569</v>
      </c>
      <c r="CD535" s="203" t="e">
        <v>#VALUE!</v>
      </c>
      <c r="CE535" s="203" t="e">
        <v>#VALUE!</v>
      </c>
      <c r="CF535" s="203" t="e">
        <v>#VALUE!</v>
      </c>
      <c r="CH535" s="199"/>
      <c r="CJ535" s="464" t="s">
        <v>1448</v>
      </c>
      <c r="CK535" s="464" t="s">
        <v>1447</v>
      </c>
      <c r="CL535" s="464" t="s">
        <v>1448</v>
      </c>
      <c r="CN535" s="464" t="s">
        <v>1448</v>
      </c>
      <c r="CO535" s="464" t="s">
        <v>1448</v>
      </c>
      <c r="CP535" s="464" t="s">
        <v>1448</v>
      </c>
      <c r="CQ535" s="464" t="s">
        <v>1448</v>
      </c>
      <c r="CS535" s="465">
        <v>0</v>
      </c>
      <c r="CT535" s="466">
        <v>0.9</v>
      </c>
      <c r="CU535" s="466">
        <v>0</v>
      </c>
      <c r="CV535" s="467">
        <v>0.9</v>
      </c>
    </row>
    <row r="536" spans="1:100" s="48" customFormat="1" outlineLevel="1" x14ac:dyDescent="0.3">
      <c r="A536" s="202">
        <v>138503000</v>
      </c>
      <c r="B536" s="48">
        <v>400844</v>
      </c>
      <c r="C536" s="48">
        <v>90900</v>
      </c>
      <c r="D536" s="48" t="s">
        <v>245</v>
      </c>
      <c r="E536" s="48" t="s">
        <v>3</v>
      </c>
      <c r="F536" s="48" t="s">
        <v>1503</v>
      </c>
      <c r="G536" s="48" t="s">
        <v>1502</v>
      </c>
      <c r="H536" s="48" t="s">
        <v>1517</v>
      </c>
      <c r="O536" s="454" t="s">
        <v>900</v>
      </c>
      <c r="P536" s="455" t="s">
        <v>900</v>
      </c>
      <c r="Q536" s="347" t="s">
        <v>900</v>
      </c>
      <c r="R536" s="455">
        <v>101</v>
      </c>
      <c r="S536" s="457">
        <v>42</v>
      </c>
      <c r="T536" s="455"/>
      <c r="U536" s="454">
        <v>101</v>
      </c>
      <c r="V536" s="455">
        <v>19.055094134950863</v>
      </c>
      <c r="W536" s="230">
        <v>0.18866429836585014</v>
      </c>
      <c r="X536" s="264" t="s">
        <v>900</v>
      </c>
      <c r="Y536" s="265" t="s">
        <v>900</v>
      </c>
      <c r="Z536" s="265" t="s">
        <v>900</v>
      </c>
      <c r="AA536" s="265" t="s">
        <v>900</v>
      </c>
      <c r="AB536" s="266" t="s">
        <v>900</v>
      </c>
      <c r="AC536" s="265">
        <v>9363.5720987043223</v>
      </c>
      <c r="AD536" s="265">
        <v>2218.9813550745175</v>
      </c>
      <c r="AE536" s="265">
        <v>3930.7465207729965</v>
      </c>
      <c r="AF536" s="266">
        <v>3206.5067892454626</v>
      </c>
      <c r="AG536" s="265">
        <v>9363.5720987043223</v>
      </c>
      <c r="AH536" s="265">
        <v>2218.9813550745175</v>
      </c>
      <c r="AI536" s="265">
        <v>3930.7465207729965</v>
      </c>
      <c r="AJ536" s="266">
        <v>3206.5067892454626</v>
      </c>
      <c r="AK536" s="265">
        <v>9433.6396450211578</v>
      </c>
      <c r="AL536" s="265">
        <v>2653.5940550020432</v>
      </c>
      <c r="AM536" s="265">
        <v>3960.1602702481682</v>
      </c>
      <c r="AN536" s="265">
        <v>3230.5010577364155</v>
      </c>
      <c r="AO536" s="266">
        <v>19277.895028007784</v>
      </c>
      <c r="AP536" s="203"/>
      <c r="AQ536" s="264">
        <v>9290.3517730467483</v>
      </c>
      <c r="AR536" s="265">
        <v>2569.3351990610067</v>
      </c>
      <c r="AS536" s="265">
        <v>3905.3101487884765</v>
      </c>
      <c r="AT536" s="265">
        <v>3175.2061029613205</v>
      </c>
      <c r="AU536" s="266">
        <v>18940.203223857552</v>
      </c>
      <c r="AV536" s="203"/>
      <c r="AW536" s="324">
        <v>19229.416577944721</v>
      </c>
      <c r="AX536" s="203"/>
      <c r="AY536" s="377">
        <v>0</v>
      </c>
      <c r="AZ536" s="265">
        <v>0</v>
      </c>
      <c r="BA536" s="265">
        <v>18940.203223857552</v>
      </c>
      <c r="BB536" s="265">
        <v>185.38441020456159</v>
      </c>
      <c r="BC536" s="266">
        <v>18754.81881365299</v>
      </c>
      <c r="BD536" s="264">
        <v>187.54818813652989</v>
      </c>
      <c r="BE536" s="265">
        <v>18567.270625516459</v>
      </c>
      <c r="BF536" s="357">
        <v>0.96556598845605568</v>
      </c>
      <c r="BG536" s="203"/>
      <c r="BJ536" s="458">
        <v>0.96556598845605568</v>
      </c>
      <c r="BK536" s="210"/>
      <c r="BL536" s="458"/>
      <c r="BM536" s="458"/>
      <c r="BN536" s="458"/>
      <c r="BQ536" s="203">
        <v>18538.511022017705</v>
      </c>
      <c r="BR536" s="458">
        <v>0.96407038387636501</v>
      </c>
      <c r="BT536" s="459" t="s">
        <v>900</v>
      </c>
      <c r="BU536" s="460" t="s">
        <v>900</v>
      </c>
      <c r="BV536" s="461">
        <v>18567.270625516459</v>
      </c>
      <c r="BX536" s="462">
        <v>-208.41512583818258</v>
      </c>
      <c r="BY536" s="463">
        <v>-1.1600919695660135E-2</v>
      </c>
      <c r="BZ536" s="461">
        <v>-10.937501770505948</v>
      </c>
      <c r="CB536" s="203" t="s">
        <v>900</v>
      </c>
      <c r="CC536" s="203">
        <v>405.06656038900866</v>
      </c>
      <c r="CD536" s="203" t="e">
        <v>#VALUE!</v>
      </c>
      <c r="CE536" s="203" t="s">
        <v>900</v>
      </c>
      <c r="CF536" s="203" t="e">
        <v>#VALUE!</v>
      </c>
      <c r="CH536" s="199"/>
      <c r="CJ536" s="464" t="s">
        <v>1448</v>
      </c>
      <c r="CK536" s="464" t="s">
        <v>1447</v>
      </c>
      <c r="CL536" s="464" t="s">
        <v>1448</v>
      </c>
      <c r="CN536" s="464" t="s">
        <v>1447</v>
      </c>
      <c r="CO536" s="464" t="s">
        <v>1447</v>
      </c>
      <c r="CP536" s="464" t="s">
        <v>1447</v>
      </c>
      <c r="CQ536" s="464" t="s">
        <v>1447</v>
      </c>
      <c r="CS536" s="465">
        <v>0</v>
      </c>
      <c r="CT536" s="466">
        <v>0.9</v>
      </c>
      <c r="CU536" s="466">
        <v>0</v>
      </c>
      <c r="CV536" s="467">
        <v>0.9</v>
      </c>
    </row>
    <row r="537" spans="1:100" s="48" customFormat="1" outlineLevel="1" x14ac:dyDescent="0.3">
      <c r="A537" s="202">
        <v>138712000</v>
      </c>
      <c r="B537" s="48">
        <v>400090</v>
      </c>
      <c r="C537" s="48">
        <v>4493</v>
      </c>
      <c r="D537" s="48" t="s">
        <v>287</v>
      </c>
      <c r="E537" s="48" t="s">
        <v>3</v>
      </c>
      <c r="F537" s="48" t="s">
        <v>1498</v>
      </c>
      <c r="G537" s="48" t="s">
        <v>1499</v>
      </c>
      <c r="H537" s="48" t="s">
        <v>1517</v>
      </c>
      <c r="O537" s="454" t="s">
        <v>900</v>
      </c>
      <c r="P537" s="455" t="s">
        <v>900</v>
      </c>
      <c r="Q537" s="347" t="s">
        <v>900</v>
      </c>
      <c r="R537" s="455">
        <v>175</v>
      </c>
      <c r="S537" s="457">
        <v>117</v>
      </c>
      <c r="T537" s="455"/>
      <c r="U537" s="454">
        <v>175</v>
      </c>
      <c r="V537" s="455">
        <v>53.082047947363115</v>
      </c>
      <c r="W537" s="230">
        <v>0.30332598827064639</v>
      </c>
      <c r="X537" s="264" t="s">
        <v>900</v>
      </c>
      <c r="Y537" s="265" t="s">
        <v>900</v>
      </c>
      <c r="Z537" s="265" t="s">
        <v>900</v>
      </c>
      <c r="AA537" s="265" t="s">
        <v>900</v>
      </c>
      <c r="AB537" s="266" t="s">
        <v>900</v>
      </c>
      <c r="AC537" s="265">
        <v>26084.236560676323</v>
      </c>
      <c r="AD537" s="265">
        <v>6181.4480605647277</v>
      </c>
      <c r="AE537" s="265">
        <v>10949.93673643906</v>
      </c>
      <c r="AF537" s="266">
        <v>8932.4117700409315</v>
      </c>
      <c r="AG537" s="265">
        <v>26084.236560676323</v>
      </c>
      <c r="AH537" s="265">
        <v>6181.4480605647277</v>
      </c>
      <c r="AI537" s="265">
        <v>10949.93673643906</v>
      </c>
      <c r="AJ537" s="266">
        <v>8932.4117700409315</v>
      </c>
      <c r="AK537" s="265">
        <v>26154.304106993157</v>
      </c>
      <c r="AL537" s="265">
        <v>6616.0607604922534</v>
      </c>
      <c r="AM537" s="265">
        <v>10979.350485914232</v>
      </c>
      <c r="AN537" s="265">
        <v>8956.4060385318844</v>
      </c>
      <c r="AO537" s="266">
        <v>52706.121391931534</v>
      </c>
      <c r="AP537" s="203"/>
      <c r="AQ537" s="264">
        <v>30334.726694559427</v>
      </c>
      <c r="AR537" s="265">
        <v>7459.2687447837206</v>
      </c>
      <c r="AS537" s="265">
        <v>12531.182516099276</v>
      </c>
      <c r="AT537" s="265">
        <v>10597.855845448046</v>
      </c>
      <c r="AU537" s="266">
        <v>60923.033800890465</v>
      </c>
      <c r="AV537" s="203"/>
      <c r="AW537" s="324">
        <v>59947.20712554764</v>
      </c>
      <c r="AX537" s="203"/>
      <c r="AY537" s="377">
        <v>0</v>
      </c>
      <c r="AZ537" s="265">
        <v>975.82667534282518</v>
      </c>
      <c r="BA537" s="265">
        <v>59947.20712554764</v>
      </c>
      <c r="BB537" s="265">
        <v>586.7559869886602</v>
      </c>
      <c r="BC537" s="266">
        <v>59360.451138558979</v>
      </c>
      <c r="BD537" s="264">
        <v>593.60451138558983</v>
      </c>
      <c r="BE537" s="265">
        <v>58766.846627173392</v>
      </c>
      <c r="BF537" s="357">
        <v>0.98031000016560876</v>
      </c>
      <c r="BG537" s="203"/>
      <c r="BJ537" s="458">
        <v>0.98031000016560876</v>
      </c>
      <c r="BK537" s="210"/>
      <c r="BL537" s="458"/>
      <c r="BM537" s="458"/>
      <c r="BN537" s="458"/>
      <c r="BQ537" s="203">
        <v>58675.820259218868</v>
      </c>
      <c r="BR537" s="458">
        <v>0.97879155798424267</v>
      </c>
      <c r="BT537" s="459" t="s">
        <v>900</v>
      </c>
      <c r="BU537" s="460" t="s">
        <v>900</v>
      </c>
      <c r="BV537" s="461">
        <v>58766.846627173392</v>
      </c>
      <c r="BX537" s="462">
        <v>6493.289373708838</v>
      </c>
      <c r="BY537" s="463">
        <v>0.12585559903286503</v>
      </c>
      <c r="BZ537" s="461">
        <v>122.32552482051319</v>
      </c>
      <c r="CB537" s="203">
        <v>4868</v>
      </c>
      <c r="CC537" s="203">
        <v>5888.2118257088641</v>
      </c>
      <c r="CD537" s="203" t="e">
        <v>#VALUE!</v>
      </c>
      <c r="CE537" s="203" t="s">
        <v>900</v>
      </c>
      <c r="CF537" s="203" t="e">
        <v>#VALUE!</v>
      </c>
      <c r="CH537" s="199"/>
      <c r="CJ537" s="464" t="s">
        <v>1448</v>
      </c>
      <c r="CK537" s="464" t="s">
        <v>1447</v>
      </c>
      <c r="CL537" s="464" t="s">
        <v>1448</v>
      </c>
      <c r="CN537" s="464" t="s">
        <v>1447</v>
      </c>
      <c r="CO537" s="464" t="s">
        <v>1447</v>
      </c>
      <c r="CP537" s="464" t="s">
        <v>1447</v>
      </c>
      <c r="CQ537" s="464" t="s">
        <v>1447</v>
      </c>
      <c r="CS537" s="465">
        <v>0</v>
      </c>
      <c r="CT537" s="466">
        <v>0</v>
      </c>
      <c r="CU537" s="466">
        <v>0.95</v>
      </c>
      <c r="CV537" s="467">
        <v>0.95</v>
      </c>
    </row>
    <row r="538" spans="1:100" s="48" customFormat="1" outlineLevel="1" x14ac:dyDescent="0.3">
      <c r="A538" s="202">
        <v>138768000</v>
      </c>
      <c r="B538" s="48">
        <v>400208</v>
      </c>
      <c r="C538" s="48">
        <v>78873</v>
      </c>
      <c r="D538" s="48" t="s">
        <v>298</v>
      </c>
      <c r="E538" s="48" t="s">
        <v>3</v>
      </c>
      <c r="F538" s="48" t="s">
        <v>1498</v>
      </c>
      <c r="G538" s="48" t="s">
        <v>1502</v>
      </c>
      <c r="H538" s="48" t="s">
        <v>1517</v>
      </c>
      <c r="O538" s="454" t="s">
        <v>900</v>
      </c>
      <c r="P538" s="455" t="s">
        <v>900</v>
      </c>
      <c r="Q538" s="347" t="s">
        <v>900</v>
      </c>
      <c r="R538" s="455">
        <v>131</v>
      </c>
      <c r="S538" s="457">
        <v>69</v>
      </c>
      <c r="T538" s="455"/>
      <c r="U538" s="454">
        <v>131</v>
      </c>
      <c r="V538" s="455">
        <v>31.304797507419273</v>
      </c>
      <c r="W538" s="230">
        <v>0.23896791990396393</v>
      </c>
      <c r="X538" s="264" t="s">
        <v>900</v>
      </c>
      <c r="Y538" s="265" t="s">
        <v>900</v>
      </c>
      <c r="Z538" s="265" t="s">
        <v>900</v>
      </c>
      <c r="AA538" s="265" t="s">
        <v>900</v>
      </c>
      <c r="AB538" s="266" t="s">
        <v>900</v>
      </c>
      <c r="AC538" s="265">
        <v>15383.011305014243</v>
      </c>
      <c r="AD538" s="265">
        <v>3645.469369050993</v>
      </c>
      <c r="AE538" s="265">
        <v>6457.6549984127796</v>
      </c>
      <c r="AF538" s="266">
        <v>5267.832582331831</v>
      </c>
      <c r="AG538" s="265">
        <v>15383.011305014243</v>
      </c>
      <c r="AH538" s="265">
        <v>3645.469369050993</v>
      </c>
      <c r="AI538" s="265">
        <v>6457.6549984127796</v>
      </c>
      <c r="AJ538" s="266">
        <v>5267.832582331831</v>
      </c>
      <c r="AK538" s="265">
        <v>15453.078851331078</v>
      </c>
      <c r="AL538" s="265">
        <v>4080.0820689785187</v>
      </c>
      <c r="AM538" s="265">
        <v>6487.0687478879518</v>
      </c>
      <c r="AN538" s="265">
        <v>5291.8268508227839</v>
      </c>
      <c r="AO538" s="266">
        <v>31312.056519020334</v>
      </c>
      <c r="AP538" s="203"/>
      <c r="AQ538" s="264">
        <v>20127.532561789627</v>
      </c>
      <c r="AR538" s="265">
        <v>5042.027885014646</v>
      </c>
      <c r="AS538" s="265">
        <v>8309.8389275860063</v>
      </c>
      <c r="AT538" s="265">
        <v>7026.2295343109918</v>
      </c>
      <c r="AU538" s="266">
        <v>40505.628908701277</v>
      </c>
      <c r="AV538" s="203"/>
      <c r="AW538" s="324">
        <v>42071.103958307329</v>
      </c>
      <c r="AX538" s="203"/>
      <c r="AY538" s="377">
        <v>0</v>
      </c>
      <c r="AZ538" s="265">
        <v>0</v>
      </c>
      <c r="BA538" s="265">
        <v>40505.628908701277</v>
      </c>
      <c r="BB538" s="265">
        <v>396.46417920932129</v>
      </c>
      <c r="BC538" s="266">
        <v>40109.164729491953</v>
      </c>
      <c r="BD538" s="264">
        <v>401.09164729491954</v>
      </c>
      <c r="BE538" s="265">
        <v>39708.073082197036</v>
      </c>
      <c r="BF538" s="357">
        <v>0.94383244902600916</v>
      </c>
      <c r="BG538" s="203"/>
      <c r="BJ538" s="458">
        <v>0.94383244902600916</v>
      </c>
      <c r="BK538" s="210"/>
      <c r="BL538" s="458"/>
      <c r="BM538" s="458"/>
      <c r="BN538" s="458"/>
      <c r="BQ538" s="203">
        <v>39646.567626679302</v>
      </c>
      <c r="BR538" s="458">
        <v>0.94237050841283476</v>
      </c>
      <c r="BT538" s="459" t="s">
        <v>900</v>
      </c>
      <c r="BU538" s="460" t="s">
        <v>900</v>
      </c>
      <c r="BV538" s="461">
        <v>39708.073082197036</v>
      </c>
      <c r="BX538" s="462">
        <v>8372.4686367133654</v>
      </c>
      <c r="BY538" s="463">
        <v>0.27419053069179861</v>
      </c>
      <c r="BZ538" s="461">
        <v>267.45001735689493</v>
      </c>
      <c r="CB538" s="203" t="s">
        <v>900</v>
      </c>
      <c r="CC538" s="203">
        <v>629.9366918961183</v>
      </c>
      <c r="CD538" s="203" t="e">
        <v>#VALUE!</v>
      </c>
      <c r="CE538" s="203" t="s">
        <v>900</v>
      </c>
      <c r="CF538" s="203" t="e">
        <v>#VALUE!</v>
      </c>
      <c r="CH538" s="199"/>
      <c r="CJ538" s="464" t="s">
        <v>1448</v>
      </c>
      <c r="CK538" s="464" t="s">
        <v>1447</v>
      </c>
      <c r="CL538" s="464" t="s">
        <v>1448</v>
      </c>
      <c r="CN538" s="464" t="s">
        <v>1447</v>
      </c>
      <c r="CO538" s="464" t="s">
        <v>1447</v>
      </c>
      <c r="CP538" s="464" t="s">
        <v>1447</v>
      </c>
      <c r="CQ538" s="464" t="s">
        <v>1447</v>
      </c>
      <c r="CS538" s="465">
        <v>0</v>
      </c>
      <c r="CT538" s="466">
        <v>0.9</v>
      </c>
      <c r="CU538" s="466">
        <v>0</v>
      </c>
      <c r="CV538" s="467">
        <v>0.9</v>
      </c>
    </row>
    <row r="539" spans="1:100" s="48" customFormat="1" outlineLevel="1" x14ac:dyDescent="0.3">
      <c r="A539" s="202">
        <v>138654000</v>
      </c>
      <c r="B539" s="48">
        <v>400313</v>
      </c>
      <c r="C539" s="48">
        <v>79234</v>
      </c>
      <c r="D539" s="48" t="s">
        <v>1550</v>
      </c>
      <c r="E539" s="48" t="s">
        <v>3</v>
      </c>
      <c r="F539" s="48" t="s">
        <v>1498</v>
      </c>
      <c r="G539" s="48" t="s">
        <v>1499</v>
      </c>
      <c r="H539" s="48" t="s">
        <v>1510</v>
      </c>
      <c r="O539" s="454" t="s">
        <v>900</v>
      </c>
      <c r="P539" s="455" t="s">
        <v>900</v>
      </c>
      <c r="Q539" s="347" t="s">
        <v>900</v>
      </c>
      <c r="R539" s="455">
        <v>47</v>
      </c>
      <c r="S539" s="457">
        <v>47</v>
      </c>
      <c r="T539" s="455"/>
      <c r="U539" s="454">
        <v>47</v>
      </c>
      <c r="V539" s="455">
        <v>21.323557722445013</v>
      </c>
      <c r="W539" s="230">
        <v>0.45369271749883006</v>
      </c>
      <c r="X539" s="264" t="s">
        <v>900</v>
      </c>
      <c r="Y539" s="265" t="s">
        <v>900</v>
      </c>
      <c r="Z539" s="265" t="s">
        <v>900</v>
      </c>
      <c r="AA539" s="265" t="s">
        <v>900</v>
      </c>
      <c r="AB539" s="266" t="s">
        <v>900</v>
      </c>
      <c r="AC539" s="265">
        <v>10478.28306283579</v>
      </c>
      <c r="AD539" s="265">
        <v>2483.1458021071985</v>
      </c>
      <c r="AE539" s="265">
        <v>4398.6925351507343</v>
      </c>
      <c r="AF539" s="266">
        <v>3588.2337879651604</v>
      </c>
      <c r="AG539" s="265">
        <v>10478.28306283579</v>
      </c>
      <c r="AH539" s="265">
        <v>2483.1458021071985</v>
      </c>
      <c r="AI539" s="265">
        <v>4398.6925351507343</v>
      </c>
      <c r="AJ539" s="266">
        <v>3588.2337879651604</v>
      </c>
      <c r="AK539" s="265">
        <v>10548.350609152625</v>
      </c>
      <c r="AL539" s="265">
        <v>2917.7585020347242</v>
      </c>
      <c r="AM539" s="265">
        <v>4428.1062846259065</v>
      </c>
      <c r="AN539" s="265">
        <v>3612.2280564561133</v>
      </c>
      <c r="AO539" s="266">
        <v>21506.44345226937</v>
      </c>
      <c r="AP539" s="203"/>
      <c r="AQ539" s="264">
        <v>14292.917777690865</v>
      </c>
      <c r="AR539" s="265">
        <v>3318.6449666779749</v>
      </c>
      <c r="AS539" s="265">
        <v>5953.7643012514</v>
      </c>
      <c r="AT539" s="265">
        <v>5077.5863690455099</v>
      </c>
      <c r="AU539" s="266">
        <v>28642.913414665745</v>
      </c>
      <c r="AV539" s="203"/>
      <c r="AW539" s="324">
        <v>29743.808679962844</v>
      </c>
      <c r="AX539" s="203"/>
      <c r="AY539" s="377">
        <v>0</v>
      </c>
      <c r="AZ539" s="265">
        <v>0</v>
      </c>
      <c r="BA539" s="265">
        <v>28642.913414665745</v>
      </c>
      <c r="BB539" s="265">
        <v>280.35335984302372</v>
      </c>
      <c r="BC539" s="266">
        <v>28362.560054822723</v>
      </c>
      <c r="BD539" s="264">
        <v>283.62560054822723</v>
      </c>
      <c r="BE539" s="265">
        <v>28078.934454274495</v>
      </c>
      <c r="BF539" s="357">
        <v>0.94402619235478391</v>
      </c>
      <c r="BG539" s="203"/>
      <c r="BJ539" s="458">
        <v>0.94402619235478391</v>
      </c>
      <c r="BK539" s="210"/>
      <c r="BL539" s="458"/>
      <c r="BM539" s="458"/>
      <c r="BN539" s="458"/>
      <c r="BQ539" s="203">
        <v>28035.441846348447</v>
      </c>
      <c r="BR539" s="458">
        <v>0.94256395164465767</v>
      </c>
      <c r="BT539" s="459" t="s">
        <v>900</v>
      </c>
      <c r="BU539" s="460" t="s">
        <v>900</v>
      </c>
      <c r="BV539" s="461">
        <v>28078.934454274495</v>
      </c>
      <c r="BX539" s="462">
        <v>28078.934454274495</v>
      </c>
      <c r="BY539" s="463">
        <v>1.344540756022172</v>
      </c>
      <c r="BZ539" s="461">
        <v>1316.8034537087976</v>
      </c>
      <c r="CB539" s="203">
        <v>2353</v>
      </c>
      <c r="CC539" s="203">
        <v>2739.1284864719596</v>
      </c>
      <c r="CD539" s="203" t="e">
        <v>#VALUE!</v>
      </c>
      <c r="CE539" s="203" t="s">
        <v>900</v>
      </c>
      <c r="CF539" s="203" t="e">
        <v>#VALUE!</v>
      </c>
      <c r="CH539" s="199"/>
      <c r="CJ539" s="464" t="s">
        <v>1448</v>
      </c>
      <c r="CK539" s="464" t="s">
        <v>1447</v>
      </c>
      <c r="CL539" s="464" t="s">
        <v>1448</v>
      </c>
      <c r="CN539" s="464" t="s">
        <v>1447</v>
      </c>
      <c r="CO539" s="464" t="s">
        <v>1447</v>
      </c>
      <c r="CP539" s="464" t="s">
        <v>1447</v>
      </c>
      <c r="CQ539" s="464" t="s">
        <v>1447</v>
      </c>
      <c r="CS539" s="465">
        <v>0</v>
      </c>
      <c r="CT539" s="466">
        <v>0</v>
      </c>
      <c r="CU539" s="466">
        <v>0.95</v>
      </c>
      <c r="CV539" s="467">
        <v>0.95</v>
      </c>
    </row>
    <row r="540" spans="1:100" s="48" customFormat="1" outlineLevel="1" x14ac:dyDescent="0.3">
      <c r="A540" s="202">
        <v>138755000</v>
      </c>
      <c r="B540" s="48">
        <v>400209</v>
      </c>
      <c r="C540" s="48">
        <v>10970</v>
      </c>
      <c r="D540" s="48" t="s">
        <v>324</v>
      </c>
      <c r="E540" s="48" t="s">
        <v>3</v>
      </c>
      <c r="F540" s="48" t="s">
        <v>1504</v>
      </c>
      <c r="G540" s="48" t="s">
        <v>1502</v>
      </c>
      <c r="H540" s="48" t="s">
        <v>1508</v>
      </c>
      <c r="O540" s="454" t="s">
        <v>900</v>
      </c>
      <c r="P540" s="455" t="s">
        <v>900</v>
      </c>
      <c r="Q540" s="347" t="s">
        <v>900</v>
      </c>
      <c r="R540" s="455">
        <v>214</v>
      </c>
      <c r="S540" s="457">
        <v>125</v>
      </c>
      <c r="T540" s="455"/>
      <c r="U540" s="454">
        <v>214</v>
      </c>
      <c r="V540" s="455">
        <v>56.711589687353758</v>
      </c>
      <c r="W540" s="230">
        <v>0.26500742844557829</v>
      </c>
      <c r="X540" s="264" t="s">
        <v>900</v>
      </c>
      <c r="Y540" s="265" t="s">
        <v>900</v>
      </c>
      <c r="Z540" s="265" t="s">
        <v>900</v>
      </c>
      <c r="AA540" s="265" t="s">
        <v>900</v>
      </c>
      <c r="AB540" s="266" t="s">
        <v>900</v>
      </c>
      <c r="AC540" s="265">
        <v>27867.774103286672</v>
      </c>
      <c r="AD540" s="265">
        <v>6604.1111758170164</v>
      </c>
      <c r="AE540" s="265">
        <v>11698.650359443442</v>
      </c>
      <c r="AF540" s="266">
        <v>9543.1749679924487</v>
      </c>
      <c r="AG540" s="265">
        <v>27867.774103286672</v>
      </c>
      <c r="AH540" s="265">
        <v>6604.1111758170164</v>
      </c>
      <c r="AI540" s="265">
        <v>11698.650359443442</v>
      </c>
      <c r="AJ540" s="266">
        <v>9543.1749679924487</v>
      </c>
      <c r="AK540" s="265">
        <v>27937.841649603506</v>
      </c>
      <c r="AL540" s="265">
        <v>7038.7238757445421</v>
      </c>
      <c r="AM540" s="265">
        <v>11728.064108918614</v>
      </c>
      <c r="AN540" s="265">
        <v>9567.1692364834016</v>
      </c>
      <c r="AO540" s="266">
        <v>56271.798870750063</v>
      </c>
      <c r="AP540" s="203"/>
      <c r="AQ540" s="264">
        <v>36436.682258151654</v>
      </c>
      <c r="AR540" s="265">
        <v>8641.4016946828269</v>
      </c>
      <c r="AS540" s="265">
        <v>15177.825931611225</v>
      </c>
      <c r="AT540" s="265">
        <v>12944.201040322712</v>
      </c>
      <c r="AU540" s="266">
        <v>73200.110924768422</v>
      </c>
      <c r="AV540" s="203"/>
      <c r="AW540" s="324">
        <v>76359.660695762796</v>
      </c>
      <c r="AX540" s="203"/>
      <c r="AY540" s="377">
        <v>0</v>
      </c>
      <c r="AZ540" s="265">
        <v>0</v>
      </c>
      <c r="BA540" s="265">
        <v>73200.110924768422</v>
      </c>
      <c r="BB540" s="265">
        <v>716.47380074588466</v>
      </c>
      <c r="BC540" s="266">
        <v>72483.637124022542</v>
      </c>
      <c r="BD540" s="264">
        <v>724.83637124022539</v>
      </c>
      <c r="BE540" s="265">
        <v>71758.800752782321</v>
      </c>
      <c r="BF540" s="357">
        <v>0.93974750671939833</v>
      </c>
      <c r="BG540" s="203"/>
      <c r="BJ540" s="458">
        <v>0.93974750671939833</v>
      </c>
      <c r="BK540" s="210"/>
      <c r="BL540" s="458"/>
      <c r="BM540" s="458"/>
      <c r="BN540" s="458"/>
      <c r="BQ540" s="203">
        <v>71647.650616673476</v>
      </c>
      <c r="BR540" s="458">
        <v>0.93829189344013431</v>
      </c>
      <c r="BT540" s="459" t="s">
        <v>900</v>
      </c>
      <c r="BU540" s="460" t="s">
        <v>900</v>
      </c>
      <c r="BV540" s="461">
        <v>71758.800752782321</v>
      </c>
      <c r="BX540" s="462">
        <v>15995.584697987615</v>
      </c>
      <c r="BY540" s="463">
        <v>0.29028609072620348</v>
      </c>
      <c r="BZ540" s="461">
        <v>282.05142522313224</v>
      </c>
      <c r="CB540" s="203">
        <v>1963</v>
      </c>
      <c r="CC540" s="203">
        <v>3080.469429284436</v>
      </c>
      <c r="CD540" s="203" t="e">
        <v>#VALUE!</v>
      </c>
      <c r="CE540" s="203" t="s">
        <v>900</v>
      </c>
      <c r="CF540" s="203" t="e">
        <v>#VALUE!</v>
      </c>
      <c r="CH540" s="199"/>
      <c r="CJ540" s="464" t="s">
        <v>1448</v>
      </c>
      <c r="CK540" s="464" t="s">
        <v>1447</v>
      </c>
      <c r="CL540" s="464" t="s">
        <v>1448</v>
      </c>
      <c r="CN540" s="464" t="s">
        <v>1447</v>
      </c>
      <c r="CO540" s="464" t="s">
        <v>1447</v>
      </c>
      <c r="CP540" s="464" t="s">
        <v>1447</v>
      </c>
      <c r="CQ540" s="464" t="s">
        <v>1447</v>
      </c>
      <c r="CS540" s="465">
        <v>0</v>
      </c>
      <c r="CT540" s="466">
        <v>0.9</v>
      </c>
      <c r="CU540" s="466">
        <v>0</v>
      </c>
      <c r="CV540" s="467">
        <v>0.9</v>
      </c>
    </row>
    <row r="541" spans="1:100" s="48" customFormat="1" outlineLevel="1" x14ac:dyDescent="0.3">
      <c r="A541" s="202">
        <v>78516000</v>
      </c>
      <c r="B541" s="48">
        <v>400444</v>
      </c>
      <c r="C541" s="48">
        <v>88317</v>
      </c>
      <c r="D541" s="48" t="s">
        <v>353</v>
      </c>
      <c r="E541" s="48" t="s">
        <v>3</v>
      </c>
      <c r="F541" s="48" t="s">
        <v>1498</v>
      </c>
      <c r="G541" s="48" t="s">
        <v>1499</v>
      </c>
      <c r="H541" s="48" t="s">
        <v>1516</v>
      </c>
      <c r="O541" s="454" t="s">
        <v>900</v>
      </c>
      <c r="P541" s="455" t="s">
        <v>900</v>
      </c>
      <c r="Q541" s="347" t="s">
        <v>900</v>
      </c>
      <c r="R541" s="455">
        <v>276</v>
      </c>
      <c r="S541" s="457">
        <v>207</v>
      </c>
      <c r="T541" s="455"/>
      <c r="U541" s="454">
        <v>276</v>
      </c>
      <c r="V541" s="455">
        <v>93.914392522257828</v>
      </c>
      <c r="W541" s="230">
        <v>0.34026953812412258</v>
      </c>
      <c r="X541" s="264" t="s">
        <v>900</v>
      </c>
      <c r="Y541" s="265" t="s">
        <v>900</v>
      </c>
      <c r="Z541" s="265" t="s">
        <v>900</v>
      </c>
      <c r="AA541" s="265" t="s">
        <v>900</v>
      </c>
      <c r="AB541" s="266" t="s">
        <v>900</v>
      </c>
      <c r="AC541" s="265">
        <v>46149.033915042732</v>
      </c>
      <c r="AD541" s="265">
        <v>10936.40810715298</v>
      </c>
      <c r="AE541" s="265">
        <v>19372.964995238341</v>
      </c>
      <c r="AF541" s="266">
        <v>15803.497746995496</v>
      </c>
      <c r="AG541" s="265">
        <v>46149.033915042732</v>
      </c>
      <c r="AH541" s="265">
        <v>10936.40810715298</v>
      </c>
      <c r="AI541" s="265">
        <v>19372.964995238341</v>
      </c>
      <c r="AJ541" s="266">
        <v>15803.497746995496</v>
      </c>
      <c r="AK541" s="265">
        <v>46219.101461359569</v>
      </c>
      <c r="AL541" s="265">
        <v>11371.020807080506</v>
      </c>
      <c r="AM541" s="265">
        <v>19402.378744713511</v>
      </c>
      <c r="AN541" s="265">
        <v>15827.492015486449</v>
      </c>
      <c r="AO541" s="266">
        <v>92819.993028640034</v>
      </c>
      <c r="AP541" s="203"/>
      <c r="AQ541" s="264">
        <v>45517.07796436677</v>
      </c>
      <c r="AR541" s="265">
        <v>11009.959851927893</v>
      </c>
      <c r="AS541" s="265">
        <v>19133.646481842799</v>
      </c>
      <c r="AT541" s="265">
        <v>15191.671717684218</v>
      </c>
      <c r="AU541" s="266">
        <v>90852.356015821686</v>
      </c>
      <c r="AV541" s="203"/>
      <c r="AW541" s="324">
        <v>70405.618917629341</v>
      </c>
      <c r="AX541" s="203"/>
      <c r="AY541" s="377">
        <v>0</v>
      </c>
      <c r="AZ541" s="265">
        <v>8570.7494953762071</v>
      </c>
      <c r="BA541" s="265">
        <v>82281.606520445479</v>
      </c>
      <c r="BB541" s="265">
        <v>805.36237732985978</v>
      </c>
      <c r="BC541" s="266">
        <v>81476.244143115618</v>
      </c>
      <c r="BD541" s="264">
        <v>814.76244143115616</v>
      </c>
      <c r="BE541" s="265">
        <v>80661.481701684461</v>
      </c>
      <c r="BF541" s="357">
        <v>1.1456682427016784</v>
      </c>
      <c r="BG541" s="203"/>
      <c r="BJ541" s="458">
        <v>1.1456682427016784</v>
      </c>
      <c r="BK541" s="210"/>
      <c r="BL541" s="458"/>
      <c r="BM541" s="458"/>
      <c r="BN541" s="458"/>
      <c r="BQ541" s="203">
        <v>80536.541839593236</v>
      </c>
      <c r="BR541" s="458">
        <v>1.1438936703875371</v>
      </c>
      <c r="BT541" s="459" t="s">
        <v>900</v>
      </c>
      <c r="BU541" s="460" t="s">
        <v>900</v>
      </c>
      <c r="BV541" s="461">
        <v>80661.481701684461</v>
      </c>
      <c r="BX541" s="462">
        <v>-7209.4483160071541</v>
      </c>
      <c r="BY541" s="463">
        <v>-8.2456124751636523E-2</v>
      </c>
      <c r="BZ541" s="461">
        <v>-76.766171003006875</v>
      </c>
      <c r="CB541" s="203" t="s">
        <v>900</v>
      </c>
      <c r="CC541" s="203">
        <v>1770.7961438254092</v>
      </c>
      <c r="CD541" s="203" t="e">
        <v>#VALUE!</v>
      </c>
      <c r="CE541" s="203" t="s">
        <v>900</v>
      </c>
      <c r="CF541" s="203" t="e">
        <v>#VALUE!</v>
      </c>
      <c r="CH541" s="199"/>
      <c r="CJ541" s="464" t="s">
        <v>1448</v>
      </c>
      <c r="CK541" s="464" t="s">
        <v>1447</v>
      </c>
      <c r="CL541" s="464" t="s">
        <v>1448</v>
      </c>
      <c r="CN541" s="464" t="s">
        <v>1447</v>
      </c>
      <c r="CO541" s="464" t="s">
        <v>1447</v>
      </c>
      <c r="CP541" s="464" t="s">
        <v>1447</v>
      </c>
      <c r="CQ541" s="464" t="s">
        <v>1447</v>
      </c>
      <c r="CS541" s="465">
        <v>0</v>
      </c>
      <c r="CT541" s="466">
        <v>0</v>
      </c>
      <c r="CU541" s="466">
        <v>0.95</v>
      </c>
      <c r="CV541" s="467">
        <v>0.95</v>
      </c>
    </row>
    <row r="542" spans="1:100" s="48" customFormat="1" outlineLevel="1" x14ac:dyDescent="0.3">
      <c r="A542" s="202">
        <v>138708000</v>
      </c>
      <c r="B542" s="48">
        <v>400089</v>
      </c>
      <c r="C542" s="48">
        <v>4492</v>
      </c>
      <c r="D542" s="48" t="s">
        <v>380</v>
      </c>
      <c r="E542" s="48" t="s">
        <v>3</v>
      </c>
      <c r="F542" s="48" t="s">
        <v>1498</v>
      </c>
      <c r="G542" s="48" t="s">
        <v>1499</v>
      </c>
      <c r="H542" s="48" t="s">
        <v>1508</v>
      </c>
      <c r="O542" s="454" t="s">
        <v>900</v>
      </c>
      <c r="P542" s="455" t="s">
        <v>900</v>
      </c>
      <c r="Q542" s="347" t="s">
        <v>900</v>
      </c>
      <c r="R542" s="455">
        <v>137</v>
      </c>
      <c r="S542" s="457">
        <v>72</v>
      </c>
      <c r="T542" s="455"/>
      <c r="U542" s="454">
        <v>137</v>
      </c>
      <c r="V542" s="455">
        <v>32.665875659915763</v>
      </c>
      <c r="W542" s="230">
        <v>0.23843704861252382</v>
      </c>
      <c r="X542" s="264" t="s">
        <v>900</v>
      </c>
      <c r="Y542" s="265" t="s">
        <v>900</v>
      </c>
      <c r="Z542" s="265" t="s">
        <v>900</v>
      </c>
      <c r="AA542" s="265" t="s">
        <v>900</v>
      </c>
      <c r="AB542" s="266" t="s">
        <v>900</v>
      </c>
      <c r="AC542" s="265">
        <v>16051.837883493123</v>
      </c>
      <c r="AD542" s="265">
        <v>3803.9680372706016</v>
      </c>
      <c r="AE542" s="265">
        <v>6738.4226070394216</v>
      </c>
      <c r="AF542" s="266">
        <v>5496.8687815636495</v>
      </c>
      <c r="AG542" s="265">
        <v>16051.837883493123</v>
      </c>
      <c r="AH542" s="265">
        <v>3803.9680372706016</v>
      </c>
      <c r="AI542" s="265">
        <v>6738.4226070394216</v>
      </c>
      <c r="AJ542" s="266">
        <v>5496.8687815636495</v>
      </c>
      <c r="AK542" s="265">
        <v>16121.905429809958</v>
      </c>
      <c r="AL542" s="265">
        <v>4238.5807371981273</v>
      </c>
      <c r="AM542" s="265">
        <v>6767.8363565145937</v>
      </c>
      <c r="AN542" s="265">
        <v>5520.8630500546024</v>
      </c>
      <c r="AO542" s="266">
        <v>32649.185573577281</v>
      </c>
      <c r="AP542" s="203"/>
      <c r="AQ542" s="264">
        <v>19968.702836467695</v>
      </c>
      <c r="AR542" s="265">
        <v>4655.8191791057479</v>
      </c>
      <c r="AS542" s="265">
        <v>7908.1642394844621</v>
      </c>
      <c r="AT542" s="265">
        <v>6209.7180666413014</v>
      </c>
      <c r="AU542" s="266">
        <v>38742.404321699207</v>
      </c>
      <c r="AV542" s="203"/>
      <c r="AW542" s="324">
        <v>42622.983889385556</v>
      </c>
      <c r="AX542" s="203"/>
      <c r="AY542" s="377">
        <v>0</v>
      </c>
      <c r="AZ542" s="265">
        <v>0</v>
      </c>
      <c r="BA542" s="265">
        <v>38742.404321699207</v>
      </c>
      <c r="BB542" s="265">
        <v>379.20595097089239</v>
      </c>
      <c r="BC542" s="266">
        <v>38363.198370728314</v>
      </c>
      <c r="BD542" s="264">
        <v>383.63198370728315</v>
      </c>
      <c r="BE542" s="265">
        <v>37979.566387021034</v>
      </c>
      <c r="BF542" s="357">
        <v>0.89105836619944201</v>
      </c>
      <c r="BG542" s="203"/>
      <c r="BJ542" s="458">
        <v>0.89105836619944201</v>
      </c>
      <c r="BK542" s="210"/>
      <c r="BL542" s="458"/>
      <c r="BM542" s="458"/>
      <c r="BN542" s="458"/>
      <c r="BQ542" s="203">
        <v>37920.738286091422</v>
      </c>
      <c r="BR542" s="458">
        <v>0.88967816951771084</v>
      </c>
      <c r="BT542" s="459">
        <v>-1.884825574591785</v>
      </c>
      <c r="BU542" s="460">
        <v>-715.84858038163759</v>
      </c>
      <c r="BV542" s="461">
        <v>37263.717806639397</v>
      </c>
      <c r="BX542" s="462">
        <v>5234.7780402808748</v>
      </c>
      <c r="BY542" s="463">
        <v>0.16750753056741141</v>
      </c>
      <c r="BZ542" s="461">
        <v>160.25218778091602</v>
      </c>
      <c r="CB542" s="203">
        <v>2476</v>
      </c>
      <c r="CC542" s="203">
        <v>3133.6348303111636</v>
      </c>
      <c r="CD542" s="203" t="e">
        <v>#VALUE!</v>
      </c>
      <c r="CE542" s="203" t="e">
        <v>#VALUE!</v>
      </c>
      <c r="CF542" s="203" t="e">
        <v>#VALUE!</v>
      </c>
      <c r="CH542" s="199"/>
      <c r="CJ542" s="464" t="s">
        <v>1448</v>
      </c>
      <c r="CK542" s="464" t="s">
        <v>1447</v>
      </c>
      <c r="CL542" s="464" t="s">
        <v>1448</v>
      </c>
      <c r="CN542" s="464" t="s">
        <v>1447</v>
      </c>
      <c r="CO542" s="464" t="s">
        <v>1447</v>
      </c>
      <c r="CP542" s="464" t="s">
        <v>1447</v>
      </c>
      <c r="CQ542" s="464" t="s">
        <v>1447</v>
      </c>
      <c r="CS542" s="465">
        <v>0</v>
      </c>
      <c r="CT542" s="466">
        <v>0.9</v>
      </c>
      <c r="CU542" s="466">
        <v>0</v>
      </c>
      <c r="CV542" s="467">
        <v>0.9</v>
      </c>
    </row>
    <row r="543" spans="1:100" s="48" customFormat="1" outlineLevel="1" x14ac:dyDescent="0.3">
      <c r="A543" s="202">
        <v>138752000</v>
      </c>
      <c r="B543" s="48">
        <v>400093</v>
      </c>
      <c r="C543" s="48">
        <v>4496</v>
      </c>
      <c r="D543" s="48" t="s">
        <v>387</v>
      </c>
      <c r="E543" s="48" t="s">
        <v>3</v>
      </c>
      <c r="F543" s="48" t="s">
        <v>1498</v>
      </c>
      <c r="G543" s="48" t="s">
        <v>1499</v>
      </c>
      <c r="H543" s="48" t="s">
        <v>1515</v>
      </c>
      <c r="O543" s="454" t="s">
        <v>900</v>
      </c>
      <c r="P543" s="455" t="s">
        <v>900</v>
      </c>
      <c r="Q543" s="347" t="s">
        <v>900</v>
      </c>
      <c r="R543" s="455">
        <v>200</v>
      </c>
      <c r="S543" s="457">
        <v>86</v>
      </c>
      <c r="T543" s="455"/>
      <c r="U543" s="454">
        <v>200</v>
      </c>
      <c r="V543" s="455">
        <v>39.017573704899384</v>
      </c>
      <c r="W543" s="230">
        <v>0.19508786852449692</v>
      </c>
      <c r="X543" s="264" t="s">
        <v>900</v>
      </c>
      <c r="Y543" s="265" t="s">
        <v>900</v>
      </c>
      <c r="Z543" s="265" t="s">
        <v>900</v>
      </c>
      <c r="AA543" s="265" t="s">
        <v>900</v>
      </c>
      <c r="AB543" s="266" t="s">
        <v>900</v>
      </c>
      <c r="AC543" s="265">
        <v>19173.02858306123</v>
      </c>
      <c r="AD543" s="265">
        <v>4543.6284889621074</v>
      </c>
      <c r="AE543" s="265">
        <v>8048.6714472970871</v>
      </c>
      <c r="AF543" s="266">
        <v>6565.7043779788037</v>
      </c>
      <c r="AG543" s="265">
        <v>19173.02858306123</v>
      </c>
      <c r="AH543" s="265">
        <v>4543.6284889621074</v>
      </c>
      <c r="AI543" s="265">
        <v>8048.6714472970871</v>
      </c>
      <c r="AJ543" s="266">
        <v>6565.7043779788037</v>
      </c>
      <c r="AK543" s="265">
        <v>19243.096129378064</v>
      </c>
      <c r="AL543" s="265">
        <v>4978.2411888896331</v>
      </c>
      <c r="AM543" s="265">
        <v>8078.0851967722592</v>
      </c>
      <c r="AN543" s="265">
        <v>6589.6986464697566</v>
      </c>
      <c r="AO543" s="266">
        <v>38889.121161509713</v>
      </c>
      <c r="AP543" s="203"/>
      <c r="AQ543" s="264">
        <v>21928.154172319231</v>
      </c>
      <c r="AR543" s="265">
        <v>5210.7485323428427</v>
      </c>
      <c r="AS543" s="265">
        <v>8684.1617146380468</v>
      </c>
      <c r="AT543" s="265">
        <v>7277.3832363555375</v>
      </c>
      <c r="AU543" s="266">
        <v>43100.447655655662</v>
      </c>
      <c r="AV543" s="203"/>
      <c r="AW543" s="324">
        <v>47417.544631410339</v>
      </c>
      <c r="AX543" s="203"/>
      <c r="AY543" s="377">
        <v>0</v>
      </c>
      <c r="AZ543" s="265">
        <v>0</v>
      </c>
      <c r="BA543" s="265">
        <v>43100.447655655662</v>
      </c>
      <c r="BB543" s="265">
        <v>421.86195014696091</v>
      </c>
      <c r="BC543" s="266">
        <v>42678.585705508704</v>
      </c>
      <c r="BD543" s="264">
        <v>426.78585705508704</v>
      </c>
      <c r="BE543" s="265">
        <v>42251.799848453615</v>
      </c>
      <c r="BF543" s="357">
        <v>0.8910583661994419</v>
      </c>
      <c r="BG543" s="203"/>
      <c r="BJ543" s="458">
        <v>0.8910583661994419</v>
      </c>
      <c r="BK543" s="210"/>
      <c r="BL543" s="458"/>
      <c r="BM543" s="458"/>
      <c r="BN543" s="458"/>
      <c r="BQ543" s="203">
        <v>42186.354310697505</v>
      </c>
      <c r="BR543" s="458">
        <v>0.88967816951771084</v>
      </c>
      <c r="BT543" s="459" t="s">
        <v>900</v>
      </c>
      <c r="BU543" s="460" t="s">
        <v>900</v>
      </c>
      <c r="BV543" s="461">
        <v>42251.799848453615</v>
      </c>
      <c r="BX543" s="462">
        <v>3500.6704501433851</v>
      </c>
      <c r="BY543" s="463">
        <v>9.2139285059535739E-2</v>
      </c>
      <c r="BZ543" s="461">
        <v>89.720352080831987</v>
      </c>
      <c r="CB543" s="203">
        <v>2317</v>
      </c>
      <c r="CC543" s="203">
        <v>3139.4952678309733</v>
      </c>
      <c r="CD543" s="203" t="e">
        <v>#VALUE!</v>
      </c>
      <c r="CE543" s="203" t="s">
        <v>900</v>
      </c>
      <c r="CF543" s="203" t="e">
        <v>#VALUE!</v>
      </c>
      <c r="CH543" s="199"/>
      <c r="CJ543" s="464" t="s">
        <v>1448</v>
      </c>
      <c r="CK543" s="464" t="s">
        <v>1447</v>
      </c>
      <c r="CL543" s="464" t="s">
        <v>1448</v>
      </c>
      <c r="CN543" s="464" t="s">
        <v>1447</v>
      </c>
      <c r="CO543" s="464" t="s">
        <v>1447</v>
      </c>
      <c r="CP543" s="464" t="s">
        <v>1447</v>
      </c>
      <c r="CQ543" s="464" t="s">
        <v>1447</v>
      </c>
      <c r="CS543" s="465">
        <v>0</v>
      </c>
      <c r="CT543" s="466">
        <v>0.9</v>
      </c>
      <c r="CU543" s="466">
        <v>0</v>
      </c>
      <c r="CV543" s="467">
        <v>0.9</v>
      </c>
    </row>
    <row r="544" spans="1:100" s="192" customFormat="1" outlineLevel="1" x14ac:dyDescent="0.3">
      <c r="A544" s="561">
        <v>138761000</v>
      </c>
      <c r="D544" s="192" t="s">
        <v>555</v>
      </c>
      <c r="E544" s="192" t="s">
        <v>900</v>
      </c>
      <c r="F544" s="192" t="s">
        <v>900</v>
      </c>
      <c r="G544" s="192" t="s">
        <v>900</v>
      </c>
      <c r="H544" s="192" t="s">
        <v>900</v>
      </c>
      <c r="O544" s="540" t="s">
        <v>900</v>
      </c>
      <c r="P544" s="541" t="s">
        <v>900</v>
      </c>
      <c r="Q544" s="850" t="s">
        <v>900</v>
      </c>
      <c r="R544" s="541">
        <v>60</v>
      </c>
      <c r="S544" s="542">
        <v>35</v>
      </c>
      <c r="T544" s="541"/>
      <c r="U544" s="540">
        <v>60</v>
      </c>
      <c r="V544" s="541">
        <v>15.879245112459053</v>
      </c>
      <c r="W544" s="543">
        <v>0.26465408520765088</v>
      </c>
      <c r="X544" s="544"/>
      <c r="Y544" s="545"/>
      <c r="Z544" s="545"/>
      <c r="AA544" s="545"/>
      <c r="AB544" s="546"/>
      <c r="AC544" s="545">
        <v>7802.9767489202686</v>
      </c>
      <c r="AD544" s="545">
        <v>1849.1511292287648</v>
      </c>
      <c r="AE544" s="545">
        <v>3275.6221006441638</v>
      </c>
      <c r="AF544" s="546">
        <v>2672.0889910378855</v>
      </c>
      <c r="AG544" s="545">
        <v>7802.9767489202686</v>
      </c>
      <c r="AH544" s="545">
        <v>1849.1511292287648</v>
      </c>
      <c r="AI544" s="545">
        <v>3275.6221006441638</v>
      </c>
      <c r="AJ544" s="546">
        <v>2672.0889910378855</v>
      </c>
      <c r="AK544" s="545">
        <v>7873.0442952371031</v>
      </c>
      <c r="AL544" s="545">
        <v>2283.7638291562907</v>
      </c>
      <c r="AM544" s="545">
        <v>3305.0358501193355</v>
      </c>
      <c r="AN544" s="545">
        <v>2696.0832595288384</v>
      </c>
      <c r="AO544" s="546">
        <v>16157.927234041566</v>
      </c>
      <c r="AP544" s="547"/>
      <c r="AQ544" s="544">
        <v>9125.0171475623283</v>
      </c>
      <c r="AR544" s="545">
        <v>2211.248092575745</v>
      </c>
      <c r="AS544" s="545">
        <v>3613.7617391576059</v>
      </c>
      <c r="AT544" s="545">
        <v>2613.5342118299641</v>
      </c>
      <c r="AU544" s="546">
        <v>17563.561191125642</v>
      </c>
      <c r="AV544" s="547"/>
      <c r="AW544" s="548">
        <v>19230.710398649895</v>
      </c>
      <c r="AX544" s="547"/>
      <c r="AY544" s="851">
        <v>0</v>
      </c>
      <c r="AZ544" s="545">
        <v>0</v>
      </c>
      <c r="BA544" s="545">
        <v>17563.561191125642</v>
      </c>
      <c r="BB544" s="545">
        <v>171.91000508416943</v>
      </c>
      <c r="BC544" s="546">
        <v>17391.651186041472</v>
      </c>
      <c r="BD544" s="544">
        <v>173.91651186041472</v>
      </c>
      <c r="BE544" s="545">
        <v>17217.734674181058</v>
      </c>
      <c r="BF544" s="549">
        <v>0.89532494209833458</v>
      </c>
      <c r="BG544" s="547"/>
      <c r="BJ544" s="550">
        <v>0.89532494209833458</v>
      </c>
      <c r="BK544" s="551"/>
      <c r="BL544" s="550"/>
      <c r="BM544" s="550"/>
      <c r="BN544" s="550"/>
      <c r="BQ544" s="547">
        <v>17191.065422013446</v>
      </c>
      <c r="BR544" s="550">
        <v>0.89393813674300648</v>
      </c>
      <c r="BT544" s="552">
        <v>0</v>
      </c>
      <c r="BU544" s="553" t="s">
        <v>900</v>
      </c>
      <c r="BV544" s="554">
        <v>17217.734674181058</v>
      </c>
      <c r="BX544" s="555">
        <v>1373.3623159437429</v>
      </c>
      <c r="BY544" s="556">
        <v>3.7228815180742753E-2</v>
      </c>
      <c r="BZ544" s="554">
        <v>86.487884418774158</v>
      </c>
      <c r="CB544" s="547" t="s">
        <v>900</v>
      </c>
      <c r="CC544" s="547">
        <v>312.97281724706971</v>
      </c>
      <c r="CD544" s="547" t="e">
        <v>#VALUE!</v>
      </c>
      <c r="CE544" s="547" t="s">
        <v>900</v>
      </c>
      <c r="CF544" s="547" t="e">
        <v>#VALUE!</v>
      </c>
      <c r="CJ544" s="557" t="s">
        <v>1448</v>
      </c>
      <c r="CK544" s="557" t="s">
        <v>1447</v>
      </c>
      <c r="CL544" s="557" t="s">
        <v>1448</v>
      </c>
      <c r="CN544" s="557" t="s">
        <v>1447</v>
      </c>
      <c r="CO544" s="557" t="s">
        <v>1447</v>
      </c>
      <c r="CP544" s="557" t="s">
        <v>1447</v>
      </c>
      <c r="CQ544" s="557" t="s">
        <v>1447</v>
      </c>
      <c r="CS544" s="558">
        <v>0</v>
      </c>
      <c r="CT544" s="559">
        <v>0.9</v>
      </c>
      <c r="CU544" s="559">
        <v>0</v>
      </c>
      <c r="CV544" s="560">
        <v>0.9</v>
      </c>
    </row>
    <row r="545" spans="1:100" s="48" customFormat="1" outlineLevel="1" x14ac:dyDescent="0.3">
      <c r="A545" s="202">
        <v>108796000</v>
      </c>
      <c r="D545" s="48" t="s">
        <v>1551</v>
      </c>
      <c r="E545" s="48" t="s">
        <v>3</v>
      </c>
      <c r="F545" s="48" t="s">
        <v>900</v>
      </c>
      <c r="G545" s="48" t="s">
        <v>900</v>
      </c>
      <c r="H545" s="48" t="s">
        <v>900</v>
      </c>
      <c r="O545" s="454" t="s">
        <v>900</v>
      </c>
      <c r="P545" s="455" t="s">
        <v>900</v>
      </c>
      <c r="Q545" s="347" t="s">
        <v>900</v>
      </c>
      <c r="R545" s="455">
        <v>208.57475226195604</v>
      </c>
      <c r="S545" s="457">
        <v>83.484704868591123</v>
      </c>
      <c r="T545" s="455"/>
      <c r="U545" s="454">
        <v>208.57475226195604</v>
      </c>
      <c r="V545" s="455">
        <v>37.876402621418912</v>
      </c>
      <c r="W545" s="230">
        <v>0.18159629682239137</v>
      </c>
      <c r="X545" s="264"/>
      <c r="Y545" s="265"/>
      <c r="Z545" s="265"/>
      <c r="AA545" s="265"/>
      <c r="AB545" s="266"/>
      <c r="AC545" s="265">
        <v>18612.263170859635</v>
      </c>
      <c r="AD545" s="265">
        <v>4410.7381794595831</v>
      </c>
      <c r="AE545" s="265">
        <v>7813.2669809517847</v>
      </c>
      <c r="AF545" s="266">
        <v>6373.673165697408</v>
      </c>
      <c r="AG545" s="265">
        <v>18612.263170859635</v>
      </c>
      <c r="AH545" s="265">
        <v>4410.7381794595831</v>
      </c>
      <c r="AI545" s="265">
        <v>7813.2669809517847</v>
      </c>
      <c r="AJ545" s="266">
        <v>6373.673165697408</v>
      </c>
      <c r="AK545" s="265">
        <v>18682.330717176468</v>
      </c>
      <c r="AL545" s="265">
        <v>4845.3508793871088</v>
      </c>
      <c r="AM545" s="265">
        <v>7842.6807304269569</v>
      </c>
      <c r="AN545" s="265">
        <v>6397.6674341883609</v>
      </c>
      <c r="AO545" s="266">
        <v>37768.029761178892</v>
      </c>
      <c r="AP545" s="203"/>
      <c r="AQ545" s="264">
        <v>0</v>
      </c>
      <c r="AR545" s="265">
        <v>0</v>
      </c>
      <c r="AS545" s="265">
        <v>0</v>
      </c>
      <c r="AT545" s="265">
        <v>0</v>
      </c>
      <c r="AU545" s="266">
        <v>0</v>
      </c>
      <c r="AV545" s="203"/>
      <c r="AW545" s="324">
        <v>0</v>
      </c>
      <c r="AX545" s="203"/>
      <c r="AY545" s="377">
        <v>0</v>
      </c>
      <c r="AZ545" s="265">
        <v>0</v>
      </c>
      <c r="BA545" s="265">
        <v>0</v>
      </c>
      <c r="BB545" s="265">
        <v>0</v>
      </c>
      <c r="BC545" s="266">
        <v>0</v>
      </c>
      <c r="BD545" s="264">
        <v>0</v>
      </c>
      <c r="BE545" s="265">
        <v>0</v>
      </c>
      <c r="BF545" s="357" t="s">
        <v>1450</v>
      </c>
      <c r="BG545" s="203"/>
      <c r="BJ545" s="458" t="s">
        <v>900</v>
      </c>
      <c r="BK545" s="210"/>
      <c r="BL545" s="458"/>
      <c r="BM545" s="458"/>
      <c r="BN545" s="458"/>
      <c r="BQ545" s="203">
        <v>0</v>
      </c>
      <c r="BR545" s="458" t="s">
        <v>900</v>
      </c>
      <c r="BT545" s="459">
        <v>0</v>
      </c>
      <c r="BU545" s="460" t="s">
        <v>900</v>
      </c>
      <c r="BV545" s="461">
        <v>0</v>
      </c>
      <c r="BX545" s="462">
        <v>-37653.939174152241</v>
      </c>
      <c r="BY545" s="463" t="s">
        <v>900</v>
      </c>
      <c r="BZ545" s="461">
        <v>-994.12659513918913</v>
      </c>
      <c r="CB545" s="203" t="s">
        <v>900</v>
      </c>
      <c r="CC545" s="203">
        <v>813.11180281167265</v>
      </c>
      <c r="CD545" s="203" t="e">
        <v>#VALUE!</v>
      </c>
      <c r="CE545" s="203" t="s">
        <v>900</v>
      </c>
      <c r="CF545" s="203" t="e">
        <v>#VALUE!</v>
      </c>
      <c r="CH545" s="199"/>
      <c r="CJ545" s="464" t="s">
        <v>1448</v>
      </c>
      <c r="CK545" s="464" t="s">
        <v>1447</v>
      </c>
      <c r="CL545" s="464" t="s">
        <v>1448</v>
      </c>
      <c r="CN545" s="464" t="s">
        <v>1447</v>
      </c>
      <c r="CO545" s="464" t="s">
        <v>1447</v>
      </c>
      <c r="CP545" s="464" t="s">
        <v>1447</v>
      </c>
      <c r="CQ545" s="464" t="s">
        <v>1447</v>
      </c>
      <c r="CS545" s="465">
        <v>0</v>
      </c>
      <c r="CT545" s="466">
        <v>0.9</v>
      </c>
      <c r="CU545" s="466">
        <v>0</v>
      </c>
      <c r="CV545" s="467">
        <v>0.9</v>
      </c>
    </row>
    <row r="546" spans="1:100" s="469" customFormat="1" outlineLevel="1" x14ac:dyDescent="0.3">
      <c r="A546" s="468"/>
      <c r="D546" s="469" t="s">
        <v>878</v>
      </c>
      <c r="E546" s="469" t="s">
        <v>900</v>
      </c>
      <c r="F546" s="469" t="s">
        <v>900</v>
      </c>
      <c r="G546" s="469" t="s">
        <v>900</v>
      </c>
      <c r="H546" s="469" t="s">
        <v>900</v>
      </c>
      <c r="I546" s="469">
        <v>0</v>
      </c>
      <c r="J546" s="469">
        <v>0</v>
      </c>
      <c r="K546" s="469">
        <v>0</v>
      </c>
      <c r="L546" s="469">
        <v>0</v>
      </c>
      <c r="M546" s="469">
        <v>0</v>
      </c>
      <c r="N546" s="469">
        <v>0</v>
      </c>
      <c r="O546" s="470">
        <v>0</v>
      </c>
      <c r="P546" s="471">
        <v>0</v>
      </c>
      <c r="Q546" s="846"/>
      <c r="R546" s="471">
        <v>3836.5747522619558</v>
      </c>
      <c r="S546" s="472">
        <v>2193.4847048685911</v>
      </c>
      <c r="T546" s="471"/>
      <c r="U546" s="470">
        <v>3836.5747522619558</v>
      </c>
      <c r="V546" s="471">
        <v>995.16803654395039</v>
      </c>
      <c r="W546" s="473"/>
      <c r="X546" s="474"/>
      <c r="Y546" s="475"/>
      <c r="Z546" s="475"/>
      <c r="AA546" s="475"/>
      <c r="AB546" s="476"/>
      <c r="AC546" s="475">
        <v>489020.29003433872</v>
      </c>
      <c r="AD546" s="475">
        <v>115888.13482725082</v>
      </c>
      <c r="AE546" s="475">
        <v>205286.48504835714</v>
      </c>
      <c r="AF546" s="476">
        <v>167462.46662540996</v>
      </c>
      <c r="AG546" s="475"/>
      <c r="AH546" s="475"/>
      <c r="AI546" s="475"/>
      <c r="AJ546" s="476"/>
      <c r="AK546" s="475"/>
      <c r="AL546" s="475"/>
      <c r="AM546" s="475"/>
      <c r="AN546" s="475"/>
      <c r="AO546" s="476"/>
      <c r="AQ546" s="474"/>
      <c r="AR546" s="475"/>
      <c r="AS546" s="475"/>
      <c r="AT546" s="475"/>
      <c r="AU546" s="476"/>
      <c r="AW546" s="477"/>
      <c r="AY546" s="847"/>
      <c r="AZ546" s="475"/>
      <c r="BA546" s="475"/>
      <c r="BB546" s="475"/>
      <c r="BC546" s="476"/>
      <c r="BD546" s="474"/>
      <c r="BE546" s="475"/>
      <c r="BF546" s="478" t="s">
        <v>1450</v>
      </c>
      <c r="BJ546" s="479"/>
      <c r="BK546" s="480"/>
      <c r="BL546" s="479"/>
      <c r="BM546" s="479"/>
      <c r="BN546" s="479"/>
      <c r="BQ546" s="481"/>
      <c r="BR546" s="479"/>
      <c r="BT546" s="482">
        <v>0</v>
      </c>
      <c r="BU546" s="483"/>
      <c r="BV546" s="484"/>
      <c r="BX546" s="485"/>
      <c r="BY546" s="486" t="s">
        <v>900</v>
      </c>
      <c r="BZ546" s="484">
        <v>0</v>
      </c>
      <c r="CB546" s="481"/>
      <c r="CE546" s="481"/>
      <c r="CH546" s="199"/>
      <c r="CJ546" s="487" t="s">
        <v>1450</v>
      </c>
      <c r="CK546" s="487" t="s">
        <v>1448</v>
      </c>
      <c r="CL546" s="487" t="s">
        <v>1448</v>
      </c>
      <c r="CN546" s="487" t="s">
        <v>1448</v>
      </c>
      <c r="CO546" s="487" t="s">
        <v>1450</v>
      </c>
      <c r="CP546" s="487" t="s">
        <v>1450</v>
      </c>
      <c r="CQ546" s="487" t="s">
        <v>1450</v>
      </c>
      <c r="CS546" s="488">
        <v>0.85</v>
      </c>
      <c r="CT546" s="489">
        <v>0</v>
      </c>
      <c r="CU546" s="489">
        <v>0</v>
      </c>
      <c r="CV546" s="490">
        <v>0.85</v>
      </c>
    </row>
    <row r="547" spans="1:100" s="492" customFormat="1" outlineLevel="1" x14ac:dyDescent="0.3">
      <c r="A547" s="491" t="s">
        <v>880</v>
      </c>
      <c r="B547" s="492">
        <v>0.45369271749883006</v>
      </c>
      <c r="D547" s="492" t="s">
        <v>879</v>
      </c>
      <c r="E547" s="492" t="s">
        <v>900</v>
      </c>
      <c r="F547" s="492" t="s">
        <v>900</v>
      </c>
      <c r="G547" s="492" t="s">
        <v>900</v>
      </c>
      <c r="H547" s="492" t="s">
        <v>900</v>
      </c>
      <c r="I547" s="492">
        <v>6130</v>
      </c>
      <c r="J547" s="492">
        <v>0</v>
      </c>
      <c r="K547" s="492">
        <v>0</v>
      </c>
      <c r="L547" s="492">
        <v>275</v>
      </c>
      <c r="M547" s="492">
        <v>0</v>
      </c>
      <c r="N547" s="492">
        <v>6130</v>
      </c>
      <c r="O547" s="493">
        <v>28863</v>
      </c>
      <c r="P547" s="494">
        <v>6405</v>
      </c>
      <c r="Q547" s="848"/>
      <c r="R547" s="494">
        <v>24128.574752261957</v>
      </c>
      <c r="S547" s="495">
        <v>14117.484704868592</v>
      </c>
      <c r="T547" s="494"/>
      <c r="U547" s="493">
        <v>28863</v>
      </c>
      <c r="V547" s="494">
        <v>6405</v>
      </c>
      <c r="W547" s="496"/>
      <c r="X547" s="497">
        <v>3147382.9972950611</v>
      </c>
      <c r="Y547" s="498">
        <v>745867.50811078772</v>
      </c>
      <c r="Z547" s="498">
        <v>1321244.1401363858</v>
      </c>
      <c r="AA547" s="498">
        <v>1077805.0131721455</v>
      </c>
      <c r="AB547" s="499">
        <v>6292299.658714381</v>
      </c>
      <c r="AC547" s="498">
        <v>3147382.9972950607</v>
      </c>
      <c r="AD547" s="498">
        <v>745867.50811078795</v>
      </c>
      <c r="AE547" s="498">
        <v>1321244.1401363863</v>
      </c>
      <c r="AF547" s="499">
        <v>1077805.0131721452</v>
      </c>
      <c r="AG547" s="498">
        <v>3144930.6331739714</v>
      </c>
      <c r="AH547" s="498">
        <v>731959.90171310713</v>
      </c>
      <c r="AI547" s="498">
        <v>1320214.6589047553</v>
      </c>
      <c r="AJ547" s="499">
        <v>1076965.2137749619</v>
      </c>
      <c r="AK547" s="498">
        <v>3147382.9972950602</v>
      </c>
      <c r="AL547" s="498">
        <v>745867.50811078807</v>
      </c>
      <c r="AM547" s="498">
        <v>1321244.1401363858</v>
      </c>
      <c r="AN547" s="498">
        <v>1077805.0131721452</v>
      </c>
      <c r="AO547" s="499">
        <v>6292299.658714381</v>
      </c>
      <c r="AP547" s="500"/>
      <c r="AQ547" s="497">
        <v>3348034.0415658476</v>
      </c>
      <c r="AR547" s="498">
        <v>781964.37388363597</v>
      </c>
      <c r="AS547" s="498">
        <v>1428982.5123504302</v>
      </c>
      <c r="AT547" s="498">
        <v>1174578.2415629502</v>
      </c>
      <c r="AU547" s="499">
        <v>6733559.1693628626</v>
      </c>
      <c r="AV547" s="500"/>
      <c r="AW547" s="501">
        <v>6629648.6395607116</v>
      </c>
      <c r="AX547" s="500"/>
      <c r="AY547" s="849">
        <v>0</v>
      </c>
      <c r="AZ547" s="498">
        <v>187992.4381412412</v>
      </c>
      <c r="BA547" s="498">
        <v>6545566.7312216209</v>
      </c>
      <c r="BB547" s="498">
        <v>64067.212668216438</v>
      </c>
      <c r="BC547" s="499">
        <v>6481499.518553406</v>
      </c>
      <c r="BD547" s="497">
        <v>64814.995185534055</v>
      </c>
      <c r="BE547" s="498">
        <v>6416684.5233678697</v>
      </c>
      <c r="BF547" s="502">
        <v>0.96787701313127916</v>
      </c>
      <c r="BG547" s="500"/>
      <c r="BJ547" s="503"/>
      <c r="BK547" s="504"/>
      <c r="BL547" s="503"/>
      <c r="BM547" s="503"/>
      <c r="BN547" s="503"/>
      <c r="BO547" s="500">
        <v>8575.278743092882</v>
      </c>
      <c r="BP547" s="500">
        <v>889038.7926958485</v>
      </c>
      <c r="BQ547" s="500">
        <v>6416684.5233678734</v>
      </c>
      <c r="BR547" s="503"/>
      <c r="BT547" s="497">
        <v>-6.9175548052794618</v>
      </c>
      <c r="BU547" s="498">
        <v>-818.65409883532084</v>
      </c>
      <c r="BV547" s="499">
        <v>6415865.8692690339</v>
      </c>
      <c r="BX547" s="506"/>
      <c r="BY547" s="507" t="s">
        <v>900</v>
      </c>
      <c r="BZ547" s="505">
        <v>0</v>
      </c>
      <c r="CB547" s="500"/>
      <c r="CE547" s="500"/>
      <c r="CH547" s="395"/>
      <c r="CJ547" s="487" t="s">
        <v>1450</v>
      </c>
      <c r="CK547" s="487" t="s">
        <v>1448</v>
      </c>
      <c r="CL547" s="508" t="s">
        <v>1448</v>
      </c>
      <c r="CN547" s="487" t="s">
        <v>1448</v>
      </c>
      <c r="CO547" s="487" t="s">
        <v>1450</v>
      </c>
      <c r="CP547" s="487" t="s">
        <v>1450</v>
      </c>
      <c r="CQ547" s="487" t="s">
        <v>1450</v>
      </c>
      <c r="CS547" s="488">
        <v>0.85</v>
      </c>
      <c r="CT547" s="489">
        <v>0</v>
      </c>
      <c r="CU547" s="489">
        <v>0</v>
      </c>
      <c r="CV547" s="490">
        <v>0.85</v>
      </c>
    </row>
    <row r="548" spans="1:100" s="469" customFormat="1" outlineLevel="1" x14ac:dyDescent="0.3">
      <c r="A548" s="468"/>
      <c r="E548" s="469" t="s">
        <v>900</v>
      </c>
      <c r="F548" s="469" t="s">
        <v>900</v>
      </c>
      <c r="G548" s="469" t="s">
        <v>900</v>
      </c>
      <c r="H548" s="469" t="s">
        <v>900</v>
      </c>
      <c r="O548" s="470"/>
      <c r="P548" s="471"/>
      <c r="Q548" s="846"/>
      <c r="R548" s="471"/>
      <c r="S548" s="472"/>
      <c r="T548" s="471"/>
      <c r="U548" s="470"/>
      <c r="V548" s="471"/>
      <c r="W548" s="473"/>
      <c r="X548" s="474">
        <v>491.39469122483388</v>
      </c>
      <c r="Y548" s="475">
        <v>116.45082093845241</v>
      </c>
      <c r="Z548" s="475">
        <v>206.28323811653175</v>
      </c>
      <c r="AA548" s="475">
        <v>168.27556802063162</v>
      </c>
      <c r="AB548" s="476" t="s">
        <v>900</v>
      </c>
      <c r="AC548" s="475"/>
      <c r="AD548" s="475"/>
      <c r="AE548" s="475"/>
      <c r="AF548" s="476"/>
      <c r="AG548" s="475">
        <v>70.067546316834964</v>
      </c>
      <c r="AH548" s="475">
        <v>434.61269992752568</v>
      </c>
      <c r="AI548" s="475">
        <v>29.413749475171791</v>
      </c>
      <c r="AJ548" s="476">
        <v>23.994268490952837</v>
      </c>
      <c r="AK548" s="475"/>
      <c r="AL548" s="475"/>
      <c r="AM548" s="475"/>
      <c r="AN548" s="475"/>
      <c r="AO548" s="476"/>
      <c r="AQ548" s="474"/>
      <c r="AR548" s="475"/>
      <c r="AS548" s="475"/>
      <c r="AT548" s="475"/>
      <c r="AU548" s="476"/>
      <c r="AW548" s="477"/>
      <c r="AY548" s="847"/>
      <c r="AZ548" s="475"/>
      <c r="BA548" s="475"/>
      <c r="BB548" s="475"/>
      <c r="BC548" s="476"/>
      <c r="BD548" s="474"/>
      <c r="BE548" s="475"/>
      <c r="BF548" s="478" t="s">
        <v>1450</v>
      </c>
      <c r="BJ548" s="479"/>
      <c r="BK548" s="480"/>
      <c r="BL548" s="479"/>
      <c r="BM548" s="479"/>
      <c r="BN548" s="479"/>
      <c r="BQ548" s="481"/>
      <c r="BR548" s="479"/>
      <c r="BT548" s="482">
        <v>0</v>
      </c>
      <c r="BU548" s="483"/>
      <c r="BV548" s="484"/>
      <c r="BX548" s="485"/>
      <c r="BY548" s="486" t="s">
        <v>900</v>
      </c>
      <c r="BZ548" s="484" t="s">
        <v>900</v>
      </c>
      <c r="CB548" s="481"/>
      <c r="CE548" s="481"/>
      <c r="CH548" s="199"/>
      <c r="CJ548" s="487" t="s">
        <v>1450</v>
      </c>
      <c r="CK548" s="487" t="s">
        <v>1448</v>
      </c>
      <c r="CL548" s="487" t="s">
        <v>1448</v>
      </c>
      <c r="CN548" s="487" t="s">
        <v>1448</v>
      </c>
      <c r="CO548" s="487" t="s">
        <v>1450</v>
      </c>
      <c r="CP548" s="487" t="s">
        <v>1450</v>
      </c>
      <c r="CQ548" s="487" t="s">
        <v>1450</v>
      </c>
      <c r="CS548" s="488">
        <v>0.85</v>
      </c>
      <c r="CT548" s="489">
        <v>0</v>
      </c>
      <c r="CU548" s="489">
        <v>0</v>
      </c>
      <c r="CV548" s="490">
        <v>0.85</v>
      </c>
    </row>
    <row r="549" spans="1:100" s="199" customFormat="1" outlineLevel="1" x14ac:dyDescent="0.3">
      <c r="A549" s="201"/>
      <c r="E549" s="199" t="s">
        <v>900</v>
      </c>
      <c r="F549" s="199" t="s">
        <v>900</v>
      </c>
      <c r="G549" s="199" t="s">
        <v>900</v>
      </c>
      <c r="H549" s="199" t="s">
        <v>900</v>
      </c>
      <c r="O549" s="509" t="s">
        <v>900</v>
      </c>
      <c r="P549" s="510" t="s">
        <v>900</v>
      </c>
      <c r="Q549" s="349" t="s">
        <v>900</v>
      </c>
      <c r="R549" s="510" t="s">
        <v>900</v>
      </c>
      <c r="S549" s="512" t="s">
        <v>900</v>
      </c>
      <c r="T549" s="510"/>
      <c r="U549" s="509"/>
      <c r="V549" s="510"/>
      <c r="W549" s="232"/>
      <c r="X549" s="270" t="s">
        <v>900</v>
      </c>
      <c r="Y549" s="271" t="s">
        <v>900</v>
      </c>
      <c r="Z549" s="271" t="s">
        <v>900</v>
      </c>
      <c r="AA549" s="271" t="s">
        <v>900</v>
      </c>
      <c r="AB549" s="272" t="s">
        <v>900</v>
      </c>
      <c r="AC549" s="271"/>
      <c r="AD549" s="271"/>
      <c r="AE549" s="271"/>
      <c r="AF549" s="272"/>
      <c r="AG549" s="271"/>
      <c r="AH549" s="271"/>
      <c r="AI549" s="271"/>
      <c r="AJ549" s="272"/>
      <c r="AK549" s="271"/>
      <c r="AL549" s="271"/>
      <c r="AM549" s="271"/>
      <c r="AN549" s="271"/>
      <c r="AO549" s="272"/>
      <c r="AQ549" s="270"/>
      <c r="AR549" s="271"/>
      <c r="AS549" s="271"/>
      <c r="AT549" s="271"/>
      <c r="AU549" s="272"/>
      <c r="AW549" s="326"/>
      <c r="AY549" s="378"/>
      <c r="AZ549" s="271"/>
      <c r="BA549" s="271"/>
      <c r="BB549" s="271"/>
      <c r="BC549" s="272"/>
      <c r="BD549" s="270"/>
      <c r="BE549" s="271"/>
      <c r="BF549" s="363" t="s">
        <v>1450</v>
      </c>
      <c r="BJ549" s="513"/>
      <c r="BK549" s="221"/>
      <c r="BL549" s="513"/>
      <c r="BM549" s="513"/>
      <c r="BN549" s="513"/>
      <c r="BQ549" s="200"/>
      <c r="BR549" s="513"/>
      <c r="BT549" s="514">
        <v>0</v>
      </c>
      <c r="BU549" s="515"/>
      <c r="BV549" s="516"/>
      <c r="BX549" s="517"/>
      <c r="BY549" s="518" t="s">
        <v>900</v>
      </c>
      <c r="BZ549" s="516" t="s">
        <v>900</v>
      </c>
      <c r="CB549" s="200"/>
      <c r="CE549" s="200"/>
      <c r="CJ549" s="519" t="s">
        <v>1450</v>
      </c>
      <c r="CK549" s="519" t="s">
        <v>1448</v>
      </c>
      <c r="CL549" s="519" t="s">
        <v>1448</v>
      </c>
      <c r="CN549" s="519" t="s">
        <v>1448</v>
      </c>
      <c r="CO549" s="519" t="s">
        <v>1450</v>
      </c>
      <c r="CP549" s="519" t="s">
        <v>1450</v>
      </c>
      <c r="CQ549" s="519" t="s">
        <v>1450</v>
      </c>
      <c r="CS549" s="520">
        <v>0.85</v>
      </c>
      <c r="CT549" s="521">
        <v>0</v>
      </c>
      <c r="CU549" s="521">
        <v>0</v>
      </c>
      <c r="CV549" s="522">
        <v>0.85</v>
      </c>
    </row>
    <row r="550" spans="1:100" outlineLevel="1" x14ac:dyDescent="0.3">
      <c r="A550" s="1">
        <v>140416000</v>
      </c>
      <c r="B550" s="47">
        <v>403900</v>
      </c>
      <c r="C550" s="47">
        <v>4502</v>
      </c>
      <c r="D550" s="47" t="s">
        <v>201</v>
      </c>
      <c r="E550" s="47" t="s">
        <v>38</v>
      </c>
      <c r="F550" s="47" t="s">
        <v>1498</v>
      </c>
      <c r="G550" s="47" t="s">
        <v>1499</v>
      </c>
      <c r="H550" s="47" t="s">
        <v>1522</v>
      </c>
      <c r="I550" s="382">
        <v>34</v>
      </c>
      <c r="J550" s="382">
        <v>0</v>
      </c>
      <c r="K550" s="382">
        <v>0</v>
      </c>
      <c r="L550" s="382">
        <v>0</v>
      </c>
      <c r="M550" s="382">
        <v>0</v>
      </c>
      <c r="N550" s="382">
        <v>34</v>
      </c>
      <c r="O550" s="444">
        <v>111</v>
      </c>
      <c r="P550" s="445">
        <v>34</v>
      </c>
      <c r="Q550" s="346">
        <v>0.30630630630630629</v>
      </c>
      <c r="R550" s="445">
        <v>98</v>
      </c>
      <c r="S550" s="447">
        <v>87</v>
      </c>
      <c r="T550" s="445">
        <v>-2.3225123199121147</v>
      </c>
      <c r="U550" s="444">
        <v>104.07199076469769</v>
      </c>
      <c r="V550" s="445">
        <v>31.677487680087886</v>
      </c>
      <c r="W550" s="229">
        <v>0.30438052974031532</v>
      </c>
      <c r="X550" s="261">
        <v>38335.683121067086</v>
      </c>
      <c r="Y550" s="262">
        <v>9734.0050997693797</v>
      </c>
      <c r="Z550" s="262">
        <v>25188.336209411635</v>
      </c>
      <c r="AA550" s="262">
        <v>27746.961801738078</v>
      </c>
      <c r="AB550" s="263">
        <v>101004.98623198617</v>
      </c>
      <c r="AC550" s="262">
        <v>35754.67249341806</v>
      </c>
      <c r="AD550" s="262">
        <v>9078.6477781650574</v>
      </c>
      <c r="AE550" s="262">
        <v>23492.491550951338</v>
      </c>
      <c r="AF550" s="263">
        <v>25878.853619888519</v>
      </c>
      <c r="AG550" s="262">
        <v>35754.67249341806</v>
      </c>
      <c r="AH550" s="262">
        <v>9078.6477781650574</v>
      </c>
      <c r="AI550" s="262">
        <v>23492.491550951338</v>
      </c>
      <c r="AJ550" s="263">
        <v>25878.853619888519</v>
      </c>
      <c r="AK550" s="262">
        <v>36079.370197737255</v>
      </c>
      <c r="AL550" s="262">
        <v>9157.8606882600179</v>
      </c>
      <c r="AM550" s="262">
        <v>23652.248214332747</v>
      </c>
      <c r="AN550" s="262">
        <v>26029.333233099132</v>
      </c>
      <c r="AO550" s="263">
        <v>94918.812333429145</v>
      </c>
      <c r="AP550" s="31"/>
      <c r="AQ550" s="261">
        <v>36118.035480435086</v>
      </c>
      <c r="AR550" s="262">
        <v>9170.9110921516913</v>
      </c>
      <c r="AS550" s="262">
        <v>23731.238022590736</v>
      </c>
      <c r="AT550" s="262">
        <v>26141.851905039359</v>
      </c>
      <c r="AU550" s="263">
        <v>95162.036500216869</v>
      </c>
      <c r="AV550" s="31"/>
      <c r="AW550" s="323">
        <v>99183.610247150267</v>
      </c>
      <c r="AX550" s="31"/>
      <c r="AY550" s="747">
        <v>0</v>
      </c>
      <c r="AZ550" s="262">
        <v>0</v>
      </c>
      <c r="BA550" s="262">
        <v>95162.036500216869</v>
      </c>
      <c r="BB550" s="262">
        <v>931.43446255296351</v>
      </c>
      <c r="BC550" s="263">
        <v>94230.602037663906</v>
      </c>
      <c r="BD550" s="261">
        <v>942.30602037663903</v>
      </c>
      <c r="BE550" s="262">
        <v>93288.29601728727</v>
      </c>
      <c r="BF550" s="354">
        <v>0.94056160876607753</v>
      </c>
      <c r="BG550" s="31"/>
      <c r="BJ550" s="4">
        <v>0.94056160876607753</v>
      </c>
      <c r="BL550" s="4">
        <v>0.94999999999999984</v>
      </c>
      <c r="BM550" s="4">
        <v>0.95</v>
      </c>
      <c r="BN550" s="4" t="s">
        <v>1003</v>
      </c>
      <c r="BO550" s="31">
        <v>936.13371750547958</v>
      </c>
      <c r="BP550" s="31">
        <v>94224.42973479275</v>
      </c>
      <c r="BQ550" s="31">
        <v>94224.42973479275</v>
      </c>
      <c r="BR550" s="4">
        <v>0.95</v>
      </c>
      <c r="BS550" s="4" t="s">
        <v>900</v>
      </c>
      <c r="BT550" s="448" t="s">
        <v>900</v>
      </c>
      <c r="BU550" s="367" t="s">
        <v>900</v>
      </c>
      <c r="BV550" s="368">
        <v>93288.29601728727</v>
      </c>
      <c r="BX550" s="449">
        <v>-1115.5029827127291</v>
      </c>
      <c r="BY550" s="450">
        <v>-1.1816293353964804E-2</v>
      </c>
      <c r="BZ550" s="368">
        <v>-35.214376656956979</v>
      </c>
      <c r="CB550" s="31">
        <v>11622</v>
      </c>
      <c r="CC550" s="31">
        <v>12230.458268944347</v>
      </c>
      <c r="CD550" s="31" t="e">
        <v>#VALUE!</v>
      </c>
      <c r="CE550" s="31" t="s">
        <v>900</v>
      </c>
      <c r="CF550" s="31" t="e">
        <v>#VALUE!</v>
      </c>
      <c r="CJ550" s="702" t="s">
        <v>1447</v>
      </c>
      <c r="CK550" s="702" t="s">
        <v>1447</v>
      </c>
      <c r="CL550" s="702" t="s">
        <v>1448</v>
      </c>
      <c r="CN550" s="702" t="s">
        <v>1447</v>
      </c>
      <c r="CO550" s="702" t="s">
        <v>1447</v>
      </c>
      <c r="CP550" s="702" t="s">
        <v>1447</v>
      </c>
      <c r="CQ550" s="702" t="s">
        <v>1447</v>
      </c>
      <c r="CS550" s="451">
        <v>0</v>
      </c>
      <c r="CT550" s="452">
        <v>0</v>
      </c>
      <c r="CU550" s="452">
        <v>0.95</v>
      </c>
      <c r="CV550" s="453">
        <v>0.95</v>
      </c>
    </row>
    <row r="551" spans="1:100" outlineLevel="1" x14ac:dyDescent="0.3">
      <c r="A551" s="1">
        <v>140417000</v>
      </c>
      <c r="B551" s="47">
        <v>405220</v>
      </c>
      <c r="C551" s="47">
        <v>4503</v>
      </c>
      <c r="D551" s="47" t="s">
        <v>292</v>
      </c>
      <c r="E551" s="47" t="s">
        <v>38</v>
      </c>
      <c r="F551" s="47" t="s">
        <v>1498</v>
      </c>
      <c r="G551" s="47" t="s">
        <v>1502</v>
      </c>
      <c r="H551" s="47" t="s">
        <v>1523</v>
      </c>
      <c r="I551" s="382">
        <v>51</v>
      </c>
      <c r="J551" s="382">
        <v>0</v>
      </c>
      <c r="K551" s="382">
        <v>0</v>
      </c>
      <c r="L551" s="382">
        <v>1</v>
      </c>
      <c r="M551" s="382">
        <v>0</v>
      </c>
      <c r="N551" s="382">
        <v>51</v>
      </c>
      <c r="O551" s="444">
        <v>177</v>
      </c>
      <c r="P551" s="445">
        <v>52</v>
      </c>
      <c r="Q551" s="346">
        <v>0.29378531073446329</v>
      </c>
      <c r="R551" s="445">
        <v>143</v>
      </c>
      <c r="S551" s="447">
        <v>99</v>
      </c>
      <c r="T551" s="445">
        <v>-3.4837684798681718</v>
      </c>
      <c r="U551" s="444">
        <v>165.95263392208548</v>
      </c>
      <c r="V551" s="445">
        <v>48.516231520131825</v>
      </c>
      <c r="W551" s="229">
        <v>0.29234987341574903</v>
      </c>
      <c r="X551" s="261">
        <v>38322.599270172526</v>
      </c>
      <c r="Y551" s="262">
        <v>9730.6829137285022</v>
      </c>
      <c r="Z551" s="262">
        <v>17164.912551918031</v>
      </c>
      <c r="AA551" s="262">
        <v>15639.795373451943</v>
      </c>
      <c r="AB551" s="263">
        <v>80857.990109271006</v>
      </c>
      <c r="AC551" s="262">
        <v>35742.469533522701</v>
      </c>
      <c r="AD551" s="262">
        <v>9075.5492635650007</v>
      </c>
      <c r="AE551" s="262">
        <v>16009.257608213107</v>
      </c>
      <c r="AF551" s="263">
        <v>14586.821361076711</v>
      </c>
      <c r="AG551" s="262">
        <v>35742.469533522701</v>
      </c>
      <c r="AH551" s="262">
        <v>9075.5492635650007</v>
      </c>
      <c r="AI551" s="262">
        <v>16009.257608213107</v>
      </c>
      <c r="AJ551" s="263">
        <v>14586.821361076711</v>
      </c>
      <c r="AK551" s="262">
        <v>36067.167237841895</v>
      </c>
      <c r="AL551" s="262">
        <v>9154.7621736599613</v>
      </c>
      <c r="AM551" s="262">
        <v>16169.014271594517</v>
      </c>
      <c r="AN551" s="262">
        <v>14737.300974287322</v>
      </c>
      <c r="AO551" s="263">
        <v>76128.244657383693</v>
      </c>
      <c r="AP551" s="31"/>
      <c r="AQ551" s="261">
        <v>36105.708505868381</v>
      </c>
      <c r="AR551" s="262">
        <v>9167.7810883659731</v>
      </c>
      <c r="AS551" s="262">
        <v>16171.954432397866</v>
      </c>
      <c r="AT551" s="262">
        <v>14735.06243311618</v>
      </c>
      <c r="AU551" s="263">
        <v>76180.506459748402</v>
      </c>
      <c r="AV551" s="31"/>
      <c r="AW551" s="323">
        <v>83811.021963354389</v>
      </c>
      <c r="AX551" s="31"/>
      <c r="AY551" s="747">
        <v>0</v>
      </c>
      <c r="AZ551" s="262">
        <v>0</v>
      </c>
      <c r="BA551" s="262">
        <v>76180.506459748402</v>
      </c>
      <c r="BB551" s="262">
        <v>745.64555048363866</v>
      </c>
      <c r="BC551" s="263">
        <v>75434.860909264768</v>
      </c>
      <c r="BD551" s="261">
        <v>754.34860909264773</v>
      </c>
      <c r="BE551" s="262">
        <v>74680.512300172122</v>
      </c>
      <c r="BF551" s="354">
        <v>0.89105836619944212</v>
      </c>
      <c r="BG551" s="31"/>
      <c r="BJ551" s="4">
        <v>0.89105836619944212</v>
      </c>
      <c r="BL551" s="4">
        <v>0.90000000000000013</v>
      </c>
      <c r="BM551" s="4">
        <v>0.9</v>
      </c>
      <c r="BN551" s="4" t="s">
        <v>1003</v>
      </c>
      <c r="BO551" s="31">
        <v>749.40746684682381</v>
      </c>
      <c r="BP551" s="31">
        <v>75429.919767018946</v>
      </c>
      <c r="BQ551" s="31">
        <v>75429.919767018946</v>
      </c>
      <c r="BR551" s="4">
        <v>0.89999999999999991</v>
      </c>
      <c r="BS551" s="4" t="s">
        <v>900</v>
      </c>
      <c r="BT551" s="448" t="s">
        <v>900</v>
      </c>
      <c r="BU551" s="367" t="s">
        <v>900</v>
      </c>
      <c r="BV551" s="368">
        <v>74680.512300172122</v>
      </c>
      <c r="BX551" s="449">
        <v>-893.00069982788409</v>
      </c>
      <c r="BY551" s="450">
        <v>-1.1816318500740915E-2</v>
      </c>
      <c r="BZ551" s="368">
        <v>-18.40622554242147</v>
      </c>
      <c r="CB551" s="31">
        <v>6510</v>
      </c>
      <c r="CC551" s="31">
        <v>7448.567503538995</v>
      </c>
      <c r="CD551" s="31" t="e">
        <v>#VALUE!</v>
      </c>
      <c r="CE551" s="31" t="s">
        <v>900</v>
      </c>
      <c r="CF551" s="31" t="e">
        <v>#VALUE!</v>
      </c>
      <c r="CJ551" s="702" t="s">
        <v>1447</v>
      </c>
      <c r="CK551" s="702" t="s">
        <v>1447</v>
      </c>
      <c r="CL551" s="702" t="s">
        <v>1448</v>
      </c>
      <c r="CN551" s="702" t="s">
        <v>1447</v>
      </c>
      <c r="CO551" s="702" t="s">
        <v>1447</v>
      </c>
      <c r="CP551" s="702" t="s">
        <v>1447</v>
      </c>
      <c r="CQ551" s="702" t="s">
        <v>1447</v>
      </c>
      <c r="CS551" s="451">
        <v>0</v>
      </c>
      <c r="CT551" s="452">
        <v>0.9</v>
      </c>
      <c r="CU551" s="452">
        <v>0</v>
      </c>
      <c r="CV551" s="453">
        <v>0.9</v>
      </c>
    </row>
    <row r="552" spans="1:100" outlineLevel="1" x14ac:dyDescent="0.3">
      <c r="A552" s="1">
        <v>140424000</v>
      </c>
      <c r="B552" s="47">
        <v>409090</v>
      </c>
      <c r="C552" s="47">
        <v>4504</v>
      </c>
      <c r="D552" s="47" t="s">
        <v>434</v>
      </c>
      <c r="E552" s="47" t="s">
        <v>38</v>
      </c>
      <c r="F552" s="47" t="s">
        <v>1498</v>
      </c>
      <c r="G552" s="47" t="s">
        <v>1502</v>
      </c>
      <c r="H552" s="47" t="s">
        <v>1522</v>
      </c>
      <c r="I552" s="382">
        <v>90</v>
      </c>
      <c r="J552" s="382">
        <v>0</v>
      </c>
      <c r="K552" s="382">
        <v>0</v>
      </c>
      <c r="L552" s="382">
        <v>1</v>
      </c>
      <c r="M552" s="382">
        <v>0</v>
      </c>
      <c r="N552" s="382">
        <v>90</v>
      </c>
      <c r="O552" s="444">
        <v>359</v>
      </c>
      <c r="P552" s="445">
        <v>91</v>
      </c>
      <c r="Q552" s="346">
        <v>0.25348189415041783</v>
      </c>
      <c r="R552" s="445">
        <v>241</v>
      </c>
      <c r="S552" s="447">
        <v>205</v>
      </c>
      <c r="T552" s="445">
        <v>-6.1478267291791262</v>
      </c>
      <c r="U552" s="444">
        <v>336.59319535609433</v>
      </c>
      <c r="V552" s="445">
        <v>84.85217327082087</v>
      </c>
      <c r="W552" s="229">
        <v>0.25209117249400315</v>
      </c>
      <c r="X552" s="261">
        <v>54564.206266828274</v>
      </c>
      <c r="Y552" s="262">
        <v>13854.670605159958</v>
      </c>
      <c r="Z552" s="262">
        <v>24470.556648760466</v>
      </c>
      <c r="AA552" s="262">
        <v>22313.235948566315</v>
      </c>
      <c r="AB552" s="263">
        <v>115202.66946931502</v>
      </c>
      <c r="AC552" s="262">
        <v>50890.584596407985</v>
      </c>
      <c r="AD552" s="262">
        <v>12921.882947207849</v>
      </c>
      <c r="AE552" s="262">
        <v>22823.037636891604</v>
      </c>
      <c r="AF552" s="263">
        <v>20810.961972161251</v>
      </c>
      <c r="AG552" s="262">
        <v>50890.584596407985</v>
      </c>
      <c r="AH552" s="262">
        <v>12921.882947207849</v>
      </c>
      <c r="AI552" s="262">
        <v>22823.037636891604</v>
      </c>
      <c r="AJ552" s="263">
        <v>20810.961972161251</v>
      </c>
      <c r="AK552" s="262">
        <v>51215.28230072718</v>
      </c>
      <c r="AL552" s="262">
        <v>13001.095857302809</v>
      </c>
      <c r="AM552" s="262">
        <v>22982.794300273014</v>
      </c>
      <c r="AN552" s="262">
        <v>20961.441585371864</v>
      </c>
      <c r="AO552" s="263">
        <v>108160.61404367487</v>
      </c>
      <c r="AP552" s="31"/>
      <c r="AQ552" s="261">
        <v>51407.768884234902</v>
      </c>
      <c r="AR552" s="262">
        <v>13053.203797271461</v>
      </c>
      <c r="AS552" s="262">
        <v>23054.98066839523</v>
      </c>
      <c r="AT552" s="262">
        <v>21022.456939883141</v>
      </c>
      <c r="AU552" s="263">
        <v>108538.41028978473</v>
      </c>
      <c r="AV552" s="31"/>
      <c r="AW552" s="323">
        <v>119410.01066291367</v>
      </c>
      <c r="AX552" s="31"/>
      <c r="AY552" s="747">
        <v>0</v>
      </c>
      <c r="AZ552" s="262">
        <v>0</v>
      </c>
      <c r="BA552" s="262">
        <v>108538.41028978473</v>
      </c>
      <c r="BB552" s="262">
        <v>1062.3607855889916</v>
      </c>
      <c r="BC552" s="263">
        <v>107476.04950419575</v>
      </c>
      <c r="BD552" s="261">
        <v>1074.7604950419575</v>
      </c>
      <c r="BE552" s="262">
        <v>106401.28900915378</v>
      </c>
      <c r="BF552" s="354">
        <v>0.89105836619944179</v>
      </c>
      <c r="BG552" s="31"/>
      <c r="BJ552" s="4">
        <v>0.89105836619944179</v>
      </c>
      <c r="BL552" s="4">
        <v>0.9</v>
      </c>
      <c r="BM552" s="4">
        <v>0.9</v>
      </c>
      <c r="BN552" s="4" t="s">
        <v>1003</v>
      </c>
      <c r="BO552" s="31">
        <v>1067.7205874685314</v>
      </c>
      <c r="BP552" s="31">
        <v>107469.00959662232</v>
      </c>
      <c r="BQ552" s="31">
        <v>107469.00959662232</v>
      </c>
      <c r="BR552" s="4">
        <v>0.90000000000000013</v>
      </c>
      <c r="BS552" s="4" t="s">
        <v>900</v>
      </c>
      <c r="BT552" s="448" t="s">
        <v>900</v>
      </c>
      <c r="BU552" s="367" t="s">
        <v>900</v>
      </c>
      <c r="BV552" s="368">
        <v>106401.28900915378</v>
      </c>
      <c r="BX552" s="449">
        <v>-1272.2989908462187</v>
      </c>
      <c r="BY552" s="450">
        <v>-1.1816258884641408E-2</v>
      </c>
      <c r="BZ552" s="368">
        <v>-14.99430057949664</v>
      </c>
      <c r="CB552" s="31">
        <v>16068</v>
      </c>
      <c r="CC552" s="31">
        <v>17756.651205513714</v>
      </c>
      <c r="CD552" s="31" t="e">
        <v>#VALUE!</v>
      </c>
      <c r="CE552" s="31" t="s">
        <v>900</v>
      </c>
      <c r="CF552" s="31" t="e">
        <v>#VALUE!</v>
      </c>
      <c r="CJ552" s="702" t="s">
        <v>1447</v>
      </c>
      <c r="CK552" s="702" t="s">
        <v>1447</v>
      </c>
      <c r="CL552" s="702" t="s">
        <v>1448</v>
      </c>
      <c r="CN552" s="702" t="s">
        <v>1447</v>
      </c>
      <c r="CO552" s="702" t="s">
        <v>1447</v>
      </c>
      <c r="CP552" s="702" t="s">
        <v>1447</v>
      </c>
      <c r="CQ552" s="702" t="s">
        <v>1447</v>
      </c>
      <c r="CS552" s="451">
        <v>0</v>
      </c>
      <c r="CT552" s="452">
        <v>0.9</v>
      </c>
      <c r="CU552" s="452">
        <v>0</v>
      </c>
      <c r="CV552" s="453">
        <v>0.9</v>
      </c>
    </row>
    <row r="553" spans="1:100" outlineLevel="1" x14ac:dyDescent="0.3">
      <c r="A553" s="1">
        <v>140550000</v>
      </c>
      <c r="B553" s="47">
        <v>400720</v>
      </c>
      <c r="C553" s="47">
        <v>4506</v>
      </c>
      <c r="D553" s="47" t="s">
        <v>37</v>
      </c>
      <c r="E553" s="47" t="s">
        <v>38</v>
      </c>
      <c r="F553" s="47" t="s">
        <v>1498</v>
      </c>
      <c r="G553" s="47" t="s">
        <v>1499</v>
      </c>
      <c r="H553" s="47" t="s">
        <v>1523</v>
      </c>
      <c r="I553" s="382">
        <v>73</v>
      </c>
      <c r="J553" s="382">
        <v>0</v>
      </c>
      <c r="K553" s="382">
        <v>0</v>
      </c>
      <c r="L553" s="382">
        <v>1</v>
      </c>
      <c r="M553" s="382">
        <v>0</v>
      </c>
      <c r="N553" s="382">
        <v>73</v>
      </c>
      <c r="O553" s="444">
        <v>360</v>
      </c>
      <c r="P553" s="445">
        <v>74</v>
      </c>
      <c r="Q553" s="346">
        <v>0.20555555555555555</v>
      </c>
      <c r="R553" s="445">
        <v>213</v>
      </c>
      <c r="S553" s="447">
        <v>176</v>
      </c>
      <c r="T553" s="445">
        <v>-4.98657056922307</v>
      </c>
      <c r="U553" s="444">
        <v>337.53078085847898</v>
      </c>
      <c r="V553" s="445">
        <v>69.013429430776924</v>
      </c>
      <c r="W553" s="229">
        <v>0.20446558756877672</v>
      </c>
      <c r="X553" s="261">
        <v>42466.457685029716</v>
      </c>
      <c r="Y553" s="262">
        <v>10740.907460106775</v>
      </c>
      <c r="Z553" s="262">
        <v>18832.559967486926</v>
      </c>
      <c r="AA553" s="262">
        <v>17096.746078851225</v>
      </c>
      <c r="AB553" s="263">
        <v>89136.671191474641</v>
      </c>
      <c r="AC553" s="262">
        <v>39607.336112641824</v>
      </c>
      <c r="AD553" s="262">
        <v>10017.758841166537</v>
      </c>
      <c r="AE553" s="262">
        <v>17564.628018330928</v>
      </c>
      <c r="AF553" s="263">
        <v>15945.680550988434</v>
      </c>
      <c r="AG553" s="262">
        <v>39607.336112641824</v>
      </c>
      <c r="AH553" s="262">
        <v>10017.758841166537</v>
      </c>
      <c r="AI553" s="262">
        <v>17564.628018330928</v>
      </c>
      <c r="AJ553" s="263">
        <v>15945.680550988434</v>
      </c>
      <c r="AK553" s="262">
        <v>39932.033816961019</v>
      </c>
      <c r="AL553" s="262">
        <v>10096.971751261497</v>
      </c>
      <c r="AM553" s="262">
        <v>17724.384681712338</v>
      </c>
      <c r="AN553" s="262">
        <v>16096.160164199046</v>
      </c>
      <c r="AO553" s="263">
        <v>83849.55041413389</v>
      </c>
      <c r="AP553" s="31"/>
      <c r="AQ553" s="261">
        <v>39854.147677136236</v>
      </c>
      <c r="AR553" s="262">
        <v>10119.56603228016</v>
      </c>
      <c r="AS553" s="262">
        <v>17743.131560875147</v>
      </c>
      <c r="AT553" s="262">
        <v>16107.731262433013</v>
      </c>
      <c r="AU553" s="263">
        <v>83824.576532724546</v>
      </c>
      <c r="AV553" s="31"/>
      <c r="AW553" s="323">
        <v>92220.749786759319</v>
      </c>
      <c r="AX553" s="31"/>
      <c r="AY553" s="747">
        <v>0</v>
      </c>
      <c r="AZ553" s="262">
        <v>0</v>
      </c>
      <c r="BA553" s="262">
        <v>83824.576532724546</v>
      </c>
      <c r="BB553" s="262">
        <v>820.46478052526879</v>
      </c>
      <c r="BC553" s="263">
        <v>83004.111752199271</v>
      </c>
      <c r="BD553" s="261">
        <v>830.04111752199276</v>
      </c>
      <c r="BE553" s="262">
        <v>82174.070634677279</v>
      </c>
      <c r="BF553" s="354">
        <v>0.89105836619944179</v>
      </c>
      <c r="BG553" s="31"/>
      <c r="BJ553" s="4">
        <v>0.89105836619944179</v>
      </c>
      <c r="BL553" s="4">
        <v>0.90000000000000013</v>
      </c>
      <c r="BM553" s="4">
        <v>0.9</v>
      </c>
      <c r="BN553" s="4" t="s">
        <v>1003</v>
      </c>
      <c r="BO553" s="31">
        <v>824.60417340611457</v>
      </c>
      <c r="BP553" s="31">
        <v>82998.674808083393</v>
      </c>
      <c r="BQ553" s="31">
        <v>82998.674808083393</v>
      </c>
      <c r="BR553" s="4">
        <v>0.9</v>
      </c>
      <c r="BS553" s="4" t="s">
        <v>900</v>
      </c>
      <c r="BT553" s="448" t="s">
        <v>900</v>
      </c>
      <c r="BU553" s="367" t="s">
        <v>900</v>
      </c>
      <c r="BV553" s="368">
        <v>82174.070634677279</v>
      </c>
      <c r="BX553" s="449">
        <v>-1138.8483653227304</v>
      </c>
      <c r="BY553" s="450">
        <v>-1.3669529035739706E-2</v>
      </c>
      <c r="BZ553" s="368">
        <v>-16.501837029632593</v>
      </c>
      <c r="CB553" s="31">
        <v>13651</v>
      </c>
      <c r="CC553" s="31">
        <v>15089.307491092412</v>
      </c>
      <c r="CD553" s="31" t="e">
        <v>#VALUE!</v>
      </c>
      <c r="CE553" s="31" t="s">
        <v>900</v>
      </c>
      <c r="CF553" s="31" t="e">
        <v>#VALUE!</v>
      </c>
      <c r="CJ553" s="702" t="s">
        <v>1447</v>
      </c>
      <c r="CK553" s="702" t="s">
        <v>1447</v>
      </c>
      <c r="CL553" s="702" t="s">
        <v>1448</v>
      </c>
      <c r="CN553" s="702" t="s">
        <v>1447</v>
      </c>
      <c r="CO553" s="702" t="s">
        <v>1447</v>
      </c>
      <c r="CP553" s="702" t="s">
        <v>1447</v>
      </c>
      <c r="CQ553" s="702" t="s">
        <v>1447</v>
      </c>
      <c r="CS553" s="451">
        <v>0</v>
      </c>
      <c r="CT553" s="452">
        <v>0.9</v>
      </c>
      <c r="CU553" s="452">
        <v>0</v>
      </c>
      <c r="CV553" s="453">
        <v>0.9</v>
      </c>
    </row>
    <row r="554" spans="1:100" outlineLevel="1" x14ac:dyDescent="0.3">
      <c r="A554" s="1">
        <v>140411000</v>
      </c>
      <c r="B554" s="47">
        <v>407890</v>
      </c>
      <c r="C554" s="47">
        <v>4500</v>
      </c>
      <c r="D554" s="47" t="s">
        <v>390</v>
      </c>
      <c r="E554" s="47" t="s">
        <v>38</v>
      </c>
      <c r="F554" s="47" t="s">
        <v>1498</v>
      </c>
      <c r="G554" s="47" t="s">
        <v>1502</v>
      </c>
      <c r="H554" s="47" t="s">
        <v>1513</v>
      </c>
      <c r="I554" s="382">
        <v>1169</v>
      </c>
      <c r="J554" s="382">
        <v>0</v>
      </c>
      <c r="K554" s="382">
        <v>0</v>
      </c>
      <c r="L554" s="382">
        <v>17</v>
      </c>
      <c r="M554" s="382">
        <v>0</v>
      </c>
      <c r="N554" s="382">
        <v>1169</v>
      </c>
      <c r="O554" s="444">
        <v>3254</v>
      </c>
      <c r="P554" s="445">
        <v>1186</v>
      </c>
      <c r="Q554" s="346">
        <v>0.36447449293177625</v>
      </c>
      <c r="R554" s="445">
        <v>2802</v>
      </c>
      <c r="S554" s="447">
        <v>2421</v>
      </c>
      <c r="T554" s="445">
        <v>-79.853438293448875</v>
      </c>
      <c r="U554" s="444">
        <v>3050.9032247596961</v>
      </c>
      <c r="V554" s="445">
        <v>1106.1465617065512</v>
      </c>
      <c r="W554" s="229">
        <v>0.36256363450980217</v>
      </c>
      <c r="X554" s="261">
        <v>546996.58037182654</v>
      </c>
      <c r="Y554" s="262">
        <v>130345.54306238084</v>
      </c>
      <c r="Z554" s="262">
        <v>299676.85914339789</v>
      </c>
      <c r="AA554" s="262">
        <v>313156.62084076932</v>
      </c>
      <c r="AB554" s="263">
        <v>1290175.6034183747</v>
      </c>
      <c r="AC554" s="262">
        <v>510169.1686163409</v>
      </c>
      <c r="AD554" s="262">
        <v>121569.82277983786</v>
      </c>
      <c r="AE554" s="262">
        <v>279500.63961792568</v>
      </c>
      <c r="AF554" s="263">
        <v>292072.85499378724</v>
      </c>
      <c r="AG554" s="262">
        <v>510169.1686163409</v>
      </c>
      <c r="AH554" s="262">
        <v>121569.82277983786</v>
      </c>
      <c r="AI554" s="262">
        <v>279500.63961792568</v>
      </c>
      <c r="AJ554" s="263">
        <v>292072.85499378724</v>
      </c>
      <c r="AK554" s="262">
        <v>510493.8663206601</v>
      </c>
      <c r="AL554" s="262">
        <v>121649.03568993283</v>
      </c>
      <c r="AM554" s="262">
        <v>279660.3962813071</v>
      </c>
      <c r="AN554" s="262">
        <v>292223.33460699784</v>
      </c>
      <c r="AO554" s="263">
        <v>1204026.6328988979</v>
      </c>
      <c r="AP554" s="31"/>
      <c r="AQ554" s="261">
        <v>502739.95770070527</v>
      </c>
      <c r="AR554" s="262">
        <v>122805.29693904163</v>
      </c>
      <c r="AS554" s="262">
        <v>282341.112770167</v>
      </c>
      <c r="AT554" s="262">
        <v>295041.09543947078</v>
      </c>
      <c r="AU554" s="263">
        <v>1202927.4628493846</v>
      </c>
      <c r="AV554" s="31"/>
      <c r="AW554" s="323">
        <v>1237318.6319168457</v>
      </c>
      <c r="AX554" s="31"/>
      <c r="AY554" s="747">
        <v>0</v>
      </c>
      <c r="AZ554" s="262">
        <v>0</v>
      </c>
      <c r="BA554" s="262">
        <v>1202927.4628493846</v>
      </c>
      <c r="BB554" s="262">
        <v>11774.107995752729</v>
      </c>
      <c r="BC554" s="263">
        <v>1191153.3548536319</v>
      </c>
      <c r="BD554" s="261">
        <v>11911.533548536319</v>
      </c>
      <c r="BE554" s="262">
        <v>1179241.8213050957</v>
      </c>
      <c r="BF554" s="354">
        <v>0.95306236476712725</v>
      </c>
      <c r="BG554" s="31"/>
      <c r="BJ554" s="523">
        <v>0.94989999999999997</v>
      </c>
      <c r="BK554" s="524"/>
      <c r="BL554" s="4">
        <v>0.97250739042100298</v>
      </c>
      <c r="BM554" s="4">
        <v>0.95</v>
      </c>
      <c r="BN554" s="4" t="s">
        <v>1003</v>
      </c>
      <c r="BO554" s="31">
        <v>124.14378579915501</v>
      </c>
      <c r="BP554" s="31">
        <v>1179365.9650908948</v>
      </c>
      <c r="BQ554" s="31">
        <v>1179365.9650908948</v>
      </c>
      <c r="BR554" s="4">
        <v>0.95316269768267292</v>
      </c>
      <c r="BS554" s="4" t="s">
        <v>900</v>
      </c>
      <c r="BT554" s="448" t="s">
        <v>900</v>
      </c>
      <c r="BU554" s="367" t="s">
        <v>900</v>
      </c>
      <c r="BV554" s="368">
        <v>1179241.8213050957</v>
      </c>
      <c r="BX554" s="449">
        <v>-1268.8876418545842</v>
      </c>
      <c r="BY554" s="450">
        <v>-1.0742857025059708E-3</v>
      </c>
      <c r="BZ554" s="368">
        <v>-1.1471243375714677</v>
      </c>
      <c r="CB554" s="31">
        <v>121809</v>
      </c>
      <c r="CC554" s="31">
        <v>142462.53508805248</v>
      </c>
      <c r="CD554" s="31" t="e">
        <v>#VALUE!</v>
      </c>
      <c r="CE554" s="31" t="s">
        <v>900</v>
      </c>
      <c r="CF554" s="31" t="e">
        <v>#VALUE!</v>
      </c>
      <c r="CJ554" s="702" t="s">
        <v>1447</v>
      </c>
      <c r="CK554" s="702" t="s">
        <v>1447</v>
      </c>
      <c r="CL554" s="702" t="s">
        <v>1448</v>
      </c>
      <c r="CN554" s="702" t="s">
        <v>1447</v>
      </c>
      <c r="CO554" s="702" t="s">
        <v>1447</v>
      </c>
      <c r="CP554" s="702" t="s">
        <v>1447</v>
      </c>
      <c r="CQ554" s="702" t="s">
        <v>1447</v>
      </c>
      <c r="CS554" s="451">
        <v>0</v>
      </c>
      <c r="CT554" s="452">
        <v>0</v>
      </c>
      <c r="CU554" s="452">
        <v>0.95</v>
      </c>
      <c r="CV554" s="453">
        <v>0.95</v>
      </c>
    </row>
    <row r="555" spans="1:100" outlineLevel="1" x14ac:dyDescent="0.3">
      <c r="A555" s="1">
        <v>140432000</v>
      </c>
      <c r="B555" s="47">
        <v>403240</v>
      </c>
      <c r="C555" s="47">
        <v>4505</v>
      </c>
      <c r="D555" s="47" t="s">
        <v>176</v>
      </c>
      <c r="E555" s="47" t="s">
        <v>38</v>
      </c>
      <c r="F555" s="47" t="s">
        <v>1498</v>
      </c>
      <c r="G555" s="47" t="s">
        <v>1499</v>
      </c>
      <c r="H555" s="47" t="s">
        <v>1513</v>
      </c>
      <c r="I555" s="382">
        <v>1683</v>
      </c>
      <c r="J555" s="382">
        <v>0</v>
      </c>
      <c r="K555" s="382">
        <v>0</v>
      </c>
      <c r="L555" s="382">
        <v>25</v>
      </c>
      <c r="M555" s="382">
        <v>0</v>
      </c>
      <c r="N555" s="382">
        <v>1683</v>
      </c>
      <c r="O555" s="444">
        <v>4424</v>
      </c>
      <c r="P555" s="445">
        <v>1708</v>
      </c>
      <c r="Q555" s="346">
        <v>0.38607594936708861</v>
      </c>
      <c r="R555" s="445">
        <v>5280</v>
      </c>
      <c r="S555" s="447">
        <v>4917</v>
      </c>
      <c r="T555" s="445">
        <v>-114.96435983564966</v>
      </c>
      <c r="U555" s="444">
        <v>4147.8782625497524</v>
      </c>
      <c r="V555" s="445">
        <v>1593.0356401643503</v>
      </c>
      <c r="W555" s="229">
        <v>0.38406036516247499</v>
      </c>
      <c r="X555" s="261">
        <v>787748.8695405391</v>
      </c>
      <c r="Y555" s="262">
        <v>196335.68618822371</v>
      </c>
      <c r="Z555" s="262">
        <v>503140.03810751752</v>
      </c>
      <c r="AA555" s="262">
        <v>552044.26813052362</v>
      </c>
      <c r="AB555" s="263">
        <v>2039268.8619668041</v>
      </c>
      <c r="AC555" s="262">
        <v>734712.42832774867</v>
      </c>
      <c r="AD555" s="262">
        <v>183117.07492627672</v>
      </c>
      <c r="AE555" s="262">
        <v>469265.33757198445</v>
      </c>
      <c r="AF555" s="263">
        <v>514877.01279616903</v>
      </c>
      <c r="AG555" s="262">
        <v>734712.42832774867</v>
      </c>
      <c r="AH555" s="262">
        <v>183117.07492627672</v>
      </c>
      <c r="AI555" s="262">
        <v>469265.33757198445</v>
      </c>
      <c r="AJ555" s="263">
        <v>514877.01279616903</v>
      </c>
      <c r="AK555" s="262">
        <v>735037.12603206781</v>
      </c>
      <c r="AL555" s="262">
        <v>183196.28783637169</v>
      </c>
      <c r="AM555" s="262">
        <v>469425.09423536586</v>
      </c>
      <c r="AN555" s="262">
        <v>515027.49240937963</v>
      </c>
      <c r="AO555" s="263">
        <v>1902686.000513185</v>
      </c>
      <c r="AP555" s="31"/>
      <c r="AQ555" s="261">
        <v>728503.7563818245</v>
      </c>
      <c r="AR555" s="262">
        <v>184978.03358367397</v>
      </c>
      <c r="AS555" s="262">
        <v>474034.32698994363</v>
      </c>
      <c r="AT555" s="262">
        <v>520109.5386807358</v>
      </c>
      <c r="AU555" s="263">
        <v>1907625.6556361779</v>
      </c>
      <c r="AV555" s="31"/>
      <c r="AW555" s="323">
        <v>1988242.4387339794</v>
      </c>
      <c r="AX555" s="31"/>
      <c r="AY555" s="747">
        <v>0</v>
      </c>
      <c r="AZ555" s="262">
        <v>0</v>
      </c>
      <c r="BA555" s="262">
        <v>1907625.6556361779</v>
      </c>
      <c r="BB555" s="262">
        <v>18671.608370904072</v>
      </c>
      <c r="BC555" s="263">
        <v>1888954.0472652738</v>
      </c>
      <c r="BD555" s="261">
        <v>18889.540472652738</v>
      </c>
      <c r="BE555" s="262">
        <v>1870064.506792621</v>
      </c>
      <c r="BF555" s="354">
        <v>0.94056160876607753</v>
      </c>
      <c r="BG555" s="31"/>
      <c r="BJ555" s="4">
        <v>0.94056160876607753</v>
      </c>
      <c r="BL555" s="4">
        <v>0.95669425646353834</v>
      </c>
      <c r="BM555" s="4">
        <v>0.95</v>
      </c>
      <c r="BN555" s="4" t="s">
        <v>1003</v>
      </c>
      <c r="BO555" s="31">
        <v>18765.810004659463</v>
      </c>
      <c r="BP555" s="31">
        <v>1888830.3167972805</v>
      </c>
      <c r="BQ555" s="31">
        <v>1888830.3167972805</v>
      </c>
      <c r="BR555" s="4">
        <v>0.95000000000000007</v>
      </c>
      <c r="BS555" s="4" t="s">
        <v>900</v>
      </c>
      <c r="BT555" s="448" t="s">
        <v>900</v>
      </c>
      <c r="BU555" s="367" t="s">
        <v>900</v>
      </c>
      <c r="BV555" s="368">
        <v>1870064.506792621</v>
      </c>
      <c r="BX555" s="449">
        <v>-22361.399707379052</v>
      </c>
      <c r="BY555" s="450">
        <v>-1.1816261672688665E-2</v>
      </c>
      <c r="BZ555" s="368">
        <v>-14.036973902901552</v>
      </c>
      <c r="CB555" s="31">
        <v>206125</v>
      </c>
      <c r="CC555" s="31">
        <v>235619.37239230593</v>
      </c>
      <c r="CD555" s="31" t="e">
        <v>#VALUE!</v>
      </c>
      <c r="CE555" s="31" t="s">
        <v>900</v>
      </c>
      <c r="CF555" s="31" t="e">
        <v>#VALUE!</v>
      </c>
      <c r="CJ555" s="702" t="s">
        <v>1447</v>
      </c>
      <c r="CK555" s="702" t="s">
        <v>1447</v>
      </c>
      <c r="CL555" s="702" t="s">
        <v>1448</v>
      </c>
      <c r="CN555" s="702" t="s">
        <v>1447</v>
      </c>
      <c r="CO555" s="702" t="s">
        <v>1447</v>
      </c>
      <c r="CP555" s="702" t="s">
        <v>1447</v>
      </c>
      <c r="CQ555" s="702" t="s">
        <v>1447</v>
      </c>
      <c r="CS555" s="451">
        <v>0</v>
      </c>
      <c r="CT555" s="452">
        <v>0</v>
      </c>
      <c r="CU555" s="452">
        <v>0.95</v>
      </c>
      <c r="CV555" s="453">
        <v>0.95</v>
      </c>
    </row>
    <row r="556" spans="1:100" outlineLevel="1" x14ac:dyDescent="0.3">
      <c r="A556" s="1">
        <v>140413000</v>
      </c>
      <c r="B556" s="47">
        <v>402400</v>
      </c>
      <c r="C556" s="47">
        <v>4501</v>
      </c>
      <c r="D556" s="47" t="s">
        <v>121</v>
      </c>
      <c r="E556" s="47" t="s">
        <v>38</v>
      </c>
      <c r="F556" s="47" t="s">
        <v>1498</v>
      </c>
      <c r="G556" s="47" t="s">
        <v>1502</v>
      </c>
      <c r="H556" s="47" t="s">
        <v>1522</v>
      </c>
      <c r="I556" s="382">
        <v>1837</v>
      </c>
      <c r="J556" s="382">
        <v>0</v>
      </c>
      <c r="K556" s="382">
        <v>0</v>
      </c>
      <c r="L556" s="382">
        <v>27</v>
      </c>
      <c r="M556" s="382">
        <v>0</v>
      </c>
      <c r="N556" s="382">
        <v>1837</v>
      </c>
      <c r="O556" s="444">
        <v>6693</v>
      </c>
      <c r="P556" s="445">
        <v>1864</v>
      </c>
      <c r="Q556" s="346">
        <v>0.27849992529508444</v>
      </c>
      <c r="R556" s="445">
        <v>6332</v>
      </c>
      <c r="S556" s="447">
        <v>4284</v>
      </c>
      <c r="T556" s="445">
        <v>-125.48397446113395</v>
      </c>
      <c r="U556" s="444">
        <v>6275.2597674605549</v>
      </c>
      <c r="V556" s="445">
        <v>1738.516025538866</v>
      </c>
      <c r="W556" s="229">
        <v>0.2770428778986469</v>
      </c>
      <c r="X556" s="261">
        <v>859697.82952199376</v>
      </c>
      <c r="Y556" s="262">
        <v>203713.38668790145</v>
      </c>
      <c r="Z556" s="262">
        <v>350392.73784412746</v>
      </c>
      <c r="AA556" s="262">
        <v>272397.37467348127</v>
      </c>
      <c r="AB556" s="263">
        <v>1686201.328727504</v>
      </c>
      <c r="AC556" s="262">
        <v>801817.31054035365</v>
      </c>
      <c r="AD556" s="262">
        <v>189998.06004626123</v>
      </c>
      <c r="AE556" s="262">
        <v>326801.99140116811</v>
      </c>
      <c r="AF556" s="263">
        <v>254057.78967754869</v>
      </c>
      <c r="AG556" s="262">
        <v>801817.31054035365</v>
      </c>
      <c r="AH556" s="262">
        <v>189998.06004626123</v>
      </c>
      <c r="AI556" s="262">
        <v>326801.99140116811</v>
      </c>
      <c r="AJ556" s="263">
        <v>254057.78967754869</v>
      </c>
      <c r="AK556" s="262">
        <v>802142.00824467279</v>
      </c>
      <c r="AL556" s="262">
        <v>190077.2729563562</v>
      </c>
      <c r="AM556" s="262">
        <v>326961.74806454952</v>
      </c>
      <c r="AN556" s="262">
        <v>254208.26929075929</v>
      </c>
      <c r="AO556" s="263">
        <v>1573389.2985563376</v>
      </c>
      <c r="AP556" s="31"/>
      <c r="AQ556" s="261">
        <v>789958.24612234917</v>
      </c>
      <c r="AR556" s="262">
        <v>184041.80060160585</v>
      </c>
      <c r="AS556" s="262">
        <v>322433.17084287817</v>
      </c>
      <c r="AT556" s="262">
        <v>254356.77356390169</v>
      </c>
      <c r="AU556" s="263">
        <v>1550789.991130735</v>
      </c>
      <c r="AV556" s="31"/>
      <c r="AW556" s="323">
        <v>1529400.6745124594</v>
      </c>
      <c r="AX556" s="31"/>
      <c r="AY556" s="747">
        <v>0</v>
      </c>
      <c r="AZ556" s="262">
        <v>21389.316618275596</v>
      </c>
      <c r="BA556" s="262">
        <v>1529400.6745124594</v>
      </c>
      <c r="BB556" s="262">
        <v>14969.588164387444</v>
      </c>
      <c r="BC556" s="263">
        <v>1514431.0863480719</v>
      </c>
      <c r="BD556" s="261">
        <v>15144.310863480719</v>
      </c>
      <c r="BE556" s="262">
        <v>1499286.7754845913</v>
      </c>
      <c r="BF556" s="354">
        <v>0.98031000016560876</v>
      </c>
      <c r="BG556" s="31"/>
      <c r="BJ556" s="4">
        <v>0.98031000016560876</v>
      </c>
      <c r="BL556" s="4">
        <v>0.96100744669017291</v>
      </c>
      <c r="BM556" s="4">
        <v>0.9</v>
      </c>
      <c r="BN556" s="4" t="s">
        <v>900</v>
      </c>
      <c r="BO556" s="31" t="s">
        <v>900</v>
      </c>
      <c r="BP556" s="31" t="s">
        <v>900</v>
      </c>
      <c r="BQ556" s="31">
        <v>1448677.5212096083</v>
      </c>
      <c r="BR556" s="4">
        <v>0.9472190939574523</v>
      </c>
      <c r="BS556" s="4" t="s">
        <v>900</v>
      </c>
      <c r="BT556" s="448" t="s">
        <v>900</v>
      </c>
      <c r="BU556" s="367" t="s">
        <v>900</v>
      </c>
      <c r="BV556" s="368">
        <v>1499286.7754845913</v>
      </c>
      <c r="BX556" s="449">
        <v>60244.692962761503</v>
      </c>
      <c r="BY556" s="450">
        <v>4.1763564507814668E-2</v>
      </c>
      <c r="BZ556" s="368">
        <v>34.652940828709482</v>
      </c>
      <c r="CB556" s="31">
        <v>195560</v>
      </c>
      <c r="CC556" s="31">
        <v>229526.56385390609</v>
      </c>
      <c r="CD556" s="31" t="e">
        <v>#VALUE!</v>
      </c>
      <c r="CE556" s="31" t="s">
        <v>900</v>
      </c>
      <c r="CF556" s="31" t="e">
        <v>#VALUE!</v>
      </c>
      <c r="CJ556" s="702" t="s">
        <v>1447</v>
      </c>
      <c r="CK556" s="702" t="s">
        <v>1447</v>
      </c>
      <c r="CL556" s="702" t="s">
        <v>1448</v>
      </c>
      <c r="CN556" s="702" t="s">
        <v>1447</v>
      </c>
      <c r="CO556" s="702" t="s">
        <v>1447</v>
      </c>
      <c r="CP556" s="702" t="s">
        <v>1447</v>
      </c>
      <c r="CQ556" s="702" t="s">
        <v>1447</v>
      </c>
      <c r="CS556" s="451">
        <v>0</v>
      </c>
      <c r="CT556" s="452">
        <v>0.9</v>
      </c>
      <c r="CU556" s="452">
        <v>0</v>
      </c>
      <c r="CV556" s="453">
        <v>0.9</v>
      </c>
    </row>
    <row r="557" spans="1:100" outlineLevel="1" x14ac:dyDescent="0.3">
      <c r="A557" s="1">
        <v>140401000</v>
      </c>
      <c r="B557" s="47">
        <v>409600</v>
      </c>
      <c r="C557" s="47">
        <v>4499</v>
      </c>
      <c r="D557" s="47" t="s">
        <v>452</v>
      </c>
      <c r="E557" s="47" t="s">
        <v>38</v>
      </c>
      <c r="F557" s="47" t="s">
        <v>1498</v>
      </c>
      <c r="G557" s="47" t="s">
        <v>1502</v>
      </c>
      <c r="H557" s="47" t="s">
        <v>1522</v>
      </c>
      <c r="I557" s="382">
        <v>2555</v>
      </c>
      <c r="J557" s="382">
        <v>0</v>
      </c>
      <c r="K557" s="382">
        <v>0</v>
      </c>
      <c r="L557" s="382">
        <v>37</v>
      </c>
      <c r="M557" s="382">
        <v>0</v>
      </c>
      <c r="N557" s="382">
        <v>2555</v>
      </c>
      <c r="O557" s="444">
        <v>10981</v>
      </c>
      <c r="P557" s="445">
        <v>2592</v>
      </c>
      <c r="Q557" s="346">
        <v>0.23604407613149986</v>
      </c>
      <c r="R557" s="445">
        <v>8823</v>
      </c>
      <c r="S557" s="447">
        <v>5878</v>
      </c>
      <c r="T557" s="445">
        <v>-174.52996992280742</v>
      </c>
      <c r="U557" s="444">
        <v>10295.626401685993</v>
      </c>
      <c r="V557" s="445">
        <v>2417.4700300771924</v>
      </c>
      <c r="W557" s="229">
        <v>0.23480553156836692</v>
      </c>
      <c r="X557" s="261">
        <v>1513036.4022945042</v>
      </c>
      <c r="Y557" s="262">
        <v>384182.64282808121</v>
      </c>
      <c r="Z557" s="262">
        <v>716375.09821509523</v>
      </c>
      <c r="AA557" s="262">
        <v>673889.92023796216</v>
      </c>
      <c r="AB557" s="263">
        <v>3287484.0635756431</v>
      </c>
      <c r="AC557" s="262">
        <v>1411168.8283684272</v>
      </c>
      <c r="AD557" s="262">
        <v>358316.93747554894</v>
      </c>
      <c r="AE557" s="262">
        <v>668144.00928322261</v>
      </c>
      <c r="AF557" s="263">
        <v>628519.21325181471</v>
      </c>
      <c r="AG557" s="262">
        <v>1411168.8283684272</v>
      </c>
      <c r="AH557" s="262">
        <v>358316.93747554894</v>
      </c>
      <c r="AI557" s="262">
        <v>668144.00928322261</v>
      </c>
      <c r="AJ557" s="263">
        <v>628519.21325181471</v>
      </c>
      <c r="AK557" s="262">
        <v>1411493.5260727464</v>
      </c>
      <c r="AL557" s="262">
        <v>358396.15038564388</v>
      </c>
      <c r="AM557" s="262">
        <v>668303.76594660396</v>
      </c>
      <c r="AN557" s="262">
        <v>628669.69286502537</v>
      </c>
      <c r="AO557" s="263">
        <v>3066863.1352700195</v>
      </c>
      <c r="AP557" s="31"/>
      <c r="AQ557" s="261">
        <v>1425510.0734394223</v>
      </c>
      <c r="AR557" s="262">
        <v>361958.39476267336</v>
      </c>
      <c r="AS557" s="262">
        <v>674934.13728720241</v>
      </c>
      <c r="AT557" s="262">
        <v>634906.64747504261</v>
      </c>
      <c r="AU557" s="263">
        <v>3097309.2529643411</v>
      </c>
      <c r="AV557" s="31"/>
      <c r="AW557" s="323">
        <v>3407546.968260895</v>
      </c>
      <c r="AX557" s="31"/>
      <c r="AY557" s="747">
        <v>0</v>
      </c>
      <c r="AZ557" s="262">
        <v>0</v>
      </c>
      <c r="BA557" s="262">
        <v>3097309.2529643411</v>
      </c>
      <c r="BB557" s="262">
        <v>30316.087018467573</v>
      </c>
      <c r="BC557" s="263">
        <v>3066993.1659458736</v>
      </c>
      <c r="BD557" s="261">
        <v>30669.931659458736</v>
      </c>
      <c r="BE557" s="262">
        <v>3036323.2342864149</v>
      </c>
      <c r="BF557" s="354">
        <v>0.89105836619944201</v>
      </c>
      <c r="BG557" s="31"/>
      <c r="BJ557" s="4">
        <v>0.89105836619944201</v>
      </c>
      <c r="BL557" s="4">
        <v>0.89999999999999991</v>
      </c>
      <c r="BM557" s="4">
        <v>0.9</v>
      </c>
      <c r="BN557" s="4" t="s">
        <v>1003</v>
      </c>
      <c r="BO557" s="31">
        <v>30469.037148390431</v>
      </c>
      <c r="BP557" s="31">
        <v>3066792.2714348054</v>
      </c>
      <c r="BQ557" s="31">
        <v>3066792.2714348054</v>
      </c>
      <c r="BR557" s="4">
        <v>0.89999999999999991</v>
      </c>
      <c r="BS557" s="4" t="s">
        <v>900</v>
      </c>
      <c r="BT557" s="448" t="s">
        <v>900</v>
      </c>
      <c r="BU557" s="367" t="s">
        <v>900</v>
      </c>
      <c r="BV557" s="368">
        <v>3036323.2342864149</v>
      </c>
      <c r="BX557" s="449">
        <v>-36307.005713585299</v>
      </c>
      <c r="BY557" s="450">
        <v>-1.1816262575605354E-2</v>
      </c>
      <c r="BZ557" s="368">
        <v>-15.018595995759243</v>
      </c>
      <c r="CB557" s="31">
        <v>426906</v>
      </c>
      <c r="CC557" s="31">
        <v>475734.41462063108</v>
      </c>
      <c r="CD557" s="31" t="e">
        <v>#VALUE!</v>
      </c>
      <c r="CE557" s="31" t="s">
        <v>900</v>
      </c>
      <c r="CF557" s="31" t="e">
        <v>#VALUE!</v>
      </c>
      <c r="CJ557" s="702" t="s">
        <v>1447</v>
      </c>
      <c r="CK557" s="702" t="s">
        <v>1447</v>
      </c>
      <c r="CL557" s="702" t="s">
        <v>1448</v>
      </c>
      <c r="CN557" s="702" t="s">
        <v>1447</v>
      </c>
      <c r="CO557" s="702" t="s">
        <v>1447</v>
      </c>
      <c r="CP557" s="702" t="s">
        <v>1447</v>
      </c>
      <c r="CQ557" s="702" t="s">
        <v>1447</v>
      </c>
      <c r="CS557" s="451">
        <v>0</v>
      </c>
      <c r="CT557" s="452">
        <v>0.9</v>
      </c>
      <c r="CU557" s="452">
        <v>0</v>
      </c>
      <c r="CV557" s="453">
        <v>0.9</v>
      </c>
    </row>
    <row r="558" spans="1:100" outlineLevel="1" x14ac:dyDescent="0.3">
      <c r="A558" s="1">
        <v>140570000</v>
      </c>
      <c r="B558" s="47">
        <v>409630</v>
      </c>
      <c r="C558" s="47">
        <v>4507</v>
      </c>
      <c r="D558" s="47" t="s">
        <v>453</v>
      </c>
      <c r="E558" s="47" t="s">
        <v>38</v>
      </c>
      <c r="F558" s="47" t="s">
        <v>1498</v>
      </c>
      <c r="G558" s="47" t="s">
        <v>1502</v>
      </c>
      <c r="H558" s="47" t="s">
        <v>1522</v>
      </c>
      <c r="I558" s="382">
        <v>3471</v>
      </c>
      <c r="J558" s="382">
        <v>0</v>
      </c>
      <c r="K558" s="382">
        <v>0</v>
      </c>
      <c r="L558" s="382">
        <v>51</v>
      </c>
      <c r="M558" s="382">
        <v>0</v>
      </c>
      <c r="N558" s="382">
        <v>3471</v>
      </c>
      <c r="O558" s="444">
        <v>12199</v>
      </c>
      <c r="P558" s="445">
        <v>3522</v>
      </c>
      <c r="Q558" s="346">
        <v>0.28871218952373146</v>
      </c>
      <c r="R558" s="445">
        <v>9485</v>
      </c>
      <c r="S558" s="447">
        <v>6351</v>
      </c>
      <c r="T558" s="445">
        <v>-237.10118418867501</v>
      </c>
      <c r="U558" s="444">
        <v>11437.605543590515</v>
      </c>
      <c r="V558" s="445">
        <v>3284.8988158113252</v>
      </c>
      <c r="W558" s="229">
        <v>0.28720161779421916</v>
      </c>
      <c r="X558" s="261">
        <v>1644350.241323218</v>
      </c>
      <c r="Y558" s="262">
        <v>389362.24111270823</v>
      </c>
      <c r="Z558" s="262">
        <v>763405.95758413954</v>
      </c>
      <c r="AA558" s="262">
        <v>666490.6265843428</v>
      </c>
      <c r="AB558" s="263">
        <v>3463609.0666044084</v>
      </c>
      <c r="AC558" s="262">
        <v>1533641.7550539291</v>
      </c>
      <c r="AD558" s="262">
        <v>363147.81109607237</v>
      </c>
      <c r="AE558" s="262">
        <v>712008.44150198973</v>
      </c>
      <c r="AF558" s="263">
        <v>621618.0887712026</v>
      </c>
      <c r="AG558" s="262">
        <v>1533641.7550539291</v>
      </c>
      <c r="AH558" s="262">
        <v>363147.81109607237</v>
      </c>
      <c r="AI558" s="262">
        <v>712008.44150198973</v>
      </c>
      <c r="AJ558" s="263">
        <v>621618.0887712026</v>
      </c>
      <c r="AK558" s="262">
        <v>1533966.4527582482</v>
      </c>
      <c r="AL558" s="262">
        <v>363227.02400616731</v>
      </c>
      <c r="AM558" s="262">
        <v>712168.19816537108</v>
      </c>
      <c r="AN558" s="262">
        <v>621768.56838441326</v>
      </c>
      <c r="AO558" s="263">
        <v>3231130.2433141996</v>
      </c>
      <c r="AP558" s="31"/>
      <c r="AQ558" s="261">
        <v>1534661.3150479016</v>
      </c>
      <c r="AR558" s="262">
        <v>360149.78284151654</v>
      </c>
      <c r="AS558" s="262">
        <v>719043.44165636785</v>
      </c>
      <c r="AT558" s="262">
        <v>622349.63017461309</v>
      </c>
      <c r="AU558" s="263">
        <v>3236204.1697203992</v>
      </c>
      <c r="AV558" s="31"/>
      <c r="AW558" s="323">
        <v>3549806.1423477521</v>
      </c>
      <c r="AX558" s="31"/>
      <c r="AY558" s="747">
        <v>0</v>
      </c>
      <c r="AZ558" s="262">
        <v>0</v>
      </c>
      <c r="BA558" s="262">
        <v>3236204.1697203992</v>
      </c>
      <c r="BB558" s="262">
        <v>31675.573604693822</v>
      </c>
      <c r="BC558" s="263">
        <v>3204528.5961157056</v>
      </c>
      <c r="BD558" s="261">
        <v>32045.285961157057</v>
      </c>
      <c r="BE558" s="262">
        <v>3172483.3101545484</v>
      </c>
      <c r="BF558" s="354">
        <v>0.89370607377910161</v>
      </c>
      <c r="BG558" s="31"/>
      <c r="BJ558" s="4">
        <v>0.89370607377910161</v>
      </c>
      <c r="BL558" s="4">
        <v>0.9</v>
      </c>
      <c r="BM558" s="4">
        <v>0.9</v>
      </c>
      <c r="BN558" s="4" t="s">
        <v>1003</v>
      </c>
      <c r="BO558" s="31">
        <v>22342.217958428897</v>
      </c>
      <c r="BP558" s="31">
        <v>3194825.5281129773</v>
      </c>
      <c r="BQ558" s="31">
        <v>3194825.5281129773</v>
      </c>
      <c r="BR558" s="4">
        <v>0.90000000000000013</v>
      </c>
      <c r="BS558" s="4" t="s">
        <v>900</v>
      </c>
      <c r="BT558" s="448" t="s">
        <v>900</v>
      </c>
      <c r="BU558" s="367" t="s">
        <v>900</v>
      </c>
      <c r="BV558" s="368">
        <v>3172483.3101545484</v>
      </c>
      <c r="BX558" s="449">
        <v>-52686.876845452003</v>
      </c>
      <c r="BY558" s="450">
        <v>-1.6336153998267131E-2</v>
      </c>
      <c r="BZ558" s="368">
        <v>-16.039117123441461</v>
      </c>
      <c r="CB558" s="31">
        <v>315901</v>
      </c>
      <c r="CC558" s="31">
        <v>379653.67197632062</v>
      </c>
      <c r="CD558" s="31" t="e">
        <v>#VALUE!</v>
      </c>
      <c r="CE558" s="31" t="s">
        <v>900</v>
      </c>
      <c r="CF558" s="31" t="e">
        <v>#VALUE!</v>
      </c>
      <c r="CJ558" s="702" t="s">
        <v>1447</v>
      </c>
      <c r="CK558" s="702" t="s">
        <v>1447</v>
      </c>
      <c r="CL558" s="702" t="s">
        <v>1448</v>
      </c>
      <c r="CN558" s="702" t="s">
        <v>1447</v>
      </c>
      <c r="CO558" s="702" t="s">
        <v>1447</v>
      </c>
      <c r="CP558" s="702" t="s">
        <v>1447</v>
      </c>
      <c r="CQ558" s="702" t="s">
        <v>1447</v>
      </c>
      <c r="CS558" s="451">
        <v>0</v>
      </c>
      <c r="CT558" s="452">
        <v>0.9</v>
      </c>
      <c r="CU558" s="452">
        <v>0</v>
      </c>
      <c r="CV558" s="453">
        <v>0.9</v>
      </c>
    </row>
    <row r="559" spans="1:100" s="48" customFormat="1" outlineLevel="1" x14ac:dyDescent="0.3">
      <c r="A559" s="202">
        <v>148761000</v>
      </c>
      <c r="B559" s="48">
        <v>400381</v>
      </c>
      <c r="C559" s="48">
        <v>80001</v>
      </c>
      <c r="D559" s="48" t="s">
        <v>90</v>
      </c>
      <c r="E559" s="48" t="s">
        <v>38</v>
      </c>
      <c r="F559" s="48" t="s">
        <v>1498</v>
      </c>
      <c r="G559" s="48" t="s">
        <v>1502</v>
      </c>
      <c r="H559" s="48" t="s">
        <v>1523</v>
      </c>
      <c r="O559" s="454" t="s">
        <v>900</v>
      </c>
      <c r="P559" s="455" t="s">
        <v>900</v>
      </c>
      <c r="Q559" s="347" t="s">
        <v>900</v>
      </c>
      <c r="R559" s="455">
        <v>143</v>
      </c>
      <c r="S559" s="457">
        <v>58</v>
      </c>
      <c r="T559" s="455"/>
      <c r="U559" s="454">
        <v>143</v>
      </c>
      <c r="V559" s="455">
        <v>24.641630392399293</v>
      </c>
      <c r="W559" s="230">
        <v>0.17231909365314191</v>
      </c>
      <c r="X559" s="264" t="s">
        <v>900</v>
      </c>
      <c r="Y559" s="265" t="s">
        <v>900</v>
      </c>
      <c r="Z559" s="265" t="s">
        <v>900</v>
      </c>
      <c r="AA559" s="265" t="s">
        <v>900</v>
      </c>
      <c r="AB559" s="266" t="s">
        <v>900</v>
      </c>
      <c r="AC559" s="265">
        <v>12241.103452833227</v>
      </c>
      <c r="AD559" s="265">
        <v>2986.3267105798132</v>
      </c>
      <c r="AE559" s="265">
        <v>6022.8262094790434</v>
      </c>
      <c r="AF559" s="266">
        <v>5673.0814180395164</v>
      </c>
      <c r="AG559" s="265">
        <v>12241.103452833227</v>
      </c>
      <c r="AH559" s="265">
        <v>2986.3267105798132</v>
      </c>
      <c r="AI559" s="265">
        <v>6022.8262094790434</v>
      </c>
      <c r="AJ559" s="266">
        <v>5673.0814180395164</v>
      </c>
      <c r="AK559" s="265">
        <v>12565.801157152426</v>
      </c>
      <c r="AL559" s="265">
        <v>3065.5396206747741</v>
      </c>
      <c r="AM559" s="265">
        <v>6182.582872860452</v>
      </c>
      <c r="AN559" s="265">
        <v>5823.5610312501285</v>
      </c>
      <c r="AO559" s="266">
        <v>27637.484681937778</v>
      </c>
      <c r="AP559" s="203"/>
      <c r="AQ559" s="264">
        <v>24164.97960187307</v>
      </c>
      <c r="AR559" s="265">
        <v>5923.5428211238159</v>
      </c>
      <c r="AS559" s="265">
        <v>12113.258833481126</v>
      </c>
      <c r="AT559" s="265">
        <v>11203.498215111316</v>
      </c>
      <c r="AU559" s="266">
        <v>53405.279471589332</v>
      </c>
      <c r="AV559" s="203"/>
      <c r="AW559" s="324">
        <v>55828.853694230238</v>
      </c>
      <c r="AX559" s="203"/>
      <c r="AY559" s="377">
        <v>0</v>
      </c>
      <c r="AZ559" s="265">
        <v>0</v>
      </c>
      <c r="BA559" s="265">
        <v>53405.279471589332</v>
      </c>
      <c r="BB559" s="265">
        <v>522.72439316698797</v>
      </c>
      <c r="BC559" s="266">
        <v>52882.555078422345</v>
      </c>
      <c r="BD559" s="264">
        <v>528.82555078422342</v>
      </c>
      <c r="BE559" s="265">
        <v>52353.729527638119</v>
      </c>
      <c r="BF559" s="357">
        <v>0.93775397600629473</v>
      </c>
      <c r="BG559" s="203"/>
      <c r="BJ559" s="458">
        <v>0.93775397600629473</v>
      </c>
      <c r="BK559" s="210"/>
      <c r="BL559" s="458"/>
      <c r="BM559" s="458"/>
      <c r="BN559" s="458"/>
      <c r="BQ559" s="203">
        <v>50586.500433623376</v>
      </c>
      <c r="BR559" s="458">
        <v>0.906099571928903</v>
      </c>
      <c r="BS559" s="458" t="s">
        <v>900</v>
      </c>
      <c r="BT559" s="459" t="s">
        <v>900</v>
      </c>
      <c r="BU559" s="460" t="s">
        <v>900</v>
      </c>
      <c r="BV559" s="461">
        <v>52353.729527638119</v>
      </c>
      <c r="BX559" s="462">
        <v>27071.265417018592</v>
      </c>
      <c r="BY559" s="463">
        <v>1.444159857110217</v>
      </c>
      <c r="BZ559" s="461">
        <v>1098.5987934211009</v>
      </c>
      <c r="CB559" s="203" t="s">
        <v>900</v>
      </c>
      <c r="CC559" s="203">
        <v>536.42546947264486</v>
      </c>
      <c r="CD559" s="203" t="e">
        <v>#VALUE!</v>
      </c>
      <c r="CE559" s="203" t="s">
        <v>900</v>
      </c>
      <c r="CF559" s="203" t="e">
        <v>#VALUE!</v>
      </c>
      <c r="CH559" s="199"/>
      <c r="CJ559" s="464" t="s">
        <v>1448</v>
      </c>
      <c r="CK559" s="464" t="s">
        <v>1447</v>
      </c>
      <c r="CL559" s="464" t="s">
        <v>1448</v>
      </c>
      <c r="CN559" s="464" t="s">
        <v>1447</v>
      </c>
      <c r="CO559" s="464" t="s">
        <v>1447</v>
      </c>
      <c r="CP559" s="464" t="s">
        <v>1447</v>
      </c>
      <c r="CQ559" s="464" t="s">
        <v>1447</v>
      </c>
      <c r="CS559" s="465">
        <v>0</v>
      </c>
      <c r="CT559" s="466">
        <v>0.9</v>
      </c>
      <c r="CU559" s="466">
        <v>0</v>
      </c>
      <c r="CV559" s="467">
        <v>0.9</v>
      </c>
    </row>
    <row r="560" spans="1:100" s="48" customFormat="1" outlineLevel="1" x14ac:dyDescent="0.3">
      <c r="A560" s="202">
        <v>148760000</v>
      </c>
      <c r="B560" s="48">
        <v>400282</v>
      </c>
      <c r="C560" s="48">
        <v>79501</v>
      </c>
      <c r="D560" s="48" t="s">
        <v>192</v>
      </c>
      <c r="E560" s="48" t="s">
        <v>38</v>
      </c>
      <c r="F560" s="48" t="s">
        <v>1498</v>
      </c>
      <c r="G560" s="48" t="s">
        <v>1502</v>
      </c>
      <c r="H560" s="48" t="s">
        <v>1523</v>
      </c>
      <c r="O560" s="454" t="s">
        <v>900</v>
      </c>
      <c r="P560" s="455" t="s">
        <v>900</v>
      </c>
      <c r="Q560" s="347" t="s">
        <v>900</v>
      </c>
      <c r="R560" s="455">
        <v>1627</v>
      </c>
      <c r="S560" s="457">
        <v>1400</v>
      </c>
      <c r="T560" s="455"/>
      <c r="U560" s="454">
        <v>1627</v>
      </c>
      <c r="V560" s="455">
        <v>594.79797498894845</v>
      </c>
      <c r="W560" s="230">
        <v>0.3655795789729247</v>
      </c>
      <c r="X560" s="264" t="s">
        <v>900</v>
      </c>
      <c r="Y560" s="265" t="s">
        <v>900</v>
      </c>
      <c r="Z560" s="265" t="s">
        <v>900</v>
      </c>
      <c r="AA560" s="265" t="s">
        <v>900</v>
      </c>
      <c r="AB560" s="266" t="s">
        <v>900</v>
      </c>
      <c r="AC560" s="265">
        <v>295474.91093045723</v>
      </c>
      <c r="AD560" s="265">
        <v>72083.748186409284</v>
      </c>
      <c r="AE560" s="265">
        <v>145378.56367708035</v>
      </c>
      <c r="AF560" s="266">
        <v>136936.4480216435</v>
      </c>
      <c r="AG560" s="265">
        <v>295474.91093045723</v>
      </c>
      <c r="AH560" s="265">
        <v>72083.748186409284</v>
      </c>
      <c r="AI560" s="265">
        <v>145378.56367708035</v>
      </c>
      <c r="AJ560" s="266">
        <v>136936.4480216435</v>
      </c>
      <c r="AK560" s="265">
        <v>295799.60863477644</v>
      </c>
      <c r="AL560" s="265">
        <v>72162.961096504252</v>
      </c>
      <c r="AM560" s="265">
        <v>145538.32034046177</v>
      </c>
      <c r="AN560" s="265">
        <v>137086.9276348541</v>
      </c>
      <c r="AO560" s="266">
        <v>650587.81770659657</v>
      </c>
      <c r="AP560" s="203"/>
      <c r="AQ560" s="264">
        <v>291306.69836397655</v>
      </c>
      <c r="AR560" s="265">
        <v>69871.590066392295</v>
      </c>
      <c r="AS560" s="265">
        <v>143522.5447144885</v>
      </c>
      <c r="AT560" s="265">
        <v>131579.88640126502</v>
      </c>
      <c r="AU560" s="266">
        <v>636280.71954612236</v>
      </c>
      <c r="AV560" s="203"/>
      <c r="AW560" s="324">
        <v>508659.46455005655</v>
      </c>
      <c r="AX560" s="203"/>
      <c r="AY560" s="377">
        <v>0</v>
      </c>
      <c r="AZ560" s="265">
        <v>60024.889778508805</v>
      </c>
      <c r="BA560" s="265">
        <v>576255.82976761356</v>
      </c>
      <c r="BB560" s="265">
        <v>5640.322116176927</v>
      </c>
      <c r="BC560" s="266">
        <v>570615.50765143661</v>
      </c>
      <c r="BD560" s="264">
        <v>5706.1550765143666</v>
      </c>
      <c r="BE560" s="265">
        <v>564909.35257492226</v>
      </c>
      <c r="BF560" s="357">
        <v>1.110584569727062</v>
      </c>
      <c r="BG560" s="203"/>
      <c r="BJ560" s="458">
        <v>1.110584569727062</v>
      </c>
      <c r="BK560" s="210"/>
      <c r="BL560" s="458"/>
      <c r="BM560" s="458"/>
      <c r="BN560" s="458"/>
      <c r="BQ560" s="203">
        <v>545840.52496017877</v>
      </c>
      <c r="BR560" s="458">
        <v>1.0730961733760549</v>
      </c>
      <c r="BS560" s="458" t="s">
        <v>900</v>
      </c>
      <c r="BT560" s="459" t="s">
        <v>900</v>
      </c>
      <c r="BU560" s="460" t="s">
        <v>900</v>
      </c>
      <c r="BV560" s="461">
        <v>564909.35257492226</v>
      </c>
      <c r="BX560" s="462">
        <v>-6435.1387063022703</v>
      </c>
      <c r="BY560" s="463">
        <v>-1.123385814507632E-2</v>
      </c>
      <c r="BZ560" s="461">
        <v>-10.819032641161627</v>
      </c>
      <c r="CB560" s="203" t="s">
        <v>900</v>
      </c>
      <c r="CC560" s="203">
        <v>11092.067703335726</v>
      </c>
      <c r="CD560" s="203" t="e">
        <v>#VALUE!</v>
      </c>
      <c r="CE560" s="203" t="s">
        <v>900</v>
      </c>
      <c r="CF560" s="203" t="e">
        <v>#VALUE!</v>
      </c>
      <c r="CH560" s="199"/>
      <c r="CJ560" s="464" t="s">
        <v>1448</v>
      </c>
      <c r="CK560" s="464" t="s">
        <v>1447</v>
      </c>
      <c r="CL560" s="464" t="s">
        <v>1448</v>
      </c>
      <c r="CN560" s="464" t="s">
        <v>1447</v>
      </c>
      <c r="CO560" s="464" t="s">
        <v>1447</v>
      </c>
      <c r="CP560" s="464" t="s">
        <v>1447</v>
      </c>
      <c r="CQ560" s="464" t="s">
        <v>1447</v>
      </c>
      <c r="CS560" s="465">
        <v>0</v>
      </c>
      <c r="CT560" s="466">
        <v>0</v>
      </c>
      <c r="CU560" s="466">
        <v>0.95</v>
      </c>
      <c r="CV560" s="467">
        <v>0.95</v>
      </c>
    </row>
    <row r="561" spans="1:100" s="48" customFormat="1" outlineLevel="1" x14ac:dyDescent="0.3">
      <c r="A561" s="202">
        <v>148759000</v>
      </c>
      <c r="B561" s="48">
        <v>400268</v>
      </c>
      <c r="C561" s="48">
        <v>79064</v>
      </c>
      <c r="D561" s="48" t="s">
        <v>224</v>
      </c>
      <c r="E561" s="48" t="s">
        <v>38</v>
      </c>
      <c r="F561" s="48" t="s">
        <v>1498</v>
      </c>
      <c r="G561" s="48" t="s">
        <v>1502</v>
      </c>
      <c r="H561" s="48" t="s">
        <v>1523</v>
      </c>
      <c r="O561" s="454" t="s">
        <v>900</v>
      </c>
      <c r="P561" s="455" t="s">
        <v>900</v>
      </c>
      <c r="Q561" s="347" t="s">
        <v>900</v>
      </c>
      <c r="R561" s="455">
        <v>520</v>
      </c>
      <c r="S561" s="457">
        <v>250</v>
      </c>
      <c r="T561" s="455"/>
      <c r="U561" s="454">
        <v>520</v>
      </c>
      <c r="V561" s="455">
        <v>106.21392410516935</v>
      </c>
      <c r="W561" s="230">
        <v>0.20425754635609492</v>
      </c>
      <c r="X561" s="264" t="s">
        <v>900</v>
      </c>
      <c r="Y561" s="265" t="s">
        <v>900</v>
      </c>
      <c r="Z561" s="265" t="s">
        <v>900</v>
      </c>
      <c r="AA561" s="265" t="s">
        <v>900</v>
      </c>
      <c r="AB561" s="266" t="s">
        <v>900</v>
      </c>
      <c r="AC561" s="265">
        <v>52763.376951867358</v>
      </c>
      <c r="AD561" s="265">
        <v>12872.097890430226</v>
      </c>
      <c r="AE561" s="265">
        <v>25960.457799478634</v>
      </c>
      <c r="AF561" s="266">
        <v>24452.937146722052</v>
      </c>
      <c r="AG561" s="265">
        <v>52763.376951867358</v>
      </c>
      <c r="AH561" s="265">
        <v>12872.097890430226</v>
      </c>
      <c r="AI561" s="265">
        <v>25960.457799478634</v>
      </c>
      <c r="AJ561" s="266">
        <v>24452.937146722052</v>
      </c>
      <c r="AK561" s="265">
        <v>53088.074656186553</v>
      </c>
      <c r="AL561" s="265">
        <v>12951.310800525187</v>
      </c>
      <c r="AM561" s="265">
        <v>26120.214462860044</v>
      </c>
      <c r="AN561" s="265">
        <v>24603.416759932665</v>
      </c>
      <c r="AO561" s="266">
        <v>116763.01667950444</v>
      </c>
      <c r="AP561" s="203"/>
      <c r="AQ561" s="264">
        <v>52281.718092766372</v>
      </c>
      <c r="AR561" s="265">
        <v>12540.071323660968</v>
      </c>
      <c r="AS561" s="265">
        <v>25758.436949307215</v>
      </c>
      <c r="AT561" s="265">
        <v>23615.050962246809</v>
      </c>
      <c r="AU561" s="266">
        <v>114195.27732798137</v>
      </c>
      <c r="AV561" s="203"/>
      <c r="AW561" s="324">
        <v>116038.43722588191</v>
      </c>
      <c r="AX561" s="203"/>
      <c r="AY561" s="377">
        <v>0</v>
      </c>
      <c r="AZ561" s="265">
        <v>0</v>
      </c>
      <c r="BA561" s="265">
        <v>114195.27732798137</v>
      </c>
      <c r="BB561" s="265">
        <v>1117.7295135317177</v>
      </c>
      <c r="BC561" s="266">
        <v>113077.54781444966</v>
      </c>
      <c r="BD561" s="264">
        <v>1130.7754781444967</v>
      </c>
      <c r="BE561" s="265">
        <v>111946.77233630516</v>
      </c>
      <c r="BF561" s="357">
        <v>0.96473871083241269</v>
      </c>
      <c r="BG561" s="203"/>
      <c r="BJ561" s="458">
        <v>0.96473871083241269</v>
      </c>
      <c r="BK561" s="210"/>
      <c r="BL561" s="458"/>
      <c r="BM561" s="458"/>
      <c r="BN561" s="458"/>
      <c r="BQ561" s="203">
        <v>108167.94712483052</v>
      </c>
      <c r="BR561" s="458">
        <v>0.93217342210727472</v>
      </c>
      <c r="BS561" s="458" t="s">
        <v>900</v>
      </c>
      <c r="BT561" s="459" t="s">
        <v>900</v>
      </c>
      <c r="BU561" s="460" t="s">
        <v>900</v>
      </c>
      <c r="BV561" s="461">
        <v>111946.77233630516</v>
      </c>
      <c r="BX561" s="462">
        <v>5133.261171284772</v>
      </c>
      <c r="BY561" s="463">
        <v>4.7861711185519212E-2</v>
      </c>
      <c r="BZ561" s="461">
        <v>48.329455996767379</v>
      </c>
      <c r="CB561" s="203">
        <v>9766</v>
      </c>
      <c r="CC561" s="203">
        <v>11980.140451364721</v>
      </c>
      <c r="CD561" s="203" t="e">
        <v>#VALUE!</v>
      </c>
      <c r="CE561" s="203" t="s">
        <v>900</v>
      </c>
      <c r="CF561" s="203" t="e">
        <v>#VALUE!</v>
      </c>
      <c r="CH561" s="199"/>
      <c r="CJ561" s="464" t="s">
        <v>1448</v>
      </c>
      <c r="CK561" s="464" t="s">
        <v>1447</v>
      </c>
      <c r="CL561" s="464" t="s">
        <v>1448</v>
      </c>
      <c r="CN561" s="464" t="s">
        <v>1447</v>
      </c>
      <c r="CO561" s="464" t="s">
        <v>1447</v>
      </c>
      <c r="CP561" s="464" t="s">
        <v>1447</v>
      </c>
      <c r="CQ561" s="464" t="s">
        <v>1447</v>
      </c>
      <c r="CS561" s="465">
        <v>0</v>
      </c>
      <c r="CT561" s="466">
        <v>0.9</v>
      </c>
      <c r="CU561" s="466">
        <v>0</v>
      </c>
      <c r="CV561" s="467">
        <v>0.9</v>
      </c>
    </row>
    <row r="562" spans="1:100" s="48" customFormat="1" outlineLevel="1" x14ac:dyDescent="0.3">
      <c r="A562" s="202">
        <v>148758000</v>
      </c>
      <c r="B562" s="48">
        <v>400095</v>
      </c>
      <c r="C562" s="48">
        <v>4509</v>
      </c>
      <c r="D562" s="48" t="s">
        <v>1552</v>
      </c>
      <c r="E562" s="48" t="s">
        <v>38</v>
      </c>
      <c r="F562" s="48" t="s">
        <v>1498</v>
      </c>
      <c r="G562" s="48" t="s">
        <v>1499</v>
      </c>
      <c r="H562" s="48" t="s">
        <v>1523</v>
      </c>
      <c r="O562" s="454" t="s">
        <v>900</v>
      </c>
      <c r="P562" s="455" t="s">
        <v>900</v>
      </c>
      <c r="Q562" s="347" t="s">
        <v>900</v>
      </c>
      <c r="R562" s="455">
        <v>30</v>
      </c>
      <c r="S562" s="457">
        <v>20</v>
      </c>
      <c r="T562" s="455"/>
      <c r="U562" s="454">
        <v>30</v>
      </c>
      <c r="V562" s="455">
        <v>8.4971139284135493</v>
      </c>
      <c r="W562" s="230">
        <v>0.28323713094711833</v>
      </c>
      <c r="X562" s="264" t="s">
        <v>900</v>
      </c>
      <c r="Y562" s="265" t="s">
        <v>900</v>
      </c>
      <c r="Z562" s="265" t="s">
        <v>900</v>
      </c>
      <c r="AA562" s="265" t="s">
        <v>900</v>
      </c>
      <c r="AB562" s="266" t="s">
        <v>900</v>
      </c>
      <c r="AC562" s="265">
        <v>4221.0701561493888</v>
      </c>
      <c r="AD562" s="265">
        <v>1029.7678312344183</v>
      </c>
      <c r="AE562" s="265">
        <v>2076.8366239582906</v>
      </c>
      <c r="AF562" s="266">
        <v>1956.2349717377645</v>
      </c>
      <c r="AG562" s="265" t="s">
        <v>900</v>
      </c>
      <c r="AH562" s="265" t="s">
        <v>900</v>
      </c>
      <c r="AI562" s="265" t="s">
        <v>900</v>
      </c>
      <c r="AJ562" s="266" t="s">
        <v>900</v>
      </c>
      <c r="AK562" s="265" t="s">
        <v>900</v>
      </c>
      <c r="AL562" s="265" t="s">
        <v>900</v>
      </c>
      <c r="AM562" s="265" t="s">
        <v>900</v>
      </c>
      <c r="AN562" s="265" t="s">
        <v>900</v>
      </c>
      <c r="AO562" s="266">
        <v>0</v>
      </c>
      <c r="AP562" s="203"/>
      <c r="AQ562" s="264">
        <v>0</v>
      </c>
      <c r="AR562" s="265">
        <v>1660.2339912817952</v>
      </c>
      <c r="AS562" s="265">
        <v>0</v>
      </c>
      <c r="AT562" s="265">
        <v>0</v>
      </c>
      <c r="AU562" s="266">
        <v>1660.2339912817952</v>
      </c>
      <c r="AV562" s="203"/>
      <c r="AW562" s="324">
        <v>14756.646784829685</v>
      </c>
      <c r="AX562" s="203"/>
      <c r="AY562" s="377">
        <v>0</v>
      </c>
      <c r="AZ562" s="265">
        <v>0</v>
      </c>
      <c r="BA562" s="265">
        <v>1660.2339912817952</v>
      </c>
      <c r="BB562" s="265">
        <v>16.250168788455849</v>
      </c>
      <c r="BC562" s="266">
        <v>1643.9838224933394</v>
      </c>
      <c r="BD562" s="264">
        <v>16.439838224933393</v>
      </c>
      <c r="BE562" s="265">
        <v>1627.5439842684061</v>
      </c>
      <c r="BF562" s="357">
        <v>0.11029226408953384</v>
      </c>
      <c r="BG562" s="203"/>
      <c r="BJ562" s="458">
        <v>0.11029226408953384</v>
      </c>
      <c r="BK562" s="210"/>
      <c r="BL562" s="458"/>
      <c r="BM562" s="458"/>
      <c r="BN562" s="458"/>
      <c r="BQ562" s="203">
        <v>1572.6053369793069</v>
      </c>
      <c r="BR562" s="458">
        <v>0.10656928771894145</v>
      </c>
      <c r="BS562" s="458" t="s">
        <v>900</v>
      </c>
      <c r="BT562" s="459" t="s">
        <v>900</v>
      </c>
      <c r="BU562" s="460" t="s">
        <v>900</v>
      </c>
      <c r="BV562" s="461">
        <v>1627.5439842684061</v>
      </c>
      <c r="BX562" s="462">
        <v>1627.5439842684061</v>
      </c>
      <c r="BY562" s="463" t="s">
        <v>900</v>
      </c>
      <c r="BZ562" s="461">
        <v>191.54079820279355</v>
      </c>
      <c r="CB562" s="203">
        <v>2003</v>
      </c>
      <c r="CC562" s="203">
        <v>2168.3315642321677</v>
      </c>
      <c r="CD562" s="203" t="e">
        <v>#VALUE!</v>
      </c>
      <c r="CE562" s="203" t="s">
        <v>900</v>
      </c>
      <c r="CF562" s="203" t="e">
        <v>#VALUE!</v>
      </c>
      <c r="CH562" s="199"/>
      <c r="CJ562" s="464" t="s">
        <v>1448</v>
      </c>
      <c r="CK562" s="464" t="s">
        <v>1447</v>
      </c>
      <c r="CL562" s="464" t="s">
        <v>1448</v>
      </c>
      <c r="CN562" s="464" t="s">
        <v>1448</v>
      </c>
      <c r="CO562" s="464" t="s">
        <v>1448</v>
      </c>
      <c r="CP562" s="464" t="s">
        <v>1448</v>
      </c>
      <c r="CQ562" s="464" t="s">
        <v>1448</v>
      </c>
      <c r="CS562" s="465">
        <v>0</v>
      </c>
      <c r="CT562" s="466">
        <v>0.9</v>
      </c>
      <c r="CU562" s="466">
        <v>0</v>
      </c>
      <c r="CV562" s="467">
        <v>0.9</v>
      </c>
    </row>
    <row r="563" spans="1:100" s="48" customFormat="1" outlineLevel="1" x14ac:dyDescent="0.3">
      <c r="A563" s="202">
        <v>108796000</v>
      </c>
      <c r="D563" s="48" t="s">
        <v>1553</v>
      </c>
      <c r="E563" s="48" t="s">
        <v>38</v>
      </c>
      <c r="F563" s="48" t="s">
        <v>900</v>
      </c>
      <c r="G563" s="48" t="s">
        <v>900</v>
      </c>
      <c r="H563" s="48" t="s">
        <v>900</v>
      </c>
      <c r="O563" s="454" t="s">
        <v>900</v>
      </c>
      <c r="P563" s="455" t="s">
        <v>900</v>
      </c>
      <c r="Q563" s="347" t="s">
        <v>900</v>
      </c>
      <c r="R563" s="455">
        <v>86.578199052132703</v>
      </c>
      <c r="S563" s="457">
        <v>34.654028436018962</v>
      </c>
      <c r="T563" s="455"/>
      <c r="U563" s="454">
        <v>86.578199052132703</v>
      </c>
      <c r="V563" s="455">
        <v>14.722961384966796</v>
      </c>
      <c r="W563" s="230">
        <v>0.17005391133282208</v>
      </c>
      <c r="X563" s="264"/>
      <c r="Y563" s="265"/>
      <c r="Z563" s="265"/>
      <c r="AA563" s="265"/>
      <c r="AB563" s="266"/>
      <c r="AC563" s="265">
        <v>7313.8542610815957</v>
      </c>
      <c r="AD563" s="265">
        <v>1784.2801853047554</v>
      </c>
      <c r="AE563" s="265">
        <v>3598.5377711808114</v>
      </c>
      <c r="AF563" s="266">
        <v>3389.5711169067617</v>
      </c>
      <c r="AG563" s="265">
        <v>7313.8542610815957</v>
      </c>
      <c r="AH563" s="265">
        <v>1784.2801853047554</v>
      </c>
      <c r="AI563" s="265">
        <v>3598.5377711808114</v>
      </c>
      <c r="AJ563" s="266">
        <v>3389.5711169067617</v>
      </c>
      <c r="AK563" s="265">
        <v>7638.5519654007931</v>
      </c>
      <c r="AL563" s="265">
        <v>1863.4930953997164</v>
      </c>
      <c r="AM563" s="265">
        <v>3758.29443456222</v>
      </c>
      <c r="AN563" s="265">
        <v>3540.0507301173739</v>
      </c>
      <c r="AO563" s="266">
        <v>16800.390225480103</v>
      </c>
      <c r="AP563" s="203"/>
      <c r="AQ563" s="264">
        <v>0</v>
      </c>
      <c r="AR563" s="265">
        <v>0</v>
      </c>
      <c r="AS563" s="265">
        <v>0</v>
      </c>
      <c r="AT563" s="265">
        <v>0</v>
      </c>
      <c r="AU563" s="266">
        <v>0</v>
      </c>
      <c r="AV563" s="203"/>
      <c r="AW563" s="324">
        <v>0</v>
      </c>
      <c r="AX563" s="203"/>
      <c r="AY563" s="377">
        <v>0</v>
      </c>
      <c r="AZ563" s="265">
        <v>0</v>
      </c>
      <c r="BA563" s="265">
        <v>0</v>
      </c>
      <c r="BB563" s="265">
        <v>0</v>
      </c>
      <c r="BC563" s="266">
        <v>0</v>
      </c>
      <c r="BD563" s="264">
        <v>0</v>
      </c>
      <c r="BE563" s="265">
        <v>0</v>
      </c>
      <c r="BF563" s="357" t="s">
        <v>1450</v>
      </c>
      <c r="BG563" s="203"/>
      <c r="BJ563" s="458"/>
      <c r="BK563" s="210"/>
      <c r="BL563" s="458"/>
      <c r="BM563" s="458"/>
      <c r="BN563" s="458"/>
      <c r="BQ563" s="203">
        <v>0</v>
      </c>
      <c r="BR563" s="458"/>
      <c r="BT563" s="459">
        <v>0</v>
      </c>
      <c r="BU563" s="460"/>
      <c r="BV563" s="461">
        <v>0</v>
      </c>
      <c r="BX563" s="462">
        <v>-15368.810432944309</v>
      </c>
      <c r="BY563" s="463">
        <v>-0.98525965781521496</v>
      </c>
      <c r="BZ563" s="461">
        <v>-1043.8667895058784</v>
      </c>
      <c r="CB563" s="203" t="s">
        <v>900</v>
      </c>
      <c r="CC563" s="203">
        <v>321.66291687703341</v>
      </c>
      <c r="CD563" s="203" t="e">
        <v>#VALUE!</v>
      </c>
      <c r="CE563" s="203" t="s">
        <v>900</v>
      </c>
      <c r="CF563" s="203" t="e">
        <v>#VALUE!</v>
      </c>
      <c r="CH563" s="199"/>
      <c r="CJ563" s="464" t="s">
        <v>1448</v>
      </c>
      <c r="CK563" s="464" t="s">
        <v>1447</v>
      </c>
      <c r="CL563" s="464" t="s">
        <v>1448</v>
      </c>
      <c r="CN563" s="464" t="s">
        <v>1447</v>
      </c>
      <c r="CO563" s="464" t="s">
        <v>1447</v>
      </c>
      <c r="CP563" s="464" t="s">
        <v>1447</v>
      </c>
      <c r="CQ563" s="464" t="s">
        <v>1447</v>
      </c>
      <c r="CS563" s="465">
        <v>0</v>
      </c>
      <c r="CT563" s="466">
        <v>0.9</v>
      </c>
      <c r="CU563" s="466">
        <v>0</v>
      </c>
      <c r="CV563" s="467">
        <v>0.9</v>
      </c>
    </row>
    <row r="564" spans="1:100" s="469" customFormat="1" outlineLevel="1" x14ac:dyDescent="0.3">
      <c r="A564" s="468"/>
      <c r="D564" s="469" t="s">
        <v>878</v>
      </c>
      <c r="E564" s="469" t="s">
        <v>900</v>
      </c>
      <c r="F564" s="469" t="s">
        <v>900</v>
      </c>
      <c r="G564" s="469" t="s">
        <v>900</v>
      </c>
      <c r="H564" s="469" t="s">
        <v>900</v>
      </c>
      <c r="I564" s="469">
        <v>0</v>
      </c>
      <c r="J564" s="469">
        <v>0</v>
      </c>
      <c r="K564" s="469">
        <v>0</v>
      </c>
      <c r="L564" s="469">
        <v>0</v>
      </c>
      <c r="M564" s="469">
        <v>0</v>
      </c>
      <c r="N564" s="469">
        <v>0</v>
      </c>
      <c r="O564" s="470">
        <v>0</v>
      </c>
      <c r="P564" s="471">
        <v>0</v>
      </c>
      <c r="Q564" s="846"/>
      <c r="R564" s="471">
        <v>2406.5781990521327</v>
      </c>
      <c r="S564" s="472">
        <v>1762.654028436019</v>
      </c>
      <c r="T564" s="471"/>
      <c r="U564" s="470">
        <v>2406.5781990521327</v>
      </c>
      <c r="V564" s="471">
        <v>748.87360479989741</v>
      </c>
      <c r="W564" s="473"/>
      <c r="X564" s="474"/>
      <c r="Y564" s="475"/>
      <c r="Z564" s="475"/>
      <c r="AA564" s="475"/>
      <c r="AB564" s="476"/>
      <c r="AC564" s="475">
        <v>372014.31575238885</v>
      </c>
      <c r="AD564" s="475">
        <v>90756.220803958509</v>
      </c>
      <c r="AE564" s="475">
        <v>183037.22208117714</v>
      </c>
      <c r="AF564" s="476">
        <v>172408.27267504958</v>
      </c>
      <c r="AG564" s="475"/>
      <c r="AH564" s="475"/>
      <c r="AI564" s="475"/>
      <c r="AJ564" s="476"/>
      <c r="AK564" s="475"/>
      <c r="AL564" s="475"/>
      <c r="AM564" s="475"/>
      <c r="AN564" s="475"/>
      <c r="AO564" s="476"/>
      <c r="AQ564" s="474"/>
      <c r="AR564" s="475"/>
      <c r="AS564" s="475"/>
      <c r="AT564" s="475"/>
      <c r="AU564" s="476"/>
      <c r="AW564" s="477"/>
      <c r="AY564" s="847"/>
      <c r="AZ564" s="475"/>
      <c r="BA564" s="475"/>
      <c r="BB564" s="475"/>
      <c r="BC564" s="476"/>
      <c r="BD564" s="474"/>
      <c r="BE564" s="475"/>
      <c r="BF564" s="478" t="s">
        <v>1450</v>
      </c>
      <c r="BJ564" s="479"/>
      <c r="BK564" s="480"/>
      <c r="BL564" s="479"/>
      <c r="BM564" s="479"/>
      <c r="BN564" s="479"/>
      <c r="BQ564" s="481"/>
      <c r="BR564" s="479"/>
      <c r="BT564" s="482">
        <v>0</v>
      </c>
      <c r="BU564" s="483"/>
      <c r="BV564" s="484"/>
      <c r="BX564" s="485"/>
      <c r="BY564" s="486"/>
      <c r="BZ564" s="484"/>
      <c r="CB564" s="481"/>
      <c r="CE564" s="481"/>
      <c r="CH564" s="199"/>
      <c r="CJ564" s="487" t="s">
        <v>1450</v>
      </c>
      <c r="CK564" s="487" t="s">
        <v>1448</v>
      </c>
      <c r="CL564" s="487" t="s">
        <v>1448</v>
      </c>
      <c r="CN564" s="487" t="s">
        <v>1448</v>
      </c>
      <c r="CO564" s="487" t="s">
        <v>1450</v>
      </c>
      <c r="CP564" s="487" t="s">
        <v>1450</v>
      </c>
      <c r="CQ564" s="487" t="s">
        <v>1450</v>
      </c>
      <c r="CS564" s="488">
        <v>0.85</v>
      </c>
      <c r="CT564" s="489">
        <v>0</v>
      </c>
      <c r="CU564" s="489">
        <v>0</v>
      </c>
      <c r="CV564" s="490">
        <v>0.85</v>
      </c>
    </row>
    <row r="565" spans="1:100" s="492" customFormat="1" outlineLevel="1" x14ac:dyDescent="0.3">
      <c r="A565" s="491" t="s">
        <v>880</v>
      </c>
      <c r="B565" s="492">
        <v>0.42485569642067744</v>
      </c>
      <c r="D565" s="492" t="s">
        <v>879</v>
      </c>
      <c r="E565" s="492" t="s">
        <v>900</v>
      </c>
      <c r="F565" s="492" t="s">
        <v>900</v>
      </c>
      <c r="G565" s="492" t="s">
        <v>900</v>
      </c>
      <c r="H565" s="492" t="s">
        <v>900</v>
      </c>
      <c r="I565" s="492">
        <v>10963</v>
      </c>
      <c r="J565" s="492">
        <v>0</v>
      </c>
      <c r="K565" s="492">
        <v>0</v>
      </c>
      <c r="L565" s="492">
        <v>160</v>
      </c>
      <c r="M565" s="492">
        <v>0</v>
      </c>
      <c r="N565" s="492">
        <v>10963</v>
      </c>
      <c r="O565" s="493">
        <v>38558</v>
      </c>
      <c r="P565" s="494">
        <v>11123</v>
      </c>
      <c r="Q565" s="848"/>
      <c r="R565" s="494">
        <v>35823.578199052135</v>
      </c>
      <c r="S565" s="495">
        <v>26180.65402843602</v>
      </c>
      <c r="T565" s="494"/>
      <c r="U565" s="493">
        <v>38558</v>
      </c>
      <c r="V565" s="494">
        <v>11123.000000000002</v>
      </c>
      <c r="W565" s="496"/>
      <c r="X565" s="497">
        <v>5525518.8693951787</v>
      </c>
      <c r="Y565" s="498">
        <v>1347999.76595806</v>
      </c>
      <c r="Z565" s="498">
        <v>2718647.0562718548</v>
      </c>
      <c r="AA565" s="498">
        <v>2560775.5496696867</v>
      </c>
      <c r="AB565" s="499">
        <v>12152941.241294783</v>
      </c>
      <c r="AC565" s="498">
        <v>5525518.8693951797</v>
      </c>
      <c r="AD565" s="498">
        <v>1347999.76595806</v>
      </c>
      <c r="AE565" s="498">
        <v>2718647.0562718548</v>
      </c>
      <c r="AF565" s="499">
        <v>2560775.5496696867</v>
      </c>
      <c r="AG565" s="498">
        <v>5521297.7992390301</v>
      </c>
      <c r="AH565" s="498">
        <v>1346969.9981268256</v>
      </c>
      <c r="AI565" s="498">
        <v>2716570.2196478965</v>
      </c>
      <c r="AJ565" s="499">
        <v>2558819.3146979488</v>
      </c>
      <c r="AK565" s="498">
        <v>5525518.8693951778</v>
      </c>
      <c r="AL565" s="498">
        <v>1347999.7659580598</v>
      </c>
      <c r="AM565" s="498">
        <v>2718647.0562718548</v>
      </c>
      <c r="AN565" s="498">
        <v>2560775.5496696872</v>
      </c>
      <c r="AO565" s="499">
        <v>12152941.241294779</v>
      </c>
      <c r="AP565" s="500"/>
      <c r="AQ565" s="497">
        <v>5512612.4052984929</v>
      </c>
      <c r="AR565" s="498">
        <v>1345440.2089410394</v>
      </c>
      <c r="AS565" s="498">
        <v>2734881.7347280947</v>
      </c>
      <c r="AT565" s="498">
        <v>2571169.2234528591</v>
      </c>
      <c r="AU565" s="499">
        <v>12164103.572420487</v>
      </c>
      <c r="AV565" s="500"/>
      <c r="AW565" s="501">
        <v>12802223.65068711</v>
      </c>
      <c r="AX565" s="500"/>
      <c r="AY565" s="849">
        <v>0</v>
      </c>
      <c r="AZ565" s="498">
        <v>81414.206396784401</v>
      </c>
      <c r="BA565" s="498">
        <v>12082689.366023703</v>
      </c>
      <c r="BB565" s="498">
        <v>118263.8969250206</v>
      </c>
      <c r="BC565" s="499">
        <v>11964425.469098682</v>
      </c>
      <c r="BD565" s="497">
        <v>119644.25469098683</v>
      </c>
      <c r="BE565" s="498">
        <v>11844781.214407694</v>
      </c>
      <c r="BF565" s="502">
        <v>0.92521280190039257</v>
      </c>
      <c r="BG565" s="500"/>
      <c r="BJ565" s="503"/>
      <c r="BK565" s="504"/>
      <c r="BL565" s="503"/>
      <c r="BM565" s="503"/>
      <c r="BN565" s="503"/>
      <c r="BO565" s="500">
        <v>75279.074842504895</v>
      </c>
      <c r="BP565" s="500">
        <v>9689936.1153424755</v>
      </c>
      <c r="BQ565" s="500">
        <v>11844781.214407695</v>
      </c>
      <c r="BR565" s="503"/>
      <c r="BT565" s="497">
        <v>0</v>
      </c>
      <c r="BU565" s="498">
        <v>0</v>
      </c>
      <c r="BV565" s="499">
        <v>11844781.214407694</v>
      </c>
      <c r="BX565" s="506"/>
      <c r="BY565" s="507"/>
      <c r="BZ565" s="505"/>
      <c r="CB565" s="500"/>
      <c r="CE565" s="500"/>
      <c r="CH565" s="395"/>
      <c r="CJ565" s="487" t="s">
        <v>1450</v>
      </c>
      <c r="CK565" s="487" t="s">
        <v>1448</v>
      </c>
      <c r="CL565" s="508" t="s">
        <v>1448</v>
      </c>
      <c r="CN565" s="487" t="s">
        <v>1448</v>
      </c>
      <c r="CO565" s="487" t="s">
        <v>1450</v>
      </c>
      <c r="CP565" s="487" t="s">
        <v>1450</v>
      </c>
      <c r="CQ565" s="487" t="s">
        <v>1450</v>
      </c>
      <c r="CS565" s="488">
        <v>0.85</v>
      </c>
      <c r="CT565" s="489">
        <v>0</v>
      </c>
      <c r="CU565" s="489">
        <v>0</v>
      </c>
      <c r="CV565" s="490">
        <v>0.85</v>
      </c>
    </row>
    <row r="566" spans="1:100" s="469" customFormat="1" outlineLevel="1" x14ac:dyDescent="0.3">
      <c r="E566" s="469" t="s">
        <v>900</v>
      </c>
      <c r="F566" s="469" t="s">
        <v>900</v>
      </c>
      <c r="G566" s="469" t="s">
        <v>900</v>
      </c>
      <c r="H566" s="469" t="s">
        <v>900</v>
      </c>
      <c r="O566" s="470"/>
      <c r="P566" s="471"/>
      <c r="Q566" s="846"/>
      <c r="R566" s="471"/>
      <c r="S566" s="472"/>
      <c r="T566" s="471"/>
      <c r="U566" s="470"/>
      <c r="V566" s="471"/>
      <c r="W566" s="473"/>
      <c r="X566" s="474">
        <v>496.76515952487438</v>
      </c>
      <c r="Y566" s="475">
        <v>121.19030530954417</v>
      </c>
      <c r="Z566" s="475">
        <v>244.41670918563827</v>
      </c>
      <c r="AA566" s="475">
        <v>230.22346036767834</v>
      </c>
      <c r="AB566" s="476"/>
      <c r="AC566" s="562"/>
      <c r="AD566" s="562"/>
      <c r="AE566" s="562"/>
      <c r="AF566" s="563"/>
      <c r="AG566" s="562">
        <v>324.69770431919738</v>
      </c>
      <c r="AH566" s="562">
        <v>79.212910094961089</v>
      </c>
      <c r="AI566" s="562">
        <v>159.7566633814086</v>
      </c>
      <c r="AJ566" s="563">
        <v>150.47961321061192</v>
      </c>
      <c r="AK566" s="475"/>
      <c r="AL566" s="475"/>
      <c r="AM566" s="475"/>
      <c r="AN566" s="475"/>
      <c r="AO566" s="476"/>
      <c r="AP566" s="852"/>
      <c r="AQ566" s="474"/>
      <c r="AR566" s="475"/>
      <c r="AS566" s="475"/>
      <c r="AT566" s="475"/>
      <c r="AU566" s="476"/>
      <c r="AV566" s="852"/>
      <c r="AW566" s="477"/>
      <c r="AY566" s="847"/>
      <c r="AZ566" s="475"/>
      <c r="BA566" s="475"/>
      <c r="BB566" s="475"/>
      <c r="BC566" s="476"/>
      <c r="BD566" s="474"/>
      <c r="BE566" s="475"/>
      <c r="BF566" s="476"/>
      <c r="BJ566" s="479"/>
      <c r="BK566" s="480"/>
      <c r="BL566" s="479"/>
      <c r="BM566" s="479"/>
      <c r="BN566" s="479"/>
      <c r="BQ566" s="481"/>
      <c r="BR566" s="479"/>
      <c r="BT566" s="482">
        <v>0</v>
      </c>
      <c r="BU566" s="483"/>
      <c r="BV566" s="484"/>
      <c r="BX566" s="485"/>
      <c r="BY566" s="483"/>
      <c r="BZ566" s="484"/>
      <c r="CB566" s="481"/>
      <c r="CE566" s="481"/>
      <c r="CH566" s="199"/>
      <c r="CJ566" s="487" t="s">
        <v>1450</v>
      </c>
      <c r="CK566" s="487" t="s">
        <v>1448</v>
      </c>
      <c r="CL566" s="487" t="s">
        <v>1448</v>
      </c>
      <c r="CN566" s="487" t="s">
        <v>1448</v>
      </c>
      <c r="CO566" s="487" t="s">
        <v>1450</v>
      </c>
      <c r="CP566" s="487" t="s">
        <v>1450</v>
      </c>
      <c r="CQ566" s="487" t="s">
        <v>1450</v>
      </c>
      <c r="CS566" s="488">
        <v>0.85</v>
      </c>
      <c r="CT566" s="489">
        <v>0</v>
      </c>
      <c r="CU566" s="489">
        <v>0</v>
      </c>
      <c r="CV566" s="490">
        <v>0.85</v>
      </c>
    </row>
    <row r="567" spans="1:100" s="199" customFormat="1" outlineLevel="1" x14ac:dyDescent="0.3">
      <c r="E567" s="199" t="s">
        <v>900</v>
      </c>
      <c r="F567" s="199" t="s">
        <v>900</v>
      </c>
      <c r="G567" s="199" t="s">
        <v>900</v>
      </c>
      <c r="H567" s="199" t="s">
        <v>900</v>
      </c>
      <c r="O567" s="509" t="s">
        <v>900</v>
      </c>
      <c r="P567" s="510" t="s">
        <v>900</v>
      </c>
      <c r="Q567" s="349" t="s">
        <v>900</v>
      </c>
      <c r="R567" s="510" t="s">
        <v>900</v>
      </c>
      <c r="S567" s="512" t="s">
        <v>900</v>
      </c>
      <c r="T567" s="510"/>
      <c r="U567" s="509"/>
      <c r="V567" s="510"/>
      <c r="W567" s="232"/>
      <c r="X567" s="270"/>
      <c r="Y567" s="271"/>
      <c r="Z567" s="271"/>
      <c r="AA567" s="271"/>
      <c r="AB567" s="272"/>
      <c r="AC567" s="245"/>
      <c r="AD567" s="245"/>
      <c r="AE567" s="245"/>
      <c r="AF567" s="564"/>
      <c r="AG567" s="245"/>
      <c r="AH567" s="245"/>
      <c r="AI567" s="245"/>
      <c r="AJ567" s="564"/>
      <c r="AK567" s="271"/>
      <c r="AL567" s="271"/>
      <c r="AM567" s="271"/>
      <c r="AN567" s="271"/>
      <c r="AO567" s="272"/>
      <c r="AP567" s="853"/>
      <c r="AQ567" s="270"/>
      <c r="AR567" s="271"/>
      <c r="AS567" s="271"/>
      <c r="AT567" s="271"/>
      <c r="AU567" s="272"/>
      <c r="AV567" s="853"/>
      <c r="AW567" s="326"/>
      <c r="AY567" s="378"/>
      <c r="AZ567" s="271"/>
      <c r="BA567" s="271"/>
      <c r="BB567" s="271"/>
      <c r="BC567" s="272"/>
      <c r="BD567" s="270"/>
      <c r="BE567" s="271"/>
      <c r="BF567" s="272"/>
      <c r="BJ567" s="513"/>
      <c r="BK567" s="221"/>
      <c r="BL567" s="513"/>
      <c r="BM567" s="513"/>
      <c r="BN567" s="513"/>
      <c r="BQ567" s="200"/>
      <c r="BR567" s="513"/>
      <c r="BT567" s="514">
        <v>0</v>
      </c>
      <c r="BU567" s="515"/>
      <c r="BV567" s="516"/>
      <c r="BX567" s="517"/>
      <c r="BY567" s="515"/>
      <c r="BZ567" s="516"/>
      <c r="CB567" s="200"/>
      <c r="CE567" s="200"/>
      <c r="CJ567" s="519" t="s">
        <v>1450</v>
      </c>
      <c r="CK567" s="519" t="s">
        <v>1448</v>
      </c>
      <c r="CL567" s="519" t="s">
        <v>1448</v>
      </c>
      <c r="CN567" s="519" t="s">
        <v>1448</v>
      </c>
      <c r="CO567" s="519" t="s">
        <v>1450</v>
      </c>
      <c r="CP567" s="519" t="s">
        <v>1450</v>
      </c>
      <c r="CQ567" s="519" t="s">
        <v>1450</v>
      </c>
      <c r="CS567" s="520">
        <v>0.85</v>
      </c>
      <c r="CT567" s="521">
        <v>0</v>
      </c>
      <c r="CU567" s="521">
        <v>0</v>
      </c>
      <c r="CV567" s="522">
        <v>0.85</v>
      </c>
    </row>
    <row r="568" spans="1:100" outlineLevel="1" x14ac:dyDescent="0.3">
      <c r="A568" s="47">
        <v>108796000</v>
      </c>
      <c r="B568" s="47">
        <v>400432</v>
      </c>
      <c r="C568" s="47">
        <v>87405</v>
      </c>
      <c r="D568" s="47" t="s">
        <v>1407</v>
      </c>
      <c r="E568" s="47" t="s">
        <v>1554</v>
      </c>
      <c r="F568" s="47" t="s">
        <v>900</v>
      </c>
      <c r="G568" s="47" t="s">
        <v>900</v>
      </c>
      <c r="H568" s="47" t="s">
        <v>900</v>
      </c>
      <c r="O568" s="444" t="s">
        <v>900</v>
      </c>
      <c r="P568" s="445" t="s">
        <v>900</v>
      </c>
      <c r="Q568" s="446" t="s">
        <v>900</v>
      </c>
      <c r="R568" s="445">
        <v>4567</v>
      </c>
      <c r="S568" s="447">
        <v>1827.9999999999998</v>
      </c>
      <c r="T568" s="445"/>
      <c r="U568" s="444">
        <v>4532.7772511848343</v>
      </c>
      <c r="V568" s="445">
        <v>964.67055895686724</v>
      </c>
      <c r="W568" s="229">
        <v>0.21282108197677474</v>
      </c>
      <c r="X568" s="261">
        <v>0</v>
      </c>
      <c r="Y568" s="262">
        <v>0</v>
      </c>
      <c r="Z568" s="262">
        <v>0</v>
      </c>
      <c r="AA568" s="262">
        <v>0</v>
      </c>
      <c r="AB568" s="263">
        <v>0</v>
      </c>
      <c r="AC568" s="243"/>
      <c r="AD568" s="243"/>
      <c r="AE568" s="243"/>
      <c r="AF568" s="565"/>
      <c r="AG568" s="243"/>
      <c r="AH568" s="243"/>
      <c r="AI568" s="243"/>
      <c r="AJ568" s="565"/>
      <c r="AK568" s="262">
        <v>453230.23070965643</v>
      </c>
      <c r="AL568" s="262">
        <v>106285.17250944149</v>
      </c>
      <c r="AM568" s="262">
        <v>236456.30300928888</v>
      </c>
      <c r="AN568" s="262">
        <v>214079.57280341291</v>
      </c>
      <c r="AO568" s="263">
        <v>1010051.2790317998</v>
      </c>
      <c r="AP568" s="253"/>
      <c r="AQ568" s="261">
        <v>446346.10138984153</v>
      </c>
      <c r="AR568" s="262">
        <v>102910.3281084073</v>
      </c>
      <c r="AS568" s="262">
        <v>233181.26966343986</v>
      </c>
      <c r="AT568" s="262">
        <v>220180.25692980524</v>
      </c>
      <c r="AU568" s="263">
        <v>1002617.956091494</v>
      </c>
      <c r="AV568" s="253"/>
      <c r="AW568" s="323">
        <v>1095018.59734923</v>
      </c>
      <c r="AX568" s="31"/>
      <c r="AY568" s="747">
        <v>0</v>
      </c>
      <c r="AZ568" s="262">
        <v>0</v>
      </c>
      <c r="BA568" s="262">
        <v>1002617.956091494</v>
      </c>
      <c r="BB568" s="262">
        <v>9813.5028570548002</v>
      </c>
      <c r="BC568" s="263">
        <v>992804.45323443913</v>
      </c>
      <c r="BD568" s="261">
        <v>9928.044532344391</v>
      </c>
      <c r="BE568" s="262">
        <v>982876.40870209469</v>
      </c>
      <c r="BF568" s="341">
        <v>0.89758878167128497</v>
      </c>
      <c r="BG568" s="31"/>
      <c r="BJ568" s="4">
        <v>0.89758878167128497</v>
      </c>
      <c r="BQ568" s="31">
        <v>0</v>
      </c>
      <c r="BT568" s="448" t="s">
        <v>900</v>
      </c>
      <c r="BU568" s="243">
        <v>0</v>
      </c>
      <c r="BV568" s="263">
        <v>982876.40870209469</v>
      </c>
      <c r="BX568" s="261">
        <v>-35136.234314182191</v>
      </c>
      <c r="BY568" s="262"/>
      <c r="BZ568" s="263">
        <v>-20218.202088491696</v>
      </c>
      <c r="CC568" s="31"/>
      <c r="CD568" s="31" t="e">
        <v>#VALUE!</v>
      </c>
      <c r="CF568" s="31" t="e">
        <v>#VALUE!</v>
      </c>
      <c r="CN568" s="464" t="s">
        <v>1447</v>
      </c>
      <c r="CO568" s="464" t="s">
        <v>1447</v>
      </c>
      <c r="CP568" s="464" t="s">
        <v>1447</v>
      </c>
      <c r="CQ568" s="464" t="s">
        <v>1447</v>
      </c>
      <c r="CR568" s="48"/>
      <c r="CS568" s="465">
        <v>0</v>
      </c>
      <c r="CT568" s="466">
        <v>0.9</v>
      </c>
      <c r="CU568" s="466">
        <v>0</v>
      </c>
      <c r="CV568" s="467">
        <v>0.9</v>
      </c>
    </row>
    <row r="569" spans="1:100" s="199" customFormat="1" outlineLevel="1" x14ac:dyDescent="0.3">
      <c r="E569" s="199" t="s">
        <v>900</v>
      </c>
      <c r="F569" s="199" t="s">
        <v>900</v>
      </c>
      <c r="G569" s="199" t="s">
        <v>900</v>
      </c>
      <c r="H569" s="199" t="s">
        <v>900</v>
      </c>
      <c r="O569" s="509" t="s">
        <v>900</v>
      </c>
      <c r="P569" s="510" t="s">
        <v>900</v>
      </c>
      <c r="Q569" s="511" t="s">
        <v>900</v>
      </c>
      <c r="R569" s="510" t="s">
        <v>900</v>
      </c>
      <c r="S569" s="512" t="s">
        <v>900</v>
      </c>
      <c r="T569" s="510"/>
      <c r="U569" s="509"/>
      <c r="V569" s="510"/>
      <c r="W569" s="232"/>
      <c r="X569" s="270"/>
      <c r="Y569" s="271"/>
      <c r="Z569" s="271"/>
      <c r="AA569" s="271"/>
      <c r="AB569" s="272"/>
      <c r="AC569" s="245"/>
      <c r="AD569" s="245"/>
      <c r="AE569" s="245"/>
      <c r="AF569" s="564"/>
      <c r="AG569" s="245"/>
      <c r="AH569" s="245"/>
      <c r="AI569" s="245"/>
      <c r="AJ569" s="564"/>
      <c r="AK569" s="271"/>
      <c r="AL569" s="271"/>
      <c r="AM569" s="271"/>
      <c r="AN569" s="271"/>
      <c r="AO569" s="272"/>
      <c r="AP569" s="853"/>
      <c r="AQ569" s="270"/>
      <c r="AR569" s="271"/>
      <c r="AS569" s="271"/>
      <c r="AT569" s="271"/>
      <c r="AU569" s="272"/>
      <c r="AV569" s="853"/>
      <c r="AW569" s="326"/>
      <c r="AY569" s="378"/>
      <c r="AZ569" s="271"/>
      <c r="BA569" s="271"/>
      <c r="BB569" s="271"/>
      <c r="BC569" s="272"/>
      <c r="BD569" s="270"/>
      <c r="BE569" s="271"/>
      <c r="BF569" s="272"/>
      <c r="BJ569" s="513"/>
      <c r="BK569" s="221"/>
      <c r="BL569" s="513"/>
      <c r="BM569" s="513"/>
      <c r="BN569" s="513"/>
      <c r="BQ569" s="200"/>
      <c r="BR569" s="513"/>
      <c r="BT569" s="514">
        <v>0</v>
      </c>
      <c r="BU569" s="515"/>
      <c r="BV569" s="272"/>
      <c r="BX569" s="517"/>
      <c r="BY569" s="515"/>
      <c r="BZ569" s="516"/>
      <c r="CB569" s="200"/>
      <c r="CE569" s="200"/>
      <c r="CJ569" s="519" t="s">
        <v>1450</v>
      </c>
      <c r="CK569" s="519" t="s">
        <v>1448</v>
      </c>
      <c r="CL569" s="519" t="s">
        <v>1448</v>
      </c>
      <c r="CN569" s="519" t="s">
        <v>1450</v>
      </c>
      <c r="CO569" s="519" t="s">
        <v>1450</v>
      </c>
      <c r="CP569" s="519" t="s">
        <v>1450</v>
      </c>
      <c r="CQ569" s="519" t="s">
        <v>1450</v>
      </c>
      <c r="CS569" s="520" t="s">
        <v>1450</v>
      </c>
      <c r="CT569" s="521" t="s">
        <v>1450</v>
      </c>
      <c r="CU569" s="521" t="s">
        <v>1450</v>
      </c>
      <c r="CV569" s="522">
        <v>0</v>
      </c>
    </row>
    <row r="570" spans="1:100" outlineLevel="1" x14ac:dyDescent="0.3">
      <c r="A570" s="47">
        <v>200900000</v>
      </c>
      <c r="B570" s="47">
        <v>499999</v>
      </c>
      <c r="D570" s="47" t="s">
        <v>571</v>
      </c>
      <c r="O570" s="444"/>
      <c r="P570" s="445"/>
      <c r="Q570" s="446"/>
      <c r="R570" s="445"/>
      <c r="S570" s="447"/>
      <c r="T570" s="445"/>
      <c r="U570" s="444"/>
      <c r="V570" s="445"/>
      <c r="W570" s="229"/>
      <c r="X570" s="261">
        <v>421148.59372904582</v>
      </c>
      <c r="Y570" s="262">
        <v>107341.63304322549</v>
      </c>
      <c r="Z570" s="262">
        <v>141792.8609582748</v>
      </c>
      <c r="AA570" s="262">
        <v>109218.54016011878</v>
      </c>
      <c r="AB570" s="263">
        <v>779501.62789066485</v>
      </c>
      <c r="AC570" s="243">
        <v>421148.59372904582</v>
      </c>
      <c r="AD570" s="243">
        <v>107341.63304322549</v>
      </c>
      <c r="AE570" s="243">
        <v>141792.8609582748</v>
      </c>
      <c r="AF570" s="565">
        <v>109218.54016011878</v>
      </c>
      <c r="AG570" s="243">
        <v>421148.59372904582</v>
      </c>
      <c r="AH570" s="243">
        <v>107341.63304322549</v>
      </c>
      <c r="AI570" s="243">
        <v>141792.8609582748</v>
      </c>
      <c r="AJ570" s="565">
        <v>109218.54016011878</v>
      </c>
      <c r="AK570" s="262">
        <v>421148.59372904582</v>
      </c>
      <c r="AL570" s="262">
        <v>107341.63304322549</v>
      </c>
      <c r="AM570" s="262">
        <v>141792.8609582748</v>
      </c>
      <c r="AN570" s="262">
        <v>109218.54016011878</v>
      </c>
      <c r="AO570" s="263">
        <v>779501.62789066485</v>
      </c>
      <c r="AP570" s="253"/>
      <c r="AQ570" s="261">
        <v>421148.59372904582</v>
      </c>
      <c r="AR570" s="262">
        <v>107341.63304322549</v>
      </c>
      <c r="AS570" s="262">
        <v>141792.8609582748</v>
      </c>
      <c r="AT570" s="262">
        <v>109218.54016011878</v>
      </c>
      <c r="AU570" s="263">
        <v>779501.62789066485</v>
      </c>
      <c r="AV570" s="253"/>
      <c r="AW570" s="323">
        <v>812444.03345653601</v>
      </c>
      <c r="AY570" s="747">
        <v>0</v>
      </c>
      <c r="AZ570" s="262">
        <v>0</v>
      </c>
      <c r="BA570" s="262">
        <v>779501.62789066485</v>
      </c>
      <c r="BB570" s="262">
        <v>7629.6673183517569</v>
      </c>
      <c r="BC570" s="263">
        <v>771871.96057231305</v>
      </c>
      <c r="BD570" s="261">
        <v>7718.7196057231304</v>
      </c>
      <c r="BE570" s="262">
        <v>764153.24096658989</v>
      </c>
      <c r="BF570" s="341">
        <v>0.94056108420847973</v>
      </c>
      <c r="BT570" s="448"/>
      <c r="BU570" s="137"/>
      <c r="BV570" s="263">
        <v>764153.24096658989</v>
      </c>
      <c r="BX570" s="206"/>
      <c r="BY570" s="137"/>
      <c r="BZ570" s="208"/>
      <c r="CN570" s="464" t="s">
        <v>1447</v>
      </c>
      <c r="CO570" s="464" t="s">
        <v>1447</v>
      </c>
      <c r="CP570" s="464" t="s">
        <v>1447</v>
      </c>
      <c r="CQ570" s="464" t="s">
        <v>1447</v>
      </c>
      <c r="CR570" s="48"/>
      <c r="CS570" s="465">
        <v>0</v>
      </c>
      <c r="CT570" s="466">
        <v>0</v>
      </c>
      <c r="CU570" s="466">
        <v>0.95</v>
      </c>
      <c r="CV570" s="467">
        <v>0.95</v>
      </c>
    </row>
    <row r="571" spans="1:100" x14ac:dyDescent="0.3">
      <c r="O571" s="444"/>
      <c r="P571" s="445"/>
      <c r="Q571" s="446"/>
      <c r="R571" s="445"/>
      <c r="S571" s="447"/>
      <c r="T571" s="445"/>
      <c r="U571" s="444"/>
      <c r="V571" s="445"/>
      <c r="W571" s="229"/>
      <c r="X571" s="261"/>
      <c r="Y571" s="262"/>
      <c r="Z571" s="262"/>
      <c r="AA571" s="262"/>
      <c r="AB571" s="263"/>
      <c r="AC571" s="243"/>
      <c r="AD571" s="243"/>
      <c r="AE571" s="243"/>
      <c r="AF571" s="565"/>
      <c r="AG571" s="243"/>
      <c r="AH571" s="243"/>
      <c r="AI571" s="243"/>
      <c r="AJ571" s="565"/>
      <c r="AK571" s="243"/>
      <c r="AL571" s="243"/>
      <c r="AM571" s="243"/>
      <c r="AN571" s="243"/>
      <c r="AO571" s="565"/>
      <c r="AQ571" s="566"/>
      <c r="AR571" s="243"/>
      <c r="AS571" s="243"/>
      <c r="AT571" s="243"/>
      <c r="AU571" s="565"/>
      <c r="AW571" s="567"/>
      <c r="AY571" s="747"/>
      <c r="AZ571" s="262"/>
      <c r="BA571" s="262"/>
      <c r="BB571" s="262"/>
      <c r="BC571" s="263"/>
      <c r="BD571" s="261"/>
      <c r="BE571" s="262"/>
      <c r="BF571" s="263"/>
      <c r="BT571" s="448"/>
      <c r="BU571" s="137"/>
      <c r="BV571" s="208"/>
      <c r="BX571" s="206"/>
      <c r="BY571" s="137"/>
      <c r="BZ571" s="208"/>
      <c r="CE571" s="31" t="e">
        <v>#VALUE!</v>
      </c>
      <c r="CF571" s="31" t="e">
        <v>#VALUE!</v>
      </c>
      <c r="CS571" s="206"/>
      <c r="CT571" s="137"/>
      <c r="CU571" s="137"/>
      <c r="CV571" s="208"/>
    </row>
    <row r="572" spans="1:100" s="568" customFormat="1" x14ac:dyDescent="0.3">
      <c r="A572" s="568" t="s">
        <v>898</v>
      </c>
      <c r="B572" s="569">
        <v>322118181.54607213</v>
      </c>
      <c r="O572" s="570"/>
      <c r="P572" s="571"/>
      <c r="Q572" s="572"/>
      <c r="R572" s="571"/>
      <c r="S572" s="573"/>
      <c r="T572" s="571"/>
      <c r="U572" s="574"/>
      <c r="V572" s="575"/>
      <c r="W572" s="576"/>
      <c r="X572" s="577">
        <v>145066003.64232543</v>
      </c>
      <c r="Y572" s="578">
        <v>31452543.375321317</v>
      </c>
      <c r="Z572" s="578">
        <v>77018264.807391375</v>
      </c>
      <c r="AA572" s="578">
        <v>69360871.348924637</v>
      </c>
      <c r="AB572" s="579">
        <v>322897683.17396277</v>
      </c>
      <c r="AC572" s="577">
        <v>145066003.64232543</v>
      </c>
      <c r="AD572" s="578">
        <v>31452543.37532131</v>
      </c>
      <c r="AE572" s="578">
        <v>77018264.807391375</v>
      </c>
      <c r="AF572" s="578">
        <v>69360871.348924652</v>
      </c>
      <c r="AG572" s="577">
        <v>145019418.06988767</v>
      </c>
      <c r="AH572" s="578">
        <v>30821164.545282856</v>
      </c>
      <c r="AI572" s="578">
        <v>76996475.425360918</v>
      </c>
      <c r="AJ572" s="578">
        <v>69340323.676182657</v>
      </c>
      <c r="AK572" s="577">
        <v>145066003.64232546</v>
      </c>
      <c r="AL572" s="578">
        <v>31452543.37532131</v>
      </c>
      <c r="AM572" s="578">
        <v>77018264.807391375</v>
      </c>
      <c r="AN572" s="578">
        <v>69360871.348924622</v>
      </c>
      <c r="AO572" s="579">
        <v>322897683.17396271</v>
      </c>
      <c r="AP572" s="569"/>
      <c r="AQ572" s="577">
        <v>145066003.64232549</v>
      </c>
      <c r="AR572" s="578">
        <v>31452543.375321314</v>
      </c>
      <c r="AS572" s="578">
        <v>77018264.807391405</v>
      </c>
      <c r="AT572" s="578">
        <v>69360871.348924682</v>
      </c>
      <c r="AU572" s="579">
        <v>322897683.17396271</v>
      </c>
      <c r="AV572" s="569"/>
      <c r="AW572" s="580">
        <v>309821447.919554</v>
      </c>
      <c r="AX572" s="569"/>
      <c r="AY572" s="854">
        <v>0</v>
      </c>
      <c r="AZ572" s="582">
        <v>12915908.000000075</v>
      </c>
      <c r="BA572" s="582">
        <v>309981775.17396283</v>
      </c>
      <c r="BB572" s="582">
        <v>3034063.9899999979</v>
      </c>
      <c r="BC572" s="583">
        <v>306947711.1839627</v>
      </c>
      <c r="BD572" s="581">
        <v>3069477.1118396274</v>
      </c>
      <c r="BE572" s="582">
        <v>303878234.07212317</v>
      </c>
      <c r="BF572" s="583">
        <v>16.202368169998998</v>
      </c>
      <c r="BG572" s="569"/>
      <c r="BJ572" s="584"/>
      <c r="BK572" s="585"/>
      <c r="BL572" s="584"/>
      <c r="BM572" s="584"/>
      <c r="BN572" s="584"/>
      <c r="BQ572" s="569">
        <v>302131204.42245436</v>
      </c>
      <c r="BR572" s="584"/>
      <c r="BT572" s="586"/>
      <c r="BU572" s="582">
        <v>-175167.96640984467</v>
      </c>
      <c r="BV572" s="583">
        <v>303703066.10571325</v>
      </c>
      <c r="BX572" s="581">
        <v>-7743889.4728190713</v>
      </c>
      <c r="BY572" s="582"/>
      <c r="BZ572" s="583"/>
      <c r="CB572" s="569">
        <v>27564457</v>
      </c>
      <c r="CC572" s="569" t="e">
        <v>#VALUE!</v>
      </c>
      <c r="CD572" s="569" t="e">
        <v>#VALUE!</v>
      </c>
      <c r="CE572" s="569"/>
      <c r="CH572" s="395"/>
      <c r="CL572" s="587"/>
      <c r="CS572" s="588"/>
      <c r="CT572" s="589"/>
      <c r="CU572" s="589"/>
      <c r="CV572" s="590"/>
    </row>
    <row r="573" spans="1:100" ht="15" thickBot="1" x14ac:dyDescent="0.35">
      <c r="O573" s="444"/>
      <c r="P573" s="445"/>
      <c r="Q573" s="446"/>
      <c r="R573" s="445"/>
      <c r="S573" s="447"/>
      <c r="T573" s="445"/>
      <c r="U573" s="444"/>
      <c r="V573" s="445"/>
      <c r="W573" s="229"/>
      <c r="X573" s="566"/>
      <c r="Y573" s="243"/>
      <c r="Z573" s="243"/>
      <c r="AA573" s="243"/>
      <c r="AB573" s="565"/>
      <c r="AC573" s="243"/>
      <c r="AD573" s="243"/>
      <c r="AE573" s="243"/>
      <c r="AF573" s="565"/>
      <c r="AG573" s="243"/>
      <c r="AH573" s="243"/>
      <c r="AI573" s="243"/>
      <c r="AJ573" s="565"/>
      <c r="AK573" s="243"/>
      <c r="AL573" s="243"/>
      <c r="AM573" s="243"/>
      <c r="AN573" s="243"/>
      <c r="AO573" s="565"/>
      <c r="AP573" s="31"/>
      <c r="AQ573" s="566"/>
      <c r="AR573" s="243"/>
      <c r="AS573" s="243"/>
      <c r="AT573" s="243"/>
      <c r="AU573" s="565"/>
      <c r="AV573" s="31"/>
      <c r="AW573" s="567"/>
      <c r="AX573" s="31"/>
      <c r="AY573" s="599"/>
      <c r="AZ573" s="600"/>
      <c r="BA573" s="247"/>
      <c r="BB573" s="600"/>
      <c r="BC573" s="601"/>
      <c r="BD573" s="599"/>
      <c r="BE573" s="600"/>
      <c r="BF573" s="601"/>
      <c r="BG573" s="31"/>
      <c r="BT573" s="602"/>
      <c r="BU573" s="247"/>
      <c r="BV573" s="597"/>
      <c r="BX573" s="566"/>
      <c r="BY573" s="243"/>
      <c r="BZ573" s="565"/>
      <c r="CC573" s="31"/>
      <c r="CS573" s="206"/>
      <c r="CT573" s="137"/>
      <c r="CU573" s="137"/>
      <c r="CV573" s="208"/>
    </row>
    <row r="574" spans="1:100" outlineLevel="1" x14ac:dyDescent="0.3">
      <c r="A574" s="47" t="s">
        <v>1555</v>
      </c>
      <c r="B574" s="31">
        <v>35418672</v>
      </c>
      <c r="O574" s="444"/>
      <c r="P574" s="445"/>
      <c r="Q574" s="446"/>
      <c r="R574" s="445"/>
      <c r="S574" s="447"/>
      <c r="T574" s="445"/>
      <c r="U574" s="444">
        <v>1184107.5637656183</v>
      </c>
      <c r="V574" s="445">
        <v>303665.7148543552</v>
      </c>
      <c r="W574" s="229"/>
      <c r="X574" s="566"/>
      <c r="Y574" s="243"/>
      <c r="Z574" s="243"/>
      <c r="AA574" s="243"/>
      <c r="AB574" s="565"/>
      <c r="AC574" s="243"/>
      <c r="AD574" s="243"/>
      <c r="AE574" s="243"/>
      <c r="AF574" s="565"/>
      <c r="AG574" s="243"/>
      <c r="AH574" s="243"/>
      <c r="AI574" s="243"/>
      <c r="AJ574" s="565"/>
      <c r="AK574" s="243"/>
      <c r="AL574" s="243"/>
      <c r="AM574" s="243"/>
      <c r="AN574" s="243"/>
      <c r="AO574" s="565"/>
      <c r="AQ574" s="566"/>
      <c r="AR574" s="243"/>
      <c r="AS574" s="243"/>
      <c r="AT574" s="243"/>
      <c r="AU574" s="565"/>
      <c r="AW574" s="567"/>
      <c r="AY574" s="261"/>
      <c r="AZ574" s="262"/>
      <c r="BA574" s="243"/>
      <c r="BB574" s="262"/>
      <c r="BC574" s="263"/>
      <c r="BD574" s="262"/>
      <c r="BE574" s="262"/>
      <c r="BF574" s="263"/>
      <c r="BT574" s="448"/>
      <c r="BU574" s="137"/>
      <c r="BV574" s="208"/>
      <c r="BX574" s="206"/>
      <c r="BY574" s="137"/>
      <c r="BZ574" s="208"/>
      <c r="CB574" s="31">
        <v>27564457</v>
      </c>
      <c r="CC574" s="31"/>
      <c r="CS574" s="206"/>
      <c r="CT574" s="137"/>
      <c r="CU574" s="137"/>
      <c r="CV574" s="208"/>
    </row>
    <row r="575" spans="1:100" outlineLevel="1" x14ac:dyDescent="0.3">
      <c r="A575" s="47" t="s">
        <v>1556</v>
      </c>
      <c r="B575" s="31">
        <v>33647738.399999999</v>
      </c>
      <c r="O575" s="444"/>
      <c r="P575" s="445"/>
      <c r="Q575" s="446"/>
      <c r="R575" s="445"/>
      <c r="S575" s="447"/>
      <c r="T575" s="445"/>
      <c r="U575" s="444"/>
      <c r="V575" s="445"/>
      <c r="W575" s="229"/>
      <c r="X575" s="566"/>
      <c r="Y575" s="243"/>
      <c r="Z575" s="243"/>
      <c r="AA575" s="243"/>
      <c r="AB575" s="565"/>
      <c r="AC575" s="243"/>
      <c r="AD575" s="243"/>
      <c r="AE575" s="243"/>
      <c r="AF575" s="565"/>
      <c r="AG575" s="243"/>
      <c r="AH575" s="243"/>
      <c r="AI575" s="243"/>
      <c r="AJ575" s="565"/>
      <c r="AK575" s="243"/>
      <c r="AL575" s="243"/>
      <c r="AM575" s="243"/>
      <c r="AN575" s="243"/>
      <c r="AO575" s="565"/>
      <c r="AQ575" s="566"/>
      <c r="AR575" s="243"/>
      <c r="AS575" s="243"/>
      <c r="AT575" s="243"/>
      <c r="AU575" s="565"/>
      <c r="AW575" s="567"/>
      <c r="AY575" s="261"/>
      <c r="AZ575" s="262"/>
      <c r="BA575" s="243"/>
      <c r="BB575" s="262"/>
      <c r="BC575" s="263"/>
      <c r="BD575" s="262"/>
      <c r="BE575" s="262"/>
      <c r="BF575" s="263"/>
      <c r="BT575" s="448"/>
      <c r="BU575" s="137"/>
      <c r="BV575" s="208"/>
      <c r="BX575" s="206"/>
      <c r="BY575" s="137"/>
      <c r="BZ575" s="208"/>
      <c r="CB575" s="31">
        <v>6083281.3999999985</v>
      </c>
      <c r="CS575" s="206"/>
      <c r="CT575" s="137"/>
      <c r="CU575" s="137"/>
      <c r="CV575" s="208"/>
    </row>
    <row r="576" spans="1:100" outlineLevel="1" x14ac:dyDescent="0.3">
      <c r="A576" s="47" t="s">
        <v>1012</v>
      </c>
      <c r="B576" s="31">
        <v>33586905.585999995</v>
      </c>
      <c r="O576" s="444"/>
      <c r="P576" s="445"/>
      <c r="Q576" s="446"/>
      <c r="R576" s="445"/>
      <c r="S576" s="447"/>
      <c r="T576" s="445"/>
      <c r="U576" s="444"/>
      <c r="V576" s="445"/>
      <c r="W576" s="229"/>
      <c r="X576" s="566"/>
      <c r="Y576" s="243"/>
      <c r="Z576" s="243"/>
      <c r="AA576" s="243"/>
      <c r="AB576" s="565"/>
      <c r="AC576" s="243"/>
      <c r="AD576" s="243"/>
      <c r="AE576" s="243"/>
      <c r="AF576" s="565"/>
      <c r="AG576" s="243"/>
      <c r="AH576" s="243"/>
      <c r="AI576" s="243"/>
      <c r="AJ576" s="565"/>
      <c r="AK576" s="243"/>
      <c r="AL576" s="243"/>
      <c r="AM576" s="243"/>
      <c r="AN576" s="243"/>
      <c r="AO576" s="565"/>
      <c r="AQ576" s="566"/>
      <c r="AR576" s="243"/>
      <c r="AS576" s="243"/>
      <c r="AT576" s="243"/>
      <c r="AU576" s="565"/>
      <c r="AW576" s="567"/>
      <c r="AY576" s="261"/>
      <c r="AZ576" s="262"/>
      <c r="BA576" s="243"/>
      <c r="BB576" s="262"/>
      <c r="BC576" s="263"/>
      <c r="BD576" s="262"/>
      <c r="BE576" s="262"/>
      <c r="BF576" s="263"/>
      <c r="BT576" s="448"/>
      <c r="BU576" s="137"/>
      <c r="BV576" s="208"/>
      <c r="BX576" s="206"/>
      <c r="BY576" s="137"/>
      <c r="BZ576" s="208"/>
      <c r="CB576" s="31">
        <v>6022448.5859999983</v>
      </c>
      <c r="CS576" s="206"/>
      <c r="CT576" s="137"/>
      <c r="CU576" s="137"/>
      <c r="CV576" s="208"/>
    </row>
    <row r="577" spans="1:114" outlineLevel="1" x14ac:dyDescent="0.3">
      <c r="O577" s="444"/>
      <c r="P577" s="445"/>
      <c r="Q577" s="446"/>
      <c r="R577" s="445"/>
      <c r="S577" s="447"/>
      <c r="T577" s="445"/>
      <c r="U577" s="444"/>
      <c r="V577" s="445"/>
      <c r="W577" s="229"/>
      <c r="X577" s="566"/>
      <c r="Y577" s="243"/>
      <c r="Z577" s="243"/>
      <c r="AA577" s="243"/>
      <c r="AB577" s="565"/>
      <c r="AC577" s="243"/>
      <c r="AD577" s="243"/>
      <c r="AE577" s="243"/>
      <c r="AF577" s="565"/>
      <c r="AG577" s="243"/>
      <c r="AH577" s="243"/>
      <c r="AI577" s="243"/>
      <c r="AJ577" s="565"/>
      <c r="AK577" s="243"/>
      <c r="AL577" s="243"/>
      <c r="AM577" s="243"/>
      <c r="AN577" s="243"/>
      <c r="AO577" s="565"/>
      <c r="AQ577" s="566"/>
      <c r="AR577" s="243"/>
      <c r="AS577" s="243"/>
      <c r="AT577" s="243"/>
      <c r="AU577" s="565"/>
      <c r="AW577" s="567"/>
      <c r="AY577" s="261"/>
      <c r="AZ577" s="262"/>
      <c r="BA577" s="243"/>
      <c r="BB577" s="262"/>
      <c r="BC577" s="263"/>
      <c r="BD577" s="262"/>
      <c r="BE577" s="262"/>
      <c r="BF577" s="263"/>
      <c r="BT577" s="448"/>
      <c r="BU577" s="137"/>
      <c r="BV577" s="208"/>
      <c r="BX577" s="206"/>
      <c r="BY577" s="137"/>
      <c r="BZ577" s="208"/>
      <c r="CB577" s="1" t="e">
        <v>#VALUE!</v>
      </c>
      <c r="CS577" s="206"/>
      <c r="CT577" s="137"/>
      <c r="CU577" s="137"/>
      <c r="CV577" s="208"/>
    </row>
    <row r="578" spans="1:114" outlineLevel="1" x14ac:dyDescent="0.3">
      <c r="O578" s="444"/>
      <c r="P578" s="445"/>
      <c r="Q578" s="446"/>
      <c r="R578" s="445"/>
      <c r="S578" s="447"/>
      <c r="T578" s="445"/>
      <c r="U578" s="444"/>
      <c r="V578" s="445"/>
      <c r="W578" s="229"/>
      <c r="X578" s="566"/>
      <c r="Y578" s="243"/>
      <c r="Z578" s="243"/>
      <c r="AA578" s="243"/>
      <c r="AB578" s="565"/>
      <c r="AC578" s="243"/>
      <c r="AD578" s="243"/>
      <c r="AE578" s="243"/>
      <c r="AF578" s="565"/>
      <c r="AG578" s="243"/>
      <c r="AH578" s="243"/>
      <c r="AI578" s="243"/>
      <c r="AJ578" s="565"/>
      <c r="AK578" s="243"/>
      <c r="AL578" s="243"/>
      <c r="AM578" s="243"/>
      <c r="AN578" s="243"/>
      <c r="AO578" s="565"/>
      <c r="AQ578" s="566"/>
      <c r="AR578" s="243"/>
      <c r="AS578" s="243"/>
      <c r="AT578" s="243"/>
      <c r="AU578" s="565"/>
      <c r="AW578" s="567"/>
      <c r="AY578" s="261"/>
      <c r="AZ578" s="262"/>
      <c r="BA578" s="243"/>
      <c r="BB578" s="262"/>
      <c r="BC578" s="263"/>
      <c r="BD578" s="262"/>
      <c r="BE578" s="262"/>
      <c r="BF578" s="263"/>
      <c r="BT578" s="448"/>
      <c r="BU578" s="137"/>
      <c r="BV578" s="208"/>
      <c r="BX578" s="206"/>
      <c r="BY578" s="137"/>
      <c r="BZ578" s="208"/>
      <c r="CS578" s="206"/>
      <c r="CT578" s="137"/>
      <c r="CU578" s="137"/>
      <c r="CV578" s="208"/>
    </row>
    <row r="579" spans="1:114" outlineLevel="1" x14ac:dyDescent="0.3">
      <c r="O579" s="444"/>
      <c r="P579" s="445"/>
      <c r="Q579" s="446"/>
      <c r="R579" s="445"/>
      <c r="S579" s="447"/>
      <c r="T579" s="445"/>
      <c r="U579" s="444"/>
      <c r="V579" s="445"/>
      <c r="W579" s="229"/>
      <c r="X579" s="566"/>
      <c r="Y579" s="243"/>
      <c r="Z579" s="243"/>
      <c r="AA579" s="243"/>
      <c r="AB579" s="565"/>
      <c r="AC579" s="243"/>
      <c r="AD579" s="243"/>
      <c r="AE579" s="243"/>
      <c r="AF579" s="565"/>
      <c r="AG579" s="243"/>
      <c r="AH579" s="243"/>
      <c r="AI579" s="243"/>
      <c r="AJ579" s="565"/>
      <c r="AK579" s="243"/>
      <c r="AL579" s="243"/>
      <c r="AM579" s="243"/>
      <c r="AN579" s="243"/>
      <c r="AO579" s="565"/>
      <c r="AQ579" s="566"/>
      <c r="AR579" s="243"/>
      <c r="AS579" s="243"/>
      <c r="AT579" s="243"/>
      <c r="AU579" s="565"/>
      <c r="AW579" s="567"/>
      <c r="AY579" s="261"/>
      <c r="AZ579" s="262"/>
      <c r="BA579" s="243"/>
      <c r="BB579" s="262"/>
      <c r="BC579" s="263"/>
      <c r="BD579" s="262"/>
      <c r="BE579" s="262"/>
      <c r="BF579" s="263"/>
      <c r="BT579" s="448"/>
      <c r="BU579" s="137"/>
      <c r="BV579" s="208"/>
      <c r="BX579" s="206"/>
      <c r="BY579" s="137"/>
      <c r="BZ579" s="208"/>
      <c r="CS579" s="206"/>
      <c r="CT579" s="137"/>
      <c r="CU579" s="137"/>
      <c r="CV579" s="208"/>
    </row>
    <row r="580" spans="1:114" outlineLevel="1" x14ac:dyDescent="0.3">
      <c r="A580" s="47">
        <v>74499000</v>
      </c>
      <c r="D580" s="47" t="s">
        <v>51</v>
      </c>
      <c r="O580" s="444"/>
      <c r="P580" s="445"/>
      <c r="Q580" s="446"/>
      <c r="R580" s="445"/>
      <c r="S580" s="447"/>
      <c r="T580" s="445"/>
      <c r="U580" s="444">
        <v>763</v>
      </c>
      <c r="V580" s="445">
        <v>763</v>
      </c>
      <c r="W580" s="229"/>
      <c r="X580" s="566"/>
      <c r="Y580" s="243"/>
      <c r="Z580" s="243"/>
      <c r="AA580" s="243"/>
      <c r="AB580" s="565"/>
      <c r="AC580" s="243"/>
      <c r="AD580" s="243"/>
      <c r="AE580" s="243"/>
      <c r="AF580" s="565"/>
      <c r="AG580" s="243"/>
      <c r="AH580" s="243"/>
      <c r="AI580" s="243"/>
      <c r="AJ580" s="565"/>
      <c r="AK580" s="243"/>
      <c r="AL580" s="243"/>
      <c r="AM580" s="243"/>
      <c r="AN580" s="243"/>
      <c r="AO580" s="565"/>
      <c r="AQ580" s="566"/>
      <c r="AR580" s="243"/>
      <c r="AS580" s="243"/>
      <c r="AT580" s="243"/>
      <c r="AU580" s="565"/>
      <c r="AW580" s="567"/>
      <c r="AY580" s="261"/>
      <c r="AZ580" s="262"/>
      <c r="BA580" s="243"/>
      <c r="BB580" s="262"/>
      <c r="BC580" s="263"/>
      <c r="BD580" s="262"/>
      <c r="BE580" s="262"/>
      <c r="BF580" s="263"/>
      <c r="BT580" s="448"/>
      <c r="BU580" s="137"/>
      <c r="BV580" s="208"/>
      <c r="BX580" s="206"/>
      <c r="BY580" s="137"/>
      <c r="BZ580" s="208"/>
      <c r="CB580" s="31">
        <v>105911</v>
      </c>
      <c r="CC580" s="31">
        <v>118792.88816492571</v>
      </c>
      <c r="CD580" s="31" t="e">
        <v>#VALUE!</v>
      </c>
      <c r="CS580" s="206"/>
      <c r="CT580" s="137"/>
      <c r="CU580" s="137"/>
      <c r="CV580" s="208"/>
    </row>
    <row r="581" spans="1:114" outlineLevel="1" x14ac:dyDescent="0.3">
      <c r="A581" s="47">
        <v>211002000</v>
      </c>
      <c r="B581" s="47">
        <v>400120</v>
      </c>
      <c r="C581" s="47">
        <v>8336</v>
      </c>
      <c r="D581" s="47" t="s">
        <v>48</v>
      </c>
      <c r="O581" s="444"/>
      <c r="P581" s="445"/>
      <c r="Q581" s="446"/>
      <c r="R581" s="445"/>
      <c r="S581" s="447"/>
      <c r="T581" s="445"/>
      <c r="U581" s="444">
        <v>869</v>
      </c>
      <c r="V581" s="445">
        <v>869</v>
      </c>
      <c r="W581" s="229"/>
      <c r="X581" s="566"/>
      <c r="Y581" s="243"/>
      <c r="Z581" s="243"/>
      <c r="AA581" s="243"/>
      <c r="AB581" s="565"/>
      <c r="AC581" s="243"/>
      <c r="AD581" s="243"/>
      <c r="AE581" s="243"/>
      <c r="AF581" s="565"/>
      <c r="AG581" s="243"/>
      <c r="AH581" s="243"/>
      <c r="AI581" s="243"/>
      <c r="AJ581" s="565"/>
      <c r="AK581" s="243"/>
      <c r="AL581" s="243"/>
      <c r="AM581" s="243"/>
      <c r="AN581" s="243"/>
      <c r="AO581" s="565"/>
      <c r="AQ581" s="566"/>
      <c r="AR581" s="243"/>
      <c r="AS581" s="243"/>
      <c r="AT581" s="243"/>
      <c r="AU581" s="565"/>
      <c r="AW581" s="567"/>
      <c r="AY581" s="261"/>
      <c r="AZ581" s="262"/>
      <c r="BA581" s="243"/>
      <c r="BB581" s="262"/>
      <c r="BC581" s="263"/>
      <c r="BD581" s="262"/>
      <c r="BE581" s="262"/>
      <c r="BF581" s="263"/>
      <c r="BT581" s="448"/>
      <c r="BU581" s="137"/>
      <c r="BV581" s="208"/>
      <c r="BX581" s="206"/>
      <c r="BY581" s="137"/>
      <c r="BZ581" s="208"/>
      <c r="CB581" s="31">
        <v>47545</v>
      </c>
      <c r="CC581" s="31">
        <v>62216.508276959947</v>
      </c>
      <c r="CD581" s="31" t="e">
        <v>#VALUE!</v>
      </c>
      <c r="CS581" s="206"/>
      <c r="CT581" s="137"/>
      <c r="CU581" s="137"/>
      <c r="CV581" s="208"/>
    </row>
    <row r="582" spans="1:114" ht="15" outlineLevel="1" thickBot="1" x14ac:dyDescent="0.35">
      <c r="A582" s="47">
        <v>217601000</v>
      </c>
      <c r="B582" s="47">
        <v>409734</v>
      </c>
      <c r="C582" s="47">
        <v>8326</v>
      </c>
      <c r="D582" s="47" t="s">
        <v>1006</v>
      </c>
      <c r="O582" s="591"/>
      <c r="P582" s="592"/>
      <c r="Q582" s="593"/>
      <c r="R582" s="592"/>
      <c r="S582" s="594"/>
      <c r="T582" s="592"/>
      <c r="U582" s="591">
        <v>422</v>
      </c>
      <c r="V582" s="592">
        <v>422</v>
      </c>
      <c r="W582" s="595"/>
      <c r="X582" s="596"/>
      <c r="Y582" s="247"/>
      <c r="Z582" s="247"/>
      <c r="AA582" s="247"/>
      <c r="AB582" s="597"/>
      <c r="AC582" s="247"/>
      <c r="AD582" s="247"/>
      <c r="AE582" s="247"/>
      <c r="AF582" s="597"/>
      <c r="AG582" s="247"/>
      <c r="AH582" s="247"/>
      <c r="AI582" s="247"/>
      <c r="AJ582" s="597"/>
      <c r="AK582" s="247"/>
      <c r="AL582" s="247"/>
      <c r="AM582" s="247"/>
      <c r="AN582" s="247"/>
      <c r="AO582" s="597"/>
      <c r="AQ582" s="596"/>
      <c r="AR582" s="247"/>
      <c r="AS582" s="247"/>
      <c r="AT582" s="247"/>
      <c r="AU582" s="597"/>
      <c r="AW582" s="598"/>
      <c r="AY582" s="599"/>
      <c r="AZ582" s="600"/>
      <c r="BA582" s="247"/>
      <c r="BB582" s="600"/>
      <c r="BC582" s="601"/>
      <c r="BD582" s="600"/>
      <c r="BE582" s="600"/>
      <c r="BF582" s="601"/>
      <c r="BT582" s="602"/>
      <c r="BU582" s="227"/>
      <c r="BV582" s="228"/>
      <c r="BX582" s="226"/>
      <c r="BY582" s="227"/>
      <c r="BZ582" s="228"/>
      <c r="CB582" s="31">
        <v>157229</v>
      </c>
      <c r="CC582" s="31">
        <v>164353.71403092876</v>
      </c>
      <c r="CD582" s="31" t="e">
        <v>#VALUE!</v>
      </c>
      <c r="CS582" s="206"/>
      <c r="CT582" s="137"/>
      <c r="CU582" s="137"/>
      <c r="CV582" s="208"/>
    </row>
    <row r="583" spans="1:114" outlineLevel="1" x14ac:dyDescent="0.3">
      <c r="A583" s="47">
        <v>79999001</v>
      </c>
      <c r="D583" s="47" t="s">
        <v>271</v>
      </c>
      <c r="U583" s="382">
        <v>76</v>
      </c>
      <c r="V583" s="382">
        <v>76</v>
      </c>
      <c r="CB583" s="31" t="s">
        <v>900</v>
      </c>
      <c r="CD583" s="31"/>
      <c r="CS583" s="206"/>
      <c r="CT583" s="137"/>
      <c r="CU583" s="137"/>
      <c r="CV583" s="208"/>
    </row>
    <row r="584" spans="1:114" ht="15" outlineLevel="1" thickBot="1" x14ac:dyDescent="0.35">
      <c r="CS584" s="226"/>
      <c r="CT584" s="227"/>
      <c r="CU584" s="227"/>
      <c r="CV584" s="228"/>
    </row>
    <row r="587" spans="1:114" x14ac:dyDescent="0.3">
      <c r="A587" s="47">
        <v>1</v>
      </c>
      <c r="B587" s="47">
        <v>2</v>
      </c>
      <c r="C587" s="47">
        <v>3</v>
      </c>
      <c r="D587" s="47">
        <v>4</v>
      </c>
      <c r="E587" s="47">
        <v>5</v>
      </c>
      <c r="F587" s="47">
        <v>6</v>
      </c>
      <c r="G587" s="47">
        <v>7</v>
      </c>
      <c r="H587" s="47">
        <v>8</v>
      </c>
      <c r="I587" s="47">
        <v>9</v>
      </c>
      <c r="J587" s="47">
        <v>10</v>
      </c>
      <c r="K587" s="47">
        <v>11</v>
      </c>
      <c r="L587" s="47">
        <v>12</v>
      </c>
      <c r="M587" s="47">
        <v>13</v>
      </c>
      <c r="N587" s="47">
        <v>14</v>
      </c>
      <c r="O587" s="47">
        <v>15</v>
      </c>
      <c r="P587" s="47">
        <v>16</v>
      </c>
      <c r="Q587" s="47">
        <v>17</v>
      </c>
      <c r="R587" s="47">
        <v>18</v>
      </c>
      <c r="S587" s="47">
        <v>19</v>
      </c>
      <c r="T587" s="47">
        <v>20</v>
      </c>
      <c r="U587" s="47">
        <v>21</v>
      </c>
      <c r="V587" s="47">
        <v>22</v>
      </c>
      <c r="W587" s="47">
        <v>23</v>
      </c>
      <c r="X587" s="47">
        <v>24</v>
      </c>
      <c r="Y587" s="47">
        <v>25</v>
      </c>
      <c r="Z587" s="47">
        <v>26</v>
      </c>
      <c r="AA587" s="47">
        <v>27</v>
      </c>
      <c r="AB587" s="47">
        <v>28</v>
      </c>
      <c r="AC587" s="47">
        <v>29</v>
      </c>
      <c r="AD587" s="47">
        <v>30</v>
      </c>
      <c r="AE587" s="47">
        <v>31</v>
      </c>
      <c r="AF587" s="47">
        <v>32</v>
      </c>
      <c r="AG587" s="47">
        <v>33</v>
      </c>
      <c r="AH587" s="47">
        <v>34</v>
      </c>
      <c r="AI587" s="47">
        <v>35</v>
      </c>
      <c r="AJ587" s="47">
        <v>36</v>
      </c>
      <c r="AK587" s="47">
        <v>37</v>
      </c>
      <c r="AL587" s="47">
        <v>38</v>
      </c>
      <c r="AM587" s="47">
        <v>39</v>
      </c>
      <c r="AN587" s="47">
        <v>40</v>
      </c>
      <c r="AO587" s="47">
        <v>41</v>
      </c>
      <c r="AP587" s="47">
        <v>42</v>
      </c>
      <c r="AQ587" s="47">
        <v>43</v>
      </c>
      <c r="AR587" s="47">
        <v>44</v>
      </c>
      <c r="AS587" s="47">
        <v>45</v>
      </c>
      <c r="AT587" s="47">
        <v>46</v>
      </c>
      <c r="AU587" s="47">
        <v>47</v>
      </c>
      <c r="AV587" s="47">
        <v>48</v>
      </c>
      <c r="AW587" s="47">
        <v>49</v>
      </c>
      <c r="AX587" s="47">
        <v>50</v>
      </c>
      <c r="AY587" s="47">
        <v>51</v>
      </c>
      <c r="AZ587" s="47">
        <v>52</v>
      </c>
      <c r="BA587" s="47">
        <v>53</v>
      </c>
      <c r="BB587" s="47">
        <v>54</v>
      </c>
      <c r="BC587" s="47">
        <v>55</v>
      </c>
      <c r="BD587" s="47">
        <v>56</v>
      </c>
      <c r="BE587" s="47">
        <v>57</v>
      </c>
      <c r="BF587" s="47">
        <v>58</v>
      </c>
      <c r="BG587" s="47">
        <v>59</v>
      </c>
      <c r="BH587" s="47">
        <v>60</v>
      </c>
      <c r="BI587" s="47">
        <v>61</v>
      </c>
      <c r="BJ587" s="47">
        <v>62</v>
      </c>
      <c r="BK587" s="47">
        <v>63</v>
      </c>
      <c r="BL587" s="47">
        <v>64</v>
      </c>
      <c r="BM587" s="47">
        <v>65</v>
      </c>
      <c r="BN587" s="47">
        <v>66</v>
      </c>
      <c r="BO587" s="47">
        <v>67</v>
      </c>
      <c r="BP587" s="47">
        <v>68</v>
      </c>
      <c r="BQ587" s="47">
        <v>69</v>
      </c>
      <c r="BR587" s="47">
        <v>70</v>
      </c>
      <c r="BS587" s="47">
        <v>71</v>
      </c>
      <c r="BT587" s="47">
        <v>72</v>
      </c>
      <c r="BU587" s="47">
        <v>73</v>
      </c>
      <c r="BV587" s="47">
        <v>74</v>
      </c>
      <c r="BW587" s="47">
        <v>75</v>
      </c>
      <c r="BX587" s="47">
        <v>76</v>
      </c>
      <c r="BY587" s="47">
        <v>77</v>
      </c>
      <c r="BZ587" s="47">
        <v>78</v>
      </c>
      <c r="CA587" s="47">
        <v>79</v>
      </c>
      <c r="CB587" s="47">
        <v>80</v>
      </c>
      <c r="CC587" s="47">
        <v>81</v>
      </c>
      <c r="CD587" s="47">
        <v>82</v>
      </c>
      <c r="CE587" s="47">
        <v>83</v>
      </c>
      <c r="CF587" s="47">
        <v>84</v>
      </c>
      <c r="CG587" s="47">
        <v>85</v>
      </c>
      <c r="CH587" s="47">
        <v>86</v>
      </c>
      <c r="CI587" s="47">
        <v>87</v>
      </c>
      <c r="CJ587" s="47">
        <v>88</v>
      </c>
      <c r="CK587" s="47">
        <v>89</v>
      </c>
      <c r="CL587" s="47">
        <v>90</v>
      </c>
      <c r="CM587" s="47">
        <v>91</v>
      </c>
      <c r="CN587" s="47">
        <v>92</v>
      </c>
      <c r="CO587" s="47">
        <v>93</v>
      </c>
      <c r="CP587" s="47">
        <v>94</v>
      </c>
      <c r="CQ587" s="47">
        <v>95</v>
      </c>
      <c r="CR587" s="47">
        <v>96</v>
      </c>
      <c r="CS587" s="47">
        <v>97</v>
      </c>
      <c r="CT587" s="47">
        <v>98</v>
      </c>
      <c r="CU587" s="47">
        <v>99</v>
      </c>
      <c r="CV587" s="47">
        <v>100</v>
      </c>
      <c r="CW587" s="47">
        <v>101</v>
      </c>
      <c r="CX587" s="47">
        <v>102</v>
      </c>
      <c r="CY587" s="47">
        <v>103</v>
      </c>
      <c r="CZ587" s="47">
        <v>104</v>
      </c>
      <c r="DA587" s="47">
        <v>105</v>
      </c>
      <c r="DB587" s="47">
        <v>106</v>
      </c>
      <c r="DC587" s="47">
        <v>107</v>
      </c>
      <c r="DD587" s="47">
        <v>108</v>
      </c>
      <c r="DE587" s="47">
        <v>109</v>
      </c>
      <c r="DF587" s="47">
        <v>110</v>
      </c>
      <c r="DG587" s="47">
        <v>111</v>
      </c>
      <c r="DH587" s="47">
        <v>112</v>
      </c>
      <c r="DI587" s="47">
        <v>113</v>
      </c>
      <c r="DJ587" s="47">
        <v>114</v>
      </c>
    </row>
    <row r="588" spans="1:114" ht="15" thickBot="1" x14ac:dyDescent="0.35"/>
    <row r="589" spans="1:114" s="796" customFormat="1" ht="15" thickBot="1" x14ac:dyDescent="0.35">
      <c r="A589" s="796" t="s">
        <v>887</v>
      </c>
      <c r="D589" s="796" t="s">
        <v>1640</v>
      </c>
      <c r="O589" s="799"/>
      <c r="P589" s="799"/>
      <c r="Q589" s="855"/>
      <c r="R589" s="799"/>
      <c r="S589" s="799"/>
      <c r="T589" s="799"/>
      <c r="U589" s="799"/>
      <c r="V589" s="799"/>
      <c r="W589" s="797"/>
      <c r="X589" s="803">
        <v>0</v>
      </c>
      <c r="Y589" s="803">
        <v>0</v>
      </c>
      <c r="Z589" s="803">
        <v>0</v>
      </c>
      <c r="AA589" s="803">
        <v>0</v>
      </c>
      <c r="AB589" s="803">
        <v>0</v>
      </c>
      <c r="AC589" s="803">
        <v>0</v>
      </c>
      <c r="AD589" s="803">
        <v>0</v>
      </c>
      <c r="AE589" s="803">
        <v>0</v>
      </c>
      <c r="AF589" s="803">
        <v>0</v>
      </c>
      <c r="AG589" s="801"/>
      <c r="AH589" s="801"/>
      <c r="AI589" s="801"/>
      <c r="AJ589" s="801"/>
      <c r="AK589" s="803">
        <v>0</v>
      </c>
      <c r="AL589" s="803">
        <v>0</v>
      </c>
      <c r="AM589" s="803">
        <v>0</v>
      </c>
      <c r="AN589" s="803">
        <v>0</v>
      </c>
      <c r="AO589" s="803">
        <v>0</v>
      </c>
      <c r="AQ589" s="803">
        <v>0</v>
      </c>
      <c r="AR589" s="803">
        <v>0</v>
      </c>
      <c r="AS589" s="803">
        <v>0</v>
      </c>
      <c r="AT589" s="803">
        <v>0</v>
      </c>
      <c r="AU589" s="803">
        <v>0</v>
      </c>
      <c r="AW589" s="801"/>
      <c r="AY589" s="856" t="s">
        <v>1641</v>
      </c>
      <c r="AZ589" s="857">
        <v>4.0000002084380287E-2</v>
      </c>
      <c r="BA589" s="801"/>
      <c r="BB589" s="800"/>
      <c r="BC589" s="800"/>
      <c r="BD589" s="800"/>
      <c r="BE589" s="800"/>
      <c r="BF589" s="800"/>
      <c r="BJ589" s="797"/>
      <c r="BK589" s="858"/>
      <c r="BL589" s="797"/>
      <c r="BM589" s="797"/>
      <c r="BN589" s="797"/>
      <c r="BQ589" s="801"/>
      <c r="BR589" s="797"/>
      <c r="BT589" s="798"/>
      <c r="BX589" s="859"/>
      <c r="CB589" s="801"/>
      <c r="CE589" s="801"/>
      <c r="CH589" s="802"/>
      <c r="CL589" s="860"/>
    </row>
  </sheetData>
  <sheetProtection algorithmName="SHA-512" hashValue="duG03F5UhsCgZ6Y2FQP3Ez1X8ryhITGFDe4OMhH2DQPlpyVseX3vK6c6Uz+II97cDj+1tznPRn5y16D4hok+yw==" saltValue="ZxUj/dU/5g8vTJfIk/vpVA==" spinCount="100000" sheet="1" objects="1" scenarios="1"/>
  <conditionalFormatting sqref="BR351">
    <cfRule type="colorScale" priority="1">
      <colorScale>
        <cfvo type="min"/>
        <cfvo type="num" val="1"/>
        <cfvo type="max"/>
        <color rgb="FFF8696B"/>
        <color rgb="FFFFC000"/>
        <color rgb="FF00B050"/>
      </colorScale>
    </cfRule>
  </conditionalFormatting>
  <conditionalFormatting sqref="BR352:BR562 BR6:BR350">
    <cfRule type="colorScale" priority="2">
      <colorScale>
        <cfvo type="min"/>
        <cfvo type="num" val="1"/>
        <cfvo type="max"/>
        <color rgb="FFF8696B"/>
        <color rgb="FFFFC000"/>
        <color rgb="FF00B050"/>
      </colorScale>
    </cfRule>
  </conditionalFormatting>
  <pageMargins left="0.7" right="0.7" top="0.75" bottom="0.75" header="0.3" footer="0.3"/>
  <pageSetup orientation="portrait"/>
  <drawing r:id="rId1"/>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6"/>
  <sheetViews>
    <sheetView workbookViewId="0"/>
  </sheetViews>
  <sheetFormatPr defaultColWidth="8.77734375" defaultRowHeight="14.4" x14ac:dyDescent="0.3"/>
  <cols>
    <col min="1" max="1" width="41.6640625" style="47" bestFit="1" customWidth="1"/>
    <col min="2" max="2" width="20.44140625" style="47" bestFit="1" customWidth="1"/>
    <col min="3" max="3" width="10.44140625" style="4" bestFit="1" customWidth="1"/>
    <col min="4" max="4" width="15.44140625" style="31" bestFit="1" customWidth="1"/>
    <col min="5" max="5" width="16.109375" style="31" bestFit="1" customWidth="1"/>
    <col min="6" max="16384" width="8.77734375" style="47"/>
  </cols>
  <sheetData>
    <row r="1" spans="1:5" x14ac:dyDescent="0.3">
      <c r="A1" s="47" t="s">
        <v>1655</v>
      </c>
      <c r="B1" s="47" t="s">
        <v>1656</v>
      </c>
      <c r="C1" s="4" t="s">
        <v>1657</v>
      </c>
      <c r="D1" s="31" t="s">
        <v>1658</v>
      </c>
      <c r="E1" s="31" t="s">
        <v>1659</v>
      </c>
    </row>
    <row r="2" spans="1:5" x14ac:dyDescent="0.3">
      <c r="A2" s="47" t="s">
        <v>1660</v>
      </c>
      <c r="B2" s="47">
        <v>558</v>
      </c>
      <c r="C2" s="4">
        <f>B2/B2</f>
        <v>1</v>
      </c>
      <c r="D2" s="31">
        <v>292174.48</v>
      </c>
      <c r="E2" s="31">
        <v>4126.9799999999996</v>
      </c>
    </row>
    <row r="3" spans="1:5" x14ac:dyDescent="0.3">
      <c r="A3" s="47" t="s">
        <v>1394</v>
      </c>
      <c r="B3" s="47">
        <v>166</v>
      </c>
      <c r="C3" s="4">
        <f>B3/$B$2*$B$2/(SUM($B$3:$B$5))</f>
        <v>0.35319148936170214</v>
      </c>
      <c r="D3" s="31">
        <f>D$2*$C3</f>
        <v>103193.53974468085</v>
      </c>
      <c r="E3" s="31">
        <f t="shared" ref="E3:E5" si="0">E$2*$C3</f>
        <v>1457.6142127659573</v>
      </c>
    </row>
    <row r="4" spans="1:5" x14ac:dyDescent="0.3">
      <c r="A4" s="47" t="s">
        <v>1285</v>
      </c>
      <c r="B4" s="47">
        <v>131</v>
      </c>
      <c r="C4" s="4">
        <f>B4/$B$2*$B$2/(SUM($B$3:$B$5))</f>
        <v>0.27872340425531916</v>
      </c>
      <c r="D4" s="31">
        <f>D$2*$C4</f>
        <v>81435.865702127659</v>
      </c>
      <c r="E4" s="31">
        <f>E$2*$C4</f>
        <v>1150.285914893617</v>
      </c>
    </row>
    <row r="5" spans="1:5" x14ac:dyDescent="0.3">
      <c r="A5" s="47" t="s">
        <v>1654</v>
      </c>
      <c r="B5" s="47">
        <v>173</v>
      </c>
      <c r="C5" s="4">
        <f>B5/$B$2*$B$2/(SUM($B$3:$B$5))</f>
        <v>0.3680851063829787</v>
      </c>
      <c r="D5" s="31">
        <f t="shared" ref="D5" si="1">D$2*$C5</f>
        <v>107545.07455319147</v>
      </c>
      <c r="E5" s="31">
        <f t="shared" si="0"/>
        <v>1519.0798723404253</v>
      </c>
    </row>
    <row r="6" spans="1:5" x14ac:dyDescent="0.3">
      <c r="C6" s="47"/>
      <c r="D6" s="47"/>
      <c r="E6" s="47"/>
    </row>
  </sheetData>
  <sheetProtection algorithmName="SHA-512" hashValue="wOGywAHrEsP04X2JU6crQ45Mq1Ee3stqy0+X529IZgbm1J+rA9mpV0u5dmqWRhgPYXfAsYFwLqCcPR7nI902Bw==" saltValue="2ECHZjFM2ANmzORCxyWUHQ==" spinCount="100000" sheet="1" objects="1" scenarios="1"/>
  <pageMargins left="0.7" right="0.7" top="0.75" bottom="0.75" header="0.3" footer="0.3"/>
  <pageSetup orientation="portrait" verticalDpi="0"/>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I707"/>
  <sheetViews>
    <sheetView workbookViewId="0">
      <pane xSplit="2" ySplit="3" topLeftCell="C4" activePane="bottomRight" state="frozen"/>
      <selection activeCell="I6" sqref="I6"/>
      <selection pane="topRight" activeCell="I6" sqref="I6"/>
      <selection pane="bottomLeft" activeCell="I6" sqref="I6"/>
      <selection pane="bottomRight" activeCell="C4" sqref="C4"/>
    </sheetView>
  </sheetViews>
  <sheetFormatPr defaultColWidth="8.77734375" defaultRowHeight="10.199999999999999" x14ac:dyDescent="0.2"/>
  <cols>
    <col min="1" max="1" width="3.44140625" style="867" customWidth="1"/>
    <col min="2" max="2" width="8.109375" style="867" bestFit="1" customWidth="1"/>
    <col min="3" max="11" width="8.109375" style="867" customWidth="1"/>
    <col min="12" max="23" width="8.77734375" style="867" customWidth="1"/>
    <col min="24" max="16384" width="8.77734375" style="867"/>
  </cols>
  <sheetData>
    <row r="1" spans="1:35" ht="14.4" thickBot="1" x14ac:dyDescent="0.3">
      <c r="A1" s="813" t="s">
        <v>1602</v>
      </c>
    </row>
    <row r="2" spans="1:35" ht="10.8" thickBot="1" x14ac:dyDescent="0.25">
      <c r="L2" s="868" t="s">
        <v>1642</v>
      </c>
      <c r="M2" s="869" t="s">
        <v>1642</v>
      </c>
      <c r="N2" s="870" t="s">
        <v>1642</v>
      </c>
      <c r="O2" s="869" t="s">
        <v>1643</v>
      </c>
      <c r="P2" s="869" t="s">
        <v>1643</v>
      </c>
      <c r="Q2" s="870" t="s">
        <v>1643</v>
      </c>
      <c r="R2" s="869" t="s">
        <v>1644</v>
      </c>
      <c r="S2" s="869" t="s">
        <v>1644</v>
      </c>
      <c r="T2" s="870" t="s">
        <v>1644</v>
      </c>
      <c r="U2" s="869" t="s">
        <v>1645</v>
      </c>
      <c r="V2" s="869" t="s">
        <v>1645</v>
      </c>
      <c r="W2" s="870" t="s">
        <v>1645</v>
      </c>
      <c r="X2" s="869" t="s">
        <v>1646</v>
      </c>
      <c r="Y2" s="869" t="s">
        <v>1646</v>
      </c>
      <c r="Z2" s="870" t="s">
        <v>1646</v>
      </c>
      <c r="AA2" s="869" t="s">
        <v>1647</v>
      </c>
      <c r="AB2" s="869" t="s">
        <v>1647</v>
      </c>
      <c r="AC2" s="870" t="s">
        <v>1647</v>
      </c>
      <c r="AD2" s="869" t="s">
        <v>1648</v>
      </c>
      <c r="AE2" s="869" t="s">
        <v>1648</v>
      </c>
      <c r="AF2" s="870" t="s">
        <v>1648</v>
      </c>
      <c r="AG2" s="869" t="s">
        <v>1649</v>
      </c>
      <c r="AH2" s="869" t="s">
        <v>1649</v>
      </c>
      <c r="AI2" s="870" t="s">
        <v>1649</v>
      </c>
    </row>
    <row r="3" spans="1:35" s="871" customFormat="1" ht="31.2" thickBot="1" x14ac:dyDescent="0.25">
      <c r="C3" s="824" t="s">
        <v>1630</v>
      </c>
      <c r="D3" s="825" t="s">
        <v>1631</v>
      </c>
      <c r="E3" s="825" t="s">
        <v>1632</v>
      </c>
      <c r="F3" s="825" t="s">
        <v>1633</v>
      </c>
      <c r="G3" s="825" t="s">
        <v>1634</v>
      </c>
      <c r="H3" s="825" t="s">
        <v>1635</v>
      </c>
      <c r="I3" s="825" t="s">
        <v>1636</v>
      </c>
      <c r="J3" s="826" t="s">
        <v>1637</v>
      </c>
      <c r="K3" s="872"/>
      <c r="L3" s="873" t="s">
        <v>1650</v>
      </c>
      <c r="M3" s="874" t="s">
        <v>1651</v>
      </c>
      <c r="N3" s="875" t="s">
        <v>1652</v>
      </c>
      <c r="O3" s="874" t="s">
        <v>1650</v>
      </c>
      <c r="P3" s="874" t="s">
        <v>1651</v>
      </c>
      <c r="Q3" s="875" t="s">
        <v>1652</v>
      </c>
      <c r="R3" s="874" t="s">
        <v>1650</v>
      </c>
      <c r="S3" s="874" t="s">
        <v>1651</v>
      </c>
      <c r="T3" s="875" t="s">
        <v>1652</v>
      </c>
      <c r="U3" s="874" t="s">
        <v>1650</v>
      </c>
      <c r="V3" s="874" t="s">
        <v>1651</v>
      </c>
      <c r="W3" s="875" t="s">
        <v>1652</v>
      </c>
      <c r="X3" s="874" t="s">
        <v>1650</v>
      </c>
      <c r="Y3" s="874" t="s">
        <v>1651</v>
      </c>
      <c r="Z3" s="875" t="s">
        <v>1652</v>
      </c>
      <c r="AA3" s="874" t="s">
        <v>1650</v>
      </c>
      <c r="AB3" s="874" t="s">
        <v>1651</v>
      </c>
      <c r="AC3" s="875" t="s">
        <v>1652</v>
      </c>
      <c r="AD3" s="874" t="s">
        <v>1650</v>
      </c>
      <c r="AE3" s="874" t="s">
        <v>1651</v>
      </c>
      <c r="AF3" s="875" t="s">
        <v>1652</v>
      </c>
      <c r="AG3" s="874" t="s">
        <v>1650</v>
      </c>
      <c r="AH3" s="874" t="s">
        <v>1651</v>
      </c>
      <c r="AI3" s="875" t="s">
        <v>1652</v>
      </c>
    </row>
    <row r="4" spans="1:35" x14ac:dyDescent="0.2">
      <c r="B4" s="867">
        <v>1202000</v>
      </c>
      <c r="C4" s="876" t="s">
        <v>1448</v>
      </c>
      <c r="D4" s="877" t="s">
        <v>1448</v>
      </c>
      <c r="E4" s="877" t="s">
        <v>1448</v>
      </c>
      <c r="F4" s="877" t="s">
        <v>1448</v>
      </c>
      <c r="G4" s="877" t="s">
        <v>1448</v>
      </c>
      <c r="H4" s="877" t="s">
        <v>1447</v>
      </c>
      <c r="I4" s="877" t="s">
        <v>1448</v>
      </c>
      <c r="J4" s="878" t="s">
        <v>1448</v>
      </c>
      <c r="K4" s="877"/>
      <c r="L4" s="879" t="s">
        <v>1450</v>
      </c>
      <c r="M4" s="880" t="s">
        <v>1450</v>
      </c>
      <c r="N4" s="881" t="s">
        <v>1450</v>
      </c>
      <c r="O4" s="880" t="s">
        <v>1450</v>
      </c>
      <c r="P4" s="880" t="s">
        <v>1450</v>
      </c>
      <c r="Q4" s="881" t="s">
        <v>1450</v>
      </c>
      <c r="R4" s="880" t="s">
        <v>1450</v>
      </c>
      <c r="S4" s="880" t="s">
        <v>1450</v>
      </c>
      <c r="T4" s="881" t="s">
        <v>1450</v>
      </c>
      <c r="U4" s="880" t="s">
        <v>1450</v>
      </c>
      <c r="V4" s="880" t="s">
        <v>1450</v>
      </c>
      <c r="W4" s="881" t="s">
        <v>1450</v>
      </c>
      <c r="X4" s="880" t="s">
        <v>1450</v>
      </c>
      <c r="Y4" s="880" t="s">
        <v>1450</v>
      </c>
      <c r="Z4" s="881" t="s">
        <v>1450</v>
      </c>
      <c r="AA4" s="880">
        <v>131.10753441297447</v>
      </c>
      <c r="AB4" s="880">
        <v>365</v>
      </c>
      <c r="AC4" s="881">
        <v>0.35919872441910816</v>
      </c>
      <c r="AD4" s="880">
        <v>140.40946784802856</v>
      </c>
      <c r="AE4" s="880">
        <v>1021</v>
      </c>
      <c r="AF4" s="881">
        <v>0.13752151601178114</v>
      </c>
      <c r="AG4" s="880">
        <v>97.515737739829731</v>
      </c>
      <c r="AH4" s="880">
        <v>832</v>
      </c>
      <c r="AI4" s="881">
        <v>0.11720641555267997</v>
      </c>
    </row>
    <row r="5" spans="1:35" x14ac:dyDescent="0.2">
      <c r="B5" s="867">
        <v>10201000</v>
      </c>
      <c r="C5" s="876" t="s">
        <v>1447</v>
      </c>
      <c r="D5" s="877" t="s">
        <v>1447</v>
      </c>
      <c r="E5" s="877" t="s">
        <v>1447</v>
      </c>
      <c r="F5" s="877" t="s">
        <v>1447</v>
      </c>
      <c r="G5" s="877" t="s">
        <v>1447</v>
      </c>
      <c r="H5" s="877" t="s">
        <v>1447</v>
      </c>
      <c r="I5" s="877" t="s">
        <v>1447</v>
      </c>
      <c r="J5" s="878" t="s">
        <v>1447</v>
      </c>
      <c r="K5" s="877"/>
      <c r="L5" s="879">
        <v>175</v>
      </c>
      <c r="M5" s="880">
        <v>788</v>
      </c>
      <c r="N5" s="881">
        <v>0.22189999999999999</v>
      </c>
      <c r="O5" s="880">
        <v>156.73407364469526</v>
      </c>
      <c r="P5" s="880">
        <v>763.63900032883919</v>
      </c>
      <c r="Q5" s="881">
        <v>0.20524629252461207</v>
      </c>
      <c r="R5" s="880">
        <v>174.8885635826004</v>
      </c>
      <c r="S5" s="880">
        <v>823.03260210883525</v>
      </c>
      <c r="T5" s="881">
        <v>0.21249287468623715</v>
      </c>
      <c r="U5" s="880">
        <v>227.86530223702999</v>
      </c>
      <c r="V5" s="880">
        <v>885.16065652330178</v>
      </c>
      <c r="W5" s="881">
        <v>0.2574281861238954</v>
      </c>
      <c r="X5" s="880">
        <v>250.86594390113251</v>
      </c>
      <c r="Y5" s="880">
        <v>884.82496103584697</v>
      </c>
      <c r="Z5" s="881">
        <v>0.28352041923348176</v>
      </c>
      <c r="AA5" s="880">
        <v>249.30118521685981</v>
      </c>
      <c r="AB5" s="880">
        <v>883.63893901118729</v>
      </c>
      <c r="AC5" s="881">
        <v>0.28213014865079811</v>
      </c>
      <c r="AD5" s="880">
        <v>288.17608088986879</v>
      </c>
      <c r="AE5" s="880">
        <v>824.79389028786659</v>
      </c>
      <c r="AF5" s="881">
        <v>0.34939162896719639</v>
      </c>
      <c r="AG5" s="880">
        <v>254.21078082327224</v>
      </c>
      <c r="AH5" s="880">
        <v>827.55409974719464</v>
      </c>
      <c r="AI5" s="881">
        <v>0.30718327768653414</v>
      </c>
    </row>
    <row r="6" spans="1:35" x14ac:dyDescent="0.2">
      <c r="B6" s="867">
        <v>10208000</v>
      </c>
      <c r="C6" s="876" t="s">
        <v>1447</v>
      </c>
      <c r="D6" s="877" t="s">
        <v>1447</v>
      </c>
      <c r="E6" s="877" t="s">
        <v>1447</v>
      </c>
      <c r="F6" s="877" t="s">
        <v>1447</v>
      </c>
      <c r="G6" s="877" t="s">
        <v>1447</v>
      </c>
      <c r="H6" s="877" t="s">
        <v>1447</v>
      </c>
      <c r="I6" s="877" t="s">
        <v>1447</v>
      </c>
      <c r="J6" s="878" t="s">
        <v>1447</v>
      </c>
      <c r="K6" s="877"/>
      <c r="L6" s="879">
        <v>839</v>
      </c>
      <c r="M6" s="880">
        <v>2729</v>
      </c>
      <c r="N6" s="881">
        <v>0.30759999999999998</v>
      </c>
      <c r="O6" s="880">
        <v>742.006880292608</v>
      </c>
      <c r="P6" s="880">
        <v>2656.5060005217847</v>
      </c>
      <c r="Q6" s="881">
        <v>0.27931684707162896</v>
      </c>
      <c r="R6" s="880">
        <v>834.69541709877467</v>
      </c>
      <c r="S6" s="880">
        <v>2859.740092110047</v>
      </c>
      <c r="T6" s="881">
        <v>0.29187806940976169</v>
      </c>
      <c r="U6" s="880">
        <v>1060.0690147548787</v>
      </c>
      <c r="V6" s="880">
        <v>2736.853240685276</v>
      </c>
      <c r="W6" s="881">
        <v>0.38733133329774372</v>
      </c>
      <c r="X6" s="880">
        <v>1192.8717020069621</v>
      </c>
      <c r="Y6" s="880">
        <v>2739.9748231626904</v>
      </c>
      <c r="Z6" s="881">
        <v>0.43535863611697623</v>
      </c>
      <c r="AA6" s="880">
        <v>1132.9858350317568</v>
      </c>
      <c r="AB6" s="880">
        <v>2736.5909418982319</v>
      </c>
      <c r="AC6" s="881">
        <v>0.41401358810530264</v>
      </c>
      <c r="AD6" s="880">
        <v>1127.8187567692155</v>
      </c>
      <c r="AE6" s="880">
        <v>2582.2239712886476</v>
      </c>
      <c r="AF6" s="881">
        <v>0.43676256177204587</v>
      </c>
      <c r="AG6" s="880">
        <v>962.01334703708903</v>
      </c>
      <c r="AH6" s="880">
        <v>2559.4353904229501</v>
      </c>
      <c r="AI6" s="881">
        <v>0.37586936190567993</v>
      </c>
    </row>
    <row r="7" spans="1:35" x14ac:dyDescent="0.2">
      <c r="B7" s="867">
        <v>10210000</v>
      </c>
      <c r="C7" s="876" t="s">
        <v>1448</v>
      </c>
      <c r="D7" s="877" t="s">
        <v>1448</v>
      </c>
      <c r="E7" s="877" t="s">
        <v>1448</v>
      </c>
      <c r="F7" s="877" t="s">
        <v>1447</v>
      </c>
      <c r="G7" s="877" t="s">
        <v>1447</v>
      </c>
      <c r="H7" s="877" t="s">
        <v>1447</v>
      </c>
      <c r="I7" s="877" t="s">
        <v>1447</v>
      </c>
      <c r="J7" s="878" t="s">
        <v>1447</v>
      </c>
      <c r="K7" s="877"/>
      <c r="L7" s="879">
        <v>143</v>
      </c>
      <c r="M7" s="880">
        <v>1331</v>
      </c>
      <c r="N7" s="881">
        <v>0.1074</v>
      </c>
      <c r="O7" s="880">
        <v>127.96642721623854</v>
      </c>
      <c r="P7" s="880">
        <v>1290.0191755804854</v>
      </c>
      <c r="Q7" s="881">
        <v>9.9197306240549454E-2</v>
      </c>
      <c r="R7" s="880">
        <v>143.09064293121853</v>
      </c>
      <c r="S7" s="880">
        <v>1389.613016604048</v>
      </c>
      <c r="T7" s="881">
        <v>0.10297157641837945</v>
      </c>
      <c r="U7" s="880">
        <v>357.64945264159923</v>
      </c>
      <c r="V7" s="880">
        <v>1574.8317958547982</v>
      </c>
      <c r="W7" s="881">
        <v>0.22710327133538205</v>
      </c>
      <c r="X7" s="880">
        <v>443.23999639723343</v>
      </c>
      <c r="Y7" s="880">
        <v>1576.777964272869</v>
      </c>
      <c r="Z7" s="881">
        <v>0.28110489012423096</v>
      </c>
      <c r="AA7" s="880">
        <v>375.94476161260758</v>
      </c>
      <c r="AB7" s="880">
        <v>1575.0092024539877</v>
      </c>
      <c r="AC7" s="881">
        <v>0.23869369209199298</v>
      </c>
      <c r="AD7" s="880">
        <v>440.74123469285507</v>
      </c>
      <c r="AE7" s="880">
        <v>1485.8272503006604</v>
      </c>
      <c r="AF7" s="881">
        <v>0.2966302001822016</v>
      </c>
      <c r="AG7" s="880">
        <v>372.84247854079928</v>
      </c>
      <c r="AH7" s="880">
        <v>1472.6474762971163</v>
      </c>
      <c r="AI7" s="881">
        <v>0.2531783638255975</v>
      </c>
    </row>
    <row r="8" spans="1:35" x14ac:dyDescent="0.2">
      <c r="B8" s="867">
        <v>10218000</v>
      </c>
      <c r="C8" s="876" t="s">
        <v>1447</v>
      </c>
      <c r="D8" s="877" t="s">
        <v>1447</v>
      </c>
      <c r="E8" s="877" t="s">
        <v>1447</v>
      </c>
      <c r="F8" s="877" t="s">
        <v>1447</v>
      </c>
      <c r="G8" s="877" t="s">
        <v>1447</v>
      </c>
      <c r="H8" s="877" t="s">
        <v>1447</v>
      </c>
      <c r="I8" s="877" t="s">
        <v>1447</v>
      </c>
      <c r="J8" s="878" t="s">
        <v>1447</v>
      </c>
      <c r="K8" s="877"/>
      <c r="L8" s="879">
        <v>612</v>
      </c>
      <c r="M8" s="880">
        <v>1470</v>
      </c>
      <c r="N8" s="881">
        <v>0.41620000000000001</v>
      </c>
      <c r="O8" s="880">
        <v>550.55323337218908</v>
      </c>
      <c r="P8" s="880">
        <v>1424.0858335507435</v>
      </c>
      <c r="Q8" s="881">
        <v>0.38660115872332468</v>
      </c>
      <c r="R8" s="880">
        <v>637.94578306834921</v>
      </c>
      <c r="S8" s="880">
        <v>1536.7251242273665</v>
      </c>
      <c r="T8" s="881">
        <v>0.41513330719382568</v>
      </c>
      <c r="U8" s="880">
        <v>542.91385054735838</v>
      </c>
      <c r="V8" s="880">
        <v>1444.8362285851204</v>
      </c>
      <c r="W8" s="881">
        <v>0.37576151525423451</v>
      </c>
      <c r="X8" s="880">
        <v>623.70720213574532</v>
      </c>
      <c r="Y8" s="880">
        <v>1447.5338688406666</v>
      </c>
      <c r="Z8" s="881">
        <v>0.43087572288396536</v>
      </c>
      <c r="AA8" s="880">
        <v>644.19262361308324</v>
      </c>
      <c r="AB8" s="880">
        <v>1445.5018044027427</v>
      </c>
      <c r="AC8" s="881">
        <v>0.44565328223803424</v>
      </c>
      <c r="AD8" s="880">
        <v>721.93734139442836</v>
      </c>
      <c r="AE8" s="880">
        <v>1364.0053924131062</v>
      </c>
      <c r="AF8" s="881">
        <v>0.52927748336626856</v>
      </c>
      <c r="AG8" s="880">
        <v>591.16467854196253</v>
      </c>
      <c r="AH8" s="880">
        <v>1352.0040472978264</v>
      </c>
      <c r="AI8" s="881">
        <v>0.43725067223244612</v>
      </c>
    </row>
    <row r="9" spans="1:35" x14ac:dyDescent="0.2">
      <c r="B9" s="867">
        <v>10220000</v>
      </c>
      <c r="C9" s="876" t="s">
        <v>1447</v>
      </c>
      <c r="D9" s="877" t="s">
        <v>1447</v>
      </c>
      <c r="E9" s="877" t="s">
        <v>1447</v>
      </c>
      <c r="F9" s="877" t="s">
        <v>1447</v>
      </c>
      <c r="G9" s="877" t="s">
        <v>1447</v>
      </c>
      <c r="H9" s="877" t="s">
        <v>1447</v>
      </c>
      <c r="I9" s="877" t="s">
        <v>1447</v>
      </c>
      <c r="J9" s="878" t="s">
        <v>1447</v>
      </c>
      <c r="K9" s="877"/>
      <c r="L9" s="879">
        <v>708</v>
      </c>
      <c r="M9" s="880">
        <v>1846</v>
      </c>
      <c r="N9" s="881">
        <v>0.38319999999999999</v>
      </c>
      <c r="O9" s="880">
        <v>636.85617265755923</v>
      </c>
      <c r="P9" s="880">
        <v>1789.5416123141142</v>
      </c>
      <c r="Q9" s="881">
        <v>0.35587670511557418</v>
      </c>
      <c r="R9" s="880">
        <v>732.34586000213926</v>
      </c>
      <c r="S9" s="880">
        <v>1926.3734092837233</v>
      </c>
      <c r="T9" s="881">
        <v>0.38016817324863555</v>
      </c>
      <c r="U9" s="880">
        <v>624.15278438838652</v>
      </c>
      <c r="V9" s="880">
        <v>1719.7123517431412</v>
      </c>
      <c r="W9" s="881">
        <v>0.36294022297143502</v>
      </c>
      <c r="X9" s="880">
        <v>670.30918373635336</v>
      </c>
      <c r="Y9" s="880">
        <v>1721.9290252967271</v>
      </c>
      <c r="Z9" s="881">
        <v>0.38927805611549177</v>
      </c>
      <c r="AA9" s="880">
        <v>665.13368742655337</v>
      </c>
      <c r="AB9" s="880">
        <v>1719.4597618188379</v>
      </c>
      <c r="AC9" s="881">
        <v>0.38682713151890075</v>
      </c>
      <c r="AD9" s="880">
        <v>772.79143905200931</v>
      </c>
      <c r="AE9" s="880">
        <v>1622.6272054694712</v>
      </c>
      <c r="AF9" s="881">
        <v>0.47625938752112768</v>
      </c>
      <c r="AG9" s="880">
        <v>665.93255525468965</v>
      </c>
      <c r="AH9" s="880">
        <v>1608.2467022797891</v>
      </c>
      <c r="AI9" s="881">
        <v>0.4140736332993496</v>
      </c>
    </row>
    <row r="10" spans="1:35" x14ac:dyDescent="0.2">
      <c r="B10" s="867">
        <v>10224000</v>
      </c>
      <c r="C10" s="876" t="s">
        <v>1447</v>
      </c>
      <c r="D10" s="877" t="s">
        <v>1447</v>
      </c>
      <c r="E10" s="877" t="s">
        <v>1447</v>
      </c>
      <c r="F10" s="877" t="s">
        <v>1447</v>
      </c>
      <c r="G10" s="877" t="s">
        <v>1447</v>
      </c>
      <c r="H10" s="877" t="s">
        <v>1447</v>
      </c>
      <c r="I10" s="877" t="s">
        <v>1447</v>
      </c>
      <c r="J10" s="878" t="s">
        <v>1447</v>
      </c>
      <c r="K10" s="877"/>
      <c r="L10" s="879">
        <v>2500</v>
      </c>
      <c r="M10" s="880">
        <v>4974</v>
      </c>
      <c r="N10" s="881">
        <v>0.50270000000000004</v>
      </c>
      <c r="O10" s="880">
        <v>2245.8603970353802</v>
      </c>
      <c r="P10" s="880">
        <v>4820.441168797287</v>
      </c>
      <c r="Q10" s="881">
        <v>0.46590349687759564</v>
      </c>
      <c r="R10" s="880">
        <v>2610.4105484743823</v>
      </c>
      <c r="S10" s="880">
        <v>5195.6418009938188</v>
      </c>
      <c r="T10" s="881">
        <v>0.50242311700068787</v>
      </c>
      <c r="U10" s="880">
        <v>2139.9524036173252</v>
      </c>
      <c r="V10" s="880">
        <v>5183.9453695938664</v>
      </c>
      <c r="W10" s="881">
        <v>0.41280381081349604</v>
      </c>
      <c r="X10" s="880">
        <v>2121.9790818317856</v>
      </c>
      <c r="Y10" s="880">
        <v>5188.6533389281858</v>
      </c>
      <c r="Z10" s="881">
        <v>0.40896528313262115</v>
      </c>
      <c r="AA10" s="880">
        <v>1985.4263206453156</v>
      </c>
      <c r="AB10" s="880">
        <v>5182.2883435582826</v>
      </c>
      <c r="AC10" s="881">
        <v>0.38311768643928346</v>
      </c>
      <c r="AD10" s="880">
        <v>2406.1254249248423</v>
      </c>
      <c r="AE10" s="880">
        <v>4890.8480322396736</v>
      </c>
      <c r="AF10" s="881">
        <v>0.49196487174904135</v>
      </c>
      <c r="AG10" s="880">
        <v>1903.0916885946144</v>
      </c>
      <c r="AH10" s="880">
        <v>4847.6723288805551</v>
      </c>
      <c r="AI10" s="881">
        <v>0.39257844992053831</v>
      </c>
    </row>
    <row r="11" spans="1:35" x14ac:dyDescent="0.2">
      <c r="B11" s="867">
        <v>10227000</v>
      </c>
      <c r="C11" s="876" t="s">
        <v>1447</v>
      </c>
      <c r="D11" s="877" t="s">
        <v>1447</v>
      </c>
      <c r="E11" s="877" t="s">
        <v>1447</v>
      </c>
      <c r="F11" s="877" t="s">
        <v>1447</v>
      </c>
      <c r="G11" s="877" t="s">
        <v>1447</v>
      </c>
      <c r="H11" s="877" t="s">
        <v>1447</v>
      </c>
      <c r="I11" s="877" t="s">
        <v>1447</v>
      </c>
      <c r="J11" s="878" t="s">
        <v>1447</v>
      </c>
      <c r="K11" s="877"/>
      <c r="L11" s="879">
        <v>945</v>
      </c>
      <c r="M11" s="880">
        <v>2073</v>
      </c>
      <c r="N11" s="881">
        <v>0.45600000000000002</v>
      </c>
      <c r="O11" s="880">
        <v>850.13355135129018</v>
      </c>
      <c r="P11" s="880">
        <v>2010.0067831985391</v>
      </c>
      <c r="Q11" s="881">
        <v>0.42295058825546161</v>
      </c>
      <c r="R11" s="880">
        <v>988.71659525390567</v>
      </c>
      <c r="S11" s="880">
        <v>2164.9335838080233</v>
      </c>
      <c r="T11" s="881">
        <v>0.45669604030752597</v>
      </c>
      <c r="U11" s="880">
        <v>716.28962398857686</v>
      </c>
      <c r="V11" s="880">
        <v>2196.0319875404339</v>
      </c>
      <c r="W11" s="881">
        <v>0.32617449474896976</v>
      </c>
      <c r="X11" s="880">
        <v>919.1920645906514</v>
      </c>
      <c r="Y11" s="880">
        <v>2199.1379930463972</v>
      </c>
      <c r="Z11" s="881">
        <v>0.41797834765126463</v>
      </c>
      <c r="AA11" s="880">
        <v>950.33103269571757</v>
      </c>
      <c r="AB11" s="880">
        <v>2195.6485023457235</v>
      </c>
      <c r="AC11" s="881">
        <v>0.43282475846221757</v>
      </c>
      <c r="AD11" s="880">
        <v>1052.9904065838261</v>
      </c>
      <c r="AE11" s="880">
        <v>2071.970123907171</v>
      </c>
      <c r="AF11" s="881">
        <v>0.50820733100059046</v>
      </c>
      <c r="AG11" s="880">
        <v>817.46211872581659</v>
      </c>
      <c r="AH11" s="880">
        <v>2053.9294523846038</v>
      </c>
      <c r="AI11" s="881">
        <v>0.39799912201304988</v>
      </c>
    </row>
    <row r="12" spans="1:35" x14ac:dyDescent="0.2">
      <c r="B12" s="867">
        <v>10306000</v>
      </c>
      <c r="C12" s="876" t="s">
        <v>1447</v>
      </c>
      <c r="D12" s="877" t="s">
        <v>1447</v>
      </c>
      <c r="E12" s="877" t="s">
        <v>1447</v>
      </c>
      <c r="F12" s="877" t="s">
        <v>1447</v>
      </c>
      <c r="G12" s="877" t="s">
        <v>1447</v>
      </c>
      <c r="H12" s="877" t="s">
        <v>1447</v>
      </c>
      <c r="I12" s="877" t="s">
        <v>1447</v>
      </c>
      <c r="J12" s="878" t="s">
        <v>1447</v>
      </c>
      <c r="K12" s="877"/>
      <c r="L12" s="879">
        <v>59</v>
      </c>
      <c r="M12" s="880">
        <v>186</v>
      </c>
      <c r="N12" s="881">
        <v>0.3165</v>
      </c>
      <c r="O12" s="880">
        <v>52.575353817524366</v>
      </c>
      <c r="P12" s="880">
        <v>180.74171667101487</v>
      </c>
      <c r="Q12" s="881">
        <v>0.2908866574130296</v>
      </c>
      <c r="R12" s="880">
        <v>68.564266404542209</v>
      </c>
      <c r="S12" s="880">
        <v>269.37419706702218</v>
      </c>
      <c r="T12" s="881">
        <v>0.2545316780563171</v>
      </c>
      <c r="U12" s="880">
        <v>99.071870537839118</v>
      </c>
      <c r="V12" s="880">
        <v>310.60009584281778</v>
      </c>
      <c r="W12" s="881">
        <v>0.31896922075637546</v>
      </c>
      <c r="X12" s="880">
        <v>127.91603499740063</v>
      </c>
      <c r="Y12" s="880">
        <v>311.18001438676419</v>
      </c>
      <c r="Z12" s="881">
        <v>0.41106764279024161</v>
      </c>
      <c r="AA12" s="880">
        <v>120.66041530618489</v>
      </c>
      <c r="AB12" s="880">
        <v>310.81775532298809</v>
      </c>
      <c r="AC12" s="881">
        <v>0.38820309728059105</v>
      </c>
      <c r="AD12" s="880">
        <v>140.59948376590842</v>
      </c>
      <c r="AE12" s="880">
        <v>292.57216689388002</v>
      </c>
      <c r="AF12" s="881">
        <v>0.48056342904588661</v>
      </c>
      <c r="AG12" s="880">
        <v>110.65645753483615</v>
      </c>
      <c r="AH12" s="880">
        <v>290.14246147763089</v>
      </c>
      <c r="AI12" s="881">
        <v>0.38138663665872097</v>
      </c>
    </row>
    <row r="13" spans="1:35" x14ac:dyDescent="0.2">
      <c r="B13" s="867">
        <v>10307000</v>
      </c>
      <c r="C13" s="876" t="s">
        <v>1448</v>
      </c>
      <c r="D13" s="877" t="s">
        <v>1448</v>
      </c>
      <c r="E13" s="877" t="s">
        <v>1448</v>
      </c>
      <c r="F13" s="877" t="s">
        <v>1447</v>
      </c>
      <c r="G13" s="877" t="s">
        <v>1447</v>
      </c>
      <c r="H13" s="877" t="s">
        <v>1447</v>
      </c>
      <c r="I13" s="877" t="s">
        <v>1447</v>
      </c>
      <c r="J13" s="878" t="s">
        <v>1447</v>
      </c>
      <c r="K13" s="877"/>
      <c r="L13" s="879">
        <v>4</v>
      </c>
      <c r="M13" s="880">
        <v>12</v>
      </c>
      <c r="N13" s="881">
        <v>0.33429999999999999</v>
      </c>
      <c r="O13" s="880">
        <v>3.9679512315112726</v>
      </c>
      <c r="P13" s="880">
        <v>11.917036264022958</v>
      </c>
      <c r="Q13" s="881">
        <v>0.33296460156711566</v>
      </c>
      <c r="R13" s="880">
        <v>7.9494801628454734</v>
      </c>
      <c r="S13" s="880">
        <v>22.862016725245425</v>
      </c>
      <c r="T13" s="881">
        <v>0.34771561312293353</v>
      </c>
      <c r="U13" s="880">
        <v>12.879343169919085</v>
      </c>
      <c r="V13" s="880">
        <v>50.608961303462323</v>
      </c>
      <c r="W13" s="881">
        <v>0.25448740377601797</v>
      </c>
      <c r="X13" s="880">
        <v>14.872972851257886</v>
      </c>
      <c r="Y13" s="880">
        <v>50.703452823402472</v>
      </c>
      <c r="Z13" s="881">
        <v>0.29333254488722277</v>
      </c>
      <c r="AA13" s="880">
        <v>14.957902723907218</v>
      </c>
      <c r="AB13" s="880">
        <v>50.806748466257666</v>
      </c>
      <c r="AC13" s="881">
        <v>0.29440779375679244</v>
      </c>
      <c r="AD13" s="880">
        <v>16.951365885860309</v>
      </c>
      <c r="AE13" s="880">
        <v>47.929911300021303</v>
      </c>
      <c r="AF13" s="881">
        <v>0.35366987807992822</v>
      </c>
      <c r="AG13" s="880">
        <v>11.962860274036341</v>
      </c>
      <c r="AH13" s="880">
        <v>46.861497214600178</v>
      </c>
      <c r="AI13" s="881">
        <v>0.2552812220073325</v>
      </c>
    </row>
    <row r="14" spans="1:35" x14ac:dyDescent="0.2">
      <c r="B14" s="867">
        <v>10309000</v>
      </c>
      <c r="C14" s="876" t="s">
        <v>1447</v>
      </c>
      <c r="D14" s="877" t="s">
        <v>1447</v>
      </c>
      <c r="E14" s="877" t="s">
        <v>1447</v>
      </c>
      <c r="F14" s="877" t="s">
        <v>1447</v>
      </c>
      <c r="G14" s="877" t="s">
        <v>1447</v>
      </c>
      <c r="H14" s="877" t="s">
        <v>1447</v>
      </c>
      <c r="I14" s="877" t="s">
        <v>1447</v>
      </c>
      <c r="J14" s="878" t="s">
        <v>1447</v>
      </c>
      <c r="K14" s="877"/>
      <c r="L14" s="879">
        <v>26</v>
      </c>
      <c r="M14" s="880">
        <v>84</v>
      </c>
      <c r="N14" s="881">
        <v>0.3105</v>
      </c>
      <c r="O14" s="880">
        <v>23.807707389067637</v>
      </c>
      <c r="P14" s="880">
        <v>81.43308113749022</v>
      </c>
      <c r="Q14" s="881">
        <v>0.29235916235161374</v>
      </c>
      <c r="R14" s="880">
        <v>31.797920651381894</v>
      </c>
      <c r="S14" s="880">
        <v>116.29808508059629</v>
      </c>
      <c r="T14" s="881">
        <v>0.27341740519068275</v>
      </c>
      <c r="U14" s="880">
        <v>101.0533079485959</v>
      </c>
      <c r="V14" s="880">
        <v>293.73044207499703</v>
      </c>
      <c r="W14" s="881">
        <v>0.34403416695500144</v>
      </c>
      <c r="X14" s="880">
        <v>103.12774691197082</v>
      </c>
      <c r="Y14" s="880">
        <v>294.27886344563001</v>
      </c>
      <c r="Z14" s="881">
        <v>0.35044224958760711</v>
      </c>
      <c r="AA14" s="880">
        <v>108.69409312705912</v>
      </c>
      <c r="AB14" s="880">
        <v>293.88217250090219</v>
      </c>
      <c r="AC14" s="881">
        <v>0.36985602836022807</v>
      </c>
      <c r="AD14" s="880">
        <v>121.65383954053515</v>
      </c>
      <c r="AE14" s="880">
        <v>276.59552979387291</v>
      </c>
      <c r="AF14" s="881">
        <v>0.43982576157754666</v>
      </c>
      <c r="AG14" s="880">
        <v>89.72145205527255</v>
      </c>
      <c r="AH14" s="880">
        <v>274.18961136202233</v>
      </c>
      <c r="AI14" s="881">
        <v>0.3272241118457625</v>
      </c>
    </row>
    <row r="15" spans="1:35" x14ac:dyDescent="0.2">
      <c r="B15" s="867">
        <v>10323000</v>
      </c>
      <c r="C15" s="876" t="s">
        <v>1447</v>
      </c>
      <c r="D15" s="877" t="s">
        <v>1447</v>
      </c>
      <c r="E15" s="877" t="s">
        <v>1447</v>
      </c>
      <c r="F15" s="877" t="s">
        <v>1447</v>
      </c>
      <c r="G15" s="877" t="s">
        <v>1447</v>
      </c>
      <c r="H15" s="877" t="s">
        <v>1447</v>
      </c>
      <c r="I15" s="877" t="s">
        <v>1447</v>
      </c>
      <c r="J15" s="878" t="s">
        <v>1447</v>
      </c>
      <c r="K15" s="877"/>
      <c r="L15" s="879">
        <v>63</v>
      </c>
      <c r="M15" s="880">
        <v>74</v>
      </c>
      <c r="N15" s="881">
        <v>0.85389999999999999</v>
      </c>
      <c r="O15" s="880">
        <v>56.543305049035638</v>
      </c>
      <c r="P15" s="880">
        <v>71.502217584137753</v>
      </c>
      <c r="Q15" s="881">
        <v>0.7907909287218996</v>
      </c>
      <c r="R15" s="880">
        <v>77.507431587743369</v>
      </c>
      <c r="S15" s="880">
        <v>98.406071991273791</v>
      </c>
      <c r="T15" s="881">
        <v>0.7876285479072509</v>
      </c>
      <c r="U15" s="880">
        <v>70.341028081865772</v>
      </c>
      <c r="V15" s="880">
        <v>169.68887025278542</v>
      </c>
      <c r="W15" s="881">
        <v>0.41452941478765687</v>
      </c>
      <c r="X15" s="880">
        <v>72.381801209455048</v>
      </c>
      <c r="Y15" s="880">
        <v>170.00569476082003</v>
      </c>
      <c r="Z15" s="881">
        <v>0.42576103883630817</v>
      </c>
      <c r="AA15" s="880">
        <v>72.795126589681786</v>
      </c>
      <c r="AB15" s="880">
        <v>169.35582822085888</v>
      </c>
      <c r="AC15" s="881">
        <v>0.42983537888491696</v>
      </c>
      <c r="AD15" s="880">
        <v>89.742525278083988</v>
      </c>
      <c r="AE15" s="880">
        <v>159.76637100007102</v>
      </c>
      <c r="AF15" s="881">
        <v>0.56171098283282717</v>
      </c>
      <c r="AG15" s="880">
        <v>67.789541552872592</v>
      </c>
      <c r="AH15" s="880">
        <v>158.53144802386018</v>
      </c>
      <c r="AI15" s="881">
        <v>0.42760942638125499</v>
      </c>
    </row>
    <row r="16" spans="1:35" x14ac:dyDescent="0.2">
      <c r="B16" s="867">
        <v>10899000</v>
      </c>
      <c r="C16" s="876" t="s">
        <v>1448</v>
      </c>
      <c r="D16" s="877" t="s">
        <v>1447</v>
      </c>
      <c r="E16" s="877" t="s">
        <v>1448</v>
      </c>
      <c r="F16" s="877" t="s">
        <v>1448</v>
      </c>
      <c r="G16" s="877" t="s">
        <v>1448</v>
      </c>
      <c r="H16" s="877" t="s">
        <v>1448</v>
      </c>
      <c r="I16" s="877" t="s">
        <v>1448</v>
      </c>
      <c r="J16" s="878" t="s">
        <v>1448</v>
      </c>
      <c r="K16" s="877"/>
      <c r="L16" s="879" t="s">
        <v>1450</v>
      </c>
      <c r="M16" s="880" t="s">
        <v>1450</v>
      </c>
      <c r="N16" s="881" t="s">
        <v>1450</v>
      </c>
      <c r="O16" s="880">
        <v>36.705533097524004</v>
      </c>
      <c r="P16" s="880">
        <v>126.12196712757631</v>
      </c>
      <c r="Q16" s="881">
        <v>0.29103203774482211</v>
      </c>
      <c r="R16" s="880" t="s">
        <v>1450</v>
      </c>
      <c r="S16" s="880" t="s">
        <v>1450</v>
      </c>
      <c r="T16" s="881" t="s">
        <v>1450</v>
      </c>
      <c r="U16" s="880" t="s">
        <v>1450</v>
      </c>
      <c r="V16" s="880" t="s">
        <v>1450</v>
      </c>
      <c r="W16" s="881" t="s">
        <v>1450</v>
      </c>
      <c r="X16" s="880" t="s">
        <v>1450</v>
      </c>
      <c r="Y16" s="880" t="s">
        <v>1450</v>
      </c>
      <c r="Z16" s="881" t="s">
        <v>1450</v>
      </c>
      <c r="AA16" s="880" t="s">
        <v>1450</v>
      </c>
      <c r="AB16" s="880" t="s">
        <v>1450</v>
      </c>
      <c r="AC16" s="881" t="s">
        <v>1450</v>
      </c>
      <c r="AD16" s="880" t="s">
        <v>1450</v>
      </c>
      <c r="AE16" s="880" t="s">
        <v>1450</v>
      </c>
      <c r="AF16" s="881" t="s">
        <v>1450</v>
      </c>
      <c r="AG16" s="880" t="s">
        <v>1450</v>
      </c>
      <c r="AH16" s="880" t="s">
        <v>1450</v>
      </c>
      <c r="AI16" s="881" t="s">
        <v>1450</v>
      </c>
    </row>
    <row r="17" spans="2:35" x14ac:dyDescent="0.2">
      <c r="B17" s="867">
        <v>18759000</v>
      </c>
      <c r="C17" s="876" t="s">
        <v>1448</v>
      </c>
      <c r="D17" s="877" t="s">
        <v>1447</v>
      </c>
      <c r="E17" s="877" t="s">
        <v>1447</v>
      </c>
      <c r="F17" s="877" t="s">
        <v>1447</v>
      </c>
      <c r="G17" s="877" t="s">
        <v>1447</v>
      </c>
      <c r="H17" s="877" t="s">
        <v>1448</v>
      </c>
      <c r="I17" s="877" t="s">
        <v>1448</v>
      </c>
      <c r="J17" s="878" t="s">
        <v>1448</v>
      </c>
      <c r="K17" s="877"/>
      <c r="L17" s="879">
        <v>0</v>
      </c>
      <c r="M17" s="880">
        <v>0</v>
      </c>
      <c r="N17" s="881">
        <v>0</v>
      </c>
      <c r="O17" s="880">
        <v>27.234967155128857</v>
      </c>
      <c r="P17" s="880">
        <v>39</v>
      </c>
      <c r="Q17" s="881">
        <v>0.69833249115715013</v>
      </c>
      <c r="R17" s="880">
        <v>21.801968670975953</v>
      </c>
      <c r="S17" s="880">
        <v>31</v>
      </c>
      <c r="T17" s="881">
        <v>0.7032893119669662</v>
      </c>
      <c r="U17" s="880">
        <v>25.736316039980963</v>
      </c>
      <c r="V17" s="880">
        <v>36</v>
      </c>
      <c r="W17" s="881">
        <v>0.71489766777724895</v>
      </c>
      <c r="X17" s="880">
        <v>34.176165803108809</v>
      </c>
      <c r="Y17" s="880">
        <v>48</v>
      </c>
      <c r="Z17" s="881">
        <v>0.71200345423143352</v>
      </c>
      <c r="AA17" s="880" t="s">
        <v>1450</v>
      </c>
      <c r="AB17" s="880" t="s">
        <v>1450</v>
      </c>
      <c r="AC17" s="881" t="s">
        <v>1450</v>
      </c>
      <c r="AD17" s="880" t="s">
        <v>1450</v>
      </c>
      <c r="AE17" s="880" t="s">
        <v>1450</v>
      </c>
      <c r="AF17" s="881" t="s">
        <v>1450</v>
      </c>
      <c r="AG17" s="880" t="s">
        <v>1450</v>
      </c>
      <c r="AH17" s="880" t="s">
        <v>1450</v>
      </c>
      <c r="AI17" s="881" t="s">
        <v>1450</v>
      </c>
    </row>
    <row r="18" spans="2:35" x14ac:dyDescent="0.2">
      <c r="B18" s="867">
        <v>18760000</v>
      </c>
      <c r="C18" s="876" t="s">
        <v>1448</v>
      </c>
      <c r="D18" s="877" t="s">
        <v>1448</v>
      </c>
      <c r="E18" s="877" t="s">
        <v>1448</v>
      </c>
      <c r="F18" s="877" t="s">
        <v>1448</v>
      </c>
      <c r="G18" s="877" t="s">
        <v>1448</v>
      </c>
      <c r="H18" s="877" t="s">
        <v>1448</v>
      </c>
      <c r="I18" s="877" t="s">
        <v>1448</v>
      </c>
      <c r="J18" s="878" t="s">
        <v>1448</v>
      </c>
      <c r="K18" s="877"/>
      <c r="L18" s="879">
        <v>0</v>
      </c>
      <c r="M18" s="880">
        <v>20</v>
      </c>
      <c r="N18" s="881">
        <v>0</v>
      </c>
      <c r="O18" s="880">
        <v>0</v>
      </c>
      <c r="P18" s="880">
        <v>21</v>
      </c>
      <c r="Q18" s="881">
        <v>0</v>
      </c>
      <c r="R18" s="880">
        <v>0</v>
      </c>
      <c r="S18" s="880">
        <v>22</v>
      </c>
      <c r="T18" s="881">
        <v>0</v>
      </c>
      <c r="U18" s="880">
        <v>0</v>
      </c>
      <c r="V18" s="880">
        <v>21</v>
      </c>
      <c r="W18" s="881">
        <v>0</v>
      </c>
      <c r="X18" s="880" t="s">
        <v>1450</v>
      </c>
      <c r="Y18" s="880" t="s">
        <v>1450</v>
      </c>
      <c r="Z18" s="881" t="s">
        <v>1450</v>
      </c>
      <c r="AA18" s="880" t="s">
        <v>1450</v>
      </c>
      <c r="AB18" s="880" t="s">
        <v>1450</v>
      </c>
      <c r="AC18" s="881" t="s">
        <v>1450</v>
      </c>
      <c r="AD18" s="880" t="s">
        <v>1450</v>
      </c>
      <c r="AE18" s="880" t="s">
        <v>1450</v>
      </c>
      <c r="AF18" s="881" t="s">
        <v>1450</v>
      </c>
      <c r="AG18" s="880" t="s">
        <v>1450</v>
      </c>
      <c r="AH18" s="880" t="s">
        <v>1450</v>
      </c>
      <c r="AI18" s="881" t="s">
        <v>1450</v>
      </c>
    </row>
    <row r="19" spans="2:35" x14ac:dyDescent="0.2">
      <c r="B19" s="867">
        <v>20100000</v>
      </c>
      <c r="C19" s="876" t="s">
        <v>1448</v>
      </c>
      <c r="D19" s="877" t="s">
        <v>1448</v>
      </c>
      <c r="E19" s="877" t="s">
        <v>1447</v>
      </c>
      <c r="F19" s="877" t="s">
        <v>1448</v>
      </c>
      <c r="G19" s="877" t="s">
        <v>1447</v>
      </c>
      <c r="H19" s="877" t="s">
        <v>1447</v>
      </c>
      <c r="I19" s="877" t="s">
        <v>1447</v>
      </c>
      <c r="J19" s="878" t="s">
        <v>1448</v>
      </c>
      <c r="K19" s="877"/>
      <c r="L19" s="879">
        <v>178</v>
      </c>
      <c r="M19" s="880">
        <v>1382</v>
      </c>
      <c r="N19" s="881">
        <v>0.12909999999999999</v>
      </c>
      <c r="O19" s="880">
        <v>189.6567093856012</v>
      </c>
      <c r="P19" s="880">
        <v>1338.0311825487945</v>
      </c>
      <c r="Q19" s="881">
        <v>0.14174311619877733</v>
      </c>
      <c r="R19" s="880">
        <v>248.84055314031053</v>
      </c>
      <c r="S19" s="880">
        <v>1334.3250616945434</v>
      </c>
      <c r="T19" s="881">
        <v>0.18649170302196996</v>
      </c>
      <c r="U19" s="880">
        <v>81.088029579950273</v>
      </c>
      <c r="V19" s="880">
        <v>651.27863734447453</v>
      </c>
      <c r="W19" s="881">
        <v>0.12450589491247378</v>
      </c>
      <c r="X19" s="880">
        <v>165.32077513010896</v>
      </c>
      <c r="Y19" s="880">
        <v>650.86582886712245</v>
      </c>
      <c r="Z19" s="881">
        <v>0.25400131301694134</v>
      </c>
      <c r="AA19" s="880">
        <v>110.50356148266808</v>
      </c>
      <c r="AB19" s="880">
        <v>638.68597517477531</v>
      </c>
      <c r="AC19" s="881">
        <v>0.17301704715283434</v>
      </c>
      <c r="AD19" s="880">
        <v>98.757550248158708</v>
      </c>
      <c r="AE19" s="880">
        <v>632.59414496842192</v>
      </c>
      <c r="AF19" s="881">
        <v>0.15611518227549914</v>
      </c>
      <c r="AG19" s="880">
        <v>88.767925089891506</v>
      </c>
      <c r="AH19" s="880">
        <v>615.61825724510209</v>
      </c>
      <c r="AI19" s="881">
        <v>0.14419313274939061</v>
      </c>
    </row>
    <row r="20" spans="2:35" x14ac:dyDescent="0.2">
      <c r="B20" s="867">
        <v>20201000</v>
      </c>
      <c r="C20" s="876" t="s">
        <v>1447</v>
      </c>
      <c r="D20" s="877" t="s">
        <v>1447</v>
      </c>
      <c r="E20" s="877" t="s">
        <v>1447</v>
      </c>
      <c r="F20" s="877" t="s">
        <v>1447</v>
      </c>
      <c r="G20" s="877" t="s">
        <v>1447</v>
      </c>
      <c r="H20" s="877" t="s">
        <v>1447</v>
      </c>
      <c r="I20" s="877" t="s">
        <v>1447</v>
      </c>
      <c r="J20" s="878" t="s">
        <v>1447</v>
      </c>
      <c r="K20" s="877"/>
      <c r="L20" s="879">
        <v>311</v>
      </c>
      <c r="M20" s="880">
        <v>1217</v>
      </c>
      <c r="N20" s="881">
        <v>0.25559999999999999</v>
      </c>
      <c r="O20" s="880">
        <v>263.56049754994348</v>
      </c>
      <c r="P20" s="880">
        <v>1178.2388518943742</v>
      </c>
      <c r="Q20" s="881">
        <v>0.22369021113689344</v>
      </c>
      <c r="R20" s="880">
        <v>254.90983492422055</v>
      </c>
      <c r="S20" s="880">
        <v>1170.6041952289552</v>
      </c>
      <c r="T20" s="881">
        <v>0.21775920158424125</v>
      </c>
      <c r="U20" s="880">
        <v>193.75771278577594</v>
      </c>
      <c r="V20" s="880">
        <v>999.51333731233649</v>
      </c>
      <c r="W20" s="881">
        <v>0.1938520533470669</v>
      </c>
      <c r="X20" s="880">
        <v>247.48061003449709</v>
      </c>
      <c r="Y20" s="880">
        <v>997.63860654222879</v>
      </c>
      <c r="Z20" s="881">
        <v>0.24806639239058112</v>
      </c>
      <c r="AA20" s="880">
        <v>203.07733897816459</v>
      </c>
      <c r="AB20" s="880">
        <v>979.61834783849338</v>
      </c>
      <c r="AC20" s="881">
        <v>0.2073025065590598</v>
      </c>
      <c r="AD20" s="880">
        <v>240.40897557458834</v>
      </c>
      <c r="AE20" s="880">
        <v>969.55835571154432</v>
      </c>
      <c r="AF20" s="881">
        <v>0.24795720047005917</v>
      </c>
      <c r="AG20" s="880">
        <v>172.41462373228924</v>
      </c>
      <c r="AH20" s="880">
        <v>944.54713629868945</v>
      </c>
      <c r="AI20" s="881">
        <v>0.18253681272902342</v>
      </c>
    </row>
    <row r="21" spans="2:35" x14ac:dyDescent="0.2">
      <c r="B21" s="867">
        <v>20202000</v>
      </c>
      <c r="C21" s="876" t="s">
        <v>1447</v>
      </c>
      <c r="D21" s="877" t="s">
        <v>1447</v>
      </c>
      <c r="E21" s="877" t="s">
        <v>1447</v>
      </c>
      <c r="F21" s="877" t="s">
        <v>1447</v>
      </c>
      <c r="G21" s="877" t="s">
        <v>1447</v>
      </c>
      <c r="H21" s="877" t="s">
        <v>1447</v>
      </c>
      <c r="I21" s="877" t="s">
        <v>1447</v>
      </c>
      <c r="J21" s="878" t="s">
        <v>1447</v>
      </c>
      <c r="K21" s="877"/>
      <c r="L21" s="879">
        <v>221</v>
      </c>
      <c r="M21" s="880">
        <v>1060</v>
      </c>
      <c r="N21" s="881">
        <v>0.2089</v>
      </c>
      <c r="O21" s="880">
        <v>186.98548812664907</v>
      </c>
      <c r="P21" s="880">
        <v>1026.7116417910447</v>
      </c>
      <c r="Q21" s="881">
        <v>0.18212074404889642</v>
      </c>
      <c r="R21" s="880">
        <v>188.14773530121042</v>
      </c>
      <c r="S21" s="880">
        <v>1047.8135453797643</v>
      </c>
      <c r="T21" s="881">
        <v>0.17956222853849355</v>
      </c>
      <c r="U21" s="880">
        <v>276.55285877793568</v>
      </c>
      <c r="V21" s="880">
        <v>748.74890960011021</v>
      </c>
      <c r="W21" s="881">
        <v>0.36935327081228914</v>
      </c>
      <c r="X21" s="880">
        <v>278.64856319626307</v>
      </c>
      <c r="Y21" s="880">
        <v>746.89521345407502</v>
      </c>
      <c r="Z21" s="881">
        <v>0.37307584541562544</v>
      </c>
      <c r="AA21" s="880">
        <v>317.96699262205715</v>
      </c>
      <c r="AB21" s="880">
        <v>733.1395348837209</v>
      </c>
      <c r="AC21" s="881">
        <v>0.43370596931795269</v>
      </c>
      <c r="AD21" s="880">
        <v>269.6232735161031</v>
      </c>
      <c r="AE21" s="880">
        <v>726.04555274784786</v>
      </c>
      <c r="AF21" s="881">
        <v>0.37135861860962593</v>
      </c>
      <c r="AG21" s="880">
        <v>224.48042594847561</v>
      </c>
      <c r="AH21" s="880">
        <v>707.28696124364285</v>
      </c>
      <c r="AI21" s="881">
        <v>0.31738238967924032</v>
      </c>
    </row>
    <row r="22" spans="2:35" x14ac:dyDescent="0.2">
      <c r="B22" s="867">
        <v>20209000</v>
      </c>
      <c r="C22" s="876" t="s">
        <v>1447</v>
      </c>
      <c r="D22" s="877" t="s">
        <v>1447</v>
      </c>
      <c r="E22" s="877" t="s">
        <v>1447</v>
      </c>
      <c r="F22" s="877" t="s">
        <v>1447</v>
      </c>
      <c r="G22" s="877" t="s">
        <v>1447</v>
      </c>
      <c r="H22" s="877" t="s">
        <v>1447</v>
      </c>
      <c r="I22" s="877" t="s">
        <v>1447</v>
      </c>
      <c r="J22" s="878" t="s">
        <v>1447</v>
      </c>
      <c r="K22" s="877"/>
      <c r="L22" s="879">
        <v>290</v>
      </c>
      <c r="M22" s="880">
        <v>1061</v>
      </c>
      <c r="N22" s="881">
        <v>0.27300000000000002</v>
      </c>
      <c r="O22" s="880">
        <v>245.75235582359593</v>
      </c>
      <c r="P22" s="880">
        <v>1027.6299885189437</v>
      </c>
      <c r="Q22" s="881">
        <v>0.23914478807472603</v>
      </c>
      <c r="R22" s="880">
        <v>241.03719084671192</v>
      </c>
      <c r="S22" s="880">
        <v>1025.0745361484326</v>
      </c>
      <c r="T22" s="881">
        <v>0.23514113593375743</v>
      </c>
      <c r="U22" s="880">
        <v>201.43973664071859</v>
      </c>
      <c r="V22" s="880">
        <v>1089.0087691106928</v>
      </c>
      <c r="W22" s="881">
        <v>0.18497531181977392</v>
      </c>
      <c r="X22" s="880">
        <v>210.27928730464444</v>
      </c>
      <c r="Y22" s="880">
        <v>1087.4438643503972</v>
      </c>
      <c r="Z22" s="881">
        <v>0.19337024576460163</v>
      </c>
      <c r="AA22" s="880">
        <v>221.85360370445784</v>
      </c>
      <c r="AB22" s="880">
        <v>1067.7750035668425</v>
      </c>
      <c r="AC22" s="881">
        <v>0.20777186482486321</v>
      </c>
      <c r="AD22" s="880">
        <v>238.6990284324938</v>
      </c>
      <c r="AE22" s="880">
        <v>1056.7197648904319</v>
      </c>
      <c r="AF22" s="881">
        <v>0.22588678319766622</v>
      </c>
      <c r="AG22" s="880">
        <v>265.45023752842553</v>
      </c>
      <c r="AH22" s="880">
        <v>1029.0261380228349</v>
      </c>
      <c r="AI22" s="881">
        <v>0.25796258007445771</v>
      </c>
    </row>
    <row r="23" spans="2:35" x14ac:dyDescent="0.2">
      <c r="B23" s="867">
        <v>20209700</v>
      </c>
      <c r="C23" s="876" t="s">
        <v>1448</v>
      </c>
      <c r="D23" s="877" t="s">
        <v>1448</v>
      </c>
      <c r="E23" s="877" t="s">
        <v>1448</v>
      </c>
      <c r="F23" s="877" t="s">
        <v>1448</v>
      </c>
      <c r="G23" s="877" t="s">
        <v>1448</v>
      </c>
      <c r="H23" s="877" t="s">
        <v>1448</v>
      </c>
      <c r="I23" s="877" t="s">
        <v>1448</v>
      </c>
      <c r="J23" s="878" t="s">
        <v>1448</v>
      </c>
      <c r="K23" s="877"/>
      <c r="L23" s="879">
        <v>5</v>
      </c>
      <c r="M23" s="880">
        <v>34</v>
      </c>
      <c r="N23" s="881">
        <v>0.1532</v>
      </c>
      <c r="O23" s="880">
        <v>0</v>
      </c>
      <c r="P23" s="880">
        <v>0</v>
      </c>
      <c r="Q23" s="881">
        <v>0</v>
      </c>
      <c r="R23" s="880" t="s">
        <v>1450</v>
      </c>
      <c r="S23" s="880" t="s">
        <v>1450</v>
      </c>
      <c r="T23" s="881" t="s">
        <v>1450</v>
      </c>
      <c r="U23" s="880" t="s">
        <v>1450</v>
      </c>
      <c r="V23" s="880" t="s">
        <v>1450</v>
      </c>
      <c r="W23" s="881" t="s">
        <v>1450</v>
      </c>
      <c r="X23" s="880" t="s">
        <v>1450</v>
      </c>
      <c r="Y23" s="880" t="s">
        <v>1450</v>
      </c>
      <c r="Z23" s="881" t="s">
        <v>1450</v>
      </c>
      <c r="AA23" s="880" t="s">
        <v>1450</v>
      </c>
      <c r="AB23" s="880" t="s">
        <v>1450</v>
      </c>
      <c r="AC23" s="881" t="s">
        <v>1450</v>
      </c>
      <c r="AD23" s="880" t="s">
        <v>1450</v>
      </c>
      <c r="AE23" s="880" t="s">
        <v>1450</v>
      </c>
      <c r="AF23" s="881" t="s">
        <v>1450</v>
      </c>
      <c r="AG23" s="880" t="s">
        <v>1450</v>
      </c>
      <c r="AH23" s="880" t="s">
        <v>1450</v>
      </c>
      <c r="AI23" s="881" t="s">
        <v>1450</v>
      </c>
    </row>
    <row r="24" spans="2:35" x14ac:dyDescent="0.2">
      <c r="B24" s="867">
        <v>20213000</v>
      </c>
      <c r="C24" s="876" t="s">
        <v>1447</v>
      </c>
      <c r="D24" s="877" t="s">
        <v>1447</v>
      </c>
      <c r="E24" s="877" t="s">
        <v>1447</v>
      </c>
      <c r="F24" s="877" t="s">
        <v>1447</v>
      </c>
      <c r="G24" s="877" t="s">
        <v>1447</v>
      </c>
      <c r="H24" s="877" t="s">
        <v>1447</v>
      </c>
      <c r="I24" s="877" t="s">
        <v>1447</v>
      </c>
      <c r="J24" s="878" t="s">
        <v>1447</v>
      </c>
      <c r="K24" s="877"/>
      <c r="L24" s="879">
        <v>433</v>
      </c>
      <c r="M24" s="880">
        <v>1580</v>
      </c>
      <c r="N24" s="881">
        <v>0.2742</v>
      </c>
      <c r="O24" s="880">
        <v>367.73812664907655</v>
      </c>
      <c r="P24" s="880">
        <v>1529.9656486796785</v>
      </c>
      <c r="Q24" s="881">
        <v>0.24035711322435588</v>
      </c>
      <c r="R24" s="880">
        <v>361.55578627006793</v>
      </c>
      <c r="S24" s="880">
        <v>1525.3327392377298</v>
      </c>
      <c r="T24" s="881">
        <v>0.23703404311032616</v>
      </c>
      <c r="U24" s="880">
        <v>295.33113931223994</v>
      </c>
      <c r="V24" s="880">
        <v>1422.1798815481384</v>
      </c>
      <c r="W24" s="881">
        <v>0.20766088955691889</v>
      </c>
      <c r="X24" s="880">
        <v>327.05471512399095</v>
      </c>
      <c r="Y24" s="880">
        <v>1419.9900665311402</v>
      </c>
      <c r="Z24" s="881">
        <v>0.2303218331117943</v>
      </c>
      <c r="AA24" s="880">
        <v>287.33999754806018</v>
      </c>
      <c r="AB24" s="880">
        <v>1394.3144528463404</v>
      </c>
      <c r="AC24" s="881">
        <v>0.20607976698619671</v>
      </c>
      <c r="AD24" s="880">
        <v>323.7770015438964</v>
      </c>
      <c r="AE24" s="880">
        <v>1380.2054072038295</v>
      </c>
      <c r="AF24" s="881">
        <v>0.23458609845605455</v>
      </c>
      <c r="AG24" s="880">
        <v>292.76344524839215</v>
      </c>
      <c r="AH24" s="880">
        <v>1343.5756125276316</v>
      </c>
      <c r="AI24" s="881">
        <v>0.21789874906826001</v>
      </c>
    </row>
    <row r="25" spans="2:35" x14ac:dyDescent="0.2">
      <c r="B25" s="867">
        <v>20214000</v>
      </c>
      <c r="C25" s="876" t="s">
        <v>1447</v>
      </c>
      <c r="D25" s="877" t="s">
        <v>1447</v>
      </c>
      <c r="E25" s="877" t="s">
        <v>1447</v>
      </c>
      <c r="F25" s="877" t="s">
        <v>1447</v>
      </c>
      <c r="G25" s="877" t="s">
        <v>1447</v>
      </c>
      <c r="H25" s="877" t="s">
        <v>1447</v>
      </c>
      <c r="I25" s="877" t="s">
        <v>1447</v>
      </c>
      <c r="J25" s="878" t="s">
        <v>1447</v>
      </c>
      <c r="K25" s="877"/>
      <c r="L25" s="879">
        <v>38</v>
      </c>
      <c r="M25" s="880">
        <v>124</v>
      </c>
      <c r="N25" s="881">
        <v>0.30449999999999999</v>
      </c>
      <c r="O25" s="880">
        <v>32.054655107425553</v>
      </c>
      <c r="P25" s="880">
        <v>120.30342135476464</v>
      </c>
      <c r="Q25" s="881">
        <v>0.26644840808724035</v>
      </c>
      <c r="R25" s="880">
        <v>32.080489429238639</v>
      </c>
      <c r="S25" s="880">
        <v>119.15240837217806</v>
      </c>
      <c r="T25" s="881">
        <v>0.26923911876823964</v>
      </c>
      <c r="U25" s="880">
        <v>26.460304389246932</v>
      </c>
      <c r="V25" s="880">
        <v>77.976217804508522</v>
      </c>
      <c r="W25" s="881">
        <v>0.33933813583501377</v>
      </c>
      <c r="X25" s="880">
        <v>25.134583593679331</v>
      </c>
      <c r="Y25" s="880">
        <v>78.246165218998343</v>
      </c>
      <c r="Z25" s="881">
        <v>0.32122447820071059</v>
      </c>
      <c r="AA25" s="880">
        <v>14.390172565068763</v>
      </c>
      <c r="AB25" s="880">
        <v>76.462405478670277</v>
      </c>
      <c r="AC25" s="881">
        <v>0.18819931801757142</v>
      </c>
      <c r="AD25" s="880">
        <v>13.67957713675613</v>
      </c>
      <c r="AE25" s="880">
        <v>75.479983206459437</v>
      </c>
      <c r="AF25" s="881">
        <v>0.18123450159413201</v>
      </c>
      <c r="AG25" s="880">
        <v>11.949528377485393</v>
      </c>
      <c r="AH25" s="880">
        <v>73.694448312552367</v>
      </c>
      <c r="AI25" s="881">
        <v>0.1621496415415872</v>
      </c>
    </row>
    <row r="26" spans="2:35" x14ac:dyDescent="0.2">
      <c r="B26" s="867">
        <v>20218000</v>
      </c>
      <c r="C26" s="876" t="s">
        <v>1447</v>
      </c>
      <c r="D26" s="877" t="s">
        <v>1447</v>
      </c>
      <c r="E26" s="877" t="s">
        <v>1447</v>
      </c>
      <c r="F26" s="877" t="s">
        <v>1448</v>
      </c>
      <c r="G26" s="877" t="s">
        <v>1447</v>
      </c>
      <c r="H26" s="877" t="s">
        <v>1447</v>
      </c>
      <c r="I26" s="877" t="s">
        <v>1447</v>
      </c>
      <c r="J26" s="878" t="s">
        <v>1447</v>
      </c>
      <c r="K26" s="877"/>
      <c r="L26" s="879">
        <v>21</v>
      </c>
      <c r="M26" s="880">
        <v>94</v>
      </c>
      <c r="N26" s="881">
        <v>0.21959999999999999</v>
      </c>
      <c r="O26" s="880">
        <v>17.808141726347532</v>
      </c>
      <c r="P26" s="880">
        <v>90.916326061997708</v>
      </c>
      <c r="Q26" s="881">
        <v>0.19587397003046289</v>
      </c>
      <c r="R26" s="880">
        <v>17.340805096885752</v>
      </c>
      <c r="S26" s="880">
        <v>90.956036925326757</v>
      </c>
      <c r="T26" s="881">
        <v>0.19065040301967243</v>
      </c>
      <c r="U26" s="880">
        <v>10.242698473256876</v>
      </c>
      <c r="V26" s="880">
        <v>77.090124420366379</v>
      </c>
      <c r="W26" s="881">
        <v>0.13286654484307547</v>
      </c>
      <c r="X26" s="880">
        <v>12.066739136173315</v>
      </c>
      <c r="Y26" s="880">
        <v>77.357004250600625</v>
      </c>
      <c r="Z26" s="881">
        <v>0.15598767368346769</v>
      </c>
      <c r="AA26" s="880">
        <v>19.622745465414955</v>
      </c>
      <c r="AB26" s="880">
        <v>75.562847767156512</v>
      </c>
      <c r="AC26" s="881">
        <v>0.25968774398076627</v>
      </c>
      <c r="AD26" s="880">
        <v>18.099641517900427</v>
      </c>
      <c r="AE26" s="880">
        <v>74.581411977811101</v>
      </c>
      <c r="AF26" s="881">
        <v>0.2426830095853548</v>
      </c>
      <c r="AG26" s="880">
        <v>15.363679342481221</v>
      </c>
      <c r="AH26" s="880">
        <v>72.795735528252948</v>
      </c>
      <c r="AI26" s="881">
        <v>0.21105191438746274</v>
      </c>
    </row>
    <row r="27" spans="2:35" x14ac:dyDescent="0.2">
      <c r="B27" s="867">
        <v>20221000</v>
      </c>
      <c r="C27" s="876" t="s">
        <v>1447</v>
      </c>
      <c r="D27" s="877" t="s">
        <v>1448</v>
      </c>
      <c r="E27" s="877" t="s">
        <v>1448</v>
      </c>
      <c r="F27" s="877" t="s">
        <v>1447</v>
      </c>
      <c r="G27" s="877" t="s">
        <v>1447</v>
      </c>
      <c r="H27" s="877" t="s">
        <v>1447</v>
      </c>
      <c r="I27" s="877" t="s">
        <v>1447</v>
      </c>
      <c r="J27" s="878" t="s">
        <v>1447</v>
      </c>
      <c r="K27" s="877"/>
      <c r="L27" s="879">
        <v>91</v>
      </c>
      <c r="M27" s="880">
        <v>542</v>
      </c>
      <c r="N27" s="881">
        <v>0.1671</v>
      </c>
      <c r="O27" s="880">
        <v>77.465416509611757</v>
      </c>
      <c r="P27" s="880">
        <v>524.37598163030998</v>
      </c>
      <c r="Q27" s="881">
        <v>0.1477287656630803</v>
      </c>
      <c r="R27" s="880">
        <v>72.831381406920158</v>
      </c>
      <c r="S27" s="880">
        <v>524.81633305913533</v>
      </c>
      <c r="T27" s="881">
        <v>0.13877499006631269</v>
      </c>
      <c r="U27" s="880">
        <v>122.05882347297779</v>
      </c>
      <c r="V27" s="880">
        <v>492.6679215830311</v>
      </c>
      <c r="W27" s="881">
        <v>0.24775070209722752</v>
      </c>
      <c r="X27" s="880">
        <v>143.63383128962201</v>
      </c>
      <c r="Y27" s="880">
        <v>491.70601552393276</v>
      </c>
      <c r="Z27" s="881">
        <v>0.29211322773135961</v>
      </c>
      <c r="AA27" s="880">
        <v>132.66574916544812</v>
      </c>
      <c r="AB27" s="880">
        <v>483.06249108289342</v>
      </c>
      <c r="AC27" s="881">
        <v>0.27463475557385536</v>
      </c>
      <c r="AD27" s="880">
        <v>112.43712738491483</v>
      </c>
      <c r="AE27" s="880">
        <v>478.03989364090972</v>
      </c>
      <c r="AF27" s="881">
        <v>0.23520448581928285</v>
      </c>
      <c r="AG27" s="880">
        <v>87.060849607393578</v>
      </c>
      <c r="AH27" s="880">
        <v>465.53322226709906</v>
      </c>
      <c r="AI27" s="881">
        <v>0.18701318282595636</v>
      </c>
    </row>
    <row r="28" spans="2:35" x14ac:dyDescent="0.2">
      <c r="B28" s="867">
        <v>20227000</v>
      </c>
      <c r="C28" s="876" t="s">
        <v>1447</v>
      </c>
      <c r="D28" s="877" t="s">
        <v>1447</v>
      </c>
      <c r="E28" s="877" t="s">
        <v>1447</v>
      </c>
      <c r="F28" s="877" t="s">
        <v>1447</v>
      </c>
      <c r="G28" s="877" t="s">
        <v>1447</v>
      </c>
      <c r="H28" s="877" t="s">
        <v>1447</v>
      </c>
      <c r="I28" s="877" t="s">
        <v>1447</v>
      </c>
      <c r="J28" s="878" t="s">
        <v>1447</v>
      </c>
      <c r="K28" s="877"/>
      <c r="L28" s="879">
        <v>1876</v>
      </c>
      <c r="M28" s="880">
        <v>4261</v>
      </c>
      <c r="N28" s="881">
        <v>0.44019999999999998</v>
      </c>
      <c r="O28" s="880">
        <v>1589.3766490765172</v>
      </c>
      <c r="P28" s="880">
        <v>4127.0501951779561</v>
      </c>
      <c r="Q28" s="881">
        <v>0.3851120228519499</v>
      </c>
      <c r="R28" s="880">
        <v>1571.9439820326934</v>
      </c>
      <c r="S28" s="880">
        <v>4091.2025409011976</v>
      </c>
      <c r="T28" s="881">
        <v>0.38422541204387067</v>
      </c>
      <c r="U28" s="880">
        <v>1579.0826812937685</v>
      </c>
      <c r="V28" s="880">
        <v>4116.7898627243931</v>
      </c>
      <c r="W28" s="881">
        <v>0.38357135874036802</v>
      </c>
      <c r="X28" s="880">
        <v>1907.7495738650964</v>
      </c>
      <c r="Y28" s="880">
        <v>4109.7019959342078</v>
      </c>
      <c r="Z28" s="881">
        <v>0.46420630394915807</v>
      </c>
      <c r="AA28" s="880">
        <v>1708.3422665873227</v>
      </c>
      <c r="AB28" s="880">
        <v>4034.5163361392497</v>
      </c>
      <c r="AC28" s="881">
        <v>0.42343173859151773</v>
      </c>
      <c r="AD28" s="880">
        <v>1751.1317237643916</v>
      </c>
      <c r="AE28" s="880">
        <v>3994.1491113418115</v>
      </c>
      <c r="AF28" s="881">
        <v>0.43842422377068163</v>
      </c>
      <c r="AG28" s="880">
        <v>1526.1254813531345</v>
      </c>
      <c r="AH28" s="880">
        <v>3888.7302176635867</v>
      </c>
      <c r="AI28" s="881">
        <v>0.39244827898348161</v>
      </c>
    </row>
    <row r="29" spans="2:35" x14ac:dyDescent="0.2">
      <c r="B29" s="867">
        <v>20268000</v>
      </c>
      <c r="C29" s="876" t="s">
        <v>1447</v>
      </c>
      <c r="D29" s="877" t="s">
        <v>1448</v>
      </c>
      <c r="E29" s="877" t="s">
        <v>1448</v>
      </c>
      <c r="F29" s="877" t="s">
        <v>1448</v>
      </c>
      <c r="G29" s="877" t="s">
        <v>1447</v>
      </c>
      <c r="H29" s="877" t="s">
        <v>1447</v>
      </c>
      <c r="I29" s="877" t="s">
        <v>1447</v>
      </c>
      <c r="J29" s="878" t="s">
        <v>1447</v>
      </c>
      <c r="K29" s="877"/>
      <c r="L29" s="879">
        <v>1026</v>
      </c>
      <c r="M29" s="880">
        <v>6579</v>
      </c>
      <c r="N29" s="881">
        <v>0.15590000000000001</v>
      </c>
      <c r="O29" s="880">
        <v>882.39342254052019</v>
      </c>
      <c r="P29" s="880">
        <v>6371.4895981630307</v>
      </c>
      <c r="Q29" s="881">
        <v>0.13849091471402916</v>
      </c>
      <c r="R29" s="880">
        <v>930.33419344792048</v>
      </c>
      <c r="S29" s="880">
        <v>6338.7262133260219</v>
      </c>
      <c r="T29" s="881">
        <v>0.14676989700108228</v>
      </c>
      <c r="U29" s="880">
        <v>1031.0983129745257</v>
      </c>
      <c r="V29" s="880">
        <v>6885.8316881685869</v>
      </c>
      <c r="W29" s="881">
        <v>0.14974201515064409</v>
      </c>
      <c r="X29" s="880">
        <v>1222.4454528152582</v>
      </c>
      <c r="Y29" s="880">
        <v>6869.6576418406949</v>
      </c>
      <c r="Z29" s="881">
        <v>0.17794852619288745</v>
      </c>
      <c r="AA29" s="880">
        <v>1222.230595454814</v>
      </c>
      <c r="AB29" s="880">
        <v>6746.6828363532604</v>
      </c>
      <c r="AC29" s="881">
        <v>0.18116022719625252</v>
      </c>
      <c r="AD29" s="880">
        <v>1214.3697232570223</v>
      </c>
      <c r="AE29" s="880">
        <v>6679.978513771659</v>
      </c>
      <c r="AF29" s="881">
        <v>0.18179245947474809</v>
      </c>
      <c r="AG29" s="880">
        <v>1223.9731209510039</v>
      </c>
      <c r="AH29" s="880">
        <v>6494.098579347602</v>
      </c>
      <c r="AI29" s="881">
        <v>0.18847467527571232</v>
      </c>
    </row>
    <row r="30" spans="2:35" x14ac:dyDescent="0.2">
      <c r="B30" s="867">
        <v>20323000</v>
      </c>
      <c r="C30" s="876" t="s">
        <v>1447</v>
      </c>
      <c r="D30" s="877" t="s">
        <v>1447</v>
      </c>
      <c r="E30" s="877" t="s">
        <v>1447</v>
      </c>
      <c r="F30" s="877" t="s">
        <v>1447</v>
      </c>
      <c r="G30" s="877" t="s">
        <v>1447</v>
      </c>
      <c r="H30" s="877" t="s">
        <v>1447</v>
      </c>
      <c r="I30" s="877" t="s">
        <v>1447</v>
      </c>
      <c r="J30" s="878" t="s">
        <v>1447</v>
      </c>
      <c r="K30" s="877"/>
      <c r="L30" s="879">
        <v>83</v>
      </c>
      <c r="M30" s="880">
        <v>234</v>
      </c>
      <c r="N30" s="881">
        <v>0.35589999999999999</v>
      </c>
      <c r="O30" s="880">
        <v>71.232566905390129</v>
      </c>
      <c r="P30" s="880">
        <v>226.83164179104477</v>
      </c>
      <c r="Q30" s="881">
        <v>0.31403276166827254</v>
      </c>
      <c r="R30" s="880">
        <v>91.906267013494485</v>
      </c>
      <c r="S30" s="880">
        <v>291.05931816104561</v>
      </c>
      <c r="T30" s="881">
        <v>0.31576473000133243</v>
      </c>
      <c r="U30" s="880">
        <v>104.98765935088299</v>
      </c>
      <c r="V30" s="880">
        <v>353.55126027271479</v>
      </c>
      <c r="W30" s="881">
        <v>0.29695173274138487</v>
      </c>
      <c r="X30" s="880">
        <v>112.46587812785602</v>
      </c>
      <c r="Y30" s="880">
        <v>352.99690445389024</v>
      </c>
      <c r="Z30" s="881">
        <v>0.3186030152356385</v>
      </c>
      <c r="AA30" s="880">
        <v>109.65708074354639</v>
      </c>
      <c r="AB30" s="880">
        <v>346.32971893280069</v>
      </c>
      <c r="AC30" s="881">
        <v>0.31662625165824554</v>
      </c>
      <c r="AD30" s="880">
        <v>103.03241810339499</v>
      </c>
      <c r="AE30" s="880">
        <v>343.25420934366076</v>
      </c>
      <c r="AF30" s="881">
        <v>0.30016359682931243</v>
      </c>
      <c r="AG30" s="880">
        <v>105.83867991487062</v>
      </c>
      <c r="AH30" s="880">
        <v>333.42244297508449</v>
      </c>
      <c r="AI30" s="881">
        <v>0.31743118120809755</v>
      </c>
    </row>
    <row r="31" spans="2:35" x14ac:dyDescent="0.2">
      <c r="B31" s="867">
        <v>20326000</v>
      </c>
      <c r="C31" s="876" t="s">
        <v>1448</v>
      </c>
      <c r="D31" s="877" t="s">
        <v>1448</v>
      </c>
      <c r="E31" s="877" t="s">
        <v>1448</v>
      </c>
      <c r="F31" s="877" t="s">
        <v>1447</v>
      </c>
      <c r="G31" s="877" t="s">
        <v>1447</v>
      </c>
      <c r="H31" s="877" t="s">
        <v>1447</v>
      </c>
      <c r="I31" s="877" t="s">
        <v>1447</v>
      </c>
      <c r="J31" s="878" t="s">
        <v>1448</v>
      </c>
      <c r="K31" s="877"/>
      <c r="L31" s="879">
        <v>4</v>
      </c>
      <c r="M31" s="880">
        <v>17</v>
      </c>
      <c r="N31" s="881">
        <v>0.21429999999999999</v>
      </c>
      <c r="O31" s="880">
        <v>1.7808141726347531</v>
      </c>
      <c r="P31" s="880">
        <v>16.5302411021814</v>
      </c>
      <c r="Q31" s="881">
        <v>0.10773068351675459</v>
      </c>
      <c r="R31" s="880">
        <v>5.2022415290657253</v>
      </c>
      <c r="S31" s="880">
        <v>29.105931816104558</v>
      </c>
      <c r="T31" s="881">
        <v>0</v>
      </c>
      <c r="U31" s="880">
        <v>11.096256679361616</v>
      </c>
      <c r="V31" s="880">
        <v>30.127175060832837</v>
      </c>
      <c r="W31" s="881">
        <v>0.36831387798411364</v>
      </c>
      <c r="X31" s="880">
        <v>14.652468951067595</v>
      </c>
      <c r="Y31" s="880">
        <v>30.231472925522088</v>
      </c>
      <c r="Z31" s="881">
        <v>0.4846759860879174</v>
      </c>
      <c r="AA31" s="880">
        <v>13.543691825947072</v>
      </c>
      <c r="AB31" s="880">
        <v>29.685404479954347</v>
      </c>
      <c r="AC31" s="881">
        <v>0.45624077095168825</v>
      </c>
      <c r="AD31" s="880">
        <v>10.259682852567098</v>
      </c>
      <c r="AE31" s="880">
        <v>29.652850545394774</v>
      </c>
      <c r="AF31" s="881">
        <v>0.34599313940697934</v>
      </c>
      <c r="AG31" s="880">
        <v>6.8283019299916532</v>
      </c>
      <c r="AH31" s="880">
        <v>28.758809097581409</v>
      </c>
      <c r="AI31" s="881">
        <v>0.23743340368589558</v>
      </c>
    </row>
    <row r="32" spans="2:35" x14ac:dyDescent="0.2">
      <c r="B32" s="867">
        <v>20342000</v>
      </c>
      <c r="C32" s="876" t="s">
        <v>1448</v>
      </c>
      <c r="D32" s="877" t="s">
        <v>1448</v>
      </c>
      <c r="E32" s="877" t="s">
        <v>1448</v>
      </c>
      <c r="F32" s="877" t="s">
        <v>1448</v>
      </c>
      <c r="G32" s="877" t="s">
        <v>1448</v>
      </c>
      <c r="H32" s="877" t="s">
        <v>1448</v>
      </c>
      <c r="I32" s="877" t="s">
        <v>1448</v>
      </c>
      <c r="J32" s="878" t="s">
        <v>1448</v>
      </c>
      <c r="K32" s="877"/>
      <c r="L32" s="879">
        <v>3</v>
      </c>
      <c r="M32" s="880">
        <v>7</v>
      </c>
      <c r="N32" s="881">
        <v>0.4133</v>
      </c>
      <c r="O32" s="880">
        <v>0.89040708631737653</v>
      </c>
      <c r="P32" s="880">
        <v>6.4284270952927667</v>
      </c>
      <c r="Q32" s="881">
        <v>0.1385108788072559</v>
      </c>
      <c r="R32" s="880">
        <v>1.7340805096885752</v>
      </c>
      <c r="S32" s="880">
        <v>9.0956036925326753</v>
      </c>
      <c r="T32" s="881">
        <v>0</v>
      </c>
      <c r="U32" s="880">
        <v>5.1213492366284381</v>
      </c>
      <c r="V32" s="880">
        <v>21.266241219411413</v>
      </c>
      <c r="W32" s="881">
        <v>0.2408206125280743</v>
      </c>
      <c r="X32" s="880">
        <v>0</v>
      </c>
      <c r="Y32" s="880">
        <v>0</v>
      </c>
      <c r="Z32" s="881">
        <v>0</v>
      </c>
      <c r="AA32" s="880">
        <v>5.0788844347301518</v>
      </c>
      <c r="AB32" s="880">
        <v>20.689827364816665</v>
      </c>
      <c r="AC32" s="881">
        <v>0.24547737132726707</v>
      </c>
      <c r="AD32" s="880" t="s">
        <v>1450</v>
      </c>
      <c r="AE32" s="880" t="s">
        <v>1450</v>
      </c>
      <c r="AF32" s="881" t="s">
        <v>1450</v>
      </c>
      <c r="AG32" s="880">
        <v>6.8283019299916532</v>
      </c>
      <c r="AH32" s="880">
        <v>19.771681254587222</v>
      </c>
      <c r="AI32" s="881">
        <v>0</v>
      </c>
    </row>
    <row r="33" spans="2:35" x14ac:dyDescent="0.2">
      <c r="B33" s="867">
        <v>20345000</v>
      </c>
      <c r="C33" s="876" t="s">
        <v>1447</v>
      </c>
      <c r="D33" s="877" t="s">
        <v>1447</v>
      </c>
      <c r="E33" s="877" t="s">
        <v>1447</v>
      </c>
      <c r="F33" s="877" t="s">
        <v>1447</v>
      </c>
      <c r="G33" s="877" t="s">
        <v>1447</v>
      </c>
      <c r="H33" s="877" t="s">
        <v>1447</v>
      </c>
      <c r="I33" s="877" t="s">
        <v>1447</v>
      </c>
      <c r="J33" s="878" t="s">
        <v>1447</v>
      </c>
      <c r="K33" s="877"/>
      <c r="L33" s="879">
        <v>12</v>
      </c>
      <c r="M33" s="880">
        <v>50</v>
      </c>
      <c r="N33" s="881">
        <v>0.23219999999999999</v>
      </c>
      <c r="O33" s="880">
        <v>14.246513381078024</v>
      </c>
      <c r="P33" s="880">
        <v>48.672376578645235</v>
      </c>
      <c r="Q33" s="881">
        <v>0.29270223446061627</v>
      </c>
      <c r="R33" s="880">
        <v>17.340805096885752</v>
      </c>
      <c r="S33" s="880">
        <v>86.408235079060418</v>
      </c>
      <c r="T33" s="881">
        <v>0.20068463475754991</v>
      </c>
      <c r="U33" s="880">
        <v>20.485396946513752</v>
      </c>
      <c r="V33" s="880">
        <v>78.862311188650665</v>
      </c>
      <c r="W33" s="881">
        <v>0.25976155958084418</v>
      </c>
      <c r="X33" s="880">
        <v>21.686943840486954</v>
      </c>
      <c r="Y33" s="880">
        <v>79.135326187396046</v>
      </c>
      <c r="Z33" s="881">
        <v>0.27404883362875493</v>
      </c>
      <c r="AA33" s="880">
        <v>14.390172565068763</v>
      </c>
      <c r="AB33" s="880">
        <v>77.361963190184042</v>
      </c>
      <c r="AC33" s="881">
        <v>0.18601095385457642</v>
      </c>
      <c r="AD33" s="880">
        <v>18.099641517900427</v>
      </c>
      <c r="AE33" s="880">
        <v>76.378554435107745</v>
      </c>
      <c r="AF33" s="881">
        <v>0.23697282112452295</v>
      </c>
      <c r="AG33" s="880">
        <v>22.191981272472876</v>
      </c>
      <c r="AH33" s="880">
        <v>74.593161096851787</v>
      </c>
      <c r="AI33" s="881">
        <v>0.2975069154618451</v>
      </c>
    </row>
    <row r="34" spans="2:35" x14ac:dyDescent="0.2">
      <c r="B34" s="867">
        <v>20349000</v>
      </c>
      <c r="C34" s="876" t="s">
        <v>1447</v>
      </c>
      <c r="D34" s="877" t="s">
        <v>1448</v>
      </c>
      <c r="E34" s="877" t="s">
        <v>1448</v>
      </c>
      <c r="F34" s="877" t="s">
        <v>1447</v>
      </c>
      <c r="G34" s="877" t="s">
        <v>1447</v>
      </c>
      <c r="H34" s="877" t="s">
        <v>1447</v>
      </c>
      <c r="I34" s="877" t="s">
        <v>1447</v>
      </c>
      <c r="J34" s="878" t="s">
        <v>1447</v>
      </c>
      <c r="K34" s="877"/>
      <c r="L34" s="879">
        <v>163</v>
      </c>
      <c r="M34" s="880">
        <v>1011</v>
      </c>
      <c r="N34" s="881">
        <v>0.1615</v>
      </c>
      <c r="O34" s="880">
        <v>134.45147003392387</v>
      </c>
      <c r="P34" s="880">
        <v>978.95761194029853</v>
      </c>
      <c r="Q34" s="881">
        <v>0.13734146238205394</v>
      </c>
      <c r="R34" s="880">
        <v>193.34997683027615</v>
      </c>
      <c r="S34" s="880">
        <v>1327.0485787405173</v>
      </c>
      <c r="T34" s="881">
        <v>0.14569924562504097</v>
      </c>
      <c r="U34" s="880">
        <v>466.89633873929267</v>
      </c>
      <c r="V34" s="880">
        <v>1567.4991965474496</v>
      </c>
      <c r="W34" s="881">
        <v>0.29786065585722249</v>
      </c>
      <c r="X34" s="880">
        <v>569.22467014566485</v>
      </c>
      <c r="Y34" s="880">
        <v>1564.9233043799668</v>
      </c>
      <c r="Z34" s="881">
        <v>0.36373965967053928</v>
      </c>
      <c r="AA34" s="880">
        <v>465.02291435257405</v>
      </c>
      <c r="AB34" s="880">
        <v>1536.4445712655158</v>
      </c>
      <c r="AC34" s="881">
        <v>0.30266169248757924</v>
      </c>
      <c r="AD34" s="880">
        <v>457.73366473090067</v>
      </c>
      <c r="AE34" s="880">
        <v>1521.2810901016167</v>
      </c>
      <c r="AF34" s="881">
        <v>0.30088697460922592</v>
      </c>
      <c r="AG34" s="880">
        <v>381.53137033828364</v>
      </c>
      <c r="AH34" s="880">
        <v>1481.0786685254425</v>
      </c>
      <c r="AI34" s="881">
        <v>0.25760371710581392</v>
      </c>
    </row>
    <row r="35" spans="2:35" x14ac:dyDescent="0.2">
      <c r="B35" s="867">
        <v>20355000</v>
      </c>
      <c r="C35" s="876" t="s">
        <v>1447</v>
      </c>
      <c r="D35" s="877" t="s">
        <v>1447</v>
      </c>
      <c r="E35" s="877" t="s">
        <v>1447</v>
      </c>
      <c r="F35" s="877" t="s">
        <v>1447</v>
      </c>
      <c r="G35" s="877" t="s">
        <v>1447</v>
      </c>
      <c r="H35" s="877" t="s">
        <v>1447</v>
      </c>
      <c r="I35" s="877" t="s">
        <v>1447</v>
      </c>
      <c r="J35" s="878" t="s">
        <v>1447</v>
      </c>
      <c r="K35" s="877"/>
      <c r="L35" s="879">
        <v>20</v>
      </c>
      <c r="M35" s="880">
        <v>58</v>
      </c>
      <c r="N35" s="881">
        <v>0.3422</v>
      </c>
      <c r="O35" s="880">
        <v>16.917734640030154</v>
      </c>
      <c r="P35" s="880">
        <v>56.019150401836967</v>
      </c>
      <c r="Q35" s="881">
        <v>0.3019991292027055</v>
      </c>
      <c r="R35" s="880">
        <v>21.676006371107192</v>
      </c>
      <c r="S35" s="880">
        <v>67.307467324741793</v>
      </c>
      <c r="T35" s="881">
        <v>0.32204459969539267</v>
      </c>
      <c r="U35" s="880">
        <v>25.606746183142192</v>
      </c>
      <c r="V35" s="880">
        <v>99.242459023919935</v>
      </c>
      <c r="W35" s="881">
        <v>0.25802208485150818</v>
      </c>
      <c r="X35" s="880">
        <v>27.72031340857361</v>
      </c>
      <c r="Y35" s="880">
        <v>99.586028460543346</v>
      </c>
      <c r="Z35" s="881">
        <v>0.278355446412411</v>
      </c>
      <c r="AA35" s="880">
        <v>23.855149161023416</v>
      </c>
      <c r="AB35" s="880">
        <v>97.152232843486942</v>
      </c>
      <c r="AC35" s="881">
        <v>0.24554401337799678</v>
      </c>
      <c r="AD35" s="880">
        <v>20.664562231042201</v>
      </c>
      <c r="AE35" s="880">
        <v>96.147121465370944</v>
      </c>
      <c r="AF35" s="881">
        <v>0.21492647846441146</v>
      </c>
      <c r="AG35" s="880">
        <v>17.92429256622809</v>
      </c>
      <c r="AH35" s="880">
        <v>94.364842351438995</v>
      </c>
      <c r="AI35" s="881">
        <v>0.18994672294871648</v>
      </c>
    </row>
    <row r="36" spans="2:35" x14ac:dyDescent="0.2">
      <c r="B36" s="867">
        <v>20364000</v>
      </c>
      <c r="C36" s="876" t="s">
        <v>1447</v>
      </c>
      <c r="D36" s="877" t="s">
        <v>1447</v>
      </c>
      <c r="E36" s="877" t="s">
        <v>1447</v>
      </c>
      <c r="F36" s="877" t="s">
        <v>1448</v>
      </c>
      <c r="G36" s="877" t="s">
        <v>1447</v>
      </c>
      <c r="H36" s="877" t="s">
        <v>1447</v>
      </c>
      <c r="I36" s="877" t="s">
        <v>1447</v>
      </c>
      <c r="J36" s="878" t="s">
        <v>1447</v>
      </c>
      <c r="K36" s="877"/>
      <c r="L36" s="879">
        <v>30</v>
      </c>
      <c r="M36" s="880">
        <v>123</v>
      </c>
      <c r="N36" s="881">
        <v>0.24110000000000001</v>
      </c>
      <c r="O36" s="880">
        <v>24.931398416886545</v>
      </c>
      <c r="P36" s="880">
        <v>119.38507462686567</v>
      </c>
      <c r="Q36" s="881">
        <v>0.20883178650940121</v>
      </c>
      <c r="R36" s="880">
        <v>28.61232840986149</v>
      </c>
      <c r="S36" s="880">
        <v>177.36427200438717</v>
      </c>
      <c r="T36" s="881">
        <v>0.16131957178587666</v>
      </c>
      <c r="U36" s="880">
        <v>20.485396946513752</v>
      </c>
      <c r="V36" s="880">
        <v>154.18024884073276</v>
      </c>
      <c r="W36" s="881">
        <v>0.13286654484307547</v>
      </c>
      <c r="X36" s="880">
        <v>25.134583593679331</v>
      </c>
      <c r="Y36" s="880">
        <v>153.82484753280357</v>
      </c>
      <c r="Z36" s="881">
        <v>0.16339742243735564</v>
      </c>
      <c r="AA36" s="880">
        <v>23.008668421901724</v>
      </c>
      <c r="AB36" s="880">
        <v>151.12569553431302</v>
      </c>
      <c r="AC36" s="881">
        <v>0.15224855270676069</v>
      </c>
      <c r="AD36" s="880">
        <v>24.084456515231235</v>
      </c>
      <c r="AE36" s="880">
        <v>150.06139518427054</v>
      </c>
      <c r="AF36" s="881">
        <v>0.16049735167166945</v>
      </c>
      <c r="AG36" s="880">
        <v>32.434434167460353</v>
      </c>
      <c r="AH36" s="880">
        <v>145.5914710565059</v>
      </c>
      <c r="AI36" s="881">
        <v>0.22277702074232175</v>
      </c>
    </row>
    <row r="37" spans="2:35" x14ac:dyDescent="0.2">
      <c r="B37" s="867">
        <v>20366000</v>
      </c>
      <c r="C37" s="876" t="s">
        <v>1448</v>
      </c>
      <c r="D37" s="877" t="s">
        <v>1448</v>
      </c>
      <c r="E37" s="877" t="s">
        <v>1448</v>
      </c>
      <c r="F37" s="877" t="s">
        <v>1448</v>
      </c>
      <c r="G37" s="877" t="s">
        <v>1448</v>
      </c>
      <c r="H37" s="877" t="s">
        <v>1448</v>
      </c>
      <c r="I37" s="877" t="s">
        <v>1448</v>
      </c>
      <c r="J37" s="878" t="s">
        <v>1448</v>
      </c>
      <c r="K37" s="877"/>
      <c r="L37" s="879">
        <v>0</v>
      </c>
      <c r="M37" s="880">
        <v>0</v>
      </c>
      <c r="N37" s="881">
        <v>0</v>
      </c>
      <c r="O37" s="880">
        <v>0</v>
      </c>
      <c r="P37" s="880">
        <v>0</v>
      </c>
      <c r="Q37" s="881">
        <v>0</v>
      </c>
      <c r="R37" s="880">
        <v>0</v>
      </c>
      <c r="S37" s="880">
        <v>0.90956036925326744</v>
      </c>
      <c r="T37" s="881">
        <v>0</v>
      </c>
      <c r="U37" s="880">
        <v>0</v>
      </c>
      <c r="V37" s="880">
        <v>0</v>
      </c>
      <c r="W37" s="881">
        <v>0</v>
      </c>
      <c r="X37" s="880">
        <v>0</v>
      </c>
      <c r="Y37" s="880">
        <v>0</v>
      </c>
      <c r="Z37" s="881">
        <v>0</v>
      </c>
      <c r="AA37" s="880" t="s">
        <v>1450</v>
      </c>
      <c r="AB37" s="880" t="s">
        <v>1450</v>
      </c>
      <c r="AC37" s="881" t="s">
        <v>1450</v>
      </c>
      <c r="AD37" s="880" t="s">
        <v>1450</v>
      </c>
      <c r="AE37" s="880" t="s">
        <v>1450</v>
      </c>
      <c r="AF37" s="881" t="s">
        <v>1450</v>
      </c>
      <c r="AG37" s="880" t="s">
        <v>1450</v>
      </c>
      <c r="AH37" s="880" t="s">
        <v>1450</v>
      </c>
      <c r="AI37" s="881" t="s">
        <v>1450</v>
      </c>
    </row>
    <row r="38" spans="2:35" x14ac:dyDescent="0.2">
      <c r="B38" s="867">
        <v>20381000</v>
      </c>
      <c r="C38" s="876" t="s">
        <v>1448</v>
      </c>
      <c r="D38" s="877" t="s">
        <v>1448</v>
      </c>
      <c r="E38" s="877" t="s">
        <v>1448</v>
      </c>
      <c r="F38" s="877" t="s">
        <v>1448</v>
      </c>
      <c r="G38" s="877" t="s">
        <v>1448</v>
      </c>
      <c r="H38" s="877" t="s">
        <v>1448</v>
      </c>
      <c r="I38" s="877" t="s">
        <v>1448</v>
      </c>
      <c r="J38" s="878" t="s">
        <v>1448</v>
      </c>
      <c r="K38" s="877"/>
      <c r="L38" s="879">
        <v>3</v>
      </c>
      <c r="M38" s="880">
        <v>13</v>
      </c>
      <c r="N38" s="881">
        <v>0.20660000000000001</v>
      </c>
      <c r="O38" s="880">
        <v>2.6712212589521296</v>
      </c>
      <c r="P38" s="880">
        <v>12.856854190585533</v>
      </c>
      <c r="Q38" s="881">
        <v>0.20776631821088387</v>
      </c>
      <c r="R38" s="880">
        <v>0</v>
      </c>
      <c r="S38" s="880">
        <v>0</v>
      </c>
      <c r="T38" s="881">
        <v>0</v>
      </c>
      <c r="U38" s="880" t="s">
        <v>1450</v>
      </c>
      <c r="V38" s="880" t="s">
        <v>1450</v>
      </c>
      <c r="W38" s="881" t="s">
        <v>1450</v>
      </c>
      <c r="X38" s="880" t="s">
        <v>1450</v>
      </c>
      <c r="Y38" s="880" t="s">
        <v>1450</v>
      </c>
      <c r="Z38" s="881" t="s">
        <v>1450</v>
      </c>
      <c r="AA38" s="880" t="s">
        <v>1450</v>
      </c>
      <c r="AB38" s="880" t="s">
        <v>1450</v>
      </c>
      <c r="AC38" s="881" t="s">
        <v>1450</v>
      </c>
      <c r="AD38" s="880" t="s">
        <v>1450</v>
      </c>
      <c r="AE38" s="880" t="s">
        <v>1450</v>
      </c>
      <c r="AF38" s="881" t="s">
        <v>1450</v>
      </c>
      <c r="AG38" s="880" t="s">
        <v>1450</v>
      </c>
      <c r="AH38" s="880" t="s">
        <v>1450</v>
      </c>
      <c r="AI38" s="881" t="s">
        <v>1450</v>
      </c>
    </row>
    <row r="39" spans="2:35" x14ac:dyDescent="0.2">
      <c r="B39" s="867">
        <v>20412000</v>
      </c>
      <c r="C39" s="876" t="s">
        <v>1447</v>
      </c>
      <c r="D39" s="877" t="s">
        <v>1447</v>
      </c>
      <c r="E39" s="877" t="s">
        <v>1447</v>
      </c>
      <c r="F39" s="877" t="s">
        <v>1447</v>
      </c>
      <c r="G39" s="877" t="s">
        <v>1447</v>
      </c>
      <c r="H39" s="877" t="s">
        <v>1447</v>
      </c>
      <c r="I39" s="877" t="s">
        <v>1447</v>
      </c>
      <c r="J39" s="878" t="s">
        <v>1448</v>
      </c>
      <c r="K39" s="877"/>
      <c r="L39" s="879">
        <v>59</v>
      </c>
      <c r="M39" s="880">
        <v>206</v>
      </c>
      <c r="N39" s="881">
        <v>0.28670000000000001</v>
      </c>
      <c r="O39" s="880">
        <v>50.753203920090463</v>
      </c>
      <c r="P39" s="880">
        <v>200.19958668197475</v>
      </c>
      <c r="Q39" s="881">
        <v>0.25351303047750046</v>
      </c>
      <c r="R39" s="880">
        <v>50.288334780968682</v>
      </c>
      <c r="S39" s="880">
        <v>198.28416049721233</v>
      </c>
      <c r="T39" s="881">
        <v>0.25361750860415139</v>
      </c>
      <c r="U39" s="880">
        <v>29.020979007561152</v>
      </c>
      <c r="V39" s="880">
        <v>113.4199531701942</v>
      </c>
      <c r="W39" s="881">
        <v>0.25587190081107897</v>
      </c>
      <c r="X39" s="880">
        <v>38.92514260644883</v>
      </c>
      <c r="Y39" s="880">
        <v>113.81260395490668</v>
      </c>
      <c r="Z39" s="881">
        <v>0.34201082528496785</v>
      </c>
      <c r="AA39" s="880">
        <v>27.241072117510182</v>
      </c>
      <c r="AB39" s="880">
        <v>111.54515622770724</v>
      </c>
      <c r="AC39" s="881">
        <v>0.24421564359012157</v>
      </c>
      <c r="AD39" s="880">
        <v>18.954615088947687</v>
      </c>
      <c r="AE39" s="880">
        <v>110.52426112374417</v>
      </c>
      <c r="AF39" s="881">
        <v>0.17149732462563938</v>
      </c>
      <c r="AG39" s="880">
        <v>13.656603859983306</v>
      </c>
      <c r="AH39" s="880">
        <v>106.94682133163087</v>
      </c>
      <c r="AI39" s="881">
        <v>0.12769527593191021</v>
      </c>
    </row>
    <row r="40" spans="2:35" x14ac:dyDescent="0.2">
      <c r="B40" s="867">
        <v>20422000</v>
      </c>
      <c r="C40" s="876" t="s">
        <v>1447</v>
      </c>
      <c r="D40" s="877" t="s">
        <v>1447</v>
      </c>
      <c r="E40" s="877" t="s">
        <v>1447</v>
      </c>
      <c r="F40" s="877" t="s">
        <v>1447</v>
      </c>
      <c r="G40" s="877" t="s">
        <v>1447</v>
      </c>
      <c r="H40" s="877" t="s">
        <v>1447</v>
      </c>
      <c r="I40" s="877" t="s">
        <v>1447</v>
      </c>
      <c r="J40" s="878" t="s">
        <v>1447</v>
      </c>
      <c r="K40" s="877"/>
      <c r="L40" s="879">
        <v>41</v>
      </c>
      <c r="M40" s="880">
        <v>165</v>
      </c>
      <c r="N40" s="881">
        <v>0.2492</v>
      </c>
      <c r="O40" s="880">
        <v>34.725876366377683</v>
      </c>
      <c r="P40" s="880">
        <v>160.71067738231918</v>
      </c>
      <c r="Q40" s="881">
        <v>0.21607697093931919</v>
      </c>
      <c r="R40" s="880">
        <v>33.814569938927214</v>
      </c>
      <c r="S40" s="880">
        <v>160.99218535782836</v>
      </c>
      <c r="T40" s="881">
        <v>0.21003857959794417</v>
      </c>
      <c r="U40" s="880">
        <v>30.728095419770632</v>
      </c>
      <c r="V40" s="880">
        <v>108.98948624948349</v>
      </c>
      <c r="W40" s="881">
        <v>0.28193632686213582</v>
      </c>
      <c r="X40" s="880">
        <v>39.787052544746921</v>
      </c>
      <c r="Y40" s="880">
        <v>109.36679911291813</v>
      </c>
      <c r="Z40" s="881">
        <v>0.36379461470448554</v>
      </c>
      <c r="AA40" s="880">
        <v>23.855149161023416</v>
      </c>
      <c r="AB40" s="880">
        <v>107.04736767013839</v>
      </c>
      <c r="AC40" s="881">
        <v>0.22284666760356012</v>
      </c>
      <c r="AD40" s="880">
        <v>32.634192225703814</v>
      </c>
      <c r="AE40" s="880">
        <v>106.03140498050253</v>
      </c>
      <c r="AF40" s="881">
        <v>0.30777855138017568</v>
      </c>
      <c r="AG40" s="880">
        <v>27.313207719966613</v>
      </c>
      <c r="AH40" s="880">
        <v>103.35197019443319</v>
      </c>
      <c r="AI40" s="881">
        <v>0.26427370149386636</v>
      </c>
    </row>
    <row r="41" spans="2:35" x14ac:dyDescent="0.2">
      <c r="B41" s="867">
        <v>20453000</v>
      </c>
      <c r="C41" s="876" t="s">
        <v>1447</v>
      </c>
      <c r="D41" s="877" t="s">
        <v>1447</v>
      </c>
      <c r="E41" s="877" t="s">
        <v>1447</v>
      </c>
      <c r="F41" s="877" t="s">
        <v>1447</v>
      </c>
      <c r="G41" s="877" t="s">
        <v>1447</v>
      </c>
      <c r="H41" s="877" t="s">
        <v>1447</v>
      </c>
      <c r="I41" s="877" t="s">
        <v>1447</v>
      </c>
      <c r="J41" s="878" t="s">
        <v>1447</v>
      </c>
      <c r="K41" s="877"/>
      <c r="L41" s="879">
        <v>31</v>
      </c>
      <c r="M41" s="880">
        <v>91</v>
      </c>
      <c r="N41" s="881">
        <v>0.34439999999999998</v>
      </c>
      <c r="O41" s="880">
        <v>26.712212589521297</v>
      </c>
      <c r="P41" s="880">
        <v>89.079632606199766</v>
      </c>
      <c r="Q41" s="881">
        <v>0.29986891288168804</v>
      </c>
      <c r="R41" s="880">
        <v>26.878247900172916</v>
      </c>
      <c r="S41" s="880">
        <v>88.227355817566959</v>
      </c>
      <c r="T41" s="881">
        <v>0.30464755121700232</v>
      </c>
      <c r="U41" s="880">
        <v>21.338955152618492</v>
      </c>
      <c r="V41" s="880">
        <v>46.076855975391396</v>
      </c>
      <c r="W41" s="881">
        <v>0.46311656255398903</v>
      </c>
      <c r="X41" s="880">
        <v>27.72031340857361</v>
      </c>
      <c r="Y41" s="880">
        <v>46.236370356680837</v>
      </c>
      <c r="Z41" s="881">
        <v>0.59953480765750067</v>
      </c>
      <c r="AA41" s="880">
        <v>28.087552856631874</v>
      </c>
      <c r="AB41" s="880">
        <v>44.977885575688397</v>
      </c>
      <c r="AC41" s="881">
        <v>0.62447472790525871</v>
      </c>
      <c r="AD41" s="880">
        <v>25.794403657325752</v>
      </c>
      <c r="AE41" s="880">
        <v>44.928561432416323</v>
      </c>
      <c r="AF41" s="881">
        <v>0.57412039991814379</v>
      </c>
      <c r="AG41" s="880">
        <v>19.631368048726003</v>
      </c>
      <c r="AH41" s="880">
        <v>44.036926430671528</v>
      </c>
      <c r="AI41" s="881">
        <v>0.44579332936943666</v>
      </c>
    </row>
    <row r="42" spans="2:35" x14ac:dyDescent="0.2">
      <c r="B42" s="867">
        <v>20522000</v>
      </c>
      <c r="C42" s="876" t="s">
        <v>1447</v>
      </c>
      <c r="D42" s="877" t="s">
        <v>1447</v>
      </c>
      <c r="E42" s="877" t="s">
        <v>1447</v>
      </c>
      <c r="F42" s="877" t="s">
        <v>1447</v>
      </c>
      <c r="G42" s="877" t="s">
        <v>1447</v>
      </c>
      <c r="H42" s="877" t="s">
        <v>1447</v>
      </c>
      <c r="I42" s="877" t="s">
        <v>1447</v>
      </c>
      <c r="J42" s="878" t="s">
        <v>1447</v>
      </c>
      <c r="K42" s="877"/>
      <c r="L42" s="879">
        <v>36</v>
      </c>
      <c r="M42" s="880">
        <v>218</v>
      </c>
      <c r="N42" s="881">
        <v>0.1648</v>
      </c>
      <c r="O42" s="880">
        <v>30.273840934790805</v>
      </c>
      <c r="P42" s="880">
        <v>196.52619977037887</v>
      </c>
      <c r="Q42" s="881">
        <v>0.15404480914077995</v>
      </c>
      <c r="R42" s="880">
        <v>32.080489429238639</v>
      </c>
      <c r="S42" s="880">
        <v>199.19372086646558</v>
      </c>
      <c r="T42" s="881">
        <v>0.16105171031342191</v>
      </c>
      <c r="U42" s="880">
        <v>42.677910305236985</v>
      </c>
      <c r="V42" s="880">
        <v>165.6994628345806</v>
      </c>
      <c r="W42" s="881">
        <v>0.25756215243644309</v>
      </c>
      <c r="X42" s="880">
        <v>63.197816261830063</v>
      </c>
      <c r="Y42" s="880">
        <v>165.38394012197375</v>
      </c>
      <c r="Z42" s="881">
        <v>0.3821278911073257</v>
      </c>
      <c r="AA42" s="880">
        <v>54.328455769404329</v>
      </c>
      <c r="AB42" s="880">
        <v>162.81994578399201</v>
      </c>
      <c r="AC42" s="881">
        <v>0.33367199275130666</v>
      </c>
      <c r="AD42" s="880">
        <v>60.138543025124079</v>
      </c>
      <c r="AE42" s="880">
        <v>160.84424992805046</v>
      </c>
      <c r="AF42" s="881">
        <v>0.37389302416483966</v>
      </c>
      <c r="AG42" s="880">
        <v>37.555660614954093</v>
      </c>
      <c r="AH42" s="880">
        <v>156.3760244680989</v>
      </c>
      <c r="AI42" s="881">
        <v>0.24016252326849211</v>
      </c>
    </row>
    <row r="43" spans="2:35" x14ac:dyDescent="0.2">
      <c r="B43" s="867">
        <v>20899000</v>
      </c>
      <c r="C43" s="876" t="s">
        <v>1448</v>
      </c>
      <c r="D43" s="877" t="s">
        <v>1447</v>
      </c>
      <c r="E43" s="877" t="s">
        <v>1448</v>
      </c>
      <c r="F43" s="877" t="s">
        <v>1448</v>
      </c>
      <c r="G43" s="877" t="s">
        <v>1448</v>
      </c>
      <c r="H43" s="877" t="s">
        <v>1448</v>
      </c>
      <c r="I43" s="877" t="s">
        <v>1448</v>
      </c>
      <c r="J43" s="878" t="s">
        <v>1448</v>
      </c>
      <c r="K43" s="877"/>
      <c r="L43" s="879" t="s">
        <v>1450</v>
      </c>
      <c r="M43" s="880" t="s">
        <v>1450</v>
      </c>
      <c r="N43" s="881" t="s">
        <v>1450</v>
      </c>
      <c r="O43" s="880">
        <v>90.821522804372407</v>
      </c>
      <c r="P43" s="880">
        <v>542.74291618828931</v>
      </c>
      <c r="Q43" s="881">
        <v>0.16733801602094875</v>
      </c>
      <c r="R43" s="880" t="s">
        <v>1450</v>
      </c>
      <c r="S43" s="880" t="s">
        <v>1450</v>
      </c>
      <c r="T43" s="881" t="s">
        <v>1450</v>
      </c>
      <c r="U43" s="880" t="s">
        <v>1450</v>
      </c>
      <c r="V43" s="880" t="s">
        <v>1450</v>
      </c>
      <c r="W43" s="881" t="s">
        <v>1450</v>
      </c>
      <c r="X43" s="880" t="s">
        <v>1450</v>
      </c>
      <c r="Y43" s="880" t="s">
        <v>1450</v>
      </c>
      <c r="Z43" s="881" t="s">
        <v>1450</v>
      </c>
      <c r="AA43" s="880" t="s">
        <v>1450</v>
      </c>
      <c r="AB43" s="880" t="s">
        <v>1450</v>
      </c>
      <c r="AC43" s="881" t="s">
        <v>1450</v>
      </c>
      <c r="AD43" s="880" t="s">
        <v>1450</v>
      </c>
      <c r="AE43" s="880" t="s">
        <v>1450</v>
      </c>
      <c r="AF43" s="881" t="s">
        <v>1450</v>
      </c>
      <c r="AG43" s="880" t="s">
        <v>1450</v>
      </c>
      <c r="AH43" s="880" t="s">
        <v>1450</v>
      </c>
      <c r="AI43" s="881" t="s">
        <v>1450</v>
      </c>
    </row>
    <row r="44" spans="2:35" x14ac:dyDescent="0.2">
      <c r="B44" s="867">
        <v>20900000</v>
      </c>
      <c r="C44" s="876" t="s">
        <v>1448</v>
      </c>
      <c r="D44" s="877" t="s">
        <v>1448</v>
      </c>
      <c r="E44" s="877" t="s">
        <v>1448</v>
      </c>
      <c r="F44" s="877" t="s">
        <v>1448</v>
      </c>
      <c r="G44" s="877" t="s">
        <v>1448</v>
      </c>
      <c r="H44" s="877" t="s">
        <v>1448</v>
      </c>
      <c r="I44" s="877" t="s">
        <v>1448</v>
      </c>
      <c r="J44" s="878" t="s">
        <v>1448</v>
      </c>
      <c r="K44" s="877"/>
      <c r="L44" s="879" t="s">
        <v>1450</v>
      </c>
      <c r="M44" s="880" t="s">
        <v>1450</v>
      </c>
      <c r="N44" s="881" t="s">
        <v>1450</v>
      </c>
      <c r="O44" s="880" t="s">
        <v>1450</v>
      </c>
      <c r="P44" s="880" t="s">
        <v>1450</v>
      </c>
      <c r="Q44" s="881" t="s">
        <v>1450</v>
      </c>
      <c r="R44" s="880" t="s">
        <v>1450</v>
      </c>
      <c r="S44" s="880" t="s">
        <v>1450</v>
      </c>
      <c r="T44" s="881" t="s">
        <v>1450</v>
      </c>
      <c r="U44" s="880">
        <v>0</v>
      </c>
      <c r="V44" s="880">
        <v>0</v>
      </c>
      <c r="W44" s="881">
        <v>0</v>
      </c>
      <c r="X44" s="880">
        <v>0</v>
      </c>
      <c r="Y44" s="880">
        <v>0</v>
      </c>
      <c r="Z44" s="881">
        <v>0</v>
      </c>
      <c r="AA44" s="880" t="s">
        <v>1450</v>
      </c>
      <c r="AB44" s="880" t="s">
        <v>1450</v>
      </c>
      <c r="AC44" s="881" t="s">
        <v>1450</v>
      </c>
      <c r="AD44" s="880" t="s">
        <v>1450</v>
      </c>
      <c r="AE44" s="880" t="s">
        <v>1450</v>
      </c>
      <c r="AF44" s="881" t="s">
        <v>1450</v>
      </c>
      <c r="AG44" s="880" t="s">
        <v>1450</v>
      </c>
      <c r="AH44" s="880" t="s">
        <v>1450</v>
      </c>
      <c r="AI44" s="881" t="s">
        <v>1450</v>
      </c>
    </row>
    <row r="45" spans="2:35" x14ac:dyDescent="0.2">
      <c r="B45" s="867">
        <v>20999000</v>
      </c>
      <c r="C45" s="876" t="s">
        <v>1448</v>
      </c>
      <c r="D45" s="877" t="s">
        <v>1448</v>
      </c>
      <c r="E45" s="877" t="s">
        <v>1448</v>
      </c>
      <c r="F45" s="877" t="s">
        <v>1448</v>
      </c>
      <c r="G45" s="877" t="s">
        <v>1448</v>
      </c>
      <c r="H45" s="877" t="s">
        <v>1448</v>
      </c>
      <c r="I45" s="877" t="s">
        <v>1448</v>
      </c>
      <c r="J45" s="878" t="s">
        <v>1448</v>
      </c>
      <c r="K45" s="877"/>
      <c r="L45" s="879" t="s">
        <v>1450</v>
      </c>
      <c r="M45" s="880" t="s">
        <v>1450</v>
      </c>
      <c r="N45" s="881" t="s">
        <v>1450</v>
      </c>
      <c r="O45" s="880">
        <v>1.7808141726347531</v>
      </c>
      <c r="P45" s="880">
        <v>7.3467738231917341</v>
      </c>
      <c r="Q45" s="881">
        <v>0.24239403791269781</v>
      </c>
      <c r="R45" s="880">
        <v>0</v>
      </c>
      <c r="S45" s="880" t="s">
        <v>1653</v>
      </c>
      <c r="T45" s="881">
        <v>0</v>
      </c>
      <c r="U45" s="880" t="s">
        <v>1450</v>
      </c>
      <c r="V45" s="880" t="s">
        <v>1450</v>
      </c>
      <c r="W45" s="881" t="s">
        <v>1450</v>
      </c>
      <c r="X45" s="880" t="s">
        <v>1450</v>
      </c>
      <c r="Y45" s="880" t="s">
        <v>1450</v>
      </c>
      <c r="Z45" s="881" t="s">
        <v>1450</v>
      </c>
      <c r="AA45" s="880" t="s">
        <v>1450</v>
      </c>
      <c r="AB45" s="880" t="s">
        <v>1450</v>
      </c>
      <c r="AC45" s="881" t="s">
        <v>1450</v>
      </c>
      <c r="AD45" s="880" t="s">
        <v>1450</v>
      </c>
      <c r="AE45" s="880" t="s">
        <v>1450</v>
      </c>
      <c r="AF45" s="881" t="s">
        <v>1450</v>
      </c>
      <c r="AG45" s="880" t="s">
        <v>1450</v>
      </c>
      <c r="AH45" s="880" t="s">
        <v>1450</v>
      </c>
      <c r="AI45" s="881" t="s">
        <v>1450</v>
      </c>
    </row>
    <row r="46" spans="2:35" x14ac:dyDescent="0.2">
      <c r="B46" s="867">
        <v>28701000</v>
      </c>
      <c r="C46" s="876" t="s">
        <v>1448</v>
      </c>
      <c r="D46" s="877" t="s">
        <v>1448</v>
      </c>
      <c r="E46" s="877" t="s">
        <v>1447</v>
      </c>
      <c r="F46" s="877" t="s">
        <v>1447</v>
      </c>
      <c r="G46" s="877" t="s">
        <v>1447</v>
      </c>
      <c r="H46" s="877" t="s">
        <v>1447</v>
      </c>
      <c r="I46" s="877" t="s">
        <v>1447</v>
      </c>
      <c r="J46" s="878" t="s">
        <v>1447</v>
      </c>
      <c r="K46" s="877"/>
      <c r="L46" s="879">
        <v>23</v>
      </c>
      <c r="M46" s="880">
        <v>230</v>
      </c>
      <c r="N46" s="881">
        <v>9.9299999999999999E-2</v>
      </c>
      <c r="O46" s="880">
        <v>15.670373162457595</v>
      </c>
      <c r="P46" s="880">
        <v>290</v>
      </c>
      <c r="Q46" s="881">
        <v>5.4035769525715843E-2</v>
      </c>
      <c r="R46" s="880">
        <v>100.50911924827027</v>
      </c>
      <c r="S46" s="880">
        <v>409</v>
      </c>
      <c r="T46" s="881">
        <v>0.24574356784418158</v>
      </c>
      <c r="U46" s="880">
        <v>112.77751690458302</v>
      </c>
      <c r="V46" s="880">
        <v>447</v>
      </c>
      <c r="W46" s="881">
        <v>0.25229869553597994</v>
      </c>
      <c r="X46" s="880">
        <v>99.258592765880877</v>
      </c>
      <c r="Y46" s="880">
        <v>381</v>
      </c>
      <c r="Z46" s="881">
        <v>0.2605212408553304</v>
      </c>
      <c r="AA46" s="880">
        <v>119.4623175943336</v>
      </c>
      <c r="AB46" s="880">
        <v>354</v>
      </c>
      <c r="AC46" s="881">
        <v>0.33746417399529266</v>
      </c>
      <c r="AD46" s="880">
        <v>106.28145644897451</v>
      </c>
      <c r="AE46" s="880">
        <v>365</v>
      </c>
      <c r="AF46" s="881">
        <v>0.29118207246294386</v>
      </c>
      <c r="AG46" s="880">
        <v>111.88133815569871</v>
      </c>
      <c r="AH46" s="880">
        <v>359</v>
      </c>
      <c r="AI46" s="881">
        <v>0.311647181492197</v>
      </c>
    </row>
    <row r="47" spans="2:35" x14ac:dyDescent="0.2">
      <c r="B47" s="867">
        <v>28750000</v>
      </c>
      <c r="C47" s="876" t="s">
        <v>1447</v>
      </c>
      <c r="D47" s="877" t="s">
        <v>1447</v>
      </c>
      <c r="E47" s="877" t="s">
        <v>1447</v>
      </c>
      <c r="F47" s="877" t="s">
        <v>1447</v>
      </c>
      <c r="G47" s="877" t="s">
        <v>1447</v>
      </c>
      <c r="H47" s="877" t="s">
        <v>1447</v>
      </c>
      <c r="I47" s="877" t="s">
        <v>1447</v>
      </c>
      <c r="J47" s="878" t="s">
        <v>1447</v>
      </c>
      <c r="K47" s="877"/>
      <c r="L47" s="879">
        <v>279</v>
      </c>
      <c r="M47" s="880">
        <v>716</v>
      </c>
      <c r="N47" s="881">
        <v>0.38979999999999998</v>
      </c>
      <c r="O47" s="880">
        <v>276.9968903128534</v>
      </c>
      <c r="P47" s="880">
        <v>811</v>
      </c>
      <c r="Q47" s="881">
        <v>0.34154980309846289</v>
      </c>
      <c r="R47" s="880">
        <v>323.46589646397638</v>
      </c>
      <c r="S47" s="880">
        <v>916</v>
      </c>
      <c r="T47" s="881">
        <v>0.3531287079301052</v>
      </c>
      <c r="U47" s="880">
        <v>332.76953418482344</v>
      </c>
      <c r="V47" s="880">
        <v>897</v>
      </c>
      <c r="W47" s="881">
        <v>0.37098052863413983</v>
      </c>
      <c r="X47" s="880">
        <v>377.63901385639736</v>
      </c>
      <c r="Y47" s="880">
        <v>1012</v>
      </c>
      <c r="Z47" s="881">
        <v>0.37316108088576816</v>
      </c>
      <c r="AA47" s="880">
        <v>476.15876588307492</v>
      </c>
      <c r="AB47" s="880">
        <v>1050</v>
      </c>
      <c r="AC47" s="881">
        <v>0.45348453893626184</v>
      </c>
      <c r="AD47" s="880">
        <v>476.26124352134804</v>
      </c>
      <c r="AE47" s="880">
        <v>1130</v>
      </c>
      <c r="AF47" s="881">
        <v>0.42147012701004249</v>
      </c>
      <c r="AG47" s="880">
        <v>456.45705608900607</v>
      </c>
      <c r="AH47" s="880">
        <v>1147</v>
      </c>
      <c r="AI47" s="881">
        <v>0.39795732876112128</v>
      </c>
    </row>
    <row r="48" spans="2:35" x14ac:dyDescent="0.2">
      <c r="B48" s="867">
        <v>28751000</v>
      </c>
      <c r="C48" s="876" t="s">
        <v>1447</v>
      </c>
      <c r="D48" s="877" t="s">
        <v>1447</v>
      </c>
      <c r="E48" s="877" t="s">
        <v>1447</v>
      </c>
      <c r="F48" s="877" t="s">
        <v>1447</v>
      </c>
      <c r="G48" s="877" t="s">
        <v>1447</v>
      </c>
      <c r="H48" s="877" t="s">
        <v>1447</v>
      </c>
      <c r="I48" s="877" t="s">
        <v>1447</v>
      </c>
      <c r="J48" s="878" t="s">
        <v>1447</v>
      </c>
      <c r="K48" s="877"/>
      <c r="L48" s="879">
        <v>254</v>
      </c>
      <c r="M48" s="880">
        <v>499</v>
      </c>
      <c r="N48" s="881">
        <v>0.50900000000000001</v>
      </c>
      <c r="O48" s="880">
        <v>192.65341123256692</v>
      </c>
      <c r="P48" s="880">
        <v>458</v>
      </c>
      <c r="Q48" s="881">
        <v>0.42064063587896711</v>
      </c>
      <c r="R48" s="880">
        <v>191.83466414898285</v>
      </c>
      <c r="S48" s="880">
        <v>448</v>
      </c>
      <c r="T48" s="881">
        <v>0.42820237533255101</v>
      </c>
      <c r="U48" s="880">
        <v>205.32588279489107</v>
      </c>
      <c r="V48" s="880">
        <v>446</v>
      </c>
      <c r="W48" s="881">
        <v>0.46037193451769298</v>
      </c>
      <c r="X48" s="880">
        <v>230.46247975526364</v>
      </c>
      <c r="Y48" s="880">
        <v>459</v>
      </c>
      <c r="Z48" s="881">
        <v>0.50209690578488808</v>
      </c>
      <c r="AA48" s="880">
        <v>236.10712769823479</v>
      </c>
      <c r="AB48" s="880">
        <v>476</v>
      </c>
      <c r="AC48" s="881">
        <v>0.49602337751729997</v>
      </c>
      <c r="AD48" s="880">
        <v>196.01910128089165</v>
      </c>
      <c r="AE48" s="880">
        <v>425</v>
      </c>
      <c r="AF48" s="881">
        <v>0.46122141477856859</v>
      </c>
      <c r="AG48" s="880">
        <v>172.05281413859549</v>
      </c>
      <c r="AH48" s="880">
        <v>395</v>
      </c>
      <c r="AI48" s="881">
        <v>0.43557674465467211</v>
      </c>
    </row>
    <row r="49" spans="2:35" x14ac:dyDescent="0.2">
      <c r="B49" s="867">
        <v>28752000</v>
      </c>
      <c r="C49" s="876" t="s">
        <v>1447</v>
      </c>
      <c r="D49" s="877" t="s">
        <v>1448</v>
      </c>
      <c r="E49" s="877" t="s">
        <v>1447</v>
      </c>
      <c r="F49" s="877" t="s">
        <v>1448</v>
      </c>
      <c r="G49" s="877" t="s">
        <v>1448</v>
      </c>
      <c r="H49" s="877" t="s">
        <v>1448</v>
      </c>
      <c r="I49" s="877" t="s">
        <v>1448</v>
      </c>
      <c r="J49" s="878" t="s">
        <v>1448</v>
      </c>
      <c r="K49" s="877"/>
      <c r="L49" s="879">
        <v>12</v>
      </c>
      <c r="M49" s="880">
        <v>40</v>
      </c>
      <c r="N49" s="881">
        <v>0.30070000000000002</v>
      </c>
      <c r="O49" s="880">
        <v>5.9916132679984928</v>
      </c>
      <c r="P49" s="880">
        <v>31</v>
      </c>
      <c r="Q49" s="881">
        <v>0.19327784735479009</v>
      </c>
      <c r="R49" s="880">
        <v>10.714170072150637</v>
      </c>
      <c r="S49" s="880">
        <v>25</v>
      </c>
      <c r="T49" s="881">
        <v>0.42856680288602544</v>
      </c>
      <c r="U49" s="880" t="s">
        <v>1450</v>
      </c>
      <c r="V49" s="880" t="s">
        <v>1450</v>
      </c>
      <c r="W49" s="881" t="s">
        <v>1450</v>
      </c>
      <c r="X49" s="880" t="s">
        <v>1450</v>
      </c>
      <c r="Y49" s="880" t="s">
        <v>1450</v>
      </c>
      <c r="Z49" s="881" t="s">
        <v>1450</v>
      </c>
      <c r="AA49" s="880" t="s">
        <v>1450</v>
      </c>
      <c r="AB49" s="880" t="s">
        <v>1450</v>
      </c>
      <c r="AC49" s="881" t="s">
        <v>1450</v>
      </c>
      <c r="AD49" s="880" t="s">
        <v>1450</v>
      </c>
      <c r="AE49" s="880" t="s">
        <v>1450</v>
      </c>
      <c r="AF49" s="881" t="s">
        <v>1450</v>
      </c>
      <c r="AG49" s="880" t="s">
        <v>1450</v>
      </c>
      <c r="AH49" s="880" t="s">
        <v>1450</v>
      </c>
      <c r="AI49" s="881" t="s">
        <v>1450</v>
      </c>
    </row>
    <row r="50" spans="2:35" x14ac:dyDescent="0.2">
      <c r="B50" s="867">
        <v>30199000</v>
      </c>
      <c r="C50" s="876" t="s">
        <v>1448</v>
      </c>
      <c r="D50" s="877" t="s">
        <v>1448</v>
      </c>
      <c r="E50" s="877" t="s">
        <v>1448</v>
      </c>
      <c r="F50" s="877" t="s">
        <v>1448</v>
      </c>
      <c r="G50" s="877" t="s">
        <v>1448</v>
      </c>
      <c r="H50" s="877" t="s">
        <v>1448</v>
      </c>
      <c r="I50" s="877" t="s">
        <v>1448</v>
      </c>
      <c r="J50" s="878" t="s">
        <v>1448</v>
      </c>
      <c r="K50" s="877"/>
      <c r="L50" s="879">
        <v>0</v>
      </c>
      <c r="M50" s="880">
        <v>130</v>
      </c>
      <c r="N50" s="881">
        <v>0</v>
      </c>
      <c r="O50" s="880">
        <v>2.0953846153846154</v>
      </c>
      <c r="P50" s="880">
        <v>59</v>
      </c>
      <c r="Q50" s="881">
        <v>3.5514993481095179E-2</v>
      </c>
      <c r="R50" s="880">
        <v>0</v>
      </c>
      <c r="S50" s="880">
        <v>58</v>
      </c>
      <c r="T50" s="881">
        <v>0</v>
      </c>
      <c r="U50" s="880">
        <v>0</v>
      </c>
      <c r="V50" s="880">
        <v>50</v>
      </c>
      <c r="W50" s="881">
        <v>0</v>
      </c>
      <c r="X50" s="880">
        <v>0</v>
      </c>
      <c r="Y50" s="880">
        <v>61</v>
      </c>
      <c r="Z50" s="881">
        <v>0</v>
      </c>
      <c r="AA50" s="880" t="s">
        <v>1450</v>
      </c>
      <c r="AB50" s="880" t="s">
        <v>1450</v>
      </c>
      <c r="AC50" s="881" t="s">
        <v>1450</v>
      </c>
      <c r="AD50" s="880" t="s">
        <v>1450</v>
      </c>
      <c r="AE50" s="880" t="s">
        <v>1450</v>
      </c>
      <c r="AF50" s="881" t="s">
        <v>1450</v>
      </c>
      <c r="AG50" s="880" t="s">
        <v>1450</v>
      </c>
      <c r="AH50" s="880" t="s">
        <v>1450</v>
      </c>
      <c r="AI50" s="881" t="s">
        <v>1450</v>
      </c>
    </row>
    <row r="51" spans="2:35" x14ac:dyDescent="0.2">
      <c r="B51" s="867">
        <v>30201000</v>
      </c>
      <c r="C51" s="876" t="s">
        <v>1447</v>
      </c>
      <c r="D51" s="877" t="s">
        <v>1447</v>
      </c>
      <c r="E51" s="877" t="s">
        <v>1447</v>
      </c>
      <c r="F51" s="877" t="s">
        <v>1447</v>
      </c>
      <c r="G51" s="877" t="s">
        <v>1447</v>
      </c>
      <c r="H51" s="877" t="s">
        <v>1447</v>
      </c>
      <c r="I51" s="877" t="s">
        <v>1447</v>
      </c>
      <c r="J51" s="878" t="s">
        <v>1447</v>
      </c>
      <c r="K51" s="877"/>
      <c r="L51" s="879">
        <v>1875</v>
      </c>
      <c r="M51" s="880">
        <v>11923</v>
      </c>
      <c r="N51" s="881">
        <v>0.1573</v>
      </c>
      <c r="O51" s="880">
        <v>1934.7399267399267</v>
      </c>
      <c r="P51" s="880">
        <v>11877.519652974504</v>
      </c>
      <c r="Q51" s="881">
        <v>0.16289090511042909</v>
      </c>
      <c r="R51" s="880">
        <v>2066.1683265061229</v>
      </c>
      <c r="S51" s="880">
        <v>12268.766947521492</v>
      </c>
      <c r="T51" s="881">
        <v>0.16840880060269833</v>
      </c>
      <c r="U51" s="880">
        <v>2927.6123277435854</v>
      </c>
      <c r="V51" s="880">
        <v>12509.417974071632</v>
      </c>
      <c r="W51" s="881">
        <v>0.23403265713973825</v>
      </c>
      <c r="X51" s="880">
        <v>3000.851045160879</v>
      </c>
      <c r="Y51" s="880">
        <v>11979.887306698109</v>
      </c>
      <c r="Z51" s="881">
        <v>0.25049075741163812</v>
      </c>
      <c r="AA51" s="880">
        <v>3196.0443832872006</v>
      </c>
      <c r="AB51" s="880">
        <v>12975.711975584203</v>
      </c>
      <c r="AC51" s="881">
        <v>0.24630975080990156</v>
      </c>
      <c r="AD51" s="880">
        <v>2874.8395274425138</v>
      </c>
      <c r="AE51" s="880">
        <v>12917.523180496924</v>
      </c>
      <c r="AF51" s="881">
        <v>0.22255346379273319</v>
      </c>
      <c r="AG51" s="880">
        <v>2392.1876472165959</v>
      </c>
      <c r="AH51" s="880">
        <v>12768.638772792443</v>
      </c>
      <c r="AI51" s="881">
        <v>0.18734868217228418</v>
      </c>
    </row>
    <row r="52" spans="2:35" x14ac:dyDescent="0.2">
      <c r="B52" s="867">
        <v>30202000</v>
      </c>
      <c r="C52" s="876" t="s">
        <v>1447</v>
      </c>
      <c r="D52" s="877" t="s">
        <v>1447</v>
      </c>
      <c r="E52" s="877" t="s">
        <v>1447</v>
      </c>
      <c r="F52" s="877" t="s">
        <v>1447</v>
      </c>
      <c r="G52" s="877" t="s">
        <v>1447</v>
      </c>
      <c r="H52" s="877" t="s">
        <v>1447</v>
      </c>
      <c r="I52" s="877" t="s">
        <v>1447</v>
      </c>
      <c r="J52" s="878" t="s">
        <v>1447</v>
      </c>
      <c r="K52" s="877"/>
      <c r="L52" s="879">
        <v>163</v>
      </c>
      <c r="M52" s="880">
        <v>801</v>
      </c>
      <c r="N52" s="881">
        <v>0.20330000000000001</v>
      </c>
      <c r="O52" s="880">
        <v>176.44242434130027</v>
      </c>
      <c r="P52" s="880">
        <v>794.86446529745047</v>
      </c>
      <c r="Q52" s="881">
        <v>0.22197800007989135</v>
      </c>
      <c r="R52" s="880">
        <v>179.33850252908329</v>
      </c>
      <c r="S52" s="880">
        <v>822.12907916684492</v>
      </c>
      <c r="T52" s="881">
        <v>0.21813910622262259</v>
      </c>
      <c r="U52" s="880">
        <v>226.65997613563877</v>
      </c>
      <c r="V52" s="880">
        <v>848.55223027905959</v>
      </c>
      <c r="W52" s="881">
        <v>0.267113759233298</v>
      </c>
      <c r="X52" s="880">
        <v>231.77219406209866</v>
      </c>
      <c r="Y52" s="880">
        <v>813.20280259398669</v>
      </c>
      <c r="Z52" s="881">
        <v>0.28501155348061086</v>
      </c>
      <c r="AA52" s="880">
        <v>280.62577849082476</v>
      </c>
      <c r="AB52" s="880">
        <v>879.5131417118389</v>
      </c>
      <c r="AC52" s="881">
        <v>0.31906945465832298</v>
      </c>
      <c r="AD52" s="880">
        <v>242.11226745677143</v>
      </c>
      <c r="AE52" s="880">
        <v>875.61734310750956</v>
      </c>
      <c r="AF52" s="881">
        <v>0.27650465053322332</v>
      </c>
      <c r="AG52" s="880">
        <v>250.61013447031004</v>
      </c>
      <c r="AH52" s="880">
        <v>865.22998844805954</v>
      </c>
      <c r="AI52" s="881">
        <v>0.28964568706156718</v>
      </c>
    </row>
    <row r="53" spans="2:35" x14ac:dyDescent="0.2">
      <c r="B53" s="867">
        <v>30204000</v>
      </c>
      <c r="C53" s="876" t="s">
        <v>1448</v>
      </c>
      <c r="D53" s="877" t="s">
        <v>1448</v>
      </c>
      <c r="E53" s="877" t="s">
        <v>1448</v>
      </c>
      <c r="F53" s="877" t="s">
        <v>1447</v>
      </c>
      <c r="G53" s="877" t="s">
        <v>1447</v>
      </c>
      <c r="H53" s="877" t="s">
        <v>1447</v>
      </c>
      <c r="I53" s="877" t="s">
        <v>1447</v>
      </c>
      <c r="J53" s="878" t="s">
        <v>1447</v>
      </c>
      <c r="K53" s="877"/>
      <c r="L53" s="879">
        <v>28</v>
      </c>
      <c r="M53" s="880">
        <v>284</v>
      </c>
      <c r="N53" s="881">
        <v>9.8400000000000001E-2</v>
      </c>
      <c r="O53" s="880">
        <v>28.155706011909619</v>
      </c>
      <c r="P53" s="880">
        <v>281.9589235127479</v>
      </c>
      <c r="Q53" s="881">
        <v>9.9857474490026715E-2</v>
      </c>
      <c r="R53" s="880">
        <v>29.260492517903067</v>
      </c>
      <c r="S53" s="880">
        <v>291.69325520721952</v>
      </c>
      <c r="T53" s="881">
        <v>0.10031254407002435</v>
      </c>
      <c r="U53" s="880">
        <v>35.089619736479641</v>
      </c>
      <c r="V53" s="880">
        <v>191.95578993627774</v>
      </c>
      <c r="W53" s="881">
        <v>0.18280052791389154</v>
      </c>
      <c r="X53" s="880">
        <v>32.41424947737535</v>
      </c>
      <c r="Y53" s="880">
        <v>183.56922588544737</v>
      </c>
      <c r="Z53" s="881">
        <v>0.17657779685579109</v>
      </c>
      <c r="AA53" s="880">
        <v>68.246898129382899</v>
      </c>
      <c r="AB53" s="880">
        <v>198.66195964105134</v>
      </c>
      <c r="AC53" s="881">
        <v>0.34353279436432388</v>
      </c>
      <c r="AD53" s="880">
        <v>66.57582220539436</v>
      </c>
      <c r="AE53" s="880">
        <v>198.43473342150384</v>
      </c>
      <c r="AF53" s="881">
        <v>0.33550488393570577</v>
      </c>
      <c r="AG53" s="880">
        <v>48.413321431764437</v>
      </c>
      <c r="AH53" s="880">
        <v>195.37451352052958</v>
      </c>
      <c r="AI53" s="881">
        <v>0.24779752772961997</v>
      </c>
    </row>
    <row r="54" spans="2:35" x14ac:dyDescent="0.2">
      <c r="B54" s="867">
        <v>30206000</v>
      </c>
      <c r="C54" s="876" t="s">
        <v>1447</v>
      </c>
      <c r="D54" s="877" t="s">
        <v>1447</v>
      </c>
      <c r="E54" s="877" t="s">
        <v>1447</v>
      </c>
      <c r="F54" s="877" t="s">
        <v>1447</v>
      </c>
      <c r="G54" s="877" t="s">
        <v>1447</v>
      </c>
      <c r="H54" s="877" t="s">
        <v>1447</v>
      </c>
      <c r="I54" s="877" t="s">
        <v>1447</v>
      </c>
      <c r="J54" s="878" t="s">
        <v>1447</v>
      </c>
      <c r="K54" s="877"/>
      <c r="L54" s="879">
        <v>106</v>
      </c>
      <c r="M54" s="880">
        <v>475</v>
      </c>
      <c r="N54" s="881">
        <v>0.22309999999999999</v>
      </c>
      <c r="O54" s="880">
        <v>108.86872991271719</v>
      </c>
      <c r="P54" s="880">
        <v>471.16820113314446</v>
      </c>
      <c r="Q54" s="881">
        <v>0.23106128480421931</v>
      </c>
      <c r="R54" s="880">
        <v>122.70529120410963</v>
      </c>
      <c r="S54" s="880">
        <v>482.12993456225138</v>
      </c>
      <c r="T54" s="881">
        <v>0.2545066846254207</v>
      </c>
      <c r="U54" s="880">
        <v>113.80417211831235</v>
      </c>
      <c r="V54" s="880">
        <v>448.49483629971434</v>
      </c>
      <c r="W54" s="881">
        <v>0.25374689496371539</v>
      </c>
      <c r="X54" s="880">
        <v>123.08912228501661</v>
      </c>
      <c r="Y54" s="880">
        <v>433.64904085982494</v>
      </c>
      <c r="Z54" s="881">
        <v>0.28384502371078602</v>
      </c>
      <c r="AA54" s="880">
        <v>93.221735935326919</v>
      </c>
      <c r="AB54" s="880">
        <v>468.68792420170359</v>
      </c>
      <c r="AC54" s="881">
        <v>0.19889937658220569</v>
      </c>
      <c r="AD54" s="880">
        <v>99.402778865572841</v>
      </c>
      <c r="AE54" s="880">
        <v>463.33546978516188</v>
      </c>
      <c r="AF54" s="881">
        <v>0.2145373824103379</v>
      </c>
      <c r="AG54" s="880">
        <v>89.232396364428581</v>
      </c>
      <c r="AH54" s="880">
        <v>456.19467689030057</v>
      </c>
      <c r="AI54" s="881">
        <v>0.19560157293524483</v>
      </c>
    </row>
    <row r="55" spans="2:35" x14ac:dyDescent="0.2">
      <c r="B55" s="867">
        <v>30208000</v>
      </c>
      <c r="C55" s="876" t="s">
        <v>1447</v>
      </c>
      <c r="D55" s="877" t="s">
        <v>1447</v>
      </c>
      <c r="E55" s="877" t="s">
        <v>1447</v>
      </c>
      <c r="F55" s="877" t="s">
        <v>1447</v>
      </c>
      <c r="G55" s="877" t="s">
        <v>1447</v>
      </c>
      <c r="H55" s="877" t="s">
        <v>1447</v>
      </c>
      <c r="I55" s="877" t="s">
        <v>1447</v>
      </c>
      <c r="J55" s="878" t="s">
        <v>1447</v>
      </c>
      <c r="K55" s="877"/>
      <c r="L55" s="879">
        <v>734</v>
      </c>
      <c r="M55" s="880">
        <v>3278</v>
      </c>
      <c r="N55" s="881">
        <v>0.22389999999999999</v>
      </c>
      <c r="O55" s="880">
        <v>752.69587405171706</v>
      </c>
      <c r="P55" s="880">
        <v>3264.787535410765</v>
      </c>
      <c r="Q55" s="881">
        <v>0.2305497267089435</v>
      </c>
      <c r="R55" s="880">
        <v>805.13548767004238</v>
      </c>
      <c r="S55" s="880">
        <v>3381.412257816176</v>
      </c>
      <c r="T55" s="881">
        <v>0.238106278170892</v>
      </c>
      <c r="U55" s="880">
        <v>1017.5989723579097</v>
      </c>
      <c r="V55" s="880">
        <v>2736.715491100857</v>
      </c>
      <c r="W55" s="881">
        <v>0.37183221115490367</v>
      </c>
      <c r="X55" s="880">
        <v>920.46807746054014</v>
      </c>
      <c r="Y55" s="880">
        <v>2622.2908258128882</v>
      </c>
      <c r="Z55" s="881">
        <v>0.35101677830688466</v>
      </c>
      <c r="AA55" s="880">
        <v>908.15671272671034</v>
      </c>
      <c r="AB55" s="880">
        <v>2837.2013847765679</v>
      </c>
      <c r="AC55" s="881">
        <v>0.32008891494257763</v>
      </c>
      <c r="AD55" s="880">
        <v>888.37370140360508</v>
      </c>
      <c r="AE55" s="880">
        <v>2825.2867627440328</v>
      </c>
      <c r="AF55" s="881">
        <v>0.31443664873889848</v>
      </c>
      <c r="AG55" s="880">
        <v>694.87355466767792</v>
      </c>
      <c r="AH55" s="880">
        <v>2791.0644788647082</v>
      </c>
      <c r="AI55" s="881">
        <v>0.24896363374246527</v>
      </c>
    </row>
    <row r="56" spans="2:35" x14ac:dyDescent="0.2">
      <c r="B56" s="867">
        <v>30215000</v>
      </c>
      <c r="C56" s="876" t="s">
        <v>1447</v>
      </c>
      <c r="D56" s="877" t="s">
        <v>1447</v>
      </c>
      <c r="E56" s="877" t="s">
        <v>1447</v>
      </c>
      <c r="F56" s="877" t="s">
        <v>1447</v>
      </c>
      <c r="G56" s="877" t="s">
        <v>1447</v>
      </c>
      <c r="H56" s="877" t="s">
        <v>1447</v>
      </c>
      <c r="I56" s="877" t="s">
        <v>1447</v>
      </c>
      <c r="J56" s="878" t="s">
        <v>1447</v>
      </c>
      <c r="K56" s="877"/>
      <c r="L56" s="879">
        <v>1357</v>
      </c>
      <c r="M56" s="880">
        <v>4140</v>
      </c>
      <c r="N56" s="881">
        <v>0.32779999999999998</v>
      </c>
      <c r="O56" s="880">
        <v>1403.0926829268292</v>
      </c>
      <c r="P56" s="880">
        <v>4111.5918024079319</v>
      </c>
      <c r="Q56" s="881">
        <v>0.34125291379973943</v>
      </c>
      <c r="R56" s="880">
        <v>1503.611760678051</v>
      </c>
      <c r="S56" s="880">
        <v>4248.1313887344431</v>
      </c>
      <c r="T56" s="881">
        <v>0.35394662337079708</v>
      </c>
      <c r="U56" s="880">
        <v>1234.775267483689</v>
      </c>
      <c r="V56" s="880">
        <v>3501.8476818281697</v>
      </c>
      <c r="W56" s="881">
        <v>0.35260678923620803</v>
      </c>
      <c r="X56" s="880">
        <v>1211.4542551316511</v>
      </c>
      <c r="Y56" s="880">
        <v>3355.680921500159</v>
      </c>
      <c r="Z56" s="881">
        <v>0.36101592596892967</v>
      </c>
      <c r="AA56" s="880">
        <v>1229.1264599809831</v>
      </c>
      <c r="AB56" s="880">
        <v>3630.8848448959143</v>
      </c>
      <c r="AC56" s="881">
        <v>0.33851981334765197</v>
      </c>
      <c r="AD56" s="880">
        <v>1199.9545509696466</v>
      </c>
      <c r="AE56" s="880">
        <v>3615.172594810213</v>
      </c>
      <c r="AF56" s="881">
        <v>0.33192178782618842</v>
      </c>
      <c r="AG56" s="880">
        <v>1154.3254678632463</v>
      </c>
      <c r="AH56" s="880">
        <v>3571.6000969196316</v>
      </c>
      <c r="AI56" s="881">
        <v>0.32319560884176474</v>
      </c>
    </row>
    <row r="57" spans="2:35" x14ac:dyDescent="0.2">
      <c r="B57" s="867">
        <v>30305000</v>
      </c>
      <c r="C57" s="876" t="s">
        <v>1448</v>
      </c>
      <c r="D57" s="877" t="s">
        <v>1448</v>
      </c>
      <c r="E57" s="877" t="s">
        <v>1448</v>
      </c>
      <c r="F57" s="877" t="s">
        <v>1447</v>
      </c>
      <c r="G57" s="877" t="s">
        <v>1447</v>
      </c>
      <c r="H57" s="877" t="s">
        <v>1447</v>
      </c>
      <c r="I57" s="877" t="s">
        <v>1447</v>
      </c>
      <c r="J57" s="878" t="s">
        <v>1448</v>
      </c>
      <c r="K57" s="877"/>
      <c r="L57" s="879">
        <v>4</v>
      </c>
      <c r="M57" s="880">
        <v>21</v>
      </c>
      <c r="N57" s="881">
        <v>0.1799</v>
      </c>
      <c r="O57" s="880">
        <v>3.7540941349212824</v>
      </c>
      <c r="P57" s="880">
        <v>21.332418555240793</v>
      </c>
      <c r="Q57" s="881">
        <v>0.17598070866648188</v>
      </c>
      <c r="R57" s="880">
        <v>6.6072079879135952</v>
      </c>
      <c r="S57" s="880">
        <v>32.513579402078612</v>
      </c>
      <c r="T57" s="881">
        <v>0.20321379895475897</v>
      </c>
      <c r="U57" s="880">
        <v>13.277153413803109</v>
      </c>
      <c r="V57" s="880">
        <v>26.012700505383432</v>
      </c>
      <c r="W57" s="881">
        <v>0.51041042090402533</v>
      </c>
      <c r="X57" s="880">
        <v>12.393683623702339</v>
      </c>
      <c r="Y57" s="880">
        <v>24.830619926533945</v>
      </c>
      <c r="Z57" s="881">
        <v>0.49912904552409004</v>
      </c>
      <c r="AA57" s="880">
        <v>11.526848218128011</v>
      </c>
      <c r="AB57" s="880">
        <v>27.002596456065231</v>
      </c>
      <c r="AC57" s="881">
        <v>0.42687925351485562</v>
      </c>
      <c r="AD57" s="880">
        <v>11.571039615502588</v>
      </c>
      <c r="AE57" s="880">
        <v>26.971711338845182</v>
      </c>
      <c r="AF57" s="881">
        <v>0.42900650500577442</v>
      </c>
      <c r="AG57" s="880">
        <v>9.4928081238753812</v>
      </c>
      <c r="AH57" s="880">
        <v>26.948208761452356</v>
      </c>
      <c r="AI57" s="881">
        <v>0.35226119138034212</v>
      </c>
    </row>
    <row r="58" spans="2:35" x14ac:dyDescent="0.2">
      <c r="B58" s="867">
        <v>30310000</v>
      </c>
      <c r="C58" s="876" t="s">
        <v>1448</v>
      </c>
      <c r="D58" s="877" t="s">
        <v>1448</v>
      </c>
      <c r="E58" s="877" t="s">
        <v>1448</v>
      </c>
      <c r="F58" s="877" t="s">
        <v>1448</v>
      </c>
      <c r="G58" s="877" t="s">
        <v>1447</v>
      </c>
      <c r="H58" s="877" t="s">
        <v>1448</v>
      </c>
      <c r="I58" s="877" t="s">
        <v>1447</v>
      </c>
      <c r="J58" s="878" t="s">
        <v>1447</v>
      </c>
      <c r="K58" s="877"/>
      <c r="L58" s="879">
        <v>18</v>
      </c>
      <c r="M58" s="880">
        <v>132</v>
      </c>
      <c r="N58" s="881">
        <v>0.1384</v>
      </c>
      <c r="O58" s="880">
        <v>18.770470674606411</v>
      </c>
      <c r="P58" s="880">
        <v>130.7770007082153</v>
      </c>
      <c r="Q58" s="881">
        <v>0.14353036522443557</v>
      </c>
      <c r="R58" s="880">
        <v>18.87773710832456</v>
      </c>
      <c r="S58" s="880">
        <v>193.22355758949573</v>
      </c>
      <c r="T58" s="881">
        <v>9.7698941805172607E-2</v>
      </c>
      <c r="U58" s="880">
        <v>21.812466322676535</v>
      </c>
      <c r="V58" s="880">
        <v>148.00329597890573</v>
      </c>
      <c r="W58" s="881">
        <v>0.14737824707488523</v>
      </c>
      <c r="X58" s="880">
        <v>22.880646689912012</v>
      </c>
      <c r="Y58" s="880">
        <v>141.88925672305109</v>
      </c>
      <c r="Z58" s="881">
        <v>0.16125707624624452</v>
      </c>
      <c r="AA58" s="880">
        <v>22.093125751412021</v>
      </c>
      <c r="AB58" s="880">
        <v>153.33617273265614</v>
      </c>
      <c r="AC58" s="881">
        <v>0.14408293462451099</v>
      </c>
      <c r="AD58" s="880">
        <v>27.963345737464589</v>
      </c>
      <c r="AE58" s="880">
        <v>153.16078938844228</v>
      </c>
      <c r="AF58" s="881">
        <v>0.18257509542174469</v>
      </c>
      <c r="AG58" s="880">
        <v>22.782739497300916</v>
      </c>
      <c r="AH58" s="880">
        <v>151.10245626957214</v>
      </c>
      <c r="AI58" s="881">
        <v>0.15077676471821014</v>
      </c>
    </row>
    <row r="59" spans="2:35" x14ac:dyDescent="0.2">
      <c r="B59" s="867">
        <v>30899000</v>
      </c>
      <c r="C59" s="876" t="s">
        <v>1448</v>
      </c>
      <c r="D59" s="877" t="s">
        <v>1448</v>
      </c>
      <c r="E59" s="877" t="s">
        <v>1448</v>
      </c>
      <c r="F59" s="877" t="s">
        <v>1448</v>
      </c>
      <c r="G59" s="877" t="s">
        <v>1448</v>
      </c>
      <c r="H59" s="877" t="s">
        <v>1448</v>
      </c>
      <c r="I59" s="877" t="s">
        <v>1448</v>
      </c>
      <c r="J59" s="878" t="s">
        <v>1448</v>
      </c>
      <c r="K59" s="877"/>
      <c r="L59" s="879" t="s">
        <v>1450</v>
      </c>
      <c r="M59" s="880" t="s">
        <v>1450</v>
      </c>
      <c r="N59" s="881" t="s">
        <v>1450</v>
      </c>
      <c r="O59" s="880">
        <v>3</v>
      </c>
      <c r="P59" s="880">
        <v>76</v>
      </c>
      <c r="Q59" s="881">
        <v>3.9473684210526314E-2</v>
      </c>
      <c r="R59" s="880" t="s">
        <v>1450</v>
      </c>
      <c r="S59" s="880" t="s">
        <v>1450</v>
      </c>
      <c r="T59" s="881" t="s">
        <v>1450</v>
      </c>
      <c r="U59" s="880" t="s">
        <v>1450</v>
      </c>
      <c r="V59" s="880" t="s">
        <v>1450</v>
      </c>
      <c r="W59" s="881" t="s">
        <v>1450</v>
      </c>
      <c r="X59" s="880" t="s">
        <v>1450</v>
      </c>
      <c r="Y59" s="880" t="s">
        <v>1450</v>
      </c>
      <c r="Z59" s="881" t="s">
        <v>1450</v>
      </c>
      <c r="AA59" s="880" t="s">
        <v>1450</v>
      </c>
      <c r="AB59" s="880" t="s">
        <v>1450</v>
      </c>
      <c r="AC59" s="881" t="s">
        <v>1450</v>
      </c>
      <c r="AD59" s="880" t="s">
        <v>1450</v>
      </c>
      <c r="AE59" s="880" t="s">
        <v>1450</v>
      </c>
      <c r="AF59" s="881" t="s">
        <v>1450</v>
      </c>
      <c r="AG59" s="880" t="s">
        <v>1450</v>
      </c>
      <c r="AH59" s="880" t="s">
        <v>1450</v>
      </c>
      <c r="AI59" s="881" t="s">
        <v>1450</v>
      </c>
    </row>
    <row r="60" spans="2:35" x14ac:dyDescent="0.2">
      <c r="B60" s="867">
        <v>30900000</v>
      </c>
      <c r="C60" s="876" t="s">
        <v>1448</v>
      </c>
      <c r="D60" s="877" t="s">
        <v>1448</v>
      </c>
      <c r="E60" s="877" t="s">
        <v>1448</v>
      </c>
      <c r="F60" s="877" t="s">
        <v>1448</v>
      </c>
      <c r="G60" s="877" t="s">
        <v>1448</v>
      </c>
      <c r="H60" s="877" t="s">
        <v>1448</v>
      </c>
      <c r="I60" s="877" t="s">
        <v>1448</v>
      </c>
      <c r="J60" s="878" t="s">
        <v>1448</v>
      </c>
      <c r="K60" s="877"/>
      <c r="L60" s="879" t="s">
        <v>1450</v>
      </c>
      <c r="M60" s="880" t="s">
        <v>1450</v>
      </c>
      <c r="N60" s="881" t="s">
        <v>1450</v>
      </c>
      <c r="O60" s="880" t="s">
        <v>1450</v>
      </c>
      <c r="P60" s="880" t="s">
        <v>1450</v>
      </c>
      <c r="Q60" s="881" t="s">
        <v>1450</v>
      </c>
      <c r="R60" s="880" t="s">
        <v>1450</v>
      </c>
      <c r="S60" s="880" t="s">
        <v>1450</v>
      </c>
      <c r="T60" s="881" t="s">
        <v>1450</v>
      </c>
      <c r="U60" s="880">
        <v>0</v>
      </c>
      <c r="V60" s="880">
        <v>0</v>
      </c>
      <c r="W60" s="881">
        <v>0</v>
      </c>
      <c r="X60" s="880">
        <v>0</v>
      </c>
      <c r="Y60" s="880">
        <v>0</v>
      </c>
      <c r="Z60" s="881">
        <v>0</v>
      </c>
      <c r="AA60" s="880" t="s">
        <v>1450</v>
      </c>
      <c r="AB60" s="880" t="s">
        <v>1450</v>
      </c>
      <c r="AC60" s="881" t="s">
        <v>1450</v>
      </c>
      <c r="AD60" s="880" t="s">
        <v>1450</v>
      </c>
      <c r="AE60" s="880" t="s">
        <v>1450</v>
      </c>
      <c r="AF60" s="881" t="s">
        <v>1450</v>
      </c>
      <c r="AG60" s="880" t="s">
        <v>1450</v>
      </c>
      <c r="AH60" s="880" t="s">
        <v>1450</v>
      </c>
      <c r="AI60" s="881" t="s">
        <v>1450</v>
      </c>
    </row>
    <row r="61" spans="2:35" x14ac:dyDescent="0.2">
      <c r="B61" s="867">
        <v>30999000</v>
      </c>
      <c r="C61" s="876" t="s">
        <v>1448</v>
      </c>
      <c r="D61" s="877" t="s">
        <v>1447</v>
      </c>
      <c r="E61" s="877" t="s">
        <v>1448</v>
      </c>
      <c r="F61" s="877" t="s">
        <v>1448</v>
      </c>
      <c r="G61" s="877" t="s">
        <v>1448</v>
      </c>
      <c r="H61" s="877" t="s">
        <v>1448</v>
      </c>
      <c r="I61" s="877" t="s">
        <v>1448</v>
      </c>
      <c r="J61" s="878" t="s">
        <v>1448</v>
      </c>
      <c r="K61" s="877"/>
      <c r="L61" s="879" t="s">
        <v>1450</v>
      </c>
      <c r="M61" s="880" t="s">
        <v>1450</v>
      </c>
      <c r="N61" s="881" t="s">
        <v>1450</v>
      </c>
      <c r="O61" s="880">
        <v>49</v>
      </c>
      <c r="P61" s="880">
        <v>141</v>
      </c>
      <c r="Q61" s="881">
        <v>0.3475177304964539</v>
      </c>
      <c r="R61" s="880">
        <v>0</v>
      </c>
      <c r="S61" s="880">
        <v>0</v>
      </c>
      <c r="T61" s="881">
        <v>0</v>
      </c>
      <c r="U61" s="880" t="s">
        <v>1450</v>
      </c>
      <c r="V61" s="880" t="s">
        <v>1450</v>
      </c>
      <c r="W61" s="881" t="s">
        <v>1450</v>
      </c>
      <c r="X61" s="880" t="s">
        <v>1450</v>
      </c>
      <c r="Y61" s="880" t="s">
        <v>1450</v>
      </c>
      <c r="Z61" s="881" t="s">
        <v>1450</v>
      </c>
      <c r="AA61" s="880" t="s">
        <v>1450</v>
      </c>
      <c r="AB61" s="880" t="s">
        <v>1450</v>
      </c>
      <c r="AC61" s="881" t="s">
        <v>1450</v>
      </c>
      <c r="AD61" s="880" t="s">
        <v>1450</v>
      </c>
      <c r="AE61" s="880" t="s">
        <v>1450</v>
      </c>
      <c r="AF61" s="881" t="s">
        <v>1450</v>
      </c>
      <c r="AG61" s="880" t="s">
        <v>1450</v>
      </c>
      <c r="AH61" s="880" t="s">
        <v>1450</v>
      </c>
      <c r="AI61" s="881" t="s">
        <v>1450</v>
      </c>
    </row>
    <row r="62" spans="2:35" x14ac:dyDescent="0.2">
      <c r="B62" s="867">
        <v>38701000</v>
      </c>
      <c r="C62" s="876" t="s">
        <v>1448</v>
      </c>
      <c r="D62" s="877" t="s">
        <v>1448</v>
      </c>
      <c r="E62" s="877" t="s">
        <v>1448</v>
      </c>
      <c r="F62" s="877" t="s">
        <v>1448</v>
      </c>
      <c r="G62" s="877" t="s">
        <v>1448</v>
      </c>
      <c r="H62" s="877" t="s">
        <v>1448</v>
      </c>
      <c r="I62" s="877" t="s">
        <v>1448</v>
      </c>
      <c r="J62" s="878" t="s">
        <v>1448</v>
      </c>
      <c r="K62" s="877"/>
      <c r="L62" s="879">
        <v>0</v>
      </c>
      <c r="M62" s="880">
        <v>364</v>
      </c>
      <c r="N62" s="881">
        <v>0</v>
      </c>
      <c r="O62" s="880">
        <v>0</v>
      </c>
      <c r="P62" s="880">
        <v>352</v>
      </c>
      <c r="Q62" s="881">
        <v>0</v>
      </c>
      <c r="R62" s="880">
        <v>0</v>
      </c>
      <c r="S62" s="880">
        <v>374</v>
      </c>
      <c r="T62" s="881">
        <v>0</v>
      </c>
      <c r="U62" s="880">
        <v>0</v>
      </c>
      <c r="V62" s="880">
        <v>534</v>
      </c>
      <c r="W62" s="881">
        <v>0</v>
      </c>
      <c r="X62" s="880">
        <v>0</v>
      </c>
      <c r="Y62" s="880">
        <v>578</v>
      </c>
      <c r="Z62" s="881">
        <v>0</v>
      </c>
      <c r="AA62" s="880" t="s">
        <v>1450</v>
      </c>
      <c r="AB62" s="880" t="s">
        <v>1450</v>
      </c>
      <c r="AC62" s="881" t="s">
        <v>1450</v>
      </c>
      <c r="AD62" s="880" t="s">
        <v>1450</v>
      </c>
      <c r="AE62" s="880" t="s">
        <v>1450</v>
      </c>
      <c r="AF62" s="881" t="s">
        <v>1450</v>
      </c>
      <c r="AG62" s="880" t="s">
        <v>1450</v>
      </c>
      <c r="AH62" s="880" t="s">
        <v>1450</v>
      </c>
      <c r="AI62" s="881" t="s">
        <v>1450</v>
      </c>
    </row>
    <row r="63" spans="2:35" x14ac:dyDescent="0.2">
      <c r="B63" s="867">
        <v>38702000</v>
      </c>
      <c r="C63" s="876" t="s">
        <v>1447</v>
      </c>
      <c r="D63" s="877" t="s">
        <v>1447</v>
      </c>
      <c r="E63" s="877" t="s">
        <v>1447</v>
      </c>
      <c r="F63" s="877" t="s">
        <v>1447</v>
      </c>
      <c r="G63" s="877" t="s">
        <v>1447</v>
      </c>
      <c r="H63" s="877" t="s">
        <v>1447</v>
      </c>
      <c r="I63" s="877" t="s">
        <v>1447</v>
      </c>
      <c r="J63" s="878" t="s">
        <v>1447</v>
      </c>
      <c r="K63" s="877"/>
      <c r="L63" s="879">
        <v>34</v>
      </c>
      <c r="M63" s="880">
        <v>142</v>
      </c>
      <c r="N63" s="881">
        <v>0.24010000000000001</v>
      </c>
      <c r="O63" s="880">
        <v>66.353846153846149</v>
      </c>
      <c r="P63" s="880">
        <v>163</v>
      </c>
      <c r="Q63" s="881">
        <v>0.4070788107597923</v>
      </c>
      <c r="R63" s="880">
        <v>100.57426356589147</v>
      </c>
      <c r="S63" s="880">
        <v>171</v>
      </c>
      <c r="T63" s="881">
        <v>0.58815358810462848</v>
      </c>
      <c r="U63" s="880">
        <v>108.56422084474556</v>
      </c>
      <c r="V63" s="880">
        <v>164</v>
      </c>
      <c r="W63" s="881">
        <v>0.66197695637039977</v>
      </c>
      <c r="X63" s="880">
        <v>74.32990397805213</v>
      </c>
      <c r="Y63" s="880">
        <v>150</v>
      </c>
      <c r="Z63" s="881">
        <v>0.49553269318701421</v>
      </c>
      <c r="AA63" s="880">
        <v>77.973717349261321</v>
      </c>
      <c r="AB63" s="880">
        <v>135</v>
      </c>
      <c r="AC63" s="881">
        <v>0.57758309147600984</v>
      </c>
      <c r="AD63" s="880">
        <v>88.933467868003262</v>
      </c>
      <c r="AE63" s="880">
        <v>167</v>
      </c>
      <c r="AF63" s="881">
        <v>0.53253573573654645</v>
      </c>
      <c r="AG63" s="880">
        <v>95.190997233388885</v>
      </c>
      <c r="AH63" s="880">
        <v>186</v>
      </c>
      <c r="AI63" s="881">
        <v>0.51177955501821981</v>
      </c>
    </row>
    <row r="64" spans="2:35" x14ac:dyDescent="0.2">
      <c r="B64" s="867">
        <v>38703000</v>
      </c>
      <c r="C64" s="876" t="s">
        <v>1447</v>
      </c>
      <c r="D64" s="877" t="s">
        <v>1448</v>
      </c>
      <c r="E64" s="877" t="s">
        <v>1448</v>
      </c>
      <c r="F64" s="877" t="s">
        <v>1448</v>
      </c>
      <c r="G64" s="877" t="s">
        <v>1448</v>
      </c>
      <c r="H64" s="877" t="s">
        <v>1448</v>
      </c>
      <c r="I64" s="877" t="s">
        <v>1448</v>
      </c>
      <c r="J64" s="878" t="s">
        <v>1448</v>
      </c>
      <c r="K64" s="877"/>
      <c r="L64" s="879">
        <v>20</v>
      </c>
      <c r="M64" s="880">
        <v>40</v>
      </c>
      <c r="N64" s="881">
        <v>0.49059999999999998</v>
      </c>
      <c r="O64" s="880">
        <v>5.5876923076923077</v>
      </c>
      <c r="P64" s="880">
        <v>19</v>
      </c>
      <c r="Q64" s="881">
        <v>0.29408906882591096</v>
      </c>
      <c r="R64" s="880" t="s">
        <v>1450</v>
      </c>
      <c r="S64" s="880" t="s">
        <v>1450</v>
      </c>
      <c r="T64" s="881" t="s">
        <v>1450</v>
      </c>
      <c r="U64" s="880" t="s">
        <v>1450</v>
      </c>
      <c r="V64" s="880" t="s">
        <v>1450</v>
      </c>
      <c r="W64" s="881" t="s">
        <v>1450</v>
      </c>
      <c r="X64" s="880" t="s">
        <v>1450</v>
      </c>
      <c r="Y64" s="880" t="s">
        <v>1450</v>
      </c>
      <c r="Z64" s="881" t="s">
        <v>1450</v>
      </c>
      <c r="AA64" s="880" t="s">
        <v>1450</v>
      </c>
      <c r="AB64" s="880" t="s">
        <v>1450</v>
      </c>
      <c r="AC64" s="881" t="s">
        <v>1450</v>
      </c>
      <c r="AD64" s="880" t="s">
        <v>1450</v>
      </c>
      <c r="AE64" s="880" t="s">
        <v>1450</v>
      </c>
      <c r="AF64" s="881" t="s">
        <v>1450</v>
      </c>
      <c r="AG64" s="880" t="s">
        <v>1450</v>
      </c>
      <c r="AH64" s="880" t="s">
        <v>1450</v>
      </c>
      <c r="AI64" s="881" t="s">
        <v>1450</v>
      </c>
    </row>
    <row r="65" spans="2:35" x14ac:dyDescent="0.2">
      <c r="B65" s="867">
        <v>38706000</v>
      </c>
      <c r="C65" s="876" t="s">
        <v>1448</v>
      </c>
      <c r="D65" s="877" t="s">
        <v>1447</v>
      </c>
      <c r="E65" s="877" t="s">
        <v>1447</v>
      </c>
      <c r="F65" s="877" t="s">
        <v>1448</v>
      </c>
      <c r="G65" s="877" t="s">
        <v>1447</v>
      </c>
      <c r="H65" s="877" t="s">
        <v>1447</v>
      </c>
      <c r="I65" s="877" t="s">
        <v>1447</v>
      </c>
      <c r="J65" s="878" t="s">
        <v>1447</v>
      </c>
      <c r="K65" s="877"/>
      <c r="L65" s="879">
        <v>23</v>
      </c>
      <c r="M65" s="880">
        <v>212</v>
      </c>
      <c r="N65" s="881">
        <v>0.10829999999999999</v>
      </c>
      <c r="O65" s="880">
        <v>34.92307692307692</v>
      </c>
      <c r="P65" s="880">
        <v>218</v>
      </c>
      <c r="Q65" s="881">
        <v>0.16019760056457302</v>
      </c>
      <c r="R65" s="880">
        <v>44.00124031007752</v>
      </c>
      <c r="S65" s="880">
        <v>246</v>
      </c>
      <c r="T65" s="881">
        <v>0.17886683052877042</v>
      </c>
      <c r="U65" s="880">
        <v>30.774109845754648</v>
      </c>
      <c r="V65" s="880">
        <v>236</v>
      </c>
      <c r="W65" s="881">
        <v>0.13039877053285867</v>
      </c>
      <c r="X65" s="880">
        <v>38.169410150891636</v>
      </c>
      <c r="Y65" s="880">
        <v>246</v>
      </c>
      <c r="Z65" s="881">
        <v>0.15516020386541315</v>
      </c>
      <c r="AA65" s="880">
        <v>55.170083030137725</v>
      </c>
      <c r="AB65" s="880">
        <v>235</v>
      </c>
      <c r="AC65" s="881">
        <v>0.2347663107665435</v>
      </c>
      <c r="AD65" s="880">
        <v>51.204117863395815</v>
      </c>
      <c r="AE65" s="880">
        <v>259</v>
      </c>
      <c r="AF65" s="881">
        <v>0.197699296769868</v>
      </c>
      <c r="AG65" s="880">
        <v>60.409671321189101</v>
      </c>
      <c r="AH65" s="880">
        <v>247</v>
      </c>
      <c r="AI65" s="881">
        <v>0.24457356810198017</v>
      </c>
    </row>
    <row r="66" spans="2:35" x14ac:dyDescent="0.2">
      <c r="B66" s="867">
        <v>38707000</v>
      </c>
      <c r="C66" s="876" t="s">
        <v>1448</v>
      </c>
      <c r="D66" s="877" t="s">
        <v>1448</v>
      </c>
      <c r="E66" s="877" t="s">
        <v>1448</v>
      </c>
      <c r="F66" s="877" t="s">
        <v>1448</v>
      </c>
      <c r="G66" s="877" t="s">
        <v>1448</v>
      </c>
      <c r="H66" s="877" t="s">
        <v>1448</v>
      </c>
      <c r="I66" s="877" t="s">
        <v>1448</v>
      </c>
      <c r="J66" s="878" t="s">
        <v>1448</v>
      </c>
      <c r="K66" s="877"/>
      <c r="L66" s="879" t="s">
        <v>1450</v>
      </c>
      <c r="M66" s="880" t="s">
        <v>1450</v>
      </c>
      <c r="N66" s="881" t="s">
        <v>1450</v>
      </c>
      <c r="O66" s="880" t="s">
        <v>1450</v>
      </c>
      <c r="P66" s="880" t="s">
        <v>1450</v>
      </c>
      <c r="Q66" s="881" t="s">
        <v>1450</v>
      </c>
      <c r="R66" s="880" t="s">
        <v>1450</v>
      </c>
      <c r="S66" s="880" t="s">
        <v>1450</v>
      </c>
      <c r="T66" s="881" t="s">
        <v>1450</v>
      </c>
      <c r="U66" s="880">
        <v>0</v>
      </c>
      <c r="V66" s="880">
        <v>473</v>
      </c>
      <c r="W66" s="881">
        <v>0</v>
      </c>
      <c r="X66" s="880">
        <v>0</v>
      </c>
      <c r="Y66" s="880">
        <v>501</v>
      </c>
      <c r="Z66" s="881">
        <v>0</v>
      </c>
      <c r="AA66" s="880" t="s">
        <v>1450</v>
      </c>
      <c r="AB66" s="880" t="s">
        <v>1450</v>
      </c>
      <c r="AC66" s="881" t="s">
        <v>1450</v>
      </c>
      <c r="AD66" s="880" t="s">
        <v>1450</v>
      </c>
      <c r="AE66" s="880" t="s">
        <v>1450</v>
      </c>
      <c r="AF66" s="881" t="s">
        <v>1450</v>
      </c>
      <c r="AG66" s="880" t="s">
        <v>1450</v>
      </c>
      <c r="AH66" s="880" t="s">
        <v>1450</v>
      </c>
      <c r="AI66" s="881" t="s">
        <v>1450</v>
      </c>
    </row>
    <row r="67" spans="2:35" x14ac:dyDescent="0.2">
      <c r="B67" s="867">
        <v>38708000</v>
      </c>
      <c r="C67" s="876" t="s">
        <v>1447</v>
      </c>
      <c r="D67" s="877" t="s">
        <v>1447</v>
      </c>
      <c r="E67" s="877" t="s">
        <v>1447</v>
      </c>
      <c r="F67" s="877" t="s">
        <v>1447</v>
      </c>
      <c r="G67" s="877" t="s">
        <v>1447</v>
      </c>
      <c r="H67" s="877" t="s">
        <v>1447</v>
      </c>
      <c r="I67" s="877" t="s">
        <v>1447</v>
      </c>
      <c r="J67" s="878" t="s">
        <v>1447</v>
      </c>
      <c r="K67" s="877"/>
      <c r="L67" s="879">
        <v>27</v>
      </c>
      <c r="M67" s="880">
        <v>57</v>
      </c>
      <c r="N67" s="881">
        <v>0.46610000000000001</v>
      </c>
      <c r="O67" s="880">
        <v>21.652307692307694</v>
      </c>
      <c r="P67" s="880">
        <v>36</v>
      </c>
      <c r="Q67" s="881">
        <v>0.60145299145299147</v>
      </c>
      <c r="R67" s="880">
        <v>21.214883720930231</v>
      </c>
      <c r="S67" s="880">
        <v>42</v>
      </c>
      <c r="T67" s="881">
        <v>0.50511627906976742</v>
      </c>
      <c r="U67" s="880">
        <v>17.951564076690211</v>
      </c>
      <c r="V67" s="880">
        <v>38</v>
      </c>
      <c r="W67" s="881">
        <v>0.47240958096553187</v>
      </c>
      <c r="X67" s="880">
        <v>10.71422039323274</v>
      </c>
      <c r="Y67" s="880">
        <v>25</v>
      </c>
      <c r="Z67" s="881">
        <v>0.4285688157293096</v>
      </c>
      <c r="AA67" s="880">
        <v>14.651038950248459</v>
      </c>
      <c r="AB67" s="880">
        <v>34</v>
      </c>
      <c r="AC67" s="881">
        <v>0.43091291030142526</v>
      </c>
      <c r="AD67" s="880">
        <v>19.050449740853921</v>
      </c>
      <c r="AE67" s="880">
        <v>47</v>
      </c>
      <c r="AF67" s="881">
        <v>0.40532871789050895</v>
      </c>
      <c r="AG67" s="880">
        <v>19.273675900771629</v>
      </c>
      <c r="AH67" s="880">
        <v>47</v>
      </c>
      <c r="AI67" s="881">
        <v>0.4100782106547155</v>
      </c>
    </row>
    <row r="68" spans="2:35" x14ac:dyDescent="0.2">
      <c r="B68" s="867">
        <v>38750000</v>
      </c>
      <c r="C68" s="876" t="s">
        <v>1448</v>
      </c>
      <c r="D68" s="877" t="s">
        <v>1447</v>
      </c>
      <c r="E68" s="877" t="s">
        <v>1448</v>
      </c>
      <c r="F68" s="877" t="s">
        <v>1448</v>
      </c>
      <c r="G68" s="877" t="s">
        <v>1448</v>
      </c>
      <c r="H68" s="877" t="s">
        <v>1448</v>
      </c>
      <c r="I68" s="877" t="s">
        <v>1448</v>
      </c>
      <c r="J68" s="878" t="s">
        <v>1448</v>
      </c>
      <c r="K68" s="877"/>
      <c r="L68" s="879">
        <v>7</v>
      </c>
      <c r="M68" s="880">
        <v>159</v>
      </c>
      <c r="N68" s="881">
        <v>4.1300000000000003E-2</v>
      </c>
      <c r="O68" s="880">
        <v>35.621538461538464</v>
      </c>
      <c r="P68" s="880">
        <v>172</v>
      </c>
      <c r="Q68" s="881">
        <v>0.20710196779964224</v>
      </c>
      <c r="R68" s="880">
        <v>37.715348837209305</v>
      </c>
      <c r="S68" s="880">
        <v>285</v>
      </c>
      <c r="T68" s="881">
        <v>0.13233455732354144</v>
      </c>
      <c r="U68" s="880">
        <v>26.499927922733168</v>
      </c>
      <c r="V68" s="880">
        <v>274</v>
      </c>
      <c r="W68" s="881">
        <v>9.6715065411434917E-2</v>
      </c>
      <c r="X68" s="880">
        <v>31.473022405121174</v>
      </c>
      <c r="Y68" s="880">
        <v>294</v>
      </c>
      <c r="Z68" s="881">
        <v>0.10705109661605841</v>
      </c>
      <c r="AA68" s="880" t="s">
        <v>1450</v>
      </c>
      <c r="AB68" s="880" t="s">
        <v>1450</v>
      </c>
      <c r="AC68" s="881" t="s">
        <v>1450</v>
      </c>
      <c r="AD68" s="880" t="s">
        <v>1450</v>
      </c>
      <c r="AE68" s="880" t="s">
        <v>1450</v>
      </c>
      <c r="AF68" s="881" t="s">
        <v>1450</v>
      </c>
      <c r="AG68" s="880" t="s">
        <v>1450</v>
      </c>
      <c r="AH68" s="880" t="s">
        <v>1450</v>
      </c>
      <c r="AI68" s="881" t="s">
        <v>1450</v>
      </c>
    </row>
    <row r="69" spans="2:35" x14ac:dyDescent="0.2">
      <c r="B69" s="867">
        <v>38751000</v>
      </c>
      <c r="C69" s="876" t="s">
        <v>1448</v>
      </c>
      <c r="D69" s="877" t="s">
        <v>1448</v>
      </c>
      <c r="E69" s="877" t="s">
        <v>1448</v>
      </c>
      <c r="F69" s="877" t="s">
        <v>1448</v>
      </c>
      <c r="G69" s="877" t="s">
        <v>1448</v>
      </c>
      <c r="H69" s="877" t="s">
        <v>1448</v>
      </c>
      <c r="I69" s="877" t="s">
        <v>1448</v>
      </c>
      <c r="J69" s="878" t="s">
        <v>1448</v>
      </c>
      <c r="K69" s="877"/>
      <c r="L69" s="879">
        <v>0</v>
      </c>
      <c r="M69" s="880">
        <v>183</v>
      </c>
      <c r="N69" s="881">
        <v>0</v>
      </c>
      <c r="O69" s="880">
        <v>0</v>
      </c>
      <c r="P69" s="880">
        <v>209</v>
      </c>
      <c r="Q69" s="881">
        <v>0</v>
      </c>
      <c r="R69" s="880">
        <v>0</v>
      </c>
      <c r="S69" s="880">
        <v>209</v>
      </c>
      <c r="T69" s="881">
        <v>0</v>
      </c>
      <c r="U69" s="880">
        <v>0</v>
      </c>
      <c r="V69" s="880">
        <v>205</v>
      </c>
      <c r="W69" s="881">
        <v>0</v>
      </c>
      <c r="X69" s="880">
        <v>0</v>
      </c>
      <c r="Y69" s="880">
        <v>204</v>
      </c>
      <c r="Z69" s="881">
        <v>0</v>
      </c>
      <c r="AA69" s="880" t="s">
        <v>1450</v>
      </c>
      <c r="AB69" s="880" t="s">
        <v>1450</v>
      </c>
      <c r="AC69" s="881" t="s">
        <v>1450</v>
      </c>
      <c r="AD69" s="880" t="s">
        <v>1450</v>
      </c>
      <c r="AE69" s="880" t="s">
        <v>1450</v>
      </c>
      <c r="AF69" s="881" t="s">
        <v>1450</v>
      </c>
      <c r="AG69" s="880" t="s">
        <v>1450</v>
      </c>
      <c r="AH69" s="880" t="s">
        <v>1450</v>
      </c>
      <c r="AI69" s="881" t="s">
        <v>1450</v>
      </c>
    </row>
    <row r="70" spans="2:35" x14ac:dyDescent="0.2">
      <c r="B70" s="867">
        <v>38752000</v>
      </c>
      <c r="C70" s="876" t="s">
        <v>1448</v>
      </c>
      <c r="D70" s="877" t="s">
        <v>1447</v>
      </c>
      <c r="E70" s="877" t="s">
        <v>1448</v>
      </c>
      <c r="F70" s="877" t="s">
        <v>1447</v>
      </c>
      <c r="G70" s="877" t="s">
        <v>1447</v>
      </c>
      <c r="H70" s="877" t="s">
        <v>1447</v>
      </c>
      <c r="I70" s="877" t="s">
        <v>1448</v>
      </c>
      <c r="J70" s="878" t="s">
        <v>1448</v>
      </c>
      <c r="K70" s="877"/>
      <c r="L70" s="879">
        <v>25</v>
      </c>
      <c r="M70" s="880">
        <v>200</v>
      </c>
      <c r="N70" s="881">
        <v>0.12429999999999999</v>
      </c>
      <c r="O70" s="880">
        <v>35.621538461538464</v>
      </c>
      <c r="P70" s="880">
        <v>232</v>
      </c>
      <c r="Q70" s="881">
        <v>0.15354111405835544</v>
      </c>
      <c r="R70" s="880">
        <v>34.57240310077519</v>
      </c>
      <c r="S70" s="880">
        <v>236</v>
      </c>
      <c r="T70" s="881">
        <v>0.14649323347786097</v>
      </c>
      <c r="U70" s="880">
        <v>50.43534669165345</v>
      </c>
      <c r="V70" s="880">
        <v>217</v>
      </c>
      <c r="W70" s="881">
        <v>0.23242095249609884</v>
      </c>
      <c r="X70" s="880">
        <v>40.847965249199824</v>
      </c>
      <c r="Y70" s="880">
        <v>253</v>
      </c>
      <c r="Z70" s="881">
        <v>0.16145440809960404</v>
      </c>
      <c r="AA70" s="880">
        <v>51.492077494795211</v>
      </c>
      <c r="AB70" s="880">
        <v>278</v>
      </c>
      <c r="AC70" s="881">
        <v>0.18522330034098997</v>
      </c>
      <c r="AD70" s="880">
        <v>22.907105359940232</v>
      </c>
      <c r="AE70" s="880">
        <v>279</v>
      </c>
      <c r="AF70" s="881">
        <v>8.2104320286524132E-2</v>
      </c>
      <c r="AG70" s="880">
        <v>44.54450511562429</v>
      </c>
      <c r="AH70" s="880">
        <v>298</v>
      </c>
      <c r="AI70" s="881">
        <v>0.14947820508598755</v>
      </c>
    </row>
    <row r="71" spans="2:35" x14ac:dyDescent="0.2">
      <c r="B71" s="867">
        <v>38753000</v>
      </c>
      <c r="C71" s="876" t="s">
        <v>1447</v>
      </c>
      <c r="D71" s="877" t="s">
        <v>1447</v>
      </c>
      <c r="E71" s="877" t="s">
        <v>1447</v>
      </c>
      <c r="F71" s="877" t="s">
        <v>1447</v>
      </c>
      <c r="G71" s="877" t="s">
        <v>1447</v>
      </c>
      <c r="H71" s="877" t="s">
        <v>1447</v>
      </c>
      <c r="I71" s="877" t="s">
        <v>1447</v>
      </c>
      <c r="J71" s="878" t="s">
        <v>1447</v>
      </c>
      <c r="K71" s="877"/>
      <c r="L71" s="879">
        <v>29</v>
      </c>
      <c r="M71" s="880">
        <v>73</v>
      </c>
      <c r="N71" s="881">
        <v>0.40460000000000002</v>
      </c>
      <c r="O71" s="880">
        <v>57.972307692307695</v>
      </c>
      <c r="P71" s="880">
        <v>94</v>
      </c>
      <c r="Q71" s="881">
        <v>0.61672667757774147</v>
      </c>
      <c r="R71" s="880">
        <v>61.287441860465115</v>
      </c>
      <c r="S71" s="880">
        <v>101</v>
      </c>
      <c r="T71" s="881">
        <v>0.60680635505411007</v>
      </c>
      <c r="U71" s="880">
        <v>51.290183076257748</v>
      </c>
      <c r="V71" s="880">
        <v>104</v>
      </c>
      <c r="W71" s="881">
        <v>0.49317483727170913</v>
      </c>
      <c r="X71" s="880">
        <v>56.249657064471883</v>
      </c>
      <c r="Y71" s="880">
        <v>111</v>
      </c>
      <c r="Z71" s="881">
        <v>0.50675366724749449</v>
      </c>
      <c r="AA71" s="880">
        <v>59.583689672548743</v>
      </c>
      <c r="AB71" s="880">
        <v>99</v>
      </c>
      <c r="AC71" s="881">
        <v>0.6018554512378661</v>
      </c>
      <c r="AD71" s="880">
        <v>46.487949112819884</v>
      </c>
      <c r="AE71" s="880">
        <v>99</v>
      </c>
      <c r="AF71" s="881">
        <v>0.46957524356383723</v>
      </c>
      <c r="AG71" s="880">
        <v>47.595498616694442</v>
      </c>
      <c r="AH71" s="880">
        <v>106</v>
      </c>
      <c r="AI71" s="881">
        <v>0.44901413789334377</v>
      </c>
    </row>
    <row r="72" spans="2:35" x14ac:dyDescent="0.2">
      <c r="B72" s="867">
        <v>38755000</v>
      </c>
      <c r="C72" s="876" t="s">
        <v>1448</v>
      </c>
      <c r="D72" s="877" t="s">
        <v>1448</v>
      </c>
      <c r="E72" s="877" t="s">
        <v>1448</v>
      </c>
      <c r="F72" s="877" t="s">
        <v>1448</v>
      </c>
      <c r="G72" s="877" t="s">
        <v>1448</v>
      </c>
      <c r="H72" s="877" t="s">
        <v>1448</v>
      </c>
      <c r="I72" s="877" t="s">
        <v>1448</v>
      </c>
      <c r="J72" s="878" t="s">
        <v>1448</v>
      </c>
      <c r="K72" s="877"/>
      <c r="L72" s="879" t="s">
        <v>1450</v>
      </c>
      <c r="M72" s="880" t="s">
        <v>1450</v>
      </c>
      <c r="N72" s="881" t="s">
        <v>1450</v>
      </c>
      <c r="O72" s="880" t="s">
        <v>1450</v>
      </c>
      <c r="P72" s="880" t="s">
        <v>1450</v>
      </c>
      <c r="Q72" s="881" t="s">
        <v>1450</v>
      </c>
      <c r="R72" s="880" t="s">
        <v>1450</v>
      </c>
      <c r="S72" s="880" t="s">
        <v>1450</v>
      </c>
      <c r="T72" s="881" t="s">
        <v>1450</v>
      </c>
      <c r="U72" s="880">
        <v>5.1290183076257749</v>
      </c>
      <c r="V72" s="880">
        <v>48</v>
      </c>
      <c r="W72" s="881">
        <v>0.10685454807553697</v>
      </c>
      <c r="X72" s="880">
        <v>8.0356652949245557</v>
      </c>
      <c r="Y72" s="880">
        <v>59</v>
      </c>
      <c r="Z72" s="881">
        <v>0.13619771686312807</v>
      </c>
      <c r="AA72" s="880" t="s">
        <v>1450</v>
      </c>
      <c r="AB72" s="880" t="s">
        <v>1450</v>
      </c>
      <c r="AC72" s="881" t="s">
        <v>1450</v>
      </c>
      <c r="AD72" s="880" t="s">
        <v>1450</v>
      </c>
      <c r="AE72" s="880" t="s">
        <v>1450</v>
      </c>
      <c r="AF72" s="881" t="s">
        <v>1450</v>
      </c>
      <c r="AG72" s="880" t="s">
        <v>1450</v>
      </c>
      <c r="AH72" s="880" t="s">
        <v>1450</v>
      </c>
      <c r="AI72" s="881" t="s">
        <v>1450</v>
      </c>
    </row>
    <row r="73" spans="2:35" x14ac:dyDescent="0.2">
      <c r="B73" s="867">
        <v>40149000</v>
      </c>
      <c r="C73" s="876" t="s">
        <v>1447</v>
      </c>
      <c r="D73" s="877" t="s">
        <v>1447</v>
      </c>
      <c r="E73" s="877" t="s">
        <v>1447</v>
      </c>
      <c r="F73" s="877" t="s">
        <v>1447</v>
      </c>
      <c r="G73" s="877" t="s">
        <v>1447</v>
      </c>
      <c r="H73" s="877" t="s">
        <v>1447</v>
      </c>
      <c r="I73" s="877" t="s">
        <v>1447</v>
      </c>
      <c r="J73" s="878" t="s">
        <v>1448</v>
      </c>
      <c r="K73" s="877"/>
      <c r="L73" s="879">
        <v>31</v>
      </c>
      <c r="M73" s="880">
        <v>114</v>
      </c>
      <c r="N73" s="881">
        <v>0.26690000000000003</v>
      </c>
      <c r="O73" s="880">
        <v>27.719251842055545</v>
      </c>
      <c r="P73" s="880">
        <v>98</v>
      </c>
      <c r="Q73" s="881">
        <v>0.28284950859240354</v>
      </c>
      <c r="R73" s="880">
        <v>14.218528445535942</v>
      </c>
      <c r="S73" s="880">
        <v>85</v>
      </c>
      <c r="T73" s="881">
        <v>0.16727680524159932</v>
      </c>
      <c r="U73" s="880">
        <v>29.098267163851723</v>
      </c>
      <c r="V73" s="880">
        <v>62</v>
      </c>
      <c r="W73" s="881">
        <v>0.4693268897395439</v>
      </c>
      <c r="X73" s="880">
        <v>55.827759197324411</v>
      </c>
      <c r="Y73" s="880">
        <v>88</v>
      </c>
      <c r="Z73" s="881">
        <v>0.63440635451505012</v>
      </c>
      <c r="AA73" s="880">
        <v>31.208898318414413</v>
      </c>
      <c r="AB73" s="880">
        <v>78</v>
      </c>
      <c r="AC73" s="881">
        <v>0.40011408100531298</v>
      </c>
      <c r="AD73" s="880">
        <v>26.177128696293501</v>
      </c>
      <c r="AE73" s="880">
        <v>50</v>
      </c>
      <c r="AF73" s="881">
        <v>0.52354257392587</v>
      </c>
      <c r="AG73" s="880" t="s">
        <v>1450</v>
      </c>
      <c r="AH73" s="880" t="s">
        <v>1450</v>
      </c>
      <c r="AI73" s="881" t="s">
        <v>1450</v>
      </c>
    </row>
    <row r="74" spans="2:35" x14ac:dyDescent="0.2">
      <c r="B74" s="867">
        <v>40201000</v>
      </c>
      <c r="C74" s="876" t="s">
        <v>1447</v>
      </c>
      <c r="D74" s="877" t="s">
        <v>1447</v>
      </c>
      <c r="E74" s="877" t="s">
        <v>1447</v>
      </c>
      <c r="F74" s="877" t="s">
        <v>1447</v>
      </c>
      <c r="G74" s="877" t="s">
        <v>1447</v>
      </c>
      <c r="H74" s="877" t="s">
        <v>1447</v>
      </c>
      <c r="I74" s="877" t="s">
        <v>1447</v>
      </c>
      <c r="J74" s="878" t="s">
        <v>1447</v>
      </c>
      <c r="K74" s="877"/>
      <c r="L74" s="879">
        <v>340</v>
      </c>
      <c r="M74" s="880">
        <v>1719</v>
      </c>
      <c r="N74" s="881">
        <v>0.1981</v>
      </c>
      <c r="O74" s="880">
        <v>345.31456640846403</v>
      </c>
      <c r="P74" s="880">
        <v>1748.5427491733585</v>
      </c>
      <c r="Q74" s="881">
        <v>0.19748705976546185</v>
      </c>
      <c r="R74" s="880">
        <v>434.58125354770885</v>
      </c>
      <c r="S74" s="880">
        <v>1841.9444791796925</v>
      </c>
      <c r="T74" s="881">
        <v>0.2359361307900274</v>
      </c>
      <c r="U74" s="880">
        <v>350.03717214227026</v>
      </c>
      <c r="V74" s="880">
        <v>1710.6618108752982</v>
      </c>
      <c r="W74" s="881">
        <v>0.20462090748560405</v>
      </c>
      <c r="X74" s="880">
        <v>459.09478927075361</v>
      </c>
      <c r="Y74" s="880">
        <v>1663.6400410941312</v>
      </c>
      <c r="Z74" s="881">
        <v>0.27595800649809998</v>
      </c>
      <c r="AA74" s="880">
        <v>461.43725137938264</v>
      </c>
      <c r="AB74" s="880">
        <v>1648.7001586462191</v>
      </c>
      <c r="AC74" s="881">
        <v>0.27987942438137331</v>
      </c>
      <c r="AD74" s="880">
        <v>496.99384010236105</v>
      </c>
      <c r="AE74" s="880">
        <v>1622.0515387027153</v>
      </c>
      <c r="AF74" s="881">
        <v>0.30639830378006783</v>
      </c>
      <c r="AG74" s="880">
        <v>447.54482241511175</v>
      </c>
      <c r="AH74" s="880">
        <v>1643.1253905243816</v>
      </c>
      <c r="AI74" s="881">
        <v>0.27237411398790679</v>
      </c>
    </row>
    <row r="75" spans="2:35" x14ac:dyDescent="0.2">
      <c r="B75" s="867">
        <v>40210000</v>
      </c>
      <c r="C75" s="876" t="s">
        <v>1447</v>
      </c>
      <c r="D75" s="877" t="s">
        <v>1447</v>
      </c>
      <c r="E75" s="877" t="s">
        <v>1447</v>
      </c>
      <c r="F75" s="877" t="s">
        <v>1447</v>
      </c>
      <c r="G75" s="877" t="s">
        <v>1447</v>
      </c>
      <c r="H75" s="877" t="s">
        <v>1447</v>
      </c>
      <c r="I75" s="877" t="s">
        <v>1447</v>
      </c>
      <c r="J75" s="878" t="s">
        <v>1447</v>
      </c>
      <c r="K75" s="877"/>
      <c r="L75" s="879">
        <v>418</v>
      </c>
      <c r="M75" s="880">
        <v>2514</v>
      </c>
      <c r="N75" s="881">
        <v>0.1661</v>
      </c>
      <c r="O75" s="880">
        <v>423.58586812771586</v>
      </c>
      <c r="P75" s="880">
        <v>2516.2184695323572</v>
      </c>
      <c r="Q75" s="881">
        <v>0.16834224581716861</v>
      </c>
      <c r="R75" s="880">
        <v>541.17665536129778</v>
      </c>
      <c r="S75" s="880">
        <v>2661.5799674878081</v>
      </c>
      <c r="T75" s="881">
        <v>0.20332909849486863</v>
      </c>
      <c r="U75" s="880">
        <v>724.31514567943464</v>
      </c>
      <c r="V75" s="880">
        <v>2841.6536481225667</v>
      </c>
      <c r="W75" s="881">
        <v>0.25489212809519474</v>
      </c>
      <c r="X75" s="880">
        <v>858.30992319039763</v>
      </c>
      <c r="Y75" s="880">
        <v>2749.8022344933865</v>
      </c>
      <c r="Z75" s="881">
        <v>0.31213514645664309</v>
      </c>
      <c r="AA75" s="880">
        <v>695.60365560833498</v>
      </c>
      <c r="AB75" s="880">
        <v>2733.3453199365413</v>
      </c>
      <c r="AC75" s="881">
        <v>0.25448802627854006</v>
      </c>
      <c r="AD75" s="880">
        <v>777.55273959027227</v>
      </c>
      <c r="AE75" s="880">
        <v>2674.9969751955541</v>
      </c>
      <c r="AF75" s="881">
        <v>0.29067425002730318</v>
      </c>
      <c r="AG75" s="880">
        <v>723.26440051013606</v>
      </c>
      <c r="AH75" s="880">
        <v>2703.4969862375565</v>
      </c>
      <c r="AI75" s="881">
        <v>0.26752920539286401</v>
      </c>
    </row>
    <row r="76" spans="2:35" x14ac:dyDescent="0.2">
      <c r="B76" s="867">
        <v>40210700</v>
      </c>
      <c r="C76" s="876" t="s">
        <v>1447</v>
      </c>
      <c r="D76" s="877" t="s">
        <v>1448</v>
      </c>
      <c r="E76" s="877" t="s">
        <v>1448</v>
      </c>
      <c r="F76" s="877" t="s">
        <v>1448</v>
      </c>
      <c r="G76" s="877" t="s">
        <v>1448</v>
      </c>
      <c r="H76" s="877" t="s">
        <v>1448</v>
      </c>
      <c r="I76" s="877" t="s">
        <v>1448</v>
      </c>
      <c r="J76" s="878" t="s">
        <v>1448</v>
      </c>
      <c r="K76" s="877"/>
      <c r="L76" s="879">
        <v>12</v>
      </c>
      <c r="M76" s="880">
        <v>48</v>
      </c>
      <c r="N76" s="881">
        <v>0.25090000000000001</v>
      </c>
      <c r="O76" s="880">
        <v>0</v>
      </c>
      <c r="P76" s="880">
        <v>0</v>
      </c>
      <c r="Q76" s="881" t="s">
        <v>1450</v>
      </c>
      <c r="R76" s="880" t="s">
        <v>1450</v>
      </c>
      <c r="S76" s="880" t="s">
        <v>1450</v>
      </c>
      <c r="T76" s="881" t="s">
        <v>1450</v>
      </c>
      <c r="U76" s="880" t="s">
        <v>1450</v>
      </c>
      <c r="V76" s="880" t="s">
        <v>1450</v>
      </c>
      <c r="W76" s="881" t="s">
        <v>1450</v>
      </c>
      <c r="X76" s="880" t="s">
        <v>1450</v>
      </c>
      <c r="Y76" s="880" t="s">
        <v>1450</v>
      </c>
      <c r="Z76" s="881" t="s">
        <v>1450</v>
      </c>
      <c r="AA76" s="880" t="s">
        <v>1450</v>
      </c>
      <c r="AB76" s="880" t="s">
        <v>1450</v>
      </c>
      <c r="AC76" s="881" t="s">
        <v>1450</v>
      </c>
      <c r="AD76" s="880" t="s">
        <v>1450</v>
      </c>
      <c r="AE76" s="880" t="s">
        <v>1450</v>
      </c>
      <c r="AF76" s="881" t="s">
        <v>1450</v>
      </c>
      <c r="AG76" s="880" t="s">
        <v>1450</v>
      </c>
      <c r="AH76" s="880" t="s">
        <v>1450</v>
      </c>
      <c r="AI76" s="881" t="s">
        <v>1450</v>
      </c>
    </row>
    <row r="77" spans="2:35" x14ac:dyDescent="0.2">
      <c r="B77" s="867">
        <v>40220000</v>
      </c>
      <c r="C77" s="876" t="s">
        <v>1447</v>
      </c>
      <c r="D77" s="877" t="s">
        <v>1447</v>
      </c>
      <c r="E77" s="877" t="s">
        <v>1447</v>
      </c>
      <c r="F77" s="877" t="s">
        <v>1447</v>
      </c>
      <c r="G77" s="877" t="s">
        <v>1447</v>
      </c>
      <c r="H77" s="877" t="s">
        <v>1447</v>
      </c>
      <c r="I77" s="877" t="s">
        <v>1447</v>
      </c>
      <c r="J77" s="878" t="s">
        <v>1447</v>
      </c>
      <c r="K77" s="877"/>
      <c r="L77" s="879">
        <v>590</v>
      </c>
      <c r="M77" s="880">
        <v>1219</v>
      </c>
      <c r="N77" s="881">
        <v>0.4839</v>
      </c>
      <c r="O77" s="880">
        <v>596.70357075382583</v>
      </c>
      <c r="P77" s="880">
        <v>1185.6428908833254</v>
      </c>
      <c r="Q77" s="881">
        <v>0.50327427874110631</v>
      </c>
      <c r="R77" s="880">
        <v>781.01630944187298</v>
      </c>
      <c r="S77" s="880">
        <v>1251.8069275978492</v>
      </c>
      <c r="T77" s="881">
        <v>0.62391115772190342</v>
      </c>
      <c r="U77" s="880">
        <v>527.47983835289483</v>
      </c>
      <c r="V77" s="880">
        <v>1298.1479341956549</v>
      </c>
      <c r="W77" s="881">
        <v>0.40633261006552884</v>
      </c>
      <c r="X77" s="880">
        <v>625.64124364728582</v>
      </c>
      <c r="Y77" s="880">
        <v>1258.6304096571209</v>
      </c>
      <c r="Z77" s="881">
        <v>0.49708098489192271</v>
      </c>
      <c r="AA77" s="880">
        <v>548.43649604860866</v>
      </c>
      <c r="AB77" s="880">
        <v>1233.8085668958222</v>
      </c>
      <c r="AC77" s="881">
        <v>0.44450696061256673</v>
      </c>
      <c r="AD77" s="880">
        <v>628.30766880635406</v>
      </c>
      <c r="AE77" s="880">
        <v>1207.6153876160804</v>
      </c>
      <c r="AF77" s="881">
        <v>0.52028789567403455</v>
      </c>
      <c r="AG77" s="880">
        <v>668.32028168685224</v>
      </c>
      <c r="AH77" s="880">
        <v>1251.6189751099798</v>
      </c>
      <c r="AI77" s="881">
        <v>0.53396464497362461</v>
      </c>
    </row>
    <row r="78" spans="2:35" x14ac:dyDescent="0.2">
      <c r="B78" s="867">
        <v>40240000</v>
      </c>
      <c r="C78" s="876" t="s">
        <v>1447</v>
      </c>
      <c r="D78" s="877" t="s">
        <v>1447</v>
      </c>
      <c r="E78" s="877" t="s">
        <v>1447</v>
      </c>
      <c r="F78" s="877" t="s">
        <v>1447</v>
      </c>
      <c r="G78" s="877" t="s">
        <v>1447</v>
      </c>
      <c r="H78" s="877" t="s">
        <v>1447</v>
      </c>
      <c r="I78" s="877" t="s">
        <v>1447</v>
      </c>
      <c r="J78" s="878" t="s">
        <v>1447</v>
      </c>
      <c r="K78" s="877"/>
      <c r="L78" s="879">
        <v>299</v>
      </c>
      <c r="M78" s="880">
        <v>1279</v>
      </c>
      <c r="N78" s="881">
        <v>0.23350000000000001</v>
      </c>
      <c r="O78" s="880">
        <v>301.11430190818061</v>
      </c>
      <c r="P78" s="880">
        <v>1281.0179499291451</v>
      </c>
      <c r="Q78" s="881">
        <v>0.23505861250799465</v>
      </c>
      <c r="R78" s="880">
        <v>381.28355264091437</v>
      </c>
      <c r="S78" s="880">
        <v>1356.1241715643366</v>
      </c>
      <c r="T78" s="881">
        <v>0.28115681486680566</v>
      </c>
      <c r="U78" s="880">
        <v>451.84853800082533</v>
      </c>
      <c r="V78" s="880">
        <v>1284.4626397086524</v>
      </c>
      <c r="W78" s="881">
        <v>0.35178021067496024</v>
      </c>
      <c r="X78" s="880">
        <v>461.85206093339195</v>
      </c>
      <c r="Y78" s="880">
        <v>1245.0654937716706</v>
      </c>
      <c r="Z78" s="881">
        <v>0.37094599701282044</v>
      </c>
      <c r="AA78" s="880">
        <v>400.20619655714171</v>
      </c>
      <c r="AB78" s="880">
        <v>1232.8207297726071</v>
      </c>
      <c r="AC78" s="881">
        <v>0.32462643342390862</v>
      </c>
      <c r="AD78" s="880">
        <v>499.99343339336042</v>
      </c>
      <c r="AE78" s="880">
        <v>1210.5898097530658</v>
      </c>
      <c r="AF78" s="881">
        <v>0.41301639032906473</v>
      </c>
      <c r="AG78" s="880">
        <v>551.43915619004849</v>
      </c>
      <c r="AH78" s="880">
        <v>1224.5840052476042</v>
      </c>
      <c r="AI78" s="881">
        <v>0.45030733198132089</v>
      </c>
    </row>
    <row r="79" spans="2:35" x14ac:dyDescent="0.2">
      <c r="B79" s="867">
        <v>40241000</v>
      </c>
      <c r="C79" s="876" t="s">
        <v>1447</v>
      </c>
      <c r="D79" s="877" t="s">
        <v>1447</v>
      </c>
      <c r="E79" s="877" t="s">
        <v>1447</v>
      </c>
      <c r="F79" s="877" t="s">
        <v>1447</v>
      </c>
      <c r="G79" s="877" t="s">
        <v>1447</v>
      </c>
      <c r="H79" s="877" t="s">
        <v>1447</v>
      </c>
      <c r="I79" s="877" t="s">
        <v>1447</v>
      </c>
      <c r="J79" s="878" t="s">
        <v>1447</v>
      </c>
      <c r="K79" s="877"/>
      <c r="L79" s="879">
        <v>95</v>
      </c>
      <c r="M79" s="880">
        <v>300</v>
      </c>
      <c r="N79" s="881">
        <v>0.31809999999999999</v>
      </c>
      <c r="O79" s="880">
        <v>96.688078594369927</v>
      </c>
      <c r="P79" s="880">
        <v>300.15092111478509</v>
      </c>
      <c r="Q79" s="881">
        <v>0.32213154047724551</v>
      </c>
      <c r="R79" s="880">
        <v>122.99469440029496</v>
      </c>
      <c r="S79" s="880">
        <v>317.91921970739025</v>
      </c>
      <c r="T79" s="881">
        <v>0.38687404465039288</v>
      </c>
      <c r="U79" s="880">
        <v>105.68989408173812</v>
      </c>
      <c r="V79" s="880">
        <v>210.16702247896521</v>
      </c>
      <c r="W79" s="881">
        <v>0.50288524258041578</v>
      </c>
      <c r="X79" s="880">
        <v>92.186594075835842</v>
      </c>
      <c r="Y79" s="880">
        <v>203.47373828175165</v>
      </c>
      <c r="Z79" s="881">
        <v>0.4530638442794242</v>
      </c>
      <c r="AA79" s="880">
        <v>77.07038849367143</v>
      </c>
      <c r="AB79" s="880">
        <v>201.51877313590694</v>
      </c>
      <c r="AC79" s="881">
        <v>0.38244768611058455</v>
      </c>
      <c r="AD79" s="880">
        <v>82.187836285528377</v>
      </c>
      <c r="AE79" s="880">
        <v>197.30333508669949</v>
      </c>
      <c r="AF79" s="881">
        <v>0.41655573763825737</v>
      </c>
      <c r="AG79" s="880">
        <v>75.922782373992177</v>
      </c>
      <c r="AH79" s="880">
        <v>200.25903601759677</v>
      </c>
      <c r="AI79" s="881">
        <v>0.37912287946557799</v>
      </c>
    </row>
    <row r="80" spans="2:35" x14ac:dyDescent="0.2">
      <c r="B80" s="867">
        <v>40305000</v>
      </c>
      <c r="C80" s="876" t="s">
        <v>1447</v>
      </c>
      <c r="D80" s="877" t="s">
        <v>1447</v>
      </c>
      <c r="E80" s="877" t="s">
        <v>1447</v>
      </c>
      <c r="F80" s="877" t="s">
        <v>1447</v>
      </c>
      <c r="G80" s="877" t="s">
        <v>1447</v>
      </c>
      <c r="H80" s="877" t="s">
        <v>1447</v>
      </c>
      <c r="I80" s="877" t="s">
        <v>1447</v>
      </c>
      <c r="J80" s="878" t="s">
        <v>1447</v>
      </c>
      <c r="K80" s="877"/>
      <c r="L80" s="879">
        <v>19</v>
      </c>
      <c r="M80" s="880">
        <v>71</v>
      </c>
      <c r="N80" s="881">
        <v>0.26869999999999999</v>
      </c>
      <c r="O80" s="880">
        <v>19.337615718873984</v>
      </c>
      <c r="P80" s="880">
        <v>71.063769485120446</v>
      </c>
      <c r="Q80" s="881">
        <v>0.2721163802452522</v>
      </c>
      <c r="R80" s="880">
        <v>36.898408320088485</v>
      </c>
      <c r="S80" s="880">
        <v>112.2652244591722</v>
      </c>
      <c r="T80" s="881">
        <v>0.32867175474723637</v>
      </c>
      <c r="U80" s="880">
        <v>24.240801394894063</v>
      </c>
      <c r="V80" s="880">
        <v>99.707145548160241</v>
      </c>
      <c r="W80" s="881">
        <v>0.24312000169722386</v>
      </c>
      <c r="X80" s="880">
        <v>28.630576507875141</v>
      </c>
      <c r="Y80" s="880">
        <v>96.89225632464364</v>
      </c>
      <c r="Z80" s="881">
        <v>0.29548879955841445</v>
      </c>
      <c r="AA80" s="880">
        <v>24.705049915244484</v>
      </c>
      <c r="AB80" s="880">
        <v>95.820200951877325</v>
      </c>
      <c r="AC80" s="881">
        <v>0.25782715617192054</v>
      </c>
      <c r="AD80" s="880">
        <v>28.062521715398208</v>
      </c>
      <c r="AE80" s="880">
        <v>94.190034337871609</v>
      </c>
      <c r="AF80" s="881">
        <v>0.29793514688331446</v>
      </c>
      <c r="AG80" s="880">
        <v>24.974599465129007</v>
      </c>
      <c r="AH80" s="880">
        <v>95.123042108358462</v>
      </c>
      <c r="AI80" s="881">
        <v>0.26255047054402908</v>
      </c>
    </row>
    <row r="81" spans="2:35" x14ac:dyDescent="0.2">
      <c r="B81" s="867">
        <v>40312000</v>
      </c>
      <c r="C81" s="876" t="s">
        <v>1447</v>
      </c>
      <c r="D81" s="877" t="s">
        <v>1447</v>
      </c>
      <c r="E81" s="877" t="s">
        <v>1447</v>
      </c>
      <c r="F81" s="877" t="s">
        <v>1447</v>
      </c>
      <c r="G81" s="877" t="s">
        <v>1447</v>
      </c>
      <c r="H81" s="877" t="s">
        <v>1447</v>
      </c>
      <c r="I81" s="877" t="s">
        <v>1447</v>
      </c>
      <c r="J81" s="878" t="s">
        <v>1447</v>
      </c>
      <c r="K81" s="877"/>
      <c r="L81" s="879">
        <v>60</v>
      </c>
      <c r="M81" s="880">
        <v>219</v>
      </c>
      <c r="N81" s="881">
        <v>0.27310000000000001</v>
      </c>
      <c r="O81" s="880">
        <v>60.775363687889666</v>
      </c>
      <c r="P81" s="880">
        <v>218.80160604629191</v>
      </c>
      <c r="Q81" s="881">
        <v>0.27776470559832822</v>
      </c>
      <c r="R81" s="880">
        <v>95.320888160228591</v>
      </c>
      <c r="S81" s="880">
        <v>320.89971239214708</v>
      </c>
      <c r="T81" s="881">
        <v>0.29704261013404776</v>
      </c>
      <c r="U81" s="880">
        <v>46.5423386781966</v>
      </c>
      <c r="V81" s="880">
        <v>231.67248524425469</v>
      </c>
      <c r="W81" s="881">
        <v>0.20089713557968067</v>
      </c>
      <c r="X81" s="880">
        <v>57.122383688471253</v>
      </c>
      <c r="Y81" s="880">
        <v>223.82111210992679</v>
      </c>
      <c r="Z81" s="881">
        <v>0.25521445742980825</v>
      </c>
      <c r="AA81" s="880">
        <v>49.410099830488967</v>
      </c>
      <c r="AB81" s="880">
        <v>222.26335272342678</v>
      </c>
      <c r="AC81" s="881">
        <v>0.22230430354378927</v>
      </c>
      <c r="AD81" s="880">
        <v>57.124907861129536</v>
      </c>
      <c r="AE81" s="880">
        <v>218.12429004559743</v>
      </c>
      <c r="AF81" s="881">
        <v>0.26189154747134286</v>
      </c>
      <c r="AG81" s="880">
        <v>53.945134844678655</v>
      </c>
      <c r="AH81" s="880">
        <v>220.28493961935646</v>
      </c>
      <c r="AI81" s="881">
        <v>0.24488798434379438</v>
      </c>
    </row>
    <row r="82" spans="2:35" x14ac:dyDescent="0.2">
      <c r="B82" s="867">
        <v>40333000</v>
      </c>
      <c r="C82" s="876" t="s">
        <v>1448</v>
      </c>
      <c r="D82" s="877" t="s">
        <v>1448</v>
      </c>
      <c r="E82" s="877" t="s">
        <v>1447</v>
      </c>
      <c r="F82" s="877" t="s">
        <v>1447</v>
      </c>
      <c r="G82" s="877" t="s">
        <v>1447</v>
      </c>
      <c r="H82" s="877" t="s">
        <v>1447</v>
      </c>
      <c r="I82" s="877" t="s">
        <v>1447</v>
      </c>
      <c r="J82" s="878" t="s">
        <v>1447</v>
      </c>
      <c r="K82" s="877"/>
      <c r="L82" s="879">
        <v>9</v>
      </c>
      <c r="M82" s="880">
        <v>48</v>
      </c>
      <c r="N82" s="881">
        <v>0.19070000000000001</v>
      </c>
      <c r="O82" s="880">
        <v>9.2083884375590408</v>
      </c>
      <c r="P82" s="880">
        <v>47.687529522909777</v>
      </c>
      <c r="Q82" s="881">
        <v>0.19309845843734047</v>
      </c>
      <c r="R82" s="880">
        <v>13.324425226698621</v>
      </c>
      <c r="S82" s="880">
        <v>82.460297611604346</v>
      </c>
      <c r="T82" s="881">
        <v>0.16158594636000345</v>
      </c>
      <c r="U82" s="880">
        <v>58.177923347745754</v>
      </c>
      <c r="V82" s="880">
        <v>107.52731382644731</v>
      </c>
      <c r="W82" s="881">
        <v>0.54105251286800371</v>
      </c>
      <c r="X82" s="880">
        <v>62.636927013747915</v>
      </c>
      <c r="Y82" s="880">
        <v>103.6747142673687</v>
      </c>
      <c r="Z82" s="881">
        <v>0.60416782873606334</v>
      </c>
      <c r="AA82" s="880">
        <v>59.260895656948918</v>
      </c>
      <c r="AB82" s="880">
        <v>103.72289793759916</v>
      </c>
      <c r="AC82" s="881">
        <v>0.57133860348368715</v>
      </c>
      <c r="AD82" s="880">
        <v>49.125992418464577</v>
      </c>
      <c r="AE82" s="880">
        <v>101.13035265750428</v>
      </c>
      <c r="AF82" s="881">
        <v>0.48576902114480297</v>
      </c>
      <c r="AG82" s="880">
        <v>48.950214951652853</v>
      </c>
      <c r="AH82" s="880">
        <v>102.13210836897434</v>
      </c>
      <c r="AI82" s="881">
        <v>0.47928330995390411</v>
      </c>
    </row>
    <row r="83" spans="2:35" x14ac:dyDescent="0.2">
      <c r="B83" s="867">
        <v>40899000</v>
      </c>
      <c r="C83" s="876" t="s">
        <v>1448</v>
      </c>
      <c r="D83" s="877" t="s">
        <v>1447</v>
      </c>
      <c r="E83" s="877" t="s">
        <v>1448</v>
      </c>
      <c r="F83" s="877" t="s">
        <v>1448</v>
      </c>
      <c r="G83" s="877" t="s">
        <v>1448</v>
      </c>
      <c r="H83" s="877" t="s">
        <v>1448</v>
      </c>
      <c r="I83" s="877" t="s">
        <v>1448</v>
      </c>
      <c r="J83" s="878" t="s">
        <v>1448</v>
      </c>
      <c r="K83" s="877"/>
      <c r="L83" s="879" t="s">
        <v>1450</v>
      </c>
      <c r="M83" s="880" t="s">
        <v>1450</v>
      </c>
      <c r="N83" s="881" t="s">
        <v>1450</v>
      </c>
      <c r="O83" s="880">
        <v>26.704326468921217</v>
      </c>
      <c r="P83" s="880">
        <v>145.86773736419462</v>
      </c>
      <c r="Q83" s="881">
        <v>0.18307219232617086</v>
      </c>
      <c r="R83" s="880" t="s">
        <v>1450</v>
      </c>
      <c r="S83" s="880" t="s">
        <v>1450</v>
      </c>
      <c r="T83" s="881" t="s">
        <v>1450</v>
      </c>
      <c r="U83" s="880" t="s">
        <v>1450</v>
      </c>
      <c r="V83" s="880" t="s">
        <v>1450</v>
      </c>
      <c r="W83" s="881" t="s">
        <v>1450</v>
      </c>
      <c r="X83" s="880" t="s">
        <v>1450</v>
      </c>
      <c r="Y83" s="880" t="s">
        <v>1450</v>
      </c>
      <c r="Z83" s="881" t="s">
        <v>1450</v>
      </c>
      <c r="AA83" s="880" t="s">
        <v>1450</v>
      </c>
      <c r="AB83" s="880" t="s">
        <v>1450</v>
      </c>
      <c r="AC83" s="881" t="s">
        <v>1450</v>
      </c>
      <c r="AD83" s="880" t="s">
        <v>1450</v>
      </c>
      <c r="AE83" s="880" t="s">
        <v>1450</v>
      </c>
      <c r="AF83" s="881" t="s">
        <v>1450</v>
      </c>
      <c r="AG83" s="880" t="s">
        <v>1450</v>
      </c>
      <c r="AH83" s="880" t="s">
        <v>1450</v>
      </c>
      <c r="AI83" s="881" t="s">
        <v>1450</v>
      </c>
    </row>
    <row r="84" spans="2:35" x14ac:dyDescent="0.2">
      <c r="B84" s="867">
        <v>40900000</v>
      </c>
      <c r="C84" s="876" t="s">
        <v>1448</v>
      </c>
      <c r="D84" s="877" t="s">
        <v>1448</v>
      </c>
      <c r="E84" s="877" t="s">
        <v>1448</v>
      </c>
      <c r="F84" s="877" t="s">
        <v>1448</v>
      </c>
      <c r="G84" s="877" t="s">
        <v>1448</v>
      </c>
      <c r="H84" s="877" t="s">
        <v>1448</v>
      </c>
      <c r="I84" s="877" t="s">
        <v>1448</v>
      </c>
      <c r="J84" s="878" t="s">
        <v>1448</v>
      </c>
      <c r="K84" s="877"/>
      <c r="L84" s="879" t="s">
        <v>1450</v>
      </c>
      <c r="M84" s="880" t="s">
        <v>1450</v>
      </c>
      <c r="N84" s="881" t="s">
        <v>1450</v>
      </c>
      <c r="O84" s="880" t="s">
        <v>1450</v>
      </c>
      <c r="P84" s="880" t="s">
        <v>1450</v>
      </c>
      <c r="Q84" s="881" t="s">
        <v>1450</v>
      </c>
      <c r="R84" s="880" t="s">
        <v>1450</v>
      </c>
      <c r="S84" s="880" t="s">
        <v>1450</v>
      </c>
      <c r="T84" s="881" t="s">
        <v>1450</v>
      </c>
      <c r="U84" s="880">
        <v>0</v>
      </c>
      <c r="V84" s="880">
        <v>0</v>
      </c>
      <c r="W84" s="881">
        <v>0</v>
      </c>
      <c r="X84" s="880">
        <v>0</v>
      </c>
      <c r="Y84" s="880">
        <v>0</v>
      </c>
      <c r="Z84" s="881">
        <v>0</v>
      </c>
      <c r="AA84" s="880" t="s">
        <v>1450</v>
      </c>
      <c r="AB84" s="880" t="s">
        <v>1450</v>
      </c>
      <c r="AC84" s="881" t="s">
        <v>1450</v>
      </c>
      <c r="AD84" s="880" t="s">
        <v>1450</v>
      </c>
      <c r="AE84" s="880" t="s">
        <v>1450</v>
      </c>
      <c r="AF84" s="881" t="s">
        <v>1450</v>
      </c>
      <c r="AG84" s="880" t="s">
        <v>1450</v>
      </c>
      <c r="AH84" s="880" t="s">
        <v>1450</v>
      </c>
      <c r="AI84" s="881" t="s">
        <v>1450</v>
      </c>
    </row>
    <row r="85" spans="2:35" x14ac:dyDescent="0.2">
      <c r="B85" s="867">
        <v>40999000</v>
      </c>
      <c r="C85" s="876" t="s">
        <v>1448</v>
      </c>
      <c r="D85" s="877" t="s">
        <v>1447</v>
      </c>
      <c r="E85" s="877" t="s">
        <v>1448</v>
      </c>
      <c r="F85" s="877" t="s">
        <v>1448</v>
      </c>
      <c r="G85" s="877" t="s">
        <v>1448</v>
      </c>
      <c r="H85" s="877" t="s">
        <v>1448</v>
      </c>
      <c r="I85" s="877" t="s">
        <v>1448</v>
      </c>
      <c r="J85" s="878" t="s">
        <v>1448</v>
      </c>
      <c r="K85" s="877"/>
      <c r="L85" s="879" t="s">
        <v>1450</v>
      </c>
      <c r="M85" s="880" t="s">
        <v>1450</v>
      </c>
      <c r="N85" s="881" t="s">
        <v>1450</v>
      </c>
      <c r="O85" s="880">
        <v>167.59266956357453</v>
      </c>
      <c r="P85" s="880">
        <v>403.00637694851207</v>
      </c>
      <c r="Q85" s="881">
        <v>0.41585612325183158</v>
      </c>
      <c r="R85" s="880">
        <v>0</v>
      </c>
      <c r="S85" s="880">
        <v>0</v>
      </c>
      <c r="T85" s="881">
        <v>0</v>
      </c>
      <c r="U85" s="880" t="s">
        <v>1450</v>
      </c>
      <c r="V85" s="880" t="s">
        <v>1450</v>
      </c>
      <c r="W85" s="881" t="s">
        <v>1450</v>
      </c>
      <c r="X85" s="880" t="s">
        <v>1450</v>
      </c>
      <c r="Y85" s="880" t="s">
        <v>1450</v>
      </c>
      <c r="Z85" s="881" t="s">
        <v>1450</v>
      </c>
      <c r="AA85" s="880" t="s">
        <v>1450</v>
      </c>
      <c r="AB85" s="880" t="s">
        <v>1450</v>
      </c>
      <c r="AC85" s="881" t="s">
        <v>1450</v>
      </c>
      <c r="AD85" s="880" t="s">
        <v>1450</v>
      </c>
      <c r="AE85" s="880" t="s">
        <v>1450</v>
      </c>
      <c r="AF85" s="881" t="s">
        <v>1450</v>
      </c>
      <c r="AG85" s="880" t="s">
        <v>1450</v>
      </c>
      <c r="AH85" s="880" t="s">
        <v>1450</v>
      </c>
      <c r="AI85" s="881" t="s">
        <v>1450</v>
      </c>
    </row>
    <row r="86" spans="2:35" x14ac:dyDescent="0.2">
      <c r="B86" s="867">
        <v>48701000</v>
      </c>
      <c r="C86" s="876" t="s">
        <v>1447</v>
      </c>
      <c r="D86" s="877" t="s">
        <v>1447</v>
      </c>
      <c r="E86" s="877" t="s">
        <v>1447</v>
      </c>
      <c r="F86" s="877" t="s">
        <v>1447</v>
      </c>
      <c r="G86" s="877" t="s">
        <v>1447</v>
      </c>
      <c r="H86" s="877" t="s">
        <v>1447</v>
      </c>
      <c r="I86" s="877" t="s">
        <v>1447</v>
      </c>
      <c r="J86" s="878" t="s">
        <v>1447</v>
      </c>
      <c r="K86" s="877"/>
      <c r="L86" s="879">
        <v>94</v>
      </c>
      <c r="M86" s="880">
        <v>234</v>
      </c>
      <c r="N86" s="881">
        <v>0.39939999999999998</v>
      </c>
      <c r="O86" s="880">
        <v>92.397506140185143</v>
      </c>
      <c r="P86" s="880">
        <v>254</v>
      </c>
      <c r="Q86" s="881">
        <v>0.36376970921332735</v>
      </c>
      <c r="R86" s="880">
        <v>107.37440446801281</v>
      </c>
      <c r="S86" s="880">
        <v>269</v>
      </c>
      <c r="T86" s="881">
        <v>0.39916135489967586</v>
      </c>
      <c r="U86" s="880">
        <v>116.39306865540689</v>
      </c>
      <c r="V86" s="880">
        <v>284</v>
      </c>
      <c r="W86" s="881">
        <v>0.409834748786644</v>
      </c>
      <c r="X86" s="880">
        <v>192.22512541806017</v>
      </c>
      <c r="Y86" s="880">
        <v>303</v>
      </c>
      <c r="Z86" s="881">
        <v>0.63440635451505012</v>
      </c>
      <c r="AA86" s="880">
        <v>128.88119120382248</v>
      </c>
      <c r="AB86" s="880">
        <v>295</v>
      </c>
      <c r="AC86" s="881">
        <v>0.43688539391126263</v>
      </c>
      <c r="AD86" s="880">
        <v>128.15885924227027</v>
      </c>
      <c r="AE86" s="880">
        <v>305</v>
      </c>
      <c r="AF86" s="881">
        <v>0.42019298112219761</v>
      </c>
      <c r="AG86" s="880">
        <v>124.39840115158215</v>
      </c>
      <c r="AH86" s="880">
        <v>305</v>
      </c>
      <c r="AI86" s="881">
        <v>0.40786361033305624</v>
      </c>
    </row>
    <row r="87" spans="2:35" x14ac:dyDescent="0.2">
      <c r="B87" s="867">
        <v>48703000</v>
      </c>
      <c r="C87" s="876" t="s">
        <v>1447</v>
      </c>
      <c r="D87" s="877" t="s">
        <v>1447</v>
      </c>
      <c r="E87" s="877" t="s">
        <v>1447</v>
      </c>
      <c r="F87" s="877" t="s">
        <v>1447</v>
      </c>
      <c r="G87" s="877" t="s">
        <v>1447</v>
      </c>
      <c r="H87" s="877" t="s">
        <v>1448</v>
      </c>
      <c r="I87" s="877" t="s">
        <v>1448</v>
      </c>
      <c r="J87" s="878" t="s">
        <v>1448</v>
      </c>
      <c r="K87" s="877"/>
      <c r="L87" s="879">
        <v>25</v>
      </c>
      <c r="M87" s="880">
        <v>66</v>
      </c>
      <c r="N87" s="881">
        <v>0.38350000000000001</v>
      </c>
      <c r="O87" s="880">
        <v>23.939353863593425</v>
      </c>
      <c r="P87" s="880">
        <v>86</v>
      </c>
      <c r="Q87" s="881">
        <v>0.27836457980922585</v>
      </c>
      <c r="R87" s="880">
        <v>10.296175770905338</v>
      </c>
      <c r="S87" s="880">
        <v>28</v>
      </c>
      <c r="T87" s="881">
        <v>0.36772056324661923</v>
      </c>
      <c r="U87" s="880">
        <v>12.078525992542225</v>
      </c>
      <c r="V87" s="880">
        <v>31</v>
      </c>
      <c r="W87" s="881">
        <v>0.38962987072716854</v>
      </c>
      <c r="X87" s="880">
        <v>31.720317725752505</v>
      </c>
      <c r="Y87" s="880">
        <v>50</v>
      </c>
      <c r="Z87" s="881">
        <v>0.63440635451505012</v>
      </c>
      <c r="AA87" s="880" t="s">
        <v>1450</v>
      </c>
      <c r="AB87" s="880" t="s">
        <v>1450</v>
      </c>
      <c r="AC87" s="881" t="s">
        <v>1450</v>
      </c>
      <c r="AD87" s="880" t="s">
        <v>1450</v>
      </c>
      <c r="AE87" s="880" t="s">
        <v>1450</v>
      </c>
      <c r="AF87" s="881" t="s">
        <v>1450</v>
      </c>
      <c r="AG87" s="880" t="s">
        <v>1450</v>
      </c>
      <c r="AH87" s="880" t="s">
        <v>1450</v>
      </c>
      <c r="AI87" s="881" t="s">
        <v>1450</v>
      </c>
    </row>
    <row r="88" spans="2:35" x14ac:dyDescent="0.2">
      <c r="B88" s="867">
        <v>48750000</v>
      </c>
      <c r="C88" s="876" t="s">
        <v>1447</v>
      </c>
      <c r="D88" s="877" t="s">
        <v>1447</v>
      </c>
      <c r="E88" s="877" t="s">
        <v>1448</v>
      </c>
      <c r="F88" s="877" t="s">
        <v>1447</v>
      </c>
      <c r="G88" s="877" t="s">
        <v>1447</v>
      </c>
      <c r="H88" s="877" t="s">
        <v>1448</v>
      </c>
      <c r="I88" s="877" t="s">
        <v>1448</v>
      </c>
      <c r="J88" s="878" t="s">
        <v>1448</v>
      </c>
      <c r="K88" s="877"/>
      <c r="L88" s="879">
        <v>25</v>
      </c>
      <c r="M88" s="880">
        <v>62</v>
      </c>
      <c r="N88" s="881">
        <v>0.3972</v>
      </c>
      <c r="O88" s="880">
        <v>17.639523899489891</v>
      </c>
      <c r="P88" s="880">
        <v>46</v>
      </c>
      <c r="Q88" s="881">
        <v>0.38346791085847587</v>
      </c>
      <c r="R88" s="880">
        <v>6.3738230962747329</v>
      </c>
      <c r="S88" s="880">
        <v>34</v>
      </c>
      <c r="T88" s="881">
        <v>0.18746538518455097</v>
      </c>
      <c r="U88" s="880">
        <v>10.980478175038385</v>
      </c>
      <c r="V88" s="880">
        <v>42</v>
      </c>
      <c r="W88" s="881">
        <v>0.26143995654853297</v>
      </c>
      <c r="X88" s="880">
        <v>23.473035117056856</v>
      </c>
      <c r="Y88" s="880">
        <v>37</v>
      </c>
      <c r="Z88" s="881">
        <v>0.63440635451505012</v>
      </c>
      <c r="AA88" s="880" t="s">
        <v>1450</v>
      </c>
      <c r="AB88" s="880" t="s">
        <v>1450</v>
      </c>
      <c r="AC88" s="881" t="s">
        <v>1450</v>
      </c>
      <c r="AD88" s="880" t="s">
        <v>1450</v>
      </c>
      <c r="AE88" s="880" t="s">
        <v>1450</v>
      </c>
      <c r="AF88" s="881" t="s">
        <v>1450</v>
      </c>
      <c r="AG88" s="880" t="s">
        <v>1450</v>
      </c>
      <c r="AH88" s="880" t="s">
        <v>1450</v>
      </c>
      <c r="AI88" s="881" t="s">
        <v>1450</v>
      </c>
    </row>
    <row r="89" spans="2:35" x14ac:dyDescent="0.2">
      <c r="B89" s="867">
        <v>50199000</v>
      </c>
      <c r="C89" s="876" t="s">
        <v>1447</v>
      </c>
      <c r="D89" s="877" t="s">
        <v>1447</v>
      </c>
      <c r="E89" s="877" t="s">
        <v>1447</v>
      </c>
      <c r="F89" s="877" t="s">
        <v>1447</v>
      </c>
      <c r="G89" s="877" t="s">
        <v>1447</v>
      </c>
      <c r="H89" s="877" t="s">
        <v>1447</v>
      </c>
      <c r="I89" s="877" t="s">
        <v>1447</v>
      </c>
      <c r="J89" s="878" t="s">
        <v>1447</v>
      </c>
      <c r="K89" s="877"/>
      <c r="L89" s="879">
        <v>16</v>
      </c>
      <c r="M89" s="880">
        <v>70</v>
      </c>
      <c r="N89" s="881">
        <v>0.22090000000000001</v>
      </c>
      <c r="O89" s="880">
        <v>15.14278914802475</v>
      </c>
      <c r="P89" s="880">
        <v>42</v>
      </c>
      <c r="Q89" s="881">
        <v>0.36054259876249406</v>
      </c>
      <c r="R89" s="880">
        <v>12.228744939271255</v>
      </c>
      <c r="S89" s="880">
        <v>45</v>
      </c>
      <c r="T89" s="881">
        <v>0.27174988753936125</v>
      </c>
      <c r="U89" s="880">
        <v>17.047970479704798</v>
      </c>
      <c r="V89" s="880">
        <v>40</v>
      </c>
      <c r="W89" s="881">
        <v>0.42619926199261993</v>
      </c>
      <c r="X89" s="880">
        <v>11.803455723542115</v>
      </c>
      <c r="Y89" s="880">
        <v>41</v>
      </c>
      <c r="Z89" s="881">
        <v>0.28788916398883208</v>
      </c>
      <c r="AA89" s="880">
        <v>16.443376389306099</v>
      </c>
      <c r="AB89" s="880">
        <v>46</v>
      </c>
      <c r="AC89" s="881">
        <v>0.35746470411534997</v>
      </c>
      <c r="AD89" s="880">
        <v>22.064472320503199</v>
      </c>
      <c r="AE89" s="880">
        <v>47</v>
      </c>
      <c r="AF89" s="881">
        <v>0.46945685788304681</v>
      </c>
      <c r="AG89" s="880">
        <v>13.707881518813529</v>
      </c>
      <c r="AH89" s="880">
        <v>41</v>
      </c>
      <c r="AI89" s="881">
        <v>0.33433857362959829</v>
      </c>
    </row>
    <row r="90" spans="2:35" x14ac:dyDescent="0.2">
      <c r="B90" s="867">
        <v>50201000</v>
      </c>
      <c r="C90" s="876" t="s">
        <v>1447</v>
      </c>
      <c r="D90" s="877" t="s">
        <v>1447</v>
      </c>
      <c r="E90" s="877" t="s">
        <v>1447</v>
      </c>
      <c r="F90" s="877" t="s">
        <v>1447</v>
      </c>
      <c r="G90" s="877" t="s">
        <v>1447</v>
      </c>
      <c r="H90" s="877" t="s">
        <v>1447</v>
      </c>
      <c r="I90" s="877" t="s">
        <v>1447</v>
      </c>
      <c r="J90" s="878" t="s">
        <v>1447</v>
      </c>
      <c r="K90" s="877"/>
      <c r="L90" s="879">
        <v>638</v>
      </c>
      <c r="M90" s="880">
        <v>2579</v>
      </c>
      <c r="N90" s="881">
        <v>0.24729999999999999</v>
      </c>
      <c r="O90" s="880">
        <v>563.95456339447617</v>
      </c>
      <c r="P90" s="880">
        <v>2674.4718498659518</v>
      </c>
      <c r="Q90" s="881">
        <v>0.21086576903875145</v>
      </c>
      <c r="R90" s="880">
        <v>655.92982456140351</v>
      </c>
      <c r="S90" s="880">
        <v>2800.7525715090883</v>
      </c>
      <c r="T90" s="881">
        <v>0.23419770501468415</v>
      </c>
      <c r="U90" s="880">
        <v>748.51496514965152</v>
      </c>
      <c r="V90" s="880">
        <v>3079.0446538303972</v>
      </c>
      <c r="W90" s="881">
        <v>0.24309974336308598</v>
      </c>
      <c r="X90" s="880">
        <v>847.20662094578017</v>
      </c>
      <c r="Y90" s="880">
        <v>3061.5147742818058</v>
      </c>
      <c r="Z90" s="881">
        <v>0.27672792176693795</v>
      </c>
      <c r="AA90" s="880">
        <v>834.52463383120948</v>
      </c>
      <c r="AB90" s="880">
        <v>3116.4996574873271</v>
      </c>
      <c r="AC90" s="881">
        <v>0.26777626361237711</v>
      </c>
      <c r="AD90" s="880">
        <v>811.67464013122515</v>
      </c>
      <c r="AE90" s="880">
        <v>3238.5355550539784</v>
      </c>
      <c r="AF90" s="881">
        <v>0.2506301463525839</v>
      </c>
      <c r="AG90" s="880">
        <v>726.39072234367018</v>
      </c>
      <c r="AH90" s="880">
        <v>3321.5308271527483</v>
      </c>
      <c r="AI90" s="881">
        <v>0.21869154921146405</v>
      </c>
    </row>
    <row r="91" spans="2:35" x14ac:dyDescent="0.2">
      <c r="B91" s="867">
        <v>50204000</v>
      </c>
      <c r="C91" s="876" t="s">
        <v>1447</v>
      </c>
      <c r="D91" s="877" t="s">
        <v>1448</v>
      </c>
      <c r="E91" s="877" t="s">
        <v>1447</v>
      </c>
      <c r="F91" s="877" t="s">
        <v>1447</v>
      </c>
      <c r="G91" s="877" t="s">
        <v>1447</v>
      </c>
      <c r="H91" s="877" t="s">
        <v>1447</v>
      </c>
      <c r="I91" s="877" t="s">
        <v>1447</v>
      </c>
      <c r="J91" s="878" t="s">
        <v>1448</v>
      </c>
      <c r="K91" s="877"/>
      <c r="L91" s="879">
        <v>214</v>
      </c>
      <c r="M91" s="880">
        <v>1252</v>
      </c>
      <c r="N91" s="881">
        <v>0.17050000000000001</v>
      </c>
      <c r="O91" s="880">
        <v>188.63644841444352</v>
      </c>
      <c r="P91" s="880">
        <v>1278.5603217158177</v>
      </c>
      <c r="Q91" s="881">
        <v>0.14753816868123587</v>
      </c>
      <c r="R91" s="880">
        <v>219.2901484480432</v>
      </c>
      <c r="S91" s="880">
        <v>1356.9278568409186</v>
      </c>
      <c r="T91" s="881">
        <v>0.16160781676232622</v>
      </c>
      <c r="U91" s="880">
        <v>319.84583845838461</v>
      </c>
      <c r="V91" s="880">
        <v>1406.2990577632117</v>
      </c>
      <c r="W91" s="881">
        <v>0.2274379952775587</v>
      </c>
      <c r="X91" s="880">
        <v>313.94481383985777</v>
      </c>
      <c r="Y91" s="880">
        <v>1407.1618331053351</v>
      </c>
      <c r="Z91" s="881">
        <v>0.22310498085855701</v>
      </c>
      <c r="AA91" s="880">
        <v>309.75226469108634</v>
      </c>
      <c r="AB91" s="880">
        <v>1430.3959446499521</v>
      </c>
      <c r="AC91" s="881">
        <v>0.21655001599357107</v>
      </c>
      <c r="AD91" s="880">
        <v>256.99112551158402</v>
      </c>
      <c r="AE91" s="880">
        <v>1487.4214868357085</v>
      </c>
      <c r="AF91" s="881">
        <v>0.17277626267070975</v>
      </c>
      <c r="AG91" s="880">
        <v>209.75988773560528</v>
      </c>
      <c r="AH91" s="880">
        <v>1522.4090367609153</v>
      </c>
      <c r="AI91" s="881">
        <v>0.13778155717066118</v>
      </c>
    </row>
    <row r="92" spans="2:35" x14ac:dyDescent="0.2">
      <c r="B92" s="867">
        <v>50206000</v>
      </c>
      <c r="C92" s="876" t="s">
        <v>1447</v>
      </c>
      <c r="D92" s="877" t="s">
        <v>1447</v>
      </c>
      <c r="E92" s="877" t="s">
        <v>1447</v>
      </c>
      <c r="F92" s="877" t="s">
        <v>1448</v>
      </c>
      <c r="G92" s="877" t="s">
        <v>1447</v>
      </c>
      <c r="H92" s="877" t="s">
        <v>1447</v>
      </c>
      <c r="I92" s="877" t="s">
        <v>1447</v>
      </c>
      <c r="J92" s="878" t="s">
        <v>1447</v>
      </c>
      <c r="K92" s="877"/>
      <c r="L92" s="879">
        <v>147</v>
      </c>
      <c r="M92" s="880">
        <v>680</v>
      </c>
      <c r="N92" s="881">
        <v>0.21679999999999999</v>
      </c>
      <c r="O92" s="880">
        <v>130.97038387324056</v>
      </c>
      <c r="P92" s="880">
        <v>693.69705093833784</v>
      </c>
      <c r="Q92" s="881">
        <v>0.1888005487353332</v>
      </c>
      <c r="R92" s="880">
        <v>138.75438596491227</v>
      </c>
      <c r="S92" s="880">
        <v>726.68690996195573</v>
      </c>
      <c r="T92" s="881">
        <v>0.19094108351583833</v>
      </c>
      <c r="U92" s="880">
        <v>103.14555145551455</v>
      </c>
      <c r="V92" s="880">
        <v>848.39655878738222</v>
      </c>
      <c r="W92" s="881">
        <v>0.1215770507166378</v>
      </c>
      <c r="X92" s="880">
        <v>223.14316958430143</v>
      </c>
      <c r="Y92" s="880">
        <v>849.29863201094395</v>
      </c>
      <c r="Z92" s="881">
        <v>0.26273817144382972</v>
      </c>
      <c r="AA92" s="880">
        <v>163.18909401499056</v>
      </c>
      <c r="AB92" s="880">
        <v>863.1361830387724</v>
      </c>
      <c r="AC92" s="881">
        <v>0.18906529145894935</v>
      </c>
      <c r="AD92" s="880">
        <v>160.95966586250267</v>
      </c>
      <c r="AE92" s="880">
        <v>896.55477670070934</v>
      </c>
      <c r="AF92" s="881">
        <v>0.17953132373554317</v>
      </c>
      <c r="AG92" s="880">
        <v>193.25100768234006</v>
      </c>
      <c r="AH92" s="880">
        <v>918.13878324887571</v>
      </c>
      <c r="AI92" s="881">
        <v>0.21048125970510972</v>
      </c>
    </row>
    <row r="93" spans="2:35" x14ac:dyDescent="0.2">
      <c r="B93" s="867">
        <v>50207000</v>
      </c>
      <c r="C93" s="876" t="s">
        <v>1447</v>
      </c>
      <c r="D93" s="877" t="s">
        <v>1447</v>
      </c>
      <c r="E93" s="877" t="s">
        <v>1447</v>
      </c>
      <c r="F93" s="877" t="s">
        <v>1447</v>
      </c>
      <c r="G93" s="877" t="s">
        <v>1447</v>
      </c>
      <c r="H93" s="877" t="s">
        <v>1447</v>
      </c>
      <c r="I93" s="877" t="s">
        <v>1447</v>
      </c>
      <c r="J93" s="878" t="s">
        <v>1447</v>
      </c>
      <c r="K93" s="877"/>
      <c r="L93" s="879">
        <v>600</v>
      </c>
      <c r="M93" s="880">
        <v>1442</v>
      </c>
      <c r="N93" s="881">
        <v>0.41639999999999999</v>
      </c>
      <c r="O93" s="880">
        <v>529.74588103952533</v>
      </c>
      <c r="P93" s="880">
        <v>1473.5147453083109</v>
      </c>
      <c r="Q93" s="881">
        <v>0.35951176106397492</v>
      </c>
      <c r="R93" s="880">
        <v>587.0377867746289</v>
      </c>
      <c r="S93" s="880">
        <v>1549.8197830069043</v>
      </c>
      <c r="T93" s="881">
        <v>0.3787780961446236</v>
      </c>
      <c r="U93" s="880">
        <v>494.90938909389092</v>
      </c>
      <c r="V93" s="880">
        <v>1295.6804588283489</v>
      </c>
      <c r="W93" s="881">
        <v>0.38196870665273824</v>
      </c>
      <c r="X93" s="880">
        <v>558.32315922440091</v>
      </c>
      <c r="Y93" s="880">
        <v>1297.5128590971271</v>
      </c>
      <c r="Z93" s="881">
        <v>0.43030260186624236</v>
      </c>
      <c r="AA93" s="880">
        <v>467.08163745399139</v>
      </c>
      <c r="AB93" s="880">
        <v>1318.7074941772846</v>
      </c>
      <c r="AC93" s="881">
        <v>0.35419654435602821</v>
      </c>
      <c r="AD93" s="880">
        <v>513.95132872784598</v>
      </c>
      <c r="AE93" s="880">
        <v>1370.2247839990143</v>
      </c>
      <c r="AF93" s="881">
        <v>0.37508541279473434</v>
      </c>
      <c r="AG93" s="880">
        <v>454.4797567604781</v>
      </c>
      <c r="AH93" s="880">
        <v>1403.119439789283</v>
      </c>
      <c r="AI93" s="881">
        <v>0.32390667812907697</v>
      </c>
    </row>
    <row r="94" spans="2:35" x14ac:dyDescent="0.2">
      <c r="B94" s="867">
        <v>50207700</v>
      </c>
      <c r="C94" s="876" t="s">
        <v>1448</v>
      </c>
      <c r="D94" s="877" t="s">
        <v>1448</v>
      </c>
      <c r="E94" s="877" t="s">
        <v>1448</v>
      </c>
      <c r="F94" s="877" t="s">
        <v>1448</v>
      </c>
      <c r="G94" s="877" t="s">
        <v>1448</v>
      </c>
      <c r="H94" s="877" t="s">
        <v>1448</v>
      </c>
      <c r="I94" s="877" t="s">
        <v>1448</v>
      </c>
      <c r="J94" s="878" t="s">
        <v>1448</v>
      </c>
      <c r="K94" s="877"/>
      <c r="L94" s="879">
        <v>0</v>
      </c>
      <c r="M94" s="880">
        <v>22</v>
      </c>
      <c r="N94" s="881">
        <v>0</v>
      </c>
      <c r="O94" s="880" t="s">
        <v>1450</v>
      </c>
      <c r="P94" s="880" t="s">
        <v>1450</v>
      </c>
      <c r="Q94" s="881" t="s">
        <v>1450</v>
      </c>
      <c r="R94" s="880" t="s">
        <v>1450</v>
      </c>
      <c r="S94" s="880" t="s">
        <v>1450</v>
      </c>
      <c r="T94" s="881" t="s">
        <v>1450</v>
      </c>
      <c r="U94" s="880" t="s">
        <v>1450</v>
      </c>
      <c r="V94" s="880" t="s">
        <v>1450</v>
      </c>
      <c r="W94" s="881" t="s">
        <v>1450</v>
      </c>
      <c r="X94" s="880" t="s">
        <v>1450</v>
      </c>
      <c r="Y94" s="880" t="s">
        <v>1450</v>
      </c>
      <c r="Z94" s="881" t="s">
        <v>1450</v>
      </c>
      <c r="AA94" s="880" t="s">
        <v>1450</v>
      </c>
      <c r="AB94" s="880" t="s">
        <v>1450</v>
      </c>
      <c r="AC94" s="881" t="s">
        <v>1450</v>
      </c>
      <c r="AD94" s="880" t="s">
        <v>1450</v>
      </c>
      <c r="AE94" s="880" t="s">
        <v>1450</v>
      </c>
      <c r="AF94" s="881" t="s">
        <v>1450</v>
      </c>
      <c r="AG94" s="880" t="s">
        <v>1450</v>
      </c>
      <c r="AH94" s="880" t="s">
        <v>1450</v>
      </c>
      <c r="AI94" s="881" t="s">
        <v>1450</v>
      </c>
    </row>
    <row r="95" spans="2:35" x14ac:dyDescent="0.2">
      <c r="B95" s="867">
        <v>50305000</v>
      </c>
      <c r="C95" s="876" t="s">
        <v>1447</v>
      </c>
      <c r="D95" s="877" t="s">
        <v>1447</v>
      </c>
      <c r="E95" s="877" t="s">
        <v>1447</v>
      </c>
      <c r="F95" s="877" t="s">
        <v>1447</v>
      </c>
      <c r="G95" s="877" t="s">
        <v>1447</v>
      </c>
      <c r="H95" s="877" t="s">
        <v>1447</v>
      </c>
      <c r="I95" s="877" t="s">
        <v>1447</v>
      </c>
      <c r="J95" s="878" t="s">
        <v>1447</v>
      </c>
      <c r="K95" s="877"/>
      <c r="L95" s="879">
        <v>48</v>
      </c>
      <c r="M95" s="880">
        <v>187</v>
      </c>
      <c r="N95" s="881">
        <v>0.25629999999999997</v>
      </c>
      <c r="O95" s="880">
        <v>43.005200674795411</v>
      </c>
      <c r="P95" s="880">
        <v>191.16890080428954</v>
      </c>
      <c r="Q95" s="881">
        <v>0.22495918789020122</v>
      </c>
      <c r="R95" s="880">
        <v>59.1889338731444</v>
      </c>
      <c r="S95" s="880">
        <v>281.69860504438498</v>
      </c>
      <c r="T95" s="881">
        <v>0.21011440175154036</v>
      </c>
      <c r="U95" s="880">
        <v>108.82328823288233</v>
      </c>
      <c r="V95" s="880">
        <v>358.78902089307661</v>
      </c>
      <c r="W95" s="881">
        <v>0.30330718582749766</v>
      </c>
      <c r="X95" s="880">
        <v>154.54193639263417</v>
      </c>
      <c r="Y95" s="880">
        <v>359.72558139534885</v>
      </c>
      <c r="Z95" s="881">
        <v>0.42961063762320562</v>
      </c>
      <c r="AA95" s="880">
        <v>122.1476654590727</v>
      </c>
      <c r="AB95" s="880">
        <v>365.43677216056994</v>
      </c>
      <c r="AC95" s="881">
        <v>0.33425116125260107</v>
      </c>
      <c r="AD95" s="880">
        <v>128.01102390345307</v>
      </c>
      <c r="AE95" s="880">
        <v>379.91264502894984</v>
      </c>
      <c r="AF95" s="881">
        <v>0.3369485737798974</v>
      </c>
      <c r="AG95" s="880">
        <v>85.457732040431779</v>
      </c>
      <c r="AH95" s="880">
        <v>388.18008194867269</v>
      </c>
      <c r="AI95" s="881">
        <v>0.22014970889653085</v>
      </c>
    </row>
    <row r="96" spans="2:35" x14ac:dyDescent="0.2">
      <c r="B96" s="867">
        <v>50309000</v>
      </c>
      <c r="C96" s="876" t="s">
        <v>1448</v>
      </c>
      <c r="D96" s="877" t="s">
        <v>1448</v>
      </c>
      <c r="E96" s="877" t="s">
        <v>1448</v>
      </c>
      <c r="F96" s="877" t="s">
        <v>1448</v>
      </c>
      <c r="G96" s="877" t="s">
        <v>1448</v>
      </c>
      <c r="H96" s="877" t="s">
        <v>1448</v>
      </c>
      <c r="I96" s="877" t="s">
        <v>1448</v>
      </c>
      <c r="J96" s="878" t="s">
        <v>1448</v>
      </c>
      <c r="K96" s="877"/>
      <c r="L96" s="879">
        <v>3</v>
      </c>
      <c r="M96" s="880">
        <v>10</v>
      </c>
      <c r="N96" s="881">
        <v>0.27679999999999999</v>
      </c>
      <c r="O96" s="880">
        <v>1.9547818488543369</v>
      </c>
      <c r="P96" s="880">
        <v>10.410187667560322</v>
      </c>
      <c r="Q96" s="881">
        <v>0.18777585104884564</v>
      </c>
      <c r="R96" s="880">
        <v>4.8515519568151149</v>
      </c>
      <c r="S96" s="880">
        <v>16.233478934761166</v>
      </c>
      <c r="T96" s="881">
        <v>0.29886088966588437</v>
      </c>
      <c r="U96" s="880">
        <v>3.7851578515785156</v>
      </c>
      <c r="V96" s="880">
        <v>5.7714051618189268</v>
      </c>
      <c r="W96" s="881">
        <v>0.65584684239800939</v>
      </c>
      <c r="X96" s="880">
        <v>4.8261763182367572</v>
      </c>
      <c r="Y96" s="880">
        <v>5.7709986320109437</v>
      </c>
      <c r="Z96" s="881">
        <v>0.83628096729509072</v>
      </c>
      <c r="AA96" s="880">
        <v>4.8831010434046185</v>
      </c>
      <c r="AB96" s="880">
        <v>5.8783394985614468</v>
      </c>
      <c r="AC96" s="881">
        <v>0.83069394760197435</v>
      </c>
      <c r="AD96" s="880" t="s">
        <v>1450</v>
      </c>
      <c r="AE96" s="880" t="s">
        <v>1450</v>
      </c>
      <c r="AF96" s="881" t="s">
        <v>1450</v>
      </c>
      <c r="AG96" s="880">
        <v>4.8555529568427147</v>
      </c>
      <c r="AH96" s="880">
        <v>5.8667014904081514</v>
      </c>
      <c r="AI96" s="881">
        <v>0</v>
      </c>
    </row>
    <row r="97" spans="2:35" x14ac:dyDescent="0.2">
      <c r="B97" s="867">
        <v>50316000</v>
      </c>
      <c r="C97" s="876" t="s">
        <v>1448</v>
      </c>
      <c r="D97" s="877" t="s">
        <v>1448</v>
      </c>
      <c r="E97" s="877" t="s">
        <v>1448</v>
      </c>
      <c r="F97" s="877" t="s">
        <v>1448</v>
      </c>
      <c r="G97" s="877" t="s">
        <v>1448</v>
      </c>
      <c r="H97" s="877" t="s">
        <v>1448</v>
      </c>
      <c r="I97" s="877" t="s">
        <v>1447</v>
      </c>
      <c r="J97" s="878" t="s">
        <v>1448</v>
      </c>
      <c r="K97" s="877"/>
      <c r="L97" s="879">
        <v>8</v>
      </c>
      <c r="M97" s="880">
        <v>31</v>
      </c>
      <c r="N97" s="881">
        <v>0.246</v>
      </c>
      <c r="O97" s="880">
        <v>6.8417364709901793</v>
      </c>
      <c r="P97" s="880">
        <v>32.1769436997319</v>
      </c>
      <c r="Q97" s="881">
        <v>0.21262853721707525</v>
      </c>
      <c r="R97" s="880">
        <v>9.7031039136302297</v>
      </c>
      <c r="S97" s="880">
        <v>44.880794701986758</v>
      </c>
      <c r="T97" s="881">
        <v>0.21619723933276738</v>
      </c>
      <c r="U97" s="880">
        <v>9.4628946289462892</v>
      </c>
      <c r="V97" s="880">
        <v>50.018844735764034</v>
      </c>
      <c r="W97" s="881">
        <v>0.18918658915327194</v>
      </c>
      <c r="X97" s="880">
        <v>9.6523526364735144</v>
      </c>
      <c r="Y97" s="880">
        <v>50.015321477428181</v>
      </c>
      <c r="Z97" s="881">
        <v>0.19298791552963632</v>
      </c>
      <c r="AA97" s="880">
        <v>8.7895818781283133</v>
      </c>
      <c r="AB97" s="880">
        <v>50.945608987532538</v>
      </c>
      <c r="AC97" s="881">
        <v>0.17252874296348697</v>
      </c>
      <c r="AD97" s="880">
        <v>15.50524327484689</v>
      </c>
      <c r="AE97" s="880">
        <v>52.738516276512314</v>
      </c>
      <c r="AF97" s="881">
        <v>0.2940022656980269</v>
      </c>
      <c r="AG97" s="880">
        <v>6.7977741395798006</v>
      </c>
      <c r="AH97" s="880">
        <v>53.778096995408056</v>
      </c>
      <c r="AI97" s="881">
        <v>0.12640414070732628</v>
      </c>
    </row>
    <row r="98" spans="2:35" x14ac:dyDescent="0.2">
      <c r="B98" s="867">
        <v>50899000</v>
      </c>
      <c r="C98" s="876" t="s">
        <v>1448</v>
      </c>
      <c r="D98" s="877" t="s">
        <v>1447</v>
      </c>
      <c r="E98" s="877" t="s">
        <v>1448</v>
      </c>
      <c r="F98" s="877" t="s">
        <v>1448</v>
      </c>
      <c r="G98" s="877" t="s">
        <v>1448</v>
      </c>
      <c r="H98" s="877" t="s">
        <v>1448</v>
      </c>
      <c r="I98" s="877" t="s">
        <v>1448</v>
      </c>
      <c r="J98" s="878" t="s">
        <v>1448</v>
      </c>
      <c r="K98" s="877"/>
      <c r="L98" s="879" t="s">
        <v>1450</v>
      </c>
      <c r="M98" s="880" t="s">
        <v>1450</v>
      </c>
      <c r="N98" s="881" t="s">
        <v>1450</v>
      </c>
      <c r="O98" s="880">
        <v>16</v>
      </c>
      <c r="P98" s="880">
        <v>102</v>
      </c>
      <c r="Q98" s="881">
        <v>0.15686274509803921</v>
      </c>
      <c r="R98" s="880" t="s">
        <v>1450</v>
      </c>
      <c r="S98" s="880" t="s">
        <v>1450</v>
      </c>
      <c r="T98" s="881" t="s">
        <v>1450</v>
      </c>
      <c r="U98" s="880" t="s">
        <v>1450</v>
      </c>
      <c r="V98" s="880" t="s">
        <v>1450</v>
      </c>
      <c r="W98" s="881" t="s">
        <v>1450</v>
      </c>
      <c r="X98" s="880" t="s">
        <v>1450</v>
      </c>
      <c r="Y98" s="880" t="s">
        <v>1450</v>
      </c>
      <c r="Z98" s="881" t="s">
        <v>1450</v>
      </c>
      <c r="AA98" s="880" t="s">
        <v>1450</v>
      </c>
      <c r="AB98" s="880" t="s">
        <v>1450</v>
      </c>
      <c r="AC98" s="881" t="s">
        <v>1450</v>
      </c>
      <c r="AD98" s="880" t="s">
        <v>1450</v>
      </c>
      <c r="AE98" s="880" t="s">
        <v>1450</v>
      </c>
      <c r="AF98" s="881" t="s">
        <v>1450</v>
      </c>
      <c r="AG98" s="880" t="s">
        <v>1450</v>
      </c>
      <c r="AH98" s="880" t="s">
        <v>1450</v>
      </c>
      <c r="AI98" s="881" t="s">
        <v>1450</v>
      </c>
    </row>
    <row r="99" spans="2:35" x14ac:dyDescent="0.2">
      <c r="B99" s="867">
        <v>58701000</v>
      </c>
      <c r="C99" s="876" t="s">
        <v>1448</v>
      </c>
      <c r="D99" s="877" t="s">
        <v>1448</v>
      </c>
      <c r="E99" s="877" t="s">
        <v>1448</v>
      </c>
      <c r="F99" s="877" t="s">
        <v>1448</v>
      </c>
      <c r="G99" s="877" t="s">
        <v>1448</v>
      </c>
      <c r="H99" s="877" t="s">
        <v>1448</v>
      </c>
      <c r="I99" s="877" t="s">
        <v>1448</v>
      </c>
      <c r="J99" s="878" t="s">
        <v>1448</v>
      </c>
      <c r="K99" s="877"/>
      <c r="L99" s="879">
        <v>0</v>
      </c>
      <c r="M99" s="880">
        <v>97</v>
      </c>
      <c r="N99" s="881">
        <v>0</v>
      </c>
      <c r="O99" s="880">
        <v>0.72108519752498812</v>
      </c>
      <c r="P99" s="880">
        <v>85</v>
      </c>
      <c r="Q99" s="881">
        <v>8.4833552649998603E-3</v>
      </c>
      <c r="R99" s="880">
        <v>0</v>
      </c>
      <c r="S99" s="880">
        <v>43</v>
      </c>
      <c r="T99" s="881">
        <v>0</v>
      </c>
      <c r="U99" s="880" t="s">
        <v>1450</v>
      </c>
      <c r="V99" s="880" t="s">
        <v>1450</v>
      </c>
      <c r="W99" s="881" t="s">
        <v>1450</v>
      </c>
      <c r="X99" s="880" t="s">
        <v>1450</v>
      </c>
      <c r="Y99" s="880" t="s">
        <v>1450</v>
      </c>
      <c r="Z99" s="881" t="s">
        <v>1450</v>
      </c>
      <c r="AA99" s="880" t="s">
        <v>1450</v>
      </c>
      <c r="AB99" s="880" t="s">
        <v>1450</v>
      </c>
      <c r="AC99" s="881" t="s">
        <v>1450</v>
      </c>
      <c r="AD99" s="880" t="s">
        <v>1450</v>
      </c>
      <c r="AE99" s="880" t="s">
        <v>1450</v>
      </c>
      <c r="AF99" s="881" t="s">
        <v>1450</v>
      </c>
      <c r="AG99" s="880" t="s">
        <v>1450</v>
      </c>
      <c r="AH99" s="880" t="s">
        <v>1450</v>
      </c>
      <c r="AI99" s="881" t="s">
        <v>1450</v>
      </c>
    </row>
    <row r="100" spans="2:35" x14ac:dyDescent="0.2">
      <c r="B100" s="867">
        <v>58702000</v>
      </c>
      <c r="C100" s="876" t="s">
        <v>1447</v>
      </c>
      <c r="D100" s="877" t="s">
        <v>1448</v>
      </c>
      <c r="E100" s="877" t="s">
        <v>1448</v>
      </c>
      <c r="F100" s="877" t="s">
        <v>1447</v>
      </c>
      <c r="G100" s="877" t="s">
        <v>1447</v>
      </c>
      <c r="H100" s="877" t="s">
        <v>1448</v>
      </c>
      <c r="I100" s="877" t="s">
        <v>1448</v>
      </c>
      <c r="J100" s="878" t="s">
        <v>1448</v>
      </c>
      <c r="K100" s="877"/>
      <c r="L100" s="879">
        <v>22</v>
      </c>
      <c r="M100" s="880">
        <v>95</v>
      </c>
      <c r="N100" s="881">
        <v>0.2329</v>
      </c>
      <c r="O100" s="880">
        <v>1.4421703950499762</v>
      </c>
      <c r="P100" s="880">
        <v>96</v>
      </c>
      <c r="Q100" s="881">
        <v>1.5022608281770586E-2</v>
      </c>
      <c r="R100" s="880">
        <v>0</v>
      </c>
      <c r="S100" s="880">
        <v>104</v>
      </c>
      <c r="T100" s="881">
        <v>0</v>
      </c>
      <c r="U100" s="880">
        <v>25.571955719557199</v>
      </c>
      <c r="V100" s="880">
        <v>102</v>
      </c>
      <c r="W100" s="881">
        <v>0.25070544823095292</v>
      </c>
      <c r="X100" s="880">
        <v>17.705183585313172</v>
      </c>
      <c r="Y100" s="880">
        <v>101</v>
      </c>
      <c r="Z100" s="881">
        <v>0.17529884737933835</v>
      </c>
      <c r="AA100" s="880" t="s">
        <v>1450</v>
      </c>
      <c r="AB100" s="880" t="s">
        <v>1450</v>
      </c>
      <c r="AC100" s="881" t="s">
        <v>1450</v>
      </c>
      <c r="AD100" s="880" t="s">
        <v>1450</v>
      </c>
      <c r="AE100" s="880" t="s">
        <v>1450</v>
      </c>
      <c r="AF100" s="881" t="s">
        <v>1450</v>
      </c>
      <c r="AG100" s="880" t="s">
        <v>1450</v>
      </c>
      <c r="AH100" s="880" t="s">
        <v>1450</v>
      </c>
      <c r="AI100" s="881" t="s">
        <v>1450</v>
      </c>
    </row>
    <row r="101" spans="2:35" x14ac:dyDescent="0.2">
      <c r="B101" s="867">
        <v>58703000</v>
      </c>
      <c r="C101" s="876" t="s">
        <v>1447</v>
      </c>
      <c r="D101" s="877" t="s">
        <v>1448</v>
      </c>
      <c r="E101" s="877" t="s">
        <v>1447</v>
      </c>
      <c r="F101" s="877" t="s">
        <v>1447</v>
      </c>
      <c r="G101" s="877" t="s">
        <v>1447</v>
      </c>
      <c r="H101" s="877" t="s">
        <v>1447</v>
      </c>
      <c r="I101" s="877" t="s">
        <v>1447</v>
      </c>
      <c r="J101" s="878" t="s">
        <v>1447</v>
      </c>
      <c r="K101" s="877"/>
      <c r="L101" s="879">
        <v>36</v>
      </c>
      <c r="M101" s="880">
        <v>85</v>
      </c>
      <c r="N101" s="881">
        <v>0.41930000000000001</v>
      </c>
      <c r="O101" s="880">
        <v>0.72108519752498812</v>
      </c>
      <c r="P101" s="880">
        <v>91</v>
      </c>
      <c r="Q101" s="881">
        <v>7.9240131596152539E-3</v>
      </c>
      <c r="R101" s="880">
        <v>25.039811066126855</v>
      </c>
      <c r="S101" s="880">
        <v>85</v>
      </c>
      <c r="T101" s="881">
        <v>0.29458601254266886</v>
      </c>
      <c r="U101" s="880">
        <v>48.819188191881921</v>
      </c>
      <c r="V101" s="880">
        <v>116</v>
      </c>
      <c r="W101" s="881">
        <v>0.42085507061967176</v>
      </c>
      <c r="X101" s="880">
        <v>37.180885529157663</v>
      </c>
      <c r="Y101" s="880">
        <v>115</v>
      </c>
      <c r="Z101" s="881">
        <v>0.32331204807963188</v>
      </c>
      <c r="AA101" s="880">
        <v>28.188645238810452</v>
      </c>
      <c r="AB101" s="880">
        <v>102</v>
      </c>
      <c r="AC101" s="881">
        <v>0.27635926704716129</v>
      </c>
      <c r="AD101" s="880">
        <v>31.354776455451915</v>
      </c>
      <c r="AE101" s="880">
        <v>107</v>
      </c>
      <c r="AF101" s="881">
        <v>0.29303529397618611</v>
      </c>
      <c r="AG101" s="880">
        <v>30.461958930696731</v>
      </c>
      <c r="AH101" s="880">
        <v>110</v>
      </c>
      <c r="AI101" s="881">
        <v>0.27692689936997028</v>
      </c>
    </row>
    <row r="102" spans="2:35" x14ac:dyDescent="0.2">
      <c r="B102" s="867">
        <v>60202000</v>
      </c>
      <c r="C102" s="876" t="s">
        <v>1447</v>
      </c>
      <c r="D102" s="877" t="s">
        <v>1447</v>
      </c>
      <c r="E102" s="877" t="s">
        <v>1448</v>
      </c>
      <c r="F102" s="877" t="s">
        <v>1448</v>
      </c>
      <c r="G102" s="877" t="s">
        <v>1447</v>
      </c>
      <c r="H102" s="877" t="s">
        <v>1447</v>
      </c>
      <c r="I102" s="877" t="s">
        <v>1447</v>
      </c>
      <c r="J102" s="878" t="s">
        <v>1447</v>
      </c>
      <c r="K102" s="877"/>
      <c r="L102" s="879">
        <v>110</v>
      </c>
      <c r="M102" s="880">
        <v>528</v>
      </c>
      <c r="N102" s="881">
        <v>0.20830000000000001</v>
      </c>
      <c r="O102" s="880">
        <v>109.8</v>
      </c>
      <c r="P102" s="880">
        <v>523.08989460632358</v>
      </c>
      <c r="Q102" s="881">
        <v>0.20990655933553307</v>
      </c>
      <c r="R102" s="880">
        <v>123.01192842942346</v>
      </c>
      <c r="S102" s="880">
        <v>602.09693053311798</v>
      </c>
      <c r="T102" s="881">
        <v>0</v>
      </c>
      <c r="U102" s="880">
        <v>55</v>
      </c>
      <c r="V102" s="880">
        <v>528</v>
      </c>
      <c r="W102" s="881">
        <v>0.10416666666666667</v>
      </c>
      <c r="X102" s="880">
        <v>111</v>
      </c>
      <c r="Y102" s="880">
        <v>530.58310626702996</v>
      </c>
      <c r="Z102" s="881">
        <v>0.20920379614223208</v>
      </c>
      <c r="AA102" s="880">
        <v>116.12283813233552</v>
      </c>
      <c r="AB102" s="880">
        <v>541.4614561027837</v>
      </c>
      <c r="AC102" s="881">
        <v>0.21446187318325449</v>
      </c>
      <c r="AD102" s="880">
        <v>104.44205725851056</v>
      </c>
      <c r="AE102" s="880">
        <v>555.89099616013903</v>
      </c>
      <c r="AF102" s="881">
        <v>0.18788226105468936</v>
      </c>
      <c r="AG102" s="880">
        <v>105.02565887749572</v>
      </c>
      <c r="AH102" s="880">
        <v>582.23056582282356</v>
      </c>
      <c r="AI102" s="881">
        <v>0.18038499701414798</v>
      </c>
    </row>
    <row r="103" spans="2:35" x14ac:dyDescent="0.2">
      <c r="B103" s="867">
        <v>60203000</v>
      </c>
      <c r="C103" s="876" t="s">
        <v>1448</v>
      </c>
      <c r="D103" s="877" t="s">
        <v>1448</v>
      </c>
      <c r="E103" s="877" t="s">
        <v>1448</v>
      </c>
      <c r="F103" s="877" t="s">
        <v>1447</v>
      </c>
      <c r="G103" s="877" t="s">
        <v>1448</v>
      </c>
      <c r="H103" s="877" t="s">
        <v>1448</v>
      </c>
      <c r="I103" s="877" t="s">
        <v>1448</v>
      </c>
      <c r="J103" s="878" t="s">
        <v>1448</v>
      </c>
      <c r="K103" s="877"/>
      <c r="L103" s="879">
        <v>41</v>
      </c>
      <c r="M103" s="880">
        <v>359</v>
      </c>
      <c r="N103" s="881">
        <v>0.1142</v>
      </c>
      <c r="O103" s="880">
        <v>40.556756756756755</v>
      </c>
      <c r="P103" s="880">
        <v>355.66150030998142</v>
      </c>
      <c r="Q103" s="881">
        <v>0.11403190033615948</v>
      </c>
      <c r="R103" s="880">
        <v>45.268389662027836</v>
      </c>
      <c r="S103" s="880">
        <v>409.66397415185781</v>
      </c>
      <c r="T103" s="881">
        <v>0</v>
      </c>
      <c r="U103" s="880">
        <v>96</v>
      </c>
      <c r="V103" s="880">
        <v>554</v>
      </c>
      <c r="W103" s="881">
        <v>0.17328519855595667</v>
      </c>
      <c r="X103" s="880">
        <v>63</v>
      </c>
      <c r="Y103" s="880">
        <v>557.11226158038153</v>
      </c>
      <c r="Z103" s="881">
        <v>0.11308313304985516</v>
      </c>
      <c r="AA103" s="880">
        <v>46.245926429228795</v>
      </c>
      <c r="AB103" s="880">
        <v>569.02676659528913</v>
      </c>
      <c r="AC103" s="881">
        <v>8.127197022019958E-2</v>
      </c>
      <c r="AD103" s="880">
        <v>47.295929722596114</v>
      </c>
      <c r="AE103" s="880">
        <v>584.47404383503977</v>
      </c>
      <c r="AF103" s="881">
        <v>8.0920496335924158E-2</v>
      </c>
      <c r="AG103" s="880">
        <v>31.705859283772291</v>
      </c>
      <c r="AH103" s="880">
        <v>612.03759137689303</v>
      </c>
      <c r="AI103" s="881">
        <v>5.1803777628174813E-2</v>
      </c>
    </row>
    <row r="104" spans="2:35" x14ac:dyDescent="0.2">
      <c r="B104" s="867">
        <v>60218000</v>
      </c>
      <c r="C104" s="876" t="s">
        <v>1448</v>
      </c>
      <c r="D104" s="877" t="s">
        <v>1448</v>
      </c>
      <c r="E104" s="877" t="s">
        <v>1448</v>
      </c>
      <c r="F104" s="877" t="s">
        <v>1447</v>
      </c>
      <c r="G104" s="877" t="s">
        <v>1447</v>
      </c>
      <c r="H104" s="877" t="s">
        <v>1448</v>
      </c>
      <c r="I104" s="877" t="s">
        <v>1448</v>
      </c>
      <c r="J104" s="878" t="s">
        <v>1448</v>
      </c>
      <c r="K104" s="877"/>
      <c r="L104" s="879">
        <v>32</v>
      </c>
      <c r="M104" s="880">
        <v>721</v>
      </c>
      <c r="N104" s="881">
        <v>4.4400000000000002E-2</v>
      </c>
      <c r="O104" s="880">
        <v>32.643243243243241</v>
      </c>
      <c r="P104" s="880">
        <v>713.30440173589579</v>
      </c>
      <c r="Q104" s="881">
        <v>4.5763412035314414E-2</v>
      </c>
      <c r="R104" s="880">
        <v>35.42743538767396</v>
      </c>
      <c r="S104" s="880">
        <v>822.30371567043619</v>
      </c>
      <c r="T104" s="881">
        <v>0</v>
      </c>
      <c r="U104" s="880">
        <v>115</v>
      </c>
      <c r="V104" s="880">
        <v>709</v>
      </c>
      <c r="W104" s="881">
        <v>0.16220028208744711</v>
      </c>
      <c r="X104" s="880">
        <v>115</v>
      </c>
      <c r="Y104" s="880">
        <v>713.3395095367847</v>
      </c>
      <c r="Z104" s="881">
        <v>0.16121355744710761</v>
      </c>
      <c r="AA104" s="880">
        <v>82.652294043728062</v>
      </c>
      <c r="AB104" s="880">
        <v>726.54282655246254</v>
      </c>
      <c r="AC104" s="881">
        <v>0.11376107646114082</v>
      </c>
      <c r="AD104" s="880">
        <v>75.861503381219251</v>
      </c>
      <c r="AE104" s="880">
        <v>748.08735121550626</v>
      </c>
      <c r="AF104" s="881">
        <v>0.10140727985569876</v>
      </c>
      <c r="AG104" s="880">
        <v>56.476061849219391</v>
      </c>
      <c r="AH104" s="880">
        <v>783.92477207202705</v>
      </c>
      <c r="AI104" s="881">
        <v>7.2042705960094808E-2</v>
      </c>
    </row>
    <row r="105" spans="2:35" x14ac:dyDescent="0.2">
      <c r="B105" s="867">
        <v>60322000</v>
      </c>
      <c r="C105" s="876" t="s">
        <v>1448</v>
      </c>
      <c r="D105" s="877" t="s">
        <v>1448</v>
      </c>
      <c r="E105" s="877" t="s">
        <v>1448</v>
      </c>
      <c r="F105" s="877" t="s">
        <v>1448</v>
      </c>
      <c r="G105" s="877" t="s">
        <v>1448</v>
      </c>
      <c r="H105" s="877" t="s">
        <v>1448</v>
      </c>
      <c r="I105" s="877" t="s">
        <v>1448</v>
      </c>
      <c r="J105" s="878" t="s">
        <v>1448</v>
      </c>
      <c r="K105" s="877"/>
      <c r="L105" s="879">
        <v>1</v>
      </c>
      <c r="M105" s="880">
        <v>2</v>
      </c>
      <c r="N105" s="881">
        <v>0.5</v>
      </c>
      <c r="O105" s="880">
        <v>0</v>
      </c>
      <c r="P105" s="880">
        <v>1.981401115933044</v>
      </c>
      <c r="Q105" s="881">
        <v>0</v>
      </c>
      <c r="R105" s="880">
        <v>0</v>
      </c>
      <c r="S105" s="880">
        <v>3.9676898222940227</v>
      </c>
      <c r="T105" s="881">
        <v>0</v>
      </c>
      <c r="U105" s="880">
        <v>0</v>
      </c>
      <c r="V105" s="880">
        <v>0</v>
      </c>
      <c r="W105" s="881">
        <v>0</v>
      </c>
      <c r="X105" s="880">
        <v>0</v>
      </c>
      <c r="Y105" s="880">
        <v>0</v>
      </c>
      <c r="Z105" s="881">
        <v>0</v>
      </c>
      <c r="AA105" s="880">
        <v>0</v>
      </c>
      <c r="AB105" s="880">
        <v>0</v>
      </c>
      <c r="AC105" s="881">
        <v>0</v>
      </c>
      <c r="AD105" s="880" t="s">
        <v>1450</v>
      </c>
      <c r="AE105" s="880" t="s">
        <v>1450</v>
      </c>
      <c r="AF105" s="881" t="s">
        <v>1450</v>
      </c>
      <c r="AG105" s="880" t="s">
        <v>1450</v>
      </c>
      <c r="AH105" s="880" t="s">
        <v>1450</v>
      </c>
      <c r="AI105" s="881" t="s">
        <v>1450</v>
      </c>
    </row>
    <row r="106" spans="2:35" x14ac:dyDescent="0.2">
      <c r="B106" s="867">
        <v>60345000</v>
      </c>
      <c r="C106" s="876" t="s">
        <v>1448</v>
      </c>
      <c r="D106" s="877" t="s">
        <v>1448</v>
      </c>
      <c r="E106" s="877" t="s">
        <v>1448</v>
      </c>
      <c r="F106" s="877" t="s">
        <v>1448</v>
      </c>
      <c r="G106" s="877" t="s">
        <v>1448</v>
      </c>
      <c r="H106" s="877" t="s">
        <v>1448</v>
      </c>
      <c r="I106" s="877" t="s">
        <v>1448</v>
      </c>
      <c r="J106" s="878" t="s">
        <v>1448</v>
      </c>
      <c r="K106" s="877"/>
      <c r="L106" s="879">
        <v>0</v>
      </c>
      <c r="M106" s="880">
        <v>2</v>
      </c>
      <c r="N106" s="881">
        <v>0</v>
      </c>
      <c r="O106" s="880">
        <v>0</v>
      </c>
      <c r="P106" s="880">
        <v>1.981401115933044</v>
      </c>
      <c r="Q106" s="881">
        <v>0</v>
      </c>
      <c r="R106" s="880">
        <v>0</v>
      </c>
      <c r="S106" s="880">
        <v>3.9676898222940227</v>
      </c>
      <c r="T106" s="881">
        <v>0</v>
      </c>
      <c r="U106" s="880">
        <v>0</v>
      </c>
      <c r="V106" s="880">
        <v>2</v>
      </c>
      <c r="W106" s="881">
        <v>0</v>
      </c>
      <c r="X106" s="880">
        <v>0</v>
      </c>
      <c r="Y106" s="880">
        <v>1.9651226158038146</v>
      </c>
      <c r="Z106" s="881">
        <v>0</v>
      </c>
      <c r="AA106" s="880">
        <v>0</v>
      </c>
      <c r="AB106" s="880">
        <v>1.9689507494646681</v>
      </c>
      <c r="AC106" s="881">
        <v>0</v>
      </c>
      <c r="AD106" s="880" t="s">
        <v>1450</v>
      </c>
      <c r="AE106" s="880" t="s">
        <v>1450</v>
      </c>
      <c r="AF106" s="881" t="s">
        <v>1450</v>
      </c>
      <c r="AG106" s="880">
        <v>0</v>
      </c>
      <c r="AH106" s="880">
        <v>1.9871350369379646</v>
      </c>
      <c r="AI106" s="881">
        <v>0</v>
      </c>
    </row>
    <row r="107" spans="2:35" x14ac:dyDescent="0.2">
      <c r="B107" s="867">
        <v>60899000</v>
      </c>
      <c r="C107" s="876" t="s">
        <v>1448</v>
      </c>
      <c r="D107" s="877" t="s">
        <v>1448</v>
      </c>
      <c r="E107" s="877" t="s">
        <v>1448</v>
      </c>
      <c r="F107" s="877" t="s">
        <v>1448</v>
      </c>
      <c r="G107" s="877" t="s">
        <v>1448</v>
      </c>
      <c r="H107" s="877" t="s">
        <v>1448</v>
      </c>
      <c r="I107" s="877" t="s">
        <v>1448</v>
      </c>
      <c r="J107" s="878" t="s">
        <v>1448</v>
      </c>
      <c r="K107" s="877"/>
      <c r="L107" s="879" t="s">
        <v>1450</v>
      </c>
      <c r="M107" s="880" t="s">
        <v>1450</v>
      </c>
      <c r="N107" s="881" t="s">
        <v>1450</v>
      </c>
      <c r="O107" s="880">
        <v>0</v>
      </c>
      <c r="P107" s="880">
        <v>2</v>
      </c>
      <c r="Q107" s="881">
        <v>0</v>
      </c>
      <c r="R107" s="880" t="s">
        <v>1450</v>
      </c>
      <c r="S107" s="880" t="s">
        <v>1450</v>
      </c>
      <c r="T107" s="881" t="s">
        <v>1450</v>
      </c>
      <c r="U107" s="880" t="s">
        <v>1450</v>
      </c>
      <c r="V107" s="880" t="s">
        <v>1450</v>
      </c>
      <c r="W107" s="881" t="s">
        <v>1450</v>
      </c>
      <c r="X107" s="880" t="s">
        <v>1450</v>
      </c>
      <c r="Y107" s="880" t="s">
        <v>1450</v>
      </c>
      <c r="Z107" s="881" t="s">
        <v>1450</v>
      </c>
      <c r="AA107" s="880" t="s">
        <v>1450</v>
      </c>
      <c r="AB107" s="880" t="s">
        <v>1450</v>
      </c>
      <c r="AC107" s="881" t="s">
        <v>1450</v>
      </c>
      <c r="AD107" s="880" t="s">
        <v>1450</v>
      </c>
      <c r="AE107" s="880" t="s">
        <v>1450</v>
      </c>
      <c r="AF107" s="881" t="s">
        <v>1450</v>
      </c>
      <c r="AG107" s="880" t="s">
        <v>1450</v>
      </c>
      <c r="AH107" s="880" t="s">
        <v>1450</v>
      </c>
      <c r="AI107" s="881" t="s">
        <v>1450</v>
      </c>
    </row>
    <row r="108" spans="2:35" x14ac:dyDescent="0.2">
      <c r="B108" s="867">
        <v>70199000</v>
      </c>
      <c r="C108" s="876" t="s">
        <v>1447</v>
      </c>
      <c r="D108" s="877" t="s">
        <v>1447</v>
      </c>
      <c r="E108" s="877" t="s">
        <v>1447</v>
      </c>
      <c r="F108" s="877" t="s">
        <v>1447</v>
      </c>
      <c r="G108" s="877" t="s">
        <v>1447</v>
      </c>
      <c r="H108" s="877" t="s">
        <v>1447</v>
      </c>
      <c r="I108" s="877" t="s">
        <v>1447</v>
      </c>
      <c r="J108" s="878" t="s">
        <v>1447</v>
      </c>
      <c r="K108" s="877"/>
      <c r="L108" s="879">
        <v>88</v>
      </c>
      <c r="M108" s="880">
        <v>160</v>
      </c>
      <c r="N108" s="881">
        <v>0.54759999999999998</v>
      </c>
      <c r="O108" s="880">
        <v>111.47744521248147</v>
      </c>
      <c r="P108" s="880">
        <v>261</v>
      </c>
      <c r="Q108" s="881">
        <v>0.42711664832368379</v>
      </c>
      <c r="R108" s="880">
        <v>162.44058857560648</v>
      </c>
      <c r="S108" s="880">
        <v>364</v>
      </c>
      <c r="T108" s="881">
        <v>0.44626535322968813</v>
      </c>
      <c r="U108" s="880">
        <v>204.01542759961126</v>
      </c>
      <c r="V108" s="880">
        <v>372</v>
      </c>
      <c r="W108" s="881">
        <v>0.54842856881615931</v>
      </c>
      <c r="X108" s="880">
        <v>232.3927726936337</v>
      </c>
      <c r="Y108" s="880">
        <v>438</v>
      </c>
      <c r="Z108" s="881">
        <v>0.53057710660646962</v>
      </c>
      <c r="AA108" s="880">
        <v>210.98397344608915</v>
      </c>
      <c r="AB108" s="880">
        <v>403</v>
      </c>
      <c r="AC108" s="881">
        <v>0.52353343286870757</v>
      </c>
      <c r="AD108" s="880">
        <v>163.46941694715736</v>
      </c>
      <c r="AE108" s="880">
        <v>326</v>
      </c>
      <c r="AF108" s="881">
        <v>0.50143992928575876</v>
      </c>
      <c r="AG108" s="880">
        <v>395.50799215291346</v>
      </c>
      <c r="AH108" s="880">
        <v>926</v>
      </c>
      <c r="AI108" s="881">
        <v>0.42711446236815709</v>
      </c>
    </row>
    <row r="109" spans="2:35" x14ac:dyDescent="0.2">
      <c r="B109" s="867">
        <v>70204000</v>
      </c>
      <c r="C109" s="876" t="s">
        <v>1447</v>
      </c>
      <c r="D109" s="877" t="s">
        <v>1447</v>
      </c>
      <c r="E109" s="877" t="s">
        <v>1447</v>
      </c>
      <c r="F109" s="877" t="s">
        <v>1447</v>
      </c>
      <c r="G109" s="877" t="s">
        <v>1447</v>
      </c>
      <c r="H109" s="877" t="s">
        <v>1447</v>
      </c>
      <c r="I109" s="877" t="s">
        <v>1447</v>
      </c>
      <c r="J109" s="878" t="s">
        <v>1447</v>
      </c>
      <c r="K109" s="877"/>
      <c r="L109" s="879">
        <v>15343</v>
      </c>
      <c r="M109" s="880">
        <v>96327</v>
      </c>
      <c r="N109" s="881">
        <v>0.1593</v>
      </c>
      <c r="O109" s="880">
        <v>16396.863996195574</v>
      </c>
      <c r="P109" s="880">
        <v>97221.125915523357</v>
      </c>
      <c r="Q109" s="881">
        <v>0.16865536005459361</v>
      </c>
      <c r="R109" s="880">
        <v>19566.627126932333</v>
      </c>
      <c r="S109" s="880">
        <v>98275.12356469332</v>
      </c>
      <c r="T109" s="881">
        <v>0.19910050903219531</v>
      </c>
      <c r="U109" s="880">
        <v>17066.873322545776</v>
      </c>
      <c r="V109" s="880">
        <v>70797.548331860366</v>
      </c>
      <c r="W109" s="881">
        <v>0.24106588045317001</v>
      </c>
      <c r="X109" s="880">
        <v>18498.093770734529</v>
      </c>
      <c r="Y109" s="880">
        <v>70292.481725188438</v>
      </c>
      <c r="Z109" s="881">
        <v>0.26315892278570624</v>
      </c>
      <c r="AA109" s="880">
        <v>19053.149163802096</v>
      </c>
      <c r="AB109" s="880">
        <v>74274.251896850474</v>
      </c>
      <c r="AC109" s="881">
        <v>0.2565242823349127</v>
      </c>
      <c r="AD109" s="880">
        <v>19309.351373117614</v>
      </c>
      <c r="AE109" s="880">
        <v>74288.206442783237</v>
      </c>
      <c r="AF109" s="881">
        <v>0.25992485614778804</v>
      </c>
      <c r="AG109" s="880">
        <v>18406.707121654537</v>
      </c>
      <c r="AH109" s="880">
        <v>74870.003784842513</v>
      </c>
      <c r="AI109" s="881">
        <v>0.24584888728669985</v>
      </c>
    </row>
    <row r="110" spans="2:35" x14ac:dyDescent="0.2">
      <c r="B110" s="867">
        <v>70209000</v>
      </c>
      <c r="C110" s="876" t="s">
        <v>1448</v>
      </c>
      <c r="D110" s="877" t="s">
        <v>1448</v>
      </c>
      <c r="E110" s="877" t="s">
        <v>1447</v>
      </c>
      <c r="F110" s="877" t="s">
        <v>1447</v>
      </c>
      <c r="G110" s="877" t="s">
        <v>1447</v>
      </c>
      <c r="H110" s="877" t="s">
        <v>1447</v>
      </c>
      <c r="I110" s="877" t="s">
        <v>1447</v>
      </c>
      <c r="J110" s="878" t="s">
        <v>1447</v>
      </c>
      <c r="K110" s="877"/>
      <c r="L110" s="879">
        <v>199</v>
      </c>
      <c r="M110" s="880">
        <v>1502</v>
      </c>
      <c r="N110" s="881">
        <v>0.13250000000000001</v>
      </c>
      <c r="O110" s="880">
        <v>213.59829511271857</v>
      </c>
      <c r="P110" s="880">
        <v>1513.3412015823549</v>
      </c>
      <c r="Q110" s="881">
        <v>0.14114351402669764</v>
      </c>
      <c r="R110" s="880">
        <v>269.43252835746051</v>
      </c>
      <c r="S110" s="880">
        <v>1526.360576866276</v>
      </c>
      <c r="T110" s="881">
        <v>0.17651958026236772</v>
      </c>
      <c r="U110" s="880">
        <v>303.08215492002205</v>
      </c>
      <c r="V110" s="880">
        <v>1206.0760053026956</v>
      </c>
      <c r="W110" s="881">
        <v>0.25129606557752204</v>
      </c>
      <c r="X110" s="880">
        <v>238.07739295510171</v>
      </c>
      <c r="Y110" s="880">
        <v>1197.6127407676495</v>
      </c>
      <c r="Z110" s="881">
        <v>0.19879330342001716</v>
      </c>
      <c r="AA110" s="880">
        <v>221.05199353349053</v>
      </c>
      <c r="AB110" s="880">
        <v>1261.8677729079604</v>
      </c>
      <c r="AC110" s="881">
        <v>0.17517841273026463</v>
      </c>
      <c r="AD110" s="880">
        <v>389.94464138845217</v>
      </c>
      <c r="AE110" s="880">
        <v>1263.4635719846856</v>
      </c>
      <c r="AF110" s="881">
        <v>0.30863148731380968</v>
      </c>
      <c r="AG110" s="880">
        <v>339.67533341103655</v>
      </c>
      <c r="AH110" s="880">
        <v>1272.3671520079179</v>
      </c>
      <c r="AI110" s="881">
        <v>0.26696329976374833</v>
      </c>
    </row>
    <row r="111" spans="2:35" x14ac:dyDescent="0.2">
      <c r="B111" s="867">
        <v>70211000</v>
      </c>
      <c r="C111" s="876" t="s">
        <v>1448</v>
      </c>
      <c r="D111" s="877" t="s">
        <v>1448</v>
      </c>
      <c r="E111" s="877" t="s">
        <v>1448</v>
      </c>
      <c r="F111" s="877" t="s">
        <v>1448</v>
      </c>
      <c r="G111" s="877" t="s">
        <v>1447</v>
      </c>
      <c r="H111" s="877" t="s">
        <v>1447</v>
      </c>
      <c r="I111" s="877" t="s">
        <v>1447</v>
      </c>
      <c r="J111" s="878" t="s">
        <v>1447</v>
      </c>
      <c r="K111" s="877"/>
      <c r="L111" s="879">
        <v>4470</v>
      </c>
      <c r="M111" s="880">
        <v>40884</v>
      </c>
      <c r="N111" s="881">
        <v>0.10929999999999999</v>
      </c>
      <c r="O111" s="880">
        <v>4795.0078813124392</v>
      </c>
      <c r="P111" s="880">
        <v>41236.706695428678</v>
      </c>
      <c r="Q111" s="881">
        <v>0.11628008794999123</v>
      </c>
      <c r="R111" s="880">
        <v>5638.9679499137428</v>
      </c>
      <c r="S111" s="880">
        <v>41702.841405094186</v>
      </c>
      <c r="T111" s="881">
        <v>0.13521783552199199</v>
      </c>
      <c r="U111" s="880">
        <v>4728.6102484179019</v>
      </c>
      <c r="V111" s="880">
        <v>33690.314295183387</v>
      </c>
      <c r="W111" s="881">
        <v>0.1403551835992797</v>
      </c>
      <c r="X111" s="880">
        <v>5382.2668903699596</v>
      </c>
      <c r="Y111" s="880">
        <v>33950.826383098174</v>
      </c>
      <c r="Z111" s="881">
        <v>0.15853124838956578</v>
      </c>
      <c r="AA111" s="880">
        <v>5451.4697256104246</v>
      </c>
      <c r="AB111" s="880">
        <v>35830.813304793941</v>
      </c>
      <c r="AC111" s="881">
        <v>0.1521447386426211</v>
      </c>
      <c r="AD111" s="880">
        <v>5494.8750665671105</v>
      </c>
      <c r="AE111" s="880">
        <v>35836.586462317602</v>
      </c>
      <c r="AF111" s="881">
        <v>0.15333143050175849</v>
      </c>
      <c r="AG111" s="880">
        <v>5433.0453587558022</v>
      </c>
      <c r="AH111" s="880">
        <v>36138.131236059409</v>
      </c>
      <c r="AI111" s="881">
        <v>0.15034107113249376</v>
      </c>
    </row>
    <row r="112" spans="2:35" x14ac:dyDescent="0.2">
      <c r="B112" s="867">
        <v>70224000</v>
      </c>
      <c r="C112" s="876" t="s">
        <v>1447</v>
      </c>
      <c r="D112" s="877" t="s">
        <v>1447</v>
      </c>
      <c r="E112" s="877" t="s">
        <v>1447</v>
      </c>
      <c r="F112" s="877" t="s">
        <v>1447</v>
      </c>
      <c r="G112" s="877" t="s">
        <v>1447</v>
      </c>
      <c r="H112" s="877" t="s">
        <v>1447</v>
      </c>
      <c r="I112" s="877" t="s">
        <v>1447</v>
      </c>
      <c r="J112" s="878" t="s">
        <v>1447</v>
      </c>
      <c r="K112" s="877"/>
      <c r="L112" s="879">
        <v>199</v>
      </c>
      <c r="M112" s="880">
        <v>707</v>
      </c>
      <c r="N112" s="881">
        <v>0.28129999999999999</v>
      </c>
      <c r="O112" s="880">
        <v>207.20860252387658</v>
      </c>
      <c r="P112" s="880">
        <v>713.40598006467451</v>
      </c>
      <c r="Q112" s="881">
        <v>0.29044976957593188</v>
      </c>
      <c r="R112" s="880">
        <v>235.75346231277797</v>
      </c>
      <c r="S112" s="880">
        <v>721.56890062761636</v>
      </c>
      <c r="T112" s="881">
        <v>0.32672342462060244</v>
      </c>
      <c r="U112" s="880">
        <v>152.42213023594132</v>
      </c>
      <c r="V112" s="880">
        <v>453.16532258064518</v>
      </c>
      <c r="W112" s="881">
        <v>0.33634994259477197</v>
      </c>
      <c r="X112" s="880">
        <v>146.38382027325466</v>
      </c>
      <c r="Y112" s="880">
        <v>450.20390842366851</v>
      </c>
      <c r="Z112" s="881">
        <v>0.32515004320108837</v>
      </c>
      <c r="AA112" s="880">
        <v>124.24057096551144</v>
      </c>
      <c r="AB112" s="880">
        <v>475.60593619406785</v>
      </c>
      <c r="AC112" s="881">
        <v>0.26122586265369047</v>
      </c>
      <c r="AD112" s="880">
        <v>142.38042531384053</v>
      </c>
      <c r="AE112" s="880">
        <v>466.87295183330582</v>
      </c>
      <c r="AF112" s="881">
        <v>0.30496610427900012</v>
      </c>
      <c r="AG112" s="880">
        <v>128.47823491712779</v>
      </c>
      <c r="AH112" s="880">
        <v>471.01180591448605</v>
      </c>
      <c r="AI112" s="881">
        <v>0.27277073165434307</v>
      </c>
    </row>
    <row r="113" spans="2:35" x14ac:dyDescent="0.2">
      <c r="B113" s="867">
        <v>70241000</v>
      </c>
      <c r="C113" s="876" t="s">
        <v>1448</v>
      </c>
      <c r="D113" s="877" t="s">
        <v>1448</v>
      </c>
      <c r="E113" s="877" t="s">
        <v>1448</v>
      </c>
      <c r="F113" s="877" t="s">
        <v>1448</v>
      </c>
      <c r="G113" s="877" t="s">
        <v>1448</v>
      </c>
      <c r="H113" s="877" t="s">
        <v>1448</v>
      </c>
      <c r="I113" s="877" t="s">
        <v>1448</v>
      </c>
      <c r="J113" s="878" t="s">
        <v>1448</v>
      </c>
      <c r="K113" s="877"/>
      <c r="L113" s="879">
        <v>2849</v>
      </c>
      <c r="M113" s="880">
        <v>36544</v>
      </c>
      <c r="N113" s="881">
        <v>7.8E-2</v>
      </c>
      <c r="O113" s="880">
        <v>3190.2822282861171</v>
      </c>
      <c r="P113" s="880">
        <v>36864.218430516157</v>
      </c>
      <c r="Q113" s="881">
        <v>8.6541431342138667E-2</v>
      </c>
      <c r="R113" s="880">
        <v>3692.8640795480314</v>
      </c>
      <c r="S113" s="880">
        <v>37260.025537858492</v>
      </c>
      <c r="T113" s="881">
        <v>9.9110615901104329E-2</v>
      </c>
      <c r="U113" s="880">
        <v>3675.7521811811976</v>
      </c>
      <c r="V113" s="880">
        <v>37543.549768007069</v>
      </c>
      <c r="W113" s="881">
        <v>9.7906356854766799E-2</v>
      </c>
      <c r="X113" s="880">
        <v>3991.7552916200566</v>
      </c>
      <c r="Y113" s="880">
        <v>37322.959173732488</v>
      </c>
      <c r="Z113" s="881">
        <v>0.10695173641079919</v>
      </c>
      <c r="AA113" s="880">
        <v>3918.6993627536208</v>
      </c>
      <c r="AB113" s="880">
        <v>39386.402962660963</v>
      </c>
      <c r="AC113" s="881">
        <v>9.9493710214375766E-2</v>
      </c>
      <c r="AD113" s="880">
        <v>3807.1988532043802</v>
      </c>
      <c r="AE113" s="880">
        <v>39401.715520577767</v>
      </c>
      <c r="AF113" s="881">
        <v>9.6625205347113607E-2</v>
      </c>
      <c r="AG113" s="880">
        <v>3660.7497072277511</v>
      </c>
      <c r="AH113" s="880">
        <v>39738.331301690945</v>
      </c>
      <c r="AI113" s="881">
        <v>9.2121374685704999E-2</v>
      </c>
    </row>
    <row r="114" spans="2:35" x14ac:dyDescent="0.2">
      <c r="B114" s="867">
        <v>70248000</v>
      </c>
      <c r="C114" s="876" t="s">
        <v>1448</v>
      </c>
      <c r="D114" s="877" t="s">
        <v>1448</v>
      </c>
      <c r="E114" s="877" t="s">
        <v>1448</v>
      </c>
      <c r="F114" s="877" t="s">
        <v>1448</v>
      </c>
      <c r="G114" s="877" t="s">
        <v>1448</v>
      </c>
      <c r="H114" s="877" t="s">
        <v>1448</v>
      </c>
      <c r="I114" s="877" t="s">
        <v>1448</v>
      </c>
      <c r="J114" s="878" t="s">
        <v>1448</v>
      </c>
      <c r="K114" s="877"/>
      <c r="L114" s="879">
        <v>3079</v>
      </c>
      <c r="M114" s="880">
        <v>39284</v>
      </c>
      <c r="N114" s="881">
        <v>7.8399999999999997E-2</v>
      </c>
      <c r="O114" s="880">
        <v>3162.8978314767946</v>
      </c>
      <c r="P114" s="880">
        <v>39623.948918559894</v>
      </c>
      <c r="Q114" s="881">
        <v>7.9822882822143212E-2</v>
      </c>
      <c r="R114" s="880">
        <v>4189.8578649641577</v>
      </c>
      <c r="S114" s="880">
        <v>40046.616716834847</v>
      </c>
      <c r="T114" s="881">
        <v>0.10462451533896545</v>
      </c>
      <c r="U114" s="880">
        <v>3616.7216451938675</v>
      </c>
      <c r="V114" s="880">
        <v>27564.157644719398</v>
      </c>
      <c r="W114" s="881">
        <v>0.1312110346998665</v>
      </c>
      <c r="X114" s="880">
        <v>3784.4085391482045</v>
      </c>
      <c r="Y114" s="880">
        <v>27430.783451532738</v>
      </c>
      <c r="Z114" s="881">
        <v>0.13796210180561738</v>
      </c>
      <c r="AA114" s="880">
        <v>3651.3190715510609</v>
      </c>
      <c r="AB114" s="880">
        <v>28907.493751911119</v>
      </c>
      <c r="AC114" s="881">
        <v>0.12631046824353864</v>
      </c>
      <c r="AD114" s="880">
        <v>3500.3745776003184</v>
      </c>
      <c r="AE114" s="880">
        <v>28923.415185268401</v>
      </c>
      <c r="AF114" s="881">
        <v>0.12102217373635629</v>
      </c>
      <c r="AG114" s="880">
        <v>3191.7161509891957</v>
      </c>
      <c r="AH114" s="880">
        <v>29166.430478766379</v>
      </c>
      <c r="AI114" s="881">
        <v>0.10943115419327076</v>
      </c>
    </row>
    <row r="115" spans="2:35" x14ac:dyDescent="0.2">
      <c r="B115" s="867">
        <v>70260000</v>
      </c>
      <c r="C115" s="876" t="s">
        <v>1448</v>
      </c>
      <c r="D115" s="877" t="s">
        <v>1448</v>
      </c>
      <c r="E115" s="877" t="s">
        <v>1448</v>
      </c>
      <c r="F115" s="877" t="s">
        <v>1448</v>
      </c>
      <c r="G115" s="877" t="s">
        <v>1448</v>
      </c>
      <c r="H115" s="877" t="s">
        <v>1448</v>
      </c>
      <c r="I115" s="877" t="s">
        <v>1448</v>
      </c>
      <c r="J115" s="878" t="s">
        <v>1448</v>
      </c>
      <c r="K115" s="877"/>
      <c r="L115" s="879">
        <v>121</v>
      </c>
      <c r="M115" s="880">
        <v>1474</v>
      </c>
      <c r="N115" s="881">
        <v>8.2299999999999998E-2</v>
      </c>
      <c r="O115" s="880">
        <v>130.53229145777246</v>
      </c>
      <c r="P115" s="880">
        <v>1486.6460100702573</v>
      </c>
      <c r="Q115" s="881">
        <v>8.7803209757784675E-2</v>
      </c>
      <c r="R115" s="880">
        <v>144.72895948931156</v>
      </c>
      <c r="S115" s="880">
        <v>1496.1808890073264</v>
      </c>
      <c r="T115" s="881">
        <v>9.6732260485785995E-2</v>
      </c>
      <c r="U115" s="880">
        <v>1153.2980836927584</v>
      </c>
      <c r="V115" s="880">
        <v>13464.597050375607</v>
      </c>
      <c r="W115" s="881">
        <v>8.5654110507568895E-2</v>
      </c>
      <c r="X115" s="880">
        <v>1254.1105083832097</v>
      </c>
      <c r="Y115" s="880">
        <v>13385.652535026378</v>
      </c>
      <c r="Z115" s="881">
        <v>9.3690651621321078E-2</v>
      </c>
      <c r="AA115" s="880">
        <v>1263.0662838777682</v>
      </c>
      <c r="AB115" s="880">
        <v>14126.137777324771</v>
      </c>
      <c r="AC115" s="881">
        <v>8.9413419562227259E-2</v>
      </c>
      <c r="AD115" s="880">
        <v>1265.4646981184271</v>
      </c>
      <c r="AE115" s="880">
        <v>14131.535767748195</v>
      </c>
      <c r="AF115" s="881">
        <v>8.9548985964182579E-2</v>
      </c>
      <c r="AG115" s="880">
        <v>1143.9842835086722</v>
      </c>
      <c r="AH115" s="880">
        <v>14251.96416200595</v>
      </c>
      <c r="AI115" s="881">
        <v>8.0268534954529208E-2</v>
      </c>
    </row>
    <row r="116" spans="2:35" x14ac:dyDescent="0.2">
      <c r="B116" s="867">
        <v>70269000</v>
      </c>
      <c r="C116" s="876" t="s">
        <v>1448</v>
      </c>
      <c r="D116" s="877" t="s">
        <v>1448</v>
      </c>
      <c r="E116" s="877" t="s">
        <v>1447</v>
      </c>
      <c r="F116" s="877" t="s">
        <v>1447</v>
      </c>
      <c r="G116" s="877" t="s">
        <v>1447</v>
      </c>
      <c r="H116" s="877" t="s">
        <v>1447</v>
      </c>
      <c r="I116" s="877" t="s">
        <v>1447</v>
      </c>
      <c r="J116" s="878" t="s">
        <v>1447</v>
      </c>
      <c r="K116" s="877"/>
      <c r="L116" s="879">
        <v>5361</v>
      </c>
      <c r="M116" s="880">
        <v>49438</v>
      </c>
      <c r="N116" s="881">
        <v>0.1084</v>
      </c>
      <c r="O116" s="880">
        <v>5886.7325007774452</v>
      </c>
      <c r="P116" s="880">
        <v>49863.856173062391</v>
      </c>
      <c r="Q116" s="881">
        <v>0.11805610220650352</v>
      </c>
      <c r="R116" s="880">
        <v>7147.2439616985812</v>
      </c>
      <c r="S116" s="880">
        <v>50419.283980356304</v>
      </c>
      <c r="T116" s="881">
        <v>0.14175615751471593</v>
      </c>
      <c r="U116" s="880">
        <v>5651.953557592853</v>
      </c>
      <c r="V116" s="880">
        <v>34984.185539107377</v>
      </c>
      <c r="W116" s="881">
        <v>0.16155738573003986</v>
      </c>
      <c r="X116" s="880">
        <v>6132.1339045325367</v>
      </c>
      <c r="Y116" s="880">
        <v>34824.855064686308</v>
      </c>
      <c r="Z116" s="881">
        <v>0.17608497991283092</v>
      </c>
      <c r="AA116" s="880">
        <v>6251.0211869716113</v>
      </c>
      <c r="AB116" s="880">
        <v>36749.951559134308</v>
      </c>
      <c r="AC116" s="881">
        <v>0.17009603881825802</v>
      </c>
      <c r="AD116" s="880">
        <v>6449.5005551859249</v>
      </c>
      <c r="AE116" s="880">
        <v>36764.882487169045</v>
      </c>
      <c r="AF116" s="881">
        <v>0.17542557241783113</v>
      </c>
      <c r="AG116" s="880">
        <v>5889.7590842488798</v>
      </c>
      <c r="AH116" s="880">
        <v>37078.339773491789</v>
      </c>
      <c r="AI116" s="881">
        <v>0.15884635396916053</v>
      </c>
    </row>
    <row r="117" spans="2:35" x14ac:dyDescent="0.2">
      <c r="B117" s="867">
        <v>70280000</v>
      </c>
      <c r="C117" s="876" t="s">
        <v>1448</v>
      </c>
      <c r="D117" s="877" t="s">
        <v>1448</v>
      </c>
      <c r="E117" s="877" t="s">
        <v>1448</v>
      </c>
      <c r="F117" s="877" t="s">
        <v>1448</v>
      </c>
      <c r="G117" s="877" t="s">
        <v>1448</v>
      </c>
      <c r="H117" s="877" t="s">
        <v>1448</v>
      </c>
      <c r="I117" s="877" t="s">
        <v>1448</v>
      </c>
      <c r="J117" s="878" t="s">
        <v>1448</v>
      </c>
      <c r="K117" s="877"/>
      <c r="L117" s="879">
        <v>3158</v>
      </c>
      <c r="M117" s="880">
        <v>29740</v>
      </c>
      <c r="N117" s="881">
        <v>0.1062</v>
      </c>
      <c r="O117" s="880">
        <v>3356.4142355960093</v>
      </c>
      <c r="P117" s="880">
        <v>29998.031068835633</v>
      </c>
      <c r="Q117" s="881">
        <v>0.11188781783358183</v>
      </c>
      <c r="R117" s="880">
        <v>3908.5921512396471</v>
      </c>
      <c r="S117" s="880">
        <v>30324.184546274406</v>
      </c>
      <c r="T117" s="881">
        <v>0.12889356168094723</v>
      </c>
      <c r="U117" s="880">
        <v>5036.9787199935063</v>
      </c>
      <c r="V117" s="880">
        <v>39551.311588599201</v>
      </c>
      <c r="W117" s="881">
        <v>0.12735301353306908</v>
      </c>
      <c r="X117" s="880">
        <v>5488.9739442829296</v>
      </c>
      <c r="Y117" s="880">
        <v>39315.463190310671</v>
      </c>
      <c r="Z117" s="881">
        <v>0.13961361507336106</v>
      </c>
      <c r="AA117" s="880">
        <v>5293.4964561036777</v>
      </c>
      <c r="AB117" s="880">
        <v>41488.599528420476</v>
      </c>
      <c r="AC117" s="881">
        <v>0.12758918151666054</v>
      </c>
      <c r="AD117" s="880">
        <v>5088.0798670785425</v>
      </c>
      <c r="AE117" s="880">
        <v>41518.993440273167</v>
      </c>
      <c r="AF117" s="881">
        <v>0.1225482470907673</v>
      </c>
      <c r="AG117" s="880">
        <v>4934.9722014743338</v>
      </c>
      <c r="AH117" s="880">
        <v>41871.043717681387</v>
      </c>
      <c r="AI117" s="881">
        <v>0.11786121776062591</v>
      </c>
    </row>
    <row r="118" spans="2:35" x14ac:dyDescent="0.2">
      <c r="B118" s="867">
        <v>70281000</v>
      </c>
      <c r="C118" s="876" t="s">
        <v>1447</v>
      </c>
      <c r="D118" s="877" t="s">
        <v>1447</v>
      </c>
      <c r="E118" s="877" t="s">
        <v>1447</v>
      </c>
      <c r="F118" s="877" t="s">
        <v>1448</v>
      </c>
      <c r="G118" s="877" t="s">
        <v>1448</v>
      </c>
      <c r="H118" s="877" t="s">
        <v>1448</v>
      </c>
      <c r="I118" s="877" t="s">
        <v>1448</v>
      </c>
      <c r="J118" s="878" t="s">
        <v>1448</v>
      </c>
      <c r="K118" s="877"/>
      <c r="L118" s="879">
        <v>190</v>
      </c>
      <c r="M118" s="880">
        <v>850</v>
      </c>
      <c r="N118" s="881">
        <v>0.22320000000000001</v>
      </c>
      <c r="O118" s="880">
        <v>195.34203057316998</v>
      </c>
      <c r="P118" s="880">
        <v>857.92822376809897</v>
      </c>
      <c r="Q118" s="881">
        <v>0.22769041180998797</v>
      </c>
      <c r="R118" s="880">
        <v>198.43341615515675</v>
      </c>
      <c r="S118" s="880">
        <v>866.06558795228489</v>
      </c>
      <c r="T118" s="881">
        <v>0.22912054111782729</v>
      </c>
      <c r="U118" s="880" t="s">
        <v>1450</v>
      </c>
      <c r="V118" s="880" t="s">
        <v>1450</v>
      </c>
      <c r="W118" s="881" t="s">
        <v>1450</v>
      </c>
      <c r="X118" s="880" t="s">
        <v>1450</v>
      </c>
      <c r="Y118" s="880" t="s">
        <v>1450</v>
      </c>
      <c r="Z118" s="881" t="s">
        <v>1450</v>
      </c>
      <c r="AA118" s="880" t="s">
        <v>1450</v>
      </c>
      <c r="AB118" s="880" t="s">
        <v>1450</v>
      </c>
      <c r="AC118" s="881" t="s">
        <v>1450</v>
      </c>
      <c r="AD118" s="880" t="s">
        <v>1450</v>
      </c>
      <c r="AE118" s="880" t="s">
        <v>1450</v>
      </c>
      <c r="AF118" s="881" t="s">
        <v>1450</v>
      </c>
      <c r="AG118" s="880" t="s">
        <v>1450</v>
      </c>
      <c r="AH118" s="880" t="s">
        <v>1450</v>
      </c>
      <c r="AI118" s="881" t="s">
        <v>1450</v>
      </c>
    </row>
    <row r="119" spans="2:35" x14ac:dyDescent="0.2">
      <c r="B119" s="867">
        <v>70289000</v>
      </c>
      <c r="C119" s="876" t="s">
        <v>1448</v>
      </c>
      <c r="D119" s="877" t="s">
        <v>1448</v>
      </c>
      <c r="E119" s="877" t="s">
        <v>1448</v>
      </c>
      <c r="F119" s="877" t="s">
        <v>1447</v>
      </c>
      <c r="G119" s="877" t="s">
        <v>1447</v>
      </c>
      <c r="H119" s="877" t="s">
        <v>1447</v>
      </c>
      <c r="I119" s="877" t="s">
        <v>1447</v>
      </c>
      <c r="J119" s="878" t="s">
        <v>1447</v>
      </c>
      <c r="K119" s="877"/>
      <c r="L119" s="879">
        <v>1009</v>
      </c>
      <c r="M119" s="880">
        <v>7659</v>
      </c>
      <c r="N119" s="881">
        <v>0.13170000000000001</v>
      </c>
      <c r="O119" s="880">
        <v>1055.2120903859088</v>
      </c>
      <c r="P119" s="880">
        <v>7725.0361092938692</v>
      </c>
      <c r="Q119" s="881">
        <v>0.13659639585585881</v>
      </c>
      <c r="R119" s="880">
        <v>1133.2550601521566</v>
      </c>
      <c r="S119" s="880">
        <v>7814.7100834765306</v>
      </c>
      <c r="T119" s="881">
        <v>0.14501562413023072</v>
      </c>
      <c r="U119" s="880">
        <v>4526.8491627298645</v>
      </c>
      <c r="V119" s="880">
        <v>28989.278336279276</v>
      </c>
      <c r="W119" s="881">
        <v>0.15615597981494553</v>
      </c>
      <c r="X119" s="880">
        <v>5199.0777171075515</v>
      </c>
      <c r="Y119" s="880">
        <v>28819.205270675266</v>
      </c>
      <c r="Z119" s="881">
        <v>0.18040323000849118</v>
      </c>
      <c r="AA119" s="880">
        <v>5008.1795099566598</v>
      </c>
      <c r="AB119" s="880">
        <v>30413.12102198213</v>
      </c>
      <c r="AC119" s="881">
        <v>0.16467167267498872</v>
      </c>
      <c r="AD119" s="880">
        <v>5340.5855430542188</v>
      </c>
      <c r="AE119" s="880">
        <v>30424.856798849054</v>
      </c>
      <c r="AF119" s="881">
        <v>0.17553362957015622</v>
      </c>
      <c r="AG119" s="880">
        <v>5165.5290339968515</v>
      </c>
      <c r="AH119" s="880">
        <v>30684.740211511918</v>
      </c>
      <c r="AI119" s="881">
        <v>0.16834195102811764</v>
      </c>
    </row>
    <row r="120" spans="2:35" x14ac:dyDescent="0.2">
      <c r="B120" s="867">
        <v>70290000</v>
      </c>
      <c r="C120" s="876" t="s">
        <v>1447</v>
      </c>
      <c r="D120" s="877" t="s">
        <v>1447</v>
      </c>
      <c r="E120" s="877" t="s">
        <v>1447</v>
      </c>
      <c r="F120" s="877" t="s">
        <v>1448</v>
      </c>
      <c r="G120" s="877" t="s">
        <v>1447</v>
      </c>
      <c r="H120" s="877" t="s">
        <v>1447</v>
      </c>
      <c r="I120" s="877" t="s">
        <v>1447</v>
      </c>
      <c r="J120" s="878" t="s">
        <v>1447</v>
      </c>
      <c r="K120" s="877"/>
      <c r="L120" s="879">
        <v>116</v>
      </c>
      <c r="M120" s="880">
        <v>572</v>
      </c>
      <c r="N120" s="881">
        <v>0.20230000000000001</v>
      </c>
      <c r="O120" s="880">
        <v>97.671015286584989</v>
      </c>
      <c r="P120" s="880">
        <v>578.08897481369763</v>
      </c>
      <c r="Q120" s="881">
        <v>0.16895498710741147</v>
      </c>
      <c r="R120" s="880">
        <v>93.755237908170386</v>
      </c>
      <c r="S120" s="880">
        <v>591.70478923456005</v>
      </c>
      <c r="T120" s="881">
        <v>0.15844934773885108</v>
      </c>
      <c r="U120" s="880">
        <v>263.43478000315872</v>
      </c>
      <c r="V120" s="880">
        <v>1780.7357490057445</v>
      </c>
      <c r="W120" s="881">
        <v>0.14793591926833885</v>
      </c>
      <c r="X120" s="880">
        <v>293.64565884603076</v>
      </c>
      <c r="Y120" s="880">
        <v>1767.402062366355</v>
      </c>
      <c r="Z120" s="881">
        <v>0.16614536392068696</v>
      </c>
      <c r="AA120" s="880">
        <v>288.05708855757769</v>
      </c>
      <c r="AB120" s="880">
        <v>1865.7681812931064</v>
      </c>
      <c r="AC120" s="881">
        <v>0.15439061049799563</v>
      </c>
      <c r="AD120" s="880">
        <v>329.87504789194162</v>
      </c>
      <c r="AE120" s="880">
        <v>1863.8585547897735</v>
      </c>
      <c r="AF120" s="881">
        <v>0.17698502230452168</v>
      </c>
      <c r="AG120" s="880">
        <v>305.35580490577638</v>
      </c>
      <c r="AH120" s="880">
        <v>1880.4170748647687</v>
      </c>
      <c r="AI120" s="881">
        <v>0.16238727513561652</v>
      </c>
    </row>
    <row r="121" spans="2:35" x14ac:dyDescent="0.2">
      <c r="B121" s="867">
        <v>70293000</v>
      </c>
      <c r="C121" s="876" t="s">
        <v>1448</v>
      </c>
      <c r="D121" s="877" t="s">
        <v>1448</v>
      </c>
      <c r="E121" s="877" t="s">
        <v>1448</v>
      </c>
      <c r="F121" s="877" t="s">
        <v>1448</v>
      </c>
      <c r="G121" s="877" t="s">
        <v>1448</v>
      </c>
      <c r="H121" s="877" t="s">
        <v>1448</v>
      </c>
      <c r="I121" s="877" t="s">
        <v>1448</v>
      </c>
      <c r="J121" s="878" t="s">
        <v>1448</v>
      </c>
      <c r="K121" s="877"/>
      <c r="L121" s="879">
        <v>349</v>
      </c>
      <c r="M121" s="880">
        <v>6358</v>
      </c>
      <c r="N121" s="881">
        <v>5.4899999999999997E-2</v>
      </c>
      <c r="O121" s="880">
        <v>437.23753572218891</v>
      </c>
      <c r="P121" s="880">
        <v>6413.2896298201131</v>
      </c>
      <c r="Q121" s="881">
        <v>6.8176795523025996E-2</v>
      </c>
      <c r="R121" s="880">
        <v>505.18599067023848</v>
      </c>
      <c r="S121" s="880">
        <v>6492.2910336570958</v>
      </c>
      <c r="T121" s="881">
        <v>7.7813207702992965E-2</v>
      </c>
      <c r="U121" s="880">
        <v>635.23905144574383</v>
      </c>
      <c r="V121" s="880">
        <v>7544.1827772867873</v>
      </c>
      <c r="W121" s="881">
        <v>8.4202500151275908E-2</v>
      </c>
      <c r="X121" s="880">
        <v>607.61229509159386</v>
      </c>
      <c r="Y121" s="880">
        <v>7499.5881541903682</v>
      </c>
      <c r="Z121" s="881">
        <v>8.1019421680121551E-2</v>
      </c>
      <c r="AA121" s="880">
        <v>591.89399757956869</v>
      </c>
      <c r="AB121" s="880">
        <v>7914.8525451024361</v>
      </c>
      <c r="AC121" s="881">
        <v>7.4782694207717326E-2</v>
      </c>
      <c r="AD121" s="880">
        <v>588.99974772202916</v>
      </c>
      <c r="AE121" s="880">
        <v>7917.7656053130877</v>
      </c>
      <c r="AF121" s="881">
        <v>7.4389641861435055E-2</v>
      </c>
      <c r="AG121" s="880">
        <v>533.27267369711956</v>
      </c>
      <c r="AH121" s="880">
        <v>7985.4198077872097</v>
      </c>
      <c r="AI121" s="881">
        <v>6.6780793813380174E-2</v>
      </c>
    </row>
    <row r="122" spans="2:35" x14ac:dyDescent="0.2">
      <c r="B122" s="867">
        <v>70295000</v>
      </c>
      <c r="C122" s="876" t="s">
        <v>1447</v>
      </c>
      <c r="D122" s="877" t="s">
        <v>1447</v>
      </c>
      <c r="E122" s="877" t="s">
        <v>1447</v>
      </c>
      <c r="F122" s="877" t="s">
        <v>1447</v>
      </c>
      <c r="G122" s="877" t="s">
        <v>1447</v>
      </c>
      <c r="H122" s="877" t="s">
        <v>1447</v>
      </c>
      <c r="I122" s="877" t="s">
        <v>1447</v>
      </c>
      <c r="J122" s="878" t="s">
        <v>1447</v>
      </c>
      <c r="K122" s="877"/>
      <c r="L122" s="879">
        <v>320</v>
      </c>
      <c r="M122" s="880">
        <v>1720</v>
      </c>
      <c r="N122" s="881">
        <v>0.18609999999999999</v>
      </c>
      <c r="O122" s="880">
        <v>447.27848121894061</v>
      </c>
      <c r="P122" s="880">
        <v>1840.1271666442381</v>
      </c>
      <c r="Q122" s="881">
        <v>0.24306933201503864</v>
      </c>
      <c r="R122" s="880">
        <v>463.31471937144397</v>
      </c>
      <c r="S122" s="880">
        <v>1865.6534312805293</v>
      </c>
      <c r="T122" s="881">
        <v>0.24833911357986702</v>
      </c>
      <c r="U122" s="880">
        <v>965.63384241960512</v>
      </c>
      <c r="V122" s="880">
        <v>5965.642123287671</v>
      </c>
      <c r="W122" s="881">
        <v>0.16186586832792502</v>
      </c>
      <c r="X122" s="880">
        <v>1059.8137908005779</v>
      </c>
      <c r="Y122" s="880">
        <v>5930.9089107766486</v>
      </c>
      <c r="Z122" s="881">
        <v>0.17869331779398312</v>
      </c>
      <c r="AA122" s="880">
        <v>1086.5136057739683</v>
      </c>
      <c r="AB122" s="880">
        <v>6258.9374647504501</v>
      </c>
      <c r="AC122" s="881">
        <v>0.17359393857073607</v>
      </c>
      <c r="AD122" s="880">
        <v>1202.5733803635126</v>
      </c>
      <c r="AE122" s="880">
        <v>6261.0024454999548</v>
      </c>
      <c r="AF122" s="881">
        <v>0.19207361613919391</v>
      </c>
      <c r="AG122" s="880">
        <v>1139.5843439567159</v>
      </c>
      <c r="AH122" s="880">
        <v>6314.6438257283107</v>
      </c>
      <c r="AI122" s="881">
        <v>0.18046692345712467</v>
      </c>
    </row>
    <row r="123" spans="2:35" x14ac:dyDescent="0.2">
      <c r="B123" s="867">
        <v>70297000</v>
      </c>
      <c r="C123" s="876" t="s">
        <v>1448</v>
      </c>
      <c r="D123" s="877" t="s">
        <v>1448</v>
      </c>
      <c r="E123" s="877" t="s">
        <v>1448</v>
      </c>
      <c r="F123" s="877" t="s">
        <v>1448</v>
      </c>
      <c r="G123" s="877" t="s">
        <v>1448</v>
      </c>
      <c r="H123" s="877" t="s">
        <v>1448</v>
      </c>
      <c r="I123" s="877" t="s">
        <v>1448</v>
      </c>
      <c r="J123" s="878" t="s">
        <v>1448</v>
      </c>
      <c r="K123" s="877"/>
      <c r="L123" s="879">
        <v>3751</v>
      </c>
      <c r="M123" s="880">
        <v>38631</v>
      </c>
      <c r="N123" s="881">
        <v>9.7100000000000006E-2</v>
      </c>
      <c r="O123" s="880">
        <v>3943.3531405424969</v>
      </c>
      <c r="P123" s="880">
        <v>38963.933321519413</v>
      </c>
      <c r="Q123" s="881">
        <v>0.10120521221518004</v>
      </c>
      <c r="R123" s="880">
        <v>4736.9151269331915</v>
      </c>
      <c r="S123" s="880">
        <v>39388.150799912306</v>
      </c>
      <c r="T123" s="881">
        <v>0.12026244011799959</v>
      </c>
      <c r="U123" s="880">
        <v>5187.6387446775871</v>
      </c>
      <c r="V123" s="880">
        <v>41721.361577551921</v>
      </c>
      <c r="W123" s="881">
        <v>0.12434011136081387</v>
      </c>
      <c r="X123" s="880">
        <v>5238.8096243876307</v>
      </c>
      <c r="Y123" s="880">
        <v>41476.793672547741</v>
      </c>
      <c r="Z123" s="881">
        <v>0.12630700593076566</v>
      </c>
      <c r="AA123" s="880">
        <v>5427.587761813671</v>
      </c>
      <c r="AB123" s="880">
        <v>43769.491966160436</v>
      </c>
      <c r="AC123" s="881">
        <v>0.12400390130207381</v>
      </c>
      <c r="AD123" s="880">
        <v>5497.9470882947589</v>
      </c>
      <c r="AE123" s="880">
        <v>43787.051340521743</v>
      </c>
      <c r="AF123" s="881">
        <v>0.1255610259192495</v>
      </c>
      <c r="AG123" s="880">
        <v>5220.0882844411108</v>
      </c>
      <c r="AH123" s="880">
        <v>44160.760068976662</v>
      </c>
      <c r="AI123" s="881">
        <v>0.11820648639850451</v>
      </c>
    </row>
    <row r="124" spans="2:35" x14ac:dyDescent="0.2">
      <c r="B124" s="867">
        <v>70298000</v>
      </c>
      <c r="C124" s="876" t="s">
        <v>1448</v>
      </c>
      <c r="D124" s="877" t="s">
        <v>1448</v>
      </c>
      <c r="E124" s="877" t="s">
        <v>1448</v>
      </c>
      <c r="F124" s="877" t="s">
        <v>1448</v>
      </c>
      <c r="G124" s="877" t="s">
        <v>1448</v>
      </c>
      <c r="H124" s="877" t="s">
        <v>1448</v>
      </c>
      <c r="I124" s="877" t="s">
        <v>1448</v>
      </c>
      <c r="J124" s="878" t="s">
        <v>1448</v>
      </c>
      <c r="K124" s="877"/>
      <c r="L124" s="879">
        <v>246</v>
      </c>
      <c r="M124" s="880">
        <v>3301</v>
      </c>
      <c r="N124" s="881">
        <v>7.46E-2</v>
      </c>
      <c r="O124" s="880">
        <v>288.44897972486785</v>
      </c>
      <c r="P124" s="880">
        <v>3328.6142244049847</v>
      </c>
      <c r="Q124" s="881">
        <v>8.6657377598760438E-2</v>
      </c>
      <c r="R124" s="880">
        <v>347.71360078564163</v>
      </c>
      <c r="S124" s="880">
        <v>3364.5779282750332</v>
      </c>
      <c r="T124" s="881">
        <v>0.10334538482926713</v>
      </c>
      <c r="U124" s="880">
        <v>298.67689104037055</v>
      </c>
      <c r="V124" s="880">
        <v>2325.2435925762261</v>
      </c>
      <c r="W124" s="881">
        <v>0.12844972113629394</v>
      </c>
      <c r="X124" s="880">
        <v>282.23142095225222</v>
      </c>
      <c r="Y124" s="880">
        <v>2311.6915532145008</v>
      </c>
      <c r="Z124" s="881">
        <v>0.12208870191172261</v>
      </c>
      <c r="AA124" s="880">
        <v>289.8104019425125</v>
      </c>
      <c r="AB124" s="880">
        <v>2439.4277498046408</v>
      </c>
      <c r="AC124" s="881">
        <v>0.11880261752606597</v>
      </c>
      <c r="AD124" s="880">
        <v>214.89023175595932</v>
      </c>
      <c r="AE124" s="880">
        <v>2440.6373960624373</v>
      </c>
      <c r="AF124" s="881">
        <v>8.8046766841583676E-2</v>
      </c>
      <c r="AG124" s="880">
        <v>200.6372435692133</v>
      </c>
      <c r="AH124" s="880">
        <v>2461.2408817728056</v>
      </c>
      <c r="AI124" s="881">
        <v>8.1518735144971433E-2</v>
      </c>
    </row>
    <row r="125" spans="2:35" x14ac:dyDescent="0.2">
      <c r="B125" s="867">
        <v>70363000</v>
      </c>
      <c r="C125" s="876" t="s">
        <v>1447</v>
      </c>
      <c r="D125" s="877" t="s">
        <v>1447</v>
      </c>
      <c r="E125" s="877" t="s">
        <v>1447</v>
      </c>
      <c r="F125" s="877" t="s">
        <v>1447</v>
      </c>
      <c r="G125" s="877" t="s">
        <v>1447</v>
      </c>
      <c r="H125" s="877" t="s">
        <v>1447</v>
      </c>
      <c r="I125" s="877" t="s">
        <v>1447</v>
      </c>
      <c r="J125" s="878" t="s">
        <v>1447</v>
      </c>
      <c r="K125" s="877"/>
      <c r="L125" s="879">
        <v>66</v>
      </c>
      <c r="M125" s="880">
        <v>269</v>
      </c>
      <c r="N125" s="881">
        <v>0.24440000000000001</v>
      </c>
      <c r="O125" s="880">
        <v>68.460992023307242</v>
      </c>
      <c r="P125" s="880">
        <v>271.55453434719868</v>
      </c>
      <c r="Q125" s="881">
        <v>0.25210771084299322</v>
      </c>
      <c r="R125" s="880">
        <v>112.87038350109833</v>
      </c>
      <c r="S125" s="880">
        <v>373.13068625610583</v>
      </c>
      <c r="T125" s="881">
        <v>0.30249558039197949</v>
      </c>
      <c r="U125" s="880">
        <v>53.744219331748099</v>
      </c>
      <c r="V125" s="880">
        <v>177.36411842686698</v>
      </c>
      <c r="W125" s="881">
        <v>0.30301630233010513</v>
      </c>
      <c r="X125" s="880">
        <v>55.56826589092902</v>
      </c>
      <c r="Y125" s="880">
        <v>176.74020623663549</v>
      </c>
      <c r="Z125" s="881">
        <v>0.31440647871899213</v>
      </c>
      <c r="AA125" s="880">
        <v>45.838938939347976</v>
      </c>
      <c r="AB125" s="880">
        <v>186.02698467706315</v>
      </c>
      <c r="AC125" s="881">
        <v>0.24641015935899244</v>
      </c>
      <c r="AD125" s="880">
        <v>46.873655644525272</v>
      </c>
      <c r="AE125" s="880">
        <v>186.20419285180486</v>
      </c>
      <c r="AF125" s="881">
        <v>0.25173254654813715</v>
      </c>
      <c r="AG125" s="880">
        <v>79.198911935215776</v>
      </c>
      <c r="AH125" s="880">
        <v>187.86020004681811</v>
      </c>
      <c r="AI125" s="881">
        <v>0.42158430532639696</v>
      </c>
    </row>
    <row r="126" spans="2:35" x14ac:dyDescent="0.2">
      <c r="B126" s="867">
        <v>70371000</v>
      </c>
      <c r="C126" s="876" t="s">
        <v>1447</v>
      </c>
      <c r="D126" s="877" t="s">
        <v>1447</v>
      </c>
      <c r="E126" s="877" t="s">
        <v>1447</v>
      </c>
      <c r="F126" s="877" t="s">
        <v>1448</v>
      </c>
      <c r="G126" s="877" t="s">
        <v>1448</v>
      </c>
      <c r="H126" s="877" t="s">
        <v>1448</v>
      </c>
      <c r="I126" s="877" t="s">
        <v>1448</v>
      </c>
      <c r="J126" s="878" t="s">
        <v>1448</v>
      </c>
      <c r="K126" s="877"/>
      <c r="L126" s="879">
        <v>22</v>
      </c>
      <c r="M126" s="880">
        <v>45</v>
      </c>
      <c r="N126" s="881">
        <v>0.48899999999999999</v>
      </c>
      <c r="O126" s="880">
        <v>13.692198404661447</v>
      </c>
      <c r="P126" s="880">
        <v>46.026192262237068</v>
      </c>
      <c r="Q126" s="881">
        <v>0.29748709879473195</v>
      </c>
      <c r="R126" s="880">
        <v>10.922940338815966</v>
      </c>
      <c r="S126" s="880">
        <v>55.786695739270726</v>
      </c>
      <c r="T126" s="881">
        <v>0.19579830269687087</v>
      </c>
      <c r="U126" s="880">
        <v>5.2863166555817802</v>
      </c>
      <c r="V126" s="880">
        <v>22.170514803358373</v>
      </c>
      <c r="W126" s="881">
        <v>0.2384390575712303</v>
      </c>
      <c r="X126" s="880">
        <v>6.1461280966499645</v>
      </c>
      <c r="Y126" s="880">
        <v>21.982612715999437</v>
      </c>
      <c r="Z126" s="881">
        <v>0.27959042794656863</v>
      </c>
      <c r="AA126" s="880">
        <v>2.6299700774022297</v>
      </c>
      <c r="AB126" s="880">
        <v>22.909727176978219</v>
      </c>
      <c r="AC126" s="881">
        <v>0.11479709282810942</v>
      </c>
      <c r="AD126" s="880">
        <v>0</v>
      </c>
      <c r="AE126" s="880">
        <v>23.616141532424031</v>
      </c>
      <c r="AF126" s="881">
        <v>0</v>
      </c>
      <c r="AG126" s="880">
        <v>6.1599153727390048</v>
      </c>
      <c r="AH126" s="880">
        <v>23.595967155638991</v>
      </c>
      <c r="AI126" s="881">
        <v>0.26105797368288425</v>
      </c>
    </row>
    <row r="127" spans="2:35" x14ac:dyDescent="0.2">
      <c r="B127" s="867">
        <v>70375000</v>
      </c>
      <c r="C127" s="876" t="s">
        <v>1448</v>
      </c>
      <c r="D127" s="877" t="s">
        <v>1448</v>
      </c>
      <c r="E127" s="877" t="s">
        <v>1447</v>
      </c>
      <c r="F127" s="877" t="s">
        <v>1448</v>
      </c>
      <c r="G127" s="877" t="s">
        <v>1447</v>
      </c>
      <c r="H127" s="877" t="s">
        <v>1448</v>
      </c>
      <c r="I127" s="877" t="s">
        <v>1447</v>
      </c>
      <c r="J127" s="878" t="s">
        <v>1448</v>
      </c>
      <c r="K127" s="877"/>
      <c r="L127" s="879">
        <v>20</v>
      </c>
      <c r="M127" s="880">
        <v>187</v>
      </c>
      <c r="N127" s="881">
        <v>0.1087</v>
      </c>
      <c r="O127" s="880">
        <v>22.820330674435745</v>
      </c>
      <c r="P127" s="880">
        <v>188.70738827517198</v>
      </c>
      <c r="Q127" s="881">
        <v>0.12092971495720811</v>
      </c>
      <c r="R127" s="880">
        <v>43.691761355263864</v>
      </c>
      <c r="S127" s="880">
        <v>273.44626272199918</v>
      </c>
      <c r="T127" s="881">
        <v>0.15978189250179425</v>
      </c>
      <c r="U127" s="880">
        <v>28.193688829769492</v>
      </c>
      <c r="V127" s="880">
        <v>237.66791869200176</v>
      </c>
      <c r="W127" s="881">
        <v>0.1186263968016071</v>
      </c>
      <c r="X127" s="880">
        <v>51.178174393321903</v>
      </c>
      <c r="Y127" s="880">
        <v>235.65360831551399</v>
      </c>
      <c r="Z127" s="881">
        <v>0.21717543287009641</v>
      </c>
      <c r="AA127" s="880">
        <v>32.562693086815493</v>
      </c>
      <c r="AB127" s="880">
        <v>249.25783168552306</v>
      </c>
      <c r="AC127" s="881">
        <v>0.13063859565262656</v>
      </c>
      <c r="AD127" s="880">
        <v>54.791218355716445</v>
      </c>
      <c r="AE127" s="880">
        <v>248.87779922631481</v>
      </c>
      <c r="AF127" s="881">
        <v>0.22015309732746607</v>
      </c>
      <c r="AG127" s="880">
        <v>34.319528505260173</v>
      </c>
      <c r="AH127" s="880">
        <v>251.38780392738462</v>
      </c>
      <c r="AI127" s="881">
        <v>0.13652026060569605</v>
      </c>
    </row>
    <row r="128" spans="2:35" x14ac:dyDescent="0.2">
      <c r="B128" s="867">
        <v>70381000</v>
      </c>
      <c r="C128" s="876" t="s">
        <v>1448</v>
      </c>
      <c r="D128" s="877" t="s">
        <v>1448</v>
      </c>
      <c r="E128" s="877" t="s">
        <v>1448</v>
      </c>
      <c r="F128" s="877" t="s">
        <v>1447</v>
      </c>
      <c r="G128" s="877" t="s">
        <v>1447</v>
      </c>
      <c r="H128" s="877" t="s">
        <v>1447</v>
      </c>
      <c r="I128" s="877" t="s">
        <v>1447</v>
      </c>
      <c r="J128" s="878" t="s">
        <v>1447</v>
      </c>
      <c r="K128" s="877"/>
      <c r="L128" s="879" t="s">
        <v>1450</v>
      </c>
      <c r="M128" s="880" t="s">
        <v>1450</v>
      </c>
      <c r="N128" s="881" t="s">
        <v>1450</v>
      </c>
      <c r="O128" s="880" t="s">
        <v>1450</v>
      </c>
      <c r="P128" s="880" t="s">
        <v>1450</v>
      </c>
      <c r="Q128" s="881" t="s">
        <v>1450</v>
      </c>
      <c r="R128" s="880" t="s">
        <v>1450</v>
      </c>
      <c r="S128" s="880" t="s">
        <v>1450</v>
      </c>
      <c r="T128" s="881" t="s">
        <v>1450</v>
      </c>
      <c r="U128" s="880">
        <v>263.43478000315872</v>
      </c>
      <c r="V128" s="880">
        <v>1501.3872624834291</v>
      </c>
      <c r="W128" s="881">
        <v>0.17546091310739773</v>
      </c>
      <c r="X128" s="880">
        <v>299.04032515369897</v>
      </c>
      <c r="Y128" s="880">
        <v>1493.059055670682</v>
      </c>
      <c r="Z128" s="881">
        <v>0.20028700406587072</v>
      </c>
      <c r="AA128" s="880">
        <v>402.52804044042625</v>
      </c>
      <c r="AB128" s="880">
        <v>1575.2728406890224</v>
      </c>
      <c r="AC128" s="881">
        <v>0.2555290931470392</v>
      </c>
      <c r="AD128" s="880">
        <v>388.18518300818749</v>
      </c>
      <c r="AE128" s="880">
        <v>1575.923290721373</v>
      </c>
      <c r="AF128" s="881">
        <v>0.24632238465775652</v>
      </c>
      <c r="AG128" s="880">
        <v>238.47672371603861</v>
      </c>
      <c r="AH128" s="880">
        <v>1589.0976342124566</v>
      </c>
      <c r="AI128" s="881">
        <v>0.15007052970299442</v>
      </c>
    </row>
    <row r="129" spans="2:35" x14ac:dyDescent="0.2">
      <c r="B129" s="867">
        <v>70386000</v>
      </c>
      <c r="C129" s="876" t="s">
        <v>1448</v>
      </c>
      <c r="D129" s="877" t="s">
        <v>1447</v>
      </c>
      <c r="E129" s="877" t="s">
        <v>1447</v>
      </c>
      <c r="F129" s="877" t="s">
        <v>1448</v>
      </c>
      <c r="G129" s="877" t="s">
        <v>1448</v>
      </c>
      <c r="H129" s="877" t="s">
        <v>1447</v>
      </c>
      <c r="I129" s="877" t="s">
        <v>1448</v>
      </c>
      <c r="J129" s="878" t="s">
        <v>1448</v>
      </c>
      <c r="K129" s="877"/>
      <c r="L129" s="879">
        <v>0</v>
      </c>
      <c r="M129" s="880">
        <v>28</v>
      </c>
      <c r="N129" s="881">
        <v>0</v>
      </c>
      <c r="O129" s="880">
        <v>10.040945496751728</v>
      </c>
      <c r="P129" s="880">
        <v>28.536239202586984</v>
      </c>
      <c r="Q129" s="881">
        <v>0.35186646094000557</v>
      </c>
      <c r="R129" s="880">
        <v>10.012695310581304</v>
      </c>
      <c r="S129" s="880">
        <v>24.692471884595239</v>
      </c>
      <c r="T129" s="881">
        <v>0.40549586762222339</v>
      </c>
      <c r="U129" s="880">
        <v>4.4052638796514829</v>
      </c>
      <c r="V129" s="880">
        <v>21.283694211224038</v>
      </c>
      <c r="W129" s="881">
        <v>0.20697834858613737</v>
      </c>
      <c r="X129" s="880">
        <v>1.756036599042847</v>
      </c>
      <c r="Y129" s="880">
        <v>21.103308207359461</v>
      </c>
      <c r="Z129" s="881">
        <v>8.3211436888859708E-2</v>
      </c>
      <c r="AA129" s="880">
        <v>11.396537002076329</v>
      </c>
      <c r="AB129" s="880">
        <v>21.993338089899094</v>
      </c>
      <c r="AC129" s="881">
        <v>0.51818132179354937</v>
      </c>
      <c r="AD129" s="880">
        <v>6.1581043309264683</v>
      </c>
      <c r="AE129" s="880">
        <v>22.70782839656157</v>
      </c>
      <c r="AF129" s="881">
        <v>0.27118860612223628</v>
      </c>
      <c r="AG129" s="880">
        <v>1.7599758207825729</v>
      </c>
      <c r="AH129" s="880">
        <v>22.688429957345186</v>
      </c>
      <c r="AI129" s="881">
        <v>7.7571512180057034E-2</v>
      </c>
    </row>
    <row r="130" spans="2:35" x14ac:dyDescent="0.2">
      <c r="B130" s="867">
        <v>70394000</v>
      </c>
      <c r="C130" s="876" t="s">
        <v>1447</v>
      </c>
      <c r="D130" s="877" t="s">
        <v>1447</v>
      </c>
      <c r="E130" s="877" t="s">
        <v>1447</v>
      </c>
      <c r="F130" s="877" t="s">
        <v>1447</v>
      </c>
      <c r="G130" s="877" t="s">
        <v>1447</v>
      </c>
      <c r="H130" s="877" t="s">
        <v>1447</v>
      </c>
      <c r="I130" s="877" t="s">
        <v>1447</v>
      </c>
      <c r="J130" s="878" t="s">
        <v>1447</v>
      </c>
      <c r="K130" s="877"/>
      <c r="L130" s="879">
        <v>37</v>
      </c>
      <c r="M130" s="880">
        <v>57</v>
      </c>
      <c r="N130" s="881">
        <v>0.64410000000000001</v>
      </c>
      <c r="O130" s="880">
        <v>15.517824858616308</v>
      </c>
      <c r="P130" s="880">
        <v>57.993002250418705</v>
      </c>
      <c r="Q130" s="881">
        <v>0.26758098833388594</v>
      </c>
      <c r="R130" s="880">
        <v>36.409801129386558</v>
      </c>
      <c r="S130" s="880">
        <v>82.308239615317461</v>
      </c>
      <c r="T130" s="881">
        <v>0.44235912831515278</v>
      </c>
      <c r="U130" s="880">
        <v>53.744219331748099</v>
      </c>
      <c r="V130" s="880">
        <v>71.832467962881125</v>
      </c>
      <c r="W130" s="881">
        <v>0.74818840081507443</v>
      </c>
      <c r="X130" s="880">
        <v>17.686922500968141</v>
      </c>
      <c r="Y130" s="880">
        <v>71.22366519983818</v>
      </c>
      <c r="Z130" s="881">
        <v>0.24832929408143301</v>
      </c>
      <c r="AA130" s="880">
        <v>34.316006471750313</v>
      </c>
      <c r="AB130" s="880">
        <v>75.14390514048857</v>
      </c>
      <c r="AC130" s="881">
        <v>0.45667052314613304</v>
      </c>
      <c r="AD130" s="880">
        <v>39.835822123466457</v>
      </c>
      <c r="AE130" s="880">
        <v>75.389990276584413</v>
      </c>
      <c r="AF130" s="881">
        <v>0.52839670064049837</v>
      </c>
      <c r="AG130" s="880">
        <v>37.839480146825316</v>
      </c>
      <c r="AH130" s="880">
        <v>76.233124656679806</v>
      </c>
      <c r="AI130" s="881">
        <v>0.49636533091405549</v>
      </c>
    </row>
    <row r="131" spans="2:35" x14ac:dyDescent="0.2">
      <c r="B131" s="867">
        <v>70401000</v>
      </c>
      <c r="C131" s="876" t="s">
        <v>1447</v>
      </c>
      <c r="D131" s="877" t="s">
        <v>1447</v>
      </c>
      <c r="E131" s="877" t="s">
        <v>1447</v>
      </c>
      <c r="F131" s="877" t="s">
        <v>1447</v>
      </c>
      <c r="G131" s="877" t="s">
        <v>1447</v>
      </c>
      <c r="H131" s="877" t="s">
        <v>1447</v>
      </c>
      <c r="I131" s="877" t="s">
        <v>1447</v>
      </c>
      <c r="J131" s="878" t="s">
        <v>1447</v>
      </c>
      <c r="K131" s="877"/>
      <c r="L131" s="879">
        <v>5387</v>
      </c>
      <c r="M131" s="880">
        <v>11870</v>
      </c>
      <c r="N131" s="881">
        <v>0.45379999999999998</v>
      </c>
      <c r="O131" s="880">
        <v>5605.5860268683964</v>
      </c>
      <c r="P131" s="880">
        <v>11972.333131253106</v>
      </c>
      <c r="Q131" s="881">
        <v>0.46821166479533782</v>
      </c>
      <c r="R131" s="880">
        <v>6316.1902509203337</v>
      </c>
      <c r="S131" s="880">
        <v>12123.089159340536</v>
      </c>
      <c r="T131" s="881">
        <v>0.52100501513295128</v>
      </c>
      <c r="U131" s="880">
        <v>3254.6089542865157</v>
      </c>
      <c r="V131" s="880">
        <v>5998.4544851966421</v>
      </c>
      <c r="W131" s="881">
        <v>0.54257458522331736</v>
      </c>
      <c r="X131" s="880">
        <v>3601.0213937845101</v>
      </c>
      <c r="Y131" s="880">
        <v>5962.5638730876881</v>
      </c>
      <c r="Z131" s="881">
        <v>0.60393841817575977</v>
      </c>
      <c r="AA131" s="880">
        <v>3837.6677606500552</v>
      </c>
      <c r="AB131" s="880">
        <v>6292.843860972378</v>
      </c>
      <c r="AC131" s="881">
        <v>0.6098463342545184</v>
      </c>
      <c r="AD131" s="880">
        <v>3678.0143657425251</v>
      </c>
      <c r="AE131" s="880">
        <v>6294.6100315268659</v>
      </c>
      <c r="AF131" s="881">
        <v>0.58431171229369383</v>
      </c>
      <c r="AG131" s="880">
        <v>3411.7131285870173</v>
      </c>
      <c r="AH131" s="880">
        <v>6349.1302392634761</v>
      </c>
      <c r="AI131" s="881">
        <v>0.53735125915180304</v>
      </c>
    </row>
    <row r="132" spans="2:35" x14ac:dyDescent="0.2">
      <c r="B132" s="867">
        <v>70402000</v>
      </c>
      <c r="C132" s="876" t="s">
        <v>1447</v>
      </c>
      <c r="D132" s="877" t="s">
        <v>1447</v>
      </c>
      <c r="E132" s="877" t="s">
        <v>1447</v>
      </c>
      <c r="F132" s="877" t="s">
        <v>1447</v>
      </c>
      <c r="G132" s="877" t="s">
        <v>1447</v>
      </c>
      <c r="H132" s="877" t="s">
        <v>1447</v>
      </c>
      <c r="I132" s="877" t="s">
        <v>1447</v>
      </c>
      <c r="J132" s="878" t="s">
        <v>1447</v>
      </c>
      <c r="K132" s="877"/>
      <c r="L132" s="879">
        <v>36</v>
      </c>
      <c r="M132" s="880">
        <v>196</v>
      </c>
      <c r="N132" s="881">
        <v>0.1837</v>
      </c>
      <c r="O132" s="880">
        <v>36.512529079097192</v>
      </c>
      <c r="P132" s="880">
        <v>197.9126267276194</v>
      </c>
      <c r="Q132" s="881">
        <v>0.18448812328355471</v>
      </c>
      <c r="R132" s="880">
        <v>45.512251411733196</v>
      </c>
      <c r="S132" s="880">
        <v>203.02699105111643</v>
      </c>
      <c r="T132" s="881">
        <v>0.2241684771867328</v>
      </c>
      <c r="U132" s="880">
        <v>285.46109940141611</v>
      </c>
      <c r="V132" s="880">
        <v>1141.3381020768891</v>
      </c>
      <c r="W132" s="881">
        <v>0.25011089955024152</v>
      </c>
      <c r="X132" s="880">
        <v>320.99078264173454</v>
      </c>
      <c r="Y132" s="880">
        <v>1134.3028161455709</v>
      </c>
      <c r="Z132" s="881">
        <v>0.28298508834922981</v>
      </c>
      <c r="AA132" s="880">
        <v>312.72987141218647</v>
      </c>
      <c r="AB132" s="880">
        <v>1196.8041477253423</v>
      </c>
      <c r="AC132" s="881">
        <v>0.26130413401939151</v>
      </c>
      <c r="AD132" s="880">
        <v>349.3530943586087</v>
      </c>
      <c r="AE132" s="880">
        <v>1197.1567130667258</v>
      </c>
      <c r="AF132" s="881">
        <v>0.29181901629543539</v>
      </c>
      <c r="AG132" s="880">
        <v>338.79534550064523</v>
      </c>
      <c r="AH132" s="880">
        <v>1207.9320109290575</v>
      </c>
      <c r="AI132" s="881">
        <v>0.28047550891549544</v>
      </c>
    </row>
    <row r="133" spans="2:35" x14ac:dyDescent="0.2">
      <c r="B133" s="867">
        <v>70403000</v>
      </c>
      <c r="C133" s="876" t="s">
        <v>1447</v>
      </c>
      <c r="D133" s="877" t="s">
        <v>1447</v>
      </c>
      <c r="E133" s="877" t="s">
        <v>1447</v>
      </c>
      <c r="F133" s="877" t="s">
        <v>1447</v>
      </c>
      <c r="G133" s="877" t="s">
        <v>1447</v>
      </c>
      <c r="H133" s="877" t="s">
        <v>1447</v>
      </c>
      <c r="I133" s="877" t="s">
        <v>1447</v>
      </c>
      <c r="J133" s="878" t="s">
        <v>1447</v>
      </c>
      <c r="K133" s="877"/>
      <c r="L133" s="879">
        <v>2862</v>
      </c>
      <c r="M133" s="880">
        <v>16849</v>
      </c>
      <c r="N133" s="881">
        <v>0.1699</v>
      </c>
      <c r="O133" s="880">
        <v>2957.5148554068728</v>
      </c>
      <c r="P133" s="880">
        <v>16994.711230908415</v>
      </c>
      <c r="Q133" s="881">
        <v>0.17402560215486435</v>
      </c>
      <c r="R133" s="880">
        <v>3539.0326697763735</v>
      </c>
      <c r="S133" s="880">
        <v>17206.080223584253</v>
      </c>
      <c r="T133" s="881">
        <v>0.20568500342834892</v>
      </c>
      <c r="U133" s="880">
        <v>3233.4636876641889</v>
      </c>
      <c r="V133" s="880">
        <v>10954.894774635439</v>
      </c>
      <c r="W133" s="881">
        <v>0.29516154688686119</v>
      </c>
      <c r="X133" s="880">
        <v>3525.1321504940488</v>
      </c>
      <c r="Y133" s="880">
        <v>10890.186339506121</v>
      </c>
      <c r="Z133" s="881">
        <v>0.3236980562679625</v>
      </c>
      <c r="AA133" s="880">
        <v>4242.8257711678834</v>
      </c>
      <c r="AB133" s="880">
        <v>11492.435541059354</v>
      </c>
      <c r="AC133" s="881">
        <v>0.36918421304251986</v>
      </c>
      <c r="AD133" s="880">
        <v>4222.7796453904257</v>
      </c>
      <c r="AE133" s="880">
        <v>11497.427673747052</v>
      </c>
      <c r="AF133" s="881">
        <v>0.36728038350983661</v>
      </c>
      <c r="AG133" s="880">
        <v>4047.0643998895262</v>
      </c>
      <c r="AH133" s="880">
        <v>11595.602782599975</v>
      </c>
      <c r="AI133" s="881">
        <v>0.34901716415833367</v>
      </c>
    </row>
    <row r="134" spans="2:35" x14ac:dyDescent="0.2">
      <c r="B134" s="867">
        <v>70405000</v>
      </c>
      <c r="C134" s="876" t="s">
        <v>1447</v>
      </c>
      <c r="D134" s="877" t="s">
        <v>1447</v>
      </c>
      <c r="E134" s="877" t="s">
        <v>1447</v>
      </c>
      <c r="F134" s="877" t="s">
        <v>1447</v>
      </c>
      <c r="G134" s="877" t="s">
        <v>1447</v>
      </c>
      <c r="H134" s="877" t="s">
        <v>1447</v>
      </c>
      <c r="I134" s="877" t="s">
        <v>1447</v>
      </c>
      <c r="J134" s="878" t="s">
        <v>1447</v>
      </c>
      <c r="K134" s="877"/>
      <c r="L134" s="879">
        <v>3250</v>
      </c>
      <c r="M134" s="880">
        <v>10523</v>
      </c>
      <c r="N134" s="881">
        <v>0.30880000000000002</v>
      </c>
      <c r="O134" s="880">
        <v>3386.5370720862647</v>
      </c>
      <c r="P134" s="880">
        <v>10613.639935671868</v>
      </c>
      <c r="Q134" s="881">
        <v>0.31907404929992933</v>
      </c>
      <c r="R134" s="880">
        <v>3783.8885823714977</v>
      </c>
      <c r="S134" s="880">
        <v>10721.105477892963</v>
      </c>
      <c r="T134" s="881">
        <v>0.35293828515855175</v>
      </c>
      <c r="U134" s="880">
        <v>3103.0678768265047</v>
      </c>
      <c r="V134" s="880">
        <v>7002.3353954927088</v>
      </c>
      <c r="W134" s="881">
        <v>0.44314756457165705</v>
      </c>
      <c r="X134" s="880">
        <v>3225.3403635513682</v>
      </c>
      <c r="Y134" s="880">
        <v>6961.4537949027017</v>
      </c>
      <c r="Z134" s="881">
        <v>0.46331419536433882</v>
      </c>
      <c r="AA134" s="880">
        <v>3445.6596005192378</v>
      </c>
      <c r="AB134" s="880">
        <v>7345.7749220262967</v>
      </c>
      <c r="AC134" s="881">
        <v>0.46906686320968421</v>
      </c>
      <c r="AD134" s="880">
        <v>3871.6670926515526</v>
      </c>
      <c r="AE134" s="880">
        <v>7349.1615822631857</v>
      </c>
      <c r="AF134" s="881">
        <v>0.52681752187836195</v>
      </c>
      <c r="AG134" s="880">
        <v>3992.5051494452664</v>
      </c>
      <c r="AH134" s="880">
        <v>7411.8562984655246</v>
      </c>
      <c r="AI134" s="881">
        <v>0.53866467301475263</v>
      </c>
    </row>
    <row r="135" spans="2:35" x14ac:dyDescent="0.2">
      <c r="B135" s="867">
        <v>70406000</v>
      </c>
      <c r="C135" s="876" t="s">
        <v>1447</v>
      </c>
      <c r="D135" s="877" t="s">
        <v>1447</v>
      </c>
      <c r="E135" s="877" t="s">
        <v>1447</v>
      </c>
      <c r="F135" s="877" t="s">
        <v>1447</v>
      </c>
      <c r="G135" s="877" t="s">
        <v>1447</v>
      </c>
      <c r="H135" s="877" t="s">
        <v>1447</v>
      </c>
      <c r="I135" s="877" t="s">
        <v>1447</v>
      </c>
      <c r="J135" s="878" t="s">
        <v>1447</v>
      </c>
      <c r="K135" s="877"/>
      <c r="L135" s="879">
        <v>6662</v>
      </c>
      <c r="M135" s="880">
        <v>36608</v>
      </c>
      <c r="N135" s="881">
        <v>0.182</v>
      </c>
      <c r="O135" s="880">
        <v>6956.549602794993</v>
      </c>
      <c r="P135" s="880">
        <v>36924.052480457067</v>
      </c>
      <c r="Q135" s="881">
        <v>0.18840157391924714</v>
      </c>
      <c r="R135" s="880">
        <v>8092.0783010061623</v>
      </c>
      <c r="S135" s="880">
        <v>37324.043057559298</v>
      </c>
      <c r="T135" s="881">
        <v>0.21680604881220822</v>
      </c>
      <c r="U135" s="880">
        <v>7167.364332192963</v>
      </c>
      <c r="V135" s="880">
        <v>24582.666813963766</v>
      </c>
      <c r="W135" s="881">
        <v>0.29156170835467143</v>
      </c>
      <c r="X135" s="880">
        <v>8004.0368898927472</v>
      </c>
      <c r="Y135" s="880">
        <v>24438.510208630894</v>
      </c>
      <c r="Z135" s="881">
        <v>0.32751738226113225</v>
      </c>
      <c r="AA135" s="880">
        <v>8776.9171869284692</v>
      </c>
      <c r="AB135" s="880">
        <v>25789.938077667921</v>
      </c>
      <c r="AC135" s="881">
        <v>0.34032331370848062</v>
      </c>
      <c r="AD135" s="880">
        <v>8966.0945766093064</v>
      </c>
      <c r="AE135" s="880">
        <v>25800.634624173254</v>
      </c>
      <c r="AF135" s="881">
        <v>0.34751449750033475</v>
      </c>
      <c r="AG135" s="880">
        <v>8785.7992973466044</v>
      </c>
      <c r="AH135" s="880">
        <v>26020.906549480042</v>
      </c>
      <c r="AI135" s="881">
        <v>0.33764385881944475</v>
      </c>
    </row>
    <row r="136" spans="2:35" x14ac:dyDescent="0.2">
      <c r="B136" s="867">
        <v>70407000</v>
      </c>
      <c r="C136" s="876" t="s">
        <v>1447</v>
      </c>
      <c r="D136" s="877" t="s">
        <v>1447</v>
      </c>
      <c r="E136" s="877" t="s">
        <v>1447</v>
      </c>
      <c r="F136" s="877" t="s">
        <v>1447</v>
      </c>
      <c r="G136" s="877" t="s">
        <v>1447</v>
      </c>
      <c r="H136" s="877" t="s">
        <v>1447</v>
      </c>
      <c r="I136" s="877" t="s">
        <v>1447</v>
      </c>
      <c r="J136" s="878" t="s">
        <v>1447</v>
      </c>
      <c r="K136" s="877"/>
      <c r="L136" s="879">
        <v>411</v>
      </c>
      <c r="M136" s="880">
        <v>879</v>
      </c>
      <c r="N136" s="881">
        <v>0.46760000000000002</v>
      </c>
      <c r="O136" s="880">
        <v>428.1094034524146</v>
      </c>
      <c r="P136" s="880">
        <v>885.54393912544117</v>
      </c>
      <c r="Q136" s="881">
        <v>0.48344230538714245</v>
      </c>
      <c r="R136" s="880">
        <v>604.40269874781688</v>
      </c>
      <c r="S136" s="880">
        <v>1093.7850508879967</v>
      </c>
      <c r="T136" s="881">
        <v>0.55257904490203857</v>
      </c>
      <c r="U136" s="880">
        <v>257.26741057164662</v>
      </c>
      <c r="V136" s="880">
        <v>521.45050817498895</v>
      </c>
      <c r="W136" s="881">
        <v>0.49336879826246621</v>
      </c>
      <c r="X136" s="880">
        <v>210.7322691593979</v>
      </c>
      <c r="Y136" s="880">
        <v>518.78966009758676</v>
      </c>
      <c r="Z136" s="881">
        <v>0.40619982503074209</v>
      </c>
      <c r="AA136" s="880">
        <v>215.79205337868606</v>
      </c>
      <c r="AB136" s="880">
        <v>547.08428498623994</v>
      </c>
      <c r="AC136" s="881">
        <v>0.39444023398353251</v>
      </c>
      <c r="AD136" s="880">
        <v>280.36220467701929</v>
      </c>
      <c r="AE136" s="880">
        <v>547.71282092506499</v>
      </c>
      <c r="AF136" s="881">
        <v>0.51187811197024524</v>
      </c>
      <c r="AG136" s="880">
        <v>322.07557520321086</v>
      </c>
      <c r="AH136" s="880">
        <v>551.78261656263487</v>
      </c>
      <c r="AI136" s="881">
        <v>0.58370011221013318</v>
      </c>
    </row>
    <row r="137" spans="2:35" x14ac:dyDescent="0.2">
      <c r="B137" s="867">
        <v>70408000</v>
      </c>
      <c r="C137" s="876" t="s">
        <v>1447</v>
      </c>
      <c r="D137" s="877" t="s">
        <v>1447</v>
      </c>
      <c r="E137" s="877" t="s">
        <v>1447</v>
      </c>
      <c r="F137" s="877" t="s">
        <v>1447</v>
      </c>
      <c r="G137" s="877" t="s">
        <v>1447</v>
      </c>
      <c r="H137" s="877" t="s">
        <v>1447</v>
      </c>
      <c r="I137" s="877" t="s">
        <v>1447</v>
      </c>
      <c r="J137" s="878" t="s">
        <v>1447</v>
      </c>
      <c r="K137" s="877"/>
      <c r="L137" s="879">
        <v>1515</v>
      </c>
      <c r="M137" s="880">
        <v>6025</v>
      </c>
      <c r="N137" s="881">
        <v>0.25140000000000001</v>
      </c>
      <c r="O137" s="880">
        <v>1578.2540694439763</v>
      </c>
      <c r="P137" s="880">
        <v>6113.1988562703273</v>
      </c>
      <c r="Q137" s="881">
        <v>0.2581715574040514</v>
      </c>
      <c r="R137" s="880">
        <v>1777.7085401422987</v>
      </c>
      <c r="S137" s="880">
        <v>6182.2633311060672</v>
      </c>
      <c r="T137" s="881">
        <v>0.28754979284006804</v>
      </c>
      <c r="U137" s="880">
        <v>1577.9655216911613</v>
      </c>
      <c r="V137" s="880">
        <v>3389.428303137428</v>
      </c>
      <c r="W137" s="881">
        <v>0.46555506727506696</v>
      </c>
      <c r="X137" s="880">
        <v>1821.0966032242513</v>
      </c>
      <c r="Y137" s="880">
        <v>3369.4948771083941</v>
      </c>
      <c r="Z137" s="881">
        <v>0.54046575811596587</v>
      </c>
      <c r="AA137" s="880">
        <v>1640.8113691304281</v>
      </c>
      <c r="AB137" s="880">
        <v>3555.5896578670199</v>
      </c>
      <c r="AC137" s="881">
        <v>0.46147377144603985</v>
      </c>
      <c r="AD137" s="880">
        <v>1749.1332523882393</v>
      </c>
      <c r="AE137" s="880">
        <v>3556.9542400374044</v>
      </c>
      <c r="AF137" s="881">
        <v>0.4917502825028881</v>
      </c>
      <c r="AG137" s="880">
        <v>1634.1375495966188</v>
      </c>
      <c r="AH137" s="880">
        <v>3580.2342472690698</v>
      </c>
      <c r="AI137" s="881">
        <v>0.45643313725717971</v>
      </c>
    </row>
    <row r="138" spans="2:35" x14ac:dyDescent="0.2">
      <c r="B138" s="867">
        <v>70414000</v>
      </c>
      <c r="C138" s="876" t="s">
        <v>1447</v>
      </c>
      <c r="D138" s="877" t="s">
        <v>1447</v>
      </c>
      <c r="E138" s="877" t="s">
        <v>1447</v>
      </c>
      <c r="F138" s="877" t="s">
        <v>1447</v>
      </c>
      <c r="G138" s="877" t="s">
        <v>1447</v>
      </c>
      <c r="H138" s="877" t="s">
        <v>1447</v>
      </c>
      <c r="I138" s="877" t="s">
        <v>1447</v>
      </c>
      <c r="J138" s="878" t="s">
        <v>1447</v>
      </c>
      <c r="K138" s="877"/>
      <c r="L138" s="879">
        <v>4085</v>
      </c>
      <c r="M138" s="880">
        <v>12572</v>
      </c>
      <c r="N138" s="881">
        <v>0.32490000000000002</v>
      </c>
      <c r="O138" s="880">
        <v>4225.4124276785224</v>
      </c>
      <c r="P138" s="880">
        <v>12764.904162008828</v>
      </c>
      <c r="Q138" s="881">
        <v>0.33101795156866765</v>
      </c>
      <c r="R138" s="880">
        <v>4600.3783726979918</v>
      </c>
      <c r="S138" s="880">
        <v>12597.733341122199</v>
      </c>
      <c r="T138" s="881">
        <v>0.36517508730568138</v>
      </c>
      <c r="U138" s="880">
        <v>4030.816449881107</v>
      </c>
      <c r="V138" s="880">
        <v>8148.1076005302693</v>
      </c>
      <c r="W138" s="881">
        <v>0.49469357150104232</v>
      </c>
      <c r="X138" s="880">
        <v>4489.1169505035696</v>
      </c>
      <c r="Y138" s="880">
        <v>8095.756611048273</v>
      </c>
      <c r="Z138" s="881">
        <v>0.5545024592732043</v>
      </c>
      <c r="AA138" s="880">
        <v>4288.5545377740737</v>
      </c>
      <c r="AB138" s="880">
        <v>8621.3885312404454</v>
      </c>
      <c r="AC138" s="881">
        <v>0.49743199975666058</v>
      </c>
      <c r="AD138" s="880">
        <v>4238.5913724051179</v>
      </c>
      <c r="AE138" s="880">
        <v>8624.4332250140833</v>
      </c>
      <c r="AF138" s="881">
        <v>0.49146317929758176</v>
      </c>
      <c r="AG138" s="880">
        <v>3842.0272167683565</v>
      </c>
      <c r="AH138" s="880">
        <v>8697.8365084478482</v>
      </c>
      <c r="AI138" s="881">
        <v>0.44172216999442959</v>
      </c>
    </row>
    <row r="139" spans="2:35" x14ac:dyDescent="0.2">
      <c r="B139" s="867">
        <v>70417000</v>
      </c>
      <c r="C139" s="876" t="s">
        <v>1447</v>
      </c>
      <c r="D139" s="877" t="s">
        <v>1447</v>
      </c>
      <c r="E139" s="877" t="s">
        <v>1447</v>
      </c>
      <c r="F139" s="877" t="s">
        <v>1447</v>
      </c>
      <c r="G139" s="877" t="s">
        <v>1447</v>
      </c>
      <c r="H139" s="877" t="s">
        <v>1447</v>
      </c>
      <c r="I139" s="877" t="s">
        <v>1447</v>
      </c>
      <c r="J139" s="878" t="s">
        <v>1447</v>
      </c>
      <c r="K139" s="877"/>
      <c r="L139" s="879">
        <v>413</v>
      </c>
      <c r="M139" s="880">
        <v>1882</v>
      </c>
      <c r="N139" s="881">
        <v>0.21929999999999999</v>
      </c>
      <c r="O139" s="880">
        <v>434.49909604125662</v>
      </c>
      <c r="P139" s="880">
        <v>1898.1201688946567</v>
      </c>
      <c r="Q139" s="881">
        <v>0.22891021504411968</v>
      </c>
      <c r="R139" s="880">
        <v>484.25035502084125</v>
      </c>
      <c r="S139" s="880">
        <v>1918.6965190326227</v>
      </c>
      <c r="T139" s="881">
        <v>0.25238506987284931</v>
      </c>
      <c r="U139" s="880">
        <v>650.21694863655898</v>
      </c>
      <c r="V139" s="880">
        <v>2350.9613897481217</v>
      </c>
      <c r="W139" s="881">
        <v>0.27657491589269451</v>
      </c>
      <c r="X139" s="880">
        <v>701.82124343572184</v>
      </c>
      <c r="Y139" s="880">
        <v>2337.1913839650606</v>
      </c>
      <c r="Z139" s="881">
        <v>0.30028402819330846</v>
      </c>
      <c r="AA139" s="880">
        <v>785.78585677893329</v>
      </c>
      <c r="AB139" s="880">
        <v>2466.9194224170151</v>
      </c>
      <c r="AC139" s="881">
        <v>0.31852919460540929</v>
      </c>
      <c r="AD139" s="880">
        <v>842.32665686861083</v>
      </c>
      <c r="AE139" s="880">
        <v>2467.8867901383114</v>
      </c>
      <c r="AF139" s="881">
        <v>0.3413149501972913</v>
      </c>
      <c r="AG139" s="880">
        <v>870.30804337698214</v>
      </c>
      <c r="AH139" s="880">
        <v>2488.4669977216195</v>
      </c>
      <c r="AI139" s="881">
        <v>0.34973662265716815</v>
      </c>
    </row>
    <row r="140" spans="2:35" x14ac:dyDescent="0.2">
      <c r="B140" s="867">
        <v>70421000</v>
      </c>
      <c r="C140" s="876" t="s">
        <v>1447</v>
      </c>
      <c r="D140" s="877" t="s">
        <v>1447</v>
      </c>
      <c r="E140" s="877" t="s">
        <v>1447</v>
      </c>
      <c r="F140" s="877" t="s">
        <v>1447</v>
      </c>
      <c r="G140" s="877" t="s">
        <v>1447</v>
      </c>
      <c r="H140" s="877" t="s">
        <v>1447</v>
      </c>
      <c r="I140" s="877" t="s">
        <v>1447</v>
      </c>
      <c r="J140" s="878" t="s">
        <v>1447</v>
      </c>
      <c r="K140" s="877"/>
      <c r="L140" s="879">
        <v>1397</v>
      </c>
      <c r="M140" s="880">
        <v>3092</v>
      </c>
      <c r="N140" s="881">
        <v>0.45190000000000002</v>
      </c>
      <c r="O140" s="880">
        <v>1455.9370970290006</v>
      </c>
      <c r="P140" s="880">
        <v>2911.6169225091171</v>
      </c>
      <c r="Q140" s="881">
        <v>0.5000441801850537</v>
      </c>
      <c r="R140" s="880">
        <v>1673.940606923547</v>
      </c>
      <c r="S140" s="880">
        <v>3148.747433283756</v>
      </c>
      <c r="T140" s="881">
        <v>0.53162111042289373</v>
      </c>
      <c r="U140" s="880">
        <v>829.07066215040913</v>
      </c>
      <c r="V140" s="880">
        <v>1833.0581639416703</v>
      </c>
      <c r="W140" s="881">
        <v>0.4522882461992575</v>
      </c>
      <c r="X140" s="880">
        <v>1059.1825686151974</v>
      </c>
      <c r="Y140" s="880">
        <v>1822.7982464106735</v>
      </c>
      <c r="Z140" s="881">
        <v>0.58107504256209674</v>
      </c>
      <c r="AA140" s="880">
        <v>976.76250870512536</v>
      </c>
      <c r="AB140" s="880">
        <v>1923.5006937790915</v>
      </c>
      <c r="AC140" s="881">
        <v>0.50780460431552288</v>
      </c>
      <c r="AD140" s="880">
        <v>1028.4572323254038</v>
      </c>
      <c r="AE140" s="880">
        <v>1923.8072217566962</v>
      </c>
      <c r="AF140" s="881">
        <v>0.53459474561400344</v>
      </c>
      <c r="AG140" s="880">
        <v>980.30653217589293</v>
      </c>
      <c r="AH140" s="880">
        <v>1940.31452995216</v>
      </c>
      <c r="AI140" s="881">
        <v>0.50523073297815435</v>
      </c>
    </row>
    <row r="141" spans="2:35" x14ac:dyDescent="0.2">
      <c r="B141" s="867">
        <v>70425000</v>
      </c>
      <c r="C141" s="876" t="s">
        <v>1448</v>
      </c>
      <c r="D141" s="877" t="s">
        <v>1448</v>
      </c>
      <c r="E141" s="877" t="s">
        <v>1448</v>
      </c>
      <c r="F141" s="877" t="s">
        <v>1448</v>
      </c>
      <c r="G141" s="877" t="s">
        <v>1447</v>
      </c>
      <c r="H141" s="877" t="s">
        <v>1447</v>
      </c>
      <c r="I141" s="877" t="s">
        <v>1447</v>
      </c>
      <c r="J141" s="878" t="s">
        <v>1447</v>
      </c>
      <c r="K141" s="877"/>
      <c r="L141" s="879">
        <v>198</v>
      </c>
      <c r="M141" s="880">
        <v>1757</v>
      </c>
      <c r="N141" s="881">
        <v>0.11269999999999999</v>
      </c>
      <c r="O141" s="880">
        <v>214.51110833969602</v>
      </c>
      <c r="P141" s="880">
        <v>1772.9289259413717</v>
      </c>
      <c r="Q141" s="881">
        <v>0.12099250297120462</v>
      </c>
      <c r="R141" s="880">
        <v>237.57395236924728</v>
      </c>
      <c r="S141" s="880">
        <v>1775.11436770368</v>
      </c>
      <c r="T141" s="881">
        <v>0.13383585682796159</v>
      </c>
      <c r="U141" s="880">
        <v>509.24850448771144</v>
      </c>
      <c r="V141" s="880">
        <v>3495.8467741935483</v>
      </c>
      <c r="W141" s="881">
        <v>0.14567243285575329</v>
      </c>
      <c r="X141" s="880">
        <v>583.02778270499402</v>
      </c>
      <c r="Y141" s="880">
        <v>3475.0114181451913</v>
      </c>
      <c r="Z141" s="881">
        <v>0.16777722791373983</v>
      </c>
      <c r="AA141" s="880">
        <v>552.31805095301388</v>
      </c>
      <c r="AB141" s="880">
        <v>3667.3891264906738</v>
      </c>
      <c r="AC141" s="881">
        <v>0.15060252182225539</v>
      </c>
      <c r="AD141" s="880">
        <v>590.75920610229389</v>
      </c>
      <c r="AE141" s="880">
        <v>3668.6767557484868</v>
      </c>
      <c r="AF141" s="881">
        <v>0.16102787065571458</v>
      </c>
      <c r="AG141" s="880">
        <v>576.39208130629254</v>
      </c>
      <c r="AH141" s="880">
        <v>3700.0291574438525</v>
      </c>
      <c r="AI141" s="881">
        <v>0.15578041598582706</v>
      </c>
    </row>
    <row r="142" spans="2:35" x14ac:dyDescent="0.2">
      <c r="B142" s="867">
        <v>70428000</v>
      </c>
      <c r="C142" s="876" t="s">
        <v>1448</v>
      </c>
      <c r="D142" s="877" t="s">
        <v>1448</v>
      </c>
      <c r="E142" s="877" t="s">
        <v>1448</v>
      </c>
      <c r="F142" s="877" t="s">
        <v>1448</v>
      </c>
      <c r="G142" s="877" t="s">
        <v>1448</v>
      </c>
      <c r="H142" s="877" t="s">
        <v>1448</v>
      </c>
      <c r="I142" s="877" t="s">
        <v>1448</v>
      </c>
      <c r="J142" s="878" t="s">
        <v>1448</v>
      </c>
      <c r="K142" s="877"/>
      <c r="L142" s="879">
        <v>1298</v>
      </c>
      <c r="M142" s="880">
        <v>27661</v>
      </c>
      <c r="N142" s="881">
        <v>4.6899999999999997E-2</v>
      </c>
      <c r="O142" s="880">
        <v>1401.1683034103548</v>
      </c>
      <c r="P142" s="880">
        <v>27898.316177832377</v>
      </c>
      <c r="Q142" s="881">
        <v>5.0224117272127847E-2</v>
      </c>
      <c r="R142" s="880">
        <v>1848.7076523446024</v>
      </c>
      <c r="S142" s="880">
        <v>28227.153508075262</v>
      </c>
      <c r="T142" s="881">
        <v>6.5493945459846728E-2</v>
      </c>
      <c r="U142" s="880">
        <v>1497.7897190815042</v>
      </c>
      <c r="V142" s="880">
        <v>16167.62621520106</v>
      </c>
      <c r="W142" s="881">
        <v>9.2641288160982993E-2</v>
      </c>
      <c r="X142" s="880">
        <v>1693.3885257135134</v>
      </c>
      <c r="Y142" s="880">
        <v>16074.565722447429</v>
      </c>
      <c r="Z142" s="881">
        <v>0.10534583359529087</v>
      </c>
      <c r="AA142" s="880">
        <v>1640.0448847711184</v>
      </c>
      <c r="AB142" s="880">
        <v>16963.278390921754</v>
      </c>
      <c r="AC142" s="881">
        <v>9.6682070940297835E-2</v>
      </c>
      <c r="AD142" s="880">
        <v>1587.4221832991775</v>
      </c>
      <c r="AE142" s="880">
        <v>16972.739256725981</v>
      </c>
      <c r="AF142" s="881">
        <v>9.3527754081894093E-2</v>
      </c>
      <c r="AG142" s="880">
        <v>1539.9788431847512</v>
      </c>
      <c r="AH142" s="880">
        <v>17117.059097019497</v>
      </c>
      <c r="AI142" s="881">
        <v>8.9967490002584596E-2</v>
      </c>
    </row>
    <row r="143" spans="2:35" x14ac:dyDescent="0.2">
      <c r="B143" s="867">
        <v>70431000</v>
      </c>
      <c r="C143" s="876" t="s">
        <v>1447</v>
      </c>
      <c r="D143" s="877" t="s">
        <v>1447</v>
      </c>
      <c r="E143" s="877" t="s">
        <v>1447</v>
      </c>
      <c r="F143" s="877" t="s">
        <v>1447</v>
      </c>
      <c r="G143" s="877" t="s">
        <v>1447</v>
      </c>
      <c r="H143" s="877" t="s">
        <v>1447</v>
      </c>
      <c r="I143" s="877" t="s">
        <v>1447</v>
      </c>
      <c r="J143" s="878" t="s">
        <v>1447</v>
      </c>
      <c r="K143" s="877"/>
      <c r="L143" s="879">
        <v>1234</v>
      </c>
      <c r="M143" s="880">
        <v>4638</v>
      </c>
      <c r="N143" s="881">
        <v>0.26619999999999999</v>
      </c>
      <c r="O143" s="880">
        <v>1285.2410235842212</v>
      </c>
      <c r="P143" s="880">
        <v>4678.1021815337754</v>
      </c>
      <c r="Q143" s="881">
        <v>0.2747355602144711</v>
      </c>
      <c r="R143" s="880">
        <v>1450.9305750060544</v>
      </c>
      <c r="S143" s="880">
        <v>4727.2365619064003</v>
      </c>
      <c r="T143" s="881">
        <v>0.30692996976248699</v>
      </c>
      <c r="U143" s="880">
        <v>1517.1728801519707</v>
      </c>
      <c r="V143" s="880">
        <v>3190.7804904993372</v>
      </c>
      <c r="W143" s="881">
        <v>0.47548644749126651</v>
      </c>
      <c r="X143" s="880">
        <v>1691.6324891144704</v>
      </c>
      <c r="Y143" s="880">
        <v>3172.5306671730386</v>
      </c>
      <c r="Z143" s="881">
        <v>0.53321233632765519</v>
      </c>
      <c r="AA143" s="880">
        <v>1823.2742450629889</v>
      </c>
      <c r="AB143" s="880">
        <v>3347.5693351000577</v>
      </c>
      <c r="AC143" s="881">
        <v>0.54465615572036896</v>
      </c>
      <c r="AD143" s="880">
        <v>2016.3229176209638</v>
      </c>
      <c r="AE143" s="880">
        <v>3348.9505319249001</v>
      </c>
      <c r="AF143" s="881">
        <v>0.60207605290067623</v>
      </c>
      <c r="AG143" s="880">
        <v>1745.0160263059208</v>
      </c>
      <c r="AH143" s="880">
        <v>3377.8534520495505</v>
      </c>
      <c r="AI143" s="881">
        <v>0.51660501294013006</v>
      </c>
    </row>
    <row r="144" spans="2:35" x14ac:dyDescent="0.2">
      <c r="B144" s="867">
        <v>70433000</v>
      </c>
      <c r="C144" s="876" t="s">
        <v>1447</v>
      </c>
      <c r="D144" s="877" t="s">
        <v>1447</v>
      </c>
      <c r="E144" s="877" t="s">
        <v>1447</v>
      </c>
      <c r="F144" s="877" t="s">
        <v>1447</v>
      </c>
      <c r="G144" s="877" t="s">
        <v>1447</v>
      </c>
      <c r="H144" s="877" t="s">
        <v>1447</v>
      </c>
      <c r="I144" s="877" t="s">
        <v>1447</v>
      </c>
      <c r="J144" s="878" t="s">
        <v>1447</v>
      </c>
      <c r="K144" s="877"/>
      <c r="L144" s="879">
        <v>307</v>
      </c>
      <c r="M144" s="880">
        <v>1835</v>
      </c>
      <c r="N144" s="881">
        <v>0.16739999999999999</v>
      </c>
      <c r="O144" s="880">
        <v>287.53616649789041</v>
      </c>
      <c r="P144" s="880">
        <v>1850.2529289419301</v>
      </c>
      <c r="Q144" s="881">
        <v>0.15540370832560627</v>
      </c>
      <c r="R144" s="880">
        <v>305.84232948684706</v>
      </c>
      <c r="S144" s="880">
        <v>1886.6877591822215</v>
      </c>
      <c r="T144" s="881">
        <v>0.16210542947467546</v>
      </c>
      <c r="U144" s="880">
        <v>889.86330368959966</v>
      </c>
      <c r="V144" s="880">
        <v>5102.7656871409636</v>
      </c>
      <c r="W144" s="881">
        <v>0.17438843134264756</v>
      </c>
      <c r="X144" s="880">
        <v>1300.8985912789244</v>
      </c>
      <c r="Y144" s="880">
        <v>5072.7077103440306</v>
      </c>
      <c r="Z144" s="881">
        <v>0.25645053205533452</v>
      </c>
      <c r="AA144" s="880">
        <v>1300.8889171193882</v>
      </c>
      <c r="AB144" s="880">
        <v>5352.6286576291923</v>
      </c>
      <c r="AC144" s="881">
        <v>0.2430373934618478</v>
      </c>
      <c r="AD144" s="880">
        <v>1316.8610039973694</v>
      </c>
      <c r="AE144" s="880">
        <v>5355.4142490450804</v>
      </c>
      <c r="AF144" s="881">
        <v>0.24589339736551244</v>
      </c>
      <c r="AG144" s="880">
        <v>1315.5819260349731</v>
      </c>
      <c r="AH144" s="880">
        <v>5400.7538670464473</v>
      </c>
      <c r="AI144" s="881">
        <v>0.24359227589729723</v>
      </c>
    </row>
    <row r="145" spans="2:35" x14ac:dyDescent="0.2">
      <c r="B145" s="867">
        <v>70438000</v>
      </c>
      <c r="C145" s="876" t="s">
        <v>1448</v>
      </c>
      <c r="D145" s="877" t="s">
        <v>1448</v>
      </c>
      <c r="E145" s="877" t="s">
        <v>1447</v>
      </c>
      <c r="F145" s="877" t="s">
        <v>1447</v>
      </c>
      <c r="G145" s="877" t="s">
        <v>1447</v>
      </c>
      <c r="H145" s="877" t="s">
        <v>1447</v>
      </c>
      <c r="I145" s="877" t="s">
        <v>1447</v>
      </c>
      <c r="J145" s="878" t="s">
        <v>1447</v>
      </c>
      <c r="K145" s="877"/>
      <c r="L145" s="879">
        <v>917</v>
      </c>
      <c r="M145" s="880">
        <v>6613</v>
      </c>
      <c r="N145" s="881">
        <v>0.13869999999999999</v>
      </c>
      <c r="O145" s="880">
        <v>995.87923063237599</v>
      </c>
      <c r="P145" s="880">
        <v>6670.1157826433955</v>
      </c>
      <c r="Q145" s="881">
        <v>0.14930463924236481</v>
      </c>
      <c r="R145" s="880">
        <v>1051.3330076110367</v>
      </c>
      <c r="S145" s="880">
        <v>6730.070392545791</v>
      </c>
      <c r="T145" s="881">
        <v>0.15621426616510437</v>
      </c>
      <c r="U145" s="880">
        <v>911.88962308785699</v>
      </c>
      <c r="V145" s="880">
        <v>4550.2764582412728</v>
      </c>
      <c r="W145" s="881">
        <v>0.20040312527303261</v>
      </c>
      <c r="X145" s="880">
        <v>978.65799808030579</v>
      </c>
      <c r="Y145" s="880">
        <v>4524.0216969526846</v>
      </c>
      <c r="Z145" s="881">
        <v>0.21632477994955587</v>
      </c>
      <c r="AA145" s="880">
        <v>1030.2547900780012</v>
      </c>
      <c r="AB145" s="880">
        <v>4773.4707545951824</v>
      </c>
      <c r="AC145" s="881">
        <v>0.21582928712535343</v>
      </c>
      <c r="AD145" s="880">
        <v>1000.2824998334778</v>
      </c>
      <c r="AE145" s="880">
        <v>4775.9104683648293</v>
      </c>
      <c r="AF145" s="881">
        <v>0.20944331064396049</v>
      </c>
      <c r="AG145" s="880">
        <v>963.58676187845867</v>
      </c>
      <c r="AH145" s="880">
        <v>4816.2999113452352</v>
      </c>
      <c r="AI145" s="881">
        <v>0.20006784868372543</v>
      </c>
    </row>
    <row r="146" spans="2:35" x14ac:dyDescent="0.2">
      <c r="B146" s="867">
        <v>70440000</v>
      </c>
      <c r="C146" s="876" t="s">
        <v>1447</v>
      </c>
      <c r="D146" s="877" t="s">
        <v>1447</v>
      </c>
      <c r="E146" s="877" t="s">
        <v>1447</v>
      </c>
      <c r="F146" s="877" t="s">
        <v>1447</v>
      </c>
      <c r="G146" s="877" t="s">
        <v>1447</v>
      </c>
      <c r="H146" s="877" t="s">
        <v>1447</v>
      </c>
      <c r="I146" s="877" t="s">
        <v>1447</v>
      </c>
      <c r="J146" s="878" t="s">
        <v>1447</v>
      </c>
      <c r="K146" s="877"/>
      <c r="L146" s="879">
        <v>4199</v>
      </c>
      <c r="M146" s="880">
        <v>17179</v>
      </c>
      <c r="N146" s="881">
        <v>0.24440000000000001</v>
      </c>
      <c r="O146" s="880">
        <v>4187.9870853724478</v>
      </c>
      <c r="P146" s="880">
        <v>17327.020339041766</v>
      </c>
      <c r="Q146" s="881">
        <v>0.24170267036254056</v>
      </c>
      <c r="R146" s="880">
        <v>5117.3975487352809</v>
      </c>
      <c r="S146" s="880">
        <v>17485.013702280608</v>
      </c>
      <c r="T146" s="881">
        <v>0.29267335078312279</v>
      </c>
      <c r="U146" s="880">
        <v>4657.2449735675482</v>
      </c>
      <c r="V146" s="880">
        <v>13781.192001767566</v>
      </c>
      <c r="W146" s="881">
        <v>0.33794210057955898</v>
      </c>
      <c r="X146" s="880">
        <v>5168.7897643499709</v>
      </c>
      <c r="Y146" s="880">
        <v>13700.443549119489</v>
      </c>
      <c r="Z146" s="881">
        <v>0.37727170991352049</v>
      </c>
      <c r="AA146" s="880">
        <v>5615.436973366558</v>
      </c>
      <c r="AB146" s="880">
        <v>14457.870626847416</v>
      </c>
      <c r="AC146" s="881">
        <v>0.38840000151467824</v>
      </c>
      <c r="AD146" s="880">
        <v>5932.8164143991871</v>
      </c>
      <c r="AE146" s="880">
        <v>14463.978375473856</v>
      </c>
      <c r="AF146" s="881">
        <v>0.41017873923672965</v>
      </c>
      <c r="AG146" s="880">
        <v>5843.9997129085332</v>
      </c>
      <c r="AH146" s="880">
        <v>14586.845388176365</v>
      </c>
      <c r="AI146" s="881">
        <v>0.40063492533111333</v>
      </c>
    </row>
    <row r="147" spans="2:35" x14ac:dyDescent="0.2">
      <c r="B147" s="867">
        <v>70444000</v>
      </c>
      <c r="C147" s="876" t="s">
        <v>1447</v>
      </c>
      <c r="D147" s="877" t="s">
        <v>1447</v>
      </c>
      <c r="E147" s="877" t="s">
        <v>1447</v>
      </c>
      <c r="F147" s="877" t="s">
        <v>1447</v>
      </c>
      <c r="G147" s="877" t="s">
        <v>1447</v>
      </c>
      <c r="H147" s="877" t="s">
        <v>1447</v>
      </c>
      <c r="I147" s="877" t="s">
        <v>1447</v>
      </c>
      <c r="J147" s="878" t="s">
        <v>1447</v>
      </c>
      <c r="K147" s="877"/>
      <c r="L147" s="879">
        <v>726</v>
      </c>
      <c r="M147" s="880">
        <v>4237</v>
      </c>
      <c r="N147" s="881">
        <v>0.17150000000000001</v>
      </c>
      <c r="O147" s="880">
        <v>752.15809902940214</v>
      </c>
      <c r="P147" s="880">
        <v>4273.0716896260892</v>
      </c>
      <c r="Q147" s="881">
        <v>0.17602281301655834</v>
      </c>
      <c r="R147" s="880">
        <v>798.28488976180029</v>
      </c>
      <c r="S147" s="880">
        <v>4319.3535078127152</v>
      </c>
      <c r="T147" s="881">
        <v>0.18481582679396044</v>
      </c>
      <c r="U147" s="880">
        <v>1417.6139164718472</v>
      </c>
      <c r="V147" s="880">
        <v>6479.9980667255859</v>
      </c>
      <c r="W147" s="881">
        <v>0.21876764497063855</v>
      </c>
      <c r="X147" s="880">
        <v>1598.9343416225624</v>
      </c>
      <c r="Y147" s="880">
        <v>6441.7848302964758</v>
      </c>
      <c r="Z147" s="881">
        <v>0.24821293845497372</v>
      </c>
      <c r="AA147" s="880">
        <v>1676.1142046278035</v>
      </c>
      <c r="AB147" s="880">
        <v>6797.7742479529779</v>
      </c>
      <c r="AC147" s="881">
        <v>0.24656808883180165</v>
      </c>
      <c r="AD147" s="880">
        <v>1759.8374053612733</v>
      </c>
      <c r="AE147" s="880">
        <v>6800.5404482022586</v>
      </c>
      <c r="AF147" s="881">
        <v>0.25877905127768058</v>
      </c>
      <c r="AG147" s="880">
        <v>1752.9359174994424</v>
      </c>
      <c r="AH147" s="880">
        <v>6858.2586075063018</v>
      </c>
      <c r="AI147" s="881">
        <v>0.25559489920384015</v>
      </c>
    </row>
    <row r="148" spans="2:35" x14ac:dyDescent="0.2">
      <c r="B148" s="867">
        <v>70445000</v>
      </c>
      <c r="C148" s="876" t="s">
        <v>1447</v>
      </c>
      <c r="D148" s="877" t="s">
        <v>1447</v>
      </c>
      <c r="E148" s="877" t="s">
        <v>1447</v>
      </c>
      <c r="F148" s="877" t="s">
        <v>1447</v>
      </c>
      <c r="G148" s="877" t="s">
        <v>1447</v>
      </c>
      <c r="H148" s="877" t="s">
        <v>1447</v>
      </c>
      <c r="I148" s="877" t="s">
        <v>1447</v>
      </c>
      <c r="J148" s="878" t="s">
        <v>1447</v>
      </c>
      <c r="K148" s="877"/>
      <c r="L148" s="879">
        <v>488</v>
      </c>
      <c r="M148" s="880">
        <v>2476</v>
      </c>
      <c r="N148" s="881">
        <v>0.19700000000000001</v>
      </c>
      <c r="O148" s="880">
        <v>515.73947324224787</v>
      </c>
      <c r="P148" s="880">
        <v>2497.3811921489832</v>
      </c>
      <c r="Q148" s="881">
        <v>0.2065121155166772</v>
      </c>
      <c r="R148" s="880">
        <v>564.35191750549166</v>
      </c>
      <c r="S148" s="880">
        <v>2524.119348203069</v>
      </c>
      <c r="T148" s="881">
        <v>0.22358368985494134</v>
      </c>
      <c r="U148" s="880">
        <v>1566.5118356040675</v>
      </c>
      <c r="V148" s="880">
        <v>4877.5132567388418</v>
      </c>
      <c r="W148" s="881">
        <v>0.32117018512246021</v>
      </c>
      <c r="X148" s="880">
        <v>1733.0259057025171</v>
      </c>
      <c r="Y148" s="880">
        <v>4848.4850606408363</v>
      </c>
      <c r="Z148" s="881">
        <v>0.35743657741073021</v>
      </c>
      <c r="AA148" s="880">
        <v>1878.7564076194783</v>
      </c>
      <c r="AB148" s="880">
        <v>5117.1166622498549</v>
      </c>
      <c r="AC148" s="881">
        <v>0.36715137285797994</v>
      </c>
      <c r="AD148" s="880">
        <v>1806.7110610057987</v>
      </c>
      <c r="AE148" s="880">
        <v>5119.2528337208396</v>
      </c>
      <c r="AF148" s="881">
        <v>0.3529247567349828</v>
      </c>
      <c r="AG148" s="880">
        <v>1891.9740073412659</v>
      </c>
      <c r="AH148" s="880">
        <v>5162.97912109347</v>
      </c>
      <c r="AI148" s="881">
        <v>0.36645005973616329</v>
      </c>
    </row>
    <row r="149" spans="2:35" x14ac:dyDescent="0.2">
      <c r="B149" s="867">
        <v>70447000</v>
      </c>
      <c r="C149" s="876" t="s">
        <v>1447</v>
      </c>
      <c r="D149" s="877" t="s">
        <v>1447</v>
      </c>
      <c r="E149" s="877" t="s">
        <v>1447</v>
      </c>
      <c r="F149" s="877" t="s">
        <v>1447</v>
      </c>
      <c r="G149" s="877" t="s">
        <v>1447</v>
      </c>
      <c r="H149" s="877" t="s">
        <v>1447</v>
      </c>
      <c r="I149" s="877" t="s">
        <v>1447</v>
      </c>
      <c r="J149" s="878" t="s">
        <v>1447</v>
      </c>
      <c r="K149" s="877"/>
      <c r="L149" s="879">
        <v>127</v>
      </c>
      <c r="M149" s="880">
        <v>317</v>
      </c>
      <c r="N149" s="881">
        <v>0.39989999999999998</v>
      </c>
      <c r="O149" s="880">
        <v>131.44510468474991</v>
      </c>
      <c r="P149" s="880">
        <v>319.42177429992523</v>
      </c>
      <c r="Q149" s="881">
        <v>0.41150953147398089</v>
      </c>
      <c r="R149" s="880">
        <v>151.10067468695422</v>
      </c>
      <c r="S149" s="880">
        <v>317.34399051683511</v>
      </c>
      <c r="T149" s="881">
        <v>0.47614159776861548</v>
      </c>
      <c r="U149" s="880">
        <v>120.70423030245064</v>
      </c>
      <c r="V149" s="880">
        <v>224.36560980998675</v>
      </c>
      <c r="W149" s="881">
        <v>0.53798008707606293</v>
      </c>
      <c r="X149" s="880">
        <v>122.55076967563654</v>
      </c>
      <c r="Y149" s="880">
        <v>225.10195421183425</v>
      </c>
      <c r="Z149" s="881">
        <v>0.54442339296756626</v>
      </c>
      <c r="AA149" s="880">
        <v>89.798169028239798</v>
      </c>
      <c r="AB149" s="880">
        <v>237.34477355349438</v>
      </c>
      <c r="AC149" s="881">
        <v>0.37834483432600413</v>
      </c>
      <c r="AD149" s="880">
        <v>84.950019387727025</v>
      </c>
      <c r="AE149" s="880">
        <v>237.97804159596524</v>
      </c>
      <c r="AF149" s="881">
        <v>0.35696578901995341</v>
      </c>
      <c r="AG149" s="880">
        <v>76.558948204041911</v>
      </c>
      <c r="AH149" s="880">
        <v>239.58982034956514</v>
      </c>
      <c r="AI149" s="881">
        <v>0.31954174051443945</v>
      </c>
    </row>
    <row r="150" spans="2:35" x14ac:dyDescent="0.2">
      <c r="B150" s="867">
        <v>70449000</v>
      </c>
      <c r="C150" s="876" t="s">
        <v>1447</v>
      </c>
      <c r="D150" s="877" t="s">
        <v>1447</v>
      </c>
      <c r="E150" s="877" t="s">
        <v>1447</v>
      </c>
      <c r="F150" s="877" t="s">
        <v>1447</v>
      </c>
      <c r="G150" s="877" t="s">
        <v>1447</v>
      </c>
      <c r="H150" s="877" t="s">
        <v>1447</v>
      </c>
      <c r="I150" s="877" t="s">
        <v>1447</v>
      </c>
      <c r="J150" s="878" t="s">
        <v>1447</v>
      </c>
      <c r="K150" s="877"/>
      <c r="L150" s="879">
        <v>121</v>
      </c>
      <c r="M150" s="880">
        <v>405</v>
      </c>
      <c r="N150" s="881">
        <v>0.29930000000000001</v>
      </c>
      <c r="O150" s="880">
        <v>125.05541209590788</v>
      </c>
      <c r="P150" s="880">
        <v>407.79206344342043</v>
      </c>
      <c r="Q150" s="881">
        <v>0.30666465413753408</v>
      </c>
      <c r="R150" s="880">
        <v>121.06258875521031</v>
      </c>
      <c r="S150" s="880">
        <v>412.45573407231308</v>
      </c>
      <c r="T150" s="881">
        <v>0.29351656130445558</v>
      </c>
      <c r="U150" s="880">
        <v>86.343172041169069</v>
      </c>
      <c r="V150" s="880">
        <v>389.31423994697303</v>
      </c>
      <c r="W150" s="881">
        <v>0.22178272249412079</v>
      </c>
      <c r="X150" s="880">
        <v>122.55076967563654</v>
      </c>
      <c r="Y150" s="880">
        <v>386.89398380159014</v>
      </c>
      <c r="Z150" s="881">
        <v>0.31675542863567491</v>
      </c>
      <c r="AA150" s="880">
        <v>119.73089203765306</v>
      </c>
      <c r="AB150" s="880">
        <v>408.70953283729148</v>
      </c>
      <c r="AC150" s="881">
        <v>0.29294861611490303</v>
      </c>
      <c r="AD150" s="880">
        <v>85.829748577859377</v>
      </c>
      <c r="AE150" s="880">
        <v>408.74091113810823</v>
      </c>
      <c r="AF150" s="881">
        <v>0.20998570546528586</v>
      </c>
      <c r="AG150" s="880">
        <v>105.59854924695438</v>
      </c>
      <c r="AH150" s="880">
        <v>412.02188802538853</v>
      </c>
      <c r="AI150" s="881">
        <v>0.25629354244512237</v>
      </c>
    </row>
    <row r="151" spans="2:35" x14ac:dyDescent="0.2">
      <c r="B151" s="867">
        <v>70459000</v>
      </c>
      <c r="C151" s="876" t="s">
        <v>1447</v>
      </c>
      <c r="D151" s="877" t="s">
        <v>1447</v>
      </c>
      <c r="E151" s="877" t="s">
        <v>1447</v>
      </c>
      <c r="F151" s="877" t="s">
        <v>1447</v>
      </c>
      <c r="G151" s="877" t="s">
        <v>1447</v>
      </c>
      <c r="H151" s="877" t="s">
        <v>1447</v>
      </c>
      <c r="I151" s="877" t="s">
        <v>1447</v>
      </c>
      <c r="J151" s="878" t="s">
        <v>1447</v>
      </c>
      <c r="K151" s="877"/>
      <c r="L151" s="879">
        <v>330</v>
      </c>
      <c r="M151" s="880">
        <v>1800</v>
      </c>
      <c r="N151" s="881">
        <v>0.1835</v>
      </c>
      <c r="O151" s="880">
        <v>301.22836490255185</v>
      </c>
      <c r="P151" s="880">
        <v>1815.2730228226301</v>
      </c>
      <c r="Q151" s="881">
        <v>0.1659410794493941</v>
      </c>
      <c r="R151" s="880">
        <v>333.14968033388698</v>
      </c>
      <c r="S151" s="880">
        <v>1837.3028154130309</v>
      </c>
      <c r="T151" s="881">
        <v>0.18132540675337397</v>
      </c>
      <c r="U151" s="880">
        <v>1229.9496751986942</v>
      </c>
      <c r="V151" s="880">
        <v>6015.3040764471934</v>
      </c>
      <c r="W151" s="881">
        <v>0.20447007492348365</v>
      </c>
      <c r="X151" s="880">
        <v>1388.2020724631643</v>
      </c>
      <c r="Y151" s="880">
        <v>5983.6671812950472</v>
      </c>
      <c r="Z151" s="881">
        <v>0.23199854376972806</v>
      </c>
      <c r="AA151" s="880">
        <v>1433.0193983171064</v>
      </c>
      <c r="AB151" s="880">
        <v>6314.8371990622773</v>
      </c>
      <c r="AC151" s="881">
        <v>0.22692895369177574</v>
      </c>
      <c r="AD151" s="880">
        <v>1604.2610421954475</v>
      </c>
      <c r="AE151" s="880">
        <v>6317.3178599234279</v>
      </c>
      <c r="AF151" s="881">
        <v>0.25394654468358391</v>
      </c>
      <c r="AG151" s="880">
        <v>1579.5782991523593</v>
      </c>
      <c r="AH151" s="880">
        <v>6370.9111320225265</v>
      </c>
      <c r="AI151" s="881">
        <v>0.24793601204273935</v>
      </c>
    </row>
    <row r="152" spans="2:35" x14ac:dyDescent="0.2">
      <c r="B152" s="867">
        <v>70462000</v>
      </c>
      <c r="C152" s="876" t="s">
        <v>1447</v>
      </c>
      <c r="D152" s="877" t="s">
        <v>1447</v>
      </c>
      <c r="E152" s="877" t="s">
        <v>1447</v>
      </c>
      <c r="F152" s="877" t="s">
        <v>1447</v>
      </c>
      <c r="G152" s="877" t="s">
        <v>1447</v>
      </c>
      <c r="H152" s="877" t="s">
        <v>1447</v>
      </c>
      <c r="I152" s="877" t="s">
        <v>1447</v>
      </c>
      <c r="J152" s="878" t="s">
        <v>1447</v>
      </c>
      <c r="K152" s="877"/>
      <c r="L152" s="879">
        <v>27</v>
      </c>
      <c r="M152" s="880">
        <v>156</v>
      </c>
      <c r="N152" s="881">
        <v>0.17230000000000001</v>
      </c>
      <c r="O152" s="880">
        <v>26.471583582345467</v>
      </c>
      <c r="P152" s="880">
        <v>156.48905369160605</v>
      </c>
      <c r="Q152" s="881">
        <v>0.16915933068720054</v>
      </c>
      <c r="R152" s="880">
        <v>31.858575988213236</v>
      </c>
      <c r="S152" s="880">
        <v>167.36008721781218</v>
      </c>
      <c r="T152" s="881">
        <v>0.19035946095529113</v>
      </c>
      <c r="U152" s="880">
        <v>443.16954629293923</v>
      </c>
      <c r="V152" s="880">
        <v>2405.0574458683163</v>
      </c>
      <c r="W152" s="881">
        <v>0.18426568024571169</v>
      </c>
      <c r="X152" s="880">
        <v>535.36168150975777</v>
      </c>
      <c r="Y152" s="880">
        <v>2389.0703499748192</v>
      </c>
      <c r="Z152" s="881">
        <v>0.22408786811799011</v>
      </c>
      <c r="AA152" s="880">
        <v>600.66056450424276</v>
      </c>
      <c r="AB152" s="880">
        <v>2520.9863785546836</v>
      </c>
      <c r="AC152" s="881">
        <v>0.23826410551595673</v>
      </c>
      <c r="AD152" s="880">
        <v>650.82879959880438</v>
      </c>
      <c r="AE152" s="880">
        <v>2521.4772651541966</v>
      </c>
      <c r="AF152" s="881">
        <v>0.25811408597372543</v>
      </c>
      <c r="AG152" s="880">
        <v>648.55108995837816</v>
      </c>
      <c r="AH152" s="880">
        <v>2542.9192296192482</v>
      </c>
      <c r="AI152" s="881">
        <v>0.25504195430363152</v>
      </c>
    </row>
    <row r="153" spans="2:35" x14ac:dyDescent="0.2">
      <c r="B153" s="867">
        <v>70465000</v>
      </c>
      <c r="C153" s="876" t="s">
        <v>1447</v>
      </c>
      <c r="D153" s="877" t="s">
        <v>1447</v>
      </c>
      <c r="E153" s="877" t="s">
        <v>1447</v>
      </c>
      <c r="F153" s="877" t="s">
        <v>1447</v>
      </c>
      <c r="G153" s="877" t="s">
        <v>1447</v>
      </c>
      <c r="H153" s="877" t="s">
        <v>1447</v>
      </c>
      <c r="I153" s="877" t="s">
        <v>1447</v>
      </c>
      <c r="J153" s="878" t="s">
        <v>1447</v>
      </c>
      <c r="K153" s="877"/>
      <c r="L153" s="879">
        <v>264</v>
      </c>
      <c r="M153" s="880">
        <v>1652</v>
      </c>
      <c r="N153" s="881">
        <v>0.15970000000000001</v>
      </c>
      <c r="O153" s="880">
        <v>282.97210036300328</v>
      </c>
      <c r="P153" s="880">
        <v>1665.2276360477372</v>
      </c>
      <c r="Q153" s="881">
        <v>0.16992998088514266</v>
      </c>
      <c r="R153" s="880">
        <v>304.02183943037778</v>
      </c>
      <c r="S153" s="880">
        <v>1685.4898401225566</v>
      </c>
      <c r="T153" s="881">
        <v>0.18037595492611899</v>
      </c>
      <c r="U153" s="880">
        <v>1160.3465059002008</v>
      </c>
      <c r="V153" s="880">
        <v>5859.2236522315507</v>
      </c>
      <c r="W153" s="881">
        <v>0.19803758565493057</v>
      </c>
      <c r="X153" s="880">
        <v>1260.6678151085039</v>
      </c>
      <c r="Y153" s="880">
        <v>5825.3923697398513</v>
      </c>
      <c r="Z153" s="881">
        <v>0.21640908201429912</v>
      </c>
      <c r="AA153" s="880">
        <v>1369.055906031713</v>
      </c>
      <c r="AB153" s="880">
        <v>6147.1379961267967</v>
      </c>
      <c r="AC153" s="881">
        <v>0.22271436022655275</v>
      </c>
      <c r="AD153" s="880">
        <v>1477.9052548522734</v>
      </c>
      <c r="AE153" s="880">
        <v>6149.2799297888732</v>
      </c>
      <c r="AF153" s="881">
        <v>0.24033793740513862</v>
      </c>
      <c r="AG153" s="880">
        <v>1457.2599796079703</v>
      </c>
      <c r="AH153" s="880">
        <v>6202.1092131398791</v>
      </c>
      <c r="AI153" s="881">
        <v>0.23496199914064686</v>
      </c>
    </row>
    <row r="154" spans="2:35" x14ac:dyDescent="0.2">
      <c r="B154" s="867">
        <v>70466000</v>
      </c>
      <c r="C154" s="876" t="s">
        <v>1447</v>
      </c>
      <c r="D154" s="877" t="s">
        <v>1447</v>
      </c>
      <c r="E154" s="877" t="s">
        <v>1447</v>
      </c>
      <c r="F154" s="877" t="s">
        <v>1447</v>
      </c>
      <c r="G154" s="877" t="s">
        <v>1447</v>
      </c>
      <c r="H154" s="877" t="s">
        <v>1447</v>
      </c>
      <c r="I154" s="877" t="s">
        <v>1447</v>
      </c>
      <c r="J154" s="878" t="s">
        <v>1447</v>
      </c>
      <c r="K154" s="877"/>
      <c r="L154" s="879">
        <v>5477</v>
      </c>
      <c r="M154" s="880">
        <v>16608</v>
      </c>
      <c r="N154" s="881">
        <v>0.32979999999999998</v>
      </c>
      <c r="O154" s="880">
        <v>5344.5214439528518</v>
      </c>
      <c r="P154" s="880">
        <v>16750.772411918559</v>
      </c>
      <c r="Q154" s="881">
        <v>0.31906119386769904</v>
      </c>
      <c r="R154" s="880">
        <v>5838.3116110971341</v>
      </c>
      <c r="S154" s="880">
        <v>16925.317672896446</v>
      </c>
      <c r="T154" s="881">
        <v>0.34494546713568525</v>
      </c>
      <c r="U154" s="880">
        <v>5321.5587666189913</v>
      </c>
      <c r="V154" s="880">
        <v>14553.612737516571</v>
      </c>
      <c r="W154" s="881">
        <v>0.36565207983726122</v>
      </c>
      <c r="X154" s="880">
        <v>5401.0298032717346</v>
      </c>
      <c r="Y154" s="880">
        <v>14468.07638516219</v>
      </c>
      <c r="Z154" s="881">
        <v>0.37330669672236377</v>
      </c>
      <c r="AA154" s="880">
        <v>5744.4771824284908</v>
      </c>
      <c r="AB154" s="880">
        <v>15267.958579825367</v>
      </c>
      <c r="AC154" s="881">
        <v>0.37624395903320529</v>
      </c>
      <c r="AD154" s="880">
        <v>6116.2001841642159</v>
      </c>
      <c r="AE154" s="880">
        <v>15274.193692663173</v>
      </c>
      <c r="AF154" s="881">
        <v>0.40042704100983606</v>
      </c>
      <c r="AG154" s="880">
        <v>5868.6393743994895</v>
      </c>
      <c r="AH154" s="880">
        <v>15404.536403839085</v>
      </c>
      <c r="AI154" s="881">
        <v>0.38096825639860993</v>
      </c>
    </row>
    <row r="155" spans="2:35" x14ac:dyDescent="0.2">
      <c r="B155" s="867">
        <v>70468000</v>
      </c>
      <c r="C155" s="876" t="s">
        <v>1447</v>
      </c>
      <c r="D155" s="877" t="s">
        <v>1447</v>
      </c>
      <c r="E155" s="877" t="s">
        <v>1447</v>
      </c>
      <c r="F155" s="877" t="s">
        <v>1447</v>
      </c>
      <c r="G155" s="877" t="s">
        <v>1447</v>
      </c>
      <c r="H155" s="877" t="s">
        <v>1447</v>
      </c>
      <c r="I155" s="877" t="s">
        <v>1447</v>
      </c>
      <c r="J155" s="878" t="s">
        <v>1447</v>
      </c>
      <c r="K155" s="877"/>
      <c r="L155" s="879">
        <v>5009</v>
      </c>
      <c r="M155" s="880">
        <v>17326</v>
      </c>
      <c r="N155" s="881">
        <v>0.28910000000000002</v>
      </c>
      <c r="O155" s="880">
        <v>5219.466031856944</v>
      </c>
      <c r="P155" s="880">
        <v>17475.224678126171</v>
      </c>
      <c r="Q155" s="881">
        <v>0.29867805009627008</v>
      </c>
      <c r="R155" s="880">
        <v>6017.6298816593626</v>
      </c>
      <c r="S155" s="880">
        <v>17657.861005472776</v>
      </c>
      <c r="T155" s="881">
        <v>0.34079042075335697</v>
      </c>
      <c r="U155" s="880">
        <v>5531.2493272904021</v>
      </c>
      <c r="V155" s="880">
        <v>13167.512152010606</v>
      </c>
      <c r="W155" s="881">
        <v>0.42006791134389126</v>
      </c>
      <c r="X155" s="880">
        <v>6321.8572728199106</v>
      </c>
      <c r="Y155" s="880">
        <v>13090.206220123346</v>
      </c>
      <c r="Z155" s="881">
        <v>0.48294558286648148</v>
      </c>
      <c r="AA155" s="880">
        <v>6136.4853425593083</v>
      </c>
      <c r="AB155" s="880">
        <v>13813.649098630789</v>
      </c>
      <c r="AC155" s="881">
        <v>0.4442334750755727</v>
      </c>
      <c r="AD155" s="880">
        <v>6816.6658312616983</v>
      </c>
      <c r="AE155" s="880">
        <v>13819.076049011508</v>
      </c>
      <c r="AF155" s="881">
        <v>0.49327942093127863</v>
      </c>
      <c r="AG155" s="880">
        <v>7104.1424005888548</v>
      </c>
      <c r="AH155" s="880">
        <v>13937.048754197998</v>
      </c>
      <c r="AI155" s="881">
        <v>0.5097307561939185</v>
      </c>
    </row>
    <row r="156" spans="2:35" x14ac:dyDescent="0.2">
      <c r="B156" s="867">
        <v>70479000</v>
      </c>
      <c r="C156" s="876" t="s">
        <v>1448</v>
      </c>
      <c r="D156" s="877" t="s">
        <v>1448</v>
      </c>
      <c r="E156" s="877" t="s">
        <v>1448</v>
      </c>
      <c r="F156" s="877" t="s">
        <v>1448</v>
      </c>
      <c r="G156" s="877" t="s">
        <v>1448</v>
      </c>
      <c r="H156" s="877" t="s">
        <v>1447</v>
      </c>
      <c r="I156" s="877" t="s">
        <v>1447</v>
      </c>
      <c r="J156" s="878" t="s">
        <v>1447</v>
      </c>
      <c r="K156" s="877"/>
      <c r="L156" s="879">
        <v>418</v>
      </c>
      <c r="M156" s="880">
        <v>4478</v>
      </c>
      <c r="N156" s="881">
        <v>9.3399999999999997E-2</v>
      </c>
      <c r="O156" s="880">
        <v>495.6575822487444</v>
      </c>
      <c r="P156" s="880">
        <v>4516.0899847707014</v>
      </c>
      <c r="Q156" s="881">
        <v>0.10975369931073478</v>
      </c>
      <c r="R156" s="880">
        <v>523.3908912349317</v>
      </c>
      <c r="S156" s="880">
        <v>4566.2782266586673</v>
      </c>
      <c r="T156" s="881">
        <v>0.1146208937027296</v>
      </c>
      <c r="U156" s="880">
        <v>1346.2486416214933</v>
      </c>
      <c r="V156" s="880">
        <v>9807.3489284136103</v>
      </c>
      <c r="W156" s="881">
        <v>0.13726937334932326</v>
      </c>
      <c r="X156" s="880">
        <v>1311.4348108731815</v>
      </c>
      <c r="Y156" s="880">
        <v>9759.4007413951094</v>
      </c>
      <c r="Z156" s="881">
        <v>0.13437657143339227</v>
      </c>
      <c r="AA156" s="880">
        <v>1559.0132826675526</v>
      </c>
      <c r="AB156" s="880">
        <v>10299.29694968233</v>
      </c>
      <c r="AC156" s="881">
        <v>0.15137084504740284</v>
      </c>
      <c r="AD156" s="880">
        <v>1755.4387594106117</v>
      </c>
      <c r="AE156" s="880">
        <v>10304.812526359639</v>
      </c>
      <c r="AF156" s="881">
        <v>0.17035135330411993</v>
      </c>
      <c r="AG156" s="880">
        <v>1562.8585288549245</v>
      </c>
      <c r="AH156" s="880">
        <v>10393.11599486068</v>
      </c>
      <c r="AI156" s="881">
        <v>0.15037439490021537</v>
      </c>
    </row>
    <row r="157" spans="2:35" x14ac:dyDescent="0.2">
      <c r="B157" s="867">
        <v>70483000</v>
      </c>
      <c r="C157" s="876" t="s">
        <v>1447</v>
      </c>
      <c r="D157" s="877" t="s">
        <v>1447</v>
      </c>
      <c r="E157" s="877" t="s">
        <v>1447</v>
      </c>
      <c r="F157" s="877" t="s">
        <v>1447</v>
      </c>
      <c r="G157" s="877" t="s">
        <v>1447</v>
      </c>
      <c r="H157" s="877" t="s">
        <v>1447</v>
      </c>
      <c r="I157" s="877" t="s">
        <v>1447</v>
      </c>
      <c r="J157" s="878" t="s">
        <v>1447</v>
      </c>
      <c r="K157" s="877"/>
      <c r="L157" s="879">
        <v>5934</v>
      </c>
      <c r="M157" s="880">
        <v>25574</v>
      </c>
      <c r="N157" s="881">
        <v>0.23200000000000001</v>
      </c>
      <c r="O157" s="880">
        <v>6181.5711730911553</v>
      </c>
      <c r="P157" s="880">
        <v>25793.998667602897</v>
      </c>
      <c r="Q157" s="881">
        <v>0.23965152719245389</v>
      </c>
      <c r="R157" s="880">
        <v>7099.0009752021442</v>
      </c>
      <c r="S157" s="880">
        <v>26100.857318012895</v>
      </c>
      <c r="T157" s="881">
        <v>0.27198344057085572</v>
      </c>
      <c r="U157" s="880">
        <v>6877.4979689118954</v>
      </c>
      <c r="V157" s="880">
        <v>18498.190731330091</v>
      </c>
      <c r="W157" s="881">
        <v>0.37179300769472479</v>
      </c>
      <c r="X157" s="880">
        <v>7789.8482085774967</v>
      </c>
      <c r="Y157" s="880">
        <v>18388.89518918785</v>
      </c>
      <c r="Z157" s="881">
        <v>0.42361697798776443</v>
      </c>
      <c r="AA157" s="880">
        <v>8177.9369317135242</v>
      </c>
      <c r="AB157" s="880">
        <v>19394.458638942684</v>
      </c>
      <c r="AC157" s="881">
        <v>0.42166358360180328</v>
      </c>
      <c r="AD157" s="880">
        <v>8904.8551354983138</v>
      </c>
      <c r="AE157" s="880">
        <v>19407.018460837378</v>
      </c>
      <c r="AF157" s="881">
        <v>0.45884715127509007</v>
      </c>
      <c r="AG157" s="880">
        <v>8857.0783180882972</v>
      </c>
      <c r="AH157" s="880">
        <v>19567.409532412781</v>
      </c>
      <c r="AI157" s="881">
        <v>0.45264439850440263</v>
      </c>
    </row>
    <row r="158" spans="2:35" x14ac:dyDescent="0.2">
      <c r="B158" s="867">
        <v>70492000</v>
      </c>
      <c r="C158" s="876" t="s">
        <v>1447</v>
      </c>
      <c r="D158" s="877" t="s">
        <v>1447</v>
      </c>
      <c r="E158" s="877" t="s">
        <v>1447</v>
      </c>
      <c r="F158" s="877" t="s">
        <v>1447</v>
      </c>
      <c r="G158" s="877" t="s">
        <v>1447</v>
      </c>
      <c r="H158" s="877" t="s">
        <v>1447</v>
      </c>
      <c r="I158" s="877" t="s">
        <v>1447</v>
      </c>
      <c r="J158" s="878" t="s">
        <v>1447</v>
      </c>
      <c r="K158" s="877"/>
      <c r="L158" s="879">
        <v>1769</v>
      </c>
      <c r="M158" s="880">
        <v>10969</v>
      </c>
      <c r="N158" s="881">
        <v>0.1613</v>
      </c>
      <c r="O158" s="880">
        <v>1916.9077766526027</v>
      </c>
      <c r="P158" s="880">
        <v>11059.173476770322</v>
      </c>
      <c r="Q158" s="881">
        <v>0.17333192038980558</v>
      </c>
      <c r="R158" s="880">
        <v>2196.4212531302442</v>
      </c>
      <c r="S158" s="880">
        <v>11177.45893976011</v>
      </c>
      <c r="T158" s="881">
        <v>0.19650452441540203</v>
      </c>
      <c r="U158" s="880">
        <v>2275.7593202279563</v>
      </c>
      <c r="V158" s="880">
        <v>9730.1955368979234</v>
      </c>
      <c r="W158" s="881">
        <v>0.23388628847159731</v>
      </c>
      <c r="X158" s="880">
        <v>2602.8253891906788</v>
      </c>
      <c r="Y158" s="880">
        <v>9663.5565499533532</v>
      </c>
      <c r="Z158" s="881">
        <v>0.26934445674695645</v>
      </c>
      <c r="AA158" s="880">
        <v>2711.9918981248093</v>
      </c>
      <c r="AB158" s="880">
        <v>10197.577761016546</v>
      </c>
      <c r="AC158" s="881">
        <v>0.26594471370370448</v>
      </c>
      <c r="AD158" s="880">
        <v>2847.1662982024727</v>
      </c>
      <c r="AE158" s="880">
        <v>10201.264828871319</v>
      </c>
      <c r="AF158" s="881">
        <v>0.27909934169579703</v>
      </c>
      <c r="AG158" s="880">
        <v>2872.280539517159</v>
      </c>
      <c r="AH158" s="880">
        <v>10288.749217056893</v>
      </c>
      <c r="AI158" s="881">
        <v>0.27916712507244662</v>
      </c>
    </row>
    <row r="159" spans="2:35" x14ac:dyDescent="0.2">
      <c r="B159" s="867">
        <v>70501000</v>
      </c>
      <c r="C159" s="876" t="s">
        <v>1448</v>
      </c>
      <c r="D159" s="877" t="s">
        <v>1448</v>
      </c>
      <c r="E159" s="877" t="s">
        <v>1447</v>
      </c>
      <c r="F159" s="877" t="s">
        <v>1447</v>
      </c>
      <c r="G159" s="877" t="s">
        <v>1447</v>
      </c>
      <c r="H159" s="877" t="s">
        <v>1447</v>
      </c>
      <c r="I159" s="877" t="s">
        <v>1447</v>
      </c>
      <c r="J159" s="878" t="s">
        <v>1447</v>
      </c>
      <c r="K159" s="877"/>
      <c r="L159" s="879">
        <v>232</v>
      </c>
      <c r="M159" s="880">
        <v>1578</v>
      </c>
      <c r="N159" s="881">
        <v>0.1472</v>
      </c>
      <c r="O159" s="880">
        <v>227.29049351738004</v>
      </c>
      <c r="P159" s="880">
        <v>1591.5857284281578</v>
      </c>
      <c r="Q159" s="881">
        <v>0.14280757200672503</v>
      </c>
      <c r="R159" s="880">
        <v>248.49689270806326</v>
      </c>
      <c r="S159" s="880">
        <v>1605.9252084944162</v>
      </c>
      <c r="T159" s="881">
        <v>0.15473752538017232</v>
      </c>
      <c r="U159" s="880">
        <v>674.00537358667691</v>
      </c>
      <c r="V159" s="880">
        <v>3745.9301811754308</v>
      </c>
      <c r="W159" s="881">
        <v>0.17993004166863077</v>
      </c>
      <c r="X159" s="880">
        <v>798.15014336199908</v>
      </c>
      <c r="Y159" s="880">
        <v>3724.733898598945</v>
      </c>
      <c r="Z159" s="881">
        <v>0.21428380257237234</v>
      </c>
      <c r="AA159" s="880">
        <v>691.46178569047129</v>
      </c>
      <c r="AB159" s="880">
        <v>3930.392794482384</v>
      </c>
      <c r="AC159" s="881">
        <v>0.17592689124129485</v>
      </c>
      <c r="AD159" s="880">
        <v>689.78489253213854</v>
      </c>
      <c r="AE159" s="880">
        <v>3932.0875651486012</v>
      </c>
      <c r="AF159" s="881">
        <v>0.17542460108109781</v>
      </c>
      <c r="AG159" s="880">
        <v>699.59038876107263</v>
      </c>
      <c r="AH159" s="880">
        <v>3965.0300193456442</v>
      </c>
      <c r="AI159" s="881">
        <v>0.17644012412206839</v>
      </c>
    </row>
    <row r="160" spans="2:35" x14ac:dyDescent="0.2">
      <c r="B160" s="867">
        <v>70505000</v>
      </c>
      <c r="C160" s="876" t="s">
        <v>1447</v>
      </c>
      <c r="D160" s="877" t="s">
        <v>1447</v>
      </c>
      <c r="E160" s="877" t="s">
        <v>1447</v>
      </c>
      <c r="F160" s="877" t="s">
        <v>1447</v>
      </c>
      <c r="G160" s="877" t="s">
        <v>1447</v>
      </c>
      <c r="H160" s="877" t="s">
        <v>1447</v>
      </c>
      <c r="I160" s="877" t="s">
        <v>1447</v>
      </c>
      <c r="J160" s="878" t="s">
        <v>1447</v>
      </c>
      <c r="K160" s="877"/>
      <c r="L160" s="879">
        <v>4017</v>
      </c>
      <c r="M160" s="880">
        <v>18466</v>
      </c>
      <c r="N160" s="881">
        <v>0.2175</v>
      </c>
      <c r="O160" s="880">
        <v>4163.3411282440575</v>
      </c>
      <c r="P160" s="880">
        <v>18624.958960836851</v>
      </c>
      <c r="Q160" s="881">
        <v>0.22353558668228021</v>
      </c>
      <c r="R160" s="880">
        <v>4847.0547753495848</v>
      </c>
      <c r="S160" s="880">
        <v>18830.296151993181</v>
      </c>
      <c r="T160" s="881">
        <v>0.25740725139028287</v>
      </c>
      <c r="U160" s="880">
        <v>4290.7270187805443</v>
      </c>
      <c r="V160" s="880">
        <v>17180.375331418472</v>
      </c>
      <c r="W160" s="881">
        <v>0.24974582545550747</v>
      </c>
      <c r="X160" s="880">
        <v>4826.0307417729737</v>
      </c>
      <c r="Y160" s="880">
        <v>17079.610775822923</v>
      </c>
      <c r="Z160" s="881">
        <v>0.28256093216154965</v>
      </c>
      <c r="AA160" s="880">
        <v>5056.6484189734101</v>
      </c>
      <c r="AB160" s="880">
        <v>18023.540564672308</v>
      </c>
      <c r="AC160" s="881">
        <v>0.28055799585154079</v>
      </c>
      <c r="AD160" s="880">
        <v>5445.8933380987446</v>
      </c>
      <c r="AE160" s="880">
        <v>18030.924060005749</v>
      </c>
      <c r="AF160" s="881">
        <v>0.30203074007605846</v>
      </c>
      <c r="AG160" s="880">
        <v>5210.4084174268064</v>
      </c>
      <c r="AH160" s="880">
        <v>18184.32284221302</v>
      </c>
      <c r="AI160" s="881">
        <v>0.28653299122755255</v>
      </c>
    </row>
    <row r="161" spans="2:35" x14ac:dyDescent="0.2">
      <c r="B161" s="867">
        <v>70510000</v>
      </c>
      <c r="C161" s="876" t="s">
        <v>1447</v>
      </c>
      <c r="D161" s="877" t="s">
        <v>1447</v>
      </c>
      <c r="E161" s="877" t="s">
        <v>1447</v>
      </c>
      <c r="F161" s="877" t="s">
        <v>1447</v>
      </c>
      <c r="G161" s="877" t="s">
        <v>1447</v>
      </c>
      <c r="H161" s="877" t="s">
        <v>1447</v>
      </c>
      <c r="I161" s="877" t="s">
        <v>1447</v>
      </c>
      <c r="J161" s="878" t="s">
        <v>1447</v>
      </c>
      <c r="K161" s="877"/>
      <c r="L161" s="879">
        <v>9863</v>
      </c>
      <c r="M161" s="880">
        <v>37165</v>
      </c>
      <c r="N161" s="881">
        <v>0.26540000000000002</v>
      </c>
      <c r="O161" s="880">
        <v>9977.0485708633078</v>
      </c>
      <c r="P161" s="880">
        <v>37445.068976865587</v>
      </c>
      <c r="Q161" s="881">
        <v>0.26644492435111694</v>
      </c>
      <c r="R161" s="880">
        <v>11484.561521236756</v>
      </c>
      <c r="S161" s="880">
        <v>37791.370951375153</v>
      </c>
      <c r="T161" s="881">
        <v>0.30389375225401438</v>
      </c>
      <c r="U161" s="880">
        <v>13212.267427850729</v>
      </c>
      <c r="V161" s="880">
        <v>36638.992764030045</v>
      </c>
      <c r="W161" s="881">
        <v>0.36060673154808276</v>
      </c>
      <c r="X161" s="880">
        <v>14141.06763208749</v>
      </c>
      <c r="Y161" s="880">
        <v>36582.584777457625</v>
      </c>
      <c r="Z161" s="881">
        <v>0.3865518994382619</v>
      </c>
      <c r="AA161" s="880">
        <v>13982.548574224247</v>
      </c>
      <c r="AB161" s="880">
        <v>38429.692755750351</v>
      </c>
      <c r="AC161" s="881">
        <v>0.36384752444142288</v>
      </c>
      <c r="AD161" s="880">
        <v>14607.376701589652</v>
      </c>
      <c r="AE161" s="880">
        <v>38430.728778340796</v>
      </c>
      <c r="AF161" s="881">
        <v>0.38009627102940174</v>
      </c>
      <c r="AG161" s="880">
        <v>13227.098281091425</v>
      </c>
      <c r="AH161" s="880">
        <v>38581.221373866334</v>
      </c>
      <c r="AI161" s="881">
        <v>0.34283772804691537</v>
      </c>
    </row>
    <row r="162" spans="2:35" x14ac:dyDescent="0.2">
      <c r="B162" s="867">
        <v>70513000</v>
      </c>
      <c r="C162" s="876" t="s">
        <v>1448</v>
      </c>
      <c r="D162" s="877" t="s">
        <v>1448</v>
      </c>
      <c r="E162" s="877" t="s">
        <v>1448</v>
      </c>
      <c r="F162" s="877" t="s">
        <v>1448</v>
      </c>
      <c r="G162" s="877" t="s">
        <v>1448</v>
      </c>
      <c r="H162" s="877" t="s">
        <v>1447</v>
      </c>
      <c r="I162" s="877" t="s">
        <v>1448</v>
      </c>
      <c r="J162" s="878" t="s">
        <v>1448</v>
      </c>
      <c r="K162" s="877"/>
      <c r="L162" s="879">
        <v>1770</v>
      </c>
      <c r="M162" s="880">
        <v>15552</v>
      </c>
      <c r="N162" s="881">
        <v>0.1138</v>
      </c>
      <c r="O162" s="880">
        <v>1829.2777068627695</v>
      </c>
      <c r="P162" s="880">
        <v>15685.726322970393</v>
      </c>
      <c r="Q162" s="881">
        <v>0.11662052933971888</v>
      </c>
      <c r="R162" s="880">
        <v>2212.8056636384676</v>
      </c>
      <c r="S162" s="880">
        <v>15867.199525841756</v>
      </c>
      <c r="T162" s="881">
        <v>0.13945785833439805</v>
      </c>
      <c r="U162" s="880">
        <v>1730.3876519271025</v>
      </c>
      <c r="V162" s="880">
        <v>13421.142841361025</v>
      </c>
      <c r="W162" s="881">
        <v>0.12892997804884593</v>
      </c>
      <c r="X162" s="880">
        <v>1947.3968045705403</v>
      </c>
      <c r="Y162" s="880">
        <v>13342.566614103018</v>
      </c>
      <c r="Z162" s="881">
        <v>0.14595368798924735</v>
      </c>
      <c r="AA162" s="880">
        <v>2144.7706833998495</v>
      </c>
      <c r="AB162" s="880">
        <v>14080.318322970816</v>
      </c>
      <c r="AC162" s="881">
        <v>0.15232401954299873</v>
      </c>
      <c r="AD162" s="880">
        <v>1993.3259543937675</v>
      </c>
      <c r="AE162" s="880">
        <v>14087.936737226797</v>
      </c>
      <c r="AF162" s="881">
        <v>0.1414916883553633</v>
      </c>
      <c r="AG162" s="880">
        <v>2039.8119762870019</v>
      </c>
      <c r="AH162" s="880">
        <v>14208.402376487848</v>
      </c>
      <c r="AI162" s="881">
        <v>0.14356378164391623</v>
      </c>
    </row>
    <row r="163" spans="2:35" x14ac:dyDescent="0.2">
      <c r="B163" s="867">
        <v>70514000</v>
      </c>
      <c r="C163" s="876" t="s">
        <v>1447</v>
      </c>
      <c r="D163" s="877" t="s">
        <v>1447</v>
      </c>
      <c r="E163" s="877" t="s">
        <v>1447</v>
      </c>
      <c r="F163" s="877" t="s">
        <v>1447</v>
      </c>
      <c r="G163" s="877" t="s">
        <v>1447</v>
      </c>
      <c r="H163" s="877" t="s">
        <v>1447</v>
      </c>
      <c r="I163" s="877" t="s">
        <v>1447</v>
      </c>
      <c r="J163" s="878" t="s">
        <v>1447</v>
      </c>
      <c r="K163" s="877"/>
      <c r="L163" s="879">
        <v>959</v>
      </c>
      <c r="M163" s="880">
        <v>5505</v>
      </c>
      <c r="N163" s="881">
        <v>0.17419999999999999</v>
      </c>
      <c r="O163" s="880">
        <v>1033.3045729384505</v>
      </c>
      <c r="P163" s="880">
        <v>5558.1229775877482</v>
      </c>
      <c r="Q163" s="881">
        <v>0.18590890793620216</v>
      </c>
      <c r="R163" s="880">
        <v>1164.2033911121353</v>
      </c>
      <c r="S163" s="880">
        <v>5625.3109097090855</v>
      </c>
      <c r="T163" s="881">
        <v>0.20695805259452627</v>
      </c>
      <c r="U163" s="880">
        <v>2181.4866732034143</v>
      </c>
      <c r="V163" s="880">
        <v>10608.147923110915</v>
      </c>
      <c r="W163" s="881">
        <v>0.20564255787297483</v>
      </c>
      <c r="X163" s="880">
        <v>2480.4248078483511</v>
      </c>
      <c r="Y163" s="880">
        <v>10541.981754084691</v>
      </c>
      <c r="Z163" s="881">
        <v>0.2352901822171399</v>
      </c>
      <c r="AA163" s="880">
        <v>2624.9210379681545</v>
      </c>
      <c r="AB163" s="880">
        <v>11124.963517140624</v>
      </c>
      <c r="AC163" s="881">
        <v>0.23594873222944471</v>
      </c>
      <c r="AD163" s="880">
        <v>2710.7146801011959</v>
      </c>
      <c r="AE163" s="880">
        <v>11128.652540586894</v>
      </c>
      <c r="AF163" s="881">
        <v>0.24357977483932122</v>
      </c>
      <c r="AG163" s="880">
        <v>2638.2037553530763</v>
      </c>
      <c r="AH163" s="880">
        <v>11223.512531299515</v>
      </c>
      <c r="AI163" s="881">
        <v>0.23506043656081807</v>
      </c>
    </row>
    <row r="164" spans="2:35" x14ac:dyDescent="0.2">
      <c r="B164" s="867">
        <v>70516000</v>
      </c>
      <c r="C164" s="876" t="s">
        <v>1448</v>
      </c>
      <c r="D164" s="877" t="s">
        <v>1448</v>
      </c>
      <c r="E164" s="877" t="s">
        <v>1448</v>
      </c>
      <c r="F164" s="877" t="s">
        <v>1448</v>
      </c>
      <c r="G164" s="877" t="s">
        <v>1447</v>
      </c>
      <c r="H164" s="877" t="s">
        <v>1448</v>
      </c>
      <c r="I164" s="877" t="s">
        <v>1448</v>
      </c>
      <c r="J164" s="878" t="s">
        <v>1448</v>
      </c>
      <c r="K164" s="877"/>
      <c r="L164" s="879">
        <v>367</v>
      </c>
      <c r="M164" s="880">
        <v>2887</v>
      </c>
      <c r="N164" s="881">
        <v>0.12720000000000001</v>
      </c>
      <c r="O164" s="880">
        <v>404.3762595510014</v>
      </c>
      <c r="P164" s="880">
        <v>2912.5374463543617</v>
      </c>
      <c r="Q164" s="881">
        <v>0.13883984910036479</v>
      </c>
      <c r="R164" s="880">
        <v>424.17418315735341</v>
      </c>
      <c r="S164" s="880">
        <v>2941.147762254011</v>
      </c>
      <c r="T164" s="881">
        <v>0.14422062998707638</v>
      </c>
      <c r="U164" s="880">
        <v>908.36541198413579</v>
      </c>
      <c r="V164" s="880">
        <v>6773.5356827220503</v>
      </c>
      <c r="W164" s="881">
        <v>0.13410506041936066</v>
      </c>
      <c r="X164" s="880">
        <v>1057.4265320161546</v>
      </c>
      <c r="Y164" s="880">
        <v>6735.4725361822284</v>
      </c>
      <c r="Z164" s="881">
        <v>0.15699366693810626</v>
      </c>
      <c r="AA164" s="880">
        <v>1038.5076635744081</v>
      </c>
      <c r="AB164" s="880">
        <v>7108.4301484728021</v>
      </c>
      <c r="AC164" s="881">
        <v>0.14609521960309682</v>
      </c>
      <c r="AD164" s="880">
        <v>1055.9768457870173</v>
      </c>
      <c r="AE164" s="880">
        <v>7111.1835406672208</v>
      </c>
      <c r="AF164" s="881">
        <v>0.14849523145452917</v>
      </c>
      <c r="AG164" s="880">
        <v>1009.3461332188054</v>
      </c>
      <c r="AH164" s="880">
        <v>7171.3589409176657</v>
      </c>
      <c r="AI164" s="881">
        <v>0.14074684331581469</v>
      </c>
    </row>
    <row r="165" spans="2:35" x14ac:dyDescent="0.2">
      <c r="B165" s="867">
        <v>70899000</v>
      </c>
      <c r="C165" s="876" t="s">
        <v>1448</v>
      </c>
      <c r="D165" s="877" t="s">
        <v>1447</v>
      </c>
      <c r="E165" s="877" t="s">
        <v>1448</v>
      </c>
      <c r="F165" s="877" t="s">
        <v>1448</v>
      </c>
      <c r="G165" s="877" t="s">
        <v>1448</v>
      </c>
      <c r="H165" s="877" t="s">
        <v>1448</v>
      </c>
      <c r="I165" s="877" t="s">
        <v>1448</v>
      </c>
      <c r="J165" s="878" t="s">
        <v>1448</v>
      </c>
      <c r="K165" s="877"/>
      <c r="L165" s="879" t="s">
        <v>1450</v>
      </c>
      <c r="M165" s="880" t="s">
        <v>1450</v>
      </c>
      <c r="N165" s="881" t="s">
        <v>1450</v>
      </c>
      <c r="O165" s="880">
        <v>39</v>
      </c>
      <c r="P165" s="880">
        <v>215.40257978726947</v>
      </c>
      <c r="Q165" s="881">
        <v>0.18105632735929258</v>
      </c>
      <c r="R165" s="880" t="s">
        <v>1450</v>
      </c>
      <c r="S165" s="880" t="s">
        <v>1450</v>
      </c>
      <c r="T165" s="881" t="s">
        <v>1450</v>
      </c>
      <c r="U165" s="880" t="s">
        <v>1450</v>
      </c>
      <c r="V165" s="880" t="s">
        <v>1450</v>
      </c>
      <c r="W165" s="881" t="s">
        <v>1450</v>
      </c>
      <c r="X165" s="880" t="s">
        <v>1450</v>
      </c>
      <c r="Y165" s="880" t="s">
        <v>1450</v>
      </c>
      <c r="Z165" s="881" t="s">
        <v>1450</v>
      </c>
      <c r="AA165" s="880" t="s">
        <v>1450</v>
      </c>
      <c r="AB165" s="880" t="s">
        <v>1450</v>
      </c>
      <c r="AC165" s="881" t="s">
        <v>1450</v>
      </c>
      <c r="AD165" s="880" t="s">
        <v>1450</v>
      </c>
      <c r="AE165" s="880" t="s">
        <v>1450</v>
      </c>
      <c r="AF165" s="881" t="s">
        <v>1450</v>
      </c>
      <c r="AG165" s="880" t="s">
        <v>1450</v>
      </c>
      <c r="AH165" s="880" t="s">
        <v>1450</v>
      </c>
      <c r="AI165" s="881" t="s">
        <v>1450</v>
      </c>
    </row>
    <row r="166" spans="2:35" x14ac:dyDescent="0.2">
      <c r="B166" s="867">
        <v>70900000</v>
      </c>
      <c r="C166" s="876" t="s">
        <v>1448</v>
      </c>
      <c r="D166" s="877" t="s">
        <v>1448</v>
      </c>
      <c r="E166" s="877" t="s">
        <v>1448</v>
      </c>
      <c r="F166" s="877" t="s">
        <v>1448</v>
      </c>
      <c r="G166" s="877" t="s">
        <v>1448</v>
      </c>
      <c r="H166" s="877" t="s">
        <v>1448</v>
      </c>
      <c r="I166" s="877" t="s">
        <v>1448</v>
      </c>
      <c r="J166" s="878" t="s">
        <v>1448</v>
      </c>
      <c r="K166" s="877"/>
      <c r="L166" s="879" t="s">
        <v>1450</v>
      </c>
      <c r="M166" s="880" t="s">
        <v>1450</v>
      </c>
      <c r="N166" s="881" t="s">
        <v>1450</v>
      </c>
      <c r="O166" s="880" t="s">
        <v>1450</v>
      </c>
      <c r="P166" s="880" t="s">
        <v>1450</v>
      </c>
      <c r="Q166" s="881" t="s">
        <v>1450</v>
      </c>
      <c r="R166" s="880" t="s">
        <v>1450</v>
      </c>
      <c r="S166" s="880" t="s">
        <v>1450</v>
      </c>
      <c r="T166" s="881" t="s">
        <v>1450</v>
      </c>
      <c r="U166" s="880">
        <v>0</v>
      </c>
      <c r="V166" s="880">
        <v>0</v>
      </c>
      <c r="W166" s="881">
        <v>0</v>
      </c>
      <c r="X166" s="880">
        <v>0</v>
      </c>
      <c r="Y166" s="880">
        <v>0</v>
      </c>
      <c r="Z166" s="881">
        <v>0</v>
      </c>
      <c r="AA166" s="880" t="s">
        <v>1450</v>
      </c>
      <c r="AB166" s="880" t="s">
        <v>1450</v>
      </c>
      <c r="AC166" s="881" t="s">
        <v>1450</v>
      </c>
      <c r="AD166" s="880" t="s">
        <v>1450</v>
      </c>
      <c r="AE166" s="880" t="s">
        <v>1450</v>
      </c>
      <c r="AF166" s="881" t="s">
        <v>1450</v>
      </c>
      <c r="AG166" s="880" t="s">
        <v>1450</v>
      </c>
      <c r="AH166" s="880" t="s">
        <v>1450</v>
      </c>
      <c r="AI166" s="881" t="s">
        <v>1450</v>
      </c>
    </row>
    <row r="167" spans="2:35" x14ac:dyDescent="0.2">
      <c r="B167" s="867">
        <v>70999000</v>
      </c>
      <c r="C167" s="876" t="s">
        <v>1448</v>
      </c>
      <c r="D167" s="877" t="s">
        <v>1447</v>
      </c>
      <c r="E167" s="877" t="s">
        <v>1448</v>
      </c>
      <c r="F167" s="877" t="s">
        <v>1448</v>
      </c>
      <c r="G167" s="877" t="s">
        <v>1448</v>
      </c>
      <c r="H167" s="877" t="s">
        <v>1448</v>
      </c>
      <c r="I167" s="877" t="s">
        <v>1448</v>
      </c>
      <c r="J167" s="878" t="s">
        <v>1448</v>
      </c>
      <c r="K167" s="877"/>
      <c r="L167" s="879" t="s">
        <v>1450</v>
      </c>
      <c r="M167" s="880" t="s">
        <v>1450</v>
      </c>
      <c r="N167" s="881" t="s">
        <v>1450</v>
      </c>
      <c r="O167" s="880">
        <v>530</v>
      </c>
      <c r="P167" s="880">
        <v>1820.7961658940985</v>
      </c>
      <c r="Q167" s="881">
        <v>0.29108145652302847</v>
      </c>
      <c r="R167" s="880">
        <v>0</v>
      </c>
      <c r="S167" s="880">
        <v>0</v>
      </c>
      <c r="T167" s="881">
        <v>0</v>
      </c>
      <c r="U167" s="880" t="s">
        <v>1450</v>
      </c>
      <c r="V167" s="880" t="s">
        <v>1450</v>
      </c>
      <c r="W167" s="881" t="s">
        <v>1450</v>
      </c>
      <c r="X167" s="880" t="s">
        <v>1450</v>
      </c>
      <c r="Y167" s="880" t="s">
        <v>1450</v>
      </c>
      <c r="Z167" s="881" t="s">
        <v>1450</v>
      </c>
      <c r="AA167" s="880" t="s">
        <v>1450</v>
      </c>
      <c r="AB167" s="880" t="s">
        <v>1450</v>
      </c>
      <c r="AC167" s="881" t="s">
        <v>1450</v>
      </c>
      <c r="AD167" s="880" t="s">
        <v>1450</v>
      </c>
      <c r="AE167" s="880" t="s">
        <v>1450</v>
      </c>
      <c r="AF167" s="881" t="s">
        <v>1450</v>
      </c>
      <c r="AG167" s="880" t="s">
        <v>1450</v>
      </c>
      <c r="AH167" s="880" t="s">
        <v>1450</v>
      </c>
      <c r="AI167" s="881" t="s">
        <v>1450</v>
      </c>
    </row>
    <row r="168" spans="2:35" x14ac:dyDescent="0.2">
      <c r="B168" s="867">
        <v>74499000</v>
      </c>
      <c r="C168" s="876" t="s">
        <v>1448</v>
      </c>
      <c r="D168" s="877" t="s">
        <v>1448</v>
      </c>
      <c r="E168" s="877" t="s">
        <v>1448</v>
      </c>
      <c r="F168" s="877" t="s">
        <v>1448</v>
      </c>
      <c r="G168" s="877" t="s">
        <v>1448</v>
      </c>
      <c r="H168" s="877" t="s">
        <v>1448</v>
      </c>
      <c r="I168" s="877" t="s">
        <v>1448</v>
      </c>
      <c r="J168" s="878" t="s">
        <v>1448</v>
      </c>
      <c r="K168" s="877"/>
      <c r="L168" s="879" t="s">
        <v>1450</v>
      </c>
      <c r="M168" s="880" t="s">
        <v>1450</v>
      </c>
      <c r="N168" s="881" t="s">
        <v>1450</v>
      </c>
      <c r="O168" s="880" t="s">
        <v>1450</v>
      </c>
      <c r="P168" s="880" t="s">
        <v>1450</v>
      </c>
      <c r="Q168" s="881" t="s">
        <v>1450</v>
      </c>
      <c r="R168" s="880" t="s">
        <v>1450</v>
      </c>
      <c r="S168" s="880" t="s">
        <v>1450</v>
      </c>
      <c r="T168" s="881" t="s">
        <v>1450</v>
      </c>
      <c r="U168" s="880" t="s">
        <v>1450</v>
      </c>
      <c r="V168" s="880" t="s">
        <v>1450</v>
      </c>
      <c r="W168" s="881" t="s">
        <v>1450</v>
      </c>
      <c r="X168" s="880" t="s">
        <v>1450</v>
      </c>
      <c r="Y168" s="880" t="s">
        <v>1450</v>
      </c>
      <c r="Z168" s="881" t="s">
        <v>1450</v>
      </c>
      <c r="AA168" s="880" t="s">
        <v>1450</v>
      </c>
      <c r="AB168" s="880" t="s">
        <v>1450</v>
      </c>
      <c r="AC168" s="881" t="s">
        <v>1450</v>
      </c>
      <c r="AD168" s="880" t="s">
        <v>1450</v>
      </c>
      <c r="AE168" s="880" t="s">
        <v>1450</v>
      </c>
      <c r="AF168" s="881" t="s">
        <v>1450</v>
      </c>
      <c r="AG168" s="880" t="s">
        <v>1450</v>
      </c>
      <c r="AH168" s="880" t="s">
        <v>1450</v>
      </c>
      <c r="AI168" s="881" t="s">
        <v>1450</v>
      </c>
    </row>
    <row r="169" spans="2:35" x14ac:dyDescent="0.2">
      <c r="B169" s="867">
        <v>78101000</v>
      </c>
      <c r="C169" s="876" t="s">
        <v>1448</v>
      </c>
      <c r="D169" s="877" t="s">
        <v>1448</v>
      </c>
      <c r="E169" s="877" t="s">
        <v>1448</v>
      </c>
      <c r="F169" s="877" t="s">
        <v>1447</v>
      </c>
      <c r="G169" s="877" t="s">
        <v>1447</v>
      </c>
      <c r="H169" s="877" t="s">
        <v>1447</v>
      </c>
      <c r="I169" s="877" t="s">
        <v>1447</v>
      </c>
      <c r="J169" s="878" t="s">
        <v>1447</v>
      </c>
      <c r="K169" s="877"/>
      <c r="L169" s="879" t="s">
        <v>1450</v>
      </c>
      <c r="M169" s="880" t="s">
        <v>1450</v>
      </c>
      <c r="N169" s="881" t="s">
        <v>1450</v>
      </c>
      <c r="O169" s="880" t="s">
        <v>1450</v>
      </c>
      <c r="P169" s="880" t="s">
        <v>1450</v>
      </c>
      <c r="Q169" s="881" t="s">
        <v>1450</v>
      </c>
      <c r="R169" s="880" t="s">
        <v>1450</v>
      </c>
      <c r="S169" s="880" t="s">
        <v>1450</v>
      </c>
      <c r="T169" s="881" t="s">
        <v>1450</v>
      </c>
      <c r="U169" s="880">
        <v>88.957118561710402</v>
      </c>
      <c r="V169" s="880">
        <v>340</v>
      </c>
      <c r="W169" s="881">
        <v>0.26163858400503059</v>
      </c>
      <c r="X169" s="880">
        <v>107.61812963664916</v>
      </c>
      <c r="Y169" s="880">
        <v>373</v>
      </c>
      <c r="Z169" s="881">
        <v>0.28852045478994415</v>
      </c>
      <c r="AA169" s="880">
        <v>88.139518933092077</v>
      </c>
      <c r="AB169" s="880">
        <v>336</v>
      </c>
      <c r="AC169" s="881">
        <v>0.26231999682467882</v>
      </c>
      <c r="AD169" s="880">
        <v>75.32916705715401</v>
      </c>
      <c r="AE169" s="880">
        <v>338</v>
      </c>
      <c r="AF169" s="881">
        <v>0.22286735815726039</v>
      </c>
      <c r="AG169" s="880">
        <v>85.140644118023928</v>
      </c>
      <c r="AH169" s="880">
        <v>377</v>
      </c>
      <c r="AI169" s="881">
        <v>0.22583725230245075</v>
      </c>
    </row>
    <row r="170" spans="2:35" x14ac:dyDescent="0.2">
      <c r="B170" s="867">
        <v>78103000</v>
      </c>
      <c r="C170" s="876" t="s">
        <v>1448</v>
      </c>
      <c r="D170" s="877" t="s">
        <v>1448</v>
      </c>
      <c r="E170" s="877" t="s">
        <v>1448</v>
      </c>
      <c r="F170" s="877" t="s">
        <v>1448</v>
      </c>
      <c r="G170" s="877" t="s">
        <v>1448</v>
      </c>
      <c r="H170" s="877" t="s">
        <v>1447</v>
      </c>
      <c r="I170" s="877" t="s">
        <v>1447</v>
      </c>
      <c r="J170" s="878" t="s">
        <v>1447</v>
      </c>
      <c r="K170" s="877"/>
      <c r="L170" s="879" t="s">
        <v>1450</v>
      </c>
      <c r="M170" s="880" t="s">
        <v>1450</v>
      </c>
      <c r="N170" s="881" t="s">
        <v>1450</v>
      </c>
      <c r="O170" s="880" t="s">
        <v>1450</v>
      </c>
      <c r="P170" s="880" t="s">
        <v>1450</v>
      </c>
      <c r="Q170" s="881" t="s">
        <v>1450</v>
      </c>
      <c r="R170" s="880" t="s">
        <v>1450</v>
      </c>
      <c r="S170" s="880" t="s">
        <v>1450</v>
      </c>
      <c r="T170" s="881" t="s">
        <v>1450</v>
      </c>
      <c r="U170" s="880" t="s">
        <v>1450</v>
      </c>
      <c r="V170" s="880" t="s">
        <v>1450</v>
      </c>
      <c r="W170" s="881" t="s">
        <v>1450</v>
      </c>
      <c r="X170" s="880" t="s">
        <v>1450</v>
      </c>
      <c r="Y170" s="880" t="s">
        <v>1450</v>
      </c>
      <c r="Z170" s="881" t="s">
        <v>1450</v>
      </c>
      <c r="AA170" s="880">
        <v>245.13803703266234</v>
      </c>
      <c r="AB170" s="880">
        <v>445</v>
      </c>
      <c r="AC170" s="881">
        <v>0.55087199333182546</v>
      </c>
      <c r="AD170" s="880">
        <v>221.37551135163628</v>
      </c>
      <c r="AE170" s="880">
        <v>475</v>
      </c>
      <c r="AF170" s="881">
        <v>0.46605370810870794</v>
      </c>
      <c r="AG170" s="880">
        <v>267.30202223100537</v>
      </c>
      <c r="AH170" s="880">
        <v>540</v>
      </c>
      <c r="AI170" s="881">
        <v>0.49500374487223214</v>
      </c>
    </row>
    <row r="171" spans="2:35" x14ac:dyDescent="0.2">
      <c r="B171" s="867">
        <v>78202000</v>
      </c>
      <c r="C171" s="876" t="s">
        <v>1448</v>
      </c>
      <c r="D171" s="877" t="s">
        <v>1448</v>
      </c>
      <c r="E171" s="877" t="s">
        <v>1448</v>
      </c>
      <c r="F171" s="877" t="s">
        <v>1447</v>
      </c>
      <c r="G171" s="877" t="s">
        <v>1447</v>
      </c>
      <c r="H171" s="877" t="s">
        <v>1447</v>
      </c>
      <c r="I171" s="877" t="s">
        <v>1447</v>
      </c>
      <c r="J171" s="878" t="s">
        <v>1447</v>
      </c>
      <c r="K171" s="877"/>
      <c r="L171" s="879" t="s">
        <v>1450</v>
      </c>
      <c r="M171" s="880" t="s">
        <v>1450</v>
      </c>
      <c r="N171" s="881" t="s">
        <v>1450</v>
      </c>
      <c r="O171" s="880" t="s">
        <v>1450</v>
      </c>
      <c r="P171" s="880" t="s">
        <v>1450</v>
      </c>
      <c r="Q171" s="881" t="s">
        <v>1450</v>
      </c>
      <c r="R171" s="880" t="s">
        <v>1450</v>
      </c>
      <c r="S171" s="880" t="s">
        <v>1450</v>
      </c>
      <c r="T171" s="881" t="s">
        <v>1450</v>
      </c>
      <c r="U171" s="880">
        <v>22.905126336248784</v>
      </c>
      <c r="V171" s="880">
        <v>124</v>
      </c>
      <c r="W171" s="881">
        <v>0.18471876077619986</v>
      </c>
      <c r="X171" s="880">
        <v>57.188378067784576</v>
      </c>
      <c r="Y171" s="880">
        <v>195</v>
      </c>
      <c r="Z171" s="881">
        <v>0.29327373368094656</v>
      </c>
      <c r="AA171" s="880">
        <v>82.630798999773816</v>
      </c>
      <c r="AB171" s="880">
        <v>222</v>
      </c>
      <c r="AC171" s="881">
        <v>0.37221080630528747</v>
      </c>
      <c r="AD171" s="880">
        <v>84.040703383491547</v>
      </c>
      <c r="AE171" s="880">
        <v>278</v>
      </c>
      <c r="AF171" s="881">
        <v>0.30230468842982572</v>
      </c>
      <c r="AG171" s="880">
        <v>120.78091374882464</v>
      </c>
      <c r="AH171" s="880">
        <v>321</v>
      </c>
      <c r="AI171" s="881">
        <v>0.37626452881253786</v>
      </c>
    </row>
    <row r="172" spans="2:35" x14ac:dyDescent="0.2">
      <c r="B172" s="867">
        <v>78204000</v>
      </c>
      <c r="C172" s="876" t="s">
        <v>1448</v>
      </c>
      <c r="D172" s="877" t="s">
        <v>1448</v>
      </c>
      <c r="E172" s="877" t="s">
        <v>1448</v>
      </c>
      <c r="F172" s="877" t="s">
        <v>1448</v>
      </c>
      <c r="G172" s="877" t="s">
        <v>1447</v>
      </c>
      <c r="H172" s="877" t="s">
        <v>1448</v>
      </c>
      <c r="I172" s="877" t="s">
        <v>1447</v>
      </c>
      <c r="J172" s="878" t="s">
        <v>1447</v>
      </c>
      <c r="K172" s="877"/>
      <c r="L172" s="879" t="s">
        <v>1450</v>
      </c>
      <c r="M172" s="880" t="s">
        <v>1450</v>
      </c>
      <c r="N172" s="881" t="s">
        <v>1450</v>
      </c>
      <c r="O172" s="880" t="s">
        <v>1450</v>
      </c>
      <c r="P172" s="880" t="s">
        <v>1450</v>
      </c>
      <c r="Q172" s="881" t="s">
        <v>1450</v>
      </c>
      <c r="R172" s="880" t="s">
        <v>1450</v>
      </c>
      <c r="S172" s="880" t="s">
        <v>1450</v>
      </c>
      <c r="T172" s="881" t="s">
        <v>1450</v>
      </c>
      <c r="U172" s="880" t="s">
        <v>1450</v>
      </c>
      <c r="V172" s="880" t="s">
        <v>1450</v>
      </c>
      <c r="W172" s="881" t="s">
        <v>1450</v>
      </c>
      <c r="X172" s="880">
        <v>33.273238148529209</v>
      </c>
      <c r="Y172" s="880">
        <v>73</v>
      </c>
      <c r="Z172" s="881">
        <v>0.45579778285656453</v>
      </c>
      <c r="AA172" s="880" t="s">
        <v>1450</v>
      </c>
      <c r="AB172" s="880" t="s">
        <v>1450</v>
      </c>
      <c r="AC172" s="881" t="s">
        <v>1450</v>
      </c>
      <c r="AD172" s="880">
        <v>81.990930130235654</v>
      </c>
      <c r="AE172" s="880">
        <v>180</v>
      </c>
      <c r="AF172" s="881">
        <v>0.45550516739019808</v>
      </c>
      <c r="AG172" s="880">
        <v>84.645640373151693</v>
      </c>
      <c r="AH172" s="880">
        <v>173</v>
      </c>
      <c r="AI172" s="881">
        <v>0.48928115822631035</v>
      </c>
    </row>
    <row r="173" spans="2:35" x14ac:dyDescent="0.2">
      <c r="B173" s="867">
        <v>78205000</v>
      </c>
      <c r="C173" s="876" t="s">
        <v>1448</v>
      </c>
      <c r="D173" s="877" t="s">
        <v>1448</v>
      </c>
      <c r="E173" s="877" t="s">
        <v>1448</v>
      </c>
      <c r="F173" s="877" t="s">
        <v>1448</v>
      </c>
      <c r="G173" s="877" t="s">
        <v>1448</v>
      </c>
      <c r="H173" s="877" t="s">
        <v>1448</v>
      </c>
      <c r="I173" s="877" t="s">
        <v>1448</v>
      </c>
      <c r="J173" s="878" t="s">
        <v>1448</v>
      </c>
      <c r="K173" s="877"/>
      <c r="L173" s="879" t="s">
        <v>1450</v>
      </c>
      <c r="M173" s="880" t="s">
        <v>1450</v>
      </c>
      <c r="N173" s="881" t="s">
        <v>1450</v>
      </c>
      <c r="O173" s="880" t="s">
        <v>1450</v>
      </c>
      <c r="P173" s="880" t="s">
        <v>1450</v>
      </c>
      <c r="Q173" s="881" t="s">
        <v>1450</v>
      </c>
      <c r="R173" s="880" t="s">
        <v>1450</v>
      </c>
      <c r="S173" s="880" t="s">
        <v>1450</v>
      </c>
      <c r="T173" s="881" t="s">
        <v>1450</v>
      </c>
      <c r="U173" s="880">
        <v>0.53267735665694849</v>
      </c>
      <c r="V173" s="880">
        <v>405</v>
      </c>
      <c r="W173" s="881">
        <v>1.3152527324862926E-3</v>
      </c>
      <c r="X173" s="880">
        <v>0</v>
      </c>
      <c r="Y173" s="880">
        <v>407</v>
      </c>
      <c r="Z173" s="881">
        <v>0</v>
      </c>
      <c r="AA173" s="880" t="s">
        <v>1450</v>
      </c>
      <c r="AB173" s="880" t="s">
        <v>1450</v>
      </c>
      <c r="AC173" s="881" t="s">
        <v>1450</v>
      </c>
      <c r="AD173" s="880" t="s">
        <v>1450</v>
      </c>
      <c r="AE173" s="880" t="s">
        <v>1450</v>
      </c>
      <c r="AF173" s="881" t="s">
        <v>1450</v>
      </c>
      <c r="AG173" s="880" t="s">
        <v>1450</v>
      </c>
      <c r="AH173" s="880" t="s">
        <v>1450</v>
      </c>
      <c r="AI173" s="881" t="s">
        <v>1450</v>
      </c>
    </row>
    <row r="174" spans="2:35" x14ac:dyDescent="0.2">
      <c r="B174" s="867">
        <v>78206000</v>
      </c>
      <c r="C174" s="876" t="s">
        <v>1448</v>
      </c>
      <c r="D174" s="877" t="s">
        <v>1448</v>
      </c>
      <c r="E174" s="877" t="s">
        <v>1448</v>
      </c>
      <c r="F174" s="877" t="s">
        <v>1447</v>
      </c>
      <c r="G174" s="877" t="s">
        <v>1447</v>
      </c>
      <c r="H174" s="877" t="s">
        <v>1447</v>
      </c>
      <c r="I174" s="877" t="s">
        <v>1447</v>
      </c>
      <c r="J174" s="878" t="s">
        <v>1447</v>
      </c>
      <c r="K174" s="877"/>
      <c r="L174" s="879" t="s">
        <v>1450</v>
      </c>
      <c r="M174" s="880" t="s">
        <v>1450</v>
      </c>
      <c r="N174" s="881" t="s">
        <v>1450</v>
      </c>
      <c r="O174" s="880" t="s">
        <v>1450</v>
      </c>
      <c r="P174" s="880" t="s">
        <v>1450</v>
      </c>
      <c r="Q174" s="881" t="s">
        <v>1450</v>
      </c>
      <c r="R174" s="880" t="s">
        <v>1450</v>
      </c>
      <c r="S174" s="880" t="s">
        <v>1450</v>
      </c>
      <c r="T174" s="881" t="s">
        <v>1450</v>
      </c>
      <c r="U174" s="880">
        <v>147.01895043731778</v>
      </c>
      <c r="V174" s="880">
        <v>360</v>
      </c>
      <c r="W174" s="881">
        <v>0.40838597343699384</v>
      </c>
      <c r="X174" s="880">
        <v>218.87551969579371</v>
      </c>
      <c r="Y174" s="880">
        <v>487</v>
      </c>
      <c r="Z174" s="881">
        <v>0.4494363854123074</v>
      </c>
      <c r="AA174" s="880">
        <v>213.73833341274829</v>
      </c>
      <c r="AB174" s="880">
        <v>507</v>
      </c>
      <c r="AC174" s="881">
        <v>0.42157462211587432</v>
      </c>
      <c r="AD174" s="880">
        <v>216.76352153181051</v>
      </c>
      <c r="AE174" s="880">
        <v>535</v>
      </c>
      <c r="AF174" s="881">
        <v>0.40516546080712246</v>
      </c>
      <c r="AG174" s="880">
        <v>236.61179004892696</v>
      </c>
      <c r="AH174" s="880">
        <v>577</v>
      </c>
      <c r="AI174" s="881">
        <v>0.41007242642794967</v>
      </c>
    </row>
    <row r="175" spans="2:35" x14ac:dyDescent="0.2">
      <c r="B175" s="867">
        <v>78207000</v>
      </c>
      <c r="C175" s="876" t="s">
        <v>1448</v>
      </c>
      <c r="D175" s="877" t="s">
        <v>1448</v>
      </c>
      <c r="E175" s="877" t="s">
        <v>1448</v>
      </c>
      <c r="F175" s="877" t="s">
        <v>1447</v>
      </c>
      <c r="G175" s="877" t="s">
        <v>1447</v>
      </c>
      <c r="H175" s="877" t="s">
        <v>1447</v>
      </c>
      <c r="I175" s="877" t="s">
        <v>1447</v>
      </c>
      <c r="J175" s="878" t="s">
        <v>1447</v>
      </c>
      <c r="K175" s="877"/>
      <c r="L175" s="879" t="s">
        <v>1450</v>
      </c>
      <c r="M175" s="880" t="s">
        <v>1450</v>
      </c>
      <c r="N175" s="881" t="s">
        <v>1450</v>
      </c>
      <c r="O175" s="880" t="s">
        <v>1450</v>
      </c>
      <c r="P175" s="880" t="s">
        <v>1450</v>
      </c>
      <c r="Q175" s="881" t="s">
        <v>1450</v>
      </c>
      <c r="R175" s="880" t="s">
        <v>1450</v>
      </c>
      <c r="S175" s="880" t="s">
        <v>1450</v>
      </c>
      <c r="T175" s="881" t="s">
        <v>1450</v>
      </c>
      <c r="U175" s="880">
        <v>67.650024295432459</v>
      </c>
      <c r="V175" s="880">
        <v>215</v>
      </c>
      <c r="W175" s="881">
        <v>0.31465127579270913</v>
      </c>
      <c r="X175" s="880">
        <v>65.506687604916877</v>
      </c>
      <c r="Y175" s="880">
        <v>217</v>
      </c>
      <c r="Z175" s="881">
        <v>0.30187413642818839</v>
      </c>
      <c r="AA175" s="880">
        <v>168.01595796620677</v>
      </c>
      <c r="AB175" s="880">
        <v>381</v>
      </c>
      <c r="AC175" s="881">
        <v>0.44098676631550332</v>
      </c>
      <c r="AD175" s="880">
        <v>145.02145766785432</v>
      </c>
      <c r="AE175" s="880">
        <v>357</v>
      </c>
      <c r="AF175" s="881">
        <v>0.40622257049819138</v>
      </c>
      <c r="AG175" s="880">
        <v>106.92080889240215</v>
      </c>
      <c r="AH175" s="880">
        <v>310</v>
      </c>
      <c r="AI175" s="881">
        <v>0.34490583513678114</v>
      </c>
    </row>
    <row r="176" spans="2:35" x14ac:dyDescent="0.2">
      <c r="B176" s="867">
        <v>78208000</v>
      </c>
      <c r="C176" s="876" t="s">
        <v>1448</v>
      </c>
      <c r="D176" s="877" t="s">
        <v>1448</v>
      </c>
      <c r="E176" s="877" t="s">
        <v>1448</v>
      </c>
      <c r="F176" s="877" t="s">
        <v>1448</v>
      </c>
      <c r="G176" s="877" t="s">
        <v>1448</v>
      </c>
      <c r="H176" s="877" t="s">
        <v>1448</v>
      </c>
      <c r="I176" s="877" t="s">
        <v>1448</v>
      </c>
      <c r="J176" s="878" t="s">
        <v>1448</v>
      </c>
      <c r="K176" s="877"/>
      <c r="L176" s="879" t="s">
        <v>1450</v>
      </c>
      <c r="M176" s="880" t="s">
        <v>1450</v>
      </c>
      <c r="N176" s="881" t="s">
        <v>1450</v>
      </c>
      <c r="O176" s="880" t="s">
        <v>1450</v>
      </c>
      <c r="P176" s="880" t="s">
        <v>1450</v>
      </c>
      <c r="Q176" s="881" t="s">
        <v>1450</v>
      </c>
      <c r="R176" s="880" t="s">
        <v>1450</v>
      </c>
      <c r="S176" s="880" t="s">
        <v>1450</v>
      </c>
      <c r="T176" s="881" t="s">
        <v>1450</v>
      </c>
      <c r="U176" s="880">
        <v>0</v>
      </c>
      <c r="V176" s="880">
        <v>47</v>
      </c>
      <c r="W176" s="881">
        <v>0</v>
      </c>
      <c r="X176" s="880">
        <v>0</v>
      </c>
      <c r="Y176" s="880">
        <v>90</v>
      </c>
      <c r="Z176" s="881">
        <v>0</v>
      </c>
      <c r="AA176" s="880" t="s">
        <v>1450</v>
      </c>
      <c r="AB176" s="880" t="s">
        <v>1450</v>
      </c>
      <c r="AC176" s="881" t="s">
        <v>1450</v>
      </c>
      <c r="AD176" s="880" t="s">
        <v>1450</v>
      </c>
      <c r="AE176" s="880" t="s">
        <v>1450</v>
      </c>
      <c r="AF176" s="881" t="s">
        <v>1450</v>
      </c>
      <c r="AG176" s="880" t="s">
        <v>1450</v>
      </c>
      <c r="AH176" s="880" t="s">
        <v>1450</v>
      </c>
      <c r="AI176" s="881" t="s">
        <v>1450</v>
      </c>
    </row>
    <row r="177" spans="2:35" x14ac:dyDescent="0.2">
      <c r="B177" s="867">
        <v>78210000</v>
      </c>
      <c r="C177" s="876" t="s">
        <v>1448</v>
      </c>
      <c r="D177" s="877" t="s">
        <v>1448</v>
      </c>
      <c r="E177" s="877" t="s">
        <v>1448</v>
      </c>
      <c r="F177" s="877" t="s">
        <v>1448</v>
      </c>
      <c r="G177" s="877" t="s">
        <v>1448</v>
      </c>
      <c r="H177" s="877" t="s">
        <v>1447</v>
      </c>
      <c r="I177" s="877" t="s">
        <v>1447</v>
      </c>
      <c r="J177" s="878" t="s">
        <v>1448</v>
      </c>
      <c r="K177" s="877"/>
      <c r="L177" s="879" t="s">
        <v>1450</v>
      </c>
      <c r="M177" s="880" t="s">
        <v>1450</v>
      </c>
      <c r="N177" s="881" t="s">
        <v>1450</v>
      </c>
      <c r="O177" s="880" t="s">
        <v>1450</v>
      </c>
      <c r="P177" s="880" t="s">
        <v>1450</v>
      </c>
      <c r="Q177" s="881" t="s">
        <v>1450</v>
      </c>
      <c r="R177" s="880" t="s">
        <v>1450</v>
      </c>
      <c r="S177" s="880" t="s">
        <v>1450</v>
      </c>
      <c r="T177" s="881" t="s">
        <v>1450</v>
      </c>
      <c r="U177" s="880" t="s">
        <v>1450</v>
      </c>
      <c r="V177" s="880" t="s">
        <v>1450</v>
      </c>
      <c r="W177" s="881" t="s">
        <v>1450</v>
      </c>
      <c r="X177" s="880" t="s">
        <v>1450</v>
      </c>
      <c r="Y177" s="880" t="s">
        <v>1450</v>
      </c>
      <c r="Z177" s="881" t="s">
        <v>1450</v>
      </c>
      <c r="AA177" s="880">
        <v>67.757255179814535</v>
      </c>
      <c r="AB177" s="880">
        <v>253</v>
      </c>
      <c r="AC177" s="881">
        <v>0.2678152378648796</v>
      </c>
      <c r="AD177" s="880">
        <v>63.542970850932633</v>
      </c>
      <c r="AE177" s="880">
        <v>254</v>
      </c>
      <c r="AF177" s="881">
        <v>0.25016917657847493</v>
      </c>
      <c r="AG177" s="880" t="s">
        <v>1450</v>
      </c>
      <c r="AH177" s="880" t="s">
        <v>1450</v>
      </c>
      <c r="AI177" s="881" t="s">
        <v>1450</v>
      </c>
    </row>
    <row r="178" spans="2:35" x14ac:dyDescent="0.2">
      <c r="B178" s="867">
        <v>78211000</v>
      </c>
      <c r="C178" s="876" t="s">
        <v>1448</v>
      </c>
      <c r="D178" s="877" t="s">
        <v>1448</v>
      </c>
      <c r="E178" s="877" t="s">
        <v>1448</v>
      </c>
      <c r="F178" s="877" t="s">
        <v>1448</v>
      </c>
      <c r="G178" s="877" t="s">
        <v>1448</v>
      </c>
      <c r="H178" s="877" t="s">
        <v>1447</v>
      </c>
      <c r="I178" s="877" t="s">
        <v>1448</v>
      </c>
      <c r="J178" s="878" t="s">
        <v>1448</v>
      </c>
      <c r="K178" s="877"/>
      <c r="L178" s="879" t="s">
        <v>1450</v>
      </c>
      <c r="M178" s="880" t="s">
        <v>1450</v>
      </c>
      <c r="N178" s="881" t="s">
        <v>1450</v>
      </c>
      <c r="O178" s="880" t="s">
        <v>1450</v>
      </c>
      <c r="P178" s="880" t="s">
        <v>1450</v>
      </c>
      <c r="Q178" s="881" t="s">
        <v>1450</v>
      </c>
      <c r="R178" s="880" t="s">
        <v>1450</v>
      </c>
      <c r="S178" s="880" t="s">
        <v>1450</v>
      </c>
      <c r="T178" s="881" t="s">
        <v>1450</v>
      </c>
      <c r="U178" s="880" t="s">
        <v>1450</v>
      </c>
      <c r="V178" s="880" t="s">
        <v>1450</v>
      </c>
      <c r="W178" s="881" t="s">
        <v>1450</v>
      </c>
      <c r="X178" s="880" t="s">
        <v>1450</v>
      </c>
      <c r="Y178" s="880" t="s">
        <v>1450</v>
      </c>
      <c r="Z178" s="881" t="s">
        <v>1450</v>
      </c>
      <c r="AA178" s="880">
        <v>11.568311859968334</v>
      </c>
      <c r="AB178" s="880">
        <v>53</v>
      </c>
      <c r="AC178" s="881">
        <v>0.21827003509374215</v>
      </c>
      <c r="AD178" s="880" t="s">
        <v>1450</v>
      </c>
      <c r="AE178" s="880" t="s">
        <v>1450</v>
      </c>
      <c r="AF178" s="881" t="s">
        <v>1450</v>
      </c>
      <c r="AG178" s="880" t="s">
        <v>1450</v>
      </c>
      <c r="AH178" s="880" t="s">
        <v>1450</v>
      </c>
      <c r="AI178" s="881" t="s">
        <v>1450</v>
      </c>
    </row>
    <row r="179" spans="2:35" x14ac:dyDescent="0.2">
      <c r="B179" s="867">
        <v>78215000</v>
      </c>
      <c r="C179" s="876" t="s">
        <v>1448</v>
      </c>
      <c r="D179" s="877" t="s">
        <v>1448</v>
      </c>
      <c r="E179" s="877" t="s">
        <v>1448</v>
      </c>
      <c r="F179" s="877" t="s">
        <v>1447</v>
      </c>
      <c r="G179" s="877" t="s">
        <v>1447</v>
      </c>
      <c r="H179" s="877" t="s">
        <v>1447</v>
      </c>
      <c r="I179" s="877" t="s">
        <v>1447</v>
      </c>
      <c r="J179" s="878" t="s">
        <v>1447</v>
      </c>
      <c r="K179" s="877"/>
      <c r="L179" s="879" t="s">
        <v>1450</v>
      </c>
      <c r="M179" s="880" t="s">
        <v>1450</v>
      </c>
      <c r="N179" s="881" t="s">
        <v>1450</v>
      </c>
      <c r="O179" s="880" t="s">
        <v>1450</v>
      </c>
      <c r="P179" s="880" t="s">
        <v>1450</v>
      </c>
      <c r="Q179" s="881" t="s">
        <v>1450</v>
      </c>
      <c r="R179" s="880" t="s">
        <v>1450</v>
      </c>
      <c r="S179" s="880" t="s">
        <v>1450</v>
      </c>
      <c r="T179" s="881" t="s">
        <v>1450</v>
      </c>
      <c r="U179" s="880">
        <v>173.6528182701652</v>
      </c>
      <c r="V179" s="880">
        <v>551</v>
      </c>
      <c r="W179" s="881">
        <v>0.31515937980066278</v>
      </c>
      <c r="X179" s="880">
        <v>113.85686178949838</v>
      </c>
      <c r="Y179" s="880">
        <v>614</v>
      </c>
      <c r="Z179" s="881">
        <v>0.18543462832165861</v>
      </c>
      <c r="AA179" s="880">
        <v>151.489798166252</v>
      </c>
      <c r="AB179" s="880">
        <v>777</v>
      </c>
      <c r="AC179" s="881">
        <v>0.19496756520753153</v>
      </c>
      <c r="AD179" s="880">
        <v>170.64362333355297</v>
      </c>
      <c r="AE179" s="880">
        <v>748</v>
      </c>
      <c r="AF179" s="881">
        <v>0.22813318627480342</v>
      </c>
      <c r="AG179" s="880">
        <v>149.98613469628634</v>
      </c>
      <c r="AH179" s="880">
        <v>876</v>
      </c>
      <c r="AI179" s="881">
        <v>0.17121704874005289</v>
      </c>
    </row>
    <row r="180" spans="2:35" x14ac:dyDescent="0.2">
      <c r="B180" s="867">
        <v>78217000</v>
      </c>
      <c r="C180" s="876" t="s">
        <v>1448</v>
      </c>
      <c r="D180" s="877" t="s">
        <v>1448</v>
      </c>
      <c r="E180" s="877" t="s">
        <v>1448</v>
      </c>
      <c r="F180" s="877" t="s">
        <v>1448</v>
      </c>
      <c r="G180" s="877" t="s">
        <v>1448</v>
      </c>
      <c r="H180" s="877" t="s">
        <v>1447</v>
      </c>
      <c r="I180" s="877" t="s">
        <v>1447</v>
      </c>
      <c r="J180" s="878" t="s">
        <v>1447</v>
      </c>
      <c r="K180" s="877"/>
      <c r="L180" s="879" t="s">
        <v>1450</v>
      </c>
      <c r="M180" s="880" t="s">
        <v>1450</v>
      </c>
      <c r="N180" s="881" t="s">
        <v>1450</v>
      </c>
      <c r="O180" s="880" t="s">
        <v>1450</v>
      </c>
      <c r="P180" s="880" t="s">
        <v>1450</v>
      </c>
      <c r="Q180" s="881" t="s">
        <v>1450</v>
      </c>
      <c r="R180" s="880" t="s">
        <v>1450</v>
      </c>
      <c r="S180" s="880" t="s">
        <v>1450</v>
      </c>
      <c r="T180" s="881" t="s">
        <v>1450</v>
      </c>
      <c r="U180" s="880" t="s">
        <v>1450</v>
      </c>
      <c r="V180" s="880" t="s">
        <v>1450</v>
      </c>
      <c r="W180" s="881" t="s">
        <v>1450</v>
      </c>
      <c r="X180" s="880" t="s">
        <v>1450</v>
      </c>
      <c r="Y180" s="880" t="s">
        <v>1450</v>
      </c>
      <c r="Z180" s="881" t="s">
        <v>1450</v>
      </c>
      <c r="AA180" s="880">
        <v>40.764527506555083</v>
      </c>
      <c r="AB180" s="880">
        <v>84</v>
      </c>
      <c r="AC180" s="881">
        <v>0.48529199412565577</v>
      </c>
      <c r="AD180" s="880">
        <v>71.742063863956204</v>
      </c>
      <c r="AE180" s="880">
        <v>152</v>
      </c>
      <c r="AF180" s="881">
        <v>0.47198726226286974</v>
      </c>
      <c r="AG180" s="880">
        <v>82.170621648790529</v>
      </c>
      <c r="AH180" s="880">
        <v>175</v>
      </c>
      <c r="AI180" s="881">
        <v>0.46954640942166015</v>
      </c>
    </row>
    <row r="181" spans="2:35" x14ac:dyDescent="0.2">
      <c r="B181" s="867">
        <v>78218000</v>
      </c>
      <c r="C181" s="876" t="s">
        <v>1448</v>
      </c>
      <c r="D181" s="877" t="s">
        <v>1448</v>
      </c>
      <c r="E181" s="877" t="s">
        <v>1448</v>
      </c>
      <c r="F181" s="877" t="s">
        <v>1448</v>
      </c>
      <c r="G181" s="877" t="s">
        <v>1448</v>
      </c>
      <c r="H181" s="877" t="s">
        <v>1447</v>
      </c>
      <c r="I181" s="877" t="s">
        <v>1447</v>
      </c>
      <c r="J181" s="878" t="s">
        <v>1447</v>
      </c>
      <c r="K181" s="877"/>
      <c r="L181" s="879" t="s">
        <v>1450</v>
      </c>
      <c r="M181" s="880" t="s">
        <v>1450</v>
      </c>
      <c r="N181" s="881" t="s">
        <v>1450</v>
      </c>
      <c r="O181" s="880" t="s">
        <v>1450</v>
      </c>
      <c r="P181" s="880" t="s">
        <v>1450</v>
      </c>
      <c r="Q181" s="881" t="s">
        <v>1450</v>
      </c>
      <c r="R181" s="880" t="s">
        <v>1450</v>
      </c>
      <c r="S181" s="880" t="s">
        <v>1450</v>
      </c>
      <c r="T181" s="881" t="s">
        <v>1450</v>
      </c>
      <c r="U181" s="880" t="s">
        <v>1450</v>
      </c>
      <c r="V181" s="880" t="s">
        <v>1450</v>
      </c>
      <c r="W181" s="881" t="s">
        <v>1450</v>
      </c>
      <c r="X181" s="880" t="s">
        <v>1450</v>
      </c>
      <c r="Y181" s="880" t="s">
        <v>1450</v>
      </c>
      <c r="Z181" s="881" t="s">
        <v>1450</v>
      </c>
      <c r="AA181" s="880">
        <v>67.206383186482711</v>
      </c>
      <c r="AB181" s="880">
        <v>139</v>
      </c>
      <c r="AC181" s="881">
        <v>0.48349915961498352</v>
      </c>
      <c r="AD181" s="880">
        <v>83.0158167568636</v>
      </c>
      <c r="AE181" s="880">
        <v>178</v>
      </c>
      <c r="AF181" s="881">
        <v>0.46638099301608765</v>
      </c>
      <c r="AG181" s="880">
        <v>92.070696546235183</v>
      </c>
      <c r="AH181" s="880">
        <v>192</v>
      </c>
      <c r="AI181" s="881">
        <v>0.47953487784497489</v>
      </c>
    </row>
    <row r="182" spans="2:35" x14ac:dyDescent="0.2">
      <c r="B182" s="867">
        <v>78219000</v>
      </c>
      <c r="C182" s="876" t="s">
        <v>1448</v>
      </c>
      <c r="D182" s="877" t="s">
        <v>1448</v>
      </c>
      <c r="E182" s="877" t="s">
        <v>1448</v>
      </c>
      <c r="F182" s="877" t="s">
        <v>1448</v>
      </c>
      <c r="G182" s="877" t="s">
        <v>1448</v>
      </c>
      <c r="H182" s="877" t="s">
        <v>1447</v>
      </c>
      <c r="I182" s="877" t="s">
        <v>1447</v>
      </c>
      <c r="J182" s="878" t="s">
        <v>1447</v>
      </c>
      <c r="K182" s="877"/>
      <c r="L182" s="879" t="s">
        <v>1450</v>
      </c>
      <c r="M182" s="880" t="s">
        <v>1450</v>
      </c>
      <c r="N182" s="881" t="s">
        <v>1450</v>
      </c>
      <c r="O182" s="880" t="s">
        <v>1450</v>
      </c>
      <c r="P182" s="880" t="s">
        <v>1450</v>
      </c>
      <c r="Q182" s="881" t="s">
        <v>1450</v>
      </c>
      <c r="R182" s="880" t="s">
        <v>1450</v>
      </c>
      <c r="S182" s="880" t="s">
        <v>1450</v>
      </c>
      <c r="T182" s="881" t="s">
        <v>1450</v>
      </c>
      <c r="U182" s="880" t="s">
        <v>1450</v>
      </c>
      <c r="V182" s="880" t="s">
        <v>1450</v>
      </c>
      <c r="W182" s="881" t="s">
        <v>1450</v>
      </c>
      <c r="X182" s="880" t="s">
        <v>1450</v>
      </c>
      <c r="Y182" s="880" t="s">
        <v>1450</v>
      </c>
      <c r="Z182" s="881" t="s">
        <v>1450</v>
      </c>
      <c r="AA182" s="880">
        <v>31.950575613245878</v>
      </c>
      <c r="AB182" s="880">
        <v>100</v>
      </c>
      <c r="AC182" s="881">
        <v>0.3195057561324588</v>
      </c>
      <c r="AD182" s="880">
        <v>32.28392873878029</v>
      </c>
      <c r="AE182" s="880">
        <v>101</v>
      </c>
      <c r="AF182" s="881">
        <v>0.31964285879980486</v>
      </c>
      <c r="AG182" s="880">
        <v>67.815513047495799</v>
      </c>
      <c r="AH182" s="880">
        <v>254</v>
      </c>
      <c r="AI182" s="881">
        <v>0.26699020884840868</v>
      </c>
    </row>
    <row r="183" spans="2:35" x14ac:dyDescent="0.2">
      <c r="B183" s="867">
        <v>78221000</v>
      </c>
      <c r="C183" s="876" t="s">
        <v>1448</v>
      </c>
      <c r="D183" s="877" t="s">
        <v>1448</v>
      </c>
      <c r="E183" s="877" t="s">
        <v>1448</v>
      </c>
      <c r="F183" s="877" t="s">
        <v>1448</v>
      </c>
      <c r="G183" s="877" t="s">
        <v>1448</v>
      </c>
      <c r="H183" s="877" t="s">
        <v>1447</v>
      </c>
      <c r="I183" s="877" t="s">
        <v>1447</v>
      </c>
      <c r="J183" s="878" t="s">
        <v>1447</v>
      </c>
      <c r="K183" s="877"/>
      <c r="L183" s="879" t="s">
        <v>1450</v>
      </c>
      <c r="M183" s="880" t="s">
        <v>1450</v>
      </c>
      <c r="N183" s="881" t="s">
        <v>1450</v>
      </c>
      <c r="O183" s="880" t="s">
        <v>1450</v>
      </c>
      <c r="P183" s="880" t="s">
        <v>1450</v>
      </c>
      <c r="Q183" s="881" t="s">
        <v>1450</v>
      </c>
      <c r="R183" s="880" t="s">
        <v>1450</v>
      </c>
      <c r="S183" s="880" t="s">
        <v>1450</v>
      </c>
      <c r="T183" s="881" t="s">
        <v>1450</v>
      </c>
      <c r="U183" s="880" t="s">
        <v>1450</v>
      </c>
      <c r="V183" s="880" t="s">
        <v>1450</v>
      </c>
      <c r="W183" s="881" t="s">
        <v>1450</v>
      </c>
      <c r="X183" s="880" t="s">
        <v>1450</v>
      </c>
      <c r="Y183" s="880" t="s">
        <v>1450</v>
      </c>
      <c r="Z183" s="881" t="s">
        <v>1450</v>
      </c>
      <c r="AA183" s="880">
        <v>106.86916670637414</v>
      </c>
      <c r="AB183" s="880">
        <v>246</v>
      </c>
      <c r="AC183" s="881">
        <v>0.43442750693648025</v>
      </c>
      <c r="AD183" s="880">
        <v>106.07576585599239</v>
      </c>
      <c r="AE183" s="880">
        <v>244</v>
      </c>
      <c r="AF183" s="881">
        <v>0.43473674531144418</v>
      </c>
      <c r="AG183" s="880">
        <v>182.16137811298142</v>
      </c>
      <c r="AH183" s="880">
        <v>391</v>
      </c>
      <c r="AI183" s="881">
        <v>0.46588587752680671</v>
      </c>
    </row>
    <row r="184" spans="2:35" x14ac:dyDescent="0.2">
      <c r="B184" s="867">
        <v>78222000</v>
      </c>
      <c r="C184" s="876" t="s">
        <v>1448</v>
      </c>
      <c r="D184" s="877" t="s">
        <v>1448</v>
      </c>
      <c r="E184" s="877" t="s">
        <v>1448</v>
      </c>
      <c r="F184" s="877" t="s">
        <v>1448</v>
      </c>
      <c r="G184" s="877" t="s">
        <v>1448</v>
      </c>
      <c r="H184" s="877" t="s">
        <v>1447</v>
      </c>
      <c r="I184" s="877" t="s">
        <v>1447</v>
      </c>
      <c r="J184" s="878" t="s">
        <v>1447</v>
      </c>
      <c r="K184" s="877"/>
      <c r="L184" s="879" t="s">
        <v>1450</v>
      </c>
      <c r="M184" s="880" t="s">
        <v>1450</v>
      </c>
      <c r="N184" s="881" t="s">
        <v>1450</v>
      </c>
      <c r="O184" s="880" t="s">
        <v>1450</v>
      </c>
      <c r="P184" s="880" t="s">
        <v>1450</v>
      </c>
      <c r="Q184" s="881" t="s">
        <v>1450</v>
      </c>
      <c r="R184" s="880" t="s">
        <v>1450</v>
      </c>
      <c r="S184" s="880" t="s">
        <v>1450</v>
      </c>
      <c r="T184" s="881" t="s">
        <v>1450</v>
      </c>
      <c r="U184" s="880" t="s">
        <v>1450</v>
      </c>
      <c r="V184" s="880" t="s">
        <v>1450</v>
      </c>
      <c r="W184" s="881" t="s">
        <v>1450</v>
      </c>
      <c r="X184" s="880" t="s">
        <v>1450</v>
      </c>
      <c r="Y184" s="880" t="s">
        <v>1450</v>
      </c>
      <c r="Z184" s="881" t="s">
        <v>1450</v>
      </c>
      <c r="AA184" s="880">
        <v>58.943303286505326</v>
      </c>
      <c r="AB184" s="880">
        <v>127</v>
      </c>
      <c r="AC184" s="881">
        <v>0.46412049831893959</v>
      </c>
      <c r="AD184" s="880">
        <v>60.980754284362767</v>
      </c>
      <c r="AE184" s="880">
        <v>127</v>
      </c>
      <c r="AF184" s="881">
        <v>0.48016341956191155</v>
      </c>
      <c r="AG184" s="880">
        <v>100.98076395393535</v>
      </c>
      <c r="AH184" s="880">
        <v>219</v>
      </c>
      <c r="AI184" s="881">
        <v>0.46109937878509294</v>
      </c>
    </row>
    <row r="185" spans="2:35" x14ac:dyDescent="0.2">
      <c r="B185" s="867">
        <v>78223000</v>
      </c>
      <c r="C185" s="876" t="s">
        <v>1448</v>
      </c>
      <c r="D185" s="877" t="s">
        <v>1448</v>
      </c>
      <c r="E185" s="877" t="s">
        <v>1448</v>
      </c>
      <c r="F185" s="877" t="s">
        <v>1448</v>
      </c>
      <c r="G185" s="877" t="s">
        <v>1448</v>
      </c>
      <c r="H185" s="877" t="s">
        <v>1447</v>
      </c>
      <c r="I185" s="877" t="s">
        <v>1447</v>
      </c>
      <c r="J185" s="878" t="s">
        <v>1447</v>
      </c>
      <c r="K185" s="877"/>
      <c r="L185" s="879" t="s">
        <v>1450</v>
      </c>
      <c r="M185" s="880" t="s">
        <v>1450</v>
      </c>
      <c r="N185" s="881" t="s">
        <v>1450</v>
      </c>
      <c r="O185" s="880" t="s">
        <v>1450</v>
      </c>
      <c r="P185" s="880" t="s">
        <v>1450</v>
      </c>
      <c r="Q185" s="881" t="s">
        <v>1450</v>
      </c>
      <c r="R185" s="880" t="s">
        <v>1450</v>
      </c>
      <c r="S185" s="880" t="s">
        <v>1450</v>
      </c>
      <c r="T185" s="881" t="s">
        <v>1450</v>
      </c>
      <c r="U185" s="880" t="s">
        <v>1450</v>
      </c>
      <c r="V185" s="880" t="s">
        <v>1450</v>
      </c>
      <c r="W185" s="881" t="s">
        <v>1450</v>
      </c>
      <c r="X185" s="880" t="s">
        <v>1450</v>
      </c>
      <c r="Y185" s="880" t="s">
        <v>1450</v>
      </c>
      <c r="Z185" s="881" t="s">
        <v>1450</v>
      </c>
      <c r="AA185" s="880">
        <v>48.476735413200643</v>
      </c>
      <c r="AB185" s="880">
        <v>97</v>
      </c>
      <c r="AC185" s="881">
        <v>0.49976015889897568</v>
      </c>
      <c r="AD185" s="880">
        <v>50.73188801808331</v>
      </c>
      <c r="AE185" s="880">
        <v>106</v>
      </c>
      <c r="AF185" s="881">
        <v>0.47860271715172936</v>
      </c>
      <c r="AG185" s="880">
        <v>77.715587944940452</v>
      </c>
      <c r="AH185" s="880">
        <v>169</v>
      </c>
      <c r="AI185" s="881">
        <v>0.45985554997006184</v>
      </c>
    </row>
    <row r="186" spans="2:35" x14ac:dyDescent="0.2">
      <c r="B186" s="867">
        <v>78224000</v>
      </c>
      <c r="C186" s="876" t="s">
        <v>1448</v>
      </c>
      <c r="D186" s="877" t="s">
        <v>1448</v>
      </c>
      <c r="E186" s="877" t="s">
        <v>1448</v>
      </c>
      <c r="F186" s="877" t="s">
        <v>1448</v>
      </c>
      <c r="G186" s="877" t="s">
        <v>1447</v>
      </c>
      <c r="H186" s="877" t="s">
        <v>1447</v>
      </c>
      <c r="I186" s="877" t="s">
        <v>1447</v>
      </c>
      <c r="J186" s="878" t="s">
        <v>1447</v>
      </c>
      <c r="K186" s="877"/>
      <c r="L186" s="879" t="s">
        <v>1450</v>
      </c>
      <c r="M186" s="880" t="s">
        <v>1450</v>
      </c>
      <c r="N186" s="881" t="s">
        <v>1450</v>
      </c>
      <c r="O186" s="880" t="s">
        <v>1450</v>
      </c>
      <c r="P186" s="880" t="s">
        <v>1450</v>
      </c>
      <c r="Q186" s="881" t="s">
        <v>1450</v>
      </c>
      <c r="R186" s="880" t="s">
        <v>1450</v>
      </c>
      <c r="S186" s="880" t="s">
        <v>1450</v>
      </c>
      <c r="T186" s="881" t="s">
        <v>1450</v>
      </c>
      <c r="U186" s="880" t="s">
        <v>1450</v>
      </c>
      <c r="V186" s="880" t="s">
        <v>1450</v>
      </c>
      <c r="W186" s="881" t="s">
        <v>1450</v>
      </c>
      <c r="X186" s="880">
        <v>35.352815532812286</v>
      </c>
      <c r="Y186" s="880">
        <v>55</v>
      </c>
      <c r="Z186" s="881">
        <v>0.64277846423295071</v>
      </c>
      <c r="AA186" s="880">
        <v>53.434583353187072</v>
      </c>
      <c r="AB186" s="880">
        <v>113</v>
      </c>
      <c r="AC186" s="881">
        <v>0.47287241905475286</v>
      </c>
      <c r="AD186" s="880">
        <v>72.25450717727017</v>
      </c>
      <c r="AE186" s="880">
        <v>177</v>
      </c>
      <c r="AF186" s="881">
        <v>0.4082175546738428</v>
      </c>
      <c r="AG186" s="880">
        <v>79.69560292442938</v>
      </c>
      <c r="AH186" s="880">
        <v>168</v>
      </c>
      <c r="AI186" s="881">
        <v>0.47437858883588918</v>
      </c>
    </row>
    <row r="187" spans="2:35" x14ac:dyDescent="0.2">
      <c r="B187" s="867">
        <v>78226000</v>
      </c>
      <c r="C187" s="876" t="s">
        <v>1448</v>
      </c>
      <c r="D187" s="877" t="s">
        <v>1448</v>
      </c>
      <c r="E187" s="877" t="s">
        <v>1448</v>
      </c>
      <c r="F187" s="877" t="s">
        <v>1448</v>
      </c>
      <c r="G187" s="877" t="s">
        <v>1448</v>
      </c>
      <c r="H187" s="877" t="s">
        <v>1447</v>
      </c>
      <c r="I187" s="877" t="s">
        <v>1447</v>
      </c>
      <c r="J187" s="878" t="s">
        <v>1447</v>
      </c>
      <c r="K187" s="877"/>
      <c r="L187" s="879" t="s">
        <v>1450</v>
      </c>
      <c r="M187" s="880" t="s">
        <v>1450</v>
      </c>
      <c r="N187" s="881" t="s">
        <v>1450</v>
      </c>
      <c r="O187" s="880" t="s">
        <v>1450</v>
      </c>
      <c r="P187" s="880" t="s">
        <v>1450</v>
      </c>
      <c r="Q187" s="881" t="s">
        <v>1450</v>
      </c>
      <c r="R187" s="880" t="s">
        <v>1450</v>
      </c>
      <c r="S187" s="880" t="s">
        <v>1450</v>
      </c>
      <c r="T187" s="881" t="s">
        <v>1450</v>
      </c>
      <c r="U187" s="880" t="s">
        <v>1450</v>
      </c>
      <c r="V187" s="880" t="s">
        <v>1450</v>
      </c>
      <c r="W187" s="881" t="s">
        <v>1450</v>
      </c>
      <c r="X187" s="880" t="s">
        <v>1450</v>
      </c>
      <c r="Y187" s="880" t="s">
        <v>1450</v>
      </c>
      <c r="Z187" s="881" t="s">
        <v>1450</v>
      </c>
      <c r="AA187" s="880">
        <v>42.417143486550557</v>
      </c>
      <c r="AB187" s="880">
        <v>87</v>
      </c>
      <c r="AC187" s="881">
        <v>0.48755337340862709</v>
      </c>
      <c r="AD187" s="880">
        <v>39.458135125175907</v>
      </c>
      <c r="AE187" s="880">
        <v>87</v>
      </c>
      <c r="AF187" s="881">
        <v>0.45354178304799891</v>
      </c>
      <c r="AG187" s="880">
        <v>42.570322059011964</v>
      </c>
      <c r="AH187" s="880">
        <v>107</v>
      </c>
      <c r="AI187" s="881">
        <v>0.39785347718702768</v>
      </c>
    </row>
    <row r="188" spans="2:35" x14ac:dyDescent="0.2">
      <c r="B188" s="867">
        <v>78228000</v>
      </c>
      <c r="C188" s="876" t="s">
        <v>1448</v>
      </c>
      <c r="D188" s="877" t="s">
        <v>1448</v>
      </c>
      <c r="E188" s="877" t="s">
        <v>1448</v>
      </c>
      <c r="F188" s="877" t="s">
        <v>1448</v>
      </c>
      <c r="G188" s="877" t="s">
        <v>1447</v>
      </c>
      <c r="H188" s="877" t="s">
        <v>1447</v>
      </c>
      <c r="I188" s="877" t="s">
        <v>1447</v>
      </c>
      <c r="J188" s="878" t="s">
        <v>1447</v>
      </c>
      <c r="K188" s="877"/>
      <c r="L188" s="879" t="s">
        <v>1450</v>
      </c>
      <c r="M188" s="880" t="s">
        <v>1450</v>
      </c>
      <c r="N188" s="881" t="s">
        <v>1450</v>
      </c>
      <c r="O188" s="880" t="s">
        <v>1450</v>
      </c>
      <c r="P188" s="880" t="s">
        <v>1450</v>
      </c>
      <c r="Q188" s="881" t="s">
        <v>1450</v>
      </c>
      <c r="R188" s="880" t="s">
        <v>1450</v>
      </c>
      <c r="S188" s="880" t="s">
        <v>1450</v>
      </c>
      <c r="T188" s="881" t="s">
        <v>1450</v>
      </c>
      <c r="U188" s="880" t="s">
        <v>1450</v>
      </c>
      <c r="V188" s="880" t="s">
        <v>1450</v>
      </c>
      <c r="W188" s="881" t="s">
        <v>1450</v>
      </c>
      <c r="X188" s="880">
        <v>129.97358651769221</v>
      </c>
      <c r="Y188" s="880">
        <v>260</v>
      </c>
      <c r="Z188" s="881">
        <v>0.49989840968343158</v>
      </c>
      <c r="AA188" s="880">
        <v>110.72527065969692</v>
      </c>
      <c r="AB188" s="880">
        <v>196</v>
      </c>
      <c r="AC188" s="881">
        <v>0.56492485030457606</v>
      </c>
      <c r="AD188" s="880">
        <v>60.980754284362767</v>
      </c>
      <c r="AE188" s="880">
        <v>140</v>
      </c>
      <c r="AF188" s="881">
        <v>0.43557681631687689</v>
      </c>
      <c r="AG188" s="880">
        <v>60.885460619284551</v>
      </c>
      <c r="AH188" s="880">
        <v>147</v>
      </c>
      <c r="AI188" s="881">
        <v>0.41418680693390852</v>
      </c>
    </row>
    <row r="189" spans="2:35" x14ac:dyDescent="0.2">
      <c r="B189" s="867">
        <v>78229000</v>
      </c>
      <c r="C189" s="876" t="s">
        <v>1448</v>
      </c>
      <c r="D189" s="877" t="s">
        <v>1448</v>
      </c>
      <c r="E189" s="877" t="s">
        <v>1448</v>
      </c>
      <c r="F189" s="877" t="s">
        <v>1448</v>
      </c>
      <c r="G189" s="877" t="s">
        <v>1447</v>
      </c>
      <c r="H189" s="877" t="s">
        <v>1448</v>
      </c>
      <c r="I189" s="877" t="s">
        <v>1448</v>
      </c>
      <c r="J189" s="878" t="s">
        <v>1448</v>
      </c>
      <c r="K189" s="877"/>
      <c r="L189" s="879" t="s">
        <v>1450</v>
      </c>
      <c r="M189" s="880" t="s">
        <v>1450</v>
      </c>
      <c r="N189" s="881" t="s">
        <v>1450</v>
      </c>
      <c r="O189" s="880" t="s">
        <v>1450</v>
      </c>
      <c r="P189" s="880" t="s">
        <v>1450</v>
      </c>
      <c r="Q189" s="881" t="s">
        <v>1450</v>
      </c>
      <c r="R189" s="880" t="s">
        <v>1450</v>
      </c>
      <c r="S189" s="880" t="s">
        <v>1450</v>
      </c>
      <c r="T189" s="881" t="s">
        <v>1450</v>
      </c>
      <c r="U189" s="880" t="s">
        <v>1450</v>
      </c>
      <c r="V189" s="880" t="s">
        <v>1450</v>
      </c>
      <c r="W189" s="881" t="s">
        <v>1450</v>
      </c>
      <c r="X189" s="880">
        <v>94.100876638809169</v>
      </c>
      <c r="Y189" s="880">
        <v>181</v>
      </c>
      <c r="Z189" s="881">
        <v>0.5198943460707689</v>
      </c>
      <c r="AA189" s="880">
        <v>83.732542986437466</v>
      </c>
      <c r="AB189" s="880">
        <v>858</v>
      </c>
      <c r="AC189" s="881">
        <v>9.7590376441069313E-2</v>
      </c>
      <c r="AD189" s="880">
        <v>100.43888940953867</v>
      </c>
      <c r="AE189" s="880">
        <v>900</v>
      </c>
      <c r="AF189" s="881">
        <v>0.11159876601059852</v>
      </c>
      <c r="AG189" s="880">
        <v>90.585685311618477</v>
      </c>
      <c r="AH189" s="880">
        <v>1061</v>
      </c>
      <c r="AI189" s="881">
        <v>8.5377648738565959E-2</v>
      </c>
    </row>
    <row r="190" spans="2:35" x14ac:dyDescent="0.2">
      <c r="B190" s="867">
        <v>78230000</v>
      </c>
      <c r="C190" s="876" t="s">
        <v>1448</v>
      </c>
      <c r="D190" s="877" t="s">
        <v>1448</v>
      </c>
      <c r="E190" s="877" t="s">
        <v>1448</v>
      </c>
      <c r="F190" s="877" t="s">
        <v>1448</v>
      </c>
      <c r="G190" s="877" t="s">
        <v>1447</v>
      </c>
      <c r="H190" s="877" t="s">
        <v>1447</v>
      </c>
      <c r="I190" s="877" t="s">
        <v>1447</v>
      </c>
      <c r="J190" s="878" t="s">
        <v>1447</v>
      </c>
      <c r="K190" s="877"/>
      <c r="L190" s="879" t="s">
        <v>1450</v>
      </c>
      <c r="M190" s="880" t="s">
        <v>1450</v>
      </c>
      <c r="N190" s="881" t="s">
        <v>1450</v>
      </c>
      <c r="O190" s="880" t="s">
        <v>1450</v>
      </c>
      <c r="P190" s="880" t="s">
        <v>1450</v>
      </c>
      <c r="Q190" s="881" t="s">
        <v>1450</v>
      </c>
      <c r="R190" s="880" t="s">
        <v>1450</v>
      </c>
      <c r="S190" s="880" t="s">
        <v>1450</v>
      </c>
      <c r="T190" s="881" t="s">
        <v>1450</v>
      </c>
      <c r="U190" s="880" t="s">
        <v>1450</v>
      </c>
      <c r="V190" s="880" t="s">
        <v>1450</v>
      </c>
      <c r="W190" s="881" t="s">
        <v>1450</v>
      </c>
      <c r="X190" s="880">
        <v>48.870068530652276</v>
      </c>
      <c r="Y190" s="880">
        <v>94</v>
      </c>
      <c r="Z190" s="881">
        <v>0.5198943460707689</v>
      </c>
      <c r="AA190" s="880">
        <v>39.662783519891434</v>
      </c>
      <c r="AB190" s="880">
        <v>128</v>
      </c>
      <c r="AC190" s="881">
        <v>0.30986549624915183</v>
      </c>
      <c r="AD190" s="880">
        <v>58.930981031106882</v>
      </c>
      <c r="AE190" s="880">
        <v>183</v>
      </c>
      <c r="AF190" s="881">
        <v>0.32202721874921791</v>
      </c>
      <c r="AG190" s="880">
        <v>73.755557985962582</v>
      </c>
      <c r="AH190" s="880">
        <v>237</v>
      </c>
      <c r="AI190" s="881">
        <v>0.31120488601671975</v>
      </c>
    </row>
    <row r="191" spans="2:35" x14ac:dyDescent="0.2">
      <c r="B191" s="867">
        <v>78238000</v>
      </c>
      <c r="C191" s="876" t="s">
        <v>1448</v>
      </c>
      <c r="D191" s="877" t="s">
        <v>1448</v>
      </c>
      <c r="E191" s="877" t="s">
        <v>1448</v>
      </c>
      <c r="F191" s="877" t="s">
        <v>1448</v>
      </c>
      <c r="G191" s="877" t="s">
        <v>1448</v>
      </c>
      <c r="H191" s="877" t="s">
        <v>1448</v>
      </c>
      <c r="I191" s="877" t="s">
        <v>1448</v>
      </c>
      <c r="J191" s="878" t="s">
        <v>1447</v>
      </c>
      <c r="K191" s="877"/>
      <c r="L191" s="879" t="s">
        <v>1450</v>
      </c>
      <c r="M191" s="880" t="s">
        <v>1450</v>
      </c>
      <c r="N191" s="881" t="s">
        <v>1450</v>
      </c>
      <c r="O191" s="880" t="s">
        <v>1450</v>
      </c>
      <c r="P191" s="880" t="s">
        <v>1450</v>
      </c>
      <c r="Q191" s="881" t="s">
        <v>1450</v>
      </c>
      <c r="R191" s="880" t="s">
        <v>1450</v>
      </c>
      <c r="S191" s="880" t="s">
        <v>1450</v>
      </c>
      <c r="T191" s="881" t="s">
        <v>1450</v>
      </c>
      <c r="U191" s="880" t="s">
        <v>1450</v>
      </c>
      <c r="V191" s="880" t="s">
        <v>1450</v>
      </c>
      <c r="W191" s="881" t="s">
        <v>1450</v>
      </c>
      <c r="X191" s="880" t="s">
        <v>1450</v>
      </c>
      <c r="Y191" s="880" t="s">
        <v>1450</v>
      </c>
      <c r="Z191" s="881" t="s">
        <v>1450</v>
      </c>
      <c r="AA191" s="880" t="s">
        <v>1450</v>
      </c>
      <c r="AB191" s="880" t="s">
        <v>1450</v>
      </c>
      <c r="AC191" s="881" t="s">
        <v>1450</v>
      </c>
      <c r="AD191" s="880" t="s">
        <v>1450</v>
      </c>
      <c r="AE191" s="880" t="s">
        <v>1450</v>
      </c>
      <c r="AF191" s="881" t="s">
        <v>1450</v>
      </c>
      <c r="AG191" s="880">
        <v>44.550337038500892</v>
      </c>
      <c r="AH191" s="880">
        <v>93</v>
      </c>
      <c r="AI191" s="881">
        <v>0.47903588213441817</v>
      </c>
    </row>
    <row r="192" spans="2:35" x14ac:dyDescent="0.2">
      <c r="B192" s="867">
        <v>78240000</v>
      </c>
      <c r="C192" s="876" t="s">
        <v>1448</v>
      </c>
      <c r="D192" s="877" t="s">
        <v>1448</v>
      </c>
      <c r="E192" s="877" t="s">
        <v>1448</v>
      </c>
      <c r="F192" s="877" t="s">
        <v>1448</v>
      </c>
      <c r="G192" s="877" t="s">
        <v>1447</v>
      </c>
      <c r="H192" s="877" t="s">
        <v>1447</v>
      </c>
      <c r="I192" s="877" t="s">
        <v>1447</v>
      </c>
      <c r="J192" s="878" t="s">
        <v>1447</v>
      </c>
      <c r="K192" s="877"/>
      <c r="L192" s="879" t="s">
        <v>1450</v>
      </c>
      <c r="M192" s="880" t="s">
        <v>1450</v>
      </c>
      <c r="N192" s="881" t="s">
        <v>1450</v>
      </c>
      <c r="O192" s="880" t="s">
        <v>1450</v>
      </c>
      <c r="P192" s="880" t="s">
        <v>1450</v>
      </c>
      <c r="Q192" s="881" t="s">
        <v>1450</v>
      </c>
      <c r="R192" s="880" t="s">
        <v>1450</v>
      </c>
      <c r="S192" s="880" t="s">
        <v>1450</v>
      </c>
      <c r="T192" s="881" t="s">
        <v>1450</v>
      </c>
      <c r="U192" s="880" t="s">
        <v>1450</v>
      </c>
      <c r="V192" s="880" t="s">
        <v>1450</v>
      </c>
      <c r="W192" s="881" t="s">
        <v>1450</v>
      </c>
      <c r="X192" s="880">
        <v>47.31038549243997</v>
      </c>
      <c r="Y192" s="880">
        <v>91</v>
      </c>
      <c r="Z192" s="881">
        <v>0.5198943460707689</v>
      </c>
      <c r="AA192" s="880">
        <v>31.950575613245878</v>
      </c>
      <c r="AB192" s="880">
        <v>88</v>
      </c>
      <c r="AC192" s="881">
        <v>0.36307472287779408</v>
      </c>
      <c r="AD192" s="880">
        <v>21.52261915918686</v>
      </c>
      <c r="AE192" s="880">
        <v>49</v>
      </c>
      <c r="AF192" s="881">
        <v>0.43923712569769102</v>
      </c>
      <c r="AG192" s="880">
        <v>24.750187243611606</v>
      </c>
      <c r="AH192" s="880">
        <v>58</v>
      </c>
      <c r="AI192" s="881">
        <v>0.42672736626916563</v>
      </c>
    </row>
    <row r="193" spans="2:35" x14ac:dyDescent="0.2">
      <c r="B193" s="867">
        <v>78242000</v>
      </c>
      <c r="C193" s="876" t="s">
        <v>1448</v>
      </c>
      <c r="D193" s="877" t="s">
        <v>1448</v>
      </c>
      <c r="E193" s="877" t="s">
        <v>1448</v>
      </c>
      <c r="F193" s="877" t="s">
        <v>1448</v>
      </c>
      <c r="G193" s="877" t="s">
        <v>1447</v>
      </c>
      <c r="H193" s="877" t="s">
        <v>1447</v>
      </c>
      <c r="I193" s="877" t="s">
        <v>1447</v>
      </c>
      <c r="J193" s="878" t="s">
        <v>1447</v>
      </c>
      <c r="K193" s="877"/>
      <c r="L193" s="879" t="s">
        <v>1450</v>
      </c>
      <c r="M193" s="880" t="s">
        <v>1450</v>
      </c>
      <c r="N193" s="881" t="s">
        <v>1450</v>
      </c>
      <c r="O193" s="880" t="s">
        <v>1450</v>
      </c>
      <c r="P193" s="880" t="s">
        <v>1450</v>
      </c>
      <c r="Q193" s="881" t="s">
        <v>1450</v>
      </c>
      <c r="R193" s="880" t="s">
        <v>1450</v>
      </c>
      <c r="S193" s="880" t="s">
        <v>1450</v>
      </c>
      <c r="T193" s="881" t="s">
        <v>1450</v>
      </c>
      <c r="U193" s="880" t="s">
        <v>1450</v>
      </c>
      <c r="V193" s="880" t="s">
        <v>1450</v>
      </c>
      <c r="W193" s="881" t="s">
        <v>1450</v>
      </c>
      <c r="X193" s="880">
        <v>49.389962876723047</v>
      </c>
      <c r="Y193" s="880">
        <v>122</v>
      </c>
      <c r="Z193" s="881">
        <v>0.40483576128461513</v>
      </c>
      <c r="AA193" s="880">
        <v>113.28663110744887</v>
      </c>
      <c r="AB193" s="880">
        <v>231</v>
      </c>
      <c r="AC193" s="881">
        <v>0.49041831648246265</v>
      </c>
      <c r="AD193" s="880">
        <v>120.10204725809697</v>
      </c>
      <c r="AE193" s="880">
        <v>313</v>
      </c>
      <c r="AF193" s="881">
        <v>0.38371261104823312</v>
      </c>
      <c r="AG193" s="880">
        <v>233.37553027512635</v>
      </c>
      <c r="AH193" s="880">
        <v>478</v>
      </c>
      <c r="AI193" s="881">
        <v>0.48823332693541077</v>
      </c>
    </row>
    <row r="194" spans="2:35" x14ac:dyDescent="0.2">
      <c r="B194" s="867">
        <v>78245000</v>
      </c>
      <c r="C194" s="876" t="s">
        <v>1448</v>
      </c>
      <c r="D194" s="877" t="s">
        <v>1448</v>
      </c>
      <c r="E194" s="877" t="s">
        <v>1448</v>
      </c>
      <c r="F194" s="877" t="s">
        <v>1448</v>
      </c>
      <c r="G194" s="877" t="s">
        <v>1447</v>
      </c>
      <c r="H194" s="877" t="s">
        <v>1447</v>
      </c>
      <c r="I194" s="877" t="s">
        <v>1447</v>
      </c>
      <c r="J194" s="878" t="s">
        <v>1447</v>
      </c>
      <c r="K194" s="877"/>
      <c r="L194" s="879" t="s">
        <v>1450</v>
      </c>
      <c r="M194" s="880" t="s">
        <v>1450</v>
      </c>
      <c r="N194" s="881" t="s">
        <v>1450</v>
      </c>
      <c r="O194" s="880" t="s">
        <v>1450</v>
      </c>
      <c r="P194" s="880" t="s">
        <v>1450</v>
      </c>
      <c r="Q194" s="881" t="s">
        <v>1450</v>
      </c>
      <c r="R194" s="880" t="s">
        <v>1450</v>
      </c>
      <c r="S194" s="880" t="s">
        <v>1450</v>
      </c>
      <c r="T194" s="881" t="s">
        <v>1450</v>
      </c>
      <c r="U194" s="880" t="s">
        <v>1450</v>
      </c>
      <c r="V194" s="880" t="s">
        <v>1450</v>
      </c>
      <c r="W194" s="881" t="s">
        <v>1450</v>
      </c>
      <c r="X194" s="880">
        <v>194.44048543046756</v>
      </c>
      <c r="Y194" s="880">
        <v>960</v>
      </c>
      <c r="Z194" s="881">
        <v>0.20254217232340371</v>
      </c>
      <c r="AA194" s="880">
        <v>209.33135746609366</v>
      </c>
      <c r="AB194" s="880">
        <v>1028</v>
      </c>
      <c r="AC194" s="881">
        <v>0.20362972516156971</v>
      </c>
      <c r="AD194" s="880">
        <v>235.39098628758794</v>
      </c>
      <c r="AE194" s="880">
        <v>1025</v>
      </c>
      <c r="AF194" s="881">
        <v>0.22964974271959798</v>
      </c>
      <c r="AG194" s="880">
        <v>261.45791889044614</v>
      </c>
      <c r="AH194" s="880">
        <v>1087</v>
      </c>
      <c r="AI194" s="881">
        <v>0.24053166411264595</v>
      </c>
    </row>
    <row r="195" spans="2:35" x14ac:dyDescent="0.2">
      <c r="B195" s="867">
        <v>78246000</v>
      </c>
      <c r="C195" s="876" t="s">
        <v>1448</v>
      </c>
      <c r="D195" s="877" t="s">
        <v>1448</v>
      </c>
      <c r="E195" s="877" t="s">
        <v>1448</v>
      </c>
      <c r="F195" s="877" t="s">
        <v>1448</v>
      </c>
      <c r="G195" s="877" t="s">
        <v>1447</v>
      </c>
      <c r="H195" s="877" t="s">
        <v>1447</v>
      </c>
      <c r="I195" s="877" t="s">
        <v>1447</v>
      </c>
      <c r="J195" s="878" t="s">
        <v>1447</v>
      </c>
      <c r="K195" s="877"/>
      <c r="L195" s="879" t="s">
        <v>1450</v>
      </c>
      <c r="M195" s="880" t="s">
        <v>1450</v>
      </c>
      <c r="N195" s="881" t="s">
        <v>1450</v>
      </c>
      <c r="O195" s="880" t="s">
        <v>1450</v>
      </c>
      <c r="P195" s="880" t="s">
        <v>1450</v>
      </c>
      <c r="Q195" s="881" t="s">
        <v>1450</v>
      </c>
      <c r="R195" s="880" t="s">
        <v>1450</v>
      </c>
      <c r="S195" s="880" t="s">
        <v>1450</v>
      </c>
      <c r="T195" s="881" t="s">
        <v>1450</v>
      </c>
      <c r="U195" s="880" t="s">
        <v>1450</v>
      </c>
      <c r="V195" s="880" t="s">
        <v>1450</v>
      </c>
      <c r="W195" s="881" t="s">
        <v>1450</v>
      </c>
      <c r="X195" s="880">
        <v>154.40862078301836</v>
      </c>
      <c r="Y195" s="880">
        <v>297</v>
      </c>
      <c r="Z195" s="881">
        <v>0.5198943460707689</v>
      </c>
      <c r="AA195" s="880">
        <v>164.15985401288398</v>
      </c>
      <c r="AB195" s="880">
        <v>995</v>
      </c>
      <c r="AC195" s="881">
        <v>0.16498477790239596</v>
      </c>
      <c r="AD195" s="880">
        <v>259.80875985018423</v>
      </c>
      <c r="AE195" s="880">
        <v>1065</v>
      </c>
      <c r="AF195" s="881">
        <v>0.24395188718327157</v>
      </c>
      <c r="AG195" s="880">
        <v>257.89695107843295</v>
      </c>
      <c r="AH195" s="880">
        <v>1056</v>
      </c>
      <c r="AI195" s="881">
        <v>0.24422059761215242</v>
      </c>
    </row>
    <row r="196" spans="2:35" x14ac:dyDescent="0.2">
      <c r="B196" s="867">
        <v>78250000</v>
      </c>
      <c r="C196" s="876" t="s">
        <v>1448</v>
      </c>
      <c r="D196" s="877" t="s">
        <v>1448</v>
      </c>
      <c r="E196" s="877" t="s">
        <v>1448</v>
      </c>
      <c r="F196" s="877" t="s">
        <v>1448</v>
      </c>
      <c r="G196" s="877" t="s">
        <v>1448</v>
      </c>
      <c r="H196" s="877" t="s">
        <v>1447</v>
      </c>
      <c r="I196" s="877" t="s">
        <v>1447</v>
      </c>
      <c r="J196" s="878" t="s">
        <v>1447</v>
      </c>
      <c r="K196" s="877"/>
      <c r="L196" s="879" t="s">
        <v>1450</v>
      </c>
      <c r="M196" s="880" t="s">
        <v>1450</v>
      </c>
      <c r="N196" s="881" t="s">
        <v>1450</v>
      </c>
      <c r="O196" s="880" t="s">
        <v>1450</v>
      </c>
      <c r="P196" s="880" t="s">
        <v>1450</v>
      </c>
      <c r="Q196" s="881" t="s">
        <v>1450</v>
      </c>
      <c r="R196" s="880" t="s">
        <v>1450</v>
      </c>
      <c r="S196" s="880" t="s">
        <v>1450</v>
      </c>
      <c r="T196" s="881" t="s">
        <v>1450</v>
      </c>
      <c r="U196" s="880" t="s">
        <v>1450</v>
      </c>
      <c r="V196" s="880" t="s">
        <v>1450</v>
      </c>
      <c r="W196" s="881" t="s">
        <v>1450</v>
      </c>
      <c r="X196" s="880" t="s">
        <v>1450</v>
      </c>
      <c r="Y196" s="880" t="s">
        <v>1450</v>
      </c>
      <c r="Z196" s="881" t="s">
        <v>1450</v>
      </c>
      <c r="AA196" s="880">
        <v>135.51451035962907</v>
      </c>
      <c r="AB196" s="880">
        <v>357</v>
      </c>
      <c r="AC196" s="881">
        <v>0.37959246599335872</v>
      </c>
      <c r="AD196" s="880">
        <v>118.88684868884171</v>
      </c>
      <c r="AE196" s="880">
        <v>356</v>
      </c>
      <c r="AF196" s="881">
        <v>0.33395182215966773</v>
      </c>
      <c r="AG196" s="880">
        <v>128.20596992190812</v>
      </c>
      <c r="AH196" s="880">
        <v>359</v>
      </c>
      <c r="AI196" s="881">
        <v>0.35711969337578864</v>
      </c>
    </row>
    <row r="197" spans="2:35" x14ac:dyDescent="0.2">
      <c r="B197" s="867">
        <v>78253000</v>
      </c>
      <c r="C197" s="876" t="s">
        <v>1448</v>
      </c>
      <c r="D197" s="877" t="s">
        <v>1448</v>
      </c>
      <c r="E197" s="877" t="s">
        <v>1448</v>
      </c>
      <c r="F197" s="877" t="s">
        <v>1448</v>
      </c>
      <c r="G197" s="877" t="s">
        <v>1448</v>
      </c>
      <c r="H197" s="877" t="s">
        <v>1448</v>
      </c>
      <c r="I197" s="877" t="s">
        <v>1448</v>
      </c>
      <c r="J197" s="878" t="s">
        <v>1447</v>
      </c>
      <c r="K197" s="877"/>
      <c r="L197" s="879" t="s">
        <v>1450</v>
      </c>
      <c r="M197" s="880" t="s">
        <v>1450</v>
      </c>
      <c r="N197" s="881" t="s">
        <v>1450</v>
      </c>
      <c r="O197" s="880" t="s">
        <v>1450</v>
      </c>
      <c r="P197" s="880" t="s">
        <v>1450</v>
      </c>
      <c r="Q197" s="881" t="s">
        <v>1450</v>
      </c>
      <c r="R197" s="880" t="s">
        <v>1450</v>
      </c>
      <c r="S197" s="880" t="s">
        <v>1450</v>
      </c>
      <c r="T197" s="881" t="s">
        <v>1450</v>
      </c>
      <c r="U197" s="880" t="s">
        <v>1450</v>
      </c>
      <c r="V197" s="880" t="s">
        <v>1450</v>
      </c>
      <c r="W197" s="881" t="s">
        <v>1450</v>
      </c>
      <c r="X197" s="880" t="s">
        <v>1450</v>
      </c>
      <c r="Y197" s="880" t="s">
        <v>1450</v>
      </c>
      <c r="Z197" s="881" t="s">
        <v>1450</v>
      </c>
      <c r="AA197" s="880" t="s">
        <v>1450</v>
      </c>
      <c r="AB197" s="880" t="s">
        <v>1450</v>
      </c>
      <c r="AC197" s="881" t="s">
        <v>1450</v>
      </c>
      <c r="AD197" s="880" t="s">
        <v>1450</v>
      </c>
      <c r="AE197" s="880" t="s">
        <v>1450</v>
      </c>
      <c r="AF197" s="881" t="s">
        <v>1450</v>
      </c>
      <c r="AG197" s="880">
        <v>42.570322059011964</v>
      </c>
      <c r="AH197" s="880">
        <v>86</v>
      </c>
      <c r="AI197" s="881">
        <v>0.49500374487223214</v>
      </c>
    </row>
    <row r="198" spans="2:35" x14ac:dyDescent="0.2">
      <c r="B198" s="867">
        <v>78254000</v>
      </c>
      <c r="C198" s="876" t="s">
        <v>1448</v>
      </c>
      <c r="D198" s="877" t="s">
        <v>1448</v>
      </c>
      <c r="E198" s="877" t="s">
        <v>1448</v>
      </c>
      <c r="F198" s="877" t="s">
        <v>1448</v>
      </c>
      <c r="G198" s="877" t="s">
        <v>1448</v>
      </c>
      <c r="H198" s="877" t="s">
        <v>1448</v>
      </c>
      <c r="I198" s="877" t="s">
        <v>1447</v>
      </c>
      <c r="J198" s="878" t="s">
        <v>1447</v>
      </c>
      <c r="K198" s="877"/>
      <c r="L198" s="879" t="s">
        <v>1450</v>
      </c>
      <c r="M198" s="880" t="s">
        <v>1450</v>
      </c>
      <c r="N198" s="881" t="s">
        <v>1450</v>
      </c>
      <c r="O198" s="880" t="s">
        <v>1450</v>
      </c>
      <c r="P198" s="880" t="s">
        <v>1450</v>
      </c>
      <c r="Q198" s="881" t="s">
        <v>1450</v>
      </c>
      <c r="R198" s="880" t="s">
        <v>1450</v>
      </c>
      <c r="S198" s="880" t="s">
        <v>1450</v>
      </c>
      <c r="T198" s="881" t="s">
        <v>1450</v>
      </c>
      <c r="U198" s="880" t="s">
        <v>1450</v>
      </c>
      <c r="V198" s="880" t="s">
        <v>1450</v>
      </c>
      <c r="W198" s="881" t="s">
        <v>1450</v>
      </c>
      <c r="X198" s="880" t="s">
        <v>1450</v>
      </c>
      <c r="Y198" s="880" t="s">
        <v>1450</v>
      </c>
      <c r="Z198" s="881" t="s">
        <v>1450</v>
      </c>
      <c r="AA198" s="880" t="s">
        <v>1450</v>
      </c>
      <c r="AB198" s="880" t="s">
        <v>1450</v>
      </c>
      <c r="AC198" s="881" t="s">
        <v>1450</v>
      </c>
      <c r="AD198" s="880">
        <v>31.771485425466317</v>
      </c>
      <c r="AE198" s="880">
        <v>86</v>
      </c>
      <c r="AF198" s="881">
        <v>0.369435877040306</v>
      </c>
      <c r="AG198" s="880">
        <v>48.510366997478748</v>
      </c>
      <c r="AH198" s="880">
        <v>103</v>
      </c>
      <c r="AI198" s="881">
        <v>0.4709744368687257</v>
      </c>
    </row>
    <row r="199" spans="2:35" x14ac:dyDescent="0.2">
      <c r="B199" s="867">
        <v>78256000</v>
      </c>
      <c r="C199" s="876" t="s">
        <v>1448</v>
      </c>
      <c r="D199" s="877" t="s">
        <v>1448</v>
      </c>
      <c r="E199" s="877" t="s">
        <v>1448</v>
      </c>
      <c r="F199" s="877" t="s">
        <v>1448</v>
      </c>
      <c r="G199" s="877" t="s">
        <v>1448</v>
      </c>
      <c r="H199" s="877" t="s">
        <v>1448</v>
      </c>
      <c r="I199" s="877" t="s">
        <v>1447</v>
      </c>
      <c r="J199" s="878" t="s">
        <v>1447</v>
      </c>
      <c r="K199" s="877"/>
      <c r="L199" s="879" t="s">
        <v>1450</v>
      </c>
      <c r="M199" s="880" t="s">
        <v>1450</v>
      </c>
      <c r="N199" s="881" t="s">
        <v>1450</v>
      </c>
      <c r="O199" s="880" t="s">
        <v>1450</v>
      </c>
      <c r="P199" s="880" t="s">
        <v>1450</v>
      </c>
      <c r="Q199" s="881" t="s">
        <v>1450</v>
      </c>
      <c r="R199" s="880" t="s">
        <v>1450</v>
      </c>
      <c r="S199" s="880" t="s">
        <v>1450</v>
      </c>
      <c r="T199" s="881" t="s">
        <v>1450</v>
      </c>
      <c r="U199" s="880" t="s">
        <v>1450</v>
      </c>
      <c r="V199" s="880" t="s">
        <v>1450</v>
      </c>
      <c r="W199" s="881" t="s">
        <v>1450</v>
      </c>
      <c r="X199" s="880" t="s">
        <v>1450</v>
      </c>
      <c r="Y199" s="880" t="s">
        <v>1450</v>
      </c>
      <c r="Z199" s="881" t="s">
        <v>1450</v>
      </c>
      <c r="AA199" s="880" t="s">
        <v>1450</v>
      </c>
      <c r="AB199" s="880" t="s">
        <v>1450</v>
      </c>
      <c r="AC199" s="881" t="s">
        <v>1450</v>
      </c>
      <c r="AD199" s="880">
        <v>81.478486816921688</v>
      </c>
      <c r="AE199" s="880">
        <v>184</v>
      </c>
      <c r="AF199" s="881">
        <v>0.44281786313544397</v>
      </c>
      <c r="AG199" s="880">
        <v>82.665625393662765</v>
      </c>
      <c r="AH199" s="880">
        <v>174</v>
      </c>
      <c r="AI199" s="881">
        <v>0.47508980111300442</v>
      </c>
    </row>
    <row r="200" spans="2:35" x14ac:dyDescent="0.2">
      <c r="B200" s="867">
        <v>78261000</v>
      </c>
      <c r="C200" s="876" t="s">
        <v>1448</v>
      </c>
      <c r="D200" s="877" t="s">
        <v>1448</v>
      </c>
      <c r="E200" s="877" t="s">
        <v>1448</v>
      </c>
      <c r="F200" s="877" t="s">
        <v>1448</v>
      </c>
      <c r="G200" s="877" t="s">
        <v>1448</v>
      </c>
      <c r="H200" s="877" t="s">
        <v>1447</v>
      </c>
      <c r="I200" s="877" t="s">
        <v>1447</v>
      </c>
      <c r="J200" s="878" t="s">
        <v>1447</v>
      </c>
      <c r="K200" s="877"/>
      <c r="L200" s="879" t="s">
        <v>1450</v>
      </c>
      <c r="M200" s="880" t="s">
        <v>1450</v>
      </c>
      <c r="N200" s="881" t="s">
        <v>1450</v>
      </c>
      <c r="O200" s="880" t="s">
        <v>1450</v>
      </c>
      <c r="P200" s="880" t="s">
        <v>1450</v>
      </c>
      <c r="Q200" s="881" t="s">
        <v>1450</v>
      </c>
      <c r="R200" s="880" t="s">
        <v>1450</v>
      </c>
      <c r="S200" s="880" t="s">
        <v>1450</v>
      </c>
      <c r="T200" s="881" t="s">
        <v>1450</v>
      </c>
      <c r="U200" s="880" t="s">
        <v>1450</v>
      </c>
      <c r="V200" s="880" t="s">
        <v>1450</v>
      </c>
      <c r="W200" s="881" t="s">
        <v>1450</v>
      </c>
      <c r="X200" s="880" t="s">
        <v>1450</v>
      </c>
      <c r="Y200" s="880" t="s">
        <v>1450</v>
      </c>
      <c r="Z200" s="881" t="s">
        <v>1450</v>
      </c>
      <c r="AA200" s="880">
        <v>103.01306275305136</v>
      </c>
      <c r="AB200" s="880">
        <v>280</v>
      </c>
      <c r="AC200" s="881">
        <v>0.36790379554661201</v>
      </c>
      <c r="AD200" s="880">
        <v>94.802012963084977</v>
      </c>
      <c r="AE200" s="880">
        <v>281</v>
      </c>
      <c r="AF200" s="881">
        <v>0.33737371161240204</v>
      </c>
      <c r="AG200" s="880">
        <v>126.22595494241919</v>
      </c>
      <c r="AH200" s="880">
        <v>401</v>
      </c>
      <c r="AI200" s="881">
        <v>0.31477794249979851</v>
      </c>
    </row>
    <row r="201" spans="2:35" x14ac:dyDescent="0.2">
      <c r="B201" s="867">
        <v>78263000</v>
      </c>
      <c r="C201" s="876" t="s">
        <v>1448</v>
      </c>
      <c r="D201" s="877" t="s">
        <v>1448</v>
      </c>
      <c r="E201" s="877" t="s">
        <v>1448</v>
      </c>
      <c r="F201" s="877" t="s">
        <v>1448</v>
      </c>
      <c r="G201" s="877" t="s">
        <v>1448</v>
      </c>
      <c r="H201" s="877" t="s">
        <v>1448</v>
      </c>
      <c r="I201" s="877" t="s">
        <v>1447</v>
      </c>
      <c r="J201" s="878" t="s">
        <v>1447</v>
      </c>
      <c r="K201" s="877"/>
      <c r="L201" s="879" t="s">
        <v>1450</v>
      </c>
      <c r="M201" s="880" t="s">
        <v>1450</v>
      </c>
      <c r="N201" s="881" t="s">
        <v>1450</v>
      </c>
      <c r="O201" s="880" t="s">
        <v>1450</v>
      </c>
      <c r="P201" s="880" t="s">
        <v>1450</v>
      </c>
      <c r="Q201" s="881" t="s">
        <v>1450</v>
      </c>
      <c r="R201" s="880" t="s">
        <v>1450</v>
      </c>
      <c r="S201" s="880" t="s">
        <v>1450</v>
      </c>
      <c r="T201" s="881" t="s">
        <v>1450</v>
      </c>
      <c r="U201" s="880" t="s">
        <v>1450</v>
      </c>
      <c r="V201" s="880" t="s">
        <v>1450</v>
      </c>
      <c r="W201" s="881" t="s">
        <v>1450</v>
      </c>
      <c r="X201" s="880" t="s">
        <v>1450</v>
      </c>
      <c r="Y201" s="880" t="s">
        <v>1450</v>
      </c>
      <c r="Z201" s="881" t="s">
        <v>1450</v>
      </c>
      <c r="AA201" s="880" t="s">
        <v>1450</v>
      </c>
      <c r="AB201" s="880" t="s">
        <v>1450</v>
      </c>
      <c r="AC201" s="881" t="s">
        <v>1450</v>
      </c>
      <c r="AD201" s="880">
        <v>16.398186026047131</v>
      </c>
      <c r="AE201" s="880">
        <v>36</v>
      </c>
      <c r="AF201" s="881">
        <v>0.45550516739019808</v>
      </c>
      <c r="AG201" s="880">
        <v>15.840119835911429</v>
      </c>
      <c r="AH201" s="880">
        <v>36</v>
      </c>
      <c r="AI201" s="881">
        <v>0.44000332877531745</v>
      </c>
    </row>
    <row r="202" spans="2:35" x14ac:dyDescent="0.2">
      <c r="B202" s="867">
        <v>78270000</v>
      </c>
      <c r="C202" s="876" t="s">
        <v>1448</v>
      </c>
      <c r="D202" s="877" t="s">
        <v>1448</v>
      </c>
      <c r="E202" s="877" t="s">
        <v>1448</v>
      </c>
      <c r="F202" s="877" t="s">
        <v>1448</v>
      </c>
      <c r="G202" s="877" t="s">
        <v>1448</v>
      </c>
      <c r="H202" s="877" t="s">
        <v>1448</v>
      </c>
      <c r="I202" s="877" t="s">
        <v>1447</v>
      </c>
      <c r="J202" s="878" t="s">
        <v>1447</v>
      </c>
      <c r="K202" s="877"/>
      <c r="L202" s="879" t="s">
        <v>1450</v>
      </c>
      <c r="M202" s="880" t="s">
        <v>1450</v>
      </c>
      <c r="N202" s="881" t="s">
        <v>1450</v>
      </c>
      <c r="O202" s="880" t="s">
        <v>1450</v>
      </c>
      <c r="P202" s="880" t="s">
        <v>1450</v>
      </c>
      <c r="Q202" s="881" t="s">
        <v>1450</v>
      </c>
      <c r="R202" s="880" t="s">
        <v>1450</v>
      </c>
      <c r="S202" s="880" t="s">
        <v>1450</v>
      </c>
      <c r="T202" s="881" t="s">
        <v>1450</v>
      </c>
      <c r="U202" s="880" t="s">
        <v>1450</v>
      </c>
      <c r="V202" s="880" t="s">
        <v>1450</v>
      </c>
      <c r="W202" s="881" t="s">
        <v>1450</v>
      </c>
      <c r="X202" s="880" t="s">
        <v>1450</v>
      </c>
      <c r="Y202" s="880" t="s">
        <v>1450</v>
      </c>
      <c r="Z202" s="881" t="s">
        <v>1450</v>
      </c>
      <c r="AA202" s="880" t="s">
        <v>1450</v>
      </c>
      <c r="AB202" s="880" t="s">
        <v>1450</v>
      </c>
      <c r="AC202" s="881" t="s">
        <v>1450</v>
      </c>
      <c r="AD202" s="880">
        <v>95.826899589712923</v>
      </c>
      <c r="AE202" s="880">
        <v>386</v>
      </c>
      <c r="AF202" s="881">
        <v>0.24825621655366042</v>
      </c>
      <c r="AG202" s="880">
        <v>261.3619772925386</v>
      </c>
      <c r="AH202" s="880">
        <v>572</v>
      </c>
      <c r="AI202" s="881">
        <v>0.45692653372821435</v>
      </c>
    </row>
    <row r="203" spans="2:35" x14ac:dyDescent="0.2">
      <c r="B203" s="867">
        <v>78274000</v>
      </c>
      <c r="C203" s="876" t="s">
        <v>1448</v>
      </c>
      <c r="D203" s="877" t="s">
        <v>1448</v>
      </c>
      <c r="E203" s="877" t="s">
        <v>1448</v>
      </c>
      <c r="F203" s="877" t="s">
        <v>1448</v>
      </c>
      <c r="G203" s="877" t="s">
        <v>1448</v>
      </c>
      <c r="H203" s="877" t="s">
        <v>1448</v>
      </c>
      <c r="I203" s="877" t="s">
        <v>1448</v>
      </c>
      <c r="J203" s="878" t="s">
        <v>1448</v>
      </c>
      <c r="K203" s="877"/>
      <c r="L203" s="879" t="s">
        <v>1450</v>
      </c>
      <c r="M203" s="880" t="s">
        <v>1450</v>
      </c>
      <c r="N203" s="881" t="s">
        <v>1450</v>
      </c>
      <c r="O203" s="880" t="s">
        <v>1450</v>
      </c>
      <c r="P203" s="880" t="s">
        <v>1450</v>
      </c>
      <c r="Q203" s="881" t="s">
        <v>1450</v>
      </c>
      <c r="R203" s="880" t="s">
        <v>1450</v>
      </c>
      <c r="S203" s="880" t="s">
        <v>1450</v>
      </c>
      <c r="T203" s="881" t="s">
        <v>1450</v>
      </c>
      <c r="U203" s="880" t="s">
        <v>1450</v>
      </c>
      <c r="V203" s="880" t="s">
        <v>1450</v>
      </c>
      <c r="W203" s="881" t="s">
        <v>1450</v>
      </c>
      <c r="X203" s="880" t="s">
        <v>1450</v>
      </c>
      <c r="Y203" s="880" t="s">
        <v>1450</v>
      </c>
      <c r="Z203" s="881" t="s">
        <v>1450</v>
      </c>
      <c r="AA203" s="880" t="s">
        <v>1450</v>
      </c>
      <c r="AB203" s="880" t="s">
        <v>1450</v>
      </c>
      <c r="AC203" s="881" t="s">
        <v>1450</v>
      </c>
      <c r="AD203" s="880">
        <v>158.85742712733159</v>
      </c>
      <c r="AE203" s="880">
        <v>1276</v>
      </c>
      <c r="AF203" s="881">
        <v>0.12449641624399027</v>
      </c>
      <c r="AG203" s="880">
        <v>158.40119835911429</v>
      </c>
      <c r="AH203" s="880">
        <v>1282</v>
      </c>
      <c r="AI203" s="881">
        <v>0.12355787703519056</v>
      </c>
    </row>
    <row r="204" spans="2:35" x14ac:dyDescent="0.2">
      <c r="B204" s="867">
        <v>78281000</v>
      </c>
      <c r="C204" s="876" t="s">
        <v>1448</v>
      </c>
      <c r="D204" s="877" t="s">
        <v>1448</v>
      </c>
      <c r="E204" s="877" t="s">
        <v>1448</v>
      </c>
      <c r="F204" s="877" t="s">
        <v>1448</v>
      </c>
      <c r="G204" s="877" t="s">
        <v>1448</v>
      </c>
      <c r="H204" s="877" t="s">
        <v>1448</v>
      </c>
      <c r="I204" s="877" t="s">
        <v>1448</v>
      </c>
      <c r="J204" s="878" t="s">
        <v>1447</v>
      </c>
      <c r="K204" s="877"/>
      <c r="L204" s="879" t="s">
        <v>1450</v>
      </c>
      <c r="M204" s="880" t="s">
        <v>1450</v>
      </c>
      <c r="N204" s="881" t="s">
        <v>1450</v>
      </c>
      <c r="O204" s="880" t="s">
        <v>1450</v>
      </c>
      <c r="P204" s="880" t="s">
        <v>1450</v>
      </c>
      <c r="Q204" s="881" t="s">
        <v>1450</v>
      </c>
      <c r="R204" s="880" t="s">
        <v>1450</v>
      </c>
      <c r="S204" s="880" t="s">
        <v>1450</v>
      </c>
      <c r="T204" s="881" t="s">
        <v>1450</v>
      </c>
      <c r="U204" s="880" t="s">
        <v>1450</v>
      </c>
      <c r="V204" s="880" t="s">
        <v>1450</v>
      </c>
      <c r="W204" s="881" t="s">
        <v>1450</v>
      </c>
      <c r="X204" s="880" t="s">
        <v>1450</v>
      </c>
      <c r="Y204" s="880" t="s">
        <v>1450</v>
      </c>
      <c r="Z204" s="881" t="s">
        <v>1450</v>
      </c>
      <c r="AA204" s="880" t="s">
        <v>1450</v>
      </c>
      <c r="AB204" s="880" t="s">
        <v>1450</v>
      </c>
      <c r="AC204" s="881" t="s">
        <v>1450</v>
      </c>
      <c r="AD204" s="880" t="s">
        <v>1450</v>
      </c>
      <c r="AE204" s="880" t="s">
        <v>1450</v>
      </c>
      <c r="AF204" s="881" t="s">
        <v>1450</v>
      </c>
      <c r="AG204" s="880">
        <v>23.26517600899491</v>
      </c>
      <c r="AH204" s="880">
        <v>111</v>
      </c>
      <c r="AI204" s="881">
        <v>0.2095961802612154</v>
      </c>
    </row>
    <row r="205" spans="2:35" x14ac:dyDescent="0.2">
      <c r="B205" s="867">
        <v>78401000</v>
      </c>
      <c r="C205" s="876" t="s">
        <v>1448</v>
      </c>
      <c r="D205" s="877" t="s">
        <v>1448</v>
      </c>
      <c r="E205" s="877" t="s">
        <v>1448</v>
      </c>
      <c r="F205" s="877" t="s">
        <v>1447</v>
      </c>
      <c r="G205" s="877" t="s">
        <v>1447</v>
      </c>
      <c r="H205" s="877" t="s">
        <v>1447</v>
      </c>
      <c r="I205" s="877" t="s">
        <v>1447</v>
      </c>
      <c r="J205" s="878" t="s">
        <v>1447</v>
      </c>
      <c r="K205" s="877"/>
      <c r="L205" s="879" t="s">
        <v>1450</v>
      </c>
      <c r="M205" s="880" t="s">
        <v>1450</v>
      </c>
      <c r="N205" s="881" t="s">
        <v>1450</v>
      </c>
      <c r="O205" s="880" t="s">
        <v>1450</v>
      </c>
      <c r="P205" s="880" t="s">
        <v>1450</v>
      </c>
      <c r="Q205" s="881" t="s">
        <v>1450</v>
      </c>
      <c r="R205" s="880" t="s">
        <v>1450</v>
      </c>
      <c r="S205" s="880" t="s">
        <v>1450</v>
      </c>
      <c r="T205" s="881" t="s">
        <v>1450</v>
      </c>
      <c r="U205" s="880">
        <v>40.483479105928083</v>
      </c>
      <c r="V205" s="880">
        <v>76</v>
      </c>
      <c r="W205" s="881">
        <v>0.53267735665694849</v>
      </c>
      <c r="X205" s="880">
        <v>92.54119360059687</v>
      </c>
      <c r="Y205" s="880">
        <v>178</v>
      </c>
      <c r="Z205" s="881">
        <v>0.5198943460707689</v>
      </c>
      <c r="AA205" s="880">
        <v>164.15985401288398</v>
      </c>
      <c r="AB205" s="880">
        <v>377</v>
      </c>
      <c r="AC205" s="881">
        <v>0.43543727854876391</v>
      </c>
      <c r="AD205" s="880">
        <v>245.97279039070696</v>
      </c>
      <c r="AE205" s="880">
        <v>503</v>
      </c>
      <c r="AF205" s="881">
        <v>0.48901151171114704</v>
      </c>
      <c r="AG205" s="880">
        <v>301.95228437206163</v>
      </c>
      <c r="AH205" s="880">
        <v>631</v>
      </c>
      <c r="AI205" s="881">
        <v>0.4785297692108742</v>
      </c>
    </row>
    <row r="206" spans="2:35" x14ac:dyDescent="0.2">
      <c r="B206" s="867">
        <v>78407000</v>
      </c>
      <c r="C206" s="876" t="s">
        <v>1448</v>
      </c>
      <c r="D206" s="877" t="s">
        <v>1448</v>
      </c>
      <c r="E206" s="877" t="s">
        <v>1448</v>
      </c>
      <c r="F206" s="877" t="s">
        <v>1448</v>
      </c>
      <c r="G206" s="877" t="s">
        <v>1448</v>
      </c>
      <c r="H206" s="877" t="s">
        <v>1448</v>
      </c>
      <c r="I206" s="877" t="s">
        <v>1448</v>
      </c>
      <c r="J206" s="878" t="s">
        <v>1448</v>
      </c>
      <c r="K206" s="877"/>
      <c r="L206" s="879" t="s">
        <v>1450</v>
      </c>
      <c r="M206" s="880" t="s">
        <v>1450</v>
      </c>
      <c r="N206" s="881" t="s">
        <v>1450</v>
      </c>
      <c r="O206" s="880" t="s">
        <v>1450</v>
      </c>
      <c r="P206" s="880" t="s">
        <v>1450</v>
      </c>
      <c r="Q206" s="881" t="s">
        <v>1450</v>
      </c>
      <c r="R206" s="880" t="s">
        <v>1450</v>
      </c>
      <c r="S206" s="880" t="s">
        <v>1450</v>
      </c>
      <c r="T206" s="881" t="s">
        <v>1450</v>
      </c>
      <c r="U206" s="880" t="s">
        <v>1450</v>
      </c>
      <c r="V206" s="880" t="s">
        <v>1450</v>
      </c>
      <c r="W206" s="881" t="s">
        <v>1450</v>
      </c>
      <c r="X206" s="880" t="s">
        <v>1450</v>
      </c>
      <c r="Y206" s="880" t="s">
        <v>1450</v>
      </c>
      <c r="Z206" s="881" t="s">
        <v>1450</v>
      </c>
      <c r="AA206" s="880" t="s">
        <v>1450</v>
      </c>
      <c r="AB206" s="880" t="s">
        <v>1450</v>
      </c>
      <c r="AC206" s="881" t="s">
        <v>1450</v>
      </c>
      <c r="AD206" s="880" t="s">
        <v>1450</v>
      </c>
      <c r="AE206" s="880" t="s">
        <v>1450</v>
      </c>
      <c r="AF206" s="881" t="s">
        <v>1450</v>
      </c>
      <c r="AG206" s="880">
        <v>16.335123580783662</v>
      </c>
      <c r="AH206" s="880">
        <v>207</v>
      </c>
      <c r="AI206" s="881">
        <v>7.8913640486877601E-2</v>
      </c>
    </row>
    <row r="207" spans="2:35" x14ac:dyDescent="0.2">
      <c r="B207" s="867">
        <v>78408000</v>
      </c>
      <c r="C207" s="876" t="s">
        <v>1448</v>
      </c>
      <c r="D207" s="877" t="s">
        <v>1448</v>
      </c>
      <c r="E207" s="877" t="s">
        <v>1448</v>
      </c>
      <c r="F207" s="877" t="s">
        <v>1448</v>
      </c>
      <c r="G207" s="877" t="s">
        <v>1448</v>
      </c>
      <c r="H207" s="877" t="s">
        <v>1448</v>
      </c>
      <c r="I207" s="877" t="s">
        <v>1448</v>
      </c>
      <c r="J207" s="878" t="s">
        <v>1448</v>
      </c>
      <c r="K207" s="877"/>
      <c r="L207" s="879" t="s">
        <v>1450</v>
      </c>
      <c r="M207" s="880" t="s">
        <v>1450</v>
      </c>
      <c r="N207" s="881" t="s">
        <v>1450</v>
      </c>
      <c r="O207" s="880" t="s">
        <v>1450</v>
      </c>
      <c r="P207" s="880" t="s">
        <v>1450</v>
      </c>
      <c r="Q207" s="881" t="s">
        <v>1450</v>
      </c>
      <c r="R207" s="880" t="s">
        <v>1450</v>
      </c>
      <c r="S207" s="880" t="s">
        <v>1450</v>
      </c>
      <c r="T207" s="881" t="s">
        <v>1450</v>
      </c>
      <c r="U207" s="880" t="s">
        <v>1450</v>
      </c>
      <c r="V207" s="880" t="s">
        <v>1450</v>
      </c>
      <c r="W207" s="881" t="s">
        <v>1450</v>
      </c>
      <c r="X207" s="880" t="s">
        <v>1450</v>
      </c>
      <c r="Y207" s="880" t="s">
        <v>1450</v>
      </c>
      <c r="Z207" s="881" t="s">
        <v>1450</v>
      </c>
      <c r="AA207" s="880" t="s">
        <v>1450</v>
      </c>
      <c r="AB207" s="880" t="s">
        <v>1450</v>
      </c>
      <c r="AC207" s="881" t="s">
        <v>1450</v>
      </c>
      <c r="AD207" s="880" t="s">
        <v>1450</v>
      </c>
      <c r="AE207" s="880" t="s">
        <v>1450</v>
      </c>
      <c r="AF207" s="881" t="s">
        <v>1450</v>
      </c>
      <c r="AG207" s="880">
        <v>48.510366997478748</v>
      </c>
      <c r="AH207" s="880">
        <v>949</v>
      </c>
      <c r="AI207" s="881">
        <v>5.1117351946763694E-2</v>
      </c>
    </row>
    <row r="208" spans="2:35" x14ac:dyDescent="0.2">
      <c r="B208" s="867">
        <v>78409000</v>
      </c>
      <c r="C208" s="876" t="s">
        <v>1448</v>
      </c>
      <c r="D208" s="877" t="s">
        <v>1448</v>
      </c>
      <c r="E208" s="877" t="s">
        <v>1448</v>
      </c>
      <c r="F208" s="877" t="s">
        <v>1448</v>
      </c>
      <c r="G208" s="877" t="s">
        <v>1448</v>
      </c>
      <c r="H208" s="877" t="s">
        <v>1448</v>
      </c>
      <c r="I208" s="877" t="s">
        <v>1448</v>
      </c>
      <c r="J208" s="878" t="s">
        <v>1448</v>
      </c>
      <c r="K208" s="877"/>
      <c r="L208" s="879" t="s">
        <v>1450</v>
      </c>
      <c r="M208" s="880" t="s">
        <v>1450</v>
      </c>
      <c r="N208" s="881" t="s">
        <v>1450</v>
      </c>
      <c r="O208" s="880" t="s">
        <v>1450</v>
      </c>
      <c r="P208" s="880" t="s">
        <v>1450</v>
      </c>
      <c r="Q208" s="881" t="s">
        <v>1450</v>
      </c>
      <c r="R208" s="880" t="s">
        <v>1450</v>
      </c>
      <c r="S208" s="880" t="s">
        <v>1450</v>
      </c>
      <c r="T208" s="881" t="s">
        <v>1450</v>
      </c>
      <c r="U208" s="880" t="s">
        <v>1450</v>
      </c>
      <c r="V208" s="880" t="s">
        <v>1450</v>
      </c>
      <c r="W208" s="881" t="s">
        <v>1450</v>
      </c>
      <c r="X208" s="880" t="s">
        <v>1450</v>
      </c>
      <c r="Y208" s="880" t="s">
        <v>1450</v>
      </c>
      <c r="Z208" s="881" t="s">
        <v>1450</v>
      </c>
      <c r="AA208" s="880" t="s">
        <v>1450</v>
      </c>
      <c r="AB208" s="880" t="s">
        <v>1450</v>
      </c>
      <c r="AC208" s="881" t="s">
        <v>1450</v>
      </c>
      <c r="AD208" s="880" t="s">
        <v>1450</v>
      </c>
      <c r="AE208" s="880" t="s">
        <v>1450</v>
      </c>
      <c r="AF208" s="881" t="s">
        <v>1450</v>
      </c>
      <c r="AG208" s="880">
        <v>20.79015728463375</v>
      </c>
      <c r="AH208" s="880">
        <v>441</v>
      </c>
      <c r="AI208" s="881">
        <v>4.7143213797355442E-2</v>
      </c>
    </row>
    <row r="209" spans="2:35" x14ac:dyDescent="0.2">
      <c r="B209" s="867">
        <v>78501000</v>
      </c>
      <c r="C209" s="876" t="s">
        <v>1448</v>
      </c>
      <c r="D209" s="877" t="s">
        <v>1448</v>
      </c>
      <c r="E209" s="877" t="s">
        <v>1447</v>
      </c>
      <c r="F209" s="877" t="s">
        <v>1447</v>
      </c>
      <c r="G209" s="877" t="s">
        <v>1447</v>
      </c>
      <c r="H209" s="877" t="s">
        <v>1447</v>
      </c>
      <c r="I209" s="877" t="s">
        <v>1447</v>
      </c>
      <c r="J209" s="878" t="s">
        <v>1448</v>
      </c>
      <c r="K209" s="877"/>
      <c r="L209" s="879">
        <v>38</v>
      </c>
      <c r="M209" s="880">
        <v>271</v>
      </c>
      <c r="N209" s="881">
        <v>0.13869999999999999</v>
      </c>
      <c r="O209" s="880">
        <v>0.44062231309281213</v>
      </c>
      <c r="P209" s="880">
        <v>346</v>
      </c>
      <c r="Q209" s="881">
        <v>1.273474893331827E-3</v>
      </c>
      <c r="R209" s="880">
        <v>101.15165484922736</v>
      </c>
      <c r="S209" s="880">
        <v>409</v>
      </c>
      <c r="T209" s="881">
        <v>0.24731455953356321</v>
      </c>
      <c r="U209" s="880">
        <v>84.163022351797864</v>
      </c>
      <c r="V209" s="880">
        <v>316</v>
      </c>
      <c r="W209" s="881">
        <v>0.26633867832847424</v>
      </c>
      <c r="X209" s="880">
        <v>60.307744144209195</v>
      </c>
      <c r="Y209" s="880">
        <v>277</v>
      </c>
      <c r="Z209" s="881">
        <v>0.21771748788523176</v>
      </c>
      <c r="AA209" s="880">
        <v>85.936030959764778</v>
      </c>
      <c r="AB209" s="880">
        <v>302</v>
      </c>
      <c r="AC209" s="881">
        <v>0.28455639390650589</v>
      </c>
      <c r="AD209" s="880">
        <v>83.528260070177581</v>
      </c>
      <c r="AE209" s="880">
        <v>253</v>
      </c>
      <c r="AF209" s="881">
        <v>0.33015122557382443</v>
      </c>
      <c r="AG209" s="880" t="s">
        <v>1450</v>
      </c>
      <c r="AH209" s="880" t="s">
        <v>1450</v>
      </c>
      <c r="AI209" s="881" t="s">
        <v>1450</v>
      </c>
    </row>
    <row r="210" spans="2:35" x14ac:dyDescent="0.2">
      <c r="B210" s="867">
        <v>78504000</v>
      </c>
      <c r="C210" s="876" t="s">
        <v>1448</v>
      </c>
      <c r="D210" s="877" t="s">
        <v>1448</v>
      </c>
      <c r="E210" s="877" t="s">
        <v>1448</v>
      </c>
      <c r="F210" s="877" t="s">
        <v>1448</v>
      </c>
      <c r="G210" s="877" t="s">
        <v>1448</v>
      </c>
      <c r="H210" s="877" t="s">
        <v>1448</v>
      </c>
      <c r="I210" s="877" t="s">
        <v>1448</v>
      </c>
      <c r="J210" s="878" t="s">
        <v>1448</v>
      </c>
      <c r="K210" s="877"/>
      <c r="L210" s="879">
        <v>8</v>
      </c>
      <c r="M210" s="880">
        <v>22</v>
      </c>
      <c r="N210" s="881">
        <v>0.36230000000000001</v>
      </c>
      <c r="O210" s="880">
        <v>6.6093346963921817</v>
      </c>
      <c r="P210" s="880">
        <v>15</v>
      </c>
      <c r="Q210" s="881">
        <v>0.44062231309281213</v>
      </c>
      <c r="R210" s="880">
        <v>7.474260210534041</v>
      </c>
      <c r="S210" s="880">
        <v>16</v>
      </c>
      <c r="T210" s="881">
        <v>0.46714126315837756</v>
      </c>
      <c r="U210" s="880">
        <v>7.9901603498542269</v>
      </c>
      <c r="V210" s="880">
        <v>32</v>
      </c>
      <c r="W210" s="881">
        <v>0.24969251093294459</v>
      </c>
      <c r="X210" s="880">
        <v>6.2387321528492272</v>
      </c>
      <c r="Y210" s="880">
        <v>38</v>
      </c>
      <c r="Z210" s="881">
        <v>0.16417716191708492</v>
      </c>
      <c r="AA210" s="880" t="s">
        <v>1450</v>
      </c>
      <c r="AB210" s="880" t="s">
        <v>1450</v>
      </c>
      <c r="AC210" s="881" t="s">
        <v>1450</v>
      </c>
      <c r="AD210" s="880" t="s">
        <v>1450</v>
      </c>
      <c r="AE210" s="880" t="s">
        <v>1450</v>
      </c>
      <c r="AF210" s="881" t="s">
        <v>1450</v>
      </c>
      <c r="AG210" s="880" t="s">
        <v>1450</v>
      </c>
      <c r="AH210" s="880" t="s">
        <v>1450</v>
      </c>
      <c r="AI210" s="881" t="s">
        <v>1450</v>
      </c>
    </row>
    <row r="211" spans="2:35" x14ac:dyDescent="0.2">
      <c r="B211" s="867">
        <v>78505000</v>
      </c>
      <c r="C211" s="876" t="s">
        <v>1448</v>
      </c>
      <c r="D211" s="877" t="s">
        <v>1447</v>
      </c>
      <c r="E211" s="877" t="s">
        <v>1448</v>
      </c>
      <c r="F211" s="877" t="s">
        <v>1448</v>
      </c>
      <c r="G211" s="877" t="s">
        <v>1448</v>
      </c>
      <c r="H211" s="877" t="s">
        <v>1448</v>
      </c>
      <c r="I211" s="877" t="s">
        <v>1448</v>
      </c>
      <c r="J211" s="878" t="s">
        <v>1448</v>
      </c>
      <c r="K211" s="877"/>
      <c r="L211" s="879">
        <v>0</v>
      </c>
      <c r="M211" s="880">
        <v>56</v>
      </c>
      <c r="N211" s="881">
        <v>7.0000000000000001E-3</v>
      </c>
      <c r="O211" s="880">
        <v>13.218669392784363</v>
      </c>
      <c r="P211" s="880">
        <v>33</v>
      </c>
      <c r="Q211" s="881">
        <v>0.40056573917528376</v>
      </c>
      <c r="R211" s="880">
        <v>9.4673962666764524</v>
      </c>
      <c r="S211" s="880">
        <v>20</v>
      </c>
      <c r="T211" s="881">
        <v>0.47336981333382261</v>
      </c>
      <c r="U211" s="880">
        <v>9.0555150631681247</v>
      </c>
      <c r="V211" s="880">
        <v>23</v>
      </c>
      <c r="W211" s="881">
        <v>0.39371804622470108</v>
      </c>
      <c r="X211" s="880">
        <v>7.7984151910615331</v>
      </c>
      <c r="Y211" s="880">
        <v>16</v>
      </c>
      <c r="Z211" s="881">
        <v>0.48740094944134582</v>
      </c>
      <c r="AA211" s="880">
        <v>7.1613359133137307</v>
      </c>
      <c r="AB211" s="880">
        <v>14</v>
      </c>
      <c r="AC211" s="881">
        <v>0.51152399380812363</v>
      </c>
      <c r="AD211" s="880" t="s">
        <v>1450</v>
      </c>
      <c r="AE211" s="880" t="s">
        <v>1450</v>
      </c>
      <c r="AF211" s="881" t="s">
        <v>1450</v>
      </c>
      <c r="AG211" s="880" t="s">
        <v>1450</v>
      </c>
      <c r="AH211" s="880" t="s">
        <v>1450</v>
      </c>
      <c r="AI211" s="881" t="s">
        <v>1450</v>
      </c>
    </row>
    <row r="212" spans="2:35" x14ac:dyDescent="0.2">
      <c r="B212" s="867">
        <v>78507000</v>
      </c>
      <c r="C212" s="876" t="s">
        <v>1447</v>
      </c>
      <c r="D212" s="877" t="s">
        <v>1447</v>
      </c>
      <c r="E212" s="877" t="s">
        <v>1447</v>
      </c>
      <c r="F212" s="877" t="s">
        <v>1447</v>
      </c>
      <c r="G212" s="877" t="s">
        <v>1447</v>
      </c>
      <c r="H212" s="877" t="s">
        <v>1447</v>
      </c>
      <c r="I212" s="877" t="s">
        <v>1447</v>
      </c>
      <c r="J212" s="878" t="s">
        <v>1447</v>
      </c>
      <c r="K212" s="877"/>
      <c r="L212" s="879">
        <v>23</v>
      </c>
      <c r="M212" s="880">
        <v>144</v>
      </c>
      <c r="N212" s="881">
        <v>0.16170000000000001</v>
      </c>
      <c r="O212" s="880">
        <v>32.606051168868099</v>
      </c>
      <c r="P212" s="880">
        <v>122</v>
      </c>
      <c r="Q212" s="881">
        <v>0.26726271449891886</v>
      </c>
      <c r="R212" s="880">
        <v>23.419348659673329</v>
      </c>
      <c r="S212" s="880">
        <v>126</v>
      </c>
      <c r="T212" s="881">
        <v>0.18586784650534388</v>
      </c>
      <c r="U212" s="880">
        <v>29.829931972789115</v>
      </c>
      <c r="V212" s="880">
        <v>100</v>
      </c>
      <c r="W212" s="881">
        <v>0.29829931972789114</v>
      </c>
      <c r="X212" s="880">
        <v>24.954928611396909</v>
      </c>
      <c r="Y212" s="880">
        <v>115</v>
      </c>
      <c r="Z212" s="881">
        <v>0.21699937922953833</v>
      </c>
      <c r="AA212" s="880">
        <v>20.382263753277542</v>
      </c>
      <c r="AB212" s="880">
        <v>102</v>
      </c>
      <c r="AC212" s="881">
        <v>0.1998261152282112</v>
      </c>
      <c r="AD212" s="880">
        <v>26.647052292326588</v>
      </c>
      <c r="AE212" s="880">
        <v>95</v>
      </c>
      <c r="AF212" s="881">
        <v>0.28049528728764828</v>
      </c>
      <c r="AG212" s="880">
        <v>17.325131070528126</v>
      </c>
      <c r="AH212" s="880">
        <v>77</v>
      </c>
      <c r="AI212" s="881">
        <v>0.22500170221465099</v>
      </c>
    </row>
    <row r="213" spans="2:35" x14ac:dyDescent="0.2">
      <c r="B213" s="867">
        <v>78508000</v>
      </c>
      <c r="C213" s="876" t="s">
        <v>1448</v>
      </c>
      <c r="D213" s="877" t="s">
        <v>1448</v>
      </c>
      <c r="E213" s="877" t="s">
        <v>1448</v>
      </c>
      <c r="F213" s="877" t="s">
        <v>1448</v>
      </c>
      <c r="G213" s="877" t="s">
        <v>1447</v>
      </c>
      <c r="H213" s="877" t="s">
        <v>1447</v>
      </c>
      <c r="I213" s="877" t="s">
        <v>1448</v>
      </c>
      <c r="J213" s="878" t="s">
        <v>1447</v>
      </c>
      <c r="K213" s="877"/>
      <c r="L213" s="879">
        <v>69</v>
      </c>
      <c r="M213" s="880">
        <v>641</v>
      </c>
      <c r="N213" s="881">
        <v>0.1082</v>
      </c>
      <c r="O213" s="880">
        <v>90.327574184026489</v>
      </c>
      <c r="P213" s="880">
        <v>804</v>
      </c>
      <c r="Q213" s="881">
        <v>0.11234772908461006</v>
      </c>
      <c r="R213" s="880">
        <v>93.677394638693315</v>
      </c>
      <c r="S213" s="880">
        <v>838</v>
      </c>
      <c r="T213" s="881">
        <v>0.11178686711061254</v>
      </c>
      <c r="U213" s="880">
        <v>81.499635568513114</v>
      </c>
      <c r="V213" s="880">
        <v>888</v>
      </c>
      <c r="W213" s="881">
        <v>9.1778868883460707E-2</v>
      </c>
      <c r="X213" s="880">
        <v>109.17781267486147</v>
      </c>
      <c r="Y213" s="880">
        <v>696</v>
      </c>
      <c r="Z213" s="881">
        <v>0.15686467338342167</v>
      </c>
      <c r="AA213" s="880">
        <v>118.43747856634248</v>
      </c>
      <c r="AB213" s="880">
        <v>768</v>
      </c>
      <c r="AC213" s="881">
        <v>0.15421546688325843</v>
      </c>
      <c r="AD213" s="880">
        <v>109.66286904919019</v>
      </c>
      <c r="AE213" s="880">
        <v>765</v>
      </c>
      <c r="AF213" s="881">
        <v>0.14335015561985645</v>
      </c>
      <c r="AG213" s="880">
        <v>125.73095119754696</v>
      </c>
      <c r="AH213" s="880">
        <v>793</v>
      </c>
      <c r="AI213" s="881">
        <v>0.15855101033738583</v>
      </c>
    </row>
    <row r="214" spans="2:35" x14ac:dyDescent="0.2">
      <c r="B214" s="867">
        <v>78509000</v>
      </c>
      <c r="C214" s="876" t="s">
        <v>1448</v>
      </c>
      <c r="D214" s="877" t="s">
        <v>1447</v>
      </c>
      <c r="E214" s="877" t="s">
        <v>1447</v>
      </c>
      <c r="F214" s="877" t="s">
        <v>1447</v>
      </c>
      <c r="G214" s="877" t="s">
        <v>1447</v>
      </c>
      <c r="H214" s="877" t="s">
        <v>1447</v>
      </c>
      <c r="I214" s="877" t="s">
        <v>1447</v>
      </c>
      <c r="J214" s="878" t="s">
        <v>1447</v>
      </c>
      <c r="K214" s="877"/>
      <c r="L214" s="879">
        <v>67</v>
      </c>
      <c r="M214" s="880">
        <v>475</v>
      </c>
      <c r="N214" s="881">
        <v>0.14169999999999999</v>
      </c>
      <c r="O214" s="880">
        <v>96.055664254233051</v>
      </c>
      <c r="P214" s="880">
        <v>568</v>
      </c>
      <c r="Q214" s="881">
        <v>0.16911208495463564</v>
      </c>
      <c r="R214" s="880">
        <v>145.49893209839601</v>
      </c>
      <c r="S214" s="880">
        <v>596</v>
      </c>
      <c r="T214" s="881">
        <v>0.24412572499730875</v>
      </c>
      <c r="U214" s="880">
        <v>191.2311710398445</v>
      </c>
      <c r="V214" s="880">
        <v>661</v>
      </c>
      <c r="W214" s="881">
        <v>0.28930585633864525</v>
      </c>
      <c r="X214" s="880">
        <v>179.88344374048603</v>
      </c>
      <c r="Y214" s="880">
        <v>661</v>
      </c>
      <c r="Z214" s="881">
        <v>0.27213834151359462</v>
      </c>
      <c r="AA214" s="880">
        <v>207.6787414860982</v>
      </c>
      <c r="AB214" s="880">
        <v>647</v>
      </c>
      <c r="AC214" s="881">
        <v>0.32098723568175919</v>
      </c>
      <c r="AD214" s="880">
        <v>177.3053864066346</v>
      </c>
      <c r="AE214" s="880">
        <v>618</v>
      </c>
      <c r="AF214" s="881">
        <v>0.28690191975183593</v>
      </c>
      <c r="AG214" s="880">
        <v>183.64638934759813</v>
      </c>
      <c r="AH214" s="880">
        <v>643</v>
      </c>
      <c r="AI214" s="881">
        <v>0.28560869260901733</v>
      </c>
    </row>
    <row r="215" spans="2:35" x14ac:dyDescent="0.2">
      <c r="B215" s="867">
        <v>78510000</v>
      </c>
      <c r="C215" s="876" t="s">
        <v>1448</v>
      </c>
      <c r="D215" s="877" t="s">
        <v>1448</v>
      </c>
      <c r="E215" s="877" t="s">
        <v>1448</v>
      </c>
      <c r="F215" s="877" t="s">
        <v>1448</v>
      </c>
      <c r="G215" s="877" t="s">
        <v>1447</v>
      </c>
      <c r="H215" s="877" t="s">
        <v>1447</v>
      </c>
      <c r="I215" s="877" t="s">
        <v>1447</v>
      </c>
      <c r="J215" s="878" t="s">
        <v>1448</v>
      </c>
      <c r="K215" s="877"/>
      <c r="L215" s="879">
        <v>0</v>
      </c>
      <c r="M215" s="880">
        <v>128</v>
      </c>
      <c r="N215" s="881">
        <v>0</v>
      </c>
      <c r="O215" s="880">
        <v>0.44062231309281213</v>
      </c>
      <c r="P215" s="880">
        <v>141</v>
      </c>
      <c r="Q215" s="881">
        <v>3.1249809439206533E-3</v>
      </c>
      <c r="R215" s="880">
        <v>0</v>
      </c>
      <c r="S215" s="880">
        <v>181</v>
      </c>
      <c r="T215" s="881">
        <v>0</v>
      </c>
      <c r="U215" s="880">
        <v>13.316933916423713</v>
      </c>
      <c r="V215" s="880">
        <v>201</v>
      </c>
      <c r="W215" s="881">
        <v>6.6253402569272202E-2</v>
      </c>
      <c r="X215" s="880">
        <v>37.432392917095363</v>
      </c>
      <c r="Y215" s="880">
        <v>204</v>
      </c>
      <c r="Z215" s="881">
        <v>0.18349212214262434</v>
      </c>
      <c r="AA215" s="880">
        <v>34.704935579905005</v>
      </c>
      <c r="AB215" s="880">
        <v>183</v>
      </c>
      <c r="AC215" s="881">
        <v>0.18964445672079239</v>
      </c>
      <c r="AD215" s="880">
        <v>26.134608979012615</v>
      </c>
      <c r="AE215" s="880">
        <v>154</v>
      </c>
      <c r="AF215" s="881">
        <v>0.16970525311047152</v>
      </c>
      <c r="AG215" s="880">
        <v>16.335123580783662</v>
      </c>
      <c r="AH215" s="880">
        <v>121</v>
      </c>
      <c r="AI215" s="881">
        <v>0.1350010213287906</v>
      </c>
    </row>
    <row r="216" spans="2:35" x14ac:dyDescent="0.2">
      <c r="B216" s="867">
        <v>78511000</v>
      </c>
      <c r="C216" s="876" t="s">
        <v>1447</v>
      </c>
      <c r="D216" s="877" t="s">
        <v>1447</v>
      </c>
      <c r="E216" s="877" t="s">
        <v>1447</v>
      </c>
      <c r="F216" s="877" t="s">
        <v>1447</v>
      </c>
      <c r="G216" s="877" t="s">
        <v>1447</v>
      </c>
      <c r="H216" s="877" t="s">
        <v>1447</v>
      </c>
      <c r="I216" s="877" t="s">
        <v>1447</v>
      </c>
      <c r="J216" s="878" t="s">
        <v>1447</v>
      </c>
      <c r="K216" s="877"/>
      <c r="L216" s="879">
        <v>156</v>
      </c>
      <c r="M216" s="880">
        <v>769</v>
      </c>
      <c r="N216" s="881">
        <v>0.20300000000000001</v>
      </c>
      <c r="O216" s="880">
        <v>210.17684334527138</v>
      </c>
      <c r="P216" s="880">
        <v>959</v>
      </c>
      <c r="Q216" s="881">
        <v>0.21916250609517349</v>
      </c>
      <c r="R216" s="880">
        <v>305.94638461786008</v>
      </c>
      <c r="S216" s="880">
        <v>1313</v>
      </c>
      <c r="T216" s="881">
        <v>0.23301324037917751</v>
      </c>
      <c r="U216" s="880">
        <v>378.20092322643342</v>
      </c>
      <c r="V216" s="880">
        <v>1434</v>
      </c>
      <c r="W216" s="881">
        <v>0.26373844018579734</v>
      </c>
      <c r="X216" s="880">
        <v>388.88097086093512</v>
      </c>
      <c r="Y216" s="880">
        <v>1508</v>
      </c>
      <c r="Z216" s="881">
        <v>0.25787862789186677</v>
      </c>
      <c r="AA216" s="880">
        <v>486.9708421053337</v>
      </c>
      <c r="AB216" s="880">
        <v>1805</v>
      </c>
      <c r="AC216" s="881">
        <v>0.2697899402245616</v>
      </c>
      <c r="AD216" s="880">
        <v>426.86527999053936</v>
      </c>
      <c r="AE216" s="880">
        <v>1817</v>
      </c>
      <c r="AF216" s="881">
        <v>0.23492860758972997</v>
      </c>
      <c r="AG216" s="880">
        <v>444.51336289526449</v>
      </c>
      <c r="AH216" s="880">
        <v>1889</v>
      </c>
      <c r="AI216" s="881">
        <v>0.23531676172327395</v>
      </c>
    </row>
    <row r="217" spans="2:35" x14ac:dyDescent="0.2">
      <c r="B217" s="867">
        <v>78513000</v>
      </c>
      <c r="C217" s="876" t="s">
        <v>1448</v>
      </c>
      <c r="D217" s="877" t="s">
        <v>1448</v>
      </c>
      <c r="E217" s="877" t="s">
        <v>1447</v>
      </c>
      <c r="F217" s="877" t="s">
        <v>1447</v>
      </c>
      <c r="G217" s="877" t="s">
        <v>1447</v>
      </c>
      <c r="H217" s="877" t="s">
        <v>1447</v>
      </c>
      <c r="I217" s="877" t="s">
        <v>1447</v>
      </c>
      <c r="J217" s="878" t="s">
        <v>1447</v>
      </c>
      <c r="K217" s="877"/>
      <c r="L217" s="879" t="s">
        <v>1450</v>
      </c>
      <c r="M217" s="880" t="s">
        <v>1450</v>
      </c>
      <c r="N217" s="881" t="s">
        <v>1450</v>
      </c>
      <c r="O217" s="880" t="s">
        <v>1450</v>
      </c>
      <c r="P217" s="880" t="s">
        <v>1450</v>
      </c>
      <c r="Q217" s="881" t="s">
        <v>1450</v>
      </c>
      <c r="R217" s="880">
        <v>107.62934703169019</v>
      </c>
      <c r="S217" s="880">
        <v>391</v>
      </c>
      <c r="T217" s="881">
        <v>0.27526687220381124</v>
      </c>
      <c r="U217" s="880">
        <v>123.04846938775511</v>
      </c>
      <c r="V217" s="880">
        <v>388</v>
      </c>
      <c r="W217" s="881">
        <v>0.31713523038081215</v>
      </c>
      <c r="X217" s="880">
        <v>125.81443174912607</v>
      </c>
      <c r="Y217" s="880">
        <v>379</v>
      </c>
      <c r="Z217" s="881">
        <v>0.33196419986576803</v>
      </c>
      <c r="AA217" s="880">
        <v>115.68311859968334</v>
      </c>
      <c r="AB217" s="880">
        <v>366</v>
      </c>
      <c r="AC217" s="881">
        <v>0.31607409453465396</v>
      </c>
      <c r="AD217" s="880">
        <v>122.98639519535348</v>
      </c>
      <c r="AE217" s="880">
        <v>393</v>
      </c>
      <c r="AF217" s="881">
        <v>0.3129424814131132</v>
      </c>
      <c r="AG217" s="880">
        <v>139.09605230909725</v>
      </c>
      <c r="AH217" s="880">
        <v>409</v>
      </c>
      <c r="AI217" s="881">
        <v>0.34008814745500549</v>
      </c>
    </row>
    <row r="218" spans="2:35" x14ac:dyDescent="0.2">
      <c r="B218" s="867">
        <v>78515000</v>
      </c>
      <c r="C218" s="876" t="s">
        <v>1448</v>
      </c>
      <c r="D218" s="877" t="s">
        <v>1448</v>
      </c>
      <c r="E218" s="877" t="s">
        <v>1448</v>
      </c>
      <c r="F218" s="877" t="s">
        <v>1448</v>
      </c>
      <c r="G218" s="877" t="s">
        <v>1448</v>
      </c>
      <c r="H218" s="877" t="s">
        <v>1448</v>
      </c>
      <c r="I218" s="877" t="s">
        <v>1448</v>
      </c>
      <c r="J218" s="878" t="s">
        <v>1448</v>
      </c>
      <c r="K218" s="877"/>
      <c r="L218" s="879">
        <v>0</v>
      </c>
      <c r="M218" s="880">
        <v>404</v>
      </c>
      <c r="N218" s="881">
        <v>0</v>
      </c>
      <c r="O218" s="880">
        <v>0</v>
      </c>
      <c r="P218" s="880">
        <v>527</v>
      </c>
      <c r="Q218" s="881">
        <v>0</v>
      </c>
      <c r="R218" s="880">
        <v>0</v>
      </c>
      <c r="S218" s="880">
        <v>943</v>
      </c>
      <c r="T218" s="881">
        <v>0</v>
      </c>
      <c r="U218" s="880">
        <v>0</v>
      </c>
      <c r="V218" s="880">
        <v>635</v>
      </c>
      <c r="W218" s="881">
        <v>0</v>
      </c>
      <c r="X218" s="880">
        <v>0</v>
      </c>
      <c r="Y218" s="880">
        <v>648</v>
      </c>
      <c r="Z218" s="881">
        <v>0</v>
      </c>
      <c r="AA218" s="880" t="s">
        <v>1450</v>
      </c>
      <c r="AB218" s="880" t="s">
        <v>1450</v>
      </c>
      <c r="AC218" s="881" t="s">
        <v>1450</v>
      </c>
      <c r="AD218" s="880" t="s">
        <v>1450</v>
      </c>
      <c r="AE218" s="880" t="s">
        <v>1450</v>
      </c>
      <c r="AF218" s="881" t="s">
        <v>1450</v>
      </c>
      <c r="AG218" s="880" t="s">
        <v>1450</v>
      </c>
      <c r="AH218" s="880" t="s">
        <v>1450</v>
      </c>
      <c r="AI218" s="881" t="s">
        <v>1450</v>
      </c>
    </row>
    <row r="219" spans="2:35" x14ac:dyDescent="0.2">
      <c r="B219" s="867">
        <v>78516000</v>
      </c>
      <c r="C219" s="876" t="s">
        <v>1447</v>
      </c>
      <c r="D219" s="877" t="s">
        <v>1447</v>
      </c>
      <c r="E219" s="877" t="s">
        <v>1447</v>
      </c>
      <c r="F219" s="877" t="s">
        <v>1447</v>
      </c>
      <c r="G219" s="877" t="s">
        <v>1447</v>
      </c>
      <c r="H219" s="877" t="s">
        <v>1447</v>
      </c>
      <c r="I219" s="877" t="s">
        <v>1447</v>
      </c>
      <c r="J219" s="878" t="s">
        <v>1447</v>
      </c>
      <c r="K219" s="877"/>
      <c r="L219" s="879">
        <v>48</v>
      </c>
      <c r="M219" s="880">
        <v>192</v>
      </c>
      <c r="N219" s="881">
        <v>0.24940000000000001</v>
      </c>
      <c r="O219" s="880">
        <v>38.334141239074654</v>
      </c>
      <c r="P219" s="880">
        <v>166</v>
      </c>
      <c r="Q219" s="881">
        <v>0.23092856168117262</v>
      </c>
      <c r="R219" s="880">
        <v>44.845561263204246</v>
      </c>
      <c r="S219" s="880">
        <v>186</v>
      </c>
      <c r="T219" s="881">
        <v>0.24110516808174326</v>
      </c>
      <c r="U219" s="880">
        <v>41.01615646258503</v>
      </c>
      <c r="V219" s="880">
        <v>157</v>
      </c>
      <c r="W219" s="881">
        <v>0.26124940422028681</v>
      </c>
      <c r="X219" s="880">
        <v>61.34753283635073</v>
      </c>
      <c r="Y219" s="880">
        <v>155</v>
      </c>
      <c r="Z219" s="881">
        <v>0.39579053442806922</v>
      </c>
      <c r="AA219" s="880">
        <v>79.358078866685631</v>
      </c>
      <c r="AB219" s="880">
        <v>181</v>
      </c>
      <c r="AC219" s="881">
        <v>0.43844242467782119</v>
      </c>
      <c r="AD219" s="880">
        <v>93.914392522257828</v>
      </c>
      <c r="AE219" s="880">
        <v>276</v>
      </c>
      <c r="AF219" s="881">
        <v>0.34026953812412258</v>
      </c>
      <c r="AG219" s="880">
        <v>97.559175396370023</v>
      </c>
      <c r="AH219" s="880">
        <v>271</v>
      </c>
      <c r="AI219" s="881">
        <v>0.35999695718217722</v>
      </c>
    </row>
    <row r="220" spans="2:35" x14ac:dyDescent="0.2">
      <c r="B220" s="867">
        <v>78517000</v>
      </c>
      <c r="C220" s="876" t="s">
        <v>1447</v>
      </c>
      <c r="D220" s="877" t="s">
        <v>1447</v>
      </c>
      <c r="E220" s="877" t="s">
        <v>1447</v>
      </c>
      <c r="F220" s="877" t="s">
        <v>1447</v>
      </c>
      <c r="G220" s="877" t="s">
        <v>1447</v>
      </c>
      <c r="H220" s="877" t="s">
        <v>1447</v>
      </c>
      <c r="I220" s="877" t="s">
        <v>1447</v>
      </c>
      <c r="J220" s="878" t="s">
        <v>1447</v>
      </c>
      <c r="K220" s="877"/>
      <c r="L220" s="879">
        <v>112</v>
      </c>
      <c r="M220" s="880">
        <v>397</v>
      </c>
      <c r="N220" s="881">
        <v>0.28249999999999997</v>
      </c>
      <c r="O220" s="880">
        <v>128.22109311000833</v>
      </c>
      <c r="P220" s="880">
        <v>396</v>
      </c>
      <c r="Q220" s="881">
        <v>0.32379063916668771</v>
      </c>
      <c r="R220" s="880">
        <v>164.93200864578452</v>
      </c>
      <c r="S220" s="880">
        <v>400</v>
      </c>
      <c r="T220" s="881">
        <v>0.41233002161446131</v>
      </c>
      <c r="U220" s="880">
        <v>194.42723517978621</v>
      </c>
      <c r="V220" s="880">
        <v>414</v>
      </c>
      <c r="W220" s="881">
        <v>0.46963100284972514</v>
      </c>
      <c r="X220" s="880">
        <v>187.1619645854768</v>
      </c>
      <c r="Y220" s="880">
        <v>416</v>
      </c>
      <c r="Z220" s="881">
        <v>0.44990856871508844</v>
      </c>
      <c r="AA220" s="880">
        <v>193.90694165280257</v>
      </c>
      <c r="AB220" s="880">
        <v>432</v>
      </c>
      <c r="AC220" s="881">
        <v>0.44885866123333928</v>
      </c>
      <c r="AD220" s="880">
        <v>188.06669598622804</v>
      </c>
      <c r="AE220" s="880">
        <v>408</v>
      </c>
      <c r="AF220" s="881">
        <v>0.46094778427997068</v>
      </c>
      <c r="AG220" s="880">
        <v>134.14601486037492</v>
      </c>
      <c r="AH220" s="880">
        <v>337</v>
      </c>
      <c r="AI220" s="881">
        <v>0.3980593912770769</v>
      </c>
    </row>
    <row r="221" spans="2:35" x14ac:dyDescent="0.2">
      <c r="B221" s="867">
        <v>78518000</v>
      </c>
      <c r="C221" s="876" t="s">
        <v>1448</v>
      </c>
      <c r="D221" s="877" t="s">
        <v>1448</v>
      </c>
      <c r="E221" s="877" t="s">
        <v>1448</v>
      </c>
      <c r="F221" s="877" t="s">
        <v>1447</v>
      </c>
      <c r="G221" s="877" t="s">
        <v>1447</v>
      </c>
      <c r="H221" s="877" t="s">
        <v>1447</v>
      </c>
      <c r="I221" s="877" t="s">
        <v>1447</v>
      </c>
      <c r="J221" s="878" t="s">
        <v>1447</v>
      </c>
      <c r="K221" s="877"/>
      <c r="L221" s="879" t="s">
        <v>1450</v>
      </c>
      <c r="M221" s="880" t="s">
        <v>1450</v>
      </c>
      <c r="N221" s="881" t="s">
        <v>1450</v>
      </c>
      <c r="O221" s="880" t="s">
        <v>1450</v>
      </c>
      <c r="P221" s="880" t="s">
        <v>1450</v>
      </c>
      <c r="Q221" s="881" t="s">
        <v>1450</v>
      </c>
      <c r="R221" s="880" t="s">
        <v>1450</v>
      </c>
      <c r="S221" s="880" t="s">
        <v>1450</v>
      </c>
      <c r="T221" s="881" t="s">
        <v>1450</v>
      </c>
      <c r="U221" s="880">
        <v>506.57616618075804</v>
      </c>
      <c r="V221" s="880">
        <v>2635</v>
      </c>
      <c r="W221" s="881">
        <v>0.19224901942343758</v>
      </c>
      <c r="X221" s="880">
        <v>308.29734721996596</v>
      </c>
      <c r="Y221" s="880">
        <v>2032</v>
      </c>
      <c r="Z221" s="881">
        <v>0.15172113544289664</v>
      </c>
      <c r="AA221" s="880">
        <v>243.01980017217002</v>
      </c>
      <c r="AB221" s="880">
        <v>1162</v>
      </c>
      <c r="AC221" s="881">
        <v>0.2091392428331928</v>
      </c>
      <c r="AD221" s="880">
        <v>183.81347414065723</v>
      </c>
      <c r="AE221" s="880">
        <v>1154</v>
      </c>
      <c r="AF221" s="881">
        <v>0.15928377308549155</v>
      </c>
      <c r="AG221" s="880">
        <v>204.06471718278721</v>
      </c>
      <c r="AH221" s="880">
        <v>1194</v>
      </c>
      <c r="AI221" s="881">
        <v>0.1709084733524181</v>
      </c>
    </row>
    <row r="222" spans="2:35" x14ac:dyDescent="0.2">
      <c r="B222" s="867">
        <v>78519000</v>
      </c>
      <c r="C222" s="876" t="s">
        <v>1447</v>
      </c>
      <c r="D222" s="877" t="s">
        <v>1447</v>
      </c>
      <c r="E222" s="877" t="s">
        <v>1447</v>
      </c>
      <c r="F222" s="877" t="s">
        <v>1447</v>
      </c>
      <c r="G222" s="877" t="s">
        <v>1447</v>
      </c>
      <c r="H222" s="877" t="s">
        <v>1447</v>
      </c>
      <c r="I222" s="877" t="s">
        <v>1447</v>
      </c>
      <c r="J222" s="878" t="s">
        <v>1447</v>
      </c>
      <c r="K222" s="877"/>
      <c r="L222" s="879">
        <v>65</v>
      </c>
      <c r="M222" s="880">
        <v>165</v>
      </c>
      <c r="N222" s="881">
        <v>0.39389999999999997</v>
      </c>
      <c r="O222" s="880">
        <v>139.67727325042145</v>
      </c>
      <c r="P222" s="880">
        <v>364</v>
      </c>
      <c r="Q222" s="881">
        <v>0.38372877266599298</v>
      </c>
      <c r="R222" s="880">
        <v>209.77756990898877</v>
      </c>
      <c r="S222" s="880">
        <v>469</v>
      </c>
      <c r="T222" s="881">
        <v>0.44728692944347287</v>
      </c>
      <c r="U222" s="880">
        <v>166.19533527696794</v>
      </c>
      <c r="V222" s="880">
        <v>523</v>
      </c>
      <c r="W222" s="881">
        <v>0.31777310760414518</v>
      </c>
      <c r="X222" s="880">
        <v>206.39805539009527</v>
      </c>
      <c r="Y222" s="880">
        <v>538</v>
      </c>
      <c r="Z222" s="881">
        <v>0.3836395081600284</v>
      </c>
      <c r="AA222" s="880">
        <v>270.4781487259263</v>
      </c>
      <c r="AB222" s="880">
        <v>531</v>
      </c>
      <c r="AC222" s="881">
        <v>0.50937504468159378</v>
      </c>
      <c r="AD222" s="880">
        <v>212.15153171198477</v>
      </c>
      <c r="AE222" s="880">
        <v>487</v>
      </c>
      <c r="AF222" s="881">
        <v>0.43562942856670384</v>
      </c>
      <c r="AG222" s="880">
        <v>189.09143054119266</v>
      </c>
      <c r="AH222" s="880">
        <v>449</v>
      </c>
      <c r="AI222" s="881">
        <v>0.42113904352158721</v>
      </c>
    </row>
    <row r="223" spans="2:35" x14ac:dyDescent="0.2">
      <c r="B223" s="867">
        <v>78520000</v>
      </c>
      <c r="C223" s="876" t="s">
        <v>1447</v>
      </c>
      <c r="D223" s="877" t="s">
        <v>1447</v>
      </c>
      <c r="E223" s="877" t="s">
        <v>1447</v>
      </c>
      <c r="F223" s="877" t="s">
        <v>1447</v>
      </c>
      <c r="G223" s="877" t="s">
        <v>1447</v>
      </c>
      <c r="H223" s="877" t="s">
        <v>1447</v>
      </c>
      <c r="I223" s="877" t="s">
        <v>1447</v>
      </c>
      <c r="J223" s="878" t="s">
        <v>1447</v>
      </c>
      <c r="K223" s="877"/>
      <c r="L223" s="879">
        <v>200</v>
      </c>
      <c r="M223" s="880">
        <v>479</v>
      </c>
      <c r="N223" s="881">
        <v>0.41770000000000002</v>
      </c>
      <c r="O223" s="880">
        <v>204.44875327506483</v>
      </c>
      <c r="P223" s="880">
        <v>561</v>
      </c>
      <c r="Q223" s="881">
        <v>0.36443628034770914</v>
      </c>
      <c r="R223" s="880">
        <v>236.18662265287571</v>
      </c>
      <c r="S223" s="880">
        <v>652</v>
      </c>
      <c r="T223" s="881">
        <v>0.36224942124674187</v>
      </c>
      <c r="U223" s="880">
        <v>316.41034985422738</v>
      </c>
      <c r="V223" s="880">
        <v>752</v>
      </c>
      <c r="W223" s="881">
        <v>0.4207584439550896</v>
      </c>
      <c r="X223" s="880">
        <v>340.53079667635365</v>
      </c>
      <c r="Y223" s="880">
        <v>765</v>
      </c>
      <c r="Z223" s="881">
        <v>0.44513829630895901</v>
      </c>
      <c r="AA223" s="880">
        <v>434.63800273881031</v>
      </c>
      <c r="AB223" s="880">
        <v>822</v>
      </c>
      <c r="AC223" s="881">
        <v>0.52875669432945294</v>
      </c>
      <c r="AD223" s="880">
        <v>385.86981492542157</v>
      </c>
      <c r="AE223" s="880">
        <v>819</v>
      </c>
      <c r="AF223" s="881">
        <v>0.47114751517145492</v>
      </c>
      <c r="AG223" s="880">
        <v>365.31276371570732</v>
      </c>
      <c r="AH223" s="880">
        <v>802</v>
      </c>
      <c r="AI223" s="881">
        <v>0.45550219914676721</v>
      </c>
    </row>
    <row r="224" spans="2:35" x14ac:dyDescent="0.2">
      <c r="B224" s="867">
        <v>78521000</v>
      </c>
      <c r="C224" s="876" t="s">
        <v>1447</v>
      </c>
      <c r="D224" s="877" t="s">
        <v>1447</v>
      </c>
      <c r="E224" s="877" t="s">
        <v>1447</v>
      </c>
      <c r="F224" s="877" t="s">
        <v>1447</v>
      </c>
      <c r="G224" s="877" t="s">
        <v>1447</v>
      </c>
      <c r="H224" s="877" t="s">
        <v>1447</v>
      </c>
      <c r="I224" s="877" t="s">
        <v>1447</v>
      </c>
      <c r="J224" s="878" t="s">
        <v>1447</v>
      </c>
      <c r="K224" s="877"/>
      <c r="L224" s="879">
        <v>11</v>
      </c>
      <c r="M224" s="880">
        <v>71</v>
      </c>
      <c r="N224" s="881">
        <v>0.15459999999999999</v>
      </c>
      <c r="O224" s="880">
        <v>14.5405363320628</v>
      </c>
      <c r="P224" s="880">
        <v>69</v>
      </c>
      <c r="Q224" s="881">
        <v>0.21073241060960579</v>
      </c>
      <c r="R224" s="880">
        <v>19.931360561424111</v>
      </c>
      <c r="S224" s="880">
        <v>75</v>
      </c>
      <c r="T224" s="881">
        <v>0.26575147415232148</v>
      </c>
      <c r="U224" s="880">
        <v>18.643707482993197</v>
      </c>
      <c r="V224" s="880">
        <v>64</v>
      </c>
      <c r="W224" s="881">
        <v>0.2913079294217687</v>
      </c>
      <c r="X224" s="880">
        <v>21.315668188901526</v>
      </c>
      <c r="Y224" s="880">
        <v>82</v>
      </c>
      <c r="Z224" s="881">
        <v>0.25994717303538445</v>
      </c>
      <c r="AA224" s="880">
        <v>34.15406358657318</v>
      </c>
      <c r="AB224" s="880">
        <v>105</v>
      </c>
      <c r="AC224" s="881">
        <v>0.32527679606260174</v>
      </c>
      <c r="AD224" s="880">
        <v>38.433248498547961</v>
      </c>
      <c r="AE224" s="880">
        <v>131</v>
      </c>
      <c r="AF224" s="881">
        <v>0.29338357632479362</v>
      </c>
      <c r="AG224" s="880">
        <v>33.165250906439553</v>
      </c>
      <c r="AH224" s="880">
        <v>134</v>
      </c>
      <c r="AI224" s="881">
        <v>0.24750187243611607</v>
      </c>
    </row>
    <row r="225" spans="2:35" x14ac:dyDescent="0.2">
      <c r="B225" s="867">
        <v>78522000</v>
      </c>
      <c r="C225" s="876" t="s">
        <v>1448</v>
      </c>
      <c r="D225" s="877" t="s">
        <v>1448</v>
      </c>
      <c r="E225" s="877" t="s">
        <v>1448</v>
      </c>
      <c r="F225" s="877" t="s">
        <v>1447</v>
      </c>
      <c r="G225" s="877" t="s">
        <v>1447</v>
      </c>
      <c r="H225" s="877" t="s">
        <v>1447</v>
      </c>
      <c r="I225" s="877" t="s">
        <v>1447</v>
      </c>
      <c r="J225" s="878" t="s">
        <v>1448</v>
      </c>
      <c r="K225" s="877"/>
      <c r="L225" s="879">
        <v>12</v>
      </c>
      <c r="M225" s="880">
        <v>291</v>
      </c>
      <c r="N225" s="881">
        <v>3.9800000000000002E-2</v>
      </c>
      <c r="O225" s="880">
        <v>22.912360280826231</v>
      </c>
      <c r="P225" s="880">
        <v>186</v>
      </c>
      <c r="Q225" s="881">
        <v>0.12318473269261415</v>
      </c>
      <c r="R225" s="880">
        <v>23.91763267370893</v>
      </c>
      <c r="S225" s="880">
        <v>178</v>
      </c>
      <c r="T225" s="881">
        <v>0.13436872288600521</v>
      </c>
      <c r="U225" s="880">
        <v>30.895286686103013</v>
      </c>
      <c r="V225" s="880">
        <v>180</v>
      </c>
      <c r="W225" s="881">
        <v>0.17164048158946119</v>
      </c>
      <c r="X225" s="880">
        <v>53.02922329921843</v>
      </c>
      <c r="Y225" s="880">
        <v>268</v>
      </c>
      <c r="Z225" s="881">
        <v>0.19787023619111355</v>
      </c>
      <c r="AA225" s="880">
        <v>63.350279233159931</v>
      </c>
      <c r="AB225" s="880">
        <v>290</v>
      </c>
      <c r="AC225" s="881">
        <v>0.21844923873503425</v>
      </c>
      <c r="AD225" s="880">
        <v>55.343877837909069</v>
      </c>
      <c r="AE225" s="880">
        <v>308</v>
      </c>
      <c r="AF225" s="881">
        <v>0.17968791505814632</v>
      </c>
      <c r="AG225" s="880">
        <v>51.975393211584375</v>
      </c>
      <c r="AH225" s="880">
        <v>363</v>
      </c>
      <c r="AI225" s="881">
        <v>0.14318290140932335</v>
      </c>
    </row>
    <row r="226" spans="2:35" x14ac:dyDescent="0.2">
      <c r="B226" s="867">
        <v>78523000</v>
      </c>
      <c r="C226" s="876" t="s">
        <v>1447</v>
      </c>
      <c r="D226" s="877" t="s">
        <v>1447</v>
      </c>
      <c r="E226" s="877" t="s">
        <v>1447</v>
      </c>
      <c r="F226" s="877" t="s">
        <v>1447</v>
      </c>
      <c r="G226" s="877" t="s">
        <v>1447</v>
      </c>
      <c r="H226" s="877" t="s">
        <v>1447</v>
      </c>
      <c r="I226" s="877" t="s">
        <v>1447</v>
      </c>
      <c r="J226" s="878" t="s">
        <v>1447</v>
      </c>
      <c r="K226" s="877"/>
      <c r="L226" s="879">
        <v>67</v>
      </c>
      <c r="M226" s="880">
        <v>231</v>
      </c>
      <c r="N226" s="881">
        <v>0.28860000000000002</v>
      </c>
      <c r="O226" s="880">
        <v>57.72152301515839</v>
      </c>
      <c r="P226" s="880">
        <v>291</v>
      </c>
      <c r="Q226" s="881">
        <v>0.19835574919298415</v>
      </c>
      <c r="R226" s="880">
        <v>133.54011576154153</v>
      </c>
      <c r="S226" s="880">
        <v>369</v>
      </c>
      <c r="T226" s="881">
        <v>0.36189733268710439</v>
      </c>
      <c r="U226" s="880">
        <v>96.947278911564624</v>
      </c>
      <c r="V226" s="880">
        <v>315</v>
      </c>
      <c r="W226" s="881">
        <v>0.30776913940179246</v>
      </c>
      <c r="X226" s="880">
        <v>96.180454023092253</v>
      </c>
      <c r="Y226" s="880">
        <v>272</v>
      </c>
      <c r="Z226" s="881">
        <v>0.35360461037901564</v>
      </c>
      <c r="AA226" s="880">
        <v>115.68311859968334</v>
      </c>
      <c r="AB226" s="880">
        <v>285</v>
      </c>
      <c r="AC226" s="881">
        <v>0.4059056792971345</v>
      </c>
      <c r="AD226" s="880">
        <v>142.97168441459843</v>
      </c>
      <c r="AE226" s="880">
        <v>280</v>
      </c>
      <c r="AF226" s="881">
        <v>0.51061315862356582</v>
      </c>
      <c r="AG226" s="880">
        <v>88.605670332129549</v>
      </c>
      <c r="AH226" s="880">
        <v>243</v>
      </c>
      <c r="AI226" s="881">
        <v>0.36463238819806398</v>
      </c>
    </row>
    <row r="227" spans="2:35" x14ac:dyDescent="0.2">
      <c r="B227" s="867">
        <v>78524000</v>
      </c>
      <c r="C227" s="876" t="s">
        <v>1447</v>
      </c>
      <c r="D227" s="877" t="s">
        <v>1447</v>
      </c>
      <c r="E227" s="877" t="s">
        <v>1447</v>
      </c>
      <c r="F227" s="877" t="s">
        <v>1447</v>
      </c>
      <c r="G227" s="877" t="s">
        <v>1447</v>
      </c>
      <c r="H227" s="877" t="s">
        <v>1447</v>
      </c>
      <c r="I227" s="877" t="s">
        <v>1447</v>
      </c>
      <c r="J227" s="878" t="s">
        <v>1447</v>
      </c>
      <c r="K227" s="877"/>
      <c r="L227" s="879">
        <v>139</v>
      </c>
      <c r="M227" s="880">
        <v>703</v>
      </c>
      <c r="N227" s="881">
        <v>0.19789999999999999</v>
      </c>
      <c r="O227" s="880">
        <v>176.24892523712487</v>
      </c>
      <c r="P227" s="880">
        <v>543</v>
      </c>
      <c r="Q227" s="881">
        <v>0.32458365605363693</v>
      </c>
      <c r="R227" s="880">
        <v>217.25183011952279</v>
      </c>
      <c r="S227" s="880">
        <v>693</v>
      </c>
      <c r="T227" s="881">
        <v>0.31349470435717575</v>
      </c>
      <c r="U227" s="880">
        <v>305.75680272108843</v>
      </c>
      <c r="V227" s="880">
        <v>648</v>
      </c>
      <c r="W227" s="881">
        <v>0.47184691777945748</v>
      </c>
      <c r="X227" s="880">
        <v>253.18854653646446</v>
      </c>
      <c r="Y227" s="880">
        <v>582</v>
      </c>
      <c r="Z227" s="881">
        <v>0.43503186690114171</v>
      </c>
      <c r="AA227" s="880">
        <v>227.51013324604392</v>
      </c>
      <c r="AB227" s="880">
        <v>455</v>
      </c>
      <c r="AC227" s="881">
        <v>0.50002227087042617</v>
      </c>
      <c r="AD227" s="880">
        <v>174.74316984006475</v>
      </c>
      <c r="AE227" s="880">
        <v>389</v>
      </c>
      <c r="AF227" s="881">
        <v>0.44921123352201736</v>
      </c>
      <c r="AG227" s="880">
        <v>161.86622457321991</v>
      </c>
      <c r="AH227" s="880">
        <v>459</v>
      </c>
      <c r="AI227" s="881">
        <v>0.35264972673904121</v>
      </c>
    </row>
    <row r="228" spans="2:35" x14ac:dyDescent="0.2">
      <c r="B228" s="867">
        <v>78525000</v>
      </c>
      <c r="C228" s="876" t="s">
        <v>1448</v>
      </c>
      <c r="D228" s="877" t="s">
        <v>1448</v>
      </c>
      <c r="E228" s="877" t="s">
        <v>1448</v>
      </c>
      <c r="F228" s="877" t="s">
        <v>1448</v>
      </c>
      <c r="G228" s="877" t="s">
        <v>1448</v>
      </c>
      <c r="H228" s="877" t="s">
        <v>1448</v>
      </c>
      <c r="I228" s="877" t="s">
        <v>1448</v>
      </c>
      <c r="J228" s="878" t="s">
        <v>1448</v>
      </c>
      <c r="K228" s="877"/>
      <c r="L228" s="879" t="s">
        <v>1450</v>
      </c>
      <c r="M228" s="880" t="s">
        <v>1450</v>
      </c>
      <c r="N228" s="881" t="s">
        <v>1450</v>
      </c>
      <c r="O228" s="880" t="s">
        <v>1450</v>
      </c>
      <c r="P228" s="880" t="s">
        <v>1450</v>
      </c>
      <c r="Q228" s="881" t="s">
        <v>1450</v>
      </c>
      <c r="R228" s="880" t="s">
        <v>1450</v>
      </c>
      <c r="S228" s="880" t="s">
        <v>1450</v>
      </c>
      <c r="T228" s="881" t="s">
        <v>1450</v>
      </c>
      <c r="U228" s="880">
        <v>0</v>
      </c>
      <c r="V228" s="880">
        <v>413</v>
      </c>
      <c r="W228" s="881">
        <v>0</v>
      </c>
      <c r="X228" s="880">
        <v>0</v>
      </c>
      <c r="Y228" s="880">
        <v>502</v>
      </c>
      <c r="Z228" s="881">
        <v>0</v>
      </c>
      <c r="AA228" s="880" t="s">
        <v>1450</v>
      </c>
      <c r="AB228" s="880" t="s">
        <v>1450</v>
      </c>
      <c r="AC228" s="881" t="s">
        <v>1450</v>
      </c>
      <c r="AD228" s="880" t="s">
        <v>1450</v>
      </c>
      <c r="AE228" s="880" t="s">
        <v>1450</v>
      </c>
      <c r="AF228" s="881" t="s">
        <v>1450</v>
      </c>
      <c r="AG228" s="880" t="s">
        <v>1450</v>
      </c>
      <c r="AH228" s="880" t="s">
        <v>1450</v>
      </c>
      <c r="AI228" s="881" t="s">
        <v>1450</v>
      </c>
    </row>
    <row r="229" spans="2:35" x14ac:dyDescent="0.2">
      <c r="B229" s="867">
        <v>78527000</v>
      </c>
      <c r="C229" s="876" t="s">
        <v>1448</v>
      </c>
      <c r="D229" s="877" t="s">
        <v>1448</v>
      </c>
      <c r="E229" s="877" t="s">
        <v>1448</v>
      </c>
      <c r="F229" s="877" t="s">
        <v>1448</v>
      </c>
      <c r="G229" s="877" t="s">
        <v>1448</v>
      </c>
      <c r="H229" s="877" t="s">
        <v>1448</v>
      </c>
      <c r="I229" s="877" t="s">
        <v>1448</v>
      </c>
      <c r="J229" s="878" t="s">
        <v>1448</v>
      </c>
      <c r="K229" s="877"/>
      <c r="L229" s="879">
        <v>0</v>
      </c>
      <c r="M229" s="880">
        <v>203</v>
      </c>
      <c r="N229" s="881">
        <v>0</v>
      </c>
      <c r="O229" s="880">
        <v>0.88124462618562427</v>
      </c>
      <c r="P229" s="880">
        <v>283</v>
      </c>
      <c r="Q229" s="881">
        <v>3.1139386084297676E-3</v>
      </c>
      <c r="R229" s="880">
        <v>0</v>
      </c>
      <c r="S229" s="880">
        <v>323</v>
      </c>
      <c r="T229" s="881">
        <v>0</v>
      </c>
      <c r="U229" s="880">
        <v>0</v>
      </c>
      <c r="V229" s="880">
        <v>348</v>
      </c>
      <c r="W229" s="881">
        <v>0</v>
      </c>
      <c r="X229" s="880">
        <v>0</v>
      </c>
      <c r="Y229" s="880">
        <v>399</v>
      </c>
      <c r="Z229" s="881">
        <v>0</v>
      </c>
      <c r="AA229" s="880" t="s">
        <v>1450</v>
      </c>
      <c r="AB229" s="880" t="s">
        <v>1450</v>
      </c>
      <c r="AC229" s="881" t="s">
        <v>1450</v>
      </c>
      <c r="AD229" s="880" t="s">
        <v>1450</v>
      </c>
      <c r="AE229" s="880" t="s">
        <v>1450</v>
      </c>
      <c r="AF229" s="881" t="s">
        <v>1450</v>
      </c>
      <c r="AG229" s="880" t="s">
        <v>1450</v>
      </c>
      <c r="AH229" s="880" t="s">
        <v>1450</v>
      </c>
      <c r="AI229" s="881" t="s">
        <v>1450</v>
      </c>
    </row>
    <row r="230" spans="2:35" x14ac:dyDescent="0.2">
      <c r="B230" s="867">
        <v>78528000</v>
      </c>
      <c r="C230" s="876" t="s">
        <v>1448</v>
      </c>
      <c r="D230" s="877" t="s">
        <v>1448</v>
      </c>
      <c r="E230" s="877" t="s">
        <v>1448</v>
      </c>
      <c r="F230" s="877" t="s">
        <v>1448</v>
      </c>
      <c r="G230" s="877" t="s">
        <v>1448</v>
      </c>
      <c r="H230" s="877" t="s">
        <v>1448</v>
      </c>
      <c r="I230" s="877" t="s">
        <v>1448</v>
      </c>
      <c r="J230" s="878" t="s">
        <v>1448</v>
      </c>
      <c r="K230" s="877"/>
      <c r="L230" s="879">
        <v>2</v>
      </c>
      <c r="M230" s="880">
        <v>199</v>
      </c>
      <c r="N230" s="881">
        <v>1.11E-2</v>
      </c>
      <c r="O230" s="880">
        <v>29.0810726641256</v>
      </c>
      <c r="P230" s="880">
        <v>355</v>
      </c>
      <c r="Q230" s="881">
        <v>8.1918514546832674E-2</v>
      </c>
      <c r="R230" s="880">
        <v>22.422780631602123</v>
      </c>
      <c r="S230" s="880">
        <v>395</v>
      </c>
      <c r="T230" s="881">
        <v>5.6766533244562337E-2</v>
      </c>
      <c r="U230" s="880">
        <v>41.548833819241985</v>
      </c>
      <c r="V230" s="880">
        <v>377</v>
      </c>
      <c r="W230" s="881">
        <v>0.11020910827385141</v>
      </c>
      <c r="X230" s="880">
        <v>24.435034265326138</v>
      </c>
      <c r="Y230" s="880">
        <v>406</v>
      </c>
      <c r="Z230" s="881">
        <v>6.0184813461394426E-2</v>
      </c>
      <c r="AA230" s="880" t="s">
        <v>1450</v>
      </c>
      <c r="AB230" s="880" t="s">
        <v>1450</v>
      </c>
      <c r="AC230" s="881" t="s">
        <v>1450</v>
      </c>
      <c r="AD230" s="880" t="s">
        <v>1450</v>
      </c>
      <c r="AE230" s="880" t="s">
        <v>1450</v>
      </c>
      <c r="AF230" s="881" t="s">
        <v>1450</v>
      </c>
      <c r="AG230" s="880" t="s">
        <v>1450</v>
      </c>
      <c r="AH230" s="880" t="s">
        <v>1450</v>
      </c>
      <c r="AI230" s="881" t="s">
        <v>1450</v>
      </c>
    </row>
    <row r="231" spans="2:35" x14ac:dyDescent="0.2">
      <c r="B231" s="867">
        <v>78529000</v>
      </c>
      <c r="C231" s="876" t="s">
        <v>1448</v>
      </c>
      <c r="D231" s="877" t="s">
        <v>1448</v>
      </c>
      <c r="E231" s="877" t="s">
        <v>1448</v>
      </c>
      <c r="F231" s="877" t="s">
        <v>1448</v>
      </c>
      <c r="G231" s="877" t="s">
        <v>1448</v>
      </c>
      <c r="H231" s="877" t="s">
        <v>1448</v>
      </c>
      <c r="I231" s="877" t="s">
        <v>1448</v>
      </c>
      <c r="J231" s="878" t="s">
        <v>1448</v>
      </c>
      <c r="K231" s="877"/>
      <c r="L231" s="879">
        <v>0</v>
      </c>
      <c r="M231" s="880">
        <v>23</v>
      </c>
      <c r="N231" s="881">
        <v>0</v>
      </c>
      <c r="O231" s="880">
        <v>0</v>
      </c>
      <c r="P231" s="880">
        <v>40</v>
      </c>
      <c r="Q231" s="881">
        <v>0</v>
      </c>
      <c r="R231" s="880">
        <v>0</v>
      </c>
      <c r="S231" s="880">
        <v>46</v>
      </c>
      <c r="T231" s="881">
        <v>0</v>
      </c>
      <c r="U231" s="880">
        <v>0</v>
      </c>
      <c r="V231" s="880">
        <v>39</v>
      </c>
      <c r="W231" s="881">
        <v>0</v>
      </c>
      <c r="X231" s="880">
        <v>0</v>
      </c>
      <c r="Y231" s="880">
        <v>43</v>
      </c>
      <c r="Z231" s="881">
        <v>0</v>
      </c>
      <c r="AA231" s="880" t="s">
        <v>1450</v>
      </c>
      <c r="AB231" s="880" t="s">
        <v>1450</v>
      </c>
      <c r="AC231" s="881" t="s">
        <v>1450</v>
      </c>
      <c r="AD231" s="880" t="s">
        <v>1450</v>
      </c>
      <c r="AE231" s="880" t="s">
        <v>1450</v>
      </c>
      <c r="AF231" s="881" t="s">
        <v>1450</v>
      </c>
      <c r="AG231" s="880" t="s">
        <v>1450</v>
      </c>
      <c r="AH231" s="880" t="s">
        <v>1450</v>
      </c>
      <c r="AI231" s="881" t="s">
        <v>1450</v>
      </c>
    </row>
    <row r="232" spans="2:35" x14ac:dyDescent="0.2">
      <c r="B232" s="867">
        <v>78530000</v>
      </c>
      <c r="C232" s="876" t="s">
        <v>1447</v>
      </c>
      <c r="D232" s="877" t="s">
        <v>1447</v>
      </c>
      <c r="E232" s="877" t="s">
        <v>1447</v>
      </c>
      <c r="F232" s="877" t="s">
        <v>1447</v>
      </c>
      <c r="G232" s="877" t="s">
        <v>1447</v>
      </c>
      <c r="H232" s="877" t="s">
        <v>1448</v>
      </c>
      <c r="I232" s="877" t="s">
        <v>1448</v>
      </c>
      <c r="J232" s="878" t="s">
        <v>1448</v>
      </c>
      <c r="K232" s="877"/>
      <c r="L232" s="879">
        <v>14</v>
      </c>
      <c r="M232" s="880">
        <v>29</v>
      </c>
      <c r="N232" s="881">
        <v>0.50680000000000003</v>
      </c>
      <c r="O232" s="880">
        <v>21.590493341547795</v>
      </c>
      <c r="P232" s="880">
        <v>52</v>
      </c>
      <c r="Q232" s="881">
        <v>0.41520179502976529</v>
      </c>
      <c r="R232" s="880">
        <v>54.312957529880698</v>
      </c>
      <c r="S232" s="880">
        <v>127</v>
      </c>
      <c r="T232" s="881">
        <v>0.42766108291244642</v>
      </c>
      <c r="U232" s="880">
        <v>61.790573372206026</v>
      </c>
      <c r="V232" s="880">
        <v>154</v>
      </c>
      <c r="W232" s="881">
        <v>0.40123748942990928</v>
      </c>
      <c r="X232" s="880">
        <v>40.551758993519975</v>
      </c>
      <c r="Y232" s="880">
        <v>96</v>
      </c>
      <c r="Z232" s="881">
        <v>0.42241415618249972</v>
      </c>
      <c r="AA232" s="880" t="s">
        <v>1450</v>
      </c>
      <c r="AB232" s="880" t="s">
        <v>1450</v>
      </c>
      <c r="AC232" s="881" t="s">
        <v>1450</v>
      </c>
      <c r="AD232" s="880" t="s">
        <v>1450</v>
      </c>
      <c r="AE232" s="880" t="s">
        <v>1450</v>
      </c>
      <c r="AF232" s="881" t="s">
        <v>1450</v>
      </c>
      <c r="AG232" s="880" t="s">
        <v>1450</v>
      </c>
      <c r="AH232" s="880" t="s">
        <v>1450</v>
      </c>
      <c r="AI232" s="881" t="s">
        <v>1450</v>
      </c>
    </row>
    <row r="233" spans="2:35" x14ac:dyDescent="0.2">
      <c r="B233" s="867">
        <v>78531000</v>
      </c>
      <c r="C233" s="876" t="s">
        <v>1448</v>
      </c>
      <c r="D233" s="877" t="s">
        <v>1448</v>
      </c>
      <c r="E233" s="877" t="s">
        <v>1447</v>
      </c>
      <c r="F233" s="877" t="s">
        <v>1447</v>
      </c>
      <c r="G233" s="877" t="s">
        <v>1447</v>
      </c>
      <c r="H233" s="877" t="s">
        <v>1447</v>
      </c>
      <c r="I233" s="877" t="s">
        <v>1447</v>
      </c>
      <c r="J233" s="878" t="s">
        <v>1447</v>
      </c>
      <c r="K233" s="877"/>
      <c r="L233" s="879" t="s">
        <v>1450</v>
      </c>
      <c r="M233" s="880" t="s">
        <v>1450</v>
      </c>
      <c r="N233" s="881" t="s">
        <v>1450</v>
      </c>
      <c r="O233" s="880" t="s">
        <v>1450</v>
      </c>
      <c r="P233" s="880" t="s">
        <v>1450</v>
      </c>
      <c r="Q233" s="881" t="s">
        <v>1450</v>
      </c>
      <c r="R233" s="880">
        <v>61.288933726379135</v>
      </c>
      <c r="S233" s="880">
        <v>157</v>
      </c>
      <c r="T233" s="881">
        <v>0.39037537405337031</v>
      </c>
      <c r="U233" s="880">
        <v>48.473639455782312</v>
      </c>
      <c r="V233" s="880">
        <v>129</v>
      </c>
      <c r="W233" s="881">
        <v>0.37576464694404893</v>
      </c>
      <c r="X233" s="880">
        <v>62.387321528492265</v>
      </c>
      <c r="Y233" s="880">
        <v>152</v>
      </c>
      <c r="Z233" s="881">
        <v>0.41044290479271228</v>
      </c>
      <c r="AA233" s="880">
        <v>77.122079066455569</v>
      </c>
      <c r="AB233" s="880">
        <v>140</v>
      </c>
      <c r="AC233" s="881">
        <v>0.55087199333182546</v>
      </c>
      <c r="AD233" s="880">
        <v>75.84161037046799</v>
      </c>
      <c r="AE233" s="880">
        <v>168</v>
      </c>
      <c r="AF233" s="881">
        <v>0.45143815696707135</v>
      </c>
      <c r="AG233" s="880">
        <v>75.735572965451524</v>
      </c>
      <c r="AH233" s="880">
        <v>174</v>
      </c>
      <c r="AI233" s="881">
        <v>0.43526191359454897</v>
      </c>
    </row>
    <row r="234" spans="2:35" x14ac:dyDescent="0.2">
      <c r="B234" s="867">
        <v>78532000</v>
      </c>
      <c r="C234" s="876" t="s">
        <v>1447</v>
      </c>
      <c r="D234" s="877" t="s">
        <v>1447</v>
      </c>
      <c r="E234" s="877" t="s">
        <v>1447</v>
      </c>
      <c r="F234" s="877" t="s">
        <v>1447</v>
      </c>
      <c r="G234" s="877" t="s">
        <v>1447</v>
      </c>
      <c r="H234" s="877" t="s">
        <v>1447</v>
      </c>
      <c r="I234" s="877" t="s">
        <v>1447</v>
      </c>
      <c r="J234" s="878" t="s">
        <v>1447</v>
      </c>
      <c r="K234" s="877"/>
      <c r="L234" s="879">
        <v>67</v>
      </c>
      <c r="M234" s="880">
        <v>187</v>
      </c>
      <c r="N234" s="881">
        <v>0.35809999999999997</v>
      </c>
      <c r="O234" s="880">
        <v>70.499570094849943</v>
      </c>
      <c r="P234" s="880">
        <v>198</v>
      </c>
      <c r="Q234" s="881">
        <v>0.35605843482247446</v>
      </c>
      <c r="R234" s="880">
        <v>69.261477950948787</v>
      </c>
      <c r="S234" s="880">
        <v>191</v>
      </c>
      <c r="T234" s="881">
        <v>0.36262553901020306</v>
      </c>
      <c r="U234" s="880">
        <v>88.957118561710402</v>
      </c>
      <c r="V234" s="880">
        <v>209</v>
      </c>
      <c r="W234" s="881">
        <v>0.42563214622827944</v>
      </c>
      <c r="X234" s="880">
        <v>112.29717875128608</v>
      </c>
      <c r="Y234" s="880">
        <v>239</v>
      </c>
      <c r="Z234" s="881">
        <v>0.46986267259952336</v>
      </c>
      <c r="AA234" s="880">
        <v>156.99851809957025</v>
      </c>
      <c r="AB234" s="880">
        <v>285</v>
      </c>
      <c r="AC234" s="881">
        <v>0.55087199333182546</v>
      </c>
      <c r="AD234" s="880">
        <v>149.12100417436611</v>
      </c>
      <c r="AE234" s="880">
        <v>316</v>
      </c>
      <c r="AF234" s="881">
        <v>0.47190191194419656</v>
      </c>
      <c r="AG234" s="880">
        <v>156.42118337962535</v>
      </c>
      <c r="AH234" s="880">
        <v>343</v>
      </c>
      <c r="AI234" s="881">
        <v>0.45603843550911177</v>
      </c>
    </row>
    <row r="235" spans="2:35" x14ac:dyDescent="0.2">
      <c r="B235" s="867">
        <v>78533000</v>
      </c>
      <c r="C235" s="876" t="s">
        <v>1448</v>
      </c>
      <c r="D235" s="877" t="s">
        <v>1448</v>
      </c>
      <c r="E235" s="877" t="s">
        <v>1448</v>
      </c>
      <c r="F235" s="877" t="s">
        <v>1448</v>
      </c>
      <c r="G235" s="877" t="s">
        <v>1448</v>
      </c>
      <c r="H235" s="877" t="s">
        <v>1448</v>
      </c>
      <c r="I235" s="877" t="s">
        <v>1448</v>
      </c>
      <c r="J235" s="878" t="s">
        <v>1448</v>
      </c>
      <c r="K235" s="877"/>
      <c r="L235" s="879">
        <v>0</v>
      </c>
      <c r="M235" s="880">
        <v>277</v>
      </c>
      <c r="N235" s="881">
        <v>0</v>
      </c>
      <c r="O235" s="880">
        <v>0</v>
      </c>
      <c r="P235" s="880">
        <v>386</v>
      </c>
      <c r="Q235" s="881">
        <v>0</v>
      </c>
      <c r="R235" s="880">
        <v>0</v>
      </c>
      <c r="S235" s="880">
        <v>433</v>
      </c>
      <c r="T235" s="881">
        <v>0</v>
      </c>
      <c r="U235" s="880">
        <v>0</v>
      </c>
      <c r="V235" s="880">
        <v>671</v>
      </c>
      <c r="W235" s="881">
        <v>0</v>
      </c>
      <c r="X235" s="880">
        <v>0</v>
      </c>
      <c r="Y235" s="880">
        <v>792</v>
      </c>
      <c r="Z235" s="881">
        <v>0</v>
      </c>
      <c r="AA235" s="880" t="s">
        <v>1450</v>
      </c>
      <c r="AB235" s="880" t="s">
        <v>1450</v>
      </c>
      <c r="AC235" s="881" t="s">
        <v>1450</v>
      </c>
      <c r="AD235" s="880" t="s">
        <v>1450</v>
      </c>
      <c r="AE235" s="880" t="s">
        <v>1450</v>
      </c>
      <c r="AF235" s="881" t="s">
        <v>1450</v>
      </c>
      <c r="AG235" s="880" t="s">
        <v>1450</v>
      </c>
      <c r="AH235" s="880" t="s">
        <v>1450</v>
      </c>
      <c r="AI235" s="881" t="s">
        <v>1450</v>
      </c>
    </row>
    <row r="236" spans="2:35" x14ac:dyDescent="0.2">
      <c r="B236" s="867">
        <v>78534000</v>
      </c>
      <c r="C236" s="876" t="s">
        <v>1448</v>
      </c>
      <c r="D236" s="877" t="s">
        <v>1448</v>
      </c>
      <c r="E236" s="877" t="s">
        <v>1448</v>
      </c>
      <c r="F236" s="877" t="s">
        <v>1448</v>
      </c>
      <c r="G236" s="877" t="s">
        <v>1448</v>
      </c>
      <c r="H236" s="877" t="s">
        <v>1448</v>
      </c>
      <c r="I236" s="877" t="s">
        <v>1448</v>
      </c>
      <c r="J236" s="878" t="s">
        <v>1448</v>
      </c>
      <c r="K236" s="877"/>
      <c r="L236" s="879">
        <v>13</v>
      </c>
      <c r="M236" s="880">
        <v>190</v>
      </c>
      <c r="N236" s="881">
        <v>6.6400000000000001E-2</v>
      </c>
      <c r="O236" s="880">
        <v>10.134313201134679</v>
      </c>
      <c r="P236" s="880">
        <v>411</v>
      </c>
      <c r="Q236" s="881">
        <v>2.465769635312574E-2</v>
      </c>
      <c r="R236" s="880">
        <v>0.99656802807120548</v>
      </c>
      <c r="S236" s="880">
        <v>452</v>
      </c>
      <c r="T236" s="881">
        <v>2.2047965222814279E-3</v>
      </c>
      <c r="U236" s="880">
        <v>3.1960641399416909</v>
      </c>
      <c r="V236" s="880">
        <v>437</v>
      </c>
      <c r="W236" s="881">
        <v>7.3136479174867068E-3</v>
      </c>
      <c r="X236" s="880">
        <v>0</v>
      </c>
      <c r="Y236" s="880">
        <v>477</v>
      </c>
      <c r="Z236" s="881">
        <v>0</v>
      </c>
      <c r="AA236" s="880" t="s">
        <v>1450</v>
      </c>
      <c r="AB236" s="880" t="s">
        <v>1450</v>
      </c>
      <c r="AC236" s="881" t="s">
        <v>1450</v>
      </c>
      <c r="AD236" s="880" t="s">
        <v>1450</v>
      </c>
      <c r="AE236" s="880" t="s">
        <v>1450</v>
      </c>
      <c r="AF236" s="881" t="s">
        <v>1450</v>
      </c>
      <c r="AG236" s="880" t="s">
        <v>1450</v>
      </c>
      <c r="AH236" s="880" t="s">
        <v>1450</v>
      </c>
      <c r="AI236" s="881" t="s">
        <v>1450</v>
      </c>
    </row>
    <row r="237" spans="2:35" x14ac:dyDescent="0.2">
      <c r="B237" s="867">
        <v>78535000</v>
      </c>
      <c r="C237" s="876" t="s">
        <v>1448</v>
      </c>
      <c r="D237" s="877" t="s">
        <v>1448</v>
      </c>
      <c r="E237" s="877" t="s">
        <v>1447</v>
      </c>
      <c r="F237" s="877" t="s">
        <v>1447</v>
      </c>
      <c r="G237" s="877" t="s">
        <v>1447</v>
      </c>
      <c r="H237" s="877" t="s">
        <v>1447</v>
      </c>
      <c r="I237" s="877" t="s">
        <v>1447</v>
      </c>
      <c r="J237" s="878" t="s">
        <v>1447</v>
      </c>
      <c r="K237" s="877"/>
      <c r="L237" s="879" t="s">
        <v>1450</v>
      </c>
      <c r="M237" s="880" t="s">
        <v>1450</v>
      </c>
      <c r="N237" s="881" t="s">
        <v>1450</v>
      </c>
      <c r="O237" s="880" t="s">
        <v>1450</v>
      </c>
      <c r="P237" s="880" t="s">
        <v>1450</v>
      </c>
      <c r="Q237" s="881" t="s">
        <v>1450</v>
      </c>
      <c r="R237" s="880">
        <v>128.55727562118551</v>
      </c>
      <c r="S237" s="880">
        <v>486</v>
      </c>
      <c r="T237" s="881">
        <v>0.26452114325346815</v>
      </c>
      <c r="U237" s="880">
        <v>183.24101068999028</v>
      </c>
      <c r="V237" s="880">
        <v>567</v>
      </c>
      <c r="W237" s="881">
        <v>0.32317638569663187</v>
      </c>
      <c r="X237" s="880">
        <v>180.4033380865568</v>
      </c>
      <c r="Y237" s="880">
        <v>568</v>
      </c>
      <c r="Z237" s="881">
        <v>0.31761151071576904</v>
      </c>
      <c r="AA237" s="880">
        <v>246.7906530126578</v>
      </c>
      <c r="AB237" s="880">
        <v>589</v>
      </c>
      <c r="AC237" s="881">
        <v>0.4189994108873647</v>
      </c>
      <c r="AD237" s="880">
        <v>209.5893151454149</v>
      </c>
      <c r="AE237" s="880">
        <v>553</v>
      </c>
      <c r="AF237" s="881">
        <v>0.37900418651973761</v>
      </c>
      <c r="AG237" s="880">
        <v>216.31663650916545</v>
      </c>
      <c r="AH237" s="880">
        <v>556</v>
      </c>
      <c r="AI237" s="881">
        <v>0.38905869875749183</v>
      </c>
    </row>
    <row r="238" spans="2:35" x14ac:dyDescent="0.2">
      <c r="B238" s="867">
        <v>78536000</v>
      </c>
      <c r="C238" s="876" t="s">
        <v>1448</v>
      </c>
      <c r="D238" s="877" t="s">
        <v>1448</v>
      </c>
      <c r="E238" s="877" t="s">
        <v>1447</v>
      </c>
      <c r="F238" s="877" t="s">
        <v>1447</v>
      </c>
      <c r="G238" s="877" t="s">
        <v>1447</v>
      </c>
      <c r="H238" s="877" t="s">
        <v>1447</v>
      </c>
      <c r="I238" s="877" t="s">
        <v>1447</v>
      </c>
      <c r="J238" s="878" t="s">
        <v>1447</v>
      </c>
      <c r="K238" s="877"/>
      <c r="L238" s="879" t="s">
        <v>1450</v>
      </c>
      <c r="M238" s="880" t="s">
        <v>1450</v>
      </c>
      <c r="N238" s="881" t="s">
        <v>1450</v>
      </c>
      <c r="O238" s="880" t="s">
        <v>1450</v>
      </c>
      <c r="P238" s="880" t="s">
        <v>1450</v>
      </c>
      <c r="Q238" s="881" t="s">
        <v>1450</v>
      </c>
      <c r="R238" s="880">
        <v>114.60532322818862</v>
      </c>
      <c r="S238" s="880">
        <v>529</v>
      </c>
      <c r="T238" s="881">
        <v>0.2166452234937403</v>
      </c>
      <c r="U238" s="880">
        <v>225.85519922254616</v>
      </c>
      <c r="V238" s="880">
        <v>679</v>
      </c>
      <c r="W238" s="881">
        <v>0.33262915938519316</v>
      </c>
      <c r="X238" s="880">
        <v>245.39013134540292</v>
      </c>
      <c r="Y238" s="880">
        <v>720</v>
      </c>
      <c r="Z238" s="881">
        <v>0.34081962686861517</v>
      </c>
      <c r="AA238" s="880">
        <v>295.81826041919027</v>
      </c>
      <c r="AB238" s="880">
        <v>751</v>
      </c>
      <c r="AC238" s="881">
        <v>0.39389914836110557</v>
      </c>
      <c r="AD238" s="880">
        <v>249.04745027059082</v>
      </c>
      <c r="AE238" s="880">
        <v>685</v>
      </c>
      <c r="AF238" s="881">
        <v>0.36357292010305231</v>
      </c>
      <c r="AG238" s="880">
        <v>288.09217951563909</v>
      </c>
      <c r="AH238" s="880">
        <v>728</v>
      </c>
      <c r="AI238" s="881">
        <v>0.39573101581818554</v>
      </c>
    </row>
    <row r="239" spans="2:35" x14ac:dyDescent="0.2">
      <c r="B239" s="867">
        <v>78537000</v>
      </c>
      <c r="C239" s="876" t="s">
        <v>1448</v>
      </c>
      <c r="D239" s="877" t="s">
        <v>1448</v>
      </c>
      <c r="E239" s="877" t="s">
        <v>1448</v>
      </c>
      <c r="F239" s="877" t="s">
        <v>1447</v>
      </c>
      <c r="G239" s="877" t="s">
        <v>1448</v>
      </c>
      <c r="H239" s="877" t="s">
        <v>1447</v>
      </c>
      <c r="I239" s="877" t="s">
        <v>1447</v>
      </c>
      <c r="J239" s="878" t="s">
        <v>1447</v>
      </c>
      <c r="K239" s="877"/>
      <c r="L239" s="879" t="s">
        <v>1450</v>
      </c>
      <c r="M239" s="880" t="s">
        <v>1450</v>
      </c>
      <c r="N239" s="881" t="s">
        <v>1450</v>
      </c>
      <c r="O239" s="880" t="s">
        <v>1450</v>
      </c>
      <c r="P239" s="880" t="s">
        <v>1450</v>
      </c>
      <c r="Q239" s="881" t="s">
        <v>1450</v>
      </c>
      <c r="R239" s="880">
        <v>15.945088449139288</v>
      </c>
      <c r="S239" s="880">
        <v>124</v>
      </c>
      <c r="T239" s="881">
        <v>0.12858942297692974</v>
      </c>
      <c r="U239" s="880">
        <v>22.905126336248784</v>
      </c>
      <c r="V239" s="880">
        <v>120</v>
      </c>
      <c r="W239" s="881">
        <v>0.1908760528020732</v>
      </c>
      <c r="X239" s="880">
        <v>11.957569959627685</v>
      </c>
      <c r="Y239" s="880">
        <v>92</v>
      </c>
      <c r="Z239" s="881">
        <v>0.12997358651769222</v>
      </c>
      <c r="AA239" s="880">
        <v>39.662783519891434</v>
      </c>
      <c r="AB239" s="880">
        <v>110</v>
      </c>
      <c r="AC239" s="881">
        <v>0.36057075927174032</v>
      </c>
      <c r="AD239" s="880">
        <v>51.756774644711257</v>
      </c>
      <c r="AE239" s="880">
        <v>163</v>
      </c>
      <c r="AF239" s="881">
        <v>0.31752622481417947</v>
      </c>
      <c r="AG239" s="880">
        <v>57.420434405178931</v>
      </c>
      <c r="AH239" s="880">
        <v>224</v>
      </c>
      <c r="AI239" s="881">
        <v>0.25634122502312023</v>
      </c>
    </row>
    <row r="240" spans="2:35" x14ac:dyDescent="0.2">
      <c r="B240" s="867">
        <v>78538000</v>
      </c>
      <c r="C240" s="876" t="s">
        <v>1448</v>
      </c>
      <c r="D240" s="877" t="s">
        <v>1448</v>
      </c>
      <c r="E240" s="877" t="s">
        <v>1448</v>
      </c>
      <c r="F240" s="877" t="s">
        <v>1447</v>
      </c>
      <c r="G240" s="877" t="s">
        <v>1447</v>
      </c>
      <c r="H240" s="877" t="s">
        <v>1447</v>
      </c>
      <c r="I240" s="877" t="s">
        <v>1447</v>
      </c>
      <c r="J240" s="878" t="s">
        <v>1448</v>
      </c>
      <c r="K240" s="877"/>
      <c r="L240" s="879" t="s">
        <v>1450</v>
      </c>
      <c r="M240" s="880" t="s">
        <v>1450</v>
      </c>
      <c r="N240" s="881" t="s">
        <v>1450</v>
      </c>
      <c r="O240" s="880" t="s">
        <v>1450</v>
      </c>
      <c r="P240" s="880" t="s">
        <v>1450</v>
      </c>
      <c r="Q240" s="881" t="s">
        <v>1450</v>
      </c>
      <c r="R240" s="880">
        <v>20.429644575459712</v>
      </c>
      <c r="S240" s="880">
        <v>152</v>
      </c>
      <c r="T240" s="881">
        <v>0.1344055564174981</v>
      </c>
      <c r="U240" s="880">
        <v>27.166545189504372</v>
      </c>
      <c r="V240" s="880">
        <v>137</v>
      </c>
      <c r="W240" s="881">
        <v>0.19829595028835309</v>
      </c>
      <c r="X240" s="880">
        <v>29.633977726033827</v>
      </c>
      <c r="Y240" s="880">
        <v>155</v>
      </c>
      <c r="Z240" s="881">
        <v>0.19118695307118597</v>
      </c>
      <c r="AA240" s="880">
        <v>34.704935579905005</v>
      </c>
      <c r="AB240" s="880">
        <v>176</v>
      </c>
      <c r="AC240" s="881">
        <v>0.19718713397673299</v>
      </c>
      <c r="AD240" s="880">
        <v>40.995465065117827</v>
      </c>
      <c r="AE240" s="880">
        <v>229</v>
      </c>
      <c r="AF240" s="881">
        <v>0.17901949810095122</v>
      </c>
      <c r="AG240" s="880">
        <v>31.680239671822857</v>
      </c>
      <c r="AH240" s="880">
        <v>236</v>
      </c>
      <c r="AI240" s="881">
        <v>0.13423830369416465</v>
      </c>
    </row>
    <row r="241" spans="2:35" x14ac:dyDescent="0.2">
      <c r="B241" s="867">
        <v>78539000</v>
      </c>
      <c r="C241" s="876" t="s">
        <v>1448</v>
      </c>
      <c r="D241" s="877" t="s">
        <v>1448</v>
      </c>
      <c r="E241" s="877" t="s">
        <v>1448</v>
      </c>
      <c r="F241" s="877" t="s">
        <v>1448</v>
      </c>
      <c r="G241" s="877" t="s">
        <v>1448</v>
      </c>
      <c r="H241" s="877" t="s">
        <v>1448</v>
      </c>
      <c r="I241" s="877" t="s">
        <v>1448</v>
      </c>
      <c r="J241" s="878" t="s">
        <v>1448</v>
      </c>
      <c r="K241" s="877"/>
      <c r="L241" s="879">
        <v>0</v>
      </c>
      <c r="M241" s="880">
        <v>63</v>
      </c>
      <c r="N241" s="881">
        <v>0</v>
      </c>
      <c r="O241" s="880">
        <v>6.1687123832993702</v>
      </c>
      <c r="P241" s="880">
        <v>85</v>
      </c>
      <c r="Q241" s="881">
        <v>7.2573086862345537E-2</v>
      </c>
      <c r="R241" s="880">
        <v>21.924496617566522</v>
      </c>
      <c r="S241" s="880">
        <v>267</v>
      </c>
      <c r="T241" s="881">
        <v>8.2114219541447653E-2</v>
      </c>
      <c r="U241" s="880">
        <v>30.362609329446062</v>
      </c>
      <c r="V241" s="880">
        <v>405</v>
      </c>
      <c r="W241" s="881">
        <v>7.4969405751718676E-2</v>
      </c>
      <c r="X241" s="880">
        <v>72.265314103836872</v>
      </c>
      <c r="Y241" s="880">
        <v>497</v>
      </c>
      <c r="Z241" s="881">
        <v>0.1454030464865933</v>
      </c>
      <c r="AA241" s="880">
        <v>58.392431293173502</v>
      </c>
      <c r="AB241" s="880">
        <v>533</v>
      </c>
      <c r="AC241" s="881">
        <v>0.10955428009976267</v>
      </c>
      <c r="AD241" s="880">
        <v>57.906094404478935</v>
      </c>
      <c r="AE241" s="880">
        <v>487</v>
      </c>
      <c r="AF241" s="881">
        <v>0.11890368460878631</v>
      </c>
      <c r="AG241" s="880">
        <v>51.48038946671214</v>
      </c>
      <c r="AH241" s="880">
        <v>636</v>
      </c>
      <c r="AI241" s="881">
        <v>8.0944008595459332E-2</v>
      </c>
    </row>
    <row r="242" spans="2:35" x14ac:dyDescent="0.2">
      <c r="B242" s="867">
        <v>78540000</v>
      </c>
      <c r="C242" s="876" t="s">
        <v>1448</v>
      </c>
      <c r="D242" s="877" t="s">
        <v>1448</v>
      </c>
      <c r="E242" s="877" t="s">
        <v>1448</v>
      </c>
      <c r="F242" s="877" t="s">
        <v>1448</v>
      </c>
      <c r="G242" s="877" t="s">
        <v>1448</v>
      </c>
      <c r="H242" s="877" t="s">
        <v>1448</v>
      </c>
      <c r="I242" s="877" t="s">
        <v>1448</v>
      </c>
      <c r="J242" s="878" t="s">
        <v>1448</v>
      </c>
      <c r="K242" s="877"/>
      <c r="L242" s="879">
        <v>0</v>
      </c>
      <c r="M242" s="880">
        <v>172</v>
      </c>
      <c r="N242" s="881">
        <v>0</v>
      </c>
      <c r="O242" s="880">
        <v>0.44062231309281213</v>
      </c>
      <c r="P242" s="880">
        <v>265</v>
      </c>
      <c r="Q242" s="881">
        <v>1.6627257097841968E-3</v>
      </c>
      <c r="R242" s="880">
        <v>0</v>
      </c>
      <c r="S242" s="880">
        <v>283</v>
      </c>
      <c r="T242" s="881">
        <v>0</v>
      </c>
      <c r="U242" s="880">
        <v>0</v>
      </c>
      <c r="V242" s="880">
        <v>335</v>
      </c>
      <c r="W242" s="881">
        <v>0</v>
      </c>
      <c r="X242" s="880">
        <v>0</v>
      </c>
      <c r="Y242" s="880">
        <v>336</v>
      </c>
      <c r="Z242" s="881">
        <v>0</v>
      </c>
      <c r="AA242" s="880" t="s">
        <v>1450</v>
      </c>
      <c r="AB242" s="880" t="s">
        <v>1450</v>
      </c>
      <c r="AC242" s="881" t="s">
        <v>1450</v>
      </c>
      <c r="AD242" s="880" t="s">
        <v>1450</v>
      </c>
      <c r="AE242" s="880" t="s">
        <v>1450</v>
      </c>
      <c r="AF242" s="881" t="s">
        <v>1450</v>
      </c>
      <c r="AG242" s="880" t="s">
        <v>1450</v>
      </c>
      <c r="AH242" s="880" t="s">
        <v>1450</v>
      </c>
      <c r="AI242" s="881" t="s">
        <v>1450</v>
      </c>
    </row>
    <row r="243" spans="2:35" x14ac:dyDescent="0.2">
      <c r="B243" s="867">
        <v>78541000</v>
      </c>
      <c r="C243" s="876" t="s">
        <v>1447</v>
      </c>
      <c r="D243" s="877" t="s">
        <v>1447</v>
      </c>
      <c r="E243" s="877" t="s">
        <v>1447</v>
      </c>
      <c r="F243" s="877" t="s">
        <v>1447</v>
      </c>
      <c r="G243" s="877" t="s">
        <v>1447</v>
      </c>
      <c r="H243" s="877" t="s">
        <v>1447</v>
      </c>
      <c r="I243" s="877" t="s">
        <v>1447</v>
      </c>
      <c r="J243" s="878" t="s">
        <v>1447</v>
      </c>
      <c r="K243" s="877"/>
      <c r="L243" s="879">
        <v>26</v>
      </c>
      <c r="M243" s="880">
        <v>118</v>
      </c>
      <c r="N243" s="881">
        <v>0.21579999999999999</v>
      </c>
      <c r="O243" s="880">
        <v>48.909076753302145</v>
      </c>
      <c r="P243" s="880">
        <v>284</v>
      </c>
      <c r="Q243" s="881">
        <v>0.17221505899050052</v>
      </c>
      <c r="R243" s="880">
        <v>91.185974568515306</v>
      </c>
      <c r="S243" s="880">
        <v>467</v>
      </c>
      <c r="T243" s="881">
        <v>0.19525904618525761</v>
      </c>
      <c r="U243" s="880">
        <v>103.87208454810495</v>
      </c>
      <c r="V243" s="880">
        <v>566</v>
      </c>
      <c r="W243" s="881">
        <v>0.18351958400725257</v>
      </c>
      <c r="X243" s="880">
        <v>144.01073386160297</v>
      </c>
      <c r="Y243" s="880">
        <v>595</v>
      </c>
      <c r="Z243" s="881">
        <v>0.24203484682622348</v>
      </c>
      <c r="AA243" s="880">
        <v>146.53195022626556</v>
      </c>
      <c r="AB243" s="880">
        <v>648</v>
      </c>
      <c r="AC243" s="881">
        <v>0.22612955281831107</v>
      </c>
      <c r="AD243" s="880">
        <v>135.79747802820282</v>
      </c>
      <c r="AE243" s="880">
        <v>662</v>
      </c>
      <c r="AF243" s="881">
        <v>0.20513214203656016</v>
      </c>
      <c r="AG243" s="880">
        <v>144.54109350269178</v>
      </c>
      <c r="AH243" s="880">
        <v>712</v>
      </c>
      <c r="AI243" s="881">
        <v>0.20300715379591541</v>
      </c>
    </row>
    <row r="244" spans="2:35" x14ac:dyDescent="0.2">
      <c r="B244" s="867">
        <v>78542000</v>
      </c>
      <c r="C244" s="876" t="s">
        <v>1448</v>
      </c>
      <c r="D244" s="877" t="s">
        <v>1448</v>
      </c>
      <c r="E244" s="877" t="s">
        <v>1447</v>
      </c>
      <c r="F244" s="877" t="s">
        <v>1447</v>
      </c>
      <c r="G244" s="877" t="s">
        <v>1447</v>
      </c>
      <c r="H244" s="877" t="s">
        <v>1447</v>
      </c>
      <c r="I244" s="877" t="s">
        <v>1447</v>
      </c>
      <c r="J244" s="878" t="s">
        <v>1447</v>
      </c>
      <c r="K244" s="877"/>
      <c r="L244" s="879">
        <v>7</v>
      </c>
      <c r="M244" s="880">
        <v>39</v>
      </c>
      <c r="N244" s="881">
        <v>0.19109999999999999</v>
      </c>
      <c r="O244" s="880">
        <v>7.0499570094849942</v>
      </c>
      <c r="P244" s="880">
        <v>24</v>
      </c>
      <c r="Q244" s="881">
        <v>0.2937482087285414</v>
      </c>
      <c r="R244" s="880">
        <v>21.924496617566522</v>
      </c>
      <c r="S244" s="880">
        <v>70</v>
      </c>
      <c r="T244" s="881">
        <v>0.31320709453666462</v>
      </c>
      <c r="U244" s="880">
        <v>38.885447035957242</v>
      </c>
      <c r="V244" s="880">
        <v>96</v>
      </c>
      <c r="W244" s="881">
        <v>0.40505673995788793</v>
      </c>
      <c r="X244" s="880">
        <v>48.870068530652276</v>
      </c>
      <c r="Y244" s="880">
        <v>108</v>
      </c>
      <c r="Z244" s="881">
        <v>0.45250063454307665</v>
      </c>
      <c r="AA244" s="880">
        <v>52.883711359855241</v>
      </c>
      <c r="AB244" s="880">
        <v>91</v>
      </c>
      <c r="AC244" s="881">
        <v>0.58113968527313453</v>
      </c>
      <c r="AD244" s="880">
        <v>59.443424344420855</v>
      </c>
      <c r="AE244" s="880">
        <v>137</v>
      </c>
      <c r="AF244" s="881">
        <v>0.43389360835343688</v>
      </c>
      <c r="AG244" s="880">
        <v>52.470396956456604</v>
      </c>
      <c r="AH244" s="880">
        <v>125</v>
      </c>
      <c r="AI244" s="881">
        <v>0.41976317565165283</v>
      </c>
    </row>
    <row r="245" spans="2:35" x14ac:dyDescent="0.2">
      <c r="B245" s="867">
        <v>78544000</v>
      </c>
      <c r="C245" s="876" t="s">
        <v>1448</v>
      </c>
      <c r="D245" s="877" t="s">
        <v>1448</v>
      </c>
      <c r="E245" s="877" t="s">
        <v>1448</v>
      </c>
      <c r="F245" s="877" t="s">
        <v>1448</v>
      </c>
      <c r="G245" s="877" t="s">
        <v>1448</v>
      </c>
      <c r="H245" s="877" t="s">
        <v>1447</v>
      </c>
      <c r="I245" s="877" t="s">
        <v>1447</v>
      </c>
      <c r="J245" s="878" t="s">
        <v>1447</v>
      </c>
      <c r="K245" s="877"/>
      <c r="L245" s="879">
        <v>4</v>
      </c>
      <c r="M245" s="880">
        <v>57</v>
      </c>
      <c r="N245" s="881">
        <v>6.1800000000000001E-2</v>
      </c>
      <c r="O245" s="880">
        <v>15.862403271341236</v>
      </c>
      <c r="P245" s="880">
        <v>377</v>
      </c>
      <c r="Q245" s="881">
        <v>4.2075340242284445E-2</v>
      </c>
      <c r="R245" s="880">
        <v>42.852425207061835</v>
      </c>
      <c r="S245" s="880">
        <v>490</v>
      </c>
      <c r="T245" s="881">
        <v>8.7453928994003741E-2</v>
      </c>
      <c r="U245" s="880">
        <v>67.117346938775512</v>
      </c>
      <c r="V245" s="880">
        <v>506</v>
      </c>
      <c r="W245" s="881">
        <v>0.13264297813987255</v>
      </c>
      <c r="X245" s="880">
        <v>76.424468872403025</v>
      </c>
      <c r="Y245" s="880">
        <v>572</v>
      </c>
      <c r="Z245" s="881">
        <v>0.13360921131538991</v>
      </c>
      <c r="AA245" s="880">
        <v>78.223823053119219</v>
      </c>
      <c r="AB245" s="880">
        <v>495</v>
      </c>
      <c r="AC245" s="881">
        <v>0.15802792535983681</v>
      </c>
      <c r="AD245" s="880">
        <v>77.378940310409902</v>
      </c>
      <c r="AE245" s="880">
        <v>459</v>
      </c>
      <c r="AF245" s="881">
        <v>0.16858156930372528</v>
      </c>
      <c r="AG245" s="880">
        <v>72.765550496218125</v>
      </c>
      <c r="AH245" s="880">
        <v>440</v>
      </c>
      <c r="AI245" s="881">
        <v>0.16537625112776846</v>
      </c>
    </row>
    <row r="246" spans="2:35" x14ac:dyDescent="0.2">
      <c r="B246" s="867">
        <v>78545000</v>
      </c>
      <c r="C246" s="876" t="s">
        <v>1448</v>
      </c>
      <c r="D246" s="877" t="s">
        <v>1448</v>
      </c>
      <c r="E246" s="877" t="s">
        <v>1448</v>
      </c>
      <c r="F246" s="877" t="s">
        <v>1448</v>
      </c>
      <c r="G246" s="877" t="s">
        <v>1448</v>
      </c>
      <c r="H246" s="877" t="s">
        <v>1448</v>
      </c>
      <c r="I246" s="877" t="s">
        <v>1448</v>
      </c>
      <c r="J246" s="878" t="s">
        <v>1448</v>
      </c>
      <c r="K246" s="877"/>
      <c r="L246" s="879">
        <v>0</v>
      </c>
      <c r="M246" s="880">
        <v>20</v>
      </c>
      <c r="N246" s="881">
        <v>0</v>
      </c>
      <c r="O246" s="880">
        <v>0</v>
      </c>
      <c r="P246" s="880">
        <v>66</v>
      </c>
      <c r="Q246" s="881">
        <v>0</v>
      </c>
      <c r="R246" s="880">
        <v>0</v>
      </c>
      <c r="S246" s="880">
        <v>88</v>
      </c>
      <c r="T246" s="881">
        <v>0</v>
      </c>
      <c r="U246" s="880">
        <v>3.1960641399416909</v>
      </c>
      <c r="V246" s="880">
        <v>110</v>
      </c>
      <c r="W246" s="881">
        <v>2.9055128544924463E-2</v>
      </c>
      <c r="X246" s="880">
        <v>11.437675613556916</v>
      </c>
      <c r="Y246" s="880">
        <v>200</v>
      </c>
      <c r="Z246" s="881">
        <v>5.7188378067784582E-2</v>
      </c>
      <c r="AA246" s="880" t="s">
        <v>1450</v>
      </c>
      <c r="AB246" s="880" t="s">
        <v>1450</v>
      </c>
      <c r="AC246" s="881" t="s">
        <v>1450</v>
      </c>
      <c r="AD246" s="880" t="s">
        <v>1450</v>
      </c>
      <c r="AE246" s="880" t="s">
        <v>1450</v>
      </c>
      <c r="AF246" s="881" t="s">
        <v>1450</v>
      </c>
      <c r="AG246" s="880" t="s">
        <v>1450</v>
      </c>
      <c r="AH246" s="880" t="s">
        <v>1450</v>
      </c>
      <c r="AI246" s="881" t="s">
        <v>1450</v>
      </c>
    </row>
    <row r="247" spans="2:35" x14ac:dyDescent="0.2">
      <c r="B247" s="867">
        <v>78546000</v>
      </c>
      <c r="C247" s="876" t="s">
        <v>1448</v>
      </c>
      <c r="D247" s="877" t="s">
        <v>1447</v>
      </c>
      <c r="E247" s="877" t="s">
        <v>1447</v>
      </c>
      <c r="F247" s="877" t="s">
        <v>1447</v>
      </c>
      <c r="G247" s="877" t="s">
        <v>1447</v>
      </c>
      <c r="H247" s="877" t="s">
        <v>1447</v>
      </c>
      <c r="I247" s="877" t="s">
        <v>1447</v>
      </c>
      <c r="J247" s="878" t="s">
        <v>1447</v>
      </c>
      <c r="K247" s="877"/>
      <c r="L247" s="879">
        <v>0</v>
      </c>
      <c r="M247" s="880">
        <v>199</v>
      </c>
      <c r="N247" s="881">
        <v>0</v>
      </c>
      <c r="O247" s="880">
        <v>251.15471846290291</v>
      </c>
      <c r="P247" s="880">
        <v>928</v>
      </c>
      <c r="Q247" s="881">
        <v>0.27064086041261087</v>
      </c>
      <c r="R247" s="880">
        <v>253.41608110371021</v>
      </c>
      <c r="S247" s="880">
        <v>828</v>
      </c>
      <c r="T247" s="881">
        <v>0.3060580689658336</v>
      </c>
      <c r="U247" s="880">
        <v>259.94655004859084</v>
      </c>
      <c r="V247" s="880">
        <v>584</v>
      </c>
      <c r="W247" s="881">
        <v>0.44511395556265554</v>
      </c>
      <c r="X247" s="880">
        <v>250.06918046003983</v>
      </c>
      <c r="Y247" s="880">
        <v>704</v>
      </c>
      <c r="Z247" s="881">
        <v>0.35521190406255659</v>
      </c>
      <c r="AA247" s="880">
        <v>143.22671826627462</v>
      </c>
      <c r="AB247" s="880">
        <v>384</v>
      </c>
      <c r="AC247" s="881">
        <v>0.37298624548509013</v>
      </c>
      <c r="AD247" s="880">
        <v>142.97168441459843</v>
      </c>
      <c r="AE247" s="880">
        <v>384</v>
      </c>
      <c r="AF247" s="881">
        <v>0.37232209482968343</v>
      </c>
      <c r="AG247" s="880">
        <v>140.08605979884169</v>
      </c>
      <c r="AH247" s="880">
        <v>389</v>
      </c>
      <c r="AI247" s="881">
        <v>0.36011840565254932</v>
      </c>
    </row>
    <row r="248" spans="2:35" x14ac:dyDescent="0.2">
      <c r="B248" s="867">
        <v>78547000</v>
      </c>
      <c r="C248" s="876" t="s">
        <v>1447</v>
      </c>
      <c r="D248" s="877" t="s">
        <v>1447</v>
      </c>
      <c r="E248" s="877" t="s">
        <v>1447</v>
      </c>
      <c r="F248" s="877" t="s">
        <v>1447</v>
      </c>
      <c r="G248" s="877" t="s">
        <v>1447</v>
      </c>
      <c r="H248" s="877" t="s">
        <v>1447</v>
      </c>
      <c r="I248" s="877" t="s">
        <v>1447</v>
      </c>
      <c r="J248" s="878" t="s">
        <v>1447</v>
      </c>
      <c r="K248" s="877"/>
      <c r="L248" s="879">
        <v>13</v>
      </c>
      <c r="M248" s="880">
        <v>74</v>
      </c>
      <c r="N248" s="881">
        <v>0.1719</v>
      </c>
      <c r="O248" s="880">
        <v>23.793604907011854</v>
      </c>
      <c r="P248" s="880">
        <v>124</v>
      </c>
      <c r="Q248" s="881">
        <v>0.19188391054041817</v>
      </c>
      <c r="R248" s="880">
        <v>33.385028940385382</v>
      </c>
      <c r="S248" s="880">
        <v>181</v>
      </c>
      <c r="T248" s="881">
        <v>0.18444767370378665</v>
      </c>
      <c r="U248" s="880">
        <v>94.283892128279888</v>
      </c>
      <c r="V248" s="880">
        <v>367</v>
      </c>
      <c r="W248" s="881">
        <v>0.25690433822419589</v>
      </c>
      <c r="X248" s="880">
        <v>139.85157909303683</v>
      </c>
      <c r="Y248" s="880">
        <v>508</v>
      </c>
      <c r="Z248" s="881">
        <v>0.2752983840414111</v>
      </c>
      <c r="AA248" s="880">
        <v>207.6787414860982</v>
      </c>
      <c r="AB248" s="880">
        <v>588</v>
      </c>
      <c r="AC248" s="881">
        <v>0.35319513858179968</v>
      </c>
      <c r="AD248" s="880">
        <v>166.0316335137272</v>
      </c>
      <c r="AE248" s="880">
        <v>483</v>
      </c>
      <c r="AF248" s="881">
        <v>0.34375079402427994</v>
      </c>
      <c r="AG248" s="880">
        <v>185.62640432708704</v>
      </c>
      <c r="AH248" s="880">
        <v>535</v>
      </c>
      <c r="AI248" s="881">
        <v>0.34696524173287296</v>
      </c>
    </row>
    <row r="249" spans="2:35" x14ac:dyDescent="0.2">
      <c r="B249" s="867">
        <v>78548000</v>
      </c>
      <c r="C249" s="876" t="s">
        <v>1447</v>
      </c>
      <c r="D249" s="877" t="s">
        <v>1447</v>
      </c>
      <c r="E249" s="877" t="s">
        <v>1447</v>
      </c>
      <c r="F249" s="877" t="s">
        <v>1447</v>
      </c>
      <c r="G249" s="877" t="s">
        <v>1447</v>
      </c>
      <c r="H249" s="877" t="s">
        <v>1447</v>
      </c>
      <c r="I249" s="877" t="s">
        <v>1447</v>
      </c>
      <c r="J249" s="878" t="s">
        <v>1447</v>
      </c>
      <c r="K249" s="877"/>
      <c r="L249" s="879">
        <v>60</v>
      </c>
      <c r="M249" s="880">
        <v>210</v>
      </c>
      <c r="N249" s="881">
        <v>0.28570000000000001</v>
      </c>
      <c r="O249" s="880">
        <v>89.886951870933672</v>
      </c>
      <c r="P249" s="880">
        <v>299</v>
      </c>
      <c r="Q249" s="881">
        <v>0.30062525709342364</v>
      </c>
      <c r="R249" s="880">
        <v>98.161950765013742</v>
      </c>
      <c r="S249" s="880">
        <v>287</v>
      </c>
      <c r="T249" s="881">
        <v>0.34202770301398516</v>
      </c>
      <c r="U249" s="880">
        <v>83.630344995140916</v>
      </c>
      <c r="V249" s="880">
        <v>315</v>
      </c>
      <c r="W249" s="881">
        <v>0.26549315871473306</v>
      </c>
      <c r="X249" s="880">
        <v>97.22024271523378</v>
      </c>
      <c r="Y249" s="880">
        <v>270</v>
      </c>
      <c r="Z249" s="881">
        <v>0.36007497301938435</v>
      </c>
      <c r="AA249" s="880">
        <v>143.22671826627462</v>
      </c>
      <c r="AB249" s="880">
        <v>347</v>
      </c>
      <c r="AC249" s="881">
        <v>0.41275711315929287</v>
      </c>
      <c r="AD249" s="880">
        <v>170.64362333355297</v>
      </c>
      <c r="AE249" s="880">
        <v>396</v>
      </c>
      <c r="AF249" s="881">
        <v>0.43091824074129537</v>
      </c>
      <c r="AG249" s="880">
        <v>144.54109350269178</v>
      </c>
      <c r="AH249" s="880">
        <v>365</v>
      </c>
      <c r="AI249" s="881">
        <v>0.3960029958977857</v>
      </c>
    </row>
    <row r="250" spans="2:35" x14ac:dyDescent="0.2">
      <c r="B250" s="867">
        <v>78549000</v>
      </c>
      <c r="C250" s="876" t="s">
        <v>1448</v>
      </c>
      <c r="D250" s="877" t="s">
        <v>1448</v>
      </c>
      <c r="E250" s="877" t="s">
        <v>1448</v>
      </c>
      <c r="F250" s="877" t="s">
        <v>1448</v>
      </c>
      <c r="G250" s="877" t="s">
        <v>1448</v>
      </c>
      <c r="H250" s="877" t="s">
        <v>1448</v>
      </c>
      <c r="I250" s="877" t="s">
        <v>1448</v>
      </c>
      <c r="J250" s="878" t="s">
        <v>1448</v>
      </c>
      <c r="K250" s="877"/>
      <c r="L250" s="879" t="s">
        <v>1450</v>
      </c>
      <c r="M250" s="880" t="s">
        <v>1450</v>
      </c>
      <c r="N250" s="881" t="s">
        <v>1450</v>
      </c>
      <c r="O250" s="880">
        <v>22.031115654640608</v>
      </c>
      <c r="P250" s="880">
        <v>213</v>
      </c>
      <c r="Q250" s="881">
        <v>0.10343246786216248</v>
      </c>
      <c r="R250" s="880">
        <v>19.433076547388506</v>
      </c>
      <c r="S250" s="880">
        <v>405</v>
      </c>
      <c r="T250" s="881">
        <v>4.7982905055280259E-2</v>
      </c>
      <c r="U250" s="880">
        <v>0</v>
      </c>
      <c r="V250" s="880">
        <v>533</v>
      </c>
      <c r="W250" s="881">
        <v>0</v>
      </c>
      <c r="X250" s="880">
        <v>0</v>
      </c>
      <c r="Y250" s="880">
        <v>681</v>
      </c>
      <c r="Z250" s="881">
        <v>0</v>
      </c>
      <c r="AA250" s="880" t="s">
        <v>1450</v>
      </c>
      <c r="AB250" s="880" t="s">
        <v>1450</v>
      </c>
      <c r="AC250" s="881" t="s">
        <v>1450</v>
      </c>
      <c r="AD250" s="880" t="s">
        <v>1450</v>
      </c>
      <c r="AE250" s="880" t="s">
        <v>1450</v>
      </c>
      <c r="AF250" s="881" t="s">
        <v>1450</v>
      </c>
      <c r="AG250" s="880" t="s">
        <v>1450</v>
      </c>
      <c r="AH250" s="880" t="s">
        <v>1450</v>
      </c>
      <c r="AI250" s="881" t="s">
        <v>1450</v>
      </c>
    </row>
    <row r="251" spans="2:35" x14ac:dyDescent="0.2">
      <c r="B251" s="867">
        <v>78550000</v>
      </c>
      <c r="C251" s="876" t="s">
        <v>1448</v>
      </c>
      <c r="D251" s="877" t="s">
        <v>1448</v>
      </c>
      <c r="E251" s="877" t="s">
        <v>1447</v>
      </c>
      <c r="F251" s="877" t="s">
        <v>1447</v>
      </c>
      <c r="G251" s="877" t="s">
        <v>1447</v>
      </c>
      <c r="H251" s="877" t="s">
        <v>1447</v>
      </c>
      <c r="I251" s="877" t="s">
        <v>1447</v>
      </c>
      <c r="J251" s="878" t="s">
        <v>1447</v>
      </c>
      <c r="K251" s="877"/>
      <c r="L251" s="879" t="s">
        <v>1450</v>
      </c>
      <c r="M251" s="880" t="s">
        <v>1450</v>
      </c>
      <c r="N251" s="881" t="s">
        <v>1450</v>
      </c>
      <c r="O251" s="880" t="s">
        <v>1450</v>
      </c>
      <c r="P251" s="880" t="s">
        <v>1450</v>
      </c>
      <c r="Q251" s="881" t="s">
        <v>1450</v>
      </c>
      <c r="R251" s="880">
        <v>177.38910899667457</v>
      </c>
      <c r="S251" s="880">
        <v>415</v>
      </c>
      <c r="T251" s="881">
        <v>0.42744363613656522</v>
      </c>
      <c r="U251" s="880">
        <v>271.1327745383868</v>
      </c>
      <c r="V251" s="880">
        <v>553</v>
      </c>
      <c r="W251" s="881">
        <v>0.49029434817068135</v>
      </c>
      <c r="X251" s="880">
        <v>291.66072814570134</v>
      </c>
      <c r="Y251" s="880">
        <v>590</v>
      </c>
      <c r="Z251" s="881">
        <v>0.49434021719610399</v>
      </c>
      <c r="AA251" s="880">
        <v>315.64965217913601</v>
      </c>
      <c r="AB251" s="880">
        <v>639</v>
      </c>
      <c r="AC251" s="881">
        <v>0.4939744165557684</v>
      </c>
      <c r="AD251" s="880">
        <v>277.23183250285933</v>
      </c>
      <c r="AE251" s="880">
        <v>628</v>
      </c>
      <c r="AF251" s="881">
        <v>0.44145196258417091</v>
      </c>
      <c r="AG251" s="880">
        <v>307.8923293105284</v>
      </c>
      <c r="AH251" s="880">
        <v>636</v>
      </c>
      <c r="AI251" s="881">
        <v>0.4841074360228434</v>
      </c>
    </row>
    <row r="252" spans="2:35" x14ac:dyDescent="0.2">
      <c r="B252" s="867">
        <v>78550001</v>
      </c>
      <c r="C252" s="876" t="s">
        <v>1448</v>
      </c>
      <c r="D252" s="877" t="s">
        <v>1448</v>
      </c>
      <c r="E252" s="877" t="s">
        <v>1448</v>
      </c>
      <c r="F252" s="877" t="s">
        <v>1448</v>
      </c>
      <c r="G252" s="877" t="s">
        <v>1448</v>
      </c>
      <c r="H252" s="877" t="s">
        <v>1448</v>
      </c>
      <c r="I252" s="877" t="s">
        <v>1448</v>
      </c>
      <c r="J252" s="878" t="s">
        <v>1448</v>
      </c>
      <c r="K252" s="877"/>
      <c r="L252" s="879" t="s">
        <v>1450</v>
      </c>
      <c r="M252" s="880" t="s">
        <v>1450</v>
      </c>
      <c r="N252" s="881" t="s">
        <v>1450</v>
      </c>
      <c r="O252" s="880" t="s">
        <v>1450</v>
      </c>
      <c r="P252" s="880" t="s">
        <v>1450</v>
      </c>
      <c r="Q252" s="881" t="s">
        <v>1450</v>
      </c>
      <c r="R252" s="880" t="s">
        <v>1450</v>
      </c>
      <c r="S252" s="880" t="s">
        <v>1450</v>
      </c>
      <c r="T252" s="881" t="s">
        <v>1450</v>
      </c>
      <c r="U252" s="880" t="s">
        <v>1450</v>
      </c>
      <c r="V252" s="880" t="s">
        <v>1450</v>
      </c>
      <c r="W252" s="881" t="s">
        <v>1450</v>
      </c>
      <c r="X252" s="880" t="s">
        <v>1450</v>
      </c>
      <c r="Y252" s="880" t="s">
        <v>1450</v>
      </c>
      <c r="Z252" s="881" t="s">
        <v>1450</v>
      </c>
      <c r="AA252" s="880" t="s">
        <v>1450</v>
      </c>
      <c r="AB252" s="880" t="s">
        <v>1450</v>
      </c>
      <c r="AC252" s="881" t="s">
        <v>1450</v>
      </c>
      <c r="AD252" s="880" t="s">
        <v>1450</v>
      </c>
      <c r="AE252" s="880" t="s">
        <v>1450</v>
      </c>
      <c r="AF252" s="881" t="s">
        <v>1450</v>
      </c>
      <c r="AG252" s="880">
        <v>0</v>
      </c>
      <c r="AH252" s="880">
        <v>0</v>
      </c>
      <c r="AI252" s="881">
        <v>0</v>
      </c>
    </row>
    <row r="253" spans="2:35" x14ac:dyDescent="0.2">
      <c r="B253" s="867">
        <v>78551000</v>
      </c>
      <c r="C253" s="876" t="s">
        <v>1448</v>
      </c>
      <c r="D253" s="877" t="s">
        <v>1447</v>
      </c>
      <c r="E253" s="877" t="s">
        <v>1448</v>
      </c>
      <c r="F253" s="877" t="s">
        <v>1447</v>
      </c>
      <c r="G253" s="877" t="s">
        <v>1447</v>
      </c>
      <c r="H253" s="877" t="s">
        <v>1447</v>
      </c>
      <c r="I253" s="877" t="s">
        <v>1447</v>
      </c>
      <c r="J253" s="878" t="s">
        <v>1447</v>
      </c>
      <c r="K253" s="877"/>
      <c r="L253" s="879" t="s">
        <v>1450</v>
      </c>
      <c r="M253" s="880" t="s">
        <v>1450</v>
      </c>
      <c r="N253" s="881" t="s">
        <v>1450</v>
      </c>
      <c r="O253" s="880">
        <v>49.349699066394962</v>
      </c>
      <c r="P253" s="880">
        <v>245</v>
      </c>
      <c r="Q253" s="881">
        <v>0.2014273431281427</v>
      </c>
      <c r="R253" s="880">
        <v>27.903904785993753</v>
      </c>
      <c r="S253" s="880">
        <v>255</v>
      </c>
      <c r="T253" s="881">
        <v>0.10942707759213237</v>
      </c>
      <c r="U253" s="880">
        <v>78.836248785228378</v>
      </c>
      <c r="V253" s="880">
        <v>242</v>
      </c>
      <c r="W253" s="881">
        <v>0.32576962307945612</v>
      </c>
      <c r="X253" s="880">
        <v>50.949645914935353</v>
      </c>
      <c r="Y253" s="880">
        <v>210</v>
      </c>
      <c r="Z253" s="881">
        <v>0.24261736149969215</v>
      </c>
      <c r="AA253" s="880">
        <v>83.732542986437466</v>
      </c>
      <c r="AB253" s="880">
        <v>211</v>
      </c>
      <c r="AC253" s="881">
        <v>0.39683669661818705</v>
      </c>
      <c r="AD253" s="880">
        <v>90.190023143259225</v>
      </c>
      <c r="AE253" s="880">
        <v>226</v>
      </c>
      <c r="AF253" s="881">
        <v>0.3990708988639789</v>
      </c>
      <c r="AG253" s="880">
        <v>100.48576020906313</v>
      </c>
      <c r="AH253" s="880">
        <v>233</v>
      </c>
      <c r="AI253" s="881">
        <v>0.43126935712044262</v>
      </c>
    </row>
    <row r="254" spans="2:35" x14ac:dyDescent="0.2">
      <c r="B254" s="867">
        <v>78552000</v>
      </c>
      <c r="C254" s="876" t="s">
        <v>1448</v>
      </c>
      <c r="D254" s="877" t="s">
        <v>1448</v>
      </c>
      <c r="E254" s="877" t="s">
        <v>1448</v>
      </c>
      <c r="F254" s="877" t="s">
        <v>1447</v>
      </c>
      <c r="G254" s="877" t="s">
        <v>1447</v>
      </c>
      <c r="H254" s="877" t="s">
        <v>1447</v>
      </c>
      <c r="I254" s="877" t="s">
        <v>1447</v>
      </c>
      <c r="J254" s="878" t="s">
        <v>1447</v>
      </c>
      <c r="K254" s="877"/>
      <c r="L254" s="879" t="s">
        <v>1450</v>
      </c>
      <c r="M254" s="880" t="s">
        <v>1450</v>
      </c>
      <c r="N254" s="881" t="s">
        <v>1450</v>
      </c>
      <c r="O254" s="880" t="s">
        <v>1450</v>
      </c>
      <c r="P254" s="880" t="s">
        <v>1450</v>
      </c>
      <c r="Q254" s="881" t="s">
        <v>1450</v>
      </c>
      <c r="R254" s="880">
        <v>7.474260210534041</v>
      </c>
      <c r="S254" s="880">
        <v>68</v>
      </c>
      <c r="T254" s="881">
        <v>0.10991559133138296</v>
      </c>
      <c r="U254" s="880">
        <v>14.382288629737609</v>
      </c>
      <c r="V254" s="880">
        <v>69</v>
      </c>
      <c r="W254" s="881">
        <v>0.20843896564837114</v>
      </c>
      <c r="X254" s="880">
        <v>22.875351227113832</v>
      </c>
      <c r="Y254" s="880">
        <v>69</v>
      </c>
      <c r="Z254" s="881">
        <v>0.33152682937846134</v>
      </c>
      <c r="AA254" s="880">
        <v>34.704935579905005</v>
      </c>
      <c r="AB254" s="880">
        <v>100</v>
      </c>
      <c r="AC254" s="881">
        <v>0.34704935579905005</v>
      </c>
      <c r="AD254" s="880">
        <v>27.159495605640561</v>
      </c>
      <c r="AE254" s="880">
        <v>93</v>
      </c>
      <c r="AF254" s="881">
        <v>0.29203758715742539</v>
      </c>
      <c r="AG254" s="880">
        <v>50.490381976967676</v>
      </c>
      <c r="AH254" s="880">
        <v>164</v>
      </c>
      <c r="AI254" s="881">
        <v>0.30786818278638828</v>
      </c>
    </row>
    <row r="255" spans="2:35" x14ac:dyDescent="0.2">
      <c r="B255" s="867">
        <v>78553000</v>
      </c>
      <c r="C255" s="876" t="s">
        <v>1448</v>
      </c>
      <c r="D255" s="877" t="s">
        <v>1448</v>
      </c>
      <c r="E255" s="877" t="s">
        <v>1447</v>
      </c>
      <c r="F255" s="877" t="s">
        <v>1447</v>
      </c>
      <c r="G255" s="877" t="s">
        <v>1447</v>
      </c>
      <c r="H255" s="877" t="s">
        <v>1447</v>
      </c>
      <c r="I255" s="877" t="s">
        <v>1447</v>
      </c>
      <c r="J255" s="878" t="s">
        <v>1447</v>
      </c>
      <c r="K255" s="877"/>
      <c r="L255" s="879" t="s">
        <v>1450</v>
      </c>
      <c r="M255" s="880" t="s">
        <v>1450</v>
      </c>
      <c r="N255" s="881" t="s">
        <v>1450</v>
      </c>
      <c r="O255" s="880" t="s">
        <v>1450</v>
      </c>
      <c r="P255" s="880" t="s">
        <v>1450</v>
      </c>
      <c r="Q255" s="881" t="s">
        <v>1450</v>
      </c>
      <c r="R255" s="880">
        <v>28.900472814064958</v>
      </c>
      <c r="S255" s="880">
        <v>81</v>
      </c>
      <c r="T255" s="881">
        <v>0.3567959606674686</v>
      </c>
      <c r="U255" s="880">
        <v>37.82009232264334</v>
      </c>
      <c r="V255" s="880">
        <v>115</v>
      </c>
      <c r="W255" s="881">
        <v>0.32887036802298558</v>
      </c>
      <c r="X255" s="880">
        <v>52.509328953147659</v>
      </c>
      <c r="Y255" s="880">
        <v>131</v>
      </c>
      <c r="Z255" s="881">
        <v>0.40083457216143253</v>
      </c>
      <c r="AA255" s="880">
        <v>57.290687306509845</v>
      </c>
      <c r="AB255" s="880">
        <v>163</v>
      </c>
      <c r="AC255" s="881">
        <v>0.35147660924239171</v>
      </c>
      <c r="AD255" s="880">
        <v>68.154960670758385</v>
      </c>
      <c r="AE255" s="880">
        <v>196</v>
      </c>
      <c r="AF255" s="881">
        <v>0.3477293911773387</v>
      </c>
      <c r="AG255" s="880">
        <v>68.80552053724027</v>
      </c>
      <c r="AH255" s="880">
        <v>203</v>
      </c>
      <c r="AI255" s="881">
        <v>0.33894345092236589</v>
      </c>
    </row>
    <row r="256" spans="2:35" x14ac:dyDescent="0.2">
      <c r="B256" s="867">
        <v>78554000</v>
      </c>
      <c r="C256" s="876" t="s">
        <v>1448</v>
      </c>
      <c r="D256" s="877" t="s">
        <v>1447</v>
      </c>
      <c r="E256" s="877" t="s">
        <v>1448</v>
      </c>
      <c r="F256" s="877" t="s">
        <v>1448</v>
      </c>
      <c r="G256" s="877" t="s">
        <v>1448</v>
      </c>
      <c r="H256" s="877" t="s">
        <v>1448</v>
      </c>
      <c r="I256" s="877" t="s">
        <v>1448</v>
      </c>
      <c r="J256" s="878" t="s">
        <v>1448</v>
      </c>
      <c r="K256" s="877"/>
      <c r="L256" s="879" t="s">
        <v>1450</v>
      </c>
      <c r="M256" s="880" t="s">
        <v>1450</v>
      </c>
      <c r="N256" s="881" t="s">
        <v>1450</v>
      </c>
      <c r="O256" s="880">
        <v>52.434055258044644</v>
      </c>
      <c r="P256" s="880">
        <v>137</v>
      </c>
      <c r="Q256" s="881">
        <v>0.38273033035069082</v>
      </c>
      <c r="R256" s="880" t="s">
        <v>1450</v>
      </c>
      <c r="S256" s="880" t="s">
        <v>1450</v>
      </c>
      <c r="T256" s="881" t="s">
        <v>1450</v>
      </c>
      <c r="U256" s="880" t="s">
        <v>1450</v>
      </c>
      <c r="V256" s="880" t="s">
        <v>1450</v>
      </c>
      <c r="W256" s="881" t="s">
        <v>1450</v>
      </c>
      <c r="X256" s="880" t="s">
        <v>1450</v>
      </c>
      <c r="Y256" s="880" t="s">
        <v>1450</v>
      </c>
      <c r="Z256" s="881" t="s">
        <v>1450</v>
      </c>
      <c r="AA256" s="880" t="s">
        <v>1450</v>
      </c>
      <c r="AB256" s="880" t="s">
        <v>1450</v>
      </c>
      <c r="AC256" s="881" t="s">
        <v>1450</v>
      </c>
      <c r="AD256" s="880" t="s">
        <v>1450</v>
      </c>
      <c r="AE256" s="880" t="s">
        <v>1450</v>
      </c>
      <c r="AF256" s="881" t="s">
        <v>1450</v>
      </c>
      <c r="AG256" s="880" t="s">
        <v>1450</v>
      </c>
      <c r="AH256" s="880" t="s">
        <v>1450</v>
      </c>
      <c r="AI256" s="881" t="s">
        <v>1450</v>
      </c>
    </row>
    <row r="257" spans="2:35" x14ac:dyDescent="0.2">
      <c r="B257" s="867">
        <v>78555000</v>
      </c>
      <c r="C257" s="876" t="s">
        <v>1448</v>
      </c>
      <c r="D257" s="877" t="s">
        <v>1448</v>
      </c>
      <c r="E257" s="877" t="s">
        <v>1447</v>
      </c>
      <c r="F257" s="877" t="s">
        <v>1447</v>
      </c>
      <c r="G257" s="877" t="s">
        <v>1448</v>
      </c>
      <c r="H257" s="877" t="s">
        <v>1448</v>
      </c>
      <c r="I257" s="877" t="s">
        <v>1448</v>
      </c>
      <c r="J257" s="878" t="s">
        <v>1448</v>
      </c>
      <c r="K257" s="877"/>
      <c r="L257" s="879" t="s">
        <v>1450</v>
      </c>
      <c r="M257" s="880" t="s">
        <v>1450</v>
      </c>
      <c r="N257" s="881" t="s">
        <v>1450</v>
      </c>
      <c r="O257" s="880">
        <v>8.3718239487634314</v>
      </c>
      <c r="P257" s="880">
        <v>20</v>
      </c>
      <c r="Q257" s="881">
        <v>0.41859119743817158</v>
      </c>
      <c r="R257" s="880">
        <v>15.446804435103685</v>
      </c>
      <c r="S257" s="880">
        <v>31</v>
      </c>
      <c r="T257" s="881">
        <v>0.49828401403560274</v>
      </c>
      <c r="U257" s="880">
        <v>12.251579203109815</v>
      </c>
      <c r="V257" s="880">
        <v>24</v>
      </c>
      <c r="W257" s="881">
        <v>0.51048246679624232</v>
      </c>
      <c r="X257" s="880">
        <v>0</v>
      </c>
      <c r="Y257" s="880">
        <v>0</v>
      </c>
      <c r="Z257" s="881">
        <v>0</v>
      </c>
      <c r="AA257" s="880" t="s">
        <v>1450</v>
      </c>
      <c r="AB257" s="880" t="s">
        <v>1450</v>
      </c>
      <c r="AC257" s="881" t="s">
        <v>1450</v>
      </c>
      <c r="AD257" s="880" t="s">
        <v>1450</v>
      </c>
      <c r="AE257" s="880" t="s">
        <v>1450</v>
      </c>
      <c r="AF257" s="881" t="s">
        <v>1450</v>
      </c>
      <c r="AG257" s="880" t="s">
        <v>1450</v>
      </c>
      <c r="AH257" s="880" t="s">
        <v>1450</v>
      </c>
      <c r="AI257" s="881" t="s">
        <v>1450</v>
      </c>
    </row>
    <row r="258" spans="2:35" x14ac:dyDescent="0.2">
      <c r="B258" s="867">
        <v>78556000</v>
      </c>
      <c r="C258" s="876" t="s">
        <v>1448</v>
      </c>
      <c r="D258" s="877" t="s">
        <v>1448</v>
      </c>
      <c r="E258" s="877" t="s">
        <v>1447</v>
      </c>
      <c r="F258" s="877" t="s">
        <v>1447</v>
      </c>
      <c r="G258" s="877" t="s">
        <v>1447</v>
      </c>
      <c r="H258" s="877" t="s">
        <v>1447</v>
      </c>
      <c r="I258" s="877" t="s">
        <v>1447</v>
      </c>
      <c r="J258" s="878" t="s">
        <v>1447</v>
      </c>
      <c r="K258" s="877"/>
      <c r="L258" s="879" t="s">
        <v>1450</v>
      </c>
      <c r="M258" s="880" t="s">
        <v>1450</v>
      </c>
      <c r="N258" s="881" t="s">
        <v>1450</v>
      </c>
      <c r="O258" s="880" t="s">
        <v>1450</v>
      </c>
      <c r="P258" s="880" t="s">
        <v>1450</v>
      </c>
      <c r="Q258" s="881" t="s">
        <v>1450</v>
      </c>
      <c r="R258" s="880">
        <v>60.790649712343537</v>
      </c>
      <c r="S258" s="880">
        <v>166</v>
      </c>
      <c r="T258" s="881">
        <v>0.36620873320688879</v>
      </c>
      <c r="U258" s="880">
        <v>50.07167152575316</v>
      </c>
      <c r="V258" s="880">
        <v>193</v>
      </c>
      <c r="W258" s="881">
        <v>0.25943871256866924</v>
      </c>
      <c r="X258" s="880">
        <v>54.069011991359964</v>
      </c>
      <c r="Y258" s="880">
        <v>231</v>
      </c>
      <c r="Z258" s="881">
        <v>0.23406498697558425</v>
      </c>
      <c r="AA258" s="880">
        <v>102.46219075971953</v>
      </c>
      <c r="AB258" s="880">
        <v>288</v>
      </c>
      <c r="AC258" s="881">
        <v>0.35577149569347061</v>
      </c>
      <c r="AD258" s="880">
        <v>124.52372513529541</v>
      </c>
      <c r="AE258" s="880">
        <v>307</v>
      </c>
      <c r="AF258" s="881">
        <v>0.40561473985438246</v>
      </c>
      <c r="AG258" s="880">
        <v>116.32588004497455</v>
      </c>
      <c r="AH258" s="880">
        <v>317</v>
      </c>
      <c r="AI258" s="881">
        <v>0.36695861212925729</v>
      </c>
    </row>
    <row r="259" spans="2:35" x14ac:dyDescent="0.2">
      <c r="B259" s="867">
        <v>78557000</v>
      </c>
      <c r="C259" s="876" t="s">
        <v>1448</v>
      </c>
      <c r="D259" s="877" t="s">
        <v>1447</v>
      </c>
      <c r="E259" s="877" t="s">
        <v>1447</v>
      </c>
      <c r="F259" s="877" t="s">
        <v>1448</v>
      </c>
      <c r="G259" s="877" t="s">
        <v>1448</v>
      </c>
      <c r="H259" s="877" t="s">
        <v>1448</v>
      </c>
      <c r="I259" s="877" t="s">
        <v>1448</v>
      </c>
      <c r="J259" s="878" t="s">
        <v>1448</v>
      </c>
      <c r="K259" s="877"/>
      <c r="L259" s="879" t="s">
        <v>1450</v>
      </c>
      <c r="M259" s="880" t="s">
        <v>1450</v>
      </c>
      <c r="N259" s="881" t="s">
        <v>1450</v>
      </c>
      <c r="O259" s="880">
        <v>11.896802453505927</v>
      </c>
      <c r="P259" s="880">
        <v>55</v>
      </c>
      <c r="Q259" s="881">
        <v>0.21630549915465322</v>
      </c>
      <c r="R259" s="880">
        <v>10.463964294747658</v>
      </c>
      <c r="S259" s="880">
        <v>32</v>
      </c>
      <c r="T259" s="881">
        <v>0.32699888421086432</v>
      </c>
      <c r="U259" s="880" t="s">
        <v>1450</v>
      </c>
      <c r="V259" s="880" t="s">
        <v>1450</v>
      </c>
      <c r="W259" s="881" t="s">
        <v>1450</v>
      </c>
      <c r="X259" s="880" t="s">
        <v>1450</v>
      </c>
      <c r="Y259" s="880" t="s">
        <v>1450</v>
      </c>
      <c r="Z259" s="881" t="s">
        <v>1450</v>
      </c>
      <c r="AA259" s="880" t="s">
        <v>1450</v>
      </c>
      <c r="AB259" s="880" t="s">
        <v>1450</v>
      </c>
      <c r="AC259" s="881" t="s">
        <v>1450</v>
      </c>
      <c r="AD259" s="880" t="s">
        <v>1450</v>
      </c>
      <c r="AE259" s="880" t="s">
        <v>1450</v>
      </c>
      <c r="AF259" s="881" t="s">
        <v>1450</v>
      </c>
      <c r="AG259" s="880" t="s">
        <v>1450</v>
      </c>
      <c r="AH259" s="880" t="s">
        <v>1450</v>
      </c>
      <c r="AI259" s="881" t="s">
        <v>1450</v>
      </c>
    </row>
    <row r="260" spans="2:35" x14ac:dyDescent="0.2">
      <c r="B260" s="867">
        <v>78558000</v>
      </c>
      <c r="C260" s="876" t="s">
        <v>1448</v>
      </c>
      <c r="D260" s="877" t="s">
        <v>1448</v>
      </c>
      <c r="E260" s="877" t="s">
        <v>1448</v>
      </c>
      <c r="F260" s="877" t="s">
        <v>1447</v>
      </c>
      <c r="G260" s="877" t="s">
        <v>1447</v>
      </c>
      <c r="H260" s="877" t="s">
        <v>1447</v>
      </c>
      <c r="I260" s="877" t="s">
        <v>1447</v>
      </c>
      <c r="J260" s="878" t="s">
        <v>1447</v>
      </c>
      <c r="K260" s="877"/>
      <c r="L260" s="879" t="s">
        <v>1450</v>
      </c>
      <c r="M260" s="880" t="s">
        <v>1450</v>
      </c>
      <c r="N260" s="881" t="s">
        <v>1450</v>
      </c>
      <c r="O260" s="880" t="s">
        <v>1450</v>
      </c>
      <c r="P260" s="880" t="s">
        <v>1450</v>
      </c>
      <c r="Q260" s="881" t="s">
        <v>1450</v>
      </c>
      <c r="R260" s="880">
        <v>5.4811241543916305</v>
      </c>
      <c r="S260" s="880">
        <v>33</v>
      </c>
      <c r="T260" s="881">
        <v>0.16609467134520092</v>
      </c>
      <c r="U260" s="880">
        <v>84.695699708454811</v>
      </c>
      <c r="V260" s="880">
        <v>191</v>
      </c>
      <c r="W260" s="881">
        <v>0.44343298276677912</v>
      </c>
      <c r="X260" s="880">
        <v>50.429751568864582</v>
      </c>
      <c r="Y260" s="880">
        <v>161</v>
      </c>
      <c r="Z260" s="881">
        <v>0.31322827061406572</v>
      </c>
      <c r="AA260" s="880">
        <v>75.469463086460081</v>
      </c>
      <c r="AB260" s="880">
        <v>205</v>
      </c>
      <c r="AC260" s="881">
        <v>0.36814372237297599</v>
      </c>
      <c r="AD260" s="880">
        <v>86.090476636747439</v>
      </c>
      <c r="AE260" s="880">
        <v>284</v>
      </c>
      <c r="AF260" s="881">
        <v>0.30313548111530786</v>
      </c>
      <c r="AG260" s="880">
        <v>57.420434405178931</v>
      </c>
      <c r="AH260" s="880">
        <v>306</v>
      </c>
      <c r="AI260" s="881">
        <v>0.18764847844829716</v>
      </c>
    </row>
    <row r="261" spans="2:35" x14ac:dyDescent="0.2">
      <c r="B261" s="867">
        <v>78559000</v>
      </c>
      <c r="C261" s="876" t="s">
        <v>1448</v>
      </c>
      <c r="D261" s="877" t="s">
        <v>1447</v>
      </c>
      <c r="E261" s="877" t="s">
        <v>1447</v>
      </c>
      <c r="F261" s="877" t="s">
        <v>1447</v>
      </c>
      <c r="G261" s="877" t="s">
        <v>1447</v>
      </c>
      <c r="H261" s="877" t="s">
        <v>1447</v>
      </c>
      <c r="I261" s="877" t="s">
        <v>1447</v>
      </c>
      <c r="J261" s="878" t="s">
        <v>1447</v>
      </c>
      <c r="K261" s="877"/>
      <c r="L261" s="879" t="s">
        <v>1450</v>
      </c>
      <c r="M261" s="880" t="s">
        <v>1450</v>
      </c>
      <c r="N261" s="881" t="s">
        <v>1450</v>
      </c>
      <c r="O261" s="880">
        <v>27.318583411754354</v>
      </c>
      <c r="P261" s="880">
        <v>69</v>
      </c>
      <c r="Q261" s="881">
        <v>0.39592149872107757</v>
      </c>
      <c r="R261" s="880">
        <v>63.780353796557151</v>
      </c>
      <c r="S261" s="880">
        <v>139</v>
      </c>
      <c r="T261" s="881">
        <v>0.45885146616228167</v>
      </c>
      <c r="U261" s="880">
        <v>119.31972789115646</v>
      </c>
      <c r="V261" s="880">
        <v>253</v>
      </c>
      <c r="W261" s="881">
        <v>0.47161947783065794</v>
      </c>
      <c r="X261" s="880">
        <v>220.43520273400603</v>
      </c>
      <c r="Y261" s="880">
        <v>439</v>
      </c>
      <c r="Z261" s="881">
        <v>0.50213030235536682</v>
      </c>
      <c r="AA261" s="880">
        <v>233.56972517269401</v>
      </c>
      <c r="AB261" s="880">
        <v>439</v>
      </c>
      <c r="AC261" s="881">
        <v>0.53204948786490658</v>
      </c>
      <c r="AD261" s="880">
        <v>261.34608979012614</v>
      </c>
      <c r="AE261" s="880">
        <v>530</v>
      </c>
      <c r="AF261" s="881">
        <v>0.49310582979269085</v>
      </c>
      <c r="AG261" s="880">
        <v>276.21208963870555</v>
      </c>
      <c r="AH261" s="880">
        <v>570</v>
      </c>
      <c r="AI261" s="881">
        <v>0.48458261340123782</v>
      </c>
    </row>
    <row r="262" spans="2:35" x14ac:dyDescent="0.2">
      <c r="B262" s="867">
        <v>78560000</v>
      </c>
      <c r="C262" s="876" t="s">
        <v>1448</v>
      </c>
      <c r="D262" s="877" t="s">
        <v>1447</v>
      </c>
      <c r="E262" s="877" t="s">
        <v>1447</v>
      </c>
      <c r="F262" s="877" t="s">
        <v>1447</v>
      </c>
      <c r="G262" s="877" t="s">
        <v>1447</v>
      </c>
      <c r="H262" s="877" t="s">
        <v>1447</v>
      </c>
      <c r="I262" s="877" t="s">
        <v>1447</v>
      </c>
      <c r="J262" s="878" t="s">
        <v>1447</v>
      </c>
      <c r="K262" s="877"/>
      <c r="L262" s="879" t="s">
        <v>1450</v>
      </c>
      <c r="M262" s="880" t="s">
        <v>1450</v>
      </c>
      <c r="N262" s="881" t="s">
        <v>1450</v>
      </c>
      <c r="O262" s="880">
        <v>27.759205724847163</v>
      </c>
      <c r="P262" s="880">
        <v>64</v>
      </c>
      <c r="Q262" s="881">
        <v>0.43373758945073693</v>
      </c>
      <c r="R262" s="880">
        <v>49.828401403560271</v>
      </c>
      <c r="S262" s="880">
        <v>115</v>
      </c>
      <c r="T262" s="881">
        <v>0.43329044698748059</v>
      </c>
      <c r="U262" s="880">
        <v>65.51931486880467</v>
      </c>
      <c r="V262" s="880">
        <v>140</v>
      </c>
      <c r="W262" s="881">
        <v>0.46799510620574764</v>
      </c>
      <c r="X262" s="880">
        <v>65.506687604916877</v>
      </c>
      <c r="Y262" s="880">
        <v>131</v>
      </c>
      <c r="Z262" s="881">
        <v>0.50005105041921283</v>
      </c>
      <c r="AA262" s="880">
        <v>78.223823053119219</v>
      </c>
      <c r="AB262" s="880">
        <v>148</v>
      </c>
      <c r="AC262" s="881">
        <v>0.52853934495350818</v>
      </c>
      <c r="AD262" s="880">
        <v>78.403826937037849</v>
      </c>
      <c r="AE262" s="880">
        <v>161</v>
      </c>
      <c r="AF262" s="881">
        <v>0.48698029153439659</v>
      </c>
      <c r="AG262" s="880">
        <v>55.440419425690003</v>
      </c>
      <c r="AH262" s="880">
        <v>121</v>
      </c>
      <c r="AI262" s="881">
        <v>0.45818528450983476</v>
      </c>
    </row>
    <row r="263" spans="2:35" x14ac:dyDescent="0.2">
      <c r="B263" s="867">
        <v>78561000</v>
      </c>
      <c r="C263" s="876" t="s">
        <v>1448</v>
      </c>
      <c r="D263" s="877" t="s">
        <v>1448</v>
      </c>
      <c r="E263" s="877" t="s">
        <v>1448</v>
      </c>
      <c r="F263" s="877" t="s">
        <v>1448</v>
      </c>
      <c r="G263" s="877" t="s">
        <v>1448</v>
      </c>
      <c r="H263" s="877" t="s">
        <v>1448</v>
      </c>
      <c r="I263" s="877" t="s">
        <v>1448</v>
      </c>
      <c r="J263" s="878" t="s">
        <v>1448</v>
      </c>
      <c r="K263" s="877"/>
      <c r="L263" s="879" t="s">
        <v>1450</v>
      </c>
      <c r="M263" s="880" t="s">
        <v>1450</v>
      </c>
      <c r="N263" s="881" t="s">
        <v>1450</v>
      </c>
      <c r="O263" s="880" t="s">
        <v>1450</v>
      </c>
      <c r="P263" s="880" t="s">
        <v>1450</v>
      </c>
      <c r="Q263" s="881" t="s">
        <v>1450</v>
      </c>
      <c r="R263" s="880" t="s">
        <v>1450</v>
      </c>
      <c r="S263" s="880" t="s">
        <v>1450</v>
      </c>
      <c r="T263" s="881" t="s">
        <v>1450</v>
      </c>
      <c r="U263" s="880">
        <v>0</v>
      </c>
      <c r="V263" s="880">
        <v>1465</v>
      </c>
      <c r="W263" s="881">
        <v>0</v>
      </c>
      <c r="X263" s="880">
        <v>0</v>
      </c>
      <c r="Y263" s="880">
        <v>1904</v>
      </c>
      <c r="Z263" s="881">
        <v>0</v>
      </c>
      <c r="AA263" s="880" t="s">
        <v>1450</v>
      </c>
      <c r="AB263" s="880" t="s">
        <v>1450</v>
      </c>
      <c r="AC263" s="881" t="s">
        <v>1450</v>
      </c>
      <c r="AD263" s="880" t="s">
        <v>1450</v>
      </c>
      <c r="AE263" s="880" t="s">
        <v>1450</v>
      </c>
      <c r="AF263" s="881" t="s">
        <v>1450</v>
      </c>
      <c r="AG263" s="880" t="s">
        <v>1450</v>
      </c>
      <c r="AH263" s="880" t="s">
        <v>1450</v>
      </c>
      <c r="AI263" s="881" t="s">
        <v>1450</v>
      </c>
    </row>
    <row r="264" spans="2:35" x14ac:dyDescent="0.2">
      <c r="B264" s="867">
        <v>78562000</v>
      </c>
      <c r="C264" s="876" t="s">
        <v>1448</v>
      </c>
      <c r="D264" s="877" t="s">
        <v>1447</v>
      </c>
      <c r="E264" s="877" t="s">
        <v>1447</v>
      </c>
      <c r="F264" s="877" t="s">
        <v>1447</v>
      </c>
      <c r="G264" s="877" t="s">
        <v>1447</v>
      </c>
      <c r="H264" s="877" t="s">
        <v>1447</v>
      </c>
      <c r="I264" s="877" t="s">
        <v>1447</v>
      </c>
      <c r="J264" s="878" t="s">
        <v>1447</v>
      </c>
      <c r="K264" s="877"/>
      <c r="L264" s="879" t="s">
        <v>1450</v>
      </c>
      <c r="M264" s="880" t="s">
        <v>1450</v>
      </c>
      <c r="N264" s="881" t="s">
        <v>1450</v>
      </c>
      <c r="O264" s="880">
        <v>19.828004089176545</v>
      </c>
      <c r="P264" s="880">
        <v>67</v>
      </c>
      <c r="Q264" s="881">
        <v>0.29594035953994846</v>
      </c>
      <c r="R264" s="880">
        <v>56.30609358602311</v>
      </c>
      <c r="S264" s="880">
        <v>131</v>
      </c>
      <c r="T264" s="881">
        <v>0.42981750829025273</v>
      </c>
      <c r="U264" s="880">
        <v>67.117346938775512</v>
      </c>
      <c r="V264" s="880">
        <v>155</v>
      </c>
      <c r="W264" s="881">
        <v>0.43301514154048715</v>
      </c>
      <c r="X264" s="880">
        <v>62.907215874563036</v>
      </c>
      <c r="Y264" s="880">
        <v>153</v>
      </c>
      <c r="Z264" s="881">
        <v>0.4111582736899545</v>
      </c>
      <c r="AA264" s="880">
        <v>112.37788663969239</v>
      </c>
      <c r="AB264" s="880">
        <v>212</v>
      </c>
      <c r="AC264" s="881">
        <v>0.53008437094194527</v>
      </c>
      <c r="AD264" s="880">
        <v>84.553146696805527</v>
      </c>
      <c r="AE264" s="880">
        <v>196</v>
      </c>
      <c r="AF264" s="881">
        <v>0.43139360559594658</v>
      </c>
      <c r="AG264" s="880">
        <v>96.525730250085275</v>
      </c>
      <c r="AH264" s="880">
        <v>232</v>
      </c>
      <c r="AI264" s="881">
        <v>0.41605918211243653</v>
      </c>
    </row>
    <row r="265" spans="2:35" x14ac:dyDescent="0.2">
      <c r="B265" s="867">
        <v>78564000</v>
      </c>
      <c r="C265" s="876" t="s">
        <v>1448</v>
      </c>
      <c r="D265" s="877" t="s">
        <v>1447</v>
      </c>
      <c r="E265" s="877" t="s">
        <v>1447</v>
      </c>
      <c r="F265" s="877" t="s">
        <v>1447</v>
      </c>
      <c r="G265" s="877" t="s">
        <v>1447</v>
      </c>
      <c r="H265" s="877" t="s">
        <v>1447</v>
      </c>
      <c r="I265" s="877" t="s">
        <v>1447</v>
      </c>
      <c r="J265" s="878" t="s">
        <v>1447</v>
      </c>
      <c r="K265" s="877"/>
      <c r="L265" s="879" t="s">
        <v>1450</v>
      </c>
      <c r="M265" s="880" t="s">
        <v>1450</v>
      </c>
      <c r="N265" s="881" t="s">
        <v>1450</v>
      </c>
      <c r="O265" s="880">
        <v>47.146587500930899</v>
      </c>
      <c r="P265" s="880">
        <v>237</v>
      </c>
      <c r="Q265" s="881">
        <v>0.19893074894907553</v>
      </c>
      <c r="R265" s="880">
        <v>52.319821473738287</v>
      </c>
      <c r="S265" s="880">
        <v>303</v>
      </c>
      <c r="T265" s="881">
        <v>0.17267267813114945</v>
      </c>
      <c r="U265" s="880">
        <v>76.172862001943628</v>
      </c>
      <c r="V265" s="880">
        <v>305</v>
      </c>
      <c r="W265" s="881">
        <v>0.24974708853096272</v>
      </c>
      <c r="X265" s="880">
        <v>83.702989717393791</v>
      </c>
      <c r="Y265" s="880">
        <v>326</v>
      </c>
      <c r="Z265" s="881">
        <v>0.25675763716991962</v>
      </c>
      <c r="AA265" s="880">
        <v>126.70055846631986</v>
      </c>
      <c r="AB265" s="880">
        <v>544</v>
      </c>
      <c r="AC265" s="881">
        <v>0.23290543835720562</v>
      </c>
      <c r="AD265" s="880">
        <v>173.20583990012284</v>
      </c>
      <c r="AE265" s="880">
        <v>809</v>
      </c>
      <c r="AF265" s="881">
        <v>0.21409868961696271</v>
      </c>
      <c r="AG265" s="880">
        <v>164.34124329758106</v>
      </c>
      <c r="AH265" s="880">
        <v>867</v>
      </c>
      <c r="AI265" s="881">
        <v>0.18955160703296547</v>
      </c>
    </row>
    <row r="266" spans="2:35" x14ac:dyDescent="0.2">
      <c r="B266" s="867">
        <v>78565000</v>
      </c>
      <c r="C266" s="876" t="s">
        <v>1448</v>
      </c>
      <c r="D266" s="877" t="s">
        <v>1447</v>
      </c>
      <c r="E266" s="877" t="s">
        <v>1447</v>
      </c>
      <c r="F266" s="877" t="s">
        <v>1447</v>
      </c>
      <c r="G266" s="877" t="s">
        <v>1447</v>
      </c>
      <c r="H266" s="877" t="s">
        <v>1447</v>
      </c>
      <c r="I266" s="877" t="s">
        <v>1447</v>
      </c>
      <c r="J266" s="878" t="s">
        <v>1447</v>
      </c>
      <c r="K266" s="877"/>
      <c r="L266" s="879" t="s">
        <v>1450</v>
      </c>
      <c r="M266" s="880" t="s">
        <v>1450</v>
      </c>
      <c r="N266" s="881" t="s">
        <v>1450</v>
      </c>
      <c r="O266" s="880">
        <v>33.927918108146535</v>
      </c>
      <c r="P266" s="880">
        <v>124</v>
      </c>
      <c r="Q266" s="881">
        <v>0.27361224280763335</v>
      </c>
      <c r="R266" s="880">
        <v>44.347277249168641</v>
      </c>
      <c r="S266" s="880">
        <v>142</v>
      </c>
      <c r="T266" s="881">
        <v>0.31230476936034257</v>
      </c>
      <c r="U266" s="880">
        <v>71.911443148688051</v>
      </c>
      <c r="V266" s="880">
        <v>186</v>
      </c>
      <c r="W266" s="881">
        <v>0.38662066208972068</v>
      </c>
      <c r="X266" s="880">
        <v>80.583623640969179</v>
      </c>
      <c r="Y266" s="880">
        <v>224</v>
      </c>
      <c r="Z266" s="881">
        <v>0.35974831982575528</v>
      </c>
      <c r="AA266" s="880">
        <v>93.648238866410324</v>
      </c>
      <c r="AB266" s="880">
        <v>250</v>
      </c>
      <c r="AC266" s="881">
        <v>0.37459295546564131</v>
      </c>
      <c r="AD266" s="880">
        <v>89.165136516631279</v>
      </c>
      <c r="AE266" s="880">
        <v>248</v>
      </c>
      <c r="AF266" s="881">
        <v>0.35953684079286807</v>
      </c>
      <c r="AG266" s="880">
        <v>81.675617903918308</v>
      </c>
      <c r="AH266" s="880">
        <v>214</v>
      </c>
      <c r="AI266" s="881">
        <v>0.3816617659061603</v>
      </c>
    </row>
    <row r="267" spans="2:35" x14ac:dyDescent="0.2">
      <c r="B267" s="867">
        <v>78566000</v>
      </c>
      <c r="C267" s="876" t="s">
        <v>1448</v>
      </c>
      <c r="D267" s="877" t="s">
        <v>1447</v>
      </c>
      <c r="E267" s="877" t="s">
        <v>1447</v>
      </c>
      <c r="F267" s="877" t="s">
        <v>1447</v>
      </c>
      <c r="G267" s="877" t="s">
        <v>1447</v>
      </c>
      <c r="H267" s="877" t="s">
        <v>1447</v>
      </c>
      <c r="I267" s="877" t="s">
        <v>1447</v>
      </c>
      <c r="J267" s="878" t="s">
        <v>1447</v>
      </c>
      <c r="K267" s="877"/>
      <c r="L267" s="879" t="s">
        <v>1450</v>
      </c>
      <c r="M267" s="880" t="s">
        <v>1450</v>
      </c>
      <c r="N267" s="881" t="s">
        <v>1450</v>
      </c>
      <c r="O267" s="880">
        <v>56.840278388972763</v>
      </c>
      <c r="P267" s="880">
        <v>132</v>
      </c>
      <c r="Q267" s="881">
        <v>0.43060816961343001</v>
      </c>
      <c r="R267" s="880">
        <v>59.794081684272328</v>
      </c>
      <c r="S267" s="880">
        <v>125</v>
      </c>
      <c r="T267" s="881">
        <v>0.4783526534741786</v>
      </c>
      <c r="U267" s="880">
        <v>58.061831875607382</v>
      </c>
      <c r="V267" s="880">
        <v>122</v>
      </c>
      <c r="W267" s="881">
        <v>0.4759166547180933</v>
      </c>
      <c r="X267" s="880">
        <v>61.34753283635073</v>
      </c>
      <c r="Y267" s="880">
        <v>126</v>
      </c>
      <c r="Z267" s="881">
        <v>0.48688518124087882</v>
      </c>
      <c r="AA267" s="880">
        <v>57.84155929984167</v>
      </c>
      <c r="AB267" s="880">
        <v>105</v>
      </c>
      <c r="AC267" s="881">
        <v>0.55087199333182546</v>
      </c>
      <c r="AD267" s="880">
        <v>45.095011571629612</v>
      </c>
      <c r="AE267" s="880">
        <v>106</v>
      </c>
      <c r="AF267" s="881">
        <v>0.42542463746820391</v>
      </c>
      <c r="AG267" s="880">
        <v>50.490381976967676</v>
      </c>
      <c r="AH267" s="880">
        <v>118</v>
      </c>
      <c r="AI267" s="881">
        <v>0.42788459302514981</v>
      </c>
    </row>
    <row r="268" spans="2:35" x14ac:dyDescent="0.2">
      <c r="B268" s="867">
        <v>78567000</v>
      </c>
      <c r="C268" s="876" t="s">
        <v>1448</v>
      </c>
      <c r="D268" s="877" t="s">
        <v>1447</v>
      </c>
      <c r="E268" s="877" t="s">
        <v>1447</v>
      </c>
      <c r="F268" s="877" t="s">
        <v>1447</v>
      </c>
      <c r="G268" s="877" t="s">
        <v>1447</v>
      </c>
      <c r="H268" s="877" t="s">
        <v>1447</v>
      </c>
      <c r="I268" s="877" t="s">
        <v>1447</v>
      </c>
      <c r="J268" s="878" t="s">
        <v>1447</v>
      </c>
      <c r="K268" s="877"/>
      <c r="L268" s="879" t="s">
        <v>1450</v>
      </c>
      <c r="M268" s="880" t="s">
        <v>1450</v>
      </c>
      <c r="N268" s="881" t="s">
        <v>1450</v>
      </c>
      <c r="O268" s="880">
        <v>44.502853622374026</v>
      </c>
      <c r="P268" s="880">
        <v>136</v>
      </c>
      <c r="Q268" s="881">
        <v>0.32722686487039726</v>
      </c>
      <c r="R268" s="880">
        <v>72.251182035162401</v>
      </c>
      <c r="S268" s="880">
        <v>181</v>
      </c>
      <c r="T268" s="881">
        <v>0.3991778012992398</v>
      </c>
      <c r="U268" s="880">
        <v>125.71185617103984</v>
      </c>
      <c r="V268" s="880">
        <v>270</v>
      </c>
      <c r="W268" s="881">
        <v>0.46559946730014756</v>
      </c>
      <c r="X268" s="880">
        <v>109.17781267486147</v>
      </c>
      <c r="Y268" s="880">
        <v>301</v>
      </c>
      <c r="Z268" s="881">
        <v>0.36271698563076898</v>
      </c>
      <c r="AA268" s="880">
        <v>180.68601381283875</v>
      </c>
      <c r="AB268" s="880">
        <v>359</v>
      </c>
      <c r="AC268" s="881">
        <v>0.50330365964579038</v>
      </c>
      <c r="AD268" s="880">
        <v>158.85742712733159</v>
      </c>
      <c r="AE268" s="880">
        <v>320</v>
      </c>
      <c r="AF268" s="881">
        <v>0.4964294597729112</v>
      </c>
      <c r="AG268" s="880">
        <v>153.45116091039196</v>
      </c>
      <c r="AH268" s="880">
        <v>310</v>
      </c>
      <c r="AI268" s="881">
        <v>0.49500374487223214</v>
      </c>
    </row>
    <row r="269" spans="2:35" x14ac:dyDescent="0.2">
      <c r="B269" s="867">
        <v>78569000</v>
      </c>
      <c r="C269" s="876" t="s">
        <v>1448</v>
      </c>
      <c r="D269" s="877" t="s">
        <v>1448</v>
      </c>
      <c r="E269" s="877" t="s">
        <v>1447</v>
      </c>
      <c r="F269" s="877" t="s">
        <v>1447</v>
      </c>
      <c r="G269" s="877" t="s">
        <v>1447</v>
      </c>
      <c r="H269" s="877" t="s">
        <v>1447</v>
      </c>
      <c r="I269" s="877" t="s">
        <v>1448</v>
      </c>
      <c r="J269" s="878" t="s">
        <v>1448</v>
      </c>
      <c r="K269" s="877"/>
      <c r="L269" s="879" t="s">
        <v>1450</v>
      </c>
      <c r="M269" s="880" t="s">
        <v>1450</v>
      </c>
      <c r="N269" s="881" t="s">
        <v>1450</v>
      </c>
      <c r="O269" s="880" t="s">
        <v>1450</v>
      </c>
      <c r="P269" s="880" t="s">
        <v>1450</v>
      </c>
      <c r="Q269" s="881" t="s">
        <v>1450</v>
      </c>
      <c r="R269" s="880">
        <v>18.4365085193173</v>
      </c>
      <c r="S269" s="880">
        <v>118</v>
      </c>
      <c r="T269" s="881">
        <v>0.15624159762133305</v>
      </c>
      <c r="U269" s="880">
        <v>29.297254616132168</v>
      </c>
      <c r="V269" s="880">
        <v>136</v>
      </c>
      <c r="W269" s="881">
        <v>0.21542098982450122</v>
      </c>
      <c r="X269" s="880">
        <v>37.432392917095363</v>
      </c>
      <c r="Y269" s="880">
        <v>148</v>
      </c>
      <c r="Z269" s="881">
        <v>0.25292157376415786</v>
      </c>
      <c r="AA269" s="880">
        <v>24.238367706600322</v>
      </c>
      <c r="AB269" s="880">
        <v>118</v>
      </c>
      <c r="AC269" s="881">
        <v>0.2054098958186468</v>
      </c>
      <c r="AD269" s="880">
        <v>0</v>
      </c>
      <c r="AE269" s="880" t="s">
        <v>900</v>
      </c>
      <c r="AF269" s="881">
        <v>0</v>
      </c>
      <c r="AG269" s="880" t="s">
        <v>1450</v>
      </c>
      <c r="AH269" s="880" t="s">
        <v>1450</v>
      </c>
      <c r="AI269" s="881" t="s">
        <v>1450</v>
      </c>
    </row>
    <row r="270" spans="2:35" x14ac:dyDescent="0.2">
      <c r="B270" s="867">
        <v>78570000</v>
      </c>
      <c r="C270" s="876" t="s">
        <v>1448</v>
      </c>
      <c r="D270" s="877" t="s">
        <v>1447</v>
      </c>
      <c r="E270" s="877" t="s">
        <v>1447</v>
      </c>
      <c r="F270" s="877" t="s">
        <v>1447</v>
      </c>
      <c r="G270" s="877" t="s">
        <v>1447</v>
      </c>
      <c r="H270" s="877" t="s">
        <v>1447</v>
      </c>
      <c r="I270" s="877" t="s">
        <v>1447</v>
      </c>
      <c r="J270" s="878" t="s">
        <v>1447</v>
      </c>
      <c r="K270" s="877"/>
      <c r="L270" s="879" t="s">
        <v>1450</v>
      </c>
      <c r="M270" s="880" t="s">
        <v>1450</v>
      </c>
      <c r="N270" s="881" t="s">
        <v>1450</v>
      </c>
      <c r="O270" s="880">
        <v>28.199828037939977</v>
      </c>
      <c r="P270" s="880">
        <v>154</v>
      </c>
      <c r="Q270" s="881">
        <v>0.18311576648012973</v>
      </c>
      <c r="R270" s="880">
        <v>33.385028940385382</v>
      </c>
      <c r="S270" s="880">
        <v>160</v>
      </c>
      <c r="T270" s="881">
        <v>0.20865643087740865</v>
      </c>
      <c r="U270" s="880">
        <v>43.679543245869773</v>
      </c>
      <c r="V270" s="880">
        <v>194</v>
      </c>
      <c r="W270" s="881">
        <v>0.22515228477252461</v>
      </c>
      <c r="X270" s="880">
        <v>36.392604224953821</v>
      </c>
      <c r="Y270" s="880">
        <v>165</v>
      </c>
      <c r="Z270" s="881">
        <v>0.22056123772699285</v>
      </c>
      <c r="AA270" s="880">
        <v>54.536327339850722</v>
      </c>
      <c r="AB270" s="880">
        <v>171</v>
      </c>
      <c r="AC270" s="881">
        <v>0.31892589087632001</v>
      </c>
      <c r="AD270" s="880">
        <v>52.26921795802523</v>
      </c>
      <c r="AE270" s="880">
        <v>171</v>
      </c>
      <c r="AF270" s="881">
        <v>0.30566794127500135</v>
      </c>
      <c r="AG270" s="880">
        <v>39.105295844906337</v>
      </c>
      <c r="AH270" s="880">
        <v>154</v>
      </c>
      <c r="AI270" s="881">
        <v>0.25393049249939181</v>
      </c>
    </row>
    <row r="271" spans="2:35" x14ac:dyDescent="0.2">
      <c r="B271" s="867">
        <v>78571000</v>
      </c>
      <c r="C271" s="876" t="s">
        <v>1448</v>
      </c>
      <c r="D271" s="877" t="s">
        <v>1447</v>
      </c>
      <c r="E271" s="877" t="s">
        <v>1447</v>
      </c>
      <c r="F271" s="877" t="s">
        <v>1447</v>
      </c>
      <c r="G271" s="877" t="s">
        <v>1447</v>
      </c>
      <c r="H271" s="877" t="s">
        <v>1447</v>
      </c>
      <c r="I271" s="877" t="s">
        <v>1447</v>
      </c>
      <c r="J271" s="878" t="s">
        <v>1447</v>
      </c>
      <c r="K271" s="877"/>
      <c r="L271" s="879" t="s">
        <v>1450</v>
      </c>
      <c r="M271" s="880" t="s">
        <v>1450</v>
      </c>
      <c r="N271" s="881" t="s">
        <v>1450</v>
      </c>
      <c r="O271" s="880">
        <v>37.012274299796218</v>
      </c>
      <c r="P271" s="880">
        <v>186</v>
      </c>
      <c r="Q271" s="881">
        <v>0.19899072204191515</v>
      </c>
      <c r="R271" s="880">
        <v>42.852425207061835</v>
      </c>
      <c r="S271" s="880">
        <v>169</v>
      </c>
      <c r="T271" s="881">
        <v>0.25356464619563218</v>
      </c>
      <c r="U271" s="880">
        <v>61.257896015549079</v>
      </c>
      <c r="V271" s="880">
        <v>233</v>
      </c>
      <c r="W271" s="881">
        <v>0.26290942495943809</v>
      </c>
      <c r="X271" s="880">
        <v>88.901933178101487</v>
      </c>
      <c r="Y271" s="880">
        <v>311</v>
      </c>
      <c r="Z271" s="881">
        <v>0.28585830603891155</v>
      </c>
      <c r="AA271" s="880">
        <v>95.851726839737637</v>
      </c>
      <c r="AB271" s="880">
        <v>303</v>
      </c>
      <c r="AC271" s="881">
        <v>0.31634233280441465</v>
      </c>
      <c r="AD271" s="880">
        <v>65.592744104188526</v>
      </c>
      <c r="AE271" s="880">
        <v>197</v>
      </c>
      <c r="AF271" s="881">
        <v>0.33295809189943415</v>
      </c>
      <c r="AG271" s="880">
        <v>74.250561730834818</v>
      </c>
      <c r="AH271" s="880">
        <v>224</v>
      </c>
      <c r="AI271" s="881">
        <v>0.33147572201265546</v>
      </c>
    </row>
    <row r="272" spans="2:35" x14ac:dyDescent="0.2">
      <c r="B272" s="867">
        <v>78575000</v>
      </c>
      <c r="C272" s="876" t="s">
        <v>1448</v>
      </c>
      <c r="D272" s="877" t="s">
        <v>1448</v>
      </c>
      <c r="E272" s="877" t="s">
        <v>1448</v>
      </c>
      <c r="F272" s="877" t="s">
        <v>1448</v>
      </c>
      <c r="G272" s="877" t="s">
        <v>1448</v>
      </c>
      <c r="H272" s="877" t="s">
        <v>1448</v>
      </c>
      <c r="I272" s="877" t="s">
        <v>1448</v>
      </c>
      <c r="J272" s="878" t="s">
        <v>1448</v>
      </c>
      <c r="K272" s="877"/>
      <c r="L272" s="879" t="s">
        <v>1450</v>
      </c>
      <c r="M272" s="880" t="s">
        <v>1450</v>
      </c>
      <c r="N272" s="881" t="s">
        <v>1450</v>
      </c>
      <c r="O272" s="880" t="s">
        <v>1450</v>
      </c>
      <c r="P272" s="880" t="s">
        <v>1450</v>
      </c>
      <c r="Q272" s="881" t="s">
        <v>1450</v>
      </c>
      <c r="R272" s="880" t="s">
        <v>1450</v>
      </c>
      <c r="S272" s="880" t="s">
        <v>1450</v>
      </c>
      <c r="T272" s="881" t="s">
        <v>1450</v>
      </c>
      <c r="U272" s="880">
        <v>0</v>
      </c>
      <c r="V272" s="880">
        <v>652</v>
      </c>
      <c r="W272" s="881">
        <v>0</v>
      </c>
      <c r="X272" s="880">
        <v>0</v>
      </c>
      <c r="Y272" s="880">
        <v>627</v>
      </c>
      <c r="Z272" s="881">
        <v>0</v>
      </c>
      <c r="AA272" s="880" t="s">
        <v>1450</v>
      </c>
      <c r="AB272" s="880" t="s">
        <v>1450</v>
      </c>
      <c r="AC272" s="881" t="s">
        <v>1450</v>
      </c>
      <c r="AD272" s="880" t="s">
        <v>1450</v>
      </c>
      <c r="AE272" s="880" t="s">
        <v>1450</v>
      </c>
      <c r="AF272" s="881" t="s">
        <v>1450</v>
      </c>
      <c r="AG272" s="880" t="s">
        <v>1450</v>
      </c>
      <c r="AH272" s="880" t="s">
        <v>1450</v>
      </c>
      <c r="AI272" s="881" t="s">
        <v>1450</v>
      </c>
    </row>
    <row r="273" spans="2:35" x14ac:dyDescent="0.2">
      <c r="B273" s="867">
        <v>78576000</v>
      </c>
      <c r="C273" s="876" t="s">
        <v>1448</v>
      </c>
      <c r="D273" s="877" t="s">
        <v>1448</v>
      </c>
      <c r="E273" s="877" t="s">
        <v>1448</v>
      </c>
      <c r="F273" s="877" t="s">
        <v>1447</v>
      </c>
      <c r="G273" s="877" t="s">
        <v>1447</v>
      </c>
      <c r="H273" s="877" t="s">
        <v>1447</v>
      </c>
      <c r="I273" s="877" t="s">
        <v>1447</v>
      </c>
      <c r="J273" s="878" t="s">
        <v>1447</v>
      </c>
      <c r="K273" s="877"/>
      <c r="L273" s="879" t="s">
        <v>1450</v>
      </c>
      <c r="M273" s="880" t="s">
        <v>1450</v>
      </c>
      <c r="N273" s="881" t="s">
        <v>1450</v>
      </c>
      <c r="O273" s="880" t="s">
        <v>1450</v>
      </c>
      <c r="P273" s="880" t="s">
        <v>1450</v>
      </c>
      <c r="Q273" s="881" t="s">
        <v>1450</v>
      </c>
      <c r="R273" s="880" t="s">
        <v>1450</v>
      </c>
      <c r="S273" s="880" t="s">
        <v>1450</v>
      </c>
      <c r="T273" s="881" t="s">
        <v>1450</v>
      </c>
      <c r="U273" s="880">
        <v>33.558673469387756</v>
      </c>
      <c r="V273" s="880">
        <v>199</v>
      </c>
      <c r="W273" s="881">
        <v>0.1686365500974259</v>
      </c>
      <c r="X273" s="880">
        <v>68.106159335270732</v>
      </c>
      <c r="Y273" s="880">
        <v>289</v>
      </c>
      <c r="Z273" s="881">
        <v>0.23566145098709596</v>
      </c>
      <c r="AA273" s="880">
        <v>82.630798999773816</v>
      </c>
      <c r="AB273" s="880">
        <v>288</v>
      </c>
      <c r="AC273" s="881">
        <v>0.28691249652699241</v>
      </c>
      <c r="AD273" s="880">
        <v>71.742063863956204</v>
      </c>
      <c r="AE273" s="880">
        <v>283</v>
      </c>
      <c r="AF273" s="881">
        <v>0.25350552602104665</v>
      </c>
      <c r="AG273" s="880">
        <v>66.330501812879106</v>
      </c>
      <c r="AH273" s="880">
        <v>285</v>
      </c>
      <c r="AI273" s="881">
        <v>0.23273860285220738</v>
      </c>
    </row>
    <row r="274" spans="2:35" x14ac:dyDescent="0.2">
      <c r="B274" s="867">
        <v>78577000</v>
      </c>
      <c r="C274" s="876" t="s">
        <v>1448</v>
      </c>
      <c r="D274" s="877" t="s">
        <v>1448</v>
      </c>
      <c r="E274" s="877" t="s">
        <v>1447</v>
      </c>
      <c r="F274" s="877" t="s">
        <v>1447</v>
      </c>
      <c r="G274" s="877" t="s">
        <v>1447</v>
      </c>
      <c r="H274" s="877" t="s">
        <v>1447</v>
      </c>
      <c r="I274" s="877" t="s">
        <v>1447</v>
      </c>
      <c r="J274" s="878" t="s">
        <v>1447</v>
      </c>
      <c r="K274" s="877"/>
      <c r="L274" s="879" t="s">
        <v>1450</v>
      </c>
      <c r="M274" s="880" t="s">
        <v>1450</v>
      </c>
      <c r="N274" s="881" t="s">
        <v>1450</v>
      </c>
      <c r="O274" s="880" t="s">
        <v>1450</v>
      </c>
      <c r="P274" s="880" t="s">
        <v>1450</v>
      </c>
      <c r="Q274" s="881" t="s">
        <v>1450</v>
      </c>
      <c r="R274" s="880">
        <v>27.405620771958151</v>
      </c>
      <c r="S274" s="880">
        <v>68</v>
      </c>
      <c r="T274" s="881">
        <v>0.40302383488173754</v>
      </c>
      <c r="U274" s="880">
        <v>56.46379980563654</v>
      </c>
      <c r="V274" s="880">
        <v>130</v>
      </c>
      <c r="W274" s="881">
        <v>0.43433692158181952</v>
      </c>
      <c r="X274" s="880">
        <v>63.947004566704571</v>
      </c>
      <c r="Y274" s="880">
        <v>136</v>
      </c>
      <c r="Z274" s="881">
        <v>0.4701985629904748</v>
      </c>
      <c r="AA274" s="880">
        <v>60.5959192665008</v>
      </c>
      <c r="AB274" s="880">
        <v>154</v>
      </c>
      <c r="AC274" s="881">
        <v>0.39347999523701821</v>
      </c>
      <c r="AD274" s="880">
        <v>92.239796396515118</v>
      </c>
      <c r="AE274" s="880">
        <v>209</v>
      </c>
      <c r="AF274" s="881">
        <v>0.44133873873930679</v>
      </c>
      <c r="AG274" s="880">
        <v>120.28591000395241</v>
      </c>
      <c r="AH274" s="880">
        <v>300</v>
      </c>
      <c r="AI274" s="881">
        <v>0.40095303334650806</v>
      </c>
    </row>
    <row r="275" spans="2:35" x14ac:dyDescent="0.2">
      <c r="B275" s="867">
        <v>78578000</v>
      </c>
      <c r="C275" s="876" t="s">
        <v>1448</v>
      </c>
      <c r="D275" s="877" t="s">
        <v>1448</v>
      </c>
      <c r="E275" s="877" t="s">
        <v>1448</v>
      </c>
      <c r="F275" s="877" t="s">
        <v>1447</v>
      </c>
      <c r="G275" s="877" t="s">
        <v>1447</v>
      </c>
      <c r="H275" s="877" t="s">
        <v>1447</v>
      </c>
      <c r="I275" s="877" t="s">
        <v>1447</v>
      </c>
      <c r="J275" s="878" t="s">
        <v>1447</v>
      </c>
      <c r="K275" s="877"/>
      <c r="L275" s="879" t="s">
        <v>1450</v>
      </c>
      <c r="M275" s="880" t="s">
        <v>1450</v>
      </c>
      <c r="N275" s="881" t="s">
        <v>1450</v>
      </c>
      <c r="O275" s="880" t="s">
        <v>1450</v>
      </c>
      <c r="P275" s="880" t="s">
        <v>1450</v>
      </c>
      <c r="Q275" s="881" t="s">
        <v>1450</v>
      </c>
      <c r="R275" s="880" t="s">
        <v>1450</v>
      </c>
      <c r="S275" s="880" t="s">
        <v>1450</v>
      </c>
      <c r="T275" s="881" t="s">
        <v>1450</v>
      </c>
      <c r="U275" s="880">
        <v>20.774416909620992</v>
      </c>
      <c r="V275" s="880">
        <v>47</v>
      </c>
      <c r="W275" s="881">
        <v>0.44200887041746795</v>
      </c>
      <c r="X275" s="880">
        <v>59.267955452067653</v>
      </c>
      <c r="Y275" s="880">
        <v>138</v>
      </c>
      <c r="Z275" s="881">
        <v>0.42947793805846124</v>
      </c>
      <c r="AA275" s="880">
        <v>110.72527065969692</v>
      </c>
      <c r="AB275" s="880">
        <v>201</v>
      </c>
      <c r="AC275" s="881">
        <v>0.55087199333182546</v>
      </c>
      <c r="AD275" s="880">
        <v>84.553146696805527</v>
      </c>
      <c r="AE275" s="880">
        <v>214</v>
      </c>
      <c r="AF275" s="881">
        <v>0.39510816213460526</v>
      </c>
      <c r="AG275" s="880">
        <v>79.200599179557145</v>
      </c>
      <c r="AH275" s="880">
        <v>208</v>
      </c>
      <c r="AI275" s="881">
        <v>0.38077211144017858</v>
      </c>
    </row>
    <row r="276" spans="2:35" x14ac:dyDescent="0.2">
      <c r="B276" s="867">
        <v>78580000</v>
      </c>
      <c r="C276" s="876" t="s">
        <v>1448</v>
      </c>
      <c r="D276" s="877" t="s">
        <v>1448</v>
      </c>
      <c r="E276" s="877" t="s">
        <v>1448</v>
      </c>
      <c r="F276" s="877" t="s">
        <v>1447</v>
      </c>
      <c r="G276" s="877" t="s">
        <v>1447</v>
      </c>
      <c r="H276" s="877" t="s">
        <v>1447</v>
      </c>
      <c r="I276" s="877" t="s">
        <v>1447</v>
      </c>
      <c r="J276" s="878" t="s">
        <v>1447</v>
      </c>
      <c r="K276" s="877"/>
      <c r="L276" s="879" t="s">
        <v>1450</v>
      </c>
      <c r="M276" s="880" t="s">
        <v>1450</v>
      </c>
      <c r="N276" s="881" t="s">
        <v>1450</v>
      </c>
      <c r="O276" s="880" t="s">
        <v>1450</v>
      </c>
      <c r="P276" s="880" t="s">
        <v>1450</v>
      </c>
      <c r="Q276" s="881" t="s">
        <v>1450</v>
      </c>
      <c r="R276" s="880" t="s">
        <v>1450</v>
      </c>
      <c r="S276" s="880" t="s">
        <v>1450</v>
      </c>
      <c r="T276" s="881" t="s">
        <v>1450</v>
      </c>
      <c r="U276" s="880">
        <v>35.156705539358597</v>
      </c>
      <c r="V276" s="880">
        <v>161</v>
      </c>
      <c r="W276" s="881">
        <v>0.21836463067924594</v>
      </c>
      <c r="X276" s="880">
        <v>76.424468872403025</v>
      </c>
      <c r="Y276" s="880">
        <v>253</v>
      </c>
      <c r="Z276" s="881">
        <v>0.30207299949566413</v>
      </c>
      <c r="AA276" s="880">
        <v>85.936030959764778</v>
      </c>
      <c r="AB276" s="880">
        <v>306</v>
      </c>
      <c r="AC276" s="881">
        <v>0.28083670248289144</v>
      </c>
      <c r="AD276" s="880">
        <v>78.916270250351815</v>
      </c>
      <c r="AE276" s="880">
        <v>265</v>
      </c>
      <c r="AF276" s="881">
        <v>0.29779724622774267</v>
      </c>
      <c r="AG276" s="880">
        <v>91.080689056490712</v>
      </c>
      <c r="AH276" s="880">
        <v>296</v>
      </c>
      <c r="AI276" s="881">
        <v>0.30770503059625243</v>
      </c>
    </row>
    <row r="277" spans="2:35" x14ac:dyDescent="0.2">
      <c r="B277" s="867">
        <v>78582000</v>
      </c>
      <c r="C277" s="876" t="s">
        <v>1448</v>
      </c>
      <c r="D277" s="877" t="s">
        <v>1448</v>
      </c>
      <c r="E277" s="877" t="s">
        <v>1448</v>
      </c>
      <c r="F277" s="877" t="s">
        <v>1448</v>
      </c>
      <c r="G277" s="877" t="s">
        <v>1448</v>
      </c>
      <c r="H277" s="877" t="s">
        <v>1448</v>
      </c>
      <c r="I277" s="877" t="s">
        <v>1448</v>
      </c>
      <c r="J277" s="878" t="s">
        <v>1448</v>
      </c>
      <c r="K277" s="877"/>
      <c r="L277" s="879" t="s">
        <v>1450</v>
      </c>
      <c r="M277" s="880" t="s">
        <v>1450</v>
      </c>
      <c r="N277" s="881" t="s">
        <v>1450</v>
      </c>
      <c r="O277" s="880" t="s">
        <v>1450</v>
      </c>
      <c r="P277" s="880" t="s">
        <v>1450</v>
      </c>
      <c r="Q277" s="881" t="s">
        <v>1450</v>
      </c>
      <c r="R277" s="880" t="s">
        <v>1450</v>
      </c>
      <c r="S277" s="880" t="s">
        <v>1450</v>
      </c>
      <c r="T277" s="881" t="s">
        <v>1450</v>
      </c>
      <c r="U277" s="880">
        <v>0</v>
      </c>
      <c r="V277" s="880">
        <v>30</v>
      </c>
      <c r="W277" s="881">
        <v>0</v>
      </c>
      <c r="X277" s="880">
        <v>2.0795773842830756</v>
      </c>
      <c r="Y277" s="880">
        <v>24</v>
      </c>
      <c r="Z277" s="881">
        <v>8.6649057678461483E-2</v>
      </c>
      <c r="AA277" s="880" t="s">
        <v>1450</v>
      </c>
      <c r="AB277" s="880" t="s">
        <v>1450</v>
      </c>
      <c r="AC277" s="881" t="s">
        <v>1450</v>
      </c>
      <c r="AD277" s="880" t="s">
        <v>1450</v>
      </c>
      <c r="AE277" s="880" t="s">
        <v>1450</v>
      </c>
      <c r="AF277" s="881" t="s">
        <v>1450</v>
      </c>
      <c r="AG277" s="880" t="s">
        <v>1450</v>
      </c>
      <c r="AH277" s="880" t="s">
        <v>1450</v>
      </c>
      <c r="AI277" s="881" t="s">
        <v>1450</v>
      </c>
    </row>
    <row r="278" spans="2:35" x14ac:dyDescent="0.2">
      <c r="B278" s="867">
        <v>78585000</v>
      </c>
      <c r="C278" s="876" t="s">
        <v>1448</v>
      </c>
      <c r="D278" s="877" t="s">
        <v>1448</v>
      </c>
      <c r="E278" s="877" t="s">
        <v>1448</v>
      </c>
      <c r="F278" s="877" t="s">
        <v>1447</v>
      </c>
      <c r="G278" s="877" t="s">
        <v>1447</v>
      </c>
      <c r="H278" s="877" t="s">
        <v>1448</v>
      </c>
      <c r="I278" s="877" t="s">
        <v>1447</v>
      </c>
      <c r="J278" s="878" t="s">
        <v>1447</v>
      </c>
      <c r="K278" s="877"/>
      <c r="L278" s="879" t="s">
        <v>1450</v>
      </c>
      <c r="M278" s="880" t="s">
        <v>1450</v>
      </c>
      <c r="N278" s="881" t="s">
        <v>1450</v>
      </c>
      <c r="O278" s="880" t="s">
        <v>1450</v>
      </c>
      <c r="P278" s="880" t="s">
        <v>1450</v>
      </c>
      <c r="Q278" s="881" t="s">
        <v>1450</v>
      </c>
      <c r="R278" s="880" t="s">
        <v>1450</v>
      </c>
      <c r="S278" s="880" t="s">
        <v>1450</v>
      </c>
      <c r="T278" s="881" t="s">
        <v>1450</v>
      </c>
      <c r="U278" s="880">
        <v>55.931122448979593</v>
      </c>
      <c r="V278" s="880">
        <v>105</v>
      </c>
      <c r="W278" s="881">
        <v>0.53267735665694849</v>
      </c>
      <c r="X278" s="880">
        <v>64.466898912775349</v>
      </c>
      <c r="Y278" s="880">
        <v>133</v>
      </c>
      <c r="Z278" s="881">
        <v>0.48471352565996501</v>
      </c>
      <c r="AA278" s="880" t="s">
        <v>1450</v>
      </c>
      <c r="AB278" s="880" t="s">
        <v>1450</v>
      </c>
      <c r="AC278" s="881" t="s">
        <v>1450</v>
      </c>
      <c r="AD278" s="880">
        <v>117.86196206221376</v>
      </c>
      <c r="AE278" s="880">
        <v>272</v>
      </c>
      <c r="AF278" s="881">
        <v>0.43331603699343296</v>
      </c>
      <c r="AG278" s="880">
        <v>133.65101111550268</v>
      </c>
      <c r="AH278" s="880">
        <v>278</v>
      </c>
      <c r="AI278" s="881">
        <v>0.48075903278957799</v>
      </c>
    </row>
    <row r="279" spans="2:35" x14ac:dyDescent="0.2">
      <c r="B279" s="867">
        <v>78587000</v>
      </c>
      <c r="C279" s="876" t="s">
        <v>1448</v>
      </c>
      <c r="D279" s="877" t="s">
        <v>1448</v>
      </c>
      <c r="E279" s="877" t="s">
        <v>1448</v>
      </c>
      <c r="F279" s="877" t="s">
        <v>1448</v>
      </c>
      <c r="G279" s="877" t="s">
        <v>1447</v>
      </c>
      <c r="H279" s="877" t="s">
        <v>1447</v>
      </c>
      <c r="I279" s="877" t="s">
        <v>1447</v>
      </c>
      <c r="J279" s="878" t="s">
        <v>1447</v>
      </c>
      <c r="K279" s="877"/>
      <c r="L279" s="879" t="s">
        <v>1450</v>
      </c>
      <c r="M279" s="880" t="s">
        <v>1450</v>
      </c>
      <c r="N279" s="881" t="s">
        <v>1450</v>
      </c>
      <c r="O279" s="880" t="s">
        <v>1450</v>
      </c>
      <c r="P279" s="880" t="s">
        <v>1450</v>
      </c>
      <c r="Q279" s="881" t="s">
        <v>1450</v>
      </c>
      <c r="R279" s="880" t="s">
        <v>1450</v>
      </c>
      <c r="S279" s="880" t="s">
        <v>1450</v>
      </c>
      <c r="T279" s="881" t="s">
        <v>1450</v>
      </c>
      <c r="U279" s="880">
        <v>20.241739552964042</v>
      </c>
      <c r="V279" s="880">
        <v>190</v>
      </c>
      <c r="W279" s="881">
        <v>0.10653547133138969</v>
      </c>
      <c r="X279" s="880">
        <v>47.830279838510741</v>
      </c>
      <c r="Y279" s="880">
        <v>290</v>
      </c>
      <c r="Z279" s="881">
        <v>0.16493199944314049</v>
      </c>
      <c r="AA279" s="880">
        <v>72.164231126469133</v>
      </c>
      <c r="AB279" s="880">
        <v>367</v>
      </c>
      <c r="AC279" s="881">
        <v>0.1966327823609513</v>
      </c>
      <c r="AD279" s="880">
        <v>81.990930130235654</v>
      </c>
      <c r="AE279" s="880">
        <v>415</v>
      </c>
      <c r="AF279" s="881">
        <v>0.19756850633791723</v>
      </c>
      <c r="AG279" s="880">
        <v>79.200599179557145</v>
      </c>
      <c r="AH279" s="880">
        <v>402</v>
      </c>
      <c r="AI279" s="881">
        <v>0.19701641586954513</v>
      </c>
    </row>
    <row r="280" spans="2:35" x14ac:dyDescent="0.2">
      <c r="B280" s="867">
        <v>78588000</v>
      </c>
      <c r="C280" s="876" t="s">
        <v>1448</v>
      </c>
      <c r="D280" s="877" t="s">
        <v>1448</v>
      </c>
      <c r="E280" s="877" t="s">
        <v>1448</v>
      </c>
      <c r="F280" s="877" t="s">
        <v>1448</v>
      </c>
      <c r="G280" s="877" t="s">
        <v>1448</v>
      </c>
      <c r="H280" s="877" t="s">
        <v>1448</v>
      </c>
      <c r="I280" s="877" t="s">
        <v>1448</v>
      </c>
      <c r="J280" s="878" t="s">
        <v>1448</v>
      </c>
      <c r="K280" s="877"/>
      <c r="L280" s="879" t="s">
        <v>1450</v>
      </c>
      <c r="M280" s="880" t="s">
        <v>1450</v>
      </c>
      <c r="N280" s="881" t="s">
        <v>1450</v>
      </c>
      <c r="O280" s="880" t="s">
        <v>1450</v>
      </c>
      <c r="P280" s="880" t="s">
        <v>1450</v>
      </c>
      <c r="Q280" s="881" t="s">
        <v>1450</v>
      </c>
      <c r="R280" s="880" t="s">
        <v>1450</v>
      </c>
      <c r="S280" s="880" t="s">
        <v>1450</v>
      </c>
      <c r="T280" s="881" t="s">
        <v>1450</v>
      </c>
      <c r="U280" s="880">
        <v>0</v>
      </c>
      <c r="V280" s="880">
        <v>610</v>
      </c>
      <c r="W280" s="881">
        <v>0</v>
      </c>
      <c r="X280" s="880">
        <v>0</v>
      </c>
      <c r="Y280" s="880">
        <v>697</v>
      </c>
      <c r="Z280" s="881">
        <v>0</v>
      </c>
      <c r="AA280" s="880" t="s">
        <v>1450</v>
      </c>
      <c r="AB280" s="880" t="s">
        <v>1450</v>
      </c>
      <c r="AC280" s="881" t="s">
        <v>1450</v>
      </c>
      <c r="AD280" s="880" t="s">
        <v>1450</v>
      </c>
      <c r="AE280" s="880" t="s">
        <v>1450</v>
      </c>
      <c r="AF280" s="881" t="s">
        <v>1450</v>
      </c>
      <c r="AG280" s="880" t="s">
        <v>1450</v>
      </c>
      <c r="AH280" s="880" t="s">
        <v>1450</v>
      </c>
      <c r="AI280" s="881" t="s">
        <v>1450</v>
      </c>
    </row>
    <row r="281" spans="2:35" x14ac:dyDescent="0.2">
      <c r="B281" s="867">
        <v>78589000</v>
      </c>
      <c r="C281" s="876" t="s">
        <v>1448</v>
      </c>
      <c r="D281" s="877" t="s">
        <v>1448</v>
      </c>
      <c r="E281" s="877" t="s">
        <v>1448</v>
      </c>
      <c r="F281" s="877" t="s">
        <v>1448</v>
      </c>
      <c r="G281" s="877" t="s">
        <v>1448</v>
      </c>
      <c r="H281" s="877" t="s">
        <v>1448</v>
      </c>
      <c r="I281" s="877" t="s">
        <v>1448</v>
      </c>
      <c r="J281" s="878" t="s">
        <v>1448</v>
      </c>
      <c r="K281" s="877"/>
      <c r="L281" s="879" t="s">
        <v>1450</v>
      </c>
      <c r="M281" s="880" t="s">
        <v>1450</v>
      </c>
      <c r="N281" s="881" t="s">
        <v>1450</v>
      </c>
      <c r="O281" s="880" t="s">
        <v>1450</v>
      </c>
      <c r="P281" s="880" t="s">
        <v>1450</v>
      </c>
      <c r="Q281" s="881" t="s">
        <v>1450</v>
      </c>
      <c r="R281" s="880" t="s">
        <v>1450</v>
      </c>
      <c r="S281" s="880" t="s">
        <v>1450</v>
      </c>
      <c r="T281" s="881" t="s">
        <v>1450</v>
      </c>
      <c r="U281" s="880">
        <v>0</v>
      </c>
      <c r="V281" s="880">
        <v>690</v>
      </c>
      <c r="W281" s="881">
        <v>0</v>
      </c>
      <c r="X281" s="880">
        <v>0</v>
      </c>
      <c r="Y281" s="880">
        <v>713</v>
      </c>
      <c r="Z281" s="881">
        <v>0</v>
      </c>
      <c r="AA281" s="880" t="s">
        <v>1450</v>
      </c>
      <c r="AB281" s="880" t="s">
        <v>1450</v>
      </c>
      <c r="AC281" s="881" t="s">
        <v>1450</v>
      </c>
      <c r="AD281" s="880" t="s">
        <v>1450</v>
      </c>
      <c r="AE281" s="880" t="s">
        <v>1450</v>
      </c>
      <c r="AF281" s="881" t="s">
        <v>1450</v>
      </c>
      <c r="AG281" s="880" t="s">
        <v>1450</v>
      </c>
      <c r="AH281" s="880" t="s">
        <v>1450</v>
      </c>
      <c r="AI281" s="881" t="s">
        <v>1450</v>
      </c>
    </row>
    <row r="282" spans="2:35" x14ac:dyDescent="0.2">
      <c r="B282" s="867">
        <v>78590000</v>
      </c>
      <c r="C282" s="876" t="s">
        <v>1448</v>
      </c>
      <c r="D282" s="877" t="s">
        <v>1448</v>
      </c>
      <c r="E282" s="877" t="s">
        <v>1448</v>
      </c>
      <c r="F282" s="877" t="s">
        <v>1448</v>
      </c>
      <c r="G282" s="877" t="s">
        <v>1448</v>
      </c>
      <c r="H282" s="877" t="s">
        <v>1448</v>
      </c>
      <c r="I282" s="877" t="s">
        <v>1448</v>
      </c>
      <c r="J282" s="878" t="s">
        <v>1448</v>
      </c>
      <c r="K282" s="877"/>
      <c r="L282" s="879" t="s">
        <v>1450</v>
      </c>
      <c r="M282" s="880" t="s">
        <v>1450</v>
      </c>
      <c r="N282" s="881" t="s">
        <v>1450</v>
      </c>
      <c r="O282" s="880" t="s">
        <v>1450</v>
      </c>
      <c r="P282" s="880" t="s">
        <v>1450</v>
      </c>
      <c r="Q282" s="881" t="s">
        <v>1450</v>
      </c>
      <c r="R282" s="880" t="s">
        <v>1450</v>
      </c>
      <c r="S282" s="880" t="s">
        <v>1450</v>
      </c>
      <c r="T282" s="881" t="s">
        <v>1450</v>
      </c>
      <c r="U282" s="880">
        <v>0</v>
      </c>
      <c r="V282" s="880">
        <v>384</v>
      </c>
      <c r="W282" s="881">
        <v>0</v>
      </c>
      <c r="X282" s="880">
        <v>0</v>
      </c>
      <c r="Y282" s="880">
        <v>397</v>
      </c>
      <c r="Z282" s="881">
        <v>0</v>
      </c>
      <c r="AA282" s="880" t="s">
        <v>1450</v>
      </c>
      <c r="AB282" s="880" t="s">
        <v>1450</v>
      </c>
      <c r="AC282" s="881" t="s">
        <v>1450</v>
      </c>
      <c r="AD282" s="880" t="s">
        <v>1450</v>
      </c>
      <c r="AE282" s="880" t="s">
        <v>1450</v>
      </c>
      <c r="AF282" s="881" t="s">
        <v>1450</v>
      </c>
      <c r="AG282" s="880" t="s">
        <v>1450</v>
      </c>
      <c r="AH282" s="880" t="s">
        <v>1450</v>
      </c>
      <c r="AI282" s="881" t="s">
        <v>1450</v>
      </c>
    </row>
    <row r="283" spans="2:35" x14ac:dyDescent="0.2">
      <c r="B283" s="867">
        <v>78591000</v>
      </c>
      <c r="C283" s="876" t="s">
        <v>1448</v>
      </c>
      <c r="D283" s="877" t="s">
        <v>1448</v>
      </c>
      <c r="E283" s="877" t="s">
        <v>1448</v>
      </c>
      <c r="F283" s="877" t="s">
        <v>1448</v>
      </c>
      <c r="G283" s="877" t="s">
        <v>1448</v>
      </c>
      <c r="H283" s="877" t="s">
        <v>1448</v>
      </c>
      <c r="I283" s="877" t="s">
        <v>1448</v>
      </c>
      <c r="J283" s="878" t="s">
        <v>1448</v>
      </c>
      <c r="K283" s="877"/>
      <c r="L283" s="879" t="s">
        <v>1450</v>
      </c>
      <c r="M283" s="880" t="s">
        <v>1450</v>
      </c>
      <c r="N283" s="881" t="s">
        <v>1450</v>
      </c>
      <c r="O283" s="880" t="s">
        <v>1450</v>
      </c>
      <c r="P283" s="880" t="s">
        <v>1450</v>
      </c>
      <c r="Q283" s="881" t="s">
        <v>1450</v>
      </c>
      <c r="R283" s="880" t="s">
        <v>1450</v>
      </c>
      <c r="S283" s="880" t="s">
        <v>1450</v>
      </c>
      <c r="T283" s="881" t="s">
        <v>1450</v>
      </c>
      <c r="U283" s="880">
        <v>0</v>
      </c>
      <c r="V283" s="880">
        <v>89</v>
      </c>
      <c r="W283" s="881">
        <v>0</v>
      </c>
      <c r="X283" s="880">
        <v>0</v>
      </c>
      <c r="Y283" s="880">
        <v>157</v>
      </c>
      <c r="Z283" s="881">
        <v>0</v>
      </c>
      <c r="AA283" s="880" t="s">
        <v>1450</v>
      </c>
      <c r="AB283" s="880" t="s">
        <v>1450</v>
      </c>
      <c r="AC283" s="881" t="s">
        <v>1450</v>
      </c>
      <c r="AD283" s="880" t="s">
        <v>1450</v>
      </c>
      <c r="AE283" s="880" t="s">
        <v>1450</v>
      </c>
      <c r="AF283" s="881" t="s">
        <v>1450</v>
      </c>
      <c r="AG283" s="880" t="s">
        <v>1450</v>
      </c>
      <c r="AH283" s="880" t="s">
        <v>1450</v>
      </c>
      <c r="AI283" s="881" t="s">
        <v>1450</v>
      </c>
    </row>
    <row r="284" spans="2:35" x14ac:dyDescent="0.2">
      <c r="B284" s="867">
        <v>78592000</v>
      </c>
      <c r="C284" s="876" t="s">
        <v>1448</v>
      </c>
      <c r="D284" s="877" t="s">
        <v>1448</v>
      </c>
      <c r="E284" s="877" t="s">
        <v>1448</v>
      </c>
      <c r="F284" s="877" t="s">
        <v>1447</v>
      </c>
      <c r="G284" s="877" t="s">
        <v>1447</v>
      </c>
      <c r="H284" s="877" t="s">
        <v>1447</v>
      </c>
      <c r="I284" s="877" t="s">
        <v>1447</v>
      </c>
      <c r="J284" s="878" t="s">
        <v>1447</v>
      </c>
      <c r="K284" s="877"/>
      <c r="L284" s="879" t="s">
        <v>1450</v>
      </c>
      <c r="M284" s="880" t="s">
        <v>1450</v>
      </c>
      <c r="N284" s="881" t="s">
        <v>1450</v>
      </c>
      <c r="O284" s="880" t="s">
        <v>1450</v>
      </c>
      <c r="P284" s="880" t="s">
        <v>1450</v>
      </c>
      <c r="Q284" s="881" t="s">
        <v>1450</v>
      </c>
      <c r="R284" s="880" t="s">
        <v>1450</v>
      </c>
      <c r="S284" s="880" t="s">
        <v>1450</v>
      </c>
      <c r="T284" s="881" t="s">
        <v>1450</v>
      </c>
      <c r="U284" s="880">
        <v>43.146865889212826</v>
      </c>
      <c r="V284" s="880">
        <v>138</v>
      </c>
      <c r="W284" s="881">
        <v>0.31265844847255669</v>
      </c>
      <c r="X284" s="880">
        <v>76.424468872403025</v>
      </c>
      <c r="Y284" s="880">
        <v>147</v>
      </c>
      <c r="Z284" s="881">
        <v>0.5198943460707689</v>
      </c>
      <c r="AA284" s="880">
        <v>132.76015039296993</v>
      </c>
      <c r="AB284" s="880">
        <v>347</v>
      </c>
      <c r="AC284" s="881">
        <v>0.38259409335149835</v>
      </c>
      <c r="AD284" s="880">
        <v>132.72281814831896</v>
      </c>
      <c r="AE284" s="880">
        <v>347</v>
      </c>
      <c r="AF284" s="881">
        <v>0.38248650763204312</v>
      </c>
      <c r="AG284" s="880">
        <v>153.9461646552642</v>
      </c>
      <c r="AH284" s="880">
        <v>398</v>
      </c>
      <c r="AI284" s="881">
        <v>0.38679940868156831</v>
      </c>
    </row>
    <row r="285" spans="2:35" x14ac:dyDescent="0.2">
      <c r="B285" s="867">
        <v>78595000</v>
      </c>
      <c r="C285" s="876" t="s">
        <v>1448</v>
      </c>
      <c r="D285" s="877" t="s">
        <v>1448</v>
      </c>
      <c r="E285" s="877" t="s">
        <v>1448</v>
      </c>
      <c r="F285" s="877" t="s">
        <v>1448</v>
      </c>
      <c r="G285" s="877" t="s">
        <v>1448</v>
      </c>
      <c r="H285" s="877" t="s">
        <v>1448</v>
      </c>
      <c r="I285" s="877" t="s">
        <v>1448</v>
      </c>
      <c r="J285" s="878" t="s">
        <v>1448</v>
      </c>
      <c r="K285" s="877"/>
      <c r="L285" s="879" t="s">
        <v>1450</v>
      </c>
      <c r="M285" s="880" t="s">
        <v>1450</v>
      </c>
      <c r="N285" s="881" t="s">
        <v>1450</v>
      </c>
      <c r="O285" s="880" t="s">
        <v>1450</v>
      </c>
      <c r="P285" s="880" t="s">
        <v>1450</v>
      </c>
      <c r="Q285" s="881" t="s">
        <v>1450</v>
      </c>
      <c r="R285" s="880" t="s">
        <v>1450</v>
      </c>
      <c r="S285" s="880" t="s">
        <v>1450</v>
      </c>
      <c r="T285" s="881" t="s">
        <v>1450</v>
      </c>
      <c r="U285" s="880">
        <v>0</v>
      </c>
      <c r="V285" s="880">
        <v>338</v>
      </c>
      <c r="W285" s="881">
        <v>0</v>
      </c>
      <c r="X285" s="880">
        <v>0</v>
      </c>
      <c r="Y285" s="880">
        <v>428</v>
      </c>
      <c r="Z285" s="881">
        <v>0</v>
      </c>
      <c r="AA285" s="880" t="s">
        <v>1450</v>
      </c>
      <c r="AB285" s="880" t="s">
        <v>1450</v>
      </c>
      <c r="AC285" s="881" t="s">
        <v>1450</v>
      </c>
      <c r="AD285" s="880" t="s">
        <v>1450</v>
      </c>
      <c r="AE285" s="880" t="s">
        <v>1450</v>
      </c>
      <c r="AF285" s="881" t="s">
        <v>1450</v>
      </c>
      <c r="AG285" s="880" t="s">
        <v>1450</v>
      </c>
      <c r="AH285" s="880" t="s">
        <v>1450</v>
      </c>
      <c r="AI285" s="881" t="s">
        <v>1450</v>
      </c>
    </row>
    <row r="286" spans="2:35" x14ac:dyDescent="0.2">
      <c r="B286" s="867">
        <v>78596000</v>
      </c>
      <c r="C286" s="876" t="s">
        <v>1448</v>
      </c>
      <c r="D286" s="877" t="s">
        <v>1448</v>
      </c>
      <c r="E286" s="877" t="s">
        <v>1448</v>
      </c>
      <c r="F286" s="877" t="s">
        <v>1448</v>
      </c>
      <c r="G286" s="877" t="s">
        <v>1448</v>
      </c>
      <c r="H286" s="877" t="s">
        <v>1448</v>
      </c>
      <c r="I286" s="877" t="s">
        <v>1448</v>
      </c>
      <c r="J286" s="878" t="s">
        <v>1448</v>
      </c>
      <c r="K286" s="877"/>
      <c r="L286" s="879" t="s">
        <v>1450</v>
      </c>
      <c r="M286" s="880" t="s">
        <v>1450</v>
      </c>
      <c r="N286" s="881" t="s">
        <v>1450</v>
      </c>
      <c r="O286" s="880" t="s">
        <v>1450</v>
      </c>
      <c r="P286" s="880" t="s">
        <v>1450</v>
      </c>
      <c r="Q286" s="881" t="s">
        <v>1450</v>
      </c>
      <c r="R286" s="880" t="s">
        <v>1450</v>
      </c>
      <c r="S286" s="880" t="s">
        <v>1450</v>
      </c>
      <c r="T286" s="881" t="s">
        <v>1450</v>
      </c>
      <c r="U286" s="880">
        <v>0</v>
      </c>
      <c r="V286" s="880">
        <v>514</v>
      </c>
      <c r="W286" s="881">
        <v>0</v>
      </c>
      <c r="X286" s="880">
        <v>0</v>
      </c>
      <c r="Y286" s="880">
        <v>510</v>
      </c>
      <c r="Z286" s="881">
        <v>0</v>
      </c>
      <c r="AA286" s="880" t="s">
        <v>1450</v>
      </c>
      <c r="AB286" s="880" t="s">
        <v>1450</v>
      </c>
      <c r="AC286" s="881" t="s">
        <v>1450</v>
      </c>
      <c r="AD286" s="880" t="s">
        <v>1450</v>
      </c>
      <c r="AE286" s="880" t="s">
        <v>1450</v>
      </c>
      <c r="AF286" s="881" t="s">
        <v>1450</v>
      </c>
      <c r="AG286" s="880" t="s">
        <v>1450</v>
      </c>
      <c r="AH286" s="880" t="s">
        <v>1450</v>
      </c>
      <c r="AI286" s="881" t="s">
        <v>1450</v>
      </c>
    </row>
    <row r="287" spans="2:35" x14ac:dyDescent="0.2">
      <c r="B287" s="867">
        <v>78597000</v>
      </c>
      <c r="C287" s="876" t="s">
        <v>1448</v>
      </c>
      <c r="D287" s="877" t="s">
        <v>1448</v>
      </c>
      <c r="E287" s="877" t="s">
        <v>1448</v>
      </c>
      <c r="F287" s="877" t="s">
        <v>1448</v>
      </c>
      <c r="G287" s="877" t="s">
        <v>1448</v>
      </c>
      <c r="H287" s="877" t="s">
        <v>1448</v>
      </c>
      <c r="I287" s="877" t="s">
        <v>1448</v>
      </c>
      <c r="J287" s="878" t="s">
        <v>1448</v>
      </c>
      <c r="K287" s="877"/>
      <c r="L287" s="879" t="s">
        <v>1450</v>
      </c>
      <c r="M287" s="880" t="s">
        <v>1450</v>
      </c>
      <c r="N287" s="881" t="s">
        <v>1450</v>
      </c>
      <c r="O287" s="880" t="s">
        <v>1450</v>
      </c>
      <c r="P287" s="880" t="s">
        <v>1450</v>
      </c>
      <c r="Q287" s="881" t="s">
        <v>1450</v>
      </c>
      <c r="R287" s="880" t="s">
        <v>1450</v>
      </c>
      <c r="S287" s="880" t="s">
        <v>1450</v>
      </c>
      <c r="T287" s="881" t="s">
        <v>1450</v>
      </c>
      <c r="U287" s="880">
        <v>0</v>
      </c>
      <c r="V287" s="880">
        <v>506</v>
      </c>
      <c r="W287" s="881">
        <v>0</v>
      </c>
      <c r="X287" s="880">
        <v>0</v>
      </c>
      <c r="Y287" s="880">
        <v>503</v>
      </c>
      <c r="Z287" s="881">
        <v>0</v>
      </c>
      <c r="AA287" s="880" t="s">
        <v>1450</v>
      </c>
      <c r="AB287" s="880" t="s">
        <v>1450</v>
      </c>
      <c r="AC287" s="881" t="s">
        <v>1450</v>
      </c>
      <c r="AD287" s="880" t="s">
        <v>1450</v>
      </c>
      <c r="AE287" s="880" t="s">
        <v>1450</v>
      </c>
      <c r="AF287" s="881" t="s">
        <v>1450</v>
      </c>
      <c r="AG287" s="880" t="s">
        <v>1450</v>
      </c>
      <c r="AH287" s="880" t="s">
        <v>1450</v>
      </c>
      <c r="AI287" s="881" t="s">
        <v>1450</v>
      </c>
    </row>
    <row r="288" spans="2:35" x14ac:dyDescent="0.2">
      <c r="B288" s="867">
        <v>78598000</v>
      </c>
      <c r="C288" s="876" t="s">
        <v>1448</v>
      </c>
      <c r="D288" s="877" t="s">
        <v>1448</v>
      </c>
      <c r="E288" s="877" t="s">
        <v>1448</v>
      </c>
      <c r="F288" s="877" t="s">
        <v>1448</v>
      </c>
      <c r="G288" s="877" t="s">
        <v>1448</v>
      </c>
      <c r="H288" s="877" t="s">
        <v>1448</v>
      </c>
      <c r="I288" s="877" t="s">
        <v>1448</v>
      </c>
      <c r="J288" s="878" t="s">
        <v>1448</v>
      </c>
      <c r="K288" s="877"/>
      <c r="L288" s="879" t="s">
        <v>1450</v>
      </c>
      <c r="M288" s="880" t="s">
        <v>1450</v>
      </c>
      <c r="N288" s="881" t="s">
        <v>1450</v>
      </c>
      <c r="O288" s="880" t="s">
        <v>1450</v>
      </c>
      <c r="P288" s="880" t="s">
        <v>1450</v>
      </c>
      <c r="Q288" s="881" t="s">
        <v>1450</v>
      </c>
      <c r="R288" s="880" t="s">
        <v>1450</v>
      </c>
      <c r="S288" s="880" t="s">
        <v>1450</v>
      </c>
      <c r="T288" s="881" t="s">
        <v>1450</v>
      </c>
      <c r="U288" s="880">
        <v>2.6633867832847424</v>
      </c>
      <c r="V288" s="880">
        <v>143</v>
      </c>
      <c r="W288" s="881">
        <v>1.8625082400592605E-2</v>
      </c>
      <c r="X288" s="880">
        <v>0</v>
      </c>
      <c r="Y288" s="880">
        <v>160</v>
      </c>
      <c r="Z288" s="881">
        <v>0</v>
      </c>
      <c r="AA288" s="880" t="s">
        <v>1450</v>
      </c>
      <c r="AB288" s="880" t="s">
        <v>1450</v>
      </c>
      <c r="AC288" s="881" t="s">
        <v>1450</v>
      </c>
      <c r="AD288" s="880" t="s">
        <v>1450</v>
      </c>
      <c r="AE288" s="880" t="s">
        <v>1450</v>
      </c>
      <c r="AF288" s="881" t="s">
        <v>1450</v>
      </c>
      <c r="AG288" s="880" t="s">
        <v>1450</v>
      </c>
      <c r="AH288" s="880" t="s">
        <v>1450</v>
      </c>
      <c r="AI288" s="881" t="s">
        <v>1450</v>
      </c>
    </row>
    <row r="289" spans="2:35" x14ac:dyDescent="0.2">
      <c r="B289" s="867">
        <v>78599000</v>
      </c>
      <c r="C289" s="876" t="s">
        <v>1448</v>
      </c>
      <c r="D289" s="877" t="s">
        <v>1448</v>
      </c>
      <c r="E289" s="877" t="s">
        <v>1448</v>
      </c>
      <c r="F289" s="877" t="s">
        <v>1447</v>
      </c>
      <c r="G289" s="877" t="s">
        <v>1447</v>
      </c>
      <c r="H289" s="877" t="s">
        <v>1447</v>
      </c>
      <c r="I289" s="877" t="s">
        <v>1447</v>
      </c>
      <c r="J289" s="878" t="s">
        <v>1447</v>
      </c>
      <c r="K289" s="877"/>
      <c r="L289" s="879" t="s">
        <v>1450</v>
      </c>
      <c r="M289" s="880" t="s">
        <v>1450</v>
      </c>
      <c r="N289" s="881" t="s">
        <v>1450</v>
      </c>
      <c r="O289" s="880" t="s">
        <v>1450</v>
      </c>
      <c r="P289" s="880" t="s">
        <v>1450</v>
      </c>
      <c r="Q289" s="881" t="s">
        <v>1450</v>
      </c>
      <c r="R289" s="880" t="s">
        <v>1450</v>
      </c>
      <c r="S289" s="880" t="s">
        <v>1450</v>
      </c>
      <c r="T289" s="881" t="s">
        <v>1450</v>
      </c>
      <c r="U289" s="880">
        <v>21.307094266277939</v>
      </c>
      <c r="V289" s="880">
        <v>72</v>
      </c>
      <c r="W289" s="881">
        <v>0.2959318648094158</v>
      </c>
      <c r="X289" s="880">
        <v>106.05844659843686</v>
      </c>
      <c r="Y289" s="880">
        <v>270</v>
      </c>
      <c r="Z289" s="881">
        <v>0.39280906147569206</v>
      </c>
      <c r="AA289" s="880">
        <v>155.8967741129066</v>
      </c>
      <c r="AB289" s="880">
        <v>290</v>
      </c>
      <c r="AC289" s="881">
        <v>0.53757508314795377</v>
      </c>
      <c r="AD289" s="880">
        <v>115.81218880895787</v>
      </c>
      <c r="AE289" s="880">
        <v>290</v>
      </c>
      <c r="AF289" s="881">
        <v>0.39935237520330302</v>
      </c>
      <c r="AG289" s="880">
        <v>113.35585757574115</v>
      </c>
      <c r="AH289" s="880">
        <v>293</v>
      </c>
      <c r="AI289" s="881">
        <v>0.38688005998546471</v>
      </c>
    </row>
    <row r="290" spans="2:35" x14ac:dyDescent="0.2">
      <c r="B290" s="867">
        <v>78603000</v>
      </c>
      <c r="C290" s="876" t="s">
        <v>1447</v>
      </c>
      <c r="D290" s="877" t="s">
        <v>1447</v>
      </c>
      <c r="E290" s="877" t="s">
        <v>1447</v>
      </c>
      <c r="F290" s="877" t="s">
        <v>1447</v>
      </c>
      <c r="G290" s="877" t="s">
        <v>1447</v>
      </c>
      <c r="H290" s="877" t="s">
        <v>1448</v>
      </c>
      <c r="I290" s="877" t="s">
        <v>1448</v>
      </c>
      <c r="J290" s="878" t="s">
        <v>1448</v>
      </c>
      <c r="K290" s="877"/>
      <c r="L290" s="879">
        <v>210</v>
      </c>
      <c r="M290" s="880">
        <v>512</v>
      </c>
      <c r="N290" s="881">
        <v>0.41089999999999999</v>
      </c>
      <c r="O290" s="880">
        <v>192.1113285084661</v>
      </c>
      <c r="P290" s="880">
        <v>472</v>
      </c>
      <c r="Q290" s="881">
        <v>0.40701552650098749</v>
      </c>
      <c r="R290" s="880">
        <v>173.90112089842535</v>
      </c>
      <c r="S290" s="880">
        <v>417</v>
      </c>
      <c r="T290" s="881">
        <v>0.4170290669026987</v>
      </c>
      <c r="U290" s="880">
        <v>163.53194849368319</v>
      </c>
      <c r="V290" s="880">
        <v>318</v>
      </c>
      <c r="W290" s="881">
        <v>0.51425141035749433</v>
      </c>
      <c r="X290" s="880">
        <v>57.708272413855347</v>
      </c>
      <c r="Y290" s="880">
        <v>193</v>
      </c>
      <c r="Z290" s="881">
        <v>0.29900659281790337</v>
      </c>
      <c r="AA290" s="880" t="s">
        <v>1450</v>
      </c>
      <c r="AB290" s="880" t="s">
        <v>1450</v>
      </c>
      <c r="AC290" s="881" t="s">
        <v>1450</v>
      </c>
      <c r="AD290" s="880" t="s">
        <v>1450</v>
      </c>
      <c r="AE290" s="880" t="s">
        <v>1450</v>
      </c>
      <c r="AF290" s="881" t="s">
        <v>1450</v>
      </c>
      <c r="AG290" s="880" t="s">
        <v>1450</v>
      </c>
      <c r="AH290" s="880" t="s">
        <v>1450</v>
      </c>
      <c r="AI290" s="881" t="s">
        <v>1450</v>
      </c>
    </row>
    <row r="291" spans="2:35" x14ac:dyDescent="0.2">
      <c r="B291" s="867">
        <v>78604000</v>
      </c>
      <c r="C291" s="876" t="s">
        <v>1448</v>
      </c>
      <c r="D291" s="877" t="s">
        <v>1447</v>
      </c>
      <c r="E291" s="877" t="s">
        <v>1447</v>
      </c>
      <c r="F291" s="877" t="s">
        <v>1447</v>
      </c>
      <c r="G291" s="877" t="s">
        <v>1447</v>
      </c>
      <c r="H291" s="877" t="s">
        <v>1447</v>
      </c>
      <c r="I291" s="877" t="s">
        <v>1447</v>
      </c>
      <c r="J291" s="878" t="s">
        <v>1447</v>
      </c>
      <c r="K291" s="877"/>
      <c r="L291" s="879">
        <v>4</v>
      </c>
      <c r="M291" s="880">
        <v>129</v>
      </c>
      <c r="N291" s="881">
        <v>3.1399999999999997E-2</v>
      </c>
      <c r="O291" s="880">
        <v>52.434055258044644</v>
      </c>
      <c r="P291" s="880">
        <v>149</v>
      </c>
      <c r="Q291" s="881">
        <v>0.3519064111278164</v>
      </c>
      <c r="R291" s="880">
        <v>53.316389501809496</v>
      </c>
      <c r="S291" s="880">
        <v>165</v>
      </c>
      <c r="T291" s="881">
        <v>0.3231296333443</v>
      </c>
      <c r="U291" s="880">
        <v>78.836248785228378</v>
      </c>
      <c r="V291" s="880">
        <v>217</v>
      </c>
      <c r="W291" s="881">
        <v>0.36330068564621371</v>
      </c>
      <c r="X291" s="880">
        <v>66.026581950987648</v>
      </c>
      <c r="Y291" s="880">
        <v>138</v>
      </c>
      <c r="Z291" s="881">
        <v>0.47845349239846124</v>
      </c>
      <c r="AA291" s="880">
        <v>53.434583353187072</v>
      </c>
      <c r="AB291" s="880">
        <v>113</v>
      </c>
      <c r="AC291" s="881">
        <v>0.47287241905475286</v>
      </c>
      <c r="AD291" s="880">
        <v>67.642517357444419</v>
      </c>
      <c r="AE291" s="880">
        <v>150</v>
      </c>
      <c r="AF291" s="881">
        <v>0.45095011571629612</v>
      </c>
      <c r="AG291" s="880">
        <v>56.925430660306695</v>
      </c>
      <c r="AH291" s="880">
        <v>115</v>
      </c>
      <c r="AI291" s="881">
        <v>0.49500374487223214</v>
      </c>
    </row>
    <row r="292" spans="2:35" x14ac:dyDescent="0.2">
      <c r="B292" s="867">
        <v>78608000</v>
      </c>
      <c r="C292" s="876" t="s">
        <v>1447</v>
      </c>
      <c r="D292" s="877" t="s">
        <v>1447</v>
      </c>
      <c r="E292" s="877" t="s">
        <v>1447</v>
      </c>
      <c r="F292" s="877" t="s">
        <v>1447</v>
      </c>
      <c r="G292" s="877" t="s">
        <v>1447</v>
      </c>
      <c r="H292" s="877" t="s">
        <v>1447</v>
      </c>
      <c r="I292" s="877" t="s">
        <v>1447</v>
      </c>
      <c r="J292" s="878" t="s">
        <v>1447</v>
      </c>
      <c r="K292" s="877"/>
      <c r="L292" s="879">
        <v>53</v>
      </c>
      <c r="M292" s="880">
        <v>150</v>
      </c>
      <c r="N292" s="881">
        <v>0.35149999999999998</v>
      </c>
      <c r="O292" s="880">
        <v>55.077789136601517</v>
      </c>
      <c r="P292" s="880">
        <v>158</v>
      </c>
      <c r="Q292" s="881">
        <v>0.34859360213038937</v>
      </c>
      <c r="R292" s="880">
        <v>43.848993235133044</v>
      </c>
      <c r="S292" s="880">
        <v>100</v>
      </c>
      <c r="T292" s="881">
        <v>0.43848993235133044</v>
      </c>
      <c r="U292" s="880">
        <v>31.960641399416907</v>
      </c>
      <c r="V292" s="880">
        <v>83</v>
      </c>
      <c r="W292" s="881">
        <v>0.38506796866767357</v>
      </c>
      <c r="X292" s="880">
        <v>46.270596800298435</v>
      </c>
      <c r="Y292" s="880">
        <v>100</v>
      </c>
      <c r="Z292" s="881">
        <v>0.46270596800298436</v>
      </c>
      <c r="AA292" s="880">
        <v>53.434583353187072</v>
      </c>
      <c r="AB292" s="880">
        <v>124</v>
      </c>
      <c r="AC292" s="881">
        <v>0.43092405929989575</v>
      </c>
      <c r="AD292" s="880">
        <v>52.781661271339203</v>
      </c>
      <c r="AE292" s="880">
        <v>126</v>
      </c>
      <c r="AF292" s="881">
        <v>0.41890207358205717</v>
      </c>
      <c r="AG292" s="880">
        <v>42.075318314139729</v>
      </c>
      <c r="AH292" s="880">
        <v>94</v>
      </c>
      <c r="AI292" s="881">
        <v>0.44760976929935881</v>
      </c>
    </row>
    <row r="293" spans="2:35" x14ac:dyDescent="0.2">
      <c r="B293" s="867">
        <v>78609000</v>
      </c>
      <c r="C293" s="876" t="s">
        <v>1448</v>
      </c>
      <c r="D293" s="877" t="s">
        <v>1448</v>
      </c>
      <c r="E293" s="877" t="s">
        <v>1448</v>
      </c>
      <c r="F293" s="877" t="s">
        <v>1448</v>
      </c>
      <c r="G293" s="877" t="s">
        <v>1448</v>
      </c>
      <c r="H293" s="877" t="s">
        <v>1448</v>
      </c>
      <c r="I293" s="877" t="s">
        <v>1448</v>
      </c>
      <c r="J293" s="878" t="s">
        <v>1448</v>
      </c>
      <c r="K293" s="877"/>
      <c r="L293" s="879">
        <v>0</v>
      </c>
      <c r="M293" s="880">
        <v>112</v>
      </c>
      <c r="N293" s="881">
        <v>0</v>
      </c>
      <c r="O293" s="880">
        <v>0</v>
      </c>
      <c r="P293" s="880">
        <v>119</v>
      </c>
      <c r="Q293" s="881">
        <v>0</v>
      </c>
      <c r="R293" s="880">
        <v>0</v>
      </c>
      <c r="S293" s="880">
        <v>120</v>
      </c>
      <c r="T293" s="881">
        <v>0</v>
      </c>
      <c r="U293" s="880">
        <v>0</v>
      </c>
      <c r="V293" s="880">
        <v>46</v>
      </c>
      <c r="W293" s="881">
        <v>0</v>
      </c>
      <c r="X293" s="880">
        <v>0</v>
      </c>
      <c r="Y293" s="880">
        <v>353</v>
      </c>
      <c r="Z293" s="881">
        <v>0</v>
      </c>
      <c r="AA293" s="880" t="s">
        <v>1450</v>
      </c>
      <c r="AB293" s="880" t="s">
        <v>1450</v>
      </c>
      <c r="AC293" s="881" t="s">
        <v>1450</v>
      </c>
      <c r="AD293" s="880" t="s">
        <v>1450</v>
      </c>
      <c r="AE293" s="880" t="s">
        <v>1450</v>
      </c>
      <c r="AF293" s="881" t="s">
        <v>1450</v>
      </c>
      <c r="AG293" s="880" t="s">
        <v>1450</v>
      </c>
      <c r="AH293" s="880" t="s">
        <v>1450</v>
      </c>
      <c r="AI293" s="881" t="s">
        <v>1450</v>
      </c>
    </row>
    <row r="294" spans="2:35" x14ac:dyDescent="0.2">
      <c r="B294" s="867">
        <v>78611000</v>
      </c>
      <c r="C294" s="876" t="s">
        <v>1447</v>
      </c>
      <c r="D294" s="877" t="s">
        <v>1447</v>
      </c>
      <c r="E294" s="877" t="s">
        <v>1447</v>
      </c>
      <c r="F294" s="877" t="s">
        <v>1447</v>
      </c>
      <c r="G294" s="877" t="s">
        <v>1447</v>
      </c>
      <c r="H294" s="877" t="s">
        <v>1447</v>
      </c>
      <c r="I294" s="877" t="s">
        <v>1447</v>
      </c>
      <c r="J294" s="878" t="s">
        <v>1447</v>
      </c>
      <c r="K294" s="877"/>
      <c r="L294" s="879">
        <v>91</v>
      </c>
      <c r="M294" s="880">
        <v>243</v>
      </c>
      <c r="N294" s="881">
        <v>0.37430000000000002</v>
      </c>
      <c r="O294" s="880">
        <v>110.15557827320303</v>
      </c>
      <c r="P294" s="880">
        <v>255</v>
      </c>
      <c r="Q294" s="881">
        <v>0.43198265989491386</v>
      </c>
      <c r="R294" s="880">
        <v>161.94230456157089</v>
      </c>
      <c r="S294" s="880">
        <v>345</v>
      </c>
      <c r="T294" s="881">
        <v>0.46939798423643736</v>
      </c>
      <c r="U294" s="880">
        <v>150.74769193391643</v>
      </c>
      <c r="V294" s="880">
        <v>294</v>
      </c>
      <c r="W294" s="881">
        <v>0.51274725147590627</v>
      </c>
      <c r="X294" s="880">
        <v>168.9656624729999</v>
      </c>
      <c r="Y294" s="880">
        <v>341</v>
      </c>
      <c r="Z294" s="881">
        <v>0.49550047646041023</v>
      </c>
      <c r="AA294" s="880">
        <v>198.86478959278898</v>
      </c>
      <c r="AB294" s="880">
        <v>379</v>
      </c>
      <c r="AC294" s="881">
        <v>0.52470920736883631</v>
      </c>
      <c r="AD294" s="880">
        <v>191.65379917942585</v>
      </c>
      <c r="AE294" s="880">
        <v>397</v>
      </c>
      <c r="AF294" s="881">
        <v>0.48275516166102228</v>
      </c>
      <c r="AG294" s="880">
        <v>184.14139309247037</v>
      </c>
      <c r="AH294" s="880">
        <v>372</v>
      </c>
      <c r="AI294" s="881">
        <v>0.49500374487223214</v>
      </c>
    </row>
    <row r="295" spans="2:35" x14ac:dyDescent="0.2">
      <c r="B295" s="867">
        <v>78613000</v>
      </c>
      <c r="C295" s="876" t="s">
        <v>1447</v>
      </c>
      <c r="D295" s="877" t="s">
        <v>1447</v>
      </c>
      <c r="E295" s="877" t="s">
        <v>1447</v>
      </c>
      <c r="F295" s="877" t="s">
        <v>1447</v>
      </c>
      <c r="G295" s="877" t="s">
        <v>1447</v>
      </c>
      <c r="H295" s="877" t="s">
        <v>1447</v>
      </c>
      <c r="I295" s="877" t="s">
        <v>1447</v>
      </c>
      <c r="J295" s="878" t="s">
        <v>1447</v>
      </c>
      <c r="K295" s="877"/>
      <c r="L295" s="879">
        <v>66</v>
      </c>
      <c r="M295" s="880">
        <v>202</v>
      </c>
      <c r="N295" s="881">
        <v>0.3256</v>
      </c>
      <c r="O295" s="880">
        <v>79.312016356706181</v>
      </c>
      <c r="P295" s="880">
        <v>221</v>
      </c>
      <c r="Q295" s="881">
        <v>0.3588779020665438</v>
      </c>
      <c r="R295" s="880">
        <v>89.691122526408492</v>
      </c>
      <c r="S295" s="880">
        <v>224</v>
      </c>
      <c r="T295" s="881">
        <v>0.40040679699289505</v>
      </c>
      <c r="U295" s="880">
        <v>77.770894071914483</v>
      </c>
      <c r="V295" s="880">
        <v>237</v>
      </c>
      <c r="W295" s="881">
        <v>0.32814723237094717</v>
      </c>
      <c r="X295" s="880">
        <v>92.021299254526099</v>
      </c>
      <c r="Y295" s="880">
        <v>234</v>
      </c>
      <c r="Z295" s="881">
        <v>0.39325341561763288</v>
      </c>
      <c r="AA295" s="880">
        <v>75.469463086460081</v>
      </c>
      <c r="AB295" s="880">
        <v>233</v>
      </c>
      <c r="AC295" s="881">
        <v>0.32390327504918492</v>
      </c>
      <c r="AD295" s="880">
        <v>99.926446096224709</v>
      </c>
      <c r="AE295" s="880">
        <v>238</v>
      </c>
      <c r="AF295" s="881">
        <v>0.4198590172110282</v>
      </c>
      <c r="AG295" s="880">
        <v>108.90082387189108</v>
      </c>
      <c r="AH295" s="880">
        <v>265</v>
      </c>
      <c r="AI295" s="881">
        <v>0.41094650517694747</v>
      </c>
    </row>
    <row r="296" spans="2:35" x14ac:dyDescent="0.2">
      <c r="B296" s="867">
        <v>78614000</v>
      </c>
      <c r="C296" s="876" t="s">
        <v>1447</v>
      </c>
      <c r="D296" s="877" t="s">
        <v>1447</v>
      </c>
      <c r="E296" s="877" t="s">
        <v>1447</v>
      </c>
      <c r="F296" s="877" t="s">
        <v>1447</v>
      </c>
      <c r="G296" s="877" t="s">
        <v>1447</v>
      </c>
      <c r="H296" s="877" t="s">
        <v>1448</v>
      </c>
      <c r="I296" s="877" t="s">
        <v>1448</v>
      </c>
      <c r="J296" s="878" t="s">
        <v>1448</v>
      </c>
      <c r="K296" s="877"/>
      <c r="L296" s="879">
        <v>29</v>
      </c>
      <c r="M296" s="880">
        <v>76</v>
      </c>
      <c r="N296" s="881">
        <v>0.38540000000000002</v>
      </c>
      <c r="O296" s="880">
        <v>18.506137149898109</v>
      </c>
      <c r="P296" s="880">
        <v>45</v>
      </c>
      <c r="Q296" s="881">
        <v>0.41124749221995799</v>
      </c>
      <c r="R296" s="880">
        <v>28.900472814064958</v>
      </c>
      <c r="S296" s="880">
        <v>70</v>
      </c>
      <c r="T296" s="881">
        <v>0.41286389734378509</v>
      </c>
      <c r="U296" s="880">
        <v>37.287414965986393</v>
      </c>
      <c r="V296" s="880">
        <v>73</v>
      </c>
      <c r="W296" s="881">
        <v>0.51078650638337519</v>
      </c>
      <c r="X296" s="880">
        <v>37.952287263166127</v>
      </c>
      <c r="Y296" s="880">
        <v>77</v>
      </c>
      <c r="Z296" s="881">
        <v>0.49288684757358608</v>
      </c>
      <c r="AA296" s="880" t="s">
        <v>1450</v>
      </c>
      <c r="AB296" s="880" t="s">
        <v>1450</v>
      </c>
      <c r="AC296" s="881" t="s">
        <v>1450</v>
      </c>
      <c r="AD296" s="880" t="s">
        <v>1450</v>
      </c>
      <c r="AE296" s="880" t="s">
        <v>1450</v>
      </c>
      <c r="AF296" s="881" t="s">
        <v>1450</v>
      </c>
      <c r="AG296" s="880" t="s">
        <v>1450</v>
      </c>
      <c r="AH296" s="880" t="s">
        <v>1450</v>
      </c>
      <c r="AI296" s="881" t="s">
        <v>1450</v>
      </c>
    </row>
    <row r="297" spans="2:35" x14ac:dyDescent="0.2">
      <c r="B297" s="867">
        <v>78621000</v>
      </c>
      <c r="C297" s="876" t="s">
        <v>1447</v>
      </c>
      <c r="D297" s="877" t="s">
        <v>1447</v>
      </c>
      <c r="E297" s="877" t="s">
        <v>1447</v>
      </c>
      <c r="F297" s="877" t="s">
        <v>1447</v>
      </c>
      <c r="G297" s="877" t="s">
        <v>1447</v>
      </c>
      <c r="H297" s="877" t="s">
        <v>1447</v>
      </c>
      <c r="I297" s="877" t="s">
        <v>1447</v>
      </c>
      <c r="J297" s="878" t="s">
        <v>1448</v>
      </c>
      <c r="K297" s="877"/>
      <c r="L297" s="879">
        <v>79</v>
      </c>
      <c r="M297" s="880">
        <v>446</v>
      </c>
      <c r="N297" s="881">
        <v>0.1777</v>
      </c>
      <c r="O297" s="880">
        <v>87.683840305469616</v>
      </c>
      <c r="P297" s="880">
        <v>531</v>
      </c>
      <c r="Q297" s="881">
        <v>0.16512964275982978</v>
      </c>
      <c r="R297" s="880">
        <v>119.08987935450905</v>
      </c>
      <c r="S297" s="880">
        <v>641</v>
      </c>
      <c r="T297" s="881">
        <v>0.18578764329876607</v>
      </c>
      <c r="U297" s="880">
        <v>146.48627308066082</v>
      </c>
      <c r="V297" s="880">
        <v>720</v>
      </c>
      <c r="W297" s="881">
        <v>0.20345315705647338</v>
      </c>
      <c r="X297" s="880">
        <v>138.81179040089529</v>
      </c>
      <c r="Y297" s="880">
        <v>754</v>
      </c>
      <c r="Z297" s="881">
        <v>0.18410051777307068</v>
      </c>
      <c r="AA297" s="880">
        <v>188.3982217194843</v>
      </c>
      <c r="AB297" s="880">
        <v>793</v>
      </c>
      <c r="AC297" s="881">
        <v>0.2375765721557179</v>
      </c>
      <c r="AD297" s="880">
        <v>151.170777427622</v>
      </c>
      <c r="AE297" s="880">
        <v>793</v>
      </c>
      <c r="AF297" s="881">
        <v>0.19063149738666077</v>
      </c>
      <c r="AG297" s="880">
        <v>126.72095868729143</v>
      </c>
      <c r="AH297" s="880">
        <v>846</v>
      </c>
      <c r="AI297" s="881">
        <v>0.14978836724266126</v>
      </c>
    </row>
    <row r="298" spans="2:35" x14ac:dyDescent="0.2">
      <c r="B298" s="867">
        <v>78628000</v>
      </c>
      <c r="C298" s="876" t="s">
        <v>1448</v>
      </c>
      <c r="D298" s="877" t="s">
        <v>1448</v>
      </c>
      <c r="E298" s="877" t="s">
        <v>1448</v>
      </c>
      <c r="F298" s="877" t="s">
        <v>1448</v>
      </c>
      <c r="G298" s="877" t="s">
        <v>1448</v>
      </c>
      <c r="H298" s="877" t="s">
        <v>1448</v>
      </c>
      <c r="I298" s="877" t="s">
        <v>1448</v>
      </c>
      <c r="J298" s="878" t="s">
        <v>1448</v>
      </c>
      <c r="K298" s="877"/>
      <c r="L298" s="879">
        <v>0</v>
      </c>
      <c r="M298" s="880">
        <v>226</v>
      </c>
      <c r="N298" s="881">
        <v>0</v>
      </c>
      <c r="O298" s="880">
        <v>0</v>
      </c>
      <c r="P298" s="880">
        <v>306</v>
      </c>
      <c r="Q298" s="881">
        <v>0</v>
      </c>
      <c r="R298" s="880">
        <v>0.49828401403560274</v>
      </c>
      <c r="S298" s="880">
        <v>326</v>
      </c>
      <c r="T298" s="881">
        <v>1.528478570661358E-3</v>
      </c>
      <c r="U298" s="880">
        <v>0</v>
      </c>
      <c r="V298" s="880">
        <v>382</v>
      </c>
      <c r="W298" s="881">
        <v>0</v>
      </c>
      <c r="X298" s="880">
        <v>0</v>
      </c>
      <c r="Y298" s="880">
        <v>356</v>
      </c>
      <c r="Z298" s="881">
        <v>0</v>
      </c>
      <c r="AA298" s="880" t="s">
        <v>1450</v>
      </c>
      <c r="AB298" s="880" t="s">
        <v>1450</v>
      </c>
      <c r="AC298" s="881" t="s">
        <v>1450</v>
      </c>
      <c r="AD298" s="880" t="s">
        <v>1450</v>
      </c>
      <c r="AE298" s="880" t="s">
        <v>1450</v>
      </c>
      <c r="AF298" s="881" t="s">
        <v>1450</v>
      </c>
      <c r="AG298" s="880" t="s">
        <v>1450</v>
      </c>
      <c r="AH298" s="880" t="s">
        <v>1450</v>
      </c>
      <c r="AI298" s="881" t="s">
        <v>1450</v>
      </c>
    </row>
    <row r="299" spans="2:35" x14ac:dyDescent="0.2">
      <c r="B299" s="867">
        <v>78630000</v>
      </c>
      <c r="C299" s="876" t="s">
        <v>1447</v>
      </c>
      <c r="D299" s="877" t="s">
        <v>1447</v>
      </c>
      <c r="E299" s="877" t="s">
        <v>1447</v>
      </c>
      <c r="F299" s="877" t="s">
        <v>1448</v>
      </c>
      <c r="G299" s="877" t="s">
        <v>1448</v>
      </c>
      <c r="H299" s="877" t="s">
        <v>1447</v>
      </c>
      <c r="I299" s="877" t="s">
        <v>1448</v>
      </c>
      <c r="J299" s="878" t="s">
        <v>1448</v>
      </c>
      <c r="K299" s="877"/>
      <c r="L299" s="879">
        <v>26</v>
      </c>
      <c r="M299" s="880">
        <v>119</v>
      </c>
      <c r="N299" s="881">
        <v>0.22259999999999999</v>
      </c>
      <c r="O299" s="880">
        <v>32.165428855775289</v>
      </c>
      <c r="P299" s="880">
        <v>130</v>
      </c>
      <c r="Q299" s="881">
        <v>0.24742637581365606</v>
      </c>
      <c r="R299" s="880">
        <v>25.910768729851341</v>
      </c>
      <c r="S299" s="880">
        <v>157</v>
      </c>
      <c r="T299" s="881">
        <v>0.16503674350223785</v>
      </c>
      <c r="U299" s="880" t="s">
        <v>1450</v>
      </c>
      <c r="V299" s="880" t="s">
        <v>1450</v>
      </c>
      <c r="W299" s="881" t="s">
        <v>1450</v>
      </c>
      <c r="X299" s="880" t="s">
        <v>1450</v>
      </c>
      <c r="Y299" s="880" t="s">
        <v>1450</v>
      </c>
      <c r="Z299" s="881" t="s">
        <v>1450</v>
      </c>
      <c r="AA299" s="880">
        <v>84.834286973101115</v>
      </c>
      <c r="AB299" s="880">
        <v>320</v>
      </c>
      <c r="AC299" s="881">
        <v>0.265107146790941</v>
      </c>
      <c r="AD299" s="880" t="s">
        <v>1450</v>
      </c>
      <c r="AE299" s="880" t="s">
        <v>1450</v>
      </c>
      <c r="AF299" s="881" t="s">
        <v>1450</v>
      </c>
      <c r="AG299" s="880" t="s">
        <v>1450</v>
      </c>
      <c r="AH299" s="880" t="s">
        <v>1450</v>
      </c>
      <c r="AI299" s="881" t="s">
        <v>1450</v>
      </c>
    </row>
    <row r="300" spans="2:35" x14ac:dyDescent="0.2">
      <c r="B300" s="867">
        <v>78634000</v>
      </c>
      <c r="C300" s="876" t="s">
        <v>1448</v>
      </c>
      <c r="D300" s="877" t="s">
        <v>1448</v>
      </c>
      <c r="E300" s="877" t="s">
        <v>1448</v>
      </c>
      <c r="F300" s="877" t="s">
        <v>1448</v>
      </c>
      <c r="G300" s="877" t="s">
        <v>1447</v>
      </c>
      <c r="H300" s="877" t="s">
        <v>1447</v>
      </c>
      <c r="I300" s="877" t="s">
        <v>1447</v>
      </c>
      <c r="J300" s="878" t="s">
        <v>1447</v>
      </c>
      <c r="K300" s="877"/>
      <c r="L300" s="879">
        <v>3</v>
      </c>
      <c r="M300" s="880">
        <v>1087</v>
      </c>
      <c r="N300" s="881">
        <v>2.3999999999999998E-3</v>
      </c>
      <c r="O300" s="880">
        <v>0</v>
      </c>
      <c r="P300" s="880">
        <v>1172</v>
      </c>
      <c r="Q300" s="881">
        <v>0</v>
      </c>
      <c r="R300" s="880">
        <v>7.9725442245696438</v>
      </c>
      <c r="S300" s="880">
        <v>1197</v>
      </c>
      <c r="T300" s="881">
        <v>6.6604379486797363E-3</v>
      </c>
      <c r="U300" s="880">
        <v>0</v>
      </c>
      <c r="V300" s="880">
        <v>1283</v>
      </c>
      <c r="W300" s="881">
        <v>0</v>
      </c>
      <c r="X300" s="880">
        <v>43.671125069944587</v>
      </c>
      <c r="Y300" s="880">
        <v>84</v>
      </c>
      <c r="Z300" s="881">
        <v>0.5198943460707689</v>
      </c>
      <c r="AA300" s="880">
        <v>41.315399499886908</v>
      </c>
      <c r="AB300" s="880">
        <v>83</v>
      </c>
      <c r="AC300" s="881">
        <v>0.49777589758899887</v>
      </c>
      <c r="AD300" s="880">
        <v>43.557681631687693</v>
      </c>
      <c r="AE300" s="880">
        <v>95</v>
      </c>
      <c r="AF300" s="881">
        <v>0.45850191191250206</v>
      </c>
      <c r="AG300" s="880">
        <v>45.045340783373128</v>
      </c>
      <c r="AH300" s="880">
        <v>96</v>
      </c>
      <c r="AI300" s="881">
        <v>0.46922229982680341</v>
      </c>
    </row>
    <row r="301" spans="2:35" x14ac:dyDescent="0.2">
      <c r="B301" s="867">
        <v>78647000</v>
      </c>
      <c r="C301" s="876" t="s">
        <v>1447</v>
      </c>
      <c r="D301" s="877" t="s">
        <v>1447</v>
      </c>
      <c r="E301" s="877" t="s">
        <v>1447</v>
      </c>
      <c r="F301" s="877" t="s">
        <v>1447</v>
      </c>
      <c r="G301" s="877" t="s">
        <v>1447</v>
      </c>
      <c r="H301" s="877" t="s">
        <v>1447</v>
      </c>
      <c r="I301" s="877" t="s">
        <v>1447</v>
      </c>
      <c r="J301" s="878" t="s">
        <v>1447</v>
      </c>
      <c r="K301" s="877"/>
      <c r="L301" s="879">
        <v>68</v>
      </c>
      <c r="M301" s="880">
        <v>203</v>
      </c>
      <c r="N301" s="881">
        <v>0.3327</v>
      </c>
      <c r="O301" s="880">
        <v>88.565084931655235</v>
      </c>
      <c r="P301" s="880">
        <v>227</v>
      </c>
      <c r="Q301" s="881">
        <v>0.39015455917028741</v>
      </c>
      <c r="R301" s="880">
        <v>98.161950765013742</v>
      </c>
      <c r="S301" s="880">
        <v>234</v>
      </c>
      <c r="T301" s="881">
        <v>0.41949551608980229</v>
      </c>
      <c r="U301" s="880">
        <v>116.12366375121476</v>
      </c>
      <c r="V301" s="880">
        <v>232</v>
      </c>
      <c r="W301" s="881">
        <v>0.50053303341040845</v>
      </c>
      <c r="X301" s="880">
        <v>126.85422044126761</v>
      </c>
      <c r="Y301" s="880">
        <v>248</v>
      </c>
      <c r="Z301" s="881">
        <v>0.51150895339220814</v>
      </c>
      <c r="AA301" s="880">
        <v>128.35317444631534</v>
      </c>
      <c r="AB301" s="880">
        <v>241</v>
      </c>
      <c r="AC301" s="881">
        <v>0.53258578608429596</v>
      </c>
      <c r="AD301" s="880">
        <v>107.6130957959343</v>
      </c>
      <c r="AE301" s="880">
        <v>223</v>
      </c>
      <c r="AF301" s="881">
        <v>0.48256993630463813</v>
      </c>
      <c r="AG301" s="880">
        <v>91.575692801362948</v>
      </c>
      <c r="AH301" s="880">
        <v>195</v>
      </c>
      <c r="AI301" s="881">
        <v>0.46961893744288691</v>
      </c>
    </row>
    <row r="302" spans="2:35" x14ac:dyDescent="0.2">
      <c r="B302" s="867">
        <v>78656000</v>
      </c>
      <c r="C302" s="876" t="s">
        <v>1448</v>
      </c>
      <c r="D302" s="877" t="s">
        <v>1447</v>
      </c>
      <c r="E302" s="877" t="s">
        <v>1447</v>
      </c>
      <c r="F302" s="877" t="s">
        <v>1447</v>
      </c>
      <c r="G302" s="877" t="s">
        <v>1447</v>
      </c>
      <c r="H302" s="877" t="s">
        <v>1447</v>
      </c>
      <c r="I302" s="877" t="s">
        <v>1447</v>
      </c>
      <c r="J302" s="878" t="s">
        <v>1447</v>
      </c>
      <c r="K302" s="877"/>
      <c r="L302" s="879">
        <v>40</v>
      </c>
      <c r="M302" s="880">
        <v>309</v>
      </c>
      <c r="N302" s="881">
        <v>0.1293</v>
      </c>
      <c r="O302" s="880">
        <v>39.215385865260281</v>
      </c>
      <c r="P302" s="880">
        <v>236</v>
      </c>
      <c r="Q302" s="881">
        <v>0.16616688925957745</v>
      </c>
      <c r="R302" s="880">
        <v>43.848993235133044</v>
      </c>
      <c r="S302" s="880">
        <v>222</v>
      </c>
      <c r="T302" s="881">
        <v>0.19751798754564434</v>
      </c>
      <c r="U302" s="880">
        <v>65.51931486880467</v>
      </c>
      <c r="V302" s="880">
        <v>230</v>
      </c>
      <c r="W302" s="881">
        <v>0.28486658638610729</v>
      </c>
      <c r="X302" s="880">
        <v>66.026581950987648</v>
      </c>
      <c r="Y302" s="880">
        <v>243</v>
      </c>
      <c r="Z302" s="881">
        <v>0.27171432901641007</v>
      </c>
      <c r="AA302" s="880">
        <v>66.104639199819061</v>
      </c>
      <c r="AB302" s="880">
        <v>235</v>
      </c>
      <c r="AC302" s="881">
        <v>0.28129633702050666</v>
      </c>
      <c r="AD302" s="880">
        <v>56.368764464537016</v>
      </c>
      <c r="AE302" s="880">
        <v>189</v>
      </c>
      <c r="AF302" s="881">
        <v>0.29824743102929641</v>
      </c>
      <c r="AG302" s="880">
        <v>45.045340783373128</v>
      </c>
      <c r="AH302" s="880">
        <v>178</v>
      </c>
      <c r="AI302" s="881">
        <v>0.25306371226614116</v>
      </c>
    </row>
    <row r="303" spans="2:35" x14ac:dyDescent="0.2">
      <c r="B303" s="867">
        <v>78663000</v>
      </c>
      <c r="C303" s="876" t="s">
        <v>1448</v>
      </c>
      <c r="D303" s="877" t="s">
        <v>1448</v>
      </c>
      <c r="E303" s="877" t="s">
        <v>1448</v>
      </c>
      <c r="F303" s="877" t="s">
        <v>1448</v>
      </c>
      <c r="G303" s="877" t="s">
        <v>1448</v>
      </c>
      <c r="H303" s="877" t="s">
        <v>1448</v>
      </c>
      <c r="I303" s="877" t="s">
        <v>1448</v>
      </c>
      <c r="J303" s="878" t="s">
        <v>1448</v>
      </c>
      <c r="K303" s="877"/>
      <c r="L303" s="879">
        <v>0</v>
      </c>
      <c r="M303" s="880">
        <v>64</v>
      </c>
      <c r="N303" s="881">
        <v>0</v>
      </c>
      <c r="O303" s="880">
        <v>0</v>
      </c>
      <c r="P303" s="880">
        <v>52</v>
      </c>
      <c r="Q303" s="881">
        <v>0</v>
      </c>
      <c r="R303" s="880">
        <v>0</v>
      </c>
      <c r="S303" s="880">
        <v>61</v>
      </c>
      <c r="T303" s="881">
        <v>0</v>
      </c>
      <c r="U303" s="880">
        <v>0</v>
      </c>
      <c r="V303" s="880">
        <v>86</v>
      </c>
      <c r="W303" s="881">
        <v>0</v>
      </c>
      <c r="X303" s="880">
        <v>0</v>
      </c>
      <c r="Y303" s="880">
        <v>99</v>
      </c>
      <c r="Z303" s="881">
        <v>0</v>
      </c>
      <c r="AA303" s="880" t="s">
        <v>1450</v>
      </c>
      <c r="AB303" s="880" t="s">
        <v>1450</v>
      </c>
      <c r="AC303" s="881" t="s">
        <v>1450</v>
      </c>
      <c r="AD303" s="880" t="s">
        <v>1450</v>
      </c>
      <c r="AE303" s="880" t="s">
        <v>1450</v>
      </c>
      <c r="AF303" s="881" t="s">
        <v>1450</v>
      </c>
      <c r="AG303" s="880" t="s">
        <v>1450</v>
      </c>
      <c r="AH303" s="880" t="s">
        <v>1450</v>
      </c>
      <c r="AI303" s="881" t="s">
        <v>1450</v>
      </c>
    </row>
    <row r="304" spans="2:35" x14ac:dyDescent="0.2">
      <c r="B304" s="867">
        <v>78664000</v>
      </c>
      <c r="C304" s="876" t="s">
        <v>1447</v>
      </c>
      <c r="D304" s="877" t="s">
        <v>1447</v>
      </c>
      <c r="E304" s="877" t="s">
        <v>1447</v>
      </c>
      <c r="F304" s="877" t="s">
        <v>1447</v>
      </c>
      <c r="G304" s="877" t="s">
        <v>1447</v>
      </c>
      <c r="H304" s="877" t="s">
        <v>1447</v>
      </c>
      <c r="I304" s="877" t="s">
        <v>1447</v>
      </c>
      <c r="J304" s="878" t="s">
        <v>1447</v>
      </c>
      <c r="K304" s="877"/>
      <c r="L304" s="879">
        <v>64</v>
      </c>
      <c r="M304" s="880">
        <v>275</v>
      </c>
      <c r="N304" s="881">
        <v>0.23449999999999999</v>
      </c>
      <c r="O304" s="880">
        <v>72.702681660313999</v>
      </c>
      <c r="P304" s="880">
        <v>279</v>
      </c>
      <c r="Q304" s="881">
        <v>0.26058308838822219</v>
      </c>
      <c r="R304" s="880">
        <v>73.746034077269201</v>
      </c>
      <c r="S304" s="880">
        <v>245</v>
      </c>
      <c r="T304" s="881">
        <v>0.30100422072354777</v>
      </c>
      <c r="U304" s="880">
        <v>79.901603498542272</v>
      </c>
      <c r="V304" s="880">
        <v>252</v>
      </c>
      <c r="W304" s="881">
        <v>0.3170698551529455</v>
      </c>
      <c r="X304" s="880">
        <v>85.782567101676875</v>
      </c>
      <c r="Y304" s="880">
        <v>245</v>
      </c>
      <c r="Z304" s="881">
        <v>0.35013292694561987</v>
      </c>
      <c r="AA304" s="880">
        <v>110.17439866636509</v>
      </c>
      <c r="AB304" s="880">
        <v>266</v>
      </c>
      <c r="AC304" s="881">
        <v>0.41418946867054546</v>
      </c>
      <c r="AD304" s="880">
        <v>94.289569649771011</v>
      </c>
      <c r="AE304" s="880">
        <v>239</v>
      </c>
      <c r="AF304" s="881">
        <v>0.39451702782330966</v>
      </c>
      <c r="AG304" s="880">
        <v>85.140644118023928</v>
      </c>
      <c r="AH304" s="880">
        <v>219</v>
      </c>
      <c r="AI304" s="881">
        <v>0.38877006446586271</v>
      </c>
    </row>
    <row r="305" spans="2:35" x14ac:dyDescent="0.2">
      <c r="B305" s="867">
        <v>78665000</v>
      </c>
      <c r="C305" s="876" t="s">
        <v>1447</v>
      </c>
      <c r="D305" s="877" t="s">
        <v>1447</v>
      </c>
      <c r="E305" s="877" t="s">
        <v>1447</v>
      </c>
      <c r="F305" s="877" t="s">
        <v>1447</v>
      </c>
      <c r="G305" s="877" t="s">
        <v>1447</v>
      </c>
      <c r="H305" s="877" t="s">
        <v>1447</v>
      </c>
      <c r="I305" s="877" t="s">
        <v>1447</v>
      </c>
      <c r="J305" s="878" t="s">
        <v>1447</v>
      </c>
      <c r="K305" s="877"/>
      <c r="L305" s="879">
        <v>21</v>
      </c>
      <c r="M305" s="880">
        <v>105</v>
      </c>
      <c r="N305" s="881">
        <v>0.2016</v>
      </c>
      <c r="O305" s="880">
        <v>37.893518925981844</v>
      </c>
      <c r="P305" s="880">
        <v>117</v>
      </c>
      <c r="Q305" s="881">
        <v>0.32387623013659694</v>
      </c>
      <c r="R305" s="880">
        <v>37.86958506670581</v>
      </c>
      <c r="S305" s="880">
        <v>113</v>
      </c>
      <c r="T305" s="881">
        <v>0.33512907138677706</v>
      </c>
      <c r="U305" s="880">
        <v>56.46379980563654</v>
      </c>
      <c r="V305" s="880">
        <v>125</v>
      </c>
      <c r="W305" s="881">
        <v>0.45171039844509231</v>
      </c>
      <c r="X305" s="880">
        <v>45.230808108156893</v>
      </c>
      <c r="Y305" s="880">
        <v>131</v>
      </c>
      <c r="Z305" s="881">
        <v>0.34527334433707552</v>
      </c>
      <c r="AA305" s="880">
        <v>36.908423553232304</v>
      </c>
      <c r="AB305" s="880">
        <v>91</v>
      </c>
      <c r="AC305" s="881">
        <v>0.40558707201354177</v>
      </c>
      <c r="AD305" s="880">
        <v>34.846145305350156</v>
      </c>
      <c r="AE305" s="880">
        <v>90</v>
      </c>
      <c r="AF305" s="881">
        <v>0.38717939228166842</v>
      </c>
      <c r="AG305" s="880">
        <v>26.730202223100537</v>
      </c>
      <c r="AH305" s="880">
        <v>73</v>
      </c>
      <c r="AI305" s="881">
        <v>0.36616715374110326</v>
      </c>
    </row>
    <row r="306" spans="2:35" x14ac:dyDescent="0.2">
      <c r="B306" s="867">
        <v>78670000</v>
      </c>
      <c r="C306" s="876" t="s">
        <v>1447</v>
      </c>
      <c r="D306" s="877" t="s">
        <v>1447</v>
      </c>
      <c r="E306" s="877" t="s">
        <v>1447</v>
      </c>
      <c r="F306" s="877" t="s">
        <v>1447</v>
      </c>
      <c r="G306" s="877" t="s">
        <v>1447</v>
      </c>
      <c r="H306" s="877" t="s">
        <v>1447</v>
      </c>
      <c r="I306" s="877" t="s">
        <v>1448</v>
      </c>
      <c r="J306" s="878" t="s">
        <v>1448</v>
      </c>
      <c r="K306" s="877"/>
      <c r="L306" s="879">
        <v>131</v>
      </c>
      <c r="M306" s="880">
        <v>576</v>
      </c>
      <c r="N306" s="881">
        <v>0.22839999999999999</v>
      </c>
      <c r="O306" s="880">
        <v>69.618325468664324</v>
      </c>
      <c r="P306" s="880">
        <v>232</v>
      </c>
      <c r="Q306" s="881">
        <v>0.30007898908907038</v>
      </c>
      <c r="R306" s="880">
        <v>90.687690554479701</v>
      </c>
      <c r="S306" s="880">
        <v>231</v>
      </c>
      <c r="T306" s="881">
        <v>0.39258740499774764</v>
      </c>
      <c r="U306" s="880">
        <v>75.107507288629733</v>
      </c>
      <c r="V306" s="880">
        <v>241</v>
      </c>
      <c r="W306" s="881">
        <v>0.31164940783663792</v>
      </c>
      <c r="X306" s="880">
        <v>75.904574526332254</v>
      </c>
      <c r="Y306" s="880">
        <v>238</v>
      </c>
      <c r="Z306" s="881">
        <v>0.31892678372408512</v>
      </c>
      <c r="AA306" s="880">
        <v>75.469463086460081</v>
      </c>
      <c r="AB306" s="880">
        <v>226</v>
      </c>
      <c r="AC306" s="881">
        <v>0.33393567737371715</v>
      </c>
      <c r="AD306" s="880" t="s">
        <v>1450</v>
      </c>
      <c r="AE306" s="880" t="s">
        <v>1450</v>
      </c>
      <c r="AF306" s="881" t="s">
        <v>1450</v>
      </c>
      <c r="AG306" s="880" t="s">
        <v>1450</v>
      </c>
      <c r="AH306" s="880" t="s">
        <v>1450</v>
      </c>
      <c r="AI306" s="881" t="s">
        <v>1450</v>
      </c>
    </row>
    <row r="307" spans="2:35" x14ac:dyDescent="0.2">
      <c r="B307" s="867">
        <v>78685000</v>
      </c>
      <c r="C307" s="876" t="s">
        <v>1447</v>
      </c>
      <c r="D307" s="877" t="s">
        <v>1447</v>
      </c>
      <c r="E307" s="877" t="s">
        <v>1447</v>
      </c>
      <c r="F307" s="877" t="s">
        <v>1447</v>
      </c>
      <c r="G307" s="877" t="s">
        <v>1447</v>
      </c>
      <c r="H307" s="877" t="s">
        <v>1447</v>
      </c>
      <c r="I307" s="877" t="s">
        <v>1447</v>
      </c>
      <c r="J307" s="878" t="s">
        <v>1447</v>
      </c>
      <c r="K307" s="877"/>
      <c r="L307" s="879">
        <v>55</v>
      </c>
      <c r="M307" s="880">
        <v>221</v>
      </c>
      <c r="N307" s="881">
        <v>0.24990000000000001</v>
      </c>
      <c r="O307" s="880">
        <v>96.055664254233051</v>
      </c>
      <c r="P307" s="880">
        <v>317</v>
      </c>
      <c r="Q307" s="881">
        <v>0.30301471373575095</v>
      </c>
      <c r="R307" s="880">
        <v>117.09674329836665</v>
      </c>
      <c r="S307" s="880">
        <v>346</v>
      </c>
      <c r="T307" s="881">
        <v>0.33842989392591516</v>
      </c>
      <c r="U307" s="880">
        <v>115.59098639455782</v>
      </c>
      <c r="V307" s="880">
        <v>283</v>
      </c>
      <c r="W307" s="881">
        <v>0.40844871517511594</v>
      </c>
      <c r="X307" s="880">
        <v>101.89929182987071</v>
      </c>
      <c r="Y307" s="880">
        <v>278</v>
      </c>
      <c r="Z307" s="881">
        <v>0.36654421521536223</v>
      </c>
      <c r="AA307" s="880">
        <v>94.199110859742149</v>
      </c>
      <c r="AB307" s="880">
        <v>246</v>
      </c>
      <c r="AC307" s="881">
        <v>0.3829232148770006</v>
      </c>
      <c r="AD307" s="880">
        <v>87.627806576689352</v>
      </c>
      <c r="AE307" s="880">
        <v>212</v>
      </c>
      <c r="AF307" s="881">
        <v>0.4133387102674026</v>
      </c>
      <c r="AG307" s="880">
        <v>51.975393211584375</v>
      </c>
      <c r="AH307" s="880">
        <v>169</v>
      </c>
      <c r="AI307" s="881">
        <v>0.30754670539399037</v>
      </c>
    </row>
    <row r="308" spans="2:35" x14ac:dyDescent="0.2">
      <c r="B308" s="867">
        <v>78688000</v>
      </c>
      <c r="C308" s="876" t="s">
        <v>1448</v>
      </c>
      <c r="D308" s="877" t="s">
        <v>1448</v>
      </c>
      <c r="E308" s="877" t="s">
        <v>1447</v>
      </c>
      <c r="F308" s="877" t="s">
        <v>1447</v>
      </c>
      <c r="G308" s="877" t="s">
        <v>1447</v>
      </c>
      <c r="H308" s="877" t="s">
        <v>1448</v>
      </c>
      <c r="I308" s="877" t="s">
        <v>1447</v>
      </c>
      <c r="J308" s="878" t="s">
        <v>1447</v>
      </c>
      <c r="K308" s="877"/>
      <c r="L308" s="879">
        <v>0</v>
      </c>
      <c r="M308" s="880">
        <v>31</v>
      </c>
      <c r="N308" s="881">
        <v>0</v>
      </c>
      <c r="O308" s="880">
        <v>0</v>
      </c>
      <c r="P308" s="880">
        <v>48</v>
      </c>
      <c r="Q308" s="881">
        <v>0</v>
      </c>
      <c r="R308" s="880">
        <v>18.934792533352905</v>
      </c>
      <c r="S308" s="880">
        <v>87</v>
      </c>
      <c r="T308" s="881">
        <v>0.21764129348681499</v>
      </c>
      <c r="U308" s="880">
        <v>20.241739552964042</v>
      </c>
      <c r="V308" s="880">
        <v>87</v>
      </c>
      <c r="W308" s="881">
        <v>0.23266367302257518</v>
      </c>
      <c r="X308" s="880">
        <v>35.352815532812286</v>
      </c>
      <c r="Y308" s="880">
        <v>131</v>
      </c>
      <c r="Z308" s="881">
        <v>0.26986882086116248</v>
      </c>
      <c r="AA308" s="880" t="s">
        <v>1450</v>
      </c>
      <c r="AB308" s="880" t="s">
        <v>1450</v>
      </c>
      <c r="AC308" s="881" t="s">
        <v>1450</v>
      </c>
      <c r="AD308" s="880">
        <v>28.184382232268508</v>
      </c>
      <c r="AE308" s="880">
        <v>160</v>
      </c>
      <c r="AF308" s="881">
        <v>0.17615238895167817</v>
      </c>
      <c r="AG308" s="880">
        <v>52.470396956456604</v>
      </c>
      <c r="AH308" s="880">
        <v>166</v>
      </c>
      <c r="AI308" s="881">
        <v>0.31608672865335302</v>
      </c>
    </row>
    <row r="309" spans="2:35" x14ac:dyDescent="0.2">
      <c r="B309" s="867">
        <v>78701000</v>
      </c>
      <c r="C309" s="876" t="s">
        <v>1447</v>
      </c>
      <c r="D309" s="877" t="s">
        <v>1447</v>
      </c>
      <c r="E309" s="877" t="s">
        <v>1447</v>
      </c>
      <c r="F309" s="877" t="s">
        <v>1447</v>
      </c>
      <c r="G309" s="877" t="s">
        <v>1447</v>
      </c>
      <c r="H309" s="877" t="s">
        <v>1447</v>
      </c>
      <c r="I309" s="877" t="s">
        <v>1447</v>
      </c>
      <c r="J309" s="878" t="s">
        <v>1447</v>
      </c>
      <c r="K309" s="877"/>
      <c r="L309" s="879">
        <v>149</v>
      </c>
      <c r="M309" s="880">
        <v>382</v>
      </c>
      <c r="N309" s="881">
        <v>0.38950000000000001</v>
      </c>
      <c r="O309" s="880">
        <v>148.9303418253705</v>
      </c>
      <c r="P309" s="880">
        <v>400</v>
      </c>
      <c r="Q309" s="881">
        <v>0.37232585456342626</v>
      </c>
      <c r="R309" s="880">
        <v>185.85993723527983</v>
      </c>
      <c r="S309" s="880">
        <v>412</v>
      </c>
      <c r="T309" s="881">
        <v>0.45111635251281512</v>
      </c>
      <c r="U309" s="880">
        <v>215.73432944606412</v>
      </c>
      <c r="V309" s="880">
        <v>449</v>
      </c>
      <c r="W309" s="881">
        <v>0.48047734843221407</v>
      </c>
      <c r="X309" s="880">
        <v>199.1195345451045</v>
      </c>
      <c r="Y309" s="880">
        <v>419</v>
      </c>
      <c r="Z309" s="881">
        <v>0.47522561943939023</v>
      </c>
      <c r="AA309" s="880">
        <v>213.18746141941645</v>
      </c>
      <c r="AB309" s="880">
        <v>420</v>
      </c>
      <c r="AC309" s="881">
        <v>0.50758919385575341</v>
      </c>
      <c r="AD309" s="880">
        <v>194.7284590593097</v>
      </c>
      <c r="AE309" s="880">
        <v>396</v>
      </c>
      <c r="AF309" s="881">
        <v>0.49173853297805481</v>
      </c>
      <c r="AG309" s="880">
        <v>192.06145301042608</v>
      </c>
      <c r="AH309" s="880">
        <v>404</v>
      </c>
      <c r="AI309" s="881">
        <v>0.47539963616442099</v>
      </c>
    </row>
    <row r="310" spans="2:35" x14ac:dyDescent="0.2">
      <c r="B310" s="867">
        <v>78702000</v>
      </c>
      <c r="C310" s="876" t="s">
        <v>1448</v>
      </c>
      <c r="D310" s="877" t="s">
        <v>1447</v>
      </c>
      <c r="E310" s="877" t="s">
        <v>1448</v>
      </c>
      <c r="F310" s="877" t="s">
        <v>1448</v>
      </c>
      <c r="G310" s="877" t="s">
        <v>1448</v>
      </c>
      <c r="H310" s="877" t="s">
        <v>1448</v>
      </c>
      <c r="I310" s="877" t="s">
        <v>1448</v>
      </c>
      <c r="J310" s="878" t="s">
        <v>1448</v>
      </c>
      <c r="K310" s="877"/>
      <c r="L310" s="879">
        <v>12</v>
      </c>
      <c r="M310" s="880">
        <v>86</v>
      </c>
      <c r="N310" s="881">
        <v>0.1356</v>
      </c>
      <c r="O310" s="880">
        <v>11.896802453505927</v>
      </c>
      <c r="P310" s="880">
        <v>65</v>
      </c>
      <c r="Q310" s="881">
        <v>0.18302773005393735</v>
      </c>
      <c r="R310" s="880" t="s">
        <v>1450</v>
      </c>
      <c r="S310" s="880" t="s">
        <v>1450</v>
      </c>
      <c r="T310" s="881" t="s">
        <v>1450</v>
      </c>
      <c r="U310" s="880" t="s">
        <v>1450</v>
      </c>
      <c r="V310" s="880" t="s">
        <v>1450</v>
      </c>
      <c r="W310" s="881" t="s">
        <v>1450</v>
      </c>
      <c r="X310" s="880" t="s">
        <v>1450</v>
      </c>
      <c r="Y310" s="880" t="s">
        <v>1450</v>
      </c>
      <c r="Z310" s="881" t="s">
        <v>1450</v>
      </c>
      <c r="AA310" s="880" t="s">
        <v>1450</v>
      </c>
      <c r="AB310" s="880" t="s">
        <v>1450</v>
      </c>
      <c r="AC310" s="881" t="s">
        <v>1450</v>
      </c>
      <c r="AD310" s="880" t="s">
        <v>1450</v>
      </c>
      <c r="AE310" s="880" t="s">
        <v>1450</v>
      </c>
      <c r="AF310" s="881" t="s">
        <v>1450</v>
      </c>
      <c r="AG310" s="880" t="s">
        <v>1450</v>
      </c>
      <c r="AH310" s="880" t="s">
        <v>1450</v>
      </c>
      <c r="AI310" s="881" t="s">
        <v>1450</v>
      </c>
    </row>
    <row r="311" spans="2:35" x14ac:dyDescent="0.2">
      <c r="B311" s="867">
        <v>78704000</v>
      </c>
      <c r="C311" s="876" t="s">
        <v>1448</v>
      </c>
      <c r="D311" s="877" t="s">
        <v>1448</v>
      </c>
      <c r="E311" s="877" t="s">
        <v>1447</v>
      </c>
      <c r="F311" s="877" t="s">
        <v>1447</v>
      </c>
      <c r="G311" s="877" t="s">
        <v>1447</v>
      </c>
      <c r="H311" s="877" t="s">
        <v>1447</v>
      </c>
      <c r="I311" s="877" t="s">
        <v>1448</v>
      </c>
      <c r="J311" s="878" t="s">
        <v>1448</v>
      </c>
      <c r="K311" s="877"/>
      <c r="L311" s="879">
        <v>12</v>
      </c>
      <c r="M311" s="880">
        <v>130</v>
      </c>
      <c r="N311" s="881">
        <v>9.2799999999999994E-2</v>
      </c>
      <c r="O311" s="880">
        <v>0</v>
      </c>
      <c r="P311" s="880">
        <v>0</v>
      </c>
      <c r="Q311" s="881">
        <v>0</v>
      </c>
      <c r="R311" s="880">
        <v>25.41248471581574</v>
      </c>
      <c r="S311" s="880">
        <v>124</v>
      </c>
      <c r="T311" s="881">
        <v>0.20493939286948176</v>
      </c>
      <c r="U311" s="880">
        <v>30.895286686103013</v>
      </c>
      <c r="V311" s="880">
        <v>127</v>
      </c>
      <c r="W311" s="881">
        <v>0.24326997390632293</v>
      </c>
      <c r="X311" s="880">
        <v>18.196302112476911</v>
      </c>
      <c r="Y311" s="880">
        <v>75</v>
      </c>
      <c r="Z311" s="881">
        <v>0.24261736149969215</v>
      </c>
      <c r="AA311" s="880">
        <v>22.034879733273019</v>
      </c>
      <c r="AB311" s="880">
        <v>86</v>
      </c>
      <c r="AC311" s="881">
        <v>0.25621953178224444</v>
      </c>
      <c r="AD311" s="880">
        <v>0</v>
      </c>
      <c r="AE311" s="880">
        <v>106</v>
      </c>
      <c r="AF311" s="881">
        <v>0</v>
      </c>
      <c r="AG311" s="880" t="s">
        <v>1450</v>
      </c>
      <c r="AH311" s="880" t="s">
        <v>1450</v>
      </c>
      <c r="AI311" s="881" t="s">
        <v>1450</v>
      </c>
    </row>
    <row r="312" spans="2:35" x14ac:dyDescent="0.2">
      <c r="B312" s="867">
        <v>78705000</v>
      </c>
      <c r="C312" s="876" t="s">
        <v>1448</v>
      </c>
      <c r="D312" s="877" t="s">
        <v>1448</v>
      </c>
      <c r="E312" s="877" t="s">
        <v>1448</v>
      </c>
      <c r="F312" s="877" t="s">
        <v>1448</v>
      </c>
      <c r="G312" s="877" t="s">
        <v>1447</v>
      </c>
      <c r="H312" s="877" t="s">
        <v>1447</v>
      </c>
      <c r="I312" s="877" t="s">
        <v>1447</v>
      </c>
      <c r="J312" s="878" t="s">
        <v>1447</v>
      </c>
      <c r="K312" s="877"/>
      <c r="L312" s="879" t="s">
        <v>1450</v>
      </c>
      <c r="M312" s="880" t="s">
        <v>1450</v>
      </c>
      <c r="N312" s="881" t="s">
        <v>1450</v>
      </c>
      <c r="O312" s="880" t="s">
        <v>1450</v>
      </c>
      <c r="P312" s="880" t="s">
        <v>1450</v>
      </c>
      <c r="Q312" s="881" t="s">
        <v>1450</v>
      </c>
      <c r="R312" s="880" t="s">
        <v>1450</v>
      </c>
      <c r="S312" s="880" t="s">
        <v>1450</v>
      </c>
      <c r="T312" s="881" t="s">
        <v>1450</v>
      </c>
      <c r="U312" s="880" t="s">
        <v>1450</v>
      </c>
      <c r="V312" s="880" t="s">
        <v>1450</v>
      </c>
      <c r="W312" s="881" t="s">
        <v>1450</v>
      </c>
      <c r="X312" s="880">
        <v>114.89665048163992</v>
      </c>
      <c r="Y312" s="880">
        <v>221</v>
      </c>
      <c r="Z312" s="881">
        <v>0.5198943460707689</v>
      </c>
      <c r="AA312" s="880">
        <v>124.49707049299255</v>
      </c>
      <c r="AB312" s="880">
        <v>624</v>
      </c>
      <c r="AC312" s="881">
        <v>0.19951453604646241</v>
      </c>
      <c r="AD312" s="880">
        <v>141.43435447465652</v>
      </c>
      <c r="AE312" s="880">
        <v>685</v>
      </c>
      <c r="AF312" s="881">
        <v>0.20647351018198032</v>
      </c>
      <c r="AG312" s="880">
        <v>126.72095868729143</v>
      </c>
      <c r="AH312" s="880">
        <v>634</v>
      </c>
      <c r="AI312" s="881">
        <v>0.19987532915976566</v>
      </c>
    </row>
    <row r="313" spans="2:35" x14ac:dyDescent="0.2">
      <c r="B313" s="867">
        <v>78707000</v>
      </c>
      <c r="C313" s="876" t="s">
        <v>1448</v>
      </c>
      <c r="D313" s="877" t="s">
        <v>1448</v>
      </c>
      <c r="E313" s="877" t="s">
        <v>1448</v>
      </c>
      <c r="F313" s="877" t="s">
        <v>1448</v>
      </c>
      <c r="G313" s="877" t="s">
        <v>1448</v>
      </c>
      <c r="H313" s="877" t="s">
        <v>1447</v>
      </c>
      <c r="I313" s="877" t="s">
        <v>1448</v>
      </c>
      <c r="J313" s="878" t="s">
        <v>1448</v>
      </c>
      <c r="K313" s="877"/>
      <c r="L313" s="879">
        <v>0</v>
      </c>
      <c r="M313" s="880">
        <v>268</v>
      </c>
      <c r="N313" s="881">
        <v>0</v>
      </c>
      <c r="O313" s="880">
        <v>0.44062231309281213</v>
      </c>
      <c r="P313" s="880">
        <v>278</v>
      </c>
      <c r="Q313" s="881">
        <v>1.58497234925472E-3</v>
      </c>
      <c r="R313" s="880">
        <v>0</v>
      </c>
      <c r="S313" s="880">
        <v>265</v>
      </c>
      <c r="T313" s="881">
        <v>0</v>
      </c>
      <c r="U313" s="880">
        <v>28.23189990281827</v>
      </c>
      <c r="V313" s="880">
        <v>251</v>
      </c>
      <c r="W313" s="881">
        <v>0.11247768885584969</v>
      </c>
      <c r="X313" s="880">
        <v>40.551758993519975</v>
      </c>
      <c r="Y313" s="880">
        <v>272</v>
      </c>
      <c r="Z313" s="881">
        <v>0.14908734924088227</v>
      </c>
      <c r="AA313" s="880">
        <v>50.129351393196117</v>
      </c>
      <c r="AB313" s="880">
        <v>330</v>
      </c>
      <c r="AC313" s="881">
        <v>0.15190712543392762</v>
      </c>
      <c r="AD313" s="880">
        <v>46.119898198257559</v>
      </c>
      <c r="AE313" s="880">
        <v>361</v>
      </c>
      <c r="AF313" s="881">
        <v>0.12775595068769408</v>
      </c>
      <c r="AG313" s="880">
        <v>31.185235926950625</v>
      </c>
      <c r="AH313" s="880">
        <v>315</v>
      </c>
      <c r="AI313" s="881">
        <v>9.9000748974446426E-2</v>
      </c>
    </row>
    <row r="314" spans="2:35" x14ac:dyDescent="0.2">
      <c r="B314" s="867">
        <v>78708000</v>
      </c>
      <c r="C314" s="876" t="s">
        <v>1447</v>
      </c>
      <c r="D314" s="877" t="s">
        <v>1447</v>
      </c>
      <c r="E314" s="877" t="s">
        <v>1447</v>
      </c>
      <c r="F314" s="877" t="s">
        <v>1447</v>
      </c>
      <c r="G314" s="877" t="s">
        <v>1447</v>
      </c>
      <c r="H314" s="877" t="s">
        <v>1447</v>
      </c>
      <c r="I314" s="877" t="s">
        <v>1447</v>
      </c>
      <c r="J314" s="878" t="s">
        <v>1447</v>
      </c>
      <c r="K314" s="877"/>
      <c r="L314" s="879">
        <v>56</v>
      </c>
      <c r="M314" s="880">
        <v>167</v>
      </c>
      <c r="N314" s="881">
        <v>0.33839999999999998</v>
      </c>
      <c r="O314" s="880">
        <v>37.893518925981844</v>
      </c>
      <c r="P314" s="880">
        <v>107</v>
      </c>
      <c r="Q314" s="881">
        <v>0.35414503669141911</v>
      </c>
      <c r="R314" s="880">
        <v>44.845561263204246</v>
      </c>
      <c r="S314" s="880">
        <v>107</v>
      </c>
      <c r="T314" s="881">
        <v>0.41911739498321726</v>
      </c>
      <c r="U314" s="880">
        <v>37.287414965986393</v>
      </c>
      <c r="V314" s="880">
        <v>80</v>
      </c>
      <c r="W314" s="881">
        <v>0.46609268707482993</v>
      </c>
      <c r="X314" s="880">
        <v>42.111442031732281</v>
      </c>
      <c r="Y314" s="880">
        <v>85</v>
      </c>
      <c r="Z314" s="881">
        <v>0.49542872978508568</v>
      </c>
      <c r="AA314" s="880">
        <v>40.213655513223259</v>
      </c>
      <c r="AB314" s="880">
        <v>104</v>
      </c>
      <c r="AC314" s="881">
        <v>0.38666976455022362</v>
      </c>
      <c r="AD314" s="880">
        <v>50.219444704769337</v>
      </c>
      <c r="AE314" s="880">
        <v>105</v>
      </c>
      <c r="AF314" s="881">
        <v>0.47828042575970797</v>
      </c>
      <c r="AG314" s="880">
        <v>24.255183498739374</v>
      </c>
      <c r="AH314" s="880">
        <v>59</v>
      </c>
      <c r="AI314" s="881">
        <v>0.41110480506337921</v>
      </c>
    </row>
    <row r="315" spans="2:35" x14ac:dyDescent="0.2">
      <c r="B315" s="867">
        <v>78711000</v>
      </c>
      <c r="C315" s="876" t="s">
        <v>1447</v>
      </c>
      <c r="D315" s="877" t="s">
        <v>1447</v>
      </c>
      <c r="E315" s="877" t="s">
        <v>1447</v>
      </c>
      <c r="F315" s="877" t="s">
        <v>1447</v>
      </c>
      <c r="G315" s="877" t="s">
        <v>1447</v>
      </c>
      <c r="H315" s="877" t="s">
        <v>1447</v>
      </c>
      <c r="I315" s="877" t="s">
        <v>1447</v>
      </c>
      <c r="J315" s="878" t="s">
        <v>1447</v>
      </c>
      <c r="K315" s="877"/>
      <c r="L315" s="879">
        <v>270</v>
      </c>
      <c r="M315" s="880">
        <v>793</v>
      </c>
      <c r="N315" s="881">
        <v>0.3402</v>
      </c>
      <c r="O315" s="880">
        <v>235.7329375046545</v>
      </c>
      <c r="P315" s="880">
        <v>832</v>
      </c>
      <c r="Q315" s="881">
        <v>0.28333285757770976</v>
      </c>
      <c r="R315" s="880">
        <v>342.81940165649468</v>
      </c>
      <c r="S315" s="880">
        <v>714</v>
      </c>
      <c r="T315" s="881">
        <v>0.48013921800629505</v>
      </c>
      <c r="U315" s="880">
        <v>361.68792517006801</v>
      </c>
      <c r="V315" s="880">
        <v>669</v>
      </c>
      <c r="W315" s="881">
        <v>0.54063964898365924</v>
      </c>
      <c r="X315" s="880">
        <v>364.445936595609</v>
      </c>
      <c r="Y315" s="880">
        <v>693</v>
      </c>
      <c r="Z315" s="881">
        <v>0.52589601240347617</v>
      </c>
      <c r="AA315" s="880">
        <v>155.34590211957479</v>
      </c>
      <c r="AB315" s="880">
        <v>274</v>
      </c>
      <c r="AC315" s="881">
        <v>0.56695584715173275</v>
      </c>
      <c r="AD315" s="880">
        <v>132.72281814831896</v>
      </c>
      <c r="AE315" s="880">
        <v>279</v>
      </c>
      <c r="AF315" s="881">
        <v>0.47570902562121492</v>
      </c>
      <c r="AG315" s="880">
        <v>124.24593996293027</v>
      </c>
      <c r="AH315" s="880">
        <v>251</v>
      </c>
      <c r="AI315" s="881">
        <v>0.49500374487223214</v>
      </c>
    </row>
    <row r="316" spans="2:35" x14ac:dyDescent="0.2">
      <c r="B316" s="867">
        <v>78712000</v>
      </c>
      <c r="C316" s="876" t="s">
        <v>1448</v>
      </c>
      <c r="D316" s="877" t="s">
        <v>1448</v>
      </c>
      <c r="E316" s="877" t="s">
        <v>1448</v>
      </c>
      <c r="F316" s="877" t="s">
        <v>1448</v>
      </c>
      <c r="G316" s="877" t="s">
        <v>1448</v>
      </c>
      <c r="H316" s="877" t="s">
        <v>1448</v>
      </c>
      <c r="I316" s="877" t="s">
        <v>1448</v>
      </c>
      <c r="J316" s="878" t="s">
        <v>1448</v>
      </c>
      <c r="K316" s="877"/>
      <c r="L316" s="879">
        <v>0</v>
      </c>
      <c r="M316" s="880">
        <v>443</v>
      </c>
      <c r="N316" s="881">
        <v>0</v>
      </c>
      <c r="O316" s="880">
        <v>0.44062231309281213</v>
      </c>
      <c r="P316" s="880">
        <v>490</v>
      </c>
      <c r="Q316" s="881">
        <v>8.9922921039349416E-4</v>
      </c>
      <c r="R316" s="880">
        <v>0.49828401403560274</v>
      </c>
      <c r="S316" s="880">
        <v>547</v>
      </c>
      <c r="T316" s="881">
        <v>9.1093969659159554E-4</v>
      </c>
      <c r="U316" s="880">
        <v>0</v>
      </c>
      <c r="V316" s="880">
        <v>589</v>
      </c>
      <c r="W316" s="881">
        <v>0</v>
      </c>
      <c r="X316" s="880">
        <v>0.5198943460707689</v>
      </c>
      <c r="Y316" s="880">
        <v>601</v>
      </c>
      <c r="Z316" s="881">
        <v>8.650488287367203E-4</v>
      </c>
      <c r="AA316" s="880" t="s">
        <v>1450</v>
      </c>
      <c r="AB316" s="880" t="s">
        <v>1450</v>
      </c>
      <c r="AC316" s="881" t="s">
        <v>1450</v>
      </c>
      <c r="AD316" s="880" t="s">
        <v>1450</v>
      </c>
      <c r="AE316" s="880" t="s">
        <v>1450</v>
      </c>
      <c r="AF316" s="881" t="s">
        <v>1450</v>
      </c>
      <c r="AG316" s="880" t="s">
        <v>1450</v>
      </c>
      <c r="AH316" s="880" t="s">
        <v>1450</v>
      </c>
      <c r="AI316" s="881" t="s">
        <v>1450</v>
      </c>
    </row>
    <row r="317" spans="2:35" x14ac:dyDescent="0.2">
      <c r="B317" s="867">
        <v>78714000</v>
      </c>
      <c r="C317" s="876" t="s">
        <v>1447</v>
      </c>
      <c r="D317" s="877" t="s">
        <v>1447</v>
      </c>
      <c r="E317" s="877" t="s">
        <v>1447</v>
      </c>
      <c r="F317" s="877" t="s">
        <v>1447</v>
      </c>
      <c r="G317" s="877" t="s">
        <v>1447</v>
      </c>
      <c r="H317" s="877" t="s">
        <v>1447</v>
      </c>
      <c r="I317" s="877" t="s">
        <v>1447</v>
      </c>
      <c r="J317" s="878" t="s">
        <v>1447</v>
      </c>
      <c r="K317" s="877"/>
      <c r="L317" s="879">
        <v>210</v>
      </c>
      <c r="M317" s="880">
        <v>493</v>
      </c>
      <c r="N317" s="881">
        <v>0.42480000000000001</v>
      </c>
      <c r="O317" s="880">
        <v>238.81729369630418</v>
      </c>
      <c r="P317" s="880">
        <v>580</v>
      </c>
      <c r="Q317" s="881">
        <v>0.41175395464880032</v>
      </c>
      <c r="R317" s="880">
        <v>223.23123828795002</v>
      </c>
      <c r="S317" s="880">
        <v>532</v>
      </c>
      <c r="T317" s="881">
        <v>0.41960759076682336</v>
      </c>
      <c r="U317" s="880">
        <v>241.30284256559767</v>
      </c>
      <c r="V317" s="880">
        <v>480</v>
      </c>
      <c r="W317" s="881">
        <v>0.50271425534499514</v>
      </c>
      <c r="X317" s="880">
        <v>227.19382923292602</v>
      </c>
      <c r="Y317" s="880">
        <v>477</v>
      </c>
      <c r="Z317" s="881">
        <v>0.47629733591808388</v>
      </c>
      <c r="AA317" s="880">
        <v>268.274660752599</v>
      </c>
      <c r="AB317" s="880">
        <v>537</v>
      </c>
      <c r="AC317" s="881">
        <v>0.49958037384096649</v>
      </c>
      <c r="AD317" s="880">
        <v>253.65944009041655</v>
      </c>
      <c r="AE317" s="880">
        <v>521</v>
      </c>
      <c r="AF317" s="881">
        <v>0.48687032646912964</v>
      </c>
      <c r="AG317" s="880">
        <v>193.54646424504276</v>
      </c>
      <c r="AH317" s="880">
        <v>412</v>
      </c>
      <c r="AI317" s="881">
        <v>0.4697729714685504</v>
      </c>
    </row>
    <row r="318" spans="2:35" x14ac:dyDescent="0.2">
      <c r="B318" s="867">
        <v>78715000</v>
      </c>
      <c r="C318" s="876" t="s">
        <v>1448</v>
      </c>
      <c r="D318" s="877" t="s">
        <v>1448</v>
      </c>
      <c r="E318" s="877" t="s">
        <v>1448</v>
      </c>
      <c r="F318" s="877" t="s">
        <v>1448</v>
      </c>
      <c r="G318" s="877" t="s">
        <v>1448</v>
      </c>
      <c r="H318" s="877" t="s">
        <v>1448</v>
      </c>
      <c r="I318" s="877" t="s">
        <v>1448</v>
      </c>
      <c r="J318" s="878" t="s">
        <v>1448</v>
      </c>
      <c r="K318" s="877"/>
      <c r="L318" s="879">
        <v>23</v>
      </c>
      <c r="M318" s="880">
        <v>445</v>
      </c>
      <c r="N318" s="881">
        <v>5.21E-2</v>
      </c>
      <c r="O318" s="880">
        <v>31.724806542682472</v>
      </c>
      <c r="P318" s="880">
        <v>480</v>
      </c>
      <c r="Q318" s="881">
        <v>6.6093346963921815E-2</v>
      </c>
      <c r="R318" s="880">
        <v>35.876449010563398</v>
      </c>
      <c r="S318" s="880">
        <v>488</v>
      </c>
      <c r="T318" s="881">
        <v>7.3517313546236474E-2</v>
      </c>
      <c r="U318" s="880">
        <v>38.352769679300295</v>
      </c>
      <c r="V318" s="880">
        <v>485</v>
      </c>
      <c r="W318" s="881">
        <v>7.9077875627423286E-2</v>
      </c>
      <c r="X318" s="880">
        <v>31.713555110316904</v>
      </c>
      <c r="Y318" s="880">
        <v>485</v>
      </c>
      <c r="Z318" s="881">
        <v>6.5388773423333824E-2</v>
      </c>
      <c r="AA318" s="880" t="s">
        <v>1450</v>
      </c>
      <c r="AB318" s="880" t="s">
        <v>1450</v>
      </c>
      <c r="AC318" s="881" t="s">
        <v>1450</v>
      </c>
      <c r="AD318" s="880" t="s">
        <v>1450</v>
      </c>
      <c r="AE318" s="880" t="s">
        <v>1450</v>
      </c>
      <c r="AF318" s="881" t="s">
        <v>1450</v>
      </c>
      <c r="AG318" s="880" t="s">
        <v>1450</v>
      </c>
      <c r="AH318" s="880" t="s">
        <v>1450</v>
      </c>
      <c r="AI318" s="881" t="s">
        <v>1450</v>
      </c>
    </row>
    <row r="319" spans="2:35" x14ac:dyDescent="0.2">
      <c r="B319" s="867">
        <v>78717000</v>
      </c>
      <c r="C319" s="876" t="s">
        <v>1447</v>
      </c>
      <c r="D319" s="877" t="s">
        <v>1447</v>
      </c>
      <c r="E319" s="877" t="s">
        <v>1447</v>
      </c>
      <c r="F319" s="877" t="s">
        <v>1448</v>
      </c>
      <c r="G319" s="877" t="s">
        <v>1447</v>
      </c>
      <c r="H319" s="877" t="s">
        <v>1447</v>
      </c>
      <c r="I319" s="877" t="s">
        <v>1447</v>
      </c>
      <c r="J319" s="878" t="s">
        <v>1447</v>
      </c>
      <c r="K319" s="877"/>
      <c r="L319" s="879">
        <v>15</v>
      </c>
      <c r="M319" s="880">
        <v>70</v>
      </c>
      <c r="N319" s="881">
        <v>0.2092</v>
      </c>
      <c r="O319" s="880">
        <v>27.759205724847163</v>
      </c>
      <c r="P319" s="880">
        <v>77</v>
      </c>
      <c r="Q319" s="881">
        <v>0.36050916525775539</v>
      </c>
      <c r="R319" s="880">
        <v>30.89360887020737</v>
      </c>
      <c r="S319" s="880">
        <v>78</v>
      </c>
      <c r="T319" s="881">
        <v>0.39607190859240216</v>
      </c>
      <c r="U319" s="880">
        <v>10.120869776482021</v>
      </c>
      <c r="V319" s="880">
        <v>80</v>
      </c>
      <c r="W319" s="881">
        <v>0.12651087220602525</v>
      </c>
      <c r="X319" s="880">
        <v>36.912498571024592</v>
      </c>
      <c r="Y319" s="880">
        <v>85</v>
      </c>
      <c r="Z319" s="881">
        <v>0.43426468907087756</v>
      </c>
      <c r="AA319" s="880">
        <v>20.382263753277542</v>
      </c>
      <c r="AB319" s="880">
        <v>83</v>
      </c>
      <c r="AC319" s="881">
        <v>0.2455694428105728</v>
      </c>
      <c r="AD319" s="880">
        <v>36.895918558606049</v>
      </c>
      <c r="AE319" s="880">
        <v>74</v>
      </c>
      <c r="AF319" s="881">
        <v>0.49859349403521686</v>
      </c>
      <c r="AG319" s="880">
        <v>34.155258396184017</v>
      </c>
      <c r="AH319" s="880">
        <v>71</v>
      </c>
      <c r="AI319" s="881">
        <v>0.48105997741104251</v>
      </c>
    </row>
    <row r="320" spans="2:35" x14ac:dyDescent="0.2">
      <c r="B320" s="867">
        <v>78718000</v>
      </c>
      <c r="C320" s="876" t="s">
        <v>1447</v>
      </c>
      <c r="D320" s="877" t="s">
        <v>1447</v>
      </c>
      <c r="E320" s="877" t="s">
        <v>1447</v>
      </c>
      <c r="F320" s="877" t="s">
        <v>1447</v>
      </c>
      <c r="G320" s="877" t="s">
        <v>1447</v>
      </c>
      <c r="H320" s="877" t="s">
        <v>1447</v>
      </c>
      <c r="I320" s="877" t="s">
        <v>1447</v>
      </c>
      <c r="J320" s="878" t="s">
        <v>1447</v>
      </c>
      <c r="K320" s="877"/>
      <c r="L320" s="879">
        <v>58</v>
      </c>
      <c r="M320" s="880">
        <v>197</v>
      </c>
      <c r="N320" s="881">
        <v>0.29339999999999999</v>
      </c>
      <c r="O320" s="880">
        <v>47.587209814023709</v>
      </c>
      <c r="P320" s="880">
        <v>136</v>
      </c>
      <c r="Q320" s="881">
        <v>0.34990595451488021</v>
      </c>
      <c r="R320" s="880">
        <v>40.859289150919423</v>
      </c>
      <c r="S320" s="880">
        <v>97</v>
      </c>
      <c r="T320" s="881">
        <v>0.42122978506102499</v>
      </c>
      <c r="U320" s="880">
        <v>42.614188532555879</v>
      </c>
      <c r="V320" s="880">
        <v>83</v>
      </c>
      <c r="W320" s="881">
        <v>0.51342395822356479</v>
      </c>
      <c r="X320" s="880">
        <v>120.09559394234762</v>
      </c>
      <c r="Y320" s="880">
        <v>231</v>
      </c>
      <c r="Z320" s="881">
        <v>0.5198943460707689</v>
      </c>
      <c r="AA320" s="880">
        <v>64.452023219823573</v>
      </c>
      <c r="AB320" s="880">
        <v>136</v>
      </c>
      <c r="AC320" s="881">
        <v>0.4739119354398792</v>
      </c>
      <c r="AD320" s="880">
        <v>107.6130957959343</v>
      </c>
      <c r="AE320" s="880">
        <v>235</v>
      </c>
      <c r="AF320" s="881">
        <v>0.45792806721674167</v>
      </c>
      <c r="AG320" s="880">
        <v>94.545715270596332</v>
      </c>
      <c r="AH320" s="880">
        <v>208</v>
      </c>
      <c r="AI320" s="881">
        <v>0.45454670803171315</v>
      </c>
    </row>
    <row r="321" spans="2:35" x14ac:dyDescent="0.2">
      <c r="B321" s="867">
        <v>78722000</v>
      </c>
      <c r="C321" s="876" t="s">
        <v>1448</v>
      </c>
      <c r="D321" s="877" t="s">
        <v>1448</v>
      </c>
      <c r="E321" s="877" t="s">
        <v>1448</v>
      </c>
      <c r="F321" s="877" t="s">
        <v>1448</v>
      </c>
      <c r="G321" s="877" t="s">
        <v>1448</v>
      </c>
      <c r="H321" s="877" t="s">
        <v>1448</v>
      </c>
      <c r="I321" s="877" t="s">
        <v>1448</v>
      </c>
      <c r="J321" s="878" t="s">
        <v>1448</v>
      </c>
      <c r="K321" s="877"/>
      <c r="L321" s="879">
        <v>0</v>
      </c>
      <c r="M321" s="880">
        <v>393</v>
      </c>
      <c r="N321" s="881">
        <v>0</v>
      </c>
      <c r="O321" s="880">
        <v>1.3218669392784363</v>
      </c>
      <c r="P321" s="880">
        <v>576</v>
      </c>
      <c r="Q321" s="881">
        <v>2.2949078806917297E-3</v>
      </c>
      <c r="R321" s="880">
        <v>0</v>
      </c>
      <c r="S321" s="880">
        <v>682</v>
      </c>
      <c r="T321" s="881">
        <v>0</v>
      </c>
      <c r="U321" s="880">
        <v>0</v>
      </c>
      <c r="V321" s="880">
        <v>730</v>
      </c>
      <c r="W321" s="881">
        <v>0</v>
      </c>
      <c r="X321" s="880">
        <v>0</v>
      </c>
      <c r="Y321" s="880">
        <v>776</v>
      </c>
      <c r="Z321" s="881">
        <v>0</v>
      </c>
      <c r="AA321" s="880" t="s">
        <v>1450</v>
      </c>
      <c r="AB321" s="880" t="s">
        <v>1450</v>
      </c>
      <c r="AC321" s="881" t="s">
        <v>1450</v>
      </c>
      <c r="AD321" s="880" t="s">
        <v>1450</v>
      </c>
      <c r="AE321" s="880" t="s">
        <v>1450</v>
      </c>
      <c r="AF321" s="881" t="s">
        <v>1450</v>
      </c>
      <c r="AG321" s="880" t="s">
        <v>1450</v>
      </c>
      <c r="AH321" s="880" t="s">
        <v>1450</v>
      </c>
      <c r="AI321" s="881" t="s">
        <v>1450</v>
      </c>
    </row>
    <row r="322" spans="2:35" x14ac:dyDescent="0.2">
      <c r="B322" s="867">
        <v>78723000</v>
      </c>
      <c r="C322" s="876" t="s">
        <v>1447</v>
      </c>
      <c r="D322" s="877" t="s">
        <v>1447</v>
      </c>
      <c r="E322" s="877" t="s">
        <v>1447</v>
      </c>
      <c r="F322" s="877" t="s">
        <v>1447</v>
      </c>
      <c r="G322" s="877" t="s">
        <v>1447</v>
      </c>
      <c r="H322" s="877" t="s">
        <v>1447</v>
      </c>
      <c r="I322" s="877" t="s">
        <v>1447</v>
      </c>
      <c r="J322" s="878" t="s">
        <v>1447</v>
      </c>
      <c r="K322" s="877"/>
      <c r="L322" s="879">
        <v>38</v>
      </c>
      <c r="M322" s="880">
        <v>107</v>
      </c>
      <c r="N322" s="881">
        <v>0.3574</v>
      </c>
      <c r="O322" s="880">
        <v>33.487295795053726</v>
      </c>
      <c r="P322" s="880">
        <v>77</v>
      </c>
      <c r="Q322" s="881">
        <v>0.43489994539030813</v>
      </c>
      <c r="R322" s="880">
        <v>27.405620771958151</v>
      </c>
      <c r="S322" s="880">
        <v>61</v>
      </c>
      <c r="T322" s="881">
        <v>0.44927247167144513</v>
      </c>
      <c r="U322" s="880">
        <v>28.764577259475217</v>
      </c>
      <c r="V322" s="880">
        <v>53</v>
      </c>
      <c r="W322" s="881">
        <v>0.54272787282028712</v>
      </c>
      <c r="X322" s="880">
        <v>36.912498571024592</v>
      </c>
      <c r="Y322" s="880">
        <v>71</v>
      </c>
      <c r="Z322" s="881">
        <v>0.5198943460707689</v>
      </c>
      <c r="AA322" s="880">
        <v>29.196215646586751</v>
      </c>
      <c r="AB322" s="880">
        <v>62</v>
      </c>
      <c r="AC322" s="881">
        <v>0.47090670397720563</v>
      </c>
      <c r="AD322" s="880">
        <v>23.059949099128779</v>
      </c>
      <c r="AE322" s="880">
        <v>45</v>
      </c>
      <c r="AF322" s="881">
        <v>0.51244331331397286</v>
      </c>
      <c r="AG322" s="880">
        <v>25.74019473335607</v>
      </c>
      <c r="AH322" s="880">
        <v>66</v>
      </c>
      <c r="AI322" s="881">
        <v>0.39000295050539502</v>
      </c>
    </row>
    <row r="323" spans="2:35" x14ac:dyDescent="0.2">
      <c r="B323" s="867">
        <v>78725000</v>
      </c>
      <c r="C323" s="876" t="s">
        <v>1448</v>
      </c>
      <c r="D323" s="877" t="s">
        <v>1448</v>
      </c>
      <c r="E323" s="877" t="s">
        <v>1448</v>
      </c>
      <c r="F323" s="877" t="s">
        <v>1448</v>
      </c>
      <c r="G323" s="877" t="s">
        <v>1448</v>
      </c>
      <c r="H323" s="877" t="s">
        <v>1448</v>
      </c>
      <c r="I323" s="877" t="s">
        <v>1447</v>
      </c>
      <c r="J323" s="878" t="s">
        <v>1447</v>
      </c>
      <c r="K323" s="877"/>
      <c r="L323" s="879">
        <v>1</v>
      </c>
      <c r="M323" s="880">
        <v>181</v>
      </c>
      <c r="N323" s="881">
        <v>5.7999999999999996E-3</v>
      </c>
      <c r="O323" s="880">
        <v>0.44062231309281213</v>
      </c>
      <c r="P323" s="880">
        <v>539</v>
      </c>
      <c r="Q323" s="881">
        <v>8.1748110035772192E-4</v>
      </c>
      <c r="R323" s="880">
        <v>0</v>
      </c>
      <c r="S323" s="880">
        <v>573</v>
      </c>
      <c r="T323" s="881">
        <v>0</v>
      </c>
      <c r="U323" s="880">
        <v>0</v>
      </c>
      <c r="V323" s="880">
        <v>1168</v>
      </c>
      <c r="W323" s="881">
        <v>0</v>
      </c>
      <c r="X323" s="880">
        <v>289.58115076141826</v>
      </c>
      <c r="Y323" s="880">
        <v>2683</v>
      </c>
      <c r="Z323" s="881">
        <v>0.10793184896064788</v>
      </c>
      <c r="AA323" s="880" t="s">
        <v>1450</v>
      </c>
      <c r="AB323" s="880" t="s">
        <v>1450</v>
      </c>
      <c r="AC323" s="881" t="s">
        <v>1450</v>
      </c>
      <c r="AD323" s="880">
        <v>1006.4386673486426</v>
      </c>
      <c r="AE323" s="880">
        <v>5514</v>
      </c>
      <c r="AF323" s="881">
        <v>0.18252424144879265</v>
      </c>
      <c r="AG323" s="880">
        <v>986.54246353035865</v>
      </c>
      <c r="AH323" s="880">
        <v>5491</v>
      </c>
      <c r="AI323" s="881">
        <v>0.17966535485892526</v>
      </c>
    </row>
    <row r="324" spans="2:35" x14ac:dyDescent="0.2">
      <c r="B324" s="867">
        <v>78731000</v>
      </c>
      <c r="C324" s="876" t="s">
        <v>1448</v>
      </c>
      <c r="D324" s="877" t="s">
        <v>1447</v>
      </c>
      <c r="E324" s="877" t="s">
        <v>1447</v>
      </c>
      <c r="F324" s="877" t="s">
        <v>1448</v>
      </c>
      <c r="G324" s="877" t="s">
        <v>1448</v>
      </c>
      <c r="H324" s="877" t="s">
        <v>1448</v>
      </c>
      <c r="I324" s="877" t="s">
        <v>1448</v>
      </c>
      <c r="J324" s="878" t="s">
        <v>1448</v>
      </c>
      <c r="K324" s="877"/>
      <c r="L324" s="879">
        <v>0</v>
      </c>
      <c r="M324" s="880">
        <v>77</v>
      </c>
      <c r="N324" s="881">
        <v>0</v>
      </c>
      <c r="O324" s="880">
        <v>39.215385865260281</v>
      </c>
      <c r="P324" s="880">
        <v>93</v>
      </c>
      <c r="Q324" s="881">
        <v>0.42167081575548687</v>
      </c>
      <c r="R324" s="880">
        <v>34.810228378379691</v>
      </c>
      <c r="S324" s="880">
        <v>73</v>
      </c>
      <c r="T324" s="881">
        <v>0.47685244353944783</v>
      </c>
      <c r="U324" s="880" t="s">
        <v>1450</v>
      </c>
      <c r="V324" s="880" t="s">
        <v>1450</v>
      </c>
      <c r="W324" s="881" t="s">
        <v>1450</v>
      </c>
      <c r="X324" s="880" t="s">
        <v>1450</v>
      </c>
      <c r="Y324" s="880" t="s">
        <v>1450</v>
      </c>
      <c r="Z324" s="881" t="s">
        <v>1450</v>
      </c>
      <c r="AA324" s="880" t="s">
        <v>1450</v>
      </c>
      <c r="AB324" s="880" t="s">
        <v>1450</v>
      </c>
      <c r="AC324" s="881" t="s">
        <v>1450</v>
      </c>
      <c r="AD324" s="880" t="s">
        <v>1450</v>
      </c>
      <c r="AE324" s="880" t="s">
        <v>1450</v>
      </c>
      <c r="AF324" s="881" t="s">
        <v>1450</v>
      </c>
      <c r="AG324" s="880" t="s">
        <v>1450</v>
      </c>
      <c r="AH324" s="880" t="s">
        <v>1450</v>
      </c>
      <c r="AI324" s="881" t="s">
        <v>1450</v>
      </c>
    </row>
    <row r="325" spans="2:35" x14ac:dyDescent="0.2">
      <c r="B325" s="867">
        <v>78733000</v>
      </c>
      <c r="C325" s="876" t="s">
        <v>1448</v>
      </c>
      <c r="D325" s="877" t="s">
        <v>1448</v>
      </c>
      <c r="E325" s="877" t="s">
        <v>1448</v>
      </c>
      <c r="F325" s="877" t="s">
        <v>1448</v>
      </c>
      <c r="G325" s="877" t="s">
        <v>1448</v>
      </c>
      <c r="H325" s="877" t="s">
        <v>1448</v>
      </c>
      <c r="I325" s="877" t="s">
        <v>1448</v>
      </c>
      <c r="J325" s="878" t="s">
        <v>1448</v>
      </c>
      <c r="K325" s="877"/>
      <c r="L325" s="879">
        <v>0</v>
      </c>
      <c r="M325" s="880">
        <v>100</v>
      </c>
      <c r="N325" s="881">
        <v>0</v>
      </c>
      <c r="O325" s="880">
        <v>0</v>
      </c>
      <c r="P325" s="880">
        <v>121</v>
      </c>
      <c r="Q325" s="881">
        <v>0</v>
      </c>
      <c r="R325" s="880">
        <v>0</v>
      </c>
      <c r="S325" s="880">
        <v>113</v>
      </c>
      <c r="T325" s="881">
        <v>0</v>
      </c>
      <c r="U325" s="880">
        <v>0</v>
      </c>
      <c r="V325" s="880">
        <v>107</v>
      </c>
      <c r="W325" s="881">
        <v>0</v>
      </c>
      <c r="X325" s="880">
        <v>0</v>
      </c>
      <c r="Y325" s="880">
        <v>104</v>
      </c>
      <c r="Z325" s="881">
        <v>0</v>
      </c>
      <c r="AA325" s="880" t="s">
        <v>1450</v>
      </c>
      <c r="AB325" s="880" t="s">
        <v>1450</v>
      </c>
      <c r="AC325" s="881" t="s">
        <v>1450</v>
      </c>
      <c r="AD325" s="880" t="s">
        <v>1450</v>
      </c>
      <c r="AE325" s="880" t="s">
        <v>1450</v>
      </c>
      <c r="AF325" s="881" t="s">
        <v>1450</v>
      </c>
      <c r="AG325" s="880" t="s">
        <v>1450</v>
      </c>
      <c r="AH325" s="880" t="s">
        <v>1450</v>
      </c>
      <c r="AI325" s="881" t="s">
        <v>1450</v>
      </c>
    </row>
    <row r="326" spans="2:35" x14ac:dyDescent="0.2">
      <c r="B326" s="867">
        <v>78734000</v>
      </c>
      <c r="C326" s="876" t="s">
        <v>1448</v>
      </c>
      <c r="D326" s="877" t="s">
        <v>1447</v>
      </c>
      <c r="E326" s="877" t="s">
        <v>1448</v>
      </c>
      <c r="F326" s="877" t="s">
        <v>1448</v>
      </c>
      <c r="G326" s="877" t="s">
        <v>1448</v>
      </c>
      <c r="H326" s="877" t="s">
        <v>1448</v>
      </c>
      <c r="I326" s="877" t="s">
        <v>1448</v>
      </c>
      <c r="J326" s="878" t="s">
        <v>1448</v>
      </c>
      <c r="K326" s="877"/>
      <c r="L326" s="879">
        <v>0</v>
      </c>
      <c r="M326" s="880">
        <v>106</v>
      </c>
      <c r="N326" s="881">
        <v>0</v>
      </c>
      <c r="O326" s="880">
        <v>26.87796109866154</v>
      </c>
      <c r="P326" s="880">
        <v>140</v>
      </c>
      <c r="Q326" s="881">
        <v>0.191985436419011</v>
      </c>
      <c r="R326" s="880" t="s">
        <v>1450</v>
      </c>
      <c r="S326" s="880" t="s">
        <v>1450</v>
      </c>
      <c r="T326" s="881" t="s">
        <v>1450</v>
      </c>
      <c r="U326" s="880" t="s">
        <v>1450</v>
      </c>
      <c r="V326" s="880" t="s">
        <v>1450</v>
      </c>
      <c r="W326" s="881" t="s">
        <v>1450</v>
      </c>
      <c r="X326" s="880" t="s">
        <v>1450</v>
      </c>
      <c r="Y326" s="880" t="s">
        <v>1450</v>
      </c>
      <c r="Z326" s="881" t="s">
        <v>1450</v>
      </c>
      <c r="AA326" s="880" t="s">
        <v>1450</v>
      </c>
      <c r="AB326" s="880" t="s">
        <v>1450</v>
      </c>
      <c r="AC326" s="881" t="s">
        <v>1450</v>
      </c>
      <c r="AD326" s="880" t="s">
        <v>1450</v>
      </c>
      <c r="AE326" s="880" t="s">
        <v>1450</v>
      </c>
      <c r="AF326" s="881" t="s">
        <v>1450</v>
      </c>
      <c r="AG326" s="880" t="s">
        <v>1450</v>
      </c>
      <c r="AH326" s="880" t="s">
        <v>1450</v>
      </c>
      <c r="AI326" s="881" t="s">
        <v>1450</v>
      </c>
    </row>
    <row r="327" spans="2:35" x14ac:dyDescent="0.2">
      <c r="B327" s="867">
        <v>78735000</v>
      </c>
      <c r="C327" s="876" t="s">
        <v>1447</v>
      </c>
      <c r="D327" s="877" t="s">
        <v>1447</v>
      </c>
      <c r="E327" s="877" t="s">
        <v>1447</v>
      </c>
      <c r="F327" s="877" t="s">
        <v>1447</v>
      </c>
      <c r="G327" s="877" t="s">
        <v>1447</v>
      </c>
      <c r="H327" s="877" t="s">
        <v>1447</v>
      </c>
      <c r="I327" s="877" t="s">
        <v>1447</v>
      </c>
      <c r="J327" s="878" t="s">
        <v>1447</v>
      </c>
      <c r="K327" s="877"/>
      <c r="L327" s="879">
        <v>43</v>
      </c>
      <c r="M327" s="880">
        <v>251</v>
      </c>
      <c r="N327" s="881">
        <v>0.1731</v>
      </c>
      <c r="O327" s="880">
        <v>36.131029673610598</v>
      </c>
      <c r="P327" s="880">
        <v>116</v>
      </c>
      <c r="Q327" s="881">
        <v>0.31147439373802238</v>
      </c>
      <c r="R327" s="880">
        <v>57.800945628129917</v>
      </c>
      <c r="S327" s="880">
        <v>154</v>
      </c>
      <c r="T327" s="881">
        <v>0.37533081576707739</v>
      </c>
      <c r="U327" s="880">
        <v>47.940962099125365</v>
      </c>
      <c r="V327" s="880">
        <v>132</v>
      </c>
      <c r="W327" s="881">
        <v>0.36318910681155581</v>
      </c>
      <c r="X327" s="880">
        <v>45.750702454227664</v>
      </c>
      <c r="Y327" s="880">
        <v>93</v>
      </c>
      <c r="Z327" s="881">
        <v>0.49194303714223292</v>
      </c>
      <c r="AA327" s="880">
        <v>60.045047273168976</v>
      </c>
      <c r="AB327" s="880">
        <v>114</v>
      </c>
      <c r="AC327" s="881">
        <v>0.52671094099271032</v>
      </c>
      <c r="AD327" s="880">
        <v>44.070124945001666</v>
      </c>
      <c r="AE327" s="880">
        <v>107</v>
      </c>
      <c r="AF327" s="881">
        <v>0.41187032658880063</v>
      </c>
      <c r="AG327" s="880">
        <v>23.760179753867142</v>
      </c>
      <c r="AH327" s="880">
        <v>66</v>
      </c>
      <c r="AI327" s="881">
        <v>0.36000272354344154</v>
      </c>
    </row>
    <row r="328" spans="2:35" x14ac:dyDescent="0.2">
      <c r="B328" s="867">
        <v>78736000</v>
      </c>
      <c r="C328" s="876" t="s">
        <v>1448</v>
      </c>
      <c r="D328" s="877" t="s">
        <v>1448</v>
      </c>
      <c r="E328" s="877" t="s">
        <v>1448</v>
      </c>
      <c r="F328" s="877" t="s">
        <v>1448</v>
      </c>
      <c r="G328" s="877" t="s">
        <v>1448</v>
      </c>
      <c r="H328" s="877" t="s">
        <v>1448</v>
      </c>
      <c r="I328" s="877" t="s">
        <v>1448</v>
      </c>
      <c r="J328" s="878" t="s">
        <v>1448</v>
      </c>
      <c r="K328" s="877"/>
      <c r="L328" s="879">
        <v>0</v>
      </c>
      <c r="M328" s="880">
        <v>546</v>
      </c>
      <c r="N328" s="881">
        <v>0</v>
      </c>
      <c r="O328" s="880">
        <v>0</v>
      </c>
      <c r="P328" s="880">
        <v>594</v>
      </c>
      <c r="Q328" s="881">
        <v>0</v>
      </c>
      <c r="R328" s="880">
        <v>0</v>
      </c>
      <c r="S328" s="880">
        <v>640</v>
      </c>
      <c r="T328" s="881">
        <v>0</v>
      </c>
      <c r="U328" s="880">
        <v>0</v>
      </c>
      <c r="V328" s="880">
        <v>695</v>
      </c>
      <c r="W328" s="881">
        <v>0</v>
      </c>
      <c r="X328" s="880">
        <v>0</v>
      </c>
      <c r="Y328" s="880">
        <v>687</v>
      </c>
      <c r="Z328" s="881">
        <v>0</v>
      </c>
      <c r="AA328" s="880" t="s">
        <v>1450</v>
      </c>
      <c r="AB328" s="880" t="s">
        <v>1450</v>
      </c>
      <c r="AC328" s="881" t="s">
        <v>1450</v>
      </c>
      <c r="AD328" s="880" t="s">
        <v>1450</v>
      </c>
      <c r="AE328" s="880" t="s">
        <v>1450</v>
      </c>
      <c r="AF328" s="881" t="s">
        <v>1450</v>
      </c>
      <c r="AG328" s="880" t="s">
        <v>1450</v>
      </c>
      <c r="AH328" s="880" t="s">
        <v>1450</v>
      </c>
      <c r="AI328" s="881" t="s">
        <v>1450</v>
      </c>
    </row>
    <row r="329" spans="2:35" x14ac:dyDescent="0.2">
      <c r="B329" s="867">
        <v>78740000</v>
      </c>
      <c r="C329" s="876" t="s">
        <v>1447</v>
      </c>
      <c r="D329" s="877" t="s">
        <v>1447</v>
      </c>
      <c r="E329" s="877" t="s">
        <v>1448</v>
      </c>
      <c r="F329" s="877" t="s">
        <v>1447</v>
      </c>
      <c r="G329" s="877" t="s">
        <v>1447</v>
      </c>
      <c r="H329" s="877" t="s">
        <v>1447</v>
      </c>
      <c r="I329" s="877" t="s">
        <v>1447</v>
      </c>
      <c r="J329" s="878" t="s">
        <v>1447</v>
      </c>
      <c r="K329" s="877"/>
      <c r="L329" s="879">
        <v>21</v>
      </c>
      <c r="M329" s="880">
        <v>64</v>
      </c>
      <c r="N329" s="881">
        <v>0.3382</v>
      </c>
      <c r="O329" s="880">
        <v>23.352982593919045</v>
      </c>
      <c r="P329" s="880">
        <v>70</v>
      </c>
      <c r="Q329" s="881">
        <v>0.33361403705598636</v>
      </c>
      <c r="R329" s="880">
        <v>0</v>
      </c>
      <c r="S329" s="880">
        <v>64</v>
      </c>
      <c r="T329" s="881">
        <v>0</v>
      </c>
      <c r="U329" s="880">
        <v>97.479956268221571</v>
      </c>
      <c r="V329" s="880">
        <v>278</v>
      </c>
      <c r="W329" s="881">
        <v>0.35064732470583299</v>
      </c>
      <c r="X329" s="880">
        <v>83.18309537132302</v>
      </c>
      <c r="Y329" s="880">
        <v>282</v>
      </c>
      <c r="Z329" s="881">
        <v>0.29497551550114548</v>
      </c>
      <c r="AA329" s="880">
        <v>101.91131876638771</v>
      </c>
      <c r="AB329" s="880">
        <v>312</v>
      </c>
      <c r="AC329" s="881">
        <v>0.32663884219996059</v>
      </c>
      <c r="AD329" s="880">
        <v>112.73752892907403</v>
      </c>
      <c r="AE329" s="880">
        <v>329</v>
      </c>
      <c r="AF329" s="881">
        <v>0.34266726118259583</v>
      </c>
      <c r="AG329" s="880">
        <v>117.31588753471902</v>
      </c>
      <c r="AH329" s="880">
        <v>341</v>
      </c>
      <c r="AI329" s="881">
        <v>0.34403486080562762</v>
      </c>
    </row>
    <row r="330" spans="2:35" x14ac:dyDescent="0.2">
      <c r="B330" s="867">
        <v>78741000</v>
      </c>
      <c r="C330" s="876" t="s">
        <v>1447</v>
      </c>
      <c r="D330" s="877" t="s">
        <v>1447</v>
      </c>
      <c r="E330" s="877" t="s">
        <v>1447</v>
      </c>
      <c r="F330" s="877" t="s">
        <v>1447</v>
      </c>
      <c r="G330" s="877" t="s">
        <v>1447</v>
      </c>
      <c r="H330" s="877" t="s">
        <v>1447</v>
      </c>
      <c r="I330" s="877" t="s">
        <v>1447</v>
      </c>
      <c r="J330" s="878" t="s">
        <v>1447</v>
      </c>
      <c r="K330" s="877"/>
      <c r="L330" s="879">
        <v>25</v>
      </c>
      <c r="M330" s="880">
        <v>149</v>
      </c>
      <c r="N330" s="881">
        <v>0.1696</v>
      </c>
      <c r="O330" s="880">
        <v>21.149871028454982</v>
      </c>
      <c r="P330" s="880">
        <v>92</v>
      </c>
      <c r="Q330" s="881">
        <v>0.22988990248320632</v>
      </c>
      <c r="R330" s="880">
        <v>23.91763267370893</v>
      </c>
      <c r="S330" s="880">
        <v>88</v>
      </c>
      <c r="T330" s="881">
        <v>0.271791280383056</v>
      </c>
      <c r="U330" s="880">
        <v>28.23189990281827</v>
      </c>
      <c r="V330" s="880">
        <v>70</v>
      </c>
      <c r="W330" s="881">
        <v>0.40331285575454673</v>
      </c>
      <c r="X330" s="880">
        <v>19.236090804618449</v>
      </c>
      <c r="Y330" s="880">
        <v>60</v>
      </c>
      <c r="Z330" s="881">
        <v>0.32060151341030746</v>
      </c>
      <c r="AA330" s="880">
        <v>31.39970361991405</v>
      </c>
      <c r="AB330" s="880">
        <v>76</v>
      </c>
      <c r="AC330" s="881">
        <v>0.41315399499886907</v>
      </c>
      <c r="AD330" s="880">
        <v>26.134608979012615</v>
      </c>
      <c r="AE330" s="880">
        <v>61</v>
      </c>
      <c r="AF330" s="881">
        <v>0.4284362127706986</v>
      </c>
      <c r="AG330" s="880">
        <v>16.335123580783662</v>
      </c>
      <c r="AH330" s="880">
        <v>45</v>
      </c>
      <c r="AI330" s="881">
        <v>0.36300274623963696</v>
      </c>
    </row>
    <row r="331" spans="2:35" x14ac:dyDescent="0.2">
      <c r="B331" s="867">
        <v>78742000</v>
      </c>
      <c r="C331" s="876" t="s">
        <v>1448</v>
      </c>
      <c r="D331" s="877" t="s">
        <v>1447</v>
      </c>
      <c r="E331" s="877" t="s">
        <v>1448</v>
      </c>
      <c r="F331" s="877" t="s">
        <v>1447</v>
      </c>
      <c r="G331" s="877" t="s">
        <v>1448</v>
      </c>
      <c r="H331" s="877" t="s">
        <v>1447</v>
      </c>
      <c r="I331" s="877" t="s">
        <v>1447</v>
      </c>
      <c r="J331" s="878" t="s">
        <v>1448</v>
      </c>
      <c r="K331" s="877"/>
      <c r="L331" s="879">
        <v>0</v>
      </c>
      <c r="M331" s="880">
        <v>72</v>
      </c>
      <c r="N331" s="881">
        <v>0</v>
      </c>
      <c r="O331" s="880">
        <v>18.946759462990922</v>
      </c>
      <c r="P331" s="880">
        <v>89</v>
      </c>
      <c r="Q331" s="881">
        <v>0.21288493778641485</v>
      </c>
      <c r="R331" s="880">
        <v>0.99656802807120548</v>
      </c>
      <c r="S331" s="880">
        <v>92</v>
      </c>
      <c r="T331" s="881">
        <v>1.0832261174687016E-2</v>
      </c>
      <c r="U331" s="880">
        <v>15.447643343051507</v>
      </c>
      <c r="V331" s="880">
        <v>96</v>
      </c>
      <c r="W331" s="881">
        <v>0.16091295149011986</v>
      </c>
      <c r="X331" s="880">
        <v>13.517252997839991</v>
      </c>
      <c r="Y331" s="880">
        <v>105</v>
      </c>
      <c r="Z331" s="881">
        <v>0.12873574283657135</v>
      </c>
      <c r="AA331" s="880">
        <v>41.315399499886908</v>
      </c>
      <c r="AB331" s="880">
        <v>203</v>
      </c>
      <c r="AC331" s="881">
        <v>0.20352413546742321</v>
      </c>
      <c r="AD331" s="880">
        <v>77.891383623723868</v>
      </c>
      <c r="AE331" s="880">
        <v>447</v>
      </c>
      <c r="AF331" s="881">
        <v>0.17425365463920328</v>
      </c>
      <c r="AG331" s="880">
        <v>94.545715270596332</v>
      </c>
      <c r="AH331" s="880">
        <v>678</v>
      </c>
      <c r="AI331" s="881">
        <v>0.13944795762624829</v>
      </c>
    </row>
    <row r="332" spans="2:35" x14ac:dyDescent="0.2">
      <c r="B332" s="867">
        <v>78743000</v>
      </c>
      <c r="C332" s="876" t="s">
        <v>1448</v>
      </c>
      <c r="D332" s="877" t="s">
        <v>1448</v>
      </c>
      <c r="E332" s="877" t="s">
        <v>1448</v>
      </c>
      <c r="F332" s="877" t="s">
        <v>1448</v>
      </c>
      <c r="G332" s="877" t="s">
        <v>1447</v>
      </c>
      <c r="H332" s="877" t="s">
        <v>1447</v>
      </c>
      <c r="I332" s="877" t="s">
        <v>1447</v>
      </c>
      <c r="J332" s="878" t="s">
        <v>1447</v>
      </c>
      <c r="K332" s="877"/>
      <c r="L332" s="879">
        <v>0</v>
      </c>
      <c r="M332" s="880">
        <v>68</v>
      </c>
      <c r="N332" s="881">
        <v>0</v>
      </c>
      <c r="O332" s="880">
        <v>0</v>
      </c>
      <c r="P332" s="880">
        <v>68</v>
      </c>
      <c r="Q332" s="881">
        <v>0</v>
      </c>
      <c r="R332" s="880">
        <v>0</v>
      </c>
      <c r="S332" s="880">
        <v>70</v>
      </c>
      <c r="T332" s="881">
        <v>0</v>
      </c>
      <c r="U332" s="880">
        <v>0</v>
      </c>
      <c r="V332" s="880">
        <v>78</v>
      </c>
      <c r="W332" s="881">
        <v>0</v>
      </c>
      <c r="X332" s="880">
        <v>17.676407766406143</v>
      </c>
      <c r="Y332" s="880">
        <v>58</v>
      </c>
      <c r="Z332" s="881">
        <v>0.30476565114493348</v>
      </c>
      <c r="AA332" s="880">
        <v>20.382263753277542</v>
      </c>
      <c r="AB332" s="880">
        <v>55</v>
      </c>
      <c r="AC332" s="881">
        <v>0.3705866136959553</v>
      </c>
      <c r="AD332" s="880">
        <v>46.119898198257559</v>
      </c>
      <c r="AE332" s="880">
        <v>93</v>
      </c>
      <c r="AF332" s="881">
        <v>0.49591288385223181</v>
      </c>
      <c r="AG332" s="880">
        <v>43.0653258038842</v>
      </c>
      <c r="AH332" s="880">
        <v>90</v>
      </c>
      <c r="AI332" s="881">
        <v>0.47850362004315777</v>
      </c>
    </row>
    <row r="333" spans="2:35" x14ac:dyDescent="0.2">
      <c r="B333" s="867">
        <v>78744000</v>
      </c>
      <c r="C333" s="876" t="s">
        <v>1447</v>
      </c>
      <c r="D333" s="877" t="s">
        <v>1447</v>
      </c>
      <c r="E333" s="877" t="s">
        <v>1448</v>
      </c>
      <c r="F333" s="877" t="s">
        <v>1447</v>
      </c>
      <c r="G333" s="877" t="s">
        <v>1447</v>
      </c>
      <c r="H333" s="877" t="s">
        <v>1447</v>
      </c>
      <c r="I333" s="877" t="s">
        <v>1447</v>
      </c>
      <c r="J333" s="878" t="s">
        <v>1448</v>
      </c>
      <c r="K333" s="877"/>
      <c r="L333" s="879">
        <v>16</v>
      </c>
      <c r="M333" s="880">
        <v>63</v>
      </c>
      <c r="N333" s="881">
        <v>0.26019999999999999</v>
      </c>
      <c r="O333" s="880">
        <v>16.743647897526863</v>
      </c>
      <c r="P333" s="880">
        <v>59</v>
      </c>
      <c r="Q333" s="881">
        <v>0.28379064233096379</v>
      </c>
      <c r="R333" s="880">
        <v>6.9759761964984381</v>
      </c>
      <c r="S333" s="880">
        <v>68</v>
      </c>
      <c r="T333" s="881">
        <v>0.10258788524262409</v>
      </c>
      <c r="U333" s="880">
        <v>24.503158406219629</v>
      </c>
      <c r="V333" s="880">
        <v>69</v>
      </c>
      <c r="W333" s="881">
        <v>0.35511823777129897</v>
      </c>
      <c r="X333" s="880">
        <v>20.795773842830755</v>
      </c>
      <c r="Y333" s="880">
        <v>64</v>
      </c>
      <c r="Z333" s="881">
        <v>0.32493396629423055</v>
      </c>
      <c r="AA333" s="880">
        <v>21.484007739941195</v>
      </c>
      <c r="AB333" s="880">
        <v>62</v>
      </c>
      <c r="AC333" s="881">
        <v>0.34651625387001928</v>
      </c>
      <c r="AD333" s="880">
        <v>18.447959279303024</v>
      </c>
      <c r="AE333" s="880">
        <v>55</v>
      </c>
      <c r="AF333" s="881">
        <v>0.33541744144187319</v>
      </c>
      <c r="AG333" s="880" t="s">
        <v>1450</v>
      </c>
      <c r="AH333" s="880" t="s">
        <v>1450</v>
      </c>
      <c r="AI333" s="881" t="s">
        <v>1450</v>
      </c>
    </row>
    <row r="334" spans="2:35" x14ac:dyDescent="0.2">
      <c r="B334" s="867">
        <v>78745000</v>
      </c>
      <c r="C334" s="876" t="s">
        <v>1448</v>
      </c>
      <c r="D334" s="877" t="s">
        <v>1447</v>
      </c>
      <c r="E334" s="877" t="s">
        <v>1447</v>
      </c>
      <c r="F334" s="877" t="s">
        <v>1447</v>
      </c>
      <c r="G334" s="877" t="s">
        <v>1447</v>
      </c>
      <c r="H334" s="877" t="s">
        <v>1447</v>
      </c>
      <c r="I334" s="877" t="s">
        <v>1447</v>
      </c>
      <c r="J334" s="878" t="s">
        <v>1447</v>
      </c>
      <c r="K334" s="877"/>
      <c r="L334" s="879">
        <v>34</v>
      </c>
      <c r="M334" s="880">
        <v>305</v>
      </c>
      <c r="N334" s="881">
        <v>0.1106</v>
      </c>
      <c r="O334" s="880">
        <v>46.265342874745272</v>
      </c>
      <c r="P334" s="880">
        <v>189</v>
      </c>
      <c r="Q334" s="881">
        <v>0.24479017394045119</v>
      </c>
      <c r="R334" s="880">
        <v>37.86958506670581</v>
      </c>
      <c r="S334" s="880">
        <v>169</v>
      </c>
      <c r="T334" s="881">
        <v>0.22408038501009356</v>
      </c>
      <c r="U334" s="880">
        <v>53.26773566569485</v>
      </c>
      <c r="V334" s="880">
        <v>173</v>
      </c>
      <c r="W334" s="881">
        <v>0.30790598650690665</v>
      </c>
      <c r="X334" s="880">
        <v>52.509328953147659</v>
      </c>
      <c r="Y334" s="880">
        <v>198</v>
      </c>
      <c r="Z334" s="881">
        <v>0.26519863107650332</v>
      </c>
      <c r="AA334" s="880">
        <v>50.680223386527942</v>
      </c>
      <c r="AB334" s="880">
        <v>192</v>
      </c>
      <c r="AC334" s="881">
        <v>0.26395949680483305</v>
      </c>
      <c r="AD334" s="880">
        <v>52.26921795802523</v>
      </c>
      <c r="AE334" s="880">
        <v>214</v>
      </c>
      <c r="AF334" s="881">
        <v>0.24424868204684688</v>
      </c>
      <c r="AG334" s="880">
        <v>46.035348273117592</v>
      </c>
      <c r="AH334" s="880">
        <v>147</v>
      </c>
      <c r="AI334" s="881">
        <v>0.31316563451100404</v>
      </c>
    </row>
    <row r="335" spans="2:35" x14ac:dyDescent="0.2">
      <c r="B335" s="867">
        <v>78746000</v>
      </c>
      <c r="C335" s="876" t="s">
        <v>1447</v>
      </c>
      <c r="D335" s="877" t="s">
        <v>1447</v>
      </c>
      <c r="E335" s="877" t="s">
        <v>1447</v>
      </c>
      <c r="F335" s="877" t="s">
        <v>1447</v>
      </c>
      <c r="G335" s="877" t="s">
        <v>1447</v>
      </c>
      <c r="H335" s="877" t="s">
        <v>1447</v>
      </c>
      <c r="I335" s="877" t="s">
        <v>1447</v>
      </c>
      <c r="J335" s="878" t="s">
        <v>1447</v>
      </c>
      <c r="K335" s="877"/>
      <c r="L335" s="879">
        <v>39</v>
      </c>
      <c r="M335" s="880">
        <v>175</v>
      </c>
      <c r="N335" s="881">
        <v>0.22</v>
      </c>
      <c r="O335" s="880">
        <v>55.518411449694327</v>
      </c>
      <c r="P335" s="880">
        <v>152</v>
      </c>
      <c r="Q335" s="881">
        <v>0.36525270690588374</v>
      </c>
      <c r="R335" s="880">
        <v>53.316389501809496</v>
      </c>
      <c r="S335" s="880">
        <v>174</v>
      </c>
      <c r="T335" s="881">
        <v>0.3064160316195948</v>
      </c>
      <c r="U335" s="880">
        <v>187.50242954324585</v>
      </c>
      <c r="V335" s="880">
        <v>449</v>
      </c>
      <c r="W335" s="881">
        <v>0.41760006579787495</v>
      </c>
      <c r="X335" s="880">
        <v>159.08766989765527</v>
      </c>
      <c r="Y335" s="880">
        <v>482</v>
      </c>
      <c r="Z335" s="881">
        <v>0.3300574064266707</v>
      </c>
      <c r="AA335" s="880">
        <v>166.91421397954312</v>
      </c>
      <c r="AB335" s="880">
        <v>404</v>
      </c>
      <c r="AC335" s="881">
        <v>0.41315399499886912</v>
      </c>
      <c r="AD335" s="880">
        <v>227.52483111140396</v>
      </c>
      <c r="AE335" s="880">
        <v>444</v>
      </c>
      <c r="AF335" s="881">
        <v>0.51244331331397286</v>
      </c>
      <c r="AG335" s="880">
        <v>215.82163276429321</v>
      </c>
      <c r="AH335" s="880">
        <v>464</v>
      </c>
      <c r="AI335" s="881">
        <v>0.46513282923339055</v>
      </c>
    </row>
    <row r="336" spans="2:35" x14ac:dyDescent="0.2">
      <c r="B336" s="867">
        <v>78747000</v>
      </c>
      <c r="C336" s="876" t="s">
        <v>1447</v>
      </c>
      <c r="D336" s="877" t="s">
        <v>1448</v>
      </c>
      <c r="E336" s="877" t="s">
        <v>1447</v>
      </c>
      <c r="F336" s="877" t="s">
        <v>1448</v>
      </c>
      <c r="G336" s="877" t="s">
        <v>1448</v>
      </c>
      <c r="H336" s="877" t="s">
        <v>1448</v>
      </c>
      <c r="I336" s="877" t="s">
        <v>1448</v>
      </c>
      <c r="J336" s="878" t="s">
        <v>1448</v>
      </c>
      <c r="K336" s="877"/>
      <c r="L336" s="879">
        <v>49</v>
      </c>
      <c r="M336" s="880">
        <v>121</v>
      </c>
      <c r="N336" s="881">
        <v>0.4017</v>
      </c>
      <c r="O336" s="880">
        <v>22.912360280826231</v>
      </c>
      <c r="P336" s="880">
        <v>203</v>
      </c>
      <c r="Q336" s="881">
        <v>0.11286876985628685</v>
      </c>
      <c r="R336" s="880">
        <v>35.876449010563398</v>
      </c>
      <c r="S336" s="880">
        <v>128</v>
      </c>
      <c r="T336" s="881">
        <v>0.28028475789502655</v>
      </c>
      <c r="U336" s="880" t="s">
        <v>1450</v>
      </c>
      <c r="V336" s="880" t="s">
        <v>1450</v>
      </c>
      <c r="W336" s="881" t="s">
        <v>1450</v>
      </c>
      <c r="X336" s="880" t="s">
        <v>1450</v>
      </c>
      <c r="Y336" s="880" t="s">
        <v>1450</v>
      </c>
      <c r="Z336" s="881" t="s">
        <v>1450</v>
      </c>
      <c r="AA336" s="880" t="s">
        <v>1450</v>
      </c>
      <c r="AB336" s="880" t="s">
        <v>1450</v>
      </c>
      <c r="AC336" s="881" t="s">
        <v>1450</v>
      </c>
      <c r="AD336" s="880" t="s">
        <v>1450</v>
      </c>
      <c r="AE336" s="880" t="s">
        <v>1450</v>
      </c>
      <c r="AF336" s="881" t="s">
        <v>1450</v>
      </c>
      <c r="AG336" s="880" t="s">
        <v>1450</v>
      </c>
      <c r="AH336" s="880" t="s">
        <v>1450</v>
      </c>
      <c r="AI336" s="881" t="s">
        <v>1450</v>
      </c>
    </row>
    <row r="337" spans="2:35" x14ac:dyDescent="0.2">
      <c r="B337" s="867">
        <v>78748000</v>
      </c>
      <c r="C337" s="876" t="s">
        <v>1448</v>
      </c>
      <c r="D337" s="877" t="s">
        <v>1447</v>
      </c>
      <c r="E337" s="877" t="s">
        <v>1447</v>
      </c>
      <c r="F337" s="877" t="s">
        <v>1448</v>
      </c>
      <c r="G337" s="877" t="s">
        <v>1448</v>
      </c>
      <c r="H337" s="877" t="s">
        <v>1448</v>
      </c>
      <c r="I337" s="877" t="s">
        <v>1448</v>
      </c>
      <c r="J337" s="878" t="s">
        <v>1448</v>
      </c>
      <c r="K337" s="877"/>
      <c r="L337" s="879">
        <v>0</v>
      </c>
      <c r="M337" s="880">
        <v>85</v>
      </c>
      <c r="N337" s="881">
        <v>0</v>
      </c>
      <c r="O337" s="880">
        <v>15.862403271341236</v>
      </c>
      <c r="P337" s="880">
        <v>43</v>
      </c>
      <c r="Q337" s="881">
        <v>0.3688930993335171</v>
      </c>
      <c r="R337" s="880">
        <v>13.453668378961273</v>
      </c>
      <c r="S337" s="880">
        <v>49</v>
      </c>
      <c r="T337" s="881">
        <v>0.27456466079512803</v>
      </c>
      <c r="U337" s="880">
        <v>7.9901603498542269</v>
      </c>
      <c r="V337" s="880">
        <v>41</v>
      </c>
      <c r="W337" s="881">
        <v>0.19488195975254211</v>
      </c>
      <c r="X337" s="880">
        <v>0</v>
      </c>
      <c r="Y337" s="880">
        <v>0</v>
      </c>
      <c r="Z337" s="881">
        <v>0</v>
      </c>
      <c r="AA337" s="880" t="s">
        <v>1450</v>
      </c>
      <c r="AB337" s="880" t="s">
        <v>1450</v>
      </c>
      <c r="AC337" s="881" t="s">
        <v>1450</v>
      </c>
      <c r="AD337" s="880" t="s">
        <v>1450</v>
      </c>
      <c r="AE337" s="880" t="s">
        <v>1450</v>
      </c>
      <c r="AF337" s="881" t="s">
        <v>1450</v>
      </c>
      <c r="AG337" s="880" t="s">
        <v>1450</v>
      </c>
      <c r="AH337" s="880" t="s">
        <v>1450</v>
      </c>
      <c r="AI337" s="881" t="s">
        <v>1450</v>
      </c>
    </row>
    <row r="338" spans="2:35" x14ac:dyDescent="0.2">
      <c r="B338" s="867">
        <v>78749000</v>
      </c>
      <c r="C338" s="876" t="s">
        <v>1448</v>
      </c>
      <c r="D338" s="877" t="s">
        <v>1448</v>
      </c>
      <c r="E338" s="877" t="s">
        <v>1448</v>
      </c>
      <c r="F338" s="877" t="s">
        <v>1448</v>
      </c>
      <c r="G338" s="877" t="s">
        <v>1448</v>
      </c>
      <c r="H338" s="877" t="s">
        <v>1448</v>
      </c>
      <c r="I338" s="877" t="s">
        <v>1448</v>
      </c>
      <c r="J338" s="878" t="s">
        <v>1448</v>
      </c>
      <c r="K338" s="877"/>
      <c r="L338" s="879">
        <v>15</v>
      </c>
      <c r="M338" s="880">
        <v>700</v>
      </c>
      <c r="N338" s="881">
        <v>2.18E-2</v>
      </c>
      <c r="O338" s="880">
        <v>15.421780958248425</v>
      </c>
      <c r="P338" s="880">
        <v>789</v>
      </c>
      <c r="Q338" s="881">
        <v>1.9545983470530322E-2</v>
      </c>
      <c r="R338" s="880">
        <v>16.443372463174889</v>
      </c>
      <c r="S338" s="880">
        <v>798</v>
      </c>
      <c r="T338" s="881">
        <v>2.0605729903727932E-2</v>
      </c>
      <c r="U338" s="880">
        <v>12.251579203109815</v>
      </c>
      <c r="V338" s="880">
        <v>809</v>
      </c>
      <c r="W338" s="881">
        <v>1.5144102846860092E-2</v>
      </c>
      <c r="X338" s="880">
        <v>7.2785208449907648</v>
      </c>
      <c r="Y338" s="880">
        <v>791</v>
      </c>
      <c r="Z338" s="881">
        <v>9.2016698419605126E-3</v>
      </c>
      <c r="AA338" s="880" t="s">
        <v>1450</v>
      </c>
      <c r="AB338" s="880" t="s">
        <v>1450</v>
      </c>
      <c r="AC338" s="881" t="s">
        <v>1450</v>
      </c>
      <c r="AD338" s="880" t="s">
        <v>1450</v>
      </c>
      <c r="AE338" s="880" t="s">
        <v>1450</v>
      </c>
      <c r="AF338" s="881" t="s">
        <v>1450</v>
      </c>
      <c r="AG338" s="880" t="s">
        <v>1450</v>
      </c>
      <c r="AH338" s="880" t="s">
        <v>1450</v>
      </c>
      <c r="AI338" s="881" t="s">
        <v>1450</v>
      </c>
    </row>
    <row r="339" spans="2:35" x14ac:dyDescent="0.2">
      <c r="B339" s="867">
        <v>78751000</v>
      </c>
      <c r="C339" s="876" t="s">
        <v>1447</v>
      </c>
      <c r="D339" s="877" t="s">
        <v>1447</v>
      </c>
      <c r="E339" s="877" t="s">
        <v>1447</v>
      </c>
      <c r="F339" s="877" t="s">
        <v>1447</v>
      </c>
      <c r="G339" s="877" t="s">
        <v>1447</v>
      </c>
      <c r="H339" s="877" t="s">
        <v>1447</v>
      </c>
      <c r="I339" s="877" t="s">
        <v>1447</v>
      </c>
      <c r="J339" s="878" t="s">
        <v>1447</v>
      </c>
      <c r="K339" s="877"/>
      <c r="L339" s="879">
        <v>20</v>
      </c>
      <c r="M339" s="880">
        <v>66</v>
      </c>
      <c r="N339" s="881">
        <v>0.30170000000000002</v>
      </c>
      <c r="O339" s="880">
        <v>18.946759462990922</v>
      </c>
      <c r="P339" s="880">
        <v>62</v>
      </c>
      <c r="Q339" s="881">
        <v>0.30559289456436972</v>
      </c>
      <c r="R339" s="880">
        <v>15.446804435103685</v>
      </c>
      <c r="S339" s="880">
        <v>56</v>
      </c>
      <c r="T339" s="881">
        <v>0.2758357934839944</v>
      </c>
      <c r="U339" s="880">
        <v>22.372448979591837</v>
      </c>
      <c r="V339" s="880">
        <v>55</v>
      </c>
      <c r="W339" s="881">
        <v>0.4067717996289425</v>
      </c>
      <c r="X339" s="880">
        <v>23.91513991925537</v>
      </c>
      <c r="Y339" s="880">
        <v>56</v>
      </c>
      <c r="Z339" s="881">
        <v>0.42705606998670304</v>
      </c>
      <c r="AA339" s="880">
        <v>23.687495713268493</v>
      </c>
      <c r="AB339" s="880">
        <v>55</v>
      </c>
      <c r="AC339" s="881">
        <v>0.43068174024124534</v>
      </c>
      <c r="AD339" s="880">
        <v>18.447959279303024</v>
      </c>
      <c r="AE339" s="880">
        <v>45</v>
      </c>
      <c r="AF339" s="881">
        <v>0.40995465065117831</v>
      </c>
      <c r="AG339" s="880">
        <v>14.850112346166965</v>
      </c>
      <c r="AH339" s="880">
        <v>36</v>
      </c>
      <c r="AI339" s="881">
        <v>0.41250312072686013</v>
      </c>
    </row>
    <row r="340" spans="2:35" x14ac:dyDescent="0.2">
      <c r="B340" s="867">
        <v>78752000</v>
      </c>
      <c r="C340" s="876" t="s">
        <v>1448</v>
      </c>
      <c r="D340" s="877" t="s">
        <v>1448</v>
      </c>
      <c r="E340" s="877" t="s">
        <v>1448</v>
      </c>
      <c r="F340" s="877" t="s">
        <v>1448</v>
      </c>
      <c r="G340" s="877" t="s">
        <v>1448</v>
      </c>
      <c r="H340" s="877" t="s">
        <v>1448</v>
      </c>
      <c r="I340" s="877" t="s">
        <v>1448</v>
      </c>
      <c r="J340" s="878" t="s">
        <v>1448</v>
      </c>
      <c r="K340" s="877"/>
      <c r="L340" s="879">
        <v>1</v>
      </c>
      <c r="M340" s="880">
        <v>1448</v>
      </c>
      <c r="N340" s="881">
        <v>4.0000000000000002E-4</v>
      </c>
      <c r="O340" s="880">
        <v>0.44062231309281213</v>
      </c>
      <c r="P340" s="880">
        <v>1481</v>
      </c>
      <c r="Q340" s="881">
        <v>2.9751675428279009E-4</v>
      </c>
      <c r="R340" s="880">
        <v>0</v>
      </c>
      <c r="S340" s="880">
        <v>1465</v>
      </c>
      <c r="T340" s="881">
        <v>0</v>
      </c>
      <c r="U340" s="880">
        <v>0</v>
      </c>
      <c r="V340" s="880">
        <v>1474</v>
      </c>
      <c r="W340" s="881">
        <v>0</v>
      </c>
      <c r="X340" s="880">
        <v>1.5596830382123068</v>
      </c>
      <c r="Y340" s="880">
        <v>1460</v>
      </c>
      <c r="Z340" s="881">
        <v>1.0682760535700732E-3</v>
      </c>
      <c r="AA340" s="880" t="s">
        <v>1450</v>
      </c>
      <c r="AB340" s="880" t="s">
        <v>1450</v>
      </c>
      <c r="AC340" s="881" t="s">
        <v>1450</v>
      </c>
      <c r="AD340" s="880" t="s">
        <v>1450</v>
      </c>
      <c r="AE340" s="880" t="s">
        <v>1450</v>
      </c>
      <c r="AF340" s="881" t="s">
        <v>1450</v>
      </c>
      <c r="AG340" s="880" t="s">
        <v>1450</v>
      </c>
      <c r="AH340" s="880" t="s">
        <v>1450</v>
      </c>
      <c r="AI340" s="881" t="s">
        <v>1450</v>
      </c>
    </row>
    <row r="341" spans="2:35" x14ac:dyDescent="0.2">
      <c r="B341" s="867">
        <v>78753000</v>
      </c>
      <c r="C341" s="876" t="s">
        <v>1448</v>
      </c>
      <c r="D341" s="877" t="s">
        <v>1448</v>
      </c>
      <c r="E341" s="877" t="s">
        <v>1448</v>
      </c>
      <c r="F341" s="877" t="s">
        <v>1448</v>
      </c>
      <c r="G341" s="877" t="s">
        <v>1448</v>
      </c>
      <c r="H341" s="877" t="s">
        <v>1448</v>
      </c>
      <c r="I341" s="877" t="s">
        <v>1448</v>
      </c>
      <c r="J341" s="878" t="s">
        <v>1448</v>
      </c>
      <c r="K341" s="877"/>
      <c r="L341" s="879">
        <v>0</v>
      </c>
      <c r="M341" s="880">
        <v>132</v>
      </c>
      <c r="N341" s="881">
        <v>0</v>
      </c>
      <c r="O341" s="880">
        <v>0.44062231309281213</v>
      </c>
      <c r="P341" s="880">
        <v>153</v>
      </c>
      <c r="Q341" s="881">
        <v>2.8798843992994256E-3</v>
      </c>
      <c r="R341" s="880">
        <v>0</v>
      </c>
      <c r="S341" s="880">
        <v>169</v>
      </c>
      <c r="T341" s="881">
        <v>0</v>
      </c>
      <c r="U341" s="880" t="s">
        <v>1450</v>
      </c>
      <c r="V341" s="880" t="s">
        <v>1450</v>
      </c>
      <c r="W341" s="881" t="s">
        <v>1450</v>
      </c>
      <c r="X341" s="880" t="s">
        <v>1450</v>
      </c>
      <c r="Y341" s="880" t="s">
        <v>1450</v>
      </c>
      <c r="Z341" s="881" t="s">
        <v>1450</v>
      </c>
      <c r="AA341" s="880" t="s">
        <v>1450</v>
      </c>
      <c r="AB341" s="880" t="s">
        <v>1450</v>
      </c>
      <c r="AC341" s="881" t="s">
        <v>1450</v>
      </c>
      <c r="AD341" s="880" t="s">
        <v>1450</v>
      </c>
      <c r="AE341" s="880" t="s">
        <v>1450</v>
      </c>
      <c r="AF341" s="881" t="s">
        <v>1450</v>
      </c>
      <c r="AG341" s="880" t="s">
        <v>1450</v>
      </c>
      <c r="AH341" s="880" t="s">
        <v>1450</v>
      </c>
      <c r="AI341" s="881" t="s">
        <v>1450</v>
      </c>
    </row>
    <row r="342" spans="2:35" x14ac:dyDescent="0.2">
      <c r="B342" s="867">
        <v>78755000</v>
      </c>
      <c r="C342" s="876" t="s">
        <v>1448</v>
      </c>
      <c r="D342" s="877" t="s">
        <v>1448</v>
      </c>
      <c r="E342" s="877" t="s">
        <v>1448</v>
      </c>
      <c r="F342" s="877" t="s">
        <v>1448</v>
      </c>
      <c r="G342" s="877" t="s">
        <v>1448</v>
      </c>
      <c r="H342" s="877" t="s">
        <v>1448</v>
      </c>
      <c r="I342" s="877" t="s">
        <v>1448</v>
      </c>
      <c r="J342" s="878" t="s">
        <v>1448</v>
      </c>
      <c r="K342" s="877"/>
      <c r="L342" s="879">
        <v>0</v>
      </c>
      <c r="M342" s="880">
        <v>122</v>
      </c>
      <c r="N342" s="881">
        <v>0</v>
      </c>
      <c r="O342" s="880">
        <v>0</v>
      </c>
      <c r="P342" s="880">
        <v>132</v>
      </c>
      <c r="Q342" s="881">
        <v>0</v>
      </c>
      <c r="R342" s="880">
        <v>0</v>
      </c>
      <c r="S342" s="880">
        <v>148</v>
      </c>
      <c r="T342" s="881">
        <v>0</v>
      </c>
      <c r="U342" s="880">
        <v>0</v>
      </c>
      <c r="V342" s="880">
        <v>124</v>
      </c>
      <c r="W342" s="881">
        <v>0</v>
      </c>
      <c r="X342" s="880">
        <v>0</v>
      </c>
      <c r="Y342" s="880">
        <v>124</v>
      </c>
      <c r="Z342" s="881">
        <v>0</v>
      </c>
      <c r="AA342" s="880" t="s">
        <v>1450</v>
      </c>
      <c r="AB342" s="880" t="s">
        <v>1450</v>
      </c>
      <c r="AC342" s="881" t="s">
        <v>1450</v>
      </c>
      <c r="AD342" s="880" t="s">
        <v>1450</v>
      </c>
      <c r="AE342" s="880" t="s">
        <v>1450</v>
      </c>
      <c r="AF342" s="881" t="s">
        <v>1450</v>
      </c>
      <c r="AG342" s="880" t="s">
        <v>1450</v>
      </c>
      <c r="AH342" s="880" t="s">
        <v>1450</v>
      </c>
      <c r="AI342" s="881" t="s">
        <v>1450</v>
      </c>
    </row>
    <row r="343" spans="2:35" x14ac:dyDescent="0.2">
      <c r="B343" s="867">
        <v>78757000</v>
      </c>
      <c r="C343" s="876" t="s">
        <v>1447</v>
      </c>
      <c r="D343" s="877" t="s">
        <v>1448</v>
      </c>
      <c r="E343" s="877" t="s">
        <v>1447</v>
      </c>
      <c r="F343" s="877" t="s">
        <v>1448</v>
      </c>
      <c r="G343" s="877" t="s">
        <v>1448</v>
      </c>
      <c r="H343" s="877" t="s">
        <v>1448</v>
      </c>
      <c r="I343" s="877" t="s">
        <v>1448</v>
      </c>
      <c r="J343" s="878" t="s">
        <v>1448</v>
      </c>
      <c r="K343" s="877"/>
      <c r="L343" s="879">
        <v>12</v>
      </c>
      <c r="M343" s="880">
        <v>37</v>
      </c>
      <c r="N343" s="881">
        <v>0.31580000000000003</v>
      </c>
      <c r="O343" s="880">
        <v>8.8124462618562429</v>
      </c>
      <c r="P343" s="880">
        <v>25</v>
      </c>
      <c r="Q343" s="881">
        <v>0.3524978504742497</v>
      </c>
      <c r="R343" s="880">
        <v>10.463964294747658</v>
      </c>
      <c r="S343" s="880">
        <v>27</v>
      </c>
      <c r="T343" s="881">
        <v>0.38755423313880216</v>
      </c>
      <c r="U343" s="880">
        <v>4.7940962099125368</v>
      </c>
      <c r="V343" s="880">
        <v>15</v>
      </c>
      <c r="W343" s="881">
        <v>0.31960641399416911</v>
      </c>
      <c r="X343" s="880">
        <v>3.1193660764246136</v>
      </c>
      <c r="Y343" s="880">
        <v>7</v>
      </c>
      <c r="Z343" s="881">
        <v>0.44562372520351623</v>
      </c>
      <c r="AA343" s="880" t="s">
        <v>1450</v>
      </c>
      <c r="AB343" s="880" t="s">
        <v>1450</v>
      </c>
      <c r="AC343" s="881" t="s">
        <v>1450</v>
      </c>
      <c r="AD343" s="880" t="s">
        <v>1450</v>
      </c>
      <c r="AE343" s="880" t="s">
        <v>1450</v>
      </c>
      <c r="AF343" s="881" t="s">
        <v>1450</v>
      </c>
      <c r="AG343" s="880" t="s">
        <v>1450</v>
      </c>
      <c r="AH343" s="880" t="s">
        <v>1450</v>
      </c>
      <c r="AI343" s="881" t="s">
        <v>1450</v>
      </c>
    </row>
    <row r="344" spans="2:35" x14ac:dyDescent="0.2">
      <c r="B344" s="867">
        <v>78758000</v>
      </c>
      <c r="C344" s="876" t="s">
        <v>1447</v>
      </c>
      <c r="D344" s="877" t="s">
        <v>1447</v>
      </c>
      <c r="E344" s="877" t="s">
        <v>1447</v>
      </c>
      <c r="F344" s="877" t="s">
        <v>1447</v>
      </c>
      <c r="G344" s="877" t="s">
        <v>1447</v>
      </c>
      <c r="H344" s="877" t="s">
        <v>1447</v>
      </c>
      <c r="I344" s="877" t="s">
        <v>1447</v>
      </c>
      <c r="J344" s="878" t="s">
        <v>1447</v>
      </c>
      <c r="K344" s="877"/>
      <c r="L344" s="879">
        <v>43</v>
      </c>
      <c r="M344" s="880">
        <v>214</v>
      </c>
      <c r="N344" s="881">
        <v>0.20039999999999999</v>
      </c>
      <c r="O344" s="880">
        <v>59.484012267529636</v>
      </c>
      <c r="P344" s="880">
        <v>253</v>
      </c>
      <c r="Q344" s="881">
        <v>0.23511467299418828</v>
      </c>
      <c r="R344" s="880">
        <v>64.77692182462836</v>
      </c>
      <c r="S344" s="880">
        <v>260</v>
      </c>
      <c r="T344" s="881">
        <v>0.2491420070178014</v>
      </c>
      <c r="U344" s="880">
        <v>71.378765792031103</v>
      </c>
      <c r="V344" s="880">
        <v>276</v>
      </c>
      <c r="W344" s="881">
        <v>0.25861871663779384</v>
      </c>
      <c r="X344" s="880">
        <v>71.745419757766115</v>
      </c>
      <c r="Y344" s="880">
        <v>298</v>
      </c>
      <c r="Z344" s="881">
        <v>0.24075644214015474</v>
      </c>
      <c r="AA344" s="880">
        <v>68.30812717314636</v>
      </c>
      <c r="AB344" s="880">
        <v>284</v>
      </c>
      <c r="AC344" s="881">
        <v>0.24052157455333226</v>
      </c>
      <c r="AD344" s="880">
        <v>62.005640910990714</v>
      </c>
      <c r="AE344" s="880">
        <v>283</v>
      </c>
      <c r="AF344" s="881">
        <v>0.21910120463247601</v>
      </c>
      <c r="AG344" s="880">
        <v>58.905445639795623</v>
      </c>
      <c r="AH344" s="880">
        <v>292</v>
      </c>
      <c r="AI344" s="881">
        <v>0.20173097821847816</v>
      </c>
    </row>
    <row r="345" spans="2:35" x14ac:dyDescent="0.2">
      <c r="B345" s="867">
        <v>78759000</v>
      </c>
      <c r="C345" s="876" t="s">
        <v>1448</v>
      </c>
      <c r="D345" s="877" t="s">
        <v>1448</v>
      </c>
      <c r="E345" s="877" t="s">
        <v>1448</v>
      </c>
      <c r="F345" s="877" t="s">
        <v>1448</v>
      </c>
      <c r="G345" s="877" t="s">
        <v>1448</v>
      </c>
      <c r="H345" s="877" t="s">
        <v>1448</v>
      </c>
      <c r="I345" s="877" t="s">
        <v>1448</v>
      </c>
      <c r="J345" s="878" t="s">
        <v>1448</v>
      </c>
      <c r="K345" s="877"/>
      <c r="L345" s="879">
        <v>4</v>
      </c>
      <c r="M345" s="880">
        <v>131</v>
      </c>
      <c r="N345" s="881">
        <v>3.0800000000000001E-2</v>
      </c>
      <c r="O345" s="880">
        <v>12.33742476659874</v>
      </c>
      <c r="P345" s="880">
        <v>168</v>
      </c>
      <c r="Q345" s="881">
        <v>7.3437052182135365E-2</v>
      </c>
      <c r="R345" s="880">
        <v>0</v>
      </c>
      <c r="S345" s="880">
        <v>164</v>
      </c>
      <c r="T345" s="881">
        <v>0</v>
      </c>
      <c r="U345" s="880">
        <v>18.111030126336249</v>
      </c>
      <c r="V345" s="880">
        <v>175</v>
      </c>
      <c r="W345" s="881">
        <v>0.10349160072192143</v>
      </c>
      <c r="X345" s="880">
        <v>14.03714734391076</v>
      </c>
      <c r="Y345" s="880">
        <v>169</v>
      </c>
      <c r="Z345" s="881">
        <v>8.3060043455093255E-2</v>
      </c>
      <c r="AA345" s="880">
        <v>15.424415813291112</v>
      </c>
      <c r="AB345" s="880">
        <v>151</v>
      </c>
      <c r="AC345" s="881">
        <v>0.10214844909464313</v>
      </c>
      <c r="AD345" s="880">
        <v>11.786196206221376</v>
      </c>
      <c r="AE345" s="880">
        <v>139</v>
      </c>
      <c r="AF345" s="881">
        <v>8.4792778462024293E-2</v>
      </c>
      <c r="AG345" s="880">
        <v>11.880089876933571</v>
      </c>
      <c r="AH345" s="880">
        <v>129</v>
      </c>
      <c r="AI345" s="881">
        <v>9.2093719976229227E-2</v>
      </c>
    </row>
    <row r="346" spans="2:35" x14ac:dyDescent="0.2">
      <c r="B346" s="867">
        <v>78760000</v>
      </c>
      <c r="C346" s="876" t="s">
        <v>1447</v>
      </c>
      <c r="D346" s="877" t="s">
        <v>1447</v>
      </c>
      <c r="E346" s="877" t="s">
        <v>1447</v>
      </c>
      <c r="F346" s="877" t="s">
        <v>1447</v>
      </c>
      <c r="G346" s="877" t="s">
        <v>1447</v>
      </c>
      <c r="H346" s="877" t="s">
        <v>1447</v>
      </c>
      <c r="I346" s="877" t="s">
        <v>1447</v>
      </c>
      <c r="J346" s="878" t="s">
        <v>1447</v>
      </c>
      <c r="K346" s="877"/>
      <c r="L346" s="879">
        <v>75</v>
      </c>
      <c r="M346" s="880">
        <v>246</v>
      </c>
      <c r="N346" s="881">
        <v>0.30649999999999999</v>
      </c>
      <c r="O346" s="880">
        <v>90.768196497119305</v>
      </c>
      <c r="P346" s="880">
        <v>258</v>
      </c>
      <c r="Q346" s="881">
        <v>0.35181471510511358</v>
      </c>
      <c r="R346" s="880">
        <v>104.63964294747657</v>
      </c>
      <c r="S346" s="880">
        <v>260</v>
      </c>
      <c r="T346" s="881">
        <v>0.40246016518260219</v>
      </c>
      <c r="U346" s="880">
        <v>102.80672983479106</v>
      </c>
      <c r="V346" s="880">
        <v>251</v>
      </c>
      <c r="W346" s="881">
        <v>0.40958856507884883</v>
      </c>
      <c r="X346" s="880">
        <v>91.501404908455328</v>
      </c>
      <c r="Y346" s="880">
        <v>247</v>
      </c>
      <c r="Z346" s="881">
        <v>0.37045103201803775</v>
      </c>
      <c r="AA346" s="880">
        <v>74.918591093128256</v>
      </c>
      <c r="AB346" s="880">
        <v>172</v>
      </c>
      <c r="AC346" s="881">
        <v>0.43557320402981542</v>
      </c>
      <c r="AD346" s="880">
        <v>69.692290610700312</v>
      </c>
      <c r="AE346" s="880">
        <v>172</v>
      </c>
      <c r="AF346" s="881">
        <v>0.40518773610872272</v>
      </c>
      <c r="AG346" s="880">
        <v>68.80552053724027</v>
      </c>
      <c r="AH346" s="880">
        <v>188</v>
      </c>
      <c r="AI346" s="881">
        <v>0.3659868113682993</v>
      </c>
    </row>
    <row r="347" spans="2:35" x14ac:dyDescent="0.2">
      <c r="B347" s="867">
        <v>78761000</v>
      </c>
      <c r="C347" s="876" t="s">
        <v>1448</v>
      </c>
      <c r="D347" s="877" t="s">
        <v>1448</v>
      </c>
      <c r="E347" s="877" t="s">
        <v>1448</v>
      </c>
      <c r="F347" s="877" t="s">
        <v>1448</v>
      </c>
      <c r="G347" s="877" t="s">
        <v>1448</v>
      </c>
      <c r="H347" s="877" t="s">
        <v>1448</v>
      </c>
      <c r="I347" s="877" t="s">
        <v>1448</v>
      </c>
      <c r="J347" s="878" t="s">
        <v>1448</v>
      </c>
      <c r="K347" s="877"/>
      <c r="L347" s="879">
        <v>0</v>
      </c>
      <c r="M347" s="880">
        <v>348</v>
      </c>
      <c r="N347" s="881">
        <v>0</v>
      </c>
      <c r="O347" s="880">
        <v>0.88124462618562427</v>
      </c>
      <c r="P347" s="880">
        <v>319</v>
      </c>
      <c r="Q347" s="881">
        <v>2.7625223391398879E-3</v>
      </c>
      <c r="R347" s="880">
        <v>0.49828401403560274</v>
      </c>
      <c r="S347" s="880">
        <v>300</v>
      </c>
      <c r="T347" s="881">
        <v>1.6609467134520092E-3</v>
      </c>
      <c r="U347" s="880">
        <v>14.914965986394558</v>
      </c>
      <c r="V347" s="880">
        <v>293</v>
      </c>
      <c r="W347" s="881">
        <v>5.0904320772677668E-2</v>
      </c>
      <c r="X347" s="880">
        <v>12.997358651769222</v>
      </c>
      <c r="Y347" s="880">
        <v>230</v>
      </c>
      <c r="Z347" s="881">
        <v>5.6510255007692266E-2</v>
      </c>
      <c r="AA347" s="880" t="s">
        <v>1450</v>
      </c>
      <c r="AB347" s="880" t="s">
        <v>1450</v>
      </c>
      <c r="AC347" s="881" t="s">
        <v>1450</v>
      </c>
      <c r="AD347" s="880" t="s">
        <v>1450</v>
      </c>
      <c r="AE347" s="880" t="s">
        <v>1450</v>
      </c>
      <c r="AF347" s="881" t="s">
        <v>1450</v>
      </c>
      <c r="AG347" s="880" t="s">
        <v>1450</v>
      </c>
      <c r="AH347" s="880" t="s">
        <v>1450</v>
      </c>
      <c r="AI347" s="881" t="s">
        <v>1450</v>
      </c>
    </row>
    <row r="348" spans="2:35" x14ac:dyDescent="0.2">
      <c r="B348" s="867">
        <v>78763000</v>
      </c>
      <c r="C348" s="876" t="s">
        <v>1448</v>
      </c>
      <c r="D348" s="877" t="s">
        <v>1448</v>
      </c>
      <c r="E348" s="877" t="s">
        <v>1448</v>
      </c>
      <c r="F348" s="877" t="s">
        <v>1448</v>
      </c>
      <c r="G348" s="877" t="s">
        <v>1448</v>
      </c>
      <c r="H348" s="877" t="s">
        <v>1448</v>
      </c>
      <c r="I348" s="877" t="s">
        <v>1448</v>
      </c>
      <c r="J348" s="878" t="s">
        <v>1448</v>
      </c>
      <c r="K348" s="877"/>
      <c r="L348" s="879">
        <v>0</v>
      </c>
      <c r="M348" s="880">
        <v>380</v>
      </c>
      <c r="N348" s="881">
        <v>0</v>
      </c>
      <c r="O348" s="880">
        <v>1.3218669392784363</v>
      </c>
      <c r="P348" s="880">
        <v>421</v>
      </c>
      <c r="Q348" s="881">
        <v>3.1398264590936729E-3</v>
      </c>
      <c r="R348" s="880">
        <v>0</v>
      </c>
      <c r="S348" s="880">
        <v>457</v>
      </c>
      <c r="T348" s="881">
        <v>0</v>
      </c>
      <c r="U348" s="880">
        <v>0</v>
      </c>
      <c r="V348" s="880">
        <v>471</v>
      </c>
      <c r="W348" s="881">
        <v>0</v>
      </c>
      <c r="X348" s="880">
        <v>0</v>
      </c>
      <c r="Y348" s="880">
        <v>468</v>
      </c>
      <c r="Z348" s="881">
        <v>0</v>
      </c>
      <c r="AA348" s="880" t="s">
        <v>1450</v>
      </c>
      <c r="AB348" s="880" t="s">
        <v>1450</v>
      </c>
      <c r="AC348" s="881" t="s">
        <v>1450</v>
      </c>
      <c r="AD348" s="880" t="s">
        <v>1450</v>
      </c>
      <c r="AE348" s="880" t="s">
        <v>1450</v>
      </c>
      <c r="AF348" s="881" t="s">
        <v>1450</v>
      </c>
      <c r="AG348" s="880" t="s">
        <v>1450</v>
      </c>
      <c r="AH348" s="880" t="s">
        <v>1450</v>
      </c>
      <c r="AI348" s="881" t="s">
        <v>1450</v>
      </c>
    </row>
    <row r="349" spans="2:35" x14ac:dyDescent="0.2">
      <c r="B349" s="867">
        <v>78765000</v>
      </c>
      <c r="C349" s="876" t="s">
        <v>1447</v>
      </c>
      <c r="D349" s="877" t="s">
        <v>1447</v>
      </c>
      <c r="E349" s="877" t="s">
        <v>1447</v>
      </c>
      <c r="F349" s="877" t="s">
        <v>1447</v>
      </c>
      <c r="G349" s="877" t="s">
        <v>1447</v>
      </c>
      <c r="H349" s="877" t="s">
        <v>1447</v>
      </c>
      <c r="I349" s="877" t="s">
        <v>1447</v>
      </c>
      <c r="J349" s="878" t="s">
        <v>1447</v>
      </c>
      <c r="K349" s="877"/>
      <c r="L349" s="879">
        <v>71</v>
      </c>
      <c r="M349" s="880">
        <v>187</v>
      </c>
      <c r="N349" s="881">
        <v>0.3831</v>
      </c>
      <c r="O349" s="880">
        <v>91.649441123304925</v>
      </c>
      <c r="P349" s="880">
        <v>218</v>
      </c>
      <c r="Q349" s="881">
        <v>0.42041028038213268</v>
      </c>
      <c r="R349" s="880">
        <v>120.58473139661587</v>
      </c>
      <c r="S349" s="880">
        <v>257</v>
      </c>
      <c r="T349" s="881">
        <v>0.4692012894809956</v>
      </c>
      <c r="U349" s="880">
        <v>139.5614674441205</v>
      </c>
      <c r="V349" s="880">
        <v>278</v>
      </c>
      <c r="W349" s="881">
        <v>0.50201966706518164</v>
      </c>
      <c r="X349" s="880">
        <v>116.97622786592301</v>
      </c>
      <c r="Y349" s="880">
        <v>250</v>
      </c>
      <c r="Z349" s="881">
        <v>0.46790491146369201</v>
      </c>
      <c r="AA349" s="880">
        <v>125.04794248632437</v>
      </c>
      <c r="AB349" s="880">
        <v>227</v>
      </c>
      <c r="AC349" s="881">
        <v>0.55087199333182546</v>
      </c>
      <c r="AD349" s="880">
        <v>56.368764464537016</v>
      </c>
      <c r="AE349" s="880">
        <v>128</v>
      </c>
      <c r="AF349" s="881">
        <v>0.44038097237919543</v>
      </c>
      <c r="AG349" s="880">
        <v>72.27054675134589</v>
      </c>
      <c r="AH349" s="880">
        <v>165</v>
      </c>
      <c r="AI349" s="881">
        <v>0.43800331364452055</v>
      </c>
    </row>
    <row r="350" spans="2:35" x14ac:dyDescent="0.2">
      <c r="B350" s="867">
        <v>78766000</v>
      </c>
      <c r="C350" s="876" t="s">
        <v>1448</v>
      </c>
      <c r="D350" s="877" t="s">
        <v>1448</v>
      </c>
      <c r="E350" s="877" t="s">
        <v>1448</v>
      </c>
      <c r="F350" s="877" t="s">
        <v>1448</v>
      </c>
      <c r="G350" s="877" t="s">
        <v>1448</v>
      </c>
      <c r="H350" s="877" t="s">
        <v>1448</v>
      </c>
      <c r="I350" s="877" t="s">
        <v>1448</v>
      </c>
      <c r="J350" s="878" t="s">
        <v>1448</v>
      </c>
      <c r="K350" s="877"/>
      <c r="L350" s="879">
        <v>0</v>
      </c>
      <c r="M350" s="880">
        <v>378</v>
      </c>
      <c r="N350" s="881">
        <v>0</v>
      </c>
      <c r="O350" s="880">
        <v>0</v>
      </c>
      <c r="P350" s="880">
        <v>417</v>
      </c>
      <c r="Q350" s="881">
        <v>0</v>
      </c>
      <c r="R350" s="880">
        <v>0</v>
      </c>
      <c r="S350" s="880">
        <v>407</v>
      </c>
      <c r="T350" s="881">
        <v>0</v>
      </c>
      <c r="U350" s="880">
        <v>0</v>
      </c>
      <c r="V350" s="880">
        <v>420</v>
      </c>
      <c r="W350" s="881">
        <v>0</v>
      </c>
      <c r="X350" s="880">
        <v>0</v>
      </c>
      <c r="Y350" s="880">
        <v>400</v>
      </c>
      <c r="Z350" s="881">
        <v>0</v>
      </c>
      <c r="AA350" s="880" t="s">
        <v>1450</v>
      </c>
      <c r="AB350" s="880" t="s">
        <v>1450</v>
      </c>
      <c r="AC350" s="881" t="s">
        <v>1450</v>
      </c>
      <c r="AD350" s="880" t="s">
        <v>1450</v>
      </c>
      <c r="AE350" s="880" t="s">
        <v>1450</v>
      </c>
      <c r="AF350" s="881" t="s">
        <v>1450</v>
      </c>
      <c r="AG350" s="880" t="s">
        <v>1450</v>
      </c>
      <c r="AH350" s="880" t="s">
        <v>1450</v>
      </c>
      <c r="AI350" s="881" t="s">
        <v>1450</v>
      </c>
    </row>
    <row r="351" spans="2:35" x14ac:dyDescent="0.2">
      <c r="B351" s="867">
        <v>78768000</v>
      </c>
      <c r="C351" s="876" t="s">
        <v>1448</v>
      </c>
      <c r="D351" s="877" t="s">
        <v>1448</v>
      </c>
      <c r="E351" s="877" t="s">
        <v>1448</v>
      </c>
      <c r="F351" s="877" t="s">
        <v>1448</v>
      </c>
      <c r="G351" s="877" t="s">
        <v>1448</v>
      </c>
      <c r="H351" s="877" t="s">
        <v>1448</v>
      </c>
      <c r="I351" s="877" t="s">
        <v>1448</v>
      </c>
      <c r="J351" s="878" t="s">
        <v>1448</v>
      </c>
      <c r="K351" s="877"/>
      <c r="L351" s="879">
        <v>0</v>
      </c>
      <c r="M351" s="880">
        <v>257</v>
      </c>
      <c r="N351" s="881">
        <v>0</v>
      </c>
      <c r="O351" s="880">
        <v>0.88124462618562427</v>
      </c>
      <c r="P351" s="880">
        <v>426</v>
      </c>
      <c r="Q351" s="881">
        <v>2.0686493572432494E-3</v>
      </c>
      <c r="R351" s="880">
        <v>0</v>
      </c>
      <c r="S351" s="880">
        <v>505</v>
      </c>
      <c r="T351" s="881">
        <v>0</v>
      </c>
      <c r="U351" s="880">
        <v>0</v>
      </c>
      <c r="V351" s="880">
        <v>562</v>
      </c>
      <c r="W351" s="881">
        <v>0</v>
      </c>
      <c r="X351" s="880">
        <v>0</v>
      </c>
      <c r="Y351" s="880">
        <v>590</v>
      </c>
      <c r="Z351" s="881">
        <v>0</v>
      </c>
      <c r="AA351" s="880" t="s">
        <v>1450</v>
      </c>
      <c r="AB351" s="880" t="s">
        <v>1450</v>
      </c>
      <c r="AC351" s="881" t="s">
        <v>1450</v>
      </c>
      <c r="AD351" s="880" t="s">
        <v>1450</v>
      </c>
      <c r="AE351" s="880" t="s">
        <v>1450</v>
      </c>
      <c r="AF351" s="881" t="s">
        <v>1450</v>
      </c>
      <c r="AG351" s="880" t="s">
        <v>1450</v>
      </c>
      <c r="AH351" s="880" t="s">
        <v>1450</v>
      </c>
      <c r="AI351" s="881" t="s">
        <v>1450</v>
      </c>
    </row>
    <row r="352" spans="2:35" x14ac:dyDescent="0.2">
      <c r="B352" s="867">
        <v>78771000</v>
      </c>
      <c r="C352" s="876" t="s">
        <v>1447</v>
      </c>
      <c r="D352" s="877" t="s">
        <v>1447</v>
      </c>
      <c r="E352" s="877" t="s">
        <v>1447</v>
      </c>
      <c r="F352" s="877" t="s">
        <v>1447</v>
      </c>
      <c r="G352" s="877" t="s">
        <v>1447</v>
      </c>
      <c r="H352" s="877" t="s">
        <v>1447</v>
      </c>
      <c r="I352" s="877" t="s">
        <v>1447</v>
      </c>
      <c r="J352" s="878" t="s">
        <v>1447</v>
      </c>
      <c r="K352" s="877"/>
      <c r="L352" s="879">
        <v>47</v>
      </c>
      <c r="M352" s="880">
        <v>132</v>
      </c>
      <c r="N352" s="881">
        <v>0.35909999999999997</v>
      </c>
      <c r="O352" s="880">
        <v>55.959033762787143</v>
      </c>
      <c r="P352" s="880">
        <v>149</v>
      </c>
      <c r="Q352" s="881">
        <v>0.37556398498514859</v>
      </c>
      <c r="R352" s="880">
        <v>87.697986470266088</v>
      </c>
      <c r="S352" s="880">
        <v>197</v>
      </c>
      <c r="T352" s="881">
        <v>0.44516744401150299</v>
      </c>
      <c r="U352" s="880">
        <v>91.620505344995138</v>
      </c>
      <c r="V352" s="880">
        <v>193</v>
      </c>
      <c r="W352" s="881">
        <v>0.47471764427458618</v>
      </c>
      <c r="X352" s="880">
        <v>82.143306679181492</v>
      </c>
      <c r="Y352" s="880">
        <v>182</v>
      </c>
      <c r="Z352" s="881">
        <v>0.45133684988561257</v>
      </c>
      <c r="AA352" s="880">
        <v>84.834286973101115</v>
      </c>
      <c r="AB352" s="880">
        <v>177</v>
      </c>
      <c r="AC352" s="881">
        <v>0.47928975691017578</v>
      </c>
      <c r="AD352" s="880">
        <v>90.702466456573191</v>
      </c>
      <c r="AE352" s="880">
        <v>182</v>
      </c>
      <c r="AF352" s="881">
        <v>0.49836520031084169</v>
      </c>
      <c r="AG352" s="880">
        <v>76.725580455195981</v>
      </c>
      <c r="AH352" s="880">
        <v>161</v>
      </c>
      <c r="AI352" s="881">
        <v>0.4765564003428322</v>
      </c>
    </row>
    <row r="353" spans="2:35" x14ac:dyDescent="0.2">
      <c r="B353" s="867">
        <v>78772000</v>
      </c>
      <c r="C353" s="876" t="s">
        <v>1448</v>
      </c>
      <c r="D353" s="877" t="s">
        <v>1448</v>
      </c>
      <c r="E353" s="877" t="s">
        <v>1448</v>
      </c>
      <c r="F353" s="877" t="s">
        <v>1448</v>
      </c>
      <c r="G353" s="877" t="s">
        <v>1448</v>
      </c>
      <c r="H353" s="877" t="s">
        <v>1448</v>
      </c>
      <c r="I353" s="877" t="s">
        <v>1448</v>
      </c>
      <c r="J353" s="878" t="s">
        <v>1448</v>
      </c>
      <c r="K353" s="877"/>
      <c r="L353" s="879">
        <v>51</v>
      </c>
      <c r="M353" s="880">
        <v>566</v>
      </c>
      <c r="N353" s="881">
        <v>8.9499999999999996E-2</v>
      </c>
      <c r="O353" s="880">
        <v>48.909076753302145</v>
      </c>
      <c r="P353" s="880">
        <v>605</v>
      </c>
      <c r="Q353" s="881">
        <v>8.0841449179011815E-2</v>
      </c>
      <c r="R353" s="880">
        <v>66.770057880770764</v>
      </c>
      <c r="S353" s="880">
        <v>627</v>
      </c>
      <c r="T353" s="881">
        <v>0.10649132038400441</v>
      </c>
      <c r="U353" s="880">
        <v>62.855928085519921</v>
      </c>
      <c r="V353" s="880">
        <v>628</v>
      </c>
      <c r="W353" s="881">
        <v>0.10008905746101898</v>
      </c>
      <c r="X353" s="880">
        <v>68.626053681341489</v>
      </c>
      <c r="Y353" s="880">
        <v>655</v>
      </c>
      <c r="Z353" s="881">
        <v>0.10477260104021602</v>
      </c>
      <c r="AA353" s="880">
        <v>65.002895213155398</v>
      </c>
      <c r="AB353" s="880">
        <v>599</v>
      </c>
      <c r="AC353" s="881">
        <v>0.10851902372813922</v>
      </c>
      <c r="AD353" s="880">
        <v>65.592744104188526</v>
      </c>
      <c r="AE353" s="880">
        <v>575</v>
      </c>
      <c r="AF353" s="881">
        <v>0.11407433757250178</v>
      </c>
      <c r="AG353" s="880">
        <v>49.005370742350983</v>
      </c>
      <c r="AH353" s="880">
        <v>578</v>
      </c>
      <c r="AI353" s="881">
        <v>8.4784378446974021E-2</v>
      </c>
    </row>
    <row r="354" spans="2:35" x14ac:dyDescent="0.2">
      <c r="B354" s="867">
        <v>78773000</v>
      </c>
      <c r="C354" s="876" t="s">
        <v>1447</v>
      </c>
      <c r="D354" s="877" t="s">
        <v>1447</v>
      </c>
      <c r="E354" s="877" t="s">
        <v>1447</v>
      </c>
      <c r="F354" s="877" t="s">
        <v>1447</v>
      </c>
      <c r="G354" s="877" t="s">
        <v>1447</v>
      </c>
      <c r="H354" s="877" t="s">
        <v>1447</v>
      </c>
      <c r="I354" s="877" t="s">
        <v>1447</v>
      </c>
      <c r="J354" s="878" t="s">
        <v>1448</v>
      </c>
      <c r="K354" s="877"/>
      <c r="L354" s="879">
        <v>67</v>
      </c>
      <c r="M354" s="880">
        <v>281</v>
      </c>
      <c r="N354" s="881">
        <v>0.23669999999999999</v>
      </c>
      <c r="O354" s="880">
        <v>71.82143703412838</v>
      </c>
      <c r="P354" s="880">
        <v>248</v>
      </c>
      <c r="Q354" s="881">
        <v>0.28960256868600154</v>
      </c>
      <c r="R354" s="880">
        <v>64.77692182462836</v>
      </c>
      <c r="S354" s="880">
        <v>241</v>
      </c>
      <c r="T354" s="881">
        <v>0.26878390798600982</v>
      </c>
      <c r="U354" s="880">
        <v>70.313411078717195</v>
      </c>
      <c r="V354" s="880">
        <v>220</v>
      </c>
      <c r="W354" s="881">
        <v>0.31960641399416906</v>
      </c>
      <c r="X354" s="880">
        <v>43.671125069944587</v>
      </c>
      <c r="Y354" s="880">
        <v>143</v>
      </c>
      <c r="Z354" s="881">
        <v>0.30539248300660549</v>
      </c>
      <c r="AA354" s="880">
        <v>56.188943319846196</v>
      </c>
      <c r="AB354" s="880">
        <v>138</v>
      </c>
      <c r="AC354" s="881">
        <v>0.40716625594091449</v>
      </c>
      <c r="AD354" s="880">
        <v>47.144784824885505</v>
      </c>
      <c r="AE354" s="880">
        <v>129</v>
      </c>
      <c r="AF354" s="881">
        <v>0.36546344825492638</v>
      </c>
      <c r="AG354" s="880" t="s">
        <v>1450</v>
      </c>
      <c r="AH354" s="880" t="s">
        <v>1450</v>
      </c>
      <c r="AI354" s="881" t="s">
        <v>1450</v>
      </c>
    </row>
    <row r="355" spans="2:35" x14ac:dyDescent="0.2">
      <c r="B355" s="867">
        <v>78774000</v>
      </c>
      <c r="C355" s="876" t="s">
        <v>1448</v>
      </c>
      <c r="D355" s="877" t="s">
        <v>1448</v>
      </c>
      <c r="E355" s="877" t="s">
        <v>1447</v>
      </c>
      <c r="F355" s="877" t="s">
        <v>1447</v>
      </c>
      <c r="G355" s="877" t="s">
        <v>1447</v>
      </c>
      <c r="H355" s="877" t="s">
        <v>1447</v>
      </c>
      <c r="I355" s="877" t="s">
        <v>1447</v>
      </c>
      <c r="J355" s="878" t="s">
        <v>1447</v>
      </c>
      <c r="K355" s="877"/>
      <c r="L355" s="879">
        <v>5</v>
      </c>
      <c r="M355" s="880">
        <v>57</v>
      </c>
      <c r="N355" s="881">
        <v>8.9599999999999999E-2</v>
      </c>
      <c r="O355" s="880">
        <v>8.8124462618562429</v>
      </c>
      <c r="P355" s="880">
        <v>71</v>
      </c>
      <c r="Q355" s="881">
        <v>0.12411896143459497</v>
      </c>
      <c r="R355" s="880">
        <v>11.958816336854465</v>
      </c>
      <c r="S355" s="880">
        <v>62</v>
      </c>
      <c r="T355" s="881">
        <v>0.1928841344653946</v>
      </c>
      <c r="U355" s="880">
        <v>15.447643343051507</v>
      </c>
      <c r="V355" s="880">
        <v>68</v>
      </c>
      <c r="W355" s="881">
        <v>0.2271712256331104</v>
      </c>
      <c r="X355" s="880">
        <v>14.03714734391076</v>
      </c>
      <c r="Y355" s="880">
        <v>49</v>
      </c>
      <c r="Z355" s="881">
        <v>0.28647239477368897</v>
      </c>
      <c r="AA355" s="880">
        <v>15.975287806622939</v>
      </c>
      <c r="AB355" s="880">
        <v>43</v>
      </c>
      <c r="AC355" s="881">
        <v>0.37151832108425437</v>
      </c>
      <c r="AD355" s="880">
        <v>12.29863951953535</v>
      </c>
      <c r="AE355" s="880">
        <v>37</v>
      </c>
      <c r="AF355" s="881">
        <v>0.33239566269014459</v>
      </c>
      <c r="AG355" s="880">
        <v>11.385086132061339</v>
      </c>
      <c r="AH355" s="880">
        <v>30</v>
      </c>
      <c r="AI355" s="881">
        <v>0.37950287106871128</v>
      </c>
    </row>
    <row r="356" spans="2:35" x14ac:dyDescent="0.2">
      <c r="B356" s="867">
        <v>78775000</v>
      </c>
      <c r="C356" s="876" t="s">
        <v>1447</v>
      </c>
      <c r="D356" s="877" t="s">
        <v>1447</v>
      </c>
      <c r="E356" s="877" t="s">
        <v>1447</v>
      </c>
      <c r="F356" s="877" t="s">
        <v>1448</v>
      </c>
      <c r="G356" s="877" t="s">
        <v>1448</v>
      </c>
      <c r="H356" s="877" t="s">
        <v>1448</v>
      </c>
      <c r="I356" s="877" t="s">
        <v>1448</v>
      </c>
      <c r="J356" s="878" t="s">
        <v>1448</v>
      </c>
      <c r="K356" s="877"/>
      <c r="L356" s="879">
        <v>127</v>
      </c>
      <c r="M356" s="880">
        <v>320</v>
      </c>
      <c r="N356" s="881">
        <v>0.39579999999999999</v>
      </c>
      <c r="O356" s="880">
        <v>137.47416168495738</v>
      </c>
      <c r="P356" s="880">
        <v>333</v>
      </c>
      <c r="Q356" s="881">
        <v>0.41283532037524739</v>
      </c>
      <c r="R356" s="880">
        <v>121.58129942468707</v>
      </c>
      <c r="S356" s="880">
        <v>297</v>
      </c>
      <c r="T356" s="881">
        <v>0.40936464452756588</v>
      </c>
      <c r="U356" s="880" t="s">
        <v>1450</v>
      </c>
      <c r="V356" s="880" t="s">
        <v>1450</v>
      </c>
      <c r="W356" s="881" t="s">
        <v>1450</v>
      </c>
      <c r="X356" s="880" t="s">
        <v>1450</v>
      </c>
      <c r="Y356" s="880" t="s">
        <v>1450</v>
      </c>
      <c r="Z356" s="881" t="s">
        <v>1450</v>
      </c>
      <c r="AA356" s="880" t="s">
        <v>1450</v>
      </c>
      <c r="AB356" s="880" t="s">
        <v>1450</v>
      </c>
      <c r="AC356" s="881" t="s">
        <v>1450</v>
      </c>
      <c r="AD356" s="880" t="s">
        <v>1450</v>
      </c>
      <c r="AE356" s="880" t="s">
        <v>1450</v>
      </c>
      <c r="AF356" s="881" t="s">
        <v>1450</v>
      </c>
      <c r="AG356" s="880" t="s">
        <v>1450</v>
      </c>
      <c r="AH356" s="880" t="s">
        <v>1450</v>
      </c>
      <c r="AI356" s="881" t="s">
        <v>1450</v>
      </c>
    </row>
    <row r="357" spans="2:35" x14ac:dyDescent="0.2">
      <c r="B357" s="867">
        <v>78776000</v>
      </c>
      <c r="C357" s="876" t="s">
        <v>1447</v>
      </c>
      <c r="D357" s="877" t="s">
        <v>1447</v>
      </c>
      <c r="E357" s="877" t="s">
        <v>1447</v>
      </c>
      <c r="F357" s="877" t="s">
        <v>1448</v>
      </c>
      <c r="G357" s="877" t="s">
        <v>1447</v>
      </c>
      <c r="H357" s="877" t="s">
        <v>1447</v>
      </c>
      <c r="I357" s="877" t="s">
        <v>1447</v>
      </c>
      <c r="J357" s="878" t="s">
        <v>1447</v>
      </c>
      <c r="K357" s="877"/>
      <c r="L357" s="879">
        <v>29</v>
      </c>
      <c r="M357" s="880">
        <v>111</v>
      </c>
      <c r="N357" s="881">
        <v>0.25829999999999997</v>
      </c>
      <c r="O357" s="880">
        <v>27.318583411754354</v>
      </c>
      <c r="P357" s="880">
        <v>64</v>
      </c>
      <c r="Q357" s="881">
        <v>0.42685286580866177</v>
      </c>
      <c r="R357" s="880">
        <v>15.945088449139288</v>
      </c>
      <c r="S357" s="880">
        <v>67</v>
      </c>
      <c r="T357" s="881">
        <v>0.23798639476327296</v>
      </c>
      <c r="U357" s="880">
        <v>3.1960641399416909</v>
      </c>
      <c r="V357" s="880">
        <v>93</v>
      </c>
      <c r="W357" s="881">
        <v>3.436628107464184E-2</v>
      </c>
      <c r="X357" s="880">
        <v>30.673766418175365</v>
      </c>
      <c r="Y357" s="880">
        <v>87</v>
      </c>
      <c r="Z357" s="881">
        <v>0.35257202779511915</v>
      </c>
      <c r="AA357" s="880">
        <v>28.094471659923098</v>
      </c>
      <c r="AB357" s="880">
        <v>83</v>
      </c>
      <c r="AC357" s="881">
        <v>0.33848761036051928</v>
      </c>
      <c r="AD357" s="880">
        <v>19.472845905930967</v>
      </c>
      <c r="AE357" s="880">
        <v>79</v>
      </c>
      <c r="AF357" s="881">
        <v>0.2464917203282401</v>
      </c>
      <c r="AG357" s="880">
        <v>10.890082387189107</v>
      </c>
      <c r="AH357" s="880">
        <v>63</v>
      </c>
      <c r="AI357" s="881">
        <v>0.17285845059030328</v>
      </c>
    </row>
    <row r="358" spans="2:35" x14ac:dyDescent="0.2">
      <c r="B358" s="867">
        <v>78779000</v>
      </c>
      <c r="C358" s="876" t="s">
        <v>1448</v>
      </c>
      <c r="D358" s="877" t="s">
        <v>1448</v>
      </c>
      <c r="E358" s="877" t="s">
        <v>1448</v>
      </c>
      <c r="F358" s="877" t="s">
        <v>1448</v>
      </c>
      <c r="G358" s="877" t="s">
        <v>1448</v>
      </c>
      <c r="H358" s="877" t="s">
        <v>1448</v>
      </c>
      <c r="I358" s="877" t="s">
        <v>1448</v>
      </c>
      <c r="J358" s="878" t="s">
        <v>1448</v>
      </c>
      <c r="K358" s="877"/>
      <c r="L358" s="879">
        <v>0</v>
      </c>
      <c r="M358" s="880">
        <v>203</v>
      </c>
      <c r="N358" s="881">
        <v>0</v>
      </c>
      <c r="O358" s="880">
        <v>0</v>
      </c>
      <c r="P358" s="880">
        <v>202</v>
      </c>
      <c r="Q358" s="881">
        <v>0</v>
      </c>
      <c r="R358" s="880">
        <v>0</v>
      </c>
      <c r="S358" s="880">
        <v>203</v>
      </c>
      <c r="T358" s="881">
        <v>0</v>
      </c>
      <c r="U358" s="880">
        <v>0</v>
      </c>
      <c r="V358" s="880">
        <v>207</v>
      </c>
      <c r="W358" s="881">
        <v>0</v>
      </c>
      <c r="X358" s="880">
        <v>0</v>
      </c>
      <c r="Y358" s="880">
        <v>201</v>
      </c>
      <c r="Z358" s="881">
        <v>0</v>
      </c>
      <c r="AA358" s="880" t="s">
        <v>1450</v>
      </c>
      <c r="AB358" s="880" t="s">
        <v>1450</v>
      </c>
      <c r="AC358" s="881" t="s">
        <v>1450</v>
      </c>
      <c r="AD358" s="880" t="s">
        <v>1450</v>
      </c>
      <c r="AE358" s="880" t="s">
        <v>1450</v>
      </c>
      <c r="AF358" s="881" t="s">
        <v>1450</v>
      </c>
      <c r="AG358" s="880" t="s">
        <v>1450</v>
      </c>
      <c r="AH358" s="880" t="s">
        <v>1450</v>
      </c>
      <c r="AI358" s="881" t="s">
        <v>1450</v>
      </c>
    </row>
    <row r="359" spans="2:35" x14ac:dyDescent="0.2">
      <c r="B359" s="867">
        <v>78781000</v>
      </c>
      <c r="C359" s="876" t="s">
        <v>1448</v>
      </c>
      <c r="D359" s="877" t="s">
        <v>1448</v>
      </c>
      <c r="E359" s="877" t="s">
        <v>1448</v>
      </c>
      <c r="F359" s="877" t="s">
        <v>1448</v>
      </c>
      <c r="G359" s="877" t="s">
        <v>1448</v>
      </c>
      <c r="H359" s="877" t="s">
        <v>1448</v>
      </c>
      <c r="I359" s="877" t="s">
        <v>1448</v>
      </c>
      <c r="J359" s="878" t="s">
        <v>1448</v>
      </c>
      <c r="K359" s="877"/>
      <c r="L359" s="879">
        <v>0</v>
      </c>
      <c r="M359" s="880">
        <v>133</v>
      </c>
      <c r="N359" s="881">
        <v>0</v>
      </c>
      <c r="O359" s="880">
        <v>0.44062231309281213</v>
      </c>
      <c r="P359" s="880">
        <v>174</v>
      </c>
      <c r="Q359" s="881">
        <v>2.5323121442115638E-3</v>
      </c>
      <c r="R359" s="880">
        <v>0</v>
      </c>
      <c r="S359" s="880">
        <v>167</v>
      </c>
      <c r="T359" s="881">
        <v>0</v>
      </c>
      <c r="U359" s="880">
        <v>0</v>
      </c>
      <c r="V359" s="880">
        <v>167</v>
      </c>
      <c r="W359" s="881">
        <v>0</v>
      </c>
      <c r="X359" s="880">
        <v>0</v>
      </c>
      <c r="Y359" s="880">
        <v>199</v>
      </c>
      <c r="Z359" s="881">
        <v>0</v>
      </c>
      <c r="AA359" s="880" t="s">
        <v>1450</v>
      </c>
      <c r="AB359" s="880" t="s">
        <v>1450</v>
      </c>
      <c r="AC359" s="881" t="s">
        <v>1450</v>
      </c>
      <c r="AD359" s="880" t="s">
        <v>1450</v>
      </c>
      <c r="AE359" s="880" t="s">
        <v>1450</v>
      </c>
      <c r="AF359" s="881" t="s">
        <v>1450</v>
      </c>
      <c r="AG359" s="880" t="s">
        <v>1450</v>
      </c>
      <c r="AH359" s="880" t="s">
        <v>1450</v>
      </c>
      <c r="AI359" s="881" t="s">
        <v>1450</v>
      </c>
    </row>
    <row r="360" spans="2:35" x14ac:dyDescent="0.2">
      <c r="B360" s="867">
        <v>78782000</v>
      </c>
      <c r="C360" s="876" t="s">
        <v>1448</v>
      </c>
      <c r="D360" s="877" t="s">
        <v>1448</v>
      </c>
      <c r="E360" s="877" t="s">
        <v>1448</v>
      </c>
      <c r="F360" s="877" t="s">
        <v>1448</v>
      </c>
      <c r="G360" s="877" t="s">
        <v>1448</v>
      </c>
      <c r="H360" s="877" t="s">
        <v>1448</v>
      </c>
      <c r="I360" s="877" t="s">
        <v>1448</v>
      </c>
      <c r="J360" s="878" t="s">
        <v>1448</v>
      </c>
      <c r="K360" s="877"/>
      <c r="L360" s="879">
        <v>0</v>
      </c>
      <c r="M360" s="880">
        <v>103</v>
      </c>
      <c r="N360" s="881">
        <v>0</v>
      </c>
      <c r="O360" s="880">
        <v>0</v>
      </c>
      <c r="P360" s="880">
        <v>119</v>
      </c>
      <c r="Q360" s="881">
        <v>0</v>
      </c>
      <c r="R360" s="880">
        <v>0</v>
      </c>
      <c r="S360" s="880">
        <v>131</v>
      </c>
      <c r="T360" s="881">
        <v>0</v>
      </c>
      <c r="U360" s="880">
        <v>0</v>
      </c>
      <c r="V360" s="880">
        <v>78</v>
      </c>
      <c r="W360" s="881">
        <v>0</v>
      </c>
      <c r="X360" s="880">
        <v>0</v>
      </c>
      <c r="Y360" s="880">
        <v>0</v>
      </c>
      <c r="Z360" s="881">
        <v>0</v>
      </c>
      <c r="AA360" s="880" t="s">
        <v>1450</v>
      </c>
      <c r="AB360" s="880" t="s">
        <v>1450</v>
      </c>
      <c r="AC360" s="881" t="s">
        <v>1450</v>
      </c>
      <c r="AD360" s="880" t="s">
        <v>1450</v>
      </c>
      <c r="AE360" s="880" t="s">
        <v>1450</v>
      </c>
      <c r="AF360" s="881" t="s">
        <v>1450</v>
      </c>
      <c r="AG360" s="880" t="s">
        <v>1450</v>
      </c>
      <c r="AH360" s="880" t="s">
        <v>1450</v>
      </c>
      <c r="AI360" s="881" t="s">
        <v>1450</v>
      </c>
    </row>
    <row r="361" spans="2:35" x14ac:dyDescent="0.2">
      <c r="B361" s="867">
        <v>78784000</v>
      </c>
      <c r="C361" s="876" t="s">
        <v>1447</v>
      </c>
      <c r="D361" s="877" t="s">
        <v>1447</v>
      </c>
      <c r="E361" s="877" t="s">
        <v>1447</v>
      </c>
      <c r="F361" s="877" t="s">
        <v>1447</v>
      </c>
      <c r="G361" s="877" t="s">
        <v>1447</v>
      </c>
      <c r="H361" s="877" t="s">
        <v>1447</v>
      </c>
      <c r="I361" s="877" t="s">
        <v>1447</v>
      </c>
      <c r="J361" s="878" t="s">
        <v>1447</v>
      </c>
      <c r="K361" s="877"/>
      <c r="L361" s="879">
        <v>133</v>
      </c>
      <c r="M361" s="880">
        <v>367</v>
      </c>
      <c r="N361" s="881">
        <v>0.3619</v>
      </c>
      <c r="O361" s="880">
        <v>170.96145748001112</v>
      </c>
      <c r="P361" s="880">
        <v>407</v>
      </c>
      <c r="Q361" s="881">
        <v>0.42005272108110842</v>
      </c>
      <c r="R361" s="880">
        <v>183.35872288472765</v>
      </c>
      <c r="S361" s="880">
        <v>386</v>
      </c>
      <c r="T361" s="881">
        <v>0.47502259814696285</v>
      </c>
      <c r="U361" s="880">
        <v>237.57410106899903</v>
      </c>
      <c r="V361" s="880">
        <v>529</v>
      </c>
      <c r="W361" s="881">
        <v>0.44910038009262576</v>
      </c>
      <c r="X361" s="880">
        <v>250.5890748061106</v>
      </c>
      <c r="Y361" s="880">
        <v>557</v>
      </c>
      <c r="Z361" s="881">
        <v>0.44989061904149119</v>
      </c>
      <c r="AA361" s="880">
        <v>275.43599666591274</v>
      </c>
      <c r="AB361" s="880">
        <v>546</v>
      </c>
      <c r="AC361" s="881">
        <v>0.50446153235515157</v>
      </c>
      <c r="AD361" s="880">
        <v>246.48523370402094</v>
      </c>
      <c r="AE361" s="880">
        <v>524</v>
      </c>
      <c r="AF361" s="881">
        <v>0.47039166737408578</v>
      </c>
      <c r="AG361" s="880">
        <v>236.61179004892696</v>
      </c>
      <c r="AH361" s="880">
        <v>512</v>
      </c>
      <c r="AI361" s="881">
        <v>0.46213240243931047</v>
      </c>
    </row>
    <row r="362" spans="2:35" x14ac:dyDescent="0.2">
      <c r="B362" s="867">
        <v>78785000</v>
      </c>
      <c r="C362" s="876" t="s">
        <v>1448</v>
      </c>
      <c r="D362" s="877" t="s">
        <v>1448</v>
      </c>
      <c r="E362" s="877" t="s">
        <v>1447</v>
      </c>
      <c r="F362" s="877" t="s">
        <v>1447</v>
      </c>
      <c r="G362" s="877" t="s">
        <v>1447</v>
      </c>
      <c r="H362" s="877" t="s">
        <v>1447</v>
      </c>
      <c r="I362" s="877" t="s">
        <v>1447</v>
      </c>
      <c r="J362" s="878" t="s">
        <v>1447</v>
      </c>
      <c r="K362" s="877"/>
      <c r="L362" s="879">
        <v>8</v>
      </c>
      <c r="M362" s="880">
        <v>175</v>
      </c>
      <c r="N362" s="881">
        <v>4.3099999999999999E-2</v>
      </c>
      <c r="O362" s="880">
        <v>4.8468454440209339</v>
      </c>
      <c r="P362" s="880">
        <v>303</v>
      </c>
      <c r="Q362" s="881">
        <v>1.5996189584227504E-2</v>
      </c>
      <c r="R362" s="880">
        <v>89.691122526408492</v>
      </c>
      <c r="S362" s="880">
        <v>267</v>
      </c>
      <c r="T362" s="881">
        <v>0.33592180721501308</v>
      </c>
      <c r="U362" s="880">
        <v>184.30636540330417</v>
      </c>
      <c r="V362" s="880">
        <v>538</v>
      </c>
      <c r="W362" s="881">
        <v>0.34257688736673636</v>
      </c>
      <c r="X362" s="880">
        <v>225.11425184864294</v>
      </c>
      <c r="Y362" s="880">
        <v>513</v>
      </c>
      <c r="Z362" s="881">
        <v>0.43881920438331956</v>
      </c>
      <c r="AA362" s="880">
        <v>266.07117277927171</v>
      </c>
      <c r="AB362" s="880">
        <v>560</v>
      </c>
      <c r="AC362" s="881">
        <v>0.47512709424869948</v>
      </c>
      <c r="AD362" s="880">
        <v>492.45802409472793</v>
      </c>
      <c r="AE362" s="880">
        <v>1099</v>
      </c>
      <c r="AF362" s="881">
        <v>0.44809647324361052</v>
      </c>
      <c r="AG362" s="880">
        <v>465.79852392477045</v>
      </c>
      <c r="AH362" s="880">
        <v>1076</v>
      </c>
      <c r="AI362" s="881">
        <v>0.43289825643566027</v>
      </c>
    </row>
    <row r="363" spans="2:35" x14ac:dyDescent="0.2">
      <c r="B363" s="867">
        <v>78786000</v>
      </c>
      <c r="C363" s="876" t="s">
        <v>1448</v>
      </c>
      <c r="D363" s="877" t="s">
        <v>1447</v>
      </c>
      <c r="E363" s="877" t="s">
        <v>1448</v>
      </c>
      <c r="F363" s="877" t="s">
        <v>1447</v>
      </c>
      <c r="G363" s="877" t="s">
        <v>1448</v>
      </c>
      <c r="H363" s="877" t="s">
        <v>1448</v>
      </c>
      <c r="I363" s="877" t="s">
        <v>1448</v>
      </c>
      <c r="J363" s="878" t="s">
        <v>1448</v>
      </c>
      <c r="K363" s="877"/>
      <c r="L363" s="879">
        <v>11</v>
      </c>
      <c r="M363" s="880">
        <v>77</v>
      </c>
      <c r="N363" s="881">
        <v>0.14860000000000001</v>
      </c>
      <c r="O363" s="880">
        <v>15.862403271341236</v>
      </c>
      <c r="P363" s="880">
        <v>61</v>
      </c>
      <c r="Q363" s="881">
        <v>0.26003939789083996</v>
      </c>
      <c r="R363" s="880">
        <v>8.4708282386052467</v>
      </c>
      <c r="S363" s="880">
        <v>33</v>
      </c>
      <c r="T363" s="881">
        <v>0.25669176480621958</v>
      </c>
      <c r="U363" s="880">
        <v>16.512998056365404</v>
      </c>
      <c r="V363" s="880">
        <v>38</v>
      </c>
      <c r="W363" s="881">
        <v>0.43455258043066852</v>
      </c>
      <c r="X363" s="880">
        <v>5.718837806778458</v>
      </c>
      <c r="Y363" s="880">
        <v>25</v>
      </c>
      <c r="Z363" s="881">
        <v>0.22875351227113833</v>
      </c>
      <c r="AA363" s="880" t="s">
        <v>1450</v>
      </c>
      <c r="AB363" s="880" t="s">
        <v>1450</v>
      </c>
      <c r="AC363" s="881" t="s">
        <v>1450</v>
      </c>
      <c r="AD363" s="880" t="s">
        <v>1450</v>
      </c>
      <c r="AE363" s="880" t="s">
        <v>1450</v>
      </c>
      <c r="AF363" s="881" t="s">
        <v>1450</v>
      </c>
      <c r="AG363" s="880" t="s">
        <v>1450</v>
      </c>
      <c r="AH363" s="880" t="s">
        <v>1450</v>
      </c>
      <c r="AI363" s="881" t="s">
        <v>1450</v>
      </c>
    </row>
    <row r="364" spans="2:35" x14ac:dyDescent="0.2">
      <c r="B364" s="867">
        <v>78791000</v>
      </c>
      <c r="C364" s="876" t="s">
        <v>1448</v>
      </c>
      <c r="D364" s="877" t="s">
        <v>1448</v>
      </c>
      <c r="E364" s="877" t="s">
        <v>1448</v>
      </c>
      <c r="F364" s="877" t="s">
        <v>1448</v>
      </c>
      <c r="G364" s="877" t="s">
        <v>1448</v>
      </c>
      <c r="H364" s="877" t="s">
        <v>1448</v>
      </c>
      <c r="I364" s="877" t="s">
        <v>1448</v>
      </c>
      <c r="J364" s="878" t="s">
        <v>1448</v>
      </c>
      <c r="K364" s="877"/>
      <c r="L364" s="879">
        <v>0</v>
      </c>
      <c r="M364" s="880">
        <v>259</v>
      </c>
      <c r="N364" s="881">
        <v>0</v>
      </c>
      <c r="O364" s="880">
        <v>0.44062231309281213</v>
      </c>
      <c r="P364" s="880">
        <v>286</v>
      </c>
      <c r="Q364" s="881">
        <v>1.5406374583664759E-3</v>
      </c>
      <c r="R364" s="880">
        <v>0</v>
      </c>
      <c r="S364" s="880">
        <v>310</v>
      </c>
      <c r="T364" s="881">
        <v>0</v>
      </c>
      <c r="U364" s="880">
        <v>0</v>
      </c>
      <c r="V364" s="880">
        <v>283</v>
      </c>
      <c r="W364" s="881">
        <v>0</v>
      </c>
      <c r="X364" s="880">
        <v>0</v>
      </c>
      <c r="Y364" s="880">
        <v>260</v>
      </c>
      <c r="Z364" s="881">
        <v>0</v>
      </c>
      <c r="AA364" s="880" t="s">
        <v>1450</v>
      </c>
      <c r="AB364" s="880" t="s">
        <v>1450</v>
      </c>
      <c r="AC364" s="881" t="s">
        <v>1450</v>
      </c>
      <c r="AD364" s="880" t="s">
        <v>1450</v>
      </c>
      <c r="AE364" s="880" t="s">
        <v>1450</v>
      </c>
      <c r="AF364" s="881" t="s">
        <v>1450</v>
      </c>
      <c r="AG364" s="880" t="s">
        <v>1450</v>
      </c>
      <c r="AH364" s="880" t="s">
        <v>1450</v>
      </c>
      <c r="AI364" s="881" t="s">
        <v>1450</v>
      </c>
    </row>
    <row r="365" spans="2:35" x14ac:dyDescent="0.2">
      <c r="B365" s="867">
        <v>78792000</v>
      </c>
      <c r="C365" s="876" t="s">
        <v>1447</v>
      </c>
      <c r="D365" s="877" t="s">
        <v>1447</v>
      </c>
      <c r="E365" s="877" t="s">
        <v>1447</v>
      </c>
      <c r="F365" s="877" t="s">
        <v>1447</v>
      </c>
      <c r="G365" s="877" t="s">
        <v>1447</v>
      </c>
      <c r="H365" s="877" t="s">
        <v>1447</v>
      </c>
      <c r="I365" s="877" t="s">
        <v>1447</v>
      </c>
      <c r="J365" s="878" t="s">
        <v>1447</v>
      </c>
      <c r="K365" s="877"/>
      <c r="L365" s="879">
        <v>178</v>
      </c>
      <c r="M365" s="880">
        <v>477</v>
      </c>
      <c r="N365" s="881">
        <v>0.37419999999999998</v>
      </c>
      <c r="O365" s="880">
        <v>210.17684334527138</v>
      </c>
      <c r="P365" s="880">
        <v>533</v>
      </c>
      <c r="Q365" s="881">
        <v>0.39432803629506824</v>
      </c>
      <c r="R365" s="880">
        <v>264.58881145290508</v>
      </c>
      <c r="S365" s="880">
        <v>577</v>
      </c>
      <c r="T365" s="881">
        <v>0.45855946525633462</v>
      </c>
      <c r="U365" s="880">
        <v>289.77648202137999</v>
      </c>
      <c r="V365" s="880">
        <v>621</v>
      </c>
      <c r="W365" s="881">
        <v>0.46662879552557163</v>
      </c>
      <c r="X365" s="880">
        <v>290.6209394535598</v>
      </c>
      <c r="Y365" s="880">
        <v>621</v>
      </c>
      <c r="Z365" s="881">
        <v>0.46798863035999966</v>
      </c>
      <c r="AA365" s="880">
        <v>338.23540390574084</v>
      </c>
      <c r="AB365" s="880">
        <v>627</v>
      </c>
      <c r="AC365" s="881">
        <v>0.53945040495333463</v>
      </c>
      <c r="AD365" s="880">
        <v>283.38115226262698</v>
      </c>
      <c r="AE365" s="880">
        <v>595</v>
      </c>
      <c r="AF365" s="881">
        <v>0.47627084413886889</v>
      </c>
      <c r="AG365" s="880">
        <v>272.7470634245999</v>
      </c>
      <c r="AH365" s="880">
        <v>593</v>
      </c>
      <c r="AI365" s="881">
        <v>0.45994445771433373</v>
      </c>
    </row>
    <row r="366" spans="2:35" x14ac:dyDescent="0.2">
      <c r="B366" s="867">
        <v>78793000</v>
      </c>
      <c r="C366" s="876" t="s">
        <v>1447</v>
      </c>
      <c r="D366" s="877" t="s">
        <v>1447</v>
      </c>
      <c r="E366" s="877" t="s">
        <v>1447</v>
      </c>
      <c r="F366" s="877" t="s">
        <v>1447</v>
      </c>
      <c r="G366" s="877" t="s">
        <v>1447</v>
      </c>
      <c r="H366" s="877" t="s">
        <v>1447</v>
      </c>
      <c r="I366" s="877" t="s">
        <v>1447</v>
      </c>
      <c r="J366" s="878" t="s">
        <v>1447</v>
      </c>
      <c r="K366" s="877"/>
      <c r="L366" s="879">
        <v>58</v>
      </c>
      <c r="M366" s="880">
        <v>168</v>
      </c>
      <c r="N366" s="881">
        <v>0.34470000000000001</v>
      </c>
      <c r="O366" s="880">
        <v>68.296458529385887</v>
      </c>
      <c r="P366" s="880">
        <v>188</v>
      </c>
      <c r="Q366" s="881">
        <v>0.363279034730776</v>
      </c>
      <c r="R366" s="880">
        <v>91.185974568515306</v>
      </c>
      <c r="S366" s="880">
        <v>276</v>
      </c>
      <c r="T366" s="881">
        <v>0.33038396582795398</v>
      </c>
      <c r="U366" s="880">
        <v>94.816569484936835</v>
      </c>
      <c r="V366" s="880">
        <v>229</v>
      </c>
      <c r="W366" s="881">
        <v>0.41404615495605607</v>
      </c>
      <c r="X366" s="880">
        <v>142.45105082339069</v>
      </c>
      <c r="Y366" s="880">
        <v>301</v>
      </c>
      <c r="Z366" s="881">
        <v>0.47325930506109865</v>
      </c>
      <c r="AA366" s="880">
        <v>143.77759025960646</v>
      </c>
      <c r="AB366" s="880">
        <v>261</v>
      </c>
      <c r="AC366" s="881">
        <v>0.55087199333182546</v>
      </c>
      <c r="AD366" s="880">
        <v>107.10065248262033</v>
      </c>
      <c r="AE366" s="880">
        <v>209</v>
      </c>
      <c r="AF366" s="881">
        <v>0.51244331331397286</v>
      </c>
      <c r="AG366" s="880">
        <v>77.220584200068217</v>
      </c>
      <c r="AH366" s="880">
        <v>159</v>
      </c>
      <c r="AI366" s="881">
        <v>0.48566405157275611</v>
      </c>
    </row>
    <row r="367" spans="2:35" x14ac:dyDescent="0.2">
      <c r="B367" s="867">
        <v>78794000</v>
      </c>
      <c r="C367" s="876" t="s">
        <v>1447</v>
      </c>
      <c r="D367" s="877" t="s">
        <v>1447</v>
      </c>
      <c r="E367" s="877" t="s">
        <v>1447</v>
      </c>
      <c r="F367" s="877" t="s">
        <v>1447</v>
      </c>
      <c r="G367" s="877" t="s">
        <v>1447</v>
      </c>
      <c r="H367" s="877" t="s">
        <v>1447</v>
      </c>
      <c r="I367" s="877" t="s">
        <v>1447</v>
      </c>
      <c r="J367" s="878" t="s">
        <v>1447</v>
      </c>
      <c r="K367" s="877"/>
      <c r="L367" s="879">
        <v>36</v>
      </c>
      <c r="M367" s="880">
        <v>131</v>
      </c>
      <c r="N367" s="881">
        <v>0.27189999999999998</v>
      </c>
      <c r="O367" s="880">
        <v>36.571651986703408</v>
      </c>
      <c r="P367" s="880">
        <v>105</v>
      </c>
      <c r="Q367" s="881">
        <v>0.34830144749241343</v>
      </c>
      <c r="R367" s="880">
        <v>47.83526534741786</v>
      </c>
      <c r="S367" s="880">
        <v>114</v>
      </c>
      <c r="T367" s="881">
        <v>0.4196075907668233</v>
      </c>
      <c r="U367" s="880">
        <v>53.26773566569485</v>
      </c>
      <c r="V367" s="880">
        <v>113</v>
      </c>
      <c r="W367" s="881">
        <v>0.47139589084685707</v>
      </c>
      <c r="X367" s="880">
        <v>42.111442031732281</v>
      </c>
      <c r="Y367" s="880">
        <v>95</v>
      </c>
      <c r="Z367" s="881">
        <v>0.4432783371761293</v>
      </c>
      <c r="AA367" s="880">
        <v>50.129351393196117</v>
      </c>
      <c r="AB367" s="880">
        <v>105</v>
      </c>
      <c r="AC367" s="881">
        <v>0.47742239422091542</v>
      </c>
      <c r="AD367" s="880">
        <v>34.333701992036183</v>
      </c>
      <c r="AE367" s="880">
        <v>87</v>
      </c>
      <c r="AF367" s="881">
        <v>0.39464025278202508</v>
      </c>
      <c r="AG367" s="880">
        <v>20.295153539761518</v>
      </c>
      <c r="AH367" s="880">
        <v>52</v>
      </c>
      <c r="AI367" s="881">
        <v>0.39029141422618302</v>
      </c>
    </row>
    <row r="368" spans="2:35" x14ac:dyDescent="0.2">
      <c r="B368" s="867">
        <v>78795000</v>
      </c>
      <c r="C368" s="876" t="s">
        <v>1448</v>
      </c>
      <c r="D368" s="877" t="s">
        <v>1448</v>
      </c>
      <c r="E368" s="877" t="s">
        <v>1448</v>
      </c>
      <c r="F368" s="877" t="s">
        <v>1448</v>
      </c>
      <c r="G368" s="877" t="s">
        <v>1448</v>
      </c>
      <c r="H368" s="877" t="s">
        <v>1448</v>
      </c>
      <c r="I368" s="877" t="s">
        <v>1448</v>
      </c>
      <c r="J368" s="878" t="s">
        <v>1448</v>
      </c>
      <c r="K368" s="877"/>
      <c r="L368" s="879">
        <v>0</v>
      </c>
      <c r="M368" s="880">
        <v>176</v>
      </c>
      <c r="N368" s="881">
        <v>0</v>
      </c>
      <c r="O368" s="880">
        <v>0</v>
      </c>
      <c r="P368" s="880">
        <v>185</v>
      </c>
      <c r="Q368" s="881">
        <v>0</v>
      </c>
      <c r="R368" s="880">
        <v>0</v>
      </c>
      <c r="S368" s="880">
        <v>193</v>
      </c>
      <c r="T368" s="881">
        <v>0</v>
      </c>
      <c r="U368" s="880">
        <v>0</v>
      </c>
      <c r="V368" s="880">
        <v>175</v>
      </c>
      <c r="W368" s="881">
        <v>0</v>
      </c>
      <c r="X368" s="880">
        <v>0</v>
      </c>
      <c r="Y368" s="880">
        <v>177</v>
      </c>
      <c r="Z368" s="881">
        <v>0</v>
      </c>
      <c r="AA368" s="880" t="s">
        <v>1450</v>
      </c>
      <c r="AB368" s="880" t="s">
        <v>1450</v>
      </c>
      <c r="AC368" s="881" t="s">
        <v>1450</v>
      </c>
      <c r="AD368" s="880" t="s">
        <v>1450</v>
      </c>
      <c r="AE368" s="880" t="s">
        <v>1450</v>
      </c>
      <c r="AF368" s="881" t="s">
        <v>1450</v>
      </c>
      <c r="AG368" s="880" t="s">
        <v>1450</v>
      </c>
      <c r="AH368" s="880" t="s">
        <v>1450</v>
      </c>
      <c r="AI368" s="881" t="s">
        <v>1450</v>
      </c>
    </row>
    <row r="369" spans="2:35" x14ac:dyDescent="0.2">
      <c r="B369" s="867">
        <v>78799000</v>
      </c>
      <c r="C369" s="876" t="s">
        <v>1447</v>
      </c>
      <c r="D369" s="877" t="s">
        <v>1447</v>
      </c>
      <c r="E369" s="877" t="s">
        <v>1448</v>
      </c>
      <c r="F369" s="877" t="s">
        <v>1448</v>
      </c>
      <c r="G369" s="877" t="s">
        <v>1448</v>
      </c>
      <c r="H369" s="877" t="s">
        <v>1448</v>
      </c>
      <c r="I369" s="877" t="s">
        <v>1448</v>
      </c>
      <c r="J369" s="878" t="s">
        <v>1448</v>
      </c>
      <c r="K369" s="877"/>
      <c r="L369" s="879">
        <v>80</v>
      </c>
      <c r="M369" s="880">
        <v>189</v>
      </c>
      <c r="N369" s="881">
        <v>0.42320000000000002</v>
      </c>
      <c r="O369" s="880">
        <v>56.399656075879953</v>
      </c>
      <c r="P369" s="880">
        <v>210</v>
      </c>
      <c r="Q369" s="881">
        <v>0.26856979083752358</v>
      </c>
      <c r="R369" s="880" t="s">
        <v>1450</v>
      </c>
      <c r="S369" s="880" t="s">
        <v>1450</v>
      </c>
      <c r="T369" s="881" t="s">
        <v>1450</v>
      </c>
      <c r="U369" s="880" t="s">
        <v>1450</v>
      </c>
      <c r="V369" s="880" t="s">
        <v>1450</v>
      </c>
      <c r="W369" s="881" t="s">
        <v>1450</v>
      </c>
      <c r="X369" s="880" t="s">
        <v>1450</v>
      </c>
      <c r="Y369" s="880" t="s">
        <v>1450</v>
      </c>
      <c r="Z369" s="881" t="s">
        <v>1450</v>
      </c>
      <c r="AA369" s="880" t="s">
        <v>1450</v>
      </c>
      <c r="AB369" s="880" t="s">
        <v>1450</v>
      </c>
      <c r="AC369" s="881" t="s">
        <v>1450</v>
      </c>
      <c r="AD369" s="880" t="s">
        <v>1450</v>
      </c>
      <c r="AE369" s="880" t="s">
        <v>1450</v>
      </c>
      <c r="AF369" s="881" t="s">
        <v>1450</v>
      </c>
      <c r="AG369" s="880" t="s">
        <v>1450</v>
      </c>
      <c r="AH369" s="880" t="s">
        <v>1450</v>
      </c>
      <c r="AI369" s="881" t="s">
        <v>1450</v>
      </c>
    </row>
    <row r="370" spans="2:35" x14ac:dyDescent="0.2">
      <c r="B370" s="867">
        <v>78901000</v>
      </c>
      <c r="C370" s="876" t="s">
        <v>1447</v>
      </c>
      <c r="D370" s="877" t="s">
        <v>1447</v>
      </c>
      <c r="E370" s="877" t="s">
        <v>1447</v>
      </c>
      <c r="F370" s="877" t="s">
        <v>1447</v>
      </c>
      <c r="G370" s="877" t="s">
        <v>1447</v>
      </c>
      <c r="H370" s="877" t="s">
        <v>1447</v>
      </c>
      <c r="I370" s="877" t="s">
        <v>1447</v>
      </c>
      <c r="J370" s="878" t="s">
        <v>1447</v>
      </c>
      <c r="K370" s="877"/>
      <c r="L370" s="879">
        <v>112</v>
      </c>
      <c r="M370" s="880">
        <v>345</v>
      </c>
      <c r="N370" s="881">
        <v>0.3251</v>
      </c>
      <c r="O370" s="880">
        <v>111.03682289938865</v>
      </c>
      <c r="P370" s="880">
        <v>319</v>
      </c>
      <c r="Q370" s="881">
        <v>0.34807781473162586</v>
      </c>
      <c r="R370" s="880">
        <v>92.680826610622105</v>
      </c>
      <c r="S370" s="880">
        <v>273</v>
      </c>
      <c r="T370" s="881">
        <v>0.33949020736491614</v>
      </c>
      <c r="U370" s="880">
        <v>121.9831146744412</v>
      </c>
      <c r="V370" s="880">
        <v>299</v>
      </c>
      <c r="W370" s="881">
        <v>0.40797028319211104</v>
      </c>
      <c r="X370" s="880">
        <v>126.33432609519684</v>
      </c>
      <c r="Y370" s="880">
        <v>314</v>
      </c>
      <c r="Z370" s="881">
        <v>0.40233861813756955</v>
      </c>
      <c r="AA370" s="880">
        <v>125.04794248632437</v>
      </c>
      <c r="AB370" s="880">
        <v>336</v>
      </c>
      <c r="AC370" s="881">
        <v>0.37216649549501302</v>
      </c>
      <c r="AD370" s="880">
        <v>121.44906525541157</v>
      </c>
      <c r="AE370" s="880">
        <v>309</v>
      </c>
      <c r="AF370" s="881">
        <v>0.39303904613401802</v>
      </c>
      <c r="AG370" s="880">
        <v>144.04608975781954</v>
      </c>
      <c r="AH370" s="880">
        <v>327</v>
      </c>
      <c r="AI370" s="881">
        <v>0.44050791974868364</v>
      </c>
    </row>
    <row r="371" spans="2:35" x14ac:dyDescent="0.2">
      <c r="B371" s="867">
        <v>78902000</v>
      </c>
      <c r="C371" s="876" t="s">
        <v>1447</v>
      </c>
      <c r="D371" s="877" t="s">
        <v>1447</v>
      </c>
      <c r="E371" s="877" t="s">
        <v>1447</v>
      </c>
      <c r="F371" s="877" t="s">
        <v>1448</v>
      </c>
      <c r="G371" s="877" t="s">
        <v>1448</v>
      </c>
      <c r="H371" s="877" t="s">
        <v>1448</v>
      </c>
      <c r="I371" s="877" t="s">
        <v>1448</v>
      </c>
      <c r="J371" s="878" t="s">
        <v>1448</v>
      </c>
      <c r="K371" s="877"/>
      <c r="L371" s="879">
        <v>23</v>
      </c>
      <c r="M371" s="880">
        <v>117</v>
      </c>
      <c r="N371" s="881">
        <v>0.1963</v>
      </c>
      <c r="O371" s="880">
        <v>33.927918108146535</v>
      </c>
      <c r="P371" s="880">
        <v>144</v>
      </c>
      <c r="Q371" s="881">
        <v>0.23561054241768428</v>
      </c>
      <c r="R371" s="880">
        <v>50.326685417595876</v>
      </c>
      <c r="S371" s="880">
        <v>176</v>
      </c>
      <c r="T371" s="881">
        <v>0.28594707623634019</v>
      </c>
      <c r="U371" s="880" t="s">
        <v>1450</v>
      </c>
      <c r="V371" s="880" t="s">
        <v>1450</v>
      </c>
      <c r="W371" s="881" t="s">
        <v>1450</v>
      </c>
      <c r="X371" s="880" t="s">
        <v>1450</v>
      </c>
      <c r="Y371" s="880" t="s">
        <v>1450</v>
      </c>
      <c r="Z371" s="881" t="s">
        <v>1450</v>
      </c>
      <c r="AA371" s="880" t="s">
        <v>1450</v>
      </c>
      <c r="AB371" s="880" t="s">
        <v>1450</v>
      </c>
      <c r="AC371" s="881" t="s">
        <v>1450</v>
      </c>
      <c r="AD371" s="880" t="s">
        <v>1450</v>
      </c>
      <c r="AE371" s="880" t="s">
        <v>1450</v>
      </c>
      <c r="AF371" s="881" t="s">
        <v>1450</v>
      </c>
      <c r="AG371" s="880" t="s">
        <v>1450</v>
      </c>
      <c r="AH371" s="880" t="s">
        <v>1450</v>
      </c>
      <c r="AI371" s="881" t="s">
        <v>1450</v>
      </c>
    </row>
    <row r="372" spans="2:35" x14ac:dyDescent="0.2">
      <c r="B372" s="867">
        <v>78903000</v>
      </c>
      <c r="C372" s="876" t="s">
        <v>1448</v>
      </c>
      <c r="D372" s="877" t="s">
        <v>1448</v>
      </c>
      <c r="E372" s="877" t="s">
        <v>1448</v>
      </c>
      <c r="F372" s="877" t="s">
        <v>1448</v>
      </c>
      <c r="G372" s="877" t="s">
        <v>1448</v>
      </c>
      <c r="H372" s="877" t="s">
        <v>1448</v>
      </c>
      <c r="I372" s="877" t="s">
        <v>1448</v>
      </c>
      <c r="J372" s="878" t="s">
        <v>1448</v>
      </c>
      <c r="K372" s="877"/>
      <c r="L372" s="879">
        <v>1</v>
      </c>
      <c r="M372" s="880">
        <v>242</v>
      </c>
      <c r="N372" s="881">
        <v>3.2000000000000002E-3</v>
      </c>
      <c r="O372" s="880">
        <v>0.44062231309281213</v>
      </c>
      <c r="P372" s="880">
        <v>177</v>
      </c>
      <c r="Q372" s="881">
        <v>2.4893915993944187E-3</v>
      </c>
      <c r="R372" s="880">
        <v>0</v>
      </c>
      <c r="S372" s="880">
        <v>178</v>
      </c>
      <c r="T372" s="881">
        <v>0</v>
      </c>
      <c r="U372" s="880">
        <v>0</v>
      </c>
      <c r="V372" s="880">
        <v>182</v>
      </c>
      <c r="W372" s="881">
        <v>0</v>
      </c>
      <c r="X372" s="880">
        <v>0</v>
      </c>
      <c r="Y372" s="880">
        <v>166</v>
      </c>
      <c r="Z372" s="881">
        <v>0</v>
      </c>
      <c r="AA372" s="880" t="s">
        <v>1450</v>
      </c>
      <c r="AB372" s="880" t="s">
        <v>1450</v>
      </c>
      <c r="AC372" s="881" t="s">
        <v>1450</v>
      </c>
      <c r="AD372" s="880" t="s">
        <v>1450</v>
      </c>
      <c r="AE372" s="880" t="s">
        <v>1450</v>
      </c>
      <c r="AF372" s="881" t="s">
        <v>1450</v>
      </c>
      <c r="AG372" s="880" t="s">
        <v>1450</v>
      </c>
      <c r="AH372" s="880" t="s">
        <v>1450</v>
      </c>
      <c r="AI372" s="881" t="s">
        <v>1450</v>
      </c>
    </row>
    <row r="373" spans="2:35" x14ac:dyDescent="0.2">
      <c r="B373" s="867">
        <v>78904000</v>
      </c>
      <c r="C373" s="876" t="s">
        <v>1447</v>
      </c>
      <c r="D373" s="877" t="s">
        <v>1447</v>
      </c>
      <c r="E373" s="877" t="s">
        <v>1447</v>
      </c>
      <c r="F373" s="877" t="s">
        <v>1447</v>
      </c>
      <c r="G373" s="877" t="s">
        <v>1447</v>
      </c>
      <c r="H373" s="877" t="s">
        <v>1447</v>
      </c>
      <c r="I373" s="877" t="s">
        <v>1448</v>
      </c>
      <c r="J373" s="878" t="s">
        <v>1448</v>
      </c>
      <c r="K373" s="877"/>
      <c r="L373" s="879">
        <v>31</v>
      </c>
      <c r="M373" s="880">
        <v>116</v>
      </c>
      <c r="N373" s="881">
        <v>0.26519999999999999</v>
      </c>
      <c r="O373" s="880">
        <v>157.74278808722676</v>
      </c>
      <c r="P373" s="880">
        <v>394</v>
      </c>
      <c r="Q373" s="881">
        <v>0.40036240631275827</v>
      </c>
      <c r="R373" s="880">
        <v>166.61403336321433</v>
      </c>
      <c r="S373" s="880">
        <v>368</v>
      </c>
      <c r="T373" s="881">
        <v>0.45275552544351721</v>
      </c>
      <c r="U373" s="880">
        <v>156.0744655004859</v>
      </c>
      <c r="V373" s="880">
        <v>385</v>
      </c>
      <c r="W373" s="881">
        <v>0.40538822207918418</v>
      </c>
      <c r="X373" s="880">
        <v>109.17781267486147</v>
      </c>
      <c r="Y373" s="880">
        <v>266</v>
      </c>
      <c r="Z373" s="881">
        <v>0.41044290479271228</v>
      </c>
      <c r="AA373" s="880">
        <v>41.315399499886908</v>
      </c>
      <c r="AB373" s="880">
        <v>121</v>
      </c>
      <c r="AC373" s="881">
        <v>0.34144958264369346</v>
      </c>
      <c r="AD373" s="880" t="s">
        <v>1450</v>
      </c>
      <c r="AE373" s="880" t="s">
        <v>1450</v>
      </c>
      <c r="AF373" s="881" t="s">
        <v>1450</v>
      </c>
      <c r="AG373" s="880" t="s">
        <v>1450</v>
      </c>
      <c r="AH373" s="880" t="s">
        <v>1450</v>
      </c>
      <c r="AI373" s="881" t="s">
        <v>1450</v>
      </c>
    </row>
    <row r="374" spans="2:35" x14ac:dyDescent="0.2">
      <c r="B374" s="867">
        <v>78905000</v>
      </c>
      <c r="C374" s="876" t="s">
        <v>1448</v>
      </c>
      <c r="D374" s="877" t="s">
        <v>1447</v>
      </c>
      <c r="E374" s="877" t="s">
        <v>1447</v>
      </c>
      <c r="F374" s="877" t="s">
        <v>1447</v>
      </c>
      <c r="G374" s="877" t="s">
        <v>1447</v>
      </c>
      <c r="H374" s="877" t="s">
        <v>1447</v>
      </c>
      <c r="I374" s="877" t="s">
        <v>1447</v>
      </c>
      <c r="J374" s="878" t="s">
        <v>1447</v>
      </c>
      <c r="K374" s="877"/>
      <c r="L374" s="879">
        <v>10</v>
      </c>
      <c r="M374" s="880">
        <v>314</v>
      </c>
      <c r="N374" s="881">
        <v>3.1099999999999999E-2</v>
      </c>
      <c r="O374" s="880">
        <v>81.074505609077434</v>
      </c>
      <c r="P374" s="880">
        <v>373</v>
      </c>
      <c r="Q374" s="881">
        <v>0.21735792388492609</v>
      </c>
      <c r="R374" s="880">
        <v>83.711714357981265</v>
      </c>
      <c r="S374" s="880">
        <v>355</v>
      </c>
      <c r="T374" s="881">
        <v>0.23580764607882046</v>
      </c>
      <c r="U374" s="880">
        <v>112.39492225461613</v>
      </c>
      <c r="V374" s="880">
        <v>404</v>
      </c>
      <c r="W374" s="881">
        <v>0.27820525310548549</v>
      </c>
      <c r="X374" s="880">
        <v>105.53855225236609</v>
      </c>
      <c r="Y374" s="880">
        <v>381</v>
      </c>
      <c r="Z374" s="881">
        <v>0.27700407415319184</v>
      </c>
      <c r="AA374" s="880">
        <v>68.30812717314636</v>
      </c>
      <c r="AB374" s="880">
        <v>354</v>
      </c>
      <c r="AC374" s="881">
        <v>0.19296081122357728</v>
      </c>
      <c r="AD374" s="880">
        <v>90.190023143259225</v>
      </c>
      <c r="AE374" s="880">
        <v>338</v>
      </c>
      <c r="AF374" s="881">
        <v>0.26683438799780834</v>
      </c>
      <c r="AG374" s="880">
        <v>100.98076395393535</v>
      </c>
      <c r="AH374" s="880">
        <v>378</v>
      </c>
      <c r="AI374" s="881">
        <v>0.26714487818501415</v>
      </c>
    </row>
    <row r="375" spans="2:35" x14ac:dyDescent="0.2">
      <c r="B375" s="867">
        <v>78906000</v>
      </c>
      <c r="C375" s="876" t="s">
        <v>1448</v>
      </c>
      <c r="D375" s="877" t="s">
        <v>1448</v>
      </c>
      <c r="E375" s="877" t="s">
        <v>1448</v>
      </c>
      <c r="F375" s="877" t="s">
        <v>1448</v>
      </c>
      <c r="G375" s="877" t="s">
        <v>1448</v>
      </c>
      <c r="H375" s="877" t="s">
        <v>1448</v>
      </c>
      <c r="I375" s="877" t="s">
        <v>1448</v>
      </c>
      <c r="J375" s="878" t="s">
        <v>1448</v>
      </c>
      <c r="K375" s="877"/>
      <c r="L375" s="879">
        <v>0</v>
      </c>
      <c r="M375" s="880">
        <v>179</v>
      </c>
      <c r="N375" s="881">
        <v>0</v>
      </c>
      <c r="O375" s="880">
        <v>2.2031115654640607</v>
      </c>
      <c r="P375" s="880">
        <v>225</v>
      </c>
      <c r="Q375" s="881">
        <v>9.7916069576180469E-3</v>
      </c>
      <c r="R375" s="880">
        <v>0</v>
      </c>
      <c r="S375" s="880">
        <v>232</v>
      </c>
      <c r="T375" s="881">
        <v>0</v>
      </c>
      <c r="U375" s="880">
        <v>0</v>
      </c>
      <c r="V375" s="880">
        <v>227</v>
      </c>
      <c r="W375" s="881">
        <v>0</v>
      </c>
      <c r="X375" s="880">
        <v>0</v>
      </c>
      <c r="Y375" s="880">
        <v>235</v>
      </c>
      <c r="Z375" s="881">
        <v>0</v>
      </c>
      <c r="AA375" s="880" t="s">
        <v>1450</v>
      </c>
      <c r="AB375" s="880" t="s">
        <v>1450</v>
      </c>
      <c r="AC375" s="881" t="s">
        <v>1450</v>
      </c>
      <c r="AD375" s="880" t="s">
        <v>1450</v>
      </c>
      <c r="AE375" s="880" t="s">
        <v>1450</v>
      </c>
      <c r="AF375" s="881" t="s">
        <v>1450</v>
      </c>
      <c r="AG375" s="880">
        <v>35.145265885928481</v>
      </c>
      <c r="AH375" s="880">
        <v>255</v>
      </c>
      <c r="AI375" s="881">
        <v>0.13782457210168031</v>
      </c>
    </row>
    <row r="376" spans="2:35" x14ac:dyDescent="0.2">
      <c r="B376" s="867">
        <v>78907000</v>
      </c>
      <c r="C376" s="876" t="s">
        <v>1447</v>
      </c>
      <c r="D376" s="877" t="s">
        <v>1447</v>
      </c>
      <c r="E376" s="877" t="s">
        <v>1447</v>
      </c>
      <c r="F376" s="877" t="s">
        <v>1447</v>
      </c>
      <c r="G376" s="877" t="s">
        <v>1447</v>
      </c>
      <c r="H376" s="877" t="s">
        <v>1447</v>
      </c>
      <c r="I376" s="877" t="s">
        <v>1447</v>
      </c>
      <c r="J376" s="878" t="s">
        <v>1447</v>
      </c>
      <c r="K376" s="877"/>
      <c r="L376" s="879">
        <v>228</v>
      </c>
      <c r="M376" s="880">
        <v>846</v>
      </c>
      <c r="N376" s="881">
        <v>0.26900000000000002</v>
      </c>
      <c r="O376" s="880">
        <v>305.3512629733188</v>
      </c>
      <c r="P376" s="880">
        <v>1110</v>
      </c>
      <c r="Q376" s="881">
        <v>0.27509122790389079</v>
      </c>
      <c r="R376" s="880">
        <v>362.7507622179188</v>
      </c>
      <c r="S376" s="880">
        <v>1144</v>
      </c>
      <c r="T376" s="881">
        <v>0.31708982711356537</v>
      </c>
      <c r="U376" s="880">
        <v>352.6324101068999</v>
      </c>
      <c r="V376" s="880">
        <v>919</v>
      </c>
      <c r="W376" s="881">
        <v>0.38371317748302491</v>
      </c>
      <c r="X376" s="880">
        <v>410.19663904983668</v>
      </c>
      <c r="Y376" s="880">
        <v>1037</v>
      </c>
      <c r="Z376" s="881">
        <v>0.39556088625828029</v>
      </c>
      <c r="AA376" s="880">
        <v>506.25136187194761</v>
      </c>
      <c r="AB376" s="880">
        <v>1162</v>
      </c>
      <c r="AC376" s="881">
        <v>0.43567242846122856</v>
      </c>
      <c r="AD376" s="880">
        <v>461.71142529588957</v>
      </c>
      <c r="AE376" s="880">
        <v>1134</v>
      </c>
      <c r="AF376" s="881">
        <v>0.40715293235969097</v>
      </c>
      <c r="AG376" s="880">
        <v>486.58868120940417</v>
      </c>
      <c r="AH376" s="880">
        <v>1184</v>
      </c>
      <c r="AI376" s="881">
        <v>0.41097016994037516</v>
      </c>
    </row>
    <row r="377" spans="2:35" x14ac:dyDescent="0.2">
      <c r="B377" s="867">
        <v>78909000</v>
      </c>
      <c r="C377" s="876" t="s">
        <v>1448</v>
      </c>
      <c r="D377" s="877" t="s">
        <v>1447</v>
      </c>
      <c r="E377" s="877" t="s">
        <v>1447</v>
      </c>
      <c r="F377" s="877" t="s">
        <v>1447</v>
      </c>
      <c r="G377" s="877" t="s">
        <v>1447</v>
      </c>
      <c r="H377" s="877" t="s">
        <v>1447</v>
      </c>
      <c r="I377" s="877" t="s">
        <v>1447</v>
      </c>
      <c r="J377" s="878" t="s">
        <v>1447</v>
      </c>
      <c r="K377" s="877"/>
      <c r="L377" s="879">
        <v>61</v>
      </c>
      <c r="M377" s="880">
        <v>431</v>
      </c>
      <c r="N377" s="881">
        <v>0.1421</v>
      </c>
      <c r="O377" s="880">
        <v>96.055664254233051</v>
      </c>
      <c r="P377" s="880">
        <v>560</v>
      </c>
      <c r="Q377" s="881">
        <v>0.17152797188255903</v>
      </c>
      <c r="R377" s="880">
        <v>111.53553778457643</v>
      </c>
      <c r="S377" s="880">
        <v>575</v>
      </c>
      <c r="T377" s="881">
        <v>0.19397484832100248</v>
      </c>
      <c r="U377" s="880">
        <v>182.70833333333334</v>
      </c>
      <c r="V377" s="880">
        <v>728</v>
      </c>
      <c r="W377" s="881">
        <v>0.25097298534798534</v>
      </c>
      <c r="X377" s="880">
        <v>252.14875784432292</v>
      </c>
      <c r="Y377" s="880">
        <v>865</v>
      </c>
      <c r="Z377" s="881">
        <v>0.29150145415528661</v>
      </c>
      <c r="AA377" s="880">
        <v>285.35169254588561</v>
      </c>
      <c r="AB377" s="880">
        <v>905</v>
      </c>
      <c r="AC377" s="881">
        <v>0.3153057376197631</v>
      </c>
      <c r="AD377" s="880">
        <v>191.65379917942585</v>
      </c>
      <c r="AE377" s="880">
        <v>763</v>
      </c>
      <c r="AF377" s="881">
        <v>0.25118453365586613</v>
      </c>
      <c r="AG377" s="880">
        <v>157.90619461424205</v>
      </c>
      <c r="AH377" s="880">
        <v>710</v>
      </c>
      <c r="AI377" s="881">
        <v>0.22240309100597472</v>
      </c>
    </row>
    <row r="378" spans="2:35" x14ac:dyDescent="0.2">
      <c r="B378" s="867">
        <v>78911000</v>
      </c>
      <c r="C378" s="876" t="s">
        <v>1448</v>
      </c>
      <c r="D378" s="877" t="s">
        <v>1448</v>
      </c>
      <c r="E378" s="877" t="s">
        <v>1447</v>
      </c>
      <c r="F378" s="877" t="s">
        <v>1447</v>
      </c>
      <c r="G378" s="877" t="s">
        <v>1447</v>
      </c>
      <c r="H378" s="877" t="s">
        <v>1447</v>
      </c>
      <c r="I378" s="877" t="s">
        <v>1447</v>
      </c>
      <c r="J378" s="878" t="s">
        <v>1447</v>
      </c>
      <c r="K378" s="877"/>
      <c r="L378" s="879">
        <v>20</v>
      </c>
      <c r="M378" s="880">
        <v>275</v>
      </c>
      <c r="N378" s="881">
        <v>7.2800000000000004E-2</v>
      </c>
      <c r="O378" s="880">
        <v>45.824720561652462</v>
      </c>
      <c r="P378" s="880">
        <v>317</v>
      </c>
      <c r="Q378" s="881">
        <v>0.14455747811246833</v>
      </c>
      <c r="R378" s="880">
        <v>53.316389501809496</v>
      </c>
      <c r="S378" s="880">
        <v>321</v>
      </c>
      <c r="T378" s="881">
        <v>0.16609467134520092</v>
      </c>
      <c r="U378" s="880">
        <v>83.630344995140916</v>
      </c>
      <c r="V378" s="880">
        <v>374</v>
      </c>
      <c r="W378" s="881">
        <v>0.22361054811535006</v>
      </c>
      <c r="X378" s="880">
        <v>120.09559394234762</v>
      </c>
      <c r="Y378" s="880">
        <v>388</v>
      </c>
      <c r="Z378" s="881">
        <v>0.3095247266555351</v>
      </c>
      <c r="AA378" s="880">
        <v>125.5988144796562</v>
      </c>
      <c r="AB378" s="880">
        <v>455</v>
      </c>
      <c r="AC378" s="881">
        <v>0.27604135050473888</v>
      </c>
      <c r="AD378" s="880">
        <v>149.63344748768009</v>
      </c>
      <c r="AE378" s="880">
        <v>474</v>
      </c>
      <c r="AF378" s="881">
        <v>0.31568237866599175</v>
      </c>
      <c r="AG378" s="880">
        <v>101.97077144367982</v>
      </c>
      <c r="AH378" s="880">
        <v>287</v>
      </c>
      <c r="AI378" s="881">
        <v>0.35529885520445931</v>
      </c>
    </row>
    <row r="379" spans="2:35" x14ac:dyDescent="0.2">
      <c r="B379" s="867">
        <v>78912000</v>
      </c>
      <c r="C379" s="876" t="s">
        <v>1448</v>
      </c>
      <c r="D379" s="877" t="s">
        <v>1448</v>
      </c>
      <c r="E379" s="877" t="s">
        <v>1448</v>
      </c>
      <c r="F379" s="877" t="s">
        <v>1448</v>
      </c>
      <c r="G379" s="877" t="s">
        <v>1448</v>
      </c>
      <c r="H379" s="877" t="s">
        <v>1448</v>
      </c>
      <c r="I379" s="877" t="s">
        <v>1448</v>
      </c>
      <c r="J379" s="878" t="s">
        <v>1448</v>
      </c>
      <c r="K379" s="877"/>
      <c r="L379" s="879">
        <v>113</v>
      </c>
      <c r="M379" s="880">
        <v>1348</v>
      </c>
      <c r="N379" s="881">
        <v>8.3799999999999999E-2</v>
      </c>
      <c r="O379" s="880">
        <v>0.88124462618562427</v>
      </c>
      <c r="P379" s="880">
        <v>1487</v>
      </c>
      <c r="Q379" s="881">
        <v>5.9263256636558459E-4</v>
      </c>
      <c r="R379" s="880">
        <v>183.36851716510182</v>
      </c>
      <c r="S379" s="880">
        <v>1557</v>
      </c>
      <c r="T379" s="881">
        <v>0.1177704028035336</v>
      </c>
      <c r="U379" s="880">
        <v>235.97606899902817</v>
      </c>
      <c r="V379" s="880">
        <v>1691</v>
      </c>
      <c r="W379" s="881">
        <v>0.13954823713721359</v>
      </c>
      <c r="X379" s="880">
        <v>240.71108223076601</v>
      </c>
      <c r="Y379" s="880">
        <v>1787</v>
      </c>
      <c r="Z379" s="881">
        <v>0.13470122116998656</v>
      </c>
      <c r="AA379" s="880">
        <v>246.23978101932599</v>
      </c>
      <c r="AB379" s="880">
        <v>1896</v>
      </c>
      <c r="AC379" s="881">
        <v>0.1298733022253829</v>
      </c>
      <c r="AD379" s="880">
        <v>237.77369737768342</v>
      </c>
      <c r="AE379" s="880">
        <v>1951</v>
      </c>
      <c r="AF379" s="881">
        <v>0.12187273058825393</v>
      </c>
      <c r="AG379" s="880">
        <v>235.12677881431026</v>
      </c>
      <c r="AH379" s="880">
        <v>1940</v>
      </c>
      <c r="AI379" s="881">
        <v>0.12119937052284034</v>
      </c>
    </row>
    <row r="380" spans="2:35" x14ac:dyDescent="0.2">
      <c r="B380" s="867">
        <v>78914000</v>
      </c>
      <c r="C380" s="876" t="s">
        <v>1447</v>
      </c>
      <c r="D380" s="877" t="s">
        <v>1447</v>
      </c>
      <c r="E380" s="877" t="s">
        <v>1448</v>
      </c>
      <c r="F380" s="877" t="s">
        <v>1447</v>
      </c>
      <c r="G380" s="877" t="s">
        <v>1447</v>
      </c>
      <c r="H380" s="877" t="s">
        <v>1447</v>
      </c>
      <c r="I380" s="877" t="s">
        <v>1447</v>
      </c>
      <c r="J380" s="878" t="s">
        <v>1447</v>
      </c>
      <c r="K380" s="877"/>
      <c r="L380" s="879">
        <v>111</v>
      </c>
      <c r="M380" s="880">
        <v>438</v>
      </c>
      <c r="N380" s="881">
        <v>0.25330000000000003</v>
      </c>
      <c r="O380" s="880">
        <v>40.977875117631527</v>
      </c>
      <c r="P380" s="880">
        <v>235</v>
      </c>
      <c r="Q380" s="881">
        <v>0.17437393667077244</v>
      </c>
      <c r="R380" s="880">
        <v>16.941656477210493</v>
      </c>
      <c r="S380" s="880">
        <v>181</v>
      </c>
      <c r="T380" s="881">
        <v>9.3600312028787255E-2</v>
      </c>
      <c r="U380" s="880">
        <v>43.146865889212826</v>
      </c>
      <c r="V380" s="880">
        <v>142</v>
      </c>
      <c r="W380" s="881">
        <v>0.30385116823389313</v>
      </c>
      <c r="X380" s="880">
        <v>53.549117645289193</v>
      </c>
      <c r="Y380" s="880">
        <v>133</v>
      </c>
      <c r="Z380" s="881">
        <v>0.40262494470142252</v>
      </c>
      <c r="AA380" s="880">
        <v>69.40987115981001</v>
      </c>
      <c r="AB380" s="880">
        <v>124</v>
      </c>
      <c r="AC380" s="881">
        <v>0.55975702548233874</v>
      </c>
      <c r="AD380" s="880">
        <v>58.930981031106882</v>
      </c>
      <c r="AE380" s="880">
        <v>146</v>
      </c>
      <c r="AF380" s="881">
        <v>0.4036368563774444</v>
      </c>
      <c r="AG380" s="880">
        <v>36.63027712054518</v>
      </c>
      <c r="AH380" s="880">
        <v>94</v>
      </c>
      <c r="AI380" s="881">
        <v>0.38968379915473594</v>
      </c>
    </row>
    <row r="381" spans="2:35" x14ac:dyDescent="0.2">
      <c r="B381" s="867">
        <v>78915000</v>
      </c>
      <c r="C381" s="876" t="s">
        <v>1447</v>
      </c>
      <c r="D381" s="877" t="s">
        <v>1447</v>
      </c>
      <c r="E381" s="877" t="s">
        <v>1447</v>
      </c>
      <c r="F381" s="877" t="s">
        <v>1447</v>
      </c>
      <c r="G381" s="877" t="s">
        <v>1447</v>
      </c>
      <c r="H381" s="877" t="s">
        <v>1447</v>
      </c>
      <c r="I381" s="877" t="s">
        <v>1447</v>
      </c>
      <c r="J381" s="878" t="s">
        <v>1447</v>
      </c>
      <c r="K381" s="877"/>
      <c r="L381" s="879">
        <v>236</v>
      </c>
      <c r="M381" s="880">
        <v>749</v>
      </c>
      <c r="N381" s="881">
        <v>0.3155</v>
      </c>
      <c r="O381" s="880">
        <v>231.76733668681919</v>
      </c>
      <c r="P381" s="880">
        <v>825</v>
      </c>
      <c r="Q381" s="881">
        <v>0.28093010507493238</v>
      </c>
      <c r="R381" s="880">
        <v>264.63894184462015</v>
      </c>
      <c r="S381" s="880">
        <v>833</v>
      </c>
      <c r="T381" s="881">
        <v>0.31769380773663886</v>
      </c>
      <c r="U381" s="880">
        <v>418.68440233236151</v>
      </c>
      <c r="V381" s="880">
        <v>847</v>
      </c>
      <c r="W381" s="881">
        <v>0.49431452459546815</v>
      </c>
      <c r="X381" s="880">
        <v>397.19928039806746</v>
      </c>
      <c r="Y381" s="880">
        <v>846</v>
      </c>
      <c r="Z381" s="881">
        <v>0.46950269550598989</v>
      </c>
      <c r="AA381" s="880">
        <v>511.20920981193404</v>
      </c>
      <c r="AB381" s="880">
        <v>1041</v>
      </c>
      <c r="AC381" s="881">
        <v>0.49107512950233817</v>
      </c>
      <c r="AD381" s="880">
        <v>423.79062011065554</v>
      </c>
      <c r="AE381" s="880">
        <v>968</v>
      </c>
      <c r="AF381" s="881">
        <v>0.43780022738704083</v>
      </c>
      <c r="AG381" s="880">
        <v>407.38808202984706</v>
      </c>
      <c r="AH381" s="880">
        <v>877</v>
      </c>
      <c r="AI381" s="881">
        <v>0.4645246089279898</v>
      </c>
    </row>
    <row r="382" spans="2:35" x14ac:dyDescent="0.2">
      <c r="B382" s="867">
        <v>78916000</v>
      </c>
      <c r="C382" s="876" t="s">
        <v>1447</v>
      </c>
      <c r="D382" s="877" t="s">
        <v>1447</v>
      </c>
      <c r="E382" s="877" t="s">
        <v>1447</v>
      </c>
      <c r="F382" s="877" t="s">
        <v>1447</v>
      </c>
      <c r="G382" s="877" t="s">
        <v>1447</v>
      </c>
      <c r="H382" s="877" t="s">
        <v>1448</v>
      </c>
      <c r="I382" s="877" t="s">
        <v>1448</v>
      </c>
      <c r="J382" s="878" t="s">
        <v>1448</v>
      </c>
      <c r="K382" s="877"/>
      <c r="L382" s="879">
        <v>48</v>
      </c>
      <c r="M382" s="880">
        <v>170</v>
      </c>
      <c r="N382" s="881">
        <v>0.28420000000000001</v>
      </c>
      <c r="O382" s="880">
        <v>38.334141239074654</v>
      </c>
      <c r="P382" s="880">
        <v>123</v>
      </c>
      <c r="Q382" s="881">
        <v>0.31165968487052564</v>
      </c>
      <c r="R382" s="880">
        <v>61.288933726379135</v>
      </c>
      <c r="S382" s="880">
        <v>267</v>
      </c>
      <c r="T382" s="881">
        <v>0.22954656826359227</v>
      </c>
      <c r="U382" s="880">
        <v>120.38508260447036</v>
      </c>
      <c r="V382" s="880">
        <v>258</v>
      </c>
      <c r="W382" s="881">
        <v>0.46660884730414864</v>
      </c>
      <c r="X382" s="880">
        <v>112.81707309735685</v>
      </c>
      <c r="Y382" s="880">
        <v>250</v>
      </c>
      <c r="Z382" s="881">
        <v>0.45126829238942739</v>
      </c>
      <c r="AA382" s="880" t="s">
        <v>1450</v>
      </c>
      <c r="AB382" s="880" t="s">
        <v>1450</v>
      </c>
      <c r="AC382" s="881" t="s">
        <v>1450</v>
      </c>
      <c r="AD382" s="880" t="s">
        <v>1450</v>
      </c>
      <c r="AE382" s="880" t="s">
        <v>1450</v>
      </c>
      <c r="AF382" s="881" t="s">
        <v>1450</v>
      </c>
      <c r="AG382" s="880" t="s">
        <v>1450</v>
      </c>
      <c r="AH382" s="880" t="s">
        <v>1450</v>
      </c>
      <c r="AI382" s="881" t="s">
        <v>1450</v>
      </c>
    </row>
    <row r="383" spans="2:35" x14ac:dyDescent="0.2">
      <c r="B383" s="867">
        <v>78917000</v>
      </c>
      <c r="C383" s="876" t="s">
        <v>1447</v>
      </c>
      <c r="D383" s="877" t="s">
        <v>1447</v>
      </c>
      <c r="E383" s="877" t="s">
        <v>1447</v>
      </c>
      <c r="F383" s="877" t="s">
        <v>1447</v>
      </c>
      <c r="G383" s="877" t="s">
        <v>1447</v>
      </c>
      <c r="H383" s="877" t="s">
        <v>1447</v>
      </c>
      <c r="I383" s="877" t="s">
        <v>1447</v>
      </c>
      <c r="J383" s="878" t="s">
        <v>1447</v>
      </c>
      <c r="K383" s="877"/>
      <c r="L383" s="879">
        <v>57</v>
      </c>
      <c r="M383" s="880">
        <v>190</v>
      </c>
      <c r="N383" s="881">
        <v>0.30020000000000002</v>
      </c>
      <c r="O383" s="880">
        <v>61.687123832993699</v>
      </c>
      <c r="P383" s="880">
        <v>199</v>
      </c>
      <c r="Q383" s="881">
        <v>0.30998554689946584</v>
      </c>
      <c r="R383" s="880">
        <v>59.794081684272328</v>
      </c>
      <c r="S383" s="880">
        <v>193</v>
      </c>
      <c r="T383" s="881">
        <v>0.30981389473716231</v>
      </c>
      <c r="U383" s="880">
        <v>99.610665694849374</v>
      </c>
      <c r="V383" s="880">
        <v>208</v>
      </c>
      <c r="W383" s="881">
        <v>0.47889743122523737</v>
      </c>
      <c r="X383" s="880">
        <v>117.7201416622711</v>
      </c>
      <c r="Y383" s="880">
        <v>218</v>
      </c>
      <c r="Z383" s="881">
        <v>0.54000064982693163</v>
      </c>
      <c r="AA383" s="880">
        <v>106.86916670637414</v>
      </c>
      <c r="AB383" s="880">
        <v>286</v>
      </c>
      <c r="AC383" s="881">
        <v>0.37366841505725223</v>
      </c>
      <c r="AD383" s="880">
        <v>104.02599260273649</v>
      </c>
      <c r="AE383" s="880">
        <v>298</v>
      </c>
      <c r="AF383" s="881">
        <v>0.3490805120897198</v>
      </c>
      <c r="AG383" s="880">
        <v>131.17599239114151</v>
      </c>
      <c r="AH383" s="880">
        <v>540</v>
      </c>
      <c r="AI383" s="881">
        <v>0.24291850442803983</v>
      </c>
    </row>
    <row r="384" spans="2:35" x14ac:dyDescent="0.2">
      <c r="B384" s="867">
        <v>78921000</v>
      </c>
      <c r="C384" s="876" t="s">
        <v>1448</v>
      </c>
      <c r="D384" s="877" t="s">
        <v>1448</v>
      </c>
      <c r="E384" s="877" t="s">
        <v>1448</v>
      </c>
      <c r="F384" s="877" t="s">
        <v>1448</v>
      </c>
      <c r="G384" s="877" t="s">
        <v>1448</v>
      </c>
      <c r="H384" s="877" t="s">
        <v>1448</v>
      </c>
      <c r="I384" s="877" t="s">
        <v>1448</v>
      </c>
      <c r="J384" s="878" t="s">
        <v>1448</v>
      </c>
      <c r="K384" s="877"/>
      <c r="L384" s="879">
        <v>34</v>
      </c>
      <c r="M384" s="880">
        <v>346</v>
      </c>
      <c r="N384" s="881">
        <v>9.8699999999999996E-2</v>
      </c>
      <c r="O384" s="880">
        <v>46.265342874745272</v>
      </c>
      <c r="P384" s="880">
        <v>501</v>
      </c>
      <c r="Q384" s="881">
        <v>9.2345993761966616E-2</v>
      </c>
      <c r="R384" s="880">
        <v>49.330117389524673</v>
      </c>
      <c r="S384" s="880">
        <v>480</v>
      </c>
      <c r="T384" s="881">
        <v>0.10277107789484306</v>
      </c>
      <c r="U384" s="880">
        <v>23.437803692905732</v>
      </c>
      <c r="V384" s="880">
        <v>453</v>
      </c>
      <c r="W384" s="881">
        <v>5.1739080999791902E-2</v>
      </c>
      <c r="X384" s="880">
        <v>12.997358651769222</v>
      </c>
      <c r="Y384" s="880">
        <v>423</v>
      </c>
      <c r="Z384" s="881">
        <v>3.0726616198035985E-2</v>
      </c>
      <c r="AA384" s="880" t="s">
        <v>1450</v>
      </c>
      <c r="AB384" s="880" t="s">
        <v>1450</v>
      </c>
      <c r="AC384" s="881" t="s">
        <v>1450</v>
      </c>
      <c r="AD384" s="880" t="s">
        <v>1450</v>
      </c>
      <c r="AE384" s="880" t="s">
        <v>1450</v>
      </c>
      <c r="AF384" s="881" t="s">
        <v>1450</v>
      </c>
      <c r="AG384" s="880" t="s">
        <v>1450</v>
      </c>
      <c r="AH384" s="880" t="s">
        <v>1450</v>
      </c>
      <c r="AI384" s="881" t="s">
        <v>1450</v>
      </c>
    </row>
    <row r="385" spans="2:35" x14ac:dyDescent="0.2">
      <c r="B385" s="867">
        <v>78922000</v>
      </c>
      <c r="C385" s="876" t="s">
        <v>1448</v>
      </c>
      <c r="D385" s="877" t="s">
        <v>1448</v>
      </c>
      <c r="E385" s="877" t="s">
        <v>1448</v>
      </c>
      <c r="F385" s="877" t="s">
        <v>1448</v>
      </c>
      <c r="G385" s="877" t="s">
        <v>1447</v>
      </c>
      <c r="H385" s="877" t="s">
        <v>1448</v>
      </c>
      <c r="I385" s="877" t="s">
        <v>1448</v>
      </c>
      <c r="J385" s="878" t="s">
        <v>1448</v>
      </c>
      <c r="K385" s="877"/>
      <c r="L385" s="879">
        <v>0</v>
      </c>
      <c r="M385" s="880">
        <v>451</v>
      </c>
      <c r="N385" s="881">
        <v>0</v>
      </c>
      <c r="O385" s="880">
        <v>0.44062231309281213</v>
      </c>
      <c r="P385" s="880">
        <v>91</v>
      </c>
      <c r="Q385" s="881">
        <v>4.8420034405803536E-3</v>
      </c>
      <c r="R385" s="880">
        <v>0</v>
      </c>
      <c r="S385" s="880">
        <v>71</v>
      </c>
      <c r="T385" s="881">
        <v>0</v>
      </c>
      <c r="U385" s="880">
        <v>0</v>
      </c>
      <c r="V385" s="880">
        <v>65</v>
      </c>
      <c r="W385" s="881">
        <v>0</v>
      </c>
      <c r="X385" s="880">
        <v>27.034505995679982</v>
      </c>
      <c r="Y385" s="880">
        <v>59</v>
      </c>
      <c r="Z385" s="881">
        <v>0.45821196602847425</v>
      </c>
      <c r="AA385" s="880" t="s">
        <v>1450</v>
      </c>
      <c r="AB385" s="880" t="s">
        <v>1450</v>
      </c>
      <c r="AC385" s="881" t="s">
        <v>1450</v>
      </c>
      <c r="AD385" s="880" t="s">
        <v>1450</v>
      </c>
      <c r="AE385" s="880" t="s">
        <v>1450</v>
      </c>
      <c r="AF385" s="881" t="s">
        <v>1450</v>
      </c>
      <c r="AG385" s="880" t="s">
        <v>1450</v>
      </c>
      <c r="AH385" s="880" t="s">
        <v>1450</v>
      </c>
      <c r="AI385" s="881" t="s">
        <v>1450</v>
      </c>
    </row>
    <row r="386" spans="2:35" x14ac:dyDescent="0.2">
      <c r="B386" s="867">
        <v>78923000</v>
      </c>
      <c r="C386" s="876" t="s">
        <v>1447</v>
      </c>
      <c r="D386" s="877" t="s">
        <v>1447</v>
      </c>
      <c r="E386" s="877" t="s">
        <v>1448</v>
      </c>
      <c r="F386" s="877" t="s">
        <v>1448</v>
      </c>
      <c r="G386" s="877" t="s">
        <v>1448</v>
      </c>
      <c r="H386" s="877" t="s">
        <v>1448</v>
      </c>
      <c r="I386" s="877" t="s">
        <v>1448</v>
      </c>
      <c r="J386" s="878" t="s">
        <v>1448</v>
      </c>
      <c r="K386" s="877"/>
      <c r="L386" s="879">
        <v>29</v>
      </c>
      <c r="M386" s="880">
        <v>96</v>
      </c>
      <c r="N386" s="881">
        <v>0.30659999999999998</v>
      </c>
      <c r="O386" s="880">
        <v>22.912360280826231</v>
      </c>
      <c r="P386" s="880">
        <v>58</v>
      </c>
      <c r="Q386" s="881">
        <v>0.39504069449700396</v>
      </c>
      <c r="R386" s="880" t="s">
        <v>1450</v>
      </c>
      <c r="S386" s="880" t="s">
        <v>1450</v>
      </c>
      <c r="T386" s="881" t="s">
        <v>1450</v>
      </c>
      <c r="U386" s="880" t="s">
        <v>1450</v>
      </c>
      <c r="V386" s="880" t="s">
        <v>1450</v>
      </c>
      <c r="W386" s="881" t="s">
        <v>1450</v>
      </c>
      <c r="X386" s="880" t="s">
        <v>1450</v>
      </c>
      <c r="Y386" s="880" t="s">
        <v>1450</v>
      </c>
      <c r="Z386" s="881" t="s">
        <v>1450</v>
      </c>
      <c r="AA386" s="880" t="s">
        <v>1450</v>
      </c>
      <c r="AB386" s="880" t="s">
        <v>1450</v>
      </c>
      <c r="AC386" s="881" t="s">
        <v>1450</v>
      </c>
      <c r="AD386" s="880" t="s">
        <v>1450</v>
      </c>
      <c r="AE386" s="880" t="s">
        <v>1450</v>
      </c>
      <c r="AF386" s="881" t="s">
        <v>1450</v>
      </c>
      <c r="AG386" s="880" t="s">
        <v>1450</v>
      </c>
      <c r="AH386" s="880" t="s">
        <v>1450</v>
      </c>
      <c r="AI386" s="881" t="s">
        <v>1450</v>
      </c>
    </row>
    <row r="387" spans="2:35" x14ac:dyDescent="0.2">
      <c r="B387" s="867">
        <v>78924000</v>
      </c>
      <c r="C387" s="876" t="s">
        <v>1447</v>
      </c>
      <c r="D387" s="877" t="s">
        <v>1447</v>
      </c>
      <c r="E387" s="877" t="s">
        <v>1447</v>
      </c>
      <c r="F387" s="877" t="s">
        <v>1447</v>
      </c>
      <c r="G387" s="877" t="s">
        <v>1447</v>
      </c>
      <c r="H387" s="877" t="s">
        <v>1447</v>
      </c>
      <c r="I387" s="877" t="s">
        <v>1447</v>
      </c>
      <c r="J387" s="878" t="s">
        <v>1447</v>
      </c>
      <c r="K387" s="877"/>
      <c r="L387" s="879">
        <v>135</v>
      </c>
      <c r="M387" s="880">
        <v>400</v>
      </c>
      <c r="N387" s="881">
        <v>0.33800000000000002</v>
      </c>
      <c r="O387" s="880">
        <v>164.79274509671174</v>
      </c>
      <c r="P387" s="880">
        <v>464</v>
      </c>
      <c r="Q387" s="881">
        <v>0.35515677822567188</v>
      </c>
      <c r="R387" s="880">
        <v>215.75697807741599</v>
      </c>
      <c r="S387" s="880">
        <v>591</v>
      </c>
      <c r="T387" s="881">
        <v>0.36507102889579696</v>
      </c>
      <c r="U387" s="880">
        <v>242.9008746355685</v>
      </c>
      <c r="V387" s="880">
        <v>589</v>
      </c>
      <c r="W387" s="881">
        <v>0.41239537289570205</v>
      </c>
      <c r="X387" s="880">
        <v>232.3927726936337</v>
      </c>
      <c r="Y387" s="880">
        <v>642</v>
      </c>
      <c r="Z387" s="881">
        <v>0.36198251198385312</v>
      </c>
      <c r="AA387" s="880">
        <v>305.1830843058313</v>
      </c>
      <c r="AB387" s="880">
        <v>684</v>
      </c>
      <c r="AC387" s="881">
        <v>0.44617409986232648</v>
      </c>
      <c r="AD387" s="880">
        <v>285.4309255158829</v>
      </c>
      <c r="AE387" s="880">
        <v>714</v>
      </c>
      <c r="AF387" s="881">
        <v>0.39976320100263713</v>
      </c>
      <c r="AG387" s="880">
        <v>287.10217202589462</v>
      </c>
      <c r="AH387" s="880">
        <v>743</v>
      </c>
      <c r="AI387" s="881">
        <v>0.38640938361493221</v>
      </c>
    </row>
    <row r="388" spans="2:35" x14ac:dyDescent="0.2">
      <c r="B388" s="867">
        <v>78925000</v>
      </c>
      <c r="C388" s="876" t="s">
        <v>1448</v>
      </c>
      <c r="D388" s="877" t="s">
        <v>1448</v>
      </c>
      <c r="E388" s="877" t="s">
        <v>1448</v>
      </c>
      <c r="F388" s="877" t="s">
        <v>1447</v>
      </c>
      <c r="G388" s="877" t="s">
        <v>1447</v>
      </c>
      <c r="H388" s="877" t="s">
        <v>1448</v>
      </c>
      <c r="I388" s="877" t="s">
        <v>1448</v>
      </c>
      <c r="J388" s="878" t="s">
        <v>1448</v>
      </c>
      <c r="K388" s="877"/>
      <c r="L388" s="879">
        <v>33</v>
      </c>
      <c r="M388" s="880">
        <v>1144</v>
      </c>
      <c r="N388" s="881">
        <v>2.9100000000000001E-2</v>
      </c>
      <c r="O388" s="880">
        <v>138.79602862423582</v>
      </c>
      <c r="P388" s="880">
        <v>1250</v>
      </c>
      <c r="Q388" s="881">
        <v>0.11103682289938865</v>
      </c>
      <c r="R388" s="880">
        <v>165.9285766738557</v>
      </c>
      <c r="S388" s="880">
        <v>1403</v>
      </c>
      <c r="T388" s="881">
        <v>0.11826698266133692</v>
      </c>
      <c r="U388" s="880">
        <v>232.24732750242953</v>
      </c>
      <c r="V388" s="880">
        <v>1490</v>
      </c>
      <c r="W388" s="881">
        <v>0.15587068959894598</v>
      </c>
      <c r="X388" s="880">
        <v>289.06125641534749</v>
      </c>
      <c r="Y388" s="880">
        <v>1608</v>
      </c>
      <c r="Z388" s="881">
        <v>0.17976446294486784</v>
      </c>
      <c r="AA388" s="880" t="s">
        <v>1450</v>
      </c>
      <c r="AB388" s="880" t="s">
        <v>1450</v>
      </c>
      <c r="AC388" s="881" t="s">
        <v>1450</v>
      </c>
      <c r="AD388" s="880" t="s">
        <v>1450</v>
      </c>
      <c r="AE388" s="880" t="s">
        <v>1450</v>
      </c>
      <c r="AF388" s="881" t="s">
        <v>1450</v>
      </c>
      <c r="AG388" s="880" t="s">
        <v>1450</v>
      </c>
      <c r="AH388" s="880" t="s">
        <v>1450</v>
      </c>
      <c r="AI388" s="881" t="s">
        <v>1450</v>
      </c>
    </row>
    <row r="389" spans="2:35" x14ac:dyDescent="0.2">
      <c r="B389" s="867">
        <v>78926000</v>
      </c>
      <c r="C389" s="876" t="s">
        <v>1448</v>
      </c>
      <c r="D389" s="877" t="s">
        <v>1447</v>
      </c>
      <c r="E389" s="877" t="s">
        <v>1447</v>
      </c>
      <c r="F389" s="877" t="s">
        <v>1447</v>
      </c>
      <c r="G389" s="877" t="s">
        <v>1447</v>
      </c>
      <c r="H389" s="877" t="s">
        <v>1447</v>
      </c>
      <c r="I389" s="877" t="s">
        <v>1447</v>
      </c>
      <c r="J389" s="878" t="s">
        <v>1448</v>
      </c>
      <c r="K389" s="877"/>
      <c r="L389" s="879">
        <v>262</v>
      </c>
      <c r="M389" s="880">
        <v>2275</v>
      </c>
      <c r="N389" s="881">
        <v>0.11509999999999999</v>
      </c>
      <c r="O389" s="880">
        <v>160.38652196578363</v>
      </c>
      <c r="P389" s="880">
        <v>898</v>
      </c>
      <c r="Q389" s="881">
        <v>0.17860414472804412</v>
      </c>
      <c r="R389" s="880">
        <v>303.95324856171766</v>
      </c>
      <c r="S389" s="880">
        <v>1786</v>
      </c>
      <c r="T389" s="881">
        <v>0.17018658934026745</v>
      </c>
      <c r="U389" s="880">
        <v>667.97740524781341</v>
      </c>
      <c r="V389" s="880">
        <v>2244</v>
      </c>
      <c r="W389" s="881">
        <v>0.29767264048476533</v>
      </c>
      <c r="X389" s="880">
        <v>746.04838661155338</v>
      </c>
      <c r="Y389" s="880">
        <v>2483</v>
      </c>
      <c r="Z389" s="881">
        <v>0.30046249964218824</v>
      </c>
      <c r="AA389" s="880">
        <v>359.71941164568204</v>
      </c>
      <c r="AB389" s="880">
        <v>2367</v>
      </c>
      <c r="AC389" s="881">
        <v>0.15197271298930379</v>
      </c>
      <c r="AD389" s="880">
        <v>372.0338454659443</v>
      </c>
      <c r="AE389" s="880">
        <v>1798</v>
      </c>
      <c r="AF389" s="881">
        <v>0.20691537567627602</v>
      </c>
      <c r="AG389" s="880" t="s">
        <v>1450</v>
      </c>
      <c r="AH389" s="880" t="s">
        <v>1450</v>
      </c>
      <c r="AI389" s="881" t="s">
        <v>1450</v>
      </c>
    </row>
    <row r="390" spans="2:35" x14ac:dyDescent="0.2">
      <c r="B390" s="867">
        <v>78928000</v>
      </c>
      <c r="C390" s="876" t="s">
        <v>1447</v>
      </c>
      <c r="D390" s="877" t="s">
        <v>1447</v>
      </c>
      <c r="E390" s="877" t="s">
        <v>1447</v>
      </c>
      <c r="F390" s="877" t="s">
        <v>1448</v>
      </c>
      <c r="G390" s="877" t="s">
        <v>1447</v>
      </c>
      <c r="H390" s="877" t="s">
        <v>1447</v>
      </c>
      <c r="I390" s="877" t="s">
        <v>1447</v>
      </c>
      <c r="J390" s="878" t="s">
        <v>1447</v>
      </c>
      <c r="K390" s="877"/>
      <c r="L390" s="879">
        <v>57</v>
      </c>
      <c r="M390" s="880">
        <v>168</v>
      </c>
      <c r="N390" s="881">
        <v>0.34179999999999999</v>
      </c>
      <c r="O390" s="880">
        <v>45.384098248559653</v>
      </c>
      <c r="P390" s="880">
        <v>132</v>
      </c>
      <c r="Q390" s="881">
        <v>0.3438189261254519</v>
      </c>
      <c r="R390" s="880">
        <v>54.811241543916303</v>
      </c>
      <c r="S390" s="880">
        <v>121</v>
      </c>
      <c r="T390" s="881">
        <v>0.45298546730509343</v>
      </c>
      <c r="U390" s="880">
        <v>0</v>
      </c>
      <c r="V390" s="880">
        <v>95</v>
      </c>
      <c r="W390" s="881">
        <v>0</v>
      </c>
      <c r="X390" s="880">
        <v>35.352815532812286</v>
      </c>
      <c r="Y390" s="880">
        <v>91</v>
      </c>
      <c r="Z390" s="881">
        <v>0.38849247838255258</v>
      </c>
      <c r="AA390" s="880">
        <v>43.518887473214214</v>
      </c>
      <c r="AB390" s="880">
        <v>84</v>
      </c>
      <c r="AC390" s="881">
        <v>0.51808199372874064</v>
      </c>
      <c r="AD390" s="880">
        <v>27.671938918954535</v>
      </c>
      <c r="AE390" s="880">
        <v>54</v>
      </c>
      <c r="AF390" s="881">
        <v>0.51244331331397286</v>
      </c>
      <c r="AG390" s="880">
        <v>32.175243416695089</v>
      </c>
      <c r="AH390" s="880">
        <v>73</v>
      </c>
      <c r="AI390" s="881">
        <v>0.44075675913280943</v>
      </c>
    </row>
    <row r="391" spans="2:35" x14ac:dyDescent="0.2">
      <c r="B391" s="867">
        <v>78930000</v>
      </c>
      <c r="C391" s="876" t="s">
        <v>1447</v>
      </c>
      <c r="D391" s="877" t="s">
        <v>1447</v>
      </c>
      <c r="E391" s="877" t="s">
        <v>1447</v>
      </c>
      <c r="F391" s="877" t="s">
        <v>1447</v>
      </c>
      <c r="G391" s="877" t="s">
        <v>1447</v>
      </c>
      <c r="H391" s="877" t="s">
        <v>1447</v>
      </c>
      <c r="I391" s="877" t="s">
        <v>1447</v>
      </c>
      <c r="J391" s="878" t="s">
        <v>1447</v>
      </c>
      <c r="K391" s="877"/>
      <c r="L391" s="879">
        <v>164</v>
      </c>
      <c r="M391" s="880">
        <v>1052</v>
      </c>
      <c r="N391" s="881">
        <v>0.15579999999999999</v>
      </c>
      <c r="O391" s="880">
        <v>199.16128551795109</v>
      </c>
      <c r="P391" s="880">
        <v>1131</v>
      </c>
      <c r="Q391" s="881">
        <v>0.1760930906436349</v>
      </c>
      <c r="R391" s="880">
        <v>278.54076384590195</v>
      </c>
      <c r="S391" s="880">
        <v>1170</v>
      </c>
      <c r="T391" s="881">
        <v>0.23806902892812132</v>
      </c>
      <c r="U391" s="880">
        <v>310.55089893100097</v>
      </c>
      <c r="V391" s="880">
        <v>1142</v>
      </c>
      <c r="W391" s="881">
        <v>0.2719359885560429</v>
      </c>
      <c r="X391" s="880">
        <v>212.11689319687372</v>
      </c>
      <c r="Y391" s="880">
        <v>1059</v>
      </c>
      <c r="Z391" s="881">
        <v>0.20029923814624526</v>
      </c>
      <c r="AA391" s="880">
        <v>269.92727673259446</v>
      </c>
      <c r="AB391" s="880">
        <v>1041</v>
      </c>
      <c r="AC391" s="881">
        <v>0.25929613518981215</v>
      </c>
      <c r="AD391" s="880">
        <v>252.12211015047464</v>
      </c>
      <c r="AE391" s="880">
        <v>1064</v>
      </c>
      <c r="AF391" s="881">
        <v>0.23695687044217542</v>
      </c>
      <c r="AG391" s="880">
        <v>259.87696605792189</v>
      </c>
      <c r="AH391" s="880">
        <v>1091</v>
      </c>
      <c r="AI391" s="881">
        <v>0.23820070216124831</v>
      </c>
    </row>
    <row r="392" spans="2:35" x14ac:dyDescent="0.2">
      <c r="B392" s="867">
        <v>78931000</v>
      </c>
      <c r="C392" s="876" t="s">
        <v>1447</v>
      </c>
      <c r="D392" s="877" t="s">
        <v>1447</v>
      </c>
      <c r="E392" s="877" t="s">
        <v>1447</v>
      </c>
      <c r="F392" s="877" t="s">
        <v>1447</v>
      </c>
      <c r="G392" s="877" t="s">
        <v>1447</v>
      </c>
      <c r="H392" s="877" t="s">
        <v>1448</v>
      </c>
      <c r="I392" s="877" t="s">
        <v>1447</v>
      </c>
      <c r="J392" s="878" t="s">
        <v>1448</v>
      </c>
      <c r="K392" s="877"/>
      <c r="L392" s="879">
        <v>15</v>
      </c>
      <c r="M392" s="880">
        <v>61</v>
      </c>
      <c r="N392" s="881">
        <v>0.2392</v>
      </c>
      <c r="O392" s="880">
        <v>14.099914018969988</v>
      </c>
      <c r="P392" s="880">
        <v>54</v>
      </c>
      <c r="Q392" s="881">
        <v>0.26110951886981459</v>
      </c>
      <c r="R392" s="880">
        <v>12.955384364925671</v>
      </c>
      <c r="S392" s="880">
        <v>45</v>
      </c>
      <c r="T392" s="881">
        <v>0.28789743033168158</v>
      </c>
      <c r="U392" s="880">
        <v>14.914965986394558</v>
      </c>
      <c r="V392" s="880">
        <v>42</v>
      </c>
      <c r="W392" s="881">
        <v>0.35511823777129897</v>
      </c>
      <c r="X392" s="880">
        <v>10.397886921415378</v>
      </c>
      <c r="Y392" s="880">
        <v>26</v>
      </c>
      <c r="Z392" s="881">
        <v>0.39991872774674531</v>
      </c>
      <c r="AA392" s="880">
        <v>7.7122079066455562</v>
      </c>
      <c r="AB392" s="880">
        <v>21</v>
      </c>
      <c r="AC392" s="881">
        <v>0.36724799555455029</v>
      </c>
      <c r="AD392" s="880">
        <v>11.786196206221376</v>
      </c>
      <c r="AE392" s="880">
        <v>27</v>
      </c>
      <c r="AF392" s="881">
        <v>0.43652578541560655</v>
      </c>
      <c r="AG392" s="880" t="s">
        <v>1450</v>
      </c>
      <c r="AH392" s="880" t="s">
        <v>1450</v>
      </c>
      <c r="AI392" s="881" t="s">
        <v>1450</v>
      </c>
    </row>
    <row r="393" spans="2:35" x14ac:dyDescent="0.2">
      <c r="B393" s="867">
        <v>78933000</v>
      </c>
      <c r="C393" s="876" t="s">
        <v>1447</v>
      </c>
      <c r="D393" s="877" t="s">
        <v>1447</v>
      </c>
      <c r="E393" s="877" t="s">
        <v>1447</v>
      </c>
      <c r="F393" s="877" t="s">
        <v>1448</v>
      </c>
      <c r="G393" s="877" t="s">
        <v>1448</v>
      </c>
      <c r="H393" s="877" t="s">
        <v>1448</v>
      </c>
      <c r="I393" s="877" t="s">
        <v>1448</v>
      </c>
      <c r="J393" s="878" t="s">
        <v>1448</v>
      </c>
      <c r="K393" s="877"/>
      <c r="L393" s="879">
        <v>30</v>
      </c>
      <c r="M393" s="880">
        <v>127</v>
      </c>
      <c r="N393" s="881">
        <v>0.23949999999999999</v>
      </c>
      <c r="O393" s="880">
        <v>57.72152301515839</v>
      </c>
      <c r="P393" s="880">
        <v>158</v>
      </c>
      <c r="Q393" s="881">
        <v>0.36532609503264801</v>
      </c>
      <c r="R393" s="880">
        <v>40.859289150919423</v>
      </c>
      <c r="S393" s="880">
        <v>93</v>
      </c>
      <c r="T393" s="881">
        <v>0.4393471951711766</v>
      </c>
      <c r="U393" s="880" t="s">
        <v>1450</v>
      </c>
      <c r="V393" s="880" t="s">
        <v>1450</v>
      </c>
      <c r="W393" s="881" t="s">
        <v>1450</v>
      </c>
      <c r="X393" s="880" t="s">
        <v>1450</v>
      </c>
      <c r="Y393" s="880" t="s">
        <v>1450</v>
      </c>
      <c r="Z393" s="881" t="s">
        <v>1450</v>
      </c>
      <c r="AA393" s="880" t="s">
        <v>1450</v>
      </c>
      <c r="AB393" s="880" t="s">
        <v>1450</v>
      </c>
      <c r="AC393" s="881" t="s">
        <v>1450</v>
      </c>
      <c r="AD393" s="880" t="s">
        <v>1450</v>
      </c>
      <c r="AE393" s="880" t="s">
        <v>1450</v>
      </c>
      <c r="AF393" s="881" t="s">
        <v>1450</v>
      </c>
      <c r="AG393" s="880" t="s">
        <v>1450</v>
      </c>
      <c r="AH393" s="880" t="s">
        <v>1450</v>
      </c>
      <c r="AI393" s="881" t="s">
        <v>1450</v>
      </c>
    </row>
    <row r="394" spans="2:35" x14ac:dyDescent="0.2">
      <c r="B394" s="867">
        <v>78934000</v>
      </c>
      <c r="C394" s="876" t="s">
        <v>1448</v>
      </c>
      <c r="D394" s="877" t="s">
        <v>1448</v>
      </c>
      <c r="E394" s="877" t="s">
        <v>1448</v>
      </c>
      <c r="F394" s="877" t="s">
        <v>1448</v>
      </c>
      <c r="G394" s="877" t="s">
        <v>1448</v>
      </c>
      <c r="H394" s="877" t="s">
        <v>1448</v>
      </c>
      <c r="I394" s="877" t="s">
        <v>1448</v>
      </c>
      <c r="J394" s="878" t="s">
        <v>1448</v>
      </c>
      <c r="K394" s="877"/>
      <c r="L394" s="879">
        <v>0</v>
      </c>
      <c r="M394" s="880">
        <v>54</v>
      </c>
      <c r="N394" s="881">
        <v>0</v>
      </c>
      <c r="O394" s="880">
        <v>0</v>
      </c>
      <c r="P394" s="880">
        <v>16</v>
      </c>
      <c r="Q394" s="881">
        <v>0</v>
      </c>
      <c r="R394" s="880">
        <v>0</v>
      </c>
      <c r="S394" s="880">
        <v>12</v>
      </c>
      <c r="T394" s="881">
        <v>0</v>
      </c>
      <c r="U394" s="880">
        <v>0</v>
      </c>
      <c r="V394" s="880">
        <v>9</v>
      </c>
      <c r="W394" s="881">
        <v>0</v>
      </c>
      <c r="X394" s="880">
        <v>0</v>
      </c>
      <c r="Y394" s="880">
        <v>11</v>
      </c>
      <c r="Z394" s="881">
        <v>0</v>
      </c>
      <c r="AA394" s="880" t="s">
        <v>1450</v>
      </c>
      <c r="AB394" s="880" t="s">
        <v>1450</v>
      </c>
      <c r="AC394" s="881" t="s">
        <v>1450</v>
      </c>
      <c r="AD394" s="880" t="s">
        <v>1450</v>
      </c>
      <c r="AE394" s="880" t="s">
        <v>1450</v>
      </c>
      <c r="AF394" s="881" t="s">
        <v>1450</v>
      </c>
      <c r="AG394" s="880" t="s">
        <v>1450</v>
      </c>
      <c r="AH394" s="880" t="s">
        <v>1450</v>
      </c>
      <c r="AI394" s="881" t="s">
        <v>1450</v>
      </c>
    </row>
    <row r="395" spans="2:35" x14ac:dyDescent="0.2">
      <c r="B395" s="867">
        <v>78935000</v>
      </c>
      <c r="C395" s="876" t="s">
        <v>1448</v>
      </c>
      <c r="D395" s="877" t="s">
        <v>1448</v>
      </c>
      <c r="E395" s="877" t="s">
        <v>1448</v>
      </c>
      <c r="F395" s="877" t="s">
        <v>1447</v>
      </c>
      <c r="G395" s="877" t="s">
        <v>1447</v>
      </c>
      <c r="H395" s="877" t="s">
        <v>1447</v>
      </c>
      <c r="I395" s="877" t="s">
        <v>1447</v>
      </c>
      <c r="J395" s="878" t="s">
        <v>1447</v>
      </c>
      <c r="K395" s="877"/>
      <c r="L395" s="879">
        <v>26</v>
      </c>
      <c r="M395" s="880">
        <v>370</v>
      </c>
      <c r="N395" s="881">
        <v>7.1099999999999997E-2</v>
      </c>
      <c r="O395" s="880">
        <v>54.19654451041589</v>
      </c>
      <c r="P395" s="880">
        <v>437</v>
      </c>
      <c r="Q395" s="881">
        <v>0.12401955265541394</v>
      </c>
      <c r="R395" s="880">
        <v>56.804377600058714</v>
      </c>
      <c r="S395" s="880">
        <v>386</v>
      </c>
      <c r="T395" s="881">
        <v>0.1471616000001521</v>
      </c>
      <c r="U395" s="880">
        <v>67.117346938775512</v>
      </c>
      <c r="V395" s="880">
        <v>416</v>
      </c>
      <c r="W395" s="881">
        <v>0.16133977629513344</v>
      </c>
      <c r="X395" s="880">
        <v>70.705631065624573</v>
      </c>
      <c r="Y395" s="880">
        <v>420</v>
      </c>
      <c r="Z395" s="881">
        <v>0.16834674063243946</v>
      </c>
      <c r="AA395" s="880">
        <v>72.715103119800958</v>
      </c>
      <c r="AB395" s="880">
        <v>381</v>
      </c>
      <c r="AC395" s="881">
        <v>0.19085328902834897</v>
      </c>
      <c r="AD395" s="880">
        <v>56.881207777850989</v>
      </c>
      <c r="AE395" s="880">
        <v>334</v>
      </c>
      <c r="AF395" s="881">
        <v>0.17030301729895506</v>
      </c>
      <c r="AG395" s="880">
        <v>58.905445639795623</v>
      </c>
      <c r="AH395" s="880">
        <v>323</v>
      </c>
      <c r="AI395" s="881">
        <v>0.18236980074240131</v>
      </c>
    </row>
    <row r="396" spans="2:35" x14ac:dyDescent="0.2">
      <c r="B396" s="867">
        <v>78936000</v>
      </c>
      <c r="C396" s="876" t="s">
        <v>1448</v>
      </c>
      <c r="D396" s="877" t="s">
        <v>1448</v>
      </c>
      <c r="E396" s="877" t="s">
        <v>1448</v>
      </c>
      <c r="F396" s="877" t="s">
        <v>1448</v>
      </c>
      <c r="G396" s="877" t="s">
        <v>1448</v>
      </c>
      <c r="H396" s="877" t="s">
        <v>1448</v>
      </c>
      <c r="I396" s="877" t="s">
        <v>1448</v>
      </c>
      <c r="J396" s="878" t="s">
        <v>1448</v>
      </c>
      <c r="K396" s="877"/>
      <c r="L396" s="879">
        <v>0</v>
      </c>
      <c r="M396" s="880">
        <v>33</v>
      </c>
      <c r="N396" s="881">
        <v>0</v>
      </c>
      <c r="O396" s="880">
        <v>0</v>
      </c>
      <c r="P396" s="880">
        <v>43</v>
      </c>
      <c r="Q396" s="881">
        <v>0</v>
      </c>
      <c r="R396" s="880">
        <v>0</v>
      </c>
      <c r="S396" s="880">
        <v>45</v>
      </c>
      <c r="T396" s="881">
        <v>0</v>
      </c>
      <c r="U396" s="880">
        <v>0</v>
      </c>
      <c r="V396" s="880">
        <v>47</v>
      </c>
      <c r="W396" s="881">
        <v>0</v>
      </c>
      <c r="X396" s="880">
        <v>0</v>
      </c>
      <c r="Y396" s="880">
        <v>52</v>
      </c>
      <c r="Z396" s="881">
        <v>0</v>
      </c>
      <c r="AA396" s="880" t="s">
        <v>1450</v>
      </c>
      <c r="AB396" s="880" t="s">
        <v>1450</v>
      </c>
      <c r="AC396" s="881" t="s">
        <v>1450</v>
      </c>
      <c r="AD396" s="880" t="s">
        <v>1450</v>
      </c>
      <c r="AE396" s="880" t="s">
        <v>1450</v>
      </c>
      <c r="AF396" s="881" t="s">
        <v>1450</v>
      </c>
      <c r="AG396" s="880" t="s">
        <v>1450</v>
      </c>
      <c r="AH396" s="880" t="s">
        <v>1450</v>
      </c>
      <c r="AI396" s="881" t="s">
        <v>1450</v>
      </c>
    </row>
    <row r="397" spans="2:35" x14ac:dyDescent="0.2">
      <c r="B397" s="867">
        <v>78939000</v>
      </c>
      <c r="C397" s="876" t="s">
        <v>1447</v>
      </c>
      <c r="D397" s="877" t="s">
        <v>1447</v>
      </c>
      <c r="E397" s="877" t="s">
        <v>1447</v>
      </c>
      <c r="F397" s="877" t="s">
        <v>1447</v>
      </c>
      <c r="G397" s="877" t="s">
        <v>1447</v>
      </c>
      <c r="H397" s="877" t="s">
        <v>1447</v>
      </c>
      <c r="I397" s="877" t="s">
        <v>1447</v>
      </c>
      <c r="J397" s="878" t="s">
        <v>1447</v>
      </c>
      <c r="K397" s="877"/>
      <c r="L397" s="879">
        <v>88</v>
      </c>
      <c r="M397" s="880">
        <v>297</v>
      </c>
      <c r="N397" s="881">
        <v>0.29680000000000001</v>
      </c>
      <c r="O397" s="880">
        <v>56.399656075879953</v>
      </c>
      <c r="P397" s="880">
        <v>184</v>
      </c>
      <c r="Q397" s="881">
        <v>0.30651986997760844</v>
      </c>
      <c r="R397" s="880">
        <v>78.728874217625233</v>
      </c>
      <c r="S397" s="880">
        <v>220</v>
      </c>
      <c r="T397" s="881">
        <v>0.35785851917102379</v>
      </c>
      <c r="U397" s="880">
        <v>69.780733722060248</v>
      </c>
      <c r="V397" s="880">
        <v>174</v>
      </c>
      <c r="W397" s="881">
        <v>0.40103869955207039</v>
      </c>
      <c r="X397" s="880">
        <v>94.100876638809169</v>
      </c>
      <c r="Y397" s="880">
        <v>178</v>
      </c>
      <c r="Z397" s="881">
        <v>0.52865661033038858</v>
      </c>
      <c r="AA397" s="880">
        <v>75.469463086460081</v>
      </c>
      <c r="AB397" s="880">
        <v>141</v>
      </c>
      <c r="AC397" s="881">
        <v>0.53524441905290843</v>
      </c>
      <c r="AD397" s="880">
        <v>63.542970850932633</v>
      </c>
      <c r="AE397" s="880">
        <v>130</v>
      </c>
      <c r="AF397" s="881">
        <v>0.48879208346871256</v>
      </c>
      <c r="AG397" s="880">
        <v>73.260554241090361</v>
      </c>
      <c r="AH397" s="880">
        <v>156</v>
      </c>
      <c r="AI397" s="881">
        <v>0.46961893744288691</v>
      </c>
    </row>
    <row r="398" spans="2:35" x14ac:dyDescent="0.2">
      <c r="B398" s="867">
        <v>78940000</v>
      </c>
      <c r="C398" s="876" t="s">
        <v>1447</v>
      </c>
      <c r="D398" s="877" t="s">
        <v>1447</v>
      </c>
      <c r="E398" s="877" t="s">
        <v>1447</v>
      </c>
      <c r="F398" s="877" t="s">
        <v>1447</v>
      </c>
      <c r="G398" s="877" t="s">
        <v>1447</v>
      </c>
      <c r="H398" s="877" t="s">
        <v>1447</v>
      </c>
      <c r="I398" s="877" t="s">
        <v>1447</v>
      </c>
      <c r="J398" s="878" t="s">
        <v>1447</v>
      </c>
      <c r="K398" s="877"/>
      <c r="L398" s="879">
        <v>140</v>
      </c>
      <c r="M398" s="880">
        <v>338</v>
      </c>
      <c r="N398" s="881">
        <v>0.4153</v>
      </c>
      <c r="O398" s="880">
        <v>129.54296004928676</v>
      </c>
      <c r="P398" s="880">
        <v>420</v>
      </c>
      <c r="Q398" s="881">
        <v>0.30843561916496848</v>
      </c>
      <c r="R398" s="880">
        <v>234.19348659673329</v>
      </c>
      <c r="S398" s="880">
        <v>470</v>
      </c>
      <c r="T398" s="881">
        <v>0.49828401403560274</v>
      </c>
      <c r="U398" s="880">
        <v>290.84183673469386</v>
      </c>
      <c r="V398" s="880">
        <v>542</v>
      </c>
      <c r="W398" s="881">
        <v>0.53660855486105874</v>
      </c>
      <c r="X398" s="880">
        <v>381.08255566987361</v>
      </c>
      <c r="Y398" s="880">
        <v>732</v>
      </c>
      <c r="Z398" s="881">
        <v>0.52060458424846123</v>
      </c>
      <c r="AA398" s="880">
        <v>405.44178709222354</v>
      </c>
      <c r="AB398" s="880">
        <v>746</v>
      </c>
      <c r="AC398" s="881">
        <v>0.54348765025767232</v>
      </c>
      <c r="AD398" s="880">
        <v>339.74991672716402</v>
      </c>
      <c r="AE398" s="880">
        <v>684</v>
      </c>
      <c r="AF398" s="881">
        <v>0.49671040457187721</v>
      </c>
      <c r="AG398" s="880">
        <v>323.23744540156758</v>
      </c>
      <c r="AH398" s="880">
        <v>664</v>
      </c>
      <c r="AI398" s="881">
        <v>0.48680338162886683</v>
      </c>
    </row>
    <row r="399" spans="2:35" x14ac:dyDescent="0.2">
      <c r="B399" s="867">
        <v>78944000</v>
      </c>
      <c r="C399" s="876" t="s">
        <v>1448</v>
      </c>
      <c r="D399" s="877" t="s">
        <v>1448</v>
      </c>
      <c r="E399" s="877" t="s">
        <v>1447</v>
      </c>
      <c r="F399" s="877" t="s">
        <v>1447</v>
      </c>
      <c r="G399" s="877" t="s">
        <v>1448</v>
      </c>
      <c r="H399" s="877" t="s">
        <v>1448</v>
      </c>
      <c r="I399" s="877" t="s">
        <v>1448</v>
      </c>
      <c r="J399" s="878" t="s">
        <v>1448</v>
      </c>
      <c r="K399" s="877"/>
      <c r="L399" s="879">
        <v>6</v>
      </c>
      <c r="M399" s="880">
        <v>43</v>
      </c>
      <c r="N399" s="881">
        <v>0.1391</v>
      </c>
      <c r="O399" s="880">
        <v>4.4062231309281215</v>
      </c>
      <c r="P399" s="880">
        <v>41</v>
      </c>
      <c r="Q399" s="881">
        <v>0.10746885685190539</v>
      </c>
      <c r="R399" s="880">
        <v>19.433076547388506</v>
      </c>
      <c r="S399" s="880">
        <v>71</v>
      </c>
      <c r="T399" s="881">
        <v>0.27370530348434513</v>
      </c>
      <c r="U399" s="880">
        <v>20.774416909620992</v>
      </c>
      <c r="V399" s="880">
        <v>73</v>
      </c>
      <c r="W399" s="881">
        <v>0.28458105355645197</v>
      </c>
      <c r="X399" s="880">
        <v>0</v>
      </c>
      <c r="Y399" s="880">
        <v>0</v>
      </c>
      <c r="Z399" s="881">
        <v>0</v>
      </c>
      <c r="AA399" s="880" t="s">
        <v>1450</v>
      </c>
      <c r="AB399" s="880" t="s">
        <v>1450</v>
      </c>
      <c r="AC399" s="881" t="s">
        <v>1450</v>
      </c>
      <c r="AD399" s="880" t="s">
        <v>1450</v>
      </c>
      <c r="AE399" s="880" t="s">
        <v>1450</v>
      </c>
      <c r="AF399" s="881" t="s">
        <v>1450</v>
      </c>
      <c r="AG399" s="880" t="s">
        <v>1450</v>
      </c>
      <c r="AH399" s="880" t="s">
        <v>1450</v>
      </c>
      <c r="AI399" s="881" t="s">
        <v>1450</v>
      </c>
    </row>
    <row r="400" spans="2:35" x14ac:dyDescent="0.2">
      <c r="B400" s="867">
        <v>78945000</v>
      </c>
      <c r="C400" s="876" t="s">
        <v>1448</v>
      </c>
      <c r="D400" s="877" t="s">
        <v>1447</v>
      </c>
      <c r="E400" s="877" t="s">
        <v>1447</v>
      </c>
      <c r="F400" s="877" t="s">
        <v>1447</v>
      </c>
      <c r="G400" s="877" t="s">
        <v>1447</v>
      </c>
      <c r="H400" s="877" t="s">
        <v>1447</v>
      </c>
      <c r="I400" s="877" t="s">
        <v>1447</v>
      </c>
      <c r="J400" s="878" t="s">
        <v>1447</v>
      </c>
      <c r="K400" s="877"/>
      <c r="L400" s="879">
        <v>0</v>
      </c>
      <c r="M400" s="880">
        <v>148</v>
      </c>
      <c r="N400" s="881">
        <v>0</v>
      </c>
      <c r="O400" s="880">
        <v>15.421780958248425</v>
      </c>
      <c r="P400" s="880">
        <v>84</v>
      </c>
      <c r="Q400" s="881">
        <v>0.18359263045533838</v>
      </c>
      <c r="R400" s="880">
        <v>18.934792533352905</v>
      </c>
      <c r="S400" s="880">
        <v>77</v>
      </c>
      <c r="T400" s="881">
        <v>0.24590639653705071</v>
      </c>
      <c r="U400" s="880">
        <v>12.251579203109815</v>
      </c>
      <c r="V400" s="880">
        <v>78</v>
      </c>
      <c r="W400" s="881">
        <v>0.15707152824499762</v>
      </c>
      <c r="X400" s="880">
        <v>18.716196458547682</v>
      </c>
      <c r="Y400" s="880">
        <v>67</v>
      </c>
      <c r="Z400" s="881">
        <v>0.27934621579921914</v>
      </c>
      <c r="AA400" s="880">
        <v>13.22092783996381</v>
      </c>
      <c r="AB400" s="880">
        <v>70</v>
      </c>
      <c r="AC400" s="881">
        <v>0.18887039771376871</v>
      </c>
      <c r="AD400" s="880">
        <v>23.572392412442753</v>
      </c>
      <c r="AE400" s="880">
        <v>112</v>
      </c>
      <c r="AF400" s="881">
        <v>0.2104677893968103</v>
      </c>
      <c r="AG400" s="880">
        <v>25.74019473335607</v>
      </c>
      <c r="AH400" s="880">
        <v>69</v>
      </c>
      <c r="AI400" s="881">
        <v>0.3730463004834213</v>
      </c>
    </row>
    <row r="401" spans="2:35" x14ac:dyDescent="0.2">
      <c r="B401" s="867">
        <v>78946000</v>
      </c>
      <c r="C401" s="876" t="s">
        <v>1447</v>
      </c>
      <c r="D401" s="877" t="s">
        <v>1447</v>
      </c>
      <c r="E401" s="877" t="s">
        <v>1447</v>
      </c>
      <c r="F401" s="877" t="s">
        <v>1447</v>
      </c>
      <c r="G401" s="877" t="s">
        <v>1447</v>
      </c>
      <c r="H401" s="877" t="s">
        <v>1447</v>
      </c>
      <c r="I401" s="877" t="s">
        <v>1447</v>
      </c>
      <c r="J401" s="878" t="s">
        <v>1447</v>
      </c>
      <c r="K401" s="877"/>
      <c r="L401" s="879">
        <v>100</v>
      </c>
      <c r="M401" s="880">
        <v>431</v>
      </c>
      <c r="N401" s="881">
        <v>0.23250000000000001</v>
      </c>
      <c r="O401" s="880">
        <v>10.574935514227491</v>
      </c>
      <c r="P401" s="880">
        <v>38</v>
      </c>
      <c r="Q401" s="881">
        <v>0.27828777669019711</v>
      </c>
      <c r="R401" s="880">
        <v>13.951952392996876</v>
      </c>
      <c r="S401" s="880">
        <v>36</v>
      </c>
      <c r="T401" s="881">
        <v>0.38755423313880211</v>
      </c>
      <c r="U401" s="880">
        <v>34.091350826044703</v>
      </c>
      <c r="V401" s="880">
        <v>75</v>
      </c>
      <c r="W401" s="881">
        <v>0.45455134434726269</v>
      </c>
      <c r="X401" s="880">
        <v>27.554400341750753</v>
      </c>
      <c r="Y401" s="880">
        <v>68</v>
      </c>
      <c r="Z401" s="881">
        <v>0.4052117697316287</v>
      </c>
      <c r="AA401" s="880">
        <v>38.01016753989596</v>
      </c>
      <c r="AB401" s="880">
        <v>73</v>
      </c>
      <c r="AC401" s="881">
        <v>0.52068722657391731</v>
      </c>
      <c r="AD401" s="880">
        <v>35.358588618664129</v>
      </c>
      <c r="AE401" s="880">
        <v>74</v>
      </c>
      <c r="AF401" s="881">
        <v>0.47781876511708282</v>
      </c>
      <c r="AG401" s="880">
        <v>30.195228437206161</v>
      </c>
      <c r="AH401" s="880">
        <v>63</v>
      </c>
      <c r="AI401" s="881">
        <v>0.47928934027311365</v>
      </c>
    </row>
    <row r="402" spans="2:35" x14ac:dyDescent="0.2">
      <c r="B402" s="867">
        <v>78947000</v>
      </c>
      <c r="C402" s="876" t="s">
        <v>1448</v>
      </c>
      <c r="D402" s="877" t="s">
        <v>1447</v>
      </c>
      <c r="E402" s="877" t="s">
        <v>1448</v>
      </c>
      <c r="F402" s="877" t="s">
        <v>1447</v>
      </c>
      <c r="G402" s="877" t="s">
        <v>1447</v>
      </c>
      <c r="H402" s="877" t="s">
        <v>1447</v>
      </c>
      <c r="I402" s="877" t="s">
        <v>1447</v>
      </c>
      <c r="J402" s="878" t="s">
        <v>1447</v>
      </c>
      <c r="K402" s="877"/>
      <c r="L402" s="879">
        <v>48</v>
      </c>
      <c r="M402" s="880">
        <v>534</v>
      </c>
      <c r="N402" s="881">
        <v>0.09</v>
      </c>
      <c r="O402" s="880">
        <v>66.533969277014634</v>
      </c>
      <c r="P402" s="880">
        <v>404</v>
      </c>
      <c r="Q402" s="881">
        <v>0.16468804276488772</v>
      </c>
      <c r="R402" s="880">
        <v>40.859289150919423</v>
      </c>
      <c r="S402" s="880">
        <v>372</v>
      </c>
      <c r="T402" s="881">
        <v>0.10983679879279415</v>
      </c>
      <c r="U402" s="880">
        <v>76.705539358600589</v>
      </c>
      <c r="V402" s="880">
        <v>315</v>
      </c>
      <c r="W402" s="881">
        <v>0.2435096487574622</v>
      </c>
      <c r="X402" s="880">
        <v>64.466898912775349</v>
      </c>
      <c r="Y402" s="880">
        <v>288</v>
      </c>
      <c r="Z402" s="881">
        <v>0.22384339900269218</v>
      </c>
      <c r="AA402" s="880">
        <v>62.248535246496274</v>
      </c>
      <c r="AB402" s="880">
        <v>229</v>
      </c>
      <c r="AC402" s="881">
        <v>0.27182766483186144</v>
      </c>
      <c r="AD402" s="880">
        <v>39.970578438489881</v>
      </c>
      <c r="AE402" s="880">
        <v>157</v>
      </c>
      <c r="AF402" s="881">
        <v>0.2545896715827381</v>
      </c>
      <c r="AG402" s="880">
        <v>32.175243416695089</v>
      </c>
      <c r="AH402" s="880">
        <v>109</v>
      </c>
      <c r="AI402" s="881">
        <v>0.295185719419221</v>
      </c>
    </row>
    <row r="403" spans="2:35" x14ac:dyDescent="0.2">
      <c r="B403" s="867">
        <v>78948000</v>
      </c>
      <c r="C403" s="876" t="s">
        <v>1447</v>
      </c>
      <c r="D403" s="877" t="s">
        <v>1447</v>
      </c>
      <c r="E403" s="877" t="s">
        <v>1447</v>
      </c>
      <c r="F403" s="877" t="s">
        <v>1447</v>
      </c>
      <c r="G403" s="877" t="s">
        <v>1447</v>
      </c>
      <c r="H403" s="877" t="s">
        <v>1447</v>
      </c>
      <c r="I403" s="877" t="s">
        <v>1447</v>
      </c>
      <c r="J403" s="878" t="s">
        <v>1447</v>
      </c>
      <c r="K403" s="877"/>
      <c r="L403" s="879">
        <v>146</v>
      </c>
      <c r="M403" s="880">
        <v>451</v>
      </c>
      <c r="N403" s="881">
        <v>0.32319999999999999</v>
      </c>
      <c r="O403" s="880">
        <v>111.47744521248147</v>
      </c>
      <c r="P403" s="880">
        <v>282</v>
      </c>
      <c r="Q403" s="881">
        <v>0.39531008940596268</v>
      </c>
      <c r="R403" s="880">
        <v>120.58473139661587</v>
      </c>
      <c r="S403" s="880">
        <v>275</v>
      </c>
      <c r="T403" s="881">
        <v>0.43848993235133044</v>
      </c>
      <c r="U403" s="880">
        <v>130.50595238095238</v>
      </c>
      <c r="V403" s="880">
        <v>258</v>
      </c>
      <c r="W403" s="881">
        <v>0.50583702473237357</v>
      </c>
      <c r="X403" s="880">
        <v>130.49348086376298</v>
      </c>
      <c r="Y403" s="880">
        <v>244</v>
      </c>
      <c r="Z403" s="881">
        <v>0.53480934780230727</v>
      </c>
      <c r="AA403" s="880">
        <v>111.82701464636057</v>
      </c>
      <c r="AB403" s="880">
        <v>210</v>
      </c>
      <c r="AC403" s="881">
        <v>0.53250959355409799</v>
      </c>
      <c r="AD403" s="880">
        <v>75.32916705715401</v>
      </c>
      <c r="AE403" s="880">
        <v>159</v>
      </c>
      <c r="AF403" s="881">
        <v>0.47376834627140885</v>
      </c>
      <c r="AG403" s="880">
        <v>39.600299589778572</v>
      </c>
      <c r="AH403" s="880">
        <v>106</v>
      </c>
      <c r="AI403" s="881">
        <v>0.37358773197904316</v>
      </c>
    </row>
    <row r="404" spans="2:35" x14ac:dyDescent="0.2">
      <c r="B404" s="867">
        <v>78949000</v>
      </c>
      <c r="C404" s="876" t="s">
        <v>1447</v>
      </c>
      <c r="D404" s="877" t="s">
        <v>1447</v>
      </c>
      <c r="E404" s="877" t="s">
        <v>1447</v>
      </c>
      <c r="F404" s="877" t="s">
        <v>1447</v>
      </c>
      <c r="G404" s="877" t="s">
        <v>1447</v>
      </c>
      <c r="H404" s="877" t="s">
        <v>1447</v>
      </c>
      <c r="I404" s="877" t="s">
        <v>1447</v>
      </c>
      <c r="J404" s="878" t="s">
        <v>1447</v>
      </c>
      <c r="K404" s="877"/>
      <c r="L404" s="879">
        <v>156</v>
      </c>
      <c r="M404" s="880">
        <v>465</v>
      </c>
      <c r="N404" s="881">
        <v>0.33679999999999999</v>
      </c>
      <c r="O404" s="880">
        <v>115.00242371722396</v>
      </c>
      <c r="P404" s="880">
        <v>267</v>
      </c>
      <c r="Q404" s="881">
        <v>0.43072068807949049</v>
      </c>
      <c r="R404" s="880">
        <v>111.61561914397501</v>
      </c>
      <c r="S404" s="880">
        <v>236</v>
      </c>
      <c r="T404" s="881">
        <v>0.47294753874565681</v>
      </c>
      <c r="U404" s="880">
        <v>133.70201652089406</v>
      </c>
      <c r="V404" s="880">
        <v>222</v>
      </c>
      <c r="W404" s="881">
        <v>0.60226133567970297</v>
      </c>
      <c r="X404" s="880">
        <v>122.69506567270146</v>
      </c>
      <c r="Y404" s="880">
        <v>211</v>
      </c>
      <c r="Z404" s="881">
        <v>0.58149320224029133</v>
      </c>
      <c r="AA404" s="880">
        <v>139.92148630628367</v>
      </c>
      <c r="AB404" s="880">
        <v>230</v>
      </c>
      <c r="AC404" s="881">
        <v>0.60835428828818983</v>
      </c>
      <c r="AD404" s="880">
        <v>100.95133272285265</v>
      </c>
      <c r="AE404" s="880">
        <v>229</v>
      </c>
      <c r="AF404" s="881">
        <v>0.44083551407359239</v>
      </c>
      <c r="AG404" s="880">
        <v>82.170621648790529</v>
      </c>
      <c r="AH404" s="880">
        <v>166</v>
      </c>
      <c r="AI404" s="881">
        <v>0.49500374487223209</v>
      </c>
    </row>
    <row r="405" spans="2:35" x14ac:dyDescent="0.2">
      <c r="B405" s="867">
        <v>78950000</v>
      </c>
      <c r="C405" s="876" t="s">
        <v>1447</v>
      </c>
      <c r="D405" s="877" t="s">
        <v>1447</v>
      </c>
      <c r="E405" s="877" t="s">
        <v>1447</v>
      </c>
      <c r="F405" s="877" t="s">
        <v>1447</v>
      </c>
      <c r="G405" s="877" t="s">
        <v>1447</v>
      </c>
      <c r="H405" s="877" t="s">
        <v>1447</v>
      </c>
      <c r="I405" s="877" t="s">
        <v>1447</v>
      </c>
      <c r="J405" s="878" t="s">
        <v>1447</v>
      </c>
      <c r="K405" s="877"/>
      <c r="L405" s="879">
        <v>55</v>
      </c>
      <c r="M405" s="880">
        <v>211</v>
      </c>
      <c r="N405" s="881">
        <v>0.26</v>
      </c>
      <c r="O405" s="880">
        <v>59.924634580622453</v>
      </c>
      <c r="P405" s="880">
        <v>161</v>
      </c>
      <c r="Q405" s="881">
        <v>0.37220269925852456</v>
      </c>
      <c r="R405" s="880">
        <v>50.82496943163148</v>
      </c>
      <c r="S405" s="880">
        <v>138</v>
      </c>
      <c r="T405" s="881">
        <v>0.36829687993935856</v>
      </c>
      <c r="U405" s="880">
        <v>92.685860058309032</v>
      </c>
      <c r="V405" s="880">
        <v>180</v>
      </c>
      <c r="W405" s="881">
        <v>0.51492144476838353</v>
      </c>
      <c r="X405" s="880">
        <v>80.063729294898408</v>
      </c>
      <c r="Y405" s="880">
        <v>177</v>
      </c>
      <c r="Z405" s="881">
        <v>0.45233745364349381</v>
      </c>
      <c r="AA405" s="880">
        <v>84.834286973101115</v>
      </c>
      <c r="AB405" s="880">
        <v>169</v>
      </c>
      <c r="AC405" s="881">
        <v>0.50197802942663383</v>
      </c>
      <c r="AD405" s="880">
        <v>59.955867657734828</v>
      </c>
      <c r="AE405" s="880">
        <v>154</v>
      </c>
      <c r="AF405" s="881">
        <v>0.38932381595931709</v>
      </c>
      <c r="AG405" s="880">
        <v>68.80552053724027</v>
      </c>
      <c r="AH405" s="880">
        <v>150</v>
      </c>
      <c r="AI405" s="881">
        <v>0.45870347024826846</v>
      </c>
    </row>
    <row r="406" spans="2:35" x14ac:dyDescent="0.2">
      <c r="B406" s="867">
        <v>78951000</v>
      </c>
      <c r="C406" s="876" t="s">
        <v>1447</v>
      </c>
      <c r="D406" s="877" t="s">
        <v>1447</v>
      </c>
      <c r="E406" s="877" t="s">
        <v>1447</v>
      </c>
      <c r="F406" s="877" t="s">
        <v>1447</v>
      </c>
      <c r="G406" s="877" t="s">
        <v>1447</v>
      </c>
      <c r="H406" s="877" t="s">
        <v>1447</v>
      </c>
      <c r="I406" s="877" t="s">
        <v>1447</v>
      </c>
      <c r="J406" s="878" t="s">
        <v>1447</v>
      </c>
      <c r="K406" s="877"/>
      <c r="L406" s="879">
        <v>98</v>
      </c>
      <c r="M406" s="880">
        <v>428</v>
      </c>
      <c r="N406" s="881">
        <v>0.2298</v>
      </c>
      <c r="O406" s="880">
        <v>82.39637254835587</v>
      </c>
      <c r="P406" s="880">
        <v>257</v>
      </c>
      <c r="Q406" s="881">
        <v>0.32060845349554812</v>
      </c>
      <c r="R406" s="880">
        <v>91.185974568515306</v>
      </c>
      <c r="S406" s="880">
        <v>231</v>
      </c>
      <c r="T406" s="881">
        <v>0.39474447865158141</v>
      </c>
      <c r="U406" s="880">
        <v>132.63666180758017</v>
      </c>
      <c r="V406" s="880">
        <v>261</v>
      </c>
      <c r="W406" s="881">
        <v>0.50818644370720367</v>
      </c>
      <c r="X406" s="880">
        <v>158.04788120551373</v>
      </c>
      <c r="Y406" s="880">
        <v>314</v>
      </c>
      <c r="Z406" s="881">
        <v>0.50333720129144499</v>
      </c>
      <c r="AA406" s="880">
        <v>164.71072600621582</v>
      </c>
      <c r="AB406" s="880">
        <v>302</v>
      </c>
      <c r="AC406" s="881">
        <v>0.54539975498746962</v>
      </c>
      <c r="AD406" s="880">
        <v>146.04634429448225</v>
      </c>
      <c r="AE406" s="880">
        <v>297</v>
      </c>
      <c r="AF406" s="881">
        <v>0.4917385329780547</v>
      </c>
      <c r="AG406" s="880">
        <v>104.44579016804099</v>
      </c>
      <c r="AH406" s="880">
        <v>231</v>
      </c>
      <c r="AI406" s="881">
        <v>0.45214627778372724</v>
      </c>
    </row>
    <row r="407" spans="2:35" x14ac:dyDescent="0.2">
      <c r="B407" s="867">
        <v>78952000</v>
      </c>
      <c r="C407" s="876" t="s">
        <v>1447</v>
      </c>
      <c r="D407" s="877" t="s">
        <v>1447</v>
      </c>
      <c r="E407" s="877" t="s">
        <v>1447</v>
      </c>
      <c r="F407" s="877" t="s">
        <v>1447</v>
      </c>
      <c r="G407" s="877" t="s">
        <v>1447</v>
      </c>
      <c r="H407" s="877" t="s">
        <v>1447</v>
      </c>
      <c r="I407" s="877" t="s">
        <v>1447</v>
      </c>
      <c r="J407" s="878" t="s">
        <v>1447</v>
      </c>
      <c r="K407" s="877"/>
      <c r="L407" s="879">
        <v>93</v>
      </c>
      <c r="M407" s="880">
        <v>314</v>
      </c>
      <c r="N407" s="881">
        <v>0.29599999999999999</v>
      </c>
      <c r="O407" s="880">
        <v>95.615041941140234</v>
      </c>
      <c r="P407" s="880">
        <v>238</v>
      </c>
      <c r="Q407" s="881">
        <v>0.40174387370226988</v>
      </c>
      <c r="R407" s="880">
        <v>77.234022175518419</v>
      </c>
      <c r="S407" s="880">
        <v>167</v>
      </c>
      <c r="T407" s="881">
        <v>0.46247917470370309</v>
      </c>
      <c r="U407" s="880">
        <v>87.359086491739546</v>
      </c>
      <c r="V407" s="880">
        <v>159</v>
      </c>
      <c r="W407" s="881">
        <v>0.54942821692917954</v>
      </c>
      <c r="X407" s="880">
        <v>96.180454023092253</v>
      </c>
      <c r="Y407" s="880">
        <v>179</v>
      </c>
      <c r="Z407" s="881">
        <v>0.53732097219604613</v>
      </c>
      <c r="AA407" s="880">
        <v>138.81974231962002</v>
      </c>
      <c r="AB407" s="880">
        <v>228</v>
      </c>
      <c r="AC407" s="881">
        <v>0.60885851894570187</v>
      </c>
      <c r="AD407" s="880">
        <v>88.140249890003332</v>
      </c>
      <c r="AE407" s="880">
        <v>207</v>
      </c>
      <c r="AF407" s="881">
        <v>0.42579830864735907</v>
      </c>
      <c r="AG407" s="880">
        <v>90.585685311618477</v>
      </c>
      <c r="AH407" s="880">
        <v>184</v>
      </c>
      <c r="AI407" s="881">
        <v>0.49231350712836131</v>
      </c>
    </row>
    <row r="408" spans="2:35" x14ac:dyDescent="0.2">
      <c r="B408" s="867">
        <v>78953000</v>
      </c>
      <c r="C408" s="876" t="s">
        <v>1447</v>
      </c>
      <c r="D408" s="877" t="s">
        <v>1447</v>
      </c>
      <c r="E408" s="877" t="s">
        <v>1447</v>
      </c>
      <c r="F408" s="877" t="s">
        <v>1447</v>
      </c>
      <c r="G408" s="877" t="s">
        <v>1447</v>
      </c>
      <c r="H408" s="877" t="s">
        <v>1447</v>
      </c>
      <c r="I408" s="877" t="s">
        <v>1447</v>
      </c>
      <c r="J408" s="878" t="s">
        <v>1447</v>
      </c>
      <c r="K408" s="877"/>
      <c r="L408" s="879">
        <v>102</v>
      </c>
      <c r="M408" s="880">
        <v>543</v>
      </c>
      <c r="N408" s="881">
        <v>0.1883</v>
      </c>
      <c r="O408" s="880">
        <v>87.243217992376799</v>
      </c>
      <c r="P408" s="880">
        <v>289</v>
      </c>
      <c r="Q408" s="881">
        <v>0.30187964703244569</v>
      </c>
      <c r="R408" s="880">
        <v>97.165382736942533</v>
      </c>
      <c r="S408" s="880">
        <v>240</v>
      </c>
      <c r="T408" s="881">
        <v>0.40485576140392721</v>
      </c>
      <c r="U408" s="880">
        <v>108.13350340136054</v>
      </c>
      <c r="V408" s="880">
        <v>232</v>
      </c>
      <c r="W408" s="881">
        <v>0.46609268707482993</v>
      </c>
      <c r="X408" s="880">
        <v>135.69242432447069</v>
      </c>
      <c r="Y408" s="880">
        <v>299</v>
      </c>
      <c r="Z408" s="881">
        <v>0.45382081713869799</v>
      </c>
      <c r="AA408" s="880">
        <v>154.79503012624295</v>
      </c>
      <c r="AB408" s="880">
        <v>303</v>
      </c>
      <c r="AC408" s="881">
        <v>0.51087468688529025</v>
      </c>
      <c r="AD408" s="880">
        <v>106.58820916930635</v>
      </c>
      <c r="AE408" s="880">
        <v>267</v>
      </c>
      <c r="AF408" s="881">
        <v>0.39920677591500509</v>
      </c>
      <c r="AG408" s="880">
        <v>107.41581263727437</v>
      </c>
      <c r="AH408" s="880">
        <v>218</v>
      </c>
      <c r="AI408" s="881">
        <v>0.49273308549208428</v>
      </c>
    </row>
    <row r="409" spans="2:35" x14ac:dyDescent="0.2">
      <c r="B409" s="867">
        <v>78954000</v>
      </c>
      <c r="C409" s="876" t="s">
        <v>1447</v>
      </c>
      <c r="D409" s="877" t="s">
        <v>1447</v>
      </c>
      <c r="E409" s="877" t="s">
        <v>1447</v>
      </c>
      <c r="F409" s="877" t="s">
        <v>1447</v>
      </c>
      <c r="G409" s="877" t="s">
        <v>1447</v>
      </c>
      <c r="H409" s="877" t="s">
        <v>1447</v>
      </c>
      <c r="I409" s="877" t="s">
        <v>1448</v>
      </c>
      <c r="J409" s="878" t="s">
        <v>1447</v>
      </c>
      <c r="K409" s="877"/>
      <c r="L409" s="879">
        <v>96</v>
      </c>
      <c r="M409" s="880">
        <v>307</v>
      </c>
      <c r="N409" s="881">
        <v>0.3145</v>
      </c>
      <c r="O409" s="880">
        <v>56.840278388972763</v>
      </c>
      <c r="P409" s="880">
        <v>146</v>
      </c>
      <c r="Q409" s="881">
        <v>0.38931697526693676</v>
      </c>
      <c r="R409" s="880">
        <v>42.852425207061835</v>
      </c>
      <c r="S409" s="880">
        <v>97</v>
      </c>
      <c r="T409" s="881">
        <v>0.44177757945424573</v>
      </c>
      <c r="U409" s="880">
        <v>34.62402818270165</v>
      </c>
      <c r="V409" s="880">
        <v>71</v>
      </c>
      <c r="W409" s="881">
        <v>0.48766236877044578</v>
      </c>
      <c r="X409" s="880">
        <v>31.713555110316904</v>
      </c>
      <c r="Y409" s="880">
        <v>76</v>
      </c>
      <c r="Z409" s="881">
        <v>0.41728361987259083</v>
      </c>
      <c r="AA409" s="880">
        <v>37.459295546564128</v>
      </c>
      <c r="AB409" s="880">
        <v>69</v>
      </c>
      <c r="AC409" s="881">
        <v>0.54288834125455254</v>
      </c>
      <c r="AD409" s="880">
        <v>4.6119898198257561</v>
      </c>
      <c r="AE409" s="880">
        <v>10</v>
      </c>
      <c r="AF409" s="881">
        <v>0.46119898198257558</v>
      </c>
      <c r="AG409" s="880">
        <v>13.365101111550269</v>
      </c>
      <c r="AH409" s="880">
        <v>27</v>
      </c>
      <c r="AI409" s="881">
        <v>0.4950037448722322</v>
      </c>
    </row>
    <row r="410" spans="2:35" x14ac:dyDescent="0.2">
      <c r="B410" s="867">
        <v>78956000</v>
      </c>
      <c r="C410" s="876" t="s">
        <v>1447</v>
      </c>
      <c r="D410" s="877" t="s">
        <v>1447</v>
      </c>
      <c r="E410" s="877" t="s">
        <v>1447</v>
      </c>
      <c r="F410" s="877" t="s">
        <v>1447</v>
      </c>
      <c r="G410" s="877" t="s">
        <v>1447</v>
      </c>
      <c r="H410" s="877" t="s">
        <v>1447</v>
      </c>
      <c r="I410" s="877" t="s">
        <v>1447</v>
      </c>
      <c r="J410" s="878" t="s">
        <v>1447</v>
      </c>
      <c r="K410" s="877"/>
      <c r="L410" s="879">
        <v>182</v>
      </c>
      <c r="M410" s="880">
        <v>638</v>
      </c>
      <c r="N410" s="881">
        <v>0.28599999999999998</v>
      </c>
      <c r="O410" s="880">
        <v>145.84598563372083</v>
      </c>
      <c r="P410" s="880">
        <v>365</v>
      </c>
      <c r="Q410" s="881">
        <v>0.39957804283211185</v>
      </c>
      <c r="R410" s="880">
        <v>121.08301541065147</v>
      </c>
      <c r="S410" s="880">
        <v>335</v>
      </c>
      <c r="T410" s="881">
        <v>0.36144183704672078</v>
      </c>
      <c r="U410" s="880">
        <v>175.25085034013605</v>
      </c>
      <c r="V410" s="880">
        <v>314</v>
      </c>
      <c r="W410" s="881">
        <v>0.5581237271978855</v>
      </c>
      <c r="X410" s="880">
        <v>210.03731581259063</v>
      </c>
      <c r="Y410" s="880">
        <v>370</v>
      </c>
      <c r="Z410" s="881">
        <v>0.56766842111510984</v>
      </c>
      <c r="AA410" s="880">
        <v>186.74560573948884</v>
      </c>
      <c r="AB410" s="880">
        <v>300</v>
      </c>
      <c r="AC410" s="881">
        <v>0.62248535246496284</v>
      </c>
      <c r="AD410" s="880">
        <v>117.34951874889978</v>
      </c>
      <c r="AE410" s="880">
        <v>244</v>
      </c>
      <c r="AF410" s="881">
        <v>0.48094065061024499</v>
      </c>
      <c r="AG410" s="880">
        <v>104.94079391291321</v>
      </c>
      <c r="AH410" s="880">
        <v>221</v>
      </c>
      <c r="AI410" s="881">
        <v>0.47484522132539914</v>
      </c>
    </row>
    <row r="411" spans="2:35" x14ac:dyDescent="0.2">
      <c r="B411" s="867">
        <v>78957000</v>
      </c>
      <c r="C411" s="876" t="s">
        <v>1448</v>
      </c>
      <c r="D411" s="877" t="s">
        <v>1448</v>
      </c>
      <c r="E411" s="877" t="s">
        <v>1448</v>
      </c>
      <c r="F411" s="877" t="s">
        <v>1448</v>
      </c>
      <c r="G411" s="877" t="s">
        <v>1448</v>
      </c>
      <c r="H411" s="877" t="s">
        <v>1448</v>
      </c>
      <c r="I411" s="877" t="s">
        <v>1448</v>
      </c>
      <c r="J411" s="878" t="s">
        <v>1448</v>
      </c>
      <c r="K411" s="877"/>
      <c r="L411" s="879">
        <v>0</v>
      </c>
      <c r="M411" s="880">
        <v>199</v>
      </c>
      <c r="N411" s="881">
        <v>0</v>
      </c>
      <c r="O411" s="880">
        <v>0.88124462618562427</v>
      </c>
      <c r="P411" s="880">
        <v>256</v>
      </c>
      <c r="Q411" s="881">
        <v>3.4423618210375948E-3</v>
      </c>
      <c r="R411" s="880">
        <v>0</v>
      </c>
      <c r="S411" s="880">
        <v>276</v>
      </c>
      <c r="T411" s="881">
        <v>0</v>
      </c>
      <c r="U411" s="880">
        <v>0</v>
      </c>
      <c r="V411" s="880">
        <v>303</v>
      </c>
      <c r="W411" s="881">
        <v>0</v>
      </c>
      <c r="X411" s="880">
        <v>0</v>
      </c>
      <c r="Y411" s="880">
        <v>329</v>
      </c>
      <c r="Z411" s="881">
        <v>0</v>
      </c>
      <c r="AA411" s="880" t="s">
        <v>1450</v>
      </c>
      <c r="AB411" s="880" t="s">
        <v>1450</v>
      </c>
      <c r="AC411" s="881" t="s">
        <v>1450</v>
      </c>
      <c r="AD411" s="880" t="s">
        <v>1450</v>
      </c>
      <c r="AE411" s="880" t="s">
        <v>1450</v>
      </c>
      <c r="AF411" s="881" t="s">
        <v>1450</v>
      </c>
      <c r="AG411" s="880" t="s">
        <v>1450</v>
      </c>
      <c r="AH411" s="880" t="s">
        <v>1450</v>
      </c>
      <c r="AI411" s="881" t="s">
        <v>1450</v>
      </c>
    </row>
    <row r="412" spans="2:35" x14ac:dyDescent="0.2">
      <c r="B412" s="867">
        <v>78959000</v>
      </c>
      <c r="C412" s="876" t="s">
        <v>1447</v>
      </c>
      <c r="D412" s="877" t="s">
        <v>1447</v>
      </c>
      <c r="E412" s="877" t="s">
        <v>1447</v>
      </c>
      <c r="F412" s="877" t="s">
        <v>1447</v>
      </c>
      <c r="G412" s="877" t="s">
        <v>1447</v>
      </c>
      <c r="H412" s="877" t="s">
        <v>1447</v>
      </c>
      <c r="I412" s="877" t="s">
        <v>1447</v>
      </c>
      <c r="J412" s="878" t="s">
        <v>1447</v>
      </c>
      <c r="K412" s="877"/>
      <c r="L412" s="879">
        <v>99</v>
      </c>
      <c r="M412" s="880">
        <v>353</v>
      </c>
      <c r="N412" s="881">
        <v>0.28050000000000003</v>
      </c>
      <c r="O412" s="880">
        <v>130.8648269885652</v>
      </c>
      <c r="P412" s="880">
        <v>403</v>
      </c>
      <c r="Q412" s="881">
        <v>0.32472661783763074</v>
      </c>
      <c r="R412" s="880">
        <v>166.92514470192691</v>
      </c>
      <c r="S412" s="880">
        <v>441</v>
      </c>
      <c r="T412" s="881">
        <v>0.37851506735130819</v>
      </c>
      <c r="U412" s="880">
        <v>231.71465014577259</v>
      </c>
      <c r="V412" s="880">
        <v>534</v>
      </c>
      <c r="W412" s="881">
        <v>0.43392256581605354</v>
      </c>
      <c r="X412" s="880">
        <v>215.75615361936909</v>
      </c>
      <c r="Y412" s="880">
        <v>519</v>
      </c>
      <c r="Z412" s="881">
        <v>0.415715132214584</v>
      </c>
      <c r="AA412" s="880">
        <v>237.42582912601677</v>
      </c>
      <c r="AB412" s="880">
        <v>514</v>
      </c>
      <c r="AC412" s="881">
        <v>0.46191795549808712</v>
      </c>
      <c r="AD412" s="880">
        <v>237.77369737768342</v>
      </c>
      <c r="AE412" s="880">
        <v>535</v>
      </c>
      <c r="AF412" s="881">
        <v>0.44443681752838021</v>
      </c>
      <c r="AG412" s="880">
        <v>230.17674136558796</v>
      </c>
      <c r="AH412" s="880">
        <v>535</v>
      </c>
      <c r="AI412" s="881">
        <v>0.43023689974876256</v>
      </c>
    </row>
    <row r="413" spans="2:35" x14ac:dyDescent="0.2">
      <c r="B413" s="867">
        <v>78960000</v>
      </c>
      <c r="C413" s="876" t="s">
        <v>1447</v>
      </c>
      <c r="D413" s="877" t="s">
        <v>1448</v>
      </c>
      <c r="E413" s="877" t="s">
        <v>1448</v>
      </c>
      <c r="F413" s="877" t="s">
        <v>1448</v>
      </c>
      <c r="G413" s="877" t="s">
        <v>1448</v>
      </c>
      <c r="H413" s="877" t="s">
        <v>1448</v>
      </c>
      <c r="I413" s="877" t="s">
        <v>1448</v>
      </c>
      <c r="J413" s="878" t="s">
        <v>1448</v>
      </c>
      <c r="K413" s="877"/>
      <c r="L413" s="879">
        <v>17</v>
      </c>
      <c r="M413" s="880">
        <v>32</v>
      </c>
      <c r="N413" s="881">
        <v>0.53359999999999996</v>
      </c>
      <c r="O413" s="880">
        <v>0.88124462618562427</v>
      </c>
      <c r="P413" s="880">
        <v>2</v>
      </c>
      <c r="Q413" s="881">
        <v>0.44062231309281213</v>
      </c>
      <c r="R413" s="880">
        <v>0.49828401403560274</v>
      </c>
      <c r="S413" s="880">
        <v>2</v>
      </c>
      <c r="T413" s="881">
        <v>0.24914200701780137</v>
      </c>
      <c r="U413" s="880">
        <v>0.53267735665694849</v>
      </c>
      <c r="V413" s="880">
        <v>1</v>
      </c>
      <c r="W413" s="881">
        <v>0.53267735665694849</v>
      </c>
      <c r="X413" s="880">
        <v>2.5994717303538444</v>
      </c>
      <c r="Y413" s="880">
        <v>5</v>
      </c>
      <c r="Z413" s="881">
        <v>0.5198943460707689</v>
      </c>
      <c r="AA413" s="880" t="s">
        <v>1450</v>
      </c>
      <c r="AB413" s="880" t="s">
        <v>1450</v>
      </c>
      <c r="AC413" s="881" t="s">
        <v>1450</v>
      </c>
      <c r="AD413" s="880" t="s">
        <v>1450</v>
      </c>
      <c r="AE413" s="880" t="s">
        <v>1450</v>
      </c>
      <c r="AF413" s="881" t="s">
        <v>1450</v>
      </c>
      <c r="AG413" s="880" t="s">
        <v>1450</v>
      </c>
      <c r="AH413" s="880" t="s">
        <v>1450</v>
      </c>
      <c r="AI413" s="881" t="s">
        <v>1450</v>
      </c>
    </row>
    <row r="414" spans="2:35" x14ac:dyDescent="0.2">
      <c r="B414" s="867">
        <v>78962000</v>
      </c>
      <c r="C414" s="876" t="s">
        <v>1448</v>
      </c>
      <c r="D414" s="877" t="s">
        <v>1448</v>
      </c>
      <c r="E414" s="877" t="s">
        <v>1447</v>
      </c>
      <c r="F414" s="877" t="s">
        <v>1447</v>
      </c>
      <c r="G414" s="877" t="s">
        <v>1447</v>
      </c>
      <c r="H414" s="877" t="s">
        <v>1447</v>
      </c>
      <c r="I414" s="877" t="s">
        <v>1447</v>
      </c>
      <c r="J414" s="878" t="s">
        <v>1447</v>
      </c>
      <c r="K414" s="877"/>
      <c r="L414" s="879">
        <v>5</v>
      </c>
      <c r="M414" s="880">
        <v>34</v>
      </c>
      <c r="N414" s="881">
        <v>0.16009999999999999</v>
      </c>
      <c r="O414" s="880">
        <v>7.4905793225778066</v>
      </c>
      <c r="P414" s="880">
        <v>37</v>
      </c>
      <c r="Q414" s="881">
        <v>0.20244808979940018</v>
      </c>
      <c r="R414" s="880">
        <v>12.955384364925671</v>
      </c>
      <c r="S414" s="880">
        <v>41</v>
      </c>
      <c r="T414" s="881">
        <v>0.31598498451038221</v>
      </c>
      <c r="U414" s="880">
        <v>14.914965986394558</v>
      </c>
      <c r="V414" s="880">
        <v>44</v>
      </c>
      <c r="W414" s="881">
        <v>0.33897649969078542</v>
      </c>
      <c r="X414" s="880">
        <v>18.196302112476911</v>
      </c>
      <c r="Y414" s="880">
        <v>57</v>
      </c>
      <c r="Z414" s="881">
        <v>0.31923337039433175</v>
      </c>
      <c r="AA414" s="880">
        <v>23.687495713268493</v>
      </c>
      <c r="AB414" s="880">
        <v>48</v>
      </c>
      <c r="AC414" s="881">
        <v>0.49348949402642694</v>
      </c>
      <c r="AD414" s="880">
        <v>18.960402592616997</v>
      </c>
      <c r="AE414" s="880">
        <v>41</v>
      </c>
      <c r="AF414" s="881">
        <v>0.46244884372236578</v>
      </c>
      <c r="AG414" s="880">
        <v>19.305146050017054</v>
      </c>
      <c r="AH414" s="880">
        <v>50</v>
      </c>
      <c r="AI414" s="881">
        <v>0.3861029210003411</v>
      </c>
    </row>
    <row r="415" spans="2:35" x14ac:dyDescent="0.2">
      <c r="B415" s="867">
        <v>78963000</v>
      </c>
      <c r="C415" s="876" t="s">
        <v>1447</v>
      </c>
      <c r="D415" s="877" t="s">
        <v>1447</v>
      </c>
      <c r="E415" s="877" t="s">
        <v>1447</v>
      </c>
      <c r="F415" s="877" t="s">
        <v>1447</v>
      </c>
      <c r="G415" s="877" t="s">
        <v>1447</v>
      </c>
      <c r="H415" s="877" t="s">
        <v>1447</v>
      </c>
      <c r="I415" s="877" t="s">
        <v>1447</v>
      </c>
      <c r="J415" s="878" t="s">
        <v>1447</v>
      </c>
      <c r="K415" s="877"/>
      <c r="L415" s="879">
        <v>41</v>
      </c>
      <c r="M415" s="880">
        <v>166</v>
      </c>
      <c r="N415" s="881">
        <v>0.2457</v>
      </c>
      <c r="O415" s="880">
        <v>67.855836216293071</v>
      </c>
      <c r="P415" s="880">
        <v>208</v>
      </c>
      <c r="Q415" s="881">
        <v>0.32622998180910129</v>
      </c>
      <c r="R415" s="880">
        <v>47.83526534741786</v>
      </c>
      <c r="S415" s="880">
        <v>176</v>
      </c>
      <c r="T415" s="881">
        <v>0.271791280383056</v>
      </c>
      <c r="U415" s="880">
        <v>52.735058309037903</v>
      </c>
      <c r="V415" s="880">
        <v>170</v>
      </c>
      <c r="W415" s="881">
        <v>0.31020622534728176</v>
      </c>
      <c r="X415" s="880">
        <v>43.671125069944587</v>
      </c>
      <c r="Y415" s="880">
        <v>115</v>
      </c>
      <c r="Z415" s="881">
        <v>0.37974891365169205</v>
      </c>
      <c r="AA415" s="880">
        <v>69.40987115981001</v>
      </c>
      <c r="AB415" s="880">
        <v>128</v>
      </c>
      <c r="AC415" s="881">
        <v>0.5422646184360157</v>
      </c>
      <c r="AD415" s="880">
        <v>63.542970850932633</v>
      </c>
      <c r="AE415" s="880">
        <v>146</v>
      </c>
      <c r="AF415" s="881">
        <v>0.4352258277461139</v>
      </c>
      <c r="AG415" s="880">
        <v>49.500374487223212</v>
      </c>
      <c r="AH415" s="880">
        <v>130</v>
      </c>
      <c r="AI415" s="881">
        <v>0.38077211144017853</v>
      </c>
    </row>
    <row r="416" spans="2:35" x14ac:dyDescent="0.2">
      <c r="B416" s="867">
        <v>78964000</v>
      </c>
      <c r="C416" s="876" t="s">
        <v>1448</v>
      </c>
      <c r="D416" s="877" t="s">
        <v>1448</v>
      </c>
      <c r="E416" s="877" t="s">
        <v>1448</v>
      </c>
      <c r="F416" s="877" t="s">
        <v>1448</v>
      </c>
      <c r="G416" s="877" t="s">
        <v>1448</v>
      </c>
      <c r="H416" s="877" t="s">
        <v>1448</v>
      </c>
      <c r="I416" s="877" t="s">
        <v>1448</v>
      </c>
      <c r="J416" s="878" t="s">
        <v>1448</v>
      </c>
      <c r="K416" s="877"/>
      <c r="L416" s="879">
        <v>11</v>
      </c>
      <c r="M416" s="880">
        <v>179</v>
      </c>
      <c r="N416" s="881">
        <v>6.2399999999999997E-2</v>
      </c>
      <c r="O416" s="880">
        <v>16.743647897526863</v>
      </c>
      <c r="P416" s="880">
        <v>221</v>
      </c>
      <c r="Q416" s="881">
        <v>7.5763112658492587E-2</v>
      </c>
      <c r="R416" s="880">
        <v>0</v>
      </c>
      <c r="S416" s="880">
        <v>246</v>
      </c>
      <c r="T416" s="881">
        <v>0</v>
      </c>
      <c r="U416" s="880">
        <v>33.025996112730809</v>
      </c>
      <c r="V416" s="880">
        <v>277</v>
      </c>
      <c r="W416" s="881">
        <v>0.11922742278964191</v>
      </c>
      <c r="X416" s="880">
        <v>37.952287263166127</v>
      </c>
      <c r="Y416" s="880">
        <v>298</v>
      </c>
      <c r="Z416" s="881">
        <v>0.12735666866834272</v>
      </c>
      <c r="AA416" s="880" t="s">
        <v>1450</v>
      </c>
      <c r="AB416" s="880" t="s">
        <v>1450</v>
      </c>
      <c r="AC416" s="881" t="s">
        <v>1450</v>
      </c>
      <c r="AD416" s="880" t="s">
        <v>1450</v>
      </c>
      <c r="AE416" s="880" t="s">
        <v>1450</v>
      </c>
      <c r="AF416" s="881" t="s">
        <v>1450</v>
      </c>
      <c r="AG416" s="880" t="s">
        <v>1450</v>
      </c>
      <c r="AH416" s="880" t="s">
        <v>1450</v>
      </c>
      <c r="AI416" s="881" t="s">
        <v>1450</v>
      </c>
    </row>
    <row r="417" spans="2:35" x14ac:dyDescent="0.2">
      <c r="B417" s="867">
        <v>78967000</v>
      </c>
      <c r="C417" s="876" t="s">
        <v>1447</v>
      </c>
      <c r="D417" s="877" t="s">
        <v>1447</v>
      </c>
      <c r="E417" s="877" t="s">
        <v>1447</v>
      </c>
      <c r="F417" s="877" t="s">
        <v>1447</v>
      </c>
      <c r="G417" s="877" t="s">
        <v>1447</v>
      </c>
      <c r="H417" s="877" t="s">
        <v>1447</v>
      </c>
      <c r="I417" s="877" t="s">
        <v>1447</v>
      </c>
      <c r="J417" s="878" t="s">
        <v>1447</v>
      </c>
      <c r="K417" s="877"/>
      <c r="L417" s="879">
        <v>22</v>
      </c>
      <c r="M417" s="880">
        <v>79</v>
      </c>
      <c r="N417" s="881">
        <v>0.28179999999999999</v>
      </c>
      <c r="O417" s="880">
        <v>35.249785047424972</v>
      </c>
      <c r="P417" s="880">
        <v>103</v>
      </c>
      <c r="Q417" s="881">
        <v>0.34223092279053369</v>
      </c>
      <c r="R417" s="880">
        <v>32.886744926349778</v>
      </c>
      <c r="S417" s="880">
        <v>114</v>
      </c>
      <c r="T417" s="881">
        <v>0.28848021865219103</v>
      </c>
      <c r="U417" s="880">
        <v>47.940962099125365</v>
      </c>
      <c r="V417" s="880">
        <v>108</v>
      </c>
      <c r="W417" s="881">
        <v>0.44389779721412376</v>
      </c>
      <c r="X417" s="880">
        <v>41.59154768566151</v>
      </c>
      <c r="Y417" s="880">
        <v>108</v>
      </c>
      <c r="Z417" s="881">
        <v>0.38510692301538435</v>
      </c>
      <c r="AA417" s="880">
        <v>50.129351393196117</v>
      </c>
      <c r="AB417" s="880">
        <v>113</v>
      </c>
      <c r="AC417" s="881">
        <v>0.44362257870085059</v>
      </c>
      <c r="AD417" s="880">
        <v>44.070124945001666</v>
      </c>
      <c r="AE417" s="880">
        <v>110</v>
      </c>
      <c r="AF417" s="881">
        <v>0.40063749950001515</v>
      </c>
      <c r="AG417" s="880">
        <v>49.995378232095447</v>
      </c>
      <c r="AH417" s="880">
        <v>118</v>
      </c>
      <c r="AI417" s="881">
        <v>0.42368964603470716</v>
      </c>
    </row>
    <row r="418" spans="2:35" x14ac:dyDescent="0.2">
      <c r="B418" s="867">
        <v>78968000</v>
      </c>
      <c r="C418" s="876" t="s">
        <v>1447</v>
      </c>
      <c r="D418" s="877" t="s">
        <v>1447</v>
      </c>
      <c r="E418" s="877" t="s">
        <v>1447</v>
      </c>
      <c r="F418" s="877" t="s">
        <v>1447</v>
      </c>
      <c r="G418" s="877" t="s">
        <v>1447</v>
      </c>
      <c r="H418" s="877" t="s">
        <v>1447</v>
      </c>
      <c r="I418" s="877" t="s">
        <v>1447</v>
      </c>
      <c r="J418" s="878" t="s">
        <v>1447</v>
      </c>
      <c r="K418" s="877"/>
      <c r="L418" s="879">
        <v>83</v>
      </c>
      <c r="M418" s="880">
        <v>549</v>
      </c>
      <c r="N418" s="881">
        <v>0.15029999999999999</v>
      </c>
      <c r="O418" s="880">
        <v>114.56180140413116</v>
      </c>
      <c r="P418" s="880">
        <v>645</v>
      </c>
      <c r="Q418" s="881">
        <v>0.17761519597539716</v>
      </c>
      <c r="R418" s="880">
        <v>138.02467188786196</v>
      </c>
      <c r="S418" s="880">
        <v>764</v>
      </c>
      <c r="T418" s="881">
        <v>0.18066056529824864</v>
      </c>
      <c r="U418" s="880">
        <v>98.545310981535465</v>
      </c>
      <c r="V418" s="880">
        <v>520</v>
      </c>
      <c r="W418" s="881">
        <v>0.18951021342602975</v>
      </c>
      <c r="X418" s="880">
        <v>103.458974868083</v>
      </c>
      <c r="Y418" s="880">
        <v>497</v>
      </c>
      <c r="Z418" s="881">
        <v>0.20816695144483502</v>
      </c>
      <c r="AA418" s="880">
        <v>96.402598833069462</v>
      </c>
      <c r="AB418" s="880">
        <v>485</v>
      </c>
      <c r="AC418" s="881">
        <v>0.19876824501663806</v>
      </c>
      <c r="AD418" s="880">
        <v>113.76241555570198</v>
      </c>
      <c r="AE418" s="880">
        <v>532</v>
      </c>
      <c r="AF418" s="881">
        <v>0.21383912698440222</v>
      </c>
      <c r="AG418" s="880">
        <v>124.7409437078025</v>
      </c>
      <c r="AH418" s="880">
        <v>614</v>
      </c>
      <c r="AI418" s="881">
        <v>0.20316114610391287</v>
      </c>
    </row>
    <row r="419" spans="2:35" x14ac:dyDescent="0.2">
      <c r="B419" s="867">
        <v>78971000</v>
      </c>
      <c r="C419" s="876" t="s">
        <v>1448</v>
      </c>
      <c r="D419" s="877" t="s">
        <v>1448</v>
      </c>
      <c r="E419" s="877" t="s">
        <v>1448</v>
      </c>
      <c r="F419" s="877" t="s">
        <v>1447</v>
      </c>
      <c r="G419" s="877" t="s">
        <v>1447</v>
      </c>
      <c r="H419" s="877" t="s">
        <v>1447</v>
      </c>
      <c r="I419" s="877" t="s">
        <v>1447</v>
      </c>
      <c r="J419" s="878" t="s">
        <v>1447</v>
      </c>
      <c r="K419" s="877"/>
      <c r="L419" s="879">
        <v>27</v>
      </c>
      <c r="M419" s="880">
        <v>313</v>
      </c>
      <c r="N419" s="881">
        <v>8.77E-2</v>
      </c>
      <c r="O419" s="880">
        <v>45.824720561652462</v>
      </c>
      <c r="P419" s="880">
        <v>344</v>
      </c>
      <c r="Q419" s="881">
        <v>0.13321139698154785</v>
      </c>
      <c r="R419" s="880">
        <v>50.326685417595876</v>
      </c>
      <c r="S419" s="880">
        <v>353</v>
      </c>
      <c r="T419" s="881">
        <v>0.1425685139308665</v>
      </c>
      <c r="U419" s="880">
        <v>63.921282798833815</v>
      </c>
      <c r="V419" s="880">
        <v>410</v>
      </c>
      <c r="W419" s="881">
        <v>0.15590556780203368</v>
      </c>
      <c r="X419" s="880">
        <v>75.384680180261483</v>
      </c>
      <c r="Y419" s="880">
        <v>370</v>
      </c>
      <c r="Z419" s="881">
        <v>0.20374237886557159</v>
      </c>
      <c r="AA419" s="880">
        <v>111.27614265302874</v>
      </c>
      <c r="AB419" s="880">
        <v>423</v>
      </c>
      <c r="AC419" s="881">
        <v>0.26306416702843677</v>
      </c>
      <c r="AD419" s="880">
        <v>128.11082832849323</v>
      </c>
      <c r="AE419" s="880">
        <v>460</v>
      </c>
      <c r="AF419" s="881">
        <v>0.27850180071411573</v>
      </c>
      <c r="AG419" s="880">
        <v>99.990756464190895</v>
      </c>
      <c r="AH419" s="880">
        <v>418</v>
      </c>
      <c r="AI419" s="881">
        <v>0.23921233603873421</v>
      </c>
    </row>
    <row r="420" spans="2:35" x14ac:dyDescent="0.2">
      <c r="B420" s="867">
        <v>78972000</v>
      </c>
      <c r="C420" s="876" t="s">
        <v>1447</v>
      </c>
      <c r="D420" s="877" t="s">
        <v>1447</v>
      </c>
      <c r="E420" s="877" t="s">
        <v>1447</v>
      </c>
      <c r="F420" s="877" t="s">
        <v>1447</v>
      </c>
      <c r="G420" s="877" t="s">
        <v>1447</v>
      </c>
      <c r="H420" s="877" t="s">
        <v>1447</v>
      </c>
      <c r="I420" s="877" t="s">
        <v>1447</v>
      </c>
      <c r="J420" s="878" t="s">
        <v>1447</v>
      </c>
      <c r="K420" s="877"/>
      <c r="L420" s="879">
        <v>60</v>
      </c>
      <c r="M420" s="880">
        <v>235</v>
      </c>
      <c r="N420" s="881">
        <v>0.25480000000000003</v>
      </c>
      <c r="O420" s="880">
        <v>78.871394043613378</v>
      </c>
      <c r="P420" s="880">
        <v>317</v>
      </c>
      <c r="Q420" s="881">
        <v>0.24880565944357533</v>
      </c>
      <c r="R420" s="880">
        <v>116.10017527029544</v>
      </c>
      <c r="S420" s="880">
        <v>422</v>
      </c>
      <c r="T420" s="881">
        <v>0.27511889874477591</v>
      </c>
      <c r="U420" s="880">
        <v>147.55162779397472</v>
      </c>
      <c r="V420" s="880">
        <v>478</v>
      </c>
      <c r="W420" s="881">
        <v>0.3086854137949262</v>
      </c>
      <c r="X420" s="880">
        <v>136.21231867054146</v>
      </c>
      <c r="Y420" s="880">
        <v>456</v>
      </c>
      <c r="Z420" s="881">
        <v>0.29871122515469617</v>
      </c>
      <c r="AA420" s="880">
        <v>150.93892617292016</v>
      </c>
      <c r="AB420" s="880">
        <v>430</v>
      </c>
      <c r="AC420" s="881">
        <v>0.3510207585416748</v>
      </c>
      <c r="AD420" s="880">
        <v>136.82236465483075</v>
      </c>
      <c r="AE420" s="880">
        <v>404</v>
      </c>
      <c r="AF420" s="881">
        <v>0.33866921944265038</v>
      </c>
      <c r="AG420" s="880">
        <v>122.76092872831357</v>
      </c>
      <c r="AH420" s="880">
        <v>371</v>
      </c>
      <c r="AI420" s="881">
        <v>0.33089199118143819</v>
      </c>
    </row>
    <row r="421" spans="2:35" x14ac:dyDescent="0.2">
      <c r="B421" s="867">
        <v>78973000</v>
      </c>
      <c r="C421" s="876" t="s">
        <v>1447</v>
      </c>
      <c r="D421" s="877" t="s">
        <v>1448</v>
      </c>
      <c r="E421" s="877" t="s">
        <v>1447</v>
      </c>
      <c r="F421" s="877" t="s">
        <v>1447</v>
      </c>
      <c r="G421" s="877" t="s">
        <v>1447</v>
      </c>
      <c r="H421" s="877" t="s">
        <v>1448</v>
      </c>
      <c r="I421" s="877" t="s">
        <v>1448</v>
      </c>
      <c r="J421" s="878" t="s">
        <v>1448</v>
      </c>
      <c r="K421" s="877"/>
      <c r="L421" s="879">
        <v>62</v>
      </c>
      <c r="M421" s="880">
        <v>382</v>
      </c>
      <c r="N421" s="881">
        <v>0.16309999999999999</v>
      </c>
      <c r="O421" s="880">
        <v>55.959033762787143</v>
      </c>
      <c r="P421" s="880">
        <v>413</v>
      </c>
      <c r="Q421" s="881">
        <v>0.1354940284813248</v>
      </c>
      <c r="R421" s="880">
        <v>85.704850414123669</v>
      </c>
      <c r="S421" s="880">
        <v>434</v>
      </c>
      <c r="T421" s="881">
        <v>0.19747661385742782</v>
      </c>
      <c r="U421" s="880">
        <v>81.422332832456803</v>
      </c>
      <c r="V421" s="880">
        <v>506</v>
      </c>
      <c r="W421" s="881">
        <v>0.16091370124991464</v>
      </c>
      <c r="X421" s="880">
        <v>77.581428828504585</v>
      </c>
      <c r="Y421" s="880">
        <v>357</v>
      </c>
      <c r="Z421" s="881">
        <v>0.21731492669048905</v>
      </c>
      <c r="AA421" s="880" t="s">
        <v>1450</v>
      </c>
      <c r="AB421" s="880" t="s">
        <v>1450</v>
      </c>
      <c r="AC421" s="881" t="s">
        <v>1450</v>
      </c>
      <c r="AD421" s="880" t="s">
        <v>1450</v>
      </c>
      <c r="AE421" s="880" t="s">
        <v>1450</v>
      </c>
      <c r="AF421" s="881" t="s">
        <v>1450</v>
      </c>
      <c r="AG421" s="880" t="s">
        <v>1450</v>
      </c>
      <c r="AH421" s="880" t="s">
        <v>1450</v>
      </c>
      <c r="AI421" s="881" t="s">
        <v>1450</v>
      </c>
    </row>
    <row r="422" spans="2:35" x14ac:dyDescent="0.2">
      <c r="B422" s="867">
        <v>78974000</v>
      </c>
      <c r="C422" s="876" t="s">
        <v>1448</v>
      </c>
      <c r="D422" s="877" t="s">
        <v>1448</v>
      </c>
      <c r="E422" s="877" t="s">
        <v>1447</v>
      </c>
      <c r="F422" s="877" t="s">
        <v>1447</v>
      </c>
      <c r="G422" s="877" t="s">
        <v>1447</v>
      </c>
      <c r="H422" s="877" t="s">
        <v>1447</v>
      </c>
      <c r="I422" s="877" t="s">
        <v>1448</v>
      </c>
      <c r="J422" s="878" t="s">
        <v>1447</v>
      </c>
      <c r="K422" s="877"/>
      <c r="L422" s="879">
        <v>14</v>
      </c>
      <c r="M422" s="880">
        <v>101</v>
      </c>
      <c r="N422" s="881">
        <v>0.14219999999999999</v>
      </c>
      <c r="O422" s="880">
        <v>14.099914018969988</v>
      </c>
      <c r="P422" s="880">
        <v>104</v>
      </c>
      <c r="Q422" s="881">
        <v>0.1355760963362499</v>
      </c>
      <c r="R422" s="880">
        <v>14.948520421068082</v>
      </c>
      <c r="S422" s="880">
        <v>98</v>
      </c>
      <c r="T422" s="881">
        <v>0.15253592266396002</v>
      </c>
      <c r="U422" s="880">
        <v>20.241739552964042</v>
      </c>
      <c r="V422" s="880">
        <v>113</v>
      </c>
      <c r="W422" s="881">
        <v>0.17913043852180568</v>
      </c>
      <c r="X422" s="880">
        <v>17.156513420335372</v>
      </c>
      <c r="Y422" s="880">
        <v>105</v>
      </c>
      <c r="Z422" s="881">
        <v>0.16339536590795592</v>
      </c>
      <c r="AA422" s="880">
        <v>19.280519766613892</v>
      </c>
      <c r="AB422" s="880">
        <v>99</v>
      </c>
      <c r="AC422" s="881">
        <v>0.19475272491529183</v>
      </c>
      <c r="AD422" s="880">
        <v>12.29863951953535</v>
      </c>
      <c r="AE422" s="880">
        <v>92</v>
      </c>
      <c r="AF422" s="881">
        <v>0.13368086434277554</v>
      </c>
      <c r="AG422" s="880">
        <v>18.810142305144822</v>
      </c>
      <c r="AH422" s="880">
        <v>89</v>
      </c>
      <c r="AI422" s="881">
        <v>0.21134991354095306</v>
      </c>
    </row>
    <row r="423" spans="2:35" x14ac:dyDescent="0.2">
      <c r="B423" s="867">
        <v>78975000</v>
      </c>
      <c r="C423" s="876" t="s">
        <v>1447</v>
      </c>
      <c r="D423" s="877" t="s">
        <v>1447</v>
      </c>
      <c r="E423" s="877" t="s">
        <v>1447</v>
      </c>
      <c r="F423" s="877" t="s">
        <v>1447</v>
      </c>
      <c r="G423" s="877" t="s">
        <v>1447</v>
      </c>
      <c r="H423" s="877" t="s">
        <v>1447</v>
      </c>
      <c r="I423" s="877" t="s">
        <v>1447</v>
      </c>
      <c r="J423" s="878" t="s">
        <v>1447</v>
      </c>
      <c r="K423" s="877"/>
      <c r="L423" s="879">
        <v>42</v>
      </c>
      <c r="M423" s="880">
        <v>143</v>
      </c>
      <c r="N423" s="881">
        <v>0.29699999999999999</v>
      </c>
      <c r="O423" s="880">
        <v>62.568368459179325</v>
      </c>
      <c r="P423" s="880">
        <v>168</v>
      </c>
      <c r="Q423" s="881">
        <v>0.3724307646379722</v>
      </c>
      <c r="R423" s="880">
        <v>80.223726259732047</v>
      </c>
      <c r="S423" s="880">
        <v>186</v>
      </c>
      <c r="T423" s="881">
        <v>0.43131035623511854</v>
      </c>
      <c r="U423" s="880">
        <v>104.93743926141885</v>
      </c>
      <c r="V423" s="880">
        <v>217</v>
      </c>
      <c r="W423" s="881">
        <v>0.48358266940746014</v>
      </c>
      <c r="X423" s="880">
        <v>104.49876356022455</v>
      </c>
      <c r="Y423" s="880">
        <v>220</v>
      </c>
      <c r="Z423" s="881">
        <v>0.47499437981920251</v>
      </c>
      <c r="AA423" s="880">
        <v>127.25143045965169</v>
      </c>
      <c r="AB423" s="880">
        <v>231</v>
      </c>
      <c r="AC423" s="881">
        <v>0.55087199333182546</v>
      </c>
      <c r="AD423" s="880">
        <v>113.249972242388</v>
      </c>
      <c r="AE423" s="880">
        <v>240</v>
      </c>
      <c r="AF423" s="881">
        <v>0.47187488434328334</v>
      </c>
      <c r="AG423" s="880">
        <v>106.92080889240215</v>
      </c>
      <c r="AH423" s="880">
        <v>235</v>
      </c>
      <c r="AI423" s="881">
        <v>0.45498216549958359</v>
      </c>
    </row>
    <row r="424" spans="2:35" x14ac:dyDescent="0.2">
      <c r="B424" s="867">
        <v>78976000</v>
      </c>
      <c r="C424" s="876" t="s">
        <v>1447</v>
      </c>
      <c r="D424" s="877" t="s">
        <v>1447</v>
      </c>
      <c r="E424" s="877" t="s">
        <v>1447</v>
      </c>
      <c r="F424" s="877" t="s">
        <v>1447</v>
      </c>
      <c r="G424" s="877" t="s">
        <v>1447</v>
      </c>
      <c r="H424" s="877" t="s">
        <v>1447</v>
      </c>
      <c r="I424" s="877" t="s">
        <v>1447</v>
      </c>
      <c r="J424" s="878" t="s">
        <v>1447</v>
      </c>
      <c r="K424" s="877"/>
      <c r="L424" s="879">
        <v>34</v>
      </c>
      <c r="M424" s="880">
        <v>83</v>
      </c>
      <c r="N424" s="881">
        <v>0.41639999999999999</v>
      </c>
      <c r="O424" s="880">
        <v>40.537252804538717</v>
      </c>
      <c r="P424" s="880">
        <v>100</v>
      </c>
      <c r="Q424" s="881">
        <v>0.40537252804538715</v>
      </c>
      <c r="R424" s="880">
        <v>45.842129291275455</v>
      </c>
      <c r="S424" s="880">
        <v>105</v>
      </c>
      <c r="T424" s="881">
        <v>0.43659170753595672</v>
      </c>
      <c r="U424" s="880">
        <v>45.277575315840622</v>
      </c>
      <c r="V424" s="880">
        <v>98</v>
      </c>
      <c r="W424" s="881">
        <v>0.4620160746514349</v>
      </c>
      <c r="X424" s="880">
        <v>51.469540261006124</v>
      </c>
      <c r="Y424" s="880">
        <v>110</v>
      </c>
      <c r="Z424" s="881">
        <v>0.46790491146369201</v>
      </c>
      <c r="AA424" s="880">
        <v>47.925863419868818</v>
      </c>
      <c r="AB424" s="880">
        <v>107</v>
      </c>
      <c r="AC424" s="881">
        <v>0.44790526560625066</v>
      </c>
      <c r="AD424" s="880">
        <v>51.244331331397284</v>
      </c>
      <c r="AE424" s="880">
        <v>118</v>
      </c>
      <c r="AF424" s="881">
        <v>0.43427399433387531</v>
      </c>
      <c r="AG424" s="880">
        <v>47.520359507734284</v>
      </c>
      <c r="AH424" s="880">
        <v>110</v>
      </c>
      <c r="AI424" s="881">
        <v>0.43200326825212987</v>
      </c>
    </row>
    <row r="425" spans="2:35" x14ac:dyDescent="0.2">
      <c r="B425" s="867">
        <v>78977000</v>
      </c>
      <c r="C425" s="876" t="s">
        <v>1448</v>
      </c>
      <c r="D425" s="877" t="s">
        <v>1447</v>
      </c>
      <c r="E425" s="877" t="s">
        <v>1448</v>
      </c>
      <c r="F425" s="877" t="s">
        <v>1448</v>
      </c>
      <c r="G425" s="877" t="s">
        <v>1448</v>
      </c>
      <c r="H425" s="877" t="s">
        <v>1447</v>
      </c>
      <c r="I425" s="877" t="s">
        <v>1447</v>
      </c>
      <c r="J425" s="878" t="s">
        <v>1448</v>
      </c>
      <c r="K425" s="877"/>
      <c r="L425" s="879">
        <v>10</v>
      </c>
      <c r="M425" s="880">
        <v>79</v>
      </c>
      <c r="N425" s="881">
        <v>0.1201</v>
      </c>
      <c r="O425" s="880">
        <v>16.303025584434049</v>
      </c>
      <c r="P425" s="880">
        <v>96</v>
      </c>
      <c r="Q425" s="881">
        <v>0.16982318317118802</v>
      </c>
      <c r="R425" s="880">
        <v>18.4365085193173</v>
      </c>
      <c r="S425" s="880">
        <v>159</v>
      </c>
      <c r="T425" s="881">
        <v>0.11595288376929119</v>
      </c>
      <c r="U425" s="880">
        <v>24.503158406219629</v>
      </c>
      <c r="V425" s="880">
        <v>196</v>
      </c>
      <c r="W425" s="881">
        <v>0.12501611431744708</v>
      </c>
      <c r="X425" s="880">
        <v>11.957569959627685</v>
      </c>
      <c r="Y425" s="880">
        <v>184</v>
      </c>
      <c r="Z425" s="881">
        <v>6.4986793258846112E-2</v>
      </c>
      <c r="AA425" s="880">
        <v>31.39970361991405</v>
      </c>
      <c r="AB425" s="880">
        <v>192</v>
      </c>
      <c r="AC425" s="881">
        <v>0.16354012302038567</v>
      </c>
      <c r="AD425" s="880">
        <v>28.696825545582481</v>
      </c>
      <c r="AE425" s="880">
        <v>191</v>
      </c>
      <c r="AF425" s="881">
        <v>0.15024515992451562</v>
      </c>
      <c r="AG425" s="880">
        <v>20.295153539761518</v>
      </c>
      <c r="AH425" s="880">
        <v>171</v>
      </c>
      <c r="AI425" s="881">
        <v>0.118685108419658</v>
      </c>
    </row>
    <row r="426" spans="2:35" x14ac:dyDescent="0.2">
      <c r="B426" s="867">
        <v>78980000</v>
      </c>
      <c r="C426" s="876" t="s">
        <v>1447</v>
      </c>
      <c r="D426" s="877" t="s">
        <v>1447</v>
      </c>
      <c r="E426" s="877" t="s">
        <v>1448</v>
      </c>
      <c r="F426" s="877" t="s">
        <v>1448</v>
      </c>
      <c r="G426" s="877" t="s">
        <v>1448</v>
      </c>
      <c r="H426" s="877" t="s">
        <v>1448</v>
      </c>
      <c r="I426" s="877" t="s">
        <v>1448</v>
      </c>
      <c r="J426" s="878" t="s">
        <v>1447</v>
      </c>
      <c r="K426" s="877"/>
      <c r="L426" s="879">
        <v>87</v>
      </c>
      <c r="M426" s="880">
        <v>369</v>
      </c>
      <c r="N426" s="881">
        <v>0.2369</v>
      </c>
      <c r="O426" s="880">
        <v>25.115471846290291</v>
      </c>
      <c r="P426" s="880">
        <v>129</v>
      </c>
      <c r="Q426" s="881">
        <v>0.1946935802038007</v>
      </c>
      <c r="R426" s="880">
        <v>0.99656802807120548</v>
      </c>
      <c r="S426" s="880">
        <v>108</v>
      </c>
      <c r="T426" s="881">
        <v>9.2274817414000499E-3</v>
      </c>
      <c r="U426" s="880" t="s">
        <v>1450</v>
      </c>
      <c r="V426" s="880" t="s">
        <v>1450</v>
      </c>
      <c r="W426" s="881" t="s">
        <v>1450</v>
      </c>
      <c r="X426" s="880">
        <v>5.1989434607076888</v>
      </c>
      <c r="Y426" s="880">
        <v>116</v>
      </c>
      <c r="Z426" s="881">
        <v>4.4818478109549038E-2</v>
      </c>
      <c r="AA426" s="880" t="s">
        <v>1450</v>
      </c>
      <c r="AB426" s="880" t="s">
        <v>1450</v>
      </c>
      <c r="AC426" s="881" t="s">
        <v>1450</v>
      </c>
      <c r="AD426" s="880" t="s">
        <v>1450</v>
      </c>
      <c r="AE426" s="880" t="s">
        <v>1450</v>
      </c>
      <c r="AF426" s="881" t="s">
        <v>1450</v>
      </c>
      <c r="AG426" s="880">
        <v>15.345116091039197</v>
      </c>
      <c r="AH426" s="880">
        <v>43</v>
      </c>
      <c r="AI426" s="881">
        <v>0.35686316490788828</v>
      </c>
    </row>
    <row r="427" spans="2:35" x14ac:dyDescent="0.2">
      <c r="B427" s="867">
        <v>78981000</v>
      </c>
      <c r="C427" s="876" t="s">
        <v>1448</v>
      </c>
      <c r="D427" s="877" t="s">
        <v>1448</v>
      </c>
      <c r="E427" s="877" t="s">
        <v>1448</v>
      </c>
      <c r="F427" s="877" t="s">
        <v>1448</v>
      </c>
      <c r="G427" s="877" t="s">
        <v>1448</v>
      </c>
      <c r="H427" s="877" t="s">
        <v>1448</v>
      </c>
      <c r="I427" s="877" t="s">
        <v>1448</v>
      </c>
      <c r="J427" s="878" t="s">
        <v>1448</v>
      </c>
      <c r="K427" s="877"/>
      <c r="L427" s="879">
        <v>0</v>
      </c>
      <c r="M427" s="880">
        <v>73</v>
      </c>
      <c r="N427" s="881">
        <v>0</v>
      </c>
      <c r="O427" s="880">
        <v>1.3218669392784363</v>
      </c>
      <c r="P427" s="880">
        <v>71</v>
      </c>
      <c r="Q427" s="881">
        <v>1.8617844215189243E-2</v>
      </c>
      <c r="R427" s="880">
        <v>0</v>
      </c>
      <c r="S427" s="880">
        <v>80</v>
      </c>
      <c r="T427" s="881">
        <v>0</v>
      </c>
      <c r="U427" s="880">
        <v>0</v>
      </c>
      <c r="V427" s="880">
        <v>74</v>
      </c>
      <c r="W427" s="881">
        <v>0</v>
      </c>
      <c r="X427" s="880">
        <v>0</v>
      </c>
      <c r="Y427" s="880">
        <v>73</v>
      </c>
      <c r="Z427" s="881">
        <v>0</v>
      </c>
      <c r="AA427" s="880" t="s">
        <v>1450</v>
      </c>
      <c r="AB427" s="880" t="s">
        <v>1450</v>
      </c>
      <c r="AC427" s="881" t="s">
        <v>1450</v>
      </c>
      <c r="AD427" s="880" t="s">
        <v>1450</v>
      </c>
      <c r="AE427" s="880" t="s">
        <v>1450</v>
      </c>
      <c r="AF427" s="881" t="s">
        <v>1450</v>
      </c>
      <c r="AG427" s="880" t="s">
        <v>1450</v>
      </c>
      <c r="AH427" s="880" t="s">
        <v>1450</v>
      </c>
      <c r="AI427" s="881" t="s">
        <v>1450</v>
      </c>
    </row>
    <row r="428" spans="2:35" x14ac:dyDescent="0.2">
      <c r="B428" s="867">
        <v>78982000</v>
      </c>
      <c r="C428" s="876" t="s">
        <v>1448</v>
      </c>
      <c r="D428" s="877" t="s">
        <v>1448</v>
      </c>
      <c r="E428" s="877" t="s">
        <v>1448</v>
      </c>
      <c r="F428" s="877" t="s">
        <v>1448</v>
      </c>
      <c r="G428" s="877" t="s">
        <v>1448</v>
      </c>
      <c r="H428" s="877" t="s">
        <v>1448</v>
      </c>
      <c r="I428" s="877" t="s">
        <v>1448</v>
      </c>
      <c r="J428" s="878" t="s">
        <v>1448</v>
      </c>
      <c r="K428" s="877"/>
      <c r="L428" s="879">
        <v>8</v>
      </c>
      <c r="M428" s="880">
        <v>23</v>
      </c>
      <c r="N428" s="881">
        <v>0.35770000000000002</v>
      </c>
      <c r="O428" s="880">
        <v>8.3718239487634314</v>
      </c>
      <c r="P428" s="880">
        <v>19</v>
      </c>
      <c r="Q428" s="881">
        <v>0.44062231309281219</v>
      </c>
      <c r="R428" s="880">
        <v>0</v>
      </c>
      <c r="S428" s="880">
        <v>0</v>
      </c>
      <c r="T428" s="881">
        <v>0</v>
      </c>
      <c r="U428" s="880">
        <v>5.3267735665694849</v>
      </c>
      <c r="V428" s="880">
        <v>18</v>
      </c>
      <c r="W428" s="881">
        <v>0.2959318648094158</v>
      </c>
      <c r="X428" s="880">
        <v>1.5596830382123068</v>
      </c>
      <c r="Y428" s="880">
        <v>29</v>
      </c>
      <c r="Z428" s="881">
        <v>5.3782173731458854E-2</v>
      </c>
      <c r="AA428" s="880" t="s">
        <v>1450</v>
      </c>
      <c r="AB428" s="880" t="s">
        <v>1450</v>
      </c>
      <c r="AC428" s="881" t="s">
        <v>1450</v>
      </c>
      <c r="AD428" s="880" t="s">
        <v>1450</v>
      </c>
      <c r="AE428" s="880" t="s">
        <v>1450</v>
      </c>
      <c r="AF428" s="881" t="s">
        <v>1450</v>
      </c>
      <c r="AG428" s="880" t="s">
        <v>1450</v>
      </c>
      <c r="AH428" s="880" t="s">
        <v>1450</v>
      </c>
      <c r="AI428" s="881" t="s">
        <v>1450</v>
      </c>
    </row>
    <row r="429" spans="2:35" x14ac:dyDescent="0.2">
      <c r="B429" s="867">
        <v>78983000</v>
      </c>
      <c r="C429" s="876" t="s">
        <v>1447</v>
      </c>
      <c r="D429" s="877" t="s">
        <v>1447</v>
      </c>
      <c r="E429" s="877" t="s">
        <v>1447</v>
      </c>
      <c r="F429" s="877" t="s">
        <v>1447</v>
      </c>
      <c r="G429" s="877" t="s">
        <v>1447</v>
      </c>
      <c r="H429" s="877" t="s">
        <v>1447</v>
      </c>
      <c r="I429" s="877" t="s">
        <v>1447</v>
      </c>
      <c r="J429" s="878" t="s">
        <v>1447</v>
      </c>
      <c r="K429" s="877"/>
      <c r="L429" s="879">
        <v>187</v>
      </c>
      <c r="M429" s="880">
        <v>621</v>
      </c>
      <c r="N429" s="881">
        <v>0.30109999999999998</v>
      </c>
      <c r="O429" s="880">
        <v>214.58306647619952</v>
      </c>
      <c r="P429" s="880">
        <v>577</v>
      </c>
      <c r="Q429" s="881">
        <v>0.37189439597261614</v>
      </c>
      <c r="R429" s="880">
        <v>221.23810223180763</v>
      </c>
      <c r="S429" s="880">
        <v>507</v>
      </c>
      <c r="T429" s="881">
        <v>0.43636706554597166</v>
      </c>
      <c r="U429" s="880">
        <v>229.05126336248784</v>
      </c>
      <c r="V429" s="880">
        <v>430</v>
      </c>
      <c r="W429" s="881">
        <v>0.53267735665694849</v>
      </c>
      <c r="X429" s="880">
        <v>216.27604796543986</v>
      </c>
      <c r="Y429" s="880">
        <v>436</v>
      </c>
      <c r="Z429" s="881">
        <v>0.49604598157210977</v>
      </c>
      <c r="AA429" s="880">
        <v>183.9912457728297</v>
      </c>
      <c r="AB429" s="880">
        <v>354</v>
      </c>
      <c r="AC429" s="881">
        <v>0.5197492818441517</v>
      </c>
      <c r="AD429" s="880">
        <v>180.38004628651845</v>
      </c>
      <c r="AE429" s="880">
        <v>391</v>
      </c>
      <c r="AF429" s="881">
        <v>0.46133004165349989</v>
      </c>
      <c r="AG429" s="880">
        <v>170.77629198092009</v>
      </c>
      <c r="AH429" s="880">
        <v>351</v>
      </c>
      <c r="AI429" s="881">
        <v>0.48654214239578375</v>
      </c>
    </row>
    <row r="430" spans="2:35" x14ac:dyDescent="0.2">
      <c r="B430" s="867">
        <v>78984000</v>
      </c>
      <c r="C430" s="876" t="s">
        <v>1448</v>
      </c>
      <c r="D430" s="877" t="s">
        <v>1448</v>
      </c>
      <c r="E430" s="877" t="s">
        <v>1448</v>
      </c>
      <c r="F430" s="877" t="s">
        <v>1448</v>
      </c>
      <c r="G430" s="877" t="s">
        <v>1448</v>
      </c>
      <c r="H430" s="877" t="s">
        <v>1448</v>
      </c>
      <c r="I430" s="877" t="s">
        <v>1448</v>
      </c>
      <c r="J430" s="878" t="s">
        <v>1448</v>
      </c>
      <c r="K430" s="877"/>
      <c r="L430" s="879">
        <v>0</v>
      </c>
      <c r="M430" s="880">
        <v>320</v>
      </c>
      <c r="N430" s="881">
        <v>0</v>
      </c>
      <c r="O430" s="880">
        <v>0.44062231309281213</v>
      </c>
      <c r="P430" s="880">
        <v>319</v>
      </c>
      <c r="Q430" s="881">
        <v>1.381261169569944E-3</v>
      </c>
      <c r="R430" s="880">
        <v>0</v>
      </c>
      <c r="S430" s="880">
        <v>410</v>
      </c>
      <c r="T430" s="881">
        <v>0</v>
      </c>
      <c r="U430" s="880">
        <v>0.53267735665694849</v>
      </c>
      <c r="V430" s="880">
        <v>449</v>
      </c>
      <c r="W430" s="881">
        <v>1.1863638232894175E-3</v>
      </c>
      <c r="X430" s="880">
        <v>0</v>
      </c>
      <c r="Y430" s="880">
        <v>605</v>
      </c>
      <c r="Z430" s="881">
        <v>0</v>
      </c>
      <c r="AA430" s="880" t="s">
        <v>1450</v>
      </c>
      <c r="AB430" s="880" t="s">
        <v>1450</v>
      </c>
      <c r="AC430" s="881" t="s">
        <v>1450</v>
      </c>
      <c r="AD430" s="880" t="s">
        <v>1450</v>
      </c>
      <c r="AE430" s="880" t="s">
        <v>1450</v>
      </c>
      <c r="AF430" s="881" t="s">
        <v>1450</v>
      </c>
      <c r="AG430" s="880" t="s">
        <v>1450</v>
      </c>
      <c r="AH430" s="880" t="s">
        <v>1450</v>
      </c>
      <c r="AI430" s="881" t="s">
        <v>1450</v>
      </c>
    </row>
    <row r="431" spans="2:35" x14ac:dyDescent="0.2">
      <c r="B431" s="867">
        <v>78985000</v>
      </c>
      <c r="C431" s="876" t="s">
        <v>1447</v>
      </c>
      <c r="D431" s="877" t="s">
        <v>1447</v>
      </c>
      <c r="E431" s="877" t="s">
        <v>1447</v>
      </c>
      <c r="F431" s="877" t="s">
        <v>1447</v>
      </c>
      <c r="G431" s="877" t="s">
        <v>1447</v>
      </c>
      <c r="H431" s="877" t="s">
        <v>1447</v>
      </c>
      <c r="I431" s="877" t="s">
        <v>1447</v>
      </c>
      <c r="J431" s="878" t="s">
        <v>1447</v>
      </c>
      <c r="K431" s="877"/>
      <c r="L431" s="879">
        <v>174</v>
      </c>
      <c r="M431" s="880">
        <v>854</v>
      </c>
      <c r="N431" s="881">
        <v>0.20319999999999999</v>
      </c>
      <c r="O431" s="880">
        <v>285.08263657104948</v>
      </c>
      <c r="P431" s="880">
        <v>1052</v>
      </c>
      <c r="Q431" s="881">
        <v>0.27099109940213828</v>
      </c>
      <c r="R431" s="880">
        <v>353.28336595124233</v>
      </c>
      <c r="S431" s="880">
        <v>1182</v>
      </c>
      <c r="T431" s="881">
        <v>0.29888609640545039</v>
      </c>
      <c r="U431" s="880">
        <v>295.6359329446064</v>
      </c>
      <c r="V431" s="880">
        <v>825</v>
      </c>
      <c r="W431" s="881">
        <v>0.35834658538740172</v>
      </c>
      <c r="X431" s="880">
        <v>297.37956595247982</v>
      </c>
      <c r="Y431" s="880">
        <v>847</v>
      </c>
      <c r="Z431" s="881">
        <v>0.35109748046337641</v>
      </c>
      <c r="AA431" s="880">
        <v>302.979596332504</v>
      </c>
      <c r="AB431" s="880">
        <v>799</v>
      </c>
      <c r="AC431" s="881">
        <v>0.3791984935325457</v>
      </c>
      <c r="AD431" s="880">
        <v>285.4309255158829</v>
      </c>
      <c r="AE431" s="880">
        <v>761</v>
      </c>
      <c r="AF431" s="881">
        <v>0.37507348950838754</v>
      </c>
      <c r="AG431" s="880">
        <v>297.99225441308374</v>
      </c>
      <c r="AH431" s="880">
        <v>835</v>
      </c>
      <c r="AI431" s="881">
        <v>0.35687695139291464</v>
      </c>
    </row>
    <row r="432" spans="2:35" x14ac:dyDescent="0.2">
      <c r="B432" s="867">
        <v>78987000</v>
      </c>
      <c r="C432" s="876" t="s">
        <v>1447</v>
      </c>
      <c r="D432" s="877" t="s">
        <v>1447</v>
      </c>
      <c r="E432" s="877" t="s">
        <v>1447</v>
      </c>
      <c r="F432" s="877" t="s">
        <v>1447</v>
      </c>
      <c r="G432" s="877" t="s">
        <v>1447</v>
      </c>
      <c r="H432" s="877" t="s">
        <v>1447</v>
      </c>
      <c r="I432" s="877" t="s">
        <v>1447</v>
      </c>
      <c r="J432" s="878" t="s">
        <v>1447</v>
      </c>
      <c r="K432" s="877"/>
      <c r="L432" s="879">
        <v>90</v>
      </c>
      <c r="M432" s="880">
        <v>515</v>
      </c>
      <c r="N432" s="881">
        <v>0.1744</v>
      </c>
      <c r="O432" s="880">
        <v>110.15557827320303</v>
      </c>
      <c r="P432" s="880">
        <v>611</v>
      </c>
      <c r="Q432" s="881">
        <v>0.18028736214926847</v>
      </c>
      <c r="R432" s="880">
        <v>113.11047118608182</v>
      </c>
      <c r="S432" s="880">
        <v>600</v>
      </c>
      <c r="T432" s="881">
        <v>0.18851745197680303</v>
      </c>
      <c r="U432" s="880">
        <v>152.34572400388726</v>
      </c>
      <c r="V432" s="880">
        <v>596</v>
      </c>
      <c r="W432" s="881">
        <v>0.25561363087900546</v>
      </c>
      <c r="X432" s="880">
        <v>164.80650770443373</v>
      </c>
      <c r="Y432" s="880">
        <v>622</v>
      </c>
      <c r="Z432" s="881">
        <v>0.26496223103606709</v>
      </c>
      <c r="AA432" s="880">
        <v>172.42293391286137</v>
      </c>
      <c r="AB432" s="880">
        <v>635</v>
      </c>
      <c r="AC432" s="881">
        <v>0.27153217939033286</v>
      </c>
      <c r="AD432" s="880">
        <v>138.87213790808664</v>
      </c>
      <c r="AE432" s="880">
        <v>609</v>
      </c>
      <c r="AF432" s="881">
        <v>0.22803306717255606</v>
      </c>
      <c r="AG432" s="880">
        <v>269.28203721049431</v>
      </c>
      <c r="AH432" s="880">
        <v>625</v>
      </c>
      <c r="AI432" s="881">
        <v>0.43085125953679088</v>
      </c>
    </row>
    <row r="433" spans="2:35" x14ac:dyDescent="0.2">
      <c r="B433" s="867">
        <v>78988000</v>
      </c>
      <c r="C433" s="876" t="s">
        <v>1448</v>
      </c>
      <c r="D433" s="877" t="s">
        <v>1448</v>
      </c>
      <c r="E433" s="877" t="s">
        <v>1448</v>
      </c>
      <c r="F433" s="877" t="s">
        <v>1447</v>
      </c>
      <c r="G433" s="877" t="s">
        <v>1448</v>
      </c>
      <c r="H433" s="877" t="s">
        <v>1447</v>
      </c>
      <c r="I433" s="877" t="s">
        <v>1447</v>
      </c>
      <c r="J433" s="878" t="s">
        <v>1447</v>
      </c>
      <c r="K433" s="877"/>
      <c r="L433" s="879">
        <v>62</v>
      </c>
      <c r="M433" s="880">
        <v>550</v>
      </c>
      <c r="N433" s="881">
        <v>0.1128</v>
      </c>
      <c r="O433" s="880">
        <v>52.874677571137454</v>
      </c>
      <c r="P433" s="880">
        <v>607</v>
      </c>
      <c r="Q433" s="881">
        <v>8.7108200281939788E-2</v>
      </c>
      <c r="R433" s="880">
        <v>65.773489852699555</v>
      </c>
      <c r="S433" s="880">
        <v>602</v>
      </c>
      <c r="T433" s="881">
        <v>0.10925828879185973</v>
      </c>
      <c r="U433" s="880">
        <v>94.816569484936835</v>
      </c>
      <c r="V433" s="880">
        <v>590</v>
      </c>
      <c r="W433" s="881">
        <v>0.16070604997446922</v>
      </c>
      <c r="X433" s="880">
        <v>79.023940602756866</v>
      </c>
      <c r="Y433" s="880">
        <v>539</v>
      </c>
      <c r="Z433" s="881">
        <v>0.14661213469899234</v>
      </c>
      <c r="AA433" s="880">
        <v>89.241262919755727</v>
      </c>
      <c r="AB433" s="880">
        <v>567</v>
      </c>
      <c r="AC433" s="881">
        <v>0.15739199809480728</v>
      </c>
      <c r="AD433" s="880">
        <v>96.339342903026903</v>
      </c>
      <c r="AE433" s="880">
        <v>553</v>
      </c>
      <c r="AF433" s="881">
        <v>0.17421219331469603</v>
      </c>
      <c r="AG433" s="880">
        <v>94.050711525724111</v>
      </c>
      <c r="AH433" s="880">
        <v>543</v>
      </c>
      <c r="AI433" s="881">
        <v>0.17320573024995231</v>
      </c>
    </row>
    <row r="434" spans="2:35" x14ac:dyDescent="0.2">
      <c r="B434" s="867">
        <v>78990000</v>
      </c>
      <c r="C434" s="876" t="s">
        <v>1447</v>
      </c>
      <c r="D434" s="877" t="s">
        <v>1447</v>
      </c>
      <c r="E434" s="877" t="s">
        <v>1447</v>
      </c>
      <c r="F434" s="877" t="s">
        <v>1448</v>
      </c>
      <c r="G434" s="877" t="s">
        <v>1448</v>
      </c>
      <c r="H434" s="877" t="s">
        <v>1448</v>
      </c>
      <c r="I434" s="877" t="s">
        <v>1448</v>
      </c>
      <c r="J434" s="878" t="s">
        <v>1448</v>
      </c>
      <c r="K434" s="877"/>
      <c r="L434" s="879">
        <v>94</v>
      </c>
      <c r="M434" s="880">
        <v>300</v>
      </c>
      <c r="N434" s="881">
        <v>0.3125</v>
      </c>
      <c r="O434" s="880">
        <v>44.943475935466836</v>
      </c>
      <c r="P434" s="880">
        <v>108</v>
      </c>
      <c r="Q434" s="881">
        <v>0.41614329569876701</v>
      </c>
      <c r="R434" s="880">
        <v>39.364437108812616</v>
      </c>
      <c r="S434" s="880">
        <v>85</v>
      </c>
      <c r="T434" s="881">
        <v>0.46311102480956018</v>
      </c>
      <c r="U434" s="880" t="s">
        <v>1450</v>
      </c>
      <c r="V434" s="880" t="s">
        <v>1450</v>
      </c>
      <c r="W434" s="881" t="s">
        <v>1450</v>
      </c>
      <c r="X434" s="880" t="s">
        <v>1450</v>
      </c>
      <c r="Y434" s="880" t="s">
        <v>1450</v>
      </c>
      <c r="Z434" s="881" t="s">
        <v>1450</v>
      </c>
      <c r="AA434" s="880" t="s">
        <v>1450</v>
      </c>
      <c r="AB434" s="880" t="s">
        <v>1450</v>
      </c>
      <c r="AC434" s="881" t="s">
        <v>1450</v>
      </c>
      <c r="AD434" s="880" t="s">
        <v>1450</v>
      </c>
      <c r="AE434" s="880" t="s">
        <v>1450</v>
      </c>
      <c r="AF434" s="881" t="s">
        <v>1450</v>
      </c>
      <c r="AG434" s="880" t="s">
        <v>1450</v>
      </c>
      <c r="AH434" s="880" t="s">
        <v>1450</v>
      </c>
      <c r="AI434" s="881" t="s">
        <v>1450</v>
      </c>
    </row>
    <row r="435" spans="2:35" x14ac:dyDescent="0.2">
      <c r="B435" s="867">
        <v>78991000</v>
      </c>
      <c r="C435" s="876" t="s">
        <v>1448</v>
      </c>
      <c r="D435" s="877" t="s">
        <v>1448</v>
      </c>
      <c r="E435" s="877" t="s">
        <v>1448</v>
      </c>
      <c r="F435" s="877" t="s">
        <v>1447</v>
      </c>
      <c r="G435" s="877" t="s">
        <v>1448</v>
      </c>
      <c r="H435" s="877" t="s">
        <v>1447</v>
      </c>
      <c r="I435" s="877" t="s">
        <v>1448</v>
      </c>
      <c r="J435" s="878" t="s">
        <v>1448</v>
      </c>
      <c r="K435" s="877"/>
      <c r="L435" s="879">
        <v>2</v>
      </c>
      <c r="M435" s="880">
        <v>139</v>
      </c>
      <c r="N435" s="881">
        <v>1.1299999999999999E-2</v>
      </c>
      <c r="O435" s="880">
        <v>25.115471846290291</v>
      </c>
      <c r="P435" s="880">
        <v>210</v>
      </c>
      <c r="Q435" s="881">
        <v>0.11959748498233472</v>
      </c>
      <c r="R435" s="880">
        <v>39.364437108812616</v>
      </c>
      <c r="S435" s="880">
        <v>288</v>
      </c>
      <c r="T435" s="881">
        <v>0.13668207329448825</v>
      </c>
      <c r="U435" s="880">
        <v>54.865767735665692</v>
      </c>
      <c r="V435" s="880">
        <v>330</v>
      </c>
      <c r="W435" s="881">
        <v>0.16625990222928996</v>
      </c>
      <c r="X435" s="880">
        <v>44.191019416015358</v>
      </c>
      <c r="Y435" s="880">
        <v>316</v>
      </c>
      <c r="Z435" s="881">
        <v>0.13984499815194734</v>
      </c>
      <c r="AA435" s="880">
        <v>47.925863419868818</v>
      </c>
      <c r="AB435" s="880">
        <v>278</v>
      </c>
      <c r="AC435" s="881">
        <v>0.1723951921578015</v>
      </c>
      <c r="AD435" s="880">
        <v>17.423072652675078</v>
      </c>
      <c r="AE435" s="880">
        <v>188</v>
      </c>
      <c r="AF435" s="881">
        <v>9.2675918365292972E-2</v>
      </c>
      <c r="AG435" s="880">
        <v>32.175243416695089</v>
      </c>
      <c r="AH435" s="880">
        <v>235</v>
      </c>
      <c r="AI435" s="881">
        <v>0.13691592943274505</v>
      </c>
    </row>
    <row r="436" spans="2:35" x14ac:dyDescent="0.2">
      <c r="B436" s="867">
        <v>78992000</v>
      </c>
      <c r="C436" s="876" t="s">
        <v>1447</v>
      </c>
      <c r="D436" s="877" t="s">
        <v>1447</v>
      </c>
      <c r="E436" s="877" t="s">
        <v>1447</v>
      </c>
      <c r="F436" s="877" t="s">
        <v>1447</v>
      </c>
      <c r="G436" s="877" t="s">
        <v>1447</v>
      </c>
      <c r="H436" s="877" t="s">
        <v>1447</v>
      </c>
      <c r="I436" s="877" t="s">
        <v>1447</v>
      </c>
      <c r="J436" s="878" t="s">
        <v>1447</v>
      </c>
      <c r="K436" s="877"/>
      <c r="L436" s="879">
        <v>48</v>
      </c>
      <c r="M436" s="880">
        <v>150</v>
      </c>
      <c r="N436" s="881">
        <v>0.32040000000000002</v>
      </c>
      <c r="O436" s="880">
        <v>72.702681660313999</v>
      </c>
      <c r="P436" s="880">
        <v>191</v>
      </c>
      <c r="Q436" s="881">
        <v>0.38064231235766494</v>
      </c>
      <c r="R436" s="880">
        <v>59.794081684272328</v>
      </c>
      <c r="S436" s="880">
        <v>207</v>
      </c>
      <c r="T436" s="881">
        <v>0.28886029799165375</v>
      </c>
      <c r="U436" s="880">
        <v>117.18901846452867</v>
      </c>
      <c r="V436" s="880">
        <v>230</v>
      </c>
      <c r="W436" s="881">
        <v>0.50951747158490723</v>
      </c>
      <c r="X436" s="880">
        <v>83.702989717393791</v>
      </c>
      <c r="Y436" s="880">
        <v>218</v>
      </c>
      <c r="Z436" s="881">
        <v>0.38395866842841186</v>
      </c>
      <c r="AA436" s="880">
        <v>190.05083769947979</v>
      </c>
      <c r="AB436" s="880">
        <v>380</v>
      </c>
      <c r="AC436" s="881">
        <v>0.50013378341968362</v>
      </c>
      <c r="AD436" s="880">
        <v>147.07123092111021</v>
      </c>
      <c r="AE436" s="880">
        <v>293</v>
      </c>
      <c r="AF436" s="881">
        <v>0.50194959358740687</v>
      </c>
      <c r="AG436" s="880">
        <v>73.260554241090361</v>
      </c>
      <c r="AH436" s="880">
        <v>192</v>
      </c>
      <c r="AI436" s="881">
        <v>0.38156538667234563</v>
      </c>
    </row>
    <row r="437" spans="2:35" x14ac:dyDescent="0.2">
      <c r="B437" s="867">
        <v>78993000</v>
      </c>
      <c r="C437" s="876" t="s">
        <v>1447</v>
      </c>
      <c r="D437" s="877" t="s">
        <v>1447</v>
      </c>
      <c r="E437" s="877" t="s">
        <v>1447</v>
      </c>
      <c r="F437" s="877" t="s">
        <v>1447</v>
      </c>
      <c r="G437" s="877" t="s">
        <v>1447</v>
      </c>
      <c r="H437" s="877" t="s">
        <v>1447</v>
      </c>
      <c r="I437" s="877" t="s">
        <v>1447</v>
      </c>
      <c r="J437" s="878" t="s">
        <v>1447</v>
      </c>
      <c r="K437" s="877"/>
      <c r="L437" s="879">
        <v>65</v>
      </c>
      <c r="M437" s="880">
        <v>367</v>
      </c>
      <c r="N437" s="881">
        <v>0.1762</v>
      </c>
      <c r="O437" s="880">
        <v>80.633883295984617</v>
      </c>
      <c r="P437" s="880">
        <v>328</v>
      </c>
      <c r="Q437" s="881">
        <v>0.24583501004873359</v>
      </c>
      <c r="R437" s="880">
        <v>113.11047118608182</v>
      </c>
      <c r="S437" s="880">
        <v>326</v>
      </c>
      <c r="T437" s="881">
        <v>0.3469646355401283</v>
      </c>
      <c r="U437" s="880">
        <v>129.97327502429542</v>
      </c>
      <c r="V437" s="880">
        <v>340</v>
      </c>
      <c r="W437" s="881">
        <v>0.38227433830675123</v>
      </c>
      <c r="X437" s="880">
        <v>127.37411478733839</v>
      </c>
      <c r="Y437" s="880">
        <v>378</v>
      </c>
      <c r="Z437" s="881">
        <v>0.33696855763846134</v>
      </c>
      <c r="AA437" s="880">
        <v>145.98107823293375</v>
      </c>
      <c r="AB437" s="880">
        <v>346</v>
      </c>
      <c r="AC437" s="881">
        <v>0.42191063073102242</v>
      </c>
      <c r="AD437" s="880">
        <v>140.92191116134254</v>
      </c>
      <c r="AE437" s="880">
        <v>354</v>
      </c>
      <c r="AF437" s="881">
        <v>0.39808449480605235</v>
      </c>
      <c r="AG437" s="880">
        <v>131.17599239114151</v>
      </c>
      <c r="AH437" s="880">
        <v>353</v>
      </c>
      <c r="AI437" s="881">
        <v>0.37160337787858783</v>
      </c>
    </row>
    <row r="438" spans="2:35" x14ac:dyDescent="0.2">
      <c r="B438" s="867">
        <v>78994000</v>
      </c>
      <c r="C438" s="876" t="s">
        <v>1448</v>
      </c>
      <c r="D438" s="877" t="s">
        <v>1448</v>
      </c>
      <c r="E438" s="877" t="s">
        <v>1448</v>
      </c>
      <c r="F438" s="877" t="s">
        <v>1448</v>
      </c>
      <c r="G438" s="877" t="s">
        <v>1448</v>
      </c>
      <c r="H438" s="877" t="s">
        <v>1448</v>
      </c>
      <c r="I438" s="877" t="s">
        <v>1448</v>
      </c>
      <c r="J438" s="878" t="s">
        <v>1448</v>
      </c>
      <c r="K438" s="877"/>
      <c r="L438" s="879">
        <v>0</v>
      </c>
      <c r="M438" s="880">
        <v>138</v>
      </c>
      <c r="N438" s="881">
        <v>0</v>
      </c>
      <c r="O438" s="880">
        <v>1.7624892523712485</v>
      </c>
      <c r="P438" s="880">
        <v>117</v>
      </c>
      <c r="Q438" s="881">
        <v>1.5064010704027766E-2</v>
      </c>
      <c r="R438" s="880">
        <v>0</v>
      </c>
      <c r="S438" s="880">
        <v>108</v>
      </c>
      <c r="T438" s="881">
        <v>0</v>
      </c>
      <c r="U438" s="880">
        <v>0</v>
      </c>
      <c r="V438" s="880">
        <v>98</v>
      </c>
      <c r="W438" s="881">
        <v>0</v>
      </c>
      <c r="X438" s="880">
        <v>0</v>
      </c>
      <c r="Y438" s="880">
        <v>148</v>
      </c>
      <c r="Z438" s="881">
        <v>0</v>
      </c>
      <c r="AA438" s="880" t="s">
        <v>1450</v>
      </c>
      <c r="AB438" s="880" t="s">
        <v>1450</v>
      </c>
      <c r="AC438" s="881" t="s">
        <v>1450</v>
      </c>
      <c r="AD438" s="880" t="s">
        <v>1450</v>
      </c>
      <c r="AE438" s="880" t="s">
        <v>1450</v>
      </c>
      <c r="AF438" s="881" t="s">
        <v>1450</v>
      </c>
      <c r="AG438" s="880" t="s">
        <v>1450</v>
      </c>
      <c r="AH438" s="880" t="s">
        <v>1450</v>
      </c>
      <c r="AI438" s="881" t="s">
        <v>1450</v>
      </c>
    </row>
    <row r="439" spans="2:35" x14ac:dyDescent="0.2">
      <c r="B439" s="867">
        <v>78995000</v>
      </c>
      <c r="C439" s="876" t="s">
        <v>1447</v>
      </c>
      <c r="D439" s="877" t="s">
        <v>1447</v>
      </c>
      <c r="E439" s="877" t="s">
        <v>1447</v>
      </c>
      <c r="F439" s="877" t="s">
        <v>1447</v>
      </c>
      <c r="G439" s="877" t="s">
        <v>1447</v>
      </c>
      <c r="H439" s="877" t="s">
        <v>1447</v>
      </c>
      <c r="I439" s="877" t="s">
        <v>1447</v>
      </c>
      <c r="J439" s="878" t="s">
        <v>1447</v>
      </c>
      <c r="K439" s="877"/>
      <c r="L439" s="879">
        <v>84</v>
      </c>
      <c r="M439" s="880">
        <v>277</v>
      </c>
      <c r="N439" s="881">
        <v>0.3039</v>
      </c>
      <c r="O439" s="880">
        <v>87.683840305469616</v>
      </c>
      <c r="P439" s="880">
        <v>238</v>
      </c>
      <c r="Q439" s="881">
        <v>0.3684194970818051</v>
      </c>
      <c r="R439" s="880">
        <v>96.667098722906928</v>
      </c>
      <c r="S439" s="880">
        <v>227</v>
      </c>
      <c r="T439" s="881">
        <v>0.42584624988064729</v>
      </c>
      <c r="U439" s="880">
        <v>117.18901846452867</v>
      </c>
      <c r="V439" s="880">
        <v>244</v>
      </c>
      <c r="W439" s="881">
        <v>0.48028286255954372</v>
      </c>
      <c r="X439" s="880">
        <v>99.299820099516865</v>
      </c>
      <c r="Y439" s="880">
        <v>234</v>
      </c>
      <c r="Z439" s="881">
        <v>0.42435820555349085</v>
      </c>
      <c r="AA439" s="880">
        <v>167.46508597287493</v>
      </c>
      <c r="AB439" s="880">
        <v>389</v>
      </c>
      <c r="AC439" s="881">
        <v>0.43050150635700496</v>
      </c>
      <c r="AD439" s="880">
        <v>163.46941694715736</v>
      </c>
      <c r="AE439" s="880">
        <v>388</v>
      </c>
      <c r="AF439" s="881">
        <v>0.42131293027617878</v>
      </c>
      <c r="AG439" s="880">
        <v>184.6363968373426</v>
      </c>
      <c r="AH439" s="880">
        <v>434</v>
      </c>
      <c r="AI439" s="881">
        <v>0.42542948580032858</v>
      </c>
    </row>
    <row r="440" spans="2:35" x14ac:dyDescent="0.2">
      <c r="B440" s="867">
        <v>78997000</v>
      </c>
      <c r="C440" s="876" t="s">
        <v>1448</v>
      </c>
      <c r="D440" s="877" t="s">
        <v>1448</v>
      </c>
      <c r="E440" s="877" t="s">
        <v>1448</v>
      </c>
      <c r="F440" s="877" t="s">
        <v>1448</v>
      </c>
      <c r="G440" s="877" t="s">
        <v>1448</v>
      </c>
      <c r="H440" s="877" t="s">
        <v>1448</v>
      </c>
      <c r="I440" s="877" t="s">
        <v>1448</v>
      </c>
      <c r="J440" s="878" t="s">
        <v>1448</v>
      </c>
      <c r="K440" s="877"/>
      <c r="L440" s="879">
        <v>0</v>
      </c>
      <c r="M440" s="880">
        <v>158</v>
      </c>
      <c r="N440" s="881">
        <v>0</v>
      </c>
      <c r="O440" s="880">
        <v>0</v>
      </c>
      <c r="P440" s="880">
        <v>199</v>
      </c>
      <c r="Q440" s="881">
        <v>0</v>
      </c>
      <c r="R440" s="880">
        <v>0</v>
      </c>
      <c r="S440" s="880">
        <v>236</v>
      </c>
      <c r="T440" s="881">
        <v>0</v>
      </c>
      <c r="U440" s="880">
        <v>0</v>
      </c>
      <c r="V440" s="880">
        <v>280</v>
      </c>
      <c r="W440" s="881">
        <v>0</v>
      </c>
      <c r="X440" s="880">
        <v>0</v>
      </c>
      <c r="Y440" s="880">
        <v>260</v>
      </c>
      <c r="Z440" s="881">
        <v>0</v>
      </c>
      <c r="AA440" s="880" t="s">
        <v>1450</v>
      </c>
      <c r="AB440" s="880" t="s">
        <v>1450</v>
      </c>
      <c r="AC440" s="881" t="s">
        <v>1450</v>
      </c>
      <c r="AD440" s="880" t="s">
        <v>1450</v>
      </c>
      <c r="AE440" s="880" t="s">
        <v>1450</v>
      </c>
      <c r="AF440" s="881" t="s">
        <v>1450</v>
      </c>
      <c r="AG440" s="880" t="s">
        <v>1450</v>
      </c>
      <c r="AH440" s="880" t="s">
        <v>1450</v>
      </c>
      <c r="AI440" s="881" t="s">
        <v>1450</v>
      </c>
    </row>
    <row r="441" spans="2:35" x14ac:dyDescent="0.2">
      <c r="B441" s="867">
        <v>78998000</v>
      </c>
      <c r="C441" s="876" t="s">
        <v>1448</v>
      </c>
      <c r="D441" s="877" t="s">
        <v>1448</v>
      </c>
      <c r="E441" s="877" t="s">
        <v>1448</v>
      </c>
      <c r="F441" s="877" t="s">
        <v>1448</v>
      </c>
      <c r="G441" s="877" t="s">
        <v>1448</v>
      </c>
      <c r="H441" s="877" t="s">
        <v>1448</v>
      </c>
      <c r="I441" s="877" t="s">
        <v>1448</v>
      </c>
      <c r="J441" s="878" t="s">
        <v>1448</v>
      </c>
      <c r="K441" s="877"/>
      <c r="L441" s="879">
        <v>42</v>
      </c>
      <c r="M441" s="880">
        <v>599</v>
      </c>
      <c r="N441" s="881">
        <v>6.93E-2</v>
      </c>
      <c r="O441" s="880">
        <v>62.568368459179325</v>
      </c>
      <c r="P441" s="880">
        <v>702</v>
      </c>
      <c r="Q441" s="881">
        <v>8.9128729998830952E-2</v>
      </c>
      <c r="R441" s="880">
        <v>63.282069782521546</v>
      </c>
      <c r="S441" s="880">
        <v>771</v>
      </c>
      <c r="T441" s="881">
        <v>8.2077911520780214E-2</v>
      </c>
      <c r="U441" s="880">
        <v>56.46379980563654</v>
      </c>
      <c r="V441" s="880">
        <v>761</v>
      </c>
      <c r="W441" s="881">
        <v>7.4196845999522393E-2</v>
      </c>
      <c r="X441" s="880">
        <v>62.907215874563036</v>
      </c>
      <c r="Y441" s="880">
        <v>746</v>
      </c>
      <c r="Z441" s="881">
        <v>8.4326026641505417E-2</v>
      </c>
      <c r="AA441" s="880" t="s">
        <v>1450</v>
      </c>
      <c r="AB441" s="880" t="s">
        <v>1450</v>
      </c>
      <c r="AC441" s="881" t="s">
        <v>1450</v>
      </c>
      <c r="AD441" s="880" t="s">
        <v>1450</v>
      </c>
      <c r="AE441" s="880" t="s">
        <v>1450</v>
      </c>
      <c r="AF441" s="881" t="s">
        <v>1450</v>
      </c>
      <c r="AG441" s="880" t="s">
        <v>1450</v>
      </c>
      <c r="AH441" s="880" t="s">
        <v>1450</v>
      </c>
      <c r="AI441" s="881" t="s">
        <v>1450</v>
      </c>
    </row>
    <row r="442" spans="2:35" x14ac:dyDescent="0.2">
      <c r="B442" s="867">
        <v>78999000</v>
      </c>
      <c r="C442" s="876" t="s">
        <v>1447</v>
      </c>
      <c r="D442" s="877" t="s">
        <v>1447</v>
      </c>
      <c r="E442" s="877" t="s">
        <v>1447</v>
      </c>
      <c r="F442" s="877" t="s">
        <v>1447</v>
      </c>
      <c r="G442" s="877" t="s">
        <v>1447</v>
      </c>
      <c r="H442" s="877" t="s">
        <v>1447</v>
      </c>
      <c r="I442" s="877" t="s">
        <v>1447</v>
      </c>
      <c r="J442" s="878" t="s">
        <v>1447</v>
      </c>
      <c r="K442" s="877"/>
      <c r="L442" s="879">
        <v>101</v>
      </c>
      <c r="M442" s="880">
        <v>225</v>
      </c>
      <c r="N442" s="881">
        <v>0.4516</v>
      </c>
      <c r="O442" s="880">
        <v>156.86154346104112</v>
      </c>
      <c r="P442" s="880">
        <v>373</v>
      </c>
      <c r="Q442" s="881">
        <v>0.4205403309947483</v>
      </c>
      <c r="R442" s="880">
        <v>183.86680117913741</v>
      </c>
      <c r="S442" s="880">
        <v>391</v>
      </c>
      <c r="T442" s="881">
        <v>0.47024757334817752</v>
      </c>
      <c r="U442" s="880">
        <v>170.45675413022352</v>
      </c>
      <c r="V442" s="880">
        <v>367</v>
      </c>
      <c r="W442" s="881">
        <v>0.46445982051832019</v>
      </c>
      <c r="X442" s="880">
        <v>182.48291547083988</v>
      </c>
      <c r="Y442" s="880">
        <v>366</v>
      </c>
      <c r="Z442" s="881">
        <v>0.49858720073999968</v>
      </c>
      <c r="AA442" s="880">
        <v>184.54211776616154</v>
      </c>
      <c r="AB442" s="880">
        <v>343</v>
      </c>
      <c r="AC442" s="881">
        <v>0.5380236669567392</v>
      </c>
      <c r="AD442" s="880">
        <v>181.91737622646036</v>
      </c>
      <c r="AE442" s="880">
        <v>374</v>
      </c>
      <c r="AF442" s="881">
        <v>0.4864100968621935</v>
      </c>
      <c r="AG442" s="880">
        <v>167.80626951168671</v>
      </c>
      <c r="AH442" s="880">
        <v>339</v>
      </c>
      <c r="AI442" s="881">
        <v>0.4950037448722322</v>
      </c>
    </row>
    <row r="443" spans="2:35" x14ac:dyDescent="0.2">
      <c r="B443" s="867">
        <v>79999001</v>
      </c>
      <c r="C443" s="876" t="s">
        <v>1448</v>
      </c>
      <c r="D443" s="877" t="s">
        <v>1448</v>
      </c>
      <c r="E443" s="877" t="s">
        <v>1448</v>
      </c>
      <c r="F443" s="877" t="s">
        <v>1448</v>
      </c>
      <c r="G443" s="877" t="s">
        <v>1448</v>
      </c>
      <c r="H443" s="877" t="s">
        <v>1448</v>
      </c>
      <c r="I443" s="877" t="s">
        <v>1448</v>
      </c>
      <c r="J443" s="878" t="s">
        <v>1448</v>
      </c>
      <c r="K443" s="877"/>
      <c r="L443" s="879" t="s">
        <v>1450</v>
      </c>
      <c r="M443" s="880" t="s">
        <v>1450</v>
      </c>
      <c r="N443" s="881" t="s">
        <v>1450</v>
      </c>
      <c r="O443" s="880" t="s">
        <v>1450</v>
      </c>
      <c r="P443" s="880" t="s">
        <v>1450</v>
      </c>
      <c r="Q443" s="881" t="s">
        <v>1450</v>
      </c>
      <c r="R443" s="880" t="s">
        <v>1450</v>
      </c>
      <c r="S443" s="880" t="s">
        <v>1450</v>
      </c>
      <c r="T443" s="881" t="s">
        <v>1450</v>
      </c>
      <c r="U443" s="880" t="s">
        <v>1450</v>
      </c>
      <c r="V443" s="880" t="s">
        <v>1450</v>
      </c>
      <c r="W443" s="881" t="s">
        <v>1450</v>
      </c>
      <c r="X443" s="880" t="s">
        <v>1450</v>
      </c>
      <c r="Y443" s="880" t="s">
        <v>1450</v>
      </c>
      <c r="Z443" s="881" t="s">
        <v>1450</v>
      </c>
      <c r="AA443" s="880" t="s">
        <v>1450</v>
      </c>
      <c r="AB443" s="880" t="s">
        <v>1450</v>
      </c>
      <c r="AC443" s="881" t="s">
        <v>1450</v>
      </c>
      <c r="AD443" s="880" t="s">
        <v>1450</v>
      </c>
      <c r="AE443" s="880" t="s">
        <v>1450</v>
      </c>
      <c r="AF443" s="881" t="s">
        <v>1450</v>
      </c>
      <c r="AG443" s="880" t="s">
        <v>1450</v>
      </c>
      <c r="AH443" s="880" t="s">
        <v>1450</v>
      </c>
      <c r="AI443" s="881" t="s">
        <v>1450</v>
      </c>
    </row>
    <row r="444" spans="2:35" x14ac:dyDescent="0.2">
      <c r="B444" s="867">
        <v>80201000</v>
      </c>
      <c r="C444" s="876" t="s">
        <v>1447</v>
      </c>
      <c r="D444" s="877" t="s">
        <v>1447</v>
      </c>
      <c r="E444" s="877" t="s">
        <v>1447</v>
      </c>
      <c r="F444" s="877" t="s">
        <v>1447</v>
      </c>
      <c r="G444" s="877" t="s">
        <v>1447</v>
      </c>
      <c r="H444" s="877" t="s">
        <v>1447</v>
      </c>
      <c r="I444" s="877" t="s">
        <v>1447</v>
      </c>
      <c r="J444" s="878" t="s">
        <v>1447</v>
      </c>
      <c r="K444" s="877"/>
      <c r="L444" s="879">
        <v>1073</v>
      </c>
      <c r="M444" s="880">
        <v>6754</v>
      </c>
      <c r="N444" s="881">
        <v>0.1588</v>
      </c>
      <c r="O444" s="880">
        <v>1215.864935064935</v>
      </c>
      <c r="P444" s="880">
        <v>6700.1074093004572</v>
      </c>
      <c r="Q444" s="881">
        <v>0.18146946918749182</v>
      </c>
      <c r="R444" s="880">
        <v>1339.9957066637778</v>
      </c>
      <c r="S444" s="880">
        <v>6525.2206700211864</v>
      </c>
      <c r="T444" s="881">
        <v>0.20535638171136777</v>
      </c>
      <c r="U444" s="880">
        <v>1491.86585776879</v>
      </c>
      <c r="V444" s="880">
        <v>6392.7728891403467</v>
      </c>
      <c r="W444" s="881">
        <v>0.23336756735141972</v>
      </c>
      <c r="X444" s="880">
        <v>1692.4551728741376</v>
      </c>
      <c r="Y444" s="880">
        <v>6342.598876103827</v>
      </c>
      <c r="Z444" s="881">
        <v>0.2668393833402547</v>
      </c>
      <c r="AA444" s="880">
        <v>1610.7751746090278</v>
      </c>
      <c r="AB444" s="880">
        <v>6234.6265613395453</v>
      </c>
      <c r="AC444" s="881">
        <v>0.25835952783400445</v>
      </c>
      <c r="AD444" s="880">
        <v>1492.8666597778174</v>
      </c>
      <c r="AE444" s="880">
        <v>6071.6566211250311</v>
      </c>
      <c r="AF444" s="881">
        <v>0.24587468510384911</v>
      </c>
      <c r="AG444" s="880">
        <v>1535.8093810946166</v>
      </c>
      <c r="AH444" s="880">
        <v>6062.4604128442343</v>
      </c>
      <c r="AI444" s="881">
        <v>0.25333103665976497</v>
      </c>
    </row>
    <row r="445" spans="2:35" x14ac:dyDescent="0.2">
      <c r="B445" s="867">
        <v>80208000</v>
      </c>
      <c r="C445" s="876" t="s">
        <v>1447</v>
      </c>
      <c r="D445" s="877" t="s">
        <v>1447</v>
      </c>
      <c r="E445" s="877" t="s">
        <v>1447</v>
      </c>
      <c r="F445" s="877" t="s">
        <v>1447</v>
      </c>
      <c r="G445" s="877" t="s">
        <v>1447</v>
      </c>
      <c r="H445" s="877" t="s">
        <v>1447</v>
      </c>
      <c r="I445" s="877" t="s">
        <v>1447</v>
      </c>
      <c r="J445" s="878" t="s">
        <v>1447</v>
      </c>
      <c r="K445" s="877"/>
      <c r="L445" s="879">
        <v>96</v>
      </c>
      <c r="M445" s="880">
        <v>253</v>
      </c>
      <c r="N445" s="881">
        <v>0.37719999999999998</v>
      </c>
      <c r="O445" s="880">
        <v>102.21086807928913</v>
      </c>
      <c r="P445" s="880">
        <v>249.95127825362897</v>
      </c>
      <c r="Q445" s="881">
        <v>0.40892316612029633</v>
      </c>
      <c r="R445" s="880">
        <v>121.57751973675302</v>
      </c>
      <c r="S445" s="880">
        <v>247.30647510593221</v>
      </c>
      <c r="T445" s="881">
        <v>0.4916066984686755</v>
      </c>
      <c r="U445" s="880">
        <v>115.15554432086282</v>
      </c>
      <c r="V445" s="880">
        <v>268.28914700302857</v>
      </c>
      <c r="W445" s="881">
        <v>0.42922177660642713</v>
      </c>
      <c r="X445" s="880">
        <v>125.50866382714977</v>
      </c>
      <c r="Y445" s="880">
        <v>264.05780037463205</v>
      </c>
      <c r="Z445" s="881">
        <v>0.47530754118637791</v>
      </c>
      <c r="AA445" s="880">
        <v>99.647068068353761</v>
      </c>
      <c r="AB445" s="880">
        <v>265.74383903855244</v>
      </c>
      <c r="AC445" s="881">
        <v>0.37497414212450508</v>
      </c>
      <c r="AD445" s="880">
        <v>91.586115677640564</v>
      </c>
      <c r="AE445" s="880">
        <v>256.28238995683557</v>
      </c>
      <c r="AF445" s="881">
        <v>0.35736406115561031</v>
      </c>
      <c r="AG445" s="880">
        <v>93.213864170482509</v>
      </c>
      <c r="AH445" s="880">
        <v>255.37196199516973</v>
      </c>
      <c r="AI445" s="881">
        <v>0.36501213148938261</v>
      </c>
    </row>
    <row r="446" spans="2:35" x14ac:dyDescent="0.2">
      <c r="B446" s="867">
        <v>80209000</v>
      </c>
      <c r="C446" s="876" t="s">
        <v>1447</v>
      </c>
      <c r="D446" s="877" t="s">
        <v>1447</v>
      </c>
      <c r="E446" s="877" t="s">
        <v>1447</v>
      </c>
      <c r="F446" s="877" t="s">
        <v>1447</v>
      </c>
      <c r="G446" s="877" t="s">
        <v>1447</v>
      </c>
      <c r="H446" s="877" t="s">
        <v>1447</v>
      </c>
      <c r="I446" s="877" t="s">
        <v>1447</v>
      </c>
      <c r="J446" s="878" t="s">
        <v>1447</v>
      </c>
      <c r="K446" s="877"/>
      <c r="L446" s="879">
        <v>62</v>
      </c>
      <c r="M446" s="880">
        <v>298</v>
      </c>
      <c r="N446" s="881">
        <v>0.20799999999999999</v>
      </c>
      <c r="O446" s="880">
        <v>65.770471633629526</v>
      </c>
      <c r="P446" s="880">
        <v>294.11228147865177</v>
      </c>
      <c r="Q446" s="881">
        <v>0.22362368311506059</v>
      </c>
      <c r="R446" s="880">
        <v>75.765700705512742</v>
      </c>
      <c r="S446" s="880">
        <v>286.63082627118644</v>
      </c>
      <c r="T446" s="881">
        <v>0.26433200396188195</v>
      </c>
      <c r="U446" s="880">
        <v>182.18638355240984</v>
      </c>
      <c r="V446" s="880">
        <v>562.71035377907947</v>
      </c>
      <c r="W446" s="881">
        <v>0.32376582788795877</v>
      </c>
      <c r="X446" s="880">
        <v>265.68385783078929</v>
      </c>
      <c r="Y446" s="880">
        <v>557.6483810543217</v>
      </c>
      <c r="Z446" s="881">
        <v>0.47643616812528405</v>
      </c>
      <c r="AA446" s="880">
        <v>186.445837706661</v>
      </c>
      <c r="AB446" s="880">
        <v>549.60657619336985</v>
      </c>
      <c r="AC446" s="881">
        <v>0.33923509248743622</v>
      </c>
      <c r="AD446" s="880">
        <v>155.41160909715154</v>
      </c>
      <c r="AE446" s="880">
        <v>534.92498843339513</v>
      </c>
      <c r="AF446" s="881">
        <v>0.29052972371378055</v>
      </c>
      <c r="AG446" s="880">
        <v>148.25443158543408</v>
      </c>
      <c r="AH446" s="880">
        <v>533.48252334607366</v>
      </c>
      <c r="AI446" s="881">
        <v>0.27789932209130763</v>
      </c>
    </row>
    <row r="447" spans="2:35" x14ac:dyDescent="0.2">
      <c r="B447" s="867">
        <v>80214000</v>
      </c>
      <c r="C447" s="876" t="s">
        <v>1447</v>
      </c>
      <c r="D447" s="877" t="s">
        <v>1447</v>
      </c>
      <c r="E447" s="877" t="s">
        <v>1447</v>
      </c>
      <c r="F447" s="877" t="s">
        <v>1447</v>
      </c>
      <c r="G447" s="877" t="s">
        <v>1447</v>
      </c>
      <c r="H447" s="877" t="s">
        <v>1447</v>
      </c>
      <c r="I447" s="877" t="s">
        <v>1447</v>
      </c>
      <c r="J447" s="878" t="s">
        <v>1447</v>
      </c>
      <c r="K447" s="877"/>
      <c r="L447" s="879">
        <v>676</v>
      </c>
      <c r="M447" s="880">
        <v>1702</v>
      </c>
      <c r="N447" s="881">
        <v>0.39729999999999999</v>
      </c>
      <c r="O447" s="880">
        <v>720.80881749829121</v>
      </c>
      <c r="P447" s="880">
        <v>1679.884562679867</v>
      </c>
      <c r="Q447" s="881">
        <v>0.42908235096131103</v>
      </c>
      <c r="R447" s="880">
        <v>819.32676344333549</v>
      </c>
      <c r="S447" s="880">
        <v>1632.3975105932204</v>
      </c>
      <c r="T447" s="881">
        <v>0.50191620492338818</v>
      </c>
      <c r="U447" s="880">
        <v>812.10439838220418</v>
      </c>
      <c r="V447" s="880">
        <v>2283.942024162146</v>
      </c>
      <c r="W447" s="881">
        <v>0.35557137168581199</v>
      </c>
      <c r="X447" s="880">
        <v>956.93245715693411</v>
      </c>
      <c r="Y447" s="880">
        <v>2266.2065828204441</v>
      </c>
      <c r="Z447" s="881">
        <v>0.42226179396494751</v>
      </c>
      <c r="AA447" s="880">
        <v>878.40978189843963</v>
      </c>
      <c r="AB447" s="880">
        <v>2230.3500776449937</v>
      </c>
      <c r="AC447" s="881">
        <v>0.39384390401436198</v>
      </c>
      <c r="AD447" s="880">
        <v>916.15459381942719</v>
      </c>
      <c r="AE447" s="880">
        <v>2170.660242453198</v>
      </c>
      <c r="AF447" s="881">
        <v>0.42206264062035981</v>
      </c>
      <c r="AG447" s="880">
        <v>982.74045368308703</v>
      </c>
      <c r="AH447" s="880">
        <v>2167.1634309042142</v>
      </c>
      <c r="AI447" s="881">
        <v>0.45346854771956646</v>
      </c>
    </row>
    <row r="448" spans="2:35" x14ac:dyDescent="0.2">
      <c r="B448" s="867">
        <v>80220000</v>
      </c>
      <c r="C448" s="876" t="s">
        <v>1447</v>
      </c>
      <c r="D448" s="877" t="s">
        <v>1447</v>
      </c>
      <c r="E448" s="877" t="s">
        <v>1447</v>
      </c>
      <c r="F448" s="877" t="s">
        <v>1447</v>
      </c>
      <c r="G448" s="877" t="s">
        <v>1447</v>
      </c>
      <c r="H448" s="877" t="s">
        <v>1447</v>
      </c>
      <c r="I448" s="877" t="s">
        <v>1447</v>
      </c>
      <c r="J448" s="878" t="s">
        <v>1447</v>
      </c>
      <c r="K448" s="877"/>
      <c r="L448" s="879">
        <v>1775</v>
      </c>
      <c r="M448" s="880">
        <v>9033</v>
      </c>
      <c r="N448" s="881">
        <v>0.19650000000000001</v>
      </c>
      <c r="O448" s="880">
        <v>1890.4566643882433</v>
      </c>
      <c r="P448" s="880">
        <v>8911.6904508095995</v>
      </c>
      <c r="Q448" s="881">
        <v>0.21213221832862261</v>
      </c>
      <c r="R448" s="880">
        <v>2143.4645327501457</v>
      </c>
      <c r="S448" s="880">
        <v>8675.8257415254229</v>
      </c>
      <c r="T448" s="881">
        <v>0.24706173182926011</v>
      </c>
      <c r="U448" s="880">
        <v>2227.4863498483314</v>
      </c>
      <c r="V448" s="880">
        <v>8385.7779811628443</v>
      </c>
      <c r="W448" s="881">
        <v>0.26562667827027886</v>
      </c>
      <c r="X448" s="880">
        <v>2641.7602593390193</v>
      </c>
      <c r="Y448" s="880">
        <v>8323.0323789135673</v>
      </c>
      <c r="Z448" s="881">
        <v>0.31740357829580579</v>
      </c>
      <c r="AA448" s="880">
        <v>2184.1044329303872</v>
      </c>
      <c r="AB448" s="880">
        <v>8192.330362568362</v>
      </c>
      <c r="AC448" s="881">
        <v>0.26660355921555545</v>
      </c>
      <c r="AD448" s="880">
        <v>2099.9154102201501</v>
      </c>
      <c r="AE448" s="880">
        <v>7972.2743453015628</v>
      </c>
      <c r="AF448" s="881">
        <v>0.26340230143456228</v>
      </c>
      <c r="AG448" s="880">
        <v>2429.774726043911</v>
      </c>
      <c r="AH448" s="880">
        <v>7930.5238060691745</v>
      </c>
      <c r="AI448" s="881">
        <v>0.30638262811649608</v>
      </c>
    </row>
    <row r="449" spans="2:35" x14ac:dyDescent="0.2">
      <c r="B449" s="867">
        <v>80303000</v>
      </c>
      <c r="C449" s="876" t="s">
        <v>1447</v>
      </c>
      <c r="D449" s="877" t="s">
        <v>1447</v>
      </c>
      <c r="E449" s="877" t="s">
        <v>1447</v>
      </c>
      <c r="F449" s="877" t="s">
        <v>1447</v>
      </c>
      <c r="G449" s="877" t="s">
        <v>1447</v>
      </c>
      <c r="H449" s="877" t="s">
        <v>1447</v>
      </c>
      <c r="I449" s="877" t="s">
        <v>1447</v>
      </c>
      <c r="J449" s="878" t="s">
        <v>1447</v>
      </c>
      <c r="K449" s="877"/>
      <c r="L449" s="879">
        <v>32</v>
      </c>
      <c r="M449" s="880">
        <v>176</v>
      </c>
      <c r="N449" s="881">
        <v>0.18099999999999999</v>
      </c>
      <c r="O449" s="880">
        <v>33.774025974025975</v>
      </c>
      <c r="P449" s="880">
        <v>173.99435270658978</v>
      </c>
      <c r="Q449" s="881">
        <v>0.19410989752627089</v>
      </c>
      <c r="R449" s="880">
        <v>48.454808590734899</v>
      </c>
      <c r="S449" s="880">
        <v>239.44160487288136</v>
      </c>
      <c r="T449" s="881">
        <v>0.20236586960924929</v>
      </c>
      <c r="U449" s="880">
        <v>36.093528816986854</v>
      </c>
      <c r="V449" s="880">
        <v>96.688621160182379</v>
      </c>
      <c r="W449" s="881">
        <v>0.3732965511752549</v>
      </c>
      <c r="X449" s="880">
        <v>37.234956906621761</v>
      </c>
      <c r="Y449" s="880">
        <v>95.547230398715541</v>
      </c>
      <c r="Z449" s="881">
        <v>0.38970210597671406</v>
      </c>
      <c r="AA449" s="880">
        <v>28.409703317432637</v>
      </c>
      <c r="AB449" s="880">
        <v>94.045709270137053</v>
      </c>
      <c r="AC449" s="881">
        <v>0.3020839923257802</v>
      </c>
      <c r="AD449" s="880">
        <v>30.195371892546856</v>
      </c>
      <c r="AE449" s="880">
        <v>92.020858138863787</v>
      </c>
      <c r="AF449" s="881">
        <v>0.32813616937782331</v>
      </c>
      <c r="AG449" s="880">
        <v>25.74478153279993</v>
      </c>
      <c r="AH449" s="880">
        <v>91.828958936619244</v>
      </c>
      <c r="AI449" s="881">
        <v>0.28035580312490632</v>
      </c>
    </row>
    <row r="450" spans="2:35" x14ac:dyDescent="0.2">
      <c r="B450" s="867">
        <v>80306000</v>
      </c>
      <c r="C450" s="876" t="s">
        <v>1447</v>
      </c>
      <c r="D450" s="877" t="s">
        <v>1447</v>
      </c>
      <c r="E450" s="877" t="s">
        <v>1447</v>
      </c>
      <c r="F450" s="877" t="s">
        <v>1447</v>
      </c>
      <c r="G450" s="877" t="s">
        <v>1447</v>
      </c>
      <c r="H450" s="877" t="s">
        <v>1447</v>
      </c>
      <c r="I450" s="877" t="s">
        <v>1448</v>
      </c>
      <c r="J450" s="878" t="s">
        <v>1448</v>
      </c>
      <c r="K450" s="877"/>
      <c r="L450" s="879">
        <v>18</v>
      </c>
      <c r="M450" s="880">
        <v>77</v>
      </c>
      <c r="N450" s="881">
        <v>0.2288</v>
      </c>
      <c r="O450" s="880">
        <v>19.553383458646618</v>
      </c>
      <c r="P450" s="880">
        <v>75.956925547039191</v>
      </c>
      <c r="Q450" s="881">
        <v>0.25742726312082559</v>
      </c>
      <c r="R450" s="880">
        <v>26.429895594946309</v>
      </c>
      <c r="S450" s="880">
        <v>93.504568326271183</v>
      </c>
      <c r="T450" s="881">
        <v>0.28265886970059972</v>
      </c>
      <c r="U450" s="880">
        <v>17.187394674755645</v>
      </c>
      <c r="V450" s="880">
        <v>54.877325523346755</v>
      </c>
      <c r="W450" s="881">
        <v>0.31319665291347915</v>
      </c>
      <c r="X450" s="880">
        <v>14.666530176489761</v>
      </c>
      <c r="Y450" s="880">
        <v>54.72250468290072</v>
      </c>
      <c r="Z450" s="881">
        <v>0.26801642690658217</v>
      </c>
      <c r="AA450" s="880">
        <v>10.278638744037238</v>
      </c>
      <c r="AB450" s="880">
        <v>53.493889676591721</v>
      </c>
      <c r="AC450" s="881">
        <v>0.19214603398965482</v>
      </c>
      <c r="AD450" s="880">
        <v>9.4455614946475119</v>
      </c>
      <c r="AE450" s="880">
        <v>52.460489219352255</v>
      </c>
      <c r="AF450" s="881">
        <v>0.18005096092704984</v>
      </c>
      <c r="AG450" s="880">
        <v>8.8775108733792862</v>
      </c>
      <c r="AH450" s="880">
        <v>52.473690820925285</v>
      </c>
      <c r="AI450" s="881">
        <v>0.16918022602365035</v>
      </c>
    </row>
    <row r="451" spans="2:35" x14ac:dyDescent="0.2">
      <c r="B451" s="867">
        <v>80313000</v>
      </c>
      <c r="C451" s="876" t="s">
        <v>1447</v>
      </c>
      <c r="D451" s="877" t="s">
        <v>1447</v>
      </c>
      <c r="E451" s="877" t="s">
        <v>1447</v>
      </c>
      <c r="F451" s="877" t="s">
        <v>1447</v>
      </c>
      <c r="G451" s="877" t="s">
        <v>1447</v>
      </c>
      <c r="H451" s="877" t="s">
        <v>1447</v>
      </c>
      <c r="I451" s="877" t="s">
        <v>1448</v>
      </c>
      <c r="J451" s="878" t="s">
        <v>1448</v>
      </c>
      <c r="K451" s="877"/>
      <c r="L451" s="879">
        <v>10</v>
      </c>
      <c r="M451" s="880">
        <v>30</v>
      </c>
      <c r="N451" s="881">
        <v>0.3221</v>
      </c>
      <c r="O451" s="880">
        <v>10.665481886534518</v>
      </c>
      <c r="P451" s="880">
        <v>30.029482193015497</v>
      </c>
      <c r="Q451" s="881">
        <v>0.35516702612391976</v>
      </c>
      <c r="R451" s="880">
        <v>17.61993039663087</v>
      </c>
      <c r="S451" s="880">
        <v>39.324351165254235</v>
      </c>
      <c r="T451" s="881">
        <v>0.44806665271058022</v>
      </c>
      <c r="U451" s="880">
        <v>17.187394674755645</v>
      </c>
      <c r="V451" s="880">
        <v>45.295570273238596</v>
      </c>
      <c r="W451" s="881">
        <v>0.37944979102979204</v>
      </c>
      <c r="X451" s="880">
        <v>13.803793107284481</v>
      </c>
      <c r="Y451" s="880">
        <v>45.167781643029166</v>
      </c>
      <c r="Z451" s="881">
        <v>0.30561149131429277</v>
      </c>
      <c r="AA451" s="880">
        <v>15.417958116055857</v>
      </c>
      <c r="AB451" s="880">
        <v>44.003038282357707</v>
      </c>
      <c r="AC451" s="881">
        <v>0.35038394433407644</v>
      </c>
      <c r="AD451" s="880">
        <v>8.586874086043192</v>
      </c>
      <c r="AE451" s="880">
        <v>43.000400999469058</v>
      </c>
      <c r="AF451" s="881">
        <v>0.19969288393727347</v>
      </c>
      <c r="AG451" s="880">
        <v>8.8775108733792862</v>
      </c>
      <c r="AH451" s="880">
        <v>42.853514170422315</v>
      </c>
      <c r="AI451" s="881">
        <v>0.20715946043712288</v>
      </c>
    </row>
    <row r="452" spans="2:35" x14ac:dyDescent="0.2">
      <c r="B452" s="867">
        <v>80322000</v>
      </c>
      <c r="C452" s="876" t="s">
        <v>1448</v>
      </c>
      <c r="D452" s="877" t="s">
        <v>1448</v>
      </c>
      <c r="E452" s="877" t="s">
        <v>1448</v>
      </c>
      <c r="F452" s="877" t="s">
        <v>1448</v>
      </c>
      <c r="G452" s="877" t="s">
        <v>1448</v>
      </c>
      <c r="H452" s="877" t="s">
        <v>1448</v>
      </c>
      <c r="I452" s="877" t="s">
        <v>1448</v>
      </c>
      <c r="J452" s="878" t="s">
        <v>1448</v>
      </c>
      <c r="K452" s="877"/>
      <c r="L452" s="879">
        <v>4</v>
      </c>
      <c r="M452" s="880">
        <v>30</v>
      </c>
      <c r="N452" s="881">
        <v>0.1464</v>
      </c>
      <c r="O452" s="880">
        <v>4.4439507860560497</v>
      </c>
      <c r="P452" s="880">
        <v>30.029482193015497</v>
      </c>
      <c r="Q452" s="881">
        <v>0.14798626088496658</v>
      </c>
      <c r="R452" s="880">
        <v>6.166975638820805</v>
      </c>
      <c r="S452" s="880">
        <v>41.945974576271183</v>
      </c>
      <c r="T452" s="881">
        <v>0.14702187042065915</v>
      </c>
      <c r="U452" s="880">
        <v>8.5936973373778223</v>
      </c>
      <c r="V452" s="880">
        <v>35.713815023130429</v>
      </c>
      <c r="W452" s="881">
        <v>0.24062669675059983</v>
      </c>
      <c r="X452" s="880">
        <v>9.4901077612580806</v>
      </c>
      <c r="Y452" s="880">
        <v>35.613058603157612</v>
      </c>
      <c r="Z452" s="881">
        <v>0.26647831254843823</v>
      </c>
      <c r="AA452" s="880">
        <v>7.7089790580279285</v>
      </c>
      <c r="AB452" s="880">
        <v>34.512186888123694</v>
      </c>
      <c r="AC452" s="881">
        <v>0.22336976451297372</v>
      </c>
      <c r="AD452" s="880">
        <v>6.869499268834554</v>
      </c>
      <c r="AE452" s="880">
        <v>33.540312779585868</v>
      </c>
      <c r="AF452" s="881">
        <v>0.20481321429463945</v>
      </c>
      <c r="AG452" s="880">
        <v>8.8775108733792862</v>
      </c>
      <c r="AH452" s="880">
        <v>34.107899033601434</v>
      </c>
      <c r="AI452" s="881">
        <v>0.26027727080561591</v>
      </c>
    </row>
    <row r="453" spans="2:35" x14ac:dyDescent="0.2">
      <c r="B453" s="867">
        <v>80412000</v>
      </c>
      <c r="C453" s="876" t="s">
        <v>1447</v>
      </c>
      <c r="D453" s="877" t="s">
        <v>1447</v>
      </c>
      <c r="E453" s="877" t="s">
        <v>1447</v>
      </c>
      <c r="F453" s="877" t="s">
        <v>1447</v>
      </c>
      <c r="G453" s="877" t="s">
        <v>1447</v>
      </c>
      <c r="H453" s="877" t="s">
        <v>1447</v>
      </c>
      <c r="I453" s="877" t="s">
        <v>1447</v>
      </c>
      <c r="J453" s="878" t="s">
        <v>1447</v>
      </c>
      <c r="K453" s="877"/>
      <c r="L453" s="879">
        <v>62</v>
      </c>
      <c r="M453" s="880">
        <v>187</v>
      </c>
      <c r="N453" s="881">
        <v>0.33179999999999998</v>
      </c>
      <c r="O453" s="880">
        <v>66.659261790840731</v>
      </c>
      <c r="P453" s="880">
        <v>184.59299348059525</v>
      </c>
      <c r="Q453" s="881">
        <v>0.36111479928867435</v>
      </c>
      <c r="R453" s="880">
        <v>76.646697225344298</v>
      </c>
      <c r="S453" s="880">
        <v>179.14426641949152</v>
      </c>
      <c r="T453" s="881">
        <v>0.4278490110638834</v>
      </c>
      <c r="U453" s="880">
        <v>61.015251095382538</v>
      </c>
      <c r="V453" s="880">
        <v>148.08167204712618</v>
      </c>
      <c r="W453" s="881">
        <v>0.41203783190646831</v>
      </c>
      <c r="X453" s="880">
        <v>63.979806051985442</v>
      </c>
      <c r="Y453" s="880">
        <v>146.7952903398448</v>
      </c>
      <c r="Z453" s="881">
        <v>0.43584372430386709</v>
      </c>
      <c r="AA453" s="880">
        <v>48.966980805507113</v>
      </c>
      <c r="AB453" s="880">
        <v>144.9511849301195</v>
      </c>
      <c r="AC453" s="881">
        <v>0.33781704391801931</v>
      </c>
      <c r="AD453" s="880">
        <v>41.499620795798684</v>
      </c>
      <c r="AE453" s="880">
        <v>141.04131527825851</v>
      </c>
      <c r="AF453" s="881">
        <v>0.29423733544972014</v>
      </c>
      <c r="AG453" s="880">
        <v>45.275305454234363</v>
      </c>
      <c r="AH453" s="880">
        <v>140.80440370281616</v>
      </c>
      <c r="AI453" s="881">
        <v>0.3215475103306647</v>
      </c>
    </row>
    <row r="454" spans="2:35" x14ac:dyDescent="0.2">
      <c r="B454" s="867">
        <v>80415000</v>
      </c>
      <c r="C454" s="876" t="s">
        <v>1447</v>
      </c>
      <c r="D454" s="877" t="s">
        <v>1447</v>
      </c>
      <c r="E454" s="877" t="s">
        <v>1447</v>
      </c>
      <c r="F454" s="877" t="s">
        <v>1447</v>
      </c>
      <c r="G454" s="877" t="s">
        <v>1447</v>
      </c>
      <c r="H454" s="877" t="s">
        <v>1447</v>
      </c>
      <c r="I454" s="877" t="s">
        <v>1447</v>
      </c>
      <c r="J454" s="878" t="s">
        <v>1447</v>
      </c>
      <c r="K454" s="877"/>
      <c r="L454" s="879">
        <v>1128</v>
      </c>
      <c r="M454" s="880">
        <v>4318</v>
      </c>
      <c r="N454" s="881">
        <v>0.2611</v>
      </c>
      <c r="O454" s="880">
        <v>1200.7555023923444</v>
      </c>
      <c r="P454" s="880">
        <v>4260.6535911501987</v>
      </c>
      <c r="Q454" s="881">
        <v>0.28182424989593918</v>
      </c>
      <c r="R454" s="880">
        <v>1373.4735744173765</v>
      </c>
      <c r="S454" s="880">
        <v>4140.4172404661022</v>
      </c>
      <c r="T454" s="881">
        <v>0.33172347003915953</v>
      </c>
      <c r="U454" s="880">
        <v>1539.9905628581057</v>
      </c>
      <c r="V454" s="880">
        <v>3377.1331913335775</v>
      </c>
      <c r="W454" s="881">
        <v>0.45600527891823756</v>
      </c>
      <c r="X454" s="880">
        <v>1832.7676298085719</v>
      </c>
      <c r="Y454" s="880">
        <v>3350.2333422531442</v>
      </c>
      <c r="Z454" s="881">
        <v>0.54705670995918576</v>
      </c>
      <c r="AA454" s="880">
        <v>1578.7958116055856</v>
      </c>
      <c r="AB454" s="880">
        <v>3297.6394571602186</v>
      </c>
      <c r="AC454" s="881">
        <v>0.47876544180035219</v>
      </c>
      <c r="AD454" s="880">
        <v>1474.8342241971268</v>
      </c>
      <c r="AE454" s="880">
        <v>3209.5499306003703</v>
      </c>
      <c r="AF454" s="881">
        <v>0.4595143419131193</v>
      </c>
      <c r="AG454" s="880">
        <v>1304.9940983867552</v>
      </c>
      <c r="AH454" s="880">
        <v>3204.3933861311707</v>
      </c>
      <c r="AI454" s="881">
        <v>0.40725152661806668</v>
      </c>
    </row>
    <row r="455" spans="2:35" x14ac:dyDescent="0.2">
      <c r="B455" s="867">
        <v>80416000</v>
      </c>
      <c r="C455" s="876" t="s">
        <v>1447</v>
      </c>
      <c r="D455" s="877" t="s">
        <v>1447</v>
      </c>
      <c r="E455" s="877" t="s">
        <v>1447</v>
      </c>
      <c r="F455" s="877" t="s">
        <v>1447</v>
      </c>
      <c r="G455" s="877" t="s">
        <v>1447</v>
      </c>
      <c r="H455" s="877" t="s">
        <v>1447</v>
      </c>
      <c r="I455" s="877" t="s">
        <v>1447</v>
      </c>
      <c r="J455" s="878" t="s">
        <v>1447</v>
      </c>
      <c r="K455" s="877"/>
      <c r="L455" s="879">
        <v>379</v>
      </c>
      <c r="M455" s="880">
        <v>2218</v>
      </c>
      <c r="N455" s="881">
        <v>0.17080000000000001</v>
      </c>
      <c r="O455" s="880">
        <v>403.51073137388926</v>
      </c>
      <c r="P455" s="880">
        <v>2189.50253989663</v>
      </c>
      <c r="Q455" s="881">
        <v>0.18429333787981797</v>
      </c>
      <c r="R455" s="880">
        <v>455.47520075290799</v>
      </c>
      <c r="S455" s="880">
        <v>2133.1275820974579</v>
      </c>
      <c r="T455" s="881">
        <v>0.21352459392281128</v>
      </c>
      <c r="U455" s="880">
        <v>473.51272328951802</v>
      </c>
      <c r="V455" s="880">
        <v>1884.1215096349054</v>
      </c>
      <c r="W455" s="881">
        <v>0.25131750838154421</v>
      </c>
      <c r="X455" s="880">
        <v>532.0931897999892</v>
      </c>
      <c r="Y455" s="880">
        <v>1869.2512710730532</v>
      </c>
      <c r="Z455" s="881">
        <v>0.28465578600063673</v>
      </c>
      <c r="AA455" s="880">
        <v>518.22295814383403</v>
      </c>
      <c r="AB455" s="880">
        <v>1840.3623658091958</v>
      </c>
      <c r="AC455" s="881">
        <v>0.28158745678108599</v>
      </c>
      <c r="AD455" s="880">
        <v>539.64719479700886</v>
      </c>
      <c r="AE455" s="880">
        <v>1791.396705637881</v>
      </c>
      <c r="AF455" s="881">
        <v>0.30124382449662435</v>
      </c>
      <c r="AG455" s="880">
        <v>492.7018534725504</v>
      </c>
      <c r="AH455" s="880">
        <v>1788.47829547987</v>
      </c>
      <c r="AI455" s="881">
        <v>0.27548662721699546</v>
      </c>
    </row>
    <row r="456" spans="2:35" x14ac:dyDescent="0.2">
      <c r="B456" s="867">
        <v>80502000</v>
      </c>
      <c r="C456" s="876" t="s">
        <v>1447</v>
      </c>
      <c r="D456" s="877" t="s">
        <v>1447</v>
      </c>
      <c r="E456" s="877" t="s">
        <v>1447</v>
      </c>
      <c r="F456" s="877" t="s">
        <v>1447</v>
      </c>
      <c r="G456" s="877" t="s">
        <v>1447</v>
      </c>
      <c r="H456" s="877" t="s">
        <v>1447</v>
      </c>
      <c r="I456" s="877" t="s">
        <v>1447</v>
      </c>
      <c r="J456" s="878" t="s">
        <v>1447</v>
      </c>
      <c r="K456" s="877"/>
      <c r="L456" s="879">
        <v>497</v>
      </c>
      <c r="M456" s="880">
        <v>2256</v>
      </c>
      <c r="N456" s="881">
        <v>0.22009999999999999</v>
      </c>
      <c r="O456" s="880">
        <v>543.05078605604922</v>
      </c>
      <c r="P456" s="880">
        <v>2226.5977826056492</v>
      </c>
      <c r="Q456" s="881">
        <v>0.2438926286096228</v>
      </c>
      <c r="R456" s="880">
        <v>611.41158476309124</v>
      </c>
      <c r="S456" s="880">
        <v>2163.7131885593221</v>
      </c>
      <c r="T456" s="881">
        <v>0.28257515274942285</v>
      </c>
      <c r="U456" s="880">
        <v>831.01053252443546</v>
      </c>
      <c r="V456" s="880">
        <v>2637.5958997570474</v>
      </c>
      <c r="W456" s="881">
        <v>0.31506362767737883</v>
      </c>
      <c r="X456" s="880">
        <v>806.40441832283125</v>
      </c>
      <c r="Y456" s="880">
        <v>2617.1255017393632</v>
      </c>
      <c r="Z456" s="881">
        <v>0.30812600228261433</v>
      </c>
      <c r="AA456" s="880">
        <v>807.02897037618823</v>
      </c>
      <c r="AB456" s="880">
        <v>2576.3347511984334</v>
      </c>
      <c r="AC456" s="881">
        <v>0.31324693734025932</v>
      </c>
      <c r="AD456" s="880">
        <v>644.11362160371414</v>
      </c>
      <c r="AE456" s="880">
        <v>2507.7833862890357</v>
      </c>
      <c r="AF456" s="881">
        <v>0.25684579662075985</v>
      </c>
      <c r="AG456" s="880">
        <v>669.36431985279819</v>
      </c>
      <c r="AH456" s="880">
        <v>2503.8696136718181</v>
      </c>
      <c r="AI456" s="881">
        <v>0.26733193941005734</v>
      </c>
    </row>
    <row r="457" spans="2:35" x14ac:dyDescent="0.2">
      <c r="B457" s="867">
        <v>80899000</v>
      </c>
      <c r="C457" s="876" t="s">
        <v>1448</v>
      </c>
      <c r="D457" s="877" t="s">
        <v>1448</v>
      </c>
      <c r="E457" s="877" t="s">
        <v>1448</v>
      </c>
      <c r="F457" s="877" t="s">
        <v>1448</v>
      </c>
      <c r="G457" s="877" t="s">
        <v>1448</v>
      </c>
      <c r="H457" s="877" t="s">
        <v>1448</v>
      </c>
      <c r="I457" s="877" t="s">
        <v>1448</v>
      </c>
      <c r="J457" s="878" t="s">
        <v>1448</v>
      </c>
      <c r="K457" s="877"/>
      <c r="L457" s="879" t="s">
        <v>1450</v>
      </c>
      <c r="M457" s="880" t="s">
        <v>1450</v>
      </c>
      <c r="N457" s="881" t="s">
        <v>1450</v>
      </c>
      <c r="O457" s="880">
        <v>15.998222829801778</v>
      </c>
      <c r="P457" s="880">
        <v>121.8843689010629</v>
      </c>
      <c r="Q457" s="881">
        <v>0.13125737921970948</v>
      </c>
      <c r="R457" s="880" t="s">
        <v>1450</v>
      </c>
      <c r="S457" s="880" t="s">
        <v>1450</v>
      </c>
      <c r="T457" s="881" t="s">
        <v>1450</v>
      </c>
      <c r="U457" s="880" t="s">
        <v>1450</v>
      </c>
      <c r="V457" s="880" t="s">
        <v>1450</v>
      </c>
      <c r="W457" s="881" t="s">
        <v>1450</v>
      </c>
      <c r="X457" s="880" t="s">
        <v>1450</v>
      </c>
      <c r="Y457" s="880" t="s">
        <v>1450</v>
      </c>
      <c r="Z457" s="881" t="s">
        <v>1450</v>
      </c>
      <c r="AA457" s="880" t="s">
        <v>1450</v>
      </c>
      <c r="AB457" s="880" t="s">
        <v>1450</v>
      </c>
      <c r="AC457" s="881" t="s">
        <v>1450</v>
      </c>
      <c r="AD457" s="880" t="s">
        <v>1450</v>
      </c>
      <c r="AE457" s="880" t="s">
        <v>1450</v>
      </c>
      <c r="AF457" s="881" t="s">
        <v>1450</v>
      </c>
      <c r="AG457" s="880" t="s">
        <v>1450</v>
      </c>
      <c r="AH457" s="880" t="s">
        <v>1450</v>
      </c>
      <c r="AI457" s="881" t="s">
        <v>1450</v>
      </c>
    </row>
    <row r="458" spans="2:35" x14ac:dyDescent="0.2">
      <c r="B458" s="867">
        <v>88620000</v>
      </c>
      <c r="C458" s="876" t="s">
        <v>1448</v>
      </c>
      <c r="D458" s="877" t="s">
        <v>1448</v>
      </c>
      <c r="E458" s="877" t="s">
        <v>1448</v>
      </c>
      <c r="F458" s="877" t="s">
        <v>1447</v>
      </c>
      <c r="G458" s="877" t="s">
        <v>1447</v>
      </c>
      <c r="H458" s="877" t="s">
        <v>1447</v>
      </c>
      <c r="I458" s="877" t="s">
        <v>1447</v>
      </c>
      <c r="J458" s="878" t="s">
        <v>1447</v>
      </c>
      <c r="K458" s="877"/>
      <c r="L458" s="879">
        <v>151</v>
      </c>
      <c r="M458" s="880">
        <v>1411</v>
      </c>
      <c r="N458" s="881">
        <v>0.1071</v>
      </c>
      <c r="O458" s="880">
        <v>184.89008885850993</v>
      </c>
      <c r="P458" s="880">
        <v>1411.084999814</v>
      </c>
      <c r="Q458" s="881">
        <v>0.13102689695013478</v>
      </c>
      <c r="R458" s="880">
        <v>186.43042059934731</v>
      </c>
      <c r="S458" s="880">
        <v>1421</v>
      </c>
      <c r="T458" s="881">
        <v>0.1311966365934886</v>
      </c>
      <c r="U458" s="880">
        <v>271.19716885743179</v>
      </c>
      <c r="V458" s="880">
        <v>1443</v>
      </c>
      <c r="W458" s="881">
        <v>0.18793982595802619</v>
      </c>
      <c r="X458" s="880">
        <v>283.93140070803554</v>
      </c>
      <c r="Y458" s="880">
        <v>1392</v>
      </c>
      <c r="Z458" s="881">
        <v>0.20397370740519793</v>
      </c>
      <c r="AA458" s="880">
        <v>227.10459286701123</v>
      </c>
      <c r="AB458" s="880">
        <v>1333</v>
      </c>
      <c r="AC458" s="881">
        <v>0.17037103740961082</v>
      </c>
      <c r="AD458" s="880">
        <v>209.55549463518781</v>
      </c>
      <c r="AE458" s="880">
        <v>1333</v>
      </c>
      <c r="AF458" s="881">
        <v>0.1572059224570051</v>
      </c>
      <c r="AG458" s="880">
        <v>218.73435557814537</v>
      </c>
      <c r="AH458" s="880">
        <v>1333</v>
      </c>
      <c r="AI458" s="881">
        <v>0.16409178963101678</v>
      </c>
    </row>
    <row r="459" spans="2:35" x14ac:dyDescent="0.2">
      <c r="B459" s="867">
        <v>88702000</v>
      </c>
      <c r="C459" s="876" t="s">
        <v>1447</v>
      </c>
      <c r="D459" s="877" t="s">
        <v>1447</v>
      </c>
      <c r="E459" s="877" t="s">
        <v>1447</v>
      </c>
      <c r="F459" s="877" t="s">
        <v>1447</v>
      </c>
      <c r="G459" s="877" t="s">
        <v>1447</v>
      </c>
      <c r="H459" s="877" t="s">
        <v>1447</v>
      </c>
      <c r="I459" s="877" t="s">
        <v>1447</v>
      </c>
      <c r="J459" s="878" t="s">
        <v>1447</v>
      </c>
      <c r="K459" s="877"/>
      <c r="L459" s="879">
        <v>79</v>
      </c>
      <c r="M459" s="880">
        <v>298</v>
      </c>
      <c r="N459" s="881">
        <v>0.26529999999999998</v>
      </c>
      <c r="O459" s="880">
        <v>90.509022556390974</v>
      </c>
      <c r="P459" s="880">
        <v>298.244999914</v>
      </c>
      <c r="Q459" s="881">
        <v>0.30347205345433981</v>
      </c>
      <c r="R459" s="880">
        <v>147.51815212534024</v>
      </c>
      <c r="S459" s="880">
        <v>437</v>
      </c>
      <c r="T459" s="881">
        <v>0.33757014216324999</v>
      </c>
      <c r="U459" s="880">
        <v>150.92045837546343</v>
      </c>
      <c r="V459" s="880">
        <v>520</v>
      </c>
      <c r="W459" s="881">
        <v>0.29023165072204504</v>
      </c>
      <c r="X459" s="880">
        <v>202.01476187295438</v>
      </c>
      <c r="Y459" s="880">
        <v>462</v>
      </c>
      <c r="Z459" s="881">
        <v>0.4372613893353991</v>
      </c>
      <c r="AA459" s="880">
        <v>186.91473514054576</v>
      </c>
      <c r="AB459" s="880">
        <v>454</v>
      </c>
      <c r="AC459" s="881">
        <v>0.41170646506728142</v>
      </c>
      <c r="AD459" s="880">
        <v>139.70366309012522</v>
      </c>
      <c r="AE459" s="880">
        <v>468</v>
      </c>
      <c r="AF459" s="881">
        <v>0.29851210061992567</v>
      </c>
      <c r="AG459" s="880">
        <v>144.78722968667009</v>
      </c>
      <c r="AH459" s="880">
        <v>447</v>
      </c>
      <c r="AI459" s="881">
        <v>0.32390879124534694</v>
      </c>
    </row>
    <row r="460" spans="2:35" x14ac:dyDescent="0.2">
      <c r="B460" s="867">
        <v>88703000</v>
      </c>
      <c r="C460" s="876" t="s">
        <v>1447</v>
      </c>
      <c r="D460" s="877" t="s">
        <v>1447</v>
      </c>
      <c r="E460" s="877" t="s">
        <v>1447</v>
      </c>
      <c r="F460" s="877" t="s">
        <v>1447</v>
      </c>
      <c r="G460" s="877" t="s">
        <v>1447</v>
      </c>
      <c r="H460" s="877" t="s">
        <v>1447</v>
      </c>
      <c r="I460" s="877" t="s">
        <v>1447</v>
      </c>
      <c r="J460" s="878" t="s">
        <v>1448</v>
      </c>
      <c r="K460" s="877"/>
      <c r="L460" s="879">
        <v>67</v>
      </c>
      <c r="M460" s="880">
        <v>154</v>
      </c>
      <c r="N460" s="881">
        <v>0.43890000000000001</v>
      </c>
      <c r="O460" s="880">
        <v>79.376896787423107</v>
      </c>
      <c r="P460" s="880">
        <v>153.759999956</v>
      </c>
      <c r="Q460" s="881">
        <v>0.51623892306280972</v>
      </c>
      <c r="R460" s="880">
        <v>112.09056441019948</v>
      </c>
      <c r="S460" s="880">
        <v>236</v>
      </c>
      <c r="T460" s="881">
        <v>0.47496001868728593</v>
      </c>
      <c r="U460" s="880">
        <v>139.42905291540276</v>
      </c>
      <c r="V460" s="880">
        <v>281</v>
      </c>
      <c r="W460" s="881">
        <v>0.49618880041068597</v>
      </c>
      <c r="X460" s="880">
        <v>189.51900340658608</v>
      </c>
      <c r="Y460" s="880">
        <v>387</v>
      </c>
      <c r="Z460" s="881">
        <v>0.48971318709712164</v>
      </c>
      <c r="AA460" s="880">
        <v>189.46647213905152</v>
      </c>
      <c r="AB460" s="880">
        <v>428</v>
      </c>
      <c r="AC460" s="881">
        <v>0.44267867322208299</v>
      </c>
      <c r="AD460" s="880">
        <v>184.90190703104807</v>
      </c>
      <c r="AE460" s="880">
        <v>442</v>
      </c>
      <c r="AF460" s="881">
        <v>0.41833010640508611</v>
      </c>
      <c r="AG460" s="880" t="s">
        <v>1450</v>
      </c>
      <c r="AH460" s="880" t="s">
        <v>1450</v>
      </c>
      <c r="AI460" s="881" t="s">
        <v>1450</v>
      </c>
    </row>
    <row r="461" spans="2:35" x14ac:dyDescent="0.2">
      <c r="B461" s="867">
        <v>88704000</v>
      </c>
      <c r="C461" s="876" t="s">
        <v>1447</v>
      </c>
      <c r="D461" s="877" t="s">
        <v>1447</v>
      </c>
      <c r="E461" s="877" t="s">
        <v>1447</v>
      </c>
      <c r="F461" s="877" t="s">
        <v>1447</v>
      </c>
      <c r="G461" s="877" t="s">
        <v>1447</v>
      </c>
      <c r="H461" s="877" t="s">
        <v>1447</v>
      </c>
      <c r="I461" s="877" t="s">
        <v>1447</v>
      </c>
      <c r="J461" s="878" t="s">
        <v>1447</v>
      </c>
      <c r="K461" s="877"/>
      <c r="L461" s="879">
        <v>32</v>
      </c>
      <c r="M461" s="880">
        <v>109</v>
      </c>
      <c r="N461" s="881">
        <v>0.29880000000000001</v>
      </c>
      <c r="O461" s="880">
        <v>24.684278879015721</v>
      </c>
      <c r="P461" s="880">
        <v>108.619999888</v>
      </c>
      <c r="Q461" s="881">
        <v>0.22725353438103588</v>
      </c>
      <c r="R461" s="880">
        <v>12.196382656032068</v>
      </c>
      <c r="S461" s="880">
        <v>73</v>
      </c>
      <c r="T461" s="881">
        <v>0.16707373501413791</v>
      </c>
      <c r="U461" s="880">
        <v>42.901247050893161</v>
      </c>
      <c r="V461" s="880">
        <v>69</v>
      </c>
      <c r="W461" s="881">
        <v>0.62175720363613274</v>
      </c>
      <c r="X461" s="880">
        <v>33.322022576982164</v>
      </c>
      <c r="Y461" s="880">
        <v>55</v>
      </c>
      <c r="Z461" s="881">
        <v>0.60585495594513028</v>
      </c>
      <c r="AA461" s="880">
        <v>40.827791976091909</v>
      </c>
      <c r="AB461" s="880">
        <v>64</v>
      </c>
      <c r="AC461" s="881">
        <v>0.63793424962643608</v>
      </c>
      <c r="AD461" s="880">
        <v>21.71863669888501</v>
      </c>
      <c r="AE461" s="880">
        <v>75</v>
      </c>
      <c r="AF461" s="881">
        <v>0.28958182265180016</v>
      </c>
      <c r="AG461" s="880">
        <v>24.234772350987697</v>
      </c>
      <c r="AH461" s="880">
        <v>43</v>
      </c>
      <c r="AI461" s="881">
        <v>0.56359935699971386</v>
      </c>
    </row>
    <row r="462" spans="2:35" x14ac:dyDescent="0.2">
      <c r="B462" s="867">
        <v>88750000</v>
      </c>
      <c r="C462" s="876" t="s">
        <v>1447</v>
      </c>
      <c r="D462" s="877" t="s">
        <v>1448</v>
      </c>
      <c r="E462" s="877" t="s">
        <v>1447</v>
      </c>
      <c r="F462" s="877" t="s">
        <v>1448</v>
      </c>
      <c r="G462" s="877" t="s">
        <v>1448</v>
      </c>
      <c r="H462" s="877" t="s">
        <v>1448</v>
      </c>
      <c r="I462" s="877" t="s">
        <v>1448</v>
      </c>
      <c r="J462" s="878" t="s">
        <v>1448</v>
      </c>
      <c r="K462" s="877"/>
      <c r="L462" s="879">
        <v>35</v>
      </c>
      <c r="M462" s="880">
        <v>112</v>
      </c>
      <c r="N462" s="881">
        <v>0.31709999999999999</v>
      </c>
      <c r="O462" s="880">
        <v>0.9680109364319891</v>
      </c>
      <c r="P462" s="880">
        <v>111.89749991399999</v>
      </c>
      <c r="Q462" s="881">
        <v>8.6508718887907607E-3</v>
      </c>
      <c r="R462" s="880">
        <v>44.720069738784247</v>
      </c>
      <c r="S462" s="880">
        <v>105</v>
      </c>
      <c r="T462" s="881">
        <v>0.4259054260836595</v>
      </c>
      <c r="U462" s="880" t="s">
        <v>1450</v>
      </c>
      <c r="V462" s="880" t="s">
        <v>1450</v>
      </c>
      <c r="W462" s="881" t="s">
        <v>1450</v>
      </c>
      <c r="X462" s="880" t="s">
        <v>1450</v>
      </c>
      <c r="Y462" s="880" t="s">
        <v>1450</v>
      </c>
      <c r="Z462" s="881" t="s">
        <v>1450</v>
      </c>
      <c r="AA462" s="880" t="s">
        <v>1450</v>
      </c>
      <c r="AB462" s="880" t="s">
        <v>1450</v>
      </c>
      <c r="AC462" s="881" t="s">
        <v>1450</v>
      </c>
      <c r="AD462" s="880" t="s">
        <v>1450</v>
      </c>
      <c r="AE462" s="880" t="s">
        <v>1450</v>
      </c>
      <c r="AF462" s="881" t="s">
        <v>1450</v>
      </c>
      <c r="AG462" s="880" t="s">
        <v>1450</v>
      </c>
      <c r="AH462" s="880" t="s">
        <v>1450</v>
      </c>
      <c r="AI462" s="881" t="s">
        <v>1450</v>
      </c>
    </row>
    <row r="463" spans="2:35" x14ac:dyDescent="0.2">
      <c r="B463" s="867">
        <v>88755000</v>
      </c>
      <c r="C463" s="876" t="s">
        <v>1447</v>
      </c>
      <c r="D463" s="877" t="s">
        <v>1447</v>
      </c>
      <c r="E463" s="877" t="s">
        <v>1447</v>
      </c>
      <c r="F463" s="877" t="s">
        <v>1447</v>
      </c>
      <c r="G463" s="877" t="s">
        <v>1447</v>
      </c>
      <c r="H463" s="877" t="s">
        <v>1447</v>
      </c>
      <c r="I463" s="877" t="s">
        <v>1447</v>
      </c>
      <c r="J463" s="878" t="s">
        <v>1447</v>
      </c>
      <c r="K463" s="877"/>
      <c r="L463" s="879">
        <v>65</v>
      </c>
      <c r="M463" s="880">
        <v>384</v>
      </c>
      <c r="N463" s="881">
        <v>0.16819999999999999</v>
      </c>
      <c r="O463" s="880">
        <v>65.340738209159269</v>
      </c>
      <c r="P463" s="880">
        <v>384.08999990000001</v>
      </c>
      <c r="Q463" s="881">
        <v>0.17011830098719335</v>
      </c>
      <c r="R463" s="880">
        <v>80.147657453925007</v>
      </c>
      <c r="S463" s="880">
        <v>413</v>
      </c>
      <c r="T463" s="881">
        <v>0.19406212458577485</v>
      </c>
      <c r="U463" s="880">
        <v>131.768115942029</v>
      </c>
      <c r="V463" s="880">
        <v>408</v>
      </c>
      <c r="W463" s="881">
        <v>0.32296106848536521</v>
      </c>
      <c r="X463" s="880">
        <v>107.60236457150491</v>
      </c>
      <c r="Y463" s="880">
        <v>404</v>
      </c>
      <c r="Z463" s="881">
        <v>0.26634248656313098</v>
      </c>
      <c r="AA463" s="880">
        <v>106.53501968761482</v>
      </c>
      <c r="AB463" s="880">
        <v>389</v>
      </c>
      <c r="AC463" s="881">
        <v>0.27386894521237742</v>
      </c>
      <c r="AD463" s="880">
        <v>119.15900675334208</v>
      </c>
      <c r="AE463" s="880">
        <v>384</v>
      </c>
      <c r="AF463" s="881">
        <v>0.31030991342016168</v>
      </c>
      <c r="AG463" s="880">
        <v>97.560493823206883</v>
      </c>
      <c r="AH463" s="880">
        <v>410</v>
      </c>
      <c r="AI463" s="881">
        <v>0.23795242395904118</v>
      </c>
    </row>
    <row r="464" spans="2:35" x14ac:dyDescent="0.2">
      <c r="B464" s="867">
        <v>88758000</v>
      </c>
      <c r="C464" s="876" t="s">
        <v>1447</v>
      </c>
      <c r="D464" s="877" t="s">
        <v>1447</v>
      </c>
      <c r="E464" s="877" t="s">
        <v>1447</v>
      </c>
      <c r="F464" s="877" t="s">
        <v>1447</v>
      </c>
      <c r="G464" s="877" t="s">
        <v>1447</v>
      </c>
      <c r="H464" s="877" t="s">
        <v>1447</v>
      </c>
      <c r="I464" s="877" t="s">
        <v>1447</v>
      </c>
      <c r="J464" s="878" t="s">
        <v>1447</v>
      </c>
      <c r="K464" s="877"/>
      <c r="L464" s="879">
        <v>122</v>
      </c>
      <c r="M464" s="880">
        <v>345</v>
      </c>
      <c r="N464" s="881">
        <v>0.3548</v>
      </c>
      <c r="O464" s="880">
        <v>129.71346548188654</v>
      </c>
      <c r="P464" s="880">
        <v>345.14999970999997</v>
      </c>
      <c r="Q464" s="881">
        <v>0.37581766070077843</v>
      </c>
      <c r="R464" s="880">
        <v>121.96382656032067</v>
      </c>
      <c r="S464" s="880">
        <v>331</v>
      </c>
      <c r="T464" s="881">
        <v>0.36847077510670895</v>
      </c>
      <c r="U464" s="880">
        <v>206.84529828109203</v>
      </c>
      <c r="V464" s="880">
        <v>346</v>
      </c>
      <c r="W464" s="881">
        <v>0.59781878115922549</v>
      </c>
      <c r="X464" s="880">
        <v>171.46957451072072</v>
      </c>
      <c r="Y464" s="880">
        <v>361</v>
      </c>
      <c r="Z464" s="881">
        <v>0.47498497094382469</v>
      </c>
      <c r="AA464" s="880">
        <v>179.25952414502854</v>
      </c>
      <c r="AB464" s="880">
        <v>396</v>
      </c>
      <c r="AC464" s="881">
        <v>0.45267556602279935</v>
      </c>
      <c r="AD464" s="880">
        <v>180.20598558264049</v>
      </c>
      <c r="AE464" s="880">
        <v>421</v>
      </c>
      <c r="AF464" s="881">
        <v>0.42804272109890856</v>
      </c>
      <c r="AG464" s="880">
        <v>171.50761971468216</v>
      </c>
      <c r="AH464" s="880">
        <v>418</v>
      </c>
      <c r="AI464" s="881">
        <v>0.41030531032220613</v>
      </c>
    </row>
    <row r="465" spans="2:35" x14ac:dyDescent="0.2">
      <c r="B465" s="867">
        <v>88759000</v>
      </c>
      <c r="C465" s="876" t="s">
        <v>1447</v>
      </c>
      <c r="D465" s="877" t="s">
        <v>1447</v>
      </c>
      <c r="E465" s="877" t="s">
        <v>1447</v>
      </c>
      <c r="F465" s="877" t="s">
        <v>1447</v>
      </c>
      <c r="G465" s="877" t="s">
        <v>1447</v>
      </c>
      <c r="H465" s="877" t="s">
        <v>1447</v>
      </c>
      <c r="I465" s="877" t="s">
        <v>1447</v>
      </c>
      <c r="J465" s="878" t="s">
        <v>1447</v>
      </c>
      <c r="K465" s="877"/>
      <c r="L465" s="879">
        <v>145</v>
      </c>
      <c r="M465" s="880">
        <v>429</v>
      </c>
      <c r="N465" s="881">
        <v>0.3382</v>
      </c>
      <c r="O465" s="880">
        <v>136.48954203691045</v>
      </c>
      <c r="P465" s="880">
        <v>429.01499999800001</v>
      </c>
      <c r="Q465" s="881">
        <v>0.31814631664987642</v>
      </c>
      <c r="R465" s="880">
        <v>157.97219440193916</v>
      </c>
      <c r="S465" s="880">
        <v>489</v>
      </c>
      <c r="T465" s="881">
        <v>0.32305152229435413</v>
      </c>
      <c r="U465" s="880">
        <v>202.24873609706776</v>
      </c>
      <c r="V465" s="880">
        <v>514</v>
      </c>
      <c r="W465" s="881">
        <v>0.39348003131725245</v>
      </c>
      <c r="X465" s="880">
        <v>263.79934540110884</v>
      </c>
      <c r="Y465" s="880">
        <v>509</v>
      </c>
      <c r="Z465" s="881">
        <v>0.51826983379392699</v>
      </c>
      <c r="AA465" s="880">
        <v>272.39792459048823</v>
      </c>
      <c r="AB465" s="880">
        <v>529</v>
      </c>
      <c r="AC465" s="881">
        <v>0.51492991415971312</v>
      </c>
      <c r="AD465" s="880">
        <v>238.31801350668417</v>
      </c>
      <c r="AE465" s="880">
        <v>525</v>
      </c>
      <c r="AF465" s="881">
        <v>0.45393907334606509</v>
      </c>
      <c r="AG465" s="880">
        <v>200.71362741971862</v>
      </c>
      <c r="AH465" s="880">
        <v>529</v>
      </c>
      <c r="AI465" s="881">
        <v>0.37942084578396712</v>
      </c>
    </row>
    <row r="466" spans="2:35" x14ac:dyDescent="0.2">
      <c r="B466" s="867">
        <v>90199000</v>
      </c>
      <c r="C466" s="876" t="s">
        <v>1448</v>
      </c>
      <c r="D466" s="877" t="s">
        <v>1448</v>
      </c>
      <c r="E466" s="877" t="s">
        <v>1448</v>
      </c>
      <c r="F466" s="877" t="s">
        <v>1448</v>
      </c>
      <c r="G466" s="877" t="s">
        <v>1448</v>
      </c>
      <c r="H466" s="877" t="s">
        <v>1448</v>
      </c>
      <c r="I466" s="877" t="s">
        <v>1448</v>
      </c>
      <c r="J466" s="878" t="s">
        <v>1448</v>
      </c>
      <c r="K466" s="877"/>
      <c r="L466" s="879">
        <v>8</v>
      </c>
      <c r="M466" s="880">
        <v>27</v>
      </c>
      <c r="N466" s="881">
        <v>0.28810000000000002</v>
      </c>
      <c r="O466" s="880" t="s">
        <v>1450</v>
      </c>
      <c r="P466" s="880" t="s">
        <v>1450</v>
      </c>
      <c r="Q466" s="881" t="s">
        <v>1450</v>
      </c>
      <c r="R466" s="880" t="s">
        <v>1450</v>
      </c>
      <c r="S466" s="880" t="s">
        <v>1450</v>
      </c>
      <c r="T466" s="881" t="s">
        <v>1450</v>
      </c>
      <c r="U466" s="880">
        <v>0</v>
      </c>
      <c r="V466" s="880">
        <v>8</v>
      </c>
      <c r="W466" s="881">
        <v>0</v>
      </c>
      <c r="X466" s="880">
        <v>0</v>
      </c>
      <c r="Y466" s="880">
        <v>7</v>
      </c>
      <c r="Z466" s="881">
        <v>0</v>
      </c>
      <c r="AA466" s="880" t="s">
        <v>1450</v>
      </c>
      <c r="AB466" s="880" t="s">
        <v>1450</v>
      </c>
      <c r="AC466" s="881" t="s">
        <v>1450</v>
      </c>
      <c r="AD466" s="880" t="s">
        <v>1450</v>
      </c>
      <c r="AE466" s="880" t="s">
        <v>1450</v>
      </c>
      <c r="AF466" s="881" t="s">
        <v>1450</v>
      </c>
      <c r="AG466" s="880" t="s">
        <v>1450</v>
      </c>
      <c r="AH466" s="880" t="s">
        <v>1450</v>
      </c>
      <c r="AI466" s="881" t="s">
        <v>1450</v>
      </c>
    </row>
    <row r="467" spans="2:35" x14ac:dyDescent="0.2">
      <c r="B467" s="867">
        <v>90201000</v>
      </c>
      <c r="C467" s="876" t="s">
        <v>1447</v>
      </c>
      <c r="D467" s="877" t="s">
        <v>1447</v>
      </c>
      <c r="E467" s="877" t="s">
        <v>1447</v>
      </c>
      <c r="F467" s="877" t="s">
        <v>1447</v>
      </c>
      <c r="G467" s="877" t="s">
        <v>1447</v>
      </c>
      <c r="H467" s="877" t="s">
        <v>1447</v>
      </c>
      <c r="I467" s="877" t="s">
        <v>1447</v>
      </c>
      <c r="J467" s="878" t="s">
        <v>1447</v>
      </c>
      <c r="K467" s="877"/>
      <c r="L467" s="879">
        <v>575</v>
      </c>
      <c r="M467" s="880">
        <v>2332</v>
      </c>
      <c r="N467" s="881">
        <v>0.2467</v>
      </c>
      <c r="O467" s="880">
        <v>536.95555357620026</v>
      </c>
      <c r="P467" s="880">
        <v>2361.4299104180491</v>
      </c>
      <c r="Q467" s="881">
        <v>0.22738576792276755</v>
      </c>
      <c r="R467" s="880">
        <v>652.87872751765724</v>
      </c>
      <c r="S467" s="880">
        <v>2440.5371198752409</v>
      </c>
      <c r="T467" s="881">
        <v>0.26751436075310836</v>
      </c>
      <c r="U467" s="880">
        <v>553.94065942862426</v>
      </c>
      <c r="V467" s="880">
        <v>2216.1354827496307</v>
      </c>
      <c r="W467" s="881">
        <v>0.24995793972908742</v>
      </c>
      <c r="X467" s="880">
        <v>726.15989492327685</v>
      </c>
      <c r="Y467" s="880">
        <v>2184.1671225624282</v>
      </c>
      <c r="Z467" s="881">
        <v>0.33246535369113983</v>
      </c>
      <c r="AA467" s="880">
        <v>644.36442338452571</v>
      </c>
      <c r="AB467" s="880">
        <v>2188.7063989962362</v>
      </c>
      <c r="AC467" s="881">
        <v>0.29440423059028747</v>
      </c>
      <c r="AD467" s="880">
        <v>768.56091337704902</v>
      </c>
      <c r="AE467" s="880">
        <v>2183.8200206209231</v>
      </c>
      <c r="AF467" s="881">
        <v>0.35193418235927931</v>
      </c>
      <c r="AG467" s="880">
        <v>712.67134885207383</v>
      </c>
      <c r="AH467" s="880">
        <v>2183.4905306473474</v>
      </c>
      <c r="AI467" s="881">
        <v>0.32639085851257871</v>
      </c>
    </row>
    <row r="468" spans="2:35" x14ac:dyDescent="0.2">
      <c r="B468" s="867">
        <v>90202000</v>
      </c>
      <c r="C468" s="876" t="s">
        <v>1447</v>
      </c>
      <c r="D468" s="877" t="s">
        <v>1447</v>
      </c>
      <c r="E468" s="877" t="s">
        <v>1447</v>
      </c>
      <c r="F468" s="877" t="s">
        <v>1447</v>
      </c>
      <c r="G468" s="877" t="s">
        <v>1447</v>
      </c>
      <c r="H468" s="877" t="s">
        <v>1447</v>
      </c>
      <c r="I468" s="877" t="s">
        <v>1447</v>
      </c>
      <c r="J468" s="878" t="s">
        <v>1447</v>
      </c>
      <c r="K468" s="877"/>
      <c r="L468" s="879">
        <v>103</v>
      </c>
      <c r="M468" s="880">
        <v>472</v>
      </c>
      <c r="N468" s="881">
        <v>0.21909999999999999</v>
      </c>
      <c r="O468" s="880">
        <v>106.4322615124254</v>
      </c>
      <c r="P468" s="880">
        <v>477.74593563370934</v>
      </c>
      <c r="Q468" s="881">
        <v>0.22278004599086249</v>
      </c>
      <c r="R468" s="880">
        <v>109.78466697841557</v>
      </c>
      <c r="S468" s="880">
        <v>492.83867525752038</v>
      </c>
      <c r="T468" s="881">
        <v>0.22275984513806749</v>
      </c>
      <c r="U468" s="880">
        <v>102.19250096355654</v>
      </c>
      <c r="V468" s="880">
        <v>432.91496480403231</v>
      </c>
      <c r="W468" s="881">
        <v>0.23605675310812144</v>
      </c>
      <c r="X468" s="880">
        <v>151.41783707901925</v>
      </c>
      <c r="Y468" s="880">
        <v>425.94176299302916</v>
      </c>
      <c r="Z468" s="881">
        <v>0.3554895298714752</v>
      </c>
      <c r="AA468" s="880">
        <v>153.19077322813018</v>
      </c>
      <c r="AB468" s="880">
        <v>427.45079763398456</v>
      </c>
      <c r="AC468" s="881">
        <v>0.35838223738514019</v>
      </c>
      <c r="AD468" s="880">
        <v>207.71647357989642</v>
      </c>
      <c r="AE468" s="880">
        <v>426.64362056655926</v>
      </c>
      <c r="AF468" s="881">
        <v>0.48686178244985912</v>
      </c>
      <c r="AG468" s="880">
        <v>139.56480581686446</v>
      </c>
      <c r="AH468" s="880">
        <v>426.55621022209101</v>
      </c>
      <c r="AI468" s="881">
        <v>0.32718971725719004</v>
      </c>
    </row>
    <row r="469" spans="2:35" x14ac:dyDescent="0.2">
      <c r="B469" s="867">
        <v>90203000</v>
      </c>
      <c r="C469" s="876" t="s">
        <v>1447</v>
      </c>
      <c r="D469" s="877" t="s">
        <v>1447</v>
      </c>
      <c r="E469" s="877" t="s">
        <v>1447</v>
      </c>
      <c r="F469" s="877" t="s">
        <v>1447</v>
      </c>
      <c r="G469" s="877" t="s">
        <v>1447</v>
      </c>
      <c r="H469" s="877" t="s">
        <v>1447</v>
      </c>
      <c r="I469" s="877" t="s">
        <v>1447</v>
      </c>
      <c r="J469" s="878" t="s">
        <v>1447</v>
      </c>
      <c r="K469" s="877"/>
      <c r="L469" s="879">
        <v>904</v>
      </c>
      <c r="M469" s="880">
        <v>2781</v>
      </c>
      <c r="N469" s="881">
        <v>0.32519999999999999</v>
      </c>
      <c r="O469" s="880">
        <v>925.28948071613081</v>
      </c>
      <c r="P469" s="880">
        <v>2818.7010202388851</v>
      </c>
      <c r="Q469" s="881">
        <v>0.32826804761212752</v>
      </c>
      <c r="R469" s="880">
        <v>979.31809127648569</v>
      </c>
      <c r="S469" s="880">
        <v>2874.2351541018593</v>
      </c>
      <c r="T469" s="881">
        <v>0.34072302326373255</v>
      </c>
      <c r="U469" s="880">
        <v>791.75311494194739</v>
      </c>
      <c r="V469" s="880">
        <v>2324.1210132962547</v>
      </c>
      <c r="W469" s="881">
        <v>0.3406677666147081</v>
      </c>
      <c r="X469" s="880">
        <v>899.70551330783269</v>
      </c>
      <c r="Y469" s="880">
        <v>2269.7444630724431</v>
      </c>
      <c r="Z469" s="881">
        <v>0.39639066333041956</v>
      </c>
      <c r="AA469" s="880">
        <v>823.24574130889175</v>
      </c>
      <c r="AB469" s="880">
        <v>2271.8218318695103</v>
      </c>
      <c r="AC469" s="881">
        <v>0.36237249319478221</v>
      </c>
      <c r="AD469" s="880">
        <v>985.17809852016489</v>
      </c>
      <c r="AE469" s="880">
        <v>2271.1331336671028</v>
      </c>
      <c r="AF469" s="881">
        <v>0.43378262767424797</v>
      </c>
      <c r="AG469" s="880">
        <v>777.00973451233062</v>
      </c>
      <c r="AH469" s="880">
        <v>2269.9949369161627</v>
      </c>
      <c r="AI469" s="881">
        <v>0.34229580069809107</v>
      </c>
    </row>
    <row r="470" spans="2:35" x14ac:dyDescent="0.2">
      <c r="B470" s="867">
        <v>90204000</v>
      </c>
      <c r="C470" s="876" t="s">
        <v>1447</v>
      </c>
      <c r="D470" s="877" t="s">
        <v>1447</v>
      </c>
      <c r="E470" s="877" t="s">
        <v>1447</v>
      </c>
      <c r="F470" s="877" t="s">
        <v>1447</v>
      </c>
      <c r="G470" s="877" t="s">
        <v>1447</v>
      </c>
      <c r="H470" s="877" t="s">
        <v>1447</v>
      </c>
      <c r="I470" s="877" t="s">
        <v>1447</v>
      </c>
      <c r="J470" s="878" t="s">
        <v>1447</v>
      </c>
      <c r="K470" s="877"/>
      <c r="L470" s="879">
        <v>866</v>
      </c>
      <c r="M470" s="880">
        <v>2198</v>
      </c>
      <c r="N470" s="881">
        <v>0.39429999999999998</v>
      </c>
      <c r="O470" s="880">
        <v>887.89436180635971</v>
      </c>
      <c r="P470" s="880">
        <v>2224.9310716655609</v>
      </c>
      <c r="Q470" s="881">
        <v>0.39906600843220325</v>
      </c>
      <c r="R470" s="880">
        <v>945.31399088494106</v>
      </c>
      <c r="S470" s="880">
        <v>2285.7857758443797</v>
      </c>
      <c r="T470" s="881">
        <v>0.41356193606364433</v>
      </c>
      <c r="U470" s="880">
        <v>882.48477467594614</v>
      </c>
      <c r="V470" s="880">
        <v>1818.2428521769357</v>
      </c>
      <c r="W470" s="881">
        <v>0.48535033349333379</v>
      </c>
      <c r="X470" s="880">
        <v>1054.0150755054246</v>
      </c>
      <c r="Y470" s="880">
        <v>1791.2893320391777</v>
      </c>
      <c r="Z470" s="881">
        <v>0.58841140660707736</v>
      </c>
      <c r="AA470" s="880">
        <v>863.77555556093341</v>
      </c>
      <c r="AB470" s="880">
        <v>1794.8975622871483</v>
      </c>
      <c r="AC470" s="881">
        <v>0.48123947221827379</v>
      </c>
      <c r="AD470" s="880">
        <v>963.42080358785063</v>
      </c>
      <c r="AE470" s="880">
        <v>1790.9110119131151</v>
      </c>
      <c r="AF470" s="881">
        <v>0.53795012548316967</v>
      </c>
      <c r="AG470" s="880">
        <v>759.19295079102881</v>
      </c>
      <c r="AH470" s="880">
        <v>1790.7406401165172</v>
      </c>
      <c r="AI470" s="881">
        <v>0.42395472229950104</v>
      </c>
    </row>
    <row r="471" spans="2:35" x14ac:dyDescent="0.2">
      <c r="B471" s="867">
        <v>90205000</v>
      </c>
      <c r="C471" s="876" t="s">
        <v>1447</v>
      </c>
      <c r="D471" s="877" t="s">
        <v>1447</v>
      </c>
      <c r="E471" s="877" t="s">
        <v>1447</v>
      </c>
      <c r="F471" s="877" t="s">
        <v>1447</v>
      </c>
      <c r="G471" s="877" t="s">
        <v>1447</v>
      </c>
      <c r="H471" s="877" t="s">
        <v>1447</v>
      </c>
      <c r="I471" s="877" t="s">
        <v>1447</v>
      </c>
      <c r="J471" s="878" t="s">
        <v>1447</v>
      </c>
      <c r="K471" s="877"/>
      <c r="L471" s="879">
        <v>347</v>
      </c>
      <c r="M471" s="880">
        <v>2276</v>
      </c>
      <c r="N471" s="881">
        <v>0.15260000000000001</v>
      </c>
      <c r="O471" s="880">
        <v>356.69190344704731</v>
      </c>
      <c r="P471" s="880">
        <v>2304.880391506304</v>
      </c>
      <c r="Q471" s="881">
        <v>0.15475506007230994</v>
      </c>
      <c r="R471" s="880">
        <v>367.24428422868215</v>
      </c>
      <c r="S471" s="880">
        <v>2375.4824147412482</v>
      </c>
      <c r="T471" s="881">
        <v>0.15459777009912515</v>
      </c>
      <c r="U471" s="880">
        <v>655.1780902897176</v>
      </c>
      <c r="V471" s="880">
        <v>2763.8458764230468</v>
      </c>
      <c r="W471" s="881">
        <v>0.23705304839126748</v>
      </c>
      <c r="X471" s="880">
        <v>855.36572815638317</v>
      </c>
      <c r="Y471" s="880">
        <v>2724.8603194211596</v>
      </c>
      <c r="Z471" s="881">
        <v>0.31391177083825272</v>
      </c>
      <c r="AA471" s="880">
        <v>609.78099783190055</v>
      </c>
      <c r="AB471" s="880">
        <v>2727.9672432335542</v>
      </c>
      <c r="AC471" s="881">
        <v>0.2235294427909281</v>
      </c>
      <c r="AD471" s="880">
        <v>695.36068308263475</v>
      </c>
      <c r="AE471" s="880">
        <v>2723.5738103609419</v>
      </c>
      <c r="AF471" s="881">
        <v>0.25531185548831592</v>
      </c>
      <c r="AG471" s="880">
        <v>560.23886590315817</v>
      </c>
      <c r="AH471" s="880">
        <v>2724.3916457075279</v>
      </c>
      <c r="AI471" s="881">
        <v>0.20563815293805288</v>
      </c>
    </row>
    <row r="472" spans="2:35" x14ac:dyDescent="0.2">
      <c r="B472" s="867">
        <v>90206000</v>
      </c>
      <c r="C472" s="876" t="s">
        <v>1447</v>
      </c>
      <c r="D472" s="877" t="s">
        <v>1447</v>
      </c>
      <c r="E472" s="877" t="s">
        <v>1447</v>
      </c>
      <c r="F472" s="877" t="s">
        <v>1447</v>
      </c>
      <c r="G472" s="877" t="s">
        <v>1447</v>
      </c>
      <c r="H472" s="877" t="s">
        <v>1447</v>
      </c>
      <c r="I472" s="877" t="s">
        <v>1447</v>
      </c>
      <c r="J472" s="878" t="s">
        <v>1447</v>
      </c>
      <c r="K472" s="877"/>
      <c r="L472" s="879">
        <v>103</v>
      </c>
      <c r="M472" s="880">
        <v>579</v>
      </c>
      <c r="N472" s="881">
        <v>0.17860000000000001</v>
      </c>
      <c r="O472" s="880">
        <v>106.4322615124254</v>
      </c>
      <c r="P472" s="880">
        <v>586.94500663570011</v>
      </c>
      <c r="Q472" s="881">
        <v>0.18133259557395781</v>
      </c>
      <c r="R472" s="880">
        <v>106.87002980199746</v>
      </c>
      <c r="S472" s="880">
        <v>602.24886116468986</v>
      </c>
      <c r="T472" s="881">
        <v>0.17745160961420728</v>
      </c>
      <c r="U472" s="880">
        <v>158.54163700888211</v>
      </c>
      <c r="V472" s="880">
        <v>497.12257756148432</v>
      </c>
      <c r="W472" s="881">
        <v>0.31891860109546849</v>
      </c>
      <c r="X472" s="880">
        <v>199.61325572189918</v>
      </c>
      <c r="Y472" s="880">
        <v>489.15229859701753</v>
      </c>
      <c r="Z472" s="881">
        <v>0.40807997078707026</v>
      </c>
      <c r="AA472" s="880">
        <v>174.92892643263741</v>
      </c>
      <c r="AB472" s="880">
        <v>490.77684172790822</v>
      </c>
      <c r="AC472" s="881">
        <v>0.35643272371360146</v>
      </c>
      <c r="AD472" s="880">
        <v>208.70544153136524</v>
      </c>
      <c r="AE472" s="880">
        <v>489.15187195189236</v>
      </c>
      <c r="AF472" s="881">
        <v>0.42666798084315871</v>
      </c>
      <c r="AG472" s="880">
        <v>137.58516318116426</v>
      </c>
      <c r="AH472" s="880">
        <v>489.19733200295752</v>
      </c>
      <c r="AI472" s="881">
        <v>0.2812467570455443</v>
      </c>
    </row>
    <row r="473" spans="2:35" x14ac:dyDescent="0.2">
      <c r="B473" s="867">
        <v>90210000</v>
      </c>
      <c r="C473" s="876" t="s">
        <v>1447</v>
      </c>
      <c r="D473" s="877" t="s">
        <v>1447</v>
      </c>
      <c r="E473" s="877" t="s">
        <v>1447</v>
      </c>
      <c r="F473" s="877" t="s">
        <v>1447</v>
      </c>
      <c r="G473" s="877" t="s">
        <v>1447</v>
      </c>
      <c r="H473" s="877" t="s">
        <v>1447</v>
      </c>
      <c r="I473" s="877" t="s">
        <v>1447</v>
      </c>
      <c r="J473" s="878" t="s">
        <v>1447</v>
      </c>
      <c r="K473" s="877"/>
      <c r="L473" s="879">
        <v>423</v>
      </c>
      <c r="M473" s="880">
        <v>2246</v>
      </c>
      <c r="N473" s="881">
        <v>0.18840000000000001</v>
      </c>
      <c r="O473" s="880">
        <v>475.58920459606304</v>
      </c>
      <c r="P473" s="880">
        <v>2272.7056652289316</v>
      </c>
      <c r="Q473" s="881">
        <v>0.20926123953149758</v>
      </c>
      <c r="R473" s="880">
        <v>613.04535277327636</v>
      </c>
      <c r="S473" s="880">
        <v>2346.8977715763122</v>
      </c>
      <c r="T473" s="881">
        <v>0.26121519232664303</v>
      </c>
      <c r="U473" s="880">
        <v>680.96498305622254</v>
      </c>
      <c r="V473" s="880">
        <v>2741.4704962196924</v>
      </c>
      <c r="W473" s="881">
        <v>0.24839405858834829</v>
      </c>
      <c r="X473" s="880">
        <v>1010.5970874566447</v>
      </c>
      <c r="Y473" s="880">
        <v>2701.5210447366103</v>
      </c>
      <c r="Z473" s="881">
        <v>0.37408447712284049</v>
      </c>
      <c r="AA473" s="880">
        <v>886.50180663837284</v>
      </c>
      <c r="AB473" s="880">
        <v>2706.1989155762681</v>
      </c>
      <c r="AC473" s="881">
        <v>0.32758190890398675</v>
      </c>
      <c r="AD473" s="880">
        <v>1055.3948230744522</v>
      </c>
      <c r="AE473" s="880">
        <v>2700.7533376329634</v>
      </c>
      <c r="AF473" s="881">
        <v>0.39077793901735502</v>
      </c>
      <c r="AG473" s="880">
        <v>757.2133081553286</v>
      </c>
      <c r="AH473" s="880">
        <v>2700.5283612195785</v>
      </c>
      <c r="AI473" s="881">
        <v>0.28039450317543246</v>
      </c>
    </row>
    <row r="474" spans="2:35" x14ac:dyDescent="0.2">
      <c r="B474" s="867">
        <v>90220000</v>
      </c>
      <c r="C474" s="876" t="s">
        <v>1447</v>
      </c>
      <c r="D474" s="877" t="s">
        <v>1447</v>
      </c>
      <c r="E474" s="877" t="s">
        <v>1447</v>
      </c>
      <c r="F474" s="877" t="s">
        <v>1447</v>
      </c>
      <c r="G474" s="877" t="s">
        <v>1447</v>
      </c>
      <c r="H474" s="877" t="s">
        <v>1447</v>
      </c>
      <c r="I474" s="877" t="s">
        <v>1447</v>
      </c>
      <c r="J474" s="878" t="s">
        <v>1447</v>
      </c>
      <c r="K474" s="877"/>
      <c r="L474" s="879">
        <v>1296</v>
      </c>
      <c r="M474" s="880">
        <v>3132</v>
      </c>
      <c r="N474" s="881">
        <v>0.41370000000000001</v>
      </c>
      <c r="O474" s="880">
        <v>1325.1295982898371</v>
      </c>
      <c r="P474" s="880">
        <v>3171.648017584605</v>
      </c>
      <c r="Q474" s="881">
        <v>0.41780474723011685</v>
      </c>
      <c r="R474" s="880">
        <v>1416.5136677392027</v>
      </c>
      <c r="S474" s="880">
        <v>3269.4917716583905</v>
      </c>
      <c r="T474" s="881">
        <v>0.43325194454326516</v>
      </c>
      <c r="U474" s="880">
        <v>1180.4666466444476</v>
      </c>
      <c r="V474" s="880">
        <v>2737.5791257495439</v>
      </c>
      <c r="W474" s="881">
        <v>0.43120822903017936</v>
      </c>
      <c r="X474" s="880">
        <v>1435.8491249675983</v>
      </c>
      <c r="Y474" s="880">
        <v>2697.631165622518</v>
      </c>
      <c r="Z474" s="881">
        <v>0.53226295101623167</v>
      </c>
      <c r="AA474" s="880">
        <v>1180.0202792846915</v>
      </c>
      <c r="AB474" s="880">
        <v>2702.2410378203981</v>
      </c>
      <c r="AC474" s="881">
        <v>0.43668209562700022</v>
      </c>
      <c r="AD474" s="880">
        <v>1341.2563667061072</v>
      </c>
      <c r="AE474" s="880">
        <v>2696.7845597672281</v>
      </c>
      <c r="AF474" s="881">
        <v>0.49735391796439138</v>
      </c>
      <c r="AG474" s="880">
        <v>1046.2411329675585</v>
      </c>
      <c r="AH474" s="880">
        <v>2696.5511471382538</v>
      </c>
      <c r="AI474" s="881">
        <v>0.38799231903236625</v>
      </c>
    </row>
    <row r="475" spans="2:35" x14ac:dyDescent="0.2">
      <c r="B475" s="867">
        <v>90225000</v>
      </c>
      <c r="C475" s="876" t="s">
        <v>1447</v>
      </c>
      <c r="D475" s="877" t="s">
        <v>1447</v>
      </c>
      <c r="E475" s="877" t="s">
        <v>1447</v>
      </c>
      <c r="F475" s="877" t="s">
        <v>1447</v>
      </c>
      <c r="G475" s="877" t="s">
        <v>1447</v>
      </c>
      <c r="H475" s="877" t="s">
        <v>1447</v>
      </c>
      <c r="I475" s="877" t="s">
        <v>1447</v>
      </c>
      <c r="J475" s="878" t="s">
        <v>1447</v>
      </c>
      <c r="K475" s="877"/>
      <c r="L475" s="879">
        <v>649</v>
      </c>
      <c r="M475" s="880">
        <v>1771</v>
      </c>
      <c r="N475" s="881">
        <v>0.36670000000000003</v>
      </c>
      <c r="O475" s="880">
        <v>664.48249755054781</v>
      </c>
      <c r="P475" s="880">
        <v>1793.0097461844725</v>
      </c>
      <c r="Q475" s="881">
        <v>0.37059614369892163</v>
      </c>
      <c r="R475" s="880">
        <v>712.14301677149206</v>
      </c>
      <c r="S475" s="880">
        <v>1850.1163869167317</v>
      </c>
      <c r="T475" s="881">
        <v>0.38491795532836581</v>
      </c>
      <c r="U475" s="880">
        <v>653.26795008479132</v>
      </c>
      <c r="V475" s="880">
        <v>1642.1583384027115</v>
      </c>
      <c r="W475" s="881">
        <v>0.39781057332157727</v>
      </c>
      <c r="X475" s="880">
        <v>748.32978749900155</v>
      </c>
      <c r="Y475" s="880">
        <v>1618.1897114621017</v>
      </c>
      <c r="Z475" s="881">
        <v>0.46244873650992036</v>
      </c>
      <c r="AA475" s="880">
        <v>656.22159785971144</v>
      </c>
      <c r="AB475" s="880">
        <v>1621.7404104678258</v>
      </c>
      <c r="AC475" s="881">
        <v>0.40464034417839428</v>
      </c>
      <c r="AD475" s="880">
        <v>712.17313825760493</v>
      </c>
      <c r="AE475" s="880">
        <v>1618.2691747536237</v>
      </c>
      <c r="AF475" s="881">
        <v>0.44008323792364828</v>
      </c>
      <c r="AG475" s="880">
        <v>608.74011047781312</v>
      </c>
      <c r="AH475" s="880">
        <v>1617.7318275788862</v>
      </c>
      <c r="AI475" s="881">
        <v>0.3762923496342776</v>
      </c>
    </row>
    <row r="476" spans="2:35" x14ac:dyDescent="0.2">
      <c r="B476" s="867">
        <v>90227000</v>
      </c>
      <c r="C476" s="876" t="s">
        <v>1447</v>
      </c>
      <c r="D476" s="877" t="s">
        <v>1447</v>
      </c>
      <c r="E476" s="877" t="s">
        <v>1447</v>
      </c>
      <c r="F476" s="877" t="s">
        <v>1447</v>
      </c>
      <c r="G476" s="877" t="s">
        <v>1447</v>
      </c>
      <c r="H476" s="877" t="s">
        <v>1447</v>
      </c>
      <c r="I476" s="877" t="s">
        <v>1447</v>
      </c>
      <c r="J476" s="878" t="s">
        <v>1447</v>
      </c>
      <c r="K476" s="877"/>
      <c r="L476" s="879">
        <v>1127</v>
      </c>
      <c r="M476" s="880">
        <v>3144</v>
      </c>
      <c r="N476" s="881">
        <v>0.35849999999999999</v>
      </c>
      <c r="O476" s="880">
        <v>1152.5367417832013</v>
      </c>
      <c r="P476" s="880">
        <v>3181.3979346383544</v>
      </c>
      <c r="Q476" s="881">
        <v>0.36227368140107125</v>
      </c>
      <c r="R476" s="880">
        <v>1228.033796997498</v>
      </c>
      <c r="S476" s="880">
        <v>3288.2196413181764</v>
      </c>
      <c r="T476" s="881">
        <v>0.3734646498569073</v>
      </c>
      <c r="U476" s="880">
        <v>1016.1945890207866</v>
      </c>
      <c r="V476" s="880">
        <v>2661.6974015816459</v>
      </c>
      <c r="W476" s="881">
        <v>0.38178441637165023</v>
      </c>
      <c r="X476" s="880">
        <v>1349.0973714104143</v>
      </c>
      <c r="Y476" s="880">
        <v>2622.750992676255</v>
      </c>
      <c r="Z476" s="881">
        <v>0.51438256059291221</v>
      </c>
      <c r="AA476" s="880">
        <v>1255.1335190893585</v>
      </c>
      <c r="AB476" s="880">
        <v>2628.0308298978312</v>
      </c>
      <c r="AC476" s="881">
        <v>0.47759467081219659</v>
      </c>
      <c r="AD476" s="880">
        <v>1374.8812770560476</v>
      </c>
      <c r="AE476" s="880">
        <v>2622.3699747846886</v>
      </c>
      <c r="AF476" s="881">
        <v>0.52428958929372016</v>
      </c>
      <c r="AG476" s="880">
        <v>1061.0884527353101</v>
      </c>
      <c r="AH476" s="880">
        <v>2621.9783831134127</v>
      </c>
      <c r="AI476" s="881">
        <v>0.40469000796083721</v>
      </c>
    </row>
    <row r="477" spans="2:35" x14ac:dyDescent="0.2">
      <c r="B477" s="867">
        <v>90232000</v>
      </c>
      <c r="C477" s="876" t="s">
        <v>1447</v>
      </c>
      <c r="D477" s="877" t="s">
        <v>1447</v>
      </c>
      <c r="E477" s="877" t="s">
        <v>1447</v>
      </c>
      <c r="F477" s="877" t="s">
        <v>1447</v>
      </c>
      <c r="G477" s="877" t="s">
        <v>1447</v>
      </c>
      <c r="H477" s="877" t="s">
        <v>1447</v>
      </c>
      <c r="I477" s="877" t="s">
        <v>1447</v>
      </c>
      <c r="J477" s="878" t="s">
        <v>1447</v>
      </c>
      <c r="K477" s="877"/>
      <c r="L477" s="879">
        <v>329</v>
      </c>
      <c r="M477" s="880">
        <v>2103</v>
      </c>
      <c r="N477" s="881">
        <v>0.15640000000000001</v>
      </c>
      <c r="O477" s="880">
        <v>372.99233989489625</v>
      </c>
      <c r="P477" s="880">
        <v>2128.4068928334441</v>
      </c>
      <c r="Q477" s="881">
        <v>0.17524484681514529</v>
      </c>
      <c r="R477" s="880">
        <v>395.41911026739058</v>
      </c>
      <c r="S477" s="880">
        <v>2192.1464275454509</v>
      </c>
      <c r="T477" s="881">
        <v>0.18037988033041288</v>
      </c>
      <c r="U477" s="880">
        <v>543.43488830152967</v>
      </c>
      <c r="V477" s="880">
        <v>2553.7118710350223</v>
      </c>
      <c r="W477" s="881">
        <v>0.21280195877433694</v>
      </c>
      <c r="X477" s="880">
        <v>701.0561659587911</v>
      </c>
      <c r="Y477" s="880">
        <v>2516.751786817259</v>
      </c>
      <c r="Z477" s="881">
        <v>0.27855594247749099</v>
      </c>
      <c r="AA477" s="880">
        <v>626.57866167174711</v>
      </c>
      <c r="AB477" s="880">
        <v>2521.168130489335</v>
      </c>
      <c r="AC477" s="881">
        <v>0.24852712284211451</v>
      </c>
      <c r="AD477" s="880">
        <v>921.86754774043902</v>
      </c>
      <c r="AE477" s="880">
        <v>2516.2051668762656</v>
      </c>
      <c r="AF477" s="881">
        <v>0.36637217023319618</v>
      </c>
      <c r="AG477" s="880">
        <v>717.62045544132445</v>
      </c>
      <c r="AH477" s="880">
        <v>2516.5822099583038</v>
      </c>
      <c r="AI477" s="881">
        <v>0.28515677040139864</v>
      </c>
    </row>
    <row r="478" spans="2:35" x14ac:dyDescent="0.2">
      <c r="B478" s="867">
        <v>90900000</v>
      </c>
      <c r="C478" s="876" t="s">
        <v>1448</v>
      </c>
      <c r="D478" s="877" t="s">
        <v>1448</v>
      </c>
      <c r="E478" s="877" t="s">
        <v>1448</v>
      </c>
      <c r="F478" s="877" t="s">
        <v>1448</v>
      </c>
      <c r="G478" s="877" t="s">
        <v>1448</v>
      </c>
      <c r="H478" s="877" t="s">
        <v>1448</v>
      </c>
      <c r="I478" s="877" t="s">
        <v>1448</v>
      </c>
      <c r="J478" s="878" t="s">
        <v>1448</v>
      </c>
      <c r="K478" s="877"/>
      <c r="L478" s="879" t="s">
        <v>1450</v>
      </c>
      <c r="M478" s="880" t="s">
        <v>1450</v>
      </c>
      <c r="N478" s="881" t="s">
        <v>1450</v>
      </c>
      <c r="O478" s="880" t="s">
        <v>1450</v>
      </c>
      <c r="P478" s="880" t="s">
        <v>1450</v>
      </c>
      <c r="Q478" s="881" t="s">
        <v>1450</v>
      </c>
      <c r="R478" s="880" t="s">
        <v>1450</v>
      </c>
      <c r="S478" s="880" t="s">
        <v>1450</v>
      </c>
      <c r="T478" s="881" t="s">
        <v>1450</v>
      </c>
      <c r="U478" s="880">
        <v>0</v>
      </c>
      <c r="V478" s="880">
        <v>0</v>
      </c>
      <c r="W478" s="881">
        <v>0</v>
      </c>
      <c r="X478" s="880">
        <v>0</v>
      </c>
      <c r="Y478" s="880">
        <v>0</v>
      </c>
      <c r="Z478" s="881">
        <v>0</v>
      </c>
      <c r="AA478" s="880" t="s">
        <v>1450</v>
      </c>
      <c r="AB478" s="880" t="s">
        <v>1450</v>
      </c>
      <c r="AC478" s="881" t="s">
        <v>1450</v>
      </c>
      <c r="AD478" s="880" t="s">
        <v>1450</v>
      </c>
      <c r="AE478" s="880" t="s">
        <v>1450</v>
      </c>
      <c r="AF478" s="881" t="s">
        <v>1450</v>
      </c>
      <c r="AG478" s="880" t="s">
        <v>1450</v>
      </c>
      <c r="AH478" s="880" t="s">
        <v>1450</v>
      </c>
      <c r="AI478" s="881" t="s">
        <v>1450</v>
      </c>
    </row>
    <row r="479" spans="2:35" x14ac:dyDescent="0.2">
      <c r="B479" s="867">
        <v>90999000</v>
      </c>
      <c r="C479" s="876" t="s">
        <v>1448</v>
      </c>
      <c r="D479" s="877" t="s">
        <v>1447</v>
      </c>
      <c r="E479" s="877" t="s">
        <v>1448</v>
      </c>
      <c r="F479" s="877" t="s">
        <v>1448</v>
      </c>
      <c r="G479" s="877" t="s">
        <v>1448</v>
      </c>
      <c r="H479" s="877" t="s">
        <v>1448</v>
      </c>
      <c r="I479" s="877" t="s">
        <v>1448</v>
      </c>
      <c r="J479" s="878" t="s">
        <v>1448</v>
      </c>
      <c r="K479" s="877"/>
      <c r="L479" s="879" t="s">
        <v>1450</v>
      </c>
      <c r="M479" s="880" t="s">
        <v>1450</v>
      </c>
      <c r="N479" s="881" t="s">
        <v>1450</v>
      </c>
      <c r="O479" s="880">
        <v>49.860158546361447</v>
      </c>
      <c r="P479" s="880">
        <v>187.19840743198407</v>
      </c>
      <c r="Q479" s="881">
        <v>0.2663492666970334</v>
      </c>
      <c r="R479" s="880">
        <v>0</v>
      </c>
      <c r="S479" s="880">
        <v>0</v>
      </c>
      <c r="T479" s="881">
        <v>0</v>
      </c>
      <c r="U479" s="880" t="s">
        <v>1450</v>
      </c>
      <c r="V479" s="880" t="s">
        <v>1450</v>
      </c>
      <c r="W479" s="881" t="s">
        <v>1450</v>
      </c>
      <c r="X479" s="880" t="s">
        <v>1450</v>
      </c>
      <c r="Y479" s="880" t="s">
        <v>1450</v>
      </c>
      <c r="Z479" s="881" t="s">
        <v>1450</v>
      </c>
      <c r="AA479" s="880" t="s">
        <v>1450</v>
      </c>
      <c r="AB479" s="880" t="s">
        <v>1450</v>
      </c>
      <c r="AC479" s="881" t="s">
        <v>1450</v>
      </c>
      <c r="AD479" s="880" t="s">
        <v>1450</v>
      </c>
      <c r="AE479" s="880" t="s">
        <v>1450</v>
      </c>
      <c r="AF479" s="881" t="s">
        <v>1450</v>
      </c>
      <c r="AG479" s="880" t="s">
        <v>1450</v>
      </c>
      <c r="AH479" s="880" t="s">
        <v>1450</v>
      </c>
      <c r="AI479" s="881" t="s">
        <v>1450</v>
      </c>
    </row>
    <row r="480" spans="2:35" x14ac:dyDescent="0.2">
      <c r="B480" s="867">
        <v>98651000</v>
      </c>
      <c r="C480" s="876" t="s">
        <v>1448</v>
      </c>
      <c r="D480" s="877" t="s">
        <v>1448</v>
      </c>
      <c r="E480" s="877" t="s">
        <v>1448</v>
      </c>
      <c r="F480" s="877" t="s">
        <v>1448</v>
      </c>
      <c r="G480" s="877" t="s">
        <v>1448</v>
      </c>
      <c r="H480" s="877" t="s">
        <v>1448</v>
      </c>
      <c r="I480" s="877" t="s">
        <v>1448</v>
      </c>
      <c r="J480" s="878" t="s">
        <v>1448</v>
      </c>
      <c r="K480" s="877"/>
      <c r="L480" s="879" t="s">
        <v>1450</v>
      </c>
      <c r="M480" s="880" t="s">
        <v>1450</v>
      </c>
      <c r="N480" s="881" t="s">
        <v>1450</v>
      </c>
      <c r="O480" s="880" t="s">
        <v>1450</v>
      </c>
      <c r="P480" s="880" t="s">
        <v>1450</v>
      </c>
      <c r="Q480" s="881" t="s">
        <v>1450</v>
      </c>
      <c r="R480" s="880" t="s">
        <v>1450</v>
      </c>
      <c r="S480" s="880" t="s">
        <v>1450</v>
      </c>
      <c r="T480" s="881" t="s">
        <v>1450</v>
      </c>
      <c r="U480" s="880">
        <v>0</v>
      </c>
      <c r="V480" s="880">
        <v>12</v>
      </c>
      <c r="W480" s="881">
        <v>0</v>
      </c>
      <c r="X480" s="880">
        <v>0</v>
      </c>
      <c r="Y480" s="880">
        <v>5</v>
      </c>
      <c r="Z480" s="881">
        <v>0</v>
      </c>
      <c r="AA480" s="880" t="s">
        <v>1450</v>
      </c>
      <c r="AB480" s="880" t="s">
        <v>1450</v>
      </c>
      <c r="AC480" s="881" t="s">
        <v>1450</v>
      </c>
      <c r="AD480" s="880" t="s">
        <v>1450</v>
      </c>
      <c r="AE480" s="880" t="s">
        <v>1450</v>
      </c>
      <c r="AF480" s="881" t="s">
        <v>1450</v>
      </c>
      <c r="AG480" s="880" t="s">
        <v>1450</v>
      </c>
      <c r="AH480" s="880" t="s">
        <v>1450</v>
      </c>
      <c r="AI480" s="881" t="s">
        <v>1450</v>
      </c>
    </row>
    <row r="481" spans="2:35" x14ac:dyDescent="0.2">
      <c r="B481" s="867">
        <v>98745000</v>
      </c>
      <c r="C481" s="876" t="s">
        <v>1447</v>
      </c>
      <c r="D481" s="877" t="s">
        <v>1447</v>
      </c>
      <c r="E481" s="877" t="s">
        <v>1447</v>
      </c>
      <c r="F481" s="877" t="s">
        <v>1447</v>
      </c>
      <c r="G481" s="877" t="s">
        <v>1447</v>
      </c>
      <c r="H481" s="877" t="s">
        <v>1447</v>
      </c>
      <c r="I481" s="877" t="s">
        <v>1447</v>
      </c>
      <c r="J481" s="878" t="s">
        <v>1447</v>
      </c>
      <c r="K481" s="877"/>
      <c r="L481" s="879">
        <v>60</v>
      </c>
      <c r="M481" s="880">
        <v>130</v>
      </c>
      <c r="N481" s="881">
        <v>0.45700000000000002</v>
      </c>
      <c r="O481" s="880">
        <v>40.087111427807962</v>
      </c>
      <c r="P481" s="880">
        <v>66</v>
      </c>
      <c r="Q481" s="881">
        <v>0.60738047617890856</v>
      </c>
      <c r="R481" s="880">
        <v>23.784031050734683</v>
      </c>
      <c r="S481" s="880">
        <v>56</v>
      </c>
      <c r="T481" s="881">
        <v>0.42471484019169076</v>
      </c>
      <c r="U481" s="880">
        <v>37.913291195584435</v>
      </c>
      <c r="V481" s="880">
        <v>59</v>
      </c>
      <c r="W481" s="881">
        <v>0.64259815585736335</v>
      </c>
      <c r="X481" s="880">
        <v>42.350538768743874</v>
      </c>
      <c r="Y481" s="880">
        <v>62</v>
      </c>
      <c r="Z481" s="881">
        <v>0.68307320594748189</v>
      </c>
      <c r="AA481" s="880">
        <v>34.4464893768195</v>
      </c>
      <c r="AB481" s="880">
        <v>64</v>
      </c>
      <c r="AC481" s="881">
        <v>0.53822639651280468</v>
      </c>
      <c r="AD481" s="880">
        <v>49.787948890459916</v>
      </c>
      <c r="AE481" s="880">
        <v>65</v>
      </c>
      <c r="AF481" s="881">
        <v>0.76596844446861412</v>
      </c>
      <c r="AG481" s="880">
        <v>26.49827691928699</v>
      </c>
      <c r="AH481" s="880">
        <v>51</v>
      </c>
      <c r="AI481" s="881">
        <v>0.51957405724092143</v>
      </c>
    </row>
    <row r="482" spans="2:35" x14ac:dyDescent="0.2">
      <c r="B482" s="867">
        <v>98746000</v>
      </c>
      <c r="C482" s="876" t="s">
        <v>1448</v>
      </c>
      <c r="D482" s="877" t="s">
        <v>1448</v>
      </c>
      <c r="E482" s="877" t="s">
        <v>1447</v>
      </c>
      <c r="F482" s="877" t="s">
        <v>1447</v>
      </c>
      <c r="G482" s="877" t="s">
        <v>1447</v>
      </c>
      <c r="H482" s="877" t="s">
        <v>1447</v>
      </c>
      <c r="I482" s="877" t="s">
        <v>1447</v>
      </c>
      <c r="J482" s="878" t="s">
        <v>1447</v>
      </c>
      <c r="K482" s="877"/>
      <c r="L482" s="879" t="s">
        <v>1450</v>
      </c>
      <c r="M482" s="880" t="s">
        <v>1450</v>
      </c>
      <c r="N482" s="881" t="s">
        <v>1450</v>
      </c>
      <c r="O482" s="880">
        <v>70.475728155339809</v>
      </c>
      <c r="P482" s="880">
        <v>110</v>
      </c>
      <c r="Q482" s="881">
        <v>0</v>
      </c>
      <c r="R482" s="880">
        <v>34.594954255614084</v>
      </c>
      <c r="S482" s="880">
        <v>50</v>
      </c>
      <c r="T482" s="881">
        <v>0.69189908511228171</v>
      </c>
      <c r="U482" s="880">
        <v>52.807798450992607</v>
      </c>
      <c r="V482" s="880">
        <v>78</v>
      </c>
      <c r="W482" s="881">
        <v>0.67702305706400778</v>
      </c>
      <c r="X482" s="880">
        <v>54.553236380076854</v>
      </c>
      <c r="Y482" s="880">
        <v>68</v>
      </c>
      <c r="Z482" s="881">
        <v>0.80225347617760079</v>
      </c>
      <c r="AA482" s="880">
        <v>33.237840626755656</v>
      </c>
      <c r="AB482" s="880">
        <v>53</v>
      </c>
      <c r="AC482" s="881">
        <v>0.62712906842935201</v>
      </c>
      <c r="AD482" s="880">
        <v>24.510990222995652</v>
      </c>
      <c r="AE482" s="880">
        <v>62</v>
      </c>
      <c r="AF482" s="881">
        <v>0.39533855198380086</v>
      </c>
      <c r="AG482" s="880">
        <v>28.346993913655851</v>
      </c>
      <c r="AH482" s="880">
        <v>55</v>
      </c>
      <c r="AI482" s="881">
        <v>0.51539988933919734</v>
      </c>
    </row>
    <row r="483" spans="2:35" x14ac:dyDescent="0.2">
      <c r="B483" s="867">
        <v>98748000</v>
      </c>
      <c r="C483" s="876" t="s">
        <v>1448</v>
      </c>
      <c r="D483" s="877" t="s">
        <v>1448</v>
      </c>
      <c r="E483" s="877" t="s">
        <v>1448</v>
      </c>
      <c r="F483" s="877" t="s">
        <v>1448</v>
      </c>
      <c r="G483" s="877" t="s">
        <v>1448</v>
      </c>
      <c r="H483" s="877" t="s">
        <v>1448</v>
      </c>
      <c r="I483" s="877" t="s">
        <v>1448</v>
      </c>
      <c r="J483" s="878" t="s">
        <v>1448</v>
      </c>
      <c r="K483" s="877"/>
      <c r="L483" s="879" t="s">
        <v>1450</v>
      </c>
      <c r="M483" s="880" t="s">
        <v>1450</v>
      </c>
      <c r="N483" s="881" t="s">
        <v>1450</v>
      </c>
      <c r="O483" s="880" t="s">
        <v>1450</v>
      </c>
      <c r="P483" s="880" t="s">
        <v>1450</v>
      </c>
      <c r="Q483" s="881" t="s">
        <v>1450</v>
      </c>
      <c r="R483" s="880" t="s">
        <v>1450</v>
      </c>
      <c r="S483" s="880" t="s">
        <v>1450</v>
      </c>
      <c r="T483" s="881" t="s">
        <v>1450</v>
      </c>
      <c r="U483" s="880">
        <v>0</v>
      </c>
      <c r="V483" s="880">
        <v>28</v>
      </c>
      <c r="W483" s="881">
        <v>0</v>
      </c>
      <c r="X483" s="880">
        <v>0</v>
      </c>
      <c r="Y483" s="880">
        <v>20</v>
      </c>
      <c r="Z483" s="881">
        <v>0</v>
      </c>
      <c r="AA483" s="880" t="s">
        <v>1450</v>
      </c>
      <c r="AB483" s="880" t="s">
        <v>1450</v>
      </c>
      <c r="AC483" s="881" t="s">
        <v>1450</v>
      </c>
      <c r="AD483" s="880" t="s">
        <v>1450</v>
      </c>
      <c r="AE483" s="880" t="s">
        <v>1450</v>
      </c>
      <c r="AF483" s="881" t="s">
        <v>1450</v>
      </c>
      <c r="AG483" s="880" t="s">
        <v>1450</v>
      </c>
      <c r="AH483" s="880" t="s">
        <v>1450</v>
      </c>
      <c r="AI483" s="881" t="s">
        <v>1450</v>
      </c>
    </row>
    <row r="484" spans="2:35" x14ac:dyDescent="0.2">
      <c r="B484" s="867">
        <v>98749000</v>
      </c>
      <c r="C484" s="876" t="s">
        <v>1447</v>
      </c>
      <c r="D484" s="877" t="s">
        <v>1447</v>
      </c>
      <c r="E484" s="877" t="s">
        <v>1447</v>
      </c>
      <c r="F484" s="877" t="s">
        <v>1447</v>
      </c>
      <c r="G484" s="877" t="s">
        <v>1447</v>
      </c>
      <c r="H484" s="877" t="s">
        <v>1447</v>
      </c>
      <c r="I484" s="877" t="s">
        <v>1447</v>
      </c>
      <c r="J484" s="878" t="s">
        <v>1447</v>
      </c>
      <c r="K484" s="877"/>
      <c r="L484" s="879">
        <v>132</v>
      </c>
      <c r="M484" s="880">
        <v>456</v>
      </c>
      <c r="N484" s="881">
        <v>0.28899999999999998</v>
      </c>
      <c r="O484" s="880">
        <v>75.001692348801996</v>
      </c>
      <c r="P484" s="880">
        <v>159</v>
      </c>
      <c r="Q484" s="881">
        <v>0.47170875691070435</v>
      </c>
      <c r="R484" s="880">
        <v>72.072821365862666</v>
      </c>
      <c r="S484" s="880">
        <v>144</v>
      </c>
      <c r="T484" s="881">
        <v>0.50050570392960181</v>
      </c>
      <c r="U484" s="880">
        <v>58.22398290750467</v>
      </c>
      <c r="V484" s="880">
        <v>99</v>
      </c>
      <c r="W484" s="881">
        <v>0.58812103946974414</v>
      </c>
      <c r="X484" s="880">
        <v>66.755933991409833</v>
      </c>
      <c r="Y484" s="880">
        <v>106</v>
      </c>
      <c r="Z484" s="881">
        <v>0.62977296218311163</v>
      </c>
      <c r="AA484" s="880">
        <v>82.630798999773816</v>
      </c>
      <c r="AB484" s="880">
        <v>191</v>
      </c>
      <c r="AC484" s="881">
        <v>0.43262198429200949</v>
      </c>
      <c r="AD484" s="880">
        <v>87.627806576689352</v>
      </c>
      <c r="AE484" s="880">
        <v>214</v>
      </c>
      <c r="AF484" s="881">
        <v>0.40947573166677265</v>
      </c>
      <c r="AG484" s="880">
        <v>92.070696546235183</v>
      </c>
      <c r="AH484" s="880">
        <v>222</v>
      </c>
      <c r="AI484" s="881">
        <v>0.41473286732538373</v>
      </c>
    </row>
    <row r="485" spans="2:35" x14ac:dyDescent="0.2">
      <c r="B485" s="867">
        <v>98750000</v>
      </c>
      <c r="C485" s="876" t="s">
        <v>1447</v>
      </c>
      <c r="D485" s="877" t="s">
        <v>1447</v>
      </c>
      <c r="E485" s="877" t="s">
        <v>1447</v>
      </c>
      <c r="F485" s="877" t="s">
        <v>1447</v>
      </c>
      <c r="G485" s="877" t="s">
        <v>1447</v>
      </c>
      <c r="H485" s="877" t="s">
        <v>1447</v>
      </c>
      <c r="I485" s="877" t="s">
        <v>1447</v>
      </c>
      <c r="J485" s="878" t="s">
        <v>1447</v>
      </c>
      <c r="K485" s="877"/>
      <c r="L485" s="879">
        <v>56</v>
      </c>
      <c r="M485" s="880">
        <v>128</v>
      </c>
      <c r="N485" s="881">
        <v>0.44030000000000002</v>
      </c>
      <c r="O485" s="880">
        <v>84.053620735726369</v>
      </c>
      <c r="P485" s="880">
        <v>180</v>
      </c>
      <c r="Q485" s="881">
        <v>0.46696455964292427</v>
      </c>
      <c r="R485" s="880">
        <v>90.811754920986971</v>
      </c>
      <c r="S485" s="880">
        <v>174</v>
      </c>
      <c r="T485" s="881">
        <v>0.52190663747693666</v>
      </c>
      <c r="U485" s="880">
        <v>77.18062850529688</v>
      </c>
      <c r="V485" s="880">
        <v>161</v>
      </c>
      <c r="W485" s="881">
        <v>0.47938278574718557</v>
      </c>
      <c r="X485" s="880">
        <v>75.36960289352723</v>
      </c>
      <c r="Y485" s="880">
        <v>160</v>
      </c>
      <c r="Z485" s="881">
        <v>0.47106001808454517</v>
      </c>
      <c r="AA485" s="880">
        <v>49.554598752617522</v>
      </c>
      <c r="AB485" s="880">
        <v>153</v>
      </c>
      <c r="AC485" s="881">
        <v>0.32388626635697726</v>
      </c>
      <c r="AD485" s="880">
        <v>49.021980445991304</v>
      </c>
      <c r="AE485" s="880">
        <v>95</v>
      </c>
      <c r="AF485" s="881">
        <v>0.51602084679990845</v>
      </c>
      <c r="AG485" s="880">
        <v>44.369207864852633</v>
      </c>
      <c r="AH485" s="880">
        <v>94</v>
      </c>
      <c r="AI485" s="881">
        <v>0.47201284962609186</v>
      </c>
    </row>
    <row r="486" spans="2:35" x14ac:dyDescent="0.2">
      <c r="B486" s="867">
        <v>98751000</v>
      </c>
      <c r="C486" s="876" t="s">
        <v>1448</v>
      </c>
      <c r="D486" s="877" t="s">
        <v>1448</v>
      </c>
      <c r="E486" s="877" t="s">
        <v>1447</v>
      </c>
      <c r="F486" s="877" t="s">
        <v>1448</v>
      </c>
      <c r="G486" s="877" t="s">
        <v>1448</v>
      </c>
      <c r="H486" s="877" t="s">
        <v>1448</v>
      </c>
      <c r="I486" s="877" t="s">
        <v>1448</v>
      </c>
      <c r="J486" s="878" t="s">
        <v>1448</v>
      </c>
      <c r="K486" s="877"/>
      <c r="L486" s="879" t="s">
        <v>1450</v>
      </c>
      <c r="M486" s="880" t="s">
        <v>1450</v>
      </c>
      <c r="N486" s="881" t="s">
        <v>1450</v>
      </c>
      <c r="O486" s="880" t="s">
        <v>1450</v>
      </c>
      <c r="P486" s="880" t="s">
        <v>1450</v>
      </c>
      <c r="Q486" s="881" t="s">
        <v>1450</v>
      </c>
      <c r="R486" s="880">
        <v>15.856020700489788</v>
      </c>
      <c r="S486" s="880">
        <v>29</v>
      </c>
      <c r="T486" s="881">
        <v>0.54675933449964786</v>
      </c>
      <c r="U486" s="880">
        <v>0</v>
      </c>
      <c r="V486" s="880">
        <v>41</v>
      </c>
      <c r="W486" s="881">
        <v>0</v>
      </c>
      <c r="X486" s="880">
        <v>0</v>
      </c>
      <c r="Y486" s="880">
        <v>40</v>
      </c>
      <c r="Z486" s="881">
        <v>0</v>
      </c>
      <c r="AA486" s="880" t="s">
        <v>1450</v>
      </c>
      <c r="AB486" s="880" t="s">
        <v>1450</v>
      </c>
      <c r="AC486" s="881" t="s">
        <v>1450</v>
      </c>
      <c r="AD486" s="880" t="s">
        <v>1450</v>
      </c>
      <c r="AE486" s="880" t="s">
        <v>1450</v>
      </c>
      <c r="AF486" s="881" t="s">
        <v>1450</v>
      </c>
      <c r="AG486" s="880" t="s">
        <v>1450</v>
      </c>
      <c r="AH486" s="880" t="s">
        <v>1450</v>
      </c>
      <c r="AI486" s="881" t="s">
        <v>1450</v>
      </c>
    </row>
    <row r="487" spans="2:35" x14ac:dyDescent="0.2">
      <c r="B487" s="867">
        <v>100100000</v>
      </c>
      <c r="C487" s="876" t="s">
        <v>1448</v>
      </c>
      <c r="D487" s="877" t="s">
        <v>1448</v>
      </c>
      <c r="E487" s="877" t="s">
        <v>1448</v>
      </c>
      <c r="F487" s="877" t="s">
        <v>1448</v>
      </c>
      <c r="G487" s="877" t="s">
        <v>1448</v>
      </c>
      <c r="H487" s="877" t="s">
        <v>1448</v>
      </c>
      <c r="I487" s="877" t="s">
        <v>1448</v>
      </c>
      <c r="J487" s="878" t="s">
        <v>1447</v>
      </c>
      <c r="K487" s="877"/>
      <c r="L487" s="879">
        <v>0</v>
      </c>
      <c r="M487" s="880">
        <v>76</v>
      </c>
      <c r="N487" s="881">
        <v>0</v>
      </c>
      <c r="O487" s="880">
        <v>5.7181394457923638</v>
      </c>
      <c r="P487" s="880">
        <v>107</v>
      </c>
      <c r="Q487" s="881">
        <v>5.3440555568152935E-2</v>
      </c>
      <c r="R487" s="880">
        <v>0</v>
      </c>
      <c r="S487" s="880">
        <v>84</v>
      </c>
      <c r="T487" s="881">
        <v>0</v>
      </c>
      <c r="U487" s="880">
        <v>0</v>
      </c>
      <c r="V487" s="880">
        <v>72</v>
      </c>
      <c r="W487" s="881">
        <v>0</v>
      </c>
      <c r="X487" s="880">
        <v>0</v>
      </c>
      <c r="Y487" s="880">
        <v>56</v>
      </c>
      <c r="Z487" s="881">
        <v>0</v>
      </c>
      <c r="AA487" s="880" t="s">
        <v>1450</v>
      </c>
      <c r="AB487" s="880" t="s">
        <v>1450</v>
      </c>
      <c r="AC487" s="881" t="s">
        <v>1450</v>
      </c>
      <c r="AD487" s="880" t="s">
        <v>1450</v>
      </c>
      <c r="AE487" s="880" t="s">
        <v>1450</v>
      </c>
      <c r="AF487" s="881" t="s">
        <v>1450</v>
      </c>
      <c r="AG487" s="880">
        <v>32.398014791135189</v>
      </c>
      <c r="AH487" s="880">
        <v>59</v>
      </c>
      <c r="AI487" s="881">
        <v>0.5491188947650032</v>
      </c>
    </row>
    <row r="488" spans="2:35" x14ac:dyDescent="0.2">
      <c r="B488" s="867">
        <v>100201000</v>
      </c>
      <c r="C488" s="876" t="s">
        <v>1447</v>
      </c>
      <c r="D488" s="877" t="s">
        <v>1447</v>
      </c>
      <c r="E488" s="877" t="s">
        <v>1447</v>
      </c>
      <c r="F488" s="877" t="s">
        <v>1447</v>
      </c>
      <c r="G488" s="877" t="s">
        <v>1447</v>
      </c>
      <c r="H488" s="877" t="s">
        <v>1447</v>
      </c>
      <c r="I488" s="877" t="s">
        <v>1447</v>
      </c>
      <c r="J488" s="878" t="s">
        <v>1447</v>
      </c>
      <c r="K488" s="877"/>
      <c r="L488" s="879">
        <v>15058</v>
      </c>
      <c r="M488" s="880">
        <v>73468</v>
      </c>
      <c r="N488" s="881">
        <v>0.20499999999999999</v>
      </c>
      <c r="O488" s="880">
        <v>16649.091623036649</v>
      </c>
      <c r="P488" s="880">
        <v>78682.83758984103</v>
      </c>
      <c r="Q488" s="881">
        <v>0.21159749867976624</v>
      </c>
      <c r="R488" s="880">
        <v>18433.71051766906</v>
      </c>
      <c r="S488" s="880">
        <v>77776.570106626721</v>
      </c>
      <c r="T488" s="881">
        <v>0.23700852959185031</v>
      </c>
      <c r="U488" s="880">
        <v>16362.896316208366</v>
      </c>
      <c r="V488" s="880">
        <v>67486.452491359276</v>
      </c>
      <c r="W488" s="881">
        <v>0.24246194179940653</v>
      </c>
      <c r="X488" s="880">
        <v>21570.031648250373</v>
      </c>
      <c r="Y488" s="880">
        <v>66976.562266062188</v>
      </c>
      <c r="Z488" s="881">
        <v>0.32205343061001152</v>
      </c>
      <c r="AA488" s="880">
        <v>20963.533101452245</v>
      </c>
      <c r="AB488" s="880">
        <v>68413.694321061077</v>
      </c>
      <c r="AC488" s="881">
        <v>0.30642305330087466</v>
      </c>
      <c r="AD488" s="880">
        <v>18408.734296087216</v>
      </c>
      <c r="AE488" s="880">
        <v>68088.583430904182</v>
      </c>
      <c r="AF488" s="881">
        <v>0.27036447769203881</v>
      </c>
      <c r="AG488" s="880">
        <v>19177.007929643707</v>
      </c>
      <c r="AH488" s="880">
        <v>67683.898524805816</v>
      </c>
      <c r="AI488" s="881">
        <v>0.28333190533662045</v>
      </c>
    </row>
    <row r="489" spans="2:35" x14ac:dyDescent="0.2">
      <c r="B489" s="867">
        <v>100206000</v>
      </c>
      <c r="C489" s="876" t="s">
        <v>1448</v>
      </c>
      <c r="D489" s="877" t="s">
        <v>1448</v>
      </c>
      <c r="E489" s="877" t="s">
        <v>1448</v>
      </c>
      <c r="F489" s="877" t="s">
        <v>1448</v>
      </c>
      <c r="G489" s="877" t="s">
        <v>1447</v>
      </c>
      <c r="H489" s="877" t="s">
        <v>1448</v>
      </c>
      <c r="I489" s="877" t="s">
        <v>1448</v>
      </c>
      <c r="J489" s="878" t="s">
        <v>1448</v>
      </c>
      <c r="K489" s="877"/>
      <c r="L489" s="879">
        <v>1429</v>
      </c>
      <c r="M489" s="880">
        <v>13053</v>
      </c>
      <c r="N489" s="881">
        <v>0.1095</v>
      </c>
      <c r="O489" s="880">
        <v>1603.2722513089006</v>
      </c>
      <c r="P489" s="880">
        <v>13971.51236826266</v>
      </c>
      <c r="Q489" s="881">
        <v>0.1147529493622218</v>
      </c>
      <c r="R489" s="880">
        <v>1749.4956741306285</v>
      </c>
      <c r="S489" s="880">
        <v>13791.051708928582</v>
      </c>
      <c r="T489" s="881">
        <v>0.12685730653870092</v>
      </c>
      <c r="U489" s="880">
        <v>1738.9892445759419</v>
      </c>
      <c r="V489" s="880">
        <v>14325.559365813458</v>
      </c>
      <c r="W489" s="881">
        <v>0.12139066965342164</v>
      </c>
      <c r="X489" s="880">
        <v>2195.5437461968331</v>
      </c>
      <c r="Y489" s="880">
        <v>14209.511383429481</v>
      </c>
      <c r="Z489" s="881">
        <v>0.15451226203014845</v>
      </c>
      <c r="AA489" s="880">
        <v>2038.4890462056142</v>
      </c>
      <c r="AB489" s="880">
        <v>14513.458676380396</v>
      </c>
      <c r="AC489" s="881">
        <v>0.14045508322031519</v>
      </c>
      <c r="AD489" s="880">
        <v>1786.8526075394759</v>
      </c>
      <c r="AE489" s="880">
        <v>14443.990240057519</v>
      </c>
      <c r="AF489" s="881">
        <v>0.12370907054367826</v>
      </c>
      <c r="AG489" s="880">
        <v>1912.2120361938141</v>
      </c>
      <c r="AH489" s="880">
        <v>14381.309414772757</v>
      </c>
      <c r="AI489" s="881">
        <v>0.13296508551784256</v>
      </c>
    </row>
    <row r="490" spans="2:35" x14ac:dyDescent="0.2">
      <c r="B490" s="867">
        <v>100208000</v>
      </c>
      <c r="C490" s="876" t="s">
        <v>1447</v>
      </c>
      <c r="D490" s="877" t="s">
        <v>1447</v>
      </c>
      <c r="E490" s="877" t="s">
        <v>1447</v>
      </c>
      <c r="F490" s="877" t="s">
        <v>1447</v>
      </c>
      <c r="G490" s="877" t="s">
        <v>1447</v>
      </c>
      <c r="H490" s="877" t="s">
        <v>1447</v>
      </c>
      <c r="I490" s="877" t="s">
        <v>1447</v>
      </c>
      <c r="J490" s="878" t="s">
        <v>1447</v>
      </c>
      <c r="K490" s="877"/>
      <c r="L490" s="879">
        <v>1138</v>
      </c>
      <c r="M490" s="880">
        <v>5612</v>
      </c>
      <c r="N490" s="881">
        <v>0.2029</v>
      </c>
      <c r="O490" s="880">
        <v>1366.3442408376964</v>
      </c>
      <c r="P490" s="880">
        <v>6012.3801824554776</v>
      </c>
      <c r="Q490" s="881">
        <v>0.22725513014376222</v>
      </c>
      <c r="R490" s="880">
        <v>1496.1388310781747</v>
      </c>
      <c r="S490" s="880">
        <v>5941.0694287388924</v>
      </c>
      <c r="T490" s="881">
        <v>0.25182988501040954</v>
      </c>
      <c r="U490" s="880">
        <v>1348.0402977804572</v>
      </c>
      <c r="V490" s="880">
        <v>4776.0958413795652</v>
      </c>
      <c r="W490" s="881">
        <v>0.28224732973345834</v>
      </c>
      <c r="X490" s="880">
        <v>1753.7174163568588</v>
      </c>
      <c r="Y490" s="880">
        <v>4737.1079789008172</v>
      </c>
      <c r="Z490" s="881">
        <v>0.37020845295652005</v>
      </c>
      <c r="AA490" s="880">
        <v>1711.645325028102</v>
      </c>
      <c r="AB490" s="880">
        <v>4838.7479448151107</v>
      </c>
      <c r="AC490" s="881">
        <v>0.3537372362745595</v>
      </c>
      <c r="AD490" s="880">
        <v>1558.7008655111133</v>
      </c>
      <c r="AE490" s="880">
        <v>4815.2829016969936</v>
      </c>
      <c r="AF490" s="881">
        <v>0.32369871040428355</v>
      </c>
      <c r="AG490" s="880">
        <v>1602.3628636624092</v>
      </c>
      <c r="AH490" s="880">
        <v>4794.0790205473522</v>
      </c>
      <c r="AI490" s="881">
        <v>0.33423789153134636</v>
      </c>
    </row>
    <row r="491" spans="2:35" x14ac:dyDescent="0.2">
      <c r="B491" s="867">
        <v>100210000</v>
      </c>
      <c r="C491" s="876" t="s">
        <v>1447</v>
      </c>
      <c r="D491" s="877" t="s">
        <v>1447</v>
      </c>
      <c r="E491" s="877" t="s">
        <v>1447</v>
      </c>
      <c r="F491" s="877" t="s">
        <v>1447</v>
      </c>
      <c r="G491" s="877" t="s">
        <v>1447</v>
      </c>
      <c r="H491" s="877" t="s">
        <v>1447</v>
      </c>
      <c r="I491" s="877" t="s">
        <v>1447</v>
      </c>
      <c r="J491" s="878" t="s">
        <v>1447</v>
      </c>
      <c r="K491" s="877"/>
      <c r="L491" s="879">
        <v>3368</v>
      </c>
      <c r="M491" s="880">
        <v>18529</v>
      </c>
      <c r="N491" s="881">
        <v>0.18179999999999999</v>
      </c>
      <c r="O491" s="880">
        <v>3572.625</v>
      </c>
      <c r="P491" s="880">
        <v>19870.677185984208</v>
      </c>
      <c r="Q491" s="881">
        <v>0.17979382215116216</v>
      </c>
      <c r="R491" s="880">
        <v>4051.931546080998</v>
      </c>
      <c r="S491" s="880">
        <v>19610.818983227455</v>
      </c>
      <c r="T491" s="881">
        <v>0.20661715094848887</v>
      </c>
      <c r="U491" s="880">
        <v>3735.1590325184497</v>
      </c>
      <c r="V491" s="880">
        <v>17597.530583879656</v>
      </c>
      <c r="W491" s="881">
        <v>0.21225472600911796</v>
      </c>
      <c r="X491" s="880">
        <v>4598.9292055811129</v>
      </c>
      <c r="Y491" s="880">
        <v>17454.888018677964</v>
      </c>
      <c r="Z491" s="881">
        <v>0.26347514808802747</v>
      </c>
      <c r="AA491" s="880">
        <v>4380.7067052476723</v>
      </c>
      <c r="AB491" s="880">
        <v>17828.725159675629</v>
      </c>
      <c r="AC491" s="881">
        <v>0.24571059714105625</v>
      </c>
      <c r="AD491" s="880">
        <v>3712.3586544897303</v>
      </c>
      <c r="AE491" s="880">
        <v>17744.624139483945</v>
      </c>
      <c r="AF491" s="881">
        <v>0.20921032901617123</v>
      </c>
      <c r="AG491" s="880">
        <v>3797.8655718849363</v>
      </c>
      <c r="AH491" s="880">
        <v>17668.889919575351</v>
      </c>
      <c r="AI491" s="881">
        <v>0.2149464731045318</v>
      </c>
    </row>
    <row r="492" spans="2:35" x14ac:dyDescent="0.2">
      <c r="B492" s="867">
        <v>100212000</v>
      </c>
      <c r="C492" s="876" t="s">
        <v>1447</v>
      </c>
      <c r="D492" s="877" t="s">
        <v>1447</v>
      </c>
      <c r="E492" s="877" t="s">
        <v>1447</v>
      </c>
      <c r="F492" s="877" t="s">
        <v>1447</v>
      </c>
      <c r="G492" s="877" t="s">
        <v>1447</v>
      </c>
      <c r="H492" s="877" t="s">
        <v>1447</v>
      </c>
      <c r="I492" s="877" t="s">
        <v>1447</v>
      </c>
      <c r="J492" s="878" t="s">
        <v>1447</v>
      </c>
      <c r="K492" s="877"/>
      <c r="L492" s="879">
        <v>5635</v>
      </c>
      <c r="M492" s="880">
        <v>15930</v>
      </c>
      <c r="N492" s="881">
        <v>0.3538</v>
      </c>
      <c r="O492" s="880">
        <v>5835.0202879581157</v>
      </c>
      <c r="P492" s="880">
        <v>17066.06567099005</v>
      </c>
      <c r="Q492" s="881">
        <v>0.34190776013928287</v>
      </c>
      <c r="R492" s="880">
        <v>6268.1371942556198</v>
      </c>
      <c r="S492" s="880">
        <v>16875.592207546164</v>
      </c>
      <c r="T492" s="881">
        <v>0.37143213210927983</v>
      </c>
      <c r="U492" s="880">
        <v>6755.7358841391924</v>
      </c>
      <c r="V492" s="880">
        <v>18238.647790310082</v>
      </c>
      <c r="W492" s="881">
        <v>0.37040771672384687</v>
      </c>
      <c r="X492" s="880">
        <v>8329.6116940753946</v>
      </c>
      <c r="Y492" s="880">
        <v>18090.187940853109</v>
      </c>
      <c r="Z492" s="881">
        <v>0.46044915184460938</v>
      </c>
      <c r="AA492" s="880">
        <v>8171.2676201840577</v>
      </c>
      <c r="AB492" s="880">
        <v>18478.595374827317</v>
      </c>
      <c r="AC492" s="881">
        <v>0.44220177207383754</v>
      </c>
      <c r="AD492" s="880">
        <v>6820.8991599960582</v>
      </c>
      <c r="AE492" s="880">
        <v>18390.440738611574</v>
      </c>
      <c r="AF492" s="881">
        <v>0.37089372989714525</v>
      </c>
      <c r="AG492" s="880">
        <v>7035.3467831630742</v>
      </c>
      <c r="AH492" s="880">
        <v>18307.11096565441</v>
      </c>
      <c r="AI492" s="881">
        <v>0.38429585074138362</v>
      </c>
    </row>
    <row r="493" spans="2:35" x14ac:dyDescent="0.2">
      <c r="B493" s="867">
        <v>100213000</v>
      </c>
      <c r="C493" s="876" t="s">
        <v>1448</v>
      </c>
      <c r="D493" s="877" t="s">
        <v>1448</v>
      </c>
      <c r="E493" s="877" t="s">
        <v>1448</v>
      </c>
      <c r="F493" s="877" t="s">
        <v>1448</v>
      </c>
      <c r="G493" s="877" t="s">
        <v>1448</v>
      </c>
      <c r="H493" s="877" t="s">
        <v>1448</v>
      </c>
      <c r="I493" s="877" t="s">
        <v>1448</v>
      </c>
      <c r="J493" s="878" t="s">
        <v>1448</v>
      </c>
      <c r="K493" s="877"/>
      <c r="L493" s="879">
        <v>120</v>
      </c>
      <c r="M493" s="880">
        <v>2285</v>
      </c>
      <c r="N493" s="881">
        <v>5.2600000000000001E-2</v>
      </c>
      <c r="O493" s="880">
        <v>145.18520942408378</v>
      </c>
      <c r="P493" s="880">
        <v>2447.4768685163986</v>
      </c>
      <c r="Q493" s="881">
        <v>5.9320360201030847E-2</v>
      </c>
      <c r="R493" s="880">
        <v>150.23616307320944</v>
      </c>
      <c r="S493" s="880">
        <v>2420.5708111564354</v>
      </c>
      <c r="T493" s="881">
        <v>6.2066419367187875E-2</v>
      </c>
      <c r="U493" s="880">
        <v>126.86422776807119</v>
      </c>
      <c r="V493" s="880">
        <v>1775.1216836201277</v>
      </c>
      <c r="W493" s="881">
        <v>7.1467904954745545E-2</v>
      </c>
      <c r="X493" s="880">
        <v>151.30463854175224</v>
      </c>
      <c r="Y493" s="880">
        <v>1760.895504688021</v>
      </c>
      <c r="Z493" s="881">
        <v>8.5924825260178611E-2</v>
      </c>
      <c r="AA493" s="880">
        <v>156.25315417128286</v>
      </c>
      <c r="AB493" s="880">
        <v>1798.2837239268745</v>
      </c>
      <c r="AC493" s="881">
        <v>8.6890156482135161E-2</v>
      </c>
      <c r="AD493" s="880">
        <v>139.48969793315925</v>
      </c>
      <c r="AE493" s="880">
        <v>1789.7018272227729</v>
      </c>
      <c r="AF493" s="881">
        <v>7.7940188589747855E-2</v>
      </c>
      <c r="AG493" s="880">
        <v>167.31855316695876</v>
      </c>
      <c r="AH493" s="880">
        <v>1782.0096359271411</v>
      </c>
      <c r="AI493" s="881">
        <v>9.3893180931037185E-2</v>
      </c>
    </row>
    <row r="494" spans="2:35" x14ac:dyDescent="0.2">
      <c r="B494" s="867">
        <v>100215000</v>
      </c>
      <c r="C494" s="876" t="s">
        <v>1447</v>
      </c>
      <c r="D494" s="877" t="s">
        <v>1447</v>
      </c>
      <c r="E494" s="877" t="s">
        <v>1447</v>
      </c>
      <c r="F494" s="877" t="s">
        <v>1447</v>
      </c>
      <c r="G494" s="877" t="s">
        <v>1447</v>
      </c>
      <c r="H494" s="877" t="s">
        <v>1447</v>
      </c>
      <c r="I494" s="877" t="s">
        <v>1447</v>
      </c>
      <c r="J494" s="878" t="s">
        <v>1447</v>
      </c>
      <c r="K494" s="877"/>
      <c r="L494" s="879">
        <v>173</v>
      </c>
      <c r="M494" s="880">
        <v>553</v>
      </c>
      <c r="N494" s="881">
        <v>0.313</v>
      </c>
      <c r="O494" s="880">
        <v>190.61125654450262</v>
      </c>
      <c r="P494" s="880">
        <v>591.84942702370972</v>
      </c>
      <c r="Q494" s="881">
        <v>0.32206038874287302</v>
      </c>
      <c r="R494" s="880">
        <v>212.46415961240862</v>
      </c>
      <c r="S494" s="880">
        <v>585.53370789842927</v>
      </c>
      <c r="T494" s="881">
        <v>0.36285555681324522</v>
      </c>
      <c r="U494" s="880">
        <v>141.53560104737193</v>
      </c>
      <c r="V494" s="880">
        <v>391.94541272555074</v>
      </c>
      <c r="W494" s="881">
        <v>0.36111049256361227</v>
      </c>
      <c r="X494" s="880">
        <v>192.03609920664326</v>
      </c>
      <c r="Y494" s="880">
        <v>388.79267705154973</v>
      </c>
      <c r="Z494" s="881">
        <v>0.49392931127964979</v>
      </c>
      <c r="AA494" s="880">
        <v>138.58076451255741</v>
      </c>
      <c r="AB494" s="880">
        <v>397.34921726417258</v>
      </c>
      <c r="AC494" s="881">
        <v>0.34876314962116495</v>
      </c>
      <c r="AD494" s="880">
        <v>102.13316968870086</v>
      </c>
      <c r="AE494" s="880">
        <v>394.92381961042497</v>
      </c>
      <c r="AF494" s="881">
        <v>0.25861486346772083</v>
      </c>
      <c r="AG494" s="880">
        <v>137.21891926390796</v>
      </c>
      <c r="AH494" s="880">
        <v>393.32227258360632</v>
      </c>
      <c r="AI494" s="881">
        <v>0.34887146960318677</v>
      </c>
    </row>
    <row r="495" spans="2:35" x14ac:dyDescent="0.2">
      <c r="B495" s="867">
        <v>100216000</v>
      </c>
      <c r="C495" s="876" t="s">
        <v>1448</v>
      </c>
      <c r="D495" s="877" t="s">
        <v>1448</v>
      </c>
      <c r="E495" s="877" t="s">
        <v>1448</v>
      </c>
      <c r="F495" s="877" t="s">
        <v>1448</v>
      </c>
      <c r="G495" s="877" t="s">
        <v>1448</v>
      </c>
      <c r="H495" s="877" t="s">
        <v>1448</v>
      </c>
      <c r="I495" s="877" t="s">
        <v>1448</v>
      </c>
      <c r="J495" s="878" t="s">
        <v>1448</v>
      </c>
      <c r="K495" s="877"/>
      <c r="L495" s="879">
        <v>249</v>
      </c>
      <c r="M495" s="880">
        <v>5614</v>
      </c>
      <c r="N495" s="881">
        <v>4.4400000000000002E-2</v>
      </c>
      <c r="O495" s="880">
        <v>287.69829842931938</v>
      </c>
      <c r="P495" s="880">
        <v>6015.1415328148414</v>
      </c>
      <c r="Q495" s="881">
        <v>4.7829015636592725E-2</v>
      </c>
      <c r="R495" s="880">
        <v>323.58558200383573</v>
      </c>
      <c r="S495" s="880">
        <v>5951.1019377527282</v>
      </c>
      <c r="T495" s="881">
        <v>5.4374061373586385E-2</v>
      </c>
      <c r="U495" s="880">
        <v>268.39982881544313</v>
      </c>
      <c r="V495" s="880">
        <v>4296.8493622464666</v>
      </c>
      <c r="W495" s="881">
        <v>6.2464332860651901E-2</v>
      </c>
      <c r="X495" s="880">
        <v>325.2842790090686</v>
      </c>
      <c r="Y495" s="880">
        <v>4264.9378512927569</v>
      </c>
      <c r="Z495" s="881">
        <v>7.6269406577746682E-2</v>
      </c>
      <c r="AA495" s="880">
        <v>412.29743118004023</v>
      </c>
      <c r="AB495" s="880">
        <v>4355.9872135595742</v>
      </c>
      <c r="AC495" s="881">
        <v>9.4650744129049891E-2</v>
      </c>
      <c r="AD495" s="880">
        <v>379.82895289468991</v>
      </c>
      <c r="AE495" s="880">
        <v>4335.7989230641015</v>
      </c>
      <c r="AF495" s="881">
        <v>8.7602990737002506E-2</v>
      </c>
      <c r="AG495" s="880">
        <v>347.91635658526343</v>
      </c>
      <c r="AH495" s="880">
        <v>4316.3408828573583</v>
      </c>
      <c r="AI495" s="881">
        <v>8.0604467076971817E-2</v>
      </c>
    </row>
    <row r="496" spans="2:35" x14ac:dyDescent="0.2">
      <c r="B496" s="867">
        <v>100220000</v>
      </c>
      <c r="C496" s="876" t="s">
        <v>1448</v>
      </c>
      <c r="D496" s="877" t="s">
        <v>1448</v>
      </c>
      <c r="E496" s="877" t="s">
        <v>1448</v>
      </c>
      <c r="F496" s="877" t="s">
        <v>1448</v>
      </c>
      <c r="G496" s="877" t="s">
        <v>1448</v>
      </c>
      <c r="H496" s="877" t="s">
        <v>1448</v>
      </c>
      <c r="I496" s="877" t="s">
        <v>1448</v>
      </c>
      <c r="J496" s="878" t="s">
        <v>1448</v>
      </c>
      <c r="K496" s="877"/>
      <c r="L496" s="879">
        <v>314</v>
      </c>
      <c r="M496" s="880">
        <v>4506</v>
      </c>
      <c r="N496" s="881">
        <v>6.9599999999999995E-2</v>
      </c>
      <c r="O496" s="880">
        <v>331.34293193717275</v>
      </c>
      <c r="P496" s="880">
        <v>4826.8404281684825</v>
      </c>
      <c r="Q496" s="881">
        <v>6.8645926226092155E-2</v>
      </c>
      <c r="R496" s="880">
        <v>365.36723682301232</v>
      </c>
      <c r="S496" s="880">
        <v>4759.0574576542122</v>
      </c>
      <c r="T496" s="881">
        <v>7.6773024926474739E-2</v>
      </c>
      <c r="U496" s="880">
        <v>672.29410497501669</v>
      </c>
      <c r="V496" s="880">
        <v>10168.755464262433</v>
      </c>
      <c r="W496" s="881">
        <v>6.6113705589416497E-2</v>
      </c>
      <c r="X496" s="880">
        <v>915.53102390620575</v>
      </c>
      <c r="Y496" s="880">
        <v>10085.952687428196</v>
      </c>
      <c r="Z496" s="881">
        <v>9.0772885049062807E-2</v>
      </c>
      <c r="AA496" s="880">
        <v>853.15553462854314</v>
      </c>
      <c r="AB496" s="880">
        <v>10302.299682197485</v>
      </c>
      <c r="AC496" s="881">
        <v>8.2812144952724251E-2</v>
      </c>
      <c r="AD496" s="880">
        <v>710.37154229040277</v>
      </c>
      <c r="AE496" s="880">
        <v>10253.151589603363</v>
      </c>
      <c r="AF496" s="881">
        <v>6.9283238044653056E-2</v>
      </c>
      <c r="AG496" s="880">
        <v>757.80254767680788</v>
      </c>
      <c r="AH496" s="880">
        <v>10206.898502918444</v>
      </c>
      <c r="AI496" s="881">
        <v>7.4244154329557652E-2</v>
      </c>
    </row>
    <row r="497" spans="2:35" x14ac:dyDescent="0.2">
      <c r="B497" s="867">
        <v>100220700</v>
      </c>
      <c r="C497" s="876" t="s">
        <v>1448</v>
      </c>
      <c r="D497" s="877" t="s">
        <v>1448</v>
      </c>
      <c r="E497" s="877" t="s">
        <v>1448</v>
      </c>
      <c r="F497" s="877" t="s">
        <v>1448</v>
      </c>
      <c r="G497" s="877" t="s">
        <v>1448</v>
      </c>
      <c r="H497" s="877" t="s">
        <v>1448</v>
      </c>
      <c r="I497" s="877" t="s">
        <v>1448</v>
      </c>
      <c r="J497" s="878" t="s">
        <v>1448</v>
      </c>
      <c r="K497" s="877"/>
      <c r="L497" s="879">
        <v>5</v>
      </c>
      <c r="M497" s="880">
        <v>144</v>
      </c>
      <c r="N497" s="881">
        <v>3.3500000000000002E-2</v>
      </c>
      <c r="O497" s="880" t="s">
        <v>1450</v>
      </c>
      <c r="P497" s="880" t="s">
        <v>1450</v>
      </c>
      <c r="Q497" s="881" t="s">
        <v>1450</v>
      </c>
      <c r="R497" s="880" t="s">
        <v>1450</v>
      </c>
      <c r="S497" s="880" t="s">
        <v>1450</v>
      </c>
      <c r="T497" s="881" t="s">
        <v>1450</v>
      </c>
      <c r="U497" s="880" t="s">
        <v>1450</v>
      </c>
      <c r="V497" s="880" t="s">
        <v>1450</v>
      </c>
      <c r="W497" s="881" t="s">
        <v>1450</v>
      </c>
      <c r="X497" s="880" t="s">
        <v>1450</v>
      </c>
      <c r="Y497" s="880" t="s">
        <v>1450</v>
      </c>
      <c r="Z497" s="881" t="s">
        <v>1450</v>
      </c>
      <c r="AA497" s="880" t="s">
        <v>1450</v>
      </c>
      <c r="AB497" s="880" t="s">
        <v>1450</v>
      </c>
      <c r="AC497" s="881" t="s">
        <v>1450</v>
      </c>
      <c r="AD497" s="880" t="s">
        <v>1450</v>
      </c>
      <c r="AE497" s="880" t="s">
        <v>1450</v>
      </c>
      <c r="AF497" s="881" t="s">
        <v>1450</v>
      </c>
      <c r="AG497" s="880" t="s">
        <v>1450</v>
      </c>
      <c r="AH497" s="880" t="s">
        <v>1450</v>
      </c>
      <c r="AI497" s="881" t="s">
        <v>1450</v>
      </c>
    </row>
    <row r="498" spans="2:35" x14ac:dyDescent="0.2">
      <c r="B498" s="867">
        <v>100220705</v>
      </c>
      <c r="C498" s="876" t="s">
        <v>1448</v>
      </c>
      <c r="D498" s="877" t="s">
        <v>1448</v>
      </c>
      <c r="E498" s="877" t="s">
        <v>1448</v>
      </c>
      <c r="F498" s="877" t="s">
        <v>1448</v>
      </c>
      <c r="G498" s="877" t="s">
        <v>1448</v>
      </c>
      <c r="H498" s="877" t="s">
        <v>1448</v>
      </c>
      <c r="I498" s="877" t="s">
        <v>1448</v>
      </c>
      <c r="J498" s="878" t="s">
        <v>1448</v>
      </c>
      <c r="K498" s="877"/>
      <c r="L498" s="879">
        <v>1</v>
      </c>
      <c r="M498" s="880">
        <v>86</v>
      </c>
      <c r="N498" s="881">
        <v>1.54E-2</v>
      </c>
      <c r="O498" s="880" t="s">
        <v>1450</v>
      </c>
      <c r="P498" s="880" t="s">
        <v>1450</v>
      </c>
      <c r="Q498" s="881" t="s">
        <v>1450</v>
      </c>
      <c r="R498" s="880" t="s">
        <v>1450</v>
      </c>
      <c r="S498" s="880" t="s">
        <v>1450</v>
      </c>
      <c r="T498" s="881" t="s">
        <v>1450</v>
      </c>
      <c r="U498" s="880" t="s">
        <v>1450</v>
      </c>
      <c r="V498" s="880" t="s">
        <v>1450</v>
      </c>
      <c r="W498" s="881" t="s">
        <v>1450</v>
      </c>
      <c r="X498" s="880" t="s">
        <v>1450</v>
      </c>
      <c r="Y498" s="880" t="s">
        <v>1450</v>
      </c>
      <c r="Z498" s="881" t="s">
        <v>1450</v>
      </c>
      <c r="AA498" s="880" t="s">
        <v>1450</v>
      </c>
      <c r="AB498" s="880" t="s">
        <v>1450</v>
      </c>
      <c r="AC498" s="881" t="s">
        <v>1450</v>
      </c>
      <c r="AD498" s="880" t="s">
        <v>1450</v>
      </c>
      <c r="AE498" s="880" t="s">
        <v>1450</v>
      </c>
      <c r="AF498" s="881" t="s">
        <v>1450</v>
      </c>
      <c r="AG498" s="880" t="s">
        <v>1450</v>
      </c>
      <c r="AH498" s="880" t="s">
        <v>1450</v>
      </c>
      <c r="AI498" s="881" t="s">
        <v>1450</v>
      </c>
    </row>
    <row r="499" spans="2:35" x14ac:dyDescent="0.2">
      <c r="B499" s="867">
        <v>100230000</v>
      </c>
      <c r="C499" s="876" t="s">
        <v>1447</v>
      </c>
      <c r="D499" s="877" t="s">
        <v>1448</v>
      </c>
      <c r="E499" s="877" t="s">
        <v>1448</v>
      </c>
      <c r="F499" s="877" t="s">
        <v>1448</v>
      </c>
      <c r="G499" s="877" t="s">
        <v>1448</v>
      </c>
      <c r="H499" s="877" t="s">
        <v>1448</v>
      </c>
      <c r="I499" s="877" t="s">
        <v>1448</v>
      </c>
      <c r="J499" s="878" t="s">
        <v>1448</v>
      </c>
      <c r="K499" s="877"/>
      <c r="L499" s="879">
        <v>328</v>
      </c>
      <c r="M499" s="880">
        <v>1934</v>
      </c>
      <c r="N499" s="881">
        <v>0.1694</v>
      </c>
      <c r="O499" s="880">
        <v>227.13023560209425</v>
      </c>
      <c r="P499" s="880">
        <v>2071.9332196428782</v>
      </c>
      <c r="Q499" s="881">
        <v>0.10962237269463868</v>
      </c>
      <c r="R499" s="880">
        <v>242.68918650287682</v>
      </c>
      <c r="S499" s="880">
        <v>2040.2475149046518</v>
      </c>
      <c r="T499" s="881">
        <v>0.11895085509476461</v>
      </c>
      <c r="U499" s="880">
        <v>650.71855603486858</v>
      </c>
      <c r="V499" s="880">
        <v>5356.2841785463897</v>
      </c>
      <c r="W499" s="881">
        <v>0.1214869365298432</v>
      </c>
      <c r="X499" s="880">
        <v>743.93564875698246</v>
      </c>
      <c r="Y499" s="880">
        <v>5312.5936430680285</v>
      </c>
      <c r="Z499" s="881">
        <v>0.14003247730563462</v>
      </c>
      <c r="AA499" s="880">
        <v>725.24328165801728</v>
      </c>
      <c r="AB499" s="880">
        <v>5426.4162965165624</v>
      </c>
      <c r="AC499" s="881">
        <v>0.13365050560598907</v>
      </c>
      <c r="AD499" s="880">
        <v>636.94209846181548</v>
      </c>
      <c r="AE499" s="880">
        <v>5400.6993872371531</v>
      </c>
      <c r="AF499" s="881">
        <v>0.11793696571355683</v>
      </c>
      <c r="AG499" s="880">
        <v>677.24176281864254</v>
      </c>
      <c r="AH499" s="880">
        <v>5376.6412544683544</v>
      </c>
      <c r="AI499" s="881">
        <v>0.12596000565516782</v>
      </c>
    </row>
    <row r="500" spans="2:35" x14ac:dyDescent="0.2">
      <c r="B500" s="867">
        <v>100240000</v>
      </c>
      <c r="C500" s="876" t="s">
        <v>1447</v>
      </c>
      <c r="D500" s="877" t="s">
        <v>1447</v>
      </c>
      <c r="E500" s="877" t="s">
        <v>1447</v>
      </c>
      <c r="F500" s="877" t="s">
        <v>1447</v>
      </c>
      <c r="G500" s="877" t="s">
        <v>1447</v>
      </c>
      <c r="H500" s="877" t="s">
        <v>1447</v>
      </c>
      <c r="I500" s="877" t="s">
        <v>1447</v>
      </c>
      <c r="J500" s="878" t="s">
        <v>1447</v>
      </c>
      <c r="K500" s="877"/>
      <c r="L500" s="879">
        <v>1027</v>
      </c>
      <c r="M500" s="880">
        <v>2021</v>
      </c>
      <c r="N500" s="881">
        <v>0.50819999999999999</v>
      </c>
      <c r="O500" s="880">
        <v>1132.0883507853403</v>
      </c>
      <c r="P500" s="880">
        <v>2196.1939858142637</v>
      </c>
      <c r="Q500" s="881">
        <v>0.51547739320741548</v>
      </c>
      <c r="R500" s="880">
        <v>1264.1173011248748</v>
      </c>
      <c r="S500" s="880">
        <v>2167.9339932625649</v>
      </c>
      <c r="T500" s="881">
        <v>0.58309768888419</v>
      </c>
      <c r="U500" s="880">
        <v>557.51218461342853</v>
      </c>
      <c r="V500" s="880">
        <v>1494.1213761208348</v>
      </c>
      <c r="W500" s="881">
        <v>0.37313714502960205</v>
      </c>
      <c r="X500" s="880">
        <v>727.14624261529866</v>
      </c>
      <c r="Y500" s="880">
        <v>1501.7003866536547</v>
      </c>
      <c r="Z500" s="881">
        <v>0.48421525963354789</v>
      </c>
      <c r="AA500" s="880">
        <v>681.79292364029266</v>
      </c>
      <c r="AB500" s="880">
        <v>1521.6246894765861</v>
      </c>
      <c r="AC500" s="881">
        <v>0.44806904643142864</v>
      </c>
      <c r="AD500" s="880">
        <v>611.33969995191421</v>
      </c>
      <c r="AE500" s="880">
        <v>1507.2151421367278</v>
      </c>
      <c r="AF500" s="881">
        <v>0.40560878328573496</v>
      </c>
      <c r="AG500" s="880">
        <v>705.57083002151387</v>
      </c>
      <c r="AH500" s="880">
        <v>1508.3538094833582</v>
      </c>
      <c r="AI500" s="881">
        <v>0.46777541554602908</v>
      </c>
    </row>
    <row r="501" spans="2:35" x14ac:dyDescent="0.2">
      <c r="B501" s="867">
        <v>100335000</v>
      </c>
      <c r="C501" s="876" t="s">
        <v>1448</v>
      </c>
      <c r="D501" s="877" t="s">
        <v>1448</v>
      </c>
      <c r="E501" s="877" t="s">
        <v>1448</v>
      </c>
      <c r="F501" s="877" t="s">
        <v>1448</v>
      </c>
      <c r="G501" s="877" t="s">
        <v>1448</v>
      </c>
      <c r="H501" s="877" t="s">
        <v>1448</v>
      </c>
      <c r="I501" s="877" t="s">
        <v>1448</v>
      </c>
      <c r="J501" s="878" t="s">
        <v>1448</v>
      </c>
      <c r="K501" s="877"/>
      <c r="L501" s="879">
        <v>0</v>
      </c>
      <c r="M501" s="880">
        <v>9</v>
      </c>
      <c r="N501" s="881">
        <v>0</v>
      </c>
      <c r="O501" s="880">
        <v>0</v>
      </c>
      <c r="P501" s="880">
        <v>9.2045011978804006</v>
      </c>
      <c r="Q501" s="881">
        <v>0</v>
      </c>
      <c r="R501" s="880">
        <v>0</v>
      </c>
      <c r="S501" s="880">
        <v>14.592740383761479</v>
      </c>
      <c r="T501" s="881">
        <v>0</v>
      </c>
      <c r="U501" s="880">
        <v>0</v>
      </c>
      <c r="V501" s="880">
        <v>5.4563166504717042</v>
      </c>
      <c r="W501" s="881">
        <v>0</v>
      </c>
      <c r="X501" s="880">
        <v>0</v>
      </c>
      <c r="Y501" s="880">
        <v>5.4376598189027936</v>
      </c>
      <c r="Z501" s="881">
        <v>0</v>
      </c>
      <c r="AA501" s="880">
        <v>0</v>
      </c>
      <c r="AB501" s="880">
        <v>5.5703161298715775</v>
      </c>
      <c r="AC501" s="881">
        <v>0</v>
      </c>
      <c r="AD501" s="880">
        <v>0</v>
      </c>
      <c r="AE501" s="880">
        <v>5.5753951003824707</v>
      </c>
      <c r="AF501" s="881">
        <v>0</v>
      </c>
      <c r="AG501" s="880">
        <v>0</v>
      </c>
      <c r="AH501" s="880">
        <v>5.5658812158057502</v>
      </c>
      <c r="AI501" s="881">
        <v>0</v>
      </c>
    </row>
    <row r="502" spans="2:35" x14ac:dyDescent="0.2">
      <c r="B502" s="867">
        <v>100337000</v>
      </c>
      <c r="C502" s="876" t="s">
        <v>1448</v>
      </c>
      <c r="D502" s="877" t="s">
        <v>1448</v>
      </c>
      <c r="E502" s="877" t="s">
        <v>1447</v>
      </c>
      <c r="F502" s="877" t="s">
        <v>1448</v>
      </c>
      <c r="G502" s="877" t="s">
        <v>1447</v>
      </c>
      <c r="H502" s="877" t="s">
        <v>1447</v>
      </c>
      <c r="I502" s="877" t="s">
        <v>1448</v>
      </c>
      <c r="J502" s="878" t="s">
        <v>1448</v>
      </c>
      <c r="K502" s="877"/>
      <c r="L502" s="879" t="s">
        <v>1450</v>
      </c>
      <c r="M502" s="880" t="s">
        <v>1450</v>
      </c>
      <c r="N502" s="881" t="s">
        <v>1450</v>
      </c>
      <c r="O502" s="880">
        <v>8.0163612565445028</v>
      </c>
      <c r="P502" s="880">
        <v>39.579355150885725</v>
      </c>
      <c r="Q502" s="881">
        <v>0.20253895562432145</v>
      </c>
      <c r="R502" s="880">
        <v>12.445599307839835</v>
      </c>
      <c r="S502" s="880">
        <v>51.074591343165174</v>
      </c>
      <c r="T502" s="881">
        <v>0.24367496597709559</v>
      </c>
      <c r="U502" s="880">
        <v>8.6302195760592646</v>
      </c>
      <c r="V502" s="880">
        <v>64.566413697248493</v>
      </c>
      <c r="W502" s="881">
        <v>0.13366422388776786</v>
      </c>
      <c r="X502" s="880">
        <v>12.487847463990828</v>
      </c>
      <c r="Y502" s="880">
        <v>64.345641190349724</v>
      </c>
      <c r="Z502" s="881">
        <v>0.19407448947550002</v>
      </c>
      <c r="AA502" s="880">
        <v>11.668862326912729</v>
      </c>
      <c r="AB502" s="880">
        <v>64.987021515168408</v>
      </c>
      <c r="AC502" s="881">
        <v>0.17955681080397165</v>
      </c>
      <c r="AD502" s="880">
        <v>9.9013095666233806</v>
      </c>
      <c r="AE502" s="880">
        <v>65.04627617112881</v>
      </c>
      <c r="AF502" s="881">
        <v>0.15221946819175697</v>
      </c>
      <c r="AG502" s="880">
        <v>6.1969834506281014</v>
      </c>
      <c r="AH502" s="880">
        <v>64.935280851067077</v>
      </c>
      <c r="AI502" s="881">
        <v>9.5433227814033031E-2</v>
      </c>
    </row>
    <row r="503" spans="2:35" x14ac:dyDescent="0.2">
      <c r="B503" s="867">
        <v>100339000</v>
      </c>
      <c r="C503" s="876" t="s">
        <v>1448</v>
      </c>
      <c r="D503" s="877" t="s">
        <v>1448</v>
      </c>
      <c r="E503" s="877" t="s">
        <v>1448</v>
      </c>
      <c r="F503" s="877" t="s">
        <v>1447</v>
      </c>
      <c r="G503" s="877" t="s">
        <v>1447</v>
      </c>
      <c r="H503" s="877" t="s">
        <v>1447</v>
      </c>
      <c r="I503" s="877" t="s">
        <v>1448</v>
      </c>
      <c r="J503" s="878" t="s">
        <v>1448</v>
      </c>
      <c r="K503" s="877"/>
      <c r="L503" s="879">
        <v>34</v>
      </c>
      <c r="M503" s="880">
        <v>303</v>
      </c>
      <c r="N503" s="881">
        <v>0.1108</v>
      </c>
      <c r="O503" s="880">
        <v>45.426047120418851</v>
      </c>
      <c r="P503" s="880">
        <v>323.99844216539009</v>
      </c>
      <c r="Q503" s="881">
        <v>0.14020452325888164</v>
      </c>
      <c r="R503" s="880">
        <v>59.561082401804924</v>
      </c>
      <c r="S503" s="880">
        <v>414.06900838923195</v>
      </c>
      <c r="T503" s="881">
        <v>0.14384337198647934</v>
      </c>
      <c r="U503" s="880">
        <v>95.795437294257837</v>
      </c>
      <c r="V503" s="880">
        <v>634.75150367154151</v>
      </c>
      <c r="W503" s="881">
        <v>0.15091801553861012</v>
      </c>
      <c r="X503" s="880">
        <v>127.94626207347258</v>
      </c>
      <c r="Y503" s="880">
        <v>628.95598571975643</v>
      </c>
      <c r="Z503" s="881">
        <v>0.20342641612203613</v>
      </c>
      <c r="AA503" s="880">
        <v>125.24512508501796</v>
      </c>
      <c r="AB503" s="880">
        <v>642.44312697852195</v>
      </c>
      <c r="AC503" s="881">
        <v>0.19495130358707244</v>
      </c>
      <c r="AD503" s="880">
        <v>88.671417431330767</v>
      </c>
      <c r="AE503" s="880">
        <v>639.31197151052322</v>
      </c>
      <c r="AF503" s="881">
        <v>0.138698196471785</v>
      </c>
      <c r="AG503" s="880">
        <v>84.101918258524236</v>
      </c>
      <c r="AH503" s="880">
        <v>637.29339920975826</v>
      </c>
      <c r="AI503" s="881">
        <v>0.13196734559436885</v>
      </c>
    </row>
    <row r="504" spans="2:35" x14ac:dyDescent="0.2">
      <c r="B504" s="867">
        <v>100344000</v>
      </c>
      <c r="C504" s="876" t="s">
        <v>1448</v>
      </c>
      <c r="D504" s="877" t="s">
        <v>1448</v>
      </c>
      <c r="E504" s="877" t="s">
        <v>1448</v>
      </c>
      <c r="F504" s="877" t="s">
        <v>1448</v>
      </c>
      <c r="G504" s="877" t="s">
        <v>1448</v>
      </c>
      <c r="H504" s="877" t="s">
        <v>1448</v>
      </c>
      <c r="I504" s="877" t="s">
        <v>1448</v>
      </c>
      <c r="J504" s="878" t="s">
        <v>1448</v>
      </c>
      <c r="K504" s="877"/>
      <c r="L504" s="879" t="s">
        <v>1450</v>
      </c>
      <c r="M504" s="880" t="s">
        <v>1450</v>
      </c>
      <c r="N504" s="881" t="s">
        <v>1450</v>
      </c>
      <c r="O504" s="880">
        <v>0</v>
      </c>
      <c r="P504" s="880">
        <v>7.3636009583043203</v>
      </c>
      <c r="Q504" s="881">
        <v>0</v>
      </c>
      <c r="R504" s="880">
        <v>8.8897137913141684</v>
      </c>
      <c r="S504" s="880">
        <v>12.768647835791294</v>
      </c>
      <c r="T504" s="881">
        <v>0.69621418850598749</v>
      </c>
      <c r="U504" s="880">
        <v>5.1781317456355591</v>
      </c>
      <c r="V504" s="880">
        <v>13.64079162617926</v>
      </c>
      <c r="W504" s="881">
        <v>0.37960639584126077</v>
      </c>
      <c r="X504" s="880">
        <v>7.9528765934291412</v>
      </c>
      <c r="Y504" s="880">
        <v>13.594149547256983</v>
      </c>
      <c r="Z504" s="881">
        <v>0.58502200272130056</v>
      </c>
      <c r="AA504" s="880">
        <v>7.1123410280210377</v>
      </c>
      <c r="AB504" s="880">
        <v>13.925790324678944</v>
      </c>
      <c r="AC504" s="881">
        <v>0.51073158953260422</v>
      </c>
      <c r="AD504" s="880">
        <v>6.2307747088067513</v>
      </c>
      <c r="AE504" s="880">
        <v>13.938487750956176</v>
      </c>
      <c r="AF504" s="881">
        <v>0.44701941990653343</v>
      </c>
      <c r="AG504" s="880">
        <v>7.0822668007178295</v>
      </c>
      <c r="AH504" s="880">
        <v>13.914703039514375</v>
      </c>
      <c r="AI504" s="881">
        <v>0.50897721500817605</v>
      </c>
    </row>
    <row r="505" spans="2:35" x14ac:dyDescent="0.2">
      <c r="B505" s="867">
        <v>100351000</v>
      </c>
      <c r="C505" s="876" t="s">
        <v>1447</v>
      </c>
      <c r="D505" s="877" t="s">
        <v>1447</v>
      </c>
      <c r="E505" s="877" t="s">
        <v>1447</v>
      </c>
      <c r="F505" s="877" t="s">
        <v>1447</v>
      </c>
      <c r="G505" s="877" t="s">
        <v>1447</v>
      </c>
      <c r="H505" s="877" t="s">
        <v>1447</v>
      </c>
      <c r="I505" s="877" t="s">
        <v>1447</v>
      </c>
      <c r="J505" s="878" t="s">
        <v>1447</v>
      </c>
      <c r="K505" s="877"/>
      <c r="L505" s="879">
        <v>342</v>
      </c>
      <c r="M505" s="880">
        <v>1153</v>
      </c>
      <c r="N505" s="881">
        <v>0.29649999999999999</v>
      </c>
      <c r="O505" s="880">
        <v>376.76897905759165</v>
      </c>
      <c r="P505" s="880">
        <v>1234.3236106357617</v>
      </c>
      <c r="Q505" s="881">
        <v>0.30524327316685584</v>
      </c>
      <c r="R505" s="880">
        <v>544.05048402842715</v>
      </c>
      <c r="S505" s="880">
        <v>1638.9471543512111</v>
      </c>
      <c r="T505" s="881">
        <v>0.33195120573841408</v>
      </c>
      <c r="U505" s="880">
        <v>432.37400076056917</v>
      </c>
      <c r="V505" s="880">
        <v>1242.2214240907247</v>
      </c>
      <c r="W505" s="881">
        <v>0.34806516163336682</v>
      </c>
      <c r="X505" s="880">
        <v>479.08988896534828</v>
      </c>
      <c r="Y505" s="880">
        <v>1232.5362256179665</v>
      </c>
      <c r="Z505" s="881">
        <v>0.38870248111786182</v>
      </c>
      <c r="AA505" s="880">
        <v>460.52834943193932</v>
      </c>
      <c r="AB505" s="880">
        <v>1258.8914453509765</v>
      </c>
      <c r="AC505" s="881">
        <v>0.36582054086764004</v>
      </c>
      <c r="AD505" s="880">
        <v>396.85114784280671</v>
      </c>
      <c r="AE505" s="880">
        <v>1252.6054325525949</v>
      </c>
      <c r="AF505" s="881">
        <v>0.3168205546052057</v>
      </c>
      <c r="AG505" s="880">
        <v>321.35785608257152</v>
      </c>
      <c r="AH505" s="880">
        <v>1247.6850392097888</v>
      </c>
      <c r="AI505" s="881">
        <v>0.2575632839888029</v>
      </c>
    </row>
    <row r="506" spans="2:35" x14ac:dyDescent="0.2">
      <c r="B506" s="867">
        <v>100899000</v>
      </c>
      <c r="C506" s="876" t="s">
        <v>1448</v>
      </c>
      <c r="D506" s="877" t="s">
        <v>1447</v>
      </c>
      <c r="E506" s="877" t="s">
        <v>1448</v>
      </c>
      <c r="F506" s="877" t="s">
        <v>1448</v>
      </c>
      <c r="G506" s="877" t="s">
        <v>1448</v>
      </c>
      <c r="H506" s="877" t="s">
        <v>1448</v>
      </c>
      <c r="I506" s="877" t="s">
        <v>1448</v>
      </c>
      <c r="J506" s="878" t="s">
        <v>1448</v>
      </c>
      <c r="K506" s="877"/>
      <c r="L506" s="879" t="s">
        <v>1450</v>
      </c>
      <c r="M506" s="880" t="s">
        <v>1450</v>
      </c>
      <c r="N506" s="881" t="s">
        <v>1450</v>
      </c>
      <c r="O506" s="880">
        <v>126.4803664921466</v>
      </c>
      <c r="P506" s="880">
        <v>551.34962175303599</v>
      </c>
      <c r="Q506" s="881">
        <v>0.22940138435208809</v>
      </c>
      <c r="R506" s="880" t="s">
        <v>1450</v>
      </c>
      <c r="S506" s="880" t="s">
        <v>1450</v>
      </c>
      <c r="T506" s="881" t="s">
        <v>1450</v>
      </c>
      <c r="U506" s="880" t="s">
        <v>1450</v>
      </c>
      <c r="V506" s="880" t="s">
        <v>1450</v>
      </c>
      <c r="W506" s="881" t="s">
        <v>1450</v>
      </c>
      <c r="X506" s="880" t="s">
        <v>1450</v>
      </c>
      <c r="Y506" s="880" t="s">
        <v>1450</v>
      </c>
      <c r="Z506" s="881" t="s">
        <v>1450</v>
      </c>
      <c r="AA506" s="880" t="s">
        <v>1450</v>
      </c>
      <c r="AB506" s="880" t="s">
        <v>1450</v>
      </c>
      <c r="AC506" s="881" t="s">
        <v>1450</v>
      </c>
      <c r="AD506" s="880" t="s">
        <v>1450</v>
      </c>
      <c r="AE506" s="880" t="s">
        <v>1450</v>
      </c>
      <c r="AF506" s="881" t="s">
        <v>1450</v>
      </c>
      <c r="AG506" s="880" t="s">
        <v>1450</v>
      </c>
      <c r="AH506" s="880" t="s">
        <v>1450</v>
      </c>
      <c r="AI506" s="881" t="s">
        <v>1450</v>
      </c>
    </row>
    <row r="507" spans="2:35" x14ac:dyDescent="0.2">
      <c r="B507" s="867">
        <v>100900000</v>
      </c>
      <c r="C507" s="876" t="s">
        <v>1448</v>
      </c>
      <c r="D507" s="877" t="s">
        <v>1448</v>
      </c>
      <c r="E507" s="877" t="s">
        <v>1448</v>
      </c>
      <c r="F507" s="877" t="s">
        <v>1448</v>
      </c>
      <c r="G507" s="877" t="s">
        <v>1448</v>
      </c>
      <c r="H507" s="877" t="s">
        <v>1448</v>
      </c>
      <c r="I507" s="877" t="s">
        <v>1448</v>
      </c>
      <c r="J507" s="878" t="s">
        <v>1448</v>
      </c>
      <c r="K507" s="877"/>
      <c r="L507" s="879" t="s">
        <v>1450</v>
      </c>
      <c r="M507" s="880" t="s">
        <v>1450</v>
      </c>
      <c r="N507" s="881" t="s">
        <v>1450</v>
      </c>
      <c r="O507" s="880" t="s">
        <v>1450</v>
      </c>
      <c r="P507" s="880" t="s">
        <v>1450</v>
      </c>
      <c r="Q507" s="881" t="s">
        <v>1450</v>
      </c>
      <c r="R507" s="880" t="s">
        <v>1450</v>
      </c>
      <c r="S507" s="880" t="s">
        <v>1450</v>
      </c>
      <c r="T507" s="881" t="s">
        <v>1450</v>
      </c>
      <c r="U507" s="880">
        <v>0</v>
      </c>
      <c r="V507" s="880">
        <v>0</v>
      </c>
      <c r="W507" s="881">
        <v>0</v>
      </c>
      <c r="X507" s="880">
        <v>0</v>
      </c>
      <c r="Y507" s="880">
        <v>0</v>
      </c>
      <c r="Z507" s="881">
        <v>0</v>
      </c>
      <c r="AA507" s="880" t="s">
        <v>1450</v>
      </c>
      <c r="AB507" s="880" t="s">
        <v>1450</v>
      </c>
      <c r="AC507" s="881" t="s">
        <v>1450</v>
      </c>
      <c r="AD507" s="880" t="s">
        <v>1450</v>
      </c>
      <c r="AE507" s="880" t="s">
        <v>1450</v>
      </c>
      <c r="AF507" s="881" t="s">
        <v>1450</v>
      </c>
      <c r="AG507" s="880" t="s">
        <v>1450</v>
      </c>
      <c r="AH507" s="880" t="s">
        <v>1450</v>
      </c>
      <c r="AI507" s="881" t="s">
        <v>1450</v>
      </c>
    </row>
    <row r="508" spans="2:35" x14ac:dyDescent="0.2">
      <c r="B508" s="867">
        <v>100999000</v>
      </c>
      <c r="C508" s="876" t="s">
        <v>1448</v>
      </c>
      <c r="D508" s="877" t="s">
        <v>1447</v>
      </c>
      <c r="E508" s="877" t="s">
        <v>1448</v>
      </c>
      <c r="F508" s="877" t="s">
        <v>1448</v>
      </c>
      <c r="G508" s="877" t="s">
        <v>1448</v>
      </c>
      <c r="H508" s="877" t="s">
        <v>1448</v>
      </c>
      <c r="I508" s="877" t="s">
        <v>1448</v>
      </c>
      <c r="J508" s="878" t="s">
        <v>1448</v>
      </c>
      <c r="K508" s="877"/>
      <c r="L508" s="879" t="s">
        <v>1450</v>
      </c>
      <c r="M508" s="880" t="s">
        <v>1450</v>
      </c>
      <c r="N508" s="881" t="s">
        <v>1450</v>
      </c>
      <c r="O508" s="880">
        <v>10.688481675392671</v>
      </c>
      <c r="P508" s="880">
        <v>66.272408624738887</v>
      </c>
      <c r="Q508" s="881">
        <v>0.1612810202193671</v>
      </c>
      <c r="R508" s="880">
        <v>0</v>
      </c>
      <c r="S508" s="880">
        <v>0</v>
      </c>
      <c r="T508" s="881">
        <v>0</v>
      </c>
      <c r="U508" s="880" t="s">
        <v>1450</v>
      </c>
      <c r="V508" s="880" t="s">
        <v>1450</v>
      </c>
      <c r="W508" s="881" t="s">
        <v>1450</v>
      </c>
      <c r="X508" s="880" t="s">
        <v>1450</v>
      </c>
      <c r="Y508" s="880" t="s">
        <v>1450</v>
      </c>
      <c r="Z508" s="881" t="s">
        <v>1450</v>
      </c>
      <c r="AA508" s="880" t="s">
        <v>1450</v>
      </c>
      <c r="AB508" s="880" t="s">
        <v>1450</v>
      </c>
      <c r="AC508" s="881" t="s">
        <v>1450</v>
      </c>
      <c r="AD508" s="880" t="s">
        <v>1450</v>
      </c>
      <c r="AE508" s="880" t="s">
        <v>1450</v>
      </c>
      <c r="AF508" s="881" t="s">
        <v>1450</v>
      </c>
      <c r="AG508" s="880" t="s">
        <v>1450</v>
      </c>
      <c r="AH508" s="880" t="s">
        <v>1450</v>
      </c>
      <c r="AI508" s="881" t="s">
        <v>1450</v>
      </c>
    </row>
    <row r="509" spans="2:35" x14ac:dyDescent="0.2">
      <c r="B509" s="867">
        <v>108227000</v>
      </c>
      <c r="C509" s="876" t="s">
        <v>1448</v>
      </c>
      <c r="D509" s="877" t="s">
        <v>1448</v>
      </c>
      <c r="E509" s="877" t="s">
        <v>1448</v>
      </c>
      <c r="F509" s="877" t="s">
        <v>1448</v>
      </c>
      <c r="G509" s="877" t="s">
        <v>1448</v>
      </c>
      <c r="H509" s="877" t="s">
        <v>1447</v>
      </c>
      <c r="I509" s="877" t="s">
        <v>1447</v>
      </c>
      <c r="J509" s="878" t="s">
        <v>1447</v>
      </c>
      <c r="K509" s="877"/>
      <c r="L509" s="879" t="s">
        <v>1450</v>
      </c>
      <c r="M509" s="880" t="s">
        <v>1450</v>
      </c>
      <c r="N509" s="881" t="s">
        <v>1450</v>
      </c>
      <c r="O509" s="880" t="s">
        <v>1450</v>
      </c>
      <c r="P509" s="880" t="s">
        <v>1450</v>
      </c>
      <c r="Q509" s="881" t="s">
        <v>1450</v>
      </c>
      <c r="R509" s="880" t="s">
        <v>1450</v>
      </c>
      <c r="S509" s="880" t="s">
        <v>1450</v>
      </c>
      <c r="T509" s="881" t="s">
        <v>1450</v>
      </c>
      <c r="U509" s="880" t="s">
        <v>1450</v>
      </c>
      <c r="V509" s="880" t="s">
        <v>1450</v>
      </c>
      <c r="W509" s="881" t="s">
        <v>1450</v>
      </c>
      <c r="X509" s="880" t="s">
        <v>1450</v>
      </c>
      <c r="Y509" s="880" t="s">
        <v>1450</v>
      </c>
      <c r="Z509" s="881" t="s">
        <v>1450</v>
      </c>
      <c r="AA509" s="880">
        <v>24.409826592212738</v>
      </c>
      <c r="AB509" s="880">
        <v>42</v>
      </c>
      <c r="AC509" s="881">
        <v>0.58118634743363662</v>
      </c>
      <c r="AD509" s="880">
        <v>18.937252264762179</v>
      </c>
      <c r="AE509" s="880">
        <v>42</v>
      </c>
      <c r="AF509" s="881">
        <v>0.45088695868481377</v>
      </c>
      <c r="AG509" s="880">
        <v>34.594490370195203</v>
      </c>
      <c r="AH509" s="880">
        <v>72</v>
      </c>
      <c r="AI509" s="881">
        <v>0.48047903291937782</v>
      </c>
    </row>
    <row r="510" spans="2:35" x14ac:dyDescent="0.2">
      <c r="B510" s="867">
        <v>108403000</v>
      </c>
      <c r="C510" s="876" t="s">
        <v>1448</v>
      </c>
      <c r="D510" s="877" t="s">
        <v>1448</v>
      </c>
      <c r="E510" s="877" t="s">
        <v>1448</v>
      </c>
      <c r="F510" s="877" t="s">
        <v>1448</v>
      </c>
      <c r="G510" s="877" t="s">
        <v>1448</v>
      </c>
      <c r="H510" s="877" t="s">
        <v>1447</v>
      </c>
      <c r="I510" s="877" t="s">
        <v>1448</v>
      </c>
      <c r="J510" s="878" t="s">
        <v>1448</v>
      </c>
      <c r="K510" s="877"/>
      <c r="L510" s="879" t="s">
        <v>1450</v>
      </c>
      <c r="M510" s="880" t="s">
        <v>1450</v>
      </c>
      <c r="N510" s="881" t="s">
        <v>1450</v>
      </c>
      <c r="O510" s="880" t="s">
        <v>1450</v>
      </c>
      <c r="P510" s="880" t="s">
        <v>1450</v>
      </c>
      <c r="Q510" s="881" t="s">
        <v>1450</v>
      </c>
      <c r="R510" s="880" t="s">
        <v>1450</v>
      </c>
      <c r="S510" s="880" t="s">
        <v>1450</v>
      </c>
      <c r="T510" s="881" t="s">
        <v>1450</v>
      </c>
      <c r="U510" s="880" t="s">
        <v>1450</v>
      </c>
      <c r="V510" s="880" t="s">
        <v>1450</v>
      </c>
      <c r="W510" s="881" t="s">
        <v>1450</v>
      </c>
      <c r="X510" s="880" t="s">
        <v>1450</v>
      </c>
      <c r="Y510" s="880" t="s">
        <v>1450</v>
      </c>
      <c r="Z510" s="881" t="s">
        <v>1450</v>
      </c>
      <c r="AA510" s="880">
        <v>28.791077519020153</v>
      </c>
      <c r="AB510" s="880">
        <v>66</v>
      </c>
      <c r="AC510" s="881">
        <v>0.43622844725788112</v>
      </c>
      <c r="AD510" s="880" t="s">
        <v>1450</v>
      </c>
      <c r="AE510" s="880" t="s">
        <v>1450</v>
      </c>
      <c r="AF510" s="881" t="s">
        <v>1450</v>
      </c>
      <c r="AG510" s="880" t="s">
        <v>1450</v>
      </c>
      <c r="AH510" s="880" t="s">
        <v>1450</v>
      </c>
      <c r="AI510" s="881" t="s">
        <v>1450</v>
      </c>
    </row>
    <row r="511" spans="2:35" x14ac:dyDescent="0.2">
      <c r="B511" s="867">
        <v>108501000</v>
      </c>
      <c r="C511" s="876" t="s">
        <v>1448</v>
      </c>
      <c r="D511" s="877" t="s">
        <v>1448</v>
      </c>
      <c r="E511" s="877" t="s">
        <v>1448</v>
      </c>
      <c r="F511" s="877" t="s">
        <v>1448</v>
      </c>
      <c r="G511" s="877" t="s">
        <v>1448</v>
      </c>
      <c r="H511" s="877" t="s">
        <v>1448</v>
      </c>
      <c r="I511" s="877" t="s">
        <v>1448</v>
      </c>
      <c r="J511" s="878" t="s">
        <v>1448</v>
      </c>
      <c r="K511" s="877"/>
      <c r="L511" s="879">
        <v>0</v>
      </c>
      <c r="M511" s="880">
        <v>21</v>
      </c>
      <c r="N511" s="881">
        <v>0</v>
      </c>
      <c r="O511" s="880">
        <v>1.1436278891584728</v>
      </c>
      <c r="P511" s="880">
        <v>53</v>
      </c>
      <c r="Q511" s="881">
        <v>2.1577884701103261E-2</v>
      </c>
      <c r="R511" s="880">
        <v>0</v>
      </c>
      <c r="S511" s="880">
        <v>40</v>
      </c>
      <c r="T511" s="881">
        <v>0</v>
      </c>
      <c r="U511" s="880" t="s">
        <v>1450</v>
      </c>
      <c r="V511" s="880" t="s">
        <v>1450</v>
      </c>
      <c r="W511" s="881" t="s">
        <v>1450</v>
      </c>
      <c r="X511" s="880">
        <v>0</v>
      </c>
      <c r="Y511" s="880">
        <v>36</v>
      </c>
      <c r="Z511" s="881">
        <v>0</v>
      </c>
      <c r="AA511" s="880" t="s">
        <v>1450</v>
      </c>
      <c r="AB511" s="880" t="s">
        <v>1450</v>
      </c>
      <c r="AC511" s="881" t="s">
        <v>1450</v>
      </c>
      <c r="AD511" s="880" t="s">
        <v>1450</v>
      </c>
      <c r="AE511" s="880" t="s">
        <v>1450</v>
      </c>
      <c r="AF511" s="881" t="s">
        <v>1450</v>
      </c>
      <c r="AG511" s="880" t="s">
        <v>1450</v>
      </c>
      <c r="AH511" s="880" t="s">
        <v>1450</v>
      </c>
      <c r="AI511" s="881" t="s">
        <v>1450</v>
      </c>
    </row>
    <row r="512" spans="2:35" x14ac:dyDescent="0.2">
      <c r="B512" s="867">
        <v>108502000</v>
      </c>
      <c r="C512" s="876" t="s">
        <v>1448</v>
      </c>
      <c r="D512" s="877" t="s">
        <v>1447</v>
      </c>
      <c r="E512" s="877" t="s">
        <v>1447</v>
      </c>
      <c r="F512" s="877" t="s">
        <v>1447</v>
      </c>
      <c r="G512" s="877" t="s">
        <v>1447</v>
      </c>
      <c r="H512" s="877" t="s">
        <v>1447</v>
      </c>
      <c r="I512" s="877" t="s">
        <v>1447</v>
      </c>
      <c r="J512" s="878" t="s">
        <v>1447</v>
      </c>
      <c r="K512" s="877"/>
      <c r="L512" s="879" t="s">
        <v>1450</v>
      </c>
      <c r="M512" s="880" t="s">
        <v>1450</v>
      </c>
      <c r="N512" s="881" t="s">
        <v>1450</v>
      </c>
      <c r="O512" s="880">
        <v>92.633859021836301</v>
      </c>
      <c r="P512" s="880">
        <v>256</v>
      </c>
      <c r="Q512" s="881">
        <v>0.36185101180404805</v>
      </c>
      <c r="R512" s="880">
        <v>108.91396242814174</v>
      </c>
      <c r="S512" s="880">
        <v>267</v>
      </c>
      <c r="T512" s="881">
        <v>0.40791746227768444</v>
      </c>
      <c r="U512" s="880">
        <v>169.32027119143686</v>
      </c>
      <c r="V512" s="880">
        <v>343</v>
      </c>
      <c r="W512" s="881">
        <v>0.49364510551439317</v>
      </c>
      <c r="X512" s="880">
        <v>166.4020463156231</v>
      </c>
      <c r="Y512" s="880">
        <v>318</v>
      </c>
      <c r="Z512" s="881">
        <v>0.5232768752063619</v>
      </c>
      <c r="AA512" s="880">
        <v>125.17859790878327</v>
      </c>
      <c r="AB512" s="880">
        <v>244</v>
      </c>
      <c r="AC512" s="881">
        <v>0.51302704060976756</v>
      </c>
      <c r="AD512" s="880">
        <v>147.01287942381165</v>
      </c>
      <c r="AE512" s="880">
        <v>298</v>
      </c>
      <c r="AF512" s="881">
        <v>0.49333181014701899</v>
      </c>
      <c r="AG512" s="880">
        <v>148.26210158655087</v>
      </c>
      <c r="AH512" s="880">
        <v>275</v>
      </c>
      <c r="AI512" s="881">
        <v>0.53913491486018494</v>
      </c>
    </row>
    <row r="513" spans="2:35" x14ac:dyDescent="0.2">
      <c r="B513" s="867">
        <v>108503000</v>
      </c>
      <c r="C513" s="876" t="s">
        <v>1447</v>
      </c>
      <c r="D513" s="877" t="s">
        <v>1447</v>
      </c>
      <c r="E513" s="877" t="s">
        <v>1447</v>
      </c>
      <c r="F513" s="877" t="s">
        <v>1447</v>
      </c>
      <c r="G513" s="877" t="s">
        <v>1447</v>
      </c>
      <c r="H513" s="877" t="s">
        <v>1447</v>
      </c>
      <c r="I513" s="877" t="s">
        <v>1447</v>
      </c>
      <c r="J513" s="878" t="s">
        <v>1447</v>
      </c>
      <c r="K513" s="877"/>
      <c r="L513" s="879">
        <v>30</v>
      </c>
      <c r="M513" s="880">
        <v>193</v>
      </c>
      <c r="N513" s="881">
        <v>0.154</v>
      </c>
      <c r="O513" s="880">
        <v>74.335812795300725</v>
      </c>
      <c r="P513" s="880">
        <v>319</v>
      </c>
      <c r="Q513" s="881">
        <v>0.23302762631755713</v>
      </c>
      <c r="R513" s="880">
        <v>85.446313065171978</v>
      </c>
      <c r="S513" s="880">
        <v>321</v>
      </c>
      <c r="T513" s="881">
        <v>0.26618789116876007</v>
      </c>
      <c r="U513" s="880">
        <v>111.70922456198531</v>
      </c>
      <c r="V513" s="880">
        <v>326</v>
      </c>
      <c r="W513" s="881">
        <v>0.34266633301222488</v>
      </c>
      <c r="X513" s="880">
        <v>106.41160901728688</v>
      </c>
      <c r="Y513" s="880">
        <v>316</v>
      </c>
      <c r="Z513" s="881">
        <v>0.33674559815597116</v>
      </c>
      <c r="AA513" s="880">
        <v>112.03484512836103</v>
      </c>
      <c r="AB513" s="880">
        <v>343</v>
      </c>
      <c r="AC513" s="881">
        <v>0.32663220154041117</v>
      </c>
      <c r="AD513" s="880">
        <v>109.63672363809683</v>
      </c>
      <c r="AE513" s="880">
        <v>279</v>
      </c>
      <c r="AF513" s="881">
        <v>0.39296316716163737</v>
      </c>
      <c r="AG513" s="880">
        <v>105.43082779488061</v>
      </c>
      <c r="AH513" s="880">
        <v>320</v>
      </c>
      <c r="AI513" s="881">
        <v>0.32947133685900193</v>
      </c>
    </row>
    <row r="514" spans="2:35" x14ac:dyDescent="0.2">
      <c r="B514" s="867">
        <v>108504000</v>
      </c>
      <c r="C514" s="876" t="s">
        <v>1448</v>
      </c>
      <c r="D514" s="877" t="s">
        <v>1447</v>
      </c>
      <c r="E514" s="877" t="s">
        <v>1448</v>
      </c>
      <c r="F514" s="877" t="s">
        <v>1447</v>
      </c>
      <c r="G514" s="877" t="s">
        <v>1447</v>
      </c>
      <c r="H514" s="877" t="s">
        <v>1447</v>
      </c>
      <c r="I514" s="877" t="s">
        <v>1447</v>
      </c>
      <c r="J514" s="878" t="s">
        <v>1447</v>
      </c>
      <c r="K514" s="877"/>
      <c r="L514" s="879" t="s">
        <v>1450</v>
      </c>
      <c r="M514" s="880" t="s">
        <v>1450</v>
      </c>
      <c r="N514" s="881" t="s">
        <v>1450</v>
      </c>
      <c r="O514" s="880">
        <v>22.872557783169455</v>
      </c>
      <c r="P514" s="880">
        <v>114</v>
      </c>
      <c r="Q514" s="881">
        <v>0.20063647178218821</v>
      </c>
      <c r="R514" s="880">
        <v>24.069383962020275</v>
      </c>
      <c r="S514" s="880">
        <v>163</v>
      </c>
      <c r="T514" s="881">
        <v>0.14766493228233299</v>
      </c>
      <c r="U514" s="880">
        <v>30.913244532876437</v>
      </c>
      <c r="V514" s="880">
        <v>194</v>
      </c>
      <c r="W514" s="881">
        <v>0.15934662130348679</v>
      </c>
      <c r="X514" s="880">
        <v>43.564484228553688</v>
      </c>
      <c r="Y514" s="880">
        <v>202</v>
      </c>
      <c r="Z514" s="881">
        <v>0.21566576350769154</v>
      </c>
      <c r="AA514" s="880">
        <v>31.294649477195819</v>
      </c>
      <c r="AB514" s="880">
        <v>204</v>
      </c>
      <c r="AC514" s="881">
        <v>0.15340514449605794</v>
      </c>
      <c r="AD514" s="880">
        <v>31.894319603809986</v>
      </c>
      <c r="AE514" s="880">
        <v>189</v>
      </c>
      <c r="AF514" s="881">
        <v>0.1687530137767724</v>
      </c>
      <c r="AG514" s="880">
        <v>62.050435108445363</v>
      </c>
      <c r="AH514" s="880">
        <v>218</v>
      </c>
      <c r="AI514" s="881">
        <v>0.2846350234332356</v>
      </c>
    </row>
    <row r="515" spans="2:35" x14ac:dyDescent="0.2">
      <c r="B515" s="867">
        <v>108505000</v>
      </c>
      <c r="C515" s="876" t="s">
        <v>1448</v>
      </c>
      <c r="D515" s="877" t="s">
        <v>1448</v>
      </c>
      <c r="E515" s="877" t="s">
        <v>1447</v>
      </c>
      <c r="F515" s="877" t="s">
        <v>1447</v>
      </c>
      <c r="G515" s="877" t="s">
        <v>1447</v>
      </c>
      <c r="H515" s="877" t="s">
        <v>1447</v>
      </c>
      <c r="I515" s="877" t="s">
        <v>1447</v>
      </c>
      <c r="J515" s="878" t="s">
        <v>1447</v>
      </c>
      <c r="K515" s="877"/>
      <c r="L515" s="879" t="s">
        <v>1450</v>
      </c>
      <c r="M515" s="880" t="s">
        <v>1450</v>
      </c>
      <c r="N515" s="881" t="s">
        <v>1450</v>
      </c>
      <c r="O515" s="880" t="s">
        <v>1450</v>
      </c>
      <c r="P515" s="880" t="s">
        <v>1450</v>
      </c>
      <c r="Q515" s="881" t="s">
        <v>1450</v>
      </c>
      <c r="R515" s="880">
        <v>28.883260754424327</v>
      </c>
      <c r="S515" s="880">
        <v>52</v>
      </c>
      <c r="T515" s="881">
        <v>0.55544732220046789</v>
      </c>
      <c r="U515" s="880">
        <v>29.508097054109328</v>
      </c>
      <c r="V515" s="880">
        <v>45</v>
      </c>
      <c r="W515" s="881">
        <v>0.65573549009131837</v>
      </c>
      <c r="X515" s="880">
        <v>24.996015540973428</v>
      </c>
      <c r="Y515" s="880">
        <v>38</v>
      </c>
      <c r="Z515" s="881">
        <v>0.65778988265719551</v>
      </c>
      <c r="AA515" s="880">
        <v>25.035719581756656</v>
      </c>
      <c r="AB515" s="880">
        <v>50</v>
      </c>
      <c r="AC515" s="881">
        <v>0.50071439163513309</v>
      </c>
      <c r="AD515" s="880">
        <v>27.907529653333739</v>
      </c>
      <c r="AE515" s="880">
        <v>61</v>
      </c>
      <c r="AF515" s="881">
        <v>0.45750048612022526</v>
      </c>
      <c r="AG515" s="880">
        <v>22.513874685365131</v>
      </c>
      <c r="AH515" s="880">
        <v>43</v>
      </c>
      <c r="AI515" s="881">
        <v>0.52357848105500304</v>
      </c>
    </row>
    <row r="516" spans="2:35" x14ac:dyDescent="0.2">
      <c r="B516" s="867">
        <v>108506000</v>
      </c>
      <c r="C516" s="876" t="s">
        <v>1448</v>
      </c>
      <c r="D516" s="877" t="s">
        <v>1448</v>
      </c>
      <c r="E516" s="877" t="s">
        <v>1448</v>
      </c>
      <c r="F516" s="877" t="s">
        <v>1447</v>
      </c>
      <c r="G516" s="877" t="s">
        <v>1447</v>
      </c>
      <c r="H516" s="877" t="s">
        <v>1447</v>
      </c>
      <c r="I516" s="877" t="s">
        <v>1447</v>
      </c>
      <c r="J516" s="878" t="s">
        <v>1447</v>
      </c>
      <c r="K516" s="877"/>
      <c r="L516" s="879" t="s">
        <v>1450</v>
      </c>
      <c r="M516" s="880" t="s">
        <v>1450</v>
      </c>
      <c r="N516" s="881" t="s">
        <v>1450</v>
      </c>
      <c r="O516" s="880" t="s">
        <v>1450</v>
      </c>
      <c r="P516" s="880" t="s">
        <v>1450</v>
      </c>
      <c r="Q516" s="881" t="s">
        <v>1450</v>
      </c>
      <c r="R516" s="880" t="s">
        <v>1450</v>
      </c>
      <c r="S516" s="880" t="s">
        <v>1450</v>
      </c>
      <c r="T516" s="881" t="s">
        <v>1450</v>
      </c>
      <c r="U516" s="880">
        <v>41.451850623629767</v>
      </c>
      <c r="V516" s="880">
        <v>72</v>
      </c>
      <c r="W516" s="881">
        <v>0.57572014755041345</v>
      </c>
      <c r="X516" s="880">
        <v>52.848718572343813</v>
      </c>
      <c r="Y516" s="880">
        <v>91</v>
      </c>
      <c r="Z516" s="881">
        <v>0.58075514914663529</v>
      </c>
      <c r="AA516" s="880">
        <v>60.085726996215968</v>
      </c>
      <c r="AB516" s="880">
        <v>101</v>
      </c>
      <c r="AC516" s="881">
        <v>0.59490818808134627</v>
      </c>
      <c r="AD516" s="880">
        <v>40.864596992381543</v>
      </c>
      <c r="AE516" s="880">
        <v>82</v>
      </c>
      <c r="AF516" s="881">
        <v>0.49834874380953104</v>
      </c>
      <c r="AG516" s="880">
        <v>42.831273791670249</v>
      </c>
      <c r="AH516" s="880">
        <v>78</v>
      </c>
      <c r="AI516" s="881">
        <v>0.5491188947650032</v>
      </c>
    </row>
    <row r="517" spans="2:35" x14ac:dyDescent="0.2">
      <c r="B517" s="867">
        <v>108507000</v>
      </c>
      <c r="C517" s="876" t="s">
        <v>1448</v>
      </c>
      <c r="D517" s="877" t="s">
        <v>1448</v>
      </c>
      <c r="E517" s="877" t="s">
        <v>1448</v>
      </c>
      <c r="F517" s="877" t="s">
        <v>1447</v>
      </c>
      <c r="G517" s="877" t="s">
        <v>1447</v>
      </c>
      <c r="H517" s="877" t="s">
        <v>1447</v>
      </c>
      <c r="I517" s="877" t="s">
        <v>1447</v>
      </c>
      <c r="J517" s="878" t="s">
        <v>1447</v>
      </c>
      <c r="K517" s="877"/>
      <c r="L517" s="879" t="s">
        <v>1450</v>
      </c>
      <c r="M517" s="880" t="s">
        <v>1450</v>
      </c>
      <c r="N517" s="881" t="s">
        <v>1450</v>
      </c>
      <c r="O517" s="880" t="s">
        <v>1450</v>
      </c>
      <c r="P517" s="880" t="s">
        <v>1450</v>
      </c>
      <c r="Q517" s="881" t="s">
        <v>1450</v>
      </c>
      <c r="R517" s="880" t="s">
        <v>1450</v>
      </c>
      <c r="S517" s="880" t="s">
        <v>1450</v>
      </c>
      <c r="T517" s="881" t="s">
        <v>1450</v>
      </c>
      <c r="U517" s="880">
        <v>94.847454816779972</v>
      </c>
      <c r="V517" s="880">
        <v>160</v>
      </c>
      <c r="W517" s="881">
        <v>0.59279659260487483</v>
      </c>
      <c r="X517" s="880">
        <v>98.555718418695221</v>
      </c>
      <c r="Y517" s="880">
        <v>166</v>
      </c>
      <c r="Z517" s="881">
        <v>0.59370914710057365</v>
      </c>
      <c r="AA517" s="880">
        <v>73.855372766182128</v>
      </c>
      <c r="AB517" s="880">
        <v>122</v>
      </c>
      <c r="AC517" s="881">
        <v>0.60537190791952566</v>
      </c>
      <c r="AD517" s="880">
        <v>59.801849257143722</v>
      </c>
      <c r="AE517" s="880">
        <v>124</v>
      </c>
      <c r="AF517" s="881">
        <v>0.4822729778801913</v>
      </c>
      <c r="AG517" s="880">
        <v>43.929511581200259</v>
      </c>
      <c r="AH517" s="880">
        <v>82</v>
      </c>
      <c r="AI517" s="881">
        <v>0.53572575099024711</v>
      </c>
    </row>
    <row r="518" spans="2:35" x14ac:dyDescent="0.2">
      <c r="B518" s="867">
        <v>108509000</v>
      </c>
      <c r="C518" s="876" t="s">
        <v>1448</v>
      </c>
      <c r="D518" s="877" t="s">
        <v>1448</v>
      </c>
      <c r="E518" s="877" t="s">
        <v>1448</v>
      </c>
      <c r="F518" s="877" t="s">
        <v>1447</v>
      </c>
      <c r="G518" s="877" t="s">
        <v>1448</v>
      </c>
      <c r="H518" s="877" t="s">
        <v>1448</v>
      </c>
      <c r="I518" s="877" t="s">
        <v>1448</v>
      </c>
      <c r="J518" s="878" t="s">
        <v>1448</v>
      </c>
      <c r="K518" s="877"/>
      <c r="L518" s="879" t="s">
        <v>1450</v>
      </c>
      <c r="M518" s="880" t="s">
        <v>1450</v>
      </c>
      <c r="N518" s="881" t="s">
        <v>1450</v>
      </c>
      <c r="O518" s="880" t="s">
        <v>1450</v>
      </c>
      <c r="P518" s="880" t="s">
        <v>1450</v>
      </c>
      <c r="Q518" s="881" t="s">
        <v>1450</v>
      </c>
      <c r="R518" s="880" t="s">
        <v>1450</v>
      </c>
      <c r="S518" s="880" t="s">
        <v>1450</v>
      </c>
      <c r="T518" s="881" t="s">
        <v>1450</v>
      </c>
      <c r="U518" s="880">
        <v>18.969490963355994</v>
      </c>
      <c r="V518" s="880">
        <v>90</v>
      </c>
      <c r="W518" s="881">
        <v>0.2107721218150666</v>
      </c>
      <c r="X518" s="880">
        <v>9.9984062163893697</v>
      </c>
      <c r="Y518" s="880">
        <v>110</v>
      </c>
      <c r="Z518" s="881">
        <v>9.0894601967176095E-2</v>
      </c>
      <c r="AA518" s="880" t="s">
        <v>1450</v>
      </c>
      <c r="AB518" s="880" t="s">
        <v>1450</v>
      </c>
      <c r="AC518" s="881" t="s">
        <v>1450</v>
      </c>
      <c r="AD518" s="880" t="s">
        <v>1450</v>
      </c>
      <c r="AE518" s="880" t="s">
        <v>1450</v>
      </c>
      <c r="AF518" s="881" t="s">
        <v>1450</v>
      </c>
      <c r="AG518" s="880" t="s">
        <v>1450</v>
      </c>
      <c r="AH518" s="880" t="s">
        <v>1450</v>
      </c>
      <c r="AI518" s="881" t="s">
        <v>1450</v>
      </c>
    </row>
    <row r="519" spans="2:35" x14ac:dyDescent="0.2">
      <c r="B519" s="867">
        <v>108512000</v>
      </c>
      <c r="C519" s="876" t="s">
        <v>1448</v>
      </c>
      <c r="D519" s="877" t="s">
        <v>1448</v>
      </c>
      <c r="E519" s="877" t="s">
        <v>1448</v>
      </c>
      <c r="F519" s="877" t="s">
        <v>1448</v>
      </c>
      <c r="G519" s="877" t="s">
        <v>1448</v>
      </c>
      <c r="H519" s="877" t="s">
        <v>1447</v>
      </c>
      <c r="I519" s="877" t="s">
        <v>1447</v>
      </c>
      <c r="J519" s="878" t="s">
        <v>1447</v>
      </c>
      <c r="K519" s="877"/>
      <c r="L519" s="879" t="s">
        <v>1450</v>
      </c>
      <c r="M519" s="880" t="s">
        <v>1450</v>
      </c>
      <c r="N519" s="881" t="s">
        <v>1450</v>
      </c>
      <c r="O519" s="880" t="s">
        <v>1450</v>
      </c>
      <c r="P519" s="880" t="s">
        <v>1450</v>
      </c>
      <c r="Q519" s="881" t="s">
        <v>1450</v>
      </c>
      <c r="R519" s="880" t="s">
        <v>1450</v>
      </c>
      <c r="S519" s="880" t="s">
        <v>1450</v>
      </c>
      <c r="T519" s="881" t="s">
        <v>1450</v>
      </c>
      <c r="U519" s="880" t="s">
        <v>1450</v>
      </c>
      <c r="V519" s="880" t="s">
        <v>1450</v>
      </c>
      <c r="W519" s="881" t="s">
        <v>1450</v>
      </c>
      <c r="X519" s="880" t="s">
        <v>1450</v>
      </c>
      <c r="Y519" s="880" t="s">
        <v>1450</v>
      </c>
      <c r="Z519" s="881" t="s">
        <v>1450</v>
      </c>
      <c r="AA519" s="880">
        <v>21.906254634037072</v>
      </c>
      <c r="AB519" s="880">
        <v>73</v>
      </c>
      <c r="AC519" s="881">
        <v>0.30008567991831608</v>
      </c>
      <c r="AD519" s="880">
        <v>34.884412066667174</v>
      </c>
      <c r="AE519" s="880">
        <v>106</v>
      </c>
      <c r="AF519" s="881">
        <v>0.32909822704402997</v>
      </c>
      <c r="AG519" s="880">
        <v>43.38039268643525</v>
      </c>
      <c r="AH519" s="880">
        <v>134</v>
      </c>
      <c r="AI519" s="881">
        <v>0.32373427377936753</v>
      </c>
    </row>
    <row r="520" spans="2:35" x14ac:dyDescent="0.2">
      <c r="B520" s="867">
        <v>108513000</v>
      </c>
      <c r="C520" s="876" t="s">
        <v>1448</v>
      </c>
      <c r="D520" s="877" t="s">
        <v>1448</v>
      </c>
      <c r="E520" s="877" t="s">
        <v>1448</v>
      </c>
      <c r="F520" s="877" t="s">
        <v>1448</v>
      </c>
      <c r="G520" s="877" t="s">
        <v>1448</v>
      </c>
      <c r="H520" s="877" t="s">
        <v>1447</v>
      </c>
      <c r="I520" s="877" t="s">
        <v>1447</v>
      </c>
      <c r="J520" s="878" t="s">
        <v>1447</v>
      </c>
      <c r="K520" s="877"/>
      <c r="L520" s="879" t="s">
        <v>1450</v>
      </c>
      <c r="M520" s="880" t="s">
        <v>1450</v>
      </c>
      <c r="N520" s="881" t="s">
        <v>1450</v>
      </c>
      <c r="O520" s="880" t="s">
        <v>1450</v>
      </c>
      <c r="P520" s="880" t="s">
        <v>1450</v>
      </c>
      <c r="Q520" s="881" t="s">
        <v>1450</v>
      </c>
      <c r="R520" s="880" t="s">
        <v>1450</v>
      </c>
      <c r="S520" s="880" t="s">
        <v>1450</v>
      </c>
      <c r="T520" s="881" t="s">
        <v>1450</v>
      </c>
      <c r="U520" s="880" t="s">
        <v>1450</v>
      </c>
      <c r="V520" s="880" t="s">
        <v>1450</v>
      </c>
      <c r="W520" s="881" t="s">
        <v>1450</v>
      </c>
      <c r="X520" s="880" t="s">
        <v>1450</v>
      </c>
      <c r="Y520" s="880" t="s">
        <v>1450</v>
      </c>
      <c r="Z520" s="881" t="s">
        <v>1450</v>
      </c>
      <c r="AA520" s="880">
        <v>65.71876390211122</v>
      </c>
      <c r="AB520" s="880">
        <v>118</v>
      </c>
      <c r="AC520" s="881">
        <v>0.55693867713653578</v>
      </c>
      <c r="AD520" s="880">
        <v>53.323315587619824</v>
      </c>
      <c r="AE520" s="880">
        <v>118</v>
      </c>
      <c r="AF520" s="881">
        <v>0.45189250497982902</v>
      </c>
      <c r="AG520" s="880">
        <v>94.997568794345554</v>
      </c>
      <c r="AH520" s="880">
        <v>201</v>
      </c>
      <c r="AI520" s="881">
        <v>0.4726247203698784</v>
      </c>
    </row>
    <row r="521" spans="2:35" x14ac:dyDescent="0.2">
      <c r="B521" s="867">
        <v>108601000</v>
      </c>
      <c r="C521" s="876" t="s">
        <v>1447</v>
      </c>
      <c r="D521" s="877" t="s">
        <v>1447</v>
      </c>
      <c r="E521" s="877" t="s">
        <v>1447</v>
      </c>
      <c r="F521" s="877" t="s">
        <v>1447</v>
      </c>
      <c r="G521" s="877" t="s">
        <v>1447</v>
      </c>
      <c r="H521" s="877" t="s">
        <v>1447</v>
      </c>
      <c r="I521" s="877" t="s">
        <v>1447</v>
      </c>
      <c r="J521" s="878" t="s">
        <v>1447</v>
      </c>
      <c r="K521" s="877"/>
      <c r="L521" s="879">
        <v>52</v>
      </c>
      <c r="M521" s="880">
        <v>115</v>
      </c>
      <c r="N521" s="881">
        <v>0.44840000000000002</v>
      </c>
      <c r="O521" s="880">
        <v>28.018883284382582</v>
      </c>
      <c r="P521" s="880">
        <v>52</v>
      </c>
      <c r="Q521" s="881">
        <v>0.53882467854581884</v>
      </c>
      <c r="R521" s="880">
        <v>19.255507169616219</v>
      </c>
      <c r="S521" s="880">
        <v>34</v>
      </c>
      <c r="T521" s="881">
        <v>0.56633844616518292</v>
      </c>
      <c r="U521" s="880">
        <v>32.318392011643546</v>
      </c>
      <c r="V521" s="880">
        <v>41</v>
      </c>
      <c r="W521" s="881">
        <v>0.78825346369862304</v>
      </c>
      <c r="X521" s="880">
        <v>37.851109247759759</v>
      </c>
      <c r="Y521" s="880">
        <v>49</v>
      </c>
      <c r="Z521" s="881">
        <v>0.7724716173012196</v>
      </c>
      <c r="AA521" s="880">
        <v>23.783933602668821</v>
      </c>
      <c r="AB521" s="880">
        <v>36</v>
      </c>
      <c r="AC521" s="881">
        <v>0.66066482229635615</v>
      </c>
      <c r="AD521" s="880">
        <v>11.960369851428744</v>
      </c>
      <c r="AE521" s="880">
        <v>24</v>
      </c>
      <c r="AF521" s="881">
        <v>0.49834874380953104</v>
      </c>
      <c r="AG521" s="880">
        <v>15.924447948185092</v>
      </c>
      <c r="AH521" s="880">
        <v>30</v>
      </c>
      <c r="AI521" s="881">
        <v>0.53081493160616977</v>
      </c>
    </row>
    <row r="522" spans="2:35" x14ac:dyDescent="0.2">
      <c r="B522" s="867">
        <v>108602000</v>
      </c>
      <c r="C522" s="876" t="s">
        <v>1448</v>
      </c>
      <c r="D522" s="877" t="s">
        <v>1448</v>
      </c>
      <c r="E522" s="877" t="s">
        <v>1448</v>
      </c>
      <c r="F522" s="877" t="s">
        <v>1447</v>
      </c>
      <c r="G522" s="877" t="s">
        <v>1447</v>
      </c>
      <c r="H522" s="877" t="s">
        <v>1448</v>
      </c>
      <c r="I522" s="877" t="s">
        <v>1448</v>
      </c>
      <c r="J522" s="878" t="s">
        <v>1448</v>
      </c>
      <c r="K522" s="877"/>
      <c r="L522" s="879" t="s">
        <v>1450</v>
      </c>
      <c r="M522" s="880" t="s">
        <v>1450</v>
      </c>
      <c r="N522" s="881" t="s">
        <v>1450</v>
      </c>
      <c r="O522" s="880" t="s">
        <v>1450</v>
      </c>
      <c r="P522" s="880" t="s">
        <v>1450</v>
      </c>
      <c r="Q522" s="881" t="s">
        <v>1450</v>
      </c>
      <c r="R522" s="880" t="s">
        <v>1450</v>
      </c>
      <c r="S522" s="880" t="s">
        <v>1450</v>
      </c>
      <c r="T522" s="881" t="s">
        <v>1450</v>
      </c>
      <c r="U522" s="880">
        <v>100.46804473184842</v>
      </c>
      <c r="V522" s="880">
        <v>155</v>
      </c>
      <c r="W522" s="881">
        <v>0.64818093375386077</v>
      </c>
      <c r="X522" s="880">
        <v>187.82720249360031</v>
      </c>
      <c r="Y522" s="880">
        <v>275</v>
      </c>
      <c r="Z522" s="881">
        <v>0.68300800906763748</v>
      </c>
      <c r="AA522" s="880" t="s">
        <v>1450</v>
      </c>
      <c r="AB522" s="880" t="s">
        <v>1450</v>
      </c>
      <c r="AC522" s="881" t="s">
        <v>1450</v>
      </c>
      <c r="AD522" s="880" t="s">
        <v>1450</v>
      </c>
      <c r="AE522" s="880" t="s">
        <v>1450</v>
      </c>
      <c r="AF522" s="881" t="s">
        <v>1450</v>
      </c>
      <c r="AG522" s="880" t="s">
        <v>1450</v>
      </c>
      <c r="AH522" s="880" t="s">
        <v>1450</v>
      </c>
      <c r="AI522" s="881" t="s">
        <v>1450</v>
      </c>
    </row>
    <row r="523" spans="2:35" x14ac:dyDescent="0.2">
      <c r="B523" s="867">
        <v>108653000</v>
      </c>
      <c r="C523" s="876" t="s">
        <v>1447</v>
      </c>
      <c r="D523" s="877" t="s">
        <v>1447</v>
      </c>
      <c r="E523" s="877" t="s">
        <v>1447</v>
      </c>
      <c r="F523" s="877" t="s">
        <v>1447</v>
      </c>
      <c r="G523" s="877" t="s">
        <v>1447</v>
      </c>
      <c r="H523" s="877" t="s">
        <v>1447</v>
      </c>
      <c r="I523" s="877" t="s">
        <v>1447</v>
      </c>
      <c r="J523" s="878" t="s">
        <v>1447</v>
      </c>
      <c r="K523" s="877"/>
      <c r="L523" s="879">
        <v>73</v>
      </c>
      <c r="M523" s="880">
        <v>223</v>
      </c>
      <c r="N523" s="881">
        <v>0.32500000000000001</v>
      </c>
      <c r="O523" s="880">
        <v>57.753208402502878</v>
      </c>
      <c r="P523" s="880">
        <v>142</v>
      </c>
      <c r="Q523" s="881">
        <v>0.40671273522889351</v>
      </c>
      <c r="R523" s="880">
        <v>49.342237122141562</v>
      </c>
      <c r="S523" s="880">
        <v>157</v>
      </c>
      <c r="T523" s="881">
        <v>0.31428176510918193</v>
      </c>
      <c r="U523" s="880">
        <v>86.416569944177311</v>
      </c>
      <c r="V523" s="880">
        <v>160</v>
      </c>
      <c r="W523" s="881">
        <v>0.54010356215110822</v>
      </c>
      <c r="X523" s="880">
        <v>94.984859055699019</v>
      </c>
      <c r="Y523" s="880">
        <v>185</v>
      </c>
      <c r="Z523" s="881">
        <v>0.51343167057134609</v>
      </c>
      <c r="AA523" s="880">
        <v>82.617874619796964</v>
      </c>
      <c r="AB523" s="880">
        <v>171</v>
      </c>
      <c r="AC523" s="881">
        <v>0.48314546561284777</v>
      </c>
      <c r="AD523" s="880">
        <v>63.290290463810443</v>
      </c>
      <c r="AE523" s="880">
        <v>168</v>
      </c>
      <c r="AF523" s="881">
        <v>0.3767279194274431</v>
      </c>
      <c r="AG523" s="880">
        <v>48.322462739320279</v>
      </c>
      <c r="AH523" s="880">
        <v>115</v>
      </c>
      <c r="AI523" s="881">
        <v>0.42019532816800242</v>
      </c>
    </row>
    <row r="524" spans="2:35" x14ac:dyDescent="0.2">
      <c r="B524" s="867">
        <v>108660000</v>
      </c>
      <c r="C524" s="876" t="s">
        <v>1447</v>
      </c>
      <c r="D524" s="877" t="s">
        <v>1447</v>
      </c>
      <c r="E524" s="877" t="s">
        <v>1447</v>
      </c>
      <c r="F524" s="877" t="s">
        <v>1447</v>
      </c>
      <c r="G524" s="877" t="s">
        <v>1447</v>
      </c>
      <c r="H524" s="877" t="s">
        <v>1447</v>
      </c>
      <c r="I524" s="877" t="s">
        <v>1447</v>
      </c>
      <c r="J524" s="878" t="s">
        <v>1447</v>
      </c>
      <c r="K524" s="877"/>
      <c r="L524" s="879">
        <v>50</v>
      </c>
      <c r="M524" s="880">
        <v>167</v>
      </c>
      <c r="N524" s="881">
        <v>0.29970000000000002</v>
      </c>
      <c r="O524" s="880">
        <v>53.750510790448224</v>
      </c>
      <c r="P524" s="880">
        <v>152</v>
      </c>
      <c r="Q524" s="881">
        <v>0.35362178151610674</v>
      </c>
      <c r="R524" s="880">
        <v>39.112748938282948</v>
      </c>
      <c r="S524" s="880">
        <v>123</v>
      </c>
      <c r="T524" s="881">
        <v>0.31798982876652804</v>
      </c>
      <c r="U524" s="880">
        <v>77.283111332191098</v>
      </c>
      <c r="V524" s="880">
        <v>114</v>
      </c>
      <c r="W524" s="881">
        <v>0.67792202922974643</v>
      </c>
      <c r="X524" s="880">
        <v>29.995218649168113</v>
      </c>
      <c r="Y524" s="880">
        <v>108</v>
      </c>
      <c r="Z524" s="881">
        <v>0.27773350601081587</v>
      </c>
      <c r="AA524" s="880">
        <v>53.826797100776808</v>
      </c>
      <c r="AB524" s="880">
        <v>114</v>
      </c>
      <c r="AC524" s="881">
        <v>0.47216488684891939</v>
      </c>
      <c r="AD524" s="880">
        <v>42.359643223810139</v>
      </c>
      <c r="AE524" s="880">
        <v>85</v>
      </c>
      <c r="AF524" s="881">
        <v>0.49834874380953104</v>
      </c>
      <c r="AG524" s="880">
        <v>47.224224949790276</v>
      </c>
      <c r="AH524" s="880">
        <v>141</v>
      </c>
      <c r="AI524" s="881">
        <v>0.33492358120418636</v>
      </c>
    </row>
    <row r="525" spans="2:35" x14ac:dyDescent="0.2">
      <c r="B525" s="867">
        <v>108665000</v>
      </c>
      <c r="C525" s="876" t="s">
        <v>1448</v>
      </c>
      <c r="D525" s="877" t="s">
        <v>1448</v>
      </c>
      <c r="E525" s="877" t="s">
        <v>1448</v>
      </c>
      <c r="F525" s="877" t="s">
        <v>1448</v>
      </c>
      <c r="G525" s="877" t="s">
        <v>1448</v>
      </c>
      <c r="H525" s="877" t="s">
        <v>1448</v>
      </c>
      <c r="I525" s="877" t="s">
        <v>1448</v>
      </c>
      <c r="J525" s="878" t="s">
        <v>1448</v>
      </c>
      <c r="K525" s="877"/>
      <c r="L525" s="879">
        <v>0</v>
      </c>
      <c r="M525" s="880">
        <v>539</v>
      </c>
      <c r="N525" s="881">
        <v>0</v>
      </c>
      <c r="O525" s="880">
        <v>1.1436278891584728</v>
      </c>
      <c r="P525" s="880">
        <v>575</v>
      </c>
      <c r="Q525" s="881">
        <v>1.9889180681016919E-3</v>
      </c>
      <c r="R525" s="880">
        <v>0</v>
      </c>
      <c r="S525" s="880">
        <v>662</v>
      </c>
      <c r="T525" s="881">
        <v>0</v>
      </c>
      <c r="U525" s="880">
        <v>0</v>
      </c>
      <c r="V525" s="880">
        <v>743</v>
      </c>
      <c r="W525" s="881">
        <v>0</v>
      </c>
      <c r="X525" s="880">
        <v>0</v>
      </c>
      <c r="Y525" s="880">
        <v>701</v>
      </c>
      <c r="Z525" s="881">
        <v>0</v>
      </c>
      <c r="AA525" s="880" t="s">
        <v>1450</v>
      </c>
      <c r="AB525" s="880" t="s">
        <v>1450</v>
      </c>
      <c r="AC525" s="881" t="s">
        <v>1450</v>
      </c>
      <c r="AD525" s="880" t="s">
        <v>1450</v>
      </c>
      <c r="AE525" s="880" t="s">
        <v>1450</v>
      </c>
      <c r="AF525" s="881" t="s">
        <v>1450</v>
      </c>
      <c r="AG525" s="880" t="s">
        <v>1450</v>
      </c>
      <c r="AH525" s="880" t="s">
        <v>1450</v>
      </c>
      <c r="AI525" s="881" t="s">
        <v>1450</v>
      </c>
    </row>
    <row r="526" spans="2:35" x14ac:dyDescent="0.2">
      <c r="B526" s="867">
        <v>108666000</v>
      </c>
      <c r="C526" s="876" t="s">
        <v>1448</v>
      </c>
      <c r="D526" s="877" t="s">
        <v>1448</v>
      </c>
      <c r="E526" s="877" t="s">
        <v>1448</v>
      </c>
      <c r="F526" s="877" t="s">
        <v>1447</v>
      </c>
      <c r="G526" s="877" t="s">
        <v>1447</v>
      </c>
      <c r="H526" s="877" t="s">
        <v>1447</v>
      </c>
      <c r="I526" s="877" t="s">
        <v>1447</v>
      </c>
      <c r="J526" s="878" t="s">
        <v>1447</v>
      </c>
      <c r="K526" s="877"/>
      <c r="L526" s="879">
        <v>145</v>
      </c>
      <c r="M526" s="880">
        <v>1037</v>
      </c>
      <c r="N526" s="881">
        <v>0.13950000000000001</v>
      </c>
      <c r="O526" s="880">
        <v>89.202975354360873</v>
      </c>
      <c r="P526" s="880">
        <v>755</v>
      </c>
      <c r="Q526" s="881">
        <v>0.11814963623094156</v>
      </c>
      <c r="R526" s="880">
        <v>93.870597451879064</v>
      </c>
      <c r="S526" s="880">
        <v>788</v>
      </c>
      <c r="T526" s="881">
        <v>0.11912512366989729</v>
      </c>
      <c r="U526" s="880">
        <v>148.24305900993019</v>
      </c>
      <c r="V526" s="880">
        <v>790</v>
      </c>
      <c r="W526" s="881">
        <v>0.18764944178472176</v>
      </c>
      <c r="X526" s="880">
        <v>159.26032758963069</v>
      </c>
      <c r="Y526" s="880">
        <v>766</v>
      </c>
      <c r="Z526" s="881">
        <v>0.20791165481675025</v>
      </c>
      <c r="AA526" s="880">
        <v>140.82592264738119</v>
      </c>
      <c r="AB526" s="880">
        <v>713</v>
      </c>
      <c r="AC526" s="881">
        <v>0.1975118129696791</v>
      </c>
      <c r="AD526" s="880">
        <v>115.11855982000166</v>
      </c>
      <c r="AE526" s="880">
        <v>680</v>
      </c>
      <c r="AF526" s="881">
        <v>0.16929199973529657</v>
      </c>
      <c r="AG526" s="880">
        <v>125.74822690118573</v>
      </c>
      <c r="AH526" s="880">
        <v>665</v>
      </c>
      <c r="AI526" s="881">
        <v>0.18909507804689585</v>
      </c>
    </row>
    <row r="527" spans="2:35" x14ac:dyDescent="0.2">
      <c r="B527" s="867">
        <v>108701000</v>
      </c>
      <c r="C527" s="876" t="s">
        <v>1448</v>
      </c>
      <c r="D527" s="877" t="s">
        <v>1448</v>
      </c>
      <c r="E527" s="877" t="s">
        <v>1448</v>
      </c>
      <c r="F527" s="877" t="s">
        <v>1448</v>
      </c>
      <c r="G527" s="877" t="s">
        <v>1448</v>
      </c>
      <c r="H527" s="877" t="s">
        <v>1448</v>
      </c>
      <c r="I527" s="877" t="s">
        <v>1448</v>
      </c>
      <c r="J527" s="878" t="s">
        <v>1448</v>
      </c>
      <c r="K527" s="877"/>
      <c r="L527" s="879">
        <v>4</v>
      </c>
      <c r="M527" s="880">
        <v>215</v>
      </c>
      <c r="N527" s="881">
        <v>1.84E-2</v>
      </c>
      <c r="O527" s="880">
        <v>5.1463255012131279</v>
      </c>
      <c r="P527" s="880">
        <v>243</v>
      </c>
      <c r="Q527" s="881">
        <v>2.1178294243675424E-2</v>
      </c>
      <c r="R527" s="880">
        <v>5.4156113914545614</v>
      </c>
      <c r="S527" s="880">
        <v>226</v>
      </c>
      <c r="T527" s="881">
        <v>2.396288226307328E-2</v>
      </c>
      <c r="U527" s="880">
        <v>4.9180161756848877</v>
      </c>
      <c r="V527" s="880">
        <v>208</v>
      </c>
      <c r="W527" s="881">
        <v>2.3644308536946577E-2</v>
      </c>
      <c r="X527" s="880">
        <v>2.856687490396963</v>
      </c>
      <c r="Y527" s="880">
        <v>211</v>
      </c>
      <c r="Z527" s="881">
        <v>1.3538803272023522E-2</v>
      </c>
      <c r="AA527" s="880" t="s">
        <v>1450</v>
      </c>
      <c r="AB527" s="880" t="s">
        <v>1450</v>
      </c>
      <c r="AC527" s="881" t="s">
        <v>1450</v>
      </c>
      <c r="AD527" s="880" t="s">
        <v>1450</v>
      </c>
      <c r="AE527" s="880" t="s">
        <v>1450</v>
      </c>
      <c r="AF527" s="881" t="s">
        <v>1450</v>
      </c>
      <c r="AG527" s="880" t="s">
        <v>1450</v>
      </c>
      <c r="AH527" s="880" t="s">
        <v>1450</v>
      </c>
      <c r="AI527" s="881" t="s">
        <v>1450</v>
      </c>
    </row>
    <row r="528" spans="2:35" x14ac:dyDescent="0.2">
      <c r="B528" s="867">
        <v>108702000</v>
      </c>
      <c r="C528" s="876" t="s">
        <v>1447</v>
      </c>
      <c r="D528" s="877" t="s">
        <v>1447</v>
      </c>
      <c r="E528" s="877" t="s">
        <v>1447</v>
      </c>
      <c r="F528" s="877" t="s">
        <v>1447</v>
      </c>
      <c r="G528" s="877" t="s">
        <v>1447</v>
      </c>
      <c r="H528" s="877" t="s">
        <v>1448</v>
      </c>
      <c r="I528" s="877" t="s">
        <v>1448</v>
      </c>
      <c r="J528" s="878" t="s">
        <v>1448</v>
      </c>
      <c r="K528" s="877"/>
      <c r="L528" s="879">
        <v>60</v>
      </c>
      <c r="M528" s="880">
        <v>182</v>
      </c>
      <c r="N528" s="881">
        <v>0.32700000000000001</v>
      </c>
      <c r="O528" s="880">
        <v>78.910324351934619</v>
      </c>
      <c r="P528" s="880">
        <v>173</v>
      </c>
      <c r="Q528" s="881">
        <v>0.45612904249673192</v>
      </c>
      <c r="R528" s="880">
        <v>70.402948088909298</v>
      </c>
      <c r="S528" s="880">
        <v>144</v>
      </c>
      <c r="T528" s="881">
        <v>0.48890936172853677</v>
      </c>
      <c r="U528" s="880">
        <v>72.3650951565062</v>
      </c>
      <c r="V528" s="880">
        <v>138</v>
      </c>
      <c r="W528" s="881">
        <v>0.52438474751091446</v>
      </c>
      <c r="X528" s="880">
        <v>51.420374827145338</v>
      </c>
      <c r="Y528" s="880">
        <v>100</v>
      </c>
      <c r="Z528" s="881">
        <v>0.51420374827145343</v>
      </c>
      <c r="AA528" s="880" t="s">
        <v>1450</v>
      </c>
      <c r="AB528" s="880" t="s">
        <v>1450</v>
      </c>
      <c r="AC528" s="881" t="s">
        <v>1450</v>
      </c>
      <c r="AD528" s="880" t="s">
        <v>1450</v>
      </c>
      <c r="AE528" s="880" t="s">
        <v>1450</v>
      </c>
      <c r="AF528" s="881" t="s">
        <v>1450</v>
      </c>
      <c r="AG528" s="880" t="s">
        <v>1450</v>
      </c>
      <c r="AH528" s="880" t="s">
        <v>1450</v>
      </c>
      <c r="AI528" s="881" t="s">
        <v>1450</v>
      </c>
    </row>
    <row r="529" spans="2:35" x14ac:dyDescent="0.2">
      <c r="B529" s="867">
        <v>108705000</v>
      </c>
      <c r="C529" s="876" t="s">
        <v>1447</v>
      </c>
      <c r="D529" s="877" t="s">
        <v>1447</v>
      </c>
      <c r="E529" s="877" t="s">
        <v>1447</v>
      </c>
      <c r="F529" s="877" t="s">
        <v>1447</v>
      </c>
      <c r="G529" s="877" t="s">
        <v>1447</v>
      </c>
      <c r="H529" s="877" t="s">
        <v>1448</v>
      </c>
      <c r="I529" s="877" t="s">
        <v>1448</v>
      </c>
      <c r="J529" s="878" t="s">
        <v>1448</v>
      </c>
      <c r="K529" s="877"/>
      <c r="L529" s="879">
        <v>10</v>
      </c>
      <c r="M529" s="880">
        <v>41</v>
      </c>
      <c r="N529" s="881">
        <v>0.23319999999999999</v>
      </c>
      <c r="O529" s="880">
        <v>13.723534669901674</v>
      </c>
      <c r="P529" s="880">
        <v>34</v>
      </c>
      <c r="Q529" s="881">
        <v>0.40363337264416688</v>
      </c>
      <c r="R529" s="880">
        <v>10.229488183858617</v>
      </c>
      <c r="S529" s="880">
        <v>31</v>
      </c>
      <c r="T529" s="881">
        <v>0.32998348980189085</v>
      </c>
      <c r="U529" s="880">
        <v>14.754048527054664</v>
      </c>
      <c r="V529" s="880">
        <v>27</v>
      </c>
      <c r="W529" s="881">
        <v>0.54644624174276535</v>
      </c>
      <c r="X529" s="880">
        <v>13.569265579385574</v>
      </c>
      <c r="Y529" s="880">
        <v>32</v>
      </c>
      <c r="Z529" s="881">
        <v>0.42403954935579918</v>
      </c>
      <c r="AA529" s="880" t="s">
        <v>1450</v>
      </c>
      <c r="AB529" s="880" t="s">
        <v>1450</v>
      </c>
      <c r="AC529" s="881" t="s">
        <v>1450</v>
      </c>
      <c r="AD529" s="880" t="s">
        <v>1450</v>
      </c>
      <c r="AE529" s="880" t="s">
        <v>1450</v>
      </c>
      <c r="AF529" s="881" t="s">
        <v>1450</v>
      </c>
      <c r="AG529" s="880" t="s">
        <v>1450</v>
      </c>
      <c r="AH529" s="880" t="s">
        <v>1450</v>
      </c>
      <c r="AI529" s="881" t="s">
        <v>1450</v>
      </c>
    </row>
    <row r="530" spans="2:35" x14ac:dyDescent="0.2">
      <c r="B530" s="867">
        <v>108706000</v>
      </c>
      <c r="C530" s="876" t="s">
        <v>1447</v>
      </c>
      <c r="D530" s="877" t="s">
        <v>1447</v>
      </c>
      <c r="E530" s="877" t="s">
        <v>1447</v>
      </c>
      <c r="F530" s="877" t="s">
        <v>1447</v>
      </c>
      <c r="G530" s="877" t="s">
        <v>1447</v>
      </c>
      <c r="H530" s="877" t="s">
        <v>1447</v>
      </c>
      <c r="I530" s="877" t="s">
        <v>1447</v>
      </c>
      <c r="J530" s="878" t="s">
        <v>1447</v>
      </c>
      <c r="K530" s="877"/>
      <c r="L530" s="879">
        <v>47</v>
      </c>
      <c r="M530" s="880">
        <v>202</v>
      </c>
      <c r="N530" s="881">
        <v>0.23250000000000001</v>
      </c>
      <c r="O530" s="880">
        <v>33.165208785595709</v>
      </c>
      <c r="P530" s="880">
        <v>106</v>
      </c>
      <c r="Q530" s="881">
        <v>0.31287932816599728</v>
      </c>
      <c r="R530" s="880">
        <v>42.12142193353548</v>
      </c>
      <c r="S530" s="880">
        <v>120</v>
      </c>
      <c r="T530" s="881">
        <v>0.35101184944612901</v>
      </c>
      <c r="U530" s="880">
        <v>52.693030453766653</v>
      </c>
      <c r="V530" s="880">
        <v>118</v>
      </c>
      <c r="W530" s="881">
        <v>0.44655110554039534</v>
      </c>
      <c r="X530" s="880">
        <v>27.852703031370389</v>
      </c>
      <c r="Y530" s="880">
        <v>90</v>
      </c>
      <c r="Z530" s="881">
        <v>0.30947447812633766</v>
      </c>
      <c r="AA530" s="880">
        <v>29.41697050856407</v>
      </c>
      <c r="AB530" s="880">
        <v>87</v>
      </c>
      <c r="AC530" s="881">
        <v>0.33812609779958702</v>
      </c>
      <c r="AD530" s="880">
        <v>12.957067339047807</v>
      </c>
      <c r="AE530" s="880">
        <v>29</v>
      </c>
      <c r="AF530" s="881">
        <v>0.44679542548440715</v>
      </c>
      <c r="AG530" s="880">
        <v>41.733036002140246</v>
      </c>
      <c r="AH530" s="880">
        <v>77</v>
      </c>
      <c r="AI530" s="881">
        <v>0.54198748054727597</v>
      </c>
    </row>
    <row r="531" spans="2:35" x14ac:dyDescent="0.2">
      <c r="B531" s="867">
        <v>108707000</v>
      </c>
      <c r="C531" s="876" t="s">
        <v>1447</v>
      </c>
      <c r="D531" s="877" t="s">
        <v>1447</v>
      </c>
      <c r="E531" s="877" t="s">
        <v>1447</v>
      </c>
      <c r="F531" s="877" t="s">
        <v>1447</v>
      </c>
      <c r="G531" s="877" t="s">
        <v>1447</v>
      </c>
      <c r="H531" s="877" t="s">
        <v>1447</v>
      </c>
      <c r="I531" s="877" t="s">
        <v>1447</v>
      </c>
      <c r="J531" s="878" t="s">
        <v>1447</v>
      </c>
      <c r="K531" s="877"/>
      <c r="L531" s="879">
        <v>45</v>
      </c>
      <c r="M531" s="880">
        <v>138</v>
      </c>
      <c r="N531" s="881">
        <v>0.32840000000000003</v>
      </c>
      <c r="O531" s="880">
        <v>62.327719959136765</v>
      </c>
      <c r="P531" s="880">
        <v>122</v>
      </c>
      <c r="Q531" s="881">
        <v>0.51088295048472754</v>
      </c>
      <c r="R531" s="880">
        <v>69.199478890808294</v>
      </c>
      <c r="S531" s="880">
        <v>151</v>
      </c>
      <c r="T531" s="881">
        <v>0.45827469464111453</v>
      </c>
      <c r="U531" s="880">
        <v>82.201127507875981</v>
      </c>
      <c r="V531" s="880">
        <v>121</v>
      </c>
      <c r="W531" s="881">
        <v>0.6793481612221155</v>
      </c>
      <c r="X531" s="880">
        <v>79.987249731114957</v>
      </c>
      <c r="Y531" s="880">
        <v>125</v>
      </c>
      <c r="Z531" s="881">
        <v>0.63989799784891965</v>
      </c>
      <c r="AA531" s="880">
        <v>89.502697504780045</v>
      </c>
      <c r="AB531" s="880">
        <v>144</v>
      </c>
      <c r="AC531" s="881">
        <v>0.62154651044986142</v>
      </c>
      <c r="AD531" s="880">
        <v>76.745706546667776</v>
      </c>
      <c r="AE531" s="880">
        <v>159</v>
      </c>
      <c r="AF531" s="881">
        <v>0.48267739966457723</v>
      </c>
      <c r="AG531" s="880">
        <v>86.211666478105499</v>
      </c>
      <c r="AH531" s="880">
        <v>161</v>
      </c>
      <c r="AI531" s="881">
        <v>0.53547618930500307</v>
      </c>
    </row>
    <row r="532" spans="2:35" x14ac:dyDescent="0.2">
      <c r="B532" s="867">
        <v>108708000</v>
      </c>
      <c r="C532" s="876" t="s">
        <v>1448</v>
      </c>
      <c r="D532" s="877" t="s">
        <v>1448</v>
      </c>
      <c r="E532" s="877" t="s">
        <v>1447</v>
      </c>
      <c r="F532" s="877" t="s">
        <v>1447</v>
      </c>
      <c r="G532" s="877" t="s">
        <v>1448</v>
      </c>
      <c r="H532" s="877" t="s">
        <v>1447</v>
      </c>
      <c r="I532" s="877" t="s">
        <v>1448</v>
      </c>
      <c r="J532" s="878" t="s">
        <v>1448</v>
      </c>
      <c r="K532" s="877"/>
      <c r="L532" s="879">
        <v>2</v>
      </c>
      <c r="M532" s="880">
        <v>118</v>
      </c>
      <c r="N532" s="881">
        <v>1.6199999999999999E-2</v>
      </c>
      <c r="O532" s="880" t="s">
        <v>1450</v>
      </c>
      <c r="P532" s="880" t="s">
        <v>1450</v>
      </c>
      <c r="Q532" s="881" t="s">
        <v>1450</v>
      </c>
      <c r="R532" s="880">
        <v>33.697137546828387</v>
      </c>
      <c r="S532" s="880">
        <v>171</v>
      </c>
      <c r="T532" s="881">
        <v>0.19705928389958122</v>
      </c>
      <c r="U532" s="880">
        <v>19.672064702739551</v>
      </c>
      <c r="V532" s="880">
        <v>71</v>
      </c>
      <c r="W532" s="881">
        <v>0.27707133384140215</v>
      </c>
      <c r="X532" s="880">
        <v>0</v>
      </c>
      <c r="Y532" s="880">
        <v>37</v>
      </c>
      <c r="Z532" s="881">
        <v>0</v>
      </c>
      <c r="AA532" s="880">
        <v>17.525003707229658</v>
      </c>
      <c r="AB532" s="880">
        <v>35</v>
      </c>
      <c r="AC532" s="881">
        <v>0.50071439163513309</v>
      </c>
      <c r="AD532" s="880" t="s">
        <v>1450</v>
      </c>
      <c r="AE532" s="880" t="s">
        <v>1450</v>
      </c>
      <c r="AF532" s="881" t="s">
        <v>1450</v>
      </c>
      <c r="AG532" s="880" t="s">
        <v>1450</v>
      </c>
      <c r="AH532" s="880" t="s">
        <v>1450</v>
      </c>
      <c r="AI532" s="881" t="s">
        <v>1450</v>
      </c>
    </row>
    <row r="533" spans="2:35" x14ac:dyDescent="0.2">
      <c r="B533" s="867">
        <v>108709000</v>
      </c>
      <c r="C533" s="876" t="s">
        <v>1447</v>
      </c>
      <c r="D533" s="877" t="s">
        <v>1447</v>
      </c>
      <c r="E533" s="877" t="s">
        <v>1447</v>
      </c>
      <c r="F533" s="877" t="s">
        <v>1447</v>
      </c>
      <c r="G533" s="877" t="s">
        <v>1447</v>
      </c>
      <c r="H533" s="877" t="s">
        <v>1447</v>
      </c>
      <c r="I533" s="877" t="s">
        <v>1447</v>
      </c>
      <c r="J533" s="878" t="s">
        <v>1447</v>
      </c>
      <c r="K533" s="877"/>
      <c r="L533" s="879">
        <v>312</v>
      </c>
      <c r="M533" s="880">
        <v>1150</v>
      </c>
      <c r="N533" s="881">
        <v>0.27160000000000001</v>
      </c>
      <c r="O533" s="880">
        <v>536.36148001532376</v>
      </c>
      <c r="P533" s="880">
        <v>1481</v>
      </c>
      <c r="Q533" s="881">
        <v>0.36216170156335165</v>
      </c>
      <c r="R533" s="880">
        <v>552.39236192836529</v>
      </c>
      <c r="S533" s="880">
        <v>1480</v>
      </c>
      <c r="T533" s="881">
        <v>0.37323808238403061</v>
      </c>
      <c r="U533" s="880">
        <v>734.18955765581541</v>
      </c>
      <c r="V533" s="880">
        <v>1550</v>
      </c>
      <c r="W533" s="881">
        <v>0.47367068235859061</v>
      </c>
      <c r="X533" s="880">
        <v>827.72520034252</v>
      </c>
      <c r="Y533" s="880">
        <v>1763</v>
      </c>
      <c r="Z533" s="881">
        <v>0.46949812838486671</v>
      </c>
      <c r="AA533" s="880">
        <v>706.00729220553762</v>
      </c>
      <c r="AB533" s="880">
        <v>1957</v>
      </c>
      <c r="AC533" s="881">
        <v>0.3607599857974132</v>
      </c>
      <c r="AD533" s="880">
        <v>729.5825609371534</v>
      </c>
      <c r="AE533" s="880">
        <v>1951</v>
      </c>
      <c r="AF533" s="881">
        <v>0.37395313220766446</v>
      </c>
      <c r="AG533" s="880">
        <v>877.49199383447512</v>
      </c>
      <c r="AH533" s="880">
        <v>2031</v>
      </c>
      <c r="AI533" s="881">
        <v>0.43204923379343924</v>
      </c>
    </row>
    <row r="534" spans="2:35" x14ac:dyDescent="0.2">
      <c r="B534" s="867">
        <v>108710000</v>
      </c>
      <c r="C534" s="876" t="s">
        <v>1447</v>
      </c>
      <c r="D534" s="877" t="s">
        <v>1447</v>
      </c>
      <c r="E534" s="877" t="s">
        <v>1447</v>
      </c>
      <c r="F534" s="877" t="s">
        <v>1447</v>
      </c>
      <c r="G534" s="877" t="s">
        <v>1447</v>
      </c>
      <c r="H534" s="877" t="s">
        <v>1448</v>
      </c>
      <c r="I534" s="877" t="s">
        <v>1448</v>
      </c>
      <c r="J534" s="878" t="s">
        <v>1448</v>
      </c>
      <c r="K534" s="877"/>
      <c r="L534" s="879">
        <v>13</v>
      </c>
      <c r="M534" s="880">
        <v>60</v>
      </c>
      <c r="N534" s="881">
        <v>0.2185</v>
      </c>
      <c r="O534" s="880">
        <v>18.298046226535565</v>
      </c>
      <c r="P534" s="880">
        <v>65</v>
      </c>
      <c r="Q534" s="881">
        <v>0.28150840348516254</v>
      </c>
      <c r="R534" s="880">
        <v>14.441630377212164</v>
      </c>
      <c r="S534" s="880">
        <v>62</v>
      </c>
      <c r="T534" s="881">
        <v>0.23292952221309943</v>
      </c>
      <c r="U534" s="880">
        <v>25.99522835719155</v>
      </c>
      <c r="V534" s="880">
        <v>59</v>
      </c>
      <c r="W534" s="881">
        <v>0.44059709079985676</v>
      </c>
      <c r="X534" s="880">
        <v>10.712578088988611</v>
      </c>
      <c r="Y534" s="880">
        <v>29</v>
      </c>
      <c r="Z534" s="881">
        <v>0.36939924444788313</v>
      </c>
      <c r="AA534" s="880" t="s">
        <v>1450</v>
      </c>
      <c r="AB534" s="880" t="s">
        <v>1450</v>
      </c>
      <c r="AC534" s="881" t="s">
        <v>1450</v>
      </c>
      <c r="AD534" s="880" t="s">
        <v>1450</v>
      </c>
      <c r="AE534" s="880" t="s">
        <v>1450</v>
      </c>
      <c r="AF534" s="881" t="s">
        <v>1450</v>
      </c>
      <c r="AG534" s="880" t="s">
        <v>1450</v>
      </c>
      <c r="AH534" s="880" t="s">
        <v>1450</v>
      </c>
      <c r="AI534" s="881" t="s">
        <v>1450</v>
      </c>
    </row>
    <row r="535" spans="2:35" x14ac:dyDescent="0.2">
      <c r="B535" s="867">
        <v>108711000</v>
      </c>
      <c r="C535" s="876" t="s">
        <v>1447</v>
      </c>
      <c r="D535" s="877" t="s">
        <v>1447</v>
      </c>
      <c r="E535" s="877" t="s">
        <v>1447</v>
      </c>
      <c r="F535" s="877" t="s">
        <v>1447</v>
      </c>
      <c r="G535" s="877" t="s">
        <v>1447</v>
      </c>
      <c r="H535" s="877" t="s">
        <v>1447</v>
      </c>
      <c r="I535" s="877" t="s">
        <v>1447</v>
      </c>
      <c r="J535" s="878" t="s">
        <v>1447</v>
      </c>
      <c r="K535" s="877"/>
      <c r="L535" s="879">
        <v>54</v>
      </c>
      <c r="M535" s="880">
        <v>124</v>
      </c>
      <c r="N535" s="881">
        <v>0.43380000000000002</v>
      </c>
      <c r="O535" s="880">
        <v>61.755906014557532</v>
      </c>
      <c r="P535" s="880">
        <v>108</v>
      </c>
      <c r="Q535" s="881">
        <v>0.5718139445792364</v>
      </c>
      <c r="R535" s="880">
        <v>64.385602098404235</v>
      </c>
      <c r="S535" s="880">
        <v>124</v>
      </c>
      <c r="T535" s="881">
        <v>0.51923872660003412</v>
      </c>
      <c r="U535" s="880">
        <v>116.62724073767019</v>
      </c>
      <c r="V535" s="880">
        <v>159</v>
      </c>
      <c r="W535" s="881">
        <v>0.73350465872748549</v>
      </c>
      <c r="X535" s="880">
        <v>142.1202026472489</v>
      </c>
      <c r="Y535" s="880">
        <v>180</v>
      </c>
      <c r="Z535" s="881">
        <v>0.78955668137360502</v>
      </c>
      <c r="AA535" s="880">
        <v>120.17145399243194</v>
      </c>
      <c r="AB535" s="880">
        <v>181</v>
      </c>
      <c r="AC535" s="881">
        <v>0.66393068504106045</v>
      </c>
      <c r="AD535" s="880">
        <v>73.755614083810599</v>
      </c>
      <c r="AE535" s="880">
        <v>176</v>
      </c>
      <c r="AF535" s="881">
        <v>0.41906598911256021</v>
      </c>
      <c r="AG535" s="880">
        <v>77.97488305663046</v>
      </c>
      <c r="AH535" s="880">
        <v>147</v>
      </c>
      <c r="AI535" s="881">
        <v>0.5304413813376222</v>
      </c>
    </row>
    <row r="536" spans="2:35" x14ac:dyDescent="0.2">
      <c r="B536" s="867">
        <v>108712000</v>
      </c>
      <c r="C536" s="876" t="s">
        <v>1447</v>
      </c>
      <c r="D536" s="877" t="s">
        <v>1447</v>
      </c>
      <c r="E536" s="877" t="s">
        <v>1448</v>
      </c>
      <c r="F536" s="877" t="s">
        <v>1448</v>
      </c>
      <c r="G536" s="877" t="s">
        <v>1448</v>
      </c>
      <c r="H536" s="877" t="s">
        <v>1448</v>
      </c>
      <c r="I536" s="877" t="s">
        <v>1448</v>
      </c>
      <c r="J536" s="878" t="s">
        <v>1448</v>
      </c>
      <c r="K536" s="877"/>
      <c r="L536" s="879">
        <v>32</v>
      </c>
      <c r="M536" s="880">
        <v>170</v>
      </c>
      <c r="N536" s="881">
        <v>0.18709999999999999</v>
      </c>
      <c r="O536" s="880">
        <v>33.737022730174949</v>
      </c>
      <c r="P536" s="880">
        <v>122</v>
      </c>
      <c r="Q536" s="881">
        <v>0.27653297319815534</v>
      </c>
      <c r="R536" s="880" t="s">
        <v>1450</v>
      </c>
      <c r="S536" s="880" t="s">
        <v>1450</v>
      </c>
      <c r="T536" s="881" t="s">
        <v>1450</v>
      </c>
      <c r="U536" s="880" t="s">
        <v>1450</v>
      </c>
      <c r="V536" s="880" t="s">
        <v>1450</v>
      </c>
      <c r="W536" s="881" t="s">
        <v>1450</v>
      </c>
      <c r="X536" s="880" t="s">
        <v>1450</v>
      </c>
      <c r="Y536" s="880" t="s">
        <v>1450</v>
      </c>
      <c r="Z536" s="881" t="s">
        <v>1450</v>
      </c>
      <c r="AA536" s="880" t="s">
        <v>1450</v>
      </c>
      <c r="AB536" s="880" t="s">
        <v>1450</v>
      </c>
      <c r="AC536" s="881" t="s">
        <v>1450</v>
      </c>
      <c r="AD536" s="880" t="s">
        <v>1450</v>
      </c>
      <c r="AE536" s="880" t="s">
        <v>1450</v>
      </c>
      <c r="AF536" s="881" t="s">
        <v>1450</v>
      </c>
      <c r="AG536" s="880" t="s">
        <v>1450</v>
      </c>
      <c r="AH536" s="880" t="s">
        <v>1450</v>
      </c>
      <c r="AI536" s="881" t="s">
        <v>1450</v>
      </c>
    </row>
    <row r="537" spans="2:35" x14ac:dyDescent="0.2">
      <c r="B537" s="867">
        <v>108713000</v>
      </c>
      <c r="C537" s="876" t="s">
        <v>1447</v>
      </c>
      <c r="D537" s="877" t="s">
        <v>1447</v>
      </c>
      <c r="E537" s="877" t="s">
        <v>1447</v>
      </c>
      <c r="F537" s="877" t="s">
        <v>1447</v>
      </c>
      <c r="G537" s="877" t="s">
        <v>1447</v>
      </c>
      <c r="H537" s="877" t="s">
        <v>1447</v>
      </c>
      <c r="I537" s="877" t="s">
        <v>1447</v>
      </c>
      <c r="J537" s="878" t="s">
        <v>1447</v>
      </c>
      <c r="K537" s="877"/>
      <c r="L537" s="879">
        <v>68</v>
      </c>
      <c r="M537" s="880">
        <v>255</v>
      </c>
      <c r="N537" s="881">
        <v>0.26829999999999998</v>
      </c>
      <c r="O537" s="880">
        <v>107.50102158089645</v>
      </c>
      <c r="P537" s="880">
        <v>296</v>
      </c>
      <c r="Q537" s="881">
        <v>0.363179126962488</v>
      </c>
      <c r="R537" s="880">
        <v>108.91396242814174</v>
      </c>
      <c r="S537" s="880">
        <v>281</v>
      </c>
      <c r="T537" s="881">
        <v>0.38759417234214144</v>
      </c>
      <c r="U537" s="880">
        <v>151.75592770684796</v>
      </c>
      <c r="V537" s="880">
        <v>330</v>
      </c>
      <c r="W537" s="881">
        <v>0.45986644759650896</v>
      </c>
      <c r="X537" s="880">
        <v>172.82959316901625</v>
      </c>
      <c r="Y537" s="880">
        <v>405</v>
      </c>
      <c r="Z537" s="881">
        <v>0.42673973621979322</v>
      </c>
      <c r="AA537" s="880">
        <v>183.3866459363675</v>
      </c>
      <c r="AB537" s="880">
        <v>376</v>
      </c>
      <c r="AC537" s="881">
        <v>0.48773044132012633</v>
      </c>
      <c r="AD537" s="880">
        <v>151.99636686190698</v>
      </c>
      <c r="AE537" s="880">
        <v>412</v>
      </c>
      <c r="AF537" s="881">
        <v>0.36892322053860915</v>
      </c>
      <c r="AG537" s="880">
        <v>177.91452190386104</v>
      </c>
      <c r="AH537" s="880">
        <v>425</v>
      </c>
      <c r="AI537" s="881">
        <v>0.41862240447967303</v>
      </c>
    </row>
    <row r="538" spans="2:35" x14ac:dyDescent="0.2">
      <c r="B538" s="867">
        <v>108714000</v>
      </c>
      <c r="C538" s="876" t="s">
        <v>1447</v>
      </c>
      <c r="D538" s="877" t="s">
        <v>1447</v>
      </c>
      <c r="E538" s="877" t="s">
        <v>1447</v>
      </c>
      <c r="F538" s="877" t="s">
        <v>1447</v>
      </c>
      <c r="G538" s="877" t="s">
        <v>1447</v>
      </c>
      <c r="H538" s="877" t="s">
        <v>1447</v>
      </c>
      <c r="I538" s="877" t="s">
        <v>1447</v>
      </c>
      <c r="J538" s="878" t="s">
        <v>1447</v>
      </c>
      <c r="K538" s="877"/>
      <c r="L538" s="879">
        <v>100</v>
      </c>
      <c r="M538" s="880">
        <v>251</v>
      </c>
      <c r="N538" s="881">
        <v>0.39650000000000002</v>
      </c>
      <c r="O538" s="880">
        <v>154.96157898097306</v>
      </c>
      <c r="P538" s="880">
        <v>342</v>
      </c>
      <c r="Q538" s="881">
        <v>0.45310403210810835</v>
      </c>
      <c r="R538" s="880">
        <v>166.07874933793988</v>
      </c>
      <c r="S538" s="880">
        <v>358</v>
      </c>
      <c r="T538" s="881">
        <v>0.46390712105569798</v>
      </c>
      <c r="U538" s="880">
        <v>197.42322076677905</v>
      </c>
      <c r="V538" s="880">
        <v>412</v>
      </c>
      <c r="W538" s="881">
        <v>0.47918257467664821</v>
      </c>
      <c r="X538" s="880">
        <v>192.82640560179502</v>
      </c>
      <c r="Y538" s="880">
        <v>431</v>
      </c>
      <c r="Z538" s="881">
        <v>0.44739305244035965</v>
      </c>
      <c r="AA538" s="880">
        <v>233.4580850998808</v>
      </c>
      <c r="AB538" s="880">
        <v>491</v>
      </c>
      <c r="AC538" s="881">
        <v>0.47547471507104033</v>
      </c>
      <c r="AD538" s="880">
        <v>200.83454375524101</v>
      </c>
      <c r="AE538" s="880">
        <v>520</v>
      </c>
      <c r="AF538" s="881">
        <v>0.38622027645238655</v>
      </c>
      <c r="AG538" s="880">
        <v>236.12112474895139</v>
      </c>
      <c r="AH538" s="880">
        <v>518</v>
      </c>
      <c r="AI538" s="881">
        <v>0.45583228716013779</v>
      </c>
    </row>
    <row r="539" spans="2:35" x14ac:dyDescent="0.2">
      <c r="B539" s="867">
        <v>108716000</v>
      </c>
      <c r="C539" s="876" t="s">
        <v>1448</v>
      </c>
      <c r="D539" s="877" t="s">
        <v>1447</v>
      </c>
      <c r="E539" s="877" t="s">
        <v>1447</v>
      </c>
      <c r="F539" s="877" t="s">
        <v>1447</v>
      </c>
      <c r="G539" s="877" t="s">
        <v>1447</v>
      </c>
      <c r="H539" s="877" t="s">
        <v>1448</v>
      </c>
      <c r="I539" s="877" t="s">
        <v>1448</v>
      </c>
      <c r="J539" s="878" t="s">
        <v>1448</v>
      </c>
      <c r="K539" s="877"/>
      <c r="L539" s="879" t="s">
        <v>1450</v>
      </c>
      <c r="M539" s="880" t="s">
        <v>1450</v>
      </c>
      <c r="N539" s="881" t="s">
        <v>1450</v>
      </c>
      <c r="O539" s="880">
        <v>27.447069339803349</v>
      </c>
      <c r="P539" s="880">
        <v>59</v>
      </c>
      <c r="Q539" s="881">
        <v>0.46520456508141267</v>
      </c>
      <c r="R539" s="880">
        <v>27.679791556323316</v>
      </c>
      <c r="S539" s="880">
        <v>53</v>
      </c>
      <c r="T539" s="881">
        <v>0.52226021804383616</v>
      </c>
      <c r="U539" s="880">
        <v>23.887507139040885</v>
      </c>
      <c r="V539" s="880">
        <v>76</v>
      </c>
      <c r="W539" s="881">
        <v>0.31430930446106425</v>
      </c>
      <c r="X539" s="880">
        <v>17.140124942381778</v>
      </c>
      <c r="Y539" s="880">
        <v>102</v>
      </c>
      <c r="Z539" s="881">
        <v>0.16804044061158607</v>
      </c>
      <c r="AA539" s="880" t="s">
        <v>1450</v>
      </c>
      <c r="AB539" s="880" t="s">
        <v>1450</v>
      </c>
      <c r="AC539" s="881" t="s">
        <v>1450</v>
      </c>
      <c r="AD539" s="880" t="s">
        <v>1450</v>
      </c>
      <c r="AE539" s="880" t="s">
        <v>1450</v>
      </c>
      <c r="AF539" s="881" t="s">
        <v>1450</v>
      </c>
      <c r="AG539" s="880" t="s">
        <v>1450</v>
      </c>
      <c r="AH539" s="880" t="s">
        <v>1450</v>
      </c>
      <c r="AI539" s="881" t="s">
        <v>1450</v>
      </c>
    </row>
    <row r="540" spans="2:35" x14ac:dyDescent="0.2">
      <c r="B540" s="867">
        <v>108719000</v>
      </c>
      <c r="C540" s="876" t="s">
        <v>1448</v>
      </c>
      <c r="D540" s="877" t="s">
        <v>1448</v>
      </c>
      <c r="E540" s="877" t="s">
        <v>1448</v>
      </c>
      <c r="F540" s="877" t="s">
        <v>1448</v>
      </c>
      <c r="G540" s="877" t="s">
        <v>1448</v>
      </c>
      <c r="H540" s="877" t="s">
        <v>1448</v>
      </c>
      <c r="I540" s="877" t="s">
        <v>1448</v>
      </c>
      <c r="J540" s="878" t="s">
        <v>1448</v>
      </c>
      <c r="K540" s="877"/>
      <c r="L540" s="879">
        <v>0</v>
      </c>
      <c r="M540" s="880">
        <v>156</v>
      </c>
      <c r="N540" s="881">
        <v>0</v>
      </c>
      <c r="O540" s="880">
        <v>1.1436278891584728</v>
      </c>
      <c r="P540" s="880">
        <v>168</v>
      </c>
      <c r="Q540" s="881">
        <v>6.8073088640385289E-3</v>
      </c>
      <c r="R540" s="880">
        <v>0</v>
      </c>
      <c r="S540" s="880">
        <v>163</v>
      </c>
      <c r="T540" s="881">
        <v>0</v>
      </c>
      <c r="U540" s="880">
        <v>0</v>
      </c>
      <c r="V540" s="880">
        <v>172</v>
      </c>
      <c r="W540" s="881">
        <v>0</v>
      </c>
      <c r="X540" s="880">
        <v>0</v>
      </c>
      <c r="Y540" s="880">
        <v>167</v>
      </c>
      <c r="Z540" s="881">
        <v>0</v>
      </c>
      <c r="AA540" s="880" t="s">
        <v>1450</v>
      </c>
      <c r="AB540" s="880" t="s">
        <v>1450</v>
      </c>
      <c r="AC540" s="881" t="s">
        <v>1450</v>
      </c>
      <c r="AD540" s="880" t="s">
        <v>1450</v>
      </c>
      <c r="AE540" s="880" t="s">
        <v>1450</v>
      </c>
      <c r="AF540" s="881" t="s">
        <v>1450</v>
      </c>
      <c r="AG540" s="880" t="s">
        <v>1450</v>
      </c>
      <c r="AH540" s="880" t="s">
        <v>1450</v>
      </c>
      <c r="AI540" s="881" t="s">
        <v>1450</v>
      </c>
    </row>
    <row r="541" spans="2:35" x14ac:dyDescent="0.2">
      <c r="B541" s="867">
        <v>108720000</v>
      </c>
      <c r="C541" s="876" t="s">
        <v>1447</v>
      </c>
      <c r="D541" s="877" t="s">
        <v>1447</v>
      </c>
      <c r="E541" s="877" t="s">
        <v>1447</v>
      </c>
      <c r="F541" s="877" t="s">
        <v>1447</v>
      </c>
      <c r="G541" s="877" t="s">
        <v>1447</v>
      </c>
      <c r="H541" s="877" t="s">
        <v>1447</v>
      </c>
      <c r="I541" s="877" t="s">
        <v>1447</v>
      </c>
      <c r="J541" s="878" t="s">
        <v>1447</v>
      </c>
      <c r="K541" s="877"/>
      <c r="L541" s="879">
        <v>34</v>
      </c>
      <c r="M541" s="880">
        <v>175</v>
      </c>
      <c r="N541" s="881">
        <v>0.19389999999999999</v>
      </c>
      <c r="O541" s="880">
        <v>28.590697228961819</v>
      </c>
      <c r="P541" s="880">
        <v>155</v>
      </c>
      <c r="Q541" s="881">
        <v>0.18445611115459237</v>
      </c>
      <c r="R541" s="880">
        <v>44.528360329737509</v>
      </c>
      <c r="S541" s="880">
        <v>160</v>
      </c>
      <c r="T541" s="881">
        <v>0.27830225206085946</v>
      </c>
      <c r="U541" s="880">
        <v>56.205899150684431</v>
      </c>
      <c r="V541" s="880">
        <v>156</v>
      </c>
      <c r="W541" s="881">
        <v>0.36029422532490019</v>
      </c>
      <c r="X541" s="880">
        <v>44.992827973752171</v>
      </c>
      <c r="Y541" s="880">
        <v>142</v>
      </c>
      <c r="Z541" s="881">
        <v>0.31685090122360682</v>
      </c>
      <c r="AA541" s="880">
        <v>40.683044320354561</v>
      </c>
      <c r="AB541" s="880">
        <v>153</v>
      </c>
      <c r="AC541" s="881">
        <v>0.26590225045983373</v>
      </c>
      <c r="AD541" s="880">
        <v>41.36294573619108</v>
      </c>
      <c r="AE541" s="880">
        <v>159</v>
      </c>
      <c r="AF541" s="881">
        <v>0.26014431280623318</v>
      </c>
      <c r="AG541" s="880">
        <v>64.796029582270378</v>
      </c>
      <c r="AH541" s="880">
        <v>319</v>
      </c>
      <c r="AI541" s="881">
        <v>0.20312234978768143</v>
      </c>
    </row>
    <row r="542" spans="2:35" x14ac:dyDescent="0.2">
      <c r="B542" s="867">
        <v>108720001</v>
      </c>
      <c r="C542" s="876" t="s">
        <v>1448</v>
      </c>
      <c r="D542" s="877" t="s">
        <v>1448</v>
      </c>
      <c r="E542" s="877" t="s">
        <v>1448</v>
      </c>
      <c r="F542" s="877" t="s">
        <v>1448</v>
      </c>
      <c r="G542" s="877" t="s">
        <v>1448</v>
      </c>
      <c r="H542" s="877" t="s">
        <v>1448</v>
      </c>
      <c r="I542" s="877" t="s">
        <v>1448</v>
      </c>
      <c r="J542" s="878" t="s">
        <v>1448</v>
      </c>
      <c r="K542" s="877"/>
      <c r="L542" s="879" t="s">
        <v>1450</v>
      </c>
      <c r="M542" s="880" t="s">
        <v>1450</v>
      </c>
      <c r="N542" s="881" t="s">
        <v>1450</v>
      </c>
      <c r="O542" s="880" t="s">
        <v>1450</v>
      </c>
      <c r="P542" s="880" t="s">
        <v>1450</v>
      </c>
      <c r="Q542" s="881" t="s">
        <v>1450</v>
      </c>
      <c r="R542" s="880" t="s">
        <v>1450</v>
      </c>
      <c r="S542" s="880" t="s">
        <v>1450</v>
      </c>
      <c r="T542" s="881" t="s">
        <v>1450</v>
      </c>
      <c r="U542" s="880" t="s">
        <v>1450</v>
      </c>
      <c r="V542" s="880" t="s">
        <v>1450</v>
      </c>
      <c r="W542" s="881" t="s">
        <v>1450</v>
      </c>
      <c r="X542" s="880" t="s">
        <v>1450</v>
      </c>
      <c r="Y542" s="880" t="s">
        <v>1450</v>
      </c>
      <c r="Z542" s="881" t="s">
        <v>1450</v>
      </c>
      <c r="AA542" s="880" t="s">
        <v>1450</v>
      </c>
      <c r="AB542" s="880" t="s">
        <v>1450</v>
      </c>
      <c r="AC542" s="881" t="s">
        <v>1450</v>
      </c>
      <c r="AD542" s="880" t="s">
        <v>1450</v>
      </c>
      <c r="AE542" s="880" t="s">
        <v>1450</v>
      </c>
      <c r="AF542" s="881" t="s">
        <v>1450</v>
      </c>
      <c r="AG542" s="880">
        <v>0</v>
      </c>
      <c r="AH542" s="880">
        <v>0</v>
      </c>
      <c r="AI542" s="881">
        <v>0</v>
      </c>
    </row>
    <row r="543" spans="2:35" x14ac:dyDescent="0.2">
      <c r="B543" s="867">
        <v>108721000</v>
      </c>
      <c r="C543" s="876" t="s">
        <v>1448</v>
      </c>
      <c r="D543" s="877" t="s">
        <v>1448</v>
      </c>
      <c r="E543" s="877" t="s">
        <v>1447</v>
      </c>
      <c r="F543" s="877" t="s">
        <v>1448</v>
      </c>
      <c r="G543" s="877" t="s">
        <v>1448</v>
      </c>
      <c r="H543" s="877" t="s">
        <v>1448</v>
      </c>
      <c r="I543" s="877" t="s">
        <v>1448</v>
      </c>
      <c r="J543" s="878" t="s">
        <v>1448</v>
      </c>
      <c r="K543" s="877"/>
      <c r="L543" s="879">
        <v>0</v>
      </c>
      <c r="M543" s="880">
        <v>49</v>
      </c>
      <c r="N543" s="881">
        <v>0</v>
      </c>
      <c r="O543" s="880">
        <v>1.1436278891584728</v>
      </c>
      <c r="P543" s="880">
        <v>53</v>
      </c>
      <c r="Q543" s="881">
        <v>2.1577884701103261E-2</v>
      </c>
      <c r="R543" s="880">
        <v>31.891933749676863</v>
      </c>
      <c r="S543" s="880">
        <v>65</v>
      </c>
      <c r="T543" s="881">
        <v>0.49064513461041326</v>
      </c>
      <c r="U543" s="880" t="s">
        <v>1450</v>
      </c>
      <c r="V543" s="880" t="s">
        <v>1450</v>
      </c>
      <c r="W543" s="881" t="s">
        <v>1450</v>
      </c>
      <c r="X543" s="880" t="s">
        <v>1450</v>
      </c>
      <c r="Y543" s="880" t="s">
        <v>1450</v>
      </c>
      <c r="Z543" s="881" t="s">
        <v>1450</v>
      </c>
      <c r="AA543" s="880" t="s">
        <v>1450</v>
      </c>
      <c r="AB543" s="880" t="s">
        <v>1450</v>
      </c>
      <c r="AC543" s="881" t="s">
        <v>1450</v>
      </c>
      <c r="AD543" s="880" t="s">
        <v>1450</v>
      </c>
      <c r="AE543" s="880" t="s">
        <v>1450</v>
      </c>
      <c r="AF543" s="881" t="s">
        <v>1450</v>
      </c>
      <c r="AG543" s="880" t="s">
        <v>1450</v>
      </c>
      <c r="AH543" s="880" t="s">
        <v>1450</v>
      </c>
      <c r="AI543" s="881" t="s">
        <v>1450</v>
      </c>
    </row>
    <row r="544" spans="2:35" x14ac:dyDescent="0.2">
      <c r="B544" s="867">
        <v>108722000</v>
      </c>
      <c r="C544" s="876" t="s">
        <v>1448</v>
      </c>
      <c r="D544" s="877" t="s">
        <v>1448</v>
      </c>
      <c r="E544" s="877" t="s">
        <v>1448</v>
      </c>
      <c r="F544" s="877" t="s">
        <v>1448</v>
      </c>
      <c r="G544" s="877" t="s">
        <v>1448</v>
      </c>
      <c r="H544" s="877" t="s">
        <v>1447</v>
      </c>
      <c r="I544" s="877" t="s">
        <v>1447</v>
      </c>
      <c r="J544" s="878" t="s">
        <v>1447</v>
      </c>
      <c r="K544" s="877"/>
      <c r="L544" s="879" t="s">
        <v>1450</v>
      </c>
      <c r="M544" s="880" t="s">
        <v>1450</v>
      </c>
      <c r="N544" s="881" t="s">
        <v>1450</v>
      </c>
      <c r="O544" s="880" t="s">
        <v>1450</v>
      </c>
      <c r="P544" s="880" t="s">
        <v>1450</v>
      </c>
      <c r="Q544" s="881" t="s">
        <v>1450</v>
      </c>
      <c r="R544" s="880" t="s">
        <v>1450</v>
      </c>
      <c r="S544" s="880" t="s">
        <v>1450</v>
      </c>
      <c r="T544" s="881" t="s">
        <v>1450</v>
      </c>
      <c r="U544" s="880" t="s">
        <v>1450</v>
      </c>
      <c r="V544" s="880" t="s">
        <v>1450</v>
      </c>
      <c r="W544" s="881" t="s">
        <v>1450</v>
      </c>
      <c r="X544" s="880" t="s">
        <v>1450</v>
      </c>
      <c r="Y544" s="880" t="s">
        <v>1450</v>
      </c>
      <c r="Z544" s="881" t="s">
        <v>1450</v>
      </c>
      <c r="AA544" s="880">
        <v>309.8170298242386</v>
      </c>
      <c r="AB544" s="880">
        <v>823</v>
      </c>
      <c r="AC544" s="881">
        <v>0.37644839589822432</v>
      </c>
      <c r="AD544" s="880">
        <v>243.19418697905115</v>
      </c>
      <c r="AE544" s="880">
        <v>793</v>
      </c>
      <c r="AF544" s="881">
        <v>0.30667615003663451</v>
      </c>
      <c r="AG544" s="880">
        <v>319.03807785846686</v>
      </c>
      <c r="AH544" s="880">
        <v>888</v>
      </c>
      <c r="AI544" s="881">
        <v>0.35927711470548068</v>
      </c>
    </row>
    <row r="545" spans="2:35" x14ac:dyDescent="0.2">
      <c r="B545" s="867">
        <v>108722001</v>
      </c>
      <c r="C545" s="876" t="s">
        <v>1448</v>
      </c>
      <c r="D545" s="877" t="s">
        <v>1448</v>
      </c>
      <c r="E545" s="877" t="s">
        <v>1448</v>
      </c>
      <c r="F545" s="877" t="s">
        <v>1447</v>
      </c>
      <c r="G545" s="877" t="s">
        <v>1447</v>
      </c>
      <c r="H545" s="877" t="s">
        <v>1448</v>
      </c>
      <c r="I545" s="877" t="s">
        <v>1448</v>
      </c>
      <c r="J545" s="878" t="s">
        <v>1448</v>
      </c>
      <c r="K545" s="877"/>
      <c r="L545" s="879" t="s">
        <v>1450</v>
      </c>
      <c r="M545" s="880" t="s">
        <v>1450</v>
      </c>
      <c r="N545" s="881" t="s">
        <v>1450</v>
      </c>
      <c r="O545" s="880" t="s">
        <v>1450</v>
      </c>
      <c r="P545" s="880" t="s">
        <v>1450</v>
      </c>
      <c r="Q545" s="881" t="s">
        <v>1450</v>
      </c>
      <c r="R545" s="880" t="s">
        <v>1450</v>
      </c>
      <c r="S545" s="880" t="s">
        <v>1450</v>
      </c>
      <c r="T545" s="881" t="s">
        <v>1450</v>
      </c>
      <c r="U545" s="880">
        <v>84.695699708454811</v>
      </c>
      <c r="V545" s="880">
        <v>201</v>
      </c>
      <c r="W545" s="881">
        <v>0.42137164034057117</v>
      </c>
      <c r="X545" s="880">
        <v>76.944363218473796</v>
      </c>
      <c r="Y545" s="880">
        <v>181</v>
      </c>
      <c r="Z545" s="881">
        <v>0.42510697910759004</v>
      </c>
      <c r="AA545" s="880" t="s">
        <v>1450</v>
      </c>
      <c r="AB545" s="880" t="s">
        <v>1450</v>
      </c>
      <c r="AC545" s="881" t="s">
        <v>1450</v>
      </c>
      <c r="AD545" s="880" t="s">
        <v>1450</v>
      </c>
      <c r="AE545" s="880" t="s">
        <v>1450</v>
      </c>
      <c r="AF545" s="881" t="s">
        <v>1450</v>
      </c>
      <c r="AG545" s="880" t="s">
        <v>1450</v>
      </c>
      <c r="AH545" s="880" t="s">
        <v>1450</v>
      </c>
      <c r="AI545" s="881" t="s">
        <v>1450</v>
      </c>
    </row>
    <row r="546" spans="2:35" x14ac:dyDescent="0.2">
      <c r="B546" s="867">
        <v>108722004</v>
      </c>
      <c r="C546" s="876" t="s">
        <v>1448</v>
      </c>
      <c r="D546" s="877" t="s">
        <v>1448</v>
      </c>
      <c r="E546" s="877" t="s">
        <v>1448</v>
      </c>
      <c r="F546" s="877" t="s">
        <v>1447</v>
      </c>
      <c r="G546" s="877" t="s">
        <v>1447</v>
      </c>
      <c r="H546" s="877" t="s">
        <v>1448</v>
      </c>
      <c r="I546" s="877" t="s">
        <v>1448</v>
      </c>
      <c r="J546" s="878" t="s">
        <v>1448</v>
      </c>
      <c r="K546" s="877"/>
      <c r="L546" s="879" t="s">
        <v>1450</v>
      </c>
      <c r="M546" s="880" t="s">
        <v>1450</v>
      </c>
      <c r="N546" s="881" t="s">
        <v>1450</v>
      </c>
      <c r="O546" s="880" t="s">
        <v>1450</v>
      </c>
      <c r="P546" s="880" t="s">
        <v>1450</v>
      </c>
      <c r="Q546" s="881" t="s">
        <v>1450</v>
      </c>
      <c r="R546" s="880" t="s">
        <v>1450</v>
      </c>
      <c r="S546" s="880" t="s">
        <v>1450</v>
      </c>
      <c r="T546" s="881" t="s">
        <v>1450</v>
      </c>
      <c r="U546" s="880">
        <v>80.450135047352049</v>
      </c>
      <c r="V546" s="880">
        <v>358</v>
      </c>
      <c r="W546" s="881">
        <v>0.22472104761830181</v>
      </c>
      <c r="X546" s="880">
        <v>86.64556962025317</v>
      </c>
      <c r="Y546" s="880">
        <v>430</v>
      </c>
      <c r="Z546" s="881">
        <v>0.20150132469826318</v>
      </c>
      <c r="AA546" s="880" t="s">
        <v>1450</v>
      </c>
      <c r="AB546" s="880" t="s">
        <v>1450</v>
      </c>
      <c r="AC546" s="881" t="s">
        <v>1450</v>
      </c>
      <c r="AD546" s="880" t="s">
        <v>1450</v>
      </c>
      <c r="AE546" s="880" t="s">
        <v>1450</v>
      </c>
      <c r="AF546" s="881" t="s">
        <v>1450</v>
      </c>
      <c r="AG546" s="880" t="s">
        <v>1450</v>
      </c>
      <c r="AH546" s="880" t="s">
        <v>1450</v>
      </c>
      <c r="AI546" s="881" t="s">
        <v>1450</v>
      </c>
    </row>
    <row r="547" spans="2:35" x14ac:dyDescent="0.2">
      <c r="B547" s="867">
        <v>108722005</v>
      </c>
      <c r="C547" s="876" t="s">
        <v>1448</v>
      </c>
      <c r="D547" s="877" t="s">
        <v>1448</v>
      </c>
      <c r="E547" s="877" t="s">
        <v>1448</v>
      </c>
      <c r="F547" s="877" t="s">
        <v>1447</v>
      </c>
      <c r="G547" s="877" t="s">
        <v>1447</v>
      </c>
      <c r="H547" s="877" t="s">
        <v>1448</v>
      </c>
      <c r="I547" s="877" t="s">
        <v>1448</v>
      </c>
      <c r="J547" s="878" t="s">
        <v>1448</v>
      </c>
      <c r="K547" s="877"/>
      <c r="L547" s="879" t="s">
        <v>1450</v>
      </c>
      <c r="M547" s="880" t="s">
        <v>1450</v>
      </c>
      <c r="N547" s="881" t="s">
        <v>1450</v>
      </c>
      <c r="O547" s="880" t="s">
        <v>1450</v>
      </c>
      <c r="P547" s="880" t="s">
        <v>1450</v>
      </c>
      <c r="Q547" s="881" t="s">
        <v>1450</v>
      </c>
      <c r="R547" s="880" t="s">
        <v>1450</v>
      </c>
      <c r="S547" s="880" t="s">
        <v>1450</v>
      </c>
      <c r="T547" s="881" t="s">
        <v>1450</v>
      </c>
      <c r="U547" s="880">
        <v>97.657749774314198</v>
      </c>
      <c r="V547" s="880">
        <v>208</v>
      </c>
      <c r="W547" s="881">
        <v>0.46950841237651059</v>
      </c>
      <c r="X547" s="880">
        <v>114.98167148847776</v>
      </c>
      <c r="Y547" s="880">
        <v>220</v>
      </c>
      <c r="Z547" s="881">
        <v>0.52264396131126256</v>
      </c>
      <c r="AA547" s="880" t="s">
        <v>1450</v>
      </c>
      <c r="AB547" s="880" t="s">
        <v>1450</v>
      </c>
      <c r="AC547" s="881" t="s">
        <v>1450</v>
      </c>
      <c r="AD547" s="880" t="s">
        <v>1450</v>
      </c>
      <c r="AE547" s="880" t="s">
        <v>1450</v>
      </c>
      <c r="AF547" s="881" t="s">
        <v>1450</v>
      </c>
      <c r="AG547" s="880" t="s">
        <v>1450</v>
      </c>
      <c r="AH547" s="880" t="s">
        <v>1450</v>
      </c>
      <c r="AI547" s="881" t="s">
        <v>1450</v>
      </c>
    </row>
    <row r="548" spans="2:35" x14ac:dyDescent="0.2">
      <c r="B548" s="867">
        <v>108724000</v>
      </c>
      <c r="C548" s="876" t="s">
        <v>1447</v>
      </c>
      <c r="D548" s="877" t="s">
        <v>1447</v>
      </c>
      <c r="E548" s="877" t="s">
        <v>1447</v>
      </c>
      <c r="F548" s="877" t="s">
        <v>1448</v>
      </c>
      <c r="G548" s="877" t="s">
        <v>1448</v>
      </c>
      <c r="H548" s="877" t="s">
        <v>1448</v>
      </c>
      <c r="I548" s="877" t="s">
        <v>1448</v>
      </c>
      <c r="J548" s="878" t="s">
        <v>1448</v>
      </c>
      <c r="K548" s="877"/>
      <c r="L548" s="879">
        <v>12</v>
      </c>
      <c r="M548" s="880">
        <v>41</v>
      </c>
      <c r="N548" s="881">
        <v>0.29859999999999998</v>
      </c>
      <c r="O548" s="880">
        <v>21.728929894010982</v>
      </c>
      <c r="P548" s="880">
        <v>42</v>
      </c>
      <c r="Q548" s="881">
        <v>0.51735547366692813</v>
      </c>
      <c r="R548" s="880">
        <v>284.62046535088973</v>
      </c>
      <c r="S548" s="880">
        <v>768</v>
      </c>
      <c r="T548" s="881">
        <v>0.370599564258971</v>
      </c>
      <c r="U548" s="880">
        <v>0</v>
      </c>
      <c r="V548" s="880">
        <v>39</v>
      </c>
      <c r="W548" s="881">
        <v>0</v>
      </c>
      <c r="X548" s="880">
        <v>0</v>
      </c>
      <c r="Y548" s="880">
        <v>44</v>
      </c>
      <c r="Z548" s="881">
        <v>0</v>
      </c>
      <c r="AA548" s="880" t="s">
        <v>1450</v>
      </c>
      <c r="AB548" s="880" t="s">
        <v>1450</v>
      </c>
      <c r="AC548" s="881" t="s">
        <v>1450</v>
      </c>
      <c r="AD548" s="880" t="s">
        <v>1450</v>
      </c>
      <c r="AE548" s="880" t="s">
        <v>1450</v>
      </c>
      <c r="AF548" s="881" t="s">
        <v>1450</v>
      </c>
      <c r="AG548" s="880" t="s">
        <v>1450</v>
      </c>
      <c r="AH548" s="880" t="s">
        <v>1450</v>
      </c>
      <c r="AI548" s="881" t="s">
        <v>1450</v>
      </c>
    </row>
    <row r="549" spans="2:35" x14ac:dyDescent="0.2">
      <c r="B549" s="867">
        <v>108725000</v>
      </c>
      <c r="C549" s="876" t="s">
        <v>1448</v>
      </c>
      <c r="D549" s="877" t="s">
        <v>1448</v>
      </c>
      <c r="E549" s="877" t="s">
        <v>1448</v>
      </c>
      <c r="F549" s="877" t="s">
        <v>1448</v>
      </c>
      <c r="G549" s="877" t="s">
        <v>1448</v>
      </c>
      <c r="H549" s="877" t="s">
        <v>1448</v>
      </c>
      <c r="I549" s="877" t="s">
        <v>1448</v>
      </c>
      <c r="J549" s="878" t="s">
        <v>1448</v>
      </c>
      <c r="K549" s="877"/>
      <c r="L549" s="879">
        <v>0</v>
      </c>
      <c r="M549" s="880">
        <v>555</v>
      </c>
      <c r="N549" s="881">
        <v>0</v>
      </c>
      <c r="O549" s="880">
        <v>0</v>
      </c>
      <c r="P549" s="880">
        <v>639</v>
      </c>
      <c r="Q549" s="881">
        <v>0</v>
      </c>
      <c r="R549" s="880">
        <v>0</v>
      </c>
      <c r="S549" s="880">
        <v>662</v>
      </c>
      <c r="T549" s="881">
        <v>0</v>
      </c>
      <c r="U549" s="880">
        <v>0</v>
      </c>
      <c r="V549" s="880">
        <v>689</v>
      </c>
      <c r="W549" s="881">
        <v>0</v>
      </c>
      <c r="X549" s="880">
        <v>0</v>
      </c>
      <c r="Y549" s="880">
        <v>353</v>
      </c>
      <c r="Z549" s="881">
        <v>0</v>
      </c>
      <c r="AA549" s="880" t="s">
        <v>1450</v>
      </c>
      <c r="AB549" s="880" t="s">
        <v>1450</v>
      </c>
      <c r="AC549" s="881" t="s">
        <v>1450</v>
      </c>
      <c r="AD549" s="880" t="s">
        <v>1450</v>
      </c>
      <c r="AE549" s="880" t="s">
        <v>1450</v>
      </c>
      <c r="AF549" s="881" t="s">
        <v>1450</v>
      </c>
      <c r="AG549" s="880" t="s">
        <v>1450</v>
      </c>
      <c r="AH549" s="880" t="s">
        <v>1450</v>
      </c>
      <c r="AI549" s="881" t="s">
        <v>1450</v>
      </c>
    </row>
    <row r="550" spans="2:35" x14ac:dyDescent="0.2">
      <c r="B550" s="867">
        <v>108726000</v>
      </c>
      <c r="C550" s="876" t="s">
        <v>1447</v>
      </c>
      <c r="D550" s="877" t="s">
        <v>1447</v>
      </c>
      <c r="E550" s="877" t="s">
        <v>1447</v>
      </c>
      <c r="F550" s="877" t="s">
        <v>1447</v>
      </c>
      <c r="G550" s="877" t="s">
        <v>1447</v>
      </c>
      <c r="H550" s="877" t="s">
        <v>1447</v>
      </c>
      <c r="I550" s="877" t="s">
        <v>1447</v>
      </c>
      <c r="J550" s="878" t="s">
        <v>1447</v>
      </c>
      <c r="K550" s="877"/>
      <c r="L550" s="879">
        <v>24</v>
      </c>
      <c r="M550" s="880">
        <v>137</v>
      </c>
      <c r="N550" s="881">
        <v>0.17879999999999999</v>
      </c>
      <c r="O550" s="880">
        <v>42.88604584344273</v>
      </c>
      <c r="P550" s="880">
        <v>124</v>
      </c>
      <c r="Q550" s="881">
        <v>0.34585520841486073</v>
      </c>
      <c r="R550" s="880">
        <v>45.130094928788012</v>
      </c>
      <c r="S550" s="880">
        <v>122</v>
      </c>
      <c r="T550" s="881">
        <v>0.36991881089170503</v>
      </c>
      <c r="U550" s="880">
        <v>61.123915326369321</v>
      </c>
      <c r="V550" s="880">
        <v>126</v>
      </c>
      <c r="W550" s="881">
        <v>0.4851104390981692</v>
      </c>
      <c r="X550" s="880">
        <v>52.848718572343813</v>
      </c>
      <c r="Y550" s="880">
        <v>114</v>
      </c>
      <c r="Z550" s="881">
        <v>0.46358525063459483</v>
      </c>
      <c r="AA550" s="880">
        <v>68.848228849830804</v>
      </c>
      <c r="AB550" s="880">
        <v>114</v>
      </c>
      <c r="AC550" s="881">
        <v>0.60393183201605971</v>
      </c>
      <c r="AD550" s="880">
        <v>47.841479405714978</v>
      </c>
      <c r="AE550" s="880">
        <v>111</v>
      </c>
      <c r="AF550" s="881">
        <v>0.4310043189704052</v>
      </c>
      <c r="AG550" s="880">
        <v>27.45594473825016</v>
      </c>
      <c r="AH550" s="880">
        <v>50</v>
      </c>
      <c r="AI550" s="881">
        <v>0.5491188947650032</v>
      </c>
    </row>
    <row r="551" spans="2:35" x14ac:dyDescent="0.2">
      <c r="B551" s="867">
        <v>108727000</v>
      </c>
      <c r="C551" s="876" t="s">
        <v>1447</v>
      </c>
      <c r="D551" s="877" t="s">
        <v>1447</v>
      </c>
      <c r="E551" s="877" t="s">
        <v>1448</v>
      </c>
      <c r="F551" s="877" t="s">
        <v>1448</v>
      </c>
      <c r="G551" s="877" t="s">
        <v>1448</v>
      </c>
      <c r="H551" s="877" t="s">
        <v>1448</v>
      </c>
      <c r="I551" s="877" t="s">
        <v>1448</v>
      </c>
      <c r="J551" s="878" t="s">
        <v>1448</v>
      </c>
      <c r="K551" s="877"/>
      <c r="L551" s="879">
        <v>43</v>
      </c>
      <c r="M551" s="880">
        <v>120</v>
      </c>
      <c r="N551" s="881">
        <v>0.36009999999999998</v>
      </c>
      <c r="O551" s="880">
        <v>20.013488060273275</v>
      </c>
      <c r="P551" s="880">
        <v>36</v>
      </c>
      <c r="Q551" s="881">
        <v>0.55593022389647984</v>
      </c>
      <c r="R551" s="880" t="s">
        <v>1450</v>
      </c>
      <c r="S551" s="880" t="s">
        <v>1450</v>
      </c>
      <c r="T551" s="881" t="s">
        <v>1450</v>
      </c>
      <c r="U551" s="880" t="s">
        <v>1450</v>
      </c>
      <c r="V551" s="880" t="s">
        <v>1450</v>
      </c>
      <c r="W551" s="881" t="s">
        <v>1450</v>
      </c>
      <c r="X551" s="880" t="s">
        <v>1450</v>
      </c>
      <c r="Y551" s="880" t="s">
        <v>1450</v>
      </c>
      <c r="Z551" s="881" t="s">
        <v>1450</v>
      </c>
      <c r="AA551" s="880" t="s">
        <v>1450</v>
      </c>
      <c r="AB551" s="880" t="s">
        <v>1450</v>
      </c>
      <c r="AC551" s="881" t="s">
        <v>1450</v>
      </c>
      <c r="AD551" s="880" t="s">
        <v>1450</v>
      </c>
      <c r="AE551" s="880" t="s">
        <v>1450</v>
      </c>
      <c r="AF551" s="881" t="s">
        <v>1450</v>
      </c>
      <c r="AG551" s="880" t="s">
        <v>1450</v>
      </c>
      <c r="AH551" s="880" t="s">
        <v>1450</v>
      </c>
      <c r="AI551" s="881" t="s">
        <v>1450</v>
      </c>
    </row>
    <row r="552" spans="2:35" x14ac:dyDescent="0.2">
      <c r="B552" s="867">
        <v>108728000</v>
      </c>
      <c r="C552" s="876" t="s">
        <v>1448</v>
      </c>
      <c r="D552" s="877" t="s">
        <v>1448</v>
      </c>
      <c r="E552" s="877" t="s">
        <v>1448</v>
      </c>
      <c r="F552" s="877" t="s">
        <v>1448</v>
      </c>
      <c r="G552" s="877" t="s">
        <v>1448</v>
      </c>
      <c r="H552" s="877" t="s">
        <v>1448</v>
      </c>
      <c r="I552" s="877" t="s">
        <v>1448</v>
      </c>
      <c r="J552" s="878" t="s">
        <v>1448</v>
      </c>
      <c r="K552" s="877"/>
      <c r="L552" s="879">
        <v>3</v>
      </c>
      <c r="M552" s="880">
        <v>41</v>
      </c>
      <c r="N552" s="881">
        <v>7.4499999999999997E-2</v>
      </c>
      <c r="O552" s="880">
        <v>0</v>
      </c>
      <c r="P552" s="880">
        <v>0</v>
      </c>
      <c r="Q552" s="881">
        <v>0</v>
      </c>
      <c r="R552" s="880" t="s">
        <v>1450</v>
      </c>
      <c r="S552" s="880" t="s">
        <v>1450</v>
      </c>
      <c r="T552" s="881" t="s">
        <v>1450</v>
      </c>
      <c r="U552" s="880" t="s">
        <v>1450</v>
      </c>
      <c r="V552" s="880" t="s">
        <v>1450</v>
      </c>
      <c r="W552" s="881" t="s">
        <v>1450</v>
      </c>
      <c r="X552" s="880" t="s">
        <v>1450</v>
      </c>
      <c r="Y552" s="880" t="s">
        <v>1450</v>
      </c>
      <c r="Z552" s="881" t="s">
        <v>1450</v>
      </c>
      <c r="AA552" s="880" t="s">
        <v>1450</v>
      </c>
      <c r="AB552" s="880" t="s">
        <v>1450</v>
      </c>
      <c r="AC552" s="881" t="s">
        <v>1450</v>
      </c>
      <c r="AD552" s="880" t="s">
        <v>1450</v>
      </c>
      <c r="AE552" s="880" t="s">
        <v>1450</v>
      </c>
      <c r="AF552" s="881" t="s">
        <v>1450</v>
      </c>
      <c r="AG552" s="880" t="s">
        <v>1450</v>
      </c>
      <c r="AH552" s="880" t="s">
        <v>1450</v>
      </c>
      <c r="AI552" s="881" t="s">
        <v>1450</v>
      </c>
    </row>
    <row r="553" spans="2:35" x14ac:dyDescent="0.2">
      <c r="B553" s="867">
        <v>108729000</v>
      </c>
      <c r="C553" s="876" t="s">
        <v>1447</v>
      </c>
      <c r="D553" s="877" t="s">
        <v>1447</v>
      </c>
      <c r="E553" s="877" t="s">
        <v>1447</v>
      </c>
      <c r="F553" s="877" t="s">
        <v>1447</v>
      </c>
      <c r="G553" s="877" t="s">
        <v>1448</v>
      </c>
      <c r="H553" s="877" t="s">
        <v>1448</v>
      </c>
      <c r="I553" s="877" t="s">
        <v>1448</v>
      </c>
      <c r="J553" s="878" t="s">
        <v>1448</v>
      </c>
      <c r="K553" s="877"/>
      <c r="L553" s="879">
        <v>46</v>
      </c>
      <c r="M553" s="880">
        <v>137</v>
      </c>
      <c r="N553" s="881">
        <v>0.33610000000000001</v>
      </c>
      <c r="O553" s="880">
        <v>47.460557400076624</v>
      </c>
      <c r="P553" s="880">
        <v>97</v>
      </c>
      <c r="Q553" s="881">
        <v>0.48928409690800645</v>
      </c>
      <c r="R553" s="880">
        <v>93.870597451879064</v>
      </c>
      <c r="S553" s="880">
        <v>178</v>
      </c>
      <c r="T553" s="881">
        <v>0.52736290703302846</v>
      </c>
      <c r="U553" s="880">
        <v>122.95040439212219</v>
      </c>
      <c r="V553" s="880">
        <v>220</v>
      </c>
      <c r="W553" s="881">
        <v>0.5588654745096463</v>
      </c>
      <c r="X553" s="880">
        <v>0.71417187259924075</v>
      </c>
      <c r="Y553" s="880">
        <v>228</v>
      </c>
      <c r="Z553" s="881">
        <v>3.1323327745580733E-3</v>
      </c>
      <c r="AA553" s="880" t="s">
        <v>1450</v>
      </c>
      <c r="AB553" s="880" t="s">
        <v>1450</v>
      </c>
      <c r="AC553" s="881" t="s">
        <v>1450</v>
      </c>
      <c r="AD553" s="880" t="s">
        <v>1450</v>
      </c>
      <c r="AE553" s="880" t="s">
        <v>1450</v>
      </c>
      <c r="AF553" s="881" t="s">
        <v>1450</v>
      </c>
      <c r="AG553" s="880" t="s">
        <v>1450</v>
      </c>
      <c r="AH553" s="880" t="s">
        <v>1450</v>
      </c>
      <c r="AI553" s="881" t="s">
        <v>1450</v>
      </c>
    </row>
    <row r="554" spans="2:35" x14ac:dyDescent="0.2">
      <c r="B554" s="867">
        <v>108730000</v>
      </c>
      <c r="C554" s="876" t="s">
        <v>1448</v>
      </c>
      <c r="D554" s="877" t="s">
        <v>1447</v>
      </c>
      <c r="E554" s="877" t="s">
        <v>1448</v>
      </c>
      <c r="F554" s="877" t="s">
        <v>1448</v>
      </c>
      <c r="G554" s="877" t="s">
        <v>1448</v>
      </c>
      <c r="H554" s="877" t="s">
        <v>1448</v>
      </c>
      <c r="I554" s="877" t="s">
        <v>1448</v>
      </c>
      <c r="J554" s="878" t="s">
        <v>1448</v>
      </c>
      <c r="K554" s="877"/>
      <c r="L554" s="879">
        <v>0</v>
      </c>
      <c r="M554" s="880">
        <v>53</v>
      </c>
      <c r="N554" s="881">
        <v>0</v>
      </c>
      <c r="O554" s="880">
        <v>25.731627506065639</v>
      </c>
      <c r="P554" s="880">
        <v>58</v>
      </c>
      <c r="Q554" s="881">
        <v>0.44364875010457999</v>
      </c>
      <c r="R554" s="880" t="s">
        <v>1450</v>
      </c>
      <c r="S554" s="880" t="s">
        <v>1450</v>
      </c>
      <c r="T554" s="881" t="s">
        <v>1450</v>
      </c>
      <c r="U554" s="880" t="s">
        <v>1450</v>
      </c>
      <c r="V554" s="880" t="s">
        <v>1450</v>
      </c>
      <c r="W554" s="881" t="s">
        <v>1450</v>
      </c>
      <c r="X554" s="880" t="s">
        <v>1450</v>
      </c>
      <c r="Y554" s="880" t="s">
        <v>1450</v>
      </c>
      <c r="Z554" s="881" t="s">
        <v>1450</v>
      </c>
      <c r="AA554" s="880" t="s">
        <v>1450</v>
      </c>
      <c r="AB554" s="880" t="s">
        <v>1450</v>
      </c>
      <c r="AC554" s="881" t="s">
        <v>1450</v>
      </c>
      <c r="AD554" s="880" t="s">
        <v>1450</v>
      </c>
      <c r="AE554" s="880" t="s">
        <v>1450</v>
      </c>
      <c r="AF554" s="881" t="s">
        <v>1450</v>
      </c>
      <c r="AG554" s="880" t="s">
        <v>1450</v>
      </c>
      <c r="AH554" s="880" t="s">
        <v>1450</v>
      </c>
      <c r="AI554" s="881" t="s">
        <v>1450</v>
      </c>
    </row>
    <row r="555" spans="2:35" x14ac:dyDescent="0.2">
      <c r="B555" s="867">
        <v>108732000</v>
      </c>
      <c r="C555" s="876" t="s">
        <v>1447</v>
      </c>
      <c r="D555" s="877" t="s">
        <v>1448</v>
      </c>
      <c r="E555" s="877" t="s">
        <v>1447</v>
      </c>
      <c r="F555" s="877" t="s">
        <v>1447</v>
      </c>
      <c r="G555" s="877" t="s">
        <v>1447</v>
      </c>
      <c r="H555" s="877" t="s">
        <v>1448</v>
      </c>
      <c r="I555" s="877" t="s">
        <v>1448</v>
      </c>
      <c r="J555" s="878" t="s">
        <v>1448</v>
      </c>
      <c r="K555" s="877"/>
      <c r="L555" s="879">
        <v>12</v>
      </c>
      <c r="M555" s="880">
        <v>53</v>
      </c>
      <c r="N555" s="881">
        <v>0.21840000000000001</v>
      </c>
      <c r="O555" s="880">
        <v>4.0026976120546545</v>
      </c>
      <c r="P555" s="880">
        <v>47</v>
      </c>
      <c r="Q555" s="881">
        <v>8.5163778979886265E-2</v>
      </c>
      <c r="R555" s="880">
        <v>18.653772570565714</v>
      </c>
      <c r="S555" s="880">
        <v>59</v>
      </c>
      <c r="T555" s="881">
        <v>0.31616563678924936</v>
      </c>
      <c r="U555" s="880">
        <v>20.374638442123107</v>
      </c>
      <c r="V555" s="880">
        <v>60</v>
      </c>
      <c r="W555" s="881">
        <v>0.33957730736871844</v>
      </c>
      <c r="X555" s="880">
        <v>19.996812432778739</v>
      </c>
      <c r="Y555" s="880">
        <v>58</v>
      </c>
      <c r="Z555" s="881">
        <v>0.34477262815135756</v>
      </c>
      <c r="AA555" s="880" t="s">
        <v>1450</v>
      </c>
      <c r="AB555" s="880" t="s">
        <v>1450</v>
      </c>
      <c r="AC555" s="881" t="s">
        <v>1450</v>
      </c>
      <c r="AD555" s="880" t="s">
        <v>1450</v>
      </c>
      <c r="AE555" s="880" t="s">
        <v>1450</v>
      </c>
      <c r="AF555" s="881" t="s">
        <v>1450</v>
      </c>
      <c r="AG555" s="880" t="s">
        <v>1450</v>
      </c>
      <c r="AH555" s="880" t="s">
        <v>1450</v>
      </c>
      <c r="AI555" s="881" t="s">
        <v>1450</v>
      </c>
    </row>
    <row r="556" spans="2:35" x14ac:dyDescent="0.2">
      <c r="B556" s="867">
        <v>108733000</v>
      </c>
      <c r="C556" s="876" t="s">
        <v>1447</v>
      </c>
      <c r="D556" s="877" t="s">
        <v>1447</v>
      </c>
      <c r="E556" s="877" t="s">
        <v>1447</v>
      </c>
      <c r="F556" s="877" t="s">
        <v>1447</v>
      </c>
      <c r="G556" s="877" t="s">
        <v>1448</v>
      </c>
      <c r="H556" s="877" t="s">
        <v>1448</v>
      </c>
      <c r="I556" s="877" t="s">
        <v>1448</v>
      </c>
      <c r="J556" s="878" t="s">
        <v>1448</v>
      </c>
      <c r="K556" s="877"/>
      <c r="L556" s="879">
        <v>53</v>
      </c>
      <c r="M556" s="880">
        <v>136</v>
      </c>
      <c r="N556" s="881">
        <v>0.38740000000000002</v>
      </c>
      <c r="O556" s="880">
        <v>121.22455625079812</v>
      </c>
      <c r="P556" s="880">
        <v>277</v>
      </c>
      <c r="Q556" s="881">
        <v>0.43763377707869355</v>
      </c>
      <c r="R556" s="880">
        <v>164.27354554078838</v>
      </c>
      <c r="S556" s="880">
        <v>315</v>
      </c>
      <c r="T556" s="881">
        <v>0.52150331917710591</v>
      </c>
      <c r="U556" s="880">
        <v>113.81694578013597</v>
      </c>
      <c r="V556" s="880">
        <v>201</v>
      </c>
      <c r="W556" s="881">
        <v>0.56625346159271628</v>
      </c>
      <c r="X556" s="880" t="s">
        <v>1450</v>
      </c>
      <c r="Y556" s="880" t="s">
        <v>1450</v>
      </c>
      <c r="Z556" s="881" t="s">
        <v>1450</v>
      </c>
      <c r="AA556" s="880" t="s">
        <v>1450</v>
      </c>
      <c r="AB556" s="880" t="s">
        <v>1450</v>
      </c>
      <c r="AC556" s="881" t="s">
        <v>1450</v>
      </c>
      <c r="AD556" s="880" t="s">
        <v>1450</v>
      </c>
      <c r="AE556" s="880" t="s">
        <v>1450</v>
      </c>
      <c r="AF556" s="881" t="s">
        <v>1450</v>
      </c>
      <c r="AG556" s="880" t="s">
        <v>1450</v>
      </c>
      <c r="AH556" s="880" t="s">
        <v>1450</v>
      </c>
      <c r="AI556" s="881" t="s">
        <v>1450</v>
      </c>
    </row>
    <row r="557" spans="2:35" x14ac:dyDescent="0.2">
      <c r="B557" s="867">
        <v>108734000</v>
      </c>
      <c r="C557" s="876" t="s">
        <v>1448</v>
      </c>
      <c r="D557" s="877" t="s">
        <v>1447</v>
      </c>
      <c r="E557" s="877" t="s">
        <v>1447</v>
      </c>
      <c r="F557" s="877" t="s">
        <v>1448</v>
      </c>
      <c r="G557" s="877" t="s">
        <v>1448</v>
      </c>
      <c r="H557" s="877" t="s">
        <v>1448</v>
      </c>
      <c r="I557" s="877" t="s">
        <v>1448</v>
      </c>
      <c r="J557" s="878" t="s">
        <v>1448</v>
      </c>
      <c r="K557" s="877"/>
      <c r="L557" s="879" t="s">
        <v>1450</v>
      </c>
      <c r="M557" s="880" t="s">
        <v>1450</v>
      </c>
      <c r="N557" s="881" t="s">
        <v>1450</v>
      </c>
      <c r="O557" s="880">
        <v>20.013488060273275</v>
      </c>
      <c r="P557" s="880">
        <v>56</v>
      </c>
      <c r="Q557" s="881">
        <v>0.35738371536202279</v>
      </c>
      <c r="R557" s="880">
        <v>22.264180164868755</v>
      </c>
      <c r="S557" s="880">
        <v>79</v>
      </c>
      <c r="T557" s="881">
        <v>0.28182506537808549</v>
      </c>
      <c r="U557" s="880" t="s">
        <v>1450</v>
      </c>
      <c r="V557" s="880" t="s">
        <v>1450</v>
      </c>
      <c r="W557" s="881" t="s">
        <v>1450</v>
      </c>
      <c r="X557" s="880" t="s">
        <v>1450</v>
      </c>
      <c r="Y557" s="880" t="s">
        <v>1450</v>
      </c>
      <c r="Z557" s="881" t="s">
        <v>1450</v>
      </c>
      <c r="AA557" s="880" t="s">
        <v>1450</v>
      </c>
      <c r="AB557" s="880" t="s">
        <v>1450</v>
      </c>
      <c r="AC557" s="881" t="s">
        <v>1450</v>
      </c>
      <c r="AD557" s="880" t="s">
        <v>1450</v>
      </c>
      <c r="AE557" s="880" t="s">
        <v>1450</v>
      </c>
      <c r="AF557" s="881" t="s">
        <v>1450</v>
      </c>
      <c r="AG557" s="880" t="s">
        <v>1450</v>
      </c>
      <c r="AH557" s="880" t="s">
        <v>1450</v>
      </c>
      <c r="AI557" s="881" t="s">
        <v>1450</v>
      </c>
    </row>
    <row r="558" spans="2:35" x14ac:dyDescent="0.2">
      <c r="B558" s="867">
        <v>108735000</v>
      </c>
      <c r="C558" s="876" t="s">
        <v>1448</v>
      </c>
      <c r="D558" s="877" t="s">
        <v>1448</v>
      </c>
      <c r="E558" s="877" t="s">
        <v>1448</v>
      </c>
      <c r="F558" s="877" t="s">
        <v>1448</v>
      </c>
      <c r="G558" s="877" t="s">
        <v>1447</v>
      </c>
      <c r="H558" s="877" t="s">
        <v>1447</v>
      </c>
      <c r="I558" s="877" t="s">
        <v>1447</v>
      </c>
      <c r="J558" s="878" t="s">
        <v>1447</v>
      </c>
      <c r="K558" s="877"/>
      <c r="L558" s="879" t="s">
        <v>1450</v>
      </c>
      <c r="M558" s="880" t="s">
        <v>1450</v>
      </c>
      <c r="N558" s="881" t="s">
        <v>1450</v>
      </c>
      <c r="O558" s="880" t="s">
        <v>1450</v>
      </c>
      <c r="P558" s="880" t="s">
        <v>1450</v>
      </c>
      <c r="Q558" s="881" t="s">
        <v>1450</v>
      </c>
      <c r="R558" s="880" t="s">
        <v>1450</v>
      </c>
      <c r="S558" s="880" t="s">
        <v>1450</v>
      </c>
      <c r="T558" s="881" t="s">
        <v>1450</v>
      </c>
      <c r="U558" s="880" t="s">
        <v>1450</v>
      </c>
      <c r="V558" s="880" t="s">
        <v>1450</v>
      </c>
      <c r="W558" s="881" t="s">
        <v>1450</v>
      </c>
      <c r="X558" s="880">
        <v>22.853499923175704</v>
      </c>
      <c r="Y558" s="880">
        <v>52</v>
      </c>
      <c r="Z558" s="881">
        <v>0.43949038313799432</v>
      </c>
      <c r="AA558" s="880">
        <v>21.280361644493155</v>
      </c>
      <c r="AB558" s="880">
        <v>47</v>
      </c>
      <c r="AC558" s="881">
        <v>0.45277365201049263</v>
      </c>
      <c r="AD558" s="880">
        <v>12.957067339047807</v>
      </c>
      <c r="AE558" s="880">
        <v>57</v>
      </c>
      <c r="AF558" s="881">
        <v>0.22731697086048785</v>
      </c>
      <c r="AG558" s="880">
        <v>27.45594473825016</v>
      </c>
      <c r="AH558" s="880">
        <v>58</v>
      </c>
      <c r="AI558" s="881">
        <v>0.47337835755603724</v>
      </c>
    </row>
    <row r="559" spans="2:35" x14ac:dyDescent="0.2">
      <c r="B559" s="867">
        <v>108744000</v>
      </c>
      <c r="C559" s="876" t="s">
        <v>1447</v>
      </c>
      <c r="D559" s="877" t="s">
        <v>1447</v>
      </c>
      <c r="E559" s="877" t="s">
        <v>1447</v>
      </c>
      <c r="F559" s="877" t="s">
        <v>1447</v>
      </c>
      <c r="G559" s="877" t="s">
        <v>1447</v>
      </c>
      <c r="H559" s="877" t="s">
        <v>1447</v>
      </c>
      <c r="I559" s="877" t="s">
        <v>1447</v>
      </c>
      <c r="J559" s="878" t="s">
        <v>1447</v>
      </c>
      <c r="K559" s="877"/>
      <c r="L559" s="879">
        <v>371</v>
      </c>
      <c r="M559" s="880">
        <v>1019</v>
      </c>
      <c r="N559" s="881">
        <v>0.36359999999999998</v>
      </c>
      <c r="O559" s="880">
        <v>244.73636827991317</v>
      </c>
      <c r="P559" s="880">
        <v>578</v>
      </c>
      <c r="Q559" s="881">
        <v>0.42341932228358681</v>
      </c>
      <c r="R559" s="880">
        <v>222.04006704963703</v>
      </c>
      <c r="S559" s="880">
        <v>510</v>
      </c>
      <c r="T559" s="881">
        <v>0.43537268048948435</v>
      </c>
      <c r="U559" s="880">
        <v>229.03903903903907</v>
      </c>
      <c r="V559" s="880">
        <v>471</v>
      </c>
      <c r="W559" s="881">
        <v>0.48628246080475385</v>
      </c>
      <c r="X559" s="880">
        <v>302.80887398207807</v>
      </c>
      <c r="Y559" s="880">
        <v>475</v>
      </c>
      <c r="Z559" s="881">
        <v>0.63749236627805905</v>
      </c>
      <c r="AA559" s="880">
        <v>279.14827333658673</v>
      </c>
      <c r="AB559" s="880">
        <v>443</v>
      </c>
      <c r="AC559" s="881">
        <v>0.63013154252051184</v>
      </c>
      <c r="AD559" s="880">
        <v>210.80151863143163</v>
      </c>
      <c r="AE559" s="880">
        <v>427</v>
      </c>
      <c r="AF559" s="881">
        <v>0.4936803715021818</v>
      </c>
      <c r="AG559" s="880">
        <v>171.874214061446</v>
      </c>
      <c r="AH559" s="880">
        <v>324</v>
      </c>
      <c r="AI559" s="881">
        <v>0.5304759693254506</v>
      </c>
    </row>
    <row r="560" spans="2:35" x14ac:dyDescent="0.2">
      <c r="B560" s="867">
        <v>108767000</v>
      </c>
      <c r="C560" s="876" t="s">
        <v>1447</v>
      </c>
      <c r="D560" s="877" t="s">
        <v>1447</v>
      </c>
      <c r="E560" s="877" t="s">
        <v>1447</v>
      </c>
      <c r="F560" s="877" t="s">
        <v>1447</v>
      </c>
      <c r="G560" s="877" t="s">
        <v>1447</v>
      </c>
      <c r="H560" s="877" t="s">
        <v>1447</v>
      </c>
      <c r="I560" s="877" t="s">
        <v>1447</v>
      </c>
      <c r="J560" s="878" t="s">
        <v>1447</v>
      </c>
      <c r="K560" s="877"/>
      <c r="L560" s="879">
        <v>30</v>
      </c>
      <c r="M560" s="880">
        <v>170</v>
      </c>
      <c r="N560" s="881">
        <v>0.17530000000000001</v>
      </c>
      <c r="O560" s="880">
        <v>56.037766568765164</v>
      </c>
      <c r="P560" s="880">
        <v>235</v>
      </c>
      <c r="Q560" s="881">
        <v>0.23845858114368154</v>
      </c>
      <c r="R560" s="880">
        <v>57.164786909798153</v>
      </c>
      <c r="S560" s="880">
        <v>252</v>
      </c>
      <c r="T560" s="881">
        <v>0.22684439249919902</v>
      </c>
      <c r="U560" s="880">
        <v>60.421341586985761</v>
      </c>
      <c r="V560" s="880">
        <v>215</v>
      </c>
      <c r="W560" s="881">
        <v>0.28102949575342212</v>
      </c>
      <c r="X560" s="880">
        <v>57.13374980793926</v>
      </c>
      <c r="Y560" s="880">
        <v>195</v>
      </c>
      <c r="Z560" s="881">
        <v>0.29299358875866288</v>
      </c>
      <c r="AA560" s="880">
        <v>48.193760194881563</v>
      </c>
      <c r="AB560" s="880">
        <v>194</v>
      </c>
      <c r="AC560" s="881">
        <v>0.24842144430351321</v>
      </c>
      <c r="AD560" s="880">
        <v>47.841479405714978</v>
      </c>
      <c r="AE560" s="880">
        <v>220</v>
      </c>
      <c r="AF560" s="881">
        <v>0.21746127002597718</v>
      </c>
      <c r="AG560" s="880">
        <v>54.362770581735319</v>
      </c>
      <c r="AH560" s="880">
        <v>199</v>
      </c>
      <c r="AI560" s="881">
        <v>0.27317975166701164</v>
      </c>
    </row>
    <row r="561" spans="2:35" x14ac:dyDescent="0.2">
      <c r="B561" s="867">
        <v>108768000</v>
      </c>
      <c r="C561" s="876" t="s">
        <v>1447</v>
      </c>
      <c r="D561" s="877" t="s">
        <v>1447</v>
      </c>
      <c r="E561" s="877" t="s">
        <v>1448</v>
      </c>
      <c r="F561" s="877" t="s">
        <v>1447</v>
      </c>
      <c r="G561" s="877" t="s">
        <v>1447</v>
      </c>
      <c r="H561" s="877" t="s">
        <v>1447</v>
      </c>
      <c r="I561" s="877" t="s">
        <v>1447</v>
      </c>
      <c r="J561" s="878" t="s">
        <v>1447</v>
      </c>
      <c r="K561" s="877"/>
      <c r="L561" s="879">
        <v>39</v>
      </c>
      <c r="M561" s="880">
        <v>138</v>
      </c>
      <c r="N561" s="881">
        <v>0.28410000000000002</v>
      </c>
      <c r="O561" s="880">
        <v>42.314231898863497</v>
      </c>
      <c r="P561" s="880">
        <v>78</v>
      </c>
      <c r="Q561" s="881">
        <v>0.54249015254953203</v>
      </c>
      <c r="R561" s="880">
        <v>1.2034691981010137</v>
      </c>
      <c r="S561" s="880">
        <v>83</v>
      </c>
      <c r="T561" s="881">
        <v>1.4499628892783297E-2</v>
      </c>
      <c r="U561" s="880">
        <v>46.369866799314657</v>
      </c>
      <c r="V561" s="880">
        <v>66</v>
      </c>
      <c r="W561" s="881">
        <v>0.70257373938355538</v>
      </c>
      <c r="X561" s="880">
        <v>32.851906139565074</v>
      </c>
      <c r="Y561" s="880">
        <v>62</v>
      </c>
      <c r="Z561" s="881">
        <v>0.52986945386395279</v>
      </c>
      <c r="AA561" s="880">
        <v>45.064295247161979</v>
      </c>
      <c r="AB561" s="880">
        <v>76</v>
      </c>
      <c r="AC561" s="881">
        <v>0.59295125325213127</v>
      </c>
      <c r="AD561" s="880">
        <v>32.392668347619519</v>
      </c>
      <c r="AE561" s="880">
        <v>65</v>
      </c>
      <c r="AF561" s="881">
        <v>0.49834874380953109</v>
      </c>
      <c r="AG561" s="880">
        <v>21.415636895835124</v>
      </c>
      <c r="AH561" s="880">
        <v>40</v>
      </c>
      <c r="AI561" s="881">
        <v>0.53539092239587815</v>
      </c>
    </row>
    <row r="562" spans="2:35" x14ac:dyDescent="0.2">
      <c r="B562" s="867">
        <v>108770000</v>
      </c>
      <c r="C562" s="876" t="s">
        <v>1448</v>
      </c>
      <c r="D562" s="877" t="s">
        <v>1447</v>
      </c>
      <c r="E562" s="877" t="s">
        <v>1448</v>
      </c>
      <c r="F562" s="877" t="s">
        <v>1448</v>
      </c>
      <c r="G562" s="877" t="s">
        <v>1447</v>
      </c>
      <c r="H562" s="877" t="s">
        <v>1447</v>
      </c>
      <c r="I562" s="877" t="s">
        <v>1447</v>
      </c>
      <c r="J562" s="878" t="s">
        <v>1447</v>
      </c>
      <c r="K562" s="877"/>
      <c r="L562" s="879">
        <v>23</v>
      </c>
      <c r="M562" s="880">
        <v>201</v>
      </c>
      <c r="N562" s="881">
        <v>0.11509999999999999</v>
      </c>
      <c r="O562" s="880">
        <v>40.02697612054655</v>
      </c>
      <c r="P562" s="880">
        <v>247</v>
      </c>
      <c r="Q562" s="881">
        <v>0.16205253490099819</v>
      </c>
      <c r="R562" s="880">
        <v>17.450303372464699</v>
      </c>
      <c r="S562" s="880">
        <v>283</v>
      </c>
      <c r="T562" s="881">
        <v>6.1661849372666784E-2</v>
      </c>
      <c r="U562" s="880">
        <v>33.020965751027106</v>
      </c>
      <c r="V562" s="880">
        <v>298</v>
      </c>
      <c r="W562" s="881">
        <v>0.11080860990277552</v>
      </c>
      <c r="X562" s="880">
        <v>46.421171718950646</v>
      </c>
      <c r="Y562" s="880">
        <v>302</v>
      </c>
      <c r="Z562" s="881">
        <v>0.15371248913559815</v>
      </c>
      <c r="AA562" s="880">
        <v>51.323225142601139</v>
      </c>
      <c r="AB562" s="880">
        <v>328</v>
      </c>
      <c r="AC562" s="881">
        <v>0.15647324738597909</v>
      </c>
      <c r="AD562" s="880">
        <v>51.828269356191228</v>
      </c>
      <c r="AE562" s="880">
        <v>295</v>
      </c>
      <c r="AF562" s="881">
        <v>0.175689048665055</v>
      </c>
      <c r="AG562" s="880">
        <v>44.478630475965261</v>
      </c>
      <c r="AH562" s="880">
        <v>294</v>
      </c>
      <c r="AI562" s="881">
        <v>0.1512878587617866</v>
      </c>
    </row>
    <row r="563" spans="2:35" x14ac:dyDescent="0.2">
      <c r="B563" s="867">
        <v>108773000</v>
      </c>
      <c r="C563" s="876" t="s">
        <v>1448</v>
      </c>
      <c r="D563" s="877" t="s">
        <v>1448</v>
      </c>
      <c r="E563" s="877" t="s">
        <v>1448</v>
      </c>
      <c r="F563" s="877" t="s">
        <v>1448</v>
      </c>
      <c r="G563" s="877" t="s">
        <v>1448</v>
      </c>
      <c r="H563" s="877" t="s">
        <v>1448</v>
      </c>
      <c r="I563" s="877" t="s">
        <v>1448</v>
      </c>
      <c r="J563" s="878" t="s">
        <v>1448</v>
      </c>
      <c r="K563" s="877"/>
      <c r="L563" s="879">
        <v>0</v>
      </c>
      <c r="M563" s="880">
        <v>571</v>
      </c>
      <c r="N563" s="881">
        <v>0</v>
      </c>
      <c r="O563" s="880">
        <v>0</v>
      </c>
      <c r="P563" s="880">
        <v>632</v>
      </c>
      <c r="Q563" s="881">
        <v>0</v>
      </c>
      <c r="R563" s="880">
        <v>0</v>
      </c>
      <c r="S563" s="880">
        <v>706</v>
      </c>
      <c r="T563" s="881">
        <v>0</v>
      </c>
      <c r="U563" s="880">
        <v>0</v>
      </c>
      <c r="V563" s="880">
        <v>679</v>
      </c>
      <c r="W563" s="881">
        <v>0</v>
      </c>
      <c r="X563" s="880">
        <v>0</v>
      </c>
      <c r="Y563" s="880">
        <v>686</v>
      </c>
      <c r="Z563" s="881">
        <v>0</v>
      </c>
      <c r="AA563" s="880" t="s">
        <v>1450</v>
      </c>
      <c r="AB563" s="880" t="s">
        <v>1450</v>
      </c>
      <c r="AC563" s="881" t="s">
        <v>1450</v>
      </c>
      <c r="AD563" s="880" t="s">
        <v>1450</v>
      </c>
      <c r="AE563" s="880" t="s">
        <v>1450</v>
      </c>
      <c r="AF563" s="881" t="s">
        <v>1450</v>
      </c>
      <c r="AG563" s="880" t="s">
        <v>1450</v>
      </c>
      <c r="AH563" s="880" t="s">
        <v>1450</v>
      </c>
      <c r="AI563" s="881" t="s">
        <v>1450</v>
      </c>
    </row>
    <row r="564" spans="2:35" x14ac:dyDescent="0.2">
      <c r="B564" s="867">
        <v>108774000</v>
      </c>
      <c r="C564" s="876" t="s">
        <v>1447</v>
      </c>
      <c r="D564" s="877" t="s">
        <v>1447</v>
      </c>
      <c r="E564" s="877" t="s">
        <v>1447</v>
      </c>
      <c r="F564" s="877" t="s">
        <v>1447</v>
      </c>
      <c r="G564" s="877" t="s">
        <v>1447</v>
      </c>
      <c r="H564" s="877" t="s">
        <v>1448</v>
      </c>
      <c r="I564" s="877" t="s">
        <v>1448</v>
      </c>
      <c r="J564" s="878" t="s">
        <v>1448</v>
      </c>
      <c r="K564" s="877"/>
      <c r="L564" s="879">
        <v>56</v>
      </c>
      <c r="M564" s="880">
        <v>161</v>
      </c>
      <c r="N564" s="881">
        <v>0.34520000000000001</v>
      </c>
      <c r="O564" s="880">
        <v>65.758603626612185</v>
      </c>
      <c r="P564" s="880">
        <v>176</v>
      </c>
      <c r="Q564" s="881">
        <v>0.37362842969666016</v>
      </c>
      <c r="R564" s="880">
        <v>39.71448353733345</v>
      </c>
      <c r="S564" s="880">
        <v>160</v>
      </c>
      <c r="T564" s="881">
        <v>0.24821552210833406</v>
      </c>
      <c r="U564" s="880">
        <v>47.77501427808177</v>
      </c>
      <c r="V564" s="880">
        <v>107</v>
      </c>
      <c r="W564" s="881">
        <v>0.4464954605428203</v>
      </c>
      <c r="X564" s="880">
        <v>14.283437451984815</v>
      </c>
      <c r="Y564" s="880">
        <v>82</v>
      </c>
      <c r="Z564" s="881">
        <v>0.1741882616095709</v>
      </c>
      <c r="AA564" s="880" t="s">
        <v>1450</v>
      </c>
      <c r="AB564" s="880" t="s">
        <v>1450</v>
      </c>
      <c r="AC564" s="881" t="s">
        <v>1450</v>
      </c>
      <c r="AD564" s="880" t="s">
        <v>1450</v>
      </c>
      <c r="AE564" s="880" t="s">
        <v>1450</v>
      </c>
      <c r="AF564" s="881" t="s">
        <v>1450</v>
      </c>
      <c r="AG564" s="880" t="s">
        <v>1450</v>
      </c>
      <c r="AH564" s="880" t="s">
        <v>1450</v>
      </c>
      <c r="AI564" s="881" t="s">
        <v>1450</v>
      </c>
    </row>
    <row r="565" spans="2:35" x14ac:dyDescent="0.2">
      <c r="B565" s="867">
        <v>108775000</v>
      </c>
      <c r="C565" s="876" t="s">
        <v>1447</v>
      </c>
      <c r="D565" s="877" t="s">
        <v>1447</v>
      </c>
      <c r="E565" s="877" t="s">
        <v>1447</v>
      </c>
      <c r="F565" s="877" t="s">
        <v>1447</v>
      </c>
      <c r="G565" s="877" t="s">
        <v>1447</v>
      </c>
      <c r="H565" s="877" t="s">
        <v>1447</v>
      </c>
      <c r="I565" s="877" t="s">
        <v>1448</v>
      </c>
      <c r="J565" s="878" t="s">
        <v>1447</v>
      </c>
      <c r="K565" s="877"/>
      <c r="L565" s="879">
        <v>14</v>
      </c>
      <c r="M565" s="880">
        <v>54</v>
      </c>
      <c r="N565" s="881">
        <v>0.25669999999999998</v>
      </c>
      <c r="O565" s="880">
        <v>20.013488060273275</v>
      </c>
      <c r="P565" s="880">
        <v>59</v>
      </c>
      <c r="Q565" s="881">
        <v>0.33921166203853009</v>
      </c>
      <c r="R565" s="880">
        <v>21.662445565818246</v>
      </c>
      <c r="S565" s="880">
        <v>63</v>
      </c>
      <c r="T565" s="881">
        <v>0.34384834231457534</v>
      </c>
      <c r="U565" s="880">
        <v>17.564343484588886</v>
      </c>
      <c r="V565" s="880">
        <v>54</v>
      </c>
      <c r="W565" s="881">
        <v>0.32526562008497933</v>
      </c>
      <c r="X565" s="880">
        <v>13.569265579385574</v>
      </c>
      <c r="Y565" s="880">
        <v>44</v>
      </c>
      <c r="Z565" s="881">
        <v>0.30839239953149034</v>
      </c>
      <c r="AA565" s="880">
        <v>15.021431749053992</v>
      </c>
      <c r="AB565" s="880">
        <v>48</v>
      </c>
      <c r="AC565" s="881">
        <v>0.31294649477195818</v>
      </c>
      <c r="AD565" s="880">
        <v>9.4686261323810896</v>
      </c>
      <c r="AE565" s="880">
        <v>41</v>
      </c>
      <c r="AF565" s="881">
        <v>0.23094210078978267</v>
      </c>
      <c r="AG565" s="880">
        <v>14.277091263890084</v>
      </c>
      <c r="AH565" s="880">
        <v>46</v>
      </c>
      <c r="AI565" s="881">
        <v>0.31037154921500182</v>
      </c>
    </row>
    <row r="566" spans="2:35" x14ac:dyDescent="0.2">
      <c r="B566" s="867">
        <v>108776000</v>
      </c>
      <c r="C566" s="876" t="s">
        <v>1447</v>
      </c>
      <c r="D566" s="877" t="s">
        <v>1447</v>
      </c>
      <c r="E566" s="877" t="s">
        <v>1447</v>
      </c>
      <c r="F566" s="877" t="s">
        <v>1447</v>
      </c>
      <c r="G566" s="877" t="s">
        <v>1447</v>
      </c>
      <c r="H566" s="877" t="s">
        <v>1447</v>
      </c>
      <c r="I566" s="877" t="s">
        <v>1448</v>
      </c>
      <c r="J566" s="878" t="s">
        <v>1448</v>
      </c>
      <c r="K566" s="877"/>
      <c r="L566" s="879">
        <v>24</v>
      </c>
      <c r="M566" s="880">
        <v>72</v>
      </c>
      <c r="N566" s="881">
        <v>0.3306</v>
      </c>
      <c r="O566" s="880">
        <v>41.170604009705023</v>
      </c>
      <c r="P566" s="880">
        <v>88</v>
      </c>
      <c r="Q566" s="881">
        <v>0.46784777283755707</v>
      </c>
      <c r="R566" s="880">
        <v>47.537033324990041</v>
      </c>
      <c r="S566" s="880">
        <v>87</v>
      </c>
      <c r="T566" s="881">
        <v>0.54640268189643726</v>
      </c>
      <c r="U566" s="880">
        <v>49.882735496232435</v>
      </c>
      <c r="V566" s="880">
        <v>79</v>
      </c>
      <c r="W566" s="881">
        <v>0.63142703159787894</v>
      </c>
      <c r="X566" s="880">
        <v>33.566078012164319</v>
      </c>
      <c r="Y566" s="880">
        <v>85</v>
      </c>
      <c r="Z566" s="881">
        <v>0.39489503543722726</v>
      </c>
      <c r="AA566" s="880">
        <v>40.057151330810647</v>
      </c>
      <c r="AB566" s="880">
        <v>71</v>
      </c>
      <c r="AC566" s="881">
        <v>0.56418523001141752</v>
      </c>
      <c r="AD566" s="880" t="s">
        <v>1450</v>
      </c>
      <c r="AE566" s="880" t="s">
        <v>1450</v>
      </c>
      <c r="AF566" s="881" t="s">
        <v>1450</v>
      </c>
      <c r="AG566" s="880" t="s">
        <v>1450</v>
      </c>
      <c r="AH566" s="880" t="s">
        <v>1450</v>
      </c>
      <c r="AI566" s="881" t="s">
        <v>1450</v>
      </c>
    </row>
    <row r="567" spans="2:35" x14ac:dyDescent="0.2">
      <c r="B567" s="867">
        <v>108777000</v>
      </c>
      <c r="C567" s="876" t="s">
        <v>1448</v>
      </c>
      <c r="D567" s="877" t="s">
        <v>1448</v>
      </c>
      <c r="E567" s="877" t="s">
        <v>1448</v>
      </c>
      <c r="F567" s="877" t="s">
        <v>1448</v>
      </c>
      <c r="G567" s="877" t="s">
        <v>1448</v>
      </c>
      <c r="H567" s="877" t="s">
        <v>1448</v>
      </c>
      <c r="I567" s="877" t="s">
        <v>1448</v>
      </c>
      <c r="J567" s="878" t="s">
        <v>1448</v>
      </c>
      <c r="K567" s="877"/>
      <c r="L567" s="879">
        <v>0</v>
      </c>
      <c r="M567" s="880">
        <v>122</v>
      </c>
      <c r="N567" s="881">
        <v>0</v>
      </c>
      <c r="O567" s="880">
        <v>1.7154418337377093</v>
      </c>
      <c r="P567" s="880">
        <v>141</v>
      </c>
      <c r="Q567" s="881">
        <v>1.2166254139983753E-2</v>
      </c>
      <c r="R567" s="880">
        <v>0</v>
      </c>
      <c r="S567" s="880">
        <v>133</v>
      </c>
      <c r="T567" s="881">
        <v>0</v>
      </c>
      <c r="U567" s="880">
        <v>0</v>
      </c>
      <c r="V567" s="880">
        <v>128</v>
      </c>
      <c r="W567" s="881">
        <v>0</v>
      </c>
      <c r="X567" s="880">
        <v>0</v>
      </c>
      <c r="Y567" s="880">
        <v>127</v>
      </c>
      <c r="Z567" s="881">
        <v>0</v>
      </c>
      <c r="AA567" s="880" t="s">
        <v>1450</v>
      </c>
      <c r="AB567" s="880" t="s">
        <v>1450</v>
      </c>
      <c r="AC567" s="881" t="s">
        <v>1450</v>
      </c>
      <c r="AD567" s="880" t="s">
        <v>1450</v>
      </c>
      <c r="AE567" s="880" t="s">
        <v>1450</v>
      </c>
      <c r="AF567" s="881" t="s">
        <v>1450</v>
      </c>
      <c r="AG567" s="880" t="s">
        <v>1450</v>
      </c>
      <c r="AH567" s="880" t="s">
        <v>1450</v>
      </c>
      <c r="AI567" s="881" t="s">
        <v>1450</v>
      </c>
    </row>
    <row r="568" spans="2:35" x14ac:dyDescent="0.2">
      <c r="B568" s="867">
        <v>108778000</v>
      </c>
      <c r="C568" s="876" t="s">
        <v>1447</v>
      </c>
      <c r="D568" s="877" t="s">
        <v>1447</v>
      </c>
      <c r="E568" s="877" t="s">
        <v>1447</v>
      </c>
      <c r="F568" s="877" t="s">
        <v>1447</v>
      </c>
      <c r="G568" s="877" t="s">
        <v>1447</v>
      </c>
      <c r="H568" s="877" t="s">
        <v>1447</v>
      </c>
      <c r="I568" s="877" t="s">
        <v>1447</v>
      </c>
      <c r="J568" s="878" t="s">
        <v>1447</v>
      </c>
      <c r="K568" s="877"/>
      <c r="L568" s="879">
        <v>96</v>
      </c>
      <c r="M568" s="880">
        <v>297</v>
      </c>
      <c r="N568" s="881">
        <v>0.32179999999999997</v>
      </c>
      <c r="O568" s="880">
        <v>118.36548652790194</v>
      </c>
      <c r="P568" s="880">
        <v>291</v>
      </c>
      <c r="Q568" s="881">
        <v>0.40675424923677639</v>
      </c>
      <c r="R568" s="880">
        <v>138.39895778161659</v>
      </c>
      <c r="S568" s="880">
        <v>328</v>
      </c>
      <c r="T568" s="881">
        <v>0.42194804201712377</v>
      </c>
      <c r="U568" s="880">
        <v>184.77689345787508</v>
      </c>
      <c r="V568" s="880">
        <v>378</v>
      </c>
      <c r="W568" s="881">
        <v>0.48882776047056897</v>
      </c>
      <c r="X568" s="880">
        <v>195.68309309219197</v>
      </c>
      <c r="Y568" s="880">
        <v>370</v>
      </c>
      <c r="Z568" s="881">
        <v>0.52887322457349184</v>
      </c>
      <c r="AA568" s="880">
        <v>200.91164964359714</v>
      </c>
      <c r="AB568" s="880">
        <v>409</v>
      </c>
      <c r="AC568" s="881">
        <v>0.49122652724595878</v>
      </c>
      <c r="AD568" s="880">
        <v>159.47159801904994</v>
      </c>
      <c r="AE568" s="880">
        <v>407</v>
      </c>
      <c r="AF568" s="881">
        <v>0.39182210815491386</v>
      </c>
      <c r="AG568" s="880">
        <v>166.93214400856098</v>
      </c>
      <c r="AH568" s="880">
        <v>420</v>
      </c>
      <c r="AI568" s="881">
        <v>0.39745748573466899</v>
      </c>
    </row>
    <row r="569" spans="2:35" x14ac:dyDescent="0.2">
      <c r="B569" s="867">
        <v>108779000</v>
      </c>
      <c r="C569" s="876" t="s">
        <v>1447</v>
      </c>
      <c r="D569" s="877" t="s">
        <v>1447</v>
      </c>
      <c r="E569" s="877" t="s">
        <v>1447</v>
      </c>
      <c r="F569" s="877" t="s">
        <v>1447</v>
      </c>
      <c r="G569" s="877" t="s">
        <v>1447</v>
      </c>
      <c r="H569" s="877" t="s">
        <v>1447</v>
      </c>
      <c r="I569" s="877" t="s">
        <v>1447</v>
      </c>
      <c r="J569" s="878" t="s">
        <v>1447</v>
      </c>
      <c r="K569" s="877"/>
      <c r="L569" s="879">
        <v>297</v>
      </c>
      <c r="M569" s="880">
        <v>760</v>
      </c>
      <c r="N569" s="881">
        <v>0.39040000000000002</v>
      </c>
      <c r="O569" s="880">
        <v>357.38371536202277</v>
      </c>
      <c r="P569" s="880">
        <v>733</v>
      </c>
      <c r="Q569" s="881">
        <v>0.48756304960712521</v>
      </c>
      <c r="R569" s="880">
        <v>361.71801869935825</v>
      </c>
      <c r="S569" s="880">
        <v>705</v>
      </c>
      <c r="T569" s="881">
        <v>0.51307520382887695</v>
      </c>
      <c r="U569" s="880">
        <v>232.55190773595683</v>
      </c>
      <c r="V569" s="880">
        <v>581</v>
      </c>
      <c r="W569" s="881">
        <v>0.4002614590980324</v>
      </c>
      <c r="X569" s="880">
        <v>279.95537405890235</v>
      </c>
      <c r="Y569" s="880">
        <v>542</v>
      </c>
      <c r="Z569" s="881">
        <v>0.51652283036697855</v>
      </c>
      <c r="AA569" s="880">
        <v>225.94736922535381</v>
      </c>
      <c r="AB569" s="880">
        <v>540</v>
      </c>
      <c r="AC569" s="881">
        <v>0.41842105412102559</v>
      </c>
      <c r="AD569" s="880">
        <v>255.65290557428943</v>
      </c>
      <c r="AE569" s="880">
        <v>658</v>
      </c>
      <c r="AF569" s="881">
        <v>0.3885302516326587</v>
      </c>
      <c r="AG569" s="880">
        <v>345.944903701952</v>
      </c>
      <c r="AH569" s="880">
        <v>633</v>
      </c>
      <c r="AI569" s="881">
        <v>0.54651643554810747</v>
      </c>
    </row>
    <row r="570" spans="2:35" x14ac:dyDescent="0.2">
      <c r="B570" s="867">
        <v>108780000</v>
      </c>
      <c r="C570" s="876" t="s">
        <v>1448</v>
      </c>
      <c r="D570" s="877" t="s">
        <v>1448</v>
      </c>
      <c r="E570" s="877" t="s">
        <v>1448</v>
      </c>
      <c r="F570" s="877" t="s">
        <v>1448</v>
      </c>
      <c r="G570" s="877" t="s">
        <v>1448</v>
      </c>
      <c r="H570" s="877" t="s">
        <v>1448</v>
      </c>
      <c r="I570" s="877" t="s">
        <v>1448</v>
      </c>
      <c r="J570" s="878" t="s">
        <v>1448</v>
      </c>
      <c r="K570" s="877"/>
      <c r="L570" s="879">
        <v>10</v>
      </c>
      <c r="M570" s="880">
        <v>194</v>
      </c>
      <c r="N570" s="881">
        <v>0.05</v>
      </c>
      <c r="O570" s="880">
        <v>18.298046226535565</v>
      </c>
      <c r="P570" s="880">
        <v>242</v>
      </c>
      <c r="Q570" s="881">
        <v>7.5611761266675889E-2</v>
      </c>
      <c r="R570" s="880">
        <v>13.238161179111151</v>
      </c>
      <c r="S570" s="880">
        <v>239</v>
      </c>
      <c r="T570" s="881">
        <v>5.5389795728498538E-2</v>
      </c>
      <c r="U570" s="880">
        <v>25.99522835719155</v>
      </c>
      <c r="V570" s="880">
        <v>247</v>
      </c>
      <c r="W570" s="881">
        <v>0.10524383950279979</v>
      </c>
      <c r="X570" s="880">
        <v>19.282640560179502</v>
      </c>
      <c r="Y570" s="880">
        <v>205</v>
      </c>
      <c r="Z570" s="881">
        <v>9.4061661269168304E-2</v>
      </c>
      <c r="AA570" s="880" t="s">
        <v>1450</v>
      </c>
      <c r="AB570" s="880" t="s">
        <v>1450</v>
      </c>
      <c r="AC570" s="881" t="s">
        <v>1450</v>
      </c>
      <c r="AD570" s="880" t="s">
        <v>1450</v>
      </c>
      <c r="AE570" s="880" t="s">
        <v>1450</v>
      </c>
      <c r="AF570" s="881" t="s">
        <v>1450</v>
      </c>
      <c r="AG570" s="880" t="s">
        <v>1450</v>
      </c>
      <c r="AH570" s="880" t="s">
        <v>1450</v>
      </c>
      <c r="AI570" s="881" t="s">
        <v>1450</v>
      </c>
    </row>
    <row r="571" spans="2:35" x14ac:dyDescent="0.2">
      <c r="B571" s="867">
        <v>108781000</v>
      </c>
      <c r="C571" s="876" t="s">
        <v>1448</v>
      </c>
      <c r="D571" s="877" t="s">
        <v>1448</v>
      </c>
      <c r="E571" s="877" t="s">
        <v>1448</v>
      </c>
      <c r="F571" s="877" t="s">
        <v>1448</v>
      </c>
      <c r="G571" s="877" t="s">
        <v>1448</v>
      </c>
      <c r="H571" s="877" t="s">
        <v>1448</v>
      </c>
      <c r="I571" s="877" t="s">
        <v>1448</v>
      </c>
      <c r="J571" s="878" t="s">
        <v>1448</v>
      </c>
      <c r="K571" s="877"/>
      <c r="L571" s="879">
        <v>0</v>
      </c>
      <c r="M571" s="880">
        <v>199</v>
      </c>
      <c r="N571" s="881">
        <v>0</v>
      </c>
      <c r="O571" s="880">
        <v>0</v>
      </c>
      <c r="P571" s="880">
        <v>130</v>
      </c>
      <c r="Q571" s="881">
        <v>0</v>
      </c>
      <c r="R571" s="880" t="s">
        <v>1450</v>
      </c>
      <c r="S571" s="880" t="s">
        <v>1450</v>
      </c>
      <c r="T571" s="881" t="s">
        <v>1450</v>
      </c>
      <c r="U571" s="880" t="s">
        <v>1450</v>
      </c>
      <c r="V571" s="880" t="s">
        <v>1450</v>
      </c>
      <c r="W571" s="881" t="s">
        <v>1450</v>
      </c>
      <c r="X571" s="880" t="s">
        <v>1450</v>
      </c>
      <c r="Y571" s="880" t="s">
        <v>1450</v>
      </c>
      <c r="Z571" s="881" t="s">
        <v>1450</v>
      </c>
      <c r="AA571" s="880" t="s">
        <v>1450</v>
      </c>
      <c r="AB571" s="880" t="s">
        <v>1450</v>
      </c>
      <c r="AC571" s="881" t="s">
        <v>1450</v>
      </c>
      <c r="AD571" s="880" t="s">
        <v>1450</v>
      </c>
      <c r="AE571" s="880" t="s">
        <v>1450</v>
      </c>
      <c r="AF571" s="881" t="s">
        <v>1450</v>
      </c>
      <c r="AG571" s="880" t="s">
        <v>1450</v>
      </c>
      <c r="AH571" s="880" t="s">
        <v>1450</v>
      </c>
      <c r="AI571" s="881" t="s">
        <v>1450</v>
      </c>
    </row>
    <row r="572" spans="2:35" x14ac:dyDescent="0.2">
      <c r="B572" s="867">
        <v>108784000</v>
      </c>
      <c r="C572" s="876" t="s">
        <v>1448</v>
      </c>
      <c r="D572" s="877" t="s">
        <v>1448</v>
      </c>
      <c r="E572" s="877" t="s">
        <v>1448</v>
      </c>
      <c r="F572" s="877" t="s">
        <v>1448</v>
      </c>
      <c r="G572" s="877" t="s">
        <v>1448</v>
      </c>
      <c r="H572" s="877" t="s">
        <v>1448</v>
      </c>
      <c r="I572" s="877" t="s">
        <v>1448</v>
      </c>
      <c r="J572" s="878" t="s">
        <v>1448</v>
      </c>
      <c r="K572" s="877"/>
      <c r="L572" s="879">
        <v>0</v>
      </c>
      <c r="M572" s="880">
        <v>204</v>
      </c>
      <c r="N572" s="881">
        <v>0</v>
      </c>
      <c r="O572" s="880">
        <v>0</v>
      </c>
      <c r="P572" s="880">
        <v>6</v>
      </c>
      <c r="Q572" s="881">
        <v>0</v>
      </c>
      <c r="R572" s="880">
        <v>0</v>
      </c>
      <c r="S572" s="880">
        <v>253</v>
      </c>
      <c r="T572" s="881">
        <v>0</v>
      </c>
      <c r="U572" s="880">
        <v>0</v>
      </c>
      <c r="V572" s="880">
        <v>253</v>
      </c>
      <c r="W572" s="881">
        <v>0</v>
      </c>
      <c r="X572" s="880">
        <v>0</v>
      </c>
      <c r="Y572" s="880">
        <v>249</v>
      </c>
      <c r="Z572" s="881">
        <v>0</v>
      </c>
      <c r="AA572" s="880" t="s">
        <v>1450</v>
      </c>
      <c r="AB572" s="880" t="s">
        <v>1450</v>
      </c>
      <c r="AC572" s="881" t="s">
        <v>1450</v>
      </c>
      <c r="AD572" s="880" t="s">
        <v>1450</v>
      </c>
      <c r="AE572" s="880" t="s">
        <v>1450</v>
      </c>
      <c r="AF572" s="881" t="s">
        <v>1450</v>
      </c>
      <c r="AG572" s="880" t="s">
        <v>1450</v>
      </c>
      <c r="AH572" s="880" t="s">
        <v>1450</v>
      </c>
      <c r="AI572" s="881" t="s">
        <v>1450</v>
      </c>
    </row>
    <row r="573" spans="2:35" x14ac:dyDescent="0.2">
      <c r="B573" s="867">
        <v>108785000</v>
      </c>
      <c r="C573" s="876" t="s">
        <v>1447</v>
      </c>
      <c r="D573" s="877" t="s">
        <v>1447</v>
      </c>
      <c r="E573" s="877" t="s">
        <v>1447</v>
      </c>
      <c r="F573" s="877" t="s">
        <v>1447</v>
      </c>
      <c r="G573" s="877" t="s">
        <v>1447</v>
      </c>
      <c r="H573" s="877" t="s">
        <v>1447</v>
      </c>
      <c r="I573" s="877" t="s">
        <v>1447</v>
      </c>
      <c r="J573" s="878" t="s">
        <v>1447</v>
      </c>
      <c r="K573" s="877"/>
      <c r="L573" s="879">
        <v>111</v>
      </c>
      <c r="M573" s="880">
        <v>242</v>
      </c>
      <c r="N573" s="881">
        <v>0.45850000000000002</v>
      </c>
      <c r="O573" s="880">
        <v>146.95618375686377</v>
      </c>
      <c r="P573" s="880">
        <v>261</v>
      </c>
      <c r="Q573" s="881">
        <v>0.56305051247840521</v>
      </c>
      <c r="R573" s="880">
        <v>163.07007634268737</v>
      </c>
      <c r="S573" s="880">
        <v>282</v>
      </c>
      <c r="T573" s="881">
        <v>0.5782626820662673</v>
      </c>
      <c r="U573" s="880">
        <v>172.83313988835462</v>
      </c>
      <c r="V573" s="880">
        <v>254</v>
      </c>
      <c r="W573" s="881">
        <v>0.6804454326313174</v>
      </c>
      <c r="X573" s="880">
        <v>160.68867133482917</v>
      </c>
      <c r="Y573" s="880">
        <v>229</v>
      </c>
      <c r="Z573" s="881">
        <v>0.70169725473724531</v>
      </c>
      <c r="AA573" s="880">
        <v>135.81877873102985</v>
      </c>
      <c r="AB573" s="880">
        <v>221</v>
      </c>
      <c r="AC573" s="881">
        <v>0.61456460964266901</v>
      </c>
      <c r="AD573" s="880">
        <v>107.64332866285871</v>
      </c>
      <c r="AE573" s="880">
        <v>218</v>
      </c>
      <c r="AF573" s="881">
        <v>0.49377673698559038</v>
      </c>
      <c r="AG573" s="880">
        <v>111.47113563729565</v>
      </c>
      <c r="AH573" s="880">
        <v>203</v>
      </c>
      <c r="AI573" s="881">
        <v>0.5491188947650032</v>
      </c>
    </row>
    <row r="574" spans="2:35" x14ac:dyDescent="0.2">
      <c r="B574" s="867">
        <v>108786000</v>
      </c>
      <c r="C574" s="876" t="s">
        <v>1447</v>
      </c>
      <c r="D574" s="877" t="s">
        <v>1447</v>
      </c>
      <c r="E574" s="877" t="s">
        <v>1448</v>
      </c>
      <c r="F574" s="877" t="s">
        <v>1448</v>
      </c>
      <c r="G574" s="877" t="s">
        <v>1448</v>
      </c>
      <c r="H574" s="877" t="s">
        <v>1448</v>
      </c>
      <c r="I574" s="877" t="s">
        <v>1448</v>
      </c>
      <c r="J574" s="878" t="s">
        <v>1448</v>
      </c>
      <c r="K574" s="877"/>
      <c r="L574" s="879">
        <v>33</v>
      </c>
      <c r="M574" s="880">
        <v>88</v>
      </c>
      <c r="N574" s="881">
        <v>0.37659999999999999</v>
      </c>
      <c r="O574" s="880">
        <v>39.45516217596731</v>
      </c>
      <c r="P574" s="880">
        <v>85</v>
      </c>
      <c r="Q574" s="881">
        <v>0.46417837854079186</v>
      </c>
      <c r="R574" s="880" t="s">
        <v>1450</v>
      </c>
      <c r="S574" s="880" t="s">
        <v>1450</v>
      </c>
      <c r="T574" s="881" t="s">
        <v>1450</v>
      </c>
      <c r="U574" s="880" t="s">
        <v>1450</v>
      </c>
      <c r="V574" s="880" t="s">
        <v>1450</v>
      </c>
      <c r="W574" s="881" t="s">
        <v>1450</v>
      </c>
      <c r="X574" s="880" t="s">
        <v>1450</v>
      </c>
      <c r="Y574" s="880" t="s">
        <v>1450</v>
      </c>
      <c r="Z574" s="881" t="s">
        <v>1450</v>
      </c>
      <c r="AA574" s="880" t="s">
        <v>1450</v>
      </c>
      <c r="AB574" s="880" t="s">
        <v>1450</v>
      </c>
      <c r="AC574" s="881" t="s">
        <v>1450</v>
      </c>
      <c r="AD574" s="880" t="s">
        <v>1450</v>
      </c>
      <c r="AE574" s="880" t="s">
        <v>1450</v>
      </c>
      <c r="AF574" s="881" t="s">
        <v>1450</v>
      </c>
      <c r="AG574" s="880" t="s">
        <v>1450</v>
      </c>
      <c r="AH574" s="880" t="s">
        <v>1450</v>
      </c>
      <c r="AI574" s="881" t="s">
        <v>1450</v>
      </c>
    </row>
    <row r="575" spans="2:35" x14ac:dyDescent="0.2">
      <c r="B575" s="867">
        <v>108789000</v>
      </c>
      <c r="C575" s="876" t="s">
        <v>1447</v>
      </c>
      <c r="D575" s="877" t="s">
        <v>1447</v>
      </c>
      <c r="E575" s="877" t="s">
        <v>1447</v>
      </c>
      <c r="F575" s="877" t="s">
        <v>1447</v>
      </c>
      <c r="G575" s="877" t="s">
        <v>1447</v>
      </c>
      <c r="H575" s="877" t="s">
        <v>1447</v>
      </c>
      <c r="I575" s="877" t="s">
        <v>1447</v>
      </c>
      <c r="J575" s="878" t="s">
        <v>1447</v>
      </c>
      <c r="K575" s="877"/>
      <c r="L575" s="879">
        <v>107</v>
      </c>
      <c r="M575" s="880">
        <v>308</v>
      </c>
      <c r="N575" s="881">
        <v>0.34760000000000002</v>
      </c>
      <c r="O575" s="880">
        <v>202.99395032562893</v>
      </c>
      <c r="P575" s="880">
        <v>414</v>
      </c>
      <c r="Q575" s="881">
        <v>0.49032355151118101</v>
      </c>
      <c r="R575" s="880">
        <v>213.61578266292994</v>
      </c>
      <c r="S575" s="880">
        <v>414</v>
      </c>
      <c r="T575" s="881">
        <v>0.51598015135973418</v>
      </c>
      <c r="U575" s="880">
        <v>198.12579450616261</v>
      </c>
      <c r="V575" s="880">
        <v>358</v>
      </c>
      <c r="W575" s="881">
        <v>0.55342400700045424</v>
      </c>
      <c r="X575" s="880">
        <v>197.82560870998969</v>
      </c>
      <c r="Y575" s="880">
        <v>359</v>
      </c>
      <c r="Z575" s="881">
        <v>0.55104626381612731</v>
      </c>
      <c r="AA575" s="880">
        <v>188.39378985271884</v>
      </c>
      <c r="AB575" s="880">
        <v>350</v>
      </c>
      <c r="AC575" s="881">
        <v>0.53826797100776813</v>
      </c>
      <c r="AD575" s="880">
        <v>141.53104324190681</v>
      </c>
      <c r="AE575" s="880">
        <v>323</v>
      </c>
      <c r="AF575" s="881">
        <v>0.43817660446410778</v>
      </c>
      <c r="AG575" s="880">
        <v>152.10593384990588</v>
      </c>
      <c r="AH575" s="880">
        <v>288</v>
      </c>
      <c r="AI575" s="881">
        <v>0.52814560364550656</v>
      </c>
    </row>
    <row r="576" spans="2:35" x14ac:dyDescent="0.2">
      <c r="B576" s="867">
        <v>108790000</v>
      </c>
      <c r="C576" s="876" t="s">
        <v>1447</v>
      </c>
      <c r="D576" s="877" t="s">
        <v>1447</v>
      </c>
      <c r="E576" s="877" t="s">
        <v>1447</v>
      </c>
      <c r="F576" s="877" t="s">
        <v>1448</v>
      </c>
      <c r="G576" s="877" t="s">
        <v>1448</v>
      </c>
      <c r="H576" s="877" t="s">
        <v>1448</v>
      </c>
      <c r="I576" s="877" t="s">
        <v>1448</v>
      </c>
      <c r="J576" s="878" t="s">
        <v>1448</v>
      </c>
      <c r="K576" s="877"/>
      <c r="L576" s="879">
        <v>21</v>
      </c>
      <c r="M576" s="880">
        <v>61</v>
      </c>
      <c r="N576" s="881">
        <v>0.34889999999999999</v>
      </c>
      <c r="O576" s="880">
        <v>19.441674115694038</v>
      </c>
      <c r="P576" s="880">
        <v>51</v>
      </c>
      <c r="Q576" s="881">
        <v>0.38120929638615764</v>
      </c>
      <c r="R576" s="880">
        <v>17.450303372464699</v>
      </c>
      <c r="S576" s="880">
        <v>49</v>
      </c>
      <c r="T576" s="881">
        <v>0.35612864025438162</v>
      </c>
      <c r="U576" s="880" t="s">
        <v>1450</v>
      </c>
      <c r="V576" s="880" t="s">
        <v>1450</v>
      </c>
      <c r="W576" s="881" t="s">
        <v>1450</v>
      </c>
      <c r="X576" s="880" t="s">
        <v>1450</v>
      </c>
      <c r="Y576" s="880" t="s">
        <v>1450</v>
      </c>
      <c r="Z576" s="881" t="s">
        <v>1450</v>
      </c>
      <c r="AA576" s="880" t="s">
        <v>1450</v>
      </c>
      <c r="AB576" s="880" t="s">
        <v>1450</v>
      </c>
      <c r="AC576" s="881" t="s">
        <v>1450</v>
      </c>
      <c r="AD576" s="880" t="s">
        <v>1450</v>
      </c>
      <c r="AE576" s="880" t="s">
        <v>1450</v>
      </c>
      <c r="AF576" s="881" t="s">
        <v>1450</v>
      </c>
      <c r="AG576" s="880" t="s">
        <v>1450</v>
      </c>
      <c r="AH576" s="880" t="s">
        <v>1450</v>
      </c>
      <c r="AI576" s="881" t="s">
        <v>1450</v>
      </c>
    </row>
    <row r="577" spans="2:35" x14ac:dyDescent="0.2">
      <c r="B577" s="867">
        <v>108792000</v>
      </c>
      <c r="C577" s="876" t="s">
        <v>1447</v>
      </c>
      <c r="D577" s="877" t="s">
        <v>1447</v>
      </c>
      <c r="E577" s="877" t="s">
        <v>1447</v>
      </c>
      <c r="F577" s="877" t="s">
        <v>1447</v>
      </c>
      <c r="G577" s="877" t="s">
        <v>1447</v>
      </c>
      <c r="H577" s="877" t="s">
        <v>1448</v>
      </c>
      <c r="I577" s="877" t="s">
        <v>1448</v>
      </c>
      <c r="J577" s="878" t="s">
        <v>1448</v>
      </c>
      <c r="K577" s="877"/>
      <c r="L577" s="879">
        <v>48</v>
      </c>
      <c r="M577" s="880">
        <v>117</v>
      </c>
      <c r="N577" s="881">
        <v>0.4093</v>
      </c>
      <c r="O577" s="880">
        <v>37.167906397650363</v>
      </c>
      <c r="P577" s="880">
        <v>103</v>
      </c>
      <c r="Q577" s="881">
        <v>0.36085346017136277</v>
      </c>
      <c r="R577" s="880">
        <v>53.554379315495112</v>
      </c>
      <c r="S577" s="880">
        <v>101</v>
      </c>
      <c r="T577" s="881">
        <v>0.53024137936133775</v>
      </c>
      <c r="U577" s="880">
        <v>56.908472890067983</v>
      </c>
      <c r="V577" s="880">
        <v>89</v>
      </c>
      <c r="W577" s="881">
        <v>0.63942104370862907</v>
      </c>
      <c r="X577" s="880">
        <v>49.992031081946855</v>
      </c>
      <c r="Y577" s="880">
        <v>76</v>
      </c>
      <c r="Z577" s="881">
        <v>0.65778988265719551</v>
      </c>
      <c r="AA577" s="880" t="s">
        <v>1450</v>
      </c>
      <c r="AB577" s="880" t="s">
        <v>1450</v>
      </c>
      <c r="AC577" s="881" t="s">
        <v>1450</v>
      </c>
      <c r="AD577" s="880" t="s">
        <v>1450</v>
      </c>
      <c r="AE577" s="880" t="s">
        <v>1450</v>
      </c>
      <c r="AF577" s="881" t="s">
        <v>1450</v>
      </c>
      <c r="AG577" s="880" t="s">
        <v>1450</v>
      </c>
      <c r="AH577" s="880" t="s">
        <v>1450</v>
      </c>
      <c r="AI577" s="881" t="s">
        <v>1450</v>
      </c>
    </row>
    <row r="578" spans="2:35" x14ac:dyDescent="0.2">
      <c r="B578" s="867">
        <v>108793000</v>
      </c>
      <c r="C578" s="876" t="s">
        <v>1447</v>
      </c>
      <c r="D578" s="877" t="s">
        <v>1447</v>
      </c>
      <c r="E578" s="877" t="s">
        <v>1447</v>
      </c>
      <c r="F578" s="877" t="s">
        <v>1447</v>
      </c>
      <c r="G578" s="877" t="s">
        <v>1447</v>
      </c>
      <c r="H578" s="877" t="s">
        <v>1447</v>
      </c>
      <c r="I578" s="877" t="s">
        <v>1447</v>
      </c>
      <c r="J578" s="878" t="s">
        <v>1447</v>
      </c>
      <c r="K578" s="877"/>
      <c r="L578" s="879">
        <v>51</v>
      </c>
      <c r="M578" s="880">
        <v>129</v>
      </c>
      <c r="N578" s="881">
        <v>0.39279999999999998</v>
      </c>
      <c r="O578" s="880">
        <v>58.325022347082111</v>
      </c>
      <c r="P578" s="880">
        <v>107</v>
      </c>
      <c r="Q578" s="881">
        <v>0.54509366679515991</v>
      </c>
      <c r="R578" s="880">
        <v>63.182132900303223</v>
      </c>
      <c r="S578" s="880">
        <v>113</v>
      </c>
      <c r="T578" s="881">
        <v>0.55913391947170998</v>
      </c>
      <c r="U578" s="880">
        <v>58.313620368835096</v>
      </c>
      <c r="V578" s="880">
        <v>83</v>
      </c>
      <c r="W578" s="881">
        <v>0.70257373938355538</v>
      </c>
      <c r="X578" s="880">
        <v>52.848718572343813</v>
      </c>
      <c r="Y578" s="880">
        <v>68</v>
      </c>
      <c r="Z578" s="881">
        <v>0.77718703782858545</v>
      </c>
      <c r="AA578" s="880">
        <v>49.44554617396939</v>
      </c>
      <c r="AB578" s="880">
        <v>75</v>
      </c>
      <c r="AC578" s="881">
        <v>0.65927394898625857</v>
      </c>
      <c r="AD578" s="880">
        <v>36.379458298095763</v>
      </c>
      <c r="AE578" s="880">
        <v>73</v>
      </c>
      <c r="AF578" s="881">
        <v>0.49834874380953098</v>
      </c>
      <c r="AG578" s="880">
        <v>30.201539212075176</v>
      </c>
      <c r="AH578" s="880">
        <v>57</v>
      </c>
      <c r="AI578" s="881">
        <v>0.5298515651241259</v>
      </c>
    </row>
    <row r="579" spans="2:35" x14ac:dyDescent="0.2">
      <c r="B579" s="867">
        <v>108794000</v>
      </c>
      <c r="C579" s="876" t="s">
        <v>1447</v>
      </c>
      <c r="D579" s="877" t="s">
        <v>1447</v>
      </c>
      <c r="E579" s="877" t="s">
        <v>1447</v>
      </c>
      <c r="F579" s="877" t="s">
        <v>1447</v>
      </c>
      <c r="G579" s="877" t="s">
        <v>1447</v>
      </c>
      <c r="H579" s="877" t="s">
        <v>1447</v>
      </c>
      <c r="I579" s="877" t="s">
        <v>1447</v>
      </c>
      <c r="J579" s="878" t="s">
        <v>1447</v>
      </c>
      <c r="K579" s="877"/>
      <c r="L579" s="879">
        <v>171</v>
      </c>
      <c r="M579" s="880">
        <v>463</v>
      </c>
      <c r="N579" s="881">
        <v>0.36880000000000002</v>
      </c>
      <c r="O579" s="880">
        <v>203.56576427020815</v>
      </c>
      <c r="P579" s="880">
        <v>402</v>
      </c>
      <c r="Q579" s="881">
        <v>0.50638249818459735</v>
      </c>
      <c r="R579" s="880">
        <v>203.38629447907132</v>
      </c>
      <c r="S579" s="880">
        <v>407</v>
      </c>
      <c r="T579" s="881">
        <v>0.49972062525570349</v>
      </c>
      <c r="U579" s="880">
        <v>269.08574218390169</v>
      </c>
      <c r="V579" s="880">
        <v>398</v>
      </c>
      <c r="W579" s="881">
        <v>0.67609482960779321</v>
      </c>
      <c r="X579" s="880">
        <v>245.67512417413883</v>
      </c>
      <c r="Y579" s="880">
        <v>366</v>
      </c>
      <c r="Z579" s="881">
        <v>0.67124350867251048</v>
      </c>
      <c r="AA579" s="880">
        <v>252.2348747861983</v>
      </c>
      <c r="AB579" s="880">
        <v>381</v>
      </c>
      <c r="AC579" s="881">
        <v>0.66203379208975932</v>
      </c>
      <c r="AD579" s="880">
        <v>152.99306434952604</v>
      </c>
      <c r="AE579" s="880">
        <v>365</v>
      </c>
      <c r="AF579" s="881">
        <v>0.41915908040966038</v>
      </c>
      <c r="AG579" s="880">
        <v>188.8968997991611</v>
      </c>
      <c r="AH579" s="880">
        <v>344</v>
      </c>
      <c r="AI579" s="881">
        <v>0.5491188947650032</v>
      </c>
    </row>
    <row r="580" spans="2:35" x14ac:dyDescent="0.2">
      <c r="B580" s="867">
        <v>108796000</v>
      </c>
      <c r="C580" s="876" t="s">
        <v>1447</v>
      </c>
      <c r="D580" s="877" t="s">
        <v>1447</v>
      </c>
      <c r="E580" s="877" t="s">
        <v>1447</v>
      </c>
      <c r="F580" s="877" t="s">
        <v>1448</v>
      </c>
      <c r="G580" s="877" t="s">
        <v>1448</v>
      </c>
      <c r="H580" s="877" t="s">
        <v>1447</v>
      </c>
      <c r="I580" s="877" t="s">
        <v>1447</v>
      </c>
      <c r="J580" s="878" t="s">
        <v>1447</v>
      </c>
      <c r="K580" s="877"/>
      <c r="L580" s="879">
        <v>776</v>
      </c>
      <c r="M580" s="880">
        <v>3652</v>
      </c>
      <c r="N580" s="881">
        <v>0.21260000000000001</v>
      </c>
      <c r="O580" s="880">
        <v>205.28120610394586</v>
      </c>
      <c r="P580" s="880">
        <v>695</v>
      </c>
      <c r="Q580" s="881">
        <v>0.29536864187618111</v>
      </c>
      <c r="R580" s="880">
        <v>233.47302443159666</v>
      </c>
      <c r="S580" s="880">
        <v>700</v>
      </c>
      <c r="T580" s="881">
        <v>0.33353289204513809</v>
      </c>
      <c r="U580" s="880">
        <v>0</v>
      </c>
      <c r="V580" s="880">
        <v>0</v>
      </c>
      <c r="W580" s="881">
        <v>0</v>
      </c>
      <c r="X580" s="880" t="s">
        <v>1450</v>
      </c>
      <c r="Y580" s="880" t="s">
        <v>1450</v>
      </c>
      <c r="Z580" s="881" t="s">
        <v>1450</v>
      </c>
      <c r="AA580" s="880">
        <v>1067.5990394910025</v>
      </c>
      <c r="AB580" s="880">
        <v>5426</v>
      </c>
      <c r="AC580" s="881">
        <v>0.19675618125525296</v>
      </c>
      <c r="AD580" s="880">
        <v>20.472101222566433</v>
      </c>
      <c r="AE580" s="880">
        <v>22.840155105557947</v>
      </c>
      <c r="AF580" s="881">
        <v>0.8963205866139119</v>
      </c>
      <c r="AG580" s="880">
        <v>1082.4789974909588</v>
      </c>
      <c r="AH580" s="880">
        <v>3986.9999999999991</v>
      </c>
      <c r="AI580" s="881">
        <v>0.27150213129946305</v>
      </c>
    </row>
    <row r="581" spans="2:35" x14ac:dyDescent="0.2">
      <c r="B581" s="867">
        <v>108797000</v>
      </c>
      <c r="C581" s="876" t="s">
        <v>1448</v>
      </c>
      <c r="D581" s="877" t="s">
        <v>1448</v>
      </c>
      <c r="E581" s="877" t="s">
        <v>1448</v>
      </c>
      <c r="F581" s="877" t="s">
        <v>1448</v>
      </c>
      <c r="G581" s="877" t="s">
        <v>1448</v>
      </c>
      <c r="H581" s="877" t="s">
        <v>1448</v>
      </c>
      <c r="I581" s="877" t="s">
        <v>1448</v>
      </c>
      <c r="J581" s="878" t="s">
        <v>1448</v>
      </c>
      <c r="K581" s="877"/>
      <c r="L581" s="879">
        <v>0</v>
      </c>
      <c r="M581" s="880">
        <v>66</v>
      </c>
      <c r="N581" s="881">
        <v>0</v>
      </c>
      <c r="O581" s="880">
        <v>0</v>
      </c>
      <c r="P581" s="880">
        <v>75</v>
      </c>
      <c r="Q581" s="881">
        <v>0</v>
      </c>
      <c r="R581" s="880">
        <v>0</v>
      </c>
      <c r="S581" s="880">
        <v>73</v>
      </c>
      <c r="T581" s="881">
        <v>0</v>
      </c>
      <c r="U581" s="880">
        <v>0</v>
      </c>
      <c r="V581" s="880">
        <v>65</v>
      </c>
      <c r="W581" s="881">
        <v>0</v>
      </c>
      <c r="X581" s="880">
        <v>0</v>
      </c>
      <c r="Y581" s="880">
        <v>71</v>
      </c>
      <c r="Z581" s="881">
        <v>0</v>
      </c>
      <c r="AA581" s="880" t="s">
        <v>1450</v>
      </c>
      <c r="AB581" s="880" t="s">
        <v>1450</v>
      </c>
      <c r="AC581" s="881" t="s">
        <v>1450</v>
      </c>
      <c r="AD581" s="880" t="s">
        <v>1450</v>
      </c>
      <c r="AE581" s="880" t="s">
        <v>1450</v>
      </c>
      <c r="AF581" s="881" t="s">
        <v>1450</v>
      </c>
      <c r="AG581" s="880" t="s">
        <v>1450</v>
      </c>
      <c r="AH581" s="880" t="s">
        <v>1450</v>
      </c>
      <c r="AI581" s="881" t="s">
        <v>1450</v>
      </c>
    </row>
    <row r="582" spans="2:35" x14ac:dyDescent="0.2">
      <c r="B582" s="867">
        <v>108798000</v>
      </c>
      <c r="C582" s="876" t="s">
        <v>1447</v>
      </c>
      <c r="D582" s="877" t="s">
        <v>1447</v>
      </c>
      <c r="E582" s="877" t="s">
        <v>1447</v>
      </c>
      <c r="F582" s="877" t="s">
        <v>1447</v>
      </c>
      <c r="G582" s="877" t="s">
        <v>1447</v>
      </c>
      <c r="H582" s="877" t="s">
        <v>1447</v>
      </c>
      <c r="I582" s="877" t="s">
        <v>1447</v>
      </c>
      <c r="J582" s="878" t="s">
        <v>1447</v>
      </c>
      <c r="K582" s="877"/>
      <c r="L582" s="879">
        <v>24</v>
      </c>
      <c r="M582" s="880">
        <v>64</v>
      </c>
      <c r="N582" s="881">
        <v>0.372</v>
      </c>
      <c r="O582" s="880">
        <v>62.899533903716005</v>
      </c>
      <c r="P582" s="880">
        <v>144</v>
      </c>
      <c r="Q582" s="881">
        <v>0.43680231877580561</v>
      </c>
      <c r="R582" s="880">
        <v>96.879270447131603</v>
      </c>
      <c r="S582" s="880">
        <v>222</v>
      </c>
      <c r="T582" s="881">
        <v>0.43639311012221443</v>
      </c>
      <c r="U582" s="880">
        <v>127.16584682842353</v>
      </c>
      <c r="V582" s="880">
        <v>254</v>
      </c>
      <c r="W582" s="881">
        <v>0.50065294026938401</v>
      </c>
      <c r="X582" s="880">
        <v>148.54774950064208</v>
      </c>
      <c r="Y582" s="880">
        <v>293</v>
      </c>
      <c r="Z582" s="881">
        <v>0.50698890614553616</v>
      </c>
      <c r="AA582" s="880">
        <v>165.86164222913783</v>
      </c>
      <c r="AB582" s="880">
        <v>383</v>
      </c>
      <c r="AC582" s="881">
        <v>0.43305911809174369</v>
      </c>
      <c r="AD582" s="880">
        <v>167.94352666381195</v>
      </c>
      <c r="AE582" s="880">
        <v>423</v>
      </c>
      <c r="AF582" s="881">
        <v>0.39702961386243962</v>
      </c>
      <c r="AG582" s="880">
        <v>183.40571085151106</v>
      </c>
      <c r="AH582" s="880">
        <v>433</v>
      </c>
      <c r="AI582" s="881">
        <v>0.42356977101965604</v>
      </c>
    </row>
    <row r="583" spans="2:35" x14ac:dyDescent="0.2">
      <c r="B583" s="867">
        <v>108799000</v>
      </c>
      <c r="C583" s="876" t="s">
        <v>1447</v>
      </c>
      <c r="D583" s="877" t="s">
        <v>1447</v>
      </c>
      <c r="E583" s="877" t="s">
        <v>1447</v>
      </c>
      <c r="F583" s="877" t="s">
        <v>1447</v>
      </c>
      <c r="G583" s="877" t="s">
        <v>1447</v>
      </c>
      <c r="H583" s="877" t="s">
        <v>1447</v>
      </c>
      <c r="I583" s="877" t="s">
        <v>1447</v>
      </c>
      <c r="J583" s="878" t="s">
        <v>1447</v>
      </c>
      <c r="K583" s="877"/>
      <c r="L583" s="879">
        <v>21</v>
      </c>
      <c r="M583" s="880">
        <v>58</v>
      </c>
      <c r="N583" s="881">
        <v>0.36109999999999998</v>
      </c>
      <c r="O583" s="880">
        <v>39.45516217596731</v>
      </c>
      <c r="P583" s="880">
        <v>80</v>
      </c>
      <c r="Q583" s="881">
        <v>0.49318952719959136</v>
      </c>
      <c r="R583" s="880">
        <v>42.723156532585989</v>
      </c>
      <c r="S583" s="880">
        <v>85</v>
      </c>
      <c r="T583" s="881">
        <v>0.50262537097159987</v>
      </c>
      <c r="U583" s="880">
        <v>54.098177932533765</v>
      </c>
      <c r="V583" s="880">
        <v>77</v>
      </c>
      <c r="W583" s="881">
        <v>0.70257373938355538</v>
      </c>
      <c r="X583" s="880">
        <v>72.131359132523315</v>
      </c>
      <c r="Y583" s="880">
        <v>101</v>
      </c>
      <c r="Z583" s="881">
        <v>0.71417187259924075</v>
      </c>
      <c r="AA583" s="880">
        <v>69.474121839374718</v>
      </c>
      <c r="AB583" s="880">
        <v>111</v>
      </c>
      <c r="AC583" s="881">
        <v>0.62589298954391637</v>
      </c>
      <c r="AD583" s="880">
        <v>45.848084430476852</v>
      </c>
      <c r="AE583" s="880">
        <v>102</v>
      </c>
      <c r="AF583" s="881">
        <v>0.44949102382820444</v>
      </c>
      <c r="AG583" s="880">
        <v>52.166295002675305</v>
      </c>
      <c r="AH583" s="880">
        <v>99</v>
      </c>
      <c r="AI583" s="881">
        <v>0.52693227275429599</v>
      </c>
    </row>
    <row r="584" spans="2:35" x14ac:dyDescent="0.2">
      <c r="B584" s="867">
        <v>108908000</v>
      </c>
      <c r="C584" s="876" t="s">
        <v>1448</v>
      </c>
      <c r="D584" s="877" t="s">
        <v>1448</v>
      </c>
      <c r="E584" s="877" t="s">
        <v>1448</v>
      </c>
      <c r="F584" s="877" t="s">
        <v>1448</v>
      </c>
      <c r="G584" s="877" t="s">
        <v>1448</v>
      </c>
      <c r="H584" s="877" t="s">
        <v>1447</v>
      </c>
      <c r="I584" s="877" t="s">
        <v>1447</v>
      </c>
      <c r="J584" s="878" t="s">
        <v>1448</v>
      </c>
      <c r="K584" s="877"/>
      <c r="L584" s="879" t="s">
        <v>1450</v>
      </c>
      <c r="M584" s="880" t="s">
        <v>1450</v>
      </c>
      <c r="N584" s="881" t="s">
        <v>1450</v>
      </c>
      <c r="O584" s="880" t="s">
        <v>1450</v>
      </c>
      <c r="P584" s="880" t="s">
        <v>1450</v>
      </c>
      <c r="Q584" s="881" t="s">
        <v>1450</v>
      </c>
      <c r="R584" s="880" t="s">
        <v>1450</v>
      </c>
      <c r="S584" s="880" t="s">
        <v>1450</v>
      </c>
      <c r="T584" s="881" t="s">
        <v>1450</v>
      </c>
      <c r="U584" s="880">
        <v>19.672064702739551</v>
      </c>
      <c r="V584" s="880">
        <v>244</v>
      </c>
      <c r="W584" s="881">
        <v>8.0623215994834227E-2</v>
      </c>
      <c r="X584" s="880">
        <v>0</v>
      </c>
      <c r="Y584" s="880">
        <v>117</v>
      </c>
      <c r="Z584" s="881">
        <v>0</v>
      </c>
      <c r="AA584" s="880">
        <v>18.776789686317493</v>
      </c>
      <c r="AB584" s="880">
        <v>78</v>
      </c>
      <c r="AC584" s="881">
        <v>0.2407280729015063</v>
      </c>
      <c r="AD584" s="880">
        <v>23.422390959047959</v>
      </c>
      <c r="AE584" s="880">
        <v>82</v>
      </c>
      <c r="AF584" s="881">
        <v>0.28563891413473119</v>
      </c>
      <c r="AG584" s="880" t="s">
        <v>1450</v>
      </c>
      <c r="AH584" s="880" t="s">
        <v>1450</v>
      </c>
      <c r="AI584" s="881" t="s">
        <v>1450</v>
      </c>
    </row>
    <row r="585" spans="2:35" x14ac:dyDescent="0.2">
      <c r="B585" s="867">
        <v>108909000</v>
      </c>
      <c r="C585" s="876" t="s">
        <v>1448</v>
      </c>
      <c r="D585" s="877" t="s">
        <v>1448</v>
      </c>
      <c r="E585" s="877" t="s">
        <v>1448</v>
      </c>
      <c r="F585" s="877" t="s">
        <v>1447</v>
      </c>
      <c r="G585" s="877" t="s">
        <v>1447</v>
      </c>
      <c r="H585" s="877" t="s">
        <v>1447</v>
      </c>
      <c r="I585" s="877" t="s">
        <v>1447</v>
      </c>
      <c r="J585" s="878" t="s">
        <v>1447</v>
      </c>
      <c r="K585" s="877"/>
      <c r="L585" s="879" t="s">
        <v>1450</v>
      </c>
      <c r="M585" s="880" t="s">
        <v>1450</v>
      </c>
      <c r="N585" s="881" t="s">
        <v>1450</v>
      </c>
      <c r="O585" s="880" t="s">
        <v>1450</v>
      </c>
      <c r="P585" s="880" t="s">
        <v>1450</v>
      </c>
      <c r="Q585" s="881" t="s">
        <v>1450</v>
      </c>
      <c r="R585" s="880" t="s">
        <v>1450</v>
      </c>
      <c r="S585" s="880" t="s">
        <v>1450</v>
      </c>
      <c r="T585" s="881" t="s">
        <v>1450</v>
      </c>
      <c r="U585" s="880">
        <v>51.28788297499954</v>
      </c>
      <c r="V585" s="880">
        <v>110</v>
      </c>
      <c r="W585" s="881">
        <v>0.46625348159090491</v>
      </c>
      <c r="X585" s="880">
        <v>52.848718572343813</v>
      </c>
      <c r="Y585" s="880">
        <v>96</v>
      </c>
      <c r="Z585" s="881">
        <v>0.55050748512858139</v>
      </c>
      <c r="AA585" s="880">
        <v>42.56072328898631</v>
      </c>
      <c r="AB585" s="880">
        <v>106</v>
      </c>
      <c r="AC585" s="881">
        <v>0.40151625744326708</v>
      </c>
      <c r="AD585" s="880">
        <v>34.884412066667174</v>
      </c>
      <c r="AE585" s="880">
        <v>105</v>
      </c>
      <c r="AF585" s="881">
        <v>0.33223249587302073</v>
      </c>
      <c r="AG585" s="880">
        <v>41.733036002140246</v>
      </c>
      <c r="AH585" s="880">
        <v>97</v>
      </c>
      <c r="AI585" s="881">
        <v>0.43023748455814687</v>
      </c>
    </row>
    <row r="586" spans="2:35" x14ac:dyDescent="0.2">
      <c r="B586" s="867">
        <v>110100000</v>
      </c>
      <c r="C586" s="876" t="s">
        <v>1447</v>
      </c>
      <c r="D586" s="877" t="s">
        <v>1447</v>
      </c>
      <c r="E586" s="877" t="s">
        <v>1447</v>
      </c>
      <c r="F586" s="877" t="s">
        <v>1447</v>
      </c>
      <c r="G586" s="877" t="s">
        <v>1447</v>
      </c>
      <c r="H586" s="877" t="s">
        <v>1447</v>
      </c>
      <c r="I586" s="877" t="s">
        <v>1447</v>
      </c>
      <c r="J586" s="878" t="s">
        <v>1447</v>
      </c>
      <c r="K586" s="877"/>
      <c r="L586" s="879">
        <v>68</v>
      </c>
      <c r="M586" s="880">
        <v>197</v>
      </c>
      <c r="N586" s="881">
        <v>0.34560000000000002</v>
      </c>
      <c r="O586" s="880">
        <v>68.442353622349287</v>
      </c>
      <c r="P586" s="880">
        <v>184</v>
      </c>
      <c r="Q586" s="881">
        <v>0.37196931316494181</v>
      </c>
      <c r="R586" s="880">
        <v>92.014411134777887</v>
      </c>
      <c r="S586" s="880">
        <v>193</v>
      </c>
      <c r="T586" s="881">
        <v>0.47675860691594762</v>
      </c>
      <c r="U586" s="880">
        <v>97.501383125864464</v>
      </c>
      <c r="V586" s="880">
        <v>178</v>
      </c>
      <c r="W586" s="881">
        <v>0.54776057935878908</v>
      </c>
      <c r="X586" s="880">
        <v>116.116150397803</v>
      </c>
      <c r="Y586" s="880">
        <v>168</v>
      </c>
      <c r="Z586" s="881">
        <v>0.69116756189168449</v>
      </c>
      <c r="AA586" s="880">
        <v>115.2870211059351</v>
      </c>
      <c r="AB586" s="880">
        <v>171</v>
      </c>
      <c r="AC586" s="881">
        <v>0.67419310588266135</v>
      </c>
      <c r="AD586" s="880">
        <v>62.551450901596795</v>
      </c>
      <c r="AE586" s="880">
        <v>174</v>
      </c>
      <c r="AF586" s="881">
        <v>0.35949109713561378</v>
      </c>
      <c r="AG586" s="880">
        <v>54.204690501677852</v>
      </c>
      <c r="AH586" s="880">
        <v>157</v>
      </c>
      <c r="AI586" s="881">
        <v>0.34525280574317102</v>
      </c>
    </row>
    <row r="587" spans="2:35" x14ac:dyDescent="0.2">
      <c r="B587" s="867">
        <v>110201000</v>
      </c>
      <c r="C587" s="876" t="s">
        <v>1448</v>
      </c>
      <c r="D587" s="877" t="s">
        <v>1448</v>
      </c>
      <c r="E587" s="877" t="s">
        <v>1448</v>
      </c>
      <c r="F587" s="877" t="s">
        <v>1448</v>
      </c>
      <c r="G587" s="877" t="s">
        <v>1447</v>
      </c>
      <c r="H587" s="877" t="s">
        <v>1447</v>
      </c>
      <c r="I587" s="877" t="s">
        <v>1447</v>
      </c>
      <c r="J587" s="878" t="s">
        <v>1447</v>
      </c>
      <c r="K587" s="877"/>
      <c r="L587" s="879">
        <v>306</v>
      </c>
      <c r="M587" s="880">
        <v>3060</v>
      </c>
      <c r="N587" s="881">
        <v>0.1</v>
      </c>
      <c r="O587" s="880">
        <v>389.08482304407613</v>
      </c>
      <c r="P587" s="880">
        <v>3319.5435292916923</v>
      </c>
      <c r="Q587" s="881">
        <v>0.11721033919597286</v>
      </c>
      <c r="R587" s="880">
        <v>448.06219888565158</v>
      </c>
      <c r="S587" s="880">
        <v>3552.8079988568525</v>
      </c>
      <c r="T587" s="881">
        <v>0.1261149488038249</v>
      </c>
      <c r="U587" s="880">
        <v>1580.2894394272232</v>
      </c>
      <c r="V587" s="880">
        <v>12430.173355096527</v>
      </c>
      <c r="W587" s="881">
        <v>0.1271333387139999</v>
      </c>
      <c r="X587" s="880">
        <v>2427.2859988964065</v>
      </c>
      <c r="Y587" s="880">
        <v>12494.018219566968</v>
      </c>
      <c r="Z587" s="881">
        <v>0.19427584914955681</v>
      </c>
      <c r="AA587" s="880">
        <v>2389.4795765186955</v>
      </c>
      <c r="AB587" s="880">
        <v>11696.655301019695</v>
      </c>
      <c r="AC587" s="881">
        <v>0.20428742362873467</v>
      </c>
      <c r="AD587" s="880">
        <v>2418</v>
      </c>
      <c r="AE587" s="880">
        <v>11610.60512102249</v>
      </c>
      <c r="AF587" s="881">
        <v>0.20825787930914133</v>
      </c>
      <c r="AG587" s="880">
        <v>2291.4573153184201</v>
      </c>
      <c r="AH587" s="880">
        <v>11643.162869394417</v>
      </c>
      <c r="AI587" s="881">
        <v>0.19680711684810462</v>
      </c>
    </row>
    <row r="588" spans="2:35" x14ac:dyDescent="0.2">
      <c r="B588" s="867">
        <v>110203000</v>
      </c>
      <c r="C588" s="876" t="s">
        <v>1447</v>
      </c>
      <c r="D588" s="877" t="s">
        <v>1447</v>
      </c>
      <c r="E588" s="877" t="s">
        <v>1447</v>
      </c>
      <c r="F588" s="877" t="s">
        <v>1447</v>
      </c>
      <c r="G588" s="877" t="s">
        <v>1447</v>
      </c>
      <c r="H588" s="877" t="s">
        <v>1447</v>
      </c>
      <c r="I588" s="877" t="s">
        <v>1447</v>
      </c>
      <c r="J588" s="878" t="s">
        <v>1447</v>
      </c>
      <c r="K588" s="877"/>
      <c r="L588" s="879">
        <v>260</v>
      </c>
      <c r="M588" s="880">
        <v>1620</v>
      </c>
      <c r="N588" s="881">
        <v>0.16039999999999999</v>
      </c>
      <c r="O588" s="880">
        <v>304.03361800680324</v>
      </c>
      <c r="P588" s="880">
        <v>1757.8111179152208</v>
      </c>
      <c r="Q588" s="881">
        <v>0.17296148312418785</v>
      </c>
      <c r="R588" s="880">
        <v>371.11238646833317</v>
      </c>
      <c r="S588" s="880">
        <v>1883.1554998094755</v>
      </c>
      <c r="T588" s="881">
        <v>0.19706943293099255</v>
      </c>
      <c r="U588" s="880">
        <v>217.10967374501666</v>
      </c>
      <c r="V588" s="880">
        <v>722.82042550796416</v>
      </c>
      <c r="W588" s="881">
        <v>0.3003646079763756</v>
      </c>
      <c r="X588" s="880">
        <v>240.60523262090211</v>
      </c>
      <c r="Y588" s="880">
        <v>727.08190330918183</v>
      </c>
      <c r="Z588" s="881">
        <v>0.33091902236299775</v>
      </c>
      <c r="AA588" s="880">
        <v>119.34437988116022</v>
      </c>
      <c r="AB588" s="880">
        <v>680.49297387903334</v>
      </c>
      <c r="AC588" s="881">
        <v>0.17537929774771674</v>
      </c>
      <c r="AD588" s="880">
        <v>219</v>
      </c>
      <c r="AE588" s="880">
        <v>674.93123393686324</v>
      </c>
      <c r="AF588" s="881">
        <v>0.32447750080045407</v>
      </c>
      <c r="AG588" s="880">
        <v>153.78304588675428</v>
      </c>
      <c r="AH588" s="880">
        <v>679.1845007146743</v>
      </c>
      <c r="AI588" s="881">
        <v>0.2264230790380751</v>
      </c>
    </row>
    <row r="589" spans="2:35" x14ac:dyDescent="0.2">
      <c r="B589" s="867">
        <v>110208000</v>
      </c>
      <c r="C589" s="876" t="s">
        <v>1447</v>
      </c>
      <c r="D589" s="877" t="s">
        <v>1447</v>
      </c>
      <c r="E589" s="877" t="s">
        <v>1447</v>
      </c>
      <c r="F589" s="877" t="s">
        <v>1447</v>
      </c>
      <c r="G589" s="877" t="s">
        <v>1447</v>
      </c>
      <c r="H589" s="877" t="s">
        <v>1447</v>
      </c>
      <c r="I589" s="877" t="s">
        <v>1447</v>
      </c>
      <c r="J589" s="878" t="s">
        <v>1447</v>
      </c>
      <c r="K589" s="877"/>
      <c r="L589" s="879">
        <v>459</v>
      </c>
      <c r="M589" s="880">
        <v>2633</v>
      </c>
      <c r="N589" s="881">
        <v>0.1744</v>
      </c>
      <c r="O589" s="880">
        <v>538.65763190272855</v>
      </c>
      <c r="P589" s="880">
        <v>2856.4430666122339</v>
      </c>
      <c r="Q589" s="881">
        <v>0.18857635854845906</v>
      </c>
      <c r="R589" s="880">
        <v>658.45662271021843</v>
      </c>
      <c r="S589" s="880">
        <v>3054.9622920106694</v>
      </c>
      <c r="T589" s="881">
        <v>0.21553674309899429</v>
      </c>
      <c r="U589" s="880">
        <v>340.0744447156456</v>
      </c>
      <c r="V589" s="880">
        <v>1075.4632746102325</v>
      </c>
      <c r="W589" s="881">
        <v>0.31621204809517534</v>
      </c>
      <c r="X589" s="880">
        <v>286.002911876344</v>
      </c>
      <c r="Y589" s="880">
        <v>1080.7974238379729</v>
      </c>
      <c r="Z589" s="881">
        <v>0.26462212581959293</v>
      </c>
      <c r="AA589" s="880">
        <v>280.96774956209066</v>
      </c>
      <c r="AB589" s="880">
        <v>1012.5517111328397</v>
      </c>
      <c r="AC589" s="881">
        <v>0.27748484000658574</v>
      </c>
      <c r="AD589" s="880">
        <v>174</v>
      </c>
      <c r="AE589" s="880">
        <v>1004.7982873444163</v>
      </c>
      <c r="AF589" s="881">
        <v>0.17316908497113884</v>
      </c>
      <c r="AG589" s="880">
        <v>207.74200935579086</v>
      </c>
      <c r="AH589" s="880">
        <v>1009.956173140652</v>
      </c>
      <c r="AI589" s="881">
        <v>0.20569408344698495</v>
      </c>
    </row>
    <row r="590" spans="2:35" x14ac:dyDescent="0.2">
      <c r="B590" s="867">
        <v>110215000</v>
      </c>
      <c r="C590" s="876" t="s">
        <v>1447</v>
      </c>
      <c r="D590" s="877" t="s">
        <v>1447</v>
      </c>
      <c r="E590" s="877" t="s">
        <v>1447</v>
      </c>
      <c r="F590" s="877" t="s">
        <v>1447</v>
      </c>
      <c r="G590" s="877" t="s">
        <v>1447</v>
      </c>
      <c r="H590" s="877" t="s">
        <v>1447</v>
      </c>
      <c r="I590" s="877" t="s">
        <v>1447</v>
      </c>
      <c r="J590" s="878" t="s">
        <v>1447</v>
      </c>
      <c r="K590" s="877"/>
      <c r="L590" s="879">
        <v>262</v>
      </c>
      <c r="M590" s="880">
        <v>1248</v>
      </c>
      <c r="N590" s="881">
        <v>0.20979999999999999</v>
      </c>
      <c r="O590" s="880">
        <v>306.96641818050227</v>
      </c>
      <c r="P590" s="880">
        <v>1355.8005035041165</v>
      </c>
      <c r="Q590" s="881">
        <v>0.22640972428254469</v>
      </c>
      <c r="R590" s="880">
        <v>381.82691731125095</v>
      </c>
      <c r="S590" s="880">
        <v>1451.2300743045853</v>
      </c>
      <c r="T590" s="881">
        <v>0.26310570878585088</v>
      </c>
      <c r="U590" s="880">
        <v>145.0600032544138</v>
      </c>
      <c r="V590" s="880">
        <v>551.36975854111552</v>
      </c>
      <c r="W590" s="881">
        <v>0.263090242087691</v>
      </c>
      <c r="X590" s="880">
        <v>130.43686918397583</v>
      </c>
      <c r="Y590" s="880">
        <v>554.15431549510618</v>
      </c>
      <c r="Z590" s="881">
        <v>0.23538004764509993</v>
      </c>
      <c r="AA590" s="880">
        <v>141.39930636740374</v>
      </c>
      <c r="AB590" s="880">
        <v>519.46723006006425</v>
      </c>
      <c r="AC590" s="881">
        <v>0.27220062823030089</v>
      </c>
      <c r="AD590" s="880">
        <v>132</v>
      </c>
      <c r="AE590" s="880">
        <v>514.91442483130231</v>
      </c>
      <c r="AF590" s="881">
        <v>0.25635327665028262</v>
      </c>
      <c r="AG590" s="880">
        <v>125.00493203660142</v>
      </c>
      <c r="AH590" s="880">
        <v>517.76792457079716</v>
      </c>
      <c r="AI590" s="881">
        <v>0.24143042877795887</v>
      </c>
    </row>
    <row r="591" spans="2:35" x14ac:dyDescent="0.2">
      <c r="B591" s="867">
        <v>110220000</v>
      </c>
      <c r="C591" s="876" t="s">
        <v>1448</v>
      </c>
      <c r="D591" s="877" t="s">
        <v>1448</v>
      </c>
      <c r="E591" s="877" t="s">
        <v>1448</v>
      </c>
      <c r="F591" s="877" t="s">
        <v>1448</v>
      </c>
      <c r="G591" s="877" t="s">
        <v>1448</v>
      </c>
      <c r="H591" s="877" t="s">
        <v>1448</v>
      </c>
      <c r="I591" s="877" t="s">
        <v>1447</v>
      </c>
      <c r="J591" s="878" t="s">
        <v>1447</v>
      </c>
      <c r="K591" s="877"/>
      <c r="L591" s="879">
        <v>173</v>
      </c>
      <c r="M591" s="880">
        <v>1865</v>
      </c>
      <c r="N591" s="881">
        <v>9.2700000000000005E-2</v>
      </c>
      <c r="O591" s="880">
        <v>199.43041181153652</v>
      </c>
      <c r="P591" s="880">
        <v>2022.8622337892086</v>
      </c>
      <c r="Q591" s="881">
        <v>9.8588232297938116E-2</v>
      </c>
      <c r="R591" s="880">
        <v>216.23871337524926</v>
      </c>
      <c r="S591" s="880">
        <v>2165.5304363012829</v>
      </c>
      <c r="T591" s="881">
        <v>9.9854848378203409E-2</v>
      </c>
      <c r="U591" s="880">
        <v>1106.6829387356602</v>
      </c>
      <c r="V591" s="880">
        <v>10305.548896831204</v>
      </c>
      <c r="W591" s="881">
        <v>0.10738709309078608</v>
      </c>
      <c r="X591" s="880">
        <v>1382.7213793052711</v>
      </c>
      <c r="Y591" s="880">
        <v>10359.934579043262</v>
      </c>
      <c r="Z591" s="881">
        <v>0.13346815742469342</v>
      </c>
      <c r="AA591" s="880">
        <v>1350.8282842153069</v>
      </c>
      <c r="AB591" s="880">
        <v>9698.844377706384</v>
      </c>
      <c r="AC591" s="881">
        <v>0.13927724083503187</v>
      </c>
      <c r="AD591" s="880">
        <v>1613</v>
      </c>
      <c r="AE591" s="880">
        <v>9626.0391086518466</v>
      </c>
      <c r="AF591" s="881">
        <v>0.16756632523446138</v>
      </c>
      <c r="AG591" s="880">
        <v>1522.5420858846489</v>
      </c>
      <c r="AH591" s="880">
        <v>9677.0560484944035</v>
      </c>
      <c r="AI591" s="881">
        <v>0.15733525550071939</v>
      </c>
    </row>
    <row r="592" spans="2:35" x14ac:dyDescent="0.2">
      <c r="B592" s="867">
        <v>110221000</v>
      </c>
      <c r="C592" s="876" t="s">
        <v>1447</v>
      </c>
      <c r="D592" s="877" t="s">
        <v>1447</v>
      </c>
      <c r="E592" s="877" t="s">
        <v>1447</v>
      </c>
      <c r="F592" s="877" t="s">
        <v>1447</v>
      </c>
      <c r="G592" s="877" t="s">
        <v>1447</v>
      </c>
      <c r="H592" s="877" t="s">
        <v>1447</v>
      </c>
      <c r="I592" s="877" t="s">
        <v>1447</v>
      </c>
      <c r="J592" s="878" t="s">
        <v>1447</v>
      </c>
      <c r="K592" s="877"/>
      <c r="L592" s="879">
        <v>994</v>
      </c>
      <c r="M592" s="880">
        <v>5812</v>
      </c>
      <c r="N592" s="881">
        <v>0.17100000000000001</v>
      </c>
      <c r="O592" s="880">
        <v>1084.1584642107548</v>
      </c>
      <c r="P592" s="880">
        <v>6306.0488535075183</v>
      </c>
      <c r="Q592" s="881">
        <v>0.17192357518888071</v>
      </c>
      <c r="R592" s="880">
        <v>1201.9755509236827</v>
      </c>
      <c r="S592" s="880">
        <v>6811.4344436682331</v>
      </c>
      <c r="T592" s="881">
        <v>0.17646437925289202</v>
      </c>
      <c r="U592" s="880">
        <v>1393.9209584248638</v>
      </c>
      <c r="V592" s="880">
        <v>7645.1411042944783</v>
      </c>
      <c r="W592" s="881">
        <v>0.18232769538313184</v>
      </c>
      <c r="X592" s="880">
        <v>1992.4383798503798</v>
      </c>
      <c r="Y592" s="880">
        <v>7685.4522266005679</v>
      </c>
      <c r="Z592" s="881">
        <v>0.2592480339613894</v>
      </c>
      <c r="AA592" s="880">
        <v>1893.5397200259615</v>
      </c>
      <c r="AB592" s="880">
        <v>7195.2124738091916</v>
      </c>
      <c r="AC592" s="881">
        <v>0.26316661626303711</v>
      </c>
      <c r="AD592" s="880">
        <v>1986</v>
      </c>
      <c r="AE592" s="880">
        <v>7141.7557985716567</v>
      </c>
      <c r="AF592" s="881">
        <v>0.27808287709826174</v>
      </c>
      <c r="AG592" s="880">
        <v>1645.748385805616</v>
      </c>
      <c r="AH592" s="880">
        <v>7179.0683783334207</v>
      </c>
      <c r="AI592" s="881">
        <v>0.22924261186486525</v>
      </c>
    </row>
    <row r="593" spans="2:35" x14ac:dyDescent="0.2">
      <c r="B593" s="867">
        <v>110243000</v>
      </c>
      <c r="C593" s="876" t="s">
        <v>1448</v>
      </c>
      <c r="D593" s="877" t="s">
        <v>1448</v>
      </c>
      <c r="E593" s="877" t="s">
        <v>1447</v>
      </c>
      <c r="F593" s="877" t="s">
        <v>1447</v>
      </c>
      <c r="G593" s="877" t="s">
        <v>1447</v>
      </c>
      <c r="H593" s="877" t="s">
        <v>1447</v>
      </c>
      <c r="I593" s="877" t="s">
        <v>1447</v>
      </c>
      <c r="J593" s="878" t="s">
        <v>1447</v>
      </c>
      <c r="K593" s="877"/>
      <c r="L593" s="879">
        <v>1335</v>
      </c>
      <c r="M593" s="880">
        <v>10419</v>
      </c>
      <c r="N593" s="881">
        <v>0.12809999999999999</v>
      </c>
      <c r="O593" s="880">
        <v>1596.4208945501919</v>
      </c>
      <c r="P593" s="880">
        <v>11305.563210178949</v>
      </c>
      <c r="Q593" s="881">
        <v>0.14120666656508155</v>
      </c>
      <c r="R593" s="880">
        <v>2026.9944258283499</v>
      </c>
      <c r="S593" s="880">
        <v>11992.571780134638</v>
      </c>
      <c r="T593" s="881">
        <v>0.16902082914242048</v>
      </c>
      <c r="U593" s="880">
        <v>1531.2956634936131</v>
      </c>
      <c r="V593" s="880">
        <v>7102.5387094050766</v>
      </c>
      <c r="W593" s="881">
        <v>0.21559835520021792</v>
      </c>
      <c r="X593" s="880">
        <v>1988.577712089037</v>
      </c>
      <c r="Y593" s="880">
        <v>7140.1407991186816</v>
      </c>
      <c r="Z593" s="881">
        <v>0.27850679251794169</v>
      </c>
      <c r="AA593" s="880">
        <v>1720.8466028950886</v>
      </c>
      <c r="AB593" s="880">
        <v>6684.8427433999159</v>
      </c>
      <c r="AC593" s="881">
        <v>0.25742514355990143</v>
      </c>
      <c r="AD593" s="880">
        <v>2182</v>
      </c>
      <c r="AE593" s="880">
        <v>6634.8869116283431</v>
      </c>
      <c r="AF593" s="881">
        <v>0.32886770024306122</v>
      </c>
      <c r="AG593" s="880">
        <v>1928.1336279602406</v>
      </c>
      <c r="AH593" s="880">
        <v>6669.2389739008468</v>
      </c>
      <c r="AI593" s="881">
        <v>0.28910849281390688</v>
      </c>
    </row>
    <row r="594" spans="2:35" x14ac:dyDescent="0.2">
      <c r="B594" s="867">
        <v>110244000</v>
      </c>
      <c r="C594" s="876" t="s">
        <v>1448</v>
      </c>
      <c r="D594" s="877" t="s">
        <v>1448</v>
      </c>
      <c r="E594" s="877" t="s">
        <v>1448</v>
      </c>
      <c r="F594" s="877" t="s">
        <v>1448</v>
      </c>
      <c r="G594" s="877" t="s">
        <v>1447</v>
      </c>
      <c r="H594" s="877" t="s">
        <v>1447</v>
      </c>
      <c r="I594" s="877" t="s">
        <v>1447</v>
      </c>
      <c r="J594" s="878" t="s">
        <v>1447</v>
      </c>
      <c r="K594" s="877"/>
      <c r="L594" s="879">
        <v>90</v>
      </c>
      <c r="M594" s="880">
        <v>959</v>
      </c>
      <c r="N594" s="881">
        <v>9.3799999999999994E-2</v>
      </c>
      <c r="O594" s="880">
        <v>115.35680683216327</v>
      </c>
      <c r="P594" s="880">
        <v>1040.4980608287406</v>
      </c>
      <c r="Q594" s="881">
        <v>0.11086691189052612</v>
      </c>
      <c r="R594" s="880">
        <v>111.04150146296583</v>
      </c>
      <c r="S594" s="880">
        <v>1109.8220500444556</v>
      </c>
      <c r="T594" s="881">
        <v>0.10005342879835365</v>
      </c>
      <c r="U594" s="880">
        <v>848.26478724269793</v>
      </c>
      <c r="V594" s="880">
        <v>8465.3766814881528</v>
      </c>
      <c r="W594" s="881">
        <v>0.10020402152897218</v>
      </c>
      <c r="X594" s="880">
        <v>1450.3527312480983</v>
      </c>
      <c r="Y594" s="880">
        <v>8509.8058980551668</v>
      </c>
      <c r="Z594" s="881">
        <v>0.17043311546971504</v>
      </c>
      <c r="AA594" s="880">
        <v>1198.3592303979606</v>
      </c>
      <c r="AB594" s="880">
        <v>7966.6804441961167</v>
      </c>
      <c r="AC594" s="881">
        <v>0.15042140058109005</v>
      </c>
      <c r="AD594" s="880">
        <v>1810</v>
      </c>
      <c r="AE594" s="880">
        <v>7906.9758465848417</v>
      </c>
      <c r="AF594" s="881">
        <v>0.22891179069198372</v>
      </c>
      <c r="AG594" s="880">
        <v>1269.8342736379943</v>
      </c>
      <c r="AH594" s="880">
        <v>7948.2227739479604</v>
      </c>
      <c r="AI594" s="881">
        <v>0.15976329674605425</v>
      </c>
    </row>
    <row r="595" spans="2:35" x14ac:dyDescent="0.2">
      <c r="B595" s="867">
        <v>110302000</v>
      </c>
      <c r="C595" s="876" t="s">
        <v>1448</v>
      </c>
      <c r="D595" s="877" t="s">
        <v>1448</v>
      </c>
      <c r="E595" s="877" t="s">
        <v>1448</v>
      </c>
      <c r="F595" s="877" t="s">
        <v>1447</v>
      </c>
      <c r="G595" s="877" t="s">
        <v>1448</v>
      </c>
      <c r="H595" s="877" t="s">
        <v>1448</v>
      </c>
      <c r="I595" s="877" t="s">
        <v>1447</v>
      </c>
      <c r="J595" s="878" t="s">
        <v>1447</v>
      </c>
      <c r="K595" s="877"/>
      <c r="L595" s="879">
        <v>98</v>
      </c>
      <c r="M595" s="880">
        <v>958</v>
      </c>
      <c r="N595" s="881">
        <v>0.10199999999999999</v>
      </c>
      <c r="O595" s="880">
        <v>114.37920677426359</v>
      </c>
      <c r="P595" s="880">
        <v>1038.5274205620194</v>
      </c>
      <c r="Q595" s="881">
        <v>0.11013595260909438</v>
      </c>
      <c r="R595" s="880">
        <v>141.23699747482496</v>
      </c>
      <c r="S595" s="880">
        <v>1551.5863235107329</v>
      </c>
      <c r="T595" s="881">
        <v>9.1027482863635836E-2</v>
      </c>
      <c r="U595" s="880">
        <v>197.8964282808559</v>
      </c>
      <c r="V595" s="880">
        <v>986.81548657623682</v>
      </c>
      <c r="W595" s="881">
        <v>0.20054045662321224</v>
      </c>
      <c r="X595" s="880">
        <v>142.05370552766846</v>
      </c>
      <c r="Y595" s="880">
        <v>992.36854370577521</v>
      </c>
      <c r="Z595" s="881">
        <v>0.14314611887757053</v>
      </c>
      <c r="AA595" s="880">
        <v>129.49869574474437</v>
      </c>
      <c r="AB595" s="880">
        <v>928.85471434557894</v>
      </c>
      <c r="AC595" s="881">
        <v>0.13941760077729937</v>
      </c>
      <c r="AD595" s="880">
        <v>144</v>
      </c>
      <c r="AE595" s="880">
        <v>921.66106250186226</v>
      </c>
      <c r="AF595" s="881">
        <v>0.15623964802105225</v>
      </c>
      <c r="AG595" s="880">
        <v>196.95021666198355</v>
      </c>
      <c r="AH595" s="880">
        <v>927.04274058587362</v>
      </c>
      <c r="AI595" s="881">
        <v>0.21244998535613871</v>
      </c>
    </row>
    <row r="596" spans="2:35" x14ac:dyDescent="0.2">
      <c r="B596" s="867">
        <v>110404000</v>
      </c>
      <c r="C596" s="876" t="s">
        <v>1447</v>
      </c>
      <c r="D596" s="877" t="s">
        <v>1447</v>
      </c>
      <c r="E596" s="877" t="s">
        <v>1447</v>
      </c>
      <c r="F596" s="877" t="s">
        <v>1447</v>
      </c>
      <c r="G596" s="877" t="s">
        <v>1447</v>
      </c>
      <c r="H596" s="877" t="s">
        <v>1447</v>
      </c>
      <c r="I596" s="877" t="s">
        <v>1447</v>
      </c>
      <c r="J596" s="878" t="s">
        <v>1447</v>
      </c>
      <c r="K596" s="877"/>
      <c r="L596" s="879">
        <v>1529</v>
      </c>
      <c r="M596" s="880">
        <v>10099</v>
      </c>
      <c r="N596" s="881">
        <v>0.15140000000000001</v>
      </c>
      <c r="O596" s="880">
        <v>1789.9857060143302</v>
      </c>
      <c r="P596" s="880">
        <v>10956.759882969314</v>
      </c>
      <c r="Q596" s="881">
        <v>0.16336816039900645</v>
      </c>
      <c r="R596" s="880">
        <v>2187.7123884721163</v>
      </c>
      <c r="S596" s="880">
        <v>11729.874539565604</v>
      </c>
      <c r="T596" s="881">
        <v>0.18650773979660437</v>
      </c>
      <c r="U596" s="880">
        <v>1791.6351395329916</v>
      </c>
      <c r="V596" s="880">
        <v>8678.7158636798558</v>
      </c>
      <c r="W596" s="881">
        <v>0.20644011944565746</v>
      </c>
      <c r="X596" s="880">
        <v>2436.0073344190919</v>
      </c>
      <c r="Y596" s="880">
        <v>8725.965382822762</v>
      </c>
      <c r="Z596" s="881">
        <v>0.27916765968547402</v>
      </c>
      <c r="AA596" s="880">
        <v>2256.3191544285173</v>
      </c>
      <c r="AB596" s="880">
        <v>8169.5546864087164</v>
      </c>
      <c r="AC596" s="881">
        <v>0.27618630892847118</v>
      </c>
      <c r="AD596" s="880">
        <v>2397</v>
      </c>
      <c r="AE596" s="880">
        <v>8108.1142937845689</v>
      </c>
      <c r="AF596" s="881">
        <v>0.29562977446401645</v>
      </c>
      <c r="AG596" s="880">
        <v>2328.3292736889289</v>
      </c>
      <c r="AH596" s="880">
        <v>8150.2140085760911</v>
      </c>
      <c r="AI596" s="881">
        <v>0.28567707194423808</v>
      </c>
    </row>
    <row r="597" spans="2:35" x14ac:dyDescent="0.2">
      <c r="B597" s="867">
        <v>110405000</v>
      </c>
      <c r="C597" s="876" t="s">
        <v>1447</v>
      </c>
      <c r="D597" s="877" t="s">
        <v>1448</v>
      </c>
      <c r="E597" s="877" t="s">
        <v>1448</v>
      </c>
      <c r="F597" s="877" t="s">
        <v>1447</v>
      </c>
      <c r="G597" s="877" t="s">
        <v>1447</v>
      </c>
      <c r="H597" s="877" t="s">
        <v>1447</v>
      </c>
      <c r="I597" s="877" t="s">
        <v>1447</v>
      </c>
      <c r="J597" s="878" t="s">
        <v>1447</v>
      </c>
      <c r="K597" s="877"/>
      <c r="L597" s="879">
        <v>16</v>
      </c>
      <c r="M597" s="880">
        <v>101</v>
      </c>
      <c r="N597" s="881">
        <v>0.1552</v>
      </c>
      <c r="O597" s="880">
        <v>9.7760005789968876</v>
      </c>
      <c r="P597" s="880">
        <v>108.38521466966047</v>
      </c>
      <c r="Q597" s="881">
        <v>9.0196809673648376E-2</v>
      </c>
      <c r="R597" s="880">
        <v>9.740482584470687</v>
      </c>
      <c r="S597" s="880">
        <v>116.09840594436682</v>
      </c>
      <c r="T597" s="881">
        <v>8.3898504077120822E-2</v>
      </c>
      <c r="U597" s="880">
        <v>93.18424050117973</v>
      </c>
      <c r="V597" s="880">
        <v>554.29221309168679</v>
      </c>
      <c r="W597" s="881">
        <v>0.16811392673446399</v>
      </c>
      <c r="X597" s="880">
        <v>122.71553366129029</v>
      </c>
      <c r="Y597" s="880">
        <v>557.10194483284602</v>
      </c>
      <c r="Z597" s="881">
        <v>0.2202748254596564</v>
      </c>
      <c r="AA597" s="880">
        <v>89.966000704049378</v>
      </c>
      <c r="AB597" s="880">
        <v>521.28672999022206</v>
      </c>
      <c r="AC597" s="881">
        <v>0.17258448283488226</v>
      </c>
      <c r="AD597" s="880">
        <v>127</v>
      </c>
      <c r="AE597" s="880">
        <v>517.59627079396535</v>
      </c>
      <c r="AF597" s="881">
        <v>0.24536498264407644</v>
      </c>
      <c r="AG597" s="880">
        <v>102.52203059116951</v>
      </c>
      <c r="AH597" s="880">
        <v>519.53204015706899</v>
      </c>
      <c r="AI597" s="881">
        <v>0.19733533770154821</v>
      </c>
    </row>
    <row r="598" spans="2:35" x14ac:dyDescent="0.2">
      <c r="B598" s="867">
        <v>110411000</v>
      </c>
      <c r="C598" s="876" t="s">
        <v>1447</v>
      </c>
      <c r="D598" s="877" t="s">
        <v>1447</v>
      </c>
      <c r="E598" s="877" t="s">
        <v>1447</v>
      </c>
      <c r="F598" s="877" t="s">
        <v>1447</v>
      </c>
      <c r="G598" s="877" t="s">
        <v>1447</v>
      </c>
      <c r="H598" s="877" t="s">
        <v>1447</v>
      </c>
      <c r="I598" s="877" t="s">
        <v>1447</v>
      </c>
      <c r="J598" s="878" t="s">
        <v>1447</v>
      </c>
      <c r="K598" s="877"/>
      <c r="L598" s="879">
        <v>545</v>
      </c>
      <c r="M598" s="880">
        <v>2355</v>
      </c>
      <c r="N598" s="881">
        <v>0.23150000000000001</v>
      </c>
      <c r="O598" s="880">
        <v>638.3728378084968</v>
      </c>
      <c r="P598" s="880">
        <v>2554.9351058039056</v>
      </c>
      <c r="Q598" s="881">
        <v>0.24985872884142549</v>
      </c>
      <c r="R598" s="880">
        <v>796.77147540970225</v>
      </c>
      <c r="S598" s="880">
        <v>2734.2158484694523</v>
      </c>
      <c r="T598" s="881">
        <v>0.29140767209571827</v>
      </c>
      <c r="U598" s="880">
        <v>332.3891465299813</v>
      </c>
      <c r="V598" s="880">
        <v>1022.8590926999493</v>
      </c>
      <c r="W598" s="881">
        <v>0.32496083664134373</v>
      </c>
      <c r="X598" s="880">
        <v>429.02178434434813</v>
      </c>
      <c r="Y598" s="880">
        <v>1027.7400957586542</v>
      </c>
      <c r="Z598" s="881">
        <v>0.41744190590097985</v>
      </c>
      <c r="AA598" s="880">
        <v>406.80471896140136</v>
      </c>
      <c r="AB598" s="880">
        <v>962.51546305349905</v>
      </c>
      <c r="AC598" s="881">
        <v>0.4226474634192865</v>
      </c>
      <c r="AD598" s="880">
        <v>516</v>
      </c>
      <c r="AE598" s="880">
        <v>955.63111136226075</v>
      </c>
      <c r="AF598" s="881">
        <v>0.53995730555950339</v>
      </c>
      <c r="AG598" s="880">
        <v>419.98059900066812</v>
      </c>
      <c r="AH598" s="880">
        <v>960.56093672503937</v>
      </c>
      <c r="AI598" s="881">
        <v>0.43722431648382509</v>
      </c>
    </row>
    <row r="599" spans="2:35" x14ac:dyDescent="0.2">
      <c r="B599" s="867">
        <v>110418000</v>
      </c>
      <c r="C599" s="876" t="s">
        <v>1447</v>
      </c>
      <c r="D599" s="877" t="s">
        <v>1447</v>
      </c>
      <c r="E599" s="877" t="s">
        <v>1447</v>
      </c>
      <c r="F599" s="877" t="s">
        <v>1447</v>
      </c>
      <c r="G599" s="877" t="s">
        <v>1447</v>
      </c>
      <c r="H599" s="877" t="s">
        <v>1447</v>
      </c>
      <c r="I599" s="877" t="s">
        <v>1447</v>
      </c>
      <c r="J599" s="878" t="s">
        <v>1447</v>
      </c>
      <c r="K599" s="877"/>
      <c r="L599" s="879">
        <v>939</v>
      </c>
      <c r="M599" s="880">
        <v>2655</v>
      </c>
      <c r="N599" s="881">
        <v>0.35370000000000001</v>
      </c>
      <c r="O599" s="880">
        <v>1110.5536657740465</v>
      </c>
      <c r="P599" s="880">
        <v>2881.0760699462476</v>
      </c>
      <c r="Q599" s="881">
        <v>0.38546488840010606</v>
      </c>
      <c r="R599" s="880">
        <v>1404.577588680673</v>
      </c>
      <c r="S599" s="880">
        <v>3095.3015686523563</v>
      </c>
      <c r="T599" s="881">
        <v>0.45377730005551709</v>
      </c>
      <c r="U599" s="880">
        <v>401.55683020096006</v>
      </c>
      <c r="V599" s="880">
        <v>1145.6021838239433</v>
      </c>
      <c r="W599" s="881">
        <v>0.3505203078965774</v>
      </c>
      <c r="X599" s="880">
        <v>625.33383688880133</v>
      </c>
      <c r="Y599" s="880">
        <v>1151.5405279437311</v>
      </c>
      <c r="Z599" s="881">
        <v>0.54304110164966568</v>
      </c>
      <c r="AA599" s="880">
        <v>611.7070784421021</v>
      </c>
      <c r="AB599" s="880">
        <v>1078.0537086185223</v>
      </c>
      <c r="AC599" s="881">
        <v>0.56741799926274306</v>
      </c>
      <c r="AD599" s="880">
        <v>598</v>
      </c>
      <c r="AE599" s="880">
        <v>1070.0565391025502</v>
      </c>
      <c r="AF599" s="881">
        <v>0.55884897493504304</v>
      </c>
      <c r="AG599" s="880">
        <v>526.09989382310675</v>
      </c>
      <c r="AH599" s="880">
        <v>1075.2284498327117</v>
      </c>
      <c r="AI599" s="881">
        <v>0.48929127005982725</v>
      </c>
    </row>
    <row r="600" spans="2:35" x14ac:dyDescent="0.2">
      <c r="B600" s="867">
        <v>110422000</v>
      </c>
      <c r="C600" s="876" t="s">
        <v>1448</v>
      </c>
      <c r="D600" s="877" t="s">
        <v>1448</v>
      </c>
      <c r="E600" s="877" t="s">
        <v>1448</v>
      </c>
      <c r="F600" s="877" t="s">
        <v>1447</v>
      </c>
      <c r="G600" s="877" t="s">
        <v>1447</v>
      </c>
      <c r="H600" s="877" t="s">
        <v>1447</v>
      </c>
      <c r="I600" s="877" t="s">
        <v>1447</v>
      </c>
      <c r="J600" s="878" t="s">
        <v>1447</v>
      </c>
      <c r="K600" s="877"/>
      <c r="L600" s="879">
        <v>176</v>
      </c>
      <c r="M600" s="880">
        <v>1509</v>
      </c>
      <c r="N600" s="881">
        <v>0.1166</v>
      </c>
      <c r="O600" s="880">
        <v>205.29601215893464</v>
      </c>
      <c r="P600" s="880">
        <v>1636.6167415118732</v>
      </c>
      <c r="Q600" s="881">
        <v>0.12543927173156397</v>
      </c>
      <c r="R600" s="880">
        <v>244.48611287021424</v>
      </c>
      <c r="S600" s="880">
        <v>1752.2988219230281</v>
      </c>
      <c r="T600" s="881">
        <v>0.13952307095767344</v>
      </c>
      <c r="U600" s="880">
        <v>380.42226019038321</v>
      </c>
      <c r="V600" s="880">
        <v>1843.0946698936229</v>
      </c>
      <c r="W600" s="881">
        <v>0.20640408027024454</v>
      </c>
      <c r="X600" s="880">
        <v>427.09145046367678</v>
      </c>
      <c r="Y600" s="880">
        <v>1853.0763103258337</v>
      </c>
      <c r="Z600" s="881">
        <v>0.23047699011843695</v>
      </c>
      <c r="AA600" s="880">
        <v>389.32695040694989</v>
      </c>
      <c r="AB600" s="880">
        <v>1734.8931834055036</v>
      </c>
      <c r="AC600" s="881">
        <v>0.22440975279107483</v>
      </c>
      <c r="AD600" s="880">
        <v>370</v>
      </c>
      <c r="AE600" s="880">
        <v>1721.7451080296671</v>
      </c>
      <c r="AF600" s="881">
        <v>0.21489824380765693</v>
      </c>
      <c r="AG600" s="880">
        <v>261.70097282482743</v>
      </c>
      <c r="AH600" s="880">
        <v>1730.5973901327154</v>
      </c>
      <c r="AI600" s="881">
        <v>0.15122002050676744</v>
      </c>
    </row>
    <row r="601" spans="2:35" x14ac:dyDescent="0.2">
      <c r="B601" s="867">
        <v>110424000</v>
      </c>
      <c r="C601" s="876" t="s">
        <v>1447</v>
      </c>
      <c r="D601" s="877" t="s">
        <v>1447</v>
      </c>
      <c r="E601" s="877" t="s">
        <v>1447</v>
      </c>
      <c r="F601" s="877" t="s">
        <v>1447</v>
      </c>
      <c r="G601" s="877" t="s">
        <v>1447</v>
      </c>
      <c r="H601" s="877" t="s">
        <v>1447</v>
      </c>
      <c r="I601" s="877" t="s">
        <v>1447</v>
      </c>
      <c r="J601" s="878" t="s">
        <v>1447</v>
      </c>
      <c r="K601" s="877"/>
      <c r="L601" s="879">
        <v>233</v>
      </c>
      <c r="M601" s="880">
        <v>1138</v>
      </c>
      <c r="N601" s="881">
        <v>0.20430000000000001</v>
      </c>
      <c r="O601" s="880">
        <v>271.7728160961135</v>
      </c>
      <c r="P601" s="880">
        <v>1235.5914472341294</v>
      </c>
      <c r="Q601" s="881">
        <v>0.21995362359012499</v>
      </c>
      <c r="R601" s="880">
        <v>337.99474568113283</v>
      </c>
      <c r="S601" s="880">
        <v>1322.3411660104152</v>
      </c>
      <c r="T601" s="881">
        <v>0.25560328481709738</v>
      </c>
      <c r="U601" s="880">
        <v>191.17179236839965</v>
      </c>
      <c r="V601" s="880">
        <v>768.60554680024768</v>
      </c>
      <c r="W601" s="881">
        <v>0.24872549146211553</v>
      </c>
      <c r="X601" s="880">
        <v>219.33672687385254</v>
      </c>
      <c r="Y601" s="880">
        <v>773.26142960044069</v>
      </c>
      <c r="Z601" s="881">
        <v>0.28365145147248338</v>
      </c>
      <c r="AA601" s="880">
        <v>247.92764403954618</v>
      </c>
      <c r="AB601" s="880">
        <v>723.2512222377427</v>
      </c>
      <c r="AC601" s="881">
        <v>0.34279602497242506</v>
      </c>
      <c r="AD601" s="880">
        <v>299</v>
      </c>
      <c r="AE601" s="880">
        <v>717.84076933947176</v>
      </c>
      <c r="AF601" s="881">
        <v>0.4165269134478497</v>
      </c>
      <c r="AG601" s="880">
        <v>170.87005098528252</v>
      </c>
      <c r="AH601" s="880">
        <v>721.52327478519942</v>
      </c>
      <c r="AI601" s="881">
        <v>0.23681848799146676</v>
      </c>
    </row>
    <row r="602" spans="2:35" x14ac:dyDescent="0.2">
      <c r="B602" s="867">
        <v>110433000</v>
      </c>
      <c r="C602" s="876" t="s">
        <v>1447</v>
      </c>
      <c r="D602" s="877" t="s">
        <v>1447</v>
      </c>
      <c r="E602" s="877" t="s">
        <v>1447</v>
      </c>
      <c r="F602" s="877" t="s">
        <v>1447</v>
      </c>
      <c r="G602" s="877" t="s">
        <v>1447</v>
      </c>
      <c r="H602" s="877" t="s">
        <v>1447</v>
      </c>
      <c r="I602" s="877" t="s">
        <v>1447</v>
      </c>
      <c r="J602" s="878" t="s">
        <v>1447</v>
      </c>
      <c r="K602" s="877"/>
      <c r="L602" s="879">
        <v>34</v>
      </c>
      <c r="M602" s="880">
        <v>208</v>
      </c>
      <c r="N602" s="881">
        <v>0.16420000000000001</v>
      </c>
      <c r="O602" s="880">
        <v>41.059202431786929</v>
      </c>
      <c r="P602" s="880">
        <v>226.62363067292645</v>
      </c>
      <c r="Q602" s="881">
        <v>0.18117793943141544</v>
      </c>
      <c r="R602" s="880">
        <v>49.676461180800501</v>
      </c>
      <c r="S602" s="880">
        <v>245.97119903467546</v>
      </c>
      <c r="T602" s="881">
        <v>0.20196047901444522</v>
      </c>
      <c r="U602" s="880">
        <v>25.937881376617035</v>
      </c>
      <c r="V602" s="880">
        <v>125.66554567456521</v>
      </c>
      <c r="W602" s="881">
        <v>0.20640408027024451</v>
      </c>
      <c r="X602" s="880">
        <v>33.815675971413576</v>
      </c>
      <c r="Y602" s="880">
        <v>125.76551841023685</v>
      </c>
      <c r="Z602" s="881">
        <v>0.26887875467669609</v>
      </c>
      <c r="AA602" s="880">
        <v>26.632084418035603</v>
      </c>
      <c r="AB602" s="880">
        <v>118.26749546025981</v>
      </c>
      <c r="AC602" s="881">
        <v>0.22518515602610781</v>
      </c>
      <c r="AD602" s="880">
        <v>32</v>
      </c>
      <c r="AE602" s="880">
        <v>117.10727370295244</v>
      </c>
      <c r="AF602" s="881">
        <v>0.27325373555505489</v>
      </c>
      <c r="AG602" s="880">
        <v>30.576745965787399</v>
      </c>
      <c r="AH602" s="880">
        <v>118.19574428021605</v>
      </c>
      <c r="AI602" s="881">
        <v>0.25869582828038779</v>
      </c>
    </row>
    <row r="603" spans="2:35" x14ac:dyDescent="0.2">
      <c r="B603" s="867">
        <v>110502000</v>
      </c>
      <c r="C603" s="876" t="s">
        <v>1447</v>
      </c>
      <c r="D603" s="877" t="s">
        <v>1447</v>
      </c>
      <c r="E603" s="877" t="s">
        <v>1447</v>
      </c>
      <c r="F603" s="877" t="s">
        <v>1447</v>
      </c>
      <c r="G603" s="877" t="s">
        <v>1447</v>
      </c>
      <c r="H603" s="877" t="s">
        <v>1447</v>
      </c>
      <c r="I603" s="877" t="s">
        <v>1447</v>
      </c>
      <c r="J603" s="878" t="s">
        <v>1447</v>
      </c>
      <c r="K603" s="877"/>
      <c r="L603" s="879">
        <v>958</v>
      </c>
      <c r="M603" s="880">
        <v>5340</v>
      </c>
      <c r="N603" s="881">
        <v>0.17929999999999999</v>
      </c>
      <c r="O603" s="880">
        <v>1115.441666063545</v>
      </c>
      <c r="P603" s="880">
        <v>5807.4768660270802</v>
      </c>
      <c r="Q603" s="881">
        <v>0.19206992843806597</v>
      </c>
      <c r="R603" s="880">
        <v>1372.4339961519197</v>
      </c>
      <c r="S603" s="880">
        <v>6222.0874507811504</v>
      </c>
      <c r="T603" s="881">
        <v>0.22057452695873275</v>
      </c>
      <c r="U603" s="880">
        <v>1512.0824180294524</v>
      </c>
      <c r="V603" s="880">
        <v>5122.0886756346035</v>
      </c>
      <c r="W603" s="881">
        <v>0.29520816873442984</v>
      </c>
      <c r="X603" s="880">
        <v>1592.4064367757667</v>
      </c>
      <c r="Y603" s="880">
        <v>5120.0321596542517</v>
      </c>
      <c r="Z603" s="881">
        <v>0.31101492864124891</v>
      </c>
      <c r="AA603" s="880">
        <v>1356.3208737334573</v>
      </c>
      <c r="AB603" s="880">
        <v>4792.5628160357592</v>
      </c>
      <c r="AC603" s="881">
        <v>0.28300534094102048</v>
      </c>
      <c r="AD603" s="880">
        <v>1329</v>
      </c>
      <c r="AE603" s="880">
        <v>4784.4131973908507</v>
      </c>
      <c r="AF603" s="881">
        <v>0.27777701155175344</v>
      </c>
      <c r="AG603" s="880">
        <v>1139.4334452544892</v>
      </c>
      <c r="AH603" s="880">
        <v>4808.9790881771478</v>
      </c>
      <c r="AI603" s="881">
        <v>0.23693873987844549</v>
      </c>
    </row>
    <row r="604" spans="2:35" x14ac:dyDescent="0.2">
      <c r="B604" s="867">
        <v>110502700</v>
      </c>
      <c r="C604" s="876" t="s">
        <v>1448</v>
      </c>
      <c r="D604" s="877" t="s">
        <v>1448</v>
      </c>
      <c r="E604" s="877" t="s">
        <v>1448</v>
      </c>
      <c r="F604" s="877" t="s">
        <v>1448</v>
      </c>
      <c r="G604" s="877" t="s">
        <v>1448</v>
      </c>
      <c r="H604" s="877" t="s">
        <v>1448</v>
      </c>
      <c r="I604" s="877" t="s">
        <v>1448</v>
      </c>
      <c r="J604" s="878" t="s">
        <v>1448</v>
      </c>
      <c r="K604" s="877"/>
      <c r="L604" s="879">
        <v>0</v>
      </c>
      <c r="M604" s="880">
        <v>0</v>
      </c>
      <c r="N604" s="881">
        <v>0</v>
      </c>
      <c r="O604" s="880" t="s">
        <v>1450</v>
      </c>
      <c r="P604" s="880" t="s">
        <v>1450</v>
      </c>
      <c r="Q604" s="881" t="s">
        <v>1450</v>
      </c>
      <c r="R604" s="880" t="s">
        <v>1450</v>
      </c>
      <c r="S604" s="880" t="s">
        <v>1450</v>
      </c>
      <c r="T604" s="881" t="s">
        <v>1450</v>
      </c>
      <c r="U604" s="880" t="s">
        <v>1450</v>
      </c>
      <c r="V604" s="880" t="s">
        <v>1450</v>
      </c>
      <c r="W604" s="881" t="s">
        <v>1450</v>
      </c>
      <c r="X604" s="880" t="s">
        <v>1450</v>
      </c>
      <c r="Y604" s="880" t="s">
        <v>1450</v>
      </c>
      <c r="Z604" s="881" t="s">
        <v>1450</v>
      </c>
      <c r="AA604" s="880" t="s">
        <v>1450</v>
      </c>
      <c r="AB604" s="880" t="s">
        <v>1450</v>
      </c>
      <c r="AC604" s="881" t="s">
        <v>1450</v>
      </c>
      <c r="AD604" s="880" t="s">
        <v>1450</v>
      </c>
      <c r="AE604" s="880" t="s">
        <v>1450</v>
      </c>
      <c r="AF604" s="881" t="s">
        <v>1450</v>
      </c>
      <c r="AG604" s="880" t="s">
        <v>1450</v>
      </c>
      <c r="AH604" s="880" t="s">
        <v>1450</v>
      </c>
      <c r="AI604" s="881" t="s">
        <v>1450</v>
      </c>
    </row>
    <row r="605" spans="2:35" x14ac:dyDescent="0.2">
      <c r="B605" s="867">
        <v>110540000</v>
      </c>
      <c r="C605" s="876" t="s">
        <v>1447</v>
      </c>
      <c r="D605" s="877" t="s">
        <v>1447</v>
      </c>
      <c r="E605" s="877" t="s">
        <v>1447</v>
      </c>
      <c r="F605" s="877" t="s">
        <v>1447</v>
      </c>
      <c r="G605" s="877" t="s">
        <v>1447</v>
      </c>
      <c r="H605" s="877" t="s">
        <v>1447</v>
      </c>
      <c r="I605" s="877" t="s">
        <v>1447</v>
      </c>
      <c r="J605" s="878" t="s">
        <v>1447</v>
      </c>
      <c r="K605" s="877"/>
      <c r="L605" s="879">
        <v>169</v>
      </c>
      <c r="M605" s="880">
        <v>1012</v>
      </c>
      <c r="N605" s="881">
        <v>0.16700000000000001</v>
      </c>
      <c r="O605" s="880">
        <v>198.45281175363684</v>
      </c>
      <c r="P605" s="880">
        <v>1098.6319486970131</v>
      </c>
      <c r="Q605" s="881">
        <v>0.18063630134641867</v>
      </c>
      <c r="R605" s="880">
        <v>243.51206461176719</v>
      </c>
      <c r="S605" s="880">
        <v>1177.7101009780263</v>
      </c>
      <c r="T605" s="881">
        <v>0.20676740770886082</v>
      </c>
      <c r="U605" s="880">
        <v>223.83430965747294</v>
      </c>
      <c r="V605" s="880">
        <v>684.82851635053748</v>
      </c>
      <c r="W605" s="881">
        <v>0.32684723885373479</v>
      </c>
      <c r="X605" s="880">
        <v>226.0928954562024</v>
      </c>
      <c r="Y605" s="880">
        <v>688.76272191856276</v>
      </c>
      <c r="Z605" s="881">
        <v>0.32825948365268082</v>
      </c>
      <c r="AA605" s="880">
        <v>191.91718044439972</v>
      </c>
      <c r="AB605" s="880">
        <v>645.01272524095543</v>
      </c>
      <c r="AC605" s="881">
        <v>0.29754014600674089</v>
      </c>
      <c r="AD605" s="880">
        <v>225</v>
      </c>
      <c r="AE605" s="880">
        <v>640.06723642224381</v>
      </c>
      <c r="AF605" s="881">
        <v>0.35152556980993555</v>
      </c>
      <c r="AG605" s="880">
        <v>160.97757434929247</v>
      </c>
      <c r="AH605" s="880">
        <v>643.02013119610069</v>
      </c>
      <c r="AI605" s="881">
        <v>0.25034608799860331</v>
      </c>
    </row>
    <row r="606" spans="2:35" x14ac:dyDescent="0.2">
      <c r="B606" s="867">
        <v>110899000</v>
      </c>
      <c r="C606" s="876" t="s">
        <v>1448</v>
      </c>
      <c r="D606" s="877" t="s">
        <v>1448</v>
      </c>
      <c r="E606" s="877" t="s">
        <v>1448</v>
      </c>
      <c r="F606" s="877" t="s">
        <v>1448</v>
      </c>
      <c r="G606" s="877" t="s">
        <v>1448</v>
      </c>
      <c r="H606" s="877" t="s">
        <v>1448</v>
      </c>
      <c r="I606" s="877" t="s">
        <v>1448</v>
      </c>
      <c r="J606" s="878" t="s">
        <v>1448</v>
      </c>
      <c r="K606" s="877"/>
      <c r="L606" s="879" t="s">
        <v>1450</v>
      </c>
      <c r="M606" s="880" t="s">
        <v>1450</v>
      </c>
      <c r="N606" s="881" t="s">
        <v>1450</v>
      </c>
      <c r="O606" s="880">
        <v>19.552001157993775</v>
      </c>
      <c r="P606" s="880">
        <v>415.80509627815201</v>
      </c>
      <c r="Q606" s="881">
        <v>4.702203347915318E-2</v>
      </c>
      <c r="R606" s="880" t="s">
        <v>1450</v>
      </c>
      <c r="S606" s="880" t="s">
        <v>1450</v>
      </c>
      <c r="T606" s="881" t="s">
        <v>1450</v>
      </c>
      <c r="U606" s="880" t="s">
        <v>1450</v>
      </c>
      <c r="V606" s="880" t="s">
        <v>1450</v>
      </c>
      <c r="W606" s="881" t="s">
        <v>1450</v>
      </c>
      <c r="X606" s="880" t="s">
        <v>1450</v>
      </c>
      <c r="Y606" s="880" t="s">
        <v>1450</v>
      </c>
      <c r="Z606" s="881" t="s">
        <v>1450</v>
      </c>
      <c r="AA606" s="880" t="s">
        <v>1450</v>
      </c>
      <c r="AB606" s="880" t="s">
        <v>1450</v>
      </c>
      <c r="AC606" s="881" t="s">
        <v>1450</v>
      </c>
      <c r="AD606" s="880" t="s">
        <v>1450</v>
      </c>
      <c r="AE606" s="880" t="s">
        <v>1450</v>
      </c>
      <c r="AF606" s="881" t="s">
        <v>1450</v>
      </c>
      <c r="AG606" s="880" t="s">
        <v>1450</v>
      </c>
      <c r="AH606" s="880" t="s">
        <v>1450</v>
      </c>
      <c r="AI606" s="881" t="s">
        <v>1450</v>
      </c>
    </row>
    <row r="607" spans="2:35" x14ac:dyDescent="0.2">
      <c r="B607" s="867">
        <v>118702000</v>
      </c>
      <c r="C607" s="876" t="s">
        <v>1447</v>
      </c>
      <c r="D607" s="877" t="s">
        <v>1447</v>
      </c>
      <c r="E607" s="877" t="s">
        <v>1448</v>
      </c>
      <c r="F607" s="877" t="s">
        <v>1447</v>
      </c>
      <c r="G607" s="877" t="s">
        <v>1448</v>
      </c>
      <c r="H607" s="877" t="s">
        <v>1448</v>
      </c>
      <c r="I607" s="877" t="s">
        <v>1448</v>
      </c>
      <c r="J607" s="878" t="s">
        <v>1448</v>
      </c>
      <c r="K607" s="877"/>
      <c r="L607" s="879">
        <v>33</v>
      </c>
      <c r="M607" s="880">
        <v>105</v>
      </c>
      <c r="N607" s="881">
        <v>0.31469999999999998</v>
      </c>
      <c r="O607" s="880">
        <v>20.830281537236736</v>
      </c>
      <c r="P607" s="880">
        <v>59</v>
      </c>
      <c r="Q607" s="881">
        <v>0.35305561927519891</v>
      </c>
      <c r="R607" s="880">
        <v>7.1513791037392131</v>
      </c>
      <c r="S607" s="880">
        <v>40</v>
      </c>
      <c r="T607" s="881">
        <v>0.17878447759348032</v>
      </c>
      <c r="U607" s="880">
        <v>10.427955414530958</v>
      </c>
      <c r="V607" s="880">
        <v>45</v>
      </c>
      <c r="W607" s="881">
        <v>0.23173234254513239</v>
      </c>
      <c r="X607" s="880">
        <v>6.7509389766164531</v>
      </c>
      <c r="Y607" s="880">
        <v>50</v>
      </c>
      <c r="Z607" s="881">
        <v>0.13501877953232908</v>
      </c>
      <c r="AA607" s="880" t="s">
        <v>1450</v>
      </c>
      <c r="AB607" s="880" t="s">
        <v>1450</v>
      </c>
      <c r="AC607" s="881" t="s">
        <v>1450</v>
      </c>
      <c r="AD607" s="880" t="s">
        <v>1450</v>
      </c>
      <c r="AE607" s="880" t="s">
        <v>1450</v>
      </c>
      <c r="AF607" s="881" t="s">
        <v>1450</v>
      </c>
      <c r="AG607" s="880" t="s">
        <v>1450</v>
      </c>
      <c r="AH607" s="880" t="s">
        <v>1450</v>
      </c>
      <c r="AI607" s="881" t="s">
        <v>1450</v>
      </c>
    </row>
    <row r="608" spans="2:35" x14ac:dyDescent="0.2">
      <c r="B608" s="867">
        <v>118703000</v>
      </c>
      <c r="C608" s="876" t="s">
        <v>1447</v>
      </c>
      <c r="D608" s="877" t="s">
        <v>1447</v>
      </c>
      <c r="E608" s="877" t="s">
        <v>1447</v>
      </c>
      <c r="F608" s="877" t="s">
        <v>1447</v>
      </c>
      <c r="G608" s="877" t="s">
        <v>1447</v>
      </c>
      <c r="H608" s="877" t="s">
        <v>1447</v>
      </c>
      <c r="I608" s="877" t="s">
        <v>1447</v>
      </c>
      <c r="J608" s="878" t="s">
        <v>1447</v>
      </c>
      <c r="K608" s="877"/>
      <c r="L608" s="879">
        <v>36</v>
      </c>
      <c r="M608" s="880">
        <v>173</v>
      </c>
      <c r="N608" s="881">
        <v>0.2099</v>
      </c>
      <c r="O608" s="880">
        <v>32.733299558514872</v>
      </c>
      <c r="P608" s="880">
        <v>130</v>
      </c>
      <c r="Q608" s="881">
        <v>0.25179461198857594</v>
      </c>
      <c r="R608" s="880">
        <v>41.001240194771491</v>
      </c>
      <c r="S608" s="880">
        <v>117</v>
      </c>
      <c r="T608" s="881">
        <v>0.35043795038266229</v>
      </c>
      <c r="U608" s="880">
        <v>25.54849076560085</v>
      </c>
      <c r="V608" s="880">
        <v>119</v>
      </c>
      <c r="W608" s="881">
        <v>0.21469319971093151</v>
      </c>
      <c r="X608" s="880">
        <v>72.910140947457691</v>
      </c>
      <c r="Y608" s="880">
        <v>131</v>
      </c>
      <c r="Z608" s="881">
        <v>0.5565659614309747</v>
      </c>
      <c r="AA608" s="880">
        <v>59.608630230909625</v>
      </c>
      <c r="AB608" s="880">
        <v>123</v>
      </c>
      <c r="AC608" s="881">
        <v>0.48462301000739533</v>
      </c>
      <c r="AD608" s="880">
        <v>49.382724395997464</v>
      </c>
      <c r="AE608" s="880">
        <v>117</v>
      </c>
      <c r="AF608" s="881">
        <v>0.42207456748715783</v>
      </c>
      <c r="AG608" s="880">
        <v>28.696600853829452</v>
      </c>
      <c r="AH608" s="880">
        <v>71</v>
      </c>
      <c r="AI608" s="881">
        <v>0.40417747681449934</v>
      </c>
    </row>
    <row r="609" spans="2:35" x14ac:dyDescent="0.2">
      <c r="B609" s="867">
        <v>118705000</v>
      </c>
      <c r="C609" s="876" t="s">
        <v>1448</v>
      </c>
      <c r="D609" s="877" t="s">
        <v>1448</v>
      </c>
      <c r="E609" s="877" t="s">
        <v>1447</v>
      </c>
      <c r="F609" s="877" t="s">
        <v>1447</v>
      </c>
      <c r="G609" s="877" t="s">
        <v>1447</v>
      </c>
      <c r="H609" s="877" t="s">
        <v>1448</v>
      </c>
      <c r="I609" s="877" t="s">
        <v>1448</v>
      </c>
      <c r="J609" s="878" t="s">
        <v>1447</v>
      </c>
      <c r="K609" s="877"/>
      <c r="L609" s="879" t="s">
        <v>1450</v>
      </c>
      <c r="M609" s="880" t="s">
        <v>1450</v>
      </c>
      <c r="N609" s="881" t="s">
        <v>1450</v>
      </c>
      <c r="O609" s="880" t="s">
        <v>1450</v>
      </c>
      <c r="P609" s="880" t="s">
        <v>1450</v>
      </c>
      <c r="Q609" s="881" t="s">
        <v>1450</v>
      </c>
      <c r="R609" s="880">
        <v>17.640068455890059</v>
      </c>
      <c r="S609" s="880">
        <v>53</v>
      </c>
      <c r="T609" s="881">
        <v>0.33283148029981247</v>
      </c>
      <c r="U609" s="880">
        <v>32.326661785045971</v>
      </c>
      <c r="V609" s="880">
        <v>69</v>
      </c>
      <c r="W609" s="881">
        <v>0.46850234471081115</v>
      </c>
      <c r="X609" s="880">
        <v>12.826784055571261</v>
      </c>
      <c r="Y609" s="880">
        <v>36</v>
      </c>
      <c r="Z609" s="881">
        <v>0.35629955709920169</v>
      </c>
      <c r="AA609" s="880">
        <v>7.8604787117683017</v>
      </c>
      <c r="AB609" s="880">
        <v>12</v>
      </c>
      <c r="AC609" s="881">
        <v>0.65503989264735851</v>
      </c>
      <c r="AD609" s="880">
        <v>7.6817571282662724</v>
      </c>
      <c r="AE609" s="880">
        <v>15</v>
      </c>
      <c r="AF609" s="881">
        <v>0.51211714188441815</v>
      </c>
      <c r="AG609" s="880">
        <v>11.159789220933677</v>
      </c>
      <c r="AH609" s="880">
        <v>21</v>
      </c>
      <c r="AI609" s="881">
        <v>0.53141853433017505</v>
      </c>
    </row>
    <row r="610" spans="2:35" x14ac:dyDescent="0.2">
      <c r="B610" s="867">
        <v>118706000</v>
      </c>
      <c r="C610" s="876" t="s">
        <v>1447</v>
      </c>
      <c r="D610" s="877" t="s">
        <v>1447</v>
      </c>
      <c r="E610" s="877" t="s">
        <v>1447</v>
      </c>
      <c r="F610" s="877" t="s">
        <v>1447</v>
      </c>
      <c r="G610" s="877" t="s">
        <v>1447</v>
      </c>
      <c r="H610" s="877" t="s">
        <v>1447</v>
      </c>
      <c r="I610" s="877" t="s">
        <v>1447</v>
      </c>
      <c r="J610" s="878" t="s">
        <v>1447</v>
      </c>
      <c r="K610" s="877"/>
      <c r="L610" s="879">
        <v>17</v>
      </c>
      <c r="M610" s="880">
        <v>61</v>
      </c>
      <c r="N610" s="881">
        <v>0.27579999999999999</v>
      </c>
      <c r="O610" s="880">
        <v>30.129514366360283</v>
      </c>
      <c r="P610" s="880">
        <v>99</v>
      </c>
      <c r="Q610" s="881">
        <v>0.30433852895313418</v>
      </c>
      <c r="R610" s="880">
        <v>47.675860691594757</v>
      </c>
      <c r="S610" s="880">
        <v>122</v>
      </c>
      <c r="T610" s="881">
        <v>0.39078574337372751</v>
      </c>
      <c r="U610" s="880">
        <v>54.74676592628753</v>
      </c>
      <c r="V610" s="880">
        <v>126</v>
      </c>
      <c r="W610" s="881">
        <v>0.43449814227212324</v>
      </c>
      <c r="X610" s="880">
        <v>60.758450789548078</v>
      </c>
      <c r="Y610" s="880">
        <v>125</v>
      </c>
      <c r="Z610" s="881">
        <v>0.48606760631638463</v>
      </c>
      <c r="AA610" s="880">
        <v>90.39550518533548</v>
      </c>
      <c r="AB610" s="880">
        <v>139</v>
      </c>
      <c r="AC610" s="881">
        <v>0.65032737543406816</v>
      </c>
      <c r="AD610" s="880">
        <v>74.62278353172951</v>
      </c>
      <c r="AE610" s="880">
        <v>165</v>
      </c>
      <c r="AF610" s="881">
        <v>0.45225929413169402</v>
      </c>
      <c r="AG610" s="880">
        <v>63.770224119621005</v>
      </c>
      <c r="AH610" s="880">
        <v>140</v>
      </c>
      <c r="AI610" s="881">
        <v>0.45550160085443575</v>
      </c>
    </row>
    <row r="611" spans="2:35" x14ac:dyDescent="0.2">
      <c r="B611" s="867">
        <v>118707000</v>
      </c>
      <c r="C611" s="876" t="s">
        <v>1447</v>
      </c>
      <c r="D611" s="877" t="s">
        <v>1448</v>
      </c>
      <c r="E611" s="877" t="s">
        <v>1448</v>
      </c>
      <c r="F611" s="877" t="s">
        <v>1447</v>
      </c>
      <c r="G611" s="877" t="s">
        <v>1447</v>
      </c>
      <c r="H611" s="877" t="s">
        <v>1447</v>
      </c>
      <c r="I611" s="877" t="s">
        <v>1448</v>
      </c>
      <c r="J611" s="878" t="s">
        <v>1448</v>
      </c>
      <c r="K611" s="877"/>
      <c r="L611" s="879">
        <v>13</v>
      </c>
      <c r="M611" s="880">
        <v>50</v>
      </c>
      <c r="N611" s="881">
        <v>0.26829999999999998</v>
      </c>
      <c r="O611" s="880">
        <v>9.2992328291235431</v>
      </c>
      <c r="P611" s="880">
        <v>32</v>
      </c>
      <c r="Q611" s="881">
        <v>0.29060102591011072</v>
      </c>
      <c r="R611" s="880">
        <v>7.6281377106551611</v>
      </c>
      <c r="S611" s="880">
        <v>26</v>
      </c>
      <c r="T611" s="881">
        <v>0.29338991194827541</v>
      </c>
      <c r="U611" s="880">
        <v>20.855910829061916</v>
      </c>
      <c r="V611" s="880">
        <v>46</v>
      </c>
      <c r="W611" s="881">
        <v>0.45338936584917205</v>
      </c>
      <c r="X611" s="880">
        <v>24.303380315819229</v>
      </c>
      <c r="Y611" s="880">
        <v>48</v>
      </c>
      <c r="Z611" s="881">
        <v>0.50632042324623394</v>
      </c>
      <c r="AA611" s="880">
        <v>30.786874954425851</v>
      </c>
      <c r="AB611" s="880">
        <v>49</v>
      </c>
      <c r="AC611" s="881">
        <v>0.62830357049848673</v>
      </c>
      <c r="AD611" s="880" t="s">
        <v>1450</v>
      </c>
      <c r="AE611" s="880" t="s">
        <v>1450</v>
      </c>
      <c r="AF611" s="881" t="s">
        <v>1450</v>
      </c>
      <c r="AG611" s="880" t="s">
        <v>1450</v>
      </c>
      <c r="AH611" s="880" t="s">
        <v>1450</v>
      </c>
      <c r="AI611" s="881" t="s">
        <v>1450</v>
      </c>
    </row>
    <row r="612" spans="2:35" x14ac:dyDescent="0.2">
      <c r="B612" s="867">
        <v>118708000</v>
      </c>
      <c r="C612" s="876" t="s">
        <v>1448</v>
      </c>
      <c r="D612" s="877" t="s">
        <v>1448</v>
      </c>
      <c r="E612" s="877" t="s">
        <v>1447</v>
      </c>
      <c r="F612" s="877" t="s">
        <v>1447</v>
      </c>
      <c r="G612" s="877" t="s">
        <v>1447</v>
      </c>
      <c r="H612" s="877" t="s">
        <v>1447</v>
      </c>
      <c r="I612" s="877" t="s">
        <v>1447</v>
      </c>
      <c r="J612" s="878" t="s">
        <v>1447</v>
      </c>
      <c r="K612" s="877"/>
      <c r="L612" s="879" t="s">
        <v>1450</v>
      </c>
      <c r="M612" s="880" t="s">
        <v>1450</v>
      </c>
      <c r="N612" s="881" t="s">
        <v>1450</v>
      </c>
      <c r="O612" s="880" t="s">
        <v>1450</v>
      </c>
      <c r="P612" s="880" t="s">
        <v>1450</v>
      </c>
      <c r="Q612" s="881" t="s">
        <v>1450</v>
      </c>
      <c r="R612" s="880">
        <v>16.686551242058165</v>
      </c>
      <c r="S612" s="880">
        <v>102</v>
      </c>
      <c r="T612" s="881">
        <v>0.16359363962802123</v>
      </c>
      <c r="U612" s="880">
        <v>56.310959238467177</v>
      </c>
      <c r="V612" s="880">
        <v>231</v>
      </c>
      <c r="W612" s="881">
        <v>0.24377038631371073</v>
      </c>
      <c r="X612" s="880">
        <v>99.913896853923504</v>
      </c>
      <c r="Y612" s="880">
        <v>253</v>
      </c>
      <c r="Z612" s="881">
        <v>0.39491658835542887</v>
      </c>
      <c r="AA612" s="880">
        <v>98.255983897103775</v>
      </c>
      <c r="AB612" s="880">
        <v>284</v>
      </c>
      <c r="AC612" s="881">
        <v>0.34597177428557668</v>
      </c>
      <c r="AD612" s="880">
        <v>105.8985089825279</v>
      </c>
      <c r="AE612" s="880">
        <v>342</v>
      </c>
      <c r="AF612" s="881">
        <v>0.30964476310680672</v>
      </c>
      <c r="AG612" s="880">
        <v>191.84209089319319</v>
      </c>
      <c r="AH612" s="880">
        <v>668</v>
      </c>
      <c r="AI612" s="881">
        <v>0.28718875882214551</v>
      </c>
    </row>
    <row r="613" spans="2:35" x14ac:dyDescent="0.2">
      <c r="B613" s="867">
        <v>118709000</v>
      </c>
      <c r="C613" s="876" t="s">
        <v>1448</v>
      </c>
      <c r="D613" s="877" t="s">
        <v>1448</v>
      </c>
      <c r="E613" s="877" t="s">
        <v>1448</v>
      </c>
      <c r="F613" s="877" t="s">
        <v>1448</v>
      </c>
      <c r="G613" s="877" t="s">
        <v>1447</v>
      </c>
      <c r="H613" s="877" t="s">
        <v>1448</v>
      </c>
      <c r="I613" s="877" t="s">
        <v>1448</v>
      </c>
      <c r="J613" s="878" t="s">
        <v>1448</v>
      </c>
      <c r="K613" s="877"/>
      <c r="L613" s="879" t="s">
        <v>1450</v>
      </c>
      <c r="M613" s="880" t="s">
        <v>1450</v>
      </c>
      <c r="N613" s="881" t="s">
        <v>1450</v>
      </c>
      <c r="O613" s="880" t="s">
        <v>1450</v>
      </c>
      <c r="P613" s="880" t="s">
        <v>1450</v>
      </c>
      <c r="Q613" s="881" t="s">
        <v>1450</v>
      </c>
      <c r="R613" s="880" t="s">
        <v>1450</v>
      </c>
      <c r="S613" s="880" t="s">
        <v>1450</v>
      </c>
      <c r="T613" s="881" t="s">
        <v>1450</v>
      </c>
      <c r="U613" s="880">
        <v>0</v>
      </c>
      <c r="V613" s="880">
        <v>42</v>
      </c>
      <c r="W613" s="881">
        <v>0</v>
      </c>
      <c r="X613" s="880">
        <v>24.303380315819229</v>
      </c>
      <c r="Y613" s="880">
        <v>64</v>
      </c>
      <c r="Z613" s="881">
        <v>0.37974031743467546</v>
      </c>
      <c r="AA613" s="880" t="s">
        <v>1450</v>
      </c>
      <c r="AB613" s="880" t="s">
        <v>1450</v>
      </c>
      <c r="AC613" s="881" t="s">
        <v>1450</v>
      </c>
      <c r="AD613" s="880" t="s">
        <v>1450</v>
      </c>
      <c r="AE613" s="880" t="s">
        <v>1450</v>
      </c>
      <c r="AF613" s="881" t="s">
        <v>1450</v>
      </c>
      <c r="AG613" s="880" t="s">
        <v>1450</v>
      </c>
      <c r="AH613" s="880" t="s">
        <v>1450</v>
      </c>
      <c r="AI613" s="881" t="s">
        <v>1450</v>
      </c>
    </row>
    <row r="614" spans="2:35" x14ac:dyDescent="0.2">
      <c r="B614" s="867">
        <v>118711000</v>
      </c>
      <c r="C614" s="876" t="s">
        <v>1448</v>
      </c>
      <c r="D614" s="877" t="s">
        <v>1448</v>
      </c>
      <c r="E614" s="877" t="s">
        <v>1448</v>
      </c>
      <c r="F614" s="877" t="s">
        <v>1448</v>
      </c>
      <c r="G614" s="877" t="s">
        <v>1448</v>
      </c>
      <c r="H614" s="877" t="s">
        <v>1448</v>
      </c>
      <c r="I614" s="877" t="s">
        <v>1448</v>
      </c>
      <c r="J614" s="878" t="s">
        <v>1448</v>
      </c>
      <c r="K614" s="877"/>
      <c r="L614" s="879" t="s">
        <v>1450</v>
      </c>
      <c r="M614" s="880" t="s">
        <v>1450</v>
      </c>
      <c r="N614" s="881" t="s">
        <v>1450</v>
      </c>
      <c r="O614" s="880" t="s">
        <v>1450</v>
      </c>
      <c r="P614" s="880" t="s">
        <v>1450</v>
      </c>
      <c r="Q614" s="881" t="s">
        <v>1450</v>
      </c>
      <c r="R614" s="880" t="s">
        <v>1450</v>
      </c>
      <c r="S614" s="880" t="s">
        <v>1450</v>
      </c>
      <c r="T614" s="881" t="s">
        <v>1450</v>
      </c>
      <c r="U614" s="880">
        <v>74.03848344316981</v>
      </c>
      <c r="V614" s="880">
        <v>980</v>
      </c>
      <c r="W614" s="881">
        <v>0</v>
      </c>
      <c r="X614" s="880">
        <v>65.506687604916877</v>
      </c>
      <c r="Y614" s="880">
        <v>1060</v>
      </c>
      <c r="Z614" s="881">
        <v>6.1798761891431013E-2</v>
      </c>
      <c r="AA614" s="880">
        <v>102.84126314563528</v>
      </c>
      <c r="AB614" s="880">
        <v>1136</v>
      </c>
      <c r="AC614" s="881">
        <v>9.0529280938059231E-2</v>
      </c>
      <c r="AD614" s="880">
        <v>87.242813099595523</v>
      </c>
      <c r="AE614" s="880">
        <v>1159</v>
      </c>
      <c r="AF614" s="881">
        <v>7.5274213200686391E-2</v>
      </c>
      <c r="AG614" s="880">
        <v>61.113131447970133</v>
      </c>
      <c r="AH614" s="880">
        <v>1201</v>
      </c>
      <c r="AI614" s="881">
        <v>5.0885205202306522E-2</v>
      </c>
    </row>
    <row r="615" spans="2:35" x14ac:dyDescent="0.2">
      <c r="B615" s="867">
        <v>118712000</v>
      </c>
      <c r="C615" s="876" t="s">
        <v>1448</v>
      </c>
      <c r="D615" s="877" t="s">
        <v>1448</v>
      </c>
      <c r="E615" s="877" t="s">
        <v>1448</v>
      </c>
      <c r="F615" s="877" t="s">
        <v>1448</v>
      </c>
      <c r="G615" s="877" t="s">
        <v>1447</v>
      </c>
      <c r="H615" s="877" t="s">
        <v>1447</v>
      </c>
      <c r="I615" s="877" t="s">
        <v>1447</v>
      </c>
      <c r="J615" s="878" t="s">
        <v>1447</v>
      </c>
      <c r="K615" s="877"/>
      <c r="L615" s="879" t="s">
        <v>1450</v>
      </c>
      <c r="M615" s="880" t="s">
        <v>1450</v>
      </c>
      <c r="N615" s="881" t="s">
        <v>1450</v>
      </c>
      <c r="O615" s="880" t="s">
        <v>1450</v>
      </c>
      <c r="P615" s="880" t="s">
        <v>1450</v>
      </c>
      <c r="Q615" s="881" t="s">
        <v>1450</v>
      </c>
      <c r="R615" s="880" t="s">
        <v>1450</v>
      </c>
      <c r="S615" s="880" t="s">
        <v>1450</v>
      </c>
      <c r="T615" s="881" t="s">
        <v>1450</v>
      </c>
      <c r="U615" s="880">
        <v>187.70319746155724</v>
      </c>
      <c r="V615" s="880">
        <v>741</v>
      </c>
      <c r="W615" s="881">
        <v>0</v>
      </c>
      <c r="X615" s="880">
        <v>168.9656624729999</v>
      </c>
      <c r="Y615" s="880">
        <v>780</v>
      </c>
      <c r="Z615" s="881">
        <v>0.21662264419615371</v>
      </c>
      <c r="AA615" s="880">
        <v>197.1670076868549</v>
      </c>
      <c r="AB615" s="880">
        <v>856</v>
      </c>
      <c r="AC615" s="881">
        <v>0.23033528935380246</v>
      </c>
      <c r="AD615" s="880">
        <v>203.56656389905623</v>
      </c>
      <c r="AE615" s="880">
        <v>1040</v>
      </c>
      <c r="AF615" s="881">
        <v>0.19573708067216947</v>
      </c>
      <c r="AG615" s="880">
        <v>253.48664087549349</v>
      </c>
      <c r="AH615" s="880">
        <v>1209</v>
      </c>
      <c r="AI615" s="881">
        <v>0.2096663696240641</v>
      </c>
    </row>
    <row r="616" spans="2:35" x14ac:dyDescent="0.2">
      <c r="B616" s="867">
        <v>118713000</v>
      </c>
      <c r="C616" s="876" t="s">
        <v>1448</v>
      </c>
      <c r="D616" s="877" t="s">
        <v>1448</v>
      </c>
      <c r="E616" s="877" t="s">
        <v>1448</v>
      </c>
      <c r="F616" s="877" t="s">
        <v>1448</v>
      </c>
      <c r="G616" s="877" t="s">
        <v>1448</v>
      </c>
      <c r="H616" s="877" t="s">
        <v>1448</v>
      </c>
      <c r="I616" s="877" t="s">
        <v>1448</v>
      </c>
      <c r="J616" s="878" t="s">
        <v>1448</v>
      </c>
      <c r="K616" s="877"/>
      <c r="L616" s="879" t="s">
        <v>1450</v>
      </c>
      <c r="M616" s="880" t="s">
        <v>1450</v>
      </c>
      <c r="N616" s="881" t="s">
        <v>1450</v>
      </c>
      <c r="O616" s="880" t="s">
        <v>1450</v>
      </c>
      <c r="P616" s="880" t="s">
        <v>1450</v>
      </c>
      <c r="Q616" s="881" t="s">
        <v>1450</v>
      </c>
      <c r="R616" s="880" t="s">
        <v>1450</v>
      </c>
      <c r="S616" s="880" t="s">
        <v>1450</v>
      </c>
      <c r="T616" s="881" t="s">
        <v>1450</v>
      </c>
      <c r="U616" s="880">
        <v>80.81665446261492</v>
      </c>
      <c r="V616" s="880">
        <v>576</v>
      </c>
      <c r="W616" s="881">
        <v>0.14030669177537314</v>
      </c>
      <c r="X616" s="880">
        <v>146.40523388284436</v>
      </c>
      <c r="Y616" s="880">
        <v>1010</v>
      </c>
      <c r="Z616" s="881">
        <v>0.14495567711172708</v>
      </c>
      <c r="AA616" s="880">
        <v>106.77150250151944</v>
      </c>
      <c r="AB616" s="880">
        <v>1152</v>
      </c>
      <c r="AC616" s="881">
        <v>9.2683595921457848E-2</v>
      </c>
      <c r="AD616" s="880">
        <v>149.24556706345902</v>
      </c>
      <c r="AE616" s="880">
        <v>1157</v>
      </c>
      <c r="AF616" s="881">
        <v>0.12899357568146846</v>
      </c>
      <c r="AG616" s="880">
        <v>147.73435254378867</v>
      </c>
      <c r="AH616" s="880">
        <v>1230</v>
      </c>
      <c r="AI616" s="881">
        <v>0.12010922971039729</v>
      </c>
    </row>
    <row r="617" spans="2:35" x14ac:dyDescent="0.2">
      <c r="B617" s="867">
        <v>118715000</v>
      </c>
      <c r="C617" s="876" t="s">
        <v>1448</v>
      </c>
      <c r="D617" s="877" t="s">
        <v>1448</v>
      </c>
      <c r="E617" s="877" t="s">
        <v>1448</v>
      </c>
      <c r="F617" s="877" t="s">
        <v>1448</v>
      </c>
      <c r="G617" s="877" t="s">
        <v>1448</v>
      </c>
      <c r="H617" s="877" t="s">
        <v>1447</v>
      </c>
      <c r="I617" s="877" t="s">
        <v>1447</v>
      </c>
      <c r="J617" s="878" t="s">
        <v>1448</v>
      </c>
      <c r="K617" s="877"/>
      <c r="L617" s="879" t="s">
        <v>1450</v>
      </c>
      <c r="M617" s="880" t="s">
        <v>1450</v>
      </c>
      <c r="N617" s="881" t="s">
        <v>1450</v>
      </c>
      <c r="O617" s="880" t="s">
        <v>1450</v>
      </c>
      <c r="P617" s="880" t="s">
        <v>1450</v>
      </c>
      <c r="Q617" s="881" t="s">
        <v>1450</v>
      </c>
      <c r="R617" s="880" t="s">
        <v>1450</v>
      </c>
      <c r="S617" s="880" t="s">
        <v>1450</v>
      </c>
      <c r="T617" s="881" t="s">
        <v>1450</v>
      </c>
      <c r="U617" s="880" t="s">
        <v>1450</v>
      </c>
      <c r="V617" s="880" t="s">
        <v>1450</v>
      </c>
      <c r="W617" s="881" t="s">
        <v>1450</v>
      </c>
      <c r="X617" s="880" t="s">
        <v>1450</v>
      </c>
      <c r="Y617" s="880" t="s">
        <v>1450</v>
      </c>
      <c r="Z617" s="881" t="s">
        <v>1450</v>
      </c>
      <c r="AA617" s="880">
        <v>169.65533219566586</v>
      </c>
      <c r="AB617" s="880">
        <v>946</v>
      </c>
      <c r="AC617" s="881">
        <v>0.17933967462543959</v>
      </c>
      <c r="AD617" s="880">
        <v>143.20990074839264</v>
      </c>
      <c r="AE617" s="880">
        <v>950</v>
      </c>
      <c r="AF617" s="881">
        <v>0.15074726394567647</v>
      </c>
      <c r="AG617" s="880">
        <v>108.4093810033557</v>
      </c>
      <c r="AH617" s="880">
        <v>987</v>
      </c>
      <c r="AI617" s="881">
        <v>0.1098372654542611</v>
      </c>
    </row>
    <row r="618" spans="2:35" x14ac:dyDescent="0.2">
      <c r="B618" s="867">
        <v>118717000</v>
      </c>
      <c r="C618" s="876" t="s">
        <v>1448</v>
      </c>
      <c r="D618" s="877" t="s">
        <v>1448</v>
      </c>
      <c r="E618" s="877" t="s">
        <v>1448</v>
      </c>
      <c r="F618" s="877" t="s">
        <v>1448</v>
      </c>
      <c r="G618" s="877" t="s">
        <v>1448</v>
      </c>
      <c r="H618" s="877" t="s">
        <v>1448</v>
      </c>
      <c r="I618" s="877" t="s">
        <v>1448</v>
      </c>
      <c r="J618" s="878" t="s">
        <v>1447</v>
      </c>
      <c r="K618" s="877"/>
      <c r="L618" s="879" t="s">
        <v>1450</v>
      </c>
      <c r="M618" s="880" t="s">
        <v>1450</v>
      </c>
      <c r="N618" s="881" t="s">
        <v>1450</v>
      </c>
      <c r="O618" s="880" t="s">
        <v>1450</v>
      </c>
      <c r="P618" s="880" t="s">
        <v>1450</v>
      </c>
      <c r="Q618" s="881" t="s">
        <v>1450</v>
      </c>
      <c r="R618" s="880" t="s">
        <v>1450</v>
      </c>
      <c r="S618" s="880" t="s">
        <v>1450</v>
      </c>
      <c r="T618" s="881" t="s">
        <v>1450</v>
      </c>
      <c r="U618" s="880" t="s">
        <v>1450</v>
      </c>
      <c r="V618" s="880" t="s">
        <v>1450</v>
      </c>
      <c r="W618" s="881" t="s">
        <v>1450</v>
      </c>
      <c r="X618" s="880" t="s">
        <v>1450</v>
      </c>
      <c r="Y618" s="880" t="s">
        <v>1450</v>
      </c>
      <c r="Z618" s="881" t="s">
        <v>1450</v>
      </c>
      <c r="AA618" s="880" t="s">
        <v>1450</v>
      </c>
      <c r="AB618" s="880" t="s">
        <v>1450</v>
      </c>
      <c r="AC618" s="881" t="s">
        <v>1450</v>
      </c>
      <c r="AD618" s="880" t="s">
        <v>1450</v>
      </c>
      <c r="AE618" s="880" t="s">
        <v>1450</v>
      </c>
      <c r="AF618" s="881" t="s">
        <v>1450</v>
      </c>
      <c r="AG618" s="880">
        <v>155.1742120244111</v>
      </c>
      <c r="AH618" s="880">
        <v>435</v>
      </c>
      <c r="AI618" s="881">
        <v>0.35672232649289909</v>
      </c>
    </row>
    <row r="619" spans="2:35" x14ac:dyDescent="0.2">
      <c r="B619" s="867">
        <v>120199000</v>
      </c>
      <c r="C619" s="876" t="s">
        <v>1447</v>
      </c>
      <c r="D619" s="877" t="s">
        <v>1448</v>
      </c>
      <c r="E619" s="877" t="s">
        <v>1447</v>
      </c>
      <c r="F619" s="877" t="s">
        <v>1447</v>
      </c>
      <c r="G619" s="877" t="s">
        <v>1448</v>
      </c>
      <c r="H619" s="877" t="s">
        <v>1448</v>
      </c>
      <c r="I619" s="877" t="s">
        <v>1448</v>
      </c>
      <c r="J619" s="878" t="s">
        <v>1448</v>
      </c>
      <c r="K619" s="877"/>
      <c r="L619" s="879">
        <v>15</v>
      </c>
      <c r="M619" s="880">
        <v>43</v>
      </c>
      <c r="N619" s="881">
        <v>0.35820000000000002</v>
      </c>
      <c r="O619" s="880">
        <v>8.9111665135808948</v>
      </c>
      <c r="P619" s="880">
        <v>31</v>
      </c>
      <c r="Q619" s="881">
        <v>0.28745698430906114</v>
      </c>
      <c r="R619" s="880">
        <v>10.530233188720175</v>
      </c>
      <c r="S619" s="880">
        <v>29</v>
      </c>
      <c r="T619" s="881">
        <v>0.36311148926621289</v>
      </c>
      <c r="U619" s="880">
        <v>12.724974721941354</v>
      </c>
      <c r="V619" s="880">
        <v>26</v>
      </c>
      <c r="W619" s="881">
        <v>0.4894221046900521</v>
      </c>
      <c r="X619" s="880">
        <v>0</v>
      </c>
      <c r="Y619" s="880">
        <v>0</v>
      </c>
      <c r="Z619" s="881">
        <v>0</v>
      </c>
      <c r="AA619" s="880" t="s">
        <v>1450</v>
      </c>
      <c r="AB619" s="880" t="s">
        <v>1450</v>
      </c>
      <c r="AC619" s="881" t="s">
        <v>1450</v>
      </c>
      <c r="AD619" s="880" t="s">
        <v>1450</v>
      </c>
      <c r="AE619" s="880" t="s">
        <v>1450</v>
      </c>
      <c r="AF619" s="881" t="s">
        <v>1450</v>
      </c>
      <c r="AG619" s="880" t="s">
        <v>1450</v>
      </c>
      <c r="AH619" s="880" t="s">
        <v>1450</v>
      </c>
      <c r="AI619" s="881" t="s">
        <v>1450</v>
      </c>
    </row>
    <row r="620" spans="2:35" x14ac:dyDescent="0.2">
      <c r="B620" s="867">
        <v>120201000</v>
      </c>
      <c r="C620" s="876" t="s">
        <v>1447</v>
      </c>
      <c r="D620" s="877" t="s">
        <v>1447</v>
      </c>
      <c r="E620" s="877" t="s">
        <v>1447</v>
      </c>
      <c r="F620" s="877" t="s">
        <v>1447</v>
      </c>
      <c r="G620" s="877" t="s">
        <v>1447</v>
      </c>
      <c r="H620" s="877" t="s">
        <v>1447</v>
      </c>
      <c r="I620" s="877" t="s">
        <v>1447</v>
      </c>
      <c r="J620" s="878" t="s">
        <v>1447</v>
      </c>
      <c r="K620" s="877"/>
      <c r="L620" s="879">
        <v>2179</v>
      </c>
      <c r="M620" s="880">
        <v>5383</v>
      </c>
      <c r="N620" s="881">
        <v>0.4047</v>
      </c>
      <c r="O620" s="880">
        <v>1797.0098048353539</v>
      </c>
      <c r="P620" s="880">
        <v>5218.0097669256384</v>
      </c>
      <c r="Q620" s="881">
        <v>0.34438605619822771</v>
      </c>
      <c r="R620" s="880">
        <v>2292.8103208834723</v>
      </c>
      <c r="S620" s="880">
        <v>5636.2290434427896</v>
      </c>
      <c r="T620" s="881">
        <v>0.40679864200177185</v>
      </c>
      <c r="U620" s="880">
        <v>2258.3528816986855</v>
      </c>
      <c r="V620" s="880">
        <v>5137.7733186732639</v>
      </c>
      <c r="W620" s="881">
        <v>0.43955868459410036</v>
      </c>
      <c r="X620" s="880">
        <v>1885.4448333699447</v>
      </c>
      <c r="Y620" s="880">
        <v>5032.1298433248894</v>
      </c>
      <c r="Z620" s="881">
        <v>0.37468127653164268</v>
      </c>
      <c r="AA620" s="880">
        <v>2110.1833672774255</v>
      </c>
      <c r="AB620" s="880">
        <v>4853.6197674418609</v>
      </c>
      <c r="AC620" s="881">
        <v>0.43476487001156555</v>
      </c>
      <c r="AD620" s="880">
        <v>1883.3356332331161</v>
      </c>
      <c r="AE620" s="880">
        <v>4730.1213751868463</v>
      </c>
      <c r="AF620" s="881">
        <v>0.39815799296666499</v>
      </c>
      <c r="AG620" s="880">
        <v>1891.9343772092402</v>
      </c>
      <c r="AH620" s="880">
        <v>4625.2979242979245</v>
      </c>
      <c r="AI620" s="881">
        <v>0.40904054358756092</v>
      </c>
    </row>
    <row r="621" spans="2:35" x14ac:dyDescent="0.2">
      <c r="B621" s="867">
        <v>120235000</v>
      </c>
      <c r="C621" s="876" t="s">
        <v>1447</v>
      </c>
      <c r="D621" s="877" t="s">
        <v>1447</v>
      </c>
      <c r="E621" s="877" t="s">
        <v>1447</v>
      </c>
      <c r="F621" s="877" t="s">
        <v>1447</v>
      </c>
      <c r="G621" s="877" t="s">
        <v>1447</v>
      </c>
      <c r="H621" s="877" t="s">
        <v>1447</v>
      </c>
      <c r="I621" s="877" t="s">
        <v>1447</v>
      </c>
      <c r="J621" s="878" t="s">
        <v>1447</v>
      </c>
      <c r="K621" s="877"/>
      <c r="L621" s="879">
        <v>680</v>
      </c>
      <c r="M621" s="880">
        <v>3068</v>
      </c>
      <c r="N621" s="881">
        <v>0.22159999999999999</v>
      </c>
      <c r="O621" s="880">
        <v>639.00185785404813</v>
      </c>
      <c r="P621" s="880">
        <v>2972.9386237513872</v>
      </c>
      <c r="Q621" s="881">
        <v>0.21493947192482801</v>
      </c>
      <c r="R621" s="880">
        <v>846.30673702529521</v>
      </c>
      <c r="S621" s="880">
        <v>3217.6581684682847</v>
      </c>
      <c r="T621" s="881">
        <v>0.26301946717608171</v>
      </c>
      <c r="U621" s="880">
        <v>1536.9211324570274</v>
      </c>
      <c r="V621" s="880">
        <v>4623.1203958218803</v>
      </c>
      <c r="W621" s="881">
        <v>0.33244237676483862</v>
      </c>
      <c r="X621" s="880">
        <v>1226.3092356649822</v>
      </c>
      <c r="Y621" s="880">
        <v>4536.9260718641526</v>
      </c>
      <c r="Z621" s="881">
        <v>0.27029517700761446</v>
      </c>
      <c r="AA621" s="880">
        <v>1247.9374499874862</v>
      </c>
      <c r="AB621" s="880">
        <v>4379.5498062015504</v>
      </c>
      <c r="AC621" s="881">
        <v>0.2849465139591234</v>
      </c>
      <c r="AD621" s="880">
        <v>1061.9017847207717</v>
      </c>
      <c r="AE621" s="880">
        <v>4268.6223218734431</v>
      </c>
      <c r="AF621" s="881">
        <v>0.2487692057644296</v>
      </c>
      <c r="AG621" s="880">
        <v>959.04507600468389</v>
      </c>
      <c r="AH621" s="880">
        <v>4172.4102564102568</v>
      </c>
      <c r="AI621" s="881">
        <v>0.22985397337935812</v>
      </c>
    </row>
    <row r="622" spans="2:35" x14ac:dyDescent="0.2">
      <c r="B622" s="867">
        <v>120328000</v>
      </c>
      <c r="C622" s="876" t="s">
        <v>1447</v>
      </c>
      <c r="D622" s="877" t="s">
        <v>1448</v>
      </c>
      <c r="E622" s="877" t="s">
        <v>1447</v>
      </c>
      <c r="F622" s="877" t="s">
        <v>1447</v>
      </c>
      <c r="G622" s="877" t="s">
        <v>1447</v>
      </c>
      <c r="H622" s="877" t="s">
        <v>1447</v>
      </c>
      <c r="I622" s="877" t="s">
        <v>1447</v>
      </c>
      <c r="J622" s="878" t="s">
        <v>1447</v>
      </c>
      <c r="K622" s="877"/>
      <c r="L622" s="879">
        <v>24</v>
      </c>
      <c r="M622" s="880">
        <v>154</v>
      </c>
      <c r="N622" s="881">
        <v>0.15870000000000001</v>
      </c>
      <c r="O622" s="880">
        <v>20.487082465549637</v>
      </c>
      <c r="P622" s="880">
        <v>149.2811320754717</v>
      </c>
      <c r="Q622" s="881">
        <v>0.13723825764659953</v>
      </c>
      <c r="R622" s="880">
        <v>51.556617313035233</v>
      </c>
      <c r="S622" s="880">
        <v>224.71303283703853</v>
      </c>
      <c r="T622" s="881">
        <v>0.22943314262695211</v>
      </c>
      <c r="U622" s="880">
        <v>168.72194135490395</v>
      </c>
      <c r="V622" s="880">
        <v>453.36155396738133</v>
      </c>
      <c r="W622" s="881">
        <v>0.37215758565853874</v>
      </c>
      <c r="X622" s="880">
        <v>148.65495566832985</v>
      </c>
      <c r="Y622" s="880">
        <v>445.39037433155079</v>
      </c>
      <c r="Z622" s="881">
        <v>0.33376328774826725</v>
      </c>
      <c r="AA622" s="880">
        <v>132.79427784226749</v>
      </c>
      <c r="AB622" s="880">
        <v>429.29127906976743</v>
      </c>
      <c r="AC622" s="881">
        <v>0.3093337421855385</v>
      </c>
      <c r="AD622" s="880">
        <v>124.14211366773102</v>
      </c>
      <c r="AE622" s="880">
        <v>418.56890881913301</v>
      </c>
      <c r="AF622" s="881">
        <v>0.29658703991646412</v>
      </c>
      <c r="AG622" s="880">
        <v>114.31042320055829</v>
      </c>
      <c r="AH622" s="880">
        <v>409.05982905982904</v>
      </c>
      <c r="AI622" s="881">
        <v>0.27944670945393479</v>
      </c>
    </row>
    <row r="623" spans="2:35" x14ac:dyDescent="0.2">
      <c r="B623" s="867">
        <v>120406000</v>
      </c>
      <c r="C623" s="876" t="s">
        <v>1447</v>
      </c>
      <c r="D623" s="877" t="s">
        <v>1447</v>
      </c>
      <c r="E623" s="877" t="s">
        <v>1447</v>
      </c>
      <c r="F623" s="877" t="s">
        <v>1447</v>
      </c>
      <c r="G623" s="877" t="s">
        <v>1447</v>
      </c>
      <c r="H623" s="877" t="s">
        <v>1447</v>
      </c>
      <c r="I623" s="877" t="s">
        <v>1447</v>
      </c>
      <c r="J623" s="878" t="s">
        <v>1447</v>
      </c>
      <c r="K623" s="877"/>
      <c r="L623" s="879">
        <v>52</v>
      </c>
      <c r="M623" s="880">
        <v>147</v>
      </c>
      <c r="N623" s="881">
        <v>0.35220000000000001</v>
      </c>
      <c r="O623" s="880">
        <v>42.925315642103996</v>
      </c>
      <c r="P623" s="880">
        <v>142.45127635960046</v>
      </c>
      <c r="Q623" s="881">
        <v>0.30133331718098755</v>
      </c>
      <c r="R623" s="880">
        <v>54.474916406225908</v>
      </c>
      <c r="S623" s="880">
        <v>152.06873342851316</v>
      </c>
      <c r="T623" s="881">
        <v>0.35822562059961083</v>
      </c>
      <c r="U623" s="880">
        <v>52.361981799797775</v>
      </c>
      <c r="V623" s="880">
        <v>135.23016309327468</v>
      </c>
      <c r="W623" s="881">
        <v>0.38720637912476097</v>
      </c>
      <c r="X623" s="880">
        <v>75.294248916962914</v>
      </c>
      <c r="Y623" s="880">
        <v>132.83572567783094</v>
      </c>
      <c r="Z623" s="881">
        <v>0.56682228017164238</v>
      </c>
      <c r="AA623" s="880">
        <v>63.480250236334214</v>
      </c>
      <c r="AB623" s="880">
        <v>128.49534883720929</v>
      </c>
      <c r="AC623" s="881">
        <v>0.49402761119982108</v>
      </c>
      <c r="AD623" s="880">
        <v>40.744656034737872</v>
      </c>
      <c r="AE623" s="880">
        <v>124.88769307424016</v>
      </c>
      <c r="AF623" s="881">
        <v>0.32625036968628279</v>
      </c>
      <c r="AG623" s="880">
        <v>38.749296000189247</v>
      </c>
      <c r="AH623" s="880">
        <v>122.71794871794872</v>
      </c>
      <c r="AI623" s="881">
        <v>0.31575899373325966</v>
      </c>
    </row>
    <row r="624" spans="2:35" x14ac:dyDescent="0.2">
      <c r="B624" s="867">
        <v>120425000</v>
      </c>
      <c r="C624" s="876" t="s">
        <v>1447</v>
      </c>
      <c r="D624" s="877" t="s">
        <v>1448</v>
      </c>
      <c r="E624" s="877" t="s">
        <v>1447</v>
      </c>
      <c r="F624" s="877" t="s">
        <v>1447</v>
      </c>
      <c r="G624" s="877" t="s">
        <v>1447</v>
      </c>
      <c r="H624" s="877" t="s">
        <v>1447</v>
      </c>
      <c r="I624" s="877" t="s">
        <v>1447</v>
      </c>
      <c r="J624" s="878" t="s">
        <v>1447</v>
      </c>
      <c r="K624" s="877"/>
      <c r="L624" s="879">
        <v>23</v>
      </c>
      <c r="M624" s="880">
        <v>146</v>
      </c>
      <c r="N624" s="881">
        <v>0.16059999999999999</v>
      </c>
      <c r="O624" s="880">
        <v>19.511507110047273</v>
      </c>
      <c r="P624" s="880">
        <v>141.47558268590456</v>
      </c>
      <c r="Q624" s="881">
        <v>0.13791430817687833</v>
      </c>
      <c r="R624" s="880">
        <v>23.346392745525389</v>
      </c>
      <c r="S624" s="880">
        <v>153.03732408729348</v>
      </c>
      <c r="T624" s="881">
        <v>0.1525535870727095</v>
      </c>
      <c r="U624" s="880">
        <v>31.029322548028311</v>
      </c>
      <c r="V624" s="880">
        <v>129.39288986622685</v>
      </c>
      <c r="W624" s="881">
        <v>0.23980701397200457</v>
      </c>
      <c r="X624" s="880">
        <v>34.224658598619506</v>
      </c>
      <c r="Y624" s="880">
        <v>126.9753260155737</v>
      </c>
      <c r="Z624" s="881">
        <v>0.26953786749420755</v>
      </c>
      <c r="AA624" s="880">
        <v>29.287617298281663</v>
      </c>
      <c r="AB624" s="880">
        <v>122.6546511627907</v>
      </c>
      <c r="AC624" s="881">
        <v>0.23878113891833025</v>
      </c>
      <c r="AD624" s="880">
        <v>24.234546362645045</v>
      </c>
      <c r="AE624" s="880">
        <v>120.00926756352766</v>
      </c>
      <c r="AF624" s="881">
        <v>0.20193895733774339</v>
      </c>
      <c r="AG624" s="880">
        <v>23.24957760011355</v>
      </c>
      <c r="AH624" s="880">
        <v>116.87423687423687</v>
      </c>
      <c r="AI624" s="881">
        <v>0.1989281660519536</v>
      </c>
    </row>
    <row r="625" spans="2:35" x14ac:dyDescent="0.2">
      <c r="B625" s="867">
        <v>120520000</v>
      </c>
      <c r="C625" s="876" t="s">
        <v>1447</v>
      </c>
      <c r="D625" s="877" t="s">
        <v>1448</v>
      </c>
      <c r="E625" s="877" t="s">
        <v>1448</v>
      </c>
      <c r="F625" s="877" t="s">
        <v>1448</v>
      </c>
      <c r="G625" s="877" t="s">
        <v>1447</v>
      </c>
      <c r="H625" s="877" t="s">
        <v>1447</v>
      </c>
      <c r="I625" s="877" t="s">
        <v>1447</v>
      </c>
      <c r="J625" s="878" t="s">
        <v>1447</v>
      </c>
      <c r="K625" s="877"/>
      <c r="L625" s="879">
        <v>17</v>
      </c>
      <c r="M625" s="880">
        <v>109</v>
      </c>
      <c r="N625" s="881">
        <v>0.1527</v>
      </c>
      <c r="O625" s="880">
        <v>13.658054977033091</v>
      </c>
      <c r="P625" s="880">
        <v>105.37491675915649</v>
      </c>
      <c r="Q625" s="881">
        <v>0.12961390999956621</v>
      </c>
      <c r="R625" s="880">
        <v>15.564261830350258</v>
      </c>
      <c r="S625" s="880">
        <v>114.29369773607995</v>
      </c>
      <c r="T625" s="881">
        <v>0.1361777782908932</v>
      </c>
      <c r="U625" s="880">
        <v>20.362992922143579</v>
      </c>
      <c r="V625" s="880">
        <v>139.12167857797326</v>
      </c>
      <c r="W625" s="881">
        <v>0.14636822334436378</v>
      </c>
      <c r="X625" s="880">
        <v>36.180353375683474</v>
      </c>
      <c r="Y625" s="880">
        <v>136.74265878600244</v>
      </c>
      <c r="Z625" s="881">
        <v>0.26458717196880371</v>
      </c>
      <c r="AA625" s="880">
        <v>32.216379028109827</v>
      </c>
      <c r="AB625" s="880">
        <v>132.3891472868217</v>
      </c>
      <c r="AC625" s="881">
        <v>0.2433460724564748</v>
      </c>
      <c r="AD625" s="880">
        <v>21.326400799127637</v>
      </c>
      <c r="AE625" s="880">
        <v>128.79043348281016</v>
      </c>
      <c r="AF625" s="881">
        <v>0.16558994501694957</v>
      </c>
      <c r="AG625" s="880">
        <v>20.343380400099356</v>
      </c>
      <c r="AH625" s="880">
        <v>125.63980463980464</v>
      </c>
      <c r="AI625" s="881">
        <v>0.1619182746934506</v>
      </c>
    </row>
    <row r="626" spans="2:35" x14ac:dyDescent="0.2">
      <c r="B626" s="867">
        <v>120899000</v>
      </c>
      <c r="C626" s="876" t="s">
        <v>1448</v>
      </c>
      <c r="D626" s="877" t="s">
        <v>1447</v>
      </c>
      <c r="E626" s="877" t="s">
        <v>1448</v>
      </c>
      <c r="F626" s="877" t="s">
        <v>1448</v>
      </c>
      <c r="G626" s="877" t="s">
        <v>1448</v>
      </c>
      <c r="H626" s="877" t="s">
        <v>1448</v>
      </c>
      <c r="I626" s="877" t="s">
        <v>1448</v>
      </c>
      <c r="J626" s="878" t="s">
        <v>1448</v>
      </c>
      <c r="K626" s="877"/>
      <c r="L626" s="879" t="s">
        <v>1450</v>
      </c>
      <c r="M626" s="880" t="s">
        <v>1450</v>
      </c>
      <c r="N626" s="881" t="s">
        <v>1450</v>
      </c>
      <c r="O626" s="880">
        <v>15.609205688037818</v>
      </c>
      <c r="P626" s="880">
        <v>59.5173140954495</v>
      </c>
      <c r="Q626" s="881">
        <v>0.26226327456586701</v>
      </c>
      <c r="R626" s="880" t="s">
        <v>1450</v>
      </c>
      <c r="S626" s="880" t="s">
        <v>1450</v>
      </c>
      <c r="T626" s="881" t="s">
        <v>1450</v>
      </c>
      <c r="U626" s="880" t="s">
        <v>1450</v>
      </c>
      <c r="V626" s="880" t="s">
        <v>1450</v>
      </c>
      <c r="W626" s="881" t="s">
        <v>1450</v>
      </c>
      <c r="X626" s="880" t="s">
        <v>1450</v>
      </c>
      <c r="Y626" s="880" t="s">
        <v>1450</v>
      </c>
      <c r="Z626" s="881" t="s">
        <v>1450</v>
      </c>
      <c r="AA626" s="880" t="s">
        <v>1450</v>
      </c>
      <c r="AB626" s="880" t="s">
        <v>1450</v>
      </c>
      <c r="AC626" s="881" t="s">
        <v>1450</v>
      </c>
      <c r="AD626" s="880" t="s">
        <v>1450</v>
      </c>
      <c r="AE626" s="880" t="s">
        <v>1450</v>
      </c>
      <c r="AF626" s="881" t="s">
        <v>1450</v>
      </c>
      <c r="AG626" s="880" t="s">
        <v>1450</v>
      </c>
      <c r="AH626" s="880" t="s">
        <v>1450</v>
      </c>
      <c r="AI626" s="881" t="s">
        <v>1450</v>
      </c>
    </row>
    <row r="627" spans="2:35" x14ac:dyDescent="0.2">
      <c r="B627" s="867">
        <v>120900000</v>
      </c>
      <c r="C627" s="876" t="s">
        <v>1448</v>
      </c>
      <c r="D627" s="877" t="s">
        <v>1448</v>
      </c>
      <c r="E627" s="877" t="s">
        <v>1448</v>
      </c>
      <c r="F627" s="877" t="s">
        <v>1448</v>
      </c>
      <c r="G627" s="877" t="s">
        <v>1448</v>
      </c>
      <c r="H627" s="877" t="s">
        <v>1448</v>
      </c>
      <c r="I627" s="877" t="s">
        <v>1448</v>
      </c>
      <c r="J627" s="878" t="s">
        <v>1448</v>
      </c>
      <c r="K627" s="877"/>
      <c r="L627" s="879" t="s">
        <v>1450</v>
      </c>
      <c r="M627" s="880" t="s">
        <v>1450</v>
      </c>
      <c r="N627" s="881" t="s">
        <v>1450</v>
      </c>
      <c r="O627" s="880" t="s">
        <v>1450</v>
      </c>
      <c r="P627" s="880" t="s">
        <v>1450</v>
      </c>
      <c r="Q627" s="881" t="s">
        <v>1450</v>
      </c>
      <c r="R627" s="880" t="s">
        <v>1450</v>
      </c>
      <c r="S627" s="880" t="s">
        <v>1450</v>
      </c>
      <c r="T627" s="881" t="s">
        <v>1450</v>
      </c>
      <c r="U627" s="880">
        <v>0</v>
      </c>
      <c r="V627" s="880">
        <v>0</v>
      </c>
      <c r="W627" s="881">
        <v>0</v>
      </c>
      <c r="X627" s="880">
        <v>0</v>
      </c>
      <c r="Y627" s="880">
        <v>0</v>
      </c>
      <c r="Z627" s="881">
        <v>0</v>
      </c>
      <c r="AA627" s="880" t="s">
        <v>1450</v>
      </c>
      <c r="AB627" s="880" t="s">
        <v>1450</v>
      </c>
      <c r="AC627" s="881" t="s">
        <v>1450</v>
      </c>
      <c r="AD627" s="880" t="s">
        <v>1450</v>
      </c>
      <c r="AE627" s="880" t="s">
        <v>1450</v>
      </c>
      <c r="AF627" s="881" t="s">
        <v>1450</v>
      </c>
      <c r="AG627" s="880" t="s">
        <v>1450</v>
      </c>
      <c r="AH627" s="880" t="s">
        <v>1450</v>
      </c>
      <c r="AI627" s="881" t="s">
        <v>1450</v>
      </c>
    </row>
    <row r="628" spans="2:35" x14ac:dyDescent="0.2">
      <c r="B628" s="867">
        <v>120999000</v>
      </c>
      <c r="C628" s="876" t="s">
        <v>1448</v>
      </c>
      <c r="D628" s="877" t="s">
        <v>1448</v>
      </c>
      <c r="E628" s="877" t="s">
        <v>1448</v>
      </c>
      <c r="F628" s="877" t="s">
        <v>1448</v>
      </c>
      <c r="G628" s="877" t="s">
        <v>1448</v>
      </c>
      <c r="H628" s="877" t="s">
        <v>1448</v>
      </c>
      <c r="I628" s="877" t="s">
        <v>1448</v>
      </c>
      <c r="J628" s="878" t="s">
        <v>1448</v>
      </c>
      <c r="K628" s="877"/>
      <c r="L628" s="879" t="s">
        <v>1450</v>
      </c>
      <c r="M628" s="880" t="s">
        <v>1450</v>
      </c>
      <c r="N628" s="881" t="s">
        <v>1450</v>
      </c>
      <c r="O628" s="880">
        <v>0</v>
      </c>
      <c r="P628" s="880">
        <v>1.9513873473917869</v>
      </c>
      <c r="Q628" s="881">
        <v>0</v>
      </c>
      <c r="R628" s="880">
        <v>0</v>
      </c>
      <c r="S628" s="880">
        <v>0</v>
      </c>
      <c r="T628" s="881">
        <v>0</v>
      </c>
      <c r="U628" s="880" t="s">
        <v>1450</v>
      </c>
      <c r="V628" s="880" t="s">
        <v>1450</v>
      </c>
      <c r="W628" s="881" t="s">
        <v>1450</v>
      </c>
      <c r="X628" s="880" t="s">
        <v>1450</v>
      </c>
      <c r="Y628" s="880" t="s">
        <v>1450</v>
      </c>
      <c r="Z628" s="881" t="s">
        <v>1450</v>
      </c>
      <c r="AA628" s="880" t="s">
        <v>1450</v>
      </c>
      <c r="AB628" s="880" t="s">
        <v>1450</v>
      </c>
      <c r="AC628" s="881" t="s">
        <v>1450</v>
      </c>
      <c r="AD628" s="880" t="s">
        <v>1450</v>
      </c>
      <c r="AE628" s="880" t="s">
        <v>1450</v>
      </c>
      <c r="AF628" s="881" t="s">
        <v>1450</v>
      </c>
      <c r="AG628" s="880" t="s">
        <v>1450</v>
      </c>
      <c r="AH628" s="880" t="s">
        <v>1450</v>
      </c>
      <c r="AI628" s="881" t="s">
        <v>1450</v>
      </c>
    </row>
    <row r="629" spans="2:35" x14ac:dyDescent="0.2">
      <c r="B629" s="867">
        <v>128703000</v>
      </c>
      <c r="C629" s="876" t="s">
        <v>1447</v>
      </c>
      <c r="D629" s="877" t="s">
        <v>1447</v>
      </c>
      <c r="E629" s="877" t="s">
        <v>1447</v>
      </c>
      <c r="F629" s="877" t="s">
        <v>1447</v>
      </c>
      <c r="G629" s="877" t="s">
        <v>1447</v>
      </c>
      <c r="H629" s="877" t="s">
        <v>1447</v>
      </c>
      <c r="I629" s="877" t="s">
        <v>1447</v>
      </c>
      <c r="J629" s="878" t="s">
        <v>1447</v>
      </c>
      <c r="K629" s="877"/>
      <c r="L629" s="879">
        <v>51</v>
      </c>
      <c r="M629" s="880">
        <v>128</v>
      </c>
      <c r="N629" s="881">
        <v>0.39589999999999997</v>
      </c>
      <c r="O629" s="880">
        <v>51.410576039889783</v>
      </c>
      <c r="P629" s="880">
        <v>170</v>
      </c>
      <c r="Q629" s="881">
        <v>0.30241515317582224</v>
      </c>
      <c r="R629" s="880">
        <v>64.097071583514108</v>
      </c>
      <c r="S629" s="880">
        <v>171</v>
      </c>
      <c r="T629" s="881">
        <v>0.37483667592698311</v>
      </c>
      <c r="U629" s="880">
        <v>88.468871876354171</v>
      </c>
      <c r="V629" s="880">
        <v>165</v>
      </c>
      <c r="W629" s="881">
        <v>0.53617498106881312</v>
      </c>
      <c r="X629" s="880">
        <v>63.265334637417908</v>
      </c>
      <c r="Y629" s="880">
        <v>146</v>
      </c>
      <c r="Z629" s="881">
        <v>0.43332420984532816</v>
      </c>
      <c r="AA629" s="880">
        <v>82.742694688998597</v>
      </c>
      <c r="AB629" s="880">
        <v>244</v>
      </c>
      <c r="AC629" s="881">
        <v>0.339109404463109</v>
      </c>
      <c r="AD629" s="880">
        <v>93.619542202832832</v>
      </c>
      <c r="AE629" s="880">
        <v>244</v>
      </c>
      <c r="AF629" s="881">
        <v>0.38368664837226568</v>
      </c>
      <c r="AG629" s="880">
        <v>98.367869585115514</v>
      </c>
      <c r="AH629" s="880">
        <v>256</v>
      </c>
      <c r="AI629" s="881">
        <v>0.38424949056685748</v>
      </c>
    </row>
    <row r="630" spans="2:35" x14ac:dyDescent="0.2">
      <c r="B630" s="867">
        <v>128725000</v>
      </c>
      <c r="C630" s="876" t="s">
        <v>1448</v>
      </c>
      <c r="D630" s="877" t="s">
        <v>1448</v>
      </c>
      <c r="E630" s="877" t="s">
        <v>1448</v>
      </c>
      <c r="F630" s="877" t="s">
        <v>1448</v>
      </c>
      <c r="G630" s="877" t="s">
        <v>1448</v>
      </c>
      <c r="H630" s="877" t="s">
        <v>1448</v>
      </c>
      <c r="I630" s="877" t="s">
        <v>1448</v>
      </c>
      <c r="J630" s="878" t="s">
        <v>1448</v>
      </c>
      <c r="K630" s="877"/>
      <c r="L630" s="879" t="s">
        <v>1450</v>
      </c>
      <c r="M630" s="880" t="s">
        <v>1450</v>
      </c>
      <c r="N630" s="881" t="s">
        <v>1450</v>
      </c>
      <c r="O630" s="880" t="s">
        <v>1450</v>
      </c>
      <c r="P630" s="880" t="s">
        <v>1450</v>
      </c>
      <c r="Q630" s="881" t="s">
        <v>1450</v>
      </c>
      <c r="R630" s="880">
        <v>5.9518709327548809</v>
      </c>
      <c r="S630" s="880">
        <v>29</v>
      </c>
      <c r="T630" s="881">
        <v>0.20523692871568555</v>
      </c>
      <c r="U630" s="880">
        <v>0</v>
      </c>
      <c r="V630" s="880">
        <v>31</v>
      </c>
      <c r="W630" s="881">
        <v>0</v>
      </c>
      <c r="X630" s="880">
        <v>0</v>
      </c>
      <c r="Y630" s="880">
        <v>29</v>
      </c>
      <c r="Z630" s="881">
        <v>0</v>
      </c>
      <c r="AA630" s="880" t="s">
        <v>1450</v>
      </c>
      <c r="AB630" s="880" t="s">
        <v>1450</v>
      </c>
      <c r="AC630" s="881" t="s">
        <v>1450</v>
      </c>
      <c r="AD630" s="880" t="s">
        <v>1450</v>
      </c>
      <c r="AE630" s="880" t="s">
        <v>1450</v>
      </c>
      <c r="AF630" s="881" t="s">
        <v>1450</v>
      </c>
      <c r="AG630" s="880" t="s">
        <v>1450</v>
      </c>
      <c r="AH630" s="880" t="s">
        <v>1450</v>
      </c>
      <c r="AI630" s="881" t="s">
        <v>1450</v>
      </c>
    </row>
    <row r="631" spans="2:35" x14ac:dyDescent="0.2">
      <c r="B631" s="867">
        <v>128726000</v>
      </c>
      <c r="C631" s="876" t="s">
        <v>1448</v>
      </c>
      <c r="D631" s="877" t="s">
        <v>1448</v>
      </c>
      <c r="E631" s="877" t="s">
        <v>1448</v>
      </c>
      <c r="F631" s="877" t="s">
        <v>1447</v>
      </c>
      <c r="G631" s="877" t="s">
        <v>1448</v>
      </c>
      <c r="H631" s="877" t="s">
        <v>1448</v>
      </c>
      <c r="I631" s="877" t="s">
        <v>1448</v>
      </c>
      <c r="J631" s="878" t="s">
        <v>1448</v>
      </c>
      <c r="K631" s="877"/>
      <c r="L631" s="879" t="s">
        <v>1450</v>
      </c>
      <c r="M631" s="880" t="s">
        <v>1450</v>
      </c>
      <c r="N631" s="881" t="s">
        <v>1450</v>
      </c>
      <c r="O631" s="880" t="s">
        <v>1450</v>
      </c>
      <c r="P631" s="880" t="s">
        <v>1450</v>
      </c>
      <c r="Q631" s="881" t="s">
        <v>1450</v>
      </c>
      <c r="R631" s="880">
        <v>7.7832158351409984</v>
      </c>
      <c r="S631" s="880">
        <v>63</v>
      </c>
      <c r="T631" s="881">
        <v>0.12354310849430156</v>
      </c>
      <c r="U631" s="880">
        <v>15.754730608117868</v>
      </c>
      <c r="V631" s="880">
        <v>45</v>
      </c>
      <c r="W631" s="881">
        <v>0.3501051246248415</v>
      </c>
      <c r="X631" s="880">
        <v>6.8131898840296206</v>
      </c>
      <c r="Y631" s="880">
        <v>50</v>
      </c>
      <c r="Z631" s="881">
        <v>0.13626379768059241</v>
      </c>
      <c r="AA631" s="880" t="s">
        <v>1450</v>
      </c>
      <c r="AB631" s="880" t="s">
        <v>1450</v>
      </c>
      <c r="AC631" s="881" t="s">
        <v>1450</v>
      </c>
      <c r="AD631" s="880" t="s">
        <v>1450</v>
      </c>
      <c r="AE631" s="880" t="s">
        <v>1450</v>
      </c>
      <c r="AF631" s="881" t="s">
        <v>1450</v>
      </c>
      <c r="AG631" s="880" t="s">
        <v>1450</v>
      </c>
      <c r="AH631" s="880" t="s">
        <v>1450</v>
      </c>
      <c r="AI631" s="881" t="s">
        <v>1450</v>
      </c>
    </row>
    <row r="632" spans="2:35" x14ac:dyDescent="0.2">
      <c r="B632" s="867">
        <v>130199000</v>
      </c>
      <c r="C632" s="876" t="s">
        <v>1448</v>
      </c>
      <c r="D632" s="877" t="s">
        <v>1447</v>
      </c>
      <c r="E632" s="877" t="s">
        <v>1447</v>
      </c>
      <c r="F632" s="877" t="s">
        <v>1447</v>
      </c>
      <c r="G632" s="877" t="s">
        <v>1448</v>
      </c>
      <c r="H632" s="877" t="s">
        <v>1447</v>
      </c>
      <c r="I632" s="877" t="s">
        <v>1448</v>
      </c>
      <c r="J632" s="878" t="s">
        <v>1447</v>
      </c>
      <c r="K632" s="877"/>
      <c r="L632" s="879">
        <v>11</v>
      </c>
      <c r="M632" s="880">
        <v>74</v>
      </c>
      <c r="N632" s="881">
        <v>0.14269999999999999</v>
      </c>
      <c r="O632" s="880">
        <v>10.381822440852659</v>
      </c>
      <c r="P632" s="880">
        <v>55</v>
      </c>
      <c r="Q632" s="881">
        <v>0.1887604080155029</v>
      </c>
      <c r="R632" s="880">
        <v>14.969393623364118</v>
      </c>
      <c r="S632" s="880">
        <v>53</v>
      </c>
      <c r="T632" s="881">
        <v>0.28244138912007771</v>
      </c>
      <c r="U632" s="880">
        <v>14.364849471114727</v>
      </c>
      <c r="V632" s="880">
        <v>42</v>
      </c>
      <c r="W632" s="881">
        <v>0.34202022550273159</v>
      </c>
      <c r="X632" s="880">
        <v>7.963602957259722</v>
      </c>
      <c r="Y632" s="880">
        <v>76</v>
      </c>
      <c r="Z632" s="881">
        <v>0.10478424943762792</v>
      </c>
      <c r="AA632" s="880">
        <v>16.438459193813454</v>
      </c>
      <c r="AB632" s="880">
        <v>49</v>
      </c>
      <c r="AC632" s="881">
        <v>0.33547875905741742</v>
      </c>
      <c r="AD632" s="880" t="s">
        <v>1450</v>
      </c>
      <c r="AE632" s="880" t="s">
        <v>1450</v>
      </c>
      <c r="AF632" s="881" t="s">
        <v>1450</v>
      </c>
      <c r="AG632" s="880">
        <v>10.744402576692734</v>
      </c>
      <c r="AH632" s="880">
        <v>42</v>
      </c>
      <c r="AI632" s="881">
        <v>0.25581910896887461</v>
      </c>
    </row>
    <row r="633" spans="2:35" x14ac:dyDescent="0.2">
      <c r="B633" s="867">
        <v>130201000</v>
      </c>
      <c r="C633" s="876" t="s">
        <v>1448</v>
      </c>
      <c r="D633" s="877" t="s">
        <v>1448</v>
      </c>
      <c r="E633" s="877" t="s">
        <v>1448</v>
      </c>
      <c r="F633" s="877" t="s">
        <v>1447</v>
      </c>
      <c r="G633" s="877" t="s">
        <v>1447</v>
      </c>
      <c r="H633" s="877" t="s">
        <v>1447</v>
      </c>
      <c r="I633" s="877" t="s">
        <v>1447</v>
      </c>
      <c r="J633" s="878" t="s">
        <v>1448</v>
      </c>
      <c r="K633" s="877"/>
      <c r="L633" s="879">
        <v>748</v>
      </c>
      <c r="M633" s="880">
        <v>5947</v>
      </c>
      <c r="N633" s="881">
        <v>0.12570000000000001</v>
      </c>
      <c r="O633" s="880">
        <v>790.21441399234789</v>
      </c>
      <c r="P633" s="880">
        <v>5749.4219292834186</v>
      </c>
      <c r="Q633" s="881">
        <v>0.13744241137836211</v>
      </c>
      <c r="R633" s="880">
        <v>819.98611190684846</v>
      </c>
      <c r="S633" s="880">
        <v>5649.5762126988302</v>
      </c>
      <c r="T633" s="881">
        <v>0.14514117183935413</v>
      </c>
      <c r="U633" s="880">
        <v>973.6017087062653</v>
      </c>
      <c r="V633" s="880">
        <v>5143.9561829589147</v>
      </c>
      <c r="W633" s="881">
        <v>0.1892709957234178</v>
      </c>
      <c r="X633" s="880">
        <v>1000.3193135048032</v>
      </c>
      <c r="Y633" s="880">
        <v>5011.5768914473683</v>
      </c>
      <c r="Z633" s="881">
        <v>0.1996017092368518</v>
      </c>
      <c r="AA633" s="880">
        <v>809.65596718489189</v>
      </c>
      <c r="AB633" s="880">
        <v>4895.7558893938867</v>
      </c>
      <c r="AC633" s="881">
        <v>0.16537915400130998</v>
      </c>
      <c r="AD633" s="880">
        <v>821.0201836890908</v>
      </c>
      <c r="AE633" s="880">
        <v>4951.8731451973799</v>
      </c>
      <c r="AF633" s="881">
        <v>0.16579992249707867</v>
      </c>
      <c r="AG633" s="880">
        <v>719.77459473532326</v>
      </c>
      <c r="AH633" s="880">
        <v>4949.2192738591257</v>
      </c>
      <c r="AI633" s="881">
        <v>0.1454319469208086</v>
      </c>
    </row>
    <row r="634" spans="2:35" x14ac:dyDescent="0.2">
      <c r="B634" s="867">
        <v>130209000</v>
      </c>
      <c r="C634" s="876" t="s">
        <v>1448</v>
      </c>
      <c r="D634" s="877" t="s">
        <v>1448</v>
      </c>
      <c r="E634" s="877" t="s">
        <v>1448</v>
      </c>
      <c r="F634" s="877" t="s">
        <v>1447</v>
      </c>
      <c r="G634" s="877" t="s">
        <v>1447</v>
      </c>
      <c r="H634" s="877" t="s">
        <v>1447</v>
      </c>
      <c r="I634" s="877" t="s">
        <v>1447</v>
      </c>
      <c r="J634" s="878" t="s">
        <v>1447</v>
      </c>
      <c r="K634" s="877"/>
      <c r="L634" s="879">
        <v>201</v>
      </c>
      <c r="M634" s="880">
        <v>1608</v>
      </c>
      <c r="N634" s="881">
        <v>0.12470000000000001</v>
      </c>
      <c r="O634" s="880">
        <v>211.17076598735065</v>
      </c>
      <c r="P634" s="880">
        <v>1530.9517192116627</v>
      </c>
      <c r="Q634" s="881">
        <v>0.13793430801076431</v>
      </c>
      <c r="R634" s="880">
        <v>219.5950771104599</v>
      </c>
      <c r="S634" s="880">
        <v>1494.9517220980676</v>
      </c>
      <c r="T634" s="881">
        <v>0.14689108274498153</v>
      </c>
      <c r="U634" s="880">
        <v>297.36899918633037</v>
      </c>
      <c r="V634" s="880">
        <v>1169.8423058760036</v>
      </c>
      <c r="W634" s="881">
        <v>0.25419579860693614</v>
      </c>
      <c r="X634" s="880">
        <v>303.32879482095984</v>
      </c>
      <c r="Y634" s="880">
        <v>1139.5495819627192</v>
      </c>
      <c r="Z634" s="881">
        <v>0.26618306006353598</v>
      </c>
      <c r="AA634" s="880">
        <v>265.44274815212123</v>
      </c>
      <c r="AB634" s="880">
        <v>1112.9845609409153</v>
      </c>
      <c r="AC634" s="881">
        <v>0.23849634349619042</v>
      </c>
      <c r="AD634" s="880">
        <v>313.36791958024429</v>
      </c>
      <c r="AE634" s="880">
        <v>1123.7309746411845</v>
      </c>
      <c r="AF634" s="881">
        <v>0.27886382653135011</v>
      </c>
      <c r="AG634" s="880">
        <v>211.454518038603</v>
      </c>
      <c r="AH634" s="880">
        <v>1124.1897506726425</v>
      </c>
      <c r="AI634" s="881">
        <v>0.18809504170633318</v>
      </c>
    </row>
    <row r="635" spans="2:35" x14ac:dyDescent="0.2">
      <c r="B635" s="867">
        <v>130220000</v>
      </c>
      <c r="C635" s="876" t="s">
        <v>1448</v>
      </c>
      <c r="D635" s="877" t="s">
        <v>1448</v>
      </c>
      <c r="E635" s="877" t="s">
        <v>1448</v>
      </c>
      <c r="F635" s="877" t="s">
        <v>1447</v>
      </c>
      <c r="G635" s="877" t="s">
        <v>1447</v>
      </c>
      <c r="H635" s="877" t="s">
        <v>1448</v>
      </c>
      <c r="I635" s="877" t="s">
        <v>1448</v>
      </c>
      <c r="J635" s="878" t="s">
        <v>1448</v>
      </c>
      <c r="K635" s="877"/>
      <c r="L635" s="879">
        <v>16</v>
      </c>
      <c r="M635" s="880">
        <v>431</v>
      </c>
      <c r="N635" s="881">
        <v>3.7600000000000001E-2</v>
      </c>
      <c r="O635" s="880">
        <v>17.597563832279221</v>
      </c>
      <c r="P635" s="880">
        <v>409.51030877625897</v>
      </c>
      <c r="Q635" s="881">
        <v>4.2972212066812385E-2</v>
      </c>
      <c r="R635" s="880">
        <v>18.093976391124038</v>
      </c>
      <c r="S635" s="880">
        <v>393.89982910477192</v>
      </c>
      <c r="T635" s="881">
        <v>4.593547662167502E-2</v>
      </c>
      <c r="U635" s="880">
        <v>71.958096013018718</v>
      </c>
      <c r="V635" s="880">
        <v>422.27163866963502</v>
      </c>
      <c r="W635" s="881">
        <v>0.17040712523275867</v>
      </c>
      <c r="X635" s="880">
        <v>62.304211172851744</v>
      </c>
      <c r="Y635" s="880">
        <v>411.52823464912279</v>
      </c>
      <c r="Z635" s="881">
        <v>0.15139717260462957</v>
      </c>
      <c r="AA635" s="880">
        <v>51.390972464545463</v>
      </c>
      <c r="AB635" s="880">
        <v>401.67217152968118</v>
      </c>
      <c r="AC635" s="881">
        <v>0.12794257632744163</v>
      </c>
      <c r="AD635" s="880">
        <v>43.882805574682294</v>
      </c>
      <c r="AE635" s="880">
        <v>406.65881721197184</v>
      </c>
      <c r="AF635" s="881">
        <v>0.10791062118249432</v>
      </c>
      <c r="AG635" s="880">
        <v>41.46167020364765</v>
      </c>
      <c r="AH635" s="880">
        <v>406.34412814560687</v>
      </c>
      <c r="AI635" s="881">
        <v>0.10203585417331422</v>
      </c>
    </row>
    <row r="636" spans="2:35" x14ac:dyDescent="0.2">
      <c r="B636" s="867">
        <v>130222000</v>
      </c>
      <c r="C636" s="876" t="s">
        <v>1447</v>
      </c>
      <c r="D636" s="877" t="s">
        <v>1447</v>
      </c>
      <c r="E636" s="877" t="s">
        <v>1447</v>
      </c>
      <c r="F636" s="877" t="s">
        <v>1447</v>
      </c>
      <c r="G636" s="877" t="s">
        <v>1447</v>
      </c>
      <c r="H636" s="877" t="s">
        <v>1447</v>
      </c>
      <c r="I636" s="877" t="s">
        <v>1447</v>
      </c>
      <c r="J636" s="878" t="s">
        <v>1447</v>
      </c>
      <c r="K636" s="877"/>
      <c r="L636" s="879">
        <v>991</v>
      </c>
      <c r="M636" s="880">
        <v>6470</v>
      </c>
      <c r="N636" s="881">
        <v>0.1532</v>
      </c>
      <c r="O636" s="880">
        <v>1044.1221207152339</v>
      </c>
      <c r="P636" s="880">
        <v>6117.8098639566215</v>
      </c>
      <c r="Q636" s="881">
        <v>0.17066926627889023</v>
      </c>
      <c r="R636" s="880">
        <v>1097.1529320799757</v>
      </c>
      <c r="S636" s="880">
        <v>5989.9939529380836</v>
      </c>
      <c r="T636" s="881">
        <v>0.18316428041497834</v>
      </c>
      <c r="U636" s="880">
        <v>1826.6952807160292</v>
      </c>
      <c r="V636" s="880">
        <v>7562.1004520002698</v>
      </c>
      <c r="W636" s="881">
        <v>0.24155924565017456</v>
      </c>
      <c r="X636" s="880">
        <v>1924.0460242718063</v>
      </c>
      <c r="Y636" s="880">
        <v>7353.4515487938597</v>
      </c>
      <c r="Z636" s="881">
        <v>0.26165209786245147</v>
      </c>
      <c r="AA636" s="880">
        <v>1533.5616143087016</v>
      </c>
      <c r="AB636" s="880">
        <v>7174.1918259723134</v>
      </c>
      <c r="AC636" s="881">
        <v>0.21376088784758121</v>
      </c>
      <c r="AD636" s="880">
        <v>1381.931814487556</v>
      </c>
      <c r="AE636" s="880">
        <v>7228.8156910366934</v>
      </c>
      <c r="AF636" s="881">
        <v>0.19116987810341746</v>
      </c>
      <c r="AG636" s="880">
        <v>1321.7980460922872</v>
      </c>
      <c r="AH636" s="880">
        <v>7258.5068886309473</v>
      </c>
      <c r="AI636" s="881">
        <v>0.18210329842940967</v>
      </c>
    </row>
    <row r="637" spans="2:35" x14ac:dyDescent="0.2">
      <c r="B637" s="867">
        <v>130228000</v>
      </c>
      <c r="C637" s="876" t="s">
        <v>1447</v>
      </c>
      <c r="D637" s="877" t="s">
        <v>1447</v>
      </c>
      <c r="E637" s="877" t="s">
        <v>1447</v>
      </c>
      <c r="F637" s="877" t="s">
        <v>1447</v>
      </c>
      <c r="G637" s="877" t="s">
        <v>1447</v>
      </c>
      <c r="H637" s="877" t="s">
        <v>1447</v>
      </c>
      <c r="I637" s="877" t="s">
        <v>1447</v>
      </c>
      <c r="J637" s="878" t="s">
        <v>1447</v>
      </c>
      <c r="K637" s="877"/>
      <c r="L637" s="879">
        <v>438</v>
      </c>
      <c r="M637" s="880">
        <v>1843</v>
      </c>
      <c r="N637" s="881">
        <v>0.23760000000000001</v>
      </c>
      <c r="O637" s="880">
        <v>460.88857655969389</v>
      </c>
      <c r="P637" s="880">
        <v>1753.697912269879</v>
      </c>
      <c r="Q637" s="881">
        <v>0.2628095599219526</v>
      </c>
      <c r="R637" s="880">
        <v>491.8271764496443</v>
      </c>
      <c r="S637" s="880">
        <v>1718.2182200604707</v>
      </c>
      <c r="T637" s="881">
        <v>0.28624255679952865</v>
      </c>
      <c r="U637" s="880">
        <v>605.14157851912125</v>
      </c>
      <c r="V637" s="880">
        <v>1657.3500640895904</v>
      </c>
      <c r="W637" s="881">
        <v>0.36512598734023971</v>
      </c>
      <c r="X637" s="880">
        <v>774.88441124776023</v>
      </c>
      <c r="Y637" s="880">
        <v>1614.7251918859649</v>
      </c>
      <c r="Z637" s="881">
        <v>0.47988624636661026</v>
      </c>
      <c r="AA637" s="880">
        <v>666.24280513995677</v>
      </c>
      <c r="AB637" s="880">
        <v>1576.5847760469069</v>
      </c>
      <c r="AC637" s="881">
        <v>0.42258609575723483</v>
      </c>
      <c r="AD637" s="880">
        <v>480.52258076403706</v>
      </c>
      <c r="AE637" s="880">
        <v>1594.5534431829769</v>
      </c>
      <c r="AF637" s="881">
        <v>0.30135244624027097</v>
      </c>
      <c r="AG637" s="880">
        <v>423.73826948127896</v>
      </c>
      <c r="AH637" s="880">
        <v>1594.9224558691592</v>
      </c>
      <c r="AI637" s="881">
        <v>0.26567954317902004</v>
      </c>
    </row>
    <row r="638" spans="2:35" x14ac:dyDescent="0.2">
      <c r="B638" s="867">
        <v>130231000</v>
      </c>
      <c r="C638" s="876" t="s">
        <v>1447</v>
      </c>
      <c r="D638" s="877" t="s">
        <v>1447</v>
      </c>
      <c r="E638" s="877" t="s">
        <v>1447</v>
      </c>
      <c r="F638" s="877" t="s">
        <v>1447</v>
      </c>
      <c r="G638" s="877" t="s">
        <v>1447</v>
      </c>
      <c r="H638" s="877" t="s">
        <v>1447</v>
      </c>
      <c r="I638" s="877" t="s">
        <v>1447</v>
      </c>
      <c r="J638" s="878" t="s">
        <v>1447</v>
      </c>
      <c r="K638" s="877"/>
      <c r="L638" s="879">
        <v>72</v>
      </c>
      <c r="M638" s="880">
        <v>281</v>
      </c>
      <c r="N638" s="881">
        <v>0.2555</v>
      </c>
      <c r="O638" s="880">
        <v>76.256109939876623</v>
      </c>
      <c r="P638" s="880">
        <v>267.2954316698594</v>
      </c>
      <c r="Q638" s="881">
        <v>0.28528774122133777</v>
      </c>
      <c r="R638" s="880">
        <v>82.245347232381988</v>
      </c>
      <c r="S638" s="880">
        <v>261.46799000920203</v>
      </c>
      <c r="T638" s="881">
        <v>0.3145522602192623</v>
      </c>
      <c r="U638" s="880">
        <v>71.091131000813675</v>
      </c>
      <c r="V638" s="880">
        <v>245.07623288133306</v>
      </c>
      <c r="W638" s="881">
        <v>0.29007762264420106</v>
      </c>
      <c r="X638" s="880">
        <v>67.249696781442765</v>
      </c>
      <c r="Y638" s="880">
        <v>237.15186403508773</v>
      </c>
      <c r="Z638" s="881">
        <v>0.28357228839446463</v>
      </c>
      <c r="AA638" s="880">
        <v>75.694466851861478</v>
      </c>
      <c r="AB638" s="880">
        <v>231.37005169482705</v>
      </c>
      <c r="AC638" s="881">
        <v>0.32715758283056062</v>
      </c>
      <c r="AD638" s="880">
        <v>71.525457253972618</v>
      </c>
      <c r="AE638" s="880">
        <v>234.11061971691342</v>
      </c>
      <c r="AF638" s="881">
        <v>0.30551991763748781</v>
      </c>
      <c r="AG638" s="880">
        <v>68.826372538055097</v>
      </c>
      <c r="AH638" s="880">
        <v>233.19106283302492</v>
      </c>
      <c r="AI638" s="881">
        <v>0.29515013012028601</v>
      </c>
    </row>
    <row r="639" spans="2:35" x14ac:dyDescent="0.2">
      <c r="B639" s="867">
        <v>130240000</v>
      </c>
      <c r="C639" s="876" t="s">
        <v>1447</v>
      </c>
      <c r="D639" s="877" t="s">
        <v>1447</v>
      </c>
      <c r="E639" s="877" t="s">
        <v>1447</v>
      </c>
      <c r="F639" s="877" t="s">
        <v>1448</v>
      </c>
      <c r="G639" s="877" t="s">
        <v>1448</v>
      </c>
      <c r="H639" s="877" t="s">
        <v>1448</v>
      </c>
      <c r="I639" s="877" t="s">
        <v>1448</v>
      </c>
      <c r="J639" s="878" t="s">
        <v>1447</v>
      </c>
      <c r="K639" s="877"/>
      <c r="L639" s="879">
        <v>35</v>
      </c>
      <c r="M639" s="880">
        <v>178</v>
      </c>
      <c r="N639" s="881">
        <v>0.19650000000000001</v>
      </c>
      <c r="O639" s="880">
        <v>36.033106894666979</v>
      </c>
      <c r="P639" s="880">
        <v>169.62979317510309</v>
      </c>
      <c r="Q639" s="881">
        <v>0.21242204108255455</v>
      </c>
      <c r="R639" s="880">
        <v>39.477766671543357</v>
      </c>
      <c r="S639" s="880">
        <v>165.53979886946235</v>
      </c>
      <c r="T639" s="881">
        <v>0.23847900590161913</v>
      </c>
      <c r="U639" s="880">
        <v>16.472335231895851</v>
      </c>
      <c r="V639" s="880">
        <v>131.3538082709303</v>
      </c>
      <c r="W639" s="881">
        <v>0.12540432172259536</v>
      </c>
      <c r="X639" s="880">
        <v>17.987101738831477</v>
      </c>
      <c r="Y639" s="880">
        <v>128.16663240131578</v>
      </c>
      <c r="Z639" s="881">
        <v>0.14034153353198986</v>
      </c>
      <c r="AA639" s="880">
        <v>15.11170641844156</v>
      </c>
      <c r="AB639" s="880">
        <v>124.71619886895881</v>
      </c>
      <c r="AC639" s="881">
        <v>0.12116875398295018</v>
      </c>
      <c r="AD639" s="880">
        <v>15.24015389539198</v>
      </c>
      <c r="AE639" s="880">
        <v>125.72607355167573</v>
      </c>
      <c r="AF639" s="881">
        <v>0.12121713074200156</v>
      </c>
      <c r="AG639" s="880">
        <v>29.023169142553357</v>
      </c>
      <c r="AH639" s="880">
        <v>126.16680638353959</v>
      </c>
      <c r="AI639" s="881">
        <v>0.23003807399487189</v>
      </c>
    </row>
    <row r="640" spans="2:35" x14ac:dyDescent="0.2">
      <c r="B640" s="867">
        <v>130243000</v>
      </c>
      <c r="C640" s="876" t="s">
        <v>1447</v>
      </c>
      <c r="D640" s="877" t="s">
        <v>1447</v>
      </c>
      <c r="E640" s="877" t="s">
        <v>1447</v>
      </c>
      <c r="F640" s="877" t="s">
        <v>1447</v>
      </c>
      <c r="G640" s="877" t="s">
        <v>1447</v>
      </c>
      <c r="H640" s="877" t="s">
        <v>1447</v>
      </c>
      <c r="I640" s="877" t="s">
        <v>1447</v>
      </c>
      <c r="J640" s="878" t="s">
        <v>1447</v>
      </c>
      <c r="K640" s="877"/>
      <c r="L640" s="879">
        <v>146</v>
      </c>
      <c r="M640" s="880">
        <v>882</v>
      </c>
      <c r="N640" s="881">
        <v>0.16539999999999999</v>
      </c>
      <c r="O640" s="880">
        <v>154.18817833997031</v>
      </c>
      <c r="P640" s="880">
        <v>854.14597876554433</v>
      </c>
      <c r="Q640" s="881">
        <v>0.18051736140327088</v>
      </c>
      <c r="R640" s="880">
        <v>162.84578752011635</v>
      </c>
      <c r="S640" s="880">
        <v>837.03713684764034</v>
      </c>
      <c r="T640" s="881">
        <v>0.19455025392709421</v>
      </c>
      <c r="U640" s="880">
        <v>194.20016273393003</v>
      </c>
      <c r="V640" s="880">
        <v>651.47962625649325</v>
      </c>
      <c r="W640" s="881">
        <v>0.29809092242812779</v>
      </c>
      <c r="X640" s="880">
        <v>171.77488686666533</v>
      </c>
      <c r="Y640" s="880">
        <v>634.72998903508767</v>
      </c>
      <c r="Z640" s="881">
        <v>0.27062670715747394</v>
      </c>
      <c r="AA640" s="880">
        <v>169.50064012216453</v>
      </c>
      <c r="AB640" s="880">
        <v>619.28043576310586</v>
      </c>
      <c r="AC640" s="881">
        <v>0.27370578874060186</v>
      </c>
      <c r="AD640" s="880">
        <v>212.87512286996866</v>
      </c>
      <c r="AE640" s="880">
        <v>626.89621501973488</v>
      </c>
      <c r="AF640" s="881">
        <v>0.33956996033748155</v>
      </c>
      <c r="AG640" s="880">
        <v>187.40674932048739</v>
      </c>
      <c r="AH640" s="880">
        <v>627.35356829332454</v>
      </c>
      <c r="AI640" s="881">
        <v>0.29872588408210626</v>
      </c>
    </row>
    <row r="641" spans="2:35" x14ac:dyDescent="0.2">
      <c r="B641" s="867">
        <v>130251000</v>
      </c>
      <c r="C641" s="876" t="s">
        <v>1447</v>
      </c>
      <c r="D641" s="877" t="s">
        <v>1447</v>
      </c>
      <c r="E641" s="877" t="s">
        <v>1447</v>
      </c>
      <c r="F641" s="877" t="s">
        <v>1447</v>
      </c>
      <c r="G641" s="877" t="s">
        <v>1447</v>
      </c>
      <c r="H641" s="877" t="s">
        <v>1447</v>
      </c>
      <c r="I641" s="877" t="s">
        <v>1447</v>
      </c>
      <c r="J641" s="878" t="s">
        <v>1447</v>
      </c>
      <c r="K641" s="877"/>
      <c r="L641" s="879">
        <v>655</v>
      </c>
      <c r="M641" s="880">
        <v>3295</v>
      </c>
      <c r="N641" s="881">
        <v>0.19889999999999999</v>
      </c>
      <c r="O641" s="880">
        <v>690.49488560943234</v>
      </c>
      <c r="P641" s="880">
        <v>3246.0974057599274</v>
      </c>
      <c r="Q641" s="881">
        <v>0.21271539306990822</v>
      </c>
      <c r="R641" s="880">
        <v>720.46924175566619</v>
      </c>
      <c r="S641" s="880">
        <v>3168.1770737478637</v>
      </c>
      <c r="T641" s="881">
        <v>0.22740813565176504</v>
      </c>
      <c r="U641" s="880">
        <v>664.96216436126929</v>
      </c>
      <c r="V641" s="880">
        <v>3202.7408419348312</v>
      </c>
      <c r="W641" s="881">
        <v>0.20762284467561046</v>
      </c>
      <c r="X641" s="880">
        <v>622.79533629380956</v>
      </c>
      <c r="Y641" s="880">
        <v>3119.5932702850878</v>
      </c>
      <c r="Z641" s="881">
        <v>0.19963991531399047</v>
      </c>
      <c r="AA641" s="880">
        <v>525.96557785467542</v>
      </c>
      <c r="AB641" s="880">
        <v>3046.5156992679458</v>
      </c>
      <c r="AC641" s="881">
        <v>0.17264495895460538</v>
      </c>
      <c r="AD641" s="880">
        <v>825.37080813506532</v>
      </c>
      <c r="AE641" s="880">
        <v>3079.855263831394</v>
      </c>
      <c r="AF641" s="881">
        <v>0.26799012857126592</v>
      </c>
      <c r="AG641" s="880">
        <v>796.06406791003485</v>
      </c>
      <c r="AH641" s="880">
        <v>3081.9505393827399</v>
      </c>
      <c r="AI641" s="881">
        <v>0.25829878115742649</v>
      </c>
    </row>
    <row r="642" spans="2:35" x14ac:dyDescent="0.2">
      <c r="B642" s="867">
        <v>130302000</v>
      </c>
      <c r="C642" s="876" t="s">
        <v>1448</v>
      </c>
      <c r="D642" s="877" t="s">
        <v>1448</v>
      </c>
      <c r="E642" s="877" t="s">
        <v>1447</v>
      </c>
      <c r="F642" s="877" t="s">
        <v>1447</v>
      </c>
      <c r="G642" s="877" t="s">
        <v>1447</v>
      </c>
      <c r="H642" s="877" t="s">
        <v>1448</v>
      </c>
      <c r="I642" s="877" t="s">
        <v>1447</v>
      </c>
      <c r="J642" s="878" t="s">
        <v>1448</v>
      </c>
      <c r="K642" s="877"/>
      <c r="L642" s="879">
        <v>7</v>
      </c>
      <c r="M642" s="880">
        <v>41</v>
      </c>
      <c r="N642" s="881">
        <v>0.16500000000000001</v>
      </c>
      <c r="O642" s="880">
        <v>6.7038338408682749</v>
      </c>
      <c r="P642" s="880">
        <v>39.408941848761323</v>
      </c>
      <c r="Q642" s="881">
        <v>0.17010946060402751</v>
      </c>
      <c r="R642" s="880">
        <v>11.514348612533478</v>
      </c>
      <c r="S642" s="880">
        <v>56.877777047456291</v>
      </c>
      <c r="T642" s="881">
        <v>0.20244020090529236</v>
      </c>
      <c r="U642" s="880">
        <v>10.403580146460538</v>
      </c>
      <c r="V642" s="880">
        <v>53.775720164609055</v>
      </c>
      <c r="W642" s="881">
        <v>0.19346240486626445</v>
      </c>
      <c r="X642" s="880">
        <v>11.041616130240461</v>
      </c>
      <c r="Y642" s="880">
        <v>52.312911184210527</v>
      </c>
      <c r="Z642" s="881">
        <v>0.21106866125953863</v>
      </c>
      <c r="AA642" s="880">
        <v>7.0558532092207802</v>
      </c>
      <c r="AB642" s="880">
        <v>50.746591263921175</v>
      </c>
      <c r="AC642" s="881">
        <v>0.13904092932124121</v>
      </c>
      <c r="AD642" s="880">
        <v>13.56484167240469</v>
      </c>
      <c r="AE642" s="880">
        <v>52.024582159314093</v>
      </c>
      <c r="AF642" s="881">
        <v>0.26073907966940091</v>
      </c>
      <c r="AG642" s="880">
        <v>9.9508008488754349</v>
      </c>
      <c r="AH642" s="880">
        <v>51.336838459509217</v>
      </c>
      <c r="AI642" s="881">
        <v>0.19383353450415353</v>
      </c>
    </row>
    <row r="643" spans="2:35" x14ac:dyDescent="0.2">
      <c r="B643" s="867">
        <v>130307000</v>
      </c>
      <c r="C643" s="876" t="s">
        <v>1448</v>
      </c>
      <c r="D643" s="877" t="s">
        <v>1448</v>
      </c>
      <c r="E643" s="877" t="s">
        <v>1448</v>
      </c>
      <c r="F643" s="877" t="s">
        <v>1448</v>
      </c>
      <c r="G643" s="877" t="s">
        <v>1448</v>
      </c>
      <c r="H643" s="877" t="s">
        <v>1448</v>
      </c>
      <c r="I643" s="877" t="s">
        <v>1448</v>
      </c>
      <c r="J643" s="878" t="s">
        <v>1448</v>
      </c>
      <c r="K643" s="877"/>
      <c r="L643" s="879" t="s">
        <v>1450</v>
      </c>
      <c r="M643" s="880" t="s">
        <v>1450</v>
      </c>
      <c r="N643" s="881" t="s">
        <v>1450</v>
      </c>
      <c r="O643" s="880">
        <v>0.83797923010853437</v>
      </c>
      <c r="P643" s="880">
        <v>6.8537290171758825</v>
      </c>
      <c r="Q643" s="881">
        <v>0.12226617480914476</v>
      </c>
      <c r="R643" s="880">
        <v>2.4673604169714598</v>
      </c>
      <c r="S643" s="880">
        <v>14.431674773235178</v>
      </c>
      <c r="T643" s="881">
        <v>0.17096840496623433</v>
      </c>
      <c r="U643" s="880">
        <v>0.86696501220504474</v>
      </c>
      <c r="V643" s="880">
        <v>0.88156918302637788</v>
      </c>
      <c r="W643" s="881">
        <v>0.9834338914035109</v>
      </c>
      <c r="X643" s="880">
        <v>0.84935508694157391</v>
      </c>
      <c r="Y643" s="880">
        <v>0.87188185307017541</v>
      </c>
      <c r="Z643" s="881">
        <v>0.9741630519671014</v>
      </c>
      <c r="AA643" s="880">
        <v>0</v>
      </c>
      <c r="AB643" s="880">
        <v>0.86011171633764705</v>
      </c>
      <c r="AC643" s="881">
        <v>0</v>
      </c>
      <c r="AD643" s="880" t="s">
        <v>1450</v>
      </c>
      <c r="AE643" s="880" t="s">
        <v>1450</v>
      </c>
      <c r="AF643" s="881" t="s">
        <v>1450</v>
      </c>
      <c r="AG643" s="880">
        <v>0</v>
      </c>
      <c r="AH643" s="880">
        <v>0.87011590609337652</v>
      </c>
      <c r="AI643" s="881">
        <v>0</v>
      </c>
    </row>
    <row r="644" spans="2:35" x14ac:dyDescent="0.2">
      <c r="B644" s="867">
        <v>130314000</v>
      </c>
      <c r="C644" s="876" t="s">
        <v>1448</v>
      </c>
      <c r="D644" s="877" t="s">
        <v>1448</v>
      </c>
      <c r="E644" s="877" t="s">
        <v>1448</v>
      </c>
      <c r="F644" s="877" t="s">
        <v>1448</v>
      </c>
      <c r="G644" s="877" t="s">
        <v>1448</v>
      </c>
      <c r="H644" s="877" t="s">
        <v>1448</v>
      </c>
      <c r="I644" s="877" t="s">
        <v>1448</v>
      </c>
      <c r="J644" s="878" t="s">
        <v>1448</v>
      </c>
      <c r="K644" s="877"/>
      <c r="L644" s="879" t="s">
        <v>1450</v>
      </c>
      <c r="M644" s="880" t="s">
        <v>1450</v>
      </c>
      <c r="N644" s="881" t="s">
        <v>1450</v>
      </c>
      <c r="O644" s="880">
        <v>0.83797923010853437</v>
      </c>
      <c r="P644" s="880">
        <v>6.8537290171758825</v>
      </c>
      <c r="Q644" s="881">
        <v>0.12226617480914476</v>
      </c>
      <c r="R644" s="880">
        <v>0</v>
      </c>
      <c r="S644" s="880">
        <v>0</v>
      </c>
      <c r="T644" s="881">
        <v>0</v>
      </c>
      <c r="U644" s="880" t="s">
        <v>1450</v>
      </c>
      <c r="V644" s="880" t="s">
        <v>1450</v>
      </c>
      <c r="W644" s="881" t="s">
        <v>1450</v>
      </c>
      <c r="X644" s="880" t="s">
        <v>1450</v>
      </c>
      <c r="Y644" s="880" t="s">
        <v>1450</v>
      </c>
      <c r="Z644" s="881" t="s">
        <v>1450</v>
      </c>
      <c r="AA644" s="880" t="s">
        <v>1450</v>
      </c>
      <c r="AB644" s="880" t="s">
        <v>1450</v>
      </c>
      <c r="AC644" s="881" t="s">
        <v>1450</v>
      </c>
      <c r="AD644" s="880" t="s">
        <v>1450</v>
      </c>
      <c r="AE644" s="880" t="s">
        <v>1450</v>
      </c>
      <c r="AF644" s="881" t="s">
        <v>1450</v>
      </c>
      <c r="AG644" s="880" t="s">
        <v>1450</v>
      </c>
      <c r="AH644" s="880" t="s">
        <v>1450</v>
      </c>
      <c r="AI644" s="881" t="s">
        <v>1450</v>
      </c>
    </row>
    <row r="645" spans="2:35" x14ac:dyDescent="0.2">
      <c r="B645" s="867">
        <v>130315000</v>
      </c>
      <c r="C645" s="876" t="s">
        <v>1448</v>
      </c>
      <c r="D645" s="877" t="s">
        <v>1448</v>
      </c>
      <c r="E645" s="877" t="s">
        <v>1448</v>
      </c>
      <c r="F645" s="877" t="s">
        <v>1447</v>
      </c>
      <c r="G645" s="877" t="s">
        <v>1447</v>
      </c>
      <c r="H645" s="877" t="s">
        <v>1447</v>
      </c>
      <c r="I645" s="877" t="s">
        <v>1447</v>
      </c>
      <c r="J645" s="878" t="s">
        <v>1448</v>
      </c>
      <c r="K645" s="877"/>
      <c r="L645" s="879" t="s">
        <v>1450</v>
      </c>
      <c r="M645" s="880" t="s">
        <v>1450</v>
      </c>
      <c r="N645" s="881" t="s">
        <v>1450</v>
      </c>
      <c r="O645" s="880">
        <v>4.1898961505426717</v>
      </c>
      <c r="P645" s="880">
        <v>42.835806357349263</v>
      </c>
      <c r="Q645" s="881">
        <v>9.7812939847315816E-2</v>
      </c>
      <c r="R645" s="880">
        <v>7.402081250914379</v>
      </c>
      <c r="S645" s="880">
        <v>61.97130932036282</v>
      </c>
      <c r="T645" s="881">
        <v>0.11944368018188974</v>
      </c>
      <c r="U645" s="880">
        <v>17.339300244100894</v>
      </c>
      <c r="V645" s="880">
        <v>99.617317681980708</v>
      </c>
      <c r="W645" s="881">
        <v>0.17405909582363022</v>
      </c>
      <c r="X645" s="880">
        <v>17.987101738831477</v>
      </c>
      <c r="Y645" s="880">
        <v>96.77888569078948</v>
      </c>
      <c r="Z645" s="881">
        <v>0.18585770656939196</v>
      </c>
      <c r="AA645" s="880">
        <v>15.11170641844156</v>
      </c>
      <c r="AB645" s="880">
        <v>94.612288797141176</v>
      </c>
      <c r="AC645" s="881">
        <v>0.15972244843207067</v>
      </c>
      <c r="AD645" s="880">
        <v>15.24015389539198</v>
      </c>
      <c r="AE645" s="880">
        <v>95.378400625409171</v>
      </c>
      <c r="AF645" s="881">
        <v>0.15978621779627478</v>
      </c>
      <c r="AG645" s="880">
        <v>13.267734465167248</v>
      </c>
      <c r="AH645" s="880">
        <v>95.712749670271421</v>
      </c>
      <c r="AI645" s="881">
        <v>0.13862034588781888</v>
      </c>
    </row>
    <row r="646" spans="2:35" x14ac:dyDescent="0.2">
      <c r="B646" s="867">
        <v>130317000</v>
      </c>
      <c r="C646" s="876" t="s">
        <v>1448</v>
      </c>
      <c r="D646" s="877" t="s">
        <v>1447</v>
      </c>
      <c r="E646" s="877" t="s">
        <v>1447</v>
      </c>
      <c r="F646" s="877" t="s">
        <v>1447</v>
      </c>
      <c r="G646" s="877" t="s">
        <v>1447</v>
      </c>
      <c r="H646" s="877" t="s">
        <v>1447</v>
      </c>
      <c r="I646" s="877" t="s">
        <v>1447</v>
      </c>
      <c r="J646" s="878" t="s">
        <v>1447</v>
      </c>
      <c r="K646" s="877"/>
      <c r="L646" s="879">
        <v>25</v>
      </c>
      <c r="M646" s="880">
        <v>177</v>
      </c>
      <c r="N646" s="881">
        <v>0.13969999999999999</v>
      </c>
      <c r="O646" s="880">
        <v>26.8153353634731</v>
      </c>
      <c r="P646" s="880">
        <v>168.77307704795609</v>
      </c>
      <c r="Q646" s="881">
        <v>0.15888396320376175</v>
      </c>
      <c r="R646" s="880">
        <v>35.365499309924253</v>
      </c>
      <c r="S646" s="880">
        <v>218.17296568949652</v>
      </c>
      <c r="T646" s="881">
        <v>0.16209844880715599</v>
      </c>
      <c r="U646" s="880">
        <v>36.41253051261188</v>
      </c>
      <c r="V646" s="880">
        <v>191.300512716724</v>
      </c>
      <c r="W646" s="881">
        <v>0.19034204349745373</v>
      </c>
      <c r="X646" s="880">
        <v>56.35872556426073</v>
      </c>
      <c r="Y646" s="880">
        <v>185.71083470394737</v>
      </c>
      <c r="Z646" s="881">
        <v>0.30347570002636359</v>
      </c>
      <c r="AA646" s="880">
        <v>46.687070325064944</v>
      </c>
      <c r="AB646" s="880">
        <v>181.48357214724354</v>
      </c>
      <c r="AC646" s="881">
        <v>0.25725232191917735</v>
      </c>
      <c r="AD646" s="880">
        <v>47.233430020656883</v>
      </c>
      <c r="AE646" s="880">
        <v>183.82019029624314</v>
      </c>
      <c r="AF646" s="881">
        <v>0.25695452683699144</v>
      </c>
      <c r="AG646" s="880">
        <v>53.070937860668991</v>
      </c>
      <c r="AH646" s="880">
        <v>183.59445618570246</v>
      </c>
      <c r="AI646" s="881">
        <v>0.28906612412625737</v>
      </c>
    </row>
    <row r="647" spans="2:35" x14ac:dyDescent="0.2">
      <c r="B647" s="867">
        <v>130323000</v>
      </c>
      <c r="C647" s="876" t="s">
        <v>1447</v>
      </c>
      <c r="D647" s="877" t="s">
        <v>1447</v>
      </c>
      <c r="E647" s="877" t="s">
        <v>1447</v>
      </c>
      <c r="F647" s="877" t="s">
        <v>1447</v>
      </c>
      <c r="G647" s="877" t="s">
        <v>1447</v>
      </c>
      <c r="H647" s="877" t="s">
        <v>1447</v>
      </c>
      <c r="I647" s="877" t="s">
        <v>1447</v>
      </c>
      <c r="J647" s="878" t="s">
        <v>1447</v>
      </c>
      <c r="K647" s="877"/>
      <c r="L647" s="879">
        <v>24</v>
      </c>
      <c r="M647" s="880">
        <v>99</v>
      </c>
      <c r="N647" s="881">
        <v>0.24149999999999999</v>
      </c>
      <c r="O647" s="880">
        <v>25.139376903256032</v>
      </c>
      <c r="P647" s="880">
        <v>94.238773986168383</v>
      </c>
      <c r="Q647" s="881">
        <v>0.26676256321995223</v>
      </c>
      <c r="R647" s="880">
        <v>35.365499309924253</v>
      </c>
      <c r="S647" s="880">
        <v>117.15124227685027</v>
      </c>
      <c r="T647" s="881">
        <v>0.30187899524231226</v>
      </c>
      <c r="U647" s="880">
        <v>51.150935720097642</v>
      </c>
      <c r="V647" s="880">
        <v>130.47223908790394</v>
      </c>
      <c r="W647" s="881">
        <v>0.39204459184329149</v>
      </c>
      <c r="X647" s="880">
        <v>51.262595042611288</v>
      </c>
      <c r="Y647" s="880">
        <v>127.29475054824562</v>
      </c>
      <c r="Z647" s="881">
        <v>0.40270784790282771</v>
      </c>
      <c r="AA647" s="880">
        <v>24.519510697402602</v>
      </c>
      <c r="AB647" s="880">
        <v>123.85608715262117</v>
      </c>
      <c r="AC647" s="881">
        <v>0.19796774838517653</v>
      </c>
      <c r="AD647" s="880">
        <v>33.830932236758542</v>
      </c>
      <c r="AE647" s="880">
        <v>125.72607355167573</v>
      </c>
      <c r="AF647" s="881">
        <v>0.26908445703470896</v>
      </c>
      <c r="AG647" s="880">
        <v>38.144736587355837</v>
      </c>
      <c r="AH647" s="880">
        <v>125.29669047744622</v>
      </c>
      <c r="AI647" s="881">
        <v>0.30443530824321335</v>
      </c>
    </row>
    <row r="648" spans="2:35" x14ac:dyDescent="0.2">
      <c r="B648" s="867">
        <v>130326000</v>
      </c>
      <c r="C648" s="876" t="s">
        <v>1448</v>
      </c>
      <c r="D648" s="877" t="s">
        <v>1447</v>
      </c>
      <c r="E648" s="877" t="s">
        <v>1447</v>
      </c>
      <c r="F648" s="877" t="s">
        <v>1447</v>
      </c>
      <c r="G648" s="877" t="s">
        <v>1447</v>
      </c>
      <c r="H648" s="877" t="s">
        <v>1447</v>
      </c>
      <c r="I648" s="877" t="s">
        <v>1447</v>
      </c>
      <c r="J648" s="878" t="s">
        <v>1447</v>
      </c>
      <c r="K648" s="877"/>
      <c r="L648" s="879">
        <v>49</v>
      </c>
      <c r="M648" s="880">
        <v>360</v>
      </c>
      <c r="N648" s="881">
        <v>0.13519999999999999</v>
      </c>
      <c r="O648" s="880">
        <v>51.954712266729132</v>
      </c>
      <c r="P648" s="880">
        <v>342.6864508587941</v>
      </c>
      <c r="Q648" s="881">
        <v>0.15161005676333952</v>
      </c>
      <c r="R648" s="880">
        <v>78.955533343086714</v>
      </c>
      <c r="S648" s="880">
        <v>476.24526751676086</v>
      </c>
      <c r="T648" s="881">
        <v>0.16578754420968178</v>
      </c>
      <c r="U648" s="880">
        <v>131.77868185516681</v>
      </c>
      <c r="V648" s="880">
        <v>687.62396276057484</v>
      </c>
      <c r="W648" s="881">
        <v>0.19164352755555597</v>
      </c>
      <c r="X648" s="880">
        <v>140.89681391065182</v>
      </c>
      <c r="Y648" s="880">
        <v>669.6052631578948</v>
      </c>
      <c r="Z648" s="881">
        <v>0.21041772169796694</v>
      </c>
      <c r="AA648" s="880">
        <v>136.14129252562773</v>
      </c>
      <c r="AB648" s="880">
        <v>602.93831315269063</v>
      </c>
      <c r="AC648" s="881">
        <v>0.22579638672115823</v>
      </c>
      <c r="AD648" s="880">
        <v>135.16138505852783</v>
      </c>
      <c r="AE648" s="880">
        <v>626.02913865041296</v>
      </c>
      <c r="AF648" s="881">
        <v>0.21590270598251596</v>
      </c>
      <c r="AG648" s="880">
        <v>131.01887784352658</v>
      </c>
      <c r="AH648" s="880">
        <v>626.48345238723107</v>
      </c>
      <c r="AI648" s="881">
        <v>0.2091338204453379</v>
      </c>
    </row>
    <row r="649" spans="2:35" x14ac:dyDescent="0.2">
      <c r="B649" s="867">
        <v>130335000</v>
      </c>
      <c r="C649" s="876" t="s">
        <v>1448</v>
      </c>
      <c r="D649" s="877" t="s">
        <v>1448</v>
      </c>
      <c r="E649" s="877" t="s">
        <v>1448</v>
      </c>
      <c r="F649" s="877" t="s">
        <v>1448</v>
      </c>
      <c r="G649" s="877" t="s">
        <v>1448</v>
      </c>
      <c r="H649" s="877" t="s">
        <v>1448</v>
      </c>
      <c r="I649" s="877" t="s">
        <v>1448</v>
      </c>
      <c r="J649" s="878" t="s">
        <v>1448</v>
      </c>
      <c r="K649" s="877"/>
      <c r="L649" s="879" t="s">
        <v>1450</v>
      </c>
      <c r="M649" s="880" t="s">
        <v>1450</v>
      </c>
      <c r="N649" s="881" t="s">
        <v>1450</v>
      </c>
      <c r="O649" s="880">
        <v>2.5139376903256032</v>
      </c>
      <c r="P649" s="880">
        <v>10.280593525763823</v>
      </c>
      <c r="Q649" s="881">
        <v>0.24453234961828954</v>
      </c>
      <c r="R649" s="880">
        <v>3.2898138892952797</v>
      </c>
      <c r="S649" s="880">
        <v>13.582752727750755</v>
      </c>
      <c r="T649" s="881">
        <v>0.24220524036883198</v>
      </c>
      <c r="U649" s="880">
        <v>4.3348250610252235</v>
      </c>
      <c r="V649" s="880">
        <v>20.276091209606694</v>
      </c>
      <c r="W649" s="881">
        <v>0.21378997639206754</v>
      </c>
      <c r="X649" s="880">
        <v>4.2467754347078692</v>
      </c>
      <c r="Y649" s="880">
        <v>20.053282620614034</v>
      </c>
      <c r="Z649" s="881">
        <v>0.21177457651458723</v>
      </c>
      <c r="AA649" s="880">
        <v>3.1359347596536802</v>
      </c>
      <c r="AB649" s="880">
        <v>18.922457759428234</v>
      </c>
      <c r="AC649" s="881">
        <v>0.16572555212026729</v>
      </c>
      <c r="AD649" s="880" t="s">
        <v>1450</v>
      </c>
      <c r="AE649" s="880" t="s">
        <v>1450</v>
      </c>
      <c r="AF649" s="881" t="s">
        <v>1450</v>
      </c>
      <c r="AG649" s="880">
        <v>3.3169336162918119</v>
      </c>
      <c r="AH649" s="880">
        <v>19.142549934054284</v>
      </c>
      <c r="AI649" s="881">
        <v>0</v>
      </c>
    </row>
    <row r="650" spans="2:35" x14ac:dyDescent="0.2">
      <c r="B650" s="867">
        <v>130341000</v>
      </c>
      <c r="C650" s="876" t="s">
        <v>1448</v>
      </c>
      <c r="D650" s="877" t="s">
        <v>1448</v>
      </c>
      <c r="E650" s="877" t="s">
        <v>1448</v>
      </c>
      <c r="F650" s="877" t="s">
        <v>1448</v>
      </c>
      <c r="G650" s="877" t="s">
        <v>1448</v>
      </c>
      <c r="H650" s="877" t="s">
        <v>1448</v>
      </c>
      <c r="I650" s="877" t="s">
        <v>1448</v>
      </c>
      <c r="J650" s="878" t="s">
        <v>1448</v>
      </c>
      <c r="K650" s="877"/>
      <c r="L650" s="879" t="s">
        <v>1450</v>
      </c>
      <c r="M650" s="880" t="s">
        <v>1450</v>
      </c>
      <c r="N650" s="881" t="s">
        <v>1450</v>
      </c>
      <c r="O650" s="880">
        <v>1.6759584602170687</v>
      </c>
      <c r="P650" s="880">
        <v>8.5671612714698533</v>
      </c>
      <c r="Q650" s="881">
        <v>0.1956258796946316</v>
      </c>
      <c r="R650" s="880">
        <v>1.6449069446476399</v>
      </c>
      <c r="S650" s="880">
        <v>8.4892204548442223</v>
      </c>
      <c r="T650" s="881">
        <v>0.19376419229506556</v>
      </c>
      <c r="U650" s="880">
        <v>2.6008950366151344</v>
      </c>
      <c r="V650" s="880">
        <v>13.223537745395669</v>
      </c>
      <c r="W650" s="881">
        <v>0.19668677828070219</v>
      </c>
      <c r="X650" s="880">
        <v>3.3974203477662956</v>
      </c>
      <c r="Y650" s="880">
        <v>13.078227796052632</v>
      </c>
      <c r="Z650" s="881">
        <v>0.2597768138578937</v>
      </c>
      <c r="AA650" s="880">
        <v>2.3519510697402604</v>
      </c>
      <c r="AB650" s="880">
        <v>12.901675745064704</v>
      </c>
      <c r="AC650" s="881">
        <v>0.18229810733229407</v>
      </c>
      <c r="AD650" s="880" t="s">
        <v>1450</v>
      </c>
      <c r="AE650" s="880" t="s">
        <v>1450</v>
      </c>
      <c r="AF650" s="881" t="s">
        <v>1450</v>
      </c>
      <c r="AG650" s="880">
        <v>2.4877002122188587</v>
      </c>
      <c r="AH650" s="880">
        <v>13.051738591400648</v>
      </c>
      <c r="AI650" s="881">
        <v>0</v>
      </c>
    </row>
    <row r="651" spans="2:35" x14ac:dyDescent="0.2">
      <c r="B651" s="867">
        <v>130350000</v>
      </c>
      <c r="C651" s="876" t="s">
        <v>1447</v>
      </c>
      <c r="D651" s="877" t="s">
        <v>1447</v>
      </c>
      <c r="E651" s="877" t="s">
        <v>1447</v>
      </c>
      <c r="F651" s="877" t="s">
        <v>1447</v>
      </c>
      <c r="G651" s="877" t="s">
        <v>1447</v>
      </c>
      <c r="H651" s="877" t="s">
        <v>1447</v>
      </c>
      <c r="I651" s="877" t="s">
        <v>1447</v>
      </c>
      <c r="J651" s="878" t="s">
        <v>1447</v>
      </c>
      <c r="K651" s="877"/>
      <c r="L651" s="879">
        <v>55</v>
      </c>
      <c r="M651" s="880">
        <v>268</v>
      </c>
      <c r="N651" s="881">
        <v>0.20699999999999999</v>
      </c>
      <c r="O651" s="880">
        <v>58.658546107597402</v>
      </c>
      <c r="P651" s="880">
        <v>254.44468976265463</v>
      </c>
      <c r="Q651" s="881">
        <v>0.23053554846168708</v>
      </c>
      <c r="R651" s="880">
        <v>72.375905564496151</v>
      </c>
      <c r="S651" s="880">
        <v>353.15157092151964</v>
      </c>
      <c r="T651" s="881">
        <v>0.20494289569670396</v>
      </c>
      <c r="U651" s="880">
        <v>159.52156224572823</v>
      </c>
      <c r="V651" s="880">
        <v>310.31235242528504</v>
      </c>
      <c r="W651" s="881">
        <v>0.51406771596092615</v>
      </c>
      <c r="X651" s="880">
        <v>137.49939356288553</v>
      </c>
      <c r="Y651" s="880">
        <v>302.54300301535091</v>
      </c>
      <c r="Z651" s="881">
        <v>0.4544788416604329</v>
      </c>
      <c r="AA651" s="880">
        <v>105.34991230891777</v>
      </c>
      <c r="AB651" s="880">
        <v>295.87843042015055</v>
      </c>
      <c r="AC651" s="881">
        <v>0.35605810183364756</v>
      </c>
      <c r="AD651" s="880">
        <v>47.233430020656883</v>
      </c>
      <c r="AE651" s="880">
        <v>299.14134741605602</v>
      </c>
      <c r="AF651" s="881">
        <v>0.15789669475200635</v>
      </c>
      <c r="AG651" s="880">
        <v>69.655605942128048</v>
      </c>
      <c r="AH651" s="880">
        <v>299.31987169612154</v>
      </c>
      <c r="AI651" s="881">
        <v>0.23271293532039361</v>
      </c>
    </row>
    <row r="652" spans="2:35" x14ac:dyDescent="0.2">
      <c r="B652" s="867">
        <v>130352000</v>
      </c>
      <c r="C652" s="876" t="s">
        <v>1447</v>
      </c>
      <c r="D652" s="877" t="s">
        <v>1447</v>
      </c>
      <c r="E652" s="877" t="s">
        <v>1447</v>
      </c>
      <c r="F652" s="877" t="s">
        <v>1447</v>
      </c>
      <c r="G652" s="877" t="s">
        <v>1447</v>
      </c>
      <c r="H652" s="877" t="s">
        <v>1448</v>
      </c>
      <c r="I652" s="877" t="s">
        <v>1448</v>
      </c>
      <c r="J652" s="878" t="s">
        <v>1447</v>
      </c>
      <c r="K652" s="877"/>
      <c r="L652" s="879">
        <v>15</v>
      </c>
      <c r="M652" s="880">
        <v>95</v>
      </c>
      <c r="N652" s="881">
        <v>0.16109999999999999</v>
      </c>
      <c r="O652" s="880">
        <v>15.921605372062153</v>
      </c>
      <c r="P652" s="880">
        <v>90.811909477580443</v>
      </c>
      <c r="Q652" s="881">
        <v>0.17532508085839626</v>
      </c>
      <c r="R652" s="880">
        <v>20.561336808095497</v>
      </c>
      <c r="S652" s="880">
        <v>123.94261864072564</v>
      </c>
      <c r="T652" s="881">
        <v>0.16589400025262463</v>
      </c>
      <c r="U652" s="880">
        <v>17.339300244100894</v>
      </c>
      <c r="V652" s="880">
        <v>60.828273628820078</v>
      </c>
      <c r="W652" s="881">
        <v>0.28505330185609007</v>
      </c>
      <c r="X652" s="880">
        <v>15.439036478006756</v>
      </c>
      <c r="Y652" s="880">
        <v>59.287966008771932</v>
      </c>
      <c r="Z652" s="881">
        <v>0.2604075922544295</v>
      </c>
      <c r="AA652" s="880">
        <v>9.4078042789610414</v>
      </c>
      <c r="AB652" s="880">
        <v>57.62748499462235</v>
      </c>
      <c r="AC652" s="881">
        <v>0.16325203641697975</v>
      </c>
      <c r="AD652" s="880">
        <v>5.8635927804555212</v>
      </c>
      <c r="AE652" s="880">
        <v>58.094116744567401</v>
      </c>
      <c r="AF652" s="881">
        <v>0.10093264359688967</v>
      </c>
      <c r="AG652" s="880">
        <v>17.413901485532012</v>
      </c>
      <c r="AH652" s="880">
        <v>58.297765708256229</v>
      </c>
      <c r="AI652" s="881">
        <v>0.29870615578438586</v>
      </c>
    </row>
    <row r="653" spans="2:35" x14ac:dyDescent="0.2">
      <c r="B653" s="867">
        <v>130403000</v>
      </c>
      <c r="C653" s="876" t="s">
        <v>1448</v>
      </c>
      <c r="D653" s="877" t="s">
        <v>1447</v>
      </c>
      <c r="E653" s="877" t="s">
        <v>1447</v>
      </c>
      <c r="F653" s="877" t="s">
        <v>1447</v>
      </c>
      <c r="G653" s="877" t="s">
        <v>1447</v>
      </c>
      <c r="H653" s="877" t="s">
        <v>1447</v>
      </c>
      <c r="I653" s="877" t="s">
        <v>1447</v>
      </c>
      <c r="J653" s="878" t="s">
        <v>1447</v>
      </c>
      <c r="K653" s="877"/>
      <c r="L653" s="879">
        <v>46</v>
      </c>
      <c r="M653" s="880">
        <v>309</v>
      </c>
      <c r="N653" s="881">
        <v>0.14899999999999999</v>
      </c>
      <c r="O653" s="880">
        <v>48.602795346294997</v>
      </c>
      <c r="P653" s="880">
        <v>294.71034773856297</v>
      </c>
      <c r="Q653" s="881">
        <v>0.16491716602163711</v>
      </c>
      <c r="R653" s="880">
        <v>62.506463896610313</v>
      </c>
      <c r="S653" s="880">
        <v>349.75588273958198</v>
      </c>
      <c r="T653" s="881">
        <v>0.1787145462915653</v>
      </c>
      <c r="U653" s="880">
        <v>59.820585842148091</v>
      </c>
      <c r="V653" s="880">
        <v>308.54921405923227</v>
      </c>
      <c r="W653" s="881">
        <v>0.19387696716240643</v>
      </c>
      <c r="X653" s="880">
        <v>72.64711712920905</v>
      </c>
      <c r="Y653" s="880">
        <v>300.79923930921052</v>
      </c>
      <c r="Z653" s="881">
        <v>0.24151363313299637</v>
      </c>
      <c r="AA653" s="880">
        <v>62.582760433419921</v>
      </c>
      <c r="AB653" s="880">
        <v>294.1582069874753</v>
      </c>
      <c r="AC653" s="881">
        <v>0.21275204616706334</v>
      </c>
      <c r="AD653" s="880">
        <v>70.17483280799803</v>
      </c>
      <c r="AE653" s="880">
        <v>297.40719467741224</v>
      </c>
      <c r="AF653" s="881">
        <v>0.23595539739418325</v>
      </c>
      <c r="AG653" s="880">
        <v>50.583237648450137</v>
      </c>
      <c r="AH653" s="880">
        <v>297.57963988393476</v>
      </c>
      <c r="AI653" s="881">
        <v>0.16998218583831595</v>
      </c>
    </row>
    <row r="654" spans="2:35" x14ac:dyDescent="0.2">
      <c r="B654" s="867">
        <v>130406000</v>
      </c>
      <c r="C654" s="876" t="s">
        <v>1447</v>
      </c>
      <c r="D654" s="877" t="s">
        <v>1447</v>
      </c>
      <c r="E654" s="877" t="s">
        <v>1447</v>
      </c>
      <c r="F654" s="877" t="s">
        <v>1447</v>
      </c>
      <c r="G654" s="877" t="s">
        <v>1447</v>
      </c>
      <c r="H654" s="877" t="s">
        <v>1447</v>
      </c>
      <c r="I654" s="877" t="s">
        <v>1447</v>
      </c>
      <c r="J654" s="878" t="s">
        <v>1447</v>
      </c>
      <c r="K654" s="877"/>
      <c r="L654" s="879">
        <v>572</v>
      </c>
      <c r="M654" s="880">
        <v>3262</v>
      </c>
      <c r="N654" s="881">
        <v>0.17530000000000001</v>
      </c>
      <c r="O654" s="880">
        <v>602.5070664480362</v>
      </c>
      <c r="P654" s="880">
        <v>3105.5959609078218</v>
      </c>
      <c r="Q654" s="881">
        <v>0.1940069068971588</v>
      </c>
      <c r="R654" s="880">
        <v>620.12991813216013</v>
      </c>
      <c r="S654" s="880">
        <v>2980.5653016958067</v>
      </c>
      <c r="T654" s="881">
        <v>0.20805781969592624</v>
      </c>
      <c r="U654" s="880">
        <v>912.91415785191214</v>
      </c>
      <c r="V654" s="880">
        <v>2711.7068069891384</v>
      </c>
      <c r="W654" s="881">
        <v>0.33665666048371162</v>
      </c>
      <c r="X654" s="880">
        <v>762.84279511751981</v>
      </c>
      <c r="Y654" s="880">
        <v>2641.8020148026317</v>
      </c>
      <c r="Z654" s="881">
        <v>0.28875850303812856</v>
      </c>
      <c r="AA654" s="880">
        <v>586.98037090826847</v>
      </c>
      <c r="AB654" s="880">
        <v>2580.3351490129412</v>
      </c>
      <c r="AC654" s="881">
        <v>0.2274822211110083</v>
      </c>
      <c r="AD654" s="880">
        <v>652.02786639380429</v>
      </c>
      <c r="AE654" s="880">
        <v>2608.1657189202797</v>
      </c>
      <c r="AF654" s="881">
        <v>0.24999479966469645</v>
      </c>
      <c r="AG654" s="880">
        <v>620.26658624656886</v>
      </c>
      <c r="AH654" s="880">
        <v>2610.3477182801298</v>
      </c>
      <c r="AI654" s="881">
        <v>0.23761837624270288</v>
      </c>
    </row>
    <row r="655" spans="2:35" x14ac:dyDescent="0.2">
      <c r="B655" s="867">
        <v>130504000</v>
      </c>
      <c r="C655" s="876" t="s">
        <v>1447</v>
      </c>
      <c r="D655" s="877" t="s">
        <v>1447</v>
      </c>
      <c r="E655" s="877" t="s">
        <v>1447</v>
      </c>
      <c r="F655" s="877" t="s">
        <v>1447</v>
      </c>
      <c r="G655" s="877" t="s">
        <v>1447</v>
      </c>
      <c r="H655" s="877" t="s">
        <v>1447</v>
      </c>
      <c r="I655" s="877" t="s">
        <v>1447</v>
      </c>
      <c r="J655" s="878" t="s">
        <v>1447</v>
      </c>
      <c r="K655" s="877"/>
      <c r="L655" s="879">
        <v>246</v>
      </c>
      <c r="M655" s="880">
        <v>1477</v>
      </c>
      <c r="N655" s="881">
        <v>0.16639999999999999</v>
      </c>
      <c r="O655" s="880">
        <v>258.93558210353712</v>
      </c>
      <c r="P655" s="880">
        <v>1405.0144485210558</v>
      </c>
      <c r="Q655" s="881">
        <v>0.18429389276110114</v>
      </c>
      <c r="R655" s="880">
        <v>272.2320993391844</v>
      </c>
      <c r="S655" s="880">
        <v>1377.8004798212173</v>
      </c>
      <c r="T655" s="881">
        <v>0.19758455837851727</v>
      </c>
      <c r="U655" s="880">
        <v>251.41985353946296</v>
      </c>
      <c r="V655" s="880">
        <v>1360.2612494097011</v>
      </c>
      <c r="W655" s="881">
        <v>0.18483203402917572</v>
      </c>
      <c r="X655" s="880">
        <v>260.5597506477643</v>
      </c>
      <c r="Y655" s="880">
        <v>1324.3885348135964</v>
      </c>
      <c r="Z655" s="881">
        <v>0.1967396604535219</v>
      </c>
      <c r="AA655" s="880">
        <v>220.10762889679657</v>
      </c>
      <c r="AB655" s="880">
        <v>1293.608021371821</v>
      </c>
      <c r="AC655" s="881">
        <v>0.17015017320577602</v>
      </c>
      <c r="AD655" s="880">
        <v>223.76465231938607</v>
      </c>
      <c r="AE655" s="880">
        <v>1308.4182413067495</v>
      </c>
      <c r="AF655" s="881">
        <v>0.17101920873245149</v>
      </c>
      <c r="AG655" s="880">
        <v>222.23455229155141</v>
      </c>
      <c r="AH655" s="880">
        <v>1308.6543227644383</v>
      </c>
      <c r="AI655" s="881">
        <v>0.16981914049089517</v>
      </c>
    </row>
    <row r="656" spans="2:35" x14ac:dyDescent="0.2">
      <c r="B656" s="867">
        <v>130899000</v>
      </c>
      <c r="C656" s="876" t="s">
        <v>1448</v>
      </c>
      <c r="D656" s="877" t="s">
        <v>1448</v>
      </c>
      <c r="E656" s="877" t="s">
        <v>1448</v>
      </c>
      <c r="F656" s="877" t="s">
        <v>1448</v>
      </c>
      <c r="G656" s="877" t="s">
        <v>1448</v>
      </c>
      <c r="H656" s="877" t="s">
        <v>1448</v>
      </c>
      <c r="I656" s="877" t="s">
        <v>1448</v>
      </c>
      <c r="J656" s="878" t="s">
        <v>1448</v>
      </c>
      <c r="K656" s="877"/>
      <c r="L656" s="879" t="s">
        <v>1450</v>
      </c>
      <c r="M656" s="880" t="s">
        <v>1450</v>
      </c>
      <c r="N656" s="881" t="s">
        <v>1450</v>
      </c>
      <c r="O656" s="880">
        <v>56.144608417271797</v>
      </c>
      <c r="P656" s="880">
        <v>416.36403779343482</v>
      </c>
      <c r="Q656" s="881">
        <v>0.13484499937798683</v>
      </c>
      <c r="R656" s="880" t="s">
        <v>1450</v>
      </c>
      <c r="S656" s="880" t="s">
        <v>1450</v>
      </c>
      <c r="T656" s="881" t="s">
        <v>1450</v>
      </c>
      <c r="U656" s="880" t="s">
        <v>1450</v>
      </c>
      <c r="V656" s="880" t="s">
        <v>1450</v>
      </c>
      <c r="W656" s="881" t="s">
        <v>1450</v>
      </c>
      <c r="X656" s="880" t="s">
        <v>1450</v>
      </c>
      <c r="Y656" s="880" t="s">
        <v>1450</v>
      </c>
      <c r="Z656" s="881" t="s">
        <v>1450</v>
      </c>
      <c r="AA656" s="880" t="s">
        <v>1450</v>
      </c>
      <c r="AB656" s="880" t="s">
        <v>1450</v>
      </c>
      <c r="AC656" s="881" t="s">
        <v>1450</v>
      </c>
      <c r="AD656" s="880" t="s">
        <v>1450</v>
      </c>
      <c r="AE656" s="880" t="s">
        <v>1450</v>
      </c>
      <c r="AF656" s="881" t="s">
        <v>1450</v>
      </c>
      <c r="AG656" s="880" t="s">
        <v>1450</v>
      </c>
      <c r="AH656" s="880" t="s">
        <v>1450</v>
      </c>
      <c r="AI656" s="881" t="s">
        <v>1450</v>
      </c>
    </row>
    <row r="657" spans="2:35" x14ac:dyDescent="0.2">
      <c r="B657" s="867">
        <v>138501000</v>
      </c>
      <c r="C657" s="876" t="s">
        <v>1448</v>
      </c>
      <c r="D657" s="877" t="s">
        <v>1448</v>
      </c>
      <c r="E657" s="877" t="s">
        <v>1448</v>
      </c>
      <c r="F657" s="877" t="s">
        <v>1448</v>
      </c>
      <c r="G657" s="877" t="s">
        <v>1447</v>
      </c>
      <c r="H657" s="877" t="s">
        <v>1448</v>
      </c>
      <c r="I657" s="877" t="s">
        <v>1448</v>
      </c>
      <c r="J657" s="878" t="s">
        <v>1448</v>
      </c>
      <c r="K657" s="877"/>
      <c r="L657" s="879" t="s">
        <v>1450</v>
      </c>
      <c r="M657" s="880" t="s">
        <v>1450</v>
      </c>
      <c r="N657" s="881" t="s">
        <v>1450</v>
      </c>
      <c r="O657" s="880" t="s">
        <v>1450</v>
      </c>
      <c r="P657" s="880" t="s">
        <v>1450</v>
      </c>
      <c r="Q657" s="881" t="s">
        <v>1450</v>
      </c>
      <c r="R657" s="880">
        <v>13.098219420443604</v>
      </c>
      <c r="S657" s="880">
        <v>141</v>
      </c>
      <c r="T657" s="881">
        <v>9.2895173194635486E-2</v>
      </c>
      <c r="U657" s="880">
        <v>19.153132628152971</v>
      </c>
      <c r="V657" s="880">
        <v>136</v>
      </c>
      <c r="W657" s="881">
        <v>0.14083185755994831</v>
      </c>
      <c r="X657" s="880">
        <v>33.845312568353819</v>
      </c>
      <c r="Y657" s="880">
        <v>127</v>
      </c>
      <c r="Z657" s="881">
        <v>0.26649852416026631</v>
      </c>
      <c r="AA657" s="880" t="s">
        <v>1450</v>
      </c>
      <c r="AB657" s="880" t="s">
        <v>1450</v>
      </c>
      <c r="AC657" s="881" t="s">
        <v>1450</v>
      </c>
      <c r="AD657" s="880" t="s">
        <v>1450</v>
      </c>
      <c r="AE657" s="880" t="s">
        <v>1450</v>
      </c>
      <c r="AF657" s="881" t="s">
        <v>1450</v>
      </c>
      <c r="AG657" s="880" t="s">
        <v>1450</v>
      </c>
      <c r="AH657" s="880" t="s">
        <v>1450</v>
      </c>
      <c r="AI657" s="881" t="s">
        <v>1450</v>
      </c>
    </row>
    <row r="658" spans="2:35" x14ac:dyDescent="0.2">
      <c r="B658" s="867">
        <v>138503000</v>
      </c>
      <c r="C658" s="876" t="s">
        <v>1448</v>
      </c>
      <c r="D658" s="877" t="s">
        <v>1448</v>
      </c>
      <c r="E658" s="877" t="s">
        <v>1448</v>
      </c>
      <c r="F658" s="877" t="s">
        <v>1448</v>
      </c>
      <c r="G658" s="877" t="s">
        <v>1447</v>
      </c>
      <c r="H658" s="877" t="s">
        <v>1447</v>
      </c>
      <c r="I658" s="877" t="s">
        <v>1447</v>
      </c>
      <c r="J658" s="878" t="s">
        <v>1447</v>
      </c>
      <c r="K658" s="877"/>
      <c r="L658" s="879" t="s">
        <v>1450</v>
      </c>
      <c r="M658" s="880" t="s">
        <v>1450</v>
      </c>
      <c r="N658" s="881" t="s">
        <v>1450</v>
      </c>
      <c r="O658" s="880" t="s">
        <v>1450</v>
      </c>
      <c r="P658" s="880" t="s">
        <v>1450</v>
      </c>
      <c r="Q658" s="881" t="s">
        <v>1450</v>
      </c>
      <c r="R658" s="880" t="s">
        <v>1450</v>
      </c>
      <c r="S658" s="880" t="s">
        <v>1450</v>
      </c>
      <c r="T658" s="881" t="s">
        <v>1450</v>
      </c>
      <c r="U658" s="880">
        <v>0</v>
      </c>
      <c r="V658" s="880">
        <v>28</v>
      </c>
      <c r="W658" s="881">
        <v>0</v>
      </c>
      <c r="X658" s="880">
        <v>19.909007393149306</v>
      </c>
      <c r="Y658" s="880">
        <v>79</v>
      </c>
      <c r="Z658" s="881">
        <v>0.25201275181201654</v>
      </c>
      <c r="AA658" s="880">
        <v>20.97320655762406</v>
      </c>
      <c r="AB658" s="880">
        <v>89</v>
      </c>
      <c r="AC658" s="881">
        <v>0.23565400626543886</v>
      </c>
      <c r="AD658" s="880">
        <v>19.055094134950863</v>
      </c>
      <c r="AE658" s="880">
        <v>101</v>
      </c>
      <c r="AF658" s="881">
        <v>0.18866429836585014</v>
      </c>
      <c r="AG658" s="880">
        <v>23.637685668724014</v>
      </c>
      <c r="AH658" s="880">
        <v>98</v>
      </c>
      <c r="AI658" s="881">
        <v>0.2412008741706532</v>
      </c>
    </row>
    <row r="659" spans="2:35" x14ac:dyDescent="0.2">
      <c r="B659" s="867">
        <v>138654000</v>
      </c>
      <c r="C659" s="876" t="s">
        <v>1448</v>
      </c>
      <c r="D659" s="877" t="s">
        <v>1448</v>
      </c>
      <c r="E659" s="877" t="s">
        <v>1447</v>
      </c>
      <c r="F659" s="877" t="s">
        <v>1447</v>
      </c>
      <c r="G659" s="877" t="s">
        <v>1447</v>
      </c>
      <c r="H659" s="877" t="s">
        <v>1447</v>
      </c>
      <c r="I659" s="877" t="s">
        <v>1447</v>
      </c>
      <c r="J659" s="878" t="s">
        <v>1448</v>
      </c>
      <c r="K659" s="877"/>
      <c r="L659" s="879">
        <v>11</v>
      </c>
      <c r="M659" s="880">
        <v>78</v>
      </c>
      <c r="N659" s="881">
        <v>0.13689999999999999</v>
      </c>
      <c r="O659" s="880">
        <v>6.4886390255329118</v>
      </c>
      <c r="P659" s="880">
        <v>67</v>
      </c>
      <c r="Q659" s="881">
        <v>9.6845358590043465E-2</v>
      </c>
      <c r="R659" s="880">
        <v>23.857471087236561</v>
      </c>
      <c r="S659" s="880">
        <v>58</v>
      </c>
      <c r="T659" s="881">
        <v>0.41133570840063038</v>
      </c>
      <c r="U659" s="880">
        <v>33.517982099267698</v>
      </c>
      <c r="V659" s="880">
        <v>62</v>
      </c>
      <c r="W659" s="881">
        <v>0.54061261450431775</v>
      </c>
      <c r="X659" s="880">
        <v>36.499846887440391</v>
      </c>
      <c r="Y659" s="880">
        <v>56</v>
      </c>
      <c r="Z659" s="881">
        <v>0.65178298013286418</v>
      </c>
      <c r="AA659" s="880">
        <v>24.374267080482017</v>
      </c>
      <c r="AB659" s="880">
        <v>44</v>
      </c>
      <c r="AC659" s="881">
        <v>0.55396061546550035</v>
      </c>
      <c r="AD659" s="880">
        <v>21.323557722445013</v>
      </c>
      <c r="AE659" s="880">
        <v>47</v>
      </c>
      <c r="AF659" s="881">
        <v>0.45369271749883006</v>
      </c>
      <c r="AG659" s="880" t="s">
        <v>1450</v>
      </c>
      <c r="AH659" s="880" t="s">
        <v>1450</v>
      </c>
      <c r="AI659" s="881" t="s">
        <v>1450</v>
      </c>
    </row>
    <row r="660" spans="2:35" x14ac:dyDescent="0.2">
      <c r="B660" s="867">
        <v>138702000</v>
      </c>
      <c r="C660" s="876" t="s">
        <v>1447</v>
      </c>
      <c r="D660" s="877" t="s">
        <v>1447</v>
      </c>
      <c r="E660" s="877" t="s">
        <v>1447</v>
      </c>
      <c r="F660" s="877" t="s">
        <v>1447</v>
      </c>
      <c r="G660" s="877" t="s">
        <v>1448</v>
      </c>
      <c r="H660" s="877" t="s">
        <v>1448</v>
      </c>
      <c r="I660" s="877" t="s">
        <v>1448</v>
      </c>
      <c r="J660" s="878" t="s">
        <v>1448</v>
      </c>
      <c r="K660" s="877"/>
      <c r="L660" s="879">
        <v>12</v>
      </c>
      <c r="M660" s="880">
        <v>62</v>
      </c>
      <c r="N660" s="881">
        <v>0.1971</v>
      </c>
      <c r="O660" s="880">
        <v>17.303037401421097</v>
      </c>
      <c r="P660" s="880">
        <v>46</v>
      </c>
      <c r="Q660" s="881">
        <v>0.37615298698741517</v>
      </c>
      <c r="R660" s="880">
        <v>16.840567826284634</v>
      </c>
      <c r="S660" s="880">
        <v>52</v>
      </c>
      <c r="T660" s="881">
        <v>0.32385707358239679</v>
      </c>
      <c r="U660" s="880">
        <v>20.35020341741253</v>
      </c>
      <c r="V660" s="880">
        <v>45</v>
      </c>
      <c r="W660" s="881">
        <v>0.45222674260916734</v>
      </c>
      <c r="X660" s="880">
        <v>9.2908701168030099</v>
      </c>
      <c r="Y660" s="880">
        <v>35</v>
      </c>
      <c r="Z660" s="881">
        <v>0.26545343190865744</v>
      </c>
      <c r="AA660" s="880" t="s">
        <v>1450</v>
      </c>
      <c r="AB660" s="880" t="s">
        <v>1450</v>
      </c>
      <c r="AC660" s="881" t="s">
        <v>1450</v>
      </c>
      <c r="AD660" s="880" t="s">
        <v>1450</v>
      </c>
      <c r="AE660" s="880" t="s">
        <v>1450</v>
      </c>
      <c r="AF660" s="881" t="s">
        <v>1450</v>
      </c>
      <c r="AG660" s="880" t="s">
        <v>1450</v>
      </c>
      <c r="AH660" s="880" t="s">
        <v>1450</v>
      </c>
      <c r="AI660" s="881" t="s">
        <v>1450</v>
      </c>
    </row>
    <row r="661" spans="2:35" x14ac:dyDescent="0.2">
      <c r="B661" s="867">
        <v>138703000</v>
      </c>
      <c r="C661" s="876" t="s">
        <v>1447</v>
      </c>
      <c r="D661" s="877" t="s">
        <v>1448</v>
      </c>
      <c r="E661" s="877" t="s">
        <v>1448</v>
      </c>
      <c r="F661" s="877" t="s">
        <v>1448</v>
      </c>
      <c r="G661" s="877" t="s">
        <v>1448</v>
      </c>
      <c r="H661" s="877" t="s">
        <v>1448</v>
      </c>
      <c r="I661" s="877" t="s">
        <v>1448</v>
      </c>
      <c r="J661" s="878" t="s">
        <v>1448</v>
      </c>
      <c r="K661" s="877"/>
      <c r="L661" s="879">
        <v>40</v>
      </c>
      <c r="M661" s="880">
        <v>78</v>
      </c>
      <c r="N661" s="881">
        <v>0.51470000000000005</v>
      </c>
      <c r="O661" s="880" t="s">
        <v>1450</v>
      </c>
      <c r="P661" s="880" t="s">
        <v>1450</v>
      </c>
      <c r="Q661" s="881" t="s">
        <v>1450</v>
      </c>
      <c r="R661" s="880" t="s">
        <v>1450</v>
      </c>
      <c r="S661" s="880" t="s">
        <v>1450</v>
      </c>
      <c r="T661" s="881" t="s">
        <v>1450</v>
      </c>
      <c r="U661" s="880" t="s">
        <v>1450</v>
      </c>
      <c r="V661" s="880" t="s">
        <v>1450</v>
      </c>
      <c r="W661" s="881" t="s">
        <v>1450</v>
      </c>
      <c r="X661" s="880" t="s">
        <v>1450</v>
      </c>
      <c r="Y661" s="880" t="s">
        <v>1450</v>
      </c>
      <c r="Z661" s="881" t="s">
        <v>1450</v>
      </c>
      <c r="AA661" s="880" t="s">
        <v>1450</v>
      </c>
      <c r="AB661" s="880" t="s">
        <v>1450</v>
      </c>
      <c r="AC661" s="881" t="s">
        <v>1450</v>
      </c>
      <c r="AD661" s="880" t="s">
        <v>1450</v>
      </c>
      <c r="AE661" s="880" t="s">
        <v>1450</v>
      </c>
      <c r="AF661" s="881" t="s">
        <v>1450</v>
      </c>
      <c r="AG661" s="880" t="s">
        <v>1450</v>
      </c>
      <c r="AH661" s="880" t="s">
        <v>1450</v>
      </c>
      <c r="AI661" s="881" t="s">
        <v>1450</v>
      </c>
    </row>
    <row r="662" spans="2:35" x14ac:dyDescent="0.2">
      <c r="B662" s="867">
        <v>138705000</v>
      </c>
      <c r="C662" s="876" t="s">
        <v>1447</v>
      </c>
      <c r="D662" s="877" t="s">
        <v>1447</v>
      </c>
      <c r="E662" s="877" t="s">
        <v>1447</v>
      </c>
      <c r="F662" s="877" t="s">
        <v>1447</v>
      </c>
      <c r="G662" s="877" t="s">
        <v>1447</v>
      </c>
      <c r="H662" s="877" t="s">
        <v>1447</v>
      </c>
      <c r="I662" s="877" t="s">
        <v>1447</v>
      </c>
      <c r="J662" s="878" t="s">
        <v>1447</v>
      </c>
      <c r="K662" s="877"/>
      <c r="L662" s="879">
        <v>219</v>
      </c>
      <c r="M662" s="880">
        <v>509</v>
      </c>
      <c r="N662" s="881">
        <v>0.42970000000000003</v>
      </c>
      <c r="O662" s="880">
        <v>301.50542671976262</v>
      </c>
      <c r="P662" s="880">
        <v>1073</v>
      </c>
      <c r="Q662" s="881">
        <v>0.28099294195690833</v>
      </c>
      <c r="R662" s="880">
        <v>351.27328351993293</v>
      </c>
      <c r="S662" s="880">
        <v>1156</v>
      </c>
      <c r="T662" s="881">
        <v>0.30386962242208732</v>
      </c>
      <c r="U662" s="880">
        <v>540.66751700680277</v>
      </c>
      <c r="V662" s="880">
        <v>1345</v>
      </c>
      <c r="W662" s="881">
        <v>0.40198328401992772</v>
      </c>
      <c r="X662" s="880">
        <v>264.10632780395059</v>
      </c>
      <c r="Y662" s="880">
        <v>508</v>
      </c>
      <c r="Z662" s="881">
        <v>0.5198943460707689</v>
      </c>
      <c r="AA662" s="880">
        <v>299.29332601150008</v>
      </c>
      <c r="AB662" s="880">
        <v>558</v>
      </c>
      <c r="AC662" s="881">
        <v>0.53636796776254492</v>
      </c>
      <c r="AD662" s="880">
        <v>193.72679037200044</v>
      </c>
      <c r="AE662" s="880">
        <v>514</v>
      </c>
      <c r="AF662" s="881">
        <v>0.37690037037354168</v>
      </c>
      <c r="AG662" s="880">
        <v>201.13521623568798</v>
      </c>
      <c r="AH662" s="880">
        <v>468</v>
      </c>
      <c r="AI662" s="881">
        <v>0.42977610306770936</v>
      </c>
    </row>
    <row r="663" spans="2:35" x14ac:dyDescent="0.2">
      <c r="B663" s="867">
        <v>138708000</v>
      </c>
      <c r="C663" s="876" t="s">
        <v>1447</v>
      </c>
      <c r="D663" s="877" t="s">
        <v>1447</v>
      </c>
      <c r="E663" s="877" t="s">
        <v>1447</v>
      </c>
      <c r="F663" s="877" t="s">
        <v>1447</v>
      </c>
      <c r="G663" s="877" t="s">
        <v>1447</v>
      </c>
      <c r="H663" s="877" t="s">
        <v>1447</v>
      </c>
      <c r="I663" s="877" t="s">
        <v>1447</v>
      </c>
      <c r="J663" s="878" t="s">
        <v>1447</v>
      </c>
      <c r="K663" s="877"/>
      <c r="L663" s="879">
        <v>23</v>
      </c>
      <c r="M663" s="880">
        <v>150</v>
      </c>
      <c r="N663" s="881">
        <v>0.155</v>
      </c>
      <c r="O663" s="880">
        <v>26.387132037167174</v>
      </c>
      <c r="P663" s="880">
        <v>158</v>
      </c>
      <c r="Q663" s="881">
        <v>0.16700716479219729</v>
      </c>
      <c r="R663" s="880">
        <v>30.874374348188493</v>
      </c>
      <c r="S663" s="880">
        <v>166</v>
      </c>
      <c r="T663" s="881">
        <v>0.18599020691679816</v>
      </c>
      <c r="U663" s="880">
        <v>50.875508543531332</v>
      </c>
      <c r="V663" s="880">
        <v>174</v>
      </c>
      <c r="W663" s="881">
        <v>0.29238798013523754</v>
      </c>
      <c r="X663" s="880">
        <v>47.117984163786687</v>
      </c>
      <c r="Y663" s="880">
        <v>135</v>
      </c>
      <c r="Z663" s="881">
        <v>0.34902210491693841</v>
      </c>
      <c r="AA663" s="880">
        <v>40.245882853819147</v>
      </c>
      <c r="AB663" s="880">
        <v>120</v>
      </c>
      <c r="AC663" s="881">
        <v>0.33538235711515957</v>
      </c>
      <c r="AD663" s="880">
        <v>32.665875659915763</v>
      </c>
      <c r="AE663" s="880">
        <v>137</v>
      </c>
      <c r="AF663" s="881">
        <v>0.23843704861252382</v>
      </c>
      <c r="AG663" s="880">
        <v>32.233207730078199</v>
      </c>
      <c r="AH663" s="880">
        <v>150</v>
      </c>
      <c r="AI663" s="881">
        <v>0.21488805153385465</v>
      </c>
    </row>
    <row r="664" spans="2:35" x14ac:dyDescent="0.2">
      <c r="B664" s="867">
        <v>138712000</v>
      </c>
      <c r="C664" s="876" t="s">
        <v>1447</v>
      </c>
      <c r="D664" s="877" t="s">
        <v>1447</v>
      </c>
      <c r="E664" s="877" t="s">
        <v>1447</v>
      </c>
      <c r="F664" s="877" t="s">
        <v>1447</v>
      </c>
      <c r="G664" s="877" t="s">
        <v>1447</v>
      </c>
      <c r="H664" s="877" t="s">
        <v>1447</v>
      </c>
      <c r="I664" s="877" t="s">
        <v>1447</v>
      </c>
      <c r="J664" s="878" t="s">
        <v>1447</v>
      </c>
      <c r="K664" s="877"/>
      <c r="L664" s="879">
        <v>41</v>
      </c>
      <c r="M664" s="880">
        <v>160</v>
      </c>
      <c r="N664" s="881">
        <v>0.25829999999999997</v>
      </c>
      <c r="O664" s="880">
        <v>38.499258218161941</v>
      </c>
      <c r="P664" s="880">
        <v>174</v>
      </c>
      <c r="Q664" s="881">
        <v>0.22126010470208013</v>
      </c>
      <c r="R664" s="880">
        <v>37.423484058410295</v>
      </c>
      <c r="S664" s="880">
        <v>166</v>
      </c>
      <c r="T664" s="881">
        <v>0.22544267505066443</v>
      </c>
      <c r="U664" s="880">
        <v>43.094548413344185</v>
      </c>
      <c r="V664" s="880">
        <v>161</v>
      </c>
      <c r="W664" s="881">
        <v>0.26766800256735518</v>
      </c>
      <c r="X664" s="880">
        <v>31.854411829038888</v>
      </c>
      <c r="Y664" s="880">
        <v>159</v>
      </c>
      <c r="Z664" s="881">
        <v>0.20034221276125086</v>
      </c>
      <c r="AA664" s="880">
        <v>67.454367036682797</v>
      </c>
      <c r="AB664" s="880">
        <v>171</v>
      </c>
      <c r="AC664" s="881">
        <v>0.39446998267065964</v>
      </c>
      <c r="AD664" s="880">
        <v>53.082047947363115</v>
      </c>
      <c r="AE664" s="880">
        <v>175</v>
      </c>
      <c r="AF664" s="881">
        <v>0.30332598827064639</v>
      </c>
      <c r="AG664" s="880">
        <v>49.854027955854285</v>
      </c>
      <c r="AH664" s="880">
        <v>171</v>
      </c>
      <c r="AI664" s="881">
        <v>0.2915440231336508</v>
      </c>
    </row>
    <row r="665" spans="2:35" x14ac:dyDescent="0.2">
      <c r="B665" s="867">
        <v>138713000</v>
      </c>
      <c r="C665" s="876" t="s">
        <v>1447</v>
      </c>
      <c r="D665" s="877" t="s">
        <v>1448</v>
      </c>
      <c r="E665" s="877" t="s">
        <v>1448</v>
      </c>
      <c r="F665" s="877" t="s">
        <v>1448</v>
      </c>
      <c r="G665" s="877" t="s">
        <v>1448</v>
      </c>
      <c r="H665" s="877" t="s">
        <v>1448</v>
      </c>
      <c r="I665" s="877" t="s">
        <v>1448</v>
      </c>
      <c r="J665" s="878" t="s">
        <v>1448</v>
      </c>
      <c r="K665" s="877"/>
      <c r="L665" s="879">
        <v>12</v>
      </c>
      <c r="M665" s="880">
        <v>78</v>
      </c>
      <c r="N665" s="881">
        <v>0.15329999999999999</v>
      </c>
      <c r="O665" s="880">
        <v>4.7583352853908014</v>
      </c>
      <c r="P665" s="880">
        <v>14</v>
      </c>
      <c r="Q665" s="881">
        <v>0.33988109181362869</v>
      </c>
      <c r="R665" s="880" t="s">
        <v>1450</v>
      </c>
      <c r="S665" s="880" t="s">
        <v>1450</v>
      </c>
      <c r="T665" s="881" t="s">
        <v>1450</v>
      </c>
      <c r="U665" s="880" t="s">
        <v>1450</v>
      </c>
      <c r="V665" s="880" t="s">
        <v>1450</v>
      </c>
      <c r="W665" s="881" t="s">
        <v>1450</v>
      </c>
      <c r="X665" s="880" t="s">
        <v>1450</v>
      </c>
      <c r="Y665" s="880" t="s">
        <v>1450</v>
      </c>
      <c r="Z665" s="881" t="s">
        <v>1450</v>
      </c>
      <c r="AA665" s="880" t="s">
        <v>1450</v>
      </c>
      <c r="AB665" s="880" t="s">
        <v>1450</v>
      </c>
      <c r="AC665" s="881" t="s">
        <v>1450</v>
      </c>
      <c r="AD665" s="880" t="s">
        <v>1450</v>
      </c>
      <c r="AE665" s="880" t="s">
        <v>1450</v>
      </c>
      <c r="AF665" s="881" t="s">
        <v>1450</v>
      </c>
      <c r="AG665" s="880" t="s">
        <v>1450</v>
      </c>
      <c r="AH665" s="880" t="s">
        <v>1450</v>
      </c>
      <c r="AI665" s="881" t="s">
        <v>1450</v>
      </c>
    </row>
    <row r="666" spans="2:35" x14ac:dyDescent="0.2">
      <c r="B666" s="867">
        <v>138714000</v>
      </c>
      <c r="C666" s="876" t="s">
        <v>1447</v>
      </c>
      <c r="D666" s="877" t="s">
        <v>1447</v>
      </c>
      <c r="E666" s="877" t="s">
        <v>1447</v>
      </c>
      <c r="F666" s="877" t="s">
        <v>1447</v>
      </c>
      <c r="G666" s="877" t="s">
        <v>1447</v>
      </c>
      <c r="H666" s="877" t="s">
        <v>1447</v>
      </c>
      <c r="I666" s="877" t="s">
        <v>1447</v>
      </c>
      <c r="J666" s="878" t="s">
        <v>1447</v>
      </c>
      <c r="K666" s="877"/>
      <c r="L666" s="879">
        <v>16</v>
      </c>
      <c r="M666" s="880">
        <v>83</v>
      </c>
      <c r="N666" s="881">
        <v>0.19620000000000001</v>
      </c>
      <c r="O666" s="880">
        <v>31.578043257593503</v>
      </c>
      <c r="P666" s="880">
        <v>111</v>
      </c>
      <c r="Q666" s="881">
        <v>0.28448687619453605</v>
      </c>
      <c r="R666" s="880">
        <v>30.874374348188493</v>
      </c>
      <c r="S666" s="880">
        <v>106</v>
      </c>
      <c r="T666" s="881">
        <v>0.29126768253008012</v>
      </c>
      <c r="U666" s="880">
        <v>41.298942229454845</v>
      </c>
      <c r="V666" s="880">
        <v>116</v>
      </c>
      <c r="W666" s="881">
        <v>0.35602536404702451</v>
      </c>
      <c r="X666" s="880">
        <v>57.072487860361342</v>
      </c>
      <c r="Y666" s="880">
        <v>154</v>
      </c>
      <c r="Z666" s="881">
        <v>0.37060057052182688</v>
      </c>
      <c r="AA666" s="880">
        <v>56.684342047632597</v>
      </c>
      <c r="AB666" s="880">
        <v>166</v>
      </c>
      <c r="AC666" s="881">
        <v>0.34147194004597953</v>
      </c>
      <c r="AD666" s="880">
        <v>67.146522189826854</v>
      </c>
      <c r="AE666" s="880">
        <v>176</v>
      </c>
      <c r="AF666" s="881">
        <v>0.38151433062401624</v>
      </c>
      <c r="AG666" s="880">
        <v>50.283804058921994</v>
      </c>
      <c r="AH666" s="880">
        <v>185</v>
      </c>
      <c r="AI666" s="881">
        <v>0.27180434626444322</v>
      </c>
    </row>
    <row r="667" spans="2:35" x14ac:dyDescent="0.2">
      <c r="B667" s="867">
        <v>138751000</v>
      </c>
      <c r="C667" s="876" t="s">
        <v>1447</v>
      </c>
      <c r="D667" s="877" t="s">
        <v>1447</v>
      </c>
      <c r="E667" s="877" t="s">
        <v>1447</v>
      </c>
      <c r="F667" s="877" t="s">
        <v>1447</v>
      </c>
      <c r="G667" s="877" t="s">
        <v>1447</v>
      </c>
      <c r="H667" s="877" t="s">
        <v>1447</v>
      </c>
      <c r="I667" s="877" t="s">
        <v>1447</v>
      </c>
      <c r="J667" s="878" t="s">
        <v>1447</v>
      </c>
      <c r="K667" s="877"/>
      <c r="L667" s="879">
        <v>87</v>
      </c>
      <c r="M667" s="880">
        <v>394</v>
      </c>
      <c r="N667" s="881">
        <v>0.21990000000000001</v>
      </c>
      <c r="O667" s="880">
        <v>92.571250097602871</v>
      </c>
      <c r="P667" s="880">
        <v>414</v>
      </c>
      <c r="Q667" s="881">
        <v>0.22360205337585234</v>
      </c>
      <c r="R667" s="880">
        <v>109.93148442158024</v>
      </c>
      <c r="S667" s="880">
        <v>437</v>
      </c>
      <c r="T667" s="881">
        <v>0.25155946091894793</v>
      </c>
      <c r="U667" s="880">
        <v>150.23238405207488</v>
      </c>
      <c r="V667" s="880">
        <v>450</v>
      </c>
      <c r="W667" s="881">
        <v>0.33384974233794418</v>
      </c>
      <c r="X667" s="880">
        <v>193.78100529331991</v>
      </c>
      <c r="Y667" s="880">
        <v>470</v>
      </c>
      <c r="Z667" s="881">
        <v>0.4123000112623828</v>
      </c>
      <c r="AA667" s="880">
        <v>153.047723528608</v>
      </c>
      <c r="AB667" s="880">
        <v>472</v>
      </c>
      <c r="AC667" s="881">
        <v>0.32425365154366104</v>
      </c>
      <c r="AD667" s="880">
        <v>109.79363763471687</v>
      </c>
      <c r="AE667" s="880">
        <v>474</v>
      </c>
      <c r="AF667" s="881">
        <v>0.23163214690868539</v>
      </c>
      <c r="AG667" s="880">
        <v>107.44402576692734</v>
      </c>
      <c r="AH667" s="880">
        <v>452</v>
      </c>
      <c r="AI667" s="881">
        <v>0.23770802160824633</v>
      </c>
    </row>
    <row r="668" spans="2:35" x14ac:dyDescent="0.2">
      <c r="B668" s="867">
        <v>138752000</v>
      </c>
      <c r="C668" s="876" t="s">
        <v>1447</v>
      </c>
      <c r="D668" s="877" t="s">
        <v>1447</v>
      </c>
      <c r="E668" s="877" t="s">
        <v>1447</v>
      </c>
      <c r="F668" s="877" t="s">
        <v>1447</v>
      </c>
      <c r="G668" s="877" t="s">
        <v>1447</v>
      </c>
      <c r="H668" s="877" t="s">
        <v>1447</v>
      </c>
      <c r="I668" s="877" t="s">
        <v>1447</v>
      </c>
      <c r="J668" s="878" t="s">
        <v>1447</v>
      </c>
      <c r="K668" s="877"/>
      <c r="L668" s="879">
        <v>22</v>
      </c>
      <c r="M668" s="880">
        <v>119</v>
      </c>
      <c r="N668" s="881">
        <v>0.1875</v>
      </c>
      <c r="O668" s="880">
        <v>26.387132037167174</v>
      </c>
      <c r="P668" s="880">
        <v>149</v>
      </c>
      <c r="Q668" s="881">
        <v>0.17709484588702801</v>
      </c>
      <c r="R668" s="880">
        <v>31.80996144964875</v>
      </c>
      <c r="S668" s="880">
        <v>148</v>
      </c>
      <c r="T668" s="881">
        <v>0.21493217195708614</v>
      </c>
      <c r="U668" s="880">
        <v>62.247681041497152</v>
      </c>
      <c r="V668" s="880">
        <v>181</v>
      </c>
      <c r="W668" s="881">
        <v>0.34390984000827157</v>
      </c>
      <c r="X668" s="880">
        <v>56.408854280589701</v>
      </c>
      <c r="Y668" s="880">
        <v>189</v>
      </c>
      <c r="Z668" s="881">
        <v>0.29845954645814654</v>
      </c>
      <c r="AA668" s="880">
        <v>48.748534160964034</v>
      </c>
      <c r="AB668" s="880">
        <v>200</v>
      </c>
      <c r="AC668" s="881">
        <v>0.24374267080482018</v>
      </c>
      <c r="AD668" s="880">
        <v>39.017573704899384</v>
      </c>
      <c r="AE668" s="880">
        <v>200</v>
      </c>
      <c r="AF668" s="881">
        <v>0.19508786852449692</v>
      </c>
      <c r="AG668" s="880">
        <v>36.530968760755293</v>
      </c>
      <c r="AH668" s="880">
        <v>204</v>
      </c>
      <c r="AI668" s="881">
        <v>0.17907337627821221</v>
      </c>
    </row>
    <row r="669" spans="2:35" x14ac:dyDescent="0.2">
      <c r="B669" s="867">
        <v>138753000</v>
      </c>
      <c r="C669" s="876" t="s">
        <v>1447</v>
      </c>
      <c r="D669" s="877" t="s">
        <v>1447</v>
      </c>
      <c r="E669" s="877" t="s">
        <v>1447</v>
      </c>
      <c r="F669" s="877" t="s">
        <v>1448</v>
      </c>
      <c r="G669" s="877" t="s">
        <v>1448</v>
      </c>
      <c r="H669" s="877" t="s">
        <v>1448</v>
      </c>
      <c r="I669" s="877" t="s">
        <v>1448</v>
      </c>
      <c r="J669" s="878" t="s">
        <v>1448</v>
      </c>
      <c r="K669" s="877"/>
      <c r="L669" s="879">
        <v>28</v>
      </c>
      <c r="M669" s="880">
        <v>77</v>
      </c>
      <c r="N669" s="881">
        <v>0.3695</v>
      </c>
      <c r="O669" s="880">
        <v>27.684859842273756</v>
      </c>
      <c r="P669" s="880">
        <v>75</v>
      </c>
      <c r="Q669" s="881">
        <v>0.36913146456365009</v>
      </c>
      <c r="R669" s="880">
        <v>27.132025942347465</v>
      </c>
      <c r="S669" s="880">
        <v>71</v>
      </c>
      <c r="T669" s="881">
        <v>0.38214121045559807</v>
      </c>
      <c r="U669" s="880" t="s">
        <v>1450</v>
      </c>
      <c r="V669" s="880" t="s">
        <v>1450</v>
      </c>
      <c r="W669" s="881" t="s">
        <v>1450</v>
      </c>
      <c r="X669" s="880" t="s">
        <v>1450</v>
      </c>
      <c r="Y669" s="880" t="s">
        <v>1450</v>
      </c>
      <c r="Z669" s="881" t="s">
        <v>1450</v>
      </c>
      <c r="AA669" s="880" t="s">
        <v>1450</v>
      </c>
      <c r="AB669" s="880" t="s">
        <v>1450</v>
      </c>
      <c r="AC669" s="881" t="s">
        <v>1450</v>
      </c>
      <c r="AD669" s="880" t="s">
        <v>1450</v>
      </c>
      <c r="AE669" s="880" t="s">
        <v>1450</v>
      </c>
      <c r="AF669" s="881" t="s">
        <v>1450</v>
      </c>
      <c r="AG669" s="880" t="s">
        <v>1450</v>
      </c>
      <c r="AH669" s="880" t="s">
        <v>1450</v>
      </c>
      <c r="AI669" s="881" t="s">
        <v>1450</v>
      </c>
    </row>
    <row r="670" spans="2:35" x14ac:dyDescent="0.2">
      <c r="B670" s="867">
        <v>138754000</v>
      </c>
      <c r="C670" s="876" t="s">
        <v>1448</v>
      </c>
      <c r="D670" s="877" t="s">
        <v>1448</v>
      </c>
      <c r="E670" s="877" t="s">
        <v>1448</v>
      </c>
      <c r="F670" s="877" t="s">
        <v>1448</v>
      </c>
      <c r="G670" s="877" t="s">
        <v>1447</v>
      </c>
      <c r="H670" s="877" t="s">
        <v>1447</v>
      </c>
      <c r="I670" s="877" t="s">
        <v>1448</v>
      </c>
      <c r="J670" s="878" t="s">
        <v>1447</v>
      </c>
      <c r="K670" s="877"/>
      <c r="L670" s="879">
        <v>0</v>
      </c>
      <c r="M670" s="880">
        <v>78</v>
      </c>
      <c r="N670" s="881">
        <v>0</v>
      </c>
      <c r="O670" s="880">
        <v>2.5954556102131647</v>
      </c>
      <c r="P670" s="880">
        <v>476</v>
      </c>
      <c r="Q670" s="881">
        <v>5.4526378365822789E-3</v>
      </c>
      <c r="R670" s="880">
        <v>0</v>
      </c>
      <c r="S670" s="880">
        <v>477</v>
      </c>
      <c r="T670" s="881">
        <v>0</v>
      </c>
      <c r="U670" s="880">
        <v>38.904800650935719</v>
      </c>
      <c r="V670" s="880">
        <v>431</v>
      </c>
      <c r="W670" s="881">
        <v>9.0266358818876374E-2</v>
      </c>
      <c r="X670" s="880">
        <v>149.3175554486198</v>
      </c>
      <c r="Y670" s="880">
        <v>419</v>
      </c>
      <c r="Z670" s="881">
        <v>0.35636648078429545</v>
      </c>
      <c r="AA670" s="880">
        <v>120.73764856145743</v>
      </c>
      <c r="AB670" s="880">
        <v>443</v>
      </c>
      <c r="AC670" s="881">
        <v>0.27254548208003937</v>
      </c>
      <c r="AD670" s="880">
        <v>34.026953812412252</v>
      </c>
      <c r="AE670" s="880">
        <v>450</v>
      </c>
      <c r="AF670" s="881">
        <v>7.5615452916471676E-2</v>
      </c>
      <c r="AG670" s="880">
        <v>109.16313017919818</v>
      </c>
      <c r="AH670" s="880">
        <v>464</v>
      </c>
      <c r="AI670" s="881">
        <v>0.23526536676551332</v>
      </c>
    </row>
    <row r="671" spans="2:35" x14ac:dyDescent="0.2">
      <c r="B671" s="867">
        <v>138755000</v>
      </c>
      <c r="C671" s="876" t="s">
        <v>1447</v>
      </c>
      <c r="D671" s="877" t="s">
        <v>1447</v>
      </c>
      <c r="E671" s="877" t="s">
        <v>1447</v>
      </c>
      <c r="F671" s="877" t="s">
        <v>1447</v>
      </c>
      <c r="G671" s="877" t="s">
        <v>1447</v>
      </c>
      <c r="H671" s="877" t="s">
        <v>1447</v>
      </c>
      <c r="I671" s="877" t="s">
        <v>1447</v>
      </c>
      <c r="J671" s="878" t="s">
        <v>1447</v>
      </c>
      <c r="K671" s="877"/>
      <c r="L671" s="879">
        <v>30</v>
      </c>
      <c r="M671" s="880">
        <v>147</v>
      </c>
      <c r="N671" s="881">
        <v>0.2014</v>
      </c>
      <c r="O671" s="880">
        <v>36.768954478019829</v>
      </c>
      <c r="P671" s="880">
        <v>154</v>
      </c>
      <c r="Q671" s="881">
        <v>0.23875944466246643</v>
      </c>
      <c r="R671" s="880">
        <v>37.891277609140424</v>
      </c>
      <c r="S671" s="880">
        <v>140</v>
      </c>
      <c r="T671" s="881">
        <v>0.27065198292243159</v>
      </c>
      <c r="U671" s="880">
        <v>85.590561432058593</v>
      </c>
      <c r="V671" s="880">
        <v>247</v>
      </c>
      <c r="W671" s="881">
        <v>0.3465204916277676</v>
      </c>
      <c r="X671" s="880">
        <v>98.217769806203236</v>
      </c>
      <c r="Y671" s="880">
        <v>261</v>
      </c>
      <c r="Z671" s="881">
        <v>0.37631329427664073</v>
      </c>
      <c r="AA671" s="880">
        <v>83.325982810019923</v>
      </c>
      <c r="AB671" s="880">
        <v>255</v>
      </c>
      <c r="AC671" s="881">
        <v>0.32676856003929383</v>
      </c>
      <c r="AD671" s="880">
        <v>56.711589687353758</v>
      </c>
      <c r="AE671" s="880">
        <v>214</v>
      </c>
      <c r="AF671" s="881">
        <v>0.26500742844557829</v>
      </c>
      <c r="AG671" s="880">
        <v>38.250073173026131</v>
      </c>
      <c r="AH671" s="880">
        <v>150</v>
      </c>
      <c r="AI671" s="881">
        <v>0.2550004878201742</v>
      </c>
    </row>
    <row r="672" spans="2:35" x14ac:dyDescent="0.2">
      <c r="B672" s="867">
        <v>138756000</v>
      </c>
      <c r="C672" s="876" t="s">
        <v>1448</v>
      </c>
      <c r="D672" s="877" t="s">
        <v>1448</v>
      </c>
      <c r="E672" s="877" t="s">
        <v>1448</v>
      </c>
      <c r="F672" s="877" t="s">
        <v>1447</v>
      </c>
      <c r="G672" s="877" t="s">
        <v>1448</v>
      </c>
      <c r="H672" s="877" t="s">
        <v>1448</v>
      </c>
      <c r="I672" s="877" t="s">
        <v>1448</v>
      </c>
      <c r="J672" s="878" t="s">
        <v>1448</v>
      </c>
      <c r="K672" s="877"/>
      <c r="L672" s="879">
        <v>0</v>
      </c>
      <c r="M672" s="880">
        <v>78</v>
      </c>
      <c r="N672" s="881">
        <v>0</v>
      </c>
      <c r="O672" s="880">
        <v>2.1628796751776371</v>
      </c>
      <c r="P672" s="880">
        <v>115</v>
      </c>
      <c r="Q672" s="881">
        <v>1.8807649349370757E-2</v>
      </c>
      <c r="R672" s="880">
        <v>0</v>
      </c>
      <c r="S672" s="880">
        <v>114</v>
      </c>
      <c r="T672" s="881">
        <v>0</v>
      </c>
      <c r="U672" s="880">
        <v>28.729698942229454</v>
      </c>
      <c r="V672" s="880">
        <v>116</v>
      </c>
      <c r="W672" s="881">
        <v>0.24766981846749531</v>
      </c>
      <c r="X672" s="880">
        <v>0</v>
      </c>
      <c r="Y672" s="880">
        <v>102</v>
      </c>
      <c r="Z672" s="881">
        <v>0</v>
      </c>
      <c r="AA672" s="880" t="s">
        <v>1450</v>
      </c>
      <c r="AB672" s="880" t="s">
        <v>1450</v>
      </c>
      <c r="AC672" s="881" t="s">
        <v>1450</v>
      </c>
      <c r="AD672" s="880" t="s">
        <v>1450</v>
      </c>
      <c r="AE672" s="880" t="s">
        <v>1450</v>
      </c>
      <c r="AF672" s="881" t="s">
        <v>1450</v>
      </c>
      <c r="AG672" s="880" t="s">
        <v>1450</v>
      </c>
      <c r="AH672" s="880" t="s">
        <v>1450</v>
      </c>
      <c r="AI672" s="881" t="s">
        <v>1450</v>
      </c>
    </row>
    <row r="673" spans="2:35" x14ac:dyDescent="0.2">
      <c r="B673" s="867">
        <v>138757000</v>
      </c>
      <c r="C673" s="876" t="s">
        <v>1448</v>
      </c>
      <c r="D673" s="877" t="s">
        <v>1448</v>
      </c>
      <c r="E673" s="877" t="s">
        <v>1448</v>
      </c>
      <c r="F673" s="877" t="s">
        <v>1448</v>
      </c>
      <c r="G673" s="877" t="s">
        <v>1448</v>
      </c>
      <c r="H673" s="877" t="s">
        <v>1448</v>
      </c>
      <c r="I673" s="877" t="s">
        <v>1448</v>
      </c>
      <c r="J673" s="878" t="s">
        <v>1448</v>
      </c>
      <c r="K673" s="877"/>
      <c r="L673" s="879">
        <v>0</v>
      </c>
      <c r="M673" s="880">
        <v>78</v>
      </c>
      <c r="N673" s="881">
        <v>0</v>
      </c>
      <c r="O673" s="880">
        <v>0.43257593503552744</v>
      </c>
      <c r="P673" s="880">
        <v>188</v>
      </c>
      <c r="Q673" s="881">
        <v>2.300935824657061E-3</v>
      </c>
      <c r="R673" s="880">
        <v>0</v>
      </c>
      <c r="S673" s="880">
        <v>181</v>
      </c>
      <c r="T673" s="881">
        <v>0</v>
      </c>
      <c r="U673" s="880">
        <v>1.1970707892595607</v>
      </c>
      <c r="V673" s="880">
        <v>184</v>
      </c>
      <c r="W673" s="881">
        <v>6.5058195068454384E-3</v>
      </c>
      <c r="X673" s="880">
        <v>0</v>
      </c>
      <c r="Y673" s="880">
        <v>187</v>
      </c>
      <c r="Z673" s="881">
        <v>0</v>
      </c>
      <c r="AA673" s="880" t="s">
        <v>1450</v>
      </c>
      <c r="AB673" s="880" t="s">
        <v>1450</v>
      </c>
      <c r="AC673" s="881" t="s">
        <v>1450</v>
      </c>
      <c r="AD673" s="880" t="s">
        <v>1450</v>
      </c>
      <c r="AE673" s="880" t="s">
        <v>1450</v>
      </c>
      <c r="AF673" s="881" t="s">
        <v>1450</v>
      </c>
      <c r="AG673" s="880" t="s">
        <v>1450</v>
      </c>
      <c r="AH673" s="880" t="s">
        <v>1450</v>
      </c>
      <c r="AI673" s="881" t="s">
        <v>1450</v>
      </c>
    </row>
    <row r="674" spans="2:35" x14ac:dyDescent="0.2">
      <c r="B674" s="867">
        <v>138758000</v>
      </c>
      <c r="C674" s="876" t="s">
        <v>1447</v>
      </c>
      <c r="D674" s="877" t="s">
        <v>1447</v>
      </c>
      <c r="E674" s="877" t="s">
        <v>1447</v>
      </c>
      <c r="F674" s="877" t="s">
        <v>1447</v>
      </c>
      <c r="G674" s="877" t="s">
        <v>1447</v>
      </c>
      <c r="H674" s="877" t="s">
        <v>1447</v>
      </c>
      <c r="I674" s="877" t="s">
        <v>1447</v>
      </c>
      <c r="J674" s="878" t="s">
        <v>1448</v>
      </c>
      <c r="K674" s="877"/>
      <c r="L674" s="879">
        <v>27</v>
      </c>
      <c r="M674" s="880">
        <v>77</v>
      </c>
      <c r="N674" s="881">
        <v>0.35360000000000003</v>
      </c>
      <c r="O674" s="880">
        <v>25.521980167096117</v>
      </c>
      <c r="P674" s="880">
        <v>88</v>
      </c>
      <c r="Q674" s="881">
        <v>0.29002250189881951</v>
      </c>
      <c r="R674" s="880">
        <v>22.454090435046176</v>
      </c>
      <c r="S674" s="880">
        <v>69</v>
      </c>
      <c r="T674" s="881">
        <v>0.32542160050791558</v>
      </c>
      <c r="U674" s="880">
        <v>21.547274206672093</v>
      </c>
      <c r="V674" s="880">
        <v>47</v>
      </c>
      <c r="W674" s="881">
        <v>0.4584526426951509</v>
      </c>
      <c r="X674" s="880">
        <v>36.499846887440391</v>
      </c>
      <c r="Y674" s="880">
        <v>82</v>
      </c>
      <c r="Z674" s="881">
        <v>0.44512008399317549</v>
      </c>
      <c r="AA674" s="880">
        <v>32.876918387626908</v>
      </c>
      <c r="AB674" s="880">
        <v>76</v>
      </c>
      <c r="AC674" s="881">
        <v>0.43259103141614352</v>
      </c>
      <c r="AD674" s="880">
        <v>20.869865004946181</v>
      </c>
      <c r="AE674" s="880">
        <v>63</v>
      </c>
      <c r="AF674" s="881">
        <v>0.33126769849120924</v>
      </c>
      <c r="AG674" s="880">
        <v>9.8848503705573147</v>
      </c>
      <c r="AH674" s="880">
        <v>39</v>
      </c>
      <c r="AI674" s="881">
        <v>0.25345770180916194</v>
      </c>
    </row>
    <row r="675" spans="2:35" x14ac:dyDescent="0.2">
      <c r="B675" s="867">
        <v>138759000</v>
      </c>
      <c r="C675" s="876" t="s">
        <v>1447</v>
      </c>
      <c r="D675" s="877" t="s">
        <v>1448</v>
      </c>
      <c r="E675" s="877" t="s">
        <v>1448</v>
      </c>
      <c r="F675" s="877" t="s">
        <v>1447</v>
      </c>
      <c r="G675" s="877" t="s">
        <v>1447</v>
      </c>
      <c r="H675" s="877" t="s">
        <v>1448</v>
      </c>
      <c r="I675" s="877" t="s">
        <v>1448</v>
      </c>
      <c r="J675" s="878" t="s">
        <v>1448</v>
      </c>
      <c r="K675" s="877"/>
      <c r="L675" s="879">
        <v>13</v>
      </c>
      <c r="M675" s="880">
        <v>83</v>
      </c>
      <c r="N675" s="881">
        <v>0.15939999999999999</v>
      </c>
      <c r="O675" s="880">
        <v>9.5166705707816028</v>
      </c>
      <c r="P675" s="880">
        <v>55</v>
      </c>
      <c r="Q675" s="881">
        <v>0.17303037401421095</v>
      </c>
      <c r="R675" s="880">
        <v>6.0813161594916725</v>
      </c>
      <c r="S675" s="880">
        <v>44</v>
      </c>
      <c r="T675" s="881">
        <v>0.13821173089753802</v>
      </c>
      <c r="U675" s="880">
        <v>23.342880390561433</v>
      </c>
      <c r="V675" s="880">
        <v>54</v>
      </c>
      <c r="W675" s="881">
        <v>0.43227556278817469</v>
      </c>
      <c r="X675" s="880">
        <v>25.218076031322454</v>
      </c>
      <c r="Y675" s="880">
        <v>51</v>
      </c>
      <c r="Z675" s="881">
        <v>0.4944720790455383</v>
      </c>
      <c r="AA675" s="880">
        <v>7.3689644661922378</v>
      </c>
      <c r="AB675" s="880">
        <v>26</v>
      </c>
      <c r="AC675" s="881">
        <v>0.28342171023816298</v>
      </c>
      <c r="AD675" s="880">
        <v>4.990619892487131</v>
      </c>
      <c r="AE675" s="880">
        <v>24</v>
      </c>
      <c r="AF675" s="881">
        <v>0.20794249552029712</v>
      </c>
      <c r="AG675" s="880">
        <v>7.7359698552187686</v>
      </c>
      <c r="AH675" s="880">
        <v>18</v>
      </c>
      <c r="AI675" s="881">
        <v>0.42977610306770936</v>
      </c>
    </row>
    <row r="676" spans="2:35" x14ac:dyDescent="0.2">
      <c r="B676" s="867">
        <v>138760000</v>
      </c>
      <c r="C676" s="876" t="s">
        <v>1447</v>
      </c>
      <c r="D676" s="877" t="s">
        <v>1447</v>
      </c>
      <c r="E676" s="877" t="s">
        <v>1447</v>
      </c>
      <c r="F676" s="877" t="s">
        <v>1447</v>
      </c>
      <c r="G676" s="877" t="s">
        <v>1447</v>
      </c>
      <c r="H676" s="877" t="s">
        <v>1447</v>
      </c>
      <c r="I676" s="877" t="s">
        <v>1447</v>
      </c>
      <c r="J676" s="878" t="s">
        <v>1447</v>
      </c>
      <c r="K676" s="877"/>
      <c r="L676" s="879">
        <v>100</v>
      </c>
      <c r="M676" s="880">
        <v>334</v>
      </c>
      <c r="N676" s="881">
        <v>0.30020000000000002</v>
      </c>
      <c r="O676" s="880">
        <v>126.31217303037401</v>
      </c>
      <c r="P676" s="880">
        <v>415</v>
      </c>
      <c r="Q676" s="881">
        <v>0.30436668200090122</v>
      </c>
      <c r="R676" s="880">
        <v>132.85336840735656</v>
      </c>
      <c r="S676" s="880">
        <v>403</v>
      </c>
      <c r="T676" s="881">
        <v>0.32966096378996662</v>
      </c>
      <c r="U676" s="880">
        <v>141.85288852725793</v>
      </c>
      <c r="V676" s="880">
        <v>371</v>
      </c>
      <c r="W676" s="881">
        <v>0.38235279926484617</v>
      </c>
      <c r="X676" s="880">
        <v>160.59932630473773</v>
      </c>
      <c r="Y676" s="880">
        <v>405</v>
      </c>
      <c r="Z676" s="881">
        <v>0.39654154643145118</v>
      </c>
      <c r="AA676" s="880">
        <v>175.72146034766104</v>
      </c>
      <c r="AB676" s="880">
        <v>408</v>
      </c>
      <c r="AC676" s="881">
        <v>0.43068985379328684</v>
      </c>
      <c r="AD676" s="880">
        <v>134.74673709715253</v>
      </c>
      <c r="AE676" s="880">
        <v>407</v>
      </c>
      <c r="AF676" s="881">
        <v>0.33107306412076787</v>
      </c>
      <c r="AG676" s="880">
        <v>140.53678570314096</v>
      </c>
      <c r="AH676" s="880">
        <v>449</v>
      </c>
      <c r="AI676" s="881">
        <v>0.31299952272414466</v>
      </c>
    </row>
    <row r="677" spans="2:35" x14ac:dyDescent="0.2">
      <c r="B677" s="867">
        <v>138761000</v>
      </c>
      <c r="C677" s="876" t="s">
        <v>1447</v>
      </c>
      <c r="D677" s="877" t="s">
        <v>1447</v>
      </c>
      <c r="E677" s="877" t="s">
        <v>1447</v>
      </c>
      <c r="F677" s="877" t="s">
        <v>1447</v>
      </c>
      <c r="G677" s="877" t="s">
        <v>1447</v>
      </c>
      <c r="H677" s="877" t="s">
        <v>1447</v>
      </c>
      <c r="I677" s="877" t="s">
        <v>1447</v>
      </c>
      <c r="J677" s="878" t="s">
        <v>1447</v>
      </c>
      <c r="K677" s="877"/>
      <c r="L677" s="879">
        <v>12</v>
      </c>
      <c r="M677" s="880">
        <v>54</v>
      </c>
      <c r="N677" s="881">
        <v>0.21659999999999999</v>
      </c>
      <c r="O677" s="880">
        <v>14.707581791207932</v>
      </c>
      <c r="P677" s="880">
        <v>83</v>
      </c>
      <c r="Q677" s="881">
        <v>0.17719978061696304</v>
      </c>
      <c r="R677" s="880">
        <v>24.793058188696818</v>
      </c>
      <c r="S677" s="880">
        <v>75</v>
      </c>
      <c r="T677" s="881">
        <v>0.33057410918262425</v>
      </c>
      <c r="U677" s="880">
        <v>24.539951179820992</v>
      </c>
      <c r="V677" s="880">
        <v>87</v>
      </c>
      <c r="W677" s="881">
        <v>0.28206840436575853</v>
      </c>
      <c r="X677" s="880">
        <v>19.909007393149306</v>
      </c>
      <c r="Y677" s="880">
        <v>60</v>
      </c>
      <c r="Z677" s="881">
        <v>0.33181678988582175</v>
      </c>
      <c r="AA677" s="880">
        <v>15.304772352860802</v>
      </c>
      <c r="AB677" s="880">
        <v>67</v>
      </c>
      <c r="AC677" s="881">
        <v>0.22842943810240002</v>
      </c>
      <c r="AD677" s="880">
        <v>15.879245112459053</v>
      </c>
      <c r="AE677" s="880">
        <v>60</v>
      </c>
      <c r="AF677" s="881">
        <v>0.26465408520765088</v>
      </c>
      <c r="AG677" s="880">
        <v>18.910148534979211</v>
      </c>
      <c r="AH677" s="880">
        <v>75</v>
      </c>
      <c r="AI677" s="881">
        <v>0.25213531379972282</v>
      </c>
    </row>
    <row r="678" spans="2:35" x14ac:dyDescent="0.2">
      <c r="B678" s="867">
        <v>138763000</v>
      </c>
      <c r="C678" s="876" t="s">
        <v>1447</v>
      </c>
      <c r="D678" s="877" t="s">
        <v>1448</v>
      </c>
      <c r="E678" s="877" t="s">
        <v>1447</v>
      </c>
      <c r="F678" s="877" t="s">
        <v>1447</v>
      </c>
      <c r="G678" s="877" t="s">
        <v>1447</v>
      </c>
      <c r="H678" s="877" t="s">
        <v>1447</v>
      </c>
      <c r="I678" s="877" t="s">
        <v>1448</v>
      </c>
      <c r="J678" s="878" t="s">
        <v>1448</v>
      </c>
      <c r="K678" s="877"/>
      <c r="L678" s="879">
        <v>18</v>
      </c>
      <c r="M678" s="880">
        <v>63</v>
      </c>
      <c r="N678" s="881">
        <v>0.28360000000000002</v>
      </c>
      <c r="O678" s="880">
        <v>3.0280315452486919</v>
      </c>
      <c r="P678" s="880">
        <v>79</v>
      </c>
      <c r="Q678" s="881">
        <v>3.83295132309961E-2</v>
      </c>
      <c r="R678" s="880">
        <v>24.32526463796669</v>
      </c>
      <c r="S678" s="880">
        <v>90</v>
      </c>
      <c r="T678" s="881">
        <v>0.2702807181996299</v>
      </c>
      <c r="U678" s="880">
        <v>23.342880390561433</v>
      </c>
      <c r="V678" s="880">
        <v>63</v>
      </c>
      <c r="W678" s="881">
        <v>0.37052191096129261</v>
      </c>
      <c r="X678" s="880">
        <v>21.899908132464237</v>
      </c>
      <c r="Y678" s="880">
        <v>61</v>
      </c>
      <c r="Z678" s="881">
        <v>0.35901488741744653</v>
      </c>
      <c r="AA678" s="880">
        <v>36.277978910484862</v>
      </c>
      <c r="AB678" s="880">
        <v>79</v>
      </c>
      <c r="AC678" s="881">
        <v>0.45921492291752991</v>
      </c>
      <c r="AD678" s="880" t="s">
        <v>1450</v>
      </c>
      <c r="AE678" s="880" t="s">
        <v>1450</v>
      </c>
      <c r="AF678" s="881" t="s">
        <v>1450</v>
      </c>
      <c r="AG678" s="880" t="s">
        <v>1450</v>
      </c>
      <c r="AH678" s="880" t="s">
        <v>1450</v>
      </c>
      <c r="AI678" s="881" t="s">
        <v>1450</v>
      </c>
    </row>
    <row r="679" spans="2:35" x14ac:dyDescent="0.2">
      <c r="B679" s="867">
        <v>138767000</v>
      </c>
      <c r="C679" s="876" t="s">
        <v>1448</v>
      </c>
      <c r="D679" s="877" t="s">
        <v>1447</v>
      </c>
      <c r="E679" s="877" t="s">
        <v>1447</v>
      </c>
      <c r="F679" s="877" t="s">
        <v>1447</v>
      </c>
      <c r="G679" s="877" t="s">
        <v>1447</v>
      </c>
      <c r="H679" s="877" t="s">
        <v>1448</v>
      </c>
      <c r="I679" s="877" t="s">
        <v>1448</v>
      </c>
      <c r="J679" s="878" t="s">
        <v>1448</v>
      </c>
      <c r="K679" s="877"/>
      <c r="L679" s="879">
        <v>9</v>
      </c>
      <c r="M679" s="880">
        <v>26</v>
      </c>
      <c r="N679" s="881">
        <v>0.33900000000000002</v>
      </c>
      <c r="O679" s="880">
        <v>15.14015772624346</v>
      </c>
      <c r="P679" s="880">
        <v>40</v>
      </c>
      <c r="Q679" s="881">
        <v>0.37850394315608649</v>
      </c>
      <c r="R679" s="880">
        <v>10.759251666792959</v>
      </c>
      <c r="S679" s="880">
        <v>30</v>
      </c>
      <c r="T679" s="881">
        <v>0.35864172222643198</v>
      </c>
      <c r="U679" s="880">
        <v>16.758991049633849</v>
      </c>
      <c r="V679" s="880">
        <v>33</v>
      </c>
      <c r="W679" s="881">
        <v>0.50784821362526811</v>
      </c>
      <c r="X679" s="880">
        <v>14.599938754976158</v>
      </c>
      <c r="Y679" s="880">
        <v>26</v>
      </c>
      <c r="Z679" s="881">
        <v>0.56153610596062142</v>
      </c>
      <c r="AA679" s="880" t="s">
        <v>1450</v>
      </c>
      <c r="AB679" s="880" t="s">
        <v>1450</v>
      </c>
      <c r="AC679" s="881" t="s">
        <v>1450</v>
      </c>
      <c r="AD679" s="880" t="s">
        <v>1450</v>
      </c>
      <c r="AE679" s="880" t="s">
        <v>1450</v>
      </c>
      <c r="AF679" s="881" t="s">
        <v>1450</v>
      </c>
      <c r="AG679" s="880" t="s">
        <v>1450</v>
      </c>
      <c r="AH679" s="880" t="s">
        <v>1450</v>
      </c>
      <c r="AI679" s="881" t="s">
        <v>1450</v>
      </c>
    </row>
    <row r="680" spans="2:35" x14ac:dyDescent="0.2">
      <c r="B680" s="867">
        <v>138768000</v>
      </c>
      <c r="C680" s="876" t="s">
        <v>1448</v>
      </c>
      <c r="D680" s="877" t="s">
        <v>1447</v>
      </c>
      <c r="E680" s="877" t="s">
        <v>1447</v>
      </c>
      <c r="F680" s="877" t="s">
        <v>1447</v>
      </c>
      <c r="G680" s="877" t="s">
        <v>1447</v>
      </c>
      <c r="H680" s="877" t="s">
        <v>1447</v>
      </c>
      <c r="I680" s="877" t="s">
        <v>1447</v>
      </c>
      <c r="J680" s="878" t="s">
        <v>1447</v>
      </c>
      <c r="K680" s="877"/>
      <c r="L680" s="879">
        <v>14</v>
      </c>
      <c r="M680" s="880">
        <v>144</v>
      </c>
      <c r="N680" s="881">
        <v>9.9400000000000002E-2</v>
      </c>
      <c r="O680" s="880">
        <v>25.089404232060591</v>
      </c>
      <c r="P680" s="880">
        <v>147</v>
      </c>
      <c r="Q680" s="881">
        <v>0.1706762192657183</v>
      </c>
      <c r="R680" s="880">
        <v>30.874374348188493</v>
      </c>
      <c r="S680" s="880">
        <v>130</v>
      </c>
      <c r="T680" s="881">
        <v>0.23749518729375763</v>
      </c>
      <c r="U680" s="880">
        <v>38.904800650935719</v>
      </c>
      <c r="V680" s="880">
        <v>140</v>
      </c>
      <c r="W680" s="881">
        <v>0.27789143322096943</v>
      </c>
      <c r="X680" s="880">
        <v>49.772518482873259</v>
      </c>
      <c r="Y680" s="880">
        <v>153</v>
      </c>
      <c r="Z680" s="881">
        <v>0.32531057831943305</v>
      </c>
      <c r="AA680" s="880">
        <v>47.048003899535054</v>
      </c>
      <c r="AB680" s="880">
        <v>143</v>
      </c>
      <c r="AC680" s="881">
        <v>0.32900702027646889</v>
      </c>
      <c r="AD680" s="880">
        <v>31.304797507419273</v>
      </c>
      <c r="AE680" s="880">
        <v>131</v>
      </c>
      <c r="AF680" s="881">
        <v>0.23896791990396393</v>
      </c>
      <c r="AG680" s="880">
        <v>33.522536039281327</v>
      </c>
      <c r="AH680" s="880">
        <v>147</v>
      </c>
      <c r="AI680" s="881">
        <v>0.22804446285225394</v>
      </c>
    </row>
    <row r="681" spans="2:35" x14ac:dyDescent="0.2">
      <c r="B681" s="867">
        <v>138771000</v>
      </c>
      <c r="C681" s="876" t="s">
        <v>1448</v>
      </c>
      <c r="D681" s="877" t="s">
        <v>1448</v>
      </c>
      <c r="E681" s="877" t="s">
        <v>1447</v>
      </c>
      <c r="F681" s="877" t="s">
        <v>1448</v>
      </c>
      <c r="G681" s="877" t="s">
        <v>1448</v>
      </c>
      <c r="H681" s="877" t="s">
        <v>1448</v>
      </c>
      <c r="I681" s="877" t="s">
        <v>1448</v>
      </c>
      <c r="J681" s="878" t="s">
        <v>1448</v>
      </c>
      <c r="K681" s="877"/>
      <c r="L681" s="879" t="s">
        <v>1450</v>
      </c>
      <c r="M681" s="880" t="s">
        <v>1450</v>
      </c>
      <c r="N681" s="881" t="s">
        <v>1450</v>
      </c>
      <c r="O681" s="880" t="s">
        <v>1450</v>
      </c>
      <c r="P681" s="880" t="s">
        <v>1450</v>
      </c>
      <c r="Q681" s="881" t="s">
        <v>1450</v>
      </c>
      <c r="R681" s="880">
        <v>12.630425869713475</v>
      </c>
      <c r="S681" s="880">
        <v>51</v>
      </c>
      <c r="T681" s="881">
        <v>0.24765540921006815</v>
      </c>
      <c r="U681" s="880">
        <v>8.3794955248169245</v>
      </c>
      <c r="V681" s="880">
        <v>38</v>
      </c>
      <c r="W681" s="881">
        <v>0.22051304012676118</v>
      </c>
      <c r="X681" s="880">
        <v>5.309068638173148</v>
      </c>
      <c r="Y681" s="880">
        <v>49</v>
      </c>
      <c r="Z681" s="881">
        <v>0.10834833955455404</v>
      </c>
      <c r="AA681" s="880" t="s">
        <v>1450</v>
      </c>
      <c r="AB681" s="880" t="s">
        <v>1450</v>
      </c>
      <c r="AC681" s="881" t="s">
        <v>1450</v>
      </c>
      <c r="AD681" s="880" t="s">
        <v>1450</v>
      </c>
      <c r="AE681" s="880" t="s">
        <v>1450</v>
      </c>
      <c r="AF681" s="881" t="s">
        <v>1450</v>
      </c>
      <c r="AG681" s="880" t="s">
        <v>1450</v>
      </c>
      <c r="AH681" s="880" t="s">
        <v>1450</v>
      </c>
      <c r="AI681" s="881" t="s">
        <v>1450</v>
      </c>
    </row>
    <row r="682" spans="2:35" x14ac:dyDescent="0.2">
      <c r="B682" s="867">
        <v>138785000</v>
      </c>
      <c r="C682" s="876" t="s">
        <v>1448</v>
      </c>
      <c r="D682" s="877" t="s">
        <v>1448</v>
      </c>
      <c r="E682" s="877" t="s">
        <v>1448</v>
      </c>
      <c r="F682" s="877" t="s">
        <v>1448</v>
      </c>
      <c r="G682" s="877" t="s">
        <v>1447</v>
      </c>
      <c r="H682" s="877" t="s">
        <v>1448</v>
      </c>
      <c r="I682" s="877" t="s">
        <v>1447</v>
      </c>
      <c r="J682" s="878" t="s">
        <v>1448</v>
      </c>
      <c r="K682" s="877"/>
      <c r="L682" s="879" t="s">
        <v>1450</v>
      </c>
      <c r="M682" s="880" t="s">
        <v>1450</v>
      </c>
      <c r="N682" s="881" t="s">
        <v>1450</v>
      </c>
      <c r="O682" s="880" t="s">
        <v>1450</v>
      </c>
      <c r="P682" s="880" t="s">
        <v>1450</v>
      </c>
      <c r="Q682" s="881" t="s">
        <v>1450</v>
      </c>
      <c r="R682" s="880" t="s">
        <v>1450</v>
      </c>
      <c r="S682" s="880" t="s">
        <v>1450</v>
      </c>
      <c r="T682" s="881" t="s">
        <v>1450</v>
      </c>
      <c r="U682" s="880">
        <v>11.372172497965826</v>
      </c>
      <c r="V682" s="880">
        <v>83</v>
      </c>
      <c r="W682" s="881">
        <v>0.13701412648151598</v>
      </c>
      <c r="X682" s="880">
        <v>29.199877509952316</v>
      </c>
      <c r="Y682" s="880">
        <v>152</v>
      </c>
      <c r="Z682" s="881">
        <v>0.19210445730231787</v>
      </c>
      <c r="AA682" s="880">
        <v>15.871615773337126</v>
      </c>
      <c r="AB682" s="880">
        <v>177</v>
      </c>
      <c r="AC682" s="881">
        <v>8.9670145612074162E-2</v>
      </c>
      <c r="AD682" s="880">
        <v>29.036333919925124</v>
      </c>
      <c r="AE682" s="880">
        <v>179</v>
      </c>
      <c r="AF682" s="881">
        <v>0.16221415597723532</v>
      </c>
      <c r="AG682" s="880">
        <v>25.786566184062561</v>
      </c>
      <c r="AH682" s="880">
        <v>172</v>
      </c>
      <c r="AI682" s="881">
        <v>0.14992189641896839</v>
      </c>
    </row>
    <row r="683" spans="2:35" x14ac:dyDescent="0.2">
      <c r="B683" s="867">
        <v>140401000</v>
      </c>
      <c r="C683" s="876" t="s">
        <v>1447</v>
      </c>
      <c r="D683" s="877" t="s">
        <v>1447</v>
      </c>
      <c r="E683" s="877" t="s">
        <v>1447</v>
      </c>
      <c r="F683" s="877" t="s">
        <v>1447</v>
      </c>
      <c r="G683" s="877" t="s">
        <v>1447</v>
      </c>
      <c r="H683" s="877" t="s">
        <v>1447</v>
      </c>
      <c r="I683" s="877" t="s">
        <v>1447</v>
      </c>
      <c r="J683" s="878" t="s">
        <v>1447</v>
      </c>
      <c r="K683" s="877"/>
      <c r="L683" s="879">
        <v>3267</v>
      </c>
      <c r="M683" s="880">
        <v>13041</v>
      </c>
      <c r="N683" s="881">
        <v>0.2505</v>
      </c>
      <c r="O683" s="880">
        <v>4197.2276416792156</v>
      </c>
      <c r="P683" s="880">
        <v>12970.59419371866</v>
      </c>
      <c r="Q683" s="881">
        <v>0.32359563324491564</v>
      </c>
      <c r="R683" s="880">
        <v>3577.2148148148149</v>
      </c>
      <c r="S683" s="880">
        <v>13708.018114409415</v>
      </c>
      <c r="T683" s="881">
        <v>0.26095784123997945</v>
      </c>
      <c r="U683" s="880">
        <v>2945.1667407432733</v>
      </c>
      <c r="V683" s="880">
        <v>10773.023988117342</v>
      </c>
      <c r="W683" s="881">
        <v>0.27338347561388482</v>
      </c>
      <c r="X683" s="880">
        <v>2784.0761788421441</v>
      </c>
      <c r="Y683" s="880">
        <v>10668.251609215398</v>
      </c>
      <c r="Z683" s="881">
        <v>0.26096836490406888</v>
      </c>
      <c r="AA683" s="880">
        <v>2876.4773567246716</v>
      </c>
      <c r="AB683" s="880">
        <v>10482.888549618321</v>
      </c>
      <c r="AC683" s="881">
        <v>0.27439739944859026</v>
      </c>
      <c r="AD683" s="880">
        <v>2417.4700300771924</v>
      </c>
      <c r="AE683" s="880">
        <v>10295.626401685993</v>
      </c>
      <c r="AF683" s="881">
        <v>0.23480553156836692</v>
      </c>
      <c r="AG683" s="880">
        <v>2280.451110340719</v>
      </c>
      <c r="AH683" s="880">
        <v>10050.034339113459</v>
      </c>
      <c r="AI683" s="881">
        <v>0.2269097829313371</v>
      </c>
    </row>
    <row r="684" spans="2:35" x14ac:dyDescent="0.2">
      <c r="B684" s="867">
        <v>140411000</v>
      </c>
      <c r="C684" s="876" t="s">
        <v>1447</v>
      </c>
      <c r="D684" s="877" t="s">
        <v>1447</v>
      </c>
      <c r="E684" s="877" t="s">
        <v>1447</v>
      </c>
      <c r="F684" s="877" t="s">
        <v>1447</v>
      </c>
      <c r="G684" s="877" t="s">
        <v>1447</v>
      </c>
      <c r="H684" s="877" t="s">
        <v>1447</v>
      </c>
      <c r="I684" s="877" t="s">
        <v>1447</v>
      </c>
      <c r="J684" s="878" t="s">
        <v>1447</v>
      </c>
      <c r="K684" s="877"/>
      <c r="L684" s="879">
        <v>844</v>
      </c>
      <c r="M684" s="880">
        <v>2646</v>
      </c>
      <c r="N684" s="881">
        <v>0.31909999999999999</v>
      </c>
      <c r="O684" s="880">
        <v>1083.8314173430786</v>
      </c>
      <c r="P684" s="880">
        <v>2631.5358405911852</v>
      </c>
      <c r="Q684" s="881">
        <v>0.41186268513811747</v>
      </c>
      <c r="R684" s="880">
        <v>939.67209876543211</v>
      </c>
      <c r="S684" s="880">
        <v>2789.0034088929806</v>
      </c>
      <c r="T684" s="881">
        <v>0.33692038373607064</v>
      </c>
      <c r="U684" s="880">
        <v>1208.7808472084516</v>
      </c>
      <c r="V684" s="880">
        <v>3192.1806164129225</v>
      </c>
      <c r="W684" s="881">
        <v>0.37866931494834016</v>
      </c>
      <c r="X684" s="880">
        <v>1146.4107836964929</v>
      </c>
      <c r="Y684" s="880">
        <v>3161.4464299028259</v>
      </c>
      <c r="Z684" s="881">
        <v>0.36262223925512804</v>
      </c>
      <c r="AA684" s="880">
        <v>1060.6716271626533</v>
      </c>
      <c r="AB684" s="880">
        <v>3106.8389312977097</v>
      </c>
      <c r="AC684" s="881">
        <v>0.34139897516979312</v>
      </c>
      <c r="AD684" s="880">
        <v>1106.1465617065512</v>
      </c>
      <c r="AE684" s="880">
        <v>3050.9032247596961</v>
      </c>
      <c r="AF684" s="881">
        <v>0.36256363450980217</v>
      </c>
      <c r="AG684" s="880">
        <v>1059.1100750935677</v>
      </c>
      <c r="AH684" s="880">
        <v>2978.0978803016383</v>
      </c>
      <c r="AI684" s="881">
        <v>0.35563306434585529</v>
      </c>
    </row>
    <row r="685" spans="2:35" x14ac:dyDescent="0.2">
      <c r="B685" s="867">
        <v>140413000</v>
      </c>
      <c r="C685" s="876" t="s">
        <v>1447</v>
      </c>
      <c r="D685" s="877" t="s">
        <v>1447</v>
      </c>
      <c r="E685" s="877" t="s">
        <v>1447</v>
      </c>
      <c r="F685" s="877" t="s">
        <v>1447</v>
      </c>
      <c r="G685" s="877" t="s">
        <v>1447</v>
      </c>
      <c r="H685" s="877" t="s">
        <v>1447</v>
      </c>
      <c r="I685" s="877" t="s">
        <v>1447</v>
      </c>
      <c r="J685" s="878" t="s">
        <v>1447</v>
      </c>
      <c r="K685" s="877"/>
      <c r="L685" s="879">
        <v>1415</v>
      </c>
      <c r="M685" s="880">
        <v>6798</v>
      </c>
      <c r="N685" s="881">
        <v>0.20810000000000001</v>
      </c>
      <c r="O685" s="880">
        <v>1818.1319645939693</v>
      </c>
      <c r="P685" s="880">
        <v>6761.6510952757981</v>
      </c>
      <c r="Q685" s="881">
        <v>0.26888875793432376</v>
      </c>
      <c r="R685" s="880">
        <v>1569.603950617284</v>
      </c>
      <c r="S685" s="880">
        <v>7187.7035507228347</v>
      </c>
      <c r="T685" s="881">
        <v>0.21837349572652257</v>
      </c>
      <c r="U685" s="880">
        <v>1839.0804471947758</v>
      </c>
      <c r="V685" s="880">
        <v>6566.1290753806161</v>
      </c>
      <c r="W685" s="881">
        <v>0.28008594197307501</v>
      </c>
      <c r="X685" s="880">
        <v>1742.9663883808544</v>
      </c>
      <c r="Y685" s="880">
        <v>6502.6686880234611</v>
      </c>
      <c r="Z685" s="881">
        <v>0.26803862721639649</v>
      </c>
      <c r="AA685" s="880">
        <v>1829.0509742850456</v>
      </c>
      <c r="AB685" s="880">
        <v>6389.7664122137403</v>
      </c>
      <c r="AC685" s="881">
        <v>0.28624692301566768</v>
      </c>
      <c r="AD685" s="880">
        <v>1738.516025538866</v>
      </c>
      <c r="AE685" s="880">
        <v>6275.2597674605549</v>
      </c>
      <c r="AF685" s="881">
        <v>0.2770428778986469</v>
      </c>
      <c r="AG685" s="880">
        <v>1784.5405616894229</v>
      </c>
      <c r="AH685" s="880">
        <v>6125.4164331649063</v>
      </c>
      <c r="AI685" s="881">
        <v>0.29133375357589836</v>
      </c>
    </row>
    <row r="686" spans="2:35" x14ac:dyDescent="0.2">
      <c r="B686" s="867">
        <v>140416000</v>
      </c>
      <c r="C686" s="876" t="s">
        <v>1447</v>
      </c>
      <c r="D686" s="877" t="s">
        <v>1447</v>
      </c>
      <c r="E686" s="877" t="s">
        <v>1447</v>
      </c>
      <c r="F686" s="877" t="s">
        <v>1447</v>
      </c>
      <c r="G686" s="877" t="s">
        <v>1447</v>
      </c>
      <c r="H686" s="877" t="s">
        <v>1447</v>
      </c>
      <c r="I686" s="877" t="s">
        <v>1447</v>
      </c>
      <c r="J686" s="878" t="s">
        <v>1447</v>
      </c>
      <c r="K686" s="877"/>
      <c r="L686" s="879">
        <v>74</v>
      </c>
      <c r="M686" s="880">
        <v>202</v>
      </c>
      <c r="N686" s="881">
        <v>0.36499999999999999</v>
      </c>
      <c r="O686" s="880">
        <v>95.240019098688805</v>
      </c>
      <c r="P686" s="880">
        <v>200.38039060438109</v>
      </c>
      <c r="Q686" s="881">
        <v>0.4752961046309413</v>
      </c>
      <c r="R686" s="880">
        <v>84.560987654320982</v>
      </c>
      <c r="S686" s="880">
        <v>212.35104132971708</v>
      </c>
      <c r="T686" s="881">
        <v>0.39821319982614678</v>
      </c>
      <c r="U686" s="880">
        <v>32.975315395398134</v>
      </c>
      <c r="V686" s="880">
        <v>109.62287411808393</v>
      </c>
      <c r="W686" s="881">
        <v>0.30080688597780858</v>
      </c>
      <c r="X686" s="880">
        <v>31.662801517829571</v>
      </c>
      <c r="Y686" s="880">
        <v>108.05179312573004</v>
      </c>
      <c r="Z686" s="881">
        <v>0.29303355920235818</v>
      </c>
      <c r="AA686" s="880">
        <v>31.084082758454478</v>
      </c>
      <c r="AB686" s="880">
        <v>105.84045801526717</v>
      </c>
      <c r="AC686" s="881">
        <v>0.29368809755122838</v>
      </c>
      <c r="AD686" s="880">
        <v>31.677487680087886</v>
      </c>
      <c r="AE686" s="880">
        <v>104.07199076469769</v>
      </c>
      <c r="AF686" s="881">
        <v>0.30438052974031532</v>
      </c>
      <c r="AG686" s="880">
        <v>21.200636838252443</v>
      </c>
      <c r="AH686" s="880">
        <v>102.27623066911652</v>
      </c>
      <c r="AI686" s="881">
        <v>0.20728801501143138</v>
      </c>
    </row>
    <row r="687" spans="2:35" x14ac:dyDescent="0.2">
      <c r="B687" s="867">
        <v>140417000</v>
      </c>
      <c r="C687" s="876" t="s">
        <v>1447</v>
      </c>
      <c r="D687" s="877" t="s">
        <v>1447</v>
      </c>
      <c r="E687" s="877" t="s">
        <v>1447</v>
      </c>
      <c r="F687" s="877" t="s">
        <v>1447</v>
      </c>
      <c r="G687" s="877" t="s">
        <v>1447</v>
      </c>
      <c r="H687" s="877" t="s">
        <v>1447</v>
      </c>
      <c r="I687" s="877" t="s">
        <v>1447</v>
      </c>
      <c r="J687" s="878" t="s">
        <v>1447</v>
      </c>
      <c r="K687" s="877"/>
      <c r="L687" s="879">
        <v>75</v>
      </c>
      <c r="M687" s="880">
        <v>316</v>
      </c>
      <c r="N687" s="881">
        <v>0.2364</v>
      </c>
      <c r="O687" s="880">
        <v>96.192419289675684</v>
      </c>
      <c r="P687" s="880">
        <v>314.34080232251256</v>
      </c>
      <c r="Q687" s="881">
        <v>0.30601315062809631</v>
      </c>
      <c r="R687" s="880">
        <v>81.710617283950612</v>
      </c>
      <c r="S687" s="880">
        <v>328.95451491701709</v>
      </c>
      <c r="T687" s="881">
        <v>0.24839488007806532</v>
      </c>
      <c r="U687" s="880">
        <v>49.934049027317172</v>
      </c>
      <c r="V687" s="880">
        <v>173.3353137764575</v>
      </c>
      <c r="W687" s="881">
        <v>0.28807776060979007</v>
      </c>
      <c r="X687" s="880">
        <v>66.188120772002065</v>
      </c>
      <c r="Y687" s="880">
        <v>171.3924994408132</v>
      </c>
      <c r="Z687" s="881">
        <v>0.38617863084993836</v>
      </c>
      <c r="AA687" s="880">
        <v>60.342339811594911</v>
      </c>
      <c r="AB687" s="880">
        <v>168.59541984732823</v>
      </c>
      <c r="AC687" s="881">
        <v>0.35791209432758009</v>
      </c>
      <c r="AD687" s="880">
        <v>48.516231520131825</v>
      </c>
      <c r="AE687" s="880">
        <v>165.95263392208548</v>
      </c>
      <c r="AF687" s="881">
        <v>0.29234987341574903</v>
      </c>
      <c r="AG687" s="880">
        <v>50.697175047994968</v>
      </c>
      <c r="AH687" s="880">
        <v>161.78240124023887</v>
      </c>
      <c r="AI687" s="881">
        <v>0.31336643948504739</v>
      </c>
    </row>
    <row r="688" spans="2:35" x14ac:dyDescent="0.2">
      <c r="B688" s="867">
        <v>140424000</v>
      </c>
      <c r="C688" s="876" t="s">
        <v>1447</v>
      </c>
      <c r="D688" s="877" t="s">
        <v>1447</v>
      </c>
      <c r="E688" s="877" t="s">
        <v>1447</v>
      </c>
      <c r="F688" s="877" t="s">
        <v>1447</v>
      </c>
      <c r="G688" s="877" t="s">
        <v>1447</v>
      </c>
      <c r="H688" s="877" t="s">
        <v>1447</v>
      </c>
      <c r="I688" s="877" t="s">
        <v>1447</v>
      </c>
      <c r="J688" s="878" t="s">
        <v>1447</v>
      </c>
      <c r="K688" s="877"/>
      <c r="L688" s="879">
        <v>120</v>
      </c>
      <c r="M688" s="880">
        <v>503</v>
      </c>
      <c r="N688" s="881">
        <v>0.23769999999999999</v>
      </c>
      <c r="O688" s="880">
        <v>153.33643074888897</v>
      </c>
      <c r="P688" s="880">
        <v>500.4761414621272</v>
      </c>
      <c r="Q688" s="881">
        <v>0.30638110000792612</v>
      </c>
      <c r="R688" s="880">
        <v>134.91753086419754</v>
      </c>
      <c r="S688" s="880">
        <v>522.34564184229521</v>
      </c>
      <c r="T688" s="881">
        <v>0.25829167519872098</v>
      </c>
      <c r="U688" s="880">
        <v>64.066327053916368</v>
      </c>
      <c r="V688" s="880">
        <v>352.29231340512439</v>
      </c>
      <c r="W688" s="881">
        <v>0.18185559155314932</v>
      </c>
      <c r="X688" s="880">
        <v>82.950780399088302</v>
      </c>
      <c r="Y688" s="880">
        <v>348.37388473295721</v>
      </c>
      <c r="Z688" s="881">
        <v>0.23810849215254312</v>
      </c>
      <c r="AA688" s="880">
        <v>94.252248275363428</v>
      </c>
      <c r="AB688" s="880">
        <v>342.81068702290077</v>
      </c>
      <c r="AC688" s="881">
        <v>0.27493964407552762</v>
      </c>
      <c r="AD688" s="880">
        <v>84.85217327082087</v>
      </c>
      <c r="AE688" s="880">
        <v>336.59319535609433</v>
      </c>
      <c r="AF688" s="881">
        <v>0.25209117249400315</v>
      </c>
      <c r="AG688" s="880">
        <v>97.707282819772118</v>
      </c>
      <c r="AH688" s="880">
        <v>328.21372205634668</v>
      </c>
      <c r="AI688" s="881">
        <v>0.29769408240341044</v>
      </c>
    </row>
    <row r="689" spans="2:35" x14ac:dyDescent="0.2">
      <c r="B689" s="867">
        <v>140432000</v>
      </c>
      <c r="C689" s="876" t="s">
        <v>1447</v>
      </c>
      <c r="D689" s="877" t="s">
        <v>1447</v>
      </c>
      <c r="E689" s="877" t="s">
        <v>1447</v>
      </c>
      <c r="F689" s="877" t="s">
        <v>1447</v>
      </c>
      <c r="G689" s="877" t="s">
        <v>1447</v>
      </c>
      <c r="H689" s="877" t="s">
        <v>1447</v>
      </c>
      <c r="I689" s="877" t="s">
        <v>1447</v>
      </c>
      <c r="J689" s="878" t="s">
        <v>1447</v>
      </c>
      <c r="K689" s="877"/>
      <c r="L689" s="879">
        <v>1271</v>
      </c>
      <c r="M689" s="880">
        <v>3496</v>
      </c>
      <c r="N689" s="881">
        <v>0.36359999999999998</v>
      </c>
      <c r="O689" s="880">
        <v>1632.4139273515261</v>
      </c>
      <c r="P689" s="880">
        <v>3477.6918975983108</v>
      </c>
      <c r="Q689" s="881">
        <v>0.46939578761386797</v>
      </c>
      <c r="R689" s="880">
        <v>1413.7837037037036</v>
      </c>
      <c r="S689" s="880">
        <v>3687.7033516633905</v>
      </c>
      <c r="T689" s="881">
        <v>0.38337782866021386</v>
      </c>
      <c r="U689" s="880">
        <v>1697.7576669287839</v>
      </c>
      <c r="V689" s="880">
        <v>4339.9414779056815</v>
      </c>
      <c r="W689" s="881">
        <v>0.39119367751199907</v>
      </c>
      <c r="X689" s="880">
        <v>1731.791281962797</v>
      </c>
      <c r="Y689" s="880">
        <v>4297.853219673435</v>
      </c>
      <c r="Z689" s="881">
        <v>0.40294332855191928</v>
      </c>
      <c r="AA689" s="880">
        <v>1686.6435728228862</v>
      </c>
      <c r="AB689" s="880">
        <v>4223.3152671755724</v>
      </c>
      <c r="AC689" s="881">
        <v>0.39936482742167229</v>
      </c>
      <c r="AD689" s="880">
        <v>1593.0356401643503</v>
      </c>
      <c r="AE689" s="880">
        <v>4147.8782625497524</v>
      </c>
      <c r="AF689" s="881">
        <v>0.38406036516247499</v>
      </c>
      <c r="AG689" s="880">
        <v>1635.2143370026013</v>
      </c>
      <c r="AH689" s="880">
        <v>4049.2089505818403</v>
      </c>
      <c r="AI689" s="881">
        <v>0.40383550391185258</v>
      </c>
    </row>
    <row r="690" spans="2:35" x14ac:dyDescent="0.2">
      <c r="B690" s="867">
        <v>140550000</v>
      </c>
      <c r="C690" s="876" t="s">
        <v>1447</v>
      </c>
      <c r="D690" s="877" t="s">
        <v>1447</v>
      </c>
      <c r="E690" s="877" t="s">
        <v>1447</v>
      </c>
      <c r="F690" s="877" t="s">
        <v>1447</v>
      </c>
      <c r="G690" s="877" t="s">
        <v>1447</v>
      </c>
      <c r="H690" s="877" t="s">
        <v>1447</v>
      </c>
      <c r="I690" s="877" t="s">
        <v>1447</v>
      </c>
      <c r="J690" s="878" t="s">
        <v>1447</v>
      </c>
      <c r="K690" s="877"/>
      <c r="L690" s="879">
        <v>93</v>
      </c>
      <c r="M690" s="880">
        <v>393</v>
      </c>
      <c r="N690" s="881">
        <v>0.2361</v>
      </c>
      <c r="O690" s="880">
        <v>119.050023873361</v>
      </c>
      <c r="P690" s="880">
        <v>391.26408023225127</v>
      </c>
      <c r="Q690" s="881">
        <v>0.30427026115633676</v>
      </c>
      <c r="R690" s="880">
        <v>104.51358024691358</v>
      </c>
      <c r="S690" s="880">
        <v>407.63815969543907</v>
      </c>
      <c r="T690" s="881">
        <v>0.25638811716007986</v>
      </c>
      <c r="U690" s="880">
        <v>68.777086396116104</v>
      </c>
      <c r="V690" s="880">
        <v>353.2292610471593</v>
      </c>
      <c r="W690" s="881">
        <v>0.19470948185952733</v>
      </c>
      <c r="X690" s="880">
        <v>68.981897376516429</v>
      </c>
      <c r="Y690" s="880">
        <v>349.30536570817901</v>
      </c>
      <c r="Z690" s="881">
        <v>0.19748307397644196</v>
      </c>
      <c r="AA690" s="880">
        <v>98.078073980677473</v>
      </c>
      <c r="AB690" s="880">
        <v>343.7473282442748</v>
      </c>
      <c r="AC690" s="881">
        <v>0.28532025101583025</v>
      </c>
      <c r="AD690" s="880">
        <v>69.013429430776924</v>
      </c>
      <c r="AE690" s="880">
        <v>337.53078085847898</v>
      </c>
      <c r="AF690" s="881">
        <v>0.20446558756877672</v>
      </c>
      <c r="AG690" s="880">
        <v>87.567847810173134</v>
      </c>
      <c r="AH690" s="880">
        <v>329.14350597152043</v>
      </c>
      <c r="AI690" s="881">
        <v>0.26604762427775214</v>
      </c>
    </row>
    <row r="691" spans="2:35" x14ac:dyDescent="0.2">
      <c r="B691" s="867">
        <v>140570000</v>
      </c>
      <c r="C691" s="876" t="s">
        <v>1447</v>
      </c>
      <c r="D691" s="877" t="s">
        <v>1447</v>
      </c>
      <c r="E691" s="877" t="s">
        <v>1447</v>
      </c>
      <c r="F691" s="877" t="s">
        <v>1447</v>
      </c>
      <c r="G691" s="877" t="s">
        <v>1447</v>
      </c>
      <c r="H691" s="877" t="s">
        <v>1447</v>
      </c>
      <c r="I691" s="877" t="s">
        <v>1447</v>
      </c>
      <c r="J691" s="878" t="s">
        <v>1447</v>
      </c>
      <c r="K691" s="877"/>
      <c r="L691" s="879">
        <v>1768</v>
      </c>
      <c r="M691" s="880">
        <v>8783</v>
      </c>
      <c r="N691" s="881">
        <v>0.20130000000000001</v>
      </c>
      <c r="O691" s="880">
        <v>2270.522055312741</v>
      </c>
      <c r="P691" s="880">
        <v>8735.065558194774</v>
      </c>
      <c r="Q691" s="881">
        <v>0.25993188490527791</v>
      </c>
      <c r="R691" s="880">
        <v>1938.2518518518518</v>
      </c>
      <c r="S691" s="880">
        <v>9255.2822165269099</v>
      </c>
      <c r="T691" s="881">
        <v>0.20942115070146292</v>
      </c>
      <c r="U691" s="880">
        <v>4012.6248076857328</v>
      </c>
      <c r="V691" s="880">
        <v>11988.245079836614</v>
      </c>
      <c r="W691" s="881">
        <v>0.33471327796215028</v>
      </c>
      <c r="X691" s="880">
        <v>3828.8422636442911</v>
      </c>
      <c r="Y691" s="880">
        <v>11872.656510177199</v>
      </c>
      <c r="Z691" s="881">
        <v>0.32249246496453604</v>
      </c>
      <c r="AA691" s="880">
        <v>3796.683524326937</v>
      </c>
      <c r="AB691" s="880">
        <v>11646.196946564885</v>
      </c>
      <c r="AC691" s="881">
        <v>0.32600200234865434</v>
      </c>
      <c r="AD691" s="880">
        <v>3284.8988158113252</v>
      </c>
      <c r="AE691" s="880">
        <v>11437.605543590515</v>
      </c>
      <c r="AF691" s="881">
        <v>0.28720161779421916</v>
      </c>
      <c r="AG691" s="880">
        <v>3556.1763879120836</v>
      </c>
      <c r="AH691" s="880">
        <v>11133.232600290919</v>
      </c>
      <c r="AI691" s="881">
        <v>0.3194199309030118</v>
      </c>
    </row>
    <row r="692" spans="2:35" x14ac:dyDescent="0.2">
      <c r="B692" s="867">
        <v>148757000</v>
      </c>
      <c r="C692" s="876" t="s">
        <v>1447</v>
      </c>
      <c r="D692" s="877" t="s">
        <v>1447</v>
      </c>
      <c r="E692" s="877" t="s">
        <v>1447</v>
      </c>
      <c r="F692" s="877" t="s">
        <v>1447</v>
      </c>
      <c r="G692" s="877" t="s">
        <v>1447</v>
      </c>
      <c r="H692" s="877" t="s">
        <v>1448</v>
      </c>
      <c r="I692" s="877" t="s">
        <v>1448</v>
      </c>
      <c r="J692" s="878" t="s">
        <v>1447</v>
      </c>
      <c r="K692" s="877"/>
      <c r="L692" s="879">
        <v>24</v>
      </c>
      <c r="M692" s="880">
        <v>94</v>
      </c>
      <c r="N692" s="881">
        <v>0.2505</v>
      </c>
      <c r="O692" s="880">
        <v>19.013369082161091</v>
      </c>
      <c r="P692" s="880">
        <v>58</v>
      </c>
      <c r="Q692" s="881">
        <v>0.32781670831312226</v>
      </c>
      <c r="R692" s="880">
        <v>23.221234567901234</v>
      </c>
      <c r="S692" s="880">
        <v>79</v>
      </c>
      <c r="T692" s="881">
        <v>0.29393967807469917</v>
      </c>
      <c r="U692" s="880">
        <v>20.761325173510205</v>
      </c>
      <c r="V692" s="880">
        <v>86</v>
      </c>
      <c r="W692" s="881">
        <v>0.241410757831514</v>
      </c>
      <c r="X692" s="880">
        <v>33.325219084712757</v>
      </c>
      <c r="Y692" s="880">
        <v>90</v>
      </c>
      <c r="Z692" s="881">
        <v>0.37028021205236394</v>
      </c>
      <c r="AA692" s="880" t="s">
        <v>1450</v>
      </c>
      <c r="AB692" s="880" t="s">
        <v>1450</v>
      </c>
      <c r="AC692" s="881" t="s">
        <v>1450</v>
      </c>
      <c r="AD692" s="880" t="s">
        <v>1450</v>
      </c>
      <c r="AE692" s="880" t="s">
        <v>1450</v>
      </c>
      <c r="AF692" s="881" t="s">
        <v>1450</v>
      </c>
      <c r="AG692" s="880">
        <v>28.47413515417643</v>
      </c>
      <c r="AH692" s="880">
        <v>73</v>
      </c>
      <c r="AI692" s="881">
        <v>0.39005664594762235</v>
      </c>
    </row>
    <row r="693" spans="2:35" x14ac:dyDescent="0.2">
      <c r="B693" s="867">
        <v>148758000</v>
      </c>
      <c r="C693" s="876" t="s">
        <v>1447</v>
      </c>
      <c r="D693" s="877" t="s">
        <v>1447</v>
      </c>
      <c r="E693" s="877" t="s">
        <v>1448</v>
      </c>
      <c r="F693" s="877" t="s">
        <v>1447</v>
      </c>
      <c r="G693" s="877" t="s">
        <v>1448</v>
      </c>
      <c r="H693" s="877" t="s">
        <v>1447</v>
      </c>
      <c r="I693" s="877" t="s">
        <v>1448</v>
      </c>
      <c r="J693" s="878" t="s">
        <v>1448</v>
      </c>
      <c r="K693" s="877"/>
      <c r="L693" s="879">
        <v>27</v>
      </c>
      <c r="M693" s="880">
        <v>109</v>
      </c>
      <c r="N693" s="881">
        <v>0.24399999999999999</v>
      </c>
      <c r="O693" s="880">
        <v>11.054284350093656</v>
      </c>
      <c r="P693" s="880">
        <v>33</v>
      </c>
      <c r="Q693" s="881">
        <v>0.33497831363920172</v>
      </c>
      <c r="R693" s="880">
        <v>9.4459259259259252</v>
      </c>
      <c r="S693" s="880">
        <v>30</v>
      </c>
      <c r="T693" s="881">
        <v>0.3148641975308642</v>
      </c>
      <c r="U693" s="880">
        <v>15.570993880132654</v>
      </c>
      <c r="V693" s="880">
        <v>36</v>
      </c>
      <c r="W693" s="881">
        <v>0.4325276077814626</v>
      </c>
      <c r="X693" s="880">
        <v>0</v>
      </c>
      <c r="Y693" s="880">
        <v>35</v>
      </c>
      <c r="Z693" s="881">
        <v>0</v>
      </c>
      <c r="AA693" s="880">
        <v>14.747920889615251</v>
      </c>
      <c r="AB693" s="880">
        <v>36</v>
      </c>
      <c r="AC693" s="881">
        <v>0.40966446915597921</v>
      </c>
      <c r="AD693" s="880">
        <v>8.4971139284135493</v>
      </c>
      <c r="AE693" s="880">
        <v>30</v>
      </c>
      <c r="AF693" s="881">
        <v>0.28323713094711833</v>
      </c>
      <c r="AG693" s="880" t="s">
        <v>1450</v>
      </c>
      <c r="AH693" s="880" t="s">
        <v>1450</v>
      </c>
      <c r="AI693" s="881" t="s">
        <v>1450</v>
      </c>
    </row>
    <row r="694" spans="2:35" x14ac:dyDescent="0.2">
      <c r="B694" s="867">
        <v>148759000</v>
      </c>
      <c r="C694" s="876" t="s">
        <v>1447</v>
      </c>
      <c r="D694" s="877" t="s">
        <v>1447</v>
      </c>
      <c r="E694" s="877" t="s">
        <v>1447</v>
      </c>
      <c r="F694" s="877" t="s">
        <v>1447</v>
      </c>
      <c r="G694" s="877" t="s">
        <v>1447</v>
      </c>
      <c r="H694" s="877" t="s">
        <v>1447</v>
      </c>
      <c r="I694" s="877" t="s">
        <v>1447</v>
      </c>
      <c r="J694" s="878" t="s">
        <v>1447</v>
      </c>
      <c r="K694" s="877"/>
      <c r="L694" s="879">
        <v>77</v>
      </c>
      <c r="M694" s="880">
        <v>443</v>
      </c>
      <c r="N694" s="881">
        <v>0.17469999999999999</v>
      </c>
      <c r="O694" s="880">
        <v>110.98501487494032</v>
      </c>
      <c r="P694" s="880">
        <v>482</v>
      </c>
      <c r="Q694" s="881">
        <v>0.2302593669604571</v>
      </c>
      <c r="R694" s="880">
        <v>92.097777777777779</v>
      </c>
      <c r="S694" s="880">
        <v>504</v>
      </c>
      <c r="T694" s="881">
        <v>0.1827336860670194</v>
      </c>
      <c r="U694" s="880">
        <v>104.23915347533249</v>
      </c>
      <c r="V694" s="880">
        <v>501</v>
      </c>
      <c r="W694" s="881">
        <v>0.20806218258549397</v>
      </c>
      <c r="X694" s="880">
        <v>113.30574488802337</v>
      </c>
      <c r="Y694" s="880">
        <v>514</v>
      </c>
      <c r="Z694" s="881">
        <v>0.22043919238915052</v>
      </c>
      <c r="AA694" s="880">
        <v>110.1997422029584</v>
      </c>
      <c r="AB694" s="880">
        <v>520</v>
      </c>
      <c r="AC694" s="881">
        <v>0.21192258115953538</v>
      </c>
      <c r="AD694" s="880">
        <v>106.21392410516935</v>
      </c>
      <c r="AE694" s="880">
        <v>520</v>
      </c>
      <c r="AF694" s="881">
        <v>0.20425754635609492</v>
      </c>
      <c r="AG694" s="880">
        <v>166.90223836524953</v>
      </c>
      <c r="AH694" s="880">
        <v>713</v>
      </c>
      <c r="AI694" s="881">
        <v>0.23408448578576371</v>
      </c>
    </row>
    <row r="695" spans="2:35" x14ac:dyDescent="0.2">
      <c r="B695" s="867">
        <v>148760000</v>
      </c>
      <c r="C695" s="876" t="s">
        <v>1447</v>
      </c>
      <c r="D695" s="877" t="s">
        <v>1447</v>
      </c>
      <c r="E695" s="877" t="s">
        <v>1447</v>
      </c>
      <c r="F695" s="877" t="s">
        <v>1447</v>
      </c>
      <c r="G695" s="877" t="s">
        <v>1447</v>
      </c>
      <c r="H695" s="877" t="s">
        <v>1447</v>
      </c>
      <c r="I695" s="877" t="s">
        <v>1447</v>
      </c>
      <c r="J695" s="878" t="s">
        <v>1447</v>
      </c>
      <c r="K695" s="877"/>
      <c r="L695" s="879">
        <v>236</v>
      </c>
      <c r="M695" s="880">
        <v>785</v>
      </c>
      <c r="N695" s="881">
        <v>0.3</v>
      </c>
      <c r="O695" s="880">
        <v>351.08407095897456</v>
      </c>
      <c r="P695" s="880">
        <v>998</v>
      </c>
      <c r="Q695" s="881">
        <v>0.35178764625147751</v>
      </c>
      <c r="R695" s="880">
        <v>324.7037037037037</v>
      </c>
      <c r="S695" s="880">
        <v>1138</v>
      </c>
      <c r="T695" s="881">
        <v>0.28532838638286795</v>
      </c>
      <c r="U695" s="880">
        <v>429.49991452699237</v>
      </c>
      <c r="V695" s="880">
        <v>1184</v>
      </c>
      <c r="W695" s="881">
        <v>0.36275330618833818</v>
      </c>
      <c r="X695" s="880">
        <v>516.31872768581627</v>
      </c>
      <c r="Y695" s="880">
        <v>1305</v>
      </c>
      <c r="Z695" s="881">
        <v>0.39564653462514654</v>
      </c>
      <c r="AA695" s="880">
        <v>512.08058644497396</v>
      </c>
      <c r="AB695" s="880">
        <v>1613</v>
      </c>
      <c r="AC695" s="881">
        <v>0.31747091534096339</v>
      </c>
      <c r="AD695" s="880">
        <v>594.79797498894845</v>
      </c>
      <c r="AE695" s="880">
        <v>1627</v>
      </c>
      <c r="AF695" s="881">
        <v>0.3655795789729247</v>
      </c>
      <c r="AG695" s="880">
        <v>662.790253665676</v>
      </c>
      <c r="AH695" s="880">
        <v>1678</v>
      </c>
      <c r="AI695" s="881">
        <v>0.39498823222030749</v>
      </c>
    </row>
    <row r="696" spans="2:35" x14ac:dyDescent="0.2">
      <c r="B696" s="867">
        <v>148761000</v>
      </c>
      <c r="C696" s="876" t="s">
        <v>1447</v>
      </c>
      <c r="D696" s="877" t="s">
        <v>1447</v>
      </c>
      <c r="E696" s="877" t="s">
        <v>1447</v>
      </c>
      <c r="F696" s="877" t="s">
        <v>1447</v>
      </c>
      <c r="G696" s="877" t="s">
        <v>1447</v>
      </c>
      <c r="H696" s="877" t="s">
        <v>1447</v>
      </c>
      <c r="I696" s="877" t="s">
        <v>1447</v>
      </c>
      <c r="J696" s="878" t="s">
        <v>1447</v>
      </c>
      <c r="K696" s="877"/>
      <c r="L696" s="879">
        <v>34</v>
      </c>
      <c r="M696" s="880">
        <v>190</v>
      </c>
      <c r="N696" s="881">
        <v>0.1789</v>
      </c>
      <c r="O696" s="880">
        <v>54.829250376464543</v>
      </c>
      <c r="P696" s="880">
        <v>222</v>
      </c>
      <c r="Q696" s="881">
        <v>0.24697860529938984</v>
      </c>
      <c r="R696" s="880">
        <v>42.113086419753088</v>
      </c>
      <c r="S696" s="880">
        <v>224</v>
      </c>
      <c r="T696" s="881">
        <v>0.18800485008818343</v>
      </c>
      <c r="U696" s="880">
        <v>49.308147287086733</v>
      </c>
      <c r="V696" s="880">
        <v>258</v>
      </c>
      <c r="W696" s="881">
        <v>0.19111684994994857</v>
      </c>
      <c r="X696" s="880">
        <v>60.429730606945796</v>
      </c>
      <c r="Y696" s="880">
        <v>279</v>
      </c>
      <c r="Z696" s="881">
        <v>0.21659401651235052</v>
      </c>
      <c r="AA696" s="880">
        <v>49.569400767873482</v>
      </c>
      <c r="AB696" s="880">
        <v>226</v>
      </c>
      <c r="AC696" s="881">
        <v>0.21933363171625433</v>
      </c>
      <c r="AD696" s="880">
        <v>24.641630392399293</v>
      </c>
      <c r="AE696" s="880">
        <v>143</v>
      </c>
      <c r="AF696" s="881">
        <v>0.17231909365314191</v>
      </c>
      <c r="AG696" s="880">
        <v>23.217371741097704</v>
      </c>
      <c r="AH696" s="880">
        <v>129</v>
      </c>
      <c r="AI696" s="881">
        <v>0.1799796258999822</v>
      </c>
    </row>
    <row r="697" spans="2:35" x14ac:dyDescent="0.2">
      <c r="B697" s="867">
        <v>150227000</v>
      </c>
      <c r="C697" s="876" t="s">
        <v>1447</v>
      </c>
      <c r="D697" s="877" t="s">
        <v>1447</v>
      </c>
      <c r="E697" s="877" t="s">
        <v>1447</v>
      </c>
      <c r="F697" s="877" t="s">
        <v>1447</v>
      </c>
      <c r="G697" s="877" t="s">
        <v>1447</v>
      </c>
      <c r="H697" s="877" t="s">
        <v>1447</v>
      </c>
      <c r="I697" s="877" t="s">
        <v>1447</v>
      </c>
      <c r="J697" s="878" t="s">
        <v>1447</v>
      </c>
      <c r="K697" s="877"/>
      <c r="L697" s="879">
        <v>586</v>
      </c>
      <c r="M697" s="880">
        <v>1692</v>
      </c>
      <c r="N697" s="881">
        <v>0.34620000000000001</v>
      </c>
      <c r="O697" s="880">
        <v>581.26304801670142</v>
      </c>
      <c r="P697" s="880">
        <v>1628.7377312952535</v>
      </c>
      <c r="Q697" s="881">
        <v>0.35687946367795631</v>
      </c>
      <c r="R697" s="880">
        <v>630.06458557588803</v>
      </c>
      <c r="S697" s="880">
        <v>1711.3798775822495</v>
      </c>
      <c r="T697" s="881">
        <v>0.36816173535124841</v>
      </c>
      <c r="U697" s="880">
        <v>629.28025820333517</v>
      </c>
      <c r="V697" s="880">
        <v>1725.8684210526317</v>
      </c>
      <c r="W697" s="881">
        <v>0.36461658984381218</v>
      </c>
      <c r="X697" s="880">
        <v>593.992200540196</v>
      </c>
      <c r="Y697" s="880">
        <v>1731.5688622754492</v>
      </c>
      <c r="Z697" s="881">
        <v>0.34303700735276144</v>
      </c>
      <c r="AA697" s="880">
        <v>599.25150936135344</v>
      </c>
      <c r="AB697" s="880">
        <v>1735.9141470698021</v>
      </c>
      <c r="AC697" s="881">
        <v>0.34520803368811831</v>
      </c>
      <c r="AD697" s="880">
        <v>585.01961266573937</v>
      </c>
      <c r="AE697" s="880">
        <v>1705.7369308114494</v>
      </c>
      <c r="AF697" s="881">
        <v>0.34297176903324428</v>
      </c>
      <c r="AG697" s="880">
        <v>584.907697190264</v>
      </c>
      <c r="AH697" s="880">
        <v>1690.041511897635</v>
      </c>
      <c r="AI697" s="881">
        <v>0.34609072799253915</v>
      </c>
    </row>
    <row r="698" spans="2:35" x14ac:dyDescent="0.2">
      <c r="B698" s="867">
        <v>150404000</v>
      </c>
      <c r="C698" s="876" t="s">
        <v>1447</v>
      </c>
      <c r="D698" s="877" t="s">
        <v>1447</v>
      </c>
      <c r="E698" s="877" t="s">
        <v>1447</v>
      </c>
      <c r="F698" s="877" t="s">
        <v>1447</v>
      </c>
      <c r="G698" s="877" t="s">
        <v>1447</v>
      </c>
      <c r="H698" s="877" t="s">
        <v>1447</v>
      </c>
      <c r="I698" s="877" t="s">
        <v>1447</v>
      </c>
      <c r="J698" s="878" t="s">
        <v>1447</v>
      </c>
      <c r="K698" s="877"/>
      <c r="L698" s="879">
        <v>73</v>
      </c>
      <c r="M698" s="880">
        <v>287</v>
      </c>
      <c r="N698" s="881">
        <v>0.25269999999999998</v>
      </c>
      <c r="O698" s="880">
        <v>72.416492693110641</v>
      </c>
      <c r="P698" s="880">
        <v>276.41512469831054</v>
      </c>
      <c r="Q698" s="881">
        <v>0.26198455230027162</v>
      </c>
      <c r="R698" s="880">
        <v>76.108719052744888</v>
      </c>
      <c r="S698" s="880">
        <v>290.82899770466719</v>
      </c>
      <c r="T698" s="881">
        <v>0.26169577192585258</v>
      </c>
      <c r="U698" s="880">
        <v>68.703066164604621</v>
      </c>
      <c r="V698" s="880">
        <v>307.37368421052633</v>
      </c>
      <c r="W698" s="881">
        <v>0.22351642217213535</v>
      </c>
      <c r="X698" s="880">
        <v>70.644016873539499</v>
      </c>
      <c r="Y698" s="880">
        <v>309.13772455089821</v>
      </c>
      <c r="Z698" s="881">
        <v>0.22851956025803075</v>
      </c>
      <c r="AA698" s="880">
        <v>65.807695615038881</v>
      </c>
      <c r="AB698" s="880">
        <v>309.02650242627846</v>
      </c>
      <c r="AC698" s="881">
        <v>0.21295162420814701</v>
      </c>
      <c r="AD698" s="880">
        <v>61.791903257345638</v>
      </c>
      <c r="AE698" s="880">
        <v>304.16987227756613</v>
      </c>
      <c r="AF698" s="881">
        <v>0.20314932177424286</v>
      </c>
      <c r="AG698" s="880">
        <v>54.803957999087771</v>
      </c>
      <c r="AH698" s="880">
        <v>301.40234143907207</v>
      </c>
      <c r="AI698" s="881">
        <v>0.18182990131205165</v>
      </c>
    </row>
    <row r="699" spans="2:35" x14ac:dyDescent="0.2">
      <c r="B699" s="867">
        <v>150419000</v>
      </c>
      <c r="C699" s="876" t="s">
        <v>1447</v>
      </c>
      <c r="D699" s="877" t="s">
        <v>1447</v>
      </c>
      <c r="E699" s="877" t="s">
        <v>1447</v>
      </c>
      <c r="F699" s="877" t="s">
        <v>1447</v>
      </c>
      <c r="G699" s="877" t="s">
        <v>1447</v>
      </c>
      <c r="H699" s="877" t="s">
        <v>1447</v>
      </c>
      <c r="I699" s="877" t="s">
        <v>1447</v>
      </c>
      <c r="J699" s="878" t="s">
        <v>1447</v>
      </c>
      <c r="K699" s="877"/>
      <c r="L699" s="879">
        <v>51</v>
      </c>
      <c r="M699" s="880">
        <v>82</v>
      </c>
      <c r="N699" s="881">
        <v>0.61670000000000003</v>
      </c>
      <c r="O699" s="880">
        <v>49.243215031315238</v>
      </c>
      <c r="P699" s="880">
        <v>78.701528559935639</v>
      </c>
      <c r="Q699" s="881">
        <v>0.62569578929859992</v>
      </c>
      <c r="R699" s="880">
        <v>56.840688912809469</v>
      </c>
      <c r="S699" s="880">
        <v>84.465187452180572</v>
      </c>
      <c r="T699" s="881">
        <v>0.67294811776732821</v>
      </c>
      <c r="U699" s="880">
        <v>41.819257665411513</v>
      </c>
      <c r="V699" s="880">
        <v>105.4421052631579</v>
      </c>
      <c r="W699" s="881">
        <v>0.39660871300929357</v>
      </c>
      <c r="X699" s="880">
        <v>37.809110497405236</v>
      </c>
      <c r="Y699" s="880">
        <v>106.35928143712574</v>
      </c>
      <c r="Z699" s="881">
        <v>0.35548482451675906</v>
      </c>
      <c r="AA699" s="880">
        <v>29.911244130017941</v>
      </c>
      <c r="AB699" s="880">
        <v>106.32101530421799</v>
      </c>
      <c r="AC699" s="881">
        <v>0.28132955695007639</v>
      </c>
      <c r="AD699" s="880">
        <v>41.857800559186188</v>
      </c>
      <c r="AE699" s="880">
        <v>104.37201499720406</v>
      </c>
      <c r="AF699" s="881">
        <v>0.40104428912584933</v>
      </c>
      <c r="AG699" s="880">
        <v>43.843166399270217</v>
      </c>
      <c r="AH699" s="880">
        <v>103.45162874476401</v>
      </c>
      <c r="AI699" s="881">
        <v>0.42380353921193581</v>
      </c>
    </row>
    <row r="700" spans="2:35" x14ac:dyDescent="0.2">
      <c r="B700" s="867">
        <v>150426000</v>
      </c>
      <c r="C700" s="876" t="s">
        <v>1447</v>
      </c>
      <c r="D700" s="877" t="s">
        <v>1447</v>
      </c>
      <c r="E700" s="877" t="s">
        <v>1447</v>
      </c>
      <c r="F700" s="877" t="s">
        <v>1447</v>
      </c>
      <c r="G700" s="877" t="s">
        <v>1447</v>
      </c>
      <c r="H700" s="877" t="s">
        <v>1447</v>
      </c>
      <c r="I700" s="877" t="s">
        <v>1447</v>
      </c>
      <c r="J700" s="878" t="s">
        <v>1448</v>
      </c>
      <c r="K700" s="877"/>
      <c r="L700" s="879">
        <v>14</v>
      </c>
      <c r="M700" s="880">
        <v>31</v>
      </c>
      <c r="N700" s="881">
        <v>0.45490000000000003</v>
      </c>
      <c r="O700" s="880">
        <v>14.48329853862213</v>
      </c>
      <c r="P700" s="880">
        <v>30.712791633145617</v>
      </c>
      <c r="Q700" s="881">
        <v>0.47157219414048895</v>
      </c>
      <c r="R700" s="880">
        <v>17.341227125941874</v>
      </c>
      <c r="S700" s="880">
        <v>32.63427697016067</v>
      </c>
      <c r="T700" s="881">
        <v>0.53138076697081171</v>
      </c>
      <c r="U700" s="880">
        <v>17.922538999462077</v>
      </c>
      <c r="V700" s="880">
        <v>47.747368421052634</v>
      </c>
      <c r="W700" s="881">
        <v>0.37536181766950999</v>
      </c>
      <c r="X700" s="880">
        <v>12.932930715304543</v>
      </c>
      <c r="Y700" s="880">
        <v>47.712574850299404</v>
      </c>
      <c r="Z700" s="881">
        <v>0.27105916534335572</v>
      </c>
      <c r="AA700" s="880">
        <v>13.958580594008373</v>
      </c>
      <c r="AB700" s="880">
        <v>48.689063083240015</v>
      </c>
      <c r="AC700" s="881">
        <v>0.28668821517769694</v>
      </c>
      <c r="AD700" s="880">
        <v>13.951444093380649</v>
      </c>
      <c r="AE700" s="880">
        <v>47.712921141579002</v>
      </c>
      <c r="AF700" s="881">
        <v>0.2924038973003224</v>
      </c>
      <c r="AG700" s="880">
        <v>8.9679203998507262</v>
      </c>
      <c r="AH700" s="880">
        <v>46.75217837503758</v>
      </c>
      <c r="AI700" s="881">
        <v>0.19181823631642742</v>
      </c>
    </row>
    <row r="701" spans="2:35" x14ac:dyDescent="0.2">
      <c r="B701" s="867">
        <v>150430000</v>
      </c>
      <c r="C701" s="876" t="s">
        <v>1447</v>
      </c>
      <c r="D701" s="877" t="s">
        <v>1447</v>
      </c>
      <c r="E701" s="877" t="s">
        <v>1447</v>
      </c>
      <c r="F701" s="877" t="s">
        <v>1447</v>
      </c>
      <c r="G701" s="877" t="s">
        <v>1447</v>
      </c>
      <c r="H701" s="877" t="s">
        <v>1447</v>
      </c>
      <c r="I701" s="877" t="s">
        <v>1447</v>
      </c>
      <c r="J701" s="878" t="s">
        <v>1447</v>
      </c>
      <c r="K701" s="877"/>
      <c r="L701" s="879">
        <v>61</v>
      </c>
      <c r="M701" s="880">
        <v>161</v>
      </c>
      <c r="N701" s="881">
        <v>0.379</v>
      </c>
      <c r="O701" s="880">
        <v>60.829853862212943</v>
      </c>
      <c r="P701" s="880">
        <v>155.48350764279968</v>
      </c>
      <c r="Q701" s="881">
        <v>0.39123026476840567</v>
      </c>
      <c r="R701" s="880">
        <v>65.511302475780411</v>
      </c>
      <c r="S701" s="880">
        <v>162.21155317521041</v>
      </c>
      <c r="T701" s="881">
        <v>0.4038633574084538</v>
      </c>
      <c r="U701" s="880">
        <v>52.771920387305002</v>
      </c>
      <c r="V701" s="880">
        <v>135.2842105263158</v>
      </c>
      <c r="W701" s="881">
        <v>0.3900818889506672</v>
      </c>
      <c r="X701" s="880">
        <v>58.700767806743343</v>
      </c>
      <c r="Y701" s="880">
        <v>135.18562874251498</v>
      </c>
      <c r="Z701" s="881">
        <v>0.43422343301409183</v>
      </c>
      <c r="AA701" s="880">
        <v>71.789944441042465</v>
      </c>
      <c r="AB701" s="880">
        <v>135.13699141470698</v>
      </c>
      <c r="AC701" s="881">
        <v>0.53123829152548052</v>
      </c>
      <c r="AD701" s="880">
        <v>54.816181210655316</v>
      </c>
      <c r="AE701" s="880">
        <v>133.19857152024139</v>
      </c>
      <c r="AF701" s="881">
        <v>0.41153730543067596</v>
      </c>
      <c r="AG701" s="880">
        <v>61.779007198971669</v>
      </c>
      <c r="AH701" s="880">
        <v>132.29871752936165</v>
      </c>
      <c r="AI701" s="881">
        <v>0.46696603226906397</v>
      </c>
    </row>
    <row r="702" spans="2:35" x14ac:dyDescent="0.2">
      <c r="B702" s="867">
        <v>150576000</v>
      </c>
      <c r="C702" s="876" t="s">
        <v>1447</v>
      </c>
      <c r="D702" s="877" t="s">
        <v>1447</v>
      </c>
      <c r="E702" s="877" t="s">
        <v>1447</v>
      </c>
      <c r="F702" s="877" t="s">
        <v>1447</v>
      </c>
      <c r="G702" s="877" t="s">
        <v>1447</v>
      </c>
      <c r="H702" s="877" t="s">
        <v>1447</v>
      </c>
      <c r="I702" s="877" t="s">
        <v>1447</v>
      </c>
      <c r="J702" s="878" t="s">
        <v>1447</v>
      </c>
      <c r="K702" s="877"/>
      <c r="L702" s="879">
        <v>78</v>
      </c>
      <c r="M702" s="880">
        <v>224</v>
      </c>
      <c r="N702" s="881">
        <v>0.34920000000000001</v>
      </c>
      <c r="O702" s="880">
        <v>78.209812108559504</v>
      </c>
      <c r="P702" s="880">
        <v>215.94931617055511</v>
      </c>
      <c r="Q702" s="881">
        <v>0.36216744509989557</v>
      </c>
      <c r="R702" s="880">
        <v>85.742734122712591</v>
      </c>
      <c r="S702" s="880">
        <v>227.48010711553175</v>
      </c>
      <c r="T702" s="881">
        <v>0.37692409771534829</v>
      </c>
      <c r="U702" s="880">
        <v>111.51802044109736</v>
      </c>
      <c r="V702" s="880">
        <v>324.2842105263158</v>
      </c>
      <c r="W702" s="881">
        <v>0.34388976342728111</v>
      </c>
      <c r="X702" s="880">
        <v>156.21064611089193</v>
      </c>
      <c r="Y702" s="880">
        <v>326.03592814371257</v>
      </c>
      <c r="Z702" s="881">
        <v>0.4791209576204627</v>
      </c>
      <c r="AA702" s="880">
        <v>139.59172299808253</v>
      </c>
      <c r="AB702" s="880">
        <v>326.91228070175441</v>
      </c>
      <c r="AC702" s="881">
        <v>0.42700054797095116</v>
      </c>
      <c r="AD702" s="880">
        <v>127.56993339851432</v>
      </c>
      <c r="AE702" s="880">
        <v>321.06819851520868</v>
      </c>
      <c r="AF702" s="881">
        <v>0.39732970748416074</v>
      </c>
      <c r="AG702" s="880">
        <v>119.57227199800968</v>
      </c>
      <c r="AH702" s="880">
        <v>317.31797663057421</v>
      </c>
      <c r="AI702" s="881">
        <v>0.37682161366236527</v>
      </c>
    </row>
    <row r="703" spans="2:35" x14ac:dyDescent="0.2">
      <c r="B703" s="867">
        <v>158701000</v>
      </c>
      <c r="C703" s="876" t="s">
        <v>1447</v>
      </c>
      <c r="D703" s="877" t="s">
        <v>1447</v>
      </c>
      <c r="E703" s="877" t="s">
        <v>1447</v>
      </c>
      <c r="F703" s="877" t="s">
        <v>1448</v>
      </c>
      <c r="G703" s="877" t="s">
        <v>1448</v>
      </c>
      <c r="H703" s="877" t="s">
        <v>1448</v>
      </c>
      <c r="I703" s="877" t="s">
        <v>1448</v>
      </c>
      <c r="J703" s="878" t="s">
        <v>1448</v>
      </c>
      <c r="K703" s="877"/>
      <c r="L703" s="879">
        <v>41</v>
      </c>
      <c r="M703" s="880">
        <v>121</v>
      </c>
      <c r="N703" s="881">
        <v>0.3427</v>
      </c>
      <c r="O703" s="880">
        <v>30.554279749478081</v>
      </c>
      <c r="P703" s="880">
        <v>95</v>
      </c>
      <c r="Q703" s="881">
        <v>0.32162399736292718</v>
      </c>
      <c r="R703" s="880">
        <v>33.829386437029065</v>
      </c>
      <c r="S703" s="880">
        <v>100</v>
      </c>
      <c r="T703" s="881">
        <v>0.33829386437029063</v>
      </c>
      <c r="U703" s="880">
        <v>0</v>
      </c>
      <c r="V703" s="880">
        <v>0</v>
      </c>
      <c r="W703" s="881" t="s">
        <v>1450</v>
      </c>
      <c r="X703" s="880" t="s">
        <v>1450</v>
      </c>
      <c r="Y703" s="880" t="s">
        <v>1450</v>
      </c>
      <c r="Z703" s="881" t="s">
        <v>1450</v>
      </c>
      <c r="AA703" s="880" t="s">
        <v>1450</v>
      </c>
      <c r="AB703" s="880" t="s">
        <v>1450</v>
      </c>
      <c r="AC703" s="881" t="s">
        <v>1450</v>
      </c>
      <c r="AD703" s="880" t="s">
        <v>1450</v>
      </c>
      <c r="AE703" s="880" t="s">
        <v>1450</v>
      </c>
      <c r="AF703" s="881" t="s">
        <v>1450</v>
      </c>
      <c r="AG703" s="880" t="s">
        <v>1450</v>
      </c>
      <c r="AH703" s="880" t="s">
        <v>1450</v>
      </c>
      <c r="AI703" s="881" t="s">
        <v>1450</v>
      </c>
    </row>
    <row r="704" spans="2:35" x14ac:dyDescent="0.2">
      <c r="B704" s="867">
        <v>200900000</v>
      </c>
      <c r="C704" s="876" t="s">
        <v>1448</v>
      </c>
      <c r="D704" s="877" t="s">
        <v>1448</v>
      </c>
      <c r="E704" s="877" t="s">
        <v>1448</v>
      </c>
      <c r="F704" s="877" t="s">
        <v>1447</v>
      </c>
      <c r="G704" s="877" t="s">
        <v>1448</v>
      </c>
      <c r="H704" s="877" t="s">
        <v>1448</v>
      </c>
      <c r="I704" s="877" t="s">
        <v>1448</v>
      </c>
      <c r="J704" s="878" t="s">
        <v>1448</v>
      </c>
      <c r="K704" s="877"/>
      <c r="L704" s="879" t="s">
        <v>1450</v>
      </c>
      <c r="M704" s="880" t="s">
        <v>1450</v>
      </c>
      <c r="N704" s="881" t="s">
        <v>1450</v>
      </c>
      <c r="O704" s="880" t="s">
        <v>1450</v>
      </c>
      <c r="P704" s="880" t="s">
        <v>1450</v>
      </c>
      <c r="Q704" s="881" t="s">
        <v>1450</v>
      </c>
      <c r="R704" s="880" t="s">
        <v>1450</v>
      </c>
      <c r="S704" s="880" t="s">
        <v>1450</v>
      </c>
      <c r="T704" s="881" t="s">
        <v>1450</v>
      </c>
      <c r="U704" s="880">
        <v>3047</v>
      </c>
      <c r="V704" s="880">
        <v>3047</v>
      </c>
      <c r="W704" s="881">
        <v>1</v>
      </c>
      <c r="X704" s="880" t="s">
        <v>1450</v>
      </c>
      <c r="Y704" s="880" t="s">
        <v>1450</v>
      </c>
      <c r="Z704" s="881" t="s">
        <v>1450</v>
      </c>
      <c r="AA704" s="880">
        <v>0</v>
      </c>
      <c r="AB704" s="880">
        <v>0</v>
      </c>
      <c r="AC704" s="881">
        <v>0</v>
      </c>
      <c r="AD704" s="880" t="s">
        <v>1450</v>
      </c>
      <c r="AE704" s="880" t="s">
        <v>1450</v>
      </c>
      <c r="AF704" s="881" t="s">
        <v>1450</v>
      </c>
      <c r="AG704" s="880" t="s">
        <v>1450</v>
      </c>
      <c r="AH704" s="880" t="s">
        <v>1450</v>
      </c>
      <c r="AI704" s="881" t="s">
        <v>1450</v>
      </c>
    </row>
    <row r="705" spans="2:35" x14ac:dyDescent="0.2">
      <c r="B705" s="867">
        <v>211001000</v>
      </c>
      <c r="C705" s="876" t="s">
        <v>1448</v>
      </c>
      <c r="D705" s="877" t="s">
        <v>1448</v>
      </c>
      <c r="E705" s="877" t="s">
        <v>1448</v>
      </c>
      <c r="F705" s="877" t="s">
        <v>1448</v>
      </c>
      <c r="G705" s="877" t="s">
        <v>1448</v>
      </c>
      <c r="H705" s="877" t="s">
        <v>1448</v>
      </c>
      <c r="I705" s="877" t="s">
        <v>1448</v>
      </c>
      <c r="J705" s="878" t="s">
        <v>1448</v>
      </c>
      <c r="K705" s="877"/>
      <c r="L705" s="879" t="s">
        <v>1450</v>
      </c>
      <c r="M705" s="880" t="s">
        <v>1450</v>
      </c>
      <c r="N705" s="881" t="s">
        <v>1450</v>
      </c>
      <c r="O705" s="880" t="s">
        <v>1450</v>
      </c>
      <c r="P705" s="880" t="s">
        <v>1450</v>
      </c>
      <c r="Q705" s="881" t="s">
        <v>1450</v>
      </c>
      <c r="R705" s="880" t="s">
        <v>1450</v>
      </c>
      <c r="S705" s="880" t="s">
        <v>1450</v>
      </c>
      <c r="T705" s="881" t="s">
        <v>1450</v>
      </c>
      <c r="U705" s="880" t="s">
        <v>1450</v>
      </c>
      <c r="V705" s="880" t="s">
        <v>1450</v>
      </c>
      <c r="W705" s="881" t="s">
        <v>1450</v>
      </c>
      <c r="X705" s="880" t="s">
        <v>1450</v>
      </c>
      <c r="Y705" s="880" t="s">
        <v>1450</v>
      </c>
      <c r="Z705" s="881" t="s">
        <v>1450</v>
      </c>
      <c r="AA705" s="880" t="s">
        <v>1450</v>
      </c>
      <c r="AB705" s="880" t="s">
        <v>1450</v>
      </c>
      <c r="AC705" s="881" t="s">
        <v>1450</v>
      </c>
      <c r="AD705" s="880" t="s">
        <v>1450</v>
      </c>
      <c r="AE705" s="880" t="s">
        <v>1450</v>
      </c>
      <c r="AF705" s="881" t="s">
        <v>1450</v>
      </c>
      <c r="AG705" s="880" t="s">
        <v>1450</v>
      </c>
      <c r="AH705" s="880" t="s">
        <v>1450</v>
      </c>
      <c r="AI705" s="881" t="s">
        <v>1450</v>
      </c>
    </row>
    <row r="706" spans="2:35" x14ac:dyDescent="0.2">
      <c r="B706" s="867">
        <v>211002000</v>
      </c>
      <c r="C706" s="876" t="s">
        <v>1448</v>
      </c>
      <c r="D706" s="877" t="s">
        <v>1448</v>
      </c>
      <c r="E706" s="877" t="s">
        <v>1448</v>
      </c>
      <c r="F706" s="877" t="s">
        <v>1448</v>
      </c>
      <c r="G706" s="877" t="s">
        <v>1448</v>
      </c>
      <c r="H706" s="877" t="s">
        <v>1448</v>
      </c>
      <c r="I706" s="877" t="s">
        <v>1448</v>
      </c>
      <c r="J706" s="878" t="s">
        <v>1448</v>
      </c>
      <c r="K706" s="877"/>
      <c r="L706" s="879" t="s">
        <v>1450</v>
      </c>
      <c r="M706" s="880" t="s">
        <v>1450</v>
      </c>
      <c r="N706" s="881" t="s">
        <v>1450</v>
      </c>
      <c r="O706" s="880" t="s">
        <v>1450</v>
      </c>
      <c r="P706" s="880" t="s">
        <v>1450</v>
      </c>
      <c r="Q706" s="881" t="s">
        <v>1450</v>
      </c>
      <c r="R706" s="880" t="s">
        <v>1450</v>
      </c>
      <c r="S706" s="880" t="s">
        <v>1450</v>
      </c>
      <c r="T706" s="881" t="s">
        <v>1450</v>
      </c>
      <c r="U706" s="880" t="s">
        <v>1450</v>
      </c>
      <c r="V706" s="880" t="s">
        <v>1450</v>
      </c>
      <c r="W706" s="881" t="s">
        <v>1450</v>
      </c>
      <c r="X706" s="880" t="s">
        <v>1450</v>
      </c>
      <c r="Y706" s="880" t="s">
        <v>1450</v>
      </c>
      <c r="Z706" s="881" t="s">
        <v>1450</v>
      </c>
      <c r="AA706" s="880" t="s">
        <v>1450</v>
      </c>
      <c r="AB706" s="880" t="s">
        <v>1450</v>
      </c>
      <c r="AC706" s="881" t="s">
        <v>1450</v>
      </c>
      <c r="AD706" s="880" t="s">
        <v>1450</v>
      </c>
      <c r="AE706" s="880" t="s">
        <v>1450</v>
      </c>
      <c r="AF706" s="881" t="s">
        <v>1450</v>
      </c>
      <c r="AG706" s="880" t="s">
        <v>1450</v>
      </c>
      <c r="AH706" s="880" t="s">
        <v>1450</v>
      </c>
      <c r="AI706" s="881" t="s">
        <v>1450</v>
      </c>
    </row>
    <row r="707" spans="2:35" ht="10.8" thickBot="1" x14ac:dyDescent="0.25">
      <c r="B707" s="867">
        <v>217601000</v>
      </c>
      <c r="C707" s="882" t="s">
        <v>1448</v>
      </c>
      <c r="D707" s="883" t="s">
        <v>1448</v>
      </c>
      <c r="E707" s="883" t="s">
        <v>1448</v>
      </c>
      <c r="F707" s="883" t="s">
        <v>1448</v>
      </c>
      <c r="G707" s="883" t="s">
        <v>1448</v>
      </c>
      <c r="H707" s="883" t="s">
        <v>1448</v>
      </c>
      <c r="I707" s="883" t="s">
        <v>1448</v>
      </c>
      <c r="J707" s="884" t="s">
        <v>1448</v>
      </c>
      <c r="K707" s="877"/>
      <c r="L707" s="879" t="s">
        <v>1450</v>
      </c>
      <c r="M707" s="880" t="s">
        <v>1450</v>
      </c>
      <c r="N707" s="881" t="s">
        <v>1450</v>
      </c>
      <c r="O707" s="880" t="s">
        <v>1450</v>
      </c>
      <c r="P707" s="880" t="s">
        <v>1450</v>
      </c>
      <c r="Q707" s="881" t="s">
        <v>1450</v>
      </c>
      <c r="R707" s="880" t="s">
        <v>1450</v>
      </c>
      <c r="S707" s="880" t="s">
        <v>1450</v>
      </c>
      <c r="T707" s="881" t="s">
        <v>1450</v>
      </c>
      <c r="U707" s="880" t="s">
        <v>1450</v>
      </c>
      <c r="V707" s="880" t="s">
        <v>1450</v>
      </c>
      <c r="W707" s="881" t="s">
        <v>1450</v>
      </c>
      <c r="X707" s="880" t="s">
        <v>1450</v>
      </c>
      <c r="Y707" s="880" t="s">
        <v>1450</v>
      </c>
      <c r="Z707" s="881" t="s">
        <v>1450</v>
      </c>
      <c r="AA707" s="880" t="s">
        <v>1450</v>
      </c>
      <c r="AB707" s="880" t="s">
        <v>1450</v>
      </c>
      <c r="AC707" s="881" t="s">
        <v>1450</v>
      </c>
      <c r="AD707" s="880" t="s">
        <v>1450</v>
      </c>
      <c r="AE707" s="880" t="s">
        <v>1450</v>
      </c>
      <c r="AF707" s="881" t="s">
        <v>1450</v>
      </c>
      <c r="AG707" s="880" t="s">
        <v>1450</v>
      </c>
      <c r="AH707" s="880" t="s">
        <v>1450</v>
      </c>
      <c r="AI707" s="881" t="s">
        <v>1450</v>
      </c>
    </row>
  </sheetData>
  <sheetProtection algorithmName="SHA-512" hashValue="5Eg+gkw9tP4V4YnoAOa45iNPz+gptRZqKF7b5PEet7xUP/2q6Gt6dENNTjvcWShbBr2RkEOeoPD/3HoikVq9ng==" saltValue="vObgRPQMK23C2oSq0ldkTw==" spinCount="100000" sheet="1" objects="1" scenarios="1"/>
  <pageMargins left="0.7" right="0.7" top="0.75" bottom="0.75" header="0.3" footer="0.3"/>
  <pageSetup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12</vt:i4>
      </vt:variant>
    </vt:vector>
  </HeadingPairs>
  <TitlesOfParts>
    <vt:vector size="38" baseType="lpstr">
      <vt:lpstr>Afton Update</vt:lpstr>
      <vt:lpstr>HH &amp; SI</vt:lpstr>
      <vt:lpstr>update_Allocation</vt:lpstr>
      <vt:lpstr>update_Formula counts</vt:lpstr>
      <vt:lpstr>update_State Admin 1004(b)</vt:lpstr>
      <vt:lpstr>Allocation</vt:lpstr>
      <vt:lpstr>Afton FY16 Final</vt:lpstr>
      <vt:lpstr>Phoenix Collegiate Split</vt:lpstr>
      <vt:lpstr>Historical Conc Grant Elig</vt:lpstr>
      <vt:lpstr>Original Title I &amp; II</vt:lpstr>
      <vt:lpstr>State ID</vt:lpstr>
      <vt:lpstr>NCES ID</vt:lpstr>
      <vt:lpstr>AVA Metrics</vt:lpstr>
      <vt:lpstr>TitleIDSP2</vt:lpstr>
      <vt:lpstr>RLIS</vt:lpstr>
      <vt:lpstr>Entities to fund based on CY FR</vt:lpstr>
      <vt:lpstr>AzEDS FY17 11-14-2016</vt:lpstr>
      <vt:lpstr>Final SEA Counts</vt:lpstr>
      <vt:lpstr>Formula counts</vt:lpstr>
      <vt:lpstr>State Admin 1004(b)</vt:lpstr>
      <vt:lpstr>Allocations By Type</vt:lpstr>
      <vt:lpstr>FY16 Title II-A Final</vt:lpstr>
      <vt:lpstr>Title II Hold Harmless</vt:lpstr>
      <vt:lpstr>RLIS Source</vt:lpstr>
      <vt:lpstr>AzEDS FY17 12-04-16</vt:lpstr>
      <vt:lpstr>AzEDS FY17 12-15-16</vt:lpstr>
      <vt:lpstr>Allocation!Print_Area</vt:lpstr>
      <vt:lpstr>'Formula counts'!Print_Area</vt:lpstr>
      <vt:lpstr>'FY16 Title II-A Final'!Print_Area</vt:lpstr>
      <vt:lpstr>'State Admin 1004(b)'!Print_Area</vt:lpstr>
      <vt:lpstr>update_Allocation!Print_Area</vt:lpstr>
      <vt:lpstr>'update_Formula counts'!Print_Area</vt:lpstr>
      <vt:lpstr>'update_State Admin 1004(b)'!Print_Area</vt:lpstr>
      <vt:lpstr>Allocation!Print_Titles</vt:lpstr>
      <vt:lpstr>'Formula counts'!Print_Titles</vt:lpstr>
      <vt:lpstr>'RLIS Source'!Print_Titles</vt:lpstr>
      <vt:lpstr>update_Allocation!Print_Titles</vt:lpstr>
      <vt:lpstr>'update_Formula counts'!Print_Titles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Brown, Chris</dc:creator>
  <cp:lastModifiedBy>Mitch Mraz</cp:lastModifiedBy>
  <dcterms:created xsi:type="dcterms:W3CDTF">2015-04-22T20:23:09Z</dcterms:created>
  <dcterms:modified xsi:type="dcterms:W3CDTF">2017-11-14T00:38:04Z</dcterms:modified>
</cp:coreProperties>
</file>